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GDR_refTrans_2016-17\peach\refTransV1\download_files\"/>
    </mc:Choice>
  </mc:AlternateContent>
  <bookViews>
    <workbookView xWindow="0" yWindow="0" windowWidth="17970" windowHeight="6120"/>
  </bookViews>
  <sheets>
    <sheet name="trembl_longestIsfo.txt_hyperLin" sheetId="1" r:id="rId1"/>
  </sheets>
  <calcPr calcId="0"/>
</workbook>
</file>

<file path=xl/calcChain.xml><?xml version="1.0" encoding="utf-8"?>
<calcChain xmlns="http://schemas.openxmlformats.org/spreadsheetml/2006/main">
  <c r="A2" i="1" l="1"/>
  <c r="C2" i="1"/>
  <c r="A3" i="1"/>
  <c r="C3" i="1"/>
  <c r="A4" i="1"/>
  <c r="C4" i="1"/>
  <c r="A5" i="1"/>
  <c r="C5" i="1"/>
  <c r="A6" i="1"/>
  <c r="C6" i="1"/>
  <c r="A7" i="1"/>
  <c r="C7" i="1"/>
  <c r="A8" i="1"/>
  <c r="C8" i="1"/>
  <c r="A9" i="1"/>
  <c r="C9" i="1"/>
  <c r="A10" i="1"/>
  <c r="C10" i="1"/>
  <c r="A11" i="1"/>
  <c r="C11" i="1"/>
  <c r="A12" i="1"/>
  <c r="C12" i="1"/>
  <c r="A13" i="1"/>
  <c r="C13" i="1"/>
  <c r="A14" i="1"/>
  <c r="C14" i="1"/>
  <c r="A15" i="1"/>
  <c r="C15" i="1"/>
  <c r="A16" i="1"/>
  <c r="C16" i="1"/>
  <c r="A17" i="1"/>
  <c r="C17" i="1"/>
  <c r="A18" i="1"/>
  <c r="C18" i="1"/>
  <c r="A19" i="1"/>
  <c r="C19" i="1"/>
  <c r="A20" i="1"/>
  <c r="C20" i="1"/>
  <c r="A21" i="1"/>
  <c r="C21" i="1"/>
  <c r="A22" i="1"/>
  <c r="C22" i="1"/>
  <c r="A23" i="1"/>
  <c r="C23" i="1"/>
  <c r="A24" i="1"/>
  <c r="C24" i="1"/>
  <c r="A25" i="1"/>
  <c r="C25" i="1"/>
  <c r="A26" i="1"/>
  <c r="C26" i="1"/>
  <c r="A27" i="1"/>
  <c r="C27" i="1"/>
  <c r="A28" i="1"/>
  <c r="C28" i="1"/>
  <c r="A29" i="1"/>
  <c r="C29" i="1"/>
  <c r="A30" i="1"/>
  <c r="C30" i="1"/>
  <c r="A31" i="1"/>
  <c r="C31" i="1"/>
  <c r="A32" i="1"/>
  <c r="C32" i="1"/>
  <c r="A33" i="1"/>
  <c r="C33" i="1"/>
  <c r="A34" i="1"/>
  <c r="C34" i="1"/>
  <c r="A35" i="1"/>
  <c r="C35" i="1"/>
  <c r="A36" i="1"/>
  <c r="C36" i="1"/>
  <c r="A37" i="1"/>
  <c r="C37" i="1"/>
  <c r="A38" i="1"/>
  <c r="C38" i="1"/>
  <c r="A39" i="1"/>
  <c r="C39" i="1"/>
  <c r="A40" i="1"/>
  <c r="C40" i="1"/>
  <c r="A41" i="1"/>
  <c r="C41" i="1"/>
  <c r="A42" i="1"/>
  <c r="C42" i="1"/>
  <c r="A43" i="1"/>
  <c r="C43" i="1"/>
  <c r="A44" i="1"/>
  <c r="C44" i="1"/>
  <c r="A45" i="1"/>
  <c r="C45" i="1"/>
  <c r="A46" i="1"/>
  <c r="C46" i="1"/>
  <c r="A47" i="1"/>
  <c r="C47" i="1"/>
  <c r="A48" i="1"/>
  <c r="C48" i="1"/>
  <c r="A49" i="1"/>
  <c r="C49" i="1"/>
  <c r="A50" i="1"/>
  <c r="C50" i="1"/>
  <c r="A51" i="1"/>
  <c r="C51" i="1"/>
  <c r="A52" i="1"/>
  <c r="C52" i="1"/>
  <c r="A53" i="1"/>
  <c r="C53" i="1"/>
  <c r="A54" i="1"/>
  <c r="C54" i="1"/>
  <c r="A55" i="1"/>
  <c r="C55" i="1"/>
  <c r="A56" i="1"/>
  <c r="C56" i="1"/>
  <c r="A57" i="1"/>
  <c r="C57" i="1"/>
  <c r="A58" i="1"/>
  <c r="C58" i="1"/>
  <c r="A59" i="1"/>
  <c r="C59" i="1"/>
  <c r="A60" i="1"/>
  <c r="C60" i="1"/>
  <c r="A61" i="1"/>
  <c r="C61" i="1"/>
  <c r="A62" i="1"/>
  <c r="C62" i="1"/>
  <c r="A63" i="1"/>
  <c r="C63" i="1"/>
  <c r="A64" i="1"/>
  <c r="C64" i="1"/>
  <c r="A65" i="1"/>
  <c r="C65" i="1"/>
  <c r="A66" i="1"/>
  <c r="C66" i="1"/>
  <c r="A67" i="1"/>
  <c r="C67" i="1"/>
  <c r="A68" i="1"/>
  <c r="C68" i="1"/>
  <c r="A69" i="1"/>
  <c r="C69" i="1"/>
  <c r="A70" i="1"/>
  <c r="C70" i="1"/>
  <c r="A71" i="1"/>
  <c r="C71" i="1"/>
  <c r="A72" i="1"/>
  <c r="C72" i="1"/>
  <c r="A73" i="1"/>
  <c r="C73" i="1"/>
  <c r="A74" i="1"/>
  <c r="C74" i="1"/>
  <c r="A75" i="1"/>
  <c r="C75" i="1"/>
  <c r="A76" i="1"/>
  <c r="C76" i="1"/>
  <c r="A77" i="1"/>
  <c r="C77" i="1"/>
  <c r="A78" i="1"/>
  <c r="C78" i="1"/>
  <c r="A79" i="1"/>
  <c r="C79" i="1"/>
  <c r="A80" i="1"/>
  <c r="C80" i="1"/>
  <c r="A81" i="1"/>
  <c r="C81" i="1"/>
  <c r="A82" i="1"/>
  <c r="C82" i="1"/>
  <c r="A83" i="1"/>
  <c r="C83" i="1"/>
  <c r="A84" i="1"/>
  <c r="C84" i="1"/>
  <c r="A85" i="1"/>
  <c r="C85" i="1"/>
  <c r="A86" i="1"/>
  <c r="C86" i="1"/>
  <c r="A87" i="1"/>
  <c r="C87" i="1"/>
  <c r="A88" i="1"/>
  <c r="C88" i="1"/>
  <c r="A89" i="1"/>
  <c r="C89" i="1"/>
  <c r="A90" i="1"/>
  <c r="C90" i="1"/>
  <c r="A91" i="1"/>
  <c r="C91" i="1"/>
  <c r="A92" i="1"/>
  <c r="C92" i="1"/>
  <c r="A93" i="1"/>
  <c r="C93" i="1"/>
  <c r="A94" i="1"/>
  <c r="C94" i="1"/>
  <c r="A95" i="1"/>
  <c r="C95" i="1"/>
  <c r="A96" i="1"/>
  <c r="C96" i="1"/>
  <c r="A97" i="1"/>
  <c r="C97" i="1"/>
  <c r="A98" i="1"/>
  <c r="C98" i="1"/>
  <c r="A99" i="1"/>
  <c r="C99" i="1"/>
  <c r="A100" i="1"/>
  <c r="C100" i="1"/>
  <c r="A101" i="1"/>
  <c r="C101" i="1"/>
  <c r="A102" i="1"/>
  <c r="C102" i="1"/>
  <c r="A103" i="1"/>
  <c r="C103" i="1"/>
  <c r="A104" i="1"/>
  <c r="C104" i="1"/>
  <c r="A105" i="1"/>
  <c r="C105" i="1"/>
  <c r="A106" i="1"/>
  <c r="C106" i="1"/>
  <c r="A107" i="1"/>
  <c r="C107" i="1"/>
  <c r="A108" i="1"/>
  <c r="C108" i="1"/>
  <c r="A109" i="1"/>
  <c r="C109" i="1"/>
  <c r="A110" i="1"/>
  <c r="C110" i="1"/>
  <c r="A111" i="1"/>
  <c r="C111" i="1"/>
  <c r="A112" i="1"/>
  <c r="C112" i="1"/>
  <c r="A113" i="1"/>
  <c r="C113" i="1"/>
  <c r="A114" i="1"/>
  <c r="C114" i="1"/>
  <c r="A115" i="1"/>
  <c r="C115" i="1"/>
  <c r="A116" i="1"/>
  <c r="C116" i="1"/>
  <c r="A117" i="1"/>
  <c r="C117" i="1"/>
  <c r="A118" i="1"/>
  <c r="C118" i="1"/>
  <c r="A119" i="1"/>
  <c r="C119" i="1"/>
  <c r="A120" i="1"/>
  <c r="C120" i="1"/>
  <c r="A121" i="1"/>
  <c r="C121" i="1"/>
  <c r="A122" i="1"/>
  <c r="C122" i="1"/>
  <c r="A123" i="1"/>
  <c r="C123" i="1"/>
  <c r="A124" i="1"/>
  <c r="C124" i="1"/>
  <c r="A125" i="1"/>
  <c r="C125" i="1"/>
  <c r="A126" i="1"/>
  <c r="C126" i="1"/>
  <c r="A127" i="1"/>
  <c r="C127" i="1"/>
  <c r="A128" i="1"/>
  <c r="C128" i="1"/>
  <c r="A129" i="1"/>
  <c r="C129" i="1"/>
  <c r="A130" i="1"/>
  <c r="C130" i="1"/>
  <c r="A131" i="1"/>
  <c r="C131" i="1"/>
  <c r="A132" i="1"/>
  <c r="C132" i="1"/>
  <c r="A133" i="1"/>
  <c r="C133" i="1"/>
  <c r="A134" i="1"/>
  <c r="C134" i="1"/>
  <c r="A135" i="1"/>
  <c r="C135" i="1"/>
  <c r="A136" i="1"/>
  <c r="C136" i="1"/>
  <c r="A137" i="1"/>
  <c r="C137" i="1"/>
  <c r="A138" i="1"/>
  <c r="C138" i="1"/>
  <c r="A139" i="1"/>
  <c r="C139" i="1"/>
  <c r="A140" i="1"/>
  <c r="C140" i="1"/>
  <c r="A141" i="1"/>
  <c r="C141" i="1"/>
  <c r="A142" i="1"/>
  <c r="C142" i="1"/>
  <c r="A143" i="1"/>
  <c r="C143" i="1"/>
  <c r="A144" i="1"/>
  <c r="C144" i="1"/>
  <c r="A145" i="1"/>
  <c r="C145" i="1"/>
  <c r="A146" i="1"/>
  <c r="C146" i="1"/>
  <c r="A147" i="1"/>
  <c r="C147" i="1"/>
  <c r="A148" i="1"/>
  <c r="C148" i="1"/>
  <c r="A149" i="1"/>
  <c r="C149" i="1"/>
  <c r="A150" i="1"/>
  <c r="C150" i="1"/>
  <c r="A151" i="1"/>
  <c r="C151" i="1"/>
  <c r="A152" i="1"/>
  <c r="C152" i="1"/>
  <c r="A153" i="1"/>
  <c r="C153" i="1"/>
  <c r="A154" i="1"/>
  <c r="C154" i="1"/>
  <c r="A155" i="1"/>
  <c r="C155" i="1"/>
  <c r="A156" i="1"/>
  <c r="C156" i="1"/>
  <c r="A157" i="1"/>
  <c r="C157" i="1"/>
  <c r="A158" i="1"/>
  <c r="C158" i="1"/>
  <c r="A159" i="1"/>
  <c r="C159" i="1"/>
  <c r="A160" i="1"/>
  <c r="C160" i="1"/>
  <c r="A161" i="1"/>
  <c r="C161" i="1"/>
  <c r="A162" i="1"/>
  <c r="C162" i="1"/>
  <c r="A163" i="1"/>
  <c r="C163" i="1"/>
  <c r="A164" i="1"/>
  <c r="C164" i="1"/>
  <c r="A165" i="1"/>
  <c r="C165" i="1"/>
  <c r="A166" i="1"/>
  <c r="C166" i="1"/>
  <c r="A167" i="1"/>
  <c r="C167" i="1"/>
  <c r="A168" i="1"/>
  <c r="C168" i="1"/>
  <c r="A169" i="1"/>
  <c r="C169" i="1"/>
  <c r="A170" i="1"/>
  <c r="C170" i="1"/>
  <c r="A171" i="1"/>
  <c r="C171" i="1"/>
  <c r="A172" i="1"/>
  <c r="C172" i="1"/>
  <c r="A173" i="1"/>
  <c r="C173" i="1"/>
  <c r="A174" i="1"/>
  <c r="C174" i="1"/>
  <c r="A175" i="1"/>
  <c r="C175" i="1"/>
  <c r="A176" i="1"/>
  <c r="C176" i="1"/>
  <c r="A177" i="1"/>
  <c r="C177" i="1"/>
  <c r="A178" i="1"/>
  <c r="C178" i="1"/>
  <c r="A179" i="1"/>
  <c r="C179" i="1"/>
  <c r="A180" i="1"/>
  <c r="C180" i="1"/>
  <c r="A181" i="1"/>
  <c r="C181" i="1"/>
  <c r="A182" i="1"/>
  <c r="C182" i="1"/>
  <c r="A183" i="1"/>
  <c r="C183" i="1"/>
  <c r="A184" i="1"/>
  <c r="C184" i="1"/>
  <c r="A185" i="1"/>
  <c r="C185" i="1"/>
  <c r="A186" i="1"/>
  <c r="C186" i="1"/>
  <c r="A187" i="1"/>
  <c r="C187" i="1"/>
  <c r="A188" i="1"/>
  <c r="C188" i="1"/>
  <c r="A189" i="1"/>
  <c r="C189" i="1"/>
  <c r="A190" i="1"/>
  <c r="C190" i="1"/>
  <c r="A191" i="1"/>
  <c r="C191" i="1"/>
  <c r="A192" i="1"/>
  <c r="C192" i="1"/>
  <c r="A193" i="1"/>
  <c r="C193" i="1"/>
  <c r="A194" i="1"/>
  <c r="C194" i="1"/>
  <c r="A195" i="1"/>
  <c r="C195" i="1"/>
  <c r="A196" i="1"/>
  <c r="C196" i="1"/>
  <c r="A197" i="1"/>
  <c r="C197" i="1"/>
  <c r="A198" i="1"/>
  <c r="C198" i="1"/>
  <c r="A199" i="1"/>
  <c r="C199" i="1"/>
  <c r="A200" i="1"/>
  <c r="C200" i="1"/>
  <c r="A201" i="1"/>
  <c r="C201" i="1"/>
  <c r="A202" i="1"/>
  <c r="C202" i="1"/>
  <c r="A203" i="1"/>
  <c r="C203" i="1"/>
  <c r="A204" i="1"/>
  <c r="C204" i="1"/>
  <c r="A205" i="1"/>
  <c r="C205" i="1"/>
  <c r="A206" i="1"/>
  <c r="C206" i="1"/>
  <c r="A207" i="1"/>
  <c r="C207" i="1"/>
  <c r="A208" i="1"/>
  <c r="C208" i="1"/>
  <c r="A209" i="1"/>
  <c r="C209" i="1"/>
  <c r="A210" i="1"/>
  <c r="C210" i="1"/>
  <c r="A211" i="1"/>
  <c r="C211" i="1"/>
  <c r="A212" i="1"/>
  <c r="C212" i="1"/>
  <c r="A213" i="1"/>
  <c r="C213" i="1"/>
  <c r="A214" i="1"/>
  <c r="C214" i="1"/>
  <c r="A215" i="1"/>
  <c r="C215" i="1"/>
  <c r="A216" i="1"/>
  <c r="C216" i="1"/>
  <c r="A217" i="1"/>
  <c r="C217" i="1"/>
  <c r="A218" i="1"/>
  <c r="C218" i="1"/>
  <c r="A219" i="1"/>
  <c r="C219" i="1"/>
  <c r="A220" i="1"/>
  <c r="C220" i="1"/>
  <c r="A221" i="1"/>
  <c r="C221" i="1"/>
  <c r="A222" i="1"/>
  <c r="C222" i="1"/>
  <c r="A223" i="1"/>
  <c r="C223" i="1"/>
  <c r="A224" i="1"/>
  <c r="C224" i="1"/>
  <c r="A225" i="1"/>
  <c r="C225" i="1"/>
  <c r="A226" i="1"/>
  <c r="C226" i="1"/>
  <c r="A227" i="1"/>
  <c r="C227" i="1"/>
  <c r="A228" i="1"/>
  <c r="C228" i="1"/>
  <c r="A229" i="1"/>
  <c r="C229" i="1"/>
  <c r="A230" i="1"/>
  <c r="C230" i="1"/>
  <c r="A231" i="1"/>
  <c r="C231" i="1"/>
  <c r="A232" i="1"/>
  <c r="C232" i="1"/>
  <c r="A233" i="1"/>
  <c r="C233" i="1"/>
  <c r="A234" i="1"/>
  <c r="C234" i="1"/>
  <c r="A235" i="1"/>
  <c r="C235" i="1"/>
  <c r="A236" i="1"/>
  <c r="C236" i="1"/>
  <c r="A237" i="1"/>
  <c r="C237" i="1"/>
  <c r="A238" i="1"/>
  <c r="C238" i="1"/>
  <c r="A239" i="1"/>
  <c r="C239" i="1"/>
  <c r="A240" i="1"/>
  <c r="C240" i="1"/>
  <c r="A241" i="1"/>
  <c r="C241" i="1"/>
  <c r="A242" i="1"/>
  <c r="C242" i="1"/>
  <c r="A243" i="1"/>
  <c r="C243" i="1"/>
  <c r="A244" i="1"/>
  <c r="C244" i="1"/>
  <c r="A245" i="1"/>
  <c r="C245" i="1"/>
  <c r="A246" i="1"/>
  <c r="C246" i="1"/>
  <c r="A247" i="1"/>
  <c r="C247" i="1"/>
  <c r="A248" i="1"/>
  <c r="C248" i="1"/>
  <c r="A249" i="1"/>
  <c r="C249" i="1"/>
  <c r="A250" i="1"/>
  <c r="C250" i="1"/>
  <c r="A251" i="1"/>
  <c r="C251" i="1"/>
  <c r="A252" i="1"/>
  <c r="C252" i="1"/>
  <c r="A253" i="1"/>
  <c r="C253" i="1"/>
  <c r="A254" i="1"/>
  <c r="C254" i="1"/>
  <c r="A255" i="1"/>
  <c r="C255" i="1"/>
  <c r="A256" i="1"/>
  <c r="C256" i="1"/>
  <c r="A257" i="1"/>
  <c r="C257" i="1"/>
  <c r="A258" i="1"/>
  <c r="C258" i="1"/>
  <c r="A259" i="1"/>
  <c r="C259" i="1"/>
  <c r="A260" i="1"/>
  <c r="C260" i="1"/>
  <c r="A261" i="1"/>
  <c r="C261" i="1"/>
  <c r="A262" i="1"/>
  <c r="C262" i="1"/>
  <c r="A263" i="1"/>
  <c r="C263" i="1"/>
  <c r="A264" i="1"/>
  <c r="C264" i="1"/>
  <c r="A265" i="1"/>
  <c r="C265" i="1"/>
  <c r="A266" i="1"/>
  <c r="C266" i="1"/>
  <c r="A267" i="1"/>
  <c r="C267" i="1"/>
  <c r="A268" i="1"/>
  <c r="C268" i="1"/>
  <c r="A269" i="1"/>
  <c r="C269" i="1"/>
  <c r="A270" i="1"/>
  <c r="C270" i="1"/>
  <c r="A271" i="1"/>
  <c r="C271" i="1"/>
  <c r="A272" i="1"/>
  <c r="C272" i="1"/>
  <c r="A273" i="1"/>
  <c r="C273" i="1"/>
  <c r="A274" i="1"/>
  <c r="C274" i="1"/>
  <c r="A275" i="1"/>
  <c r="C275" i="1"/>
  <c r="A276" i="1"/>
  <c r="C276" i="1"/>
  <c r="A277" i="1"/>
  <c r="C277" i="1"/>
  <c r="A278" i="1"/>
  <c r="C278" i="1"/>
  <c r="A279" i="1"/>
  <c r="C279" i="1"/>
  <c r="A280" i="1"/>
  <c r="C280" i="1"/>
  <c r="A281" i="1"/>
  <c r="C281" i="1"/>
  <c r="A282" i="1"/>
  <c r="C282" i="1"/>
  <c r="A283" i="1"/>
  <c r="C283" i="1"/>
  <c r="A284" i="1"/>
  <c r="C284" i="1"/>
  <c r="A285" i="1"/>
  <c r="C285" i="1"/>
  <c r="A286" i="1"/>
  <c r="C286" i="1"/>
  <c r="A287" i="1"/>
  <c r="C287" i="1"/>
  <c r="A288" i="1"/>
  <c r="C288" i="1"/>
  <c r="A289" i="1"/>
  <c r="C289" i="1"/>
  <c r="A290" i="1"/>
  <c r="C290" i="1"/>
  <c r="A291" i="1"/>
  <c r="C291" i="1"/>
  <c r="A292" i="1"/>
  <c r="C292" i="1"/>
  <c r="A293" i="1"/>
  <c r="C293" i="1"/>
  <c r="A294" i="1"/>
  <c r="C294" i="1"/>
  <c r="A295" i="1"/>
  <c r="C295" i="1"/>
  <c r="A296" i="1"/>
  <c r="C296" i="1"/>
  <c r="A297" i="1"/>
  <c r="C297" i="1"/>
  <c r="A298" i="1"/>
  <c r="C298" i="1"/>
  <c r="A299" i="1"/>
  <c r="C299" i="1"/>
  <c r="A300" i="1"/>
  <c r="C300" i="1"/>
  <c r="A301" i="1"/>
  <c r="C301" i="1"/>
  <c r="A302" i="1"/>
  <c r="C302" i="1"/>
  <c r="A303" i="1"/>
  <c r="C303" i="1"/>
  <c r="A304" i="1"/>
  <c r="C304" i="1"/>
  <c r="A305" i="1"/>
  <c r="C305" i="1"/>
  <c r="A306" i="1"/>
  <c r="C306" i="1"/>
  <c r="A307" i="1"/>
  <c r="C307" i="1"/>
  <c r="A308" i="1"/>
  <c r="C308" i="1"/>
  <c r="A309" i="1"/>
  <c r="C309" i="1"/>
  <c r="A310" i="1"/>
  <c r="C310" i="1"/>
  <c r="A311" i="1"/>
  <c r="C311" i="1"/>
  <c r="A312" i="1"/>
  <c r="C312" i="1"/>
  <c r="A313" i="1"/>
  <c r="C313" i="1"/>
  <c r="A314" i="1"/>
  <c r="C314" i="1"/>
  <c r="A315" i="1"/>
  <c r="C315" i="1"/>
  <c r="A316" i="1"/>
  <c r="C316" i="1"/>
  <c r="A317" i="1"/>
  <c r="C317" i="1"/>
  <c r="A318" i="1"/>
  <c r="C318" i="1"/>
  <c r="A319" i="1"/>
  <c r="C319" i="1"/>
  <c r="A320" i="1"/>
  <c r="C320" i="1"/>
  <c r="A321" i="1"/>
  <c r="C321" i="1"/>
  <c r="A322" i="1"/>
  <c r="C322" i="1"/>
  <c r="A323" i="1"/>
  <c r="C323" i="1"/>
  <c r="A324" i="1"/>
  <c r="C324" i="1"/>
  <c r="A325" i="1"/>
  <c r="C325" i="1"/>
  <c r="A326" i="1"/>
  <c r="C326" i="1"/>
  <c r="A327" i="1"/>
  <c r="C327" i="1"/>
  <c r="A328" i="1"/>
  <c r="C328" i="1"/>
  <c r="A329" i="1"/>
  <c r="C329" i="1"/>
  <c r="A330" i="1"/>
  <c r="C330" i="1"/>
  <c r="A331" i="1"/>
  <c r="C331" i="1"/>
  <c r="A332" i="1"/>
  <c r="C332" i="1"/>
  <c r="A333" i="1"/>
  <c r="C333" i="1"/>
  <c r="A334" i="1"/>
  <c r="C334" i="1"/>
  <c r="A335" i="1"/>
  <c r="C335" i="1"/>
  <c r="A336" i="1"/>
  <c r="C336" i="1"/>
  <c r="A337" i="1"/>
  <c r="C337" i="1"/>
  <c r="A338" i="1"/>
  <c r="C338" i="1"/>
  <c r="A339" i="1"/>
  <c r="C339" i="1"/>
  <c r="A340" i="1"/>
  <c r="C340" i="1"/>
  <c r="A341" i="1"/>
  <c r="C341" i="1"/>
  <c r="A342" i="1"/>
  <c r="C342" i="1"/>
  <c r="A343" i="1"/>
  <c r="C343" i="1"/>
  <c r="A344" i="1"/>
  <c r="C344" i="1"/>
  <c r="A345" i="1"/>
  <c r="C345" i="1"/>
  <c r="A346" i="1"/>
  <c r="C346" i="1"/>
  <c r="A347" i="1"/>
  <c r="C347" i="1"/>
  <c r="A348" i="1"/>
  <c r="C348" i="1"/>
  <c r="A349" i="1"/>
  <c r="C349" i="1"/>
  <c r="A350" i="1"/>
  <c r="C350" i="1"/>
  <c r="A351" i="1"/>
  <c r="C351" i="1"/>
  <c r="A352" i="1"/>
  <c r="C352" i="1"/>
  <c r="A353" i="1"/>
  <c r="C353" i="1"/>
  <c r="A354" i="1"/>
  <c r="C354" i="1"/>
  <c r="A355" i="1"/>
  <c r="C355" i="1"/>
  <c r="A356" i="1"/>
  <c r="C356" i="1"/>
  <c r="A357" i="1"/>
  <c r="C357" i="1"/>
  <c r="A358" i="1"/>
  <c r="C358" i="1"/>
  <c r="A359" i="1"/>
  <c r="C359" i="1"/>
  <c r="A360" i="1"/>
  <c r="C360" i="1"/>
  <c r="A361" i="1"/>
  <c r="C361" i="1"/>
  <c r="A362" i="1"/>
  <c r="C362" i="1"/>
  <c r="A363" i="1"/>
  <c r="C363" i="1"/>
  <c r="A364" i="1"/>
  <c r="C364" i="1"/>
  <c r="A365" i="1"/>
  <c r="C365" i="1"/>
  <c r="A366" i="1"/>
  <c r="C366" i="1"/>
  <c r="A367" i="1"/>
  <c r="C367" i="1"/>
  <c r="A368" i="1"/>
  <c r="C368" i="1"/>
  <c r="A369" i="1"/>
  <c r="C369" i="1"/>
  <c r="A370" i="1"/>
  <c r="C370" i="1"/>
  <c r="A371" i="1"/>
  <c r="C371" i="1"/>
  <c r="A372" i="1"/>
  <c r="C372" i="1"/>
  <c r="A373" i="1"/>
  <c r="C373" i="1"/>
  <c r="A374" i="1"/>
  <c r="C374" i="1"/>
  <c r="A375" i="1"/>
  <c r="C375" i="1"/>
  <c r="A376" i="1"/>
  <c r="C376" i="1"/>
  <c r="A377" i="1"/>
  <c r="C377" i="1"/>
  <c r="A378" i="1"/>
  <c r="C378" i="1"/>
  <c r="A379" i="1"/>
  <c r="C379" i="1"/>
  <c r="A380" i="1"/>
  <c r="C380" i="1"/>
  <c r="A381" i="1"/>
  <c r="C381" i="1"/>
  <c r="A382" i="1"/>
  <c r="C382" i="1"/>
  <c r="A383" i="1"/>
  <c r="C383" i="1"/>
  <c r="A384" i="1"/>
  <c r="C384" i="1"/>
  <c r="A385" i="1"/>
  <c r="C385" i="1"/>
  <c r="A386" i="1"/>
  <c r="C386" i="1"/>
  <c r="A387" i="1"/>
  <c r="C387" i="1"/>
  <c r="A388" i="1"/>
  <c r="C388" i="1"/>
  <c r="A389" i="1"/>
  <c r="C389" i="1"/>
  <c r="A390" i="1"/>
  <c r="C390" i="1"/>
  <c r="A391" i="1"/>
  <c r="C391" i="1"/>
  <c r="A392" i="1"/>
  <c r="C392" i="1"/>
  <c r="A393" i="1"/>
  <c r="C393" i="1"/>
  <c r="A394" i="1"/>
  <c r="C394" i="1"/>
  <c r="A395" i="1"/>
  <c r="C395" i="1"/>
  <c r="A396" i="1"/>
  <c r="C396" i="1"/>
  <c r="A397" i="1"/>
  <c r="C397" i="1"/>
  <c r="A398" i="1"/>
  <c r="C398" i="1"/>
  <c r="A399" i="1"/>
  <c r="C399" i="1"/>
  <c r="A400" i="1"/>
  <c r="C400" i="1"/>
  <c r="A401" i="1"/>
  <c r="C401" i="1"/>
  <c r="A402" i="1"/>
  <c r="C402" i="1"/>
  <c r="A403" i="1"/>
  <c r="C403" i="1"/>
  <c r="A404" i="1"/>
  <c r="C404" i="1"/>
  <c r="A405" i="1"/>
  <c r="C405" i="1"/>
  <c r="A406" i="1"/>
  <c r="C406" i="1"/>
  <c r="A407" i="1"/>
  <c r="C407" i="1"/>
  <c r="A408" i="1"/>
  <c r="C408" i="1"/>
  <c r="A409" i="1"/>
  <c r="C409" i="1"/>
  <c r="A410" i="1"/>
  <c r="C410" i="1"/>
  <c r="A411" i="1"/>
  <c r="C411" i="1"/>
  <c r="A412" i="1"/>
  <c r="C412" i="1"/>
  <c r="A413" i="1"/>
  <c r="C413" i="1"/>
  <c r="A414" i="1"/>
  <c r="C414" i="1"/>
  <c r="A415" i="1"/>
  <c r="C415" i="1"/>
  <c r="A416" i="1"/>
  <c r="C416" i="1"/>
  <c r="A417" i="1"/>
  <c r="C417" i="1"/>
  <c r="A418" i="1"/>
  <c r="C418" i="1"/>
  <c r="A419" i="1"/>
  <c r="C419" i="1"/>
  <c r="A420" i="1"/>
  <c r="C420" i="1"/>
  <c r="A421" i="1"/>
  <c r="C421" i="1"/>
  <c r="A422" i="1"/>
  <c r="C422" i="1"/>
  <c r="A423" i="1"/>
  <c r="C423" i="1"/>
  <c r="A424" i="1"/>
  <c r="C424" i="1"/>
  <c r="A425" i="1"/>
  <c r="C425" i="1"/>
  <c r="A426" i="1"/>
  <c r="C426" i="1"/>
  <c r="A427" i="1"/>
  <c r="C427" i="1"/>
  <c r="A428" i="1"/>
  <c r="C428" i="1"/>
  <c r="A429" i="1"/>
  <c r="C429" i="1"/>
  <c r="A430" i="1"/>
  <c r="C430" i="1"/>
  <c r="A431" i="1"/>
  <c r="C431" i="1"/>
  <c r="A432" i="1"/>
  <c r="C432" i="1"/>
  <c r="A433" i="1"/>
  <c r="C433" i="1"/>
  <c r="A434" i="1"/>
  <c r="C434" i="1"/>
  <c r="A435" i="1"/>
  <c r="C435" i="1"/>
  <c r="A436" i="1"/>
  <c r="C436" i="1"/>
  <c r="A437" i="1"/>
  <c r="C437" i="1"/>
  <c r="A438" i="1"/>
  <c r="C438" i="1"/>
  <c r="A439" i="1"/>
  <c r="C439" i="1"/>
  <c r="A440" i="1"/>
  <c r="C440" i="1"/>
  <c r="A441" i="1"/>
  <c r="C441" i="1"/>
  <c r="A442" i="1"/>
  <c r="C442" i="1"/>
  <c r="A443" i="1"/>
  <c r="C443" i="1"/>
  <c r="A444" i="1"/>
  <c r="C444" i="1"/>
  <c r="A445" i="1"/>
  <c r="C445" i="1"/>
  <c r="A446" i="1"/>
  <c r="C446" i="1"/>
  <c r="A447" i="1"/>
  <c r="C447" i="1"/>
  <c r="A448" i="1"/>
  <c r="C448" i="1"/>
  <c r="A449" i="1"/>
  <c r="C449" i="1"/>
  <c r="A450" i="1"/>
  <c r="C450" i="1"/>
  <c r="A451" i="1"/>
  <c r="C451" i="1"/>
  <c r="A452" i="1"/>
  <c r="C452" i="1"/>
  <c r="A453" i="1"/>
  <c r="C453" i="1"/>
  <c r="A454" i="1"/>
  <c r="C454" i="1"/>
  <c r="A455" i="1"/>
  <c r="C455" i="1"/>
  <c r="A456" i="1"/>
  <c r="C456" i="1"/>
  <c r="A457" i="1"/>
  <c r="C457" i="1"/>
  <c r="A458" i="1"/>
  <c r="C458" i="1"/>
  <c r="A459" i="1"/>
  <c r="C459" i="1"/>
  <c r="A460" i="1"/>
  <c r="C460" i="1"/>
  <c r="A461" i="1"/>
  <c r="C461" i="1"/>
  <c r="A462" i="1"/>
  <c r="C462" i="1"/>
  <c r="A463" i="1"/>
  <c r="C463" i="1"/>
  <c r="A464" i="1"/>
  <c r="C464" i="1"/>
  <c r="A465" i="1"/>
  <c r="C465" i="1"/>
  <c r="A466" i="1"/>
  <c r="C466" i="1"/>
  <c r="A467" i="1"/>
  <c r="C467" i="1"/>
  <c r="A468" i="1"/>
  <c r="C468" i="1"/>
  <c r="A469" i="1"/>
  <c r="C469" i="1"/>
  <c r="A470" i="1"/>
  <c r="C470" i="1"/>
  <c r="A471" i="1"/>
  <c r="C471" i="1"/>
  <c r="A472" i="1"/>
  <c r="C472" i="1"/>
  <c r="A473" i="1"/>
  <c r="C473" i="1"/>
  <c r="A474" i="1"/>
  <c r="C474" i="1"/>
  <c r="A475" i="1"/>
  <c r="C475" i="1"/>
  <c r="A476" i="1"/>
  <c r="C476" i="1"/>
  <c r="A477" i="1"/>
  <c r="C477" i="1"/>
  <c r="A478" i="1"/>
  <c r="C478" i="1"/>
  <c r="A479" i="1"/>
  <c r="C479" i="1"/>
  <c r="A480" i="1"/>
  <c r="C480" i="1"/>
  <c r="A481" i="1"/>
  <c r="C481" i="1"/>
  <c r="A482" i="1"/>
  <c r="C482" i="1"/>
  <c r="A483" i="1"/>
  <c r="C483" i="1"/>
  <c r="A484" i="1"/>
  <c r="C484" i="1"/>
  <c r="A485" i="1"/>
  <c r="C485" i="1"/>
  <c r="A486" i="1"/>
  <c r="C486" i="1"/>
  <c r="A487" i="1"/>
  <c r="C487" i="1"/>
  <c r="A488" i="1"/>
  <c r="C488" i="1"/>
  <c r="A489" i="1"/>
  <c r="C489" i="1"/>
  <c r="A490" i="1"/>
  <c r="C490" i="1"/>
  <c r="A491" i="1"/>
  <c r="C491" i="1"/>
  <c r="A492" i="1"/>
  <c r="C492" i="1"/>
  <c r="A493" i="1"/>
  <c r="C493" i="1"/>
  <c r="A494" i="1"/>
  <c r="C494" i="1"/>
  <c r="A495" i="1"/>
  <c r="C495" i="1"/>
  <c r="A496" i="1"/>
  <c r="C496" i="1"/>
  <c r="A497" i="1"/>
  <c r="C497" i="1"/>
  <c r="A498" i="1"/>
  <c r="C498" i="1"/>
  <c r="A499" i="1"/>
  <c r="C499" i="1"/>
  <c r="A500" i="1"/>
  <c r="C500" i="1"/>
  <c r="A501" i="1"/>
  <c r="C501" i="1"/>
  <c r="A502" i="1"/>
  <c r="C502" i="1"/>
  <c r="A503" i="1"/>
  <c r="C503" i="1"/>
  <c r="A504" i="1"/>
  <c r="C504" i="1"/>
  <c r="A505" i="1"/>
  <c r="C505" i="1"/>
  <c r="A506" i="1"/>
  <c r="C506" i="1"/>
  <c r="A507" i="1"/>
  <c r="C507" i="1"/>
  <c r="A508" i="1"/>
  <c r="C508" i="1"/>
  <c r="A509" i="1"/>
  <c r="C509" i="1"/>
  <c r="A510" i="1"/>
  <c r="C510" i="1"/>
  <c r="A511" i="1"/>
  <c r="C511" i="1"/>
  <c r="A512" i="1"/>
  <c r="C512" i="1"/>
  <c r="A513" i="1"/>
  <c r="C513" i="1"/>
  <c r="A514" i="1"/>
  <c r="C514" i="1"/>
  <c r="A515" i="1"/>
  <c r="C515" i="1"/>
  <c r="A516" i="1"/>
  <c r="C516" i="1"/>
  <c r="A517" i="1"/>
  <c r="C517" i="1"/>
  <c r="A518" i="1"/>
  <c r="C518" i="1"/>
  <c r="A519" i="1"/>
  <c r="C519" i="1"/>
  <c r="A520" i="1"/>
  <c r="C520" i="1"/>
  <c r="A521" i="1"/>
  <c r="C521" i="1"/>
  <c r="A522" i="1"/>
  <c r="C522" i="1"/>
  <c r="A523" i="1"/>
  <c r="C523" i="1"/>
  <c r="A524" i="1"/>
  <c r="C524" i="1"/>
  <c r="A525" i="1"/>
  <c r="C525" i="1"/>
  <c r="A526" i="1"/>
  <c r="C526" i="1"/>
  <c r="A527" i="1"/>
  <c r="C527" i="1"/>
  <c r="A528" i="1"/>
  <c r="C528" i="1"/>
  <c r="A529" i="1"/>
  <c r="C529" i="1"/>
  <c r="A530" i="1"/>
  <c r="C530" i="1"/>
  <c r="A531" i="1"/>
  <c r="C531" i="1"/>
  <c r="A532" i="1"/>
  <c r="C532" i="1"/>
  <c r="A533" i="1"/>
  <c r="C533" i="1"/>
  <c r="A534" i="1"/>
  <c r="C534" i="1"/>
  <c r="A535" i="1"/>
  <c r="C535" i="1"/>
  <c r="A536" i="1"/>
  <c r="C536" i="1"/>
  <c r="A537" i="1"/>
  <c r="C537" i="1"/>
  <c r="A538" i="1"/>
  <c r="C538" i="1"/>
  <c r="A539" i="1"/>
  <c r="C539" i="1"/>
  <c r="A540" i="1"/>
  <c r="C540" i="1"/>
  <c r="A541" i="1"/>
  <c r="C541" i="1"/>
  <c r="A542" i="1"/>
  <c r="C542" i="1"/>
  <c r="A543" i="1"/>
  <c r="C543" i="1"/>
  <c r="A544" i="1"/>
  <c r="C544" i="1"/>
  <c r="A545" i="1"/>
  <c r="C545" i="1"/>
  <c r="A546" i="1"/>
  <c r="C546" i="1"/>
  <c r="A547" i="1"/>
  <c r="C547" i="1"/>
  <c r="A548" i="1"/>
  <c r="C548" i="1"/>
  <c r="A549" i="1"/>
  <c r="C549" i="1"/>
  <c r="A550" i="1"/>
  <c r="C550" i="1"/>
  <c r="A551" i="1"/>
  <c r="C551" i="1"/>
  <c r="A552" i="1"/>
  <c r="C552" i="1"/>
  <c r="A553" i="1"/>
  <c r="C553" i="1"/>
  <c r="A554" i="1"/>
  <c r="C554" i="1"/>
  <c r="A555" i="1"/>
  <c r="C555" i="1"/>
  <c r="A556" i="1"/>
  <c r="C556" i="1"/>
  <c r="A557" i="1"/>
  <c r="C557" i="1"/>
  <c r="A558" i="1"/>
  <c r="C558" i="1"/>
  <c r="A559" i="1"/>
  <c r="C559" i="1"/>
  <c r="A560" i="1"/>
  <c r="C560" i="1"/>
  <c r="A561" i="1"/>
  <c r="C561" i="1"/>
  <c r="A562" i="1"/>
  <c r="C562" i="1"/>
  <c r="A563" i="1"/>
  <c r="C563" i="1"/>
  <c r="A564" i="1"/>
  <c r="C564" i="1"/>
  <c r="A565" i="1"/>
  <c r="C565" i="1"/>
  <c r="A566" i="1"/>
  <c r="C566" i="1"/>
  <c r="A567" i="1"/>
  <c r="C567" i="1"/>
  <c r="A568" i="1"/>
  <c r="C568" i="1"/>
  <c r="A569" i="1"/>
  <c r="C569" i="1"/>
  <c r="A570" i="1"/>
  <c r="C570" i="1"/>
  <c r="A571" i="1"/>
  <c r="C571" i="1"/>
  <c r="A572" i="1"/>
  <c r="C572" i="1"/>
  <c r="A573" i="1"/>
  <c r="C573" i="1"/>
  <c r="A574" i="1"/>
  <c r="C574" i="1"/>
  <c r="A575" i="1"/>
  <c r="C575" i="1"/>
  <c r="A576" i="1"/>
  <c r="C576" i="1"/>
  <c r="A577" i="1"/>
  <c r="C577" i="1"/>
  <c r="A578" i="1"/>
  <c r="C578" i="1"/>
  <c r="A579" i="1"/>
  <c r="C579" i="1"/>
  <c r="A580" i="1"/>
  <c r="C580" i="1"/>
  <c r="A581" i="1"/>
  <c r="C581" i="1"/>
  <c r="A582" i="1"/>
  <c r="C582" i="1"/>
  <c r="A583" i="1"/>
  <c r="C583" i="1"/>
  <c r="A584" i="1"/>
  <c r="C584" i="1"/>
  <c r="A585" i="1"/>
  <c r="C585" i="1"/>
  <c r="A586" i="1"/>
  <c r="C586" i="1"/>
  <c r="A587" i="1"/>
  <c r="C587" i="1"/>
  <c r="A588" i="1"/>
  <c r="C588" i="1"/>
  <c r="A589" i="1"/>
  <c r="C589" i="1"/>
  <c r="A590" i="1"/>
  <c r="C590" i="1"/>
  <c r="A591" i="1"/>
  <c r="C591" i="1"/>
  <c r="A592" i="1"/>
  <c r="C592" i="1"/>
  <c r="A593" i="1"/>
  <c r="C593" i="1"/>
  <c r="A594" i="1"/>
  <c r="C594" i="1"/>
  <c r="A595" i="1"/>
  <c r="C595" i="1"/>
  <c r="A596" i="1"/>
  <c r="C596" i="1"/>
  <c r="A597" i="1"/>
  <c r="C597" i="1"/>
  <c r="A598" i="1"/>
  <c r="C598" i="1"/>
  <c r="A599" i="1"/>
  <c r="C599" i="1"/>
  <c r="A600" i="1"/>
  <c r="C600" i="1"/>
  <c r="A601" i="1"/>
  <c r="C601" i="1"/>
  <c r="A602" i="1"/>
  <c r="C602" i="1"/>
  <c r="A603" i="1"/>
  <c r="C603" i="1"/>
  <c r="A604" i="1"/>
  <c r="C604" i="1"/>
  <c r="A605" i="1"/>
  <c r="C605" i="1"/>
  <c r="A606" i="1"/>
  <c r="C606" i="1"/>
  <c r="A607" i="1"/>
  <c r="C607" i="1"/>
  <c r="A608" i="1"/>
  <c r="C608" i="1"/>
  <c r="A609" i="1"/>
  <c r="C609" i="1"/>
  <c r="A610" i="1"/>
  <c r="C610" i="1"/>
  <c r="A611" i="1"/>
  <c r="C611" i="1"/>
  <c r="A612" i="1"/>
  <c r="C612" i="1"/>
  <c r="A613" i="1"/>
  <c r="C613" i="1"/>
  <c r="A614" i="1"/>
  <c r="C614" i="1"/>
  <c r="A615" i="1"/>
  <c r="C615" i="1"/>
  <c r="A616" i="1"/>
  <c r="C616" i="1"/>
  <c r="A617" i="1"/>
  <c r="C617" i="1"/>
  <c r="A618" i="1"/>
  <c r="C618" i="1"/>
  <c r="A619" i="1"/>
  <c r="C619" i="1"/>
  <c r="A620" i="1"/>
  <c r="C620" i="1"/>
  <c r="A621" i="1"/>
  <c r="C621" i="1"/>
  <c r="A622" i="1"/>
  <c r="C622" i="1"/>
  <c r="A623" i="1"/>
  <c r="C623" i="1"/>
  <c r="A624" i="1"/>
  <c r="C624" i="1"/>
  <c r="A625" i="1"/>
  <c r="C625" i="1"/>
  <c r="A626" i="1"/>
  <c r="C626" i="1"/>
  <c r="A627" i="1"/>
  <c r="C627" i="1"/>
  <c r="A628" i="1"/>
  <c r="C628" i="1"/>
  <c r="A629" i="1"/>
  <c r="C629" i="1"/>
  <c r="A630" i="1"/>
  <c r="C630" i="1"/>
  <c r="A631" i="1"/>
  <c r="C631" i="1"/>
  <c r="A632" i="1"/>
  <c r="C632" i="1"/>
  <c r="A633" i="1"/>
  <c r="C633" i="1"/>
  <c r="A634" i="1"/>
  <c r="C634" i="1"/>
  <c r="A635" i="1"/>
  <c r="C635" i="1"/>
  <c r="A636" i="1"/>
  <c r="C636" i="1"/>
  <c r="A637" i="1"/>
  <c r="C637" i="1"/>
  <c r="A638" i="1"/>
  <c r="C638" i="1"/>
  <c r="A639" i="1"/>
  <c r="C639" i="1"/>
  <c r="A640" i="1"/>
  <c r="C640" i="1"/>
  <c r="A641" i="1"/>
  <c r="C641" i="1"/>
  <c r="A642" i="1"/>
  <c r="C642" i="1"/>
  <c r="A643" i="1"/>
  <c r="C643" i="1"/>
  <c r="A644" i="1"/>
  <c r="C644" i="1"/>
  <c r="A645" i="1"/>
  <c r="C645" i="1"/>
  <c r="A646" i="1"/>
  <c r="C646" i="1"/>
  <c r="A647" i="1"/>
  <c r="C647" i="1"/>
  <c r="A648" i="1"/>
  <c r="C648" i="1"/>
  <c r="A649" i="1"/>
  <c r="C649" i="1"/>
  <c r="A650" i="1"/>
  <c r="C650" i="1"/>
  <c r="A651" i="1"/>
  <c r="C651" i="1"/>
  <c r="A652" i="1"/>
  <c r="C652" i="1"/>
  <c r="A653" i="1"/>
  <c r="C653" i="1"/>
  <c r="A654" i="1"/>
  <c r="C654" i="1"/>
  <c r="A655" i="1"/>
  <c r="C655" i="1"/>
  <c r="A656" i="1"/>
  <c r="C656" i="1"/>
  <c r="A657" i="1"/>
  <c r="C657" i="1"/>
  <c r="A658" i="1"/>
  <c r="C658" i="1"/>
  <c r="A659" i="1"/>
  <c r="C659" i="1"/>
  <c r="A660" i="1"/>
  <c r="C660" i="1"/>
  <c r="A661" i="1"/>
  <c r="C661" i="1"/>
  <c r="A662" i="1"/>
  <c r="C662" i="1"/>
  <c r="A663" i="1"/>
  <c r="C663" i="1"/>
  <c r="A664" i="1"/>
  <c r="C664" i="1"/>
  <c r="A665" i="1"/>
  <c r="C665" i="1"/>
  <c r="A666" i="1"/>
  <c r="C666" i="1"/>
  <c r="A667" i="1"/>
  <c r="C667" i="1"/>
  <c r="A668" i="1"/>
  <c r="C668" i="1"/>
  <c r="A669" i="1"/>
  <c r="C669" i="1"/>
  <c r="A670" i="1"/>
  <c r="C670" i="1"/>
  <c r="A671" i="1"/>
  <c r="C671" i="1"/>
  <c r="A672" i="1"/>
  <c r="C672" i="1"/>
  <c r="A673" i="1"/>
  <c r="C673" i="1"/>
  <c r="A674" i="1"/>
  <c r="C674" i="1"/>
  <c r="A675" i="1"/>
  <c r="C675" i="1"/>
  <c r="A676" i="1"/>
  <c r="C676" i="1"/>
  <c r="A677" i="1"/>
  <c r="C677" i="1"/>
  <c r="A678" i="1"/>
  <c r="C678" i="1"/>
  <c r="A679" i="1"/>
  <c r="C679" i="1"/>
  <c r="A680" i="1"/>
  <c r="C680" i="1"/>
  <c r="A681" i="1"/>
  <c r="C681" i="1"/>
  <c r="A682" i="1"/>
  <c r="C682" i="1"/>
  <c r="A683" i="1"/>
  <c r="C683" i="1"/>
  <c r="A684" i="1"/>
  <c r="C684" i="1"/>
  <c r="A685" i="1"/>
  <c r="C685" i="1"/>
  <c r="A686" i="1"/>
  <c r="C686" i="1"/>
  <c r="A687" i="1"/>
  <c r="C687" i="1"/>
  <c r="A688" i="1"/>
  <c r="C688" i="1"/>
  <c r="A689" i="1"/>
  <c r="C689" i="1"/>
  <c r="A690" i="1"/>
  <c r="C690" i="1"/>
  <c r="A691" i="1"/>
  <c r="C691" i="1"/>
  <c r="A692" i="1"/>
  <c r="C692" i="1"/>
  <c r="A693" i="1"/>
  <c r="C693" i="1"/>
  <c r="A694" i="1"/>
  <c r="C694" i="1"/>
  <c r="A695" i="1"/>
  <c r="C695" i="1"/>
  <c r="A696" i="1"/>
  <c r="C696" i="1"/>
  <c r="A697" i="1"/>
  <c r="C697" i="1"/>
  <c r="A698" i="1"/>
  <c r="C698" i="1"/>
  <c r="A699" i="1"/>
  <c r="C699" i="1"/>
  <c r="A700" i="1"/>
  <c r="C700" i="1"/>
  <c r="A701" i="1"/>
  <c r="C701" i="1"/>
  <c r="A702" i="1"/>
  <c r="C702" i="1"/>
  <c r="A703" i="1"/>
  <c r="C703" i="1"/>
  <c r="A704" i="1"/>
  <c r="C704" i="1"/>
  <c r="A705" i="1"/>
  <c r="C705" i="1"/>
  <c r="A706" i="1"/>
  <c r="C706" i="1"/>
  <c r="A707" i="1"/>
  <c r="C707" i="1"/>
  <c r="A708" i="1"/>
  <c r="C708" i="1"/>
  <c r="A709" i="1"/>
  <c r="C709" i="1"/>
  <c r="A710" i="1"/>
  <c r="C710" i="1"/>
  <c r="A711" i="1"/>
  <c r="C711" i="1"/>
  <c r="A712" i="1"/>
  <c r="C712" i="1"/>
  <c r="A713" i="1"/>
  <c r="C713" i="1"/>
  <c r="A714" i="1"/>
  <c r="C714" i="1"/>
  <c r="A715" i="1"/>
  <c r="C715" i="1"/>
  <c r="A716" i="1"/>
  <c r="C716" i="1"/>
  <c r="A717" i="1"/>
  <c r="C717" i="1"/>
  <c r="A718" i="1"/>
  <c r="C718" i="1"/>
  <c r="A719" i="1"/>
  <c r="C719" i="1"/>
  <c r="A720" i="1"/>
  <c r="C720" i="1"/>
  <c r="A721" i="1"/>
  <c r="C721" i="1"/>
  <c r="A722" i="1"/>
  <c r="C722" i="1"/>
  <c r="A723" i="1"/>
  <c r="C723" i="1"/>
  <c r="A724" i="1"/>
  <c r="C724" i="1"/>
  <c r="A725" i="1"/>
  <c r="C725" i="1"/>
  <c r="A726" i="1"/>
  <c r="C726" i="1"/>
  <c r="A727" i="1"/>
  <c r="C727" i="1"/>
  <c r="A728" i="1"/>
  <c r="C728" i="1"/>
  <c r="A729" i="1"/>
  <c r="C729" i="1"/>
  <c r="A730" i="1"/>
  <c r="C730" i="1"/>
  <c r="A731" i="1"/>
  <c r="C731" i="1"/>
  <c r="A732" i="1"/>
  <c r="C732" i="1"/>
  <c r="A733" i="1"/>
  <c r="C733" i="1"/>
  <c r="A734" i="1"/>
  <c r="C734" i="1"/>
  <c r="A735" i="1"/>
  <c r="C735" i="1"/>
  <c r="A736" i="1"/>
  <c r="C736" i="1"/>
  <c r="A737" i="1"/>
  <c r="C737" i="1"/>
  <c r="A738" i="1"/>
  <c r="C738" i="1"/>
  <c r="A739" i="1"/>
  <c r="C739" i="1"/>
  <c r="A740" i="1"/>
  <c r="C740" i="1"/>
  <c r="A741" i="1"/>
  <c r="C741" i="1"/>
  <c r="A742" i="1"/>
  <c r="C742" i="1"/>
  <c r="A743" i="1"/>
  <c r="C743" i="1"/>
  <c r="A744" i="1"/>
  <c r="C744" i="1"/>
  <c r="A745" i="1"/>
  <c r="C745" i="1"/>
  <c r="A746" i="1"/>
  <c r="C746" i="1"/>
  <c r="A747" i="1"/>
  <c r="C747" i="1"/>
  <c r="A748" i="1"/>
  <c r="C748" i="1"/>
  <c r="A749" i="1"/>
  <c r="C749" i="1"/>
  <c r="A750" i="1"/>
  <c r="C750" i="1"/>
  <c r="A751" i="1"/>
  <c r="C751" i="1"/>
  <c r="A752" i="1"/>
  <c r="C752" i="1"/>
  <c r="A753" i="1"/>
  <c r="C753" i="1"/>
  <c r="A754" i="1"/>
  <c r="C754" i="1"/>
  <c r="A755" i="1"/>
  <c r="C755" i="1"/>
  <c r="A756" i="1"/>
  <c r="C756" i="1"/>
  <c r="A757" i="1"/>
  <c r="C757" i="1"/>
  <c r="A758" i="1"/>
  <c r="C758" i="1"/>
  <c r="A759" i="1"/>
  <c r="C759" i="1"/>
  <c r="A760" i="1"/>
  <c r="C760" i="1"/>
  <c r="A761" i="1"/>
  <c r="C761" i="1"/>
  <c r="A762" i="1"/>
  <c r="C762" i="1"/>
  <c r="A763" i="1"/>
  <c r="C763" i="1"/>
  <c r="A764" i="1"/>
  <c r="C764" i="1"/>
  <c r="A765" i="1"/>
  <c r="C765" i="1"/>
  <c r="A766" i="1"/>
  <c r="C766" i="1"/>
  <c r="A767" i="1"/>
  <c r="C767" i="1"/>
  <c r="A768" i="1"/>
  <c r="C768" i="1"/>
  <c r="A769" i="1"/>
  <c r="C769" i="1"/>
  <c r="A770" i="1"/>
  <c r="C770" i="1"/>
  <c r="A771" i="1"/>
  <c r="C771" i="1"/>
  <c r="A772" i="1"/>
  <c r="C772" i="1"/>
  <c r="A773" i="1"/>
  <c r="C773" i="1"/>
  <c r="A774" i="1"/>
  <c r="C774" i="1"/>
  <c r="A775" i="1"/>
  <c r="C775" i="1"/>
  <c r="A776" i="1"/>
  <c r="C776" i="1"/>
  <c r="A777" i="1"/>
  <c r="C777" i="1"/>
  <c r="A778" i="1"/>
  <c r="C778" i="1"/>
  <c r="A779" i="1"/>
  <c r="C779" i="1"/>
  <c r="A780" i="1"/>
  <c r="C780" i="1"/>
  <c r="A781" i="1"/>
  <c r="C781" i="1"/>
  <c r="A782" i="1"/>
  <c r="C782" i="1"/>
  <c r="A783" i="1"/>
  <c r="C783" i="1"/>
  <c r="A784" i="1"/>
  <c r="C784" i="1"/>
  <c r="A785" i="1"/>
  <c r="C785" i="1"/>
  <c r="A786" i="1"/>
  <c r="C786" i="1"/>
  <c r="A787" i="1"/>
  <c r="C787" i="1"/>
  <c r="A788" i="1"/>
  <c r="C788" i="1"/>
  <c r="A789" i="1"/>
  <c r="C789" i="1"/>
  <c r="A790" i="1"/>
  <c r="C790" i="1"/>
  <c r="A791" i="1"/>
  <c r="C791" i="1"/>
  <c r="A792" i="1"/>
  <c r="C792" i="1"/>
  <c r="A793" i="1"/>
  <c r="C793" i="1"/>
  <c r="A794" i="1"/>
  <c r="C794" i="1"/>
  <c r="A795" i="1"/>
  <c r="C795" i="1"/>
  <c r="A796" i="1"/>
  <c r="C796" i="1"/>
  <c r="A797" i="1"/>
  <c r="C797" i="1"/>
  <c r="A798" i="1"/>
  <c r="C798" i="1"/>
  <c r="A799" i="1"/>
  <c r="C799" i="1"/>
  <c r="A800" i="1"/>
  <c r="C800" i="1"/>
  <c r="A801" i="1"/>
  <c r="C801" i="1"/>
  <c r="A802" i="1"/>
  <c r="C802" i="1"/>
  <c r="A803" i="1"/>
  <c r="C803" i="1"/>
  <c r="A804" i="1"/>
  <c r="C804" i="1"/>
  <c r="A805" i="1"/>
  <c r="C805" i="1"/>
  <c r="A806" i="1"/>
  <c r="C806" i="1"/>
  <c r="A807" i="1"/>
  <c r="C807" i="1"/>
  <c r="A808" i="1"/>
  <c r="C808" i="1"/>
  <c r="A809" i="1"/>
  <c r="C809" i="1"/>
  <c r="A810" i="1"/>
  <c r="C810" i="1"/>
  <c r="A811" i="1"/>
  <c r="C811" i="1"/>
  <c r="A812" i="1"/>
  <c r="C812" i="1"/>
  <c r="A813" i="1"/>
  <c r="C813" i="1"/>
  <c r="A814" i="1"/>
  <c r="C814" i="1"/>
  <c r="A815" i="1"/>
  <c r="C815" i="1"/>
  <c r="A816" i="1"/>
  <c r="C816" i="1"/>
  <c r="A817" i="1"/>
  <c r="C817" i="1"/>
  <c r="A818" i="1"/>
  <c r="C818" i="1"/>
  <c r="A819" i="1"/>
  <c r="C819" i="1"/>
  <c r="A820" i="1"/>
  <c r="C820" i="1"/>
  <c r="A821" i="1"/>
  <c r="C821" i="1"/>
  <c r="A822" i="1"/>
  <c r="C822" i="1"/>
  <c r="A823" i="1"/>
  <c r="C823" i="1"/>
  <c r="A824" i="1"/>
  <c r="C824" i="1"/>
  <c r="A825" i="1"/>
  <c r="C825" i="1"/>
  <c r="A826" i="1"/>
  <c r="C826" i="1"/>
  <c r="A827" i="1"/>
  <c r="C827" i="1"/>
  <c r="A828" i="1"/>
  <c r="C828" i="1"/>
  <c r="A829" i="1"/>
  <c r="C829" i="1"/>
  <c r="A830" i="1"/>
  <c r="C830" i="1"/>
  <c r="A831" i="1"/>
  <c r="C831" i="1"/>
  <c r="A832" i="1"/>
  <c r="C832" i="1"/>
  <c r="A833" i="1"/>
  <c r="C833" i="1"/>
  <c r="A834" i="1"/>
  <c r="C834" i="1"/>
  <c r="A835" i="1"/>
  <c r="C835" i="1"/>
  <c r="A836" i="1"/>
  <c r="C836" i="1"/>
  <c r="A837" i="1"/>
  <c r="C837" i="1"/>
  <c r="A838" i="1"/>
  <c r="C838" i="1"/>
  <c r="A839" i="1"/>
  <c r="C839" i="1"/>
  <c r="A840" i="1"/>
  <c r="C840" i="1"/>
  <c r="A841" i="1"/>
  <c r="C841" i="1"/>
  <c r="A842" i="1"/>
  <c r="C842" i="1"/>
  <c r="A843" i="1"/>
  <c r="C843" i="1"/>
  <c r="A844" i="1"/>
  <c r="C844" i="1"/>
  <c r="A845" i="1"/>
  <c r="C845" i="1"/>
  <c r="A846" i="1"/>
  <c r="C846" i="1"/>
  <c r="A847" i="1"/>
  <c r="C847" i="1"/>
  <c r="A848" i="1"/>
  <c r="C848" i="1"/>
  <c r="A849" i="1"/>
  <c r="C849" i="1"/>
  <c r="A850" i="1"/>
  <c r="C850" i="1"/>
  <c r="A851" i="1"/>
  <c r="C851" i="1"/>
  <c r="A852" i="1"/>
  <c r="C852" i="1"/>
  <c r="A853" i="1"/>
  <c r="C853" i="1"/>
  <c r="A854" i="1"/>
  <c r="C854" i="1"/>
  <c r="A855" i="1"/>
  <c r="C855" i="1"/>
  <c r="A856" i="1"/>
  <c r="C856" i="1"/>
  <c r="A857" i="1"/>
  <c r="C857" i="1"/>
  <c r="A858" i="1"/>
  <c r="C858" i="1"/>
  <c r="A859" i="1"/>
  <c r="C859" i="1"/>
  <c r="A860" i="1"/>
  <c r="C860" i="1"/>
  <c r="A861" i="1"/>
  <c r="C861" i="1"/>
  <c r="A862" i="1"/>
  <c r="C862" i="1"/>
  <c r="A863" i="1"/>
  <c r="C863" i="1"/>
  <c r="A864" i="1"/>
  <c r="C864" i="1"/>
  <c r="A865" i="1"/>
  <c r="C865" i="1"/>
  <c r="A866" i="1"/>
  <c r="C866" i="1"/>
  <c r="A867" i="1"/>
  <c r="C867" i="1"/>
  <c r="A868" i="1"/>
  <c r="C868" i="1"/>
  <c r="A869" i="1"/>
  <c r="C869" i="1"/>
  <c r="A870" i="1"/>
  <c r="C870" i="1"/>
  <c r="A871" i="1"/>
  <c r="C871" i="1"/>
  <c r="A872" i="1"/>
  <c r="C872" i="1"/>
  <c r="A873" i="1"/>
  <c r="C873" i="1"/>
  <c r="A874" i="1"/>
  <c r="C874" i="1"/>
  <c r="A875" i="1"/>
  <c r="C875" i="1"/>
  <c r="A876" i="1"/>
  <c r="C876" i="1"/>
  <c r="A877" i="1"/>
  <c r="C877" i="1"/>
  <c r="A878" i="1"/>
  <c r="C878" i="1"/>
  <c r="A879" i="1"/>
  <c r="C879" i="1"/>
  <c r="A880" i="1"/>
  <c r="C880" i="1"/>
  <c r="A881" i="1"/>
  <c r="C881" i="1"/>
  <c r="A882" i="1"/>
  <c r="C882" i="1"/>
  <c r="A883" i="1"/>
  <c r="C883" i="1"/>
  <c r="A884" i="1"/>
  <c r="C884" i="1"/>
  <c r="A885" i="1"/>
  <c r="C885" i="1"/>
  <c r="A886" i="1"/>
  <c r="C886" i="1"/>
  <c r="A887" i="1"/>
  <c r="C887" i="1"/>
  <c r="A888" i="1"/>
  <c r="C888" i="1"/>
  <c r="A889" i="1"/>
  <c r="C889" i="1"/>
  <c r="A890" i="1"/>
  <c r="C890" i="1"/>
  <c r="A891" i="1"/>
  <c r="C891" i="1"/>
  <c r="A892" i="1"/>
  <c r="C892" i="1"/>
  <c r="A893" i="1"/>
  <c r="C893" i="1"/>
  <c r="A894" i="1"/>
  <c r="C894" i="1"/>
  <c r="A895" i="1"/>
  <c r="C895" i="1"/>
  <c r="A896" i="1"/>
  <c r="C896" i="1"/>
  <c r="A897" i="1"/>
  <c r="C897" i="1"/>
  <c r="A898" i="1"/>
  <c r="C898" i="1"/>
  <c r="A899" i="1"/>
  <c r="C899" i="1"/>
  <c r="A900" i="1"/>
  <c r="C900" i="1"/>
  <c r="A901" i="1"/>
  <c r="C901" i="1"/>
  <c r="A902" i="1"/>
  <c r="C902" i="1"/>
  <c r="A903" i="1"/>
  <c r="C903" i="1"/>
  <c r="A904" i="1"/>
  <c r="C904" i="1"/>
  <c r="A905" i="1"/>
  <c r="C905" i="1"/>
  <c r="A906" i="1"/>
  <c r="C906" i="1"/>
  <c r="A907" i="1"/>
  <c r="C907" i="1"/>
  <c r="A908" i="1"/>
  <c r="C908" i="1"/>
  <c r="A909" i="1"/>
  <c r="C909" i="1"/>
  <c r="A910" i="1"/>
  <c r="C910" i="1"/>
  <c r="A911" i="1"/>
  <c r="C911" i="1"/>
  <c r="A912" i="1"/>
  <c r="C912" i="1"/>
  <c r="A913" i="1"/>
  <c r="C913" i="1"/>
  <c r="A914" i="1"/>
  <c r="C914" i="1"/>
  <c r="A915" i="1"/>
  <c r="C915" i="1"/>
  <c r="A916" i="1"/>
  <c r="C916" i="1"/>
  <c r="A917" i="1"/>
  <c r="C917" i="1"/>
  <c r="A918" i="1"/>
  <c r="C918" i="1"/>
  <c r="A919" i="1"/>
  <c r="C919" i="1"/>
  <c r="A920" i="1"/>
  <c r="C920" i="1"/>
  <c r="A921" i="1"/>
  <c r="C921" i="1"/>
  <c r="A922" i="1"/>
  <c r="C922" i="1"/>
  <c r="A923" i="1"/>
  <c r="C923" i="1"/>
  <c r="A924" i="1"/>
  <c r="C924" i="1"/>
  <c r="A925" i="1"/>
  <c r="C925" i="1"/>
  <c r="A926" i="1"/>
  <c r="C926" i="1"/>
  <c r="A927" i="1"/>
  <c r="C927" i="1"/>
  <c r="A928" i="1"/>
  <c r="C928" i="1"/>
  <c r="A929" i="1"/>
  <c r="C929" i="1"/>
  <c r="A930" i="1"/>
  <c r="C930" i="1"/>
  <c r="A931" i="1"/>
  <c r="C931" i="1"/>
  <c r="A932" i="1"/>
  <c r="C932" i="1"/>
  <c r="A933" i="1"/>
  <c r="C933" i="1"/>
  <c r="A934" i="1"/>
  <c r="C934" i="1"/>
  <c r="A935" i="1"/>
  <c r="C935" i="1"/>
  <c r="A936" i="1"/>
  <c r="C936" i="1"/>
  <c r="A937" i="1"/>
  <c r="C937" i="1"/>
  <c r="A938" i="1"/>
  <c r="C938" i="1"/>
  <c r="A939" i="1"/>
  <c r="C939" i="1"/>
  <c r="A940" i="1"/>
  <c r="C940" i="1"/>
  <c r="A941" i="1"/>
  <c r="C941" i="1"/>
  <c r="A942" i="1"/>
  <c r="C942" i="1"/>
  <c r="A943" i="1"/>
  <c r="C943" i="1"/>
  <c r="A944" i="1"/>
  <c r="C944" i="1"/>
  <c r="A945" i="1"/>
  <c r="C945" i="1"/>
  <c r="A946" i="1"/>
  <c r="C946" i="1"/>
  <c r="A947" i="1"/>
  <c r="C947" i="1"/>
  <c r="A948" i="1"/>
  <c r="C948" i="1"/>
  <c r="A949" i="1"/>
  <c r="C949" i="1"/>
  <c r="A950" i="1"/>
  <c r="C950" i="1"/>
  <c r="A951" i="1"/>
  <c r="C951" i="1"/>
  <c r="A952" i="1"/>
  <c r="C952" i="1"/>
  <c r="A953" i="1"/>
  <c r="C953" i="1"/>
  <c r="A954" i="1"/>
  <c r="C954" i="1"/>
  <c r="A955" i="1"/>
  <c r="C955" i="1"/>
  <c r="A956" i="1"/>
  <c r="C956" i="1"/>
  <c r="A957" i="1"/>
  <c r="C957" i="1"/>
  <c r="A958" i="1"/>
  <c r="C958" i="1"/>
  <c r="A959" i="1"/>
  <c r="C959" i="1"/>
  <c r="A960" i="1"/>
  <c r="C960" i="1"/>
  <c r="A961" i="1"/>
  <c r="C961" i="1"/>
  <c r="A962" i="1"/>
  <c r="C962" i="1"/>
  <c r="A963" i="1"/>
  <c r="C963" i="1"/>
  <c r="A964" i="1"/>
  <c r="C964" i="1"/>
  <c r="A965" i="1"/>
  <c r="C965" i="1"/>
  <c r="A966" i="1"/>
  <c r="C966" i="1"/>
  <c r="A967" i="1"/>
  <c r="C967" i="1"/>
  <c r="A968" i="1"/>
  <c r="C968" i="1"/>
  <c r="A969" i="1"/>
  <c r="C969" i="1"/>
  <c r="A970" i="1"/>
  <c r="C970" i="1"/>
  <c r="A971" i="1"/>
  <c r="C971" i="1"/>
  <c r="A972" i="1"/>
  <c r="C972" i="1"/>
  <c r="A973" i="1"/>
  <c r="C973" i="1"/>
  <c r="A974" i="1"/>
  <c r="C974" i="1"/>
  <c r="A975" i="1"/>
  <c r="C975" i="1"/>
  <c r="A976" i="1"/>
  <c r="C976" i="1"/>
  <c r="A977" i="1"/>
  <c r="C977" i="1"/>
  <c r="A978" i="1"/>
  <c r="C978" i="1"/>
  <c r="A979" i="1"/>
  <c r="C979" i="1"/>
  <c r="A980" i="1"/>
  <c r="C980" i="1"/>
  <c r="A981" i="1"/>
  <c r="C981" i="1"/>
  <c r="A982" i="1"/>
  <c r="C982" i="1"/>
  <c r="A983" i="1"/>
  <c r="C983" i="1"/>
  <c r="A984" i="1"/>
  <c r="C984" i="1"/>
  <c r="A985" i="1"/>
  <c r="C985" i="1"/>
  <c r="A986" i="1"/>
  <c r="C986" i="1"/>
  <c r="A987" i="1"/>
  <c r="C987" i="1"/>
  <c r="A988" i="1"/>
  <c r="C988" i="1"/>
  <c r="A989" i="1"/>
  <c r="C989" i="1"/>
  <c r="A990" i="1"/>
  <c r="C990" i="1"/>
  <c r="A991" i="1"/>
  <c r="C991" i="1"/>
  <c r="A992" i="1"/>
  <c r="C992" i="1"/>
  <c r="A993" i="1"/>
  <c r="C993" i="1"/>
  <c r="A994" i="1"/>
  <c r="C994" i="1"/>
  <c r="A995" i="1"/>
  <c r="C995" i="1"/>
  <c r="A996" i="1"/>
  <c r="C996" i="1"/>
  <c r="A997" i="1"/>
  <c r="C997" i="1"/>
  <c r="A998" i="1"/>
  <c r="C998" i="1"/>
  <c r="A999" i="1"/>
  <c r="C999" i="1"/>
  <c r="A1000" i="1"/>
  <c r="C1000" i="1"/>
  <c r="A1001" i="1"/>
  <c r="C1001" i="1"/>
  <c r="A1002" i="1"/>
  <c r="C1002" i="1"/>
  <c r="A1003" i="1"/>
  <c r="C1003" i="1"/>
  <c r="A1004" i="1"/>
  <c r="C1004" i="1"/>
  <c r="A1005" i="1"/>
  <c r="C1005" i="1"/>
  <c r="A1006" i="1"/>
  <c r="C1006" i="1"/>
  <c r="A1007" i="1"/>
  <c r="C1007" i="1"/>
  <c r="A1008" i="1"/>
  <c r="C1008" i="1"/>
  <c r="A1009" i="1"/>
  <c r="C1009" i="1"/>
  <c r="A1010" i="1"/>
  <c r="C1010" i="1"/>
  <c r="A1011" i="1"/>
  <c r="C1011" i="1"/>
  <c r="A1012" i="1"/>
  <c r="C1012" i="1"/>
  <c r="A1013" i="1"/>
  <c r="C1013" i="1"/>
  <c r="A1014" i="1"/>
  <c r="C1014" i="1"/>
  <c r="A1015" i="1"/>
  <c r="C1015" i="1"/>
  <c r="A1016" i="1"/>
  <c r="C1016" i="1"/>
  <c r="A1017" i="1"/>
  <c r="C1017" i="1"/>
  <c r="A1018" i="1"/>
  <c r="C1018" i="1"/>
  <c r="A1019" i="1"/>
  <c r="C1019" i="1"/>
  <c r="A1020" i="1"/>
  <c r="C1020" i="1"/>
  <c r="A1021" i="1"/>
  <c r="C1021" i="1"/>
  <c r="A1022" i="1"/>
  <c r="C1022" i="1"/>
  <c r="A1023" i="1"/>
  <c r="C1023" i="1"/>
  <c r="A1024" i="1"/>
  <c r="C1024" i="1"/>
  <c r="A1025" i="1"/>
  <c r="C1025" i="1"/>
  <c r="A1026" i="1"/>
  <c r="C1026" i="1"/>
  <c r="A1027" i="1"/>
  <c r="C1027" i="1"/>
  <c r="A1028" i="1"/>
  <c r="C1028" i="1"/>
  <c r="A1029" i="1"/>
  <c r="C1029" i="1"/>
  <c r="A1030" i="1"/>
  <c r="C1030" i="1"/>
  <c r="A1031" i="1"/>
  <c r="C1031" i="1"/>
  <c r="A1032" i="1"/>
  <c r="C1032" i="1"/>
  <c r="A1033" i="1"/>
  <c r="C1033" i="1"/>
  <c r="A1034" i="1"/>
  <c r="C1034" i="1"/>
  <c r="A1035" i="1"/>
  <c r="C1035" i="1"/>
  <c r="A1036" i="1"/>
  <c r="C1036" i="1"/>
  <c r="A1037" i="1"/>
  <c r="C1037" i="1"/>
  <c r="A1038" i="1"/>
  <c r="C1038" i="1"/>
  <c r="A1039" i="1"/>
  <c r="C1039" i="1"/>
  <c r="A1040" i="1"/>
  <c r="C1040" i="1"/>
  <c r="A1041" i="1"/>
  <c r="C1041" i="1"/>
  <c r="A1042" i="1"/>
  <c r="C1042" i="1"/>
  <c r="A1043" i="1"/>
  <c r="C1043" i="1"/>
  <c r="A1044" i="1"/>
  <c r="C1044" i="1"/>
  <c r="A1045" i="1"/>
  <c r="C1045" i="1"/>
  <c r="A1046" i="1"/>
  <c r="C1046" i="1"/>
  <c r="A1047" i="1"/>
  <c r="C1047" i="1"/>
  <c r="A1048" i="1"/>
  <c r="C1048" i="1"/>
  <c r="A1049" i="1"/>
  <c r="C1049" i="1"/>
  <c r="A1050" i="1"/>
  <c r="C1050" i="1"/>
  <c r="A1051" i="1"/>
  <c r="C1051" i="1"/>
  <c r="A1052" i="1"/>
  <c r="C1052" i="1"/>
  <c r="A1053" i="1"/>
  <c r="C1053" i="1"/>
  <c r="A1054" i="1"/>
  <c r="C1054" i="1"/>
  <c r="A1055" i="1"/>
  <c r="C1055" i="1"/>
  <c r="A1056" i="1"/>
  <c r="C1056" i="1"/>
  <c r="A1057" i="1"/>
  <c r="C1057" i="1"/>
  <c r="A1058" i="1"/>
  <c r="C1058" i="1"/>
  <c r="A1059" i="1"/>
  <c r="C1059" i="1"/>
  <c r="A1060" i="1"/>
  <c r="C1060" i="1"/>
  <c r="A1061" i="1"/>
  <c r="C1061" i="1"/>
  <c r="A1062" i="1"/>
  <c r="C1062" i="1"/>
  <c r="A1063" i="1"/>
  <c r="C1063" i="1"/>
  <c r="A1064" i="1"/>
  <c r="C1064" i="1"/>
  <c r="A1065" i="1"/>
  <c r="C1065" i="1"/>
  <c r="A1066" i="1"/>
  <c r="C1066" i="1"/>
  <c r="A1067" i="1"/>
  <c r="C1067" i="1"/>
  <c r="A1068" i="1"/>
  <c r="C1068" i="1"/>
  <c r="A1069" i="1"/>
  <c r="C1069" i="1"/>
  <c r="A1070" i="1"/>
  <c r="C1070" i="1"/>
  <c r="A1071" i="1"/>
  <c r="C1071" i="1"/>
  <c r="A1072" i="1"/>
  <c r="C1072" i="1"/>
  <c r="A1073" i="1"/>
  <c r="C1073" i="1"/>
  <c r="A1074" i="1"/>
  <c r="C1074" i="1"/>
  <c r="A1075" i="1"/>
  <c r="C1075" i="1"/>
  <c r="A1076" i="1"/>
  <c r="C1076" i="1"/>
  <c r="A1077" i="1"/>
  <c r="C1077" i="1"/>
  <c r="A1078" i="1"/>
  <c r="C1078" i="1"/>
  <c r="A1079" i="1"/>
  <c r="C1079" i="1"/>
  <c r="A1080" i="1"/>
  <c r="C1080" i="1"/>
  <c r="A1081" i="1"/>
  <c r="C1081" i="1"/>
  <c r="A1082" i="1"/>
  <c r="C1082" i="1"/>
  <c r="A1083" i="1"/>
  <c r="C1083" i="1"/>
  <c r="A1084" i="1"/>
  <c r="C1084" i="1"/>
  <c r="A1085" i="1"/>
  <c r="C1085" i="1"/>
  <c r="A1086" i="1"/>
  <c r="C1086" i="1"/>
  <c r="A1087" i="1"/>
  <c r="C1087" i="1"/>
  <c r="A1088" i="1"/>
  <c r="C1088" i="1"/>
  <c r="A1089" i="1"/>
  <c r="C1089" i="1"/>
  <c r="A1090" i="1"/>
  <c r="C1090" i="1"/>
  <c r="A1091" i="1"/>
  <c r="C1091" i="1"/>
  <c r="A1092" i="1"/>
  <c r="C1092" i="1"/>
  <c r="A1093" i="1"/>
  <c r="C1093" i="1"/>
  <c r="A1094" i="1"/>
  <c r="C1094" i="1"/>
  <c r="A1095" i="1"/>
  <c r="C1095" i="1"/>
  <c r="A1096" i="1"/>
  <c r="C1096" i="1"/>
  <c r="A1097" i="1"/>
  <c r="C1097" i="1"/>
  <c r="A1098" i="1"/>
  <c r="C1098" i="1"/>
  <c r="A1099" i="1"/>
  <c r="C1099" i="1"/>
  <c r="A1100" i="1"/>
  <c r="C1100" i="1"/>
  <c r="A1101" i="1"/>
  <c r="C1101" i="1"/>
  <c r="A1102" i="1"/>
  <c r="C1102" i="1"/>
  <c r="A1103" i="1"/>
  <c r="C1103" i="1"/>
  <c r="A1104" i="1"/>
  <c r="C1104" i="1"/>
  <c r="A1105" i="1"/>
  <c r="C1105" i="1"/>
  <c r="A1106" i="1"/>
  <c r="C1106" i="1"/>
  <c r="A1107" i="1"/>
  <c r="C1107" i="1"/>
  <c r="A1108" i="1"/>
  <c r="C1108" i="1"/>
  <c r="A1109" i="1"/>
  <c r="C1109" i="1"/>
  <c r="A1110" i="1"/>
  <c r="C1110" i="1"/>
  <c r="A1111" i="1"/>
  <c r="C1111" i="1"/>
  <c r="A1112" i="1"/>
  <c r="C1112" i="1"/>
  <c r="A1113" i="1"/>
  <c r="C1113" i="1"/>
  <c r="A1114" i="1"/>
  <c r="C1114" i="1"/>
  <c r="A1115" i="1"/>
  <c r="C1115" i="1"/>
  <c r="A1116" i="1"/>
  <c r="C1116" i="1"/>
  <c r="A1117" i="1"/>
  <c r="C1117" i="1"/>
  <c r="A1118" i="1"/>
  <c r="C1118" i="1"/>
  <c r="A1119" i="1"/>
  <c r="C1119" i="1"/>
  <c r="A1120" i="1"/>
  <c r="C1120" i="1"/>
  <c r="A1121" i="1"/>
  <c r="C1121" i="1"/>
  <c r="A1122" i="1"/>
  <c r="C1122" i="1"/>
  <c r="A1123" i="1"/>
  <c r="C1123" i="1"/>
  <c r="A1124" i="1"/>
  <c r="C1124" i="1"/>
  <c r="A1125" i="1"/>
  <c r="C1125" i="1"/>
  <c r="A1126" i="1"/>
  <c r="C1126" i="1"/>
  <c r="A1127" i="1"/>
  <c r="C1127" i="1"/>
  <c r="A1128" i="1"/>
  <c r="C1128" i="1"/>
  <c r="A1129" i="1"/>
  <c r="C1129" i="1"/>
  <c r="A1130" i="1"/>
  <c r="C1130" i="1"/>
  <c r="A1131" i="1"/>
  <c r="C1131" i="1"/>
  <c r="A1132" i="1"/>
  <c r="C1132" i="1"/>
  <c r="A1133" i="1"/>
  <c r="C1133" i="1"/>
  <c r="A1134" i="1"/>
  <c r="C1134" i="1"/>
  <c r="A1135" i="1"/>
  <c r="C1135" i="1"/>
  <c r="A1136" i="1"/>
  <c r="C1136" i="1"/>
  <c r="A1137" i="1"/>
  <c r="C1137" i="1"/>
  <c r="A1138" i="1"/>
  <c r="C1138" i="1"/>
  <c r="A1139" i="1"/>
  <c r="C1139" i="1"/>
  <c r="A1140" i="1"/>
  <c r="C1140" i="1"/>
  <c r="A1141" i="1"/>
  <c r="C1141" i="1"/>
  <c r="A1142" i="1"/>
  <c r="C1142" i="1"/>
  <c r="A1143" i="1"/>
  <c r="C1143" i="1"/>
  <c r="A1144" i="1"/>
  <c r="C1144" i="1"/>
  <c r="A1145" i="1"/>
  <c r="C1145" i="1"/>
  <c r="A1146" i="1"/>
  <c r="C1146" i="1"/>
  <c r="A1147" i="1"/>
  <c r="C1147" i="1"/>
  <c r="A1148" i="1"/>
  <c r="C1148" i="1"/>
  <c r="A1149" i="1"/>
  <c r="C1149" i="1"/>
  <c r="A1150" i="1"/>
  <c r="C1150" i="1"/>
  <c r="A1151" i="1"/>
  <c r="C1151" i="1"/>
  <c r="A1152" i="1"/>
  <c r="C1152" i="1"/>
  <c r="A1153" i="1"/>
  <c r="C1153" i="1"/>
  <c r="A1154" i="1"/>
  <c r="C1154" i="1"/>
  <c r="A1155" i="1"/>
  <c r="C1155" i="1"/>
  <c r="A1156" i="1"/>
  <c r="C1156" i="1"/>
  <c r="A1157" i="1"/>
  <c r="C1157" i="1"/>
  <c r="A1158" i="1"/>
  <c r="C1158" i="1"/>
  <c r="A1159" i="1"/>
  <c r="C1159" i="1"/>
  <c r="A1160" i="1"/>
  <c r="C1160" i="1"/>
  <c r="A1161" i="1"/>
  <c r="C1161" i="1"/>
  <c r="A1162" i="1"/>
  <c r="C1162" i="1"/>
  <c r="A1163" i="1"/>
  <c r="C1163" i="1"/>
  <c r="A1164" i="1"/>
  <c r="C1164" i="1"/>
  <c r="A1165" i="1"/>
  <c r="C1165" i="1"/>
  <c r="A1166" i="1"/>
  <c r="C1166" i="1"/>
  <c r="A1167" i="1"/>
  <c r="C1167" i="1"/>
  <c r="A1168" i="1"/>
  <c r="C1168" i="1"/>
  <c r="A1169" i="1"/>
  <c r="C1169" i="1"/>
  <c r="A1170" i="1"/>
  <c r="C1170" i="1"/>
  <c r="A1171" i="1"/>
  <c r="C1171" i="1"/>
  <c r="A1172" i="1"/>
  <c r="C1172" i="1"/>
  <c r="A1173" i="1"/>
  <c r="C1173" i="1"/>
  <c r="A1174" i="1"/>
  <c r="C1174" i="1"/>
  <c r="A1175" i="1"/>
  <c r="C1175" i="1"/>
  <c r="A1176" i="1"/>
  <c r="C1176" i="1"/>
  <c r="A1177" i="1"/>
  <c r="C1177" i="1"/>
  <c r="A1178" i="1"/>
  <c r="C1178" i="1"/>
  <c r="A1179" i="1"/>
  <c r="C1179" i="1"/>
  <c r="A1180" i="1"/>
  <c r="C1180" i="1"/>
  <c r="A1181" i="1"/>
  <c r="C1181" i="1"/>
  <c r="A1182" i="1"/>
  <c r="C1182" i="1"/>
  <c r="A1183" i="1"/>
  <c r="C1183" i="1"/>
  <c r="A1184" i="1"/>
  <c r="C1184" i="1"/>
  <c r="A1185" i="1"/>
  <c r="C1185" i="1"/>
  <c r="A1186" i="1"/>
  <c r="C1186" i="1"/>
  <c r="A1187" i="1"/>
  <c r="C1187" i="1"/>
  <c r="A1188" i="1"/>
  <c r="C1188" i="1"/>
  <c r="A1189" i="1"/>
  <c r="C1189" i="1"/>
  <c r="A1190" i="1"/>
  <c r="C1190" i="1"/>
  <c r="A1191" i="1"/>
  <c r="C1191" i="1"/>
  <c r="A1192" i="1"/>
  <c r="C1192" i="1"/>
  <c r="A1193" i="1"/>
  <c r="C1193" i="1"/>
  <c r="A1194" i="1"/>
  <c r="C1194" i="1"/>
  <c r="A1195" i="1"/>
  <c r="C1195" i="1"/>
  <c r="A1196" i="1"/>
  <c r="C1196" i="1"/>
  <c r="A1197" i="1"/>
  <c r="C1197" i="1"/>
  <c r="A1198" i="1"/>
  <c r="C1198" i="1"/>
  <c r="A1199" i="1"/>
  <c r="C1199" i="1"/>
  <c r="A1200" i="1"/>
  <c r="C1200" i="1"/>
  <c r="A1201" i="1"/>
  <c r="C1201" i="1"/>
  <c r="A1202" i="1"/>
  <c r="C1202" i="1"/>
  <c r="A1203" i="1"/>
  <c r="C1203" i="1"/>
  <c r="A1204" i="1"/>
  <c r="C1204" i="1"/>
  <c r="A1205" i="1"/>
  <c r="C1205" i="1"/>
  <c r="A1206" i="1"/>
  <c r="C1206" i="1"/>
  <c r="A1207" i="1"/>
  <c r="C1207" i="1"/>
  <c r="A1208" i="1"/>
  <c r="C1208" i="1"/>
  <c r="A1209" i="1"/>
  <c r="C1209" i="1"/>
  <c r="A1210" i="1"/>
  <c r="C1210" i="1"/>
  <c r="A1211" i="1"/>
  <c r="C1211" i="1"/>
  <c r="A1212" i="1"/>
  <c r="C1212" i="1"/>
  <c r="A1213" i="1"/>
  <c r="C1213" i="1"/>
  <c r="A1214" i="1"/>
  <c r="C1214" i="1"/>
  <c r="A1215" i="1"/>
  <c r="C1215" i="1"/>
  <c r="A1216" i="1"/>
  <c r="C1216" i="1"/>
  <c r="A1217" i="1"/>
  <c r="C1217" i="1"/>
  <c r="A1218" i="1"/>
  <c r="C1218" i="1"/>
  <c r="A1219" i="1"/>
  <c r="C1219" i="1"/>
  <c r="A1220" i="1"/>
  <c r="C1220" i="1"/>
  <c r="A1221" i="1"/>
  <c r="C1221" i="1"/>
  <c r="A1222" i="1"/>
  <c r="C1222" i="1"/>
  <c r="A1223" i="1"/>
  <c r="C1223" i="1"/>
  <c r="A1224" i="1"/>
  <c r="C1224" i="1"/>
  <c r="A1225" i="1"/>
  <c r="C1225" i="1"/>
  <c r="A1226" i="1"/>
  <c r="C1226" i="1"/>
  <c r="A1227" i="1"/>
  <c r="C1227" i="1"/>
  <c r="A1228" i="1"/>
  <c r="C1228" i="1"/>
  <c r="A1229" i="1"/>
  <c r="C1229" i="1"/>
  <c r="A1230" i="1"/>
  <c r="C1230" i="1"/>
  <c r="A1231" i="1"/>
  <c r="C1231" i="1"/>
  <c r="A1232" i="1"/>
  <c r="C1232" i="1"/>
  <c r="A1233" i="1"/>
  <c r="C1233" i="1"/>
  <c r="A1234" i="1"/>
  <c r="C1234" i="1"/>
  <c r="A1235" i="1"/>
  <c r="C1235" i="1"/>
  <c r="A1236" i="1"/>
  <c r="C1236" i="1"/>
  <c r="A1237" i="1"/>
  <c r="C1237" i="1"/>
  <c r="A1238" i="1"/>
  <c r="C1238" i="1"/>
  <c r="A1239" i="1"/>
  <c r="C1239" i="1"/>
  <c r="A1240" i="1"/>
  <c r="C1240" i="1"/>
  <c r="A1241" i="1"/>
  <c r="C1241" i="1"/>
  <c r="A1242" i="1"/>
  <c r="C1242" i="1"/>
  <c r="A1243" i="1"/>
  <c r="C1243" i="1"/>
  <c r="A1244" i="1"/>
  <c r="C1244" i="1"/>
  <c r="A1245" i="1"/>
  <c r="C1245" i="1"/>
  <c r="A1246" i="1"/>
  <c r="C1246" i="1"/>
  <c r="A1247" i="1"/>
  <c r="C1247" i="1"/>
  <c r="A1248" i="1"/>
  <c r="C1248" i="1"/>
  <c r="A1249" i="1"/>
  <c r="C1249" i="1"/>
  <c r="A1250" i="1"/>
  <c r="C1250" i="1"/>
  <c r="A1251" i="1"/>
  <c r="C1251" i="1"/>
  <c r="A1252" i="1"/>
  <c r="C1252" i="1"/>
  <c r="A1253" i="1"/>
  <c r="C1253" i="1"/>
  <c r="A1254" i="1"/>
  <c r="C1254" i="1"/>
  <c r="A1255" i="1"/>
  <c r="C1255" i="1"/>
  <c r="A1256" i="1"/>
  <c r="C1256" i="1"/>
  <c r="A1257" i="1"/>
  <c r="C1257" i="1"/>
  <c r="A1258" i="1"/>
  <c r="C1258" i="1"/>
  <c r="A1259" i="1"/>
  <c r="C1259" i="1"/>
  <c r="A1260" i="1"/>
  <c r="C1260" i="1"/>
  <c r="A1261" i="1"/>
  <c r="C1261" i="1"/>
  <c r="A1262" i="1"/>
  <c r="C1262" i="1"/>
  <c r="A1263" i="1"/>
  <c r="C1263" i="1"/>
  <c r="A1264" i="1"/>
  <c r="C1264" i="1"/>
  <c r="A1265" i="1"/>
  <c r="C1265" i="1"/>
  <c r="A1266" i="1"/>
  <c r="C1266" i="1"/>
  <c r="A1267" i="1"/>
  <c r="C1267" i="1"/>
  <c r="A1268" i="1"/>
  <c r="C1268" i="1"/>
  <c r="A1269" i="1"/>
  <c r="C1269" i="1"/>
  <c r="A1270" i="1"/>
  <c r="C1270" i="1"/>
  <c r="A1271" i="1"/>
  <c r="C1271" i="1"/>
  <c r="A1272" i="1"/>
  <c r="C1272" i="1"/>
  <c r="A1273" i="1"/>
  <c r="C1273" i="1"/>
  <c r="A1274" i="1"/>
  <c r="C1274" i="1"/>
  <c r="A1275" i="1"/>
  <c r="C1275" i="1"/>
  <c r="A1276" i="1"/>
  <c r="C1276" i="1"/>
  <c r="A1277" i="1"/>
  <c r="C1277" i="1"/>
  <c r="A1278" i="1"/>
  <c r="C1278" i="1"/>
  <c r="A1279" i="1"/>
  <c r="C1279" i="1"/>
  <c r="A1280" i="1"/>
  <c r="C1280" i="1"/>
  <c r="A1281" i="1"/>
  <c r="C1281" i="1"/>
  <c r="A1282" i="1"/>
  <c r="C1282" i="1"/>
  <c r="A1283" i="1"/>
  <c r="C1283" i="1"/>
  <c r="A1284" i="1"/>
  <c r="C1284" i="1"/>
  <c r="A1285" i="1"/>
  <c r="C1285" i="1"/>
  <c r="A1286" i="1"/>
  <c r="C1286" i="1"/>
  <c r="A1287" i="1"/>
  <c r="C1287" i="1"/>
  <c r="A1288" i="1"/>
  <c r="C1288" i="1"/>
  <c r="A1289" i="1"/>
  <c r="C1289" i="1"/>
  <c r="A1290" i="1"/>
  <c r="C1290" i="1"/>
  <c r="A1291" i="1"/>
  <c r="C1291" i="1"/>
  <c r="A1292" i="1"/>
  <c r="C1292" i="1"/>
  <c r="A1293" i="1"/>
  <c r="C1293" i="1"/>
  <c r="A1294" i="1"/>
  <c r="C1294" i="1"/>
  <c r="A1295" i="1"/>
  <c r="C1295" i="1"/>
  <c r="A1296" i="1"/>
  <c r="C1296" i="1"/>
  <c r="A1297" i="1"/>
  <c r="C1297" i="1"/>
  <c r="A1298" i="1"/>
  <c r="C1298" i="1"/>
  <c r="A1299" i="1"/>
  <c r="C1299" i="1"/>
  <c r="A1300" i="1"/>
  <c r="C1300" i="1"/>
  <c r="A1301" i="1"/>
  <c r="C1301" i="1"/>
  <c r="A1302" i="1"/>
  <c r="C1302" i="1"/>
  <c r="A1303" i="1"/>
  <c r="C1303" i="1"/>
  <c r="A1304" i="1"/>
  <c r="C1304" i="1"/>
  <c r="A1305" i="1"/>
  <c r="C1305" i="1"/>
  <c r="A1306" i="1"/>
  <c r="C1306" i="1"/>
  <c r="A1307" i="1"/>
  <c r="C1307" i="1"/>
  <c r="A1308" i="1"/>
  <c r="C1308" i="1"/>
  <c r="A1309" i="1"/>
  <c r="C1309" i="1"/>
  <c r="A1310" i="1"/>
  <c r="C1310" i="1"/>
  <c r="A1311" i="1"/>
  <c r="C1311" i="1"/>
  <c r="A1312" i="1"/>
  <c r="C1312" i="1"/>
  <c r="A1313" i="1"/>
  <c r="C1313" i="1"/>
  <c r="A1314" i="1"/>
  <c r="C1314" i="1"/>
  <c r="A1315" i="1"/>
  <c r="C1315" i="1"/>
  <c r="A1316" i="1"/>
  <c r="C1316" i="1"/>
  <c r="A1317" i="1"/>
  <c r="C1317" i="1"/>
  <c r="A1318" i="1"/>
  <c r="C1318" i="1"/>
  <c r="A1319" i="1"/>
  <c r="C1319" i="1"/>
  <c r="A1320" i="1"/>
  <c r="C1320" i="1"/>
  <c r="A1321" i="1"/>
  <c r="C1321" i="1"/>
  <c r="A1322" i="1"/>
  <c r="C1322" i="1"/>
  <c r="A1323" i="1"/>
  <c r="C1323" i="1"/>
  <c r="A1324" i="1"/>
  <c r="C1324" i="1"/>
  <c r="A1325" i="1"/>
  <c r="C1325" i="1"/>
  <c r="A1326" i="1"/>
  <c r="C1326" i="1"/>
  <c r="A1327" i="1"/>
  <c r="C1327" i="1"/>
  <c r="A1328" i="1"/>
  <c r="C1328" i="1"/>
  <c r="A1329" i="1"/>
  <c r="C1329" i="1"/>
  <c r="A1330" i="1"/>
  <c r="C1330" i="1"/>
  <c r="A1331" i="1"/>
  <c r="C1331" i="1"/>
  <c r="A1332" i="1"/>
  <c r="C1332" i="1"/>
  <c r="A1333" i="1"/>
  <c r="C1333" i="1"/>
  <c r="A1334" i="1"/>
  <c r="C1334" i="1"/>
  <c r="A1335" i="1"/>
  <c r="C1335" i="1"/>
  <c r="A1336" i="1"/>
  <c r="C1336" i="1"/>
  <c r="A1337" i="1"/>
  <c r="C1337" i="1"/>
  <c r="A1338" i="1"/>
  <c r="C1338" i="1"/>
  <c r="A1339" i="1"/>
  <c r="C1339" i="1"/>
  <c r="A1340" i="1"/>
  <c r="C1340" i="1"/>
  <c r="A1341" i="1"/>
  <c r="C1341" i="1"/>
  <c r="A1342" i="1"/>
  <c r="C1342" i="1"/>
  <c r="A1343" i="1"/>
  <c r="C1343" i="1"/>
  <c r="A1344" i="1"/>
  <c r="C1344" i="1"/>
  <c r="A1345" i="1"/>
  <c r="C1345" i="1"/>
  <c r="A1346" i="1"/>
  <c r="C1346" i="1"/>
  <c r="A1347" i="1"/>
  <c r="C1347" i="1"/>
  <c r="A1348" i="1"/>
  <c r="C1348" i="1"/>
  <c r="A1349" i="1"/>
  <c r="C1349" i="1"/>
  <c r="A1350" i="1"/>
  <c r="C1350" i="1"/>
  <c r="A1351" i="1"/>
  <c r="C1351" i="1"/>
  <c r="A1352" i="1"/>
  <c r="C1352" i="1"/>
  <c r="A1353" i="1"/>
  <c r="C1353" i="1"/>
  <c r="A1354" i="1"/>
  <c r="C1354" i="1"/>
  <c r="A1355" i="1"/>
  <c r="C1355" i="1"/>
  <c r="A1356" i="1"/>
  <c r="C1356" i="1"/>
  <c r="A1357" i="1"/>
  <c r="C1357" i="1"/>
  <c r="A1358" i="1"/>
  <c r="C1358" i="1"/>
  <c r="A1359" i="1"/>
  <c r="C1359" i="1"/>
  <c r="A1360" i="1"/>
  <c r="C1360" i="1"/>
  <c r="A1361" i="1"/>
  <c r="C1361" i="1"/>
  <c r="A1362" i="1"/>
  <c r="C1362" i="1"/>
  <c r="A1363" i="1"/>
  <c r="C1363" i="1"/>
  <c r="A1364" i="1"/>
  <c r="C1364" i="1"/>
  <c r="A1365" i="1"/>
  <c r="C1365" i="1"/>
  <c r="A1366" i="1"/>
  <c r="C1366" i="1"/>
  <c r="A1367" i="1"/>
  <c r="C1367" i="1"/>
  <c r="A1368" i="1"/>
  <c r="C1368" i="1"/>
  <c r="A1369" i="1"/>
  <c r="C1369" i="1"/>
  <c r="A1370" i="1"/>
  <c r="C1370" i="1"/>
  <c r="A1371" i="1"/>
  <c r="C1371" i="1"/>
  <c r="A1372" i="1"/>
  <c r="C1372" i="1"/>
  <c r="A1373" i="1"/>
  <c r="C1373" i="1"/>
  <c r="A1374" i="1"/>
  <c r="C1374" i="1"/>
  <c r="A1375" i="1"/>
  <c r="C1375" i="1"/>
  <c r="A1376" i="1"/>
  <c r="C1376" i="1"/>
  <c r="A1377" i="1"/>
  <c r="C1377" i="1"/>
  <c r="A1378" i="1"/>
  <c r="C1378" i="1"/>
  <c r="A1379" i="1"/>
  <c r="C1379" i="1"/>
  <c r="A1380" i="1"/>
  <c r="C1380" i="1"/>
  <c r="A1381" i="1"/>
  <c r="C1381" i="1"/>
  <c r="A1382" i="1"/>
  <c r="C1382" i="1"/>
  <c r="A1383" i="1"/>
  <c r="C1383" i="1"/>
  <c r="A1384" i="1"/>
  <c r="C1384" i="1"/>
  <c r="A1385" i="1"/>
  <c r="C1385" i="1"/>
  <c r="A1386" i="1"/>
  <c r="C1386" i="1"/>
  <c r="A1387" i="1"/>
  <c r="C1387" i="1"/>
  <c r="A1388" i="1"/>
  <c r="C1388" i="1"/>
  <c r="A1389" i="1"/>
  <c r="C1389" i="1"/>
  <c r="A1390" i="1"/>
  <c r="C1390" i="1"/>
  <c r="A1391" i="1"/>
  <c r="C1391" i="1"/>
  <c r="A1392" i="1"/>
  <c r="C1392" i="1"/>
  <c r="A1393" i="1"/>
  <c r="C1393" i="1"/>
  <c r="A1394" i="1"/>
  <c r="C1394" i="1"/>
  <c r="A1395" i="1"/>
  <c r="C1395" i="1"/>
  <c r="A1396" i="1"/>
  <c r="C1396" i="1"/>
  <c r="A1397" i="1"/>
  <c r="C1397" i="1"/>
  <c r="A1398" i="1"/>
  <c r="C1398" i="1"/>
  <c r="A1399" i="1"/>
  <c r="C1399" i="1"/>
  <c r="A1400" i="1"/>
  <c r="C1400" i="1"/>
  <c r="A1401" i="1"/>
  <c r="C1401" i="1"/>
  <c r="A1402" i="1"/>
  <c r="C1402" i="1"/>
  <c r="A1403" i="1"/>
  <c r="C1403" i="1"/>
  <c r="A1404" i="1"/>
  <c r="C1404" i="1"/>
  <c r="A1405" i="1"/>
  <c r="C1405" i="1"/>
  <c r="A1406" i="1"/>
  <c r="C1406" i="1"/>
  <c r="A1407" i="1"/>
  <c r="C1407" i="1"/>
  <c r="A1408" i="1"/>
  <c r="C1408" i="1"/>
  <c r="A1409" i="1"/>
  <c r="C1409" i="1"/>
  <c r="A1410" i="1"/>
  <c r="C1410" i="1"/>
  <c r="A1411" i="1"/>
  <c r="C1411" i="1"/>
  <c r="A1412" i="1"/>
  <c r="C1412" i="1"/>
  <c r="A1413" i="1"/>
  <c r="C1413" i="1"/>
  <c r="A1414" i="1"/>
  <c r="C1414" i="1"/>
  <c r="A1415" i="1"/>
  <c r="C1415" i="1"/>
  <c r="A1416" i="1"/>
  <c r="C1416" i="1"/>
  <c r="A1417" i="1"/>
  <c r="C1417" i="1"/>
  <c r="A1418" i="1"/>
  <c r="C1418" i="1"/>
  <c r="A1419" i="1"/>
  <c r="C1419" i="1"/>
  <c r="A1420" i="1"/>
  <c r="C1420" i="1"/>
  <c r="A1421" i="1"/>
  <c r="C1421" i="1"/>
  <c r="A1422" i="1"/>
  <c r="C1422" i="1"/>
  <c r="A1423" i="1"/>
  <c r="C1423" i="1"/>
  <c r="A1424" i="1"/>
  <c r="C1424" i="1"/>
  <c r="A1425" i="1"/>
  <c r="C1425" i="1"/>
  <c r="A1426" i="1"/>
  <c r="C1426" i="1"/>
  <c r="A1427" i="1"/>
  <c r="C1427" i="1"/>
  <c r="A1428" i="1"/>
  <c r="C1428" i="1"/>
  <c r="A1429" i="1"/>
  <c r="C1429" i="1"/>
  <c r="A1430" i="1"/>
  <c r="C1430" i="1"/>
  <c r="A1431" i="1"/>
  <c r="C1431" i="1"/>
  <c r="A1432" i="1"/>
  <c r="C1432" i="1"/>
  <c r="A1433" i="1"/>
  <c r="C1433" i="1"/>
  <c r="A1434" i="1"/>
  <c r="C1434" i="1"/>
  <c r="A1435" i="1"/>
  <c r="C1435" i="1"/>
  <c r="A1436" i="1"/>
  <c r="C1436" i="1"/>
  <c r="A1437" i="1"/>
  <c r="C1437" i="1"/>
  <c r="A1438" i="1"/>
  <c r="C1438" i="1"/>
  <c r="A1439" i="1"/>
  <c r="C1439" i="1"/>
  <c r="A1440" i="1"/>
  <c r="C1440" i="1"/>
  <c r="A1441" i="1"/>
  <c r="C1441" i="1"/>
  <c r="A1442" i="1"/>
  <c r="C1442" i="1"/>
  <c r="A1443" i="1"/>
  <c r="C1443" i="1"/>
  <c r="A1444" i="1"/>
  <c r="C1444" i="1"/>
  <c r="A1445" i="1"/>
  <c r="C1445" i="1"/>
  <c r="A1446" i="1"/>
  <c r="C1446" i="1"/>
  <c r="A1447" i="1"/>
  <c r="C1447" i="1"/>
  <c r="A1448" i="1"/>
  <c r="C1448" i="1"/>
  <c r="A1449" i="1"/>
  <c r="C1449" i="1"/>
  <c r="A1450" i="1"/>
  <c r="C1450" i="1"/>
  <c r="A1451" i="1"/>
  <c r="C1451" i="1"/>
  <c r="A1452" i="1"/>
  <c r="C1452" i="1"/>
  <c r="A1453" i="1"/>
  <c r="C1453" i="1"/>
  <c r="A1454" i="1"/>
  <c r="C1454" i="1"/>
  <c r="A1455" i="1"/>
  <c r="C1455" i="1"/>
  <c r="A1456" i="1"/>
  <c r="C1456" i="1"/>
  <c r="A1457" i="1"/>
  <c r="C1457" i="1"/>
  <c r="A1458" i="1"/>
  <c r="C1458" i="1"/>
  <c r="A1459" i="1"/>
  <c r="C1459" i="1"/>
  <c r="A1460" i="1"/>
  <c r="C1460" i="1"/>
  <c r="A1461" i="1"/>
  <c r="C1461" i="1"/>
  <c r="A1462" i="1"/>
  <c r="C1462" i="1"/>
  <c r="A1463" i="1"/>
  <c r="C1463" i="1"/>
  <c r="A1464" i="1"/>
  <c r="C1464" i="1"/>
  <c r="A1465" i="1"/>
  <c r="C1465" i="1"/>
  <c r="A1466" i="1"/>
  <c r="C1466" i="1"/>
  <c r="A1467" i="1"/>
  <c r="C1467" i="1"/>
  <c r="A1468" i="1"/>
  <c r="C1468" i="1"/>
  <c r="A1469" i="1"/>
  <c r="C1469" i="1"/>
  <c r="A1470" i="1"/>
  <c r="C1470" i="1"/>
  <c r="A1471" i="1"/>
  <c r="C1471" i="1"/>
  <c r="A1472" i="1"/>
  <c r="C1472" i="1"/>
  <c r="A1473" i="1"/>
  <c r="C1473" i="1"/>
  <c r="A1474" i="1"/>
  <c r="C1474" i="1"/>
  <c r="A1475" i="1"/>
  <c r="C1475" i="1"/>
  <c r="A1476" i="1"/>
  <c r="C1476" i="1"/>
  <c r="A1477" i="1"/>
  <c r="C1477" i="1"/>
  <c r="A1478" i="1"/>
  <c r="C1478" i="1"/>
  <c r="A1479" i="1"/>
  <c r="C1479" i="1"/>
  <c r="A1480" i="1"/>
  <c r="C1480" i="1"/>
  <c r="A1481" i="1"/>
  <c r="C1481" i="1"/>
  <c r="A1482" i="1"/>
  <c r="C1482" i="1"/>
  <c r="A1483" i="1"/>
  <c r="C1483" i="1"/>
  <c r="A1484" i="1"/>
  <c r="C1484" i="1"/>
  <c r="A1485" i="1"/>
  <c r="C1485" i="1"/>
  <c r="A1486" i="1"/>
  <c r="C1486" i="1"/>
  <c r="A1487" i="1"/>
  <c r="C1487" i="1"/>
  <c r="A1488" i="1"/>
  <c r="C1488" i="1"/>
  <c r="A1489" i="1"/>
  <c r="C1489" i="1"/>
  <c r="A1490" i="1"/>
  <c r="C1490" i="1"/>
  <c r="A1491" i="1"/>
  <c r="C1491" i="1"/>
  <c r="A1492" i="1"/>
  <c r="C1492" i="1"/>
  <c r="A1493" i="1"/>
  <c r="C1493" i="1"/>
  <c r="A1494" i="1"/>
  <c r="C1494" i="1"/>
  <c r="A1495" i="1"/>
  <c r="C1495" i="1"/>
  <c r="A1496" i="1"/>
  <c r="C1496" i="1"/>
  <c r="A1497" i="1"/>
  <c r="C1497" i="1"/>
  <c r="A1498" i="1"/>
  <c r="C1498" i="1"/>
  <c r="A1499" i="1"/>
  <c r="C1499" i="1"/>
  <c r="A1500" i="1"/>
  <c r="C1500" i="1"/>
  <c r="A1501" i="1"/>
  <c r="C1501" i="1"/>
  <c r="A1502" i="1"/>
  <c r="C1502" i="1"/>
  <c r="A1503" i="1"/>
  <c r="C1503" i="1"/>
  <c r="A1504" i="1"/>
  <c r="C1504" i="1"/>
  <c r="A1505" i="1"/>
  <c r="C1505" i="1"/>
  <c r="A1506" i="1"/>
  <c r="C1506" i="1"/>
  <c r="A1507" i="1"/>
  <c r="C1507" i="1"/>
  <c r="A1508" i="1"/>
  <c r="C1508" i="1"/>
  <c r="A1509" i="1"/>
  <c r="C1509" i="1"/>
  <c r="A1510" i="1"/>
  <c r="C1510" i="1"/>
  <c r="A1511" i="1"/>
  <c r="C1511" i="1"/>
  <c r="A1512" i="1"/>
  <c r="C1512" i="1"/>
  <c r="A1513" i="1"/>
  <c r="C1513" i="1"/>
  <c r="A1514" i="1"/>
  <c r="C1514" i="1"/>
  <c r="A1515" i="1"/>
  <c r="C1515" i="1"/>
  <c r="A1516" i="1"/>
  <c r="C1516" i="1"/>
  <c r="A1517" i="1"/>
  <c r="C1517" i="1"/>
  <c r="A1518" i="1"/>
  <c r="C1518" i="1"/>
  <c r="A1519" i="1"/>
  <c r="C1519" i="1"/>
  <c r="A1520" i="1"/>
  <c r="C1520" i="1"/>
  <c r="A1521" i="1"/>
  <c r="C1521" i="1"/>
  <c r="A1522" i="1"/>
  <c r="C1522" i="1"/>
  <c r="A1523" i="1"/>
  <c r="C1523" i="1"/>
  <c r="A1524" i="1"/>
  <c r="C1524" i="1"/>
  <c r="A1525" i="1"/>
  <c r="C1525" i="1"/>
  <c r="A1526" i="1"/>
  <c r="C1526" i="1"/>
  <c r="A1527" i="1"/>
  <c r="C1527" i="1"/>
  <c r="A1528" i="1"/>
  <c r="C1528" i="1"/>
  <c r="A1529" i="1"/>
  <c r="C1529" i="1"/>
  <c r="A1530" i="1"/>
  <c r="C1530" i="1"/>
  <c r="A1531" i="1"/>
  <c r="C1531" i="1"/>
  <c r="A1532" i="1"/>
  <c r="C1532" i="1"/>
  <c r="A1533" i="1"/>
  <c r="C1533" i="1"/>
  <c r="A1534" i="1"/>
  <c r="C1534" i="1"/>
  <c r="A1535" i="1"/>
  <c r="C1535" i="1"/>
  <c r="A1536" i="1"/>
  <c r="C1536" i="1"/>
  <c r="A1537" i="1"/>
  <c r="C1537" i="1"/>
  <c r="A1538" i="1"/>
  <c r="C1538" i="1"/>
  <c r="A1539" i="1"/>
  <c r="C1539" i="1"/>
  <c r="A1540" i="1"/>
  <c r="C1540" i="1"/>
  <c r="A1541" i="1"/>
  <c r="C1541" i="1"/>
  <c r="A1542" i="1"/>
  <c r="C1542" i="1"/>
  <c r="A1543" i="1"/>
  <c r="C1543" i="1"/>
  <c r="A1544" i="1"/>
  <c r="C1544" i="1"/>
  <c r="A1545" i="1"/>
  <c r="C1545" i="1"/>
  <c r="A1546" i="1"/>
  <c r="C1546" i="1"/>
  <c r="A1547" i="1"/>
  <c r="C1547" i="1"/>
  <c r="A1548" i="1"/>
  <c r="C1548" i="1"/>
  <c r="A1549" i="1"/>
  <c r="C1549" i="1"/>
  <c r="A1550" i="1"/>
  <c r="C1550" i="1"/>
  <c r="A1551" i="1"/>
  <c r="C1551" i="1"/>
  <c r="A1552" i="1"/>
  <c r="C1552" i="1"/>
  <c r="A1553" i="1"/>
  <c r="C1553" i="1"/>
  <c r="A1554" i="1"/>
  <c r="C1554" i="1"/>
  <c r="A1555" i="1"/>
  <c r="C1555" i="1"/>
  <c r="A1556" i="1"/>
  <c r="C1556" i="1"/>
  <c r="A1557" i="1"/>
  <c r="C1557" i="1"/>
  <c r="A1558" i="1"/>
  <c r="C1558" i="1"/>
  <c r="A1559" i="1"/>
  <c r="C1559" i="1"/>
  <c r="A1560" i="1"/>
  <c r="C1560" i="1"/>
  <c r="A1561" i="1"/>
  <c r="C1561" i="1"/>
  <c r="A1562" i="1"/>
  <c r="C1562" i="1"/>
  <c r="A1563" i="1"/>
  <c r="C1563" i="1"/>
  <c r="A1564" i="1"/>
  <c r="C1564" i="1"/>
  <c r="A1565" i="1"/>
  <c r="C1565" i="1"/>
  <c r="A1566" i="1"/>
  <c r="C1566" i="1"/>
  <c r="A1567" i="1"/>
  <c r="C1567" i="1"/>
  <c r="A1568" i="1"/>
  <c r="C1568" i="1"/>
  <c r="A1569" i="1"/>
  <c r="C1569" i="1"/>
  <c r="A1570" i="1"/>
  <c r="C1570" i="1"/>
  <c r="A1571" i="1"/>
  <c r="C1571" i="1"/>
  <c r="A1572" i="1"/>
  <c r="C1572" i="1"/>
  <c r="A1573" i="1"/>
  <c r="C1573" i="1"/>
  <c r="A1574" i="1"/>
  <c r="C1574" i="1"/>
  <c r="A1575" i="1"/>
  <c r="C1575" i="1"/>
  <c r="A1576" i="1"/>
  <c r="C1576" i="1"/>
  <c r="A1577" i="1"/>
  <c r="C1577" i="1"/>
  <c r="A1578" i="1"/>
  <c r="C1578" i="1"/>
  <c r="A1579" i="1"/>
  <c r="C1579" i="1"/>
  <c r="A1580" i="1"/>
  <c r="C1580" i="1"/>
  <c r="A1581" i="1"/>
  <c r="C1581" i="1"/>
  <c r="A1582" i="1"/>
  <c r="C1582" i="1"/>
  <c r="A1583" i="1"/>
  <c r="C1583" i="1"/>
  <c r="A1584" i="1"/>
  <c r="C1584" i="1"/>
  <c r="A1585" i="1"/>
  <c r="C1585" i="1"/>
  <c r="A1586" i="1"/>
  <c r="C1586" i="1"/>
  <c r="A1587" i="1"/>
  <c r="C1587" i="1"/>
  <c r="A1588" i="1"/>
  <c r="C1588" i="1"/>
  <c r="A1589" i="1"/>
  <c r="C1589" i="1"/>
  <c r="A1590" i="1"/>
  <c r="C1590" i="1"/>
  <c r="A1591" i="1"/>
  <c r="C1591" i="1"/>
  <c r="A1592" i="1"/>
  <c r="C1592" i="1"/>
  <c r="A1593" i="1"/>
  <c r="C1593" i="1"/>
  <c r="A1594" i="1"/>
  <c r="C1594" i="1"/>
  <c r="A1595" i="1"/>
  <c r="C1595" i="1"/>
  <c r="A1596" i="1"/>
  <c r="C1596" i="1"/>
  <c r="A1597" i="1"/>
  <c r="C1597" i="1"/>
  <c r="A1598" i="1"/>
  <c r="C1598" i="1"/>
  <c r="A1599" i="1"/>
  <c r="C1599" i="1"/>
  <c r="A1600" i="1"/>
  <c r="C1600" i="1"/>
  <c r="A1601" i="1"/>
  <c r="C1601" i="1"/>
  <c r="A1602" i="1"/>
  <c r="C1602" i="1"/>
  <c r="A1603" i="1"/>
  <c r="C1603" i="1"/>
  <c r="A1604" i="1"/>
  <c r="C1604" i="1"/>
  <c r="A1605" i="1"/>
  <c r="C1605" i="1"/>
  <c r="A1606" i="1"/>
  <c r="C1606" i="1"/>
  <c r="A1607" i="1"/>
  <c r="C1607" i="1"/>
  <c r="A1608" i="1"/>
  <c r="C1608" i="1"/>
  <c r="A1609" i="1"/>
  <c r="C1609" i="1"/>
  <c r="A1610" i="1"/>
  <c r="C1610" i="1"/>
  <c r="A1611" i="1"/>
  <c r="C1611" i="1"/>
  <c r="A1612" i="1"/>
  <c r="C1612" i="1"/>
  <c r="A1613" i="1"/>
  <c r="C1613" i="1"/>
  <c r="A1614" i="1"/>
  <c r="C1614" i="1"/>
  <c r="A1615" i="1"/>
  <c r="C1615" i="1"/>
  <c r="A1616" i="1"/>
  <c r="C1616" i="1"/>
  <c r="A1617" i="1"/>
  <c r="C1617" i="1"/>
  <c r="A1618" i="1"/>
  <c r="C1618" i="1"/>
  <c r="A1619" i="1"/>
  <c r="C1619" i="1"/>
  <c r="A1620" i="1"/>
  <c r="C1620" i="1"/>
  <c r="A1621" i="1"/>
  <c r="C1621" i="1"/>
  <c r="A1622" i="1"/>
  <c r="C1622" i="1"/>
  <c r="A1623" i="1"/>
  <c r="C1623" i="1"/>
  <c r="A1624" i="1"/>
  <c r="C1624" i="1"/>
  <c r="A1625" i="1"/>
  <c r="C1625" i="1"/>
  <c r="A1626" i="1"/>
  <c r="C1626" i="1"/>
  <c r="A1627" i="1"/>
  <c r="C1627" i="1"/>
  <c r="A1628" i="1"/>
  <c r="C1628" i="1"/>
  <c r="A1629" i="1"/>
  <c r="C1629" i="1"/>
  <c r="A1630" i="1"/>
  <c r="C1630" i="1"/>
  <c r="A1631" i="1"/>
  <c r="C1631" i="1"/>
  <c r="A1632" i="1"/>
  <c r="C1632" i="1"/>
  <c r="A1633" i="1"/>
  <c r="C1633" i="1"/>
  <c r="A1634" i="1"/>
  <c r="C1634" i="1"/>
  <c r="A1635" i="1"/>
  <c r="C1635" i="1"/>
  <c r="A1636" i="1"/>
  <c r="C1636" i="1"/>
  <c r="A1637" i="1"/>
  <c r="C1637" i="1"/>
  <c r="A1638" i="1"/>
  <c r="C1638" i="1"/>
  <c r="A1639" i="1"/>
  <c r="C1639" i="1"/>
  <c r="A1640" i="1"/>
  <c r="C1640" i="1"/>
  <c r="A1641" i="1"/>
  <c r="C1641" i="1"/>
  <c r="A1642" i="1"/>
  <c r="C1642" i="1"/>
  <c r="A1643" i="1"/>
  <c r="C1643" i="1"/>
  <c r="A1644" i="1"/>
  <c r="C1644" i="1"/>
  <c r="A1645" i="1"/>
  <c r="C1645" i="1"/>
  <c r="A1646" i="1"/>
  <c r="C1646" i="1"/>
  <c r="A1647" i="1"/>
  <c r="C1647" i="1"/>
  <c r="A1648" i="1"/>
  <c r="C1648" i="1"/>
  <c r="A1649" i="1"/>
  <c r="C1649" i="1"/>
  <c r="A1650" i="1"/>
  <c r="C1650" i="1"/>
  <c r="A1651" i="1"/>
  <c r="C1651" i="1"/>
  <c r="A1652" i="1"/>
  <c r="C1652" i="1"/>
  <c r="A1653" i="1"/>
  <c r="C1653" i="1"/>
  <c r="A1654" i="1"/>
  <c r="C1654" i="1"/>
  <c r="A1655" i="1"/>
  <c r="C1655" i="1"/>
  <c r="A1656" i="1"/>
  <c r="C1656" i="1"/>
  <c r="A1657" i="1"/>
  <c r="C1657" i="1"/>
  <c r="A1658" i="1"/>
  <c r="C1658" i="1"/>
  <c r="A1659" i="1"/>
  <c r="C1659" i="1"/>
  <c r="A1660" i="1"/>
  <c r="C1660" i="1"/>
  <c r="A1661" i="1"/>
  <c r="C1661" i="1"/>
  <c r="A1662" i="1"/>
  <c r="C1662" i="1"/>
  <c r="A1663" i="1"/>
  <c r="C1663" i="1"/>
  <c r="A1664" i="1"/>
  <c r="C1664" i="1"/>
  <c r="A1665" i="1"/>
  <c r="C1665" i="1"/>
  <c r="A1666" i="1"/>
  <c r="C1666" i="1"/>
  <c r="A1667" i="1"/>
  <c r="C1667" i="1"/>
  <c r="A1668" i="1"/>
  <c r="C1668" i="1"/>
  <c r="A1669" i="1"/>
  <c r="C1669" i="1"/>
  <c r="A1670" i="1"/>
  <c r="C1670" i="1"/>
  <c r="A1671" i="1"/>
  <c r="C1671" i="1"/>
  <c r="A1672" i="1"/>
  <c r="C1672" i="1"/>
  <c r="A1673" i="1"/>
  <c r="C1673" i="1"/>
  <c r="A1674" i="1"/>
  <c r="C1674" i="1"/>
  <c r="A1675" i="1"/>
  <c r="C1675" i="1"/>
  <c r="A1676" i="1"/>
  <c r="C1676" i="1"/>
  <c r="A1677" i="1"/>
  <c r="C1677" i="1"/>
  <c r="A1678" i="1"/>
  <c r="C1678" i="1"/>
  <c r="A1679" i="1"/>
  <c r="C1679" i="1"/>
  <c r="A1680" i="1"/>
  <c r="C1680" i="1"/>
  <c r="A1681" i="1"/>
  <c r="C1681" i="1"/>
  <c r="A1682" i="1"/>
  <c r="C1682" i="1"/>
  <c r="A1683" i="1"/>
  <c r="C1683" i="1"/>
  <c r="A1684" i="1"/>
  <c r="C1684" i="1"/>
  <c r="A1685" i="1"/>
  <c r="C1685" i="1"/>
  <c r="A1686" i="1"/>
  <c r="C1686" i="1"/>
  <c r="A1687" i="1"/>
  <c r="C1687" i="1"/>
  <c r="A1688" i="1"/>
  <c r="C1688" i="1"/>
  <c r="A1689" i="1"/>
  <c r="C1689" i="1"/>
  <c r="A1690" i="1"/>
  <c r="C1690" i="1"/>
  <c r="A1691" i="1"/>
  <c r="C1691" i="1"/>
  <c r="A1692" i="1"/>
  <c r="C1692" i="1"/>
  <c r="A1693" i="1"/>
  <c r="C1693" i="1"/>
  <c r="A1694" i="1"/>
  <c r="C1694" i="1"/>
  <c r="A1695" i="1"/>
  <c r="C1695" i="1"/>
  <c r="A1696" i="1"/>
  <c r="C1696" i="1"/>
  <c r="A1697" i="1"/>
  <c r="C1697" i="1"/>
  <c r="A1698" i="1"/>
  <c r="C1698" i="1"/>
  <c r="A1699" i="1"/>
  <c r="C1699" i="1"/>
  <c r="A1700" i="1"/>
  <c r="C1700" i="1"/>
  <c r="A1701" i="1"/>
  <c r="C1701" i="1"/>
  <c r="A1702" i="1"/>
  <c r="C1702" i="1"/>
  <c r="A1703" i="1"/>
  <c r="C1703" i="1"/>
  <c r="A1704" i="1"/>
  <c r="C1704" i="1"/>
  <c r="A1705" i="1"/>
  <c r="C1705" i="1"/>
  <c r="A1706" i="1"/>
  <c r="C1706" i="1"/>
  <c r="A1707" i="1"/>
  <c r="C1707" i="1"/>
  <c r="A1708" i="1"/>
  <c r="C1708" i="1"/>
  <c r="A1709" i="1"/>
  <c r="C1709" i="1"/>
  <c r="A1710" i="1"/>
  <c r="C1710" i="1"/>
  <c r="A1711" i="1"/>
  <c r="C1711" i="1"/>
  <c r="A1712" i="1"/>
  <c r="C1712" i="1"/>
  <c r="A1713" i="1"/>
  <c r="C1713" i="1"/>
  <c r="A1714" i="1"/>
  <c r="C1714" i="1"/>
  <c r="A1715" i="1"/>
  <c r="C1715" i="1"/>
  <c r="A1716" i="1"/>
  <c r="C1716" i="1"/>
  <c r="A1717" i="1"/>
  <c r="C1717" i="1"/>
  <c r="A1718" i="1"/>
  <c r="C1718" i="1"/>
  <c r="A1719" i="1"/>
  <c r="C1719" i="1"/>
  <c r="A1720" i="1"/>
  <c r="C1720" i="1"/>
  <c r="A1721" i="1"/>
  <c r="C1721" i="1"/>
  <c r="A1722" i="1"/>
  <c r="C1722" i="1"/>
  <c r="A1723" i="1"/>
  <c r="C1723" i="1"/>
  <c r="A1724" i="1"/>
  <c r="C1724" i="1"/>
  <c r="A1725" i="1"/>
  <c r="C1725" i="1"/>
  <c r="A1726" i="1"/>
  <c r="C1726" i="1"/>
  <c r="A1727" i="1"/>
  <c r="C1727" i="1"/>
  <c r="A1728" i="1"/>
  <c r="C1728" i="1"/>
  <c r="A1729" i="1"/>
  <c r="C1729" i="1"/>
  <c r="A1730" i="1"/>
  <c r="C1730" i="1"/>
  <c r="A1731" i="1"/>
  <c r="C1731" i="1"/>
  <c r="A1732" i="1"/>
  <c r="C1732" i="1"/>
  <c r="A1733" i="1"/>
  <c r="C1733" i="1"/>
  <c r="A1734" i="1"/>
  <c r="C1734" i="1"/>
  <c r="A1735" i="1"/>
  <c r="C1735" i="1"/>
  <c r="A1736" i="1"/>
  <c r="C1736" i="1"/>
  <c r="A1737" i="1"/>
  <c r="C1737" i="1"/>
  <c r="A1738" i="1"/>
  <c r="C1738" i="1"/>
  <c r="A1739" i="1"/>
  <c r="C1739" i="1"/>
  <c r="A1740" i="1"/>
  <c r="C1740" i="1"/>
  <c r="A1741" i="1"/>
  <c r="C1741" i="1"/>
  <c r="A1742" i="1"/>
  <c r="C1742" i="1"/>
  <c r="A1743" i="1"/>
  <c r="C1743" i="1"/>
  <c r="A1744" i="1"/>
  <c r="C1744" i="1"/>
  <c r="A1745" i="1"/>
  <c r="C1745" i="1"/>
  <c r="A1746" i="1"/>
  <c r="C1746" i="1"/>
  <c r="A1747" i="1"/>
  <c r="C1747" i="1"/>
  <c r="A1748" i="1"/>
  <c r="C1748" i="1"/>
  <c r="A1749" i="1"/>
  <c r="C1749" i="1"/>
  <c r="A1750" i="1"/>
  <c r="C1750" i="1"/>
  <c r="A1751" i="1"/>
  <c r="C1751" i="1"/>
  <c r="A1752" i="1"/>
  <c r="C1752" i="1"/>
  <c r="A1753" i="1"/>
  <c r="C1753" i="1"/>
  <c r="A1754" i="1"/>
  <c r="C1754" i="1"/>
  <c r="A1755" i="1"/>
  <c r="C1755" i="1"/>
  <c r="A1756" i="1"/>
  <c r="C1756" i="1"/>
  <c r="A1757" i="1"/>
  <c r="C1757" i="1"/>
  <c r="A1758" i="1"/>
  <c r="C1758" i="1"/>
  <c r="A1759" i="1"/>
  <c r="C1759" i="1"/>
  <c r="A1760" i="1"/>
  <c r="C1760" i="1"/>
  <c r="A1761" i="1"/>
  <c r="C1761" i="1"/>
  <c r="A1762" i="1"/>
  <c r="C1762" i="1"/>
  <c r="A1763" i="1"/>
  <c r="C1763" i="1"/>
  <c r="A1764" i="1"/>
  <c r="C1764" i="1"/>
  <c r="A1765" i="1"/>
  <c r="C1765" i="1"/>
  <c r="A1766" i="1"/>
  <c r="C1766" i="1"/>
  <c r="A1767" i="1"/>
  <c r="C1767" i="1"/>
  <c r="A1768" i="1"/>
  <c r="C1768" i="1"/>
  <c r="A1769" i="1"/>
  <c r="C1769" i="1"/>
  <c r="A1770" i="1"/>
  <c r="C1770" i="1"/>
  <c r="A1771" i="1"/>
  <c r="C1771" i="1"/>
  <c r="A1772" i="1"/>
  <c r="C1772" i="1"/>
  <c r="A1773" i="1"/>
  <c r="C1773" i="1"/>
  <c r="A1774" i="1"/>
  <c r="C1774" i="1"/>
  <c r="A1775" i="1"/>
  <c r="C1775" i="1"/>
  <c r="A1776" i="1"/>
  <c r="C1776" i="1"/>
  <c r="A1777" i="1"/>
  <c r="C1777" i="1"/>
  <c r="A1778" i="1"/>
  <c r="C1778" i="1"/>
  <c r="A1779" i="1"/>
  <c r="C1779" i="1"/>
  <c r="A1780" i="1"/>
  <c r="C1780" i="1"/>
  <c r="A1781" i="1"/>
  <c r="C1781" i="1"/>
  <c r="A1782" i="1"/>
  <c r="C1782" i="1"/>
  <c r="A1783" i="1"/>
  <c r="C1783" i="1"/>
  <c r="A1784" i="1"/>
  <c r="C1784" i="1"/>
  <c r="A1785" i="1"/>
  <c r="C1785" i="1"/>
  <c r="A1786" i="1"/>
  <c r="C1786" i="1"/>
  <c r="A1787" i="1"/>
  <c r="C1787" i="1"/>
  <c r="A1788" i="1"/>
  <c r="C1788" i="1"/>
  <c r="A1789" i="1"/>
  <c r="C1789" i="1"/>
  <c r="A1790" i="1"/>
  <c r="C1790" i="1"/>
  <c r="A1791" i="1"/>
  <c r="C1791" i="1"/>
  <c r="A1792" i="1"/>
  <c r="C1792" i="1"/>
  <c r="A1793" i="1"/>
  <c r="C1793" i="1"/>
  <c r="A1794" i="1"/>
  <c r="C1794" i="1"/>
  <c r="A1795" i="1"/>
  <c r="C1795" i="1"/>
  <c r="A1796" i="1"/>
  <c r="C1796" i="1"/>
  <c r="A1797" i="1"/>
  <c r="C1797" i="1"/>
  <c r="A1798" i="1"/>
  <c r="C1798" i="1"/>
  <c r="A1799" i="1"/>
  <c r="C1799" i="1"/>
  <c r="A1800" i="1"/>
  <c r="C1800" i="1"/>
  <c r="A1801" i="1"/>
  <c r="C1801" i="1"/>
  <c r="A1802" i="1"/>
  <c r="C1802" i="1"/>
  <c r="A1803" i="1"/>
  <c r="C1803" i="1"/>
  <c r="A1804" i="1"/>
  <c r="C1804" i="1"/>
  <c r="A1805" i="1"/>
  <c r="C1805" i="1"/>
  <c r="A1806" i="1"/>
  <c r="C1806" i="1"/>
  <c r="A1807" i="1"/>
  <c r="C1807" i="1"/>
  <c r="A1808" i="1"/>
  <c r="C1808" i="1"/>
  <c r="A1809" i="1"/>
  <c r="C1809" i="1"/>
  <c r="A1810" i="1"/>
  <c r="C1810" i="1"/>
  <c r="A1811" i="1"/>
  <c r="C1811" i="1"/>
  <c r="A1812" i="1"/>
  <c r="C1812" i="1"/>
  <c r="A1813" i="1"/>
  <c r="C1813" i="1"/>
  <c r="A1814" i="1"/>
  <c r="C1814" i="1"/>
  <c r="A1815" i="1"/>
  <c r="C1815" i="1"/>
  <c r="A1816" i="1"/>
  <c r="C1816" i="1"/>
  <c r="A1817" i="1"/>
  <c r="C1817" i="1"/>
  <c r="A1818" i="1"/>
  <c r="C1818" i="1"/>
  <c r="A1819" i="1"/>
  <c r="C1819" i="1"/>
  <c r="A1820" i="1"/>
  <c r="C1820" i="1"/>
  <c r="A1821" i="1"/>
  <c r="C1821" i="1"/>
  <c r="A1822" i="1"/>
  <c r="C1822" i="1"/>
  <c r="A1823" i="1"/>
  <c r="C1823" i="1"/>
  <c r="A1824" i="1"/>
  <c r="C1824" i="1"/>
  <c r="A1825" i="1"/>
  <c r="C1825" i="1"/>
  <c r="A1826" i="1"/>
  <c r="C1826" i="1"/>
  <c r="A1827" i="1"/>
  <c r="C1827" i="1"/>
  <c r="A1828" i="1"/>
  <c r="C1828" i="1"/>
  <c r="A1829" i="1"/>
  <c r="C1829" i="1"/>
  <c r="A1830" i="1"/>
  <c r="C1830" i="1"/>
  <c r="A1831" i="1"/>
  <c r="C1831" i="1"/>
  <c r="A1832" i="1"/>
  <c r="C1832" i="1"/>
  <c r="A1833" i="1"/>
  <c r="C1833" i="1"/>
  <c r="A1834" i="1"/>
  <c r="C1834" i="1"/>
  <c r="A1835" i="1"/>
  <c r="C1835" i="1"/>
  <c r="A1836" i="1"/>
  <c r="C1836" i="1"/>
  <c r="A1837" i="1"/>
  <c r="C1837" i="1"/>
  <c r="A1838" i="1"/>
  <c r="C1838" i="1"/>
  <c r="A1839" i="1"/>
  <c r="C1839" i="1"/>
  <c r="A1840" i="1"/>
  <c r="C1840" i="1"/>
  <c r="A1841" i="1"/>
  <c r="C1841" i="1"/>
  <c r="A1842" i="1"/>
  <c r="C1842" i="1"/>
  <c r="A1843" i="1"/>
  <c r="C1843" i="1"/>
  <c r="A1844" i="1"/>
  <c r="C1844" i="1"/>
  <c r="A1845" i="1"/>
  <c r="C1845" i="1"/>
  <c r="A1846" i="1"/>
  <c r="C1846" i="1"/>
  <c r="A1847" i="1"/>
  <c r="C1847" i="1"/>
  <c r="A1848" i="1"/>
  <c r="C1848" i="1"/>
  <c r="A1849" i="1"/>
  <c r="C1849" i="1"/>
  <c r="A1850" i="1"/>
  <c r="C1850" i="1"/>
  <c r="A1851" i="1"/>
  <c r="C1851" i="1"/>
  <c r="A1852" i="1"/>
  <c r="C1852" i="1"/>
  <c r="A1853" i="1"/>
  <c r="C1853" i="1"/>
  <c r="A1854" i="1"/>
  <c r="C1854" i="1"/>
  <c r="A1855" i="1"/>
  <c r="C1855" i="1"/>
  <c r="A1856" i="1"/>
  <c r="C1856" i="1"/>
  <c r="A1857" i="1"/>
  <c r="C1857" i="1"/>
  <c r="A1858" i="1"/>
  <c r="C1858" i="1"/>
  <c r="A1859" i="1"/>
  <c r="C1859" i="1"/>
  <c r="A1860" i="1"/>
  <c r="C1860" i="1"/>
  <c r="A1861" i="1"/>
  <c r="C1861" i="1"/>
  <c r="A1862" i="1"/>
  <c r="C1862" i="1"/>
  <c r="A1863" i="1"/>
  <c r="C1863" i="1"/>
  <c r="A1864" i="1"/>
  <c r="C1864" i="1"/>
  <c r="A1865" i="1"/>
  <c r="C1865" i="1"/>
  <c r="A1866" i="1"/>
  <c r="C1866" i="1"/>
  <c r="A1867" i="1"/>
  <c r="C1867" i="1"/>
  <c r="A1868" i="1"/>
  <c r="C1868" i="1"/>
  <c r="A1869" i="1"/>
  <c r="C1869" i="1"/>
  <c r="A1870" i="1"/>
  <c r="C1870" i="1"/>
  <c r="A1871" i="1"/>
  <c r="C1871" i="1"/>
  <c r="A1872" i="1"/>
  <c r="C1872" i="1"/>
  <c r="A1873" i="1"/>
  <c r="C1873" i="1"/>
  <c r="A1874" i="1"/>
  <c r="C1874" i="1"/>
  <c r="A1875" i="1"/>
  <c r="C1875" i="1"/>
  <c r="A1876" i="1"/>
  <c r="C1876" i="1"/>
  <c r="A1877" i="1"/>
  <c r="C1877" i="1"/>
  <c r="A1878" i="1"/>
  <c r="C1878" i="1"/>
  <c r="A1879" i="1"/>
  <c r="C1879" i="1"/>
  <c r="A1880" i="1"/>
  <c r="C1880" i="1"/>
  <c r="A1881" i="1"/>
  <c r="C1881" i="1"/>
  <c r="A1882" i="1"/>
  <c r="C1882" i="1"/>
  <c r="A1883" i="1"/>
  <c r="C1883" i="1"/>
  <c r="A1884" i="1"/>
  <c r="C1884" i="1"/>
  <c r="A1885" i="1"/>
  <c r="C1885" i="1"/>
  <c r="A1886" i="1"/>
  <c r="C1886" i="1"/>
  <c r="A1887" i="1"/>
  <c r="C1887" i="1"/>
  <c r="A1888" i="1"/>
  <c r="C1888" i="1"/>
  <c r="A1889" i="1"/>
  <c r="C1889" i="1"/>
  <c r="A1890" i="1"/>
  <c r="C1890" i="1"/>
  <c r="A1891" i="1"/>
  <c r="C1891" i="1"/>
  <c r="A1892" i="1"/>
  <c r="C1892" i="1"/>
  <c r="A1893" i="1"/>
  <c r="C1893" i="1"/>
  <c r="A1894" i="1"/>
  <c r="C1894" i="1"/>
  <c r="A1895" i="1"/>
  <c r="C1895" i="1"/>
  <c r="A1896" i="1"/>
  <c r="C1896" i="1"/>
  <c r="A1897" i="1"/>
  <c r="C1897" i="1"/>
  <c r="A1898" i="1"/>
  <c r="C1898" i="1"/>
  <c r="A1899" i="1"/>
  <c r="C1899" i="1"/>
  <c r="A1900" i="1"/>
  <c r="C1900" i="1"/>
  <c r="A1901" i="1"/>
  <c r="C1901" i="1"/>
  <c r="A1902" i="1"/>
  <c r="C1902" i="1"/>
  <c r="A1903" i="1"/>
  <c r="C1903" i="1"/>
  <c r="A1904" i="1"/>
  <c r="C1904" i="1"/>
  <c r="A1905" i="1"/>
  <c r="C1905" i="1"/>
  <c r="A1906" i="1"/>
  <c r="C1906" i="1"/>
  <c r="A1907" i="1"/>
  <c r="C1907" i="1"/>
  <c r="A1908" i="1"/>
  <c r="C1908" i="1"/>
  <c r="A1909" i="1"/>
  <c r="C1909" i="1"/>
  <c r="A1910" i="1"/>
  <c r="C1910" i="1"/>
  <c r="A1911" i="1"/>
  <c r="C1911" i="1"/>
  <c r="A1912" i="1"/>
  <c r="C1912" i="1"/>
  <c r="A1913" i="1"/>
  <c r="C1913" i="1"/>
  <c r="A1914" i="1"/>
  <c r="C1914" i="1"/>
  <c r="A1915" i="1"/>
  <c r="C1915" i="1"/>
  <c r="A1916" i="1"/>
  <c r="C1916" i="1"/>
  <c r="A1917" i="1"/>
  <c r="C1917" i="1"/>
  <c r="A1918" i="1"/>
  <c r="C1918" i="1"/>
  <c r="A1919" i="1"/>
  <c r="C1919" i="1"/>
  <c r="A1920" i="1"/>
  <c r="C1920" i="1"/>
  <c r="A1921" i="1"/>
  <c r="C1921" i="1"/>
  <c r="A1922" i="1"/>
  <c r="C1922" i="1"/>
  <c r="A1923" i="1"/>
  <c r="C1923" i="1"/>
  <c r="A1924" i="1"/>
  <c r="C1924" i="1"/>
  <c r="A1925" i="1"/>
  <c r="C1925" i="1"/>
  <c r="A1926" i="1"/>
  <c r="C1926" i="1"/>
  <c r="A1927" i="1"/>
  <c r="C1927" i="1"/>
  <c r="A1928" i="1"/>
  <c r="C1928" i="1"/>
  <c r="A1929" i="1"/>
  <c r="C1929" i="1"/>
  <c r="A1930" i="1"/>
  <c r="C1930" i="1"/>
  <c r="A1931" i="1"/>
  <c r="C1931" i="1"/>
  <c r="A1932" i="1"/>
  <c r="C1932" i="1"/>
  <c r="A1933" i="1"/>
  <c r="C1933" i="1"/>
  <c r="A1934" i="1"/>
  <c r="C1934" i="1"/>
  <c r="A1935" i="1"/>
  <c r="C1935" i="1"/>
  <c r="A1936" i="1"/>
  <c r="C1936" i="1"/>
  <c r="A1937" i="1"/>
  <c r="C1937" i="1"/>
  <c r="A1938" i="1"/>
  <c r="C1938" i="1"/>
  <c r="A1939" i="1"/>
  <c r="C1939" i="1"/>
  <c r="A1940" i="1"/>
  <c r="C1940" i="1"/>
  <c r="A1941" i="1"/>
  <c r="C1941" i="1"/>
  <c r="A1942" i="1"/>
  <c r="C1942" i="1"/>
  <c r="A1943" i="1"/>
  <c r="C1943" i="1"/>
  <c r="A1944" i="1"/>
  <c r="C1944" i="1"/>
  <c r="A1945" i="1"/>
  <c r="C1945" i="1"/>
  <c r="A1946" i="1"/>
  <c r="C1946" i="1"/>
  <c r="A1947" i="1"/>
  <c r="C1947" i="1"/>
  <c r="A1948" i="1"/>
  <c r="C1948" i="1"/>
  <c r="A1949" i="1"/>
  <c r="C1949" i="1"/>
  <c r="A1950" i="1"/>
  <c r="C1950" i="1"/>
  <c r="A1951" i="1"/>
  <c r="C1951" i="1"/>
  <c r="A1952" i="1"/>
  <c r="C1952" i="1"/>
  <c r="A1953" i="1"/>
  <c r="C1953" i="1"/>
  <c r="A1954" i="1"/>
  <c r="C1954" i="1"/>
  <c r="A1955" i="1"/>
  <c r="C1955" i="1"/>
  <c r="A1956" i="1"/>
  <c r="C1956" i="1"/>
  <c r="A1957" i="1"/>
  <c r="C1957" i="1"/>
  <c r="A1958" i="1"/>
  <c r="C1958" i="1"/>
  <c r="A1959" i="1"/>
  <c r="C1959" i="1"/>
  <c r="A1960" i="1"/>
  <c r="C1960" i="1"/>
  <c r="A1961" i="1"/>
  <c r="C1961" i="1"/>
  <c r="A1962" i="1"/>
  <c r="C1962" i="1"/>
  <c r="A1963" i="1"/>
  <c r="C1963" i="1"/>
  <c r="A1964" i="1"/>
  <c r="C1964" i="1"/>
  <c r="A1965" i="1"/>
  <c r="C1965" i="1"/>
  <c r="A1966" i="1"/>
  <c r="C1966" i="1"/>
  <c r="A1967" i="1"/>
  <c r="C1967" i="1"/>
  <c r="A1968" i="1"/>
  <c r="C1968" i="1"/>
  <c r="A1969" i="1"/>
  <c r="C1969" i="1"/>
  <c r="A1970" i="1"/>
  <c r="C1970" i="1"/>
  <c r="A1971" i="1"/>
  <c r="C1971" i="1"/>
  <c r="A1972" i="1"/>
  <c r="C1972" i="1"/>
  <c r="A1973" i="1"/>
  <c r="C1973" i="1"/>
  <c r="A1974" i="1"/>
  <c r="C1974" i="1"/>
  <c r="A1975" i="1"/>
  <c r="C1975" i="1"/>
  <c r="A1976" i="1"/>
  <c r="C1976" i="1"/>
  <c r="A1977" i="1"/>
  <c r="C1977" i="1"/>
  <c r="A1978" i="1"/>
  <c r="C1978" i="1"/>
  <c r="A1979" i="1"/>
  <c r="C1979" i="1"/>
  <c r="A1980" i="1"/>
  <c r="C1980" i="1"/>
  <c r="A1981" i="1"/>
  <c r="C1981" i="1"/>
  <c r="A1982" i="1"/>
  <c r="C1982" i="1"/>
  <c r="A1983" i="1"/>
  <c r="C1983" i="1"/>
  <c r="A1984" i="1"/>
  <c r="C1984" i="1"/>
  <c r="A1985" i="1"/>
  <c r="C1985" i="1"/>
  <c r="A1986" i="1"/>
  <c r="C1986" i="1"/>
  <c r="A1987" i="1"/>
  <c r="C1987" i="1"/>
  <c r="A1988" i="1"/>
  <c r="C1988" i="1"/>
  <c r="A1989" i="1"/>
  <c r="C1989" i="1"/>
  <c r="A1990" i="1"/>
  <c r="C1990" i="1"/>
  <c r="A1991" i="1"/>
  <c r="C1991" i="1"/>
  <c r="A1992" i="1"/>
  <c r="C1992" i="1"/>
  <c r="A1993" i="1"/>
  <c r="C1993" i="1"/>
  <c r="A1994" i="1"/>
  <c r="C1994" i="1"/>
  <c r="A1995" i="1"/>
  <c r="C1995" i="1"/>
  <c r="A1996" i="1"/>
  <c r="C1996" i="1"/>
  <c r="A1997" i="1"/>
  <c r="C1997" i="1"/>
  <c r="A1998" i="1"/>
  <c r="C1998" i="1"/>
  <c r="A1999" i="1"/>
  <c r="C1999" i="1"/>
  <c r="A2000" i="1"/>
  <c r="C2000" i="1"/>
  <c r="A2001" i="1"/>
  <c r="C2001" i="1"/>
  <c r="A2002" i="1"/>
  <c r="C2002" i="1"/>
  <c r="A2003" i="1"/>
  <c r="C2003" i="1"/>
  <c r="A2004" i="1"/>
  <c r="C2004" i="1"/>
  <c r="A2005" i="1"/>
  <c r="C2005" i="1"/>
  <c r="A2006" i="1"/>
  <c r="C2006" i="1"/>
  <c r="A2007" i="1"/>
  <c r="C2007" i="1"/>
  <c r="A2008" i="1"/>
  <c r="C2008" i="1"/>
  <c r="A2009" i="1"/>
  <c r="C2009" i="1"/>
  <c r="A2010" i="1"/>
  <c r="C2010" i="1"/>
  <c r="A2011" i="1"/>
  <c r="C2011" i="1"/>
  <c r="A2012" i="1"/>
  <c r="C2012" i="1"/>
  <c r="A2013" i="1"/>
  <c r="C2013" i="1"/>
  <c r="A2014" i="1"/>
  <c r="C2014" i="1"/>
  <c r="A2015" i="1"/>
  <c r="C2015" i="1"/>
  <c r="A2016" i="1"/>
  <c r="C2016" i="1"/>
  <c r="A2017" i="1"/>
  <c r="C2017" i="1"/>
  <c r="A2018" i="1"/>
  <c r="C2018" i="1"/>
  <c r="A2019" i="1"/>
  <c r="C2019" i="1"/>
  <c r="A2020" i="1"/>
  <c r="C2020" i="1"/>
  <c r="A2021" i="1"/>
  <c r="C2021" i="1"/>
  <c r="A2022" i="1"/>
  <c r="C2022" i="1"/>
  <c r="A2023" i="1"/>
  <c r="C2023" i="1"/>
  <c r="A2024" i="1"/>
  <c r="C2024" i="1"/>
  <c r="A2025" i="1"/>
  <c r="C2025" i="1"/>
  <c r="A2026" i="1"/>
  <c r="C2026" i="1"/>
  <c r="A2027" i="1"/>
  <c r="C2027" i="1"/>
  <c r="A2028" i="1"/>
  <c r="C2028" i="1"/>
  <c r="A2029" i="1"/>
  <c r="C2029" i="1"/>
  <c r="A2030" i="1"/>
  <c r="C2030" i="1"/>
  <c r="A2031" i="1"/>
  <c r="C2031" i="1"/>
  <c r="A2032" i="1"/>
  <c r="C2032" i="1"/>
  <c r="A2033" i="1"/>
  <c r="C2033" i="1"/>
  <c r="A2034" i="1"/>
  <c r="C2034" i="1"/>
  <c r="A2035" i="1"/>
  <c r="C2035" i="1"/>
  <c r="A2036" i="1"/>
  <c r="C2036" i="1"/>
  <c r="A2037" i="1"/>
  <c r="C2037" i="1"/>
  <c r="A2038" i="1"/>
  <c r="C2038" i="1"/>
  <c r="A2039" i="1"/>
  <c r="C2039" i="1"/>
  <c r="A2040" i="1"/>
  <c r="C2040" i="1"/>
  <c r="A2041" i="1"/>
  <c r="C2041" i="1"/>
  <c r="A2042" i="1"/>
  <c r="C2042" i="1"/>
  <c r="A2043" i="1"/>
  <c r="C2043" i="1"/>
  <c r="A2044" i="1"/>
  <c r="C2044" i="1"/>
  <c r="A2045" i="1"/>
  <c r="C2045" i="1"/>
  <c r="A2046" i="1"/>
  <c r="C2046" i="1"/>
  <c r="A2047" i="1"/>
  <c r="C2047" i="1"/>
  <c r="A2048" i="1"/>
  <c r="C2048" i="1"/>
  <c r="A2049" i="1"/>
  <c r="C2049" i="1"/>
  <c r="A2050" i="1"/>
  <c r="C2050" i="1"/>
  <c r="A2051" i="1"/>
  <c r="C2051" i="1"/>
  <c r="A2052" i="1"/>
  <c r="C2052" i="1"/>
  <c r="A2053" i="1"/>
  <c r="C2053" i="1"/>
  <c r="A2054" i="1"/>
  <c r="C2054" i="1"/>
  <c r="A2055" i="1"/>
  <c r="C2055" i="1"/>
  <c r="A2056" i="1"/>
  <c r="C2056" i="1"/>
  <c r="A2057" i="1"/>
  <c r="C2057" i="1"/>
  <c r="A2058" i="1"/>
  <c r="C2058" i="1"/>
  <c r="A2059" i="1"/>
  <c r="C2059" i="1"/>
  <c r="A2060" i="1"/>
  <c r="C2060" i="1"/>
  <c r="A2061" i="1"/>
  <c r="C2061" i="1"/>
  <c r="A2062" i="1"/>
  <c r="C2062" i="1"/>
  <c r="A2063" i="1"/>
  <c r="C2063" i="1"/>
  <c r="A2064" i="1"/>
  <c r="C2064" i="1"/>
  <c r="A2065" i="1"/>
  <c r="C2065" i="1"/>
  <c r="A2066" i="1"/>
  <c r="C2066" i="1"/>
  <c r="A2067" i="1"/>
  <c r="C2067" i="1"/>
  <c r="A2068" i="1"/>
  <c r="C2068" i="1"/>
  <c r="A2069" i="1"/>
  <c r="C2069" i="1"/>
  <c r="A2070" i="1"/>
  <c r="C2070" i="1"/>
  <c r="A2071" i="1"/>
  <c r="C2071" i="1"/>
  <c r="A2072" i="1"/>
  <c r="C2072" i="1"/>
  <c r="A2073" i="1"/>
  <c r="C2073" i="1"/>
  <c r="A2074" i="1"/>
  <c r="C2074" i="1"/>
  <c r="A2075" i="1"/>
  <c r="C2075" i="1"/>
  <c r="A2076" i="1"/>
  <c r="C2076" i="1"/>
  <c r="A2077" i="1"/>
  <c r="C2077" i="1"/>
  <c r="A2078" i="1"/>
  <c r="C2078" i="1"/>
  <c r="A2079" i="1"/>
  <c r="C2079" i="1"/>
  <c r="A2080" i="1"/>
  <c r="C2080" i="1"/>
  <c r="A2081" i="1"/>
  <c r="C2081" i="1"/>
  <c r="A2082" i="1"/>
  <c r="C2082" i="1"/>
  <c r="A2083" i="1"/>
  <c r="C2083" i="1"/>
  <c r="A2084" i="1"/>
  <c r="C2084" i="1"/>
  <c r="A2085" i="1"/>
  <c r="C2085" i="1"/>
  <c r="A2086" i="1"/>
  <c r="C2086" i="1"/>
  <c r="A2087" i="1"/>
  <c r="C2087" i="1"/>
  <c r="A2088" i="1"/>
  <c r="C2088" i="1"/>
  <c r="A2089" i="1"/>
  <c r="C2089" i="1"/>
  <c r="A2090" i="1"/>
  <c r="C2090" i="1"/>
  <c r="A2091" i="1"/>
  <c r="C2091" i="1"/>
  <c r="A2092" i="1"/>
  <c r="C2092" i="1"/>
  <c r="A2093" i="1"/>
  <c r="C2093" i="1"/>
  <c r="A2094" i="1"/>
  <c r="C2094" i="1"/>
  <c r="A2095" i="1"/>
  <c r="C2095" i="1"/>
  <c r="A2096" i="1"/>
  <c r="C2096" i="1"/>
  <c r="A2097" i="1"/>
  <c r="C2097" i="1"/>
  <c r="A2098" i="1"/>
  <c r="C2098" i="1"/>
  <c r="A2099" i="1"/>
  <c r="C2099" i="1"/>
  <c r="A2100" i="1"/>
  <c r="C2100" i="1"/>
  <c r="A2101" i="1"/>
  <c r="C2101" i="1"/>
  <c r="A2102" i="1"/>
  <c r="C2102" i="1"/>
  <c r="A2103" i="1"/>
  <c r="C2103" i="1"/>
  <c r="A2104" i="1"/>
  <c r="C2104" i="1"/>
  <c r="A2105" i="1"/>
  <c r="C2105" i="1"/>
  <c r="A2106" i="1"/>
  <c r="C2106" i="1"/>
  <c r="A2107" i="1"/>
  <c r="C2107" i="1"/>
  <c r="A2108" i="1"/>
  <c r="C2108" i="1"/>
  <c r="A2109" i="1"/>
  <c r="C2109" i="1"/>
  <c r="A2110" i="1"/>
  <c r="C2110" i="1"/>
  <c r="A2111" i="1"/>
  <c r="C2111" i="1"/>
  <c r="A2112" i="1"/>
  <c r="C2112" i="1"/>
  <c r="A2113" i="1"/>
  <c r="C2113" i="1"/>
  <c r="A2114" i="1"/>
  <c r="C2114" i="1"/>
  <c r="A2115" i="1"/>
  <c r="C2115" i="1"/>
  <c r="A2116" i="1"/>
  <c r="C2116" i="1"/>
  <c r="A2117" i="1"/>
  <c r="C2117" i="1"/>
  <c r="A2118" i="1"/>
  <c r="C2118" i="1"/>
  <c r="A2119" i="1"/>
  <c r="C2119" i="1"/>
  <c r="A2120" i="1"/>
  <c r="C2120" i="1"/>
  <c r="A2121" i="1"/>
  <c r="C2121" i="1"/>
  <c r="A2122" i="1"/>
  <c r="C2122" i="1"/>
  <c r="A2123" i="1"/>
  <c r="C2123" i="1"/>
  <c r="A2124" i="1"/>
  <c r="C2124" i="1"/>
  <c r="A2125" i="1"/>
  <c r="C2125" i="1"/>
  <c r="A2126" i="1"/>
  <c r="C2126" i="1"/>
  <c r="A2127" i="1"/>
  <c r="C2127" i="1"/>
  <c r="A2128" i="1"/>
  <c r="C2128" i="1"/>
  <c r="A2129" i="1"/>
  <c r="C2129" i="1"/>
  <c r="A2130" i="1"/>
  <c r="C2130" i="1"/>
  <c r="A2131" i="1"/>
  <c r="C2131" i="1"/>
  <c r="A2132" i="1"/>
  <c r="C2132" i="1"/>
  <c r="A2133" i="1"/>
  <c r="C2133" i="1"/>
  <c r="A2134" i="1"/>
  <c r="C2134" i="1"/>
  <c r="A2135" i="1"/>
  <c r="C2135" i="1"/>
  <c r="A2136" i="1"/>
  <c r="C2136" i="1"/>
  <c r="A2137" i="1"/>
  <c r="C2137" i="1"/>
  <c r="A2138" i="1"/>
  <c r="C2138" i="1"/>
  <c r="A2139" i="1"/>
  <c r="C2139" i="1"/>
  <c r="A2140" i="1"/>
  <c r="C2140" i="1"/>
  <c r="A2141" i="1"/>
  <c r="C2141" i="1"/>
  <c r="A2142" i="1"/>
  <c r="C2142" i="1"/>
  <c r="A2143" i="1"/>
  <c r="C2143" i="1"/>
  <c r="A2144" i="1"/>
  <c r="C2144" i="1"/>
  <c r="A2145" i="1"/>
  <c r="C2145" i="1"/>
  <c r="A2146" i="1"/>
  <c r="C2146" i="1"/>
  <c r="A2147" i="1"/>
  <c r="C2147" i="1"/>
  <c r="A2148" i="1"/>
  <c r="C2148" i="1"/>
  <c r="A2149" i="1"/>
  <c r="C2149" i="1"/>
  <c r="A2150" i="1"/>
  <c r="C2150" i="1"/>
  <c r="A2151" i="1"/>
  <c r="C2151" i="1"/>
  <c r="A2152" i="1"/>
  <c r="C2152" i="1"/>
  <c r="A2153" i="1"/>
  <c r="C2153" i="1"/>
  <c r="A2154" i="1"/>
  <c r="C2154" i="1"/>
  <c r="A2155" i="1"/>
  <c r="C2155" i="1"/>
  <c r="A2156" i="1"/>
  <c r="C2156" i="1"/>
  <c r="A2157" i="1"/>
  <c r="C2157" i="1"/>
  <c r="A2158" i="1"/>
  <c r="C2158" i="1"/>
  <c r="A2159" i="1"/>
  <c r="C2159" i="1"/>
  <c r="A2160" i="1"/>
  <c r="C2160" i="1"/>
  <c r="A2161" i="1"/>
  <c r="C2161" i="1"/>
  <c r="A2162" i="1"/>
  <c r="C2162" i="1"/>
  <c r="A2163" i="1"/>
  <c r="C2163" i="1"/>
  <c r="A2164" i="1"/>
  <c r="C2164" i="1"/>
  <c r="A2165" i="1"/>
  <c r="C2165" i="1"/>
  <c r="A2166" i="1"/>
  <c r="C2166" i="1"/>
  <c r="A2167" i="1"/>
  <c r="C2167" i="1"/>
  <c r="A2168" i="1"/>
  <c r="C2168" i="1"/>
  <c r="A2169" i="1"/>
  <c r="C2169" i="1"/>
  <c r="A2170" i="1"/>
  <c r="C2170" i="1"/>
  <c r="A2171" i="1"/>
  <c r="C2171" i="1"/>
  <c r="A2172" i="1"/>
  <c r="C2172" i="1"/>
  <c r="A2173" i="1"/>
  <c r="C2173" i="1"/>
  <c r="A2174" i="1"/>
  <c r="C2174" i="1"/>
  <c r="A2175" i="1"/>
  <c r="C2175" i="1"/>
  <c r="A2176" i="1"/>
  <c r="C2176" i="1"/>
  <c r="A2177" i="1"/>
  <c r="C2177" i="1"/>
  <c r="A2178" i="1"/>
  <c r="C2178" i="1"/>
  <c r="A2179" i="1"/>
  <c r="C2179" i="1"/>
  <c r="A2180" i="1"/>
  <c r="C2180" i="1"/>
  <c r="A2181" i="1"/>
  <c r="C2181" i="1"/>
  <c r="A2182" i="1"/>
  <c r="C2182" i="1"/>
  <c r="A2183" i="1"/>
  <c r="C2183" i="1"/>
  <c r="A2184" i="1"/>
  <c r="C2184" i="1"/>
  <c r="A2185" i="1"/>
  <c r="C2185" i="1"/>
  <c r="A2186" i="1"/>
  <c r="C2186" i="1"/>
  <c r="A2187" i="1"/>
  <c r="C2187" i="1"/>
  <c r="A2188" i="1"/>
  <c r="C2188" i="1"/>
  <c r="A2189" i="1"/>
  <c r="C2189" i="1"/>
  <c r="A2190" i="1"/>
  <c r="C2190" i="1"/>
  <c r="A2191" i="1"/>
  <c r="C2191" i="1"/>
  <c r="A2192" i="1"/>
  <c r="C2192" i="1"/>
  <c r="A2193" i="1"/>
  <c r="C2193" i="1"/>
  <c r="A2194" i="1"/>
  <c r="C2194" i="1"/>
  <c r="A2195" i="1"/>
  <c r="C2195" i="1"/>
  <c r="A2196" i="1"/>
  <c r="C2196" i="1"/>
  <c r="A2197" i="1"/>
  <c r="C2197" i="1"/>
  <c r="A2198" i="1"/>
  <c r="C2198" i="1"/>
  <c r="A2199" i="1"/>
  <c r="C2199" i="1"/>
  <c r="A2200" i="1"/>
  <c r="C2200" i="1"/>
  <c r="A2201" i="1"/>
  <c r="C2201" i="1"/>
  <c r="A2202" i="1"/>
  <c r="C2202" i="1"/>
  <c r="A2203" i="1"/>
  <c r="C2203" i="1"/>
  <c r="A2204" i="1"/>
  <c r="C2204" i="1"/>
  <c r="A2205" i="1"/>
  <c r="C2205" i="1"/>
  <c r="A2206" i="1"/>
  <c r="C2206" i="1"/>
  <c r="A2207" i="1"/>
  <c r="C2207" i="1"/>
  <c r="A2208" i="1"/>
  <c r="C2208" i="1"/>
  <c r="A2209" i="1"/>
  <c r="C2209" i="1"/>
  <c r="A2210" i="1"/>
  <c r="C2210" i="1"/>
  <c r="A2211" i="1"/>
  <c r="C2211" i="1"/>
  <c r="A2212" i="1"/>
  <c r="C2212" i="1"/>
  <c r="A2213" i="1"/>
  <c r="C2213" i="1"/>
  <c r="A2214" i="1"/>
  <c r="C2214" i="1"/>
  <c r="A2215" i="1"/>
  <c r="C2215" i="1"/>
  <c r="A2216" i="1"/>
  <c r="C2216" i="1"/>
  <c r="A2217" i="1"/>
  <c r="C2217" i="1"/>
  <c r="A2218" i="1"/>
  <c r="C2218" i="1"/>
  <c r="A2219" i="1"/>
  <c r="C2219" i="1"/>
  <c r="A2220" i="1"/>
  <c r="C2220" i="1"/>
  <c r="A2221" i="1"/>
  <c r="C2221" i="1"/>
  <c r="A2222" i="1"/>
  <c r="C2222" i="1"/>
  <c r="A2223" i="1"/>
  <c r="C2223" i="1"/>
  <c r="A2224" i="1"/>
  <c r="C2224" i="1"/>
  <c r="A2225" i="1"/>
  <c r="C2225" i="1"/>
  <c r="A2226" i="1"/>
  <c r="C2226" i="1"/>
  <c r="A2227" i="1"/>
  <c r="C2227" i="1"/>
  <c r="A2228" i="1"/>
  <c r="C2228" i="1"/>
  <c r="A2229" i="1"/>
  <c r="C2229" i="1"/>
  <c r="A2230" i="1"/>
  <c r="C2230" i="1"/>
  <c r="A2231" i="1"/>
  <c r="C2231" i="1"/>
  <c r="A2232" i="1"/>
  <c r="C2232" i="1"/>
  <c r="A2233" i="1"/>
  <c r="C2233" i="1"/>
  <c r="A2234" i="1"/>
  <c r="C2234" i="1"/>
  <c r="A2235" i="1"/>
  <c r="C2235" i="1"/>
  <c r="A2236" i="1"/>
  <c r="C2236" i="1"/>
  <c r="A2237" i="1"/>
  <c r="C2237" i="1"/>
  <c r="A2238" i="1"/>
  <c r="C2238" i="1"/>
  <c r="A2239" i="1"/>
  <c r="C2239" i="1"/>
  <c r="A2240" i="1"/>
  <c r="C2240" i="1"/>
  <c r="A2241" i="1"/>
  <c r="C2241" i="1"/>
  <c r="A2242" i="1"/>
  <c r="C2242" i="1"/>
  <c r="A2243" i="1"/>
  <c r="C2243" i="1"/>
  <c r="A2244" i="1"/>
  <c r="C2244" i="1"/>
  <c r="A2245" i="1"/>
  <c r="C2245" i="1"/>
  <c r="A2246" i="1"/>
  <c r="C2246" i="1"/>
  <c r="A2247" i="1"/>
  <c r="C2247" i="1"/>
  <c r="A2248" i="1"/>
  <c r="C2248" i="1"/>
  <c r="A2249" i="1"/>
  <c r="C2249" i="1"/>
  <c r="A2250" i="1"/>
  <c r="C2250" i="1"/>
  <c r="A2251" i="1"/>
  <c r="C2251" i="1"/>
  <c r="A2252" i="1"/>
  <c r="C2252" i="1"/>
  <c r="A2253" i="1"/>
  <c r="C2253" i="1"/>
  <c r="A2254" i="1"/>
  <c r="C2254" i="1"/>
  <c r="A2255" i="1"/>
  <c r="C2255" i="1"/>
  <c r="A2256" i="1"/>
  <c r="C2256" i="1"/>
  <c r="A2257" i="1"/>
  <c r="C2257" i="1"/>
  <c r="A2258" i="1"/>
  <c r="C2258" i="1"/>
  <c r="A2259" i="1"/>
  <c r="C2259" i="1"/>
  <c r="A2260" i="1"/>
  <c r="C2260" i="1"/>
  <c r="A2261" i="1"/>
  <c r="C2261" i="1"/>
  <c r="A2262" i="1"/>
  <c r="C2262" i="1"/>
  <c r="A2263" i="1"/>
  <c r="C2263" i="1"/>
  <c r="A2264" i="1"/>
  <c r="C2264" i="1"/>
  <c r="A2265" i="1"/>
  <c r="C2265" i="1"/>
  <c r="A2266" i="1"/>
  <c r="C2266" i="1"/>
  <c r="A2267" i="1"/>
  <c r="C2267" i="1"/>
  <c r="A2268" i="1"/>
  <c r="C2268" i="1"/>
  <c r="A2269" i="1"/>
  <c r="C2269" i="1"/>
  <c r="A2270" i="1"/>
  <c r="C2270" i="1"/>
  <c r="A2271" i="1"/>
  <c r="C2271" i="1"/>
  <c r="A2272" i="1"/>
  <c r="C2272" i="1"/>
  <c r="A2273" i="1"/>
  <c r="C2273" i="1"/>
  <c r="A2274" i="1"/>
  <c r="C2274" i="1"/>
  <c r="A2275" i="1"/>
  <c r="C2275" i="1"/>
  <c r="A2276" i="1"/>
  <c r="C2276" i="1"/>
  <c r="A2277" i="1"/>
  <c r="C2277" i="1"/>
  <c r="A2278" i="1"/>
  <c r="C2278" i="1"/>
  <c r="A2279" i="1"/>
  <c r="C2279" i="1"/>
  <c r="A2280" i="1"/>
  <c r="C2280" i="1"/>
  <c r="A2281" i="1"/>
  <c r="C2281" i="1"/>
  <c r="A2282" i="1"/>
  <c r="C2282" i="1"/>
  <c r="A2283" i="1"/>
  <c r="C2283" i="1"/>
  <c r="A2284" i="1"/>
  <c r="C2284" i="1"/>
  <c r="A2285" i="1"/>
  <c r="C2285" i="1"/>
  <c r="A2286" i="1"/>
  <c r="C2286" i="1"/>
  <c r="A2287" i="1"/>
  <c r="C2287" i="1"/>
  <c r="A2288" i="1"/>
  <c r="C2288" i="1"/>
  <c r="A2289" i="1"/>
  <c r="C2289" i="1"/>
  <c r="A2290" i="1"/>
  <c r="C2290" i="1"/>
  <c r="A2291" i="1"/>
  <c r="C2291" i="1"/>
  <c r="A2292" i="1"/>
  <c r="C2292" i="1"/>
  <c r="A2293" i="1"/>
  <c r="C2293" i="1"/>
  <c r="A2294" i="1"/>
  <c r="C2294" i="1"/>
  <c r="A2295" i="1"/>
  <c r="C2295" i="1"/>
  <c r="A2296" i="1"/>
  <c r="C2296" i="1"/>
  <c r="A2297" i="1"/>
  <c r="C2297" i="1"/>
  <c r="A2298" i="1"/>
  <c r="C2298" i="1"/>
  <c r="A2299" i="1"/>
  <c r="C2299" i="1"/>
  <c r="A2300" i="1"/>
  <c r="C2300" i="1"/>
  <c r="A2301" i="1"/>
  <c r="C2301" i="1"/>
  <c r="A2302" i="1"/>
  <c r="C2302" i="1"/>
  <c r="A2303" i="1"/>
  <c r="C2303" i="1"/>
  <c r="A2304" i="1"/>
  <c r="C2304" i="1"/>
  <c r="A2305" i="1"/>
  <c r="C2305" i="1"/>
  <c r="A2306" i="1"/>
  <c r="C2306" i="1"/>
  <c r="A2307" i="1"/>
  <c r="C2307" i="1"/>
  <c r="A2308" i="1"/>
  <c r="C2308" i="1"/>
  <c r="A2309" i="1"/>
  <c r="C2309" i="1"/>
  <c r="A2310" i="1"/>
  <c r="C2310" i="1"/>
  <c r="A2311" i="1"/>
  <c r="C2311" i="1"/>
  <c r="A2312" i="1"/>
  <c r="C2312" i="1"/>
  <c r="A2313" i="1"/>
  <c r="C2313" i="1"/>
  <c r="A2314" i="1"/>
  <c r="C2314" i="1"/>
  <c r="A2315" i="1"/>
  <c r="C2315" i="1"/>
  <c r="A2316" i="1"/>
  <c r="C2316" i="1"/>
  <c r="A2317" i="1"/>
  <c r="C2317" i="1"/>
  <c r="A2318" i="1"/>
  <c r="C2318" i="1"/>
  <c r="A2319" i="1"/>
  <c r="C2319" i="1"/>
  <c r="A2320" i="1"/>
  <c r="C2320" i="1"/>
  <c r="A2321" i="1"/>
  <c r="C2321" i="1"/>
  <c r="A2322" i="1"/>
  <c r="C2322" i="1"/>
  <c r="A2323" i="1"/>
  <c r="C2323" i="1"/>
  <c r="A2324" i="1"/>
  <c r="C2324" i="1"/>
  <c r="A2325" i="1"/>
  <c r="C2325" i="1"/>
  <c r="A2326" i="1"/>
  <c r="C2326" i="1"/>
  <c r="A2327" i="1"/>
  <c r="C2327" i="1"/>
  <c r="A2328" i="1"/>
  <c r="C2328" i="1"/>
  <c r="A2329" i="1"/>
  <c r="C2329" i="1"/>
  <c r="A2330" i="1"/>
  <c r="C2330" i="1"/>
  <c r="A2331" i="1"/>
  <c r="C2331" i="1"/>
  <c r="A2332" i="1"/>
  <c r="C2332" i="1"/>
  <c r="A2333" i="1"/>
  <c r="C2333" i="1"/>
  <c r="A2334" i="1"/>
  <c r="C2334" i="1"/>
  <c r="A2335" i="1"/>
  <c r="C2335" i="1"/>
  <c r="A2336" i="1"/>
  <c r="C2336" i="1"/>
  <c r="A2337" i="1"/>
  <c r="C2337" i="1"/>
  <c r="A2338" i="1"/>
  <c r="C2338" i="1"/>
  <c r="A2339" i="1"/>
  <c r="C2339" i="1"/>
  <c r="A2340" i="1"/>
  <c r="C2340" i="1"/>
  <c r="A2341" i="1"/>
  <c r="C2341" i="1"/>
  <c r="A2342" i="1"/>
  <c r="C2342" i="1"/>
  <c r="A2343" i="1"/>
  <c r="C2343" i="1"/>
  <c r="A2344" i="1"/>
  <c r="C2344" i="1"/>
  <c r="A2345" i="1"/>
  <c r="C2345" i="1"/>
  <c r="A2346" i="1"/>
  <c r="C2346" i="1"/>
  <c r="A2347" i="1"/>
  <c r="C2347" i="1"/>
  <c r="A2348" i="1"/>
  <c r="C2348" i="1"/>
  <c r="A2349" i="1"/>
  <c r="C2349" i="1"/>
  <c r="A2350" i="1"/>
  <c r="C2350" i="1"/>
  <c r="A2351" i="1"/>
  <c r="C2351" i="1"/>
  <c r="A2352" i="1"/>
  <c r="C2352" i="1"/>
  <c r="A2353" i="1"/>
  <c r="C2353" i="1"/>
  <c r="A2354" i="1"/>
  <c r="C2354" i="1"/>
  <c r="A2355" i="1"/>
  <c r="C2355" i="1"/>
  <c r="A2356" i="1"/>
  <c r="C2356" i="1"/>
  <c r="A2357" i="1"/>
  <c r="C2357" i="1"/>
  <c r="A2358" i="1"/>
  <c r="C2358" i="1"/>
  <c r="A2359" i="1"/>
  <c r="C2359" i="1"/>
  <c r="A2360" i="1"/>
  <c r="C2360" i="1"/>
  <c r="A2361" i="1"/>
  <c r="C2361" i="1"/>
  <c r="A2362" i="1"/>
  <c r="C2362" i="1"/>
  <c r="A2363" i="1"/>
  <c r="C2363" i="1"/>
  <c r="A2364" i="1"/>
  <c r="C2364" i="1"/>
  <c r="A2365" i="1"/>
  <c r="C2365" i="1"/>
  <c r="A2366" i="1"/>
  <c r="C2366" i="1"/>
  <c r="A2367" i="1"/>
  <c r="C2367" i="1"/>
  <c r="A2368" i="1"/>
  <c r="C2368" i="1"/>
  <c r="A2369" i="1"/>
  <c r="C2369" i="1"/>
  <c r="A2370" i="1"/>
  <c r="C2370" i="1"/>
  <c r="A2371" i="1"/>
  <c r="C2371" i="1"/>
  <c r="A2372" i="1"/>
  <c r="C2372" i="1"/>
  <c r="A2373" i="1"/>
  <c r="C2373" i="1"/>
  <c r="A2374" i="1"/>
  <c r="C2374" i="1"/>
  <c r="A2375" i="1"/>
  <c r="C2375" i="1"/>
  <c r="A2376" i="1"/>
  <c r="C2376" i="1"/>
  <c r="A2377" i="1"/>
  <c r="C2377" i="1"/>
  <c r="A2378" i="1"/>
  <c r="C2378" i="1"/>
  <c r="A2379" i="1"/>
  <c r="C2379" i="1"/>
  <c r="A2380" i="1"/>
  <c r="C2380" i="1"/>
  <c r="A2381" i="1"/>
  <c r="C2381" i="1"/>
  <c r="A2382" i="1"/>
  <c r="C2382" i="1"/>
  <c r="A2383" i="1"/>
  <c r="C2383" i="1"/>
  <c r="A2384" i="1"/>
  <c r="C2384" i="1"/>
  <c r="A2385" i="1"/>
  <c r="C2385" i="1"/>
  <c r="A2386" i="1"/>
  <c r="C2386" i="1"/>
  <c r="A2387" i="1"/>
  <c r="C2387" i="1"/>
  <c r="A2388" i="1"/>
  <c r="C2388" i="1"/>
  <c r="A2389" i="1"/>
  <c r="C2389" i="1"/>
  <c r="A2390" i="1"/>
  <c r="C2390" i="1"/>
  <c r="A2391" i="1"/>
  <c r="C2391" i="1"/>
  <c r="A2392" i="1"/>
  <c r="C2392" i="1"/>
  <c r="A2393" i="1"/>
  <c r="C2393" i="1"/>
  <c r="A2394" i="1"/>
  <c r="C2394" i="1"/>
  <c r="A2395" i="1"/>
  <c r="C2395" i="1"/>
  <c r="A2396" i="1"/>
  <c r="C2396" i="1"/>
  <c r="A2397" i="1"/>
  <c r="C2397" i="1"/>
  <c r="A2398" i="1"/>
  <c r="C2398" i="1"/>
  <c r="A2399" i="1"/>
  <c r="C2399" i="1"/>
  <c r="A2400" i="1"/>
  <c r="C2400" i="1"/>
  <c r="A2401" i="1"/>
  <c r="C2401" i="1"/>
  <c r="A2402" i="1"/>
  <c r="C2402" i="1"/>
  <c r="A2403" i="1"/>
  <c r="C2403" i="1"/>
  <c r="A2404" i="1"/>
  <c r="C2404" i="1"/>
  <c r="A2405" i="1"/>
  <c r="C2405" i="1"/>
  <c r="A2406" i="1"/>
  <c r="C2406" i="1"/>
  <c r="A2407" i="1"/>
  <c r="C2407" i="1"/>
  <c r="A2408" i="1"/>
  <c r="C2408" i="1"/>
  <c r="A2409" i="1"/>
  <c r="C2409" i="1"/>
  <c r="A2410" i="1"/>
  <c r="C2410" i="1"/>
  <c r="A2411" i="1"/>
  <c r="C2411" i="1"/>
  <c r="A2412" i="1"/>
  <c r="C2412" i="1"/>
  <c r="A2413" i="1"/>
  <c r="C2413" i="1"/>
  <c r="A2414" i="1"/>
  <c r="C2414" i="1"/>
  <c r="A2415" i="1"/>
  <c r="C2415" i="1"/>
  <c r="A2416" i="1"/>
  <c r="C2416" i="1"/>
  <c r="A2417" i="1"/>
  <c r="C2417" i="1"/>
  <c r="A2418" i="1"/>
  <c r="C2418" i="1"/>
  <c r="A2419" i="1"/>
  <c r="C2419" i="1"/>
  <c r="A2420" i="1"/>
  <c r="C2420" i="1"/>
  <c r="A2421" i="1"/>
  <c r="C2421" i="1"/>
  <c r="A2422" i="1"/>
  <c r="C2422" i="1"/>
  <c r="A2423" i="1"/>
  <c r="C2423" i="1"/>
  <c r="A2424" i="1"/>
  <c r="C2424" i="1"/>
  <c r="A2425" i="1"/>
  <c r="C2425" i="1"/>
  <c r="A2426" i="1"/>
  <c r="C2426" i="1"/>
  <c r="A2427" i="1"/>
  <c r="C2427" i="1"/>
  <c r="A2428" i="1"/>
  <c r="C2428" i="1"/>
  <c r="A2429" i="1"/>
  <c r="C2429" i="1"/>
  <c r="A2430" i="1"/>
  <c r="C2430" i="1"/>
  <c r="A2431" i="1"/>
  <c r="C2431" i="1"/>
  <c r="A2432" i="1"/>
  <c r="C2432" i="1"/>
  <c r="A2433" i="1"/>
  <c r="C2433" i="1"/>
  <c r="A2434" i="1"/>
  <c r="C2434" i="1"/>
  <c r="A2435" i="1"/>
  <c r="C2435" i="1"/>
  <c r="A2436" i="1"/>
  <c r="C2436" i="1"/>
  <c r="A2437" i="1"/>
  <c r="C2437" i="1"/>
  <c r="A2438" i="1"/>
  <c r="C2438" i="1"/>
  <c r="A2439" i="1"/>
  <c r="C2439" i="1"/>
  <c r="A2440" i="1"/>
  <c r="C2440" i="1"/>
  <c r="A2441" i="1"/>
  <c r="C2441" i="1"/>
  <c r="A2442" i="1"/>
  <c r="C2442" i="1"/>
  <c r="A2443" i="1"/>
  <c r="C2443" i="1"/>
  <c r="A2444" i="1"/>
  <c r="C2444" i="1"/>
  <c r="A2445" i="1"/>
  <c r="C2445" i="1"/>
  <c r="A2446" i="1"/>
  <c r="C2446" i="1"/>
  <c r="A2447" i="1"/>
  <c r="C2447" i="1"/>
  <c r="A2448" i="1"/>
  <c r="C2448" i="1"/>
  <c r="A2449" i="1"/>
  <c r="C2449" i="1"/>
  <c r="A2450" i="1"/>
  <c r="C2450" i="1"/>
  <c r="A2451" i="1"/>
  <c r="C2451" i="1"/>
  <c r="A2452" i="1"/>
  <c r="C2452" i="1"/>
  <c r="A2453" i="1"/>
  <c r="C2453" i="1"/>
  <c r="A2454" i="1"/>
  <c r="C2454" i="1"/>
  <c r="A2455" i="1"/>
  <c r="C2455" i="1"/>
  <c r="A2456" i="1"/>
  <c r="C2456" i="1"/>
  <c r="A2457" i="1"/>
  <c r="C2457" i="1"/>
  <c r="A2458" i="1"/>
  <c r="C2458" i="1"/>
  <c r="A2459" i="1"/>
  <c r="C2459" i="1"/>
  <c r="A2460" i="1"/>
  <c r="C2460" i="1"/>
  <c r="A2461" i="1"/>
  <c r="C2461" i="1"/>
  <c r="A2462" i="1"/>
  <c r="C2462" i="1"/>
  <c r="A2463" i="1"/>
  <c r="C2463" i="1"/>
  <c r="A2464" i="1"/>
  <c r="C2464" i="1"/>
  <c r="A2465" i="1"/>
  <c r="C2465" i="1"/>
  <c r="A2466" i="1"/>
  <c r="C2466" i="1"/>
  <c r="A2467" i="1"/>
  <c r="C2467" i="1"/>
  <c r="A2468" i="1"/>
  <c r="C2468" i="1"/>
  <c r="A2469" i="1"/>
  <c r="C2469" i="1"/>
  <c r="A2470" i="1"/>
  <c r="C2470" i="1"/>
  <c r="A2471" i="1"/>
  <c r="C2471" i="1"/>
  <c r="A2472" i="1"/>
  <c r="C2472" i="1"/>
  <c r="A2473" i="1"/>
  <c r="C2473" i="1"/>
  <c r="A2474" i="1"/>
  <c r="C2474" i="1"/>
  <c r="A2475" i="1"/>
  <c r="C2475" i="1"/>
  <c r="A2476" i="1"/>
  <c r="C2476" i="1"/>
  <c r="A2477" i="1"/>
  <c r="C2477" i="1"/>
  <c r="A2478" i="1"/>
  <c r="C2478" i="1"/>
  <c r="A2479" i="1"/>
  <c r="C2479" i="1"/>
  <c r="A2480" i="1"/>
  <c r="C2480" i="1"/>
  <c r="A2481" i="1"/>
  <c r="C2481" i="1"/>
  <c r="A2482" i="1"/>
  <c r="C2482" i="1"/>
  <c r="A2483" i="1"/>
  <c r="C2483" i="1"/>
  <c r="A2484" i="1"/>
  <c r="C2484" i="1"/>
  <c r="A2485" i="1"/>
  <c r="C2485" i="1"/>
  <c r="A2486" i="1"/>
  <c r="C2486" i="1"/>
  <c r="A2487" i="1"/>
  <c r="C2487" i="1"/>
  <c r="A2488" i="1"/>
  <c r="C2488" i="1"/>
  <c r="A2489" i="1"/>
  <c r="C2489" i="1"/>
  <c r="A2490" i="1"/>
  <c r="C2490" i="1"/>
  <c r="A2491" i="1"/>
  <c r="C2491" i="1"/>
  <c r="A2492" i="1"/>
  <c r="C2492" i="1"/>
  <c r="A2493" i="1"/>
  <c r="C2493" i="1"/>
  <c r="A2494" i="1"/>
  <c r="C2494" i="1"/>
  <c r="A2495" i="1"/>
  <c r="C2495" i="1"/>
  <c r="A2496" i="1"/>
  <c r="C2496" i="1"/>
  <c r="A2497" i="1"/>
  <c r="C2497" i="1"/>
  <c r="A2498" i="1"/>
  <c r="C2498" i="1"/>
  <c r="A2499" i="1"/>
  <c r="C2499" i="1"/>
  <c r="A2500" i="1"/>
  <c r="C2500" i="1"/>
  <c r="A2501" i="1"/>
  <c r="C2501" i="1"/>
  <c r="A2502" i="1"/>
  <c r="C2502" i="1"/>
  <c r="A2503" i="1"/>
  <c r="C2503" i="1"/>
  <c r="A2504" i="1"/>
  <c r="C2504" i="1"/>
  <c r="A2505" i="1"/>
  <c r="C2505" i="1"/>
  <c r="A2506" i="1"/>
  <c r="C2506" i="1"/>
  <c r="A2507" i="1"/>
  <c r="C2507" i="1"/>
  <c r="A2508" i="1"/>
  <c r="C2508" i="1"/>
  <c r="A2509" i="1"/>
  <c r="C2509" i="1"/>
  <c r="A2510" i="1"/>
  <c r="C2510" i="1"/>
  <c r="A2511" i="1"/>
  <c r="C2511" i="1"/>
  <c r="A2512" i="1"/>
  <c r="C2512" i="1"/>
  <c r="A2513" i="1"/>
  <c r="C2513" i="1"/>
  <c r="A2514" i="1"/>
  <c r="C2514" i="1"/>
  <c r="A2515" i="1"/>
  <c r="C2515" i="1"/>
  <c r="A2516" i="1"/>
  <c r="C2516" i="1"/>
  <c r="A2517" i="1"/>
  <c r="C2517" i="1"/>
  <c r="A2518" i="1"/>
  <c r="C2518" i="1"/>
  <c r="A2519" i="1"/>
  <c r="C2519" i="1"/>
  <c r="A2520" i="1"/>
  <c r="C2520" i="1"/>
  <c r="A2521" i="1"/>
  <c r="C2521" i="1"/>
  <c r="A2522" i="1"/>
  <c r="C2522" i="1"/>
  <c r="A2523" i="1"/>
  <c r="C2523" i="1"/>
  <c r="A2524" i="1"/>
  <c r="C2524" i="1"/>
  <c r="A2525" i="1"/>
  <c r="C2525" i="1"/>
  <c r="A2526" i="1"/>
  <c r="C2526" i="1"/>
  <c r="A2527" i="1"/>
  <c r="C2527" i="1"/>
  <c r="A2528" i="1"/>
  <c r="C2528" i="1"/>
  <c r="A2529" i="1"/>
  <c r="C2529" i="1"/>
  <c r="A2530" i="1"/>
  <c r="C2530" i="1"/>
  <c r="A2531" i="1"/>
  <c r="C2531" i="1"/>
  <c r="A2532" i="1"/>
  <c r="C2532" i="1"/>
  <c r="A2533" i="1"/>
  <c r="C2533" i="1"/>
  <c r="A2534" i="1"/>
  <c r="C2534" i="1"/>
  <c r="A2535" i="1"/>
  <c r="C2535" i="1"/>
  <c r="A2536" i="1"/>
  <c r="C2536" i="1"/>
  <c r="A2537" i="1"/>
  <c r="C2537" i="1"/>
  <c r="A2538" i="1"/>
  <c r="C2538" i="1"/>
  <c r="A2539" i="1"/>
  <c r="C2539" i="1"/>
  <c r="A2540" i="1"/>
  <c r="C2540" i="1"/>
  <c r="A2541" i="1"/>
  <c r="C2541" i="1"/>
  <c r="A2542" i="1"/>
  <c r="C2542" i="1"/>
  <c r="A2543" i="1"/>
  <c r="C2543" i="1"/>
  <c r="A2544" i="1"/>
  <c r="C2544" i="1"/>
  <c r="A2545" i="1"/>
  <c r="C2545" i="1"/>
  <c r="A2546" i="1"/>
  <c r="C2546" i="1"/>
  <c r="A2547" i="1"/>
  <c r="C2547" i="1"/>
  <c r="A2548" i="1"/>
  <c r="C2548" i="1"/>
  <c r="A2549" i="1"/>
  <c r="C2549" i="1"/>
  <c r="A2550" i="1"/>
  <c r="C2550" i="1"/>
  <c r="A2551" i="1"/>
  <c r="C2551" i="1"/>
  <c r="A2552" i="1"/>
  <c r="C2552" i="1"/>
  <c r="A2553" i="1"/>
  <c r="C2553" i="1"/>
  <c r="A2554" i="1"/>
  <c r="C2554" i="1"/>
  <c r="A2555" i="1"/>
  <c r="C2555" i="1"/>
  <c r="A2556" i="1"/>
  <c r="C2556" i="1"/>
  <c r="A2557" i="1"/>
  <c r="C2557" i="1"/>
  <c r="A2558" i="1"/>
  <c r="C2558" i="1"/>
  <c r="A2559" i="1"/>
  <c r="C2559" i="1"/>
  <c r="A2560" i="1"/>
  <c r="C2560" i="1"/>
  <c r="A2561" i="1"/>
  <c r="C2561" i="1"/>
  <c r="A2562" i="1"/>
  <c r="C2562" i="1"/>
  <c r="A2563" i="1"/>
  <c r="C2563" i="1"/>
  <c r="A2564" i="1"/>
  <c r="C2564" i="1"/>
  <c r="A2565" i="1"/>
  <c r="C2565" i="1"/>
  <c r="A2566" i="1"/>
  <c r="C2566" i="1"/>
  <c r="A2567" i="1"/>
  <c r="C2567" i="1"/>
  <c r="A2568" i="1"/>
  <c r="C2568" i="1"/>
  <c r="A2569" i="1"/>
  <c r="C2569" i="1"/>
  <c r="A2570" i="1"/>
  <c r="C2570" i="1"/>
  <c r="A2571" i="1"/>
  <c r="C2571" i="1"/>
  <c r="A2572" i="1"/>
  <c r="C2572" i="1"/>
  <c r="A2573" i="1"/>
  <c r="C2573" i="1"/>
  <c r="A2574" i="1"/>
  <c r="C2574" i="1"/>
  <c r="A2575" i="1"/>
  <c r="C2575" i="1"/>
  <c r="A2576" i="1"/>
  <c r="C2576" i="1"/>
  <c r="A2577" i="1"/>
  <c r="C2577" i="1"/>
  <c r="A2578" i="1"/>
  <c r="C2578" i="1"/>
  <c r="A2579" i="1"/>
  <c r="C2579" i="1"/>
  <c r="A2580" i="1"/>
  <c r="C2580" i="1"/>
  <c r="A2581" i="1"/>
  <c r="C2581" i="1"/>
  <c r="A2582" i="1"/>
  <c r="C2582" i="1"/>
  <c r="A2583" i="1"/>
  <c r="C2583" i="1"/>
  <c r="A2584" i="1"/>
  <c r="C2584" i="1"/>
  <c r="A2585" i="1"/>
  <c r="C2585" i="1"/>
  <c r="A2586" i="1"/>
  <c r="C2586" i="1"/>
  <c r="A2587" i="1"/>
  <c r="C2587" i="1"/>
  <c r="A2588" i="1"/>
  <c r="C2588" i="1"/>
  <c r="A2589" i="1"/>
  <c r="C2589" i="1"/>
  <c r="A2590" i="1"/>
  <c r="C2590" i="1"/>
  <c r="A2591" i="1"/>
  <c r="C2591" i="1"/>
  <c r="A2592" i="1"/>
  <c r="C2592" i="1"/>
  <c r="A2593" i="1"/>
  <c r="C2593" i="1"/>
  <c r="A2594" i="1"/>
  <c r="C2594" i="1"/>
  <c r="A2595" i="1"/>
  <c r="C2595" i="1"/>
  <c r="A2596" i="1"/>
  <c r="C2596" i="1"/>
  <c r="A2597" i="1"/>
  <c r="C2597" i="1"/>
  <c r="A2598" i="1"/>
  <c r="C2598" i="1"/>
  <c r="A2599" i="1"/>
  <c r="C2599" i="1"/>
  <c r="A2600" i="1"/>
  <c r="C2600" i="1"/>
  <c r="A2601" i="1"/>
  <c r="C2601" i="1"/>
  <c r="A2602" i="1"/>
  <c r="C2602" i="1"/>
  <c r="A2603" i="1"/>
  <c r="C2603" i="1"/>
  <c r="A2604" i="1"/>
  <c r="C2604" i="1"/>
  <c r="A2605" i="1"/>
  <c r="C2605" i="1"/>
  <c r="A2606" i="1"/>
  <c r="C2606" i="1"/>
  <c r="A2607" i="1"/>
  <c r="C2607" i="1"/>
  <c r="A2608" i="1"/>
  <c r="C2608" i="1"/>
  <c r="A2609" i="1"/>
  <c r="C2609" i="1"/>
  <c r="A2610" i="1"/>
  <c r="C2610" i="1"/>
  <c r="A2611" i="1"/>
  <c r="C2611" i="1"/>
  <c r="A2612" i="1"/>
  <c r="C2612" i="1"/>
  <c r="A2613" i="1"/>
  <c r="C2613" i="1"/>
  <c r="A2614" i="1"/>
  <c r="C2614" i="1"/>
  <c r="A2615" i="1"/>
  <c r="C2615" i="1"/>
  <c r="A2616" i="1"/>
  <c r="C2616" i="1"/>
  <c r="A2617" i="1"/>
  <c r="C2617" i="1"/>
  <c r="A2618" i="1"/>
  <c r="C2618" i="1"/>
  <c r="A2619" i="1"/>
  <c r="C2619" i="1"/>
  <c r="A2620" i="1"/>
  <c r="C2620" i="1"/>
  <c r="A2621" i="1"/>
  <c r="C2621" i="1"/>
  <c r="A2622" i="1"/>
  <c r="C2622" i="1"/>
  <c r="A2623" i="1"/>
  <c r="C2623" i="1"/>
  <c r="A2624" i="1"/>
  <c r="C2624" i="1"/>
  <c r="A2625" i="1"/>
  <c r="C2625" i="1"/>
  <c r="A2626" i="1"/>
  <c r="C2626" i="1"/>
  <c r="A2627" i="1"/>
  <c r="C2627" i="1"/>
  <c r="A2628" i="1"/>
  <c r="C2628" i="1"/>
  <c r="A2629" i="1"/>
  <c r="C2629" i="1"/>
  <c r="A2630" i="1"/>
  <c r="C2630" i="1"/>
  <c r="A2631" i="1"/>
  <c r="C2631" i="1"/>
  <c r="A2632" i="1"/>
  <c r="C2632" i="1"/>
  <c r="A2633" i="1"/>
  <c r="C2633" i="1"/>
  <c r="A2634" i="1"/>
  <c r="C2634" i="1"/>
  <c r="A2635" i="1"/>
  <c r="C2635" i="1"/>
  <c r="A2636" i="1"/>
  <c r="C2636" i="1"/>
  <c r="A2637" i="1"/>
  <c r="C2637" i="1"/>
  <c r="A2638" i="1"/>
  <c r="C2638" i="1"/>
  <c r="A2639" i="1"/>
  <c r="C2639" i="1"/>
  <c r="A2640" i="1"/>
  <c r="C2640" i="1"/>
  <c r="A2641" i="1"/>
  <c r="C2641" i="1"/>
  <c r="A2642" i="1"/>
  <c r="C2642" i="1"/>
  <c r="A2643" i="1"/>
  <c r="C2643" i="1"/>
  <c r="A2644" i="1"/>
  <c r="C2644" i="1"/>
  <c r="A2645" i="1"/>
  <c r="C2645" i="1"/>
  <c r="A2646" i="1"/>
  <c r="C2646" i="1"/>
  <c r="A2647" i="1"/>
  <c r="C2647" i="1"/>
  <c r="A2648" i="1"/>
  <c r="C2648" i="1"/>
  <c r="A2649" i="1"/>
  <c r="C2649" i="1"/>
  <c r="A2650" i="1"/>
  <c r="C2650" i="1"/>
  <c r="A2651" i="1"/>
  <c r="C2651" i="1"/>
  <c r="A2652" i="1"/>
  <c r="C2652" i="1"/>
  <c r="A2653" i="1"/>
  <c r="C2653" i="1"/>
  <c r="A2654" i="1"/>
  <c r="C2654" i="1"/>
  <c r="A2655" i="1"/>
  <c r="C2655" i="1"/>
  <c r="A2656" i="1"/>
  <c r="C2656" i="1"/>
  <c r="A2657" i="1"/>
  <c r="C2657" i="1"/>
  <c r="A2658" i="1"/>
  <c r="C2658" i="1"/>
  <c r="A2659" i="1"/>
  <c r="C2659" i="1"/>
  <c r="A2660" i="1"/>
  <c r="C2660" i="1"/>
  <c r="A2661" i="1"/>
  <c r="C2661" i="1"/>
  <c r="A2662" i="1"/>
  <c r="C2662" i="1"/>
  <c r="A2663" i="1"/>
  <c r="C2663" i="1"/>
  <c r="A2664" i="1"/>
  <c r="C2664" i="1"/>
  <c r="A2665" i="1"/>
  <c r="C2665" i="1"/>
  <c r="A2666" i="1"/>
  <c r="C2666" i="1"/>
  <c r="A2667" i="1"/>
  <c r="C2667" i="1"/>
  <c r="A2668" i="1"/>
  <c r="C2668" i="1"/>
  <c r="A2669" i="1"/>
  <c r="C2669" i="1"/>
  <c r="A2670" i="1"/>
  <c r="C2670" i="1"/>
  <c r="A2671" i="1"/>
  <c r="C2671" i="1"/>
  <c r="A2672" i="1"/>
  <c r="C2672" i="1"/>
  <c r="A2673" i="1"/>
  <c r="C2673" i="1"/>
  <c r="A2674" i="1"/>
  <c r="C2674" i="1"/>
  <c r="A2675" i="1"/>
  <c r="C2675" i="1"/>
  <c r="A2676" i="1"/>
  <c r="C2676" i="1"/>
  <c r="A2677" i="1"/>
  <c r="C2677" i="1"/>
  <c r="A2678" i="1"/>
  <c r="C2678" i="1"/>
  <c r="A2679" i="1"/>
  <c r="C2679" i="1"/>
  <c r="A2680" i="1"/>
  <c r="C2680" i="1"/>
  <c r="A2681" i="1"/>
  <c r="C2681" i="1"/>
  <c r="A2682" i="1"/>
  <c r="C2682" i="1"/>
  <c r="A2683" i="1"/>
  <c r="C2683" i="1"/>
  <c r="A2684" i="1"/>
  <c r="C2684" i="1"/>
  <c r="A2685" i="1"/>
  <c r="C2685" i="1"/>
  <c r="A2686" i="1"/>
  <c r="C2686" i="1"/>
  <c r="A2687" i="1"/>
  <c r="C2687" i="1"/>
  <c r="A2688" i="1"/>
  <c r="C2688" i="1"/>
  <c r="A2689" i="1"/>
  <c r="C2689" i="1"/>
  <c r="A2690" i="1"/>
  <c r="C2690" i="1"/>
  <c r="A2691" i="1"/>
  <c r="C2691" i="1"/>
  <c r="A2692" i="1"/>
  <c r="C2692" i="1"/>
  <c r="A2693" i="1"/>
  <c r="C2693" i="1"/>
  <c r="A2694" i="1"/>
  <c r="C2694" i="1"/>
  <c r="A2695" i="1"/>
  <c r="C2695" i="1"/>
  <c r="A2696" i="1"/>
  <c r="C2696" i="1"/>
  <c r="A2697" i="1"/>
  <c r="C2697" i="1"/>
  <c r="A2698" i="1"/>
  <c r="C2698" i="1"/>
  <c r="A2699" i="1"/>
  <c r="C2699" i="1"/>
  <c r="A2700" i="1"/>
  <c r="C2700" i="1"/>
  <c r="A2701" i="1"/>
  <c r="C2701" i="1"/>
  <c r="A2702" i="1"/>
  <c r="C2702" i="1"/>
  <c r="A2703" i="1"/>
  <c r="C2703" i="1"/>
  <c r="A2704" i="1"/>
  <c r="C2704" i="1"/>
  <c r="A2705" i="1"/>
  <c r="C2705" i="1"/>
  <c r="A2706" i="1"/>
  <c r="C2706" i="1"/>
  <c r="A2707" i="1"/>
  <c r="C2707" i="1"/>
  <c r="A2708" i="1"/>
  <c r="C2708" i="1"/>
  <c r="A2709" i="1"/>
  <c r="C2709" i="1"/>
  <c r="A2710" i="1"/>
  <c r="C2710" i="1"/>
  <c r="A2711" i="1"/>
  <c r="C2711" i="1"/>
  <c r="A2712" i="1"/>
  <c r="C2712" i="1"/>
  <c r="A2713" i="1"/>
  <c r="C2713" i="1"/>
  <c r="A2714" i="1"/>
  <c r="C2714" i="1"/>
  <c r="A2715" i="1"/>
  <c r="C2715" i="1"/>
  <c r="A2716" i="1"/>
  <c r="C2716" i="1"/>
  <c r="A2717" i="1"/>
  <c r="C2717" i="1"/>
  <c r="A2718" i="1"/>
  <c r="C2718" i="1"/>
  <c r="A2719" i="1"/>
  <c r="C2719" i="1"/>
  <c r="A2720" i="1"/>
  <c r="C2720" i="1"/>
  <c r="A2721" i="1"/>
  <c r="C2721" i="1"/>
  <c r="A2722" i="1"/>
  <c r="C2722" i="1"/>
  <c r="A2723" i="1"/>
  <c r="C2723" i="1"/>
  <c r="A2724" i="1"/>
  <c r="C2724" i="1"/>
  <c r="A2725" i="1"/>
  <c r="C2725" i="1"/>
  <c r="A2726" i="1"/>
  <c r="C2726" i="1"/>
  <c r="A2727" i="1"/>
  <c r="C2727" i="1"/>
  <c r="A2728" i="1"/>
  <c r="C2728" i="1"/>
  <c r="A2729" i="1"/>
  <c r="C2729" i="1"/>
  <c r="A2730" i="1"/>
  <c r="C2730" i="1"/>
  <c r="A2731" i="1"/>
  <c r="C2731" i="1"/>
  <c r="A2732" i="1"/>
  <c r="C2732" i="1"/>
  <c r="A2733" i="1"/>
  <c r="C2733" i="1"/>
  <c r="A2734" i="1"/>
  <c r="C2734" i="1"/>
  <c r="A2735" i="1"/>
  <c r="C2735" i="1"/>
  <c r="A2736" i="1"/>
  <c r="C2736" i="1"/>
  <c r="A2737" i="1"/>
  <c r="C2737" i="1"/>
  <c r="A2738" i="1"/>
  <c r="C2738" i="1"/>
  <c r="A2739" i="1"/>
  <c r="C2739" i="1"/>
  <c r="A2740" i="1"/>
  <c r="C2740" i="1"/>
  <c r="A2741" i="1"/>
  <c r="C2741" i="1"/>
  <c r="A2742" i="1"/>
  <c r="C2742" i="1"/>
  <c r="A2743" i="1"/>
  <c r="C2743" i="1"/>
  <c r="A2744" i="1"/>
  <c r="C2744" i="1"/>
  <c r="A2745" i="1"/>
  <c r="C2745" i="1"/>
  <c r="A2746" i="1"/>
  <c r="C2746" i="1"/>
  <c r="A2747" i="1"/>
  <c r="C2747" i="1"/>
  <c r="A2748" i="1"/>
  <c r="C2748" i="1"/>
  <c r="A2749" i="1"/>
  <c r="C2749" i="1"/>
  <c r="A2750" i="1"/>
  <c r="C2750" i="1"/>
  <c r="A2751" i="1"/>
  <c r="C2751" i="1"/>
  <c r="A2752" i="1"/>
  <c r="C2752" i="1"/>
  <c r="A2753" i="1"/>
  <c r="C2753" i="1"/>
  <c r="A2754" i="1"/>
  <c r="C2754" i="1"/>
  <c r="A2755" i="1"/>
  <c r="C2755" i="1"/>
  <c r="A2756" i="1"/>
  <c r="C2756" i="1"/>
  <c r="A2757" i="1"/>
  <c r="C2757" i="1"/>
  <c r="A2758" i="1"/>
  <c r="C2758" i="1"/>
  <c r="A2759" i="1"/>
  <c r="C2759" i="1"/>
  <c r="A2760" i="1"/>
  <c r="C2760" i="1"/>
  <c r="A2761" i="1"/>
  <c r="C2761" i="1"/>
  <c r="A2762" i="1"/>
  <c r="C2762" i="1"/>
  <c r="A2763" i="1"/>
  <c r="C2763" i="1"/>
  <c r="A2764" i="1"/>
  <c r="C2764" i="1"/>
  <c r="A2765" i="1"/>
  <c r="C2765" i="1"/>
  <c r="A2766" i="1"/>
  <c r="C2766" i="1"/>
  <c r="A2767" i="1"/>
  <c r="C2767" i="1"/>
  <c r="A2768" i="1"/>
  <c r="C2768" i="1"/>
  <c r="A2769" i="1"/>
  <c r="C2769" i="1"/>
  <c r="A2770" i="1"/>
  <c r="C2770" i="1"/>
  <c r="A2771" i="1"/>
  <c r="C2771" i="1"/>
  <c r="A2772" i="1"/>
  <c r="C2772" i="1"/>
  <c r="A2773" i="1"/>
  <c r="C2773" i="1"/>
  <c r="A2774" i="1"/>
  <c r="C2774" i="1"/>
  <c r="A2775" i="1"/>
  <c r="C2775" i="1"/>
  <c r="A2776" i="1"/>
  <c r="C2776" i="1"/>
  <c r="A2777" i="1"/>
  <c r="C2777" i="1"/>
  <c r="A2778" i="1"/>
  <c r="C2778" i="1"/>
  <c r="A2779" i="1"/>
  <c r="C2779" i="1"/>
  <c r="A2780" i="1"/>
  <c r="C2780" i="1"/>
  <c r="A2781" i="1"/>
  <c r="C2781" i="1"/>
  <c r="A2782" i="1"/>
  <c r="C2782" i="1"/>
  <c r="A2783" i="1"/>
  <c r="C2783" i="1"/>
  <c r="A2784" i="1"/>
  <c r="C2784" i="1"/>
  <c r="A2785" i="1"/>
  <c r="C2785" i="1"/>
  <c r="A2786" i="1"/>
  <c r="C2786" i="1"/>
  <c r="A2787" i="1"/>
  <c r="C2787" i="1"/>
  <c r="A2788" i="1"/>
  <c r="C2788" i="1"/>
  <c r="A2789" i="1"/>
  <c r="C2789" i="1"/>
  <c r="A2790" i="1"/>
  <c r="C2790" i="1"/>
  <c r="A2791" i="1"/>
  <c r="C2791" i="1"/>
  <c r="A2792" i="1"/>
  <c r="C2792" i="1"/>
  <c r="A2793" i="1"/>
  <c r="C2793" i="1"/>
  <c r="A2794" i="1"/>
  <c r="C2794" i="1"/>
  <c r="A2795" i="1"/>
  <c r="C2795" i="1"/>
  <c r="A2796" i="1"/>
  <c r="C2796" i="1"/>
  <c r="A2797" i="1"/>
  <c r="C2797" i="1"/>
  <c r="A2798" i="1"/>
  <c r="C2798" i="1"/>
  <c r="A2799" i="1"/>
  <c r="C2799" i="1"/>
  <c r="A2800" i="1"/>
  <c r="C2800" i="1"/>
  <c r="A2801" i="1"/>
  <c r="C2801" i="1"/>
  <c r="A2802" i="1"/>
  <c r="C2802" i="1"/>
  <c r="A2803" i="1"/>
  <c r="C2803" i="1"/>
  <c r="A2804" i="1"/>
  <c r="C2804" i="1"/>
  <c r="A2805" i="1"/>
  <c r="C2805" i="1"/>
  <c r="A2806" i="1"/>
  <c r="C2806" i="1"/>
  <c r="A2807" i="1"/>
  <c r="C2807" i="1"/>
  <c r="A2808" i="1"/>
  <c r="C2808" i="1"/>
  <c r="A2809" i="1"/>
  <c r="C2809" i="1"/>
  <c r="A2810" i="1"/>
  <c r="C2810" i="1"/>
  <c r="A2811" i="1"/>
  <c r="C2811" i="1"/>
  <c r="A2812" i="1"/>
  <c r="C2812" i="1"/>
  <c r="A2813" i="1"/>
  <c r="C2813" i="1"/>
  <c r="A2814" i="1"/>
  <c r="C2814" i="1"/>
  <c r="A2815" i="1"/>
  <c r="C2815" i="1"/>
  <c r="A2816" i="1"/>
  <c r="C2816" i="1"/>
  <c r="A2817" i="1"/>
  <c r="C2817" i="1"/>
  <c r="A2818" i="1"/>
  <c r="C2818" i="1"/>
  <c r="A2819" i="1"/>
  <c r="C2819" i="1"/>
  <c r="A2820" i="1"/>
  <c r="C2820" i="1"/>
  <c r="A2821" i="1"/>
  <c r="C2821" i="1"/>
  <c r="A2822" i="1"/>
  <c r="C2822" i="1"/>
  <c r="A2823" i="1"/>
  <c r="C2823" i="1"/>
  <c r="A2824" i="1"/>
  <c r="C2824" i="1"/>
  <c r="A2825" i="1"/>
  <c r="C2825" i="1"/>
  <c r="A2826" i="1"/>
  <c r="C2826" i="1"/>
  <c r="A2827" i="1"/>
  <c r="C2827" i="1"/>
  <c r="A2828" i="1"/>
  <c r="C2828" i="1"/>
  <c r="A2829" i="1"/>
  <c r="C2829" i="1"/>
  <c r="A2830" i="1"/>
  <c r="C2830" i="1"/>
  <c r="A2831" i="1"/>
  <c r="C2831" i="1"/>
  <c r="A2832" i="1"/>
  <c r="C2832" i="1"/>
  <c r="A2833" i="1"/>
  <c r="C2833" i="1"/>
  <c r="A2834" i="1"/>
  <c r="C2834" i="1"/>
  <c r="A2835" i="1"/>
  <c r="C2835" i="1"/>
  <c r="A2836" i="1"/>
  <c r="C2836" i="1"/>
  <c r="A2837" i="1"/>
  <c r="C2837" i="1"/>
  <c r="A2838" i="1"/>
  <c r="C2838" i="1"/>
  <c r="A2839" i="1"/>
  <c r="C2839" i="1"/>
  <c r="A2840" i="1"/>
  <c r="C2840" i="1"/>
  <c r="A2841" i="1"/>
  <c r="C2841" i="1"/>
  <c r="A2842" i="1"/>
  <c r="C2842" i="1"/>
  <c r="A2843" i="1"/>
  <c r="C2843" i="1"/>
  <c r="A2844" i="1"/>
  <c r="C2844" i="1"/>
  <c r="A2845" i="1"/>
  <c r="C2845" i="1"/>
  <c r="A2846" i="1"/>
  <c r="C2846" i="1"/>
  <c r="A2847" i="1"/>
  <c r="C2847" i="1"/>
  <c r="A2848" i="1"/>
  <c r="C2848" i="1"/>
  <c r="A2849" i="1"/>
  <c r="C2849" i="1"/>
  <c r="A2850" i="1"/>
  <c r="C2850" i="1"/>
  <c r="A2851" i="1"/>
  <c r="C2851" i="1"/>
  <c r="A2852" i="1"/>
  <c r="C2852" i="1"/>
  <c r="A2853" i="1"/>
  <c r="C2853" i="1"/>
  <c r="A2854" i="1"/>
  <c r="C2854" i="1"/>
  <c r="A2855" i="1"/>
  <c r="C2855" i="1"/>
  <c r="A2856" i="1"/>
  <c r="C2856" i="1"/>
  <c r="A2857" i="1"/>
  <c r="C2857" i="1"/>
  <c r="A2858" i="1"/>
  <c r="C2858" i="1"/>
  <c r="A2859" i="1"/>
  <c r="C2859" i="1"/>
  <c r="A2860" i="1"/>
  <c r="C2860" i="1"/>
  <c r="A2861" i="1"/>
  <c r="C2861" i="1"/>
  <c r="A2862" i="1"/>
  <c r="C2862" i="1"/>
  <c r="A2863" i="1"/>
  <c r="C2863" i="1"/>
  <c r="A2864" i="1"/>
  <c r="C2864" i="1"/>
  <c r="A2865" i="1"/>
  <c r="C2865" i="1"/>
  <c r="A2866" i="1"/>
  <c r="C2866" i="1"/>
  <c r="A2867" i="1"/>
  <c r="C2867" i="1"/>
  <c r="A2868" i="1"/>
  <c r="C2868" i="1"/>
  <c r="A2869" i="1"/>
  <c r="C2869" i="1"/>
  <c r="A2870" i="1"/>
  <c r="C2870" i="1"/>
  <c r="A2871" i="1"/>
  <c r="C2871" i="1"/>
  <c r="A2872" i="1"/>
  <c r="C2872" i="1"/>
  <c r="A2873" i="1"/>
  <c r="C2873" i="1"/>
  <c r="A2874" i="1"/>
  <c r="C2874" i="1"/>
  <c r="A2875" i="1"/>
  <c r="C2875" i="1"/>
  <c r="A2876" i="1"/>
  <c r="C2876" i="1"/>
  <c r="A2877" i="1"/>
  <c r="C2877" i="1"/>
  <c r="A2878" i="1"/>
  <c r="C2878" i="1"/>
  <c r="A2879" i="1"/>
  <c r="C2879" i="1"/>
  <c r="A2880" i="1"/>
  <c r="C2880" i="1"/>
  <c r="A2881" i="1"/>
  <c r="C2881" i="1"/>
  <c r="A2882" i="1"/>
  <c r="C2882" i="1"/>
  <c r="A2883" i="1"/>
  <c r="C2883" i="1"/>
  <c r="A2884" i="1"/>
  <c r="C2884" i="1"/>
  <c r="A2885" i="1"/>
  <c r="C2885" i="1"/>
  <c r="A2886" i="1"/>
  <c r="C2886" i="1"/>
  <c r="A2887" i="1"/>
  <c r="C2887" i="1"/>
  <c r="A2888" i="1"/>
  <c r="C2888" i="1"/>
  <c r="A2889" i="1"/>
  <c r="C2889" i="1"/>
  <c r="A2890" i="1"/>
  <c r="C2890" i="1"/>
  <c r="A2891" i="1"/>
  <c r="C2891" i="1"/>
  <c r="A2892" i="1"/>
  <c r="C2892" i="1"/>
  <c r="A2893" i="1"/>
  <c r="C2893" i="1"/>
  <c r="A2894" i="1"/>
  <c r="C2894" i="1"/>
  <c r="A2895" i="1"/>
  <c r="C2895" i="1"/>
  <c r="A2896" i="1"/>
  <c r="C2896" i="1"/>
  <c r="A2897" i="1"/>
  <c r="C2897" i="1"/>
  <c r="A2898" i="1"/>
  <c r="C2898" i="1"/>
  <c r="A2899" i="1"/>
  <c r="C2899" i="1"/>
  <c r="A2900" i="1"/>
  <c r="C2900" i="1"/>
  <c r="A2901" i="1"/>
  <c r="C2901" i="1"/>
  <c r="A2902" i="1"/>
  <c r="C2902" i="1"/>
  <c r="A2903" i="1"/>
  <c r="C2903" i="1"/>
  <c r="A2904" i="1"/>
  <c r="C2904" i="1"/>
  <c r="A2905" i="1"/>
  <c r="C2905" i="1"/>
  <c r="A2906" i="1"/>
  <c r="C2906" i="1"/>
  <c r="A2907" i="1"/>
  <c r="C2907" i="1"/>
  <c r="A2908" i="1"/>
  <c r="C2908" i="1"/>
  <c r="A2909" i="1"/>
  <c r="C2909" i="1"/>
  <c r="A2910" i="1"/>
  <c r="C2910" i="1"/>
  <c r="A2911" i="1"/>
  <c r="C2911" i="1"/>
  <c r="A2912" i="1"/>
  <c r="C2912" i="1"/>
  <c r="A2913" i="1"/>
  <c r="C2913" i="1"/>
  <c r="A2914" i="1"/>
  <c r="C2914" i="1"/>
  <c r="A2915" i="1"/>
  <c r="C2915" i="1"/>
  <c r="A2916" i="1"/>
  <c r="C2916" i="1"/>
  <c r="A2917" i="1"/>
  <c r="C2917" i="1"/>
  <c r="A2918" i="1"/>
  <c r="C2918" i="1"/>
  <c r="A2919" i="1"/>
  <c r="C2919" i="1"/>
  <c r="A2920" i="1"/>
  <c r="C2920" i="1"/>
  <c r="A2921" i="1"/>
  <c r="C2921" i="1"/>
  <c r="A2922" i="1"/>
  <c r="C2922" i="1"/>
  <c r="A2923" i="1"/>
  <c r="C2923" i="1"/>
  <c r="A2924" i="1"/>
  <c r="C2924" i="1"/>
  <c r="A2925" i="1"/>
  <c r="C2925" i="1"/>
  <c r="A2926" i="1"/>
  <c r="C2926" i="1"/>
  <c r="A2927" i="1"/>
  <c r="C2927" i="1"/>
  <c r="A2928" i="1"/>
  <c r="C2928" i="1"/>
  <c r="A2929" i="1"/>
  <c r="C2929" i="1"/>
  <c r="A2930" i="1"/>
  <c r="C2930" i="1"/>
  <c r="A2931" i="1"/>
  <c r="C2931" i="1"/>
  <c r="A2932" i="1"/>
  <c r="C2932" i="1"/>
  <c r="A2933" i="1"/>
  <c r="C2933" i="1"/>
  <c r="A2934" i="1"/>
  <c r="C2934" i="1"/>
  <c r="A2935" i="1"/>
  <c r="C2935" i="1"/>
  <c r="A2936" i="1"/>
  <c r="C2936" i="1"/>
  <c r="A2937" i="1"/>
  <c r="C2937" i="1"/>
  <c r="A2938" i="1"/>
  <c r="C2938" i="1"/>
  <c r="A2939" i="1"/>
  <c r="C2939" i="1"/>
  <c r="A2940" i="1"/>
  <c r="C2940" i="1"/>
  <c r="A2941" i="1"/>
  <c r="C2941" i="1"/>
  <c r="A2942" i="1"/>
  <c r="C2942" i="1"/>
  <c r="A2943" i="1"/>
  <c r="C2943" i="1"/>
  <c r="A2944" i="1"/>
  <c r="C2944" i="1"/>
  <c r="A2945" i="1"/>
  <c r="C2945" i="1"/>
  <c r="A2946" i="1"/>
  <c r="C2946" i="1"/>
  <c r="A2947" i="1"/>
  <c r="C2947" i="1"/>
  <c r="A2948" i="1"/>
  <c r="C2948" i="1"/>
  <c r="A2949" i="1"/>
  <c r="C2949" i="1"/>
  <c r="A2950" i="1"/>
  <c r="C2950" i="1"/>
  <c r="A2951" i="1"/>
  <c r="C2951" i="1"/>
  <c r="A2952" i="1"/>
  <c r="C2952" i="1"/>
  <c r="A2953" i="1"/>
  <c r="C2953" i="1"/>
  <c r="A2954" i="1"/>
  <c r="C2954" i="1"/>
  <c r="A2955" i="1"/>
  <c r="C2955" i="1"/>
  <c r="A2956" i="1"/>
  <c r="C2956" i="1"/>
  <c r="A2957" i="1"/>
  <c r="C2957" i="1"/>
  <c r="A2958" i="1"/>
  <c r="C2958" i="1"/>
  <c r="A2959" i="1"/>
  <c r="C2959" i="1"/>
  <c r="A2960" i="1"/>
  <c r="C2960" i="1"/>
  <c r="A2961" i="1"/>
  <c r="C2961" i="1"/>
  <c r="A2962" i="1"/>
  <c r="C2962" i="1"/>
  <c r="A2963" i="1"/>
  <c r="C2963" i="1"/>
  <c r="A2964" i="1"/>
  <c r="C2964" i="1"/>
  <c r="A2965" i="1"/>
  <c r="C2965" i="1"/>
  <c r="A2966" i="1"/>
  <c r="C2966" i="1"/>
  <c r="A2967" i="1"/>
  <c r="C2967" i="1"/>
  <c r="A2968" i="1"/>
  <c r="C2968" i="1"/>
  <c r="A2969" i="1"/>
  <c r="C2969" i="1"/>
  <c r="A2970" i="1"/>
  <c r="C2970" i="1"/>
  <c r="A2971" i="1"/>
  <c r="C2971" i="1"/>
  <c r="A2972" i="1"/>
  <c r="C2972" i="1"/>
  <c r="A2973" i="1"/>
  <c r="C2973" i="1"/>
  <c r="A2974" i="1"/>
  <c r="C2974" i="1"/>
  <c r="A2975" i="1"/>
  <c r="C2975" i="1"/>
  <c r="A2976" i="1"/>
  <c r="C2976" i="1"/>
  <c r="A2977" i="1"/>
  <c r="C2977" i="1"/>
  <c r="A2978" i="1"/>
  <c r="C2978" i="1"/>
  <c r="A2979" i="1"/>
  <c r="C2979" i="1"/>
  <c r="A2980" i="1"/>
  <c r="C2980" i="1"/>
  <c r="A2981" i="1"/>
  <c r="C2981" i="1"/>
  <c r="A2982" i="1"/>
  <c r="C2982" i="1"/>
  <c r="A2983" i="1"/>
  <c r="C2983" i="1"/>
  <c r="A2984" i="1"/>
  <c r="C2984" i="1"/>
  <c r="A2985" i="1"/>
  <c r="C2985" i="1"/>
  <c r="A2986" i="1"/>
  <c r="C2986" i="1"/>
  <c r="A2987" i="1"/>
  <c r="C2987" i="1"/>
  <c r="A2988" i="1"/>
  <c r="C2988" i="1"/>
  <c r="A2989" i="1"/>
  <c r="C2989" i="1"/>
  <c r="A2990" i="1"/>
  <c r="C2990" i="1"/>
  <c r="A2991" i="1"/>
  <c r="C2991" i="1"/>
  <c r="A2992" i="1"/>
  <c r="C2992" i="1"/>
  <c r="A2993" i="1"/>
  <c r="C2993" i="1"/>
  <c r="A2994" i="1"/>
  <c r="C2994" i="1"/>
  <c r="A2995" i="1"/>
  <c r="C2995" i="1"/>
  <c r="A2996" i="1"/>
  <c r="C2996" i="1"/>
  <c r="A2997" i="1"/>
  <c r="C2997" i="1"/>
  <c r="A2998" i="1"/>
  <c r="C2998" i="1"/>
  <c r="A2999" i="1"/>
  <c r="C2999" i="1"/>
  <c r="A3000" i="1"/>
  <c r="C3000" i="1"/>
  <c r="A3001" i="1"/>
  <c r="C3001" i="1"/>
  <c r="A3002" i="1"/>
  <c r="C3002" i="1"/>
  <c r="A3003" i="1"/>
  <c r="C3003" i="1"/>
  <c r="A3004" i="1"/>
  <c r="C3004" i="1"/>
  <c r="A3005" i="1"/>
  <c r="C3005" i="1"/>
  <c r="A3006" i="1"/>
  <c r="C3006" i="1"/>
  <c r="A3007" i="1"/>
  <c r="C3007" i="1"/>
  <c r="A3008" i="1"/>
  <c r="C3008" i="1"/>
  <c r="A3009" i="1"/>
  <c r="C3009" i="1"/>
  <c r="A3010" i="1"/>
  <c r="C3010" i="1"/>
  <c r="A3011" i="1"/>
  <c r="C3011" i="1"/>
  <c r="A3012" i="1"/>
  <c r="C3012" i="1"/>
  <c r="A3013" i="1"/>
  <c r="C3013" i="1"/>
  <c r="A3014" i="1"/>
  <c r="C3014" i="1"/>
  <c r="A3015" i="1"/>
  <c r="C3015" i="1"/>
  <c r="A3016" i="1"/>
  <c r="C3016" i="1"/>
  <c r="A3017" i="1"/>
  <c r="C3017" i="1"/>
  <c r="A3018" i="1"/>
  <c r="C3018" i="1"/>
  <c r="A3019" i="1"/>
  <c r="C3019" i="1"/>
  <c r="A3020" i="1"/>
  <c r="C3020" i="1"/>
  <c r="A3021" i="1"/>
  <c r="C3021" i="1"/>
  <c r="A3022" i="1"/>
  <c r="C3022" i="1"/>
  <c r="A3023" i="1"/>
  <c r="C3023" i="1"/>
  <c r="A3024" i="1"/>
  <c r="C3024" i="1"/>
  <c r="A3025" i="1"/>
  <c r="C3025" i="1"/>
  <c r="A3026" i="1"/>
  <c r="C3026" i="1"/>
  <c r="A3027" i="1"/>
  <c r="C3027" i="1"/>
  <c r="A3028" i="1"/>
  <c r="C3028" i="1"/>
  <c r="A3029" i="1"/>
  <c r="C3029" i="1"/>
  <c r="A3030" i="1"/>
  <c r="C3030" i="1"/>
  <c r="A3031" i="1"/>
  <c r="C3031" i="1"/>
  <c r="A3032" i="1"/>
  <c r="C3032" i="1"/>
  <c r="A3033" i="1"/>
  <c r="C3033" i="1"/>
  <c r="A3034" i="1"/>
  <c r="C3034" i="1"/>
  <c r="A3035" i="1"/>
  <c r="C3035" i="1"/>
  <c r="A3036" i="1"/>
  <c r="C3036" i="1"/>
  <c r="A3037" i="1"/>
  <c r="C3037" i="1"/>
  <c r="A3038" i="1"/>
  <c r="C3038" i="1"/>
  <c r="A3039" i="1"/>
  <c r="C3039" i="1"/>
  <c r="A3040" i="1"/>
  <c r="C3040" i="1"/>
  <c r="A3041" i="1"/>
  <c r="C3041" i="1"/>
  <c r="A3042" i="1"/>
  <c r="C3042" i="1"/>
  <c r="A3043" i="1"/>
  <c r="C3043" i="1"/>
  <c r="A3044" i="1"/>
  <c r="C3044" i="1"/>
  <c r="A3045" i="1"/>
  <c r="C3045" i="1"/>
  <c r="A3046" i="1"/>
  <c r="C3046" i="1"/>
  <c r="A3047" i="1"/>
  <c r="C3047" i="1"/>
  <c r="A3048" i="1"/>
  <c r="C3048" i="1"/>
  <c r="A3049" i="1"/>
  <c r="C3049" i="1"/>
  <c r="A3050" i="1"/>
  <c r="C3050" i="1"/>
  <c r="A3051" i="1"/>
  <c r="C3051" i="1"/>
  <c r="A3052" i="1"/>
  <c r="C3052" i="1"/>
  <c r="A3053" i="1"/>
  <c r="C3053" i="1"/>
  <c r="A3054" i="1"/>
  <c r="C3054" i="1"/>
  <c r="A3055" i="1"/>
  <c r="C3055" i="1"/>
  <c r="A3056" i="1"/>
  <c r="C3056" i="1"/>
  <c r="A3057" i="1"/>
  <c r="C3057" i="1"/>
  <c r="A3058" i="1"/>
  <c r="C3058" i="1"/>
  <c r="A3059" i="1"/>
  <c r="C3059" i="1"/>
  <c r="A3060" i="1"/>
  <c r="C3060" i="1"/>
  <c r="A3061" i="1"/>
  <c r="C3061" i="1"/>
  <c r="A3062" i="1"/>
  <c r="C3062" i="1"/>
  <c r="A3063" i="1"/>
  <c r="C3063" i="1"/>
  <c r="A3064" i="1"/>
  <c r="C3064" i="1"/>
  <c r="A3065" i="1"/>
  <c r="C3065" i="1"/>
  <c r="A3066" i="1"/>
  <c r="C3066" i="1"/>
  <c r="A3067" i="1"/>
  <c r="C3067" i="1"/>
  <c r="A3068" i="1"/>
  <c r="C3068" i="1"/>
  <c r="A3069" i="1"/>
  <c r="C3069" i="1"/>
  <c r="A3070" i="1"/>
  <c r="C3070" i="1"/>
  <c r="A3071" i="1"/>
  <c r="C3071" i="1"/>
  <c r="A3072" i="1"/>
  <c r="C3072" i="1"/>
  <c r="A3073" i="1"/>
  <c r="C3073" i="1"/>
  <c r="A3074" i="1"/>
  <c r="C3074" i="1"/>
  <c r="A3075" i="1"/>
  <c r="C3075" i="1"/>
  <c r="A3076" i="1"/>
  <c r="C3076" i="1"/>
  <c r="A3077" i="1"/>
  <c r="C3077" i="1"/>
  <c r="A3078" i="1"/>
  <c r="C3078" i="1"/>
  <c r="A3079" i="1"/>
  <c r="C3079" i="1"/>
  <c r="A3080" i="1"/>
  <c r="C3080" i="1"/>
  <c r="A3081" i="1"/>
  <c r="C3081" i="1"/>
  <c r="A3082" i="1"/>
  <c r="C3082" i="1"/>
  <c r="A3083" i="1"/>
  <c r="C3083" i="1"/>
  <c r="A3084" i="1"/>
  <c r="C3084" i="1"/>
  <c r="A3085" i="1"/>
  <c r="C3085" i="1"/>
  <c r="A3086" i="1"/>
  <c r="C3086" i="1"/>
  <c r="A3087" i="1"/>
  <c r="C3087" i="1"/>
  <c r="A3088" i="1"/>
  <c r="C3088" i="1"/>
  <c r="A3089" i="1"/>
  <c r="C3089" i="1"/>
  <c r="A3090" i="1"/>
  <c r="C3090" i="1"/>
  <c r="A3091" i="1"/>
  <c r="C3091" i="1"/>
  <c r="A3092" i="1"/>
  <c r="C3092" i="1"/>
  <c r="A3093" i="1"/>
  <c r="C3093" i="1"/>
  <c r="A3094" i="1"/>
  <c r="C3094" i="1"/>
  <c r="A3095" i="1"/>
  <c r="C3095" i="1"/>
  <c r="A3096" i="1"/>
  <c r="C3096" i="1"/>
  <c r="A3097" i="1"/>
  <c r="C3097" i="1"/>
  <c r="A3098" i="1"/>
  <c r="C3098" i="1"/>
  <c r="A3099" i="1"/>
  <c r="C3099" i="1"/>
  <c r="A3100" i="1"/>
  <c r="C3100" i="1"/>
  <c r="A3101" i="1"/>
  <c r="C3101" i="1"/>
  <c r="A3102" i="1"/>
  <c r="C3102" i="1"/>
  <c r="A3103" i="1"/>
  <c r="C3103" i="1"/>
  <c r="A3104" i="1"/>
  <c r="C3104" i="1"/>
  <c r="A3105" i="1"/>
  <c r="C3105" i="1"/>
  <c r="A3106" i="1"/>
  <c r="C3106" i="1"/>
  <c r="A3107" i="1"/>
  <c r="C3107" i="1"/>
  <c r="A3108" i="1"/>
  <c r="C3108" i="1"/>
  <c r="A3109" i="1"/>
  <c r="C3109" i="1"/>
  <c r="A3110" i="1"/>
  <c r="C3110" i="1"/>
  <c r="A3111" i="1"/>
  <c r="C3111" i="1"/>
  <c r="A3112" i="1"/>
  <c r="C3112" i="1"/>
  <c r="A3113" i="1"/>
  <c r="C3113" i="1"/>
  <c r="A3114" i="1"/>
  <c r="C3114" i="1"/>
  <c r="A3115" i="1"/>
  <c r="C3115" i="1"/>
  <c r="A3116" i="1"/>
  <c r="C3116" i="1"/>
  <c r="A3117" i="1"/>
  <c r="C3117" i="1"/>
  <c r="A3118" i="1"/>
  <c r="C3118" i="1"/>
  <c r="A3119" i="1"/>
  <c r="C3119" i="1"/>
  <c r="A3120" i="1"/>
  <c r="C3120" i="1"/>
  <c r="A3121" i="1"/>
  <c r="C3121" i="1"/>
  <c r="A3122" i="1"/>
  <c r="C3122" i="1"/>
  <c r="A3123" i="1"/>
  <c r="C3123" i="1"/>
  <c r="A3124" i="1"/>
  <c r="C3124" i="1"/>
  <c r="A3125" i="1"/>
  <c r="C3125" i="1"/>
  <c r="A3126" i="1"/>
  <c r="C3126" i="1"/>
  <c r="A3127" i="1"/>
  <c r="C3127" i="1"/>
  <c r="A3128" i="1"/>
  <c r="C3128" i="1"/>
  <c r="A3129" i="1"/>
  <c r="C3129" i="1"/>
  <c r="A3130" i="1"/>
  <c r="C3130" i="1"/>
  <c r="A3131" i="1"/>
  <c r="C3131" i="1"/>
  <c r="A3132" i="1"/>
  <c r="C3132" i="1"/>
  <c r="A3133" i="1"/>
  <c r="C3133" i="1"/>
  <c r="A3134" i="1"/>
  <c r="C3134" i="1"/>
  <c r="A3135" i="1"/>
  <c r="C3135" i="1"/>
  <c r="A3136" i="1"/>
  <c r="C3136" i="1"/>
  <c r="A3137" i="1"/>
  <c r="C3137" i="1"/>
  <c r="A3138" i="1"/>
  <c r="C3138" i="1"/>
  <c r="A3139" i="1"/>
  <c r="C3139" i="1"/>
  <c r="A3140" i="1"/>
  <c r="C3140" i="1"/>
  <c r="A3141" i="1"/>
  <c r="C3141" i="1"/>
  <c r="A3142" i="1"/>
  <c r="C3142" i="1"/>
  <c r="A3143" i="1"/>
  <c r="C3143" i="1"/>
  <c r="A3144" i="1"/>
  <c r="C3144" i="1"/>
  <c r="A3145" i="1"/>
  <c r="C3145" i="1"/>
  <c r="A3146" i="1"/>
  <c r="C3146" i="1"/>
  <c r="A3147" i="1"/>
  <c r="C3147" i="1"/>
  <c r="A3148" i="1"/>
  <c r="C3148" i="1"/>
  <c r="A3149" i="1"/>
  <c r="C3149" i="1"/>
  <c r="A3150" i="1"/>
  <c r="C3150" i="1"/>
  <c r="A3151" i="1"/>
  <c r="C3151" i="1"/>
  <c r="A3152" i="1"/>
  <c r="C3152" i="1"/>
  <c r="A3153" i="1"/>
  <c r="C3153" i="1"/>
  <c r="A3154" i="1"/>
  <c r="C3154" i="1"/>
  <c r="A3155" i="1"/>
  <c r="C3155" i="1"/>
  <c r="A3156" i="1"/>
  <c r="C3156" i="1"/>
  <c r="A3157" i="1"/>
  <c r="C3157" i="1"/>
  <c r="A3158" i="1"/>
  <c r="C3158" i="1"/>
  <c r="A3159" i="1"/>
  <c r="C3159" i="1"/>
  <c r="A3160" i="1"/>
  <c r="C3160" i="1"/>
  <c r="A3161" i="1"/>
  <c r="C3161" i="1"/>
  <c r="A3162" i="1"/>
  <c r="C3162" i="1"/>
  <c r="A3163" i="1"/>
  <c r="C3163" i="1"/>
  <c r="A3164" i="1"/>
  <c r="C3164" i="1"/>
  <c r="A3165" i="1"/>
  <c r="C3165" i="1"/>
  <c r="A3166" i="1"/>
  <c r="C3166" i="1"/>
  <c r="A3167" i="1"/>
  <c r="C3167" i="1"/>
  <c r="A3168" i="1"/>
  <c r="C3168" i="1"/>
  <c r="A3169" i="1"/>
  <c r="C3169" i="1"/>
  <c r="A3170" i="1"/>
  <c r="C3170" i="1"/>
  <c r="A3171" i="1"/>
  <c r="C3171" i="1"/>
  <c r="A3172" i="1"/>
  <c r="C3172" i="1"/>
  <c r="A3173" i="1"/>
  <c r="C3173" i="1"/>
  <c r="A3174" i="1"/>
  <c r="C3174" i="1"/>
  <c r="A3175" i="1"/>
  <c r="C3175" i="1"/>
  <c r="A3176" i="1"/>
  <c r="C3176" i="1"/>
  <c r="A3177" i="1"/>
  <c r="C3177" i="1"/>
  <c r="A3178" i="1"/>
  <c r="C3178" i="1"/>
  <c r="A3179" i="1"/>
  <c r="C3179" i="1"/>
  <c r="A3180" i="1"/>
  <c r="C3180" i="1"/>
  <c r="A3181" i="1"/>
  <c r="C3181" i="1"/>
  <c r="A3182" i="1"/>
  <c r="C3182" i="1"/>
  <c r="A3183" i="1"/>
  <c r="C3183" i="1"/>
  <c r="A3184" i="1"/>
  <c r="C3184" i="1"/>
  <c r="A3185" i="1"/>
  <c r="C3185" i="1"/>
  <c r="A3186" i="1"/>
  <c r="C3186" i="1"/>
  <c r="A3187" i="1"/>
  <c r="C3187" i="1"/>
  <c r="A3188" i="1"/>
  <c r="C3188" i="1"/>
  <c r="A3189" i="1"/>
  <c r="C3189" i="1"/>
  <c r="A3190" i="1"/>
  <c r="C3190" i="1"/>
  <c r="A3191" i="1"/>
  <c r="C3191" i="1"/>
  <c r="A3192" i="1"/>
  <c r="C3192" i="1"/>
  <c r="A3193" i="1"/>
  <c r="C3193" i="1"/>
  <c r="A3194" i="1"/>
  <c r="C3194" i="1"/>
  <c r="A3195" i="1"/>
  <c r="C3195" i="1"/>
  <c r="A3196" i="1"/>
  <c r="C3196" i="1"/>
  <c r="A3197" i="1"/>
  <c r="C3197" i="1"/>
  <c r="A3198" i="1"/>
  <c r="C3198" i="1"/>
  <c r="A3199" i="1"/>
  <c r="C3199" i="1"/>
  <c r="A3200" i="1"/>
  <c r="C3200" i="1"/>
  <c r="A3201" i="1"/>
  <c r="C3201" i="1"/>
  <c r="A3202" i="1"/>
  <c r="C3202" i="1"/>
  <c r="A3203" i="1"/>
  <c r="C3203" i="1"/>
  <c r="A3204" i="1"/>
  <c r="C3204" i="1"/>
  <c r="A3205" i="1"/>
  <c r="C3205" i="1"/>
  <c r="A3206" i="1"/>
  <c r="C3206" i="1"/>
  <c r="A3207" i="1"/>
  <c r="C3207" i="1"/>
  <c r="A3208" i="1"/>
  <c r="C3208" i="1"/>
  <c r="A3209" i="1"/>
  <c r="C3209" i="1"/>
  <c r="A3210" i="1"/>
  <c r="C3210" i="1"/>
  <c r="A3211" i="1"/>
  <c r="C3211" i="1"/>
  <c r="A3212" i="1"/>
  <c r="C3212" i="1"/>
  <c r="A3213" i="1"/>
  <c r="C3213" i="1"/>
  <c r="A3214" i="1"/>
  <c r="C3214" i="1"/>
  <c r="A3215" i="1"/>
  <c r="C3215" i="1"/>
  <c r="A3216" i="1"/>
  <c r="C3216" i="1"/>
  <c r="A3217" i="1"/>
  <c r="C3217" i="1"/>
  <c r="A3218" i="1"/>
  <c r="C3218" i="1"/>
  <c r="A3219" i="1"/>
  <c r="C3219" i="1"/>
  <c r="A3220" i="1"/>
  <c r="C3220" i="1"/>
  <c r="A3221" i="1"/>
  <c r="C3221" i="1"/>
  <c r="A3222" i="1"/>
  <c r="C3222" i="1"/>
  <c r="A3223" i="1"/>
  <c r="C3223" i="1"/>
  <c r="A3224" i="1"/>
  <c r="C3224" i="1"/>
  <c r="A3225" i="1"/>
  <c r="C3225" i="1"/>
  <c r="A3226" i="1"/>
  <c r="C3226" i="1"/>
  <c r="A3227" i="1"/>
  <c r="C3227" i="1"/>
  <c r="A3228" i="1"/>
  <c r="C3228" i="1"/>
  <c r="A3229" i="1"/>
  <c r="C3229" i="1"/>
  <c r="A3230" i="1"/>
  <c r="C3230" i="1"/>
  <c r="A3231" i="1"/>
  <c r="C3231" i="1"/>
  <c r="A3232" i="1"/>
  <c r="C3232" i="1"/>
  <c r="A3233" i="1"/>
  <c r="C3233" i="1"/>
  <c r="A3234" i="1"/>
  <c r="C3234" i="1"/>
  <c r="A3235" i="1"/>
  <c r="C3235" i="1"/>
  <c r="A3236" i="1"/>
  <c r="C3236" i="1"/>
  <c r="A3237" i="1"/>
  <c r="C3237" i="1"/>
  <c r="A3238" i="1"/>
  <c r="C3238" i="1"/>
  <c r="A3239" i="1"/>
  <c r="C3239" i="1"/>
  <c r="A3240" i="1"/>
  <c r="C3240" i="1"/>
  <c r="A3241" i="1"/>
  <c r="C3241" i="1"/>
  <c r="A3242" i="1"/>
  <c r="C3242" i="1"/>
  <c r="A3243" i="1"/>
  <c r="C3243" i="1"/>
  <c r="A3244" i="1"/>
  <c r="C3244" i="1"/>
  <c r="A3245" i="1"/>
  <c r="C3245" i="1"/>
  <c r="A3246" i="1"/>
  <c r="C3246" i="1"/>
  <c r="A3247" i="1"/>
  <c r="C3247" i="1"/>
  <c r="A3248" i="1"/>
  <c r="C3248" i="1"/>
  <c r="A3249" i="1"/>
  <c r="C3249" i="1"/>
  <c r="A3250" i="1"/>
  <c r="C3250" i="1"/>
  <c r="A3251" i="1"/>
  <c r="C3251" i="1"/>
  <c r="A3252" i="1"/>
  <c r="C3252" i="1"/>
  <c r="A3253" i="1"/>
  <c r="C3253" i="1"/>
  <c r="A3254" i="1"/>
  <c r="C3254" i="1"/>
  <c r="A3255" i="1"/>
  <c r="C3255" i="1"/>
  <c r="A3256" i="1"/>
  <c r="C3256" i="1"/>
  <c r="A3257" i="1"/>
  <c r="C3257" i="1"/>
  <c r="A3258" i="1"/>
  <c r="C3258" i="1"/>
  <c r="A3259" i="1"/>
  <c r="C3259" i="1"/>
  <c r="A3260" i="1"/>
  <c r="C3260" i="1"/>
  <c r="A3261" i="1"/>
  <c r="C3261" i="1"/>
  <c r="A3262" i="1"/>
  <c r="C3262" i="1"/>
  <c r="A3263" i="1"/>
  <c r="C3263" i="1"/>
  <c r="A3264" i="1"/>
  <c r="C3264" i="1"/>
  <c r="A3265" i="1"/>
  <c r="C3265" i="1"/>
  <c r="A3266" i="1"/>
  <c r="C3266" i="1"/>
  <c r="A3267" i="1"/>
  <c r="C3267" i="1"/>
  <c r="A3268" i="1"/>
  <c r="C3268" i="1"/>
  <c r="A3269" i="1"/>
  <c r="C3269" i="1"/>
  <c r="A3270" i="1"/>
  <c r="C3270" i="1"/>
  <c r="A3271" i="1"/>
  <c r="C3271" i="1"/>
  <c r="A3272" i="1"/>
  <c r="C3272" i="1"/>
  <c r="A3273" i="1"/>
  <c r="C3273" i="1"/>
  <c r="A3274" i="1"/>
  <c r="C3274" i="1"/>
  <c r="A3275" i="1"/>
  <c r="C3275" i="1"/>
  <c r="A3276" i="1"/>
  <c r="C3276" i="1"/>
  <c r="A3277" i="1"/>
  <c r="C3277" i="1"/>
  <c r="A3278" i="1"/>
  <c r="C3278" i="1"/>
  <c r="A3279" i="1"/>
  <c r="C3279" i="1"/>
  <c r="A3280" i="1"/>
  <c r="C3280" i="1"/>
  <c r="A3281" i="1"/>
  <c r="C3281" i="1"/>
  <c r="A3282" i="1"/>
  <c r="C3282" i="1"/>
  <c r="A3283" i="1"/>
  <c r="C3283" i="1"/>
  <c r="A3284" i="1"/>
  <c r="C3284" i="1"/>
  <c r="A3285" i="1"/>
  <c r="C3285" i="1"/>
  <c r="A3286" i="1"/>
  <c r="C3286" i="1"/>
  <c r="A3287" i="1"/>
  <c r="C3287" i="1"/>
  <c r="A3288" i="1"/>
  <c r="C3288" i="1"/>
  <c r="A3289" i="1"/>
  <c r="C3289" i="1"/>
  <c r="A3290" i="1"/>
  <c r="C3290" i="1"/>
  <c r="A3291" i="1"/>
  <c r="C3291" i="1"/>
  <c r="A3292" i="1"/>
  <c r="C3292" i="1"/>
  <c r="A3293" i="1"/>
  <c r="C3293" i="1"/>
  <c r="A3294" i="1"/>
  <c r="C3294" i="1"/>
  <c r="A3295" i="1"/>
  <c r="C3295" i="1"/>
  <c r="A3296" i="1"/>
  <c r="C3296" i="1"/>
  <c r="A3297" i="1"/>
  <c r="C3297" i="1"/>
  <c r="A3298" i="1"/>
  <c r="C3298" i="1"/>
  <c r="A3299" i="1"/>
  <c r="C3299" i="1"/>
  <c r="A3300" i="1"/>
  <c r="C3300" i="1"/>
  <c r="A3301" i="1"/>
  <c r="C3301" i="1"/>
  <c r="A3302" i="1"/>
  <c r="C3302" i="1"/>
  <c r="A3303" i="1"/>
  <c r="C3303" i="1"/>
  <c r="A3304" i="1"/>
  <c r="C3304" i="1"/>
  <c r="A3305" i="1"/>
  <c r="C3305" i="1"/>
  <c r="A3306" i="1"/>
  <c r="C3306" i="1"/>
  <c r="A3307" i="1"/>
  <c r="C3307" i="1"/>
  <c r="A3308" i="1"/>
  <c r="C3308" i="1"/>
  <c r="A3309" i="1"/>
  <c r="C3309" i="1"/>
  <c r="A3310" i="1"/>
  <c r="C3310" i="1"/>
  <c r="A3311" i="1"/>
  <c r="C3311" i="1"/>
  <c r="A3312" i="1"/>
  <c r="C3312" i="1"/>
  <c r="A3313" i="1"/>
  <c r="C3313" i="1"/>
  <c r="A3314" i="1"/>
  <c r="C3314" i="1"/>
  <c r="A3315" i="1"/>
  <c r="C3315" i="1"/>
  <c r="A3316" i="1"/>
  <c r="C3316" i="1"/>
  <c r="A3317" i="1"/>
  <c r="C3317" i="1"/>
  <c r="A3318" i="1"/>
  <c r="C3318" i="1"/>
  <c r="A3319" i="1"/>
  <c r="C3319" i="1"/>
  <c r="A3320" i="1"/>
  <c r="C3320" i="1"/>
  <c r="A3321" i="1"/>
  <c r="C3321" i="1"/>
  <c r="A3322" i="1"/>
  <c r="C3322" i="1"/>
  <c r="A3323" i="1"/>
  <c r="C3323" i="1"/>
  <c r="A3324" i="1"/>
  <c r="C3324" i="1"/>
  <c r="A3325" i="1"/>
  <c r="C3325" i="1"/>
  <c r="A3326" i="1"/>
  <c r="C3326" i="1"/>
  <c r="A3327" i="1"/>
  <c r="C3327" i="1"/>
  <c r="A3328" i="1"/>
  <c r="C3328" i="1"/>
  <c r="A3329" i="1"/>
  <c r="C3329" i="1"/>
  <c r="A3330" i="1"/>
  <c r="C3330" i="1"/>
  <c r="A3331" i="1"/>
  <c r="C3331" i="1"/>
  <c r="A3332" i="1"/>
  <c r="C3332" i="1"/>
  <c r="A3333" i="1"/>
  <c r="C3333" i="1"/>
  <c r="A3334" i="1"/>
  <c r="C3334" i="1"/>
  <c r="A3335" i="1"/>
  <c r="C3335" i="1"/>
  <c r="A3336" i="1"/>
  <c r="C3336" i="1"/>
  <c r="A3337" i="1"/>
  <c r="C3337" i="1"/>
  <c r="A3338" i="1"/>
  <c r="C3338" i="1"/>
  <c r="A3339" i="1"/>
  <c r="C3339" i="1"/>
  <c r="A3340" i="1"/>
  <c r="C3340" i="1"/>
  <c r="A3341" i="1"/>
  <c r="C3341" i="1"/>
  <c r="A3342" i="1"/>
  <c r="C3342" i="1"/>
  <c r="A3343" i="1"/>
  <c r="C3343" i="1"/>
  <c r="A3344" i="1"/>
  <c r="C3344" i="1"/>
  <c r="A3345" i="1"/>
  <c r="C3345" i="1"/>
  <c r="A3346" i="1"/>
  <c r="C3346" i="1"/>
  <c r="A3347" i="1"/>
  <c r="C3347" i="1"/>
  <c r="A3348" i="1"/>
  <c r="C3348" i="1"/>
  <c r="A3349" i="1"/>
  <c r="C3349" i="1"/>
  <c r="A3350" i="1"/>
  <c r="C3350" i="1"/>
  <c r="A3351" i="1"/>
  <c r="C3351" i="1"/>
  <c r="A3352" i="1"/>
  <c r="C3352" i="1"/>
  <c r="A3353" i="1"/>
  <c r="C3353" i="1"/>
  <c r="A3354" i="1"/>
  <c r="C3354" i="1"/>
  <c r="A3355" i="1"/>
  <c r="C3355" i="1"/>
  <c r="A3356" i="1"/>
  <c r="C3356" i="1"/>
  <c r="A3357" i="1"/>
  <c r="C3357" i="1"/>
  <c r="A3358" i="1"/>
  <c r="C3358" i="1"/>
  <c r="A3359" i="1"/>
  <c r="C3359" i="1"/>
  <c r="A3360" i="1"/>
  <c r="C3360" i="1"/>
  <c r="A3361" i="1"/>
  <c r="C3361" i="1"/>
  <c r="A3362" i="1"/>
  <c r="C3362" i="1"/>
  <c r="A3363" i="1"/>
  <c r="C3363" i="1"/>
  <c r="A3364" i="1"/>
  <c r="C3364" i="1"/>
  <c r="A3365" i="1"/>
  <c r="C3365" i="1"/>
  <c r="A3366" i="1"/>
  <c r="C3366" i="1"/>
  <c r="A3367" i="1"/>
  <c r="C3367" i="1"/>
  <c r="A3368" i="1"/>
  <c r="C3368" i="1"/>
  <c r="A3369" i="1"/>
  <c r="C3369" i="1"/>
  <c r="A3370" i="1"/>
  <c r="C3370" i="1"/>
  <c r="A3371" i="1"/>
  <c r="C3371" i="1"/>
  <c r="A3372" i="1"/>
  <c r="C3372" i="1"/>
  <c r="A3373" i="1"/>
  <c r="C3373" i="1"/>
  <c r="A3374" i="1"/>
  <c r="C3374" i="1"/>
  <c r="A3375" i="1"/>
  <c r="C3375" i="1"/>
  <c r="A3376" i="1"/>
  <c r="C3376" i="1"/>
  <c r="A3377" i="1"/>
  <c r="C3377" i="1"/>
  <c r="A3378" i="1"/>
  <c r="C3378" i="1"/>
  <c r="A3379" i="1"/>
  <c r="C3379" i="1"/>
  <c r="A3380" i="1"/>
  <c r="C3380" i="1"/>
  <c r="A3381" i="1"/>
  <c r="C3381" i="1"/>
  <c r="A3382" i="1"/>
  <c r="C3382" i="1"/>
  <c r="A3383" i="1"/>
  <c r="C3383" i="1"/>
  <c r="A3384" i="1"/>
  <c r="C3384" i="1"/>
  <c r="A3385" i="1"/>
  <c r="C3385" i="1"/>
  <c r="A3386" i="1"/>
  <c r="C3386" i="1"/>
  <c r="A3387" i="1"/>
  <c r="C3387" i="1"/>
  <c r="A3388" i="1"/>
  <c r="C3388" i="1"/>
  <c r="A3389" i="1"/>
  <c r="C3389" i="1"/>
  <c r="A3390" i="1"/>
  <c r="C3390" i="1"/>
  <c r="A3391" i="1"/>
  <c r="C3391" i="1"/>
  <c r="A3392" i="1"/>
  <c r="C3392" i="1"/>
  <c r="A3393" i="1"/>
  <c r="C3393" i="1"/>
  <c r="A3394" i="1"/>
  <c r="C3394" i="1"/>
  <c r="A3395" i="1"/>
  <c r="C3395" i="1"/>
  <c r="A3396" i="1"/>
  <c r="C3396" i="1"/>
  <c r="A3397" i="1"/>
  <c r="C3397" i="1"/>
  <c r="A3398" i="1"/>
  <c r="C3398" i="1"/>
  <c r="A3399" i="1"/>
  <c r="C3399" i="1"/>
  <c r="A3400" i="1"/>
  <c r="C3400" i="1"/>
  <c r="A3401" i="1"/>
  <c r="C3401" i="1"/>
  <c r="A3402" i="1"/>
  <c r="C3402" i="1"/>
  <c r="A3403" i="1"/>
  <c r="C3403" i="1"/>
  <c r="A3404" i="1"/>
  <c r="C3404" i="1"/>
  <c r="A3405" i="1"/>
  <c r="C3405" i="1"/>
  <c r="A3406" i="1"/>
  <c r="C3406" i="1"/>
  <c r="A3407" i="1"/>
  <c r="C3407" i="1"/>
  <c r="A3408" i="1"/>
  <c r="C3408" i="1"/>
  <c r="A3409" i="1"/>
  <c r="C3409" i="1"/>
  <c r="A3410" i="1"/>
  <c r="C3410" i="1"/>
  <c r="A3411" i="1"/>
  <c r="C3411" i="1"/>
  <c r="A3412" i="1"/>
  <c r="C3412" i="1"/>
  <c r="A3413" i="1"/>
  <c r="C3413" i="1"/>
  <c r="A3414" i="1"/>
  <c r="C3414" i="1"/>
  <c r="A3415" i="1"/>
  <c r="C3415" i="1"/>
  <c r="A3416" i="1"/>
  <c r="C3416" i="1"/>
  <c r="A3417" i="1"/>
  <c r="C3417" i="1"/>
  <c r="A3418" i="1"/>
  <c r="C3418" i="1"/>
  <c r="A3419" i="1"/>
  <c r="C3419" i="1"/>
  <c r="A3420" i="1"/>
  <c r="C3420" i="1"/>
  <c r="A3421" i="1"/>
  <c r="C3421" i="1"/>
  <c r="A3422" i="1"/>
  <c r="C3422" i="1"/>
  <c r="A3423" i="1"/>
  <c r="C3423" i="1"/>
  <c r="A3424" i="1"/>
  <c r="C3424" i="1"/>
  <c r="A3425" i="1"/>
  <c r="C3425" i="1"/>
  <c r="A3426" i="1"/>
  <c r="C3426" i="1"/>
  <c r="A3427" i="1"/>
  <c r="C3427" i="1"/>
  <c r="A3428" i="1"/>
  <c r="C3428" i="1"/>
  <c r="A3429" i="1"/>
  <c r="C3429" i="1"/>
  <c r="A3430" i="1"/>
  <c r="C3430" i="1"/>
  <c r="A3431" i="1"/>
  <c r="C3431" i="1"/>
  <c r="A3432" i="1"/>
  <c r="C3432" i="1"/>
  <c r="A3433" i="1"/>
  <c r="C3433" i="1"/>
  <c r="A3434" i="1"/>
  <c r="C3434" i="1"/>
  <c r="A3435" i="1"/>
  <c r="C3435" i="1"/>
  <c r="A3436" i="1"/>
  <c r="C3436" i="1"/>
  <c r="A3437" i="1"/>
  <c r="C3437" i="1"/>
  <c r="A3438" i="1"/>
  <c r="C3438" i="1"/>
  <c r="A3439" i="1"/>
  <c r="C3439" i="1"/>
  <c r="A3440" i="1"/>
  <c r="C3440" i="1"/>
  <c r="A3441" i="1"/>
  <c r="C3441" i="1"/>
  <c r="A3442" i="1"/>
  <c r="C3442" i="1"/>
  <c r="A3443" i="1"/>
  <c r="C3443" i="1"/>
  <c r="A3444" i="1"/>
  <c r="C3444" i="1"/>
  <c r="A3445" i="1"/>
  <c r="C3445" i="1"/>
  <c r="A3446" i="1"/>
  <c r="C3446" i="1"/>
  <c r="A3447" i="1"/>
  <c r="C3447" i="1"/>
  <c r="A3448" i="1"/>
  <c r="C3448" i="1"/>
  <c r="A3449" i="1"/>
  <c r="C3449" i="1"/>
  <c r="A3450" i="1"/>
  <c r="C3450" i="1"/>
  <c r="A3451" i="1"/>
  <c r="C3451" i="1"/>
  <c r="A3452" i="1"/>
  <c r="C3452" i="1"/>
  <c r="A3453" i="1"/>
  <c r="C3453" i="1"/>
  <c r="A3454" i="1"/>
  <c r="C3454" i="1"/>
  <c r="A3455" i="1"/>
  <c r="C3455" i="1"/>
  <c r="A3456" i="1"/>
  <c r="C3456" i="1"/>
  <c r="A3457" i="1"/>
  <c r="C3457" i="1"/>
  <c r="A3458" i="1"/>
  <c r="C3458" i="1"/>
  <c r="A3459" i="1"/>
  <c r="C3459" i="1"/>
  <c r="A3460" i="1"/>
  <c r="C3460" i="1"/>
  <c r="A3461" i="1"/>
  <c r="C3461" i="1"/>
  <c r="A3462" i="1"/>
  <c r="C3462" i="1"/>
  <c r="A3463" i="1"/>
  <c r="C3463" i="1"/>
  <c r="A3464" i="1"/>
  <c r="C3464" i="1"/>
  <c r="A3465" i="1"/>
  <c r="C3465" i="1"/>
  <c r="A3466" i="1"/>
  <c r="C3466" i="1"/>
  <c r="A3467" i="1"/>
  <c r="C3467" i="1"/>
  <c r="A3468" i="1"/>
  <c r="C3468" i="1"/>
  <c r="A3469" i="1"/>
  <c r="C3469" i="1"/>
  <c r="A3470" i="1"/>
  <c r="C3470" i="1"/>
  <c r="A3471" i="1"/>
  <c r="C3471" i="1"/>
  <c r="A3472" i="1"/>
  <c r="C3472" i="1"/>
  <c r="A3473" i="1"/>
  <c r="C3473" i="1"/>
  <c r="A3474" i="1"/>
  <c r="C3474" i="1"/>
  <c r="A3475" i="1"/>
  <c r="C3475" i="1"/>
  <c r="A3476" i="1"/>
  <c r="C3476" i="1"/>
  <c r="A3477" i="1"/>
  <c r="C3477" i="1"/>
  <c r="A3478" i="1"/>
  <c r="C3478" i="1"/>
  <c r="A3479" i="1"/>
  <c r="C3479" i="1"/>
  <c r="A3480" i="1"/>
  <c r="C3480" i="1"/>
  <c r="A3481" i="1"/>
  <c r="C3481" i="1"/>
  <c r="A3482" i="1"/>
  <c r="C3482" i="1"/>
  <c r="A3483" i="1"/>
  <c r="C3483" i="1"/>
  <c r="A3484" i="1"/>
  <c r="C3484" i="1"/>
  <c r="A3485" i="1"/>
  <c r="C3485" i="1"/>
  <c r="A3486" i="1"/>
  <c r="C3486" i="1"/>
  <c r="A3487" i="1"/>
  <c r="C3487" i="1"/>
  <c r="A3488" i="1"/>
  <c r="C3488" i="1"/>
  <c r="A3489" i="1"/>
  <c r="C3489" i="1"/>
  <c r="A3490" i="1"/>
  <c r="C3490" i="1"/>
  <c r="A3491" i="1"/>
  <c r="C3491" i="1"/>
  <c r="A3492" i="1"/>
  <c r="C3492" i="1"/>
  <c r="A3493" i="1"/>
  <c r="C3493" i="1"/>
  <c r="A3494" i="1"/>
  <c r="C3494" i="1"/>
  <c r="A3495" i="1"/>
  <c r="C3495" i="1"/>
  <c r="A3496" i="1"/>
  <c r="C3496" i="1"/>
  <c r="A3497" i="1"/>
  <c r="C3497" i="1"/>
  <c r="A3498" i="1"/>
  <c r="C3498" i="1"/>
  <c r="A3499" i="1"/>
  <c r="C3499" i="1"/>
  <c r="A3500" i="1"/>
  <c r="C3500" i="1"/>
  <c r="A3501" i="1"/>
  <c r="C3501" i="1"/>
  <c r="A3502" i="1"/>
  <c r="C3502" i="1"/>
  <c r="A3503" i="1"/>
  <c r="C3503" i="1"/>
  <c r="A3504" i="1"/>
  <c r="C3504" i="1"/>
  <c r="A3505" i="1"/>
  <c r="C3505" i="1"/>
  <c r="A3506" i="1"/>
  <c r="C3506" i="1"/>
  <c r="A3507" i="1"/>
  <c r="C3507" i="1"/>
  <c r="A3508" i="1"/>
  <c r="C3508" i="1"/>
  <c r="A3509" i="1"/>
  <c r="C3509" i="1"/>
  <c r="A3510" i="1"/>
  <c r="C3510" i="1"/>
  <c r="A3511" i="1"/>
  <c r="C3511" i="1"/>
  <c r="A3512" i="1"/>
  <c r="C3512" i="1"/>
  <c r="A3513" i="1"/>
  <c r="C3513" i="1"/>
  <c r="A3514" i="1"/>
  <c r="C3514" i="1"/>
  <c r="A3515" i="1"/>
  <c r="C3515" i="1"/>
  <c r="A3516" i="1"/>
  <c r="C3516" i="1"/>
  <c r="A3517" i="1"/>
  <c r="C3517" i="1"/>
  <c r="A3518" i="1"/>
  <c r="C3518" i="1"/>
  <c r="A3519" i="1"/>
  <c r="C3519" i="1"/>
  <c r="A3520" i="1"/>
  <c r="C3520" i="1"/>
  <c r="A3521" i="1"/>
  <c r="C3521" i="1"/>
  <c r="A3522" i="1"/>
  <c r="C3522" i="1"/>
  <c r="A3523" i="1"/>
  <c r="C3523" i="1"/>
  <c r="A3524" i="1"/>
  <c r="C3524" i="1"/>
  <c r="A3525" i="1"/>
  <c r="C3525" i="1"/>
  <c r="A3526" i="1"/>
  <c r="C3526" i="1"/>
  <c r="A3527" i="1"/>
  <c r="C3527" i="1"/>
  <c r="A3528" i="1"/>
  <c r="C3528" i="1"/>
  <c r="A3529" i="1"/>
  <c r="C3529" i="1"/>
  <c r="A3530" i="1"/>
  <c r="C3530" i="1"/>
  <c r="A3531" i="1"/>
  <c r="C3531" i="1"/>
  <c r="A3532" i="1"/>
  <c r="C3532" i="1"/>
  <c r="A3533" i="1"/>
  <c r="C3533" i="1"/>
  <c r="A3534" i="1"/>
  <c r="C3534" i="1"/>
  <c r="A3535" i="1"/>
  <c r="C3535" i="1"/>
  <c r="A3536" i="1"/>
  <c r="C3536" i="1"/>
  <c r="A3537" i="1"/>
  <c r="C3537" i="1"/>
  <c r="A3538" i="1"/>
  <c r="C3538" i="1"/>
  <c r="A3539" i="1"/>
  <c r="C3539" i="1"/>
  <c r="A3540" i="1"/>
  <c r="C3540" i="1"/>
  <c r="A3541" i="1"/>
  <c r="C3541" i="1"/>
  <c r="A3542" i="1"/>
  <c r="C3542" i="1"/>
  <c r="A3543" i="1"/>
  <c r="C3543" i="1"/>
  <c r="A3544" i="1"/>
  <c r="C3544" i="1"/>
  <c r="A3545" i="1"/>
  <c r="C3545" i="1"/>
  <c r="A3546" i="1"/>
  <c r="C3546" i="1"/>
  <c r="A3547" i="1"/>
  <c r="C3547" i="1"/>
  <c r="A3548" i="1"/>
  <c r="C3548" i="1"/>
  <c r="A3549" i="1"/>
  <c r="C3549" i="1"/>
  <c r="A3550" i="1"/>
  <c r="C3550" i="1"/>
  <c r="A3551" i="1"/>
  <c r="C3551" i="1"/>
  <c r="A3552" i="1"/>
  <c r="C3552" i="1"/>
  <c r="A3553" i="1"/>
  <c r="C3553" i="1"/>
  <c r="A3554" i="1"/>
  <c r="C3554" i="1"/>
  <c r="A3555" i="1"/>
  <c r="C3555" i="1"/>
  <c r="A3556" i="1"/>
  <c r="C3556" i="1"/>
  <c r="A3557" i="1"/>
  <c r="C3557" i="1"/>
  <c r="A3558" i="1"/>
  <c r="C3558" i="1"/>
  <c r="A3559" i="1"/>
  <c r="C3559" i="1"/>
  <c r="A3560" i="1"/>
  <c r="C3560" i="1"/>
  <c r="A3561" i="1"/>
  <c r="C3561" i="1"/>
  <c r="A3562" i="1"/>
  <c r="C3562" i="1"/>
  <c r="A3563" i="1"/>
  <c r="C3563" i="1"/>
  <c r="A3564" i="1"/>
  <c r="C3564" i="1"/>
  <c r="A3565" i="1"/>
  <c r="C3565" i="1"/>
  <c r="A3566" i="1"/>
  <c r="C3566" i="1"/>
  <c r="A3567" i="1"/>
  <c r="C3567" i="1"/>
  <c r="A3568" i="1"/>
  <c r="C3568" i="1"/>
  <c r="A3569" i="1"/>
  <c r="C3569" i="1"/>
  <c r="A3570" i="1"/>
  <c r="C3570" i="1"/>
  <c r="A3571" i="1"/>
  <c r="C3571" i="1"/>
  <c r="A3572" i="1"/>
  <c r="C3572" i="1"/>
  <c r="A3573" i="1"/>
  <c r="C3573" i="1"/>
  <c r="A3574" i="1"/>
  <c r="C3574" i="1"/>
  <c r="A3575" i="1"/>
  <c r="C3575" i="1"/>
  <c r="A3576" i="1"/>
  <c r="C3576" i="1"/>
  <c r="A3577" i="1"/>
  <c r="C3577" i="1"/>
  <c r="A3578" i="1"/>
  <c r="C3578" i="1"/>
  <c r="A3579" i="1"/>
  <c r="C3579" i="1"/>
  <c r="A3580" i="1"/>
  <c r="C3580" i="1"/>
  <c r="A3581" i="1"/>
  <c r="C3581" i="1"/>
  <c r="A3582" i="1"/>
  <c r="C3582" i="1"/>
  <c r="A3583" i="1"/>
  <c r="C3583" i="1"/>
  <c r="A3584" i="1"/>
  <c r="C3584" i="1"/>
  <c r="A3585" i="1"/>
  <c r="C3585" i="1"/>
  <c r="A3586" i="1"/>
  <c r="C3586" i="1"/>
  <c r="A3587" i="1"/>
  <c r="C3587" i="1"/>
  <c r="A3588" i="1"/>
  <c r="C3588" i="1"/>
  <c r="A3589" i="1"/>
  <c r="C3589" i="1"/>
  <c r="A3590" i="1"/>
  <c r="C3590" i="1"/>
  <c r="A3591" i="1"/>
  <c r="C3591" i="1"/>
  <c r="A3592" i="1"/>
  <c r="C3592" i="1"/>
  <c r="A3593" i="1"/>
  <c r="C3593" i="1"/>
  <c r="A3594" i="1"/>
  <c r="C3594" i="1"/>
  <c r="A3595" i="1"/>
  <c r="C3595" i="1"/>
  <c r="A3596" i="1"/>
  <c r="C3596" i="1"/>
  <c r="A3597" i="1"/>
  <c r="C3597" i="1"/>
  <c r="A3598" i="1"/>
  <c r="C3598" i="1"/>
  <c r="A3599" i="1"/>
  <c r="C3599" i="1"/>
  <c r="A3600" i="1"/>
  <c r="C3600" i="1"/>
  <c r="A3601" i="1"/>
  <c r="C3601" i="1"/>
  <c r="A3602" i="1"/>
  <c r="C3602" i="1"/>
  <c r="A3603" i="1"/>
  <c r="C3603" i="1"/>
  <c r="A3604" i="1"/>
  <c r="C3604" i="1"/>
  <c r="A3605" i="1"/>
  <c r="C3605" i="1"/>
  <c r="A3606" i="1"/>
  <c r="C3606" i="1"/>
  <c r="A3607" i="1"/>
  <c r="C3607" i="1"/>
  <c r="A3608" i="1"/>
  <c r="C3608" i="1"/>
  <c r="A3609" i="1"/>
  <c r="C3609" i="1"/>
  <c r="A3610" i="1"/>
  <c r="C3610" i="1"/>
  <c r="A3611" i="1"/>
  <c r="C3611" i="1"/>
  <c r="A3612" i="1"/>
  <c r="C3612" i="1"/>
  <c r="A3613" i="1"/>
  <c r="C3613" i="1"/>
  <c r="A3614" i="1"/>
  <c r="C3614" i="1"/>
  <c r="A3615" i="1"/>
  <c r="C3615" i="1"/>
  <c r="A3616" i="1"/>
  <c r="C3616" i="1"/>
  <c r="A3617" i="1"/>
  <c r="C3617" i="1"/>
  <c r="A3618" i="1"/>
  <c r="C3618" i="1"/>
  <c r="A3619" i="1"/>
  <c r="C3619" i="1"/>
  <c r="A3620" i="1"/>
  <c r="C3620" i="1"/>
  <c r="A3621" i="1"/>
  <c r="C3621" i="1"/>
  <c r="A3622" i="1"/>
  <c r="C3622" i="1"/>
  <c r="A3623" i="1"/>
  <c r="C3623" i="1"/>
  <c r="A3624" i="1"/>
  <c r="C3624" i="1"/>
  <c r="A3625" i="1"/>
  <c r="C3625" i="1"/>
  <c r="A3626" i="1"/>
  <c r="C3626" i="1"/>
  <c r="A3627" i="1"/>
  <c r="C3627" i="1"/>
  <c r="A3628" i="1"/>
  <c r="C3628" i="1"/>
  <c r="A3629" i="1"/>
  <c r="C3629" i="1"/>
  <c r="A3630" i="1"/>
  <c r="C3630" i="1"/>
  <c r="A3631" i="1"/>
  <c r="C3631" i="1"/>
  <c r="A3632" i="1"/>
  <c r="C3632" i="1"/>
  <c r="A3633" i="1"/>
  <c r="C3633" i="1"/>
  <c r="A3634" i="1"/>
  <c r="C3634" i="1"/>
  <c r="A3635" i="1"/>
  <c r="C3635" i="1"/>
  <c r="A3636" i="1"/>
  <c r="C3636" i="1"/>
  <c r="A3637" i="1"/>
  <c r="C3637" i="1"/>
  <c r="A3638" i="1"/>
  <c r="C3638" i="1"/>
  <c r="A3639" i="1"/>
  <c r="C3639" i="1"/>
  <c r="A3640" i="1"/>
  <c r="C3640" i="1"/>
  <c r="A3641" i="1"/>
  <c r="C3641" i="1"/>
  <c r="A3642" i="1"/>
  <c r="C3642" i="1"/>
  <c r="A3643" i="1"/>
  <c r="C3643" i="1"/>
  <c r="A3644" i="1"/>
  <c r="C3644" i="1"/>
  <c r="A3645" i="1"/>
  <c r="C3645" i="1"/>
  <c r="A3646" i="1"/>
  <c r="C3646" i="1"/>
  <c r="A3647" i="1"/>
  <c r="C3647" i="1"/>
  <c r="A3648" i="1"/>
  <c r="C3648" i="1"/>
  <c r="A3649" i="1"/>
  <c r="C3649" i="1"/>
  <c r="A3650" i="1"/>
  <c r="C3650" i="1"/>
  <c r="A3651" i="1"/>
  <c r="C3651" i="1"/>
  <c r="A3652" i="1"/>
  <c r="C3652" i="1"/>
  <c r="A3653" i="1"/>
  <c r="C3653" i="1"/>
  <c r="A3654" i="1"/>
  <c r="C3654" i="1"/>
  <c r="A3655" i="1"/>
  <c r="C3655" i="1"/>
  <c r="A3656" i="1"/>
  <c r="C3656" i="1"/>
  <c r="A3657" i="1"/>
  <c r="C3657" i="1"/>
  <c r="A3658" i="1"/>
  <c r="C3658" i="1"/>
  <c r="A3659" i="1"/>
  <c r="C3659" i="1"/>
  <c r="A3660" i="1"/>
  <c r="C3660" i="1"/>
  <c r="A3661" i="1"/>
  <c r="C3661" i="1"/>
  <c r="A3662" i="1"/>
  <c r="C3662" i="1"/>
  <c r="A3663" i="1"/>
  <c r="C3663" i="1"/>
  <c r="A3664" i="1"/>
  <c r="C3664" i="1"/>
  <c r="A3665" i="1"/>
  <c r="C3665" i="1"/>
  <c r="A3666" i="1"/>
  <c r="C3666" i="1"/>
  <c r="A3667" i="1"/>
  <c r="C3667" i="1"/>
  <c r="A3668" i="1"/>
  <c r="C3668" i="1"/>
  <c r="A3669" i="1"/>
  <c r="C3669" i="1"/>
  <c r="A3670" i="1"/>
  <c r="C3670" i="1"/>
  <c r="A3671" i="1"/>
  <c r="C3671" i="1"/>
  <c r="A3672" i="1"/>
  <c r="C3672" i="1"/>
  <c r="A3673" i="1"/>
  <c r="C3673" i="1"/>
  <c r="A3674" i="1"/>
  <c r="C3674" i="1"/>
  <c r="A3675" i="1"/>
  <c r="C3675" i="1"/>
  <c r="A3676" i="1"/>
  <c r="C3676" i="1"/>
  <c r="A3677" i="1"/>
  <c r="C3677" i="1"/>
  <c r="A3678" i="1"/>
  <c r="C3678" i="1"/>
  <c r="A3679" i="1"/>
  <c r="C3679" i="1"/>
  <c r="A3680" i="1"/>
  <c r="C3680" i="1"/>
  <c r="A3681" i="1"/>
  <c r="C3681" i="1"/>
  <c r="A3682" i="1"/>
  <c r="C3682" i="1"/>
  <c r="A3683" i="1"/>
  <c r="C3683" i="1"/>
  <c r="A3684" i="1"/>
  <c r="C3684" i="1"/>
  <c r="A3685" i="1"/>
  <c r="C3685" i="1"/>
  <c r="A3686" i="1"/>
  <c r="C3686" i="1"/>
  <c r="A3687" i="1"/>
  <c r="C3687" i="1"/>
  <c r="A3688" i="1"/>
  <c r="C3688" i="1"/>
  <c r="A3689" i="1"/>
  <c r="C3689" i="1"/>
  <c r="A3690" i="1"/>
  <c r="C3690" i="1"/>
  <c r="A3691" i="1"/>
  <c r="C3691" i="1"/>
  <c r="A3692" i="1"/>
  <c r="C3692" i="1"/>
  <c r="A3693" i="1"/>
  <c r="C3693" i="1"/>
  <c r="A3694" i="1"/>
  <c r="C3694" i="1"/>
  <c r="A3695" i="1"/>
  <c r="C3695" i="1"/>
  <c r="A3696" i="1"/>
  <c r="C3696" i="1"/>
  <c r="A3697" i="1"/>
  <c r="C3697" i="1"/>
  <c r="A3698" i="1"/>
  <c r="C3698" i="1"/>
  <c r="A3699" i="1"/>
  <c r="C3699" i="1"/>
  <c r="A3700" i="1"/>
  <c r="C3700" i="1"/>
  <c r="A3701" i="1"/>
  <c r="C3701" i="1"/>
  <c r="A3702" i="1"/>
  <c r="C3702" i="1"/>
  <c r="A3703" i="1"/>
  <c r="C3703" i="1"/>
  <c r="A3704" i="1"/>
  <c r="C3704" i="1"/>
  <c r="A3705" i="1"/>
  <c r="C3705" i="1"/>
  <c r="A3706" i="1"/>
  <c r="C3706" i="1"/>
  <c r="A3707" i="1"/>
  <c r="C3707" i="1"/>
  <c r="A3708" i="1"/>
  <c r="C3708" i="1"/>
  <c r="A3709" i="1"/>
  <c r="C3709" i="1"/>
  <c r="A3710" i="1"/>
  <c r="C3710" i="1"/>
  <c r="A3711" i="1"/>
  <c r="C3711" i="1"/>
  <c r="A3712" i="1"/>
  <c r="C3712" i="1"/>
  <c r="A3713" i="1"/>
  <c r="C3713" i="1"/>
  <c r="A3714" i="1"/>
  <c r="C3714" i="1"/>
  <c r="A3715" i="1"/>
  <c r="C3715" i="1"/>
  <c r="A3716" i="1"/>
  <c r="C3716" i="1"/>
  <c r="A3717" i="1"/>
  <c r="C3717" i="1"/>
  <c r="A3718" i="1"/>
  <c r="C3718" i="1"/>
  <c r="A3719" i="1"/>
  <c r="C3719" i="1"/>
  <c r="A3720" i="1"/>
  <c r="C3720" i="1"/>
  <c r="A3721" i="1"/>
  <c r="C3721" i="1"/>
  <c r="A3722" i="1"/>
  <c r="C3722" i="1"/>
  <c r="A3723" i="1"/>
  <c r="C3723" i="1"/>
  <c r="A3724" i="1"/>
  <c r="C3724" i="1"/>
  <c r="A3725" i="1"/>
  <c r="C3725" i="1"/>
  <c r="A3726" i="1"/>
  <c r="C3726" i="1"/>
  <c r="A3727" i="1"/>
  <c r="C3727" i="1"/>
  <c r="A3728" i="1"/>
  <c r="C3728" i="1"/>
  <c r="A3729" i="1"/>
  <c r="C3729" i="1"/>
  <c r="A3730" i="1"/>
  <c r="C3730" i="1"/>
  <c r="A3731" i="1"/>
  <c r="C3731" i="1"/>
  <c r="A3732" i="1"/>
  <c r="C3732" i="1"/>
  <c r="A3733" i="1"/>
  <c r="C3733" i="1"/>
  <c r="A3734" i="1"/>
  <c r="C3734" i="1"/>
  <c r="A3735" i="1"/>
  <c r="C3735" i="1"/>
  <c r="A3736" i="1"/>
  <c r="C3736" i="1"/>
  <c r="A3737" i="1"/>
  <c r="C3737" i="1"/>
  <c r="A3738" i="1"/>
  <c r="C3738" i="1"/>
  <c r="A3739" i="1"/>
  <c r="C3739" i="1"/>
  <c r="A3740" i="1"/>
  <c r="C3740" i="1"/>
  <c r="A3741" i="1"/>
  <c r="C3741" i="1"/>
  <c r="A3742" i="1"/>
  <c r="C3742" i="1"/>
  <c r="A3743" i="1"/>
  <c r="C3743" i="1"/>
  <c r="A3744" i="1"/>
  <c r="C3744" i="1"/>
  <c r="A3745" i="1"/>
  <c r="C3745" i="1"/>
  <c r="A3746" i="1"/>
  <c r="C3746" i="1"/>
  <c r="A3747" i="1"/>
  <c r="C3747" i="1"/>
  <c r="A3748" i="1"/>
  <c r="C3748" i="1"/>
  <c r="A3749" i="1"/>
  <c r="C3749" i="1"/>
  <c r="A3750" i="1"/>
  <c r="C3750" i="1"/>
  <c r="A3751" i="1"/>
  <c r="C3751" i="1"/>
  <c r="A3752" i="1"/>
  <c r="C3752" i="1"/>
  <c r="A3753" i="1"/>
  <c r="C3753" i="1"/>
  <c r="A3754" i="1"/>
  <c r="C3754" i="1"/>
  <c r="A3755" i="1"/>
  <c r="C3755" i="1"/>
  <c r="A3756" i="1"/>
  <c r="C3756" i="1"/>
  <c r="A3757" i="1"/>
  <c r="C3757" i="1"/>
  <c r="A3758" i="1"/>
  <c r="C3758" i="1"/>
  <c r="A3759" i="1"/>
  <c r="C3759" i="1"/>
  <c r="A3760" i="1"/>
  <c r="C3760" i="1"/>
  <c r="A3761" i="1"/>
  <c r="C3761" i="1"/>
  <c r="A3762" i="1"/>
  <c r="C3762" i="1"/>
  <c r="A3763" i="1"/>
  <c r="C3763" i="1"/>
  <c r="A3764" i="1"/>
  <c r="C3764" i="1"/>
  <c r="A3765" i="1"/>
  <c r="C3765" i="1"/>
  <c r="A3766" i="1"/>
  <c r="C3766" i="1"/>
  <c r="A3767" i="1"/>
  <c r="C3767" i="1"/>
  <c r="A3768" i="1"/>
  <c r="C3768" i="1"/>
  <c r="A3769" i="1"/>
  <c r="C3769" i="1"/>
  <c r="A3770" i="1"/>
  <c r="C3770" i="1"/>
  <c r="A3771" i="1"/>
  <c r="C3771" i="1"/>
  <c r="A3772" i="1"/>
  <c r="C3772" i="1"/>
  <c r="A3773" i="1"/>
  <c r="C3773" i="1"/>
  <c r="A3774" i="1"/>
  <c r="C3774" i="1"/>
  <c r="A3775" i="1"/>
  <c r="C3775" i="1"/>
  <c r="A3776" i="1"/>
  <c r="C3776" i="1"/>
  <c r="A3777" i="1"/>
  <c r="C3777" i="1"/>
  <c r="A3778" i="1"/>
  <c r="C3778" i="1"/>
  <c r="A3779" i="1"/>
  <c r="C3779" i="1"/>
  <c r="A3780" i="1"/>
  <c r="C3780" i="1"/>
  <c r="A3781" i="1"/>
  <c r="C3781" i="1"/>
  <c r="A3782" i="1"/>
  <c r="C3782" i="1"/>
  <c r="A3783" i="1"/>
  <c r="C3783" i="1"/>
  <c r="A3784" i="1"/>
  <c r="C3784" i="1"/>
  <c r="A3785" i="1"/>
  <c r="C3785" i="1"/>
  <c r="A3786" i="1"/>
  <c r="C3786" i="1"/>
  <c r="A3787" i="1"/>
  <c r="C3787" i="1"/>
  <c r="A3788" i="1"/>
  <c r="C3788" i="1"/>
  <c r="A3789" i="1"/>
  <c r="C3789" i="1"/>
  <c r="A3790" i="1"/>
  <c r="C3790" i="1"/>
  <c r="A3791" i="1"/>
  <c r="C3791" i="1"/>
  <c r="A3792" i="1"/>
  <c r="C3792" i="1"/>
  <c r="A3793" i="1"/>
  <c r="C3793" i="1"/>
  <c r="A3794" i="1"/>
  <c r="C3794" i="1"/>
  <c r="A3795" i="1"/>
  <c r="C3795" i="1"/>
  <c r="A3796" i="1"/>
  <c r="C3796" i="1"/>
  <c r="A3797" i="1"/>
  <c r="C3797" i="1"/>
  <c r="A3798" i="1"/>
  <c r="C3798" i="1"/>
  <c r="A3799" i="1"/>
  <c r="C3799" i="1"/>
  <c r="A3800" i="1"/>
  <c r="C3800" i="1"/>
  <c r="A3801" i="1"/>
  <c r="C3801" i="1"/>
  <c r="A3802" i="1"/>
  <c r="C3802" i="1"/>
  <c r="A3803" i="1"/>
  <c r="C3803" i="1"/>
  <c r="A3804" i="1"/>
  <c r="C3804" i="1"/>
  <c r="A3805" i="1"/>
  <c r="C3805" i="1"/>
  <c r="A3806" i="1"/>
  <c r="C3806" i="1"/>
  <c r="A3807" i="1"/>
  <c r="C3807" i="1"/>
  <c r="A3808" i="1"/>
  <c r="C3808" i="1"/>
  <c r="A3809" i="1"/>
  <c r="C3809" i="1"/>
  <c r="A3810" i="1"/>
  <c r="C3810" i="1"/>
  <c r="A3811" i="1"/>
  <c r="C3811" i="1"/>
  <c r="A3812" i="1"/>
  <c r="C3812" i="1"/>
  <c r="A3813" i="1"/>
  <c r="C3813" i="1"/>
  <c r="A3814" i="1"/>
  <c r="C3814" i="1"/>
  <c r="A3815" i="1"/>
  <c r="C3815" i="1"/>
  <c r="A3816" i="1"/>
  <c r="C3816" i="1"/>
  <c r="A3817" i="1"/>
  <c r="C3817" i="1"/>
  <c r="A3818" i="1"/>
  <c r="C3818" i="1"/>
  <c r="A3819" i="1"/>
  <c r="C3819" i="1"/>
  <c r="A3820" i="1"/>
  <c r="C3820" i="1"/>
  <c r="A3821" i="1"/>
  <c r="C3821" i="1"/>
  <c r="A3822" i="1"/>
  <c r="C3822" i="1"/>
  <c r="A3823" i="1"/>
  <c r="C3823" i="1"/>
  <c r="A3824" i="1"/>
  <c r="C3824" i="1"/>
  <c r="A3825" i="1"/>
  <c r="C3825" i="1"/>
  <c r="A3826" i="1"/>
  <c r="C3826" i="1"/>
  <c r="A3827" i="1"/>
  <c r="C3827" i="1"/>
  <c r="A3828" i="1"/>
  <c r="C3828" i="1"/>
  <c r="A3829" i="1"/>
  <c r="C3829" i="1"/>
  <c r="A3830" i="1"/>
  <c r="C3830" i="1"/>
  <c r="A3831" i="1"/>
  <c r="C3831" i="1"/>
  <c r="A3832" i="1"/>
  <c r="C3832" i="1"/>
  <c r="A3833" i="1"/>
  <c r="C3833" i="1"/>
  <c r="A3834" i="1"/>
  <c r="C3834" i="1"/>
  <c r="A3835" i="1"/>
  <c r="C3835" i="1"/>
  <c r="A3836" i="1"/>
  <c r="C3836" i="1"/>
  <c r="A3837" i="1"/>
  <c r="C3837" i="1"/>
  <c r="A3838" i="1"/>
  <c r="C3838" i="1"/>
  <c r="A3839" i="1"/>
  <c r="C3839" i="1"/>
  <c r="A3840" i="1"/>
  <c r="C3840" i="1"/>
  <c r="A3841" i="1"/>
  <c r="C3841" i="1"/>
  <c r="A3842" i="1"/>
  <c r="C3842" i="1"/>
  <c r="A3843" i="1"/>
  <c r="C3843" i="1"/>
  <c r="A3844" i="1"/>
  <c r="C3844" i="1"/>
  <c r="A3845" i="1"/>
  <c r="C3845" i="1"/>
  <c r="A3846" i="1"/>
  <c r="C3846" i="1"/>
  <c r="A3847" i="1"/>
  <c r="C3847" i="1"/>
  <c r="A3848" i="1"/>
  <c r="C3848" i="1"/>
  <c r="A3849" i="1"/>
  <c r="C3849" i="1"/>
  <c r="A3850" i="1"/>
  <c r="C3850" i="1"/>
  <c r="A3851" i="1"/>
  <c r="C3851" i="1"/>
  <c r="A3852" i="1"/>
  <c r="C3852" i="1"/>
  <c r="A3853" i="1"/>
  <c r="C3853" i="1"/>
  <c r="A3854" i="1"/>
  <c r="C3854" i="1"/>
  <c r="A3855" i="1"/>
  <c r="C3855" i="1"/>
  <c r="A3856" i="1"/>
  <c r="C3856" i="1"/>
  <c r="A3857" i="1"/>
  <c r="C3857" i="1"/>
  <c r="A3858" i="1"/>
  <c r="C3858" i="1"/>
  <c r="A3859" i="1"/>
  <c r="C3859" i="1"/>
  <c r="A3860" i="1"/>
  <c r="C3860" i="1"/>
  <c r="A3861" i="1"/>
  <c r="C3861" i="1"/>
  <c r="A3862" i="1"/>
  <c r="C3862" i="1"/>
  <c r="A3863" i="1"/>
  <c r="C3863" i="1"/>
  <c r="A3864" i="1"/>
  <c r="C3864" i="1"/>
  <c r="A3865" i="1"/>
  <c r="C3865" i="1"/>
  <c r="A3866" i="1"/>
  <c r="C3866" i="1"/>
  <c r="A3867" i="1"/>
  <c r="C3867" i="1"/>
  <c r="A3868" i="1"/>
  <c r="C3868" i="1"/>
  <c r="A3869" i="1"/>
  <c r="C3869" i="1"/>
  <c r="A3870" i="1"/>
  <c r="C3870" i="1"/>
  <c r="A3871" i="1"/>
  <c r="C3871" i="1"/>
  <c r="A3872" i="1"/>
  <c r="C3872" i="1"/>
  <c r="A3873" i="1"/>
  <c r="C3873" i="1"/>
  <c r="A3874" i="1"/>
  <c r="C3874" i="1"/>
  <c r="A3875" i="1"/>
  <c r="C3875" i="1"/>
  <c r="A3876" i="1"/>
  <c r="C3876" i="1"/>
  <c r="A3877" i="1"/>
  <c r="C3877" i="1"/>
  <c r="A3878" i="1"/>
  <c r="C3878" i="1"/>
  <c r="A3879" i="1"/>
  <c r="C3879" i="1"/>
  <c r="A3880" i="1"/>
  <c r="C3880" i="1"/>
  <c r="A3881" i="1"/>
  <c r="C3881" i="1"/>
  <c r="A3882" i="1"/>
  <c r="C3882" i="1"/>
  <c r="A3883" i="1"/>
  <c r="C3883" i="1"/>
  <c r="A3884" i="1"/>
  <c r="C3884" i="1"/>
  <c r="A3885" i="1"/>
  <c r="C3885" i="1"/>
  <c r="A3886" i="1"/>
  <c r="C3886" i="1"/>
  <c r="A3887" i="1"/>
  <c r="C3887" i="1"/>
  <c r="A3888" i="1"/>
  <c r="C3888" i="1"/>
  <c r="A3889" i="1"/>
  <c r="C3889" i="1"/>
  <c r="A3890" i="1"/>
  <c r="C3890" i="1"/>
  <c r="A3891" i="1"/>
  <c r="C3891" i="1"/>
  <c r="A3892" i="1"/>
  <c r="C3892" i="1"/>
  <c r="A3893" i="1"/>
  <c r="C3893" i="1"/>
  <c r="A3894" i="1"/>
  <c r="C3894" i="1"/>
  <c r="A3895" i="1"/>
  <c r="C3895" i="1"/>
  <c r="A3896" i="1"/>
  <c r="C3896" i="1"/>
  <c r="A3897" i="1"/>
  <c r="C3897" i="1"/>
  <c r="A3898" i="1"/>
  <c r="C3898" i="1"/>
  <c r="A3899" i="1"/>
  <c r="C3899" i="1"/>
  <c r="A3900" i="1"/>
  <c r="C3900" i="1"/>
  <c r="A3901" i="1"/>
  <c r="C3901" i="1"/>
  <c r="A3902" i="1"/>
  <c r="C3902" i="1"/>
  <c r="A3903" i="1"/>
  <c r="C3903" i="1"/>
  <c r="A3904" i="1"/>
  <c r="C3904" i="1"/>
  <c r="A3905" i="1"/>
  <c r="C3905" i="1"/>
  <c r="A3906" i="1"/>
  <c r="C3906" i="1"/>
  <c r="A3907" i="1"/>
  <c r="C3907" i="1"/>
  <c r="A3908" i="1"/>
  <c r="C3908" i="1"/>
  <c r="A3909" i="1"/>
  <c r="C3909" i="1"/>
  <c r="A3910" i="1"/>
  <c r="C3910" i="1"/>
  <c r="A3911" i="1"/>
  <c r="C3911" i="1"/>
  <c r="A3912" i="1"/>
  <c r="C3912" i="1"/>
  <c r="A3913" i="1"/>
  <c r="C3913" i="1"/>
  <c r="A3914" i="1"/>
  <c r="C3914" i="1"/>
  <c r="A3915" i="1"/>
  <c r="C3915" i="1"/>
  <c r="A3916" i="1"/>
  <c r="C3916" i="1"/>
  <c r="A3917" i="1"/>
  <c r="C3917" i="1"/>
  <c r="A3918" i="1"/>
  <c r="C3918" i="1"/>
  <c r="A3919" i="1"/>
  <c r="C3919" i="1"/>
  <c r="A3920" i="1"/>
  <c r="C3920" i="1"/>
  <c r="A3921" i="1"/>
  <c r="C3921" i="1"/>
  <c r="A3922" i="1"/>
  <c r="C3922" i="1"/>
  <c r="A3923" i="1"/>
  <c r="C3923" i="1"/>
  <c r="A3924" i="1"/>
  <c r="C3924" i="1"/>
  <c r="A3925" i="1"/>
  <c r="C3925" i="1"/>
  <c r="A3926" i="1"/>
  <c r="C3926" i="1"/>
  <c r="A3927" i="1"/>
  <c r="C3927" i="1"/>
  <c r="A3928" i="1"/>
  <c r="C3928" i="1"/>
  <c r="A3929" i="1"/>
  <c r="C3929" i="1"/>
  <c r="A3930" i="1"/>
  <c r="C3930" i="1"/>
  <c r="A3931" i="1"/>
  <c r="C3931" i="1"/>
  <c r="A3932" i="1"/>
  <c r="C3932" i="1"/>
  <c r="A3933" i="1"/>
  <c r="C3933" i="1"/>
  <c r="A3934" i="1"/>
  <c r="C3934" i="1"/>
  <c r="A3935" i="1"/>
  <c r="C3935" i="1"/>
  <c r="A3936" i="1"/>
  <c r="C3936" i="1"/>
  <c r="A3937" i="1"/>
  <c r="C3937" i="1"/>
  <c r="A3938" i="1"/>
  <c r="C3938" i="1"/>
  <c r="A3939" i="1"/>
  <c r="C3939" i="1"/>
  <c r="A3940" i="1"/>
  <c r="C3940" i="1"/>
  <c r="A3941" i="1"/>
  <c r="C3941" i="1"/>
  <c r="A3942" i="1"/>
  <c r="C3942" i="1"/>
  <c r="A3943" i="1"/>
  <c r="C3943" i="1"/>
  <c r="A3944" i="1"/>
  <c r="C3944" i="1"/>
  <c r="A3945" i="1"/>
  <c r="C3945" i="1"/>
  <c r="A3946" i="1"/>
  <c r="C3946" i="1"/>
  <c r="A3947" i="1"/>
  <c r="C3947" i="1"/>
  <c r="A3948" i="1"/>
  <c r="C3948" i="1"/>
  <c r="A3949" i="1"/>
  <c r="C3949" i="1"/>
  <c r="A3950" i="1"/>
  <c r="C3950" i="1"/>
  <c r="A3951" i="1"/>
  <c r="C3951" i="1"/>
  <c r="A3952" i="1"/>
  <c r="C3952" i="1"/>
  <c r="A3953" i="1"/>
  <c r="C3953" i="1"/>
  <c r="A3954" i="1"/>
  <c r="C3954" i="1"/>
  <c r="A3955" i="1"/>
  <c r="C3955" i="1"/>
  <c r="A3956" i="1"/>
  <c r="C3956" i="1"/>
  <c r="A3957" i="1"/>
  <c r="C3957" i="1"/>
  <c r="A3958" i="1"/>
  <c r="C3958" i="1"/>
  <c r="A3959" i="1"/>
  <c r="C3959" i="1"/>
  <c r="A3960" i="1"/>
  <c r="C3960" i="1"/>
  <c r="A3961" i="1"/>
  <c r="C3961" i="1"/>
  <c r="A3962" i="1"/>
  <c r="C3962" i="1"/>
  <c r="A3963" i="1"/>
  <c r="C3963" i="1"/>
  <c r="A3964" i="1"/>
  <c r="C3964" i="1"/>
  <c r="A3965" i="1"/>
  <c r="C3965" i="1"/>
  <c r="A3966" i="1"/>
  <c r="C3966" i="1"/>
  <c r="A3967" i="1"/>
  <c r="C3967" i="1"/>
  <c r="A3968" i="1"/>
  <c r="C3968" i="1"/>
  <c r="A3969" i="1"/>
  <c r="C3969" i="1"/>
  <c r="A3970" i="1"/>
  <c r="C3970" i="1"/>
  <c r="A3971" i="1"/>
  <c r="C3971" i="1"/>
  <c r="A3972" i="1"/>
  <c r="C3972" i="1"/>
  <c r="A3973" i="1"/>
  <c r="C3973" i="1"/>
  <c r="A3974" i="1"/>
  <c r="C3974" i="1"/>
  <c r="A3975" i="1"/>
  <c r="C3975" i="1"/>
  <c r="A3976" i="1"/>
  <c r="C3976" i="1"/>
  <c r="A3977" i="1"/>
  <c r="C3977" i="1"/>
  <c r="A3978" i="1"/>
  <c r="C3978" i="1"/>
  <c r="A3979" i="1"/>
  <c r="C3979" i="1"/>
  <c r="A3980" i="1"/>
  <c r="C3980" i="1"/>
  <c r="A3981" i="1"/>
  <c r="C3981" i="1"/>
  <c r="A3982" i="1"/>
  <c r="C3982" i="1"/>
  <c r="A3983" i="1"/>
  <c r="C3983" i="1"/>
  <c r="A3984" i="1"/>
  <c r="C3984" i="1"/>
  <c r="A3985" i="1"/>
  <c r="C3985" i="1"/>
  <c r="A3986" i="1"/>
  <c r="C3986" i="1"/>
  <c r="A3987" i="1"/>
  <c r="C3987" i="1"/>
  <c r="A3988" i="1"/>
  <c r="C3988" i="1"/>
  <c r="A3989" i="1"/>
  <c r="C3989" i="1"/>
  <c r="A3990" i="1"/>
  <c r="C3990" i="1"/>
  <c r="A3991" i="1"/>
  <c r="C3991" i="1"/>
  <c r="A3992" i="1"/>
  <c r="C3992" i="1"/>
  <c r="A3993" i="1"/>
  <c r="C3993" i="1"/>
  <c r="A3994" i="1"/>
  <c r="C3994" i="1"/>
  <c r="A3995" i="1"/>
  <c r="C3995" i="1"/>
  <c r="A3996" i="1"/>
  <c r="C3996" i="1"/>
  <c r="A3997" i="1"/>
  <c r="C3997" i="1"/>
  <c r="A3998" i="1"/>
  <c r="C3998" i="1"/>
  <c r="A3999" i="1"/>
  <c r="C3999" i="1"/>
  <c r="A4000" i="1"/>
  <c r="C4000" i="1"/>
  <c r="A4001" i="1"/>
  <c r="C4001" i="1"/>
  <c r="A4002" i="1"/>
  <c r="C4002" i="1"/>
  <c r="A4003" i="1"/>
  <c r="C4003" i="1"/>
  <c r="A4004" i="1"/>
  <c r="C4004" i="1"/>
  <c r="A4005" i="1"/>
  <c r="C4005" i="1"/>
  <c r="A4006" i="1"/>
  <c r="C4006" i="1"/>
  <c r="A4007" i="1"/>
  <c r="C4007" i="1"/>
  <c r="A4008" i="1"/>
  <c r="C4008" i="1"/>
  <c r="A4009" i="1"/>
  <c r="C4009" i="1"/>
  <c r="A4010" i="1"/>
  <c r="C4010" i="1"/>
  <c r="A4011" i="1"/>
  <c r="C4011" i="1"/>
  <c r="A4012" i="1"/>
  <c r="C4012" i="1"/>
  <c r="A4013" i="1"/>
  <c r="C4013" i="1"/>
  <c r="A4014" i="1"/>
  <c r="C4014" i="1"/>
  <c r="A4015" i="1"/>
  <c r="C4015" i="1"/>
  <c r="A4016" i="1"/>
  <c r="C4016" i="1"/>
  <c r="A4017" i="1"/>
  <c r="C4017" i="1"/>
  <c r="A4018" i="1"/>
  <c r="C4018" i="1"/>
  <c r="A4019" i="1"/>
  <c r="C4019" i="1"/>
  <c r="A4020" i="1"/>
  <c r="C4020" i="1"/>
  <c r="A4021" i="1"/>
  <c r="C4021" i="1"/>
  <c r="A4022" i="1"/>
  <c r="C4022" i="1"/>
  <c r="A4023" i="1"/>
  <c r="C4023" i="1"/>
  <c r="A4024" i="1"/>
  <c r="C4024" i="1"/>
  <c r="A4025" i="1"/>
  <c r="C4025" i="1"/>
  <c r="A4026" i="1"/>
  <c r="C4026" i="1"/>
  <c r="A4027" i="1"/>
  <c r="C4027" i="1"/>
  <c r="A4028" i="1"/>
  <c r="C4028" i="1"/>
  <c r="A4029" i="1"/>
  <c r="C4029" i="1"/>
  <c r="A4030" i="1"/>
  <c r="C4030" i="1"/>
  <c r="A4031" i="1"/>
  <c r="C4031" i="1"/>
  <c r="A4032" i="1"/>
  <c r="C4032" i="1"/>
  <c r="A4033" i="1"/>
  <c r="C4033" i="1"/>
  <c r="A4034" i="1"/>
  <c r="C4034" i="1"/>
  <c r="A4035" i="1"/>
  <c r="C4035" i="1"/>
  <c r="A4036" i="1"/>
  <c r="C4036" i="1"/>
  <c r="A4037" i="1"/>
  <c r="C4037" i="1"/>
  <c r="A4038" i="1"/>
  <c r="C4038" i="1"/>
  <c r="A4039" i="1"/>
  <c r="C4039" i="1"/>
  <c r="A4040" i="1"/>
  <c r="C4040" i="1"/>
  <c r="A4041" i="1"/>
  <c r="C4041" i="1"/>
  <c r="A4042" i="1"/>
  <c r="C4042" i="1"/>
  <c r="A4043" i="1"/>
  <c r="C4043" i="1"/>
  <c r="A4044" i="1"/>
  <c r="C4044" i="1"/>
  <c r="A4045" i="1"/>
  <c r="C4045" i="1"/>
  <c r="A4046" i="1"/>
  <c r="C4046" i="1"/>
  <c r="A4047" i="1"/>
  <c r="C4047" i="1"/>
  <c r="A4048" i="1"/>
  <c r="C4048" i="1"/>
  <c r="A4049" i="1"/>
  <c r="C4049" i="1"/>
  <c r="A4050" i="1"/>
  <c r="C4050" i="1"/>
  <c r="A4051" i="1"/>
  <c r="C4051" i="1"/>
  <c r="A4052" i="1"/>
  <c r="C4052" i="1"/>
  <c r="A4053" i="1"/>
  <c r="C4053" i="1"/>
  <c r="A4054" i="1"/>
  <c r="C4054" i="1"/>
  <c r="A4055" i="1"/>
  <c r="C4055" i="1"/>
  <c r="A4056" i="1"/>
  <c r="C4056" i="1"/>
  <c r="A4057" i="1"/>
  <c r="C4057" i="1"/>
  <c r="A4058" i="1"/>
  <c r="C4058" i="1"/>
  <c r="A4059" i="1"/>
  <c r="C4059" i="1"/>
  <c r="A4060" i="1"/>
  <c r="C4060" i="1"/>
  <c r="A4061" i="1"/>
  <c r="C4061" i="1"/>
  <c r="A4062" i="1"/>
  <c r="C4062" i="1"/>
  <c r="A4063" i="1"/>
  <c r="C4063" i="1"/>
  <c r="A4064" i="1"/>
  <c r="C4064" i="1"/>
  <c r="A4065" i="1"/>
  <c r="C4065" i="1"/>
  <c r="A4066" i="1"/>
  <c r="C4066" i="1"/>
  <c r="A4067" i="1"/>
  <c r="C4067" i="1"/>
  <c r="A4068" i="1"/>
  <c r="C4068" i="1"/>
  <c r="A4069" i="1"/>
  <c r="C4069" i="1"/>
  <c r="A4070" i="1"/>
  <c r="C4070" i="1"/>
  <c r="A4071" i="1"/>
  <c r="C4071" i="1"/>
  <c r="A4072" i="1"/>
  <c r="C4072" i="1"/>
  <c r="A4073" i="1"/>
  <c r="C4073" i="1"/>
  <c r="A4074" i="1"/>
  <c r="C4074" i="1"/>
  <c r="A4075" i="1"/>
  <c r="C4075" i="1"/>
  <c r="A4076" i="1"/>
  <c r="C4076" i="1"/>
  <c r="A4077" i="1"/>
  <c r="C4077" i="1"/>
  <c r="A4078" i="1"/>
  <c r="C4078" i="1"/>
  <c r="A4079" i="1"/>
  <c r="C4079" i="1"/>
  <c r="A4080" i="1"/>
  <c r="C4080" i="1"/>
  <c r="A4081" i="1"/>
  <c r="C4081" i="1"/>
  <c r="A4082" i="1"/>
  <c r="C4082" i="1"/>
  <c r="A4083" i="1"/>
  <c r="C4083" i="1"/>
  <c r="A4084" i="1"/>
  <c r="C4084" i="1"/>
  <c r="A4085" i="1"/>
  <c r="C4085" i="1"/>
  <c r="A4086" i="1"/>
  <c r="C4086" i="1"/>
  <c r="A4087" i="1"/>
  <c r="C4087" i="1"/>
  <c r="A4088" i="1"/>
  <c r="C4088" i="1"/>
  <c r="A4089" i="1"/>
  <c r="C4089" i="1"/>
  <c r="A4090" i="1"/>
  <c r="C4090" i="1"/>
  <c r="A4091" i="1"/>
  <c r="C4091" i="1"/>
  <c r="A4092" i="1"/>
  <c r="C4092" i="1"/>
  <c r="A4093" i="1"/>
  <c r="C4093" i="1"/>
  <c r="A4094" i="1"/>
  <c r="C4094" i="1"/>
  <c r="A4095" i="1"/>
  <c r="C4095" i="1"/>
  <c r="A4096" i="1"/>
  <c r="C4096" i="1"/>
  <c r="A4097" i="1"/>
  <c r="C4097" i="1"/>
  <c r="A4098" i="1"/>
  <c r="C4098" i="1"/>
  <c r="A4099" i="1"/>
  <c r="C4099" i="1"/>
  <c r="A4100" i="1"/>
  <c r="C4100" i="1"/>
  <c r="A4101" i="1"/>
  <c r="C4101" i="1"/>
  <c r="A4102" i="1"/>
  <c r="C4102" i="1"/>
  <c r="A4103" i="1"/>
  <c r="C4103" i="1"/>
  <c r="A4104" i="1"/>
  <c r="C4104" i="1"/>
  <c r="A4105" i="1"/>
  <c r="C4105" i="1"/>
  <c r="A4106" i="1"/>
  <c r="C4106" i="1"/>
  <c r="A4107" i="1"/>
  <c r="C4107" i="1"/>
  <c r="A4108" i="1"/>
  <c r="C4108" i="1"/>
  <c r="A4109" i="1"/>
  <c r="C4109" i="1"/>
  <c r="A4110" i="1"/>
  <c r="C4110" i="1"/>
  <c r="A4111" i="1"/>
  <c r="C4111" i="1"/>
  <c r="A4112" i="1"/>
  <c r="C4112" i="1"/>
  <c r="A4113" i="1"/>
  <c r="C4113" i="1"/>
  <c r="A4114" i="1"/>
  <c r="C4114" i="1"/>
  <c r="A4115" i="1"/>
  <c r="C4115" i="1"/>
  <c r="A4116" i="1"/>
  <c r="C4116" i="1"/>
  <c r="A4117" i="1"/>
  <c r="C4117" i="1"/>
  <c r="A4118" i="1"/>
  <c r="C4118" i="1"/>
  <c r="A4119" i="1"/>
  <c r="C4119" i="1"/>
  <c r="A4120" i="1"/>
  <c r="C4120" i="1"/>
  <c r="A4121" i="1"/>
  <c r="C4121" i="1"/>
  <c r="A4122" i="1"/>
  <c r="C4122" i="1"/>
  <c r="A4123" i="1"/>
  <c r="C4123" i="1"/>
  <c r="A4124" i="1"/>
  <c r="C4124" i="1"/>
  <c r="A4125" i="1"/>
  <c r="C4125" i="1"/>
  <c r="A4126" i="1"/>
  <c r="C4126" i="1"/>
  <c r="A4127" i="1"/>
  <c r="C4127" i="1"/>
  <c r="A4128" i="1"/>
  <c r="C4128" i="1"/>
  <c r="A4129" i="1"/>
  <c r="C4129" i="1"/>
  <c r="A4130" i="1"/>
  <c r="C4130" i="1"/>
  <c r="A4131" i="1"/>
  <c r="C4131" i="1"/>
  <c r="A4132" i="1"/>
  <c r="C4132" i="1"/>
  <c r="A4133" i="1"/>
  <c r="C4133" i="1"/>
  <c r="A4134" i="1"/>
  <c r="C4134" i="1"/>
  <c r="A4135" i="1"/>
  <c r="C4135" i="1"/>
  <c r="A4136" i="1"/>
  <c r="C4136" i="1"/>
  <c r="A4137" i="1"/>
  <c r="C4137" i="1"/>
  <c r="A4138" i="1"/>
  <c r="C4138" i="1"/>
  <c r="A4139" i="1"/>
  <c r="C4139" i="1"/>
  <c r="A4140" i="1"/>
  <c r="C4140" i="1"/>
  <c r="A4141" i="1"/>
  <c r="C4141" i="1"/>
  <c r="A4142" i="1"/>
  <c r="C4142" i="1"/>
  <c r="A4143" i="1"/>
  <c r="C4143" i="1"/>
  <c r="A4144" i="1"/>
  <c r="C4144" i="1"/>
  <c r="A4145" i="1"/>
  <c r="C4145" i="1"/>
  <c r="A4146" i="1"/>
  <c r="C4146" i="1"/>
  <c r="A4147" i="1"/>
  <c r="C4147" i="1"/>
  <c r="A4148" i="1"/>
  <c r="C4148" i="1"/>
  <c r="A4149" i="1"/>
  <c r="C4149" i="1"/>
  <c r="A4150" i="1"/>
  <c r="C4150" i="1"/>
  <c r="A4151" i="1"/>
  <c r="C4151" i="1"/>
  <c r="A4152" i="1"/>
  <c r="C4152" i="1"/>
  <c r="A4153" i="1"/>
  <c r="C4153" i="1"/>
  <c r="A4154" i="1"/>
  <c r="C4154" i="1"/>
  <c r="A4155" i="1"/>
  <c r="C4155" i="1"/>
  <c r="A4156" i="1"/>
  <c r="C4156" i="1"/>
  <c r="A4157" i="1"/>
  <c r="C4157" i="1"/>
  <c r="A4158" i="1"/>
  <c r="C4158" i="1"/>
  <c r="A4159" i="1"/>
  <c r="C4159" i="1"/>
  <c r="A4160" i="1"/>
  <c r="C4160" i="1"/>
  <c r="A4161" i="1"/>
  <c r="C4161" i="1"/>
  <c r="A4162" i="1"/>
  <c r="C4162" i="1"/>
  <c r="A4163" i="1"/>
  <c r="C4163" i="1"/>
  <c r="A4164" i="1"/>
  <c r="C4164" i="1"/>
  <c r="A4165" i="1"/>
  <c r="C4165" i="1"/>
  <c r="A4166" i="1"/>
  <c r="C4166" i="1"/>
  <c r="A4167" i="1"/>
  <c r="C4167" i="1"/>
  <c r="A4168" i="1"/>
  <c r="C4168" i="1"/>
  <c r="A4169" i="1"/>
  <c r="C4169" i="1"/>
  <c r="A4170" i="1"/>
  <c r="C4170" i="1"/>
  <c r="A4171" i="1"/>
  <c r="C4171" i="1"/>
  <c r="A4172" i="1"/>
  <c r="C4172" i="1"/>
  <c r="A4173" i="1"/>
  <c r="C4173" i="1"/>
  <c r="A4174" i="1"/>
  <c r="C4174" i="1"/>
  <c r="A4175" i="1"/>
  <c r="C4175" i="1"/>
  <c r="A4176" i="1"/>
  <c r="C4176" i="1"/>
  <c r="A4177" i="1"/>
  <c r="C4177" i="1"/>
  <c r="A4178" i="1"/>
  <c r="C4178" i="1"/>
  <c r="A4179" i="1"/>
  <c r="C4179" i="1"/>
  <c r="A4180" i="1"/>
  <c r="C4180" i="1"/>
  <c r="A4181" i="1"/>
  <c r="C4181" i="1"/>
  <c r="A4182" i="1"/>
  <c r="C4182" i="1"/>
  <c r="A4183" i="1"/>
  <c r="C4183" i="1"/>
  <c r="A4184" i="1"/>
  <c r="C4184" i="1"/>
  <c r="A4185" i="1"/>
  <c r="C4185" i="1"/>
  <c r="A4186" i="1"/>
  <c r="C4186" i="1"/>
  <c r="A4187" i="1"/>
  <c r="C4187" i="1"/>
  <c r="A4188" i="1"/>
  <c r="C4188" i="1"/>
  <c r="A4189" i="1"/>
  <c r="C4189" i="1"/>
  <c r="A4190" i="1"/>
  <c r="C4190" i="1"/>
  <c r="A4191" i="1"/>
  <c r="C4191" i="1"/>
  <c r="A4192" i="1"/>
  <c r="C4192" i="1"/>
  <c r="A4193" i="1"/>
  <c r="C4193" i="1"/>
  <c r="A4194" i="1"/>
  <c r="C4194" i="1"/>
  <c r="A4195" i="1"/>
  <c r="C4195" i="1"/>
  <c r="A4196" i="1"/>
  <c r="C4196" i="1"/>
  <c r="A4197" i="1"/>
  <c r="C4197" i="1"/>
  <c r="A4198" i="1"/>
  <c r="C4198" i="1"/>
  <c r="A4199" i="1"/>
  <c r="C4199" i="1"/>
  <c r="A4200" i="1"/>
  <c r="C4200" i="1"/>
  <c r="A4201" i="1"/>
  <c r="C4201" i="1"/>
  <c r="A4202" i="1"/>
  <c r="C4202" i="1"/>
  <c r="A4203" i="1"/>
  <c r="C4203" i="1"/>
  <c r="A4204" i="1"/>
  <c r="C4204" i="1"/>
  <c r="A4205" i="1"/>
  <c r="C4205" i="1"/>
  <c r="A4206" i="1"/>
  <c r="C4206" i="1"/>
  <c r="A4207" i="1"/>
  <c r="C4207" i="1"/>
  <c r="A4208" i="1"/>
  <c r="C4208" i="1"/>
  <c r="A4209" i="1"/>
  <c r="C4209" i="1"/>
  <c r="A4210" i="1"/>
  <c r="C4210" i="1"/>
  <c r="A4211" i="1"/>
  <c r="C4211" i="1"/>
  <c r="A4212" i="1"/>
  <c r="C4212" i="1"/>
  <c r="A4213" i="1"/>
  <c r="C4213" i="1"/>
  <c r="A4214" i="1"/>
  <c r="C4214" i="1"/>
  <c r="A4215" i="1"/>
  <c r="C4215" i="1"/>
  <c r="A4216" i="1"/>
  <c r="C4216" i="1"/>
  <c r="A4217" i="1"/>
  <c r="C4217" i="1"/>
  <c r="A4218" i="1"/>
  <c r="C4218" i="1"/>
  <c r="A4219" i="1"/>
  <c r="C4219" i="1"/>
  <c r="A4220" i="1"/>
  <c r="C4220" i="1"/>
  <c r="A4221" i="1"/>
  <c r="C4221" i="1"/>
  <c r="A4222" i="1"/>
  <c r="C4222" i="1"/>
  <c r="A4223" i="1"/>
  <c r="C4223" i="1"/>
  <c r="A4224" i="1"/>
  <c r="C4224" i="1"/>
  <c r="A4225" i="1"/>
  <c r="C4225" i="1"/>
  <c r="A4226" i="1"/>
  <c r="C4226" i="1"/>
  <c r="A4227" i="1"/>
  <c r="C4227" i="1"/>
  <c r="A4228" i="1"/>
  <c r="C4228" i="1"/>
  <c r="A4229" i="1"/>
  <c r="C4229" i="1"/>
  <c r="A4230" i="1"/>
  <c r="C4230" i="1"/>
  <c r="A4231" i="1"/>
  <c r="C4231" i="1"/>
  <c r="A4232" i="1"/>
  <c r="C4232" i="1"/>
  <c r="A4233" i="1"/>
  <c r="C4233" i="1"/>
  <c r="A4234" i="1"/>
  <c r="C4234" i="1"/>
  <c r="A4235" i="1"/>
  <c r="C4235" i="1"/>
  <c r="A4236" i="1"/>
  <c r="C4236" i="1"/>
  <c r="A4237" i="1"/>
  <c r="C4237" i="1"/>
  <c r="A4238" i="1"/>
  <c r="C4238" i="1"/>
  <c r="A4239" i="1"/>
  <c r="C4239" i="1"/>
  <c r="A4240" i="1"/>
  <c r="C4240" i="1"/>
  <c r="A4241" i="1"/>
  <c r="C4241" i="1"/>
  <c r="A4242" i="1"/>
  <c r="C4242" i="1"/>
  <c r="A4243" i="1"/>
  <c r="C4243" i="1"/>
  <c r="A4244" i="1"/>
  <c r="C4244" i="1"/>
  <c r="A4245" i="1"/>
  <c r="C4245" i="1"/>
  <c r="A4246" i="1"/>
  <c r="C4246" i="1"/>
  <c r="A4247" i="1"/>
  <c r="C4247" i="1"/>
  <c r="A4248" i="1"/>
  <c r="C4248" i="1"/>
  <c r="A4249" i="1"/>
  <c r="C4249" i="1"/>
  <c r="A4250" i="1"/>
  <c r="C4250" i="1"/>
  <c r="A4251" i="1"/>
  <c r="C4251" i="1"/>
  <c r="A4252" i="1"/>
  <c r="C4252" i="1"/>
  <c r="A4253" i="1"/>
  <c r="C4253" i="1"/>
  <c r="A4254" i="1"/>
  <c r="C4254" i="1"/>
  <c r="A4255" i="1"/>
  <c r="C4255" i="1"/>
  <c r="A4256" i="1"/>
  <c r="C4256" i="1"/>
  <c r="A4257" i="1"/>
  <c r="C4257" i="1"/>
  <c r="A4258" i="1"/>
  <c r="C4258" i="1"/>
  <c r="A4259" i="1"/>
  <c r="C4259" i="1"/>
  <c r="A4260" i="1"/>
  <c r="C4260" i="1"/>
  <c r="A4261" i="1"/>
  <c r="C4261" i="1"/>
  <c r="A4262" i="1"/>
  <c r="C4262" i="1"/>
  <c r="A4263" i="1"/>
  <c r="C4263" i="1"/>
  <c r="A4264" i="1"/>
  <c r="C4264" i="1"/>
  <c r="A4265" i="1"/>
  <c r="C4265" i="1"/>
  <c r="A4266" i="1"/>
  <c r="C4266" i="1"/>
  <c r="A4267" i="1"/>
  <c r="C4267" i="1"/>
  <c r="A4268" i="1"/>
  <c r="C4268" i="1"/>
  <c r="A4269" i="1"/>
  <c r="C4269" i="1"/>
  <c r="A4270" i="1"/>
  <c r="C4270" i="1"/>
  <c r="A4271" i="1"/>
  <c r="C4271" i="1"/>
  <c r="A4272" i="1"/>
  <c r="C4272" i="1"/>
  <c r="A4273" i="1"/>
  <c r="C4273" i="1"/>
  <c r="A4274" i="1"/>
  <c r="C4274" i="1"/>
  <c r="A4275" i="1"/>
  <c r="C4275" i="1"/>
  <c r="A4276" i="1"/>
  <c r="C4276" i="1"/>
  <c r="A4277" i="1"/>
  <c r="C4277" i="1"/>
  <c r="A4278" i="1"/>
  <c r="C4278" i="1"/>
  <c r="A4279" i="1"/>
  <c r="C4279" i="1"/>
  <c r="A4280" i="1"/>
  <c r="C4280" i="1"/>
  <c r="A4281" i="1"/>
  <c r="C4281" i="1"/>
  <c r="A4282" i="1"/>
  <c r="C4282" i="1"/>
  <c r="A4283" i="1"/>
  <c r="C4283" i="1"/>
  <c r="A4284" i="1"/>
  <c r="C4284" i="1"/>
  <c r="A4285" i="1"/>
  <c r="C4285" i="1"/>
  <c r="A4286" i="1"/>
  <c r="C4286" i="1"/>
  <c r="A4287" i="1"/>
  <c r="C4287" i="1"/>
  <c r="A4288" i="1"/>
  <c r="C4288" i="1"/>
  <c r="A4289" i="1"/>
  <c r="C4289" i="1"/>
  <c r="A4290" i="1"/>
  <c r="C4290" i="1"/>
  <c r="A4291" i="1"/>
  <c r="C4291" i="1"/>
  <c r="A4292" i="1"/>
  <c r="C4292" i="1"/>
  <c r="A4293" i="1"/>
  <c r="C4293" i="1"/>
  <c r="A4294" i="1"/>
  <c r="C4294" i="1"/>
  <c r="A4295" i="1"/>
  <c r="C4295" i="1"/>
  <c r="A4296" i="1"/>
  <c r="C4296" i="1"/>
  <c r="A4297" i="1"/>
  <c r="C4297" i="1"/>
  <c r="A4298" i="1"/>
  <c r="C4298" i="1"/>
  <c r="A4299" i="1"/>
  <c r="C4299" i="1"/>
  <c r="A4300" i="1"/>
  <c r="C4300" i="1"/>
  <c r="A4301" i="1"/>
  <c r="C4301" i="1"/>
  <c r="A4302" i="1"/>
  <c r="C4302" i="1"/>
  <c r="A4303" i="1"/>
  <c r="C4303" i="1"/>
  <c r="A4304" i="1"/>
  <c r="C4304" i="1"/>
  <c r="A4305" i="1"/>
  <c r="C4305" i="1"/>
  <c r="A4306" i="1"/>
  <c r="C4306" i="1"/>
  <c r="A4307" i="1"/>
  <c r="C4307" i="1"/>
  <c r="A4308" i="1"/>
  <c r="C4308" i="1"/>
  <c r="A4309" i="1"/>
  <c r="C4309" i="1"/>
  <c r="A4310" i="1"/>
  <c r="C4310" i="1"/>
  <c r="A4311" i="1"/>
  <c r="C4311" i="1"/>
  <c r="A4312" i="1"/>
  <c r="C4312" i="1"/>
  <c r="A4313" i="1"/>
  <c r="C4313" i="1"/>
  <c r="A4314" i="1"/>
  <c r="C4314" i="1"/>
  <c r="A4315" i="1"/>
  <c r="C4315" i="1"/>
  <c r="A4316" i="1"/>
  <c r="C4316" i="1"/>
  <c r="A4317" i="1"/>
  <c r="C4317" i="1"/>
  <c r="A4318" i="1"/>
  <c r="C4318" i="1"/>
  <c r="A4319" i="1"/>
  <c r="C4319" i="1"/>
  <c r="A4320" i="1"/>
  <c r="C4320" i="1"/>
  <c r="A4321" i="1"/>
  <c r="C4321" i="1"/>
  <c r="A4322" i="1"/>
  <c r="C4322" i="1"/>
  <c r="A4323" i="1"/>
  <c r="C4323" i="1"/>
  <c r="A4324" i="1"/>
  <c r="C4324" i="1"/>
  <c r="A4325" i="1"/>
  <c r="C4325" i="1"/>
  <c r="A4326" i="1"/>
  <c r="C4326" i="1"/>
  <c r="A4327" i="1"/>
  <c r="C4327" i="1"/>
  <c r="A4328" i="1"/>
  <c r="C4328" i="1"/>
  <c r="A4329" i="1"/>
  <c r="C4329" i="1"/>
  <c r="A4330" i="1"/>
  <c r="C4330" i="1"/>
  <c r="A4331" i="1"/>
  <c r="C4331" i="1"/>
  <c r="A4332" i="1"/>
  <c r="C4332" i="1"/>
  <c r="A4333" i="1"/>
  <c r="C4333" i="1"/>
  <c r="A4334" i="1"/>
  <c r="C4334" i="1"/>
  <c r="A4335" i="1"/>
  <c r="C4335" i="1"/>
  <c r="A4336" i="1"/>
  <c r="C4336" i="1"/>
  <c r="A4337" i="1"/>
  <c r="C4337" i="1"/>
  <c r="A4338" i="1"/>
  <c r="C4338" i="1"/>
  <c r="A4339" i="1"/>
  <c r="C4339" i="1"/>
  <c r="A4340" i="1"/>
  <c r="C4340" i="1"/>
  <c r="A4341" i="1"/>
  <c r="C4341" i="1"/>
  <c r="A4342" i="1"/>
  <c r="C4342" i="1"/>
  <c r="A4343" i="1"/>
  <c r="C4343" i="1"/>
  <c r="A4344" i="1"/>
  <c r="C4344" i="1"/>
  <c r="A4345" i="1"/>
  <c r="C4345" i="1"/>
  <c r="A4346" i="1"/>
  <c r="C4346" i="1"/>
  <c r="A4347" i="1"/>
  <c r="C4347" i="1"/>
  <c r="A4348" i="1"/>
  <c r="C4348" i="1"/>
  <c r="A4349" i="1"/>
  <c r="C4349" i="1"/>
  <c r="A4350" i="1"/>
  <c r="C4350" i="1"/>
  <c r="A4351" i="1"/>
  <c r="C4351" i="1"/>
  <c r="A4352" i="1"/>
  <c r="C4352" i="1"/>
  <c r="A4353" i="1"/>
  <c r="C4353" i="1"/>
  <c r="A4354" i="1"/>
  <c r="C4354" i="1"/>
  <c r="A4355" i="1"/>
  <c r="C4355" i="1"/>
  <c r="A4356" i="1"/>
  <c r="C4356" i="1"/>
  <c r="A4357" i="1"/>
  <c r="C4357" i="1"/>
  <c r="A4358" i="1"/>
  <c r="C4358" i="1"/>
  <c r="A4359" i="1"/>
  <c r="C4359" i="1"/>
  <c r="A4360" i="1"/>
  <c r="C4360" i="1"/>
  <c r="A4361" i="1"/>
  <c r="C4361" i="1"/>
  <c r="A4362" i="1"/>
  <c r="C4362" i="1"/>
  <c r="A4363" i="1"/>
  <c r="C4363" i="1"/>
  <c r="A4364" i="1"/>
  <c r="C4364" i="1"/>
  <c r="A4365" i="1"/>
  <c r="C4365" i="1"/>
  <c r="A4366" i="1"/>
  <c r="C4366" i="1"/>
  <c r="A4367" i="1"/>
  <c r="C4367" i="1"/>
  <c r="A4368" i="1"/>
  <c r="C4368" i="1"/>
  <c r="A4369" i="1"/>
  <c r="C4369" i="1"/>
  <c r="A4370" i="1"/>
  <c r="C4370" i="1"/>
  <c r="A4371" i="1"/>
  <c r="C4371" i="1"/>
  <c r="A4372" i="1"/>
  <c r="C4372" i="1"/>
  <c r="A4373" i="1"/>
  <c r="C4373" i="1"/>
  <c r="A4374" i="1"/>
  <c r="C4374" i="1"/>
  <c r="A4375" i="1"/>
  <c r="C4375" i="1"/>
  <c r="A4376" i="1"/>
  <c r="C4376" i="1"/>
  <c r="A4377" i="1"/>
  <c r="C4377" i="1"/>
  <c r="A4378" i="1"/>
  <c r="C4378" i="1"/>
  <c r="A4379" i="1"/>
  <c r="C4379" i="1"/>
  <c r="A4380" i="1"/>
  <c r="C4380" i="1"/>
  <c r="A4381" i="1"/>
  <c r="C4381" i="1"/>
  <c r="A4382" i="1"/>
  <c r="C4382" i="1"/>
  <c r="A4383" i="1"/>
  <c r="C4383" i="1"/>
  <c r="A4384" i="1"/>
  <c r="C4384" i="1"/>
  <c r="A4385" i="1"/>
  <c r="C4385" i="1"/>
  <c r="A4386" i="1"/>
  <c r="C4386" i="1"/>
  <c r="A4387" i="1"/>
  <c r="C4387" i="1"/>
  <c r="A4388" i="1"/>
  <c r="C4388" i="1"/>
  <c r="A4389" i="1"/>
  <c r="C4389" i="1"/>
  <c r="A4390" i="1"/>
  <c r="C4390" i="1"/>
  <c r="A4391" i="1"/>
  <c r="C4391" i="1"/>
  <c r="A4392" i="1"/>
  <c r="C4392" i="1"/>
  <c r="A4393" i="1"/>
  <c r="C4393" i="1"/>
  <c r="A4394" i="1"/>
  <c r="C4394" i="1"/>
  <c r="A4395" i="1"/>
  <c r="C4395" i="1"/>
  <c r="A4396" i="1"/>
  <c r="C4396" i="1"/>
  <c r="A4397" i="1"/>
  <c r="C4397" i="1"/>
  <c r="A4398" i="1"/>
  <c r="C4398" i="1"/>
  <c r="A4399" i="1"/>
  <c r="C4399" i="1"/>
  <c r="A4400" i="1"/>
  <c r="C4400" i="1"/>
  <c r="A4401" i="1"/>
  <c r="C4401" i="1"/>
  <c r="A4402" i="1"/>
  <c r="C4402" i="1"/>
  <c r="A4403" i="1"/>
  <c r="C4403" i="1"/>
  <c r="A4404" i="1"/>
  <c r="C4404" i="1"/>
  <c r="A4405" i="1"/>
  <c r="C4405" i="1"/>
  <c r="A4406" i="1"/>
  <c r="C4406" i="1"/>
  <c r="A4407" i="1"/>
  <c r="C4407" i="1"/>
  <c r="A4408" i="1"/>
  <c r="C4408" i="1"/>
  <c r="A4409" i="1"/>
  <c r="C4409" i="1"/>
  <c r="A4410" i="1"/>
  <c r="C4410" i="1"/>
  <c r="A4411" i="1"/>
  <c r="C4411" i="1"/>
  <c r="A4412" i="1"/>
  <c r="C4412" i="1"/>
  <c r="A4413" i="1"/>
  <c r="C4413" i="1"/>
  <c r="A4414" i="1"/>
  <c r="C4414" i="1"/>
  <c r="A4415" i="1"/>
  <c r="C4415" i="1"/>
  <c r="A4416" i="1"/>
  <c r="C4416" i="1"/>
  <c r="A4417" i="1"/>
  <c r="C4417" i="1"/>
  <c r="A4418" i="1"/>
  <c r="C4418" i="1"/>
  <c r="A4419" i="1"/>
  <c r="C4419" i="1"/>
  <c r="A4420" i="1"/>
  <c r="C4420" i="1"/>
  <c r="A4421" i="1"/>
  <c r="C4421" i="1"/>
  <c r="A4422" i="1"/>
  <c r="C4422" i="1"/>
  <c r="A4423" i="1"/>
  <c r="C4423" i="1"/>
  <c r="A4424" i="1"/>
  <c r="C4424" i="1"/>
  <c r="A4425" i="1"/>
  <c r="C4425" i="1"/>
  <c r="A4426" i="1"/>
  <c r="C4426" i="1"/>
  <c r="A4427" i="1"/>
  <c r="C4427" i="1"/>
  <c r="A4428" i="1"/>
  <c r="C4428" i="1"/>
  <c r="A4429" i="1"/>
  <c r="C4429" i="1"/>
  <c r="A4430" i="1"/>
  <c r="C4430" i="1"/>
  <c r="A4431" i="1"/>
  <c r="C4431" i="1"/>
  <c r="A4432" i="1"/>
  <c r="C4432" i="1"/>
  <c r="A4433" i="1"/>
  <c r="C4433" i="1"/>
  <c r="A4434" i="1"/>
  <c r="C4434" i="1"/>
  <c r="A4435" i="1"/>
  <c r="C4435" i="1"/>
  <c r="A4436" i="1"/>
  <c r="C4436" i="1"/>
  <c r="A4437" i="1"/>
  <c r="C4437" i="1"/>
  <c r="A4438" i="1"/>
  <c r="C4438" i="1"/>
  <c r="A4439" i="1"/>
  <c r="C4439" i="1"/>
  <c r="A4440" i="1"/>
  <c r="C4440" i="1"/>
  <c r="A4441" i="1"/>
  <c r="C4441" i="1"/>
  <c r="A4442" i="1"/>
  <c r="C4442" i="1"/>
  <c r="A4443" i="1"/>
  <c r="C4443" i="1"/>
  <c r="A4444" i="1"/>
  <c r="C4444" i="1"/>
  <c r="A4445" i="1"/>
  <c r="C4445" i="1"/>
  <c r="A4446" i="1"/>
  <c r="C4446" i="1"/>
  <c r="A4447" i="1"/>
  <c r="C4447" i="1"/>
  <c r="A4448" i="1"/>
  <c r="C4448" i="1"/>
  <c r="A4449" i="1"/>
  <c r="C4449" i="1"/>
  <c r="A4450" i="1"/>
  <c r="C4450" i="1"/>
  <c r="A4451" i="1"/>
  <c r="C4451" i="1"/>
  <c r="A4452" i="1"/>
  <c r="C4452" i="1"/>
  <c r="A4453" i="1"/>
  <c r="C4453" i="1"/>
  <c r="A4454" i="1"/>
  <c r="C4454" i="1"/>
  <c r="A4455" i="1"/>
  <c r="C4455" i="1"/>
  <c r="A4456" i="1"/>
  <c r="C4456" i="1"/>
  <c r="A4457" i="1"/>
  <c r="C4457" i="1"/>
  <c r="A4458" i="1"/>
  <c r="C4458" i="1"/>
  <c r="A4459" i="1"/>
  <c r="C4459" i="1"/>
  <c r="A4460" i="1"/>
  <c r="C4460" i="1"/>
  <c r="A4461" i="1"/>
  <c r="C4461" i="1"/>
  <c r="A4462" i="1"/>
  <c r="C4462" i="1"/>
  <c r="A4463" i="1"/>
  <c r="C4463" i="1"/>
  <c r="A4464" i="1"/>
  <c r="C4464" i="1"/>
  <c r="A4465" i="1"/>
  <c r="C4465" i="1"/>
  <c r="A4466" i="1"/>
  <c r="C4466" i="1"/>
  <c r="A4467" i="1"/>
  <c r="C4467" i="1"/>
  <c r="A4468" i="1"/>
  <c r="C4468" i="1"/>
  <c r="A4469" i="1"/>
  <c r="C4469" i="1"/>
  <c r="A4470" i="1"/>
  <c r="C4470" i="1"/>
  <c r="A4471" i="1"/>
  <c r="C4471" i="1"/>
  <c r="A4472" i="1"/>
  <c r="C4472" i="1"/>
  <c r="A4473" i="1"/>
  <c r="C4473" i="1"/>
  <c r="A4474" i="1"/>
  <c r="C4474" i="1"/>
  <c r="A4475" i="1"/>
  <c r="C4475" i="1"/>
  <c r="A4476" i="1"/>
  <c r="C4476" i="1"/>
  <c r="A4477" i="1"/>
  <c r="C4477" i="1"/>
  <c r="A4478" i="1"/>
  <c r="C4478" i="1"/>
  <c r="A4479" i="1"/>
  <c r="C4479" i="1"/>
  <c r="A4480" i="1"/>
  <c r="C4480" i="1"/>
  <c r="A4481" i="1"/>
  <c r="C4481" i="1"/>
  <c r="A4482" i="1"/>
  <c r="C4482" i="1"/>
  <c r="A4483" i="1"/>
  <c r="C4483" i="1"/>
  <c r="A4484" i="1"/>
  <c r="C4484" i="1"/>
  <c r="A4485" i="1"/>
  <c r="C4485" i="1"/>
  <c r="A4486" i="1"/>
  <c r="C4486" i="1"/>
  <c r="A4487" i="1"/>
  <c r="C4487" i="1"/>
  <c r="A4488" i="1"/>
  <c r="C4488" i="1"/>
  <c r="A4489" i="1"/>
  <c r="C4489" i="1"/>
  <c r="A4490" i="1"/>
  <c r="C4490" i="1"/>
  <c r="A4491" i="1"/>
  <c r="C4491" i="1"/>
  <c r="A4492" i="1"/>
  <c r="C4492" i="1"/>
  <c r="A4493" i="1"/>
  <c r="C4493" i="1"/>
  <c r="A4494" i="1"/>
  <c r="C4494" i="1"/>
  <c r="A4495" i="1"/>
  <c r="C4495" i="1"/>
  <c r="A4496" i="1"/>
  <c r="C4496" i="1"/>
  <c r="A4497" i="1"/>
  <c r="C4497" i="1"/>
  <c r="A4498" i="1"/>
  <c r="C4498" i="1"/>
  <c r="A4499" i="1"/>
  <c r="C4499" i="1"/>
  <c r="A4500" i="1"/>
  <c r="C4500" i="1"/>
  <c r="A4501" i="1"/>
  <c r="C4501" i="1"/>
  <c r="A4502" i="1"/>
  <c r="C4502" i="1"/>
  <c r="A4503" i="1"/>
  <c r="C4503" i="1"/>
  <c r="A4504" i="1"/>
  <c r="C4504" i="1"/>
  <c r="A4505" i="1"/>
  <c r="C4505" i="1"/>
  <c r="A4506" i="1"/>
  <c r="C4506" i="1"/>
  <c r="A4507" i="1"/>
  <c r="C4507" i="1"/>
  <c r="A4508" i="1"/>
  <c r="C4508" i="1"/>
  <c r="A4509" i="1"/>
  <c r="C4509" i="1"/>
  <c r="A4510" i="1"/>
  <c r="C4510" i="1"/>
  <c r="A4511" i="1"/>
  <c r="C4511" i="1"/>
  <c r="A4512" i="1"/>
  <c r="C4512" i="1"/>
  <c r="A4513" i="1"/>
  <c r="C4513" i="1"/>
  <c r="A4514" i="1"/>
  <c r="C4514" i="1"/>
  <c r="A4515" i="1"/>
  <c r="C4515" i="1"/>
  <c r="A4516" i="1"/>
  <c r="C4516" i="1"/>
  <c r="A4517" i="1"/>
  <c r="C4517" i="1"/>
  <c r="A4518" i="1"/>
  <c r="C4518" i="1"/>
  <c r="A4519" i="1"/>
  <c r="C4519" i="1"/>
  <c r="A4520" i="1"/>
  <c r="C4520" i="1"/>
  <c r="A4521" i="1"/>
  <c r="C4521" i="1"/>
  <c r="A4522" i="1"/>
  <c r="C4522" i="1"/>
  <c r="A4523" i="1"/>
  <c r="C4523" i="1"/>
  <c r="A4524" i="1"/>
  <c r="C4524" i="1"/>
  <c r="A4525" i="1"/>
  <c r="C4525" i="1"/>
  <c r="A4526" i="1"/>
  <c r="C4526" i="1"/>
  <c r="A4527" i="1"/>
  <c r="C4527" i="1"/>
  <c r="A4528" i="1"/>
  <c r="C4528" i="1"/>
  <c r="A4529" i="1"/>
  <c r="C4529" i="1"/>
  <c r="A4530" i="1"/>
  <c r="C4530" i="1"/>
  <c r="A4531" i="1"/>
  <c r="C4531" i="1"/>
  <c r="A4532" i="1"/>
  <c r="C4532" i="1"/>
  <c r="A4533" i="1"/>
  <c r="C4533" i="1"/>
  <c r="A4534" i="1"/>
  <c r="C4534" i="1"/>
  <c r="A4535" i="1"/>
  <c r="C4535" i="1"/>
  <c r="A4536" i="1"/>
  <c r="C4536" i="1"/>
  <c r="A4537" i="1"/>
  <c r="C4537" i="1"/>
  <c r="A4538" i="1"/>
  <c r="C4538" i="1"/>
  <c r="A4539" i="1"/>
  <c r="C4539" i="1"/>
  <c r="A4540" i="1"/>
  <c r="C4540" i="1"/>
  <c r="A4541" i="1"/>
  <c r="C4541" i="1"/>
  <c r="A4542" i="1"/>
  <c r="C4542" i="1"/>
  <c r="A4543" i="1"/>
  <c r="C4543" i="1"/>
  <c r="A4544" i="1"/>
  <c r="C4544" i="1"/>
  <c r="A4545" i="1"/>
  <c r="C4545" i="1"/>
  <c r="A4546" i="1"/>
  <c r="C4546" i="1"/>
  <c r="A4547" i="1"/>
  <c r="C4547" i="1"/>
  <c r="A4548" i="1"/>
  <c r="C4548" i="1"/>
  <c r="A4549" i="1"/>
  <c r="C4549" i="1"/>
  <c r="A4550" i="1"/>
  <c r="C4550" i="1"/>
  <c r="A4551" i="1"/>
  <c r="C4551" i="1"/>
  <c r="A4552" i="1"/>
  <c r="C4552" i="1"/>
  <c r="A4553" i="1"/>
  <c r="C4553" i="1"/>
  <c r="A4554" i="1"/>
  <c r="C4554" i="1"/>
  <c r="A4555" i="1"/>
  <c r="C4555" i="1"/>
  <c r="A4556" i="1"/>
  <c r="C4556" i="1"/>
  <c r="A4557" i="1"/>
  <c r="C4557" i="1"/>
  <c r="A4558" i="1"/>
  <c r="C4558" i="1"/>
  <c r="A4559" i="1"/>
  <c r="C4559" i="1"/>
  <c r="A4560" i="1"/>
  <c r="C4560" i="1"/>
  <c r="A4561" i="1"/>
  <c r="C4561" i="1"/>
  <c r="A4562" i="1"/>
  <c r="C4562" i="1"/>
  <c r="A4563" i="1"/>
  <c r="C4563" i="1"/>
  <c r="A4564" i="1"/>
  <c r="C4564" i="1"/>
  <c r="A4565" i="1"/>
  <c r="C4565" i="1"/>
  <c r="A4566" i="1"/>
  <c r="C4566" i="1"/>
  <c r="A4567" i="1"/>
  <c r="C4567" i="1"/>
  <c r="A4568" i="1"/>
  <c r="C4568" i="1"/>
  <c r="A4569" i="1"/>
  <c r="C4569" i="1"/>
  <c r="A4570" i="1"/>
  <c r="C4570" i="1"/>
  <c r="A4571" i="1"/>
  <c r="C4571" i="1"/>
  <c r="A4572" i="1"/>
  <c r="C4572" i="1"/>
  <c r="A4573" i="1"/>
  <c r="C4573" i="1"/>
  <c r="A4574" i="1"/>
  <c r="C4574" i="1"/>
  <c r="A4575" i="1"/>
  <c r="C4575" i="1"/>
  <c r="A4576" i="1"/>
  <c r="C4576" i="1"/>
  <c r="A4577" i="1"/>
  <c r="C4577" i="1"/>
  <c r="A4578" i="1"/>
  <c r="C4578" i="1"/>
  <c r="A4579" i="1"/>
  <c r="C4579" i="1"/>
  <c r="A4580" i="1"/>
  <c r="C4580" i="1"/>
  <c r="A4581" i="1"/>
  <c r="C4581" i="1"/>
  <c r="A4582" i="1"/>
  <c r="C4582" i="1"/>
  <c r="A4583" i="1"/>
  <c r="C4583" i="1"/>
  <c r="A4584" i="1"/>
  <c r="C4584" i="1"/>
  <c r="A4585" i="1"/>
  <c r="C4585" i="1"/>
  <c r="A4586" i="1"/>
  <c r="C4586" i="1"/>
  <c r="A4587" i="1"/>
  <c r="C4587" i="1"/>
  <c r="A4588" i="1"/>
  <c r="C4588" i="1"/>
  <c r="A4589" i="1"/>
  <c r="C4589" i="1"/>
  <c r="A4590" i="1"/>
  <c r="C4590" i="1"/>
  <c r="A4591" i="1"/>
  <c r="C4591" i="1"/>
  <c r="A4592" i="1"/>
  <c r="C4592" i="1"/>
  <c r="A4593" i="1"/>
  <c r="C4593" i="1"/>
  <c r="A4594" i="1"/>
  <c r="C4594" i="1"/>
  <c r="A4595" i="1"/>
  <c r="C4595" i="1"/>
  <c r="A4596" i="1"/>
  <c r="C4596" i="1"/>
  <c r="A4597" i="1"/>
  <c r="C4597" i="1"/>
  <c r="A4598" i="1"/>
  <c r="C4598" i="1"/>
  <c r="A4599" i="1"/>
  <c r="C4599" i="1"/>
  <c r="A4600" i="1"/>
  <c r="C4600" i="1"/>
  <c r="A4601" i="1"/>
  <c r="C4601" i="1"/>
  <c r="A4602" i="1"/>
  <c r="C4602" i="1"/>
  <c r="A4603" i="1"/>
  <c r="C4603" i="1"/>
  <c r="A4604" i="1"/>
  <c r="C4604" i="1"/>
  <c r="A4605" i="1"/>
  <c r="C4605" i="1"/>
  <c r="A4606" i="1"/>
  <c r="C4606" i="1"/>
  <c r="A4607" i="1"/>
  <c r="C4607" i="1"/>
  <c r="A4608" i="1"/>
  <c r="C4608" i="1"/>
  <c r="A4609" i="1"/>
  <c r="C4609" i="1"/>
  <c r="A4610" i="1"/>
  <c r="C4610" i="1"/>
  <c r="A4611" i="1"/>
  <c r="C4611" i="1"/>
  <c r="A4612" i="1"/>
  <c r="C4612" i="1"/>
  <c r="A4613" i="1"/>
  <c r="C4613" i="1"/>
  <c r="A4614" i="1"/>
  <c r="C4614" i="1"/>
  <c r="A4615" i="1"/>
  <c r="C4615" i="1"/>
  <c r="A4616" i="1"/>
  <c r="C4616" i="1"/>
  <c r="A4617" i="1"/>
  <c r="C4617" i="1"/>
  <c r="A4618" i="1"/>
  <c r="C4618" i="1"/>
  <c r="A4619" i="1"/>
  <c r="C4619" i="1"/>
  <c r="A4620" i="1"/>
  <c r="C4620" i="1"/>
  <c r="A4621" i="1"/>
  <c r="C4621" i="1"/>
  <c r="A4622" i="1"/>
  <c r="C4622" i="1"/>
  <c r="A4623" i="1"/>
  <c r="C4623" i="1"/>
  <c r="A4624" i="1"/>
  <c r="C4624" i="1"/>
  <c r="A4625" i="1"/>
  <c r="C4625" i="1"/>
  <c r="A4626" i="1"/>
  <c r="C4626" i="1"/>
  <c r="A4627" i="1"/>
  <c r="C4627" i="1"/>
  <c r="A4628" i="1"/>
  <c r="C4628" i="1"/>
  <c r="A4629" i="1"/>
  <c r="C4629" i="1"/>
  <c r="A4630" i="1"/>
  <c r="C4630" i="1"/>
  <c r="A4631" i="1"/>
  <c r="C4631" i="1"/>
  <c r="A4632" i="1"/>
  <c r="C4632" i="1"/>
  <c r="A4633" i="1"/>
  <c r="C4633" i="1"/>
  <c r="A4634" i="1"/>
  <c r="C4634" i="1"/>
  <c r="A4635" i="1"/>
  <c r="C4635" i="1"/>
  <c r="A4636" i="1"/>
  <c r="C4636" i="1"/>
  <c r="A4637" i="1"/>
  <c r="C4637" i="1"/>
  <c r="A4638" i="1"/>
  <c r="C4638" i="1"/>
  <c r="A4639" i="1"/>
  <c r="C4639" i="1"/>
  <c r="A4640" i="1"/>
  <c r="C4640" i="1"/>
  <c r="A4641" i="1"/>
  <c r="C4641" i="1"/>
  <c r="A4642" i="1"/>
  <c r="C4642" i="1"/>
  <c r="A4643" i="1"/>
  <c r="C4643" i="1"/>
  <c r="A4644" i="1"/>
  <c r="C4644" i="1"/>
  <c r="A4645" i="1"/>
  <c r="C4645" i="1"/>
  <c r="A4646" i="1"/>
  <c r="C4646" i="1"/>
  <c r="A4647" i="1"/>
  <c r="C4647" i="1"/>
  <c r="A4648" i="1"/>
  <c r="C4648" i="1"/>
  <c r="A4649" i="1"/>
  <c r="C4649" i="1"/>
  <c r="A4650" i="1"/>
  <c r="C4650" i="1"/>
  <c r="A4651" i="1"/>
  <c r="C4651" i="1"/>
  <c r="A4652" i="1"/>
  <c r="C4652" i="1"/>
  <c r="A4653" i="1"/>
  <c r="C4653" i="1"/>
  <c r="A4654" i="1"/>
  <c r="C4654" i="1"/>
  <c r="A4655" i="1"/>
  <c r="C4655" i="1"/>
  <c r="A4656" i="1"/>
  <c r="C4656" i="1"/>
  <c r="A4657" i="1"/>
  <c r="C4657" i="1"/>
  <c r="A4658" i="1"/>
  <c r="C4658" i="1"/>
  <c r="A4659" i="1"/>
  <c r="C4659" i="1"/>
  <c r="A4660" i="1"/>
  <c r="C4660" i="1"/>
  <c r="A4661" i="1"/>
  <c r="C4661" i="1"/>
  <c r="A4662" i="1"/>
  <c r="C4662" i="1"/>
  <c r="A4663" i="1"/>
  <c r="C4663" i="1"/>
  <c r="A4664" i="1"/>
  <c r="C4664" i="1"/>
  <c r="A4665" i="1"/>
  <c r="C4665" i="1"/>
  <c r="A4666" i="1"/>
  <c r="C4666" i="1"/>
  <c r="A4667" i="1"/>
  <c r="C4667" i="1"/>
  <c r="A4668" i="1"/>
  <c r="C4668" i="1"/>
  <c r="A4669" i="1"/>
  <c r="C4669" i="1"/>
  <c r="A4670" i="1"/>
  <c r="C4670" i="1"/>
  <c r="A4671" i="1"/>
  <c r="C4671" i="1"/>
  <c r="A4672" i="1"/>
  <c r="C4672" i="1"/>
  <c r="A4673" i="1"/>
  <c r="C4673" i="1"/>
  <c r="A4674" i="1"/>
  <c r="C4674" i="1"/>
  <c r="A4675" i="1"/>
  <c r="C4675" i="1"/>
  <c r="A4676" i="1"/>
  <c r="C4676" i="1"/>
  <c r="A4677" i="1"/>
  <c r="C4677" i="1"/>
  <c r="A4678" i="1"/>
  <c r="C4678" i="1"/>
  <c r="A4679" i="1"/>
  <c r="C4679" i="1"/>
  <c r="A4680" i="1"/>
  <c r="C4680" i="1"/>
  <c r="A4681" i="1"/>
  <c r="C4681" i="1"/>
  <c r="A4682" i="1"/>
  <c r="C4682" i="1"/>
  <c r="A4683" i="1"/>
  <c r="C4683" i="1"/>
  <c r="A4684" i="1"/>
  <c r="C4684" i="1"/>
  <c r="A4685" i="1"/>
  <c r="C4685" i="1"/>
  <c r="A4686" i="1"/>
  <c r="C4686" i="1"/>
  <c r="A4687" i="1"/>
  <c r="C4687" i="1"/>
  <c r="A4688" i="1"/>
  <c r="C4688" i="1"/>
  <c r="A4689" i="1"/>
  <c r="C4689" i="1"/>
  <c r="A4690" i="1"/>
  <c r="C4690" i="1"/>
  <c r="A4691" i="1"/>
  <c r="C4691" i="1"/>
  <c r="A4692" i="1"/>
  <c r="C4692" i="1"/>
  <c r="A4693" i="1"/>
  <c r="C4693" i="1"/>
  <c r="A4694" i="1"/>
  <c r="C4694" i="1"/>
  <c r="A4695" i="1"/>
  <c r="C4695" i="1"/>
  <c r="A4696" i="1"/>
  <c r="C4696" i="1"/>
  <c r="A4697" i="1"/>
  <c r="C4697" i="1"/>
  <c r="A4698" i="1"/>
  <c r="C4698" i="1"/>
  <c r="A4699" i="1"/>
  <c r="C4699" i="1"/>
  <c r="A4700" i="1"/>
  <c r="C4700" i="1"/>
  <c r="A4701" i="1"/>
  <c r="C4701" i="1"/>
  <c r="A4702" i="1"/>
  <c r="C4702" i="1"/>
  <c r="A4703" i="1"/>
  <c r="C4703" i="1"/>
  <c r="A4704" i="1"/>
  <c r="C4704" i="1"/>
  <c r="A4705" i="1"/>
  <c r="C4705" i="1"/>
  <c r="A4706" i="1"/>
  <c r="C4706" i="1"/>
  <c r="A4707" i="1"/>
  <c r="C4707" i="1"/>
  <c r="A4708" i="1"/>
  <c r="C4708" i="1"/>
  <c r="A4709" i="1"/>
  <c r="C4709" i="1"/>
  <c r="A4710" i="1"/>
  <c r="C4710" i="1"/>
  <c r="A4711" i="1"/>
  <c r="C4711" i="1"/>
  <c r="A4712" i="1"/>
  <c r="C4712" i="1"/>
  <c r="A4713" i="1"/>
  <c r="C4713" i="1"/>
  <c r="A4714" i="1"/>
  <c r="C4714" i="1"/>
  <c r="A4715" i="1"/>
  <c r="C4715" i="1"/>
  <c r="A4716" i="1"/>
  <c r="C4716" i="1"/>
  <c r="A4717" i="1"/>
  <c r="C4717" i="1"/>
  <c r="A4718" i="1"/>
  <c r="C4718" i="1"/>
  <c r="A4719" i="1"/>
  <c r="C4719" i="1"/>
  <c r="A4720" i="1"/>
  <c r="C4720" i="1"/>
  <c r="A4721" i="1"/>
  <c r="C4721" i="1"/>
  <c r="A4722" i="1"/>
  <c r="C4722" i="1"/>
  <c r="A4723" i="1"/>
  <c r="C4723" i="1"/>
  <c r="A4724" i="1"/>
  <c r="C4724" i="1"/>
  <c r="A4725" i="1"/>
  <c r="C4725" i="1"/>
  <c r="A4726" i="1"/>
  <c r="C4726" i="1"/>
  <c r="A4727" i="1"/>
  <c r="C4727" i="1"/>
  <c r="A4728" i="1"/>
  <c r="C4728" i="1"/>
  <c r="A4729" i="1"/>
  <c r="C4729" i="1"/>
  <c r="A4730" i="1"/>
  <c r="C4730" i="1"/>
  <c r="A4731" i="1"/>
  <c r="C4731" i="1"/>
  <c r="A4732" i="1"/>
  <c r="C4732" i="1"/>
  <c r="A4733" i="1"/>
  <c r="C4733" i="1"/>
  <c r="A4734" i="1"/>
  <c r="C4734" i="1"/>
  <c r="A4735" i="1"/>
  <c r="C4735" i="1"/>
  <c r="A4736" i="1"/>
  <c r="C4736" i="1"/>
  <c r="A4737" i="1"/>
  <c r="C4737" i="1"/>
  <c r="A4738" i="1"/>
  <c r="C4738" i="1"/>
  <c r="A4739" i="1"/>
  <c r="C4739" i="1"/>
  <c r="A4740" i="1"/>
  <c r="C4740" i="1"/>
  <c r="A4741" i="1"/>
  <c r="C4741" i="1"/>
  <c r="A4742" i="1"/>
  <c r="C4742" i="1"/>
  <c r="A4743" i="1"/>
  <c r="C4743" i="1"/>
  <c r="A4744" i="1"/>
  <c r="C4744" i="1"/>
  <c r="A4745" i="1"/>
  <c r="C4745" i="1"/>
  <c r="A4746" i="1"/>
  <c r="C4746" i="1"/>
  <c r="A4747" i="1"/>
  <c r="C4747" i="1"/>
  <c r="A4748" i="1"/>
  <c r="C4748" i="1"/>
  <c r="A4749" i="1"/>
  <c r="C4749" i="1"/>
  <c r="A4750" i="1"/>
  <c r="C4750" i="1"/>
  <c r="A4751" i="1"/>
  <c r="C4751" i="1"/>
  <c r="A4752" i="1"/>
  <c r="C4752" i="1"/>
  <c r="A4753" i="1"/>
  <c r="C4753" i="1"/>
  <c r="A4754" i="1"/>
  <c r="C4754" i="1"/>
  <c r="A4755" i="1"/>
  <c r="C4755" i="1"/>
  <c r="A4756" i="1"/>
  <c r="C4756" i="1"/>
  <c r="A4757" i="1"/>
  <c r="C4757" i="1"/>
  <c r="A4758" i="1"/>
  <c r="C4758" i="1"/>
  <c r="A4759" i="1"/>
  <c r="C4759" i="1"/>
  <c r="A4760" i="1"/>
  <c r="C4760" i="1"/>
  <c r="A4761" i="1"/>
  <c r="C4761" i="1"/>
  <c r="A4762" i="1"/>
  <c r="C4762" i="1"/>
  <c r="A4763" i="1"/>
  <c r="C4763" i="1"/>
  <c r="A4764" i="1"/>
  <c r="C4764" i="1"/>
  <c r="A4765" i="1"/>
  <c r="C4765" i="1"/>
  <c r="A4766" i="1"/>
  <c r="C4766" i="1"/>
  <c r="A4767" i="1"/>
  <c r="C4767" i="1"/>
  <c r="A4768" i="1"/>
  <c r="C4768" i="1"/>
  <c r="A4769" i="1"/>
  <c r="C4769" i="1"/>
  <c r="A4770" i="1"/>
  <c r="C4770" i="1"/>
  <c r="A4771" i="1"/>
  <c r="C4771" i="1"/>
  <c r="A4772" i="1"/>
  <c r="C4772" i="1"/>
  <c r="A4773" i="1"/>
  <c r="C4773" i="1"/>
  <c r="A4774" i="1"/>
  <c r="C4774" i="1"/>
  <c r="A4775" i="1"/>
  <c r="C4775" i="1"/>
  <c r="A4776" i="1"/>
  <c r="C4776" i="1"/>
  <c r="A4777" i="1"/>
  <c r="C4777" i="1"/>
  <c r="A4778" i="1"/>
  <c r="C4778" i="1"/>
  <c r="A4779" i="1"/>
  <c r="C4779" i="1"/>
  <c r="A4780" i="1"/>
  <c r="C4780" i="1"/>
  <c r="A4781" i="1"/>
  <c r="C4781" i="1"/>
  <c r="A4782" i="1"/>
  <c r="C4782" i="1"/>
  <c r="A4783" i="1"/>
  <c r="C4783" i="1"/>
  <c r="A4784" i="1"/>
  <c r="C4784" i="1"/>
  <c r="A4785" i="1"/>
  <c r="C4785" i="1"/>
  <c r="A4786" i="1"/>
  <c r="C4786" i="1"/>
  <c r="A4787" i="1"/>
  <c r="C4787" i="1"/>
  <c r="A4788" i="1"/>
  <c r="C4788" i="1"/>
  <c r="A4789" i="1"/>
  <c r="C4789" i="1"/>
  <c r="A4790" i="1"/>
  <c r="C4790" i="1"/>
  <c r="A4791" i="1"/>
  <c r="C4791" i="1"/>
  <c r="A4792" i="1"/>
  <c r="C4792" i="1"/>
  <c r="A4793" i="1"/>
  <c r="C4793" i="1"/>
  <c r="A4794" i="1"/>
  <c r="C4794" i="1"/>
  <c r="A4795" i="1"/>
  <c r="C4795" i="1"/>
  <c r="A4796" i="1"/>
  <c r="C4796" i="1"/>
  <c r="A4797" i="1"/>
  <c r="C4797" i="1"/>
  <c r="A4798" i="1"/>
  <c r="C4798" i="1"/>
  <c r="A4799" i="1"/>
  <c r="C4799" i="1"/>
  <c r="A4800" i="1"/>
  <c r="C4800" i="1"/>
  <c r="A4801" i="1"/>
  <c r="C4801" i="1"/>
  <c r="A4802" i="1"/>
  <c r="C4802" i="1"/>
  <c r="A4803" i="1"/>
  <c r="C4803" i="1"/>
  <c r="A4804" i="1"/>
  <c r="C4804" i="1"/>
  <c r="A4805" i="1"/>
  <c r="C4805" i="1"/>
  <c r="A4806" i="1"/>
  <c r="C4806" i="1"/>
  <c r="A4807" i="1"/>
  <c r="C4807" i="1"/>
  <c r="A4808" i="1"/>
  <c r="C4808" i="1"/>
  <c r="A4809" i="1"/>
  <c r="C4809" i="1"/>
  <c r="A4810" i="1"/>
  <c r="C4810" i="1"/>
  <c r="A4811" i="1"/>
  <c r="C4811" i="1"/>
  <c r="A4812" i="1"/>
  <c r="C4812" i="1"/>
  <c r="A4813" i="1"/>
  <c r="C4813" i="1"/>
  <c r="A4814" i="1"/>
  <c r="C4814" i="1"/>
  <c r="A4815" i="1"/>
  <c r="C4815" i="1"/>
  <c r="A4816" i="1"/>
  <c r="C4816" i="1"/>
  <c r="A4817" i="1"/>
  <c r="C4817" i="1"/>
  <c r="A4818" i="1"/>
  <c r="C4818" i="1"/>
  <c r="A4819" i="1"/>
  <c r="C4819" i="1"/>
  <c r="A4820" i="1"/>
  <c r="C4820" i="1"/>
  <c r="A4821" i="1"/>
  <c r="C4821" i="1"/>
  <c r="A4822" i="1"/>
  <c r="C4822" i="1"/>
  <c r="A4823" i="1"/>
  <c r="C4823" i="1"/>
  <c r="A4824" i="1"/>
  <c r="C4824" i="1"/>
  <c r="A4825" i="1"/>
  <c r="C4825" i="1"/>
  <c r="A4826" i="1"/>
  <c r="C4826" i="1"/>
  <c r="A4827" i="1"/>
  <c r="C4827" i="1"/>
  <c r="A4828" i="1"/>
  <c r="C4828" i="1"/>
  <c r="A4829" i="1"/>
  <c r="C4829" i="1"/>
  <c r="A4830" i="1"/>
  <c r="C4830" i="1"/>
  <c r="A4831" i="1"/>
  <c r="C4831" i="1"/>
  <c r="A4832" i="1"/>
  <c r="C4832" i="1"/>
  <c r="A4833" i="1"/>
  <c r="C4833" i="1"/>
  <c r="A4834" i="1"/>
  <c r="C4834" i="1"/>
  <c r="A4835" i="1"/>
  <c r="C4835" i="1"/>
  <c r="A4836" i="1"/>
  <c r="C4836" i="1"/>
  <c r="A4837" i="1"/>
  <c r="C4837" i="1"/>
  <c r="A4838" i="1"/>
  <c r="C4838" i="1"/>
  <c r="A4839" i="1"/>
  <c r="C4839" i="1"/>
  <c r="A4840" i="1"/>
  <c r="C4840" i="1"/>
  <c r="A4841" i="1"/>
  <c r="C4841" i="1"/>
  <c r="A4842" i="1"/>
  <c r="C4842" i="1"/>
  <c r="A4843" i="1"/>
  <c r="C4843" i="1"/>
  <c r="A4844" i="1"/>
  <c r="C4844" i="1"/>
  <c r="A4845" i="1"/>
  <c r="C4845" i="1"/>
  <c r="A4846" i="1"/>
  <c r="C4846" i="1"/>
  <c r="A4847" i="1"/>
  <c r="C4847" i="1"/>
  <c r="A4848" i="1"/>
  <c r="C4848" i="1"/>
  <c r="A4849" i="1"/>
  <c r="C4849" i="1"/>
  <c r="A4850" i="1"/>
  <c r="C4850" i="1"/>
  <c r="A4851" i="1"/>
  <c r="C4851" i="1"/>
  <c r="A4852" i="1"/>
  <c r="C4852" i="1"/>
  <c r="A4853" i="1"/>
  <c r="C4853" i="1"/>
  <c r="A4854" i="1"/>
  <c r="C4854" i="1"/>
  <c r="A4855" i="1"/>
  <c r="C4855" i="1"/>
  <c r="A4856" i="1"/>
  <c r="C4856" i="1"/>
  <c r="A4857" i="1"/>
  <c r="C4857" i="1"/>
  <c r="A4858" i="1"/>
  <c r="C4858" i="1"/>
  <c r="A4859" i="1"/>
  <c r="C4859" i="1"/>
  <c r="A4860" i="1"/>
  <c r="C4860" i="1"/>
  <c r="A4861" i="1"/>
  <c r="C4861" i="1"/>
  <c r="A4862" i="1"/>
  <c r="C4862" i="1"/>
  <c r="A4863" i="1"/>
  <c r="C4863" i="1"/>
  <c r="A4864" i="1"/>
  <c r="C4864" i="1"/>
  <c r="A4865" i="1"/>
  <c r="C4865" i="1"/>
  <c r="A4866" i="1"/>
  <c r="C4866" i="1"/>
  <c r="A4867" i="1"/>
  <c r="C4867" i="1"/>
  <c r="A4868" i="1"/>
  <c r="C4868" i="1"/>
  <c r="A4869" i="1"/>
  <c r="C4869" i="1"/>
  <c r="A4870" i="1"/>
  <c r="C4870" i="1"/>
  <c r="A4871" i="1"/>
  <c r="C4871" i="1"/>
  <c r="A4872" i="1"/>
  <c r="C4872" i="1"/>
  <c r="A4873" i="1"/>
  <c r="C4873" i="1"/>
  <c r="A4874" i="1"/>
  <c r="C4874" i="1"/>
  <c r="A4875" i="1"/>
  <c r="C4875" i="1"/>
  <c r="A4876" i="1"/>
  <c r="C4876" i="1"/>
  <c r="A4877" i="1"/>
  <c r="C4877" i="1"/>
  <c r="A4878" i="1"/>
  <c r="C4878" i="1"/>
  <c r="A4879" i="1"/>
  <c r="C4879" i="1"/>
  <c r="A4880" i="1"/>
  <c r="C4880" i="1"/>
  <c r="A4881" i="1"/>
  <c r="C4881" i="1"/>
  <c r="A4882" i="1"/>
  <c r="C4882" i="1"/>
  <c r="A4883" i="1"/>
  <c r="C4883" i="1"/>
  <c r="A4884" i="1"/>
  <c r="C4884" i="1"/>
  <c r="A4885" i="1"/>
  <c r="C4885" i="1"/>
  <c r="A4886" i="1"/>
  <c r="C4886" i="1"/>
  <c r="A4887" i="1"/>
  <c r="C4887" i="1"/>
  <c r="A4888" i="1"/>
  <c r="C4888" i="1"/>
  <c r="A4889" i="1"/>
  <c r="C4889" i="1"/>
  <c r="A4890" i="1"/>
  <c r="C4890" i="1"/>
  <c r="A4891" i="1"/>
  <c r="C4891" i="1"/>
  <c r="A4892" i="1"/>
  <c r="C4892" i="1"/>
  <c r="A4893" i="1"/>
  <c r="C4893" i="1"/>
  <c r="A4894" i="1"/>
  <c r="C4894" i="1"/>
  <c r="A4895" i="1"/>
  <c r="C4895" i="1"/>
  <c r="A4896" i="1"/>
  <c r="C4896" i="1"/>
  <c r="A4897" i="1"/>
  <c r="C4897" i="1"/>
  <c r="A4898" i="1"/>
  <c r="C4898" i="1"/>
  <c r="A4899" i="1"/>
  <c r="C4899" i="1"/>
  <c r="A4900" i="1"/>
  <c r="C4900" i="1"/>
  <c r="A4901" i="1"/>
  <c r="C4901" i="1"/>
  <c r="A4902" i="1"/>
  <c r="C4902" i="1"/>
  <c r="A4903" i="1"/>
  <c r="C4903" i="1"/>
  <c r="A4904" i="1"/>
  <c r="C4904" i="1"/>
  <c r="A4905" i="1"/>
  <c r="C4905" i="1"/>
  <c r="A4906" i="1"/>
  <c r="C4906" i="1"/>
  <c r="A4907" i="1"/>
  <c r="C4907" i="1"/>
  <c r="A4908" i="1"/>
  <c r="C4908" i="1"/>
  <c r="A4909" i="1"/>
  <c r="C4909" i="1"/>
  <c r="A4910" i="1"/>
  <c r="C4910" i="1"/>
  <c r="A4911" i="1"/>
  <c r="C4911" i="1"/>
  <c r="A4912" i="1"/>
  <c r="C4912" i="1"/>
  <c r="A4913" i="1"/>
  <c r="C4913" i="1"/>
  <c r="A4914" i="1"/>
  <c r="C4914" i="1"/>
  <c r="A4915" i="1"/>
  <c r="C4915" i="1"/>
  <c r="A4916" i="1"/>
  <c r="C4916" i="1"/>
  <c r="A4917" i="1"/>
  <c r="C4917" i="1"/>
  <c r="A4918" i="1"/>
  <c r="C4918" i="1"/>
  <c r="A4919" i="1"/>
  <c r="C4919" i="1"/>
  <c r="A4920" i="1"/>
  <c r="C4920" i="1"/>
  <c r="A4921" i="1"/>
  <c r="C4921" i="1"/>
  <c r="A4922" i="1"/>
  <c r="C4922" i="1"/>
  <c r="A4923" i="1"/>
  <c r="C4923" i="1"/>
  <c r="A4924" i="1"/>
  <c r="C4924" i="1"/>
  <c r="A4925" i="1"/>
  <c r="C4925" i="1"/>
  <c r="A4926" i="1"/>
  <c r="C4926" i="1"/>
  <c r="A4927" i="1"/>
  <c r="C4927" i="1"/>
  <c r="A4928" i="1"/>
  <c r="C4928" i="1"/>
  <c r="A4929" i="1"/>
  <c r="C4929" i="1"/>
  <c r="A4930" i="1"/>
  <c r="C4930" i="1"/>
  <c r="A4931" i="1"/>
  <c r="C4931" i="1"/>
  <c r="A4932" i="1"/>
  <c r="C4932" i="1"/>
  <c r="A4933" i="1"/>
  <c r="C4933" i="1"/>
  <c r="A4934" i="1"/>
  <c r="C4934" i="1"/>
  <c r="A4935" i="1"/>
  <c r="C4935" i="1"/>
  <c r="A4936" i="1"/>
  <c r="C4936" i="1"/>
  <c r="A4937" i="1"/>
  <c r="C4937" i="1"/>
  <c r="A4938" i="1"/>
  <c r="C4938" i="1"/>
  <c r="A4939" i="1"/>
  <c r="C4939" i="1"/>
  <c r="A4940" i="1"/>
  <c r="C4940" i="1"/>
  <c r="A4941" i="1"/>
  <c r="C4941" i="1"/>
  <c r="A4942" i="1"/>
  <c r="C4942" i="1"/>
  <c r="A4943" i="1"/>
  <c r="C4943" i="1"/>
  <c r="A4944" i="1"/>
  <c r="C4944" i="1"/>
  <c r="A4945" i="1"/>
  <c r="C4945" i="1"/>
  <c r="A4946" i="1"/>
  <c r="C4946" i="1"/>
  <c r="A4947" i="1"/>
  <c r="C4947" i="1"/>
  <c r="A4948" i="1"/>
  <c r="C4948" i="1"/>
  <c r="A4949" i="1"/>
  <c r="C4949" i="1"/>
  <c r="A4950" i="1"/>
  <c r="C4950" i="1"/>
  <c r="A4951" i="1"/>
  <c r="C4951" i="1"/>
  <c r="A4952" i="1"/>
  <c r="C4952" i="1"/>
  <c r="A4953" i="1"/>
  <c r="C4953" i="1"/>
  <c r="A4954" i="1"/>
  <c r="C4954" i="1"/>
  <c r="A4955" i="1"/>
  <c r="C4955" i="1"/>
  <c r="A4956" i="1"/>
  <c r="C4956" i="1"/>
  <c r="A4957" i="1"/>
  <c r="C4957" i="1"/>
  <c r="A4958" i="1"/>
  <c r="C4958" i="1"/>
  <c r="A4959" i="1"/>
  <c r="C4959" i="1"/>
  <c r="A4960" i="1"/>
  <c r="C4960" i="1"/>
  <c r="A4961" i="1"/>
  <c r="C4961" i="1"/>
  <c r="A4962" i="1"/>
  <c r="C4962" i="1"/>
  <c r="A4963" i="1"/>
  <c r="C4963" i="1"/>
  <c r="A4964" i="1"/>
  <c r="C4964" i="1"/>
  <c r="A4965" i="1"/>
  <c r="C4965" i="1"/>
  <c r="A4966" i="1"/>
  <c r="C4966" i="1"/>
  <c r="A4967" i="1"/>
  <c r="C4967" i="1"/>
  <c r="A4968" i="1"/>
  <c r="C4968" i="1"/>
  <c r="A4969" i="1"/>
  <c r="C4969" i="1"/>
  <c r="A4970" i="1"/>
  <c r="C4970" i="1"/>
  <c r="A4971" i="1"/>
  <c r="C4971" i="1"/>
  <c r="A4972" i="1"/>
  <c r="C4972" i="1"/>
  <c r="A4973" i="1"/>
  <c r="C4973" i="1"/>
  <c r="A4974" i="1"/>
  <c r="C4974" i="1"/>
  <c r="A4975" i="1"/>
  <c r="C4975" i="1"/>
  <c r="A4976" i="1"/>
  <c r="C4976" i="1"/>
  <c r="A4977" i="1"/>
  <c r="C4977" i="1"/>
  <c r="A4978" i="1"/>
  <c r="C4978" i="1"/>
  <c r="A4979" i="1"/>
  <c r="C4979" i="1"/>
  <c r="A4980" i="1"/>
  <c r="C4980" i="1"/>
  <c r="A4981" i="1"/>
  <c r="C4981" i="1"/>
  <c r="A4982" i="1"/>
  <c r="C4982" i="1"/>
  <c r="A4983" i="1"/>
  <c r="C4983" i="1"/>
  <c r="A4984" i="1"/>
  <c r="C4984" i="1"/>
  <c r="A4985" i="1"/>
  <c r="C4985" i="1"/>
  <c r="A4986" i="1"/>
  <c r="C4986" i="1"/>
  <c r="A4987" i="1"/>
  <c r="C4987" i="1"/>
  <c r="A4988" i="1"/>
  <c r="C4988" i="1"/>
  <c r="A4989" i="1"/>
  <c r="C4989" i="1"/>
  <c r="A4990" i="1"/>
  <c r="C4990" i="1"/>
  <c r="A4991" i="1"/>
  <c r="C4991" i="1"/>
  <c r="A4992" i="1"/>
  <c r="C4992" i="1"/>
  <c r="A4993" i="1"/>
  <c r="C4993" i="1"/>
  <c r="A4994" i="1"/>
  <c r="C4994" i="1"/>
  <c r="A4995" i="1"/>
  <c r="C4995" i="1"/>
  <c r="A4996" i="1"/>
  <c r="C4996" i="1"/>
  <c r="A4997" i="1"/>
  <c r="C4997" i="1"/>
  <c r="A4998" i="1"/>
  <c r="C4998" i="1"/>
  <c r="A4999" i="1"/>
  <c r="C4999" i="1"/>
  <c r="A5000" i="1"/>
  <c r="C5000" i="1"/>
  <c r="A5001" i="1"/>
  <c r="C5001" i="1"/>
  <c r="A5002" i="1"/>
  <c r="C5002" i="1"/>
  <c r="A5003" i="1"/>
  <c r="C5003" i="1"/>
  <c r="A5004" i="1"/>
  <c r="C5004" i="1"/>
  <c r="A5005" i="1"/>
  <c r="C5005" i="1"/>
  <c r="A5006" i="1"/>
  <c r="C5006" i="1"/>
  <c r="A5007" i="1"/>
  <c r="C5007" i="1"/>
  <c r="A5008" i="1"/>
  <c r="C5008" i="1"/>
  <c r="A5009" i="1"/>
  <c r="C5009" i="1"/>
  <c r="A5010" i="1"/>
  <c r="C5010" i="1"/>
  <c r="A5011" i="1"/>
  <c r="C5011" i="1"/>
  <c r="A5012" i="1"/>
  <c r="C5012" i="1"/>
  <c r="A5013" i="1"/>
  <c r="C5013" i="1"/>
  <c r="A5014" i="1"/>
  <c r="C5014" i="1"/>
  <c r="A5015" i="1"/>
  <c r="C5015" i="1"/>
  <c r="A5016" i="1"/>
  <c r="C5016" i="1"/>
  <c r="A5017" i="1"/>
  <c r="C5017" i="1"/>
  <c r="A5018" i="1"/>
  <c r="C5018" i="1"/>
  <c r="A5019" i="1"/>
  <c r="C5019" i="1"/>
  <c r="A5020" i="1"/>
  <c r="C5020" i="1"/>
  <c r="A5021" i="1"/>
  <c r="C5021" i="1"/>
  <c r="A5022" i="1"/>
  <c r="C5022" i="1"/>
  <c r="A5023" i="1"/>
  <c r="C5023" i="1"/>
  <c r="A5024" i="1"/>
  <c r="C5024" i="1"/>
  <c r="A5025" i="1"/>
  <c r="C5025" i="1"/>
  <c r="A5026" i="1"/>
  <c r="C5026" i="1"/>
  <c r="A5027" i="1"/>
  <c r="C5027" i="1"/>
  <c r="A5028" i="1"/>
  <c r="C5028" i="1"/>
  <c r="A5029" i="1"/>
  <c r="C5029" i="1"/>
  <c r="A5030" i="1"/>
  <c r="C5030" i="1"/>
  <c r="A5031" i="1"/>
  <c r="C5031" i="1"/>
  <c r="A5032" i="1"/>
  <c r="C5032" i="1"/>
  <c r="A5033" i="1"/>
  <c r="C5033" i="1"/>
  <c r="A5034" i="1"/>
  <c r="C5034" i="1"/>
  <c r="A5035" i="1"/>
  <c r="C5035" i="1"/>
  <c r="A5036" i="1"/>
  <c r="C5036" i="1"/>
  <c r="A5037" i="1"/>
  <c r="C5037" i="1"/>
  <c r="A5038" i="1"/>
  <c r="C5038" i="1"/>
  <c r="A5039" i="1"/>
  <c r="C5039" i="1"/>
  <c r="A5040" i="1"/>
  <c r="C5040" i="1"/>
  <c r="A5041" i="1"/>
  <c r="C5041" i="1"/>
  <c r="A5042" i="1"/>
  <c r="C5042" i="1"/>
  <c r="A5043" i="1"/>
  <c r="C5043" i="1"/>
  <c r="A5044" i="1"/>
  <c r="C5044" i="1"/>
  <c r="A5045" i="1"/>
  <c r="C5045" i="1"/>
  <c r="A5046" i="1"/>
  <c r="C5046" i="1"/>
  <c r="A5047" i="1"/>
  <c r="C5047" i="1"/>
  <c r="A5048" i="1"/>
  <c r="C5048" i="1"/>
  <c r="A5049" i="1"/>
  <c r="C5049" i="1"/>
  <c r="A5050" i="1"/>
  <c r="C5050" i="1"/>
  <c r="A5051" i="1"/>
  <c r="C5051" i="1"/>
  <c r="A5052" i="1"/>
  <c r="C5052" i="1"/>
  <c r="A5053" i="1"/>
  <c r="C5053" i="1"/>
  <c r="A5054" i="1"/>
  <c r="C5054" i="1"/>
  <c r="A5055" i="1"/>
  <c r="C5055" i="1"/>
  <c r="A5056" i="1"/>
  <c r="C5056" i="1"/>
  <c r="A5057" i="1"/>
  <c r="C5057" i="1"/>
  <c r="A5058" i="1"/>
  <c r="C5058" i="1"/>
  <c r="A5059" i="1"/>
  <c r="C5059" i="1"/>
  <c r="A5060" i="1"/>
  <c r="C5060" i="1"/>
  <c r="A5061" i="1"/>
  <c r="C5061" i="1"/>
  <c r="A5062" i="1"/>
  <c r="C5062" i="1"/>
  <c r="A5063" i="1"/>
  <c r="C5063" i="1"/>
  <c r="A5064" i="1"/>
  <c r="C5064" i="1"/>
  <c r="A5065" i="1"/>
  <c r="C5065" i="1"/>
  <c r="A5066" i="1"/>
  <c r="C5066" i="1"/>
  <c r="A5067" i="1"/>
  <c r="C5067" i="1"/>
  <c r="A5068" i="1"/>
  <c r="C5068" i="1"/>
  <c r="A5069" i="1"/>
  <c r="C5069" i="1"/>
  <c r="A5070" i="1"/>
  <c r="C5070" i="1"/>
  <c r="A5071" i="1"/>
  <c r="C5071" i="1"/>
  <c r="A5072" i="1"/>
  <c r="C5072" i="1"/>
  <c r="A5073" i="1"/>
  <c r="C5073" i="1"/>
  <c r="A5074" i="1"/>
  <c r="C5074" i="1"/>
  <c r="A5075" i="1"/>
  <c r="C5075" i="1"/>
  <c r="A5076" i="1"/>
  <c r="C5076" i="1"/>
  <c r="A5077" i="1"/>
  <c r="C5077" i="1"/>
  <c r="A5078" i="1"/>
  <c r="C5078" i="1"/>
  <c r="A5079" i="1"/>
  <c r="C5079" i="1"/>
  <c r="A5080" i="1"/>
  <c r="C5080" i="1"/>
  <c r="A5081" i="1"/>
  <c r="C5081" i="1"/>
  <c r="A5082" i="1"/>
  <c r="C5082" i="1"/>
  <c r="A5083" i="1"/>
  <c r="C5083" i="1"/>
  <c r="A5084" i="1"/>
  <c r="C5084" i="1"/>
  <c r="A5085" i="1"/>
  <c r="C5085" i="1"/>
  <c r="A5086" i="1"/>
  <c r="C5086" i="1"/>
  <c r="A5087" i="1"/>
  <c r="C5087" i="1"/>
  <c r="A5088" i="1"/>
  <c r="C5088" i="1"/>
  <c r="A5089" i="1"/>
  <c r="C5089" i="1"/>
  <c r="A5090" i="1"/>
  <c r="C5090" i="1"/>
  <c r="A5091" i="1"/>
  <c r="C5091" i="1"/>
  <c r="A5092" i="1"/>
  <c r="C5092" i="1"/>
  <c r="A5093" i="1"/>
  <c r="C5093" i="1"/>
  <c r="A5094" i="1"/>
  <c r="C5094" i="1"/>
  <c r="A5095" i="1"/>
  <c r="C5095" i="1"/>
  <c r="A5096" i="1"/>
  <c r="C5096" i="1"/>
  <c r="A5097" i="1"/>
  <c r="C5097" i="1"/>
  <c r="A5098" i="1"/>
  <c r="C5098" i="1"/>
  <c r="A5099" i="1"/>
  <c r="C5099" i="1"/>
  <c r="A5100" i="1"/>
  <c r="C5100" i="1"/>
  <c r="A5101" i="1"/>
  <c r="C5101" i="1"/>
  <c r="A5102" i="1"/>
  <c r="C5102" i="1"/>
  <c r="A5103" i="1"/>
  <c r="C5103" i="1"/>
  <c r="A5104" i="1"/>
  <c r="C5104" i="1"/>
  <c r="A5105" i="1"/>
  <c r="C5105" i="1"/>
  <c r="A5106" i="1"/>
  <c r="C5106" i="1"/>
  <c r="A5107" i="1"/>
  <c r="C5107" i="1"/>
  <c r="A5108" i="1"/>
  <c r="C5108" i="1"/>
  <c r="A5109" i="1"/>
  <c r="C5109" i="1"/>
  <c r="A5110" i="1"/>
  <c r="C5110" i="1"/>
  <c r="A5111" i="1"/>
  <c r="C5111" i="1"/>
  <c r="A5112" i="1"/>
  <c r="C5112" i="1"/>
  <c r="A5113" i="1"/>
  <c r="C5113" i="1"/>
  <c r="A5114" i="1"/>
  <c r="C5114" i="1"/>
  <c r="A5115" i="1"/>
  <c r="C5115" i="1"/>
  <c r="A5116" i="1"/>
  <c r="C5116" i="1"/>
  <c r="A5117" i="1"/>
  <c r="C5117" i="1"/>
  <c r="A5118" i="1"/>
  <c r="C5118" i="1"/>
  <c r="A5119" i="1"/>
  <c r="C5119" i="1"/>
  <c r="A5120" i="1"/>
  <c r="C5120" i="1"/>
  <c r="A5121" i="1"/>
  <c r="C5121" i="1"/>
  <c r="A5122" i="1"/>
  <c r="C5122" i="1"/>
  <c r="A5123" i="1"/>
  <c r="C5123" i="1"/>
  <c r="A5124" i="1"/>
  <c r="C5124" i="1"/>
  <c r="A5125" i="1"/>
  <c r="C5125" i="1"/>
  <c r="A5126" i="1"/>
  <c r="C5126" i="1"/>
  <c r="A5127" i="1"/>
  <c r="C5127" i="1"/>
  <c r="A5128" i="1"/>
  <c r="C5128" i="1"/>
  <c r="A5129" i="1"/>
  <c r="C5129" i="1"/>
  <c r="A5130" i="1"/>
  <c r="C5130" i="1"/>
  <c r="A5131" i="1"/>
  <c r="C5131" i="1"/>
  <c r="A5132" i="1"/>
  <c r="C5132" i="1"/>
  <c r="A5133" i="1"/>
  <c r="C5133" i="1"/>
  <c r="A5134" i="1"/>
  <c r="C5134" i="1"/>
  <c r="A5135" i="1"/>
  <c r="C5135" i="1"/>
  <c r="A5136" i="1"/>
  <c r="C5136" i="1"/>
  <c r="A5137" i="1"/>
  <c r="C5137" i="1"/>
  <c r="A5138" i="1"/>
  <c r="C5138" i="1"/>
  <c r="A5139" i="1"/>
  <c r="C5139" i="1"/>
  <c r="A5140" i="1"/>
  <c r="C5140" i="1"/>
  <c r="A5141" i="1"/>
  <c r="C5141" i="1"/>
  <c r="A5142" i="1"/>
  <c r="C5142" i="1"/>
  <c r="A5143" i="1"/>
  <c r="C5143" i="1"/>
  <c r="A5144" i="1"/>
  <c r="C5144" i="1"/>
  <c r="A5145" i="1"/>
  <c r="C5145" i="1"/>
  <c r="A5146" i="1"/>
  <c r="C5146" i="1"/>
  <c r="A5147" i="1"/>
  <c r="C5147" i="1"/>
  <c r="A5148" i="1"/>
  <c r="C5148" i="1"/>
  <c r="A5149" i="1"/>
  <c r="C5149" i="1"/>
  <c r="A5150" i="1"/>
  <c r="C5150" i="1"/>
  <c r="A5151" i="1"/>
  <c r="C5151" i="1"/>
  <c r="A5152" i="1"/>
  <c r="C5152" i="1"/>
  <c r="A5153" i="1"/>
  <c r="C5153" i="1"/>
  <c r="A5154" i="1"/>
  <c r="C5154" i="1"/>
  <c r="A5155" i="1"/>
  <c r="C5155" i="1"/>
  <c r="A5156" i="1"/>
  <c r="C5156" i="1"/>
  <c r="A5157" i="1"/>
  <c r="C5157" i="1"/>
  <c r="A5158" i="1"/>
  <c r="C5158" i="1"/>
  <c r="A5159" i="1"/>
  <c r="C5159" i="1"/>
  <c r="A5160" i="1"/>
  <c r="C5160" i="1"/>
  <c r="A5161" i="1"/>
  <c r="C5161" i="1"/>
  <c r="A5162" i="1"/>
  <c r="C5162" i="1"/>
  <c r="A5163" i="1"/>
  <c r="C5163" i="1"/>
  <c r="A5164" i="1"/>
  <c r="C5164" i="1"/>
  <c r="A5165" i="1"/>
  <c r="C5165" i="1"/>
  <c r="A5166" i="1"/>
  <c r="C5166" i="1"/>
  <c r="A5167" i="1"/>
  <c r="C5167" i="1"/>
  <c r="A5168" i="1"/>
  <c r="C5168" i="1"/>
  <c r="A5169" i="1"/>
  <c r="C5169" i="1"/>
  <c r="A5170" i="1"/>
  <c r="C5170" i="1"/>
  <c r="A5171" i="1"/>
  <c r="C5171" i="1"/>
  <c r="A5172" i="1"/>
  <c r="C5172" i="1"/>
  <c r="A5173" i="1"/>
  <c r="C5173" i="1"/>
  <c r="A5174" i="1"/>
  <c r="C5174" i="1"/>
  <c r="A5175" i="1"/>
  <c r="C5175" i="1"/>
  <c r="A5176" i="1"/>
  <c r="C5176" i="1"/>
  <c r="A5177" i="1"/>
  <c r="C5177" i="1"/>
  <c r="A5178" i="1"/>
  <c r="C5178" i="1"/>
  <c r="A5179" i="1"/>
  <c r="C5179" i="1"/>
  <c r="A5180" i="1"/>
  <c r="C5180" i="1"/>
  <c r="A5181" i="1"/>
  <c r="C5181" i="1"/>
  <c r="A5182" i="1"/>
  <c r="C5182" i="1"/>
  <c r="A5183" i="1"/>
  <c r="C5183" i="1"/>
  <c r="A5184" i="1"/>
  <c r="C5184" i="1"/>
  <c r="A5185" i="1"/>
  <c r="C5185" i="1"/>
  <c r="A5186" i="1"/>
  <c r="C5186" i="1"/>
  <c r="A5187" i="1"/>
  <c r="C5187" i="1"/>
  <c r="A5188" i="1"/>
  <c r="C5188" i="1"/>
  <c r="A5189" i="1"/>
  <c r="C5189" i="1"/>
  <c r="A5190" i="1"/>
  <c r="C5190" i="1"/>
  <c r="A5191" i="1"/>
  <c r="C5191" i="1"/>
  <c r="A5192" i="1"/>
  <c r="C5192" i="1"/>
  <c r="A5193" i="1"/>
  <c r="C5193" i="1"/>
  <c r="A5194" i="1"/>
  <c r="C5194" i="1"/>
  <c r="A5195" i="1"/>
  <c r="C5195" i="1"/>
  <c r="A5196" i="1"/>
  <c r="C5196" i="1"/>
  <c r="A5197" i="1"/>
  <c r="C5197" i="1"/>
  <c r="A5198" i="1"/>
  <c r="C5198" i="1"/>
  <c r="A5199" i="1"/>
  <c r="C5199" i="1"/>
  <c r="A5200" i="1"/>
  <c r="C5200" i="1"/>
  <c r="A5201" i="1"/>
  <c r="C5201" i="1"/>
  <c r="A5202" i="1"/>
  <c r="C5202" i="1"/>
  <c r="A5203" i="1"/>
  <c r="C5203" i="1"/>
  <c r="A5204" i="1"/>
  <c r="C5204" i="1"/>
  <c r="A5205" i="1"/>
  <c r="C5205" i="1"/>
  <c r="A5206" i="1"/>
  <c r="C5206" i="1"/>
  <c r="A5207" i="1"/>
  <c r="C5207" i="1"/>
  <c r="A5208" i="1"/>
  <c r="C5208" i="1"/>
  <c r="A5209" i="1"/>
  <c r="C5209" i="1"/>
  <c r="A5210" i="1"/>
  <c r="C5210" i="1"/>
  <c r="A5211" i="1"/>
  <c r="C5211" i="1"/>
  <c r="A5212" i="1"/>
  <c r="C5212" i="1"/>
  <c r="A5213" i="1"/>
  <c r="C5213" i="1"/>
  <c r="A5214" i="1"/>
  <c r="C5214" i="1"/>
  <c r="A5215" i="1"/>
  <c r="C5215" i="1"/>
  <c r="A5216" i="1"/>
  <c r="C5216" i="1"/>
  <c r="A5217" i="1"/>
  <c r="C5217" i="1"/>
  <c r="A5218" i="1"/>
  <c r="C5218" i="1"/>
  <c r="A5219" i="1"/>
  <c r="C5219" i="1"/>
  <c r="A5220" i="1"/>
  <c r="C5220" i="1"/>
  <c r="A5221" i="1"/>
  <c r="C5221" i="1"/>
  <c r="A5222" i="1"/>
  <c r="C5222" i="1"/>
  <c r="A5223" i="1"/>
  <c r="C5223" i="1"/>
  <c r="A5224" i="1"/>
  <c r="C5224" i="1"/>
  <c r="A5225" i="1"/>
  <c r="C5225" i="1"/>
  <c r="A5226" i="1"/>
  <c r="C5226" i="1"/>
  <c r="A5227" i="1"/>
  <c r="C5227" i="1"/>
  <c r="A5228" i="1"/>
  <c r="C5228" i="1"/>
  <c r="A5229" i="1"/>
  <c r="C5229" i="1"/>
  <c r="A5230" i="1"/>
  <c r="C5230" i="1"/>
  <c r="A5231" i="1"/>
  <c r="C5231" i="1"/>
  <c r="A5232" i="1"/>
  <c r="C5232" i="1"/>
  <c r="A5233" i="1"/>
  <c r="C5233" i="1"/>
  <c r="A5234" i="1"/>
  <c r="C5234" i="1"/>
  <c r="A5235" i="1"/>
  <c r="C5235" i="1"/>
  <c r="A5236" i="1"/>
  <c r="C5236" i="1"/>
  <c r="A5237" i="1"/>
  <c r="C5237" i="1"/>
  <c r="A5238" i="1"/>
  <c r="C5238" i="1"/>
  <c r="A5239" i="1"/>
  <c r="C5239" i="1"/>
  <c r="A5240" i="1"/>
  <c r="C5240" i="1"/>
  <c r="A5241" i="1"/>
  <c r="C5241" i="1"/>
  <c r="A5242" i="1"/>
  <c r="C5242" i="1"/>
  <c r="A5243" i="1"/>
  <c r="C5243" i="1"/>
  <c r="A5244" i="1"/>
  <c r="C5244" i="1"/>
  <c r="A5245" i="1"/>
  <c r="C5245" i="1"/>
  <c r="A5246" i="1"/>
  <c r="C5246" i="1"/>
  <c r="A5247" i="1"/>
  <c r="C5247" i="1"/>
  <c r="A5248" i="1"/>
  <c r="C5248" i="1"/>
  <c r="A5249" i="1"/>
  <c r="C5249" i="1"/>
  <c r="A5250" i="1"/>
  <c r="C5250" i="1"/>
  <c r="A5251" i="1"/>
  <c r="C5251" i="1"/>
  <c r="A5252" i="1"/>
  <c r="C5252" i="1"/>
  <c r="A5253" i="1"/>
  <c r="C5253" i="1"/>
  <c r="A5254" i="1"/>
  <c r="C5254" i="1"/>
  <c r="A5255" i="1"/>
  <c r="C5255" i="1"/>
  <c r="A5256" i="1"/>
  <c r="C5256" i="1"/>
  <c r="A5257" i="1"/>
  <c r="C5257" i="1"/>
  <c r="A5258" i="1"/>
  <c r="C5258" i="1"/>
  <c r="A5259" i="1"/>
  <c r="C5259" i="1"/>
  <c r="A5260" i="1"/>
  <c r="C5260" i="1"/>
  <c r="A5261" i="1"/>
  <c r="C5261" i="1"/>
  <c r="A5262" i="1"/>
  <c r="C5262" i="1"/>
  <c r="A5263" i="1"/>
  <c r="C5263" i="1"/>
  <c r="A5264" i="1"/>
  <c r="C5264" i="1"/>
  <c r="A5265" i="1"/>
  <c r="C5265" i="1"/>
  <c r="A5266" i="1"/>
  <c r="C5266" i="1"/>
  <c r="A5267" i="1"/>
  <c r="C5267" i="1"/>
  <c r="A5268" i="1"/>
  <c r="C5268" i="1"/>
  <c r="A5269" i="1"/>
  <c r="C5269" i="1"/>
  <c r="A5270" i="1"/>
  <c r="C5270" i="1"/>
  <c r="A5271" i="1"/>
  <c r="C5271" i="1"/>
  <c r="A5272" i="1"/>
  <c r="C5272" i="1"/>
  <c r="A5273" i="1"/>
  <c r="C5273" i="1"/>
  <c r="A5274" i="1"/>
  <c r="C5274" i="1"/>
  <c r="A5275" i="1"/>
  <c r="C5275" i="1"/>
  <c r="A5276" i="1"/>
  <c r="C5276" i="1"/>
  <c r="A5277" i="1"/>
  <c r="C5277" i="1"/>
  <c r="A5278" i="1"/>
  <c r="C5278" i="1"/>
  <c r="A5279" i="1"/>
  <c r="C5279" i="1"/>
  <c r="A5280" i="1"/>
  <c r="C5280" i="1"/>
  <c r="A5281" i="1"/>
  <c r="C5281" i="1"/>
  <c r="A5282" i="1"/>
  <c r="C5282" i="1"/>
  <c r="A5283" i="1"/>
  <c r="C5283" i="1"/>
  <c r="A5284" i="1"/>
  <c r="C5284" i="1"/>
  <c r="A5285" i="1"/>
  <c r="C5285" i="1"/>
  <c r="A5286" i="1"/>
  <c r="C5286" i="1"/>
  <c r="A5287" i="1"/>
  <c r="C5287" i="1"/>
  <c r="A5288" i="1"/>
  <c r="C5288" i="1"/>
  <c r="A5289" i="1"/>
  <c r="C5289" i="1"/>
  <c r="A5290" i="1"/>
  <c r="C5290" i="1"/>
  <c r="A5291" i="1"/>
  <c r="C5291" i="1"/>
  <c r="A5292" i="1"/>
  <c r="C5292" i="1"/>
  <c r="A5293" i="1"/>
  <c r="C5293" i="1"/>
  <c r="A5294" i="1"/>
  <c r="C5294" i="1"/>
  <c r="A5295" i="1"/>
  <c r="C5295" i="1"/>
  <c r="A5296" i="1"/>
  <c r="C5296" i="1"/>
  <c r="A5297" i="1"/>
  <c r="C5297" i="1"/>
  <c r="A5298" i="1"/>
  <c r="C5298" i="1"/>
  <c r="A5299" i="1"/>
  <c r="C5299" i="1"/>
  <c r="A5300" i="1"/>
  <c r="C5300" i="1"/>
  <c r="A5301" i="1"/>
  <c r="C5301" i="1"/>
  <c r="A5302" i="1"/>
  <c r="C5302" i="1"/>
  <c r="A5303" i="1"/>
  <c r="C5303" i="1"/>
  <c r="A5304" i="1"/>
  <c r="C5304" i="1"/>
  <c r="A5305" i="1"/>
  <c r="C5305" i="1"/>
  <c r="A5306" i="1"/>
  <c r="C5306" i="1"/>
  <c r="A5307" i="1"/>
  <c r="C5307" i="1"/>
  <c r="A5308" i="1"/>
  <c r="C5308" i="1"/>
  <c r="A5309" i="1"/>
  <c r="C5309" i="1"/>
  <c r="A5310" i="1"/>
  <c r="C5310" i="1"/>
  <c r="A5311" i="1"/>
  <c r="C5311" i="1"/>
  <c r="A5312" i="1"/>
  <c r="C5312" i="1"/>
  <c r="A5313" i="1"/>
  <c r="C5313" i="1"/>
  <c r="A5314" i="1"/>
  <c r="C5314" i="1"/>
  <c r="A5315" i="1"/>
  <c r="C5315" i="1"/>
  <c r="A5316" i="1"/>
  <c r="C5316" i="1"/>
  <c r="A5317" i="1"/>
  <c r="C5317" i="1"/>
  <c r="A5318" i="1"/>
  <c r="C5318" i="1"/>
  <c r="A5319" i="1"/>
  <c r="C5319" i="1"/>
  <c r="A5320" i="1"/>
  <c r="C5320" i="1"/>
  <c r="A5321" i="1"/>
  <c r="C5321" i="1"/>
  <c r="A5322" i="1"/>
  <c r="C5322" i="1"/>
  <c r="A5323" i="1"/>
  <c r="C5323" i="1"/>
  <c r="A5324" i="1"/>
  <c r="C5324" i="1"/>
  <c r="A5325" i="1"/>
  <c r="C5325" i="1"/>
  <c r="A5326" i="1"/>
  <c r="C5326" i="1"/>
  <c r="A5327" i="1"/>
  <c r="C5327" i="1"/>
  <c r="A5328" i="1"/>
  <c r="C5328" i="1"/>
  <c r="A5329" i="1"/>
  <c r="C5329" i="1"/>
  <c r="A5330" i="1"/>
  <c r="C5330" i="1"/>
  <c r="A5331" i="1"/>
  <c r="C5331" i="1"/>
  <c r="A5332" i="1"/>
  <c r="C5332" i="1"/>
  <c r="A5333" i="1"/>
  <c r="C5333" i="1"/>
  <c r="A5334" i="1"/>
  <c r="C5334" i="1"/>
  <c r="A5335" i="1"/>
  <c r="C5335" i="1"/>
  <c r="A5336" i="1"/>
  <c r="C5336" i="1"/>
  <c r="A5337" i="1"/>
  <c r="C5337" i="1"/>
  <c r="A5338" i="1"/>
  <c r="C5338" i="1"/>
  <c r="A5339" i="1"/>
  <c r="C5339" i="1"/>
  <c r="A5340" i="1"/>
  <c r="C5340" i="1"/>
  <c r="A5341" i="1"/>
  <c r="C5341" i="1"/>
  <c r="A5342" i="1"/>
  <c r="C5342" i="1"/>
  <c r="A5343" i="1"/>
  <c r="C5343" i="1"/>
  <c r="A5344" i="1"/>
  <c r="C5344" i="1"/>
  <c r="A5345" i="1"/>
  <c r="C5345" i="1"/>
  <c r="A5346" i="1"/>
  <c r="C5346" i="1"/>
  <c r="A5347" i="1"/>
  <c r="C5347" i="1"/>
  <c r="A5348" i="1"/>
  <c r="C5348" i="1"/>
  <c r="A5349" i="1"/>
  <c r="C5349" i="1"/>
  <c r="A5350" i="1"/>
  <c r="C5350" i="1"/>
  <c r="A5351" i="1"/>
  <c r="C5351" i="1"/>
  <c r="A5352" i="1"/>
  <c r="C5352" i="1"/>
  <c r="A5353" i="1"/>
  <c r="C5353" i="1"/>
  <c r="A5354" i="1"/>
  <c r="C5354" i="1"/>
  <c r="A5355" i="1"/>
  <c r="C5355" i="1"/>
  <c r="A5356" i="1"/>
  <c r="C5356" i="1"/>
  <c r="A5357" i="1"/>
  <c r="C5357" i="1"/>
  <c r="A5358" i="1"/>
  <c r="C5358" i="1"/>
  <c r="A5359" i="1"/>
  <c r="C5359" i="1"/>
  <c r="A5360" i="1"/>
  <c r="C5360" i="1"/>
  <c r="A5361" i="1"/>
  <c r="C5361" i="1"/>
  <c r="A5362" i="1"/>
  <c r="C5362" i="1"/>
  <c r="A5363" i="1"/>
  <c r="C5363" i="1"/>
  <c r="A5364" i="1"/>
  <c r="C5364" i="1"/>
  <c r="A5365" i="1"/>
  <c r="C5365" i="1"/>
  <c r="A5366" i="1"/>
  <c r="C5366" i="1"/>
  <c r="A5367" i="1"/>
  <c r="C5367" i="1"/>
  <c r="A5368" i="1"/>
  <c r="C5368" i="1"/>
  <c r="A5369" i="1"/>
  <c r="C5369" i="1"/>
  <c r="A5370" i="1"/>
  <c r="C5370" i="1"/>
  <c r="A5371" i="1"/>
  <c r="C5371" i="1"/>
  <c r="A5372" i="1"/>
  <c r="C5372" i="1"/>
  <c r="A5373" i="1"/>
  <c r="C5373" i="1"/>
  <c r="A5374" i="1"/>
  <c r="C5374" i="1"/>
  <c r="A5375" i="1"/>
  <c r="C5375" i="1"/>
  <c r="A5376" i="1"/>
  <c r="C5376" i="1"/>
  <c r="A5377" i="1"/>
  <c r="C5377" i="1"/>
  <c r="A5378" i="1"/>
  <c r="C5378" i="1"/>
  <c r="A5379" i="1"/>
  <c r="C5379" i="1"/>
  <c r="A5380" i="1"/>
  <c r="C5380" i="1"/>
  <c r="A5381" i="1"/>
  <c r="C5381" i="1"/>
  <c r="A5382" i="1"/>
  <c r="C5382" i="1"/>
  <c r="A5383" i="1"/>
  <c r="C5383" i="1"/>
  <c r="A5384" i="1"/>
  <c r="C5384" i="1"/>
  <c r="A5385" i="1"/>
  <c r="C5385" i="1"/>
  <c r="A5386" i="1"/>
  <c r="C5386" i="1"/>
  <c r="A5387" i="1"/>
  <c r="C5387" i="1"/>
  <c r="A5388" i="1"/>
  <c r="C5388" i="1"/>
  <c r="A5389" i="1"/>
  <c r="C5389" i="1"/>
  <c r="A5390" i="1"/>
  <c r="C5390" i="1"/>
  <c r="A5391" i="1"/>
  <c r="C5391" i="1"/>
  <c r="A5392" i="1"/>
  <c r="C5392" i="1"/>
  <c r="A5393" i="1"/>
  <c r="C5393" i="1"/>
  <c r="A5394" i="1"/>
  <c r="C5394" i="1"/>
  <c r="A5395" i="1"/>
  <c r="C5395" i="1"/>
  <c r="A5396" i="1"/>
  <c r="C5396" i="1"/>
  <c r="A5397" i="1"/>
  <c r="C5397" i="1"/>
  <c r="A5398" i="1"/>
  <c r="C5398" i="1"/>
  <c r="A5399" i="1"/>
  <c r="C5399" i="1"/>
  <c r="A5400" i="1"/>
  <c r="C5400" i="1"/>
  <c r="A5401" i="1"/>
  <c r="C5401" i="1"/>
  <c r="A5402" i="1"/>
  <c r="C5402" i="1"/>
  <c r="A5403" i="1"/>
  <c r="C5403" i="1"/>
  <c r="A5404" i="1"/>
  <c r="C5404" i="1"/>
  <c r="A5405" i="1"/>
  <c r="C5405" i="1"/>
  <c r="A5406" i="1"/>
  <c r="C5406" i="1"/>
  <c r="A5407" i="1"/>
  <c r="C5407" i="1"/>
  <c r="A5408" i="1"/>
  <c r="C5408" i="1"/>
  <c r="A5409" i="1"/>
  <c r="C5409" i="1"/>
  <c r="A5410" i="1"/>
  <c r="C5410" i="1"/>
  <c r="A5411" i="1"/>
  <c r="C5411" i="1"/>
  <c r="A5412" i="1"/>
  <c r="C5412" i="1"/>
  <c r="A5413" i="1"/>
  <c r="C5413" i="1"/>
  <c r="A5414" i="1"/>
  <c r="C5414" i="1"/>
  <c r="A5415" i="1"/>
  <c r="C5415" i="1"/>
  <c r="A5416" i="1"/>
  <c r="C5416" i="1"/>
  <c r="A5417" i="1"/>
  <c r="C5417" i="1"/>
  <c r="A5418" i="1"/>
  <c r="C5418" i="1"/>
  <c r="A5419" i="1"/>
  <c r="C5419" i="1"/>
  <c r="A5420" i="1"/>
  <c r="C5420" i="1"/>
  <c r="A5421" i="1"/>
  <c r="C5421" i="1"/>
  <c r="A5422" i="1"/>
  <c r="C5422" i="1"/>
  <c r="A5423" i="1"/>
  <c r="C5423" i="1"/>
  <c r="A5424" i="1"/>
  <c r="C5424" i="1"/>
  <c r="A5425" i="1"/>
  <c r="C5425" i="1"/>
  <c r="A5426" i="1"/>
  <c r="C5426" i="1"/>
  <c r="A5427" i="1"/>
  <c r="C5427" i="1"/>
  <c r="A5428" i="1"/>
  <c r="C5428" i="1"/>
  <c r="A5429" i="1"/>
  <c r="C5429" i="1"/>
  <c r="A5430" i="1"/>
  <c r="C5430" i="1"/>
  <c r="A5431" i="1"/>
  <c r="C5431" i="1"/>
  <c r="A5432" i="1"/>
  <c r="C5432" i="1"/>
  <c r="A5433" i="1"/>
  <c r="C5433" i="1"/>
  <c r="A5434" i="1"/>
  <c r="C5434" i="1"/>
  <c r="A5435" i="1"/>
  <c r="C5435" i="1"/>
  <c r="A5436" i="1"/>
  <c r="C5436" i="1"/>
  <c r="A5437" i="1"/>
  <c r="C5437" i="1"/>
  <c r="A5438" i="1"/>
  <c r="C5438" i="1"/>
  <c r="A5439" i="1"/>
  <c r="C5439" i="1"/>
  <c r="A5440" i="1"/>
  <c r="C5440" i="1"/>
  <c r="A5441" i="1"/>
  <c r="C5441" i="1"/>
  <c r="A5442" i="1"/>
  <c r="C5442" i="1"/>
  <c r="A5443" i="1"/>
  <c r="C5443" i="1"/>
  <c r="A5444" i="1"/>
  <c r="C5444" i="1"/>
  <c r="A5445" i="1"/>
  <c r="C5445" i="1"/>
  <c r="A5446" i="1"/>
  <c r="C5446" i="1"/>
  <c r="A5447" i="1"/>
  <c r="C5447" i="1"/>
  <c r="A5448" i="1"/>
  <c r="C5448" i="1"/>
  <c r="A5449" i="1"/>
  <c r="C5449" i="1"/>
  <c r="A5450" i="1"/>
  <c r="C5450" i="1"/>
  <c r="A5451" i="1"/>
  <c r="C5451" i="1"/>
  <c r="A5452" i="1"/>
  <c r="C5452" i="1"/>
  <c r="A5453" i="1"/>
  <c r="C5453" i="1"/>
  <c r="A5454" i="1"/>
  <c r="C5454" i="1"/>
  <c r="A5455" i="1"/>
  <c r="C5455" i="1"/>
  <c r="A5456" i="1"/>
  <c r="C5456" i="1"/>
  <c r="A5457" i="1"/>
  <c r="C5457" i="1"/>
  <c r="A5458" i="1"/>
  <c r="C5458" i="1"/>
  <c r="A5459" i="1"/>
  <c r="C5459" i="1"/>
  <c r="A5460" i="1"/>
  <c r="C5460" i="1"/>
  <c r="A5461" i="1"/>
  <c r="C5461" i="1"/>
  <c r="A5462" i="1"/>
  <c r="C5462" i="1"/>
  <c r="A5463" i="1"/>
  <c r="C5463" i="1"/>
  <c r="A5464" i="1"/>
  <c r="C5464" i="1"/>
  <c r="A5465" i="1"/>
  <c r="C5465" i="1"/>
  <c r="A5466" i="1"/>
  <c r="C5466" i="1"/>
  <c r="A5467" i="1"/>
  <c r="C5467" i="1"/>
  <c r="A5468" i="1"/>
  <c r="C5468" i="1"/>
  <c r="A5469" i="1"/>
  <c r="C5469" i="1"/>
  <c r="A5470" i="1"/>
  <c r="C5470" i="1"/>
  <c r="A5471" i="1"/>
  <c r="C5471" i="1"/>
  <c r="A5472" i="1"/>
  <c r="C5472" i="1"/>
  <c r="A5473" i="1"/>
  <c r="C5473" i="1"/>
  <c r="A5474" i="1"/>
  <c r="C5474" i="1"/>
  <c r="A5475" i="1"/>
  <c r="C5475" i="1"/>
  <c r="A5476" i="1"/>
  <c r="C5476" i="1"/>
  <c r="A5477" i="1"/>
  <c r="C5477" i="1"/>
  <c r="A5478" i="1"/>
  <c r="C5478" i="1"/>
  <c r="A5479" i="1"/>
  <c r="C5479" i="1"/>
  <c r="A5480" i="1"/>
  <c r="C5480" i="1"/>
  <c r="A5481" i="1"/>
  <c r="C5481" i="1"/>
  <c r="A5482" i="1"/>
  <c r="C5482" i="1"/>
  <c r="A5483" i="1"/>
  <c r="C5483" i="1"/>
  <c r="A5484" i="1"/>
  <c r="C5484" i="1"/>
  <c r="A5485" i="1"/>
  <c r="C5485" i="1"/>
  <c r="A5486" i="1"/>
  <c r="C5486" i="1"/>
  <c r="A5487" i="1"/>
  <c r="C5487" i="1"/>
  <c r="A5488" i="1"/>
  <c r="C5488" i="1"/>
  <c r="A5489" i="1"/>
  <c r="C5489" i="1"/>
  <c r="A5490" i="1"/>
  <c r="C5490" i="1"/>
  <c r="A5491" i="1"/>
  <c r="C5491" i="1"/>
  <c r="A5492" i="1"/>
  <c r="C5492" i="1"/>
  <c r="A5493" i="1"/>
  <c r="C5493" i="1"/>
  <c r="A5494" i="1"/>
  <c r="C5494" i="1"/>
  <c r="A5495" i="1"/>
  <c r="C5495" i="1"/>
  <c r="A5496" i="1"/>
  <c r="C5496" i="1"/>
  <c r="A5497" i="1"/>
  <c r="C5497" i="1"/>
  <c r="A5498" i="1"/>
  <c r="C5498" i="1"/>
  <c r="A5499" i="1"/>
  <c r="C5499" i="1"/>
  <c r="A5500" i="1"/>
  <c r="C5500" i="1"/>
  <c r="A5501" i="1"/>
  <c r="C5501" i="1"/>
  <c r="A5502" i="1"/>
  <c r="C5502" i="1"/>
  <c r="A5503" i="1"/>
  <c r="C5503" i="1"/>
  <c r="A5504" i="1"/>
  <c r="C5504" i="1"/>
  <c r="A5505" i="1"/>
  <c r="C5505" i="1"/>
  <c r="A5506" i="1"/>
  <c r="C5506" i="1"/>
  <c r="A5507" i="1"/>
  <c r="C5507" i="1"/>
  <c r="A5508" i="1"/>
  <c r="C5508" i="1"/>
  <c r="A5509" i="1"/>
  <c r="C5509" i="1"/>
  <c r="A5510" i="1"/>
  <c r="C5510" i="1"/>
  <c r="A5511" i="1"/>
  <c r="C5511" i="1"/>
  <c r="A5512" i="1"/>
  <c r="C5512" i="1"/>
  <c r="A5513" i="1"/>
  <c r="C5513" i="1"/>
  <c r="A5514" i="1"/>
  <c r="C5514" i="1"/>
  <c r="A5515" i="1"/>
  <c r="C5515" i="1"/>
  <c r="A5516" i="1"/>
  <c r="C5516" i="1"/>
  <c r="A5517" i="1"/>
  <c r="C5517" i="1"/>
  <c r="A5518" i="1"/>
  <c r="C5518" i="1"/>
  <c r="A5519" i="1"/>
  <c r="C5519" i="1"/>
  <c r="A5520" i="1"/>
  <c r="C5520" i="1"/>
  <c r="A5521" i="1"/>
  <c r="C5521" i="1"/>
  <c r="A5522" i="1"/>
  <c r="C5522" i="1"/>
  <c r="A5523" i="1"/>
  <c r="C5523" i="1"/>
  <c r="A5524" i="1"/>
  <c r="C5524" i="1"/>
  <c r="A5525" i="1"/>
  <c r="C5525" i="1"/>
  <c r="A5526" i="1"/>
  <c r="C5526" i="1"/>
  <c r="A5527" i="1"/>
  <c r="C5527" i="1"/>
  <c r="A5528" i="1"/>
  <c r="C5528" i="1"/>
  <c r="A5529" i="1"/>
  <c r="C5529" i="1"/>
  <c r="A5530" i="1"/>
  <c r="C5530" i="1"/>
  <c r="A5531" i="1"/>
  <c r="C5531" i="1"/>
  <c r="A5532" i="1"/>
  <c r="C5532" i="1"/>
  <c r="A5533" i="1"/>
  <c r="C5533" i="1"/>
  <c r="A5534" i="1"/>
  <c r="C5534" i="1"/>
  <c r="A5535" i="1"/>
  <c r="C5535" i="1"/>
  <c r="A5536" i="1"/>
  <c r="C5536" i="1"/>
  <c r="A5537" i="1"/>
  <c r="C5537" i="1"/>
  <c r="A5538" i="1"/>
  <c r="C5538" i="1"/>
  <c r="A5539" i="1"/>
  <c r="C5539" i="1"/>
  <c r="A5540" i="1"/>
  <c r="C5540" i="1"/>
  <c r="A5541" i="1"/>
  <c r="C5541" i="1"/>
  <c r="A5542" i="1"/>
  <c r="C5542" i="1"/>
  <c r="A5543" i="1"/>
  <c r="C5543" i="1"/>
  <c r="A5544" i="1"/>
  <c r="C5544" i="1"/>
  <c r="A5545" i="1"/>
  <c r="C5545" i="1"/>
  <c r="A5546" i="1"/>
  <c r="C5546" i="1"/>
  <c r="A5547" i="1"/>
  <c r="C5547" i="1"/>
  <c r="A5548" i="1"/>
  <c r="C5548" i="1"/>
  <c r="A5549" i="1"/>
  <c r="C5549" i="1"/>
  <c r="A5550" i="1"/>
  <c r="C5550" i="1"/>
  <c r="A5551" i="1"/>
  <c r="C5551" i="1"/>
  <c r="A5552" i="1"/>
  <c r="C5552" i="1"/>
  <c r="A5553" i="1"/>
  <c r="C5553" i="1"/>
  <c r="A5554" i="1"/>
  <c r="C5554" i="1"/>
  <c r="A5555" i="1"/>
  <c r="C5555" i="1"/>
  <c r="A5556" i="1"/>
  <c r="C5556" i="1"/>
  <c r="A5557" i="1"/>
  <c r="C5557" i="1"/>
  <c r="A5558" i="1"/>
  <c r="C5558" i="1"/>
  <c r="A5559" i="1"/>
  <c r="C5559" i="1"/>
  <c r="A5560" i="1"/>
  <c r="C5560" i="1"/>
  <c r="A5561" i="1"/>
  <c r="C5561" i="1"/>
  <c r="A5562" i="1"/>
  <c r="C5562" i="1"/>
  <c r="A5563" i="1"/>
  <c r="C5563" i="1"/>
  <c r="A5564" i="1"/>
  <c r="C5564" i="1"/>
  <c r="A5565" i="1"/>
  <c r="C5565" i="1"/>
  <c r="A5566" i="1"/>
  <c r="C5566" i="1"/>
  <c r="A5567" i="1"/>
  <c r="C5567" i="1"/>
  <c r="A5568" i="1"/>
  <c r="C5568" i="1"/>
  <c r="A5569" i="1"/>
  <c r="C5569" i="1"/>
  <c r="A5570" i="1"/>
  <c r="C5570" i="1"/>
  <c r="A5571" i="1"/>
  <c r="C5571" i="1"/>
  <c r="A5572" i="1"/>
  <c r="C5572" i="1"/>
  <c r="A5573" i="1"/>
  <c r="C5573" i="1"/>
  <c r="A5574" i="1"/>
  <c r="C5574" i="1"/>
  <c r="A5575" i="1"/>
  <c r="C5575" i="1"/>
  <c r="A5576" i="1"/>
  <c r="C5576" i="1"/>
  <c r="A5577" i="1"/>
  <c r="C5577" i="1"/>
  <c r="A5578" i="1"/>
  <c r="C5578" i="1"/>
  <c r="A5579" i="1"/>
  <c r="C5579" i="1"/>
  <c r="A5580" i="1"/>
  <c r="C5580" i="1"/>
  <c r="A5581" i="1"/>
  <c r="C5581" i="1"/>
  <c r="A5582" i="1"/>
  <c r="C5582" i="1"/>
  <c r="A5583" i="1"/>
  <c r="C5583" i="1"/>
  <c r="A5584" i="1"/>
  <c r="C5584" i="1"/>
  <c r="A5585" i="1"/>
  <c r="C5585" i="1"/>
  <c r="A5586" i="1"/>
  <c r="C5586" i="1"/>
  <c r="A5587" i="1"/>
  <c r="C5587" i="1"/>
  <c r="A5588" i="1"/>
  <c r="C5588" i="1"/>
  <c r="A5589" i="1"/>
  <c r="C5589" i="1"/>
  <c r="A5590" i="1"/>
  <c r="C5590" i="1"/>
  <c r="A5591" i="1"/>
  <c r="C5591" i="1"/>
  <c r="A5592" i="1"/>
  <c r="C5592" i="1"/>
  <c r="A5593" i="1"/>
  <c r="C5593" i="1"/>
  <c r="A5594" i="1"/>
  <c r="C5594" i="1"/>
  <c r="A5595" i="1"/>
  <c r="C5595" i="1"/>
  <c r="A5596" i="1"/>
  <c r="C5596" i="1"/>
  <c r="A5597" i="1"/>
  <c r="C5597" i="1"/>
  <c r="A5598" i="1"/>
  <c r="C5598" i="1"/>
  <c r="A5599" i="1"/>
  <c r="C5599" i="1"/>
  <c r="A5600" i="1"/>
  <c r="C5600" i="1"/>
  <c r="A5601" i="1"/>
  <c r="C5601" i="1"/>
  <c r="A5602" i="1"/>
  <c r="C5602" i="1"/>
  <c r="A5603" i="1"/>
  <c r="C5603" i="1"/>
  <c r="A5604" i="1"/>
  <c r="C5604" i="1"/>
  <c r="A5605" i="1"/>
  <c r="C5605" i="1"/>
  <c r="A5606" i="1"/>
  <c r="C5606" i="1"/>
  <c r="A5607" i="1"/>
  <c r="C5607" i="1"/>
  <c r="A5608" i="1"/>
  <c r="C5608" i="1"/>
  <c r="A5609" i="1"/>
  <c r="C5609" i="1"/>
  <c r="A5610" i="1"/>
  <c r="C5610" i="1"/>
  <c r="A5611" i="1"/>
  <c r="C5611" i="1"/>
  <c r="A5612" i="1"/>
  <c r="C5612" i="1"/>
  <c r="A5613" i="1"/>
  <c r="C5613" i="1"/>
  <c r="A5614" i="1"/>
  <c r="C5614" i="1"/>
  <c r="A5615" i="1"/>
  <c r="C5615" i="1"/>
  <c r="A5616" i="1"/>
  <c r="C5616" i="1"/>
  <c r="A5617" i="1"/>
  <c r="C5617" i="1"/>
  <c r="A5618" i="1"/>
  <c r="C5618" i="1"/>
  <c r="A5619" i="1"/>
  <c r="C5619" i="1"/>
  <c r="A5620" i="1"/>
  <c r="C5620" i="1"/>
  <c r="A5621" i="1"/>
  <c r="C5621" i="1"/>
  <c r="A5622" i="1"/>
  <c r="C5622" i="1"/>
  <c r="A5623" i="1"/>
  <c r="C5623" i="1"/>
  <c r="A5624" i="1"/>
  <c r="C5624" i="1"/>
  <c r="A5625" i="1"/>
  <c r="C5625" i="1"/>
  <c r="A5626" i="1"/>
  <c r="C5626" i="1"/>
  <c r="A5627" i="1"/>
  <c r="C5627" i="1"/>
  <c r="A5628" i="1"/>
  <c r="C5628" i="1"/>
  <c r="A5629" i="1"/>
  <c r="C5629" i="1"/>
  <c r="A5630" i="1"/>
  <c r="C5630" i="1"/>
  <c r="A5631" i="1"/>
  <c r="C5631" i="1"/>
  <c r="A5632" i="1"/>
  <c r="C5632" i="1"/>
  <c r="A5633" i="1"/>
  <c r="C5633" i="1"/>
  <c r="A5634" i="1"/>
  <c r="C5634" i="1"/>
  <c r="A5635" i="1"/>
  <c r="C5635" i="1"/>
  <c r="A5636" i="1"/>
  <c r="C5636" i="1"/>
  <c r="A5637" i="1"/>
  <c r="C5637" i="1"/>
  <c r="A5638" i="1"/>
  <c r="C5638" i="1"/>
  <c r="A5639" i="1"/>
  <c r="C5639" i="1"/>
  <c r="A5640" i="1"/>
  <c r="C5640" i="1"/>
  <c r="A5641" i="1"/>
  <c r="C5641" i="1"/>
  <c r="A5642" i="1"/>
  <c r="C5642" i="1"/>
  <c r="A5643" i="1"/>
  <c r="C5643" i="1"/>
  <c r="A5644" i="1"/>
  <c r="C5644" i="1"/>
  <c r="A5645" i="1"/>
  <c r="C5645" i="1"/>
  <c r="A5646" i="1"/>
  <c r="C5646" i="1"/>
  <c r="A5647" i="1"/>
  <c r="C5647" i="1"/>
  <c r="A5648" i="1"/>
  <c r="C5648" i="1"/>
  <c r="A5649" i="1"/>
  <c r="C5649" i="1"/>
  <c r="A5650" i="1"/>
  <c r="C5650" i="1"/>
  <c r="A5651" i="1"/>
  <c r="C5651" i="1"/>
  <c r="A5652" i="1"/>
  <c r="C5652" i="1"/>
  <c r="A5653" i="1"/>
  <c r="C5653" i="1"/>
  <c r="A5654" i="1"/>
  <c r="C5654" i="1"/>
  <c r="A5655" i="1"/>
  <c r="C5655" i="1"/>
  <c r="A5656" i="1"/>
  <c r="C5656" i="1"/>
  <c r="A5657" i="1"/>
  <c r="C5657" i="1"/>
  <c r="A5658" i="1"/>
  <c r="C5658" i="1"/>
  <c r="A5659" i="1"/>
  <c r="C5659" i="1"/>
  <c r="A5660" i="1"/>
  <c r="C5660" i="1"/>
  <c r="A5661" i="1"/>
  <c r="C5661" i="1"/>
  <c r="A5662" i="1"/>
  <c r="C5662" i="1"/>
  <c r="A5663" i="1"/>
  <c r="C5663" i="1"/>
  <c r="A5664" i="1"/>
  <c r="C5664" i="1"/>
  <c r="A5665" i="1"/>
  <c r="C5665" i="1"/>
  <c r="A5666" i="1"/>
  <c r="C5666" i="1"/>
  <c r="A5667" i="1"/>
  <c r="C5667" i="1"/>
  <c r="A5668" i="1"/>
  <c r="C5668" i="1"/>
  <c r="A5669" i="1"/>
  <c r="C5669" i="1"/>
  <c r="A5670" i="1"/>
  <c r="C5670" i="1"/>
  <c r="A5671" i="1"/>
  <c r="C5671" i="1"/>
  <c r="A5672" i="1"/>
  <c r="C5672" i="1"/>
  <c r="A5673" i="1"/>
  <c r="C5673" i="1"/>
  <c r="A5674" i="1"/>
  <c r="C5674" i="1"/>
  <c r="A5675" i="1"/>
  <c r="C5675" i="1"/>
  <c r="A5676" i="1"/>
  <c r="C5676" i="1"/>
  <c r="A5677" i="1"/>
  <c r="C5677" i="1"/>
  <c r="A5678" i="1"/>
  <c r="C5678" i="1"/>
  <c r="A5679" i="1"/>
  <c r="C5679" i="1"/>
  <c r="A5680" i="1"/>
  <c r="C5680" i="1"/>
  <c r="A5681" i="1"/>
  <c r="C5681" i="1"/>
  <c r="A5682" i="1"/>
  <c r="C5682" i="1"/>
  <c r="A5683" i="1"/>
  <c r="C5683" i="1"/>
  <c r="A5684" i="1"/>
  <c r="C5684" i="1"/>
  <c r="A5685" i="1"/>
  <c r="C5685" i="1"/>
  <c r="A5686" i="1"/>
  <c r="C5686" i="1"/>
  <c r="A5687" i="1"/>
  <c r="C5687" i="1"/>
  <c r="A5688" i="1"/>
  <c r="C5688" i="1"/>
  <c r="A5689" i="1"/>
  <c r="C5689" i="1"/>
  <c r="A5690" i="1"/>
  <c r="C5690" i="1"/>
  <c r="A5691" i="1"/>
  <c r="C5691" i="1"/>
  <c r="A5692" i="1"/>
  <c r="C5692" i="1"/>
  <c r="A5693" i="1"/>
  <c r="C5693" i="1"/>
  <c r="A5694" i="1"/>
  <c r="C5694" i="1"/>
  <c r="A5695" i="1"/>
  <c r="C5695" i="1"/>
  <c r="A5696" i="1"/>
  <c r="C5696" i="1"/>
  <c r="A5697" i="1"/>
  <c r="C5697" i="1"/>
  <c r="A5698" i="1"/>
  <c r="C5698" i="1"/>
  <c r="A5699" i="1"/>
  <c r="C5699" i="1"/>
  <c r="A5700" i="1"/>
  <c r="C5700" i="1"/>
  <c r="A5701" i="1"/>
  <c r="C5701" i="1"/>
  <c r="A5702" i="1"/>
  <c r="C5702" i="1"/>
  <c r="A5703" i="1"/>
  <c r="C5703" i="1"/>
  <c r="A5704" i="1"/>
  <c r="C5704" i="1"/>
  <c r="A5705" i="1"/>
  <c r="C5705" i="1"/>
  <c r="A5706" i="1"/>
  <c r="C5706" i="1"/>
  <c r="A5707" i="1"/>
  <c r="C5707" i="1"/>
  <c r="A5708" i="1"/>
  <c r="C5708" i="1"/>
  <c r="A5709" i="1"/>
  <c r="C5709" i="1"/>
  <c r="A5710" i="1"/>
  <c r="C5710" i="1"/>
  <c r="A5711" i="1"/>
  <c r="C5711" i="1"/>
  <c r="A5712" i="1"/>
  <c r="C5712" i="1"/>
  <c r="A5713" i="1"/>
  <c r="C5713" i="1"/>
  <c r="A5714" i="1"/>
  <c r="C5714" i="1"/>
  <c r="A5715" i="1"/>
  <c r="C5715" i="1"/>
  <c r="A5716" i="1"/>
  <c r="C5716" i="1"/>
  <c r="A5717" i="1"/>
  <c r="C5717" i="1"/>
  <c r="A5718" i="1"/>
  <c r="C5718" i="1"/>
  <c r="A5719" i="1"/>
  <c r="C5719" i="1"/>
  <c r="A5720" i="1"/>
  <c r="C5720" i="1"/>
  <c r="A5721" i="1"/>
  <c r="C5721" i="1"/>
  <c r="A5722" i="1"/>
  <c r="C5722" i="1"/>
  <c r="A5723" i="1"/>
  <c r="C5723" i="1"/>
  <c r="A5724" i="1"/>
  <c r="C5724" i="1"/>
  <c r="A5725" i="1"/>
  <c r="C5725" i="1"/>
  <c r="A5726" i="1"/>
  <c r="C5726" i="1"/>
  <c r="A5727" i="1"/>
  <c r="C5727" i="1"/>
  <c r="A5728" i="1"/>
  <c r="C5728" i="1"/>
  <c r="A5729" i="1"/>
  <c r="C5729" i="1"/>
  <c r="A5730" i="1"/>
  <c r="C5730" i="1"/>
  <c r="A5731" i="1"/>
  <c r="C5731" i="1"/>
  <c r="A5732" i="1"/>
  <c r="C5732" i="1"/>
  <c r="A5733" i="1"/>
  <c r="C5733" i="1"/>
  <c r="A5734" i="1"/>
  <c r="C5734" i="1"/>
  <c r="A5735" i="1"/>
  <c r="C5735" i="1"/>
  <c r="A5736" i="1"/>
  <c r="C5736" i="1"/>
  <c r="A5737" i="1"/>
  <c r="C5737" i="1"/>
  <c r="A5738" i="1"/>
  <c r="C5738" i="1"/>
  <c r="A5739" i="1"/>
  <c r="C5739" i="1"/>
  <c r="A5740" i="1"/>
  <c r="C5740" i="1"/>
  <c r="A5741" i="1"/>
  <c r="C5741" i="1"/>
  <c r="A5742" i="1"/>
  <c r="C5742" i="1"/>
  <c r="A5743" i="1"/>
  <c r="C5743" i="1"/>
  <c r="A5744" i="1"/>
  <c r="C5744" i="1"/>
  <c r="A5745" i="1"/>
  <c r="C5745" i="1"/>
  <c r="A5746" i="1"/>
  <c r="C5746" i="1"/>
  <c r="A5747" i="1"/>
  <c r="C5747" i="1"/>
  <c r="A5748" i="1"/>
  <c r="C5748" i="1"/>
  <c r="A5749" i="1"/>
  <c r="C5749" i="1"/>
  <c r="A5750" i="1"/>
  <c r="C5750" i="1"/>
  <c r="A5751" i="1"/>
  <c r="C5751" i="1"/>
  <c r="A5752" i="1"/>
  <c r="C5752" i="1"/>
  <c r="A5753" i="1"/>
  <c r="C5753" i="1"/>
  <c r="A5754" i="1"/>
  <c r="C5754" i="1"/>
  <c r="A5755" i="1"/>
  <c r="C5755" i="1"/>
  <c r="A5756" i="1"/>
  <c r="C5756" i="1"/>
  <c r="A5757" i="1"/>
  <c r="C5757" i="1"/>
  <c r="A5758" i="1"/>
  <c r="C5758" i="1"/>
  <c r="A5759" i="1"/>
  <c r="C5759" i="1"/>
  <c r="A5760" i="1"/>
  <c r="C5760" i="1"/>
  <c r="A5761" i="1"/>
  <c r="C5761" i="1"/>
  <c r="A5762" i="1"/>
  <c r="C5762" i="1"/>
  <c r="A5763" i="1"/>
  <c r="C5763" i="1"/>
  <c r="A5764" i="1"/>
  <c r="C5764" i="1"/>
  <c r="A5765" i="1"/>
  <c r="C5765" i="1"/>
  <c r="A5766" i="1"/>
  <c r="C5766" i="1"/>
  <c r="A5767" i="1"/>
  <c r="C5767" i="1"/>
  <c r="A5768" i="1"/>
  <c r="C5768" i="1"/>
  <c r="A5769" i="1"/>
  <c r="C5769" i="1"/>
  <c r="A5770" i="1"/>
  <c r="C5770" i="1"/>
  <c r="A5771" i="1"/>
  <c r="C5771" i="1"/>
  <c r="A5772" i="1"/>
  <c r="C5772" i="1"/>
  <c r="A5773" i="1"/>
  <c r="C5773" i="1"/>
  <c r="A5774" i="1"/>
  <c r="C5774" i="1"/>
  <c r="A5775" i="1"/>
  <c r="C5775" i="1"/>
  <c r="A5776" i="1"/>
  <c r="C5776" i="1"/>
  <c r="A5777" i="1"/>
  <c r="C5777" i="1"/>
  <c r="A5778" i="1"/>
  <c r="C5778" i="1"/>
  <c r="A5779" i="1"/>
  <c r="C5779" i="1"/>
  <c r="A5780" i="1"/>
  <c r="C5780" i="1"/>
  <c r="A5781" i="1"/>
  <c r="C5781" i="1"/>
  <c r="A5782" i="1"/>
  <c r="C5782" i="1"/>
  <c r="A5783" i="1"/>
  <c r="C5783" i="1"/>
  <c r="A5784" i="1"/>
  <c r="C5784" i="1"/>
  <c r="A5785" i="1"/>
  <c r="C5785" i="1"/>
  <c r="A5786" i="1"/>
  <c r="C5786" i="1"/>
  <c r="A5787" i="1"/>
  <c r="C5787" i="1"/>
  <c r="A5788" i="1"/>
  <c r="C5788" i="1"/>
  <c r="A5789" i="1"/>
  <c r="C5789" i="1"/>
  <c r="A5790" i="1"/>
  <c r="C5790" i="1"/>
  <c r="A5791" i="1"/>
  <c r="C5791" i="1"/>
  <c r="A5792" i="1"/>
  <c r="C5792" i="1"/>
  <c r="A5793" i="1"/>
  <c r="C5793" i="1"/>
  <c r="A5794" i="1"/>
  <c r="C5794" i="1"/>
  <c r="A5795" i="1"/>
  <c r="C5795" i="1"/>
  <c r="A5796" i="1"/>
  <c r="C5796" i="1"/>
  <c r="A5797" i="1"/>
  <c r="C5797" i="1"/>
  <c r="A5798" i="1"/>
  <c r="C5798" i="1"/>
  <c r="A5799" i="1"/>
  <c r="C5799" i="1"/>
  <c r="A5800" i="1"/>
  <c r="C5800" i="1"/>
  <c r="A5801" i="1"/>
  <c r="C5801" i="1"/>
  <c r="A5802" i="1"/>
  <c r="C5802" i="1"/>
  <c r="A5803" i="1"/>
  <c r="C5803" i="1"/>
  <c r="A5804" i="1"/>
  <c r="C5804" i="1"/>
  <c r="A5805" i="1"/>
  <c r="C5805" i="1"/>
  <c r="A5806" i="1"/>
  <c r="C5806" i="1"/>
  <c r="A5807" i="1"/>
  <c r="C5807" i="1"/>
  <c r="A5808" i="1"/>
  <c r="C5808" i="1"/>
  <c r="A5809" i="1"/>
  <c r="C5809" i="1"/>
  <c r="A5810" i="1"/>
  <c r="C5810" i="1"/>
  <c r="A5811" i="1"/>
  <c r="C5811" i="1"/>
  <c r="A5812" i="1"/>
  <c r="C5812" i="1"/>
  <c r="A5813" i="1"/>
  <c r="C5813" i="1"/>
  <c r="A5814" i="1"/>
  <c r="C5814" i="1"/>
  <c r="A5815" i="1"/>
  <c r="C5815" i="1"/>
  <c r="A5816" i="1"/>
  <c r="C5816" i="1"/>
  <c r="A5817" i="1"/>
  <c r="C5817" i="1"/>
  <c r="A5818" i="1"/>
  <c r="C5818" i="1"/>
  <c r="A5819" i="1"/>
  <c r="C5819" i="1"/>
  <c r="A5820" i="1"/>
  <c r="C5820" i="1"/>
  <c r="A5821" i="1"/>
  <c r="C5821" i="1"/>
  <c r="A5822" i="1"/>
  <c r="C5822" i="1"/>
  <c r="A5823" i="1"/>
  <c r="C5823" i="1"/>
  <c r="A5824" i="1"/>
  <c r="C5824" i="1"/>
  <c r="A5825" i="1"/>
  <c r="C5825" i="1"/>
  <c r="A5826" i="1"/>
  <c r="C5826" i="1"/>
  <c r="A5827" i="1"/>
  <c r="C5827" i="1"/>
  <c r="A5828" i="1"/>
  <c r="C5828" i="1"/>
  <c r="A5829" i="1"/>
  <c r="C5829" i="1"/>
  <c r="A5830" i="1"/>
  <c r="C5830" i="1"/>
  <c r="A5831" i="1"/>
  <c r="C5831" i="1"/>
  <c r="A5832" i="1"/>
  <c r="C5832" i="1"/>
  <c r="A5833" i="1"/>
  <c r="C5833" i="1"/>
  <c r="A5834" i="1"/>
  <c r="C5834" i="1"/>
  <c r="A5835" i="1"/>
  <c r="C5835" i="1"/>
  <c r="A5836" i="1"/>
  <c r="C5836" i="1"/>
  <c r="A5837" i="1"/>
  <c r="C5837" i="1"/>
  <c r="A5838" i="1"/>
  <c r="C5838" i="1"/>
  <c r="A5839" i="1"/>
  <c r="C5839" i="1"/>
  <c r="A5840" i="1"/>
  <c r="C5840" i="1"/>
  <c r="A5841" i="1"/>
  <c r="C5841" i="1"/>
  <c r="A5842" i="1"/>
  <c r="C5842" i="1"/>
  <c r="A5843" i="1"/>
  <c r="C5843" i="1"/>
  <c r="A5844" i="1"/>
  <c r="C5844" i="1"/>
  <c r="A5845" i="1"/>
  <c r="C5845" i="1"/>
  <c r="A5846" i="1"/>
  <c r="C5846" i="1"/>
  <c r="A5847" i="1"/>
  <c r="C5847" i="1"/>
  <c r="A5848" i="1"/>
  <c r="C5848" i="1"/>
  <c r="A5849" i="1"/>
  <c r="C5849" i="1"/>
  <c r="A5850" i="1"/>
  <c r="C5850" i="1"/>
  <c r="A5851" i="1"/>
  <c r="C5851" i="1"/>
  <c r="A5852" i="1"/>
  <c r="C5852" i="1"/>
  <c r="A5853" i="1"/>
  <c r="C5853" i="1"/>
  <c r="A5854" i="1"/>
  <c r="C5854" i="1"/>
  <c r="A5855" i="1"/>
  <c r="C5855" i="1"/>
  <c r="A5856" i="1"/>
  <c r="C5856" i="1"/>
  <c r="A5857" i="1"/>
  <c r="C5857" i="1"/>
  <c r="A5858" i="1"/>
  <c r="C5858" i="1"/>
  <c r="A5859" i="1"/>
  <c r="C5859" i="1"/>
  <c r="A5860" i="1"/>
  <c r="C5860" i="1"/>
  <c r="A5861" i="1"/>
  <c r="C5861" i="1"/>
  <c r="A5862" i="1"/>
  <c r="C5862" i="1"/>
  <c r="A5863" i="1"/>
  <c r="C5863" i="1"/>
  <c r="A5864" i="1"/>
  <c r="C5864" i="1"/>
  <c r="A5865" i="1"/>
  <c r="C5865" i="1"/>
  <c r="A5866" i="1"/>
  <c r="C5866" i="1"/>
  <c r="A5867" i="1"/>
  <c r="C5867" i="1"/>
  <c r="A5868" i="1"/>
  <c r="C5868" i="1"/>
  <c r="A5869" i="1"/>
  <c r="C5869" i="1"/>
  <c r="A5870" i="1"/>
  <c r="C5870" i="1"/>
  <c r="A5871" i="1"/>
  <c r="C5871" i="1"/>
  <c r="A5872" i="1"/>
  <c r="C5872" i="1"/>
  <c r="A5873" i="1"/>
  <c r="C5873" i="1"/>
  <c r="A5874" i="1"/>
  <c r="C5874" i="1"/>
  <c r="A5875" i="1"/>
  <c r="C5875" i="1"/>
  <c r="A5876" i="1"/>
  <c r="C5876" i="1"/>
  <c r="A5877" i="1"/>
  <c r="C5877" i="1"/>
  <c r="A5878" i="1"/>
  <c r="C5878" i="1"/>
  <c r="A5879" i="1"/>
  <c r="C5879" i="1"/>
  <c r="A5880" i="1"/>
  <c r="C5880" i="1"/>
  <c r="A5881" i="1"/>
  <c r="C5881" i="1"/>
  <c r="A5882" i="1"/>
  <c r="C5882" i="1"/>
  <c r="A5883" i="1"/>
  <c r="C5883" i="1"/>
  <c r="A5884" i="1"/>
  <c r="C5884" i="1"/>
  <c r="A5885" i="1"/>
  <c r="C5885" i="1"/>
  <c r="A5886" i="1"/>
  <c r="C5886" i="1"/>
  <c r="A5887" i="1"/>
  <c r="C5887" i="1"/>
  <c r="A5888" i="1"/>
  <c r="C5888" i="1"/>
  <c r="A5889" i="1"/>
  <c r="C5889" i="1"/>
  <c r="A5890" i="1"/>
  <c r="C5890" i="1"/>
  <c r="A5891" i="1"/>
  <c r="C5891" i="1"/>
  <c r="A5892" i="1"/>
  <c r="C5892" i="1"/>
  <c r="A5893" i="1"/>
  <c r="C5893" i="1"/>
  <c r="A5894" i="1"/>
  <c r="C5894" i="1"/>
  <c r="A5895" i="1"/>
  <c r="C5895" i="1"/>
  <c r="A5896" i="1"/>
  <c r="C5896" i="1"/>
  <c r="A5897" i="1"/>
  <c r="C5897" i="1"/>
  <c r="A5898" i="1"/>
  <c r="C5898" i="1"/>
  <c r="A5899" i="1"/>
  <c r="C5899" i="1"/>
  <c r="A5900" i="1"/>
  <c r="C5900" i="1"/>
  <c r="A5901" i="1"/>
  <c r="C5901" i="1"/>
  <c r="A5902" i="1"/>
  <c r="C5902" i="1"/>
  <c r="A5903" i="1"/>
  <c r="C5903" i="1"/>
  <c r="A5904" i="1"/>
  <c r="C5904" i="1"/>
  <c r="A5905" i="1"/>
  <c r="C5905" i="1"/>
  <c r="A5906" i="1"/>
  <c r="C5906" i="1"/>
  <c r="A5907" i="1"/>
  <c r="C5907" i="1"/>
  <c r="A5908" i="1"/>
  <c r="C5908" i="1"/>
  <c r="A5909" i="1"/>
  <c r="C5909" i="1"/>
  <c r="A5910" i="1"/>
  <c r="C5910" i="1"/>
  <c r="A5911" i="1"/>
  <c r="C5911" i="1"/>
  <c r="A5912" i="1"/>
  <c r="C5912" i="1"/>
  <c r="A5913" i="1"/>
  <c r="C5913" i="1"/>
  <c r="A5914" i="1"/>
  <c r="C5914" i="1"/>
  <c r="A5915" i="1"/>
  <c r="C5915" i="1"/>
  <c r="A5916" i="1"/>
  <c r="C5916" i="1"/>
  <c r="A5917" i="1"/>
  <c r="C5917" i="1"/>
  <c r="A5918" i="1"/>
  <c r="C5918" i="1"/>
  <c r="A5919" i="1"/>
  <c r="C5919" i="1"/>
  <c r="A5920" i="1"/>
  <c r="C5920" i="1"/>
  <c r="A5921" i="1"/>
  <c r="C5921" i="1"/>
  <c r="A5922" i="1"/>
  <c r="C5922" i="1"/>
  <c r="A5923" i="1"/>
  <c r="C5923" i="1"/>
  <c r="A5924" i="1"/>
  <c r="C5924" i="1"/>
  <c r="A5925" i="1"/>
  <c r="C5925" i="1"/>
  <c r="A5926" i="1"/>
  <c r="C5926" i="1"/>
  <c r="A5927" i="1"/>
  <c r="C5927" i="1"/>
  <c r="A5928" i="1"/>
  <c r="C5928" i="1"/>
  <c r="A5929" i="1"/>
  <c r="C5929" i="1"/>
  <c r="A5930" i="1"/>
  <c r="C5930" i="1"/>
  <c r="A5931" i="1"/>
  <c r="C5931" i="1"/>
  <c r="A5932" i="1"/>
  <c r="C5932" i="1"/>
  <c r="A5933" i="1"/>
  <c r="C5933" i="1"/>
  <c r="A5934" i="1"/>
  <c r="C5934" i="1"/>
  <c r="A5935" i="1"/>
  <c r="C5935" i="1"/>
  <c r="A5936" i="1"/>
  <c r="C5936" i="1"/>
  <c r="A5937" i="1"/>
  <c r="C5937" i="1"/>
  <c r="A5938" i="1"/>
  <c r="C5938" i="1"/>
  <c r="A5939" i="1"/>
  <c r="C5939" i="1"/>
  <c r="A5940" i="1"/>
  <c r="C5940" i="1"/>
  <c r="A5941" i="1"/>
  <c r="C5941" i="1"/>
  <c r="A5942" i="1"/>
  <c r="C5942" i="1"/>
  <c r="A5943" i="1"/>
  <c r="C5943" i="1"/>
  <c r="A5944" i="1"/>
  <c r="C5944" i="1"/>
  <c r="A5945" i="1"/>
  <c r="C5945" i="1"/>
  <c r="A5946" i="1"/>
  <c r="C5946" i="1"/>
  <c r="A5947" i="1"/>
  <c r="C5947" i="1"/>
  <c r="A5948" i="1"/>
  <c r="C5948" i="1"/>
  <c r="A5949" i="1"/>
  <c r="C5949" i="1"/>
  <c r="A5950" i="1"/>
  <c r="C5950" i="1"/>
  <c r="A5951" i="1"/>
  <c r="C5951" i="1"/>
  <c r="A5952" i="1"/>
  <c r="C5952" i="1"/>
  <c r="A5953" i="1"/>
  <c r="C5953" i="1"/>
  <c r="A5954" i="1"/>
  <c r="C5954" i="1"/>
  <c r="A5955" i="1"/>
  <c r="C5955" i="1"/>
  <c r="A5956" i="1"/>
  <c r="C5956" i="1"/>
  <c r="A5957" i="1"/>
  <c r="C5957" i="1"/>
  <c r="A5958" i="1"/>
  <c r="C5958" i="1"/>
  <c r="A5959" i="1"/>
  <c r="C5959" i="1"/>
  <c r="A5960" i="1"/>
  <c r="C5960" i="1"/>
  <c r="A5961" i="1"/>
  <c r="C5961" i="1"/>
  <c r="A5962" i="1"/>
  <c r="C5962" i="1"/>
  <c r="A5963" i="1"/>
  <c r="C5963" i="1"/>
  <c r="A5964" i="1"/>
  <c r="C5964" i="1"/>
  <c r="A5965" i="1"/>
  <c r="C5965" i="1"/>
  <c r="A5966" i="1"/>
  <c r="C5966" i="1"/>
  <c r="A5967" i="1"/>
  <c r="C5967" i="1"/>
  <c r="A5968" i="1"/>
  <c r="C5968" i="1"/>
  <c r="A5969" i="1"/>
  <c r="C5969" i="1"/>
  <c r="A5970" i="1"/>
  <c r="C5970" i="1"/>
  <c r="A5971" i="1"/>
  <c r="C5971" i="1"/>
  <c r="A5972" i="1"/>
  <c r="C5972" i="1"/>
  <c r="A5973" i="1"/>
  <c r="C5973" i="1"/>
  <c r="A5974" i="1"/>
  <c r="C5974" i="1"/>
  <c r="A5975" i="1"/>
  <c r="C5975" i="1"/>
  <c r="A5976" i="1"/>
  <c r="C5976" i="1"/>
  <c r="A5977" i="1"/>
  <c r="C5977" i="1"/>
  <c r="A5978" i="1"/>
  <c r="C5978" i="1"/>
  <c r="A5979" i="1"/>
  <c r="C5979" i="1"/>
  <c r="A5980" i="1"/>
  <c r="C5980" i="1"/>
  <c r="A5981" i="1"/>
  <c r="C5981" i="1"/>
  <c r="A5982" i="1"/>
  <c r="C5982" i="1"/>
  <c r="A5983" i="1"/>
  <c r="C5983" i="1"/>
  <c r="A5984" i="1"/>
  <c r="C5984" i="1"/>
  <c r="A5985" i="1"/>
  <c r="C5985" i="1"/>
  <c r="A5986" i="1"/>
  <c r="C5986" i="1"/>
  <c r="A5987" i="1"/>
  <c r="C5987" i="1"/>
  <c r="A5988" i="1"/>
  <c r="C5988" i="1"/>
  <c r="A5989" i="1"/>
  <c r="C5989" i="1"/>
  <c r="A5990" i="1"/>
  <c r="C5990" i="1"/>
  <c r="A5991" i="1"/>
  <c r="C5991" i="1"/>
  <c r="A5992" i="1"/>
  <c r="C5992" i="1"/>
  <c r="A5993" i="1"/>
  <c r="C5993" i="1"/>
  <c r="A5994" i="1"/>
  <c r="C5994" i="1"/>
  <c r="A5995" i="1"/>
  <c r="C5995" i="1"/>
  <c r="A5996" i="1"/>
  <c r="C5996" i="1"/>
  <c r="A5997" i="1"/>
  <c r="C5997" i="1"/>
  <c r="A5998" i="1"/>
  <c r="C5998" i="1"/>
  <c r="A5999" i="1"/>
  <c r="C5999" i="1"/>
  <c r="A6000" i="1"/>
  <c r="C6000" i="1"/>
  <c r="A6001" i="1"/>
  <c r="C6001" i="1"/>
  <c r="A6002" i="1"/>
  <c r="C6002" i="1"/>
  <c r="A6003" i="1"/>
  <c r="C6003" i="1"/>
  <c r="A6004" i="1"/>
  <c r="C6004" i="1"/>
  <c r="A6005" i="1"/>
  <c r="C6005" i="1"/>
  <c r="A6006" i="1"/>
  <c r="C6006" i="1"/>
  <c r="A6007" i="1"/>
  <c r="C6007" i="1"/>
  <c r="A6008" i="1"/>
  <c r="C6008" i="1"/>
  <c r="A6009" i="1"/>
  <c r="C6009" i="1"/>
  <c r="A6010" i="1"/>
  <c r="C6010" i="1"/>
  <c r="A6011" i="1"/>
  <c r="C6011" i="1"/>
  <c r="A6012" i="1"/>
  <c r="C6012" i="1"/>
  <c r="A6013" i="1"/>
  <c r="C6013" i="1"/>
  <c r="A6014" i="1"/>
  <c r="C6014" i="1"/>
  <c r="A6015" i="1"/>
  <c r="C6015" i="1"/>
  <c r="A6016" i="1"/>
  <c r="C6016" i="1"/>
  <c r="A6017" i="1"/>
  <c r="C6017" i="1"/>
  <c r="A6018" i="1"/>
  <c r="C6018" i="1"/>
  <c r="A6019" i="1"/>
  <c r="C6019" i="1"/>
  <c r="A6020" i="1"/>
  <c r="C6020" i="1"/>
  <c r="A6021" i="1"/>
  <c r="C6021" i="1"/>
  <c r="A6022" i="1"/>
  <c r="C6022" i="1"/>
  <c r="A6023" i="1"/>
  <c r="C6023" i="1"/>
  <c r="A6024" i="1"/>
  <c r="C6024" i="1"/>
  <c r="A6025" i="1"/>
  <c r="C6025" i="1"/>
  <c r="A6026" i="1"/>
  <c r="C6026" i="1"/>
  <c r="A6027" i="1"/>
  <c r="C6027" i="1"/>
  <c r="A6028" i="1"/>
  <c r="C6028" i="1"/>
  <c r="A6029" i="1"/>
  <c r="C6029" i="1"/>
  <c r="A6030" i="1"/>
  <c r="C6030" i="1"/>
  <c r="A6031" i="1"/>
  <c r="C6031" i="1"/>
  <c r="A6032" i="1"/>
  <c r="C6032" i="1"/>
  <c r="A6033" i="1"/>
  <c r="C6033" i="1"/>
  <c r="A6034" i="1"/>
  <c r="C6034" i="1"/>
  <c r="A6035" i="1"/>
  <c r="C6035" i="1"/>
  <c r="A6036" i="1"/>
  <c r="C6036" i="1"/>
  <c r="A6037" i="1"/>
  <c r="C6037" i="1"/>
  <c r="A6038" i="1"/>
  <c r="C6038" i="1"/>
  <c r="A6039" i="1"/>
  <c r="C6039" i="1"/>
  <c r="A6040" i="1"/>
  <c r="C6040" i="1"/>
  <c r="A6041" i="1"/>
  <c r="C6041" i="1"/>
  <c r="A6042" i="1"/>
  <c r="C6042" i="1"/>
  <c r="A6043" i="1"/>
  <c r="C6043" i="1"/>
  <c r="A6044" i="1"/>
  <c r="C6044" i="1"/>
  <c r="A6045" i="1"/>
  <c r="C6045" i="1"/>
  <c r="A6046" i="1"/>
  <c r="C6046" i="1"/>
  <c r="A6047" i="1"/>
  <c r="C6047" i="1"/>
  <c r="A6048" i="1"/>
  <c r="C6048" i="1"/>
  <c r="A6049" i="1"/>
  <c r="C6049" i="1"/>
  <c r="A6050" i="1"/>
  <c r="C6050" i="1"/>
  <c r="A6051" i="1"/>
  <c r="C6051" i="1"/>
  <c r="A6052" i="1"/>
  <c r="C6052" i="1"/>
  <c r="A6053" i="1"/>
  <c r="C6053" i="1"/>
  <c r="A6054" i="1"/>
  <c r="C6054" i="1"/>
  <c r="A6055" i="1"/>
  <c r="C6055" i="1"/>
  <c r="A6056" i="1"/>
  <c r="C6056" i="1"/>
  <c r="A6057" i="1"/>
  <c r="C6057" i="1"/>
  <c r="A6058" i="1"/>
  <c r="C6058" i="1"/>
  <c r="A6059" i="1"/>
  <c r="C6059" i="1"/>
  <c r="A6060" i="1"/>
  <c r="C6060" i="1"/>
  <c r="A6061" i="1"/>
  <c r="C6061" i="1"/>
  <c r="A6062" i="1"/>
  <c r="C6062" i="1"/>
  <c r="A6063" i="1"/>
  <c r="C6063" i="1"/>
  <c r="A6064" i="1"/>
  <c r="C6064" i="1"/>
  <c r="A6065" i="1"/>
  <c r="C6065" i="1"/>
  <c r="A6066" i="1"/>
  <c r="C6066" i="1"/>
  <c r="A6067" i="1"/>
  <c r="C6067" i="1"/>
  <c r="A6068" i="1"/>
  <c r="C6068" i="1"/>
  <c r="A6069" i="1"/>
  <c r="C6069" i="1"/>
  <c r="A6070" i="1"/>
  <c r="C6070" i="1"/>
  <c r="A6071" i="1"/>
  <c r="C6071" i="1"/>
  <c r="A6072" i="1"/>
  <c r="C6072" i="1"/>
  <c r="A6073" i="1"/>
  <c r="C6073" i="1"/>
  <c r="A6074" i="1"/>
  <c r="C6074" i="1"/>
  <c r="A6075" i="1"/>
  <c r="C6075" i="1"/>
  <c r="A6076" i="1"/>
  <c r="C6076" i="1"/>
  <c r="A6077" i="1"/>
  <c r="C6077" i="1"/>
  <c r="A6078" i="1"/>
  <c r="C6078" i="1"/>
  <c r="A6079" i="1"/>
  <c r="C6079" i="1"/>
  <c r="A6080" i="1"/>
  <c r="C6080" i="1"/>
  <c r="A6081" i="1"/>
  <c r="C6081" i="1"/>
  <c r="A6082" i="1"/>
  <c r="C6082" i="1"/>
  <c r="A6083" i="1"/>
  <c r="C6083" i="1"/>
  <c r="A6084" i="1"/>
  <c r="C6084" i="1"/>
  <c r="A6085" i="1"/>
  <c r="C6085" i="1"/>
  <c r="A6086" i="1"/>
  <c r="C6086" i="1"/>
  <c r="A6087" i="1"/>
  <c r="C6087" i="1"/>
  <c r="A6088" i="1"/>
  <c r="C6088" i="1"/>
  <c r="A6089" i="1"/>
  <c r="C6089" i="1"/>
  <c r="A6090" i="1"/>
  <c r="C6090" i="1"/>
  <c r="A6091" i="1"/>
  <c r="C6091" i="1"/>
  <c r="A6092" i="1"/>
  <c r="C6092" i="1"/>
  <c r="A6093" i="1"/>
  <c r="C6093" i="1"/>
  <c r="A6094" i="1"/>
  <c r="C6094" i="1"/>
  <c r="A6095" i="1"/>
  <c r="C6095" i="1"/>
  <c r="A6096" i="1"/>
  <c r="C6096" i="1"/>
  <c r="A6097" i="1"/>
  <c r="C6097" i="1"/>
  <c r="A6098" i="1"/>
  <c r="C6098" i="1"/>
  <c r="A6099" i="1"/>
  <c r="C6099" i="1"/>
  <c r="A6100" i="1"/>
  <c r="C6100" i="1"/>
  <c r="A6101" i="1"/>
  <c r="C6101" i="1"/>
  <c r="A6102" i="1"/>
  <c r="C6102" i="1"/>
  <c r="A6103" i="1"/>
  <c r="C6103" i="1"/>
  <c r="A6104" i="1"/>
  <c r="C6104" i="1"/>
  <c r="A6105" i="1"/>
  <c r="C6105" i="1"/>
  <c r="A6106" i="1"/>
  <c r="C6106" i="1"/>
  <c r="A6107" i="1"/>
  <c r="C6107" i="1"/>
  <c r="A6108" i="1"/>
  <c r="C6108" i="1"/>
  <c r="A6109" i="1"/>
  <c r="C6109" i="1"/>
  <c r="A6110" i="1"/>
  <c r="C6110" i="1"/>
  <c r="A6111" i="1"/>
  <c r="C6111" i="1"/>
  <c r="A6112" i="1"/>
  <c r="C6112" i="1"/>
  <c r="A6113" i="1"/>
  <c r="C6113" i="1"/>
  <c r="A6114" i="1"/>
  <c r="C6114" i="1"/>
  <c r="A6115" i="1"/>
  <c r="C6115" i="1"/>
  <c r="A6116" i="1"/>
  <c r="C6116" i="1"/>
  <c r="A6117" i="1"/>
  <c r="C6117" i="1"/>
  <c r="A6118" i="1"/>
  <c r="C6118" i="1"/>
  <c r="A6119" i="1"/>
  <c r="C6119" i="1"/>
  <c r="A6120" i="1"/>
  <c r="C6120" i="1"/>
  <c r="A6121" i="1"/>
  <c r="C6121" i="1"/>
  <c r="A6122" i="1"/>
  <c r="C6122" i="1"/>
  <c r="A6123" i="1"/>
  <c r="C6123" i="1"/>
  <c r="A6124" i="1"/>
  <c r="C6124" i="1"/>
  <c r="A6125" i="1"/>
  <c r="C6125" i="1"/>
  <c r="A6126" i="1"/>
  <c r="C6126" i="1"/>
  <c r="A6127" i="1"/>
  <c r="C6127" i="1"/>
  <c r="A6128" i="1"/>
  <c r="C6128" i="1"/>
  <c r="A6129" i="1"/>
  <c r="C6129" i="1"/>
  <c r="A6130" i="1"/>
  <c r="C6130" i="1"/>
  <c r="A6131" i="1"/>
  <c r="C6131" i="1"/>
  <c r="A6132" i="1"/>
  <c r="C6132" i="1"/>
  <c r="A6133" i="1"/>
  <c r="C6133" i="1"/>
  <c r="A6134" i="1"/>
  <c r="C6134" i="1"/>
  <c r="A6135" i="1"/>
  <c r="C6135" i="1"/>
  <c r="A6136" i="1"/>
  <c r="C6136" i="1"/>
  <c r="A6137" i="1"/>
  <c r="C6137" i="1"/>
  <c r="A6138" i="1"/>
  <c r="C6138" i="1"/>
  <c r="A6139" i="1"/>
  <c r="C6139" i="1"/>
  <c r="A6140" i="1"/>
  <c r="C6140" i="1"/>
  <c r="A6141" i="1"/>
  <c r="C6141" i="1"/>
  <c r="A6142" i="1"/>
  <c r="C6142" i="1"/>
  <c r="A6143" i="1"/>
  <c r="C6143" i="1"/>
  <c r="A6144" i="1"/>
  <c r="C6144" i="1"/>
  <c r="A6145" i="1"/>
  <c r="C6145" i="1"/>
  <c r="A6146" i="1"/>
  <c r="C6146" i="1"/>
  <c r="A6147" i="1"/>
  <c r="C6147" i="1"/>
  <c r="A6148" i="1"/>
  <c r="C6148" i="1"/>
  <c r="A6149" i="1"/>
  <c r="C6149" i="1"/>
  <c r="A6150" i="1"/>
  <c r="C6150" i="1"/>
  <c r="A6151" i="1"/>
  <c r="C6151" i="1"/>
  <c r="A6152" i="1"/>
  <c r="C6152" i="1"/>
  <c r="A6153" i="1"/>
  <c r="C6153" i="1"/>
  <c r="A6154" i="1"/>
  <c r="C6154" i="1"/>
  <c r="A6155" i="1"/>
  <c r="C6155" i="1"/>
  <c r="A6156" i="1"/>
  <c r="C6156" i="1"/>
  <c r="A6157" i="1"/>
  <c r="C6157" i="1"/>
  <c r="A6158" i="1"/>
  <c r="C6158" i="1"/>
  <c r="A6159" i="1"/>
  <c r="C6159" i="1"/>
  <c r="A6160" i="1"/>
  <c r="C6160" i="1"/>
  <c r="A6161" i="1"/>
  <c r="C6161" i="1"/>
  <c r="A6162" i="1"/>
  <c r="C6162" i="1"/>
  <c r="A6163" i="1"/>
  <c r="C6163" i="1"/>
  <c r="A6164" i="1"/>
  <c r="C6164" i="1"/>
  <c r="A6165" i="1"/>
  <c r="C6165" i="1"/>
  <c r="A6166" i="1"/>
  <c r="C6166" i="1"/>
  <c r="A6167" i="1"/>
  <c r="C6167" i="1"/>
  <c r="A6168" i="1"/>
  <c r="C6168" i="1"/>
  <c r="A6169" i="1"/>
  <c r="C6169" i="1"/>
  <c r="A6170" i="1"/>
  <c r="C6170" i="1"/>
  <c r="A6171" i="1"/>
  <c r="C6171" i="1"/>
  <c r="A6172" i="1"/>
  <c r="C6172" i="1"/>
  <c r="A6173" i="1"/>
  <c r="C6173" i="1"/>
  <c r="A6174" i="1"/>
  <c r="C6174" i="1"/>
  <c r="A6175" i="1"/>
  <c r="C6175" i="1"/>
  <c r="A6176" i="1"/>
  <c r="C6176" i="1"/>
  <c r="A6177" i="1"/>
  <c r="C6177" i="1"/>
  <c r="A6178" i="1"/>
  <c r="C6178" i="1"/>
  <c r="A6179" i="1"/>
  <c r="C6179" i="1"/>
  <c r="A6180" i="1"/>
  <c r="C6180" i="1"/>
  <c r="A6181" i="1"/>
  <c r="C6181" i="1"/>
  <c r="A6182" i="1"/>
  <c r="C6182" i="1"/>
  <c r="A6183" i="1"/>
  <c r="C6183" i="1"/>
  <c r="A6184" i="1"/>
  <c r="C6184" i="1"/>
  <c r="A6185" i="1"/>
  <c r="C6185" i="1"/>
  <c r="A6186" i="1"/>
  <c r="C6186" i="1"/>
  <c r="A6187" i="1"/>
  <c r="C6187" i="1"/>
  <c r="A6188" i="1"/>
  <c r="C6188" i="1"/>
  <c r="A6189" i="1"/>
  <c r="C6189" i="1"/>
  <c r="A6190" i="1"/>
  <c r="C6190" i="1"/>
  <c r="A6191" i="1"/>
  <c r="C6191" i="1"/>
  <c r="A6192" i="1"/>
  <c r="C6192" i="1"/>
  <c r="A6193" i="1"/>
  <c r="C6193" i="1"/>
  <c r="A6194" i="1"/>
  <c r="C6194" i="1"/>
  <c r="A6195" i="1"/>
  <c r="C6195" i="1"/>
  <c r="A6196" i="1"/>
  <c r="C6196" i="1"/>
  <c r="A6197" i="1"/>
  <c r="C6197" i="1"/>
  <c r="A6198" i="1"/>
  <c r="C6198" i="1"/>
  <c r="A6199" i="1"/>
  <c r="C6199" i="1"/>
  <c r="A6200" i="1"/>
  <c r="C6200" i="1"/>
  <c r="A6201" i="1"/>
  <c r="C6201" i="1"/>
  <c r="A6202" i="1"/>
  <c r="C6202" i="1"/>
  <c r="A6203" i="1"/>
  <c r="C6203" i="1"/>
  <c r="A6204" i="1"/>
  <c r="C6204" i="1"/>
  <c r="A6205" i="1"/>
  <c r="C6205" i="1"/>
  <c r="A6206" i="1"/>
  <c r="C6206" i="1"/>
  <c r="A6207" i="1"/>
  <c r="C6207" i="1"/>
  <c r="A6208" i="1"/>
  <c r="C6208" i="1"/>
  <c r="A6209" i="1"/>
  <c r="C6209" i="1"/>
  <c r="A6210" i="1"/>
  <c r="C6210" i="1"/>
  <c r="A6211" i="1"/>
  <c r="C6211" i="1"/>
  <c r="A6212" i="1"/>
  <c r="C6212" i="1"/>
  <c r="A6213" i="1"/>
  <c r="C6213" i="1"/>
  <c r="A6214" i="1"/>
  <c r="C6214" i="1"/>
  <c r="A6215" i="1"/>
  <c r="C6215" i="1"/>
  <c r="A6216" i="1"/>
  <c r="C6216" i="1"/>
  <c r="A6217" i="1"/>
  <c r="C6217" i="1"/>
  <c r="A6218" i="1"/>
  <c r="C6218" i="1"/>
  <c r="A6219" i="1"/>
  <c r="C6219" i="1"/>
  <c r="A6220" i="1"/>
  <c r="C6220" i="1"/>
  <c r="A6221" i="1"/>
  <c r="C6221" i="1"/>
  <c r="A6222" i="1"/>
  <c r="C6222" i="1"/>
  <c r="A6223" i="1"/>
  <c r="C6223" i="1"/>
  <c r="A6224" i="1"/>
  <c r="C6224" i="1"/>
  <c r="A6225" i="1"/>
  <c r="C6225" i="1"/>
  <c r="A6226" i="1"/>
  <c r="C6226" i="1"/>
  <c r="A6227" i="1"/>
  <c r="C6227" i="1"/>
  <c r="A6228" i="1"/>
  <c r="C6228" i="1"/>
  <c r="A6229" i="1"/>
  <c r="C6229" i="1"/>
  <c r="A6230" i="1"/>
  <c r="C6230" i="1"/>
  <c r="A6231" i="1"/>
  <c r="C6231" i="1"/>
  <c r="A6232" i="1"/>
  <c r="C6232" i="1"/>
  <c r="A6233" i="1"/>
  <c r="C6233" i="1"/>
  <c r="A6234" i="1"/>
  <c r="C6234" i="1"/>
  <c r="A6235" i="1"/>
  <c r="C6235" i="1"/>
  <c r="A6236" i="1"/>
  <c r="C6236" i="1"/>
  <c r="A6237" i="1"/>
  <c r="C6237" i="1"/>
  <c r="A6238" i="1"/>
  <c r="C6238" i="1"/>
  <c r="A6239" i="1"/>
  <c r="C6239" i="1"/>
  <c r="A6240" i="1"/>
  <c r="C6240" i="1"/>
  <c r="A6241" i="1"/>
  <c r="C6241" i="1"/>
  <c r="A6242" i="1"/>
  <c r="C6242" i="1"/>
  <c r="A6243" i="1"/>
  <c r="C6243" i="1"/>
  <c r="A6244" i="1"/>
  <c r="C6244" i="1"/>
  <c r="A6245" i="1"/>
  <c r="C6245" i="1"/>
  <c r="A6246" i="1"/>
  <c r="C6246" i="1"/>
  <c r="A6247" i="1"/>
  <c r="C6247" i="1"/>
  <c r="A6248" i="1"/>
  <c r="C6248" i="1"/>
  <c r="A6249" i="1"/>
  <c r="C6249" i="1"/>
  <c r="A6250" i="1"/>
  <c r="C6250" i="1"/>
  <c r="A6251" i="1"/>
  <c r="C6251" i="1"/>
  <c r="A6252" i="1"/>
  <c r="C6252" i="1"/>
  <c r="A6253" i="1"/>
  <c r="C6253" i="1"/>
  <c r="A6254" i="1"/>
  <c r="C6254" i="1"/>
  <c r="A6255" i="1"/>
  <c r="C6255" i="1"/>
  <c r="A6256" i="1"/>
  <c r="C6256" i="1"/>
  <c r="A6257" i="1"/>
  <c r="C6257" i="1"/>
  <c r="A6258" i="1"/>
  <c r="C6258" i="1"/>
  <c r="A6259" i="1"/>
  <c r="C6259" i="1"/>
  <c r="A6260" i="1"/>
  <c r="C6260" i="1"/>
  <c r="A6261" i="1"/>
  <c r="C6261" i="1"/>
  <c r="A6262" i="1"/>
  <c r="C6262" i="1"/>
  <c r="A6263" i="1"/>
  <c r="C6263" i="1"/>
  <c r="A6264" i="1"/>
  <c r="C6264" i="1"/>
  <c r="A6265" i="1"/>
  <c r="C6265" i="1"/>
  <c r="A6266" i="1"/>
  <c r="C6266" i="1"/>
  <c r="A6267" i="1"/>
  <c r="C6267" i="1"/>
  <c r="A6268" i="1"/>
  <c r="C6268" i="1"/>
  <c r="A6269" i="1"/>
  <c r="C6269" i="1"/>
  <c r="A6270" i="1"/>
  <c r="C6270" i="1"/>
  <c r="A6271" i="1"/>
  <c r="C6271" i="1"/>
  <c r="A6272" i="1"/>
  <c r="C6272" i="1"/>
  <c r="A6273" i="1"/>
  <c r="C6273" i="1"/>
  <c r="A6274" i="1"/>
  <c r="C6274" i="1"/>
  <c r="A6275" i="1"/>
  <c r="C6275" i="1"/>
  <c r="A6276" i="1"/>
  <c r="C6276" i="1"/>
  <c r="A6277" i="1"/>
  <c r="C6277" i="1"/>
  <c r="A6278" i="1"/>
  <c r="C6278" i="1"/>
  <c r="A6279" i="1"/>
  <c r="C6279" i="1"/>
  <c r="A6280" i="1"/>
  <c r="C6280" i="1"/>
  <c r="A6281" i="1"/>
  <c r="C6281" i="1"/>
  <c r="A6282" i="1"/>
  <c r="C6282" i="1"/>
  <c r="A6283" i="1"/>
  <c r="C6283" i="1"/>
  <c r="A6284" i="1"/>
  <c r="C6284" i="1"/>
  <c r="A6285" i="1"/>
  <c r="C6285" i="1"/>
  <c r="A6286" i="1"/>
  <c r="C6286" i="1"/>
  <c r="A6287" i="1"/>
  <c r="C6287" i="1"/>
  <c r="A6288" i="1"/>
  <c r="C6288" i="1"/>
  <c r="A6289" i="1"/>
  <c r="C6289" i="1"/>
  <c r="A6290" i="1"/>
  <c r="C6290" i="1"/>
  <c r="A6291" i="1"/>
  <c r="C6291" i="1"/>
  <c r="A6292" i="1"/>
  <c r="C6292" i="1"/>
  <c r="A6293" i="1"/>
  <c r="C6293" i="1"/>
  <c r="A6294" i="1"/>
  <c r="C6294" i="1"/>
  <c r="A6295" i="1"/>
  <c r="C6295" i="1"/>
  <c r="A6296" i="1"/>
  <c r="C6296" i="1"/>
  <c r="A6297" i="1"/>
  <c r="C6297" i="1"/>
  <c r="A6298" i="1"/>
  <c r="C6298" i="1"/>
  <c r="A6299" i="1"/>
  <c r="C6299" i="1"/>
  <c r="A6300" i="1"/>
  <c r="C6300" i="1"/>
  <c r="A6301" i="1"/>
  <c r="C6301" i="1"/>
  <c r="A6302" i="1"/>
  <c r="C6302" i="1"/>
  <c r="A6303" i="1"/>
  <c r="C6303" i="1"/>
  <c r="A6304" i="1"/>
  <c r="C6304" i="1"/>
  <c r="A6305" i="1"/>
  <c r="C6305" i="1"/>
  <c r="A6306" i="1"/>
  <c r="C6306" i="1"/>
  <c r="A6307" i="1"/>
  <c r="C6307" i="1"/>
  <c r="A6308" i="1"/>
  <c r="C6308" i="1"/>
  <c r="A6309" i="1"/>
  <c r="C6309" i="1"/>
  <c r="A6310" i="1"/>
  <c r="C6310" i="1"/>
  <c r="A6311" i="1"/>
  <c r="C6311" i="1"/>
  <c r="A6312" i="1"/>
  <c r="C6312" i="1"/>
  <c r="A6313" i="1"/>
  <c r="C6313" i="1"/>
  <c r="A6314" i="1"/>
  <c r="C6314" i="1"/>
  <c r="A6315" i="1"/>
  <c r="C6315" i="1"/>
  <c r="A6316" i="1"/>
  <c r="C6316" i="1"/>
  <c r="A6317" i="1"/>
  <c r="C6317" i="1"/>
  <c r="A6318" i="1"/>
  <c r="C6318" i="1"/>
  <c r="A6319" i="1"/>
  <c r="C6319" i="1"/>
  <c r="A6320" i="1"/>
  <c r="C6320" i="1"/>
  <c r="A6321" i="1"/>
  <c r="C6321" i="1"/>
  <c r="A6322" i="1"/>
  <c r="C6322" i="1"/>
  <c r="A6323" i="1"/>
  <c r="C6323" i="1"/>
  <c r="A6324" i="1"/>
  <c r="C6324" i="1"/>
  <c r="A6325" i="1"/>
  <c r="C6325" i="1"/>
  <c r="A6326" i="1"/>
  <c r="C6326" i="1"/>
  <c r="A6327" i="1"/>
  <c r="C6327" i="1"/>
  <c r="A6328" i="1"/>
  <c r="C6328" i="1"/>
  <c r="A6329" i="1"/>
  <c r="C6329" i="1"/>
  <c r="A6330" i="1"/>
  <c r="C6330" i="1"/>
  <c r="A6331" i="1"/>
  <c r="C6331" i="1"/>
  <c r="A6332" i="1"/>
  <c r="C6332" i="1"/>
  <c r="A6333" i="1"/>
  <c r="C6333" i="1"/>
  <c r="A6334" i="1"/>
  <c r="C6334" i="1"/>
  <c r="A6335" i="1"/>
  <c r="C6335" i="1"/>
  <c r="A6336" i="1"/>
  <c r="C6336" i="1"/>
  <c r="A6337" i="1"/>
  <c r="C6337" i="1"/>
  <c r="A6338" i="1"/>
  <c r="C6338" i="1"/>
  <c r="A6339" i="1"/>
  <c r="C6339" i="1"/>
  <c r="A6340" i="1"/>
  <c r="C6340" i="1"/>
  <c r="A6341" i="1"/>
  <c r="C6341" i="1"/>
  <c r="A6342" i="1"/>
  <c r="C6342" i="1"/>
  <c r="A6343" i="1"/>
  <c r="C6343" i="1"/>
  <c r="A6344" i="1"/>
  <c r="C6344" i="1"/>
  <c r="A6345" i="1"/>
  <c r="C6345" i="1"/>
  <c r="A6346" i="1"/>
  <c r="C6346" i="1"/>
  <c r="A6347" i="1"/>
  <c r="C6347" i="1"/>
  <c r="A6348" i="1"/>
  <c r="C6348" i="1"/>
  <c r="A6349" i="1"/>
  <c r="C6349" i="1"/>
  <c r="A6350" i="1"/>
  <c r="C6350" i="1"/>
  <c r="A6351" i="1"/>
  <c r="C6351" i="1"/>
  <c r="A6352" i="1"/>
  <c r="C6352" i="1"/>
  <c r="A6353" i="1"/>
  <c r="C6353" i="1"/>
  <c r="A6354" i="1"/>
  <c r="C6354" i="1"/>
  <c r="A6355" i="1"/>
  <c r="C6355" i="1"/>
  <c r="A6356" i="1"/>
  <c r="C6356" i="1"/>
  <c r="A6357" i="1"/>
  <c r="C6357" i="1"/>
  <c r="A6358" i="1"/>
  <c r="C6358" i="1"/>
  <c r="A6359" i="1"/>
  <c r="C6359" i="1"/>
  <c r="A6360" i="1"/>
  <c r="C6360" i="1"/>
  <c r="A6361" i="1"/>
  <c r="C6361" i="1"/>
  <c r="A6362" i="1"/>
  <c r="C6362" i="1"/>
  <c r="A6363" i="1"/>
  <c r="C6363" i="1"/>
  <c r="A6364" i="1"/>
  <c r="C6364" i="1"/>
  <c r="A6365" i="1"/>
  <c r="C6365" i="1"/>
  <c r="A6366" i="1"/>
  <c r="C6366" i="1"/>
  <c r="A6367" i="1"/>
  <c r="C6367" i="1"/>
  <c r="A6368" i="1"/>
  <c r="C6368" i="1"/>
  <c r="A6369" i="1"/>
  <c r="C6369" i="1"/>
  <c r="A6370" i="1"/>
  <c r="C6370" i="1"/>
  <c r="A6371" i="1"/>
  <c r="C6371" i="1"/>
  <c r="A6372" i="1"/>
  <c r="C6372" i="1"/>
  <c r="A6373" i="1"/>
  <c r="C6373" i="1"/>
  <c r="A6374" i="1"/>
  <c r="C6374" i="1"/>
  <c r="A6375" i="1"/>
  <c r="C6375" i="1"/>
  <c r="A6376" i="1"/>
  <c r="C6376" i="1"/>
  <c r="A6377" i="1"/>
  <c r="C6377" i="1"/>
  <c r="A6378" i="1"/>
  <c r="C6378" i="1"/>
  <c r="A6379" i="1"/>
  <c r="C6379" i="1"/>
  <c r="A6380" i="1"/>
  <c r="C6380" i="1"/>
  <c r="A6381" i="1"/>
  <c r="C6381" i="1"/>
  <c r="A6382" i="1"/>
  <c r="C6382" i="1"/>
  <c r="A6383" i="1"/>
  <c r="C6383" i="1"/>
  <c r="A6384" i="1"/>
  <c r="C6384" i="1"/>
  <c r="A6385" i="1"/>
  <c r="C6385" i="1"/>
  <c r="A6386" i="1"/>
  <c r="C6386" i="1"/>
  <c r="A6387" i="1"/>
  <c r="C6387" i="1"/>
  <c r="A6388" i="1"/>
  <c r="C6388" i="1"/>
  <c r="A6389" i="1"/>
  <c r="C6389" i="1"/>
  <c r="A6390" i="1"/>
  <c r="C6390" i="1"/>
  <c r="A6391" i="1"/>
  <c r="C6391" i="1"/>
  <c r="A6392" i="1"/>
  <c r="C6392" i="1"/>
  <c r="A6393" i="1"/>
  <c r="C6393" i="1"/>
  <c r="A6394" i="1"/>
  <c r="C6394" i="1"/>
  <c r="A6395" i="1"/>
  <c r="C6395" i="1"/>
  <c r="A6396" i="1"/>
  <c r="C6396" i="1"/>
  <c r="A6397" i="1"/>
  <c r="C6397" i="1"/>
  <c r="A6398" i="1"/>
  <c r="C6398" i="1"/>
  <c r="A6399" i="1"/>
  <c r="C6399" i="1"/>
  <c r="A6400" i="1"/>
  <c r="C6400" i="1"/>
  <c r="A6401" i="1"/>
  <c r="C6401" i="1"/>
  <c r="A6402" i="1"/>
  <c r="C6402" i="1"/>
  <c r="A6403" i="1"/>
  <c r="C6403" i="1"/>
  <c r="A6404" i="1"/>
  <c r="C6404" i="1"/>
  <c r="A6405" i="1"/>
  <c r="C6405" i="1"/>
  <c r="A6406" i="1"/>
  <c r="C6406" i="1"/>
  <c r="A6407" i="1"/>
  <c r="C6407" i="1"/>
  <c r="A6408" i="1"/>
  <c r="C6408" i="1"/>
  <c r="A6409" i="1"/>
  <c r="C6409" i="1"/>
  <c r="A6410" i="1"/>
  <c r="C6410" i="1"/>
  <c r="A6411" i="1"/>
  <c r="C6411" i="1"/>
  <c r="A6412" i="1"/>
  <c r="C6412" i="1"/>
  <c r="A6413" i="1"/>
  <c r="C6413" i="1"/>
  <c r="A6414" i="1"/>
  <c r="C6414" i="1"/>
  <c r="A6415" i="1"/>
  <c r="C6415" i="1"/>
  <c r="A6416" i="1"/>
  <c r="C6416" i="1"/>
  <c r="A6417" i="1"/>
  <c r="C6417" i="1"/>
  <c r="A6418" i="1"/>
  <c r="C6418" i="1"/>
  <c r="A6419" i="1"/>
  <c r="C6419" i="1"/>
  <c r="A6420" i="1"/>
  <c r="C6420" i="1"/>
  <c r="A6421" i="1"/>
  <c r="C6421" i="1"/>
  <c r="A6422" i="1"/>
  <c r="C6422" i="1"/>
  <c r="A6423" i="1"/>
  <c r="C6423" i="1"/>
  <c r="A6424" i="1"/>
  <c r="C6424" i="1"/>
  <c r="A6425" i="1"/>
  <c r="C6425" i="1"/>
  <c r="A6426" i="1"/>
  <c r="C6426" i="1"/>
  <c r="A6427" i="1"/>
  <c r="C6427" i="1"/>
  <c r="A6428" i="1"/>
  <c r="C6428" i="1"/>
  <c r="A6429" i="1"/>
  <c r="C6429" i="1"/>
  <c r="A6430" i="1"/>
  <c r="C6430" i="1"/>
  <c r="A6431" i="1"/>
  <c r="C6431" i="1"/>
  <c r="A6432" i="1"/>
  <c r="C6432" i="1"/>
  <c r="A6433" i="1"/>
  <c r="C6433" i="1"/>
  <c r="A6434" i="1"/>
  <c r="C6434" i="1"/>
  <c r="A6435" i="1"/>
  <c r="C6435" i="1"/>
  <c r="A6436" i="1"/>
  <c r="C6436" i="1"/>
  <c r="A6437" i="1"/>
  <c r="C6437" i="1"/>
  <c r="A6438" i="1"/>
  <c r="C6438" i="1"/>
  <c r="A6439" i="1"/>
  <c r="C6439" i="1"/>
  <c r="A6440" i="1"/>
  <c r="C6440" i="1"/>
  <c r="A6441" i="1"/>
  <c r="C6441" i="1"/>
  <c r="A6442" i="1"/>
  <c r="C6442" i="1"/>
  <c r="A6443" i="1"/>
  <c r="C6443" i="1"/>
  <c r="A6444" i="1"/>
  <c r="C6444" i="1"/>
  <c r="A6445" i="1"/>
  <c r="C6445" i="1"/>
  <c r="A6446" i="1"/>
  <c r="C6446" i="1"/>
  <c r="A6447" i="1"/>
  <c r="C6447" i="1"/>
  <c r="A6448" i="1"/>
  <c r="C6448" i="1"/>
  <c r="A6449" i="1"/>
  <c r="C6449" i="1"/>
  <c r="A6450" i="1"/>
  <c r="C6450" i="1"/>
  <c r="A6451" i="1"/>
  <c r="C6451" i="1"/>
  <c r="A6452" i="1"/>
  <c r="C6452" i="1"/>
  <c r="A6453" i="1"/>
  <c r="C6453" i="1"/>
  <c r="A6454" i="1"/>
  <c r="C6454" i="1"/>
  <c r="A6455" i="1"/>
  <c r="C6455" i="1"/>
  <c r="A6456" i="1"/>
  <c r="C6456" i="1"/>
  <c r="A6457" i="1"/>
  <c r="C6457" i="1"/>
  <c r="A6458" i="1"/>
  <c r="C6458" i="1"/>
  <c r="A6459" i="1"/>
  <c r="C6459" i="1"/>
  <c r="A6460" i="1"/>
  <c r="C6460" i="1"/>
  <c r="A6461" i="1"/>
  <c r="C6461" i="1"/>
  <c r="A6462" i="1"/>
  <c r="C6462" i="1"/>
  <c r="A6463" i="1"/>
  <c r="C6463" i="1"/>
  <c r="A6464" i="1"/>
  <c r="C6464" i="1"/>
  <c r="A6465" i="1"/>
  <c r="C6465" i="1"/>
  <c r="A6466" i="1"/>
  <c r="C6466" i="1"/>
  <c r="A6467" i="1"/>
  <c r="C6467" i="1"/>
  <c r="A6468" i="1"/>
  <c r="C6468" i="1"/>
  <c r="A6469" i="1"/>
  <c r="C6469" i="1"/>
  <c r="A6470" i="1"/>
  <c r="C6470" i="1"/>
  <c r="A6471" i="1"/>
  <c r="C6471" i="1"/>
  <c r="A6472" i="1"/>
  <c r="C6472" i="1"/>
  <c r="A6473" i="1"/>
  <c r="C6473" i="1"/>
  <c r="A6474" i="1"/>
  <c r="C6474" i="1"/>
  <c r="A6475" i="1"/>
  <c r="C6475" i="1"/>
  <c r="A6476" i="1"/>
  <c r="C6476" i="1"/>
  <c r="A6477" i="1"/>
  <c r="C6477" i="1"/>
  <c r="A6478" i="1"/>
  <c r="C6478" i="1"/>
  <c r="A6479" i="1"/>
  <c r="C6479" i="1"/>
  <c r="A6480" i="1"/>
  <c r="C6480" i="1"/>
  <c r="A6481" i="1"/>
  <c r="C6481" i="1"/>
  <c r="A6482" i="1"/>
  <c r="C6482" i="1"/>
  <c r="A6483" i="1"/>
  <c r="C6483" i="1"/>
  <c r="A6484" i="1"/>
  <c r="C6484" i="1"/>
  <c r="A6485" i="1"/>
  <c r="C6485" i="1"/>
  <c r="A6486" i="1"/>
  <c r="C6486" i="1"/>
  <c r="A6487" i="1"/>
  <c r="C6487" i="1"/>
  <c r="A6488" i="1"/>
  <c r="C6488" i="1"/>
  <c r="A6489" i="1"/>
  <c r="C6489" i="1"/>
  <c r="A6490" i="1"/>
  <c r="C6490" i="1"/>
  <c r="A6491" i="1"/>
  <c r="C6491" i="1"/>
  <c r="A6492" i="1"/>
  <c r="C6492" i="1"/>
  <c r="A6493" i="1"/>
  <c r="C6493" i="1"/>
  <c r="A6494" i="1"/>
  <c r="C6494" i="1"/>
  <c r="A6495" i="1"/>
  <c r="C6495" i="1"/>
  <c r="A6496" i="1"/>
  <c r="C6496" i="1"/>
  <c r="A6497" i="1"/>
  <c r="C6497" i="1"/>
  <c r="A6498" i="1"/>
  <c r="C6498" i="1"/>
  <c r="A6499" i="1"/>
  <c r="C6499" i="1"/>
  <c r="A6500" i="1"/>
  <c r="C6500" i="1"/>
  <c r="A6501" i="1"/>
  <c r="C6501" i="1"/>
  <c r="A6502" i="1"/>
  <c r="C6502" i="1"/>
  <c r="A6503" i="1"/>
  <c r="C6503" i="1"/>
  <c r="A6504" i="1"/>
  <c r="C6504" i="1"/>
  <c r="A6505" i="1"/>
  <c r="C6505" i="1"/>
  <c r="A6506" i="1"/>
  <c r="C6506" i="1"/>
  <c r="A6507" i="1"/>
  <c r="C6507" i="1"/>
  <c r="A6508" i="1"/>
  <c r="C6508" i="1"/>
  <c r="A6509" i="1"/>
  <c r="C6509" i="1"/>
  <c r="A6510" i="1"/>
  <c r="C6510" i="1"/>
  <c r="A6511" i="1"/>
  <c r="C6511" i="1"/>
  <c r="A6512" i="1"/>
  <c r="C6512" i="1"/>
  <c r="A6513" i="1"/>
  <c r="C6513" i="1"/>
  <c r="A6514" i="1"/>
  <c r="C6514" i="1"/>
  <c r="A6515" i="1"/>
  <c r="C6515" i="1"/>
  <c r="A6516" i="1"/>
  <c r="C6516" i="1"/>
  <c r="A6517" i="1"/>
  <c r="C6517" i="1"/>
  <c r="A6518" i="1"/>
  <c r="C6518" i="1"/>
  <c r="A6519" i="1"/>
  <c r="C6519" i="1"/>
  <c r="A6520" i="1"/>
  <c r="C6520" i="1"/>
  <c r="A6521" i="1"/>
  <c r="C6521" i="1"/>
  <c r="A6522" i="1"/>
  <c r="C6522" i="1"/>
  <c r="A6523" i="1"/>
  <c r="C6523" i="1"/>
  <c r="A6524" i="1"/>
  <c r="C6524" i="1"/>
  <c r="A6525" i="1"/>
  <c r="C6525" i="1"/>
  <c r="A6526" i="1"/>
  <c r="C6526" i="1"/>
  <c r="A6527" i="1"/>
  <c r="C6527" i="1"/>
  <c r="A6528" i="1"/>
  <c r="C6528" i="1"/>
  <c r="A6529" i="1"/>
  <c r="C6529" i="1"/>
  <c r="A6530" i="1"/>
  <c r="C6530" i="1"/>
  <c r="A6531" i="1"/>
  <c r="C6531" i="1"/>
  <c r="A6532" i="1"/>
  <c r="C6532" i="1"/>
  <c r="A6533" i="1"/>
  <c r="C6533" i="1"/>
  <c r="A6534" i="1"/>
  <c r="C6534" i="1"/>
  <c r="A6535" i="1"/>
  <c r="C6535" i="1"/>
  <c r="A6536" i="1"/>
  <c r="C6536" i="1"/>
  <c r="A6537" i="1"/>
  <c r="C6537" i="1"/>
  <c r="A6538" i="1"/>
  <c r="C6538" i="1"/>
  <c r="A6539" i="1"/>
  <c r="C6539" i="1"/>
  <c r="A6540" i="1"/>
  <c r="C6540" i="1"/>
  <c r="A6541" i="1"/>
  <c r="C6541" i="1"/>
  <c r="A6542" i="1"/>
  <c r="C6542" i="1"/>
  <c r="A6543" i="1"/>
  <c r="C6543" i="1"/>
  <c r="A6544" i="1"/>
  <c r="C6544" i="1"/>
  <c r="A6545" i="1"/>
  <c r="C6545" i="1"/>
  <c r="A6546" i="1"/>
  <c r="C6546" i="1"/>
  <c r="A6547" i="1"/>
  <c r="C6547" i="1"/>
  <c r="A6548" i="1"/>
  <c r="C6548" i="1"/>
  <c r="A6549" i="1"/>
  <c r="C6549" i="1"/>
  <c r="A6550" i="1"/>
  <c r="C6550" i="1"/>
  <c r="A6551" i="1"/>
  <c r="C6551" i="1"/>
  <c r="A6552" i="1"/>
  <c r="C6552" i="1"/>
  <c r="A6553" i="1"/>
  <c r="C6553" i="1"/>
  <c r="A6554" i="1"/>
  <c r="C6554" i="1"/>
  <c r="A6555" i="1"/>
  <c r="C6555" i="1"/>
  <c r="A6556" i="1"/>
  <c r="C6556" i="1"/>
  <c r="A6557" i="1"/>
  <c r="C6557" i="1"/>
  <c r="A6558" i="1"/>
  <c r="C6558" i="1"/>
  <c r="A6559" i="1"/>
  <c r="C6559" i="1"/>
  <c r="A6560" i="1"/>
  <c r="C6560" i="1"/>
  <c r="A6561" i="1"/>
  <c r="C6561" i="1"/>
  <c r="A6562" i="1"/>
  <c r="C6562" i="1"/>
  <c r="A6563" i="1"/>
  <c r="C6563" i="1"/>
  <c r="A6564" i="1"/>
  <c r="C6564" i="1"/>
  <c r="A6565" i="1"/>
  <c r="C6565" i="1"/>
  <c r="A6566" i="1"/>
  <c r="C6566" i="1"/>
  <c r="A6567" i="1"/>
  <c r="C6567" i="1"/>
  <c r="A6568" i="1"/>
  <c r="C6568" i="1"/>
  <c r="A6569" i="1"/>
  <c r="C6569" i="1"/>
  <c r="A6570" i="1"/>
  <c r="C6570" i="1"/>
  <c r="A6571" i="1"/>
  <c r="C6571" i="1"/>
  <c r="A6572" i="1"/>
  <c r="C6572" i="1"/>
  <c r="A6573" i="1"/>
  <c r="C6573" i="1"/>
  <c r="A6574" i="1"/>
  <c r="C6574" i="1"/>
  <c r="A6575" i="1"/>
  <c r="C6575" i="1"/>
  <c r="A6576" i="1"/>
  <c r="C6576" i="1"/>
  <c r="A6577" i="1"/>
  <c r="C6577" i="1"/>
  <c r="A6578" i="1"/>
  <c r="C6578" i="1"/>
  <c r="A6579" i="1"/>
  <c r="C6579" i="1"/>
  <c r="A6580" i="1"/>
  <c r="C6580" i="1"/>
  <c r="A6581" i="1"/>
  <c r="C6581" i="1"/>
  <c r="A6582" i="1"/>
  <c r="C6582" i="1"/>
  <c r="A6583" i="1"/>
  <c r="C6583" i="1"/>
  <c r="A6584" i="1"/>
  <c r="C6584" i="1"/>
  <c r="A6585" i="1"/>
  <c r="C6585" i="1"/>
  <c r="A6586" i="1"/>
  <c r="C6586" i="1"/>
  <c r="A6587" i="1"/>
  <c r="C6587" i="1"/>
  <c r="A6588" i="1"/>
  <c r="C6588" i="1"/>
  <c r="A6589" i="1"/>
  <c r="C6589" i="1"/>
  <c r="A6590" i="1"/>
  <c r="C6590" i="1"/>
  <c r="A6591" i="1"/>
  <c r="C6591" i="1"/>
  <c r="A6592" i="1"/>
  <c r="C6592" i="1"/>
  <c r="A6593" i="1"/>
  <c r="C6593" i="1"/>
  <c r="A6594" i="1"/>
  <c r="C6594" i="1"/>
  <c r="A6595" i="1"/>
  <c r="C6595" i="1"/>
  <c r="A6596" i="1"/>
  <c r="C6596" i="1"/>
  <c r="A6597" i="1"/>
  <c r="C6597" i="1"/>
  <c r="A6598" i="1"/>
  <c r="C6598" i="1"/>
  <c r="A6599" i="1"/>
  <c r="C6599" i="1"/>
  <c r="A6600" i="1"/>
  <c r="C6600" i="1"/>
  <c r="A6601" i="1"/>
  <c r="C6601" i="1"/>
  <c r="A6602" i="1"/>
  <c r="C6602" i="1"/>
  <c r="A6603" i="1"/>
  <c r="C6603" i="1"/>
  <c r="A6604" i="1"/>
  <c r="C6604" i="1"/>
  <c r="A6605" i="1"/>
  <c r="C6605" i="1"/>
  <c r="A6606" i="1"/>
  <c r="C6606" i="1"/>
  <c r="A6607" i="1"/>
  <c r="C6607" i="1"/>
  <c r="A6608" i="1"/>
  <c r="C6608" i="1"/>
  <c r="A6609" i="1"/>
  <c r="C6609" i="1"/>
  <c r="A6610" i="1"/>
  <c r="C6610" i="1"/>
  <c r="A6611" i="1"/>
  <c r="C6611" i="1"/>
  <c r="A6612" i="1"/>
  <c r="C6612" i="1"/>
  <c r="A6613" i="1"/>
  <c r="C6613" i="1"/>
  <c r="A6614" i="1"/>
  <c r="C6614" i="1"/>
  <c r="A6615" i="1"/>
  <c r="C6615" i="1"/>
  <c r="A6616" i="1"/>
  <c r="C6616" i="1"/>
  <c r="A6617" i="1"/>
  <c r="C6617" i="1"/>
  <c r="A6618" i="1"/>
  <c r="C6618" i="1"/>
  <c r="A6619" i="1"/>
  <c r="C6619" i="1"/>
  <c r="A6620" i="1"/>
  <c r="C6620" i="1"/>
  <c r="A6621" i="1"/>
  <c r="C6621" i="1"/>
  <c r="A6622" i="1"/>
  <c r="C6622" i="1"/>
  <c r="A6623" i="1"/>
  <c r="C6623" i="1"/>
  <c r="A6624" i="1"/>
  <c r="C6624" i="1"/>
  <c r="A6625" i="1"/>
  <c r="C6625" i="1"/>
  <c r="A6626" i="1"/>
  <c r="C6626" i="1"/>
  <c r="A6627" i="1"/>
  <c r="C6627" i="1"/>
  <c r="A6628" i="1"/>
  <c r="C6628" i="1"/>
  <c r="A6629" i="1"/>
  <c r="C6629" i="1"/>
  <c r="A6630" i="1"/>
  <c r="C6630" i="1"/>
  <c r="A6631" i="1"/>
  <c r="C6631" i="1"/>
  <c r="A6632" i="1"/>
  <c r="C6632" i="1"/>
  <c r="A6633" i="1"/>
  <c r="C6633" i="1"/>
  <c r="A6634" i="1"/>
  <c r="C6634" i="1"/>
  <c r="A6635" i="1"/>
  <c r="C6635" i="1"/>
  <c r="A6636" i="1"/>
  <c r="C6636" i="1"/>
  <c r="A6637" i="1"/>
  <c r="C6637" i="1"/>
  <c r="A6638" i="1"/>
  <c r="C6638" i="1"/>
  <c r="A6639" i="1"/>
  <c r="C6639" i="1"/>
  <c r="A6640" i="1"/>
  <c r="C6640" i="1"/>
  <c r="A6641" i="1"/>
  <c r="C6641" i="1"/>
  <c r="A6642" i="1"/>
  <c r="C6642" i="1"/>
  <c r="A6643" i="1"/>
  <c r="C6643" i="1"/>
  <c r="A6644" i="1"/>
  <c r="C6644" i="1"/>
  <c r="A6645" i="1"/>
  <c r="C6645" i="1"/>
  <c r="A6646" i="1"/>
  <c r="C6646" i="1"/>
  <c r="A6647" i="1"/>
  <c r="C6647" i="1"/>
  <c r="A6648" i="1"/>
  <c r="C6648" i="1"/>
  <c r="A6649" i="1"/>
  <c r="C6649" i="1"/>
  <c r="A6650" i="1"/>
  <c r="C6650" i="1"/>
  <c r="A6651" i="1"/>
  <c r="C6651" i="1"/>
  <c r="A6652" i="1"/>
  <c r="C6652" i="1"/>
  <c r="A6653" i="1"/>
  <c r="C6653" i="1"/>
  <c r="A6654" i="1"/>
  <c r="C6654" i="1"/>
  <c r="A6655" i="1"/>
  <c r="C6655" i="1"/>
  <c r="A6656" i="1"/>
  <c r="C6656" i="1"/>
  <c r="A6657" i="1"/>
  <c r="C6657" i="1"/>
  <c r="A6658" i="1"/>
  <c r="C6658" i="1"/>
  <c r="A6659" i="1"/>
  <c r="C6659" i="1"/>
  <c r="A6660" i="1"/>
  <c r="C6660" i="1"/>
  <c r="A6661" i="1"/>
  <c r="C6661" i="1"/>
  <c r="A6662" i="1"/>
  <c r="C6662" i="1"/>
  <c r="A6663" i="1"/>
  <c r="C6663" i="1"/>
  <c r="A6664" i="1"/>
  <c r="C6664" i="1"/>
  <c r="A6665" i="1"/>
  <c r="C6665" i="1"/>
  <c r="A6666" i="1"/>
  <c r="C6666" i="1"/>
  <c r="A6667" i="1"/>
  <c r="C6667" i="1"/>
  <c r="A6668" i="1"/>
  <c r="C6668" i="1"/>
  <c r="A6669" i="1"/>
  <c r="C6669" i="1"/>
  <c r="A6670" i="1"/>
  <c r="C6670" i="1"/>
  <c r="A6671" i="1"/>
  <c r="C6671" i="1"/>
  <c r="A6672" i="1"/>
  <c r="C6672" i="1"/>
  <c r="A6673" i="1"/>
  <c r="C6673" i="1"/>
  <c r="A6674" i="1"/>
  <c r="C6674" i="1"/>
  <c r="A6675" i="1"/>
  <c r="C6675" i="1"/>
  <c r="A6676" i="1"/>
  <c r="C6676" i="1"/>
  <c r="A6677" i="1"/>
  <c r="C6677" i="1"/>
  <c r="A6678" i="1"/>
  <c r="C6678" i="1"/>
  <c r="A6679" i="1"/>
  <c r="C6679" i="1"/>
  <c r="A6680" i="1"/>
  <c r="C6680" i="1"/>
  <c r="A6681" i="1"/>
  <c r="C6681" i="1"/>
  <c r="A6682" i="1"/>
  <c r="C6682" i="1"/>
  <c r="A6683" i="1"/>
  <c r="C6683" i="1"/>
  <c r="A6684" i="1"/>
  <c r="C6684" i="1"/>
  <c r="A6685" i="1"/>
  <c r="C6685" i="1"/>
  <c r="A6686" i="1"/>
  <c r="C6686" i="1"/>
  <c r="A6687" i="1"/>
  <c r="C6687" i="1"/>
  <c r="A6688" i="1"/>
  <c r="C6688" i="1"/>
  <c r="A6689" i="1"/>
  <c r="C6689" i="1"/>
  <c r="A6690" i="1"/>
  <c r="C6690" i="1"/>
  <c r="A6691" i="1"/>
  <c r="C6691" i="1"/>
  <c r="A6692" i="1"/>
  <c r="C6692" i="1"/>
  <c r="A6693" i="1"/>
  <c r="C6693" i="1"/>
  <c r="A6694" i="1"/>
  <c r="C6694" i="1"/>
  <c r="A6695" i="1"/>
  <c r="C6695" i="1"/>
  <c r="A6696" i="1"/>
  <c r="C6696" i="1"/>
  <c r="A6697" i="1"/>
  <c r="C6697" i="1"/>
  <c r="A6698" i="1"/>
  <c r="C6698" i="1"/>
  <c r="A6699" i="1"/>
  <c r="C6699" i="1"/>
  <c r="A6700" i="1"/>
  <c r="C6700" i="1"/>
  <c r="A6701" i="1"/>
  <c r="C6701" i="1"/>
  <c r="A6702" i="1"/>
  <c r="C6702" i="1"/>
  <c r="A6703" i="1"/>
  <c r="C6703" i="1"/>
  <c r="A6704" i="1"/>
  <c r="C6704" i="1"/>
  <c r="A6705" i="1"/>
  <c r="C6705" i="1"/>
  <c r="A6706" i="1"/>
  <c r="C6706" i="1"/>
  <c r="A6707" i="1"/>
  <c r="C6707" i="1"/>
  <c r="A6708" i="1"/>
  <c r="C6708" i="1"/>
  <c r="A6709" i="1"/>
  <c r="C6709" i="1"/>
  <c r="A6710" i="1"/>
  <c r="C6710" i="1"/>
  <c r="A6711" i="1"/>
  <c r="C6711" i="1"/>
  <c r="A6712" i="1"/>
  <c r="C6712" i="1"/>
  <c r="A6713" i="1"/>
  <c r="C6713" i="1"/>
  <c r="A6714" i="1"/>
  <c r="C6714" i="1"/>
  <c r="A6715" i="1"/>
  <c r="C6715" i="1"/>
  <c r="A6716" i="1"/>
  <c r="C6716" i="1"/>
  <c r="A6717" i="1"/>
  <c r="C6717" i="1"/>
  <c r="A6718" i="1"/>
  <c r="C6718" i="1"/>
  <c r="A6719" i="1"/>
  <c r="C6719" i="1"/>
  <c r="A6720" i="1"/>
  <c r="C6720" i="1"/>
  <c r="A6721" i="1"/>
  <c r="C6721" i="1"/>
  <c r="A6722" i="1"/>
  <c r="C6722" i="1"/>
  <c r="A6723" i="1"/>
  <c r="C6723" i="1"/>
  <c r="A6724" i="1"/>
  <c r="C6724" i="1"/>
  <c r="A6725" i="1"/>
  <c r="C6725" i="1"/>
  <c r="A6726" i="1"/>
  <c r="C6726" i="1"/>
  <c r="A6727" i="1"/>
  <c r="C6727" i="1"/>
  <c r="A6728" i="1"/>
  <c r="C6728" i="1"/>
  <c r="A6729" i="1"/>
  <c r="C6729" i="1"/>
  <c r="A6730" i="1"/>
  <c r="C6730" i="1"/>
  <c r="A6731" i="1"/>
  <c r="C6731" i="1"/>
  <c r="A6732" i="1"/>
  <c r="C6732" i="1"/>
  <c r="A6733" i="1"/>
  <c r="C6733" i="1"/>
  <c r="A6734" i="1"/>
  <c r="C6734" i="1"/>
  <c r="A6735" i="1"/>
  <c r="C6735" i="1"/>
  <c r="A6736" i="1"/>
  <c r="C6736" i="1"/>
  <c r="A6737" i="1"/>
  <c r="C6737" i="1"/>
  <c r="A6738" i="1"/>
  <c r="C6738" i="1"/>
  <c r="A6739" i="1"/>
  <c r="C6739" i="1"/>
  <c r="A6740" i="1"/>
  <c r="C6740" i="1"/>
  <c r="A6741" i="1"/>
  <c r="C6741" i="1"/>
  <c r="A6742" i="1"/>
  <c r="C6742" i="1"/>
  <c r="A6743" i="1"/>
  <c r="C6743" i="1"/>
  <c r="A6744" i="1"/>
  <c r="C6744" i="1"/>
  <c r="A6745" i="1"/>
  <c r="C6745" i="1"/>
  <c r="A6746" i="1"/>
  <c r="C6746" i="1"/>
  <c r="A6747" i="1"/>
  <c r="C6747" i="1"/>
  <c r="A6748" i="1"/>
  <c r="C6748" i="1"/>
  <c r="A6749" i="1"/>
  <c r="C6749" i="1"/>
  <c r="A6750" i="1"/>
  <c r="C6750" i="1"/>
  <c r="A6751" i="1"/>
  <c r="C6751" i="1"/>
  <c r="A6752" i="1"/>
  <c r="C6752" i="1"/>
  <c r="A6753" i="1"/>
  <c r="C6753" i="1"/>
  <c r="A6754" i="1"/>
  <c r="C6754" i="1"/>
  <c r="A6755" i="1"/>
  <c r="C6755" i="1"/>
  <c r="A6756" i="1"/>
  <c r="C6756" i="1"/>
  <c r="A6757" i="1"/>
  <c r="C6757" i="1"/>
  <c r="A6758" i="1"/>
  <c r="C6758" i="1"/>
  <c r="A6759" i="1"/>
  <c r="C6759" i="1"/>
  <c r="A6760" i="1"/>
  <c r="C6760" i="1"/>
  <c r="A6761" i="1"/>
  <c r="C6761" i="1"/>
  <c r="A6762" i="1"/>
  <c r="C6762" i="1"/>
  <c r="A6763" i="1"/>
  <c r="C6763" i="1"/>
  <c r="A6764" i="1"/>
  <c r="C6764" i="1"/>
  <c r="A6765" i="1"/>
  <c r="C6765" i="1"/>
  <c r="A6766" i="1"/>
  <c r="C6766" i="1"/>
  <c r="A6767" i="1"/>
  <c r="C6767" i="1"/>
  <c r="A6768" i="1"/>
  <c r="C6768" i="1"/>
  <c r="A6769" i="1"/>
  <c r="C6769" i="1"/>
  <c r="A6770" i="1"/>
  <c r="C6770" i="1"/>
  <c r="A6771" i="1"/>
  <c r="C6771" i="1"/>
  <c r="A6772" i="1"/>
  <c r="C6772" i="1"/>
  <c r="A6773" i="1"/>
  <c r="C6773" i="1"/>
  <c r="A6774" i="1"/>
  <c r="C6774" i="1"/>
  <c r="A6775" i="1"/>
  <c r="C6775" i="1"/>
  <c r="A6776" i="1"/>
  <c r="C6776" i="1"/>
  <c r="A6777" i="1"/>
  <c r="C6777" i="1"/>
  <c r="A6778" i="1"/>
  <c r="C6778" i="1"/>
  <c r="A6779" i="1"/>
  <c r="C6779" i="1"/>
  <c r="A6780" i="1"/>
  <c r="C6780" i="1"/>
  <c r="A6781" i="1"/>
  <c r="C6781" i="1"/>
  <c r="A6782" i="1"/>
  <c r="C6782" i="1"/>
  <c r="A6783" i="1"/>
  <c r="C6783" i="1"/>
  <c r="A6784" i="1"/>
  <c r="C6784" i="1"/>
  <c r="A6785" i="1"/>
  <c r="C6785" i="1"/>
  <c r="A6786" i="1"/>
  <c r="C6786" i="1"/>
  <c r="A6787" i="1"/>
  <c r="C6787" i="1"/>
  <c r="A6788" i="1"/>
  <c r="C6788" i="1"/>
  <c r="A6789" i="1"/>
  <c r="C6789" i="1"/>
  <c r="A6790" i="1"/>
  <c r="C6790" i="1"/>
  <c r="A6791" i="1"/>
  <c r="C6791" i="1"/>
  <c r="A6792" i="1"/>
  <c r="C6792" i="1"/>
  <c r="A6793" i="1"/>
  <c r="C6793" i="1"/>
  <c r="A6794" i="1"/>
  <c r="C6794" i="1"/>
  <c r="A6795" i="1"/>
  <c r="C6795" i="1"/>
  <c r="A6796" i="1"/>
  <c r="C6796" i="1"/>
  <c r="A6797" i="1"/>
  <c r="C6797" i="1"/>
  <c r="A6798" i="1"/>
  <c r="C6798" i="1"/>
  <c r="A6799" i="1"/>
  <c r="C6799" i="1"/>
  <c r="A6800" i="1"/>
  <c r="C6800" i="1"/>
  <c r="A6801" i="1"/>
  <c r="C6801" i="1"/>
  <c r="A6802" i="1"/>
  <c r="C6802" i="1"/>
  <c r="A6803" i="1"/>
  <c r="C6803" i="1"/>
  <c r="A6804" i="1"/>
  <c r="C6804" i="1"/>
  <c r="A6805" i="1"/>
  <c r="C6805" i="1"/>
  <c r="A6806" i="1"/>
  <c r="C6806" i="1"/>
  <c r="A6807" i="1"/>
  <c r="C6807" i="1"/>
  <c r="A6808" i="1"/>
  <c r="C6808" i="1"/>
  <c r="A6809" i="1"/>
  <c r="C6809" i="1"/>
  <c r="A6810" i="1"/>
  <c r="C6810" i="1"/>
  <c r="A6811" i="1"/>
  <c r="C6811" i="1"/>
  <c r="A6812" i="1"/>
  <c r="C6812" i="1"/>
  <c r="A6813" i="1"/>
  <c r="C6813" i="1"/>
  <c r="A6814" i="1"/>
  <c r="C6814" i="1"/>
  <c r="A6815" i="1"/>
  <c r="C6815" i="1"/>
  <c r="A6816" i="1"/>
  <c r="C6816" i="1"/>
  <c r="A6817" i="1"/>
  <c r="C6817" i="1"/>
  <c r="A6818" i="1"/>
  <c r="C6818" i="1"/>
  <c r="A6819" i="1"/>
  <c r="C6819" i="1"/>
  <c r="A6820" i="1"/>
  <c r="C6820" i="1"/>
  <c r="A6821" i="1"/>
  <c r="C6821" i="1"/>
  <c r="A6822" i="1"/>
  <c r="C6822" i="1"/>
  <c r="A6823" i="1"/>
  <c r="C6823" i="1"/>
  <c r="A6824" i="1"/>
  <c r="C6824" i="1"/>
  <c r="A6825" i="1"/>
  <c r="C6825" i="1"/>
  <c r="A6826" i="1"/>
  <c r="C6826" i="1"/>
  <c r="A6827" i="1"/>
  <c r="C6827" i="1"/>
  <c r="A6828" i="1"/>
  <c r="C6828" i="1"/>
  <c r="A6829" i="1"/>
  <c r="C6829" i="1"/>
  <c r="A6830" i="1"/>
  <c r="C6830" i="1"/>
  <c r="A6831" i="1"/>
  <c r="C6831" i="1"/>
  <c r="A6832" i="1"/>
  <c r="C6832" i="1"/>
  <c r="A6833" i="1"/>
  <c r="C6833" i="1"/>
  <c r="A6834" i="1"/>
  <c r="C6834" i="1"/>
  <c r="A6835" i="1"/>
  <c r="C6835" i="1"/>
  <c r="A6836" i="1"/>
  <c r="C6836" i="1"/>
  <c r="A6837" i="1"/>
  <c r="C6837" i="1"/>
  <c r="A6838" i="1"/>
  <c r="C6838" i="1"/>
  <c r="A6839" i="1"/>
  <c r="C6839" i="1"/>
  <c r="A6840" i="1"/>
  <c r="C6840" i="1"/>
  <c r="A6841" i="1"/>
  <c r="C6841" i="1"/>
  <c r="A6842" i="1"/>
  <c r="C6842" i="1"/>
  <c r="A6843" i="1"/>
  <c r="C6843" i="1"/>
  <c r="A6844" i="1"/>
  <c r="C6844" i="1"/>
  <c r="A6845" i="1"/>
  <c r="C6845" i="1"/>
  <c r="A6846" i="1"/>
  <c r="C6846" i="1"/>
  <c r="A6847" i="1"/>
  <c r="C6847" i="1"/>
  <c r="A6848" i="1"/>
  <c r="C6848" i="1"/>
  <c r="A6849" i="1"/>
  <c r="C6849" i="1"/>
  <c r="A6850" i="1"/>
  <c r="C6850" i="1"/>
  <c r="A6851" i="1"/>
  <c r="C6851" i="1"/>
  <c r="A6852" i="1"/>
  <c r="C6852" i="1"/>
  <c r="A6853" i="1"/>
  <c r="C6853" i="1"/>
  <c r="A6854" i="1"/>
  <c r="C6854" i="1"/>
  <c r="A6855" i="1"/>
  <c r="C6855" i="1"/>
  <c r="A6856" i="1"/>
  <c r="C6856" i="1"/>
  <c r="A6857" i="1"/>
  <c r="C6857" i="1"/>
  <c r="A6858" i="1"/>
  <c r="C6858" i="1"/>
  <c r="A6859" i="1"/>
  <c r="C6859" i="1"/>
  <c r="A6860" i="1"/>
  <c r="C6860" i="1"/>
  <c r="A6861" i="1"/>
  <c r="C6861" i="1"/>
  <c r="A6862" i="1"/>
  <c r="C6862" i="1"/>
  <c r="A6863" i="1"/>
  <c r="C6863" i="1"/>
  <c r="A6864" i="1"/>
  <c r="C6864" i="1"/>
  <c r="A6865" i="1"/>
  <c r="C6865" i="1"/>
  <c r="A6866" i="1"/>
  <c r="C6866" i="1"/>
  <c r="A6867" i="1"/>
  <c r="C6867" i="1"/>
  <c r="A6868" i="1"/>
  <c r="C6868" i="1"/>
  <c r="A6869" i="1"/>
  <c r="C6869" i="1"/>
  <c r="A6870" i="1"/>
  <c r="C6870" i="1"/>
  <c r="A6871" i="1"/>
  <c r="C6871" i="1"/>
  <c r="A6872" i="1"/>
  <c r="C6872" i="1"/>
  <c r="A6873" i="1"/>
  <c r="C6873" i="1"/>
  <c r="A6874" i="1"/>
  <c r="C6874" i="1"/>
  <c r="A6875" i="1"/>
  <c r="C6875" i="1"/>
  <c r="A6876" i="1"/>
  <c r="C6876" i="1"/>
  <c r="A6877" i="1"/>
  <c r="C6877" i="1"/>
  <c r="A6878" i="1"/>
  <c r="C6878" i="1"/>
  <c r="A6879" i="1"/>
  <c r="C6879" i="1"/>
  <c r="A6880" i="1"/>
  <c r="C6880" i="1"/>
  <c r="A6881" i="1"/>
  <c r="C6881" i="1"/>
  <c r="A6882" i="1"/>
  <c r="C6882" i="1"/>
  <c r="A6883" i="1"/>
  <c r="C6883" i="1"/>
  <c r="A6884" i="1"/>
  <c r="C6884" i="1"/>
  <c r="A6885" i="1"/>
  <c r="C6885" i="1"/>
  <c r="A6886" i="1"/>
  <c r="C6886" i="1"/>
  <c r="A6887" i="1"/>
  <c r="C6887" i="1"/>
  <c r="A6888" i="1"/>
  <c r="C6888" i="1"/>
  <c r="A6889" i="1"/>
  <c r="C6889" i="1"/>
  <c r="A6890" i="1"/>
  <c r="C6890" i="1"/>
  <c r="A6891" i="1"/>
  <c r="C6891" i="1"/>
  <c r="A6892" i="1"/>
  <c r="C6892" i="1"/>
  <c r="A6893" i="1"/>
  <c r="C6893" i="1"/>
  <c r="A6894" i="1"/>
  <c r="C6894" i="1"/>
  <c r="A6895" i="1"/>
  <c r="C6895" i="1"/>
  <c r="A6896" i="1"/>
  <c r="C6896" i="1"/>
  <c r="A6897" i="1"/>
  <c r="C6897" i="1"/>
  <c r="A6898" i="1"/>
  <c r="C6898" i="1"/>
  <c r="A6899" i="1"/>
  <c r="C6899" i="1"/>
  <c r="A6900" i="1"/>
  <c r="C6900" i="1"/>
  <c r="A6901" i="1"/>
  <c r="C6901" i="1"/>
  <c r="A6902" i="1"/>
  <c r="C6902" i="1"/>
  <c r="A6903" i="1"/>
  <c r="C6903" i="1"/>
  <c r="A6904" i="1"/>
  <c r="C6904" i="1"/>
  <c r="A6905" i="1"/>
  <c r="C6905" i="1"/>
  <c r="A6906" i="1"/>
  <c r="C6906" i="1"/>
  <c r="A6907" i="1"/>
  <c r="C6907" i="1"/>
  <c r="A6908" i="1"/>
  <c r="C6908" i="1"/>
  <c r="A6909" i="1"/>
  <c r="C6909" i="1"/>
  <c r="A6910" i="1"/>
  <c r="C6910" i="1"/>
  <c r="A6911" i="1"/>
  <c r="C6911" i="1"/>
  <c r="A6912" i="1"/>
  <c r="C6912" i="1"/>
  <c r="A6913" i="1"/>
  <c r="C6913" i="1"/>
  <c r="A6914" i="1"/>
  <c r="C6914" i="1"/>
  <c r="A6915" i="1"/>
  <c r="C6915" i="1"/>
  <c r="A6916" i="1"/>
  <c r="C6916" i="1"/>
  <c r="A6917" i="1"/>
  <c r="C6917" i="1"/>
  <c r="A6918" i="1"/>
  <c r="C6918" i="1"/>
  <c r="A6919" i="1"/>
  <c r="C6919" i="1"/>
  <c r="A6920" i="1"/>
  <c r="C6920" i="1"/>
  <c r="A6921" i="1"/>
  <c r="C6921" i="1"/>
  <c r="A6922" i="1"/>
  <c r="C6922" i="1"/>
  <c r="A6923" i="1"/>
  <c r="C6923" i="1"/>
  <c r="A6924" i="1"/>
  <c r="C6924" i="1"/>
  <c r="A6925" i="1"/>
  <c r="C6925" i="1"/>
  <c r="A6926" i="1"/>
  <c r="C6926" i="1"/>
  <c r="A6927" i="1"/>
  <c r="C6927" i="1"/>
  <c r="A6928" i="1"/>
  <c r="C6928" i="1"/>
  <c r="A6929" i="1"/>
  <c r="C6929" i="1"/>
  <c r="A6930" i="1"/>
  <c r="C6930" i="1"/>
  <c r="A6931" i="1"/>
  <c r="C6931" i="1"/>
  <c r="A6932" i="1"/>
  <c r="C6932" i="1"/>
  <c r="A6933" i="1"/>
  <c r="C6933" i="1"/>
  <c r="A6934" i="1"/>
  <c r="C6934" i="1"/>
  <c r="A6935" i="1"/>
  <c r="C6935" i="1"/>
  <c r="A6936" i="1"/>
  <c r="C6936" i="1"/>
  <c r="A6937" i="1"/>
  <c r="C6937" i="1"/>
  <c r="A6938" i="1"/>
  <c r="C6938" i="1"/>
  <c r="A6939" i="1"/>
  <c r="C6939" i="1"/>
  <c r="A6940" i="1"/>
  <c r="C6940" i="1"/>
  <c r="A6941" i="1"/>
  <c r="C6941" i="1"/>
  <c r="A6942" i="1"/>
  <c r="C6942" i="1"/>
  <c r="A6943" i="1"/>
  <c r="C6943" i="1"/>
  <c r="A6944" i="1"/>
  <c r="C6944" i="1"/>
  <c r="A6945" i="1"/>
  <c r="C6945" i="1"/>
  <c r="A6946" i="1"/>
  <c r="C6946" i="1"/>
  <c r="A6947" i="1"/>
  <c r="C6947" i="1"/>
  <c r="A6948" i="1"/>
  <c r="C6948" i="1"/>
  <c r="A6949" i="1"/>
  <c r="C6949" i="1"/>
  <c r="A6950" i="1"/>
  <c r="C6950" i="1"/>
  <c r="A6951" i="1"/>
  <c r="C6951" i="1"/>
  <c r="A6952" i="1"/>
  <c r="C6952" i="1"/>
  <c r="A6953" i="1"/>
  <c r="C6953" i="1"/>
  <c r="A6954" i="1"/>
  <c r="C6954" i="1"/>
  <c r="A6955" i="1"/>
  <c r="C6955" i="1"/>
  <c r="A6956" i="1"/>
  <c r="C6956" i="1"/>
  <c r="A6957" i="1"/>
  <c r="C6957" i="1"/>
  <c r="A6958" i="1"/>
  <c r="C6958" i="1"/>
  <c r="A6959" i="1"/>
  <c r="C6959" i="1"/>
  <c r="A6960" i="1"/>
  <c r="C6960" i="1"/>
  <c r="A6961" i="1"/>
  <c r="C6961" i="1"/>
  <c r="A6962" i="1"/>
  <c r="C6962" i="1"/>
  <c r="A6963" i="1"/>
  <c r="C6963" i="1"/>
  <c r="A6964" i="1"/>
  <c r="C6964" i="1"/>
  <c r="A6965" i="1"/>
  <c r="C6965" i="1"/>
  <c r="A6966" i="1"/>
  <c r="C6966" i="1"/>
  <c r="A6967" i="1"/>
  <c r="C6967" i="1"/>
  <c r="A6968" i="1"/>
  <c r="C6968" i="1"/>
  <c r="A6969" i="1"/>
  <c r="C6969" i="1"/>
  <c r="A6970" i="1"/>
  <c r="C6970" i="1"/>
  <c r="A6971" i="1"/>
  <c r="C6971" i="1"/>
  <c r="A6972" i="1"/>
  <c r="C6972" i="1"/>
  <c r="A6973" i="1"/>
  <c r="C6973" i="1"/>
  <c r="A6974" i="1"/>
  <c r="C6974" i="1"/>
  <c r="A6975" i="1"/>
  <c r="C6975" i="1"/>
  <c r="A6976" i="1"/>
  <c r="C6976" i="1"/>
  <c r="A6977" i="1"/>
  <c r="C6977" i="1"/>
  <c r="A6978" i="1"/>
  <c r="C6978" i="1"/>
  <c r="A6979" i="1"/>
  <c r="C6979" i="1"/>
  <c r="A6980" i="1"/>
  <c r="C6980" i="1"/>
  <c r="A6981" i="1"/>
  <c r="C6981" i="1"/>
  <c r="A6982" i="1"/>
  <c r="C6982" i="1"/>
  <c r="A6983" i="1"/>
  <c r="C6983" i="1"/>
  <c r="A6984" i="1"/>
  <c r="C6984" i="1"/>
  <c r="A6985" i="1"/>
  <c r="C6985" i="1"/>
  <c r="A6986" i="1"/>
  <c r="C6986" i="1"/>
  <c r="A6987" i="1"/>
  <c r="C6987" i="1"/>
  <c r="A6988" i="1"/>
  <c r="C6988" i="1"/>
  <c r="A6989" i="1"/>
  <c r="C6989" i="1"/>
  <c r="A6990" i="1"/>
  <c r="C6990" i="1"/>
  <c r="A6991" i="1"/>
  <c r="C6991" i="1"/>
  <c r="A6992" i="1"/>
  <c r="C6992" i="1"/>
  <c r="A6993" i="1"/>
  <c r="C6993" i="1"/>
  <c r="A6994" i="1"/>
  <c r="C6994" i="1"/>
  <c r="A6995" i="1"/>
  <c r="C6995" i="1"/>
  <c r="A6996" i="1"/>
  <c r="C6996" i="1"/>
  <c r="A6997" i="1"/>
  <c r="C6997" i="1"/>
  <c r="A6998" i="1"/>
  <c r="C6998" i="1"/>
  <c r="A6999" i="1"/>
  <c r="C6999" i="1"/>
  <c r="A7000" i="1"/>
  <c r="C7000" i="1"/>
  <c r="A7001" i="1"/>
  <c r="C7001" i="1"/>
  <c r="A7002" i="1"/>
  <c r="C7002" i="1"/>
  <c r="A7003" i="1"/>
  <c r="C7003" i="1"/>
  <c r="A7004" i="1"/>
  <c r="C7004" i="1"/>
  <c r="A7005" i="1"/>
  <c r="C7005" i="1"/>
  <c r="A7006" i="1"/>
  <c r="C7006" i="1"/>
  <c r="A7007" i="1"/>
  <c r="C7007" i="1"/>
  <c r="A7008" i="1"/>
  <c r="C7008" i="1"/>
  <c r="A7009" i="1"/>
  <c r="C7009" i="1"/>
  <c r="A7010" i="1"/>
  <c r="C7010" i="1"/>
  <c r="A7011" i="1"/>
  <c r="C7011" i="1"/>
  <c r="A7012" i="1"/>
  <c r="C7012" i="1"/>
  <c r="A7013" i="1"/>
  <c r="C7013" i="1"/>
  <c r="A7014" i="1"/>
  <c r="C7014" i="1"/>
  <c r="A7015" i="1"/>
  <c r="C7015" i="1"/>
  <c r="A7016" i="1"/>
  <c r="C7016" i="1"/>
  <c r="A7017" i="1"/>
  <c r="C7017" i="1"/>
  <c r="A7018" i="1"/>
  <c r="C7018" i="1"/>
  <c r="A7019" i="1"/>
  <c r="C7019" i="1"/>
  <c r="A7020" i="1"/>
  <c r="C7020" i="1"/>
  <c r="A7021" i="1"/>
  <c r="C7021" i="1"/>
  <c r="A7022" i="1"/>
  <c r="C7022" i="1"/>
  <c r="A7023" i="1"/>
  <c r="C7023" i="1"/>
  <c r="A7024" i="1"/>
  <c r="C7024" i="1"/>
  <c r="A7025" i="1"/>
  <c r="C7025" i="1"/>
  <c r="A7026" i="1"/>
  <c r="C7026" i="1"/>
  <c r="A7027" i="1"/>
  <c r="C7027" i="1"/>
  <c r="A7028" i="1"/>
  <c r="C7028" i="1"/>
  <c r="A7029" i="1"/>
  <c r="C7029" i="1"/>
  <c r="A7030" i="1"/>
  <c r="C7030" i="1"/>
  <c r="A7031" i="1"/>
  <c r="C7031" i="1"/>
  <c r="A7032" i="1"/>
  <c r="C7032" i="1"/>
  <c r="A7033" i="1"/>
  <c r="C7033" i="1"/>
  <c r="A7034" i="1"/>
  <c r="C7034" i="1"/>
  <c r="A7035" i="1"/>
  <c r="C7035" i="1"/>
  <c r="A7036" i="1"/>
  <c r="C7036" i="1"/>
  <c r="A7037" i="1"/>
  <c r="C7037" i="1"/>
  <c r="A7038" i="1"/>
  <c r="C7038" i="1"/>
  <c r="A7039" i="1"/>
  <c r="C7039" i="1"/>
  <c r="A7040" i="1"/>
  <c r="C7040" i="1"/>
  <c r="A7041" i="1"/>
  <c r="C7041" i="1"/>
  <c r="A7042" i="1"/>
  <c r="C7042" i="1"/>
  <c r="A7043" i="1"/>
  <c r="C7043" i="1"/>
  <c r="A7044" i="1"/>
  <c r="C7044" i="1"/>
  <c r="A7045" i="1"/>
  <c r="C7045" i="1"/>
  <c r="A7046" i="1"/>
  <c r="C7046" i="1"/>
  <c r="A7047" i="1"/>
  <c r="C7047" i="1"/>
  <c r="A7048" i="1"/>
  <c r="C7048" i="1"/>
  <c r="A7049" i="1"/>
  <c r="C7049" i="1"/>
  <c r="A7050" i="1"/>
  <c r="C7050" i="1"/>
  <c r="A7051" i="1"/>
  <c r="C7051" i="1"/>
  <c r="A7052" i="1"/>
  <c r="C7052" i="1"/>
  <c r="A7053" i="1"/>
  <c r="C7053" i="1"/>
  <c r="A7054" i="1"/>
  <c r="C7054" i="1"/>
  <c r="A7055" i="1"/>
  <c r="C7055" i="1"/>
  <c r="A7056" i="1"/>
  <c r="C7056" i="1"/>
  <c r="A7057" i="1"/>
  <c r="C7057" i="1"/>
  <c r="A7058" i="1"/>
  <c r="C7058" i="1"/>
  <c r="A7059" i="1"/>
  <c r="C7059" i="1"/>
  <c r="A7060" i="1"/>
  <c r="C7060" i="1"/>
  <c r="A7061" i="1"/>
  <c r="C7061" i="1"/>
  <c r="A7062" i="1"/>
  <c r="C7062" i="1"/>
  <c r="A7063" i="1"/>
  <c r="C7063" i="1"/>
  <c r="A7064" i="1"/>
  <c r="C7064" i="1"/>
  <c r="A7065" i="1"/>
  <c r="C7065" i="1"/>
  <c r="A7066" i="1"/>
  <c r="C7066" i="1"/>
  <c r="A7067" i="1"/>
  <c r="C7067" i="1"/>
  <c r="A7068" i="1"/>
  <c r="C7068" i="1"/>
  <c r="A7069" i="1"/>
  <c r="C7069" i="1"/>
  <c r="A7070" i="1"/>
  <c r="C7070" i="1"/>
  <c r="A7071" i="1"/>
  <c r="C7071" i="1"/>
  <c r="A7072" i="1"/>
  <c r="C7072" i="1"/>
  <c r="A7073" i="1"/>
  <c r="C7073" i="1"/>
  <c r="A7074" i="1"/>
  <c r="C7074" i="1"/>
  <c r="A7075" i="1"/>
  <c r="C7075" i="1"/>
  <c r="A7076" i="1"/>
  <c r="C7076" i="1"/>
  <c r="A7077" i="1"/>
  <c r="C7077" i="1"/>
  <c r="A7078" i="1"/>
  <c r="C7078" i="1"/>
  <c r="A7079" i="1"/>
  <c r="C7079" i="1"/>
  <c r="A7080" i="1"/>
  <c r="C7080" i="1"/>
  <c r="A7081" i="1"/>
  <c r="C7081" i="1"/>
  <c r="A7082" i="1"/>
  <c r="C7082" i="1"/>
  <c r="A7083" i="1"/>
  <c r="C7083" i="1"/>
  <c r="A7084" i="1"/>
  <c r="C7084" i="1"/>
  <c r="A7085" i="1"/>
  <c r="C7085" i="1"/>
  <c r="A7086" i="1"/>
  <c r="C7086" i="1"/>
  <c r="A7087" i="1"/>
  <c r="C7087" i="1"/>
  <c r="A7088" i="1"/>
  <c r="C7088" i="1"/>
  <c r="A7089" i="1"/>
  <c r="C7089" i="1"/>
  <c r="A7090" i="1"/>
  <c r="C7090" i="1"/>
  <c r="A7091" i="1"/>
  <c r="C7091" i="1"/>
  <c r="A7092" i="1"/>
  <c r="C7092" i="1"/>
  <c r="A7093" i="1"/>
  <c r="C7093" i="1"/>
  <c r="A7094" i="1"/>
  <c r="C7094" i="1"/>
  <c r="A7095" i="1"/>
  <c r="C7095" i="1"/>
  <c r="A7096" i="1"/>
  <c r="C7096" i="1"/>
  <c r="A7097" i="1"/>
  <c r="C7097" i="1"/>
  <c r="A7098" i="1"/>
  <c r="C7098" i="1"/>
  <c r="A7099" i="1"/>
  <c r="C7099" i="1"/>
  <c r="A7100" i="1"/>
  <c r="C7100" i="1"/>
  <c r="A7101" i="1"/>
  <c r="C7101" i="1"/>
  <c r="A7102" i="1"/>
  <c r="C7102" i="1"/>
  <c r="A7103" i="1"/>
  <c r="C7103" i="1"/>
  <c r="A7104" i="1"/>
  <c r="C7104" i="1"/>
  <c r="A7105" i="1"/>
  <c r="C7105" i="1"/>
  <c r="A7106" i="1"/>
  <c r="C7106" i="1"/>
  <c r="A7107" i="1"/>
  <c r="C7107" i="1"/>
  <c r="A7108" i="1"/>
  <c r="C7108" i="1"/>
  <c r="A7109" i="1"/>
  <c r="C7109" i="1"/>
  <c r="A7110" i="1"/>
  <c r="C7110" i="1"/>
  <c r="A7111" i="1"/>
  <c r="C7111" i="1"/>
  <c r="A7112" i="1"/>
  <c r="C7112" i="1"/>
  <c r="A7113" i="1"/>
  <c r="C7113" i="1"/>
  <c r="A7114" i="1"/>
  <c r="C7114" i="1"/>
  <c r="A7115" i="1"/>
  <c r="C7115" i="1"/>
  <c r="A7116" i="1"/>
  <c r="C7116" i="1"/>
  <c r="A7117" i="1"/>
  <c r="C7117" i="1"/>
  <c r="A7118" i="1"/>
  <c r="C7118" i="1"/>
  <c r="A7119" i="1"/>
  <c r="C7119" i="1"/>
  <c r="A7120" i="1"/>
  <c r="C7120" i="1"/>
  <c r="A7121" i="1"/>
  <c r="C7121" i="1"/>
  <c r="A7122" i="1"/>
  <c r="C7122" i="1"/>
  <c r="A7123" i="1"/>
  <c r="C7123" i="1"/>
  <c r="A7124" i="1"/>
  <c r="C7124" i="1"/>
  <c r="A7125" i="1"/>
  <c r="C7125" i="1"/>
  <c r="A7126" i="1"/>
  <c r="C7126" i="1"/>
  <c r="A7127" i="1"/>
  <c r="C7127" i="1"/>
  <c r="A7128" i="1"/>
  <c r="C7128" i="1"/>
  <c r="A7129" i="1"/>
  <c r="C7129" i="1"/>
  <c r="A7130" i="1"/>
  <c r="C7130" i="1"/>
  <c r="A7131" i="1"/>
  <c r="C7131" i="1"/>
  <c r="A7132" i="1"/>
  <c r="C7132" i="1"/>
  <c r="A7133" i="1"/>
  <c r="C7133" i="1"/>
  <c r="A7134" i="1"/>
  <c r="C7134" i="1"/>
  <c r="A7135" i="1"/>
  <c r="C7135" i="1"/>
  <c r="A7136" i="1"/>
  <c r="C7136" i="1"/>
  <c r="A7137" i="1"/>
  <c r="C7137" i="1"/>
  <c r="A7138" i="1"/>
  <c r="C7138" i="1"/>
  <c r="A7139" i="1"/>
  <c r="C7139" i="1"/>
  <c r="A7140" i="1"/>
  <c r="C7140" i="1"/>
  <c r="A7141" i="1"/>
  <c r="C7141" i="1"/>
  <c r="A7142" i="1"/>
  <c r="C7142" i="1"/>
  <c r="A7143" i="1"/>
  <c r="C7143" i="1"/>
  <c r="A7144" i="1"/>
  <c r="C7144" i="1"/>
  <c r="A7145" i="1"/>
  <c r="C7145" i="1"/>
  <c r="A7146" i="1"/>
  <c r="C7146" i="1"/>
  <c r="A7147" i="1"/>
  <c r="C7147" i="1"/>
  <c r="A7148" i="1"/>
  <c r="C7148" i="1"/>
  <c r="A7149" i="1"/>
  <c r="C7149" i="1"/>
  <c r="A7150" i="1"/>
  <c r="C7150" i="1"/>
  <c r="A7151" i="1"/>
  <c r="C7151" i="1"/>
  <c r="A7152" i="1"/>
  <c r="C7152" i="1"/>
  <c r="A7153" i="1"/>
  <c r="C7153" i="1"/>
  <c r="A7154" i="1"/>
  <c r="C7154" i="1"/>
  <c r="A7155" i="1"/>
  <c r="C7155" i="1"/>
  <c r="A7156" i="1"/>
  <c r="C7156" i="1"/>
  <c r="A7157" i="1"/>
  <c r="C7157" i="1"/>
  <c r="A7158" i="1"/>
  <c r="C7158" i="1"/>
  <c r="A7159" i="1"/>
  <c r="C7159" i="1"/>
  <c r="A7160" i="1"/>
  <c r="C7160" i="1"/>
  <c r="A7161" i="1"/>
  <c r="C7161" i="1"/>
  <c r="A7162" i="1"/>
  <c r="C7162" i="1"/>
  <c r="A7163" i="1"/>
  <c r="C7163" i="1"/>
  <c r="A7164" i="1"/>
  <c r="C7164" i="1"/>
  <c r="A7165" i="1"/>
  <c r="C7165" i="1"/>
  <c r="A7166" i="1"/>
  <c r="C7166" i="1"/>
  <c r="A7167" i="1"/>
  <c r="C7167" i="1"/>
  <c r="A7168" i="1"/>
  <c r="C7168" i="1"/>
  <c r="A7169" i="1"/>
  <c r="C7169" i="1"/>
  <c r="A7170" i="1"/>
  <c r="C7170" i="1"/>
  <c r="A7171" i="1"/>
  <c r="C7171" i="1"/>
  <c r="A7172" i="1"/>
  <c r="C7172" i="1"/>
  <c r="A7173" i="1"/>
  <c r="C7173" i="1"/>
  <c r="A7174" i="1"/>
  <c r="C7174" i="1"/>
  <c r="A7175" i="1"/>
  <c r="C7175" i="1"/>
  <c r="A7176" i="1"/>
  <c r="C7176" i="1"/>
  <c r="A7177" i="1"/>
  <c r="C7177" i="1"/>
  <c r="A7178" i="1"/>
  <c r="C7178" i="1"/>
  <c r="A7179" i="1"/>
  <c r="C7179" i="1"/>
  <c r="A7180" i="1"/>
  <c r="C7180" i="1"/>
  <c r="A7181" i="1"/>
  <c r="C7181" i="1"/>
  <c r="A7182" i="1"/>
  <c r="C7182" i="1"/>
  <c r="A7183" i="1"/>
  <c r="C7183" i="1"/>
  <c r="A7184" i="1"/>
  <c r="C7184" i="1"/>
  <c r="A7185" i="1"/>
  <c r="C7185" i="1"/>
  <c r="A7186" i="1"/>
  <c r="C7186" i="1"/>
  <c r="A7187" i="1"/>
  <c r="C7187" i="1"/>
  <c r="A7188" i="1"/>
  <c r="C7188" i="1"/>
  <c r="A7189" i="1"/>
  <c r="C7189" i="1"/>
  <c r="A7190" i="1"/>
  <c r="C7190" i="1"/>
  <c r="A7191" i="1"/>
  <c r="C7191" i="1"/>
  <c r="A7192" i="1"/>
  <c r="C7192" i="1"/>
  <c r="A7193" i="1"/>
  <c r="C7193" i="1"/>
  <c r="A7194" i="1"/>
  <c r="C7194" i="1"/>
  <c r="A7195" i="1"/>
  <c r="C7195" i="1"/>
  <c r="A7196" i="1"/>
  <c r="C7196" i="1"/>
  <c r="A7197" i="1"/>
  <c r="C7197" i="1"/>
  <c r="A7198" i="1"/>
  <c r="C7198" i="1"/>
  <c r="A7199" i="1"/>
  <c r="C7199" i="1"/>
  <c r="A7200" i="1"/>
  <c r="C7200" i="1"/>
  <c r="A7201" i="1"/>
  <c r="C7201" i="1"/>
  <c r="A7202" i="1"/>
  <c r="C7202" i="1"/>
  <c r="A7203" i="1"/>
  <c r="C7203" i="1"/>
  <c r="A7204" i="1"/>
  <c r="C7204" i="1"/>
  <c r="A7205" i="1"/>
  <c r="C7205" i="1"/>
  <c r="A7206" i="1"/>
  <c r="C7206" i="1"/>
  <c r="A7207" i="1"/>
  <c r="C7207" i="1"/>
  <c r="A7208" i="1"/>
  <c r="C7208" i="1"/>
  <c r="A7209" i="1"/>
  <c r="C7209" i="1"/>
  <c r="A7210" i="1"/>
  <c r="C7210" i="1"/>
  <c r="A7211" i="1"/>
  <c r="C7211" i="1"/>
  <c r="A7212" i="1"/>
  <c r="C7212" i="1"/>
  <c r="A7213" i="1"/>
  <c r="C7213" i="1"/>
  <c r="A7214" i="1"/>
  <c r="C7214" i="1"/>
  <c r="A7215" i="1"/>
  <c r="C7215" i="1"/>
  <c r="A7216" i="1"/>
  <c r="C7216" i="1"/>
  <c r="A7217" i="1"/>
  <c r="C7217" i="1"/>
  <c r="A7218" i="1"/>
  <c r="C7218" i="1"/>
  <c r="A7219" i="1"/>
  <c r="C7219" i="1"/>
  <c r="A7220" i="1"/>
  <c r="C7220" i="1"/>
  <c r="A7221" i="1"/>
  <c r="C7221" i="1"/>
  <c r="A7222" i="1"/>
  <c r="C7222" i="1"/>
  <c r="A7223" i="1"/>
  <c r="C7223" i="1"/>
  <c r="A7224" i="1"/>
  <c r="C7224" i="1"/>
  <c r="A7225" i="1"/>
  <c r="C7225" i="1"/>
  <c r="A7226" i="1"/>
  <c r="C7226" i="1"/>
  <c r="A7227" i="1"/>
  <c r="C7227" i="1"/>
  <c r="A7228" i="1"/>
  <c r="C7228" i="1"/>
  <c r="A7229" i="1"/>
  <c r="C7229" i="1"/>
  <c r="A7230" i="1"/>
  <c r="C7230" i="1"/>
  <c r="A7231" i="1"/>
  <c r="C7231" i="1"/>
  <c r="A7232" i="1"/>
  <c r="C7232" i="1"/>
  <c r="A7233" i="1"/>
  <c r="C7233" i="1"/>
  <c r="A7234" i="1"/>
  <c r="C7234" i="1"/>
  <c r="A7235" i="1"/>
  <c r="C7235" i="1"/>
  <c r="A7236" i="1"/>
  <c r="C7236" i="1"/>
  <c r="A7237" i="1"/>
  <c r="C7237" i="1"/>
  <c r="A7238" i="1"/>
  <c r="C7238" i="1"/>
  <c r="A7239" i="1"/>
  <c r="C7239" i="1"/>
  <c r="A7240" i="1"/>
  <c r="C7240" i="1"/>
  <c r="A7241" i="1"/>
  <c r="C7241" i="1"/>
  <c r="A7242" i="1"/>
  <c r="C7242" i="1"/>
  <c r="A7243" i="1"/>
  <c r="C7243" i="1"/>
  <c r="A7244" i="1"/>
  <c r="C7244" i="1"/>
  <c r="A7245" i="1"/>
  <c r="C7245" i="1"/>
  <c r="A7246" i="1"/>
  <c r="C7246" i="1"/>
  <c r="A7247" i="1"/>
  <c r="C7247" i="1"/>
  <c r="A7248" i="1"/>
  <c r="C7248" i="1"/>
  <c r="A7249" i="1"/>
  <c r="C7249" i="1"/>
  <c r="A7250" i="1"/>
  <c r="C7250" i="1"/>
  <c r="A7251" i="1"/>
  <c r="C7251" i="1"/>
  <c r="A7252" i="1"/>
  <c r="C7252" i="1"/>
  <c r="A7253" i="1"/>
  <c r="C7253" i="1"/>
  <c r="A7254" i="1"/>
  <c r="C7254" i="1"/>
  <c r="A7255" i="1"/>
  <c r="C7255" i="1"/>
  <c r="A7256" i="1"/>
  <c r="C7256" i="1"/>
  <c r="A7257" i="1"/>
  <c r="C7257" i="1"/>
  <c r="A7258" i="1"/>
  <c r="C7258" i="1"/>
  <c r="A7259" i="1"/>
  <c r="C7259" i="1"/>
  <c r="A7260" i="1"/>
  <c r="C7260" i="1"/>
  <c r="A7261" i="1"/>
  <c r="C7261" i="1"/>
  <c r="A7262" i="1"/>
  <c r="C7262" i="1"/>
  <c r="A7263" i="1"/>
  <c r="C7263" i="1"/>
  <c r="A7264" i="1"/>
  <c r="C7264" i="1"/>
  <c r="A7265" i="1"/>
  <c r="C7265" i="1"/>
  <c r="A7266" i="1"/>
  <c r="C7266" i="1"/>
  <c r="A7267" i="1"/>
  <c r="C7267" i="1"/>
  <c r="A7268" i="1"/>
  <c r="C7268" i="1"/>
  <c r="A7269" i="1"/>
  <c r="C7269" i="1"/>
  <c r="A7270" i="1"/>
  <c r="C7270" i="1"/>
  <c r="A7271" i="1"/>
  <c r="C7271" i="1"/>
  <c r="A7272" i="1"/>
  <c r="C7272" i="1"/>
  <c r="A7273" i="1"/>
  <c r="C7273" i="1"/>
  <c r="A7274" i="1"/>
  <c r="C7274" i="1"/>
  <c r="A7275" i="1"/>
  <c r="C7275" i="1"/>
  <c r="A7276" i="1"/>
  <c r="C7276" i="1"/>
  <c r="A7277" i="1"/>
  <c r="C7277" i="1"/>
  <c r="A7278" i="1"/>
  <c r="C7278" i="1"/>
  <c r="A7279" i="1"/>
  <c r="C7279" i="1"/>
  <c r="A7280" i="1"/>
  <c r="C7280" i="1"/>
  <c r="A7281" i="1"/>
  <c r="C7281" i="1"/>
  <c r="A7282" i="1"/>
  <c r="C7282" i="1"/>
  <c r="A7283" i="1"/>
  <c r="C7283" i="1"/>
  <c r="A7284" i="1"/>
  <c r="C7284" i="1"/>
  <c r="A7285" i="1"/>
  <c r="C7285" i="1"/>
  <c r="A7286" i="1"/>
  <c r="C7286" i="1"/>
  <c r="A7287" i="1"/>
  <c r="C7287" i="1"/>
  <c r="A7288" i="1"/>
  <c r="C7288" i="1"/>
  <c r="A7289" i="1"/>
  <c r="C7289" i="1"/>
  <c r="A7290" i="1"/>
  <c r="C7290" i="1"/>
  <c r="A7291" i="1"/>
  <c r="C7291" i="1"/>
  <c r="A7292" i="1"/>
  <c r="C7292" i="1"/>
  <c r="A7293" i="1"/>
  <c r="C7293" i="1"/>
  <c r="A7294" i="1"/>
  <c r="C7294" i="1"/>
  <c r="A7295" i="1"/>
  <c r="C7295" i="1"/>
  <c r="A7296" i="1"/>
  <c r="C7296" i="1"/>
  <c r="A7297" i="1"/>
  <c r="C7297" i="1"/>
  <c r="A7298" i="1"/>
  <c r="C7298" i="1"/>
  <c r="A7299" i="1"/>
  <c r="C7299" i="1"/>
  <c r="A7300" i="1"/>
  <c r="C7300" i="1"/>
  <c r="A7301" i="1"/>
  <c r="C7301" i="1"/>
  <c r="A7302" i="1"/>
  <c r="C7302" i="1"/>
  <c r="A7303" i="1"/>
  <c r="C7303" i="1"/>
  <c r="A7304" i="1"/>
  <c r="C7304" i="1"/>
  <c r="A7305" i="1"/>
  <c r="C7305" i="1"/>
  <c r="A7306" i="1"/>
  <c r="C7306" i="1"/>
  <c r="A7307" i="1"/>
  <c r="C7307" i="1"/>
  <c r="A7308" i="1"/>
  <c r="C7308" i="1"/>
  <c r="A7309" i="1"/>
  <c r="C7309" i="1"/>
  <c r="A7310" i="1"/>
  <c r="C7310" i="1"/>
  <c r="A7311" i="1"/>
  <c r="C7311" i="1"/>
  <c r="A7312" i="1"/>
  <c r="C7312" i="1"/>
  <c r="A7313" i="1"/>
  <c r="C7313" i="1"/>
  <c r="A7314" i="1"/>
  <c r="C7314" i="1"/>
  <c r="A7315" i="1"/>
  <c r="C7315" i="1"/>
  <c r="A7316" i="1"/>
  <c r="C7316" i="1"/>
  <c r="A7317" i="1"/>
  <c r="C7317" i="1"/>
  <c r="A7318" i="1"/>
  <c r="C7318" i="1"/>
  <c r="A7319" i="1"/>
  <c r="C7319" i="1"/>
  <c r="A7320" i="1"/>
  <c r="C7320" i="1"/>
  <c r="A7321" i="1"/>
  <c r="C7321" i="1"/>
  <c r="A7322" i="1"/>
  <c r="C7322" i="1"/>
  <c r="A7323" i="1"/>
  <c r="C7323" i="1"/>
  <c r="A7324" i="1"/>
  <c r="C7324" i="1"/>
  <c r="A7325" i="1"/>
  <c r="C7325" i="1"/>
  <c r="A7326" i="1"/>
  <c r="C7326" i="1"/>
  <c r="A7327" i="1"/>
  <c r="C7327" i="1"/>
  <c r="A7328" i="1"/>
  <c r="C7328" i="1"/>
  <c r="A7329" i="1"/>
  <c r="C7329" i="1"/>
  <c r="A7330" i="1"/>
  <c r="C7330" i="1"/>
  <c r="A7331" i="1"/>
  <c r="C7331" i="1"/>
  <c r="A7332" i="1"/>
  <c r="C7332" i="1"/>
  <c r="A7333" i="1"/>
  <c r="C7333" i="1"/>
  <c r="A7334" i="1"/>
  <c r="C7334" i="1"/>
  <c r="A7335" i="1"/>
  <c r="C7335" i="1"/>
  <c r="A7336" i="1"/>
  <c r="C7336" i="1"/>
  <c r="A7337" i="1"/>
  <c r="C7337" i="1"/>
  <c r="A7338" i="1"/>
  <c r="C7338" i="1"/>
  <c r="A7339" i="1"/>
  <c r="C7339" i="1"/>
  <c r="A7340" i="1"/>
  <c r="C7340" i="1"/>
  <c r="A7341" i="1"/>
  <c r="C7341" i="1"/>
  <c r="A7342" i="1"/>
  <c r="C7342" i="1"/>
  <c r="A7343" i="1"/>
  <c r="C7343" i="1"/>
  <c r="A7344" i="1"/>
  <c r="C7344" i="1"/>
  <c r="A7345" i="1"/>
  <c r="C7345" i="1"/>
  <c r="A7346" i="1"/>
  <c r="C7346" i="1"/>
  <c r="A7347" i="1"/>
  <c r="C7347" i="1"/>
  <c r="A7348" i="1"/>
  <c r="C7348" i="1"/>
  <c r="A7349" i="1"/>
  <c r="C7349" i="1"/>
  <c r="A7350" i="1"/>
  <c r="C7350" i="1"/>
  <c r="A7351" i="1"/>
  <c r="C7351" i="1"/>
  <c r="A7352" i="1"/>
  <c r="C7352" i="1"/>
  <c r="A7353" i="1"/>
  <c r="C7353" i="1"/>
  <c r="A7354" i="1"/>
  <c r="C7354" i="1"/>
  <c r="A7355" i="1"/>
  <c r="C7355" i="1"/>
  <c r="A7356" i="1"/>
  <c r="C7356" i="1"/>
  <c r="A7357" i="1"/>
  <c r="C7357" i="1"/>
  <c r="A7358" i="1"/>
  <c r="C7358" i="1"/>
  <c r="A7359" i="1"/>
  <c r="C7359" i="1"/>
  <c r="A7360" i="1"/>
  <c r="C7360" i="1"/>
  <c r="A7361" i="1"/>
  <c r="C7361" i="1"/>
  <c r="A7362" i="1"/>
  <c r="C7362" i="1"/>
  <c r="A7363" i="1"/>
  <c r="C7363" i="1"/>
  <c r="A7364" i="1"/>
  <c r="C7364" i="1"/>
  <c r="A7365" i="1"/>
  <c r="C7365" i="1"/>
  <c r="A7366" i="1"/>
  <c r="C7366" i="1"/>
  <c r="A7367" i="1"/>
  <c r="C7367" i="1"/>
  <c r="A7368" i="1"/>
  <c r="C7368" i="1"/>
  <c r="A7369" i="1"/>
  <c r="C7369" i="1"/>
  <c r="A7370" i="1"/>
  <c r="C7370" i="1"/>
  <c r="A7371" i="1"/>
  <c r="C7371" i="1"/>
  <c r="A7372" i="1"/>
  <c r="C7372" i="1"/>
  <c r="A7373" i="1"/>
  <c r="C7373" i="1"/>
  <c r="A7374" i="1"/>
  <c r="C7374" i="1"/>
  <c r="A7375" i="1"/>
  <c r="C7375" i="1"/>
  <c r="A7376" i="1"/>
  <c r="C7376" i="1"/>
  <c r="A7377" i="1"/>
  <c r="C7377" i="1"/>
  <c r="A7378" i="1"/>
  <c r="C7378" i="1"/>
  <c r="A7379" i="1"/>
  <c r="C7379" i="1"/>
  <c r="A7380" i="1"/>
  <c r="C7380" i="1"/>
  <c r="A7381" i="1"/>
  <c r="C7381" i="1"/>
  <c r="A7382" i="1"/>
  <c r="C7382" i="1"/>
  <c r="A7383" i="1"/>
  <c r="C7383" i="1"/>
  <c r="A7384" i="1"/>
  <c r="C7384" i="1"/>
  <c r="A7385" i="1"/>
  <c r="C7385" i="1"/>
  <c r="A7386" i="1"/>
  <c r="C7386" i="1"/>
  <c r="A7387" i="1"/>
  <c r="C7387" i="1"/>
  <c r="A7388" i="1"/>
  <c r="C7388" i="1"/>
  <c r="A7389" i="1"/>
  <c r="C7389" i="1"/>
  <c r="A7390" i="1"/>
  <c r="C7390" i="1"/>
  <c r="A7391" i="1"/>
  <c r="C7391" i="1"/>
  <c r="A7392" i="1"/>
  <c r="C7392" i="1"/>
  <c r="A7393" i="1"/>
  <c r="C7393" i="1"/>
  <c r="A7394" i="1"/>
  <c r="C7394" i="1"/>
  <c r="A7395" i="1"/>
  <c r="C7395" i="1"/>
  <c r="A7396" i="1"/>
  <c r="C7396" i="1"/>
  <c r="A7397" i="1"/>
  <c r="C7397" i="1"/>
  <c r="A7398" i="1"/>
  <c r="C7398" i="1"/>
  <c r="A7399" i="1"/>
  <c r="C7399" i="1"/>
  <c r="A7400" i="1"/>
  <c r="C7400" i="1"/>
  <c r="A7401" i="1"/>
  <c r="C7401" i="1"/>
  <c r="A7402" i="1"/>
  <c r="C7402" i="1"/>
  <c r="A7403" i="1"/>
  <c r="C7403" i="1"/>
  <c r="A7404" i="1"/>
  <c r="C7404" i="1"/>
  <c r="A7405" i="1"/>
  <c r="C7405" i="1"/>
  <c r="A7406" i="1"/>
  <c r="C7406" i="1"/>
  <c r="A7407" i="1"/>
  <c r="C7407" i="1"/>
  <c r="A7408" i="1"/>
  <c r="C7408" i="1"/>
  <c r="A7409" i="1"/>
  <c r="C7409" i="1"/>
  <c r="A7410" i="1"/>
  <c r="C7410" i="1"/>
  <c r="A7411" i="1"/>
  <c r="C7411" i="1"/>
  <c r="A7412" i="1"/>
  <c r="C7412" i="1"/>
  <c r="A7413" i="1"/>
  <c r="C7413" i="1"/>
  <c r="A7414" i="1"/>
  <c r="C7414" i="1"/>
  <c r="A7415" i="1"/>
  <c r="C7415" i="1"/>
  <c r="A7416" i="1"/>
  <c r="C7416" i="1"/>
  <c r="A7417" i="1"/>
  <c r="C7417" i="1"/>
  <c r="A7418" i="1"/>
  <c r="C7418" i="1"/>
  <c r="A7419" i="1"/>
  <c r="C7419" i="1"/>
  <c r="A7420" i="1"/>
  <c r="C7420" i="1"/>
  <c r="A7421" i="1"/>
  <c r="C7421" i="1"/>
  <c r="A7422" i="1"/>
  <c r="C7422" i="1"/>
  <c r="A7423" i="1"/>
  <c r="C7423" i="1"/>
  <c r="A7424" i="1"/>
  <c r="C7424" i="1"/>
  <c r="A7425" i="1"/>
  <c r="C7425" i="1"/>
  <c r="A7426" i="1"/>
  <c r="C7426" i="1"/>
  <c r="A7427" i="1"/>
  <c r="C7427" i="1"/>
  <c r="A7428" i="1"/>
  <c r="C7428" i="1"/>
  <c r="A7429" i="1"/>
  <c r="C7429" i="1"/>
  <c r="A7430" i="1"/>
  <c r="C7430" i="1"/>
  <c r="A7431" i="1"/>
  <c r="C7431" i="1"/>
  <c r="A7432" i="1"/>
  <c r="C7432" i="1"/>
  <c r="A7433" i="1"/>
  <c r="C7433" i="1"/>
  <c r="A7434" i="1"/>
  <c r="C7434" i="1"/>
  <c r="A7435" i="1"/>
  <c r="C7435" i="1"/>
  <c r="A7436" i="1"/>
  <c r="C7436" i="1"/>
  <c r="A7437" i="1"/>
  <c r="C7437" i="1"/>
  <c r="A7438" i="1"/>
  <c r="C7438" i="1"/>
  <c r="A7439" i="1"/>
  <c r="C7439" i="1"/>
  <c r="A7440" i="1"/>
  <c r="C7440" i="1"/>
  <c r="A7441" i="1"/>
  <c r="C7441" i="1"/>
  <c r="A7442" i="1"/>
  <c r="C7442" i="1"/>
  <c r="A7443" i="1"/>
  <c r="C7443" i="1"/>
  <c r="A7444" i="1"/>
  <c r="C7444" i="1"/>
  <c r="A7445" i="1"/>
  <c r="C7445" i="1"/>
  <c r="A7446" i="1"/>
  <c r="C7446" i="1"/>
  <c r="A7447" i="1"/>
  <c r="C7447" i="1"/>
  <c r="A7448" i="1"/>
  <c r="C7448" i="1"/>
  <c r="A7449" i="1"/>
  <c r="C7449" i="1"/>
  <c r="A7450" i="1"/>
  <c r="C7450" i="1"/>
  <c r="A7451" i="1"/>
  <c r="C7451" i="1"/>
  <c r="A7452" i="1"/>
  <c r="C7452" i="1"/>
  <c r="A7453" i="1"/>
  <c r="C7453" i="1"/>
  <c r="A7454" i="1"/>
  <c r="C7454" i="1"/>
  <c r="A7455" i="1"/>
  <c r="C7455" i="1"/>
  <c r="A7456" i="1"/>
  <c r="C7456" i="1"/>
  <c r="A7457" i="1"/>
  <c r="C7457" i="1"/>
  <c r="A7458" i="1"/>
  <c r="C7458" i="1"/>
  <c r="A7459" i="1"/>
  <c r="C7459" i="1"/>
  <c r="A7460" i="1"/>
  <c r="C7460" i="1"/>
  <c r="A7461" i="1"/>
  <c r="C7461" i="1"/>
  <c r="A7462" i="1"/>
  <c r="C7462" i="1"/>
  <c r="A7463" i="1"/>
  <c r="C7463" i="1"/>
  <c r="A7464" i="1"/>
  <c r="C7464" i="1"/>
  <c r="A7465" i="1"/>
  <c r="C7465" i="1"/>
  <c r="A7466" i="1"/>
  <c r="C7466" i="1"/>
  <c r="A7467" i="1"/>
  <c r="C7467" i="1"/>
  <c r="A7468" i="1"/>
  <c r="C7468" i="1"/>
  <c r="A7469" i="1"/>
  <c r="C7469" i="1"/>
  <c r="A7470" i="1"/>
  <c r="C7470" i="1"/>
  <c r="A7471" i="1"/>
  <c r="C7471" i="1"/>
  <c r="A7472" i="1"/>
  <c r="C7472" i="1"/>
  <c r="A7473" i="1"/>
  <c r="C7473" i="1"/>
  <c r="A7474" i="1"/>
  <c r="C7474" i="1"/>
  <c r="A7475" i="1"/>
  <c r="C7475" i="1"/>
  <c r="A7476" i="1"/>
  <c r="C7476" i="1"/>
  <c r="A7477" i="1"/>
  <c r="C7477" i="1"/>
  <c r="A7478" i="1"/>
  <c r="C7478" i="1"/>
  <c r="A7479" i="1"/>
  <c r="C7479" i="1"/>
  <c r="A7480" i="1"/>
  <c r="C7480" i="1"/>
  <c r="A7481" i="1"/>
  <c r="C7481" i="1"/>
  <c r="A7482" i="1"/>
  <c r="C7482" i="1"/>
  <c r="A7483" i="1"/>
  <c r="C7483" i="1"/>
  <c r="A7484" i="1"/>
  <c r="C7484" i="1"/>
  <c r="A7485" i="1"/>
  <c r="C7485" i="1"/>
  <c r="A7486" i="1"/>
  <c r="C7486" i="1"/>
  <c r="A7487" i="1"/>
  <c r="C7487" i="1"/>
  <c r="A7488" i="1"/>
  <c r="C7488" i="1"/>
  <c r="A7489" i="1"/>
  <c r="C7489" i="1"/>
  <c r="A7490" i="1"/>
  <c r="C7490" i="1"/>
  <c r="A7491" i="1"/>
  <c r="C7491" i="1"/>
  <c r="A7492" i="1"/>
  <c r="C7492" i="1"/>
  <c r="A7493" i="1"/>
  <c r="C7493" i="1"/>
  <c r="A7494" i="1"/>
  <c r="C7494" i="1"/>
  <c r="A7495" i="1"/>
  <c r="C7495" i="1"/>
  <c r="A7496" i="1"/>
  <c r="C7496" i="1"/>
  <c r="A7497" i="1"/>
  <c r="C7497" i="1"/>
  <c r="A7498" i="1"/>
  <c r="C7498" i="1"/>
  <c r="A7499" i="1"/>
  <c r="C7499" i="1"/>
  <c r="A7500" i="1"/>
  <c r="C7500" i="1"/>
  <c r="A7501" i="1"/>
  <c r="C7501" i="1"/>
  <c r="A7502" i="1"/>
  <c r="C7502" i="1"/>
  <c r="A7503" i="1"/>
  <c r="C7503" i="1"/>
  <c r="A7504" i="1"/>
  <c r="C7504" i="1"/>
  <c r="A7505" i="1"/>
  <c r="C7505" i="1"/>
  <c r="A7506" i="1"/>
  <c r="C7506" i="1"/>
  <c r="A7507" i="1"/>
  <c r="C7507" i="1"/>
  <c r="A7508" i="1"/>
  <c r="C7508" i="1"/>
  <c r="A7509" i="1"/>
  <c r="C7509" i="1"/>
  <c r="A7510" i="1"/>
  <c r="C7510" i="1"/>
  <c r="A7511" i="1"/>
  <c r="C7511" i="1"/>
  <c r="A7512" i="1"/>
  <c r="C7512" i="1"/>
  <c r="A7513" i="1"/>
  <c r="C7513" i="1"/>
  <c r="A7514" i="1"/>
  <c r="C7514" i="1"/>
  <c r="A7515" i="1"/>
  <c r="C7515" i="1"/>
  <c r="A7516" i="1"/>
  <c r="C7516" i="1"/>
  <c r="A7517" i="1"/>
  <c r="C7517" i="1"/>
  <c r="A7518" i="1"/>
  <c r="C7518" i="1"/>
  <c r="A7519" i="1"/>
  <c r="C7519" i="1"/>
  <c r="A7520" i="1"/>
  <c r="C7520" i="1"/>
  <c r="A7521" i="1"/>
  <c r="C7521" i="1"/>
  <c r="A7522" i="1"/>
  <c r="C7522" i="1"/>
  <c r="A7523" i="1"/>
  <c r="C7523" i="1"/>
  <c r="A7524" i="1"/>
  <c r="C7524" i="1"/>
  <c r="A7525" i="1"/>
  <c r="C7525" i="1"/>
  <c r="A7526" i="1"/>
  <c r="C7526" i="1"/>
  <c r="A7527" i="1"/>
  <c r="C7527" i="1"/>
  <c r="A7528" i="1"/>
  <c r="C7528" i="1"/>
  <c r="A7529" i="1"/>
  <c r="C7529" i="1"/>
  <c r="A7530" i="1"/>
  <c r="C7530" i="1"/>
  <c r="A7531" i="1"/>
  <c r="C7531" i="1"/>
  <c r="A7532" i="1"/>
  <c r="C7532" i="1"/>
  <c r="A7533" i="1"/>
  <c r="C7533" i="1"/>
  <c r="A7534" i="1"/>
  <c r="C7534" i="1"/>
  <c r="A7535" i="1"/>
  <c r="C7535" i="1"/>
  <c r="A7536" i="1"/>
  <c r="C7536" i="1"/>
  <c r="A7537" i="1"/>
  <c r="C7537" i="1"/>
  <c r="A7538" i="1"/>
  <c r="C7538" i="1"/>
  <c r="A7539" i="1"/>
  <c r="C7539" i="1"/>
  <c r="A7540" i="1"/>
  <c r="C7540" i="1"/>
  <c r="A7541" i="1"/>
  <c r="C7541" i="1"/>
  <c r="A7542" i="1"/>
  <c r="C7542" i="1"/>
  <c r="A7543" i="1"/>
  <c r="C7543" i="1"/>
  <c r="A7544" i="1"/>
  <c r="C7544" i="1"/>
  <c r="A7545" i="1"/>
  <c r="C7545" i="1"/>
  <c r="A7546" i="1"/>
  <c r="C7546" i="1"/>
  <c r="A7547" i="1"/>
  <c r="C7547" i="1"/>
  <c r="A7548" i="1"/>
  <c r="C7548" i="1"/>
  <c r="A7549" i="1"/>
  <c r="C7549" i="1"/>
  <c r="A7550" i="1"/>
  <c r="C7550" i="1"/>
  <c r="A7551" i="1"/>
  <c r="C7551" i="1"/>
  <c r="A7552" i="1"/>
  <c r="C7552" i="1"/>
  <c r="A7553" i="1"/>
  <c r="C7553" i="1"/>
  <c r="A7554" i="1"/>
  <c r="C7554" i="1"/>
  <c r="A7555" i="1"/>
  <c r="C7555" i="1"/>
  <c r="A7556" i="1"/>
  <c r="C7556" i="1"/>
  <c r="A7557" i="1"/>
  <c r="C7557" i="1"/>
  <c r="A7558" i="1"/>
  <c r="C7558" i="1"/>
  <c r="A7559" i="1"/>
  <c r="C7559" i="1"/>
  <c r="A7560" i="1"/>
  <c r="C7560" i="1"/>
  <c r="A7561" i="1"/>
  <c r="C7561" i="1"/>
  <c r="A7562" i="1"/>
  <c r="C7562" i="1"/>
  <c r="A7563" i="1"/>
  <c r="C7563" i="1"/>
  <c r="A7564" i="1"/>
  <c r="C7564" i="1"/>
  <c r="A7565" i="1"/>
  <c r="C7565" i="1"/>
  <c r="A7566" i="1"/>
  <c r="C7566" i="1"/>
  <c r="A7567" i="1"/>
  <c r="C7567" i="1"/>
  <c r="A7568" i="1"/>
  <c r="C7568" i="1"/>
  <c r="A7569" i="1"/>
  <c r="C7569" i="1"/>
  <c r="A7570" i="1"/>
  <c r="C7570" i="1"/>
  <c r="A7571" i="1"/>
  <c r="C7571" i="1"/>
  <c r="A7572" i="1"/>
  <c r="C7572" i="1"/>
  <c r="A7573" i="1"/>
  <c r="C7573" i="1"/>
  <c r="A7574" i="1"/>
  <c r="C7574" i="1"/>
  <c r="A7575" i="1"/>
  <c r="C7575" i="1"/>
  <c r="A7576" i="1"/>
  <c r="C7576" i="1"/>
  <c r="A7577" i="1"/>
  <c r="C7577" i="1"/>
  <c r="A7578" i="1"/>
  <c r="C7578" i="1"/>
  <c r="A7579" i="1"/>
  <c r="C7579" i="1"/>
  <c r="A7580" i="1"/>
  <c r="C7580" i="1"/>
  <c r="A7581" i="1"/>
  <c r="C7581" i="1"/>
  <c r="A7582" i="1"/>
  <c r="C7582" i="1"/>
  <c r="A7583" i="1"/>
  <c r="C7583" i="1"/>
  <c r="A7584" i="1"/>
  <c r="C7584" i="1"/>
  <c r="A7585" i="1"/>
  <c r="C7585" i="1"/>
  <c r="A7586" i="1"/>
  <c r="C7586" i="1"/>
  <c r="A7587" i="1"/>
  <c r="C7587" i="1"/>
  <c r="A7588" i="1"/>
  <c r="C7588" i="1"/>
  <c r="A7589" i="1"/>
  <c r="C7589" i="1"/>
  <c r="A7590" i="1"/>
  <c r="C7590" i="1"/>
  <c r="A7591" i="1"/>
  <c r="C7591" i="1"/>
  <c r="A7592" i="1"/>
  <c r="C7592" i="1"/>
  <c r="A7593" i="1"/>
  <c r="C7593" i="1"/>
  <c r="A7594" i="1"/>
  <c r="C7594" i="1"/>
  <c r="A7595" i="1"/>
  <c r="C7595" i="1"/>
  <c r="A7596" i="1"/>
  <c r="C7596" i="1"/>
  <c r="A7597" i="1"/>
  <c r="C7597" i="1"/>
  <c r="A7598" i="1"/>
  <c r="C7598" i="1"/>
  <c r="A7599" i="1"/>
  <c r="C7599" i="1"/>
  <c r="A7600" i="1"/>
  <c r="C7600" i="1"/>
  <c r="A7601" i="1"/>
  <c r="C7601" i="1"/>
  <c r="A7602" i="1"/>
  <c r="C7602" i="1"/>
  <c r="A7603" i="1"/>
  <c r="C7603" i="1"/>
  <c r="A7604" i="1"/>
  <c r="C7604" i="1"/>
  <c r="A7605" i="1"/>
  <c r="C7605" i="1"/>
  <c r="A7606" i="1"/>
  <c r="C7606" i="1"/>
  <c r="A7607" i="1"/>
  <c r="C7607" i="1"/>
  <c r="A7608" i="1"/>
  <c r="C7608" i="1"/>
  <c r="A7609" i="1"/>
  <c r="C7609" i="1"/>
  <c r="A7610" i="1"/>
  <c r="C7610" i="1"/>
  <c r="A7611" i="1"/>
  <c r="C7611" i="1"/>
  <c r="A7612" i="1"/>
  <c r="C7612" i="1"/>
  <c r="A7613" i="1"/>
  <c r="C7613" i="1"/>
  <c r="A7614" i="1"/>
  <c r="C7614" i="1"/>
  <c r="A7615" i="1"/>
  <c r="C7615" i="1"/>
  <c r="A7616" i="1"/>
  <c r="C7616" i="1"/>
  <c r="A7617" i="1"/>
  <c r="C7617" i="1"/>
  <c r="A7618" i="1"/>
  <c r="C7618" i="1"/>
  <c r="A7619" i="1"/>
  <c r="C7619" i="1"/>
  <c r="A7620" i="1"/>
  <c r="C7620" i="1"/>
  <c r="A7621" i="1"/>
  <c r="C7621" i="1"/>
  <c r="A7622" i="1"/>
  <c r="C7622" i="1"/>
  <c r="A7623" i="1"/>
  <c r="C7623" i="1"/>
  <c r="A7624" i="1"/>
  <c r="C7624" i="1"/>
  <c r="A7625" i="1"/>
  <c r="C7625" i="1"/>
  <c r="A7626" i="1"/>
  <c r="C7626" i="1"/>
  <c r="A7627" i="1"/>
  <c r="C7627" i="1"/>
  <c r="A7628" i="1"/>
  <c r="C7628" i="1"/>
  <c r="A7629" i="1"/>
  <c r="C7629" i="1"/>
  <c r="A7630" i="1"/>
  <c r="C7630" i="1"/>
  <c r="A7631" i="1"/>
  <c r="C7631" i="1"/>
  <c r="A7632" i="1"/>
  <c r="C7632" i="1"/>
  <c r="A7633" i="1"/>
  <c r="C7633" i="1"/>
  <c r="A7634" i="1"/>
  <c r="C7634" i="1"/>
  <c r="A7635" i="1"/>
  <c r="C7635" i="1"/>
  <c r="A7636" i="1"/>
  <c r="C7636" i="1"/>
  <c r="A7637" i="1"/>
  <c r="C7637" i="1"/>
  <c r="A7638" i="1"/>
  <c r="C7638" i="1"/>
  <c r="A7639" i="1"/>
  <c r="C7639" i="1"/>
  <c r="A7640" i="1"/>
  <c r="C7640" i="1"/>
  <c r="A7641" i="1"/>
  <c r="C7641" i="1"/>
  <c r="A7642" i="1"/>
  <c r="C7642" i="1"/>
  <c r="A7643" i="1"/>
  <c r="C7643" i="1"/>
  <c r="A7644" i="1"/>
  <c r="C7644" i="1"/>
  <c r="A7645" i="1"/>
  <c r="C7645" i="1"/>
  <c r="A7646" i="1"/>
  <c r="C7646" i="1"/>
  <c r="A7647" i="1"/>
  <c r="C7647" i="1"/>
  <c r="A7648" i="1"/>
  <c r="C7648" i="1"/>
  <c r="A7649" i="1"/>
  <c r="C7649" i="1"/>
  <c r="A7650" i="1"/>
  <c r="C7650" i="1"/>
  <c r="A7651" i="1"/>
  <c r="C7651" i="1"/>
  <c r="A7652" i="1"/>
  <c r="C7652" i="1"/>
  <c r="A7653" i="1"/>
  <c r="C7653" i="1"/>
  <c r="A7654" i="1"/>
  <c r="C7654" i="1"/>
  <c r="A7655" i="1"/>
  <c r="C7655" i="1"/>
  <c r="A7656" i="1"/>
  <c r="C7656" i="1"/>
  <c r="A7657" i="1"/>
  <c r="C7657" i="1"/>
  <c r="A7658" i="1"/>
  <c r="C7658" i="1"/>
  <c r="A7659" i="1"/>
  <c r="C7659" i="1"/>
  <c r="A7660" i="1"/>
  <c r="C7660" i="1"/>
  <c r="A7661" i="1"/>
  <c r="C7661" i="1"/>
  <c r="A7662" i="1"/>
  <c r="C7662" i="1"/>
  <c r="A7663" i="1"/>
  <c r="C7663" i="1"/>
  <c r="A7664" i="1"/>
  <c r="C7664" i="1"/>
  <c r="A7665" i="1"/>
  <c r="C7665" i="1"/>
  <c r="A7666" i="1"/>
  <c r="C7666" i="1"/>
  <c r="A7667" i="1"/>
  <c r="C7667" i="1"/>
  <c r="A7668" i="1"/>
  <c r="C7668" i="1"/>
  <c r="A7669" i="1"/>
  <c r="C7669" i="1"/>
  <c r="A7670" i="1"/>
  <c r="C7670" i="1"/>
  <c r="A7671" i="1"/>
  <c r="C7671" i="1"/>
  <c r="A7672" i="1"/>
  <c r="C7672" i="1"/>
  <c r="A7673" i="1"/>
  <c r="C7673" i="1"/>
  <c r="A7674" i="1"/>
  <c r="C7674" i="1"/>
  <c r="A7675" i="1"/>
  <c r="C7675" i="1"/>
  <c r="A7676" i="1"/>
  <c r="C7676" i="1"/>
  <c r="A7677" i="1"/>
  <c r="C7677" i="1"/>
  <c r="A7678" i="1"/>
  <c r="C7678" i="1"/>
  <c r="A7679" i="1"/>
  <c r="C7679" i="1"/>
  <c r="A7680" i="1"/>
  <c r="C7680" i="1"/>
  <c r="A7681" i="1"/>
  <c r="C7681" i="1"/>
  <c r="A7682" i="1"/>
  <c r="C7682" i="1"/>
  <c r="A7683" i="1"/>
  <c r="C7683" i="1"/>
  <c r="A7684" i="1"/>
  <c r="C7684" i="1"/>
  <c r="A7685" i="1"/>
  <c r="C7685" i="1"/>
  <c r="A7686" i="1"/>
  <c r="C7686" i="1"/>
  <c r="A7687" i="1"/>
  <c r="C7687" i="1"/>
  <c r="A7688" i="1"/>
  <c r="C7688" i="1"/>
  <c r="A7689" i="1"/>
  <c r="C7689" i="1"/>
  <c r="A7690" i="1"/>
  <c r="C7690" i="1"/>
  <c r="A7691" i="1"/>
  <c r="C7691" i="1"/>
  <c r="A7692" i="1"/>
  <c r="C7692" i="1"/>
  <c r="A7693" i="1"/>
  <c r="C7693" i="1"/>
  <c r="A7694" i="1"/>
  <c r="C7694" i="1"/>
  <c r="A7695" i="1"/>
  <c r="C7695" i="1"/>
  <c r="A7696" i="1"/>
  <c r="C7696" i="1"/>
  <c r="A7697" i="1"/>
  <c r="C7697" i="1"/>
  <c r="A7698" i="1"/>
  <c r="C7698" i="1"/>
  <c r="A7699" i="1"/>
  <c r="C7699" i="1"/>
  <c r="A7700" i="1"/>
  <c r="C7700" i="1"/>
  <c r="A7701" i="1"/>
  <c r="C7701" i="1"/>
  <c r="A7702" i="1"/>
  <c r="C7702" i="1"/>
  <c r="A7703" i="1"/>
  <c r="C7703" i="1"/>
  <c r="A7704" i="1"/>
  <c r="C7704" i="1"/>
  <c r="A7705" i="1"/>
  <c r="C7705" i="1"/>
  <c r="A7706" i="1"/>
  <c r="C7706" i="1"/>
  <c r="A7707" i="1"/>
  <c r="C7707" i="1"/>
  <c r="A7708" i="1"/>
  <c r="C7708" i="1"/>
  <c r="A7709" i="1"/>
  <c r="C7709" i="1"/>
  <c r="A7710" i="1"/>
  <c r="C7710" i="1"/>
  <c r="A7711" i="1"/>
  <c r="C7711" i="1"/>
  <c r="A7712" i="1"/>
  <c r="C7712" i="1"/>
  <c r="A7713" i="1"/>
  <c r="C7713" i="1"/>
  <c r="A7714" i="1"/>
  <c r="C7714" i="1"/>
  <c r="A7715" i="1"/>
  <c r="C7715" i="1"/>
  <c r="A7716" i="1"/>
  <c r="C7716" i="1"/>
  <c r="A7717" i="1"/>
  <c r="C7717" i="1"/>
  <c r="A7718" i="1"/>
  <c r="C7718" i="1"/>
  <c r="A7719" i="1"/>
  <c r="C7719" i="1"/>
  <c r="A7720" i="1"/>
  <c r="C7720" i="1"/>
  <c r="A7721" i="1"/>
  <c r="C7721" i="1"/>
  <c r="A7722" i="1"/>
  <c r="C7722" i="1"/>
  <c r="A7723" i="1"/>
  <c r="C7723" i="1"/>
  <c r="A7724" i="1"/>
  <c r="C7724" i="1"/>
  <c r="A7725" i="1"/>
  <c r="C7725" i="1"/>
  <c r="A7726" i="1"/>
  <c r="C7726" i="1"/>
  <c r="A7727" i="1"/>
  <c r="C7727" i="1"/>
  <c r="A7728" i="1"/>
  <c r="C7728" i="1"/>
  <c r="A7729" i="1"/>
  <c r="C7729" i="1"/>
  <c r="A7730" i="1"/>
  <c r="C7730" i="1"/>
  <c r="A7731" i="1"/>
  <c r="C7731" i="1"/>
  <c r="A7732" i="1"/>
  <c r="C7732" i="1"/>
  <c r="A7733" i="1"/>
  <c r="C7733" i="1"/>
  <c r="A7734" i="1"/>
  <c r="C7734" i="1"/>
  <c r="A7735" i="1"/>
  <c r="C7735" i="1"/>
  <c r="A7736" i="1"/>
  <c r="C7736" i="1"/>
  <c r="A7737" i="1"/>
  <c r="C7737" i="1"/>
  <c r="A7738" i="1"/>
  <c r="C7738" i="1"/>
  <c r="A7739" i="1"/>
  <c r="C7739" i="1"/>
  <c r="A7740" i="1"/>
  <c r="C7740" i="1"/>
  <c r="A7741" i="1"/>
  <c r="C7741" i="1"/>
  <c r="A7742" i="1"/>
  <c r="C7742" i="1"/>
  <c r="A7743" i="1"/>
  <c r="C7743" i="1"/>
  <c r="A7744" i="1"/>
  <c r="C7744" i="1"/>
  <c r="A7745" i="1"/>
  <c r="C7745" i="1"/>
  <c r="A7746" i="1"/>
  <c r="C7746" i="1"/>
  <c r="A7747" i="1"/>
  <c r="C7747" i="1"/>
  <c r="A7748" i="1"/>
  <c r="C7748" i="1"/>
  <c r="A7749" i="1"/>
  <c r="C7749" i="1"/>
  <c r="A7750" i="1"/>
  <c r="C7750" i="1"/>
  <c r="A7751" i="1"/>
  <c r="C7751" i="1"/>
  <c r="A7752" i="1"/>
  <c r="C7752" i="1"/>
  <c r="A7753" i="1"/>
  <c r="C7753" i="1"/>
  <c r="A7754" i="1"/>
  <c r="C7754" i="1"/>
  <c r="A7755" i="1"/>
  <c r="C7755" i="1"/>
  <c r="A7756" i="1"/>
  <c r="C7756" i="1"/>
  <c r="A7757" i="1"/>
  <c r="C7757" i="1"/>
  <c r="A7758" i="1"/>
  <c r="C7758" i="1"/>
  <c r="A7759" i="1"/>
  <c r="C7759" i="1"/>
  <c r="A7760" i="1"/>
  <c r="C7760" i="1"/>
  <c r="A7761" i="1"/>
  <c r="C7761" i="1"/>
  <c r="A7762" i="1"/>
  <c r="C7762" i="1"/>
  <c r="A7763" i="1"/>
  <c r="C7763" i="1"/>
  <c r="A7764" i="1"/>
  <c r="C7764" i="1"/>
  <c r="A7765" i="1"/>
  <c r="C7765" i="1"/>
  <c r="A7766" i="1"/>
  <c r="C7766" i="1"/>
  <c r="A7767" i="1"/>
  <c r="C7767" i="1"/>
  <c r="A7768" i="1"/>
  <c r="C7768" i="1"/>
  <c r="A7769" i="1"/>
  <c r="C7769" i="1"/>
  <c r="A7770" i="1"/>
  <c r="C7770" i="1"/>
  <c r="A7771" i="1"/>
  <c r="C7771" i="1"/>
  <c r="A7772" i="1"/>
  <c r="C7772" i="1"/>
  <c r="A7773" i="1"/>
  <c r="C7773" i="1"/>
  <c r="A7774" i="1"/>
  <c r="C7774" i="1"/>
  <c r="A7775" i="1"/>
  <c r="C7775" i="1"/>
  <c r="A7776" i="1"/>
  <c r="C7776" i="1"/>
  <c r="A7777" i="1"/>
  <c r="C7777" i="1"/>
  <c r="A7778" i="1"/>
  <c r="C7778" i="1"/>
  <c r="A7779" i="1"/>
  <c r="C7779" i="1"/>
  <c r="A7780" i="1"/>
  <c r="C7780" i="1"/>
  <c r="A7781" i="1"/>
  <c r="C7781" i="1"/>
  <c r="A7782" i="1"/>
  <c r="C7782" i="1"/>
  <c r="A7783" i="1"/>
  <c r="C7783" i="1"/>
  <c r="A7784" i="1"/>
  <c r="C7784" i="1"/>
  <c r="A7785" i="1"/>
  <c r="C7785" i="1"/>
  <c r="A7786" i="1"/>
  <c r="C7786" i="1"/>
  <c r="A7787" i="1"/>
  <c r="C7787" i="1"/>
  <c r="A7788" i="1"/>
  <c r="C7788" i="1"/>
  <c r="A7789" i="1"/>
  <c r="C7789" i="1"/>
  <c r="A7790" i="1"/>
  <c r="C7790" i="1"/>
  <c r="A7791" i="1"/>
  <c r="C7791" i="1"/>
  <c r="A7792" i="1"/>
  <c r="C7792" i="1"/>
  <c r="A7793" i="1"/>
  <c r="C7793" i="1"/>
  <c r="A7794" i="1"/>
  <c r="C7794" i="1"/>
  <c r="A7795" i="1"/>
  <c r="C7795" i="1"/>
  <c r="A7796" i="1"/>
  <c r="C7796" i="1"/>
  <c r="A7797" i="1"/>
  <c r="C7797" i="1"/>
  <c r="A7798" i="1"/>
  <c r="C7798" i="1"/>
  <c r="A7799" i="1"/>
  <c r="C7799" i="1"/>
  <c r="A7800" i="1"/>
  <c r="C7800" i="1"/>
  <c r="A7801" i="1"/>
  <c r="C7801" i="1"/>
  <c r="A7802" i="1"/>
  <c r="C7802" i="1"/>
  <c r="A7803" i="1"/>
  <c r="C7803" i="1"/>
  <c r="A7804" i="1"/>
  <c r="C7804" i="1"/>
  <c r="A7805" i="1"/>
  <c r="C7805" i="1"/>
  <c r="A7806" i="1"/>
  <c r="C7806" i="1"/>
  <c r="A7807" i="1"/>
  <c r="C7807" i="1"/>
  <c r="A7808" i="1"/>
  <c r="C7808" i="1"/>
  <c r="A7809" i="1"/>
  <c r="C7809" i="1"/>
  <c r="A7810" i="1"/>
  <c r="C7810" i="1"/>
  <c r="A7811" i="1"/>
  <c r="C7811" i="1"/>
  <c r="A7812" i="1"/>
  <c r="C7812" i="1"/>
  <c r="A7813" i="1"/>
  <c r="C7813" i="1"/>
  <c r="A7814" i="1"/>
  <c r="C7814" i="1"/>
  <c r="A7815" i="1"/>
  <c r="C7815" i="1"/>
  <c r="A7816" i="1"/>
  <c r="C7816" i="1"/>
  <c r="A7817" i="1"/>
  <c r="C7817" i="1"/>
  <c r="A7818" i="1"/>
  <c r="C7818" i="1"/>
  <c r="A7819" i="1"/>
  <c r="C7819" i="1"/>
  <c r="A7820" i="1"/>
  <c r="C7820" i="1"/>
  <c r="A7821" i="1"/>
  <c r="C7821" i="1"/>
  <c r="A7822" i="1"/>
  <c r="C7822" i="1"/>
  <c r="A7823" i="1"/>
  <c r="C7823" i="1"/>
  <c r="A7824" i="1"/>
  <c r="C7824" i="1"/>
  <c r="A7825" i="1"/>
  <c r="C7825" i="1"/>
  <c r="A7826" i="1"/>
  <c r="C7826" i="1"/>
  <c r="A7827" i="1"/>
  <c r="C7827" i="1"/>
  <c r="A7828" i="1"/>
  <c r="C7828" i="1"/>
  <c r="A7829" i="1"/>
  <c r="C7829" i="1"/>
  <c r="A7830" i="1"/>
  <c r="C7830" i="1"/>
  <c r="A7831" i="1"/>
  <c r="C7831" i="1"/>
  <c r="A7832" i="1"/>
  <c r="C7832" i="1"/>
  <c r="A7833" i="1"/>
  <c r="C7833" i="1"/>
  <c r="A7834" i="1"/>
  <c r="C7834" i="1"/>
  <c r="A7835" i="1"/>
  <c r="C7835" i="1"/>
  <c r="A7836" i="1"/>
  <c r="C7836" i="1"/>
  <c r="A7837" i="1"/>
  <c r="C7837" i="1"/>
  <c r="A7838" i="1"/>
  <c r="C7838" i="1"/>
  <c r="A7839" i="1"/>
  <c r="C7839" i="1"/>
  <c r="A7840" i="1"/>
  <c r="C7840" i="1"/>
  <c r="A7841" i="1"/>
  <c r="C7841" i="1"/>
  <c r="A7842" i="1"/>
  <c r="C7842" i="1"/>
  <c r="A7843" i="1"/>
  <c r="C7843" i="1"/>
  <c r="A7844" i="1"/>
  <c r="C7844" i="1"/>
  <c r="A7845" i="1"/>
  <c r="C7845" i="1"/>
  <c r="A7846" i="1"/>
  <c r="C7846" i="1"/>
  <c r="A7847" i="1"/>
  <c r="C7847" i="1"/>
  <c r="A7848" i="1"/>
  <c r="C7848" i="1"/>
  <c r="A7849" i="1"/>
  <c r="C7849" i="1"/>
  <c r="A7850" i="1"/>
  <c r="C7850" i="1"/>
  <c r="A7851" i="1"/>
  <c r="C7851" i="1"/>
  <c r="A7852" i="1"/>
  <c r="C7852" i="1"/>
  <c r="A7853" i="1"/>
  <c r="C7853" i="1"/>
  <c r="A7854" i="1"/>
  <c r="C7854" i="1"/>
  <c r="A7855" i="1"/>
  <c r="C7855" i="1"/>
  <c r="A7856" i="1"/>
  <c r="C7856" i="1"/>
  <c r="A7857" i="1"/>
  <c r="C7857" i="1"/>
  <c r="A7858" i="1"/>
  <c r="C7858" i="1"/>
  <c r="A7859" i="1"/>
  <c r="C7859" i="1"/>
  <c r="A7860" i="1"/>
  <c r="C7860" i="1"/>
  <c r="A7861" i="1"/>
  <c r="C7861" i="1"/>
  <c r="A7862" i="1"/>
  <c r="C7862" i="1"/>
  <c r="A7863" i="1"/>
  <c r="C7863" i="1"/>
  <c r="A7864" i="1"/>
  <c r="C7864" i="1"/>
  <c r="A7865" i="1"/>
  <c r="C7865" i="1"/>
  <c r="A7866" i="1"/>
  <c r="C7866" i="1"/>
  <c r="A7867" i="1"/>
  <c r="C7867" i="1"/>
  <c r="A7868" i="1"/>
  <c r="C7868" i="1"/>
  <c r="A7869" i="1"/>
  <c r="C7869" i="1"/>
  <c r="A7870" i="1"/>
  <c r="C7870" i="1"/>
  <c r="A7871" i="1"/>
  <c r="C7871" i="1"/>
  <c r="A7872" i="1"/>
  <c r="C7872" i="1"/>
  <c r="A7873" i="1"/>
  <c r="C7873" i="1"/>
  <c r="A7874" i="1"/>
  <c r="C7874" i="1"/>
  <c r="A7875" i="1"/>
  <c r="C7875" i="1"/>
  <c r="A7876" i="1"/>
  <c r="C7876" i="1"/>
  <c r="A7877" i="1"/>
  <c r="C7877" i="1"/>
  <c r="A7878" i="1"/>
  <c r="C7878" i="1"/>
  <c r="A7879" i="1"/>
  <c r="C7879" i="1"/>
  <c r="A7880" i="1"/>
  <c r="C7880" i="1"/>
  <c r="A7881" i="1"/>
  <c r="C7881" i="1"/>
  <c r="A7882" i="1"/>
  <c r="C7882" i="1"/>
  <c r="A7883" i="1"/>
  <c r="C7883" i="1"/>
  <c r="A7884" i="1"/>
  <c r="C7884" i="1"/>
  <c r="A7885" i="1"/>
  <c r="C7885" i="1"/>
  <c r="A7886" i="1"/>
  <c r="C7886" i="1"/>
  <c r="A7887" i="1"/>
  <c r="C7887" i="1"/>
  <c r="A7888" i="1"/>
  <c r="C7888" i="1"/>
  <c r="A7889" i="1"/>
  <c r="C7889" i="1"/>
  <c r="A7890" i="1"/>
  <c r="C7890" i="1"/>
  <c r="A7891" i="1"/>
  <c r="C7891" i="1"/>
  <c r="A7892" i="1"/>
  <c r="C7892" i="1"/>
  <c r="A7893" i="1"/>
  <c r="C7893" i="1"/>
  <c r="A7894" i="1"/>
  <c r="C7894" i="1"/>
  <c r="A7895" i="1"/>
  <c r="C7895" i="1"/>
  <c r="A7896" i="1"/>
  <c r="C7896" i="1"/>
  <c r="A7897" i="1"/>
  <c r="C7897" i="1"/>
  <c r="A7898" i="1"/>
  <c r="C7898" i="1"/>
  <c r="A7899" i="1"/>
  <c r="C7899" i="1"/>
  <c r="A7900" i="1"/>
  <c r="C7900" i="1"/>
  <c r="A7901" i="1"/>
  <c r="C7901" i="1"/>
  <c r="A7902" i="1"/>
  <c r="C7902" i="1"/>
  <c r="A7903" i="1"/>
  <c r="C7903" i="1"/>
  <c r="A7904" i="1"/>
  <c r="C7904" i="1"/>
  <c r="A7905" i="1"/>
  <c r="C7905" i="1"/>
  <c r="A7906" i="1"/>
  <c r="C7906" i="1"/>
  <c r="A7907" i="1"/>
  <c r="C7907" i="1"/>
  <c r="A7908" i="1"/>
  <c r="C7908" i="1"/>
  <c r="A7909" i="1"/>
  <c r="C7909" i="1"/>
  <c r="A7910" i="1"/>
  <c r="C7910" i="1"/>
  <c r="A7911" i="1"/>
  <c r="C7911" i="1"/>
  <c r="A7912" i="1"/>
  <c r="C7912" i="1"/>
  <c r="A7913" i="1"/>
  <c r="C7913" i="1"/>
  <c r="A7914" i="1"/>
  <c r="C7914" i="1"/>
  <c r="A7915" i="1"/>
  <c r="C7915" i="1"/>
  <c r="A7916" i="1"/>
  <c r="C7916" i="1"/>
  <c r="A7917" i="1"/>
  <c r="C7917" i="1"/>
  <c r="A7918" i="1"/>
  <c r="C7918" i="1"/>
  <c r="A7919" i="1"/>
  <c r="C7919" i="1"/>
  <c r="A7920" i="1"/>
  <c r="C7920" i="1"/>
  <c r="A7921" i="1"/>
  <c r="C7921" i="1"/>
  <c r="A7922" i="1"/>
  <c r="C7922" i="1"/>
  <c r="A7923" i="1"/>
  <c r="C7923" i="1"/>
  <c r="A7924" i="1"/>
  <c r="C7924" i="1"/>
  <c r="A7925" i="1"/>
  <c r="C7925" i="1"/>
  <c r="A7926" i="1"/>
  <c r="C7926" i="1"/>
  <c r="A7927" i="1"/>
  <c r="C7927" i="1"/>
  <c r="A7928" i="1"/>
  <c r="C7928" i="1"/>
  <c r="A7929" i="1"/>
  <c r="C7929" i="1"/>
  <c r="A7930" i="1"/>
  <c r="C7930" i="1"/>
  <c r="A7931" i="1"/>
  <c r="C7931" i="1"/>
  <c r="A7932" i="1"/>
  <c r="C7932" i="1"/>
  <c r="A7933" i="1"/>
  <c r="C7933" i="1"/>
  <c r="A7934" i="1"/>
  <c r="C7934" i="1"/>
  <c r="A7935" i="1"/>
  <c r="C7935" i="1"/>
  <c r="A7936" i="1"/>
  <c r="C7936" i="1"/>
  <c r="A7937" i="1"/>
  <c r="C7937" i="1"/>
  <c r="A7938" i="1"/>
  <c r="C7938" i="1"/>
  <c r="A7939" i="1"/>
  <c r="C7939" i="1"/>
  <c r="A7940" i="1"/>
  <c r="C7940" i="1"/>
  <c r="A7941" i="1"/>
  <c r="C7941" i="1"/>
  <c r="A7942" i="1"/>
  <c r="C7942" i="1"/>
  <c r="A7943" i="1"/>
  <c r="C7943" i="1"/>
  <c r="A7944" i="1"/>
  <c r="C7944" i="1"/>
  <c r="A7945" i="1"/>
  <c r="C7945" i="1"/>
  <c r="A7946" i="1"/>
  <c r="C7946" i="1"/>
  <c r="A7947" i="1"/>
  <c r="C7947" i="1"/>
  <c r="A7948" i="1"/>
  <c r="C7948" i="1"/>
  <c r="A7949" i="1"/>
  <c r="C7949" i="1"/>
  <c r="A7950" i="1"/>
  <c r="C7950" i="1"/>
  <c r="A7951" i="1"/>
  <c r="C7951" i="1"/>
  <c r="A7952" i="1"/>
  <c r="C7952" i="1"/>
  <c r="A7953" i="1"/>
  <c r="C7953" i="1"/>
  <c r="A7954" i="1"/>
  <c r="C7954" i="1"/>
  <c r="A7955" i="1"/>
  <c r="C7955" i="1"/>
  <c r="A7956" i="1"/>
  <c r="C7956" i="1"/>
  <c r="A7957" i="1"/>
  <c r="C7957" i="1"/>
  <c r="A7958" i="1"/>
  <c r="C7958" i="1"/>
  <c r="A7959" i="1"/>
  <c r="C7959" i="1"/>
  <c r="A7960" i="1"/>
  <c r="C7960" i="1"/>
  <c r="A7961" i="1"/>
  <c r="C7961" i="1"/>
  <c r="A7962" i="1"/>
  <c r="C7962" i="1"/>
  <c r="A7963" i="1"/>
  <c r="C7963" i="1"/>
  <c r="A7964" i="1"/>
  <c r="C7964" i="1"/>
  <c r="A7965" i="1"/>
  <c r="C7965" i="1"/>
  <c r="A7966" i="1"/>
  <c r="C7966" i="1"/>
  <c r="A7967" i="1"/>
  <c r="C7967" i="1"/>
  <c r="A7968" i="1"/>
  <c r="C7968" i="1"/>
  <c r="A7969" i="1"/>
  <c r="C7969" i="1"/>
  <c r="A7970" i="1"/>
  <c r="C7970" i="1"/>
  <c r="A7971" i="1"/>
  <c r="C7971" i="1"/>
  <c r="A7972" i="1"/>
  <c r="C7972" i="1"/>
  <c r="A7973" i="1"/>
  <c r="C7973" i="1"/>
  <c r="A7974" i="1"/>
  <c r="C7974" i="1"/>
  <c r="A7975" i="1"/>
  <c r="C7975" i="1"/>
  <c r="A7976" i="1"/>
  <c r="C7976" i="1"/>
  <c r="A7977" i="1"/>
  <c r="C7977" i="1"/>
  <c r="A7978" i="1"/>
  <c r="C7978" i="1"/>
  <c r="A7979" i="1"/>
  <c r="C7979" i="1"/>
  <c r="A7980" i="1"/>
  <c r="C7980" i="1"/>
  <c r="A7981" i="1"/>
  <c r="C7981" i="1"/>
  <c r="A7982" i="1"/>
  <c r="C7982" i="1"/>
  <c r="A7983" i="1"/>
  <c r="C7983" i="1"/>
  <c r="A7984" i="1"/>
  <c r="C7984" i="1"/>
  <c r="A7985" i="1"/>
  <c r="C7985" i="1"/>
  <c r="A7986" i="1"/>
  <c r="C7986" i="1"/>
  <c r="A7987" i="1"/>
  <c r="C7987" i="1"/>
  <c r="A7988" i="1"/>
  <c r="C7988" i="1"/>
  <c r="A7989" i="1"/>
  <c r="C7989" i="1"/>
  <c r="A7990" i="1"/>
  <c r="C7990" i="1"/>
  <c r="A7991" i="1"/>
  <c r="C7991" i="1"/>
  <c r="A7992" i="1"/>
  <c r="C7992" i="1"/>
  <c r="A7993" i="1"/>
  <c r="C7993" i="1"/>
  <c r="A7994" i="1"/>
  <c r="C7994" i="1"/>
  <c r="A7995" i="1"/>
  <c r="C7995" i="1"/>
  <c r="A7996" i="1"/>
  <c r="C7996" i="1"/>
  <c r="A7997" i="1"/>
  <c r="C7997" i="1"/>
  <c r="A7998" i="1"/>
  <c r="C7998" i="1"/>
  <c r="A7999" i="1"/>
  <c r="C7999" i="1"/>
  <c r="A8000" i="1"/>
  <c r="C8000" i="1"/>
  <c r="A8001" i="1"/>
  <c r="C8001" i="1"/>
  <c r="A8002" i="1"/>
  <c r="C8002" i="1"/>
  <c r="A8003" i="1"/>
  <c r="C8003" i="1"/>
  <c r="A8004" i="1"/>
  <c r="C8004" i="1"/>
  <c r="A8005" i="1"/>
  <c r="C8005" i="1"/>
  <c r="A8006" i="1"/>
  <c r="C8006" i="1"/>
  <c r="A8007" i="1"/>
  <c r="C8007" i="1"/>
  <c r="A8008" i="1"/>
  <c r="C8008" i="1"/>
  <c r="A8009" i="1"/>
  <c r="C8009" i="1"/>
  <c r="A8010" i="1"/>
  <c r="C8010" i="1"/>
  <c r="A8011" i="1"/>
  <c r="C8011" i="1"/>
  <c r="A8012" i="1"/>
  <c r="C8012" i="1"/>
  <c r="A8013" i="1"/>
  <c r="C8013" i="1"/>
  <c r="A8014" i="1"/>
  <c r="C8014" i="1"/>
  <c r="A8015" i="1"/>
  <c r="C8015" i="1"/>
  <c r="A8016" i="1"/>
  <c r="C8016" i="1"/>
  <c r="A8017" i="1"/>
  <c r="C8017" i="1"/>
  <c r="A8018" i="1"/>
  <c r="C8018" i="1"/>
  <c r="A8019" i="1"/>
  <c r="C8019" i="1"/>
  <c r="A8020" i="1"/>
  <c r="C8020" i="1"/>
  <c r="A8021" i="1"/>
  <c r="C8021" i="1"/>
  <c r="A8022" i="1"/>
  <c r="C8022" i="1"/>
  <c r="A8023" i="1"/>
  <c r="C8023" i="1"/>
  <c r="A8024" i="1"/>
  <c r="C8024" i="1"/>
  <c r="A8025" i="1"/>
  <c r="C8025" i="1"/>
  <c r="A8026" i="1"/>
  <c r="C8026" i="1"/>
  <c r="A8027" i="1"/>
  <c r="C8027" i="1"/>
  <c r="A8028" i="1"/>
  <c r="C8028" i="1"/>
  <c r="A8029" i="1"/>
  <c r="C8029" i="1"/>
  <c r="A8030" i="1"/>
  <c r="C8030" i="1"/>
  <c r="A8031" i="1"/>
  <c r="C8031" i="1"/>
  <c r="A8032" i="1"/>
  <c r="C8032" i="1"/>
  <c r="A8033" i="1"/>
  <c r="C8033" i="1"/>
  <c r="A8034" i="1"/>
  <c r="C8034" i="1"/>
  <c r="A8035" i="1"/>
  <c r="C8035" i="1"/>
  <c r="A8036" i="1"/>
  <c r="C8036" i="1"/>
  <c r="A8037" i="1"/>
  <c r="C8037" i="1"/>
  <c r="A8038" i="1"/>
  <c r="C8038" i="1"/>
  <c r="A8039" i="1"/>
  <c r="C8039" i="1"/>
  <c r="A8040" i="1"/>
  <c r="C8040" i="1"/>
  <c r="A8041" i="1"/>
  <c r="C8041" i="1"/>
  <c r="A8042" i="1"/>
  <c r="C8042" i="1"/>
  <c r="A8043" i="1"/>
  <c r="C8043" i="1"/>
  <c r="A8044" i="1"/>
  <c r="C8044" i="1"/>
  <c r="A8045" i="1"/>
  <c r="C8045" i="1"/>
  <c r="A8046" i="1"/>
  <c r="C8046" i="1"/>
  <c r="A8047" i="1"/>
  <c r="C8047" i="1"/>
  <c r="A8048" i="1"/>
  <c r="C8048" i="1"/>
  <c r="A8049" i="1"/>
  <c r="C8049" i="1"/>
  <c r="A8050" i="1"/>
  <c r="C8050" i="1"/>
  <c r="A8051" i="1"/>
  <c r="C8051" i="1"/>
  <c r="A8052" i="1"/>
  <c r="C8052" i="1"/>
  <c r="A8053" i="1"/>
  <c r="C8053" i="1"/>
  <c r="A8054" i="1"/>
  <c r="C8054" i="1"/>
  <c r="A8055" i="1"/>
  <c r="C8055" i="1"/>
  <c r="A8056" i="1"/>
  <c r="C8056" i="1"/>
  <c r="A8057" i="1"/>
  <c r="C8057" i="1"/>
  <c r="A8058" i="1"/>
  <c r="C8058" i="1"/>
  <c r="A8059" i="1"/>
  <c r="C8059" i="1"/>
  <c r="A8060" i="1"/>
  <c r="C8060" i="1"/>
  <c r="A8061" i="1"/>
  <c r="C8061" i="1"/>
  <c r="A8062" i="1"/>
  <c r="C8062" i="1"/>
  <c r="A8063" i="1"/>
  <c r="C8063" i="1"/>
  <c r="A8064" i="1"/>
  <c r="C8064" i="1"/>
  <c r="A8065" i="1"/>
  <c r="C8065" i="1"/>
  <c r="A8066" i="1"/>
  <c r="C8066" i="1"/>
  <c r="A8067" i="1"/>
  <c r="C8067" i="1"/>
  <c r="A8068" i="1"/>
  <c r="C8068" i="1"/>
  <c r="A8069" i="1"/>
  <c r="C8069" i="1"/>
  <c r="A8070" i="1"/>
  <c r="C8070" i="1"/>
  <c r="A8071" i="1"/>
  <c r="C8071" i="1"/>
  <c r="A8072" i="1"/>
  <c r="C8072" i="1"/>
  <c r="A8073" i="1"/>
  <c r="C8073" i="1"/>
  <c r="A8074" i="1"/>
  <c r="C8074" i="1"/>
  <c r="A8075" i="1"/>
  <c r="C8075" i="1"/>
  <c r="A8076" i="1"/>
  <c r="C8076" i="1"/>
  <c r="A8077" i="1"/>
  <c r="C8077" i="1"/>
  <c r="A8078" i="1"/>
  <c r="C8078" i="1"/>
  <c r="A8079" i="1"/>
  <c r="C8079" i="1"/>
  <c r="A8080" i="1"/>
  <c r="C8080" i="1"/>
  <c r="A8081" i="1"/>
  <c r="C8081" i="1"/>
  <c r="A8082" i="1"/>
  <c r="C8082" i="1"/>
  <c r="A8083" i="1"/>
  <c r="C8083" i="1"/>
  <c r="A8084" i="1"/>
  <c r="C8084" i="1"/>
  <c r="A8085" i="1"/>
  <c r="C8085" i="1"/>
  <c r="A8086" i="1"/>
  <c r="C8086" i="1"/>
  <c r="A8087" i="1"/>
  <c r="C8087" i="1"/>
  <c r="A8088" i="1"/>
  <c r="C8088" i="1"/>
  <c r="A8089" i="1"/>
  <c r="C8089" i="1"/>
  <c r="A8090" i="1"/>
  <c r="C8090" i="1"/>
  <c r="A8091" i="1"/>
  <c r="C8091" i="1"/>
  <c r="A8092" i="1"/>
  <c r="C8092" i="1"/>
  <c r="A8093" i="1"/>
  <c r="C8093" i="1"/>
  <c r="A8094" i="1"/>
  <c r="C8094" i="1"/>
  <c r="A8095" i="1"/>
  <c r="C8095" i="1"/>
  <c r="A8096" i="1"/>
  <c r="C8096" i="1"/>
  <c r="A8097" i="1"/>
  <c r="C8097" i="1"/>
  <c r="A8098" i="1"/>
  <c r="C8098" i="1"/>
  <c r="A8099" i="1"/>
  <c r="C8099" i="1"/>
  <c r="A8100" i="1"/>
  <c r="C8100" i="1"/>
  <c r="A8101" i="1"/>
  <c r="C8101" i="1"/>
  <c r="A8102" i="1"/>
  <c r="C8102" i="1"/>
  <c r="A8103" i="1"/>
  <c r="C8103" i="1"/>
  <c r="A8104" i="1"/>
  <c r="C8104" i="1"/>
  <c r="A8105" i="1"/>
  <c r="C8105" i="1"/>
  <c r="A8106" i="1"/>
  <c r="C8106" i="1"/>
  <c r="A8107" i="1"/>
  <c r="C8107" i="1"/>
  <c r="A8108" i="1"/>
  <c r="C8108" i="1"/>
  <c r="A8109" i="1"/>
  <c r="C8109" i="1"/>
  <c r="A8110" i="1"/>
  <c r="C8110" i="1"/>
  <c r="A8111" i="1"/>
  <c r="C8111" i="1"/>
  <c r="A8112" i="1"/>
  <c r="C8112" i="1"/>
  <c r="A8113" i="1"/>
  <c r="C8113" i="1"/>
  <c r="A8114" i="1"/>
  <c r="C8114" i="1"/>
  <c r="A8115" i="1"/>
  <c r="C8115" i="1"/>
  <c r="A8116" i="1"/>
  <c r="C8116" i="1"/>
  <c r="A8117" i="1"/>
  <c r="C8117" i="1"/>
  <c r="A8118" i="1"/>
  <c r="C8118" i="1"/>
  <c r="A8119" i="1"/>
  <c r="C8119" i="1"/>
  <c r="A8120" i="1"/>
  <c r="C8120" i="1"/>
  <c r="A8121" i="1"/>
  <c r="C8121" i="1"/>
  <c r="A8122" i="1"/>
  <c r="C8122" i="1"/>
  <c r="A8123" i="1"/>
  <c r="C8123" i="1"/>
  <c r="A8124" i="1"/>
  <c r="C8124" i="1"/>
  <c r="A8125" i="1"/>
  <c r="C8125" i="1"/>
  <c r="A8126" i="1"/>
  <c r="C8126" i="1"/>
  <c r="A8127" i="1"/>
  <c r="C8127" i="1"/>
  <c r="A8128" i="1"/>
  <c r="C8128" i="1"/>
  <c r="A8129" i="1"/>
  <c r="C8129" i="1"/>
  <c r="A8130" i="1"/>
  <c r="C8130" i="1"/>
  <c r="A8131" i="1"/>
  <c r="C8131" i="1"/>
  <c r="A8132" i="1"/>
  <c r="C8132" i="1"/>
  <c r="A8133" i="1"/>
  <c r="C8133" i="1"/>
  <c r="A8134" i="1"/>
  <c r="C8134" i="1"/>
  <c r="A8135" i="1"/>
  <c r="C8135" i="1"/>
  <c r="A8136" i="1"/>
  <c r="C8136" i="1"/>
  <c r="A8137" i="1"/>
  <c r="C8137" i="1"/>
  <c r="A8138" i="1"/>
  <c r="C8138" i="1"/>
  <c r="A8139" i="1"/>
  <c r="C8139" i="1"/>
  <c r="A8140" i="1"/>
  <c r="C8140" i="1"/>
  <c r="A8141" i="1"/>
  <c r="C8141" i="1"/>
  <c r="A8142" i="1"/>
  <c r="C8142" i="1"/>
  <c r="A8143" i="1"/>
  <c r="C8143" i="1"/>
  <c r="A8144" i="1"/>
  <c r="C8144" i="1"/>
  <c r="A8145" i="1"/>
  <c r="C8145" i="1"/>
  <c r="A8146" i="1"/>
  <c r="C8146" i="1"/>
  <c r="A8147" i="1"/>
  <c r="C8147" i="1"/>
  <c r="A8148" i="1"/>
  <c r="C8148" i="1"/>
  <c r="A8149" i="1"/>
  <c r="C8149" i="1"/>
  <c r="A8150" i="1"/>
  <c r="C8150" i="1"/>
  <c r="A8151" i="1"/>
  <c r="C8151" i="1"/>
  <c r="A8152" i="1"/>
  <c r="C8152" i="1"/>
  <c r="A8153" i="1"/>
  <c r="C8153" i="1"/>
  <c r="A8154" i="1"/>
  <c r="C8154" i="1"/>
  <c r="A8155" i="1"/>
  <c r="C8155" i="1"/>
  <c r="A8156" i="1"/>
  <c r="C8156" i="1"/>
  <c r="A8157" i="1"/>
  <c r="C8157" i="1"/>
  <c r="A8158" i="1"/>
  <c r="C8158" i="1"/>
  <c r="A8159" i="1"/>
  <c r="C8159" i="1"/>
  <c r="A8160" i="1"/>
  <c r="C8160" i="1"/>
  <c r="A8161" i="1"/>
  <c r="C8161" i="1"/>
  <c r="A8162" i="1"/>
  <c r="C8162" i="1"/>
  <c r="A8163" i="1"/>
  <c r="C8163" i="1"/>
  <c r="A8164" i="1"/>
  <c r="C8164" i="1"/>
  <c r="A8165" i="1"/>
  <c r="C8165" i="1"/>
  <c r="A8166" i="1"/>
  <c r="C8166" i="1"/>
  <c r="A8167" i="1"/>
  <c r="C8167" i="1"/>
  <c r="A8168" i="1"/>
  <c r="C8168" i="1"/>
  <c r="A8169" i="1"/>
  <c r="C8169" i="1"/>
  <c r="A8170" i="1"/>
  <c r="C8170" i="1"/>
  <c r="A8171" i="1"/>
  <c r="C8171" i="1"/>
  <c r="A8172" i="1"/>
  <c r="C8172" i="1"/>
  <c r="A8173" i="1"/>
  <c r="C8173" i="1"/>
  <c r="A8174" i="1"/>
  <c r="C8174" i="1"/>
  <c r="A8175" i="1"/>
  <c r="C8175" i="1"/>
  <c r="A8176" i="1"/>
  <c r="C8176" i="1"/>
  <c r="A8177" i="1"/>
  <c r="C8177" i="1"/>
  <c r="A8178" i="1"/>
  <c r="C8178" i="1"/>
  <c r="A8179" i="1"/>
  <c r="C8179" i="1"/>
  <c r="A8180" i="1"/>
  <c r="C8180" i="1"/>
  <c r="A8181" i="1"/>
  <c r="C8181" i="1"/>
  <c r="A8182" i="1"/>
  <c r="C8182" i="1"/>
  <c r="A8183" i="1"/>
  <c r="C8183" i="1"/>
  <c r="A8184" i="1"/>
  <c r="C8184" i="1"/>
  <c r="A8185" i="1"/>
  <c r="C8185" i="1"/>
  <c r="A8186" i="1"/>
  <c r="C8186" i="1"/>
  <c r="A8187" i="1"/>
  <c r="C8187" i="1"/>
  <c r="A8188" i="1"/>
  <c r="C8188" i="1"/>
  <c r="A8189" i="1"/>
  <c r="C8189" i="1"/>
  <c r="A8190" i="1"/>
  <c r="C8190" i="1"/>
  <c r="A8191" i="1"/>
  <c r="C8191" i="1"/>
  <c r="A8192" i="1"/>
  <c r="C8192" i="1"/>
  <c r="A8193" i="1"/>
  <c r="C8193" i="1"/>
  <c r="A8194" i="1"/>
  <c r="C8194" i="1"/>
  <c r="A8195" i="1"/>
  <c r="C8195" i="1"/>
  <c r="A8196" i="1"/>
  <c r="C8196" i="1"/>
  <c r="A8197" i="1"/>
  <c r="C8197" i="1"/>
  <c r="A8198" i="1"/>
  <c r="C8198" i="1"/>
  <c r="A8199" i="1"/>
  <c r="C8199" i="1"/>
  <c r="A8200" i="1"/>
  <c r="C8200" i="1"/>
  <c r="A8201" i="1"/>
  <c r="C8201" i="1"/>
  <c r="A8202" i="1"/>
  <c r="C8202" i="1"/>
  <c r="A8203" i="1"/>
  <c r="C8203" i="1"/>
  <c r="A8204" i="1"/>
  <c r="C8204" i="1"/>
  <c r="A8205" i="1"/>
  <c r="C8205" i="1"/>
  <c r="A8206" i="1"/>
  <c r="C8206" i="1"/>
  <c r="A8207" i="1"/>
  <c r="C8207" i="1"/>
  <c r="A8208" i="1"/>
  <c r="C8208" i="1"/>
  <c r="A8209" i="1"/>
  <c r="C8209" i="1"/>
  <c r="A8210" i="1"/>
  <c r="C8210" i="1"/>
  <c r="A8211" i="1"/>
  <c r="C8211" i="1"/>
  <c r="A8212" i="1"/>
  <c r="C8212" i="1"/>
  <c r="A8213" i="1"/>
  <c r="C8213" i="1"/>
  <c r="A8214" i="1"/>
  <c r="C8214" i="1"/>
  <c r="A8215" i="1"/>
  <c r="C8215" i="1"/>
  <c r="A8216" i="1"/>
  <c r="C8216" i="1"/>
  <c r="A8217" i="1"/>
  <c r="C8217" i="1"/>
  <c r="A8218" i="1"/>
  <c r="C8218" i="1"/>
  <c r="A8219" i="1"/>
  <c r="C8219" i="1"/>
  <c r="A8220" i="1"/>
  <c r="C8220" i="1"/>
  <c r="A8221" i="1"/>
  <c r="C8221" i="1"/>
  <c r="A8222" i="1"/>
  <c r="C8222" i="1"/>
  <c r="A8223" i="1"/>
  <c r="C8223" i="1"/>
  <c r="A8224" i="1"/>
  <c r="C8224" i="1"/>
  <c r="A8225" i="1"/>
  <c r="C8225" i="1"/>
  <c r="A8226" i="1"/>
  <c r="C8226" i="1"/>
  <c r="A8227" i="1"/>
  <c r="C8227" i="1"/>
  <c r="A8228" i="1"/>
  <c r="C8228" i="1"/>
  <c r="A8229" i="1"/>
  <c r="C8229" i="1"/>
  <c r="A8230" i="1"/>
  <c r="C8230" i="1"/>
  <c r="A8231" i="1"/>
  <c r="C8231" i="1"/>
  <c r="A8232" i="1"/>
  <c r="C8232" i="1"/>
  <c r="A8233" i="1"/>
  <c r="C8233" i="1"/>
  <c r="A8234" i="1"/>
  <c r="C8234" i="1"/>
  <c r="A8235" i="1"/>
  <c r="C8235" i="1"/>
  <c r="A8236" i="1"/>
  <c r="C8236" i="1"/>
  <c r="A8237" i="1"/>
  <c r="C8237" i="1"/>
  <c r="A8238" i="1"/>
  <c r="C8238" i="1"/>
  <c r="A8239" i="1"/>
  <c r="C8239" i="1"/>
  <c r="A8240" i="1"/>
  <c r="C8240" i="1"/>
  <c r="A8241" i="1"/>
  <c r="C8241" i="1"/>
  <c r="A8242" i="1"/>
  <c r="C8242" i="1"/>
  <c r="A8243" i="1"/>
  <c r="C8243" i="1"/>
  <c r="A8244" i="1"/>
  <c r="C8244" i="1"/>
  <c r="A8245" i="1"/>
  <c r="C8245" i="1"/>
  <c r="A8246" i="1"/>
  <c r="C8246" i="1"/>
  <c r="A8247" i="1"/>
  <c r="C8247" i="1"/>
  <c r="A8248" i="1"/>
  <c r="C8248" i="1"/>
  <c r="A8249" i="1"/>
  <c r="C8249" i="1"/>
  <c r="A8250" i="1"/>
  <c r="C8250" i="1"/>
  <c r="A8251" i="1"/>
  <c r="C8251" i="1"/>
  <c r="A8252" i="1"/>
  <c r="C8252" i="1"/>
  <c r="A8253" i="1"/>
  <c r="C8253" i="1"/>
  <c r="A8254" i="1"/>
  <c r="C8254" i="1"/>
  <c r="A8255" i="1"/>
  <c r="C8255" i="1"/>
  <c r="A8256" i="1"/>
  <c r="C8256" i="1"/>
  <c r="A8257" i="1"/>
  <c r="C8257" i="1"/>
  <c r="A8258" i="1"/>
  <c r="C8258" i="1"/>
  <c r="A8259" i="1"/>
  <c r="C8259" i="1"/>
  <c r="A8260" i="1"/>
  <c r="C8260" i="1"/>
  <c r="A8261" i="1"/>
  <c r="C8261" i="1"/>
  <c r="A8262" i="1"/>
  <c r="C8262" i="1"/>
  <c r="A8263" i="1"/>
  <c r="C8263" i="1"/>
  <c r="A8264" i="1"/>
  <c r="C8264" i="1"/>
  <c r="A8265" i="1"/>
  <c r="C8265" i="1"/>
  <c r="A8266" i="1"/>
  <c r="C8266" i="1"/>
  <c r="A8267" i="1"/>
  <c r="C8267" i="1"/>
  <c r="A8268" i="1"/>
  <c r="C8268" i="1"/>
  <c r="A8269" i="1"/>
  <c r="C8269" i="1"/>
  <c r="A8270" i="1"/>
  <c r="C8270" i="1"/>
  <c r="A8271" i="1"/>
  <c r="C8271" i="1"/>
  <c r="A8272" i="1"/>
  <c r="C8272" i="1"/>
  <c r="A8273" i="1"/>
  <c r="C8273" i="1"/>
  <c r="A8274" i="1"/>
  <c r="C8274" i="1"/>
  <c r="A8275" i="1"/>
  <c r="C8275" i="1"/>
  <c r="A8276" i="1"/>
  <c r="C8276" i="1"/>
  <c r="A8277" i="1"/>
  <c r="C8277" i="1"/>
  <c r="A8278" i="1"/>
  <c r="C8278" i="1"/>
  <c r="A8279" i="1"/>
  <c r="C8279" i="1"/>
  <c r="A8280" i="1"/>
  <c r="C8280" i="1"/>
  <c r="A8281" i="1"/>
  <c r="C8281" i="1"/>
  <c r="A8282" i="1"/>
  <c r="C8282" i="1"/>
  <c r="A8283" i="1"/>
  <c r="C8283" i="1"/>
  <c r="A8284" i="1"/>
  <c r="C8284" i="1"/>
  <c r="A8285" i="1"/>
  <c r="C8285" i="1"/>
  <c r="A8286" i="1"/>
  <c r="C8286" i="1"/>
  <c r="A8287" i="1"/>
  <c r="C8287" i="1"/>
  <c r="A8288" i="1"/>
  <c r="C8288" i="1"/>
  <c r="A8289" i="1"/>
  <c r="C8289" i="1"/>
  <c r="A8290" i="1"/>
  <c r="C8290" i="1"/>
  <c r="A8291" i="1"/>
  <c r="C8291" i="1"/>
  <c r="A8292" i="1"/>
  <c r="C8292" i="1"/>
  <c r="A8293" i="1"/>
  <c r="C8293" i="1"/>
  <c r="A8294" i="1"/>
  <c r="C8294" i="1"/>
  <c r="A8295" i="1"/>
  <c r="C8295" i="1"/>
  <c r="A8296" i="1"/>
  <c r="C8296" i="1"/>
  <c r="A8297" i="1"/>
  <c r="C8297" i="1"/>
  <c r="A8298" i="1"/>
  <c r="C8298" i="1"/>
  <c r="A8299" i="1"/>
  <c r="C8299" i="1"/>
  <c r="A8300" i="1"/>
  <c r="C8300" i="1"/>
  <c r="A8301" i="1"/>
  <c r="C8301" i="1"/>
  <c r="A8302" i="1"/>
  <c r="C8302" i="1"/>
  <c r="A8303" i="1"/>
  <c r="C8303" i="1"/>
  <c r="A8304" i="1"/>
  <c r="C8304" i="1"/>
  <c r="A8305" i="1"/>
  <c r="C8305" i="1"/>
  <c r="A8306" i="1"/>
  <c r="C8306" i="1"/>
  <c r="A8307" i="1"/>
  <c r="C8307" i="1"/>
  <c r="A8308" i="1"/>
  <c r="C8308" i="1"/>
  <c r="A8309" i="1"/>
  <c r="C8309" i="1"/>
  <c r="A8310" i="1"/>
  <c r="C8310" i="1"/>
  <c r="A8311" i="1"/>
  <c r="C8311" i="1"/>
  <c r="A8312" i="1"/>
  <c r="C8312" i="1"/>
  <c r="A8313" i="1"/>
  <c r="C8313" i="1"/>
  <c r="A8314" i="1"/>
  <c r="C8314" i="1"/>
  <c r="A8315" i="1"/>
  <c r="C8315" i="1"/>
  <c r="A8316" i="1"/>
  <c r="C8316" i="1"/>
  <c r="A8317" i="1"/>
  <c r="C8317" i="1"/>
  <c r="A8318" i="1"/>
  <c r="C8318" i="1"/>
  <c r="A8319" i="1"/>
  <c r="C8319" i="1"/>
  <c r="A8320" i="1"/>
  <c r="C8320" i="1"/>
  <c r="A8321" i="1"/>
  <c r="C8321" i="1"/>
  <c r="A8322" i="1"/>
  <c r="C8322" i="1"/>
  <c r="A8323" i="1"/>
  <c r="C8323" i="1"/>
  <c r="A8324" i="1"/>
  <c r="C8324" i="1"/>
  <c r="A8325" i="1"/>
  <c r="C8325" i="1"/>
  <c r="A8326" i="1"/>
  <c r="C8326" i="1"/>
  <c r="A8327" i="1"/>
  <c r="C8327" i="1"/>
  <c r="A8328" i="1"/>
  <c r="C8328" i="1"/>
  <c r="A8329" i="1"/>
  <c r="C8329" i="1"/>
  <c r="A8330" i="1"/>
  <c r="C8330" i="1"/>
  <c r="A8331" i="1"/>
  <c r="C8331" i="1"/>
  <c r="A8332" i="1"/>
  <c r="C8332" i="1"/>
  <c r="A8333" i="1"/>
  <c r="C8333" i="1"/>
  <c r="A8334" i="1"/>
  <c r="C8334" i="1"/>
  <c r="A8335" i="1"/>
  <c r="C8335" i="1"/>
  <c r="A8336" i="1"/>
  <c r="C8336" i="1"/>
  <c r="A8337" i="1"/>
  <c r="C8337" i="1"/>
  <c r="A8338" i="1"/>
  <c r="C8338" i="1"/>
  <c r="A8339" i="1"/>
  <c r="C8339" i="1"/>
  <c r="A8340" i="1"/>
  <c r="C8340" i="1"/>
  <c r="A8341" i="1"/>
  <c r="C8341" i="1"/>
  <c r="A8342" i="1"/>
  <c r="C8342" i="1"/>
  <c r="A8343" i="1"/>
  <c r="C8343" i="1"/>
  <c r="A8344" i="1"/>
  <c r="C8344" i="1"/>
  <c r="A8345" i="1"/>
  <c r="C8345" i="1"/>
  <c r="A8346" i="1"/>
  <c r="C8346" i="1"/>
  <c r="A8347" i="1"/>
  <c r="C8347" i="1"/>
  <c r="A8348" i="1"/>
  <c r="C8348" i="1"/>
  <c r="A8349" i="1"/>
  <c r="C8349" i="1"/>
  <c r="A8350" i="1"/>
  <c r="C8350" i="1"/>
  <c r="A8351" i="1"/>
  <c r="C8351" i="1"/>
  <c r="A8352" i="1"/>
  <c r="C8352" i="1"/>
  <c r="A8353" i="1"/>
  <c r="C8353" i="1"/>
  <c r="A8354" i="1"/>
  <c r="C8354" i="1"/>
  <c r="A8355" i="1"/>
  <c r="C8355" i="1"/>
  <c r="A8356" i="1"/>
  <c r="C8356" i="1"/>
  <c r="A8357" i="1"/>
  <c r="C8357" i="1"/>
  <c r="A8358" i="1"/>
  <c r="C8358" i="1"/>
  <c r="A8359" i="1"/>
  <c r="C8359" i="1"/>
  <c r="A8360" i="1"/>
  <c r="C8360" i="1"/>
  <c r="A8361" i="1"/>
  <c r="C8361" i="1"/>
  <c r="A8362" i="1"/>
  <c r="C8362" i="1"/>
  <c r="A8363" i="1"/>
  <c r="C8363" i="1"/>
  <c r="A8364" i="1"/>
  <c r="C8364" i="1"/>
  <c r="A8365" i="1"/>
  <c r="C8365" i="1"/>
  <c r="A8366" i="1"/>
  <c r="C8366" i="1"/>
  <c r="A8367" i="1"/>
  <c r="C8367" i="1"/>
  <c r="A8368" i="1"/>
  <c r="C8368" i="1"/>
  <c r="A8369" i="1"/>
  <c r="C8369" i="1"/>
  <c r="A8370" i="1"/>
  <c r="C8370" i="1"/>
  <c r="A8371" i="1"/>
  <c r="C8371" i="1"/>
  <c r="A8372" i="1"/>
  <c r="C8372" i="1"/>
  <c r="A8373" i="1"/>
  <c r="C8373" i="1"/>
  <c r="A8374" i="1"/>
  <c r="C8374" i="1"/>
  <c r="A8375" i="1"/>
  <c r="C8375" i="1"/>
  <c r="A8376" i="1"/>
  <c r="C8376" i="1"/>
  <c r="A8377" i="1"/>
  <c r="C8377" i="1"/>
  <c r="A8378" i="1"/>
  <c r="C8378" i="1"/>
  <c r="A8379" i="1"/>
  <c r="C8379" i="1"/>
  <c r="A8380" i="1"/>
  <c r="C8380" i="1"/>
  <c r="A8381" i="1"/>
  <c r="C8381" i="1"/>
  <c r="A8382" i="1"/>
  <c r="C8382" i="1"/>
  <c r="A8383" i="1"/>
  <c r="C8383" i="1"/>
  <c r="A8384" i="1"/>
  <c r="C8384" i="1"/>
  <c r="A8385" i="1"/>
  <c r="C8385" i="1"/>
  <c r="A8386" i="1"/>
  <c r="C8386" i="1"/>
  <c r="A8387" i="1"/>
  <c r="C8387" i="1"/>
  <c r="A8388" i="1"/>
  <c r="C8388" i="1"/>
  <c r="A8389" i="1"/>
  <c r="C8389" i="1"/>
  <c r="A8390" i="1"/>
  <c r="C8390" i="1"/>
  <c r="A8391" i="1"/>
  <c r="C8391" i="1"/>
  <c r="A8392" i="1"/>
  <c r="C8392" i="1"/>
  <c r="A8393" i="1"/>
  <c r="C8393" i="1"/>
  <c r="A8394" i="1"/>
  <c r="C8394" i="1"/>
  <c r="A8395" i="1"/>
  <c r="C8395" i="1"/>
  <c r="A8396" i="1"/>
  <c r="C8396" i="1"/>
  <c r="A8397" i="1"/>
  <c r="C8397" i="1"/>
  <c r="A8398" i="1"/>
  <c r="C8398" i="1"/>
  <c r="A8399" i="1"/>
  <c r="C8399" i="1"/>
  <c r="A8400" i="1"/>
  <c r="C8400" i="1"/>
  <c r="A8401" i="1"/>
  <c r="C8401" i="1"/>
  <c r="A8402" i="1"/>
  <c r="C8402" i="1"/>
  <c r="A8403" i="1"/>
  <c r="C8403" i="1"/>
  <c r="A8404" i="1"/>
  <c r="C8404" i="1"/>
  <c r="A8405" i="1"/>
  <c r="C8405" i="1"/>
  <c r="A8406" i="1"/>
  <c r="C8406" i="1"/>
  <c r="A8407" i="1"/>
  <c r="C8407" i="1"/>
  <c r="A8408" i="1"/>
  <c r="C8408" i="1"/>
  <c r="A8409" i="1"/>
  <c r="C8409" i="1"/>
  <c r="A8410" i="1"/>
  <c r="C8410" i="1"/>
  <c r="A8411" i="1"/>
  <c r="C8411" i="1"/>
  <c r="A8412" i="1"/>
  <c r="C8412" i="1"/>
  <c r="A8413" i="1"/>
  <c r="C8413" i="1"/>
  <c r="A8414" i="1"/>
  <c r="C8414" i="1"/>
  <c r="A8415" i="1"/>
  <c r="C8415" i="1"/>
  <c r="A8416" i="1"/>
  <c r="C8416" i="1"/>
  <c r="A8417" i="1"/>
  <c r="C8417" i="1"/>
  <c r="A8418" i="1"/>
  <c r="C8418" i="1"/>
  <c r="A8419" i="1"/>
  <c r="C8419" i="1"/>
  <c r="A8420" i="1"/>
  <c r="C8420" i="1"/>
  <c r="A8421" i="1"/>
  <c r="C8421" i="1"/>
  <c r="A8422" i="1"/>
  <c r="C8422" i="1"/>
  <c r="A8423" i="1"/>
  <c r="C8423" i="1"/>
  <c r="A8424" i="1"/>
  <c r="C8424" i="1"/>
  <c r="A8425" i="1"/>
  <c r="C8425" i="1"/>
  <c r="A8426" i="1"/>
  <c r="C8426" i="1"/>
  <c r="A8427" i="1"/>
  <c r="C8427" i="1"/>
  <c r="A8428" i="1"/>
  <c r="C8428" i="1"/>
  <c r="A8429" i="1"/>
  <c r="C8429" i="1"/>
  <c r="A8430" i="1"/>
  <c r="C8430" i="1"/>
  <c r="A8431" i="1"/>
  <c r="C8431" i="1"/>
  <c r="A8432" i="1"/>
  <c r="C8432" i="1"/>
  <c r="A8433" i="1"/>
  <c r="C8433" i="1"/>
  <c r="A8434" i="1"/>
  <c r="C8434" i="1"/>
  <c r="A8435" i="1"/>
  <c r="C8435" i="1"/>
  <c r="A8436" i="1"/>
  <c r="C8436" i="1"/>
  <c r="A8437" i="1"/>
  <c r="C8437" i="1"/>
  <c r="A8438" i="1"/>
  <c r="C8438" i="1"/>
  <c r="A8439" i="1"/>
  <c r="C8439" i="1"/>
  <c r="A8440" i="1"/>
  <c r="C8440" i="1"/>
  <c r="A8441" i="1"/>
  <c r="C8441" i="1"/>
  <c r="A8442" i="1"/>
  <c r="C8442" i="1"/>
  <c r="A8443" i="1"/>
  <c r="C8443" i="1"/>
  <c r="A8444" i="1"/>
  <c r="C8444" i="1"/>
  <c r="A8445" i="1"/>
  <c r="C8445" i="1"/>
  <c r="A8446" i="1"/>
  <c r="C8446" i="1"/>
  <c r="A8447" i="1"/>
  <c r="C8447" i="1"/>
  <c r="A8448" i="1"/>
  <c r="C8448" i="1"/>
  <c r="A8449" i="1"/>
  <c r="C8449" i="1"/>
  <c r="A8450" i="1"/>
  <c r="C8450" i="1"/>
  <c r="A8451" i="1"/>
  <c r="C8451" i="1"/>
  <c r="A8452" i="1"/>
  <c r="C8452" i="1"/>
  <c r="A8453" i="1"/>
  <c r="C8453" i="1"/>
  <c r="A8454" i="1"/>
  <c r="C8454" i="1"/>
  <c r="A8455" i="1"/>
  <c r="C8455" i="1"/>
  <c r="A8456" i="1"/>
  <c r="C8456" i="1"/>
  <c r="A8457" i="1"/>
  <c r="C8457" i="1"/>
  <c r="A8458" i="1"/>
  <c r="C8458" i="1"/>
  <c r="A8459" i="1"/>
  <c r="C8459" i="1"/>
  <c r="A8460" i="1"/>
  <c r="C8460" i="1"/>
  <c r="A8461" i="1"/>
  <c r="C8461" i="1"/>
  <c r="A8462" i="1"/>
  <c r="C8462" i="1"/>
  <c r="A8463" i="1"/>
  <c r="C8463" i="1"/>
  <c r="A8464" i="1"/>
  <c r="C8464" i="1"/>
  <c r="A8465" i="1"/>
  <c r="C8465" i="1"/>
  <c r="A8466" i="1"/>
  <c r="C8466" i="1"/>
  <c r="A8467" i="1"/>
  <c r="C8467" i="1"/>
  <c r="A8468" i="1"/>
  <c r="C8468" i="1"/>
  <c r="A8469" i="1"/>
  <c r="C8469" i="1"/>
  <c r="A8470" i="1"/>
  <c r="C8470" i="1"/>
  <c r="A8471" i="1"/>
  <c r="C8471" i="1"/>
  <c r="A8472" i="1"/>
  <c r="C8472" i="1"/>
  <c r="A8473" i="1"/>
  <c r="C8473" i="1"/>
  <c r="A8474" i="1"/>
  <c r="C8474" i="1"/>
  <c r="A8475" i="1"/>
  <c r="C8475" i="1"/>
  <c r="A8476" i="1"/>
  <c r="C8476" i="1"/>
  <c r="A8477" i="1"/>
  <c r="C8477" i="1"/>
  <c r="A8478" i="1"/>
  <c r="C8478" i="1"/>
  <c r="A8479" i="1"/>
  <c r="C8479" i="1"/>
  <c r="A8480" i="1"/>
  <c r="C8480" i="1"/>
  <c r="A8481" i="1"/>
  <c r="C8481" i="1"/>
  <c r="A8482" i="1"/>
  <c r="C8482" i="1"/>
  <c r="A8483" i="1"/>
  <c r="C8483" i="1"/>
  <c r="A8484" i="1"/>
  <c r="C8484" i="1"/>
  <c r="A8485" i="1"/>
  <c r="C8485" i="1"/>
  <c r="A8486" i="1"/>
  <c r="C8486" i="1"/>
  <c r="A8487" i="1"/>
  <c r="C8487" i="1"/>
  <c r="A8488" i="1"/>
  <c r="C8488" i="1"/>
  <c r="A8489" i="1"/>
  <c r="C8489" i="1"/>
  <c r="A8490" i="1"/>
  <c r="C8490" i="1"/>
  <c r="A8491" i="1"/>
  <c r="C8491" i="1"/>
  <c r="A8492" i="1"/>
  <c r="C8492" i="1"/>
  <c r="A8493" i="1"/>
  <c r="C8493" i="1"/>
  <c r="A8494" i="1"/>
  <c r="C8494" i="1"/>
  <c r="A8495" i="1"/>
  <c r="C8495" i="1"/>
  <c r="A8496" i="1"/>
  <c r="C8496" i="1"/>
  <c r="A8497" i="1"/>
  <c r="C8497" i="1"/>
  <c r="A8498" i="1"/>
  <c r="C8498" i="1"/>
  <c r="A8499" i="1"/>
  <c r="C8499" i="1"/>
  <c r="A8500" i="1"/>
  <c r="C8500" i="1"/>
  <c r="A8501" i="1"/>
  <c r="C8501" i="1"/>
  <c r="A8502" i="1"/>
  <c r="C8502" i="1"/>
  <c r="A8503" i="1"/>
  <c r="C8503" i="1"/>
  <c r="A8504" i="1"/>
  <c r="C8504" i="1"/>
  <c r="A8505" i="1"/>
  <c r="C8505" i="1"/>
  <c r="A8506" i="1"/>
  <c r="C8506" i="1"/>
  <c r="A8507" i="1"/>
  <c r="C8507" i="1"/>
  <c r="A8508" i="1"/>
  <c r="C8508" i="1"/>
  <c r="A8509" i="1"/>
  <c r="C8509" i="1"/>
  <c r="A8510" i="1"/>
  <c r="C8510" i="1"/>
  <c r="A8511" i="1"/>
  <c r="C8511" i="1"/>
  <c r="A8512" i="1"/>
  <c r="C8512" i="1"/>
  <c r="A8513" i="1"/>
  <c r="C8513" i="1"/>
  <c r="A8514" i="1"/>
  <c r="C8514" i="1"/>
  <c r="A8515" i="1"/>
  <c r="C8515" i="1"/>
  <c r="A8516" i="1"/>
  <c r="C8516" i="1"/>
  <c r="A8517" i="1"/>
  <c r="C8517" i="1"/>
  <c r="A8518" i="1"/>
  <c r="C8518" i="1"/>
  <c r="A8519" i="1"/>
  <c r="C8519" i="1"/>
  <c r="A8520" i="1"/>
  <c r="C8520" i="1"/>
  <c r="A8521" i="1"/>
  <c r="C8521" i="1"/>
  <c r="A8522" i="1"/>
  <c r="C8522" i="1"/>
  <c r="A8523" i="1"/>
  <c r="C8523" i="1"/>
  <c r="A8524" i="1"/>
  <c r="C8524" i="1"/>
  <c r="A8525" i="1"/>
  <c r="C8525" i="1"/>
  <c r="A8526" i="1"/>
  <c r="C8526" i="1"/>
  <c r="A8527" i="1"/>
  <c r="C8527" i="1"/>
  <c r="A8528" i="1"/>
  <c r="C8528" i="1"/>
  <c r="A8529" i="1"/>
  <c r="C8529" i="1"/>
  <c r="A8530" i="1"/>
  <c r="C8530" i="1"/>
  <c r="A8531" i="1"/>
  <c r="C8531" i="1"/>
  <c r="A8532" i="1"/>
  <c r="C8532" i="1"/>
  <c r="A8533" i="1"/>
  <c r="C8533" i="1"/>
  <c r="A8534" i="1"/>
  <c r="C8534" i="1"/>
  <c r="A8535" i="1"/>
  <c r="C8535" i="1"/>
  <c r="A8536" i="1"/>
  <c r="C8536" i="1"/>
  <c r="A8537" i="1"/>
  <c r="C8537" i="1"/>
  <c r="A8538" i="1"/>
  <c r="C8538" i="1"/>
  <c r="A8539" i="1"/>
  <c r="C8539" i="1"/>
  <c r="A8540" i="1"/>
  <c r="C8540" i="1"/>
  <c r="A8541" i="1"/>
  <c r="C8541" i="1"/>
  <c r="A8542" i="1"/>
  <c r="C8542" i="1"/>
  <c r="A8543" i="1"/>
  <c r="C8543" i="1"/>
  <c r="A8544" i="1"/>
  <c r="C8544" i="1"/>
  <c r="A8545" i="1"/>
  <c r="C8545" i="1"/>
  <c r="A8546" i="1"/>
  <c r="C8546" i="1"/>
  <c r="A8547" i="1"/>
  <c r="C8547" i="1"/>
  <c r="A8548" i="1"/>
  <c r="C8548" i="1"/>
  <c r="A8549" i="1"/>
  <c r="C8549" i="1"/>
  <c r="A8550" i="1"/>
  <c r="C8550" i="1"/>
  <c r="A8551" i="1"/>
  <c r="C8551" i="1"/>
  <c r="A8552" i="1"/>
  <c r="C8552" i="1"/>
  <c r="A8553" i="1"/>
  <c r="C8553" i="1"/>
  <c r="A8554" i="1"/>
  <c r="C8554" i="1"/>
  <c r="A8555" i="1"/>
  <c r="C8555" i="1"/>
  <c r="A8556" i="1"/>
  <c r="C8556" i="1"/>
  <c r="A8557" i="1"/>
  <c r="C8557" i="1"/>
  <c r="A8558" i="1"/>
  <c r="C8558" i="1"/>
  <c r="A8559" i="1"/>
  <c r="C8559" i="1"/>
  <c r="A8560" i="1"/>
  <c r="C8560" i="1"/>
  <c r="A8561" i="1"/>
  <c r="C8561" i="1"/>
  <c r="A8562" i="1"/>
  <c r="C8562" i="1"/>
  <c r="A8563" i="1"/>
  <c r="C8563" i="1"/>
  <c r="A8564" i="1"/>
  <c r="C8564" i="1"/>
  <c r="A8565" i="1"/>
  <c r="C8565" i="1"/>
  <c r="A8566" i="1"/>
  <c r="C8566" i="1"/>
  <c r="A8567" i="1"/>
  <c r="C8567" i="1"/>
  <c r="A8568" i="1"/>
  <c r="C8568" i="1"/>
  <c r="A8569" i="1"/>
  <c r="C8569" i="1"/>
  <c r="A8570" i="1"/>
  <c r="C8570" i="1"/>
  <c r="A8571" i="1"/>
  <c r="C8571" i="1"/>
  <c r="A8572" i="1"/>
  <c r="C8572" i="1"/>
  <c r="A8573" i="1"/>
  <c r="C8573" i="1"/>
  <c r="A8574" i="1"/>
  <c r="C8574" i="1"/>
  <c r="A8575" i="1"/>
  <c r="C8575" i="1"/>
  <c r="A8576" i="1"/>
  <c r="C8576" i="1"/>
  <c r="A8577" i="1"/>
  <c r="C8577" i="1"/>
  <c r="A8578" i="1"/>
  <c r="C8578" i="1"/>
  <c r="A8579" i="1"/>
  <c r="C8579" i="1"/>
  <c r="A8580" i="1"/>
  <c r="C8580" i="1"/>
  <c r="A8581" i="1"/>
  <c r="C8581" i="1"/>
  <c r="A8582" i="1"/>
  <c r="C8582" i="1"/>
  <c r="A8583" i="1"/>
  <c r="C8583" i="1"/>
  <c r="A8584" i="1"/>
  <c r="C8584" i="1"/>
  <c r="A8585" i="1"/>
  <c r="C8585" i="1"/>
  <c r="A8586" i="1"/>
  <c r="C8586" i="1"/>
  <c r="A8587" i="1"/>
  <c r="C8587" i="1"/>
  <c r="A8588" i="1"/>
  <c r="C8588" i="1"/>
  <c r="A8589" i="1"/>
  <c r="C8589" i="1"/>
  <c r="A8590" i="1"/>
  <c r="C8590" i="1"/>
  <c r="A8591" i="1"/>
  <c r="C8591" i="1"/>
  <c r="A8592" i="1"/>
  <c r="C8592" i="1"/>
  <c r="A8593" i="1"/>
  <c r="C8593" i="1"/>
  <c r="A8594" i="1"/>
  <c r="C8594" i="1"/>
  <c r="A8595" i="1"/>
  <c r="C8595" i="1"/>
  <c r="A8596" i="1"/>
  <c r="C8596" i="1"/>
  <c r="A8597" i="1"/>
  <c r="C8597" i="1"/>
  <c r="A8598" i="1"/>
  <c r="C8598" i="1"/>
  <c r="A8599" i="1"/>
  <c r="C8599" i="1"/>
  <c r="A8600" i="1"/>
  <c r="C8600" i="1"/>
  <c r="A8601" i="1"/>
  <c r="C8601" i="1"/>
  <c r="A8602" i="1"/>
  <c r="C8602" i="1"/>
  <c r="A8603" i="1"/>
  <c r="C8603" i="1"/>
  <c r="A8604" i="1"/>
  <c r="C8604" i="1"/>
  <c r="A8605" i="1"/>
  <c r="C8605" i="1"/>
  <c r="A8606" i="1"/>
  <c r="C8606" i="1"/>
  <c r="A8607" i="1"/>
  <c r="C8607" i="1"/>
  <c r="A8608" i="1"/>
  <c r="C8608" i="1"/>
  <c r="A8609" i="1"/>
  <c r="C8609" i="1"/>
  <c r="A8610" i="1"/>
  <c r="C8610" i="1"/>
  <c r="A8611" i="1"/>
  <c r="C8611" i="1"/>
  <c r="A8612" i="1"/>
  <c r="C8612" i="1"/>
  <c r="A8613" i="1"/>
  <c r="C8613" i="1"/>
  <c r="A8614" i="1"/>
  <c r="C8614" i="1"/>
  <c r="A8615" i="1"/>
  <c r="C8615" i="1"/>
  <c r="A8616" i="1"/>
  <c r="C8616" i="1"/>
  <c r="A8617" i="1"/>
  <c r="C8617" i="1"/>
  <c r="A8618" i="1"/>
  <c r="C8618" i="1"/>
  <c r="A8619" i="1"/>
  <c r="C8619" i="1"/>
  <c r="A8620" i="1"/>
  <c r="C8620" i="1"/>
  <c r="A8621" i="1"/>
  <c r="C8621" i="1"/>
  <c r="A8622" i="1"/>
  <c r="C8622" i="1"/>
  <c r="A8623" i="1"/>
  <c r="C8623" i="1"/>
  <c r="A8624" i="1"/>
  <c r="C8624" i="1"/>
  <c r="A8625" i="1"/>
  <c r="C8625" i="1"/>
  <c r="A8626" i="1"/>
  <c r="C8626" i="1"/>
  <c r="A8627" i="1"/>
  <c r="C8627" i="1"/>
  <c r="A8628" i="1"/>
  <c r="C8628" i="1"/>
  <c r="A8629" i="1"/>
  <c r="C8629" i="1"/>
  <c r="A8630" i="1"/>
  <c r="C8630" i="1"/>
  <c r="A8631" i="1"/>
  <c r="C8631" i="1"/>
  <c r="A8632" i="1"/>
  <c r="C8632" i="1"/>
  <c r="A8633" i="1"/>
  <c r="C8633" i="1"/>
  <c r="A8634" i="1"/>
  <c r="C8634" i="1"/>
  <c r="A8635" i="1"/>
  <c r="C8635" i="1"/>
  <c r="A8636" i="1"/>
  <c r="C8636" i="1"/>
  <c r="A8637" i="1"/>
  <c r="C8637" i="1"/>
  <c r="A8638" i="1"/>
  <c r="C8638" i="1"/>
  <c r="A8639" i="1"/>
  <c r="C8639" i="1"/>
  <c r="A8640" i="1"/>
  <c r="C8640" i="1"/>
  <c r="A8641" i="1"/>
  <c r="C8641" i="1"/>
  <c r="A8642" i="1"/>
  <c r="C8642" i="1"/>
  <c r="A8643" i="1"/>
  <c r="C8643" i="1"/>
  <c r="A8644" i="1"/>
  <c r="C8644" i="1"/>
  <c r="A8645" i="1"/>
  <c r="C8645" i="1"/>
  <c r="A8646" i="1"/>
  <c r="C8646" i="1"/>
  <c r="A8647" i="1"/>
  <c r="C8647" i="1"/>
  <c r="A8648" i="1"/>
  <c r="C8648" i="1"/>
  <c r="A8649" i="1"/>
  <c r="C8649" i="1"/>
  <c r="A8650" i="1"/>
  <c r="C8650" i="1"/>
  <c r="A8651" i="1"/>
  <c r="C8651" i="1"/>
  <c r="A8652" i="1"/>
  <c r="C8652" i="1"/>
  <c r="A8653" i="1"/>
  <c r="C8653" i="1"/>
  <c r="A8654" i="1"/>
  <c r="C8654" i="1"/>
  <c r="A8655" i="1"/>
  <c r="C8655" i="1"/>
  <c r="A8656" i="1"/>
  <c r="C8656" i="1"/>
  <c r="A8657" i="1"/>
  <c r="C8657" i="1"/>
  <c r="A8658" i="1"/>
  <c r="C8658" i="1"/>
  <c r="A8659" i="1"/>
  <c r="C8659" i="1"/>
  <c r="A8660" i="1"/>
  <c r="C8660" i="1"/>
  <c r="A8661" i="1"/>
  <c r="C8661" i="1"/>
  <c r="A8662" i="1"/>
  <c r="C8662" i="1"/>
  <c r="A8663" i="1"/>
  <c r="C8663" i="1"/>
  <c r="A8664" i="1"/>
  <c r="C8664" i="1"/>
  <c r="A8665" i="1"/>
  <c r="C8665" i="1"/>
  <c r="A8666" i="1"/>
  <c r="C8666" i="1"/>
  <c r="A8667" i="1"/>
  <c r="C8667" i="1"/>
  <c r="A8668" i="1"/>
  <c r="C8668" i="1"/>
  <c r="A8669" i="1"/>
  <c r="C8669" i="1"/>
  <c r="A8670" i="1"/>
  <c r="C8670" i="1"/>
  <c r="A8671" i="1"/>
  <c r="C8671" i="1"/>
  <c r="A8672" i="1"/>
  <c r="C8672" i="1"/>
  <c r="A8673" i="1"/>
  <c r="C8673" i="1"/>
  <c r="A8674" i="1"/>
  <c r="C8674" i="1"/>
  <c r="A8675" i="1"/>
  <c r="C8675" i="1"/>
  <c r="A8676" i="1"/>
  <c r="C8676" i="1"/>
  <c r="A8677" i="1"/>
  <c r="C8677" i="1"/>
  <c r="A8678" i="1"/>
  <c r="C8678" i="1"/>
  <c r="A8679" i="1"/>
  <c r="C8679" i="1"/>
  <c r="A8680" i="1"/>
  <c r="C8680" i="1"/>
  <c r="A8681" i="1"/>
  <c r="C8681" i="1"/>
  <c r="A8682" i="1"/>
  <c r="C8682" i="1"/>
  <c r="A8683" i="1"/>
  <c r="C8683" i="1"/>
  <c r="A8684" i="1"/>
  <c r="C8684" i="1"/>
  <c r="A8685" i="1"/>
  <c r="C8685" i="1"/>
  <c r="A8686" i="1"/>
  <c r="C8686" i="1"/>
  <c r="A8687" i="1"/>
  <c r="C8687" i="1"/>
  <c r="A8688" i="1"/>
  <c r="C8688" i="1"/>
  <c r="A8689" i="1"/>
  <c r="C8689" i="1"/>
  <c r="A8690" i="1"/>
  <c r="C8690" i="1"/>
  <c r="A8691" i="1"/>
  <c r="C8691" i="1"/>
  <c r="A8692" i="1"/>
  <c r="C8692" i="1"/>
  <c r="A8693" i="1"/>
  <c r="C8693" i="1"/>
  <c r="A8694" i="1"/>
  <c r="C8694" i="1"/>
  <c r="A8695" i="1"/>
  <c r="C8695" i="1"/>
  <c r="A8696" i="1"/>
  <c r="C8696" i="1"/>
  <c r="A8697" i="1"/>
  <c r="C8697" i="1"/>
  <c r="A8698" i="1"/>
  <c r="C8698" i="1"/>
  <c r="A8699" i="1"/>
  <c r="C8699" i="1"/>
  <c r="A8700" i="1"/>
  <c r="C8700" i="1"/>
  <c r="A8701" i="1"/>
  <c r="C8701" i="1"/>
  <c r="A8702" i="1"/>
  <c r="C8702" i="1"/>
  <c r="A8703" i="1"/>
  <c r="C8703" i="1"/>
  <c r="A8704" i="1"/>
  <c r="C8704" i="1"/>
  <c r="A8705" i="1"/>
  <c r="C8705" i="1"/>
  <c r="A8706" i="1"/>
  <c r="C8706" i="1"/>
  <c r="A8707" i="1"/>
  <c r="C8707" i="1"/>
  <c r="A8708" i="1"/>
  <c r="C8708" i="1"/>
  <c r="A8709" i="1"/>
  <c r="C8709" i="1"/>
  <c r="A8710" i="1"/>
  <c r="C8710" i="1"/>
  <c r="A8711" i="1"/>
  <c r="C8711" i="1"/>
  <c r="A8712" i="1"/>
  <c r="C8712" i="1"/>
  <c r="A8713" i="1"/>
  <c r="C8713" i="1"/>
  <c r="A8714" i="1"/>
  <c r="C8714" i="1"/>
  <c r="A8715" i="1"/>
  <c r="C8715" i="1"/>
  <c r="A8716" i="1"/>
  <c r="C8716" i="1"/>
  <c r="A8717" i="1"/>
  <c r="C8717" i="1"/>
  <c r="A8718" i="1"/>
  <c r="C8718" i="1"/>
  <c r="A8719" i="1"/>
  <c r="C8719" i="1"/>
  <c r="A8720" i="1"/>
  <c r="C8720" i="1"/>
  <c r="A8721" i="1"/>
  <c r="C8721" i="1"/>
  <c r="A8722" i="1"/>
  <c r="C8722" i="1"/>
  <c r="A8723" i="1"/>
  <c r="C8723" i="1"/>
  <c r="A8724" i="1"/>
  <c r="C8724" i="1"/>
  <c r="A8725" i="1"/>
  <c r="C8725" i="1"/>
  <c r="A8726" i="1"/>
  <c r="C8726" i="1"/>
  <c r="A8727" i="1"/>
  <c r="C8727" i="1"/>
  <c r="A8728" i="1"/>
  <c r="C8728" i="1"/>
  <c r="A8729" i="1"/>
  <c r="C8729" i="1"/>
  <c r="A8730" i="1"/>
  <c r="C8730" i="1"/>
  <c r="A8731" i="1"/>
  <c r="C8731" i="1"/>
  <c r="A8732" i="1"/>
  <c r="C8732" i="1"/>
  <c r="A8733" i="1"/>
  <c r="C8733" i="1"/>
  <c r="A8734" i="1"/>
  <c r="C8734" i="1"/>
  <c r="A8735" i="1"/>
  <c r="C8735" i="1"/>
  <c r="A8736" i="1"/>
  <c r="C8736" i="1"/>
  <c r="A8737" i="1"/>
  <c r="C8737" i="1"/>
  <c r="A8738" i="1"/>
  <c r="C8738" i="1"/>
  <c r="A8739" i="1"/>
  <c r="C8739" i="1"/>
  <c r="A8740" i="1"/>
  <c r="C8740" i="1"/>
  <c r="A8741" i="1"/>
  <c r="C8741" i="1"/>
  <c r="A8742" i="1"/>
  <c r="C8742" i="1"/>
  <c r="A8743" i="1"/>
  <c r="C8743" i="1"/>
  <c r="A8744" i="1"/>
  <c r="C8744" i="1"/>
  <c r="A8745" i="1"/>
  <c r="C8745" i="1"/>
  <c r="A8746" i="1"/>
  <c r="C8746" i="1"/>
  <c r="A8747" i="1"/>
  <c r="C8747" i="1"/>
  <c r="A8748" i="1"/>
  <c r="C8748" i="1"/>
  <c r="A8749" i="1"/>
  <c r="C8749" i="1"/>
  <c r="A8750" i="1"/>
  <c r="C8750" i="1"/>
  <c r="A8751" i="1"/>
  <c r="C8751" i="1"/>
  <c r="A8752" i="1"/>
  <c r="C8752" i="1"/>
  <c r="A8753" i="1"/>
  <c r="C8753" i="1"/>
  <c r="A8754" i="1"/>
  <c r="C8754" i="1"/>
  <c r="A8755" i="1"/>
  <c r="C8755" i="1"/>
  <c r="A8756" i="1"/>
  <c r="C8756" i="1"/>
  <c r="A8757" i="1"/>
  <c r="C8757" i="1"/>
  <c r="A8758" i="1"/>
  <c r="C8758" i="1"/>
  <c r="A8759" i="1"/>
  <c r="C8759" i="1"/>
  <c r="A8760" i="1"/>
  <c r="C8760" i="1"/>
  <c r="A8761" i="1"/>
  <c r="C8761" i="1"/>
  <c r="A8762" i="1"/>
  <c r="C8762" i="1"/>
  <c r="A8763" i="1"/>
  <c r="C8763" i="1"/>
  <c r="A8764" i="1"/>
  <c r="C8764" i="1"/>
  <c r="A8765" i="1"/>
  <c r="C8765" i="1"/>
  <c r="A8766" i="1"/>
  <c r="C8766" i="1"/>
  <c r="A8767" i="1"/>
  <c r="C8767" i="1"/>
  <c r="A8768" i="1"/>
  <c r="C8768" i="1"/>
  <c r="A8769" i="1"/>
  <c r="C8769" i="1"/>
  <c r="A8770" i="1"/>
  <c r="C8770" i="1"/>
  <c r="A8771" i="1"/>
  <c r="C8771" i="1"/>
  <c r="A8772" i="1"/>
  <c r="C8772" i="1"/>
  <c r="A8773" i="1"/>
  <c r="C8773" i="1"/>
  <c r="A8774" i="1"/>
  <c r="C8774" i="1"/>
  <c r="A8775" i="1"/>
  <c r="C8775" i="1"/>
  <c r="A8776" i="1"/>
  <c r="C8776" i="1"/>
  <c r="A8777" i="1"/>
  <c r="C8777" i="1"/>
  <c r="A8778" i="1"/>
  <c r="C8778" i="1"/>
  <c r="A8779" i="1"/>
  <c r="C8779" i="1"/>
  <c r="A8780" i="1"/>
  <c r="C8780" i="1"/>
  <c r="A8781" i="1"/>
  <c r="C8781" i="1"/>
  <c r="A8782" i="1"/>
  <c r="C8782" i="1"/>
  <c r="A8783" i="1"/>
  <c r="C8783" i="1"/>
  <c r="A8784" i="1"/>
  <c r="C8784" i="1"/>
  <c r="A8785" i="1"/>
  <c r="C8785" i="1"/>
  <c r="A8786" i="1"/>
  <c r="C8786" i="1"/>
  <c r="A8787" i="1"/>
  <c r="C8787" i="1"/>
  <c r="A8788" i="1"/>
  <c r="C8788" i="1"/>
  <c r="A8789" i="1"/>
  <c r="C8789" i="1"/>
  <c r="A8790" i="1"/>
  <c r="C8790" i="1"/>
  <c r="A8791" i="1"/>
  <c r="C8791" i="1"/>
  <c r="A8792" i="1"/>
  <c r="C8792" i="1"/>
  <c r="A8793" i="1"/>
  <c r="C8793" i="1"/>
  <c r="A8794" i="1"/>
  <c r="C8794" i="1"/>
  <c r="A8795" i="1"/>
  <c r="C8795" i="1"/>
  <c r="A8796" i="1"/>
  <c r="C8796" i="1"/>
  <c r="A8797" i="1"/>
  <c r="C8797" i="1"/>
  <c r="A8798" i="1"/>
  <c r="C8798" i="1"/>
  <c r="A8799" i="1"/>
  <c r="C8799" i="1"/>
  <c r="A8800" i="1"/>
  <c r="C8800" i="1"/>
  <c r="A8801" i="1"/>
  <c r="C8801" i="1"/>
  <c r="A8802" i="1"/>
  <c r="C8802" i="1"/>
  <c r="A8803" i="1"/>
  <c r="C8803" i="1"/>
  <c r="A8804" i="1"/>
  <c r="C8804" i="1"/>
  <c r="A8805" i="1"/>
  <c r="C8805" i="1"/>
  <c r="A8806" i="1"/>
  <c r="C8806" i="1"/>
  <c r="A8807" i="1"/>
  <c r="C8807" i="1"/>
  <c r="A8808" i="1"/>
  <c r="C8808" i="1"/>
  <c r="A8809" i="1"/>
  <c r="C8809" i="1"/>
  <c r="A8810" i="1"/>
  <c r="C8810" i="1"/>
  <c r="A8811" i="1"/>
  <c r="C8811" i="1"/>
  <c r="A8812" i="1"/>
  <c r="C8812" i="1"/>
  <c r="A8813" i="1"/>
  <c r="C8813" i="1"/>
  <c r="A8814" i="1"/>
  <c r="C8814" i="1"/>
  <c r="A8815" i="1"/>
  <c r="C8815" i="1"/>
  <c r="A8816" i="1"/>
  <c r="C8816" i="1"/>
  <c r="A8817" i="1"/>
  <c r="C8817" i="1"/>
  <c r="A8818" i="1"/>
  <c r="C8818" i="1"/>
  <c r="A8819" i="1"/>
  <c r="C8819" i="1"/>
  <c r="A8820" i="1"/>
  <c r="C8820" i="1"/>
  <c r="A8821" i="1"/>
  <c r="C8821" i="1"/>
  <c r="A8822" i="1"/>
  <c r="C8822" i="1"/>
  <c r="A8823" i="1"/>
  <c r="C8823" i="1"/>
  <c r="A8824" i="1"/>
  <c r="C8824" i="1"/>
  <c r="A8825" i="1"/>
  <c r="C8825" i="1"/>
  <c r="A8826" i="1"/>
  <c r="C8826" i="1"/>
  <c r="A8827" i="1"/>
  <c r="C8827" i="1"/>
  <c r="A8828" i="1"/>
  <c r="C8828" i="1"/>
  <c r="A8829" i="1"/>
  <c r="C8829" i="1"/>
  <c r="A8830" i="1"/>
  <c r="C8830" i="1"/>
  <c r="A8831" i="1"/>
  <c r="C8831" i="1"/>
  <c r="A8832" i="1"/>
  <c r="C8832" i="1"/>
  <c r="A8833" i="1"/>
  <c r="C8833" i="1"/>
  <c r="A8834" i="1"/>
  <c r="C8834" i="1"/>
  <c r="A8835" i="1"/>
  <c r="C8835" i="1"/>
  <c r="A8836" i="1"/>
  <c r="C8836" i="1"/>
  <c r="A8837" i="1"/>
  <c r="C8837" i="1"/>
  <c r="A8838" i="1"/>
  <c r="C8838" i="1"/>
  <c r="A8839" i="1"/>
  <c r="C8839" i="1"/>
  <c r="A8840" i="1"/>
  <c r="C8840" i="1"/>
  <c r="A8841" i="1"/>
  <c r="C8841" i="1"/>
  <c r="A8842" i="1"/>
  <c r="C8842" i="1"/>
  <c r="A8843" i="1"/>
  <c r="C8843" i="1"/>
  <c r="A8844" i="1"/>
  <c r="C8844" i="1"/>
  <c r="A8845" i="1"/>
  <c r="C8845" i="1"/>
  <c r="A8846" i="1"/>
  <c r="C8846" i="1"/>
  <c r="A8847" i="1"/>
  <c r="C8847" i="1"/>
  <c r="A8848" i="1"/>
  <c r="C8848" i="1"/>
  <c r="A8849" i="1"/>
  <c r="C8849" i="1"/>
  <c r="A8850" i="1"/>
  <c r="C8850" i="1"/>
  <c r="A8851" i="1"/>
  <c r="C8851" i="1"/>
  <c r="A8852" i="1"/>
  <c r="C8852" i="1"/>
  <c r="A8853" i="1"/>
  <c r="C8853" i="1"/>
  <c r="A8854" i="1"/>
  <c r="C8854" i="1"/>
  <c r="A8855" i="1"/>
  <c r="C8855" i="1"/>
  <c r="A8856" i="1"/>
  <c r="C8856" i="1"/>
  <c r="A8857" i="1"/>
  <c r="C8857" i="1"/>
  <c r="A8858" i="1"/>
  <c r="C8858" i="1"/>
  <c r="A8859" i="1"/>
  <c r="C8859" i="1"/>
  <c r="A8860" i="1"/>
  <c r="C8860" i="1"/>
  <c r="A8861" i="1"/>
  <c r="C8861" i="1"/>
  <c r="A8862" i="1"/>
  <c r="C8862" i="1"/>
  <c r="A8863" i="1"/>
  <c r="C8863" i="1"/>
  <c r="A8864" i="1"/>
  <c r="C8864" i="1"/>
  <c r="A8865" i="1"/>
  <c r="C8865" i="1"/>
  <c r="A8866" i="1"/>
  <c r="C8866" i="1"/>
  <c r="A8867" i="1"/>
  <c r="C8867" i="1"/>
  <c r="A8868" i="1"/>
  <c r="C8868" i="1"/>
  <c r="A8869" i="1"/>
  <c r="C8869" i="1"/>
  <c r="A8870" i="1"/>
  <c r="C8870" i="1"/>
  <c r="A8871" i="1"/>
  <c r="C8871" i="1"/>
  <c r="A8872" i="1"/>
  <c r="C8872" i="1"/>
  <c r="A8873" i="1"/>
  <c r="C8873" i="1"/>
  <c r="A8874" i="1"/>
  <c r="C8874" i="1"/>
  <c r="A8875" i="1"/>
  <c r="C8875" i="1"/>
  <c r="A8876" i="1"/>
  <c r="C8876" i="1"/>
  <c r="A8877" i="1"/>
  <c r="C8877" i="1"/>
  <c r="A8878" i="1"/>
  <c r="C8878" i="1"/>
  <c r="A8879" i="1"/>
  <c r="C8879" i="1"/>
  <c r="A8880" i="1"/>
  <c r="C8880" i="1"/>
  <c r="A8881" i="1"/>
  <c r="C8881" i="1"/>
  <c r="A8882" i="1"/>
  <c r="C8882" i="1"/>
  <c r="A8883" i="1"/>
  <c r="C8883" i="1"/>
  <c r="A8884" i="1"/>
  <c r="C8884" i="1"/>
  <c r="A8885" i="1"/>
  <c r="C8885" i="1"/>
  <c r="A8886" i="1"/>
  <c r="C8886" i="1"/>
  <c r="A8887" i="1"/>
  <c r="C8887" i="1"/>
  <c r="A8888" i="1"/>
  <c r="C8888" i="1"/>
  <c r="A8889" i="1"/>
  <c r="C8889" i="1"/>
  <c r="A8890" i="1"/>
  <c r="C8890" i="1"/>
  <c r="A8891" i="1"/>
  <c r="C8891" i="1"/>
  <c r="A8892" i="1"/>
  <c r="C8892" i="1"/>
  <c r="A8893" i="1"/>
  <c r="C8893" i="1"/>
  <c r="A8894" i="1"/>
  <c r="C8894" i="1"/>
  <c r="A8895" i="1"/>
  <c r="C8895" i="1"/>
  <c r="A8896" i="1"/>
  <c r="C8896" i="1"/>
  <c r="A8897" i="1"/>
  <c r="C8897" i="1"/>
  <c r="A8898" i="1"/>
  <c r="C8898" i="1"/>
  <c r="A8899" i="1"/>
  <c r="C8899" i="1"/>
  <c r="A8900" i="1"/>
  <c r="C8900" i="1"/>
  <c r="A8901" i="1"/>
  <c r="C8901" i="1"/>
  <c r="A8902" i="1"/>
  <c r="C8902" i="1"/>
  <c r="A8903" i="1"/>
  <c r="C8903" i="1"/>
  <c r="A8904" i="1"/>
  <c r="C8904" i="1"/>
  <c r="A8905" i="1"/>
  <c r="C8905" i="1"/>
  <c r="A8906" i="1"/>
  <c r="C8906" i="1"/>
  <c r="A8907" i="1"/>
  <c r="C8907" i="1"/>
  <c r="A8908" i="1"/>
  <c r="C8908" i="1"/>
  <c r="A8909" i="1"/>
  <c r="C8909" i="1"/>
  <c r="A8910" i="1"/>
  <c r="C8910" i="1"/>
  <c r="A8911" i="1"/>
  <c r="C8911" i="1"/>
  <c r="A8912" i="1"/>
  <c r="C8912" i="1"/>
  <c r="A8913" i="1"/>
  <c r="C8913" i="1"/>
  <c r="A8914" i="1"/>
  <c r="C8914" i="1"/>
  <c r="A8915" i="1"/>
  <c r="C8915" i="1"/>
  <c r="A8916" i="1"/>
  <c r="C8916" i="1"/>
  <c r="A8917" i="1"/>
  <c r="C8917" i="1"/>
  <c r="A8918" i="1"/>
  <c r="C8918" i="1"/>
  <c r="A8919" i="1"/>
  <c r="C8919" i="1"/>
  <c r="A8920" i="1"/>
  <c r="C8920" i="1"/>
  <c r="A8921" i="1"/>
  <c r="C8921" i="1"/>
  <c r="A8922" i="1"/>
  <c r="C8922" i="1"/>
  <c r="A8923" i="1"/>
  <c r="C8923" i="1"/>
  <c r="A8924" i="1"/>
  <c r="C8924" i="1"/>
  <c r="A8925" i="1"/>
  <c r="C8925" i="1"/>
  <c r="A8926" i="1"/>
  <c r="C8926" i="1"/>
  <c r="A8927" i="1"/>
  <c r="C8927" i="1"/>
  <c r="A8928" i="1"/>
  <c r="C8928" i="1"/>
  <c r="A8929" i="1"/>
  <c r="C8929" i="1"/>
  <c r="A8930" i="1"/>
  <c r="C8930" i="1"/>
  <c r="A8931" i="1"/>
  <c r="C8931" i="1"/>
  <c r="A8932" i="1"/>
  <c r="C8932" i="1"/>
  <c r="A8933" i="1"/>
  <c r="C8933" i="1"/>
  <c r="A8934" i="1"/>
  <c r="C8934" i="1"/>
  <c r="A8935" i="1"/>
  <c r="C8935" i="1"/>
  <c r="A8936" i="1"/>
  <c r="C8936" i="1"/>
  <c r="A8937" i="1"/>
  <c r="C8937" i="1"/>
  <c r="A8938" i="1"/>
  <c r="C8938" i="1"/>
  <c r="A8939" i="1"/>
  <c r="C8939" i="1"/>
  <c r="A8940" i="1"/>
  <c r="C8940" i="1"/>
  <c r="A8941" i="1"/>
  <c r="C8941" i="1"/>
  <c r="A8942" i="1"/>
  <c r="C8942" i="1"/>
  <c r="A8943" i="1"/>
  <c r="C8943" i="1"/>
  <c r="A8944" i="1"/>
  <c r="C8944" i="1"/>
  <c r="A8945" i="1"/>
  <c r="C8945" i="1"/>
  <c r="A8946" i="1"/>
  <c r="C8946" i="1"/>
  <c r="A8947" i="1"/>
  <c r="C8947" i="1"/>
  <c r="A8948" i="1"/>
  <c r="C8948" i="1"/>
  <c r="A8949" i="1"/>
  <c r="C8949" i="1"/>
  <c r="A8950" i="1"/>
  <c r="C8950" i="1"/>
  <c r="A8951" i="1"/>
  <c r="C8951" i="1"/>
  <c r="A8952" i="1"/>
  <c r="C8952" i="1"/>
  <c r="A8953" i="1"/>
  <c r="C8953" i="1"/>
  <c r="A8954" i="1"/>
  <c r="C8954" i="1"/>
  <c r="A8955" i="1"/>
  <c r="C8955" i="1"/>
  <c r="A8956" i="1"/>
  <c r="C8956" i="1"/>
  <c r="A8957" i="1"/>
  <c r="C8957" i="1"/>
  <c r="A8958" i="1"/>
  <c r="C8958" i="1"/>
  <c r="A8959" i="1"/>
  <c r="C8959" i="1"/>
  <c r="A8960" i="1"/>
  <c r="C8960" i="1"/>
  <c r="A8961" i="1"/>
  <c r="C8961" i="1"/>
  <c r="A8962" i="1"/>
  <c r="C8962" i="1"/>
  <c r="A8963" i="1"/>
  <c r="C8963" i="1"/>
  <c r="A8964" i="1"/>
  <c r="C8964" i="1"/>
  <c r="A8965" i="1"/>
  <c r="C8965" i="1"/>
  <c r="A8966" i="1"/>
  <c r="C8966" i="1"/>
  <c r="A8967" i="1"/>
  <c r="C8967" i="1"/>
  <c r="A8968" i="1"/>
  <c r="C8968" i="1"/>
  <c r="A8969" i="1"/>
  <c r="C8969" i="1"/>
  <c r="A8970" i="1"/>
  <c r="C8970" i="1"/>
  <c r="A8971" i="1"/>
  <c r="C8971" i="1"/>
  <c r="A8972" i="1"/>
  <c r="C8972" i="1"/>
  <c r="A8973" i="1"/>
  <c r="C8973" i="1"/>
  <c r="A8974" i="1"/>
  <c r="C8974" i="1"/>
  <c r="A8975" i="1"/>
  <c r="C8975" i="1"/>
  <c r="A8976" i="1"/>
  <c r="C8976" i="1"/>
  <c r="A8977" i="1"/>
  <c r="C8977" i="1"/>
  <c r="A8978" i="1"/>
  <c r="C8978" i="1"/>
  <c r="A8979" i="1"/>
  <c r="C8979" i="1"/>
  <c r="A8980" i="1"/>
  <c r="C8980" i="1"/>
  <c r="A8981" i="1"/>
  <c r="C8981" i="1"/>
  <c r="A8982" i="1"/>
  <c r="C8982" i="1"/>
  <c r="A8983" i="1"/>
  <c r="C8983" i="1"/>
  <c r="A8984" i="1"/>
  <c r="C8984" i="1"/>
  <c r="A8985" i="1"/>
  <c r="C8985" i="1"/>
  <c r="A8986" i="1"/>
  <c r="C8986" i="1"/>
  <c r="A8987" i="1"/>
  <c r="C8987" i="1"/>
  <c r="A8988" i="1"/>
  <c r="C8988" i="1"/>
  <c r="A8989" i="1"/>
  <c r="C8989" i="1"/>
  <c r="A8990" i="1"/>
  <c r="C8990" i="1"/>
  <c r="A8991" i="1"/>
  <c r="C8991" i="1"/>
  <c r="A8992" i="1"/>
  <c r="C8992" i="1"/>
  <c r="A8993" i="1"/>
  <c r="C8993" i="1"/>
  <c r="A8994" i="1"/>
  <c r="C8994" i="1"/>
  <c r="A8995" i="1"/>
  <c r="C8995" i="1"/>
  <c r="A8996" i="1"/>
  <c r="C8996" i="1"/>
  <c r="A8997" i="1"/>
  <c r="C8997" i="1"/>
  <c r="A8998" i="1"/>
  <c r="C8998" i="1"/>
  <c r="A8999" i="1"/>
  <c r="C8999" i="1"/>
  <c r="A9000" i="1"/>
  <c r="C9000" i="1"/>
  <c r="A9001" i="1"/>
  <c r="C9001" i="1"/>
  <c r="A9002" i="1"/>
  <c r="C9002" i="1"/>
  <c r="A9003" i="1"/>
  <c r="C9003" i="1"/>
  <c r="A9004" i="1"/>
  <c r="C9004" i="1"/>
  <c r="A9005" i="1"/>
  <c r="C9005" i="1"/>
  <c r="A9006" i="1"/>
  <c r="C9006" i="1"/>
  <c r="A9007" i="1"/>
  <c r="C9007" i="1"/>
  <c r="A9008" i="1"/>
  <c r="C9008" i="1"/>
  <c r="A9009" i="1"/>
  <c r="C9009" i="1"/>
  <c r="A9010" i="1"/>
  <c r="C9010" i="1"/>
  <c r="A9011" i="1"/>
  <c r="C9011" i="1"/>
  <c r="A9012" i="1"/>
  <c r="C9012" i="1"/>
  <c r="A9013" i="1"/>
  <c r="C9013" i="1"/>
  <c r="A9014" i="1"/>
  <c r="C9014" i="1"/>
  <c r="A9015" i="1"/>
  <c r="C9015" i="1"/>
  <c r="A9016" i="1"/>
  <c r="C9016" i="1"/>
  <c r="A9017" i="1"/>
  <c r="C9017" i="1"/>
  <c r="A9018" i="1"/>
  <c r="C9018" i="1"/>
  <c r="A9019" i="1"/>
  <c r="C9019" i="1"/>
  <c r="A9020" i="1"/>
  <c r="C9020" i="1"/>
  <c r="A9021" i="1"/>
  <c r="C9021" i="1"/>
  <c r="A9022" i="1"/>
  <c r="C9022" i="1"/>
  <c r="A9023" i="1"/>
  <c r="C9023" i="1"/>
  <c r="A9024" i="1"/>
  <c r="C9024" i="1"/>
  <c r="A9025" i="1"/>
  <c r="C9025" i="1"/>
  <c r="A9026" i="1"/>
  <c r="C9026" i="1"/>
  <c r="A9027" i="1"/>
  <c r="C9027" i="1"/>
  <c r="A9028" i="1"/>
  <c r="C9028" i="1"/>
  <c r="A9029" i="1"/>
  <c r="C9029" i="1"/>
  <c r="A9030" i="1"/>
  <c r="C9030" i="1"/>
  <c r="A9031" i="1"/>
  <c r="C9031" i="1"/>
  <c r="A9032" i="1"/>
  <c r="C9032" i="1"/>
  <c r="A9033" i="1"/>
  <c r="C9033" i="1"/>
  <c r="A9034" i="1"/>
  <c r="C9034" i="1"/>
  <c r="A9035" i="1"/>
  <c r="C9035" i="1"/>
  <c r="A9036" i="1"/>
  <c r="C9036" i="1"/>
  <c r="A9037" i="1"/>
  <c r="C9037" i="1"/>
  <c r="A9038" i="1"/>
  <c r="C9038" i="1"/>
  <c r="A9039" i="1"/>
  <c r="C9039" i="1"/>
  <c r="A9040" i="1"/>
  <c r="C9040" i="1"/>
  <c r="A9041" i="1"/>
  <c r="C9041" i="1"/>
  <c r="A9042" i="1"/>
  <c r="C9042" i="1"/>
  <c r="A9043" i="1"/>
  <c r="C9043" i="1"/>
  <c r="A9044" i="1"/>
  <c r="C9044" i="1"/>
  <c r="A9045" i="1"/>
  <c r="C9045" i="1"/>
  <c r="A9046" i="1"/>
  <c r="C9046" i="1"/>
  <c r="A9047" i="1"/>
  <c r="C9047" i="1"/>
  <c r="A9048" i="1"/>
  <c r="C9048" i="1"/>
  <c r="A9049" i="1"/>
  <c r="C9049" i="1"/>
  <c r="A9050" i="1"/>
  <c r="C9050" i="1"/>
  <c r="A9051" i="1"/>
  <c r="C9051" i="1"/>
  <c r="A9052" i="1"/>
  <c r="C9052" i="1"/>
  <c r="A9053" i="1"/>
  <c r="C9053" i="1"/>
  <c r="A9054" i="1"/>
  <c r="C9054" i="1"/>
  <c r="A9055" i="1"/>
  <c r="C9055" i="1"/>
  <c r="A9056" i="1"/>
  <c r="C9056" i="1"/>
  <c r="A9057" i="1"/>
  <c r="C9057" i="1"/>
  <c r="A9058" i="1"/>
  <c r="C9058" i="1"/>
  <c r="A9059" i="1"/>
  <c r="C9059" i="1"/>
  <c r="A9060" i="1"/>
  <c r="C9060" i="1"/>
  <c r="A9061" i="1"/>
  <c r="C9061" i="1"/>
  <c r="A9062" i="1"/>
  <c r="C9062" i="1"/>
  <c r="A9063" i="1"/>
  <c r="C9063" i="1"/>
  <c r="A9064" i="1"/>
  <c r="C9064" i="1"/>
  <c r="A9065" i="1"/>
  <c r="C9065" i="1"/>
  <c r="A9066" i="1"/>
  <c r="C9066" i="1"/>
  <c r="A9067" i="1"/>
  <c r="C9067" i="1"/>
  <c r="A9068" i="1"/>
  <c r="C9068" i="1"/>
  <c r="A9069" i="1"/>
  <c r="C9069" i="1"/>
  <c r="A9070" i="1"/>
  <c r="C9070" i="1"/>
  <c r="A9071" i="1"/>
  <c r="C9071" i="1"/>
  <c r="A9072" i="1"/>
  <c r="C9072" i="1"/>
  <c r="A9073" i="1"/>
  <c r="C9073" i="1"/>
  <c r="A9074" i="1"/>
  <c r="C9074" i="1"/>
  <c r="A9075" i="1"/>
  <c r="C9075" i="1"/>
  <c r="A9076" i="1"/>
  <c r="C9076" i="1"/>
  <c r="A9077" i="1"/>
  <c r="C9077" i="1"/>
  <c r="A9078" i="1"/>
  <c r="C9078" i="1"/>
  <c r="A9079" i="1"/>
  <c r="C9079" i="1"/>
  <c r="A9080" i="1"/>
  <c r="C9080" i="1"/>
  <c r="A9081" i="1"/>
  <c r="C9081" i="1"/>
  <c r="A9082" i="1"/>
  <c r="C9082" i="1"/>
  <c r="A9083" i="1"/>
  <c r="C9083" i="1"/>
  <c r="A9084" i="1"/>
  <c r="C9084" i="1"/>
  <c r="A9085" i="1"/>
  <c r="C9085" i="1"/>
  <c r="A9086" i="1"/>
  <c r="C9086" i="1"/>
  <c r="A9087" i="1"/>
  <c r="C9087" i="1"/>
  <c r="A9088" i="1"/>
  <c r="C9088" i="1"/>
  <c r="A9089" i="1"/>
  <c r="C9089" i="1"/>
  <c r="A9090" i="1"/>
  <c r="C9090" i="1"/>
  <c r="A9091" i="1"/>
  <c r="C9091" i="1"/>
  <c r="A9092" i="1"/>
  <c r="C9092" i="1"/>
  <c r="A9093" i="1"/>
  <c r="C9093" i="1"/>
  <c r="A9094" i="1"/>
  <c r="C9094" i="1"/>
  <c r="A9095" i="1"/>
  <c r="C9095" i="1"/>
  <c r="A9096" i="1"/>
  <c r="C9096" i="1"/>
  <c r="A9097" i="1"/>
  <c r="C9097" i="1"/>
  <c r="A9098" i="1"/>
  <c r="C9098" i="1"/>
  <c r="A9099" i="1"/>
  <c r="C9099" i="1"/>
  <c r="A9100" i="1"/>
  <c r="C9100" i="1"/>
  <c r="A9101" i="1"/>
  <c r="C9101" i="1"/>
  <c r="A9102" i="1"/>
  <c r="C9102" i="1"/>
  <c r="A9103" i="1"/>
  <c r="C9103" i="1"/>
  <c r="A9104" i="1"/>
  <c r="C9104" i="1"/>
  <c r="A9105" i="1"/>
  <c r="C9105" i="1"/>
  <c r="A9106" i="1"/>
  <c r="C9106" i="1"/>
  <c r="A9107" i="1"/>
  <c r="C9107" i="1"/>
  <c r="A9108" i="1"/>
  <c r="C9108" i="1"/>
  <c r="A9109" i="1"/>
  <c r="C9109" i="1"/>
  <c r="A9110" i="1"/>
  <c r="C9110" i="1"/>
  <c r="A9111" i="1"/>
  <c r="C9111" i="1"/>
  <c r="A9112" i="1"/>
  <c r="C9112" i="1"/>
  <c r="A9113" i="1"/>
  <c r="C9113" i="1"/>
  <c r="A9114" i="1"/>
  <c r="C9114" i="1"/>
  <c r="A9115" i="1"/>
  <c r="C9115" i="1"/>
  <c r="A9116" i="1"/>
  <c r="C9116" i="1"/>
  <c r="A9117" i="1"/>
  <c r="C9117" i="1"/>
  <c r="A9118" i="1"/>
  <c r="C9118" i="1"/>
  <c r="A9119" i="1"/>
  <c r="C9119" i="1"/>
  <c r="A9120" i="1"/>
  <c r="C9120" i="1"/>
  <c r="A9121" i="1"/>
  <c r="C9121" i="1"/>
  <c r="A9122" i="1"/>
  <c r="C9122" i="1"/>
  <c r="A9123" i="1"/>
  <c r="C9123" i="1"/>
  <c r="A9124" i="1"/>
  <c r="C9124" i="1"/>
  <c r="A9125" i="1"/>
  <c r="C9125" i="1"/>
  <c r="A9126" i="1"/>
  <c r="C9126" i="1"/>
  <c r="A9127" i="1"/>
  <c r="C9127" i="1"/>
  <c r="A9128" i="1"/>
  <c r="C9128" i="1"/>
  <c r="A9129" i="1"/>
  <c r="C9129" i="1"/>
  <c r="A9130" i="1"/>
  <c r="C9130" i="1"/>
  <c r="A9131" i="1"/>
  <c r="C9131" i="1"/>
  <c r="A9132" i="1"/>
  <c r="C9132" i="1"/>
  <c r="A9133" i="1"/>
  <c r="C9133" i="1"/>
  <c r="A9134" i="1"/>
  <c r="C9134" i="1"/>
  <c r="A9135" i="1"/>
  <c r="C9135" i="1"/>
  <c r="A9136" i="1"/>
  <c r="C9136" i="1"/>
  <c r="A9137" i="1"/>
  <c r="C9137" i="1"/>
  <c r="A9138" i="1"/>
  <c r="C9138" i="1"/>
  <c r="A9139" i="1"/>
  <c r="C9139" i="1"/>
  <c r="A9140" i="1"/>
  <c r="C9140" i="1"/>
  <c r="A9141" i="1"/>
  <c r="C9141" i="1"/>
  <c r="A9142" i="1"/>
  <c r="C9142" i="1"/>
  <c r="A9143" i="1"/>
  <c r="C9143" i="1"/>
  <c r="A9144" i="1"/>
  <c r="C9144" i="1"/>
  <c r="A9145" i="1"/>
  <c r="C9145" i="1"/>
  <c r="A9146" i="1"/>
  <c r="C9146" i="1"/>
  <c r="A9147" i="1"/>
  <c r="C9147" i="1"/>
  <c r="A9148" i="1"/>
  <c r="C9148" i="1"/>
  <c r="A9149" i="1"/>
  <c r="C9149" i="1"/>
  <c r="A9150" i="1"/>
  <c r="C9150" i="1"/>
  <c r="A9151" i="1"/>
  <c r="C9151" i="1"/>
  <c r="A9152" i="1"/>
  <c r="C9152" i="1"/>
  <c r="A9153" i="1"/>
  <c r="C9153" i="1"/>
  <c r="A9154" i="1"/>
  <c r="C9154" i="1"/>
  <c r="A9155" i="1"/>
  <c r="C9155" i="1"/>
  <c r="A9156" i="1"/>
  <c r="C9156" i="1"/>
  <c r="A9157" i="1"/>
  <c r="C9157" i="1"/>
  <c r="A9158" i="1"/>
  <c r="C9158" i="1"/>
  <c r="A9159" i="1"/>
  <c r="C9159" i="1"/>
  <c r="A9160" i="1"/>
  <c r="C9160" i="1"/>
  <c r="A9161" i="1"/>
  <c r="C9161" i="1"/>
  <c r="A9162" i="1"/>
  <c r="C9162" i="1"/>
  <c r="A9163" i="1"/>
  <c r="C9163" i="1"/>
  <c r="A9164" i="1"/>
  <c r="C9164" i="1"/>
  <c r="A9165" i="1"/>
  <c r="C9165" i="1"/>
  <c r="A9166" i="1"/>
  <c r="C9166" i="1"/>
  <c r="A9167" i="1"/>
  <c r="C9167" i="1"/>
  <c r="A9168" i="1"/>
  <c r="C9168" i="1"/>
  <c r="A9169" i="1"/>
  <c r="C9169" i="1"/>
  <c r="A9170" i="1"/>
  <c r="C9170" i="1"/>
  <c r="A9171" i="1"/>
  <c r="C9171" i="1"/>
  <c r="A9172" i="1"/>
  <c r="C9172" i="1"/>
  <c r="A9173" i="1"/>
  <c r="C9173" i="1"/>
  <c r="A9174" i="1"/>
  <c r="C9174" i="1"/>
  <c r="A9175" i="1"/>
  <c r="C9175" i="1"/>
  <c r="A9176" i="1"/>
  <c r="C9176" i="1"/>
  <c r="A9177" i="1"/>
  <c r="C9177" i="1"/>
  <c r="A9178" i="1"/>
  <c r="C9178" i="1"/>
  <c r="A9179" i="1"/>
  <c r="C9179" i="1"/>
  <c r="A9180" i="1"/>
  <c r="C9180" i="1"/>
  <c r="A9181" i="1"/>
  <c r="C9181" i="1"/>
  <c r="A9182" i="1"/>
  <c r="C9182" i="1"/>
  <c r="A9183" i="1"/>
  <c r="C9183" i="1"/>
  <c r="A9184" i="1"/>
  <c r="C9184" i="1"/>
  <c r="A9185" i="1"/>
  <c r="C9185" i="1"/>
  <c r="A9186" i="1"/>
  <c r="C9186" i="1"/>
  <c r="A9187" i="1"/>
  <c r="C9187" i="1"/>
  <c r="A9188" i="1"/>
  <c r="C9188" i="1"/>
  <c r="A9189" i="1"/>
  <c r="C9189" i="1"/>
  <c r="A9190" i="1"/>
  <c r="C9190" i="1"/>
  <c r="A9191" i="1"/>
  <c r="C9191" i="1"/>
  <c r="A9192" i="1"/>
  <c r="C9192" i="1"/>
  <c r="A9193" i="1"/>
  <c r="C9193" i="1"/>
  <c r="A9194" i="1"/>
  <c r="C9194" i="1"/>
  <c r="A9195" i="1"/>
  <c r="C9195" i="1"/>
  <c r="A9196" i="1"/>
  <c r="C9196" i="1"/>
  <c r="A9197" i="1"/>
  <c r="C9197" i="1"/>
  <c r="A9198" i="1"/>
  <c r="C9198" i="1"/>
  <c r="A9199" i="1"/>
  <c r="C9199" i="1"/>
  <c r="A9200" i="1"/>
  <c r="C9200" i="1"/>
  <c r="A9201" i="1"/>
  <c r="C9201" i="1"/>
  <c r="A9202" i="1"/>
  <c r="C9202" i="1"/>
  <c r="A9203" i="1"/>
  <c r="C9203" i="1"/>
  <c r="A9204" i="1"/>
  <c r="C9204" i="1"/>
  <c r="A9205" i="1"/>
  <c r="C9205" i="1"/>
  <c r="A9206" i="1"/>
  <c r="C9206" i="1"/>
  <c r="A9207" i="1"/>
  <c r="C9207" i="1"/>
  <c r="A9208" i="1"/>
  <c r="C9208" i="1"/>
  <c r="A9209" i="1"/>
  <c r="C9209" i="1"/>
  <c r="A9210" i="1"/>
  <c r="C9210" i="1"/>
  <c r="A9211" i="1"/>
  <c r="C9211" i="1"/>
  <c r="A9212" i="1"/>
  <c r="C9212" i="1"/>
  <c r="A9213" i="1"/>
  <c r="C9213" i="1"/>
  <c r="A9214" i="1"/>
  <c r="C9214" i="1"/>
  <c r="A9215" i="1"/>
  <c r="C9215" i="1"/>
  <c r="A9216" i="1"/>
  <c r="C9216" i="1"/>
  <c r="A9217" i="1"/>
  <c r="C9217" i="1"/>
  <c r="A9218" i="1"/>
  <c r="C9218" i="1"/>
  <c r="A9219" i="1"/>
  <c r="C9219" i="1"/>
  <c r="A9220" i="1"/>
  <c r="C9220" i="1"/>
  <c r="A9221" i="1"/>
  <c r="C9221" i="1"/>
  <c r="A9222" i="1"/>
  <c r="C9222" i="1"/>
  <c r="A9223" i="1"/>
  <c r="C9223" i="1"/>
  <c r="A9224" i="1"/>
  <c r="C9224" i="1"/>
  <c r="A9225" i="1"/>
  <c r="C9225" i="1"/>
  <c r="A9226" i="1"/>
  <c r="C9226" i="1"/>
  <c r="A9227" i="1"/>
  <c r="C9227" i="1"/>
  <c r="A9228" i="1"/>
  <c r="C9228" i="1"/>
  <c r="A9229" i="1"/>
  <c r="C9229" i="1"/>
  <c r="A9230" i="1"/>
  <c r="C9230" i="1"/>
  <c r="A9231" i="1"/>
  <c r="C9231" i="1"/>
  <c r="A9232" i="1"/>
  <c r="C9232" i="1"/>
  <c r="A9233" i="1"/>
  <c r="C9233" i="1"/>
  <c r="A9234" i="1"/>
  <c r="C9234" i="1"/>
  <c r="A9235" i="1"/>
  <c r="C9235" i="1"/>
  <c r="A9236" i="1"/>
  <c r="C9236" i="1"/>
  <c r="A9237" i="1"/>
  <c r="C9237" i="1"/>
  <c r="A9238" i="1"/>
  <c r="C9238" i="1"/>
  <c r="A9239" i="1"/>
  <c r="C9239" i="1"/>
  <c r="A9240" i="1"/>
  <c r="C9240" i="1"/>
  <c r="A9241" i="1"/>
  <c r="C9241" i="1"/>
  <c r="A9242" i="1"/>
  <c r="C9242" i="1"/>
  <c r="A9243" i="1"/>
  <c r="C9243" i="1"/>
  <c r="A9244" i="1"/>
  <c r="C9244" i="1"/>
  <c r="A9245" i="1"/>
  <c r="C9245" i="1"/>
  <c r="A9246" i="1"/>
  <c r="C9246" i="1"/>
  <c r="A9247" i="1"/>
  <c r="C9247" i="1"/>
  <c r="A9248" i="1"/>
  <c r="C9248" i="1"/>
  <c r="A9249" i="1"/>
  <c r="C9249" i="1"/>
  <c r="A9250" i="1"/>
  <c r="C9250" i="1"/>
  <c r="A9251" i="1"/>
  <c r="C9251" i="1"/>
  <c r="A9252" i="1"/>
  <c r="C9252" i="1"/>
  <c r="A9253" i="1"/>
  <c r="C9253" i="1"/>
  <c r="A9254" i="1"/>
  <c r="C9254" i="1"/>
  <c r="A9255" i="1"/>
  <c r="C9255" i="1"/>
  <c r="A9256" i="1"/>
  <c r="C9256" i="1"/>
  <c r="A9257" i="1"/>
  <c r="C9257" i="1"/>
  <c r="A9258" i="1"/>
  <c r="C9258" i="1"/>
  <c r="A9259" i="1"/>
  <c r="C9259" i="1"/>
  <c r="A9260" i="1"/>
  <c r="C9260" i="1"/>
  <c r="A9261" i="1"/>
  <c r="C9261" i="1"/>
  <c r="A9262" i="1"/>
  <c r="C9262" i="1"/>
  <c r="A9263" i="1"/>
  <c r="C9263" i="1"/>
  <c r="A9264" i="1"/>
  <c r="C9264" i="1"/>
  <c r="A9265" i="1"/>
  <c r="C9265" i="1"/>
  <c r="A9266" i="1"/>
  <c r="C9266" i="1"/>
  <c r="A9267" i="1"/>
  <c r="C9267" i="1"/>
  <c r="A9268" i="1"/>
  <c r="C9268" i="1"/>
  <c r="A9269" i="1"/>
  <c r="C9269" i="1"/>
  <c r="A9270" i="1"/>
  <c r="C9270" i="1"/>
  <c r="A9271" i="1"/>
  <c r="C9271" i="1"/>
  <c r="A9272" i="1"/>
  <c r="C9272" i="1"/>
  <c r="A9273" i="1"/>
  <c r="C9273" i="1"/>
  <c r="A9274" i="1"/>
  <c r="C9274" i="1"/>
  <c r="A9275" i="1"/>
  <c r="C9275" i="1"/>
  <c r="A9276" i="1"/>
  <c r="C9276" i="1"/>
  <c r="A9277" i="1"/>
  <c r="C9277" i="1"/>
  <c r="A9278" i="1"/>
  <c r="C9278" i="1"/>
  <c r="A9279" i="1"/>
  <c r="C9279" i="1"/>
  <c r="A9280" i="1"/>
  <c r="C9280" i="1"/>
  <c r="A9281" i="1"/>
  <c r="C9281" i="1"/>
  <c r="A9282" i="1"/>
  <c r="C9282" i="1"/>
  <c r="A9283" i="1"/>
  <c r="C9283" i="1"/>
  <c r="A9284" i="1"/>
  <c r="C9284" i="1"/>
  <c r="A9285" i="1"/>
  <c r="C9285" i="1"/>
  <c r="A9286" i="1"/>
  <c r="C9286" i="1"/>
  <c r="A9287" i="1"/>
  <c r="C9287" i="1"/>
  <c r="A9288" i="1"/>
  <c r="C9288" i="1"/>
  <c r="A9289" i="1"/>
  <c r="C9289" i="1"/>
  <c r="A9290" i="1"/>
  <c r="C9290" i="1"/>
  <c r="A9291" i="1"/>
  <c r="C9291" i="1"/>
  <c r="A9292" i="1"/>
  <c r="C9292" i="1"/>
  <c r="A9293" i="1"/>
  <c r="C9293" i="1"/>
  <c r="A9294" i="1"/>
  <c r="C9294" i="1"/>
  <c r="A9295" i="1"/>
  <c r="C9295" i="1"/>
  <c r="A9296" i="1"/>
  <c r="C9296" i="1"/>
  <c r="A9297" i="1"/>
  <c r="C9297" i="1"/>
  <c r="A9298" i="1"/>
  <c r="C9298" i="1"/>
  <c r="A9299" i="1"/>
  <c r="C9299" i="1"/>
  <c r="A9300" i="1"/>
  <c r="C9300" i="1"/>
  <c r="A9301" i="1"/>
  <c r="C9301" i="1"/>
  <c r="A9302" i="1"/>
  <c r="C9302" i="1"/>
  <c r="A9303" i="1"/>
  <c r="C9303" i="1"/>
  <c r="A9304" i="1"/>
  <c r="C9304" i="1"/>
  <c r="A9305" i="1"/>
  <c r="C9305" i="1"/>
  <c r="A9306" i="1"/>
  <c r="C9306" i="1"/>
  <c r="A9307" i="1"/>
  <c r="C9307" i="1"/>
  <c r="A9308" i="1"/>
  <c r="C9308" i="1"/>
  <c r="A9309" i="1"/>
  <c r="C9309" i="1"/>
  <c r="A9310" i="1"/>
  <c r="C9310" i="1"/>
  <c r="A9311" i="1"/>
  <c r="C9311" i="1"/>
  <c r="A9312" i="1"/>
  <c r="C9312" i="1"/>
  <c r="A9313" i="1"/>
  <c r="C9313" i="1"/>
  <c r="A9314" i="1"/>
  <c r="C9314" i="1"/>
  <c r="A9315" i="1"/>
  <c r="C9315" i="1"/>
  <c r="A9316" i="1"/>
  <c r="C9316" i="1"/>
  <c r="A9317" i="1"/>
  <c r="C9317" i="1"/>
  <c r="A9318" i="1"/>
  <c r="C9318" i="1"/>
  <c r="A9319" i="1"/>
  <c r="C9319" i="1"/>
  <c r="A9320" i="1"/>
  <c r="C9320" i="1"/>
  <c r="A9321" i="1"/>
  <c r="C9321" i="1"/>
  <c r="A9322" i="1"/>
  <c r="C9322" i="1"/>
  <c r="A9323" i="1"/>
  <c r="C9323" i="1"/>
  <c r="A9324" i="1"/>
  <c r="C9324" i="1"/>
  <c r="A9325" i="1"/>
  <c r="C9325" i="1"/>
  <c r="A9326" i="1"/>
  <c r="C9326" i="1"/>
  <c r="A9327" i="1"/>
  <c r="C9327" i="1"/>
  <c r="A9328" i="1"/>
  <c r="C9328" i="1"/>
  <c r="A9329" i="1"/>
  <c r="C9329" i="1"/>
  <c r="A9330" i="1"/>
  <c r="C9330" i="1"/>
  <c r="A9331" i="1"/>
  <c r="C9331" i="1"/>
  <c r="A9332" i="1"/>
  <c r="C9332" i="1"/>
  <c r="A9333" i="1"/>
  <c r="C9333" i="1"/>
  <c r="A9334" i="1"/>
  <c r="C9334" i="1"/>
  <c r="A9335" i="1"/>
  <c r="C9335" i="1"/>
  <c r="A9336" i="1"/>
  <c r="C9336" i="1"/>
  <c r="A9337" i="1"/>
  <c r="C9337" i="1"/>
  <c r="A9338" i="1"/>
  <c r="C9338" i="1"/>
  <c r="A9339" i="1"/>
  <c r="C9339" i="1"/>
  <c r="A9340" i="1"/>
  <c r="C9340" i="1"/>
  <c r="A9341" i="1"/>
  <c r="C9341" i="1"/>
  <c r="A9342" i="1"/>
  <c r="C9342" i="1"/>
  <c r="A9343" i="1"/>
  <c r="C9343" i="1"/>
  <c r="A9344" i="1"/>
  <c r="C9344" i="1"/>
  <c r="A9345" i="1"/>
  <c r="C9345" i="1"/>
  <c r="A9346" i="1"/>
  <c r="C9346" i="1"/>
  <c r="A9347" i="1"/>
  <c r="C9347" i="1"/>
  <c r="A9348" i="1"/>
  <c r="C9348" i="1"/>
  <c r="A9349" i="1"/>
  <c r="C9349" i="1"/>
  <c r="A9350" i="1"/>
  <c r="C9350" i="1"/>
  <c r="A9351" i="1"/>
  <c r="C9351" i="1"/>
  <c r="A9352" i="1"/>
  <c r="C9352" i="1"/>
  <c r="A9353" i="1"/>
  <c r="C9353" i="1"/>
  <c r="A9354" i="1"/>
  <c r="C9354" i="1"/>
  <c r="A9355" i="1"/>
  <c r="C9355" i="1"/>
  <c r="A9356" i="1"/>
  <c r="C9356" i="1"/>
  <c r="A9357" i="1"/>
  <c r="C9357" i="1"/>
  <c r="A9358" i="1"/>
  <c r="C9358" i="1"/>
  <c r="A9359" i="1"/>
  <c r="C9359" i="1"/>
  <c r="A9360" i="1"/>
  <c r="C9360" i="1"/>
  <c r="A9361" i="1"/>
  <c r="C9361" i="1"/>
  <c r="A9362" i="1"/>
  <c r="C9362" i="1"/>
  <c r="A9363" i="1"/>
  <c r="C9363" i="1"/>
  <c r="A9364" i="1"/>
  <c r="C9364" i="1"/>
  <c r="A9365" i="1"/>
  <c r="C9365" i="1"/>
  <c r="A9366" i="1"/>
  <c r="C9366" i="1"/>
  <c r="A9367" i="1"/>
  <c r="C9367" i="1"/>
  <c r="A9368" i="1"/>
  <c r="C9368" i="1"/>
  <c r="A9369" i="1"/>
  <c r="C9369" i="1"/>
  <c r="A9370" i="1"/>
  <c r="C9370" i="1"/>
  <c r="A9371" i="1"/>
  <c r="C9371" i="1"/>
  <c r="A9372" i="1"/>
  <c r="C9372" i="1"/>
  <c r="A9373" i="1"/>
  <c r="C9373" i="1"/>
  <c r="A9374" i="1"/>
  <c r="C9374" i="1"/>
  <c r="A9375" i="1"/>
  <c r="C9375" i="1"/>
  <c r="A9376" i="1"/>
  <c r="C9376" i="1"/>
  <c r="A9377" i="1"/>
  <c r="C9377" i="1"/>
  <c r="A9378" i="1"/>
  <c r="C9378" i="1"/>
  <c r="A9379" i="1"/>
  <c r="C9379" i="1"/>
  <c r="A9380" i="1"/>
  <c r="C9380" i="1"/>
  <c r="A9381" i="1"/>
  <c r="C9381" i="1"/>
  <c r="A9382" i="1"/>
  <c r="C9382" i="1"/>
  <c r="A9383" i="1"/>
  <c r="C9383" i="1"/>
  <c r="A9384" i="1"/>
  <c r="C9384" i="1"/>
  <c r="A9385" i="1"/>
  <c r="C9385" i="1"/>
  <c r="A9386" i="1"/>
  <c r="C9386" i="1"/>
  <c r="A9387" i="1"/>
  <c r="C9387" i="1"/>
  <c r="A9388" i="1"/>
  <c r="C9388" i="1"/>
  <c r="A9389" i="1"/>
  <c r="C9389" i="1"/>
  <c r="A9390" i="1"/>
  <c r="C9390" i="1"/>
  <c r="A9391" i="1"/>
  <c r="C9391" i="1"/>
  <c r="A9392" i="1"/>
  <c r="C9392" i="1"/>
  <c r="A9393" i="1"/>
  <c r="C9393" i="1"/>
  <c r="A9394" i="1"/>
  <c r="C9394" i="1"/>
  <c r="A9395" i="1"/>
  <c r="C9395" i="1"/>
  <c r="A9396" i="1"/>
  <c r="C9396" i="1"/>
  <c r="A9397" i="1"/>
  <c r="C9397" i="1"/>
  <c r="A9398" i="1"/>
  <c r="C9398" i="1"/>
  <c r="A9399" i="1"/>
  <c r="C9399" i="1"/>
  <c r="A9400" i="1"/>
  <c r="C9400" i="1"/>
  <c r="A9401" i="1"/>
  <c r="C9401" i="1"/>
  <c r="A9402" i="1"/>
  <c r="C9402" i="1"/>
  <c r="A9403" i="1"/>
  <c r="C9403" i="1"/>
  <c r="A9404" i="1"/>
  <c r="C9404" i="1"/>
  <c r="A9405" i="1"/>
  <c r="C9405" i="1"/>
  <c r="A9406" i="1"/>
  <c r="C9406" i="1"/>
  <c r="A9407" i="1"/>
  <c r="C9407" i="1"/>
  <c r="A9408" i="1"/>
  <c r="C9408" i="1"/>
  <c r="A9409" i="1"/>
  <c r="C9409" i="1"/>
  <c r="A9410" i="1"/>
  <c r="C9410" i="1"/>
  <c r="A9411" i="1"/>
  <c r="C9411" i="1"/>
  <c r="A9412" i="1"/>
  <c r="C9412" i="1"/>
  <c r="A9413" i="1"/>
  <c r="C9413" i="1"/>
  <c r="A9414" i="1"/>
  <c r="C9414" i="1"/>
  <c r="A9415" i="1"/>
  <c r="C9415" i="1"/>
  <c r="A9416" i="1"/>
  <c r="C9416" i="1"/>
  <c r="A9417" i="1"/>
  <c r="C9417" i="1"/>
  <c r="A9418" i="1"/>
  <c r="C9418" i="1"/>
  <c r="A9419" i="1"/>
  <c r="C9419" i="1"/>
  <c r="A9420" i="1"/>
  <c r="C9420" i="1"/>
  <c r="A9421" i="1"/>
  <c r="C9421" i="1"/>
  <c r="A9422" i="1"/>
  <c r="C9422" i="1"/>
  <c r="A9423" i="1"/>
  <c r="C9423" i="1"/>
  <c r="A9424" i="1"/>
  <c r="C9424" i="1"/>
  <c r="A9425" i="1"/>
  <c r="C9425" i="1"/>
  <c r="A9426" i="1"/>
  <c r="C9426" i="1"/>
  <c r="A9427" i="1"/>
  <c r="C9427" i="1"/>
  <c r="A9428" i="1"/>
  <c r="C9428" i="1"/>
  <c r="A9429" i="1"/>
  <c r="C9429" i="1"/>
  <c r="A9430" i="1"/>
  <c r="C9430" i="1"/>
  <c r="A9431" i="1"/>
  <c r="C9431" i="1"/>
  <c r="A9432" i="1"/>
  <c r="C9432" i="1"/>
  <c r="A9433" i="1"/>
  <c r="C9433" i="1"/>
  <c r="A9434" i="1"/>
  <c r="C9434" i="1"/>
  <c r="A9435" i="1"/>
  <c r="C9435" i="1"/>
  <c r="A9436" i="1"/>
  <c r="C9436" i="1"/>
  <c r="A9437" i="1"/>
  <c r="C9437" i="1"/>
  <c r="A9438" i="1"/>
  <c r="C9438" i="1"/>
  <c r="A9439" i="1"/>
  <c r="C9439" i="1"/>
  <c r="A9440" i="1"/>
  <c r="C9440" i="1"/>
  <c r="A9441" i="1"/>
  <c r="C9441" i="1"/>
  <c r="A9442" i="1"/>
  <c r="C9442" i="1"/>
  <c r="A9443" i="1"/>
  <c r="C9443" i="1"/>
  <c r="A9444" i="1"/>
  <c r="C9444" i="1"/>
  <c r="A9445" i="1"/>
  <c r="C9445" i="1"/>
  <c r="A9446" i="1"/>
  <c r="C9446" i="1"/>
  <c r="A9447" i="1"/>
  <c r="C9447" i="1"/>
  <c r="A9448" i="1"/>
  <c r="C9448" i="1"/>
  <c r="A9449" i="1"/>
  <c r="C9449" i="1"/>
  <c r="A9450" i="1"/>
  <c r="C9450" i="1"/>
  <c r="A9451" i="1"/>
  <c r="C9451" i="1"/>
  <c r="A9452" i="1"/>
  <c r="C9452" i="1"/>
  <c r="A9453" i="1"/>
  <c r="C9453" i="1"/>
  <c r="A9454" i="1"/>
  <c r="C9454" i="1"/>
  <c r="A9455" i="1"/>
  <c r="C9455" i="1"/>
  <c r="A9456" i="1"/>
  <c r="C9456" i="1"/>
  <c r="A9457" i="1"/>
  <c r="C9457" i="1"/>
  <c r="A9458" i="1"/>
  <c r="C9458" i="1"/>
  <c r="A9459" i="1"/>
  <c r="C9459" i="1"/>
  <c r="A9460" i="1"/>
  <c r="C9460" i="1"/>
  <c r="A9461" i="1"/>
  <c r="C9461" i="1"/>
  <c r="A9462" i="1"/>
  <c r="C9462" i="1"/>
  <c r="A9463" i="1"/>
  <c r="C9463" i="1"/>
  <c r="A9464" i="1"/>
  <c r="C9464" i="1"/>
  <c r="A9465" i="1"/>
  <c r="C9465" i="1"/>
  <c r="A9466" i="1"/>
  <c r="C9466" i="1"/>
  <c r="A9467" i="1"/>
  <c r="C9467" i="1"/>
  <c r="A9468" i="1"/>
  <c r="C9468" i="1"/>
  <c r="A9469" i="1"/>
  <c r="C9469" i="1"/>
  <c r="A9470" i="1"/>
  <c r="C9470" i="1"/>
  <c r="A9471" i="1"/>
  <c r="C9471" i="1"/>
  <c r="A9472" i="1"/>
  <c r="C9472" i="1"/>
  <c r="A9473" i="1"/>
  <c r="C9473" i="1"/>
  <c r="A9474" i="1"/>
  <c r="C9474" i="1"/>
  <c r="A9475" i="1"/>
  <c r="C9475" i="1"/>
  <c r="A9476" i="1"/>
  <c r="C9476" i="1"/>
  <c r="A9477" i="1"/>
  <c r="C9477" i="1"/>
  <c r="A9478" i="1"/>
  <c r="C9478" i="1"/>
  <c r="A9479" i="1"/>
  <c r="C9479" i="1"/>
  <c r="A9480" i="1"/>
  <c r="C9480" i="1"/>
  <c r="A9481" i="1"/>
  <c r="C9481" i="1"/>
  <c r="A9482" i="1"/>
  <c r="C9482" i="1"/>
  <c r="A9483" i="1"/>
  <c r="C9483" i="1"/>
  <c r="A9484" i="1"/>
  <c r="C9484" i="1"/>
  <c r="A9485" i="1"/>
  <c r="C9485" i="1"/>
  <c r="A9486" i="1"/>
  <c r="C9486" i="1"/>
  <c r="A9487" i="1"/>
  <c r="C9487" i="1"/>
  <c r="A9488" i="1"/>
  <c r="C9488" i="1"/>
  <c r="A9489" i="1"/>
  <c r="C9489" i="1"/>
  <c r="A9490" i="1"/>
  <c r="C9490" i="1"/>
  <c r="A9491" i="1"/>
  <c r="C9491" i="1"/>
  <c r="A9492" i="1"/>
  <c r="C9492" i="1"/>
  <c r="A9493" i="1"/>
  <c r="C9493" i="1"/>
  <c r="A9494" i="1"/>
  <c r="C9494" i="1"/>
  <c r="A9495" i="1"/>
  <c r="C9495" i="1"/>
  <c r="A9496" i="1"/>
  <c r="C9496" i="1"/>
  <c r="A9497" i="1"/>
  <c r="C9497" i="1"/>
  <c r="A9498" i="1"/>
  <c r="C9498" i="1"/>
  <c r="A9499" i="1"/>
  <c r="C9499" i="1"/>
  <c r="A9500" i="1"/>
  <c r="C9500" i="1"/>
  <c r="A9501" i="1"/>
  <c r="C9501" i="1"/>
  <c r="A9502" i="1"/>
  <c r="C9502" i="1"/>
  <c r="A9503" i="1"/>
  <c r="C9503" i="1"/>
  <c r="A9504" i="1"/>
  <c r="C9504" i="1"/>
  <c r="A9505" i="1"/>
  <c r="C9505" i="1"/>
  <c r="A9506" i="1"/>
  <c r="C9506" i="1"/>
  <c r="A9507" i="1"/>
  <c r="C9507" i="1"/>
  <c r="A9508" i="1"/>
  <c r="C9508" i="1"/>
  <c r="A9509" i="1"/>
  <c r="C9509" i="1"/>
  <c r="A9510" i="1"/>
  <c r="C9510" i="1"/>
  <c r="A9511" i="1"/>
  <c r="C9511" i="1"/>
  <c r="A9512" i="1"/>
  <c r="C9512" i="1"/>
  <c r="A9513" i="1"/>
  <c r="C9513" i="1"/>
  <c r="A9514" i="1"/>
  <c r="C9514" i="1"/>
  <c r="A9515" i="1"/>
  <c r="C9515" i="1"/>
  <c r="A9516" i="1"/>
  <c r="C9516" i="1"/>
  <c r="A9517" i="1"/>
  <c r="C9517" i="1"/>
  <c r="A9518" i="1"/>
  <c r="C9518" i="1"/>
  <c r="A9519" i="1"/>
  <c r="C9519" i="1"/>
  <c r="A9520" i="1"/>
  <c r="C9520" i="1"/>
  <c r="A9521" i="1"/>
  <c r="C9521" i="1"/>
  <c r="A9522" i="1"/>
  <c r="C9522" i="1"/>
  <c r="A9523" i="1"/>
  <c r="C9523" i="1"/>
  <c r="A9524" i="1"/>
  <c r="C9524" i="1"/>
  <c r="A9525" i="1"/>
  <c r="C9525" i="1"/>
  <c r="A9526" i="1"/>
  <c r="C9526" i="1"/>
  <c r="A9527" i="1"/>
  <c r="C9527" i="1"/>
  <c r="A9528" i="1"/>
  <c r="C9528" i="1"/>
  <c r="A9529" i="1"/>
  <c r="C9529" i="1"/>
  <c r="A9530" i="1"/>
  <c r="C9530" i="1"/>
  <c r="A9531" i="1"/>
  <c r="C9531" i="1"/>
  <c r="A9532" i="1"/>
  <c r="C9532" i="1"/>
  <c r="A9533" i="1"/>
  <c r="C9533" i="1"/>
  <c r="A9534" i="1"/>
  <c r="C9534" i="1"/>
  <c r="A9535" i="1"/>
  <c r="C9535" i="1"/>
  <c r="A9536" i="1"/>
  <c r="C9536" i="1"/>
  <c r="A9537" i="1"/>
  <c r="C9537" i="1"/>
  <c r="A9538" i="1"/>
  <c r="C9538" i="1"/>
  <c r="A9539" i="1"/>
  <c r="C9539" i="1"/>
  <c r="A9540" i="1"/>
  <c r="C9540" i="1"/>
  <c r="A9541" i="1"/>
  <c r="C9541" i="1"/>
  <c r="A9542" i="1"/>
  <c r="C9542" i="1"/>
  <c r="A9543" i="1"/>
  <c r="C9543" i="1"/>
  <c r="A9544" i="1"/>
  <c r="C9544" i="1"/>
  <c r="A9545" i="1"/>
  <c r="C9545" i="1"/>
  <c r="A9546" i="1"/>
  <c r="C9546" i="1"/>
  <c r="A9547" i="1"/>
  <c r="C9547" i="1"/>
  <c r="A9548" i="1"/>
  <c r="C9548" i="1"/>
  <c r="A9549" i="1"/>
  <c r="C9549" i="1"/>
  <c r="A9550" i="1"/>
  <c r="C9550" i="1"/>
  <c r="A9551" i="1"/>
  <c r="C9551" i="1"/>
  <c r="A9552" i="1"/>
  <c r="C9552" i="1"/>
  <c r="A9553" i="1"/>
  <c r="C9553" i="1"/>
  <c r="A9554" i="1"/>
  <c r="C9554" i="1"/>
  <c r="A9555" i="1"/>
  <c r="C9555" i="1"/>
  <c r="A9556" i="1"/>
  <c r="C9556" i="1"/>
  <c r="A9557" i="1"/>
  <c r="C9557" i="1"/>
  <c r="A9558" i="1"/>
  <c r="C9558" i="1"/>
  <c r="A9559" i="1"/>
  <c r="C9559" i="1"/>
  <c r="A9560" i="1"/>
  <c r="C9560" i="1"/>
  <c r="A9561" i="1"/>
  <c r="C9561" i="1"/>
  <c r="A9562" i="1"/>
  <c r="C9562" i="1"/>
  <c r="A9563" i="1"/>
  <c r="C9563" i="1"/>
  <c r="A9564" i="1"/>
  <c r="C9564" i="1"/>
  <c r="A9565" i="1"/>
  <c r="C9565" i="1"/>
  <c r="A9566" i="1"/>
  <c r="C9566" i="1"/>
  <c r="A9567" i="1"/>
  <c r="C9567" i="1"/>
  <c r="A9568" i="1"/>
  <c r="C9568" i="1"/>
  <c r="A9569" i="1"/>
  <c r="C9569" i="1"/>
  <c r="A9570" i="1"/>
  <c r="C9570" i="1"/>
  <c r="A9571" i="1"/>
  <c r="C9571" i="1"/>
  <c r="A9572" i="1"/>
  <c r="C9572" i="1"/>
  <c r="A9573" i="1"/>
  <c r="C9573" i="1"/>
  <c r="A9574" i="1"/>
  <c r="C9574" i="1"/>
  <c r="A9575" i="1"/>
  <c r="C9575" i="1"/>
  <c r="A9576" i="1"/>
  <c r="C9576" i="1"/>
  <c r="A9577" i="1"/>
  <c r="C9577" i="1"/>
  <c r="A9578" i="1"/>
  <c r="C9578" i="1"/>
  <c r="A9579" i="1"/>
  <c r="C9579" i="1"/>
  <c r="A9580" i="1"/>
  <c r="C9580" i="1"/>
  <c r="A9581" i="1"/>
  <c r="C9581" i="1"/>
  <c r="A9582" i="1"/>
  <c r="C9582" i="1"/>
  <c r="A9583" i="1"/>
  <c r="C9583" i="1"/>
  <c r="A9584" i="1"/>
  <c r="C9584" i="1"/>
  <c r="A9585" i="1"/>
  <c r="C9585" i="1"/>
  <c r="A9586" i="1"/>
  <c r="C9586" i="1"/>
  <c r="A9587" i="1"/>
  <c r="C9587" i="1"/>
  <c r="A9588" i="1"/>
  <c r="C9588" i="1"/>
  <c r="A9589" i="1"/>
  <c r="C9589" i="1"/>
  <c r="A9590" i="1"/>
  <c r="C9590" i="1"/>
  <c r="A9591" i="1"/>
  <c r="C9591" i="1"/>
  <c r="A9592" i="1"/>
  <c r="C9592" i="1"/>
  <c r="A9593" i="1"/>
  <c r="C9593" i="1"/>
  <c r="A9594" i="1"/>
  <c r="C9594" i="1"/>
  <c r="A9595" i="1"/>
  <c r="C9595" i="1"/>
  <c r="A9596" i="1"/>
  <c r="C9596" i="1"/>
  <c r="A9597" i="1"/>
  <c r="C9597" i="1"/>
  <c r="A9598" i="1"/>
  <c r="C9598" i="1"/>
  <c r="A9599" i="1"/>
  <c r="C9599" i="1"/>
  <c r="A9600" i="1"/>
  <c r="C9600" i="1"/>
  <c r="A9601" i="1"/>
  <c r="C9601" i="1"/>
  <c r="A9602" i="1"/>
  <c r="C9602" i="1"/>
  <c r="A9603" i="1"/>
  <c r="C9603" i="1"/>
  <c r="A9604" i="1"/>
  <c r="C9604" i="1"/>
  <c r="A9605" i="1"/>
  <c r="C9605" i="1"/>
  <c r="A9606" i="1"/>
  <c r="C9606" i="1"/>
  <c r="A9607" i="1"/>
  <c r="C9607" i="1"/>
  <c r="A9608" i="1"/>
  <c r="C9608" i="1"/>
  <c r="A9609" i="1"/>
  <c r="C9609" i="1"/>
  <c r="A9610" i="1"/>
  <c r="C9610" i="1"/>
  <c r="A9611" i="1"/>
  <c r="C9611" i="1"/>
  <c r="A9612" i="1"/>
  <c r="C9612" i="1"/>
  <c r="A9613" i="1"/>
  <c r="C9613" i="1"/>
  <c r="A9614" i="1"/>
  <c r="C9614" i="1"/>
  <c r="A9615" i="1"/>
  <c r="C9615" i="1"/>
  <c r="A9616" i="1"/>
  <c r="C9616" i="1"/>
  <c r="A9617" i="1"/>
  <c r="C9617" i="1"/>
  <c r="A9618" i="1"/>
  <c r="C9618" i="1"/>
  <c r="A9619" i="1"/>
  <c r="C9619" i="1"/>
  <c r="A9620" i="1"/>
  <c r="C9620" i="1"/>
  <c r="A9621" i="1"/>
  <c r="C9621" i="1"/>
  <c r="A9622" i="1"/>
  <c r="C9622" i="1"/>
  <c r="A9623" i="1"/>
  <c r="C9623" i="1"/>
  <c r="A9624" i="1"/>
  <c r="C9624" i="1"/>
  <c r="A9625" i="1"/>
  <c r="C9625" i="1"/>
  <c r="A9626" i="1"/>
  <c r="C9626" i="1"/>
  <c r="A9627" i="1"/>
  <c r="C9627" i="1"/>
  <c r="A9628" i="1"/>
  <c r="C9628" i="1"/>
  <c r="A9629" i="1"/>
  <c r="C9629" i="1"/>
  <c r="A9630" i="1"/>
  <c r="C9630" i="1"/>
  <c r="A9631" i="1"/>
  <c r="C9631" i="1"/>
  <c r="A9632" i="1"/>
  <c r="C9632" i="1"/>
  <c r="A9633" i="1"/>
  <c r="C9633" i="1"/>
  <c r="A9634" i="1"/>
  <c r="C9634" i="1"/>
  <c r="A9635" i="1"/>
  <c r="C9635" i="1"/>
  <c r="A9636" i="1"/>
  <c r="C9636" i="1"/>
  <c r="A9637" i="1"/>
  <c r="C9637" i="1"/>
  <c r="A9638" i="1"/>
  <c r="C9638" i="1"/>
  <c r="A9639" i="1"/>
  <c r="C9639" i="1"/>
  <c r="A9640" i="1"/>
  <c r="C9640" i="1"/>
  <c r="A9641" i="1"/>
  <c r="C9641" i="1"/>
  <c r="A9642" i="1"/>
  <c r="C9642" i="1"/>
  <c r="A9643" i="1"/>
  <c r="C9643" i="1"/>
  <c r="A9644" i="1"/>
  <c r="C9644" i="1"/>
  <c r="A9645" i="1"/>
  <c r="C9645" i="1"/>
  <c r="A9646" i="1"/>
  <c r="C9646" i="1"/>
  <c r="A9647" i="1"/>
  <c r="C9647" i="1"/>
  <c r="A9648" i="1"/>
  <c r="C9648" i="1"/>
  <c r="A9649" i="1"/>
  <c r="C9649" i="1"/>
  <c r="A9650" i="1"/>
  <c r="C9650" i="1"/>
  <c r="A9651" i="1"/>
  <c r="C9651" i="1"/>
  <c r="A9652" i="1"/>
  <c r="C9652" i="1"/>
  <c r="A9653" i="1"/>
  <c r="C9653" i="1"/>
  <c r="A9654" i="1"/>
  <c r="C9654" i="1"/>
  <c r="A9655" i="1"/>
  <c r="C9655" i="1"/>
  <c r="A9656" i="1"/>
  <c r="C9656" i="1"/>
  <c r="A9657" i="1"/>
  <c r="C9657" i="1"/>
  <c r="A9658" i="1"/>
  <c r="C9658" i="1"/>
  <c r="A9659" i="1"/>
  <c r="C9659" i="1"/>
  <c r="A9660" i="1"/>
  <c r="C9660" i="1"/>
  <c r="A9661" i="1"/>
  <c r="C9661" i="1"/>
  <c r="A9662" i="1"/>
  <c r="C9662" i="1"/>
  <c r="A9663" i="1"/>
  <c r="C9663" i="1"/>
  <c r="A9664" i="1"/>
  <c r="C9664" i="1"/>
  <c r="A9665" i="1"/>
  <c r="C9665" i="1"/>
  <c r="A9666" i="1"/>
  <c r="C9666" i="1"/>
  <c r="A9667" i="1"/>
  <c r="C9667" i="1"/>
  <c r="A9668" i="1"/>
  <c r="C9668" i="1"/>
  <c r="A9669" i="1"/>
  <c r="C9669" i="1"/>
  <c r="A9670" i="1"/>
  <c r="C9670" i="1"/>
  <c r="A9671" i="1"/>
  <c r="C9671" i="1"/>
  <c r="A9672" i="1"/>
  <c r="C9672" i="1"/>
  <c r="A9673" i="1"/>
  <c r="C9673" i="1"/>
  <c r="A9674" i="1"/>
  <c r="C9674" i="1"/>
  <c r="A9675" i="1"/>
  <c r="C9675" i="1"/>
  <c r="A9676" i="1"/>
  <c r="C9676" i="1"/>
  <c r="A9677" i="1"/>
  <c r="C9677" i="1"/>
  <c r="A9678" i="1"/>
  <c r="C9678" i="1"/>
  <c r="A9679" i="1"/>
  <c r="C9679" i="1"/>
  <c r="A9680" i="1"/>
  <c r="C9680" i="1"/>
  <c r="A9681" i="1"/>
  <c r="C9681" i="1"/>
  <c r="A9682" i="1"/>
  <c r="C9682" i="1"/>
  <c r="A9683" i="1"/>
  <c r="C9683" i="1"/>
  <c r="A9684" i="1"/>
  <c r="C9684" i="1"/>
  <c r="A9685" i="1"/>
  <c r="C9685" i="1"/>
  <c r="A9686" i="1"/>
  <c r="C9686" i="1"/>
  <c r="A9687" i="1"/>
  <c r="C9687" i="1"/>
  <c r="A9688" i="1"/>
  <c r="C9688" i="1"/>
  <c r="A9689" i="1"/>
  <c r="C9689" i="1"/>
  <c r="A9690" i="1"/>
  <c r="C9690" i="1"/>
  <c r="A9691" i="1"/>
  <c r="C9691" i="1"/>
  <c r="A9692" i="1"/>
  <c r="C9692" i="1"/>
  <c r="A9693" i="1"/>
  <c r="C9693" i="1"/>
  <c r="A9694" i="1"/>
  <c r="C9694" i="1"/>
  <c r="A9695" i="1"/>
  <c r="C9695" i="1"/>
  <c r="A9696" i="1"/>
  <c r="C9696" i="1"/>
  <c r="A9697" i="1"/>
  <c r="C9697" i="1"/>
  <c r="A9698" i="1"/>
  <c r="C9698" i="1"/>
  <c r="A9699" i="1"/>
  <c r="C9699" i="1"/>
  <c r="A9700" i="1"/>
  <c r="C9700" i="1"/>
  <c r="A9701" i="1"/>
  <c r="C9701" i="1"/>
  <c r="A9702" i="1"/>
  <c r="C9702" i="1"/>
  <c r="A9703" i="1"/>
  <c r="C9703" i="1"/>
  <c r="A9704" i="1"/>
  <c r="C9704" i="1"/>
  <c r="A9705" i="1"/>
  <c r="C9705" i="1"/>
  <c r="A9706" i="1"/>
  <c r="C9706" i="1"/>
  <c r="A9707" i="1"/>
  <c r="C9707" i="1"/>
  <c r="A9708" i="1"/>
  <c r="C9708" i="1"/>
  <c r="A9709" i="1"/>
  <c r="C9709" i="1"/>
  <c r="A9710" i="1"/>
  <c r="C9710" i="1"/>
  <c r="A9711" i="1"/>
  <c r="C9711" i="1"/>
  <c r="A9712" i="1"/>
  <c r="C9712" i="1"/>
  <c r="A9713" i="1"/>
  <c r="C9713" i="1"/>
  <c r="A9714" i="1"/>
  <c r="C9714" i="1"/>
  <c r="A9715" i="1"/>
  <c r="C9715" i="1"/>
  <c r="A9716" i="1"/>
  <c r="C9716" i="1"/>
  <c r="A9717" i="1"/>
  <c r="C9717" i="1"/>
  <c r="A9718" i="1"/>
  <c r="C9718" i="1"/>
  <c r="A9719" i="1"/>
  <c r="C9719" i="1"/>
  <c r="A9720" i="1"/>
  <c r="C9720" i="1"/>
  <c r="A9721" i="1"/>
  <c r="C9721" i="1"/>
  <c r="A9722" i="1"/>
  <c r="C9722" i="1"/>
  <c r="A9723" i="1"/>
  <c r="C9723" i="1"/>
  <c r="A9724" i="1"/>
  <c r="C9724" i="1"/>
  <c r="A9725" i="1"/>
  <c r="C9725" i="1"/>
  <c r="A9726" i="1"/>
  <c r="C9726" i="1"/>
  <c r="A9727" i="1"/>
  <c r="C9727" i="1"/>
  <c r="A9728" i="1"/>
  <c r="C9728" i="1"/>
  <c r="A9729" i="1"/>
  <c r="C9729" i="1"/>
  <c r="A9730" i="1"/>
  <c r="C9730" i="1"/>
  <c r="A9731" i="1"/>
  <c r="C9731" i="1"/>
  <c r="A9732" i="1"/>
  <c r="C9732" i="1"/>
  <c r="A9733" i="1"/>
  <c r="C9733" i="1"/>
  <c r="A9734" i="1"/>
  <c r="C9734" i="1"/>
  <c r="A9735" i="1"/>
  <c r="C9735" i="1"/>
  <c r="A9736" i="1"/>
  <c r="C9736" i="1"/>
  <c r="A9737" i="1"/>
  <c r="C9737" i="1"/>
  <c r="A9738" i="1"/>
  <c r="C9738" i="1"/>
  <c r="A9739" i="1"/>
  <c r="C9739" i="1"/>
  <c r="A9740" i="1"/>
  <c r="C9740" i="1"/>
  <c r="A9741" i="1"/>
  <c r="C9741" i="1"/>
  <c r="A9742" i="1"/>
  <c r="C9742" i="1"/>
  <c r="A9743" i="1"/>
  <c r="C9743" i="1"/>
  <c r="A9744" i="1"/>
  <c r="C9744" i="1"/>
  <c r="A9745" i="1"/>
  <c r="C9745" i="1"/>
  <c r="A9746" i="1"/>
  <c r="C9746" i="1"/>
  <c r="A9747" i="1"/>
  <c r="C9747" i="1"/>
  <c r="A9748" i="1"/>
  <c r="C9748" i="1"/>
  <c r="A9749" i="1"/>
  <c r="C9749" i="1"/>
  <c r="A9750" i="1"/>
  <c r="C9750" i="1"/>
  <c r="A9751" i="1"/>
  <c r="C9751" i="1"/>
  <c r="A9752" i="1"/>
  <c r="C9752" i="1"/>
  <c r="A9753" i="1"/>
  <c r="C9753" i="1"/>
  <c r="A9754" i="1"/>
  <c r="C9754" i="1"/>
  <c r="A9755" i="1"/>
  <c r="C9755" i="1"/>
  <c r="A9756" i="1"/>
  <c r="C9756" i="1"/>
  <c r="A9757" i="1"/>
  <c r="C9757" i="1"/>
  <c r="A9758" i="1"/>
  <c r="C9758" i="1"/>
  <c r="A9759" i="1"/>
  <c r="C9759" i="1"/>
  <c r="A9760" i="1"/>
  <c r="C9760" i="1"/>
  <c r="A9761" i="1"/>
  <c r="C9761" i="1"/>
  <c r="A9762" i="1"/>
  <c r="C9762" i="1"/>
  <c r="A9763" i="1"/>
  <c r="C9763" i="1"/>
  <c r="A9764" i="1"/>
  <c r="C9764" i="1"/>
  <c r="A9765" i="1"/>
  <c r="C9765" i="1"/>
  <c r="A9766" i="1"/>
  <c r="C9766" i="1"/>
  <c r="A9767" i="1"/>
  <c r="C9767" i="1"/>
  <c r="A9768" i="1"/>
  <c r="C9768" i="1"/>
  <c r="A9769" i="1"/>
  <c r="C9769" i="1"/>
  <c r="A9770" i="1"/>
  <c r="C9770" i="1"/>
  <c r="A9771" i="1"/>
  <c r="C9771" i="1"/>
  <c r="A9772" i="1"/>
  <c r="C9772" i="1"/>
  <c r="A9773" i="1"/>
  <c r="C9773" i="1"/>
  <c r="A9774" i="1"/>
  <c r="C9774" i="1"/>
  <c r="A9775" i="1"/>
  <c r="C9775" i="1"/>
  <c r="A9776" i="1"/>
  <c r="C9776" i="1"/>
  <c r="A9777" i="1"/>
  <c r="C9777" i="1"/>
  <c r="A9778" i="1"/>
  <c r="C9778" i="1"/>
  <c r="A9779" i="1"/>
  <c r="C9779" i="1"/>
  <c r="A9780" i="1"/>
  <c r="C9780" i="1"/>
  <c r="A9781" i="1"/>
  <c r="C9781" i="1"/>
  <c r="A9782" i="1"/>
  <c r="C9782" i="1"/>
  <c r="A9783" i="1"/>
  <c r="C9783" i="1"/>
  <c r="A9784" i="1"/>
  <c r="C9784" i="1"/>
  <c r="A9785" i="1"/>
  <c r="C9785" i="1"/>
  <c r="A9786" i="1"/>
  <c r="C9786" i="1"/>
  <c r="A9787" i="1"/>
  <c r="C9787" i="1"/>
  <c r="A9788" i="1"/>
  <c r="C9788" i="1"/>
  <c r="A9789" i="1"/>
  <c r="C9789" i="1"/>
  <c r="A9790" i="1"/>
  <c r="C9790" i="1"/>
  <c r="A9791" i="1"/>
  <c r="C9791" i="1"/>
  <c r="A9792" i="1"/>
  <c r="C9792" i="1"/>
  <c r="A9793" i="1"/>
  <c r="C9793" i="1"/>
  <c r="A9794" i="1"/>
  <c r="C9794" i="1"/>
  <c r="A9795" i="1"/>
  <c r="C9795" i="1"/>
  <c r="A9796" i="1"/>
  <c r="C9796" i="1"/>
  <c r="A9797" i="1"/>
  <c r="C9797" i="1"/>
  <c r="A9798" i="1"/>
  <c r="C9798" i="1"/>
  <c r="A9799" i="1"/>
  <c r="C9799" i="1"/>
  <c r="A9800" i="1"/>
  <c r="C9800" i="1"/>
  <c r="A9801" i="1"/>
  <c r="C9801" i="1"/>
  <c r="A9802" i="1"/>
  <c r="C9802" i="1"/>
  <c r="A9803" i="1"/>
  <c r="C9803" i="1"/>
  <c r="A9804" i="1"/>
  <c r="C9804" i="1"/>
  <c r="A9805" i="1"/>
  <c r="C9805" i="1"/>
  <c r="A9806" i="1"/>
  <c r="C9806" i="1"/>
  <c r="A9807" i="1"/>
  <c r="C9807" i="1"/>
  <c r="A9808" i="1"/>
  <c r="C9808" i="1"/>
  <c r="A9809" i="1"/>
  <c r="C9809" i="1"/>
  <c r="A9810" i="1"/>
  <c r="C9810" i="1"/>
  <c r="A9811" i="1"/>
  <c r="C9811" i="1"/>
  <c r="A9812" i="1"/>
  <c r="C9812" i="1"/>
  <c r="A9813" i="1"/>
  <c r="C9813" i="1"/>
  <c r="A9814" i="1"/>
  <c r="C9814" i="1"/>
  <c r="A9815" i="1"/>
  <c r="C9815" i="1"/>
  <c r="A9816" i="1"/>
  <c r="C9816" i="1"/>
  <c r="A9817" i="1"/>
  <c r="C9817" i="1"/>
  <c r="A9818" i="1"/>
  <c r="C9818" i="1"/>
  <c r="A9819" i="1"/>
  <c r="C9819" i="1"/>
  <c r="A9820" i="1"/>
  <c r="C9820" i="1"/>
  <c r="A9821" i="1"/>
  <c r="C9821" i="1"/>
  <c r="A9822" i="1"/>
  <c r="C9822" i="1"/>
  <c r="A9823" i="1"/>
  <c r="C9823" i="1"/>
  <c r="A9824" i="1"/>
  <c r="C9824" i="1"/>
  <c r="A9825" i="1"/>
  <c r="C9825" i="1"/>
  <c r="A9826" i="1"/>
  <c r="C9826" i="1"/>
  <c r="A9827" i="1"/>
  <c r="C9827" i="1"/>
  <c r="A9828" i="1"/>
  <c r="C9828" i="1"/>
  <c r="A9829" i="1"/>
  <c r="C9829" i="1"/>
  <c r="A9830" i="1"/>
  <c r="C9830" i="1"/>
  <c r="A9831" i="1"/>
  <c r="C9831" i="1"/>
  <c r="A9832" i="1"/>
  <c r="C9832" i="1"/>
  <c r="A9833" i="1"/>
  <c r="C9833" i="1"/>
  <c r="A9834" i="1"/>
  <c r="C9834" i="1"/>
  <c r="A9835" i="1"/>
  <c r="C9835" i="1"/>
  <c r="A9836" i="1"/>
  <c r="C9836" i="1"/>
  <c r="A9837" i="1"/>
  <c r="C9837" i="1"/>
  <c r="A9838" i="1"/>
  <c r="C9838" i="1"/>
  <c r="A9839" i="1"/>
  <c r="C9839" i="1"/>
  <c r="A9840" i="1"/>
  <c r="C9840" i="1"/>
  <c r="A9841" i="1"/>
  <c r="C9841" i="1"/>
  <c r="A9842" i="1"/>
  <c r="C9842" i="1"/>
  <c r="A9843" i="1"/>
  <c r="C9843" i="1"/>
  <c r="A9844" i="1"/>
  <c r="C9844" i="1"/>
  <c r="A9845" i="1"/>
  <c r="C9845" i="1"/>
  <c r="A9846" i="1"/>
  <c r="C9846" i="1"/>
  <c r="A9847" i="1"/>
  <c r="C9847" i="1"/>
  <c r="A9848" i="1"/>
  <c r="C9848" i="1"/>
  <c r="A9849" i="1"/>
  <c r="C9849" i="1"/>
  <c r="A9850" i="1"/>
  <c r="C9850" i="1"/>
  <c r="A9851" i="1"/>
  <c r="C9851" i="1"/>
  <c r="A9852" i="1"/>
  <c r="C9852" i="1"/>
  <c r="A9853" i="1"/>
  <c r="C9853" i="1"/>
  <c r="A9854" i="1"/>
  <c r="C9854" i="1"/>
  <c r="A9855" i="1"/>
  <c r="C9855" i="1"/>
  <c r="A9856" i="1"/>
  <c r="C9856" i="1"/>
  <c r="A9857" i="1"/>
  <c r="C9857" i="1"/>
  <c r="A9858" i="1"/>
  <c r="C9858" i="1"/>
  <c r="A9859" i="1"/>
  <c r="C9859" i="1"/>
  <c r="A9860" i="1"/>
  <c r="C9860" i="1"/>
  <c r="A9861" i="1"/>
  <c r="C9861" i="1"/>
  <c r="A9862" i="1"/>
  <c r="C9862" i="1"/>
  <c r="A9863" i="1"/>
  <c r="C9863" i="1"/>
  <c r="A9864" i="1"/>
  <c r="C9864" i="1"/>
  <c r="A9865" i="1"/>
  <c r="C9865" i="1"/>
  <c r="A9866" i="1"/>
  <c r="C9866" i="1"/>
  <c r="A9867" i="1"/>
  <c r="C9867" i="1"/>
  <c r="A9868" i="1"/>
  <c r="C9868" i="1"/>
  <c r="A9869" i="1"/>
  <c r="C9869" i="1"/>
  <c r="A9870" i="1"/>
  <c r="C9870" i="1"/>
  <c r="A9871" i="1"/>
  <c r="C9871" i="1"/>
  <c r="A9872" i="1"/>
  <c r="C9872" i="1"/>
  <c r="A9873" i="1"/>
  <c r="C9873" i="1"/>
  <c r="A9874" i="1"/>
  <c r="C9874" i="1"/>
  <c r="A9875" i="1"/>
  <c r="C9875" i="1"/>
  <c r="A9876" i="1"/>
  <c r="C9876" i="1"/>
  <c r="A9877" i="1"/>
  <c r="C9877" i="1"/>
  <c r="A9878" i="1"/>
  <c r="C9878" i="1"/>
  <c r="A9879" i="1"/>
  <c r="C9879" i="1"/>
  <c r="A9880" i="1"/>
  <c r="C9880" i="1"/>
  <c r="A9881" i="1"/>
  <c r="C9881" i="1"/>
  <c r="A9882" i="1"/>
  <c r="C9882" i="1"/>
  <c r="A9883" i="1"/>
  <c r="C9883" i="1"/>
  <c r="A9884" i="1"/>
  <c r="C9884" i="1"/>
  <c r="A9885" i="1"/>
  <c r="C9885" i="1"/>
  <c r="A9886" i="1"/>
  <c r="C9886" i="1"/>
  <c r="A9887" i="1"/>
  <c r="C9887" i="1"/>
  <c r="A9888" i="1"/>
  <c r="C9888" i="1"/>
  <c r="A9889" i="1"/>
  <c r="C9889" i="1"/>
  <c r="A9890" i="1"/>
  <c r="C9890" i="1"/>
  <c r="A9891" i="1"/>
  <c r="C9891" i="1"/>
  <c r="A9892" i="1"/>
  <c r="C9892" i="1"/>
  <c r="A9893" i="1"/>
  <c r="C9893" i="1"/>
  <c r="A9894" i="1"/>
  <c r="C9894" i="1"/>
  <c r="A9895" i="1"/>
  <c r="C9895" i="1"/>
  <c r="A9896" i="1"/>
  <c r="C9896" i="1"/>
  <c r="A9897" i="1"/>
  <c r="C9897" i="1"/>
  <c r="A9898" i="1"/>
  <c r="C9898" i="1"/>
  <c r="A9899" i="1"/>
  <c r="C9899" i="1"/>
  <c r="A9900" i="1"/>
  <c r="C9900" i="1"/>
  <c r="A9901" i="1"/>
  <c r="C9901" i="1"/>
  <c r="A9902" i="1"/>
  <c r="C9902" i="1"/>
  <c r="A9903" i="1"/>
  <c r="C9903" i="1"/>
  <c r="A9904" i="1"/>
  <c r="C9904" i="1"/>
  <c r="A9905" i="1"/>
  <c r="C9905" i="1"/>
  <c r="A9906" i="1"/>
  <c r="C9906" i="1"/>
  <c r="A9907" i="1"/>
  <c r="C9907" i="1"/>
  <c r="A9908" i="1"/>
  <c r="C9908" i="1"/>
  <c r="A9909" i="1"/>
  <c r="C9909" i="1"/>
  <c r="A9910" i="1"/>
  <c r="C9910" i="1"/>
  <c r="A9911" i="1"/>
  <c r="C9911" i="1"/>
  <c r="A9912" i="1"/>
  <c r="C9912" i="1"/>
  <c r="A9913" i="1"/>
  <c r="C9913" i="1"/>
  <c r="A9914" i="1"/>
  <c r="C9914" i="1"/>
  <c r="A9915" i="1"/>
  <c r="C9915" i="1"/>
  <c r="A9916" i="1"/>
  <c r="C9916" i="1"/>
  <c r="A9917" i="1"/>
  <c r="C9917" i="1"/>
  <c r="A9918" i="1"/>
  <c r="C9918" i="1"/>
  <c r="A9919" i="1"/>
  <c r="C9919" i="1"/>
  <c r="A9920" i="1"/>
  <c r="C9920" i="1"/>
  <c r="A9921" i="1"/>
  <c r="C9921" i="1"/>
  <c r="A9922" i="1"/>
  <c r="C9922" i="1"/>
  <c r="A9923" i="1"/>
  <c r="C9923" i="1"/>
  <c r="A9924" i="1"/>
  <c r="C9924" i="1"/>
  <c r="A9925" i="1"/>
  <c r="C9925" i="1"/>
  <c r="A9926" i="1"/>
  <c r="C9926" i="1"/>
  <c r="A9927" i="1"/>
  <c r="C9927" i="1"/>
  <c r="A9928" i="1"/>
  <c r="C9928" i="1"/>
  <c r="A9929" i="1"/>
  <c r="C9929" i="1"/>
  <c r="A9930" i="1"/>
  <c r="C9930" i="1"/>
  <c r="A9931" i="1"/>
  <c r="C9931" i="1"/>
  <c r="A9932" i="1"/>
  <c r="C9932" i="1"/>
  <c r="A9933" i="1"/>
  <c r="C9933" i="1"/>
  <c r="A9934" i="1"/>
  <c r="C9934" i="1"/>
  <c r="A9935" i="1"/>
  <c r="C9935" i="1"/>
  <c r="A9936" i="1"/>
  <c r="C9936" i="1"/>
  <c r="A9937" i="1"/>
  <c r="C9937" i="1"/>
  <c r="A9938" i="1"/>
  <c r="C9938" i="1"/>
  <c r="A9939" i="1"/>
  <c r="C9939" i="1"/>
  <c r="A9940" i="1"/>
  <c r="C9940" i="1"/>
  <c r="A9941" i="1"/>
  <c r="C9941" i="1"/>
  <c r="A9942" i="1"/>
  <c r="C9942" i="1"/>
  <c r="A9943" i="1"/>
  <c r="C9943" i="1"/>
  <c r="A9944" i="1"/>
  <c r="C9944" i="1"/>
  <c r="A9945" i="1"/>
  <c r="C9945" i="1"/>
  <c r="A9946" i="1"/>
  <c r="C9946" i="1"/>
  <c r="A9947" i="1"/>
  <c r="C9947" i="1"/>
  <c r="A9948" i="1"/>
  <c r="C9948" i="1"/>
  <c r="A9949" i="1"/>
  <c r="C9949" i="1"/>
  <c r="A9950" i="1"/>
  <c r="C9950" i="1"/>
  <c r="A9951" i="1"/>
  <c r="C9951" i="1"/>
  <c r="A9952" i="1"/>
  <c r="C9952" i="1"/>
  <c r="A9953" i="1"/>
  <c r="C9953" i="1"/>
  <c r="A9954" i="1"/>
  <c r="C9954" i="1"/>
  <c r="A9955" i="1"/>
  <c r="C9955" i="1"/>
  <c r="A9956" i="1"/>
  <c r="C9956" i="1"/>
  <c r="A9957" i="1"/>
  <c r="C9957" i="1"/>
  <c r="A9958" i="1"/>
  <c r="C9958" i="1"/>
  <c r="A9959" i="1"/>
  <c r="C9959" i="1"/>
  <c r="A9960" i="1"/>
  <c r="C9960" i="1"/>
  <c r="A9961" i="1"/>
  <c r="C9961" i="1"/>
  <c r="A9962" i="1"/>
  <c r="C9962" i="1"/>
  <c r="A9963" i="1"/>
  <c r="C9963" i="1"/>
  <c r="A9964" i="1"/>
  <c r="C9964" i="1"/>
  <c r="A9965" i="1"/>
  <c r="C9965" i="1"/>
  <c r="A9966" i="1"/>
  <c r="C9966" i="1"/>
  <c r="A9967" i="1"/>
  <c r="C9967" i="1"/>
  <c r="A9968" i="1"/>
  <c r="C9968" i="1"/>
  <c r="A9969" i="1"/>
  <c r="C9969" i="1"/>
  <c r="A9970" i="1"/>
  <c r="C9970" i="1"/>
  <c r="A9971" i="1"/>
  <c r="C9971" i="1"/>
  <c r="A9972" i="1"/>
  <c r="C9972" i="1"/>
  <c r="A9973" i="1"/>
  <c r="C9973" i="1"/>
  <c r="A9974" i="1"/>
  <c r="C9974" i="1"/>
  <c r="A9975" i="1"/>
  <c r="C9975" i="1"/>
  <c r="A9976" i="1"/>
  <c r="C9976" i="1"/>
  <c r="A9977" i="1"/>
  <c r="C9977" i="1"/>
  <c r="A9978" i="1"/>
  <c r="C9978" i="1"/>
  <c r="A9979" i="1"/>
  <c r="C9979" i="1"/>
  <c r="A9980" i="1"/>
  <c r="C9980" i="1"/>
  <c r="A9981" i="1"/>
  <c r="C9981" i="1"/>
  <c r="A9982" i="1"/>
  <c r="C9982" i="1"/>
  <c r="A9983" i="1"/>
  <c r="C9983" i="1"/>
  <c r="A9984" i="1"/>
  <c r="C9984" i="1"/>
  <c r="A9985" i="1"/>
  <c r="C9985" i="1"/>
  <c r="A9986" i="1"/>
  <c r="C9986" i="1"/>
  <c r="A9987" i="1"/>
  <c r="C9987" i="1"/>
  <c r="A9988" i="1"/>
  <c r="C9988" i="1"/>
  <c r="A9989" i="1"/>
  <c r="C9989" i="1"/>
  <c r="A9990" i="1"/>
  <c r="C9990" i="1"/>
  <c r="A9991" i="1"/>
  <c r="C9991" i="1"/>
  <c r="A9992" i="1"/>
  <c r="C9992" i="1"/>
  <c r="A9993" i="1"/>
  <c r="C9993" i="1"/>
  <c r="A9994" i="1"/>
  <c r="C9994" i="1"/>
  <c r="A9995" i="1"/>
  <c r="C9995" i="1"/>
  <c r="A9996" i="1"/>
  <c r="C9996" i="1"/>
  <c r="A9997" i="1"/>
  <c r="C9997" i="1"/>
  <c r="A9998" i="1"/>
  <c r="C9998" i="1"/>
  <c r="A9999" i="1"/>
  <c r="C9999" i="1"/>
  <c r="A10000" i="1"/>
  <c r="C10000" i="1"/>
  <c r="A10001" i="1"/>
  <c r="C10001" i="1"/>
  <c r="A10002" i="1"/>
  <c r="C10002" i="1"/>
  <c r="A10003" i="1"/>
  <c r="C10003" i="1"/>
  <c r="A10004" i="1"/>
  <c r="C10004" i="1"/>
  <c r="A10005" i="1"/>
  <c r="C10005" i="1"/>
  <c r="A10006" i="1"/>
  <c r="C10006" i="1"/>
  <c r="A10007" i="1"/>
  <c r="C10007" i="1"/>
  <c r="A10008" i="1"/>
  <c r="C10008" i="1"/>
  <c r="A10009" i="1"/>
  <c r="C10009" i="1"/>
  <c r="A10010" i="1"/>
  <c r="C10010" i="1"/>
  <c r="A10011" i="1"/>
  <c r="C10011" i="1"/>
  <c r="A10012" i="1"/>
  <c r="C10012" i="1"/>
  <c r="A10013" i="1"/>
  <c r="C10013" i="1"/>
  <c r="A10014" i="1"/>
  <c r="C10014" i="1"/>
  <c r="A10015" i="1"/>
  <c r="C10015" i="1"/>
  <c r="A10016" i="1"/>
  <c r="C10016" i="1"/>
  <c r="A10017" i="1"/>
  <c r="C10017" i="1"/>
  <c r="A10018" i="1"/>
  <c r="C10018" i="1"/>
  <c r="A10019" i="1"/>
  <c r="C10019" i="1"/>
  <c r="A10020" i="1"/>
  <c r="C10020" i="1"/>
  <c r="A10021" i="1"/>
  <c r="C10021" i="1"/>
  <c r="A10022" i="1"/>
  <c r="C10022" i="1"/>
  <c r="A10023" i="1"/>
  <c r="C10023" i="1"/>
  <c r="A10024" i="1"/>
  <c r="C10024" i="1"/>
  <c r="A10025" i="1"/>
  <c r="C10025" i="1"/>
  <c r="A10026" i="1"/>
  <c r="C10026" i="1"/>
  <c r="A10027" i="1"/>
  <c r="C10027" i="1"/>
  <c r="A10028" i="1"/>
  <c r="C10028" i="1"/>
  <c r="A10029" i="1"/>
  <c r="C10029" i="1"/>
  <c r="A10030" i="1"/>
  <c r="C10030" i="1"/>
  <c r="A10031" i="1"/>
  <c r="C10031" i="1"/>
  <c r="A10032" i="1"/>
  <c r="C10032" i="1"/>
  <c r="A10033" i="1"/>
  <c r="C10033" i="1"/>
  <c r="A10034" i="1"/>
  <c r="C10034" i="1"/>
  <c r="A10035" i="1"/>
  <c r="C10035" i="1"/>
  <c r="A10036" i="1"/>
  <c r="C10036" i="1"/>
  <c r="A10037" i="1"/>
  <c r="C10037" i="1"/>
  <c r="A10038" i="1"/>
  <c r="C10038" i="1"/>
  <c r="A10039" i="1"/>
  <c r="C10039" i="1"/>
  <c r="A10040" i="1"/>
  <c r="C10040" i="1"/>
  <c r="A10041" i="1"/>
  <c r="C10041" i="1"/>
  <c r="A10042" i="1"/>
  <c r="C10042" i="1"/>
  <c r="A10043" i="1"/>
  <c r="C10043" i="1"/>
  <c r="A10044" i="1"/>
  <c r="C10044" i="1"/>
  <c r="A10045" i="1"/>
  <c r="C10045" i="1"/>
  <c r="A10046" i="1"/>
  <c r="C10046" i="1"/>
  <c r="A10047" i="1"/>
  <c r="C10047" i="1"/>
  <c r="A10048" i="1"/>
  <c r="C10048" i="1"/>
  <c r="A10049" i="1"/>
  <c r="C10049" i="1"/>
  <c r="A10050" i="1"/>
  <c r="C10050" i="1"/>
  <c r="A10051" i="1"/>
  <c r="C10051" i="1"/>
  <c r="A10052" i="1"/>
  <c r="C10052" i="1"/>
  <c r="A10053" i="1"/>
  <c r="C10053" i="1"/>
  <c r="A10054" i="1"/>
  <c r="C10054" i="1"/>
  <c r="A10055" i="1"/>
  <c r="C10055" i="1"/>
  <c r="A10056" i="1"/>
  <c r="C10056" i="1"/>
  <c r="A10057" i="1"/>
  <c r="C10057" i="1"/>
  <c r="A10058" i="1"/>
  <c r="C10058" i="1"/>
  <c r="A10059" i="1"/>
  <c r="C10059" i="1"/>
  <c r="A10060" i="1"/>
  <c r="C10060" i="1"/>
  <c r="A10061" i="1"/>
  <c r="C10061" i="1"/>
  <c r="A10062" i="1"/>
  <c r="C10062" i="1"/>
  <c r="A10063" i="1"/>
  <c r="C10063" i="1"/>
  <c r="A10064" i="1"/>
  <c r="C10064" i="1"/>
  <c r="A10065" i="1"/>
  <c r="C10065" i="1"/>
  <c r="A10066" i="1"/>
  <c r="C10066" i="1"/>
  <c r="A10067" i="1"/>
  <c r="C10067" i="1"/>
  <c r="A10068" i="1"/>
  <c r="C10068" i="1"/>
  <c r="A10069" i="1"/>
  <c r="C10069" i="1"/>
  <c r="A10070" i="1"/>
  <c r="C10070" i="1"/>
  <c r="A10071" i="1"/>
  <c r="C10071" i="1"/>
  <c r="A10072" i="1"/>
  <c r="C10072" i="1"/>
  <c r="A10073" i="1"/>
  <c r="C10073" i="1"/>
  <c r="A10074" i="1"/>
  <c r="C10074" i="1"/>
  <c r="A10075" i="1"/>
  <c r="C10075" i="1"/>
  <c r="A10076" i="1"/>
  <c r="C10076" i="1"/>
  <c r="A10077" i="1"/>
  <c r="C10077" i="1"/>
  <c r="A10078" i="1"/>
  <c r="C10078" i="1"/>
  <c r="A10079" i="1"/>
  <c r="C10079" i="1"/>
  <c r="A10080" i="1"/>
  <c r="C10080" i="1"/>
  <c r="A10081" i="1"/>
  <c r="C10081" i="1"/>
  <c r="A10082" i="1"/>
  <c r="C10082" i="1"/>
  <c r="A10083" i="1"/>
  <c r="C10083" i="1"/>
  <c r="A10084" i="1"/>
  <c r="C10084" i="1"/>
  <c r="A10085" i="1"/>
  <c r="C10085" i="1"/>
  <c r="A10086" i="1"/>
  <c r="C10086" i="1"/>
  <c r="A10087" i="1"/>
  <c r="C10087" i="1"/>
  <c r="A10088" i="1"/>
  <c r="C10088" i="1"/>
  <c r="A10089" i="1"/>
  <c r="C10089" i="1"/>
  <c r="A10090" i="1"/>
  <c r="C10090" i="1"/>
  <c r="A10091" i="1"/>
  <c r="C10091" i="1"/>
  <c r="A10092" i="1"/>
  <c r="C10092" i="1"/>
  <c r="A10093" i="1"/>
  <c r="C10093" i="1"/>
  <c r="A10094" i="1"/>
  <c r="C10094" i="1"/>
  <c r="A10095" i="1"/>
  <c r="C10095" i="1"/>
  <c r="A10096" i="1"/>
  <c r="C10096" i="1"/>
  <c r="A10097" i="1"/>
  <c r="C10097" i="1"/>
  <c r="A10098" i="1"/>
  <c r="C10098" i="1"/>
  <c r="A10099" i="1"/>
  <c r="C10099" i="1"/>
  <c r="A10100" i="1"/>
  <c r="C10100" i="1"/>
  <c r="A10101" i="1"/>
  <c r="C10101" i="1"/>
  <c r="A10102" i="1"/>
  <c r="C10102" i="1"/>
  <c r="A10103" i="1"/>
  <c r="C10103" i="1"/>
  <c r="A10104" i="1"/>
  <c r="C10104" i="1"/>
  <c r="A10105" i="1"/>
  <c r="C10105" i="1"/>
  <c r="A10106" i="1"/>
  <c r="C10106" i="1"/>
  <c r="A10107" i="1"/>
  <c r="C10107" i="1"/>
  <c r="A10108" i="1"/>
  <c r="C10108" i="1"/>
  <c r="A10109" i="1"/>
  <c r="C10109" i="1"/>
  <c r="A10110" i="1"/>
  <c r="C10110" i="1"/>
  <c r="A10111" i="1"/>
  <c r="C10111" i="1"/>
  <c r="A10112" i="1"/>
  <c r="C10112" i="1"/>
  <c r="A10113" i="1"/>
  <c r="C10113" i="1"/>
  <c r="A10114" i="1"/>
  <c r="C10114" i="1"/>
  <c r="A10115" i="1"/>
  <c r="C10115" i="1"/>
  <c r="A10116" i="1"/>
  <c r="C10116" i="1"/>
  <c r="A10117" i="1"/>
  <c r="C10117" i="1"/>
  <c r="A10118" i="1"/>
  <c r="C10118" i="1"/>
  <c r="A10119" i="1"/>
  <c r="C10119" i="1"/>
  <c r="A10120" i="1"/>
  <c r="C10120" i="1"/>
  <c r="A10121" i="1"/>
  <c r="C10121" i="1"/>
  <c r="A10122" i="1"/>
  <c r="C10122" i="1"/>
  <c r="A10123" i="1"/>
  <c r="C10123" i="1"/>
  <c r="A10124" i="1"/>
  <c r="C10124" i="1"/>
  <c r="A10125" i="1"/>
  <c r="C10125" i="1"/>
  <c r="A10126" i="1"/>
  <c r="C10126" i="1"/>
  <c r="A10127" i="1"/>
  <c r="C10127" i="1"/>
  <c r="A10128" i="1"/>
  <c r="C10128" i="1"/>
  <c r="A10129" i="1"/>
  <c r="C10129" i="1"/>
  <c r="A10130" i="1"/>
  <c r="C10130" i="1"/>
  <c r="A10131" i="1"/>
  <c r="C10131" i="1"/>
  <c r="A10132" i="1"/>
  <c r="C10132" i="1"/>
  <c r="A10133" i="1"/>
  <c r="C10133" i="1"/>
  <c r="A10134" i="1"/>
  <c r="C10134" i="1"/>
  <c r="A10135" i="1"/>
  <c r="C10135" i="1"/>
  <c r="A10136" i="1"/>
  <c r="C10136" i="1"/>
  <c r="A10137" i="1"/>
  <c r="C10137" i="1"/>
  <c r="A10138" i="1"/>
  <c r="C10138" i="1"/>
  <c r="A10139" i="1"/>
  <c r="C10139" i="1"/>
  <c r="A10140" i="1"/>
  <c r="C10140" i="1"/>
  <c r="A10141" i="1"/>
  <c r="C10141" i="1"/>
  <c r="A10142" i="1"/>
  <c r="C10142" i="1"/>
  <c r="A10143" i="1"/>
  <c r="C10143" i="1"/>
  <c r="A10144" i="1"/>
  <c r="C10144" i="1"/>
  <c r="A10145" i="1"/>
  <c r="C10145" i="1"/>
  <c r="A10146" i="1"/>
  <c r="C10146" i="1"/>
  <c r="A10147" i="1"/>
  <c r="C10147" i="1"/>
  <c r="A10148" i="1"/>
  <c r="C10148" i="1"/>
  <c r="A10149" i="1"/>
  <c r="C10149" i="1"/>
  <c r="A10150" i="1"/>
  <c r="C10150" i="1"/>
  <c r="A10151" i="1"/>
  <c r="C10151" i="1"/>
  <c r="A10152" i="1"/>
  <c r="C10152" i="1"/>
  <c r="A10153" i="1"/>
  <c r="C10153" i="1"/>
  <c r="A10154" i="1"/>
  <c r="C10154" i="1"/>
  <c r="A10155" i="1"/>
  <c r="C10155" i="1"/>
  <c r="A10156" i="1"/>
  <c r="C10156" i="1"/>
  <c r="A10157" i="1"/>
  <c r="C10157" i="1"/>
  <c r="A10158" i="1"/>
  <c r="C10158" i="1"/>
  <c r="A10159" i="1"/>
  <c r="C10159" i="1"/>
  <c r="A10160" i="1"/>
  <c r="C10160" i="1"/>
  <c r="A10161" i="1"/>
  <c r="C10161" i="1"/>
  <c r="A10162" i="1"/>
  <c r="C10162" i="1"/>
  <c r="A10163" i="1"/>
  <c r="C10163" i="1"/>
  <c r="A10164" i="1"/>
  <c r="C10164" i="1"/>
  <c r="A10165" i="1"/>
  <c r="C10165" i="1"/>
  <c r="A10166" i="1"/>
  <c r="C10166" i="1"/>
  <c r="A10167" i="1"/>
  <c r="C10167" i="1"/>
  <c r="A10168" i="1"/>
  <c r="C10168" i="1"/>
  <c r="A10169" i="1"/>
  <c r="C10169" i="1"/>
  <c r="A10170" i="1"/>
  <c r="C10170" i="1"/>
  <c r="A10171" i="1"/>
  <c r="C10171" i="1"/>
  <c r="A10172" i="1"/>
  <c r="C10172" i="1"/>
  <c r="A10173" i="1"/>
  <c r="C10173" i="1"/>
  <c r="A10174" i="1"/>
  <c r="C10174" i="1"/>
  <c r="A10175" i="1"/>
  <c r="C10175" i="1"/>
  <c r="A10176" i="1"/>
  <c r="C10176" i="1"/>
  <c r="A10177" i="1"/>
  <c r="C10177" i="1"/>
  <c r="A10178" i="1"/>
  <c r="C10178" i="1"/>
  <c r="A10179" i="1"/>
  <c r="C10179" i="1"/>
  <c r="A10180" i="1"/>
  <c r="C10180" i="1"/>
  <c r="A10181" i="1"/>
  <c r="C10181" i="1"/>
  <c r="A10182" i="1"/>
  <c r="C10182" i="1"/>
  <c r="A10183" i="1"/>
  <c r="C10183" i="1"/>
  <c r="A10184" i="1"/>
  <c r="C10184" i="1"/>
  <c r="A10185" i="1"/>
  <c r="C10185" i="1"/>
  <c r="A10186" i="1"/>
  <c r="C10186" i="1"/>
  <c r="A10187" i="1"/>
  <c r="C10187" i="1"/>
  <c r="A10188" i="1"/>
  <c r="C10188" i="1"/>
  <c r="A10189" i="1"/>
  <c r="C10189" i="1"/>
  <c r="A10190" i="1"/>
  <c r="C10190" i="1"/>
  <c r="A10191" i="1"/>
  <c r="C10191" i="1"/>
  <c r="A10192" i="1"/>
  <c r="C10192" i="1"/>
  <c r="A10193" i="1"/>
  <c r="C10193" i="1"/>
  <c r="A10194" i="1"/>
  <c r="C10194" i="1"/>
  <c r="A10195" i="1"/>
  <c r="C10195" i="1"/>
  <c r="A10196" i="1"/>
  <c r="C10196" i="1"/>
  <c r="A10197" i="1"/>
  <c r="C10197" i="1"/>
  <c r="A10198" i="1"/>
  <c r="C10198" i="1"/>
  <c r="A10199" i="1"/>
  <c r="C10199" i="1"/>
  <c r="A10200" i="1"/>
  <c r="C10200" i="1"/>
  <c r="A10201" i="1"/>
  <c r="C10201" i="1"/>
  <c r="A10202" i="1"/>
  <c r="C10202" i="1"/>
  <c r="A10203" i="1"/>
  <c r="C10203" i="1"/>
  <c r="A10204" i="1"/>
  <c r="C10204" i="1"/>
  <c r="A10205" i="1"/>
  <c r="C10205" i="1"/>
  <c r="A10206" i="1"/>
  <c r="C10206" i="1"/>
  <c r="A10207" i="1"/>
  <c r="C10207" i="1"/>
  <c r="A10208" i="1"/>
  <c r="C10208" i="1"/>
  <c r="A10209" i="1"/>
  <c r="C10209" i="1"/>
  <c r="A10210" i="1"/>
  <c r="C10210" i="1"/>
  <c r="A10211" i="1"/>
  <c r="C10211" i="1"/>
  <c r="A10212" i="1"/>
  <c r="C10212" i="1"/>
  <c r="A10213" i="1"/>
  <c r="C10213" i="1"/>
  <c r="A10214" i="1"/>
  <c r="C10214" i="1"/>
  <c r="A10215" i="1"/>
  <c r="C10215" i="1"/>
  <c r="A10216" i="1"/>
  <c r="C10216" i="1"/>
  <c r="A10217" i="1"/>
  <c r="C10217" i="1"/>
  <c r="A10218" i="1"/>
  <c r="C10218" i="1"/>
  <c r="A10219" i="1"/>
  <c r="C10219" i="1"/>
  <c r="A10220" i="1"/>
  <c r="C10220" i="1"/>
  <c r="A10221" i="1"/>
  <c r="C10221" i="1"/>
  <c r="A10222" i="1"/>
  <c r="C10222" i="1"/>
  <c r="A10223" i="1"/>
  <c r="C10223" i="1"/>
  <c r="A10224" i="1"/>
  <c r="C10224" i="1"/>
  <c r="A10225" i="1"/>
  <c r="C10225" i="1"/>
  <c r="A10226" i="1"/>
  <c r="C10226" i="1"/>
  <c r="A10227" i="1"/>
  <c r="C10227" i="1"/>
  <c r="A10228" i="1"/>
  <c r="C10228" i="1"/>
  <c r="A10229" i="1"/>
  <c r="C10229" i="1"/>
  <c r="A10230" i="1"/>
  <c r="C10230" i="1"/>
  <c r="A10231" i="1"/>
  <c r="C10231" i="1"/>
  <c r="A10232" i="1"/>
  <c r="C10232" i="1"/>
  <c r="A10233" i="1"/>
  <c r="C10233" i="1"/>
  <c r="A10234" i="1"/>
  <c r="C10234" i="1"/>
  <c r="A10235" i="1"/>
  <c r="C10235" i="1"/>
  <c r="A10236" i="1"/>
  <c r="C10236" i="1"/>
  <c r="A10237" i="1"/>
  <c r="C10237" i="1"/>
  <c r="A10238" i="1"/>
  <c r="C10238" i="1"/>
  <c r="A10239" i="1"/>
  <c r="C10239" i="1"/>
  <c r="A10240" i="1"/>
  <c r="C10240" i="1"/>
  <c r="A10241" i="1"/>
  <c r="C10241" i="1"/>
  <c r="A10242" i="1"/>
  <c r="C10242" i="1"/>
  <c r="A10243" i="1"/>
  <c r="C10243" i="1"/>
  <c r="A10244" i="1"/>
  <c r="C10244" i="1"/>
  <c r="A10245" i="1"/>
  <c r="C10245" i="1"/>
  <c r="A10246" i="1"/>
  <c r="C10246" i="1"/>
  <c r="A10247" i="1"/>
  <c r="C10247" i="1"/>
  <c r="A10248" i="1"/>
  <c r="C10248" i="1"/>
  <c r="A10249" i="1"/>
  <c r="C10249" i="1"/>
  <c r="A10250" i="1"/>
  <c r="C10250" i="1"/>
  <c r="A10251" i="1"/>
  <c r="C10251" i="1"/>
  <c r="A10252" i="1"/>
  <c r="C10252" i="1"/>
  <c r="A10253" i="1"/>
  <c r="C10253" i="1"/>
  <c r="A10254" i="1"/>
  <c r="C10254" i="1"/>
  <c r="A10255" i="1"/>
  <c r="C10255" i="1"/>
  <c r="A10256" i="1"/>
  <c r="C10256" i="1"/>
  <c r="A10257" i="1"/>
  <c r="C10257" i="1"/>
  <c r="A10258" i="1"/>
  <c r="C10258" i="1"/>
  <c r="A10259" i="1"/>
  <c r="C10259" i="1"/>
  <c r="A10260" i="1"/>
  <c r="C10260" i="1"/>
  <c r="A10261" i="1"/>
  <c r="C10261" i="1"/>
  <c r="A10262" i="1"/>
  <c r="C10262" i="1"/>
  <c r="A10263" i="1"/>
  <c r="C10263" i="1"/>
  <c r="A10264" i="1"/>
  <c r="C10264" i="1"/>
  <c r="A10265" i="1"/>
  <c r="C10265" i="1"/>
  <c r="A10266" i="1"/>
  <c r="C10266" i="1"/>
  <c r="A10267" i="1"/>
  <c r="C10267" i="1"/>
  <c r="A10268" i="1"/>
  <c r="C10268" i="1"/>
  <c r="A10269" i="1"/>
  <c r="C10269" i="1"/>
  <c r="A10270" i="1"/>
  <c r="C10270" i="1"/>
  <c r="A10271" i="1"/>
  <c r="C10271" i="1"/>
  <c r="A10272" i="1"/>
  <c r="C10272" i="1"/>
  <c r="A10273" i="1"/>
  <c r="C10273" i="1"/>
  <c r="A10274" i="1"/>
  <c r="C10274" i="1"/>
  <c r="A10275" i="1"/>
  <c r="C10275" i="1"/>
  <c r="A10276" i="1"/>
  <c r="C10276" i="1"/>
  <c r="A10277" i="1"/>
  <c r="C10277" i="1"/>
  <c r="A10278" i="1"/>
  <c r="C10278" i="1"/>
  <c r="A10279" i="1"/>
  <c r="C10279" i="1"/>
  <c r="A10280" i="1"/>
  <c r="C10280" i="1"/>
  <c r="A10281" i="1"/>
  <c r="C10281" i="1"/>
  <c r="A10282" i="1"/>
  <c r="C10282" i="1"/>
  <c r="A10283" i="1"/>
  <c r="C10283" i="1"/>
  <c r="A10284" i="1"/>
  <c r="C10284" i="1"/>
  <c r="A10285" i="1"/>
  <c r="C10285" i="1"/>
  <c r="A10286" i="1"/>
  <c r="C10286" i="1"/>
  <c r="A10287" i="1"/>
  <c r="C10287" i="1"/>
  <c r="A10288" i="1"/>
  <c r="C10288" i="1"/>
  <c r="A10289" i="1"/>
  <c r="C10289" i="1"/>
  <c r="A10290" i="1"/>
  <c r="C10290" i="1"/>
  <c r="A10291" i="1"/>
  <c r="C10291" i="1"/>
  <c r="A10292" i="1"/>
  <c r="C10292" i="1"/>
  <c r="A10293" i="1"/>
  <c r="C10293" i="1"/>
  <c r="A10294" i="1"/>
  <c r="C10294" i="1"/>
  <c r="A10295" i="1"/>
  <c r="C10295" i="1"/>
  <c r="A10296" i="1"/>
  <c r="C10296" i="1"/>
  <c r="A10297" i="1"/>
  <c r="C10297" i="1"/>
  <c r="A10298" i="1"/>
  <c r="C10298" i="1"/>
  <c r="A10299" i="1"/>
  <c r="C10299" i="1"/>
  <c r="A10300" i="1"/>
  <c r="C10300" i="1"/>
  <c r="A10301" i="1"/>
  <c r="C10301" i="1"/>
  <c r="A10302" i="1"/>
  <c r="C10302" i="1"/>
  <c r="A10303" i="1"/>
  <c r="C10303" i="1"/>
  <c r="A10304" i="1"/>
  <c r="C10304" i="1"/>
  <c r="A10305" i="1"/>
  <c r="C10305" i="1"/>
  <c r="A10306" i="1"/>
  <c r="C10306" i="1"/>
  <c r="A10307" i="1"/>
  <c r="C10307" i="1"/>
  <c r="A10308" i="1"/>
  <c r="C10308" i="1"/>
  <c r="A10309" i="1"/>
  <c r="C10309" i="1"/>
  <c r="A10310" i="1"/>
  <c r="C10310" i="1"/>
  <c r="A10311" i="1"/>
  <c r="C10311" i="1"/>
  <c r="A10312" i="1"/>
  <c r="C10312" i="1"/>
  <c r="A10313" i="1"/>
  <c r="C10313" i="1"/>
  <c r="A10314" i="1"/>
  <c r="C10314" i="1"/>
  <c r="A10315" i="1"/>
  <c r="C10315" i="1"/>
  <c r="A10316" i="1"/>
  <c r="C10316" i="1"/>
  <c r="A10317" i="1"/>
  <c r="C10317" i="1"/>
  <c r="A10318" i="1"/>
  <c r="C10318" i="1"/>
  <c r="A10319" i="1"/>
  <c r="C10319" i="1"/>
  <c r="A10320" i="1"/>
  <c r="C10320" i="1"/>
  <c r="A10321" i="1"/>
  <c r="C10321" i="1"/>
  <c r="A10322" i="1"/>
  <c r="C10322" i="1"/>
  <c r="A10323" i="1"/>
  <c r="C10323" i="1"/>
  <c r="A10324" i="1"/>
  <c r="C10324" i="1"/>
  <c r="A10325" i="1"/>
  <c r="C10325" i="1"/>
  <c r="A10326" i="1"/>
  <c r="C10326" i="1"/>
  <c r="A10327" i="1"/>
  <c r="C10327" i="1"/>
  <c r="A10328" i="1"/>
  <c r="C10328" i="1"/>
  <c r="A10329" i="1"/>
  <c r="C10329" i="1"/>
  <c r="A10330" i="1"/>
  <c r="C10330" i="1"/>
  <c r="A10331" i="1"/>
  <c r="C10331" i="1"/>
  <c r="A10332" i="1"/>
  <c r="C10332" i="1"/>
  <c r="A10333" i="1"/>
  <c r="C10333" i="1"/>
  <c r="A10334" i="1"/>
  <c r="C10334" i="1"/>
  <c r="A10335" i="1"/>
  <c r="C10335" i="1"/>
  <c r="A10336" i="1"/>
  <c r="C10336" i="1"/>
  <c r="A10337" i="1"/>
  <c r="C10337" i="1"/>
  <c r="A10338" i="1"/>
  <c r="C10338" i="1"/>
  <c r="A10339" i="1"/>
  <c r="C10339" i="1"/>
  <c r="A10340" i="1"/>
  <c r="C10340" i="1"/>
  <c r="A10341" i="1"/>
  <c r="C10341" i="1"/>
  <c r="A10342" i="1"/>
  <c r="C10342" i="1"/>
  <c r="A10343" i="1"/>
  <c r="C10343" i="1"/>
  <c r="A10344" i="1"/>
  <c r="C10344" i="1"/>
  <c r="A10345" i="1"/>
  <c r="C10345" i="1"/>
  <c r="A10346" i="1"/>
  <c r="C10346" i="1"/>
  <c r="A10347" i="1"/>
  <c r="C10347" i="1"/>
  <c r="A10348" i="1"/>
  <c r="C10348" i="1"/>
  <c r="A10349" i="1"/>
  <c r="C10349" i="1"/>
  <c r="A10350" i="1"/>
  <c r="C10350" i="1"/>
  <c r="A10351" i="1"/>
  <c r="C10351" i="1"/>
  <c r="A10352" i="1"/>
  <c r="C10352" i="1"/>
  <c r="A10353" i="1"/>
  <c r="C10353" i="1"/>
  <c r="A10354" i="1"/>
  <c r="C10354" i="1"/>
  <c r="A10355" i="1"/>
  <c r="C10355" i="1"/>
  <c r="A10356" i="1"/>
  <c r="C10356" i="1"/>
  <c r="A10357" i="1"/>
  <c r="C10357" i="1"/>
  <c r="A10358" i="1"/>
  <c r="C10358" i="1"/>
  <c r="A10359" i="1"/>
  <c r="C10359" i="1"/>
  <c r="A10360" i="1"/>
  <c r="C10360" i="1"/>
  <c r="A10361" i="1"/>
  <c r="C10361" i="1"/>
  <c r="A10362" i="1"/>
  <c r="C10362" i="1"/>
  <c r="A10363" i="1"/>
  <c r="C10363" i="1"/>
  <c r="A10364" i="1"/>
  <c r="C10364" i="1"/>
  <c r="A10365" i="1"/>
  <c r="C10365" i="1"/>
  <c r="A10366" i="1"/>
  <c r="C10366" i="1"/>
  <c r="A10367" i="1"/>
  <c r="C10367" i="1"/>
  <c r="A10368" i="1"/>
  <c r="C10368" i="1"/>
  <c r="A10369" i="1"/>
  <c r="C10369" i="1"/>
  <c r="A10370" i="1"/>
  <c r="C10370" i="1"/>
  <c r="A10371" i="1"/>
  <c r="C10371" i="1"/>
  <c r="A10372" i="1"/>
  <c r="C10372" i="1"/>
  <c r="A10373" i="1"/>
  <c r="C10373" i="1"/>
  <c r="A10374" i="1"/>
  <c r="C10374" i="1"/>
  <c r="A10375" i="1"/>
  <c r="C10375" i="1"/>
  <c r="A10376" i="1"/>
  <c r="C10376" i="1"/>
  <c r="A10377" i="1"/>
  <c r="C10377" i="1"/>
  <c r="A10378" i="1"/>
  <c r="C10378" i="1"/>
  <c r="A10379" i="1"/>
  <c r="C10379" i="1"/>
  <c r="A10380" i="1"/>
  <c r="C10380" i="1"/>
  <c r="A10381" i="1"/>
  <c r="C10381" i="1"/>
  <c r="A10382" i="1"/>
  <c r="C10382" i="1"/>
  <c r="A10383" i="1"/>
  <c r="C10383" i="1"/>
  <c r="A10384" i="1"/>
  <c r="C10384" i="1"/>
  <c r="A10385" i="1"/>
  <c r="C10385" i="1"/>
  <c r="A10386" i="1"/>
  <c r="C10386" i="1"/>
  <c r="A10387" i="1"/>
  <c r="C10387" i="1"/>
  <c r="A10388" i="1"/>
  <c r="C10388" i="1"/>
  <c r="A10389" i="1"/>
  <c r="C10389" i="1"/>
  <c r="A10390" i="1"/>
  <c r="C10390" i="1"/>
  <c r="A10391" i="1"/>
  <c r="C10391" i="1"/>
  <c r="A10392" i="1"/>
  <c r="C10392" i="1"/>
  <c r="A10393" i="1"/>
  <c r="C10393" i="1"/>
  <c r="A10394" i="1"/>
  <c r="C10394" i="1"/>
  <c r="A10395" i="1"/>
  <c r="C10395" i="1"/>
  <c r="A10396" i="1"/>
  <c r="C10396" i="1"/>
  <c r="A10397" i="1"/>
  <c r="C10397" i="1"/>
  <c r="A10398" i="1"/>
  <c r="C10398" i="1"/>
  <c r="A10399" i="1"/>
  <c r="C10399" i="1"/>
  <c r="A10400" i="1"/>
  <c r="C10400" i="1"/>
  <c r="A10401" i="1"/>
  <c r="C10401" i="1"/>
  <c r="A10402" i="1"/>
  <c r="C10402" i="1"/>
  <c r="A10403" i="1"/>
  <c r="C10403" i="1"/>
  <c r="A10404" i="1"/>
  <c r="C10404" i="1"/>
  <c r="A10405" i="1"/>
  <c r="C10405" i="1"/>
  <c r="A10406" i="1"/>
  <c r="C10406" i="1"/>
  <c r="A10407" i="1"/>
  <c r="C10407" i="1"/>
  <c r="A10408" i="1"/>
  <c r="C10408" i="1"/>
  <c r="A10409" i="1"/>
  <c r="C10409" i="1"/>
  <c r="A10410" i="1"/>
  <c r="C10410" i="1"/>
  <c r="A10411" i="1"/>
  <c r="C10411" i="1"/>
  <c r="A10412" i="1"/>
  <c r="C10412" i="1"/>
  <c r="A10413" i="1"/>
  <c r="C10413" i="1"/>
  <c r="A10414" i="1"/>
  <c r="C10414" i="1"/>
  <c r="A10415" i="1"/>
  <c r="C10415" i="1"/>
  <c r="A10416" i="1"/>
  <c r="C10416" i="1"/>
  <c r="A10417" i="1"/>
  <c r="C10417" i="1"/>
  <c r="A10418" i="1"/>
  <c r="C10418" i="1"/>
  <c r="A10419" i="1"/>
  <c r="C10419" i="1"/>
  <c r="A10420" i="1"/>
  <c r="C10420" i="1"/>
  <c r="A10421" i="1"/>
  <c r="C10421" i="1"/>
  <c r="A10422" i="1"/>
  <c r="C10422" i="1"/>
  <c r="A10423" i="1"/>
  <c r="C10423" i="1"/>
  <c r="A10424" i="1"/>
  <c r="C10424" i="1"/>
  <c r="A10425" i="1"/>
  <c r="C10425" i="1"/>
  <c r="A10426" i="1"/>
  <c r="C10426" i="1"/>
  <c r="A10427" i="1"/>
  <c r="C10427" i="1"/>
  <c r="A10428" i="1"/>
  <c r="C10428" i="1"/>
  <c r="A10429" i="1"/>
  <c r="C10429" i="1"/>
  <c r="A10430" i="1"/>
  <c r="C10430" i="1"/>
  <c r="A10431" i="1"/>
  <c r="C10431" i="1"/>
  <c r="A10432" i="1"/>
  <c r="C10432" i="1"/>
  <c r="A10433" i="1"/>
  <c r="C10433" i="1"/>
  <c r="A10434" i="1"/>
  <c r="C10434" i="1"/>
  <c r="A10435" i="1"/>
  <c r="C10435" i="1"/>
  <c r="A10436" i="1"/>
  <c r="C10436" i="1"/>
  <c r="A10437" i="1"/>
  <c r="C10437" i="1"/>
  <c r="A10438" i="1"/>
  <c r="C10438" i="1"/>
  <c r="A10439" i="1"/>
  <c r="C10439" i="1"/>
  <c r="A10440" i="1"/>
  <c r="C10440" i="1"/>
  <c r="A10441" i="1"/>
  <c r="C10441" i="1"/>
  <c r="A10442" i="1"/>
  <c r="C10442" i="1"/>
  <c r="A10443" i="1"/>
  <c r="C10443" i="1"/>
  <c r="A10444" i="1"/>
  <c r="C10444" i="1"/>
  <c r="A10445" i="1"/>
  <c r="C10445" i="1"/>
  <c r="A10446" i="1"/>
  <c r="C10446" i="1"/>
  <c r="A10447" i="1"/>
  <c r="C10447" i="1"/>
  <c r="A10448" i="1"/>
  <c r="C10448" i="1"/>
  <c r="A10449" i="1"/>
  <c r="C10449" i="1"/>
  <c r="A10450" i="1"/>
  <c r="C10450" i="1"/>
  <c r="A10451" i="1"/>
  <c r="C10451" i="1"/>
  <c r="A10452" i="1"/>
  <c r="C10452" i="1"/>
  <c r="A10453" i="1"/>
  <c r="C10453" i="1"/>
  <c r="A10454" i="1"/>
  <c r="C10454" i="1"/>
  <c r="A10455" i="1"/>
  <c r="C10455" i="1"/>
  <c r="A10456" i="1"/>
  <c r="C10456" i="1"/>
  <c r="A10457" i="1"/>
  <c r="C10457" i="1"/>
  <c r="A10458" i="1"/>
  <c r="C10458" i="1"/>
  <c r="A10459" i="1"/>
  <c r="C10459" i="1"/>
  <c r="A10460" i="1"/>
  <c r="C10460" i="1"/>
  <c r="A10461" i="1"/>
  <c r="C10461" i="1"/>
  <c r="A10462" i="1"/>
  <c r="C10462" i="1"/>
  <c r="A10463" i="1"/>
  <c r="C10463" i="1"/>
  <c r="A10464" i="1"/>
  <c r="C10464" i="1"/>
  <c r="A10465" i="1"/>
  <c r="C10465" i="1"/>
  <c r="A10466" i="1"/>
  <c r="C10466" i="1"/>
  <c r="A10467" i="1"/>
  <c r="C10467" i="1"/>
  <c r="A10468" i="1"/>
  <c r="C10468" i="1"/>
  <c r="A10469" i="1"/>
  <c r="C10469" i="1"/>
  <c r="A10470" i="1"/>
  <c r="C10470" i="1"/>
  <c r="A10471" i="1"/>
  <c r="C10471" i="1"/>
  <c r="A10472" i="1"/>
  <c r="C10472" i="1"/>
  <c r="A10473" i="1"/>
  <c r="C10473" i="1"/>
  <c r="A10474" i="1"/>
  <c r="C10474" i="1"/>
  <c r="A10475" i="1"/>
  <c r="C10475" i="1"/>
  <c r="A10476" i="1"/>
  <c r="C10476" i="1"/>
  <c r="A10477" i="1"/>
  <c r="C10477" i="1"/>
  <c r="A10478" i="1"/>
  <c r="C10478" i="1"/>
  <c r="A10479" i="1"/>
  <c r="C10479" i="1"/>
  <c r="A10480" i="1"/>
  <c r="C10480" i="1"/>
  <c r="A10481" i="1"/>
  <c r="C10481" i="1"/>
  <c r="A10482" i="1"/>
  <c r="C10482" i="1"/>
  <c r="A10483" i="1"/>
  <c r="C10483" i="1"/>
  <c r="A10484" i="1"/>
  <c r="C10484" i="1"/>
  <c r="A10485" i="1"/>
  <c r="C10485" i="1"/>
  <c r="A10486" i="1"/>
  <c r="C10486" i="1"/>
  <c r="A10487" i="1"/>
  <c r="C10487" i="1"/>
  <c r="A10488" i="1"/>
  <c r="C10488" i="1"/>
  <c r="A10489" i="1"/>
  <c r="C10489" i="1"/>
  <c r="A10490" i="1"/>
  <c r="C10490" i="1"/>
  <c r="A10491" i="1"/>
  <c r="C10491" i="1"/>
  <c r="A10492" i="1"/>
  <c r="C10492" i="1"/>
  <c r="A10493" i="1"/>
  <c r="C10493" i="1"/>
  <c r="A10494" i="1"/>
  <c r="C10494" i="1"/>
  <c r="A10495" i="1"/>
  <c r="C10495" i="1"/>
  <c r="A10496" i="1"/>
  <c r="C10496" i="1"/>
  <c r="A10497" i="1"/>
  <c r="C10497" i="1"/>
  <c r="A10498" i="1"/>
  <c r="C10498" i="1"/>
  <c r="A10499" i="1"/>
  <c r="C10499" i="1"/>
  <c r="A10500" i="1"/>
  <c r="C10500" i="1"/>
  <c r="A10501" i="1"/>
  <c r="C10501" i="1"/>
  <c r="A10502" i="1"/>
  <c r="C10502" i="1"/>
  <c r="A10503" i="1"/>
  <c r="C10503" i="1"/>
  <c r="A10504" i="1"/>
  <c r="C10504" i="1"/>
  <c r="A10505" i="1"/>
  <c r="C10505" i="1"/>
  <c r="A10506" i="1"/>
  <c r="C10506" i="1"/>
  <c r="A10507" i="1"/>
  <c r="C10507" i="1"/>
  <c r="A10508" i="1"/>
  <c r="C10508" i="1"/>
  <c r="A10509" i="1"/>
  <c r="C10509" i="1"/>
  <c r="A10510" i="1"/>
  <c r="C10510" i="1"/>
  <c r="A10511" i="1"/>
  <c r="C10511" i="1"/>
  <c r="A10512" i="1"/>
  <c r="C10512" i="1"/>
  <c r="A10513" i="1"/>
  <c r="C10513" i="1"/>
  <c r="A10514" i="1"/>
  <c r="C10514" i="1"/>
  <c r="A10515" i="1"/>
  <c r="C10515" i="1"/>
  <c r="A10516" i="1"/>
  <c r="C10516" i="1"/>
  <c r="A10517" i="1"/>
  <c r="C10517" i="1"/>
  <c r="A10518" i="1"/>
  <c r="C10518" i="1"/>
  <c r="A10519" i="1"/>
  <c r="C10519" i="1"/>
  <c r="A10520" i="1"/>
  <c r="C10520" i="1"/>
  <c r="A10521" i="1"/>
  <c r="C10521" i="1"/>
  <c r="A10522" i="1"/>
  <c r="C10522" i="1"/>
  <c r="A10523" i="1"/>
  <c r="C10523" i="1"/>
  <c r="A10524" i="1"/>
  <c r="C10524" i="1"/>
  <c r="A10525" i="1"/>
  <c r="C10525" i="1"/>
  <c r="A10526" i="1"/>
  <c r="C10526" i="1"/>
  <c r="A10527" i="1"/>
  <c r="C10527" i="1"/>
  <c r="A10528" i="1"/>
  <c r="C10528" i="1"/>
  <c r="A10529" i="1"/>
  <c r="C10529" i="1"/>
  <c r="A10530" i="1"/>
  <c r="C10530" i="1"/>
  <c r="A10531" i="1"/>
  <c r="C10531" i="1"/>
  <c r="A10532" i="1"/>
  <c r="C10532" i="1"/>
  <c r="A10533" i="1"/>
  <c r="C10533" i="1"/>
  <c r="A10534" i="1"/>
  <c r="C10534" i="1"/>
  <c r="A10535" i="1"/>
  <c r="C10535" i="1"/>
  <c r="A10536" i="1"/>
  <c r="C10536" i="1"/>
  <c r="A10537" i="1"/>
  <c r="C10537" i="1"/>
  <c r="A10538" i="1"/>
  <c r="C10538" i="1"/>
  <c r="A10539" i="1"/>
  <c r="C10539" i="1"/>
  <c r="A10540" i="1"/>
  <c r="C10540" i="1"/>
  <c r="A10541" i="1"/>
  <c r="C10541" i="1"/>
  <c r="A10542" i="1"/>
  <c r="C10542" i="1"/>
  <c r="A10543" i="1"/>
  <c r="C10543" i="1"/>
  <c r="A10544" i="1"/>
  <c r="C10544" i="1"/>
  <c r="A10545" i="1"/>
  <c r="C10545" i="1"/>
  <c r="A10546" i="1"/>
  <c r="C10546" i="1"/>
  <c r="A10547" i="1"/>
  <c r="C10547" i="1"/>
  <c r="A10548" i="1"/>
  <c r="C10548" i="1"/>
  <c r="A10549" i="1"/>
  <c r="C10549" i="1"/>
  <c r="A10550" i="1"/>
  <c r="C10550" i="1"/>
  <c r="A10551" i="1"/>
  <c r="C10551" i="1"/>
  <c r="A10552" i="1"/>
  <c r="C10552" i="1"/>
  <c r="A10553" i="1"/>
  <c r="C10553" i="1"/>
  <c r="A10554" i="1"/>
  <c r="C10554" i="1"/>
  <c r="A10555" i="1"/>
  <c r="C10555" i="1"/>
  <c r="A10556" i="1"/>
  <c r="C10556" i="1"/>
  <c r="A10557" i="1"/>
  <c r="C10557" i="1"/>
  <c r="A10558" i="1"/>
  <c r="C10558" i="1"/>
  <c r="A10559" i="1"/>
  <c r="C10559" i="1"/>
  <c r="A10560" i="1"/>
  <c r="C10560" i="1"/>
  <c r="A10561" i="1"/>
  <c r="C10561" i="1"/>
  <c r="A10562" i="1"/>
  <c r="C10562" i="1"/>
  <c r="A10563" i="1"/>
  <c r="C10563" i="1"/>
  <c r="A10564" i="1"/>
  <c r="C10564" i="1"/>
  <c r="A10565" i="1"/>
  <c r="C10565" i="1"/>
  <c r="A10566" i="1"/>
  <c r="C10566" i="1"/>
  <c r="A10567" i="1"/>
  <c r="C10567" i="1"/>
  <c r="A10568" i="1"/>
  <c r="C10568" i="1"/>
  <c r="A10569" i="1"/>
  <c r="C10569" i="1"/>
  <c r="A10570" i="1"/>
  <c r="C10570" i="1"/>
  <c r="A10571" i="1"/>
  <c r="C10571" i="1"/>
  <c r="A10572" i="1"/>
  <c r="C10572" i="1"/>
  <c r="A10573" i="1"/>
  <c r="C10573" i="1"/>
  <c r="A10574" i="1"/>
  <c r="C10574" i="1"/>
  <c r="A10575" i="1"/>
  <c r="C10575" i="1"/>
  <c r="A10576" i="1"/>
  <c r="C10576" i="1"/>
  <c r="A10577" i="1"/>
  <c r="C10577" i="1"/>
  <c r="A10578" i="1"/>
  <c r="C10578" i="1"/>
  <c r="A10579" i="1"/>
  <c r="C10579" i="1"/>
  <c r="A10580" i="1"/>
  <c r="C10580" i="1"/>
  <c r="A10581" i="1"/>
  <c r="C10581" i="1"/>
  <c r="A10582" i="1"/>
  <c r="C10582" i="1"/>
  <c r="A10583" i="1"/>
  <c r="C10583" i="1"/>
  <c r="A10584" i="1"/>
  <c r="C10584" i="1"/>
  <c r="A10585" i="1"/>
  <c r="C10585" i="1"/>
  <c r="A10586" i="1"/>
  <c r="C10586" i="1"/>
  <c r="A10587" i="1"/>
  <c r="C10587" i="1"/>
  <c r="A10588" i="1"/>
  <c r="C10588" i="1"/>
  <c r="A10589" i="1"/>
  <c r="C10589" i="1"/>
  <c r="A10590" i="1"/>
  <c r="C10590" i="1"/>
  <c r="A10591" i="1"/>
  <c r="C10591" i="1"/>
  <c r="A10592" i="1"/>
  <c r="C10592" i="1"/>
  <c r="A10593" i="1"/>
  <c r="C10593" i="1"/>
  <c r="A10594" i="1"/>
  <c r="C10594" i="1"/>
  <c r="A10595" i="1"/>
  <c r="C10595" i="1"/>
  <c r="A10596" i="1"/>
  <c r="C10596" i="1"/>
  <c r="A10597" i="1"/>
  <c r="C10597" i="1"/>
  <c r="A10598" i="1"/>
  <c r="C10598" i="1"/>
  <c r="A10599" i="1"/>
  <c r="C10599" i="1"/>
  <c r="A10600" i="1"/>
  <c r="C10600" i="1"/>
  <c r="A10601" i="1"/>
  <c r="C10601" i="1"/>
  <c r="A10602" i="1"/>
  <c r="C10602" i="1"/>
  <c r="A10603" i="1"/>
  <c r="C10603" i="1"/>
  <c r="A10604" i="1"/>
  <c r="C10604" i="1"/>
  <c r="A10605" i="1"/>
  <c r="C10605" i="1"/>
  <c r="A10606" i="1"/>
  <c r="C10606" i="1"/>
  <c r="A10607" i="1"/>
  <c r="C10607" i="1"/>
  <c r="A10608" i="1"/>
  <c r="C10608" i="1"/>
  <c r="A10609" i="1"/>
  <c r="C10609" i="1"/>
  <c r="A10610" i="1"/>
  <c r="C10610" i="1"/>
  <c r="A10611" i="1"/>
  <c r="C10611" i="1"/>
  <c r="A10612" i="1"/>
  <c r="C10612" i="1"/>
  <c r="A10613" i="1"/>
  <c r="C10613" i="1"/>
  <c r="A10614" i="1"/>
  <c r="C10614" i="1"/>
  <c r="A10615" i="1"/>
  <c r="C10615" i="1"/>
  <c r="A10616" i="1"/>
  <c r="C10616" i="1"/>
  <c r="A10617" i="1"/>
  <c r="C10617" i="1"/>
  <c r="A10618" i="1"/>
  <c r="C10618" i="1"/>
  <c r="A10619" i="1"/>
  <c r="C10619" i="1"/>
  <c r="A10620" i="1"/>
  <c r="C10620" i="1"/>
  <c r="A10621" i="1"/>
  <c r="C10621" i="1"/>
  <c r="A10622" i="1"/>
  <c r="C10622" i="1"/>
  <c r="A10623" i="1"/>
  <c r="C10623" i="1"/>
  <c r="A10624" i="1"/>
  <c r="C10624" i="1"/>
  <c r="A10625" i="1"/>
  <c r="C10625" i="1"/>
  <c r="A10626" i="1"/>
  <c r="C10626" i="1"/>
  <c r="A10627" i="1"/>
  <c r="C10627" i="1"/>
  <c r="A10628" i="1"/>
  <c r="C10628" i="1"/>
  <c r="A10629" i="1"/>
  <c r="C10629" i="1"/>
  <c r="A10630" i="1"/>
  <c r="C10630" i="1"/>
  <c r="A10631" i="1"/>
  <c r="C10631" i="1"/>
  <c r="A10632" i="1"/>
  <c r="C10632" i="1"/>
  <c r="A10633" i="1"/>
  <c r="C10633" i="1"/>
  <c r="A10634" i="1"/>
  <c r="C10634" i="1"/>
  <c r="A10635" i="1"/>
  <c r="C10635" i="1"/>
  <c r="A10636" i="1"/>
  <c r="C10636" i="1"/>
  <c r="A10637" i="1"/>
  <c r="C10637" i="1"/>
  <c r="A10638" i="1"/>
  <c r="C10638" i="1"/>
  <c r="A10639" i="1"/>
  <c r="C10639" i="1"/>
  <c r="A10640" i="1"/>
  <c r="C10640" i="1"/>
  <c r="A10641" i="1"/>
  <c r="C10641" i="1"/>
  <c r="A10642" i="1"/>
  <c r="C10642" i="1"/>
  <c r="A10643" i="1"/>
  <c r="C10643" i="1"/>
  <c r="A10644" i="1"/>
  <c r="C10644" i="1"/>
  <c r="A10645" i="1"/>
  <c r="C10645" i="1"/>
  <c r="A10646" i="1"/>
  <c r="C10646" i="1"/>
  <c r="A10647" i="1"/>
  <c r="C10647" i="1"/>
  <c r="A10648" i="1"/>
  <c r="C10648" i="1"/>
  <c r="A10649" i="1"/>
  <c r="C10649" i="1"/>
  <c r="A10650" i="1"/>
  <c r="C10650" i="1"/>
  <c r="A10651" i="1"/>
  <c r="C10651" i="1"/>
  <c r="A10652" i="1"/>
  <c r="C10652" i="1"/>
  <c r="A10653" i="1"/>
  <c r="C10653" i="1"/>
  <c r="A10654" i="1"/>
  <c r="C10654" i="1"/>
  <c r="A10655" i="1"/>
  <c r="C10655" i="1"/>
  <c r="A10656" i="1"/>
  <c r="C10656" i="1"/>
  <c r="A10657" i="1"/>
  <c r="C10657" i="1"/>
  <c r="A10658" i="1"/>
  <c r="C10658" i="1"/>
  <c r="A10659" i="1"/>
  <c r="C10659" i="1"/>
  <c r="A10660" i="1"/>
  <c r="C10660" i="1"/>
  <c r="A10661" i="1"/>
  <c r="C10661" i="1"/>
  <c r="A10662" i="1"/>
  <c r="C10662" i="1"/>
  <c r="A10663" i="1"/>
  <c r="C10663" i="1"/>
  <c r="A10664" i="1"/>
  <c r="C10664" i="1"/>
  <c r="A10665" i="1"/>
  <c r="C10665" i="1"/>
  <c r="A10666" i="1"/>
  <c r="C10666" i="1"/>
  <c r="A10667" i="1"/>
  <c r="C10667" i="1"/>
  <c r="A10668" i="1"/>
  <c r="C10668" i="1"/>
  <c r="A10669" i="1"/>
  <c r="C10669" i="1"/>
  <c r="A10670" i="1"/>
  <c r="C10670" i="1"/>
  <c r="A10671" i="1"/>
  <c r="C10671" i="1"/>
  <c r="A10672" i="1"/>
  <c r="C10672" i="1"/>
  <c r="A10673" i="1"/>
  <c r="C10673" i="1"/>
  <c r="A10674" i="1"/>
  <c r="C10674" i="1"/>
  <c r="A10675" i="1"/>
  <c r="C10675" i="1"/>
  <c r="A10676" i="1"/>
  <c r="C10676" i="1"/>
  <c r="A10677" i="1"/>
  <c r="C10677" i="1"/>
  <c r="A10678" i="1"/>
  <c r="C10678" i="1"/>
  <c r="A10679" i="1"/>
  <c r="C10679" i="1"/>
  <c r="A10680" i="1"/>
  <c r="C10680" i="1"/>
  <c r="A10681" i="1"/>
  <c r="C10681" i="1"/>
  <c r="A10682" i="1"/>
  <c r="C10682" i="1"/>
  <c r="A10683" i="1"/>
  <c r="C10683" i="1"/>
  <c r="A10684" i="1"/>
  <c r="C10684" i="1"/>
  <c r="A10685" i="1"/>
  <c r="C10685" i="1"/>
  <c r="A10686" i="1"/>
  <c r="C10686" i="1"/>
  <c r="A10687" i="1"/>
  <c r="C10687" i="1"/>
  <c r="A10688" i="1"/>
  <c r="C10688" i="1"/>
  <c r="A10689" i="1"/>
  <c r="C10689" i="1"/>
  <c r="A10690" i="1"/>
  <c r="C10690" i="1"/>
  <c r="A10691" i="1"/>
  <c r="C10691" i="1"/>
  <c r="A10692" i="1"/>
  <c r="C10692" i="1"/>
  <c r="A10693" i="1"/>
  <c r="C10693" i="1"/>
  <c r="A10694" i="1"/>
  <c r="C10694" i="1"/>
  <c r="A10695" i="1"/>
  <c r="C10695" i="1"/>
  <c r="A10696" i="1"/>
  <c r="C10696" i="1"/>
  <c r="A10697" i="1"/>
  <c r="C10697" i="1"/>
  <c r="A10698" i="1"/>
  <c r="C10698" i="1"/>
  <c r="A10699" i="1"/>
  <c r="C10699" i="1"/>
  <c r="A10700" i="1"/>
  <c r="C10700" i="1"/>
  <c r="A10701" i="1"/>
  <c r="C10701" i="1"/>
  <c r="A10702" i="1"/>
  <c r="C10702" i="1"/>
  <c r="A10703" i="1"/>
  <c r="C10703" i="1"/>
  <c r="A10704" i="1"/>
  <c r="C10704" i="1"/>
  <c r="A10705" i="1"/>
  <c r="C10705" i="1"/>
  <c r="A10706" i="1"/>
  <c r="C10706" i="1"/>
  <c r="A10707" i="1"/>
  <c r="C10707" i="1"/>
  <c r="A10708" i="1"/>
  <c r="C10708" i="1"/>
  <c r="A10709" i="1"/>
  <c r="C10709" i="1"/>
  <c r="A10710" i="1"/>
  <c r="C10710" i="1"/>
  <c r="A10711" i="1"/>
  <c r="C10711" i="1"/>
  <c r="A10712" i="1"/>
  <c r="C10712" i="1"/>
  <c r="A10713" i="1"/>
  <c r="C10713" i="1"/>
  <c r="A10714" i="1"/>
  <c r="C10714" i="1"/>
  <c r="A10715" i="1"/>
  <c r="C10715" i="1"/>
  <c r="A10716" i="1"/>
  <c r="C10716" i="1"/>
  <c r="A10717" i="1"/>
  <c r="C10717" i="1"/>
  <c r="A10718" i="1"/>
  <c r="C10718" i="1"/>
  <c r="A10719" i="1"/>
  <c r="C10719" i="1"/>
  <c r="A10720" i="1"/>
  <c r="C10720" i="1"/>
  <c r="A10721" i="1"/>
  <c r="C10721" i="1"/>
  <c r="A10722" i="1"/>
  <c r="C10722" i="1"/>
  <c r="A10723" i="1"/>
  <c r="C10723" i="1"/>
  <c r="A10724" i="1"/>
  <c r="C10724" i="1"/>
  <c r="A10725" i="1"/>
  <c r="C10725" i="1"/>
  <c r="A10726" i="1"/>
  <c r="C10726" i="1"/>
  <c r="A10727" i="1"/>
  <c r="C10727" i="1"/>
  <c r="A10728" i="1"/>
  <c r="C10728" i="1"/>
  <c r="A10729" i="1"/>
  <c r="C10729" i="1"/>
  <c r="A10730" i="1"/>
  <c r="C10730" i="1"/>
  <c r="A10731" i="1"/>
  <c r="C10731" i="1"/>
  <c r="A10732" i="1"/>
  <c r="C10732" i="1"/>
  <c r="A10733" i="1"/>
  <c r="C10733" i="1"/>
  <c r="A10734" i="1"/>
  <c r="C10734" i="1"/>
  <c r="A10735" i="1"/>
  <c r="C10735" i="1"/>
  <c r="A10736" i="1"/>
  <c r="C10736" i="1"/>
  <c r="A10737" i="1"/>
  <c r="C10737" i="1"/>
  <c r="A10738" i="1"/>
  <c r="C10738" i="1"/>
  <c r="A10739" i="1"/>
  <c r="C10739" i="1"/>
  <c r="A10740" i="1"/>
  <c r="C10740" i="1"/>
  <c r="A10741" i="1"/>
  <c r="C10741" i="1"/>
  <c r="A10742" i="1"/>
  <c r="C10742" i="1"/>
  <c r="A10743" i="1"/>
  <c r="C10743" i="1"/>
  <c r="A10744" i="1"/>
  <c r="C10744" i="1"/>
  <c r="A10745" i="1"/>
  <c r="C10745" i="1"/>
  <c r="A10746" i="1"/>
  <c r="C10746" i="1"/>
  <c r="A10747" i="1"/>
  <c r="C10747" i="1"/>
  <c r="A10748" i="1"/>
  <c r="C10748" i="1"/>
  <c r="A10749" i="1"/>
  <c r="C10749" i="1"/>
  <c r="A10750" i="1"/>
  <c r="C10750" i="1"/>
  <c r="A10751" i="1"/>
  <c r="C10751" i="1"/>
  <c r="A10752" i="1"/>
  <c r="C10752" i="1"/>
  <c r="A10753" i="1"/>
  <c r="C10753" i="1"/>
  <c r="A10754" i="1"/>
  <c r="C10754" i="1"/>
  <c r="A10755" i="1"/>
  <c r="C10755" i="1"/>
  <c r="A10756" i="1"/>
  <c r="C10756" i="1"/>
  <c r="A10757" i="1"/>
  <c r="C10757" i="1"/>
  <c r="A10758" i="1"/>
  <c r="C10758" i="1"/>
  <c r="A10759" i="1"/>
  <c r="C10759" i="1"/>
  <c r="A10760" i="1"/>
  <c r="C10760" i="1"/>
  <c r="A10761" i="1"/>
  <c r="C10761" i="1"/>
  <c r="A10762" i="1"/>
  <c r="C10762" i="1"/>
  <c r="A10763" i="1"/>
  <c r="C10763" i="1"/>
  <c r="A10764" i="1"/>
  <c r="C10764" i="1"/>
  <c r="A10765" i="1"/>
  <c r="C10765" i="1"/>
  <c r="A10766" i="1"/>
  <c r="C10766" i="1"/>
  <c r="A10767" i="1"/>
  <c r="C10767" i="1"/>
  <c r="A10768" i="1"/>
  <c r="C10768" i="1"/>
  <c r="A10769" i="1"/>
  <c r="C10769" i="1"/>
  <c r="A10770" i="1"/>
  <c r="C10770" i="1"/>
  <c r="A10771" i="1"/>
  <c r="C10771" i="1"/>
  <c r="A10772" i="1"/>
  <c r="C10772" i="1"/>
  <c r="A10773" i="1"/>
  <c r="C10773" i="1"/>
  <c r="A10774" i="1"/>
  <c r="C10774" i="1"/>
  <c r="A10775" i="1"/>
  <c r="C10775" i="1"/>
  <c r="A10776" i="1"/>
  <c r="C10776" i="1"/>
  <c r="A10777" i="1"/>
  <c r="C10777" i="1"/>
  <c r="A10778" i="1"/>
  <c r="C10778" i="1"/>
  <c r="A10779" i="1"/>
  <c r="C10779" i="1"/>
  <c r="A10780" i="1"/>
  <c r="C10780" i="1"/>
  <c r="A10781" i="1"/>
  <c r="C10781" i="1"/>
  <c r="A10782" i="1"/>
  <c r="C10782" i="1"/>
  <c r="A10783" i="1"/>
  <c r="C10783" i="1"/>
  <c r="A10784" i="1"/>
  <c r="C10784" i="1"/>
  <c r="A10785" i="1"/>
  <c r="C10785" i="1"/>
  <c r="A10786" i="1"/>
  <c r="C10786" i="1"/>
  <c r="A10787" i="1"/>
  <c r="C10787" i="1"/>
  <c r="A10788" i="1"/>
  <c r="C10788" i="1"/>
  <c r="A10789" i="1"/>
  <c r="C10789" i="1"/>
  <c r="A10790" i="1"/>
  <c r="C10790" i="1"/>
  <c r="A10791" i="1"/>
  <c r="C10791" i="1"/>
  <c r="A10792" i="1"/>
  <c r="C10792" i="1"/>
  <c r="A10793" i="1"/>
  <c r="C10793" i="1"/>
  <c r="A10794" i="1"/>
  <c r="C10794" i="1"/>
  <c r="A10795" i="1"/>
  <c r="C10795" i="1"/>
  <c r="A10796" i="1"/>
  <c r="C10796" i="1"/>
  <c r="A10797" i="1"/>
  <c r="C10797" i="1"/>
  <c r="A10798" i="1"/>
  <c r="C10798" i="1"/>
  <c r="A10799" i="1"/>
  <c r="C10799" i="1"/>
  <c r="A10800" i="1"/>
  <c r="C10800" i="1"/>
  <c r="A10801" i="1"/>
  <c r="C10801" i="1"/>
  <c r="A10802" i="1"/>
  <c r="C10802" i="1"/>
  <c r="A10803" i="1"/>
  <c r="C10803" i="1"/>
  <c r="A10804" i="1"/>
  <c r="C10804" i="1"/>
  <c r="A10805" i="1"/>
  <c r="C10805" i="1"/>
  <c r="A10806" i="1"/>
  <c r="C10806" i="1"/>
  <c r="A10807" i="1"/>
  <c r="C10807" i="1"/>
  <c r="A10808" i="1"/>
  <c r="C10808" i="1"/>
  <c r="A10809" i="1"/>
  <c r="C10809" i="1"/>
  <c r="A10810" i="1"/>
  <c r="C10810" i="1"/>
  <c r="A10811" i="1"/>
  <c r="C10811" i="1"/>
  <c r="A10812" i="1"/>
  <c r="C10812" i="1"/>
  <c r="A10813" i="1"/>
  <c r="C10813" i="1"/>
  <c r="A10814" i="1"/>
  <c r="C10814" i="1"/>
  <c r="A10815" i="1"/>
  <c r="C10815" i="1"/>
  <c r="A10816" i="1"/>
  <c r="C10816" i="1"/>
  <c r="A10817" i="1"/>
  <c r="C10817" i="1"/>
  <c r="A10818" i="1"/>
  <c r="C10818" i="1"/>
  <c r="A10819" i="1"/>
  <c r="C10819" i="1"/>
  <c r="A10820" i="1"/>
  <c r="C10820" i="1"/>
  <c r="A10821" i="1"/>
  <c r="C10821" i="1"/>
  <c r="A10822" i="1"/>
  <c r="C10822" i="1"/>
  <c r="A10823" i="1"/>
  <c r="C10823" i="1"/>
  <c r="A10824" i="1"/>
  <c r="C10824" i="1"/>
  <c r="A10825" i="1"/>
  <c r="C10825" i="1"/>
  <c r="A10826" i="1"/>
  <c r="C10826" i="1"/>
  <c r="A10827" i="1"/>
  <c r="C10827" i="1"/>
  <c r="A10828" i="1"/>
  <c r="C10828" i="1"/>
  <c r="A10829" i="1"/>
  <c r="C10829" i="1"/>
  <c r="A10830" i="1"/>
  <c r="C10830" i="1"/>
  <c r="A10831" i="1"/>
  <c r="C10831" i="1"/>
  <c r="A10832" i="1"/>
  <c r="C10832" i="1"/>
  <c r="A10833" i="1"/>
  <c r="C10833" i="1"/>
  <c r="A10834" i="1"/>
  <c r="C10834" i="1"/>
  <c r="A10835" i="1"/>
  <c r="C10835" i="1"/>
  <c r="A10836" i="1"/>
  <c r="C10836" i="1"/>
  <c r="A10837" i="1"/>
  <c r="C10837" i="1"/>
  <c r="A10838" i="1"/>
  <c r="C10838" i="1"/>
  <c r="A10839" i="1"/>
  <c r="C10839" i="1"/>
  <c r="A10840" i="1"/>
  <c r="C10840" i="1"/>
  <c r="A10841" i="1"/>
  <c r="C10841" i="1"/>
  <c r="A10842" i="1"/>
  <c r="C10842" i="1"/>
  <c r="A10843" i="1"/>
  <c r="C10843" i="1"/>
  <c r="A10844" i="1"/>
  <c r="C10844" i="1"/>
  <c r="A10845" i="1"/>
  <c r="C10845" i="1"/>
  <c r="A10846" i="1"/>
  <c r="C10846" i="1"/>
  <c r="A10847" i="1"/>
  <c r="C10847" i="1"/>
  <c r="A10848" i="1"/>
  <c r="C10848" i="1"/>
  <c r="A10849" i="1"/>
  <c r="C10849" i="1"/>
  <c r="A10850" i="1"/>
  <c r="C10850" i="1"/>
  <c r="A10851" i="1"/>
  <c r="C10851" i="1"/>
  <c r="A10852" i="1"/>
  <c r="C10852" i="1"/>
  <c r="A10853" i="1"/>
  <c r="C10853" i="1"/>
  <c r="A10854" i="1"/>
  <c r="C10854" i="1"/>
  <c r="A10855" i="1"/>
  <c r="C10855" i="1"/>
  <c r="A10856" i="1"/>
  <c r="C10856" i="1"/>
  <c r="A10857" i="1"/>
  <c r="C10857" i="1"/>
  <c r="A10858" i="1"/>
  <c r="C10858" i="1"/>
  <c r="A10859" i="1"/>
  <c r="C10859" i="1"/>
  <c r="A10860" i="1"/>
  <c r="C10860" i="1"/>
  <c r="A10861" i="1"/>
  <c r="C10861" i="1"/>
  <c r="A10862" i="1"/>
  <c r="C10862" i="1"/>
  <c r="A10863" i="1"/>
  <c r="C10863" i="1"/>
  <c r="A10864" i="1"/>
  <c r="C10864" i="1"/>
  <c r="A10865" i="1"/>
  <c r="C10865" i="1"/>
  <c r="A10866" i="1"/>
  <c r="C10866" i="1"/>
  <c r="A10867" i="1"/>
  <c r="C10867" i="1"/>
  <c r="A10868" i="1"/>
  <c r="C10868" i="1"/>
  <c r="A10869" i="1"/>
  <c r="C10869" i="1"/>
  <c r="A10870" i="1"/>
  <c r="C10870" i="1"/>
  <c r="A10871" i="1"/>
  <c r="C10871" i="1"/>
  <c r="A10872" i="1"/>
  <c r="C10872" i="1"/>
  <c r="A10873" i="1"/>
  <c r="C10873" i="1"/>
  <c r="A10874" i="1"/>
  <c r="C10874" i="1"/>
  <c r="A10875" i="1"/>
  <c r="C10875" i="1"/>
  <c r="A10876" i="1"/>
  <c r="C10876" i="1"/>
  <c r="A10877" i="1"/>
  <c r="C10877" i="1"/>
  <c r="A10878" i="1"/>
  <c r="C10878" i="1"/>
  <c r="A10879" i="1"/>
  <c r="C10879" i="1"/>
  <c r="A10880" i="1"/>
  <c r="C10880" i="1"/>
  <c r="A10881" i="1"/>
  <c r="C10881" i="1"/>
  <c r="A10882" i="1"/>
  <c r="C10882" i="1"/>
  <c r="A10883" i="1"/>
  <c r="C10883" i="1"/>
  <c r="A10884" i="1"/>
  <c r="C10884" i="1"/>
  <c r="A10885" i="1"/>
  <c r="C10885" i="1"/>
  <c r="A10886" i="1"/>
  <c r="C10886" i="1"/>
  <c r="A10887" i="1"/>
  <c r="C10887" i="1"/>
  <c r="A10888" i="1"/>
  <c r="C10888" i="1"/>
  <c r="A10889" i="1"/>
  <c r="C10889" i="1"/>
  <c r="A10890" i="1"/>
  <c r="C10890" i="1"/>
  <c r="A10891" i="1"/>
  <c r="C10891" i="1"/>
  <c r="A10892" i="1"/>
  <c r="C10892" i="1"/>
  <c r="A10893" i="1"/>
  <c r="C10893" i="1"/>
  <c r="A10894" i="1"/>
  <c r="C10894" i="1"/>
  <c r="A10895" i="1"/>
  <c r="C10895" i="1"/>
  <c r="A10896" i="1"/>
  <c r="C10896" i="1"/>
  <c r="A10897" i="1"/>
  <c r="C10897" i="1"/>
  <c r="A10898" i="1"/>
  <c r="C10898" i="1"/>
  <c r="A10899" i="1"/>
  <c r="C10899" i="1"/>
  <c r="A10900" i="1"/>
  <c r="C10900" i="1"/>
  <c r="A10901" i="1"/>
  <c r="C10901" i="1"/>
  <c r="A10902" i="1"/>
  <c r="C10902" i="1"/>
  <c r="A10903" i="1"/>
  <c r="C10903" i="1"/>
  <c r="A10904" i="1"/>
  <c r="C10904" i="1"/>
  <c r="A10905" i="1"/>
  <c r="C10905" i="1"/>
  <c r="A10906" i="1"/>
  <c r="C10906" i="1"/>
  <c r="A10907" i="1"/>
  <c r="C10907" i="1"/>
  <c r="A10908" i="1"/>
  <c r="C10908" i="1"/>
  <c r="A10909" i="1"/>
  <c r="C10909" i="1"/>
  <c r="A10910" i="1"/>
  <c r="C10910" i="1"/>
  <c r="A10911" i="1"/>
  <c r="C10911" i="1"/>
  <c r="A10912" i="1"/>
  <c r="C10912" i="1"/>
  <c r="A10913" i="1"/>
  <c r="C10913" i="1"/>
  <c r="A10914" i="1"/>
  <c r="C10914" i="1"/>
  <c r="A10915" i="1"/>
  <c r="C10915" i="1"/>
  <c r="A10916" i="1"/>
  <c r="C10916" i="1"/>
  <c r="A10917" i="1"/>
  <c r="C10917" i="1"/>
  <c r="A10918" i="1"/>
  <c r="C10918" i="1"/>
  <c r="A10919" i="1"/>
  <c r="C10919" i="1"/>
  <c r="A10920" i="1"/>
  <c r="C10920" i="1"/>
  <c r="A10921" i="1"/>
  <c r="C10921" i="1"/>
  <c r="A10922" i="1"/>
  <c r="C10922" i="1"/>
  <c r="A10923" i="1"/>
  <c r="C10923" i="1"/>
  <c r="A10924" i="1"/>
  <c r="C10924" i="1"/>
  <c r="A10925" i="1"/>
  <c r="C10925" i="1"/>
  <c r="A10926" i="1"/>
  <c r="C10926" i="1"/>
  <c r="A10927" i="1"/>
  <c r="C10927" i="1"/>
  <c r="A10928" i="1"/>
  <c r="C10928" i="1"/>
  <c r="A10929" i="1"/>
  <c r="C10929" i="1"/>
  <c r="A10930" i="1"/>
  <c r="C10930" i="1"/>
  <c r="A10931" i="1"/>
  <c r="C10931" i="1"/>
  <c r="A10932" i="1"/>
  <c r="C10932" i="1"/>
  <c r="A10933" i="1"/>
  <c r="C10933" i="1"/>
  <c r="A10934" i="1"/>
  <c r="C10934" i="1"/>
  <c r="A10935" i="1"/>
  <c r="C10935" i="1"/>
  <c r="A10936" i="1"/>
  <c r="C10936" i="1"/>
  <c r="A10937" i="1"/>
  <c r="C10937" i="1"/>
  <c r="A10938" i="1"/>
  <c r="C10938" i="1"/>
  <c r="A10939" i="1"/>
  <c r="C10939" i="1"/>
  <c r="A10940" i="1"/>
  <c r="C10940" i="1"/>
  <c r="A10941" i="1"/>
  <c r="C10941" i="1"/>
  <c r="A10942" i="1"/>
  <c r="C10942" i="1"/>
  <c r="A10943" i="1"/>
  <c r="C10943" i="1"/>
  <c r="A10944" i="1"/>
  <c r="C10944" i="1"/>
  <c r="A10945" i="1"/>
  <c r="C10945" i="1"/>
  <c r="A10946" i="1"/>
  <c r="C10946" i="1"/>
  <c r="A10947" i="1"/>
  <c r="C10947" i="1"/>
  <c r="A10948" i="1"/>
  <c r="C10948" i="1"/>
  <c r="A10949" i="1"/>
  <c r="C10949" i="1"/>
  <c r="A10950" i="1"/>
  <c r="C10950" i="1"/>
  <c r="A10951" i="1"/>
  <c r="C10951" i="1"/>
  <c r="A10952" i="1"/>
  <c r="C10952" i="1"/>
  <c r="A10953" i="1"/>
  <c r="C10953" i="1"/>
  <c r="A10954" i="1"/>
  <c r="C10954" i="1"/>
  <c r="A10955" i="1"/>
  <c r="C10955" i="1"/>
  <c r="A10956" i="1"/>
  <c r="C10956" i="1"/>
  <c r="A10957" i="1"/>
  <c r="C10957" i="1"/>
  <c r="A10958" i="1"/>
  <c r="C10958" i="1"/>
  <c r="A10959" i="1"/>
  <c r="C10959" i="1"/>
  <c r="A10960" i="1"/>
  <c r="C10960" i="1"/>
  <c r="A10961" i="1"/>
  <c r="C10961" i="1"/>
  <c r="A10962" i="1"/>
  <c r="C10962" i="1"/>
  <c r="A10963" i="1"/>
  <c r="C10963" i="1"/>
  <c r="A10964" i="1"/>
  <c r="C10964" i="1"/>
  <c r="A10965" i="1"/>
  <c r="C10965" i="1"/>
  <c r="A10966" i="1"/>
  <c r="C10966" i="1"/>
  <c r="A10967" i="1"/>
  <c r="C10967" i="1"/>
  <c r="A10968" i="1"/>
  <c r="C10968" i="1"/>
  <c r="A10969" i="1"/>
  <c r="C10969" i="1"/>
  <c r="A10970" i="1"/>
  <c r="C10970" i="1"/>
  <c r="A10971" i="1"/>
  <c r="C10971" i="1"/>
  <c r="A10972" i="1"/>
  <c r="C10972" i="1"/>
  <c r="A10973" i="1"/>
  <c r="C10973" i="1"/>
  <c r="A10974" i="1"/>
  <c r="C10974" i="1"/>
  <c r="A10975" i="1"/>
  <c r="C10975" i="1"/>
  <c r="A10976" i="1"/>
  <c r="C10976" i="1"/>
  <c r="A10977" i="1"/>
  <c r="C10977" i="1"/>
  <c r="A10978" i="1"/>
  <c r="C10978" i="1"/>
  <c r="A10979" i="1"/>
  <c r="C10979" i="1"/>
  <c r="A10980" i="1"/>
  <c r="C10980" i="1"/>
  <c r="A10981" i="1"/>
  <c r="C10981" i="1"/>
  <c r="A10982" i="1"/>
  <c r="C10982" i="1"/>
  <c r="A10983" i="1"/>
  <c r="C10983" i="1"/>
  <c r="A10984" i="1"/>
  <c r="C10984" i="1"/>
  <c r="A10985" i="1"/>
  <c r="C10985" i="1"/>
  <c r="A10986" i="1"/>
  <c r="C10986" i="1"/>
  <c r="A10987" i="1"/>
  <c r="C10987" i="1"/>
  <c r="A10988" i="1"/>
  <c r="C10988" i="1"/>
  <c r="A10989" i="1"/>
  <c r="C10989" i="1"/>
  <c r="A10990" i="1"/>
  <c r="C10990" i="1"/>
  <c r="A10991" i="1"/>
  <c r="C10991" i="1"/>
  <c r="A10992" i="1"/>
  <c r="C10992" i="1"/>
  <c r="A10993" i="1"/>
  <c r="C10993" i="1"/>
  <c r="A10994" i="1"/>
  <c r="C10994" i="1"/>
  <c r="A10995" i="1"/>
  <c r="C10995" i="1"/>
  <c r="A10996" i="1"/>
  <c r="C10996" i="1"/>
  <c r="A10997" i="1"/>
  <c r="C10997" i="1"/>
  <c r="A10998" i="1"/>
  <c r="C10998" i="1"/>
  <c r="A10999" i="1"/>
  <c r="C10999" i="1"/>
  <c r="A11000" i="1"/>
  <c r="C11000" i="1"/>
  <c r="A11001" i="1"/>
  <c r="C11001" i="1"/>
  <c r="A11002" i="1"/>
  <c r="C11002" i="1"/>
  <c r="A11003" i="1"/>
  <c r="C11003" i="1"/>
  <c r="A11004" i="1"/>
  <c r="C11004" i="1"/>
  <c r="A11005" i="1"/>
  <c r="C11005" i="1"/>
  <c r="A11006" i="1"/>
  <c r="C11006" i="1"/>
  <c r="A11007" i="1"/>
  <c r="C11007" i="1"/>
  <c r="A11008" i="1"/>
  <c r="C11008" i="1"/>
  <c r="A11009" i="1"/>
  <c r="C11009" i="1"/>
  <c r="A11010" i="1"/>
  <c r="C11010" i="1"/>
  <c r="A11011" i="1"/>
  <c r="C11011" i="1"/>
  <c r="A11012" i="1"/>
  <c r="C11012" i="1"/>
  <c r="A11013" i="1"/>
  <c r="C11013" i="1"/>
  <c r="A11014" i="1"/>
  <c r="C11014" i="1"/>
  <c r="A11015" i="1"/>
  <c r="C11015" i="1"/>
  <c r="A11016" i="1"/>
  <c r="C11016" i="1"/>
  <c r="A11017" i="1"/>
  <c r="C11017" i="1"/>
  <c r="A11018" i="1"/>
  <c r="C11018" i="1"/>
  <c r="A11019" i="1"/>
  <c r="C11019" i="1"/>
  <c r="A11020" i="1"/>
  <c r="C11020" i="1"/>
  <c r="A11021" i="1"/>
  <c r="C11021" i="1"/>
  <c r="A11022" i="1"/>
  <c r="C11022" i="1"/>
  <c r="A11023" i="1"/>
  <c r="C11023" i="1"/>
  <c r="A11024" i="1"/>
  <c r="C11024" i="1"/>
  <c r="A11025" i="1"/>
  <c r="C11025" i="1"/>
  <c r="A11026" i="1"/>
  <c r="C11026" i="1"/>
  <c r="A11027" i="1"/>
  <c r="C11027" i="1"/>
  <c r="A11028" i="1"/>
  <c r="C11028" i="1"/>
  <c r="A11029" i="1"/>
  <c r="C11029" i="1"/>
  <c r="A11030" i="1"/>
  <c r="C11030" i="1"/>
  <c r="A11031" i="1"/>
  <c r="C11031" i="1"/>
  <c r="A11032" i="1"/>
  <c r="C11032" i="1"/>
  <c r="A11033" i="1"/>
  <c r="C11033" i="1"/>
  <c r="A11034" i="1"/>
  <c r="C11034" i="1"/>
  <c r="A11035" i="1"/>
  <c r="C11035" i="1"/>
  <c r="A11036" i="1"/>
  <c r="C11036" i="1"/>
  <c r="A11037" i="1"/>
  <c r="C11037" i="1"/>
  <c r="A11038" i="1"/>
  <c r="C11038" i="1"/>
  <c r="A11039" i="1"/>
  <c r="C11039" i="1"/>
  <c r="A11040" i="1"/>
  <c r="C11040" i="1"/>
  <c r="A11041" i="1"/>
  <c r="C11041" i="1"/>
  <c r="A11042" i="1"/>
  <c r="C11042" i="1"/>
  <c r="A11043" i="1"/>
  <c r="C11043" i="1"/>
  <c r="A11044" i="1"/>
  <c r="C11044" i="1"/>
  <c r="A11045" i="1"/>
  <c r="C11045" i="1"/>
  <c r="A11046" i="1"/>
  <c r="C11046" i="1"/>
  <c r="A11047" i="1"/>
  <c r="C11047" i="1"/>
  <c r="A11048" i="1"/>
  <c r="C11048" i="1"/>
  <c r="A11049" i="1"/>
  <c r="C11049" i="1"/>
  <c r="A11050" i="1"/>
  <c r="C11050" i="1"/>
  <c r="A11051" i="1"/>
  <c r="C11051" i="1"/>
  <c r="A11052" i="1"/>
  <c r="C11052" i="1"/>
  <c r="A11053" i="1"/>
  <c r="C11053" i="1"/>
  <c r="A11054" i="1"/>
  <c r="C11054" i="1"/>
  <c r="A11055" i="1"/>
  <c r="C11055" i="1"/>
  <c r="A11056" i="1"/>
  <c r="C11056" i="1"/>
  <c r="A11057" i="1"/>
  <c r="C11057" i="1"/>
  <c r="A11058" i="1"/>
  <c r="C11058" i="1"/>
  <c r="A11059" i="1"/>
  <c r="C11059" i="1"/>
  <c r="A11060" i="1"/>
  <c r="C11060" i="1"/>
  <c r="A11061" i="1"/>
  <c r="C11061" i="1"/>
  <c r="A11062" i="1"/>
  <c r="C11062" i="1"/>
  <c r="A11063" i="1"/>
  <c r="C11063" i="1"/>
  <c r="A11064" i="1"/>
  <c r="C11064" i="1"/>
  <c r="A11065" i="1"/>
  <c r="C11065" i="1"/>
  <c r="A11066" i="1"/>
  <c r="C11066" i="1"/>
  <c r="A11067" i="1"/>
  <c r="C11067" i="1"/>
  <c r="A11068" i="1"/>
  <c r="C11068" i="1"/>
  <c r="A11069" i="1"/>
  <c r="C11069" i="1"/>
  <c r="A11070" i="1"/>
  <c r="C11070" i="1"/>
  <c r="A11071" i="1"/>
  <c r="C11071" i="1"/>
  <c r="A11072" i="1"/>
  <c r="C11072" i="1"/>
  <c r="A11073" i="1"/>
  <c r="C11073" i="1"/>
  <c r="A11074" i="1"/>
  <c r="C11074" i="1"/>
  <c r="A11075" i="1"/>
  <c r="C11075" i="1"/>
  <c r="A11076" i="1"/>
  <c r="C11076" i="1"/>
  <c r="A11077" i="1"/>
  <c r="C11077" i="1"/>
  <c r="A11078" i="1"/>
  <c r="C11078" i="1"/>
  <c r="A11079" i="1"/>
  <c r="C11079" i="1"/>
  <c r="A11080" i="1"/>
  <c r="C11080" i="1"/>
  <c r="A11081" i="1"/>
  <c r="C11081" i="1"/>
  <c r="A11082" i="1"/>
  <c r="C11082" i="1"/>
  <c r="A11083" i="1"/>
  <c r="C11083" i="1"/>
  <c r="A11084" i="1"/>
  <c r="C11084" i="1"/>
  <c r="A11085" i="1"/>
  <c r="C11085" i="1"/>
  <c r="A11086" i="1"/>
  <c r="C11086" i="1"/>
  <c r="A11087" i="1"/>
  <c r="C11087" i="1"/>
  <c r="A11088" i="1"/>
  <c r="C11088" i="1"/>
  <c r="A11089" i="1"/>
  <c r="C11089" i="1"/>
  <c r="A11090" i="1"/>
  <c r="C11090" i="1"/>
  <c r="A11091" i="1"/>
  <c r="C11091" i="1"/>
  <c r="A11092" i="1"/>
  <c r="C11092" i="1"/>
  <c r="A11093" i="1"/>
  <c r="C11093" i="1"/>
  <c r="A11094" i="1"/>
  <c r="C11094" i="1"/>
  <c r="A11095" i="1"/>
  <c r="C11095" i="1"/>
  <c r="A11096" i="1"/>
  <c r="C11096" i="1"/>
  <c r="A11097" i="1"/>
  <c r="C11097" i="1"/>
  <c r="A11098" i="1"/>
  <c r="C11098" i="1"/>
  <c r="A11099" i="1"/>
  <c r="C11099" i="1"/>
  <c r="A11100" i="1"/>
  <c r="C11100" i="1"/>
  <c r="A11101" i="1"/>
  <c r="C11101" i="1"/>
  <c r="A11102" i="1"/>
  <c r="C11102" i="1"/>
  <c r="A11103" i="1"/>
  <c r="C11103" i="1"/>
  <c r="A11104" i="1"/>
  <c r="C11104" i="1"/>
  <c r="A11105" i="1"/>
  <c r="C11105" i="1"/>
  <c r="A11106" i="1"/>
  <c r="C11106" i="1"/>
  <c r="A11107" i="1"/>
  <c r="C11107" i="1"/>
  <c r="A11108" i="1"/>
  <c r="C11108" i="1"/>
  <c r="A11109" i="1"/>
  <c r="C11109" i="1"/>
  <c r="A11110" i="1"/>
  <c r="C11110" i="1"/>
  <c r="A11111" i="1"/>
  <c r="C11111" i="1"/>
  <c r="A11112" i="1"/>
  <c r="C11112" i="1"/>
  <c r="A11113" i="1"/>
  <c r="C11113" i="1"/>
  <c r="A11114" i="1"/>
  <c r="C11114" i="1"/>
  <c r="A11115" i="1"/>
  <c r="C11115" i="1"/>
  <c r="A11116" i="1"/>
  <c r="C11116" i="1"/>
  <c r="A11117" i="1"/>
  <c r="C11117" i="1"/>
  <c r="A11118" i="1"/>
  <c r="C11118" i="1"/>
  <c r="A11119" i="1"/>
  <c r="C11119" i="1"/>
  <c r="A11120" i="1"/>
  <c r="C11120" i="1"/>
  <c r="A11121" i="1"/>
  <c r="C11121" i="1"/>
  <c r="A11122" i="1"/>
  <c r="C11122" i="1"/>
  <c r="A11123" i="1"/>
  <c r="C11123" i="1"/>
  <c r="A11124" i="1"/>
  <c r="C11124" i="1"/>
  <c r="A11125" i="1"/>
  <c r="C11125" i="1"/>
  <c r="A11126" i="1"/>
  <c r="C11126" i="1"/>
  <c r="A11127" i="1"/>
  <c r="C11127" i="1"/>
  <c r="A11128" i="1"/>
  <c r="C11128" i="1"/>
  <c r="A11129" i="1"/>
  <c r="C11129" i="1"/>
  <c r="A11130" i="1"/>
  <c r="C11130" i="1"/>
  <c r="A11131" i="1"/>
  <c r="C11131" i="1"/>
  <c r="A11132" i="1"/>
  <c r="C11132" i="1"/>
  <c r="A11133" i="1"/>
  <c r="C11133" i="1"/>
  <c r="A11134" i="1"/>
  <c r="C11134" i="1"/>
  <c r="A11135" i="1"/>
  <c r="C11135" i="1"/>
  <c r="A11136" i="1"/>
  <c r="C11136" i="1"/>
  <c r="A11137" i="1"/>
  <c r="C11137" i="1"/>
  <c r="A11138" i="1"/>
  <c r="C11138" i="1"/>
  <c r="A11139" i="1"/>
  <c r="C11139" i="1"/>
  <c r="A11140" i="1"/>
  <c r="C11140" i="1"/>
  <c r="A11141" i="1"/>
  <c r="C11141" i="1"/>
  <c r="A11142" i="1"/>
  <c r="C11142" i="1"/>
  <c r="A11143" i="1"/>
  <c r="C11143" i="1"/>
  <c r="A11144" i="1"/>
  <c r="C11144" i="1"/>
  <c r="A11145" i="1"/>
  <c r="C11145" i="1"/>
  <c r="A11146" i="1"/>
  <c r="C11146" i="1"/>
  <c r="A11147" i="1"/>
  <c r="C11147" i="1"/>
  <c r="A11148" i="1"/>
  <c r="C11148" i="1"/>
  <c r="A11149" i="1"/>
  <c r="C11149" i="1"/>
  <c r="A11150" i="1"/>
  <c r="C11150" i="1"/>
  <c r="A11151" i="1"/>
  <c r="C11151" i="1"/>
  <c r="A11152" i="1"/>
  <c r="C11152" i="1"/>
  <c r="A11153" i="1"/>
  <c r="C11153" i="1"/>
  <c r="A11154" i="1"/>
  <c r="C11154" i="1"/>
  <c r="A11155" i="1"/>
  <c r="C11155" i="1"/>
  <c r="A11156" i="1"/>
  <c r="C11156" i="1"/>
  <c r="A11157" i="1"/>
  <c r="C11157" i="1"/>
  <c r="A11158" i="1"/>
  <c r="C11158" i="1"/>
  <c r="A11159" i="1"/>
  <c r="C11159" i="1"/>
  <c r="A11160" i="1"/>
  <c r="C11160" i="1"/>
  <c r="A11161" i="1"/>
  <c r="C11161" i="1"/>
  <c r="A11162" i="1"/>
  <c r="C11162" i="1"/>
  <c r="A11163" i="1"/>
  <c r="C11163" i="1"/>
  <c r="A11164" i="1"/>
  <c r="C11164" i="1"/>
  <c r="A11165" i="1"/>
  <c r="C11165" i="1"/>
  <c r="A11166" i="1"/>
  <c r="C11166" i="1"/>
  <c r="A11167" i="1"/>
  <c r="C11167" i="1"/>
  <c r="A11168" i="1"/>
  <c r="C11168" i="1"/>
  <c r="A11169" i="1"/>
  <c r="C11169" i="1"/>
  <c r="A11170" i="1"/>
  <c r="C11170" i="1"/>
  <c r="A11171" i="1"/>
  <c r="C11171" i="1"/>
  <c r="A11172" i="1"/>
  <c r="C11172" i="1"/>
  <c r="A11173" i="1"/>
  <c r="C11173" i="1"/>
  <c r="A11174" i="1"/>
  <c r="C11174" i="1"/>
  <c r="A11175" i="1"/>
  <c r="C11175" i="1"/>
  <c r="A11176" i="1"/>
  <c r="C11176" i="1"/>
  <c r="A11177" i="1"/>
  <c r="C11177" i="1"/>
  <c r="A11178" i="1"/>
  <c r="C11178" i="1"/>
  <c r="A11179" i="1"/>
  <c r="C11179" i="1"/>
  <c r="A11180" i="1"/>
  <c r="C11180" i="1"/>
  <c r="A11181" i="1"/>
  <c r="C11181" i="1"/>
  <c r="A11182" i="1"/>
  <c r="C11182" i="1"/>
  <c r="A11183" i="1"/>
  <c r="C11183" i="1"/>
  <c r="A11184" i="1"/>
  <c r="C11184" i="1"/>
  <c r="A11185" i="1"/>
  <c r="C11185" i="1"/>
  <c r="A11186" i="1"/>
  <c r="C11186" i="1"/>
  <c r="A11187" i="1"/>
  <c r="C11187" i="1"/>
  <c r="A11188" i="1"/>
  <c r="C11188" i="1"/>
  <c r="A11189" i="1"/>
  <c r="C11189" i="1"/>
  <c r="A11190" i="1"/>
  <c r="C11190" i="1"/>
  <c r="A11191" i="1"/>
  <c r="C11191" i="1"/>
  <c r="A11192" i="1"/>
  <c r="C11192" i="1"/>
  <c r="A11193" i="1"/>
  <c r="C11193" i="1"/>
  <c r="A11194" i="1"/>
  <c r="C11194" i="1"/>
  <c r="A11195" i="1"/>
  <c r="C11195" i="1"/>
  <c r="A11196" i="1"/>
  <c r="C11196" i="1"/>
  <c r="A11197" i="1"/>
  <c r="C11197" i="1"/>
  <c r="A11198" i="1"/>
  <c r="C11198" i="1"/>
  <c r="A11199" i="1"/>
  <c r="C11199" i="1"/>
  <c r="A11200" i="1"/>
  <c r="C11200" i="1"/>
  <c r="A11201" i="1"/>
  <c r="C11201" i="1"/>
  <c r="A11202" i="1"/>
  <c r="C11202" i="1"/>
  <c r="A11203" i="1"/>
  <c r="C11203" i="1"/>
  <c r="A11204" i="1"/>
  <c r="C11204" i="1"/>
  <c r="A11205" i="1"/>
  <c r="C11205" i="1"/>
  <c r="A11206" i="1"/>
  <c r="C11206" i="1"/>
  <c r="A11207" i="1"/>
  <c r="C11207" i="1"/>
  <c r="A11208" i="1"/>
  <c r="C11208" i="1"/>
  <c r="A11209" i="1"/>
  <c r="C11209" i="1"/>
  <c r="A11210" i="1"/>
  <c r="C11210" i="1"/>
  <c r="A11211" i="1"/>
  <c r="C11211" i="1"/>
  <c r="A11212" i="1"/>
  <c r="C11212" i="1"/>
  <c r="A11213" i="1"/>
  <c r="C11213" i="1"/>
  <c r="A11214" i="1"/>
  <c r="C11214" i="1"/>
  <c r="A11215" i="1"/>
  <c r="C11215" i="1"/>
  <c r="A11216" i="1"/>
  <c r="C11216" i="1"/>
  <c r="A11217" i="1"/>
  <c r="C11217" i="1"/>
  <c r="A11218" i="1"/>
  <c r="C11218" i="1"/>
  <c r="A11219" i="1"/>
  <c r="C11219" i="1"/>
  <c r="A11220" i="1"/>
  <c r="C11220" i="1"/>
  <c r="A11221" i="1"/>
  <c r="C11221" i="1"/>
  <c r="A11222" i="1"/>
  <c r="C11222" i="1"/>
  <c r="A11223" i="1"/>
  <c r="C11223" i="1"/>
  <c r="A11224" i="1"/>
  <c r="C11224" i="1"/>
  <c r="A11225" i="1"/>
  <c r="C11225" i="1"/>
  <c r="A11226" i="1"/>
  <c r="C11226" i="1"/>
  <c r="A11227" i="1"/>
  <c r="C11227" i="1"/>
  <c r="A11228" i="1"/>
  <c r="C11228" i="1"/>
  <c r="A11229" i="1"/>
  <c r="C11229" i="1"/>
  <c r="A11230" i="1"/>
  <c r="C11230" i="1"/>
  <c r="A11231" i="1"/>
  <c r="C11231" i="1"/>
  <c r="A11232" i="1"/>
  <c r="C11232" i="1"/>
  <c r="A11233" i="1"/>
  <c r="C11233" i="1"/>
  <c r="A11234" i="1"/>
  <c r="C11234" i="1"/>
  <c r="A11235" i="1"/>
  <c r="C11235" i="1"/>
  <c r="A11236" i="1"/>
  <c r="C11236" i="1"/>
  <c r="A11237" i="1"/>
  <c r="C11237" i="1"/>
  <c r="A11238" i="1"/>
  <c r="C11238" i="1"/>
  <c r="A11239" i="1"/>
  <c r="C11239" i="1"/>
  <c r="A11240" i="1"/>
  <c r="C11240" i="1"/>
  <c r="A11241" i="1"/>
  <c r="C11241" i="1"/>
  <c r="A11242" i="1"/>
  <c r="C11242" i="1"/>
  <c r="A11243" i="1"/>
  <c r="C11243" i="1"/>
  <c r="A11244" i="1"/>
  <c r="C11244" i="1"/>
  <c r="A11245" i="1"/>
  <c r="C11245" i="1"/>
  <c r="A11246" i="1"/>
  <c r="C11246" i="1"/>
  <c r="A11247" i="1"/>
  <c r="C11247" i="1"/>
  <c r="A11248" i="1"/>
  <c r="C11248" i="1"/>
  <c r="A11249" i="1"/>
  <c r="C11249" i="1"/>
  <c r="A11250" i="1"/>
  <c r="C11250" i="1"/>
  <c r="A11251" i="1"/>
  <c r="C11251" i="1"/>
  <c r="A11252" i="1"/>
  <c r="C11252" i="1"/>
  <c r="A11253" i="1"/>
  <c r="C11253" i="1"/>
  <c r="A11254" i="1"/>
  <c r="C11254" i="1"/>
  <c r="A11255" i="1"/>
  <c r="C11255" i="1"/>
  <c r="A11256" i="1"/>
  <c r="C11256" i="1"/>
  <c r="A11257" i="1"/>
  <c r="C11257" i="1"/>
  <c r="A11258" i="1"/>
  <c r="C11258" i="1"/>
  <c r="A11259" i="1"/>
  <c r="C11259" i="1"/>
  <c r="A11260" i="1"/>
  <c r="C11260" i="1"/>
  <c r="A11261" i="1"/>
  <c r="C11261" i="1"/>
  <c r="A11262" i="1"/>
  <c r="C11262" i="1"/>
  <c r="A11263" i="1"/>
  <c r="C11263" i="1"/>
  <c r="A11264" i="1"/>
  <c r="C11264" i="1"/>
  <c r="A11265" i="1"/>
  <c r="C11265" i="1"/>
  <c r="A11266" i="1"/>
  <c r="C11266" i="1"/>
  <c r="A11267" i="1"/>
  <c r="C11267" i="1"/>
  <c r="A11268" i="1"/>
  <c r="C11268" i="1"/>
  <c r="A11269" i="1"/>
  <c r="C11269" i="1"/>
  <c r="A11270" i="1"/>
  <c r="C11270" i="1"/>
  <c r="A11271" i="1"/>
  <c r="C11271" i="1"/>
  <c r="A11272" i="1"/>
  <c r="C11272" i="1"/>
  <c r="A11273" i="1"/>
  <c r="C11273" i="1"/>
  <c r="A11274" i="1"/>
  <c r="C11274" i="1"/>
  <c r="A11275" i="1"/>
  <c r="C11275" i="1"/>
  <c r="A11276" i="1"/>
  <c r="C11276" i="1"/>
  <c r="A11277" i="1"/>
  <c r="C11277" i="1"/>
  <c r="A11278" i="1"/>
  <c r="C11278" i="1"/>
  <c r="A11279" i="1"/>
  <c r="C11279" i="1"/>
  <c r="A11280" i="1"/>
  <c r="C11280" i="1"/>
  <c r="A11281" i="1"/>
  <c r="C11281" i="1"/>
  <c r="A11282" i="1"/>
  <c r="C11282" i="1"/>
  <c r="A11283" i="1"/>
  <c r="C11283" i="1"/>
  <c r="A11284" i="1"/>
  <c r="C11284" i="1"/>
  <c r="A11285" i="1"/>
  <c r="C11285" i="1"/>
  <c r="A11286" i="1"/>
  <c r="C11286" i="1"/>
  <c r="A11287" i="1"/>
  <c r="C11287" i="1"/>
  <c r="A11288" i="1"/>
  <c r="C11288" i="1"/>
  <c r="A11289" i="1"/>
  <c r="C11289" i="1"/>
  <c r="A11290" i="1"/>
  <c r="C11290" i="1"/>
  <c r="A11291" i="1"/>
  <c r="C11291" i="1"/>
  <c r="A11292" i="1"/>
  <c r="C11292" i="1"/>
  <c r="A11293" i="1"/>
  <c r="C11293" i="1"/>
  <c r="A11294" i="1"/>
  <c r="C11294" i="1"/>
  <c r="A11295" i="1"/>
  <c r="C11295" i="1"/>
  <c r="A11296" i="1"/>
  <c r="C11296" i="1"/>
  <c r="A11297" i="1"/>
  <c r="C11297" i="1"/>
  <c r="A11298" i="1"/>
  <c r="C11298" i="1"/>
  <c r="A11299" i="1"/>
  <c r="C11299" i="1"/>
  <c r="A11300" i="1"/>
  <c r="C11300" i="1"/>
  <c r="A11301" i="1"/>
  <c r="C11301" i="1"/>
  <c r="A11302" i="1"/>
  <c r="C11302" i="1"/>
  <c r="A11303" i="1"/>
  <c r="C11303" i="1"/>
  <c r="A11304" i="1"/>
  <c r="C11304" i="1"/>
  <c r="A11305" i="1"/>
  <c r="C11305" i="1"/>
  <c r="A11306" i="1"/>
  <c r="C11306" i="1"/>
  <c r="A11307" i="1"/>
  <c r="C11307" i="1"/>
  <c r="A11308" i="1"/>
  <c r="C11308" i="1"/>
  <c r="A11309" i="1"/>
  <c r="C11309" i="1"/>
  <c r="A11310" i="1"/>
  <c r="C11310" i="1"/>
  <c r="A11311" i="1"/>
  <c r="C11311" i="1"/>
  <c r="A11312" i="1"/>
  <c r="C11312" i="1"/>
  <c r="A11313" i="1"/>
  <c r="C11313" i="1"/>
  <c r="A11314" i="1"/>
  <c r="C11314" i="1"/>
  <c r="A11315" i="1"/>
  <c r="C11315" i="1"/>
  <c r="A11316" i="1"/>
  <c r="C11316" i="1"/>
  <c r="A11317" i="1"/>
  <c r="C11317" i="1"/>
  <c r="A11318" i="1"/>
  <c r="C11318" i="1"/>
  <c r="A11319" i="1"/>
  <c r="C11319" i="1"/>
  <c r="A11320" i="1"/>
  <c r="C11320" i="1"/>
  <c r="A11321" i="1"/>
  <c r="C11321" i="1"/>
  <c r="A11322" i="1"/>
  <c r="C11322" i="1"/>
  <c r="A11323" i="1"/>
  <c r="C11323" i="1"/>
  <c r="A11324" i="1"/>
  <c r="C11324" i="1"/>
  <c r="A11325" i="1"/>
  <c r="C11325" i="1"/>
  <c r="A11326" i="1"/>
  <c r="C11326" i="1"/>
  <c r="A11327" i="1"/>
  <c r="C11327" i="1"/>
  <c r="A11328" i="1"/>
  <c r="C11328" i="1"/>
  <c r="A11329" i="1"/>
  <c r="C11329" i="1"/>
  <c r="A11330" i="1"/>
  <c r="C11330" i="1"/>
  <c r="A11331" i="1"/>
  <c r="C11331" i="1"/>
  <c r="A11332" i="1"/>
  <c r="C11332" i="1"/>
  <c r="A11333" i="1"/>
  <c r="C11333" i="1"/>
  <c r="A11334" i="1"/>
  <c r="C11334" i="1"/>
  <c r="A11335" i="1"/>
  <c r="C11335" i="1"/>
  <c r="A11336" i="1"/>
  <c r="C11336" i="1"/>
  <c r="A11337" i="1"/>
  <c r="C11337" i="1"/>
  <c r="A11338" i="1"/>
  <c r="C11338" i="1"/>
  <c r="A11339" i="1"/>
  <c r="C11339" i="1"/>
  <c r="A11340" i="1"/>
  <c r="C11340" i="1"/>
  <c r="A11341" i="1"/>
  <c r="C11341" i="1"/>
  <c r="A11342" i="1"/>
  <c r="C11342" i="1"/>
  <c r="A11343" i="1"/>
  <c r="C11343" i="1"/>
  <c r="A11344" i="1"/>
  <c r="C11344" i="1"/>
  <c r="A11345" i="1"/>
  <c r="C11345" i="1"/>
  <c r="A11346" i="1"/>
  <c r="C11346" i="1"/>
  <c r="A11347" i="1"/>
  <c r="C11347" i="1"/>
  <c r="A11348" i="1"/>
  <c r="C11348" i="1"/>
  <c r="A11349" i="1"/>
  <c r="C11349" i="1"/>
  <c r="A11350" i="1"/>
  <c r="C11350" i="1"/>
  <c r="A11351" i="1"/>
  <c r="C11351" i="1"/>
  <c r="A11352" i="1"/>
  <c r="C11352" i="1"/>
  <c r="A11353" i="1"/>
  <c r="C11353" i="1"/>
  <c r="A11354" i="1"/>
  <c r="C11354" i="1"/>
  <c r="A11355" i="1"/>
  <c r="C11355" i="1"/>
  <c r="A11356" i="1"/>
  <c r="C11356" i="1"/>
  <c r="A11357" i="1"/>
  <c r="C11357" i="1"/>
  <c r="A11358" i="1"/>
  <c r="C11358" i="1"/>
  <c r="A11359" i="1"/>
  <c r="C11359" i="1"/>
  <c r="A11360" i="1"/>
  <c r="C11360" i="1"/>
  <c r="A11361" i="1"/>
  <c r="C11361" i="1"/>
  <c r="A11362" i="1"/>
  <c r="C11362" i="1"/>
  <c r="A11363" i="1"/>
  <c r="C11363" i="1"/>
  <c r="A11364" i="1"/>
  <c r="C11364" i="1"/>
  <c r="A11365" i="1"/>
  <c r="C11365" i="1"/>
  <c r="A11366" i="1"/>
  <c r="C11366" i="1"/>
  <c r="A11367" i="1"/>
  <c r="C11367" i="1"/>
  <c r="A11368" i="1"/>
  <c r="C11368" i="1"/>
  <c r="A11369" i="1"/>
  <c r="C11369" i="1"/>
  <c r="A11370" i="1"/>
  <c r="C11370" i="1"/>
  <c r="A11371" i="1"/>
  <c r="C11371" i="1"/>
  <c r="A11372" i="1"/>
  <c r="C11372" i="1"/>
  <c r="A11373" i="1"/>
  <c r="C11373" i="1"/>
  <c r="A11374" i="1"/>
  <c r="C11374" i="1"/>
  <c r="A11375" i="1"/>
  <c r="C11375" i="1"/>
  <c r="A11376" i="1"/>
  <c r="C11376" i="1"/>
  <c r="A11377" i="1"/>
  <c r="C11377" i="1"/>
  <c r="A11378" i="1"/>
  <c r="C11378" i="1"/>
  <c r="A11379" i="1"/>
  <c r="C11379" i="1"/>
  <c r="A11380" i="1"/>
  <c r="C11380" i="1"/>
  <c r="A11381" i="1"/>
  <c r="C11381" i="1"/>
  <c r="A11382" i="1"/>
  <c r="C11382" i="1"/>
  <c r="A11383" i="1"/>
  <c r="C11383" i="1"/>
  <c r="A11384" i="1"/>
  <c r="C11384" i="1"/>
  <c r="A11385" i="1"/>
  <c r="C11385" i="1"/>
  <c r="A11386" i="1"/>
  <c r="C11386" i="1"/>
  <c r="A11387" i="1"/>
  <c r="C11387" i="1"/>
  <c r="A11388" i="1"/>
  <c r="C11388" i="1"/>
  <c r="A11389" i="1"/>
  <c r="C11389" i="1"/>
  <c r="A11390" i="1"/>
  <c r="C11390" i="1"/>
  <c r="A11391" i="1"/>
  <c r="C11391" i="1"/>
  <c r="A11392" i="1"/>
  <c r="C11392" i="1"/>
  <c r="A11393" i="1"/>
  <c r="C11393" i="1"/>
  <c r="A11394" i="1"/>
  <c r="C11394" i="1"/>
  <c r="A11395" i="1"/>
  <c r="C11395" i="1"/>
  <c r="A11396" i="1"/>
  <c r="C11396" i="1"/>
  <c r="A11397" i="1"/>
  <c r="C11397" i="1"/>
  <c r="A11398" i="1"/>
  <c r="C11398" i="1"/>
  <c r="A11399" i="1"/>
  <c r="C11399" i="1"/>
  <c r="A11400" i="1"/>
  <c r="C11400" i="1"/>
  <c r="A11401" i="1"/>
  <c r="C11401" i="1"/>
  <c r="A11402" i="1"/>
  <c r="C11402" i="1"/>
  <c r="A11403" i="1"/>
  <c r="C11403" i="1"/>
  <c r="A11404" i="1"/>
  <c r="C11404" i="1"/>
  <c r="A11405" i="1"/>
  <c r="C11405" i="1"/>
  <c r="A11406" i="1"/>
  <c r="C11406" i="1"/>
  <c r="A11407" i="1"/>
  <c r="C11407" i="1"/>
  <c r="A11408" i="1"/>
  <c r="C11408" i="1"/>
  <c r="A11409" i="1"/>
  <c r="C11409" i="1"/>
  <c r="A11410" i="1"/>
  <c r="C11410" i="1"/>
  <c r="A11411" i="1"/>
  <c r="C11411" i="1"/>
  <c r="A11412" i="1"/>
  <c r="C11412" i="1"/>
  <c r="A11413" i="1"/>
  <c r="C11413" i="1"/>
  <c r="A11414" i="1"/>
  <c r="C11414" i="1"/>
  <c r="A11415" i="1"/>
  <c r="C11415" i="1"/>
  <c r="A11416" i="1"/>
  <c r="C11416" i="1"/>
  <c r="A11417" i="1"/>
  <c r="C11417" i="1"/>
  <c r="A11418" i="1"/>
  <c r="C11418" i="1"/>
  <c r="A11419" i="1"/>
  <c r="C11419" i="1"/>
  <c r="A11420" i="1"/>
  <c r="C11420" i="1"/>
  <c r="A11421" i="1"/>
  <c r="C11421" i="1"/>
  <c r="A11422" i="1"/>
  <c r="C11422" i="1"/>
  <c r="A11423" i="1"/>
  <c r="C11423" i="1"/>
  <c r="A11424" i="1"/>
  <c r="C11424" i="1"/>
  <c r="A11425" i="1"/>
  <c r="C11425" i="1"/>
  <c r="A11426" i="1"/>
  <c r="C11426" i="1"/>
  <c r="A11427" i="1"/>
  <c r="C11427" i="1"/>
  <c r="A11428" i="1"/>
  <c r="C11428" i="1"/>
  <c r="A11429" i="1"/>
  <c r="C11429" i="1"/>
  <c r="A11430" i="1"/>
  <c r="C11430" i="1"/>
  <c r="A11431" i="1"/>
  <c r="C11431" i="1"/>
  <c r="A11432" i="1"/>
  <c r="C11432" i="1"/>
  <c r="A11433" i="1"/>
  <c r="C11433" i="1"/>
  <c r="A11434" i="1"/>
  <c r="C11434" i="1"/>
  <c r="A11435" i="1"/>
  <c r="C11435" i="1"/>
  <c r="A11436" i="1"/>
  <c r="C11436" i="1"/>
  <c r="A11437" i="1"/>
  <c r="C11437" i="1"/>
  <c r="A11438" i="1"/>
  <c r="C11438" i="1"/>
  <c r="A11439" i="1"/>
  <c r="C11439" i="1"/>
  <c r="A11440" i="1"/>
  <c r="C11440" i="1"/>
  <c r="A11441" i="1"/>
  <c r="C11441" i="1"/>
  <c r="A11442" i="1"/>
  <c r="C11442" i="1"/>
  <c r="A11443" i="1"/>
  <c r="C11443" i="1"/>
  <c r="A11444" i="1"/>
  <c r="C11444" i="1"/>
  <c r="A11445" i="1"/>
  <c r="C11445" i="1"/>
  <c r="A11446" i="1"/>
  <c r="C11446" i="1"/>
  <c r="A11447" i="1"/>
  <c r="C11447" i="1"/>
  <c r="A11448" i="1"/>
  <c r="C11448" i="1"/>
  <c r="A11449" i="1"/>
  <c r="C11449" i="1"/>
  <c r="A11450" i="1"/>
  <c r="C11450" i="1"/>
  <c r="A11451" i="1"/>
  <c r="C11451" i="1"/>
  <c r="A11452" i="1"/>
  <c r="C11452" i="1"/>
  <c r="A11453" i="1"/>
  <c r="C11453" i="1"/>
  <c r="A11454" i="1"/>
  <c r="C11454" i="1"/>
  <c r="A11455" i="1"/>
  <c r="C11455" i="1"/>
  <c r="A11456" i="1"/>
  <c r="C11456" i="1"/>
  <c r="A11457" i="1"/>
  <c r="C11457" i="1"/>
  <c r="A11458" i="1"/>
  <c r="C11458" i="1"/>
  <c r="A11459" i="1"/>
  <c r="C11459" i="1"/>
  <c r="A11460" i="1"/>
  <c r="C11460" i="1"/>
  <c r="A11461" i="1"/>
  <c r="C11461" i="1"/>
  <c r="A11462" i="1"/>
  <c r="C11462" i="1"/>
  <c r="A11463" i="1"/>
  <c r="C11463" i="1"/>
  <c r="A11464" i="1"/>
  <c r="C11464" i="1"/>
  <c r="A11465" i="1"/>
  <c r="C11465" i="1"/>
  <c r="A11466" i="1"/>
  <c r="C11466" i="1"/>
  <c r="A11467" i="1"/>
  <c r="C11467" i="1"/>
  <c r="A11468" i="1"/>
  <c r="C11468" i="1"/>
  <c r="A11469" i="1"/>
  <c r="C11469" i="1"/>
  <c r="A11470" i="1"/>
  <c r="C11470" i="1"/>
  <c r="A11471" i="1"/>
  <c r="C11471" i="1"/>
  <c r="A11472" i="1"/>
  <c r="C11472" i="1"/>
  <c r="A11473" i="1"/>
  <c r="C11473" i="1"/>
  <c r="A11474" i="1"/>
  <c r="C11474" i="1"/>
  <c r="A11475" i="1"/>
  <c r="C11475" i="1"/>
  <c r="A11476" i="1"/>
  <c r="C11476" i="1"/>
  <c r="A11477" i="1"/>
  <c r="C11477" i="1"/>
  <c r="A11478" i="1"/>
  <c r="C11478" i="1"/>
  <c r="A11479" i="1"/>
  <c r="C11479" i="1"/>
  <c r="A11480" i="1"/>
  <c r="C11480" i="1"/>
  <c r="A11481" i="1"/>
  <c r="C11481" i="1"/>
  <c r="A11482" i="1"/>
  <c r="C11482" i="1"/>
  <c r="A11483" i="1"/>
  <c r="C11483" i="1"/>
  <c r="A11484" i="1"/>
  <c r="C11484" i="1"/>
  <c r="A11485" i="1"/>
  <c r="C11485" i="1"/>
  <c r="A11486" i="1"/>
  <c r="C11486" i="1"/>
  <c r="A11487" i="1"/>
  <c r="C11487" i="1"/>
  <c r="A11488" i="1"/>
  <c r="C11488" i="1"/>
  <c r="A11489" i="1"/>
  <c r="C11489" i="1"/>
  <c r="A11490" i="1"/>
  <c r="C11490" i="1"/>
  <c r="A11491" i="1"/>
  <c r="C11491" i="1"/>
  <c r="A11492" i="1"/>
  <c r="C11492" i="1"/>
  <c r="A11493" i="1"/>
  <c r="C11493" i="1"/>
  <c r="A11494" i="1"/>
  <c r="C11494" i="1"/>
  <c r="A11495" i="1"/>
  <c r="C11495" i="1"/>
  <c r="A11496" i="1"/>
  <c r="C11496" i="1"/>
  <c r="A11497" i="1"/>
  <c r="C11497" i="1"/>
  <c r="A11498" i="1"/>
  <c r="C11498" i="1"/>
  <c r="A11499" i="1"/>
  <c r="C11499" i="1"/>
  <c r="A11500" i="1"/>
  <c r="C11500" i="1"/>
  <c r="A11501" i="1"/>
  <c r="C11501" i="1"/>
  <c r="A11502" i="1"/>
  <c r="C11502" i="1"/>
  <c r="A11503" i="1"/>
  <c r="C11503" i="1"/>
  <c r="A11504" i="1"/>
  <c r="C11504" i="1"/>
  <c r="A11505" i="1"/>
  <c r="C11505" i="1"/>
  <c r="A11506" i="1"/>
  <c r="C11506" i="1"/>
  <c r="A11507" i="1"/>
  <c r="C11507" i="1"/>
  <c r="A11508" i="1"/>
  <c r="C11508" i="1"/>
  <c r="A11509" i="1"/>
  <c r="C11509" i="1"/>
  <c r="A11510" i="1"/>
  <c r="C11510" i="1"/>
  <c r="A11511" i="1"/>
  <c r="C11511" i="1"/>
  <c r="A11512" i="1"/>
  <c r="C11512" i="1"/>
  <c r="A11513" i="1"/>
  <c r="C11513" i="1"/>
  <c r="A11514" i="1"/>
  <c r="C11514" i="1"/>
  <c r="A11515" i="1"/>
  <c r="C11515" i="1"/>
  <c r="A11516" i="1"/>
  <c r="C11516" i="1"/>
  <c r="A11517" i="1"/>
  <c r="C11517" i="1"/>
  <c r="A11518" i="1"/>
  <c r="C11518" i="1"/>
  <c r="A11519" i="1"/>
  <c r="C11519" i="1"/>
  <c r="A11520" i="1"/>
  <c r="C11520" i="1"/>
  <c r="A11521" i="1"/>
  <c r="C11521" i="1"/>
  <c r="A11522" i="1"/>
  <c r="C11522" i="1"/>
  <c r="A11523" i="1"/>
  <c r="C11523" i="1"/>
  <c r="A11524" i="1"/>
  <c r="C11524" i="1"/>
  <c r="A11525" i="1"/>
  <c r="C11525" i="1"/>
  <c r="A11526" i="1"/>
  <c r="C11526" i="1"/>
  <c r="A11527" i="1"/>
  <c r="C11527" i="1"/>
  <c r="A11528" i="1"/>
  <c r="C11528" i="1"/>
  <c r="A11529" i="1"/>
  <c r="C11529" i="1"/>
  <c r="A11530" i="1"/>
  <c r="C11530" i="1"/>
  <c r="A11531" i="1"/>
  <c r="C11531" i="1"/>
  <c r="A11532" i="1"/>
  <c r="C11532" i="1"/>
  <c r="A11533" i="1"/>
  <c r="C11533" i="1"/>
  <c r="A11534" i="1"/>
  <c r="C11534" i="1"/>
  <c r="A11535" i="1"/>
  <c r="C11535" i="1"/>
  <c r="A11536" i="1"/>
  <c r="C11536" i="1"/>
  <c r="A11537" i="1"/>
  <c r="C11537" i="1"/>
  <c r="A11538" i="1"/>
  <c r="C11538" i="1"/>
  <c r="A11539" i="1"/>
  <c r="C11539" i="1"/>
  <c r="A11540" i="1"/>
  <c r="C11540" i="1"/>
  <c r="A11541" i="1"/>
  <c r="C11541" i="1"/>
  <c r="A11542" i="1"/>
  <c r="C11542" i="1"/>
  <c r="A11543" i="1"/>
  <c r="C11543" i="1"/>
  <c r="A11544" i="1"/>
  <c r="C11544" i="1"/>
  <c r="A11545" i="1"/>
  <c r="C11545" i="1"/>
  <c r="A11546" i="1"/>
  <c r="C11546" i="1"/>
  <c r="A11547" i="1"/>
  <c r="C11547" i="1"/>
  <c r="A11548" i="1"/>
  <c r="C11548" i="1"/>
  <c r="A11549" i="1"/>
  <c r="C11549" i="1"/>
  <c r="A11550" i="1"/>
  <c r="C11550" i="1"/>
  <c r="A11551" i="1"/>
  <c r="C11551" i="1"/>
  <c r="A11552" i="1"/>
  <c r="C11552" i="1"/>
  <c r="A11553" i="1"/>
  <c r="C11553" i="1"/>
  <c r="A11554" i="1"/>
  <c r="C11554" i="1"/>
  <c r="A11555" i="1"/>
  <c r="C11555" i="1"/>
  <c r="A11556" i="1"/>
  <c r="C11556" i="1"/>
  <c r="A11557" i="1"/>
  <c r="C11557" i="1"/>
  <c r="A11558" i="1"/>
  <c r="C11558" i="1"/>
  <c r="A11559" i="1"/>
  <c r="C11559" i="1"/>
  <c r="A11560" i="1"/>
  <c r="C11560" i="1"/>
  <c r="A11561" i="1"/>
  <c r="C11561" i="1"/>
  <c r="A11562" i="1"/>
  <c r="C11562" i="1"/>
  <c r="A11563" i="1"/>
  <c r="C11563" i="1"/>
  <c r="A11564" i="1"/>
  <c r="C11564" i="1"/>
  <c r="A11565" i="1"/>
  <c r="C11565" i="1"/>
  <c r="A11566" i="1"/>
  <c r="C11566" i="1"/>
  <c r="A11567" i="1"/>
  <c r="C11567" i="1"/>
  <c r="A11568" i="1"/>
  <c r="C11568" i="1"/>
  <c r="A11569" i="1"/>
  <c r="C11569" i="1"/>
  <c r="A11570" i="1"/>
  <c r="C11570" i="1"/>
  <c r="A11571" i="1"/>
  <c r="C11571" i="1"/>
  <c r="A11572" i="1"/>
  <c r="C11572" i="1"/>
  <c r="A11573" i="1"/>
  <c r="C11573" i="1"/>
  <c r="A11574" i="1"/>
  <c r="C11574" i="1"/>
  <c r="A11575" i="1"/>
  <c r="C11575" i="1"/>
  <c r="A11576" i="1"/>
  <c r="C11576" i="1"/>
  <c r="A11577" i="1"/>
  <c r="C11577" i="1"/>
  <c r="A11578" i="1"/>
  <c r="C11578" i="1"/>
  <c r="A11579" i="1"/>
  <c r="C11579" i="1"/>
  <c r="A11580" i="1"/>
  <c r="C11580" i="1"/>
  <c r="A11581" i="1"/>
  <c r="C11581" i="1"/>
  <c r="A11582" i="1"/>
  <c r="C11582" i="1"/>
  <c r="A11583" i="1"/>
  <c r="C11583" i="1"/>
  <c r="A11584" i="1"/>
  <c r="C11584" i="1"/>
  <c r="A11585" i="1"/>
  <c r="C11585" i="1"/>
  <c r="A11586" i="1"/>
  <c r="C11586" i="1"/>
  <c r="A11587" i="1"/>
  <c r="C11587" i="1"/>
  <c r="A11588" i="1"/>
  <c r="C11588" i="1"/>
  <c r="A11589" i="1"/>
  <c r="C11589" i="1"/>
  <c r="A11590" i="1"/>
  <c r="C11590" i="1"/>
  <c r="A11591" i="1"/>
  <c r="C11591" i="1"/>
  <c r="A11592" i="1"/>
  <c r="C11592" i="1"/>
  <c r="A11593" i="1"/>
  <c r="C11593" i="1"/>
  <c r="A11594" i="1"/>
  <c r="C11594" i="1"/>
  <c r="A11595" i="1"/>
  <c r="C11595" i="1"/>
  <c r="A11596" i="1"/>
  <c r="C11596" i="1"/>
  <c r="A11597" i="1"/>
  <c r="C11597" i="1"/>
  <c r="A11598" i="1"/>
  <c r="C11598" i="1"/>
  <c r="A11599" i="1"/>
  <c r="C11599" i="1"/>
  <c r="A11600" i="1"/>
  <c r="C11600" i="1"/>
  <c r="A11601" i="1"/>
  <c r="C11601" i="1"/>
  <c r="A11602" i="1"/>
  <c r="C11602" i="1"/>
  <c r="A11603" i="1"/>
  <c r="C11603" i="1"/>
  <c r="A11604" i="1"/>
  <c r="C11604" i="1"/>
  <c r="A11605" i="1"/>
  <c r="C11605" i="1"/>
  <c r="A11606" i="1"/>
  <c r="C11606" i="1"/>
  <c r="A11607" i="1"/>
  <c r="C11607" i="1"/>
  <c r="A11608" i="1"/>
  <c r="C11608" i="1"/>
  <c r="A11609" i="1"/>
  <c r="C11609" i="1"/>
  <c r="A11610" i="1"/>
  <c r="C11610" i="1"/>
  <c r="A11611" i="1"/>
  <c r="C11611" i="1"/>
  <c r="A11612" i="1"/>
  <c r="C11612" i="1"/>
  <c r="A11613" i="1"/>
  <c r="C11613" i="1"/>
  <c r="A11614" i="1"/>
  <c r="C11614" i="1"/>
  <c r="A11615" i="1"/>
  <c r="C11615" i="1"/>
  <c r="A11616" i="1"/>
  <c r="C11616" i="1"/>
  <c r="A11617" i="1"/>
  <c r="C11617" i="1"/>
  <c r="A11618" i="1"/>
  <c r="C11618" i="1"/>
  <c r="A11619" i="1"/>
  <c r="C11619" i="1"/>
  <c r="A11620" i="1"/>
  <c r="C11620" i="1"/>
  <c r="A11621" i="1"/>
  <c r="C11621" i="1"/>
  <c r="A11622" i="1"/>
  <c r="C11622" i="1"/>
  <c r="A11623" i="1"/>
  <c r="C11623" i="1"/>
  <c r="A11624" i="1"/>
  <c r="C11624" i="1"/>
  <c r="A11625" i="1"/>
  <c r="C11625" i="1"/>
  <c r="A11626" i="1"/>
  <c r="C11626" i="1"/>
  <c r="A11627" i="1"/>
  <c r="C11627" i="1"/>
  <c r="A11628" i="1"/>
  <c r="C11628" i="1"/>
  <c r="A11629" i="1"/>
  <c r="C11629" i="1"/>
  <c r="A11630" i="1"/>
  <c r="C11630" i="1"/>
  <c r="A11631" i="1"/>
  <c r="C11631" i="1"/>
  <c r="A11632" i="1"/>
  <c r="C11632" i="1"/>
  <c r="A11633" i="1"/>
  <c r="C11633" i="1"/>
  <c r="A11634" i="1"/>
  <c r="C11634" i="1"/>
  <c r="A11635" i="1"/>
  <c r="C11635" i="1"/>
  <c r="A11636" i="1"/>
  <c r="C11636" i="1"/>
  <c r="A11637" i="1"/>
  <c r="C11637" i="1"/>
  <c r="A11638" i="1"/>
  <c r="C11638" i="1"/>
  <c r="A11639" i="1"/>
  <c r="C11639" i="1"/>
  <c r="A11640" i="1"/>
  <c r="C11640" i="1"/>
  <c r="A11641" i="1"/>
  <c r="C11641" i="1"/>
  <c r="A11642" i="1"/>
  <c r="C11642" i="1"/>
  <c r="A11643" i="1"/>
  <c r="C11643" i="1"/>
  <c r="A11644" i="1"/>
  <c r="C11644" i="1"/>
  <c r="A11645" i="1"/>
  <c r="C11645" i="1"/>
  <c r="A11646" i="1"/>
  <c r="C11646" i="1"/>
  <c r="A11647" i="1"/>
  <c r="C11647" i="1"/>
  <c r="A11648" i="1"/>
  <c r="C11648" i="1"/>
  <c r="A11649" i="1"/>
  <c r="C11649" i="1"/>
  <c r="A11650" i="1"/>
  <c r="C11650" i="1"/>
  <c r="A11651" i="1"/>
  <c r="C11651" i="1"/>
  <c r="A11652" i="1"/>
  <c r="C11652" i="1"/>
  <c r="A11653" i="1"/>
  <c r="C11653" i="1"/>
  <c r="A11654" i="1"/>
  <c r="C11654" i="1"/>
  <c r="A11655" i="1"/>
  <c r="C11655" i="1"/>
  <c r="A11656" i="1"/>
  <c r="C11656" i="1"/>
  <c r="A11657" i="1"/>
  <c r="C11657" i="1"/>
  <c r="A11658" i="1"/>
  <c r="C11658" i="1"/>
  <c r="A11659" i="1"/>
  <c r="C11659" i="1"/>
  <c r="A11660" i="1"/>
  <c r="C11660" i="1"/>
  <c r="A11661" i="1"/>
  <c r="C11661" i="1"/>
  <c r="A11662" i="1"/>
  <c r="C11662" i="1"/>
  <c r="A11663" i="1"/>
  <c r="C11663" i="1"/>
  <c r="A11664" i="1"/>
  <c r="C11664" i="1"/>
  <c r="A11665" i="1"/>
  <c r="C11665" i="1"/>
  <c r="A11666" i="1"/>
  <c r="C11666" i="1"/>
  <c r="A11667" i="1"/>
  <c r="C11667" i="1"/>
  <c r="A11668" i="1"/>
  <c r="C11668" i="1"/>
  <c r="A11669" i="1"/>
  <c r="C11669" i="1"/>
  <c r="A11670" i="1"/>
  <c r="C11670" i="1"/>
  <c r="A11671" i="1"/>
  <c r="C11671" i="1"/>
  <c r="A11672" i="1"/>
  <c r="C11672" i="1"/>
  <c r="A11673" i="1"/>
  <c r="C11673" i="1"/>
  <c r="A11674" i="1"/>
  <c r="C11674" i="1"/>
  <c r="A11675" i="1"/>
  <c r="C11675" i="1"/>
  <c r="A11676" i="1"/>
  <c r="C11676" i="1"/>
  <c r="A11677" i="1"/>
  <c r="C11677" i="1"/>
  <c r="A11678" i="1"/>
  <c r="C11678" i="1"/>
  <c r="A11679" i="1"/>
  <c r="C11679" i="1"/>
  <c r="A11680" i="1"/>
  <c r="C11680" i="1"/>
  <c r="A11681" i="1"/>
  <c r="C11681" i="1"/>
  <c r="A11682" i="1"/>
  <c r="C11682" i="1"/>
  <c r="A11683" i="1"/>
  <c r="C11683" i="1"/>
  <c r="A11684" i="1"/>
  <c r="C11684" i="1"/>
  <c r="A11685" i="1"/>
  <c r="C11685" i="1"/>
  <c r="A11686" i="1"/>
  <c r="C11686" i="1"/>
  <c r="A11687" i="1"/>
  <c r="C11687" i="1"/>
  <c r="A11688" i="1"/>
  <c r="C11688" i="1"/>
  <c r="A11689" i="1"/>
  <c r="C11689" i="1"/>
  <c r="A11690" i="1"/>
  <c r="C11690" i="1"/>
  <c r="A11691" i="1"/>
  <c r="C11691" i="1"/>
  <c r="A11692" i="1"/>
  <c r="C11692" i="1"/>
  <c r="A11693" i="1"/>
  <c r="C11693" i="1"/>
  <c r="A11694" i="1"/>
  <c r="C11694" i="1"/>
  <c r="A11695" i="1"/>
  <c r="C11695" i="1"/>
  <c r="A11696" i="1"/>
  <c r="C11696" i="1"/>
  <c r="A11697" i="1"/>
  <c r="C11697" i="1"/>
  <c r="A11698" i="1"/>
  <c r="C11698" i="1"/>
  <c r="A11699" i="1"/>
  <c r="C11699" i="1"/>
  <c r="A11700" i="1"/>
  <c r="C11700" i="1"/>
  <c r="A11701" i="1"/>
  <c r="C11701" i="1"/>
  <c r="A11702" i="1"/>
  <c r="C11702" i="1"/>
  <c r="A11703" i="1"/>
  <c r="C11703" i="1"/>
  <c r="A11704" i="1"/>
  <c r="C11704" i="1"/>
  <c r="A11705" i="1"/>
  <c r="C11705" i="1"/>
  <c r="A11706" i="1"/>
  <c r="C11706" i="1"/>
  <c r="A11707" i="1"/>
  <c r="C11707" i="1"/>
  <c r="A11708" i="1"/>
  <c r="C11708" i="1"/>
  <c r="A11709" i="1"/>
  <c r="C11709" i="1"/>
  <c r="A11710" i="1"/>
  <c r="C11710" i="1"/>
  <c r="A11711" i="1"/>
  <c r="C11711" i="1"/>
  <c r="A11712" i="1"/>
  <c r="C11712" i="1"/>
  <c r="A11713" i="1"/>
  <c r="C11713" i="1"/>
  <c r="A11714" i="1"/>
  <c r="C11714" i="1"/>
  <c r="A11715" i="1"/>
  <c r="C11715" i="1"/>
  <c r="A11716" i="1"/>
  <c r="C11716" i="1"/>
  <c r="A11717" i="1"/>
  <c r="C11717" i="1"/>
  <c r="A11718" i="1"/>
  <c r="C11718" i="1"/>
  <c r="A11719" i="1"/>
  <c r="C11719" i="1"/>
  <c r="A11720" i="1"/>
  <c r="C11720" i="1"/>
  <c r="A11721" i="1"/>
  <c r="C11721" i="1"/>
  <c r="A11722" i="1"/>
  <c r="C11722" i="1"/>
  <c r="A11723" i="1"/>
  <c r="C11723" i="1"/>
  <c r="A11724" i="1"/>
  <c r="C11724" i="1"/>
  <c r="A11725" i="1"/>
  <c r="C11725" i="1"/>
  <c r="A11726" i="1"/>
  <c r="C11726" i="1"/>
  <c r="A11727" i="1"/>
  <c r="C11727" i="1"/>
  <c r="A11728" i="1"/>
  <c r="C11728" i="1"/>
  <c r="A11729" i="1"/>
  <c r="C11729" i="1"/>
  <c r="A11730" i="1"/>
  <c r="C11730" i="1"/>
  <c r="A11731" i="1"/>
  <c r="C11731" i="1"/>
  <c r="A11732" i="1"/>
  <c r="C11732" i="1"/>
  <c r="A11733" i="1"/>
  <c r="C11733" i="1"/>
  <c r="A11734" i="1"/>
  <c r="C11734" i="1"/>
  <c r="A11735" i="1"/>
  <c r="C11735" i="1"/>
  <c r="A11736" i="1"/>
  <c r="C11736" i="1"/>
  <c r="A11737" i="1"/>
  <c r="C11737" i="1"/>
  <c r="A11738" i="1"/>
  <c r="C11738" i="1"/>
  <c r="A11739" i="1"/>
  <c r="C11739" i="1"/>
  <c r="A11740" i="1"/>
  <c r="C11740" i="1"/>
  <c r="A11741" i="1"/>
  <c r="C11741" i="1"/>
  <c r="A11742" i="1"/>
  <c r="C11742" i="1"/>
  <c r="A11743" i="1"/>
  <c r="C11743" i="1"/>
  <c r="A11744" i="1"/>
  <c r="C11744" i="1"/>
  <c r="A11745" i="1"/>
  <c r="C11745" i="1"/>
  <c r="A11746" i="1"/>
  <c r="C11746" i="1"/>
  <c r="A11747" i="1"/>
  <c r="C11747" i="1"/>
  <c r="A11748" i="1"/>
  <c r="C11748" i="1"/>
  <c r="A11749" i="1"/>
  <c r="C11749" i="1"/>
  <c r="A11750" i="1"/>
  <c r="C11750" i="1"/>
  <c r="A11751" i="1"/>
  <c r="C11751" i="1"/>
  <c r="A11752" i="1"/>
  <c r="C11752" i="1"/>
  <c r="A11753" i="1"/>
  <c r="C11753" i="1"/>
  <c r="A11754" i="1"/>
  <c r="C11754" i="1"/>
  <c r="A11755" i="1"/>
  <c r="C11755" i="1"/>
  <c r="A11756" i="1"/>
  <c r="C11756" i="1"/>
  <c r="A11757" i="1"/>
  <c r="C11757" i="1"/>
  <c r="A11758" i="1"/>
  <c r="C11758" i="1"/>
  <c r="A11759" i="1"/>
  <c r="C11759" i="1"/>
  <c r="A11760" i="1"/>
  <c r="C11760" i="1"/>
  <c r="A11761" i="1"/>
  <c r="C11761" i="1"/>
  <c r="A11762" i="1"/>
  <c r="C11762" i="1"/>
  <c r="A11763" i="1"/>
  <c r="C11763" i="1"/>
  <c r="A11764" i="1"/>
  <c r="C11764" i="1"/>
  <c r="A11765" i="1"/>
  <c r="C11765" i="1"/>
  <c r="A11766" i="1"/>
  <c r="C11766" i="1"/>
  <c r="A11767" i="1"/>
  <c r="C11767" i="1"/>
  <c r="A11768" i="1"/>
  <c r="C11768" i="1"/>
  <c r="A11769" i="1"/>
  <c r="C11769" i="1"/>
  <c r="A11770" i="1"/>
  <c r="C11770" i="1"/>
  <c r="A11771" i="1"/>
  <c r="C11771" i="1"/>
  <c r="A11772" i="1"/>
  <c r="C11772" i="1"/>
  <c r="A11773" i="1"/>
  <c r="C11773" i="1"/>
  <c r="A11774" i="1"/>
  <c r="C11774" i="1"/>
  <c r="A11775" i="1"/>
  <c r="C11775" i="1"/>
  <c r="A11776" i="1"/>
  <c r="C11776" i="1"/>
  <c r="A11777" i="1"/>
  <c r="C11777" i="1"/>
  <c r="A11778" i="1"/>
  <c r="C11778" i="1"/>
  <c r="A11779" i="1"/>
  <c r="C11779" i="1"/>
  <c r="A11780" i="1"/>
  <c r="C11780" i="1"/>
  <c r="A11781" i="1"/>
  <c r="C11781" i="1"/>
  <c r="A11782" i="1"/>
  <c r="C11782" i="1"/>
  <c r="A11783" i="1"/>
  <c r="C11783" i="1"/>
  <c r="A11784" i="1"/>
  <c r="C11784" i="1"/>
  <c r="A11785" i="1"/>
  <c r="C11785" i="1"/>
  <c r="A11786" i="1"/>
  <c r="C11786" i="1"/>
  <c r="A11787" i="1"/>
  <c r="C11787" i="1"/>
  <c r="A11788" i="1"/>
  <c r="C11788" i="1"/>
  <c r="A11789" i="1"/>
  <c r="C11789" i="1"/>
  <c r="A11790" i="1"/>
  <c r="C11790" i="1"/>
  <c r="A11791" i="1"/>
  <c r="C11791" i="1"/>
  <c r="A11792" i="1"/>
  <c r="C11792" i="1"/>
  <c r="A11793" i="1"/>
  <c r="C11793" i="1"/>
  <c r="A11794" i="1"/>
  <c r="C11794" i="1"/>
  <c r="A11795" i="1"/>
  <c r="C11795" i="1"/>
  <c r="A11796" i="1"/>
  <c r="C11796" i="1"/>
  <c r="A11797" i="1"/>
  <c r="C11797" i="1"/>
  <c r="A11798" i="1"/>
  <c r="C11798" i="1"/>
  <c r="A11799" i="1"/>
  <c r="C11799" i="1"/>
  <c r="A11800" i="1"/>
  <c r="C11800" i="1"/>
  <c r="A11801" i="1"/>
  <c r="C11801" i="1"/>
  <c r="A11802" i="1"/>
  <c r="C11802" i="1"/>
  <c r="A11803" i="1"/>
  <c r="C11803" i="1"/>
  <c r="A11804" i="1"/>
  <c r="C11804" i="1"/>
  <c r="A11805" i="1"/>
  <c r="C11805" i="1"/>
  <c r="A11806" i="1"/>
  <c r="C11806" i="1"/>
  <c r="A11807" i="1"/>
  <c r="C11807" i="1"/>
  <c r="A11808" i="1"/>
  <c r="C11808" i="1"/>
  <c r="A11809" i="1"/>
  <c r="C11809" i="1"/>
  <c r="A11810" i="1"/>
  <c r="C11810" i="1"/>
  <c r="A11811" i="1"/>
  <c r="C11811" i="1"/>
  <c r="A11812" i="1"/>
  <c r="C11812" i="1"/>
  <c r="A11813" i="1"/>
  <c r="C11813" i="1"/>
  <c r="A11814" i="1"/>
  <c r="C11814" i="1"/>
  <c r="A11815" i="1"/>
  <c r="C11815" i="1"/>
  <c r="A11816" i="1"/>
  <c r="C11816" i="1"/>
  <c r="A11817" i="1"/>
  <c r="C11817" i="1"/>
  <c r="A11818" i="1"/>
  <c r="C11818" i="1"/>
  <c r="A11819" i="1"/>
  <c r="C11819" i="1"/>
  <c r="A11820" i="1"/>
  <c r="C11820" i="1"/>
  <c r="A11821" i="1"/>
  <c r="C11821" i="1"/>
  <c r="A11822" i="1"/>
  <c r="C11822" i="1"/>
  <c r="A11823" i="1"/>
  <c r="C11823" i="1"/>
  <c r="A11824" i="1"/>
  <c r="C11824" i="1"/>
  <c r="A11825" i="1"/>
  <c r="C11825" i="1"/>
  <c r="A11826" i="1"/>
  <c r="C11826" i="1"/>
  <c r="A11827" i="1"/>
  <c r="C11827" i="1"/>
  <c r="A11828" i="1"/>
  <c r="C11828" i="1"/>
  <c r="A11829" i="1"/>
  <c r="C11829" i="1"/>
  <c r="A11830" i="1"/>
  <c r="C11830" i="1"/>
  <c r="A11831" i="1"/>
  <c r="C11831" i="1"/>
  <c r="A11832" i="1"/>
  <c r="C11832" i="1"/>
  <c r="A11833" i="1"/>
  <c r="C11833" i="1"/>
  <c r="A11834" i="1"/>
  <c r="C11834" i="1"/>
  <c r="A11835" i="1"/>
  <c r="C11835" i="1"/>
  <c r="A11836" i="1"/>
  <c r="C11836" i="1"/>
  <c r="A11837" i="1"/>
  <c r="C11837" i="1"/>
  <c r="A11838" i="1"/>
  <c r="C11838" i="1"/>
  <c r="A11839" i="1"/>
  <c r="C11839" i="1"/>
  <c r="A11840" i="1"/>
  <c r="C11840" i="1"/>
  <c r="A11841" i="1"/>
  <c r="C11841" i="1"/>
  <c r="A11842" i="1"/>
  <c r="C11842" i="1"/>
  <c r="A11843" i="1"/>
  <c r="C11843" i="1"/>
  <c r="A11844" i="1"/>
  <c r="C11844" i="1"/>
  <c r="A11845" i="1"/>
  <c r="C11845" i="1"/>
  <c r="A11846" i="1"/>
  <c r="C11846" i="1"/>
  <c r="A11847" i="1"/>
  <c r="C11847" i="1"/>
  <c r="A11848" i="1"/>
  <c r="C11848" i="1"/>
  <c r="A11849" i="1"/>
  <c r="C11849" i="1"/>
  <c r="A11850" i="1"/>
  <c r="C11850" i="1"/>
  <c r="A11851" i="1"/>
  <c r="C11851" i="1"/>
  <c r="A11852" i="1"/>
  <c r="C11852" i="1"/>
  <c r="A11853" i="1"/>
  <c r="C11853" i="1"/>
  <c r="A11854" i="1"/>
  <c r="C11854" i="1"/>
  <c r="A11855" i="1"/>
  <c r="C11855" i="1"/>
  <c r="A11856" i="1"/>
  <c r="C11856" i="1"/>
  <c r="A11857" i="1"/>
  <c r="C11857" i="1"/>
  <c r="A11858" i="1"/>
  <c r="C11858" i="1"/>
  <c r="A11859" i="1"/>
  <c r="C11859" i="1"/>
  <c r="A11860" i="1"/>
  <c r="C11860" i="1"/>
  <c r="A11861" i="1"/>
  <c r="C11861" i="1"/>
  <c r="A11862" i="1"/>
  <c r="C11862" i="1"/>
  <c r="A11863" i="1"/>
  <c r="C11863" i="1"/>
  <c r="A11864" i="1"/>
  <c r="C11864" i="1"/>
  <c r="A11865" i="1"/>
  <c r="C11865" i="1"/>
  <c r="A11866" i="1"/>
  <c r="C11866" i="1"/>
  <c r="A11867" i="1"/>
  <c r="C11867" i="1"/>
  <c r="A11868" i="1"/>
  <c r="C11868" i="1"/>
  <c r="A11869" i="1"/>
  <c r="C11869" i="1"/>
  <c r="A11870" i="1"/>
  <c r="C11870" i="1"/>
  <c r="A11871" i="1"/>
  <c r="C11871" i="1"/>
  <c r="A11872" i="1"/>
  <c r="C11872" i="1"/>
  <c r="A11873" i="1"/>
  <c r="C11873" i="1"/>
  <c r="A11874" i="1"/>
  <c r="C11874" i="1"/>
  <c r="A11875" i="1"/>
  <c r="C11875" i="1"/>
  <c r="A11876" i="1"/>
  <c r="C11876" i="1"/>
  <c r="A11877" i="1"/>
  <c r="C11877" i="1"/>
  <c r="A11878" i="1"/>
  <c r="C11878" i="1"/>
  <c r="A11879" i="1"/>
  <c r="C11879" i="1"/>
  <c r="A11880" i="1"/>
  <c r="C11880" i="1"/>
  <c r="A11881" i="1"/>
  <c r="C11881" i="1"/>
  <c r="A11882" i="1"/>
  <c r="C11882" i="1"/>
  <c r="A11883" i="1"/>
  <c r="C11883" i="1"/>
  <c r="A11884" i="1"/>
  <c r="C11884" i="1"/>
  <c r="A11885" i="1"/>
  <c r="C11885" i="1"/>
  <c r="A11886" i="1"/>
  <c r="C11886" i="1"/>
  <c r="A11887" i="1"/>
  <c r="C11887" i="1"/>
  <c r="A11888" i="1"/>
  <c r="C11888" i="1"/>
  <c r="A11889" i="1"/>
  <c r="C11889" i="1"/>
  <c r="A11890" i="1"/>
  <c r="C11890" i="1"/>
  <c r="A11891" i="1"/>
  <c r="C11891" i="1"/>
  <c r="A11892" i="1"/>
  <c r="C11892" i="1"/>
  <c r="A11893" i="1"/>
  <c r="C11893" i="1"/>
  <c r="A11894" i="1"/>
  <c r="C11894" i="1"/>
  <c r="A11895" i="1"/>
  <c r="C11895" i="1"/>
  <c r="A11896" i="1"/>
  <c r="C11896" i="1"/>
  <c r="A11897" i="1"/>
  <c r="C11897" i="1"/>
  <c r="A11898" i="1"/>
  <c r="C11898" i="1"/>
  <c r="A11899" i="1"/>
  <c r="C11899" i="1"/>
  <c r="A11900" i="1"/>
  <c r="C11900" i="1"/>
  <c r="A11901" i="1"/>
  <c r="C11901" i="1"/>
  <c r="A11902" i="1"/>
  <c r="C11902" i="1"/>
  <c r="A11903" i="1"/>
  <c r="C11903" i="1"/>
  <c r="A11904" i="1"/>
  <c r="C11904" i="1"/>
  <c r="A11905" i="1"/>
  <c r="C11905" i="1"/>
  <c r="A11906" i="1"/>
  <c r="C11906" i="1"/>
  <c r="A11907" i="1"/>
  <c r="C11907" i="1"/>
  <c r="A11908" i="1"/>
  <c r="C11908" i="1"/>
  <c r="A11909" i="1"/>
  <c r="C11909" i="1"/>
  <c r="A11910" i="1"/>
  <c r="C11910" i="1"/>
  <c r="A11911" i="1"/>
  <c r="C11911" i="1"/>
  <c r="A11912" i="1"/>
  <c r="C11912" i="1"/>
  <c r="A11913" i="1"/>
  <c r="C11913" i="1"/>
  <c r="A11914" i="1"/>
  <c r="C11914" i="1"/>
  <c r="A11915" i="1"/>
  <c r="C11915" i="1"/>
  <c r="A11916" i="1"/>
  <c r="C11916" i="1"/>
  <c r="A11917" i="1"/>
  <c r="C11917" i="1"/>
  <c r="A11918" i="1"/>
  <c r="C11918" i="1"/>
  <c r="A11919" i="1"/>
  <c r="C11919" i="1"/>
  <c r="A11920" i="1"/>
  <c r="C11920" i="1"/>
  <c r="A11921" i="1"/>
  <c r="C11921" i="1"/>
  <c r="A11922" i="1"/>
  <c r="C11922" i="1"/>
  <c r="A11923" i="1"/>
  <c r="C11923" i="1"/>
  <c r="A11924" i="1"/>
  <c r="C11924" i="1"/>
  <c r="A11925" i="1"/>
  <c r="C11925" i="1"/>
  <c r="A11926" i="1"/>
  <c r="C11926" i="1"/>
  <c r="A11927" i="1"/>
  <c r="C11927" i="1"/>
  <c r="A11928" i="1"/>
  <c r="C11928" i="1"/>
  <c r="A11929" i="1"/>
  <c r="C11929" i="1"/>
  <c r="A11930" i="1"/>
  <c r="C11930" i="1"/>
  <c r="A11931" i="1"/>
  <c r="C11931" i="1"/>
  <c r="A11932" i="1"/>
  <c r="C11932" i="1"/>
  <c r="A11933" i="1"/>
  <c r="C11933" i="1"/>
  <c r="A11934" i="1"/>
  <c r="C11934" i="1"/>
  <c r="A11935" i="1"/>
  <c r="C11935" i="1"/>
  <c r="A11936" i="1"/>
  <c r="C11936" i="1"/>
  <c r="A11937" i="1"/>
  <c r="C11937" i="1"/>
  <c r="A11938" i="1"/>
  <c r="C11938" i="1"/>
  <c r="A11939" i="1"/>
  <c r="C11939" i="1"/>
  <c r="A11940" i="1"/>
  <c r="C11940" i="1"/>
  <c r="A11941" i="1"/>
  <c r="C11941" i="1"/>
  <c r="A11942" i="1"/>
  <c r="C11942" i="1"/>
  <c r="A11943" i="1"/>
  <c r="C11943" i="1"/>
  <c r="A11944" i="1"/>
  <c r="C11944" i="1"/>
  <c r="A11945" i="1"/>
  <c r="C11945" i="1"/>
  <c r="A11946" i="1"/>
  <c r="C11946" i="1"/>
  <c r="A11947" i="1"/>
  <c r="C11947" i="1"/>
  <c r="A11948" i="1"/>
  <c r="C11948" i="1"/>
  <c r="A11949" i="1"/>
  <c r="C11949" i="1"/>
  <c r="A11950" i="1"/>
  <c r="C11950" i="1"/>
  <c r="A11951" i="1"/>
  <c r="C11951" i="1"/>
  <c r="A11952" i="1"/>
  <c r="C11952" i="1"/>
  <c r="A11953" i="1"/>
  <c r="C11953" i="1"/>
  <c r="A11954" i="1"/>
  <c r="C11954" i="1"/>
  <c r="A11955" i="1"/>
  <c r="C11955" i="1"/>
  <c r="A11956" i="1"/>
  <c r="C11956" i="1"/>
  <c r="A11957" i="1"/>
  <c r="C11957" i="1"/>
  <c r="A11958" i="1"/>
  <c r="C11958" i="1"/>
  <c r="A11959" i="1"/>
  <c r="C11959" i="1"/>
  <c r="A11960" i="1"/>
  <c r="C11960" i="1"/>
  <c r="A11961" i="1"/>
  <c r="C11961" i="1"/>
  <c r="A11962" i="1"/>
  <c r="C11962" i="1"/>
  <c r="A11963" i="1"/>
  <c r="C11963" i="1"/>
  <c r="A11964" i="1"/>
  <c r="C11964" i="1"/>
  <c r="A11965" i="1"/>
  <c r="C11965" i="1"/>
  <c r="A11966" i="1"/>
  <c r="C11966" i="1"/>
  <c r="A11967" i="1"/>
  <c r="C11967" i="1"/>
  <c r="A11968" i="1"/>
  <c r="C11968" i="1"/>
  <c r="A11969" i="1"/>
  <c r="C11969" i="1"/>
  <c r="A11970" i="1"/>
  <c r="C11970" i="1"/>
  <c r="A11971" i="1"/>
  <c r="C11971" i="1"/>
  <c r="A11972" i="1"/>
  <c r="C11972" i="1"/>
  <c r="A11973" i="1"/>
  <c r="C11973" i="1"/>
  <c r="A11974" i="1"/>
  <c r="C11974" i="1"/>
  <c r="A11975" i="1"/>
  <c r="C11975" i="1"/>
  <c r="A11976" i="1"/>
  <c r="C11976" i="1"/>
  <c r="A11977" i="1"/>
  <c r="C11977" i="1"/>
  <c r="A11978" i="1"/>
  <c r="C11978" i="1"/>
  <c r="A11979" i="1"/>
  <c r="C11979" i="1"/>
  <c r="A11980" i="1"/>
  <c r="C11980" i="1"/>
  <c r="A11981" i="1"/>
  <c r="C11981" i="1"/>
  <c r="A11982" i="1"/>
  <c r="C11982" i="1"/>
  <c r="A11983" i="1"/>
  <c r="C11983" i="1"/>
  <c r="A11984" i="1"/>
  <c r="C11984" i="1"/>
  <c r="A11985" i="1"/>
  <c r="C11985" i="1"/>
  <c r="A11986" i="1"/>
  <c r="C11986" i="1"/>
  <c r="A11987" i="1"/>
  <c r="C11987" i="1"/>
  <c r="A11988" i="1"/>
  <c r="C11988" i="1"/>
  <c r="A11989" i="1"/>
  <c r="C11989" i="1"/>
  <c r="A11990" i="1"/>
  <c r="C11990" i="1"/>
  <c r="A11991" i="1"/>
  <c r="C11991" i="1"/>
  <c r="A11992" i="1"/>
  <c r="C11992" i="1"/>
  <c r="A11993" i="1"/>
  <c r="C11993" i="1"/>
  <c r="A11994" i="1"/>
  <c r="C11994" i="1"/>
  <c r="A11995" i="1"/>
  <c r="C11995" i="1"/>
  <c r="A11996" i="1"/>
  <c r="C11996" i="1"/>
  <c r="A11997" i="1"/>
  <c r="C11997" i="1"/>
  <c r="A11998" i="1"/>
  <c r="C11998" i="1"/>
  <c r="A11999" i="1"/>
  <c r="C11999" i="1"/>
  <c r="A12000" i="1"/>
  <c r="C12000" i="1"/>
  <c r="A12001" i="1"/>
  <c r="C12001" i="1"/>
  <c r="A12002" i="1"/>
  <c r="C12002" i="1"/>
  <c r="A12003" i="1"/>
  <c r="C12003" i="1"/>
  <c r="A12004" i="1"/>
  <c r="C12004" i="1"/>
  <c r="A12005" i="1"/>
  <c r="C12005" i="1"/>
  <c r="A12006" i="1"/>
  <c r="C12006" i="1"/>
  <c r="A12007" i="1"/>
  <c r="C12007" i="1"/>
  <c r="A12008" i="1"/>
  <c r="C12008" i="1"/>
  <c r="A12009" i="1"/>
  <c r="C12009" i="1"/>
  <c r="A12010" i="1"/>
  <c r="C12010" i="1"/>
  <c r="A12011" i="1"/>
  <c r="C12011" i="1"/>
  <c r="A12012" i="1"/>
  <c r="C12012" i="1"/>
  <c r="A12013" i="1"/>
  <c r="C12013" i="1"/>
  <c r="A12014" i="1"/>
  <c r="C12014" i="1"/>
  <c r="A12015" i="1"/>
  <c r="C12015" i="1"/>
  <c r="A12016" i="1"/>
  <c r="C12016" i="1"/>
  <c r="A12017" i="1"/>
  <c r="C12017" i="1"/>
  <c r="A12018" i="1"/>
  <c r="C12018" i="1"/>
  <c r="A12019" i="1"/>
  <c r="C12019" i="1"/>
  <c r="A12020" i="1"/>
  <c r="C12020" i="1"/>
  <c r="A12021" i="1"/>
  <c r="C12021" i="1"/>
  <c r="A12022" i="1"/>
  <c r="C12022" i="1"/>
  <c r="A12023" i="1"/>
  <c r="C12023" i="1"/>
  <c r="A12024" i="1"/>
  <c r="C12024" i="1"/>
  <c r="A12025" i="1"/>
  <c r="C12025" i="1"/>
  <c r="A12026" i="1"/>
  <c r="C12026" i="1"/>
  <c r="A12027" i="1"/>
  <c r="C12027" i="1"/>
  <c r="A12028" i="1"/>
  <c r="C12028" i="1"/>
  <c r="A12029" i="1"/>
  <c r="C12029" i="1"/>
  <c r="A12030" i="1"/>
  <c r="C12030" i="1"/>
  <c r="A12031" i="1"/>
  <c r="C12031" i="1"/>
  <c r="A12032" i="1"/>
  <c r="C12032" i="1"/>
  <c r="A12033" i="1"/>
  <c r="C12033" i="1"/>
  <c r="A12034" i="1"/>
  <c r="C12034" i="1"/>
  <c r="A12035" i="1"/>
  <c r="C12035" i="1"/>
  <c r="A12036" i="1"/>
  <c r="C12036" i="1"/>
  <c r="A12037" i="1"/>
  <c r="C12037" i="1"/>
  <c r="A12038" i="1"/>
  <c r="C12038" i="1"/>
  <c r="A12039" i="1"/>
  <c r="C12039" i="1"/>
  <c r="A12040" i="1"/>
  <c r="C12040" i="1"/>
  <c r="A12041" i="1"/>
  <c r="C12041" i="1"/>
  <c r="A12042" i="1"/>
  <c r="C12042" i="1"/>
  <c r="A12043" i="1"/>
  <c r="C12043" i="1"/>
  <c r="A12044" i="1"/>
  <c r="C12044" i="1"/>
  <c r="A12045" i="1"/>
  <c r="C12045" i="1"/>
  <c r="A12046" i="1"/>
  <c r="C12046" i="1"/>
  <c r="A12047" i="1"/>
  <c r="C12047" i="1"/>
  <c r="A12048" i="1"/>
  <c r="C12048" i="1"/>
  <c r="A12049" i="1"/>
  <c r="C12049" i="1"/>
  <c r="A12050" i="1"/>
  <c r="C12050" i="1"/>
  <c r="A12051" i="1"/>
  <c r="C12051" i="1"/>
  <c r="A12052" i="1"/>
  <c r="C12052" i="1"/>
  <c r="A12053" i="1"/>
  <c r="C12053" i="1"/>
  <c r="A12054" i="1"/>
  <c r="C12054" i="1"/>
  <c r="A12055" i="1"/>
  <c r="C12055" i="1"/>
  <c r="A12056" i="1"/>
  <c r="C12056" i="1"/>
  <c r="A12057" i="1"/>
  <c r="C12057" i="1"/>
  <c r="A12058" i="1"/>
  <c r="C12058" i="1"/>
  <c r="A12059" i="1"/>
  <c r="C12059" i="1"/>
  <c r="A12060" i="1"/>
  <c r="C12060" i="1"/>
  <c r="A12061" i="1"/>
  <c r="C12061" i="1"/>
  <c r="A12062" i="1"/>
  <c r="C12062" i="1"/>
  <c r="A12063" i="1"/>
  <c r="C12063" i="1"/>
  <c r="A12064" i="1"/>
  <c r="C12064" i="1"/>
  <c r="A12065" i="1"/>
  <c r="C12065" i="1"/>
  <c r="A12066" i="1"/>
  <c r="C12066" i="1"/>
  <c r="A12067" i="1"/>
  <c r="C12067" i="1"/>
  <c r="A12068" i="1"/>
  <c r="C12068" i="1"/>
  <c r="A12069" i="1"/>
  <c r="C12069" i="1"/>
  <c r="A12070" i="1"/>
  <c r="C12070" i="1"/>
  <c r="A12071" i="1"/>
  <c r="C12071" i="1"/>
  <c r="A12072" i="1"/>
  <c r="C12072" i="1"/>
  <c r="A12073" i="1"/>
  <c r="C12073" i="1"/>
  <c r="A12074" i="1"/>
  <c r="C12074" i="1"/>
  <c r="A12075" i="1"/>
  <c r="C12075" i="1"/>
  <c r="A12076" i="1"/>
  <c r="C12076" i="1"/>
  <c r="A12077" i="1"/>
  <c r="C12077" i="1"/>
  <c r="A12078" i="1"/>
  <c r="C12078" i="1"/>
  <c r="A12079" i="1"/>
  <c r="C12079" i="1"/>
  <c r="A12080" i="1"/>
  <c r="C12080" i="1"/>
  <c r="A12081" i="1"/>
  <c r="C12081" i="1"/>
  <c r="A12082" i="1"/>
  <c r="C12082" i="1"/>
  <c r="A12083" i="1"/>
  <c r="C12083" i="1"/>
  <c r="A12084" i="1"/>
  <c r="C12084" i="1"/>
  <c r="A12085" i="1"/>
  <c r="C12085" i="1"/>
  <c r="A12086" i="1"/>
  <c r="C12086" i="1"/>
  <c r="A12087" i="1"/>
  <c r="C12087" i="1"/>
  <c r="A12088" i="1"/>
  <c r="C12088" i="1"/>
  <c r="A12089" i="1"/>
  <c r="C12089" i="1"/>
  <c r="A12090" i="1"/>
  <c r="C12090" i="1"/>
  <c r="A12091" i="1"/>
  <c r="C12091" i="1"/>
  <c r="A12092" i="1"/>
  <c r="C12092" i="1"/>
  <c r="A12093" i="1"/>
  <c r="C12093" i="1"/>
  <c r="A12094" i="1"/>
  <c r="C12094" i="1"/>
  <c r="A12095" i="1"/>
  <c r="C12095" i="1"/>
  <c r="A12096" i="1"/>
  <c r="C12096" i="1"/>
  <c r="A12097" i="1"/>
  <c r="C12097" i="1"/>
  <c r="A12098" i="1"/>
  <c r="C12098" i="1"/>
  <c r="A12099" i="1"/>
  <c r="C12099" i="1"/>
  <c r="A12100" i="1"/>
  <c r="C12100" i="1"/>
  <c r="A12101" i="1"/>
  <c r="C12101" i="1"/>
  <c r="A12102" i="1"/>
  <c r="C12102" i="1"/>
  <c r="A12103" i="1"/>
  <c r="C12103" i="1"/>
  <c r="A12104" i="1"/>
  <c r="C12104" i="1"/>
  <c r="A12105" i="1"/>
  <c r="C12105" i="1"/>
  <c r="A12106" i="1"/>
  <c r="C12106" i="1"/>
  <c r="A12107" i="1"/>
  <c r="C12107" i="1"/>
  <c r="A12108" i="1"/>
  <c r="C12108" i="1"/>
  <c r="A12109" i="1"/>
  <c r="C12109" i="1"/>
  <c r="A12110" i="1"/>
  <c r="C12110" i="1"/>
  <c r="A12111" i="1"/>
  <c r="C12111" i="1"/>
  <c r="A12112" i="1"/>
  <c r="C12112" i="1"/>
  <c r="A12113" i="1"/>
  <c r="C12113" i="1"/>
  <c r="A12114" i="1"/>
  <c r="C12114" i="1"/>
  <c r="A12115" i="1"/>
  <c r="C12115" i="1"/>
  <c r="A12116" i="1"/>
  <c r="C12116" i="1"/>
  <c r="A12117" i="1"/>
  <c r="C12117" i="1"/>
  <c r="A12118" i="1"/>
  <c r="C12118" i="1"/>
  <c r="A12119" i="1"/>
  <c r="C12119" i="1"/>
  <c r="A12120" i="1"/>
  <c r="C12120" i="1"/>
  <c r="A12121" i="1"/>
  <c r="C12121" i="1"/>
  <c r="A12122" i="1"/>
  <c r="C12122" i="1"/>
  <c r="A12123" i="1"/>
  <c r="C12123" i="1"/>
  <c r="A12124" i="1"/>
  <c r="C12124" i="1"/>
  <c r="A12125" i="1"/>
  <c r="C12125" i="1"/>
  <c r="A12126" i="1"/>
  <c r="C12126" i="1"/>
  <c r="A12127" i="1"/>
  <c r="C12127" i="1"/>
  <c r="A12128" i="1"/>
  <c r="C12128" i="1"/>
  <c r="A12129" i="1"/>
  <c r="C12129" i="1"/>
  <c r="A12130" i="1"/>
  <c r="C12130" i="1"/>
  <c r="A12131" i="1"/>
  <c r="C12131" i="1"/>
  <c r="A12132" i="1"/>
  <c r="C12132" i="1"/>
  <c r="A12133" i="1"/>
  <c r="C12133" i="1"/>
  <c r="A12134" i="1"/>
  <c r="C12134" i="1"/>
  <c r="A12135" i="1"/>
  <c r="C12135" i="1"/>
  <c r="A12136" i="1"/>
  <c r="C12136" i="1"/>
  <c r="A12137" i="1"/>
  <c r="C12137" i="1"/>
  <c r="A12138" i="1"/>
  <c r="C12138" i="1"/>
  <c r="A12139" i="1"/>
  <c r="C12139" i="1"/>
  <c r="A12140" i="1"/>
  <c r="C12140" i="1"/>
  <c r="A12141" i="1"/>
  <c r="C12141" i="1"/>
  <c r="A12142" i="1"/>
  <c r="C12142" i="1"/>
  <c r="A12143" i="1"/>
  <c r="C12143" i="1"/>
  <c r="A12144" i="1"/>
  <c r="C12144" i="1"/>
  <c r="A12145" i="1"/>
  <c r="C12145" i="1"/>
  <c r="A12146" i="1"/>
  <c r="C12146" i="1"/>
  <c r="A12147" i="1"/>
  <c r="C12147" i="1"/>
  <c r="A12148" i="1"/>
  <c r="C12148" i="1"/>
  <c r="A12149" i="1"/>
  <c r="C12149" i="1"/>
  <c r="A12150" i="1"/>
  <c r="C12150" i="1"/>
  <c r="A12151" i="1"/>
  <c r="C12151" i="1"/>
  <c r="A12152" i="1"/>
  <c r="C12152" i="1"/>
  <c r="A12153" i="1"/>
  <c r="C12153" i="1"/>
  <c r="A12154" i="1"/>
  <c r="C12154" i="1"/>
  <c r="A12155" i="1"/>
  <c r="C12155" i="1"/>
  <c r="A12156" i="1"/>
  <c r="C12156" i="1"/>
  <c r="A12157" i="1"/>
  <c r="C12157" i="1"/>
  <c r="A12158" i="1"/>
  <c r="C12158" i="1"/>
  <c r="A12159" i="1"/>
  <c r="C12159" i="1"/>
  <c r="A12160" i="1"/>
  <c r="C12160" i="1"/>
  <c r="A12161" i="1"/>
  <c r="C12161" i="1"/>
  <c r="A12162" i="1"/>
  <c r="C12162" i="1"/>
  <c r="A12163" i="1"/>
  <c r="C12163" i="1"/>
  <c r="A12164" i="1"/>
  <c r="C12164" i="1"/>
  <c r="A12165" i="1"/>
  <c r="C12165" i="1"/>
  <c r="A12166" i="1"/>
  <c r="C12166" i="1"/>
  <c r="A12167" i="1"/>
  <c r="C12167" i="1"/>
  <c r="A12168" i="1"/>
  <c r="C12168" i="1"/>
  <c r="A12169" i="1"/>
  <c r="C12169" i="1"/>
  <c r="A12170" i="1"/>
  <c r="C12170" i="1"/>
  <c r="A12171" i="1"/>
  <c r="C12171" i="1"/>
  <c r="A12172" i="1"/>
  <c r="C12172" i="1"/>
  <c r="A12173" i="1"/>
  <c r="C12173" i="1"/>
  <c r="A12174" i="1"/>
  <c r="C12174" i="1"/>
  <c r="A12175" i="1"/>
  <c r="C12175" i="1"/>
  <c r="A12176" i="1"/>
  <c r="C12176" i="1"/>
  <c r="A12177" i="1"/>
  <c r="C12177" i="1"/>
  <c r="A12178" i="1"/>
  <c r="C12178" i="1"/>
  <c r="A12179" i="1"/>
  <c r="C12179" i="1"/>
  <c r="A12180" i="1"/>
  <c r="C12180" i="1"/>
  <c r="A12181" i="1"/>
  <c r="C12181" i="1"/>
  <c r="A12182" i="1"/>
  <c r="C12182" i="1"/>
  <c r="A12183" i="1"/>
  <c r="C12183" i="1"/>
  <c r="A12184" i="1"/>
  <c r="C12184" i="1"/>
  <c r="A12185" i="1"/>
  <c r="C12185" i="1"/>
  <c r="A12186" i="1"/>
  <c r="C12186" i="1"/>
  <c r="A12187" i="1"/>
  <c r="C12187" i="1"/>
  <c r="A12188" i="1"/>
  <c r="C12188" i="1"/>
  <c r="A12189" i="1"/>
  <c r="C12189" i="1"/>
  <c r="A12190" i="1"/>
  <c r="C12190" i="1"/>
  <c r="A12191" i="1"/>
  <c r="C12191" i="1"/>
  <c r="A12192" i="1"/>
  <c r="C12192" i="1"/>
  <c r="A12193" i="1"/>
  <c r="C12193" i="1"/>
  <c r="A12194" i="1"/>
  <c r="C12194" i="1"/>
  <c r="A12195" i="1"/>
  <c r="C12195" i="1"/>
  <c r="A12196" i="1"/>
  <c r="C12196" i="1"/>
  <c r="A12197" i="1"/>
  <c r="C12197" i="1"/>
  <c r="A12198" i="1"/>
  <c r="C12198" i="1"/>
  <c r="A12199" i="1"/>
  <c r="C12199" i="1"/>
  <c r="A12200" i="1"/>
  <c r="C12200" i="1"/>
  <c r="A12201" i="1"/>
  <c r="C12201" i="1"/>
  <c r="A12202" i="1"/>
  <c r="C12202" i="1"/>
  <c r="A12203" i="1"/>
  <c r="C12203" i="1"/>
  <c r="A12204" i="1"/>
  <c r="C12204" i="1"/>
  <c r="A12205" i="1"/>
  <c r="C12205" i="1"/>
  <c r="A12206" i="1"/>
  <c r="C12206" i="1"/>
  <c r="A12207" i="1"/>
  <c r="C12207" i="1"/>
  <c r="A12208" i="1"/>
  <c r="C12208" i="1"/>
  <c r="A12209" i="1"/>
  <c r="C12209" i="1"/>
  <c r="A12210" i="1"/>
  <c r="C12210" i="1"/>
  <c r="A12211" i="1"/>
  <c r="C12211" i="1"/>
  <c r="A12212" i="1"/>
  <c r="C12212" i="1"/>
  <c r="A12213" i="1"/>
  <c r="C12213" i="1"/>
  <c r="A12214" i="1"/>
  <c r="C12214" i="1"/>
  <c r="A12215" i="1"/>
  <c r="C12215" i="1"/>
  <c r="A12216" i="1"/>
  <c r="C12216" i="1"/>
  <c r="A12217" i="1"/>
  <c r="C12217" i="1"/>
  <c r="A12218" i="1"/>
  <c r="C12218" i="1"/>
  <c r="A12219" i="1"/>
  <c r="C12219" i="1"/>
  <c r="A12220" i="1"/>
  <c r="C12220" i="1"/>
  <c r="A12221" i="1"/>
  <c r="C12221" i="1"/>
  <c r="A12222" i="1"/>
  <c r="C12222" i="1"/>
  <c r="A12223" i="1"/>
  <c r="C12223" i="1"/>
  <c r="A12224" i="1"/>
  <c r="C12224" i="1"/>
  <c r="A12225" i="1"/>
  <c r="C12225" i="1"/>
  <c r="A12226" i="1"/>
  <c r="C12226" i="1"/>
  <c r="A12227" i="1"/>
  <c r="C12227" i="1"/>
  <c r="A12228" i="1"/>
  <c r="C12228" i="1"/>
  <c r="A12229" i="1"/>
  <c r="C12229" i="1"/>
  <c r="A12230" i="1"/>
  <c r="C12230" i="1"/>
  <c r="A12231" i="1"/>
  <c r="C12231" i="1"/>
  <c r="A12232" i="1"/>
  <c r="C12232" i="1"/>
  <c r="A12233" i="1"/>
  <c r="C12233" i="1"/>
  <c r="A12234" i="1"/>
  <c r="C12234" i="1"/>
  <c r="A12235" i="1"/>
  <c r="C12235" i="1"/>
  <c r="A12236" i="1"/>
  <c r="C12236" i="1"/>
  <c r="A12237" i="1"/>
  <c r="C12237" i="1"/>
  <c r="A12238" i="1"/>
  <c r="C12238" i="1"/>
  <c r="A12239" i="1"/>
  <c r="C12239" i="1"/>
  <c r="A12240" i="1"/>
  <c r="C12240" i="1"/>
  <c r="A12241" i="1"/>
  <c r="C12241" i="1"/>
  <c r="A12242" i="1"/>
  <c r="C12242" i="1"/>
  <c r="A12243" i="1"/>
  <c r="C12243" i="1"/>
  <c r="A12244" i="1"/>
  <c r="C12244" i="1"/>
  <c r="A12245" i="1"/>
  <c r="C12245" i="1"/>
  <c r="A12246" i="1"/>
  <c r="C12246" i="1"/>
  <c r="A12247" i="1"/>
  <c r="C12247" i="1"/>
  <c r="A12248" i="1"/>
  <c r="C12248" i="1"/>
  <c r="A12249" i="1"/>
  <c r="C12249" i="1"/>
  <c r="A12250" i="1"/>
  <c r="C12250" i="1"/>
  <c r="A12251" i="1"/>
  <c r="C12251" i="1"/>
  <c r="A12252" i="1"/>
  <c r="C12252" i="1"/>
  <c r="A12253" i="1"/>
  <c r="C12253" i="1"/>
  <c r="A12254" i="1"/>
  <c r="C12254" i="1"/>
  <c r="A12255" i="1"/>
  <c r="C12255" i="1"/>
  <c r="A12256" i="1"/>
  <c r="C12256" i="1"/>
  <c r="A12257" i="1"/>
  <c r="C12257" i="1"/>
  <c r="A12258" i="1"/>
  <c r="C12258" i="1"/>
  <c r="A12259" i="1"/>
  <c r="C12259" i="1"/>
  <c r="A12260" i="1"/>
  <c r="C12260" i="1"/>
  <c r="A12261" i="1"/>
  <c r="C12261" i="1"/>
  <c r="A12262" i="1"/>
  <c r="C12262" i="1"/>
  <c r="A12263" i="1"/>
  <c r="C12263" i="1"/>
  <c r="A12264" i="1"/>
  <c r="C12264" i="1"/>
  <c r="A12265" i="1"/>
  <c r="C12265" i="1"/>
  <c r="A12266" i="1"/>
  <c r="C12266" i="1"/>
  <c r="A12267" i="1"/>
  <c r="C12267" i="1"/>
  <c r="A12268" i="1"/>
  <c r="C12268" i="1"/>
  <c r="A12269" i="1"/>
  <c r="C12269" i="1"/>
  <c r="A12270" i="1"/>
  <c r="C12270" i="1"/>
  <c r="A12271" i="1"/>
  <c r="C12271" i="1"/>
  <c r="A12272" i="1"/>
  <c r="C12272" i="1"/>
  <c r="A12273" i="1"/>
  <c r="C12273" i="1"/>
  <c r="A12274" i="1"/>
  <c r="C12274" i="1"/>
  <c r="A12275" i="1"/>
  <c r="C12275" i="1"/>
  <c r="A12276" i="1"/>
  <c r="C12276" i="1"/>
  <c r="A12277" i="1"/>
  <c r="C12277" i="1"/>
  <c r="A12278" i="1"/>
  <c r="C12278" i="1"/>
  <c r="A12279" i="1"/>
  <c r="C12279" i="1"/>
  <c r="A12280" i="1"/>
  <c r="C12280" i="1"/>
  <c r="A12281" i="1"/>
  <c r="C12281" i="1"/>
  <c r="A12282" i="1"/>
  <c r="C12282" i="1"/>
  <c r="A12283" i="1"/>
  <c r="C12283" i="1"/>
  <c r="A12284" i="1"/>
  <c r="C12284" i="1"/>
  <c r="A12285" i="1"/>
  <c r="C12285" i="1"/>
  <c r="A12286" i="1"/>
  <c r="C12286" i="1"/>
  <c r="A12287" i="1"/>
  <c r="C12287" i="1"/>
  <c r="A12288" i="1"/>
  <c r="C12288" i="1"/>
  <c r="A12289" i="1"/>
  <c r="C12289" i="1"/>
  <c r="A12290" i="1"/>
  <c r="C12290" i="1"/>
  <c r="A12291" i="1"/>
  <c r="C12291" i="1"/>
  <c r="A12292" i="1"/>
  <c r="C12292" i="1"/>
  <c r="A12293" i="1"/>
  <c r="C12293" i="1"/>
  <c r="A12294" i="1"/>
  <c r="C12294" i="1"/>
  <c r="A12295" i="1"/>
  <c r="C12295" i="1"/>
  <c r="A12296" i="1"/>
  <c r="C12296" i="1"/>
  <c r="A12297" i="1"/>
  <c r="C12297" i="1"/>
  <c r="A12298" i="1"/>
  <c r="C12298" i="1"/>
  <c r="A12299" i="1"/>
  <c r="C12299" i="1"/>
  <c r="A12300" i="1"/>
  <c r="C12300" i="1"/>
  <c r="A12301" i="1"/>
  <c r="C12301" i="1"/>
  <c r="A12302" i="1"/>
  <c r="C12302" i="1"/>
  <c r="A12303" i="1"/>
  <c r="C12303" i="1"/>
  <c r="A12304" i="1"/>
  <c r="C12304" i="1"/>
  <c r="A12305" i="1"/>
  <c r="C12305" i="1"/>
  <c r="A12306" i="1"/>
  <c r="C12306" i="1"/>
  <c r="A12307" i="1"/>
  <c r="C12307" i="1"/>
  <c r="A12308" i="1"/>
  <c r="C12308" i="1"/>
  <c r="A12309" i="1"/>
  <c r="C12309" i="1"/>
  <c r="A12310" i="1"/>
  <c r="C12310" i="1"/>
  <c r="A12311" i="1"/>
  <c r="C12311" i="1"/>
  <c r="A12312" i="1"/>
  <c r="C12312" i="1"/>
  <c r="A12313" i="1"/>
  <c r="C12313" i="1"/>
  <c r="A12314" i="1"/>
  <c r="C12314" i="1"/>
  <c r="A12315" i="1"/>
  <c r="C12315" i="1"/>
  <c r="A12316" i="1"/>
  <c r="C12316" i="1"/>
  <c r="A12317" i="1"/>
  <c r="C12317" i="1"/>
  <c r="A12318" i="1"/>
  <c r="C12318" i="1"/>
  <c r="A12319" i="1"/>
  <c r="C12319" i="1"/>
  <c r="A12320" i="1"/>
  <c r="C12320" i="1"/>
  <c r="A12321" i="1"/>
  <c r="C12321" i="1"/>
  <c r="A12322" i="1"/>
  <c r="C12322" i="1"/>
  <c r="A12323" i="1"/>
  <c r="C12323" i="1"/>
  <c r="A12324" i="1"/>
  <c r="C12324" i="1"/>
  <c r="A12325" i="1"/>
  <c r="C12325" i="1"/>
  <c r="A12326" i="1"/>
  <c r="C12326" i="1"/>
  <c r="A12327" i="1"/>
  <c r="C12327" i="1"/>
  <c r="A12328" i="1"/>
  <c r="C12328" i="1"/>
  <c r="A12329" i="1"/>
  <c r="C12329" i="1"/>
  <c r="A12330" i="1"/>
  <c r="C12330" i="1"/>
  <c r="A12331" i="1"/>
  <c r="C12331" i="1"/>
  <c r="A12332" i="1"/>
  <c r="C12332" i="1"/>
  <c r="A12333" i="1"/>
  <c r="C12333" i="1"/>
  <c r="A12334" i="1"/>
  <c r="C12334" i="1"/>
  <c r="A12335" i="1"/>
  <c r="C12335" i="1"/>
  <c r="A12336" i="1"/>
  <c r="C12336" i="1"/>
  <c r="A12337" i="1"/>
  <c r="C12337" i="1"/>
  <c r="A12338" i="1"/>
  <c r="C12338" i="1"/>
  <c r="A12339" i="1"/>
  <c r="C12339" i="1"/>
  <c r="A12340" i="1"/>
  <c r="C12340" i="1"/>
  <c r="A12341" i="1"/>
  <c r="C12341" i="1"/>
  <c r="A12342" i="1"/>
  <c r="C12342" i="1"/>
  <c r="A12343" i="1"/>
  <c r="C12343" i="1"/>
  <c r="A12344" i="1"/>
  <c r="C12344" i="1"/>
  <c r="A12345" i="1"/>
  <c r="C12345" i="1"/>
  <c r="A12346" i="1"/>
  <c r="C12346" i="1"/>
  <c r="A12347" i="1"/>
  <c r="C12347" i="1"/>
  <c r="A12348" i="1"/>
  <c r="C12348" i="1"/>
  <c r="A12349" i="1"/>
  <c r="C12349" i="1"/>
  <c r="A12350" i="1"/>
  <c r="C12350" i="1"/>
  <c r="A12351" i="1"/>
  <c r="C12351" i="1"/>
  <c r="A12352" i="1"/>
  <c r="C12352" i="1"/>
  <c r="A12353" i="1"/>
  <c r="C12353" i="1"/>
  <c r="A12354" i="1"/>
  <c r="C12354" i="1"/>
  <c r="A12355" i="1"/>
  <c r="C12355" i="1"/>
  <c r="A12356" i="1"/>
  <c r="C12356" i="1"/>
  <c r="A12357" i="1"/>
  <c r="C12357" i="1"/>
  <c r="A12358" i="1"/>
  <c r="C12358" i="1"/>
  <c r="A12359" i="1"/>
  <c r="C12359" i="1"/>
  <c r="A12360" i="1"/>
  <c r="C12360" i="1"/>
  <c r="A12361" i="1"/>
  <c r="C12361" i="1"/>
  <c r="A12362" i="1"/>
  <c r="C12362" i="1"/>
  <c r="A12363" i="1"/>
  <c r="C12363" i="1"/>
  <c r="A12364" i="1"/>
  <c r="C12364" i="1"/>
  <c r="A12365" i="1"/>
  <c r="C12365" i="1"/>
  <c r="A12366" i="1"/>
  <c r="C12366" i="1"/>
  <c r="A12367" i="1"/>
  <c r="C12367" i="1"/>
  <c r="A12368" i="1"/>
  <c r="C12368" i="1"/>
  <c r="A12369" i="1"/>
  <c r="C12369" i="1"/>
  <c r="A12370" i="1"/>
  <c r="C12370" i="1"/>
  <c r="A12371" i="1"/>
  <c r="C12371" i="1"/>
  <c r="A12372" i="1"/>
  <c r="C12372" i="1"/>
  <c r="A12373" i="1"/>
  <c r="C12373" i="1"/>
  <c r="A12374" i="1"/>
  <c r="C12374" i="1"/>
  <c r="A12375" i="1"/>
  <c r="C12375" i="1"/>
  <c r="A12376" i="1"/>
  <c r="C12376" i="1"/>
  <c r="A12377" i="1"/>
  <c r="C12377" i="1"/>
  <c r="A12378" i="1"/>
  <c r="C12378" i="1"/>
  <c r="A12379" i="1"/>
  <c r="C12379" i="1"/>
  <c r="A12380" i="1"/>
  <c r="C12380" i="1"/>
  <c r="A12381" i="1"/>
  <c r="C12381" i="1"/>
  <c r="A12382" i="1"/>
  <c r="C12382" i="1"/>
  <c r="A12383" i="1"/>
  <c r="C12383" i="1"/>
  <c r="A12384" i="1"/>
  <c r="C12384" i="1"/>
  <c r="A12385" i="1"/>
  <c r="C12385" i="1"/>
  <c r="A12386" i="1"/>
  <c r="C12386" i="1"/>
  <c r="A12387" i="1"/>
  <c r="C12387" i="1"/>
  <c r="A12388" i="1"/>
  <c r="C12388" i="1"/>
  <c r="A12389" i="1"/>
  <c r="C12389" i="1"/>
  <c r="A12390" i="1"/>
  <c r="C12390" i="1"/>
  <c r="A12391" i="1"/>
  <c r="C12391" i="1"/>
  <c r="A12392" i="1"/>
  <c r="C12392" i="1"/>
  <c r="A12393" i="1"/>
  <c r="C12393" i="1"/>
  <c r="A12394" i="1"/>
  <c r="C12394" i="1"/>
  <c r="A12395" i="1"/>
  <c r="C12395" i="1"/>
  <c r="A12396" i="1"/>
  <c r="C12396" i="1"/>
  <c r="A12397" i="1"/>
  <c r="C12397" i="1"/>
  <c r="A12398" i="1"/>
  <c r="C12398" i="1"/>
  <c r="A12399" i="1"/>
  <c r="C12399" i="1"/>
  <c r="A12400" i="1"/>
  <c r="C12400" i="1"/>
  <c r="A12401" i="1"/>
  <c r="C12401" i="1"/>
  <c r="A12402" i="1"/>
  <c r="C12402" i="1"/>
  <c r="A12403" i="1"/>
  <c r="C12403" i="1"/>
  <c r="A12404" i="1"/>
  <c r="C12404" i="1"/>
  <c r="A12405" i="1"/>
  <c r="C12405" i="1"/>
  <c r="A12406" i="1"/>
  <c r="C12406" i="1"/>
  <c r="A12407" i="1"/>
  <c r="C12407" i="1"/>
  <c r="A12408" i="1"/>
  <c r="C12408" i="1"/>
  <c r="A12409" i="1"/>
  <c r="C12409" i="1"/>
  <c r="A12410" i="1"/>
  <c r="C12410" i="1"/>
  <c r="A12411" i="1"/>
  <c r="C12411" i="1"/>
  <c r="A12412" i="1"/>
  <c r="C12412" i="1"/>
  <c r="A12413" i="1"/>
  <c r="C12413" i="1"/>
  <c r="A12414" i="1"/>
  <c r="C12414" i="1"/>
  <c r="A12415" i="1"/>
  <c r="C12415" i="1"/>
  <c r="A12416" i="1"/>
  <c r="C12416" i="1"/>
  <c r="A12417" i="1"/>
  <c r="C12417" i="1"/>
  <c r="A12418" i="1"/>
  <c r="C12418" i="1"/>
  <c r="A12419" i="1"/>
  <c r="C12419" i="1"/>
  <c r="A12420" i="1"/>
  <c r="C12420" i="1"/>
  <c r="A12421" i="1"/>
  <c r="C12421" i="1"/>
  <c r="A12422" i="1"/>
  <c r="C12422" i="1"/>
  <c r="A12423" i="1"/>
  <c r="C12423" i="1"/>
  <c r="A12424" i="1"/>
  <c r="C12424" i="1"/>
  <c r="A12425" i="1"/>
  <c r="C12425" i="1"/>
  <c r="A12426" i="1"/>
  <c r="C12426" i="1"/>
  <c r="A12427" i="1"/>
  <c r="C12427" i="1"/>
  <c r="A12428" i="1"/>
  <c r="C12428" i="1"/>
  <c r="A12429" i="1"/>
  <c r="C12429" i="1"/>
  <c r="A12430" i="1"/>
  <c r="C12430" i="1"/>
  <c r="A12431" i="1"/>
  <c r="C12431" i="1"/>
  <c r="A12432" i="1"/>
  <c r="C12432" i="1"/>
  <c r="A12433" i="1"/>
  <c r="C12433" i="1"/>
  <c r="A12434" i="1"/>
  <c r="C12434" i="1"/>
  <c r="A12435" i="1"/>
  <c r="C12435" i="1"/>
  <c r="A12436" i="1"/>
  <c r="C12436" i="1"/>
  <c r="A12437" i="1"/>
  <c r="C12437" i="1"/>
  <c r="A12438" i="1"/>
  <c r="C12438" i="1"/>
  <c r="A12439" i="1"/>
  <c r="C12439" i="1"/>
  <c r="A12440" i="1"/>
  <c r="C12440" i="1"/>
  <c r="A12441" i="1"/>
  <c r="C12441" i="1"/>
  <c r="A12442" i="1"/>
  <c r="C12442" i="1"/>
  <c r="A12443" i="1"/>
  <c r="C12443" i="1"/>
  <c r="A12444" i="1"/>
  <c r="C12444" i="1"/>
  <c r="A12445" i="1"/>
  <c r="C12445" i="1"/>
  <c r="A12446" i="1"/>
  <c r="C12446" i="1"/>
  <c r="A12447" i="1"/>
  <c r="C12447" i="1"/>
  <c r="A12448" i="1"/>
  <c r="C12448" i="1"/>
  <c r="A12449" i="1"/>
  <c r="C12449" i="1"/>
  <c r="A12450" i="1"/>
  <c r="C12450" i="1"/>
  <c r="A12451" i="1"/>
  <c r="C12451" i="1"/>
  <c r="A12452" i="1"/>
  <c r="C12452" i="1"/>
  <c r="A12453" i="1"/>
  <c r="C12453" i="1"/>
  <c r="A12454" i="1"/>
  <c r="C12454" i="1"/>
  <c r="A12455" i="1"/>
  <c r="C12455" i="1"/>
  <c r="A12456" i="1"/>
  <c r="C12456" i="1"/>
  <c r="A12457" i="1"/>
  <c r="C12457" i="1"/>
  <c r="A12458" i="1"/>
  <c r="C12458" i="1"/>
  <c r="A12459" i="1"/>
  <c r="C12459" i="1"/>
  <c r="A12460" i="1"/>
  <c r="C12460" i="1"/>
  <c r="A12461" i="1"/>
  <c r="C12461" i="1"/>
  <c r="A12462" i="1"/>
  <c r="C12462" i="1"/>
  <c r="A12463" i="1"/>
  <c r="C12463" i="1"/>
  <c r="A12464" i="1"/>
  <c r="C12464" i="1"/>
  <c r="A12465" i="1"/>
  <c r="C12465" i="1"/>
  <c r="A12466" i="1"/>
  <c r="C12466" i="1"/>
  <c r="A12467" i="1"/>
  <c r="C12467" i="1"/>
  <c r="A12468" i="1"/>
  <c r="C12468" i="1"/>
  <c r="A12469" i="1"/>
  <c r="C12469" i="1"/>
  <c r="A12470" i="1"/>
  <c r="C12470" i="1"/>
  <c r="A12471" i="1"/>
  <c r="C12471" i="1"/>
  <c r="A12472" i="1"/>
  <c r="C12472" i="1"/>
  <c r="A12473" i="1"/>
  <c r="C12473" i="1"/>
  <c r="A12474" i="1"/>
  <c r="C12474" i="1"/>
  <c r="A12475" i="1"/>
  <c r="C12475" i="1"/>
  <c r="A12476" i="1"/>
  <c r="C12476" i="1"/>
  <c r="A12477" i="1"/>
  <c r="C12477" i="1"/>
  <c r="A12478" i="1"/>
  <c r="C12478" i="1"/>
  <c r="A12479" i="1"/>
  <c r="C12479" i="1"/>
  <c r="A12480" i="1"/>
  <c r="C12480" i="1"/>
  <c r="A12481" i="1"/>
  <c r="C12481" i="1"/>
  <c r="A12482" i="1"/>
  <c r="C12482" i="1"/>
  <c r="A12483" i="1"/>
  <c r="C12483" i="1"/>
  <c r="A12484" i="1"/>
  <c r="C12484" i="1"/>
  <c r="A12485" i="1"/>
  <c r="C12485" i="1"/>
  <c r="A12486" i="1"/>
  <c r="C12486" i="1"/>
  <c r="A12487" i="1"/>
  <c r="C12487" i="1"/>
  <c r="A12488" i="1"/>
  <c r="C12488" i="1"/>
  <c r="A12489" i="1"/>
  <c r="C12489" i="1"/>
  <c r="A12490" i="1"/>
  <c r="C12490" i="1"/>
  <c r="A12491" i="1"/>
  <c r="C12491" i="1"/>
  <c r="A12492" i="1"/>
  <c r="C12492" i="1"/>
  <c r="A12493" i="1"/>
  <c r="C12493" i="1"/>
  <c r="A12494" i="1"/>
  <c r="C12494" i="1"/>
  <c r="A12495" i="1"/>
  <c r="C12495" i="1"/>
  <c r="A12496" i="1"/>
  <c r="C12496" i="1"/>
  <c r="A12497" i="1"/>
  <c r="C12497" i="1"/>
  <c r="A12498" i="1"/>
  <c r="C12498" i="1"/>
  <c r="A12499" i="1"/>
  <c r="C12499" i="1"/>
  <c r="A12500" i="1"/>
  <c r="C12500" i="1"/>
  <c r="A12501" i="1"/>
  <c r="C12501" i="1"/>
  <c r="A12502" i="1"/>
  <c r="C12502" i="1"/>
  <c r="A12503" i="1"/>
  <c r="C12503" i="1"/>
  <c r="A12504" i="1"/>
  <c r="C12504" i="1"/>
  <c r="A12505" i="1"/>
  <c r="C12505" i="1"/>
  <c r="A12506" i="1"/>
  <c r="C12506" i="1"/>
  <c r="A12507" i="1"/>
  <c r="C12507" i="1"/>
  <c r="A12508" i="1"/>
  <c r="C12508" i="1"/>
  <c r="A12509" i="1"/>
  <c r="C12509" i="1"/>
  <c r="A12510" i="1"/>
  <c r="C12510" i="1"/>
  <c r="A12511" i="1"/>
  <c r="C12511" i="1"/>
  <c r="A12512" i="1"/>
  <c r="C12512" i="1"/>
  <c r="A12513" i="1"/>
  <c r="C12513" i="1"/>
  <c r="A12514" i="1"/>
  <c r="C12514" i="1"/>
  <c r="A12515" i="1"/>
  <c r="C12515" i="1"/>
  <c r="A12516" i="1"/>
  <c r="C12516" i="1"/>
  <c r="A12517" i="1"/>
  <c r="C12517" i="1"/>
  <c r="A12518" i="1"/>
  <c r="C12518" i="1"/>
  <c r="A12519" i="1"/>
  <c r="C12519" i="1"/>
  <c r="A12520" i="1"/>
  <c r="C12520" i="1"/>
  <c r="A12521" i="1"/>
  <c r="C12521" i="1"/>
  <c r="A12522" i="1"/>
  <c r="C12522" i="1"/>
  <c r="A12523" i="1"/>
  <c r="C12523" i="1"/>
  <c r="A12524" i="1"/>
  <c r="C12524" i="1"/>
  <c r="A12525" i="1"/>
  <c r="C12525" i="1"/>
  <c r="A12526" i="1"/>
  <c r="C12526" i="1"/>
  <c r="A12527" i="1"/>
  <c r="C12527" i="1"/>
  <c r="A12528" i="1"/>
  <c r="C12528" i="1"/>
  <c r="A12529" i="1"/>
  <c r="C12529" i="1"/>
  <c r="A12530" i="1"/>
  <c r="C12530" i="1"/>
  <c r="A12531" i="1"/>
  <c r="C12531" i="1"/>
  <c r="A12532" i="1"/>
  <c r="C12532" i="1"/>
  <c r="A12533" i="1"/>
  <c r="C12533" i="1"/>
  <c r="A12534" i="1"/>
  <c r="C12534" i="1"/>
  <c r="A12535" i="1"/>
  <c r="C12535" i="1"/>
  <c r="A12536" i="1"/>
  <c r="C12536" i="1"/>
  <c r="A12537" i="1"/>
  <c r="C12537" i="1"/>
  <c r="A12538" i="1"/>
  <c r="C12538" i="1"/>
  <c r="A12539" i="1"/>
  <c r="C12539" i="1"/>
  <c r="A12540" i="1"/>
  <c r="C12540" i="1"/>
  <c r="A12541" i="1"/>
  <c r="C12541" i="1"/>
  <c r="A12542" i="1"/>
  <c r="C12542" i="1"/>
  <c r="A12543" i="1"/>
  <c r="C12543" i="1"/>
  <c r="A12544" i="1"/>
  <c r="C12544" i="1"/>
  <c r="A12545" i="1"/>
  <c r="C12545" i="1"/>
  <c r="A12546" i="1"/>
  <c r="C12546" i="1"/>
  <c r="A12547" i="1"/>
  <c r="C12547" i="1"/>
  <c r="A12548" i="1"/>
  <c r="C12548" i="1"/>
  <c r="A12549" i="1"/>
  <c r="C12549" i="1"/>
  <c r="A12550" i="1"/>
  <c r="C12550" i="1"/>
  <c r="A12551" i="1"/>
  <c r="C12551" i="1"/>
  <c r="A12552" i="1"/>
  <c r="C12552" i="1"/>
  <c r="A12553" i="1"/>
  <c r="C12553" i="1"/>
  <c r="A12554" i="1"/>
  <c r="C12554" i="1"/>
  <c r="A12555" i="1"/>
  <c r="C12555" i="1"/>
  <c r="A12556" i="1"/>
  <c r="C12556" i="1"/>
  <c r="A12557" i="1"/>
  <c r="C12557" i="1"/>
  <c r="A12558" i="1"/>
  <c r="C12558" i="1"/>
  <c r="A12559" i="1"/>
  <c r="C12559" i="1"/>
  <c r="A12560" i="1"/>
  <c r="C12560" i="1"/>
  <c r="A12561" i="1"/>
  <c r="C12561" i="1"/>
  <c r="A12562" i="1"/>
  <c r="C12562" i="1"/>
  <c r="A12563" i="1"/>
  <c r="C12563" i="1"/>
  <c r="A12564" i="1"/>
  <c r="C12564" i="1"/>
  <c r="A12565" i="1"/>
  <c r="C12565" i="1"/>
  <c r="A12566" i="1"/>
  <c r="C12566" i="1"/>
  <c r="A12567" i="1"/>
  <c r="C12567" i="1"/>
  <c r="A12568" i="1"/>
  <c r="C12568" i="1"/>
  <c r="A12569" i="1"/>
  <c r="C12569" i="1"/>
  <c r="A12570" i="1"/>
  <c r="C12570" i="1"/>
  <c r="A12571" i="1"/>
  <c r="C12571" i="1"/>
  <c r="A12572" i="1"/>
  <c r="C12572" i="1"/>
  <c r="A12573" i="1"/>
  <c r="C12573" i="1"/>
  <c r="A12574" i="1"/>
  <c r="C12574" i="1"/>
  <c r="A12575" i="1"/>
  <c r="C12575" i="1"/>
  <c r="A12576" i="1"/>
  <c r="C12576" i="1"/>
  <c r="A12577" i="1"/>
  <c r="C12577" i="1"/>
  <c r="A12578" i="1"/>
  <c r="C12578" i="1"/>
  <c r="A12579" i="1"/>
  <c r="C12579" i="1"/>
  <c r="A12580" i="1"/>
  <c r="C12580" i="1"/>
  <c r="A12581" i="1"/>
  <c r="C12581" i="1"/>
  <c r="A12582" i="1"/>
  <c r="C12582" i="1"/>
  <c r="A12583" i="1"/>
  <c r="C12583" i="1"/>
  <c r="A12584" i="1"/>
  <c r="C12584" i="1"/>
  <c r="A12585" i="1"/>
  <c r="C12585" i="1"/>
  <c r="A12586" i="1"/>
  <c r="C12586" i="1"/>
  <c r="A12587" i="1"/>
  <c r="C12587" i="1"/>
  <c r="A12588" i="1"/>
  <c r="C12588" i="1"/>
  <c r="A12589" i="1"/>
  <c r="C12589" i="1"/>
  <c r="A12590" i="1"/>
  <c r="C12590" i="1"/>
  <c r="A12591" i="1"/>
  <c r="C12591" i="1"/>
  <c r="A12592" i="1"/>
  <c r="C12592" i="1"/>
  <c r="A12593" i="1"/>
  <c r="C12593" i="1"/>
  <c r="A12594" i="1"/>
  <c r="C12594" i="1"/>
  <c r="A12595" i="1"/>
  <c r="C12595" i="1"/>
  <c r="A12596" i="1"/>
  <c r="C12596" i="1"/>
  <c r="A12597" i="1"/>
  <c r="C12597" i="1"/>
  <c r="A12598" i="1"/>
  <c r="C12598" i="1"/>
  <c r="A12599" i="1"/>
  <c r="C12599" i="1"/>
  <c r="A12600" i="1"/>
  <c r="C12600" i="1"/>
  <c r="A12601" i="1"/>
  <c r="C12601" i="1"/>
  <c r="A12602" i="1"/>
  <c r="C12602" i="1"/>
  <c r="A12603" i="1"/>
  <c r="C12603" i="1"/>
  <c r="A12604" i="1"/>
  <c r="C12604" i="1"/>
  <c r="A12605" i="1"/>
  <c r="C12605" i="1"/>
  <c r="A12606" i="1"/>
  <c r="C12606" i="1"/>
  <c r="A12607" i="1"/>
  <c r="C12607" i="1"/>
  <c r="A12608" i="1"/>
  <c r="C12608" i="1"/>
  <c r="A12609" i="1"/>
  <c r="C12609" i="1"/>
  <c r="A12610" i="1"/>
  <c r="C12610" i="1"/>
  <c r="A12611" i="1"/>
  <c r="C12611" i="1"/>
  <c r="A12612" i="1"/>
  <c r="C12612" i="1"/>
  <c r="A12613" i="1"/>
  <c r="C12613" i="1"/>
  <c r="A12614" i="1"/>
  <c r="C12614" i="1"/>
  <c r="A12615" i="1"/>
  <c r="C12615" i="1"/>
  <c r="A12616" i="1"/>
  <c r="C12616" i="1"/>
  <c r="A12617" i="1"/>
  <c r="C12617" i="1"/>
  <c r="A12618" i="1"/>
  <c r="C12618" i="1"/>
  <c r="A12619" i="1"/>
  <c r="C12619" i="1"/>
  <c r="A12620" i="1"/>
  <c r="C12620" i="1"/>
  <c r="A12621" i="1"/>
  <c r="C12621" i="1"/>
  <c r="A12622" i="1"/>
  <c r="C12622" i="1"/>
  <c r="A12623" i="1"/>
  <c r="C12623" i="1"/>
  <c r="A12624" i="1"/>
  <c r="C12624" i="1"/>
  <c r="A12625" i="1"/>
  <c r="C12625" i="1"/>
  <c r="A12626" i="1"/>
  <c r="C12626" i="1"/>
  <c r="A12627" i="1"/>
  <c r="C12627" i="1"/>
  <c r="A12628" i="1"/>
  <c r="C12628" i="1"/>
  <c r="A12629" i="1"/>
  <c r="C12629" i="1"/>
  <c r="A12630" i="1"/>
  <c r="C12630" i="1"/>
  <c r="A12631" i="1"/>
  <c r="C12631" i="1"/>
  <c r="A12632" i="1"/>
  <c r="C12632" i="1"/>
  <c r="A12633" i="1"/>
  <c r="C12633" i="1"/>
  <c r="A12634" i="1"/>
  <c r="C12634" i="1"/>
  <c r="A12635" i="1"/>
  <c r="C12635" i="1"/>
  <c r="A12636" i="1"/>
  <c r="C12636" i="1"/>
  <c r="A12637" i="1"/>
  <c r="C12637" i="1"/>
  <c r="A12638" i="1"/>
  <c r="C12638" i="1"/>
  <c r="A12639" i="1"/>
  <c r="C12639" i="1"/>
  <c r="A12640" i="1"/>
  <c r="C12640" i="1"/>
  <c r="A12641" i="1"/>
  <c r="C12641" i="1"/>
  <c r="A12642" i="1"/>
  <c r="C12642" i="1"/>
  <c r="A12643" i="1"/>
  <c r="C12643" i="1"/>
  <c r="A12644" i="1"/>
  <c r="C12644" i="1"/>
  <c r="A12645" i="1"/>
  <c r="C12645" i="1"/>
  <c r="A12646" i="1"/>
  <c r="C12646" i="1"/>
  <c r="A12647" i="1"/>
  <c r="C12647" i="1"/>
  <c r="A12648" i="1"/>
  <c r="C12648" i="1"/>
  <c r="A12649" i="1"/>
  <c r="C12649" i="1"/>
  <c r="A12650" i="1"/>
  <c r="C12650" i="1"/>
  <c r="A12651" i="1"/>
  <c r="C12651" i="1"/>
  <c r="A12652" i="1"/>
  <c r="C12652" i="1"/>
  <c r="A12653" i="1"/>
  <c r="C12653" i="1"/>
  <c r="A12654" i="1"/>
  <c r="C12654" i="1"/>
  <c r="A12655" i="1"/>
  <c r="C12655" i="1"/>
  <c r="A12656" i="1"/>
  <c r="C12656" i="1"/>
  <c r="A12657" i="1"/>
  <c r="C12657" i="1"/>
  <c r="A12658" i="1"/>
  <c r="C12658" i="1"/>
  <c r="A12659" i="1"/>
  <c r="C12659" i="1"/>
  <c r="A12660" i="1"/>
  <c r="C12660" i="1"/>
  <c r="A12661" i="1"/>
  <c r="C12661" i="1"/>
  <c r="A12662" i="1"/>
  <c r="C12662" i="1"/>
  <c r="A12663" i="1"/>
  <c r="C12663" i="1"/>
  <c r="A12664" i="1"/>
  <c r="C12664" i="1"/>
  <c r="A12665" i="1"/>
  <c r="C12665" i="1"/>
  <c r="A12666" i="1"/>
  <c r="C12666" i="1"/>
  <c r="A12667" i="1"/>
  <c r="C12667" i="1"/>
  <c r="A12668" i="1"/>
  <c r="C12668" i="1"/>
  <c r="A12669" i="1"/>
  <c r="C12669" i="1"/>
  <c r="A12670" i="1"/>
  <c r="C12670" i="1"/>
  <c r="A12671" i="1"/>
  <c r="C12671" i="1"/>
  <c r="A12672" i="1"/>
  <c r="C12672" i="1"/>
  <c r="A12673" i="1"/>
  <c r="C12673" i="1"/>
  <c r="A12674" i="1"/>
  <c r="C12674" i="1"/>
  <c r="A12675" i="1"/>
  <c r="C12675" i="1"/>
  <c r="A12676" i="1"/>
  <c r="C12676" i="1"/>
  <c r="A12677" i="1"/>
  <c r="C12677" i="1"/>
  <c r="A12678" i="1"/>
  <c r="C12678" i="1"/>
  <c r="A12679" i="1"/>
  <c r="C12679" i="1"/>
  <c r="A12680" i="1"/>
  <c r="C12680" i="1"/>
  <c r="A12681" i="1"/>
  <c r="C12681" i="1"/>
  <c r="A12682" i="1"/>
  <c r="C12682" i="1"/>
  <c r="A12683" i="1"/>
  <c r="C12683" i="1"/>
  <c r="A12684" i="1"/>
  <c r="C12684" i="1"/>
  <c r="A12685" i="1"/>
  <c r="C12685" i="1"/>
  <c r="A12686" i="1"/>
  <c r="C12686" i="1"/>
  <c r="A12687" i="1"/>
  <c r="C12687" i="1"/>
  <c r="A12688" i="1"/>
  <c r="C12688" i="1"/>
  <c r="A12689" i="1"/>
  <c r="C12689" i="1"/>
  <c r="A12690" i="1"/>
  <c r="C12690" i="1"/>
  <c r="A12691" i="1"/>
  <c r="C12691" i="1"/>
  <c r="A12692" i="1"/>
  <c r="C12692" i="1"/>
  <c r="A12693" i="1"/>
  <c r="C12693" i="1"/>
  <c r="A12694" i="1"/>
  <c r="C12694" i="1"/>
  <c r="A12695" i="1"/>
  <c r="C12695" i="1"/>
  <c r="A12696" i="1"/>
  <c r="C12696" i="1"/>
  <c r="A12697" i="1"/>
  <c r="C12697" i="1"/>
  <c r="A12698" i="1"/>
  <c r="C12698" i="1"/>
  <c r="A12699" i="1"/>
  <c r="C12699" i="1"/>
  <c r="A12700" i="1"/>
  <c r="C12700" i="1"/>
  <c r="A12701" i="1"/>
  <c r="C12701" i="1"/>
  <c r="A12702" i="1"/>
  <c r="C12702" i="1"/>
  <c r="A12703" i="1"/>
  <c r="C12703" i="1"/>
  <c r="A12704" i="1"/>
  <c r="C12704" i="1"/>
  <c r="A12705" i="1"/>
  <c r="C12705" i="1"/>
  <c r="A12706" i="1"/>
  <c r="C12706" i="1"/>
  <c r="A12707" i="1"/>
  <c r="C12707" i="1"/>
  <c r="A12708" i="1"/>
  <c r="C12708" i="1"/>
  <c r="A12709" i="1"/>
  <c r="C12709" i="1"/>
  <c r="A12710" i="1"/>
  <c r="C12710" i="1"/>
  <c r="A12711" i="1"/>
  <c r="C12711" i="1"/>
  <c r="A12712" i="1"/>
  <c r="C12712" i="1"/>
  <c r="A12713" i="1"/>
  <c r="C12713" i="1"/>
  <c r="A12714" i="1"/>
  <c r="C12714" i="1"/>
  <c r="A12715" i="1"/>
  <c r="C12715" i="1"/>
  <c r="A12716" i="1"/>
  <c r="C12716" i="1"/>
  <c r="A12717" i="1"/>
  <c r="C12717" i="1"/>
  <c r="A12718" i="1"/>
  <c r="C12718" i="1"/>
  <c r="A12719" i="1"/>
  <c r="C12719" i="1"/>
  <c r="A12720" i="1"/>
  <c r="C12720" i="1"/>
  <c r="A12721" i="1"/>
  <c r="C12721" i="1"/>
  <c r="A12722" i="1"/>
  <c r="C12722" i="1"/>
  <c r="A12723" i="1"/>
  <c r="C12723" i="1"/>
  <c r="A12724" i="1"/>
  <c r="C12724" i="1"/>
  <c r="A12725" i="1"/>
  <c r="C12725" i="1"/>
  <c r="A12726" i="1"/>
  <c r="C12726" i="1"/>
  <c r="A12727" i="1"/>
  <c r="C12727" i="1"/>
  <c r="A12728" i="1"/>
  <c r="C12728" i="1"/>
  <c r="A12729" i="1"/>
  <c r="C12729" i="1"/>
  <c r="A12730" i="1"/>
  <c r="C12730" i="1"/>
  <c r="A12731" i="1"/>
  <c r="C12731" i="1"/>
  <c r="A12732" i="1"/>
  <c r="C12732" i="1"/>
  <c r="A12733" i="1"/>
  <c r="C12733" i="1"/>
  <c r="A12734" i="1"/>
  <c r="C12734" i="1"/>
  <c r="A12735" i="1"/>
  <c r="C12735" i="1"/>
  <c r="A12736" i="1"/>
  <c r="C12736" i="1"/>
  <c r="A12737" i="1"/>
  <c r="C12737" i="1"/>
  <c r="A12738" i="1"/>
  <c r="C12738" i="1"/>
  <c r="A12739" i="1"/>
  <c r="C12739" i="1"/>
  <c r="A12740" i="1"/>
  <c r="C12740" i="1"/>
  <c r="A12741" i="1"/>
  <c r="C12741" i="1"/>
  <c r="A12742" i="1"/>
  <c r="C12742" i="1"/>
  <c r="A12743" i="1"/>
  <c r="C12743" i="1"/>
  <c r="A12744" i="1"/>
  <c r="C12744" i="1"/>
  <c r="A12745" i="1"/>
  <c r="C12745" i="1"/>
  <c r="A12746" i="1"/>
  <c r="C12746" i="1"/>
  <c r="A12747" i="1"/>
  <c r="C12747" i="1"/>
  <c r="A12748" i="1"/>
  <c r="C12748" i="1"/>
  <c r="A12749" i="1"/>
  <c r="C12749" i="1"/>
  <c r="A12750" i="1"/>
  <c r="C12750" i="1"/>
  <c r="A12751" i="1"/>
  <c r="C12751" i="1"/>
  <c r="A12752" i="1"/>
  <c r="C12752" i="1"/>
  <c r="A12753" i="1"/>
  <c r="C12753" i="1"/>
  <c r="A12754" i="1"/>
  <c r="C12754" i="1"/>
  <c r="A12755" i="1"/>
  <c r="C12755" i="1"/>
  <c r="A12756" i="1"/>
  <c r="C12756" i="1"/>
  <c r="A12757" i="1"/>
  <c r="C12757" i="1"/>
  <c r="A12758" i="1"/>
  <c r="C12758" i="1"/>
  <c r="A12759" i="1"/>
  <c r="C12759" i="1"/>
  <c r="A12760" i="1"/>
  <c r="C12760" i="1"/>
  <c r="A12761" i="1"/>
  <c r="C12761" i="1"/>
  <c r="A12762" i="1"/>
  <c r="C12762" i="1"/>
  <c r="A12763" i="1"/>
  <c r="C12763" i="1"/>
  <c r="A12764" i="1"/>
  <c r="C12764" i="1"/>
  <c r="A12765" i="1"/>
  <c r="C12765" i="1"/>
  <c r="A12766" i="1"/>
  <c r="C12766" i="1"/>
  <c r="A12767" i="1"/>
  <c r="C12767" i="1"/>
  <c r="A12768" i="1"/>
  <c r="C12768" i="1"/>
  <c r="A12769" i="1"/>
  <c r="C12769" i="1"/>
  <c r="A12770" i="1"/>
  <c r="C12770" i="1"/>
  <c r="A12771" i="1"/>
  <c r="C12771" i="1"/>
  <c r="A12772" i="1"/>
  <c r="C12772" i="1"/>
  <c r="A12773" i="1"/>
  <c r="C12773" i="1"/>
  <c r="A12774" i="1"/>
  <c r="C12774" i="1"/>
  <c r="A12775" i="1"/>
  <c r="C12775" i="1"/>
  <c r="A12776" i="1"/>
  <c r="C12776" i="1"/>
  <c r="A12777" i="1"/>
  <c r="C12777" i="1"/>
  <c r="A12778" i="1"/>
  <c r="C12778" i="1"/>
  <c r="A12779" i="1"/>
  <c r="C12779" i="1"/>
  <c r="A12780" i="1"/>
  <c r="C12780" i="1"/>
  <c r="A12781" i="1"/>
  <c r="C12781" i="1"/>
  <c r="A12782" i="1"/>
  <c r="C12782" i="1"/>
  <c r="A12783" i="1"/>
  <c r="C12783" i="1"/>
  <c r="A12784" i="1"/>
  <c r="C12784" i="1"/>
  <c r="A12785" i="1"/>
  <c r="C12785" i="1"/>
  <c r="A12786" i="1"/>
  <c r="C12786" i="1"/>
  <c r="A12787" i="1"/>
  <c r="C12787" i="1"/>
  <c r="A12788" i="1"/>
  <c r="C12788" i="1"/>
  <c r="A12789" i="1"/>
  <c r="C12789" i="1"/>
  <c r="A12790" i="1"/>
  <c r="C12790" i="1"/>
  <c r="A12791" i="1"/>
  <c r="C12791" i="1"/>
  <c r="A12792" i="1"/>
  <c r="C12792" i="1"/>
  <c r="A12793" i="1"/>
  <c r="C12793" i="1"/>
  <c r="A12794" i="1"/>
  <c r="C12794" i="1"/>
  <c r="A12795" i="1"/>
  <c r="C12795" i="1"/>
  <c r="A12796" i="1"/>
  <c r="C12796" i="1"/>
  <c r="A12797" i="1"/>
  <c r="C12797" i="1"/>
  <c r="A12798" i="1"/>
  <c r="C12798" i="1"/>
  <c r="A12799" i="1"/>
  <c r="C12799" i="1"/>
  <c r="A12800" i="1"/>
  <c r="C12800" i="1"/>
  <c r="A12801" i="1"/>
  <c r="C12801" i="1"/>
  <c r="A12802" i="1"/>
  <c r="C12802" i="1"/>
  <c r="A12803" i="1"/>
  <c r="C12803" i="1"/>
  <c r="A12804" i="1"/>
  <c r="C12804" i="1"/>
  <c r="A12805" i="1"/>
  <c r="C12805" i="1"/>
  <c r="A12806" i="1"/>
  <c r="C12806" i="1"/>
  <c r="A12807" i="1"/>
  <c r="C12807" i="1"/>
  <c r="A12808" i="1"/>
  <c r="C12808" i="1"/>
  <c r="A12809" i="1"/>
  <c r="C12809" i="1"/>
  <c r="A12810" i="1"/>
  <c r="C12810" i="1"/>
  <c r="A12811" i="1"/>
  <c r="C12811" i="1"/>
  <c r="A12812" i="1"/>
  <c r="C12812" i="1"/>
  <c r="A12813" i="1"/>
  <c r="C12813" i="1"/>
  <c r="A12814" i="1"/>
  <c r="C12814" i="1"/>
  <c r="A12815" i="1"/>
  <c r="C12815" i="1"/>
  <c r="A12816" i="1"/>
  <c r="C12816" i="1"/>
  <c r="A12817" i="1"/>
  <c r="C12817" i="1"/>
  <c r="A12818" i="1"/>
  <c r="C12818" i="1"/>
  <c r="A12819" i="1"/>
  <c r="C12819" i="1"/>
  <c r="A12820" i="1"/>
  <c r="C12820" i="1"/>
  <c r="A12821" i="1"/>
  <c r="C12821" i="1"/>
  <c r="A12822" i="1"/>
  <c r="C12822" i="1"/>
  <c r="A12823" i="1"/>
  <c r="C12823" i="1"/>
  <c r="A12824" i="1"/>
  <c r="C12824" i="1"/>
  <c r="A12825" i="1"/>
  <c r="C12825" i="1"/>
  <c r="A12826" i="1"/>
  <c r="C12826" i="1"/>
  <c r="A12827" i="1"/>
  <c r="C12827" i="1"/>
  <c r="A12828" i="1"/>
  <c r="C12828" i="1"/>
  <c r="A12829" i="1"/>
  <c r="C12829" i="1"/>
  <c r="A12830" i="1"/>
  <c r="C12830" i="1"/>
  <c r="A12831" i="1"/>
  <c r="C12831" i="1"/>
  <c r="A12832" i="1"/>
  <c r="C12832" i="1"/>
  <c r="A12833" i="1"/>
  <c r="C12833" i="1"/>
  <c r="A12834" i="1"/>
  <c r="C12834" i="1"/>
  <c r="A12835" i="1"/>
  <c r="C12835" i="1"/>
  <c r="A12836" i="1"/>
  <c r="C12836" i="1"/>
  <c r="A12837" i="1"/>
  <c r="C12837" i="1"/>
  <c r="A12838" i="1"/>
  <c r="C12838" i="1"/>
  <c r="A12839" i="1"/>
  <c r="C12839" i="1"/>
  <c r="A12840" i="1"/>
  <c r="C12840" i="1"/>
  <c r="A12841" i="1"/>
  <c r="C12841" i="1"/>
  <c r="A12842" i="1"/>
  <c r="C12842" i="1"/>
  <c r="A12843" i="1"/>
  <c r="C12843" i="1"/>
  <c r="A12844" i="1"/>
  <c r="C12844" i="1"/>
  <c r="A12845" i="1"/>
  <c r="C12845" i="1"/>
  <c r="A12846" i="1"/>
  <c r="C12846" i="1"/>
  <c r="A12847" i="1"/>
  <c r="C12847" i="1"/>
  <c r="A12848" i="1"/>
  <c r="C12848" i="1"/>
  <c r="A12849" i="1"/>
  <c r="C12849" i="1"/>
  <c r="A12850" i="1"/>
  <c r="C12850" i="1"/>
  <c r="A12851" i="1"/>
  <c r="C12851" i="1"/>
  <c r="A12852" i="1"/>
  <c r="C12852" i="1"/>
  <c r="A12853" i="1"/>
  <c r="C12853" i="1"/>
  <c r="A12854" i="1"/>
  <c r="C12854" i="1"/>
  <c r="A12855" i="1"/>
  <c r="C12855" i="1"/>
  <c r="A12856" i="1"/>
  <c r="C12856" i="1"/>
  <c r="A12857" i="1"/>
  <c r="C12857" i="1"/>
  <c r="A12858" i="1"/>
  <c r="C12858" i="1"/>
  <c r="A12859" i="1"/>
  <c r="C12859" i="1"/>
  <c r="A12860" i="1"/>
  <c r="C12860" i="1"/>
  <c r="A12861" i="1"/>
  <c r="C12861" i="1"/>
  <c r="A12862" i="1"/>
  <c r="C12862" i="1"/>
  <c r="A12863" i="1"/>
  <c r="C12863" i="1"/>
  <c r="A12864" i="1"/>
  <c r="C12864" i="1"/>
  <c r="A12865" i="1"/>
  <c r="C12865" i="1"/>
  <c r="A12866" i="1"/>
  <c r="C12866" i="1"/>
  <c r="A12867" i="1"/>
  <c r="C12867" i="1"/>
  <c r="A12868" i="1"/>
  <c r="C12868" i="1"/>
  <c r="A12869" i="1"/>
  <c r="C12869" i="1"/>
  <c r="A12870" i="1"/>
  <c r="C12870" i="1"/>
  <c r="A12871" i="1"/>
  <c r="C12871" i="1"/>
  <c r="A12872" i="1"/>
  <c r="C12872" i="1"/>
  <c r="A12873" i="1"/>
  <c r="C12873" i="1"/>
  <c r="A12874" i="1"/>
  <c r="C12874" i="1"/>
  <c r="A12875" i="1"/>
  <c r="C12875" i="1"/>
  <c r="A12876" i="1"/>
  <c r="C12876" i="1"/>
  <c r="A12877" i="1"/>
  <c r="C12877" i="1"/>
  <c r="A12878" i="1"/>
  <c r="C12878" i="1"/>
  <c r="A12879" i="1"/>
  <c r="C12879" i="1"/>
  <c r="A12880" i="1"/>
  <c r="C12880" i="1"/>
  <c r="A12881" i="1"/>
  <c r="C12881" i="1"/>
  <c r="A12882" i="1"/>
  <c r="C12882" i="1"/>
  <c r="A12883" i="1"/>
  <c r="C12883" i="1"/>
  <c r="A12884" i="1"/>
  <c r="C12884" i="1"/>
  <c r="A12885" i="1"/>
  <c r="C12885" i="1"/>
  <c r="A12886" i="1"/>
  <c r="C12886" i="1"/>
  <c r="A12887" i="1"/>
  <c r="C12887" i="1"/>
  <c r="A12888" i="1"/>
  <c r="C12888" i="1"/>
  <c r="A12889" i="1"/>
  <c r="C12889" i="1"/>
  <c r="A12890" i="1"/>
  <c r="C12890" i="1"/>
  <c r="A12891" i="1"/>
  <c r="C12891" i="1"/>
  <c r="A12892" i="1"/>
  <c r="C12892" i="1"/>
  <c r="A12893" i="1"/>
  <c r="C12893" i="1"/>
  <c r="A12894" i="1"/>
  <c r="C12894" i="1"/>
  <c r="A12895" i="1"/>
  <c r="C12895" i="1"/>
  <c r="A12896" i="1"/>
  <c r="C12896" i="1"/>
  <c r="A12897" i="1"/>
  <c r="C12897" i="1"/>
  <c r="A12898" i="1"/>
  <c r="C12898" i="1"/>
  <c r="A12899" i="1"/>
  <c r="C12899" i="1"/>
  <c r="A12900" i="1"/>
  <c r="C12900" i="1"/>
  <c r="A12901" i="1"/>
  <c r="C12901" i="1"/>
  <c r="A12902" i="1"/>
  <c r="C12902" i="1"/>
  <c r="A12903" i="1"/>
  <c r="C12903" i="1"/>
  <c r="A12904" i="1"/>
  <c r="C12904" i="1"/>
  <c r="A12905" i="1"/>
  <c r="C12905" i="1"/>
  <c r="A12906" i="1"/>
  <c r="C12906" i="1"/>
  <c r="A12907" i="1"/>
  <c r="C12907" i="1"/>
  <c r="A12908" i="1"/>
  <c r="C12908" i="1"/>
  <c r="A12909" i="1"/>
  <c r="C12909" i="1"/>
  <c r="A12910" i="1"/>
  <c r="C12910" i="1"/>
  <c r="A12911" i="1"/>
  <c r="C12911" i="1"/>
  <c r="A12912" i="1"/>
  <c r="C12912" i="1"/>
  <c r="A12913" i="1"/>
  <c r="C12913" i="1"/>
  <c r="A12914" i="1"/>
  <c r="C12914" i="1"/>
  <c r="A12915" i="1"/>
  <c r="C12915" i="1"/>
  <c r="A12916" i="1"/>
  <c r="C12916" i="1"/>
  <c r="A12917" i="1"/>
  <c r="C12917" i="1"/>
  <c r="A12918" i="1"/>
  <c r="C12918" i="1"/>
  <c r="A12919" i="1"/>
  <c r="C12919" i="1"/>
  <c r="A12920" i="1"/>
  <c r="C12920" i="1"/>
  <c r="A12921" i="1"/>
  <c r="C12921" i="1"/>
  <c r="A12922" i="1"/>
  <c r="C12922" i="1"/>
  <c r="A12923" i="1"/>
  <c r="C12923" i="1"/>
  <c r="A12924" i="1"/>
  <c r="C12924" i="1"/>
  <c r="A12925" i="1"/>
  <c r="C12925" i="1"/>
  <c r="A12926" i="1"/>
  <c r="C12926" i="1"/>
  <c r="A12927" i="1"/>
  <c r="C12927" i="1"/>
  <c r="A12928" i="1"/>
  <c r="C12928" i="1"/>
  <c r="A12929" i="1"/>
  <c r="C12929" i="1"/>
  <c r="A12930" i="1"/>
  <c r="C12930" i="1"/>
  <c r="A12931" i="1"/>
  <c r="C12931" i="1"/>
  <c r="A12932" i="1"/>
  <c r="C12932" i="1"/>
  <c r="A12933" i="1"/>
  <c r="C12933" i="1"/>
  <c r="A12934" i="1"/>
  <c r="C12934" i="1"/>
  <c r="A12935" i="1"/>
  <c r="C12935" i="1"/>
  <c r="A12936" i="1"/>
  <c r="C12936" i="1"/>
  <c r="A12937" i="1"/>
  <c r="C12937" i="1"/>
  <c r="A12938" i="1"/>
  <c r="C12938" i="1"/>
  <c r="A12939" i="1"/>
  <c r="C12939" i="1"/>
  <c r="A12940" i="1"/>
  <c r="C12940" i="1"/>
  <c r="A12941" i="1"/>
  <c r="C12941" i="1"/>
  <c r="A12942" i="1"/>
  <c r="C12942" i="1"/>
  <c r="A12943" i="1"/>
  <c r="C12943" i="1"/>
  <c r="A12944" i="1"/>
  <c r="C12944" i="1"/>
  <c r="A12945" i="1"/>
  <c r="C12945" i="1"/>
  <c r="A12946" i="1"/>
  <c r="C12946" i="1"/>
  <c r="A12947" i="1"/>
  <c r="C12947" i="1"/>
  <c r="A12948" i="1"/>
  <c r="C12948" i="1"/>
  <c r="A12949" i="1"/>
  <c r="C12949" i="1"/>
  <c r="A12950" i="1"/>
  <c r="C12950" i="1"/>
  <c r="A12951" i="1"/>
  <c r="C12951" i="1"/>
  <c r="A12952" i="1"/>
  <c r="C12952" i="1"/>
  <c r="A12953" i="1"/>
  <c r="C12953" i="1"/>
  <c r="A12954" i="1"/>
  <c r="C12954" i="1"/>
  <c r="A12955" i="1"/>
  <c r="C12955" i="1"/>
  <c r="A12956" i="1"/>
  <c r="C12956" i="1"/>
  <c r="A12957" i="1"/>
  <c r="C12957" i="1"/>
  <c r="A12958" i="1"/>
  <c r="C12958" i="1"/>
  <c r="A12959" i="1"/>
  <c r="C12959" i="1"/>
  <c r="A12960" i="1"/>
  <c r="C12960" i="1"/>
  <c r="A12961" i="1"/>
  <c r="C12961" i="1"/>
  <c r="A12962" i="1"/>
  <c r="C12962" i="1"/>
  <c r="A12963" i="1"/>
  <c r="C12963" i="1"/>
  <c r="A12964" i="1"/>
  <c r="C12964" i="1"/>
  <c r="A12965" i="1"/>
  <c r="C12965" i="1"/>
  <c r="A12966" i="1"/>
  <c r="C12966" i="1"/>
  <c r="A12967" i="1"/>
  <c r="C12967" i="1"/>
  <c r="A12968" i="1"/>
  <c r="C12968" i="1"/>
  <c r="A12969" i="1"/>
  <c r="C12969" i="1"/>
  <c r="A12970" i="1"/>
  <c r="C12970" i="1"/>
  <c r="A12971" i="1"/>
  <c r="C12971" i="1"/>
  <c r="A12972" i="1"/>
  <c r="C12972" i="1"/>
  <c r="A12973" i="1"/>
  <c r="C12973" i="1"/>
  <c r="A12974" i="1"/>
  <c r="C12974" i="1"/>
  <c r="A12975" i="1"/>
  <c r="C12975" i="1"/>
  <c r="A12976" i="1"/>
  <c r="C12976" i="1"/>
  <c r="A12977" i="1"/>
  <c r="C12977" i="1"/>
  <c r="A12978" i="1"/>
  <c r="C12978" i="1"/>
  <c r="A12979" i="1"/>
  <c r="C12979" i="1"/>
  <c r="A12980" i="1"/>
  <c r="C12980" i="1"/>
  <c r="A12981" i="1"/>
  <c r="C12981" i="1"/>
  <c r="A12982" i="1"/>
  <c r="C12982" i="1"/>
  <c r="A12983" i="1"/>
  <c r="C12983" i="1"/>
  <c r="A12984" i="1"/>
  <c r="C12984" i="1"/>
  <c r="A12985" i="1"/>
  <c r="C12985" i="1"/>
  <c r="A12986" i="1"/>
  <c r="C12986" i="1"/>
  <c r="A12987" i="1"/>
  <c r="C12987" i="1"/>
  <c r="A12988" i="1"/>
  <c r="C12988" i="1"/>
  <c r="A12989" i="1"/>
  <c r="C12989" i="1"/>
  <c r="A12990" i="1"/>
  <c r="C12990" i="1"/>
  <c r="A12991" i="1"/>
  <c r="C12991" i="1"/>
  <c r="A12992" i="1"/>
  <c r="C12992" i="1"/>
  <c r="A12993" i="1"/>
  <c r="C12993" i="1"/>
  <c r="A12994" i="1"/>
  <c r="C12994" i="1"/>
  <c r="A12995" i="1"/>
  <c r="C12995" i="1"/>
  <c r="A12996" i="1"/>
  <c r="C12996" i="1"/>
  <c r="A12997" i="1"/>
  <c r="C12997" i="1"/>
  <c r="A12998" i="1"/>
  <c r="C12998" i="1"/>
  <c r="A12999" i="1"/>
  <c r="C12999" i="1"/>
  <c r="A13000" i="1"/>
  <c r="C13000" i="1"/>
  <c r="A13001" i="1"/>
  <c r="C13001" i="1"/>
  <c r="A13002" i="1"/>
  <c r="C13002" i="1"/>
  <c r="A13003" i="1"/>
  <c r="C13003" i="1"/>
  <c r="A13004" i="1"/>
  <c r="C13004" i="1"/>
  <c r="A13005" i="1"/>
  <c r="C13005" i="1"/>
  <c r="A13006" i="1"/>
  <c r="C13006" i="1"/>
  <c r="A13007" i="1"/>
  <c r="C13007" i="1"/>
  <c r="A13008" i="1"/>
  <c r="C13008" i="1"/>
  <c r="A13009" i="1"/>
  <c r="C13009" i="1"/>
  <c r="A13010" i="1"/>
  <c r="C13010" i="1"/>
  <c r="A13011" i="1"/>
  <c r="C13011" i="1"/>
  <c r="A13012" i="1"/>
  <c r="C13012" i="1"/>
  <c r="A13013" i="1"/>
  <c r="C13013" i="1"/>
  <c r="A13014" i="1"/>
  <c r="C13014" i="1"/>
  <c r="A13015" i="1"/>
  <c r="C13015" i="1"/>
  <c r="A13016" i="1"/>
  <c r="C13016" i="1"/>
  <c r="A13017" i="1"/>
  <c r="C13017" i="1"/>
  <c r="A13018" i="1"/>
  <c r="C13018" i="1"/>
  <c r="A13019" i="1"/>
  <c r="C13019" i="1"/>
  <c r="A13020" i="1"/>
  <c r="C13020" i="1"/>
  <c r="A13021" i="1"/>
  <c r="C13021" i="1"/>
  <c r="A13022" i="1"/>
  <c r="C13022" i="1"/>
  <c r="A13023" i="1"/>
  <c r="C13023" i="1"/>
  <c r="A13024" i="1"/>
  <c r="C13024" i="1"/>
  <c r="A13025" i="1"/>
  <c r="C13025" i="1"/>
  <c r="A13026" i="1"/>
  <c r="C13026" i="1"/>
  <c r="A13027" i="1"/>
  <c r="C13027" i="1"/>
  <c r="A13028" i="1"/>
  <c r="C13028" i="1"/>
  <c r="A13029" i="1"/>
  <c r="C13029" i="1"/>
  <c r="A13030" i="1"/>
  <c r="C13030" i="1"/>
  <c r="A13031" i="1"/>
  <c r="C13031" i="1"/>
  <c r="A13032" i="1"/>
  <c r="C13032" i="1"/>
  <c r="A13033" i="1"/>
  <c r="C13033" i="1"/>
  <c r="A13034" i="1"/>
  <c r="C13034" i="1"/>
  <c r="A13035" i="1"/>
  <c r="C13035" i="1"/>
  <c r="A13036" i="1"/>
  <c r="C13036" i="1"/>
  <c r="A13037" i="1"/>
  <c r="C13037" i="1"/>
  <c r="A13038" i="1"/>
  <c r="C13038" i="1"/>
  <c r="A13039" i="1"/>
  <c r="C13039" i="1"/>
  <c r="A13040" i="1"/>
  <c r="C13040" i="1"/>
  <c r="A13041" i="1"/>
  <c r="C13041" i="1"/>
  <c r="A13042" i="1"/>
  <c r="C13042" i="1"/>
  <c r="A13043" i="1"/>
  <c r="C13043" i="1"/>
  <c r="A13044" i="1"/>
  <c r="C13044" i="1"/>
  <c r="A13045" i="1"/>
  <c r="C13045" i="1"/>
  <c r="A13046" i="1"/>
  <c r="C13046" i="1"/>
  <c r="A13047" i="1"/>
  <c r="C13047" i="1"/>
  <c r="A13048" i="1"/>
  <c r="C13048" i="1"/>
  <c r="A13049" i="1"/>
  <c r="C13049" i="1"/>
  <c r="A13050" i="1"/>
  <c r="C13050" i="1"/>
  <c r="A13051" i="1"/>
  <c r="C13051" i="1"/>
  <c r="A13052" i="1"/>
  <c r="C13052" i="1"/>
  <c r="A13053" i="1"/>
  <c r="C13053" i="1"/>
  <c r="A13054" i="1"/>
  <c r="C13054" i="1"/>
  <c r="A13055" i="1"/>
  <c r="C13055" i="1"/>
  <c r="A13056" i="1"/>
  <c r="C13056" i="1"/>
  <c r="A13057" i="1"/>
  <c r="C13057" i="1"/>
  <c r="A13058" i="1"/>
  <c r="C13058" i="1"/>
  <c r="A13059" i="1"/>
  <c r="C13059" i="1"/>
  <c r="A13060" i="1"/>
  <c r="C13060" i="1"/>
  <c r="A13061" i="1"/>
  <c r="C13061" i="1"/>
  <c r="A13062" i="1"/>
  <c r="C13062" i="1"/>
  <c r="A13063" i="1"/>
  <c r="C13063" i="1"/>
  <c r="A13064" i="1"/>
  <c r="C13064" i="1"/>
  <c r="A13065" i="1"/>
  <c r="C13065" i="1"/>
  <c r="A13066" i="1"/>
  <c r="C13066" i="1"/>
  <c r="A13067" i="1"/>
  <c r="C13067" i="1"/>
  <c r="A13068" i="1"/>
  <c r="C13068" i="1"/>
  <c r="A13069" i="1"/>
  <c r="C13069" i="1"/>
  <c r="A13070" i="1"/>
  <c r="C13070" i="1"/>
  <c r="A13071" i="1"/>
  <c r="C13071" i="1"/>
  <c r="A13072" i="1"/>
  <c r="C13072" i="1"/>
  <c r="A13073" i="1"/>
  <c r="C13073" i="1"/>
  <c r="A13074" i="1"/>
  <c r="C13074" i="1"/>
  <c r="A13075" i="1"/>
  <c r="C13075" i="1"/>
  <c r="A13076" i="1"/>
  <c r="C13076" i="1"/>
  <c r="A13077" i="1"/>
  <c r="C13077" i="1"/>
  <c r="A13078" i="1"/>
  <c r="C13078" i="1"/>
  <c r="A13079" i="1"/>
  <c r="C13079" i="1"/>
  <c r="A13080" i="1"/>
  <c r="C13080" i="1"/>
  <c r="A13081" i="1"/>
  <c r="C13081" i="1"/>
  <c r="A13082" i="1"/>
  <c r="C13082" i="1"/>
  <c r="A13083" i="1"/>
  <c r="C13083" i="1"/>
  <c r="A13084" i="1"/>
  <c r="C13084" i="1"/>
  <c r="A13085" i="1"/>
  <c r="C13085" i="1"/>
  <c r="A13086" i="1"/>
  <c r="C13086" i="1"/>
  <c r="A13087" i="1"/>
  <c r="C13087" i="1"/>
  <c r="A13088" i="1"/>
  <c r="C13088" i="1"/>
  <c r="A13089" i="1"/>
  <c r="C13089" i="1"/>
  <c r="A13090" i="1"/>
  <c r="C13090" i="1"/>
  <c r="A13091" i="1"/>
  <c r="C13091" i="1"/>
  <c r="A13092" i="1"/>
  <c r="C13092" i="1"/>
  <c r="A13093" i="1"/>
  <c r="C13093" i="1"/>
  <c r="A13094" i="1"/>
  <c r="C13094" i="1"/>
  <c r="A13095" i="1"/>
  <c r="C13095" i="1"/>
  <c r="A13096" i="1"/>
  <c r="C13096" i="1"/>
  <c r="A13097" i="1"/>
  <c r="C13097" i="1"/>
  <c r="A13098" i="1"/>
  <c r="C13098" i="1"/>
  <c r="A13099" i="1"/>
  <c r="C13099" i="1"/>
  <c r="A13100" i="1"/>
  <c r="C13100" i="1"/>
  <c r="A13101" i="1"/>
  <c r="C13101" i="1"/>
  <c r="A13102" i="1"/>
  <c r="C13102" i="1"/>
  <c r="A13103" i="1"/>
  <c r="C13103" i="1"/>
  <c r="A13104" i="1"/>
  <c r="C13104" i="1"/>
  <c r="A13105" i="1"/>
  <c r="C13105" i="1"/>
  <c r="A13106" i="1"/>
  <c r="C13106" i="1"/>
  <c r="A13107" i="1"/>
  <c r="C13107" i="1"/>
  <c r="A13108" i="1"/>
  <c r="C13108" i="1"/>
  <c r="A13109" i="1"/>
  <c r="C13109" i="1"/>
  <c r="A13110" i="1"/>
  <c r="C13110" i="1"/>
  <c r="A13111" i="1"/>
  <c r="C13111" i="1"/>
  <c r="A13112" i="1"/>
  <c r="C13112" i="1"/>
  <c r="A13113" i="1"/>
  <c r="C13113" i="1"/>
  <c r="A13114" i="1"/>
  <c r="C13114" i="1"/>
  <c r="A13115" i="1"/>
  <c r="C13115" i="1"/>
  <c r="A13116" i="1"/>
  <c r="C13116" i="1"/>
  <c r="A13117" i="1"/>
  <c r="C13117" i="1"/>
  <c r="A13118" i="1"/>
  <c r="C13118" i="1"/>
  <c r="A13119" i="1"/>
  <c r="C13119" i="1"/>
  <c r="A13120" i="1"/>
  <c r="C13120" i="1"/>
  <c r="A13121" i="1"/>
  <c r="C13121" i="1"/>
  <c r="A13122" i="1"/>
  <c r="C13122" i="1"/>
  <c r="A13123" i="1"/>
  <c r="C13123" i="1"/>
  <c r="A13124" i="1"/>
  <c r="C13124" i="1"/>
  <c r="A13125" i="1"/>
  <c r="C13125" i="1"/>
  <c r="A13126" i="1"/>
  <c r="C13126" i="1"/>
  <c r="A13127" i="1"/>
  <c r="C13127" i="1"/>
  <c r="A13128" i="1"/>
  <c r="C13128" i="1"/>
  <c r="A13129" i="1"/>
  <c r="C13129" i="1"/>
  <c r="A13130" i="1"/>
  <c r="C13130" i="1"/>
  <c r="A13131" i="1"/>
  <c r="C13131" i="1"/>
  <c r="A13132" i="1"/>
  <c r="C13132" i="1"/>
  <c r="A13133" i="1"/>
  <c r="C13133" i="1"/>
  <c r="A13134" i="1"/>
  <c r="C13134" i="1"/>
  <c r="A13135" i="1"/>
  <c r="C13135" i="1"/>
  <c r="A13136" i="1"/>
  <c r="C13136" i="1"/>
  <c r="A13137" i="1"/>
  <c r="C13137" i="1"/>
  <c r="A13138" i="1"/>
  <c r="C13138" i="1"/>
  <c r="A13139" i="1"/>
  <c r="C13139" i="1"/>
  <c r="A13140" i="1"/>
  <c r="C13140" i="1"/>
  <c r="A13141" i="1"/>
  <c r="C13141" i="1"/>
  <c r="A13142" i="1"/>
  <c r="C13142" i="1"/>
  <c r="A13143" i="1"/>
  <c r="C13143" i="1"/>
  <c r="A13144" i="1"/>
  <c r="C13144" i="1"/>
  <c r="A13145" i="1"/>
  <c r="C13145" i="1"/>
  <c r="A13146" i="1"/>
  <c r="C13146" i="1"/>
  <c r="A13147" i="1"/>
  <c r="C13147" i="1"/>
  <c r="A13148" i="1"/>
  <c r="C13148" i="1"/>
  <c r="A13149" i="1"/>
  <c r="C13149" i="1"/>
  <c r="A13150" i="1"/>
  <c r="C13150" i="1"/>
  <c r="A13151" i="1"/>
  <c r="C13151" i="1"/>
  <c r="A13152" i="1"/>
  <c r="C13152" i="1"/>
  <c r="A13153" i="1"/>
  <c r="C13153" i="1"/>
  <c r="A13154" i="1"/>
  <c r="C13154" i="1"/>
  <c r="A13155" i="1"/>
  <c r="C13155" i="1"/>
  <c r="A13156" i="1"/>
  <c r="C13156" i="1"/>
  <c r="A13157" i="1"/>
  <c r="C13157" i="1"/>
  <c r="A13158" i="1"/>
  <c r="C13158" i="1"/>
  <c r="A13159" i="1"/>
  <c r="C13159" i="1"/>
  <c r="A13160" i="1"/>
  <c r="C13160" i="1"/>
  <c r="A13161" i="1"/>
  <c r="C13161" i="1"/>
  <c r="A13162" i="1"/>
  <c r="C13162" i="1"/>
  <c r="A13163" i="1"/>
  <c r="C13163" i="1"/>
  <c r="A13164" i="1"/>
  <c r="C13164" i="1"/>
  <c r="A13165" i="1"/>
  <c r="C13165" i="1"/>
  <c r="A13166" i="1"/>
  <c r="C13166" i="1"/>
  <c r="A13167" i="1"/>
  <c r="C13167" i="1"/>
  <c r="A13168" i="1"/>
  <c r="C13168" i="1"/>
  <c r="A13169" i="1"/>
  <c r="C13169" i="1"/>
  <c r="A13170" i="1"/>
  <c r="C13170" i="1"/>
  <c r="A13171" i="1"/>
  <c r="C13171" i="1"/>
  <c r="A13172" i="1"/>
  <c r="C13172" i="1"/>
  <c r="A13173" i="1"/>
  <c r="C13173" i="1"/>
  <c r="A13174" i="1"/>
  <c r="C13174" i="1"/>
  <c r="A13175" i="1"/>
  <c r="C13175" i="1"/>
  <c r="A13176" i="1"/>
  <c r="C13176" i="1"/>
  <c r="A13177" i="1"/>
  <c r="C13177" i="1"/>
  <c r="A13178" i="1"/>
  <c r="C13178" i="1"/>
  <c r="A13179" i="1"/>
  <c r="C13179" i="1"/>
  <c r="A13180" i="1"/>
  <c r="C13180" i="1"/>
  <c r="A13181" i="1"/>
  <c r="C13181" i="1"/>
  <c r="A13182" i="1"/>
  <c r="C13182" i="1"/>
  <c r="A13183" i="1"/>
  <c r="C13183" i="1"/>
  <c r="A13184" i="1"/>
  <c r="C13184" i="1"/>
  <c r="A13185" i="1"/>
  <c r="C13185" i="1"/>
  <c r="A13186" i="1"/>
  <c r="C13186" i="1"/>
  <c r="A13187" i="1"/>
  <c r="C13187" i="1"/>
  <c r="A13188" i="1"/>
  <c r="C13188" i="1"/>
  <c r="A13189" i="1"/>
  <c r="C13189" i="1"/>
  <c r="A13190" i="1"/>
  <c r="C13190" i="1"/>
  <c r="A13191" i="1"/>
  <c r="C13191" i="1"/>
  <c r="A13192" i="1"/>
  <c r="C13192" i="1"/>
  <c r="A13193" i="1"/>
  <c r="C13193" i="1"/>
  <c r="A13194" i="1"/>
  <c r="C13194" i="1"/>
  <c r="A13195" i="1"/>
  <c r="C13195" i="1"/>
  <c r="A13196" i="1"/>
  <c r="C13196" i="1"/>
  <c r="A13197" i="1"/>
  <c r="C13197" i="1"/>
  <c r="A13198" i="1"/>
  <c r="C13198" i="1"/>
  <c r="A13199" i="1"/>
  <c r="C13199" i="1"/>
  <c r="A13200" i="1"/>
  <c r="C13200" i="1"/>
  <c r="A13201" i="1"/>
  <c r="C13201" i="1"/>
  <c r="A13202" i="1"/>
  <c r="C13202" i="1"/>
  <c r="A13203" i="1"/>
  <c r="C13203" i="1"/>
  <c r="A13204" i="1"/>
  <c r="C13204" i="1"/>
  <c r="A13205" i="1"/>
  <c r="C13205" i="1"/>
  <c r="A13206" i="1"/>
  <c r="C13206" i="1"/>
  <c r="A13207" i="1"/>
  <c r="C13207" i="1"/>
  <c r="A13208" i="1"/>
  <c r="C13208" i="1"/>
  <c r="A13209" i="1"/>
  <c r="C13209" i="1"/>
  <c r="A13210" i="1"/>
  <c r="C13210" i="1"/>
  <c r="A13211" i="1"/>
  <c r="C13211" i="1"/>
  <c r="A13212" i="1"/>
  <c r="C13212" i="1"/>
  <c r="A13213" i="1"/>
  <c r="C13213" i="1"/>
  <c r="A13214" i="1"/>
  <c r="C13214" i="1"/>
  <c r="A13215" i="1"/>
  <c r="C13215" i="1"/>
  <c r="A13216" i="1"/>
  <c r="C13216" i="1"/>
  <c r="A13217" i="1"/>
  <c r="C13217" i="1"/>
  <c r="A13218" i="1"/>
  <c r="C13218" i="1"/>
  <c r="A13219" i="1"/>
  <c r="C13219" i="1"/>
  <c r="A13220" i="1"/>
  <c r="C13220" i="1"/>
  <c r="A13221" i="1"/>
  <c r="C13221" i="1"/>
  <c r="A13222" i="1"/>
  <c r="C13222" i="1"/>
  <c r="A13223" i="1"/>
  <c r="C13223" i="1"/>
  <c r="A13224" i="1"/>
  <c r="C13224" i="1"/>
  <c r="A13225" i="1"/>
  <c r="C13225" i="1"/>
  <c r="A13226" i="1"/>
  <c r="C13226" i="1"/>
  <c r="A13227" i="1"/>
  <c r="C13227" i="1"/>
  <c r="A13228" i="1"/>
  <c r="C13228" i="1"/>
  <c r="A13229" i="1"/>
  <c r="C13229" i="1"/>
  <c r="A13230" i="1"/>
  <c r="C13230" i="1"/>
  <c r="A13231" i="1"/>
  <c r="C13231" i="1"/>
  <c r="A13232" i="1"/>
  <c r="C13232" i="1"/>
  <c r="A13233" i="1"/>
  <c r="C13233" i="1"/>
  <c r="A13234" i="1"/>
  <c r="C13234" i="1"/>
  <c r="A13235" i="1"/>
  <c r="C13235" i="1"/>
  <c r="A13236" i="1"/>
  <c r="C13236" i="1"/>
  <c r="A13237" i="1"/>
  <c r="C13237" i="1"/>
  <c r="A13238" i="1"/>
  <c r="C13238" i="1"/>
  <c r="A13239" i="1"/>
  <c r="C13239" i="1"/>
  <c r="A13240" i="1"/>
  <c r="C13240" i="1"/>
  <c r="A13241" i="1"/>
  <c r="C13241" i="1"/>
  <c r="A13242" i="1"/>
  <c r="C13242" i="1"/>
  <c r="A13243" i="1"/>
  <c r="C13243" i="1"/>
  <c r="A13244" i="1"/>
  <c r="C13244" i="1"/>
  <c r="A13245" i="1"/>
  <c r="C13245" i="1"/>
  <c r="A13246" i="1"/>
  <c r="C13246" i="1"/>
  <c r="A13247" i="1"/>
  <c r="C13247" i="1"/>
  <c r="A13248" i="1"/>
  <c r="C13248" i="1"/>
  <c r="A13249" i="1"/>
  <c r="C13249" i="1"/>
  <c r="A13250" i="1"/>
  <c r="C13250" i="1"/>
  <c r="A13251" i="1"/>
  <c r="C13251" i="1"/>
  <c r="A13252" i="1"/>
  <c r="C13252" i="1"/>
  <c r="A13253" i="1"/>
  <c r="C13253" i="1"/>
  <c r="A13254" i="1"/>
  <c r="C13254" i="1"/>
  <c r="A13255" i="1"/>
  <c r="C13255" i="1"/>
  <c r="A13256" i="1"/>
  <c r="C13256" i="1"/>
  <c r="A13257" i="1"/>
  <c r="C13257" i="1"/>
  <c r="A13258" i="1"/>
  <c r="C13258" i="1"/>
  <c r="A13259" i="1"/>
  <c r="C13259" i="1"/>
  <c r="A13260" i="1"/>
  <c r="C13260" i="1"/>
  <c r="A13261" i="1"/>
  <c r="C13261" i="1"/>
  <c r="A13262" i="1"/>
  <c r="C13262" i="1"/>
  <c r="A13263" i="1"/>
  <c r="C13263" i="1"/>
  <c r="A13264" i="1"/>
  <c r="C13264" i="1"/>
  <c r="A13265" i="1"/>
  <c r="C13265" i="1"/>
  <c r="A13266" i="1"/>
  <c r="C13266" i="1"/>
  <c r="A13267" i="1"/>
  <c r="C13267" i="1"/>
  <c r="A13268" i="1"/>
  <c r="C13268" i="1"/>
  <c r="A13269" i="1"/>
  <c r="C13269" i="1"/>
  <c r="A13270" i="1"/>
  <c r="C13270" i="1"/>
  <c r="A13271" i="1"/>
  <c r="C13271" i="1"/>
  <c r="A13272" i="1"/>
  <c r="C13272" i="1"/>
  <c r="A13273" i="1"/>
  <c r="C13273" i="1"/>
  <c r="A13274" i="1"/>
  <c r="C13274" i="1"/>
  <c r="A13275" i="1"/>
  <c r="C13275" i="1"/>
  <c r="A13276" i="1"/>
  <c r="C13276" i="1"/>
  <c r="A13277" i="1"/>
  <c r="C13277" i="1"/>
  <c r="A13278" i="1"/>
  <c r="C13278" i="1"/>
  <c r="A13279" i="1"/>
  <c r="C13279" i="1"/>
  <c r="A13280" i="1"/>
  <c r="C13280" i="1"/>
  <c r="A13281" i="1"/>
  <c r="C13281" i="1"/>
  <c r="A13282" i="1"/>
  <c r="C13282" i="1"/>
  <c r="A13283" i="1"/>
  <c r="C13283" i="1"/>
  <c r="A13284" i="1"/>
  <c r="C13284" i="1"/>
  <c r="A13285" i="1"/>
  <c r="C13285" i="1"/>
  <c r="A13286" i="1"/>
  <c r="C13286" i="1"/>
  <c r="A13287" i="1"/>
  <c r="C13287" i="1"/>
  <c r="A13288" i="1"/>
  <c r="C13288" i="1"/>
  <c r="A13289" i="1"/>
  <c r="C13289" i="1"/>
  <c r="A13290" i="1"/>
  <c r="C13290" i="1"/>
  <c r="A13291" i="1"/>
  <c r="C13291" i="1"/>
  <c r="A13292" i="1"/>
  <c r="C13292" i="1"/>
  <c r="A13293" i="1"/>
  <c r="C13293" i="1"/>
  <c r="A13294" i="1"/>
  <c r="C13294" i="1"/>
  <c r="A13295" i="1"/>
  <c r="C13295" i="1"/>
  <c r="A13296" i="1"/>
  <c r="C13296" i="1"/>
  <c r="A13297" i="1"/>
  <c r="C13297" i="1"/>
  <c r="A13298" i="1"/>
  <c r="C13298" i="1"/>
  <c r="A13299" i="1"/>
  <c r="C13299" i="1"/>
  <c r="A13300" i="1"/>
  <c r="C13300" i="1"/>
  <c r="A13301" i="1"/>
  <c r="C13301" i="1"/>
  <c r="A13302" i="1"/>
  <c r="C13302" i="1"/>
  <c r="A13303" i="1"/>
  <c r="C13303" i="1"/>
  <c r="A13304" i="1"/>
  <c r="C13304" i="1"/>
  <c r="A13305" i="1"/>
  <c r="C13305" i="1"/>
  <c r="A13306" i="1"/>
  <c r="C13306" i="1"/>
  <c r="A13307" i="1"/>
  <c r="C13307" i="1"/>
  <c r="A13308" i="1"/>
  <c r="C13308" i="1"/>
  <c r="A13309" i="1"/>
  <c r="C13309" i="1"/>
  <c r="A13310" i="1"/>
  <c r="C13310" i="1"/>
  <c r="A13311" i="1"/>
  <c r="C13311" i="1"/>
  <c r="A13312" i="1"/>
  <c r="C13312" i="1"/>
  <c r="A13313" i="1"/>
  <c r="C13313" i="1"/>
  <c r="A13314" i="1"/>
  <c r="C13314" i="1"/>
  <c r="A13315" i="1"/>
  <c r="C13315" i="1"/>
  <c r="A13316" i="1"/>
  <c r="C13316" i="1"/>
  <c r="A13317" i="1"/>
  <c r="C13317" i="1"/>
  <c r="A13318" i="1"/>
  <c r="C13318" i="1"/>
  <c r="A13319" i="1"/>
  <c r="C13319" i="1"/>
  <c r="A13320" i="1"/>
  <c r="C13320" i="1"/>
  <c r="A13321" i="1"/>
  <c r="C13321" i="1"/>
  <c r="A13322" i="1"/>
  <c r="C13322" i="1"/>
  <c r="A13323" i="1"/>
  <c r="C13323" i="1"/>
  <c r="A13324" i="1"/>
  <c r="C13324" i="1"/>
  <c r="A13325" i="1"/>
  <c r="C13325" i="1"/>
  <c r="A13326" i="1"/>
  <c r="C13326" i="1"/>
  <c r="A13327" i="1"/>
  <c r="C13327" i="1"/>
  <c r="A13328" i="1"/>
  <c r="C13328" i="1"/>
  <c r="A13329" i="1"/>
  <c r="C13329" i="1"/>
  <c r="A13330" i="1"/>
  <c r="C13330" i="1"/>
  <c r="A13331" i="1"/>
  <c r="C13331" i="1"/>
  <c r="A13332" i="1"/>
  <c r="C13332" i="1"/>
  <c r="A13333" i="1"/>
  <c r="C13333" i="1"/>
  <c r="A13334" i="1"/>
  <c r="C13334" i="1"/>
  <c r="A13335" i="1"/>
  <c r="C13335" i="1"/>
  <c r="A13336" i="1"/>
  <c r="C13336" i="1"/>
  <c r="A13337" i="1"/>
  <c r="C13337" i="1"/>
  <c r="A13338" i="1"/>
  <c r="C13338" i="1"/>
  <c r="A13339" i="1"/>
  <c r="C13339" i="1"/>
  <c r="A13340" i="1"/>
  <c r="C13340" i="1"/>
  <c r="A13341" i="1"/>
  <c r="C13341" i="1"/>
  <c r="A13342" i="1"/>
  <c r="C13342" i="1"/>
  <c r="A13343" i="1"/>
  <c r="C13343" i="1"/>
  <c r="A13344" i="1"/>
  <c r="C13344" i="1"/>
  <c r="A13345" i="1"/>
  <c r="C13345" i="1"/>
  <c r="A13346" i="1"/>
  <c r="C13346" i="1"/>
  <c r="A13347" i="1"/>
  <c r="C13347" i="1"/>
  <c r="A13348" i="1"/>
  <c r="C13348" i="1"/>
  <c r="A13349" i="1"/>
  <c r="C13349" i="1"/>
  <c r="A13350" i="1"/>
  <c r="C13350" i="1"/>
  <c r="A13351" i="1"/>
  <c r="C13351" i="1"/>
  <c r="A13352" i="1"/>
  <c r="C13352" i="1"/>
  <c r="A13353" i="1"/>
  <c r="C13353" i="1"/>
  <c r="A13354" i="1"/>
  <c r="C13354" i="1"/>
  <c r="A13355" i="1"/>
  <c r="C13355" i="1"/>
  <c r="A13356" i="1"/>
  <c r="C13356" i="1"/>
  <c r="A13357" i="1"/>
  <c r="C13357" i="1"/>
  <c r="A13358" i="1"/>
  <c r="C13358" i="1"/>
  <c r="A13359" i="1"/>
  <c r="C13359" i="1"/>
  <c r="A13360" i="1"/>
  <c r="C13360" i="1"/>
  <c r="A13361" i="1"/>
  <c r="C13361" i="1"/>
  <c r="A13362" i="1"/>
  <c r="C13362" i="1"/>
  <c r="A13363" i="1"/>
  <c r="C13363" i="1"/>
  <c r="A13364" i="1"/>
  <c r="C13364" i="1"/>
  <c r="A13365" i="1"/>
  <c r="C13365" i="1"/>
  <c r="A13366" i="1"/>
  <c r="C13366" i="1"/>
  <c r="A13367" i="1"/>
  <c r="C13367" i="1"/>
  <c r="A13368" i="1"/>
  <c r="C13368" i="1"/>
  <c r="A13369" i="1"/>
  <c r="C13369" i="1"/>
  <c r="A13370" i="1"/>
  <c r="C13370" i="1"/>
  <c r="A13371" i="1"/>
  <c r="C13371" i="1"/>
  <c r="A13372" i="1"/>
  <c r="C13372" i="1"/>
  <c r="A13373" i="1"/>
  <c r="C13373" i="1"/>
  <c r="A13374" i="1"/>
  <c r="C13374" i="1"/>
  <c r="A13375" i="1"/>
  <c r="C13375" i="1"/>
  <c r="A13376" i="1"/>
  <c r="C13376" i="1"/>
  <c r="A13377" i="1"/>
  <c r="C13377" i="1"/>
  <c r="A13378" i="1"/>
  <c r="C13378" i="1"/>
  <c r="A13379" i="1"/>
  <c r="C13379" i="1"/>
  <c r="A13380" i="1"/>
  <c r="C13380" i="1"/>
  <c r="A13381" i="1"/>
  <c r="C13381" i="1"/>
  <c r="A13382" i="1"/>
  <c r="C13382" i="1"/>
  <c r="A13383" i="1"/>
  <c r="C13383" i="1"/>
  <c r="A13384" i="1"/>
  <c r="C13384" i="1"/>
  <c r="A13385" i="1"/>
  <c r="C13385" i="1"/>
  <c r="A13386" i="1"/>
  <c r="C13386" i="1"/>
  <c r="A13387" i="1"/>
  <c r="C13387" i="1"/>
  <c r="A13388" i="1"/>
  <c r="C13388" i="1"/>
  <c r="A13389" i="1"/>
  <c r="C13389" i="1"/>
  <c r="A13390" i="1"/>
  <c r="C13390" i="1"/>
  <c r="A13391" i="1"/>
  <c r="C13391" i="1"/>
  <c r="A13392" i="1"/>
  <c r="C13392" i="1"/>
  <c r="A13393" i="1"/>
  <c r="C13393" i="1"/>
  <c r="A13394" i="1"/>
  <c r="C13394" i="1"/>
  <c r="A13395" i="1"/>
  <c r="C13395" i="1"/>
  <c r="A13396" i="1"/>
  <c r="C13396" i="1"/>
  <c r="A13397" i="1"/>
  <c r="C13397" i="1"/>
  <c r="A13398" i="1"/>
  <c r="C13398" i="1"/>
  <c r="A13399" i="1"/>
  <c r="C13399" i="1"/>
  <c r="A13400" i="1"/>
  <c r="C13400" i="1"/>
  <c r="A13401" i="1"/>
  <c r="C13401" i="1"/>
  <c r="A13402" i="1"/>
  <c r="C13402" i="1"/>
  <c r="A13403" i="1"/>
  <c r="C13403" i="1"/>
  <c r="A13404" i="1"/>
  <c r="C13404" i="1"/>
  <c r="A13405" i="1"/>
  <c r="C13405" i="1"/>
  <c r="A13406" i="1"/>
  <c r="C13406" i="1"/>
  <c r="A13407" i="1"/>
  <c r="C13407" i="1"/>
  <c r="A13408" i="1"/>
  <c r="C13408" i="1"/>
  <c r="A13409" i="1"/>
  <c r="C13409" i="1"/>
  <c r="A13410" i="1"/>
  <c r="C13410" i="1"/>
  <c r="A13411" i="1"/>
  <c r="C13411" i="1"/>
  <c r="A13412" i="1"/>
  <c r="C13412" i="1"/>
  <c r="A13413" i="1"/>
  <c r="C13413" i="1"/>
  <c r="A13414" i="1"/>
  <c r="C13414" i="1"/>
  <c r="A13415" i="1"/>
  <c r="C13415" i="1"/>
  <c r="A13416" i="1"/>
  <c r="C13416" i="1"/>
  <c r="A13417" i="1"/>
  <c r="C13417" i="1"/>
  <c r="A13418" i="1"/>
  <c r="C13418" i="1"/>
  <c r="A13419" i="1"/>
  <c r="C13419" i="1"/>
  <c r="A13420" i="1"/>
  <c r="C13420" i="1"/>
  <c r="A13421" i="1"/>
  <c r="C13421" i="1"/>
  <c r="A13422" i="1"/>
  <c r="C13422" i="1"/>
  <c r="A13423" i="1"/>
  <c r="C13423" i="1"/>
  <c r="A13424" i="1"/>
  <c r="C13424" i="1"/>
  <c r="A13425" i="1"/>
  <c r="C13425" i="1"/>
  <c r="A13426" i="1"/>
  <c r="C13426" i="1"/>
  <c r="A13427" i="1"/>
  <c r="C13427" i="1"/>
  <c r="A13428" i="1"/>
  <c r="C13428" i="1"/>
  <c r="A13429" i="1"/>
  <c r="C13429" i="1"/>
  <c r="A13430" i="1"/>
  <c r="C13430" i="1"/>
  <c r="A13431" i="1"/>
  <c r="C13431" i="1"/>
  <c r="A13432" i="1"/>
  <c r="C13432" i="1"/>
  <c r="A13433" i="1"/>
  <c r="C13433" i="1"/>
  <c r="A13434" i="1"/>
  <c r="C13434" i="1"/>
  <c r="A13435" i="1"/>
  <c r="C13435" i="1"/>
  <c r="A13436" i="1"/>
  <c r="C13436" i="1"/>
  <c r="A13437" i="1"/>
  <c r="C13437" i="1"/>
  <c r="A13438" i="1"/>
  <c r="C13438" i="1"/>
  <c r="A13439" i="1"/>
  <c r="C13439" i="1"/>
  <c r="A13440" i="1"/>
  <c r="C13440" i="1"/>
  <c r="A13441" i="1"/>
  <c r="C13441" i="1"/>
  <c r="A13442" i="1"/>
  <c r="C13442" i="1"/>
  <c r="A13443" i="1"/>
  <c r="C13443" i="1"/>
  <c r="A13444" i="1"/>
  <c r="C13444" i="1"/>
  <c r="A13445" i="1"/>
  <c r="C13445" i="1"/>
  <c r="A13446" i="1"/>
  <c r="C13446" i="1"/>
  <c r="A13447" i="1"/>
  <c r="C13447" i="1"/>
  <c r="A13448" i="1"/>
  <c r="C13448" i="1"/>
  <c r="A13449" i="1"/>
  <c r="C13449" i="1"/>
  <c r="A13450" i="1"/>
  <c r="C13450" i="1"/>
  <c r="A13451" i="1"/>
  <c r="C13451" i="1"/>
  <c r="A13452" i="1"/>
  <c r="C13452" i="1"/>
  <c r="A13453" i="1"/>
  <c r="C13453" i="1"/>
  <c r="A13454" i="1"/>
  <c r="C13454" i="1"/>
  <c r="A13455" i="1"/>
  <c r="C13455" i="1"/>
  <c r="A13456" i="1"/>
  <c r="C13456" i="1"/>
  <c r="A13457" i="1"/>
  <c r="C13457" i="1"/>
  <c r="A13458" i="1"/>
  <c r="C13458" i="1"/>
  <c r="A13459" i="1"/>
  <c r="C13459" i="1"/>
  <c r="A13460" i="1"/>
  <c r="C13460" i="1"/>
  <c r="A13461" i="1"/>
  <c r="C13461" i="1"/>
  <c r="A13462" i="1"/>
  <c r="C13462" i="1"/>
  <c r="A13463" i="1"/>
  <c r="C13463" i="1"/>
  <c r="A13464" i="1"/>
  <c r="C13464" i="1"/>
  <c r="A13465" i="1"/>
  <c r="C13465" i="1"/>
  <c r="A13466" i="1"/>
  <c r="C13466" i="1"/>
  <c r="A13467" i="1"/>
  <c r="C13467" i="1"/>
  <c r="A13468" i="1"/>
  <c r="C13468" i="1"/>
  <c r="A13469" i="1"/>
  <c r="C13469" i="1"/>
  <c r="A13470" i="1"/>
  <c r="C13470" i="1"/>
  <c r="A13471" i="1"/>
  <c r="C13471" i="1"/>
  <c r="A13472" i="1"/>
  <c r="C13472" i="1"/>
  <c r="A13473" i="1"/>
  <c r="C13473" i="1"/>
  <c r="A13474" i="1"/>
  <c r="C13474" i="1"/>
  <c r="A13475" i="1"/>
  <c r="C13475" i="1"/>
  <c r="A13476" i="1"/>
  <c r="C13476" i="1"/>
  <c r="A13477" i="1"/>
  <c r="C13477" i="1"/>
  <c r="A13478" i="1"/>
  <c r="C13478" i="1"/>
  <c r="A13479" i="1"/>
  <c r="C13479" i="1"/>
  <c r="A13480" i="1"/>
  <c r="C13480" i="1"/>
  <c r="A13481" i="1"/>
  <c r="C13481" i="1"/>
  <c r="A13482" i="1"/>
  <c r="C13482" i="1"/>
  <c r="A13483" i="1"/>
  <c r="C13483" i="1"/>
  <c r="A13484" i="1"/>
  <c r="C13484" i="1"/>
  <c r="A13485" i="1"/>
  <c r="C13485" i="1"/>
  <c r="A13486" i="1"/>
  <c r="C13486" i="1"/>
  <c r="A13487" i="1"/>
  <c r="C13487" i="1"/>
  <c r="A13488" i="1"/>
  <c r="C13488" i="1"/>
  <c r="A13489" i="1"/>
  <c r="C13489" i="1"/>
  <c r="A13490" i="1"/>
  <c r="C13490" i="1"/>
  <c r="A13491" i="1"/>
  <c r="C13491" i="1"/>
  <c r="A13492" i="1"/>
  <c r="C13492" i="1"/>
  <c r="A13493" i="1"/>
  <c r="C13493" i="1"/>
  <c r="A13494" i="1"/>
  <c r="C13494" i="1"/>
  <c r="A13495" i="1"/>
  <c r="C13495" i="1"/>
  <c r="A13496" i="1"/>
  <c r="C13496" i="1"/>
  <c r="A13497" i="1"/>
  <c r="C13497" i="1"/>
  <c r="A13498" i="1"/>
  <c r="C13498" i="1"/>
  <c r="A13499" i="1"/>
  <c r="C13499" i="1"/>
  <c r="A13500" i="1"/>
  <c r="C13500" i="1"/>
  <c r="A13501" i="1"/>
  <c r="C13501" i="1"/>
  <c r="A13502" i="1"/>
  <c r="C13502" i="1"/>
  <c r="A13503" i="1"/>
  <c r="C13503" i="1"/>
  <c r="A13504" i="1"/>
  <c r="C13504" i="1"/>
  <c r="A13505" i="1"/>
  <c r="C13505" i="1"/>
  <c r="A13506" i="1"/>
  <c r="C13506" i="1"/>
  <c r="A13507" i="1"/>
  <c r="C13507" i="1"/>
  <c r="A13508" i="1"/>
  <c r="C13508" i="1"/>
  <c r="A13509" i="1"/>
  <c r="C13509" i="1"/>
  <c r="A13510" i="1"/>
  <c r="C13510" i="1"/>
  <c r="A13511" i="1"/>
  <c r="C13511" i="1"/>
  <c r="A13512" i="1"/>
  <c r="C13512" i="1"/>
  <c r="A13513" i="1"/>
  <c r="C13513" i="1"/>
  <c r="A13514" i="1"/>
  <c r="C13514" i="1"/>
  <c r="A13515" i="1"/>
  <c r="C13515" i="1"/>
  <c r="A13516" i="1"/>
  <c r="C13516" i="1"/>
  <c r="A13517" i="1"/>
  <c r="C13517" i="1"/>
  <c r="A13518" i="1"/>
  <c r="C13518" i="1"/>
  <c r="A13519" i="1"/>
  <c r="C13519" i="1"/>
  <c r="A13520" i="1"/>
  <c r="C13520" i="1"/>
  <c r="A13521" i="1"/>
  <c r="C13521" i="1"/>
  <c r="A13522" i="1"/>
  <c r="C13522" i="1"/>
  <c r="A13523" i="1"/>
  <c r="C13523" i="1"/>
  <c r="A13524" i="1"/>
  <c r="C13524" i="1"/>
  <c r="A13525" i="1"/>
  <c r="C13525" i="1"/>
  <c r="A13526" i="1"/>
  <c r="C13526" i="1"/>
  <c r="A13527" i="1"/>
  <c r="C13527" i="1"/>
  <c r="A13528" i="1"/>
  <c r="C13528" i="1"/>
  <c r="A13529" i="1"/>
  <c r="C13529" i="1"/>
  <c r="A13530" i="1"/>
  <c r="C13530" i="1"/>
  <c r="A13531" i="1"/>
  <c r="C13531" i="1"/>
  <c r="A13532" i="1"/>
  <c r="C13532" i="1"/>
  <c r="A13533" i="1"/>
  <c r="C13533" i="1"/>
  <c r="A13534" i="1"/>
  <c r="C13534" i="1"/>
  <c r="A13535" i="1"/>
  <c r="C13535" i="1"/>
  <c r="A13536" i="1"/>
  <c r="C13536" i="1"/>
  <c r="A13537" i="1"/>
  <c r="C13537" i="1"/>
  <c r="A13538" i="1"/>
  <c r="C13538" i="1"/>
  <c r="A13539" i="1"/>
  <c r="C13539" i="1"/>
  <c r="A13540" i="1"/>
  <c r="C13540" i="1"/>
  <c r="A13541" i="1"/>
  <c r="C13541" i="1"/>
  <c r="A13542" i="1"/>
  <c r="C13542" i="1"/>
  <c r="A13543" i="1"/>
  <c r="C13543" i="1"/>
  <c r="A13544" i="1"/>
  <c r="C13544" i="1"/>
  <c r="A13545" i="1"/>
  <c r="C13545" i="1"/>
  <c r="A13546" i="1"/>
  <c r="C13546" i="1"/>
  <c r="A13547" i="1"/>
  <c r="C13547" i="1"/>
  <c r="A13548" i="1"/>
  <c r="C13548" i="1"/>
  <c r="A13549" i="1"/>
  <c r="C13549" i="1"/>
  <c r="A13550" i="1"/>
  <c r="C13550" i="1"/>
  <c r="A13551" i="1"/>
  <c r="C13551" i="1"/>
  <c r="A13552" i="1"/>
  <c r="C13552" i="1"/>
  <c r="A13553" i="1"/>
  <c r="C13553" i="1"/>
  <c r="A13554" i="1"/>
  <c r="C13554" i="1"/>
  <c r="A13555" i="1"/>
  <c r="C13555" i="1"/>
  <c r="A13556" i="1"/>
  <c r="C13556" i="1"/>
  <c r="A13557" i="1"/>
  <c r="C13557" i="1"/>
  <c r="A13558" i="1"/>
  <c r="C13558" i="1"/>
  <c r="A13559" i="1"/>
  <c r="C13559" i="1"/>
  <c r="A13560" i="1"/>
  <c r="C13560" i="1"/>
  <c r="A13561" i="1"/>
  <c r="C13561" i="1"/>
  <c r="A13562" i="1"/>
  <c r="C13562" i="1"/>
  <c r="A13563" i="1"/>
  <c r="C13563" i="1"/>
  <c r="A13564" i="1"/>
  <c r="C13564" i="1"/>
  <c r="A13565" i="1"/>
  <c r="C13565" i="1"/>
  <c r="A13566" i="1"/>
  <c r="C13566" i="1"/>
  <c r="A13567" i="1"/>
  <c r="C13567" i="1"/>
  <c r="A13568" i="1"/>
  <c r="C13568" i="1"/>
  <c r="A13569" i="1"/>
  <c r="C13569" i="1"/>
  <c r="A13570" i="1"/>
  <c r="C13570" i="1"/>
  <c r="A13571" i="1"/>
  <c r="C13571" i="1"/>
  <c r="A13572" i="1"/>
  <c r="C13572" i="1"/>
  <c r="A13573" i="1"/>
  <c r="C13573" i="1"/>
  <c r="A13574" i="1"/>
  <c r="C13574" i="1"/>
  <c r="A13575" i="1"/>
  <c r="C13575" i="1"/>
  <c r="A13576" i="1"/>
  <c r="C13576" i="1"/>
  <c r="A13577" i="1"/>
  <c r="C13577" i="1"/>
  <c r="A13578" i="1"/>
  <c r="C13578" i="1"/>
  <c r="A13579" i="1"/>
  <c r="C13579" i="1"/>
  <c r="A13580" i="1"/>
  <c r="C13580" i="1"/>
  <c r="A13581" i="1"/>
  <c r="C13581" i="1"/>
  <c r="A13582" i="1"/>
  <c r="C13582" i="1"/>
  <c r="A13583" i="1"/>
  <c r="C13583" i="1"/>
  <c r="A13584" i="1"/>
  <c r="C13584" i="1"/>
  <c r="A13585" i="1"/>
  <c r="C13585" i="1"/>
  <c r="A13586" i="1"/>
  <c r="C13586" i="1"/>
  <c r="A13587" i="1"/>
  <c r="C13587" i="1"/>
  <c r="A13588" i="1"/>
  <c r="C13588" i="1"/>
  <c r="A13589" i="1"/>
  <c r="C13589" i="1"/>
  <c r="A13590" i="1"/>
  <c r="C13590" i="1"/>
  <c r="A13591" i="1"/>
  <c r="C13591" i="1"/>
  <c r="A13592" i="1"/>
  <c r="C13592" i="1"/>
  <c r="A13593" i="1"/>
  <c r="C13593" i="1"/>
  <c r="A13594" i="1"/>
  <c r="C13594" i="1"/>
  <c r="A13595" i="1"/>
  <c r="C13595" i="1"/>
  <c r="A13596" i="1"/>
  <c r="C13596" i="1"/>
  <c r="A13597" i="1"/>
  <c r="C13597" i="1"/>
  <c r="A13598" i="1"/>
  <c r="C13598" i="1"/>
  <c r="A13599" i="1"/>
  <c r="C13599" i="1"/>
  <c r="A13600" i="1"/>
  <c r="C13600" i="1"/>
  <c r="A13601" i="1"/>
  <c r="C13601" i="1"/>
  <c r="A13602" i="1"/>
  <c r="C13602" i="1"/>
  <c r="A13603" i="1"/>
  <c r="C13603" i="1"/>
  <c r="A13604" i="1"/>
  <c r="C13604" i="1"/>
  <c r="A13605" i="1"/>
  <c r="C13605" i="1"/>
  <c r="A13606" i="1"/>
  <c r="C13606" i="1"/>
  <c r="A13607" i="1"/>
  <c r="C13607" i="1"/>
  <c r="A13608" i="1"/>
  <c r="C13608" i="1"/>
  <c r="A13609" i="1"/>
  <c r="C13609" i="1"/>
  <c r="A13610" i="1"/>
  <c r="C13610" i="1"/>
  <c r="A13611" i="1"/>
  <c r="C13611" i="1"/>
  <c r="A13612" i="1"/>
  <c r="C13612" i="1"/>
  <c r="A13613" i="1"/>
  <c r="C13613" i="1"/>
  <c r="A13614" i="1"/>
  <c r="C13614" i="1"/>
  <c r="A13615" i="1"/>
  <c r="C13615" i="1"/>
  <c r="A13616" i="1"/>
  <c r="C13616" i="1"/>
  <c r="A13617" i="1"/>
  <c r="C13617" i="1"/>
  <c r="A13618" i="1"/>
  <c r="C13618" i="1"/>
  <c r="A13619" i="1"/>
  <c r="C13619" i="1"/>
  <c r="A13620" i="1"/>
  <c r="C13620" i="1"/>
  <c r="A13621" i="1"/>
  <c r="C13621" i="1"/>
  <c r="A13622" i="1"/>
  <c r="C13622" i="1"/>
  <c r="A13623" i="1"/>
  <c r="C13623" i="1"/>
  <c r="A13624" i="1"/>
  <c r="C13624" i="1"/>
  <c r="A13625" i="1"/>
  <c r="C13625" i="1"/>
  <c r="A13626" i="1"/>
  <c r="C13626" i="1"/>
  <c r="A13627" i="1"/>
  <c r="C13627" i="1"/>
  <c r="A13628" i="1"/>
  <c r="C13628" i="1"/>
  <c r="A13629" i="1"/>
  <c r="C13629" i="1"/>
  <c r="A13630" i="1"/>
  <c r="C13630" i="1"/>
  <c r="A13631" i="1"/>
  <c r="C13631" i="1"/>
  <c r="A13632" i="1"/>
  <c r="C13632" i="1"/>
  <c r="A13633" i="1"/>
  <c r="C13633" i="1"/>
  <c r="A13634" i="1"/>
  <c r="C13634" i="1"/>
  <c r="A13635" i="1"/>
  <c r="C13635" i="1"/>
  <c r="A13636" i="1"/>
  <c r="C13636" i="1"/>
  <c r="A13637" i="1"/>
  <c r="C13637" i="1"/>
  <c r="A13638" i="1"/>
  <c r="C13638" i="1"/>
  <c r="A13639" i="1"/>
  <c r="C13639" i="1"/>
  <c r="A13640" i="1"/>
  <c r="C13640" i="1"/>
  <c r="A13641" i="1"/>
  <c r="C13641" i="1"/>
  <c r="A13642" i="1"/>
  <c r="C13642" i="1"/>
  <c r="A13643" i="1"/>
  <c r="C13643" i="1"/>
  <c r="A13644" i="1"/>
  <c r="C13644" i="1"/>
  <c r="A13645" i="1"/>
  <c r="C13645" i="1"/>
  <c r="A13646" i="1"/>
  <c r="C13646" i="1"/>
  <c r="A13647" i="1"/>
  <c r="C13647" i="1"/>
  <c r="A13648" i="1"/>
  <c r="C13648" i="1"/>
  <c r="A13649" i="1"/>
  <c r="C13649" i="1"/>
  <c r="A13650" i="1"/>
  <c r="C13650" i="1"/>
  <c r="A13651" i="1"/>
  <c r="C13651" i="1"/>
  <c r="A13652" i="1"/>
  <c r="C13652" i="1"/>
  <c r="A13653" i="1"/>
  <c r="C13653" i="1"/>
  <c r="A13654" i="1"/>
  <c r="C13654" i="1"/>
  <c r="A13655" i="1"/>
  <c r="C13655" i="1"/>
  <c r="A13656" i="1"/>
  <c r="C13656" i="1"/>
  <c r="A13657" i="1"/>
  <c r="C13657" i="1"/>
  <c r="A13658" i="1"/>
  <c r="C13658" i="1"/>
  <c r="A13659" i="1"/>
  <c r="C13659" i="1"/>
  <c r="A13660" i="1"/>
  <c r="C13660" i="1"/>
  <c r="A13661" i="1"/>
  <c r="C13661" i="1"/>
  <c r="A13662" i="1"/>
  <c r="C13662" i="1"/>
  <c r="A13663" i="1"/>
  <c r="C13663" i="1"/>
  <c r="A13664" i="1"/>
  <c r="C13664" i="1"/>
  <c r="A13665" i="1"/>
  <c r="C13665" i="1"/>
  <c r="A13666" i="1"/>
  <c r="C13666" i="1"/>
  <c r="A13667" i="1"/>
  <c r="C13667" i="1"/>
  <c r="A13668" i="1"/>
  <c r="C13668" i="1"/>
  <c r="A13669" i="1"/>
  <c r="C13669" i="1"/>
  <c r="A13670" i="1"/>
  <c r="C13670" i="1"/>
  <c r="A13671" i="1"/>
  <c r="C13671" i="1"/>
  <c r="A13672" i="1"/>
  <c r="C13672" i="1"/>
  <c r="A13673" i="1"/>
  <c r="C13673" i="1"/>
  <c r="A13674" i="1"/>
  <c r="C13674" i="1"/>
  <c r="A13675" i="1"/>
  <c r="C13675" i="1"/>
  <c r="A13676" i="1"/>
  <c r="C13676" i="1"/>
  <c r="A13677" i="1"/>
  <c r="C13677" i="1"/>
  <c r="A13678" i="1"/>
  <c r="C13678" i="1"/>
  <c r="A13679" i="1"/>
  <c r="C13679" i="1"/>
  <c r="A13680" i="1"/>
  <c r="C13680" i="1"/>
  <c r="A13681" i="1"/>
  <c r="C13681" i="1"/>
  <c r="A13682" i="1"/>
  <c r="C13682" i="1"/>
  <c r="A13683" i="1"/>
  <c r="C13683" i="1"/>
  <c r="A13684" i="1"/>
  <c r="C13684" i="1"/>
  <c r="A13685" i="1"/>
  <c r="C13685" i="1"/>
  <c r="A13686" i="1"/>
  <c r="C13686" i="1"/>
  <c r="A13687" i="1"/>
  <c r="C13687" i="1"/>
  <c r="A13688" i="1"/>
  <c r="C13688" i="1"/>
  <c r="A13689" i="1"/>
  <c r="C13689" i="1"/>
  <c r="A13690" i="1"/>
  <c r="C13690" i="1"/>
  <c r="A13691" i="1"/>
  <c r="C13691" i="1"/>
  <c r="A13692" i="1"/>
  <c r="C13692" i="1"/>
  <c r="A13693" i="1"/>
  <c r="C13693" i="1"/>
  <c r="A13694" i="1"/>
  <c r="C13694" i="1"/>
  <c r="A13695" i="1"/>
  <c r="C13695" i="1"/>
  <c r="A13696" i="1"/>
  <c r="C13696" i="1"/>
  <c r="A13697" i="1"/>
  <c r="C13697" i="1"/>
  <c r="A13698" i="1"/>
  <c r="C13698" i="1"/>
  <c r="A13699" i="1"/>
  <c r="C13699" i="1"/>
  <c r="A13700" i="1"/>
  <c r="C13700" i="1"/>
  <c r="A13701" i="1"/>
  <c r="C13701" i="1"/>
  <c r="A13702" i="1"/>
  <c r="C13702" i="1"/>
  <c r="A13703" i="1"/>
  <c r="C13703" i="1"/>
  <c r="A13704" i="1"/>
  <c r="C13704" i="1"/>
  <c r="A13705" i="1"/>
  <c r="C13705" i="1"/>
  <c r="A13706" i="1"/>
  <c r="C13706" i="1"/>
  <c r="A13707" i="1"/>
  <c r="C13707" i="1"/>
  <c r="A13708" i="1"/>
  <c r="C13708" i="1"/>
  <c r="A13709" i="1"/>
  <c r="C13709" i="1"/>
  <c r="A13710" i="1"/>
  <c r="C13710" i="1"/>
  <c r="A13711" i="1"/>
  <c r="C13711" i="1"/>
  <c r="A13712" i="1"/>
  <c r="C13712" i="1"/>
  <c r="A13713" i="1"/>
  <c r="C13713" i="1"/>
  <c r="A13714" i="1"/>
  <c r="C13714" i="1"/>
  <c r="A13715" i="1"/>
  <c r="C13715" i="1"/>
  <c r="A13716" i="1"/>
  <c r="C13716" i="1"/>
  <c r="A13717" i="1"/>
  <c r="C13717" i="1"/>
  <c r="A13718" i="1"/>
  <c r="C13718" i="1"/>
  <c r="A13719" i="1"/>
  <c r="C13719" i="1"/>
  <c r="A13720" i="1"/>
  <c r="C13720" i="1"/>
  <c r="A13721" i="1"/>
  <c r="C13721" i="1"/>
  <c r="A13722" i="1"/>
  <c r="C13722" i="1"/>
  <c r="A13723" i="1"/>
  <c r="C13723" i="1"/>
  <c r="A13724" i="1"/>
  <c r="C13724" i="1"/>
  <c r="A13725" i="1"/>
  <c r="C13725" i="1"/>
  <c r="A13726" i="1"/>
  <c r="C13726" i="1"/>
  <c r="A13727" i="1"/>
  <c r="C13727" i="1"/>
  <c r="A13728" i="1"/>
  <c r="C13728" i="1"/>
  <c r="A13729" i="1"/>
  <c r="C13729" i="1"/>
  <c r="A13730" i="1"/>
  <c r="C13730" i="1"/>
  <c r="A13731" i="1"/>
  <c r="C13731" i="1"/>
  <c r="A13732" i="1"/>
  <c r="C13732" i="1"/>
  <c r="A13733" i="1"/>
  <c r="C13733" i="1"/>
  <c r="A13734" i="1"/>
  <c r="C13734" i="1"/>
  <c r="A13735" i="1"/>
  <c r="C13735" i="1"/>
  <c r="A13736" i="1"/>
  <c r="C13736" i="1"/>
  <c r="A13737" i="1"/>
  <c r="C13737" i="1"/>
  <c r="A13738" i="1"/>
  <c r="C13738" i="1"/>
  <c r="A13739" i="1"/>
  <c r="C13739" i="1"/>
  <c r="A13740" i="1"/>
  <c r="C13740" i="1"/>
  <c r="A13741" i="1"/>
  <c r="C13741" i="1"/>
  <c r="A13742" i="1"/>
  <c r="C13742" i="1"/>
  <c r="A13743" i="1"/>
  <c r="C13743" i="1"/>
  <c r="A13744" i="1"/>
  <c r="C13744" i="1"/>
  <c r="A13745" i="1"/>
  <c r="C13745" i="1"/>
  <c r="A13746" i="1"/>
  <c r="C13746" i="1"/>
  <c r="A13747" i="1"/>
  <c r="C13747" i="1"/>
  <c r="A13748" i="1"/>
  <c r="C13748" i="1"/>
  <c r="A13749" i="1"/>
  <c r="C13749" i="1"/>
  <c r="A13750" i="1"/>
  <c r="C13750" i="1"/>
  <c r="A13751" i="1"/>
  <c r="C13751" i="1"/>
  <c r="A13752" i="1"/>
  <c r="C13752" i="1"/>
  <c r="A13753" i="1"/>
  <c r="C13753" i="1"/>
  <c r="A13754" i="1"/>
  <c r="C13754" i="1"/>
  <c r="A13755" i="1"/>
  <c r="C13755" i="1"/>
  <c r="A13756" i="1"/>
  <c r="C13756" i="1"/>
  <c r="A13757" i="1"/>
  <c r="C13757" i="1"/>
  <c r="A13758" i="1"/>
  <c r="C13758" i="1"/>
  <c r="A13759" i="1"/>
  <c r="C13759" i="1"/>
  <c r="A13760" i="1"/>
  <c r="C13760" i="1"/>
  <c r="A13761" i="1"/>
  <c r="C13761" i="1"/>
  <c r="A13762" i="1"/>
  <c r="C13762" i="1"/>
  <c r="A13763" i="1"/>
  <c r="C13763" i="1"/>
  <c r="A13764" i="1"/>
  <c r="C13764" i="1"/>
  <c r="A13765" i="1"/>
  <c r="C13765" i="1"/>
  <c r="A13766" i="1"/>
  <c r="C13766" i="1"/>
  <c r="A13767" i="1"/>
  <c r="C13767" i="1"/>
  <c r="A13768" i="1"/>
  <c r="C13768" i="1"/>
  <c r="A13769" i="1"/>
  <c r="C13769" i="1"/>
  <c r="A13770" i="1"/>
  <c r="C13770" i="1"/>
  <c r="A13771" i="1"/>
  <c r="C13771" i="1"/>
  <c r="A13772" i="1"/>
  <c r="C13772" i="1"/>
  <c r="A13773" i="1"/>
  <c r="C13773" i="1"/>
  <c r="A13774" i="1"/>
  <c r="C13774" i="1"/>
  <c r="A13775" i="1"/>
  <c r="C13775" i="1"/>
  <c r="A13776" i="1"/>
  <c r="C13776" i="1"/>
  <c r="A13777" i="1"/>
  <c r="C13777" i="1"/>
  <c r="A13778" i="1"/>
  <c r="C13778" i="1"/>
  <c r="A13779" i="1"/>
  <c r="C13779" i="1"/>
  <c r="A13780" i="1"/>
  <c r="C13780" i="1"/>
  <c r="A13781" i="1"/>
  <c r="C13781" i="1"/>
  <c r="A13782" i="1"/>
  <c r="C13782" i="1"/>
  <c r="A13783" i="1"/>
  <c r="C13783" i="1"/>
  <c r="A13784" i="1"/>
  <c r="C13784" i="1"/>
  <c r="A13785" i="1"/>
  <c r="C13785" i="1"/>
  <c r="A13786" i="1"/>
  <c r="C13786" i="1"/>
  <c r="A13787" i="1"/>
  <c r="C13787" i="1"/>
  <c r="A13788" i="1"/>
  <c r="C13788" i="1"/>
  <c r="A13789" i="1"/>
  <c r="C13789" i="1"/>
  <c r="A13790" i="1"/>
  <c r="C13790" i="1"/>
  <c r="A13791" i="1"/>
  <c r="C13791" i="1"/>
  <c r="A13792" i="1"/>
  <c r="C13792" i="1"/>
  <c r="A13793" i="1"/>
  <c r="C13793" i="1"/>
  <c r="A13794" i="1"/>
  <c r="C13794" i="1"/>
  <c r="A13795" i="1"/>
  <c r="C13795" i="1"/>
  <c r="A13796" i="1"/>
  <c r="C13796" i="1"/>
  <c r="A13797" i="1"/>
  <c r="C13797" i="1"/>
  <c r="A13798" i="1"/>
  <c r="C13798" i="1"/>
  <c r="A13799" i="1"/>
  <c r="C13799" i="1"/>
  <c r="A13800" i="1"/>
  <c r="C13800" i="1"/>
  <c r="A13801" i="1"/>
  <c r="C13801" i="1"/>
  <c r="A13802" i="1"/>
  <c r="C13802" i="1"/>
  <c r="A13803" i="1"/>
  <c r="C13803" i="1"/>
  <c r="A13804" i="1"/>
  <c r="C13804" i="1"/>
  <c r="A13805" i="1"/>
  <c r="C13805" i="1"/>
  <c r="A13806" i="1"/>
  <c r="C13806" i="1"/>
  <c r="A13807" i="1"/>
  <c r="C13807" i="1"/>
  <c r="A13808" i="1"/>
  <c r="C13808" i="1"/>
  <c r="A13809" i="1"/>
  <c r="C13809" i="1"/>
  <c r="A13810" i="1"/>
  <c r="C13810" i="1"/>
  <c r="A13811" i="1"/>
  <c r="C13811" i="1"/>
  <c r="A13812" i="1"/>
  <c r="C13812" i="1"/>
  <c r="A13813" i="1"/>
  <c r="C13813" i="1"/>
  <c r="A13814" i="1"/>
  <c r="C13814" i="1"/>
  <c r="A13815" i="1"/>
  <c r="C13815" i="1"/>
  <c r="A13816" i="1"/>
  <c r="C13816" i="1"/>
  <c r="A13817" i="1"/>
  <c r="C13817" i="1"/>
  <c r="A13818" i="1"/>
  <c r="C13818" i="1"/>
  <c r="A13819" i="1"/>
  <c r="C13819" i="1"/>
  <c r="A13820" i="1"/>
  <c r="C13820" i="1"/>
  <c r="A13821" i="1"/>
  <c r="C13821" i="1"/>
  <c r="A13822" i="1"/>
  <c r="C13822" i="1"/>
  <c r="A13823" i="1"/>
  <c r="C13823" i="1"/>
  <c r="A13824" i="1"/>
  <c r="C13824" i="1"/>
  <c r="A13825" i="1"/>
  <c r="C13825" i="1"/>
  <c r="A13826" i="1"/>
  <c r="C13826" i="1"/>
  <c r="A13827" i="1"/>
  <c r="C13827" i="1"/>
  <c r="A13828" i="1"/>
  <c r="C13828" i="1"/>
  <c r="A13829" i="1"/>
  <c r="C13829" i="1"/>
  <c r="A13830" i="1"/>
  <c r="C13830" i="1"/>
  <c r="A13831" i="1"/>
  <c r="C13831" i="1"/>
  <c r="A13832" i="1"/>
  <c r="C13832" i="1"/>
  <c r="A13833" i="1"/>
  <c r="C13833" i="1"/>
  <c r="A13834" i="1"/>
  <c r="C13834" i="1"/>
  <c r="A13835" i="1"/>
  <c r="C13835" i="1"/>
  <c r="A13836" i="1"/>
  <c r="C13836" i="1"/>
  <c r="A13837" i="1"/>
  <c r="C13837" i="1"/>
  <c r="A13838" i="1"/>
  <c r="C13838" i="1"/>
  <c r="A13839" i="1"/>
  <c r="C13839" i="1"/>
  <c r="A13840" i="1"/>
  <c r="C13840" i="1"/>
  <c r="A13841" i="1"/>
  <c r="C13841" i="1"/>
  <c r="A13842" i="1"/>
  <c r="C13842" i="1"/>
  <c r="A13843" i="1"/>
  <c r="C13843" i="1"/>
  <c r="A13844" i="1"/>
  <c r="C13844" i="1"/>
  <c r="A13845" i="1"/>
  <c r="C13845" i="1"/>
  <c r="A13846" i="1"/>
  <c r="C13846" i="1"/>
  <c r="A13847" i="1"/>
  <c r="C13847" i="1"/>
  <c r="A13848" i="1"/>
  <c r="C13848" i="1"/>
  <c r="A13849" i="1"/>
  <c r="C13849" i="1"/>
  <c r="A13850" i="1"/>
  <c r="C13850" i="1"/>
  <c r="A13851" i="1"/>
  <c r="C13851" i="1"/>
  <c r="A13852" i="1"/>
  <c r="C13852" i="1"/>
  <c r="A13853" i="1"/>
  <c r="C13853" i="1"/>
  <c r="A13854" i="1"/>
  <c r="C13854" i="1"/>
  <c r="A13855" i="1"/>
  <c r="C13855" i="1"/>
  <c r="A13856" i="1"/>
  <c r="C13856" i="1"/>
  <c r="A13857" i="1"/>
  <c r="C13857" i="1"/>
  <c r="A13858" i="1"/>
  <c r="C13858" i="1"/>
  <c r="A13859" i="1"/>
  <c r="C13859" i="1"/>
  <c r="A13860" i="1"/>
  <c r="C13860" i="1"/>
  <c r="A13861" i="1"/>
  <c r="C13861" i="1"/>
  <c r="A13862" i="1"/>
  <c r="C13862" i="1"/>
  <c r="A13863" i="1"/>
  <c r="C13863" i="1"/>
  <c r="A13864" i="1"/>
  <c r="C13864" i="1"/>
  <c r="A13865" i="1"/>
  <c r="C13865" i="1"/>
  <c r="A13866" i="1"/>
  <c r="C13866" i="1"/>
  <c r="A13867" i="1"/>
  <c r="C13867" i="1"/>
  <c r="A13868" i="1"/>
  <c r="C13868" i="1"/>
  <c r="A13869" i="1"/>
  <c r="C13869" i="1"/>
  <c r="A13870" i="1"/>
  <c r="C13870" i="1"/>
  <c r="A13871" i="1"/>
  <c r="C13871" i="1"/>
  <c r="A13872" i="1"/>
  <c r="C13872" i="1"/>
  <c r="A13873" i="1"/>
  <c r="C13873" i="1"/>
  <c r="A13874" i="1"/>
  <c r="C13874" i="1"/>
  <c r="A13875" i="1"/>
  <c r="C13875" i="1"/>
  <c r="A13876" i="1"/>
  <c r="C13876" i="1"/>
  <c r="A13877" i="1"/>
  <c r="C13877" i="1"/>
  <c r="A13878" i="1"/>
  <c r="C13878" i="1"/>
  <c r="A13879" i="1"/>
  <c r="C13879" i="1"/>
  <c r="A13880" i="1"/>
  <c r="C13880" i="1"/>
  <c r="A13881" i="1"/>
  <c r="C13881" i="1"/>
  <c r="A13882" i="1"/>
  <c r="C13882" i="1"/>
  <c r="A13883" i="1"/>
  <c r="C13883" i="1"/>
  <c r="A13884" i="1"/>
  <c r="C13884" i="1"/>
  <c r="A13885" i="1"/>
  <c r="C13885" i="1"/>
  <c r="A13886" i="1"/>
  <c r="C13886" i="1"/>
  <c r="A13887" i="1"/>
  <c r="C13887" i="1"/>
  <c r="A13888" i="1"/>
  <c r="C13888" i="1"/>
  <c r="A13889" i="1"/>
  <c r="C13889" i="1"/>
  <c r="A13890" i="1"/>
  <c r="C13890" i="1"/>
  <c r="A13891" i="1"/>
  <c r="C13891" i="1"/>
  <c r="A13892" i="1"/>
  <c r="C13892" i="1"/>
  <c r="A13893" i="1"/>
  <c r="C13893" i="1"/>
  <c r="A13894" i="1"/>
  <c r="C13894" i="1"/>
  <c r="A13895" i="1"/>
  <c r="C13895" i="1"/>
  <c r="A13896" i="1"/>
  <c r="C13896" i="1"/>
  <c r="A13897" i="1"/>
  <c r="C13897" i="1"/>
  <c r="A13898" i="1"/>
  <c r="C13898" i="1"/>
  <c r="A13899" i="1"/>
  <c r="C13899" i="1"/>
  <c r="A13900" i="1"/>
  <c r="C13900" i="1"/>
  <c r="A13901" i="1"/>
  <c r="C13901" i="1"/>
  <c r="A13902" i="1"/>
  <c r="C13902" i="1"/>
  <c r="A13903" i="1"/>
  <c r="C13903" i="1"/>
  <c r="A13904" i="1"/>
  <c r="C13904" i="1"/>
  <c r="A13905" i="1"/>
  <c r="C13905" i="1"/>
  <c r="A13906" i="1"/>
  <c r="C13906" i="1"/>
  <c r="A13907" i="1"/>
  <c r="C13907" i="1"/>
  <c r="A13908" i="1"/>
  <c r="C13908" i="1"/>
  <c r="A13909" i="1"/>
  <c r="C13909" i="1"/>
  <c r="A13910" i="1"/>
  <c r="C13910" i="1"/>
  <c r="A13911" i="1"/>
  <c r="C13911" i="1"/>
  <c r="A13912" i="1"/>
  <c r="C13912" i="1"/>
  <c r="A13913" i="1"/>
  <c r="C13913" i="1"/>
  <c r="A13914" i="1"/>
  <c r="C13914" i="1"/>
  <c r="A13915" i="1"/>
  <c r="C13915" i="1"/>
  <c r="A13916" i="1"/>
  <c r="C13916" i="1"/>
  <c r="A13917" i="1"/>
  <c r="C13917" i="1"/>
  <c r="A13918" i="1"/>
  <c r="C13918" i="1"/>
  <c r="A13919" i="1"/>
  <c r="C13919" i="1"/>
  <c r="A13920" i="1"/>
  <c r="C13920" i="1"/>
  <c r="A13921" i="1"/>
  <c r="C13921" i="1"/>
  <c r="A13922" i="1"/>
  <c r="C13922" i="1"/>
  <c r="A13923" i="1"/>
  <c r="C13923" i="1"/>
  <c r="A13924" i="1"/>
  <c r="C13924" i="1"/>
  <c r="A13925" i="1"/>
  <c r="C13925" i="1"/>
  <c r="A13926" i="1"/>
  <c r="C13926" i="1"/>
  <c r="A13927" i="1"/>
  <c r="C13927" i="1"/>
  <c r="A13928" i="1"/>
  <c r="C13928" i="1"/>
  <c r="A13929" i="1"/>
  <c r="C13929" i="1"/>
  <c r="A13930" i="1"/>
  <c r="C13930" i="1"/>
  <c r="A13931" i="1"/>
  <c r="C13931" i="1"/>
  <c r="A13932" i="1"/>
  <c r="C13932" i="1"/>
  <c r="A13933" i="1"/>
  <c r="C13933" i="1"/>
  <c r="A13934" i="1"/>
  <c r="C13934" i="1"/>
  <c r="A13935" i="1"/>
  <c r="C13935" i="1"/>
  <c r="A13936" i="1"/>
  <c r="C13936" i="1"/>
  <c r="A13937" i="1"/>
  <c r="C13937" i="1"/>
  <c r="A13938" i="1"/>
  <c r="C13938" i="1"/>
  <c r="A13939" i="1"/>
  <c r="C13939" i="1"/>
  <c r="A13940" i="1"/>
  <c r="C13940" i="1"/>
  <c r="A13941" i="1"/>
  <c r="C13941" i="1"/>
  <c r="A13942" i="1"/>
  <c r="C13942" i="1"/>
  <c r="A13943" i="1"/>
  <c r="C13943" i="1"/>
  <c r="A13944" i="1"/>
  <c r="C13944" i="1"/>
  <c r="A13945" i="1"/>
  <c r="C13945" i="1"/>
  <c r="A13946" i="1"/>
  <c r="C13946" i="1"/>
  <c r="A13947" i="1"/>
  <c r="C13947" i="1"/>
  <c r="A13948" i="1"/>
  <c r="C13948" i="1"/>
  <c r="A13949" i="1"/>
  <c r="C13949" i="1"/>
  <c r="A13950" i="1"/>
  <c r="C13950" i="1"/>
  <c r="A13951" i="1"/>
  <c r="C13951" i="1"/>
  <c r="A13952" i="1"/>
  <c r="C13952" i="1"/>
  <c r="A13953" i="1"/>
  <c r="C13953" i="1"/>
  <c r="A13954" i="1"/>
  <c r="C13954" i="1"/>
  <c r="A13955" i="1"/>
  <c r="C13955" i="1"/>
  <c r="A13956" i="1"/>
  <c r="C13956" i="1"/>
  <c r="A13957" i="1"/>
  <c r="C13957" i="1"/>
  <c r="A13958" i="1"/>
  <c r="C13958" i="1"/>
  <c r="A13959" i="1"/>
  <c r="C13959" i="1"/>
  <c r="A13960" i="1"/>
  <c r="C13960" i="1"/>
  <c r="A13961" i="1"/>
  <c r="C13961" i="1"/>
  <c r="A13962" i="1"/>
  <c r="C13962" i="1"/>
  <c r="A13963" i="1"/>
  <c r="C13963" i="1"/>
  <c r="A13964" i="1"/>
  <c r="C13964" i="1"/>
  <c r="A13965" i="1"/>
  <c r="C13965" i="1"/>
  <c r="A13966" i="1"/>
  <c r="C13966" i="1"/>
  <c r="A13967" i="1"/>
  <c r="C13967" i="1"/>
  <c r="A13968" i="1"/>
  <c r="C13968" i="1"/>
  <c r="A13969" i="1"/>
  <c r="C13969" i="1"/>
  <c r="A13970" i="1"/>
  <c r="C13970" i="1"/>
  <c r="A13971" i="1"/>
  <c r="C13971" i="1"/>
  <c r="A13972" i="1"/>
  <c r="C13972" i="1"/>
  <c r="A13973" i="1"/>
  <c r="C13973" i="1"/>
  <c r="A13974" i="1"/>
  <c r="C13974" i="1"/>
  <c r="A13975" i="1"/>
  <c r="C13975" i="1"/>
  <c r="A13976" i="1"/>
  <c r="C13976" i="1"/>
  <c r="A13977" i="1"/>
  <c r="C13977" i="1"/>
  <c r="A13978" i="1"/>
  <c r="C13978" i="1"/>
  <c r="A13979" i="1"/>
  <c r="C13979" i="1"/>
  <c r="A13980" i="1"/>
  <c r="C13980" i="1"/>
  <c r="A13981" i="1"/>
  <c r="C13981" i="1"/>
  <c r="A13982" i="1"/>
  <c r="C13982" i="1"/>
  <c r="A13983" i="1"/>
  <c r="C13983" i="1"/>
  <c r="A13984" i="1"/>
  <c r="C13984" i="1"/>
  <c r="A13985" i="1"/>
  <c r="C13985" i="1"/>
  <c r="A13986" i="1"/>
  <c r="C13986" i="1"/>
  <c r="A13987" i="1"/>
  <c r="C13987" i="1"/>
  <c r="A13988" i="1"/>
  <c r="C13988" i="1"/>
  <c r="A13989" i="1"/>
  <c r="C13989" i="1"/>
  <c r="A13990" i="1"/>
  <c r="C13990" i="1"/>
  <c r="A13991" i="1"/>
  <c r="C13991" i="1"/>
  <c r="A13992" i="1"/>
  <c r="C13992" i="1"/>
  <c r="A13993" i="1"/>
  <c r="C13993" i="1"/>
  <c r="A13994" i="1"/>
  <c r="C13994" i="1"/>
  <c r="A13995" i="1"/>
  <c r="C13995" i="1"/>
  <c r="A13996" i="1"/>
  <c r="C13996" i="1"/>
  <c r="A13997" i="1"/>
  <c r="C13997" i="1"/>
  <c r="A13998" i="1"/>
  <c r="C13998" i="1"/>
  <c r="A13999" i="1"/>
  <c r="C13999" i="1"/>
  <c r="A14000" i="1"/>
  <c r="C14000" i="1"/>
  <c r="A14001" i="1"/>
  <c r="C14001" i="1"/>
  <c r="A14002" i="1"/>
  <c r="C14002" i="1"/>
  <c r="A14003" i="1"/>
  <c r="C14003" i="1"/>
  <c r="A14004" i="1"/>
  <c r="C14004" i="1"/>
  <c r="A14005" i="1"/>
  <c r="C14005" i="1"/>
  <c r="A14006" i="1"/>
  <c r="C14006" i="1"/>
  <c r="A14007" i="1"/>
  <c r="C14007" i="1"/>
  <c r="A14008" i="1"/>
  <c r="C14008" i="1"/>
  <c r="A14009" i="1"/>
  <c r="C14009" i="1"/>
  <c r="A14010" i="1"/>
  <c r="C14010" i="1"/>
  <c r="A14011" i="1"/>
  <c r="C14011" i="1"/>
  <c r="A14012" i="1"/>
  <c r="C14012" i="1"/>
  <c r="A14013" i="1"/>
  <c r="C14013" i="1"/>
  <c r="A14014" i="1"/>
  <c r="C14014" i="1"/>
  <c r="A14015" i="1"/>
  <c r="C14015" i="1"/>
  <c r="A14016" i="1"/>
  <c r="C14016" i="1"/>
  <c r="A14017" i="1"/>
  <c r="C14017" i="1"/>
  <c r="A14018" i="1"/>
  <c r="C14018" i="1"/>
  <c r="A14019" i="1"/>
  <c r="C14019" i="1"/>
  <c r="A14020" i="1"/>
  <c r="C14020" i="1"/>
  <c r="A14021" i="1"/>
  <c r="C14021" i="1"/>
  <c r="A14022" i="1"/>
  <c r="C14022" i="1"/>
  <c r="A14023" i="1"/>
  <c r="C14023" i="1"/>
  <c r="A14024" i="1"/>
  <c r="C14024" i="1"/>
  <c r="A14025" i="1"/>
  <c r="C14025" i="1"/>
  <c r="A14026" i="1"/>
  <c r="C14026" i="1"/>
  <c r="A14027" i="1"/>
  <c r="C14027" i="1"/>
  <c r="A14028" i="1"/>
  <c r="C14028" i="1"/>
  <c r="A14029" i="1"/>
  <c r="C14029" i="1"/>
  <c r="A14030" i="1"/>
  <c r="C14030" i="1"/>
  <c r="A14031" i="1"/>
  <c r="C14031" i="1"/>
  <c r="A14032" i="1"/>
  <c r="C14032" i="1"/>
  <c r="A14033" i="1"/>
  <c r="C14033" i="1"/>
  <c r="A14034" i="1"/>
  <c r="C14034" i="1"/>
  <c r="A14035" i="1"/>
  <c r="C14035" i="1"/>
  <c r="A14036" i="1"/>
  <c r="C14036" i="1"/>
  <c r="A14037" i="1"/>
  <c r="C14037" i="1"/>
  <c r="A14038" i="1"/>
  <c r="C14038" i="1"/>
  <c r="A14039" i="1"/>
  <c r="C14039" i="1"/>
  <c r="A14040" i="1"/>
  <c r="C14040" i="1"/>
  <c r="A14041" i="1"/>
  <c r="C14041" i="1"/>
  <c r="A14042" i="1"/>
  <c r="C14042" i="1"/>
  <c r="A14043" i="1"/>
  <c r="C14043" i="1"/>
  <c r="A14044" i="1"/>
  <c r="C14044" i="1"/>
  <c r="A14045" i="1"/>
  <c r="C14045" i="1"/>
  <c r="A14046" i="1"/>
  <c r="C14046" i="1"/>
  <c r="A14047" i="1"/>
  <c r="C14047" i="1"/>
  <c r="A14048" i="1"/>
  <c r="C14048" i="1"/>
  <c r="A14049" i="1"/>
  <c r="C14049" i="1"/>
  <c r="A14050" i="1"/>
  <c r="C14050" i="1"/>
  <c r="A14051" i="1"/>
  <c r="C14051" i="1"/>
  <c r="A14052" i="1"/>
  <c r="C14052" i="1"/>
  <c r="A14053" i="1"/>
  <c r="C14053" i="1"/>
  <c r="A14054" i="1"/>
  <c r="C14054" i="1"/>
  <c r="A14055" i="1"/>
  <c r="C14055" i="1"/>
  <c r="A14056" i="1"/>
  <c r="C14056" i="1"/>
  <c r="A14057" i="1"/>
  <c r="C14057" i="1"/>
  <c r="A14058" i="1"/>
  <c r="C14058" i="1"/>
  <c r="A14059" i="1"/>
  <c r="C14059" i="1"/>
  <c r="A14060" i="1"/>
  <c r="C14060" i="1"/>
  <c r="A14061" i="1"/>
  <c r="C14061" i="1"/>
  <c r="A14062" i="1"/>
  <c r="C14062" i="1"/>
  <c r="A14063" i="1"/>
  <c r="C14063" i="1"/>
  <c r="A14064" i="1"/>
  <c r="C14064" i="1"/>
  <c r="A14065" i="1"/>
  <c r="C14065" i="1"/>
  <c r="A14066" i="1"/>
  <c r="C14066" i="1"/>
  <c r="A14067" i="1"/>
  <c r="C14067" i="1"/>
  <c r="A14068" i="1"/>
  <c r="C14068" i="1"/>
  <c r="A14069" i="1"/>
  <c r="C14069" i="1"/>
  <c r="A14070" i="1"/>
  <c r="C14070" i="1"/>
  <c r="A14071" i="1"/>
  <c r="C14071" i="1"/>
  <c r="A14072" i="1"/>
  <c r="C14072" i="1"/>
  <c r="A14073" i="1"/>
  <c r="C14073" i="1"/>
  <c r="A14074" i="1"/>
  <c r="C14074" i="1"/>
  <c r="A14075" i="1"/>
  <c r="C14075" i="1"/>
  <c r="A14076" i="1"/>
  <c r="C14076" i="1"/>
  <c r="A14077" i="1"/>
  <c r="C14077" i="1"/>
  <c r="A14078" i="1"/>
  <c r="C14078" i="1"/>
  <c r="A14079" i="1"/>
  <c r="C14079" i="1"/>
  <c r="A14080" i="1"/>
  <c r="C14080" i="1"/>
  <c r="A14081" i="1"/>
  <c r="C14081" i="1"/>
  <c r="A14082" i="1"/>
  <c r="C14082" i="1"/>
  <c r="A14083" i="1"/>
  <c r="C14083" i="1"/>
  <c r="A14084" i="1"/>
  <c r="C14084" i="1"/>
  <c r="A14085" i="1"/>
  <c r="C14085" i="1"/>
  <c r="A14086" i="1"/>
  <c r="C14086" i="1"/>
  <c r="A14087" i="1"/>
  <c r="C14087" i="1"/>
  <c r="A14088" i="1"/>
  <c r="C14088" i="1"/>
  <c r="A14089" i="1"/>
  <c r="C14089" i="1"/>
  <c r="A14090" i="1"/>
  <c r="C14090" i="1"/>
  <c r="A14091" i="1"/>
  <c r="C14091" i="1"/>
  <c r="A14092" i="1"/>
  <c r="C14092" i="1"/>
  <c r="A14093" i="1"/>
  <c r="C14093" i="1"/>
  <c r="A14094" i="1"/>
  <c r="C14094" i="1"/>
  <c r="A14095" i="1"/>
  <c r="C14095" i="1"/>
  <c r="A14096" i="1"/>
  <c r="C14096" i="1"/>
  <c r="A14097" i="1"/>
  <c r="C14097" i="1"/>
  <c r="A14098" i="1"/>
  <c r="C14098" i="1"/>
  <c r="A14099" i="1"/>
  <c r="C14099" i="1"/>
  <c r="A14100" i="1"/>
  <c r="C14100" i="1"/>
  <c r="A14101" i="1"/>
  <c r="C14101" i="1"/>
  <c r="A14102" i="1"/>
  <c r="C14102" i="1"/>
  <c r="A14103" i="1"/>
  <c r="C14103" i="1"/>
  <c r="A14104" i="1"/>
  <c r="C14104" i="1"/>
  <c r="A14105" i="1"/>
  <c r="C14105" i="1"/>
  <c r="A14106" i="1"/>
  <c r="C14106" i="1"/>
  <c r="A14107" i="1"/>
  <c r="C14107" i="1"/>
  <c r="A14108" i="1"/>
  <c r="C14108" i="1"/>
  <c r="A14109" i="1"/>
  <c r="C14109" i="1"/>
  <c r="A14110" i="1"/>
  <c r="C14110" i="1"/>
  <c r="A14111" i="1"/>
  <c r="C14111" i="1"/>
  <c r="A14112" i="1"/>
  <c r="C14112" i="1"/>
  <c r="A14113" i="1"/>
  <c r="C14113" i="1"/>
  <c r="A14114" i="1"/>
  <c r="C14114" i="1"/>
  <c r="A14115" i="1"/>
  <c r="C14115" i="1"/>
  <c r="A14116" i="1"/>
  <c r="C14116" i="1"/>
  <c r="A14117" i="1"/>
  <c r="C14117" i="1"/>
  <c r="A14118" i="1"/>
  <c r="C14118" i="1"/>
  <c r="A14119" i="1"/>
  <c r="C14119" i="1"/>
  <c r="A14120" i="1"/>
  <c r="C14120" i="1"/>
  <c r="A14121" i="1"/>
  <c r="C14121" i="1"/>
  <c r="A14122" i="1"/>
  <c r="C14122" i="1"/>
  <c r="A14123" i="1"/>
  <c r="C14123" i="1"/>
  <c r="A14124" i="1"/>
  <c r="C14124" i="1"/>
  <c r="A14125" i="1"/>
  <c r="C14125" i="1"/>
  <c r="A14126" i="1"/>
  <c r="C14126" i="1"/>
  <c r="A14127" i="1"/>
  <c r="C14127" i="1"/>
  <c r="A14128" i="1"/>
  <c r="C14128" i="1"/>
  <c r="A14129" i="1"/>
  <c r="C14129" i="1"/>
  <c r="A14130" i="1"/>
  <c r="C14130" i="1"/>
  <c r="A14131" i="1"/>
  <c r="C14131" i="1"/>
  <c r="A14132" i="1"/>
  <c r="C14132" i="1"/>
  <c r="A14133" i="1"/>
  <c r="C14133" i="1"/>
  <c r="A14134" i="1"/>
  <c r="C14134" i="1"/>
  <c r="A14135" i="1"/>
  <c r="C14135" i="1"/>
  <c r="A14136" i="1"/>
  <c r="C14136" i="1"/>
  <c r="A14137" i="1"/>
  <c r="C14137" i="1"/>
  <c r="A14138" i="1"/>
  <c r="C14138" i="1"/>
  <c r="A14139" i="1"/>
  <c r="C14139" i="1"/>
  <c r="A14140" i="1"/>
  <c r="C14140" i="1"/>
  <c r="A14141" i="1"/>
  <c r="C14141" i="1"/>
  <c r="A14142" i="1"/>
  <c r="C14142" i="1"/>
  <c r="A14143" i="1"/>
  <c r="C14143" i="1"/>
  <c r="A14144" i="1"/>
  <c r="C14144" i="1"/>
  <c r="A14145" i="1"/>
  <c r="C14145" i="1"/>
  <c r="A14146" i="1"/>
  <c r="C14146" i="1"/>
  <c r="A14147" i="1"/>
  <c r="C14147" i="1"/>
  <c r="A14148" i="1"/>
  <c r="C14148" i="1"/>
  <c r="A14149" i="1"/>
  <c r="C14149" i="1"/>
  <c r="A14150" i="1"/>
  <c r="C14150" i="1"/>
  <c r="A14151" i="1"/>
  <c r="C14151" i="1"/>
  <c r="A14152" i="1"/>
  <c r="C14152" i="1"/>
  <c r="A14153" i="1"/>
  <c r="C14153" i="1"/>
  <c r="A14154" i="1"/>
  <c r="C14154" i="1"/>
  <c r="A14155" i="1"/>
  <c r="C14155" i="1"/>
  <c r="A14156" i="1"/>
  <c r="C14156" i="1"/>
  <c r="A14157" i="1"/>
  <c r="C14157" i="1"/>
  <c r="A14158" i="1"/>
  <c r="C14158" i="1"/>
  <c r="A14159" i="1"/>
  <c r="C14159" i="1"/>
  <c r="A14160" i="1"/>
  <c r="C14160" i="1"/>
  <c r="A14161" i="1"/>
  <c r="C14161" i="1"/>
  <c r="A14162" i="1"/>
  <c r="C14162" i="1"/>
  <c r="A14163" i="1"/>
  <c r="C14163" i="1"/>
  <c r="A14164" i="1"/>
  <c r="C14164" i="1"/>
  <c r="A14165" i="1"/>
  <c r="C14165" i="1"/>
  <c r="A14166" i="1"/>
  <c r="C14166" i="1"/>
  <c r="A14167" i="1"/>
  <c r="C14167" i="1"/>
  <c r="A14168" i="1"/>
  <c r="C14168" i="1"/>
  <c r="A14169" i="1"/>
  <c r="C14169" i="1"/>
  <c r="A14170" i="1"/>
  <c r="C14170" i="1"/>
  <c r="A14171" i="1"/>
  <c r="C14171" i="1"/>
  <c r="A14172" i="1"/>
  <c r="C14172" i="1"/>
  <c r="A14173" i="1"/>
  <c r="C14173" i="1"/>
  <c r="A14174" i="1"/>
  <c r="C14174" i="1"/>
  <c r="A14175" i="1"/>
  <c r="C14175" i="1"/>
  <c r="A14176" i="1"/>
  <c r="C14176" i="1"/>
  <c r="A14177" i="1"/>
  <c r="C14177" i="1"/>
  <c r="A14178" i="1"/>
  <c r="C14178" i="1"/>
  <c r="A14179" i="1"/>
  <c r="C14179" i="1"/>
  <c r="A14180" i="1"/>
  <c r="C14180" i="1"/>
  <c r="A14181" i="1"/>
  <c r="C14181" i="1"/>
  <c r="A14182" i="1"/>
  <c r="C14182" i="1"/>
  <c r="A14183" i="1"/>
  <c r="C14183" i="1"/>
  <c r="A14184" i="1"/>
  <c r="C14184" i="1"/>
  <c r="A14185" i="1"/>
  <c r="C14185" i="1"/>
  <c r="A14186" i="1"/>
  <c r="C14186" i="1"/>
  <c r="A14187" i="1"/>
  <c r="C14187" i="1"/>
  <c r="A14188" i="1"/>
  <c r="C14188" i="1"/>
  <c r="A14189" i="1"/>
  <c r="C14189" i="1"/>
  <c r="A14190" i="1"/>
  <c r="C14190" i="1"/>
  <c r="A14191" i="1"/>
  <c r="C14191" i="1"/>
  <c r="A14192" i="1"/>
  <c r="C14192" i="1"/>
  <c r="A14193" i="1"/>
  <c r="C14193" i="1"/>
  <c r="A14194" i="1"/>
  <c r="C14194" i="1"/>
  <c r="A14195" i="1"/>
  <c r="C14195" i="1"/>
  <c r="A14196" i="1"/>
  <c r="C14196" i="1"/>
  <c r="A14197" i="1"/>
  <c r="C14197" i="1"/>
  <c r="A14198" i="1"/>
  <c r="C14198" i="1"/>
  <c r="A14199" i="1"/>
  <c r="C14199" i="1"/>
  <c r="A14200" i="1"/>
  <c r="C14200" i="1"/>
  <c r="A14201" i="1"/>
  <c r="C14201" i="1"/>
  <c r="A14202" i="1"/>
  <c r="C14202" i="1"/>
  <c r="A14203" i="1"/>
  <c r="C14203" i="1"/>
  <c r="A14204" i="1"/>
  <c r="C14204" i="1"/>
  <c r="A14205" i="1"/>
  <c r="C14205" i="1"/>
  <c r="A14206" i="1"/>
  <c r="C14206" i="1"/>
  <c r="A14207" i="1"/>
  <c r="C14207" i="1"/>
  <c r="A14208" i="1"/>
  <c r="C14208" i="1"/>
  <c r="A14209" i="1"/>
  <c r="C14209" i="1"/>
  <c r="A14210" i="1"/>
  <c r="C14210" i="1"/>
  <c r="A14211" i="1"/>
  <c r="C14211" i="1"/>
  <c r="A14212" i="1"/>
  <c r="C14212" i="1"/>
  <c r="A14213" i="1"/>
  <c r="C14213" i="1"/>
  <c r="A14214" i="1"/>
  <c r="C14214" i="1"/>
  <c r="A14215" i="1"/>
  <c r="C14215" i="1"/>
  <c r="A14216" i="1"/>
  <c r="C14216" i="1"/>
  <c r="A14217" i="1"/>
  <c r="C14217" i="1"/>
  <c r="A14218" i="1"/>
  <c r="C14218" i="1"/>
  <c r="A14219" i="1"/>
  <c r="C14219" i="1"/>
  <c r="A14220" i="1"/>
  <c r="C14220" i="1"/>
  <c r="A14221" i="1"/>
  <c r="C14221" i="1"/>
  <c r="A14222" i="1"/>
  <c r="C14222" i="1"/>
  <c r="A14223" i="1"/>
  <c r="C14223" i="1"/>
  <c r="A14224" i="1"/>
  <c r="C14224" i="1"/>
  <c r="A14225" i="1"/>
  <c r="C14225" i="1"/>
  <c r="A14226" i="1"/>
  <c r="C14226" i="1"/>
  <c r="A14227" i="1"/>
  <c r="C14227" i="1"/>
  <c r="A14228" i="1"/>
  <c r="C14228" i="1"/>
  <c r="A14229" i="1"/>
  <c r="C14229" i="1"/>
  <c r="A14230" i="1"/>
  <c r="C14230" i="1"/>
  <c r="A14231" i="1"/>
  <c r="C14231" i="1"/>
  <c r="A14232" i="1"/>
  <c r="C14232" i="1"/>
  <c r="A14233" i="1"/>
  <c r="C14233" i="1"/>
  <c r="A14234" i="1"/>
  <c r="C14234" i="1"/>
  <c r="A14235" i="1"/>
  <c r="C14235" i="1"/>
  <c r="A14236" i="1"/>
  <c r="C14236" i="1"/>
  <c r="A14237" i="1"/>
  <c r="C14237" i="1"/>
  <c r="A14238" i="1"/>
  <c r="C14238" i="1"/>
  <c r="A14239" i="1"/>
  <c r="C14239" i="1"/>
  <c r="A14240" i="1"/>
  <c r="C14240" i="1"/>
  <c r="A14241" i="1"/>
  <c r="C14241" i="1"/>
  <c r="A14242" i="1"/>
  <c r="C14242" i="1"/>
  <c r="A14243" i="1"/>
  <c r="C14243" i="1"/>
  <c r="A14244" i="1"/>
  <c r="C14244" i="1"/>
  <c r="A14245" i="1"/>
  <c r="C14245" i="1"/>
  <c r="A14246" i="1"/>
  <c r="C14246" i="1"/>
  <c r="A14247" i="1"/>
  <c r="C14247" i="1"/>
  <c r="A14248" i="1"/>
  <c r="C14248" i="1"/>
  <c r="A14249" i="1"/>
  <c r="C14249" i="1"/>
  <c r="A14250" i="1"/>
  <c r="C14250" i="1"/>
  <c r="A14251" i="1"/>
  <c r="C14251" i="1"/>
  <c r="A14252" i="1"/>
  <c r="C14252" i="1"/>
  <c r="A14253" i="1"/>
  <c r="C14253" i="1"/>
  <c r="A14254" i="1"/>
  <c r="C14254" i="1"/>
  <c r="A14255" i="1"/>
  <c r="C14255" i="1"/>
  <c r="A14256" i="1"/>
  <c r="C14256" i="1"/>
  <c r="A14257" i="1"/>
  <c r="C14257" i="1"/>
  <c r="A14258" i="1"/>
  <c r="C14258" i="1"/>
  <c r="A14259" i="1"/>
  <c r="C14259" i="1"/>
  <c r="A14260" i="1"/>
  <c r="C14260" i="1"/>
  <c r="A14261" i="1"/>
  <c r="C14261" i="1"/>
  <c r="A14262" i="1"/>
  <c r="C14262" i="1"/>
  <c r="A14263" i="1"/>
  <c r="C14263" i="1"/>
  <c r="A14264" i="1"/>
  <c r="C14264" i="1"/>
  <c r="A14265" i="1"/>
  <c r="C14265" i="1"/>
  <c r="A14266" i="1"/>
  <c r="C14266" i="1"/>
  <c r="A14267" i="1"/>
  <c r="C14267" i="1"/>
  <c r="A14268" i="1"/>
  <c r="C14268" i="1"/>
  <c r="A14269" i="1"/>
  <c r="C14269" i="1"/>
  <c r="A14270" i="1"/>
  <c r="C14270" i="1"/>
  <c r="A14271" i="1"/>
  <c r="C14271" i="1"/>
  <c r="A14272" i="1"/>
  <c r="C14272" i="1"/>
  <c r="A14273" i="1"/>
  <c r="C14273" i="1"/>
  <c r="A14274" i="1"/>
  <c r="C14274" i="1"/>
  <c r="A14275" i="1"/>
  <c r="C14275" i="1"/>
  <c r="A14276" i="1"/>
  <c r="C14276" i="1"/>
  <c r="A14277" i="1"/>
  <c r="C14277" i="1"/>
  <c r="A14278" i="1"/>
  <c r="C14278" i="1"/>
  <c r="A14279" i="1"/>
  <c r="C14279" i="1"/>
  <c r="A14280" i="1"/>
  <c r="C14280" i="1"/>
  <c r="A14281" i="1"/>
  <c r="C14281" i="1"/>
  <c r="A14282" i="1"/>
  <c r="C14282" i="1"/>
  <c r="A14283" i="1"/>
  <c r="C14283" i="1"/>
  <c r="A14284" i="1"/>
  <c r="C14284" i="1"/>
  <c r="A14285" i="1"/>
  <c r="C14285" i="1"/>
  <c r="A14286" i="1"/>
  <c r="C14286" i="1"/>
  <c r="A14287" i="1"/>
  <c r="C14287" i="1"/>
  <c r="A14288" i="1"/>
  <c r="C14288" i="1"/>
  <c r="A14289" i="1"/>
  <c r="C14289" i="1"/>
  <c r="A14290" i="1"/>
  <c r="C14290" i="1"/>
  <c r="A14291" i="1"/>
  <c r="C14291" i="1"/>
  <c r="A14292" i="1"/>
  <c r="C14292" i="1"/>
  <c r="A14293" i="1"/>
  <c r="C14293" i="1"/>
  <c r="A14294" i="1"/>
  <c r="C14294" i="1"/>
  <c r="A14295" i="1"/>
  <c r="C14295" i="1"/>
  <c r="A14296" i="1"/>
  <c r="C14296" i="1"/>
  <c r="A14297" i="1"/>
  <c r="C14297" i="1"/>
  <c r="A14298" i="1"/>
  <c r="C14298" i="1"/>
  <c r="A14299" i="1"/>
  <c r="C14299" i="1"/>
  <c r="A14300" i="1"/>
  <c r="C14300" i="1"/>
  <c r="A14301" i="1"/>
  <c r="C14301" i="1"/>
  <c r="A14302" i="1"/>
  <c r="C14302" i="1"/>
  <c r="A14303" i="1"/>
  <c r="C14303" i="1"/>
  <c r="A14304" i="1"/>
  <c r="C14304" i="1"/>
  <c r="A14305" i="1"/>
  <c r="C14305" i="1"/>
  <c r="A14306" i="1"/>
  <c r="C14306" i="1"/>
  <c r="A14307" i="1"/>
  <c r="C14307" i="1"/>
  <c r="A14308" i="1"/>
  <c r="C14308" i="1"/>
  <c r="A14309" i="1"/>
  <c r="C14309" i="1"/>
  <c r="A14310" i="1"/>
  <c r="C14310" i="1"/>
  <c r="A14311" i="1"/>
  <c r="C14311" i="1"/>
  <c r="A14312" i="1"/>
  <c r="C14312" i="1"/>
  <c r="A14313" i="1"/>
  <c r="C14313" i="1"/>
  <c r="A14314" i="1"/>
  <c r="C14314" i="1"/>
  <c r="A14315" i="1"/>
  <c r="C14315" i="1"/>
  <c r="A14316" i="1"/>
  <c r="C14316" i="1"/>
  <c r="A14317" i="1"/>
  <c r="C14317" i="1"/>
  <c r="A14318" i="1"/>
  <c r="C14318" i="1"/>
  <c r="A14319" i="1"/>
  <c r="C14319" i="1"/>
  <c r="A14320" i="1"/>
  <c r="C14320" i="1"/>
  <c r="A14321" i="1"/>
  <c r="C14321" i="1"/>
  <c r="A14322" i="1"/>
  <c r="C14322" i="1"/>
  <c r="A14323" i="1"/>
  <c r="C14323" i="1"/>
  <c r="A14324" i="1"/>
  <c r="C14324" i="1"/>
  <c r="A14325" i="1"/>
  <c r="C14325" i="1"/>
  <c r="A14326" i="1"/>
  <c r="C14326" i="1"/>
  <c r="A14327" i="1"/>
  <c r="C14327" i="1"/>
  <c r="A14328" i="1"/>
  <c r="C14328" i="1"/>
  <c r="A14329" i="1"/>
  <c r="C14329" i="1"/>
  <c r="A14330" i="1"/>
  <c r="C14330" i="1"/>
  <c r="A14331" i="1"/>
  <c r="C14331" i="1"/>
  <c r="A14332" i="1"/>
  <c r="C14332" i="1"/>
  <c r="A14333" i="1"/>
  <c r="C14333" i="1"/>
  <c r="A14334" i="1"/>
  <c r="C14334" i="1"/>
  <c r="A14335" i="1"/>
  <c r="C14335" i="1"/>
  <c r="A14336" i="1"/>
  <c r="C14336" i="1"/>
  <c r="A14337" i="1"/>
  <c r="C14337" i="1"/>
  <c r="A14338" i="1"/>
  <c r="C14338" i="1"/>
  <c r="A14339" i="1"/>
  <c r="C14339" i="1"/>
  <c r="A14340" i="1"/>
  <c r="C14340" i="1"/>
  <c r="A14341" i="1"/>
  <c r="C14341" i="1"/>
  <c r="A14342" i="1"/>
  <c r="C14342" i="1"/>
  <c r="A14343" i="1"/>
  <c r="C14343" i="1"/>
  <c r="A14344" i="1"/>
  <c r="C14344" i="1"/>
  <c r="A14345" i="1"/>
  <c r="C14345" i="1"/>
  <c r="A14346" i="1"/>
  <c r="C14346" i="1"/>
  <c r="A14347" i="1"/>
  <c r="C14347" i="1"/>
  <c r="A14348" i="1"/>
  <c r="C14348" i="1"/>
  <c r="A14349" i="1"/>
  <c r="C14349" i="1"/>
  <c r="A14350" i="1"/>
  <c r="C14350" i="1"/>
  <c r="A14351" i="1"/>
  <c r="C14351" i="1"/>
  <c r="A14352" i="1"/>
  <c r="C14352" i="1"/>
  <c r="A14353" i="1"/>
  <c r="C14353" i="1"/>
  <c r="A14354" i="1"/>
  <c r="C14354" i="1"/>
  <c r="A14355" i="1"/>
  <c r="C14355" i="1"/>
  <c r="A14356" i="1"/>
  <c r="C14356" i="1"/>
  <c r="A14357" i="1"/>
  <c r="C14357" i="1"/>
  <c r="A14358" i="1"/>
  <c r="C14358" i="1"/>
  <c r="A14359" i="1"/>
  <c r="C14359" i="1"/>
  <c r="A14360" i="1"/>
  <c r="C14360" i="1"/>
  <c r="A14361" i="1"/>
  <c r="C14361" i="1"/>
  <c r="A14362" i="1"/>
  <c r="C14362" i="1"/>
  <c r="A14363" i="1"/>
  <c r="C14363" i="1"/>
  <c r="A14364" i="1"/>
  <c r="C14364" i="1"/>
  <c r="A14365" i="1"/>
  <c r="C14365" i="1"/>
  <c r="A14366" i="1"/>
  <c r="C14366" i="1"/>
  <c r="A14367" i="1"/>
  <c r="C14367" i="1"/>
  <c r="A14368" i="1"/>
  <c r="C14368" i="1"/>
  <c r="A14369" i="1"/>
  <c r="C14369" i="1"/>
  <c r="A14370" i="1"/>
  <c r="C14370" i="1"/>
  <c r="A14371" i="1"/>
  <c r="C14371" i="1"/>
  <c r="A14372" i="1"/>
  <c r="C14372" i="1"/>
  <c r="A14373" i="1"/>
  <c r="C14373" i="1"/>
  <c r="A14374" i="1"/>
  <c r="C14374" i="1"/>
  <c r="A14375" i="1"/>
  <c r="C14375" i="1"/>
  <c r="A14376" i="1"/>
  <c r="C14376" i="1"/>
  <c r="A14377" i="1"/>
  <c r="C14377" i="1"/>
  <c r="A14378" i="1"/>
  <c r="C14378" i="1"/>
  <c r="A14379" i="1"/>
  <c r="C14379" i="1"/>
  <c r="A14380" i="1"/>
  <c r="C14380" i="1"/>
  <c r="A14381" i="1"/>
  <c r="C14381" i="1"/>
  <c r="A14382" i="1"/>
  <c r="C14382" i="1"/>
  <c r="A14383" i="1"/>
  <c r="C14383" i="1"/>
  <c r="A14384" i="1"/>
  <c r="C14384" i="1"/>
  <c r="A14385" i="1"/>
  <c r="C14385" i="1"/>
  <c r="A14386" i="1"/>
  <c r="C14386" i="1"/>
  <c r="A14387" i="1"/>
  <c r="C14387" i="1"/>
  <c r="A14388" i="1"/>
  <c r="C14388" i="1"/>
  <c r="A14389" i="1"/>
  <c r="C14389" i="1"/>
  <c r="A14390" i="1"/>
  <c r="C14390" i="1"/>
  <c r="A14391" i="1"/>
  <c r="C14391" i="1"/>
  <c r="A14392" i="1"/>
  <c r="C14392" i="1"/>
  <c r="A14393" i="1"/>
  <c r="C14393" i="1"/>
  <c r="A14394" i="1"/>
  <c r="C14394" i="1"/>
  <c r="A14395" i="1"/>
  <c r="C14395" i="1"/>
  <c r="A14396" i="1"/>
  <c r="C14396" i="1"/>
  <c r="A14397" i="1"/>
  <c r="C14397" i="1"/>
  <c r="A14398" i="1"/>
  <c r="C14398" i="1"/>
  <c r="A14399" i="1"/>
  <c r="C14399" i="1"/>
  <c r="A14400" i="1"/>
  <c r="C14400" i="1"/>
  <c r="A14401" i="1"/>
  <c r="C14401" i="1"/>
  <c r="A14402" i="1"/>
  <c r="C14402" i="1"/>
  <c r="A14403" i="1"/>
  <c r="C14403" i="1"/>
  <c r="A14404" i="1"/>
  <c r="C14404" i="1"/>
  <c r="A14405" i="1"/>
  <c r="C14405" i="1"/>
  <c r="A14406" i="1"/>
  <c r="C14406" i="1"/>
  <c r="A14407" i="1"/>
  <c r="C14407" i="1"/>
  <c r="A14408" i="1"/>
  <c r="C14408" i="1"/>
  <c r="A14409" i="1"/>
  <c r="C14409" i="1"/>
  <c r="A14410" i="1"/>
  <c r="C14410" i="1"/>
  <c r="A14411" i="1"/>
  <c r="C14411" i="1"/>
  <c r="A14412" i="1"/>
  <c r="C14412" i="1"/>
  <c r="A14413" i="1"/>
  <c r="C14413" i="1"/>
  <c r="A14414" i="1"/>
  <c r="C14414" i="1"/>
  <c r="A14415" i="1"/>
  <c r="C14415" i="1"/>
  <c r="A14416" i="1"/>
  <c r="C14416" i="1"/>
  <c r="A14417" i="1"/>
  <c r="C14417" i="1"/>
  <c r="A14418" i="1"/>
  <c r="C14418" i="1"/>
  <c r="A14419" i="1"/>
  <c r="C14419" i="1"/>
  <c r="A14420" i="1"/>
  <c r="C14420" i="1"/>
  <c r="A14421" i="1"/>
  <c r="C14421" i="1"/>
  <c r="A14422" i="1"/>
  <c r="C14422" i="1"/>
  <c r="A14423" i="1"/>
  <c r="C14423" i="1"/>
  <c r="A14424" i="1"/>
  <c r="C14424" i="1"/>
  <c r="A14425" i="1"/>
  <c r="C14425" i="1"/>
  <c r="A14426" i="1"/>
  <c r="C14426" i="1"/>
  <c r="A14427" i="1"/>
  <c r="C14427" i="1"/>
  <c r="A14428" i="1"/>
  <c r="C14428" i="1"/>
  <c r="A14429" i="1"/>
  <c r="C14429" i="1"/>
  <c r="A14430" i="1"/>
  <c r="C14430" i="1"/>
  <c r="A14431" i="1"/>
  <c r="C14431" i="1"/>
  <c r="A14432" i="1"/>
  <c r="C14432" i="1"/>
  <c r="A14433" i="1"/>
  <c r="C14433" i="1"/>
  <c r="A14434" i="1"/>
  <c r="C14434" i="1"/>
  <c r="A14435" i="1"/>
  <c r="C14435" i="1"/>
  <c r="A14436" i="1"/>
  <c r="C14436" i="1"/>
  <c r="A14437" i="1"/>
  <c r="C14437" i="1"/>
  <c r="A14438" i="1"/>
  <c r="C14438" i="1"/>
  <c r="A14439" i="1"/>
  <c r="C14439" i="1"/>
  <c r="A14440" i="1"/>
  <c r="C14440" i="1"/>
  <c r="A14441" i="1"/>
  <c r="C14441" i="1"/>
  <c r="A14442" i="1"/>
  <c r="C14442" i="1"/>
  <c r="A14443" i="1"/>
  <c r="C14443" i="1"/>
  <c r="A14444" i="1"/>
  <c r="C14444" i="1"/>
  <c r="A14445" i="1"/>
  <c r="C14445" i="1"/>
  <c r="A14446" i="1"/>
  <c r="C14446" i="1"/>
  <c r="A14447" i="1"/>
  <c r="C14447" i="1"/>
  <c r="A14448" i="1"/>
  <c r="C14448" i="1"/>
  <c r="A14449" i="1"/>
  <c r="C14449" i="1"/>
  <c r="A14450" i="1"/>
  <c r="C14450" i="1"/>
  <c r="A14451" i="1"/>
  <c r="C14451" i="1"/>
  <c r="A14452" i="1"/>
  <c r="C14452" i="1"/>
  <c r="A14453" i="1"/>
  <c r="C14453" i="1"/>
  <c r="A14454" i="1"/>
  <c r="C14454" i="1"/>
  <c r="A14455" i="1"/>
  <c r="C14455" i="1"/>
  <c r="A14456" i="1"/>
  <c r="C14456" i="1"/>
  <c r="A14457" i="1"/>
  <c r="C14457" i="1"/>
  <c r="A14458" i="1"/>
  <c r="C14458" i="1"/>
  <c r="A14459" i="1"/>
  <c r="C14459" i="1"/>
  <c r="A14460" i="1"/>
  <c r="C14460" i="1"/>
  <c r="A14461" i="1"/>
  <c r="C14461" i="1"/>
  <c r="A14462" i="1"/>
  <c r="C14462" i="1"/>
  <c r="A14463" i="1"/>
  <c r="C14463" i="1"/>
  <c r="A14464" i="1"/>
  <c r="C14464" i="1"/>
  <c r="A14465" i="1"/>
  <c r="C14465" i="1"/>
  <c r="A14466" i="1"/>
  <c r="C14466" i="1"/>
  <c r="A14467" i="1"/>
  <c r="C14467" i="1"/>
  <c r="A14468" i="1"/>
  <c r="C14468" i="1"/>
  <c r="A14469" i="1"/>
  <c r="C14469" i="1"/>
  <c r="A14470" i="1"/>
  <c r="C14470" i="1"/>
  <c r="A14471" i="1"/>
  <c r="C14471" i="1"/>
  <c r="A14472" i="1"/>
  <c r="C14472" i="1"/>
  <c r="A14473" i="1"/>
  <c r="C14473" i="1"/>
  <c r="A14474" i="1"/>
  <c r="C14474" i="1"/>
  <c r="A14475" i="1"/>
  <c r="C14475" i="1"/>
  <c r="A14476" i="1"/>
  <c r="C14476" i="1"/>
  <c r="A14477" i="1"/>
  <c r="C14477" i="1"/>
  <c r="A14478" i="1"/>
  <c r="C14478" i="1"/>
  <c r="A14479" i="1"/>
  <c r="C14479" i="1"/>
  <c r="A14480" i="1"/>
  <c r="C14480" i="1"/>
  <c r="A14481" i="1"/>
  <c r="C14481" i="1"/>
  <c r="A14482" i="1"/>
  <c r="C14482" i="1"/>
  <c r="A14483" i="1"/>
  <c r="C14483" i="1"/>
  <c r="A14484" i="1"/>
  <c r="C14484" i="1"/>
  <c r="A14485" i="1"/>
  <c r="C14485" i="1"/>
  <c r="A14486" i="1"/>
  <c r="C14486" i="1"/>
  <c r="A14487" i="1"/>
  <c r="C14487" i="1"/>
  <c r="A14488" i="1"/>
  <c r="C14488" i="1"/>
  <c r="A14489" i="1"/>
  <c r="C14489" i="1"/>
  <c r="A14490" i="1"/>
  <c r="C14490" i="1"/>
  <c r="A14491" i="1"/>
  <c r="C14491" i="1"/>
  <c r="A14492" i="1"/>
  <c r="C14492" i="1"/>
  <c r="A14493" i="1"/>
  <c r="C14493" i="1"/>
  <c r="A14494" i="1"/>
  <c r="C14494" i="1"/>
  <c r="A14495" i="1"/>
  <c r="C14495" i="1"/>
  <c r="A14496" i="1"/>
  <c r="C14496" i="1"/>
  <c r="A14497" i="1"/>
  <c r="C14497" i="1"/>
  <c r="A14498" i="1"/>
  <c r="C14498" i="1"/>
  <c r="A14499" i="1"/>
  <c r="C14499" i="1"/>
  <c r="A14500" i="1"/>
  <c r="C14500" i="1"/>
  <c r="A14501" i="1"/>
  <c r="C14501" i="1"/>
  <c r="A14502" i="1"/>
  <c r="C14502" i="1"/>
  <c r="A14503" i="1"/>
  <c r="C14503" i="1"/>
  <c r="A14504" i="1"/>
  <c r="C14504" i="1"/>
  <c r="A14505" i="1"/>
  <c r="C14505" i="1"/>
  <c r="A14506" i="1"/>
  <c r="C14506" i="1"/>
  <c r="A14507" i="1"/>
  <c r="C14507" i="1"/>
  <c r="A14508" i="1"/>
  <c r="C14508" i="1"/>
  <c r="A14509" i="1"/>
  <c r="C14509" i="1"/>
  <c r="A14510" i="1"/>
  <c r="C14510" i="1"/>
  <c r="A14511" i="1"/>
  <c r="C14511" i="1"/>
  <c r="A14512" i="1"/>
  <c r="C14512" i="1"/>
  <c r="A14513" i="1"/>
  <c r="C14513" i="1"/>
  <c r="A14514" i="1"/>
  <c r="C14514" i="1"/>
  <c r="A14515" i="1"/>
  <c r="C14515" i="1"/>
  <c r="A14516" i="1"/>
  <c r="C14516" i="1"/>
  <c r="A14517" i="1"/>
  <c r="C14517" i="1"/>
  <c r="A14518" i="1"/>
  <c r="C14518" i="1"/>
  <c r="A14519" i="1"/>
  <c r="C14519" i="1"/>
  <c r="A14520" i="1"/>
  <c r="C14520" i="1"/>
  <c r="A14521" i="1"/>
  <c r="C14521" i="1"/>
  <c r="A14522" i="1"/>
  <c r="C14522" i="1"/>
  <c r="A14523" i="1"/>
  <c r="C14523" i="1"/>
  <c r="A14524" i="1"/>
  <c r="C14524" i="1"/>
  <c r="A14525" i="1"/>
  <c r="C14525" i="1"/>
  <c r="A14526" i="1"/>
  <c r="C14526" i="1"/>
  <c r="A14527" i="1"/>
  <c r="C14527" i="1"/>
  <c r="A14528" i="1"/>
  <c r="C14528" i="1"/>
  <c r="A14529" i="1"/>
  <c r="C14529" i="1"/>
  <c r="A14530" i="1"/>
  <c r="C14530" i="1"/>
  <c r="A14531" i="1"/>
  <c r="C14531" i="1"/>
  <c r="A14532" i="1"/>
  <c r="C14532" i="1"/>
  <c r="A14533" i="1"/>
  <c r="C14533" i="1"/>
  <c r="A14534" i="1"/>
  <c r="C14534" i="1"/>
  <c r="A14535" i="1"/>
  <c r="C14535" i="1"/>
  <c r="A14536" i="1"/>
  <c r="C14536" i="1"/>
  <c r="A14537" i="1"/>
  <c r="C14537" i="1"/>
  <c r="A14538" i="1"/>
  <c r="C14538" i="1"/>
  <c r="A14539" i="1"/>
  <c r="C14539" i="1"/>
  <c r="A14540" i="1"/>
  <c r="C14540" i="1"/>
  <c r="A14541" i="1"/>
  <c r="C14541" i="1"/>
  <c r="A14542" i="1"/>
  <c r="C14542" i="1"/>
  <c r="A14543" i="1"/>
  <c r="C14543" i="1"/>
  <c r="A14544" i="1"/>
  <c r="C14544" i="1"/>
  <c r="A14545" i="1"/>
  <c r="C14545" i="1"/>
  <c r="A14546" i="1"/>
  <c r="C14546" i="1"/>
  <c r="A14547" i="1"/>
  <c r="C14547" i="1"/>
  <c r="A14548" i="1"/>
  <c r="C14548" i="1"/>
  <c r="A14549" i="1"/>
  <c r="C14549" i="1"/>
  <c r="A14550" i="1"/>
  <c r="C14550" i="1"/>
  <c r="A14551" i="1"/>
  <c r="C14551" i="1"/>
  <c r="A14552" i="1"/>
  <c r="C14552" i="1"/>
  <c r="A14553" i="1"/>
  <c r="C14553" i="1"/>
  <c r="A14554" i="1"/>
  <c r="C14554" i="1"/>
  <c r="A14555" i="1"/>
  <c r="C14555" i="1"/>
  <c r="A14556" i="1"/>
  <c r="C14556" i="1"/>
  <c r="A14557" i="1"/>
  <c r="C14557" i="1"/>
  <c r="A14558" i="1"/>
  <c r="C14558" i="1"/>
  <c r="A14559" i="1"/>
  <c r="C14559" i="1"/>
  <c r="A14560" i="1"/>
  <c r="C14560" i="1"/>
  <c r="A14561" i="1"/>
  <c r="C14561" i="1"/>
  <c r="A14562" i="1"/>
  <c r="C14562" i="1"/>
  <c r="A14563" i="1"/>
  <c r="C14563" i="1"/>
  <c r="A14564" i="1"/>
  <c r="C14564" i="1"/>
  <c r="A14565" i="1"/>
  <c r="C14565" i="1"/>
  <c r="A14566" i="1"/>
  <c r="C14566" i="1"/>
  <c r="A14567" i="1"/>
  <c r="C14567" i="1"/>
  <c r="A14568" i="1"/>
  <c r="C14568" i="1"/>
  <c r="A14569" i="1"/>
  <c r="C14569" i="1"/>
  <c r="A14570" i="1"/>
  <c r="C14570" i="1"/>
  <c r="A14571" i="1"/>
  <c r="C14571" i="1"/>
  <c r="A14572" i="1"/>
  <c r="C14572" i="1"/>
  <c r="A14573" i="1"/>
  <c r="C14573" i="1"/>
  <c r="A14574" i="1"/>
  <c r="C14574" i="1"/>
  <c r="A14575" i="1"/>
  <c r="C14575" i="1"/>
  <c r="A14576" i="1"/>
  <c r="C14576" i="1"/>
  <c r="A14577" i="1"/>
  <c r="C14577" i="1"/>
  <c r="A14578" i="1"/>
  <c r="C14578" i="1"/>
  <c r="A14579" i="1"/>
  <c r="C14579" i="1"/>
  <c r="A14580" i="1"/>
  <c r="C14580" i="1"/>
  <c r="A14581" i="1"/>
  <c r="C14581" i="1"/>
  <c r="A14582" i="1"/>
  <c r="C14582" i="1"/>
  <c r="A14583" i="1"/>
  <c r="C14583" i="1"/>
  <c r="A14584" i="1"/>
  <c r="C14584" i="1"/>
  <c r="A14585" i="1"/>
  <c r="C14585" i="1"/>
  <c r="A14586" i="1"/>
  <c r="C14586" i="1"/>
  <c r="A14587" i="1"/>
  <c r="C14587" i="1"/>
  <c r="A14588" i="1"/>
  <c r="C14588" i="1"/>
  <c r="A14589" i="1"/>
  <c r="C14589" i="1"/>
  <c r="A14590" i="1"/>
  <c r="C14590" i="1"/>
  <c r="A14591" i="1"/>
  <c r="C14591" i="1"/>
  <c r="A14592" i="1"/>
  <c r="C14592" i="1"/>
  <c r="A14593" i="1"/>
  <c r="C14593" i="1"/>
  <c r="A14594" i="1"/>
  <c r="C14594" i="1"/>
  <c r="A14595" i="1"/>
  <c r="C14595" i="1"/>
  <c r="A14596" i="1"/>
  <c r="C14596" i="1"/>
  <c r="A14597" i="1"/>
  <c r="C14597" i="1"/>
  <c r="A14598" i="1"/>
  <c r="C14598" i="1"/>
  <c r="A14599" i="1"/>
  <c r="C14599" i="1"/>
  <c r="A14600" i="1"/>
  <c r="C14600" i="1"/>
  <c r="A14601" i="1"/>
  <c r="C14601" i="1"/>
  <c r="A14602" i="1"/>
  <c r="C14602" i="1"/>
  <c r="A14603" i="1"/>
  <c r="C14603" i="1"/>
  <c r="A14604" i="1"/>
  <c r="C14604" i="1"/>
  <c r="A14605" i="1"/>
  <c r="C14605" i="1"/>
  <c r="A14606" i="1"/>
  <c r="C14606" i="1"/>
  <c r="A14607" i="1"/>
  <c r="C14607" i="1"/>
  <c r="A14608" i="1"/>
  <c r="C14608" i="1"/>
  <c r="A14609" i="1"/>
  <c r="C14609" i="1"/>
  <c r="A14610" i="1"/>
  <c r="C14610" i="1"/>
  <c r="A14611" i="1"/>
  <c r="C14611" i="1"/>
  <c r="A14612" i="1"/>
  <c r="C14612" i="1"/>
  <c r="A14613" i="1"/>
  <c r="C14613" i="1"/>
  <c r="A14614" i="1"/>
  <c r="C14614" i="1"/>
  <c r="A14615" i="1"/>
  <c r="C14615" i="1"/>
  <c r="A14616" i="1"/>
  <c r="C14616" i="1"/>
  <c r="A14617" i="1"/>
  <c r="C14617" i="1"/>
  <c r="A14618" i="1"/>
  <c r="C14618" i="1"/>
  <c r="A14619" i="1"/>
  <c r="C14619" i="1"/>
  <c r="A14620" i="1"/>
  <c r="C14620" i="1"/>
  <c r="A14621" i="1"/>
  <c r="C14621" i="1"/>
  <c r="A14622" i="1"/>
  <c r="C14622" i="1"/>
  <c r="A14623" i="1"/>
  <c r="C14623" i="1"/>
  <c r="A14624" i="1"/>
  <c r="C14624" i="1"/>
  <c r="A14625" i="1"/>
  <c r="C14625" i="1"/>
  <c r="A14626" i="1"/>
  <c r="C14626" i="1"/>
  <c r="A14627" i="1"/>
  <c r="C14627" i="1"/>
  <c r="A14628" i="1"/>
  <c r="C14628" i="1"/>
  <c r="A14629" i="1"/>
  <c r="C14629" i="1"/>
  <c r="A14630" i="1"/>
  <c r="C14630" i="1"/>
  <c r="A14631" i="1"/>
  <c r="C14631" i="1"/>
  <c r="A14632" i="1"/>
  <c r="C14632" i="1"/>
  <c r="A14633" i="1"/>
  <c r="C14633" i="1"/>
  <c r="A14634" i="1"/>
  <c r="C14634" i="1"/>
  <c r="A14635" i="1"/>
  <c r="C14635" i="1"/>
  <c r="A14636" i="1"/>
  <c r="C14636" i="1"/>
  <c r="A14637" i="1"/>
  <c r="C14637" i="1"/>
  <c r="A14638" i="1"/>
  <c r="C14638" i="1"/>
  <c r="A14639" i="1"/>
  <c r="C14639" i="1"/>
  <c r="A14640" i="1"/>
  <c r="C14640" i="1"/>
  <c r="A14641" i="1"/>
  <c r="C14641" i="1"/>
  <c r="A14642" i="1"/>
  <c r="C14642" i="1"/>
  <c r="A14643" i="1"/>
  <c r="C14643" i="1"/>
  <c r="A14644" i="1"/>
  <c r="C14644" i="1"/>
  <c r="A14645" i="1"/>
  <c r="C14645" i="1"/>
  <c r="A14646" i="1"/>
  <c r="C14646" i="1"/>
  <c r="A14647" i="1"/>
  <c r="C14647" i="1"/>
  <c r="A14648" i="1"/>
  <c r="C14648" i="1"/>
  <c r="A14649" i="1"/>
  <c r="C14649" i="1"/>
  <c r="A14650" i="1"/>
  <c r="C14650" i="1"/>
  <c r="A14651" i="1"/>
  <c r="C14651" i="1"/>
  <c r="A14652" i="1"/>
  <c r="C14652" i="1"/>
  <c r="A14653" i="1"/>
  <c r="C14653" i="1"/>
  <c r="A14654" i="1"/>
  <c r="C14654" i="1"/>
  <c r="A14655" i="1"/>
  <c r="C14655" i="1"/>
  <c r="A14656" i="1"/>
  <c r="C14656" i="1"/>
  <c r="A14657" i="1"/>
  <c r="C14657" i="1"/>
  <c r="A14658" i="1"/>
  <c r="C14658" i="1"/>
  <c r="A14659" i="1"/>
  <c r="C14659" i="1"/>
  <c r="A14660" i="1"/>
  <c r="C14660" i="1"/>
  <c r="A14661" i="1"/>
  <c r="C14661" i="1"/>
  <c r="A14662" i="1"/>
  <c r="C14662" i="1"/>
  <c r="A14663" i="1"/>
  <c r="C14663" i="1"/>
  <c r="A14664" i="1"/>
  <c r="C14664" i="1"/>
  <c r="A14665" i="1"/>
  <c r="C14665" i="1"/>
  <c r="A14666" i="1"/>
  <c r="C14666" i="1"/>
  <c r="A14667" i="1"/>
  <c r="C14667" i="1"/>
  <c r="A14668" i="1"/>
  <c r="C14668" i="1"/>
  <c r="A14669" i="1"/>
  <c r="C14669" i="1"/>
  <c r="A14670" i="1"/>
  <c r="C14670" i="1"/>
  <c r="A14671" i="1"/>
  <c r="C14671" i="1"/>
  <c r="A14672" i="1"/>
  <c r="C14672" i="1"/>
  <c r="A14673" i="1"/>
  <c r="C14673" i="1"/>
  <c r="A14674" i="1"/>
  <c r="C14674" i="1"/>
  <c r="A14675" i="1"/>
  <c r="C14675" i="1"/>
  <c r="A14676" i="1"/>
  <c r="C14676" i="1"/>
  <c r="A14677" i="1"/>
  <c r="C14677" i="1"/>
  <c r="A14678" i="1"/>
  <c r="C14678" i="1"/>
  <c r="A14679" i="1"/>
  <c r="C14679" i="1"/>
  <c r="A14680" i="1"/>
  <c r="C14680" i="1"/>
  <c r="A14681" i="1"/>
  <c r="C14681" i="1"/>
  <c r="A14682" i="1"/>
  <c r="C14682" i="1"/>
  <c r="A14683" i="1"/>
  <c r="C14683" i="1"/>
  <c r="A14684" i="1"/>
  <c r="C14684" i="1"/>
  <c r="A14685" i="1"/>
  <c r="C14685" i="1"/>
  <c r="A14686" i="1"/>
  <c r="C14686" i="1"/>
  <c r="A14687" i="1"/>
  <c r="C14687" i="1"/>
  <c r="A14688" i="1"/>
  <c r="C14688" i="1"/>
  <c r="A14689" i="1"/>
  <c r="C14689" i="1"/>
  <c r="A14690" i="1"/>
  <c r="C14690" i="1"/>
  <c r="A14691" i="1"/>
  <c r="C14691" i="1"/>
  <c r="A14692" i="1"/>
  <c r="C14692" i="1"/>
  <c r="A14693" i="1"/>
  <c r="C14693" i="1"/>
  <c r="A14694" i="1"/>
  <c r="C14694" i="1"/>
  <c r="A14695" i="1"/>
  <c r="C14695" i="1"/>
  <c r="A14696" i="1"/>
  <c r="C14696" i="1"/>
  <c r="A14697" i="1"/>
  <c r="C14697" i="1"/>
  <c r="A14698" i="1"/>
  <c r="C14698" i="1"/>
  <c r="A14699" i="1"/>
  <c r="C14699" i="1"/>
  <c r="A14700" i="1"/>
  <c r="C14700" i="1"/>
  <c r="A14701" i="1"/>
  <c r="C14701" i="1"/>
  <c r="A14702" i="1"/>
  <c r="C14702" i="1"/>
  <c r="A14703" i="1"/>
  <c r="C14703" i="1"/>
  <c r="A14704" i="1"/>
  <c r="C14704" i="1"/>
  <c r="A14705" i="1"/>
  <c r="C14705" i="1"/>
  <c r="A14706" i="1"/>
  <c r="C14706" i="1"/>
  <c r="A14707" i="1"/>
  <c r="C14707" i="1"/>
  <c r="A14708" i="1"/>
  <c r="C14708" i="1"/>
  <c r="A14709" i="1"/>
  <c r="C14709" i="1"/>
  <c r="A14710" i="1"/>
  <c r="C14710" i="1"/>
  <c r="A14711" i="1"/>
  <c r="C14711" i="1"/>
  <c r="A14712" i="1"/>
  <c r="C14712" i="1"/>
  <c r="A14713" i="1"/>
  <c r="C14713" i="1"/>
  <c r="A14714" i="1"/>
  <c r="C14714" i="1"/>
  <c r="A14715" i="1"/>
  <c r="C14715" i="1"/>
  <c r="A14716" i="1"/>
  <c r="C14716" i="1"/>
  <c r="A14717" i="1"/>
  <c r="C14717" i="1"/>
  <c r="A14718" i="1"/>
  <c r="C14718" i="1"/>
  <c r="A14719" i="1"/>
  <c r="C14719" i="1"/>
  <c r="A14720" i="1"/>
  <c r="C14720" i="1"/>
  <c r="A14721" i="1"/>
  <c r="C14721" i="1"/>
  <c r="A14722" i="1"/>
  <c r="C14722" i="1"/>
  <c r="A14723" i="1"/>
  <c r="C14723" i="1"/>
  <c r="A14724" i="1"/>
  <c r="C14724" i="1"/>
  <c r="A14725" i="1"/>
  <c r="C14725" i="1"/>
  <c r="A14726" i="1"/>
  <c r="C14726" i="1"/>
  <c r="A14727" i="1"/>
  <c r="C14727" i="1"/>
  <c r="A14728" i="1"/>
  <c r="C14728" i="1"/>
  <c r="A14729" i="1"/>
  <c r="C14729" i="1"/>
  <c r="A14730" i="1"/>
  <c r="C14730" i="1"/>
  <c r="A14731" i="1"/>
  <c r="C14731" i="1"/>
  <c r="A14732" i="1"/>
  <c r="C14732" i="1"/>
  <c r="A14733" i="1"/>
  <c r="C14733" i="1"/>
  <c r="A14734" i="1"/>
  <c r="C14734" i="1"/>
  <c r="A14735" i="1"/>
  <c r="C14735" i="1"/>
  <c r="A14736" i="1"/>
  <c r="C14736" i="1"/>
  <c r="A14737" i="1"/>
  <c r="C14737" i="1"/>
  <c r="A14738" i="1"/>
  <c r="C14738" i="1"/>
  <c r="A14739" i="1"/>
  <c r="C14739" i="1"/>
  <c r="A14740" i="1"/>
  <c r="C14740" i="1"/>
  <c r="A14741" i="1"/>
  <c r="C14741" i="1"/>
  <c r="A14742" i="1"/>
  <c r="C14742" i="1"/>
  <c r="A14743" i="1"/>
  <c r="C14743" i="1"/>
  <c r="A14744" i="1"/>
  <c r="C14744" i="1"/>
  <c r="A14745" i="1"/>
  <c r="C14745" i="1"/>
  <c r="A14746" i="1"/>
  <c r="C14746" i="1"/>
  <c r="A14747" i="1"/>
  <c r="C14747" i="1"/>
  <c r="A14748" i="1"/>
  <c r="C14748" i="1"/>
  <c r="A14749" i="1"/>
  <c r="C14749" i="1"/>
  <c r="A14750" i="1"/>
  <c r="C14750" i="1"/>
  <c r="A14751" i="1"/>
  <c r="C14751" i="1"/>
  <c r="A14752" i="1"/>
  <c r="C14752" i="1"/>
  <c r="A14753" i="1"/>
  <c r="C14753" i="1"/>
  <c r="A14754" i="1"/>
  <c r="C14754" i="1"/>
  <c r="A14755" i="1"/>
  <c r="C14755" i="1"/>
  <c r="A14756" i="1"/>
  <c r="C14756" i="1"/>
  <c r="A14757" i="1"/>
  <c r="C14757" i="1"/>
  <c r="A14758" i="1"/>
  <c r="C14758" i="1"/>
  <c r="A14759" i="1"/>
  <c r="C14759" i="1"/>
  <c r="A14760" i="1"/>
  <c r="C14760" i="1"/>
  <c r="A14761" i="1"/>
  <c r="C14761" i="1"/>
  <c r="A14762" i="1"/>
  <c r="C14762" i="1"/>
  <c r="A14763" i="1"/>
  <c r="C14763" i="1"/>
  <c r="A14764" i="1"/>
  <c r="C14764" i="1"/>
  <c r="A14765" i="1"/>
  <c r="C14765" i="1"/>
  <c r="A14766" i="1"/>
  <c r="C14766" i="1"/>
  <c r="A14767" i="1"/>
  <c r="C14767" i="1"/>
  <c r="A14768" i="1"/>
  <c r="C14768" i="1"/>
  <c r="A14769" i="1"/>
  <c r="C14769" i="1"/>
  <c r="A14770" i="1"/>
  <c r="C14770" i="1"/>
  <c r="A14771" i="1"/>
  <c r="C14771" i="1"/>
  <c r="A14772" i="1"/>
  <c r="C14772" i="1"/>
  <c r="A14773" i="1"/>
  <c r="C14773" i="1"/>
  <c r="A14774" i="1"/>
  <c r="C14774" i="1"/>
  <c r="A14775" i="1"/>
  <c r="C14775" i="1"/>
  <c r="A14776" i="1"/>
  <c r="C14776" i="1"/>
  <c r="A14777" i="1"/>
  <c r="C14777" i="1"/>
  <c r="A14778" i="1"/>
  <c r="C14778" i="1"/>
  <c r="A14779" i="1"/>
  <c r="C14779" i="1"/>
  <c r="A14780" i="1"/>
  <c r="C14780" i="1"/>
  <c r="A14781" i="1"/>
  <c r="C14781" i="1"/>
  <c r="A14782" i="1"/>
  <c r="C14782" i="1"/>
  <c r="A14783" i="1"/>
  <c r="C14783" i="1"/>
  <c r="A14784" i="1"/>
  <c r="C14784" i="1"/>
  <c r="A14785" i="1"/>
  <c r="C14785" i="1"/>
  <c r="A14786" i="1"/>
  <c r="C14786" i="1"/>
  <c r="A14787" i="1"/>
  <c r="C14787" i="1"/>
  <c r="A14788" i="1"/>
  <c r="C14788" i="1"/>
  <c r="A14789" i="1"/>
  <c r="C14789" i="1"/>
  <c r="A14790" i="1"/>
  <c r="C14790" i="1"/>
  <c r="A14791" i="1"/>
  <c r="C14791" i="1"/>
  <c r="A14792" i="1"/>
  <c r="C14792" i="1"/>
  <c r="A14793" i="1"/>
  <c r="C14793" i="1"/>
  <c r="A14794" i="1"/>
  <c r="C14794" i="1"/>
  <c r="A14795" i="1"/>
  <c r="C14795" i="1"/>
  <c r="A14796" i="1"/>
  <c r="C14796" i="1"/>
  <c r="A14797" i="1"/>
  <c r="C14797" i="1"/>
  <c r="A14798" i="1"/>
  <c r="C14798" i="1"/>
  <c r="A14799" i="1"/>
  <c r="C14799" i="1"/>
  <c r="A14800" i="1"/>
  <c r="C14800" i="1"/>
  <c r="A14801" i="1"/>
  <c r="C14801" i="1"/>
  <c r="A14802" i="1"/>
  <c r="C14802" i="1"/>
  <c r="A14803" i="1"/>
  <c r="C14803" i="1"/>
  <c r="A14804" i="1"/>
  <c r="C14804" i="1"/>
  <c r="A14805" i="1"/>
  <c r="C14805" i="1"/>
  <c r="A14806" i="1"/>
  <c r="C14806" i="1"/>
  <c r="A14807" i="1"/>
  <c r="C14807" i="1"/>
  <c r="A14808" i="1"/>
  <c r="C14808" i="1"/>
  <c r="A14809" i="1"/>
  <c r="C14809" i="1"/>
  <c r="A14810" i="1"/>
  <c r="C14810" i="1"/>
  <c r="A14811" i="1"/>
  <c r="C14811" i="1"/>
  <c r="A14812" i="1"/>
  <c r="C14812" i="1"/>
  <c r="A14813" i="1"/>
  <c r="C14813" i="1"/>
  <c r="A14814" i="1"/>
  <c r="C14814" i="1"/>
  <c r="A14815" i="1"/>
  <c r="C14815" i="1"/>
  <c r="A14816" i="1"/>
  <c r="C14816" i="1"/>
  <c r="A14817" i="1"/>
  <c r="C14817" i="1"/>
  <c r="A14818" i="1"/>
  <c r="C14818" i="1"/>
  <c r="A14819" i="1"/>
  <c r="C14819" i="1"/>
  <c r="A14820" i="1"/>
  <c r="C14820" i="1"/>
  <c r="A14821" i="1"/>
  <c r="C14821" i="1"/>
  <c r="A14822" i="1"/>
  <c r="C14822" i="1"/>
  <c r="A14823" i="1"/>
  <c r="C14823" i="1"/>
  <c r="A14824" i="1"/>
  <c r="C14824" i="1"/>
  <c r="A14825" i="1"/>
  <c r="C14825" i="1"/>
  <c r="A14826" i="1"/>
  <c r="C14826" i="1"/>
  <c r="A14827" i="1"/>
  <c r="C14827" i="1"/>
  <c r="A14828" i="1"/>
  <c r="C14828" i="1"/>
  <c r="A14829" i="1"/>
  <c r="C14829" i="1"/>
  <c r="A14830" i="1"/>
  <c r="C14830" i="1"/>
  <c r="A14831" i="1"/>
  <c r="C14831" i="1"/>
  <c r="A14832" i="1"/>
  <c r="C14832" i="1"/>
  <c r="A14833" i="1"/>
  <c r="C14833" i="1"/>
  <c r="A14834" i="1"/>
  <c r="C14834" i="1"/>
  <c r="A14835" i="1"/>
  <c r="C14835" i="1"/>
  <c r="A14836" i="1"/>
  <c r="C14836" i="1"/>
  <c r="A14837" i="1"/>
  <c r="C14837" i="1"/>
  <c r="A14838" i="1"/>
  <c r="C14838" i="1"/>
  <c r="A14839" i="1"/>
  <c r="C14839" i="1"/>
  <c r="A14840" i="1"/>
  <c r="C14840" i="1"/>
  <c r="A14841" i="1"/>
  <c r="C14841" i="1"/>
  <c r="A14842" i="1"/>
  <c r="C14842" i="1"/>
  <c r="A14843" i="1"/>
  <c r="C14843" i="1"/>
  <c r="A14844" i="1"/>
  <c r="C14844" i="1"/>
  <c r="A14845" i="1"/>
  <c r="C14845" i="1"/>
  <c r="A14846" i="1"/>
  <c r="C14846" i="1"/>
  <c r="A14847" i="1"/>
  <c r="C14847" i="1"/>
  <c r="A14848" i="1"/>
  <c r="C14848" i="1"/>
  <c r="A14849" i="1"/>
  <c r="C14849" i="1"/>
  <c r="A14850" i="1"/>
  <c r="C14850" i="1"/>
  <c r="A14851" i="1"/>
  <c r="C14851" i="1"/>
  <c r="A14852" i="1"/>
  <c r="C14852" i="1"/>
  <c r="A14853" i="1"/>
  <c r="C14853" i="1"/>
  <c r="A14854" i="1"/>
  <c r="C14854" i="1"/>
  <c r="A14855" i="1"/>
  <c r="C14855" i="1"/>
  <c r="A14856" i="1"/>
  <c r="C14856" i="1"/>
  <c r="A14857" i="1"/>
  <c r="C14857" i="1"/>
  <c r="A14858" i="1"/>
  <c r="C14858" i="1"/>
  <c r="A14859" i="1"/>
  <c r="C14859" i="1"/>
  <c r="A14860" i="1"/>
  <c r="C14860" i="1"/>
  <c r="A14861" i="1"/>
  <c r="C14861" i="1"/>
  <c r="A14862" i="1"/>
  <c r="C14862" i="1"/>
  <c r="A14863" i="1"/>
  <c r="C14863" i="1"/>
  <c r="A14864" i="1"/>
  <c r="C14864" i="1"/>
  <c r="A14865" i="1"/>
  <c r="C14865" i="1"/>
  <c r="A14866" i="1"/>
  <c r="C14866" i="1"/>
  <c r="A14867" i="1"/>
  <c r="C14867" i="1"/>
  <c r="A14868" i="1"/>
  <c r="C14868" i="1"/>
  <c r="A14869" i="1"/>
  <c r="C14869" i="1"/>
  <c r="A14870" i="1"/>
  <c r="C14870" i="1"/>
  <c r="A14871" i="1"/>
  <c r="C14871" i="1"/>
  <c r="A14872" i="1"/>
  <c r="C14872" i="1"/>
  <c r="A14873" i="1"/>
  <c r="C14873" i="1"/>
  <c r="A14874" i="1"/>
  <c r="C14874" i="1"/>
  <c r="A14875" i="1"/>
  <c r="C14875" i="1"/>
  <c r="A14876" i="1"/>
  <c r="C14876" i="1"/>
  <c r="A14877" i="1"/>
  <c r="C14877" i="1"/>
  <c r="A14878" i="1"/>
  <c r="C14878" i="1"/>
  <c r="A14879" i="1"/>
  <c r="C14879" i="1"/>
  <c r="A14880" i="1"/>
  <c r="C14880" i="1"/>
  <c r="A14881" i="1"/>
  <c r="C14881" i="1"/>
  <c r="A14882" i="1"/>
  <c r="C14882" i="1"/>
  <c r="A14883" i="1"/>
  <c r="C14883" i="1"/>
  <c r="A14884" i="1"/>
  <c r="C14884" i="1"/>
  <c r="A14885" i="1"/>
  <c r="C14885" i="1"/>
  <c r="A14886" i="1"/>
  <c r="C14886" i="1"/>
  <c r="A14887" i="1"/>
  <c r="C14887" i="1"/>
  <c r="A14888" i="1"/>
  <c r="C14888" i="1"/>
  <c r="A14889" i="1"/>
  <c r="C14889" i="1"/>
  <c r="A14890" i="1"/>
  <c r="C14890" i="1"/>
  <c r="A14891" i="1"/>
  <c r="C14891" i="1"/>
  <c r="A14892" i="1"/>
  <c r="C14892" i="1"/>
  <c r="A14893" i="1"/>
  <c r="C14893" i="1"/>
  <c r="A14894" i="1"/>
  <c r="C14894" i="1"/>
  <c r="A14895" i="1"/>
  <c r="C14895" i="1"/>
  <c r="A14896" i="1"/>
  <c r="C14896" i="1"/>
  <c r="A14897" i="1"/>
  <c r="C14897" i="1"/>
  <c r="A14898" i="1"/>
  <c r="C14898" i="1"/>
  <c r="A14899" i="1"/>
  <c r="C14899" i="1"/>
  <c r="A14900" i="1"/>
  <c r="C14900" i="1"/>
  <c r="A14901" i="1"/>
  <c r="C14901" i="1"/>
  <c r="A14902" i="1"/>
  <c r="C14902" i="1"/>
  <c r="A14903" i="1"/>
  <c r="C14903" i="1"/>
  <c r="A14904" i="1"/>
  <c r="C14904" i="1"/>
  <c r="A14905" i="1"/>
  <c r="C14905" i="1"/>
  <c r="A14906" i="1"/>
  <c r="C14906" i="1"/>
  <c r="A14907" i="1"/>
  <c r="C14907" i="1"/>
  <c r="A14908" i="1"/>
  <c r="C14908" i="1"/>
  <c r="A14909" i="1"/>
  <c r="C14909" i="1"/>
  <c r="A14910" i="1"/>
  <c r="C14910" i="1"/>
  <c r="A14911" i="1"/>
  <c r="C14911" i="1"/>
  <c r="A14912" i="1"/>
  <c r="C14912" i="1"/>
  <c r="A14913" i="1"/>
  <c r="C14913" i="1"/>
  <c r="A14914" i="1"/>
  <c r="C14914" i="1"/>
  <c r="A14915" i="1"/>
  <c r="C14915" i="1"/>
  <c r="A14916" i="1"/>
  <c r="C14916" i="1"/>
  <c r="A14917" i="1"/>
  <c r="C14917" i="1"/>
  <c r="A14918" i="1"/>
  <c r="C14918" i="1"/>
  <c r="A14919" i="1"/>
  <c r="C14919" i="1"/>
  <c r="A14920" i="1"/>
  <c r="C14920" i="1"/>
  <c r="A14921" i="1"/>
  <c r="C14921" i="1"/>
  <c r="A14922" i="1"/>
  <c r="C14922" i="1"/>
  <c r="A14923" i="1"/>
  <c r="C14923" i="1"/>
  <c r="A14924" i="1"/>
  <c r="C14924" i="1"/>
  <c r="A14925" i="1"/>
  <c r="C14925" i="1"/>
  <c r="A14926" i="1"/>
  <c r="C14926" i="1"/>
  <c r="A14927" i="1"/>
  <c r="C14927" i="1"/>
  <c r="A14928" i="1"/>
  <c r="C14928" i="1"/>
  <c r="A14929" i="1"/>
  <c r="C14929" i="1"/>
  <c r="A14930" i="1"/>
  <c r="C14930" i="1"/>
  <c r="A14931" i="1"/>
  <c r="C14931" i="1"/>
  <c r="A14932" i="1"/>
  <c r="C14932" i="1"/>
  <c r="A14933" i="1"/>
  <c r="C14933" i="1"/>
  <c r="A14934" i="1"/>
  <c r="C14934" i="1"/>
  <c r="A14935" i="1"/>
  <c r="C14935" i="1"/>
  <c r="A14936" i="1"/>
  <c r="C14936" i="1"/>
  <c r="A14937" i="1"/>
  <c r="C14937" i="1"/>
  <c r="A14938" i="1"/>
  <c r="C14938" i="1"/>
  <c r="A14939" i="1"/>
  <c r="C14939" i="1"/>
  <c r="A14940" i="1"/>
  <c r="C14940" i="1"/>
  <c r="A14941" i="1"/>
  <c r="C14941" i="1"/>
  <c r="A14942" i="1"/>
  <c r="C14942" i="1"/>
  <c r="A14943" i="1"/>
  <c r="C14943" i="1"/>
  <c r="A14944" i="1"/>
  <c r="C14944" i="1"/>
  <c r="A14945" i="1"/>
  <c r="C14945" i="1"/>
  <c r="A14946" i="1"/>
  <c r="C14946" i="1"/>
  <c r="A14947" i="1"/>
  <c r="C14947" i="1"/>
  <c r="A14948" i="1"/>
  <c r="C14948" i="1"/>
  <c r="A14949" i="1"/>
  <c r="C14949" i="1"/>
  <c r="A14950" i="1"/>
  <c r="C14950" i="1"/>
  <c r="A14951" i="1"/>
  <c r="C14951" i="1"/>
  <c r="A14952" i="1"/>
  <c r="C14952" i="1"/>
  <c r="A14953" i="1"/>
  <c r="C14953" i="1"/>
  <c r="A14954" i="1"/>
  <c r="C14954" i="1"/>
  <c r="A14955" i="1"/>
  <c r="C14955" i="1"/>
  <c r="A14956" i="1"/>
  <c r="C14956" i="1"/>
  <c r="A14957" i="1"/>
  <c r="C14957" i="1"/>
  <c r="A14958" i="1"/>
  <c r="C14958" i="1"/>
  <c r="A14959" i="1"/>
  <c r="C14959" i="1"/>
  <c r="A14960" i="1"/>
  <c r="C14960" i="1"/>
  <c r="A14961" i="1"/>
  <c r="C14961" i="1"/>
  <c r="A14962" i="1"/>
  <c r="C14962" i="1"/>
  <c r="A14963" i="1"/>
  <c r="C14963" i="1"/>
  <c r="A14964" i="1"/>
  <c r="C14964" i="1"/>
  <c r="A14965" i="1"/>
  <c r="C14965" i="1"/>
  <c r="A14966" i="1"/>
  <c r="C14966" i="1"/>
  <c r="A14967" i="1"/>
  <c r="C14967" i="1"/>
  <c r="A14968" i="1"/>
  <c r="C14968" i="1"/>
  <c r="A14969" i="1"/>
  <c r="C14969" i="1"/>
  <c r="A14970" i="1"/>
  <c r="C14970" i="1"/>
  <c r="A14971" i="1"/>
  <c r="C14971" i="1"/>
  <c r="A14972" i="1"/>
  <c r="C14972" i="1"/>
  <c r="A14973" i="1"/>
  <c r="C14973" i="1"/>
  <c r="A14974" i="1"/>
  <c r="C14974" i="1"/>
  <c r="A14975" i="1"/>
  <c r="C14975" i="1"/>
  <c r="A14976" i="1"/>
  <c r="C14976" i="1"/>
  <c r="A14977" i="1"/>
  <c r="C14977" i="1"/>
  <c r="A14978" i="1"/>
  <c r="C14978" i="1"/>
  <c r="A14979" i="1"/>
  <c r="C14979" i="1"/>
  <c r="A14980" i="1"/>
  <c r="C14980" i="1"/>
  <c r="A14981" i="1"/>
  <c r="C14981" i="1"/>
  <c r="A14982" i="1"/>
  <c r="C14982" i="1"/>
  <c r="A14983" i="1"/>
  <c r="C14983" i="1"/>
  <c r="A14984" i="1"/>
  <c r="C14984" i="1"/>
  <c r="A14985" i="1"/>
  <c r="C14985" i="1"/>
  <c r="A14986" i="1"/>
  <c r="C14986" i="1"/>
  <c r="A14987" i="1"/>
  <c r="C14987" i="1"/>
  <c r="A14988" i="1"/>
  <c r="C14988" i="1"/>
  <c r="A14989" i="1"/>
  <c r="C14989" i="1"/>
  <c r="A14990" i="1"/>
  <c r="C14990" i="1"/>
  <c r="A14991" i="1"/>
  <c r="C14991" i="1"/>
  <c r="A14992" i="1"/>
  <c r="C14992" i="1"/>
  <c r="A14993" i="1"/>
  <c r="C14993" i="1"/>
  <c r="A14994" i="1"/>
  <c r="C14994" i="1"/>
  <c r="A14995" i="1"/>
  <c r="C14995" i="1"/>
  <c r="A14996" i="1"/>
  <c r="C14996" i="1"/>
  <c r="A14997" i="1"/>
  <c r="C14997" i="1"/>
  <c r="A14998" i="1"/>
  <c r="C14998" i="1"/>
  <c r="A14999" i="1"/>
  <c r="C14999" i="1"/>
  <c r="A15000" i="1"/>
  <c r="C15000" i="1"/>
  <c r="A15001" i="1"/>
  <c r="C15001" i="1"/>
  <c r="A15002" i="1"/>
  <c r="C15002" i="1"/>
  <c r="A15003" i="1"/>
  <c r="C15003" i="1"/>
  <c r="A15004" i="1"/>
  <c r="C15004" i="1"/>
  <c r="A15005" i="1"/>
  <c r="C15005" i="1"/>
  <c r="A15006" i="1"/>
  <c r="C15006" i="1"/>
  <c r="A15007" i="1"/>
  <c r="C15007" i="1"/>
  <c r="A15008" i="1"/>
  <c r="C15008" i="1"/>
  <c r="A15009" i="1"/>
  <c r="C15009" i="1"/>
  <c r="A15010" i="1"/>
  <c r="C15010" i="1"/>
  <c r="A15011" i="1"/>
  <c r="C15011" i="1"/>
  <c r="A15012" i="1"/>
  <c r="C15012" i="1"/>
  <c r="A15013" i="1"/>
  <c r="C15013" i="1"/>
  <c r="A15014" i="1"/>
  <c r="C15014" i="1"/>
  <c r="A15015" i="1"/>
  <c r="C15015" i="1"/>
  <c r="A15016" i="1"/>
  <c r="C15016" i="1"/>
  <c r="A15017" i="1"/>
  <c r="C15017" i="1"/>
  <c r="A15018" i="1"/>
  <c r="C15018" i="1"/>
  <c r="A15019" i="1"/>
  <c r="C15019" i="1"/>
  <c r="A15020" i="1"/>
  <c r="C15020" i="1"/>
  <c r="A15021" i="1"/>
  <c r="C15021" i="1"/>
  <c r="A15022" i="1"/>
  <c r="C15022" i="1"/>
  <c r="A15023" i="1"/>
  <c r="C15023" i="1"/>
  <c r="A15024" i="1"/>
  <c r="C15024" i="1"/>
  <c r="A15025" i="1"/>
  <c r="C15025" i="1"/>
  <c r="A15026" i="1"/>
  <c r="C15026" i="1"/>
  <c r="A15027" i="1"/>
  <c r="C15027" i="1"/>
  <c r="A15028" i="1"/>
  <c r="C15028" i="1"/>
  <c r="A15029" i="1"/>
  <c r="C15029" i="1"/>
  <c r="A15030" i="1"/>
  <c r="C15030" i="1"/>
  <c r="A15031" i="1"/>
  <c r="C15031" i="1"/>
  <c r="A15032" i="1"/>
  <c r="C15032" i="1"/>
  <c r="A15033" i="1"/>
  <c r="C15033" i="1"/>
  <c r="A15034" i="1"/>
  <c r="C15034" i="1"/>
  <c r="A15035" i="1"/>
  <c r="C15035" i="1"/>
  <c r="A15036" i="1"/>
  <c r="C15036" i="1"/>
  <c r="A15037" i="1"/>
  <c r="C15037" i="1"/>
  <c r="A15038" i="1"/>
  <c r="C15038" i="1"/>
  <c r="A15039" i="1"/>
  <c r="C15039" i="1"/>
  <c r="A15040" i="1"/>
  <c r="C15040" i="1"/>
  <c r="A15041" i="1"/>
  <c r="C15041" i="1"/>
  <c r="A15042" i="1"/>
  <c r="C15042" i="1"/>
  <c r="A15043" i="1"/>
  <c r="C15043" i="1"/>
  <c r="A15044" i="1"/>
  <c r="C15044" i="1"/>
  <c r="A15045" i="1"/>
  <c r="C15045" i="1"/>
  <c r="A15046" i="1"/>
  <c r="C15046" i="1"/>
  <c r="A15047" i="1"/>
  <c r="C15047" i="1"/>
  <c r="A15048" i="1"/>
  <c r="C15048" i="1"/>
  <c r="A15049" i="1"/>
  <c r="C15049" i="1"/>
  <c r="A15050" i="1"/>
  <c r="C15050" i="1"/>
  <c r="A15051" i="1"/>
  <c r="C15051" i="1"/>
  <c r="A15052" i="1"/>
  <c r="C15052" i="1"/>
  <c r="A15053" i="1"/>
  <c r="C15053" i="1"/>
  <c r="A15054" i="1"/>
  <c r="C15054" i="1"/>
  <c r="A15055" i="1"/>
  <c r="C15055" i="1"/>
  <c r="A15056" i="1"/>
  <c r="C15056" i="1"/>
  <c r="A15057" i="1"/>
  <c r="C15057" i="1"/>
  <c r="A15058" i="1"/>
  <c r="C15058" i="1"/>
  <c r="A15059" i="1"/>
  <c r="C15059" i="1"/>
  <c r="A15060" i="1"/>
  <c r="C15060" i="1"/>
  <c r="A15061" i="1"/>
  <c r="C15061" i="1"/>
  <c r="A15062" i="1"/>
  <c r="C15062" i="1"/>
  <c r="A15063" i="1"/>
  <c r="C15063" i="1"/>
  <c r="A15064" i="1"/>
  <c r="C15064" i="1"/>
  <c r="A15065" i="1"/>
  <c r="C15065" i="1"/>
  <c r="A15066" i="1"/>
  <c r="C15066" i="1"/>
  <c r="A15067" i="1"/>
  <c r="C15067" i="1"/>
  <c r="A15068" i="1"/>
  <c r="C15068" i="1"/>
  <c r="A15069" i="1"/>
  <c r="C15069" i="1"/>
  <c r="A15070" i="1"/>
  <c r="C15070" i="1"/>
  <c r="A15071" i="1"/>
  <c r="C15071" i="1"/>
  <c r="A15072" i="1"/>
  <c r="C15072" i="1"/>
  <c r="A15073" i="1"/>
  <c r="C15073" i="1"/>
  <c r="A15074" i="1"/>
  <c r="C15074" i="1"/>
  <c r="A15075" i="1"/>
  <c r="C15075" i="1"/>
  <c r="A15076" i="1"/>
  <c r="C15076" i="1"/>
  <c r="A15077" i="1"/>
  <c r="C15077" i="1"/>
  <c r="A15078" i="1"/>
  <c r="C15078" i="1"/>
  <c r="A15079" i="1"/>
  <c r="C15079" i="1"/>
  <c r="A15080" i="1"/>
  <c r="C15080" i="1"/>
  <c r="A15081" i="1"/>
  <c r="C15081" i="1"/>
  <c r="A15082" i="1"/>
  <c r="C15082" i="1"/>
  <c r="A15083" i="1"/>
  <c r="C15083" i="1"/>
  <c r="A15084" i="1"/>
  <c r="C15084" i="1"/>
  <c r="A15085" i="1"/>
  <c r="C15085" i="1"/>
  <c r="A15086" i="1"/>
  <c r="C15086" i="1"/>
  <c r="A15087" i="1"/>
  <c r="C15087" i="1"/>
  <c r="A15088" i="1"/>
  <c r="C15088" i="1"/>
  <c r="A15089" i="1"/>
  <c r="C15089" i="1"/>
  <c r="A15090" i="1"/>
  <c r="C15090" i="1"/>
  <c r="A15091" i="1"/>
  <c r="C15091" i="1"/>
  <c r="A15092" i="1"/>
  <c r="C15092" i="1"/>
  <c r="A15093" i="1"/>
  <c r="C15093" i="1"/>
  <c r="A15094" i="1"/>
  <c r="C15094" i="1"/>
  <c r="A15095" i="1"/>
  <c r="C15095" i="1"/>
  <c r="A15096" i="1"/>
  <c r="C15096" i="1"/>
  <c r="A15097" i="1"/>
  <c r="C15097" i="1"/>
  <c r="A15098" i="1"/>
  <c r="C15098" i="1"/>
  <c r="A15099" i="1"/>
  <c r="C15099" i="1"/>
  <c r="A15100" i="1"/>
  <c r="C15100" i="1"/>
  <c r="A15101" i="1"/>
  <c r="C15101" i="1"/>
  <c r="A15102" i="1"/>
  <c r="C15102" i="1"/>
  <c r="A15103" i="1"/>
  <c r="C15103" i="1"/>
  <c r="A15104" i="1"/>
  <c r="C15104" i="1"/>
  <c r="A15105" i="1"/>
  <c r="C15105" i="1"/>
  <c r="A15106" i="1"/>
  <c r="C15106" i="1"/>
  <c r="A15107" i="1"/>
  <c r="C15107" i="1"/>
  <c r="A15108" i="1"/>
  <c r="C15108" i="1"/>
  <c r="A15109" i="1"/>
  <c r="C15109" i="1"/>
  <c r="A15110" i="1"/>
  <c r="C15110" i="1"/>
  <c r="A15111" i="1"/>
  <c r="C15111" i="1"/>
  <c r="A15112" i="1"/>
  <c r="C15112" i="1"/>
  <c r="A15113" i="1"/>
  <c r="C15113" i="1"/>
  <c r="A15114" i="1"/>
  <c r="C15114" i="1"/>
  <c r="A15115" i="1"/>
  <c r="C15115" i="1"/>
  <c r="A15116" i="1"/>
  <c r="C15116" i="1"/>
  <c r="A15117" i="1"/>
  <c r="C15117" i="1"/>
  <c r="A15118" i="1"/>
  <c r="C15118" i="1"/>
  <c r="A15119" i="1"/>
  <c r="C15119" i="1"/>
  <c r="A15120" i="1"/>
  <c r="C15120" i="1"/>
  <c r="A15121" i="1"/>
  <c r="C15121" i="1"/>
  <c r="A15122" i="1"/>
  <c r="C15122" i="1"/>
  <c r="A15123" i="1"/>
  <c r="C15123" i="1"/>
  <c r="A15124" i="1"/>
  <c r="C15124" i="1"/>
  <c r="A15125" i="1"/>
  <c r="C15125" i="1"/>
  <c r="A15126" i="1"/>
  <c r="C15126" i="1"/>
  <c r="A15127" i="1"/>
  <c r="C15127" i="1"/>
  <c r="A15128" i="1"/>
  <c r="C15128" i="1"/>
  <c r="A15129" i="1"/>
  <c r="C15129" i="1"/>
  <c r="A15130" i="1"/>
  <c r="C15130" i="1"/>
  <c r="A15131" i="1"/>
  <c r="C15131" i="1"/>
  <c r="A15132" i="1"/>
  <c r="C15132" i="1"/>
  <c r="A15133" i="1"/>
  <c r="C15133" i="1"/>
  <c r="A15134" i="1"/>
  <c r="C15134" i="1"/>
  <c r="A15135" i="1"/>
  <c r="C15135" i="1"/>
  <c r="A15136" i="1"/>
  <c r="C15136" i="1"/>
  <c r="A15137" i="1"/>
  <c r="C15137" i="1"/>
  <c r="A15138" i="1"/>
  <c r="C15138" i="1"/>
  <c r="A15139" i="1"/>
  <c r="C15139" i="1"/>
  <c r="A15140" i="1"/>
  <c r="C15140" i="1"/>
  <c r="A15141" i="1"/>
  <c r="C15141" i="1"/>
  <c r="A15142" i="1"/>
  <c r="C15142" i="1"/>
  <c r="A15143" i="1"/>
  <c r="C15143" i="1"/>
  <c r="A15144" i="1"/>
  <c r="C15144" i="1"/>
  <c r="A15145" i="1"/>
  <c r="C15145" i="1"/>
  <c r="A15146" i="1"/>
  <c r="C15146" i="1"/>
  <c r="A15147" i="1"/>
  <c r="C15147" i="1"/>
  <c r="A15148" i="1"/>
  <c r="C15148" i="1"/>
  <c r="A15149" i="1"/>
  <c r="C15149" i="1"/>
  <c r="A15150" i="1"/>
  <c r="C15150" i="1"/>
  <c r="A15151" i="1"/>
  <c r="C15151" i="1"/>
  <c r="A15152" i="1"/>
  <c r="C15152" i="1"/>
  <c r="A15153" i="1"/>
  <c r="C15153" i="1"/>
  <c r="A15154" i="1"/>
  <c r="C15154" i="1"/>
  <c r="A15155" i="1"/>
  <c r="C15155" i="1"/>
  <c r="A15156" i="1"/>
  <c r="C15156" i="1"/>
  <c r="A15157" i="1"/>
  <c r="C15157" i="1"/>
  <c r="A15158" i="1"/>
  <c r="C15158" i="1"/>
  <c r="A15159" i="1"/>
  <c r="C15159" i="1"/>
  <c r="A15160" i="1"/>
  <c r="C15160" i="1"/>
  <c r="A15161" i="1"/>
  <c r="C15161" i="1"/>
  <c r="A15162" i="1"/>
  <c r="C15162" i="1"/>
  <c r="A15163" i="1"/>
  <c r="C15163" i="1"/>
  <c r="A15164" i="1"/>
  <c r="C15164" i="1"/>
  <c r="A15165" i="1"/>
  <c r="C15165" i="1"/>
  <c r="A15166" i="1"/>
  <c r="C15166" i="1"/>
  <c r="A15167" i="1"/>
  <c r="C15167" i="1"/>
  <c r="A15168" i="1"/>
  <c r="C15168" i="1"/>
  <c r="A15169" i="1"/>
  <c r="C15169" i="1"/>
  <c r="A15170" i="1"/>
  <c r="C15170" i="1"/>
  <c r="A15171" i="1"/>
  <c r="C15171" i="1"/>
  <c r="A15172" i="1"/>
  <c r="C15172" i="1"/>
  <c r="A15173" i="1"/>
  <c r="C15173" i="1"/>
  <c r="A15174" i="1"/>
  <c r="C15174" i="1"/>
  <c r="A15175" i="1"/>
  <c r="C15175" i="1"/>
  <c r="A15176" i="1"/>
  <c r="C15176" i="1"/>
  <c r="A15177" i="1"/>
  <c r="C15177" i="1"/>
  <c r="A15178" i="1"/>
  <c r="C15178" i="1"/>
  <c r="A15179" i="1"/>
  <c r="C15179" i="1"/>
  <c r="A15180" i="1"/>
  <c r="C15180" i="1"/>
  <c r="A15181" i="1"/>
  <c r="C15181" i="1"/>
  <c r="A15182" i="1"/>
  <c r="C15182" i="1"/>
  <c r="A15183" i="1"/>
  <c r="C15183" i="1"/>
  <c r="A15184" i="1"/>
  <c r="C15184" i="1"/>
  <c r="A15185" i="1"/>
  <c r="C15185" i="1"/>
  <c r="A15186" i="1"/>
  <c r="C15186" i="1"/>
  <c r="A15187" i="1"/>
  <c r="C15187" i="1"/>
  <c r="A15188" i="1"/>
  <c r="C15188" i="1"/>
  <c r="A15189" i="1"/>
  <c r="C15189" i="1"/>
  <c r="A15190" i="1"/>
  <c r="C15190" i="1"/>
  <c r="A15191" i="1"/>
  <c r="C15191" i="1"/>
  <c r="A15192" i="1"/>
  <c r="C15192" i="1"/>
  <c r="A15193" i="1"/>
  <c r="C15193" i="1"/>
  <c r="A15194" i="1"/>
  <c r="C15194" i="1"/>
  <c r="A15195" i="1"/>
  <c r="C15195" i="1"/>
  <c r="A15196" i="1"/>
  <c r="C15196" i="1"/>
  <c r="A15197" i="1"/>
  <c r="C15197" i="1"/>
  <c r="A15198" i="1"/>
  <c r="C15198" i="1"/>
  <c r="A15199" i="1"/>
  <c r="C15199" i="1"/>
  <c r="A15200" i="1"/>
  <c r="C15200" i="1"/>
  <c r="A15201" i="1"/>
  <c r="C15201" i="1"/>
  <c r="A15202" i="1"/>
  <c r="C15202" i="1"/>
  <c r="A15203" i="1"/>
  <c r="C15203" i="1"/>
  <c r="A15204" i="1"/>
  <c r="C15204" i="1"/>
  <c r="A15205" i="1"/>
  <c r="C15205" i="1"/>
  <c r="A15206" i="1"/>
  <c r="C15206" i="1"/>
  <c r="A15207" i="1"/>
  <c r="C15207" i="1"/>
  <c r="A15208" i="1"/>
  <c r="C15208" i="1"/>
  <c r="A15209" i="1"/>
  <c r="C15209" i="1"/>
  <c r="A15210" i="1"/>
  <c r="C15210" i="1"/>
  <c r="A15211" i="1"/>
  <c r="C15211" i="1"/>
  <c r="A15212" i="1"/>
  <c r="C15212" i="1"/>
  <c r="A15213" i="1"/>
  <c r="C15213" i="1"/>
  <c r="A15214" i="1"/>
  <c r="C15214" i="1"/>
  <c r="A15215" i="1"/>
  <c r="C15215" i="1"/>
  <c r="A15216" i="1"/>
  <c r="C15216" i="1"/>
  <c r="A15217" i="1"/>
  <c r="C15217" i="1"/>
  <c r="A15218" i="1"/>
  <c r="C15218" i="1"/>
  <c r="A15219" i="1"/>
  <c r="C15219" i="1"/>
  <c r="A15220" i="1"/>
  <c r="C15220" i="1"/>
  <c r="A15221" i="1"/>
  <c r="C15221" i="1"/>
  <c r="A15222" i="1"/>
  <c r="C15222" i="1"/>
  <c r="A15223" i="1"/>
  <c r="C15223" i="1"/>
  <c r="A15224" i="1"/>
  <c r="C15224" i="1"/>
  <c r="A15225" i="1"/>
  <c r="C15225" i="1"/>
  <c r="A15226" i="1"/>
  <c r="C15226" i="1"/>
  <c r="A15227" i="1"/>
  <c r="C15227" i="1"/>
  <c r="A15228" i="1"/>
  <c r="C15228" i="1"/>
  <c r="A15229" i="1"/>
  <c r="C15229" i="1"/>
  <c r="A15230" i="1"/>
  <c r="C15230" i="1"/>
  <c r="A15231" i="1"/>
  <c r="C15231" i="1"/>
  <c r="A15232" i="1"/>
  <c r="C15232" i="1"/>
  <c r="A15233" i="1"/>
  <c r="C15233" i="1"/>
  <c r="A15234" i="1"/>
  <c r="C15234" i="1"/>
  <c r="A15235" i="1"/>
  <c r="C15235" i="1"/>
  <c r="A15236" i="1"/>
  <c r="C15236" i="1"/>
  <c r="A15237" i="1"/>
  <c r="C15237" i="1"/>
  <c r="A15238" i="1"/>
  <c r="C15238" i="1"/>
  <c r="A15239" i="1"/>
  <c r="C15239" i="1"/>
  <c r="A15240" i="1"/>
  <c r="C15240" i="1"/>
  <c r="A15241" i="1"/>
  <c r="C15241" i="1"/>
  <c r="A15242" i="1"/>
  <c r="C15242" i="1"/>
  <c r="A15243" i="1"/>
  <c r="C15243" i="1"/>
  <c r="A15244" i="1"/>
  <c r="C15244" i="1"/>
  <c r="A15245" i="1"/>
  <c r="C15245" i="1"/>
  <c r="A15246" i="1"/>
  <c r="C15246" i="1"/>
  <c r="A15247" i="1"/>
  <c r="C15247" i="1"/>
  <c r="A15248" i="1"/>
  <c r="C15248" i="1"/>
  <c r="A15249" i="1"/>
  <c r="C15249" i="1"/>
  <c r="A15250" i="1"/>
  <c r="C15250" i="1"/>
  <c r="A15251" i="1"/>
  <c r="C15251" i="1"/>
  <c r="A15252" i="1"/>
  <c r="C15252" i="1"/>
  <c r="A15253" i="1"/>
  <c r="C15253" i="1"/>
  <c r="A15254" i="1"/>
  <c r="C15254" i="1"/>
  <c r="A15255" i="1"/>
  <c r="C15255" i="1"/>
  <c r="A15256" i="1"/>
  <c r="C15256" i="1"/>
  <c r="A15257" i="1"/>
  <c r="C15257" i="1"/>
  <c r="A15258" i="1"/>
  <c r="C15258" i="1"/>
  <c r="A15259" i="1"/>
  <c r="C15259" i="1"/>
  <c r="A15260" i="1"/>
  <c r="C15260" i="1"/>
  <c r="A15261" i="1"/>
  <c r="C15261" i="1"/>
  <c r="A15262" i="1"/>
  <c r="C15262" i="1"/>
  <c r="A15263" i="1"/>
  <c r="C15263" i="1"/>
  <c r="A15264" i="1"/>
  <c r="C15264" i="1"/>
  <c r="A15265" i="1"/>
  <c r="C15265" i="1"/>
  <c r="A15266" i="1"/>
  <c r="C15266" i="1"/>
  <c r="A15267" i="1"/>
  <c r="C15267" i="1"/>
  <c r="A15268" i="1"/>
  <c r="C15268" i="1"/>
  <c r="A15269" i="1"/>
  <c r="C15269" i="1"/>
  <c r="A15270" i="1"/>
  <c r="C15270" i="1"/>
  <c r="A15271" i="1"/>
  <c r="C15271" i="1"/>
  <c r="A15272" i="1"/>
  <c r="C15272" i="1"/>
  <c r="A15273" i="1"/>
  <c r="C15273" i="1"/>
  <c r="A15274" i="1"/>
  <c r="C15274" i="1"/>
  <c r="A15275" i="1"/>
  <c r="C15275" i="1"/>
  <c r="A15276" i="1"/>
  <c r="C15276" i="1"/>
  <c r="A15277" i="1"/>
  <c r="C15277" i="1"/>
  <c r="A15278" i="1"/>
  <c r="C15278" i="1"/>
  <c r="A15279" i="1"/>
  <c r="C15279" i="1"/>
  <c r="A15280" i="1"/>
  <c r="C15280" i="1"/>
  <c r="A15281" i="1"/>
  <c r="C15281" i="1"/>
  <c r="A15282" i="1"/>
  <c r="C15282" i="1"/>
  <c r="A15283" i="1"/>
  <c r="C15283" i="1"/>
  <c r="A15284" i="1"/>
  <c r="C15284" i="1"/>
  <c r="A15285" i="1"/>
  <c r="C15285" i="1"/>
  <c r="A15286" i="1"/>
  <c r="C15286" i="1"/>
  <c r="A15287" i="1"/>
  <c r="C15287" i="1"/>
  <c r="A15288" i="1"/>
  <c r="C15288" i="1"/>
  <c r="A15289" i="1"/>
  <c r="C15289" i="1"/>
  <c r="A15290" i="1"/>
  <c r="C15290" i="1"/>
  <c r="A15291" i="1"/>
  <c r="C15291" i="1"/>
  <c r="A15292" i="1"/>
  <c r="C15292" i="1"/>
  <c r="A15293" i="1"/>
  <c r="C15293" i="1"/>
  <c r="A15294" i="1"/>
  <c r="C15294" i="1"/>
  <c r="A15295" i="1"/>
  <c r="C15295" i="1"/>
  <c r="A15296" i="1"/>
  <c r="C15296" i="1"/>
  <c r="A15297" i="1"/>
  <c r="C15297" i="1"/>
  <c r="A15298" i="1"/>
  <c r="C15298" i="1"/>
  <c r="A15299" i="1"/>
  <c r="C15299" i="1"/>
  <c r="A15300" i="1"/>
  <c r="C15300" i="1"/>
  <c r="A15301" i="1"/>
  <c r="C15301" i="1"/>
  <c r="A15302" i="1"/>
  <c r="C15302" i="1"/>
  <c r="A15303" i="1"/>
  <c r="C15303" i="1"/>
  <c r="A15304" i="1"/>
  <c r="C15304" i="1"/>
  <c r="A15305" i="1"/>
  <c r="C15305" i="1"/>
  <c r="A15306" i="1"/>
  <c r="C15306" i="1"/>
  <c r="A15307" i="1"/>
  <c r="C15307" i="1"/>
  <c r="A15308" i="1"/>
  <c r="C15308" i="1"/>
  <c r="A15309" i="1"/>
  <c r="C15309" i="1"/>
  <c r="A15310" i="1"/>
  <c r="C15310" i="1"/>
  <c r="A15311" i="1"/>
  <c r="C15311" i="1"/>
  <c r="A15312" i="1"/>
  <c r="C15312" i="1"/>
  <c r="A15313" i="1"/>
  <c r="C15313" i="1"/>
  <c r="A15314" i="1"/>
  <c r="C15314" i="1"/>
  <c r="A15315" i="1"/>
  <c r="C15315" i="1"/>
  <c r="A15316" i="1"/>
  <c r="C15316" i="1"/>
  <c r="A15317" i="1"/>
  <c r="C15317" i="1"/>
  <c r="A15318" i="1"/>
  <c r="C15318" i="1"/>
  <c r="A15319" i="1"/>
  <c r="C15319" i="1"/>
  <c r="A15320" i="1"/>
  <c r="C15320" i="1"/>
  <c r="A15321" i="1"/>
  <c r="C15321" i="1"/>
  <c r="A15322" i="1"/>
  <c r="C15322" i="1"/>
  <c r="A15323" i="1"/>
  <c r="C15323" i="1"/>
  <c r="A15324" i="1"/>
  <c r="C15324" i="1"/>
  <c r="A15325" i="1"/>
  <c r="C15325" i="1"/>
  <c r="A15326" i="1"/>
  <c r="C15326" i="1"/>
  <c r="A15327" i="1"/>
  <c r="C15327" i="1"/>
  <c r="A15328" i="1"/>
  <c r="C15328" i="1"/>
  <c r="A15329" i="1"/>
  <c r="C15329" i="1"/>
  <c r="A15330" i="1"/>
  <c r="C15330" i="1"/>
  <c r="A15331" i="1"/>
  <c r="C15331" i="1"/>
  <c r="A15332" i="1"/>
  <c r="C15332" i="1"/>
  <c r="A15333" i="1"/>
  <c r="C15333" i="1"/>
  <c r="A15334" i="1"/>
  <c r="C15334" i="1"/>
  <c r="A15335" i="1"/>
  <c r="C15335" i="1"/>
  <c r="A15336" i="1"/>
  <c r="C15336" i="1"/>
  <c r="A15337" i="1"/>
  <c r="C15337" i="1"/>
  <c r="A15338" i="1"/>
  <c r="C15338" i="1"/>
  <c r="A15339" i="1"/>
  <c r="C15339" i="1"/>
  <c r="A15340" i="1"/>
  <c r="C15340" i="1"/>
  <c r="A15341" i="1"/>
  <c r="C15341" i="1"/>
  <c r="A15342" i="1"/>
  <c r="C15342" i="1"/>
  <c r="A15343" i="1"/>
  <c r="C15343" i="1"/>
  <c r="A15344" i="1"/>
  <c r="C15344" i="1"/>
  <c r="A15345" i="1"/>
  <c r="C15345" i="1"/>
  <c r="A15346" i="1"/>
  <c r="C15346" i="1"/>
  <c r="A15347" i="1"/>
  <c r="C15347" i="1"/>
  <c r="A15348" i="1"/>
  <c r="C15348" i="1"/>
  <c r="A15349" i="1"/>
  <c r="C15349" i="1"/>
  <c r="A15350" i="1"/>
  <c r="C15350" i="1"/>
  <c r="A15351" i="1"/>
  <c r="C15351" i="1"/>
  <c r="A15352" i="1"/>
  <c r="C15352" i="1"/>
  <c r="A15353" i="1"/>
  <c r="C15353" i="1"/>
  <c r="A15354" i="1"/>
  <c r="C15354" i="1"/>
  <c r="A15355" i="1"/>
  <c r="C15355" i="1"/>
  <c r="A15356" i="1"/>
  <c r="C15356" i="1"/>
  <c r="A15357" i="1"/>
  <c r="C15357" i="1"/>
  <c r="A15358" i="1"/>
  <c r="C15358" i="1"/>
  <c r="A15359" i="1"/>
  <c r="C15359" i="1"/>
  <c r="A15360" i="1"/>
  <c r="C15360" i="1"/>
  <c r="A15361" i="1"/>
  <c r="C15361" i="1"/>
  <c r="A15362" i="1"/>
  <c r="C15362" i="1"/>
  <c r="A15363" i="1"/>
  <c r="C15363" i="1"/>
  <c r="A15364" i="1"/>
  <c r="C15364" i="1"/>
  <c r="A15365" i="1"/>
  <c r="C15365" i="1"/>
  <c r="A15366" i="1"/>
  <c r="C15366" i="1"/>
  <c r="A15367" i="1"/>
  <c r="C15367" i="1"/>
  <c r="A15368" i="1"/>
  <c r="C15368" i="1"/>
  <c r="A15369" i="1"/>
  <c r="C15369" i="1"/>
  <c r="A15370" i="1"/>
  <c r="C15370" i="1"/>
  <c r="A15371" i="1"/>
  <c r="C15371" i="1"/>
  <c r="A15372" i="1"/>
  <c r="C15372" i="1"/>
  <c r="A15373" i="1"/>
  <c r="C15373" i="1"/>
  <c r="A15374" i="1"/>
  <c r="C15374" i="1"/>
  <c r="A15375" i="1"/>
  <c r="C15375" i="1"/>
  <c r="A15376" i="1"/>
  <c r="C15376" i="1"/>
  <c r="A15377" i="1"/>
  <c r="C15377" i="1"/>
  <c r="A15378" i="1"/>
  <c r="C15378" i="1"/>
  <c r="A15379" i="1"/>
  <c r="C15379" i="1"/>
  <c r="A15380" i="1"/>
  <c r="C15380" i="1"/>
  <c r="A15381" i="1"/>
  <c r="C15381" i="1"/>
  <c r="A15382" i="1"/>
  <c r="C15382" i="1"/>
  <c r="A15383" i="1"/>
  <c r="C15383" i="1"/>
  <c r="A15384" i="1"/>
  <c r="C15384" i="1"/>
  <c r="A15385" i="1"/>
  <c r="C15385" i="1"/>
  <c r="A15386" i="1"/>
  <c r="C15386" i="1"/>
  <c r="A15387" i="1"/>
  <c r="C15387" i="1"/>
  <c r="A15388" i="1"/>
  <c r="C15388" i="1"/>
  <c r="A15389" i="1"/>
  <c r="C15389" i="1"/>
  <c r="A15390" i="1"/>
  <c r="C15390" i="1"/>
  <c r="A15391" i="1"/>
  <c r="C15391" i="1"/>
  <c r="A15392" i="1"/>
  <c r="C15392" i="1"/>
  <c r="A15393" i="1"/>
  <c r="C15393" i="1"/>
  <c r="A15394" i="1"/>
  <c r="C15394" i="1"/>
  <c r="A15395" i="1"/>
  <c r="C15395" i="1"/>
  <c r="A15396" i="1"/>
  <c r="C15396" i="1"/>
  <c r="A15397" i="1"/>
  <c r="C15397" i="1"/>
  <c r="A15398" i="1"/>
  <c r="C15398" i="1"/>
  <c r="A15399" i="1"/>
  <c r="C15399" i="1"/>
  <c r="A15400" i="1"/>
  <c r="C15400" i="1"/>
  <c r="A15401" i="1"/>
  <c r="C15401" i="1"/>
  <c r="A15402" i="1"/>
  <c r="C15402" i="1"/>
  <c r="A15403" i="1"/>
  <c r="C15403" i="1"/>
  <c r="A15404" i="1"/>
  <c r="C15404" i="1"/>
  <c r="A15405" i="1"/>
  <c r="C15405" i="1"/>
  <c r="A15406" i="1"/>
  <c r="C15406" i="1"/>
  <c r="A15407" i="1"/>
  <c r="C15407" i="1"/>
  <c r="A15408" i="1"/>
  <c r="C15408" i="1"/>
  <c r="A15409" i="1"/>
  <c r="C15409" i="1"/>
  <c r="A15410" i="1"/>
  <c r="C15410" i="1"/>
  <c r="A15411" i="1"/>
  <c r="C15411" i="1"/>
  <c r="A15412" i="1"/>
  <c r="C15412" i="1"/>
  <c r="A15413" i="1"/>
  <c r="C15413" i="1"/>
  <c r="A15414" i="1"/>
  <c r="C15414" i="1"/>
  <c r="A15415" i="1"/>
  <c r="C15415" i="1"/>
  <c r="A15416" i="1"/>
  <c r="C15416" i="1"/>
  <c r="A15417" i="1"/>
  <c r="C15417" i="1"/>
  <c r="A15418" i="1"/>
  <c r="C15418" i="1"/>
  <c r="A15419" i="1"/>
  <c r="C15419" i="1"/>
  <c r="A15420" i="1"/>
  <c r="C15420" i="1"/>
  <c r="A15421" i="1"/>
  <c r="C15421" i="1"/>
  <c r="A15422" i="1"/>
  <c r="C15422" i="1"/>
  <c r="A15423" i="1"/>
  <c r="C15423" i="1"/>
  <c r="A15424" i="1"/>
  <c r="C15424" i="1"/>
  <c r="A15425" i="1"/>
  <c r="C15425" i="1"/>
  <c r="A15426" i="1"/>
  <c r="C15426" i="1"/>
  <c r="A15427" i="1"/>
  <c r="C15427" i="1"/>
  <c r="A15428" i="1"/>
  <c r="C15428" i="1"/>
  <c r="A15429" i="1"/>
  <c r="C15429" i="1"/>
  <c r="A15430" i="1"/>
  <c r="C15430" i="1"/>
  <c r="A15431" i="1"/>
  <c r="C15431" i="1"/>
  <c r="A15432" i="1"/>
  <c r="C15432" i="1"/>
  <c r="A15433" i="1"/>
  <c r="C15433" i="1"/>
  <c r="A15434" i="1"/>
  <c r="C15434" i="1"/>
  <c r="A15435" i="1"/>
  <c r="C15435" i="1"/>
  <c r="A15436" i="1"/>
  <c r="C15436" i="1"/>
  <c r="A15437" i="1"/>
  <c r="C15437" i="1"/>
  <c r="A15438" i="1"/>
  <c r="C15438" i="1"/>
  <c r="A15439" i="1"/>
  <c r="C15439" i="1"/>
  <c r="A15440" i="1"/>
  <c r="C15440" i="1"/>
  <c r="A15441" i="1"/>
  <c r="C15441" i="1"/>
  <c r="A15442" i="1"/>
  <c r="C15442" i="1"/>
  <c r="A15443" i="1"/>
  <c r="C15443" i="1"/>
  <c r="A15444" i="1"/>
  <c r="C15444" i="1"/>
  <c r="A15445" i="1"/>
  <c r="C15445" i="1"/>
  <c r="A15446" i="1"/>
  <c r="C15446" i="1"/>
  <c r="A15447" i="1"/>
  <c r="C15447" i="1"/>
  <c r="A15448" i="1"/>
  <c r="C15448" i="1"/>
  <c r="A15449" i="1"/>
  <c r="C15449" i="1"/>
  <c r="A15450" i="1"/>
  <c r="C15450" i="1"/>
  <c r="A15451" i="1"/>
  <c r="C15451" i="1"/>
  <c r="A15452" i="1"/>
  <c r="C15452" i="1"/>
  <c r="A15453" i="1"/>
  <c r="C15453" i="1"/>
  <c r="A15454" i="1"/>
  <c r="C15454" i="1"/>
  <c r="A15455" i="1"/>
  <c r="C15455" i="1"/>
  <c r="A15456" i="1"/>
  <c r="C15456" i="1"/>
  <c r="A15457" i="1"/>
  <c r="C15457" i="1"/>
  <c r="A15458" i="1"/>
  <c r="C15458" i="1"/>
  <c r="A15459" i="1"/>
  <c r="C15459" i="1"/>
  <c r="A15460" i="1"/>
  <c r="C15460" i="1"/>
  <c r="A15461" i="1"/>
  <c r="C15461" i="1"/>
  <c r="A15462" i="1"/>
  <c r="C15462" i="1"/>
  <c r="A15463" i="1"/>
  <c r="C15463" i="1"/>
  <c r="A15464" i="1"/>
  <c r="C15464" i="1"/>
  <c r="A15465" i="1"/>
  <c r="C15465" i="1"/>
  <c r="A15466" i="1"/>
  <c r="C15466" i="1"/>
  <c r="A15467" i="1"/>
  <c r="C15467" i="1"/>
  <c r="A15468" i="1"/>
  <c r="C15468" i="1"/>
  <c r="A15469" i="1"/>
  <c r="C15469" i="1"/>
  <c r="A15470" i="1"/>
  <c r="C15470" i="1"/>
  <c r="A15471" i="1"/>
  <c r="C15471" i="1"/>
  <c r="A15472" i="1"/>
  <c r="C15472" i="1"/>
  <c r="A15473" i="1"/>
  <c r="C15473" i="1"/>
  <c r="A15474" i="1"/>
  <c r="C15474" i="1"/>
  <c r="A15475" i="1"/>
  <c r="C15475" i="1"/>
  <c r="A15476" i="1"/>
  <c r="C15476" i="1"/>
  <c r="A15477" i="1"/>
  <c r="C15477" i="1"/>
  <c r="A15478" i="1"/>
  <c r="C15478" i="1"/>
  <c r="A15479" i="1"/>
  <c r="C15479" i="1"/>
  <c r="A15480" i="1"/>
  <c r="C15480" i="1"/>
  <c r="A15481" i="1"/>
  <c r="C15481" i="1"/>
  <c r="A15482" i="1"/>
  <c r="C15482" i="1"/>
  <c r="A15483" i="1"/>
  <c r="C15483" i="1"/>
  <c r="A15484" i="1"/>
  <c r="C15484" i="1"/>
  <c r="A15485" i="1"/>
  <c r="C15485" i="1"/>
  <c r="A15486" i="1"/>
  <c r="C15486" i="1"/>
  <c r="A15487" i="1"/>
  <c r="C15487" i="1"/>
  <c r="A15488" i="1"/>
  <c r="C15488" i="1"/>
  <c r="A15489" i="1"/>
  <c r="C15489" i="1"/>
  <c r="A15490" i="1"/>
  <c r="C15490" i="1"/>
  <c r="A15491" i="1"/>
  <c r="C15491" i="1"/>
  <c r="A15492" i="1"/>
  <c r="C15492" i="1"/>
  <c r="A15493" i="1"/>
  <c r="C15493" i="1"/>
  <c r="A15494" i="1"/>
  <c r="C15494" i="1"/>
  <c r="A15495" i="1"/>
  <c r="C15495" i="1"/>
  <c r="A15496" i="1"/>
  <c r="C15496" i="1"/>
  <c r="A15497" i="1"/>
  <c r="C15497" i="1"/>
  <c r="A15498" i="1"/>
  <c r="C15498" i="1"/>
  <c r="A15499" i="1"/>
  <c r="C15499" i="1"/>
  <c r="A15500" i="1"/>
  <c r="C15500" i="1"/>
  <c r="A15501" i="1"/>
  <c r="C15501" i="1"/>
  <c r="A15502" i="1"/>
  <c r="C15502" i="1"/>
  <c r="A15503" i="1"/>
  <c r="C15503" i="1"/>
  <c r="A15504" i="1"/>
  <c r="C15504" i="1"/>
  <c r="A15505" i="1"/>
  <c r="C15505" i="1"/>
  <c r="A15506" i="1"/>
  <c r="C15506" i="1"/>
  <c r="A15507" i="1"/>
  <c r="C15507" i="1"/>
  <c r="A15508" i="1"/>
  <c r="C15508" i="1"/>
  <c r="A15509" i="1"/>
  <c r="C15509" i="1"/>
  <c r="A15510" i="1"/>
  <c r="C15510" i="1"/>
  <c r="A15511" i="1"/>
  <c r="C15511" i="1"/>
  <c r="A15512" i="1"/>
  <c r="C15512" i="1"/>
  <c r="A15513" i="1"/>
  <c r="C15513" i="1"/>
  <c r="A15514" i="1"/>
  <c r="C15514" i="1"/>
  <c r="A15515" i="1"/>
  <c r="C15515" i="1"/>
  <c r="A15516" i="1"/>
  <c r="C15516" i="1"/>
  <c r="A15517" i="1"/>
  <c r="C15517" i="1"/>
  <c r="A15518" i="1"/>
  <c r="C15518" i="1"/>
  <c r="A15519" i="1"/>
  <c r="C15519" i="1"/>
  <c r="A15520" i="1"/>
  <c r="C15520" i="1"/>
  <c r="A15521" i="1"/>
  <c r="C15521" i="1"/>
  <c r="A15522" i="1"/>
  <c r="C15522" i="1"/>
  <c r="A15523" i="1"/>
  <c r="C15523" i="1"/>
  <c r="A15524" i="1"/>
  <c r="C15524" i="1"/>
  <c r="A15525" i="1"/>
  <c r="C15525" i="1"/>
  <c r="A15526" i="1"/>
  <c r="C15526" i="1"/>
  <c r="A15527" i="1"/>
  <c r="C15527" i="1"/>
  <c r="A15528" i="1"/>
  <c r="C15528" i="1"/>
  <c r="A15529" i="1"/>
  <c r="C15529" i="1"/>
  <c r="A15530" i="1"/>
  <c r="C15530" i="1"/>
  <c r="A15531" i="1"/>
  <c r="C15531" i="1"/>
  <c r="A15532" i="1"/>
  <c r="C15532" i="1"/>
  <c r="A15533" i="1"/>
  <c r="C15533" i="1"/>
  <c r="A15534" i="1"/>
  <c r="C15534" i="1"/>
  <c r="A15535" i="1"/>
  <c r="C15535" i="1"/>
  <c r="A15536" i="1"/>
  <c r="C15536" i="1"/>
  <c r="A15537" i="1"/>
  <c r="C15537" i="1"/>
  <c r="A15538" i="1"/>
  <c r="C15538" i="1"/>
  <c r="A15539" i="1"/>
  <c r="C15539" i="1"/>
  <c r="A15540" i="1"/>
  <c r="C15540" i="1"/>
  <c r="A15541" i="1"/>
  <c r="C15541" i="1"/>
  <c r="A15542" i="1"/>
  <c r="C15542" i="1"/>
  <c r="A15543" i="1"/>
  <c r="C15543" i="1"/>
  <c r="A15544" i="1"/>
  <c r="C15544" i="1"/>
  <c r="A15545" i="1"/>
  <c r="C15545" i="1"/>
  <c r="A15546" i="1"/>
  <c r="C15546" i="1"/>
  <c r="A15547" i="1"/>
  <c r="C15547" i="1"/>
  <c r="A15548" i="1"/>
  <c r="C15548" i="1"/>
  <c r="A15549" i="1"/>
  <c r="C15549" i="1"/>
  <c r="A15550" i="1"/>
  <c r="C15550" i="1"/>
  <c r="A15551" i="1"/>
  <c r="C15551" i="1"/>
  <c r="A15552" i="1"/>
  <c r="C15552" i="1"/>
  <c r="A15553" i="1"/>
  <c r="C15553" i="1"/>
  <c r="A15554" i="1"/>
  <c r="C15554" i="1"/>
  <c r="A15555" i="1"/>
  <c r="C15555" i="1"/>
  <c r="A15556" i="1"/>
  <c r="C15556" i="1"/>
  <c r="A15557" i="1"/>
  <c r="C15557" i="1"/>
  <c r="A15558" i="1"/>
  <c r="C15558" i="1"/>
  <c r="A15559" i="1"/>
  <c r="C15559" i="1"/>
  <c r="A15560" i="1"/>
  <c r="C15560" i="1"/>
  <c r="A15561" i="1"/>
  <c r="C15561" i="1"/>
  <c r="A15562" i="1"/>
  <c r="C15562" i="1"/>
  <c r="A15563" i="1"/>
  <c r="C15563" i="1"/>
  <c r="A15564" i="1"/>
  <c r="C15564" i="1"/>
  <c r="A15565" i="1"/>
  <c r="C15565" i="1"/>
  <c r="A15566" i="1"/>
  <c r="C15566" i="1"/>
  <c r="A15567" i="1"/>
  <c r="C15567" i="1"/>
  <c r="A15568" i="1"/>
  <c r="C15568" i="1"/>
  <c r="A15569" i="1"/>
  <c r="C15569" i="1"/>
  <c r="A15570" i="1"/>
  <c r="C15570" i="1"/>
  <c r="A15571" i="1"/>
  <c r="C15571" i="1"/>
  <c r="A15572" i="1"/>
  <c r="C15572" i="1"/>
  <c r="A15573" i="1"/>
  <c r="C15573" i="1"/>
  <c r="A15574" i="1"/>
  <c r="C15574" i="1"/>
  <c r="A15575" i="1"/>
  <c r="C15575" i="1"/>
  <c r="A15576" i="1"/>
  <c r="C15576" i="1"/>
  <c r="A15577" i="1"/>
  <c r="C15577" i="1"/>
  <c r="A15578" i="1"/>
  <c r="C15578" i="1"/>
  <c r="A15579" i="1"/>
  <c r="C15579" i="1"/>
  <c r="A15580" i="1"/>
  <c r="C15580" i="1"/>
  <c r="A15581" i="1"/>
  <c r="C15581" i="1"/>
  <c r="A15582" i="1"/>
  <c r="C15582" i="1"/>
  <c r="A15583" i="1"/>
  <c r="C15583" i="1"/>
  <c r="A15584" i="1"/>
  <c r="C15584" i="1"/>
  <c r="A15585" i="1"/>
  <c r="C15585" i="1"/>
  <c r="A15586" i="1"/>
  <c r="C15586" i="1"/>
  <c r="A15587" i="1"/>
  <c r="C15587" i="1"/>
  <c r="A15588" i="1"/>
  <c r="C15588" i="1"/>
  <c r="A15589" i="1"/>
  <c r="C15589" i="1"/>
  <c r="A15590" i="1"/>
  <c r="C15590" i="1"/>
  <c r="A15591" i="1"/>
  <c r="C15591" i="1"/>
  <c r="A15592" i="1"/>
  <c r="C15592" i="1"/>
  <c r="A15593" i="1"/>
  <c r="C15593" i="1"/>
  <c r="A15594" i="1"/>
  <c r="C15594" i="1"/>
  <c r="A15595" i="1"/>
  <c r="C15595" i="1"/>
  <c r="A15596" i="1"/>
  <c r="C15596" i="1"/>
  <c r="A15597" i="1"/>
  <c r="C15597" i="1"/>
  <c r="A15598" i="1"/>
  <c r="C15598" i="1"/>
  <c r="A15599" i="1"/>
  <c r="C15599" i="1"/>
  <c r="A15600" i="1"/>
  <c r="C15600" i="1"/>
  <c r="A15601" i="1"/>
  <c r="C15601" i="1"/>
  <c r="A15602" i="1"/>
  <c r="C15602" i="1"/>
  <c r="A15603" i="1"/>
  <c r="C15603" i="1"/>
  <c r="A15604" i="1"/>
  <c r="C15604" i="1"/>
  <c r="A15605" i="1"/>
  <c r="C15605" i="1"/>
  <c r="A15606" i="1"/>
  <c r="C15606" i="1"/>
  <c r="A15607" i="1"/>
  <c r="C15607" i="1"/>
  <c r="A15608" i="1"/>
  <c r="C15608" i="1"/>
  <c r="A15609" i="1"/>
  <c r="C15609" i="1"/>
  <c r="A15610" i="1"/>
  <c r="C15610" i="1"/>
  <c r="A15611" i="1"/>
  <c r="C15611" i="1"/>
  <c r="A15612" i="1"/>
  <c r="C15612" i="1"/>
  <c r="A15613" i="1"/>
  <c r="C15613" i="1"/>
  <c r="A15614" i="1"/>
  <c r="C15614" i="1"/>
  <c r="A15615" i="1"/>
  <c r="C15615" i="1"/>
  <c r="A15616" i="1"/>
  <c r="C15616" i="1"/>
  <c r="A15617" i="1"/>
  <c r="C15617" i="1"/>
  <c r="A15618" i="1"/>
  <c r="C15618" i="1"/>
  <c r="A15619" i="1"/>
  <c r="C15619" i="1"/>
  <c r="A15620" i="1"/>
  <c r="C15620" i="1"/>
  <c r="A15621" i="1"/>
  <c r="C15621" i="1"/>
  <c r="A15622" i="1"/>
  <c r="C15622" i="1"/>
  <c r="A15623" i="1"/>
  <c r="C15623" i="1"/>
  <c r="A15624" i="1"/>
  <c r="C15624" i="1"/>
  <c r="A15625" i="1"/>
  <c r="C15625" i="1"/>
  <c r="A15626" i="1"/>
  <c r="C15626" i="1"/>
  <c r="A15627" i="1"/>
  <c r="C15627" i="1"/>
  <c r="A15628" i="1"/>
  <c r="C15628" i="1"/>
  <c r="A15629" i="1"/>
  <c r="C15629" i="1"/>
  <c r="A15630" i="1"/>
  <c r="C15630" i="1"/>
  <c r="A15631" i="1"/>
  <c r="C15631" i="1"/>
  <c r="A15632" i="1"/>
  <c r="C15632" i="1"/>
  <c r="A15633" i="1"/>
  <c r="C15633" i="1"/>
  <c r="A15634" i="1"/>
  <c r="C15634" i="1"/>
  <c r="A15635" i="1"/>
  <c r="C15635" i="1"/>
  <c r="A15636" i="1"/>
  <c r="C15636" i="1"/>
  <c r="A15637" i="1"/>
  <c r="C15637" i="1"/>
  <c r="A15638" i="1"/>
  <c r="C15638" i="1"/>
  <c r="A15639" i="1"/>
  <c r="C15639" i="1"/>
  <c r="A15640" i="1"/>
  <c r="C15640" i="1"/>
  <c r="A15641" i="1"/>
  <c r="C15641" i="1"/>
  <c r="A15642" i="1"/>
  <c r="C15642" i="1"/>
  <c r="A15643" i="1"/>
  <c r="C15643" i="1"/>
  <c r="A15644" i="1"/>
  <c r="C15644" i="1"/>
  <c r="A15645" i="1"/>
  <c r="C15645" i="1"/>
  <c r="A15646" i="1"/>
  <c r="C15646" i="1"/>
  <c r="A15647" i="1"/>
  <c r="C15647" i="1"/>
  <c r="A15648" i="1"/>
  <c r="C15648" i="1"/>
  <c r="A15649" i="1"/>
  <c r="C15649" i="1"/>
  <c r="A15650" i="1"/>
  <c r="C15650" i="1"/>
  <c r="A15651" i="1"/>
  <c r="C15651" i="1"/>
  <c r="A15652" i="1"/>
  <c r="C15652" i="1"/>
  <c r="A15653" i="1"/>
  <c r="C15653" i="1"/>
  <c r="A15654" i="1"/>
  <c r="C15654" i="1"/>
  <c r="A15655" i="1"/>
  <c r="C15655" i="1"/>
  <c r="A15656" i="1"/>
  <c r="C15656" i="1"/>
  <c r="A15657" i="1"/>
  <c r="C15657" i="1"/>
  <c r="A15658" i="1"/>
  <c r="C15658" i="1"/>
  <c r="A15659" i="1"/>
  <c r="C15659" i="1"/>
  <c r="A15660" i="1"/>
  <c r="C15660" i="1"/>
  <c r="A15661" i="1"/>
  <c r="C15661" i="1"/>
  <c r="A15662" i="1"/>
  <c r="C15662" i="1"/>
  <c r="A15663" i="1"/>
  <c r="C15663" i="1"/>
  <c r="A15664" i="1"/>
  <c r="C15664" i="1"/>
  <c r="A15665" i="1"/>
  <c r="C15665" i="1"/>
  <c r="A15666" i="1"/>
  <c r="C15666" i="1"/>
  <c r="A15667" i="1"/>
  <c r="C15667" i="1"/>
  <c r="A15668" i="1"/>
  <c r="C15668" i="1"/>
  <c r="A15669" i="1"/>
  <c r="C15669" i="1"/>
  <c r="A15670" i="1"/>
  <c r="C15670" i="1"/>
  <c r="A15671" i="1"/>
  <c r="C15671" i="1"/>
  <c r="A15672" i="1"/>
  <c r="C15672" i="1"/>
  <c r="A15673" i="1"/>
  <c r="C15673" i="1"/>
  <c r="A15674" i="1"/>
  <c r="C15674" i="1"/>
  <c r="A15675" i="1"/>
  <c r="C15675" i="1"/>
  <c r="A15676" i="1"/>
  <c r="C15676" i="1"/>
  <c r="A15677" i="1"/>
  <c r="C15677" i="1"/>
  <c r="A15678" i="1"/>
  <c r="C15678" i="1"/>
  <c r="A15679" i="1"/>
  <c r="C15679" i="1"/>
  <c r="A15680" i="1"/>
  <c r="C15680" i="1"/>
  <c r="A15681" i="1"/>
  <c r="C15681" i="1"/>
  <c r="A15682" i="1"/>
  <c r="C15682" i="1"/>
  <c r="A15683" i="1"/>
  <c r="C15683" i="1"/>
  <c r="A15684" i="1"/>
  <c r="C15684" i="1"/>
  <c r="A15685" i="1"/>
  <c r="C15685" i="1"/>
  <c r="A15686" i="1"/>
  <c r="C15686" i="1"/>
  <c r="A15687" i="1"/>
  <c r="C15687" i="1"/>
  <c r="A15688" i="1"/>
  <c r="C15688" i="1"/>
  <c r="A15689" i="1"/>
  <c r="C15689" i="1"/>
  <c r="A15690" i="1"/>
  <c r="C15690" i="1"/>
  <c r="A15691" i="1"/>
  <c r="C15691" i="1"/>
  <c r="A15692" i="1"/>
  <c r="C15692" i="1"/>
  <c r="A15693" i="1"/>
  <c r="C15693" i="1"/>
  <c r="A15694" i="1"/>
  <c r="C15694" i="1"/>
  <c r="A15695" i="1"/>
  <c r="C15695" i="1"/>
  <c r="A15696" i="1"/>
  <c r="C15696" i="1"/>
  <c r="A15697" i="1"/>
  <c r="C15697" i="1"/>
  <c r="A15698" i="1"/>
  <c r="C15698" i="1"/>
  <c r="A15699" i="1"/>
  <c r="C15699" i="1"/>
  <c r="A15700" i="1"/>
  <c r="C15700" i="1"/>
  <c r="A15701" i="1"/>
  <c r="C15701" i="1"/>
  <c r="A15702" i="1"/>
  <c r="C15702" i="1"/>
  <c r="A15703" i="1"/>
  <c r="C15703" i="1"/>
  <c r="A15704" i="1"/>
  <c r="C15704" i="1"/>
  <c r="A15705" i="1"/>
  <c r="C15705" i="1"/>
  <c r="A15706" i="1"/>
  <c r="C15706" i="1"/>
  <c r="A15707" i="1"/>
  <c r="C15707" i="1"/>
  <c r="A15708" i="1"/>
  <c r="C15708" i="1"/>
  <c r="A15709" i="1"/>
  <c r="C15709" i="1"/>
  <c r="A15710" i="1"/>
  <c r="C15710" i="1"/>
  <c r="A15711" i="1"/>
  <c r="C15711" i="1"/>
  <c r="A15712" i="1"/>
  <c r="C15712" i="1"/>
  <c r="A15713" i="1"/>
  <c r="C15713" i="1"/>
  <c r="A15714" i="1"/>
  <c r="C15714" i="1"/>
  <c r="A15715" i="1"/>
  <c r="C15715" i="1"/>
  <c r="A15716" i="1"/>
  <c r="C15716" i="1"/>
  <c r="A15717" i="1"/>
  <c r="C15717" i="1"/>
  <c r="A15718" i="1"/>
  <c r="C15718" i="1"/>
  <c r="A15719" i="1"/>
  <c r="C15719" i="1"/>
  <c r="A15720" i="1"/>
  <c r="C15720" i="1"/>
  <c r="A15721" i="1"/>
  <c r="C15721" i="1"/>
  <c r="A15722" i="1"/>
  <c r="C15722" i="1"/>
  <c r="A15723" i="1"/>
  <c r="C15723" i="1"/>
  <c r="A15724" i="1"/>
  <c r="C15724" i="1"/>
  <c r="A15725" i="1"/>
  <c r="C15725" i="1"/>
  <c r="A15726" i="1"/>
  <c r="C15726" i="1"/>
  <c r="A15727" i="1"/>
  <c r="C15727" i="1"/>
  <c r="A15728" i="1"/>
  <c r="C15728" i="1"/>
  <c r="A15729" i="1"/>
  <c r="C15729" i="1"/>
  <c r="A15730" i="1"/>
  <c r="C15730" i="1"/>
  <c r="A15731" i="1"/>
  <c r="C15731" i="1"/>
  <c r="A15732" i="1"/>
  <c r="C15732" i="1"/>
  <c r="A15733" i="1"/>
  <c r="C15733" i="1"/>
  <c r="A15734" i="1"/>
  <c r="C15734" i="1"/>
  <c r="A15735" i="1"/>
  <c r="C15735" i="1"/>
  <c r="A15736" i="1"/>
  <c r="C15736" i="1"/>
  <c r="A15737" i="1"/>
  <c r="C15737" i="1"/>
  <c r="A15738" i="1"/>
  <c r="C15738" i="1"/>
  <c r="A15739" i="1"/>
  <c r="C15739" i="1"/>
  <c r="A15740" i="1"/>
  <c r="C15740" i="1"/>
  <c r="A15741" i="1"/>
  <c r="C15741" i="1"/>
  <c r="A15742" i="1"/>
  <c r="C15742" i="1"/>
  <c r="A15743" i="1"/>
  <c r="C15743" i="1"/>
  <c r="A15744" i="1"/>
  <c r="C15744" i="1"/>
  <c r="A15745" i="1"/>
  <c r="C15745" i="1"/>
  <c r="A15746" i="1"/>
  <c r="C15746" i="1"/>
  <c r="A15747" i="1"/>
  <c r="C15747" i="1"/>
  <c r="A15748" i="1"/>
  <c r="C15748" i="1"/>
  <c r="A15749" i="1"/>
  <c r="C15749" i="1"/>
  <c r="A15750" i="1"/>
  <c r="C15750" i="1"/>
  <c r="A15751" i="1"/>
  <c r="C15751" i="1"/>
  <c r="A15752" i="1"/>
  <c r="C15752" i="1"/>
  <c r="A15753" i="1"/>
  <c r="C15753" i="1"/>
  <c r="A15754" i="1"/>
  <c r="C15754" i="1"/>
  <c r="A15755" i="1"/>
  <c r="C15755" i="1"/>
  <c r="A15756" i="1"/>
  <c r="C15756" i="1"/>
  <c r="A15757" i="1"/>
  <c r="C15757" i="1"/>
  <c r="A15758" i="1"/>
  <c r="C15758" i="1"/>
  <c r="A15759" i="1"/>
  <c r="C15759" i="1"/>
  <c r="A15760" i="1"/>
  <c r="C15760" i="1"/>
  <c r="A15761" i="1"/>
  <c r="C15761" i="1"/>
  <c r="A15762" i="1"/>
  <c r="C15762" i="1"/>
  <c r="A15763" i="1"/>
  <c r="C15763" i="1"/>
  <c r="A15764" i="1"/>
  <c r="C15764" i="1"/>
  <c r="A15765" i="1"/>
  <c r="C15765" i="1"/>
  <c r="A15766" i="1"/>
  <c r="C15766" i="1"/>
  <c r="A15767" i="1"/>
  <c r="C15767" i="1"/>
  <c r="A15768" i="1"/>
  <c r="C15768" i="1"/>
  <c r="A15769" i="1"/>
  <c r="C15769" i="1"/>
  <c r="A15770" i="1"/>
  <c r="C15770" i="1"/>
  <c r="A15771" i="1"/>
  <c r="C15771" i="1"/>
  <c r="A15772" i="1"/>
  <c r="C15772" i="1"/>
  <c r="A15773" i="1"/>
  <c r="C15773" i="1"/>
  <c r="A15774" i="1"/>
  <c r="C15774" i="1"/>
  <c r="A15775" i="1"/>
  <c r="C15775" i="1"/>
  <c r="A15776" i="1"/>
  <c r="C15776" i="1"/>
  <c r="A15777" i="1"/>
  <c r="C15777" i="1"/>
  <c r="A15778" i="1"/>
  <c r="C15778" i="1"/>
  <c r="A15779" i="1"/>
  <c r="C15779" i="1"/>
  <c r="A15780" i="1"/>
  <c r="C15780" i="1"/>
  <c r="A15781" i="1"/>
  <c r="C15781" i="1"/>
  <c r="A15782" i="1"/>
  <c r="C15782" i="1"/>
  <c r="A15783" i="1"/>
  <c r="C15783" i="1"/>
  <c r="A15784" i="1"/>
  <c r="C15784" i="1"/>
  <c r="A15785" i="1"/>
  <c r="C15785" i="1"/>
  <c r="A15786" i="1"/>
  <c r="C15786" i="1"/>
  <c r="A15787" i="1"/>
  <c r="C15787" i="1"/>
  <c r="A15788" i="1"/>
  <c r="C15788" i="1"/>
  <c r="A15789" i="1"/>
  <c r="C15789" i="1"/>
  <c r="A15790" i="1"/>
  <c r="C15790" i="1"/>
  <c r="A15791" i="1"/>
  <c r="C15791" i="1"/>
  <c r="A15792" i="1"/>
  <c r="C15792" i="1"/>
  <c r="A15793" i="1"/>
  <c r="C15793" i="1"/>
  <c r="A15794" i="1"/>
  <c r="C15794" i="1"/>
  <c r="A15795" i="1"/>
  <c r="C15795" i="1"/>
  <c r="A15796" i="1"/>
  <c r="C15796" i="1"/>
  <c r="A15797" i="1"/>
  <c r="C15797" i="1"/>
  <c r="A15798" i="1"/>
  <c r="C15798" i="1"/>
  <c r="A15799" i="1"/>
  <c r="C15799" i="1"/>
  <c r="A15800" i="1"/>
  <c r="C15800" i="1"/>
  <c r="A15801" i="1"/>
  <c r="C15801" i="1"/>
  <c r="A15802" i="1"/>
  <c r="C15802" i="1"/>
  <c r="A15803" i="1"/>
  <c r="C15803" i="1"/>
  <c r="A15804" i="1"/>
  <c r="C15804" i="1"/>
  <c r="A15805" i="1"/>
  <c r="C15805" i="1"/>
  <c r="A15806" i="1"/>
  <c r="C15806" i="1"/>
  <c r="A15807" i="1"/>
  <c r="C15807" i="1"/>
  <c r="A15808" i="1"/>
  <c r="C15808" i="1"/>
  <c r="A15809" i="1"/>
  <c r="C15809" i="1"/>
  <c r="A15810" i="1"/>
  <c r="C15810" i="1"/>
  <c r="A15811" i="1"/>
  <c r="C15811" i="1"/>
  <c r="A15812" i="1"/>
  <c r="C15812" i="1"/>
  <c r="A15813" i="1"/>
  <c r="C15813" i="1"/>
  <c r="A15814" i="1"/>
  <c r="C15814" i="1"/>
  <c r="A15815" i="1"/>
  <c r="C15815" i="1"/>
  <c r="A15816" i="1"/>
  <c r="C15816" i="1"/>
  <c r="A15817" i="1"/>
  <c r="C15817" i="1"/>
  <c r="A15818" i="1"/>
  <c r="C15818" i="1"/>
  <c r="A15819" i="1"/>
  <c r="C15819" i="1"/>
  <c r="A15820" i="1"/>
  <c r="C15820" i="1"/>
  <c r="A15821" i="1"/>
  <c r="C15821" i="1"/>
  <c r="A15822" i="1"/>
  <c r="C15822" i="1"/>
  <c r="A15823" i="1"/>
  <c r="C15823" i="1"/>
  <c r="A15824" i="1"/>
  <c r="C15824" i="1"/>
  <c r="A15825" i="1"/>
  <c r="C15825" i="1"/>
  <c r="A15826" i="1"/>
  <c r="C15826" i="1"/>
  <c r="A15827" i="1"/>
  <c r="C15827" i="1"/>
  <c r="A15828" i="1"/>
  <c r="C15828" i="1"/>
  <c r="A15829" i="1"/>
  <c r="C15829" i="1"/>
  <c r="A15830" i="1"/>
  <c r="C15830" i="1"/>
  <c r="A15831" i="1"/>
  <c r="C15831" i="1"/>
  <c r="A15832" i="1"/>
  <c r="C15832" i="1"/>
  <c r="A15833" i="1"/>
  <c r="C15833" i="1"/>
  <c r="A15834" i="1"/>
  <c r="C15834" i="1"/>
  <c r="A15835" i="1"/>
  <c r="C15835" i="1"/>
  <c r="A15836" i="1"/>
  <c r="C15836" i="1"/>
  <c r="A15837" i="1"/>
  <c r="C15837" i="1"/>
  <c r="A15838" i="1"/>
  <c r="C15838" i="1"/>
  <c r="A15839" i="1"/>
  <c r="C15839" i="1"/>
  <c r="A15840" i="1"/>
  <c r="C15840" i="1"/>
  <c r="A15841" i="1"/>
  <c r="C15841" i="1"/>
  <c r="A15842" i="1"/>
  <c r="C15842" i="1"/>
  <c r="A15843" i="1"/>
  <c r="C15843" i="1"/>
  <c r="A15844" i="1"/>
  <c r="C15844" i="1"/>
  <c r="A15845" i="1"/>
  <c r="C15845" i="1"/>
  <c r="A15846" i="1"/>
  <c r="C15846" i="1"/>
  <c r="A15847" i="1"/>
  <c r="C15847" i="1"/>
  <c r="A15848" i="1"/>
  <c r="C15848" i="1"/>
  <c r="A15849" i="1"/>
  <c r="C15849" i="1"/>
  <c r="A15850" i="1"/>
  <c r="C15850" i="1"/>
  <c r="A15851" i="1"/>
  <c r="C15851" i="1"/>
  <c r="A15852" i="1"/>
  <c r="C15852" i="1"/>
  <c r="A15853" i="1"/>
  <c r="C15853" i="1"/>
  <c r="A15854" i="1"/>
  <c r="C15854" i="1"/>
  <c r="A15855" i="1"/>
  <c r="C15855" i="1"/>
  <c r="A15856" i="1"/>
  <c r="C15856" i="1"/>
  <c r="A15857" i="1"/>
  <c r="C15857" i="1"/>
  <c r="A15858" i="1"/>
  <c r="C15858" i="1"/>
  <c r="A15859" i="1"/>
  <c r="C15859" i="1"/>
  <c r="A15860" i="1"/>
  <c r="C15860" i="1"/>
  <c r="A15861" i="1"/>
  <c r="C15861" i="1"/>
  <c r="A15862" i="1"/>
  <c r="C15862" i="1"/>
  <c r="A15863" i="1"/>
  <c r="C15863" i="1"/>
  <c r="A15864" i="1"/>
  <c r="C15864" i="1"/>
  <c r="A15865" i="1"/>
  <c r="C15865" i="1"/>
  <c r="A15866" i="1"/>
  <c r="C15866" i="1"/>
  <c r="A15867" i="1"/>
  <c r="C15867" i="1"/>
  <c r="A15868" i="1"/>
  <c r="C15868" i="1"/>
  <c r="A15869" i="1"/>
  <c r="C15869" i="1"/>
  <c r="A15870" i="1"/>
  <c r="C15870" i="1"/>
  <c r="A15871" i="1"/>
  <c r="C15871" i="1"/>
  <c r="A15872" i="1"/>
  <c r="C15872" i="1"/>
  <c r="A15873" i="1"/>
  <c r="C15873" i="1"/>
  <c r="A15874" i="1"/>
  <c r="C15874" i="1"/>
  <c r="A15875" i="1"/>
  <c r="C15875" i="1"/>
  <c r="A15876" i="1"/>
  <c r="C15876" i="1"/>
  <c r="A15877" i="1"/>
  <c r="C15877" i="1"/>
  <c r="A15878" i="1"/>
  <c r="C15878" i="1"/>
  <c r="A15879" i="1"/>
  <c r="C15879" i="1"/>
  <c r="A15880" i="1"/>
  <c r="C15880" i="1"/>
  <c r="A15881" i="1"/>
  <c r="C15881" i="1"/>
  <c r="A15882" i="1"/>
  <c r="C15882" i="1"/>
  <c r="A15883" i="1"/>
  <c r="C15883" i="1"/>
  <c r="A15884" i="1"/>
  <c r="C15884" i="1"/>
  <c r="A15885" i="1"/>
  <c r="C15885" i="1"/>
  <c r="A15886" i="1"/>
  <c r="C15886" i="1"/>
  <c r="A15887" i="1"/>
  <c r="C15887" i="1"/>
  <c r="A15888" i="1"/>
  <c r="C15888" i="1"/>
  <c r="A15889" i="1"/>
  <c r="C15889" i="1"/>
  <c r="A15890" i="1"/>
  <c r="C15890" i="1"/>
  <c r="A15891" i="1"/>
  <c r="C15891" i="1"/>
  <c r="A15892" i="1"/>
  <c r="C15892" i="1"/>
  <c r="A15893" i="1"/>
  <c r="C15893" i="1"/>
  <c r="A15894" i="1"/>
  <c r="C15894" i="1"/>
  <c r="A15895" i="1"/>
  <c r="C15895" i="1"/>
  <c r="A15896" i="1"/>
  <c r="C15896" i="1"/>
  <c r="A15897" i="1"/>
  <c r="C15897" i="1"/>
  <c r="A15898" i="1"/>
  <c r="C15898" i="1"/>
  <c r="A15899" i="1"/>
  <c r="C15899" i="1"/>
  <c r="A15900" i="1"/>
  <c r="C15900" i="1"/>
  <c r="A15901" i="1"/>
  <c r="C15901" i="1"/>
  <c r="A15902" i="1"/>
  <c r="C15902" i="1"/>
  <c r="A15903" i="1"/>
  <c r="C15903" i="1"/>
  <c r="A15904" i="1"/>
  <c r="C15904" i="1"/>
  <c r="A15905" i="1"/>
  <c r="C15905" i="1"/>
  <c r="A15906" i="1"/>
  <c r="C15906" i="1"/>
  <c r="A15907" i="1"/>
  <c r="C15907" i="1"/>
  <c r="A15908" i="1"/>
  <c r="C15908" i="1"/>
  <c r="A15909" i="1"/>
  <c r="C15909" i="1"/>
  <c r="A15910" i="1"/>
  <c r="C15910" i="1"/>
  <c r="A15911" i="1"/>
  <c r="C15911" i="1"/>
  <c r="A15912" i="1"/>
  <c r="C15912" i="1"/>
  <c r="A15913" i="1"/>
  <c r="C15913" i="1"/>
  <c r="A15914" i="1"/>
  <c r="C15914" i="1"/>
  <c r="A15915" i="1"/>
  <c r="C15915" i="1"/>
  <c r="A15916" i="1"/>
  <c r="C15916" i="1"/>
  <c r="A15917" i="1"/>
  <c r="C15917" i="1"/>
  <c r="A15918" i="1"/>
  <c r="C15918" i="1"/>
  <c r="A15919" i="1"/>
  <c r="C15919" i="1"/>
  <c r="A15920" i="1"/>
  <c r="C15920" i="1"/>
  <c r="A15921" i="1"/>
  <c r="C15921" i="1"/>
  <c r="A15922" i="1"/>
  <c r="C15922" i="1"/>
  <c r="A15923" i="1"/>
  <c r="C15923" i="1"/>
  <c r="A15924" i="1"/>
  <c r="C15924" i="1"/>
  <c r="A15925" i="1"/>
  <c r="C15925" i="1"/>
  <c r="A15926" i="1"/>
  <c r="C15926" i="1"/>
  <c r="A15927" i="1"/>
  <c r="C15927" i="1"/>
  <c r="A15928" i="1"/>
  <c r="C15928" i="1"/>
  <c r="A15929" i="1"/>
  <c r="C15929" i="1"/>
  <c r="A15930" i="1"/>
  <c r="C15930" i="1"/>
  <c r="A15931" i="1"/>
  <c r="C15931" i="1"/>
  <c r="A15932" i="1"/>
  <c r="C15932" i="1"/>
  <c r="A15933" i="1"/>
  <c r="C15933" i="1"/>
  <c r="A15934" i="1"/>
  <c r="C15934" i="1"/>
  <c r="A15935" i="1"/>
  <c r="C15935" i="1"/>
  <c r="A15936" i="1"/>
  <c r="C15936" i="1"/>
  <c r="A15937" i="1"/>
  <c r="C15937" i="1"/>
  <c r="A15938" i="1"/>
  <c r="C15938" i="1"/>
  <c r="A15939" i="1"/>
  <c r="C15939" i="1"/>
  <c r="A15940" i="1"/>
  <c r="C15940" i="1"/>
  <c r="A15941" i="1"/>
  <c r="C15941" i="1"/>
  <c r="A15942" i="1"/>
  <c r="C15942" i="1"/>
  <c r="A15943" i="1"/>
  <c r="C15943" i="1"/>
  <c r="A15944" i="1"/>
  <c r="C15944" i="1"/>
  <c r="A15945" i="1"/>
  <c r="C15945" i="1"/>
  <c r="A15946" i="1"/>
  <c r="C15946" i="1"/>
  <c r="A15947" i="1"/>
  <c r="C15947" i="1"/>
  <c r="A15948" i="1"/>
  <c r="C15948" i="1"/>
  <c r="A15949" i="1"/>
  <c r="C15949" i="1"/>
  <c r="A15950" i="1"/>
  <c r="C15950" i="1"/>
  <c r="A15951" i="1"/>
  <c r="C15951" i="1"/>
  <c r="A15952" i="1"/>
  <c r="C15952" i="1"/>
  <c r="A15953" i="1"/>
  <c r="C15953" i="1"/>
  <c r="A15954" i="1"/>
  <c r="C15954" i="1"/>
  <c r="A15955" i="1"/>
  <c r="C15955" i="1"/>
  <c r="A15956" i="1"/>
  <c r="C15956" i="1"/>
  <c r="A15957" i="1"/>
  <c r="C15957" i="1"/>
  <c r="A15958" i="1"/>
  <c r="C15958" i="1"/>
  <c r="A15959" i="1"/>
  <c r="C15959" i="1"/>
  <c r="A15960" i="1"/>
  <c r="C15960" i="1"/>
  <c r="A15961" i="1"/>
  <c r="C15961" i="1"/>
  <c r="A15962" i="1"/>
  <c r="C15962" i="1"/>
  <c r="A15963" i="1"/>
  <c r="C15963" i="1"/>
  <c r="A15964" i="1"/>
  <c r="C15964" i="1"/>
  <c r="A15965" i="1"/>
  <c r="C15965" i="1"/>
  <c r="A15966" i="1"/>
  <c r="C15966" i="1"/>
  <c r="A15967" i="1"/>
  <c r="C15967" i="1"/>
  <c r="A15968" i="1"/>
  <c r="C15968" i="1"/>
  <c r="A15969" i="1"/>
  <c r="C15969" i="1"/>
  <c r="A15970" i="1"/>
  <c r="C15970" i="1"/>
  <c r="A15971" i="1"/>
  <c r="C15971" i="1"/>
  <c r="A15972" i="1"/>
  <c r="C15972" i="1"/>
  <c r="A15973" i="1"/>
  <c r="C15973" i="1"/>
  <c r="A15974" i="1"/>
  <c r="C15974" i="1"/>
  <c r="A15975" i="1"/>
  <c r="C15975" i="1"/>
  <c r="A15976" i="1"/>
  <c r="C15976" i="1"/>
  <c r="A15977" i="1"/>
  <c r="C15977" i="1"/>
  <c r="A15978" i="1"/>
  <c r="C15978" i="1"/>
  <c r="A15979" i="1"/>
  <c r="C15979" i="1"/>
  <c r="A15980" i="1"/>
  <c r="C15980" i="1"/>
  <c r="A15981" i="1"/>
  <c r="C15981" i="1"/>
  <c r="A15982" i="1"/>
  <c r="C15982" i="1"/>
  <c r="A15983" i="1"/>
  <c r="C15983" i="1"/>
  <c r="A15984" i="1"/>
  <c r="C15984" i="1"/>
  <c r="A15985" i="1"/>
  <c r="C15985" i="1"/>
  <c r="A15986" i="1"/>
  <c r="C15986" i="1"/>
  <c r="A15987" i="1"/>
  <c r="C15987" i="1"/>
  <c r="A15988" i="1"/>
  <c r="C15988" i="1"/>
  <c r="A15989" i="1"/>
  <c r="C15989" i="1"/>
  <c r="A15990" i="1"/>
  <c r="C15990" i="1"/>
  <c r="A15991" i="1"/>
  <c r="C15991" i="1"/>
  <c r="A15992" i="1"/>
  <c r="C15992" i="1"/>
  <c r="A15993" i="1"/>
  <c r="C15993" i="1"/>
  <c r="A15994" i="1"/>
  <c r="C15994" i="1"/>
  <c r="A15995" i="1"/>
  <c r="C15995" i="1"/>
  <c r="A15996" i="1"/>
  <c r="C15996" i="1"/>
  <c r="A15997" i="1"/>
  <c r="C15997" i="1"/>
  <c r="A15998" i="1"/>
  <c r="C15998" i="1"/>
  <c r="A15999" i="1"/>
  <c r="C15999" i="1"/>
  <c r="A16000" i="1"/>
  <c r="C16000" i="1"/>
  <c r="A16001" i="1"/>
  <c r="C16001" i="1"/>
  <c r="A16002" i="1"/>
  <c r="C16002" i="1"/>
  <c r="A16003" i="1"/>
  <c r="C16003" i="1"/>
  <c r="A16004" i="1"/>
  <c r="C16004" i="1"/>
  <c r="A16005" i="1"/>
  <c r="C16005" i="1"/>
  <c r="A16006" i="1"/>
  <c r="C16006" i="1"/>
  <c r="A16007" i="1"/>
  <c r="C16007" i="1"/>
  <c r="A16008" i="1"/>
  <c r="C16008" i="1"/>
  <c r="A16009" i="1"/>
  <c r="C16009" i="1"/>
  <c r="A16010" i="1"/>
  <c r="C16010" i="1"/>
  <c r="A16011" i="1"/>
  <c r="C16011" i="1"/>
  <c r="A16012" i="1"/>
  <c r="C16012" i="1"/>
  <c r="A16013" i="1"/>
  <c r="C16013" i="1"/>
  <c r="A16014" i="1"/>
  <c r="C16014" i="1"/>
  <c r="A16015" i="1"/>
  <c r="C16015" i="1"/>
  <c r="A16016" i="1"/>
  <c r="C16016" i="1"/>
  <c r="A16017" i="1"/>
  <c r="C16017" i="1"/>
  <c r="A16018" i="1"/>
  <c r="C16018" i="1"/>
  <c r="A16019" i="1"/>
  <c r="C16019" i="1"/>
  <c r="A16020" i="1"/>
  <c r="C16020" i="1"/>
  <c r="A16021" i="1"/>
  <c r="C16021" i="1"/>
  <c r="A16022" i="1"/>
  <c r="C16022" i="1"/>
  <c r="A16023" i="1"/>
  <c r="C16023" i="1"/>
  <c r="A16024" i="1"/>
  <c r="C16024" i="1"/>
  <c r="A16025" i="1"/>
  <c r="C16025" i="1"/>
  <c r="A16026" i="1"/>
  <c r="C16026" i="1"/>
  <c r="A16027" i="1"/>
  <c r="C16027" i="1"/>
  <c r="A16028" i="1"/>
  <c r="C16028" i="1"/>
  <c r="A16029" i="1"/>
  <c r="C16029" i="1"/>
  <c r="A16030" i="1"/>
  <c r="C16030" i="1"/>
  <c r="A16031" i="1"/>
  <c r="C16031" i="1"/>
  <c r="A16032" i="1"/>
  <c r="C16032" i="1"/>
  <c r="A16033" i="1"/>
  <c r="C16033" i="1"/>
  <c r="A16034" i="1"/>
  <c r="C16034" i="1"/>
  <c r="A16035" i="1"/>
  <c r="C16035" i="1"/>
  <c r="A16036" i="1"/>
  <c r="C16036" i="1"/>
  <c r="A16037" i="1"/>
  <c r="C16037" i="1"/>
  <c r="A16038" i="1"/>
  <c r="C16038" i="1"/>
  <c r="A16039" i="1"/>
  <c r="C16039" i="1"/>
  <c r="A16040" i="1"/>
  <c r="C16040" i="1"/>
  <c r="A16041" i="1"/>
  <c r="C16041" i="1"/>
  <c r="A16042" i="1"/>
  <c r="C16042" i="1"/>
  <c r="A16043" i="1"/>
  <c r="C16043" i="1"/>
  <c r="A16044" i="1"/>
  <c r="C16044" i="1"/>
  <c r="A16045" i="1"/>
  <c r="C16045" i="1"/>
  <c r="A16046" i="1"/>
  <c r="C16046" i="1"/>
  <c r="A16047" i="1"/>
  <c r="C16047" i="1"/>
  <c r="A16048" i="1"/>
  <c r="C16048" i="1"/>
  <c r="A16049" i="1"/>
  <c r="C16049" i="1"/>
  <c r="A16050" i="1"/>
  <c r="C16050" i="1"/>
  <c r="A16051" i="1"/>
  <c r="C16051" i="1"/>
  <c r="A16052" i="1"/>
  <c r="C16052" i="1"/>
  <c r="A16053" i="1"/>
  <c r="C16053" i="1"/>
  <c r="A16054" i="1"/>
  <c r="C16054" i="1"/>
  <c r="A16055" i="1"/>
  <c r="C16055" i="1"/>
  <c r="A16056" i="1"/>
  <c r="C16056" i="1"/>
  <c r="A16057" i="1"/>
  <c r="C16057" i="1"/>
  <c r="A16058" i="1"/>
  <c r="C16058" i="1"/>
  <c r="A16059" i="1"/>
  <c r="C16059" i="1"/>
  <c r="A16060" i="1"/>
  <c r="C16060" i="1"/>
  <c r="A16061" i="1"/>
  <c r="C16061" i="1"/>
  <c r="A16062" i="1"/>
  <c r="C16062" i="1"/>
  <c r="A16063" i="1"/>
  <c r="C16063" i="1"/>
  <c r="A16064" i="1"/>
  <c r="C16064" i="1"/>
  <c r="A16065" i="1"/>
  <c r="C16065" i="1"/>
  <c r="A16066" i="1"/>
  <c r="C16066" i="1"/>
  <c r="A16067" i="1"/>
  <c r="C16067" i="1"/>
  <c r="A16068" i="1"/>
  <c r="C16068" i="1"/>
  <c r="A16069" i="1"/>
  <c r="C16069" i="1"/>
  <c r="A16070" i="1"/>
  <c r="C16070" i="1"/>
  <c r="A16071" i="1"/>
  <c r="C16071" i="1"/>
  <c r="A16072" i="1"/>
  <c r="C16072" i="1"/>
  <c r="A16073" i="1"/>
  <c r="C16073" i="1"/>
  <c r="A16074" i="1"/>
  <c r="C16074" i="1"/>
  <c r="A16075" i="1"/>
  <c r="C16075" i="1"/>
  <c r="A16076" i="1"/>
  <c r="C16076" i="1"/>
  <c r="A16077" i="1"/>
  <c r="C16077" i="1"/>
  <c r="A16078" i="1"/>
  <c r="C16078" i="1"/>
  <c r="A16079" i="1"/>
  <c r="C16079" i="1"/>
  <c r="A16080" i="1"/>
  <c r="C16080" i="1"/>
  <c r="A16081" i="1"/>
  <c r="C16081" i="1"/>
  <c r="A16082" i="1"/>
  <c r="C16082" i="1"/>
  <c r="A16083" i="1"/>
  <c r="C16083" i="1"/>
  <c r="A16084" i="1"/>
  <c r="C16084" i="1"/>
  <c r="A16085" i="1"/>
  <c r="C16085" i="1"/>
  <c r="A16086" i="1"/>
  <c r="C16086" i="1"/>
  <c r="A16087" i="1"/>
  <c r="C16087" i="1"/>
  <c r="A16088" i="1"/>
  <c r="C16088" i="1"/>
  <c r="A16089" i="1"/>
  <c r="C16089" i="1"/>
  <c r="A16090" i="1"/>
  <c r="C16090" i="1"/>
  <c r="A16091" i="1"/>
  <c r="C16091" i="1"/>
  <c r="A16092" i="1"/>
  <c r="C16092" i="1"/>
  <c r="A16093" i="1"/>
  <c r="C16093" i="1"/>
  <c r="A16094" i="1"/>
  <c r="C16094" i="1"/>
  <c r="A16095" i="1"/>
  <c r="C16095" i="1"/>
  <c r="A16096" i="1"/>
  <c r="C16096" i="1"/>
  <c r="A16097" i="1"/>
  <c r="C16097" i="1"/>
  <c r="A16098" i="1"/>
  <c r="C16098" i="1"/>
  <c r="A16099" i="1"/>
  <c r="C16099" i="1"/>
  <c r="A16100" i="1"/>
  <c r="C16100" i="1"/>
  <c r="A16101" i="1"/>
  <c r="C16101" i="1"/>
  <c r="A16102" i="1"/>
  <c r="C16102" i="1"/>
  <c r="A16103" i="1"/>
  <c r="C16103" i="1"/>
  <c r="A16104" i="1"/>
  <c r="C16104" i="1"/>
  <c r="A16105" i="1"/>
  <c r="C16105" i="1"/>
  <c r="A16106" i="1"/>
  <c r="C16106" i="1"/>
  <c r="A16107" i="1"/>
  <c r="C16107" i="1"/>
  <c r="A16108" i="1"/>
  <c r="C16108" i="1"/>
  <c r="A16109" i="1"/>
  <c r="C16109" i="1"/>
  <c r="A16110" i="1"/>
  <c r="C16110" i="1"/>
  <c r="A16111" i="1"/>
  <c r="C16111" i="1"/>
  <c r="A16112" i="1"/>
  <c r="C16112" i="1"/>
  <c r="A16113" i="1"/>
  <c r="C16113" i="1"/>
  <c r="A16114" i="1"/>
  <c r="C16114" i="1"/>
  <c r="A16115" i="1"/>
  <c r="C16115" i="1"/>
  <c r="A16116" i="1"/>
  <c r="C16116" i="1"/>
  <c r="A16117" i="1"/>
  <c r="C16117" i="1"/>
  <c r="A16118" i="1"/>
  <c r="C16118" i="1"/>
  <c r="A16119" i="1"/>
  <c r="C16119" i="1"/>
  <c r="A16120" i="1"/>
  <c r="C16120" i="1"/>
  <c r="A16121" i="1"/>
  <c r="C16121" i="1"/>
  <c r="A16122" i="1"/>
  <c r="C16122" i="1"/>
  <c r="A16123" i="1"/>
  <c r="C16123" i="1"/>
  <c r="A16124" i="1"/>
  <c r="C16124" i="1"/>
  <c r="A16125" i="1"/>
  <c r="C16125" i="1"/>
  <c r="A16126" i="1"/>
  <c r="C16126" i="1"/>
  <c r="A16127" i="1"/>
  <c r="C16127" i="1"/>
  <c r="A16128" i="1"/>
  <c r="C16128" i="1"/>
  <c r="A16129" i="1"/>
  <c r="C16129" i="1"/>
  <c r="A16130" i="1"/>
  <c r="C16130" i="1"/>
  <c r="A16131" i="1"/>
  <c r="C16131" i="1"/>
  <c r="A16132" i="1"/>
  <c r="C16132" i="1"/>
  <c r="A16133" i="1"/>
  <c r="C16133" i="1"/>
  <c r="A16134" i="1"/>
  <c r="C16134" i="1"/>
  <c r="A16135" i="1"/>
  <c r="C16135" i="1"/>
  <c r="A16136" i="1"/>
  <c r="C16136" i="1"/>
  <c r="A16137" i="1"/>
  <c r="C16137" i="1"/>
  <c r="A16138" i="1"/>
  <c r="C16138" i="1"/>
  <c r="A16139" i="1"/>
  <c r="C16139" i="1"/>
  <c r="A16140" i="1"/>
  <c r="C16140" i="1"/>
  <c r="A16141" i="1"/>
  <c r="C16141" i="1"/>
  <c r="A16142" i="1"/>
  <c r="C16142" i="1"/>
  <c r="A16143" i="1"/>
  <c r="C16143" i="1"/>
  <c r="A16144" i="1"/>
  <c r="C16144" i="1"/>
  <c r="A16145" i="1"/>
  <c r="C16145" i="1"/>
  <c r="A16146" i="1"/>
  <c r="C16146" i="1"/>
  <c r="A16147" i="1"/>
  <c r="C16147" i="1"/>
  <c r="A16148" i="1"/>
  <c r="C16148" i="1"/>
  <c r="A16149" i="1"/>
  <c r="C16149" i="1"/>
  <c r="A16150" i="1"/>
  <c r="C16150" i="1"/>
  <c r="A16151" i="1"/>
  <c r="C16151" i="1"/>
  <c r="A16152" i="1"/>
  <c r="C16152" i="1"/>
  <c r="A16153" i="1"/>
  <c r="C16153" i="1"/>
  <c r="A16154" i="1"/>
  <c r="C16154" i="1"/>
  <c r="A16155" i="1"/>
  <c r="C16155" i="1"/>
  <c r="A16156" i="1"/>
  <c r="C16156" i="1"/>
  <c r="A16157" i="1"/>
  <c r="C16157" i="1"/>
  <c r="A16158" i="1"/>
  <c r="C16158" i="1"/>
  <c r="A16159" i="1"/>
  <c r="C16159" i="1"/>
  <c r="A16160" i="1"/>
  <c r="C16160" i="1"/>
  <c r="A16161" i="1"/>
  <c r="C16161" i="1"/>
  <c r="A16162" i="1"/>
  <c r="C16162" i="1"/>
  <c r="A16163" i="1"/>
  <c r="C16163" i="1"/>
  <c r="A16164" i="1"/>
  <c r="C16164" i="1"/>
  <c r="A16165" i="1"/>
  <c r="C16165" i="1"/>
  <c r="A16166" i="1"/>
  <c r="C16166" i="1"/>
  <c r="A16167" i="1"/>
  <c r="C16167" i="1"/>
  <c r="A16168" i="1"/>
  <c r="C16168" i="1"/>
  <c r="A16169" i="1"/>
  <c r="C16169" i="1"/>
  <c r="A16170" i="1"/>
  <c r="C16170" i="1"/>
  <c r="A16171" i="1"/>
  <c r="C16171" i="1"/>
  <c r="A16172" i="1"/>
  <c r="C16172" i="1"/>
  <c r="A16173" i="1"/>
  <c r="C16173" i="1"/>
  <c r="A16174" i="1"/>
  <c r="C16174" i="1"/>
  <c r="A16175" i="1"/>
  <c r="C16175" i="1"/>
  <c r="A16176" i="1"/>
  <c r="C16176" i="1"/>
  <c r="A16177" i="1"/>
  <c r="C16177" i="1"/>
  <c r="A16178" i="1"/>
  <c r="C16178" i="1"/>
  <c r="A16179" i="1"/>
  <c r="C16179" i="1"/>
  <c r="A16180" i="1"/>
  <c r="C16180" i="1"/>
  <c r="A16181" i="1"/>
  <c r="C16181" i="1"/>
  <c r="A16182" i="1"/>
  <c r="C16182" i="1"/>
  <c r="A16183" i="1"/>
  <c r="C16183" i="1"/>
  <c r="A16184" i="1"/>
  <c r="C16184" i="1"/>
  <c r="A16185" i="1"/>
  <c r="C16185" i="1"/>
  <c r="A16186" i="1"/>
  <c r="C16186" i="1"/>
  <c r="A16187" i="1"/>
  <c r="C16187" i="1"/>
  <c r="A16188" i="1"/>
  <c r="C16188" i="1"/>
  <c r="A16189" i="1"/>
  <c r="C16189" i="1"/>
  <c r="A16190" i="1"/>
  <c r="C16190" i="1"/>
  <c r="A16191" i="1"/>
  <c r="C16191" i="1"/>
  <c r="A16192" i="1"/>
  <c r="C16192" i="1"/>
  <c r="A16193" i="1"/>
  <c r="C16193" i="1"/>
  <c r="A16194" i="1"/>
  <c r="C16194" i="1"/>
  <c r="A16195" i="1"/>
  <c r="C16195" i="1"/>
  <c r="A16196" i="1"/>
  <c r="C16196" i="1"/>
  <c r="A16197" i="1"/>
  <c r="C16197" i="1"/>
  <c r="A16198" i="1"/>
  <c r="C16198" i="1"/>
  <c r="A16199" i="1"/>
  <c r="C16199" i="1"/>
  <c r="A16200" i="1"/>
  <c r="C16200" i="1"/>
  <c r="A16201" i="1"/>
  <c r="C16201" i="1"/>
  <c r="A16202" i="1"/>
  <c r="C16202" i="1"/>
  <c r="A16203" i="1"/>
  <c r="C16203" i="1"/>
  <c r="A16204" i="1"/>
  <c r="C16204" i="1"/>
  <c r="A16205" i="1"/>
  <c r="C16205" i="1"/>
  <c r="A16206" i="1"/>
  <c r="C16206" i="1"/>
  <c r="A16207" i="1"/>
  <c r="C16207" i="1"/>
  <c r="A16208" i="1"/>
  <c r="C16208" i="1"/>
  <c r="A16209" i="1"/>
  <c r="C16209" i="1"/>
  <c r="A16210" i="1"/>
  <c r="C16210" i="1"/>
  <c r="A16211" i="1"/>
  <c r="C16211" i="1"/>
  <c r="A16212" i="1"/>
  <c r="C16212" i="1"/>
  <c r="A16213" i="1"/>
  <c r="C16213" i="1"/>
  <c r="A16214" i="1"/>
  <c r="C16214" i="1"/>
  <c r="A16215" i="1"/>
  <c r="C16215" i="1"/>
  <c r="A16216" i="1"/>
  <c r="C16216" i="1"/>
  <c r="A16217" i="1"/>
  <c r="C16217" i="1"/>
  <c r="A16218" i="1"/>
  <c r="C16218" i="1"/>
  <c r="A16219" i="1"/>
  <c r="C16219" i="1"/>
  <c r="A16220" i="1"/>
  <c r="C16220" i="1"/>
  <c r="A16221" i="1"/>
  <c r="C16221" i="1"/>
  <c r="A16222" i="1"/>
  <c r="C16222" i="1"/>
  <c r="A16223" i="1"/>
  <c r="C16223" i="1"/>
  <c r="A16224" i="1"/>
  <c r="C16224" i="1"/>
  <c r="A16225" i="1"/>
  <c r="C16225" i="1"/>
  <c r="A16226" i="1"/>
  <c r="C16226" i="1"/>
  <c r="A16227" i="1"/>
  <c r="C16227" i="1"/>
  <c r="A16228" i="1"/>
  <c r="C16228" i="1"/>
  <c r="A16229" i="1"/>
  <c r="C16229" i="1"/>
  <c r="A16230" i="1"/>
  <c r="C16230" i="1"/>
  <c r="A16231" i="1"/>
  <c r="C16231" i="1"/>
  <c r="A16232" i="1"/>
  <c r="C16232" i="1"/>
  <c r="A16233" i="1"/>
  <c r="C16233" i="1"/>
  <c r="A16234" i="1"/>
  <c r="C16234" i="1"/>
  <c r="A16235" i="1"/>
  <c r="C16235" i="1"/>
  <c r="A16236" i="1"/>
  <c r="C16236" i="1"/>
  <c r="A16237" i="1"/>
  <c r="C16237" i="1"/>
  <c r="A16238" i="1"/>
  <c r="C16238" i="1"/>
  <c r="A16239" i="1"/>
  <c r="C16239" i="1"/>
  <c r="A16240" i="1"/>
  <c r="C16240" i="1"/>
  <c r="A16241" i="1"/>
  <c r="C16241" i="1"/>
  <c r="A16242" i="1"/>
  <c r="C16242" i="1"/>
  <c r="A16243" i="1"/>
  <c r="C16243" i="1"/>
  <c r="A16244" i="1"/>
  <c r="C16244" i="1"/>
  <c r="A16245" i="1"/>
  <c r="C16245" i="1"/>
  <c r="A16246" i="1"/>
  <c r="C16246" i="1"/>
  <c r="A16247" i="1"/>
  <c r="C16247" i="1"/>
  <c r="A16248" i="1"/>
  <c r="C16248" i="1"/>
  <c r="A16249" i="1"/>
  <c r="C16249" i="1"/>
  <c r="A16250" i="1"/>
  <c r="C16250" i="1"/>
  <c r="A16251" i="1"/>
  <c r="C16251" i="1"/>
  <c r="A16252" i="1"/>
  <c r="C16252" i="1"/>
  <c r="A16253" i="1"/>
  <c r="C16253" i="1"/>
  <c r="A16254" i="1"/>
  <c r="C16254" i="1"/>
  <c r="A16255" i="1"/>
  <c r="C16255" i="1"/>
  <c r="A16256" i="1"/>
  <c r="C16256" i="1"/>
  <c r="A16257" i="1"/>
  <c r="C16257" i="1"/>
  <c r="A16258" i="1"/>
  <c r="C16258" i="1"/>
  <c r="A16259" i="1"/>
  <c r="C16259" i="1"/>
  <c r="A16260" i="1"/>
  <c r="C16260" i="1"/>
  <c r="A16261" i="1"/>
  <c r="C16261" i="1"/>
  <c r="A16262" i="1"/>
  <c r="C16262" i="1"/>
  <c r="A16263" i="1"/>
  <c r="C16263" i="1"/>
  <c r="A16264" i="1"/>
  <c r="C16264" i="1"/>
  <c r="A16265" i="1"/>
  <c r="C16265" i="1"/>
  <c r="A16266" i="1"/>
  <c r="C16266" i="1"/>
  <c r="A16267" i="1"/>
  <c r="C16267" i="1"/>
  <c r="A16268" i="1"/>
  <c r="C16268" i="1"/>
  <c r="A16269" i="1"/>
  <c r="C16269" i="1"/>
  <c r="A16270" i="1"/>
  <c r="C16270" i="1"/>
  <c r="A16271" i="1"/>
  <c r="C16271" i="1"/>
  <c r="A16272" i="1"/>
  <c r="C16272" i="1"/>
  <c r="A16273" i="1"/>
  <c r="C16273" i="1"/>
  <c r="A16274" i="1"/>
  <c r="C16274" i="1"/>
  <c r="A16275" i="1"/>
  <c r="C16275" i="1"/>
  <c r="A16276" i="1"/>
  <c r="C16276" i="1"/>
  <c r="A16277" i="1"/>
  <c r="C16277" i="1"/>
  <c r="A16278" i="1"/>
  <c r="C16278" i="1"/>
  <c r="A16279" i="1"/>
  <c r="C16279" i="1"/>
  <c r="A16280" i="1"/>
  <c r="C16280" i="1"/>
  <c r="A16281" i="1"/>
  <c r="C16281" i="1"/>
  <c r="A16282" i="1"/>
  <c r="C16282" i="1"/>
  <c r="A16283" i="1"/>
  <c r="C16283" i="1"/>
  <c r="A16284" i="1"/>
  <c r="C16284" i="1"/>
  <c r="A16285" i="1"/>
  <c r="C16285" i="1"/>
  <c r="A16286" i="1"/>
  <c r="C16286" i="1"/>
  <c r="A16287" i="1"/>
  <c r="C16287" i="1"/>
  <c r="A16288" i="1"/>
  <c r="C16288" i="1"/>
  <c r="A16289" i="1"/>
  <c r="C16289" i="1"/>
  <c r="A16290" i="1"/>
  <c r="C16290" i="1"/>
  <c r="A16291" i="1"/>
  <c r="C16291" i="1"/>
  <c r="A16292" i="1"/>
  <c r="C16292" i="1"/>
  <c r="A16293" i="1"/>
  <c r="C16293" i="1"/>
  <c r="A16294" i="1"/>
  <c r="C16294" i="1"/>
  <c r="A16295" i="1"/>
  <c r="C16295" i="1"/>
  <c r="A16296" i="1"/>
  <c r="C16296" i="1"/>
  <c r="A16297" i="1"/>
  <c r="C16297" i="1"/>
  <c r="A16298" i="1"/>
  <c r="C16298" i="1"/>
  <c r="A16299" i="1"/>
  <c r="C16299" i="1"/>
  <c r="A16300" i="1"/>
  <c r="C16300" i="1"/>
  <c r="A16301" i="1"/>
  <c r="C16301" i="1"/>
  <c r="A16302" i="1"/>
  <c r="C16302" i="1"/>
  <c r="A16303" i="1"/>
  <c r="C16303" i="1"/>
  <c r="A16304" i="1"/>
  <c r="C16304" i="1"/>
  <c r="A16305" i="1"/>
  <c r="C16305" i="1"/>
  <c r="A16306" i="1"/>
  <c r="C16306" i="1"/>
  <c r="A16307" i="1"/>
  <c r="C16307" i="1"/>
  <c r="A16308" i="1"/>
  <c r="C16308" i="1"/>
  <c r="A16309" i="1"/>
  <c r="C16309" i="1"/>
  <c r="A16310" i="1"/>
  <c r="C16310" i="1"/>
  <c r="A16311" i="1"/>
  <c r="C16311" i="1"/>
  <c r="A16312" i="1"/>
  <c r="C16312" i="1"/>
  <c r="A16313" i="1"/>
  <c r="C16313" i="1"/>
  <c r="A16314" i="1"/>
  <c r="C16314" i="1"/>
  <c r="A16315" i="1"/>
  <c r="C16315" i="1"/>
  <c r="A16316" i="1"/>
  <c r="C16316" i="1"/>
  <c r="A16317" i="1"/>
  <c r="C16317" i="1"/>
  <c r="A16318" i="1"/>
  <c r="C16318" i="1"/>
  <c r="A16319" i="1"/>
  <c r="C16319" i="1"/>
  <c r="A16320" i="1"/>
  <c r="C16320" i="1"/>
  <c r="A16321" i="1"/>
  <c r="C16321" i="1"/>
  <c r="A16322" i="1"/>
  <c r="C16322" i="1"/>
  <c r="A16323" i="1"/>
  <c r="C16323" i="1"/>
  <c r="A16324" i="1"/>
  <c r="C16324" i="1"/>
  <c r="A16325" i="1"/>
  <c r="C16325" i="1"/>
  <c r="A16326" i="1"/>
  <c r="C16326" i="1"/>
  <c r="A16327" i="1"/>
  <c r="C16327" i="1"/>
  <c r="A16328" i="1"/>
  <c r="C16328" i="1"/>
  <c r="A16329" i="1"/>
  <c r="C16329" i="1"/>
  <c r="A16330" i="1"/>
  <c r="C16330" i="1"/>
  <c r="A16331" i="1"/>
  <c r="C16331" i="1"/>
  <c r="A16332" i="1"/>
  <c r="C16332" i="1"/>
  <c r="A16333" i="1"/>
  <c r="C16333" i="1"/>
  <c r="A16334" i="1"/>
  <c r="C16334" i="1"/>
  <c r="A16335" i="1"/>
  <c r="C16335" i="1"/>
  <c r="A16336" i="1"/>
  <c r="C16336" i="1"/>
  <c r="A16337" i="1"/>
  <c r="C16337" i="1"/>
  <c r="A16338" i="1"/>
  <c r="C16338" i="1"/>
  <c r="A16339" i="1"/>
  <c r="C16339" i="1"/>
  <c r="A16340" i="1"/>
  <c r="C16340" i="1"/>
  <c r="A16341" i="1"/>
  <c r="C16341" i="1"/>
  <c r="A16342" i="1"/>
  <c r="C16342" i="1"/>
  <c r="A16343" i="1"/>
  <c r="C16343" i="1"/>
  <c r="A16344" i="1"/>
  <c r="C16344" i="1"/>
  <c r="A16345" i="1"/>
  <c r="C16345" i="1"/>
  <c r="A16346" i="1"/>
  <c r="C16346" i="1"/>
  <c r="A16347" i="1"/>
  <c r="C16347" i="1"/>
  <c r="A16348" i="1"/>
  <c r="C16348" i="1"/>
  <c r="A16349" i="1"/>
  <c r="C16349" i="1"/>
  <c r="A16350" i="1"/>
  <c r="C16350" i="1"/>
  <c r="A16351" i="1"/>
  <c r="C16351" i="1"/>
  <c r="A16352" i="1"/>
  <c r="C16352" i="1"/>
  <c r="A16353" i="1"/>
  <c r="C16353" i="1"/>
  <c r="A16354" i="1"/>
  <c r="C16354" i="1"/>
  <c r="A16355" i="1"/>
  <c r="C16355" i="1"/>
  <c r="A16356" i="1"/>
  <c r="C16356" i="1"/>
  <c r="A16357" i="1"/>
  <c r="C16357" i="1"/>
  <c r="A16358" i="1"/>
  <c r="C16358" i="1"/>
  <c r="A16359" i="1"/>
  <c r="C16359" i="1"/>
  <c r="A16360" i="1"/>
  <c r="C16360" i="1"/>
  <c r="A16361" i="1"/>
  <c r="C16361" i="1"/>
  <c r="A16362" i="1"/>
  <c r="C16362" i="1"/>
  <c r="A16363" i="1"/>
  <c r="C16363" i="1"/>
  <c r="A16364" i="1"/>
  <c r="C16364" i="1"/>
  <c r="A16365" i="1"/>
  <c r="C16365" i="1"/>
  <c r="A16366" i="1"/>
  <c r="C16366" i="1"/>
  <c r="A16367" i="1"/>
  <c r="C16367" i="1"/>
  <c r="A16368" i="1"/>
  <c r="C16368" i="1"/>
  <c r="A16369" i="1"/>
  <c r="C16369" i="1"/>
  <c r="A16370" i="1"/>
  <c r="C16370" i="1"/>
  <c r="A16371" i="1"/>
  <c r="C16371" i="1"/>
  <c r="A16372" i="1"/>
  <c r="C16372" i="1"/>
  <c r="A16373" i="1"/>
  <c r="C16373" i="1"/>
  <c r="A16374" i="1"/>
  <c r="C16374" i="1"/>
  <c r="A16375" i="1"/>
  <c r="C16375" i="1"/>
  <c r="A16376" i="1"/>
  <c r="C16376" i="1"/>
  <c r="A16377" i="1"/>
  <c r="C16377" i="1"/>
  <c r="A16378" i="1"/>
  <c r="C16378" i="1"/>
  <c r="A16379" i="1"/>
  <c r="C16379" i="1"/>
  <c r="A16380" i="1"/>
  <c r="C16380" i="1"/>
  <c r="A16381" i="1"/>
  <c r="C16381" i="1"/>
  <c r="A16382" i="1"/>
  <c r="C16382" i="1"/>
  <c r="A16383" i="1"/>
  <c r="C16383" i="1"/>
  <c r="A16384" i="1"/>
  <c r="C16384" i="1"/>
  <c r="A16385" i="1"/>
  <c r="C16385" i="1"/>
  <c r="A16386" i="1"/>
  <c r="C16386" i="1"/>
  <c r="A16387" i="1"/>
  <c r="C16387" i="1"/>
  <c r="A16388" i="1"/>
  <c r="C16388" i="1"/>
  <c r="A16389" i="1"/>
  <c r="C16389" i="1"/>
  <c r="A16390" i="1"/>
  <c r="C16390" i="1"/>
  <c r="A16391" i="1"/>
  <c r="C16391" i="1"/>
  <c r="A16392" i="1"/>
  <c r="C16392" i="1"/>
  <c r="A16393" i="1"/>
  <c r="C16393" i="1"/>
  <c r="A16394" i="1"/>
  <c r="C16394" i="1"/>
  <c r="A16395" i="1"/>
  <c r="C16395" i="1"/>
  <c r="A16396" i="1"/>
  <c r="C16396" i="1"/>
  <c r="A16397" i="1"/>
  <c r="C16397" i="1"/>
  <c r="A16398" i="1"/>
  <c r="C16398" i="1"/>
  <c r="A16399" i="1"/>
  <c r="C16399" i="1"/>
  <c r="A16400" i="1"/>
  <c r="C16400" i="1"/>
  <c r="A16401" i="1"/>
  <c r="C16401" i="1"/>
  <c r="A16402" i="1"/>
  <c r="C16402" i="1"/>
  <c r="A16403" i="1"/>
  <c r="C16403" i="1"/>
  <c r="A16404" i="1"/>
  <c r="C16404" i="1"/>
  <c r="A16405" i="1"/>
  <c r="C16405" i="1"/>
  <c r="A16406" i="1"/>
  <c r="C16406" i="1"/>
  <c r="A16407" i="1"/>
  <c r="C16407" i="1"/>
  <c r="A16408" i="1"/>
  <c r="C16408" i="1"/>
  <c r="A16409" i="1"/>
  <c r="C16409" i="1"/>
  <c r="A16410" i="1"/>
  <c r="C16410" i="1"/>
  <c r="A16411" i="1"/>
  <c r="C16411" i="1"/>
  <c r="A16412" i="1"/>
  <c r="C16412" i="1"/>
  <c r="A16413" i="1"/>
  <c r="C16413" i="1"/>
  <c r="A16414" i="1"/>
  <c r="C16414" i="1"/>
  <c r="A16415" i="1"/>
  <c r="C16415" i="1"/>
  <c r="A16416" i="1"/>
  <c r="C16416" i="1"/>
  <c r="A16417" i="1"/>
  <c r="C16417" i="1"/>
  <c r="A16418" i="1"/>
  <c r="C16418" i="1"/>
  <c r="A16419" i="1"/>
  <c r="C16419" i="1"/>
  <c r="A16420" i="1"/>
  <c r="C16420" i="1"/>
  <c r="A16421" i="1"/>
  <c r="C16421" i="1"/>
  <c r="A16422" i="1"/>
  <c r="C16422" i="1"/>
  <c r="A16423" i="1"/>
  <c r="C16423" i="1"/>
  <c r="A16424" i="1"/>
  <c r="C16424" i="1"/>
  <c r="A16425" i="1"/>
  <c r="C16425" i="1"/>
  <c r="A16426" i="1"/>
  <c r="C16426" i="1"/>
  <c r="A16427" i="1"/>
  <c r="C16427" i="1"/>
  <c r="A16428" i="1"/>
  <c r="C16428" i="1"/>
  <c r="A16429" i="1"/>
  <c r="C16429" i="1"/>
  <c r="A16430" i="1"/>
  <c r="C16430" i="1"/>
  <c r="A16431" i="1"/>
  <c r="C16431" i="1"/>
  <c r="A16432" i="1"/>
  <c r="C16432" i="1"/>
  <c r="A16433" i="1"/>
  <c r="C16433" i="1"/>
  <c r="A16434" i="1"/>
  <c r="C16434" i="1"/>
  <c r="A16435" i="1"/>
  <c r="C16435" i="1"/>
  <c r="A16436" i="1"/>
  <c r="C16436" i="1"/>
  <c r="A16437" i="1"/>
  <c r="C16437" i="1"/>
  <c r="A16438" i="1"/>
  <c r="C16438" i="1"/>
  <c r="A16439" i="1"/>
  <c r="C16439" i="1"/>
  <c r="A16440" i="1"/>
  <c r="C16440" i="1"/>
  <c r="A16441" i="1"/>
  <c r="C16441" i="1"/>
  <c r="A16442" i="1"/>
  <c r="C16442" i="1"/>
  <c r="A16443" i="1"/>
  <c r="C16443" i="1"/>
  <c r="A16444" i="1"/>
  <c r="C16444" i="1"/>
  <c r="A16445" i="1"/>
  <c r="C16445" i="1"/>
  <c r="A16446" i="1"/>
  <c r="C16446" i="1"/>
  <c r="A16447" i="1"/>
  <c r="C16447" i="1"/>
  <c r="A16448" i="1"/>
  <c r="C16448" i="1"/>
  <c r="A16449" i="1"/>
  <c r="C16449" i="1"/>
  <c r="A16450" i="1"/>
  <c r="C16450" i="1"/>
  <c r="A16451" i="1"/>
  <c r="C16451" i="1"/>
  <c r="A16452" i="1"/>
  <c r="C16452" i="1"/>
  <c r="A16453" i="1"/>
  <c r="C16453" i="1"/>
  <c r="A16454" i="1"/>
  <c r="C16454" i="1"/>
  <c r="A16455" i="1"/>
  <c r="C16455" i="1"/>
  <c r="A16456" i="1"/>
  <c r="C16456" i="1"/>
  <c r="A16457" i="1"/>
  <c r="C16457" i="1"/>
  <c r="A16458" i="1"/>
  <c r="C16458" i="1"/>
  <c r="A16459" i="1"/>
  <c r="C16459" i="1"/>
  <c r="A16460" i="1"/>
  <c r="C16460" i="1"/>
  <c r="A16461" i="1"/>
  <c r="C16461" i="1"/>
  <c r="A16462" i="1"/>
  <c r="C16462" i="1"/>
  <c r="A16463" i="1"/>
  <c r="C16463" i="1"/>
  <c r="A16464" i="1"/>
  <c r="C16464" i="1"/>
  <c r="A16465" i="1"/>
  <c r="C16465" i="1"/>
  <c r="A16466" i="1"/>
  <c r="C16466" i="1"/>
  <c r="A16467" i="1"/>
  <c r="C16467" i="1"/>
  <c r="A16468" i="1"/>
  <c r="C16468" i="1"/>
  <c r="A16469" i="1"/>
  <c r="C16469" i="1"/>
  <c r="A16470" i="1"/>
  <c r="C16470" i="1"/>
  <c r="A16471" i="1"/>
  <c r="C16471" i="1"/>
  <c r="A16472" i="1"/>
  <c r="C16472" i="1"/>
  <c r="A16473" i="1"/>
  <c r="C16473" i="1"/>
  <c r="A16474" i="1"/>
  <c r="C16474" i="1"/>
  <c r="A16475" i="1"/>
  <c r="C16475" i="1"/>
  <c r="A16476" i="1"/>
  <c r="C16476" i="1"/>
  <c r="A16477" i="1"/>
  <c r="C16477" i="1"/>
  <c r="A16478" i="1"/>
  <c r="C16478" i="1"/>
  <c r="A16479" i="1"/>
  <c r="C16479" i="1"/>
  <c r="A16480" i="1"/>
  <c r="C16480" i="1"/>
  <c r="A16481" i="1"/>
  <c r="C16481" i="1"/>
  <c r="A16482" i="1"/>
  <c r="C16482" i="1"/>
  <c r="A16483" i="1"/>
  <c r="C16483" i="1"/>
  <c r="A16484" i="1"/>
  <c r="C16484" i="1"/>
  <c r="A16485" i="1"/>
  <c r="C16485" i="1"/>
  <c r="A16486" i="1"/>
  <c r="C16486" i="1"/>
  <c r="A16487" i="1"/>
  <c r="C16487" i="1"/>
  <c r="A16488" i="1"/>
  <c r="C16488" i="1"/>
  <c r="A16489" i="1"/>
  <c r="C16489" i="1"/>
  <c r="A16490" i="1"/>
  <c r="C16490" i="1"/>
  <c r="A16491" i="1"/>
  <c r="C16491" i="1"/>
  <c r="A16492" i="1"/>
  <c r="C16492" i="1"/>
  <c r="A16493" i="1"/>
  <c r="C16493" i="1"/>
  <c r="A16494" i="1"/>
  <c r="C16494" i="1"/>
  <c r="A16495" i="1"/>
  <c r="C16495" i="1"/>
  <c r="A16496" i="1"/>
  <c r="C16496" i="1"/>
  <c r="A16497" i="1"/>
  <c r="C16497" i="1"/>
  <c r="A16498" i="1"/>
  <c r="C16498" i="1"/>
  <c r="A16499" i="1"/>
  <c r="C16499" i="1"/>
  <c r="A16500" i="1"/>
  <c r="C16500" i="1"/>
  <c r="A16501" i="1"/>
  <c r="C16501" i="1"/>
  <c r="A16502" i="1"/>
  <c r="C16502" i="1"/>
  <c r="A16503" i="1"/>
  <c r="C16503" i="1"/>
  <c r="A16504" i="1"/>
  <c r="C16504" i="1"/>
  <c r="A16505" i="1"/>
  <c r="C16505" i="1"/>
  <c r="A16506" i="1"/>
  <c r="C16506" i="1"/>
  <c r="A16507" i="1"/>
  <c r="C16507" i="1"/>
  <c r="A16508" i="1"/>
  <c r="C16508" i="1"/>
  <c r="A16509" i="1"/>
  <c r="C16509" i="1"/>
  <c r="A16510" i="1"/>
  <c r="C16510" i="1"/>
  <c r="A16511" i="1"/>
  <c r="C16511" i="1"/>
  <c r="A16512" i="1"/>
  <c r="C16512" i="1"/>
  <c r="A16513" i="1"/>
  <c r="C16513" i="1"/>
  <c r="A16514" i="1"/>
  <c r="C16514" i="1"/>
  <c r="A16515" i="1"/>
  <c r="C16515" i="1"/>
  <c r="A16516" i="1"/>
  <c r="C16516" i="1"/>
  <c r="A16517" i="1"/>
  <c r="C16517" i="1"/>
  <c r="A16518" i="1"/>
  <c r="C16518" i="1"/>
  <c r="A16519" i="1"/>
  <c r="C16519" i="1"/>
  <c r="A16520" i="1"/>
  <c r="C16520" i="1"/>
  <c r="A16521" i="1"/>
  <c r="C16521" i="1"/>
  <c r="A16522" i="1"/>
  <c r="C16522" i="1"/>
  <c r="A16523" i="1"/>
  <c r="C16523" i="1"/>
  <c r="A16524" i="1"/>
  <c r="C16524" i="1"/>
  <c r="A16525" i="1"/>
  <c r="C16525" i="1"/>
  <c r="A16526" i="1"/>
  <c r="C16526" i="1"/>
  <c r="A16527" i="1"/>
  <c r="C16527" i="1"/>
  <c r="A16528" i="1"/>
  <c r="C16528" i="1"/>
  <c r="A16529" i="1"/>
  <c r="C16529" i="1"/>
  <c r="A16530" i="1"/>
  <c r="C16530" i="1"/>
  <c r="A16531" i="1"/>
  <c r="C16531" i="1"/>
  <c r="A16532" i="1"/>
  <c r="C16532" i="1"/>
  <c r="A16533" i="1"/>
  <c r="C16533" i="1"/>
  <c r="A16534" i="1"/>
  <c r="C16534" i="1"/>
  <c r="A16535" i="1"/>
  <c r="C16535" i="1"/>
  <c r="A16536" i="1"/>
  <c r="C16536" i="1"/>
  <c r="A16537" i="1"/>
  <c r="C16537" i="1"/>
  <c r="A16538" i="1"/>
  <c r="C16538" i="1"/>
  <c r="A16539" i="1"/>
  <c r="C16539" i="1"/>
  <c r="A16540" i="1"/>
  <c r="C16540" i="1"/>
  <c r="A16541" i="1"/>
  <c r="C16541" i="1"/>
  <c r="A16542" i="1"/>
  <c r="C16542" i="1"/>
  <c r="A16543" i="1"/>
  <c r="C16543" i="1"/>
  <c r="A16544" i="1"/>
  <c r="C16544" i="1"/>
  <c r="A16545" i="1"/>
  <c r="C16545" i="1"/>
  <c r="A16546" i="1"/>
  <c r="C16546" i="1"/>
  <c r="A16547" i="1"/>
  <c r="C16547" i="1"/>
  <c r="A16548" i="1"/>
  <c r="C16548" i="1"/>
  <c r="A16549" i="1"/>
  <c r="C16549" i="1"/>
  <c r="A16550" i="1"/>
  <c r="C16550" i="1"/>
  <c r="A16551" i="1"/>
  <c r="C16551" i="1"/>
  <c r="A16552" i="1"/>
  <c r="C16552" i="1"/>
  <c r="A16553" i="1"/>
  <c r="C16553" i="1"/>
  <c r="A16554" i="1"/>
  <c r="C16554" i="1"/>
  <c r="A16555" i="1"/>
  <c r="C16555" i="1"/>
  <c r="A16556" i="1"/>
  <c r="C16556" i="1"/>
  <c r="A16557" i="1"/>
  <c r="C16557" i="1"/>
  <c r="A16558" i="1"/>
  <c r="C16558" i="1"/>
  <c r="A16559" i="1"/>
  <c r="C16559" i="1"/>
  <c r="A16560" i="1"/>
  <c r="C16560" i="1"/>
  <c r="A16561" i="1"/>
  <c r="C16561" i="1"/>
  <c r="A16562" i="1"/>
  <c r="C16562" i="1"/>
  <c r="A16563" i="1"/>
  <c r="C16563" i="1"/>
  <c r="A16564" i="1"/>
  <c r="C16564" i="1"/>
  <c r="A16565" i="1"/>
  <c r="C16565" i="1"/>
  <c r="A16566" i="1"/>
  <c r="C16566" i="1"/>
  <c r="A16567" i="1"/>
  <c r="C16567" i="1"/>
  <c r="A16568" i="1"/>
  <c r="C16568" i="1"/>
  <c r="A16569" i="1"/>
  <c r="C16569" i="1"/>
  <c r="A16570" i="1"/>
  <c r="C16570" i="1"/>
  <c r="A16571" i="1"/>
  <c r="C16571" i="1"/>
  <c r="A16572" i="1"/>
  <c r="C16572" i="1"/>
  <c r="A16573" i="1"/>
  <c r="C16573" i="1"/>
  <c r="A16574" i="1"/>
  <c r="C16574" i="1"/>
  <c r="A16575" i="1"/>
  <c r="C16575" i="1"/>
  <c r="A16576" i="1"/>
  <c r="C16576" i="1"/>
  <c r="A16577" i="1"/>
  <c r="C16577" i="1"/>
  <c r="A16578" i="1"/>
  <c r="C16578" i="1"/>
  <c r="A16579" i="1"/>
  <c r="C16579" i="1"/>
  <c r="A16580" i="1"/>
  <c r="C16580" i="1"/>
  <c r="A16581" i="1"/>
  <c r="C16581" i="1"/>
  <c r="A16582" i="1"/>
  <c r="C16582" i="1"/>
  <c r="A16583" i="1"/>
  <c r="C16583" i="1"/>
  <c r="A16584" i="1"/>
  <c r="C16584" i="1"/>
  <c r="A16585" i="1"/>
  <c r="C16585" i="1"/>
  <c r="A16586" i="1"/>
  <c r="C16586" i="1"/>
  <c r="A16587" i="1"/>
  <c r="C16587" i="1"/>
  <c r="A16588" i="1"/>
  <c r="C16588" i="1"/>
  <c r="A16589" i="1"/>
  <c r="C16589" i="1"/>
  <c r="A16590" i="1"/>
  <c r="C16590" i="1"/>
  <c r="A16591" i="1"/>
  <c r="C16591" i="1"/>
  <c r="A16592" i="1"/>
  <c r="C16592" i="1"/>
  <c r="A16593" i="1"/>
  <c r="C16593" i="1"/>
  <c r="A16594" i="1"/>
  <c r="C16594" i="1"/>
  <c r="A16595" i="1"/>
  <c r="C16595" i="1"/>
  <c r="A16596" i="1"/>
  <c r="C16596" i="1"/>
  <c r="A16597" i="1"/>
  <c r="C16597" i="1"/>
  <c r="A16598" i="1"/>
  <c r="C16598" i="1"/>
  <c r="A16599" i="1"/>
  <c r="C16599" i="1"/>
  <c r="A16600" i="1"/>
  <c r="C16600" i="1"/>
  <c r="A16601" i="1"/>
  <c r="C16601" i="1"/>
  <c r="A16602" i="1"/>
  <c r="C16602" i="1"/>
  <c r="A16603" i="1"/>
  <c r="C16603" i="1"/>
  <c r="A16604" i="1"/>
  <c r="C16604" i="1"/>
  <c r="A16605" i="1"/>
  <c r="C16605" i="1"/>
  <c r="A16606" i="1"/>
  <c r="C16606" i="1"/>
  <c r="A16607" i="1"/>
  <c r="C16607" i="1"/>
  <c r="A16608" i="1"/>
  <c r="C16608" i="1"/>
  <c r="A16609" i="1"/>
  <c r="C16609" i="1"/>
  <c r="A16610" i="1"/>
  <c r="C16610" i="1"/>
  <c r="A16611" i="1"/>
  <c r="C16611" i="1"/>
  <c r="A16612" i="1"/>
  <c r="C16612" i="1"/>
  <c r="A16613" i="1"/>
  <c r="C16613" i="1"/>
  <c r="A16614" i="1"/>
  <c r="C16614" i="1"/>
  <c r="A16615" i="1"/>
  <c r="C16615" i="1"/>
  <c r="A16616" i="1"/>
  <c r="C16616" i="1"/>
  <c r="A16617" i="1"/>
  <c r="C16617" i="1"/>
  <c r="A16618" i="1"/>
  <c r="C16618" i="1"/>
  <c r="A16619" i="1"/>
  <c r="C16619" i="1"/>
  <c r="A16620" i="1"/>
  <c r="C16620" i="1"/>
  <c r="A16621" i="1"/>
  <c r="C16621" i="1"/>
  <c r="A16622" i="1"/>
  <c r="C16622" i="1"/>
  <c r="A16623" i="1"/>
  <c r="C16623" i="1"/>
  <c r="A16624" i="1"/>
  <c r="C16624" i="1"/>
  <c r="A16625" i="1"/>
  <c r="C16625" i="1"/>
  <c r="A16626" i="1"/>
  <c r="C16626" i="1"/>
  <c r="A16627" i="1"/>
  <c r="C16627" i="1"/>
  <c r="A16628" i="1"/>
  <c r="C16628" i="1"/>
  <c r="A16629" i="1"/>
  <c r="C16629" i="1"/>
  <c r="A16630" i="1"/>
  <c r="C16630" i="1"/>
  <c r="A16631" i="1"/>
  <c r="C16631" i="1"/>
  <c r="A16632" i="1"/>
  <c r="C16632" i="1"/>
  <c r="A16633" i="1"/>
  <c r="C16633" i="1"/>
  <c r="A16634" i="1"/>
  <c r="C16634" i="1"/>
  <c r="A16635" i="1"/>
  <c r="C16635" i="1"/>
  <c r="A16636" i="1"/>
  <c r="C16636" i="1"/>
  <c r="A16637" i="1"/>
  <c r="C16637" i="1"/>
  <c r="A16638" i="1"/>
  <c r="C16638" i="1"/>
  <c r="A16639" i="1"/>
  <c r="C16639" i="1"/>
  <c r="A16640" i="1"/>
  <c r="C16640" i="1"/>
  <c r="A16641" i="1"/>
  <c r="C16641" i="1"/>
  <c r="A16642" i="1"/>
  <c r="C16642" i="1"/>
  <c r="A16643" i="1"/>
  <c r="C16643" i="1"/>
  <c r="A16644" i="1"/>
  <c r="C16644" i="1"/>
  <c r="A16645" i="1"/>
  <c r="C16645" i="1"/>
  <c r="A16646" i="1"/>
  <c r="C16646" i="1"/>
  <c r="A16647" i="1"/>
  <c r="C16647" i="1"/>
  <c r="A16648" i="1"/>
  <c r="C16648" i="1"/>
  <c r="A16649" i="1"/>
  <c r="C16649" i="1"/>
  <c r="A16650" i="1"/>
  <c r="C16650" i="1"/>
  <c r="A16651" i="1"/>
  <c r="C16651" i="1"/>
  <c r="A16652" i="1"/>
  <c r="C16652" i="1"/>
  <c r="A16653" i="1"/>
  <c r="C16653" i="1"/>
  <c r="A16654" i="1"/>
  <c r="C16654" i="1"/>
  <c r="A16655" i="1"/>
  <c r="C16655" i="1"/>
  <c r="A16656" i="1"/>
  <c r="C16656" i="1"/>
  <c r="A16657" i="1"/>
  <c r="C16657" i="1"/>
  <c r="A16658" i="1"/>
  <c r="C16658" i="1"/>
  <c r="A16659" i="1"/>
  <c r="C16659" i="1"/>
  <c r="A16660" i="1"/>
  <c r="C16660" i="1"/>
  <c r="A16661" i="1"/>
  <c r="C16661" i="1"/>
  <c r="A16662" i="1"/>
  <c r="C16662" i="1"/>
  <c r="A16663" i="1"/>
  <c r="C16663" i="1"/>
  <c r="A16664" i="1"/>
  <c r="C16664" i="1"/>
  <c r="A16665" i="1"/>
  <c r="C16665" i="1"/>
  <c r="A16666" i="1"/>
  <c r="C16666" i="1"/>
  <c r="A16667" i="1"/>
  <c r="C16667" i="1"/>
  <c r="A16668" i="1"/>
  <c r="C16668" i="1"/>
  <c r="A16669" i="1"/>
  <c r="C16669" i="1"/>
  <c r="A16670" i="1"/>
  <c r="C16670" i="1"/>
  <c r="A16671" i="1"/>
  <c r="C16671" i="1"/>
  <c r="A16672" i="1"/>
  <c r="C16672" i="1"/>
  <c r="A16673" i="1"/>
  <c r="C16673" i="1"/>
  <c r="A16674" i="1"/>
  <c r="C16674" i="1"/>
  <c r="A16675" i="1"/>
  <c r="C16675" i="1"/>
  <c r="A16676" i="1"/>
  <c r="C16676" i="1"/>
  <c r="A16677" i="1"/>
  <c r="C16677" i="1"/>
  <c r="A16678" i="1"/>
  <c r="C16678" i="1"/>
  <c r="A16679" i="1"/>
  <c r="C16679" i="1"/>
  <c r="A16680" i="1"/>
  <c r="C16680" i="1"/>
  <c r="A16681" i="1"/>
  <c r="C16681" i="1"/>
  <c r="A16682" i="1"/>
  <c r="C16682" i="1"/>
  <c r="A16683" i="1"/>
  <c r="C16683" i="1"/>
  <c r="A16684" i="1"/>
  <c r="C16684" i="1"/>
  <c r="A16685" i="1"/>
  <c r="C16685" i="1"/>
  <c r="A16686" i="1"/>
  <c r="C16686" i="1"/>
  <c r="A16687" i="1"/>
  <c r="C16687" i="1"/>
  <c r="A16688" i="1"/>
  <c r="C16688" i="1"/>
  <c r="A16689" i="1"/>
  <c r="C16689" i="1"/>
  <c r="A16690" i="1"/>
  <c r="C16690" i="1"/>
  <c r="A16691" i="1"/>
  <c r="C16691" i="1"/>
  <c r="A16692" i="1"/>
  <c r="C16692" i="1"/>
  <c r="A16693" i="1"/>
  <c r="C16693" i="1"/>
  <c r="A16694" i="1"/>
  <c r="C16694" i="1"/>
  <c r="A16695" i="1"/>
  <c r="C16695" i="1"/>
  <c r="A16696" i="1"/>
  <c r="C16696" i="1"/>
  <c r="A16697" i="1"/>
  <c r="C16697" i="1"/>
  <c r="A16698" i="1"/>
  <c r="C16698" i="1"/>
  <c r="A16699" i="1"/>
  <c r="C16699" i="1"/>
  <c r="A16700" i="1"/>
  <c r="C16700" i="1"/>
  <c r="A16701" i="1"/>
  <c r="C16701" i="1"/>
  <c r="A16702" i="1"/>
  <c r="C16702" i="1"/>
  <c r="A16703" i="1"/>
  <c r="C16703" i="1"/>
  <c r="A16704" i="1"/>
  <c r="C16704" i="1"/>
  <c r="A16705" i="1"/>
  <c r="C16705" i="1"/>
  <c r="A16706" i="1"/>
  <c r="C16706" i="1"/>
  <c r="A16707" i="1"/>
  <c r="C16707" i="1"/>
  <c r="A16708" i="1"/>
  <c r="C16708" i="1"/>
  <c r="A16709" i="1"/>
  <c r="C16709" i="1"/>
  <c r="A16710" i="1"/>
  <c r="C16710" i="1"/>
  <c r="A16711" i="1"/>
  <c r="C16711" i="1"/>
  <c r="A16712" i="1"/>
  <c r="C16712" i="1"/>
  <c r="A16713" i="1"/>
  <c r="C16713" i="1"/>
  <c r="A16714" i="1"/>
  <c r="C16714" i="1"/>
  <c r="A16715" i="1"/>
  <c r="C16715" i="1"/>
  <c r="A16716" i="1"/>
  <c r="C16716" i="1"/>
  <c r="A16717" i="1"/>
  <c r="C16717" i="1"/>
  <c r="A16718" i="1"/>
  <c r="C16718" i="1"/>
  <c r="A16719" i="1"/>
  <c r="C16719" i="1"/>
  <c r="A16720" i="1"/>
  <c r="C16720" i="1"/>
  <c r="A16721" i="1"/>
  <c r="C16721" i="1"/>
  <c r="A16722" i="1"/>
  <c r="C16722" i="1"/>
  <c r="A16723" i="1"/>
  <c r="C16723" i="1"/>
  <c r="A16724" i="1"/>
  <c r="C16724" i="1"/>
  <c r="A16725" i="1"/>
  <c r="C16725" i="1"/>
  <c r="A16726" i="1"/>
  <c r="C16726" i="1"/>
  <c r="A16727" i="1"/>
  <c r="C16727" i="1"/>
  <c r="A16728" i="1"/>
  <c r="C16728" i="1"/>
  <c r="A16729" i="1"/>
  <c r="C16729" i="1"/>
  <c r="A16730" i="1"/>
  <c r="C16730" i="1"/>
  <c r="A16731" i="1"/>
  <c r="C16731" i="1"/>
  <c r="A16732" i="1"/>
  <c r="C16732" i="1"/>
  <c r="A16733" i="1"/>
  <c r="C16733" i="1"/>
  <c r="A16734" i="1"/>
  <c r="C16734" i="1"/>
  <c r="A16735" i="1"/>
  <c r="C16735" i="1"/>
  <c r="A16736" i="1"/>
  <c r="C16736" i="1"/>
  <c r="A16737" i="1"/>
  <c r="C16737" i="1"/>
  <c r="A16738" i="1"/>
  <c r="C16738" i="1"/>
  <c r="A16739" i="1"/>
  <c r="C16739" i="1"/>
  <c r="A16740" i="1"/>
  <c r="C16740" i="1"/>
  <c r="A16741" i="1"/>
  <c r="C16741" i="1"/>
  <c r="A16742" i="1"/>
  <c r="C16742" i="1"/>
  <c r="A16743" i="1"/>
  <c r="C16743" i="1"/>
  <c r="A16744" i="1"/>
  <c r="C16744" i="1"/>
  <c r="A16745" i="1"/>
  <c r="C16745" i="1"/>
  <c r="A16746" i="1"/>
  <c r="C16746" i="1"/>
  <c r="A16747" i="1"/>
  <c r="C16747" i="1"/>
  <c r="A16748" i="1"/>
  <c r="C16748" i="1"/>
  <c r="A16749" i="1"/>
  <c r="C16749" i="1"/>
  <c r="A16750" i="1"/>
  <c r="C16750" i="1"/>
  <c r="A16751" i="1"/>
  <c r="C16751" i="1"/>
  <c r="A16752" i="1"/>
  <c r="C16752" i="1"/>
  <c r="A16753" i="1"/>
  <c r="C16753" i="1"/>
  <c r="A16754" i="1"/>
  <c r="C16754" i="1"/>
  <c r="A16755" i="1"/>
  <c r="C16755" i="1"/>
  <c r="A16756" i="1"/>
  <c r="C16756" i="1"/>
  <c r="A16757" i="1"/>
  <c r="C16757" i="1"/>
  <c r="A16758" i="1"/>
  <c r="C16758" i="1"/>
  <c r="A16759" i="1"/>
  <c r="C16759" i="1"/>
  <c r="A16760" i="1"/>
  <c r="C16760" i="1"/>
  <c r="A16761" i="1"/>
  <c r="C16761" i="1"/>
  <c r="A16762" i="1"/>
  <c r="C16762" i="1"/>
  <c r="A16763" i="1"/>
  <c r="C16763" i="1"/>
  <c r="A16764" i="1"/>
  <c r="C16764" i="1"/>
  <c r="A16765" i="1"/>
  <c r="C16765" i="1"/>
  <c r="A16766" i="1"/>
  <c r="C16766" i="1"/>
  <c r="A16767" i="1"/>
  <c r="C16767" i="1"/>
  <c r="A16768" i="1"/>
  <c r="C16768" i="1"/>
  <c r="A16769" i="1"/>
  <c r="C16769" i="1"/>
  <c r="A16770" i="1"/>
  <c r="C16770" i="1"/>
  <c r="A16771" i="1"/>
  <c r="C16771" i="1"/>
  <c r="A16772" i="1"/>
  <c r="C16772" i="1"/>
  <c r="A16773" i="1"/>
  <c r="C16773" i="1"/>
  <c r="A16774" i="1"/>
  <c r="C16774" i="1"/>
  <c r="A16775" i="1"/>
  <c r="C16775" i="1"/>
  <c r="A16776" i="1"/>
  <c r="C16776" i="1"/>
  <c r="A16777" i="1"/>
  <c r="C16777" i="1"/>
  <c r="A16778" i="1"/>
  <c r="C16778" i="1"/>
  <c r="A16779" i="1"/>
  <c r="C16779" i="1"/>
  <c r="A16780" i="1"/>
  <c r="C16780" i="1"/>
  <c r="A16781" i="1"/>
  <c r="C16781" i="1"/>
  <c r="A16782" i="1"/>
  <c r="C16782" i="1"/>
  <c r="A16783" i="1"/>
  <c r="C16783" i="1"/>
  <c r="A16784" i="1"/>
  <c r="C16784" i="1"/>
  <c r="A16785" i="1"/>
  <c r="C16785" i="1"/>
  <c r="A16786" i="1"/>
  <c r="C16786" i="1"/>
  <c r="A16787" i="1"/>
  <c r="C16787" i="1"/>
  <c r="A16788" i="1"/>
  <c r="C16788" i="1"/>
  <c r="A16789" i="1"/>
  <c r="C16789" i="1"/>
  <c r="A16790" i="1"/>
  <c r="C16790" i="1"/>
  <c r="A16791" i="1"/>
  <c r="C16791" i="1"/>
  <c r="A16792" i="1"/>
  <c r="C16792" i="1"/>
  <c r="A16793" i="1"/>
  <c r="C16793" i="1"/>
  <c r="A16794" i="1"/>
  <c r="C16794" i="1"/>
  <c r="A16795" i="1"/>
  <c r="C16795" i="1"/>
  <c r="A16796" i="1"/>
  <c r="C16796" i="1"/>
  <c r="A16797" i="1"/>
  <c r="C16797" i="1"/>
  <c r="A16798" i="1"/>
  <c r="C16798" i="1"/>
  <c r="A16799" i="1"/>
  <c r="C16799" i="1"/>
  <c r="A16800" i="1"/>
  <c r="C16800" i="1"/>
  <c r="A16801" i="1"/>
  <c r="C16801" i="1"/>
  <c r="A16802" i="1"/>
  <c r="C16802" i="1"/>
  <c r="A16803" i="1"/>
  <c r="C16803" i="1"/>
  <c r="A16804" i="1"/>
  <c r="C16804" i="1"/>
  <c r="A16805" i="1"/>
  <c r="C16805" i="1"/>
  <c r="A16806" i="1"/>
  <c r="C16806" i="1"/>
  <c r="A16807" i="1"/>
  <c r="C16807" i="1"/>
  <c r="A16808" i="1"/>
  <c r="C16808" i="1"/>
  <c r="A16809" i="1"/>
  <c r="C16809" i="1"/>
  <c r="A16810" i="1"/>
  <c r="C16810" i="1"/>
  <c r="A16811" i="1"/>
  <c r="C16811" i="1"/>
  <c r="A16812" i="1"/>
  <c r="C16812" i="1"/>
  <c r="A16813" i="1"/>
  <c r="C16813" i="1"/>
  <c r="A16814" i="1"/>
  <c r="C16814" i="1"/>
  <c r="A16815" i="1"/>
  <c r="C16815" i="1"/>
  <c r="A16816" i="1"/>
  <c r="C16816" i="1"/>
  <c r="A16817" i="1"/>
  <c r="C16817" i="1"/>
  <c r="A16818" i="1"/>
  <c r="C16818" i="1"/>
  <c r="A16819" i="1"/>
  <c r="C16819" i="1"/>
  <c r="A16820" i="1"/>
  <c r="C16820" i="1"/>
  <c r="A16821" i="1"/>
  <c r="C16821" i="1"/>
  <c r="A16822" i="1"/>
  <c r="C16822" i="1"/>
  <c r="A16823" i="1"/>
  <c r="C16823" i="1"/>
  <c r="A16824" i="1"/>
  <c r="C16824" i="1"/>
  <c r="A16825" i="1"/>
  <c r="C16825" i="1"/>
  <c r="A16826" i="1"/>
  <c r="C16826" i="1"/>
  <c r="A16827" i="1"/>
  <c r="C16827" i="1"/>
  <c r="A16828" i="1"/>
  <c r="C16828" i="1"/>
  <c r="A16829" i="1"/>
  <c r="C16829" i="1"/>
  <c r="A16830" i="1"/>
  <c r="C16830" i="1"/>
  <c r="A16831" i="1"/>
  <c r="C16831" i="1"/>
  <c r="A16832" i="1"/>
  <c r="C16832" i="1"/>
  <c r="A16833" i="1"/>
  <c r="C16833" i="1"/>
  <c r="A16834" i="1"/>
  <c r="C16834" i="1"/>
  <c r="A16835" i="1"/>
  <c r="C16835" i="1"/>
  <c r="A16836" i="1"/>
  <c r="C16836" i="1"/>
  <c r="A16837" i="1"/>
  <c r="C16837" i="1"/>
  <c r="A16838" i="1"/>
  <c r="C16838" i="1"/>
  <c r="A16839" i="1"/>
  <c r="C16839" i="1"/>
  <c r="A16840" i="1"/>
  <c r="C16840" i="1"/>
  <c r="A16841" i="1"/>
  <c r="C16841" i="1"/>
  <c r="A16842" i="1"/>
  <c r="C16842" i="1"/>
  <c r="A16843" i="1"/>
  <c r="C16843" i="1"/>
  <c r="A16844" i="1"/>
  <c r="C16844" i="1"/>
  <c r="A16845" i="1"/>
  <c r="C16845" i="1"/>
  <c r="A16846" i="1"/>
  <c r="C16846" i="1"/>
  <c r="A16847" i="1"/>
  <c r="C16847" i="1"/>
  <c r="A16848" i="1"/>
  <c r="C16848" i="1"/>
  <c r="A16849" i="1"/>
  <c r="C16849" i="1"/>
  <c r="A16850" i="1"/>
  <c r="C16850" i="1"/>
  <c r="A16851" i="1"/>
  <c r="C16851" i="1"/>
  <c r="A16852" i="1"/>
  <c r="C16852" i="1"/>
  <c r="A16853" i="1"/>
  <c r="C16853" i="1"/>
  <c r="A16854" i="1"/>
  <c r="C16854" i="1"/>
  <c r="A16855" i="1"/>
  <c r="C16855" i="1"/>
  <c r="A16856" i="1"/>
  <c r="C16856" i="1"/>
  <c r="A16857" i="1"/>
  <c r="C16857" i="1"/>
  <c r="A16858" i="1"/>
  <c r="C16858" i="1"/>
  <c r="A16859" i="1"/>
  <c r="C16859" i="1"/>
  <c r="A16860" i="1"/>
  <c r="C16860" i="1"/>
  <c r="A16861" i="1"/>
  <c r="C16861" i="1"/>
  <c r="A16862" i="1"/>
  <c r="C16862" i="1"/>
  <c r="A16863" i="1"/>
  <c r="C16863" i="1"/>
  <c r="A16864" i="1"/>
  <c r="C16864" i="1"/>
  <c r="A16865" i="1"/>
  <c r="C16865" i="1"/>
  <c r="A16866" i="1"/>
  <c r="C16866" i="1"/>
  <c r="A16867" i="1"/>
  <c r="C16867" i="1"/>
  <c r="A16868" i="1"/>
  <c r="C16868" i="1"/>
  <c r="A16869" i="1"/>
  <c r="C16869" i="1"/>
  <c r="A16870" i="1"/>
  <c r="C16870" i="1"/>
  <c r="A16871" i="1"/>
  <c r="C16871" i="1"/>
  <c r="A16872" i="1"/>
  <c r="C16872" i="1"/>
  <c r="A16873" i="1"/>
  <c r="C16873" i="1"/>
  <c r="A16874" i="1"/>
  <c r="C16874" i="1"/>
  <c r="A16875" i="1"/>
  <c r="C16875" i="1"/>
  <c r="A16876" i="1"/>
  <c r="C16876" i="1"/>
  <c r="A16877" i="1"/>
  <c r="C16877" i="1"/>
  <c r="A16878" i="1"/>
  <c r="C16878" i="1"/>
  <c r="A16879" i="1"/>
  <c r="C16879" i="1"/>
  <c r="A16880" i="1"/>
  <c r="C16880" i="1"/>
  <c r="A16881" i="1"/>
  <c r="C16881" i="1"/>
  <c r="A16882" i="1"/>
  <c r="C16882" i="1"/>
  <c r="A16883" i="1"/>
  <c r="C16883" i="1"/>
  <c r="A16884" i="1"/>
  <c r="C16884" i="1"/>
  <c r="A16885" i="1"/>
  <c r="C16885" i="1"/>
  <c r="A16886" i="1"/>
  <c r="C16886" i="1"/>
  <c r="A16887" i="1"/>
  <c r="C16887" i="1"/>
  <c r="A16888" i="1"/>
  <c r="C16888" i="1"/>
  <c r="A16889" i="1"/>
  <c r="C16889" i="1"/>
  <c r="A16890" i="1"/>
  <c r="C16890" i="1"/>
  <c r="A16891" i="1"/>
  <c r="C16891" i="1"/>
  <c r="A16892" i="1"/>
  <c r="C16892" i="1"/>
  <c r="A16893" i="1"/>
  <c r="C16893" i="1"/>
  <c r="A16894" i="1"/>
  <c r="C16894" i="1"/>
  <c r="A16895" i="1"/>
  <c r="C16895" i="1"/>
  <c r="A16896" i="1"/>
  <c r="C16896" i="1"/>
  <c r="A16897" i="1"/>
  <c r="C16897" i="1"/>
  <c r="A16898" i="1"/>
  <c r="C16898" i="1"/>
  <c r="A16899" i="1"/>
  <c r="C16899" i="1"/>
  <c r="A16900" i="1"/>
  <c r="C16900" i="1"/>
  <c r="A16901" i="1"/>
  <c r="C16901" i="1"/>
  <c r="A16902" i="1"/>
  <c r="C16902" i="1"/>
  <c r="A16903" i="1"/>
  <c r="C16903" i="1"/>
  <c r="A16904" i="1"/>
  <c r="C16904" i="1"/>
  <c r="A16905" i="1"/>
  <c r="C16905" i="1"/>
  <c r="A16906" i="1"/>
  <c r="C16906" i="1"/>
  <c r="A16907" i="1"/>
  <c r="C16907" i="1"/>
  <c r="A16908" i="1"/>
  <c r="C16908" i="1"/>
  <c r="A16909" i="1"/>
  <c r="C16909" i="1"/>
  <c r="A16910" i="1"/>
  <c r="C16910" i="1"/>
  <c r="A16911" i="1"/>
  <c r="C16911" i="1"/>
  <c r="A16912" i="1"/>
  <c r="C16912" i="1"/>
  <c r="A16913" i="1"/>
  <c r="C16913" i="1"/>
  <c r="A16914" i="1"/>
  <c r="C16914" i="1"/>
  <c r="A16915" i="1"/>
  <c r="C16915" i="1"/>
  <c r="A16916" i="1"/>
  <c r="C16916" i="1"/>
  <c r="A16917" i="1"/>
  <c r="C16917" i="1"/>
  <c r="A16918" i="1"/>
  <c r="C16918" i="1"/>
  <c r="A16919" i="1"/>
  <c r="C16919" i="1"/>
  <c r="A16920" i="1"/>
  <c r="C16920" i="1"/>
  <c r="A16921" i="1"/>
  <c r="C16921" i="1"/>
  <c r="A16922" i="1"/>
  <c r="C16922" i="1"/>
  <c r="A16923" i="1"/>
  <c r="C16923" i="1"/>
  <c r="A16924" i="1"/>
  <c r="C16924" i="1"/>
  <c r="A16925" i="1"/>
  <c r="C16925" i="1"/>
  <c r="A16926" i="1"/>
  <c r="C16926" i="1"/>
  <c r="A16927" i="1"/>
  <c r="C16927" i="1"/>
  <c r="A16928" i="1"/>
  <c r="C16928" i="1"/>
  <c r="A16929" i="1"/>
  <c r="C16929" i="1"/>
  <c r="A16930" i="1"/>
  <c r="C16930" i="1"/>
  <c r="A16931" i="1"/>
  <c r="C16931" i="1"/>
  <c r="A16932" i="1"/>
  <c r="C16932" i="1"/>
  <c r="A16933" i="1"/>
  <c r="C16933" i="1"/>
  <c r="A16934" i="1"/>
  <c r="C16934" i="1"/>
  <c r="A16935" i="1"/>
  <c r="C16935" i="1"/>
  <c r="A16936" i="1"/>
  <c r="C16936" i="1"/>
  <c r="A16937" i="1"/>
  <c r="C16937" i="1"/>
  <c r="A16938" i="1"/>
  <c r="C16938" i="1"/>
  <c r="A16939" i="1"/>
  <c r="C16939" i="1"/>
  <c r="A16940" i="1"/>
  <c r="C16940" i="1"/>
  <c r="A16941" i="1"/>
  <c r="C16941" i="1"/>
  <c r="A16942" i="1"/>
  <c r="C16942" i="1"/>
  <c r="A16943" i="1"/>
  <c r="C16943" i="1"/>
  <c r="A16944" i="1"/>
  <c r="C16944" i="1"/>
  <c r="A16945" i="1"/>
  <c r="C16945" i="1"/>
  <c r="A16946" i="1"/>
  <c r="C16946" i="1"/>
  <c r="A16947" i="1"/>
  <c r="C16947" i="1"/>
  <c r="A16948" i="1"/>
  <c r="C16948" i="1"/>
  <c r="A16949" i="1"/>
  <c r="C16949" i="1"/>
  <c r="A16950" i="1"/>
  <c r="C16950" i="1"/>
  <c r="A16951" i="1"/>
  <c r="C16951" i="1"/>
  <c r="A16952" i="1"/>
  <c r="C16952" i="1"/>
  <c r="A16953" i="1"/>
  <c r="C16953" i="1"/>
  <c r="A16954" i="1"/>
  <c r="C16954" i="1"/>
  <c r="A16955" i="1"/>
  <c r="C16955" i="1"/>
  <c r="A16956" i="1"/>
  <c r="C16956" i="1"/>
  <c r="A16957" i="1"/>
  <c r="C16957" i="1"/>
  <c r="A16958" i="1"/>
  <c r="C16958" i="1"/>
  <c r="A16959" i="1"/>
  <c r="C16959" i="1"/>
  <c r="A16960" i="1"/>
  <c r="C16960" i="1"/>
  <c r="A16961" i="1"/>
  <c r="C16961" i="1"/>
  <c r="A16962" i="1"/>
  <c r="C16962" i="1"/>
  <c r="A16963" i="1"/>
  <c r="C16963" i="1"/>
  <c r="A16964" i="1"/>
  <c r="C16964" i="1"/>
  <c r="A16965" i="1"/>
  <c r="C16965" i="1"/>
  <c r="A16966" i="1"/>
  <c r="C16966" i="1"/>
  <c r="A16967" i="1"/>
  <c r="C16967" i="1"/>
  <c r="A16968" i="1"/>
  <c r="C16968" i="1"/>
  <c r="A16969" i="1"/>
  <c r="C16969" i="1"/>
  <c r="A16970" i="1"/>
  <c r="C16970" i="1"/>
  <c r="A16971" i="1"/>
  <c r="C16971" i="1"/>
  <c r="A16972" i="1"/>
  <c r="C16972" i="1"/>
  <c r="A16973" i="1"/>
  <c r="C16973" i="1"/>
  <c r="A16974" i="1"/>
  <c r="C16974" i="1"/>
  <c r="A16975" i="1"/>
  <c r="C16975" i="1"/>
  <c r="A16976" i="1"/>
  <c r="C16976" i="1"/>
  <c r="A16977" i="1"/>
  <c r="C16977" i="1"/>
  <c r="A16978" i="1"/>
  <c r="C16978" i="1"/>
  <c r="A16979" i="1"/>
  <c r="C16979" i="1"/>
  <c r="A16980" i="1"/>
  <c r="C16980" i="1"/>
  <c r="A16981" i="1"/>
  <c r="C16981" i="1"/>
  <c r="A16982" i="1"/>
  <c r="C16982" i="1"/>
  <c r="A16983" i="1"/>
  <c r="C16983" i="1"/>
  <c r="A16984" i="1"/>
  <c r="C16984" i="1"/>
  <c r="A16985" i="1"/>
  <c r="C16985" i="1"/>
  <c r="A16986" i="1"/>
  <c r="C16986" i="1"/>
  <c r="A16987" i="1"/>
  <c r="C16987" i="1"/>
  <c r="A16988" i="1"/>
  <c r="C16988" i="1"/>
  <c r="A16989" i="1"/>
  <c r="C16989" i="1"/>
  <c r="A16990" i="1"/>
  <c r="C16990" i="1"/>
  <c r="A16991" i="1"/>
  <c r="C16991" i="1"/>
  <c r="A16992" i="1"/>
  <c r="C16992" i="1"/>
  <c r="A16993" i="1"/>
  <c r="C16993" i="1"/>
  <c r="A16994" i="1"/>
  <c r="C16994" i="1"/>
  <c r="A16995" i="1"/>
  <c r="C16995" i="1"/>
  <c r="A16996" i="1"/>
  <c r="C16996" i="1"/>
  <c r="A16997" i="1"/>
  <c r="C16997" i="1"/>
  <c r="A16998" i="1"/>
  <c r="C16998" i="1"/>
  <c r="A16999" i="1"/>
  <c r="C16999" i="1"/>
  <c r="A17000" i="1"/>
  <c r="C17000" i="1"/>
  <c r="A17001" i="1"/>
  <c r="C17001" i="1"/>
  <c r="A17002" i="1"/>
  <c r="C17002" i="1"/>
  <c r="A17003" i="1"/>
  <c r="C17003" i="1"/>
  <c r="A17004" i="1"/>
  <c r="C17004" i="1"/>
  <c r="A17005" i="1"/>
  <c r="C17005" i="1"/>
  <c r="A17006" i="1"/>
  <c r="C17006" i="1"/>
  <c r="A17007" i="1"/>
  <c r="C17007" i="1"/>
  <c r="A17008" i="1"/>
  <c r="C17008" i="1"/>
  <c r="A17009" i="1"/>
  <c r="C17009" i="1"/>
  <c r="A17010" i="1"/>
  <c r="C17010" i="1"/>
  <c r="A17011" i="1"/>
  <c r="C17011" i="1"/>
  <c r="A17012" i="1"/>
  <c r="C17012" i="1"/>
  <c r="A17013" i="1"/>
  <c r="C17013" i="1"/>
  <c r="A17014" i="1"/>
  <c r="C17014" i="1"/>
  <c r="A17015" i="1"/>
  <c r="C17015" i="1"/>
  <c r="A17016" i="1"/>
  <c r="C17016" i="1"/>
  <c r="A17017" i="1"/>
  <c r="C17017" i="1"/>
  <c r="A17018" i="1"/>
  <c r="C17018" i="1"/>
  <c r="A17019" i="1"/>
  <c r="C17019" i="1"/>
  <c r="A17020" i="1"/>
  <c r="C17020" i="1"/>
  <c r="A17021" i="1"/>
  <c r="C17021" i="1"/>
  <c r="A17022" i="1"/>
  <c r="C17022" i="1"/>
  <c r="A17023" i="1"/>
  <c r="C17023" i="1"/>
  <c r="A17024" i="1"/>
  <c r="C17024" i="1"/>
  <c r="A17025" i="1"/>
  <c r="C17025" i="1"/>
  <c r="A17026" i="1"/>
  <c r="C17026" i="1"/>
  <c r="A17027" i="1"/>
  <c r="C17027" i="1"/>
  <c r="A17028" i="1"/>
  <c r="C17028" i="1"/>
  <c r="A17029" i="1"/>
  <c r="C17029" i="1"/>
  <c r="A17030" i="1"/>
  <c r="C17030" i="1"/>
  <c r="A17031" i="1"/>
  <c r="C17031" i="1"/>
  <c r="A17032" i="1"/>
  <c r="C17032" i="1"/>
  <c r="A17033" i="1"/>
  <c r="C17033" i="1"/>
  <c r="A17034" i="1"/>
  <c r="C17034" i="1"/>
  <c r="A17035" i="1"/>
  <c r="C17035" i="1"/>
  <c r="A17036" i="1"/>
  <c r="C17036" i="1"/>
  <c r="A17037" i="1"/>
  <c r="C17037" i="1"/>
  <c r="A17038" i="1"/>
  <c r="C17038" i="1"/>
  <c r="A17039" i="1"/>
  <c r="C17039" i="1"/>
  <c r="A17040" i="1"/>
  <c r="C17040" i="1"/>
  <c r="A17041" i="1"/>
  <c r="C17041" i="1"/>
  <c r="A17042" i="1"/>
  <c r="C17042" i="1"/>
  <c r="A17043" i="1"/>
  <c r="C17043" i="1"/>
  <c r="A17044" i="1"/>
  <c r="C17044" i="1"/>
  <c r="A17045" i="1"/>
  <c r="C17045" i="1"/>
  <c r="A17046" i="1"/>
  <c r="C17046" i="1"/>
  <c r="A17047" i="1"/>
  <c r="C17047" i="1"/>
  <c r="A17048" i="1"/>
  <c r="C17048" i="1"/>
  <c r="A17049" i="1"/>
  <c r="C17049" i="1"/>
  <c r="A17050" i="1"/>
  <c r="C17050" i="1"/>
  <c r="A17051" i="1"/>
  <c r="C17051" i="1"/>
  <c r="A17052" i="1"/>
  <c r="C17052" i="1"/>
  <c r="A17053" i="1"/>
  <c r="C17053" i="1"/>
  <c r="A17054" i="1"/>
  <c r="C17054" i="1"/>
  <c r="A17055" i="1"/>
  <c r="C17055" i="1"/>
  <c r="A17056" i="1"/>
  <c r="C17056" i="1"/>
  <c r="A17057" i="1"/>
  <c r="C17057" i="1"/>
  <c r="A17058" i="1"/>
  <c r="C17058" i="1"/>
  <c r="A17059" i="1"/>
  <c r="C17059" i="1"/>
  <c r="A17060" i="1"/>
  <c r="C17060" i="1"/>
  <c r="A17061" i="1"/>
  <c r="C17061" i="1"/>
  <c r="A17062" i="1"/>
  <c r="C17062" i="1"/>
  <c r="A17063" i="1"/>
  <c r="C17063" i="1"/>
  <c r="A17064" i="1"/>
  <c r="C17064" i="1"/>
  <c r="A17065" i="1"/>
  <c r="C17065" i="1"/>
  <c r="A17066" i="1"/>
  <c r="C17066" i="1"/>
  <c r="A17067" i="1"/>
  <c r="C17067" i="1"/>
  <c r="A17068" i="1"/>
  <c r="C17068" i="1"/>
  <c r="A17069" i="1"/>
  <c r="C17069" i="1"/>
  <c r="A17070" i="1"/>
  <c r="C17070" i="1"/>
  <c r="A17071" i="1"/>
  <c r="C17071" i="1"/>
  <c r="A17072" i="1"/>
  <c r="C17072" i="1"/>
  <c r="A17073" i="1"/>
  <c r="C17073" i="1"/>
  <c r="A17074" i="1"/>
  <c r="C17074" i="1"/>
  <c r="A17075" i="1"/>
  <c r="C17075" i="1"/>
  <c r="A17076" i="1"/>
  <c r="C17076" i="1"/>
  <c r="A17077" i="1"/>
  <c r="C17077" i="1"/>
  <c r="A17078" i="1"/>
  <c r="C17078" i="1"/>
  <c r="A17079" i="1"/>
  <c r="C17079" i="1"/>
  <c r="A17080" i="1"/>
  <c r="C17080" i="1"/>
  <c r="A17081" i="1"/>
  <c r="C17081" i="1"/>
  <c r="A17082" i="1"/>
  <c r="C17082" i="1"/>
  <c r="A17083" i="1"/>
  <c r="C17083" i="1"/>
  <c r="A17084" i="1"/>
  <c r="C17084" i="1"/>
  <c r="A17085" i="1"/>
  <c r="C17085" i="1"/>
  <c r="A17086" i="1"/>
  <c r="C17086" i="1"/>
  <c r="A17087" i="1"/>
  <c r="C17087" i="1"/>
  <c r="A17088" i="1"/>
  <c r="C17088" i="1"/>
  <c r="A17089" i="1"/>
  <c r="C17089" i="1"/>
  <c r="A17090" i="1"/>
  <c r="C17090" i="1"/>
  <c r="A17091" i="1"/>
  <c r="C17091" i="1"/>
  <c r="A17092" i="1"/>
  <c r="C17092" i="1"/>
  <c r="A17093" i="1"/>
  <c r="C17093" i="1"/>
  <c r="A17094" i="1"/>
  <c r="C17094" i="1"/>
  <c r="A17095" i="1"/>
  <c r="C17095" i="1"/>
  <c r="A17096" i="1"/>
  <c r="C17096" i="1"/>
  <c r="A17097" i="1"/>
  <c r="C17097" i="1"/>
  <c r="A17098" i="1"/>
  <c r="C17098" i="1"/>
  <c r="A17099" i="1"/>
  <c r="C17099" i="1"/>
  <c r="A17100" i="1"/>
  <c r="C17100" i="1"/>
  <c r="A17101" i="1"/>
  <c r="C17101" i="1"/>
  <c r="A17102" i="1"/>
  <c r="C17102" i="1"/>
  <c r="A17103" i="1"/>
  <c r="C17103" i="1"/>
  <c r="A17104" i="1"/>
  <c r="C17104" i="1"/>
  <c r="A17105" i="1"/>
  <c r="C17105" i="1"/>
  <c r="A17106" i="1"/>
  <c r="C17106" i="1"/>
  <c r="A17107" i="1"/>
  <c r="C17107" i="1"/>
  <c r="A17108" i="1"/>
  <c r="C17108" i="1"/>
  <c r="A17109" i="1"/>
  <c r="C17109" i="1"/>
  <c r="A17110" i="1"/>
  <c r="C17110" i="1"/>
  <c r="A17111" i="1"/>
  <c r="C17111" i="1"/>
  <c r="A17112" i="1"/>
  <c r="C17112" i="1"/>
  <c r="A17113" i="1"/>
  <c r="C17113" i="1"/>
  <c r="A17114" i="1"/>
  <c r="C17114" i="1"/>
  <c r="A17115" i="1"/>
  <c r="C17115" i="1"/>
  <c r="A17116" i="1"/>
  <c r="C17116" i="1"/>
  <c r="A17117" i="1"/>
  <c r="C17117" i="1"/>
  <c r="A17118" i="1"/>
  <c r="C17118" i="1"/>
  <c r="A17119" i="1"/>
  <c r="C17119" i="1"/>
  <c r="A17120" i="1"/>
  <c r="C17120" i="1"/>
  <c r="A17121" i="1"/>
  <c r="C17121" i="1"/>
  <c r="A17122" i="1"/>
  <c r="C17122" i="1"/>
  <c r="A17123" i="1"/>
  <c r="C17123" i="1"/>
  <c r="A17124" i="1"/>
  <c r="C17124" i="1"/>
  <c r="A17125" i="1"/>
  <c r="C17125" i="1"/>
  <c r="A17126" i="1"/>
  <c r="C17126" i="1"/>
  <c r="A17127" i="1"/>
  <c r="C17127" i="1"/>
  <c r="A17128" i="1"/>
  <c r="C17128" i="1"/>
  <c r="A17129" i="1"/>
  <c r="C17129" i="1"/>
  <c r="A17130" i="1"/>
  <c r="C17130" i="1"/>
  <c r="A17131" i="1"/>
  <c r="C17131" i="1"/>
  <c r="A17132" i="1"/>
  <c r="C17132" i="1"/>
  <c r="A17133" i="1"/>
  <c r="C17133" i="1"/>
  <c r="A17134" i="1"/>
  <c r="C17134" i="1"/>
  <c r="A17135" i="1"/>
  <c r="C17135" i="1"/>
  <c r="A17136" i="1"/>
  <c r="C17136" i="1"/>
  <c r="A17137" i="1"/>
  <c r="C17137" i="1"/>
  <c r="A17138" i="1"/>
  <c r="C17138" i="1"/>
  <c r="A17139" i="1"/>
  <c r="C17139" i="1"/>
  <c r="A17140" i="1"/>
  <c r="C17140" i="1"/>
  <c r="A17141" i="1"/>
  <c r="C17141" i="1"/>
  <c r="A17142" i="1"/>
  <c r="C17142" i="1"/>
  <c r="A17143" i="1"/>
  <c r="C17143" i="1"/>
  <c r="A17144" i="1"/>
  <c r="C17144" i="1"/>
  <c r="A17145" i="1"/>
  <c r="C17145" i="1"/>
  <c r="A17146" i="1"/>
  <c r="C17146" i="1"/>
  <c r="A17147" i="1"/>
  <c r="C17147" i="1"/>
  <c r="A17148" i="1"/>
  <c r="C17148" i="1"/>
  <c r="A17149" i="1"/>
  <c r="C17149" i="1"/>
  <c r="A17150" i="1"/>
  <c r="C17150" i="1"/>
  <c r="A17151" i="1"/>
  <c r="C17151" i="1"/>
  <c r="A17152" i="1"/>
  <c r="C17152" i="1"/>
  <c r="A17153" i="1"/>
  <c r="C17153" i="1"/>
  <c r="A17154" i="1"/>
  <c r="C17154" i="1"/>
  <c r="A17155" i="1"/>
  <c r="C17155" i="1"/>
  <c r="A17156" i="1"/>
  <c r="C17156" i="1"/>
  <c r="A17157" i="1"/>
  <c r="C17157" i="1"/>
  <c r="A17158" i="1"/>
  <c r="C17158" i="1"/>
  <c r="A17159" i="1"/>
  <c r="C17159" i="1"/>
  <c r="A17160" i="1"/>
  <c r="C17160" i="1"/>
  <c r="A17161" i="1"/>
  <c r="C17161" i="1"/>
  <c r="A17162" i="1"/>
  <c r="C17162" i="1"/>
  <c r="A17163" i="1"/>
  <c r="C17163" i="1"/>
  <c r="A17164" i="1"/>
  <c r="C17164" i="1"/>
  <c r="A17165" i="1"/>
  <c r="C17165" i="1"/>
  <c r="A17166" i="1"/>
  <c r="C17166" i="1"/>
  <c r="A17167" i="1"/>
  <c r="C17167" i="1"/>
  <c r="A17168" i="1"/>
  <c r="C17168" i="1"/>
  <c r="A17169" i="1"/>
  <c r="C17169" i="1"/>
  <c r="A17170" i="1"/>
  <c r="C17170" i="1"/>
  <c r="A17171" i="1"/>
  <c r="C17171" i="1"/>
  <c r="A17172" i="1"/>
  <c r="C17172" i="1"/>
  <c r="A17173" i="1"/>
  <c r="C17173" i="1"/>
  <c r="A17174" i="1"/>
  <c r="C17174" i="1"/>
  <c r="A17175" i="1"/>
  <c r="C17175" i="1"/>
  <c r="A17176" i="1"/>
  <c r="C17176" i="1"/>
  <c r="A17177" i="1"/>
  <c r="C17177" i="1"/>
  <c r="A17178" i="1"/>
  <c r="C17178" i="1"/>
  <c r="A17179" i="1"/>
  <c r="C17179" i="1"/>
  <c r="A17180" i="1"/>
  <c r="C17180" i="1"/>
  <c r="A17181" i="1"/>
  <c r="C17181" i="1"/>
  <c r="A17182" i="1"/>
  <c r="C17182" i="1"/>
  <c r="A17183" i="1"/>
  <c r="C17183" i="1"/>
  <c r="A17184" i="1"/>
  <c r="C17184" i="1"/>
  <c r="A17185" i="1"/>
  <c r="C17185" i="1"/>
  <c r="A17186" i="1"/>
  <c r="C17186" i="1"/>
  <c r="A17187" i="1"/>
  <c r="C17187" i="1"/>
  <c r="A17188" i="1"/>
  <c r="C17188" i="1"/>
  <c r="A17189" i="1"/>
  <c r="C17189" i="1"/>
  <c r="A17190" i="1"/>
  <c r="C17190" i="1"/>
  <c r="A17191" i="1"/>
  <c r="C17191" i="1"/>
  <c r="A17192" i="1"/>
  <c r="C17192" i="1"/>
  <c r="A17193" i="1"/>
  <c r="C17193" i="1"/>
  <c r="A17194" i="1"/>
  <c r="C17194" i="1"/>
  <c r="A17195" i="1"/>
  <c r="C17195" i="1"/>
  <c r="A17196" i="1"/>
  <c r="C17196" i="1"/>
  <c r="A17197" i="1"/>
  <c r="C17197" i="1"/>
  <c r="A17198" i="1"/>
  <c r="C17198" i="1"/>
  <c r="A17199" i="1"/>
  <c r="C17199" i="1"/>
  <c r="A17200" i="1"/>
  <c r="C17200" i="1"/>
  <c r="A17201" i="1"/>
  <c r="C17201" i="1"/>
  <c r="A17202" i="1"/>
  <c r="C17202" i="1"/>
  <c r="A17203" i="1"/>
  <c r="C17203" i="1"/>
  <c r="A17204" i="1"/>
  <c r="C17204" i="1"/>
  <c r="A17205" i="1"/>
  <c r="C17205" i="1"/>
  <c r="A17206" i="1"/>
  <c r="C17206" i="1"/>
  <c r="A17207" i="1"/>
  <c r="C17207" i="1"/>
  <c r="A17208" i="1"/>
  <c r="C17208" i="1"/>
  <c r="A17209" i="1"/>
  <c r="C17209" i="1"/>
  <c r="A17210" i="1"/>
  <c r="C17210" i="1"/>
  <c r="A17211" i="1"/>
  <c r="C17211" i="1"/>
  <c r="A17212" i="1"/>
  <c r="C17212" i="1"/>
  <c r="A17213" i="1"/>
  <c r="C17213" i="1"/>
  <c r="A17214" i="1"/>
  <c r="C17214" i="1"/>
  <c r="A17215" i="1"/>
  <c r="C17215" i="1"/>
  <c r="A17216" i="1"/>
  <c r="C17216" i="1"/>
  <c r="A17217" i="1"/>
  <c r="C17217" i="1"/>
  <c r="A17218" i="1"/>
  <c r="C17218" i="1"/>
  <c r="A17219" i="1"/>
  <c r="C17219" i="1"/>
  <c r="A17220" i="1"/>
  <c r="C17220" i="1"/>
  <c r="A17221" i="1"/>
  <c r="C17221" i="1"/>
  <c r="A17222" i="1"/>
  <c r="C17222" i="1"/>
  <c r="A17223" i="1"/>
  <c r="C17223" i="1"/>
  <c r="A17224" i="1"/>
  <c r="C17224" i="1"/>
  <c r="A17225" i="1"/>
  <c r="C17225" i="1"/>
  <c r="A17226" i="1"/>
  <c r="C17226" i="1"/>
  <c r="A17227" i="1"/>
  <c r="C17227" i="1"/>
  <c r="A17228" i="1"/>
  <c r="C17228" i="1"/>
  <c r="A17229" i="1"/>
  <c r="C17229" i="1"/>
  <c r="A17230" i="1"/>
  <c r="C17230" i="1"/>
  <c r="A17231" i="1"/>
  <c r="C17231" i="1"/>
  <c r="A17232" i="1"/>
  <c r="C17232" i="1"/>
  <c r="A17233" i="1"/>
  <c r="C17233" i="1"/>
  <c r="A17234" i="1"/>
  <c r="C17234" i="1"/>
  <c r="A17235" i="1"/>
  <c r="C17235" i="1"/>
  <c r="A17236" i="1"/>
  <c r="C17236" i="1"/>
  <c r="A17237" i="1"/>
  <c r="C17237" i="1"/>
  <c r="A17238" i="1"/>
  <c r="C17238" i="1"/>
  <c r="A17239" i="1"/>
  <c r="C17239" i="1"/>
  <c r="A17240" i="1"/>
  <c r="C17240" i="1"/>
  <c r="A17241" i="1"/>
  <c r="C17241" i="1"/>
  <c r="A17242" i="1"/>
  <c r="C17242" i="1"/>
  <c r="A17243" i="1"/>
  <c r="C17243" i="1"/>
  <c r="A17244" i="1"/>
  <c r="C17244" i="1"/>
  <c r="A17245" i="1"/>
  <c r="C17245" i="1"/>
  <c r="A17246" i="1"/>
  <c r="C17246" i="1"/>
  <c r="A17247" i="1"/>
  <c r="C17247" i="1"/>
  <c r="A17248" i="1"/>
  <c r="C17248" i="1"/>
  <c r="A17249" i="1"/>
  <c r="C17249" i="1"/>
  <c r="A17250" i="1"/>
  <c r="C17250" i="1"/>
  <c r="A17251" i="1"/>
  <c r="C17251" i="1"/>
  <c r="A17252" i="1"/>
  <c r="C17252" i="1"/>
  <c r="A17253" i="1"/>
  <c r="C17253" i="1"/>
  <c r="A17254" i="1"/>
  <c r="C17254" i="1"/>
  <c r="A17255" i="1"/>
  <c r="C17255" i="1"/>
  <c r="A17256" i="1"/>
  <c r="C17256" i="1"/>
  <c r="A17257" i="1"/>
  <c r="C17257" i="1"/>
  <c r="A17258" i="1"/>
  <c r="C17258" i="1"/>
  <c r="A17259" i="1"/>
  <c r="C17259" i="1"/>
  <c r="A17260" i="1"/>
  <c r="C17260" i="1"/>
  <c r="A17261" i="1"/>
  <c r="C17261" i="1"/>
  <c r="A17262" i="1"/>
  <c r="C17262" i="1"/>
  <c r="A17263" i="1"/>
  <c r="C17263" i="1"/>
  <c r="A17264" i="1"/>
  <c r="C17264" i="1"/>
  <c r="A17265" i="1"/>
  <c r="C17265" i="1"/>
  <c r="A17266" i="1"/>
  <c r="C17266" i="1"/>
  <c r="A17267" i="1"/>
  <c r="C17267" i="1"/>
  <c r="A17268" i="1"/>
  <c r="C17268" i="1"/>
  <c r="A17269" i="1"/>
  <c r="C17269" i="1"/>
  <c r="A17270" i="1"/>
  <c r="C17270" i="1"/>
  <c r="A17271" i="1"/>
  <c r="C17271" i="1"/>
  <c r="A17272" i="1"/>
  <c r="C17272" i="1"/>
  <c r="A17273" i="1"/>
  <c r="C17273" i="1"/>
  <c r="A17274" i="1"/>
  <c r="C17274" i="1"/>
  <c r="A17275" i="1"/>
  <c r="C17275" i="1"/>
  <c r="A17276" i="1"/>
  <c r="C17276" i="1"/>
  <c r="A17277" i="1"/>
  <c r="C17277" i="1"/>
  <c r="A17278" i="1"/>
  <c r="C17278" i="1"/>
  <c r="A17279" i="1"/>
  <c r="C17279" i="1"/>
  <c r="A17280" i="1"/>
  <c r="C17280" i="1"/>
  <c r="A17281" i="1"/>
  <c r="C17281" i="1"/>
  <c r="A17282" i="1"/>
  <c r="C17282" i="1"/>
  <c r="A17283" i="1"/>
  <c r="C17283" i="1"/>
  <c r="A17284" i="1"/>
  <c r="C17284" i="1"/>
  <c r="A17285" i="1"/>
  <c r="C17285" i="1"/>
  <c r="A17286" i="1"/>
  <c r="C17286" i="1"/>
  <c r="A17287" i="1"/>
  <c r="C17287" i="1"/>
  <c r="A17288" i="1"/>
  <c r="C17288" i="1"/>
  <c r="A17289" i="1"/>
  <c r="C17289" i="1"/>
  <c r="A17290" i="1"/>
  <c r="C17290" i="1"/>
  <c r="A17291" i="1"/>
  <c r="C17291" i="1"/>
  <c r="A17292" i="1"/>
  <c r="C17292" i="1"/>
  <c r="A17293" i="1"/>
  <c r="C17293" i="1"/>
  <c r="A17294" i="1"/>
  <c r="C17294" i="1"/>
  <c r="A17295" i="1"/>
  <c r="C17295" i="1"/>
  <c r="A17296" i="1"/>
  <c r="C17296" i="1"/>
  <c r="A17297" i="1"/>
  <c r="C17297" i="1"/>
  <c r="A17298" i="1"/>
  <c r="C17298" i="1"/>
  <c r="A17299" i="1"/>
  <c r="C17299" i="1"/>
  <c r="A17300" i="1"/>
  <c r="C17300" i="1"/>
  <c r="A17301" i="1"/>
  <c r="C17301" i="1"/>
  <c r="A17302" i="1"/>
  <c r="C17302" i="1"/>
  <c r="A17303" i="1"/>
  <c r="C17303" i="1"/>
  <c r="A17304" i="1"/>
  <c r="C17304" i="1"/>
  <c r="A17305" i="1"/>
  <c r="C17305" i="1"/>
  <c r="A17306" i="1"/>
  <c r="C17306" i="1"/>
  <c r="A17307" i="1"/>
  <c r="C17307" i="1"/>
  <c r="A17308" i="1"/>
  <c r="C17308" i="1"/>
  <c r="A17309" i="1"/>
  <c r="C17309" i="1"/>
  <c r="A17310" i="1"/>
  <c r="C17310" i="1"/>
  <c r="A17311" i="1"/>
  <c r="C17311" i="1"/>
  <c r="A17312" i="1"/>
  <c r="C17312" i="1"/>
  <c r="A17313" i="1"/>
  <c r="C17313" i="1"/>
  <c r="A17314" i="1"/>
  <c r="C17314" i="1"/>
  <c r="A17315" i="1"/>
  <c r="C17315" i="1"/>
  <c r="A17316" i="1"/>
  <c r="C17316" i="1"/>
  <c r="A17317" i="1"/>
  <c r="C17317" i="1"/>
  <c r="A17318" i="1"/>
  <c r="C17318" i="1"/>
  <c r="A17319" i="1"/>
  <c r="C17319" i="1"/>
  <c r="A17320" i="1"/>
  <c r="C17320" i="1"/>
  <c r="A17321" i="1"/>
  <c r="C17321" i="1"/>
  <c r="A17322" i="1"/>
  <c r="C17322" i="1"/>
  <c r="A17323" i="1"/>
  <c r="C17323" i="1"/>
  <c r="A17324" i="1"/>
  <c r="C17324" i="1"/>
  <c r="A17325" i="1"/>
  <c r="C17325" i="1"/>
  <c r="A17326" i="1"/>
  <c r="C17326" i="1"/>
  <c r="A17327" i="1"/>
  <c r="C17327" i="1"/>
  <c r="A17328" i="1"/>
  <c r="C17328" i="1"/>
  <c r="A17329" i="1"/>
  <c r="C17329" i="1"/>
  <c r="A17330" i="1"/>
  <c r="C17330" i="1"/>
  <c r="A17331" i="1"/>
  <c r="C17331" i="1"/>
  <c r="A17332" i="1"/>
  <c r="C17332" i="1"/>
  <c r="A17333" i="1"/>
  <c r="C17333" i="1"/>
  <c r="A17334" i="1"/>
  <c r="C17334" i="1"/>
  <c r="A17335" i="1"/>
  <c r="C17335" i="1"/>
  <c r="A17336" i="1"/>
  <c r="C17336" i="1"/>
  <c r="A17337" i="1"/>
  <c r="C17337" i="1"/>
  <c r="A17338" i="1"/>
  <c r="C17338" i="1"/>
  <c r="A17339" i="1"/>
  <c r="C17339" i="1"/>
  <c r="A17340" i="1"/>
  <c r="C17340" i="1"/>
  <c r="A17341" i="1"/>
  <c r="C17341" i="1"/>
  <c r="A17342" i="1"/>
  <c r="C17342" i="1"/>
  <c r="A17343" i="1"/>
  <c r="C17343" i="1"/>
  <c r="A17344" i="1"/>
  <c r="C17344" i="1"/>
  <c r="A17345" i="1"/>
  <c r="C17345" i="1"/>
  <c r="A17346" i="1"/>
  <c r="C17346" i="1"/>
  <c r="A17347" i="1"/>
  <c r="C17347" i="1"/>
  <c r="A17348" i="1"/>
  <c r="C17348" i="1"/>
  <c r="A17349" i="1"/>
  <c r="C17349" i="1"/>
  <c r="A17350" i="1"/>
  <c r="C17350" i="1"/>
  <c r="A17351" i="1"/>
  <c r="C17351" i="1"/>
  <c r="A17352" i="1"/>
  <c r="C17352" i="1"/>
  <c r="A17353" i="1"/>
  <c r="C17353" i="1"/>
  <c r="A17354" i="1"/>
  <c r="C17354" i="1"/>
  <c r="A17355" i="1"/>
  <c r="C17355" i="1"/>
  <c r="A17356" i="1"/>
  <c r="C17356" i="1"/>
  <c r="A17357" i="1"/>
  <c r="C17357" i="1"/>
  <c r="A17358" i="1"/>
  <c r="C17358" i="1"/>
  <c r="A17359" i="1"/>
  <c r="C17359" i="1"/>
  <c r="A17360" i="1"/>
  <c r="C17360" i="1"/>
  <c r="A17361" i="1"/>
  <c r="C17361" i="1"/>
  <c r="A17362" i="1"/>
  <c r="C17362" i="1"/>
  <c r="A17363" i="1"/>
  <c r="C17363" i="1"/>
  <c r="A17364" i="1"/>
  <c r="C17364" i="1"/>
  <c r="A17365" i="1"/>
  <c r="C17365" i="1"/>
  <c r="A17366" i="1"/>
  <c r="C17366" i="1"/>
  <c r="A17367" i="1"/>
  <c r="C17367" i="1"/>
  <c r="A17368" i="1"/>
  <c r="C17368" i="1"/>
  <c r="A17369" i="1"/>
  <c r="C17369" i="1"/>
  <c r="A17370" i="1"/>
  <c r="C17370" i="1"/>
  <c r="A17371" i="1"/>
  <c r="C17371" i="1"/>
  <c r="A17372" i="1"/>
  <c r="C17372" i="1"/>
  <c r="A17373" i="1"/>
  <c r="C17373" i="1"/>
  <c r="A17374" i="1"/>
  <c r="C17374" i="1"/>
  <c r="A17375" i="1"/>
  <c r="C17375" i="1"/>
  <c r="A17376" i="1"/>
  <c r="C17376" i="1"/>
  <c r="A17377" i="1"/>
  <c r="C17377" i="1"/>
  <c r="A17378" i="1"/>
  <c r="C17378" i="1"/>
  <c r="A17379" i="1"/>
  <c r="C17379" i="1"/>
  <c r="A17380" i="1"/>
  <c r="C17380" i="1"/>
  <c r="A17381" i="1"/>
  <c r="C17381" i="1"/>
  <c r="A17382" i="1"/>
  <c r="C17382" i="1"/>
  <c r="A17383" i="1"/>
  <c r="C17383" i="1"/>
  <c r="A17384" i="1"/>
  <c r="C17384" i="1"/>
  <c r="A17385" i="1"/>
  <c r="C17385" i="1"/>
  <c r="A17386" i="1"/>
  <c r="C17386" i="1"/>
  <c r="A17387" i="1"/>
  <c r="C17387" i="1"/>
  <c r="A17388" i="1"/>
  <c r="C17388" i="1"/>
  <c r="A17389" i="1"/>
  <c r="C17389" i="1"/>
  <c r="A17390" i="1"/>
  <c r="C17390" i="1"/>
  <c r="A17391" i="1"/>
  <c r="C17391" i="1"/>
  <c r="A17392" i="1"/>
  <c r="C17392" i="1"/>
  <c r="A17393" i="1"/>
  <c r="C17393" i="1"/>
  <c r="A17394" i="1"/>
  <c r="C17394" i="1"/>
  <c r="A17395" i="1"/>
  <c r="C17395" i="1"/>
  <c r="A17396" i="1"/>
  <c r="C17396" i="1"/>
  <c r="A17397" i="1"/>
  <c r="C17397" i="1"/>
  <c r="A17398" i="1"/>
  <c r="C17398" i="1"/>
  <c r="A17399" i="1"/>
  <c r="C17399" i="1"/>
  <c r="A17400" i="1"/>
  <c r="C17400" i="1"/>
  <c r="A17401" i="1"/>
  <c r="C17401" i="1"/>
  <c r="A17402" i="1"/>
  <c r="C17402" i="1"/>
  <c r="A17403" i="1"/>
  <c r="C17403" i="1"/>
  <c r="A17404" i="1"/>
  <c r="C17404" i="1"/>
  <c r="A17405" i="1"/>
  <c r="C17405" i="1"/>
  <c r="A17406" i="1"/>
  <c r="C17406" i="1"/>
  <c r="A17407" i="1"/>
  <c r="C17407" i="1"/>
  <c r="A17408" i="1"/>
  <c r="C17408" i="1"/>
  <c r="A17409" i="1"/>
  <c r="C17409" i="1"/>
  <c r="A17410" i="1"/>
  <c r="C17410" i="1"/>
  <c r="A17411" i="1"/>
  <c r="C17411" i="1"/>
  <c r="A17412" i="1"/>
  <c r="C17412" i="1"/>
  <c r="A17413" i="1"/>
  <c r="C17413" i="1"/>
  <c r="A17414" i="1"/>
  <c r="C17414" i="1"/>
  <c r="A17415" i="1"/>
  <c r="C17415" i="1"/>
  <c r="A17416" i="1"/>
  <c r="C17416" i="1"/>
  <c r="A17417" i="1"/>
  <c r="C17417" i="1"/>
  <c r="A17418" i="1"/>
  <c r="C17418" i="1"/>
  <c r="A17419" i="1"/>
  <c r="C17419" i="1"/>
  <c r="A17420" i="1"/>
  <c r="C17420" i="1"/>
  <c r="A17421" i="1"/>
  <c r="C17421" i="1"/>
  <c r="A17422" i="1"/>
  <c r="C17422" i="1"/>
  <c r="A17423" i="1"/>
  <c r="C17423" i="1"/>
  <c r="A17424" i="1"/>
  <c r="C17424" i="1"/>
  <c r="A17425" i="1"/>
  <c r="C17425" i="1"/>
  <c r="A17426" i="1"/>
  <c r="C17426" i="1"/>
  <c r="A17427" i="1"/>
  <c r="C17427" i="1"/>
  <c r="A17428" i="1"/>
  <c r="C17428" i="1"/>
  <c r="A17429" i="1"/>
  <c r="C17429" i="1"/>
  <c r="A17430" i="1"/>
  <c r="C17430" i="1"/>
  <c r="A17431" i="1"/>
  <c r="C17431" i="1"/>
  <c r="A17432" i="1"/>
  <c r="C17432" i="1"/>
  <c r="A17433" i="1"/>
  <c r="C17433" i="1"/>
  <c r="A17434" i="1"/>
  <c r="C17434" i="1"/>
  <c r="A17435" i="1"/>
  <c r="C17435" i="1"/>
  <c r="A17436" i="1"/>
  <c r="C17436" i="1"/>
  <c r="A17437" i="1"/>
  <c r="C17437" i="1"/>
  <c r="A17438" i="1"/>
  <c r="C17438" i="1"/>
  <c r="A17439" i="1"/>
  <c r="C17439" i="1"/>
  <c r="A17440" i="1"/>
  <c r="C17440" i="1"/>
  <c r="A17441" i="1"/>
  <c r="C17441" i="1"/>
  <c r="A17442" i="1"/>
  <c r="C17442" i="1"/>
  <c r="A17443" i="1"/>
  <c r="C17443" i="1"/>
  <c r="A17444" i="1"/>
  <c r="C17444" i="1"/>
  <c r="A17445" i="1"/>
  <c r="C17445" i="1"/>
  <c r="A17446" i="1"/>
  <c r="C17446" i="1"/>
  <c r="A17447" i="1"/>
  <c r="C17447" i="1"/>
  <c r="A17448" i="1"/>
  <c r="C17448" i="1"/>
  <c r="A17449" i="1"/>
  <c r="C17449" i="1"/>
  <c r="A17450" i="1"/>
  <c r="C17450" i="1"/>
  <c r="A17451" i="1"/>
  <c r="C17451" i="1"/>
  <c r="A17452" i="1"/>
  <c r="C17452" i="1"/>
  <c r="A17453" i="1"/>
  <c r="C17453" i="1"/>
  <c r="A17454" i="1"/>
  <c r="C17454" i="1"/>
  <c r="A17455" i="1"/>
  <c r="C17455" i="1"/>
  <c r="A17456" i="1"/>
  <c r="C17456" i="1"/>
  <c r="A17457" i="1"/>
  <c r="C17457" i="1"/>
  <c r="A17458" i="1"/>
  <c r="C17458" i="1"/>
  <c r="A17459" i="1"/>
  <c r="C17459" i="1"/>
  <c r="A17460" i="1"/>
  <c r="C17460" i="1"/>
  <c r="A17461" i="1"/>
  <c r="C17461" i="1"/>
  <c r="A17462" i="1"/>
  <c r="C17462" i="1"/>
  <c r="A17463" i="1"/>
  <c r="C17463" i="1"/>
  <c r="A17464" i="1"/>
  <c r="C17464" i="1"/>
  <c r="A17465" i="1"/>
  <c r="C17465" i="1"/>
  <c r="A17466" i="1"/>
  <c r="C17466" i="1"/>
  <c r="A17467" i="1"/>
  <c r="C17467" i="1"/>
  <c r="A17468" i="1"/>
  <c r="C17468" i="1"/>
  <c r="A17469" i="1"/>
  <c r="C17469" i="1"/>
  <c r="A17470" i="1"/>
  <c r="C17470" i="1"/>
  <c r="A17471" i="1"/>
  <c r="C17471" i="1"/>
  <c r="A17472" i="1"/>
  <c r="C17472" i="1"/>
  <c r="A17473" i="1"/>
  <c r="C17473" i="1"/>
  <c r="A17474" i="1"/>
  <c r="C17474" i="1"/>
  <c r="A17475" i="1"/>
  <c r="C17475" i="1"/>
  <c r="A17476" i="1"/>
  <c r="C17476" i="1"/>
  <c r="A17477" i="1"/>
  <c r="C17477" i="1"/>
  <c r="A17478" i="1"/>
  <c r="C17478" i="1"/>
  <c r="A17479" i="1"/>
  <c r="C17479" i="1"/>
  <c r="A17480" i="1"/>
  <c r="C17480" i="1"/>
  <c r="A17481" i="1"/>
  <c r="C17481" i="1"/>
  <c r="A17482" i="1"/>
  <c r="C17482" i="1"/>
  <c r="A17483" i="1"/>
  <c r="C17483" i="1"/>
  <c r="A17484" i="1"/>
  <c r="C17484" i="1"/>
  <c r="A17485" i="1"/>
  <c r="C17485" i="1"/>
  <c r="A17486" i="1"/>
  <c r="C17486" i="1"/>
  <c r="A17487" i="1"/>
  <c r="C17487" i="1"/>
  <c r="A17488" i="1"/>
  <c r="C17488" i="1"/>
  <c r="A17489" i="1"/>
  <c r="C17489" i="1"/>
  <c r="A17490" i="1"/>
  <c r="C17490" i="1"/>
  <c r="A17491" i="1"/>
  <c r="C17491" i="1"/>
  <c r="A17492" i="1"/>
  <c r="C17492" i="1"/>
  <c r="A17493" i="1"/>
  <c r="C17493" i="1"/>
  <c r="A17494" i="1"/>
  <c r="C17494" i="1"/>
  <c r="A17495" i="1"/>
  <c r="C17495" i="1"/>
  <c r="A17496" i="1"/>
  <c r="C17496" i="1"/>
  <c r="A17497" i="1"/>
  <c r="C17497" i="1"/>
  <c r="A17498" i="1"/>
  <c r="C17498" i="1"/>
  <c r="A17499" i="1"/>
  <c r="C17499" i="1"/>
  <c r="A17500" i="1"/>
  <c r="C17500" i="1"/>
  <c r="A17501" i="1"/>
  <c r="C17501" i="1"/>
  <c r="A17502" i="1"/>
  <c r="C17502" i="1"/>
  <c r="A17503" i="1"/>
  <c r="C17503" i="1"/>
  <c r="A17504" i="1"/>
  <c r="C17504" i="1"/>
  <c r="A17505" i="1"/>
  <c r="C17505" i="1"/>
  <c r="A17506" i="1"/>
  <c r="C17506" i="1"/>
  <c r="A17507" i="1"/>
  <c r="C17507" i="1"/>
  <c r="A17508" i="1"/>
  <c r="C17508" i="1"/>
  <c r="A17509" i="1"/>
  <c r="C17509" i="1"/>
  <c r="A17510" i="1"/>
  <c r="C17510" i="1"/>
  <c r="A17511" i="1"/>
  <c r="C17511" i="1"/>
  <c r="A17512" i="1"/>
  <c r="C17512" i="1"/>
  <c r="A17513" i="1"/>
  <c r="C17513" i="1"/>
  <c r="A17514" i="1"/>
  <c r="C17514" i="1"/>
  <c r="A17515" i="1"/>
  <c r="C17515" i="1"/>
  <c r="A17516" i="1"/>
  <c r="C17516" i="1"/>
  <c r="A17517" i="1"/>
  <c r="C17517" i="1"/>
  <c r="A17518" i="1"/>
  <c r="C17518" i="1"/>
  <c r="A17519" i="1"/>
  <c r="C17519" i="1"/>
  <c r="A17520" i="1"/>
  <c r="C17520" i="1"/>
  <c r="A17521" i="1"/>
  <c r="C17521" i="1"/>
  <c r="A17522" i="1"/>
  <c r="C17522" i="1"/>
  <c r="A17523" i="1"/>
  <c r="C17523" i="1"/>
  <c r="A17524" i="1"/>
  <c r="C17524" i="1"/>
  <c r="A17525" i="1"/>
  <c r="C17525" i="1"/>
  <c r="A17526" i="1"/>
  <c r="C17526" i="1"/>
  <c r="A17527" i="1"/>
  <c r="C17527" i="1"/>
  <c r="A17528" i="1"/>
  <c r="C17528" i="1"/>
  <c r="A17529" i="1"/>
  <c r="C17529" i="1"/>
  <c r="A17530" i="1"/>
  <c r="C17530" i="1"/>
  <c r="A17531" i="1"/>
  <c r="C17531" i="1"/>
  <c r="A17532" i="1"/>
  <c r="C17532" i="1"/>
  <c r="A17533" i="1"/>
  <c r="C17533" i="1"/>
  <c r="A17534" i="1"/>
  <c r="C17534" i="1"/>
  <c r="A17535" i="1"/>
  <c r="C17535" i="1"/>
  <c r="A17536" i="1"/>
  <c r="C17536" i="1"/>
  <c r="A17537" i="1"/>
  <c r="C17537" i="1"/>
  <c r="A17538" i="1"/>
  <c r="C17538" i="1"/>
  <c r="A17539" i="1"/>
  <c r="C17539" i="1"/>
  <c r="A17540" i="1"/>
  <c r="C17540" i="1"/>
  <c r="A17541" i="1"/>
  <c r="C17541" i="1"/>
  <c r="A17542" i="1"/>
  <c r="C17542" i="1"/>
  <c r="A17543" i="1"/>
  <c r="C17543" i="1"/>
  <c r="A17544" i="1"/>
  <c r="C17544" i="1"/>
  <c r="A17545" i="1"/>
  <c r="C17545" i="1"/>
  <c r="A17546" i="1"/>
  <c r="C17546" i="1"/>
  <c r="A17547" i="1"/>
  <c r="C17547" i="1"/>
  <c r="A17548" i="1"/>
  <c r="C17548" i="1"/>
  <c r="A17549" i="1"/>
  <c r="C17549" i="1"/>
  <c r="A17550" i="1"/>
  <c r="C17550" i="1"/>
  <c r="A17551" i="1"/>
  <c r="C17551" i="1"/>
  <c r="A17552" i="1"/>
  <c r="C17552" i="1"/>
  <c r="A17553" i="1"/>
  <c r="C17553" i="1"/>
  <c r="A17554" i="1"/>
  <c r="C17554" i="1"/>
  <c r="A17555" i="1"/>
  <c r="C17555" i="1"/>
  <c r="A17556" i="1"/>
  <c r="C17556" i="1"/>
  <c r="A17557" i="1"/>
  <c r="C17557" i="1"/>
  <c r="A17558" i="1"/>
  <c r="C17558" i="1"/>
  <c r="A17559" i="1"/>
  <c r="C17559" i="1"/>
  <c r="A17560" i="1"/>
  <c r="C17560" i="1"/>
  <c r="A17561" i="1"/>
  <c r="C17561" i="1"/>
  <c r="A17562" i="1"/>
  <c r="C17562" i="1"/>
  <c r="A17563" i="1"/>
  <c r="C17563" i="1"/>
  <c r="A17564" i="1"/>
  <c r="C17564" i="1"/>
  <c r="A17565" i="1"/>
  <c r="C17565" i="1"/>
  <c r="A17566" i="1"/>
  <c r="C17566" i="1"/>
  <c r="A17567" i="1"/>
  <c r="C17567" i="1"/>
  <c r="A17568" i="1"/>
  <c r="C17568" i="1"/>
  <c r="A17569" i="1"/>
  <c r="C17569" i="1"/>
  <c r="A17570" i="1"/>
  <c r="C17570" i="1"/>
  <c r="A17571" i="1"/>
  <c r="C17571" i="1"/>
  <c r="A17572" i="1"/>
  <c r="C17572" i="1"/>
  <c r="A17573" i="1"/>
  <c r="C17573" i="1"/>
  <c r="A17574" i="1"/>
  <c r="C17574" i="1"/>
  <c r="A17575" i="1"/>
  <c r="C17575" i="1"/>
  <c r="A17576" i="1"/>
  <c r="C17576" i="1"/>
  <c r="A17577" i="1"/>
  <c r="C17577" i="1"/>
  <c r="A17578" i="1"/>
  <c r="C17578" i="1"/>
  <c r="A17579" i="1"/>
  <c r="C17579" i="1"/>
  <c r="A17580" i="1"/>
  <c r="C17580" i="1"/>
  <c r="A17581" i="1"/>
  <c r="C17581" i="1"/>
  <c r="A17582" i="1"/>
  <c r="C17582" i="1"/>
  <c r="A17583" i="1"/>
  <c r="C17583" i="1"/>
  <c r="A17584" i="1"/>
  <c r="C17584" i="1"/>
  <c r="A17585" i="1"/>
  <c r="C17585" i="1"/>
  <c r="A17586" i="1"/>
  <c r="C17586" i="1"/>
  <c r="A17587" i="1"/>
  <c r="C17587" i="1"/>
  <c r="A17588" i="1"/>
  <c r="C17588" i="1"/>
  <c r="A17589" i="1"/>
  <c r="C17589" i="1"/>
  <c r="A17590" i="1"/>
  <c r="C17590" i="1"/>
  <c r="A17591" i="1"/>
  <c r="C17591" i="1"/>
  <c r="A17592" i="1"/>
  <c r="C17592" i="1"/>
  <c r="A17593" i="1"/>
  <c r="C17593" i="1"/>
  <c r="A17594" i="1"/>
  <c r="C17594" i="1"/>
  <c r="A17595" i="1"/>
  <c r="C17595" i="1"/>
  <c r="A17596" i="1"/>
  <c r="C17596" i="1"/>
  <c r="A17597" i="1"/>
  <c r="C17597" i="1"/>
  <c r="A17598" i="1"/>
  <c r="C17598" i="1"/>
  <c r="A17599" i="1"/>
  <c r="C17599" i="1"/>
  <c r="A17600" i="1"/>
  <c r="C17600" i="1"/>
  <c r="A17601" i="1"/>
  <c r="C17601" i="1"/>
  <c r="A17602" i="1"/>
  <c r="C17602" i="1"/>
  <c r="A17603" i="1"/>
  <c r="C17603" i="1"/>
  <c r="A17604" i="1"/>
  <c r="C17604" i="1"/>
  <c r="A17605" i="1"/>
  <c r="C17605" i="1"/>
  <c r="A17606" i="1"/>
  <c r="C17606" i="1"/>
  <c r="A17607" i="1"/>
  <c r="C17607" i="1"/>
  <c r="A17608" i="1"/>
  <c r="C17608" i="1"/>
  <c r="A17609" i="1"/>
  <c r="C17609" i="1"/>
  <c r="A17610" i="1"/>
  <c r="C17610" i="1"/>
  <c r="A17611" i="1"/>
  <c r="C17611" i="1"/>
  <c r="A17612" i="1"/>
  <c r="C17612" i="1"/>
  <c r="A17613" i="1"/>
  <c r="C17613" i="1"/>
  <c r="A17614" i="1"/>
  <c r="C17614" i="1"/>
  <c r="A17615" i="1"/>
  <c r="C17615" i="1"/>
  <c r="A17616" i="1"/>
  <c r="C17616" i="1"/>
  <c r="A17617" i="1"/>
  <c r="C17617" i="1"/>
  <c r="A17618" i="1"/>
  <c r="C17618" i="1"/>
  <c r="A17619" i="1"/>
  <c r="C17619" i="1"/>
  <c r="A17620" i="1"/>
  <c r="C17620" i="1"/>
  <c r="A17621" i="1"/>
  <c r="C17621" i="1"/>
  <c r="A17622" i="1"/>
  <c r="C17622" i="1"/>
  <c r="A17623" i="1"/>
  <c r="C17623" i="1"/>
  <c r="A17624" i="1"/>
  <c r="C17624" i="1"/>
  <c r="A17625" i="1"/>
  <c r="C17625" i="1"/>
  <c r="A17626" i="1"/>
  <c r="C17626" i="1"/>
  <c r="A17627" i="1"/>
  <c r="C17627" i="1"/>
  <c r="A17628" i="1"/>
  <c r="C17628" i="1"/>
  <c r="A17629" i="1"/>
  <c r="C17629" i="1"/>
  <c r="A17630" i="1"/>
  <c r="C17630" i="1"/>
  <c r="A17631" i="1"/>
  <c r="C17631" i="1"/>
  <c r="A17632" i="1"/>
  <c r="C17632" i="1"/>
  <c r="A17633" i="1"/>
  <c r="C17633" i="1"/>
  <c r="A17634" i="1"/>
  <c r="C17634" i="1"/>
  <c r="A17635" i="1"/>
  <c r="C17635" i="1"/>
  <c r="A17636" i="1"/>
  <c r="C17636" i="1"/>
  <c r="A17637" i="1"/>
  <c r="C17637" i="1"/>
  <c r="A17638" i="1"/>
  <c r="C17638" i="1"/>
  <c r="A17639" i="1"/>
  <c r="C17639" i="1"/>
  <c r="A17640" i="1"/>
  <c r="C17640" i="1"/>
  <c r="A17641" i="1"/>
  <c r="C17641" i="1"/>
  <c r="A17642" i="1"/>
  <c r="C17642" i="1"/>
  <c r="A17643" i="1"/>
  <c r="C17643" i="1"/>
  <c r="A17644" i="1"/>
  <c r="C17644" i="1"/>
  <c r="A17645" i="1"/>
  <c r="C17645" i="1"/>
  <c r="A17646" i="1"/>
  <c r="C17646" i="1"/>
  <c r="A17647" i="1"/>
  <c r="C17647" i="1"/>
  <c r="A17648" i="1"/>
  <c r="C17648" i="1"/>
  <c r="A17649" i="1"/>
  <c r="C17649" i="1"/>
  <c r="A17650" i="1"/>
  <c r="C17650" i="1"/>
  <c r="A17651" i="1"/>
  <c r="C17651" i="1"/>
  <c r="A17652" i="1"/>
  <c r="C17652" i="1"/>
  <c r="A17653" i="1"/>
  <c r="C17653" i="1"/>
  <c r="A17654" i="1"/>
  <c r="C17654" i="1"/>
  <c r="A17655" i="1"/>
  <c r="C17655" i="1"/>
  <c r="A17656" i="1"/>
  <c r="C17656" i="1"/>
  <c r="A17657" i="1"/>
  <c r="C17657" i="1"/>
  <c r="A17658" i="1"/>
  <c r="C17658" i="1"/>
  <c r="A17659" i="1"/>
  <c r="C17659" i="1"/>
  <c r="A17660" i="1"/>
  <c r="C17660" i="1"/>
  <c r="A17661" i="1"/>
  <c r="C17661" i="1"/>
  <c r="A17662" i="1"/>
  <c r="C17662" i="1"/>
  <c r="A17663" i="1"/>
  <c r="C17663" i="1"/>
  <c r="A17664" i="1"/>
  <c r="C17664" i="1"/>
  <c r="A17665" i="1"/>
  <c r="C17665" i="1"/>
  <c r="A17666" i="1"/>
  <c r="C17666" i="1"/>
  <c r="A17667" i="1"/>
  <c r="C17667" i="1"/>
  <c r="A17668" i="1"/>
  <c r="C17668" i="1"/>
  <c r="A17669" i="1"/>
  <c r="C17669" i="1"/>
  <c r="A17670" i="1"/>
  <c r="C17670" i="1"/>
  <c r="A17671" i="1"/>
  <c r="C17671" i="1"/>
  <c r="A17672" i="1"/>
  <c r="C17672" i="1"/>
  <c r="A17673" i="1"/>
  <c r="C17673" i="1"/>
  <c r="A17674" i="1"/>
  <c r="C17674" i="1"/>
  <c r="A17675" i="1"/>
  <c r="C17675" i="1"/>
  <c r="A17676" i="1"/>
  <c r="C17676" i="1"/>
  <c r="A17677" i="1"/>
  <c r="C17677" i="1"/>
  <c r="A17678" i="1"/>
  <c r="C17678" i="1"/>
  <c r="A17679" i="1"/>
  <c r="C17679" i="1"/>
  <c r="A17680" i="1"/>
  <c r="C17680" i="1"/>
  <c r="A17681" i="1"/>
  <c r="C17681" i="1"/>
  <c r="A17682" i="1"/>
  <c r="C17682" i="1"/>
  <c r="A17683" i="1"/>
  <c r="C17683" i="1"/>
  <c r="A17684" i="1"/>
  <c r="C17684" i="1"/>
  <c r="A17685" i="1"/>
  <c r="C17685" i="1"/>
  <c r="A17686" i="1"/>
  <c r="C17686" i="1"/>
  <c r="A17687" i="1"/>
  <c r="C17687" i="1"/>
  <c r="A17688" i="1"/>
  <c r="C17688" i="1"/>
  <c r="A17689" i="1"/>
  <c r="C17689" i="1"/>
  <c r="A17690" i="1"/>
  <c r="C17690" i="1"/>
  <c r="A17691" i="1"/>
  <c r="C17691" i="1"/>
  <c r="A17692" i="1"/>
  <c r="C17692" i="1"/>
  <c r="A17693" i="1"/>
  <c r="C17693" i="1"/>
  <c r="A17694" i="1"/>
  <c r="C17694" i="1"/>
  <c r="A17695" i="1"/>
  <c r="C17695" i="1"/>
  <c r="A17696" i="1"/>
  <c r="C17696" i="1"/>
  <c r="A17697" i="1"/>
  <c r="C17697" i="1"/>
  <c r="A17698" i="1"/>
  <c r="C17698" i="1"/>
  <c r="A17699" i="1"/>
  <c r="C17699" i="1"/>
  <c r="A17700" i="1"/>
  <c r="C17700" i="1"/>
  <c r="A17701" i="1"/>
  <c r="C17701" i="1"/>
  <c r="A17702" i="1"/>
  <c r="C17702" i="1"/>
  <c r="A17703" i="1"/>
  <c r="C17703" i="1"/>
  <c r="A17704" i="1"/>
  <c r="C17704" i="1"/>
  <c r="A17705" i="1"/>
  <c r="C17705" i="1"/>
  <c r="A17706" i="1"/>
  <c r="C17706" i="1"/>
  <c r="A17707" i="1"/>
  <c r="C17707" i="1"/>
  <c r="A17708" i="1"/>
  <c r="C17708" i="1"/>
  <c r="A17709" i="1"/>
  <c r="C17709" i="1"/>
  <c r="A17710" i="1"/>
  <c r="C17710" i="1"/>
  <c r="A17711" i="1"/>
  <c r="C17711" i="1"/>
  <c r="A17712" i="1"/>
  <c r="C17712" i="1"/>
  <c r="A17713" i="1"/>
  <c r="C17713" i="1"/>
  <c r="A17714" i="1"/>
  <c r="C17714" i="1"/>
  <c r="A17715" i="1"/>
  <c r="C17715" i="1"/>
  <c r="A17716" i="1"/>
  <c r="C17716" i="1"/>
  <c r="A17717" i="1"/>
  <c r="C17717" i="1"/>
  <c r="A17718" i="1"/>
  <c r="C17718" i="1"/>
  <c r="A17719" i="1"/>
  <c r="C17719" i="1"/>
  <c r="A17720" i="1"/>
  <c r="C17720" i="1"/>
  <c r="A17721" i="1"/>
  <c r="C17721" i="1"/>
  <c r="A17722" i="1"/>
  <c r="C17722" i="1"/>
  <c r="A17723" i="1"/>
  <c r="C17723" i="1"/>
  <c r="A17724" i="1"/>
  <c r="C17724" i="1"/>
  <c r="A17725" i="1"/>
  <c r="C17725" i="1"/>
  <c r="A17726" i="1"/>
  <c r="C17726" i="1"/>
  <c r="A17727" i="1"/>
  <c r="C17727" i="1"/>
  <c r="A17728" i="1"/>
  <c r="C17728" i="1"/>
  <c r="A17729" i="1"/>
  <c r="C17729" i="1"/>
  <c r="A17730" i="1"/>
  <c r="C17730" i="1"/>
  <c r="A17731" i="1"/>
  <c r="C17731" i="1"/>
  <c r="A17732" i="1"/>
  <c r="C17732" i="1"/>
  <c r="A17733" i="1"/>
  <c r="C17733" i="1"/>
  <c r="A17734" i="1"/>
  <c r="C17734" i="1"/>
  <c r="A17735" i="1"/>
  <c r="C17735" i="1"/>
  <c r="A17736" i="1"/>
  <c r="C17736" i="1"/>
  <c r="A17737" i="1"/>
  <c r="C17737" i="1"/>
  <c r="A17738" i="1"/>
  <c r="C17738" i="1"/>
  <c r="A17739" i="1"/>
  <c r="C17739" i="1"/>
  <c r="A17740" i="1"/>
  <c r="C17740" i="1"/>
  <c r="A17741" i="1"/>
  <c r="C17741" i="1"/>
  <c r="A17742" i="1"/>
  <c r="C17742" i="1"/>
  <c r="A17743" i="1"/>
  <c r="C17743" i="1"/>
  <c r="A17744" i="1"/>
  <c r="C17744" i="1"/>
  <c r="A17745" i="1"/>
  <c r="C17745" i="1"/>
  <c r="A17746" i="1"/>
  <c r="C17746" i="1"/>
  <c r="A17747" i="1"/>
  <c r="C17747" i="1"/>
  <c r="A17748" i="1"/>
  <c r="C17748" i="1"/>
  <c r="A17749" i="1"/>
  <c r="C17749" i="1"/>
  <c r="A17750" i="1"/>
  <c r="C17750" i="1"/>
  <c r="A17751" i="1"/>
  <c r="C17751" i="1"/>
  <c r="A17752" i="1"/>
  <c r="C17752" i="1"/>
  <c r="A17753" i="1"/>
  <c r="C17753" i="1"/>
  <c r="A17754" i="1"/>
  <c r="C17754" i="1"/>
  <c r="A17755" i="1"/>
  <c r="C17755" i="1"/>
  <c r="A17756" i="1"/>
  <c r="C17756" i="1"/>
  <c r="A17757" i="1"/>
  <c r="C17757" i="1"/>
  <c r="A17758" i="1"/>
  <c r="C17758" i="1"/>
  <c r="A17759" i="1"/>
  <c r="C17759" i="1"/>
  <c r="A17760" i="1"/>
  <c r="C17760" i="1"/>
  <c r="A17761" i="1"/>
  <c r="C17761" i="1"/>
  <c r="A17762" i="1"/>
  <c r="C17762" i="1"/>
  <c r="A17763" i="1"/>
  <c r="C17763" i="1"/>
  <c r="A17764" i="1"/>
  <c r="C17764" i="1"/>
  <c r="A17765" i="1"/>
  <c r="C17765" i="1"/>
  <c r="A17766" i="1"/>
  <c r="C17766" i="1"/>
  <c r="A17767" i="1"/>
  <c r="C17767" i="1"/>
  <c r="A17768" i="1"/>
  <c r="C17768" i="1"/>
  <c r="A17769" i="1"/>
  <c r="C17769" i="1"/>
  <c r="A17770" i="1"/>
  <c r="C17770" i="1"/>
  <c r="A17771" i="1"/>
  <c r="C17771" i="1"/>
  <c r="A17772" i="1"/>
  <c r="C17772" i="1"/>
  <c r="A17773" i="1"/>
  <c r="C17773" i="1"/>
  <c r="A17774" i="1"/>
  <c r="C17774" i="1"/>
  <c r="A17775" i="1"/>
  <c r="C17775" i="1"/>
  <c r="A17776" i="1"/>
  <c r="C17776" i="1"/>
  <c r="A17777" i="1"/>
  <c r="C17777" i="1"/>
  <c r="A17778" i="1"/>
  <c r="C17778" i="1"/>
  <c r="A17779" i="1"/>
  <c r="C17779" i="1"/>
  <c r="A17780" i="1"/>
  <c r="C17780" i="1"/>
  <c r="A17781" i="1"/>
  <c r="C17781" i="1"/>
  <c r="A17782" i="1"/>
  <c r="C17782" i="1"/>
  <c r="A17783" i="1"/>
  <c r="C17783" i="1"/>
  <c r="A17784" i="1"/>
  <c r="C17784" i="1"/>
  <c r="A17785" i="1"/>
  <c r="C17785" i="1"/>
  <c r="A17786" i="1"/>
  <c r="C17786" i="1"/>
  <c r="A17787" i="1"/>
  <c r="C17787" i="1"/>
  <c r="A17788" i="1"/>
  <c r="C17788" i="1"/>
  <c r="A17789" i="1"/>
  <c r="C17789" i="1"/>
  <c r="A17790" i="1"/>
  <c r="C17790" i="1"/>
  <c r="A17791" i="1"/>
  <c r="C17791" i="1"/>
  <c r="A17792" i="1"/>
  <c r="C17792" i="1"/>
  <c r="A17793" i="1"/>
  <c r="C17793" i="1"/>
  <c r="A17794" i="1"/>
  <c r="C17794" i="1"/>
  <c r="A17795" i="1"/>
  <c r="C17795" i="1"/>
  <c r="A17796" i="1"/>
  <c r="C17796" i="1"/>
  <c r="A17797" i="1"/>
  <c r="C17797" i="1"/>
  <c r="A17798" i="1"/>
  <c r="C17798" i="1"/>
  <c r="A17799" i="1"/>
  <c r="C17799" i="1"/>
  <c r="A17800" i="1"/>
  <c r="C17800" i="1"/>
  <c r="A17801" i="1"/>
  <c r="C17801" i="1"/>
  <c r="A17802" i="1"/>
  <c r="C17802" i="1"/>
  <c r="A17803" i="1"/>
  <c r="C17803" i="1"/>
  <c r="A17804" i="1"/>
  <c r="C17804" i="1"/>
  <c r="A17805" i="1"/>
  <c r="C17805" i="1"/>
  <c r="A17806" i="1"/>
  <c r="C17806" i="1"/>
  <c r="A17807" i="1"/>
  <c r="C17807" i="1"/>
  <c r="A17808" i="1"/>
  <c r="C17808" i="1"/>
  <c r="A17809" i="1"/>
  <c r="C17809" i="1"/>
  <c r="A17810" i="1"/>
  <c r="C17810" i="1"/>
  <c r="A17811" i="1"/>
  <c r="C17811" i="1"/>
  <c r="A17812" i="1"/>
  <c r="C17812" i="1"/>
  <c r="A17813" i="1"/>
  <c r="C17813" i="1"/>
  <c r="A17814" i="1"/>
  <c r="C17814" i="1"/>
  <c r="A17815" i="1"/>
  <c r="C17815" i="1"/>
  <c r="A17816" i="1"/>
  <c r="C17816" i="1"/>
  <c r="A17817" i="1"/>
  <c r="C17817" i="1"/>
  <c r="A17818" i="1"/>
  <c r="C17818" i="1"/>
  <c r="A17819" i="1"/>
  <c r="C17819" i="1"/>
  <c r="A17820" i="1"/>
  <c r="C17820" i="1"/>
  <c r="A17821" i="1"/>
  <c r="C17821" i="1"/>
  <c r="A17822" i="1"/>
  <c r="C17822" i="1"/>
  <c r="A17823" i="1"/>
  <c r="C17823" i="1"/>
  <c r="A17824" i="1"/>
  <c r="C17824" i="1"/>
  <c r="A17825" i="1"/>
  <c r="C17825" i="1"/>
  <c r="A17826" i="1"/>
  <c r="C17826" i="1"/>
  <c r="A17827" i="1"/>
  <c r="C17827" i="1"/>
  <c r="A17828" i="1"/>
  <c r="C17828" i="1"/>
  <c r="A17829" i="1"/>
  <c r="C17829" i="1"/>
  <c r="A17830" i="1"/>
  <c r="C17830" i="1"/>
  <c r="A17831" i="1"/>
  <c r="C17831" i="1"/>
  <c r="A17832" i="1"/>
  <c r="C17832" i="1"/>
  <c r="A17833" i="1"/>
  <c r="C17833" i="1"/>
  <c r="A17834" i="1"/>
  <c r="C17834" i="1"/>
  <c r="A17835" i="1"/>
  <c r="C17835" i="1"/>
  <c r="A17836" i="1"/>
  <c r="C17836" i="1"/>
  <c r="A17837" i="1"/>
  <c r="C17837" i="1"/>
  <c r="A17838" i="1"/>
  <c r="C17838" i="1"/>
  <c r="A17839" i="1"/>
  <c r="C17839" i="1"/>
  <c r="A17840" i="1"/>
  <c r="C17840" i="1"/>
  <c r="A17841" i="1"/>
  <c r="C17841" i="1"/>
  <c r="A17842" i="1"/>
  <c r="C17842" i="1"/>
  <c r="A17843" i="1"/>
  <c r="C17843" i="1"/>
  <c r="A17844" i="1"/>
  <c r="C17844" i="1"/>
  <c r="A17845" i="1"/>
  <c r="C17845" i="1"/>
  <c r="A17846" i="1"/>
  <c r="C17846" i="1"/>
  <c r="A17847" i="1"/>
  <c r="C17847" i="1"/>
  <c r="A17848" i="1"/>
  <c r="C17848" i="1"/>
  <c r="A17849" i="1"/>
  <c r="C17849" i="1"/>
  <c r="A17850" i="1"/>
  <c r="C17850" i="1"/>
  <c r="A17851" i="1"/>
  <c r="C17851" i="1"/>
  <c r="A17852" i="1"/>
  <c r="C17852" i="1"/>
  <c r="A17853" i="1"/>
  <c r="C17853" i="1"/>
  <c r="A17854" i="1"/>
  <c r="C17854" i="1"/>
  <c r="A17855" i="1"/>
  <c r="C17855" i="1"/>
  <c r="A17856" i="1"/>
  <c r="C17856" i="1"/>
  <c r="A17857" i="1"/>
  <c r="C17857" i="1"/>
  <c r="A17858" i="1"/>
  <c r="C17858" i="1"/>
  <c r="A17859" i="1"/>
  <c r="C17859" i="1"/>
  <c r="A17860" i="1"/>
  <c r="C17860" i="1"/>
  <c r="A17861" i="1"/>
  <c r="C17861" i="1"/>
  <c r="A17862" i="1"/>
  <c r="C17862" i="1"/>
  <c r="A17863" i="1"/>
  <c r="C17863" i="1"/>
  <c r="A17864" i="1"/>
  <c r="C17864" i="1"/>
  <c r="A17865" i="1"/>
  <c r="C17865" i="1"/>
  <c r="A17866" i="1"/>
  <c r="C17866" i="1"/>
  <c r="A17867" i="1"/>
  <c r="C17867" i="1"/>
  <c r="A17868" i="1"/>
  <c r="C17868" i="1"/>
  <c r="A17869" i="1"/>
  <c r="C17869" i="1"/>
  <c r="A17870" i="1"/>
  <c r="C17870" i="1"/>
  <c r="A17871" i="1"/>
  <c r="C17871" i="1"/>
  <c r="A17872" i="1"/>
  <c r="C17872" i="1"/>
  <c r="A17873" i="1"/>
  <c r="C17873" i="1"/>
  <c r="A17874" i="1"/>
  <c r="C17874" i="1"/>
  <c r="A17875" i="1"/>
  <c r="C17875" i="1"/>
  <c r="A17876" i="1"/>
  <c r="C17876" i="1"/>
  <c r="A17877" i="1"/>
  <c r="C17877" i="1"/>
  <c r="A17878" i="1"/>
  <c r="C17878" i="1"/>
  <c r="A17879" i="1"/>
  <c r="C17879" i="1"/>
  <c r="A17880" i="1"/>
  <c r="C17880" i="1"/>
  <c r="A17881" i="1"/>
  <c r="C17881" i="1"/>
  <c r="A17882" i="1"/>
  <c r="C17882" i="1"/>
  <c r="A17883" i="1"/>
  <c r="C17883" i="1"/>
  <c r="A17884" i="1"/>
  <c r="C17884" i="1"/>
  <c r="A17885" i="1"/>
  <c r="C17885" i="1"/>
  <c r="A17886" i="1"/>
  <c r="C17886" i="1"/>
  <c r="A17887" i="1"/>
  <c r="C17887" i="1"/>
  <c r="A17888" i="1"/>
  <c r="C17888" i="1"/>
  <c r="A17889" i="1"/>
  <c r="C17889" i="1"/>
  <c r="A17890" i="1"/>
  <c r="C17890" i="1"/>
  <c r="A17891" i="1"/>
  <c r="C17891" i="1"/>
  <c r="A17892" i="1"/>
  <c r="C17892" i="1"/>
  <c r="A17893" i="1"/>
  <c r="C17893" i="1"/>
  <c r="A17894" i="1"/>
  <c r="C17894" i="1"/>
  <c r="A17895" i="1"/>
  <c r="C17895" i="1"/>
  <c r="A17896" i="1"/>
  <c r="C17896" i="1"/>
  <c r="A17897" i="1"/>
  <c r="C17897" i="1"/>
  <c r="A17898" i="1"/>
  <c r="C17898" i="1"/>
  <c r="A17899" i="1"/>
  <c r="C17899" i="1"/>
  <c r="A17900" i="1"/>
  <c r="C17900" i="1"/>
  <c r="A17901" i="1"/>
  <c r="C17901" i="1"/>
  <c r="A17902" i="1"/>
  <c r="C17902" i="1"/>
  <c r="A17903" i="1"/>
  <c r="C17903" i="1"/>
  <c r="A17904" i="1"/>
  <c r="C17904" i="1"/>
  <c r="A17905" i="1"/>
  <c r="C17905" i="1"/>
  <c r="A17906" i="1"/>
  <c r="C17906" i="1"/>
  <c r="A17907" i="1"/>
  <c r="C17907" i="1"/>
  <c r="A17908" i="1"/>
  <c r="C17908" i="1"/>
  <c r="A17909" i="1"/>
  <c r="C17909" i="1"/>
  <c r="A17910" i="1"/>
  <c r="C17910" i="1"/>
  <c r="A17911" i="1"/>
  <c r="C17911" i="1"/>
  <c r="A17912" i="1"/>
  <c r="C17912" i="1"/>
  <c r="A17913" i="1"/>
  <c r="C17913" i="1"/>
  <c r="A17914" i="1"/>
  <c r="C17914" i="1"/>
  <c r="A17915" i="1"/>
  <c r="C17915" i="1"/>
  <c r="A17916" i="1"/>
  <c r="C17916" i="1"/>
  <c r="A17917" i="1"/>
  <c r="C17917" i="1"/>
  <c r="A17918" i="1"/>
  <c r="C17918" i="1"/>
  <c r="A17919" i="1"/>
  <c r="C17919" i="1"/>
  <c r="A17920" i="1"/>
  <c r="C17920" i="1"/>
  <c r="A17921" i="1"/>
  <c r="C17921" i="1"/>
  <c r="A17922" i="1"/>
  <c r="C17922" i="1"/>
  <c r="A17923" i="1"/>
  <c r="C17923" i="1"/>
  <c r="A17924" i="1"/>
  <c r="C17924" i="1"/>
  <c r="A17925" i="1"/>
  <c r="C17925" i="1"/>
  <c r="A17926" i="1"/>
  <c r="C17926" i="1"/>
  <c r="A17927" i="1"/>
  <c r="C17927" i="1"/>
  <c r="A17928" i="1"/>
  <c r="C17928" i="1"/>
  <c r="A17929" i="1"/>
  <c r="C17929" i="1"/>
  <c r="A17930" i="1"/>
  <c r="C17930" i="1"/>
  <c r="A17931" i="1"/>
  <c r="C17931" i="1"/>
  <c r="A17932" i="1"/>
  <c r="C17932" i="1"/>
  <c r="A17933" i="1"/>
  <c r="C17933" i="1"/>
  <c r="A17934" i="1"/>
  <c r="C17934" i="1"/>
  <c r="A17935" i="1"/>
  <c r="C17935" i="1"/>
  <c r="A17936" i="1"/>
  <c r="C17936" i="1"/>
  <c r="A17937" i="1"/>
  <c r="C17937" i="1"/>
  <c r="A17938" i="1"/>
  <c r="C17938" i="1"/>
  <c r="A17939" i="1"/>
  <c r="C17939" i="1"/>
  <c r="A17940" i="1"/>
  <c r="C17940" i="1"/>
  <c r="A17941" i="1"/>
  <c r="C17941" i="1"/>
  <c r="A17942" i="1"/>
  <c r="C17942" i="1"/>
  <c r="A17943" i="1"/>
  <c r="C17943" i="1"/>
  <c r="A17944" i="1"/>
  <c r="C17944" i="1"/>
  <c r="A17945" i="1"/>
  <c r="C17945" i="1"/>
  <c r="A17946" i="1"/>
  <c r="C17946" i="1"/>
  <c r="A17947" i="1"/>
  <c r="C17947" i="1"/>
  <c r="A17948" i="1"/>
  <c r="C17948" i="1"/>
  <c r="A17949" i="1"/>
  <c r="C17949" i="1"/>
  <c r="A17950" i="1"/>
  <c r="C17950" i="1"/>
  <c r="A17951" i="1"/>
  <c r="C17951" i="1"/>
  <c r="A17952" i="1"/>
  <c r="C17952" i="1"/>
  <c r="A17953" i="1"/>
  <c r="C17953" i="1"/>
  <c r="A17954" i="1"/>
  <c r="C17954" i="1"/>
  <c r="A17955" i="1"/>
  <c r="C17955" i="1"/>
  <c r="A17956" i="1"/>
  <c r="C17956" i="1"/>
  <c r="A17957" i="1"/>
  <c r="C17957" i="1"/>
  <c r="A17958" i="1"/>
  <c r="C17958" i="1"/>
  <c r="A17959" i="1"/>
  <c r="C17959" i="1"/>
  <c r="A17960" i="1"/>
  <c r="C17960" i="1"/>
  <c r="A17961" i="1"/>
  <c r="C17961" i="1"/>
  <c r="A17962" i="1"/>
  <c r="C17962" i="1"/>
  <c r="A17963" i="1"/>
  <c r="C17963" i="1"/>
  <c r="A17964" i="1"/>
  <c r="C17964" i="1"/>
  <c r="A17965" i="1"/>
  <c r="C17965" i="1"/>
  <c r="A17966" i="1"/>
  <c r="C17966" i="1"/>
  <c r="A17967" i="1"/>
  <c r="C17967" i="1"/>
  <c r="A17968" i="1"/>
  <c r="C17968" i="1"/>
  <c r="A17969" i="1"/>
  <c r="C17969" i="1"/>
  <c r="A17970" i="1"/>
  <c r="C17970" i="1"/>
  <c r="A17971" i="1"/>
  <c r="C17971" i="1"/>
  <c r="A17972" i="1"/>
  <c r="C17972" i="1"/>
  <c r="A17973" i="1"/>
  <c r="C17973" i="1"/>
  <c r="A17974" i="1"/>
  <c r="C17974" i="1"/>
  <c r="A17975" i="1"/>
  <c r="C17975" i="1"/>
  <c r="A17976" i="1"/>
  <c r="C17976" i="1"/>
  <c r="A17977" i="1"/>
  <c r="C17977" i="1"/>
  <c r="A17978" i="1"/>
  <c r="C17978" i="1"/>
  <c r="A17979" i="1"/>
  <c r="C17979" i="1"/>
  <c r="A17980" i="1"/>
  <c r="C17980" i="1"/>
  <c r="A17981" i="1"/>
  <c r="C17981" i="1"/>
  <c r="A17982" i="1"/>
  <c r="C17982" i="1"/>
  <c r="A17983" i="1"/>
  <c r="C17983" i="1"/>
  <c r="A17984" i="1"/>
  <c r="C17984" i="1"/>
  <c r="A17985" i="1"/>
  <c r="C17985" i="1"/>
  <c r="A17986" i="1"/>
  <c r="C17986" i="1"/>
  <c r="A17987" i="1"/>
  <c r="C17987" i="1"/>
  <c r="A17988" i="1"/>
  <c r="C17988" i="1"/>
  <c r="A17989" i="1"/>
  <c r="C17989" i="1"/>
  <c r="A17990" i="1"/>
  <c r="C17990" i="1"/>
  <c r="A17991" i="1"/>
  <c r="C17991" i="1"/>
  <c r="A17992" i="1"/>
  <c r="C17992" i="1"/>
  <c r="A17993" i="1"/>
  <c r="C17993" i="1"/>
  <c r="A17994" i="1"/>
  <c r="C17994" i="1"/>
  <c r="A17995" i="1"/>
  <c r="C17995" i="1"/>
  <c r="A17996" i="1"/>
  <c r="C17996" i="1"/>
  <c r="A17997" i="1"/>
  <c r="C17997" i="1"/>
  <c r="A17998" i="1"/>
  <c r="C17998" i="1"/>
  <c r="A17999" i="1"/>
  <c r="C17999" i="1"/>
  <c r="A18000" i="1"/>
  <c r="C18000" i="1"/>
  <c r="A18001" i="1"/>
  <c r="C18001" i="1"/>
  <c r="A18002" i="1"/>
  <c r="C18002" i="1"/>
  <c r="A18003" i="1"/>
  <c r="C18003" i="1"/>
  <c r="A18004" i="1"/>
  <c r="C18004" i="1"/>
  <c r="A18005" i="1"/>
  <c r="C18005" i="1"/>
  <c r="A18006" i="1"/>
  <c r="C18006" i="1"/>
  <c r="A18007" i="1"/>
  <c r="C18007" i="1"/>
  <c r="A18008" i="1"/>
  <c r="C18008" i="1"/>
  <c r="A18009" i="1"/>
  <c r="C18009" i="1"/>
  <c r="A18010" i="1"/>
  <c r="C18010" i="1"/>
  <c r="A18011" i="1"/>
  <c r="C18011" i="1"/>
  <c r="A18012" i="1"/>
  <c r="C18012" i="1"/>
  <c r="A18013" i="1"/>
  <c r="C18013" i="1"/>
  <c r="A18014" i="1"/>
  <c r="C18014" i="1"/>
  <c r="A18015" i="1"/>
  <c r="C18015" i="1"/>
  <c r="A18016" i="1"/>
  <c r="C18016" i="1"/>
  <c r="A18017" i="1"/>
  <c r="C18017" i="1"/>
  <c r="A18018" i="1"/>
  <c r="C18018" i="1"/>
  <c r="A18019" i="1"/>
  <c r="C18019" i="1"/>
  <c r="A18020" i="1"/>
  <c r="C18020" i="1"/>
  <c r="A18021" i="1"/>
  <c r="C18021" i="1"/>
  <c r="A18022" i="1"/>
  <c r="C18022" i="1"/>
  <c r="A18023" i="1"/>
  <c r="C18023" i="1"/>
  <c r="A18024" i="1"/>
  <c r="C18024" i="1"/>
  <c r="A18025" i="1"/>
  <c r="C18025" i="1"/>
  <c r="A18026" i="1"/>
  <c r="C18026" i="1"/>
  <c r="A18027" i="1"/>
  <c r="C18027" i="1"/>
  <c r="A18028" i="1"/>
  <c r="C18028" i="1"/>
  <c r="A18029" i="1"/>
  <c r="C18029" i="1"/>
  <c r="A18030" i="1"/>
  <c r="C18030" i="1"/>
  <c r="A18031" i="1"/>
  <c r="C18031" i="1"/>
  <c r="A18032" i="1"/>
  <c r="C18032" i="1"/>
  <c r="A18033" i="1"/>
  <c r="C18033" i="1"/>
  <c r="A18034" i="1"/>
  <c r="C18034" i="1"/>
  <c r="A18035" i="1"/>
  <c r="C18035" i="1"/>
  <c r="A18036" i="1"/>
  <c r="C18036" i="1"/>
  <c r="A18037" i="1"/>
  <c r="C18037" i="1"/>
  <c r="A18038" i="1"/>
  <c r="C18038" i="1"/>
  <c r="A18039" i="1"/>
  <c r="C18039" i="1"/>
  <c r="A18040" i="1"/>
  <c r="C18040" i="1"/>
  <c r="A18041" i="1"/>
  <c r="C18041" i="1"/>
  <c r="A18042" i="1"/>
  <c r="C18042" i="1"/>
  <c r="A18043" i="1"/>
  <c r="C18043" i="1"/>
  <c r="A18044" i="1"/>
  <c r="C18044" i="1"/>
  <c r="A18045" i="1"/>
  <c r="C18045" i="1"/>
  <c r="A18046" i="1"/>
  <c r="C18046" i="1"/>
  <c r="A18047" i="1"/>
  <c r="C18047" i="1"/>
  <c r="A18048" i="1"/>
  <c r="C18048" i="1"/>
  <c r="A18049" i="1"/>
  <c r="C18049" i="1"/>
  <c r="A18050" i="1"/>
  <c r="C18050" i="1"/>
  <c r="A18051" i="1"/>
  <c r="C18051" i="1"/>
  <c r="A18052" i="1"/>
  <c r="C18052" i="1"/>
  <c r="A18053" i="1"/>
  <c r="C18053" i="1"/>
  <c r="A18054" i="1"/>
  <c r="C18054" i="1"/>
  <c r="A18055" i="1"/>
  <c r="C18055" i="1"/>
  <c r="A18056" i="1"/>
  <c r="C18056" i="1"/>
  <c r="A18057" i="1"/>
  <c r="C18057" i="1"/>
  <c r="A18058" i="1"/>
  <c r="C18058" i="1"/>
  <c r="A18059" i="1"/>
  <c r="C18059" i="1"/>
  <c r="A18060" i="1"/>
  <c r="C18060" i="1"/>
  <c r="A18061" i="1"/>
  <c r="C18061" i="1"/>
  <c r="A18062" i="1"/>
  <c r="C18062" i="1"/>
  <c r="A18063" i="1"/>
  <c r="C18063" i="1"/>
  <c r="A18064" i="1"/>
  <c r="C18064" i="1"/>
  <c r="A18065" i="1"/>
  <c r="C18065" i="1"/>
  <c r="A18066" i="1"/>
  <c r="C18066" i="1"/>
  <c r="A18067" i="1"/>
  <c r="C18067" i="1"/>
  <c r="A18068" i="1"/>
  <c r="C18068" i="1"/>
  <c r="A18069" i="1"/>
  <c r="C18069" i="1"/>
  <c r="A18070" i="1"/>
  <c r="C18070" i="1"/>
  <c r="A18071" i="1"/>
  <c r="C18071" i="1"/>
  <c r="A18072" i="1"/>
  <c r="C18072" i="1"/>
  <c r="A18073" i="1"/>
  <c r="C18073" i="1"/>
  <c r="A18074" i="1"/>
  <c r="C18074" i="1"/>
  <c r="A18075" i="1"/>
  <c r="C18075" i="1"/>
  <c r="A18076" i="1"/>
  <c r="C18076" i="1"/>
  <c r="A18077" i="1"/>
  <c r="C18077" i="1"/>
  <c r="A18078" i="1"/>
  <c r="C18078" i="1"/>
  <c r="A18079" i="1"/>
  <c r="C18079" i="1"/>
  <c r="A18080" i="1"/>
  <c r="C18080" i="1"/>
  <c r="A18081" i="1"/>
  <c r="C18081" i="1"/>
  <c r="A18082" i="1"/>
  <c r="C18082" i="1"/>
  <c r="A18083" i="1"/>
  <c r="C18083" i="1"/>
  <c r="A18084" i="1"/>
  <c r="C18084" i="1"/>
  <c r="A18085" i="1"/>
  <c r="C18085" i="1"/>
  <c r="A18086" i="1"/>
  <c r="C18086" i="1"/>
  <c r="A18087" i="1"/>
  <c r="C18087" i="1"/>
  <c r="A18088" i="1"/>
  <c r="C18088" i="1"/>
  <c r="A18089" i="1"/>
  <c r="C18089" i="1"/>
  <c r="A18090" i="1"/>
  <c r="C18090" i="1"/>
  <c r="A18091" i="1"/>
  <c r="C18091" i="1"/>
  <c r="A18092" i="1"/>
  <c r="C18092" i="1"/>
  <c r="A18093" i="1"/>
  <c r="C18093" i="1"/>
  <c r="A18094" i="1"/>
  <c r="C18094" i="1"/>
  <c r="A18095" i="1"/>
  <c r="C18095" i="1"/>
  <c r="A18096" i="1"/>
  <c r="C18096" i="1"/>
  <c r="A18097" i="1"/>
  <c r="C18097" i="1"/>
  <c r="A18098" i="1"/>
  <c r="C18098" i="1"/>
  <c r="A18099" i="1"/>
  <c r="C18099" i="1"/>
  <c r="A18100" i="1"/>
  <c r="C18100" i="1"/>
  <c r="A18101" i="1"/>
  <c r="C18101" i="1"/>
  <c r="A18102" i="1"/>
  <c r="C18102" i="1"/>
  <c r="A18103" i="1"/>
  <c r="C18103" i="1"/>
  <c r="A18104" i="1"/>
  <c r="C18104" i="1"/>
  <c r="A18105" i="1"/>
  <c r="C18105" i="1"/>
  <c r="A18106" i="1"/>
  <c r="C18106" i="1"/>
  <c r="A18107" i="1"/>
  <c r="C18107" i="1"/>
  <c r="A18108" i="1"/>
  <c r="C18108" i="1"/>
  <c r="A18109" i="1"/>
  <c r="C18109" i="1"/>
  <c r="A18110" i="1"/>
  <c r="C18110" i="1"/>
  <c r="A18111" i="1"/>
  <c r="C18111" i="1"/>
  <c r="A18112" i="1"/>
  <c r="C18112" i="1"/>
  <c r="A18113" i="1"/>
  <c r="C18113" i="1"/>
  <c r="A18114" i="1"/>
  <c r="C18114" i="1"/>
  <c r="A18115" i="1"/>
  <c r="C18115" i="1"/>
  <c r="A18116" i="1"/>
  <c r="C18116" i="1"/>
  <c r="A18117" i="1"/>
  <c r="C18117" i="1"/>
  <c r="A18118" i="1"/>
  <c r="C18118" i="1"/>
  <c r="A18119" i="1"/>
  <c r="C18119" i="1"/>
  <c r="A18120" i="1"/>
  <c r="C18120" i="1"/>
  <c r="A18121" i="1"/>
  <c r="C18121" i="1"/>
  <c r="A18122" i="1"/>
  <c r="C18122" i="1"/>
  <c r="A18123" i="1"/>
  <c r="C18123" i="1"/>
  <c r="A18124" i="1"/>
  <c r="C18124" i="1"/>
  <c r="A18125" i="1"/>
  <c r="C18125" i="1"/>
  <c r="A18126" i="1"/>
  <c r="C18126" i="1"/>
  <c r="A18127" i="1"/>
  <c r="C18127" i="1"/>
  <c r="A18128" i="1"/>
  <c r="C18128" i="1"/>
  <c r="A18129" i="1"/>
  <c r="C18129" i="1"/>
  <c r="A18130" i="1"/>
  <c r="C18130" i="1"/>
  <c r="A18131" i="1"/>
  <c r="C18131" i="1"/>
  <c r="A18132" i="1"/>
  <c r="C18132" i="1"/>
  <c r="A18133" i="1"/>
  <c r="C18133" i="1"/>
  <c r="A18134" i="1"/>
  <c r="C18134" i="1"/>
  <c r="A18135" i="1"/>
  <c r="C18135" i="1"/>
  <c r="A18136" i="1"/>
  <c r="C18136" i="1"/>
  <c r="A18137" i="1"/>
  <c r="C18137" i="1"/>
  <c r="A18138" i="1"/>
  <c r="C18138" i="1"/>
  <c r="A18139" i="1"/>
  <c r="C18139" i="1"/>
  <c r="A18140" i="1"/>
  <c r="C18140" i="1"/>
  <c r="A18141" i="1"/>
  <c r="C18141" i="1"/>
  <c r="A18142" i="1"/>
  <c r="C18142" i="1"/>
  <c r="A18143" i="1"/>
  <c r="C18143" i="1"/>
  <c r="A18144" i="1"/>
  <c r="C18144" i="1"/>
  <c r="A18145" i="1"/>
  <c r="C18145" i="1"/>
  <c r="A18146" i="1"/>
  <c r="C18146" i="1"/>
  <c r="A18147" i="1"/>
  <c r="C18147" i="1"/>
  <c r="A18148" i="1"/>
  <c r="C18148" i="1"/>
  <c r="A18149" i="1"/>
  <c r="C18149" i="1"/>
  <c r="A18150" i="1"/>
  <c r="C18150" i="1"/>
  <c r="A18151" i="1"/>
  <c r="C18151" i="1"/>
  <c r="A18152" i="1"/>
  <c r="C18152" i="1"/>
  <c r="A18153" i="1"/>
  <c r="C18153" i="1"/>
  <c r="A18154" i="1"/>
  <c r="C18154" i="1"/>
  <c r="A18155" i="1"/>
  <c r="C18155" i="1"/>
  <c r="A18156" i="1"/>
  <c r="C18156" i="1"/>
  <c r="A18157" i="1"/>
  <c r="C18157" i="1"/>
  <c r="A18158" i="1"/>
  <c r="C18158" i="1"/>
  <c r="A18159" i="1"/>
  <c r="C18159" i="1"/>
  <c r="A18160" i="1"/>
  <c r="C18160" i="1"/>
  <c r="A18161" i="1"/>
  <c r="C18161" i="1"/>
  <c r="A18162" i="1"/>
  <c r="C18162" i="1"/>
  <c r="A18163" i="1"/>
  <c r="C18163" i="1"/>
  <c r="A18164" i="1"/>
  <c r="C18164" i="1"/>
  <c r="A18165" i="1"/>
  <c r="C18165" i="1"/>
  <c r="A18166" i="1"/>
  <c r="C18166" i="1"/>
  <c r="A18167" i="1"/>
  <c r="C18167" i="1"/>
  <c r="A18168" i="1"/>
  <c r="C18168" i="1"/>
  <c r="A18169" i="1"/>
  <c r="C18169" i="1"/>
  <c r="A18170" i="1"/>
  <c r="C18170" i="1"/>
  <c r="A18171" i="1"/>
  <c r="C18171" i="1"/>
  <c r="A18172" i="1"/>
  <c r="C18172" i="1"/>
  <c r="A18173" i="1"/>
  <c r="C18173" i="1"/>
  <c r="A18174" i="1"/>
  <c r="C18174" i="1"/>
  <c r="A18175" i="1"/>
  <c r="C18175" i="1"/>
  <c r="A18176" i="1"/>
  <c r="C18176" i="1"/>
  <c r="A18177" i="1"/>
  <c r="C18177" i="1"/>
  <c r="A18178" i="1"/>
  <c r="C18178" i="1"/>
  <c r="A18179" i="1"/>
  <c r="C18179" i="1"/>
  <c r="A18180" i="1"/>
  <c r="C18180" i="1"/>
  <c r="A18181" i="1"/>
  <c r="C18181" i="1"/>
  <c r="A18182" i="1"/>
  <c r="C18182" i="1"/>
  <c r="A18183" i="1"/>
  <c r="C18183" i="1"/>
  <c r="A18184" i="1"/>
  <c r="C18184" i="1"/>
  <c r="A18185" i="1"/>
  <c r="C18185" i="1"/>
  <c r="A18186" i="1"/>
  <c r="C18186" i="1"/>
  <c r="A18187" i="1"/>
  <c r="C18187" i="1"/>
  <c r="A18188" i="1"/>
  <c r="C18188" i="1"/>
  <c r="A18189" i="1"/>
  <c r="C18189" i="1"/>
  <c r="A18190" i="1"/>
  <c r="C18190" i="1"/>
  <c r="A18191" i="1"/>
  <c r="C18191" i="1"/>
  <c r="A18192" i="1"/>
  <c r="C18192" i="1"/>
  <c r="A18193" i="1"/>
  <c r="C18193" i="1"/>
  <c r="A18194" i="1"/>
  <c r="C18194" i="1"/>
  <c r="A18195" i="1"/>
  <c r="C18195" i="1"/>
  <c r="A18196" i="1"/>
  <c r="C18196" i="1"/>
  <c r="A18197" i="1"/>
  <c r="C18197" i="1"/>
  <c r="A18198" i="1"/>
  <c r="C18198" i="1"/>
  <c r="A18199" i="1"/>
  <c r="C18199" i="1"/>
  <c r="A18200" i="1"/>
  <c r="C18200" i="1"/>
  <c r="A18201" i="1"/>
  <c r="C18201" i="1"/>
  <c r="A18202" i="1"/>
  <c r="C18202" i="1"/>
  <c r="A18203" i="1"/>
  <c r="C18203" i="1"/>
  <c r="A18204" i="1"/>
  <c r="C18204" i="1"/>
  <c r="A18205" i="1"/>
  <c r="C18205" i="1"/>
  <c r="A18206" i="1"/>
  <c r="C18206" i="1"/>
  <c r="A18207" i="1"/>
  <c r="C18207" i="1"/>
  <c r="A18208" i="1"/>
  <c r="C18208" i="1"/>
  <c r="A18209" i="1"/>
  <c r="C18209" i="1"/>
  <c r="A18210" i="1"/>
  <c r="C18210" i="1"/>
  <c r="A18211" i="1"/>
  <c r="C18211" i="1"/>
  <c r="A18212" i="1"/>
  <c r="C18212" i="1"/>
  <c r="A18213" i="1"/>
  <c r="C18213" i="1"/>
  <c r="A18214" i="1"/>
  <c r="C18214" i="1"/>
  <c r="A18215" i="1"/>
  <c r="C18215" i="1"/>
  <c r="A18216" i="1"/>
  <c r="C18216" i="1"/>
  <c r="A18217" i="1"/>
  <c r="C18217" i="1"/>
  <c r="A18218" i="1"/>
  <c r="C18218" i="1"/>
  <c r="A18219" i="1"/>
  <c r="C18219" i="1"/>
  <c r="A18220" i="1"/>
  <c r="C18220" i="1"/>
  <c r="A18221" i="1"/>
  <c r="C18221" i="1"/>
  <c r="A18222" i="1"/>
  <c r="C18222" i="1"/>
  <c r="A18223" i="1"/>
  <c r="C18223" i="1"/>
  <c r="A18224" i="1"/>
  <c r="C18224" i="1"/>
  <c r="A18225" i="1"/>
  <c r="C18225" i="1"/>
  <c r="A18226" i="1"/>
  <c r="C18226" i="1"/>
  <c r="A18227" i="1"/>
  <c r="C18227" i="1"/>
  <c r="A18228" i="1"/>
  <c r="C18228" i="1"/>
  <c r="A18229" i="1"/>
  <c r="C18229" i="1"/>
  <c r="A18230" i="1"/>
  <c r="C18230" i="1"/>
  <c r="A18231" i="1"/>
  <c r="C18231" i="1"/>
  <c r="A18232" i="1"/>
  <c r="C18232" i="1"/>
  <c r="A18233" i="1"/>
  <c r="C18233" i="1"/>
  <c r="A18234" i="1"/>
  <c r="C18234" i="1"/>
  <c r="A18235" i="1"/>
  <c r="C18235" i="1"/>
  <c r="A18236" i="1"/>
  <c r="C18236" i="1"/>
  <c r="A18237" i="1"/>
  <c r="C18237" i="1"/>
  <c r="A18238" i="1"/>
  <c r="C18238" i="1"/>
  <c r="A18239" i="1"/>
  <c r="C18239" i="1"/>
  <c r="A18240" i="1"/>
  <c r="C18240" i="1"/>
  <c r="A18241" i="1"/>
  <c r="C18241" i="1"/>
  <c r="A18242" i="1"/>
  <c r="C18242" i="1"/>
  <c r="A18243" i="1"/>
  <c r="C18243" i="1"/>
  <c r="A18244" i="1"/>
  <c r="C18244" i="1"/>
  <c r="A18245" i="1"/>
  <c r="C18245" i="1"/>
  <c r="A18246" i="1"/>
  <c r="C18246" i="1"/>
  <c r="A18247" i="1"/>
  <c r="C18247" i="1"/>
  <c r="A18248" i="1"/>
  <c r="C18248" i="1"/>
  <c r="A18249" i="1"/>
  <c r="C18249" i="1"/>
  <c r="A18250" i="1"/>
  <c r="C18250" i="1"/>
  <c r="A18251" i="1"/>
  <c r="C18251" i="1"/>
  <c r="A18252" i="1"/>
  <c r="C18252" i="1"/>
  <c r="A18253" i="1"/>
  <c r="C18253" i="1"/>
  <c r="A18254" i="1"/>
  <c r="C18254" i="1"/>
  <c r="A18255" i="1"/>
  <c r="C18255" i="1"/>
  <c r="A18256" i="1"/>
  <c r="C18256" i="1"/>
  <c r="A18257" i="1"/>
  <c r="C18257" i="1"/>
  <c r="A18258" i="1"/>
  <c r="C18258" i="1"/>
  <c r="A18259" i="1"/>
  <c r="C18259" i="1"/>
  <c r="A18260" i="1"/>
  <c r="C18260" i="1"/>
  <c r="A18261" i="1"/>
  <c r="C18261" i="1"/>
  <c r="A18262" i="1"/>
  <c r="C18262" i="1"/>
  <c r="A18263" i="1"/>
  <c r="C18263" i="1"/>
  <c r="A18264" i="1"/>
  <c r="C18264" i="1"/>
  <c r="A18265" i="1"/>
  <c r="C18265" i="1"/>
  <c r="A18266" i="1"/>
  <c r="C18266" i="1"/>
  <c r="A18267" i="1"/>
  <c r="C18267" i="1"/>
  <c r="A18268" i="1"/>
  <c r="C18268" i="1"/>
  <c r="A18269" i="1"/>
  <c r="C18269" i="1"/>
  <c r="A18270" i="1"/>
  <c r="C18270" i="1"/>
  <c r="A18271" i="1"/>
  <c r="C18271" i="1"/>
  <c r="A18272" i="1"/>
  <c r="C18272" i="1"/>
  <c r="A18273" i="1"/>
  <c r="C18273" i="1"/>
  <c r="A18274" i="1"/>
  <c r="C18274" i="1"/>
  <c r="A18275" i="1"/>
  <c r="C18275" i="1"/>
  <c r="A18276" i="1"/>
  <c r="C18276" i="1"/>
  <c r="A18277" i="1"/>
  <c r="C18277" i="1"/>
  <c r="A18278" i="1"/>
  <c r="C18278" i="1"/>
  <c r="A18279" i="1"/>
  <c r="C18279" i="1"/>
  <c r="A18280" i="1"/>
  <c r="C18280" i="1"/>
  <c r="A18281" i="1"/>
  <c r="C18281" i="1"/>
  <c r="A18282" i="1"/>
  <c r="C18282" i="1"/>
  <c r="A18283" i="1"/>
  <c r="C18283" i="1"/>
  <c r="A18284" i="1"/>
  <c r="C18284" i="1"/>
  <c r="A18285" i="1"/>
  <c r="C18285" i="1"/>
  <c r="A18286" i="1"/>
  <c r="C18286" i="1"/>
  <c r="A18287" i="1"/>
  <c r="C18287" i="1"/>
  <c r="A18288" i="1"/>
  <c r="C18288" i="1"/>
  <c r="A18289" i="1"/>
  <c r="C18289" i="1"/>
  <c r="A18290" i="1"/>
  <c r="C18290" i="1"/>
  <c r="A18291" i="1"/>
  <c r="C18291" i="1"/>
  <c r="A18292" i="1"/>
  <c r="C18292" i="1"/>
  <c r="A18293" i="1"/>
  <c r="C18293" i="1"/>
  <c r="A18294" i="1"/>
  <c r="C18294" i="1"/>
  <c r="A18295" i="1"/>
  <c r="C18295" i="1"/>
  <c r="A18296" i="1"/>
  <c r="C18296" i="1"/>
  <c r="A18297" i="1"/>
  <c r="C18297" i="1"/>
  <c r="A18298" i="1"/>
  <c r="C18298" i="1"/>
  <c r="A18299" i="1"/>
  <c r="C18299" i="1"/>
  <c r="A18300" i="1"/>
  <c r="C18300" i="1"/>
  <c r="A18301" i="1"/>
  <c r="C18301" i="1"/>
  <c r="A18302" i="1"/>
  <c r="C18302" i="1"/>
  <c r="A18303" i="1"/>
  <c r="C18303" i="1"/>
  <c r="A18304" i="1"/>
  <c r="C18304" i="1"/>
  <c r="A18305" i="1"/>
  <c r="C18305" i="1"/>
  <c r="A18306" i="1"/>
  <c r="C18306" i="1"/>
  <c r="A18307" i="1"/>
  <c r="C18307" i="1"/>
  <c r="A18308" i="1"/>
  <c r="C18308" i="1"/>
  <c r="A18309" i="1"/>
  <c r="C18309" i="1"/>
  <c r="A18310" i="1"/>
  <c r="C18310" i="1"/>
  <c r="A18311" i="1"/>
  <c r="C18311" i="1"/>
  <c r="A18312" i="1"/>
  <c r="C18312" i="1"/>
  <c r="A18313" i="1"/>
  <c r="C18313" i="1"/>
  <c r="A18314" i="1"/>
  <c r="C18314" i="1"/>
  <c r="A18315" i="1"/>
  <c r="C18315" i="1"/>
  <c r="A18316" i="1"/>
  <c r="C18316" i="1"/>
  <c r="A18317" i="1"/>
  <c r="C18317" i="1"/>
  <c r="A18318" i="1"/>
  <c r="C18318" i="1"/>
  <c r="A18319" i="1"/>
  <c r="C18319" i="1"/>
  <c r="A18320" i="1"/>
  <c r="C18320" i="1"/>
  <c r="A18321" i="1"/>
  <c r="C18321" i="1"/>
  <c r="A18322" i="1"/>
  <c r="C18322" i="1"/>
  <c r="A18323" i="1"/>
  <c r="C18323" i="1"/>
  <c r="A18324" i="1"/>
  <c r="C18324" i="1"/>
  <c r="A18325" i="1"/>
  <c r="C18325" i="1"/>
  <c r="A18326" i="1"/>
  <c r="C18326" i="1"/>
  <c r="A18327" i="1"/>
  <c r="C18327" i="1"/>
  <c r="A18328" i="1"/>
  <c r="C18328" i="1"/>
  <c r="A18329" i="1"/>
  <c r="C18329" i="1"/>
  <c r="A18330" i="1"/>
  <c r="C18330" i="1"/>
  <c r="A18331" i="1"/>
  <c r="C18331" i="1"/>
  <c r="A18332" i="1"/>
  <c r="C18332" i="1"/>
  <c r="A18333" i="1"/>
  <c r="C18333" i="1"/>
  <c r="A18334" i="1"/>
  <c r="C18334" i="1"/>
  <c r="A18335" i="1"/>
  <c r="C18335" i="1"/>
  <c r="A18336" i="1"/>
  <c r="C18336" i="1"/>
  <c r="A18337" i="1"/>
  <c r="C18337" i="1"/>
  <c r="A18338" i="1"/>
  <c r="C18338" i="1"/>
  <c r="A18339" i="1"/>
  <c r="C18339" i="1"/>
  <c r="A18340" i="1"/>
  <c r="C18340" i="1"/>
  <c r="A18341" i="1"/>
  <c r="C18341" i="1"/>
  <c r="A18342" i="1"/>
  <c r="C18342" i="1"/>
  <c r="A18343" i="1"/>
  <c r="C18343" i="1"/>
  <c r="A18344" i="1"/>
  <c r="C18344" i="1"/>
  <c r="A18345" i="1"/>
  <c r="C18345" i="1"/>
  <c r="A18346" i="1"/>
  <c r="C18346" i="1"/>
  <c r="A18347" i="1"/>
  <c r="C18347" i="1"/>
  <c r="A18348" i="1"/>
  <c r="C18348" i="1"/>
  <c r="A18349" i="1"/>
  <c r="C18349" i="1"/>
  <c r="A18350" i="1"/>
  <c r="C18350" i="1"/>
  <c r="A18351" i="1"/>
  <c r="C18351" i="1"/>
  <c r="A18352" i="1"/>
  <c r="C18352" i="1"/>
  <c r="A18353" i="1"/>
  <c r="C18353" i="1"/>
  <c r="A18354" i="1"/>
  <c r="C18354" i="1"/>
  <c r="A18355" i="1"/>
  <c r="C18355" i="1"/>
  <c r="A18356" i="1"/>
  <c r="C18356" i="1"/>
  <c r="A18357" i="1"/>
  <c r="C18357" i="1"/>
  <c r="A18358" i="1"/>
  <c r="C18358" i="1"/>
  <c r="A18359" i="1"/>
  <c r="C18359" i="1"/>
  <c r="A18360" i="1"/>
  <c r="C18360" i="1"/>
  <c r="A18361" i="1"/>
  <c r="C18361" i="1"/>
  <c r="A18362" i="1"/>
  <c r="C18362" i="1"/>
  <c r="A18363" i="1"/>
  <c r="C18363" i="1"/>
  <c r="A18364" i="1"/>
  <c r="C18364" i="1"/>
  <c r="A18365" i="1"/>
  <c r="C18365" i="1"/>
  <c r="A18366" i="1"/>
  <c r="C18366" i="1"/>
  <c r="A18367" i="1"/>
  <c r="C18367" i="1"/>
  <c r="A18368" i="1"/>
  <c r="C18368" i="1"/>
  <c r="A18369" i="1"/>
  <c r="C18369" i="1"/>
  <c r="A18370" i="1"/>
  <c r="C18370" i="1"/>
  <c r="A18371" i="1"/>
  <c r="C18371" i="1"/>
  <c r="A18372" i="1"/>
  <c r="C18372" i="1"/>
  <c r="A18373" i="1"/>
  <c r="C18373" i="1"/>
  <c r="A18374" i="1"/>
  <c r="C18374" i="1"/>
  <c r="A18375" i="1"/>
  <c r="C18375" i="1"/>
  <c r="A18376" i="1"/>
  <c r="C18376" i="1"/>
  <c r="A18377" i="1"/>
  <c r="C18377" i="1"/>
  <c r="A18378" i="1"/>
  <c r="C18378" i="1"/>
  <c r="A18379" i="1"/>
  <c r="C18379" i="1"/>
  <c r="A18380" i="1"/>
  <c r="C18380" i="1"/>
  <c r="A18381" i="1"/>
  <c r="C18381" i="1"/>
  <c r="A18382" i="1"/>
  <c r="C18382" i="1"/>
  <c r="A18383" i="1"/>
  <c r="C18383" i="1"/>
  <c r="A18384" i="1"/>
  <c r="C18384" i="1"/>
  <c r="A18385" i="1"/>
  <c r="C18385" i="1"/>
  <c r="A18386" i="1"/>
  <c r="C18386" i="1"/>
  <c r="A18387" i="1"/>
  <c r="C18387" i="1"/>
  <c r="A18388" i="1"/>
  <c r="C18388" i="1"/>
  <c r="A18389" i="1"/>
  <c r="C18389" i="1"/>
  <c r="A18390" i="1"/>
  <c r="C18390" i="1"/>
  <c r="A18391" i="1"/>
  <c r="C18391" i="1"/>
  <c r="A18392" i="1"/>
  <c r="C18392" i="1"/>
  <c r="A18393" i="1"/>
  <c r="C18393" i="1"/>
  <c r="A18394" i="1"/>
  <c r="C18394" i="1"/>
  <c r="A18395" i="1"/>
  <c r="C18395" i="1"/>
  <c r="A18396" i="1"/>
  <c r="C18396" i="1"/>
  <c r="A18397" i="1"/>
  <c r="C18397" i="1"/>
  <c r="A18398" i="1"/>
  <c r="C18398" i="1"/>
  <c r="A18399" i="1"/>
  <c r="C18399" i="1"/>
  <c r="A18400" i="1"/>
  <c r="C18400" i="1"/>
  <c r="A18401" i="1"/>
  <c r="C18401" i="1"/>
  <c r="A18402" i="1"/>
  <c r="C18402" i="1"/>
  <c r="A18403" i="1"/>
  <c r="C18403" i="1"/>
  <c r="A18404" i="1"/>
  <c r="C18404" i="1"/>
  <c r="A18405" i="1"/>
  <c r="C18405" i="1"/>
  <c r="A18406" i="1"/>
  <c r="C18406" i="1"/>
  <c r="A18407" i="1"/>
  <c r="C18407" i="1"/>
  <c r="A18408" i="1"/>
  <c r="C18408" i="1"/>
  <c r="A18409" i="1"/>
  <c r="C18409" i="1"/>
  <c r="A18410" i="1"/>
  <c r="C18410" i="1"/>
  <c r="A18411" i="1"/>
  <c r="C18411" i="1"/>
  <c r="A18412" i="1"/>
  <c r="C18412" i="1"/>
  <c r="A18413" i="1"/>
  <c r="C18413" i="1"/>
  <c r="A18414" i="1"/>
  <c r="C18414" i="1"/>
  <c r="A18415" i="1"/>
  <c r="C18415" i="1"/>
  <c r="A18416" i="1"/>
  <c r="C18416" i="1"/>
  <c r="A18417" i="1"/>
  <c r="C18417" i="1"/>
  <c r="A18418" i="1"/>
  <c r="C18418" i="1"/>
  <c r="A18419" i="1"/>
  <c r="C18419" i="1"/>
  <c r="A18420" i="1"/>
  <c r="C18420" i="1"/>
  <c r="A18421" i="1"/>
  <c r="C18421" i="1"/>
  <c r="A18422" i="1"/>
  <c r="C18422" i="1"/>
  <c r="A18423" i="1"/>
  <c r="C18423" i="1"/>
  <c r="A18424" i="1"/>
  <c r="C18424" i="1"/>
  <c r="A18425" i="1"/>
  <c r="C18425" i="1"/>
  <c r="A18426" i="1"/>
  <c r="C18426" i="1"/>
  <c r="A18427" i="1"/>
  <c r="C18427" i="1"/>
  <c r="A18428" i="1"/>
  <c r="C18428" i="1"/>
  <c r="A18429" i="1"/>
  <c r="C18429" i="1"/>
  <c r="A18430" i="1"/>
  <c r="C18430" i="1"/>
  <c r="A18431" i="1"/>
  <c r="C18431" i="1"/>
  <c r="A18432" i="1"/>
  <c r="C18432" i="1"/>
  <c r="A18433" i="1"/>
  <c r="C18433" i="1"/>
  <c r="A18434" i="1"/>
  <c r="C18434" i="1"/>
  <c r="A18435" i="1"/>
  <c r="C18435" i="1"/>
  <c r="A18436" i="1"/>
  <c r="C18436" i="1"/>
  <c r="A18437" i="1"/>
  <c r="C18437" i="1"/>
  <c r="A18438" i="1"/>
  <c r="C18438" i="1"/>
  <c r="A18439" i="1"/>
  <c r="C18439" i="1"/>
  <c r="A18440" i="1"/>
  <c r="C18440" i="1"/>
  <c r="A18441" i="1"/>
  <c r="C18441" i="1"/>
  <c r="A18442" i="1"/>
  <c r="C18442" i="1"/>
  <c r="A18443" i="1"/>
  <c r="C18443" i="1"/>
  <c r="A18444" i="1"/>
  <c r="C18444" i="1"/>
  <c r="A18445" i="1"/>
  <c r="C18445" i="1"/>
  <c r="A18446" i="1"/>
  <c r="C18446" i="1"/>
  <c r="A18447" i="1"/>
  <c r="C18447" i="1"/>
  <c r="A18448" i="1"/>
  <c r="C18448" i="1"/>
  <c r="A18449" i="1"/>
  <c r="C18449" i="1"/>
  <c r="A18450" i="1"/>
  <c r="C18450" i="1"/>
  <c r="A18451" i="1"/>
  <c r="C18451" i="1"/>
  <c r="A18452" i="1"/>
  <c r="C18452" i="1"/>
  <c r="A18453" i="1"/>
  <c r="C18453" i="1"/>
  <c r="A18454" i="1"/>
  <c r="C18454" i="1"/>
  <c r="A18455" i="1"/>
  <c r="C18455" i="1"/>
  <c r="A18456" i="1"/>
  <c r="C18456" i="1"/>
  <c r="A18457" i="1"/>
  <c r="C18457" i="1"/>
  <c r="A18458" i="1"/>
  <c r="C18458" i="1"/>
  <c r="A18459" i="1"/>
  <c r="C18459" i="1"/>
  <c r="A18460" i="1"/>
  <c r="C18460" i="1"/>
  <c r="A18461" i="1"/>
  <c r="C18461" i="1"/>
  <c r="A18462" i="1"/>
  <c r="C18462" i="1"/>
  <c r="A18463" i="1"/>
  <c r="C18463" i="1"/>
  <c r="A18464" i="1"/>
  <c r="C18464" i="1"/>
  <c r="A18465" i="1"/>
  <c r="C18465" i="1"/>
  <c r="A18466" i="1"/>
  <c r="C18466" i="1"/>
  <c r="A18467" i="1"/>
  <c r="C18467" i="1"/>
  <c r="A18468" i="1"/>
  <c r="C18468" i="1"/>
  <c r="A18469" i="1"/>
  <c r="C18469" i="1"/>
  <c r="A18470" i="1"/>
  <c r="C18470" i="1"/>
  <c r="A18471" i="1"/>
  <c r="C18471" i="1"/>
  <c r="A18472" i="1"/>
  <c r="C18472" i="1"/>
  <c r="A18473" i="1"/>
  <c r="C18473" i="1"/>
  <c r="A18474" i="1"/>
  <c r="C18474" i="1"/>
  <c r="A18475" i="1"/>
  <c r="C18475" i="1"/>
  <c r="A18476" i="1"/>
  <c r="C18476" i="1"/>
  <c r="A18477" i="1"/>
  <c r="C18477" i="1"/>
  <c r="A18478" i="1"/>
  <c r="C18478" i="1"/>
  <c r="A18479" i="1"/>
  <c r="C18479" i="1"/>
  <c r="A18480" i="1"/>
  <c r="C18480" i="1"/>
  <c r="A18481" i="1"/>
  <c r="C18481" i="1"/>
  <c r="A18482" i="1"/>
  <c r="C18482" i="1"/>
  <c r="A18483" i="1"/>
  <c r="C18483" i="1"/>
  <c r="A18484" i="1"/>
  <c r="C18484" i="1"/>
  <c r="A18485" i="1"/>
  <c r="C18485" i="1"/>
  <c r="A18486" i="1"/>
  <c r="C18486" i="1"/>
  <c r="A18487" i="1"/>
  <c r="C18487" i="1"/>
  <c r="A18488" i="1"/>
  <c r="C18488" i="1"/>
  <c r="A18489" i="1"/>
  <c r="C18489" i="1"/>
  <c r="A18490" i="1"/>
  <c r="C18490" i="1"/>
  <c r="A18491" i="1"/>
  <c r="C18491" i="1"/>
  <c r="A18492" i="1"/>
  <c r="C18492" i="1"/>
  <c r="A18493" i="1"/>
  <c r="C18493" i="1"/>
  <c r="A18494" i="1"/>
  <c r="C18494" i="1"/>
  <c r="A18495" i="1"/>
  <c r="C18495" i="1"/>
  <c r="A18496" i="1"/>
  <c r="C18496" i="1"/>
  <c r="A18497" i="1"/>
  <c r="C18497" i="1"/>
  <c r="A18498" i="1"/>
  <c r="C18498" i="1"/>
  <c r="A18499" i="1"/>
  <c r="C18499" i="1"/>
  <c r="A18500" i="1"/>
  <c r="C18500" i="1"/>
  <c r="A18501" i="1"/>
  <c r="C18501" i="1"/>
  <c r="A18502" i="1"/>
  <c r="C18502" i="1"/>
  <c r="A18503" i="1"/>
  <c r="C18503" i="1"/>
  <c r="A18504" i="1"/>
  <c r="C18504" i="1"/>
  <c r="A18505" i="1"/>
  <c r="C18505" i="1"/>
  <c r="A18506" i="1"/>
  <c r="C18506" i="1"/>
  <c r="A18507" i="1"/>
  <c r="C18507" i="1"/>
  <c r="A18508" i="1"/>
  <c r="C18508" i="1"/>
  <c r="A18509" i="1"/>
  <c r="C18509" i="1"/>
  <c r="A18510" i="1"/>
  <c r="C18510" i="1"/>
  <c r="A18511" i="1"/>
  <c r="C18511" i="1"/>
  <c r="A18512" i="1"/>
  <c r="C18512" i="1"/>
  <c r="A18513" i="1"/>
  <c r="C18513" i="1"/>
  <c r="A18514" i="1"/>
  <c r="C18514" i="1"/>
  <c r="A18515" i="1"/>
  <c r="C18515" i="1"/>
  <c r="A18516" i="1"/>
  <c r="C18516" i="1"/>
  <c r="A18517" i="1"/>
  <c r="C18517" i="1"/>
  <c r="A18518" i="1"/>
  <c r="C18518" i="1"/>
  <c r="A18519" i="1"/>
  <c r="C18519" i="1"/>
  <c r="A18520" i="1"/>
  <c r="C18520" i="1"/>
  <c r="A18521" i="1"/>
  <c r="C18521" i="1"/>
  <c r="A18522" i="1"/>
  <c r="C18522" i="1"/>
  <c r="A18523" i="1"/>
  <c r="C18523" i="1"/>
  <c r="A18524" i="1"/>
  <c r="C18524" i="1"/>
  <c r="A18525" i="1"/>
  <c r="C18525" i="1"/>
  <c r="A18526" i="1"/>
  <c r="C18526" i="1"/>
  <c r="A18527" i="1"/>
  <c r="C18527" i="1"/>
  <c r="A18528" i="1"/>
  <c r="C18528" i="1"/>
  <c r="A18529" i="1"/>
  <c r="C18529" i="1"/>
  <c r="A18530" i="1"/>
  <c r="C18530" i="1"/>
  <c r="A18531" i="1"/>
  <c r="C18531" i="1"/>
  <c r="A18532" i="1"/>
  <c r="C18532" i="1"/>
  <c r="A18533" i="1"/>
  <c r="C18533" i="1"/>
  <c r="A18534" i="1"/>
  <c r="C18534" i="1"/>
  <c r="A18535" i="1"/>
  <c r="C18535" i="1"/>
  <c r="A18536" i="1"/>
  <c r="C18536" i="1"/>
  <c r="A18537" i="1"/>
  <c r="C18537" i="1"/>
  <c r="A18538" i="1"/>
  <c r="C18538" i="1"/>
  <c r="A18539" i="1"/>
  <c r="C18539" i="1"/>
  <c r="A18540" i="1"/>
  <c r="C18540" i="1"/>
  <c r="A18541" i="1"/>
  <c r="C18541" i="1"/>
  <c r="A18542" i="1"/>
  <c r="C18542" i="1"/>
  <c r="A18543" i="1"/>
  <c r="C18543" i="1"/>
  <c r="A18544" i="1"/>
  <c r="C18544" i="1"/>
  <c r="A18545" i="1"/>
  <c r="C18545" i="1"/>
  <c r="A18546" i="1"/>
  <c r="C18546" i="1"/>
  <c r="A18547" i="1"/>
  <c r="C18547" i="1"/>
  <c r="A18548" i="1"/>
  <c r="C18548" i="1"/>
  <c r="A18549" i="1"/>
  <c r="C18549" i="1"/>
  <c r="A18550" i="1"/>
  <c r="C18550" i="1"/>
  <c r="A18551" i="1"/>
  <c r="C18551" i="1"/>
  <c r="A18552" i="1"/>
  <c r="C18552" i="1"/>
  <c r="A18553" i="1"/>
  <c r="C18553" i="1"/>
  <c r="A18554" i="1"/>
  <c r="C18554" i="1"/>
  <c r="A18555" i="1"/>
  <c r="C18555" i="1"/>
  <c r="A18556" i="1"/>
  <c r="C18556" i="1"/>
  <c r="A18557" i="1"/>
  <c r="C18557" i="1"/>
  <c r="A18558" i="1"/>
  <c r="C18558" i="1"/>
  <c r="A18559" i="1"/>
  <c r="C18559" i="1"/>
  <c r="A18560" i="1"/>
  <c r="C18560" i="1"/>
  <c r="A18561" i="1"/>
  <c r="C18561" i="1"/>
  <c r="A18562" i="1"/>
  <c r="C18562" i="1"/>
  <c r="A18563" i="1"/>
  <c r="C18563" i="1"/>
  <c r="A18564" i="1"/>
  <c r="C18564" i="1"/>
  <c r="A18565" i="1"/>
  <c r="C18565" i="1"/>
  <c r="A18566" i="1"/>
  <c r="C18566" i="1"/>
  <c r="A18567" i="1"/>
  <c r="C18567" i="1"/>
  <c r="A18568" i="1"/>
  <c r="C18568" i="1"/>
  <c r="A18569" i="1"/>
  <c r="C18569" i="1"/>
  <c r="A18570" i="1"/>
  <c r="C18570" i="1"/>
  <c r="A18571" i="1"/>
  <c r="C18571" i="1"/>
  <c r="A18572" i="1"/>
  <c r="C18572" i="1"/>
  <c r="A18573" i="1"/>
  <c r="C18573" i="1"/>
  <c r="A18574" i="1"/>
  <c r="C18574" i="1"/>
  <c r="A18575" i="1"/>
  <c r="C18575" i="1"/>
  <c r="A18576" i="1"/>
  <c r="C18576" i="1"/>
  <c r="A18577" i="1"/>
  <c r="C18577" i="1"/>
  <c r="A18578" i="1"/>
  <c r="C18578" i="1"/>
  <c r="A18579" i="1"/>
  <c r="C18579" i="1"/>
  <c r="A18580" i="1"/>
  <c r="C18580" i="1"/>
  <c r="A18581" i="1"/>
  <c r="C18581" i="1"/>
  <c r="A18582" i="1"/>
  <c r="C18582" i="1"/>
  <c r="A18583" i="1"/>
  <c r="C18583" i="1"/>
  <c r="A18584" i="1"/>
  <c r="C18584" i="1"/>
  <c r="A18585" i="1"/>
  <c r="C18585" i="1"/>
  <c r="A18586" i="1"/>
  <c r="C18586" i="1"/>
  <c r="A18587" i="1"/>
  <c r="C18587" i="1"/>
  <c r="A18588" i="1"/>
  <c r="C18588" i="1"/>
  <c r="A18589" i="1"/>
  <c r="C18589" i="1"/>
  <c r="A18590" i="1"/>
  <c r="C18590" i="1"/>
  <c r="A18591" i="1"/>
  <c r="C18591" i="1"/>
  <c r="A18592" i="1"/>
  <c r="C18592" i="1"/>
  <c r="A18593" i="1"/>
  <c r="C18593" i="1"/>
  <c r="A18594" i="1"/>
  <c r="C18594" i="1"/>
  <c r="A18595" i="1"/>
  <c r="C18595" i="1"/>
  <c r="A18596" i="1"/>
  <c r="C18596" i="1"/>
  <c r="A18597" i="1"/>
  <c r="C18597" i="1"/>
  <c r="A18598" i="1"/>
  <c r="C18598" i="1"/>
  <c r="A18599" i="1"/>
  <c r="C18599" i="1"/>
  <c r="A18600" i="1"/>
  <c r="C18600" i="1"/>
  <c r="A18601" i="1"/>
  <c r="C18601" i="1"/>
  <c r="A18602" i="1"/>
  <c r="C18602" i="1"/>
  <c r="A18603" i="1"/>
  <c r="C18603" i="1"/>
  <c r="A18604" i="1"/>
  <c r="C18604" i="1"/>
  <c r="A18605" i="1"/>
  <c r="C18605" i="1"/>
  <c r="A18606" i="1"/>
  <c r="C18606" i="1"/>
  <c r="A18607" i="1"/>
  <c r="C18607" i="1"/>
  <c r="A18608" i="1"/>
  <c r="C18608" i="1"/>
  <c r="A18609" i="1"/>
  <c r="C18609" i="1"/>
  <c r="A18610" i="1"/>
  <c r="C18610" i="1"/>
  <c r="A18611" i="1"/>
  <c r="C18611" i="1"/>
  <c r="A18612" i="1"/>
  <c r="C18612" i="1"/>
  <c r="A18613" i="1"/>
  <c r="C18613" i="1"/>
  <c r="A18614" i="1"/>
  <c r="C18614" i="1"/>
  <c r="A18615" i="1"/>
  <c r="C18615" i="1"/>
  <c r="A18616" i="1"/>
  <c r="C18616" i="1"/>
  <c r="A18617" i="1"/>
  <c r="C18617" i="1"/>
  <c r="A18618" i="1"/>
  <c r="C18618" i="1"/>
  <c r="A18619" i="1"/>
  <c r="C18619" i="1"/>
  <c r="A18620" i="1"/>
  <c r="C18620" i="1"/>
  <c r="A18621" i="1"/>
  <c r="C18621" i="1"/>
  <c r="A18622" i="1"/>
  <c r="C18622" i="1"/>
  <c r="A18623" i="1"/>
  <c r="C18623" i="1"/>
  <c r="A18624" i="1"/>
  <c r="C18624" i="1"/>
  <c r="A18625" i="1"/>
  <c r="C18625" i="1"/>
  <c r="A18626" i="1"/>
  <c r="C18626" i="1"/>
  <c r="A18627" i="1"/>
  <c r="C18627" i="1"/>
  <c r="A18628" i="1"/>
  <c r="C18628" i="1"/>
  <c r="A18629" i="1"/>
  <c r="C18629" i="1"/>
  <c r="A18630" i="1"/>
  <c r="C18630" i="1"/>
  <c r="A18631" i="1"/>
  <c r="C18631" i="1"/>
  <c r="A18632" i="1"/>
  <c r="C18632" i="1"/>
  <c r="A18633" i="1"/>
  <c r="C18633" i="1"/>
  <c r="A18634" i="1"/>
  <c r="C18634" i="1"/>
  <c r="A18635" i="1"/>
  <c r="C18635" i="1"/>
  <c r="A18636" i="1"/>
  <c r="C18636" i="1"/>
  <c r="A18637" i="1"/>
  <c r="C18637" i="1"/>
  <c r="A18638" i="1"/>
  <c r="C18638" i="1"/>
  <c r="A18639" i="1"/>
  <c r="C18639" i="1"/>
  <c r="A18640" i="1"/>
  <c r="C18640" i="1"/>
  <c r="A18641" i="1"/>
  <c r="C18641" i="1"/>
  <c r="A18642" i="1"/>
  <c r="C18642" i="1"/>
  <c r="A18643" i="1"/>
  <c r="C18643" i="1"/>
  <c r="A18644" i="1"/>
  <c r="C18644" i="1"/>
  <c r="A18645" i="1"/>
  <c r="C18645" i="1"/>
  <c r="A18646" i="1"/>
  <c r="C18646" i="1"/>
  <c r="A18647" i="1"/>
  <c r="C18647" i="1"/>
  <c r="A18648" i="1"/>
  <c r="C18648" i="1"/>
  <c r="A18649" i="1"/>
  <c r="C18649" i="1"/>
  <c r="A18650" i="1"/>
  <c r="C18650" i="1"/>
  <c r="A18651" i="1"/>
  <c r="C18651" i="1"/>
  <c r="A18652" i="1"/>
  <c r="C18652" i="1"/>
  <c r="A18653" i="1"/>
  <c r="C18653" i="1"/>
  <c r="A18654" i="1"/>
  <c r="C18654" i="1"/>
  <c r="A18655" i="1"/>
  <c r="C18655" i="1"/>
  <c r="A18656" i="1"/>
  <c r="C18656" i="1"/>
  <c r="A18657" i="1"/>
  <c r="C18657" i="1"/>
  <c r="A18658" i="1"/>
  <c r="C18658" i="1"/>
  <c r="A18659" i="1"/>
  <c r="C18659" i="1"/>
  <c r="A18660" i="1"/>
  <c r="C18660" i="1"/>
  <c r="A18661" i="1"/>
  <c r="C18661" i="1"/>
  <c r="A18662" i="1"/>
  <c r="C18662" i="1"/>
  <c r="A18663" i="1"/>
  <c r="C18663" i="1"/>
  <c r="A18664" i="1"/>
  <c r="C18664" i="1"/>
  <c r="A18665" i="1"/>
  <c r="C18665" i="1"/>
  <c r="A18666" i="1"/>
  <c r="C18666" i="1"/>
  <c r="A18667" i="1"/>
  <c r="C18667" i="1"/>
  <c r="A18668" i="1"/>
  <c r="C18668" i="1"/>
  <c r="A18669" i="1"/>
  <c r="C18669" i="1"/>
  <c r="A18670" i="1"/>
  <c r="C18670" i="1"/>
  <c r="A18671" i="1"/>
  <c r="C18671" i="1"/>
  <c r="A18672" i="1"/>
  <c r="C18672" i="1"/>
  <c r="A18673" i="1"/>
  <c r="C18673" i="1"/>
  <c r="A18674" i="1"/>
  <c r="C18674" i="1"/>
  <c r="A18675" i="1"/>
  <c r="C18675" i="1"/>
  <c r="A18676" i="1"/>
  <c r="C18676" i="1"/>
  <c r="A18677" i="1"/>
  <c r="C18677" i="1"/>
  <c r="A18678" i="1"/>
  <c r="C18678" i="1"/>
  <c r="A18679" i="1"/>
  <c r="C18679" i="1"/>
  <c r="A18680" i="1"/>
  <c r="C18680" i="1"/>
  <c r="A18681" i="1"/>
  <c r="C18681" i="1"/>
  <c r="A18682" i="1"/>
  <c r="C18682" i="1"/>
  <c r="A18683" i="1"/>
  <c r="C18683" i="1"/>
  <c r="A18684" i="1"/>
  <c r="C18684" i="1"/>
  <c r="A18685" i="1"/>
  <c r="C18685" i="1"/>
  <c r="A18686" i="1"/>
  <c r="C18686" i="1"/>
  <c r="A18687" i="1"/>
  <c r="C18687" i="1"/>
  <c r="A18688" i="1"/>
  <c r="C18688" i="1"/>
  <c r="A18689" i="1"/>
  <c r="C18689" i="1"/>
  <c r="A18690" i="1"/>
  <c r="C18690" i="1"/>
  <c r="A18691" i="1"/>
  <c r="C18691" i="1"/>
  <c r="A18692" i="1"/>
  <c r="C18692" i="1"/>
  <c r="A18693" i="1"/>
  <c r="C18693" i="1"/>
  <c r="A18694" i="1"/>
  <c r="C18694" i="1"/>
  <c r="A18695" i="1"/>
  <c r="C18695" i="1"/>
  <c r="A18696" i="1"/>
  <c r="C18696" i="1"/>
  <c r="A18697" i="1"/>
  <c r="C18697" i="1"/>
  <c r="A18698" i="1"/>
  <c r="C18698" i="1"/>
  <c r="A18699" i="1"/>
  <c r="C18699" i="1"/>
  <c r="A18700" i="1"/>
  <c r="C18700" i="1"/>
  <c r="A18701" i="1"/>
  <c r="C18701" i="1"/>
  <c r="A18702" i="1"/>
  <c r="C18702" i="1"/>
  <c r="A18703" i="1"/>
  <c r="C18703" i="1"/>
  <c r="A18704" i="1"/>
  <c r="C18704" i="1"/>
  <c r="A18705" i="1"/>
  <c r="C18705" i="1"/>
  <c r="A18706" i="1"/>
  <c r="C18706" i="1"/>
  <c r="A18707" i="1"/>
  <c r="C18707" i="1"/>
  <c r="A18708" i="1"/>
  <c r="C18708" i="1"/>
  <c r="A18709" i="1"/>
  <c r="C18709" i="1"/>
  <c r="A18710" i="1"/>
  <c r="C18710" i="1"/>
  <c r="A18711" i="1"/>
  <c r="C18711" i="1"/>
  <c r="A18712" i="1"/>
  <c r="C18712" i="1"/>
  <c r="A18713" i="1"/>
  <c r="C18713" i="1"/>
  <c r="A18714" i="1"/>
  <c r="C18714" i="1"/>
  <c r="A18715" i="1"/>
  <c r="C18715" i="1"/>
  <c r="A18716" i="1"/>
  <c r="C18716" i="1"/>
  <c r="A18717" i="1"/>
  <c r="C18717" i="1"/>
  <c r="A18718" i="1"/>
  <c r="C18718" i="1"/>
  <c r="A18719" i="1"/>
  <c r="C18719" i="1"/>
  <c r="A18720" i="1"/>
  <c r="C18720" i="1"/>
  <c r="A18721" i="1"/>
  <c r="C18721" i="1"/>
  <c r="A18722" i="1"/>
  <c r="C18722" i="1"/>
  <c r="A18723" i="1"/>
  <c r="C18723" i="1"/>
  <c r="A18724" i="1"/>
  <c r="C18724" i="1"/>
  <c r="A18725" i="1"/>
  <c r="C18725" i="1"/>
  <c r="A18726" i="1"/>
  <c r="C18726" i="1"/>
  <c r="A18727" i="1"/>
  <c r="C18727" i="1"/>
  <c r="A18728" i="1"/>
  <c r="C18728" i="1"/>
  <c r="A18729" i="1"/>
  <c r="C18729" i="1"/>
  <c r="A18730" i="1"/>
  <c r="C18730" i="1"/>
  <c r="A18731" i="1"/>
  <c r="C18731" i="1"/>
  <c r="A18732" i="1"/>
  <c r="C18732" i="1"/>
  <c r="A18733" i="1"/>
  <c r="C18733" i="1"/>
  <c r="A18734" i="1"/>
  <c r="C18734" i="1"/>
  <c r="A18735" i="1"/>
  <c r="C18735" i="1"/>
  <c r="A18736" i="1"/>
  <c r="C18736" i="1"/>
  <c r="A18737" i="1"/>
  <c r="C18737" i="1"/>
  <c r="A18738" i="1"/>
  <c r="C18738" i="1"/>
  <c r="A18739" i="1"/>
  <c r="C18739" i="1"/>
  <c r="A18740" i="1"/>
  <c r="C18740" i="1"/>
  <c r="A18741" i="1"/>
  <c r="C18741" i="1"/>
  <c r="A18742" i="1"/>
  <c r="C18742" i="1"/>
  <c r="A18743" i="1"/>
  <c r="C18743" i="1"/>
  <c r="A18744" i="1"/>
  <c r="C18744" i="1"/>
  <c r="A18745" i="1"/>
  <c r="C18745" i="1"/>
  <c r="A18746" i="1"/>
  <c r="C18746" i="1"/>
  <c r="A18747" i="1"/>
  <c r="C18747" i="1"/>
  <c r="A18748" i="1"/>
  <c r="C18748" i="1"/>
  <c r="A18749" i="1"/>
  <c r="C18749" i="1"/>
  <c r="A18750" i="1"/>
  <c r="C18750" i="1"/>
  <c r="A18751" i="1"/>
  <c r="C18751" i="1"/>
  <c r="A18752" i="1"/>
  <c r="C18752" i="1"/>
  <c r="A18753" i="1"/>
  <c r="C18753" i="1"/>
  <c r="A18754" i="1"/>
  <c r="C18754" i="1"/>
  <c r="A18755" i="1"/>
  <c r="C18755" i="1"/>
  <c r="A18756" i="1"/>
  <c r="C18756" i="1"/>
  <c r="A18757" i="1"/>
  <c r="C18757" i="1"/>
  <c r="A18758" i="1"/>
  <c r="C18758" i="1"/>
  <c r="A18759" i="1"/>
  <c r="C18759" i="1"/>
  <c r="A18760" i="1"/>
  <c r="C18760" i="1"/>
  <c r="A18761" i="1"/>
  <c r="C18761" i="1"/>
  <c r="A18762" i="1"/>
  <c r="C18762" i="1"/>
  <c r="A18763" i="1"/>
  <c r="C18763" i="1"/>
  <c r="A18764" i="1"/>
  <c r="C18764" i="1"/>
  <c r="A18765" i="1"/>
  <c r="C18765" i="1"/>
  <c r="A18766" i="1"/>
  <c r="C18766" i="1"/>
  <c r="A18767" i="1"/>
  <c r="C18767" i="1"/>
  <c r="A18768" i="1"/>
  <c r="C18768" i="1"/>
  <c r="A18769" i="1"/>
  <c r="C18769" i="1"/>
  <c r="A18770" i="1"/>
  <c r="C18770" i="1"/>
  <c r="A18771" i="1"/>
  <c r="C18771" i="1"/>
  <c r="A18772" i="1"/>
  <c r="C18772" i="1"/>
  <c r="A18773" i="1"/>
  <c r="C18773" i="1"/>
  <c r="A18774" i="1"/>
  <c r="C18774" i="1"/>
  <c r="A18775" i="1"/>
  <c r="C18775" i="1"/>
  <c r="A18776" i="1"/>
  <c r="C18776" i="1"/>
  <c r="A18777" i="1"/>
  <c r="C18777" i="1"/>
  <c r="A18778" i="1"/>
  <c r="C18778" i="1"/>
  <c r="A18779" i="1"/>
  <c r="C18779" i="1"/>
  <c r="A18780" i="1"/>
  <c r="C18780" i="1"/>
  <c r="A18781" i="1"/>
  <c r="C18781" i="1"/>
  <c r="A18782" i="1"/>
  <c r="C18782" i="1"/>
  <c r="A18783" i="1"/>
  <c r="C18783" i="1"/>
  <c r="A18784" i="1"/>
  <c r="C18784" i="1"/>
  <c r="A18785" i="1"/>
  <c r="C18785" i="1"/>
  <c r="A18786" i="1"/>
  <c r="C18786" i="1"/>
  <c r="A18787" i="1"/>
  <c r="C18787" i="1"/>
  <c r="A18788" i="1"/>
  <c r="C18788" i="1"/>
  <c r="A18789" i="1"/>
  <c r="C18789" i="1"/>
  <c r="A18790" i="1"/>
  <c r="C18790" i="1"/>
  <c r="A18791" i="1"/>
  <c r="C18791" i="1"/>
  <c r="A18792" i="1"/>
  <c r="C18792" i="1"/>
  <c r="A18793" i="1"/>
  <c r="C18793" i="1"/>
  <c r="A18794" i="1"/>
  <c r="C18794" i="1"/>
  <c r="A18795" i="1"/>
  <c r="C18795" i="1"/>
  <c r="A18796" i="1"/>
  <c r="C18796" i="1"/>
  <c r="A18797" i="1"/>
  <c r="C18797" i="1"/>
  <c r="A18798" i="1"/>
  <c r="C18798" i="1"/>
  <c r="A18799" i="1"/>
  <c r="C18799" i="1"/>
  <c r="A18800" i="1"/>
  <c r="C18800" i="1"/>
  <c r="A18801" i="1"/>
  <c r="C18801" i="1"/>
  <c r="A18802" i="1"/>
  <c r="C18802" i="1"/>
  <c r="A18803" i="1"/>
  <c r="C18803" i="1"/>
  <c r="A18804" i="1"/>
  <c r="C18804" i="1"/>
  <c r="A18805" i="1"/>
  <c r="C18805" i="1"/>
  <c r="A18806" i="1"/>
  <c r="C18806" i="1"/>
  <c r="A18807" i="1"/>
  <c r="C18807" i="1"/>
  <c r="A18808" i="1"/>
  <c r="C18808" i="1"/>
  <c r="A18809" i="1"/>
  <c r="C18809" i="1"/>
  <c r="A18810" i="1"/>
  <c r="C18810" i="1"/>
  <c r="A18811" i="1"/>
  <c r="C18811" i="1"/>
  <c r="A18812" i="1"/>
  <c r="C18812" i="1"/>
  <c r="A18813" i="1"/>
  <c r="C18813" i="1"/>
  <c r="A18814" i="1"/>
  <c r="C18814" i="1"/>
  <c r="A18815" i="1"/>
  <c r="C18815" i="1"/>
  <c r="A18816" i="1"/>
  <c r="C18816" i="1"/>
  <c r="A18817" i="1"/>
  <c r="C18817" i="1"/>
  <c r="A18818" i="1"/>
  <c r="C18818" i="1"/>
  <c r="A18819" i="1"/>
  <c r="C18819" i="1"/>
  <c r="A18820" i="1"/>
  <c r="C18820" i="1"/>
  <c r="A18821" i="1"/>
  <c r="C18821" i="1"/>
  <c r="A18822" i="1"/>
  <c r="C18822" i="1"/>
  <c r="A18823" i="1"/>
  <c r="C18823" i="1"/>
  <c r="A18824" i="1"/>
  <c r="C18824" i="1"/>
  <c r="A18825" i="1"/>
  <c r="C18825" i="1"/>
  <c r="A18826" i="1"/>
  <c r="C18826" i="1"/>
  <c r="A18827" i="1"/>
  <c r="C18827" i="1"/>
  <c r="A18828" i="1"/>
  <c r="C18828" i="1"/>
  <c r="A18829" i="1"/>
  <c r="C18829" i="1"/>
  <c r="A18830" i="1"/>
  <c r="C18830" i="1"/>
  <c r="A18831" i="1"/>
  <c r="C18831" i="1"/>
  <c r="A18832" i="1"/>
  <c r="C18832" i="1"/>
  <c r="A18833" i="1"/>
  <c r="C18833" i="1"/>
  <c r="A18834" i="1"/>
  <c r="C18834" i="1"/>
  <c r="A18835" i="1"/>
  <c r="C18835" i="1"/>
  <c r="A18836" i="1"/>
  <c r="C18836" i="1"/>
  <c r="A18837" i="1"/>
  <c r="C18837" i="1"/>
  <c r="A18838" i="1"/>
  <c r="C18838" i="1"/>
  <c r="A18839" i="1"/>
  <c r="C18839" i="1"/>
  <c r="A18840" i="1"/>
  <c r="C18840" i="1"/>
  <c r="A18841" i="1"/>
  <c r="C18841" i="1"/>
  <c r="A18842" i="1"/>
  <c r="C18842" i="1"/>
  <c r="A18843" i="1"/>
  <c r="C18843" i="1"/>
  <c r="A18844" i="1"/>
  <c r="C18844" i="1"/>
  <c r="A18845" i="1"/>
  <c r="C18845" i="1"/>
  <c r="A18846" i="1"/>
  <c r="C18846" i="1"/>
  <c r="A18847" i="1"/>
  <c r="C18847" i="1"/>
  <c r="A18848" i="1"/>
  <c r="C18848" i="1"/>
  <c r="A18849" i="1"/>
  <c r="C18849" i="1"/>
  <c r="A18850" i="1"/>
  <c r="C18850" i="1"/>
  <c r="A18851" i="1"/>
  <c r="C18851" i="1"/>
  <c r="A18852" i="1"/>
  <c r="C18852" i="1"/>
  <c r="A18853" i="1"/>
  <c r="C18853" i="1"/>
  <c r="A18854" i="1"/>
  <c r="C18854" i="1"/>
  <c r="A18855" i="1"/>
  <c r="C18855" i="1"/>
  <c r="A18856" i="1"/>
  <c r="C18856" i="1"/>
  <c r="A18857" i="1"/>
  <c r="C18857" i="1"/>
  <c r="A18858" i="1"/>
  <c r="C18858" i="1"/>
  <c r="A18859" i="1"/>
  <c r="C18859" i="1"/>
  <c r="A18860" i="1"/>
  <c r="C18860" i="1"/>
  <c r="A18861" i="1"/>
  <c r="C18861" i="1"/>
  <c r="A18862" i="1"/>
  <c r="C18862" i="1"/>
  <c r="A18863" i="1"/>
  <c r="C18863" i="1"/>
  <c r="A18864" i="1"/>
  <c r="C18864" i="1"/>
  <c r="A18865" i="1"/>
  <c r="C18865" i="1"/>
  <c r="A18866" i="1"/>
  <c r="C18866" i="1"/>
  <c r="A18867" i="1"/>
  <c r="C18867" i="1"/>
  <c r="A18868" i="1"/>
  <c r="C18868" i="1"/>
  <c r="A18869" i="1"/>
  <c r="C18869" i="1"/>
  <c r="A18870" i="1"/>
  <c r="C18870" i="1"/>
  <c r="A18871" i="1"/>
  <c r="C18871" i="1"/>
  <c r="A18872" i="1"/>
  <c r="C18872" i="1"/>
  <c r="A18873" i="1"/>
  <c r="C18873" i="1"/>
  <c r="A18874" i="1"/>
  <c r="C18874" i="1"/>
  <c r="A18875" i="1"/>
  <c r="C18875" i="1"/>
  <c r="A18876" i="1"/>
  <c r="C18876" i="1"/>
  <c r="A18877" i="1"/>
  <c r="C18877" i="1"/>
  <c r="A18878" i="1"/>
  <c r="C18878" i="1"/>
  <c r="A18879" i="1"/>
  <c r="C18879" i="1"/>
  <c r="A18880" i="1"/>
  <c r="C18880" i="1"/>
  <c r="A18881" i="1"/>
  <c r="C18881" i="1"/>
  <c r="A18882" i="1"/>
  <c r="C18882" i="1"/>
  <c r="A18883" i="1"/>
  <c r="C18883" i="1"/>
  <c r="A18884" i="1"/>
  <c r="C18884" i="1"/>
  <c r="A18885" i="1"/>
  <c r="C18885" i="1"/>
  <c r="A18886" i="1"/>
  <c r="C18886" i="1"/>
  <c r="A18887" i="1"/>
  <c r="C18887" i="1"/>
  <c r="A18888" i="1"/>
  <c r="C18888" i="1"/>
  <c r="A18889" i="1"/>
  <c r="C18889" i="1"/>
  <c r="A18890" i="1"/>
  <c r="C18890" i="1"/>
  <c r="A18891" i="1"/>
  <c r="C18891" i="1"/>
  <c r="A18892" i="1"/>
  <c r="C18892" i="1"/>
  <c r="A18893" i="1"/>
  <c r="C18893" i="1"/>
  <c r="A18894" i="1"/>
  <c r="C18894" i="1"/>
  <c r="A18895" i="1"/>
  <c r="C18895" i="1"/>
  <c r="A18896" i="1"/>
  <c r="C18896" i="1"/>
  <c r="A18897" i="1"/>
  <c r="C18897" i="1"/>
  <c r="A18898" i="1"/>
  <c r="C18898" i="1"/>
  <c r="A18899" i="1"/>
  <c r="C18899" i="1"/>
  <c r="A18900" i="1"/>
  <c r="C18900" i="1"/>
  <c r="A18901" i="1"/>
  <c r="C18901" i="1"/>
  <c r="A18902" i="1"/>
  <c r="C18902" i="1"/>
  <c r="A18903" i="1"/>
  <c r="C18903" i="1"/>
  <c r="A18904" i="1"/>
  <c r="C18904" i="1"/>
  <c r="A18905" i="1"/>
  <c r="C18905" i="1"/>
  <c r="A18906" i="1"/>
  <c r="C18906" i="1"/>
  <c r="A18907" i="1"/>
  <c r="C18907" i="1"/>
  <c r="A18908" i="1"/>
  <c r="C18908" i="1"/>
  <c r="A18909" i="1"/>
  <c r="C18909" i="1"/>
  <c r="A18910" i="1"/>
  <c r="C18910" i="1"/>
  <c r="A18911" i="1"/>
  <c r="C18911" i="1"/>
  <c r="A18912" i="1"/>
  <c r="C18912" i="1"/>
  <c r="A18913" i="1"/>
  <c r="C18913" i="1"/>
  <c r="A18914" i="1"/>
  <c r="C18914" i="1"/>
  <c r="A18915" i="1"/>
  <c r="C18915" i="1"/>
  <c r="A18916" i="1"/>
  <c r="C18916" i="1"/>
  <c r="A18917" i="1"/>
  <c r="C18917" i="1"/>
  <c r="A18918" i="1"/>
  <c r="C18918" i="1"/>
  <c r="A18919" i="1"/>
  <c r="C18919" i="1"/>
  <c r="A18920" i="1"/>
  <c r="C18920" i="1"/>
  <c r="A18921" i="1"/>
  <c r="C18921" i="1"/>
  <c r="A18922" i="1"/>
  <c r="C18922" i="1"/>
  <c r="A18923" i="1"/>
  <c r="C18923" i="1"/>
  <c r="A18924" i="1"/>
  <c r="C18924" i="1"/>
  <c r="A18925" i="1"/>
  <c r="C18925" i="1"/>
  <c r="A18926" i="1"/>
  <c r="C18926" i="1"/>
  <c r="A18927" i="1"/>
  <c r="C18927" i="1"/>
  <c r="A18928" i="1"/>
  <c r="C18928" i="1"/>
  <c r="A18929" i="1"/>
  <c r="C18929" i="1"/>
  <c r="A18930" i="1"/>
  <c r="C18930" i="1"/>
  <c r="A18931" i="1"/>
  <c r="C18931" i="1"/>
  <c r="A18932" i="1"/>
  <c r="C18932" i="1"/>
  <c r="A18933" i="1"/>
  <c r="C18933" i="1"/>
  <c r="A18934" i="1"/>
  <c r="C18934" i="1"/>
  <c r="A18935" i="1"/>
  <c r="C18935" i="1"/>
  <c r="A18936" i="1"/>
  <c r="C18936" i="1"/>
  <c r="A18937" i="1"/>
  <c r="C18937" i="1"/>
  <c r="A18938" i="1"/>
  <c r="C18938" i="1"/>
  <c r="A18939" i="1"/>
  <c r="C18939" i="1"/>
  <c r="A18940" i="1"/>
  <c r="C18940" i="1"/>
  <c r="A18941" i="1"/>
  <c r="C18941" i="1"/>
  <c r="A18942" i="1"/>
  <c r="C18942" i="1"/>
  <c r="A18943" i="1"/>
  <c r="C18943" i="1"/>
  <c r="A18944" i="1"/>
  <c r="C18944" i="1"/>
  <c r="A18945" i="1"/>
  <c r="C18945" i="1"/>
  <c r="A18946" i="1"/>
  <c r="C18946" i="1"/>
  <c r="A18947" i="1"/>
  <c r="C18947" i="1"/>
  <c r="A18948" i="1"/>
  <c r="C18948" i="1"/>
  <c r="A18949" i="1"/>
  <c r="C18949" i="1"/>
  <c r="A18950" i="1"/>
  <c r="C18950" i="1"/>
  <c r="A18951" i="1"/>
  <c r="C18951" i="1"/>
  <c r="A18952" i="1"/>
  <c r="C18952" i="1"/>
  <c r="A18953" i="1"/>
  <c r="C18953" i="1"/>
  <c r="A18954" i="1"/>
  <c r="C18954" i="1"/>
  <c r="A18955" i="1"/>
  <c r="C18955" i="1"/>
  <c r="A18956" i="1"/>
  <c r="C18956" i="1"/>
  <c r="A18957" i="1"/>
  <c r="C18957" i="1"/>
  <c r="A18958" i="1"/>
  <c r="C18958" i="1"/>
  <c r="A18959" i="1"/>
  <c r="C18959" i="1"/>
  <c r="A18960" i="1"/>
  <c r="C18960" i="1"/>
  <c r="A18961" i="1"/>
  <c r="C18961" i="1"/>
  <c r="A18962" i="1"/>
  <c r="C18962" i="1"/>
  <c r="A18963" i="1"/>
  <c r="C18963" i="1"/>
  <c r="A18964" i="1"/>
  <c r="C18964" i="1"/>
  <c r="A18965" i="1"/>
  <c r="C18965" i="1"/>
  <c r="A18966" i="1"/>
  <c r="C18966" i="1"/>
  <c r="A18967" i="1"/>
  <c r="C18967" i="1"/>
  <c r="A18968" i="1"/>
  <c r="C18968" i="1"/>
  <c r="A18969" i="1"/>
  <c r="C18969" i="1"/>
  <c r="A18970" i="1"/>
  <c r="C18970" i="1"/>
  <c r="A18971" i="1"/>
  <c r="C18971" i="1"/>
  <c r="A18972" i="1"/>
  <c r="C18972" i="1"/>
  <c r="A18973" i="1"/>
  <c r="C18973" i="1"/>
  <c r="A18974" i="1"/>
  <c r="C18974" i="1"/>
  <c r="A18975" i="1"/>
  <c r="C18975" i="1"/>
  <c r="A18976" i="1"/>
  <c r="C18976" i="1"/>
  <c r="A18977" i="1"/>
  <c r="C18977" i="1"/>
  <c r="A18978" i="1"/>
  <c r="C18978" i="1"/>
  <c r="A18979" i="1"/>
  <c r="C18979" i="1"/>
  <c r="A18980" i="1"/>
  <c r="C18980" i="1"/>
  <c r="A18981" i="1"/>
  <c r="C18981" i="1"/>
  <c r="A18982" i="1"/>
  <c r="C18982" i="1"/>
  <c r="A18983" i="1"/>
  <c r="C18983" i="1"/>
  <c r="A18984" i="1"/>
  <c r="C18984" i="1"/>
  <c r="A18985" i="1"/>
  <c r="C18985" i="1"/>
  <c r="A18986" i="1"/>
  <c r="C18986" i="1"/>
  <c r="A18987" i="1"/>
  <c r="C18987" i="1"/>
  <c r="A18988" i="1"/>
  <c r="C18988" i="1"/>
  <c r="A18989" i="1"/>
  <c r="C18989" i="1"/>
  <c r="A18990" i="1"/>
  <c r="C18990" i="1"/>
  <c r="A18991" i="1"/>
  <c r="C18991" i="1"/>
  <c r="A18992" i="1"/>
  <c r="C18992" i="1"/>
  <c r="A18993" i="1"/>
  <c r="C18993" i="1"/>
  <c r="A18994" i="1"/>
  <c r="C18994" i="1"/>
  <c r="A18995" i="1"/>
  <c r="C18995" i="1"/>
  <c r="A18996" i="1"/>
  <c r="C18996" i="1"/>
  <c r="A18997" i="1"/>
  <c r="C18997" i="1"/>
  <c r="A18998" i="1"/>
  <c r="C18998" i="1"/>
  <c r="A18999" i="1"/>
  <c r="C18999" i="1"/>
  <c r="A19000" i="1"/>
  <c r="C19000" i="1"/>
  <c r="A19001" i="1"/>
  <c r="C19001" i="1"/>
  <c r="A19002" i="1"/>
  <c r="C19002" i="1"/>
  <c r="A19003" i="1"/>
  <c r="C19003" i="1"/>
  <c r="A19004" i="1"/>
  <c r="C19004" i="1"/>
  <c r="A19005" i="1"/>
  <c r="C19005" i="1"/>
  <c r="A19006" i="1"/>
  <c r="C19006" i="1"/>
  <c r="A19007" i="1"/>
  <c r="C19007" i="1"/>
  <c r="A19008" i="1"/>
  <c r="C19008" i="1"/>
  <c r="A19009" i="1"/>
  <c r="C19009" i="1"/>
  <c r="A19010" i="1"/>
  <c r="C19010" i="1"/>
  <c r="A19011" i="1"/>
  <c r="C19011" i="1"/>
  <c r="A19012" i="1"/>
  <c r="C19012" i="1"/>
  <c r="A19013" i="1"/>
  <c r="C19013" i="1"/>
  <c r="A19014" i="1"/>
  <c r="C19014" i="1"/>
  <c r="A19015" i="1"/>
  <c r="C19015" i="1"/>
  <c r="A19016" i="1"/>
  <c r="C19016" i="1"/>
  <c r="A19017" i="1"/>
  <c r="C19017" i="1"/>
  <c r="A19018" i="1"/>
  <c r="C19018" i="1"/>
  <c r="A19019" i="1"/>
  <c r="C19019" i="1"/>
  <c r="A19020" i="1"/>
  <c r="C19020" i="1"/>
  <c r="A19021" i="1"/>
  <c r="C19021" i="1"/>
  <c r="A19022" i="1"/>
  <c r="C19022" i="1"/>
  <c r="A19023" i="1"/>
  <c r="C19023" i="1"/>
  <c r="A19024" i="1"/>
  <c r="C19024" i="1"/>
  <c r="A19025" i="1"/>
  <c r="C19025" i="1"/>
  <c r="A19026" i="1"/>
  <c r="C19026" i="1"/>
  <c r="A19027" i="1"/>
  <c r="C19027" i="1"/>
  <c r="A19028" i="1"/>
  <c r="C19028" i="1"/>
  <c r="A19029" i="1"/>
  <c r="C19029" i="1"/>
  <c r="A19030" i="1"/>
  <c r="C19030" i="1"/>
  <c r="A19031" i="1"/>
  <c r="C19031" i="1"/>
  <c r="A19032" i="1"/>
  <c r="C19032" i="1"/>
  <c r="A19033" i="1"/>
  <c r="C19033" i="1"/>
  <c r="A19034" i="1"/>
  <c r="C19034" i="1"/>
  <c r="A19035" i="1"/>
  <c r="C19035" i="1"/>
  <c r="A19036" i="1"/>
  <c r="C19036" i="1"/>
  <c r="A19037" i="1"/>
  <c r="C19037" i="1"/>
  <c r="A19038" i="1"/>
  <c r="C19038" i="1"/>
  <c r="A19039" i="1"/>
  <c r="C19039" i="1"/>
  <c r="A19040" i="1"/>
  <c r="C19040" i="1"/>
  <c r="A19041" i="1"/>
  <c r="C19041" i="1"/>
  <c r="A19042" i="1"/>
  <c r="C19042" i="1"/>
  <c r="A19043" i="1"/>
  <c r="C19043" i="1"/>
  <c r="A19044" i="1"/>
  <c r="C19044" i="1"/>
  <c r="A19045" i="1"/>
  <c r="C19045" i="1"/>
  <c r="A19046" i="1"/>
  <c r="C19046" i="1"/>
  <c r="A19047" i="1"/>
  <c r="C19047" i="1"/>
  <c r="A19048" i="1"/>
  <c r="C19048" i="1"/>
  <c r="A19049" i="1"/>
  <c r="C19049" i="1"/>
  <c r="A19050" i="1"/>
  <c r="C19050" i="1"/>
  <c r="A19051" i="1"/>
  <c r="C19051" i="1"/>
  <c r="A19052" i="1"/>
  <c r="C19052" i="1"/>
  <c r="A19053" i="1"/>
  <c r="C19053" i="1"/>
  <c r="A19054" i="1"/>
  <c r="C19054" i="1"/>
  <c r="A19055" i="1"/>
  <c r="C19055" i="1"/>
  <c r="A19056" i="1"/>
  <c r="C19056" i="1"/>
  <c r="A19057" i="1"/>
  <c r="C19057" i="1"/>
  <c r="A19058" i="1"/>
  <c r="C19058" i="1"/>
  <c r="A19059" i="1"/>
  <c r="C19059" i="1"/>
  <c r="A19060" i="1"/>
  <c r="C19060" i="1"/>
  <c r="A19061" i="1"/>
  <c r="C19061" i="1"/>
  <c r="A19062" i="1"/>
  <c r="C19062" i="1"/>
  <c r="A19063" i="1"/>
  <c r="C19063" i="1"/>
  <c r="A19064" i="1"/>
  <c r="C19064" i="1"/>
  <c r="A19065" i="1"/>
  <c r="C19065" i="1"/>
  <c r="A19066" i="1"/>
  <c r="C19066" i="1"/>
  <c r="A19067" i="1"/>
  <c r="C19067" i="1"/>
  <c r="A19068" i="1"/>
  <c r="C19068" i="1"/>
  <c r="A19069" i="1"/>
  <c r="C19069" i="1"/>
  <c r="A19070" i="1"/>
  <c r="C19070" i="1"/>
  <c r="A19071" i="1"/>
  <c r="C19071" i="1"/>
  <c r="A19072" i="1"/>
  <c r="C19072" i="1"/>
  <c r="A19073" i="1"/>
  <c r="C19073" i="1"/>
  <c r="A19074" i="1"/>
  <c r="C19074" i="1"/>
  <c r="A19075" i="1"/>
  <c r="C19075" i="1"/>
  <c r="A19076" i="1"/>
  <c r="C19076" i="1"/>
  <c r="A19077" i="1"/>
  <c r="C19077" i="1"/>
  <c r="A19078" i="1"/>
  <c r="C19078" i="1"/>
  <c r="A19079" i="1"/>
  <c r="C19079" i="1"/>
  <c r="A19080" i="1"/>
  <c r="C19080" i="1"/>
  <c r="A19081" i="1"/>
  <c r="C19081" i="1"/>
  <c r="A19082" i="1"/>
  <c r="C19082" i="1"/>
  <c r="A19083" i="1"/>
  <c r="C19083" i="1"/>
  <c r="A19084" i="1"/>
  <c r="C19084" i="1"/>
  <c r="A19085" i="1"/>
  <c r="C19085" i="1"/>
  <c r="A19086" i="1"/>
  <c r="C19086" i="1"/>
  <c r="A19087" i="1"/>
  <c r="C19087" i="1"/>
  <c r="A19088" i="1"/>
  <c r="C19088" i="1"/>
  <c r="A19089" i="1"/>
  <c r="C19089" i="1"/>
  <c r="A19090" i="1"/>
  <c r="C19090" i="1"/>
  <c r="A19091" i="1"/>
  <c r="C19091" i="1"/>
  <c r="A19092" i="1"/>
  <c r="C19092" i="1"/>
  <c r="A19093" i="1"/>
  <c r="C19093" i="1"/>
  <c r="A19094" i="1"/>
  <c r="C19094" i="1"/>
  <c r="A19095" i="1"/>
  <c r="C19095" i="1"/>
  <c r="A19096" i="1"/>
  <c r="C19096" i="1"/>
  <c r="A19097" i="1"/>
  <c r="C19097" i="1"/>
  <c r="A19098" i="1"/>
  <c r="C19098" i="1"/>
  <c r="A19099" i="1"/>
  <c r="C19099" i="1"/>
  <c r="A19100" i="1"/>
  <c r="C19100" i="1"/>
  <c r="A19101" i="1"/>
  <c r="C19101" i="1"/>
  <c r="A19102" i="1"/>
  <c r="C19102" i="1"/>
  <c r="A19103" i="1"/>
  <c r="C19103" i="1"/>
  <c r="A19104" i="1"/>
  <c r="C19104" i="1"/>
  <c r="A19105" i="1"/>
  <c r="C19105" i="1"/>
  <c r="A19106" i="1"/>
  <c r="C19106" i="1"/>
  <c r="A19107" i="1"/>
  <c r="C19107" i="1"/>
  <c r="A19108" i="1"/>
  <c r="C19108" i="1"/>
  <c r="A19109" i="1"/>
  <c r="C19109" i="1"/>
  <c r="A19110" i="1"/>
  <c r="C19110" i="1"/>
  <c r="A19111" i="1"/>
  <c r="C19111" i="1"/>
  <c r="A19112" i="1"/>
  <c r="C19112" i="1"/>
  <c r="A19113" i="1"/>
  <c r="C19113" i="1"/>
  <c r="A19114" i="1"/>
  <c r="C19114" i="1"/>
  <c r="A19115" i="1"/>
  <c r="C19115" i="1"/>
  <c r="A19116" i="1"/>
  <c r="C19116" i="1"/>
  <c r="A19117" i="1"/>
  <c r="C19117" i="1"/>
  <c r="A19118" i="1"/>
  <c r="C19118" i="1"/>
  <c r="A19119" i="1"/>
  <c r="C19119" i="1"/>
  <c r="A19120" i="1"/>
  <c r="C19120" i="1"/>
  <c r="A19121" i="1"/>
  <c r="C19121" i="1"/>
  <c r="A19122" i="1"/>
  <c r="C19122" i="1"/>
  <c r="A19123" i="1"/>
  <c r="C19123" i="1"/>
  <c r="A19124" i="1"/>
  <c r="C19124" i="1"/>
  <c r="A19125" i="1"/>
  <c r="C19125" i="1"/>
  <c r="A19126" i="1"/>
  <c r="C19126" i="1"/>
  <c r="A19127" i="1"/>
  <c r="C19127" i="1"/>
  <c r="A19128" i="1"/>
  <c r="C19128" i="1"/>
  <c r="A19129" i="1"/>
  <c r="C19129" i="1"/>
  <c r="A19130" i="1"/>
  <c r="C19130" i="1"/>
  <c r="A19131" i="1"/>
  <c r="C19131" i="1"/>
  <c r="A19132" i="1"/>
  <c r="C19132" i="1"/>
  <c r="A19133" i="1"/>
  <c r="C19133" i="1"/>
  <c r="A19134" i="1"/>
  <c r="C19134" i="1"/>
  <c r="A19135" i="1"/>
  <c r="C19135" i="1"/>
  <c r="A19136" i="1"/>
  <c r="C19136" i="1"/>
  <c r="A19137" i="1"/>
  <c r="C19137" i="1"/>
  <c r="A19138" i="1"/>
  <c r="C19138" i="1"/>
  <c r="A19139" i="1"/>
  <c r="C19139" i="1"/>
  <c r="A19140" i="1"/>
  <c r="C19140" i="1"/>
  <c r="A19141" i="1"/>
  <c r="C19141" i="1"/>
  <c r="A19142" i="1"/>
  <c r="C19142" i="1"/>
  <c r="A19143" i="1"/>
  <c r="C19143" i="1"/>
  <c r="A19144" i="1"/>
  <c r="C19144" i="1"/>
  <c r="A19145" i="1"/>
  <c r="C19145" i="1"/>
  <c r="A19146" i="1"/>
  <c r="C19146" i="1"/>
  <c r="A19147" i="1"/>
  <c r="C19147" i="1"/>
  <c r="A19148" i="1"/>
  <c r="C19148" i="1"/>
  <c r="A19149" i="1"/>
  <c r="C19149" i="1"/>
  <c r="A19150" i="1"/>
  <c r="C19150" i="1"/>
  <c r="A19151" i="1"/>
  <c r="C19151" i="1"/>
  <c r="A19152" i="1"/>
  <c r="C19152" i="1"/>
  <c r="A19153" i="1"/>
  <c r="C19153" i="1"/>
  <c r="A19154" i="1"/>
  <c r="C19154" i="1"/>
  <c r="A19155" i="1"/>
  <c r="C19155" i="1"/>
  <c r="A19156" i="1"/>
  <c r="C19156" i="1"/>
  <c r="A19157" i="1"/>
  <c r="C19157" i="1"/>
  <c r="A19158" i="1"/>
  <c r="C19158" i="1"/>
  <c r="A19159" i="1"/>
  <c r="C19159" i="1"/>
  <c r="A19160" i="1"/>
  <c r="C19160" i="1"/>
  <c r="A19161" i="1"/>
  <c r="C19161" i="1"/>
  <c r="A19162" i="1"/>
  <c r="C19162" i="1"/>
  <c r="A19163" i="1"/>
  <c r="C19163" i="1"/>
  <c r="A19164" i="1"/>
  <c r="C19164" i="1"/>
  <c r="A19165" i="1"/>
  <c r="C19165" i="1"/>
  <c r="A19166" i="1"/>
  <c r="C19166" i="1"/>
  <c r="A19167" i="1"/>
  <c r="C19167" i="1"/>
  <c r="A19168" i="1"/>
  <c r="C19168" i="1"/>
  <c r="A19169" i="1"/>
  <c r="C19169" i="1"/>
  <c r="A19170" i="1"/>
  <c r="C19170" i="1"/>
  <c r="A19171" i="1"/>
  <c r="C19171" i="1"/>
  <c r="A19172" i="1"/>
  <c r="C19172" i="1"/>
  <c r="A19173" i="1"/>
  <c r="C19173" i="1"/>
  <c r="A19174" i="1"/>
  <c r="C19174" i="1"/>
  <c r="A19175" i="1"/>
  <c r="C19175" i="1"/>
  <c r="A19176" i="1"/>
  <c r="C19176" i="1"/>
  <c r="A19177" i="1"/>
  <c r="C19177" i="1"/>
  <c r="A19178" i="1"/>
  <c r="C19178" i="1"/>
  <c r="A19179" i="1"/>
  <c r="C19179" i="1"/>
  <c r="A19180" i="1"/>
  <c r="C19180" i="1"/>
  <c r="A19181" i="1"/>
  <c r="C19181" i="1"/>
  <c r="A19182" i="1"/>
  <c r="C19182" i="1"/>
  <c r="A19183" i="1"/>
  <c r="C19183" i="1"/>
  <c r="A19184" i="1"/>
  <c r="C19184" i="1"/>
  <c r="A19185" i="1"/>
  <c r="C19185" i="1"/>
  <c r="A19186" i="1"/>
  <c r="C19186" i="1"/>
  <c r="A19187" i="1"/>
  <c r="C19187" i="1"/>
  <c r="A19188" i="1"/>
  <c r="C19188" i="1"/>
  <c r="A19189" i="1"/>
  <c r="C19189" i="1"/>
  <c r="A19190" i="1"/>
  <c r="C19190" i="1"/>
  <c r="A19191" i="1"/>
  <c r="C19191" i="1"/>
  <c r="A19192" i="1"/>
  <c r="C19192" i="1"/>
  <c r="A19193" i="1"/>
  <c r="C19193" i="1"/>
  <c r="A19194" i="1"/>
  <c r="C19194" i="1"/>
  <c r="A19195" i="1"/>
  <c r="C19195" i="1"/>
  <c r="A19196" i="1"/>
  <c r="C19196" i="1"/>
  <c r="A19197" i="1"/>
  <c r="C19197" i="1"/>
  <c r="A19198" i="1"/>
  <c r="C19198" i="1"/>
  <c r="A19199" i="1"/>
  <c r="C19199" i="1"/>
  <c r="A19200" i="1"/>
  <c r="C19200" i="1"/>
  <c r="A19201" i="1"/>
  <c r="C19201" i="1"/>
  <c r="A19202" i="1"/>
  <c r="C19202" i="1"/>
  <c r="A19203" i="1"/>
  <c r="C19203" i="1"/>
  <c r="A19204" i="1"/>
  <c r="C19204" i="1"/>
  <c r="A19205" i="1"/>
  <c r="C19205" i="1"/>
  <c r="A19206" i="1"/>
  <c r="C19206" i="1"/>
  <c r="A19207" i="1"/>
  <c r="C19207" i="1"/>
  <c r="A19208" i="1"/>
  <c r="C19208" i="1"/>
  <c r="A19209" i="1"/>
  <c r="C19209" i="1"/>
  <c r="A19210" i="1"/>
  <c r="C19210" i="1"/>
  <c r="A19211" i="1"/>
  <c r="C19211" i="1"/>
  <c r="A19212" i="1"/>
  <c r="C19212" i="1"/>
  <c r="A19213" i="1"/>
  <c r="C19213" i="1"/>
  <c r="A19214" i="1"/>
  <c r="C19214" i="1"/>
  <c r="A19215" i="1"/>
  <c r="C19215" i="1"/>
  <c r="A19216" i="1"/>
  <c r="C19216" i="1"/>
  <c r="A19217" i="1"/>
  <c r="C19217" i="1"/>
  <c r="A19218" i="1"/>
  <c r="C19218" i="1"/>
  <c r="A19219" i="1"/>
  <c r="C19219" i="1"/>
  <c r="A19220" i="1"/>
  <c r="C19220" i="1"/>
  <c r="A19221" i="1"/>
  <c r="C19221" i="1"/>
  <c r="A19222" i="1"/>
  <c r="C19222" i="1"/>
  <c r="A19223" i="1"/>
  <c r="C19223" i="1"/>
  <c r="A19224" i="1"/>
  <c r="C19224" i="1"/>
  <c r="A19225" i="1"/>
  <c r="C19225" i="1"/>
  <c r="A19226" i="1"/>
  <c r="C19226" i="1"/>
  <c r="A19227" i="1"/>
  <c r="C19227" i="1"/>
  <c r="A19228" i="1"/>
  <c r="C19228" i="1"/>
  <c r="A19229" i="1"/>
  <c r="C19229" i="1"/>
  <c r="A19230" i="1"/>
  <c r="C19230" i="1"/>
  <c r="A19231" i="1"/>
  <c r="C19231" i="1"/>
  <c r="A19232" i="1"/>
  <c r="C19232" i="1"/>
  <c r="A19233" i="1"/>
  <c r="C19233" i="1"/>
  <c r="A19234" i="1"/>
  <c r="C19234" i="1"/>
  <c r="A19235" i="1"/>
  <c r="C19235" i="1"/>
  <c r="A19236" i="1"/>
  <c r="C19236" i="1"/>
  <c r="A19237" i="1"/>
  <c r="C19237" i="1"/>
  <c r="A19238" i="1"/>
  <c r="C19238" i="1"/>
  <c r="A19239" i="1"/>
  <c r="C19239" i="1"/>
  <c r="A19240" i="1"/>
  <c r="C19240" i="1"/>
  <c r="A19241" i="1"/>
  <c r="C19241" i="1"/>
  <c r="A19242" i="1"/>
  <c r="C19242" i="1"/>
  <c r="A19243" i="1"/>
  <c r="C19243" i="1"/>
  <c r="A19244" i="1"/>
  <c r="C19244" i="1"/>
  <c r="A19245" i="1"/>
  <c r="C19245" i="1"/>
  <c r="A19246" i="1"/>
  <c r="C19246" i="1"/>
  <c r="A19247" i="1"/>
  <c r="C19247" i="1"/>
  <c r="A19248" i="1"/>
  <c r="C19248" i="1"/>
  <c r="A19249" i="1"/>
  <c r="C19249" i="1"/>
  <c r="A19250" i="1"/>
  <c r="C19250" i="1"/>
  <c r="A19251" i="1"/>
  <c r="C19251" i="1"/>
  <c r="A19252" i="1"/>
  <c r="C19252" i="1"/>
  <c r="A19253" i="1"/>
  <c r="C19253" i="1"/>
  <c r="A19254" i="1"/>
  <c r="C19254" i="1"/>
  <c r="A19255" i="1"/>
  <c r="C19255" i="1"/>
  <c r="A19256" i="1"/>
  <c r="C19256" i="1"/>
  <c r="A19257" i="1"/>
  <c r="C19257" i="1"/>
  <c r="A19258" i="1"/>
  <c r="C19258" i="1"/>
  <c r="A19259" i="1"/>
  <c r="C19259" i="1"/>
  <c r="A19260" i="1"/>
  <c r="C19260" i="1"/>
  <c r="A19261" i="1"/>
  <c r="C19261" i="1"/>
  <c r="A19262" i="1"/>
  <c r="C19262" i="1"/>
  <c r="A19263" i="1"/>
  <c r="C19263" i="1"/>
  <c r="A19264" i="1"/>
  <c r="C19264" i="1"/>
  <c r="A19265" i="1"/>
  <c r="C19265" i="1"/>
  <c r="A19266" i="1"/>
  <c r="C19266" i="1"/>
  <c r="A19267" i="1"/>
  <c r="C19267" i="1"/>
  <c r="A19268" i="1"/>
  <c r="C19268" i="1"/>
  <c r="A19269" i="1"/>
  <c r="C19269" i="1"/>
  <c r="A19270" i="1"/>
  <c r="C19270" i="1"/>
  <c r="A19271" i="1"/>
  <c r="C19271" i="1"/>
  <c r="A19272" i="1"/>
  <c r="C19272" i="1"/>
  <c r="A19273" i="1"/>
  <c r="C19273" i="1"/>
  <c r="A19274" i="1"/>
  <c r="C19274" i="1"/>
  <c r="A19275" i="1"/>
  <c r="C19275" i="1"/>
  <c r="A19276" i="1"/>
  <c r="C19276" i="1"/>
  <c r="A19277" i="1"/>
  <c r="C19277" i="1"/>
  <c r="A19278" i="1"/>
  <c r="C19278" i="1"/>
  <c r="A19279" i="1"/>
  <c r="C19279" i="1"/>
  <c r="A19280" i="1"/>
  <c r="C19280" i="1"/>
  <c r="A19281" i="1"/>
  <c r="C19281" i="1"/>
  <c r="A19282" i="1"/>
  <c r="C19282" i="1"/>
  <c r="A19283" i="1"/>
  <c r="C19283" i="1"/>
  <c r="A19284" i="1"/>
  <c r="C19284" i="1"/>
  <c r="A19285" i="1"/>
  <c r="C19285" i="1"/>
  <c r="A19286" i="1"/>
  <c r="C19286" i="1"/>
  <c r="A19287" i="1"/>
  <c r="C19287" i="1"/>
  <c r="A19288" i="1"/>
  <c r="C19288" i="1"/>
  <c r="A19289" i="1"/>
  <c r="C19289" i="1"/>
  <c r="A19290" i="1"/>
  <c r="C19290" i="1"/>
  <c r="A19291" i="1"/>
  <c r="C19291" i="1"/>
  <c r="A19292" i="1"/>
  <c r="C19292" i="1"/>
  <c r="A19293" i="1"/>
  <c r="C19293" i="1"/>
  <c r="A19294" i="1"/>
  <c r="C19294" i="1"/>
  <c r="A19295" i="1"/>
  <c r="C19295" i="1"/>
  <c r="A19296" i="1"/>
  <c r="C19296" i="1"/>
  <c r="A19297" i="1"/>
  <c r="C19297" i="1"/>
  <c r="A19298" i="1"/>
  <c r="C19298" i="1"/>
  <c r="A19299" i="1"/>
  <c r="C19299" i="1"/>
  <c r="A19300" i="1"/>
  <c r="C19300" i="1"/>
  <c r="A19301" i="1"/>
  <c r="C19301" i="1"/>
  <c r="A19302" i="1"/>
  <c r="C19302" i="1"/>
  <c r="A19303" i="1"/>
  <c r="C19303" i="1"/>
  <c r="A19304" i="1"/>
  <c r="C19304" i="1"/>
  <c r="A19305" i="1"/>
  <c r="C19305" i="1"/>
  <c r="A19306" i="1"/>
  <c r="C19306" i="1"/>
  <c r="A19307" i="1"/>
  <c r="C19307" i="1"/>
  <c r="A19308" i="1"/>
  <c r="C19308" i="1"/>
  <c r="A19309" i="1"/>
  <c r="C19309" i="1"/>
  <c r="A19310" i="1"/>
  <c r="C19310" i="1"/>
  <c r="A19311" i="1"/>
  <c r="C19311" i="1"/>
  <c r="A19312" i="1"/>
  <c r="C19312" i="1"/>
  <c r="A19313" i="1"/>
  <c r="C19313" i="1"/>
  <c r="A19314" i="1"/>
  <c r="C19314" i="1"/>
  <c r="A19315" i="1"/>
  <c r="C19315" i="1"/>
  <c r="A19316" i="1"/>
  <c r="C19316" i="1"/>
  <c r="A19317" i="1"/>
  <c r="C19317" i="1"/>
  <c r="A19318" i="1"/>
  <c r="C19318" i="1"/>
  <c r="A19319" i="1"/>
  <c r="C19319" i="1"/>
  <c r="A19320" i="1"/>
  <c r="C19320" i="1"/>
  <c r="A19321" i="1"/>
  <c r="C19321" i="1"/>
  <c r="A19322" i="1"/>
  <c r="C19322" i="1"/>
  <c r="A19323" i="1"/>
  <c r="C19323" i="1"/>
  <c r="A19324" i="1"/>
  <c r="C19324" i="1"/>
  <c r="A19325" i="1"/>
  <c r="C19325" i="1"/>
  <c r="A19326" i="1"/>
  <c r="C19326" i="1"/>
  <c r="A19327" i="1"/>
  <c r="C19327" i="1"/>
  <c r="A19328" i="1"/>
  <c r="C19328" i="1"/>
  <c r="A19329" i="1"/>
  <c r="C19329" i="1"/>
  <c r="A19330" i="1"/>
  <c r="C19330" i="1"/>
  <c r="A19331" i="1"/>
  <c r="C19331" i="1"/>
  <c r="A19332" i="1"/>
  <c r="C19332" i="1"/>
  <c r="A19333" i="1"/>
  <c r="C19333" i="1"/>
  <c r="A19334" i="1"/>
  <c r="C19334" i="1"/>
  <c r="A19335" i="1"/>
  <c r="C19335" i="1"/>
  <c r="A19336" i="1"/>
  <c r="C19336" i="1"/>
  <c r="A19337" i="1"/>
  <c r="C19337" i="1"/>
  <c r="A19338" i="1"/>
  <c r="C19338" i="1"/>
  <c r="A19339" i="1"/>
  <c r="C19339" i="1"/>
  <c r="A19340" i="1"/>
  <c r="C19340" i="1"/>
  <c r="A19341" i="1"/>
  <c r="C19341" i="1"/>
  <c r="A19342" i="1"/>
  <c r="C19342" i="1"/>
  <c r="A19343" i="1"/>
  <c r="C19343" i="1"/>
  <c r="A19344" i="1"/>
  <c r="C19344" i="1"/>
  <c r="A19345" i="1"/>
  <c r="C19345" i="1"/>
  <c r="A19346" i="1"/>
  <c r="C19346" i="1"/>
  <c r="A19347" i="1"/>
  <c r="C19347" i="1"/>
  <c r="A19348" i="1"/>
  <c r="C19348" i="1"/>
  <c r="A19349" i="1"/>
  <c r="C19349" i="1"/>
  <c r="A19350" i="1"/>
  <c r="C19350" i="1"/>
  <c r="A19351" i="1"/>
  <c r="C19351" i="1"/>
  <c r="A19352" i="1"/>
  <c r="C19352" i="1"/>
  <c r="A19353" i="1"/>
  <c r="C19353" i="1"/>
  <c r="A19354" i="1"/>
  <c r="C19354" i="1"/>
  <c r="A19355" i="1"/>
  <c r="C19355" i="1"/>
  <c r="A19356" i="1"/>
  <c r="C19356" i="1"/>
  <c r="A19357" i="1"/>
  <c r="C19357" i="1"/>
  <c r="A19358" i="1"/>
  <c r="C19358" i="1"/>
  <c r="A19359" i="1"/>
  <c r="C19359" i="1"/>
  <c r="A19360" i="1"/>
  <c r="C19360" i="1"/>
  <c r="A19361" i="1"/>
  <c r="C19361" i="1"/>
  <c r="A19362" i="1"/>
  <c r="C19362" i="1"/>
  <c r="A19363" i="1"/>
  <c r="C19363" i="1"/>
  <c r="A19364" i="1"/>
  <c r="C19364" i="1"/>
  <c r="A19365" i="1"/>
  <c r="C19365" i="1"/>
  <c r="A19366" i="1"/>
  <c r="C19366" i="1"/>
  <c r="A19367" i="1"/>
  <c r="C19367" i="1"/>
  <c r="A19368" i="1"/>
  <c r="C19368" i="1"/>
  <c r="A19369" i="1"/>
  <c r="C19369" i="1"/>
  <c r="A19370" i="1"/>
  <c r="C19370" i="1"/>
  <c r="A19371" i="1"/>
  <c r="C19371" i="1"/>
  <c r="A19372" i="1"/>
  <c r="C19372" i="1"/>
  <c r="A19373" i="1"/>
  <c r="C19373" i="1"/>
  <c r="A19374" i="1"/>
  <c r="C19374" i="1"/>
  <c r="A19375" i="1"/>
  <c r="C19375" i="1"/>
  <c r="A19376" i="1"/>
  <c r="C19376" i="1"/>
  <c r="A19377" i="1"/>
  <c r="C19377" i="1"/>
  <c r="A19378" i="1"/>
  <c r="C19378" i="1"/>
  <c r="A19379" i="1"/>
  <c r="C19379" i="1"/>
  <c r="A19380" i="1"/>
  <c r="C19380" i="1"/>
  <c r="A19381" i="1"/>
  <c r="C19381" i="1"/>
  <c r="A19382" i="1"/>
  <c r="C19382" i="1"/>
  <c r="A19383" i="1"/>
  <c r="C19383" i="1"/>
  <c r="A19384" i="1"/>
  <c r="C19384" i="1"/>
  <c r="A19385" i="1"/>
  <c r="C19385" i="1"/>
  <c r="A19386" i="1"/>
  <c r="C19386" i="1"/>
  <c r="A19387" i="1"/>
  <c r="C19387" i="1"/>
  <c r="A19388" i="1"/>
  <c r="C19388" i="1"/>
  <c r="A19389" i="1"/>
  <c r="C19389" i="1"/>
  <c r="A19390" i="1"/>
  <c r="C19390" i="1"/>
  <c r="A19391" i="1"/>
  <c r="C19391" i="1"/>
  <c r="A19392" i="1"/>
  <c r="C19392" i="1"/>
  <c r="A19393" i="1"/>
  <c r="C19393" i="1"/>
  <c r="A19394" i="1"/>
  <c r="C19394" i="1"/>
  <c r="A19395" i="1"/>
  <c r="C19395" i="1"/>
  <c r="A19396" i="1"/>
  <c r="C19396" i="1"/>
  <c r="A19397" i="1"/>
  <c r="C19397" i="1"/>
  <c r="A19398" i="1"/>
  <c r="C19398" i="1"/>
  <c r="A19399" i="1"/>
  <c r="C19399" i="1"/>
  <c r="A19400" i="1"/>
  <c r="C19400" i="1"/>
  <c r="A19401" i="1"/>
  <c r="C19401" i="1"/>
  <c r="A19402" i="1"/>
  <c r="C19402" i="1"/>
  <c r="A19403" i="1"/>
  <c r="C19403" i="1"/>
  <c r="A19404" i="1"/>
  <c r="C19404" i="1"/>
  <c r="A19405" i="1"/>
  <c r="C19405" i="1"/>
  <c r="A19406" i="1"/>
  <c r="C19406" i="1"/>
  <c r="A19407" i="1"/>
  <c r="C19407" i="1"/>
  <c r="A19408" i="1"/>
  <c r="C19408" i="1"/>
  <c r="A19409" i="1"/>
  <c r="C19409" i="1"/>
  <c r="A19410" i="1"/>
  <c r="C19410" i="1"/>
  <c r="A19411" i="1"/>
  <c r="C19411" i="1"/>
  <c r="A19412" i="1"/>
  <c r="C19412" i="1"/>
  <c r="A19413" i="1"/>
  <c r="C19413" i="1"/>
  <c r="A19414" i="1"/>
  <c r="C19414" i="1"/>
  <c r="A19415" i="1"/>
  <c r="C19415" i="1"/>
  <c r="A19416" i="1"/>
  <c r="C19416" i="1"/>
  <c r="A19417" i="1"/>
  <c r="C19417" i="1"/>
  <c r="A19418" i="1"/>
  <c r="C19418" i="1"/>
  <c r="A19419" i="1"/>
  <c r="C19419" i="1"/>
  <c r="A19420" i="1"/>
  <c r="C19420" i="1"/>
  <c r="A19421" i="1"/>
  <c r="C19421" i="1"/>
  <c r="A19422" i="1"/>
  <c r="C19422" i="1"/>
  <c r="A19423" i="1"/>
  <c r="C19423" i="1"/>
  <c r="A19424" i="1"/>
  <c r="C19424" i="1"/>
  <c r="A19425" i="1"/>
  <c r="C19425" i="1"/>
  <c r="A19426" i="1"/>
  <c r="C19426" i="1"/>
  <c r="A19427" i="1"/>
  <c r="C19427" i="1"/>
  <c r="A19428" i="1"/>
  <c r="C19428" i="1"/>
  <c r="A19429" i="1"/>
  <c r="C19429" i="1"/>
  <c r="A19430" i="1"/>
  <c r="C19430" i="1"/>
  <c r="A19431" i="1"/>
  <c r="C19431" i="1"/>
  <c r="A19432" i="1"/>
  <c r="C19432" i="1"/>
  <c r="A19433" i="1"/>
  <c r="C19433" i="1"/>
  <c r="A19434" i="1"/>
  <c r="C19434" i="1"/>
  <c r="A19435" i="1"/>
  <c r="C19435" i="1"/>
  <c r="A19436" i="1"/>
  <c r="C19436" i="1"/>
  <c r="A19437" i="1"/>
  <c r="C19437" i="1"/>
  <c r="A19438" i="1"/>
  <c r="C19438" i="1"/>
  <c r="A19439" i="1"/>
  <c r="C19439" i="1"/>
  <c r="A19440" i="1"/>
  <c r="C19440" i="1"/>
  <c r="A19441" i="1"/>
  <c r="C19441" i="1"/>
  <c r="A19442" i="1"/>
  <c r="C19442" i="1"/>
  <c r="A19443" i="1"/>
  <c r="C19443" i="1"/>
  <c r="A19444" i="1"/>
  <c r="C19444" i="1"/>
  <c r="A19445" i="1"/>
  <c r="C19445" i="1"/>
  <c r="A19446" i="1"/>
  <c r="C19446" i="1"/>
  <c r="A19447" i="1"/>
  <c r="C19447" i="1"/>
  <c r="A19448" i="1"/>
  <c r="C19448" i="1"/>
  <c r="A19449" i="1"/>
  <c r="C19449" i="1"/>
  <c r="A19450" i="1"/>
  <c r="C19450" i="1"/>
  <c r="A19451" i="1"/>
  <c r="C19451" i="1"/>
  <c r="A19452" i="1"/>
  <c r="C19452" i="1"/>
  <c r="A19453" i="1"/>
  <c r="C19453" i="1"/>
  <c r="A19454" i="1"/>
  <c r="C19454" i="1"/>
  <c r="A19455" i="1"/>
  <c r="C19455" i="1"/>
  <c r="A19456" i="1"/>
  <c r="C19456" i="1"/>
  <c r="A19457" i="1"/>
  <c r="C19457" i="1"/>
  <c r="A19458" i="1"/>
  <c r="C19458" i="1"/>
  <c r="A19459" i="1"/>
  <c r="C19459" i="1"/>
  <c r="A19460" i="1"/>
  <c r="C19460" i="1"/>
  <c r="A19461" i="1"/>
  <c r="C19461" i="1"/>
  <c r="A19462" i="1"/>
  <c r="C19462" i="1"/>
  <c r="A19463" i="1"/>
  <c r="C19463" i="1"/>
  <c r="A19464" i="1"/>
  <c r="C19464" i="1"/>
  <c r="A19465" i="1"/>
  <c r="C19465" i="1"/>
  <c r="A19466" i="1"/>
  <c r="C19466" i="1"/>
  <c r="A19467" i="1"/>
  <c r="C19467" i="1"/>
  <c r="A19468" i="1"/>
  <c r="C19468" i="1"/>
  <c r="A19469" i="1"/>
  <c r="C19469" i="1"/>
  <c r="A19470" i="1"/>
  <c r="C19470" i="1"/>
  <c r="A19471" i="1"/>
  <c r="C19471" i="1"/>
  <c r="A19472" i="1"/>
  <c r="C19472" i="1"/>
  <c r="A19473" i="1"/>
  <c r="C19473" i="1"/>
  <c r="A19474" i="1"/>
  <c r="C19474" i="1"/>
  <c r="A19475" i="1"/>
  <c r="C19475" i="1"/>
  <c r="A19476" i="1"/>
  <c r="C19476" i="1"/>
  <c r="A19477" i="1"/>
  <c r="C19477" i="1"/>
  <c r="A19478" i="1"/>
  <c r="C19478" i="1"/>
  <c r="A19479" i="1"/>
  <c r="C19479" i="1"/>
  <c r="A19480" i="1"/>
  <c r="C19480" i="1"/>
  <c r="A19481" i="1"/>
  <c r="C19481" i="1"/>
  <c r="A19482" i="1"/>
  <c r="C19482" i="1"/>
  <c r="A19483" i="1"/>
  <c r="C19483" i="1"/>
  <c r="A19484" i="1"/>
  <c r="C19484" i="1"/>
  <c r="A19485" i="1"/>
  <c r="C19485" i="1"/>
  <c r="A19486" i="1"/>
  <c r="C19486" i="1"/>
  <c r="A19487" i="1"/>
  <c r="C19487" i="1"/>
  <c r="A19488" i="1"/>
  <c r="C19488" i="1"/>
  <c r="A19489" i="1"/>
  <c r="C19489" i="1"/>
  <c r="A19490" i="1"/>
  <c r="C19490" i="1"/>
  <c r="A19491" i="1"/>
  <c r="C19491" i="1"/>
  <c r="A19492" i="1"/>
  <c r="C19492" i="1"/>
  <c r="A19493" i="1"/>
  <c r="C19493" i="1"/>
  <c r="A19494" i="1"/>
  <c r="C19494" i="1"/>
  <c r="A19495" i="1"/>
  <c r="C19495" i="1"/>
  <c r="A19496" i="1"/>
  <c r="C19496" i="1"/>
  <c r="A19497" i="1"/>
  <c r="C19497" i="1"/>
  <c r="A19498" i="1"/>
  <c r="C19498" i="1"/>
  <c r="A19499" i="1"/>
  <c r="C19499" i="1"/>
  <c r="A19500" i="1"/>
  <c r="C19500" i="1"/>
  <c r="A19501" i="1"/>
  <c r="C19501" i="1"/>
  <c r="A19502" i="1"/>
  <c r="C19502" i="1"/>
  <c r="A19503" i="1"/>
  <c r="C19503" i="1"/>
  <c r="A19504" i="1"/>
  <c r="C19504" i="1"/>
  <c r="A19505" i="1"/>
  <c r="C19505" i="1"/>
  <c r="A19506" i="1"/>
  <c r="C19506" i="1"/>
  <c r="A19507" i="1"/>
  <c r="C19507" i="1"/>
  <c r="A19508" i="1"/>
  <c r="C19508" i="1"/>
  <c r="A19509" i="1"/>
  <c r="C19509" i="1"/>
  <c r="A19510" i="1"/>
  <c r="C19510" i="1"/>
  <c r="A19511" i="1"/>
  <c r="C19511" i="1"/>
  <c r="A19512" i="1"/>
  <c r="C19512" i="1"/>
  <c r="A19513" i="1"/>
  <c r="C19513" i="1"/>
  <c r="A19514" i="1"/>
  <c r="C19514" i="1"/>
  <c r="A19515" i="1"/>
  <c r="C19515" i="1"/>
  <c r="A19516" i="1"/>
  <c r="C19516" i="1"/>
  <c r="A19517" i="1"/>
  <c r="C19517" i="1"/>
  <c r="A19518" i="1"/>
  <c r="C19518" i="1"/>
  <c r="A19519" i="1"/>
  <c r="C19519" i="1"/>
  <c r="A19520" i="1"/>
  <c r="C19520" i="1"/>
  <c r="A19521" i="1"/>
  <c r="C19521" i="1"/>
  <c r="A19522" i="1"/>
  <c r="C19522" i="1"/>
  <c r="A19523" i="1"/>
  <c r="C19523" i="1"/>
  <c r="A19524" i="1"/>
  <c r="C19524" i="1"/>
  <c r="A19525" i="1"/>
  <c r="C19525" i="1"/>
  <c r="A19526" i="1"/>
  <c r="C19526" i="1"/>
  <c r="A19527" i="1"/>
  <c r="C19527" i="1"/>
  <c r="A19528" i="1"/>
  <c r="C19528" i="1"/>
  <c r="A19529" i="1"/>
  <c r="C19529" i="1"/>
  <c r="A19530" i="1"/>
  <c r="C19530" i="1"/>
  <c r="A19531" i="1"/>
  <c r="C19531" i="1"/>
  <c r="A19532" i="1"/>
  <c r="C19532" i="1"/>
  <c r="A19533" i="1"/>
  <c r="C19533" i="1"/>
  <c r="A19534" i="1"/>
  <c r="C19534" i="1"/>
  <c r="A19535" i="1"/>
  <c r="C19535" i="1"/>
  <c r="A19536" i="1"/>
  <c r="C19536" i="1"/>
  <c r="A19537" i="1"/>
  <c r="C19537" i="1"/>
  <c r="A19538" i="1"/>
  <c r="C19538" i="1"/>
  <c r="A19539" i="1"/>
  <c r="C19539" i="1"/>
  <c r="A19540" i="1"/>
  <c r="C19540" i="1"/>
  <c r="A19541" i="1"/>
  <c r="C19541" i="1"/>
  <c r="A19542" i="1"/>
  <c r="C19542" i="1"/>
  <c r="A19543" i="1"/>
  <c r="C19543" i="1"/>
  <c r="A19544" i="1"/>
  <c r="C19544" i="1"/>
  <c r="A19545" i="1"/>
  <c r="C19545" i="1"/>
  <c r="A19546" i="1"/>
  <c r="C19546" i="1"/>
  <c r="A19547" i="1"/>
  <c r="C19547" i="1"/>
  <c r="A19548" i="1"/>
  <c r="C19548" i="1"/>
  <c r="A19549" i="1"/>
  <c r="C19549" i="1"/>
  <c r="A19550" i="1"/>
  <c r="C19550" i="1"/>
  <c r="A19551" i="1"/>
  <c r="C19551" i="1"/>
  <c r="A19552" i="1"/>
  <c r="C19552" i="1"/>
  <c r="A19553" i="1"/>
  <c r="C19553" i="1"/>
  <c r="A19554" i="1"/>
  <c r="C19554" i="1"/>
  <c r="A19555" i="1"/>
  <c r="C19555" i="1"/>
  <c r="A19556" i="1"/>
  <c r="C19556" i="1"/>
  <c r="A19557" i="1"/>
  <c r="C19557" i="1"/>
  <c r="A19558" i="1"/>
  <c r="C19558" i="1"/>
  <c r="A19559" i="1"/>
  <c r="C19559" i="1"/>
  <c r="A19560" i="1"/>
  <c r="C19560" i="1"/>
  <c r="A19561" i="1"/>
  <c r="C19561" i="1"/>
  <c r="A19562" i="1"/>
  <c r="C19562" i="1"/>
  <c r="A19563" i="1"/>
  <c r="C19563" i="1"/>
  <c r="A19564" i="1"/>
  <c r="C19564" i="1"/>
  <c r="A19565" i="1"/>
  <c r="C19565" i="1"/>
  <c r="A19566" i="1"/>
  <c r="C19566" i="1"/>
  <c r="A19567" i="1"/>
  <c r="C19567" i="1"/>
  <c r="A19568" i="1"/>
  <c r="C19568" i="1"/>
  <c r="A19569" i="1"/>
  <c r="C19569" i="1"/>
  <c r="A19570" i="1"/>
  <c r="C19570" i="1"/>
  <c r="A19571" i="1"/>
  <c r="C19571" i="1"/>
  <c r="A19572" i="1"/>
  <c r="C19572" i="1"/>
  <c r="A19573" i="1"/>
  <c r="C19573" i="1"/>
  <c r="A19574" i="1"/>
  <c r="C19574" i="1"/>
  <c r="A19575" i="1"/>
  <c r="C19575" i="1"/>
  <c r="A19576" i="1"/>
  <c r="C19576" i="1"/>
  <c r="A19577" i="1"/>
  <c r="C19577" i="1"/>
  <c r="A19578" i="1"/>
  <c r="C19578" i="1"/>
  <c r="A19579" i="1"/>
  <c r="C19579" i="1"/>
  <c r="A19580" i="1"/>
  <c r="C19580" i="1"/>
  <c r="A19581" i="1"/>
  <c r="C19581" i="1"/>
  <c r="A19582" i="1"/>
  <c r="C19582" i="1"/>
  <c r="A19583" i="1"/>
  <c r="C19583" i="1"/>
  <c r="A19584" i="1"/>
  <c r="C19584" i="1"/>
  <c r="A19585" i="1"/>
  <c r="C19585" i="1"/>
  <c r="A19586" i="1"/>
  <c r="C19586" i="1"/>
  <c r="A19587" i="1"/>
  <c r="C19587" i="1"/>
  <c r="A19588" i="1"/>
  <c r="C19588" i="1"/>
  <c r="A19589" i="1"/>
  <c r="C19589" i="1"/>
  <c r="A19590" i="1"/>
  <c r="C19590" i="1"/>
  <c r="A19591" i="1"/>
  <c r="C19591" i="1"/>
  <c r="A19592" i="1"/>
  <c r="C19592" i="1"/>
  <c r="A19593" i="1"/>
  <c r="C19593" i="1"/>
  <c r="A19594" i="1"/>
  <c r="C19594" i="1"/>
  <c r="A19595" i="1"/>
  <c r="C19595" i="1"/>
  <c r="A19596" i="1"/>
  <c r="C19596" i="1"/>
  <c r="A19597" i="1"/>
  <c r="C19597" i="1"/>
  <c r="A19598" i="1"/>
  <c r="C19598" i="1"/>
  <c r="A19599" i="1"/>
  <c r="C19599" i="1"/>
  <c r="A19600" i="1"/>
  <c r="C19600" i="1"/>
  <c r="A19601" i="1"/>
  <c r="C19601" i="1"/>
  <c r="A19602" i="1"/>
  <c r="C19602" i="1"/>
  <c r="A19603" i="1"/>
  <c r="C19603" i="1"/>
  <c r="A19604" i="1"/>
  <c r="C19604" i="1"/>
  <c r="A19605" i="1"/>
  <c r="C19605" i="1"/>
  <c r="A19606" i="1"/>
  <c r="C19606" i="1"/>
  <c r="A19607" i="1"/>
  <c r="C19607" i="1"/>
  <c r="A19608" i="1"/>
  <c r="C19608" i="1"/>
  <c r="A19609" i="1"/>
  <c r="C19609" i="1"/>
  <c r="A19610" i="1"/>
  <c r="C19610" i="1"/>
  <c r="A19611" i="1"/>
  <c r="C19611" i="1"/>
  <c r="A19612" i="1"/>
  <c r="C19612" i="1"/>
  <c r="A19613" i="1"/>
  <c r="C19613" i="1"/>
  <c r="A19614" i="1"/>
  <c r="C19614" i="1"/>
  <c r="A19615" i="1"/>
  <c r="C19615" i="1"/>
  <c r="A19616" i="1"/>
  <c r="C19616" i="1"/>
  <c r="A19617" i="1"/>
  <c r="C19617" i="1"/>
  <c r="A19618" i="1"/>
  <c r="C19618" i="1"/>
  <c r="A19619" i="1"/>
  <c r="C19619" i="1"/>
  <c r="A19620" i="1"/>
  <c r="C19620" i="1"/>
  <c r="A19621" i="1"/>
  <c r="C19621" i="1"/>
  <c r="A19622" i="1"/>
  <c r="C19622" i="1"/>
  <c r="A19623" i="1"/>
  <c r="C19623" i="1"/>
  <c r="A19624" i="1"/>
  <c r="C19624" i="1"/>
  <c r="A19625" i="1"/>
  <c r="C19625" i="1"/>
  <c r="A19626" i="1"/>
  <c r="C19626" i="1"/>
  <c r="A19627" i="1"/>
  <c r="C19627" i="1"/>
  <c r="A19628" i="1"/>
  <c r="C19628" i="1"/>
  <c r="A19629" i="1"/>
  <c r="C19629" i="1"/>
  <c r="A19630" i="1"/>
  <c r="C19630" i="1"/>
  <c r="A19631" i="1"/>
  <c r="C19631" i="1"/>
  <c r="A19632" i="1"/>
  <c r="C19632" i="1"/>
  <c r="A19633" i="1"/>
  <c r="C19633" i="1"/>
  <c r="A19634" i="1"/>
  <c r="C19634" i="1"/>
  <c r="A19635" i="1"/>
  <c r="C19635" i="1"/>
  <c r="A19636" i="1"/>
  <c r="C19636" i="1"/>
  <c r="A19637" i="1"/>
  <c r="C19637" i="1"/>
  <c r="A19638" i="1"/>
  <c r="C19638" i="1"/>
  <c r="A19639" i="1"/>
  <c r="C19639" i="1"/>
  <c r="A19640" i="1"/>
  <c r="C19640" i="1"/>
  <c r="A19641" i="1"/>
  <c r="C19641" i="1"/>
  <c r="A19642" i="1"/>
  <c r="C19642" i="1"/>
  <c r="A19643" i="1"/>
  <c r="C19643" i="1"/>
  <c r="A19644" i="1"/>
  <c r="C19644" i="1"/>
  <c r="A19645" i="1"/>
  <c r="C19645" i="1"/>
  <c r="A19646" i="1"/>
  <c r="C19646" i="1"/>
  <c r="A19647" i="1"/>
  <c r="C19647" i="1"/>
  <c r="A19648" i="1"/>
  <c r="C19648" i="1"/>
  <c r="A19649" i="1"/>
  <c r="C19649" i="1"/>
  <c r="A19650" i="1"/>
  <c r="C19650" i="1"/>
  <c r="A19651" i="1"/>
  <c r="C19651" i="1"/>
  <c r="A19652" i="1"/>
  <c r="C19652" i="1"/>
  <c r="A19653" i="1"/>
  <c r="C19653" i="1"/>
  <c r="A19654" i="1"/>
  <c r="C19654" i="1"/>
  <c r="A19655" i="1"/>
  <c r="C19655" i="1"/>
  <c r="A19656" i="1"/>
  <c r="C19656" i="1"/>
  <c r="A19657" i="1"/>
  <c r="C19657" i="1"/>
  <c r="A19658" i="1"/>
  <c r="C19658" i="1"/>
  <c r="A19659" i="1"/>
  <c r="C19659" i="1"/>
  <c r="A19660" i="1"/>
  <c r="C19660" i="1"/>
  <c r="A19661" i="1"/>
  <c r="C19661" i="1"/>
  <c r="A19662" i="1"/>
  <c r="C19662" i="1"/>
  <c r="A19663" i="1"/>
  <c r="C19663" i="1"/>
  <c r="A19664" i="1"/>
  <c r="C19664" i="1"/>
  <c r="A19665" i="1"/>
  <c r="C19665" i="1"/>
  <c r="A19666" i="1"/>
  <c r="C19666" i="1"/>
  <c r="A19667" i="1"/>
  <c r="C19667" i="1"/>
  <c r="A19668" i="1"/>
  <c r="C19668" i="1"/>
  <c r="A19669" i="1"/>
  <c r="C19669" i="1"/>
  <c r="A19670" i="1"/>
  <c r="C19670" i="1"/>
  <c r="A19671" i="1"/>
  <c r="C19671" i="1"/>
  <c r="A19672" i="1"/>
  <c r="C19672" i="1"/>
  <c r="A19673" i="1"/>
  <c r="C19673" i="1"/>
  <c r="A19674" i="1"/>
  <c r="C19674" i="1"/>
  <c r="A19675" i="1"/>
  <c r="C19675" i="1"/>
  <c r="A19676" i="1"/>
  <c r="C19676" i="1"/>
  <c r="A19677" i="1"/>
  <c r="C19677" i="1"/>
  <c r="A19678" i="1"/>
  <c r="C19678" i="1"/>
  <c r="A19679" i="1"/>
  <c r="C19679" i="1"/>
  <c r="A19680" i="1"/>
  <c r="C19680" i="1"/>
  <c r="A19681" i="1"/>
  <c r="C19681" i="1"/>
  <c r="A19682" i="1"/>
  <c r="C19682" i="1"/>
  <c r="A19683" i="1"/>
  <c r="C19683" i="1"/>
  <c r="A19684" i="1"/>
  <c r="C19684" i="1"/>
  <c r="A19685" i="1"/>
  <c r="C19685" i="1"/>
  <c r="A19686" i="1"/>
  <c r="C19686" i="1"/>
  <c r="A19687" i="1"/>
  <c r="C19687" i="1"/>
  <c r="A19688" i="1"/>
  <c r="C19688" i="1"/>
  <c r="A19689" i="1"/>
  <c r="C19689" i="1"/>
  <c r="A19690" i="1"/>
  <c r="C19690" i="1"/>
  <c r="A19691" i="1"/>
  <c r="C19691" i="1"/>
  <c r="A19692" i="1"/>
  <c r="C19692" i="1"/>
  <c r="A19693" i="1"/>
  <c r="C19693" i="1"/>
  <c r="A19694" i="1"/>
  <c r="C19694" i="1"/>
  <c r="A19695" i="1"/>
  <c r="C19695" i="1"/>
  <c r="A19696" i="1"/>
  <c r="C19696" i="1"/>
  <c r="A19697" i="1"/>
  <c r="C19697" i="1"/>
  <c r="A19698" i="1"/>
  <c r="C19698" i="1"/>
  <c r="A19699" i="1"/>
  <c r="C19699" i="1"/>
  <c r="A19700" i="1"/>
  <c r="C19700" i="1"/>
  <c r="A19701" i="1"/>
  <c r="C19701" i="1"/>
  <c r="A19702" i="1"/>
  <c r="C19702" i="1"/>
  <c r="A19703" i="1"/>
  <c r="C19703" i="1"/>
  <c r="A19704" i="1"/>
  <c r="C19704" i="1"/>
  <c r="A19705" i="1"/>
  <c r="C19705" i="1"/>
  <c r="A19706" i="1"/>
  <c r="C19706" i="1"/>
  <c r="A19707" i="1"/>
  <c r="C19707" i="1"/>
  <c r="A19708" i="1"/>
  <c r="C19708" i="1"/>
  <c r="A19709" i="1"/>
  <c r="C19709" i="1"/>
  <c r="A19710" i="1"/>
  <c r="C19710" i="1"/>
  <c r="A19711" i="1"/>
  <c r="C19711" i="1"/>
  <c r="A19712" i="1"/>
  <c r="C19712" i="1"/>
  <c r="A19713" i="1"/>
  <c r="C19713" i="1"/>
  <c r="A19714" i="1"/>
  <c r="C19714" i="1"/>
  <c r="A19715" i="1"/>
  <c r="C19715" i="1"/>
  <c r="A19716" i="1"/>
  <c r="C19716" i="1"/>
  <c r="A19717" i="1"/>
  <c r="C19717" i="1"/>
  <c r="A19718" i="1"/>
  <c r="C19718" i="1"/>
  <c r="A19719" i="1"/>
  <c r="C19719" i="1"/>
  <c r="A19720" i="1"/>
  <c r="C19720" i="1"/>
  <c r="A19721" i="1"/>
  <c r="C19721" i="1"/>
  <c r="A19722" i="1"/>
  <c r="C19722" i="1"/>
  <c r="A19723" i="1"/>
  <c r="C19723" i="1"/>
  <c r="A19724" i="1"/>
  <c r="C19724" i="1"/>
  <c r="A19725" i="1"/>
  <c r="C19725" i="1"/>
  <c r="A19726" i="1"/>
  <c r="C19726" i="1"/>
  <c r="A19727" i="1"/>
  <c r="C19727" i="1"/>
  <c r="A19728" i="1"/>
  <c r="C19728" i="1"/>
  <c r="A19729" i="1"/>
  <c r="C19729" i="1"/>
  <c r="A19730" i="1"/>
  <c r="C19730" i="1"/>
  <c r="A19731" i="1"/>
  <c r="C19731" i="1"/>
  <c r="A19732" i="1"/>
  <c r="C19732" i="1"/>
  <c r="A19733" i="1"/>
  <c r="C19733" i="1"/>
  <c r="A19734" i="1"/>
  <c r="C19734" i="1"/>
  <c r="A19735" i="1"/>
  <c r="C19735" i="1"/>
  <c r="A19736" i="1"/>
  <c r="C19736" i="1"/>
  <c r="A19737" i="1"/>
  <c r="C19737" i="1"/>
  <c r="A19738" i="1"/>
  <c r="C19738" i="1"/>
  <c r="A19739" i="1"/>
  <c r="C19739" i="1"/>
  <c r="A19740" i="1"/>
  <c r="C19740" i="1"/>
  <c r="A19741" i="1"/>
  <c r="C19741" i="1"/>
  <c r="A19742" i="1"/>
  <c r="C19742" i="1"/>
  <c r="A19743" i="1"/>
  <c r="C19743" i="1"/>
  <c r="A19744" i="1"/>
  <c r="C19744" i="1"/>
  <c r="A19745" i="1"/>
  <c r="C19745" i="1"/>
  <c r="A19746" i="1"/>
  <c r="C19746" i="1"/>
  <c r="A19747" i="1"/>
  <c r="C19747" i="1"/>
  <c r="A19748" i="1"/>
  <c r="C19748" i="1"/>
  <c r="A19749" i="1"/>
  <c r="C19749" i="1"/>
  <c r="A19750" i="1"/>
  <c r="C19750" i="1"/>
  <c r="A19751" i="1"/>
  <c r="C19751" i="1"/>
  <c r="A19752" i="1"/>
  <c r="C19752" i="1"/>
  <c r="A19753" i="1"/>
  <c r="C19753" i="1"/>
  <c r="A19754" i="1"/>
  <c r="C19754" i="1"/>
  <c r="A19755" i="1"/>
  <c r="C19755" i="1"/>
  <c r="A19756" i="1"/>
  <c r="C19756" i="1"/>
  <c r="A19757" i="1"/>
  <c r="C19757" i="1"/>
  <c r="A19758" i="1"/>
  <c r="C19758" i="1"/>
  <c r="A19759" i="1"/>
  <c r="C19759" i="1"/>
  <c r="A19760" i="1"/>
  <c r="C19760" i="1"/>
  <c r="A19761" i="1"/>
  <c r="C19761" i="1"/>
  <c r="A19762" i="1"/>
  <c r="C19762" i="1"/>
  <c r="A19763" i="1"/>
  <c r="C19763" i="1"/>
  <c r="A19764" i="1"/>
  <c r="C19764" i="1"/>
  <c r="A19765" i="1"/>
  <c r="C19765" i="1"/>
  <c r="A19766" i="1"/>
  <c r="C19766" i="1"/>
  <c r="A19767" i="1"/>
  <c r="C19767" i="1"/>
  <c r="A19768" i="1"/>
  <c r="C19768" i="1"/>
  <c r="A19769" i="1"/>
  <c r="C19769" i="1"/>
  <c r="A19770" i="1"/>
  <c r="C19770" i="1"/>
  <c r="A19771" i="1"/>
  <c r="C19771" i="1"/>
  <c r="A19772" i="1"/>
  <c r="C19772" i="1"/>
  <c r="A19773" i="1"/>
  <c r="C19773" i="1"/>
  <c r="A19774" i="1"/>
  <c r="C19774" i="1"/>
  <c r="A19775" i="1"/>
  <c r="C19775" i="1"/>
  <c r="A19776" i="1"/>
  <c r="C19776" i="1"/>
  <c r="A19777" i="1"/>
  <c r="C19777" i="1"/>
  <c r="A19778" i="1"/>
  <c r="C19778" i="1"/>
  <c r="A19779" i="1"/>
  <c r="C19779" i="1"/>
  <c r="A19780" i="1"/>
  <c r="C19780" i="1"/>
  <c r="A19781" i="1"/>
  <c r="C19781" i="1"/>
  <c r="A19782" i="1"/>
  <c r="C19782" i="1"/>
  <c r="A19783" i="1"/>
  <c r="C19783" i="1"/>
  <c r="A19784" i="1"/>
  <c r="C19784" i="1"/>
  <c r="A19785" i="1"/>
  <c r="C19785" i="1"/>
  <c r="A19786" i="1"/>
  <c r="C19786" i="1"/>
  <c r="A19787" i="1"/>
  <c r="C19787" i="1"/>
  <c r="A19788" i="1"/>
  <c r="C19788" i="1"/>
  <c r="A19789" i="1"/>
  <c r="C19789" i="1"/>
  <c r="A19790" i="1"/>
  <c r="C19790" i="1"/>
  <c r="A19791" i="1"/>
  <c r="C19791" i="1"/>
  <c r="A19792" i="1"/>
  <c r="C19792" i="1"/>
  <c r="A19793" i="1"/>
  <c r="C19793" i="1"/>
  <c r="A19794" i="1"/>
  <c r="C19794" i="1"/>
  <c r="A19795" i="1"/>
  <c r="C19795" i="1"/>
  <c r="A19796" i="1"/>
  <c r="C19796" i="1"/>
  <c r="A19797" i="1"/>
  <c r="C19797" i="1"/>
  <c r="A19798" i="1"/>
  <c r="C19798" i="1"/>
  <c r="A19799" i="1"/>
  <c r="C19799" i="1"/>
  <c r="A19800" i="1"/>
  <c r="C19800" i="1"/>
  <c r="A19801" i="1"/>
  <c r="C19801" i="1"/>
  <c r="A19802" i="1"/>
  <c r="C19802" i="1"/>
  <c r="A19803" i="1"/>
  <c r="C19803" i="1"/>
  <c r="A19804" i="1"/>
  <c r="C19804" i="1"/>
  <c r="A19805" i="1"/>
  <c r="C19805" i="1"/>
  <c r="A19806" i="1"/>
  <c r="C19806" i="1"/>
  <c r="A19807" i="1"/>
  <c r="C19807" i="1"/>
  <c r="A19808" i="1"/>
  <c r="C19808" i="1"/>
  <c r="A19809" i="1"/>
  <c r="C19809" i="1"/>
  <c r="A19810" i="1"/>
  <c r="C19810" i="1"/>
  <c r="A19811" i="1"/>
  <c r="C19811" i="1"/>
  <c r="A19812" i="1"/>
  <c r="C19812" i="1"/>
  <c r="A19813" i="1"/>
  <c r="C19813" i="1"/>
  <c r="A19814" i="1"/>
  <c r="C19814" i="1"/>
  <c r="A19815" i="1"/>
  <c r="C19815" i="1"/>
  <c r="A19816" i="1"/>
  <c r="C19816" i="1"/>
  <c r="A19817" i="1"/>
  <c r="C19817" i="1"/>
  <c r="A19818" i="1"/>
  <c r="C19818" i="1"/>
  <c r="A19819" i="1"/>
  <c r="C19819" i="1"/>
  <c r="A19820" i="1"/>
  <c r="C19820" i="1"/>
  <c r="A19821" i="1"/>
  <c r="C19821" i="1"/>
  <c r="A19822" i="1"/>
  <c r="C19822" i="1"/>
  <c r="A19823" i="1"/>
  <c r="C19823" i="1"/>
  <c r="A19824" i="1"/>
  <c r="C19824" i="1"/>
  <c r="A19825" i="1"/>
  <c r="C19825" i="1"/>
  <c r="A19826" i="1"/>
  <c r="C19826" i="1"/>
  <c r="A19827" i="1"/>
  <c r="C19827" i="1"/>
  <c r="A19828" i="1"/>
  <c r="C19828" i="1"/>
  <c r="A19829" i="1"/>
  <c r="C19829" i="1"/>
  <c r="A19830" i="1"/>
  <c r="C19830" i="1"/>
  <c r="A19831" i="1"/>
  <c r="C19831" i="1"/>
  <c r="A19832" i="1"/>
  <c r="C19832" i="1"/>
  <c r="A19833" i="1"/>
  <c r="C19833" i="1"/>
  <c r="A19834" i="1"/>
  <c r="C19834" i="1"/>
  <c r="A19835" i="1"/>
  <c r="C19835" i="1"/>
  <c r="A19836" i="1"/>
  <c r="C19836" i="1"/>
  <c r="A19837" i="1"/>
  <c r="C19837" i="1"/>
  <c r="A19838" i="1"/>
  <c r="C19838" i="1"/>
  <c r="A19839" i="1"/>
  <c r="C19839" i="1"/>
  <c r="A19840" i="1"/>
  <c r="C19840" i="1"/>
  <c r="A19841" i="1"/>
  <c r="C19841" i="1"/>
  <c r="A19842" i="1"/>
  <c r="C19842" i="1"/>
  <c r="A19843" i="1"/>
  <c r="C19843" i="1"/>
  <c r="A19844" i="1"/>
  <c r="C19844" i="1"/>
  <c r="A19845" i="1"/>
  <c r="C19845" i="1"/>
  <c r="A19846" i="1"/>
  <c r="C19846" i="1"/>
  <c r="A19847" i="1"/>
  <c r="C19847" i="1"/>
  <c r="A19848" i="1"/>
  <c r="C19848" i="1"/>
  <c r="A19849" i="1"/>
  <c r="C19849" i="1"/>
  <c r="A19850" i="1"/>
  <c r="C19850" i="1"/>
  <c r="A19851" i="1"/>
  <c r="C19851" i="1"/>
  <c r="A19852" i="1"/>
  <c r="C19852" i="1"/>
  <c r="A19853" i="1"/>
  <c r="C19853" i="1"/>
  <c r="A19854" i="1"/>
  <c r="C19854" i="1"/>
  <c r="A19855" i="1"/>
  <c r="C19855" i="1"/>
  <c r="A19856" i="1"/>
  <c r="C19856" i="1"/>
  <c r="A19857" i="1"/>
  <c r="C19857" i="1"/>
  <c r="A19858" i="1"/>
  <c r="C19858" i="1"/>
  <c r="A19859" i="1"/>
  <c r="C19859" i="1"/>
  <c r="A19860" i="1"/>
  <c r="C19860" i="1"/>
  <c r="A19861" i="1"/>
  <c r="C19861" i="1"/>
  <c r="A19862" i="1"/>
  <c r="C19862" i="1"/>
  <c r="A19863" i="1"/>
  <c r="C19863" i="1"/>
  <c r="A19864" i="1"/>
  <c r="C19864" i="1"/>
  <c r="A19865" i="1"/>
  <c r="C19865" i="1"/>
  <c r="A19866" i="1"/>
  <c r="C19866" i="1"/>
  <c r="A19867" i="1"/>
  <c r="C19867" i="1"/>
  <c r="A19868" i="1"/>
  <c r="C19868" i="1"/>
  <c r="A19869" i="1"/>
  <c r="C19869" i="1"/>
  <c r="A19870" i="1"/>
  <c r="C19870" i="1"/>
  <c r="A19871" i="1"/>
  <c r="C19871" i="1"/>
  <c r="A19872" i="1"/>
  <c r="C19872" i="1"/>
  <c r="A19873" i="1"/>
  <c r="C19873" i="1"/>
  <c r="A19874" i="1"/>
  <c r="C19874" i="1"/>
  <c r="A19875" i="1"/>
  <c r="C19875" i="1"/>
  <c r="A19876" i="1"/>
  <c r="C19876" i="1"/>
  <c r="A19877" i="1"/>
  <c r="C19877" i="1"/>
  <c r="A19878" i="1"/>
  <c r="C19878" i="1"/>
  <c r="A19879" i="1"/>
  <c r="C19879" i="1"/>
  <c r="A19880" i="1"/>
  <c r="C19880" i="1"/>
  <c r="A19881" i="1"/>
  <c r="C19881" i="1"/>
  <c r="A19882" i="1"/>
  <c r="C19882" i="1"/>
  <c r="A19883" i="1"/>
  <c r="C19883" i="1"/>
  <c r="A19884" i="1"/>
  <c r="C19884" i="1"/>
  <c r="A19885" i="1"/>
  <c r="C19885" i="1"/>
  <c r="A19886" i="1"/>
  <c r="C19886" i="1"/>
  <c r="A19887" i="1"/>
  <c r="C19887" i="1"/>
  <c r="A19888" i="1"/>
  <c r="C19888" i="1"/>
  <c r="A19889" i="1"/>
  <c r="C19889" i="1"/>
  <c r="A19890" i="1"/>
  <c r="C19890" i="1"/>
  <c r="A19891" i="1"/>
  <c r="C19891" i="1"/>
  <c r="A19892" i="1"/>
  <c r="C19892" i="1"/>
  <c r="A19893" i="1"/>
  <c r="C19893" i="1"/>
  <c r="A19894" i="1"/>
  <c r="C19894" i="1"/>
  <c r="A19895" i="1"/>
  <c r="C19895" i="1"/>
  <c r="A19896" i="1"/>
  <c r="C19896" i="1"/>
  <c r="A19897" i="1"/>
  <c r="C19897" i="1"/>
  <c r="A19898" i="1"/>
  <c r="C19898" i="1"/>
  <c r="A19899" i="1"/>
  <c r="C19899" i="1"/>
  <c r="A19900" i="1"/>
  <c r="C19900" i="1"/>
  <c r="A19901" i="1"/>
  <c r="C19901" i="1"/>
  <c r="A19902" i="1"/>
  <c r="C19902" i="1"/>
  <c r="A19903" i="1"/>
  <c r="C19903" i="1"/>
  <c r="A19904" i="1"/>
  <c r="C19904" i="1"/>
  <c r="A19905" i="1"/>
  <c r="C19905" i="1"/>
  <c r="A19906" i="1"/>
  <c r="C19906" i="1"/>
  <c r="A19907" i="1"/>
  <c r="C19907" i="1"/>
  <c r="A19908" i="1"/>
  <c r="C19908" i="1"/>
  <c r="A19909" i="1"/>
  <c r="C19909" i="1"/>
  <c r="A19910" i="1"/>
  <c r="C19910" i="1"/>
  <c r="A19911" i="1"/>
  <c r="C19911" i="1"/>
  <c r="A19912" i="1"/>
  <c r="C19912" i="1"/>
  <c r="A19913" i="1"/>
  <c r="C19913" i="1"/>
  <c r="A19914" i="1"/>
  <c r="C19914" i="1"/>
  <c r="A19915" i="1"/>
  <c r="C19915" i="1"/>
  <c r="A19916" i="1"/>
  <c r="C19916" i="1"/>
  <c r="A19917" i="1"/>
  <c r="C19917" i="1"/>
  <c r="A19918" i="1"/>
  <c r="C19918" i="1"/>
  <c r="A19919" i="1"/>
  <c r="C19919" i="1"/>
  <c r="A19920" i="1"/>
  <c r="C19920" i="1"/>
  <c r="A19921" i="1"/>
  <c r="C19921" i="1"/>
  <c r="A19922" i="1"/>
  <c r="C19922" i="1"/>
  <c r="A19923" i="1"/>
  <c r="C19923" i="1"/>
  <c r="A19924" i="1"/>
  <c r="C19924" i="1"/>
  <c r="A19925" i="1"/>
  <c r="C19925" i="1"/>
  <c r="A19926" i="1"/>
  <c r="C19926" i="1"/>
  <c r="A19927" i="1"/>
  <c r="C19927" i="1"/>
  <c r="A19928" i="1"/>
  <c r="C19928" i="1"/>
  <c r="A19929" i="1"/>
  <c r="C19929" i="1"/>
  <c r="A19930" i="1"/>
  <c r="C19930" i="1"/>
  <c r="A19931" i="1"/>
  <c r="C19931" i="1"/>
  <c r="A19932" i="1"/>
  <c r="C19932" i="1"/>
  <c r="A19933" i="1"/>
  <c r="C19933" i="1"/>
  <c r="A19934" i="1"/>
  <c r="C19934" i="1"/>
  <c r="A19935" i="1"/>
  <c r="C19935" i="1"/>
  <c r="A19936" i="1"/>
  <c r="C19936" i="1"/>
  <c r="A19937" i="1"/>
  <c r="C19937" i="1"/>
  <c r="A19938" i="1"/>
  <c r="C19938" i="1"/>
  <c r="A19939" i="1"/>
  <c r="C19939" i="1"/>
  <c r="A19940" i="1"/>
  <c r="C19940" i="1"/>
  <c r="A19941" i="1"/>
  <c r="C19941" i="1"/>
  <c r="A19942" i="1"/>
  <c r="C19942" i="1"/>
  <c r="A19943" i="1"/>
  <c r="C19943" i="1"/>
  <c r="A19944" i="1"/>
  <c r="C19944" i="1"/>
  <c r="A19945" i="1"/>
  <c r="C19945" i="1"/>
  <c r="A19946" i="1"/>
  <c r="C19946" i="1"/>
  <c r="A19947" i="1"/>
  <c r="C19947" i="1"/>
  <c r="A19948" i="1"/>
  <c r="C19948" i="1"/>
  <c r="A19949" i="1"/>
  <c r="C19949" i="1"/>
  <c r="A19950" i="1"/>
  <c r="C19950" i="1"/>
  <c r="A19951" i="1"/>
  <c r="C19951" i="1"/>
  <c r="A19952" i="1"/>
  <c r="C19952" i="1"/>
  <c r="A19953" i="1"/>
  <c r="C19953" i="1"/>
  <c r="A19954" i="1"/>
  <c r="C19954" i="1"/>
  <c r="A19955" i="1"/>
  <c r="C19955" i="1"/>
  <c r="A19956" i="1"/>
  <c r="C19956" i="1"/>
  <c r="A19957" i="1"/>
  <c r="C19957" i="1"/>
  <c r="A19958" i="1"/>
  <c r="C19958" i="1"/>
  <c r="A19959" i="1"/>
  <c r="C19959" i="1"/>
  <c r="A19960" i="1"/>
  <c r="C19960" i="1"/>
  <c r="A19961" i="1"/>
  <c r="C19961" i="1"/>
  <c r="A19962" i="1"/>
  <c r="C19962" i="1"/>
  <c r="A19963" i="1"/>
  <c r="C19963" i="1"/>
  <c r="A19964" i="1"/>
  <c r="C19964" i="1"/>
  <c r="A19965" i="1"/>
  <c r="C19965" i="1"/>
  <c r="A19966" i="1"/>
  <c r="C19966" i="1"/>
  <c r="A19967" i="1"/>
  <c r="C19967" i="1"/>
  <c r="A19968" i="1"/>
  <c r="C19968" i="1"/>
  <c r="A19969" i="1"/>
  <c r="C19969" i="1"/>
  <c r="A19970" i="1"/>
  <c r="C19970" i="1"/>
  <c r="A19971" i="1"/>
  <c r="C19971" i="1"/>
  <c r="A19972" i="1"/>
  <c r="C19972" i="1"/>
  <c r="A19973" i="1"/>
  <c r="C19973" i="1"/>
  <c r="A19974" i="1"/>
  <c r="C19974" i="1"/>
  <c r="A19975" i="1"/>
  <c r="C19975" i="1"/>
  <c r="A19976" i="1"/>
  <c r="C19976" i="1"/>
  <c r="A19977" i="1"/>
  <c r="C19977" i="1"/>
  <c r="A19978" i="1"/>
  <c r="C19978" i="1"/>
  <c r="A19979" i="1"/>
  <c r="C19979" i="1"/>
  <c r="A19980" i="1"/>
  <c r="C19980" i="1"/>
  <c r="A19981" i="1"/>
  <c r="C19981" i="1"/>
  <c r="A19982" i="1"/>
  <c r="C19982" i="1"/>
  <c r="A19983" i="1"/>
  <c r="C19983" i="1"/>
  <c r="A19984" i="1"/>
  <c r="C19984" i="1"/>
  <c r="A19985" i="1"/>
  <c r="C19985" i="1"/>
  <c r="A19986" i="1"/>
  <c r="C19986" i="1"/>
  <c r="A19987" i="1"/>
  <c r="C19987" i="1"/>
  <c r="A19988" i="1"/>
  <c r="C19988" i="1"/>
  <c r="A19989" i="1"/>
  <c r="C19989" i="1"/>
  <c r="A19990" i="1"/>
  <c r="C19990" i="1"/>
  <c r="A19991" i="1"/>
  <c r="C19991" i="1"/>
  <c r="A19992" i="1"/>
  <c r="C19992" i="1"/>
  <c r="A19993" i="1"/>
  <c r="C19993" i="1"/>
  <c r="A19994" i="1"/>
  <c r="C19994" i="1"/>
  <c r="A19995" i="1"/>
  <c r="C19995" i="1"/>
  <c r="A19996" i="1"/>
  <c r="C19996" i="1"/>
  <c r="A19997" i="1"/>
  <c r="C19997" i="1"/>
  <c r="A19998" i="1"/>
  <c r="C19998" i="1"/>
  <c r="A19999" i="1"/>
  <c r="C19999" i="1"/>
  <c r="A20000" i="1"/>
  <c r="C20000" i="1"/>
  <c r="A20001" i="1"/>
  <c r="C20001" i="1"/>
  <c r="A20002" i="1"/>
  <c r="C20002" i="1"/>
  <c r="A20003" i="1"/>
  <c r="C20003" i="1"/>
  <c r="A20004" i="1"/>
  <c r="C20004" i="1"/>
  <c r="A20005" i="1"/>
  <c r="C20005" i="1"/>
  <c r="A20006" i="1"/>
  <c r="C20006" i="1"/>
  <c r="A20007" i="1"/>
  <c r="C20007" i="1"/>
  <c r="A20008" i="1"/>
  <c r="C20008" i="1"/>
  <c r="A20009" i="1"/>
  <c r="C20009" i="1"/>
  <c r="A20010" i="1"/>
  <c r="C20010" i="1"/>
  <c r="A20011" i="1"/>
  <c r="C20011" i="1"/>
  <c r="A20012" i="1"/>
  <c r="C20012" i="1"/>
  <c r="A20013" i="1"/>
  <c r="C20013" i="1"/>
  <c r="A20014" i="1"/>
  <c r="C20014" i="1"/>
  <c r="A20015" i="1"/>
  <c r="C20015" i="1"/>
  <c r="A20016" i="1"/>
  <c r="C20016" i="1"/>
  <c r="A20017" i="1"/>
  <c r="C20017" i="1"/>
  <c r="A20018" i="1"/>
  <c r="C20018" i="1"/>
  <c r="A20019" i="1"/>
  <c r="C20019" i="1"/>
  <c r="A20020" i="1"/>
  <c r="C20020" i="1"/>
  <c r="A20021" i="1"/>
  <c r="C20021" i="1"/>
  <c r="A20022" i="1"/>
  <c r="C20022" i="1"/>
  <c r="A20023" i="1"/>
  <c r="C20023" i="1"/>
  <c r="A20024" i="1"/>
  <c r="C20024" i="1"/>
  <c r="A20025" i="1"/>
  <c r="C20025" i="1"/>
  <c r="A20026" i="1"/>
  <c r="C20026" i="1"/>
  <c r="A20027" i="1"/>
  <c r="C20027" i="1"/>
  <c r="A20028" i="1"/>
  <c r="C20028" i="1"/>
  <c r="A20029" i="1"/>
  <c r="C20029" i="1"/>
  <c r="A20030" i="1"/>
  <c r="C20030" i="1"/>
  <c r="A20031" i="1"/>
  <c r="C20031" i="1"/>
  <c r="A20032" i="1"/>
  <c r="C20032" i="1"/>
  <c r="A20033" i="1"/>
  <c r="C20033" i="1"/>
  <c r="A20034" i="1"/>
  <c r="C20034" i="1"/>
  <c r="A20035" i="1"/>
  <c r="C20035" i="1"/>
  <c r="A20036" i="1"/>
  <c r="C20036" i="1"/>
  <c r="A20037" i="1"/>
  <c r="C20037" i="1"/>
  <c r="A20038" i="1"/>
  <c r="C20038" i="1"/>
  <c r="A20039" i="1"/>
  <c r="C20039" i="1"/>
  <c r="A20040" i="1"/>
  <c r="C20040" i="1"/>
  <c r="A20041" i="1"/>
  <c r="C20041" i="1"/>
  <c r="A20042" i="1"/>
  <c r="C20042" i="1"/>
  <c r="A20043" i="1"/>
  <c r="C20043" i="1"/>
  <c r="A20044" i="1"/>
  <c r="C20044" i="1"/>
  <c r="A20045" i="1"/>
  <c r="C20045" i="1"/>
  <c r="A20046" i="1"/>
  <c r="C20046" i="1"/>
  <c r="A20047" i="1"/>
  <c r="C20047" i="1"/>
  <c r="A20048" i="1"/>
  <c r="C20048" i="1"/>
  <c r="A20049" i="1"/>
  <c r="C20049" i="1"/>
  <c r="A20050" i="1"/>
  <c r="C20050" i="1"/>
  <c r="A20051" i="1"/>
  <c r="C20051" i="1"/>
  <c r="A20052" i="1"/>
  <c r="C20052" i="1"/>
  <c r="A20053" i="1"/>
  <c r="C20053" i="1"/>
  <c r="A20054" i="1"/>
  <c r="C20054" i="1"/>
  <c r="A20055" i="1"/>
  <c r="C20055" i="1"/>
  <c r="A20056" i="1"/>
  <c r="C20056" i="1"/>
  <c r="A20057" i="1"/>
  <c r="C20057" i="1"/>
  <c r="A20058" i="1"/>
  <c r="C20058" i="1"/>
  <c r="A20059" i="1"/>
  <c r="C20059" i="1"/>
  <c r="A20060" i="1"/>
  <c r="C20060" i="1"/>
  <c r="A20061" i="1"/>
  <c r="C20061" i="1"/>
  <c r="A20062" i="1"/>
  <c r="C20062" i="1"/>
  <c r="A20063" i="1"/>
  <c r="C20063" i="1"/>
  <c r="A20064" i="1"/>
  <c r="C20064" i="1"/>
  <c r="A20065" i="1"/>
  <c r="C20065" i="1"/>
  <c r="A20066" i="1"/>
  <c r="C20066" i="1"/>
  <c r="A20067" i="1"/>
  <c r="C20067" i="1"/>
  <c r="A20068" i="1"/>
  <c r="C20068" i="1"/>
  <c r="A20069" i="1"/>
  <c r="C20069" i="1"/>
  <c r="A20070" i="1"/>
  <c r="C20070" i="1"/>
  <c r="A20071" i="1"/>
  <c r="C20071" i="1"/>
  <c r="A20072" i="1"/>
  <c r="C20072" i="1"/>
  <c r="A20073" i="1"/>
  <c r="C20073" i="1"/>
  <c r="A20074" i="1"/>
  <c r="C20074" i="1"/>
  <c r="A20075" i="1"/>
  <c r="C20075" i="1"/>
  <c r="A20076" i="1"/>
  <c r="C20076" i="1"/>
  <c r="A20077" i="1"/>
  <c r="C20077" i="1"/>
  <c r="A20078" i="1"/>
  <c r="C20078" i="1"/>
  <c r="A20079" i="1"/>
  <c r="C20079" i="1"/>
  <c r="A20080" i="1"/>
  <c r="C20080" i="1"/>
  <c r="A20081" i="1"/>
  <c r="C20081" i="1"/>
  <c r="A20082" i="1"/>
  <c r="C20082" i="1"/>
  <c r="A20083" i="1"/>
  <c r="C20083" i="1"/>
  <c r="A20084" i="1"/>
  <c r="C20084" i="1"/>
  <c r="A20085" i="1"/>
  <c r="C20085" i="1"/>
  <c r="A20086" i="1"/>
  <c r="C20086" i="1"/>
  <c r="A20087" i="1"/>
  <c r="C20087" i="1"/>
  <c r="A20088" i="1"/>
  <c r="C20088" i="1"/>
  <c r="A20089" i="1"/>
  <c r="C20089" i="1"/>
  <c r="A20090" i="1"/>
  <c r="C20090" i="1"/>
  <c r="A20091" i="1"/>
  <c r="C20091" i="1"/>
  <c r="A20092" i="1"/>
  <c r="C20092" i="1"/>
  <c r="A20093" i="1"/>
  <c r="C20093" i="1"/>
  <c r="A20094" i="1"/>
  <c r="C20094" i="1"/>
  <c r="A20095" i="1"/>
  <c r="C20095" i="1"/>
  <c r="A20096" i="1"/>
  <c r="C20096" i="1"/>
  <c r="A20097" i="1"/>
  <c r="C20097" i="1"/>
  <c r="A20098" i="1"/>
  <c r="C20098" i="1"/>
  <c r="A20099" i="1"/>
  <c r="C20099" i="1"/>
  <c r="A20100" i="1"/>
  <c r="C20100" i="1"/>
  <c r="A20101" i="1"/>
  <c r="C20101" i="1"/>
  <c r="A20102" i="1"/>
  <c r="C20102" i="1"/>
  <c r="A20103" i="1"/>
  <c r="C20103" i="1"/>
  <c r="A20104" i="1"/>
  <c r="C20104" i="1"/>
  <c r="A20105" i="1"/>
  <c r="C20105" i="1"/>
  <c r="A20106" i="1"/>
  <c r="C20106" i="1"/>
  <c r="A20107" i="1"/>
  <c r="C20107" i="1"/>
  <c r="A20108" i="1"/>
  <c r="C20108" i="1"/>
  <c r="A20109" i="1"/>
  <c r="C20109" i="1"/>
  <c r="A20110" i="1"/>
  <c r="C20110" i="1"/>
  <c r="A20111" i="1"/>
  <c r="C20111" i="1"/>
  <c r="A20112" i="1"/>
  <c r="C20112" i="1"/>
  <c r="A20113" i="1"/>
  <c r="C20113" i="1"/>
  <c r="A20114" i="1"/>
  <c r="C20114" i="1"/>
  <c r="A20115" i="1"/>
  <c r="C20115" i="1"/>
  <c r="A20116" i="1"/>
  <c r="C20116" i="1"/>
  <c r="A20117" i="1"/>
  <c r="C20117" i="1"/>
  <c r="A20118" i="1"/>
  <c r="C20118" i="1"/>
  <c r="A20119" i="1"/>
  <c r="C20119" i="1"/>
  <c r="A20120" i="1"/>
  <c r="C20120" i="1"/>
  <c r="A20121" i="1"/>
  <c r="C20121" i="1"/>
  <c r="A20122" i="1"/>
  <c r="C20122" i="1"/>
  <c r="A20123" i="1"/>
  <c r="C20123" i="1"/>
  <c r="A20124" i="1"/>
  <c r="C20124" i="1"/>
  <c r="A20125" i="1"/>
  <c r="C20125" i="1"/>
  <c r="A20126" i="1"/>
  <c r="C20126" i="1"/>
  <c r="A20127" i="1"/>
  <c r="C20127" i="1"/>
  <c r="A20128" i="1"/>
  <c r="C20128" i="1"/>
  <c r="A20129" i="1"/>
  <c r="C20129" i="1"/>
  <c r="A20130" i="1"/>
  <c r="C20130" i="1"/>
  <c r="A20131" i="1"/>
  <c r="C20131" i="1"/>
  <c r="A20132" i="1"/>
  <c r="C20132" i="1"/>
  <c r="A20133" i="1"/>
  <c r="C20133" i="1"/>
  <c r="A20134" i="1"/>
  <c r="C20134" i="1"/>
  <c r="A20135" i="1"/>
  <c r="C20135" i="1"/>
  <c r="A20136" i="1"/>
  <c r="C20136" i="1"/>
  <c r="A20137" i="1"/>
  <c r="C20137" i="1"/>
  <c r="A20138" i="1"/>
  <c r="C20138" i="1"/>
  <c r="A20139" i="1"/>
  <c r="C20139" i="1"/>
  <c r="A20140" i="1"/>
  <c r="C20140" i="1"/>
  <c r="A20141" i="1"/>
  <c r="C20141" i="1"/>
  <c r="A20142" i="1"/>
  <c r="C20142" i="1"/>
  <c r="A20143" i="1"/>
  <c r="C20143" i="1"/>
  <c r="A20144" i="1"/>
  <c r="C20144" i="1"/>
  <c r="A20145" i="1"/>
  <c r="C20145" i="1"/>
  <c r="A20146" i="1"/>
  <c r="C20146" i="1"/>
  <c r="A20147" i="1"/>
  <c r="C20147" i="1"/>
  <c r="A20148" i="1"/>
  <c r="C20148" i="1"/>
  <c r="A20149" i="1"/>
  <c r="C20149" i="1"/>
  <c r="A20150" i="1"/>
  <c r="C20150" i="1"/>
  <c r="A20151" i="1"/>
  <c r="C20151" i="1"/>
  <c r="A20152" i="1"/>
  <c r="C20152" i="1"/>
  <c r="A20153" i="1"/>
  <c r="C20153" i="1"/>
  <c r="A20154" i="1"/>
  <c r="C20154" i="1"/>
  <c r="A20155" i="1"/>
  <c r="C20155" i="1"/>
  <c r="A20156" i="1"/>
  <c r="C20156" i="1"/>
  <c r="A20157" i="1"/>
  <c r="C20157" i="1"/>
  <c r="A20158" i="1"/>
  <c r="C20158" i="1"/>
  <c r="A20159" i="1"/>
  <c r="C20159" i="1"/>
  <c r="A20160" i="1"/>
  <c r="C20160" i="1"/>
  <c r="A20161" i="1"/>
  <c r="C20161" i="1"/>
  <c r="A20162" i="1"/>
  <c r="C20162" i="1"/>
  <c r="A20163" i="1"/>
  <c r="C20163" i="1"/>
  <c r="A20164" i="1"/>
  <c r="C20164" i="1"/>
  <c r="A20165" i="1"/>
  <c r="C20165" i="1"/>
  <c r="A20166" i="1"/>
  <c r="C20166" i="1"/>
  <c r="A20167" i="1"/>
  <c r="C20167" i="1"/>
  <c r="A20168" i="1"/>
  <c r="C20168" i="1"/>
  <c r="A20169" i="1"/>
  <c r="C20169" i="1"/>
  <c r="A20170" i="1"/>
  <c r="C20170" i="1"/>
  <c r="A20171" i="1"/>
  <c r="C20171" i="1"/>
  <c r="A20172" i="1"/>
  <c r="C20172" i="1"/>
  <c r="A20173" i="1"/>
  <c r="C20173" i="1"/>
  <c r="A20174" i="1"/>
  <c r="C20174" i="1"/>
  <c r="A20175" i="1"/>
  <c r="C20175" i="1"/>
  <c r="A20176" i="1"/>
  <c r="C20176" i="1"/>
  <c r="A20177" i="1"/>
  <c r="C20177" i="1"/>
  <c r="A20178" i="1"/>
  <c r="C20178" i="1"/>
  <c r="A20179" i="1"/>
  <c r="C20179" i="1"/>
  <c r="A20180" i="1"/>
  <c r="C20180" i="1"/>
  <c r="A20181" i="1"/>
  <c r="C20181" i="1"/>
  <c r="A20182" i="1"/>
  <c r="C20182" i="1"/>
  <c r="A20183" i="1"/>
  <c r="C20183" i="1"/>
  <c r="A20184" i="1"/>
  <c r="C20184" i="1"/>
  <c r="A20185" i="1"/>
  <c r="C20185" i="1"/>
  <c r="A20186" i="1"/>
  <c r="C20186" i="1"/>
  <c r="A20187" i="1"/>
  <c r="C20187" i="1"/>
  <c r="A20188" i="1"/>
  <c r="C20188" i="1"/>
  <c r="A20189" i="1"/>
  <c r="C20189" i="1"/>
  <c r="A20190" i="1"/>
  <c r="C20190" i="1"/>
  <c r="A20191" i="1"/>
  <c r="C20191" i="1"/>
  <c r="A20192" i="1"/>
  <c r="C20192" i="1"/>
  <c r="A20193" i="1"/>
  <c r="C20193" i="1"/>
  <c r="A20194" i="1"/>
  <c r="C20194" i="1"/>
  <c r="A20195" i="1"/>
  <c r="C20195" i="1"/>
  <c r="A20196" i="1"/>
  <c r="C20196" i="1"/>
  <c r="A20197" i="1"/>
  <c r="C20197" i="1"/>
  <c r="A20198" i="1"/>
  <c r="C20198" i="1"/>
  <c r="A20199" i="1"/>
  <c r="C20199" i="1"/>
  <c r="A20200" i="1"/>
  <c r="C20200" i="1"/>
  <c r="A20201" i="1"/>
  <c r="C20201" i="1"/>
  <c r="A20202" i="1"/>
  <c r="C20202" i="1"/>
  <c r="A20203" i="1"/>
  <c r="C20203" i="1"/>
  <c r="A20204" i="1"/>
  <c r="C20204" i="1"/>
  <c r="A20205" i="1"/>
  <c r="C20205" i="1"/>
  <c r="A20206" i="1"/>
  <c r="C20206" i="1"/>
  <c r="A20207" i="1"/>
  <c r="C20207" i="1"/>
  <c r="A20208" i="1"/>
  <c r="C20208" i="1"/>
  <c r="A20209" i="1"/>
  <c r="C20209" i="1"/>
  <c r="A20210" i="1"/>
  <c r="C20210" i="1"/>
  <c r="A20211" i="1"/>
  <c r="C20211" i="1"/>
  <c r="A20212" i="1"/>
  <c r="C20212" i="1"/>
  <c r="A20213" i="1"/>
  <c r="C20213" i="1"/>
  <c r="A20214" i="1"/>
  <c r="C20214" i="1"/>
  <c r="A20215" i="1"/>
  <c r="C20215" i="1"/>
  <c r="A20216" i="1"/>
  <c r="C20216" i="1"/>
  <c r="A20217" i="1"/>
  <c r="C20217" i="1"/>
  <c r="A20218" i="1"/>
  <c r="C20218" i="1"/>
  <c r="A20219" i="1"/>
  <c r="C20219" i="1"/>
  <c r="A20220" i="1"/>
  <c r="C20220" i="1"/>
  <c r="A20221" i="1"/>
  <c r="C20221" i="1"/>
  <c r="A20222" i="1"/>
  <c r="C20222" i="1"/>
  <c r="A20223" i="1"/>
  <c r="C20223" i="1"/>
  <c r="A20224" i="1"/>
  <c r="C20224" i="1"/>
  <c r="A20225" i="1"/>
  <c r="C20225" i="1"/>
  <c r="A20226" i="1"/>
  <c r="C20226" i="1"/>
  <c r="A20227" i="1"/>
  <c r="C20227" i="1"/>
  <c r="A20228" i="1"/>
  <c r="C20228" i="1"/>
  <c r="A20229" i="1"/>
  <c r="C20229" i="1"/>
  <c r="A20230" i="1"/>
  <c r="C20230" i="1"/>
  <c r="A20231" i="1"/>
  <c r="C20231" i="1"/>
  <c r="A20232" i="1"/>
  <c r="C20232" i="1"/>
  <c r="A20233" i="1"/>
  <c r="C20233" i="1"/>
  <c r="A20234" i="1"/>
  <c r="C20234" i="1"/>
  <c r="A20235" i="1"/>
  <c r="C20235" i="1"/>
  <c r="A20236" i="1"/>
  <c r="C20236" i="1"/>
  <c r="A20237" i="1"/>
  <c r="C20237" i="1"/>
  <c r="A20238" i="1"/>
  <c r="C20238" i="1"/>
  <c r="A20239" i="1"/>
  <c r="C20239" i="1"/>
  <c r="A20240" i="1"/>
  <c r="C20240" i="1"/>
  <c r="A20241" i="1"/>
  <c r="C20241" i="1"/>
  <c r="A20242" i="1"/>
  <c r="C20242" i="1"/>
  <c r="A20243" i="1"/>
  <c r="C20243" i="1"/>
  <c r="A20244" i="1"/>
  <c r="C20244" i="1"/>
  <c r="A20245" i="1"/>
  <c r="C20245" i="1"/>
  <c r="A20246" i="1"/>
  <c r="C20246" i="1"/>
  <c r="A20247" i="1"/>
  <c r="C20247" i="1"/>
  <c r="A20248" i="1"/>
  <c r="C20248" i="1"/>
  <c r="A20249" i="1"/>
  <c r="C20249" i="1"/>
  <c r="A20250" i="1"/>
  <c r="C20250" i="1"/>
  <c r="A20251" i="1"/>
  <c r="C20251" i="1"/>
  <c r="A20252" i="1"/>
  <c r="C20252" i="1"/>
  <c r="A20253" i="1"/>
  <c r="C20253" i="1"/>
  <c r="A20254" i="1"/>
  <c r="C20254" i="1"/>
  <c r="A20255" i="1"/>
  <c r="C20255" i="1"/>
  <c r="A20256" i="1"/>
  <c r="C20256" i="1"/>
  <c r="A20257" i="1"/>
  <c r="C20257" i="1"/>
  <c r="A20258" i="1"/>
  <c r="C20258" i="1"/>
  <c r="A20259" i="1"/>
  <c r="C20259" i="1"/>
  <c r="A20260" i="1"/>
  <c r="C20260" i="1"/>
  <c r="A20261" i="1"/>
  <c r="C20261" i="1"/>
  <c r="A20262" i="1"/>
  <c r="C20262" i="1"/>
  <c r="A20263" i="1"/>
  <c r="C20263" i="1"/>
  <c r="A20264" i="1"/>
  <c r="C20264" i="1"/>
  <c r="A20265" i="1"/>
  <c r="C20265" i="1"/>
  <c r="A20266" i="1"/>
  <c r="C20266" i="1"/>
  <c r="A20267" i="1"/>
  <c r="C20267" i="1"/>
  <c r="A20268" i="1"/>
  <c r="C20268" i="1"/>
  <c r="A20269" i="1"/>
  <c r="C20269" i="1"/>
  <c r="A20270" i="1"/>
  <c r="C20270" i="1"/>
  <c r="A20271" i="1"/>
  <c r="C20271" i="1"/>
  <c r="A20272" i="1"/>
  <c r="C20272" i="1"/>
  <c r="A20273" i="1"/>
  <c r="C20273" i="1"/>
  <c r="A20274" i="1"/>
  <c r="C20274" i="1"/>
  <c r="A20275" i="1"/>
  <c r="C20275" i="1"/>
  <c r="A20276" i="1"/>
  <c r="C20276" i="1"/>
  <c r="A20277" i="1"/>
  <c r="C20277" i="1"/>
  <c r="A20278" i="1"/>
  <c r="C20278" i="1"/>
  <c r="A20279" i="1"/>
  <c r="C20279" i="1"/>
  <c r="A20280" i="1"/>
  <c r="C20280" i="1"/>
  <c r="A20281" i="1"/>
  <c r="C20281" i="1"/>
  <c r="A20282" i="1"/>
  <c r="C20282" i="1"/>
  <c r="A20283" i="1"/>
  <c r="C20283" i="1"/>
  <c r="A20284" i="1"/>
  <c r="C20284" i="1"/>
  <c r="A20285" i="1"/>
  <c r="C20285" i="1"/>
  <c r="A20286" i="1"/>
  <c r="C20286" i="1"/>
  <c r="A20287" i="1"/>
  <c r="C20287" i="1"/>
  <c r="A20288" i="1"/>
  <c r="C20288" i="1"/>
  <c r="A20289" i="1"/>
  <c r="C20289" i="1"/>
  <c r="A20290" i="1"/>
  <c r="C20290" i="1"/>
  <c r="A20291" i="1"/>
  <c r="C20291" i="1"/>
  <c r="A20292" i="1"/>
  <c r="C20292" i="1"/>
  <c r="A20293" i="1"/>
  <c r="C20293" i="1"/>
  <c r="A20294" i="1"/>
  <c r="C20294" i="1"/>
  <c r="A20295" i="1"/>
  <c r="C20295" i="1"/>
  <c r="A20296" i="1"/>
  <c r="C20296" i="1"/>
  <c r="A20297" i="1"/>
  <c r="C20297" i="1"/>
  <c r="A20298" i="1"/>
  <c r="C20298" i="1"/>
  <c r="A20299" i="1"/>
  <c r="C20299" i="1"/>
  <c r="A20300" i="1"/>
  <c r="C20300" i="1"/>
  <c r="A20301" i="1"/>
  <c r="C20301" i="1"/>
  <c r="A20302" i="1"/>
  <c r="C20302" i="1"/>
  <c r="A20303" i="1"/>
  <c r="C20303" i="1"/>
  <c r="A20304" i="1"/>
  <c r="C20304" i="1"/>
  <c r="A20305" i="1"/>
  <c r="C20305" i="1"/>
  <c r="A20306" i="1"/>
  <c r="C20306" i="1"/>
  <c r="A20307" i="1"/>
  <c r="C20307" i="1"/>
  <c r="A20308" i="1"/>
  <c r="C20308" i="1"/>
  <c r="A20309" i="1"/>
  <c r="C20309" i="1"/>
  <c r="A20310" i="1"/>
  <c r="C20310" i="1"/>
  <c r="A20311" i="1"/>
  <c r="C20311" i="1"/>
  <c r="A20312" i="1"/>
  <c r="C20312" i="1"/>
  <c r="A20313" i="1"/>
  <c r="C20313" i="1"/>
  <c r="A20314" i="1"/>
  <c r="C20314" i="1"/>
  <c r="A20315" i="1"/>
  <c r="C20315" i="1"/>
  <c r="A20316" i="1"/>
  <c r="C20316" i="1"/>
  <c r="A20317" i="1"/>
  <c r="C20317" i="1"/>
  <c r="A20318" i="1"/>
  <c r="C20318" i="1"/>
  <c r="A20319" i="1"/>
  <c r="C20319" i="1"/>
  <c r="A20320" i="1"/>
  <c r="C20320" i="1"/>
  <c r="A20321" i="1"/>
  <c r="C20321" i="1"/>
  <c r="A20322" i="1"/>
  <c r="C20322" i="1"/>
  <c r="A20323" i="1"/>
  <c r="C20323" i="1"/>
  <c r="A20324" i="1"/>
  <c r="C20324" i="1"/>
  <c r="A20325" i="1"/>
  <c r="C20325" i="1"/>
  <c r="A20326" i="1"/>
  <c r="C20326" i="1"/>
  <c r="A20327" i="1"/>
  <c r="C20327" i="1"/>
  <c r="A20328" i="1"/>
  <c r="C20328" i="1"/>
  <c r="A20329" i="1"/>
  <c r="C20329" i="1"/>
  <c r="A20330" i="1"/>
  <c r="C20330" i="1"/>
  <c r="A20331" i="1"/>
  <c r="C20331" i="1"/>
  <c r="A20332" i="1"/>
  <c r="C20332" i="1"/>
  <c r="A20333" i="1"/>
  <c r="C20333" i="1"/>
  <c r="A20334" i="1"/>
  <c r="C20334" i="1"/>
  <c r="A20335" i="1"/>
  <c r="C20335" i="1"/>
  <c r="A20336" i="1"/>
  <c r="C20336" i="1"/>
  <c r="A20337" i="1"/>
  <c r="C20337" i="1"/>
  <c r="A20338" i="1"/>
  <c r="C20338" i="1"/>
  <c r="A20339" i="1"/>
  <c r="C20339" i="1"/>
  <c r="A20340" i="1"/>
  <c r="C20340" i="1"/>
  <c r="A20341" i="1"/>
  <c r="C20341" i="1"/>
  <c r="A20342" i="1"/>
  <c r="C20342" i="1"/>
  <c r="A20343" i="1"/>
  <c r="C20343" i="1"/>
  <c r="A20344" i="1"/>
  <c r="C20344" i="1"/>
  <c r="A20345" i="1"/>
  <c r="C20345" i="1"/>
  <c r="A20346" i="1"/>
  <c r="C20346" i="1"/>
  <c r="A20347" i="1"/>
  <c r="C20347" i="1"/>
  <c r="A20348" i="1"/>
  <c r="C20348" i="1"/>
  <c r="A20349" i="1"/>
  <c r="C20349" i="1"/>
  <c r="A20350" i="1"/>
  <c r="C20350" i="1"/>
  <c r="A20351" i="1"/>
  <c r="C20351" i="1"/>
  <c r="A20352" i="1"/>
  <c r="C20352" i="1"/>
  <c r="A20353" i="1"/>
  <c r="C20353" i="1"/>
  <c r="A20354" i="1"/>
  <c r="C20354" i="1"/>
  <c r="A20355" i="1"/>
  <c r="C20355" i="1"/>
  <c r="A20356" i="1"/>
  <c r="C20356" i="1"/>
  <c r="A20357" i="1"/>
  <c r="C20357" i="1"/>
  <c r="A20358" i="1"/>
  <c r="C20358" i="1"/>
  <c r="A20359" i="1"/>
  <c r="C20359" i="1"/>
  <c r="A20360" i="1"/>
  <c r="C20360" i="1"/>
  <c r="A20361" i="1"/>
  <c r="C20361" i="1"/>
  <c r="A20362" i="1"/>
  <c r="C20362" i="1"/>
  <c r="A20363" i="1"/>
  <c r="C20363" i="1"/>
  <c r="A20364" i="1"/>
  <c r="C20364" i="1"/>
  <c r="A20365" i="1"/>
  <c r="C20365" i="1"/>
  <c r="A20366" i="1"/>
  <c r="C20366" i="1"/>
  <c r="A20367" i="1"/>
  <c r="C20367" i="1"/>
  <c r="A20368" i="1"/>
  <c r="C20368" i="1"/>
  <c r="A20369" i="1"/>
  <c r="C20369" i="1"/>
  <c r="A20370" i="1"/>
  <c r="C20370" i="1"/>
  <c r="A20371" i="1"/>
  <c r="C20371" i="1"/>
  <c r="A20372" i="1"/>
  <c r="C20372" i="1"/>
  <c r="A20373" i="1"/>
  <c r="C20373" i="1"/>
  <c r="A20374" i="1"/>
  <c r="C20374" i="1"/>
  <c r="A20375" i="1"/>
  <c r="C20375" i="1"/>
  <c r="A20376" i="1"/>
  <c r="C20376" i="1"/>
  <c r="A20377" i="1"/>
  <c r="C20377" i="1"/>
  <c r="A20378" i="1"/>
  <c r="C20378" i="1"/>
  <c r="A20379" i="1"/>
  <c r="C20379" i="1"/>
  <c r="A20380" i="1"/>
  <c r="C20380" i="1"/>
  <c r="A20381" i="1"/>
  <c r="C20381" i="1"/>
  <c r="A20382" i="1"/>
  <c r="C20382" i="1"/>
  <c r="A20383" i="1"/>
  <c r="C20383" i="1"/>
  <c r="A20384" i="1"/>
  <c r="C20384" i="1"/>
  <c r="A20385" i="1"/>
  <c r="C20385" i="1"/>
  <c r="A20386" i="1"/>
  <c r="C20386" i="1"/>
  <c r="A20387" i="1"/>
  <c r="C20387" i="1"/>
  <c r="A20388" i="1"/>
  <c r="C20388" i="1"/>
  <c r="A20389" i="1"/>
  <c r="C20389" i="1"/>
  <c r="A20390" i="1"/>
  <c r="C20390" i="1"/>
  <c r="A20391" i="1"/>
  <c r="C20391" i="1"/>
  <c r="A20392" i="1"/>
  <c r="C20392" i="1"/>
  <c r="A20393" i="1"/>
  <c r="C20393" i="1"/>
  <c r="A20394" i="1"/>
  <c r="C20394" i="1"/>
  <c r="A20395" i="1"/>
  <c r="C20395" i="1"/>
  <c r="A20396" i="1"/>
  <c r="C20396" i="1"/>
  <c r="A20397" i="1"/>
  <c r="C20397" i="1"/>
  <c r="A20398" i="1"/>
  <c r="C20398" i="1"/>
  <c r="A20399" i="1"/>
  <c r="C20399" i="1"/>
  <c r="A20400" i="1"/>
  <c r="C20400" i="1"/>
  <c r="A20401" i="1"/>
  <c r="C20401" i="1"/>
  <c r="A20402" i="1"/>
  <c r="C20402" i="1"/>
  <c r="A20403" i="1"/>
  <c r="C20403" i="1"/>
  <c r="A20404" i="1"/>
  <c r="C20404" i="1"/>
  <c r="A20405" i="1"/>
  <c r="C20405" i="1"/>
  <c r="A20406" i="1"/>
  <c r="C20406" i="1"/>
  <c r="A20407" i="1"/>
  <c r="C20407" i="1"/>
  <c r="A20408" i="1"/>
  <c r="C20408" i="1"/>
  <c r="A20409" i="1"/>
  <c r="C20409" i="1"/>
  <c r="A20410" i="1"/>
  <c r="C20410" i="1"/>
  <c r="A20411" i="1"/>
  <c r="C20411" i="1"/>
  <c r="A20412" i="1"/>
  <c r="C20412" i="1"/>
  <c r="A20413" i="1"/>
  <c r="C20413" i="1"/>
  <c r="A20414" i="1"/>
  <c r="C20414" i="1"/>
  <c r="A20415" i="1"/>
  <c r="C20415" i="1"/>
  <c r="A20416" i="1"/>
  <c r="C20416" i="1"/>
  <c r="A20417" i="1"/>
  <c r="C20417" i="1"/>
  <c r="A20418" i="1"/>
  <c r="C20418" i="1"/>
  <c r="A20419" i="1"/>
  <c r="C20419" i="1"/>
  <c r="A20420" i="1"/>
  <c r="C20420" i="1"/>
  <c r="A20421" i="1"/>
  <c r="C20421" i="1"/>
  <c r="A20422" i="1"/>
  <c r="C20422" i="1"/>
  <c r="A20423" i="1"/>
  <c r="C20423" i="1"/>
  <c r="A20424" i="1"/>
  <c r="C20424" i="1"/>
  <c r="A20425" i="1"/>
  <c r="C20425" i="1"/>
  <c r="A20426" i="1"/>
  <c r="C20426" i="1"/>
  <c r="A20427" i="1"/>
  <c r="C20427" i="1"/>
  <c r="A20428" i="1"/>
  <c r="C20428" i="1"/>
  <c r="A20429" i="1"/>
  <c r="C20429" i="1"/>
  <c r="A20430" i="1"/>
  <c r="C20430" i="1"/>
  <c r="A20431" i="1"/>
  <c r="C20431" i="1"/>
  <c r="A20432" i="1"/>
  <c r="C20432" i="1"/>
  <c r="A20433" i="1"/>
  <c r="C20433" i="1"/>
  <c r="A20434" i="1"/>
  <c r="C20434" i="1"/>
  <c r="A20435" i="1"/>
  <c r="C20435" i="1"/>
  <c r="A20436" i="1"/>
  <c r="C20436" i="1"/>
  <c r="A20437" i="1"/>
  <c r="C20437" i="1"/>
  <c r="A20438" i="1"/>
  <c r="C20438" i="1"/>
  <c r="A20439" i="1"/>
  <c r="C20439" i="1"/>
  <c r="A20440" i="1"/>
  <c r="C20440" i="1"/>
  <c r="A20441" i="1"/>
  <c r="C20441" i="1"/>
  <c r="A20442" i="1"/>
  <c r="C20442" i="1"/>
  <c r="A20443" i="1"/>
  <c r="C20443" i="1"/>
  <c r="A20444" i="1"/>
  <c r="C20444" i="1"/>
  <c r="A20445" i="1"/>
  <c r="C20445" i="1"/>
  <c r="A20446" i="1"/>
  <c r="C20446" i="1"/>
  <c r="A20447" i="1"/>
  <c r="C20447" i="1"/>
  <c r="A20448" i="1"/>
  <c r="C20448" i="1"/>
  <c r="A20449" i="1"/>
  <c r="C20449" i="1"/>
  <c r="A20450" i="1"/>
  <c r="C20450" i="1"/>
  <c r="A20451" i="1"/>
  <c r="C20451" i="1"/>
  <c r="A20452" i="1"/>
  <c r="C20452" i="1"/>
  <c r="A20453" i="1"/>
  <c r="C20453" i="1"/>
  <c r="A20454" i="1"/>
  <c r="C20454" i="1"/>
  <c r="A20455" i="1"/>
  <c r="C20455" i="1"/>
  <c r="A20456" i="1"/>
  <c r="C20456" i="1"/>
  <c r="A20457" i="1"/>
  <c r="C20457" i="1"/>
  <c r="A20458" i="1"/>
  <c r="C20458" i="1"/>
  <c r="A20459" i="1"/>
  <c r="C20459" i="1"/>
  <c r="A20460" i="1"/>
  <c r="C20460" i="1"/>
  <c r="A20461" i="1"/>
  <c r="C20461" i="1"/>
  <c r="A20462" i="1"/>
  <c r="C20462" i="1"/>
  <c r="A20463" i="1"/>
  <c r="C20463" i="1"/>
  <c r="A20464" i="1"/>
  <c r="C20464" i="1"/>
  <c r="A20465" i="1"/>
  <c r="C20465" i="1"/>
  <c r="A20466" i="1"/>
  <c r="C20466" i="1"/>
  <c r="A20467" i="1"/>
  <c r="C20467" i="1"/>
  <c r="A20468" i="1"/>
  <c r="C20468" i="1"/>
  <c r="A20469" i="1"/>
  <c r="C20469" i="1"/>
  <c r="A20470" i="1"/>
  <c r="C20470" i="1"/>
  <c r="A20471" i="1"/>
  <c r="C20471" i="1"/>
  <c r="A20472" i="1"/>
  <c r="C20472" i="1"/>
  <c r="A20473" i="1"/>
  <c r="C20473" i="1"/>
  <c r="A20474" i="1"/>
  <c r="C20474" i="1"/>
  <c r="A20475" i="1"/>
  <c r="C20475" i="1"/>
  <c r="A20476" i="1"/>
  <c r="C20476" i="1"/>
  <c r="A20477" i="1"/>
  <c r="C20477" i="1"/>
  <c r="A20478" i="1"/>
  <c r="C20478" i="1"/>
  <c r="A20479" i="1"/>
  <c r="C20479" i="1"/>
  <c r="A20480" i="1"/>
  <c r="C20480" i="1"/>
  <c r="A20481" i="1"/>
  <c r="C20481" i="1"/>
  <c r="A20482" i="1"/>
  <c r="C20482" i="1"/>
  <c r="A20483" i="1"/>
  <c r="C20483" i="1"/>
  <c r="A20484" i="1"/>
  <c r="C20484" i="1"/>
  <c r="A20485" i="1"/>
  <c r="C20485" i="1"/>
  <c r="A20486" i="1"/>
  <c r="C20486" i="1"/>
  <c r="A20487" i="1"/>
  <c r="C20487" i="1"/>
  <c r="A20488" i="1"/>
  <c r="C20488" i="1"/>
  <c r="A20489" i="1"/>
  <c r="C20489" i="1"/>
  <c r="A20490" i="1"/>
  <c r="C20490" i="1"/>
  <c r="A20491" i="1"/>
  <c r="C20491" i="1"/>
  <c r="A20492" i="1"/>
  <c r="C20492" i="1"/>
  <c r="A20493" i="1"/>
  <c r="C20493" i="1"/>
  <c r="A20494" i="1"/>
  <c r="C20494" i="1"/>
  <c r="A20495" i="1"/>
  <c r="C20495" i="1"/>
  <c r="A20496" i="1"/>
  <c r="C20496" i="1"/>
  <c r="A20497" i="1"/>
  <c r="C20497" i="1"/>
  <c r="A20498" i="1"/>
  <c r="C20498" i="1"/>
  <c r="A20499" i="1"/>
  <c r="C20499" i="1"/>
  <c r="A20500" i="1"/>
  <c r="C20500" i="1"/>
  <c r="A20501" i="1"/>
  <c r="C20501" i="1"/>
  <c r="A20502" i="1"/>
  <c r="C20502" i="1"/>
  <c r="A20503" i="1"/>
  <c r="C20503" i="1"/>
  <c r="A20504" i="1"/>
  <c r="C20504" i="1"/>
  <c r="A20505" i="1"/>
  <c r="C20505" i="1"/>
  <c r="A20506" i="1"/>
  <c r="C20506" i="1"/>
  <c r="A20507" i="1"/>
  <c r="C20507" i="1"/>
  <c r="A20508" i="1"/>
  <c r="C20508" i="1"/>
  <c r="A20509" i="1"/>
  <c r="C20509" i="1"/>
  <c r="A20510" i="1"/>
  <c r="C20510" i="1"/>
  <c r="A20511" i="1"/>
  <c r="C20511" i="1"/>
  <c r="A20512" i="1"/>
  <c r="C20512" i="1"/>
  <c r="A20513" i="1"/>
  <c r="C20513" i="1"/>
  <c r="A20514" i="1"/>
  <c r="C20514" i="1"/>
  <c r="A20515" i="1"/>
  <c r="C20515" i="1"/>
  <c r="A20516" i="1"/>
  <c r="C20516" i="1"/>
  <c r="A20517" i="1"/>
  <c r="C20517" i="1"/>
  <c r="A20518" i="1"/>
  <c r="C20518" i="1"/>
  <c r="A20519" i="1"/>
  <c r="C20519" i="1"/>
  <c r="A20520" i="1"/>
  <c r="C20520" i="1"/>
  <c r="A20521" i="1"/>
  <c r="C20521" i="1"/>
  <c r="A20522" i="1"/>
  <c r="C20522" i="1"/>
  <c r="A20523" i="1"/>
  <c r="C20523" i="1"/>
  <c r="A20524" i="1"/>
  <c r="C20524" i="1"/>
  <c r="A20525" i="1"/>
  <c r="C20525" i="1"/>
  <c r="A20526" i="1"/>
  <c r="C20526" i="1"/>
  <c r="A20527" i="1"/>
  <c r="C20527" i="1"/>
  <c r="A20528" i="1"/>
  <c r="C20528" i="1"/>
  <c r="A20529" i="1"/>
  <c r="C20529" i="1"/>
  <c r="A20530" i="1"/>
  <c r="C20530" i="1"/>
  <c r="A20531" i="1"/>
  <c r="C20531" i="1"/>
  <c r="A20532" i="1"/>
  <c r="C20532" i="1"/>
  <c r="A20533" i="1"/>
  <c r="C20533" i="1"/>
  <c r="A20534" i="1"/>
  <c r="C20534" i="1"/>
  <c r="A20535" i="1"/>
  <c r="C20535" i="1"/>
  <c r="A20536" i="1"/>
  <c r="C20536" i="1"/>
  <c r="A20537" i="1"/>
  <c r="C20537" i="1"/>
  <c r="A20538" i="1"/>
  <c r="C20538" i="1"/>
  <c r="A20539" i="1"/>
  <c r="C20539" i="1"/>
  <c r="A20540" i="1"/>
  <c r="C20540" i="1"/>
  <c r="A20541" i="1"/>
  <c r="C20541" i="1"/>
  <c r="A20542" i="1"/>
  <c r="C20542" i="1"/>
  <c r="A20543" i="1"/>
  <c r="C20543" i="1"/>
  <c r="A20544" i="1"/>
  <c r="C20544" i="1"/>
  <c r="A20545" i="1"/>
  <c r="C20545" i="1"/>
  <c r="A20546" i="1"/>
  <c r="C20546" i="1"/>
  <c r="A20547" i="1"/>
  <c r="C20547" i="1"/>
  <c r="A20548" i="1"/>
  <c r="C20548" i="1"/>
  <c r="A20549" i="1"/>
  <c r="C20549" i="1"/>
  <c r="A20550" i="1"/>
  <c r="C20550" i="1"/>
  <c r="A20551" i="1"/>
  <c r="C20551" i="1"/>
  <c r="A20552" i="1"/>
  <c r="C20552" i="1"/>
  <c r="A20553" i="1"/>
  <c r="C20553" i="1"/>
  <c r="A20554" i="1"/>
  <c r="C20554" i="1"/>
  <c r="A20555" i="1"/>
  <c r="C20555" i="1"/>
  <c r="A20556" i="1"/>
  <c r="C20556" i="1"/>
  <c r="A20557" i="1"/>
  <c r="C20557" i="1"/>
  <c r="A20558" i="1"/>
  <c r="C20558" i="1"/>
  <c r="A20559" i="1"/>
  <c r="C20559" i="1"/>
  <c r="A20560" i="1"/>
  <c r="C20560" i="1"/>
  <c r="A20561" i="1"/>
  <c r="C20561" i="1"/>
  <c r="A20562" i="1"/>
  <c r="C20562" i="1"/>
  <c r="A20563" i="1"/>
  <c r="C20563" i="1"/>
  <c r="A20564" i="1"/>
  <c r="C20564" i="1"/>
  <c r="A20565" i="1"/>
  <c r="C20565" i="1"/>
  <c r="A20566" i="1"/>
  <c r="C20566" i="1"/>
  <c r="A20567" i="1"/>
  <c r="C20567" i="1"/>
  <c r="A20568" i="1"/>
  <c r="C20568" i="1"/>
  <c r="A20569" i="1"/>
  <c r="C20569" i="1"/>
  <c r="A20570" i="1"/>
  <c r="C20570" i="1"/>
  <c r="A20571" i="1"/>
  <c r="C20571" i="1"/>
  <c r="A20572" i="1"/>
  <c r="C20572" i="1"/>
  <c r="A20573" i="1"/>
  <c r="C20573" i="1"/>
  <c r="A20574" i="1"/>
  <c r="C20574" i="1"/>
  <c r="A20575" i="1"/>
  <c r="C20575" i="1"/>
  <c r="A20576" i="1"/>
  <c r="C20576" i="1"/>
  <c r="A20577" i="1"/>
  <c r="C20577" i="1"/>
  <c r="A20578" i="1"/>
  <c r="C20578" i="1"/>
  <c r="A20579" i="1"/>
  <c r="C20579" i="1"/>
  <c r="A20580" i="1"/>
  <c r="C20580" i="1"/>
  <c r="A20581" i="1"/>
  <c r="C20581" i="1"/>
  <c r="A20582" i="1"/>
  <c r="C20582" i="1"/>
  <c r="A20583" i="1"/>
  <c r="C20583" i="1"/>
  <c r="A20584" i="1"/>
  <c r="C20584" i="1"/>
  <c r="A20585" i="1"/>
  <c r="C20585" i="1"/>
  <c r="A20586" i="1"/>
  <c r="C20586" i="1"/>
  <c r="A20587" i="1"/>
  <c r="C20587" i="1"/>
  <c r="A20588" i="1"/>
  <c r="C20588" i="1"/>
  <c r="A20589" i="1"/>
  <c r="C20589" i="1"/>
  <c r="A20590" i="1"/>
  <c r="C20590" i="1"/>
  <c r="A20591" i="1"/>
  <c r="C20591" i="1"/>
  <c r="A20592" i="1"/>
  <c r="C20592" i="1"/>
  <c r="A20593" i="1"/>
  <c r="C20593" i="1"/>
  <c r="A20594" i="1"/>
  <c r="C20594" i="1"/>
  <c r="A20595" i="1"/>
  <c r="C20595" i="1"/>
  <c r="A20596" i="1"/>
  <c r="C20596" i="1"/>
  <c r="A20597" i="1"/>
  <c r="C20597" i="1"/>
  <c r="A20598" i="1"/>
  <c r="C20598" i="1"/>
  <c r="A20599" i="1"/>
  <c r="C20599" i="1"/>
  <c r="A20600" i="1"/>
  <c r="C20600" i="1"/>
  <c r="A20601" i="1"/>
  <c r="C20601" i="1"/>
  <c r="A20602" i="1"/>
  <c r="C20602" i="1"/>
  <c r="A20603" i="1"/>
  <c r="C20603" i="1"/>
  <c r="A20604" i="1"/>
  <c r="C20604" i="1"/>
  <c r="A20605" i="1"/>
  <c r="C20605" i="1"/>
  <c r="A20606" i="1"/>
  <c r="C20606" i="1"/>
  <c r="A20607" i="1"/>
  <c r="C20607" i="1"/>
  <c r="A20608" i="1"/>
  <c r="C20608" i="1"/>
  <c r="A20609" i="1"/>
  <c r="C20609" i="1"/>
  <c r="A20610" i="1"/>
  <c r="C20610" i="1"/>
  <c r="A20611" i="1"/>
  <c r="C20611" i="1"/>
  <c r="A20612" i="1"/>
  <c r="C20612" i="1"/>
  <c r="A20613" i="1"/>
  <c r="C20613" i="1"/>
  <c r="A20614" i="1"/>
  <c r="C20614" i="1"/>
  <c r="A20615" i="1"/>
  <c r="C20615" i="1"/>
  <c r="A20616" i="1"/>
  <c r="C20616" i="1"/>
  <c r="A20617" i="1"/>
  <c r="C20617" i="1"/>
  <c r="A20618" i="1"/>
  <c r="C20618" i="1"/>
  <c r="A20619" i="1"/>
  <c r="C20619" i="1"/>
  <c r="A20620" i="1"/>
  <c r="C20620" i="1"/>
  <c r="A20621" i="1"/>
  <c r="C20621" i="1"/>
  <c r="A20622" i="1"/>
  <c r="C20622" i="1"/>
  <c r="A20623" i="1"/>
  <c r="C20623" i="1"/>
  <c r="A20624" i="1"/>
  <c r="C20624" i="1"/>
  <c r="A20625" i="1"/>
  <c r="C20625" i="1"/>
  <c r="A20626" i="1"/>
  <c r="C20626" i="1"/>
  <c r="A20627" i="1"/>
  <c r="C20627" i="1"/>
  <c r="A20628" i="1"/>
  <c r="C20628" i="1"/>
  <c r="A20629" i="1"/>
  <c r="C20629" i="1"/>
  <c r="A20630" i="1"/>
  <c r="C20630" i="1"/>
  <c r="A20631" i="1"/>
  <c r="C20631" i="1"/>
  <c r="A20632" i="1"/>
  <c r="C20632" i="1"/>
  <c r="A20633" i="1"/>
  <c r="C20633" i="1"/>
  <c r="A20634" i="1"/>
  <c r="C20634" i="1"/>
  <c r="A20635" i="1"/>
  <c r="C20635" i="1"/>
  <c r="A20636" i="1"/>
  <c r="C20636" i="1"/>
  <c r="A20637" i="1"/>
  <c r="C20637" i="1"/>
  <c r="A20638" i="1"/>
  <c r="C20638" i="1"/>
  <c r="A20639" i="1"/>
  <c r="C20639" i="1"/>
  <c r="A20640" i="1"/>
  <c r="C20640" i="1"/>
  <c r="A20641" i="1"/>
  <c r="C20641" i="1"/>
  <c r="A20642" i="1"/>
  <c r="C20642" i="1"/>
  <c r="A20643" i="1"/>
  <c r="C20643" i="1"/>
  <c r="A20644" i="1"/>
  <c r="C20644" i="1"/>
  <c r="A20645" i="1"/>
  <c r="C20645" i="1"/>
  <c r="A20646" i="1"/>
  <c r="C20646" i="1"/>
  <c r="A20647" i="1"/>
  <c r="C20647" i="1"/>
  <c r="A20648" i="1"/>
  <c r="C20648" i="1"/>
  <c r="A20649" i="1"/>
  <c r="C20649" i="1"/>
  <c r="A20650" i="1"/>
  <c r="C20650" i="1"/>
  <c r="A20651" i="1"/>
  <c r="C20651" i="1"/>
  <c r="A20652" i="1"/>
  <c r="C20652" i="1"/>
  <c r="A20653" i="1"/>
  <c r="C20653" i="1"/>
  <c r="A20654" i="1"/>
  <c r="C20654" i="1"/>
  <c r="A20655" i="1"/>
  <c r="C20655" i="1"/>
  <c r="A20656" i="1"/>
  <c r="C20656" i="1"/>
  <c r="A20657" i="1"/>
  <c r="C20657" i="1"/>
  <c r="A20658" i="1"/>
  <c r="C20658" i="1"/>
  <c r="A20659" i="1"/>
  <c r="C20659" i="1"/>
  <c r="A20660" i="1"/>
  <c r="C20660" i="1"/>
  <c r="A20661" i="1"/>
  <c r="C20661" i="1"/>
  <c r="A20662" i="1"/>
  <c r="C20662" i="1"/>
  <c r="A20663" i="1"/>
  <c r="C20663" i="1"/>
  <c r="A20664" i="1"/>
  <c r="C20664" i="1"/>
  <c r="A20665" i="1"/>
  <c r="C20665" i="1"/>
  <c r="A20666" i="1"/>
  <c r="C20666" i="1"/>
  <c r="A20667" i="1"/>
  <c r="C20667" i="1"/>
  <c r="A20668" i="1"/>
  <c r="C20668" i="1"/>
  <c r="A20669" i="1"/>
  <c r="C20669" i="1"/>
  <c r="A20670" i="1"/>
  <c r="C20670" i="1"/>
  <c r="A20671" i="1"/>
  <c r="C20671" i="1"/>
  <c r="A20672" i="1"/>
  <c r="C20672" i="1"/>
  <c r="A20673" i="1"/>
  <c r="C20673" i="1"/>
  <c r="A20674" i="1"/>
  <c r="C20674" i="1"/>
  <c r="A20675" i="1"/>
  <c r="C20675" i="1"/>
  <c r="A20676" i="1"/>
  <c r="C20676" i="1"/>
  <c r="A20677" i="1"/>
  <c r="C20677" i="1"/>
  <c r="A20678" i="1"/>
  <c r="C20678" i="1"/>
  <c r="A20679" i="1"/>
  <c r="C20679" i="1"/>
  <c r="A20680" i="1"/>
  <c r="C20680" i="1"/>
  <c r="A20681" i="1"/>
  <c r="C20681" i="1"/>
  <c r="A20682" i="1"/>
  <c r="C20682" i="1"/>
  <c r="A20683" i="1"/>
  <c r="C20683" i="1"/>
  <c r="A20684" i="1"/>
  <c r="C20684" i="1"/>
  <c r="A20685" i="1"/>
  <c r="C20685" i="1"/>
  <c r="A20686" i="1"/>
  <c r="C20686" i="1"/>
  <c r="A20687" i="1"/>
  <c r="C20687" i="1"/>
  <c r="A20688" i="1"/>
  <c r="C20688" i="1"/>
  <c r="A20689" i="1"/>
  <c r="C20689" i="1"/>
  <c r="A20690" i="1"/>
  <c r="C20690" i="1"/>
  <c r="A20691" i="1"/>
  <c r="C20691" i="1"/>
  <c r="A20692" i="1"/>
  <c r="C20692" i="1"/>
  <c r="A20693" i="1"/>
  <c r="C20693" i="1"/>
  <c r="A20694" i="1"/>
  <c r="C20694" i="1"/>
  <c r="A20695" i="1"/>
  <c r="C20695" i="1"/>
  <c r="A20696" i="1"/>
  <c r="C20696" i="1"/>
  <c r="A20697" i="1"/>
  <c r="C20697" i="1"/>
  <c r="A20698" i="1"/>
  <c r="C20698" i="1"/>
  <c r="A20699" i="1"/>
  <c r="C20699" i="1"/>
  <c r="A20700" i="1"/>
  <c r="C20700" i="1"/>
  <c r="A20701" i="1"/>
  <c r="C20701" i="1"/>
  <c r="A20702" i="1"/>
  <c r="C20702" i="1"/>
  <c r="A20703" i="1"/>
  <c r="C20703" i="1"/>
  <c r="A20704" i="1"/>
  <c r="C20704" i="1"/>
  <c r="A20705" i="1"/>
  <c r="C20705" i="1"/>
  <c r="A20706" i="1"/>
  <c r="C20706" i="1"/>
  <c r="A20707" i="1"/>
  <c r="C20707" i="1"/>
  <c r="A20708" i="1"/>
  <c r="C20708" i="1"/>
  <c r="A20709" i="1"/>
  <c r="C20709" i="1"/>
  <c r="A20710" i="1"/>
  <c r="C20710" i="1"/>
  <c r="A20711" i="1"/>
  <c r="C20711" i="1"/>
  <c r="A20712" i="1"/>
  <c r="C20712" i="1"/>
  <c r="A20713" i="1"/>
  <c r="C20713" i="1"/>
  <c r="A20714" i="1"/>
  <c r="C20714" i="1"/>
  <c r="A20715" i="1"/>
  <c r="C20715" i="1"/>
  <c r="A20716" i="1"/>
  <c r="C20716" i="1"/>
  <c r="A20717" i="1"/>
  <c r="C20717" i="1"/>
  <c r="A20718" i="1"/>
  <c r="C20718" i="1"/>
  <c r="A20719" i="1"/>
  <c r="C20719" i="1"/>
  <c r="A20720" i="1"/>
  <c r="C20720" i="1"/>
  <c r="A20721" i="1"/>
  <c r="C20721" i="1"/>
  <c r="A20722" i="1"/>
  <c r="C20722" i="1"/>
  <c r="A20723" i="1"/>
  <c r="C20723" i="1"/>
  <c r="A20724" i="1"/>
  <c r="C20724" i="1"/>
  <c r="A20725" i="1"/>
  <c r="C20725" i="1"/>
  <c r="A20726" i="1"/>
  <c r="C20726" i="1"/>
  <c r="A20727" i="1"/>
  <c r="C20727" i="1"/>
  <c r="A20728" i="1"/>
  <c r="C20728" i="1"/>
  <c r="A20729" i="1"/>
  <c r="C20729" i="1"/>
  <c r="A20730" i="1"/>
  <c r="C20730" i="1"/>
  <c r="A20731" i="1"/>
  <c r="C20731" i="1"/>
  <c r="A20732" i="1"/>
  <c r="C20732" i="1"/>
  <c r="A20733" i="1"/>
  <c r="C20733" i="1"/>
  <c r="A20734" i="1"/>
  <c r="C20734" i="1"/>
  <c r="A20735" i="1"/>
  <c r="C20735" i="1"/>
  <c r="A20736" i="1"/>
  <c r="C20736" i="1"/>
  <c r="A20737" i="1"/>
  <c r="C20737" i="1"/>
  <c r="A20738" i="1"/>
  <c r="C20738" i="1"/>
  <c r="A20739" i="1"/>
  <c r="C20739" i="1"/>
  <c r="A20740" i="1"/>
  <c r="C20740" i="1"/>
  <c r="A20741" i="1"/>
  <c r="C20741" i="1"/>
  <c r="A20742" i="1"/>
  <c r="C20742" i="1"/>
  <c r="A20743" i="1"/>
  <c r="C20743" i="1"/>
  <c r="A20744" i="1"/>
  <c r="C20744" i="1"/>
  <c r="A20745" i="1"/>
  <c r="C20745" i="1"/>
  <c r="A20746" i="1"/>
  <c r="C20746" i="1"/>
  <c r="A20747" i="1"/>
  <c r="C20747" i="1"/>
  <c r="A20748" i="1"/>
  <c r="C20748" i="1"/>
  <c r="A20749" i="1"/>
  <c r="C20749" i="1"/>
  <c r="A20750" i="1"/>
  <c r="C20750" i="1"/>
  <c r="A20751" i="1"/>
  <c r="C20751" i="1"/>
  <c r="A20752" i="1"/>
  <c r="C20752" i="1"/>
  <c r="A20753" i="1"/>
  <c r="C20753" i="1"/>
  <c r="A20754" i="1"/>
  <c r="C20754" i="1"/>
  <c r="A20755" i="1"/>
  <c r="C20755" i="1"/>
  <c r="A20756" i="1"/>
  <c r="C20756" i="1"/>
  <c r="A20757" i="1"/>
  <c r="C20757" i="1"/>
  <c r="A20758" i="1"/>
  <c r="C20758" i="1"/>
  <c r="A20759" i="1"/>
  <c r="C20759" i="1"/>
  <c r="A20760" i="1"/>
  <c r="C20760" i="1"/>
  <c r="A20761" i="1"/>
  <c r="C20761" i="1"/>
  <c r="A20762" i="1"/>
  <c r="C20762" i="1"/>
  <c r="A20763" i="1"/>
  <c r="C20763" i="1"/>
  <c r="A20764" i="1"/>
  <c r="C20764" i="1"/>
  <c r="A20765" i="1"/>
  <c r="C20765" i="1"/>
  <c r="A20766" i="1"/>
  <c r="C20766" i="1"/>
  <c r="A20767" i="1"/>
  <c r="C20767" i="1"/>
  <c r="A20768" i="1"/>
  <c r="C20768" i="1"/>
  <c r="A20769" i="1"/>
  <c r="C20769" i="1"/>
  <c r="A20770" i="1"/>
  <c r="C20770" i="1"/>
  <c r="A20771" i="1"/>
  <c r="C20771" i="1"/>
  <c r="A20772" i="1"/>
  <c r="C20772" i="1"/>
  <c r="A20773" i="1"/>
  <c r="C20773" i="1"/>
  <c r="A20774" i="1"/>
  <c r="C20774" i="1"/>
  <c r="A20775" i="1"/>
  <c r="C20775" i="1"/>
  <c r="A20776" i="1"/>
  <c r="C20776" i="1"/>
  <c r="A20777" i="1"/>
  <c r="C20777" i="1"/>
  <c r="A20778" i="1"/>
  <c r="C20778" i="1"/>
  <c r="A20779" i="1"/>
  <c r="C20779" i="1"/>
  <c r="A20780" i="1"/>
  <c r="C20780" i="1"/>
  <c r="A20781" i="1"/>
  <c r="C20781" i="1"/>
  <c r="A20782" i="1"/>
  <c r="C20782" i="1"/>
  <c r="A20783" i="1"/>
  <c r="C20783" i="1"/>
  <c r="A20784" i="1"/>
  <c r="C20784" i="1"/>
  <c r="A20785" i="1"/>
  <c r="C20785" i="1"/>
  <c r="A20786" i="1"/>
  <c r="C20786" i="1"/>
  <c r="A20787" i="1"/>
  <c r="C20787" i="1"/>
  <c r="A20788" i="1"/>
  <c r="C20788" i="1"/>
  <c r="A20789" i="1"/>
  <c r="C20789" i="1"/>
  <c r="A20790" i="1"/>
  <c r="C20790" i="1"/>
  <c r="A20791" i="1"/>
  <c r="C20791" i="1"/>
  <c r="A20792" i="1"/>
  <c r="C20792" i="1"/>
  <c r="A20793" i="1"/>
  <c r="C20793" i="1"/>
  <c r="A20794" i="1"/>
  <c r="C20794" i="1"/>
  <c r="A20795" i="1"/>
  <c r="C20795" i="1"/>
  <c r="A20796" i="1"/>
  <c r="C20796" i="1"/>
  <c r="A20797" i="1"/>
  <c r="C20797" i="1"/>
  <c r="A20798" i="1"/>
  <c r="C20798" i="1"/>
  <c r="A20799" i="1"/>
  <c r="C20799" i="1"/>
  <c r="A20800" i="1"/>
  <c r="C20800" i="1"/>
  <c r="A20801" i="1"/>
  <c r="C20801" i="1"/>
  <c r="A20802" i="1"/>
  <c r="C20802" i="1"/>
  <c r="A20803" i="1"/>
  <c r="C20803" i="1"/>
  <c r="A20804" i="1"/>
  <c r="C20804" i="1"/>
  <c r="A20805" i="1"/>
  <c r="C20805" i="1"/>
  <c r="A20806" i="1"/>
  <c r="C20806" i="1"/>
  <c r="A20807" i="1"/>
  <c r="C20807" i="1"/>
  <c r="A20808" i="1"/>
  <c r="C20808" i="1"/>
  <c r="A20809" i="1"/>
  <c r="C20809" i="1"/>
  <c r="A20810" i="1"/>
  <c r="C20810" i="1"/>
  <c r="A20811" i="1"/>
  <c r="C20811" i="1"/>
  <c r="A20812" i="1"/>
  <c r="C20812" i="1"/>
  <c r="A20813" i="1"/>
  <c r="C20813" i="1"/>
  <c r="A20814" i="1"/>
  <c r="C20814" i="1"/>
  <c r="A20815" i="1"/>
  <c r="C20815" i="1"/>
  <c r="A20816" i="1"/>
  <c r="C20816" i="1"/>
  <c r="A20817" i="1"/>
  <c r="C20817" i="1"/>
  <c r="A20818" i="1"/>
  <c r="C20818" i="1"/>
  <c r="A20819" i="1"/>
  <c r="C20819" i="1"/>
  <c r="A20820" i="1"/>
  <c r="C20820" i="1"/>
  <c r="A20821" i="1"/>
  <c r="C20821" i="1"/>
  <c r="A20822" i="1"/>
  <c r="C20822" i="1"/>
  <c r="A20823" i="1"/>
  <c r="C20823" i="1"/>
  <c r="A20824" i="1"/>
  <c r="C20824" i="1"/>
  <c r="A20825" i="1"/>
  <c r="C20825" i="1"/>
  <c r="A20826" i="1"/>
  <c r="C20826" i="1"/>
  <c r="A20827" i="1"/>
  <c r="C20827" i="1"/>
  <c r="A20828" i="1"/>
  <c r="C20828" i="1"/>
  <c r="A20829" i="1"/>
  <c r="C20829" i="1"/>
  <c r="A20830" i="1"/>
  <c r="C20830" i="1"/>
  <c r="A20831" i="1"/>
  <c r="C20831" i="1"/>
  <c r="A20832" i="1"/>
  <c r="C20832" i="1"/>
  <c r="A20833" i="1"/>
  <c r="C20833" i="1"/>
  <c r="A20834" i="1"/>
  <c r="C20834" i="1"/>
  <c r="A20835" i="1"/>
  <c r="C20835" i="1"/>
  <c r="A20836" i="1"/>
  <c r="C20836" i="1"/>
  <c r="A20837" i="1"/>
  <c r="C20837" i="1"/>
  <c r="A20838" i="1"/>
  <c r="C20838" i="1"/>
  <c r="A20839" i="1"/>
  <c r="C20839" i="1"/>
  <c r="A20840" i="1"/>
  <c r="C20840" i="1"/>
  <c r="A20841" i="1"/>
  <c r="C20841" i="1"/>
  <c r="A20842" i="1"/>
  <c r="C20842" i="1"/>
  <c r="A20843" i="1"/>
  <c r="C20843" i="1"/>
  <c r="A20844" i="1"/>
  <c r="C20844" i="1"/>
  <c r="A20845" i="1"/>
  <c r="C20845" i="1"/>
  <c r="A20846" i="1"/>
  <c r="C20846" i="1"/>
  <c r="A20847" i="1"/>
  <c r="C20847" i="1"/>
  <c r="A20848" i="1"/>
  <c r="C20848" i="1"/>
  <c r="A20849" i="1"/>
  <c r="C20849" i="1"/>
  <c r="A20850" i="1"/>
  <c r="C20850" i="1"/>
  <c r="A20851" i="1"/>
  <c r="C20851" i="1"/>
  <c r="A20852" i="1"/>
  <c r="C20852" i="1"/>
  <c r="A20853" i="1"/>
  <c r="C20853" i="1"/>
  <c r="A20854" i="1"/>
  <c r="C20854" i="1"/>
  <c r="A20855" i="1"/>
  <c r="C20855" i="1"/>
  <c r="A20856" i="1"/>
  <c r="C20856" i="1"/>
  <c r="A20857" i="1"/>
  <c r="C20857" i="1"/>
  <c r="A20858" i="1"/>
  <c r="C20858" i="1"/>
  <c r="A20859" i="1"/>
  <c r="C20859" i="1"/>
  <c r="A20860" i="1"/>
  <c r="C20860" i="1"/>
  <c r="A20861" i="1"/>
  <c r="C20861" i="1"/>
  <c r="A20862" i="1"/>
  <c r="C20862" i="1"/>
  <c r="A20863" i="1"/>
  <c r="C20863" i="1"/>
  <c r="A20864" i="1"/>
  <c r="C20864" i="1"/>
  <c r="A20865" i="1"/>
  <c r="C20865" i="1"/>
  <c r="A20866" i="1"/>
  <c r="C20866" i="1"/>
  <c r="A20867" i="1"/>
  <c r="C20867" i="1"/>
  <c r="A20868" i="1"/>
  <c r="C20868" i="1"/>
  <c r="A20869" i="1"/>
  <c r="C20869" i="1"/>
  <c r="A20870" i="1"/>
  <c r="C20870" i="1"/>
  <c r="A20871" i="1"/>
  <c r="C20871" i="1"/>
  <c r="A20872" i="1"/>
  <c r="C20872" i="1"/>
  <c r="A20873" i="1"/>
  <c r="C20873" i="1"/>
  <c r="A20874" i="1"/>
  <c r="C20874" i="1"/>
  <c r="A20875" i="1"/>
  <c r="C20875" i="1"/>
  <c r="A20876" i="1"/>
  <c r="C20876" i="1"/>
  <c r="A20877" i="1"/>
  <c r="C20877" i="1"/>
  <c r="A20878" i="1"/>
  <c r="C20878" i="1"/>
  <c r="A20879" i="1"/>
  <c r="C20879" i="1"/>
  <c r="A20880" i="1"/>
  <c r="C20880" i="1"/>
  <c r="A20881" i="1"/>
  <c r="C20881" i="1"/>
  <c r="A20882" i="1"/>
  <c r="C20882" i="1"/>
  <c r="A20883" i="1"/>
  <c r="C20883" i="1"/>
  <c r="A20884" i="1"/>
  <c r="C20884" i="1"/>
  <c r="A20885" i="1"/>
  <c r="C20885" i="1"/>
  <c r="A20886" i="1"/>
  <c r="C20886" i="1"/>
  <c r="A20887" i="1"/>
  <c r="C20887" i="1"/>
  <c r="A20888" i="1"/>
  <c r="C20888" i="1"/>
  <c r="A20889" i="1"/>
  <c r="C20889" i="1"/>
  <c r="A20890" i="1"/>
  <c r="C20890" i="1"/>
  <c r="A20891" i="1"/>
  <c r="C20891" i="1"/>
  <c r="A20892" i="1"/>
  <c r="C20892" i="1"/>
  <c r="A20893" i="1"/>
  <c r="C20893" i="1"/>
  <c r="A20894" i="1"/>
  <c r="C20894" i="1"/>
  <c r="A20895" i="1"/>
  <c r="C20895" i="1"/>
  <c r="A20896" i="1"/>
  <c r="C20896" i="1"/>
  <c r="A20897" i="1"/>
  <c r="C20897" i="1"/>
  <c r="A20898" i="1"/>
  <c r="C20898" i="1"/>
  <c r="A20899" i="1"/>
  <c r="C20899" i="1"/>
  <c r="A20900" i="1"/>
  <c r="C20900" i="1"/>
  <c r="A20901" i="1"/>
  <c r="C20901" i="1"/>
  <c r="A20902" i="1"/>
  <c r="C20902" i="1"/>
  <c r="A20903" i="1"/>
  <c r="C20903" i="1"/>
  <c r="A20904" i="1"/>
  <c r="C20904" i="1"/>
  <c r="A20905" i="1"/>
  <c r="C20905" i="1"/>
  <c r="A20906" i="1"/>
  <c r="C20906" i="1"/>
  <c r="A20907" i="1"/>
  <c r="C20907" i="1"/>
  <c r="A20908" i="1"/>
  <c r="C20908" i="1"/>
  <c r="A20909" i="1"/>
  <c r="C20909" i="1"/>
  <c r="A20910" i="1"/>
  <c r="C20910" i="1"/>
  <c r="A20911" i="1"/>
  <c r="C20911" i="1"/>
  <c r="A20912" i="1"/>
  <c r="C20912" i="1"/>
  <c r="A20913" i="1"/>
  <c r="C20913" i="1"/>
  <c r="A20914" i="1"/>
  <c r="C20914" i="1"/>
  <c r="A20915" i="1"/>
  <c r="C20915" i="1"/>
  <c r="A20916" i="1"/>
  <c r="C20916" i="1"/>
  <c r="A20917" i="1"/>
  <c r="C20917" i="1"/>
  <c r="A20918" i="1"/>
  <c r="C20918" i="1"/>
  <c r="A20919" i="1"/>
  <c r="C20919" i="1"/>
  <c r="A20920" i="1"/>
  <c r="C20920" i="1"/>
  <c r="A20921" i="1"/>
  <c r="C20921" i="1"/>
  <c r="A20922" i="1"/>
  <c r="C20922" i="1"/>
  <c r="A20923" i="1"/>
  <c r="C20923" i="1"/>
  <c r="A20924" i="1"/>
  <c r="C20924" i="1"/>
  <c r="A20925" i="1"/>
  <c r="C20925" i="1"/>
  <c r="A20926" i="1"/>
  <c r="C20926" i="1"/>
  <c r="A20927" i="1"/>
  <c r="C20927" i="1"/>
  <c r="A20928" i="1"/>
  <c r="C20928" i="1"/>
  <c r="A20929" i="1"/>
  <c r="C20929" i="1"/>
  <c r="A20930" i="1"/>
  <c r="C20930" i="1"/>
  <c r="A20931" i="1"/>
  <c r="C20931" i="1"/>
  <c r="A20932" i="1"/>
  <c r="C20932" i="1"/>
  <c r="A20933" i="1"/>
  <c r="C20933" i="1"/>
  <c r="A20934" i="1"/>
  <c r="C20934" i="1"/>
  <c r="A20935" i="1"/>
  <c r="C20935" i="1"/>
  <c r="A20936" i="1"/>
  <c r="C20936" i="1"/>
  <c r="A20937" i="1"/>
  <c r="C20937" i="1"/>
  <c r="A20938" i="1"/>
  <c r="C20938" i="1"/>
  <c r="A20939" i="1"/>
  <c r="C20939" i="1"/>
  <c r="A20940" i="1"/>
  <c r="C20940" i="1"/>
  <c r="A20941" i="1"/>
  <c r="C20941" i="1"/>
  <c r="A20942" i="1"/>
  <c r="C20942" i="1"/>
  <c r="A20943" i="1"/>
  <c r="C20943" i="1"/>
  <c r="A20944" i="1"/>
  <c r="C20944" i="1"/>
  <c r="A20945" i="1"/>
  <c r="C20945" i="1"/>
  <c r="A20946" i="1"/>
  <c r="C20946" i="1"/>
  <c r="A20947" i="1"/>
  <c r="C20947" i="1"/>
  <c r="A20948" i="1"/>
  <c r="C20948" i="1"/>
  <c r="A20949" i="1"/>
  <c r="C20949" i="1"/>
  <c r="A20950" i="1"/>
  <c r="C20950" i="1"/>
  <c r="A20951" i="1"/>
  <c r="C20951" i="1"/>
  <c r="A20952" i="1"/>
  <c r="C20952" i="1"/>
  <c r="A20953" i="1"/>
  <c r="C20953" i="1"/>
  <c r="A20954" i="1"/>
  <c r="C20954" i="1"/>
  <c r="A20955" i="1"/>
  <c r="C20955" i="1"/>
  <c r="A20956" i="1"/>
  <c r="C20956" i="1"/>
  <c r="A20957" i="1"/>
  <c r="C20957" i="1"/>
  <c r="A20958" i="1"/>
  <c r="C20958" i="1"/>
  <c r="A20959" i="1"/>
  <c r="C20959" i="1"/>
  <c r="A20960" i="1"/>
  <c r="C20960" i="1"/>
  <c r="A20961" i="1"/>
  <c r="C20961" i="1"/>
  <c r="A20962" i="1"/>
  <c r="C20962" i="1"/>
  <c r="A20963" i="1"/>
  <c r="C20963" i="1"/>
  <c r="A20964" i="1"/>
  <c r="C20964" i="1"/>
  <c r="A20965" i="1"/>
  <c r="C20965" i="1"/>
  <c r="A20966" i="1"/>
  <c r="C20966" i="1"/>
  <c r="A20967" i="1"/>
  <c r="C20967" i="1"/>
  <c r="A20968" i="1"/>
  <c r="C20968" i="1"/>
  <c r="A20969" i="1"/>
  <c r="C20969" i="1"/>
  <c r="A20970" i="1"/>
  <c r="C20970" i="1"/>
  <c r="A20971" i="1"/>
  <c r="C20971" i="1"/>
  <c r="A20972" i="1"/>
  <c r="C20972" i="1"/>
  <c r="A20973" i="1"/>
  <c r="C20973" i="1"/>
  <c r="A20974" i="1"/>
  <c r="C20974" i="1"/>
  <c r="A20975" i="1"/>
  <c r="C20975" i="1"/>
  <c r="A20976" i="1"/>
  <c r="C20976" i="1"/>
  <c r="A20977" i="1"/>
  <c r="C20977" i="1"/>
  <c r="A20978" i="1"/>
  <c r="C20978" i="1"/>
  <c r="A20979" i="1"/>
  <c r="C20979" i="1"/>
  <c r="A20980" i="1"/>
  <c r="C20980" i="1"/>
  <c r="A20981" i="1"/>
  <c r="C20981" i="1"/>
  <c r="A20982" i="1"/>
  <c r="C20982" i="1"/>
  <c r="A20983" i="1"/>
  <c r="C20983" i="1"/>
  <c r="A20984" i="1"/>
  <c r="C20984" i="1"/>
  <c r="A20985" i="1"/>
  <c r="C20985" i="1"/>
  <c r="A20986" i="1"/>
  <c r="C20986" i="1"/>
  <c r="A20987" i="1"/>
  <c r="C20987" i="1"/>
  <c r="A20988" i="1"/>
  <c r="C20988" i="1"/>
  <c r="A20989" i="1"/>
  <c r="C20989" i="1"/>
  <c r="A20990" i="1"/>
  <c r="C20990" i="1"/>
  <c r="A20991" i="1"/>
  <c r="C20991" i="1"/>
  <c r="A20992" i="1"/>
  <c r="C20992" i="1"/>
  <c r="A20993" i="1"/>
  <c r="C20993" i="1"/>
  <c r="A20994" i="1"/>
  <c r="C20994" i="1"/>
  <c r="A20995" i="1"/>
  <c r="C20995" i="1"/>
  <c r="A20996" i="1"/>
  <c r="C20996" i="1"/>
  <c r="A20997" i="1"/>
  <c r="C20997" i="1"/>
  <c r="A20998" i="1"/>
  <c r="C20998" i="1"/>
  <c r="A20999" i="1"/>
  <c r="C20999" i="1"/>
  <c r="A21000" i="1"/>
  <c r="C21000" i="1"/>
  <c r="A21001" i="1"/>
  <c r="C21001" i="1"/>
  <c r="A21002" i="1"/>
  <c r="C21002" i="1"/>
  <c r="A21003" i="1"/>
  <c r="C21003" i="1"/>
  <c r="A21004" i="1"/>
  <c r="C21004" i="1"/>
  <c r="A21005" i="1"/>
  <c r="C21005" i="1"/>
  <c r="A21006" i="1"/>
  <c r="C21006" i="1"/>
  <c r="A21007" i="1"/>
  <c r="C21007" i="1"/>
  <c r="A21008" i="1"/>
  <c r="C21008" i="1"/>
  <c r="A21009" i="1"/>
  <c r="C21009" i="1"/>
  <c r="A21010" i="1"/>
  <c r="C21010" i="1"/>
  <c r="A21011" i="1"/>
  <c r="C21011" i="1"/>
  <c r="A21012" i="1"/>
  <c r="C21012" i="1"/>
  <c r="A21013" i="1"/>
  <c r="C21013" i="1"/>
  <c r="A21014" i="1"/>
  <c r="C21014" i="1"/>
  <c r="A21015" i="1"/>
  <c r="C21015" i="1"/>
  <c r="A21016" i="1"/>
  <c r="C21016" i="1"/>
  <c r="A21017" i="1"/>
  <c r="C21017" i="1"/>
  <c r="A21018" i="1"/>
  <c r="C21018" i="1"/>
  <c r="A21019" i="1"/>
  <c r="C21019" i="1"/>
  <c r="A21020" i="1"/>
  <c r="C21020" i="1"/>
  <c r="A21021" i="1"/>
  <c r="C21021" i="1"/>
  <c r="A21022" i="1"/>
  <c r="C21022" i="1"/>
  <c r="A21023" i="1"/>
  <c r="C21023" i="1"/>
  <c r="A21024" i="1"/>
  <c r="C21024" i="1"/>
  <c r="A21025" i="1"/>
  <c r="C21025" i="1"/>
  <c r="A21026" i="1"/>
  <c r="C21026" i="1"/>
  <c r="A21027" i="1"/>
  <c r="C21027" i="1"/>
  <c r="A21028" i="1"/>
  <c r="C21028" i="1"/>
  <c r="A21029" i="1"/>
  <c r="C21029" i="1"/>
  <c r="A21030" i="1"/>
  <c r="C21030" i="1"/>
  <c r="A21031" i="1"/>
  <c r="C21031" i="1"/>
  <c r="A21032" i="1"/>
  <c r="C21032" i="1"/>
  <c r="A21033" i="1"/>
  <c r="C21033" i="1"/>
  <c r="A21034" i="1"/>
  <c r="C21034" i="1"/>
  <c r="A21035" i="1"/>
  <c r="C21035" i="1"/>
  <c r="A21036" i="1"/>
  <c r="C21036" i="1"/>
  <c r="A21037" i="1"/>
  <c r="C21037" i="1"/>
  <c r="A21038" i="1"/>
  <c r="C21038" i="1"/>
  <c r="A21039" i="1"/>
  <c r="C21039" i="1"/>
  <c r="A21040" i="1"/>
  <c r="C21040" i="1"/>
  <c r="A21041" i="1"/>
  <c r="C21041" i="1"/>
  <c r="A21042" i="1"/>
  <c r="C21042" i="1"/>
  <c r="A21043" i="1"/>
  <c r="C21043" i="1"/>
  <c r="A21044" i="1"/>
  <c r="C21044" i="1"/>
  <c r="A21045" i="1"/>
  <c r="C21045" i="1"/>
  <c r="A21046" i="1"/>
  <c r="C21046" i="1"/>
  <c r="A21047" i="1"/>
  <c r="C21047" i="1"/>
  <c r="A21048" i="1"/>
  <c r="C21048" i="1"/>
  <c r="A21049" i="1"/>
  <c r="C21049" i="1"/>
  <c r="A21050" i="1"/>
  <c r="C21050" i="1"/>
  <c r="A21051" i="1"/>
  <c r="C21051" i="1"/>
  <c r="A21052" i="1"/>
  <c r="C21052" i="1"/>
  <c r="A21053" i="1"/>
  <c r="C21053" i="1"/>
  <c r="A21054" i="1"/>
  <c r="C21054" i="1"/>
  <c r="A21055" i="1"/>
  <c r="C21055" i="1"/>
  <c r="A21056" i="1"/>
  <c r="C21056" i="1"/>
  <c r="A21057" i="1"/>
  <c r="C21057" i="1"/>
  <c r="A21058" i="1"/>
  <c r="C21058" i="1"/>
  <c r="A21059" i="1"/>
  <c r="C21059" i="1"/>
  <c r="A21060" i="1"/>
  <c r="C21060" i="1"/>
  <c r="A21061" i="1"/>
  <c r="C21061" i="1"/>
  <c r="A21062" i="1"/>
  <c r="C21062" i="1"/>
  <c r="A21063" i="1"/>
  <c r="C21063" i="1"/>
  <c r="A21064" i="1"/>
  <c r="C21064" i="1"/>
  <c r="A21065" i="1"/>
  <c r="C21065" i="1"/>
  <c r="A21066" i="1"/>
  <c r="C21066" i="1"/>
  <c r="A21067" i="1"/>
  <c r="C21067" i="1"/>
  <c r="A21068" i="1"/>
  <c r="C21068" i="1"/>
  <c r="A21069" i="1"/>
  <c r="C21069" i="1"/>
  <c r="A21070" i="1"/>
  <c r="C21070" i="1"/>
  <c r="A21071" i="1"/>
  <c r="C21071" i="1"/>
  <c r="A21072" i="1"/>
  <c r="C21072" i="1"/>
  <c r="A21073" i="1"/>
  <c r="C21073" i="1"/>
  <c r="A21074" i="1"/>
  <c r="C21074" i="1"/>
  <c r="A21075" i="1"/>
  <c r="C21075" i="1"/>
  <c r="A21076" i="1"/>
  <c r="C21076" i="1"/>
  <c r="A21077" i="1"/>
  <c r="C21077" i="1"/>
  <c r="A21078" i="1"/>
  <c r="C21078" i="1"/>
  <c r="A21079" i="1"/>
  <c r="C21079" i="1"/>
  <c r="A21080" i="1"/>
  <c r="C21080" i="1"/>
  <c r="A21081" i="1"/>
  <c r="C21081" i="1"/>
  <c r="A21082" i="1"/>
  <c r="C21082" i="1"/>
  <c r="A21083" i="1"/>
  <c r="C21083" i="1"/>
  <c r="A21084" i="1"/>
  <c r="C21084" i="1"/>
  <c r="A21085" i="1"/>
  <c r="C21085" i="1"/>
  <c r="A21086" i="1"/>
  <c r="C21086" i="1"/>
  <c r="A21087" i="1"/>
  <c r="C21087" i="1"/>
  <c r="A21088" i="1"/>
  <c r="C21088" i="1"/>
  <c r="A21089" i="1"/>
  <c r="C21089" i="1"/>
  <c r="A21090" i="1"/>
  <c r="C21090" i="1"/>
  <c r="A21091" i="1"/>
  <c r="C21091" i="1"/>
  <c r="A21092" i="1"/>
  <c r="C21092" i="1"/>
  <c r="A21093" i="1"/>
  <c r="C21093" i="1"/>
  <c r="A21094" i="1"/>
  <c r="C21094" i="1"/>
  <c r="A21095" i="1"/>
  <c r="C21095" i="1"/>
  <c r="A21096" i="1"/>
  <c r="C21096" i="1"/>
  <c r="A21097" i="1"/>
  <c r="C21097" i="1"/>
  <c r="A21098" i="1"/>
  <c r="C21098" i="1"/>
  <c r="A21099" i="1"/>
  <c r="C21099" i="1"/>
  <c r="A21100" i="1"/>
  <c r="C21100" i="1"/>
  <c r="A21101" i="1"/>
  <c r="C21101" i="1"/>
  <c r="A21102" i="1"/>
  <c r="C21102" i="1"/>
  <c r="A21103" i="1"/>
  <c r="C21103" i="1"/>
  <c r="A21104" i="1"/>
  <c r="C21104" i="1"/>
  <c r="A21105" i="1"/>
  <c r="C21105" i="1"/>
  <c r="A21106" i="1"/>
  <c r="C21106" i="1"/>
  <c r="A21107" i="1"/>
  <c r="C21107" i="1"/>
  <c r="A21108" i="1"/>
  <c r="C21108" i="1"/>
  <c r="A21109" i="1"/>
  <c r="C21109" i="1"/>
  <c r="A21110" i="1"/>
  <c r="C21110" i="1"/>
  <c r="A21111" i="1"/>
  <c r="C21111" i="1"/>
  <c r="A21112" i="1"/>
  <c r="C21112" i="1"/>
  <c r="A21113" i="1"/>
  <c r="C21113" i="1"/>
  <c r="A21114" i="1"/>
  <c r="C21114" i="1"/>
  <c r="A21115" i="1"/>
  <c r="C21115" i="1"/>
  <c r="A21116" i="1"/>
  <c r="C21116" i="1"/>
  <c r="A21117" i="1"/>
  <c r="C21117" i="1"/>
  <c r="A21118" i="1"/>
  <c r="C21118" i="1"/>
  <c r="A21119" i="1"/>
  <c r="C21119" i="1"/>
  <c r="A21120" i="1"/>
  <c r="C21120" i="1"/>
  <c r="A21121" i="1"/>
  <c r="C21121" i="1"/>
  <c r="A21122" i="1"/>
  <c r="C21122" i="1"/>
  <c r="A21123" i="1"/>
  <c r="C21123" i="1"/>
  <c r="A21124" i="1"/>
  <c r="C21124" i="1"/>
  <c r="A21125" i="1"/>
  <c r="C21125" i="1"/>
  <c r="A21126" i="1"/>
  <c r="C21126" i="1"/>
  <c r="A21127" i="1"/>
  <c r="C21127" i="1"/>
  <c r="A21128" i="1"/>
  <c r="C21128" i="1"/>
  <c r="A21129" i="1"/>
  <c r="C21129" i="1"/>
  <c r="A21130" i="1"/>
  <c r="C21130" i="1"/>
  <c r="A21131" i="1"/>
  <c r="C21131" i="1"/>
  <c r="A21132" i="1"/>
  <c r="C21132" i="1"/>
  <c r="A21133" i="1"/>
  <c r="C21133" i="1"/>
  <c r="A21134" i="1"/>
  <c r="C21134" i="1"/>
  <c r="A21135" i="1"/>
  <c r="C21135" i="1"/>
  <c r="A21136" i="1"/>
  <c r="C21136" i="1"/>
  <c r="A21137" i="1"/>
  <c r="C21137" i="1"/>
  <c r="A21138" i="1"/>
  <c r="C21138" i="1"/>
  <c r="A21139" i="1"/>
  <c r="C21139" i="1"/>
  <c r="A21140" i="1"/>
  <c r="C21140" i="1"/>
  <c r="A21141" i="1"/>
  <c r="C21141" i="1"/>
  <c r="A21142" i="1"/>
  <c r="C21142" i="1"/>
  <c r="A21143" i="1"/>
  <c r="C21143" i="1"/>
  <c r="A21144" i="1"/>
  <c r="C21144" i="1"/>
  <c r="A21145" i="1"/>
  <c r="C21145" i="1"/>
  <c r="A21146" i="1"/>
  <c r="C21146" i="1"/>
  <c r="A21147" i="1"/>
  <c r="C21147" i="1"/>
  <c r="A21148" i="1"/>
  <c r="C21148" i="1"/>
  <c r="A21149" i="1"/>
  <c r="C21149" i="1"/>
  <c r="A21150" i="1"/>
  <c r="C21150" i="1"/>
  <c r="A21151" i="1"/>
  <c r="C21151" i="1"/>
  <c r="A21152" i="1"/>
  <c r="C21152" i="1"/>
  <c r="A21153" i="1"/>
  <c r="C21153" i="1"/>
  <c r="A21154" i="1"/>
  <c r="C21154" i="1"/>
  <c r="A21155" i="1"/>
  <c r="C21155" i="1"/>
  <c r="A21156" i="1"/>
  <c r="C21156" i="1"/>
  <c r="A21157" i="1"/>
  <c r="C21157" i="1"/>
  <c r="A21158" i="1"/>
  <c r="C21158" i="1"/>
  <c r="A21159" i="1"/>
  <c r="C21159" i="1"/>
  <c r="A21160" i="1"/>
  <c r="C21160" i="1"/>
  <c r="A21161" i="1"/>
  <c r="C21161" i="1"/>
  <c r="A21162" i="1"/>
  <c r="C21162" i="1"/>
  <c r="A21163" i="1"/>
  <c r="C21163" i="1"/>
  <c r="A21164" i="1"/>
  <c r="C21164" i="1"/>
  <c r="A21165" i="1"/>
  <c r="C21165" i="1"/>
  <c r="A21166" i="1"/>
  <c r="C21166" i="1"/>
  <c r="A21167" i="1"/>
  <c r="C21167" i="1"/>
  <c r="A21168" i="1"/>
  <c r="C21168" i="1"/>
  <c r="A21169" i="1"/>
  <c r="C21169" i="1"/>
  <c r="A21170" i="1"/>
  <c r="C21170" i="1"/>
  <c r="A21171" i="1"/>
  <c r="C21171" i="1"/>
  <c r="A21172" i="1"/>
  <c r="C21172" i="1"/>
  <c r="A21173" i="1"/>
  <c r="C21173" i="1"/>
  <c r="A21174" i="1"/>
  <c r="C21174" i="1"/>
  <c r="A21175" i="1"/>
  <c r="C21175" i="1"/>
  <c r="A21176" i="1"/>
  <c r="C21176" i="1"/>
  <c r="A21177" i="1"/>
  <c r="C21177" i="1"/>
  <c r="A21178" i="1"/>
  <c r="C21178" i="1"/>
  <c r="A21179" i="1"/>
  <c r="C21179" i="1"/>
  <c r="A21180" i="1"/>
  <c r="C21180" i="1"/>
  <c r="A21181" i="1"/>
  <c r="C21181" i="1"/>
  <c r="A21182" i="1"/>
  <c r="C21182" i="1"/>
  <c r="A21183" i="1"/>
  <c r="C21183" i="1"/>
  <c r="A21184" i="1"/>
  <c r="C21184" i="1"/>
  <c r="A21185" i="1"/>
  <c r="C21185" i="1"/>
  <c r="A21186" i="1"/>
  <c r="C21186" i="1"/>
  <c r="A21187" i="1"/>
  <c r="C21187" i="1"/>
  <c r="A21188" i="1"/>
  <c r="C21188" i="1"/>
  <c r="A21189" i="1"/>
  <c r="C21189" i="1"/>
  <c r="A21190" i="1"/>
  <c r="C21190" i="1"/>
  <c r="A21191" i="1"/>
  <c r="C21191" i="1"/>
  <c r="A21192" i="1"/>
  <c r="C21192" i="1"/>
  <c r="A21193" i="1"/>
  <c r="C21193" i="1"/>
  <c r="A21194" i="1"/>
  <c r="C21194" i="1"/>
  <c r="A21195" i="1"/>
  <c r="C21195" i="1"/>
  <c r="A21196" i="1"/>
  <c r="C21196" i="1"/>
  <c r="A21197" i="1"/>
  <c r="C21197" i="1"/>
  <c r="A21198" i="1"/>
  <c r="C21198" i="1"/>
  <c r="A21199" i="1"/>
  <c r="C21199" i="1"/>
  <c r="A21200" i="1"/>
  <c r="C21200" i="1"/>
  <c r="A21201" i="1"/>
  <c r="C21201" i="1"/>
  <c r="A21202" i="1"/>
  <c r="C21202" i="1"/>
  <c r="A21203" i="1"/>
  <c r="C21203" i="1"/>
  <c r="A21204" i="1"/>
  <c r="C21204" i="1"/>
  <c r="A21205" i="1"/>
  <c r="C21205" i="1"/>
  <c r="A21206" i="1"/>
  <c r="C21206" i="1"/>
  <c r="A21207" i="1"/>
  <c r="C21207" i="1"/>
  <c r="A21208" i="1"/>
  <c r="C21208" i="1"/>
  <c r="A21209" i="1"/>
  <c r="C21209" i="1"/>
  <c r="A21210" i="1"/>
  <c r="C21210" i="1"/>
  <c r="A21211" i="1"/>
  <c r="C21211" i="1"/>
  <c r="A21212" i="1"/>
  <c r="C21212" i="1"/>
  <c r="A21213" i="1"/>
  <c r="C21213" i="1"/>
  <c r="A21214" i="1"/>
  <c r="C21214" i="1"/>
  <c r="A21215" i="1"/>
  <c r="C21215" i="1"/>
  <c r="A21216" i="1"/>
  <c r="C21216" i="1"/>
  <c r="A21217" i="1"/>
  <c r="C21217" i="1"/>
  <c r="A21218" i="1"/>
  <c r="C21218" i="1"/>
  <c r="A21219" i="1"/>
  <c r="C21219" i="1"/>
  <c r="A21220" i="1"/>
  <c r="C21220" i="1"/>
  <c r="A21221" i="1"/>
  <c r="C21221" i="1"/>
  <c r="A21222" i="1"/>
  <c r="C21222" i="1"/>
  <c r="A21223" i="1"/>
  <c r="C21223" i="1"/>
  <c r="A21224" i="1"/>
  <c r="C21224" i="1"/>
  <c r="A21225" i="1"/>
  <c r="C21225" i="1"/>
  <c r="A21226" i="1"/>
  <c r="C21226" i="1"/>
  <c r="A21227" i="1"/>
  <c r="C21227" i="1"/>
  <c r="A21228" i="1"/>
  <c r="C21228" i="1"/>
  <c r="A21229" i="1"/>
  <c r="C21229" i="1"/>
  <c r="A21230" i="1"/>
  <c r="C21230" i="1"/>
  <c r="A21231" i="1"/>
  <c r="C21231" i="1"/>
  <c r="A21232" i="1"/>
  <c r="C21232" i="1"/>
  <c r="A21233" i="1"/>
  <c r="C21233" i="1"/>
  <c r="A21234" i="1"/>
  <c r="C21234" i="1"/>
  <c r="A21235" i="1"/>
  <c r="C21235" i="1"/>
  <c r="A21236" i="1"/>
  <c r="C21236" i="1"/>
  <c r="A21237" i="1"/>
  <c r="C21237" i="1"/>
  <c r="A21238" i="1"/>
  <c r="C21238" i="1"/>
  <c r="A21239" i="1"/>
  <c r="C21239" i="1"/>
  <c r="A21240" i="1"/>
  <c r="C21240" i="1"/>
  <c r="A21241" i="1"/>
  <c r="C21241" i="1"/>
  <c r="A21242" i="1"/>
  <c r="C21242" i="1"/>
  <c r="A21243" i="1"/>
  <c r="C21243" i="1"/>
  <c r="A21244" i="1"/>
  <c r="C21244" i="1"/>
  <c r="A21245" i="1"/>
  <c r="C21245" i="1"/>
  <c r="A21246" i="1"/>
  <c r="C21246" i="1"/>
  <c r="A21247" i="1"/>
  <c r="C21247" i="1"/>
  <c r="A21248" i="1"/>
  <c r="C21248" i="1"/>
  <c r="A21249" i="1"/>
  <c r="C21249" i="1"/>
  <c r="A21250" i="1"/>
  <c r="C21250" i="1"/>
  <c r="A21251" i="1"/>
  <c r="C21251" i="1"/>
  <c r="A21252" i="1"/>
  <c r="C21252" i="1"/>
  <c r="A21253" i="1"/>
  <c r="C21253" i="1"/>
  <c r="A21254" i="1"/>
  <c r="C21254" i="1"/>
  <c r="A21255" i="1"/>
  <c r="C21255" i="1"/>
  <c r="A21256" i="1"/>
  <c r="C21256" i="1"/>
  <c r="A21257" i="1"/>
  <c r="C21257" i="1"/>
  <c r="A21258" i="1"/>
  <c r="C21258" i="1"/>
  <c r="A21259" i="1"/>
  <c r="C21259" i="1"/>
  <c r="A21260" i="1"/>
  <c r="C21260" i="1"/>
  <c r="A21261" i="1"/>
  <c r="C21261" i="1"/>
  <c r="A21262" i="1"/>
  <c r="C21262" i="1"/>
  <c r="A21263" i="1"/>
  <c r="C21263" i="1"/>
  <c r="A21264" i="1"/>
  <c r="C21264" i="1"/>
  <c r="A21265" i="1"/>
  <c r="C21265" i="1"/>
  <c r="A21266" i="1"/>
  <c r="C21266" i="1"/>
  <c r="A21267" i="1"/>
  <c r="C21267" i="1"/>
  <c r="A21268" i="1"/>
  <c r="C21268" i="1"/>
  <c r="A21269" i="1"/>
  <c r="C21269" i="1"/>
  <c r="A21270" i="1"/>
  <c r="C21270" i="1"/>
  <c r="A21271" i="1"/>
  <c r="C21271" i="1"/>
  <c r="A21272" i="1"/>
  <c r="C21272" i="1"/>
  <c r="A21273" i="1"/>
  <c r="C21273" i="1"/>
  <c r="A21274" i="1"/>
  <c r="C21274" i="1"/>
  <c r="A21275" i="1"/>
  <c r="C21275" i="1"/>
  <c r="A21276" i="1"/>
  <c r="C21276" i="1"/>
  <c r="A21277" i="1"/>
  <c r="C21277" i="1"/>
  <c r="A21278" i="1"/>
  <c r="C21278" i="1"/>
  <c r="A21279" i="1"/>
  <c r="C21279" i="1"/>
  <c r="A21280" i="1"/>
  <c r="C21280" i="1"/>
  <c r="A21281" i="1"/>
  <c r="C21281" i="1"/>
  <c r="A21282" i="1"/>
  <c r="C21282" i="1"/>
  <c r="A21283" i="1"/>
  <c r="C21283" i="1"/>
  <c r="A21284" i="1"/>
  <c r="C21284" i="1"/>
  <c r="A21285" i="1"/>
  <c r="C21285" i="1"/>
  <c r="A21286" i="1"/>
  <c r="C21286" i="1"/>
  <c r="A21287" i="1"/>
  <c r="C21287" i="1"/>
  <c r="A21288" i="1"/>
  <c r="C21288" i="1"/>
  <c r="A21289" i="1"/>
  <c r="C21289" i="1"/>
  <c r="A21290" i="1"/>
  <c r="C21290" i="1"/>
  <c r="A21291" i="1"/>
  <c r="C21291" i="1"/>
  <c r="A21292" i="1"/>
  <c r="C21292" i="1"/>
  <c r="A21293" i="1"/>
  <c r="C21293" i="1"/>
  <c r="A21294" i="1"/>
  <c r="C21294" i="1"/>
  <c r="A21295" i="1"/>
  <c r="C21295" i="1"/>
  <c r="A21296" i="1"/>
  <c r="C21296" i="1"/>
  <c r="A21297" i="1"/>
  <c r="C21297" i="1"/>
  <c r="A21298" i="1"/>
  <c r="C21298" i="1"/>
  <c r="A21299" i="1"/>
  <c r="C21299" i="1"/>
  <c r="A21300" i="1"/>
  <c r="C21300" i="1"/>
  <c r="A21301" i="1"/>
  <c r="C21301" i="1"/>
  <c r="A21302" i="1"/>
  <c r="C21302" i="1"/>
  <c r="A21303" i="1"/>
  <c r="C21303" i="1"/>
  <c r="A21304" i="1"/>
  <c r="C21304" i="1"/>
  <c r="A21305" i="1"/>
  <c r="C21305" i="1"/>
  <c r="A21306" i="1"/>
  <c r="C21306" i="1"/>
  <c r="A21307" i="1"/>
  <c r="C21307" i="1"/>
  <c r="A21308" i="1"/>
  <c r="C21308" i="1"/>
  <c r="A21309" i="1"/>
  <c r="C21309" i="1"/>
  <c r="A21310" i="1"/>
  <c r="C21310" i="1"/>
  <c r="A21311" i="1"/>
  <c r="C21311" i="1"/>
  <c r="A21312" i="1"/>
  <c r="C21312" i="1"/>
  <c r="A21313" i="1"/>
  <c r="C21313" i="1"/>
  <c r="A21314" i="1"/>
  <c r="C21314" i="1"/>
  <c r="A21315" i="1"/>
  <c r="C21315" i="1"/>
  <c r="A21316" i="1"/>
  <c r="C21316" i="1"/>
  <c r="A21317" i="1"/>
  <c r="C21317" i="1"/>
  <c r="A21318" i="1"/>
  <c r="C21318" i="1"/>
  <c r="A21319" i="1"/>
  <c r="C21319" i="1"/>
  <c r="A21320" i="1"/>
  <c r="C21320" i="1"/>
  <c r="A21321" i="1"/>
  <c r="C21321" i="1"/>
  <c r="A21322" i="1"/>
  <c r="C21322" i="1"/>
  <c r="A21323" i="1"/>
  <c r="C21323" i="1"/>
  <c r="A21324" i="1"/>
  <c r="C21324" i="1"/>
  <c r="A21325" i="1"/>
  <c r="C21325" i="1"/>
  <c r="A21326" i="1"/>
  <c r="C21326" i="1"/>
  <c r="A21327" i="1"/>
  <c r="C21327" i="1"/>
  <c r="A21328" i="1"/>
  <c r="C21328" i="1"/>
  <c r="A21329" i="1"/>
  <c r="C21329" i="1"/>
  <c r="A21330" i="1"/>
  <c r="C21330" i="1"/>
  <c r="A21331" i="1"/>
  <c r="C21331" i="1"/>
  <c r="A21332" i="1"/>
  <c r="C21332" i="1"/>
  <c r="A21333" i="1"/>
  <c r="C21333" i="1"/>
  <c r="A21334" i="1"/>
  <c r="C21334" i="1"/>
  <c r="A21335" i="1"/>
  <c r="C21335" i="1"/>
  <c r="A21336" i="1"/>
  <c r="C21336" i="1"/>
  <c r="A21337" i="1"/>
  <c r="C21337" i="1"/>
  <c r="A21338" i="1"/>
  <c r="C21338" i="1"/>
  <c r="A21339" i="1"/>
  <c r="C21339" i="1"/>
  <c r="A21340" i="1"/>
  <c r="C21340" i="1"/>
  <c r="A21341" i="1"/>
  <c r="C21341" i="1"/>
  <c r="A21342" i="1"/>
  <c r="C21342" i="1"/>
  <c r="A21343" i="1"/>
  <c r="C21343" i="1"/>
  <c r="A21344" i="1"/>
  <c r="C21344" i="1"/>
  <c r="A21345" i="1"/>
  <c r="C21345" i="1"/>
  <c r="A21346" i="1"/>
  <c r="C21346" i="1"/>
  <c r="A21347" i="1"/>
  <c r="C21347" i="1"/>
  <c r="A21348" i="1"/>
  <c r="C21348" i="1"/>
  <c r="A21349" i="1"/>
  <c r="C21349" i="1"/>
  <c r="A21350" i="1"/>
  <c r="C21350" i="1"/>
  <c r="A21351" i="1"/>
  <c r="C21351" i="1"/>
  <c r="A21352" i="1"/>
  <c r="C21352" i="1"/>
  <c r="A21353" i="1"/>
  <c r="C21353" i="1"/>
  <c r="A21354" i="1"/>
  <c r="C21354" i="1"/>
  <c r="A21355" i="1"/>
  <c r="C21355" i="1"/>
  <c r="A21356" i="1"/>
  <c r="C21356" i="1"/>
  <c r="A21357" i="1"/>
  <c r="C21357" i="1"/>
  <c r="A21358" i="1"/>
  <c r="C21358" i="1"/>
  <c r="A21359" i="1"/>
  <c r="C21359" i="1"/>
  <c r="A21360" i="1"/>
  <c r="C21360" i="1"/>
  <c r="A21361" i="1"/>
  <c r="C21361" i="1"/>
  <c r="A21362" i="1"/>
  <c r="C21362" i="1"/>
  <c r="A21363" i="1"/>
  <c r="C21363" i="1"/>
  <c r="A21364" i="1"/>
  <c r="C21364" i="1"/>
  <c r="A21365" i="1"/>
  <c r="C21365" i="1"/>
  <c r="A21366" i="1"/>
  <c r="C21366" i="1"/>
  <c r="A21367" i="1"/>
  <c r="C21367" i="1"/>
  <c r="A21368" i="1"/>
  <c r="C21368" i="1"/>
  <c r="A21369" i="1"/>
  <c r="C21369" i="1"/>
  <c r="A21370" i="1"/>
  <c r="C21370" i="1"/>
  <c r="A21371" i="1"/>
  <c r="C21371" i="1"/>
  <c r="A21372" i="1"/>
  <c r="C21372" i="1"/>
  <c r="A21373" i="1"/>
  <c r="C21373" i="1"/>
  <c r="A21374" i="1"/>
  <c r="C21374" i="1"/>
  <c r="A21375" i="1"/>
  <c r="C21375" i="1"/>
  <c r="A21376" i="1"/>
  <c r="C21376" i="1"/>
  <c r="A21377" i="1"/>
  <c r="C21377" i="1"/>
  <c r="A21378" i="1"/>
  <c r="C21378" i="1"/>
  <c r="A21379" i="1"/>
  <c r="C21379" i="1"/>
  <c r="A21380" i="1"/>
  <c r="C21380" i="1"/>
  <c r="A21381" i="1"/>
  <c r="C21381" i="1"/>
  <c r="A21382" i="1"/>
  <c r="C21382" i="1"/>
  <c r="A21383" i="1"/>
  <c r="C21383" i="1"/>
  <c r="A21384" i="1"/>
  <c r="C21384" i="1"/>
  <c r="A21385" i="1"/>
  <c r="C21385" i="1"/>
  <c r="A21386" i="1"/>
  <c r="C21386" i="1"/>
  <c r="A21387" i="1"/>
  <c r="C21387" i="1"/>
  <c r="A21388" i="1"/>
  <c r="C21388" i="1"/>
  <c r="A21389" i="1"/>
  <c r="C21389" i="1"/>
  <c r="A21390" i="1"/>
  <c r="C21390" i="1"/>
  <c r="A21391" i="1"/>
  <c r="C21391" i="1"/>
  <c r="A21392" i="1"/>
  <c r="C21392" i="1"/>
  <c r="A21393" i="1"/>
  <c r="C21393" i="1"/>
  <c r="A21394" i="1"/>
  <c r="C21394" i="1"/>
  <c r="A21395" i="1"/>
  <c r="C21395" i="1"/>
  <c r="A21396" i="1"/>
  <c r="C21396" i="1"/>
  <c r="A21397" i="1"/>
  <c r="C21397" i="1"/>
  <c r="A21398" i="1"/>
  <c r="C21398" i="1"/>
  <c r="A21399" i="1"/>
  <c r="C21399" i="1"/>
  <c r="A21400" i="1"/>
  <c r="C21400" i="1"/>
  <c r="A21401" i="1"/>
  <c r="C21401" i="1"/>
  <c r="A21402" i="1"/>
  <c r="C21402" i="1"/>
  <c r="A21403" i="1"/>
  <c r="C21403" i="1"/>
  <c r="A21404" i="1"/>
  <c r="C21404" i="1"/>
  <c r="A21405" i="1"/>
  <c r="C21405" i="1"/>
  <c r="A21406" i="1"/>
  <c r="C21406" i="1"/>
  <c r="A21407" i="1"/>
  <c r="C21407" i="1"/>
  <c r="A21408" i="1"/>
  <c r="C21408" i="1"/>
  <c r="A21409" i="1"/>
  <c r="C21409" i="1"/>
  <c r="A21410" i="1"/>
  <c r="C21410" i="1"/>
  <c r="A21411" i="1"/>
  <c r="C21411" i="1"/>
  <c r="A21412" i="1"/>
  <c r="C21412" i="1"/>
  <c r="A21413" i="1"/>
  <c r="C21413" i="1"/>
  <c r="A21414" i="1"/>
  <c r="C21414" i="1"/>
  <c r="A21415" i="1"/>
  <c r="C21415" i="1"/>
  <c r="A21416" i="1"/>
  <c r="C21416" i="1"/>
  <c r="A21417" i="1"/>
  <c r="C21417" i="1"/>
  <c r="A21418" i="1"/>
  <c r="C21418" i="1"/>
  <c r="A21419" i="1"/>
  <c r="C21419" i="1"/>
  <c r="A21420" i="1"/>
  <c r="C21420" i="1"/>
  <c r="A21421" i="1"/>
  <c r="C21421" i="1"/>
  <c r="A21422" i="1"/>
  <c r="C21422" i="1"/>
  <c r="A21423" i="1"/>
  <c r="C21423" i="1"/>
  <c r="A21424" i="1"/>
  <c r="C21424" i="1"/>
  <c r="A21425" i="1"/>
  <c r="C21425" i="1"/>
  <c r="A21426" i="1"/>
  <c r="C21426" i="1"/>
  <c r="A21427" i="1"/>
  <c r="C21427" i="1"/>
  <c r="A21428" i="1"/>
  <c r="C21428" i="1"/>
  <c r="A21429" i="1"/>
  <c r="C21429" i="1"/>
  <c r="A21430" i="1"/>
  <c r="C21430" i="1"/>
  <c r="A21431" i="1"/>
  <c r="C21431" i="1"/>
  <c r="A21432" i="1"/>
  <c r="C21432" i="1"/>
  <c r="A21433" i="1"/>
  <c r="C21433" i="1"/>
  <c r="A21434" i="1"/>
  <c r="C21434" i="1"/>
  <c r="A21435" i="1"/>
  <c r="C21435" i="1"/>
  <c r="A21436" i="1"/>
  <c r="C21436" i="1"/>
  <c r="A21437" i="1"/>
  <c r="C21437" i="1"/>
  <c r="A21438" i="1"/>
  <c r="C21438" i="1"/>
  <c r="A21439" i="1"/>
  <c r="C21439" i="1"/>
  <c r="A21440" i="1"/>
  <c r="C21440" i="1"/>
  <c r="A21441" i="1"/>
  <c r="C21441" i="1"/>
  <c r="A21442" i="1"/>
  <c r="C21442" i="1"/>
  <c r="A21443" i="1"/>
  <c r="C21443" i="1"/>
  <c r="A21444" i="1"/>
  <c r="C21444" i="1"/>
  <c r="A21445" i="1"/>
  <c r="C21445" i="1"/>
  <c r="A21446" i="1"/>
  <c r="C21446" i="1"/>
  <c r="A21447" i="1"/>
  <c r="C21447" i="1"/>
  <c r="A21448" i="1"/>
  <c r="C21448" i="1"/>
  <c r="A21449" i="1"/>
  <c r="C21449" i="1"/>
  <c r="A21450" i="1"/>
  <c r="C21450" i="1"/>
  <c r="A21451" i="1"/>
  <c r="C21451" i="1"/>
  <c r="A21452" i="1"/>
  <c r="C21452" i="1"/>
  <c r="A21453" i="1"/>
  <c r="C21453" i="1"/>
  <c r="A21454" i="1"/>
  <c r="C21454" i="1"/>
  <c r="A21455" i="1"/>
  <c r="C21455" i="1"/>
  <c r="A21456" i="1"/>
  <c r="C21456" i="1"/>
  <c r="A21457" i="1"/>
  <c r="C21457" i="1"/>
  <c r="A21458" i="1"/>
  <c r="C21458" i="1"/>
  <c r="A21459" i="1"/>
  <c r="C21459" i="1"/>
  <c r="A21460" i="1"/>
  <c r="C21460" i="1"/>
  <c r="A21461" i="1"/>
  <c r="C21461" i="1"/>
  <c r="A21462" i="1"/>
  <c r="C21462" i="1"/>
  <c r="A21463" i="1"/>
  <c r="C21463" i="1"/>
  <c r="A21464" i="1"/>
  <c r="C21464" i="1"/>
  <c r="A21465" i="1"/>
  <c r="C21465" i="1"/>
  <c r="A21466" i="1"/>
  <c r="C21466" i="1"/>
  <c r="A21467" i="1"/>
  <c r="C21467" i="1"/>
  <c r="A21468" i="1"/>
  <c r="C21468" i="1"/>
  <c r="A21469" i="1"/>
  <c r="C21469" i="1"/>
  <c r="A21470" i="1"/>
  <c r="C21470" i="1"/>
  <c r="A21471" i="1"/>
  <c r="C21471" i="1"/>
  <c r="A21472" i="1"/>
  <c r="C21472" i="1"/>
  <c r="A21473" i="1"/>
  <c r="C21473" i="1"/>
  <c r="A21474" i="1"/>
  <c r="C21474" i="1"/>
  <c r="A21475" i="1"/>
  <c r="C21475" i="1"/>
  <c r="A21476" i="1"/>
  <c r="C21476" i="1"/>
  <c r="A21477" i="1"/>
  <c r="C21477" i="1"/>
  <c r="A21478" i="1"/>
  <c r="C21478" i="1"/>
  <c r="A21479" i="1"/>
  <c r="C21479" i="1"/>
  <c r="A21480" i="1"/>
  <c r="C21480" i="1"/>
  <c r="A21481" i="1"/>
  <c r="C21481" i="1"/>
  <c r="A21482" i="1"/>
  <c r="C21482" i="1"/>
  <c r="A21483" i="1"/>
  <c r="C21483" i="1"/>
  <c r="A21484" i="1"/>
  <c r="C21484" i="1"/>
  <c r="A21485" i="1"/>
  <c r="C21485" i="1"/>
  <c r="A21486" i="1"/>
  <c r="C21486" i="1"/>
  <c r="A21487" i="1"/>
  <c r="C21487" i="1"/>
  <c r="A21488" i="1"/>
  <c r="C21488" i="1"/>
  <c r="A21489" i="1"/>
  <c r="C21489" i="1"/>
  <c r="A21490" i="1"/>
  <c r="C21490" i="1"/>
  <c r="A21491" i="1"/>
  <c r="C21491" i="1"/>
  <c r="A21492" i="1"/>
  <c r="C21492" i="1"/>
  <c r="A21493" i="1"/>
  <c r="C21493" i="1"/>
  <c r="A21494" i="1"/>
  <c r="C21494" i="1"/>
  <c r="A21495" i="1"/>
  <c r="C21495" i="1"/>
  <c r="A21496" i="1"/>
  <c r="C21496" i="1"/>
  <c r="A21497" i="1"/>
  <c r="C21497" i="1"/>
  <c r="A21498" i="1"/>
  <c r="C21498" i="1"/>
  <c r="A21499" i="1"/>
  <c r="C21499" i="1"/>
  <c r="A21500" i="1"/>
  <c r="C21500" i="1"/>
  <c r="A21501" i="1"/>
  <c r="C21501" i="1"/>
  <c r="A21502" i="1"/>
  <c r="C21502" i="1"/>
  <c r="A21503" i="1"/>
  <c r="C21503" i="1"/>
  <c r="A21504" i="1"/>
  <c r="C21504" i="1"/>
  <c r="A21505" i="1"/>
  <c r="C21505" i="1"/>
  <c r="A21506" i="1"/>
  <c r="C21506" i="1"/>
  <c r="A21507" i="1"/>
  <c r="C21507" i="1"/>
  <c r="A21508" i="1"/>
  <c r="C21508" i="1"/>
  <c r="A21509" i="1"/>
  <c r="C21509" i="1"/>
  <c r="A21510" i="1"/>
  <c r="C21510" i="1"/>
  <c r="A21511" i="1"/>
  <c r="C21511" i="1"/>
  <c r="A21512" i="1"/>
  <c r="C21512" i="1"/>
  <c r="A21513" i="1"/>
  <c r="C21513" i="1"/>
  <c r="A21514" i="1"/>
  <c r="C21514" i="1"/>
  <c r="A21515" i="1"/>
  <c r="C21515" i="1"/>
  <c r="A21516" i="1"/>
  <c r="C21516" i="1"/>
  <c r="A21517" i="1"/>
  <c r="C21517" i="1"/>
  <c r="A21518" i="1"/>
  <c r="C21518" i="1"/>
  <c r="A21519" i="1"/>
  <c r="C21519" i="1"/>
  <c r="A21520" i="1"/>
  <c r="C21520" i="1"/>
  <c r="A21521" i="1"/>
  <c r="C21521" i="1"/>
  <c r="A21522" i="1"/>
  <c r="C21522" i="1"/>
  <c r="A21523" i="1"/>
  <c r="C21523" i="1"/>
  <c r="A21524" i="1"/>
  <c r="C21524" i="1"/>
  <c r="A21525" i="1"/>
  <c r="C21525" i="1"/>
  <c r="A21526" i="1"/>
  <c r="C21526" i="1"/>
  <c r="A21527" i="1"/>
  <c r="C21527" i="1"/>
  <c r="A21528" i="1"/>
  <c r="C21528" i="1"/>
  <c r="A21529" i="1"/>
  <c r="C21529" i="1"/>
  <c r="A21530" i="1"/>
  <c r="C21530" i="1"/>
  <c r="A21531" i="1"/>
  <c r="C21531" i="1"/>
  <c r="A21532" i="1"/>
  <c r="C21532" i="1"/>
  <c r="A21533" i="1"/>
  <c r="C21533" i="1"/>
  <c r="A21534" i="1"/>
  <c r="C21534" i="1"/>
  <c r="A21535" i="1"/>
  <c r="C21535" i="1"/>
  <c r="A21536" i="1"/>
  <c r="C21536" i="1"/>
  <c r="A21537" i="1"/>
  <c r="C21537" i="1"/>
  <c r="A21538" i="1"/>
  <c r="C21538" i="1"/>
  <c r="A21539" i="1"/>
  <c r="C21539" i="1"/>
  <c r="A21540" i="1"/>
  <c r="C21540" i="1"/>
  <c r="A21541" i="1"/>
  <c r="C21541" i="1"/>
  <c r="A21542" i="1"/>
  <c r="C21542" i="1"/>
  <c r="A21543" i="1"/>
  <c r="C21543" i="1"/>
  <c r="A21544" i="1"/>
  <c r="C21544" i="1"/>
  <c r="A21545" i="1"/>
  <c r="C21545" i="1"/>
  <c r="A21546" i="1"/>
  <c r="C21546" i="1"/>
  <c r="A21547" i="1"/>
  <c r="C21547" i="1"/>
  <c r="A21548" i="1"/>
  <c r="C21548" i="1"/>
  <c r="A21549" i="1"/>
  <c r="C21549" i="1"/>
  <c r="A21550" i="1"/>
  <c r="C21550" i="1"/>
  <c r="A21551" i="1"/>
  <c r="C21551" i="1"/>
  <c r="A21552" i="1"/>
  <c r="C21552" i="1"/>
  <c r="A21553" i="1"/>
  <c r="C21553" i="1"/>
  <c r="A21554" i="1"/>
  <c r="C21554" i="1"/>
  <c r="A21555" i="1"/>
  <c r="C21555" i="1"/>
  <c r="A21556" i="1"/>
  <c r="C21556" i="1"/>
  <c r="A21557" i="1"/>
  <c r="C21557" i="1"/>
  <c r="A21558" i="1"/>
  <c r="C21558" i="1"/>
  <c r="A21559" i="1"/>
  <c r="C21559" i="1"/>
  <c r="A21560" i="1"/>
  <c r="C21560" i="1"/>
  <c r="A21561" i="1"/>
  <c r="C21561" i="1"/>
  <c r="A21562" i="1"/>
  <c r="C21562" i="1"/>
  <c r="A21563" i="1"/>
  <c r="C21563" i="1"/>
  <c r="A21564" i="1"/>
  <c r="C21564" i="1"/>
  <c r="A21565" i="1"/>
  <c r="C21565" i="1"/>
  <c r="A21566" i="1"/>
  <c r="C21566" i="1"/>
  <c r="A21567" i="1"/>
  <c r="C21567" i="1"/>
  <c r="A21568" i="1"/>
  <c r="C21568" i="1"/>
  <c r="A21569" i="1"/>
  <c r="C21569" i="1"/>
  <c r="A21570" i="1"/>
  <c r="C21570" i="1"/>
  <c r="A21571" i="1"/>
  <c r="C21571" i="1"/>
  <c r="A21572" i="1"/>
  <c r="C21572" i="1"/>
  <c r="A21573" i="1"/>
  <c r="C21573" i="1"/>
  <c r="A21574" i="1"/>
  <c r="C21574" i="1"/>
  <c r="A21575" i="1"/>
  <c r="C21575" i="1"/>
  <c r="A21576" i="1"/>
  <c r="C21576" i="1"/>
  <c r="A21577" i="1"/>
  <c r="C21577" i="1"/>
  <c r="A21578" i="1"/>
  <c r="C21578" i="1"/>
  <c r="A21579" i="1"/>
  <c r="C21579" i="1"/>
  <c r="A21580" i="1"/>
  <c r="C21580" i="1"/>
  <c r="A21581" i="1"/>
  <c r="C21581" i="1"/>
  <c r="A21582" i="1"/>
  <c r="C21582" i="1"/>
  <c r="A21583" i="1"/>
  <c r="C21583" i="1"/>
  <c r="A21584" i="1"/>
  <c r="C21584" i="1"/>
  <c r="A21585" i="1"/>
  <c r="C21585" i="1"/>
  <c r="A21586" i="1"/>
  <c r="C21586" i="1"/>
  <c r="A21587" i="1"/>
  <c r="C21587" i="1"/>
  <c r="A21588" i="1"/>
  <c r="C21588" i="1"/>
  <c r="A21589" i="1"/>
  <c r="C21589" i="1"/>
  <c r="A21590" i="1"/>
  <c r="C21590" i="1"/>
  <c r="A21591" i="1"/>
  <c r="C21591" i="1"/>
  <c r="A21592" i="1"/>
  <c r="C21592" i="1"/>
  <c r="A21593" i="1"/>
  <c r="C21593" i="1"/>
  <c r="A21594" i="1"/>
  <c r="C21594" i="1"/>
  <c r="A21595" i="1"/>
  <c r="C21595" i="1"/>
  <c r="A21596" i="1"/>
  <c r="C21596" i="1"/>
  <c r="A21597" i="1"/>
  <c r="C21597" i="1"/>
  <c r="A21598" i="1"/>
  <c r="C21598" i="1"/>
  <c r="A21599" i="1"/>
  <c r="C21599" i="1"/>
  <c r="A21600" i="1"/>
  <c r="C21600" i="1"/>
  <c r="A21601" i="1"/>
  <c r="C21601" i="1"/>
  <c r="A21602" i="1"/>
  <c r="C21602" i="1"/>
  <c r="A21603" i="1"/>
  <c r="C21603" i="1"/>
  <c r="A21604" i="1"/>
  <c r="C21604" i="1"/>
  <c r="A21605" i="1"/>
  <c r="C21605" i="1"/>
  <c r="A21606" i="1"/>
  <c r="C21606" i="1"/>
  <c r="A21607" i="1"/>
  <c r="C21607" i="1"/>
  <c r="A21608" i="1"/>
  <c r="C21608" i="1"/>
  <c r="A21609" i="1"/>
  <c r="C21609" i="1"/>
  <c r="A21610" i="1"/>
  <c r="C21610" i="1"/>
  <c r="A21611" i="1"/>
  <c r="C21611" i="1"/>
  <c r="A21612" i="1"/>
  <c r="C21612" i="1"/>
  <c r="A21613" i="1"/>
  <c r="C21613" i="1"/>
  <c r="A21614" i="1"/>
  <c r="C21614" i="1"/>
  <c r="A21615" i="1"/>
  <c r="C21615" i="1"/>
  <c r="A21616" i="1"/>
  <c r="C21616" i="1"/>
  <c r="A21617" i="1"/>
  <c r="C21617" i="1"/>
  <c r="A21618" i="1"/>
  <c r="C21618" i="1"/>
  <c r="A21619" i="1"/>
  <c r="C21619" i="1"/>
  <c r="A21620" i="1"/>
  <c r="C21620" i="1"/>
  <c r="A21621" i="1"/>
  <c r="C21621" i="1"/>
  <c r="A21622" i="1"/>
  <c r="C21622" i="1"/>
  <c r="A21623" i="1"/>
  <c r="C21623" i="1"/>
  <c r="A21624" i="1"/>
  <c r="C21624" i="1"/>
  <c r="A21625" i="1"/>
  <c r="C21625" i="1"/>
  <c r="A21626" i="1"/>
  <c r="C21626" i="1"/>
  <c r="A21627" i="1"/>
  <c r="C21627" i="1"/>
  <c r="A21628" i="1"/>
  <c r="C21628" i="1"/>
  <c r="A21629" i="1"/>
  <c r="C21629" i="1"/>
  <c r="A21630" i="1"/>
  <c r="C21630" i="1"/>
  <c r="A21631" i="1"/>
  <c r="C21631" i="1"/>
  <c r="A21632" i="1"/>
  <c r="C21632" i="1"/>
  <c r="A21633" i="1"/>
  <c r="C21633" i="1"/>
  <c r="A21634" i="1"/>
  <c r="C21634" i="1"/>
  <c r="A21635" i="1"/>
  <c r="C21635" i="1"/>
  <c r="A21636" i="1"/>
  <c r="C21636" i="1"/>
  <c r="A21637" i="1"/>
  <c r="C21637" i="1"/>
  <c r="A21638" i="1"/>
  <c r="C21638" i="1"/>
  <c r="A21639" i="1"/>
  <c r="C21639" i="1"/>
  <c r="A21640" i="1"/>
  <c r="C21640" i="1"/>
  <c r="A21641" i="1"/>
  <c r="C21641" i="1"/>
  <c r="A21642" i="1"/>
  <c r="C21642" i="1"/>
  <c r="A21643" i="1"/>
  <c r="C21643" i="1"/>
  <c r="A21644" i="1"/>
  <c r="C21644" i="1"/>
  <c r="A21645" i="1"/>
  <c r="C21645" i="1"/>
  <c r="A21646" i="1"/>
  <c r="C21646" i="1"/>
  <c r="A21647" i="1"/>
  <c r="C21647" i="1"/>
  <c r="A21648" i="1"/>
  <c r="C21648" i="1"/>
  <c r="A21649" i="1"/>
  <c r="C21649" i="1"/>
  <c r="A21650" i="1"/>
  <c r="C21650" i="1"/>
  <c r="A21651" i="1"/>
  <c r="C21651" i="1"/>
  <c r="A21652" i="1"/>
  <c r="C21652" i="1"/>
  <c r="A21653" i="1"/>
  <c r="C21653" i="1"/>
  <c r="A21654" i="1"/>
  <c r="C21654" i="1"/>
  <c r="A21655" i="1"/>
  <c r="C21655" i="1"/>
  <c r="A21656" i="1"/>
  <c r="C21656" i="1"/>
  <c r="A21657" i="1"/>
  <c r="C21657" i="1"/>
  <c r="A21658" i="1"/>
  <c r="C21658" i="1"/>
  <c r="A21659" i="1"/>
  <c r="C21659" i="1"/>
  <c r="A21660" i="1"/>
  <c r="C21660" i="1"/>
  <c r="A21661" i="1"/>
  <c r="C21661" i="1"/>
  <c r="A21662" i="1"/>
  <c r="C21662" i="1"/>
  <c r="A21663" i="1"/>
  <c r="C21663" i="1"/>
  <c r="A21664" i="1"/>
  <c r="C21664" i="1"/>
  <c r="A21665" i="1"/>
  <c r="C21665" i="1"/>
  <c r="A21666" i="1"/>
  <c r="C21666" i="1"/>
  <c r="A21667" i="1"/>
  <c r="C21667" i="1"/>
  <c r="A21668" i="1"/>
  <c r="C21668" i="1"/>
  <c r="A21669" i="1"/>
  <c r="C21669" i="1"/>
  <c r="A21670" i="1"/>
  <c r="C21670" i="1"/>
  <c r="A21671" i="1"/>
  <c r="C21671" i="1"/>
  <c r="A21672" i="1"/>
  <c r="C21672" i="1"/>
  <c r="A21673" i="1"/>
  <c r="C21673" i="1"/>
  <c r="A21674" i="1"/>
  <c r="C21674" i="1"/>
  <c r="A21675" i="1"/>
  <c r="C21675" i="1"/>
  <c r="A21676" i="1"/>
  <c r="C21676" i="1"/>
  <c r="A21677" i="1"/>
  <c r="C21677" i="1"/>
  <c r="A21678" i="1"/>
  <c r="C21678" i="1"/>
  <c r="A21679" i="1"/>
  <c r="C21679" i="1"/>
  <c r="A21680" i="1"/>
  <c r="C21680" i="1"/>
  <c r="A21681" i="1"/>
  <c r="C21681" i="1"/>
  <c r="A21682" i="1"/>
  <c r="C21682" i="1"/>
  <c r="A21683" i="1"/>
  <c r="C21683" i="1"/>
  <c r="A21684" i="1"/>
  <c r="C21684" i="1"/>
  <c r="A21685" i="1"/>
  <c r="C21685" i="1"/>
  <c r="A21686" i="1"/>
  <c r="C21686" i="1"/>
  <c r="A21687" i="1"/>
  <c r="C21687" i="1"/>
  <c r="A21688" i="1"/>
  <c r="C21688" i="1"/>
  <c r="A21689" i="1"/>
  <c r="C21689" i="1"/>
  <c r="A21690" i="1"/>
  <c r="C21690" i="1"/>
  <c r="A21691" i="1"/>
  <c r="C21691" i="1"/>
  <c r="A21692" i="1"/>
  <c r="C21692" i="1"/>
  <c r="A21693" i="1"/>
  <c r="C21693" i="1"/>
  <c r="A21694" i="1"/>
  <c r="C21694" i="1"/>
  <c r="A21695" i="1"/>
  <c r="C21695" i="1"/>
  <c r="A21696" i="1"/>
  <c r="C21696" i="1"/>
  <c r="A21697" i="1"/>
  <c r="C21697" i="1"/>
  <c r="A21698" i="1"/>
  <c r="C21698" i="1"/>
  <c r="A21699" i="1"/>
  <c r="C21699" i="1"/>
  <c r="A21700" i="1"/>
  <c r="C21700" i="1"/>
  <c r="A21701" i="1"/>
  <c r="C21701" i="1"/>
  <c r="A21702" i="1"/>
  <c r="C21702" i="1"/>
  <c r="A21703" i="1"/>
  <c r="C21703" i="1"/>
  <c r="A21704" i="1"/>
  <c r="C21704" i="1"/>
  <c r="A21705" i="1"/>
  <c r="C21705" i="1"/>
  <c r="A21706" i="1"/>
  <c r="C21706" i="1"/>
  <c r="A21707" i="1"/>
  <c r="C21707" i="1"/>
  <c r="A21708" i="1"/>
  <c r="C21708" i="1"/>
  <c r="A21709" i="1"/>
  <c r="C21709" i="1"/>
  <c r="A21710" i="1"/>
  <c r="C21710" i="1"/>
  <c r="A21711" i="1"/>
  <c r="C21711" i="1"/>
  <c r="A21712" i="1"/>
  <c r="C21712" i="1"/>
  <c r="A21713" i="1"/>
  <c r="C21713" i="1"/>
  <c r="A21714" i="1"/>
  <c r="C21714" i="1"/>
  <c r="A21715" i="1"/>
  <c r="C21715" i="1"/>
  <c r="A21716" i="1"/>
  <c r="C21716" i="1"/>
  <c r="A21717" i="1"/>
  <c r="C21717" i="1"/>
  <c r="A21718" i="1"/>
  <c r="C21718" i="1"/>
  <c r="A21719" i="1"/>
  <c r="C21719" i="1"/>
  <c r="A21720" i="1"/>
  <c r="C21720" i="1"/>
  <c r="A21721" i="1"/>
  <c r="C21721" i="1"/>
  <c r="A21722" i="1"/>
  <c r="C21722" i="1"/>
  <c r="A21723" i="1"/>
  <c r="C21723" i="1"/>
  <c r="A21724" i="1"/>
  <c r="C21724" i="1"/>
  <c r="A21725" i="1"/>
  <c r="C21725" i="1"/>
  <c r="A21726" i="1"/>
  <c r="C21726" i="1"/>
  <c r="A21727" i="1"/>
  <c r="C21727" i="1"/>
  <c r="A21728" i="1"/>
  <c r="C21728" i="1"/>
  <c r="A21729" i="1"/>
  <c r="C21729" i="1"/>
  <c r="A21730" i="1"/>
  <c r="C21730" i="1"/>
  <c r="A21731" i="1"/>
  <c r="C21731" i="1"/>
  <c r="A21732" i="1"/>
  <c r="C21732" i="1"/>
  <c r="A21733" i="1"/>
  <c r="C21733" i="1"/>
  <c r="A21734" i="1"/>
  <c r="C21734" i="1"/>
  <c r="A21735" i="1"/>
  <c r="C21735" i="1"/>
  <c r="A21736" i="1"/>
  <c r="C21736" i="1"/>
  <c r="A21737" i="1"/>
  <c r="C21737" i="1"/>
  <c r="A21738" i="1"/>
  <c r="C21738" i="1"/>
  <c r="A21739" i="1"/>
  <c r="C21739" i="1"/>
  <c r="A21740" i="1"/>
  <c r="C21740" i="1"/>
  <c r="A21741" i="1"/>
  <c r="C21741" i="1"/>
  <c r="A21742" i="1"/>
  <c r="C21742" i="1"/>
  <c r="A21743" i="1"/>
  <c r="C21743" i="1"/>
  <c r="A21744" i="1"/>
  <c r="C21744" i="1"/>
  <c r="A21745" i="1"/>
  <c r="C21745" i="1"/>
  <c r="A21746" i="1"/>
  <c r="C21746" i="1"/>
  <c r="A21747" i="1"/>
  <c r="C21747" i="1"/>
  <c r="A21748" i="1"/>
  <c r="C21748" i="1"/>
  <c r="A21749" i="1"/>
  <c r="C21749" i="1"/>
  <c r="A21750" i="1"/>
  <c r="C21750" i="1"/>
  <c r="A21751" i="1"/>
  <c r="C21751" i="1"/>
  <c r="A21752" i="1"/>
  <c r="C21752" i="1"/>
  <c r="A21753" i="1"/>
  <c r="C21753" i="1"/>
  <c r="A21754" i="1"/>
  <c r="C21754" i="1"/>
  <c r="A21755" i="1"/>
  <c r="C21755" i="1"/>
  <c r="A21756" i="1"/>
  <c r="C21756" i="1"/>
  <c r="A21757" i="1"/>
  <c r="C21757" i="1"/>
  <c r="A21758" i="1"/>
  <c r="C21758" i="1"/>
  <c r="A21759" i="1"/>
  <c r="C21759" i="1"/>
  <c r="A21760" i="1"/>
  <c r="C21760" i="1"/>
  <c r="A21761" i="1"/>
  <c r="C21761" i="1"/>
  <c r="A21762" i="1"/>
  <c r="C21762" i="1"/>
  <c r="A21763" i="1"/>
  <c r="C21763" i="1"/>
  <c r="A21764" i="1"/>
  <c r="C21764" i="1"/>
  <c r="A21765" i="1"/>
  <c r="C21765" i="1"/>
  <c r="A21766" i="1"/>
  <c r="C21766" i="1"/>
  <c r="A21767" i="1"/>
  <c r="C21767" i="1"/>
  <c r="A21768" i="1"/>
  <c r="C21768" i="1"/>
  <c r="A21769" i="1"/>
  <c r="C21769" i="1"/>
  <c r="A21770" i="1"/>
  <c r="C21770" i="1"/>
  <c r="A21771" i="1"/>
  <c r="C21771" i="1"/>
  <c r="A21772" i="1"/>
  <c r="C21772" i="1"/>
  <c r="A21773" i="1"/>
  <c r="C21773" i="1"/>
  <c r="A21774" i="1"/>
  <c r="C21774" i="1"/>
  <c r="A21775" i="1"/>
  <c r="C21775" i="1"/>
  <c r="A21776" i="1"/>
  <c r="C21776" i="1"/>
  <c r="A21777" i="1"/>
  <c r="C21777" i="1"/>
  <c r="A21778" i="1"/>
  <c r="C21778" i="1"/>
  <c r="A21779" i="1"/>
  <c r="C21779" i="1"/>
  <c r="A21780" i="1"/>
  <c r="C21780" i="1"/>
  <c r="A21781" i="1"/>
  <c r="C21781" i="1"/>
  <c r="A21782" i="1"/>
  <c r="C21782" i="1"/>
  <c r="A21783" i="1"/>
  <c r="C21783" i="1"/>
  <c r="A21784" i="1"/>
  <c r="C21784" i="1"/>
  <c r="A21785" i="1"/>
  <c r="C21785" i="1"/>
  <c r="A21786" i="1"/>
  <c r="C21786" i="1"/>
  <c r="A21787" i="1"/>
  <c r="C21787" i="1"/>
  <c r="A21788" i="1"/>
  <c r="C21788" i="1"/>
  <c r="A21789" i="1"/>
  <c r="C21789" i="1"/>
  <c r="A21790" i="1"/>
  <c r="C21790" i="1"/>
  <c r="A21791" i="1"/>
  <c r="C21791" i="1"/>
  <c r="A21792" i="1"/>
  <c r="C21792" i="1"/>
  <c r="A21793" i="1"/>
  <c r="C21793" i="1"/>
  <c r="A21794" i="1"/>
  <c r="C21794" i="1"/>
  <c r="A21795" i="1"/>
  <c r="C21795" i="1"/>
  <c r="A21796" i="1"/>
  <c r="C21796" i="1"/>
  <c r="A21797" i="1"/>
  <c r="C21797" i="1"/>
  <c r="A21798" i="1"/>
  <c r="C21798" i="1"/>
  <c r="A21799" i="1"/>
  <c r="C21799" i="1"/>
  <c r="A21800" i="1"/>
  <c r="C21800" i="1"/>
  <c r="A21801" i="1"/>
  <c r="C21801" i="1"/>
  <c r="A21802" i="1"/>
  <c r="C21802" i="1"/>
  <c r="A21803" i="1"/>
  <c r="C21803" i="1"/>
  <c r="A21804" i="1"/>
  <c r="C21804" i="1"/>
  <c r="A21805" i="1"/>
  <c r="C21805" i="1"/>
  <c r="A21806" i="1"/>
  <c r="C21806" i="1"/>
  <c r="A21807" i="1"/>
  <c r="C21807" i="1"/>
  <c r="A21808" i="1"/>
  <c r="C21808" i="1"/>
  <c r="A21809" i="1"/>
  <c r="C21809" i="1"/>
  <c r="A21810" i="1"/>
  <c r="C21810" i="1"/>
  <c r="A21811" i="1"/>
  <c r="C21811" i="1"/>
  <c r="A21812" i="1"/>
  <c r="C21812" i="1"/>
  <c r="A21813" i="1"/>
  <c r="C21813" i="1"/>
  <c r="A21814" i="1"/>
  <c r="C21814" i="1"/>
  <c r="A21815" i="1"/>
  <c r="C21815" i="1"/>
  <c r="A21816" i="1"/>
  <c r="C21816" i="1"/>
  <c r="A21817" i="1"/>
  <c r="C21817" i="1"/>
  <c r="A21818" i="1"/>
  <c r="C21818" i="1"/>
  <c r="A21819" i="1"/>
  <c r="C21819" i="1"/>
  <c r="A21820" i="1"/>
  <c r="C21820" i="1"/>
  <c r="A21821" i="1"/>
  <c r="C21821" i="1"/>
  <c r="A21822" i="1"/>
  <c r="C21822" i="1"/>
  <c r="A21823" i="1"/>
  <c r="C21823" i="1"/>
  <c r="A21824" i="1"/>
  <c r="C21824" i="1"/>
  <c r="A21825" i="1"/>
  <c r="C21825" i="1"/>
  <c r="A21826" i="1"/>
  <c r="C21826" i="1"/>
  <c r="A21827" i="1"/>
  <c r="C21827" i="1"/>
  <c r="A21828" i="1"/>
  <c r="C21828" i="1"/>
  <c r="A21829" i="1"/>
  <c r="C21829" i="1"/>
  <c r="A21830" i="1"/>
  <c r="C21830" i="1"/>
  <c r="A21831" i="1"/>
  <c r="C21831" i="1"/>
  <c r="A21832" i="1"/>
  <c r="C21832" i="1"/>
  <c r="A21833" i="1"/>
  <c r="C21833" i="1"/>
  <c r="A21834" i="1"/>
  <c r="C21834" i="1"/>
  <c r="A21835" i="1"/>
  <c r="C21835" i="1"/>
  <c r="A21836" i="1"/>
  <c r="C21836" i="1"/>
  <c r="A21837" i="1"/>
  <c r="C21837" i="1"/>
  <c r="A21838" i="1"/>
  <c r="C21838" i="1"/>
  <c r="A21839" i="1"/>
  <c r="C21839" i="1"/>
  <c r="A21840" i="1"/>
  <c r="C21840" i="1"/>
  <c r="A21841" i="1"/>
  <c r="C21841" i="1"/>
  <c r="A21842" i="1"/>
  <c r="C21842" i="1"/>
  <c r="A21843" i="1"/>
  <c r="C21843" i="1"/>
  <c r="A21844" i="1"/>
  <c r="C21844" i="1"/>
  <c r="A21845" i="1"/>
  <c r="C21845" i="1"/>
  <c r="A21846" i="1"/>
  <c r="C21846" i="1"/>
  <c r="A21847" i="1"/>
  <c r="C21847" i="1"/>
  <c r="A21848" i="1"/>
  <c r="C21848" i="1"/>
  <c r="A21849" i="1"/>
  <c r="C21849" i="1"/>
  <c r="A21850" i="1"/>
  <c r="C21850" i="1"/>
  <c r="A21851" i="1"/>
  <c r="C21851" i="1"/>
  <c r="A21852" i="1"/>
  <c r="C21852" i="1"/>
  <c r="A21853" i="1"/>
  <c r="C21853" i="1"/>
  <c r="A21854" i="1"/>
  <c r="C21854" i="1"/>
  <c r="A21855" i="1"/>
  <c r="C21855" i="1"/>
  <c r="A21856" i="1"/>
  <c r="C21856" i="1"/>
  <c r="A21857" i="1"/>
  <c r="C21857" i="1"/>
  <c r="A21858" i="1"/>
  <c r="C21858" i="1"/>
  <c r="A21859" i="1"/>
  <c r="C21859" i="1"/>
  <c r="A21860" i="1"/>
  <c r="C21860" i="1"/>
  <c r="A21861" i="1"/>
  <c r="C21861" i="1"/>
  <c r="A21862" i="1"/>
  <c r="C21862" i="1"/>
  <c r="A21863" i="1"/>
  <c r="C21863" i="1"/>
  <c r="A21864" i="1"/>
  <c r="C21864" i="1"/>
  <c r="A21865" i="1"/>
  <c r="C21865" i="1"/>
  <c r="A21866" i="1"/>
  <c r="C21866" i="1"/>
  <c r="A21867" i="1"/>
  <c r="C21867" i="1"/>
  <c r="A21868" i="1"/>
  <c r="C21868" i="1"/>
  <c r="A21869" i="1"/>
  <c r="C21869" i="1"/>
  <c r="A21870" i="1"/>
  <c r="C21870" i="1"/>
  <c r="A21871" i="1"/>
  <c r="C21871" i="1"/>
  <c r="A21872" i="1"/>
  <c r="C21872" i="1"/>
  <c r="A21873" i="1"/>
  <c r="C21873" i="1"/>
  <c r="A21874" i="1"/>
  <c r="C21874" i="1"/>
  <c r="A21875" i="1"/>
  <c r="C21875" i="1"/>
  <c r="A21876" i="1"/>
  <c r="C21876" i="1"/>
  <c r="A21877" i="1"/>
  <c r="C21877" i="1"/>
  <c r="A21878" i="1"/>
  <c r="C21878" i="1"/>
  <c r="A21879" i="1"/>
  <c r="C21879" i="1"/>
  <c r="A21880" i="1"/>
  <c r="C21880" i="1"/>
  <c r="A21881" i="1"/>
  <c r="C21881" i="1"/>
  <c r="A21882" i="1"/>
  <c r="C21882" i="1"/>
  <c r="A21883" i="1"/>
  <c r="C21883" i="1"/>
  <c r="A21884" i="1"/>
  <c r="C21884" i="1"/>
  <c r="A21885" i="1"/>
  <c r="C21885" i="1"/>
  <c r="A21886" i="1"/>
  <c r="C21886" i="1"/>
  <c r="A21887" i="1"/>
  <c r="C21887" i="1"/>
  <c r="A21888" i="1"/>
  <c r="C21888" i="1"/>
  <c r="A21889" i="1"/>
  <c r="C21889" i="1"/>
  <c r="A21890" i="1"/>
  <c r="C21890" i="1"/>
  <c r="A21891" i="1"/>
  <c r="C21891" i="1"/>
  <c r="A21892" i="1"/>
  <c r="C21892" i="1"/>
  <c r="A21893" i="1"/>
  <c r="C21893" i="1"/>
  <c r="A21894" i="1"/>
  <c r="C21894" i="1"/>
  <c r="A21895" i="1"/>
  <c r="C21895" i="1"/>
  <c r="A21896" i="1"/>
  <c r="C21896" i="1"/>
  <c r="A21897" i="1"/>
  <c r="C21897" i="1"/>
  <c r="A21898" i="1"/>
  <c r="C21898" i="1"/>
  <c r="A21899" i="1"/>
  <c r="C21899" i="1"/>
  <c r="A21900" i="1"/>
  <c r="C21900" i="1"/>
  <c r="A21901" i="1"/>
  <c r="C21901" i="1"/>
  <c r="A21902" i="1"/>
  <c r="C21902" i="1"/>
  <c r="A21903" i="1"/>
  <c r="C21903" i="1"/>
  <c r="A21904" i="1"/>
  <c r="C21904" i="1"/>
  <c r="A21905" i="1"/>
  <c r="C21905" i="1"/>
  <c r="A21906" i="1"/>
  <c r="C21906" i="1"/>
  <c r="A21907" i="1"/>
  <c r="C21907" i="1"/>
  <c r="A21908" i="1"/>
  <c r="C21908" i="1"/>
  <c r="A21909" i="1"/>
  <c r="C21909" i="1"/>
  <c r="A21910" i="1"/>
  <c r="C21910" i="1"/>
  <c r="A21911" i="1"/>
  <c r="C21911" i="1"/>
  <c r="A21912" i="1"/>
  <c r="C21912" i="1"/>
  <c r="A21913" i="1"/>
  <c r="C21913" i="1"/>
  <c r="A21914" i="1"/>
  <c r="C21914" i="1"/>
  <c r="A21915" i="1"/>
  <c r="C21915" i="1"/>
  <c r="A21916" i="1"/>
  <c r="C21916" i="1"/>
  <c r="A21917" i="1"/>
  <c r="C21917" i="1"/>
  <c r="A21918" i="1"/>
  <c r="C21918" i="1"/>
  <c r="A21919" i="1"/>
  <c r="C21919" i="1"/>
  <c r="A21920" i="1"/>
  <c r="C21920" i="1"/>
  <c r="A21921" i="1"/>
  <c r="C21921" i="1"/>
  <c r="A21922" i="1"/>
  <c r="C21922" i="1"/>
  <c r="A21923" i="1"/>
  <c r="C21923" i="1"/>
  <c r="A21924" i="1"/>
  <c r="C21924" i="1"/>
  <c r="A21925" i="1"/>
  <c r="C21925" i="1"/>
  <c r="A21926" i="1"/>
  <c r="C21926" i="1"/>
  <c r="A21927" i="1"/>
  <c r="C21927" i="1"/>
  <c r="A21928" i="1"/>
  <c r="C21928" i="1"/>
  <c r="A21929" i="1"/>
  <c r="C21929" i="1"/>
  <c r="A21930" i="1"/>
  <c r="C21930" i="1"/>
  <c r="A21931" i="1"/>
  <c r="C21931" i="1"/>
  <c r="A21932" i="1"/>
  <c r="C21932" i="1"/>
  <c r="A21933" i="1"/>
  <c r="C21933" i="1"/>
  <c r="A21934" i="1"/>
  <c r="C21934" i="1"/>
  <c r="A21935" i="1"/>
  <c r="C21935" i="1"/>
  <c r="A21936" i="1"/>
  <c r="C21936" i="1"/>
  <c r="A21937" i="1"/>
  <c r="C21937" i="1"/>
  <c r="A21938" i="1"/>
  <c r="C21938" i="1"/>
  <c r="A21939" i="1"/>
  <c r="C21939" i="1"/>
  <c r="A21940" i="1"/>
  <c r="C21940" i="1"/>
  <c r="A21941" i="1"/>
  <c r="C21941" i="1"/>
  <c r="A21942" i="1"/>
  <c r="C21942" i="1"/>
  <c r="A21943" i="1"/>
  <c r="C21943" i="1"/>
  <c r="A21944" i="1"/>
  <c r="C21944" i="1"/>
  <c r="A21945" i="1"/>
  <c r="C21945" i="1"/>
  <c r="A21946" i="1"/>
  <c r="C21946" i="1"/>
  <c r="A21947" i="1"/>
  <c r="C21947" i="1"/>
  <c r="A21948" i="1"/>
  <c r="C21948" i="1"/>
  <c r="A21949" i="1"/>
  <c r="C21949" i="1"/>
  <c r="A21950" i="1"/>
  <c r="C21950" i="1"/>
  <c r="A21951" i="1"/>
  <c r="C21951" i="1"/>
  <c r="A21952" i="1"/>
  <c r="C21952" i="1"/>
  <c r="A21953" i="1"/>
  <c r="C21953" i="1"/>
  <c r="A21954" i="1"/>
  <c r="C21954" i="1"/>
  <c r="A21955" i="1"/>
  <c r="C21955" i="1"/>
  <c r="A21956" i="1"/>
  <c r="C21956" i="1"/>
  <c r="A21957" i="1"/>
  <c r="C21957" i="1"/>
  <c r="A21958" i="1"/>
  <c r="C21958" i="1"/>
  <c r="A21959" i="1"/>
  <c r="C21959" i="1"/>
  <c r="A21960" i="1"/>
  <c r="C21960" i="1"/>
  <c r="A21961" i="1"/>
  <c r="C21961" i="1"/>
  <c r="A21962" i="1"/>
  <c r="C21962" i="1"/>
  <c r="A21963" i="1"/>
  <c r="C21963" i="1"/>
  <c r="A21964" i="1"/>
  <c r="C21964" i="1"/>
  <c r="A21965" i="1"/>
  <c r="C21965" i="1"/>
  <c r="A21966" i="1"/>
  <c r="C21966" i="1"/>
  <c r="A21967" i="1"/>
  <c r="C21967" i="1"/>
  <c r="A21968" i="1"/>
  <c r="C21968" i="1"/>
  <c r="A21969" i="1"/>
  <c r="C21969" i="1"/>
  <c r="A21970" i="1"/>
  <c r="C21970" i="1"/>
  <c r="A21971" i="1"/>
  <c r="C21971" i="1"/>
  <c r="A21972" i="1"/>
  <c r="C21972" i="1"/>
  <c r="A21973" i="1"/>
  <c r="C21973" i="1"/>
  <c r="A21974" i="1"/>
  <c r="C21974" i="1"/>
  <c r="A21975" i="1"/>
  <c r="C21975" i="1"/>
  <c r="A21976" i="1"/>
  <c r="C21976" i="1"/>
  <c r="A21977" i="1"/>
  <c r="C21977" i="1"/>
  <c r="A21978" i="1"/>
  <c r="C21978" i="1"/>
  <c r="A21979" i="1"/>
  <c r="C21979" i="1"/>
  <c r="A21980" i="1"/>
  <c r="C21980" i="1"/>
  <c r="A21981" i="1"/>
  <c r="C21981" i="1"/>
  <c r="A21982" i="1"/>
  <c r="C21982" i="1"/>
  <c r="A21983" i="1"/>
  <c r="C21983" i="1"/>
  <c r="A21984" i="1"/>
  <c r="C21984" i="1"/>
  <c r="A21985" i="1"/>
  <c r="C21985" i="1"/>
  <c r="A21986" i="1"/>
  <c r="C21986" i="1"/>
  <c r="A21987" i="1"/>
  <c r="C21987" i="1"/>
  <c r="A21988" i="1"/>
  <c r="C21988" i="1"/>
  <c r="A21989" i="1"/>
  <c r="C21989" i="1"/>
  <c r="A21990" i="1"/>
  <c r="C21990" i="1"/>
  <c r="A21991" i="1"/>
  <c r="C21991" i="1"/>
  <c r="A21992" i="1"/>
  <c r="C21992" i="1"/>
  <c r="A21993" i="1"/>
  <c r="C21993" i="1"/>
  <c r="A21994" i="1"/>
  <c r="C21994" i="1"/>
  <c r="A21995" i="1"/>
  <c r="C21995" i="1"/>
  <c r="A21996" i="1"/>
  <c r="C21996" i="1"/>
  <c r="A21997" i="1"/>
  <c r="C21997" i="1"/>
  <c r="A21998" i="1"/>
  <c r="C21998" i="1"/>
  <c r="A21999" i="1"/>
  <c r="C21999" i="1"/>
  <c r="A22000" i="1"/>
  <c r="C22000" i="1"/>
  <c r="A22001" i="1"/>
  <c r="C22001" i="1"/>
  <c r="A22002" i="1"/>
  <c r="C22002" i="1"/>
  <c r="A22003" i="1"/>
  <c r="C22003" i="1"/>
  <c r="A22004" i="1"/>
  <c r="C22004" i="1"/>
  <c r="A22005" i="1"/>
  <c r="C22005" i="1"/>
  <c r="A22006" i="1"/>
  <c r="C22006" i="1"/>
  <c r="A22007" i="1"/>
  <c r="C22007" i="1"/>
  <c r="A22008" i="1"/>
  <c r="C22008" i="1"/>
  <c r="A22009" i="1"/>
  <c r="C22009" i="1"/>
  <c r="A22010" i="1"/>
  <c r="C22010" i="1"/>
  <c r="A22011" i="1"/>
  <c r="C22011" i="1"/>
  <c r="A22012" i="1"/>
  <c r="C22012" i="1"/>
  <c r="A22013" i="1"/>
  <c r="C22013" i="1"/>
  <c r="A22014" i="1"/>
  <c r="C22014" i="1"/>
  <c r="A22015" i="1"/>
  <c r="C22015" i="1"/>
  <c r="A22016" i="1"/>
  <c r="C22016" i="1"/>
  <c r="A22017" i="1"/>
  <c r="C22017" i="1"/>
  <c r="A22018" i="1"/>
  <c r="C22018" i="1"/>
  <c r="A22019" i="1"/>
  <c r="C22019" i="1"/>
  <c r="A22020" i="1"/>
  <c r="C22020" i="1"/>
  <c r="A22021" i="1"/>
  <c r="C22021" i="1"/>
  <c r="A22022" i="1"/>
  <c r="C22022" i="1"/>
  <c r="A22023" i="1"/>
  <c r="C22023" i="1"/>
  <c r="A22024" i="1"/>
  <c r="C22024" i="1"/>
  <c r="A22025" i="1"/>
  <c r="C22025" i="1"/>
  <c r="A22026" i="1"/>
  <c r="C22026" i="1"/>
  <c r="A22027" i="1"/>
  <c r="C22027" i="1"/>
  <c r="A22028" i="1"/>
  <c r="C22028" i="1"/>
  <c r="A22029" i="1"/>
  <c r="C22029" i="1"/>
  <c r="A22030" i="1"/>
  <c r="C22030" i="1"/>
  <c r="A22031" i="1"/>
  <c r="C22031" i="1"/>
  <c r="A22032" i="1"/>
  <c r="C22032" i="1"/>
  <c r="A22033" i="1"/>
  <c r="C22033" i="1"/>
  <c r="A22034" i="1"/>
  <c r="C22034" i="1"/>
  <c r="A22035" i="1"/>
  <c r="C22035" i="1"/>
  <c r="A22036" i="1"/>
  <c r="C22036" i="1"/>
  <c r="A22037" i="1"/>
  <c r="C22037" i="1"/>
  <c r="A22038" i="1"/>
  <c r="C22038" i="1"/>
  <c r="A22039" i="1"/>
  <c r="C22039" i="1"/>
  <c r="A22040" i="1"/>
  <c r="C22040" i="1"/>
  <c r="A22041" i="1"/>
  <c r="C22041" i="1"/>
  <c r="A22042" i="1"/>
  <c r="C22042" i="1"/>
  <c r="A22043" i="1"/>
  <c r="C22043" i="1"/>
  <c r="A22044" i="1"/>
  <c r="C22044" i="1"/>
  <c r="A22045" i="1"/>
  <c r="C22045" i="1"/>
  <c r="A22046" i="1"/>
  <c r="C22046" i="1"/>
  <c r="A22047" i="1"/>
  <c r="C22047" i="1"/>
  <c r="A22048" i="1"/>
  <c r="C22048" i="1"/>
  <c r="A22049" i="1"/>
  <c r="C22049" i="1"/>
  <c r="A22050" i="1"/>
  <c r="C22050" i="1"/>
  <c r="A22051" i="1"/>
  <c r="C22051" i="1"/>
  <c r="A22052" i="1"/>
  <c r="C22052" i="1"/>
  <c r="A22053" i="1"/>
  <c r="C22053" i="1"/>
  <c r="A22054" i="1"/>
  <c r="C22054" i="1"/>
  <c r="A22055" i="1"/>
  <c r="C22055" i="1"/>
  <c r="A22056" i="1"/>
  <c r="C22056" i="1"/>
  <c r="A22057" i="1"/>
  <c r="C22057" i="1"/>
  <c r="A22058" i="1"/>
  <c r="C22058" i="1"/>
  <c r="A22059" i="1"/>
  <c r="C22059" i="1"/>
  <c r="A22060" i="1"/>
  <c r="C22060" i="1"/>
  <c r="A22061" i="1"/>
  <c r="C22061" i="1"/>
  <c r="A22062" i="1"/>
  <c r="C22062" i="1"/>
  <c r="A22063" i="1"/>
  <c r="C22063" i="1"/>
  <c r="A22064" i="1"/>
  <c r="C22064" i="1"/>
  <c r="A22065" i="1"/>
  <c r="C22065" i="1"/>
  <c r="A22066" i="1"/>
  <c r="C22066" i="1"/>
  <c r="A22067" i="1"/>
  <c r="C22067" i="1"/>
  <c r="A22068" i="1"/>
  <c r="C22068" i="1"/>
  <c r="A22069" i="1"/>
  <c r="C22069" i="1"/>
  <c r="A22070" i="1"/>
  <c r="C22070" i="1"/>
  <c r="A22071" i="1"/>
  <c r="C22071" i="1"/>
  <c r="A22072" i="1"/>
  <c r="C22072" i="1"/>
  <c r="A22073" i="1"/>
  <c r="C22073" i="1"/>
  <c r="A22074" i="1"/>
  <c r="C22074" i="1"/>
  <c r="A22075" i="1"/>
  <c r="C22075" i="1"/>
  <c r="A22076" i="1"/>
  <c r="C22076" i="1"/>
  <c r="A22077" i="1"/>
  <c r="C22077" i="1"/>
  <c r="A22078" i="1"/>
  <c r="C22078" i="1"/>
  <c r="A22079" i="1"/>
  <c r="C22079" i="1"/>
  <c r="A22080" i="1"/>
  <c r="C22080" i="1"/>
  <c r="A22081" i="1"/>
  <c r="C22081" i="1"/>
  <c r="A22082" i="1"/>
  <c r="C22082" i="1"/>
  <c r="A22083" i="1"/>
  <c r="C22083" i="1"/>
  <c r="A22084" i="1"/>
  <c r="C22084" i="1"/>
  <c r="A22085" i="1"/>
  <c r="C22085" i="1"/>
  <c r="A22086" i="1"/>
  <c r="C22086" i="1"/>
  <c r="A22087" i="1"/>
  <c r="C22087" i="1"/>
  <c r="A22088" i="1"/>
  <c r="C22088" i="1"/>
  <c r="A22089" i="1"/>
  <c r="C22089" i="1"/>
  <c r="A22090" i="1"/>
  <c r="C22090" i="1"/>
  <c r="A22091" i="1"/>
  <c r="C22091" i="1"/>
  <c r="A22092" i="1"/>
  <c r="C22092" i="1"/>
  <c r="A22093" i="1"/>
  <c r="C22093" i="1"/>
  <c r="A22094" i="1"/>
  <c r="C22094" i="1"/>
  <c r="A22095" i="1"/>
  <c r="C22095" i="1"/>
  <c r="A22096" i="1"/>
  <c r="C22096" i="1"/>
  <c r="A22097" i="1"/>
  <c r="C22097" i="1"/>
  <c r="A22098" i="1"/>
  <c r="C22098" i="1"/>
  <c r="A22099" i="1"/>
  <c r="C22099" i="1"/>
  <c r="A22100" i="1"/>
  <c r="C22100" i="1"/>
  <c r="A22101" i="1"/>
  <c r="C22101" i="1"/>
  <c r="A22102" i="1"/>
  <c r="C22102" i="1"/>
  <c r="A22103" i="1"/>
  <c r="C22103" i="1"/>
  <c r="A22104" i="1"/>
  <c r="C22104" i="1"/>
  <c r="A22105" i="1"/>
  <c r="C22105" i="1"/>
  <c r="A22106" i="1"/>
  <c r="C22106" i="1"/>
  <c r="A22107" i="1"/>
  <c r="C22107" i="1"/>
  <c r="A22108" i="1"/>
  <c r="C22108" i="1"/>
  <c r="A22109" i="1"/>
  <c r="C22109" i="1"/>
  <c r="A22110" i="1"/>
  <c r="C22110" i="1"/>
  <c r="A22111" i="1"/>
  <c r="C22111" i="1"/>
  <c r="A22112" i="1"/>
  <c r="C22112" i="1"/>
  <c r="A22113" i="1"/>
  <c r="C22113" i="1"/>
  <c r="A22114" i="1"/>
  <c r="C22114" i="1"/>
  <c r="A22115" i="1"/>
  <c r="C22115" i="1"/>
  <c r="A22116" i="1"/>
  <c r="C22116" i="1"/>
  <c r="A22117" i="1"/>
  <c r="C22117" i="1"/>
  <c r="A22118" i="1"/>
  <c r="C22118" i="1"/>
  <c r="A22119" i="1"/>
  <c r="C22119" i="1"/>
  <c r="A22120" i="1"/>
  <c r="C22120" i="1"/>
  <c r="A22121" i="1"/>
  <c r="C22121" i="1"/>
  <c r="A22122" i="1"/>
  <c r="C22122" i="1"/>
  <c r="A22123" i="1"/>
  <c r="C22123" i="1"/>
  <c r="A22124" i="1"/>
  <c r="C22124" i="1"/>
  <c r="A22125" i="1"/>
  <c r="C22125" i="1"/>
  <c r="A22126" i="1"/>
  <c r="C22126" i="1"/>
  <c r="A22127" i="1"/>
  <c r="C22127" i="1"/>
  <c r="A22128" i="1"/>
  <c r="C22128" i="1"/>
  <c r="A22129" i="1"/>
  <c r="C22129" i="1"/>
  <c r="A22130" i="1"/>
  <c r="C22130" i="1"/>
  <c r="A22131" i="1"/>
  <c r="C22131" i="1"/>
  <c r="A22132" i="1"/>
  <c r="C22132" i="1"/>
  <c r="A22133" i="1"/>
  <c r="C22133" i="1"/>
  <c r="A22134" i="1"/>
  <c r="C22134" i="1"/>
  <c r="A22135" i="1"/>
  <c r="C22135" i="1"/>
  <c r="A22136" i="1"/>
  <c r="C22136" i="1"/>
  <c r="A22137" i="1"/>
  <c r="C22137" i="1"/>
  <c r="A22138" i="1"/>
  <c r="C22138" i="1"/>
  <c r="A22139" i="1"/>
  <c r="C22139" i="1"/>
  <c r="A22140" i="1"/>
  <c r="C22140" i="1"/>
  <c r="A22141" i="1"/>
  <c r="C22141" i="1"/>
  <c r="A22142" i="1"/>
  <c r="C22142" i="1"/>
  <c r="A22143" i="1"/>
  <c r="C22143" i="1"/>
  <c r="A22144" i="1"/>
  <c r="C22144" i="1"/>
  <c r="A22145" i="1"/>
  <c r="C22145" i="1"/>
  <c r="A22146" i="1"/>
  <c r="C22146" i="1"/>
  <c r="A22147" i="1"/>
  <c r="C22147" i="1"/>
  <c r="A22148" i="1"/>
  <c r="C22148" i="1"/>
  <c r="A22149" i="1"/>
  <c r="C22149" i="1"/>
  <c r="A22150" i="1"/>
  <c r="C22150" i="1"/>
  <c r="A22151" i="1"/>
  <c r="C22151" i="1"/>
  <c r="A22152" i="1"/>
  <c r="C22152" i="1"/>
  <c r="A22153" i="1"/>
  <c r="C22153" i="1"/>
  <c r="A22154" i="1"/>
  <c r="C22154" i="1"/>
  <c r="A22155" i="1"/>
  <c r="C22155" i="1"/>
  <c r="A22156" i="1"/>
  <c r="C22156" i="1"/>
  <c r="A22157" i="1"/>
  <c r="C22157" i="1"/>
  <c r="A22158" i="1"/>
  <c r="C22158" i="1"/>
  <c r="A22159" i="1"/>
  <c r="C22159" i="1"/>
  <c r="A22160" i="1"/>
  <c r="C22160" i="1"/>
  <c r="A22161" i="1"/>
  <c r="C22161" i="1"/>
  <c r="A22162" i="1"/>
  <c r="C22162" i="1"/>
  <c r="A22163" i="1"/>
  <c r="C22163" i="1"/>
  <c r="A22164" i="1"/>
  <c r="C22164" i="1"/>
  <c r="A22165" i="1"/>
  <c r="C22165" i="1"/>
  <c r="A22166" i="1"/>
  <c r="C22166" i="1"/>
  <c r="A22167" i="1"/>
  <c r="C22167" i="1"/>
  <c r="A22168" i="1"/>
  <c r="C22168" i="1"/>
  <c r="A22169" i="1"/>
  <c r="C22169" i="1"/>
  <c r="A22170" i="1"/>
  <c r="C22170" i="1"/>
  <c r="A22171" i="1"/>
  <c r="C22171" i="1"/>
  <c r="A22172" i="1"/>
  <c r="C22172" i="1"/>
  <c r="A22173" i="1"/>
  <c r="C22173" i="1"/>
  <c r="A22174" i="1"/>
  <c r="C22174" i="1"/>
  <c r="A22175" i="1"/>
  <c r="C22175" i="1"/>
  <c r="A22176" i="1"/>
  <c r="C22176" i="1"/>
  <c r="A22177" i="1"/>
  <c r="C22177" i="1"/>
  <c r="A22178" i="1"/>
  <c r="C22178" i="1"/>
  <c r="A22179" i="1"/>
  <c r="C22179" i="1"/>
  <c r="A22180" i="1"/>
  <c r="C22180" i="1"/>
  <c r="A22181" i="1"/>
  <c r="C22181" i="1"/>
  <c r="A22182" i="1"/>
  <c r="C22182" i="1"/>
  <c r="A22183" i="1"/>
  <c r="C22183" i="1"/>
  <c r="A22184" i="1"/>
  <c r="C22184" i="1"/>
  <c r="A22185" i="1"/>
  <c r="C22185" i="1"/>
  <c r="A22186" i="1"/>
  <c r="C22186" i="1"/>
  <c r="A22187" i="1"/>
  <c r="C22187" i="1"/>
  <c r="A22188" i="1"/>
  <c r="C22188" i="1"/>
  <c r="A22189" i="1"/>
  <c r="C22189" i="1"/>
  <c r="A22190" i="1"/>
  <c r="C22190" i="1"/>
  <c r="A22191" i="1"/>
  <c r="C22191" i="1"/>
  <c r="A22192" i="1"/>
  <c r="C22192" i="1"/>
  <c r="A22193" i="1"/>
  <c r="C22193" i="1"/>
  <c r="A22194" i="1"/>
  <c r="C22194" i="1"/>
  <c r="A22195" i="1"/>
  <c r="C22195" i="1"/>
  <c r="A22196" i="1"/>
  <c r="C22196" i="1"/>
  <c r="A22197" i="1"/>
  <c r="C22197" i="1"/>
  <c r="A22198" i="1"/>
  <c r="C22198" i="1"/>
  <c r="A22199" i="1"/>
  <c r="C22199" i="1"/>
  <c r="A22200" i="1"/>
  <c r="C22200" i="1"/>
  <c r="A22201" i="1"/>
  <c r="C22201" i="1"/>
  <c r="A22202" i="1"/>
  <c r="C22202" i="1"/>
  <c r="A22203" i="1"/>
  <c r="C22203" i="1"/>
  <c r="A22204" i="1"/>
  <c r="C22204" i="1"/>
  <c r="A22205" i="1"/>
  <c r="C22205" i="1"/>
  <c r="A22206" i="1"/>
  <c r="C22206" i="1"/>
  <c r="A22207" i="1"/>
  <c r="C22207" i="1"/>
  <c r="A22208" i="1"/>
  <c r="C22208" i="1"/>
  <c r="A22209" i="1"/>
  <c r="C22209" i="1"/>
  <c r="A22210" i="1"/>
  <c r="C22210" i="1"/>
  <c r="A22211" i="1"/>
  <c r="C22211" i="1"/>
  <c r="A22212" i="1"/>
  <c r="C22212" i="1"/>
  <c r="A22213" i="1"/>
  <c r="C22213" i="1"/>
  <c r="A22214" i="1"/>
  <c r="C22214" i="1"/>
  <c r="A22215" i="1"/>
  <c r="C22215" i="1"/>
  <c r="A22216" i="1"/>
  <c r="C22216" i="1"/>
  <c r="A22217" i="1"/>
  <c r="C22217" i="1"/>
  <c r="A22218" i="1"/>
  <c r="C22218" i="1"/>
  <c r="A22219" i="1"/>
  <c r="C22219" i="1"/>
  <c r="A22220" i="1"/>
  <c r="C22220" i="1"/>
  <c r="A22221" i="1"/>
  <c r="C22221" i="1"/>
  <c r="A22222" i="1"/>
  <c r="C22222" i="1"/>
  <c r="A22223" i="1"/>
  <c r="C22223" i="1"/>
  <c r="A22224" i="1"/>
  <c r="C22224" i="1"/>
  <c r="A22225" i="1"/>
  <c r="C22225" i="1"/>
  <c r="A22226" i="1"/>
  <c r="C22226" i="1"/>
  <c r="A22227" i="1"/>
  <c r="C22227" i="1"/>
  <c r="A22228" i="1"/>
  <c r="C22228" i="1"/>
  <c r="A22229" i="1"/>
  <c r="C22229" i="1"/>
  <c r="A22230" i="1"/>
  <c r="C22230" i="1"/>
  <c r="A22231" i="1"/>
  <c r="C22231" i="1"/>
  <c r="A22232" i="1"/>
  <c r="C22232" i="1"/>
  <c r="A22233" i="1"/>
  <c r="C22233" i="1"/>
  <c r="A22234" i="1"/>
  <c r="C22234" i="1"/>
  <c r="A22235" i="1"/>
  <c r="C22235" i="1"/>
  <c r="A22236" i="1"/>
  <c r="C22236" i="1"/>
  <c r="A22237" i="1"/>
  <c r="C22237" i="1"/>
  <c r="A22238" i="1"/>
  <c r="C22238" i="1"/>
  <c r="A22239" i="1"/>
  <c r="C22239" i="1"/>
  <c r="A22240" i="1"/>
  <c r="C22240" i="1"/>
  <c r="A22241" i="1"/>
  <c r="C22241" i="1"/>
  <c r="A22242" i="1"/>
  <c r="C22242" i="1"/>
  <c r="A22243" i="1"/>
  <c r="C22243" i="1"/>
  <c r="A22244" i="1"/>
  <c r="C22244" i="1"/>
  <c r="A22245" i="1"/>
  <c r="C22245" i="1"/>
  <c r="A22246" i="1"/>
  <c r="C22246" i="1"/>
  <c r="A22247" i="1"/>
  <c r="C22247" i="1"/>
  <c r="A22248" i="1"/>
  <c r="C22248" i="1"/>
  <c r="A22249" i="1"/>
  <c r="C22249" i="1"/>
  <c r="A22250" i="1"/>
  <c r="C22250" i="1"/>
  <c r="A22251" i="1"/>
  <c r="C22251" i="1"/>
  <c r="A22252" i="1"/>
  <c r="C22252" i="1"/>
  <c r="A22253" i="1"/>
  <c r="C22253" i="1"/>
  <c r="A22254" i="1"/>
  <c r="C22254" i="1"/>
  <c r="A22255" i="1"/>
  <c r="C22255" i="1"/>
  <c r="A22256" i="1"/>
  <c r="C22256" i="1"/>
  <c r="A22257" i="1"/>
  <c r="C22257" i="1"/>
  <c r="A22258" i="1"/>
  <c r="C22258" i="1"/>
  <c r="A22259" i="1"/>
  <c r="C22259" i="1"/>
  <c r="A22260" i="1"/>
  <c r="C22260" i="1"/>
  <c r="A22261" i="1"/>
  <c r="C22261" i="1"/>
  <c r="A22262" i="1"/>
  <c r="C22262" i="1"/>
  <c r="A22263" i="1"/>
  <c r="C22263" i="1"/>
  <c r="A22264" i="1"/>
  <c r="C22264" i="1"/>
  <c r="A22265" i="1"/>
  <c r="C22265" i="1"/>
  <c r="A22266" i="1"/>
  <c r="C22266" i="1"/>
  <c r="A22267" i="1"/>
  <c r="C22267" i="1"/>
  <c r="A22268" i="1"/>
  <c r="C22268" i="1"/>
  <c r="A22269" i="1"/>
  <c r="C22269" i="1"/>
  <c r="A22270" i="1"/>
  <c r="C22270" i="1"/>
  <c r="A22271" i="1"/>
  <c r="C22271" i="1"/>
  <c r="A22272" i="1"/>
  <c r="C22272" i="1"/>
  <c r="A22273" i="1"/>
  <c r="C22273" i="1"/>
  <c r="A22274" i="1"/>
  <c r="C22274" i="1"/>
  <c r="A22275" i="1"/>
  <c r="C22275" i="1"/>
  <c r="A22276" i="1"/>
  <c r="C22276" i="1"/>
  <c r="A22277" i="1"/>
  <c r="C22277" i="1"/>
  <c r="A22278" i="1"/>
  <c r="C22278" i="1"/>
  <c r="A22279" i="1"/>
  <c r="C22279" i="1"/>
  <c r="A22280" i="1"/>
  <c r="C22280" i="1"/>
  <c r="A22281" i="1"/>
  <c r="C22281" i="1"/>
  <c r="A22282" i="1"/>
  <c r="C22282" i="1"/>
  <c r="A22283" i="1"/>
  <c r="C22283" i="1"/>
  <c r="A22284" i="1"/>
  <c r="C22284" i="1"/>
  <c r="A22285" i="1"/>
  <c r="C22285" i="1"/>
  <c r="A22286" i="1"/>
  <c r="C22286" i="1"/>
  <c r="A22287" i="1"/>
  <c r="C22287" i="1"/>
  <c r="A22288" i="1"/>
  <c r="C22288" i="1"/>
  <c r="A22289" i="1"/>
  <c r="C22289" i="1"/>
  <c r="A22290" i="1"/>
  <c r="C22290" i="1"/>
  <c r="A22291" i="1"/>
  <c r="C22291" i="1"/>
  <c r="A22292" i="1"/>
  <c r="C22292" i="1"/>
  <c r="A22293" i="1"/>
  <c r="C22293" i="1"/>
  <c r="A22294" i="1"/>
  <c r="C22294" i="1"/>
  <c r="A22295" i="1"/>
  <c r="C22295" i="1"/>
  <c r="A22296" i="1"/>
  <c r="C22296" i="1"/>
  <c r="A22297" i="1"/>
  <c r="C22297" i="1"/>
  <c r="A22298" i="1"/>
  <c r="C22298" i="1"/>
  <c r="A22299" i="1"/>
  <c r="C22299" i="1"/>
  <c r="A22300" i="1"/>
  <c r="C22300" i="1"/>
  <c r="A22301" i="1"/>
  <c r="C22301" i="1"/>
  <c r="A22302" i="1"/>
  <c r="C22302" i="1"/>
  <c r="A22303" i="1"/>
  <c r="C22303" i="1"/>
  <c r="A22304" i="1"/>
  <c r="C22304" i="1"/>
  <c r="A22305" i="1"/>
  <c r="C22305" i="1"/>
  <c r="A22306" i="1"/>
  <c r="C22306" i="1"/>
  <c r="A22307" i="1"/>
  <c r="C22307" i="1"/>
  <c r="A22308" i="1"/>
  <c r="C22308" i="1"/>
  <c r="A22309" i="1"/>
  <c r="C22309" i="1"/>
  <c r="A22310" i="1"/>
  <c r="C22310" i="1"/>
  <c r="A22311" i="1"/>
  <c r="C22311" i="1"/>
  <c r="A22312" i="1"/>
  <c r="C22312" i="1"/>
  <c r="A22313" i="1"/>
  <c r="C22313" i="1"/>
  <c r="A22314" i="1"/>
  <c r="C22314" i="1"/>
  <c r="A22315" i="1"/>
  <c r="C22315" i="1"/>
  <c r="A22316" i="1"/>
  <c r="C22316" i="1"/>
  <c r="A22317" i="1"/>
  <c r="C22317" i="1"/>
  <c r="A22318" i="1"/>
  <c r="C22318" i="1"/>
  <c r="A22319" i="1"/>
  <c r="C22319" i="1"/>
  <c r="A22320" i="1"/>
  <c r="C22320" i="1"/>
  <c r="A22321" i="1"/>
  <c r="C22321" i="1"/>
  <c r="A22322" i="1"/>
  <c r="C22322" i="1"/>
  <c r="A22323" i="1"/>
  <c r="C22323" i="1"/>
  <c r="A22324" i="1"/>
  <c r="C22324" i="1"/>
  <c r="A22325" i="1"/>
  <c r="C22325" i="1"/>
  <c r="A22326" i="1"/>
  <c r="C22326" i="1"/>
  <c r="A22327" i="1"/>
  <c r="C22327" i="1"/>
  <c r="A22328" i="1"/>
  <c r="C22328" i="1"/>
  <c r="A22329" i="1"/>
  <c r="C22329" i="1"/>
  <c r="A22330" i="1"/>
  <c r="C22330" i="1"/>
  <c r="A22331" i="1"/>
  <c r="C22331" i="1"/>
  <c r="A22332" i="1"/>
  <c r="C22332" i="1"/>
  <c r="A22333" i="1"/>
  <c r="C22333" i="1"/>
  <c r="A22334" i="1"/>
  <c r="C22334" i="1"/>
  <c r="A22335" i="1"/>
  <c r="C22335" i="1"/>
  <c r="A22336" i="1"/>
  <c r="C22336" i="1"/>
  <c r="A22337" i="1"/>
  <c r="C22337" i="1"/>
  <c r="A22338" i="1"/>
  <c r="C22338" i="1"/>
  <c r="A22339" i="1"/>
  <c r="C22339" i="1"/>
  <c r="A22340" i="1"/>
  <c r="C22340" i="1"/>
  <c r="A22341" i="1"/>
  <c r="C22341" i="1"/>
  <c r="A22342" i="1"/>
  <c r="C22342" i="1"/>
  <c r="A22343" i="1"/>
  <c r="C22343" i="1"/>
  <c r="A22344" i="1"/>
  <c r="C22344" i="1"/>
  <c r="A22345" i="1"/>
  <c r="C22345" i="1"/>
  <c r="A22346" i="1"/>
  <c r="C22346" i="1"/>
  <c r="A22347" i="1"/>
  <c r="C22347" i="1"/>
  <c r="A22348" i="1"/>
  <c r="C22348" i="1"/>
  <c r="A22349" i="1"/>
  <c r="C22349" i="1"/>
  <c r="A22350" i="1"/>
  <c r="C22350" i="1"/>
  <c r="A22351" i="1"/>
  <c r="C22351" i="1"/>
  <c r="A22352" i="1"/>
  <c r="C22352" i="1"/>
  <c r="A22353" i="1"/>
  <c r="C22353" i="1"/>
  <c r="A22354" i="1"/>
  <c r="C22354" i="1"/>
  <c r="A22355" i="1"/>
  <c r="C22355" i="1"/>
  <c r="A22356" i="1"/>
  <c r="C22356" i="1"/>
  <c r="A22357" i="1"/>
  <c r="C22357" i="1"/>
  <c r="A22358" i="1"/>
  <c r="C22358" i="1"/>
  <c r="A22359" i="1"/>
  <c r="C22359" i="1"/>
  <c r="A22360" i="1"/>
  <c r="C22360" i="1"/>
  <c r="A22361" i="1"/>
  <c r="C22361" i="1"/>
  <c r="A22362" i="1"/>
  <c r="C22362" i="1"/>
  <c r="A22363" i="1"/>
  <c r="C22363" i="1"/>
  <c r="A22364" i="1"/>
  <c r="C22364" i="1"/>
  <c r="A22365" i="1"/>
  <c r="C22365" i="1"/>
  <c r="A22366" i="1"/>
  <c r="C22366" i="1"/>
  <c r="A22367" i="1"/>
  <c r="C22367" i="1"/>
  <c r="A22368" i="1"/>
  <c r="C22368" i="1"/>
  <c r="A22369" i="1"/>
  <c r="C22369" i="1"/>
  <c r="A22370" i="1"/>
  <c r="C22370" i="1"/>
  <c r="A22371" i="1"/>
  <c r="C22371" i="1"/>
  <c r="A22372" i="1"/>
  <c r="C22372" i="1"/>
  <c r="A22373" i="1"/>
  <c r="C22373" i="1"/>
  <c r="A22374" i="1"/>
  <c r="C22374" i="1"/>
  <c r="A22375" i="1"/>
  <c r="C22375" i="1"/>
  <c r="A22376" i="1"/>
  <c r="C22376" i="1"/>
  <c r="A22377" i="1"/>
  <c r="C22377" i="1"/>
  <c r="A22378" i="1"/>
  <c r="C22378" i="1"/>
  <c r="A22379" i="1"/>
  <c r="C22379" i="1"/>
  <c r="A22380" i="1"/>
  <c r="C22380" i="1"/>
  <c r="A22381" i="1"/>
  <c r="C22381" i="1"/>
  <c r="A22382" i="1"/>
  <c r="C22382" i="1"/>
  <c r="A22383" i="1"/>
  <c r="C22383" i="1"/>
  <c r="A22384" i="1"/>
  <c r="C22384" i="1"/>
  <c r="A22385" i="1"/>
  <c r="C22385" i="1"/>
  <c r="A22386" i="1"/>
  <c r="C22386" i="1"/>
  <c r="A22387" i="1"/>
  <c r="C22387" i="1"/>
  <c r="A22388" i="1"/>
  <c r="C22388" i="1"/>
  <c r="A22389" i="1"/>
  <c r="C22389" i="1"/>
  <c r="A22390" i="1"/>
  <c r="C22390" i="1"/>
  <c r="A22391" i="1"/>
  <c r="C22391" i="1"/>
  <c r="A22392" i="1"/>
  <c r="C22392" i="1"/>
  <c r="A22393" i="1"/>
  <c r="C22393" i="1"/>
  <c r="A22394" i="1"/>
  <c r="C22394" i="1"/>
  <c r="A22395" i="1"/>
  <c r="C22395" i="1"/>
  <c r="A22396" i="1"/>
  <c r="C22396" i="1"/>
  <c r="A22397" i="1"/>
  <c r="C22397" i="1"/>
  <c r="A22398" i="1"/>
  <c r="C22398" i="1"/>
  <c r="A22399" i="1"/>
  <c r="C22399" i="1"/>
  <c r="A22400" i="1"/>
  <c r="C22400" i="1"/>
  <c r="A22401" i="1"/>
  <c r="C22401" i="1"/>
  <c r="A22402" i="1"/>
  <c r="C22402" i="1"/>
  <c r="A22403" i="1"/>
  <c r="C22403" i="1"/>
  <c r="A22404" i="1"/>
  <c r="C22404" i="1"/>
  <c r="A22405" i="1"/>
  <c r="C22405" i="1"/>
  <c r="A22406" i="1"/>
  <c r="C22406" i="1"/>
  <c r="A22407" i="1"/>
  <c r="C22407" i="1"/>
  <c r="A22408" i="1"/>
  <c r="C22408" i="1"/>
  <c r="A22409" i="1"/>
  <c r="C22409" i="1"/>
  <c r="A22410" i="1"/>
  <c r="C22410" i="1"/>
  <c r="A22411" i="1"/>
  <c r="C22411" i="1"/>
  <c r="A22412" i="1"/>
  <c r="C22412" i="1"/>
  <c r="A22413" i="1"/>
  <c r="C22413" i="1"/>
  <c r="A22414" i="1"/>
  <c r="C22414" i="1"/>
  <c r="A22415" i="1"/>
  <c r="C22415" i="1"/>
  <c r="A22416" i="1"/>
  <c r="C22416" i="1"/>
  <c r="A22417" i="1"/>
  <c r="C22417" i="1"/>
  <c r="A22418" i="1"/>
  <c r="C22418" i="1"/>
  <c r="A22419" i="1"/>
  <c r="C22419" i="1"/>
  <c r="A22420" i="1"/>
  <c r="C22420" i="1"/>
  <c r="A22421" i="1"/>
  <c r="C22421" i="1"/>
  <c r="A22422" i="1"/>
  <c r="C22422" i="1"/>
  <c r="A22423" i="1"/>
  <c r="C22423" i="1"/>
  <c r="A22424" i="1"/>
  <c r="C22424" i="1"/>
  <c r="A22425" i="1"/>
  <c r="C22425" i="1"/>
  <c r="A22426" i="1"/>
  <c r="C22426" i="1"/>
  <c r="A22427" i="1"/>
  <c r="C22427" i="1"/>
  <c r="A22428" i="1"/>
  <c r="C22428" i="1"/>
  <c r="A22429" i="1"/>
  <c r="C22429" i="1"/>
  <c r="A22430" i="1"/>
  <c r="C22430" i="1"/>
  <c r="A22431" i="1"/>
  <c r="C22431" i="1"/>
  <c r="A22432" i="1"/>
  <c r="C22432" i="1"/>
  <c r="A22433" i="1"/>
  <c r="C22433" i="1"/>
  <c r="A22434" i="1"/>
  <c r="C22434" i="1"/>
  <c r="A22435" i="1"/>
  <c r="C22435" i="1"/>
  <c r="A22436" i="1"/>
  <c r="C22436" i="1"/>
  <c r="A22437" i="1"/>
  <c r="C22437" i="1"/>
  <c r="A22438" i="1"/>
  <c r="C22438" i="1"/>
  <c r="A22439" i="1"/>
  <c r="C22439" i="1"/>
  <c r="A22440" i="1"/>
  <c r="C22440" i="1"/>
  <c r="A22441" i="1"/>
  <c r="C22441" i="1"/>
  <c r="A22442" i="1"/>
  <c r="C22442" i="1"/>
  <c r="A22443" i="1"/>
  <c r="C22443" i="1"/>
  <c r="A22444" i="1"/>
  <c r="C22444" i="1"/>
  <c r="A22445" i="1"/>
  <c r="C22445" i="1"/>
  <c r="A22446" i="1"/>
  <c r="C22446" i="1"/>
  <c r="A22447" i="1"/>
  <c r="C22447" i="1"/>
  <c r="A22448" i="1"/>
  <c r="C22448" i="1"/>
  <c r="A22449" i="1"/>
  <c r="C22449" i="1"/>
  <c r="A22450" i="1"/>
  <c r="C22450" i="1"/>
  <c r="A22451" i="1"/>
  <c r="C22451" i="1"/>
  <c r="A22452" i="1"/>
  <c r="C22452" i="1"/>
  <c r="A22453" i="1"/>
  <c r="C22453" i="1"/>
  <c r="A22454" i="1"/>
  <c r="C22454" i="1"/>
  <c r="A22455" i="1"/>
  <c r="C22455" i="1"/>
  <c r="A22456" i="1"/>
  <c r="C22456" i="1"/>
  <c r="A22457" i="1"/>
  <c r="C22457" i="1"/>
  <c r="A22458" i="1"/>
  <c r="C22458" i="1"/>
  <c r="A22459" i="1"/>
  <c r="C22459" i="1"/>
  <c r="A22460" i="1"/>
  <c r="C22460" i="1"/>
  <c r="A22461" i="1"/>
  <c r="C22461" i="1"/>
  <c r="A22462" i="1"/>
  <c r="C22462" i="1"/>
  <c r="A22463" i="1"/>
  <c r="C22463" i="1"/>
  <c r="A22464" i="1"/>
  <c r="C22464" i="1"/>
  <c r="A22465" i="1"/>
  <c r="C22465" i="1"/>
  <c r="A22466" i="1"/>
  <c r="C22466" i="1"/>
  <c r="A22467" i="1"/>
  <c r="C22467" i="1"/>
  <c r="A22468" i="1"/>
  <c r="C22468" i="1"/>
  <c r="A22469" i="1"/>
  <c r="C22469" i="1"/>
  <c r="A22470" i="1"/>
  <c r="C22470" i="1"/>
  <c r="A22471" i="1"/>
  <c r="C22471" i="1"/>
  <c r="A22472" i="1"/>
  <c r="C22472" i="1"/>
  <c r="A22473" i="1"/>
  <c r="C22473" i="1"/>
  <c r="A22474" i="1"/>
  <c r="C22474" i="1"/>
  <c r="A22475" i="1"/>
  <c r="C22475" i="1"/>
  <c r="A22476" i="1"/>
  <c r="C22476" i="1"/>
  <c r="A22477" i="1"/>
  <c r="C22477" i="1"/>
  <c r="A22478" i="1"/>
  <c r="C22478" i="1"/>
  <c r="A22479" i="1"/>
  <c r="C22479" i="1"/>
  <c r="A22480" i="1"/>
  <c r="C22480" i="1"/>
  <c r="A22481" i="1"/>
  <c r="C22481" i="1"/>
  <c r="A22482" i="1"/>
  <c r="C22482" i="1"/>
  <c r="A22483" i="1"/>
  <c r="C22483" i="1"/>
  <c r="A22484" i="1"/>
  <c r="C22484" i="1"/>
  <c r="A22485" i="1"/>
  <c r="C22485" i="1"/>
  <c r="A22486" i="1"/>
  <c r="C22486" i="1"/>
  <c r="A22487" i="1"/>
  <c r="C22487" i="1"/>
  <c r="A22488" i="1"/>
  <c r="C22488" i="1"/>
  <c r="A22489" i="1"/>
  <c r="C22489" i="1"/>
  <c r="A22490" i="1"/>
  <c r="C22490" i="1"/>
  <c r="A22491" i="1"/>
  <c r="C22491" i="1"/>
  <c r="A22492" i="1"/>
  <c r="C22492" i="1"/>
  <c r="A22493" i="1"/>
  <c r="C22493" i="1"/>
  <c r="A22494" i="1"/>
  <c r="C22494" i="1"/>
  <c r="A22495" i="1"/>
  <c r="C22495" i="1"/>
  <c r="A22496" i="1"/>
  <c r="C22496" i="1"/>
  <c r="A22497" i="1"/>
  <c r="C22497" i="1"/>
  <c r="A22498" i="1"/>
  <c r="C22498" i="1"/>
  <c r="A22499" i="1"/>
  <c r="C22499" i="1"/>
  <c r="A22500" i="1"/>
  <c r="C22500" i="1"/>
  <c r="A22501" i="1"/>
  <c r="C22501" i="1"/>
  <c r="A22502" i="1"/>
  <c r="C22502" i="1"/>
  <c r="A22503" i="1"/>
  <c r="C22503" i="1"/>
  <c r="A22504" i="1"/>
  <c r="C22504" i="1"/>
  <c r="A22505" i="1"/>
  <c r="C22505" i="1"/>
  <c r="A22506" i="1"/>
  <c r="C22506" i="1"/>
  <c r="A22507" i="1"/>
  <c r="C22507" i="1"/>
  <c r="A22508" i="1"/>
  <c r="C22508" i="1"/>
  <c r="A22509" i="1"/>
  <c r="C22509" i="1"/>
  <c r="A22510" i="1"/>
  <c r="C22510" i="1"/>
  <c r="A22511" i="1"/>
  <c r="C22511" i="1"/>
  <c r="A22512" i="1"/>
  <c r="C22512" i="1"/>
  <c r="A22513" i="1"/>
  <c r="C22513" i="1"/>
  <c r="A22514" i="1"/>
  <c r="C22514" i="1"/>
  <c r="A22515" i="1"/>
  <c r="C22515" i="1"/>
  <c r="A22516" i="1"/>
  <c r="C22516" i="1"/>
  <c r="A22517" i="1"/>
  <c r="C22517" i="1"/>
  <c r="A22518" i="1"/>
  <c r="C22518" i="1"/>
  <c r="A22519" i="1"/>
  <c r="C22519" i="1"/>
  <c r="A22520" i="1"/>
  <c r="C22520" i="1"/>
  <c r="A22521" i="1"/>
  <c r="C22521" i="1"/>
  <c r="A22522" i="1"/>
  <c r="C22522" i="1"/>
  <c r="A22523" i="1"/>
  <c r="C22523" i="1"/>
  <c r="A22524" i="1"/>
  <c r="C22524" i="1"/>
  <c r="A22525" i="1"/>
  <c r="C22525" i="1"/>
  <c r="A22526" i="1"/>
  <c r="C22526" i="1"/>
  <c r="A22527" i="1"/>
  <c r="C22527" i="1"/>
  <c r="A22528" i="1"/>
  <c r="C22528" i="1"/>
  <c r="A22529" i="1"/>
  <c r="C22529" i="1"/>
  <c r="A22530" i="1"/>
  <c r="C22530" i="1"/>
  <c r="A22531" i="1"/>
  <c r="C22531" i="1"/>
  <c r="A22532" i="1"/>
  <c r="C22532" i="1"/>
  <c r="A22533" i="1"/>
  <c r="C22533" i="1"/>
  <c r="A22534" i="1"/>
  <c r="C22534" i="1"/>
  <c r="A22535" i="1"/>
  <c r="C22535" i="1"/>
  <c r="A22536" i="1"/>
  <c r="C22536" i="1"/>
  <c r="A22537" i="1"/>
  <c r="C22537" i="1"/>
  <c r="A22538" i="1"/>
  <c r="C22538" i="1"/>
  <c r="A22539" i="1"/>
  <c r="C22539" i="1"/>
  <c r="A22540" i="1"/>
  <c r="C22540" i="1"/>
  <c r="A22541" i="1"/>
  <c r="C22541" i="1"/>
  <c r="A22542" i="1"/>
  <c r="C22542" i="1"/>
  <c r="A22543" i="1"/>
  <c r="C22543" i="1"/>
  <c r="A22544" i="1"/>
  <c r="C22544" i="1"/>
  <c r="A22545" i="1"/>
  <c r="C22545" i="1"/>
  <c r="A22546" i="1"/>
  <c r="C22546" i="1"/>
  <c r="A22547" i="1"/>
  <c r="C22547" i="1"/>
  <c r="A22548" i="1"/>
  <c r="C22548" i="1"/>
  <c r="A22549" i="1"/>
  <c r="C22549" i="1"/>
  <c r="A22550" i="1"/>
  <c r="C22550" i="1"/>
  <c r="A22551" i="1"/>
  <c r="C22551" i="1"/>
  <c r="A22552" i="1"/>
  <c r="C22552" i="1"/>
  <c r="A22553" i="1"/>
  <c r="C22553" i="1"/>
  <c r="A22554" i="1"/>
  <c r="C22554" i="1"/>
  <c r="A22555" i="1"/>
  <c r="C22555" i="1"/>
  <c r="A22556" i="1"/>
  <c r="C22556" i="1"/>
  <c r="A22557" i="1"/>
  <c r="C22557" i="1"/>
  <c r="A22558" i="1"/>
  <c r="C22558" i="1"/>
  <c r="A22559" i="1"/>
  <c r="C22559" i="1"/>
  <c r="A22560" i="1"/>
  <c r="C22560" i="1"/>
  <c r="A22561" i="1"/>
  <c r="C22561" i="1"/>
  <c r="A22562" i="1"/>
  <c r="C22562" i="1"/>
  <c r="A22563" i="1"/>
  <c r="C22563" i="1"/>
  <c r="A22564" i="1"/>
  <c r="C22564" i="1"/>
  <c r="A22565" i="1"/>
  <c r="C22565" i="1"/>
  <c r="A22566" i="1"/>
  <c r="C22566" i="1"/>
  <c r="A22567" i="1"/>
  <c r="C22567" i="1"/>
  <c r="A22568" i="1"/>
  <c r="C22568" i="1"/>
  <c r="A22569" i="1"/>
  <c r="C22569" i="1"/>
  <c r="A22570" i="1"/>
  <c r="C22570" i="1"/>
  <c r="A22571" i="1"/>
  <c r="C22571" i="1"/>
  <c r="A22572" i="1"/>
  <c r="C22572" i="1"/>
  <c r="A22573" i="1"/>
  <c r="C22573" i="1"/>
  <c r="A22574" i="1"/>
  <c r="C22574" i="1"/>
  <c r="A22575" i="1"/>
  <c r="C22575" i="1"/>
  <c r="A22576" i="1"/>
  <c r="C22576" i="1"/>
  <c r="A22577" i="1"/>
  <c r="C22577" i="1"/>
  <c r="A22578" i="1"/>
  <c r="C22578" i="1"/>
  <c r="A22579" i="1"/>
  <c r="C22579" i="1"/>
  <c r="A22580" i="1"/>
  <c r="C22580" i="1"/>
  <c r="A22581" i="1"/>
  <c r="C22581" i="1"/>
  <c r="A22582" i="1"/>
  <c r="C22582" i="1"/>
  <c r="A22583" i="1"/>
  <c r="C22583" i="1"/>
  <c r="A22584" i="1"/>
  <c r="C22584" i="1"/>
  <c r="A22585" i="1"/>
  <c r="C22585" i="1"/>
  <c r="A22586" i="1"/>
  <c r="C22586" i="1"/>
  <c r="A22587" i="1"/>
  <c r="C22587" i="1"/>
  <c r="A22588" i="1"/>
  <c r="C22588" i="1"/>
  <c r="A22589" i="1"/>
  <c r="C22589" i="1"/>
  <c r="A22590" i="1"/>
  <c r="C22590" i="1"/>
  <c r="A22591" i="1"/>
  <c r="C22591" i="1"/>
  <c r="A22592" i="1"/>
  <c r="C22592" i="1"/>
  <c r="A22593" i="1"/>
  <c r="C22593" i="1"/>
  <c r="A22594" i="1"/>
  <c r="C22594" i="1"/>
  <c r="A22595" i="1"/>
  <c r="C22595" i="1"/>
  <c r="A22596" i="1"/>
  <c r="C22596" i="1"/>
  <c r="A22597" i="1"/>
  <c r="C22597" i="1"/>
  <c r="A22598" i="1"/>
  <c r="C22598" i="1"/>
  <c r="A22599" i="1"/>
  <c r="C22599" i="1"/>
  <c r="A22600" i="1"/>
  <c r="C22600" i="1"/>
  <c r="A22601" i="1"/>
  <c r="C22601" i="1"/>
  <c r="A22602" i="1"/>
  <c r="C22602" i="1"/>
  <c r="A22603" i="1"/>
  <c r="C22603" i="1"/>
  <c r="A22604" i="1"/>
  <c r="C22604" i="1"/>
  <c r="A22605" i="1"/>
  <c r="C22605" i="1"/>
  <c r="A22606" i="1"/>
  <c r="C22606" i="1"/>
  <c r="A22607" i="1"/>
  <c r="C22607" i="1"/>
  <c r="A22608" i="1"/>
  <c r="C22608" i="1"/>
  <c r="A22609" i="1"/>
  <c r="C22609" i="1"/>
  <c r="A22610" i="1"/>
  <c r="C22610" i="1"/>
  <c r="A22611" i="1"/>
  <c r="C22611" i="1"/>
  <c r="A22612" i="1"/>
  <c r="C22612" i="1"/>
  <c r="A22613" i="1"/>
  <c r="C22613" i="1"/>
  <c r="A22614" i="1"/>
  <c r="C22614" i="1"/>
  <c r="A22615" i="1"/>
  <c r="C22615" i="1"/>
  <c r="A22616" i="1"/>
  <c r="C22616" i="1"/>
  <c r="A22617" i="1"/>
  <c r="C22617" i="1"/>
  <c r="A22618" i="1"/>
  <c r="C22618" i="1"/>
  <c r="A22619" i="1"/>
  <c r="C22619" i="1"/>
  <c r="A22620" i="1"/>
  <c r="C22620" i="1"/>
  <c r="A22621" i="1"/>
  <c r="C22621" i="1"/>
  <c r="A22622" i="1"/>
  <c r="C22622" i="1"/>
  <c r="A22623" i="1"/>
  <c r="C22623" i="1"/>
  <c r="A22624" i="1"/>
  <c r="C22624" i="1"/>
  <c r="A22625" i="1"/>
  <c r="C22625" i="1"/>
  <c r="A22626" i="1"/>
  <c r="C22626" i="1"/>
  <c r="A22627" i="1"/>
  <c r="C22627" i="1"/>
  <c r="A22628" i="1"/>
  <c r="C22628" i="1"/>
  <c r="A22629" i="1"/>
  <c r="C22629" i="1"/>
  <c r="A22630" i="1"/>
  <c r="C22630" i="1"/>
  <c r="A22631" i="1"/>
  <c r="C22631" i="1"/>
  <c r="A22632" i="1"/>
  <c r="C22632" i="1"/>
  <c r="A22633" i="1"/>
  <c r="C22633" i="1"/>
  <c r="A22634" i="1"/>
  <c r="C22634" i="1"/>
  <c r="A22635" i="1"/>
  <c r="C22635" i="1"/>
  <c r="A22636" i="1"/>
  <c r="C22636" i="1"/>
  <c r="A22637" i="1"/>
  <c r="C22637" i="1"/>
  <c r="A22638" i="1"/>
  <c r="C22638" i="1"/>
  <c r="A22639" i="1"/>
  <c r="C22639" i="1"/>
  <c r="A22640" i="1"/>
  <c r="C22640" i="1"/>
  <c r="A22641" i="1"/>
  <c r="C22641" i="1"/>
  <c r="A22642" i="1"/>
  <c r="C22642" i="1"/>
  <c r="A22643" i="1"/>
  <c r="C22643" i="1"/>
  <c r="A22644" i="1"/>
  <c r="C22644" i="1"/>
  <c r="A22645" i="1"/>
  <c r="C22645" i="1"/>
  <c r="A22646" i="1"/>
  <c r="C22646" i="1"/>
  <c r="A22647" i="1"/>
  <c r="C22647" i="1"/>
  <c r="A22648" i="1"/>
  <c r="C22648" i="1"/>
  <c r="A22649" i="1"/>
  <c r="C22649" i="1"/>
  <c r="A22650" i="1"/>
  <c r="C22650" i="1"/>
  <c r="A22651" i="1"/>
  <c r="C22651" i="1"/>
  <c r="A22652" i="1"/>
  <c r="C22652" i="1"/>
  <c r="A22653" i="1"/>
  <c r="C22653" i="1"/>
  <c r="A22654" i="1"/>
  <c r="C22654" i="1"/>
  <c r="A22655" i="1"/>
  <c r="C22655" i="1"/>
  <c r="A22656" i="1"/>
  <c r="C22656" i="1"/>
  <c r="A22657" i="1"/>
  <c r="C22657" i="1"/>
  <c r="A22658" i="1"/>
  <c r="C22658" i="1"/>
  <c r="A22659" i="1"/>
  <c r="C22659" i="1"/>
  <c r="A22660" i="1"/>
  <c r="C22660" i="1"/>
  <c r="A22661" i="1"/>
  <c r="C22661" i="1"/>
  <c r="A22662" i="1"/>
  <c r="C22662" i="1"/>
  <c r="A22663" i="1"/>
  <c r="C22663" i="1"/>
  <c r="A22664" i="1"/>
  <c r="C22664" i="1"/>
  <c r="A22665" i="1"/>
  <c r="C22665" i="1"/>
  <c r="A22666" i="1"/>
  <c r="C22666" i="1"/>
  <c r="A22667" i="1"/>
  <c r="C22667" i="1"/>
  <c r="A22668" i="1"/>
  <c r="C22668" i="1"/>
  <c r="A22669" i="1"/>
  <c r="C22669" i="1"/>
  <c r="A22670" i="1"/>
  <c r="C22670" i="1"/>
  <c r="A22671" i="1"/>
  <c r="C22671" i="1"/>
  <c r="A22672" i="1"/>
  <c r="C22672" i="1"/>
  <c r="A22673" i="1"/>
  <c r="C22673" i="1"/>
  <c r="A22674" i="1"/>
  <c r="C22674" i="1"/>
  <c r="A22675" i="1"/>
  <c r="C22675" i="1"/>
  <c r="A22676" i="1"/>
  <c r="C22676" i="1"/>
  <c r="A22677" i="1"/>
  <c r="C22677" i="1"/>
  <c r="A22678" i="1"/>
  <c r="C22678" i="1"/>
  <c r="A22679" i="1"/>
  <c r="C22679" i="1"/>
  <c r="A22680" i="1"/>
  <c r="C22680" i="1"/>
  <c r="A22681" i="1"/>
  <c r="C22681" i="1"/>
  <c r="A22682" i="1"/>
  <c r="C22682" i="1"/>
  <c r="A22683" i="1"/>
  <c r="C22683" i="1"/>
  <c r="A22684" i="1"/>
  <c r="C22684" i="1"/>
  <c r="A22685" i="1"/>
  <c r="C22685" i="1"/>
  <c r="A22686" i="1"/>
  <c r="C22686" i="1"/>
  <c r="A22687" i="1"/>
  <c r="C22687" i="1"/>
  <c r="A22688" i="1"/>
  <c r="C22688" i="1"/>
  <c r="A22689" i="1"/>
  <c r="C22689" i="1"/>
  <c r="A22690" i="1"/>
  <c r="C22690" i="1"/>
  <c r="A22691" i="1"/>
  <c r="C22691" i="1"/>
  <c r="A22692" i="1"/>
  <c r="C22692" i="1"/>
  <c r="A22693" i="1"/>
  <c r="C22693" i="1"/>
  <c r="A22694" i="1"/>
  <c r="C22694" i="1"/>
  <c r="A22695" i="1"/>
  <c r="C22695" i="1"/>
  <c r="A22696" i="1"/>
  <c r="C22696" i="1"/>
  <c r="A22697" i="1"/>
  <c r="C22697" i="1"/>
  <c r="A22698" i="1"/>
  <c r="C22698" i="1"/>
  <c r="A22699" i="1"/>
  <c r="C22699" i="1"/>
  <c r="A22700" i="1"/>
  <c r="C22700" i="1"/>
  <c r="A22701" i="1"/>
  <c r="C22701" i="1"/>
  <c r="A22702" i="1"/>
  <c r="C22702" i="1"/>
  <c r="A22703" i="1"/>
  <c r="C22703" i="1"/>
  <c r="A22704" i="1"/>
  <c r="C22704" i="1"/>
  <c r="A22705" i="1"/>
  <c r="C22705" i="1"/>
  <c r="A22706" i="1"/>
  <c r="C22706" i="1"/>
  <c r="A22707" i="1"/>
  <c r="C22707" i="1"/>
  <c r="A22708" i="1"/>
  <c r="C22708" i="1"/>
  <c r="A22709" i="1"/>
  <c r="C22709" i="1"/>
  <c r="A22710" i="1"/>
  <c r="C22710" i="1"/>
  <c r="A22711" i="1"/>
  <c r="C22711" i="1"/>
  <c r="A22712" i="1"/>
  <c r="C22712" i="1"/>
  <c r="A22713" i="1"/>
  <c r="C22713" i="1"/>
  <c r="A22714" i="1"/>
  <c r="C22714" i="1"/>
  <c r="A22715" i="1"/>
  <c r="C22715" i="1"/>
  <c r="A22716" i="1"/>
  <c r="C22716" i="1"/>
  <c r="A22717" i="1"/>
  <c r="C22717" i="1"/>
  <c r="A22718" i="1"/>
  <c r="C22718" i="1"/>
  <c r="A22719" i="1"/>
  <c r="C22719" i="1"/>
  <c r="A22720" i="1"/>
  <c r="C22720" i="1"/>
  <c r="A22721" i="1"/>
  <c r="C22721" i="1"/>
  <c r="A22722" i="1"/>
  <c r="C22722" i="1"/>
  <c r="A22723" i="1"/>
  <c r="C22723" i="1"/>
  <c r="A22724" i="1"/>
  <c r="C22724" i="1"/>
  <c r="A22725" i="1"/>
  <c r="C22725" i="1"/>
  <c r="A22726" i="1"/>
  <c r="C22726" i="1"/>
  <c r="A22727" i="1"/>
  <c r="C22727" i="1"/>
  <c r="A22728" i="1"/>
  <c r="C22728" i="1"/>
  <c r="A22729" i="1"/>
  <c r="C22729" i="1"/>
  <c r="A22730" i="1"/>
  <c r="C22730" i="1"/>
  <c r="A22731" i="1"/>
  <c r="C22731" i="1"/>
  <c r="A22732" i="1"/>
  <c r="C22732" i="1"/>
  <c r="A22733" i="1"/>
  <c r="C22733" i="1"/>
  <c r="A22734" i="1"/>
  <c r="C22734" i="1"/>
  <c r="A22735" i="1"/>
  <c r="C22735" i="1"/>
  <c r="A22736" i="1"/>
  <c r="C22736" i="1"/>
  <c r="A22737" i="1"/>
  <c r="C22737" i="1"/>
  <c r="A22738" i="1"/>
  <c r="C22738" i="1"/>
  <c r="A22739" i="1"/>
  <c r="C22739" i="1"/>
  <c r="A22740" i="1"/>
  <c r="C22740" i="1"/>
  <c r="A22741" i="1"/>
  <c r="C22741" i="1"/>
  <c r="A22742" i="1"/>
  <c r="C22742" i="1"/>
  <c r="A22743" i="1"/>
  <c r="C22743" i="1"/>
  <c r="A22744" i="1"/>
  <c r="C22744" i="1"/>
  <c r="A22745" i="1"/>
  <c r="C22745" i="1"/>
  <c r="A22746" i="1"/>
  <c r="C22746" i="1"/>
  <c r="A22747" i="1"/>
  <c r="C22747" i="1"/>
  <c r="A22748" i="1"/>
  <c r="C22748" i="1"/>
  <c r="A22749" i="1"/>
  <c r="C22749" i="1"/>
  <c r="A22750" i="1"/>
  <c r="C22750" i="1"/>
  <c r="A22751" i="1"/>
  <c r="C22751" i="1"/>
  <c r="A22752" i="1"/>
  <c r="C22752" i="1"/>
  <c r="A22753" i="1"/>
  <c r="C22753" i="1"/>
  <c r="A22754" i="1"/>
  <c r="C22754" i="1"/>
  <c r="A22755" i="1"/>
  <c r="C22755" i="1"/>
  <c r="A22756" i="1"/>
  <c r="C22756" i="1"/>
  <c r="A22757" i="1"/>
  <c r="C22757" i="1"/>
  <c r="A22758" i="1"/>
  <c r="C22758" i="1"/>
  <c r="A22759" i="1"/>
  <c r="C22759" i="1"/>
  <c r="A22760" i="1"/>
  <c r="C22760" i="1"/>
  <c r="A22761" i="1"/>
  <c r="C22761" i="1"/>
  <c r="A22762" i="1"/>
  <c r="C22762" i="1"/>
  <c r="A22763" i="1"/>
  <c r="C22763" i="1"/>
  <c r="A22764" i="1"/>
  <c r="C22764" i="1"/>
  <c r="A22765" i="1"/>
  <c r="C22765" i="1"/>
  <c r="A22766" i="1"/>
  <c r="C22766" i="1"/>
  <c r="A22767" i="1"/>
  <c r="C22767" i="1"/>
  <c r="A22768" i="1"/>
  <c r="C22768" i="1"/>
  <c r="A22769" i="1"/>
  <c r="C22769" i="1"/>
  <c r="A22770" i="1"/>
  <c r="C22770" i="1"/>
  <c r="A22771" i="1"/>
  <c r="C22771" i="1"/>
  <c r="A22772" i="1"/>
  <c r="C22772" i="1"/>
  <c r="A22773" i="1"/>
  <c r="C22773" i="1"/>
  <c r="A22774" i="1"/>
  <c r="C22774" i="1"/>
  <c r="A22775" i="1"/>
  <c r="C22775" i="1"/>
  <c r="A22776" i="1"/>
  <c r="C22776" i="1"/>
  <c r="A22777" i="1"/>
  <c r="C22777" i="1"/>
  <c r="A22778" i="1"/>
  <c r="C22778" i="1"/>
  <c r="A22779" i="1"/>
  <c r="C22779" i="1"/>
  <c r="A22780" i="1"/>
  <c r="C22780" i="1"/>
  <c r="A22781" i="1"/>
  <c r="C22781" i="1"/>
  <c r="A22782" i="1"/>
  <c r="C22782" i="1"/>
  <c r="A22783" i="1"/>
  <c r="C22783" i="1"/>
  <c r="A22784" i="1"/>
  <c r="C22784" i="1"/>
  <c r="A22785" i="1"/>
  <c r="C22785" i="1"/>
  <c r="A22786" i="1"/>
  <c r="C22786" i="1"/>
  <c r="A22787" i="1"/>
  <c r="C22787" i="1"/>
  <c r="A22788" i="1"/>
  <c r="C22788" i="1"/>
  <c r="A22789" i="1"/>
  <c r="C22789" i="1"/>
  <c r="A22790" i="1"/>
  <c r="C22790" i="1"/>
  <c r="A22791" i="1"/>
  <c r="C22791" i="1"/>
  <c r="A22792" i="1"/>
  <c r="C22792" i="1"/>
  <c r="A22793" i="1"/>
  <c r="C22793" i="1"/>
  <c r="A22794" i="1"/>
  <c r="C22794" i="1"/>
  <c r="A22795" i="1"/>
  <c r="C22795" i="1"/>
  <c r="A22796" i="1"/>
  <c r="C22796" i="1"/>
  <c r="A22797" i="1"/>
  <c r="C22797" i="1"/>
  <c r="A22798" i="1"/>
  <c r="C22798" i="1"/>
  <c r="A22799" i="1"/>
  <c r="C22799" i="1"/>
  <c r="A22800" i="1"/>
  <c r="C22800" i="1"/>
  <c r="A22801" i="1"/>
  <c r="C22801" i="1"/>
  <c r="A22802" i="1"/>
  <c r="C22802" i="1"/>
  <c r="A22803" i="1"/>
  <c r="C22803" i="1"/>
  <c r="A22804" i="1"/>
  <c r="C22804" i="1"/>
  <c r="A22805" i="1"/>
  <c r="C22805" i="1"/>
  <c r="A22806" i="1"/>
  <c r="C22806" i="1"/>
  <c r="A22807" i="1"/>
  <c r="C22807" i="1"/>
  <c r="A22808" i="1"/>
  <c r="C22808" i="1"/>
  <c r="A22809" i="1"/>
  <c r="C22809" i="1"/>
  <c r="A22810" i="1"/>
  <c r="C22810" i="1"/>
  <c r="A22811" i="1"/>
  <c r="C22811" i="1"/>
  <c r="A22812" i="1"/>
  <c r="C22812" i="1"/>
  <c r="A22813" i="1"/>
  <c r="C22813" i="1"/>
  <c r="A22814" i="1"/>
  <c r="C22814" i="1"/>
  <c r="A22815" i="1"/>
  <c r="C22815" i="1"/>
  <c r="A22816" i="1"/>
  <c r="C22816" i="1"/>
  <c r="A22817" i="1"/>
  <c r="C22817" i="1"/>
  <c r="A22818" i="1"/>
  <c r="C22818" i="1"/>
  <c r="A22819" i="1"/>
  <c r="C22819" i="1"/>
  <c r="A22820" i="1"/>
  <c r="C22820" i="1"/>
  <c r="A22821" i="1"/>
  <c r="C22821" i="1"/>
  <c r="A22822" i="1"/>
  <c r="C22822" i="1"/>
  <c r="A22823" i="1"/>
  <c r="C22823" i="1"/>
  <c r="A22824" i="1"/>
  <c r="C22824" i="1"/>
  <c r="A22825" i="1"/>
  <c r="C22825" i="1"/>
  <c r="A22826" i="1"/>
  <c r="C22826" i="1"/>
  <c r="A22827" i="1"/>
  <c r="C22827" i="1"/>
  <c r="A22828" i="1"/>
  <c r="C22828" i="1"/>
  <c r="A22829" i="1"/>
  <c r="C22829" i="1"/>
  <c r="A22830" i="1"/>
  <c r="C22830" i="1"/>
  <c r="A22831" i="1"/>
  <c r="C22831" i="1"/>
  <c r="A22832" i="1"/>
  <c r="C22832" i="1"/>
  <c r="A22833" i="1"/>
  <c r="C22833" i="1"/>
  <c r="A22834" i="1"/>
  <c r="C22834" i="1"/>
  <c r="A22835" i="1"/>
  <c r="C22835" i="1"/>
  <c r="A22836" i="1"/>
  <c r="C22836" i="1"/>
  <c r="A22837" i="1"/>
  <c r="C22837" i="1"/>
  <c r="A22838" i="1"/>
  <c r="C22838" i="1"/>
  <c r="A22839" i="1"/>
  <c r="C22839" i="1"/>
  <c r="A22840" i="1"/>
  <c r="C22840" i="1"/>
  <c r="A22841" i="1"/>
  <c r="C22841" i="1"/>
</calcChain>
</file>

<file path=xl/sharedStrings.xml><?xml version="1.0" encoding="utf-8"?>
<sst xmlns="http://schemas.openxmlformats.org/spreadsheetml/2006/main" count="22852" uniqueCount="16791">
  <si>
    <t>Uncharacterized protein OS=Prunus persica GN=PRUPE_ppa011678mg PE=4 SV=1</t>
  </si>
  <si>
    <t>Uncharacterized protein OS=Prunus persica GN=PRUPE_ppa000048mg PE=4 SV=1</t>
  </si>
  <si>
    <t>Uncharacterized protein OS=Prunus persica GN=PRUPE_ppa013510mg PE=4 SV=1</t>
  </si>
  <si>
    <t>Laccase OS=Prunus persica GN=PRUPE_ppa003319mg PE=3 SV=1</t>
  </si>
  <si>
    <t>Uncharacterized protein OS=Prunus persica GN=PRUPE_ppa000163mg PE=4 SV=1</t>
  </si>
  <si>
    <t>Uncharacterized protein OS=Prunus persica GN=PRUPE_ppa001187mg PE=4 SV=1</t>
  </si>
  <si>
    <t>Uncharacterized protein OS=Prunus persica GN=PRUPE_ppa001952mg PE=4 SV=1</t>
  </si>
  <si>
    <t>Uncharacterized protein OS=Prunus persica GN=PRUPE_ppa004841mg PE=4 SV=1</t>
  </si>
  <si>
    <t>Uncharacterized protein OS=Prunus persica GN=PRUPE_ppa004789mg PE=4 SV=1</t>
  </si>
  <si>
    <t>Uncharacterized protein OS=Prunus persica GN=PRUPE_ppa013614mg PE=4 SV=1</t>
  </si>
  <si>
    <t>Uncharacterized protein OS=Prunus persica GN=PRUPE_ppa004066mg PE=4 SV=1</t>
  </si>
  <si>
    <t>Uncharacterized protein OS=Prunus persica GN=PRUPE_ppa022540mg PE=3 SV=1</t>
  </si>
  <si>
    <t>Uncharacterized protein OS=Prunus persica GN=PRUPE_ppa025200mg PE=4 SV=1</t>
  </si>
  <si>
    <t>Uncharacterized protein OS=Prunus persica GN=PRUPE_ppa011354mg PE=4 SV=1</t>
  </si>
  <si>
    <t>Uncharacterized protein (Fragment) OS=Prunus persica GN=PRUPE_ppa025265mg PE=4 SV=1</t>
  </si>
  <si>
    <t>Uncharacterized protein OS=Prunus persica GN=PRUPE_ppa007809mg PE=4 SV=1</t>
  </si>
  <si>
    <t>Uncharacterized protein OS=Prunus persica GN=PRUPE_ppa010273mg PE=4 SV=1</t>
  </si>
  <si>
    <t>Uncharacterized protein OS=Prunus persica GN=PRUPE_ppa023514mg PE=4 SV=1</t>
  </si>
  <si>
    <t>Uncharacterized protein (Fragment) OS=Prunus persica GN=PRUPE_ppa026495mg PE=4 SV=1</t>
  </si>
  <si>
    <t>Uncharacterized protein OS=Prunus persica GN=PRUPE_ppa006922mg PE=4 SV=1</t>
  </si>
  <si>
    <t>Uncharacterized protein OS=Prunus persica GN=PRUPE_ppa000888mg PE=4 SV=1</t>
  </si>
  <si>
    <t>Putative sorbitol transporter OS=Prunus cerasus GN=SorT2 PE=2 SV=1</t>
  </si>
  <si>
    <t>Uncharacterized protein OS=Populus trichocarpa GN=POPTR_0011s16230g PE=3 SV=1</t>
  </si>
  <si>
    <t>Uncharacterized protein OS=Prunus persica GN=PRUPE_ppa017940mg PE=4 SV=1</t>
  </si>
  <si>
    <t>Uncharacterized protein OS=Prunus persica GN=PRUPE_ppa005663mg PE=3 SV=1</t>
  </si>
  <si>
    <t>Uncharacterized protein OS=Prunus persica GN=PRUPE_ppa026105mg PE=4 SV=1</t>
  </si>
  <si>
    <t>Uncharacterized protein OS=Prunus persica GN=PRUPE_ppa004264mg PE=4 SV=1</t>
  </si>
  <si>
    <t>Uncharacterized protein OS=Prunus persica GN=PRUPE_ppa009325mg PE=3 SV=1</t>
  </si>
  <si>
    <t>Uncharacterized protein OS=Prunus persica GN=PRUPE_ppa006560mg PE=4 SV=1</t>
  </si>
  <si>
    <t>Uncharacterized protein OS=Prunus persica GN=PRUPE_ppa012223mg PE=4 SV=1</t>
  </si>
  <si>
    <t>Putative uncharacterized protein OS=Vitis vinifera GN=VIT_04s0008g01340 PE=4 SV=1</t>
  </si>
  <si>
    <t>Uncharacterized protein (Fragment) OS=Prunus persica GN=PRUPE_ppa020476mg PE=4 SV=1</t>
  </si>
  <si>
    <t>Uncharacterized protein OS=Prunus persica GN=PRUPE_ppa025439mg PE=4 SV=1</t>
  </si>
  <si>
    <t>Uncharacterized protein OS=Prunus persica GN=PRUPE_ppa000904mg PE=4 SV=1</t>
  </si>
  <si>
    <t>Uncharacterized protein OS=Prunus persica GN=PRUPE_ppa005333mg PE=3 SV=1</t>
  </si>
  <si>
    <t>Uncharacterized protein OS=Prunus persica GN=PRUPE_ppa020974mg PE=4 SV=1</t>
  </si>
  <si>
    <t>Uncharacterized protein OS=Prunus persica GN=PRUPE_ppa008221mg PE=3 SV=1</t>
  </si>
  <si>
    <t>Uncharacterized protein OS=Prunus persica GN=PRUPE_ppa004747mg PE=4 SV=1</t>
  </si>
  <si>
    <t>Non-lysosomal glucosylceramidase OS=Prunus persica GN=PRUPE_ppa001012mg PE=3 SV=1</t>
  </si>
  <si>
    <t>Uncharacterized protein (Fragment) OS=Prunus persica GN=PRUPE_ppa026430mg PE=4 SV=1</t>
  </si>
  <si>
    <t>Uncharacterized protein OS=Prunus persica GN=PRUPE_ppa001980mg PE=4 SV=1</t>
  </si>
  <si>
    <t>Uncharacterized protein OS=Prunus persica GN=PRUPE_ppa008475mg PE=4 SV=1</t>
  </si>
  <si>
    <t>Uncharacterized protein OS=Prunus persica GN=PRUPE_ppa026824mg PE=4 SV=1</t>
  </si>
  <si>
    <t>Uncharacterized protein OS=Prunus persica GN=PRUPE_ppa003675mg PE=4 SV=1</t>
  </si>
  <si>
    <t>Uncharacterized protein OS=Prunus persica GN=PRUPE_ppa002908mg PE=3 SV=1</t>
  </si>
  <si>
    <t>Uncharacterized protein OS=Prunus persica GN=PRUPE_ppa004299mg PE=4 SV=1</t>
  </si>
  <si>
    <t>Uncharacterized protein isoform 1 OS=Theobroma cacao GN=TCM_001277 PE=4 SV=1</t>
  </si>
  <si>
    <t>Uncharacterized protein OS=Prunus persica GN=PRUPE_ppa004781mg PE=4 SV=1</t>
  </si>
  <si>
    <t>Uncharacterized protein OS=Prunus persica GN=PRUPE_ppa026311mg PE=4 SV=1</t>
  </si>
  <si>
    <t>Kinesin-like protein OS=Prunus persica GN=PRUPE_ppa025571mg PE=3 SV=1</t>
  </si>
  <si>
    <t>Uncharacterized protein OS=Prunus persica GN=PRUPE_ppa020474mg PE=4 SV=1</t>
  </si>
  <si>
    <t>Uncharacterized protein OS=Prunus persica GN=PRUPE_ppa015930mg PE=4 SV=1</t>
  </si>
  <si>
    <t>Uncharacterized protein OS=Prunus persica GN=PRUPE_ppa005703mg PE=4 SV=1</t>
  </si>
  <si>
    <t>Uncharacterized protein OS=Prunus persica GN=PRUPE_ppa000605mg PE=4 SV=1</t>
  </si>
  <si>
    <t>MATE efflux family protein OS=Prunus persica GN=PRUPE_ppa004182mg PE=3 SV=1</t>
  </si>
  <si>
    <t>Methylthioribose-1-phosphate isomerase OS=Prunus persica GN=PRUPE_ppa007089mg PE=3 SV=1</t>
  </si>
  <si>
    <t>Uncharacterized protein (Fragment) OS=Prunus persica GN=PRUPE_ppa022667mg PE=4 SV=1</t>
  </si>
  <si>
    <t>Uncharacterized protein (Fragment) OS=Prunus persica GN=PRUPE_ppa020322mg PE=3 SV=1</t>
  </si>
  <si>
    <t>Putative uncharacterized protein (Fragment) OS=Vitis vinifera GN=VIT_00s0704g00040 PE=4 SV=1</t>
  </si>
  <si>
    <t>Glycosyltransferase OS=Prunus persica GN=PRUPE_ppa018836mg PE=3 SV=1</t>
  </si>
  <si>
    <t>Pectate lyase OS=Prunus persica GN=PRUPE_ppa006392mg PE=2 SV=1</t>
  </si>
  <si>
    <t>Transcriptional corepressor SEUSS OS=Morus notabilis GN=L484_005392 PE=4 SV=1</t>
  </si>
  <si>
    <t>Uncharacterized protein OS=Prunus persica GN=PRUPE_ppa010293mg PE=4 SV=1</t>
  </si>
  <si>
    <t>Uncharacterized protein OS=Prunus persica GN=PRUPE_ppa003151mg PE=4 SV=1</t>
  </si>
  <si>
    <t>Uncharacterized protein OS=Prunus persica GN=PRUPE_ppa026769mg PE=4 SV=1</t>
  </si>
  <si>
    <t>Uncharacterized protein OS=Prunus persica GN=PRUPE_ppa006268mg PE=4 SV=1</t>
  </si>
  <si>
    <t>Uncharacterized protein OS=Prunus persica GN=PRUPE_ppa012230mg PE=4 SV=1</t>
  </si>
  <si>
    <t>Uncharacterized protein OS=Prunus persica GN=PRUPE_ppa005334mg PE=4 SV=1</t>
  </si>
  <si>
    <t>Calcium-transporting ATPase OS=Prunus persica GN=PRUPE_ppa000727mg PE=3 SV=1</t>
  </si>
  <si>
    <t>Uncharacterized protein OS=Prunus persica GN=PRUPE_ppa013706mg PE=4 SV=1</t>
  </si>
  <si>
    <t>Uncharacterized protein OS=Prunus persica GN=PRUPE_ppa009528mg PE=4 SV=1</t>
  </si>
  <si>
    <t>UBX domain-containing protein OS=Gossypium raimondii GN=B456_005G158000 PE=4 SV=1</t>
  </si>
  <si>
    <t>Uncharacterized protein OS=Prunus persica GN=PRUPE_ppa017896mg PE=4 SV=1</t>
  </si>
  <si>
    <t>Uncharacterized protein OS=Gossypium raimondii GN=B456_003G015000 PE=4 SV=1</t>
  </si>
  <si>
    <t>Uncharacterized protein OS=Prunus persica GN=PRUPE_ppa004533mg PE=4 SV=1</t>
  </si>
  <si>
    <t>Histone H2A OS=Prunus persica GN=PRUPE_ppa011799mg PE=3 SV=1</t>
  </si>
  <si>
    <t>Uncharacterized protein OS=Prunus persica GN=PRUPE_ppa013147mg PE=4 SV=1</t>
  </si>
  <si>
    <t>Uncharacterized protein OS=Prunus persica GN=PRUPE_ppa019539mg PE=4 SV=1</t>
  </si>
  <si>
    <t>Uncharacterized protein OS=Prunus persica GN=PRUPE_ppa005079mg PE=4 SV=1</t>
  </si>
  <si>
    <t>Uncharacterized protein (Fragment) OS=Prunus persica GN=PRUPE_ppa016961mg PE=4 SV=1</t>
  </si>
  <si>
    <t>Uncharacterized protein OS=Prunus persica GN=PRUPE_ppa004261mg PE=3 SV=1</t>
  </si>
  <si>
    <t>Uncharacterized protein OS=Prunus persica GN=PRUPE_ppa013696mg PE=4 SV=1</t>
  </si>
  <si>
    <t>Uncharacterized protein OS=Prunus persica GN=PRUPE_ppa004676mg PE=4 SV=1</t>
  </si>
  <si>
    <t>Uncharacterized protein OS=Prunus persica GN=PRUPE_ppa008212mg PE=4 SV=1</t>
  </si>
  <si>
    <t>Uncharacterized protein OS=Prunus persica GN=PRUPE_ppa012199mg PE=4 SV=1</t>
  </si>
  <si>
    <t>Uncharacterized protein (Fragment) OS=Prunus persica GN=PRUPE_ppa025136mg PE=4 SV=1</t>
  </si>
  <si>
    <t>Uncharacterized protein OS=Prunus persica GN=PRUPE_ppa007800mg PE=4 SV=1</t>
  </si>
  <si>
    <t>Uncharacterized protein OS=Prunus persica GN=PRUPE_ppa006667mg PE=4 SV=1</t>
  </si>
  <si>
    <t>Uncharacterized protein OS=Prunus persica GN=PRUPE_ppb025397mg PE=4 SV=1</t>
  </si>
  <si>
    <t>Uncharacterized protein OS=Prunus persica GN=PRUPE_ppa000284mg PE=4 SV=1</t>
  </si>
  <si>
    <t>Uncharacterized protein (Fragment) OS=Prunus persica GN=PRUPE_ppa025968mg PE=4 SV=1</t>
  </si>
  <si>
    <t>Uncharacterized protein OS=Prunus persica GN=PRUPE_ppa017234mg PE=4 SV=1</t>
  </si>
  <si>
    <t>Uncharacterized protein OS=Prunus persica GN=PRUPE_ppa006201mg PE=4 SV=1</t>
  </si>
  <si>
    <t>Uncharacterized protein OS=Prunus persica GN=PRUPE_ppa003379mg PE=3 SV=1</t>
  </si>
  <si>
    <t>Uncharacterized protein OS=Prunus persica GN=PRUPE_ppa013405mg PE=4 SV=1</t>
  </si>
  <si>
    <t>Uncharacterized protein OS=Prunus persica GN=PRUPE_ppa012690mg PE=4 SV=1</t>
  </si>
  <si>
    <t>Uncharacterized protein OS=Prunus persica GN=PRUPE_ppa007757mg PE=4 SV=1</t>
  </si>
  <si>
    <t>Uncharacterized protein OS=Prunus persica GN=PRUPE_ppa007566mg PE=3 SV=1</t>
  </si>
  <si>
    <t>Uncharacterized protein OS=Prunus persica GN=PRUPE_ppa001715mg PE=4 SV=1</t>
  </si>
  <si>
    <t>Uncharacterized protein OS=Prunus persica GN=PRUPE_ppa012786mg PE=3 SV=1</t>
  </si>
  <si>
    <t>Uncharacterized protein OS=Prunus persica GN=PRUPE_ppa020564mg PE=4 SV=1</t>
  </si>
  <si>
    <t>Uncharacterized protein OS=Prunus persica GN=PRUPE_ppa007768mg PE=4 SV=1</t>
  </si>
  <si>
    <t>Uncharacterized protein OS=Prunus persica GN=PRUPE_ppa019265mg PE=3 SV=1</t>
  </si>
  <si>
    <t>Uncharacterized protein OS=Prunus persica GN=PRUPE_ppa006663mg PE=4 SV=1</t>
  </si>
  <si>
    <t>Uncharacterized protein OS=Prunus persica GN=PRUPE_ppa000259m2g PE=4 SV=1</t>
  </si>
  <si>
    <t>Uncharacterized protein OS=Prunus persica GN=PRUPE_ppa009352mg PE=4 SV=1</t>
  </si>
  <si>
    <t>Uncharacterized protein OS=Prunus persica GN=PRUPE_ppa008533mg PE=4 SV=1</t>
  </si>
  <si>
    <t>Uncharacterized protein OS=Prunus persica GN=PRUPE_ppa007366mg PE=3 SV=1</t>
  </si>
  <si>
    <t>Uncharacterized protein OS=Prunus persica GN=PRUPE_ppa011806mg PE=4 SV=1</t>
  </si>
  <si>
    <t>Uncharacterized protein OS=Prunus persica GN=PRUPE_ppa011440mg PE=4 SV=1</t>
  </si>
  <si>
    <t>Uncharacterized protein OS=Theobroma cacao GN=TCM_004048 PE=4 SV=1</t>
  </si>
  <si>
    <t>Uncharacterized protein OS=Prunus persica GN=PRUPE_ppa004522mg PE=4 SV=1</t>
  </si>
  <si>
    <t>Uncharacterized protein OS=Prunus persica GN=PRUPE_ppa005051mg PE=4 SV=1</t>
  </si>
  <si>
    <t>Uncharacterized protein OS=Prunus persica GN=PRUPE_ppa000143mg PE=4 SV=1</t>
  </si>
  <si>
    <t>Uncharacterized protein OS=Prunus persica GN=PRUPE_ppa010386mg PE=4 SV=1</t>
  </si>
  <si>
    <t>Sucrose synthase 1 OS=Prunus persica GN=SUS1 PE=4 SV=1</t>
  </si>
  <si>
    <t>Uncharacterized protein OS=Prunus persica GN=PRUPE_ppa026387mg PE=4 SV=1</t>
  </si>
  <si>
    <t>Trehalose 6-phosphate phosphatase OS=Prunus persica GN=PRUPE_ppa014788mg PE=3 SV=1</t>
  </si>
  <si>
    <t>Purple acid phosphatase OS=Prunus persica GN=PRUPE_ppa003024mg PE=3 SV=1</t>
  </si>
  <si>
    <t>Uncharacterized protein OS=Prunus persica GN=PRUPE_ppa018069mg PE=4 SV=1</t>
  </si>
  <si>
    <t>Uncharacterized protein OS=Prunus persica GN=PRUPE_ppa016336mg PE=4 SV=1</t>
  </si>
  <si>
    <t>Uncharacterized protein OS=Prunus persica GN=PRUPE_ppa011694mg PE=3 SV=1</t>
  </si>
  <si>
    <t>Uncharacterized protein OS=Prunus persica GN=PRUPE_ppa017398mg PE=3 SV=1</t>
  </si>
  <si>
    <t>Uncharacterized protein OS=Prunus persica GN=PRUPE_ppa003012mg PE=3 SV=1</t>
  </si>
  <si>
    <t>Uncharacterized protein OS=Prunus persica GN=PRUPE_ppa012697mg PE=4 SV=1</t>
  </si>
  <si>
    <t>Uncharacterized protein OS=Prunus persica GN=PRUPE_ppa003367mg PE=4 SV=1</t>
  </si>
  <si>
    <t>Uncharacterized protein OS=Prunus persica GN=PRUPE_ppa016731mg PE=4 SV=1</t>
  </si>
  <si>
    <t>Uncharacterized protein OS=Prunus persica GN=PRUPE_ppa008885mg PE=4 SV=1</t>
  </si>
  <si>
    <t>Uncharacterized protein OS=Prunus persica GN=PRUPE_ppa011218mg PE=4 SV=1</t>
  </si>
  <si>
    <t>Uncharacterized protein OS=Prunus persica GN=PRUPE_ppa003593mg PE=3 SV=1</t>
  </si>
  <si>
    <t>Uncharacterized protein OS=Prunus persica GN=PRUPE_ppa019584mg PE=4 SV=1</t>
  </si>
  <si>
    <t>Uncharacterized protein (Fragment) OS=Prunus persica GN=PRUPE_ppa023180mg PE=4 SV=1</t>
  </si>
  <si>
    <t>Uncharacterized protein (Fragment) OS=Prunus persica GN=PRUPE_ppa023114mg PE=4 SV=1</t>
  </si>
  <si>
    <t>Formin-like protein OS=Prunus persica GN=PRUPE_ppa000943mg PE=3 SV=1</t>
  </si>
  <si>
    <t>Uncharacterized protein OS=Prunus persica GN=PRUPE_ppa001152mg PE=4 SV=1</t>
  </si>
  <si>
    <t>Uncharacterized protein OS=Jatropha curcas GN=JCGZ_17895 PE=3 SV=1</t>
  </si>
  <si>
    <t>Uncharacterized protein OS=Prunus persica GN=PRUPE_ppa013671mg PE=4 SV=1</t>
  </si>
  <si>
    <t>Uncharacterized protein OS=Prunus persica GN=PRUPE_ppb016836mg PE=4 SV=1</t>
  </si>
  <si>
    <t>WGS project CBME000000000 data, contig CS3487_c001537 OS=Fusarium pseudograminearum CS3487 GN=BN848_0098170 PE=4 SV=1</t>
  </si>
  <si>
    <t>Uncharacterized protein OS=Prunus persica GN=PRUPE_ppa008624mg PE=4 SV=1</t>
  </si>
  <si>
    <t>Uncharacterized protein OS=Prunus persica GN=PRUPE_ppa004127mg PE=4 SV=1</t>
  </si>
  <si>
    <t>Uncharacterized protein OS=Prunus persica GN=PRUPE_ppa002571mg PE=3 SV=1</t>
  </si>
  <si>
    <t>Uncharacterized protein OS=Prunus persica GN=PRUPE_ppa005789mg PE=4 SV=1</t>
  </si>
  <si>
    <t>Uncharacterized protein OS=Prunus persica GN=PRUPE_ppa000454mg PE=4 SV=1</t>
  </si>
  <si>
    <t>Uncharacterized protein OS=Prunus persica GN=PRUPE_ppa020772mg PE=4 SV=1</t>
  </si>
  <si>
    <t>Uncharacterized protein OS=Prunus persica GN=PRUPE_ppa018259mg PE=4 SV=1</t>
  </si>
  <si>
    <t>Uncharacterized protein OS=Prunus persica GN=PRUPE_ppa005154mg PE=4 SV=1</t>
  </si>
  <si>
    <t>Xyloglucan endotransglucosylase/hydrolase OS=Prunus persica GN=PRUPE_ppa009472mg PE=3 SV=1</t>
  </si>
  <si>
    <t>Uncharacterized protein OS=Prunus persica GN=PRUPE_ppa003340mg PE=4 SV=1</t>
  </si>
  <si>
    <t>Uncharacterized protein OS=Prunus persica GN=PRUPE_ppa013273mg PE=4 SV=1</t>
  </si>
  <si>
    <t>Uncharacterized protein OS=Prunus persica GN=PRUPE_ppa019095mg PE=4 SV=1</t>
  </si>
  <si>
    <t>Uncharacterized protein OS=Prunus persica GN=PRUPE_ppa010220mg PE=4 SV=1</t>
  </si>
  <si>
    <t>Uncharacterized protein OS=Prunus persica GN=PRUPE_ppa007262mg PE=4 SV=1</t>
  </si>
  <si>
    <t>Uncharacterized protein OS=Prunus persica GN=PRUPE_ppa004574mg PE=3 SV=1</t>
  </si>
  <si>
    <t>MATE efflux family protein OS=Prunus persica GN=PRUPE_ppa005754mg PE=3 SV=1</t>
  </si>
  <si>
    <t>Fatty acyl-ACP thioesterase A OS=Prunus sibirica GN=fatA PE=2 SV=1</t>
  </si>
  <si>
    <t>Uncharacterized protein OS=Prunus persica GN=PRUPE_ppa011269mg PE=4 SV=1</t>
  </si>
  <si>
    <t>Uncharacterized protein OS=Prunus persica GN=PRUPE_ppa001714mg PE=4 SV=1</t>
  </si>
  <si>
    <t>Uncharacterized protein OS=Prunus persica GN=PRUPE_ppa002420mg PE=4 SV=1</t>
  </si>
  <si>
    <t>Hexokinase OS=Prunus persica GN=PRUPE_ppa004637mg PE=3 SV=1</t>
  </si>
  <si>
    <t>S-adenosylmethionine decarboxylase proenzyme OS=Prunus persica GN=PRUPE_ppa007294mg PE=3 SV=1</t>
  </si>
  <si>
    <t>Uncharacterized protein OS=Prunus persica GN=PRUPE_ppa007477mg PE=3 SV=1</t>
  </si>
  <si>
    <t>Uncharacterized protein OS=Prunus persica GN=PRUPE_ppa006203mg PE=4 SV=1</t>
  </si>
  <si>
    <t>Uncharacterized protein OS=Prunus persica GN=PRUPE_ppa009477mg PE=4 SV=1</t>
  </si>
  <si>
    <t>Chalcone synthase OS=Prunus persica GN=CHS PE=2 SV=1</t>
  </si>
  <si>
    <t>Uncharacterized protein OS=Prunus persica GN=PRUPE_ppa001493mg PE=4 SV=1</t>
  </si>
  <si>
    <t>Uncharacterized protein (Fragment) OS=Prunus persica GN=PRUPE_ppa022097mg PE=4 SV=1</t>
  </si>
  <si>
    <t>Uncharacterized protein OS=Prunus persica GN=PRUPE_ppa006139mg PE=4 SV=1</t>
  </si>
  <si>
    <t>Uncharacterized protein OS=Prunus persica GN=PRUPE_ppa002201mg PE=4 SV=1</t>
  </si>
  <si>
    <t>Uncharacterized protein OS=Prunus persica GN=PRUPE_ppa017966mg PE=4 SV=1</t>
  </si>
  <si>
    <t>Uncharacterized protein OS=Prunus persica GN=PRUPE_ppa023589mg PE=4 SV=1</t>
  </si>
  <si>
    <t>ATP binding protein OS=Rosa rugosa PE=4 SV=1</t>
  </si>
  <si>
    <t>Uncharacterized protein OS=Prunus persica GN=PRUPE_ppa012924mg PE=4 SV=1</t>
  </si>
  <si>
    <t>Uncharacterized protein OS=Prunus persica GN=PRUPE_ppa000848mg PE=4 SV=1</t>
  </si>
  <si>
    <t>Uncharacterized protein OS=Prunus persica GN=PRUPE_ppa017829mg PE=4 SV=1</t>
  </si>
  <si>
    <t>Uncharacterized protein OS=Prunus persica GN=PRUPE_ppa000492mg PE=4 SV=1</t>
  </si>
  <si>
    <t>Uncharacterized protein (Fragment) OS=Prunus persica GN=PRUPE_ppa017617mg PE=4 SV=1</t>
  </si>
  <si>
    <t>Uncharacterized protein OS=Prunus persica GN=PRUPE_ppa006837mg PE=4 SV=1</t>
  </si>
  <si>
    <t>Uncharacterized protein OS=Prunus persica GN=PRUPE_ppa003928mg PE=4 SV=1</t>
  </si>
  <si>
    <t>Uncharacterized protein OS=Prunus persica GN=PRUPE_ppa011856mg PE=4 SV=1</t>
  </si>
  <si>
    <t>WD40 and Beach domain-containing protein isoform 1 OS=Theobroma cacao GN=TCM_034527 PE=4 SV=1</t>
  </si>
  <si>
    <t>Uncharacterized protein OS=Prunus persica GN=PRUPE_ppa012299mg PE=4 SV=1</t>
  </si>
  <si>
    <t>Uncharacterized protein (Fragment) OS=Prunus persica GN=PRUPE_ppa024010m1g PE=4 SV=1</t>
  </si>
  <si>
    <t>Uncharacterized protein OS=Prunus persica GN=PRUPE_ppa004125mg PE=4 SV=1</t>
  </si>
  <si>
    <t>Uncharacterized protein OS=Prunus persica GN=PRUPE_ppa019446mg PE=4 SV=1</t>
  </si>
  <si>
    <t>Uncharacterized protein OS=Prunus persica GN=PRUPE_ppa002925mg PE=4 SV=1</t>
  </si>
  <si>
    <t>Receptor-like serine/threonine-protein kinase OS=Morus notabilis GN=L484_027279 PE=4 SV=1</t>
  </si>
  <si>
    <t>Uncharacterized protein (Fragment) OS=Prunus persica GN=PRUPE_ppa016415mg PE=4 SV=1</t>
  </si>
  <si>
    <t>Uncharacterized protein OS=Prunus persica GN=PRUPE_ppa024210mg PE=4 SV=1</t>
  </si>
  <si>
    <t>Uncharacterized protein OS=Prunus persica GN=PRUPE_ppa007295mg PE=4 SV=1</t>
  </si>
  <si>
    <t>Uncharacterized protein OS=Prunus persica GN=PRUPE_ppa000243mg PE=3 SV=1</t>
  </si>
  <si>
    <t>Uncharacterized protein OS=Prunus persica GN=PRUPE_ppa000849mg PE=3 SV=1</t>
  </si>
  <si>
    <t>Uncharacterized protein OS=Prunus persica GN=PRUPE_ppa013319mg PE=3 SV=1</t>
  </si>
  <si>
    <t>Uncharacterized protein OS=Prunus persica GN=PRUPE_ppa002359mg PE=4 SV=1</t>
  </si>
  <si>
    <t>Uncharacterized protein OS=Prunus persica GN=PRUPE_ppa002098mg PE=3 SV=1</t>
  </si>
  <si>
    <t>Elongator complex protein 1 OS=Prunus persica GN=PRUPE_ppa000300mg PE=3 SV=1</t>
  </si>
  <si>
    <t>Uncharacterized protein OS=Prunus persica GN=PRUPE_ppa005990mg PE=4 SV=1</t>
  </si>
  <si>
    <t>S-acyltransferase OS=Prunus persica GN=PRUPE_ppa009810mg PE=3 SV=1</t>
  </si>
  <si>
    <t>Putative uncharacterized protein (Fragment) OS=Vitis vinifera GN=VITISV_000585 PE=4 SV=1</t>
  </si>
  <si>
    <t>Uncharacterized protein OS=Prunus persica GN=PRUPE_ppa017983mg PE=4 SV=1</t>
  </si>
  <si>
    <t>Uncharacterized protein OS=Prunus persica GN=PRUPE_ppa000472mg PE=4 SV=1</t>
  </si>
  <si>
    <t>Uncharacterized protein OS=Prunus persica GN=PRUPE_ppb015019mg PE=4 SV=1</t>
  </si>
  <si>
    <t>Uncharacterized protein OS=Prunus persica GN=PRUPE_ppa010124mg PE=4 SV=1</t>
  </si>
  <si>
    <t>Uncharacterized protein OS=Prunus persica GN=PRUPE_ppa021480mg PE=4 SV=1</t>
  </si>
  <si>
    <t>Uncharacterized protein OS=Prunus persica GN=PRUPE_ppa006034mg PE=4 SV=1</t>
  </si>
  <si>
    <t>Kinesin-like protein OS=Prunus persica GN=PRUPE_ppa018981mg PE=3 SV=1</t>
  </si>
  <si>
    <t>Uncharacterized protein OS=Prunus persica GN=PRUPE_ppa003698mg PE=4 SV=1</t>
  </si>
  <si>
    <t>Uncharacterized protein OS=Prunus persica GN=PRUPE_ppa006338mg PE=4 SV=1</t>
  </si>
  <si>
    <t>Uncharacterized protein OS=Prunus persica GN=PRUPE_ppa020651mg PE=4 SV=1</t>
  </si>
  <si>
    <t>Uncharacterized protein OS=Prunus persica GN=PRUPE_ppa002996mg PE=4 SV=1</t>
  </si>
  <si>
    <t>Uncharacterized protein OS=Prunus persica GN=PRUPE_ppa006073mg PE=4 SV=1</t>
  </si>
  <si>
    <t>Uncharacterized protein OS=Prunus persica GN=PRUPE_ppa000566mg PE=4 SV=1</t>
  </si>
  <si>
    <t>Uncharacterized protein OS=Prunus persica GN=PRUPE_ppa013148mg PE=4 SV=1</t>
  </si>
  <si>
    <t>Uncharacterized protein OS=Prunus persica GN=PRUPE_ppa012374mg PE=4 SV=1</t>
  </si>
  <si>
    <t>Uncharacterized protein (Fragment) OS=Prunus persica GN=PRUPE_ppa015858mg PE=4 SV=1</t>
  </si>
  <si>
    <t>Uncharacterized protein OS=Prunus persica GN=PRUPE_ppa007125mg PE=4 SV=1</t>
  </si>
  <si>
    <t>Uncharacterized protein (Fragment) OS=Prunus persica GN=PRUPE_ppa019961mg PE=4 SV=1</t>
  </si>
  <si>
    <t>Uncharacterized protein OS=Eucalyptus grandis GN=EUGRSUZ_J02982 PE=4 SV=1</t>
  </si>
  <si>
    <t>Uncharacterized protein OS=Prunus persica GN=PRUPE_ppa010440mg PE=4 SV=1</t>
  </si>
  <si>
    <t>Uncharacterized protein OS=Prunus persica GN=PRUPE_ppa000431mg PE=4 SV=1</t>
  </si>
  <si>
    <t>Uncharacterized protein OS=Prunus persica GN=PRUPE_ppa015421mg PE=3 SV=1</t>
  </si>
  <si>
    <t>Uncharacterized protein OS=Prunus persica GN=PRUPE_ppa001126mg PE=4 SV=1</t>
  </si>
  <si>
    <t>Uncharacterized protein OS=Prunus persica GN=PRUPE_ppa003016mg PE=4 SV=1</t>
  </si>
  <si>
    <t>Uncharacterized protein (Fragment) OS=Prunus persica GN=PRUPE_ppa018674mg PE=4 SV=1</t>
  </si>
  <si>
    <t>Uncharacterized protein OS=Prunus persica GN=PRUPE_ppa007142mg PE=4 SV=1</t>
  </si>
  <si>
    <t>Uncharacterized protein OS=Prunus persica GN=PRUPE_ppa008340mg PE=4 SV=1</t>
  </si>
  <si>
    <t>Uncharacterized protein OS=Prunus persica GN=PRUPE_ppa010106mg PE=4 SV=1</t>
  </si>
  <si>
    <t>Uncharacterized protein OS=Prunus persica GN=PRUPE_ppa002104mg PE=4 SV=1</t>
  </si>
  <si>
    <t>Uncharacterized protein OS=Prunus persica GN=PRUPE_ppa000629mg PE=3 SV=1</t>
  </si>
  <si>
    <t>Uncharacterized protein (Fragment) OS=Prunus persica GN=PRUPE_ppa024203mg PE=4 SV=1</t>
  </si>
  <si>
    <t>Uncharacterized protein OS=Prunus persica GN=PRUPE_ppa005026mg PE=4 SV=1</t>
  </si>
  <si>
    <t>Uncharacterized protein OS=Prunus persica GN=PRUPE_ppa013160mg PE=4 SV=1</t>
  </si>
  <si>
    <t>ATP synthase subunit beta OS=Leersia perrieri PE=3 SV=1</t>
  </si>
  <si>
    <t>Uncharacterized protein OS=Prunus persica GN=PRUPE_ppa024369mg PE=4 SV=1</t>
  </si>
  <si>
    <t>Uncharacterized protein OS=Prunus persica GN=PRUPE_ppa011248mg PE=4 SV=1</t>
  </si>
  <si>
    <t>Uncharacterized protein OS=Prunus persica GN=PRUPE_ppa009492mg PE=3 SV=1</t>
  </si>
  <si>
    <t>Uncharacterized protein OS=Prunus persica GN=PRUPE_ppa007964mg PE=4 SV=1</t>
  </si>
  <si>
    <t>Uncharacterized protein OS=Prunus persica GN=PRUPE_ppa025343mg PE=4 SV=1</t>
  </si>
  <si>
    <t>ATP-dependent 6-phosphofructokinase OS=Prunus persica GN=PFK PE=3 SV=1</t>
  </si>
  <si>
    <t>Uncharacterized protein OS=Prunus persica GN=PRUPE_ppa000397mg PE=4 SV=1</t>
  </si>
  <si>
    <t>Uncharacterized protein OS=Prunus persica GN=PRUPE_ppa002244mg PE=4 SV=1</t>
  </si>
  <si>
    <t>Uncharacterized protein OS=Prunus persica GN=PRUPE_ppa026034mg PE=4 SV=1</t>
  </si>
  <si>
    <t>Uncharacterized protein OS=Prunus persica GN=PRUPE_ppa012735mg PE=4 SV=1</t>
  </si>
  <si>
    <t>Uncharacterized protein OS=Prunus persica GN=PRUPE_ppa003409mg PE=4 SV=1</t>
  </si>
  <si>
    <t>Uncharacterized protein OS=Prunus persica GN=PRUPE_ppa004326mg PE=4 SV=1</t>
  </si>
  <si>
    <t>Uncharacterized protein OS=Prunus persica GN=PRUPE_ppa017126mg PE=4 SV=1</t>
  </si>
  <si>
    <t>Uncharacterized protein OS=Prunus persica GN=PRUPE_ppa006452mg PE=4 SV=1</t>
  </si>
  <si>
    <t>Uncharacterized protein OS=Prunus persica GN=PRUPE_ppa008967mg PE=4 SV=1</t>
  </si>
  <si>
    <t>Uncharacterized protein OS=Prunus persica GN=PRUPE_ppa005399mg PE=4 SV=1</t>
  </si>
  <si>
    <t>Uncharacterized protein OS=Prunus persica GN=PRUPE_ppa021248mg PE=4 SV=1</t>
  </si>
  <si>
    <t>Uncharacterized protein OS=Prunus persica GN=PRUPE_ppa002978mg PE=4 SV=1</t>
  </si>
  <si>
    <t>Uncharacterized protein OS=Prunus persica GN=PRUPE_ppa006134mg PE=4 SV=1</t>
  </si>
  <si>
    <t>MATE efflux family protein OS=Prunus persica GN=PRUPE_ppa004706mg PE=3 SV=1</t>
  </si>
  <si>
    <t>Uncharacterized protein OS=Prunus persica GN=PRUPE_ppa011659mg PE=3 SV=1</t>
  </si>
  <si>
    <t>Uncharacterized protein OS=Prunus persica GN=PRUPE_ppa002008mg PE=4 SV=1</t>
  </si>
  <si>
    <t>Uncharacterized protein OS=Prunus persica GN=PRUPE_ppa003391mg PE=3 SV=1</t>
  </si>
  <si>
    <t>Glucose-1-phosphate adenylyltransferase OS=Morus notabilis GN=L484_007339 PE=3 SV=1</t>
  </si>
  <si>
    <t>Uncharacterized protein OS=Gossypium raimondii GN=B456_001G088300 PE=4 SV=1</t>
  </si>
  <si>
    <t>Uncharacterized protein OS=Prunus persica GN=PRUPE_ppa008252mg PE=4 SV=1</t>
  </si>
  <si>
    <t>Uncharacterized protein OS=Prunus persica GN=PRUPE_ppa005355mg PE=4 SV=1</t>
  </si>
  <si>
    <t>Uncharacterized protein (Fragment) OS=Prunus persica GN=PRUPE_ppa024930mg PE=4 SV=1</t>
  </si>
  <si>
    <t>Uncharacterized protein OS=Prunus persica GN=PRUPE_ppa016957mg PE=4 SV=1</t>
  </si>
  <si>
    <t>Uncharacterized protein OS=Prunus persica GN=PRUPE_ppa1027164mg PE=4 SV=1</t>
  </si>
  <si>
    <t>Uncharacterized protein OS=Prunus persica GN=PRUPE_ppa007737mg PE=4 SV=1</t>
  </si>
  <si>
    <t>Autophagy-related protein OS=Prunus persica GN=PRUPE_ppa021791mg PE=3 SV=1</t>
  </si>
  <si>
    <t>Uncharacterized protein OS=Prunus persica GN=PRUPE_ppa002204mg PE=4 SV=1</t>
  </si>
  <si>
    <t>Uncharacterized protein (Fragment) OS=Prunus persica GN=PRUPE_ppa024706mg PE=4 SV=1</t>
  </si>
  <si>
    <t>Uncharacterized protein OS=Prunus persica GN=PRUPE_ppa003839mg PE=4 SV=1</t>
  </si>
  <si>
    <t>Uncharacterized protein OS=Prunus persica GN=PRUPE_ppa016268mg PE=4 SV=1</t>
  </si>
  <si>
    <t>Uncharacterized protein (Fragment) OS=Prunus persica GN=PRUPE_ppa018608mg PE=4 SV=1</t>
  </si>
  <si>
    <t>Uncharacterized protein OS=Prunus persica GN=PRUPE_ppa017433mg PE=4 SV=1</t>
  </si>
  <si>
    <t>Uncharacterized protein OS=Prunus persica GN=PRUPE_ppa006411mg PE=4 SV=1</t>
  </si>
  <si>
    <t>Uncharacterized protein OS=Prunus persica GN=PRUPE_ppa008075mg PE=4 SV=1</t>
  </si>
  <si>
    <t>Glycosyltransferase OS=Prunus persica GN=PRUPE_ppa027121mg PE=3 SV=1</t>
  </si>
  <si>
    <t>Uncharacterized protein OS=Prunus persica GN=PRUPE_ppb025182mg PE=4 SV=1</t>
  </si>
  <si>
    <t>Uncharacterized protein OS=Prunus persica GN=PRUPE_ppa009295mg PE=4 SV=1</t>
  </si>
  <si>
    <t>Uncharacterized protein OS=Prunus persica GN=PRUPE_ppb021417mg PE=4 SV=1</t>
  </si>
  <si>
    <t>Uncharacterized protein OS=Prunus persica GN=PRUPE_ppa013121mg PE=4 SV=1</t>
  </si>
  <si>
    <t>Uncharacterized protein OS=Prunus persica GN=PRUPE_ppa023038mg PE=4 SV=1</t>
  </si>
  <si>
    <t>Uncharacterized protein OS=Prunus persica GN=PRUPE_ppa001491mg PE=3 SV=1</t>
  </si>
  <si>
    <t>Uncharacterized protein OS=Prunus persica GN=PRUPE_ppa000177mg PE=4 SV=1</t>
  </si>
  <si>
    <t>Uncharacterized protein OS=Prunus persica GN=PRUPE_ppa000193mg PE=4 SV=1</t>
  </si>
  <si>
    <t>Uncharacterized protein OS=Prunus persica GN=PRUPE_ppa006705mg PE=4 SV=1</t>
  </si>
  <si>
    <t>Uncharacterized protein (Fragment) OS=Prunus persica GN=PRUPE_ppa018399mg PE=4 SV=1</t>
  </si>
  <si>
    <t>Uncharacterized protein OS=Prunus persica GN=PRUPE_ppb017385mg PE=4 SV=1</t>
  </si>
  <si>
    <t>Uncharacterized protein (Fragment) OS=Prunus persica GN=PRUPE_ppa026403mg PE=4 SV=1</t>
  </si>
  <si>
    <t>Uncharacterized protein OS=Prunus persica GN=PRUPE_ppa006649mg PE=4 SV=1</t>
  </si>
  <si>
    <t>Putative uncharacterized protein OS=Vitis vinifera GN=VIT_13s0019g01030 PE=4 SV=1</t>
  </si>
  <si>
    <t>Uncharacterized protein OS=Prunus persica GN=PRUPE_ppa000221mg PE=4 SV=1</t>
  </si>
  <si>
    <t>Uncharacterized protein OS=Prunus persica GN=PRUPE_ppa008749mg PE=4 SV=1</t>
  </si>
  <si>
    <t>Uncharacterized protein OS=Prunus persica GN=PRUPE_ppa010983mg PE=4 SV=1</t>
  </si>
  <si>
    <t>Uncharacterized protein OS=Prunus persica GN=PRUPE_ppa010056mg PE=4 SV=1</t>
  </si>
  <si>
    <t>Uncharacterized protein OS=Prunus persica GN=PRUPE_ppa010457mg PE=4 SV=1</t>
  </si>
  <si>
    <t>Pentatricopeptide repeat-containing protein, putative isoform 1 OS=Theobroma cacao GN=TCM_039211 PE=4 SV=1</t>
  </si>
  <si>
    <t>Uncharacterized protein OS=Prunus persica GN=PRUPE_ppa010217mg PE=4 SV=1</t>
  </si>
  <si>
    <t>Uncharacterized protein OS=Prunus persica GN=PRUPE_ppa003864mg PE=4 SV=1</t>
  </si>
  <si>
    <t>Lipoyl synthase, chloroplastic OS=Prunus persica GN=LIP1P PE=3 SV=1</t>
  </si>
  <si>
    <t>Uncharacterized protein OS=Prunus persica GN=PRUPE_ppa019316mg PE=4 SV=1</t>
  </si>
  <si>
    <t>Mutator-like transposase OS=Rosa rugosa PE=4 SV=1</t>
  </si>
  <si>
    <t>Uncharacterized protein OS=Prunus persica GN=PRUPE_ppa019644mg PE=3 SV=1</t>
  </si>
  <si>
    <t>Uncharacterized protein OS=Prunus persica GN=PRUPE_ppa005552mg PE=4 SV=1</t>
  </si>
  <si>
    <t>Uncharacterized protein (Fragment) OS=Prunus persica GN=PRUPE_ppa016812mg PE=4 SV=1</t>
  </si>
  <si>
    <t>Uncharacterized protein OS=Prunus persica GN=PRUPE_ppa004629mg PE=4 SV=1</t>
  </si>
  <si>
    <t>Uncharacterized protein OS=Prunus persica GN=PRUPE_ppa005929mg PE=4 SV=1</t>
  </si>
  <si>
    <t>Endoglucanase OS=Prunus persica GN=PRUPE_ppa002911mg PE=3 SV=1</t>
  </si>
  <si>
    <t>Uncharacterized protein OS=Prunus persica GN=PRUPE_ppa002118mg PE=4 SV=1</t>
  </si>
  <si>
    <t>Uncharacterized protein OS=Prunus persica GN=PRUPE_ppa000705mg PE=4 SV=1</t>
  </si>
  <si>
    <t>Uncharacterized protein OS=Prunus persica GN=PRUPE_ppa003484mg PE=4 SV=1</t>
  </si>
  <si>
    <t>Uncharacterized protein OS=Prunus persica GN=PRUPE_ppa014425mg PE=3 SV=1</t>
  </si>
  <si>
    <t>Kinesin-like protein OS=Prunus persica GN=PRUPE_ppa001667mg PE=3 SV=1</t>
  </si>
  <si>
    <t>Uncharacterized protein OS=Prunus persica GN=PRUPE_ppa000364mg PE=4 SV=1</t>
  </si>
  <si>
    <t>Uncharacterized protein OS=Prunus persica GN=PRUPE_ppa004718mg PE=4 SV=1</t>
  </si>
  <si>
    <t>Uncharacterized protein OS=Prunus persica GN=PRUPE_ppa002904mg PE=4 SV=1</t>
  </si>
  <si>
    <t>Uncharacterized protein OS=Prunus persica GN=PRUPE_ppa010434mg PE=4 SV=1</t>
  </si>
  <si>
    <t>Uncharacterized protein OS=Prunus persica GN=PRUPE_ppa011578mg PE=4 SV=1</t>
  </si>
  <si>
    <t>Putative E3 ubiquitin-protein ligase HERC1 OS=Morus notabilis GN=L484_022374 PE=4 SV=1</t>
  </si>
  <si>
    <t>Uncharacterized protein OS=Prunus persica GN=PRUPE_ppa011316mg PE=4 SV=1</t>
  </si>
  <si>
    <t>Uncharacterized protein OS=Prunus persica GN=PRUPE_ppa005252mg PE=4 SV=1</t>
  </si>
  <si>
    <t>Uncharacterized protein OS=Prunus persica GN=PRUPE_ppa002136mg PE=3 SV=1</t>
  </si>
  <si>
    <t>Uncharacterized protein (Fragment) OS=Prunus persica GN=PRUPE_ppa016367mg PE=4 SV=1</t>
  </si>
  <si>
    <t>Uncharacterized protein OS=Prunus persica GN=PRUPE_ppa011459mg PE=4 SV=1</t>
  </si>
  <si>
    <t>Uncharacterized protein OS=Prunus persica GN=PRUPE_ppa008774mg PE=4 SV=1</t>
  </si>
  <si>
    <t>MATE efflux family protein OS=Prunus persica GN=PRUPE_ppa004566mg PE=3 SV=1</t>
  </si>
  <si>
    <t>Uncharacterized protein OS=Prunus persica GN=PRUPE_ppa007634mg PE=3 SV=1</t>
  </si>
  <si>
    <t>Uncharacterized protein OS=Prunus persica GN=PRUPE_ppa005463mg PE=4 SV=1</t>
  </si>
  <si>
    <t>Uncharacterized protein OS=Prunus persica GN=PRUPE_ppa002528mg PE=4 SV=1</t>
  </si>
  <si>
    <t>Uncharacterized protein OS=Prunus persica GN=PRUPE_ppa004164mg PE=4 SV=1</t>
  </si>
  <si>
    <t>Uncharacterized protein OS=Prunus persica GN=PRUPE_ppa009332mg PE=3 SV=1</t>
  </si>
  <si>
    <t>Uncharacterized protein OS=Prunus persica GN=PRUPE_ppa008785mg PE=4 SV=1</t>
  </si>
  <si>
    <t>Uncharacterized protein OS=Prunus persica GN=PRUPE_ppa004058mg PE=4 SV=1</t>
  </si>
  <si>
    <t>Uncharacterized protein OS=Prunus persica GN=PRUPE_ppa001020mg PE=4 SV=1</t>
  </si>
  <si>
    <t>Uncharacterized protein OS=Prunus persica GN=PRUPE_ppa025607mg PE=4 SV=1</t>
  </si>
  <si>
    <t>Uncharacterized protein OS=Prunus persica GN=PRUPE_ppa000089mg PE=4 SV=1</t>
  </si>
  <si>
    <t>Uncharacterized protein OS=Prunus persica GN=PRUPE_ppa010387mg PE=4 SV=1</t>
  </si>
  <si>
    <t>Uncharacterized protein OS=Prunus persica GN=PRUPE_ppa010863mg PE=4 SV=1</t>
  </si>
  <si>
    <t>Uncharacterized protein OS=Prunus persica GN=PRUPE_ppa021703mg PE=4 SV=1</t>
  </si>
  <si>
    <t>Uncharacterized protein OS=Prunus persica GN=PRUPE_ppa002468mg PE=4 SV=1</t>
  </si>
  <si>
    <t>Uncharacterized protein OS=Prunus persica GN=PRUPE_ppa000549mg PE=3 SV=1</t>
  </si>
  <si>
    <t>Uncharacterized protein OS=Prunus persica GN=PRUPE_ppa006848mg PE=4 SV=1</t>
  </si>
  <si>
    <t>Casein kinase I isoform delta-like protein OS=Morus notabilis GN=L484_021457 PE=3 SV=1</t>
  </si>
  <si>
    <t>Nucleotidylyl transferase superfamily protein isoform 3 OS=Theobroma cacao GN=TCM_037221 PE=3 SV=1</t>
  </si>
  <si>
    <t>Uncharacterized protein OS=Prunus persica GN=PRUPE_ppa025358mg PE=4 SV=1</t>
  </si>
  <si>
    <t>Uncharacterized protein (Fragment) OS=Prunus persica GN=PRUPE_ppa014943mg PE=3 SV=1</t>
  </si>
  <si>
    <t>Alcohol dehydrogenase 2 OS=Aegilops tauschii GN=F775_31566 PE=3 SV=1</t>
  </si>
  <si>
    <t>Uncharacterized protein (Fragment) OS=Prunus persica GN=PRUPE_ppa026415mg PE=4 SV=1</t>
  </si>
  <si>
    <t>Uncharacterized protein OS=Prunus persica GN=PRUPE_ppa006843mg PE=3 SV=1</t>
  </si>
  <si>
    <t>Uncharacterized protein OS=Prunus persica GN=PRUPE_ppa001396mg PE=4 SV=1</t>
  </si>
  <si>
    <t>Uncharacterized protein OS=Prunus persica GN=PRUPE_ppa023321mg PE=4 SV=1</t>
  </si>
  <si>
    <t>Uncharacterized protein OS=Prunus persica GN=PRUPE_ppa009320mg PE=4 SV=1</t>
  </si>
  <si>
    <t>Ethylene receptor OS=Prunus persica GN=ETR PE=4 SV=1</t>
  </si>
  <si>
    <t>Putative uncharacterized protein OS=Vitis vinifera GN=VIT_09s0002g02270 PE=4 SV=1</t>
  </si>
  <si>
    <t>Uncharacterized protein OS=Prunus persica GN=PRUPE_ppa001670mg PE=4 SV=1</t>
  </si>
  <si>
    <t>Uncharacterized protein OS=Prunus persica GN=PRUPE_ppa003141mg PE=4 SV=1</t>
  </si>
  <si>
    <t>Uncharacterized protein OS=Prunus persica GN=PRUPE_ppa013526mg PE=4 SV=1</t>
  </si>
  <si>
    <t>Uncharacterized protein OS=Prunus persica GN=PRUPE_ppa001718mg PE=4 SV=1</t>
  </si>
  <si>
    <t>Uncharacterized protein OS=Prunus persica GN=PRUPE_ppa017140mg PE=3 SV=1</t>
  </si>
  <si>
    <t>Uncharacterized protein (Fragment) OS=Prunus persica GN=PRUPE_ppa017698mg PE=4 SV=1</t>
  </si>
  <si>
    <t>Uncharacterized protein OS=Prunus persica GN=PRUPE_ppa006787mg PE=4 SV=1</t>
  </si>
  <si>
    <t>Uncharacterized protein OS=Prunus persica GN=PRUPE_ppa001686mg PE=4 SV=1</t>
  </si>
  <si>
    <t>S-adenosyl-L-methionine-dependent methyltransferases superfamily protein OS=Theobroma cacao GN=TCM_001540 PE=4 SV=1</t>
  </si>
  <si>
    <t>Uncharacterized protein OS=Prunus persica GN=PRUPE_ppa011054mg PE=4 SV=1</t>
  </si>
  <si>
    <t>Uncharacterized protein OS=Prunus persica GN=PRUPE_ppa007257mg PE=3 SV=1</t>
  </si>
  <si>
    <t>Uncharacterized protein OS=Prunus persica GN=PRUPE_ppa012340mg PE=3 SV=1</t>
  </si>
  <si>
    <t>Uncharacterized protein OS=Prunus persica GN=PRUPE_ppa021416mg PE=4 SV=1</t>
  </si>
  <si>
    <t>Uncharacterized protein OS=Prunus persica GN=PRUPE_ppa000305mg PE=4 SV=1</t>
  </si>
  <si>
    <t>Uncharacterized protein OS=Prunus persica GN=PRUPE_ppa009749mg PE=4 SV=1</t>
  </si>
  <si>
    <t>Uncharacterized protein (Fragment) OS=Prunus persica GN=PRUPE_ppa020340mg PE=3 SV=1</t>
  </si>
  <si>
    <t>Uncharacterized protein OS=Prunus persica GN=PRUPE_ppa008801mg PE=4 SV=1</t>
  </si>
  <si>
    <t>Uncharacterized protein OS=Prunus persica GN=PRUPE_ppa017593mg PE=4 SV=1</t>
  </si>
  <si>
    <t>Uncharacterized protein OS=Prunus persica GN=PRUPE_ppa026250mg PE=4 SV=1</t>
  </si>
  <si>
    <t>Uncharacterized protein OS=Prunus persica GN=PRUPE_ppa017419mg PE=4 SV=1</t>
  </si>
  <si>
    <t>Uncharacterized protein OS=Prunus persica GN=PRUPE_ppa002206mg PE=3 SV=1</t>
  </si>
  <si>
    <t>Uncharacterized protein OS=Prunus persica GN=PRUPE_ppa008966mg PE=4 SV=1</t>
  </si>
  <si>
    <t>Uncharacterized protein OS=Prunus persica GN=PRUPE_ppa002854mg PE=4 SV=1</t>
  </si>
  <si>
    <t>Uncharacterized protein OS=Prunus persica GN=PRUPE_ppa001713mg PE=4 SV=1</t>
  </si>
  <si>
    <t>Uncharacterized protein (Fragment) OS=Prunus persica GN=PRUPE_ppa020733mg PE=4 SV=1</t>
  </si>
  <si>
    <t>Uncharacterized protein OS=Prunus persica GN=PRUPE_ppa006842mg PE=4 SV=1</t>
  </si>
  <si>
    <t>Uncharacterized protein OS=Prunus persica GN=PRUPE_ppa001635mg PE=4 SV=1</t>
  </si>
  <si>
    <t>MATE efflux family protein OS=Prunus persica GN=PRUPE_ppa003689mg PE=3 SV=1</t>
  </si>
  <si>
    <t>Uncharacterized protein OS=Prunus persica GN=PRUPE_ppa005514mg PE=3 SV=1</t>
  </si>
  <si>
    <t>Xyloglucan endotransglucosylase/hydrolase OS=Prunus persica GN=PRUPE_ppa009685mg PE=3 SV=1</t>
  </si>
  <si>
    <t>Uncharacterized protein OS=Prunus persica GN=PRUPE_ppa006416mg PE=4 SV=1</t>
  </si>
  <si>
    <t>Uncharacterized protein OS=Prunus persica GN=PRUPE_ppa008315mg PE=4 SV=1</t>
  </si>
  <si>
    <t>Phosphoenolpyruvate carboxylase 2 OS=Prunus sibirica PE=2 SV=1</t>
  </si>
  <si>
    <t>Uncharacterized protein OS=Prunus persica GN=PRUPE_ppa012718mg PE=4 SV=1</t>
  </si>
  <si>
    <t>Uncharacterized protein OS=Prunus persica GN=PRUPE_ppa005166mg PE=4 SV=1</t>
  </si>
  <si>
    <t>Cytochrome P450 71A1 OS=Morus notabilis GN=L484_027610 PE=3 SV=1</t>
  </si>
  <si>
    <t>Putative uncharacterized protein OS=Vitis vinifera GN=VIT_08s0007g07240 PE=4 SV=1</t>
  </si>
  <si>
    <t>Uncharacterized protein OS=Prunus persica GN=PRUPE_ppa018960mg PE=4 SV=1</t>
  </si>
  <si>
    <t>Uncharacterized protein OS=Prunus persica GN=PRUPE_ppa011520mg PE=4 SV=1</t>
  </si>
  <si>
    <t>Uncharacterized protein OS=Prunus persica GN=PRUPE_ppa005920mg PE=4 SV=1</t>
  </si>
  <si>
    <t>Uncharacterized protein OS=Prunus persica GN=PRUPE_ppa025397mg PE=4 SV=1</t>
  </si>
  <si>
    <t>Uncharacterized protein OS=Prunus persica GN=PRUPE_ppa007489mg PE=4 SV=1</t>
  </si>
  <si>
    <t>Uncharacterized protein OS=Prunus persica GN=PRUPE_ppa022421mg PE=4 SV=1</t>
  </si>
  <si>
    <t>Transcriptional repressor nrdr OS=Gossypium arboreum GN=F383_20782 PE=4 SV=1</t>
  </si>
  <si>
    <t>Uncharacterized protein OS=Prunus persica GN=PRUPE_ppa013010mg PE=4 SV=1</t>
  </si>
  <si>
    <t>Uncharacterized protein OS=Prunus persica GN=PRUPE_ppa003288mg PE=4 SV=1</t>
  </si>
  <si>
    <t>Uncharacterized protein OS=Prunus persica GN=PRUPE_ppa000311mg PE=4 SV=1</t>
  </si>
  <si>
    <t>Uncharacterized protein OS=Prunus persica GN=PRUPE_ppa002296mg PE=4 SV=1</t>
  </si>
  <si>
    <t>Uncharacterized protein OS=Prunus persica GN=PRUPE_ppa006730mg PE=4 SV=1</t>
  </si>
  <si>
    <t>Uncharacterized protein OS=Prunus persica GN=PRUPE_ppa011403mg PE=4 SV=1</t>
  </si>
  <si>
    <t>Uncharacterized protein OS=Prunus persica GN=PRUPE_ppa000831mg PE=4 SV=1</t>
  </si>
  <si>
    <t>Eukaryotic translation initiation factor 3 subunit A OS=Prunus persica GN=PRUPE_ppa000928mg PE=3 SV=1</t>
  </si>
  <si>
    <t>Uncharacterized protein OS=Prunus persica GN=PRUPE_ppa011436mg PE=3 SV=1</t>
  </si>
  <si>
    <t>Uncharacterized protein OS=Prunus persica GN=PRUPE_ppa001871mg PE=4 SV=1</t>
  </si>
  <si>
    <t>Uncharacterized protein OS=Prunus persica GN=PRUPE_ppa013002mg PE=4 SV=1</t>
  </si>
  <si>
    <t>Polyprotein OS=Gossypium barbadense PE=4 SV=1</t>
  </si>
  <si>
    <t>Uncharacterized protein OS=Prunus persica GN=PRUPE_ppa005804mg PE=4 SV=1</t>
  </si>
  <si>
    <t>Uncharacterized protein OS=Prunus persica GN=PRUPE_ppa013194mg PE=4 SV=1</t>
  </si>
  <si>
    <t>Succinate dehydrogenase [ubiquinone] iron-sulfur subunit, mitochondrial OS=Prunus persica GN=PRUPE_ppa007934mg PE=3 SV=1</t>
  </si>
  <si>
    <t>Uncharacterized protein OS=Prunus persica GN=PRUPE_ppa021146mg PE=4 SV=1</t>
  </si>
  <si>
    <t>Peptidyl-prolyl cis-trans isomerase OS=Prunus persica GN=PRUPE_ppa024757mg PE=4 SV=1</t>
  </si>
  <si>
    <t>Peroxidase OS=Prunus persica GN=PRUPE_ppa008577mg PE=3 SV=1</t>
  </si>
  <si>
    <t>Uncharacterized protein OS=Prunus persica GN=PRUPE_ppa010870mg PE=4 SV=1</t>
  </si>
  <si>
    <t>Uncharacterized protein OS=Prunus persica GN=PRUPE_ppa002410mg PE=4 SV=1</t>
  </si>
  <si>
    <t>Uncharacterized protein OS=Prunus persica GN=PRUPE_ppa000434mg PE=4 SV=1</t>
  </si>
  <si>
    <t>Uncharacterized protein OS=Prunus persica GN=PRUPE_ppa011921mg PE=4 SV=1</t>
  </si>
  <si>
    <t>Putative gag-pol polyprotein, identical OS=Solanum demissum GN=SDM1_42t00010 PE=4 SV=1</t>
  </si>
  <si>
    <t>Uncharacterized protein OS=Prunus persica GN=PRUPE_ppa004700mg PE=4 SV=1</t>
  </si>
  <si>
    <t>Uncharacterized protein (Fragment) OS=Citrus sinensis GN=CISIN_1g0409893mg PE=4 SV=1</t>
  </si>
  <si>
    <t>Uncharacterized protein OS=Prunus persica GN=PRUPE_ppa002736mg PE=4 SV=1</t>
  </si>
  <si>
    <t>Homeobox-leucine zipper protein OS=Malus domestica PE=2 SV=1</t>
  </si>
  <si>
    <t>Uncharacterized protein OS=Prunus persica GN=PRUPE_ppa011009mg PE=4 SV=1</t>
  </si>
  <si>
    <t>Uncharacterized protein OS=Prunus persica GN=PRUPE_ppa009744mg PE=4 SV=1</t>
  </si>
  <si>
    <t>Uncharacterized protein OS=Prunus persica GN=PRUPE_ppa005208mg PE=3 SV=1</t>
  </si>
  <si>
    <t>Uncharacterized protein OS=Prunus persica GN=PRUPE_ppa000229mg PE=4 SV=1</t>
  </si>
  <si>
    <t>Uncharacterized protein (Fragment) OS=Prunus persica GN=PRUPE_ppa018099mg PE=4 SV=1</t>
  </si>
  <si>
    <t>Uncharacterized protein OS=Prunus persica GN=PRUPE_ppa022654mg PE=4 SV=1</t>
  </si>
  <si>
    <t>Uncharacterized protein OS=Prunus persica GN=PRUPE_ppa000726mg PE=4 SV=1</t>
  </si>
  <si>
    <t>Uncharacterized protein OS=Prunus persica GN=PRUPE_ppa001546mg PE=4 SV=1</t>
  </si>
  <si>
    <t>Uncharacterized protein OS=Prunus persica GN=PRUPE_ppa000610mg PE=4 SV=1</t>
  </si>
  <si>
    <t>Uncharacterized protein OS=Prunus persica GN=PRUPE_ppa007461mg PE=4 SV=1</t>
  </si>
  <si>
    <t>Uncharacterized protein (Fragment) OS=Prunus persica GN=PRUPE_ppa026384mg PE=4 SV=1</t>
  </si>
  <si>
    <t>Uncharacterized protein OS=Prunus persica GN=PRUPE_ppa005004mg PE=4 SV=1</t>
  </si>
  <si>
    <t>Uncharacterized protein OS=Prunus persica GN=PRUPE_ppa003947mg PE=4 SV=1</t>
  </si>
  <si>
    <t>Uncharacterized protein OS=Prunus persica GN=PRUPE_ppa006039mg PE=4 SV=1</t>
  </si>
  <si>
    <t>Uncharacterized protein OS=Prunus persica GN=PRUPE_ppa015760mg PE=3 SV=1</t>
  </si>
  <si>
    <t>Uncharacterized protein OS=Prunus persica GN=PRUPE_ppa002366mg PE=4 SV=1</t>
  </si>
  <si>
    <t>Uncharacterized protein OS=Prunus persica GN=PRUPE_ppa013648mg PE=4 SV=1</t>
  </si>
  <si>
    <t>Uncharacterized protein OS=Prunus persica GN=PRUPE_ppa017049mg PE=4 SV=1</t>
  </si>
  <si>
    <t>Uncharacterized protein OS=Prunus persica GN=PRUPE_ppa010535mg PE=4 SV=1</t>
  </si>
  <si>
    <t>Auxin response factor OS=Prunus persica PE=3 SV=1</t>
  </si>
  <si>
    <t>Epoxide hydrolase 3 OS=Prunus persica GN=eh3 PE=2 SV=1</t>
  </si>
  <si>
    <t>Uncharacterized protein OS=Prunus persica GN=PRUPE_ppa013012mg PE=4 SV=1</t>
  </si>
  <si>
    <t>Uncharacterized protein OS=Prunus persica GN=PRUPE_ppa006220mg PE=4 SV=1</t>
  </si>
  <si>
    <t>Uncharacterized protein OS=Prunus persica GN=PRUPE_ppa005408mg PE=4 SV=1</t>
  </si>
  <si>
    <t>Uncharacterized protein (Fragment) OS=Prunus persica GN=PRUPE_ppa015682mg PE=4 SV=1</t>
  </si>
  <si>
    <t>Uncharacterized protein OS=Prunus persica GN=PRUPE_ppa005949mg PE=4 SV=1</t>
  </si>
  <si>
    <t>Kinesin-like protein OS=Prunus persica GN=PRUPE_ppa002746mg PE=3 SV=1</t>
  </si>
  <si>
    <t>Flavin-containing monooxygenase OS=Prunus persica GN=PRUPE_ppa015832mg PE=3 SV=1</t>
  </si>
  <si>
    <t>Malate dehydrogenase OS=Prunus persica GN=PRUPE_ppa007769mg PE=3 SV=1</t>
  </si>
  <si>
    <t>Uncharacterized protein OS=Prunus persica GN=PRUPE_ppa008615mg PE=4 SV=1</t>
  </si>
  <si>
    <t>Uncharacterized protein OS=Prunus persica GN=PRUPE_ppa007605mg PE=3 SV=1</t>
  </si>
  <si>
    <t>Uncharacterized protein OS=Prunus persica GN=PRUPE_ppa019251mg PE=4 SV=1</t>
  </si>
  <si>
    <t>Uncharacterized protein OS=Prunus persica GN=PRUPE_ppa013244mg PE=4 SV=1</t>
  </si>
  <si>
    <t>Uncharacterized protein OS=Prunus persica GN=PRUPE_ppa011670mg PE=4 SV=1</t>
  </si>
  <si>
    <t>Uncharacterized protein OS=Prunus persica GN=PRUPE_ppa000233mg PE=4 SV=1</t>
  </si>
  <si>
    <t>CTP synthase OS=Prunus persica GN=PRUPE_ppa003624mg PE=3 SV=1</t>
  </si>
  <si>
    <t>Xyloglucan endotransglucosylase/hydrolase OS=Prunus persica GN=PRUPE_ppa009365mg PE=3 SV=1</t>
  </si>
  <si>
    <t>Uncharacterized protein (Fragment) OS=Prunus persica GN=PRUPE_ppa024472mg PE=4 SV=1</t>
  </si>
  <si>
    <t>Uncharacterized protein OS=Prunus persica GN=PRUPE_ppa001240mg PE=4 SV=1</t>
  </si>
  <si>
    <t>40S ribosomal protein SA OS=Prunus persica GN=PRUPE_ppa008193mg PE=3 SV=1</t>
  </si>
  <si>
    <t>Peptidyl-prolyl cis-trans isomerase OS=Prunus persica GN=PRUPE_ppa010525mg PE=4 SV=1</t>
  </si>
  <si>
    <t>Uncharacterized protein OS=Prunus persica GN=PRUPE_ppa001560mg PE=4 SV=1</t>
  </si>
  <si>
    <t>Uncharacterized protein OS=Prunus persica GN=PRUPE_ppa001384mg PE=4 SV=1</t>
  </si>
  <si>
    <t>Uncharacterized protein OS=Prunus persica GN=PRUPE_ppa000872mg PE=3 SV=1</t>
  </si>
  <si>
    <t>Uncharacterized protein OS=Prunus persica GN=PRUPE_ppa021600mg PE=4 SV=1</t>
  </si>
  <si>
    <t>Uncharacterized protein OS=Prunus persica GN=PRUPE_ppb024021mg PE=4 SV=1</t>
  </si>
  <si>
    <t>Uncharacterized protein OS=Prunus persica GN=PRUPE_ppa017479mg PE=3 SV=1</t>
  </si>
  <si>
    <t>Uncharacterized protein OS=Prunus persica GN=PRUPE_ppa000622mg PE=4 SV=1</t>
  </si>
  <si>
    <t>Uncharacterized protein OS=Prunus persica GN=PRUPE_ppa006391mg PE=4 SV=1</t>
  </si>
  <si>
    <t>Uncharacterized protein OS=Prunus persica GN=PRUPE_ppa004639mg PE=3 SV=1</t>
  </si>
  <si>
    <t>Uncharacterized protein OS=Prunus persica GN=PRUPE_ppa001258mg PE=4 SV=1</t>
  </si>
  <si>
    <t>Uncharacterized protein OS=Prunus persica GN=PRUPE_ppa004305mg PE=4 SV=1</t>
  </si>
  <si>
    <t>Uncharacterized protein OS=Prunus persica GN=PRUPE_ppa019486mg PE=4 SV=1</t>
  </si>
  <si>
    <t>Uncharacterized protein OS=Prunus persica GN=PRUPE_ppa004539mg PE=3 SV=1</t>
  </si>
  <si>
    <t>Uncharacterized protein OS=Prunus persica GN=PRUPE_ppa005033mg PE=4 SV=1</t>
  </si>
  <si>
    <t>Uncharacterized protein OS=Prunus persica GN=PRUPE_ppa009144mg PE=4 SV=1</t>
  </si>
  <si>
    <t>Uncharacterized protein OS=Prunus persica GN=PRUPE_ppa003104mg PE=4 SV=1</t>
  </si>
  <si>
    <t>Uncharacterized protein OS=Prunus persica GN=PRUPE_ppa005826mg PE=4 SV=1</t>
  </si>
  <si>
    <t>Uncharacterized protein OS=Prunus persica GN=PRUPE_ppa003329mg PE=4 SV=1</t>
  </si>
  <si>
    <t>Uncharacterized protein OS=Prunus persica GN=PRUPE_ppa005714mg PE=4 SV=1</t>
  </si>
  <si>
    <t>Uncharacterized protein OS=Prunus persica GN=PRUPE_ppa003445mg PE=4 SV=1</t>
  </si>
  <si>
    <t>Uncharacterized protein OS=Prunus persica GN=PRUPE_ppa010193mg PE=4 SV=1</t>
  </si>
  <si>
    <t>Uncharacterized protein OS=Prunus persica GN=PRUPE_ppa012731mg PE=3 SV=1</t>
  </si>
  <si>
    <t>Uncharacterized protein OS=Prunus persica GN=PRUPE_ppa010921mg PE=4 SV=1</t>
  </si>
  <si>
    <t>Uncharacterized protein OS=Prunus persica GN=PRUPE_ppa011224mg PE=4 SV=1</t>
  </si>
  <si>
    <t>Uncharacterized protein OS=Jatropha curcas GN=JCGZ_24857 PE=4 SV=1</t>
  </si>
  <si>
    <t>Uncharacterized protein OS=Prunus persica GN=PRUPE_ppa025436mg PE=4 SV=1</t>
  </si>
  <si>
    <t>Uncharacterized protein OS=Prunus persica GN=PRUPE_ppa005541mg PE=4 SV=1</t>
  </si>
  <si>
    <t>Uncharacterized protein OS=Prunus persica GN=PRUPE_ppa010722mg PE=4 SV=1</t>
  </si>
  <si>
    <t>Glyceraldehyde-3-phosphate dehydrogenase OS=Prunus persica GN=PRUPE_ppa008250mg PE=3 SV=1</t>
  </si>
  <si>
    <t>Uncharacterized protein OS=Prunus persica GN=PRUPE_ppa006337mg PE=4 SV=1</t>
  </si>
  <si>
    <t>Uncharacterized protein OS=Prunus persica GN=PRUPE_ppa024899mg PE=4 SV=1</t>
  </si>
  <si>
    <t>Uncharacterized protein (Fragment) OS=Prunus persica GN=PRUPE_ppa018224mg PE=3 SV=1</t>
  </si>
  <si>
    <t>Glycerol-3-phosphate dehydrogenase [NAD(+)] OS=Prunus persica GN=PRUPE_ppa007261mg PE=3 SV=1</t>
  </si>
  <si>
    <t>Uncharacterized protein OS=Prunus persica GN=PRUPE_ppa023395mg PE=3 SV=1</t>
  </si>
  <si>
    <t>Putative allergen Pru p 1.01 OS=Prunus dulcis x Prunus persica GN=Pru p 1.01 PE=3 SV=1</t>
  </si>
  <si>
    <t>Auxin-responsive protein OS=Prunus persica GN=PRUPE_ppa006744mg PE=3 SV=1</t>
  </si>
  <si>
    <t>Uncharacterized protein OS=Prunus persica GN=PRUPE_ppa022806mg PE=4 SV=1</t>
  </si>
  <si>
    <t>Uncharacterized protein OS=Prunus persica GN=PRUPE_ppa006093mg PE=4 SV=1</t>
  </si>
  <si>
    <t>Uncharacterized protein OS=Prunus persica GN=PRUPE_ppa018064mg PE=4 SV=1</t>
  </si>
  <si>
    <t>Uncharacterized protein OS=Prunus persica GN=PRUPE_ppa003117mg PE=4 SV=1</t>
  </si>
  <si>
    <t>Uncharacterized protein OS=Prunus persica GN=PRUPE_ppa002509mg PE=3 SV=1</t>
  </si>
  <si>
    <t>Uncharacterized protein OS=Prunus persica GN=PRUPE_ppa011510mg PE=4 SV=1</t>
  </si>
  <si>
    <t>Uncharacterized protein OS=Prunus persica GN=PRUPE_ppa008214mg PE=4 SV=1</t>
  </si>
  <si>
    <t>Phosphoenolpyruvate carboxykinase [ATP] OS=Gibberella moniliformis (strain M3125 / FGSC 7600) GN=FVEG_02289 PE=3 SV=1</t>
  </si>
  <si>
    <t>Uncharacterized protein OS=Gibberella moniliformis (strain M3125 / FGSC 7600) GN=FVEG_01638 PE=3 SV=1</t>
  </si>
  <si>
    <t>Uncharacterized protein (Fragment) OS=Prunus persica GN=PRUPE_ppa025418mg PE=4 SV=1</t>
  </si>
  <si>
    <t>CBF/DREB 4 OS=Prunus persica GN=PRUPE_ppa017761mg PE=2 SV=1</t>
  </si>
  <si>
    <t>Uncharacterized protein OS=Prunus persica GN=PRUPE_ppa011957mg PE=4 SV=1</t>
  </si>
  <si>
    <t>Uncharacterized protein OS=Prunus persica GN=PRUPE_ppa020033mg PE=4 SV=1</t>
  </si>
  <si>
    <t>Uncharacterized protein OS=Prunus persica GN=PRUPE_ppa008211mg PE=3 SV=1</t>
  </si>
  <si>
    <t>Uncharacterized protein (Fragment) OS=Prunus persica GN=PRUPE_ppa022996mg PE=4 SV=1</t>
  </si>
  <si>
    <t>DNA-directed RNA polymerase subunit beta'' OS=Prunus kansuensis GN=rpoC2 PE=3 SV=1</t>
  </si>
  <si>
    <t>Uncharacterized protein OS=Prunus persica GN=PRUPE_ppa011847mg PE=4 SV=1</t>
  </si>
  <si>
    <t>Anamorsin homolog OS=Prunus persica GN=PRUPE_ppa009994mg PE=3 SV=1</t>
  </si>
  <si>
    <t>Uncharacterized protein OS=Prunus persica GN=PRUPE_ppa001406mg PE=4 SV=1</t>
  </si>
  <si>
    <t>Uncharacterized protein OS=Prunus persica GN=PRUPE_ppa003749mg PE=4 SV=1</t>
  </si>
  <si>
    <t>Uncharacterized protein OS=Prunus persica GN=PRUPE_ppa012062mg PE=4 SV=1</t>
  </si>
  <si>
    <t>Uncharacterized protein OS=Prunus persica GN=PRUPE_ppa022254mg PE=4 SV=1</t>
  </si>
  <si>
    <t>Uncharacterized protein OS=Prunus persica GN=PRUPE_ppa008179mg PE=4 SV=1</t>
  </si>
  <si>
    <t>Uncharacterized protein OS=Prunus persica GN=PRUPE_ppa010135mg PE=4 SV=1</t>
  </si>
  <si>
    <t>Uncharacterized protein OS=Prunus persica GN=PRUPE_ppa023601mg PE=3 SV=1</t>
  </si>
  <si>
    <t>Uncharacterized protein OS=Prunus persica GN=PRUPE_ppa009457mg PE=4 SV=1</t>
  </si>
  <si>
    <t>Uncharacterized protein OS=Prunus persica GN=PRUPE_ppa001523mg PE=4 SV=1</t>
  </si>
  <si>
    <t>Uncharacterized protein OS=Prunus persica GN=PRUPE_ppa010982mg PE=4 SV=1</t>
  </si>
  <si>
    <t>Uncharacterized protein OS=Prunus persica GN=PRUPE_ppa010732mg PE=4 SV=1</t>
  </si>
  <si>
    <t>Uncharacterized protein OS=Prunus persica GN=PRUPE_ppa006891mg PE=4 SV=1</t>
  </si>
  <si>
    <t>Uncharacterized protein OS=Prunus persica GN=PRUPE_ppa001610mg PE=4 SV=1</t>
  </si>
  <si>
    <t>Uncharacterized protein OS=Prunus persica GN=PRUPE_ppa013905mg PE=4 SV=1</t>
  </si>
  <si>
    <t>Uncharacterized protein OS=Prunus persica GN=PRUPE_ppa002284mg PE=4 SV=1</t>
  </si>
  <si>
    <t>Uncharacterized protein OS=Prunus persica GN=PRUPE_ppa007598mg PE=4 SV=1</t>
  </si>
  <si>
    <t>Uncharacterized protein OS=Prunus persica GN=PRUPE_ppa008940mg PE=3 SV=1</t>
  </si>
  <si>
    <t>Uncharacterized protein OS=Prunus persica GN=PRUPE_ppa016254mg PE=4 SV=1</t>
  </si>
  <si>
    <t>Uncharacterized protein OS=Prunus persica GN=PRUPE_ppa005844mg PE=4 SV=1</t>
  </si>
  <si>
    <t>Uncharacterized protein OS=Prunus persica GN=PRUPE_ppa006671mg PE=4 SV=1</t>
  </si>
  <si>
    <t>Uncharacterized protein OS=Prunus persica GN=PRUPE_ppa006106mg PE=4 SV=1</t>
  </si>
  <si>
    <t>Uncharacterized protein OS=Prunus persica GN=PRUPE_ppa001421mg PE=4 SV=1</t>
  </si>
  <si>
    <t>Uncharacterized protein (Fragment) OS=Prunus persica GN=PRUPE_ppa021140mg PE=4 SV=1</t>
  </si>
  <si>
    <t>Uncharacterized protein (Fragment) OS=Prunus persica GN=PRUPE_ppa022335mg PE=3 SV=1</t>
  </si>
  <si>
    <t>Uncharacterized protein OS=Prunus persica GN=PRUPE_ppa004885mg PE=4 SV=1</t>
  </si>
  <si>
    <t>Uncharacterized protein OS=Prunus persica GN=PRUPE_ppa005866mg PE=4 SV=1</t>
  </si>
  <si>
    <t>Uncharacterized protein OS=Prunus persica GN=PRUPE_ppa025918mg PE=4 SV=1</t>
  </si>
  <si>
    <t>Uncharacterized protein (Fragment) OS=Prunus persica GN=PRUPE_ppa016725mg PE=4 SV=1</t>
  </si>
  <si>
    <t>Uncharacterized protein (Fragment) OS=Prunus persica GN=PRUPE_ppa017658mg PE=4 SV=1</t>
  </si>
  <si>
    <t>Uncharacterized protein OS=Prunus persica GN=PRUPE_ppa006474mg PE=4 SV=1</t>
  </si>
  <si>
    <t>Uncharacterized protein (Fragment) OS=Prunus persica GN=PRUPE_ppa017521mg PE=4 SV=1</t>
  </si>
  <si>
    <t>Uncharacterized protein OS=Prunus persica GN=PRUPE_ppa004044mg PE=4 SV=1</t>
  </si>
  <si>
    <t>Uncharacterized protein OS=Prunus persica GN=PRUPE_ppa004473mg PE=3 SV=1</t>
  </si>
  <si>
    <t>Uncharacterized protein OS=Prunus persica GN=PRUPE_ppa022837mg PE=4 SV=1</t>
  </si>
  <si>
    <t>Uncharacterized protein OS=Prunus persica GN=PRUPE_ppa025946mg PE=4 SV=1</t>
  </si>
  <si>
    <t>Uncharacterized protein (Fragment) OS=Prunus persica GN=PRUPE_ppa021289mg PE=4 SV=1</t>
  </si>
  <si>
    <t>Uncharacterized protein (Fragment) OS=Prunus persica GN=PRUPE_ppa016901mg PE=4 SV=1</t>
  </si>
  <si>
    <t>Uncharacterized protein OS=Prunus persica GN=PRUPE_ppa003987mg PE=4 SV=1</t>
  </si>
  <si>
    <t>Uncharacterized protein OS=Prunus persica GN=PRUPE_ppa022793mg PE=4 SV=1</t>
  </si>
  <si>
    <t>Uncharacterized protein OS=Prunus persica GN=PRUPE_ppa003354mg PE=3 SV=1</t>
  </si>
  <si>
    <t>Uncharacterized protein OS=Prunus persica GN=PRUPE_ppa002923mg PE=4 SV=1</t>
  </si>
  <si>
    <t>Uncharacterized protein OS=Prunus persica GN=PRUPE_ppa021269mg PE=4 SV=1</t>
  </si>
  <si>
    <t>Uncharacterized protein OS=Prunus persica GN=PRUPE_ppa002107mg PE=4 SV=1</t>
  </si>
  <si>
    <t>Uncharacterized protein OS=Prunus persica GN=PRUPE_ppa006584mg PE=4 SV=1</t>
  </si>
  <si>
    <t>Uncharacterized protein OS=Prunus persica GN=PRUPE_ppa006707mg PE=4 SV=1</t>
  </si>
  <si>
    <t>Uncharacterized protein OS=Prunus persica GN=PRUPE_ppa008399mg PE=4 SV=1</t>
  </si>
  <si>
    <t>Uncharacterized protein OS=Prunus persica GN=PRUPE_ppb022437mg PE=4 SV=1</t>
  </si>
  <si>
    <t>Uncharacterized protein OS=Prunus persica GN=PRUPE_ppa000298mg PE=4 SV=1</t>
  </si>
  <si>
    <t>Uncharacterized protein OS=Prunus persica GN=PRUPE_ppa000512mg PE=3 SV=1</t>
  </si>
  <si>
    <t>Uncharacterized protein OS=Prunus persica GN=PRUPE_ppa006546mg PE=4 SV=1</t>
  </si>
  <si>
    <t>Uncharacterized protein OS=Prunus persica GN=PRUPE_ppa000373mg PE=4 SV=1</t>
  </si>
  <si>
    <t>Uncharacterized protein OS=Prunus persica GN=PRUPE_ppa010532mg PE=4 SV=1</t>
  </si>
  <si>
    <t>Uncharacterized protein OS=Prunus persica GN=PRUPE_ppa001892mg PE=4 SV=1</t>
  </si>
  <si>
    <t>Uncharacterized protein OS=Prunus persica GN=PRUPE_ppa018413mg PE=3 SV=1</t>
  </si>
  <si>
    <t>Uncharacterized protein OS=Prunus persica GN=PRUPE_ppa005390mg PE=4 SV=1</t>
  </si>
  <si>
    <t>Serine/threonine-protein phosphatase OS=Prunus persica GN=PRUPE_ppa008543mg PE=3 SV=1</t>
  </si>
  <si>
    <t>Uncharacterized protein OS=Prunus persica GN=PRUPE_ppa005089mg PE=4 SV=1</t>
  </si>
  <si>
    <t>Uncharacterized protein OS=Prunus persica GN=PRUPE_ppa006580mg PE=4 SV=1</t>
  </si>
  <si>
    <t>Uncharacterized protein OS=Glycine max PE=4 SV=1</t>
  </si>
  <si>
    <t>Uncharacterized protein OS=Prunus persica GN=PRUPE_ppa006999mg PE=4 SV=1</t>
  </si>
  <si>
    <t>Uncharacterized protein OS=Prunus persica GN=PRUPE_ppa026954mg PE=3 SV=1</t>
  </si>
  <si>
    <t>Uncharacterized protein OS=Prunus persica GN=PRUPE_ppa008832mg PE=4 SV=1</t>
  </si>
  <si>
    <t>Uncharacterized protein OS=Populus trichocarpa GN=POPTR_0001s20870g PE=4 SV=2</t>
  </si>
  <si>
    <t>Uncharacterized protein OS=Prunus persica GN=PRUPE_ppa010205mg PE=4 SV=1</t>
  </si>
  <si>
    <t>Uncharacterized protein OS=Prunus persica GN=PRUPE_ppa004102mg PE=4 SV=1</t>
  </si>
  <si>
    <t>Uncharacterized protein OS=Prunus persica GN=PRUPE_ppa005627mg PE=4 SV=1</t>
  </si>
  <si>
    <t>Uncharacterized protein OS=Prunus persica GN=PRUPE_ppa012535mg PE=4 SV=1</t>
  </si>
  <si>
    <t>Uncharacterized protein OS=Prunus persica GN=PRUPE_ppa008012mg PE=4 SV=1</t>
  </si>
  <si>
    <t>Uncharacterized protein OS=Prunus persica GN=PRUPE_ppa025875mg PE=4 SV=1</t>
  </si>
  <si>
    <t>Uncharacterized protein OS=Prunus persica GN=PRUPE_ppa017999mg PE=4 SV=1</t>
  </si>
  <si>
    <t>Uncharacterized protein OS=Prunus persica GN=PRUPE_ppa027075mg PE=4 SV=1</t>
  </si>
  <si>
    <t>Uncharacterized protein OS=Prunus persica GN=PRUPE_ppa008496mg PE=4 SV=1</t>
  </si>
  <si>
    <t>Uncharacterized protein OS=Prunus persica GN=PRUPE_ppa005740mg PE=4 SV=1</t>
  </si>
  <si>
    <t>Uncharacterized protein OS=Prunus persica GN=PRUPE_ppa015679mg PE=4 SV=1</t>
  </si>
  <si>
    <t>Uncharacterized protein OS=Prunus persica GN=PRUPE_ppa004963mg PE=4 SV=1</t>
  </si>
  <si>
    <t>Uncharacterized protein OS=Prunus persica GN=PRUPE_ppa001222mg PE=4 SV=1</t>
  </si>
  <si>
    <t>Uncharacterized protein OS=Prunus persica GN=PRUPE_ppa008089mg PE=4 SV=1</t>
  </si>
  <si>
    <t>Uncharacterized protein OS=Prunus persica GN=PRUPE_ppa006477mg PE=4 SV=1</t>
  </si>
  <si>
    <t>Uncharacterized protein OS=Prunus persica GN=PRUPE_ppa011178mg PE=4 SV=1</t>
  </si>
  <si>
    <t>MLO-like protein OS=Prunus persica GN=MLO PE=3 SV=1</t>
  </si>
  <si>
    <t>Uncharacterized protein OS=Prunus persica GN=PRUPE_ppa017029mg PE=4 SV=1</t>
  </si>
  <si>
    <t>Uncharacterized protein OS=Prunus persica GN=PRUPE_ppa004738mg PE=3 SV=1</t>
  </si>
  <si>
    <t>Uncharacterized protein (Fragment) OS=Prunus persica GN=PRUPE_ppa017602mg PE=4 SV=1</t>
  </si>
  <si>
    <t>Uncharacterized protein OS=Prunus persica GN=PRUPE_ppa010210mg PE=4 SV=1</t>
  </si>
  <si>
    <t>Uncharacterized protein OS=Prunus persica GN=PRUPE_ppa002355mg PE=4 SV=1</t>
  </si>
  <si>
    <t>Uncharacterized protein OS=Prunus persica GN=PRUPE_ppa003914mg PE=4 SV=1</t>
  </si>
  <si>
    <t>Uncharacterized protein OS=Prunus persica GN=PRUPE_ppa009370mg PE=4 SV=1</t>
  </si>
  <si>
    <t>Photosystem II protein D1 (Fragment) OS=Fragaria nilgerrensis GN=psbA PE=3 SV=1</t>
  </si>
  <si>
    <t>DNA-directed RNA polymerase OS=Prunus persica GN=PRUPE_ppa000425mg PE=3 SV=1</t>
  </si>
  <si>
    <t>Uncharacterized protein OS=Prunus persica GN=PRUPE_ppa007965mg PE=4 SV=1</t>
  </si>
  <si>
    <t>Uncharacterized protein OS=Citrus sinensis GN=CISIN_1g017571mg PE=4 SV=1</t>
  </si>
  <si>
    <t>Uncharacterized protein OS=Prunus persica GN=PRUPE_ppa002685mg PE=4 SV=1</t>
  </si>
  <si>
    <t>MATE efflux family protein OS=Prunus persica GN=PRUPE_ppa016334mg PE=3 SV=1</t>
  </si>
  <si>
    <t>Uncharacterized protein OS=Prunus persica GN=PRUPE_ppa023189mg PE=4 SV=1</t>
  </si>
  <si>
    <t>Uncharacterized protein OS=Prunus persica GN=PRUPE_ppa010152mg PE=4 SV=1</t>
  </si>
  <si>
    <t>Uncharacterized protein OS=Prunus persica GN=PRUPE_ppa004106mg PE=4 SV=1</t>
  </si>
  <si>
    <t>Uncharacterized protein OS=Prunus persica GN=PRUPE_ppa023888mg PE=4 SV=1</t>
  </si>
  <si>
    <t>Proteasome subunit beta type OS=Prunus persica GN=PRUPE_ppa010791mg PE=3 SV=1</t>
  </si>
  <si>
    <t>Uncharacterized protein OS=Prunus persica GN=PRUPE_ppa004072mg PE=4 SV=1</t>
  </si>
  <si>
    <t>Uncharacterized protein OS=Prunus persica GN=PRUPE_ppa004603mg PE=3 SV=1</t>
  </si>
  <si>
    <t>Uncharacterized protein OS=Prunus persica GN=PRUPE_ppa024514mg PE=4 SV=1</t>
  </si>
  <si>
    <t>Uncharacterized protein (Fragment) OS=Prunus persica GN=PRUPE_ppa024215mg PE=4 SV=1</t>
  </si>
  <si>
    <t>Uncharacterized protein OS=Prunus persica GN=PRUPE_ppa019104mg PE=4 SV=1</t>
  </si>
  <si>
    <t>Xyloglucan endotransglucosylase/hydrolase OS=Prunus persica GN=PRUPE_ppa009417mg PE=3 SV=1</t>
  </si>
  <si>
    <t>Putative uncharacterized protein OS=Vitis vinifera GN=VITISV_000260 PE=4 SV=1</t>
  </si>
  <si>
    <t>Uncharacterized protein OS=Prunus persica GN=PRUPE_ppa011462mg PE=4 SV=1</t>
  </si>
  <si>
    <t>Uncharacterized protein OS=Prunus persica GN=PRUPE_ppa010826mg PE=3 SV=1</t>
  </si>
  <si>
    <t>Uncharacterized protein OS=Prunus persica GN=PRUPE_ppa005070mg PE=4 SV=1</t>
  </si>
  <si>
    <t>Uncharacterized protein OS=Prunus persica GN=PRUPE_ppa000579mg PE=4 SV=1</t>
  </si>
  <si>
    <t>Uncharacterized protein OS=Prunus persica GN=PRUPE_ppa013101mg PE=4 SV=1</t>
  </si>
  <si>
    <t>Glycerol kinase OS=Magnaporthiopsis poae (strain ATCC 64411 / 73-15) GN=MAPG_10146 PE=3 SV=1</t>
  </si>
  <si>
    <t>Uncharacterized protein OS=Prunus persica GN=PRUPE_ppa011011mg PE=4 SV=1</t>
  </si>
  <si>
    <t>Uncharacterized protein OS=Prunus persica GN=PRUPE_ppa007419mg PE=4 SV=1</t>
  </si>
  <si>
    <t>Uncharacterized protein (Fragment) OS=Prunus persica GN=PRUPE_ppa016019mg PE=3 SV=1</t>
  </si>
  <si>
    <t>Uncharacterized protein (Fragment) OS=Prunus persica GN=PRUPE_ppa025979mg PE=4 SV=1</t>
  </si>
  <si>
    <t>Uncharacterized protein OS=Prunus persica GN=PRUPE_ppa016241mg PE=4 SV=1</t>
  </si>
  <si>
    <t>Uncharacterized protein OS=Prunus persica GN=PRUPE_ppa007315mg PE=3 SV=1</t>
  </si>
  <si>
    <t>Uncharacterized protein (Fragment) OS=Citrus clementina GN=CICLE_v100176691mg PE=4 SV=1</t>
  </si>
  <si>
    <t>Uncharacterized protein OS=Prunus persica GN=PRUPE_ppa011103mg PE=3 SV=1</t>
  </si>
  <si>
    <t>3-ketoacyl-CoA synthase OS=Prunus persica GN=PRUPE_ppa021980mg PE=3 SV=1</t>
  </si>
  <si>
    <t>Uncharacterized protein OS=Prunus persica GN=PRUPE_ppa011590mg PE=4 SV=1</t>
  </si>
  <si>
    <t>Uncharacterized protein OS=Prunus persica GN=PRUPE_ppa009961mg PE=3 SV=1</t>
  </si>
  <si>
    <t>Uncharacterized protein OS=Prunus persica GN=PRUPE_ppa004887mg PE=4 SV=1</t>
  </si>
  <si>
    <t>Uncharacterized protein OS=Prunus persica GN=PRUPE_ppa007521mg PE=4 SV=1</t>
  </si>
  <si>
    <t>Uncharacterized protein OS=Prunus persica GN=PRUPE_ppa024559mg PE=4 SV=1</t>
  </si>
  <si>
    <t>Uncharacterized protein OS=Prunus persica GN=PRUPE_ppa018945mg PE=4 SV=1</t>
  </si>
  <si>
    <t>Uncharacterized protein OS=Prunus persica GN=PRUPE_ppa015248mg PE=4 SV=1</t>
  </si>
  <si>
    <t>Ubiquitin carboxyl-terminal hydrolase OS=Prunus persica GN=PRUPE_ppa003162mg PE=3 SV=1</t>
  </si>
  <si>
    <t>Uncharacterized protein OS=Prunus persica GN=PRUPE_ppa019110mg PE=4 SV=1</t>
  </si>
  <si>
    <t>Uncharacterized protein OS=Prunus persica GN=PRUPE_ppa011379mg PE=4 SV=1</t>
  </si>
  <si>
    <t>Uncharacterized protein OS=Prunus persica GN=PRUPE_ppa006418mg PE=4 SV=1</t>
  </si>
  <si>
    <t>Aminomethyltransferase OS=Prunus persica GN=PRUPE_ppa006512mg PE=3 SV=1</t>
  </si>
  <si>
    <t>Serine/threonine-protein kinase OS=Prunus persica GN=PRUPE_ppa017664mg PE=3 SV=1</t>
  </si>
  <si>
    <t>Uncharacterized protein OS=Prunus persica GN=PRUPE_ppa000693mg PE=4 SV=1</t>
  </si>
  <si>
    <t>Uncharacterized protein OS=Prunus persica GN=PRUPE_ppa018923mg PE=4 SV=1</t>
  </si>
  <si>
    <t>Uncharacterized protein OS=Prunus persica GN=PRUPE_ppa001035mg PE=4 SV=1</t>
  </si>
  <si>
    <t>Uncharacterized protein OS=Prunus persica GN=PRUPE_ppa009822mg PE=4 SV=1</t>
  </si>
  <si>
    <t>Uncharacterized protein OS=Prunus persica GN=PRUPE_ppa018011mg PE=4 SV=1</t>
  </si>
  <si>
    <t>Ethylene-responsive sensor OS=Prunus persica GN=ERS PE=4 SV=1</t>
  </si>
  <si>
    <t>Uncharacterized protein (Fragment) OS=Prunus persica GN=PRUPE_ppa027198mg PE=4 SV=1</t>
  </si>
  <si>
    <t>Uncharacterized protein OS=Prunus persica GN=PRUPE_ppa004777mg PE=4 SV=1</t>
  </si>
  <si>
    <t>Uncharacterized protein OS=Prunus persica GN=PRUPE_ppa010414mg PE=4 SV=1</t>
  </si>
  <si>
    <t>Uncharacterized protein OS=Prunus persica GN=PRUPE_ppa003948mg PE=4 SV=1</t>
  </si>
  <si>
    <t>Uncharacterized protein OS=Prunus persica GN=PRUPE_ppa009388mg PE=4 SV=1</t>
  </si>
  <si>
    <t>Uncharacterized protein OS=Prunus persica GN=PRUPE_ppa009092mg PE=4 SV=1</t>
  </si>
  <si>
    <t>Uncharacterized protein OS=Prunus persica GN=PRUPE_ppa010661mg PE=4 SV=1</t>
  </si>
  <si>
    <t>Uncharacterized protein OS=Prunus persica GN=PRUPE_ppa001852mg PE=4 SV=1</t>
  </si>
  <si>
    <t>Uncharacterized protein OS=Prunus persica GN=PRUPE_ppa022250mg PE=4 SV=1</t>
  </si>
  <si>
    <t>Uncharacterized protein OS=Prunus persica GN=PRUPE_ppa000182mg PE=3 SV=1</t>
  </si>
  <si>
    <t>Uncharacterized protein OS=Prunus persica GN=PRUPE_ppa009342mg PE=4 SV=1</t>
  </si>
  <si>
    <t>Uncharacterized protein OS=Prunus persica GN=PRUPE_ppa004586mg PE=4 SV=1</t>
  </si>
  <si>
    <t>Uncharacterized protein OS=Prunus persica GN=PRUPE_ppa009402mg PE=4 SV=1</t>
  </si>
  <si>
    <t>Uncharacterized protein OS=Prunus persica GN=PRUPE_ppa003973mg PE=4 SV=1</t>
  </si>
  <si>
    <t>Uncharacterized protein OS=Prunus persica GN=PRUPE_ppa010667mg PE=4 SV=1</t>
  </si>
  <si>
    <t>Uncharacterized protein OS=Prunus persica GN=PRUPE_ppa004094mg PE=4 SV=1</t>
  </si>
  <si>
    <t>Uncharacterized protein OS=Prunus persica GN=PRUPE_ppa002695mg PE=4 SV=1</t>
  </si>
  <si>
    <t>Uncharacterized protein (Fragment) OS=Prunus persica GN=PRUPE_ppa015461mg PE=4 SV=1</t>
  </si>
  <si>
    <t>Uncharacterized protein OS=Prunus persica GN=PRUPE_ppa000794mg PE=4 SV=1</t>
  </si>
  <si>
    <t>Uncharacterized protein OS=Prunus persica GN=PRUPE_ppa001229mg PE=4 SV=1</t>
  </si>
  <si>
    <t>Flap endonuclease 1 OS=Citrus clementina GN=FEN1 PE=3 SV=1</t>
  </si>
  <si>
    <t>Uncharacterized protein OS=Prunus persica GN=PRUPE_ppa016146mg PE=4 SV=1</t>
  </si>
  <si>
    <t>Uncharacterized protein OS=Prunus persica GN=PRUPE_ppa009495mg PE=3 SV=1</t>
  </si>
  <si>
    <t>Uncharacterized protein OS=Prunus persica GN=PRUPE_ppa008335mg PE=4 SV=1</t>
  </si>
  <si>
    <t>Uncharacterized protein OS=Prunus persica GN=PRUPE_ppa006836mg PE=3 SV=1</t>
  </si>
  <si>
    <t>Uncharacterized protein OS=Prunus persica GN=PRUPE_ppa002657mg PE=4 SV=1</t>
  </si>
  <si>
    <t>Uncharacterized protein OS=Prunus persica GN=PRUPE_ppa009543mg PE=4 SV=1</t>
  </si>
  <si>
    <t>Uncharacterized protein OS=Theobroma cacao GN=TCM_016050 PE=4 SV=1</t>
  </si>
  <si>
    <t>Uncharacterized protein OS=Prunus persica GN=PRUPE_ppa005517mg PE=4 SV=1</t>
  </si>
  <si>
    <t>Uncharacterized protein OS=Prunus persica GN=PRUPE_ppa009607mg PE=4 SV=1</t>
  </si>
  <si>
    <t>Uncharacterized protein OS=Prunus persica GN=PRUPE_ppa013138mg PE=4 SV=1</t>
  </si>
  <si>
    <t>Uncharacterized protein OS=Prunus persica GN=PRUPE_ppa007018mg PE=4 SV=1</t>
  </si>
  <si>
    <t>Uncharacterized protein OS=Prunus persica GN=PRUPE_ppa022332mg PE=4 SV=1</t>
  </si>
  <si>
    <t>Uncharacterized protein OS=Prunus persica GN=PRUPE_ppa002810mg PE=4 SV=1</t>
  </si>
  <si>
    <t>Cellulose synthase OS=Prunus persica GN=PRUPE_ppa024725mg PE=3 SV=1</t>
  </si>
  <si>
    <t>Uncharacterized protein OS=Prunus persica GN=PRUPE_ppa004307mg PE=4 SV=1</t>
  </si>
  <si>
    <t>Uncharacterized protein OS=Prunus persica GN=PRUPE_ppa008130mg PE=4 SV=1</t>
  </si>
  <si>
    <t>Uncharacterized protein OS=Prunus persica GN=PRUPE_ppa020837mg PE=4 SV=1</t>
  </si>
  <si>
    <t>Histone H2A OS=Prunus persica GN=PRUPE_ppa012844mg PE=3 SV=1</t>
  </si>
  <si>
    <t>Uncharacterized protein OS=Prunus persica GN=PRUPE_ppa000793mg PE=4 SV=1</t>
  </si>
  <si>
    <t>Uncharacterized protein OS=Prunus persica GN=PRUPE_ppa003414mg PE=3 SV=1</t>
  </si>
  <si>
    <t>Uncharacterized protein OS=Prunus persica GN=PRUPE_ppa003892mg PE=3 SV=1</t>
  </si>
  <si>
    <t>Uncharacterized protein OS=Prunus persica GN=PRUPE_ppa026318mg PE=4 SV=1</t>
  </si>
  <si>
    <t>Uncharacterized protein OS=Prunus persica GN=PRUPE_ppa022122mg PE=3 SV=1</t>
  </si>
  <si>
    <t>Uncharacterized protein OS=Prunus persica GN=PRUPE_ppa016730mg PE=4 SV=1</t>
  </si>
  <si>
    <t>Uncharacterized protein OS=Prunus persica GN=PRUPE_ppa001962mg PE=4 SV=1</t>
  </si>
  <si>
    <t>Casein kinase II subunit beta OS=Prunus persica GN=PRUPE_ppa009433mg PE=3 SV=1</t>
  </si>
  <si>
    <t>Uncharacterized protein OS=Prunus persica GN=PRUPE_ppa007557mg PE=4 SV=1</t>
  </si>
  <si>
    <t>Uncharacterized protein OS=Prunus persica GN=PRUPE_ppa012960mg PE=4 SV=1</t>
  </si>
  <si>
    <t>Uncharacterized protein OS=Prunus persica GN=PRUPE_ppa010962mg PE=3 SV=1</t>
  </si>
  <si>
    <t>Uncharacterized protein OS=Prunus persica GN=PRUPE_ppa001772mg PE=4 SV=1</t>
  </si>
  <si>
    <t>Uncharacterized protein (Fragment) OS=Prunus persica GN=PRUPE_ppa025761mg PE=4 SV=1</t>
  </si>
  <si>
    <t>Uncharacterized protein OS=Prunus persica GN=PRUPE_ppa001636mg PE=4 SV=1</t>
  </si>
  <si>
    <t>Uncharacterized protein OS=Prunus persica GN=PRUPE_ppa000329mg PE=4 SV=1</t>
  </si>
  <si>
    <t>Uncharacterized protein OS=Prunus persica GN=PRUPE_ppa006427mg PE=4 SV=1</t>
  </si>
  <si>
    <t>Putative uncharacterized protein OS=Vitis vinifera GN=VITISV_015896 PE=4 SV=1</t>
  </si>
  <si>
    <t>Uncharacterized protein OS=Prunus persica GN=PRUPE_ppa010842mg PE=4 SV=1</t>
  </si>
  <si>
    <t>Uncharacterized protein OS=Prunus persica GN=PRUPE_ppa005090mg PE=4 SV=1</t>
  </si>
  <si>
    <t>Uncharacterized protein OS=Prunus persica GN=PRUPE_ppa005001mg PE=4 SV=1</t>
  </si>
  <si>
    <t>Uncharacterized protein OS=Prunus persica GN=PRUPE_ppa006000mg PE=4 SV=1</t>
  </si>
  <si>
    <t>Uncharacterized protein OS=Prunus persica GN=PRUPE_ppa005865mg PE=4 SV=1</t>
  </si>
  <si>
    <t>Uncharacterized protein OS=Prunus persica GN=PRUPE_ppa002078mg PE=4 SV=1</t>
  </si>
  <si>
    <t>Uncharacterized protein OS=Prunus persica GN=PRUPE_ppa010129mg PE=4 SV=1</t>
  </si>
  <si>
    <t>Uncharacterized protein OS=Prunus persica GN=PRUPE_ppa002007mg PE=4 SV=1</t>
  </si>
  <si>
    <t>RAB GTPase A5A isoform 2 OS=Theobroma cacao GN=TCM_030381 PE=3 SV=1</t>
  </si>
  <si>
    <t>Uncharacterized protein OS=Prunus persica GN=PRUPE_ppa000152mg PE=4 SV=1</t>
  </si>
  <si>
    <t>Uncharacterized protein OS=Prunus persica GN=PRUPE_ppa011444mg PE=3 SV=1</t>
  </si>
  <si>
    <t>Uncharacterized protein OS=Prunus persica GN=PRUPE_ppa020827mg PE=4 SV=1</t>
  </si>
  <si>
    <t>Uncharacterized protein OS=Brassica oleracea var. oleracea PE=4 SV=1</t>
  </si>
  <si>
    <t>Uncharacterized protein OS=Citrus sinensis GN=CISIN_1g015208mg PE=4 SV=1</t>
  </si>
  <si>
    <t>Uncharacterized protein OS=Eucalyptus grandis GN=EUGRSUZ_F03214 PE=4 SV=1</t>
  </si>
  <si>
    <t>ATPase ASNA1 homolog OS=Prunus persica GN=PRUPE_ppa007743mg PE=3 SV=1</t>
  </si>
  <si>
    <t>Sulfurtransferase OS=Prunus persica GN=PRUPE_ppa007180mg PE=4 SV=1</t>
  </si>
  <si>
    <t>Uncharacterized protein (Fragment) OS=Prunus persica GN=PRUPE_ppa016834mg PE=4 SV=1</t>
  </si>
  <si>
    <t>Uncharacterized protein OS=Prunus persica GN=PRUPE_ppa005083mg PE=4 SV=1</t>
  </si>
  <si>
    <t>Uricase OS=Prunus persica GN=PRUPE_ppa009080mg PE=3 SV=1</t>
  </si>
  <si>
    <t>Uncharacterized protein OS=Prunus persica GN=PRUPE_ppa011915mg PE=4 SV=1</t>
  </si>
  <si>
    <t>Uncharacterized protein OS=Prunus persica GN=PRUPE_ppa018615mg PE=4 SV=1</t>
  </si>
  <si>
    <t>Uncharacterized protein OS=Prunus persica GN=PRUPE_ppa026591mg PE=4 SV=1</t>
  </si>
  <si>
    <t>Uncharacterized protein OS=Prunus persica GN=PRUPE_ppa012630mg PE=4 SV=1</t>
  </si>
  <si>
    <t>Uncharacterized protein OS=Prunus persica GN=PRUPE_ppa001750mg PE=4 SV=1</t>
  </si>
  <si>
    <t>Calcineurin B-like protein CBL10 OS=Pyrus betulifolia PE=2 SV=1</t>
  </si>
  <si>
    <t>Uncharacterized protein OS=Prunus persica GN=PRUPE_ppa024027mg PE=4 SV=1</t>
  </si>
  <si>
    <t>Uncharacterized protein OS=Prunus persica GN=PRUPE_ppa012270mg PE=4 SV=1</t>
  </si>
  <si>
    <t>Uncharacterized protein OS=Prunus persica GN=PRUPE_ppa000313mg PE=3 SV=1</t>
  </si>
  <si>
    <t>Glutathione peroxidase OS=Prunus persica GN=PRUPE_ppa012416mg PE=3 SV=1</t>
  </si>
  <si>
    <t>Uncharacterized protein (Fragment) OS=Prunus persica GN=PRUPE_ppa014663mg PE=4 SV=1</t>
  </si>
  <si>
    <t>50S ribosomal protein L20 OS=Prunus persica GN=PRUPE_ppa013387mg PE=3 SV=1</t>
  </si>
  <si>
    <t>Uncharacterized protein (Fragment) OS=Prunus persica GN=PRUPE_ppa025472mg PE=4 SV=1</t>
  </si>
  <si>
    <t>Uncharacterized protein OS=Prunus persica GN=PRUPE_ppa002374mg PE=4 SV=1</t>
  </si>
  <si>
    <t>Uncharacterized protein (Fragment) OS=Prunus persica GN=PRUPE_ppa015923mg PE=4 SV=1</t>
  </si>
  <si>
    <t>Uncharacterized protein OS=Prunus persica GN=PRUPE_ppa003331mg PE=4 SV=1</t>
  </si>
  <si>
    <t>Dihydrolipoyl dehydrogenase OS=Prunus persica GN=PRUPE_ppa004441mg PE=4 SV=1</t>
  </si>
  <si>
    <t>Uncharacterized protein OS=Prunus persica GN=PRUPE_ppa023991mg PE=4 SV=1</t>
  </si>
  <si>
    <t>Uncharacterized protein OS=Prunus persica GN=PRUPE_ppa012054mg PE=3 SV=1</t>
  </si>
  <si>
    <t>Uncharacterized protein OS=Prunus persica GN=PRUPE_ppa002233mg PE=4 SV=1</t>
  </si>
  <si>
    <t>Uncharacterized protein OS=Prunus persica GN=PRUPE_ppa000003mg PE=4 SV=1</t>
  </si>
  <si>
    <t>Uncharacterized protein OS=Prunus persica GN=PRUPE_ppa018837mg PE=4 SV=1</t>
  </si>
  <si>
    <t>Uncharacterized protein OS=Prunus persica GN=PRUPE_ppa010240mg PE=4 SV=1</t>
  </si>
  <si>
    <t>Uncharacterized protein (Fragment) OS=Prunus persica GN=PRUPE_ppa023494mg PE=4 SV=1</t>
  </si>
  <si>
    <t>Adenylosuccinate synthetase, chloroplastic OS=Prunus persica GN=PURA PE=3 SV=1</t>
  </si>
  <si>
    <t>Nascent polypeptide-associated complex subunit beta OS=Prunus persica GN=PRUPE_ppa012487mg PE=3 SV=1</t>
  </si>
  <si>
    <t>Uncharacterized protein OS=Prunus persica GN=PRUPE_ppa002407mg PE=4 SV=1</t>
  </si>
  <si>
    <t>Non-specific lipid-transfer protein OS=Prunus persica GN=PRUPE_ppa013428mg PE=3 SV=1</t>
  </si>
  <si>
    <t>Uncharacterized protein OS=Prunus persica GN=PRUPE_ppa026768mg PE=4 SV=1</t>
  </si>
  <si>
    <t>Uncharacterized protein OS=Prunus persica GN=PRUPE_ppa012591mg PE=4 SV=1</t>
  </si>
  <si>
    <t>Uncharacterized protein OS=Prunus persica GN=PRUPE_ppa013143mg PE=4 SV=1</t>
  </si>
  <si>
    <t>Uncharacterized protein OS=Prunus persica GN=PRUPE_ppa009922mg PE=4 SV=1</t>
  </si>
  <si>
    <t>Uncharacterized protein OS=Prunus persica GN=PRUPE_ppa017131mg PE=4 SV=1</t>
  </si>
  <si>
    <t>DNA-directed RNA polymerase OS=Prunus persica GN=PRUPE_ppa000088mg PE=3 SV=1</t>
  </si>
  <si>
    <t>Uncharacterized protein OS=Morus notabilis GN=L484_007254 PE=4 SV=1</t>
  </si>
  <si>
    <t>Uncharacterized protein OS=Prunus persica GN=PRUPE_ppa021625mg PE=3 SV=1</t>
  </si>
  <si>
    <t>Uncharacterized protein OS=Prunus persica GN=PRUPE_ppa000862mg PE=4 SV=1</t>
  </si>
  <si>
    <t>Uncharacterized protein OS=Prunus persica GN=PRUPE_ppa005793mg PE=4 SV=1</t>
  </si>
  <si>
    <t>Uncharacterized protein OS=Prunus persica GN=PRUPE_ppa006679mg PE=4 SV=1</t>
  </si>
  <si>
    <t>Inosine triphosphate pyrophosphatase OS=Prunus persica GN=PRUPE_ppa011586mg PE=3 SV=1</t>
  </si>
  <si>
    <t>Uncharacterized protein OS=Prunus persica GN=PRUPE_ppa023872mg PE=4 SV=1</t>
  </si>
  <si>
    <t>Uncharacterized protein OS=Prunus persica GN=PRUPE_ppa001692mg PE=4 SV=1</t>
  </si>
  <si>
    <t>Uncharacterized protein OS=Prunus persica GN=PRUPE_ppa002958mg PE=4 SV=1</t>
  </si>
  <si>
    <t>Uncharacterized protein OS=Prunus persica GN=PRUPE_ppa007889mg PE=4 SV=1</t>
  </si>
  <si>
    <t>Uncharacterized protein (Fragment) OS=Prunus persica GN=PRUPE_ppa015942mg PE=4 SV=1</t>
  </si>
  <si>
    <t>Uncharacterized protein OS=Prunus persica GN=PRUPE_ppa002287mg PE=4 SV=1</t>
  </si>
  <si>
    <t>Uncharacterized protein OS=Prunus persica GN=PRUPE_ppa005213mg PE=4 SV=1</t>
  </si>
  <si>
    <t>Uncharacterized protein OS=Prunus persica GN=PRUPE_ppa003351mg PE=4 SV=1</t>
  </si>
  <si>
    <t>Formin-like protein OS=Prunus persica GN=PRUPE_ppa000314mg PE=3 SV=1</t>
  </si>
  <si>
    <t>Uncharacterized protein OS=Prunus persica GN=PRUPE_ppa001041mg PE=3 SV=1</t>
  </si>
  <si>
    <t>Uncharacterized protein OS=Prunus persica GN=PRUPE_ppa010140mg PE=4 SV=1</t>
  </si>
  <si>
    <t>Uncharacterized protein OS=Prunus persica GN=PRUPE_ppa010527mg PE=4 SV=1</t>
  </si>
  <si>
    <t>Expansin OS=Prunus persica GN=PpExp2 PE=2 SV=1</t>
  </si>
  <si>
    <t>Adenylyl cyclase-associated protein OS=Prunus persica GN=PRUPE_ppa005136mg PE=3 SV=1</t>
  </si>
  <si>
    <t>Uncharacterized protein OS=Prunus persica GN=PRUPE_ppa025121mg PE=4 SV=1</t>
  </si>
  <si>
    <t>Uncharacterized protein OS=Prunus persica GN=PRUPE_ppa017255mg PE=4 SV=1</t>
  </si>
  <si>
    <t>Uncharacterized protein OS=Prunus persica GN=PRUPE_ppa007236mg PE=3 SV=1</t>
  </si>
  <si>
    <t>Uncharacterized protein OS=Prunus persica GN=PRUPE_ppa007679mg PE=4 SV=1</t>
  </si>
  <si>
    <t>Uncharacterized protein OS=Prunus persica GN=PRUPE_ppa013137mg PE=4 SV=1</t>
  </si>
  <si>
    <t>Uncharacterized protein OS=Prunus persica GN=PRUPE_ppa003448mg PE=3 SV=1</t>
  </si>
  <si>
    <t>Uncharacterized protein OS=Prunus persica GN=PRUPE_ppa004129mg PE=4 SV=1</t>
  </si>
  <si>
    <t>Uncharacterized protein OS=Prunus persica GN=PRUPE_ppa000613mg PE=4 SV=1</t>
  </si>
  <si>
    <t>Uncharacterized protein OS=Prunus persica GN=PRUPE_ppa005709mg PE=4 SV=1</t>
  </si>
  <si>
    <t>Uncharacterized protein OS=Prunus persica GN=PRUPE_ppa002964mg PE=3 SV=1</t>
  </si>
  <si>
    <t>Uncharacterized protein OS=Prunus persica GN=PRUPE_ppa003468mg PE=3 SV=1</t>
  </si>
  <si>
    <t>Uncharacterized protein OS=Prunus persica GN=PRUPE_ppa011333mg PE=4 SV=1</t>
  </si>
  <si>
    <t>Uncharacterized protein OS=Prunus persica GN=PRUPE_ppa011012mg PE=4 SV=1</t>
  </si>
  <si>
    <t>Uncharacterized protein OS=Prunus persica GN=PRUPE_ppa012729mg PE=3 SV=1</t>
  </si>
  <si>
    <t>Uncharacterized protein OS=Prunus persica GN=PRUPE_ppa001780mg PE=4 SV=1</t>
  </si>
  <si>
    <t>Uncharacterized protein OS=Prunus persica GN=PRUPE_ppa019209mg PE=4 SV=1</t>
  </si>
  <si>
    <t>Uncharacterized protein OS=Prunus persica GN=PRUPE_ppa021424mg PE=4 SV=1</t>
  </si>
  <si>
    <t>Uncharacterized protein OS=Prunus persica GN=PRUPE_ppa007102mg PE=4 SV=1</t>
  </si>
  <si>
    <t>Uncharacterized protein OS=Prunus persica GN=PRUPE_ppa023737mg PE=4 SV=1</t>
  </si>
  <si>
    <t>Uncharacterized protein OS=Prunus persica GN=PRUPE_ppa004004mg PE=4 SV=1</t>
  </si>
  <si>
    <t>Uncharacterized protein OS=Prunus persica GN=PRUPE_ppa000988mg PE=4 SV=1</t>
  </si>
  <si>
    <t>Uncharacterized protein OS=Jatropha curcas GN=JCGZ_17664 PE=4 SV=1</t>
  </si>
  <si>
    <t>Uncharacterized protein OS=Prunus persica GN=PRUPE_ppa015320mg PE=4 SV=1</t>
  </si>
  <si>
    <t>Uncharacterized protein OS=Prunus persica GN=PRUPE_ppa001673mg PE=4 SV=1</t>
  </si>
  <si>
    <t>Uncharacterized protein OS=Prunus persica GN=PRUPE_ppa014674mg PE=4 SV=1</t>
  </si>
  <si>
    <t>Uncharacterized protein OS=Prunus persica GN=PRUPE_ppa010385mg PE=3 SV=1</t>
  </si>
  <si>
    <t>Uncharacterized protein OS=Prunus persica GN=PRUPE_ppa026597mg PE=4 SV=1</t>
  </si>
  <si>
    <t>Uncharacterized protein OS=Prunus persica GN=PRUPE_ppa020378mg PE=4 SV=1</t>
  </si>
  <si>
    <t>Endo-polygalacturonase OS=Prunus persica GN=Endo-PG PE=2 SV=1</t>
  </si>
  <si>
    <t>Glutamine synthetase OS=Fusarium oxysporum f. sp. raphani 54005 GN=FOQG_06824 PE=3 SV=1</t>
  </si>
  <si>
    <t>Uncharacterized protein OS=Prunus persica GN=PRUPE_ppa012003mg PE=4 SV=1</t>
  </si>
  <si>
    <t>Uncharacterized protein OS=Prunus persica GN=PRUPE_ppa016687mg PE=4 SV=1</t>
  </si>
  <si>
    <t>Uncharacterized protein OS=Prunus persica GN=PRUPE_ppa001497mg PE=4 SV=1</t>
  </si>
  <si>
    <t>Uncharacterized protein OS=Prunus persica GN=PRUPE_ppa012876mg PE=4 SV=1</t>
  </si>
  <si>
    <t>Uncharacterized protein (Fragment) OS=Prunus persica GN=PRUPE_ppa023423mg PE=3 SV=1</t>
  </si>
  <si>
    <t>Uncharacterized protein OS=Prunus persica GN=PRUPE_ppa000216mg PE=4 SV=1</t>
  </si>
  <si>
    <t>Uncharacterized protein OS=Prunus persica GN=PRUPE_ppa008158mg PE=4 SV=1</t>
  </si>
  <si>
    <t>Uncharacterized protein OS=Prunus persica GN=PRUPE_ppa016826mg PE=4 SV=1</t>
  </si>
  <si>
    <t>Uncharacterized protein OS=Prunus persica GN=PRUPE_ppa002676mg PE=4 SV=1</t>
  </si>
  <si>
    <t>Putative uncharacterized protein OS=Vitis vinifera GN=VITISV_042737 PE=4 SV=1</t>
  </si>
  <si>
    <t>Uncharacterized protein OS=Prunus persica GN=PRUPE_ppa004438mg PE=4 SV=1</t>
  </si>
  <si>
    <t>Uncharacterized protein OS=Prunus persica GN=PRUPE_ppa005302mg PE=4 SV=1</t>
  </si>
  <si>
    <t>Uncharacterized protein OS=Prunus persica GN=PRUPE_ppa007994mg PE=4 SV=1</t>
  </si>
  <si>
    <t>Uncharacterized protein OS=Prunus persica GN=PRUPE_ppa009015mg PE=4 SV=1</t>
  </si>
  <si>
    <t>Serine/threonine-protein kinase OS=Eucalyptus grandis GN=EUGRSUZ_D02307 PE=3 SV=1</t>
  </si>
  <si>
    <t>Uncharacterized protein OS=Prunus persica GN=PRUPE_ppa011264mg PE=4 SV=1</t>
  </si>
  <si>
    <t>Uncharacterized protein OS=Prunus persica GN=PRUPE_ppa001503mg PE=3 SV=1</t>
  </si>
  <si>
    <t>Uncharacterized protein OS=Prunus persica GN=PRUPE_ppa000474mg PE=4 SV=1</t>
  </si>
  <si>
    <t>Uncharacterized protein OS=Prunus persica GN=PRUPE_ppa000139mg PE=4 SV=1</t>
  </si>
  <si>
    <t>Uncharacterized protein OS=Prunus persica GN=PRUPE_ppa014884mg PE=4 SV=1</t>
  </si>
  <si>
    <t>Uncharacterized protein (Fragment) OS=Prunus persica GN=PRUPE_ppa020438mg PE=4 SV=1</t>
  </si>
  <si>
    <t>Uncharacterized protein OS=Prunus persica GN=PRUPE_ppa012605mg PE=4 SV=1</t>
  </si>
  <si>
    <t>Uncharacterized protein OS=Prunus persica GN=PRUPE_ppa008422mg PE=4 SV=1</t>
  </si>
  <si>
    <t>Uncharacterized protein OS=Prunus persica GN=PRUPE_ppa011243mg PE=3 SV=1</t>
  </si>
  <si>
    <t>Uncharacterized protein OS=Prunus persica GN=PRUPE_ppa003064mg PE=4 SV=1</t>
  </si>
  <si>
    <t>Uncharacterized protein (Fragment) OS=Prunus persica GN=PRUPE_ppa025178mg PE=4 SV=1</t>
  </si>
  <si>
    <t>Uncharacterized protein OS=Prunus persica GN=PRUPE_ppa006577mg PE=4 SV=1</t>
  </si>
  <si>
    <t>Carotenoid cleavage dioxygenase 4 OS=Prunus persica GN=ccd4 PE=4 SV=1</t>
  </si>
  <si>
    <t>Putative uncharacterized protein OS=Vitis vinifera GN=VITISV_015109 PE=4 SV=1</t>
  </si>
  <si>
    <t>Uncharacterized protein OS=Prunus persica GN=PRUPE_ppa012470mg PE=4 SV=1</t>
  </si>
  <si>
    <t>Uncharacterized protein (Fragment) OS=Prunus persica GN=PRUPE_ppa022063mg PE=4 SV=1</t>
  </si>
  <si>
    <t>Uncharacterized protein OS=Prunus persica GN=PRUPE_ppa009298mg PE=4 SV=1</t>
  </si>
  <si>
    <t>Uncharacterized protein OS=Prunus persica GN=PRUPE_ppa005273mg PE=4 SV=1</t>
  </si>
  <si>
    <t>Uncharacterized protein OS=Prunus persica GN=PRUPE_ppa001058mg PE=4 SV=1</t>
  </si>
  <si>
    <t>Uncharacterized protein (Fragment) OS=Prunus persica GN=PRUPE_ppa026217mg PE=4 SV=1</t>
  </si>
  <si>
    <t>Uncharacterized protein OS=Prunus persica GN=PRUPE_ppa016004mg PE=3 SV=1</t>
  </si>
  <si>
    <t>Uncharacterized protein OS=Prunus persica GN=PRUPE_ppa010353mg PE=4 SV=1</t>
  </si>
  <si>
    <t>Fructose-bisphosphate aldolase OS=Prunus persica GN=PRUPE_ppa007696mg PE=3 SV=1</t>
  </si>
  <si>
    <t>Uncharacterized protein OS=Prunus persica GN=PRUPE_ppa025644mg PE=4 SV=1</t>
  </si>
  <si>
    <t>Uncharacterized protein OS=Prunus persica GN=PRUPE_ppa005367mg PE=4 SV=1</t>
  </si>
  <si>
    <t>Uncharacterized protein OS=Prunus persica GN=PRUPE_ppa012788mg PE=3 SV=1</t>
  </si>
  <si>
    <t>Uncharacterized protein OS=Prunus persica GN=PRUPE_ppa007926mg PE=4 SV=1</t>
  </si>
  <si>
    <t>Uncharacterized protein OS=Prunus persica GN=PRUPE_ppa009181mg PE=4 SV=1</t>
  </si>
  <si>
    <t>Uncharacterized protein OS=Prunus persica GN=PRUPE_ppa021527mg PE=4 SV=1</t>
  </si>
  <si>
    <t>BnaA01g34100D protein OS=Brassica napus GN=BnaA01g34100D PE=3 SV=1</t>
  </si>
  <si>
    <t>Photosystem II reaction center Psb28 protein OS=Prunus persica GN=PRUPE_ppa012196mg PE=3 SV=1</t>
  </si>
  <si>
    <t>Uncharacterized protein OS=Prunus persica GN=PRUPE_ppa003343mg PE=4 SV=1</t>
  </si>
  <si>
    <t>Uncharacterized protein OS=Prunus persica GN=PRUPE_ppa010806mg PE=4 SV=1</t>
  </si>
  <si>
    <t>Uncharacterized protein OS=Prunus persica GN=PRUPE_ppa015045mg PE=4 SV=1</t>
  </si>
  <si>
    <t>Uncharacterized protein OS=Prunus persica GN=PRUPE_ppa000356mg PE=3 SV=1</t>
  </si>
  <si>
    <t>Uncharacterized protein OS=Prunus persica GN=PRUPE_ppa011519mg PE=4 SV=1</t>
  </si>
  <si>
    <t>Uncharacterized protein OS=Prunus persica GN=PRUPE_ppa006924mg PE=3 SV=1</t>
  </si>
  <si>
    <t>Uncharacterized protein OS=Prunus persica GN=PRUPE_ppa006845mg PE=4 SV=1</t>
  </si>
  <si>
    <t>Uncharacterized protein OS=Prunus persica GN=PRUPE_ppa010543mg PE=3 SV=1</t>
  </si>
  <si>
    <t>Protein argonaute OS=Prunus persica GN=PRUPE_ppa001137mg PE=3 SV=1</t>
  </si>
  <si>
    <t>Uncharacterized protein OS=Prunus persica GN=PRUPE_ppa012057mg PE=4 SV=1</t>
  </si>
  <si>
    <t>Uncharacterized protein OS=Prunus persica GN=PRUPE_ppa011928mg PE=4 SV=1</t>
  </si>
  <si>
    <t>Uncharacterized protein OS=Prunus persica GN=PRUPE_ppa011900mg PE=4 SV=1</t>
  </si>
  <si>
    <t>Uncharacterized protein OS=Prunus persica GN=PRUPE_ppa011893mg PE=4 SV=1</t>
  </si>
  <si>
    <t>Uncharacterized protein OS=Prunus persica GN=PRUPE_ppa022366mg PE=4 SV=1</t>
  </si>
  <si>
    <t>Uncharacterized protein OS=Prunus persica GN=PRUPE_ppa023761mg PE=3 SV=1</t>
  </si>
  <si>
    <t>Uncharacterized protein OS=Prunus persica GN=PRUPE_ppa019572mg PE=4 SV=1</t>
  </si>
  <si>
    <t>Uncharacterized protein OS=Prunus persica GN=PRUPE_ppa007830mg PE=4 SV=1</t>
  </si>
  <si>
    <t>Uncharacterized protein OS=Prunus persica GN=PRUPE_ppa022201mg PE=4 SV=1</t>
  </si>
  <si>
    <t>Uncharacterized protein OS=Prunus persica GN=PRUPE_ppa022775mg PE=4 SV=1</t>
  </si>
  <si>
    <t>Uncharacterized protein OS=Prunus persica GN=PRUPE_ppa011465mg PE=4 SV=1</t>
  </si>
  <si>
    <t>Uncharacterized protein OS=Prunus persica GN=PRUPE_ppa018533mg PE=4 SV=1</t>
  </si>
  <si>
    <t>Uncharacterized protein OS=Morus notabilis GN=L484_007350 PE=3 SV=1</t>
  </si>
  <si>
    <t>Uncharacterized protein OS=Prunus persica GN=PRUPE_ppa026308mg PE=4 SV=1</t>
  </si>
  <si>
    <t>Uncharacterized protein OS=Prunus persica GN=PRUPE_ppa001614mg PE=3 SV=1</t>
  </si>
  <si>
    <t>Uncharacterized protein (Fragment) OS=Prunus persica GN=PRUPE_ppa023148mg PE=4 SV=1</t>
  </si>
  <si>
    <t>Uncharacterized protein OS=Prunus persica GN=PRUPE_ppa001891mg PE=4 SV=1</t>
  </si>
  <si>
    <t>Pectate lyase OS=Prunus persica GN=PRUPE_ppa006665mg PE=3 SV=1</t>
  </si>
  <si>
    <t>Uncharacterized protein (Fragment) OS=Prunus persica GN=PRUPE_ppa019364mg PE=4 SV=1</t>
  </si>
  <si>
    <t>Uncharacterized protein OS=Prunus persica GN=PRUPE_ppa010298mg PE=4 SV=1</t>
  </si>
  <si>
    <t>Uncharacterized protein OS=Gossypium raimondii GN=B456_006G146400 PE=4 SV=1</t>
  </si>
  <si>
    <t>Peroxisome biogenesis protein 12 OS=Prunus persica GN=PRUPE_ppa006828mg PE=3 SV=1</t>
  </si>
  <si>
    <t>Uncharacterized protein OS=Prunus persica GN=PRUPE_ppa021184mg PE=4 SV=1</t>
  </si>
  <si>
    <t>Uncharacterized protein OS=Prunus persica GN=PRUPE_ppa000105mg PE=4 SV=1</t>
  </si>
  <si>
    <t>Uncharacterized protein OS=Prunus persica GN=PRUPE_ppa010783mg PE=4 SV=1</t>
  </si>
  <si>
    <t>Uncharacterized protein OS=Prunus persica GN=PRUPE_ppa000220mg PE=4 SV=1</t>
  </si>
  <si>
    <t>Uncharacterized protein OS=Prunus persica GN=PRUPE_ppa011370mg PE=4 SV=1</t>
  </si>
  <si>
    <t>Uncharacterized protein OS=Prunus persica GN=PRUPE_ppa000071mg PE=4 SV=1</t>
  </si>
  <si>
    <t>Uncharacterized protein (Fragment) OS=Prunus persica GN=PRUPE_ppa019444mg PE=4 SV=1</t>
  </si>
  <si>
    <t>Uncharacterized protein OS=Prunus persica GN=PRUPE_ppa014751mg PE=4 SV=1</t>
  </si>
  <si>
    <t>Uncharacterized protein OS=Prunus persica GN=PRUPE_ppa023216mg PE=4 SV=1</t>
  </si>
  <si>
    <t>Uncharacterized protein OS=Prunus persica GN=PRUPE_ppa010460mg PE=4 SV=1</t>
  </si>
  <si>
    <t>Uncharacterized protein OS=Prunus persica GN=PRUPE_ppa017425mg PE=4 SV=1</t>
  </si>
  <si>
    <t>Uncharacterized protein OS=Eucalyptus grandis GN=EUGRSUZ_K02783 PE=4 SV=1</t>
  </si>
  <si>
    <t>Potassium transporter OS=Morus notabilis GN=L484_008412 PE=3 SV=1</t>
  </si>
  <si>
    <t>Sodium-bile acid cotransporter, putative OS=Ricinus communis GN=RCOM_0494130 PE=4 SV=1</t>
  </si>
  <si>
    <t>Uncharacterized protein OS=Prunus persica GN=PRUPE_ppa008154mg PE=4 SV=1</t>
  </si>
  <si>
    <t>Uncharacterized protein OS=Prunus persica GN=PRUPE_ppa008643mg PE=4 SV=1</t>
  </si>
  <si>
    <t>Uncharacterized protein OS=Prunus persica GN=PRUPE_ppa002253mg PE=4 SV=1</t>
  </si>
  <si>
    <t>Uncharacterized protein OS=Prunus persica GN=PRUPE_ppb021180mg PE=4 SV=1</t>
  </si>
  <si>
    <t>Uncharacterized protein OS=Prunus persica GN=PRUPE_ppa003545mg PE=4 SV=1</t>
  </si>
  <si>
    <t>DNA-directed RNA polymerase OS=Prunus persica GN=PRUPE_ppa000780mg PE=3 SV=1</t>
  </si>
  <si>
    <t>Uncharacterized protein (Fragment) OS=Prunus persica GN=PRUPE_ppa021808mg PE=4 SV=1</t>
  </si>
  <si>
    <t>Purple acid phosphatase OS=Prunus persica GN=PRUPE_ppa003061mg PE=3 SV=1</t>
  </si>
  <si>
    <t>Uncharacterized protein OS=Prunus persica GN=PRUPE_ppa010390mg PE=4 SV=1</t>
  </si>
  <si>
    <t>Putative uncharacterized protein OS=Vitis vinifera GN=VITISV_011863 PE=4 SV=1</t>
  </si>
  <si>
    <t>Uncharacterized protein OS=Prunus persica GN=PRUPE_ppa007284mg PE=4 SV=1</t>
  </si>
  <si>
    <t>Uncharacterized protein OS=Prunus persica GN=PRUPE_ppa002002mg PE=4 SV=1</t>
  </si>
  <si>
    <t>Uncharacterized protein OS=Prunus persica GN=PRUPE_ppa007463mg PE=3 SV=1</t>
  </si>
  <si>
    <t>Uncharacterized protein (Fragment) OS=Prunus persica GN=PRUPE_ppa014747mg PE=4 SV=1</t>
  </si>
  <si>
    <t>Uncharacterized protein OS=Prunus persica GN=PRUPE_ppa021931mg PE=4 SV=1</t>
  </si>
  <si>
    <t>Uncharacterized protein OS=Prunus persica GN=PRUPE_ppa008008mg PE=3 SV=1</t>
  </si>
  <si>
    <t>Uncharacterized protein OS=Prunus persica GN=PRUPE_ppa013673mg PE=4 SV=1</t>
  </si>
  <si>
    <t>Uncharacterized protein OS=Prunus persica GN=PRUPE_ppa014905mg PE=4 SV=1</t>
  </si>
  <si>
    <t>Uncharacterized protein OS=Prunus persica GN=PRUPE_ppa013321mg PE=4 SV=1</t>
  </si>
  <si>
    <t>Uncharacterized protein OS=Prunus persica GN=PRUPE_ppa022492mg PE=4 SV=1</t>
  </si>
  <si>
    <t>Uncharacterized protein OS=Prunus persica GN=PRUPE_ppa022471mg PE=4 SV=1</t>
  </si>
  <si>
    <t>Uncharacterized protein OS=Prunus persica GN=PRUPE_ppa009023mg PE=4 SV=1</t>
  </si>
  <si>
    <t>Uncharacterized protein OS=Prunus persica GN=PRUPE_ppa012445mg PE=4 SV=1</t>
  </si>
  <si>
    <t>Uncharacterized protein OS=Prunus persica GN=PRUPE_ppa010529mg PE=4 SV=1</t>
  </si>
  <si>
    <t>Uncharacterized protein OS=Prunus persica GN=PRUPE_ppa003701mg PE=3 SV=1</t>
  </si>
  <si>
    <t>Uncharacterized protein OS=Prunus persica GN=PRUPE_ppa007441mg PE=3 SV=1</t>
  </si>
  <si>
    <t>40S ribosomal protein S8 OS=Lotus japonicus PE=2 SV=1</t>
  </si>
  <si>
    <t>Uncharacterized protein OS=Prunus persica GN=PRUPE_ppa019323mg PE=4 SV=1</t>
  </si>
  <si>
    <t>Uncharacterized protein (Fragment) OS=Prunus persica GN=PRUPE_ppa020287mg PE=4 SV=1</t>
  </si>
  <si>
    <t>Uncharacterized protein OS=Prunus persica GN=PRUPE_ppa003995mg PE=4 SV=1</t>
  </si>
  <si>
    <t>Kinesin-like protein (Fragment) OS=Prunus persica GN=PRUPE_ppa022126mg PE=3 SV=1</t>
  </si>
  <si>
    <t>Uncharacterized protein OS=Prunus persica GN=PRUPE_ppa006632mg PE=4 SV=1</t>
  </si>
  <si>
    <t>Uncharacterized protein OS=Prunus persica GN=PRUPE_ppa016371mg PE=4 SV=1</t>
  </si>
  <si>
    <t>Uncharacterized protein OS=Prunus persica GN=PRUPE_ppa000864mg PE=4 SV=1</t>
  </si>
  <si>
    <t>Uncharacterized protein OS=Prunus persica GN=PRUPE_ppa007212mg PE=4 SV=1</t>
  </si>
  <si>
    <t>Uncharacterized protein OS=Prunus persica GN=PRUPE_ppa004418mg PE=4 SV=1</t>
  </si>
  <si>
    <t>Uncharacterized protein OS=Prunus persica GN=PRUPE_ppa011697mg PE=4 SV=1</t>
  </si>
  <si>
    <t>Uncharacterized protein OS=Prunus persica GN=PRUPE_ppa006723mg PE=4 SV=1</t>
  </si>
  <si>
    <t>Elongation of fatty acids protein OS=Cordyceps militaris (strain CM01) GN=CCM_03752 PE=3 SV=1</t>
  </si>
  <si>
    <t>MATE efflux family protein OS=Prunus persica GN=PRUPE_ppa004360mg PE=3 SV=1</t>
  </si>
  <si>
    <t>Uncharacterized protein OS=Prunus persica GN=PRUPE_ppa004565mg PE=3 SV=1</t>
  </si>
  <si>
    <t>Uncharacterized protein OS=Prunus persica GN=PRUPE_ppa005085mg PE=4 SV=1</t>
  </si>
  <si>
    <t>Uncharacterized protein OS=Prunus persica GN=PRUPE_ppa023388mg PE=4 SV=1</t>
  </si>
  <si>
    <t>Uncharacterized protein (Fragment) OS=Prunus persica GN=PRUPE_ppb016160mg PE=4 SV=1</t>
  </si>
  <si>
    <t>Uncharacterized protein OS=Prunus persica GN=PRUPE_ppa009047mg PE=4 SV=1</t>
  </si>
  <si>
    <t>Uncharacterized protein OS=Prunus persica GN=PRUPE_ppa012908mg PE=4 SV=1</t>
  </si>
  <si>
    <t>Uncharacterized protein OS=Prunus persica GN=PRUPE_ppa023482mg PE=4 SV=1</t>
  </si>
  <si>
    <t>Protein ROOT HAIR DEFECTIVE 3 homolog OS=Prunus persica GN=PRUPE_ppa026399mg PE=3 SV=1</t>
  </si>
  <si>
    <t>Uncharacterized protein OS=Prunus persica GN=PRUPE_ppb025026mg PE=4 SV=1</t>
  </si>
  <si>
    <t>Uncharacterized protein OS=Prunus persica GN=PRUPE_ppa013448mg PE=4 SV=1</t>
  </si>
  <si>
    <t>Uncharacterized protein OS=Prunus persica GN=PRUPE_ppa022089mg PE=4 SV=1</t>
  </si>
  <si>
    <t>Uncharacterized protein OS=Prunus persica GN=PRUPE_ppa011348mg PE=4 SV=1</t>
  </si>
  <si>
    <t>Uncharacterized protein OS=Prunus persica GN=PRUPE_ppa009340mg PE=4 SV=1</t>
  </si>
  <si>
    <t>Autophagy-related protein OS=Prunus persica GN=PRUPE_ppa013505mg PE=3 SV=1</t>
  </si>
  <si>
    <t>Uncharacterized protein OS=Prunus persica GN=PRUPE_ppa004526mg PE=4 SV=1</t>
  </si>
  <si>
    <t>Uncharacterized protein (Fragment) OS=Prunus persica GN=PRUPE_ppa015921mg PE=4 SV=1</t>
  </si>
  <si>
    <t>Uncharacterized protein (Fragment) OS=Prunus persica GN=PRUPE_ppa017361mg PE=4 SV=1</t>
  </si>
  <si>
    <t>Uncharacterized protein OS=Prunus persica GN=PRUPE_ppa009243mg PE=4 SV=1</t>
  </si>
  <si>
    <t>Uncharacterized protein OS=Prunus persica GN=PRUPE_ppa000006mg PE=4 SV=1</t>
  </si>
  <si>
    <t>Uncharacterized protein OS=Prunus persica GN=PRUPE_ppa020159mg PE=4 SV=1</t>
  </si>
  <si>
    <t>Uncharacterized protein OS=Prunus persica GN=PRUPE_ppa002279mg PE=4 SV=1</t>
  </si>
  <si>
    <t>Uncharacterized protein OS=Prunus persica GN=PRUPE_ppa003158mg PE=4 SV=1</t>
  </si>
  <si>
    <t>Uncharacterized protein OS=Prunus persica GN=PRUPE_ppa000408mg PE=4 SV=1</t>
  </si>
  <si>
    <t>Uncharacterized protein OS=Prunus persica GN=PRUPE_ppa002060mg PE=4 SV=1</t>
  </si>
  <si>
    <t>Uncharacterized protein OS=Prunus persica GN=PRUPE_ppa000147mg PE=4 SV=1</t>
  </si>
  <si>
    <t>DNA-directed RNA polymerase OS=Prunus kansuensis GN=rpoC1 PE=3 SV=1</t>
  </si>
  <si>
    <t>Uncharacterized protein OS=Prunus persica GN=PRUPE_ppa002186mg PE=4 SV=1</t>
  </si>
  <si>
    <t>V-type proton ATPase subunit a OS=Prunus persica GN=PRUPE_ppa001470mg PE=3 SV=1</t>
  </si>
  <si>
    <t>Uncharacterized protein OS=Prunus persica GN=PRUPE_ppa003963mg PE=4 SV=1</t>
  </si>
  <si>
    <t>Uncharacterized protein OS=Prunus persica GN=PRUPE_ppb003056mg PE=4 SV=1</t>
  </si>
  <si>
    <t>Uncharacterized protein (Fragment) OS=Prunus persica GN=PRUPE_ppa016431mg PE=3 SV=1</t>
  </si>
  <si>
    <t>Uncharacterized protein OS=Prunus persica GN=PRUPE_ppa000844mg PE=4 SV=1</t>
  </si>
  <si>
    <t>Uncharacterized protein OS=Prunus persica GN=PRUPE_ppa006555mg PE=4 SV=1</t>
  </si>
  <si>
    <t>Uncharacterized protein OS=Prunus persica GN=PRUPE_ppa005027mg PE=4 SV=1</t>
  </si>
  <si>
    <t>Uncharacterized protein OS=Prunus persica GN=PRUPE_ppa012698mg PE=4 SV=1</t>
  </si>
  <si>
    <t>Uncharacterized protein OS=Prunus persica GN=PRUPE_ppa000354mg PE=4 SV=1</t>
  </si>
  <si>
    <t>Uncharacterized protein OS=Prunus persica GN=PRUPE_ppa000735mg PE=4 SV=1</t>
  </si>
  <si>
    <t>Uncharacterized protein OS=Prunus persica GN=PRUPE_ppa005565mg PE=4 SV=1</t>
  </si>
  <si>
    <t>Uncharacterized protein OS=Prunus persica GN=PRUPE_ppa012708mg PE=4 SV=1</t>
  </si>
  <si>
    <t>Uncharacterized protein OS=Prunus persica GN=PRUPE_ppa007030mg PE=3 SV=1</t>
  </si>
  <si>
    <t>Uncharacterized protein OS=Prunus persica GN=PRUPE_ppa011912mg PE=4 SV=1</t>
  </si>
  <si>
    <t>Serine/threonine-protein kinase OS=Prunus persica GN=PRUPE_ppa016527mg PE=3 SV=1</t>
  </si>
  <si>
    <t>Uncharacterized protein OS=Prunus persica GN=PRUPE_ppa005836mg PE=4 SV=1</t>
  </si>
  <si>
    <t>Uncharacterized protein OS=Oryza punctata PE=4 SV=1</t>
  </si>
  <si>
    <t>HVA22-like protein OS=Prunus persica GN=PRUPE_ppa013097mg PE=3 SV=1</t>
  </si>
  <si>
    <t>Uncharacterized protein OS=Prunus persica GN=PRUPE_ppa017178mg PE=4 SV=1</t>
  </si>
  <si>
    <t>Uncharacterized protein (Fragment) OS=Prunus persica GN=PRUPE_ppa020142mg PE=4 SV=1</t>
  </si>
  <si>
    <t>Uncharacterized protein OS=Prunus persica GN=PRUPE_ppa008191mg PE=4 SV=1</t>
  </si>
  <si>
    <t>Uncharacterized protein OS=Prunus persica GN=PRUPE_ppa013034mg PE=4 SV=1</t>
  </si>
  <si>
    <t>Uncharacterized protein OS=Prunus persica GN=PRUPE_ppa001913mg PE=4 SV=1</t>
  </si>
  <si>
    <t>Uncharacterized protein OS=Prunus persica GN=PRUPE_ppa002523mg PE=4 SV=1</t>
  </si>
  <si>
    <t>Uncharacterized protein OS=Prunus persica GN=PRUPE_ppa003002mg PE=3 SV=1</t>
  </si>
  <si>
    <t>Uncharacterized protein OS=Prunus persica GN=PRUPE_ppa011908mg PE=4 SV=1</t>
  </si>
  <si>
    <t>Uncharacterized protein OS=Prunus persica GN=PRUPE_ppa000530mg PE=3 SV=1</t>
  </si>
  <si>
    <t>Uncharacterized protein (Fragment) OS=Prunus persica GN=PRUPE_ppa026745mg PE=4 SV=1</t>
  </si>
  <si>
    <t>Uncharacterized protein OS=Prunus persica GN=PRUPE_ppa010847mg PE=4 SV=1</t>
  </si>
  <si>
    <t>Uncharacterized protein OS=Prunus persica GN=PRUPE_ppa006431mg PE=4 SV=1</t>
  </si>
  <si>
    <t>Uncharacterized protein OS=Prunus persica GN=PRUPE_ppa013114mg PE=3 SV=1</t>
  </si>
  <si>
    <t>Uncharacterized protein OS=Prunus persica GN=PRUPE_ppa003688mg PE=4 SV=1</t>
  </si>
  <si>
    <t>Uncharacterized protein OS=Prunus persica GN=PRUPE_ppa000317mg PE=4 SV=1</t>
  </si>
  <si>
    <t>Uncharacterized protein OS=Prunus persica GN=PRUPE_ppa012014mg PE=4 SV=1</t>
  </si>
  <si>
    <t>MATE efflux family protein OS=Prunus persica GN=PRUPE_ppa003755mg PE=3 SV=1</t>
  </si>
  <si>
    <t>Uncharacterized protein OS=Prunus persica GN=PRUPE_ppa022087mg PE=4 SV=1</t>
  </si>
  <si>
    <t>Carboxypeptidase OS=Prunus persica GN=PRUPE_ppa005457mg PE=3 SV=1</t>
  </si>
  <si>
    <t>Uncharacterized protein OS=Prunus persica GN=PRUPE_ppa000370mg PE=4 SV=1</t>
  </si>
  <si>
    <t>Branched-chain-amino-acid aminotransferase OS=Prunus persica GN=PRUPE_ppa022896mg PE=3 SV=1</t>
  </si>
  <si>
    <t>Uncharacterized protein OS=Prunus persica GN=PRUPE_ppa011892mg PE=4 SV=1</t>
  </si>
  <si>
    <t>Uncharacterized protein OS=Prunus persica GN=PRUPE_ppa004258mg PE=4 SV=1</t>
  </si>
  <si>
    <t>ATP-dependent 6-phosphofructokinase OS=Jatropha curcas GN=PFK PE=3 SV=1</t>
  </si>
  <si>
    <t>Peroxidase OS=Prunus persica GN=PRUPE_ppa008516mg PE=3 SV=1</t>
  </si>
  <si>
    <t>Uncharacterized protein OS=Prunus persica GN=PRUPE_ppa023588mg PE=4 SV=1</t>
  </si>
  <si>
    <t>Uncharacterized protein (Fragment) OS=Prunus persica GN=PRUPE_ppa023962mg PE=4 SV=1</t>
  </si>
  <si>
    <t>Uncharacterized protein OS=Prunus persica GN=PRUPE_ppa010327mg PE=4 SV=1</t>
  </si>
  <si>
    <t>Uncharacterized protein OS=Prunus persica GN=PRUPE_ppa026128mg PE=4 SV=1</t>
  </si>
  <si>
    <t>Uncharacterized protein (Fragment) OS=Prunus persica GN=PRUPE_ppa021996mg PE=4 SV=1</t>
  </si>
  <si>
    <t>Uncharacterized protein OS=Prunus persica GN=PRUPE_ppa026716mg PE=4 SV=1</t>
  </si>
  <si>
    <t>Uncharacterized protein OS=Prunus persica GN=PRUPE_ppa000293mg PE=4 SV=1</t>
  </si>
  <si>
    <t>Uncharacterized protein OS=Prunus persica GN=PRUPE_ppa001554mg PE=4 SV=1</t>
  </si>
  <si>
    <t>Uncharacterized protein OS=Prunus persica GN=PRUPE_ppa017537mg PE=4 SV=1</t>
  </si>
  <si>
    <t>Uncharacterized protein OS=Prunus persica GN=PRUPE_ppa011022mg PE=4 SV=1</t>
  </si>
  <si>
    <t>Uncharacterized protein OS=Prunus persica GN=PRUPE_ppa009936mg PE=4 SV=1</t>
  </si>
  <si>
    <t>Uncharacterized protein OS=Prunus persica GN=PRUPE_ppa005790mg PE=4 SV=1</t>
  </si>
  <si>
    <t>Uncharacterized protein OS=Prunus persica GN=PRUPE_ppa021594mg PE=4 SV=1</t>
  </si>
  <si>
    <t>Uncharacterized protein OS=Prunus persica GN=PRUPE_ppa002444mg PE=4 SV=1</t>
  </si>
  <si>
    <t>Uncharacterized protein (Fragment) OS=Prunus persica GN=PRUPE_ppa020460mg PE=3 SV=1</t>
  </si>
  <si>
    <t>Uncharacterized protein OS=Prunus persica GN=PRUPE_ppa004721mg PE=4 SV=1</t>
  </si>
  <si>
    <t>Uncharacterized protein OS=Prunus persica GN=PRUPE_ppa001792mg PE=4 SV=1</t>
  </si>
  <si>
    <t>Uncharacterized protein OS=Prunus persica GN=PRUPE_ppa000466mg PE=4 SV=1</t>
  </si>
  <si>
    <t>Uncharacterized protein OS=Prunus persica GN=PRUPE_ppa022222mg PE=4 SV=1</t>
  </si>
  <si>
    <t>Uncharacterized protein OS=Prunus persica GN=PRUPE_ppa002277mg PE=3 SV=1</t>
  </si>
  <si>
    <t>Uncharacterized protein OS=Prunus persica GN=PRUPE_ppa010131mg PE=3 SV=1</t>
  </si>
  <si>
    <t>Uncharacterized protein OS=Prunus persica GN=PRUPE_ppa005048mg PE=4 SV=1</t>
  </si>
  <si>
    <t>Uncharacterized protein OS=Prunus persica GN=PRUPE_ppa007392mg PE=4 SV=1</t>
  </si>
  <si>
    <t>Uncharacterized protein OS=Prunus persica GN=PRUPE_ppb020152mg PE=4 SV=1</t>
  </si>
  <si>
    <t>Uncharacterized protein OS=Prunus persica GN=PRUPE_ppa005513mg PE=4 SV=1</t>
  </si>
  <si>
    <t>Uncharacterized protein OS=Prunus persica GN=PRUPE_ppa001682mg PE=4 SV=1</t>
  </si>
  <si>
    <t>Uncharacterized protein OS=Prunus persica GN=PRUPE_ppa003230mg PE=4 SV=1</t>
  </si>
  <si>
    <t>Uncharacterized protein OS=Prunus persica GN=PRUPE_ppa001825mg PE=4 SV=1</t>
  </si>
  <si>
    <t>Uncharacterized protein OS=Prunus persica GN=PRUPE_ppa006830mg PE=4 SV=1</t>
  </si>
  <si>
    <t>Uncharacterized protein OS=Prunus persica GN=PRUPE_ppa023967mg PE=4 SV=1</t>
  </si>
  <si>
    <t>Uncharacterized protein OS=Prunus persica GN=PRUPE_ppa009861mg PE=4 SV=1</t>
  </si>
  <si>
    <t>Uncharacterized protein OS=Jatropha curcas GN=JCGZ_26654 PE=4 SV=1</t>
  </si>
  <si>
    <t>Uncharacterized protein OS=Prunus persica GN=PRUPE_ppa001972mg PE=4 SV=1</t>
  </si>
  <si>
    <t>Cellulose synthase OS=Prunus persica GN=PRUPE_ppa000557mg PE=3 SV=1</t>
  </si>
  <si>
    <t>Uncharacterized protein OS=Prunus persica GN=PRUPE_ppa002689mg PE=3 SV=1</t>
  </si>
  <si>
    <t>Uncharacterized protein OS=Prunus persica GN=PRUPE_ppa006316mg PE=4 SV=1</t>
  </si>
  <si>
    <t>Uncharacterized protein OS=Prunus persica GN=PRUPE_ppa003900mg PE=4 SV=1</t>
  </si>
  <si>
    <t>S-acyltransferase OS=Prunus persica GN=PRUPE_ppa010169mg PE=3 SV=1</t>
  </si>
  <si>
    <t>Uncharacterized protein (Fragment) OS=Prunus persica GN=PRUPE_ppa025095mg PE=4 SV=1</t>
  </si>
  <si>
    <t>Uncharacterized protein OS=Prunus persica GN=PRUPE_ppa003279mg PE=4 SV=1</t>
  </si>
  <si>
    <t>Uncharacterized protein OS=Prunus persica GN=PRUPE_ppa002178mg PE=4 SV=1</t>
  </si>
  <si>
    <t>Uncharacterized protein OS=Prunus persica GN=PRUPE_ppa002907mg PE=4 SV=1</t>
  </si>
  <si>
    <t>Pescadillo homolog OS=Prunus persica GN=PRUPE_ppa003129mg PE=3 SV=1</t>
  </si>
  <si>
    <t>Uncharacterized protein OS=Prunus persica GN=PRUPE_ppa022497mg PE=4 SV=1</t>
  </si>
  <si>
    <t>Peptidyl-prolyl cis-trans isomerase OS=Prunus persica GN=PRUPE_ppa011595mg PE=3 SV=1</t>
  </si>
  <si>
    <t>Uncharacterized protein OS=Prunus persica GN=PRUPE_ppa006048mg PE=4 SV=1</t>
  </si>
  <si>
    <t>Uncharacterized protein OS=Prunus persica GN=PRUPE_ppa026370mg PE=3 SV=1</t>
  </si>
  <si>
    <t>Uncharacterized protein OS=Prunus persica GN=PRUPE_ppa009527mg PE=4 SV=1</t>
  </si>
  <si>
    <t>Uncharacterized protein OS=Prunus persica GN=PRUPE_ppa001476mg PE=4 SV=1</t>
  </si>
  <si>
    <t>Uncharacterized protein OS=Prunus persica GN=PRUPE_ppa022070mg PE=4 SV=1</t>
  </si>
  <si>
    <t>Uncharacterized protein OS=Prunus persica GN=PRUPE_ppa007403mg PE=4 SV=1</t>
  </si>
  <si>
    <t>Uncharacterized protein OS=Prunus persica GN=PRUPE_ppa025288mg PE=4 SV=1</t>
  </si>
  <si>
    <t>Cellulose synthase OS=Prunus persica GN=PRUPE_ppa000618mg PE=3 SV=1</t>
  </si>
  <si>
    <t>Uncharacterized protein OS=Prunus persica GN=PRUPE_ppa024902mg PE=4 SV=1</t>
  </si>
  <si>
    <t>Uncharacterized protein OS=Prunus persica GN=PRUPE_ppa022001mg PE=3 SV=1</t>
  </si>
  <si>
    <t>Pectate lyase OS=Prunus persica GN=PRUPE_ppa006229mg PE=3 SV=1</t>
  </si>
  <si>
    <t>Uncharacterized protein OS=Prunus persica GN=PRUPE_ppa003575mg PE=4 SV=1</t>
  </si>
  <si>
    <t>Endoglucanase OS=Prunus persica GN=PRUPE_ppa004387mg PE=3 SV=1</t>
  </si>
  <si>
    <t>Uncharacterized protein (Fragment) OS=Prunus persica GN=PRUPE_ppa026063mg PE=4 SV=1</t>
  </si>
  <si>
    <t>Uncharacterized protein OS=Prunus persica GN=PRUPE_ppa026627mg PE=4 SV=1</t>
  </si>
  <si>
    <t>Uncharacterized protein OS=Prunus persica GN=PRUPE_ppa025853mg PE=4 SV=1</t>
  </si>
  <si>
    <t>Uncharacterized protein OS=Prunus persica GN=PRUPE_ppa007550mg PE=4 SV=1</t>
  </si>
  <si>
    <t>Uncharacterized protein OS=Prunus persica GN=PRUPE_ppa018505mg PE=4 SV=1</t>
  </si>
  <si>
    <t>Uncharacterized protein OS=Prunus persica GN=PRUPE_ppa002527mg PE=4 SV=1</t>
  </si>
  <si>
    <t>Uncharacterized protein OS=Prunus persica GN=PRUPE_ppa024232mg PE=4 SV=1</t>
  </si>
  <si>
    <t>Uncharacterized protein OS=Prunus persica GN=PRUPE_ppa004726mg PE=4 SV=1</t>
  </si>
  <si>
    <t>Leucine-rich repeat family protein OS=Theobroma cacao GN=TCM_037917 PE=4 SV=1</t>
  </si>
  <si>
    <t>Uncharacterized protein OS=Prunus persica GN=PRUPE_ppa000073mg PE=4 SV=1</t>
  </si>
  <si>
    <t>Uncharacterized protein OS=Prunus persica GN=PRUPE_ppa016067mg PE=4 SV=1</t>
  </si>
  <si>
    <t>Uncharacterized protein OS=Prunus persica GN=PRUPE_ppa007693mg PE=4 SV=1</t>
  </si>
  <si>
    <t>Uncharacterized protein OS=Prunus persica GN=PRUPE_ppa010610mg PE=3 SV=1</t>
  </si>
  <si>
    <t>Uncharacterized protein OS=Prunus persica GN=PRUPE_ppa010399mg PE=4 SV=1</t>
  </si>
  <si>
    <t>Uncharacterized protein OS=Prunus persica GN=PRUPE_ppa000244mg PE=4 SV=1</t>
  </si>
  <si>
    <t>Uncharacterized protein OS=Prunus persica GN=PRUPE_ppa003088mg PE=4 SV=1</t>
  </si>
  <si>
    <t>Uncharacterized protein OS=Prunus persica GN=PRUPE_ppa020886mg PE=4 SV=1</t>
  </si>
  <si>
    <t>ICK OS=Rosa hybrid cultivar PE=2 SV=1</t>
  </si>
  <si>
    <t>Uncharacterized protein OS=Prunus persica GN=PRUPE_ppa007036mg PE=3 SV=1</t>
  </si>
  <si>
    <t>Uncharacterized protein OS=Prunus persica GN=PRUPE_ppa001044mg PE=4 SV=1</t>
  </si>
  <si>
    <t>Uncharacterized protein OS=Prunus persica GN=PRUPE_ppa007279mg PE=4 SV=1</t>
  </si>
  <si>
    <t>Uncharacterized protein OS=Prunus persica GN=PRUPE_ppa004460mg PE=4 SV=1</t>
  </si>
  <si>
    <t>Ammonium transporter OS=Prunus persica GN=AMT PE=2 SV=1</t>
  </si>
  <si>
    <t>Uncharacterized protein OS=Prunus persica GN=PRUPE_ppa016285mg PE=3 SV=1</t>
  </si>
  <si>
    <t>Ubiquitin-associated/TS-N domain-containing protein OS=Morella rubra PE=2 SV=1</t>
  </si>
  <si>
    <t>Uncharacterized protein OS=Prunus persica GN=PRUPE_ppa008370mg PE=4 SV=1</t>
  </si>
  <si>
    <t>Uncharacterized protein OS=Prunus persica GN=PRUPE_ppa019187mg PE=4 SV=1</t>
  </si>
  <si>
    <t>Uncharacterized protein OS=Prunus persica GN=PRUPE_ppa009045mg PE=4 SV=1</t>
  </si>
  <si>
    <t>Uncharacterized protein OS=Prunus persica GN=PRUPE_ppa006677mg PE=3 SV=1</t>
  </si>
  <si>
    <t>Uncharacterized protein OS=Prunus persica GN=PRUPE_ppa026992mg PE=4 SV=1</t>
  </si>
  <si>
    <t>Uncharacterized protein OS=Prunus persica GN=PRUPE_ppa006080mg PE=4 SV=1</t>
  </si>
  <si>
    <t>Uncharacterized protein OS=Prunus persica GN=PRUPE_ppa006002mg PE=4 SV=1</t>
  </si>
  <si>
    <t>Uncharacterized protein OS=Prunus persica GN=PRUPE_ppa018588mg PE=4 SV=1</t>
  </si>
  <si>
    <t>Uncharacterized protein OS=Prunus persica GN=PRUPE_ppa006016mg PE=4 SV=1</t>
  </si>
  <si>
    <t>Uncharacterized protein OS=Prunus persica GN=PRUPE_ppa007083mg PE=4 SV=1</t>
  </si>
  <si>
    <t>Uncharacterized protein OS=Prunus persica GN=PRUPE_ppa005560mg PE=4 SV=1</t>
  </si>
  <si>
    <t>Uncharacterized protein OS=Prunus persica GN=PRUPE_ppa012365mg PE=4 SV=1</t>
  </si>
  <si>
    <t>Uncharacterized protein OS=Prunus persica GN=PRUPE_ppa004648mg PE=4 SV=1</t>
  </si>
  <si>
    <t>Uncharacterized protein OS=Prunus persica GN=PRUPE_ppa002873mg PE=3 SV=1</t>
  </si>
  <si>
    <t>Uncharacterized protein OS=Prunus persica GN=PRUPE_ppa000113mg PE=4 SV=1</t>
  </si>
  <si>
    <t>Uncharacterized protein OS=Prunus persica GN=PRUPE_ppa006130mg PE=3 SV=1</t>
  </si>
  <si>
    <t>Uncharacterized protein OS=Prunus persica GN=PRUPE_ppa012234mg PE=4 SV=1</t>
  </si>
  <si>
    <t>Uncharacterized protein OS=Prunus persica GN=PRUPE_ppb005161mg PE=4 SV=1</t>
  </si>
  <si>
    <t>Uncharacterized protein OS=Prunus persica GN=PRUPE_ppa001746mg PE=4 SV=1</t>
  </si>
  <si>
    <t>Uncharacterized protein OS=Prunus persica GN=PRUPE_ppa026837mg PE=4 SV=1</t>
  </si>
  <si>
    <t>Uncharacterized protein OS=Prunus persica GN=PRUPE_ppa004779mg PE=4 SV=1</t>
  </si>
  <si>
    <t>Uncharacterized protein (Fragment) OS=Prunus persica GN=PRUPE_ppa024294mg PE=4 SV=1</t>
  </si>
  <si>
    <t>Uncharacterized protein OS=Prunus persica GN=PRUPE_ppa019670mg PE=4 SV=1</t>
  </si>
  <si>
    <t>10 kDa chaperonin OS=Morus notabilis GN=L484_008030 PE=3 SV=1</t>
  </si>
  <si>
    <t>Uncharacterized protein (Fragment) OS=Prunus persica GN=PRUPE_ppa026292mg PE=4 SV=1</t>
  </si>
  <si>
    <t>Uncharacterized protein OS=Prunus persica GN=PRUPE_ppa013682mg PE=4 SV=1</t>
  </si>
  <si>
    <t>Serine hydroxymethyltransferase OS=Prunus persica GN=PRUPE_ppa004306mg PE=3 SV=1</t>
  </si>
  <si>
    <t>Lipoxygenase OS=Prunus persica GN=PRUPE_ppa001287mg PE=3 SV=1</t>
  </si>
  <si>
    <t>Uncharacterized protein OS=Prunus persica GN=PRUPE_ppa008623mg PE=4 SV=1</t>
  </si>
  <si>
    <t>Uncharacterized protein OS=Prunus persica GN=PRUPE_ppa015351mg PE=4 SV=1</t>
  </si>
  <si>
    <t>Uncharacterized protein OS=Prunus persica GN=PRUPE_ppa007807mg PE=4 SV=1</t>
  </si>
  <si>
    <t>Uncharacterized protein OS=Prunus persica GN=PRUPE_ppa024053mg PE=4 SV=1</t>
  </si>
  <si>
    <t>Uncharacterized protein OS=Prunus persica GN=PRUPE_ppa005311mg PE=4 SV=1</t>
  </si>
  <si>
    <t>Uncharacterized protein OS=Prunus persica GN=PRUPE_ppa020787mg PE=4 SV=1</t>
  </si>
  <si>
    <t>Uncharacterized protein OS=Prunus persica GN=PRUPE_ppa025153mg PE=4 SV=1</t>
  </si>
  <si>
    <t>Uncharacterized protein OS=Prunus persica GN=PRUPE_ppa022091mg PE=4 SV=1</t>
  </si>
  <si>
    <t>Mitogen-activated protein kinase OS=Prunus persica GN=PRUPE_ppa002953mg PE=4 SV=1</t>
  </si>
  <si>
    <t>Uncharacterized protein OS=Prunus persica GN=PRUPE_ppa000149mg PE=4 SV=1</t>
  </si>
  <si>
    <t>Adenylate kinase isoenzyme 6 homolog OS=Prunus persica GN=PRUPE_ppa012371mg PE=3 SV=1</t>
  </si>
  <si>
    <t>RNA polymerase beta subunit (Fragment) OS=Fragaria pentaphylla GN=rpoB PE=3 SV=1</t>
  </si>
  <si>
    <t>Uncharacterized protein OS=Prunus persica GN=PRUPE_ppa011690mg PE=4 SV=1</t>
  </si>
  <si>
    <t>Uncharacterized protein OS=Prunus persica GN=PRUPE_ppa016920mg PE=4 SV=1</t>
  </si>
  <si>
    <t>Uncharacterized protein OS=Prunus persica GN=PRUPE_ppa027230mg PE=4 SV=1</t>
  </si>
  <si>
    <t>Uncharacterized protein OS=Prunus persica GN=PRUPE_ppa004364mg PE=4 SV=1</t>
  </si>
  <si>
    <t>Putative uncharacterized protein OS=Vitis vinifera GN=VIT_01s0150g00140 PE=4 SV=1</t>
  </si>
  <si>
    <t>Uncharacterized protein OS=Prunus persica GN=PRUPE_ppa010028mg PE=4 SV=1</t>
  </si>
  <si>
    <t>Uncharacterized protein OS=Prunus persica GN=PRUPE_ppa021633mg PE=4 SV=1</t>
  </si>
  <si>
    <t>Uncharacterized protein OS=Prunus persica GN=PRUPE_ppa003885mg PE=4 SV=1</t>
  </si>
  <si>
    <t>Uncharacterized protein OS=Prunus persica GN=PRUPE_ppa005394mg PE=4 SV=1</t>
  </si>
  <si>
    <t>Sigma factor sigb regulation protein rsbq, putative OS=Ricinus communis GN=RCOM_0036520 PE=4 SV=1</t>
  </si>
  <si>
    <t>Uncharacterized protein OS=Prunus persica GN=PRUPE_ppa022743mg PE=4 SV=1</t>
  </si>
  <si>
    <t>Uncharacterized protein OS=Prunus persica GN=PRUPE_ppa008861mg PE=4 SV=1</t>
  </si>
  <si>
    <t>Uncharacterized protein OS=Prunus persica GN=PRUPE_ppa016286mg PE=4 SV=1</t>
  </si>
  <si>
    <t>Uncharacterized protein OS=Prunus persica GN=PRUPE_ppa013084mg PE=4 SV=1</t>
  </si>
  <si>
    <t>Uncharacterized protein (Fragment) OS=Prunus persica GN=PRUPE_ppa019070mg PE=4 SV=1</t>
  </si>
  <si>
    <t>Uncharacterized protein OS=Prunus persica GN=PRUPE_ppa012633mg PE=4 SV=1</t>
  </si>
  <si>
    <t>Uncharacterized protein OS=Prunus persica GN=PRUPE_ppa004657mg PE=3 SV=1</t>
  </si>
  <si>
    <t>Uncharacterized protein OS=Prunus persica GN=PRUPE_ppa002130mg PE=4 SV=1</t>
  </si>
  <si>
    <t>Uncharacterized protein OS=Prunus persica GN=PRUPE_ppa008614mg PE=4 SV=1</t>
  </si>
  <si>
    <t>Uncharacterized protein (Fragment) OS=Prunus persica GN=PRUPE_ppa016452mg PE=3 SV=1</t>
  </si>
  <si>
    <t>Uncharacterized protein OS=Prunus persica GN=PRUPE_ppb018523mg PE=4 SV=1</t>
  </si>
  <si>
    <t>Uncharacterized protein OS=Prunus persica GN=PRUPE_ppa006782mg PE=4 SV=1</t>
  </si>
  <si>
    <t>Uncharacterized protein OS=Prunus persica GN=PRUPE_ppa000469mg PE=4 SV=1</t>
  </si>
  <si>
    <t>Uncharacterized protein OS=Prunus persica GN=PRUPE_ppa008707mg PE=4 SV=1</t>
  </si>
  <si>
    <t>Uncharacterized protein OS=Prunus persica GN=PRUPE_ppa001125mg PE=4 SV=1</t>
  </si>
  <si>
    <t>Uncharacterized protein OS=Prunus persica GN=PRUPE_ppa003912mg PE=4 SV=1</t>
  </si>
  <si>
    <t>Uncharacterized protein OS=Prunus persica GN=PRUPE_ppa024849mg PE=4 SV=1</t>
  </si>
  <si>
    <t>Uncharacterized protein OS=Prunus persica GN=PRUPE_ppa020828mg PE=4 SV=1</t>
  </si>
  <si>
    <t>Uncharacterized protein OS=Solanum lycopersicum GN=Solyc05g054840.2 PE=4 SV=1</t>
  </si>
  <si>
    <t>Uncharacterized protein OS=Prunus persica GN=PRUPE_ppa009038mg PE=3 SV=1</t>
  </si>
  <si>
    <t>Uncharacterized protein OS=Prunus persica GN=PRUPE_ppa009812mg PE=4 SV=1</t>
  </si>
  <si>
    <t>Uncharacterized protein (Fragment) OS=Prunus persica GN=PRUPE_ppa017774mg PE=4 SV=1</t>
  </si>
  <si>
    <t>Uncharacterized protein OS=Prunus persica GN=PRUPE_ppa009008mg PE=4 SV=1</t>
  </si>
  <si>
    <t>Uncharacterized protein OS=Prunus persica GN=PRUPE_ppa003690mg PE=4 SV=1</t>
  </si>
  <si>
    <t>Uncharacterized protein OS=Prunus persica GN=PRUPE_ppa000262mg PE=4 SV=1</t>
  </si>
  <si>
    <t>Uncharacterized protein OS=Prunus persica GN=PRUPE_ppa003738mg PE=4 SV=1</t>
  </si>
  <si>
    <t>Uncharacterized protein (Fragment) OS=Prunus persica GN=PRUPE_ppa022611mg PE=4 SV=1</t>
  </si>
  <si>
    <t>Uncharacterized protein OS=Prunus persica GN=PRUPE_ppa009283mg PE=4 SV=1</t>
  </si>
  <si>
    <t>Uncharacterized protein OS=Prunus persica GN=PRUPE_ppa003032mg PE=4 SV=1</t>
  </si>
  <si>
    <t>Uncharacterized protein OS=Prunus persica GN=PRUPE_ppa021474mg PE=4 SV=1</t>
  </si>
  <si>
    <t>Uncharacterized protein OS=Prunus persica GN=PRUPE_ppa021567mg PE=4 SV=1</t>
  </si>
  <si>
    <t>Uncharacterized protein OS=Prunus persica GN=PRUPE_ppa002286mg PE=4 SV=1</t>
  </si>
  <si>
    <t>Uncharacterized protein OS=Prunus persica GN=PRUPE_ppa007367mg PE=4 SV=1</t>
  </si>
  <si>
    <t>Uncharacterized protein OS=Prunus persica GN=PRUPE_ppa020925mg PE=4 SV=1</t>
  </si>
  <si>
    <t>Uncharacterized protein OS=Prunus persica GN=PRUPE_ppa002349mg PE=4 SV=1</t>
  </si>
  <si>
    <t>Uncharacterized protein OS=Prunus persica GN=PRUPE_ppa012102mg PE=4 SV=1</t>
  </si>
  <si>
    <t>Uncharacterized protein OS=Prunus persica GN=PRUPE_ppa023428mg PE=4 SV=1</t>
  </si>
  <si>
    <t>Uncharacterized protein OS=Prunus persica GN=PRUPE_ppa001787mg PE=4 SV=1</t>
  </si>
  <si>
    <t>Uncharacterized protein OS=Prunus persica GN=PRUPE_ppa010341mg PE=4 SV=1</t>
  </si>
  <si>
    <t>Uncharacterized protein OS=Prunus persica GN=PRUPE_ppa005407mg PE=4 SV=1</t>
  </si>
  <si>
    <t>Uncharacterized protein OS=Prunus persica GN=PRUPE_ppa004341mg PE=3 SV=1</t>
  </si>
  <si>
    <t>Electron transporter, putative OS=Ricinus communis GN=RCOM_0604220 PE=4 SV=1</t>
  </si>
  <si>
    <t>Uncharacterized protein OS=Prunus persica GN=PRUPE_ppa003076mg PE=3 SV=1</t>
  </si>
  <si>
    <t>Uncharacterized protein OS=Prunus persica GN=PRUPE_ppa002010mg PE=4 SV=1</t>
  </si>
  <si>
    <t>Uncharacterized protein (Fragment) OS=Prunus persica GN=PRUPE_ppa017666mg PE=4 SV=1</t>
  </si>
  <si>
    <t>Uncharacterized protein OS=Prunus persica GN=PRUPE_ppa009414mg PE=3 SV=1</t>
  </si>
  <si>
    <t>Uncharacterized protein OS=Prunus persica GN=PRUPE_ppa008892mg PE=4 SV=1</t>
  </si>
  <si>
    <t>Uncharacterized protein OS=Prunus persica GN=PRUPE_ppa013300mg PE=4 SV=1</t>
  </si>
  <si>
    <t>Uncharacterized protein OS=Prunus persica GN=PRUPE_ppa007646mg PE=4 SV=1</t>
  </si>
  <si>
    <t>Uncharacterized protein OS=Prunus persica GN=PRUPE_ppa000498mg PE=4 SV=1</t>
  </si>
  <si>
    <t>Uncharacterized protein (Fragment) OS=Prunus persica GN=PRUPE_ppa017101mg PE=4 SV=1</t>
  </si>
  <si>
    <t>Putative uncharacterized protein OS=Ricinus communis GN=RCOM_1038050 PE=4 SV=1</t>
  </si>
  <si>
    <t>S-adenosylmethionine decarboxylase proenzyme OS=Prunus persica GN=PRUPE_ppa007795mg PE=3 SV=1</t>
  </si>
  <si>
    <t>Uncharacterized protein OS=Prunus persica GN=PRUPE_ppa021017mg PE=4 SV=1</t>
  </si>
  <si>
    <t>Uncharacterized protein OS=Prunus persica GN=PRUPE_ppa023418mg PE=3 SV=1</t>
  </si>
  <si>
    <t>Uncharacterized protein (Fragment) OS=Prunus persica GN=PRUPE_ppa016134mg PE=4 SV=1</t>
  </si>
  <si>
    <t>Uncharacterized protein OS=Prunus persica GN=PRUPE_ppa004117mg PE=4 SV=1</t>
  </si>
  <si>
    <t>Uncharacterized protein OS=Prunus persica GN=PRUPE_ppa017973mg PE=4 SV=1</t>
  </si>
  <si>
    <t>Uncharacterized protein OS=Prunus persica GN=PRUPE_ppa012491mg PE=4 SV=1</t>
  </si>
  <si>
    <t>Uncharacterized protein OS=Prunus persica GN=PRUPE_ppa009766mg PE=4 SV=1</t>
  </si>
  <si>
    <t>Uncharacterized protein OS=Fusarium pseudograminearum (strain CS3096) GN=FPSE_00947 PE=3 SV=1</t>
  </si>
  <si>
    <t>Uncharacterized protein OS=Prunus persica GN=PRUPE_ppa007958mg PE=4 SV=1</t>
  </si>
  <si>
    <t>Uncharacterized protein (Fragment) OS=Prunus persica GN=PRUPE_ppa021191mg PE=4 SV=1</t>
  </si>
  <si>
    <t>Non-specific serine/threonine protein kinase OS=Prunus persica GN=PRUPE_ppa005881mg PE=4 SV=1</t>
  </si>
  <si>
    <t>Uncharacterized protein (Fragment) OS=Prunus persica GN=PRUPE_ppa022172mg PE=3 SV=1</t>
  </si>
  <si>
    <t>Uncharacterized protein OS=Prunus persica GN=PRUPE_ppa012028mg PE=4 SV=1</t>
  </si>
  <si>
    <t>Uncharacterized protein (Fragment) OS=Prunus persica GN=PRUPE_ppb022421mg PE=4 SV=1</t>
  </si>
  <si>
    <t>Glycosyltransferase OS=Prunus persica GN=PRUPE_ppa005520mg PE=3 SV=1</t>
  </si>
  <si>
    <t>Uncharacterized protein OS=Prunus persica GN=PRUPE_ppa014138mg PE=4 SV=1</t>
  </si>
  <si>
    <t>Uncharacterized protein OS=Prunus persica GN=PRUPE_ppa009330mg PE=3 SV=1</t>
  </si>
  <si>
    <t>Uncharacterized protein OS=Glycine soja GN=glysoja_034645 PE=4 SV=1</t>
  </si>
  <si>
    <t>Uncharacterized protein OS=Prunus persica GN=PRUPE_ppa001769mg PE=4 SV=1</t>
  </si>
  <si>
    <t>Uncharacterized protein OS=Prunus persica GN=PRUPE_ppa003686mg PE=4 SV=1</t>
  </si>
  <si>
    <t>Glycosyltransferase OS=Prunus persica GN=PRUPE_ppa019354mg PE=3 SV=1</t>
  </si>
  <si>
    <t>Uncharacterized protein OS=Prunus persica GN=PRUPE_ppa004675mg PE=4 SV=1</t>
  </si>
  <si>
    <t>Uncharacterized protein OS=Prunus persica GN=PRUPE_ppa002742mg PE=4 SV=1</t>
  </si>
  <si>
    <t>Uncharacterized protein OS=Prunus persica GN=PRUPE_ppa002705mg PE=3 SV=1</t>
  </si>
  <si>
    <t>Expansin OS=Prunus salicina PE=2 SV=1</t>
  </si>
  <si>
    <t>Uncharacterized protein OS=Prunus persica GN=PRUPE_ppa001774mg PE=3 SV=1</t>
  </si>
  <si>
    <t>Uncharacterized protein OS=Prunus persica GN=PRUPE_ppa002123mg PE=4 SV=1</t>
  </si>
  <si>
    <t>Uncharacterized protein OS=Prunus persica GN=PRUPE_ppa000591mg PE=4 SV=1</t>
  </si>
  <si>
    <t>Uncharacterized protein OS=Prunus persica GN=PRUPE_ppb017095mg PE=4 SV=1</t>
  </si>
  <si>
    <t>Uncharacterized protein OS=Gossypium raimondii GN=B456_013G050700 PE=4 SV=1</t>
  </si>
  <si>
    <t>Uncharacterized protein OS=Prunus persica GN=PRUPE_ppa002740mg PE=4 SV=1</t>
  </si>
  <si>
    <t>Uncharacterized protein OS=Prunus persica GN=PRUPE_ppa000180mg PE=4 SV=1</t>
  </si>
  <si>
    <t>Glucose-6-phosphate 1-dehydrogenase OS=Prunus persica GN=PRUPE_ppa003253mg PE=3 SV=1</t>
  </si>
  <si>
    <t>Uncharacterized protein OS=Prunus persica GN=PRUPE_ppa005398mg PE=4 SV=1</t>
  </si>
  <si>
    <t>Uncharacterized protein OS=Prunus persica GN=PRUPE_ppa012659mg PE=3 SV=1</t>
  </si>
  <si>
    <t>Uncharacterized protein OS=Prunus persica GN=PRUPE_ppa003662mg PE=3 SV=1</t>
  </si>
  <si>
    <t>Uncharacterized protein OS=Prunus persica GN=PRUPE_ppa015349mg PE=4 SV=1</t>
  </si>
  <si>
    <t>Uncharacterized protein (Fragment) OS=Prunus persica GN=PRUPE_ppa027145mg PE=4 SV=1</t>
  </si>
  <si>
    <t>Adenylosuccinate lyase OS=Prunus persica GN=PRUPE_ppa003404mg PE=3 SV=1</t>
  </si>
  <si>
    <t>Signal recognition particle subunit SRP72 OS=Prunus persica GN=PRUPE_ppa002478mg PE=3 SV=1</t>
  </si>
  <si>
    <t>Uncharacterized protein OS=Prunus persica GN=PRUPE_ppa003424mg PE=4 SV=1</t>
  </si>
  <si>
    <t>Uncharacterized protein OS=Prunus persica GN=PRUPE_ppa006977mg PE=4 SV=1</t>
  </si>
  <si>
    <t>Uncharacterized protein (Fragment) OS=Prunus persica GN=PRUPE_ppa017738mg PE=3 SV=1</t>
  </si>
  <si>
    <t>Uncharacterized protein OS=Prunus persica GN=PRUPE_ppa001924mg PE=4 SV=1</t>
  </si>
  <si>
    <t>Putative uncharacterized protein OS=Vitis vinifera GN=VIT_16s0039g01020 PE=4 SV=1</t>
  </si>
  <si>
    <t>Uncharacterized protein OS=Prunus persica GN=PRUPE_ppa001897mg PE=4 SV=1</t>
  </si>
  <si>
    <t>Uncharacterized protein OS=Prunus persica GN=PRUPE_ppa000470mg PE=4 SV=1</t>
  </si>
  <si>
    <t>Uncharacterized protein OS=Prunus persica GN=PRUPE_ppa016126mg PE=4 SV=1</t>
  </si>
  <si>
    <t>Uncharacterized protein OS=Prunus persica GN=PRUPE_ppa007020mg PE=4 SV=1</t>
  </si>
  <si>
    <t>Uncharacterized protein OS=Prunus persica GN=PRUPE_ppa003275mg PE=4 SV=1</t>
  </si>
  <si>
    <t>Uncharacterized protein OS=Prunus persica GN=PRUPE_ppa001398mg PE=4 SV=1</t>
  </si>
  <si>
    <t>Uncharacterized protein OS=Prunus persica GN=PRUPE_ppa003585mg PE=3 SV=1</t>
  </si>
  <si>
    <t>Uncharacterized protein OS=Prunus persica GN=PRUPE_ppa016413mg PE=4 SV=1</t>
  </si>
  <si>
    <t>Uncharacterized protein OS=Prunus persica GN=PRUPE_ppa005730mg PE=4 SV=1</t>
  </si>
  <si>
    <t>Uncharacterized protein (Fragment) OS=Prunus persica GN=PRUPE_ppa026181mg PE=3 SV=1</t>
  </si>
  <si>
    <t>Uncharacterized protein OS=Prunus persica GN=PRUPE_ppa000779mg PE=4 SV=1</t>
  </si>
  <si>
    <t>Uncharacterized protein OS=Prunus persica GN=PRUPE_ppa004714mg PE=3 SV=1</t>
  </si>
  <si>
    <t>Uncharacterized protein OS=Prunus persica GN=PRUPE_ppa010820mg PE=4 SV=1</t>
  </si>
  <si>
    <t>Uncharacterized protein OS=Prunus persica GN=PRUPE_ppa013468mg PE=4 SV=1</t>
  </si>
  <si>
    <t>Uncharacterized protein OS=Prunus persica GN=PRUPE_ppa013028mg PE=4 SV=1</t>
  </si>
  <si>
    <t>Uncharacterized protein OS=Prunus persica GN=PRUPE_ppa017339mg PE=3 SV=1</t>
  </si>
  <si>
    <t>Uncharacterized protein OS=Prunus persica GN=PRUPE_ppa006557mg PE=4 SV=1</t>
  </si>
  <si>
    <t>Uncharacterized protein OS=Prunus persica GN=PRUPE_ppa008742mg PE=4 SV=1</t>
  </si>
  <si>
    <t>Reticulon-like protein OS=Prunus persica GN=PRUPE_ppa014722mg PE=4 SV=1</t>
  </si>
  <si>
    <t>Uncharacterized protein OS=Prunus persica GN=PRUPE_ppa001139mg PE=4 SV=1</t>
  </si>
  <si>
    <t>Uncharacterized protein OS=Prunus persica GN=PRUPE_ppa017162mg PE=4 SV=1</t>
  </si>
  <si>
    <t>Uncharacterized protein (Fragment) OS=Prunus persica GN=PRUPE_ppa021797mg PE=4 SV=1</t>
  </si>
  <si>
    <t>Uncharacterized protein OS=Prunus persica GN=PRUPE_ppa010494mg PE=4 SV=1</t>
  </si>
  <si>
    <t>Kinesin-like protein OS=Prunus persica GN=PRUPE_ppa023415mg PE=3 SV=1</t>
  </si>
  <si>
    <t>Uncharacterized protein OS=Prunus persica GN=PRUPE_ppa010970mg PE=4 SV=1</t>
  </si>
  <si>
    <t>Uncharacterized protein OS=Prunus persica GN=PRUPE_ppa011179mg PE=4 SV=1</t>
  </si>
  <si>
    <t>Uncharacterized protein OS=Prunus persica GN=PRUPE_ppa002646mg PE=3 SV=1</t>
  </si>
  <si>
    <t>Uncharacterized protein OS=Prunus persica GN=PRUPE_ppa001051mg PE=4 SV=1</t>
  </si>
  <si>
    <t>Uncharacterized protein OS=Prunus persica GN=PRUPE_ppa006158mg PE=4 SV=1</t>
  </si>
  <si>
    <t>Uncharacterized protein OS=Prunus persica GN=PRUPE_ppa002496mg PE=4 SV=1</t>
  </si>
  <si>
    <t>Uncharacterized protein OS=Prunus persica GN=PRUPE_ppa002760mg PE=4 SV=1</t>
  </si>
  <si>
    <t>Uncharacterized protein OS=Prunus persica GN=PRUPE_ppa009751mg PE=4 SV=1</t>
  </si>
  <si>
    <t>Uncharacterized protein OS=Prunus persica GN=PRUPE_ppa002145mg PE=4 SV=1</t>
  </si>
  <si>
    <t>Uncharacterized protein OS=Prunus persica GN=PRUPE_ppa006974mg PE=4 SV=1</t>
  </si>
  <si>
    <t>Uncharacterized protein OS=Prunus persica GN=PRUPE_ppa023554mg PE=4 SV=1</t>
  </si>
  <si>
    <t>Monooxygenase, putative isoform 1 OS=Theobroma cacao GN=TCM_017443 PE=4 SV=1</t>
  </si>
  <si>
    <t>Glycosyltransferase OS=Prunus persica GN=PRUPE_ppa024083mg PE=3 SV=1</t>
  </si>
  <si>
    <t>Uncharacterized protein OS=Jatropha curcas GN=JCGZ_25003 PE=4 SV=1</t>
  </si>
  <si>
    <t>Uncharacterized protein (Fragment) OS=Prunus persica GN=PRUPE_ppa023449mg PE=4 SV=1</t>
  </si>
  <si>
    <t>Uncharacterized protein OS=Prunus persica GN=PRUPE_ppa008539mg PE=4 SV=1</t>
  </si>
  <si>
    <t>Uncharacterized protein OS=Prunus persica GN=PRUPE_ppa007580mg PE=4 SV=1</t>
  </si>
  <si>
    <t>Uncharacterized protein OS=Prunus persica GN=PRUPE_ppa009355mg PE=4 SV=1</t>
  </si>
  <si>
    <t>Uncharacterized protein OS=Prunus persica GN=PRUPE_ppa000018mg PE=4 SV=1</t>
  </si>
  <si>
    <t>Uncharacterized protein OS=Prunus persica GN=PRUPE_ppa009434mg PE=4 SV=1</t>
  </si>
  <si>
    <t>Uncharacterized protein OS=Prunus persica GN=PRUPE_ppa025321mg PE=4 SV=1</t>
  </si>
  <si>
    <t>Uncharacterized protein OS=Prunus persica GN=PRUPE_ppa011197mg PE=4 SV=1</t>
  </si>
  <si>
    <t>Uncharacterized protein OS=Prunus persica GN=PRUPE_ppa000986mg PE=3 SV=1</t>
  </si>
  <si>
    <t>Uncharacterized protein OS=Prunus persica GN=PRUPE_ppa025570mg PE=4 SV=1</t>
  </si>
  <si>
    <t>Uncharacterized protein OS=Prunus persica GN=PRUPE_ppa009279mg PE=4 SV=1</t>
  </si>
  <si>
    <t>Uncharacterized protein OS=Prunus persica GN=PRUPE_ppa026420mg PE=4 SV=1</t>
  </si>
  <si>
    <t>Uncharacterized protein OS=Prunus persica GN=PRUPE_ppa021923mg PE=4 SV=1</t>
  </si>
  <si>
    <t>Putative uncharacterized protein OS=Vitis vinifera GN=VIT_06s0004g08370 PE=4 SV=1</t>
  </si>
  <si>
    <t>Uncharacterized protein OS=Prunus persica GN=PRUPE_ppa007579mg PE=4 SV=1</t>
  </si>
  <si>
    <t>Uncharacterized protein (Fragment) OS=Prunus persica GN=PRUPE_ppa025850mg PE=4 SV=1</t>
  </si>
  <si>
    <t>Uncharacterized protein OS=Prunus persica GN=PRUPE_ppa013758mg PE=4 SV=1</t>
  </si>
  <si>
    <t>Uncharacterized protein OS=Prunus persica GN=PRUPE_ppa002952mg PE=4 SV=1</t>
  </si>
  <si>
    <t>Terpene cyclase/mutase family member OS=Prunus persica GN=PRUPE_ppa001806mg PE=3 SV=1</t>
  </si>
  <si>
    <t>Uncharacterized protein OS=Prunus persica GN=PRUPE_ppa002680mg PE=4 SV=1</t>
  </si>
  <si>
    <t>Uncharacterized protein OS=Prunus persica GN=PRUPE_ppa004554mg PE=3 SV=1</t>
  </si>
  <si>
    <t>Protein translocase subunit SecA OS=Prunus persica GN=PRUPE_ppa001084mg PE=3 SV=1</t>
  </si>
  <si>
    <t>Uncharacterized protein OS=Prunus persica GN=PRUPE_ppa000302mg PE=4 SV=1</t>
  </si>
  <si>
    <t>Uncharacterized protein OS=Prunus persica GN=PRUPE_ppa007069mg PE=3 SV=1</t>
  </si>
  <si>
    <t>Uncharacterized protein OS=Prunus persica GN=PRUPE_ppa023895mg PE=4 SV=1</t>
  </si>
  <si>
    <t>Uncharacterized protein OS=Prunus persica GN=PRUPE_ppa006945mg PE=4 SV=1</t>
  </si>
  <si>
    <t>Uncharacterized protein OS=Prunus persica GN=PRUPE_ppa006736mg PE=4 SV=1</t>
  </si>
  <si>
    <t>Uncharacterized protein OS=Prunus persica GN=PRUPE_ppa011738mg PE=4 SV=1</t>
  </si>
  <si>
    <t>Uncharacterized protein OS=Prunus persica GN=PRUPE_ppa006200mg PE=4 SV=1</t>
  </si>
  <si>
    <t>Uncharacterized protein OS=Prunus persica GN=PRUPE_ppa001833mg PE=3 SV=1</t>
  </si>
  <si>
    <t>Flavonoid 3' hydroxylase OS=Prunus persica GN=F3'H PE=2 SV=1</t>
  </si>
  <si>
    <t>Uncharacterized protein OS=Prunus persica GN=PRUPE_ppa011996mg PE=4 SV=1</t>
  </si>
  <si>
    <t>Uncharacterized protein OS=Prunus persica GN=PRUPE_ppa007312mg PE=3 SV=1</t>
  </si>
  <si>
    <t>Autophagy-related protein OS=Prunus persica GN=PRUPE_ppa013518mg PE=3 SV=1</t>
  </si>
  <si>
    <t>Inositol-tetrakisphosphate 1-kinase OS=Prunus persica GN=PRUPE_ppa008332mg PE=3 SV=1</t>
  </si>
  <si>
    <t>Uncharacterized protein OS=Prunus persica GN=PRUPE_ppa004317mg PE=4 SV=1</t>
  </si>
  <si>
    <t>Putative uncharacterized protein OS=Vitis vinifera GN=VITISV_023515 PE=4 SV=1</t>
  </si>
  <si>
    <t>Uncharacterized protein OS=Eucalyptus grandis GN=EUGRSUZ_I01330 PE=4 SV=1</t>
  </si>
  <si>
    <t>Uncharacterized protein OS=Prunus persica GN=PRUPE_ppa017305mg PE=4 SV=1</t>
  </si>
  <si>
    <t>Uncharacterized protein OS=Prunus persica GN=PRUPE_ppa024004mg PE=4 SV=1</t>
  </si>
  <si>
    <t>Uncharacterized protein OS=Prunus persica GN=PRUPE_ppa010013mg PE=3 SV=1</t>
  </si>
  <si>
    <t>Uncharacterized protein OS=Prunus persica GN=PRUPE_ppa006703mg PE=4 SV=1</t>
  </si>
  <si>
    <t>Uncharacterized protein OS=Morus notabilis GN=L484_015554 PE=4 SV=1</t>
  </si>
  <si>
    <t>Uncharacterized protein OS=Prunus persica GN=PRUPE_ppa014128mg PE=4 SV=1</t>
  </si>
  <si>
    <t>Uncharacterized protein OS=Prunus persica GN=PRUPE_ppa023276mg PE=4 SV=1</t>
  </si>
  <si>
    <t>Uncharacterized protein OS=Prunus persica GN=PRUPE_ppa003375mg PE=4 SV=1</t>
  </si>
  <si>
    <t>Uncharacterized protein OS=Prunus persica GN=PRUPE_ppa009721mg PE=4 SV=1</t>
  </si>
  <si>
    <t>Nucleoside diphosphate kinase OS=Prunus persica GN=PRUPE_ppa010725mg PE=3 SV=1</t>
  </si>
  <si>
    <t>Uncharacterized protein OS=Prunus persica GN=PRUPE_ppa023389mg PE=4 SV=1</t>
  </si>
  <si>
    <t>Uncharacterized protein OS=Barnesiella viscericola DSM 18177 GN=BARVI_02625 PE=4 SV=1</t>
  </si>
  <si>
    <t>Uncharacterized protein OS=Prunus persica GN=PRUPE_ppa009201mg PE=4 SV=1</t>
  </si>
  <si>
    <t>Uncharacterized protein OS=Prunus persica GN=PRUPE_ppa022458mg PE=4 SV=1</t>
  </si>
  <si>
    <t>Uncharacterized protein (Fragment) OS=Prunus persica GN=PRUPE_ppa021718mg PE=4 SV=1</t>
  </si>
  <si>
    <t>Uncharacterized protein (Fragment) OS=Prunus persica GN=PRUPE_ppa022727mg PE=4 SV=1</t>
  </si>
  <si>
    <t>Uncharacterized protein OS=Prunus persica GN=PRUPE_ppa016319mg PE=4 SV=1</t>
  </si>
  <si>
    <t>Uncharacterized protein OS=Prunus persica GN=PRUPE_ppa014990mg PE=4 SV=1</t>
  </si>
  <si>
    <t>Uncharacterized protein OS=Prunus persica GN=PRUPE_ppa000663mg PE=4 SV=1</t>
  </si>
  <si>
    <t>Uncharacterized protein OS=Prunus persica GN=PRUPE_ppa007123mg PE=4 SV=1</t>
  </si>
  <si>
    <t>Uncharacterized protein OS=Prunus persica GN=PRUPE_ppa005919mg PE=4 SV=1</t>
  </si>
  <si>
    <t>Uncharacterized protein (Fragment) OS=Prunus persica GN=PRUPE_ppa014973mg PE=4 SV=1</t>
  </si>
  <si>
    <t>Uncharacterized protein OS=Prunus persica GN=PRUPE_ppa007583mg PE=4 SV=1</t>
  </si>
  <si>
    <t>Uncharacterized protein OS=Prunus persica GN=PRUPE_ppa002150mg PE=4 SV=1</t>
  </si>
  <si>
    <t>Uncharacterized protein OS=Prunus persica GN=PRUPE_ppa005837mg PE=4 SV=1</t>
  </si>
  <si>
    <t>Uncharacterized protein OS=Prunus persica GN=PRUPE_ppa024188mg PE=4 SV=1</t>
  </si>
  <si>
    <t>Retrotransposon protein, putative, unclassified OS=Oryza sativa subsp. japonica GN=LOC_Os12g05520 PE=4 SV=1</t>
  </si>
  <si>
    <t>Uncharacterized protein OS=Prunus persica GN=PRUPE_ppa016002mg PE=4 SV=1</t>
  </si>
  <si>
    <t>Uncharacterized protein OS=Prunus persica GN=PRUPE_ppa017840mg PE=4 SV=1</t>
  </si>
  <si>
    <t>Uncharacterized protein OS=Prunus persica GN=PRUPE_ppa016481mg PE=4 SV=1</t>
  </si>
  <si>
    <t>Uncharacterized protein OS=Prunus persica GN=PRUPE_ppa002129mg PE=4 SV=1</t>
  </si>
  <si>
    <t>Uncharacterized protein OS=Prunus persica GN=PRUPE_ppa000784mg PE=4 SV=1</t>
  </si>
  <si>
    <t>CASP-like protein OS=Prunus persica GN=PRUPE_ppa011962mg PE=3 SV=1</t>
  </si>
  <si>
    <t>alpha-1,2-Mannosidase (Fragment) OS=Prunus persica GN=PRUPE_ppa026880mg PE=3 SV=1</t>
  </si>
  <si>
    <t>40S ribosomal S15 OS=Gossypium arboreum GN=F383_07435 PE=3 SV=1</t>
  </si>
  <si>
    <t>Uncharacterized protein OS=Prunus persica GN=PRUPE_ppa023549mg PE=4 SV=1</t>
  </si>
  <si>
    <t>Uncharacterized protein OS=Prunus persica GN=PRUPE_ppa011937mg PE=4 SV=1</t>
  </si>
  <si>
    <t>4-hydroxyphenylpyruvate dioxygenase OS=Prunus persica GN=PRUPE_ppa005851mg PE=3 SV=1</t>
  </si>
  <si>
    <t>Uncharacterized protein OS=Prunus persica GN=PRUPE_ppa007168mg PE=4 SV=1</t>
  </si>
  <si>
    <t>Uncharacterized protein OS=Prunus persica GN=PRUPE_ppa026488mg PE=4 SV=1</t>
  </si>
  <si>
    <t>Uncharacterized protein OS=Prunus persica GN=PRUPE_ppa006492mg PE=4 SV=1</t>
  </si>
  <si>
    <t>Uncharacterized protein OS=Prunus persica GN=PRUPE_ppa001621mg PE=4 SV=1</t>
  </si>
  <si>
    <t>Uncharacterized protein OS=Prunus persica GN=PRUPE_ppa003516mg PE=4 SV=1</t>
  </si>
  <si>
    <t>Uncharacterized protein OS=Prunus persica GN=PRUPE_ppa010938mg PE=4 SV=1</t>
  </si>
  <si>
    <t>Uncharacterized protein OS=Prunus persica GN=PRUPE_ppa021090mg PE=3 SV=1</t>
  </si>
  <si>
    <t>Uncharacterized protein OS=Prunus persica GN=PRUPE_ppa007739mg PE=4 SV=1</t>
  </si>
  <si>
    <t>Uncharacterized protein OS=Prunus persica GN=PRUPE_ppa012313mg PE=4 SV=1</t>
  </si>
  <si>
    <t>Uncharacterized protein OS=Prunus persica GN=PRUPE_ppa007196mg PE=4 SV=1</t>
  </si>
  <si>
    <t>Uncharacterized protein OS=Prunus persica GN=PRUPE_ppa012115mg PE=4 SV=1</t>
  </si>
  <si>
    <t>Uncharacterized protein OS=Prunus persica GN=PRUPE_ppa025823mg PE=4 SV=1</t>
  </si>
  <si>
    <t>Uncharacterized protein OS=Prunus persica GN=PRUPE_ppa023126mg PE=4 SV=1</t>
  </si>
  <si>
    <t>Uncharacterized protein OS=Prunus persica GN=PRUPE_ppa008313mg PE=4 SV=1</t>
  </si>
  <si>
    <t>Uncharacterized protein OS=Prunus persica GN=PRUPE_ppa003810mg PE=3 SV=1</t>
  </si>
  <si>
    <t>Uncharacterized protein OS=Prunus persica GN=PRUPE_ppa003054mg PE=4 SV=1</t>
  </si>
  <si>
    <t>Uncharacterized protein OS=Prunus persica GN=PRUPE_ppa009604mg PE=4 SV=1</t>
  </si>
  <si>
    <t>Uncharacterized protein OS=Prunus persica GN=PRUPE_ppa001446mg PE=4 SV=1</t>
  </si>
  <si>
    <t>Uncharacterized protein (Fragment) OS=Prunus persica GN=PRUPE_ppa017844mg PE=4 SV=1</t>
  </si>
  <si>
    <t>Uncharacterized protein OS=Prunus persica GN=PRUPE_ppa007209mg PE=4 SV=1</t>
  </si>
  <si>
    <t>Uncharacterized protein (Fragment) OS=Prunus persica GN=PRUPE_ppa024712mg PE=4 SV=1</t>
  </si>
  <si>
    <t>Uncharacterized protein OS=Prunus persica GN=PRUPE_ppa008505mg PE=4 SV=1</t>
  </si>
  <si>
    <t>R2R3 MYB transcription factor OS=Prunus persica GN=MYB10 PE=4 SV=1</t>
  </si>
  <si>
    <t>Uncharacterized protein OS=Prunus persica GN=PRUPE_ppa004098mg PE=4 SV=1</t>
  </si>
  <si>
    <t>Uncharacterized protein OS=Prunus persica GN=PRUPE_ppa006395mg PE=4 SV=1</t>
  </si>
  <si>
    <t>Uncharacterized protein OS=Prunus persica GN=PRUPE_ppa012385mg PE=4 SV=1</t>
  </si>
  <si>
    <t>Uncharacterized protein OS=Prunus persica GN=PRUPE_ppa007202mg PE=4 SV=1</t>
  </si>
  <si>
    <t>Uncharacterized protein (Fragment) OS=Prunus persica GN=PRUPE_ppa026918mg PE=4 SV=1</t>
  </si>
  <si>
    <t>Uncharacterized protein OS=Prunus persica GN=PRUPE_ppa005069mg PE=4 SV=1</t>
  </si>
  <si>
    <t>Uncharacterized protein OS=Prunus persica GN=PRUPE_ppa022391mg PE=3 SV=1</t>
  </si>
  <si>
    <t>Uncharacterized protein OS=Prunus persica GN=PRUPE_ppa002066mg PE=4 SV=1</t>
  </si>
  <si>
    <t>Uncharacterized protein OS=Prunus persica GN=PRUPE_ppa020963mg PE=4 SV=1</t>
  </si>
  <si>
    <t>Uncharacterized protein OS=Jatropha curcas GN=JCGZ_08210 PE=4 SV=1</t>
  </si>
  <si>
    <t>Uncharacterized protein OS=Prunus persica GN=PRUPE_ppa004695mg PE=3 SV=1</t>
  </si>
  <si>
    <t>Oleosin (Fragment) OS=Prunus persica GN=PRUPE_ppa018784mg PE=3 SV=1</t>
  </si>
  <si>
    <t>NADH-ubiquinone oxidoreductase chain 6 OS=Brassica napus GN=nad6 PE=3 SV=1</t>
  </si>
  <si>
    <t>Uncharacterized protein OS=Prunus persica GN=PRUPE_ppa013733mg PE=4 SV=1</t>
  </si>
  <si>
    <t>Uncharacterized protein (Fragment) OS=Prunus persica GN=PRUPE_ppa026763mg PE=4 SV=1</t>
  </si>
  <si>
    <t>Uncharacterized protein OS=Prunus persica GN=PRUPE_ppa000034mg PE=4 SV=1</t>
  </si>
  <si>
    <t>Beta-galactosidase (Fragment) OS=Prunus persica GN=PRUPE_ppa019277mg PE=3 SV=1</t>
  </si>
  <si>
    <t>Uncharacterized protein OS=Prunus persica GN=PRUPE_ppa006956mg PE=3 SV=1</t>
  </si>
  <si>
    <t>Uncharacterized protein OS=Prunus persica GN=PRUPE_ppb017510mg PE=4 SV=1</t>
  </si>
  <si>
    <t>Uncharacterized protein OS=Prunus persica GN=PRUPE_ppa005942mg PE=4 SV=1</t>
  </si>
  <si>
    <t>Uncharacterized protein OS=Prunus persica GN=PRUPE_ppa007851mg PE=4 SV=1</t>
  </si>
  <si>
    <t>Uncharacterized protein OS=Prunus persica GN=PRUPE_ppa004399mg PE=4 SV=1</t>
  </si>
  <si>
    <t>ENOX5 OS=Prunus persica PE=2 SV=1</t>
  </si>
  <si>
    <t>Uncharacterized protein OS=Prunus persica GN=PRUPE_ppa003482mg PE=4 SV=1</t>
  </si>
  <si>
    <t>CAULIFLOWER A-like protein OS=Prunus pseudocerasus PE=2 SV=1</t>
  </si>
  <si>
    <t>Uncharacterized protein OS=Prunus persica GN=PRUPE_ppb018359mg PE=4 SV=1</t>
  </si>
  <si>
    <t>Uncharacterized protein OS=Prunus persica GN=PRUPE_ppa005568mg PE=4 SV=1</t>
  </si>
  <si>
    <t>Uncharacterized protein OS=Prunus persica GN=PRUPE_ppa005719mg PE=4 SV=1</t>
  </si>
  <si>
    <t>Uncharacterized protein OS=Prunus persica GN=PRUPE_ppa012647mg PE=4 SV=1</t>
  </si>
  <si>
    <t>Uncharacterized protein OS=Prunus persica GN=PRUPE_ppa009827mg PE=4 SV=1</t>
  </si>
  <si>
    <t>NAD(P)H-quinone oxidoreductase subunit K, chloroplastic OS=Prunus serrulata var. spontanea GN=ndhK PE=3 SV=1</t>
  </si>
  <si>
    <t>Uncharacterized protein OS=Populus trichocarpa GN=POPTR_0010s06640g PE=4 SV=2</t>
  </si>
  <si>
    <t>Uncharacterized protein OS=Prunus persica GN=PRUPE_ppa020734mg PE=4 SV=1</t>
  </si>
  <si>
    <t>Uncharacterized protein OS=Prunus persica GN=PRUPE_ppa003793mg PE=4 SV=1</t>
  </si>
  <si>
    <t>Uncharacterized protein OS=Prunus persica GN=PRUPE_ppa019802mg PE=4 SV=1</t>
  </si>
  <si>
    <t>Uncharacterized protein OS=Prunus persica GN=PRUPE_ppa025470mg PE=4 SV=1</t>
  </si>
  <si>
    <t>Uncharacterized protein OS=Prunus persica GN=PRUPE_ppa015802mg PE=4 SV=1</t>
  </si>
  <si>
    <t>Uncharacterized protein OS=Prunus persica GN=PRUPE_ppa024157mg PE=4 SV=1</t>
  </si>
  <si>
    <t>Uncharacterized protein OS=Prunus persica GN=PRUPE_ppa006658mg PE=4 SV=1</t>
  </si>
  <si>
    <t>Uncharacterized protein OS=Prunus persica GN=PRUPE_ppa026772mg PE=4 SV=1</t>
  </si>
  <si>
    <t>Uncharacterized protein (Fragment) OS=Prunus persica GN=PRUPE_ppa018738mg PE=4 SV=1</t>
  </si>
  <si>
    <t>Uncharacterized protein OS=Prunus persica GN=PRUPE_ppa004342mg PE=4 SV=1</t>
  </si>
  <si>
    <t>Uncharacterized protein OS=Prunus persica GN=PRUPE_ppa005892mg PE=4 SV=1</t>
  </si>
  <si>
    <t>Uncharacterized protein (Fragment) OS=Prunus persica GN=PRUPE_ppa019590mg PE=4 SV=1</t>
  </si>
  <si>
    <t>Uncharacterized protein OS=Prunus persica GN=PRUPE_ppa009523mg PE=4 SV=1</t>
  </si>
  <si>
    <t>Uncharacterized protein (Fragment) OS=Prunus persica GN=PRUPE_ppa025818mg PE=4 SV=1</t>
  </si>
  <si>
    <t>Uncharacterized protein OS=Prunus persica GN=PRUPE_ppa005927mg PE=4 SV=1</t>
  </si>
  <si>
    <t>Uncharacterized protein OS=Prunus persica GN=PRUPE_ppa003982mg PE=3 SV=1</t>
  </si>
  <si>
    <t>Uncharacterized protein OS=Prunus persica GN=PRUPE_ppa002033mg PE=4 SV=1</t>
  </si>
  <si>
    <t>Uncharacterized protein OS=Prunus persica GN=PRUPE_ppa010615mg PE=3 SV=1</t>
  </si>
  <si>
    <t>Uncharacterized protein OS=Prunus persica GN=PRUPE_ppa009455mg PE=4 SV=1</t>
  </si>
  <si>
    <t>CASP-like protein OS=Prunus persica GN=PRUPE_ppa012166mg PE=3 SV=1</t>
  </si>
  <si>
    <t>Uncharacterized protein OS=Prunus persica GN=PRUPE_ppa005233mg PE=4 SV=1</t>
  </si>
  <si>
    <t>Proteasome subunit alpha type OS=Prunus persica GN=PRUPE_ppa010805mg PE=3 SV=1</t>
  </si>
  <si>
    <t>Uncharacterized protein (Fragment) OS=Prunus persica GN=PRUPE_ppa014924mg PE=4 SV=1</t>
  </si>
  <si>
    <t>Thioredoxin reductase OS=Prunus persica GN=PRUPE_ppa004200mg PE=3 SV=1</t>
  </si>
  <si>
    <t>Uncharacterized protein OS=Prunus persica GN=PRUPE_ppa007955mg PE=4 SV=1</t>
  </si>
  <si>
    <t>Uncharacterized protein OS=Prunus persica GN=PRUPE_ppa022613mg PE=4 SV=1</t>
  </si>
  <si>
    <t>Uncharacterized protein OS=Prunus persica GN=PRUPE_ppa004915mg PE=3 SV=1</t>
  </si>
  <si>
    <t>Uncharacterized protein OS=Prunus persica GN=PRUPE_ppa021368mg PE=4 SV=1</t>
  </si>
  <si>
    <t>Uncharacterized protein OS=Prunus persica GN=PRUPE_ppa008039mg PE=4 SV=1</t>
  </si>
  <si>
    <t>Uncharacterized protein OS=Prunus persica GN=PRUPE_ppa003454mg PE=4 SV=1</t>
  </si>
  <si>
    <t>Uncharacterized protein OS=Prunus persica GN=PRUPE_ppa000192mg PE=3 SV=1</t>
  </si>
  <si>
    <t>Myosin regulatory light chain 2, ventricular/cardiac muscle isoform (Fragment) OS=Bos mutus GN=M91_16441 PE=4 SV=1</t>
  </si>
  <si>
    <t>Uncharacterized protein OS=Prunus persica GN=PRUPE_ppa007492mg PE=4 SV=1</t>
  </si>
  <si>
    <t>Uncharacterized protein OS=Prunus persica GN=PRUPE_ppa000712mg PE=4 SV=1</t>
  </si>
  <si>
    <t>Uncharacterized protein OS=Prunus persica GN=PRUPE_ppa008265mg PE=4 SV=1</t>
  </si>
  <si>
    <t>Putative uncharacterized protein OS=Vitis vinifera GN=VITISV_044067 PE=4 SV=1</t>
  </si>
  <si>
    <t>Uncharacterized protein OS=Prunus persica GN=PRUPE_ppa011633mg PE=3 SV=1</t>
  </si>
  <si>
    <t>Uncharacterized protein (Fragment) OS=Citrus sinensis GN=CISIN_1g0014661mg PE=4 SV=1</t>
  </si>
  <si>
    <t>Uncharacterized protein OS=Prunus persica GN=PRUPE_ppa003511mg PE=4 SV=1</t>
  </si>
  <si>
    <t>RING-finger ubiquitin ligase OS=Medicago truncatula GN=MTR_4g106960 PE=4 SV=1</t>
  </si>
  <si>
    <t>Uncharacterized protein OS=Prunus persica GN=PRUPE_ppa019847mg PE=4 SV=1</t>
  </si>
  <si>
    <t>Uncharacterized protein OS=Prunus persica GN=PRUPE_ppa026987mg PE=4 SV=1</t>
  </si>
  <si>
    <t>Uncharacterized protein (Fragment) OS=Prunus persica GN=PRUPE_ppa016837mg PE=3 SV=1</t>
  </si>
  <si>
    <t>Uncharacterized protein OS=Prunus persica GN=PRUPE_ppa000546mg PE=4 SV=1</t>
  </si>
  <si>
    <t>Uncharacterized protein OS=Prunus persica GN=PRUPE_ppa006020mg PE=4 SV=1</t>
  </si>
  <si>
    <t>Uncharacterized protein OS=Prunus persica GN=PRUPE_ppa001608mg PE=4 SV=1</t>
  </si>
  <si>
    <t>Uncharacterized protein OS=Prunus persica GN=PRUPE_ppa026843mg PE=4 SV=1</t>
  </si>
  <si>
    <t>Uncharacterized protein OS=Prunus persica GN=PRUPE_ppa008879mg PE=4 SV=1</t>
  </si>
  <si>
    <t>Uncharacterized protein OS=Morus notabilis GN=L484_025045 PE=4 SV=1</t>
  </si>
  <si>
    <t>Uncharacterized protein OS=Prunus persica GN=PRUPE_ppa024375mg PE=4 SV=1</t>
  </si>
  <si>
    <t>Uncharacterized protein OS=Prunus persica GN=PRUPE_ppa000541mg PE=4 SV=1</t>
  </si>
  <si>
    <t>Uncharacterized protein OS=Prunus persica GN=PRUPE_ppa005643mg PE=4 SV=1</t>
  </si>
  <si>
    <t>Uncharacterized protein (Fragment) OS=Prunus persica GN=PRUPE_ppa027032mg PE=4 SV=1</t>
  </si>
  <si>
    <t>Uncharacterized protein OS=Prunus persica GN=PRUPE_ppa010142mg PE=4 SV=1</t>
  </si>
  <si>
    <t>Uncharacterized protein OS=Prunus persica GN=PRUPE_ppa002160mg PE=4 SV=1</t>
  </si>
  <si>
    <t>Uncharacterized protein OS=Prunus persica GN=PRUPE_ppa008552mg PE=4 SV=1</t>
  </si>
  <si>
    <t>Uncharacterized protein OS=Prunus persica GN=PRUPE_ppa026839mg PE=4 SV=1</t>
  </si>
  <si>
    <t>Uncharacterized protein OS=Prunus persica GN=PRUPE_ppa018804mg PE=4 SV=1</t>
  </si>
  <si>
    <t>Uncharacterized protein OS=Prunus persica GN=PRUPE_ppa017667mg PE=3 SV=1</t>
  </si>
  <si>
    <t>Uncharacterized protein OS=Prunus persica GN=PRUPE_ppa008369mg PE=4 SV=1</t>
  </si>
  <si>
    <t>Uncharacterized protein OS=Prunus persica GN=PRUPE_ppa005240mg PE=4 SV=1</t>
  </si>
  <si>
    <t>Uncharacterized protein (Fragment) OS=Prunus persica GN=PRUPE_ppa018986mg PE=4 SV=1</t>
  </si>
  <si>
    <t>Uncharacterized protein OS=Prunus persica GN=PRUPE_ppa001027mg PE=4 SV=1</t>
  </si>
  <si>
    <t>Uncharacterized protein OS=Prunus persica GN=PRUPE_ppa000072mg PE=4 SV=1</t>
  </si>
  <si>
    <t>Uncharacterized protein OS=Prunus persica GN=PRUPE_ppa008190mg PE=4 SV=1</t>
  </si>
  <si>
    <t>Uncharacterized protein OS=Prunus persica GN=PRUPE_ppa020986mg PE=4 SV=1</t>
  </si>
  <si>
    <t>Uncharacterized protein OS=Prunus persica GN=PRUPE_ppa005215mg PE=4 SV=1</t>
  </si>
  <si>
    <t>Peptidyl-prolyl cis-trans isomerase OS=Prunus persica GN=PRUPE_ppa010126mg PE=4 SV=1</t>
  </si>
  <si>
    <t>Uncharacterized protein OS=Prunus persica GN=PRUPE_ppa011988mg PE=4 SV=1</t>
  </si>
  <si>
    <t>Uncharacterized protein OS=Prunus persica GN=PRUPE_ppa010335mg PE=3 SV=1</t>
  </si>
  <si>
    <t>Uncharacterized protein OS=Prunus persica GN=PRUPE_ppa002333mg PE=4 SV=1</t>
  </si>
  <si>
    <t>Uncharacterized protein (Fragment) OS=Prunus persica GN=PRUPE_ppa024256mg PE=4 SV=1</t>
  </si>
  <si>
    <t>Glycosyltransferase OS=Prunus persica GN=PRUPE_ppa020820mg PE=3 SV=1</t>
  </si>
  <si>
    <t>Uncharacterized protein OS=Prunus persica GN=PRUPE_ppa012006mg PE=4 SV=1</t>
  </si>
  <si>
    <t>Uncharacterized protein OS=Prunus persica GN=PRUPE_ppa001543mg PE=4 SV=1</t>
  </si>
  <si>
    <t>Uncharacterized protein OS=Prunus persica GN=PRUPE_ppa000899mg PE=4 SV=1</t>
  </si>
  <si>
    <t>Uncharacterized protein OS=Prunus persica GN=PRUPE_ppa003521mg PE=4 SV=1</t>
  </si>
  <si>
    <t>Uncharacterized protein OS=Prunus persica GN=PRUPE_ppa001764mg PE=4 SV=1</t>
  </si>
  <si>
    <t>Uncharacterized protein OS=Prunus persica GN=PRUPE_ppa017158mg PE=4 SV=1</t>
  </si>
  <si>
    <t>NADH dehydrogenase subunit F (Fragment) OS=Rhamnus davurica GN=ndhF PE=4 SV=1</t>
  </si>
  <si>
    <t>Uncharacterized protein OS=Prunus persica GN=PRUPE_ppa009375mg PE=4 SV=1</t>
  </si>
  <si>
    <t>Histone H2A OS=Prunus persica GN=PRUPE_ppa013146mg PE=3 SV=1</t>
  </si>
  <si>
    <t>Putative uncharacterized protein OS=Vitis vinifera GN=VIT_13s0067g02950 PE=4 SV=1</t>
  </si>
  <si>
    <t>Uncharacterized protein OS=Prunus persica GN=PRUPE_ppa001798mg PE=4 SV=1</t>
  </si>
  <si>
    <t>Uncharacterized protein OS=Prunus persica GN=PRUPE_ppa003041mg PE=4 SV=1</t>
  </si>
  <si>
    <t>Uncharacterized protein OS=Prunus persica GN=PRUPE_ppa008331mg PE=4 SV=1</t>
  </si>
  <si>
    <t>Uncharacterized protein (Fragment) OS=Prunus persica GN=PRUPE_ppa021941mg PE=4 SV=1</t>
  </si>
  <si>
    <t>Uncharacterized protein (Fragment) OS=Prunus persica GN=PRUPE_ppa024450mg PE=4 SV=1</t>
  </si>
  <si>
    <t>Uncharacterized protein (Fragment) OS=Prunus persica GN=PRUPE_ppa020554mg PE=4 SV=1</t>
  </si>
  <si>
    <t>Uncharacterized protein OS=Prunus persica GN=PRUPE_ppa003799mg PE=4 SV=1</t>
  </si>
  <si>
    <t>Uncharacterized protein OS=Prunus persica GN=PRUPE_ppa007575mg PE=4 SV=1</t>
  </si>
  <si>
    <t>Pectate lyase OS=Prunus persica GN=PRUPE_ppa003600mg PE=3 SV=1</t>
  </si>
  <si>
    <t>Uncharacterized protein OS=Prunus persica GN=PRUPE_ppa005764mg PE=4 SV=1</t>
  </si>
  <si>
    <t>Uncharacterized protein OS=Prunus persica GN=PRUPE_ppa014542mg PE=4 SV=1</t>
  </si>
  <si>
    <t>Uncharacterized protein OS=Prunus persica GN=PRUPE_ppa013919mg PE=4 SV=1</t>
  </si>
  <si>
    <t>Small nuclear ribonucleoprotein-associated protein OS=Prunus persica GN=PRUPE_ppa015979mg PE=3 SV=1</t>
  </si>
  <si>
    <t>Uncharacterized protein OS=Prunus persica GN=PRUPE_ppa026916mg PE=4 SV=1</t>
  </si>
  <si>
    <t>Uncharacterized protein OS=Prunus persica GN=PRUPE_ppa027182mg PE=4 SV=1</t>
  </si>
  <si>
    <t>Formin-like protein OS=Prunus persica GN=PRUPE_ppa000320mg PE=3 SV=1</t>
  </si>
  <si>
    <t>Uncharacterized protein OS=Morus notabilis GN=L484_008176 PE=4 SV=1</t>
  </si>
  <si>
    <t>Uncharacterized protein OS=Prunus persica GN=PRUPE_ppa006953mg PE=4 SV=1</t>
  </si>
  <si>
    <t>Uncharacterized protein OS=Prunus persica GN=PRUPE_ppa004698mg PE=4 SV=1</t>
  </si>
  <si>
    <t>Uncharacterized protein OS=Prunus persica GN=PRUPE_ppa015556mg PE=4 SV=1</t>
  </si>
  <si>
    <t>Uncharacterized protein OS=Prunus persica GN=PRUPE_ppa019780mg PE=4 SV=1</t>
  </si>
  <si>
    <t>Uncharacterized protein OS=Prunus persica GN=PRUPE_ppa008477mg PE=4 SV=1</t>
  </si>
  <si>
    <t>Uncharacterized protein OS=Prunus persica GN=PRUPE_ppa010343mg PE=4 SV=1</t>
  </si>
  <si>
    <t>Uncharacterized protein OS=Prunus persica GN=PRUPE_ppa001527mg PE=4 SV=1</t>
  </si>
  <si>
    <t>Uncharacterized protein OS=Prunus persica GN=PRUPE_ppa009264mg PE=4 SV=1</t>
  </si>
  <si>
    <t>Uncharacterized protein OS=Prunus persica GN=PRUPE_ppa006983mg PE=4 SV=1</t>
  </si>
  <si>
    <t>Uncharacterized protein OS=Prunus persica GN=PRUPE_ppa012599mg PE=4 SV=1</t>
  </si>
  <si>
    <t>Uncharacterized protein OS=Prunus persica GN=PRUPE_ppa020458mg PE=4 SV=1</t>
  </si>
  <si>
    <t>Uncharacterized protein OS=Prunus persica GN=PRUPE_ppa002591mg PE=3 SV=1</t>
  </si>
  <si>
    <t>Uncharacterized protein OS=Prunus persica GN=PRUPE_ppa003801mg PE=4 SV=1</t>
  </si>
  <si>
    <t>GDP-D-mannose-3',5'-epimerase OS=Prunus persica GN=GME PE=2 SV=1</t>
  </si>
  <si>
    <t>Uncharacterized protein OS=Prunus persica GN=PRUPE_ppa010330mg PE=4 SV=1</t>
  </si>
  <si>
    <t>Uncharacterized protein OS=Prunus persica GN=PRUPE_ppa004559mg PE=3 SV=1</t>
  </si>
  <si>
    <t>Uncharacterized protein OS=Prunus persica GN=PRUPE_ppa010768mg PE=4 SV=1</t>
  </si>
  <si>
    <t>Uncharacterized protein OS=Morus notabilis GN=L484_007701 PE=4 SV=1</t>
  </si>
  <si>
    <t>Uncharacterized protein OS=Prunus persica GN=PRUPE_ppa004999mg PE=3 SV=1</t>
  </si>
  <si>
    <t>Uncharacterized protein OS=Prunus persica GN=PRUPE_ppa013472mg PE=4 SV=1</t>
  </si>
  <si>
    <t>Uncharacterized protein (Fragment) OS=Prunus persica GN=PRUPE_ppb022444mg PE=4 SV=1</t>
  </si>
  <si>
    <t>Uncharacterized protein OS=Prunus persica GN=PRUPE_ppa026990mg PE=4 SV=1</t>
  </si>
  <si>
    <t>Uncharacterized protein OS=Prunus persica GN=PRUPE_ppa020127mg PE=4 SV=1</t>
  </si>
  <si>
    <t>Uncharacterized protein OS=Prunus persica GN=PRUPE_ppa024264mg PE=4 SV=1</t>
  </si>
  <si>
    <t>Serine/threonine-protein kinase OS=Prunus persica GN=PRUPE_ppa001866mg PE=3 SV=1</t>
  </si>
  <si>
    <t>Uncharacterized protein OS=Prunus persica GN=PRUPE_ppa003897mg PE=4 SV=1</t>
  </si>
  <si>
    <t>Uncharacterized protein OS=Prunus persica GN=PRUPE_ppa006136mg PE=4 SV=1</t>
  </si>
  <si>
    <t>Uncharacterized protein (Fragment) OS=Prunus persica GN=PRUPE_ppa023813mg PE=4 SV=1</t>
  </si>
  <si>
    <t>Uncharacterized protein OS=Prunus persica GN=PRUPE_ppa016816mg PE=4 SV=1</t>
  </si>
  <si>
    <t>Uncharacterized protein OS=Prunus persica GN=PRUPE_ppa012873mg PE=4 SV=1</t>
  </si>
  <si>
    <t>Uncharacterized protein OS=Prunus persica GN=PRUPE_ppa003630mg PE=3 SV=1</t>
  </si>
  <si>
    <t>Uncharacterized protein OS=Prunus persica GN=PRUPE_ppa002088mg PE=4 SV=1</t>
  </si>
  <si>
    <t>Non-specific lipid-transfer protein OS=Prunus persica GN=PRUPE_ppa013464mg PE=3 SV=1</t>
  </si>
  <si>
    <t>Uncharacterized protein (Fragment) OS=Prunus persica GN=PRUPE_ppa025458mg PE=4 SV=1</t>
  </si>
  <si>
    <t>Uncharacterized protein OS=Prunus persica GN=PRUPE_ppa001740mg PE=4 SV=1</t>
  </si>
  <si>
    <t>Uncharacterized protein OS=Prunus persica GN=PRUPE_ppa012106mg PE=4 SV=1</t>
  </si>
  <si>
    <t>Uncharacterized protein OS=Prunus persica GN=PRUPE_ppa017632mg PE=3 SV=1</t>
  </si>
  <si>
    <t>Uncharacterized protein OS=Prunus persica GN=PRUPE_ppa006501mg PE=4 SV=1</t>
  </si>
  <si>
    <t>Uncharacterized protein OS=Prunus persica GN=PRUPE_ppa010581mg PE=4 SV=1</t>
  </si>
  <si>
    <t>Uncharacterized protein OS=Prunus persica GN=PRUPE_ppa000080mg PE=4 SV=1</t>
  </si>
  <si>
    <t>Uncharacterized protein OS=Prunus persica GN=PRUPE_ppa002924mg PE=4 SV=1</t>
  </si>
  <si>
    <t>Uncharacterized protein (Fragment) OS=Prunus persica GN=PRUPE_ppa025861mg PE=4 SV=1</t>
  </si>
  <si>
    <t>Uncharacterized protein OS=Prunus persica GN=PRUPE_ppa023725mg PE=4 SV=1</t>
  </si>
  <si>
    <t>Adenylyl-sulfate kinase OS=Prunus persica GN=PRUPE_ppa011498mg PE=3 SV=1</t>
  </si>
  <si>
    <t>Uncharacterized protein OS=Prunus persica GN=PRUPE_ppa000025mg PE=4 SV=1</t>
  </si>
  <si>
    <t>Uncharacterized protein OS=Prunus persica GN=PRUPE_ppa006825mg PE=4 SV=1</t>
  </si>
  <si>
    <t>Uncharacterized protein OS=Prunus persica GN=PRUPE_ppa010063mg PE=4 SV=1</t>
  </si>
  <si>
    <t>Uncharacterized protein OS=Prunus persica GN=PRUPE_ppa006574mg PE=4 SV=1</t>
  </si>
  <si>
    <t>Uncharacterized protein OS=Prunus persica GN=PRUPE_ppa010668mg PE=4 SV=1</t>
  </si>
  <si>
    <t>NEP1-interacting protein-like 2 OS=Morus notabilis GN=L484_008593 PE=4 SV=1</t>
  </si>
  <si>
    <t>Uncharacterized protein OS=Prunus persica GN=PRUPE_ppa012528mg PE=4 SV=1</t>
  </si>
  <si>
    <t>Uncharacterized protein OS=Prunus persica GN=PRUPE_ppa006009mg PE=3 SV=1</t>
  </si>
  <si>
    <t>Uncharacterized protein OS=Prunus persica GN=PRUPE_ppa008235mg PE=3 SV=1</t>
  </si>
  <si>
    <t>Uncharacterized protein OS=Prunus persica GN=PRUPE_ppa001307mg PE=4 SV=1</t>
  </si>
  <si>
    <t>S-acyltransferase OS=Prunus persica GN=PRUPE_ppa002901mg PE=3 SV=1</t>
  </si>
  <si>
    <t>Uncharacterized protein OS=Prunus persica GN=PRUPE_ppa000887mg PE=4 SV=1</t>
  </si>
  <si>
    <t>Hexosyltransferase OS=Prunus persica GN=PRUPE_ppa008264mg PE=3 SV=1</t>
  </si>
  <si>
    <t>Uncharacterized protein OS=Prunus persica GN=PRUPE_ppa009101mg PE=3 SV=1</t>
  </si>
  <si>
    <t>Uncharacterized protein OS=Prunus persica GN=PRUPE_ppa020006mg PE=4 SV=1</t>
  </si>
  <si>
    <t>Molybdopterin synthase sulfur carrier subunit OS=Prunus persica GN=PRUPE_ppa013746mg PE=3 SV=1</t>
  </si>
  <si>
    <t>Uncharacterized protein OS=Prunus persica GN=PRUPE_ppa025029mg PE=4 SV=1</t>
  </si>
  <si>
    <t>Uncharacterized protein OS=Prunus persica GN=PRUPE_ppa005220mg PE=4 SV=1</t>
  </si>
  <si>
    <t>Uncharacterized protein OS=Prunus persica GN=PRUPE_ppa022759mg PE=4 SV=1</t>
  </si>
  <si>
    <t>Uncharacterized protein OS=Prunus persica GN=PRUPE_ppa012122mg PE=3 SV=1</t>
  </si>
  <si>
    <t>Uncharacterized protein OS=Prunus persica GN=PRUPE_ppa005127mg PE=4 SV=1</t>
  </si>
  <si>
    <t>Uncharacterized protein OS=Prunus persica GN=PRUPE_ppa027130mg PE=4 SV=1</t>
  </si>
  <si>
    <t>Uncharacterized protein OS=Prunus persica GN=PRUPE_ppa013262mg PE=4 SV=1</t>
  </si>
  <si>
    <t>Uncharacterized protein OS=Glycine max PE=3 SV=1</t>
  </si>
  <si>
    <t>Uncharacterized protein OS=Morus notabilis GN=L484_024022 PE=4 SV=1</t>
  </si>
  <si>
    <t>Uncharacterized protein OS=Prunus persica GN=PRUPE_ppa000363mg PE=3 SV=1</t>
  </si>
  <si>
    <t>Uncharacterized protein OS=Prunus persica GN=PRUPE_ppa007939mg PE=4 SV=1</t>
  </si>
  <si>
    <t>Cytochrome c maturation protein CcmFc OS=Nicotiana tabacum GN=ccmFc PE=4 SV=2</t>
  </si>
  <si>
    <t>Kinesin-like protein OS=Prunus persica GN=PRUPE_ppa000013mg PE=3 SV=1</t>
  </si>
  <si>
    <t>Uncharacterized protein OS=Prunus persica GN=PRUPE_ppa007984mg PE=4 SV=1</t>
  </si>
  <si>
    <t>Uncharacterized protein OS=Prunus persica GN=PRUPE_ppa017128mg PE=4 SV=1</t>
  </si>
  <si>
    <t>Uncharacterized protein OS=Prunus persica GN=PRUPE_ppa001765mg PE=4 SV=1</t>
  </si>
  <si>
    <t>Uncharacterized protein OS=Prunus persica GN=PRUPE_ppa006769mg PE=4 SV=1</t>
  </si>
  <si>
    <t>Uncharacterized protein OS=Prunus persica GN=PRUPE_ppa000621mg PE=4 SV=1</t>
  </si>
  <si>
    <t>Xyloglucan endotransglucosylase/hydrolase OS=Prunus persica GN=PRUPE_ppa009792mg PE=3 SV=1</t>
  </si>
  <si>
    <t>Uncharacterized protein OS=Prunus persica GN=PRUPE_ppa010083mg PE=4 SV=1</t>
  </si>
  <si>
    <t>Uncharacterized protein (Fragment) OS=Prunus persica GN=PRUPE_ppa020461mg PE=3 SV=1</t>
  </si>
  <si>
    <t>Uncharacterized protein OS=Prunus persica GN=PRUPE_ppa011115mg PE=3 SV=1</t>
  </si>
  <si>
    <t>Retrovirus-related Pol polyprotein from transposon TNT 1-94 (Fragment) OS=Glycine soja GN=glysoja_047250 PE=4 SV=1</t>
  </si>
  <si>
    <t>Uncharacterized protein OS=Prunus persica GN=PRUPE_ppa022029mg PE=4 SV=1</t>
  </si>
  <si>
    <t>Uncharacterized protein OS=Jatropha curcas GN=JCGZ_25941 PE=4 SV=1</t>
  </si>
  <si>
    <t>Uncharacterized protein OS=Prunus persica GN=PRUPE_ppa015057mg PE=4 SV=1</t>
  </si>
  <si>
    <t>Uncharacterized protein OS=Prunus persica GN=PRUPE_ppa001969mg PE=4 SV=1</t>
  </si>
  <si>
    <t>Uncharacterized protein OS=Prunus persica GN=PRUPE_ppa007179mg PE=4 SV=1</t>
  </si>
  <si>
    <t>Uncharacterized protein OS=Prunus persica GN=PRUPE_ppa004819mg PE=3 SV=1</t>
  </si>
  <si>
    <t>Purple acid phosphatase OS=Prunus persica GN=PRUPE_ppa000602mg PE=3 SV=1</t>
  </si>
  <si>
    <t>Uncharacterized protein OS=Prunus persica GN=PRUPE_ppa003832mg PE=4 SV=1</t>
  </si>
  <si>
    <t>Uncharacterized protein OS=Prunus persica GN=PRUPE_ppa010742mg PE=4 SV=1</t>
  </si>
  <si>
    <t>Uncharacterized protein OS=Prunus persica GN=PRUPE_ppa013339mg PE=4 SV=1</t>
  </si>
  <si>
    <t>Lysine--tRNA ligase OS=Prunus persica GN=PRUPE_ppa003157mg PE=3 SV=1</t>
  </si>
  <si>
    <t>Uncharacterized protein OS=Prunus persica GN=PRUPE_ppa001910mg PE=4 SV=1</t>
  </si>
  <si>
    <t>Uncharacterized protein OS=Prunus persica GN=PRUPE_ppa024172mg PE=4 SV=1</t>
  </si>
  <si>
    <t>T4.5 protein OS=Malus x robusta GN=T4.5 PE=4 SV=1</t>
  </si>
  <si>
    <t>Uncharacterized protein OS=Prunus persica GN=PRUPE_ppa002741mg PE=3 SV=1</t>
  </si>
  <si>
    <t>Uncharacterized protein OS=Prunus persica GN=PRUPE_ppa022137mg PE=4 SV=1</t>
  </si>
  <si>
    <t>Uncharacterized protein OS=Prunus persica GN=PRUPE_ppa004327mg PE=4 SV=1</t>
  </si>
  <si>
    <t>Uncharacterized protein OS=Prunus persica GN=PRUPE_ppa007321mg PE=4 SV=1</t>
  </si>
  <si>
    <t>Uncharacterized protein OS=Prunus persica GN=PRUPE_ppa007544mg PE=4 SV=1</t>
  </si>
  <si>
    <t>Uncharacterized protein OS=Prunus persica GN=PRUPE_ppa006133mg PE=4 SV=1</t>
  </si>
  <si>
    <t>Uncharacterized protein OS=Prunus persica GN=PRUPE_ppa008187mg PE=4 SV=1</t>
  </si>
  <si>
    <t>Uncharacterized protein OS=Prunus persica GN=PRUPE_ppa013808mg PE=4 SV=1</t>
  </si>
  <si>
    <t>Uncharacterized protein OS=Prunus persica GN=PRUPE_ppa009480mg PE=4 SV=1</t>
  </si>
  <si>
    <t>Uncharacterized protein OS=Prunus persica GN=PRUPE_ppa006880mg PE=4 SV=1</t>
  </si>
  <si>
    <t>Uncharacterized protein OS=Prunus persica GN=PRUPE_ppa022505mg PE=4 SV=1</t>
  </si>
  <si>
    <t>Uncharacterized protein OS=Prunus persica GN=PRUPE_ppa009175mg PE=4 SV=1</t>
  </si>
  <si>
    <t>Uncharacterized protein OS=Prunus persica GN=PRUPE_ppa011327mg PE=4 SV=1</t>
  </si>
  <si>
    <t>Uncharacterized protein OS=Prunus persica GN=PRUPE_ppa009362mg PE=4 SV=1</t>
  </si>
  <si>
    <t>Uncharacterized protein OS=Prunus persica GN=PRUPE_ppa012814mg PE=3 SV=1</t>
  </si>
  <si>
    <t>Uncharacterized protein OS=Prunus persica GN=PRUPE_ppa008139mg PE=4 SV=1</t>
  </si>
  <si>
    <t>Carboxypeptidase OS=Prunus persica GN=PRUPE_ppa005360mg PE=3 SV=1</t>
  </si>
  <si>
    <t>Uncharacterized protein OS=Prunus persica GN=PRUPE_ppa012329mg PE=4 SV=1</t>
  </si>
  <si>
    <t>Uncharacterized protein OS=Prunus persica GN=PRUPE_ppa010884mg PE=4 SV=1</t>
  </si>
  <si>
    <t>Uncharacterized protein OS=Prunus persica GN=PRUPE_ppa025609mg PE=4 SV=1</t>
  </si>
  <si>
    <t>Uncharacterized protein OS=Prunus persica GN=PRUPE_ppa011564mg PE=4 SV=1</t>
  </si>
  <si>
    <t>Uncharacterized protein OS=Prunus persica GN=PRUPE_ppa022084mg PE=4 SV=1</t>
  </si>
  <si>
    <t>Uncharacterized protein (Fragment) OS=Prunus persica GN=PRUPE_ppa023338mg PE=4 SV=1</t>
  </si>
  <si>
    <t>Uncharacterized protein OS=Prunus persica GN=PRUPE_ppa007734mg PE=4 SV=1</t>
  </si>
  <si>
    <t>Uncharacterized protein (Fragment) OS=Prunus persica GN=PRUPE_ppa025965mg PE=4 SV=1</t>
  </si>
  <si>
    <t>Uncharacterized protein OS=Prunus persica GN=PRUPE_ppa001510mg PE=4 SV=1</t>
  </si>
  <si>
    <t>Uncharacterized protein OS=Prunus persica GN=PRUPE_ppa006326mg PE=4 SV=1</t>
  </si>
  <si>
    <t>Uncharacterized protein OS=Prunus persica GN=PRUPE_ppa012239mg PE=4 SV=1</t>
  </si>
  <si>
    <t>Squamosa promoter-binding-like protein OS=Prunus persica GN=PRUPE_ppa022739mg PE=4 SV=1</t>
  </si>
  <si>
    <t>Uncharacterized protein OS=Prunus persica GN=PRUPE_ppa000843mg PE=4 SV=1</t>
  </si>
  <si>
    <t>Uncharacterized protein OS=Prunus persica GN=PRUPE_ppa019307mg PE=4 SV=1</t>
  </si>
  <si>
    <t>Uncharacterized protein OS=Prunus persica GN=PRUPE_ppa003758mg PE=4 SV=1</t>
  </si>
  <si>
    <t>Uncharacterized protein OS=Prunus persica GN=PRUPE_ppa013757mg PE=4 SV=1</t>
  </si>
  <si>
    <t>Uncharacterized protein OS=Prunus persica GN=PRUPE_ppa001234mg PE=4 SV=1</t>
  </si>
  <si>
    <t>Uncharacterized protein OS=Prunus persica GN=PRUPE_ppa018757mg PE=4 SV=1</t>
  </si>
  <si>
    <t>Uncharacterized protein OS=Prunus persica GN=PRUPE_ppa007684mg PE=4 SV=1</t>
  </si>
  <si>
    <t>Uncharacterized protein OS=Prunus persica GN=PRUPE_ppa019607mg PE=4 SV=1</t>
  </si>
  <si>
    <t>ATP synthase subunit alpha OS=Nicotiana tabacum GN=atp1 PE=3 SV=2</t>
  </si>
  <si>
    <t>Uncharacterized protein OS=Prunus persica GN=PRUPE_ppa012290mg PE=4 SV=1</t>
  </si>
  <si>
    <t>Uncharacterized protein OS=Prunus persica GN=PRUPE_ppa001815mg PE=4 SV=1</t>
  </si>
  <si>
    <t>Uncharacterized protein OS=Prunus persica GN=PRUPE_ppa009439mg PE=4 SV=1</t>
  </si>
  <si>
    <t>Uncharacterized protein OS=Prunus persica GN=PRUPE_ppa022453mg PE=4 SV=1</t>
  </si>
  <si>
    <t>Reticulon-like protein OS=Prunus persica GN=PRUPE_ppa003251mg PE=3 SV=1</t>
  </si>
  <si>
    <t>Uncharacterized protein OS=Prunus persica GN=PRUPE_ppa002885mg PE=4 SV=1</t>
  </si>
  <si>
    <t>Uncharacterized protein OS=Prunus persica GN=PRUPE_ppa000729mg PE=4 SV=1</t>
  </si>
  <si>
    <t>Uncharacterized protein OS=Prunus persica GN=PRUPE_ppa002835mg PE=4 SV=1</t>
  </si>
  <si>
    <t>Uncharacterized protein OS=Prunus persica GN=PRUPE_ppa023466mg PE=4 SV=1</t>
  </si>
  <si>
    <t>Uncharacterized protein OS=Prunus persica GN=PRUPE_ppa026559mg PE=4 SV=1</t>
  </si>
  <si>
    <t>Uncharacterized protein (Fragment) OS=Prunus persica GN=PRUPE_ppa020298mg PE=4 SV=1</t>
  </si>
  <si>
    <t>Uncharacterized protein OS=Prunus persica GN=PRUPE_ppa002778mg PE=3 SV=1</t>
  </si>
  <si>
    <t>Imidazoleglycerol-phosphate dehydratase OS=Prunus persica GN=PRUPE_ppa009591mg PE=3 SV=1</t>
  </si>
  <si>
    <t>Uncharacterized protein (Fragment) OS=Prunus persica GN=PRUPE_ppa015467mg PE=4 SV=1</t>
  </si>
  <si>
    <t>Uncharacterized protein OS=Prunus persica GN=PRUPE_ppa025105mg PE=4 SV=1</t>
  </si>
  <si>
    <t>Annexin OS=Prunus persica GN=PRUPE_ppa008912mg PE=3 SV=1</t>
  </si>
  <si>
    <t>Uncharacterized protein OS=Prunus persica GN=PRUPE_ppa016778mg PE=4 SV=1</t>
  </si>
  <si>
    <t>Uncharacterized protein OS=Prunus persica GN=PRUPE_ppa010937mg PE=4 SV=1</t>
  </si>
  <si>
    <t>Uncharacterized protein (Fragment) OS=Prunus persica GN=PRUPE_ppa018580mg PE=4 SV=1</t>
  </si>
  <si>
    <t>Uncharacterized protein OS=Prunus persica GN=PRUPE_ppa012425mg PE=3 SV=1</t>
  </si>
  <si>
    <t>Uncharacterized protein OS=Prunus persica GN=PRUPE_ppa015037mg PE=4 SV=1</t>
  </si>
  <si>
    <t>Uncharacterized protein OS=Prunus persica GN=PRUPE_ppa013513mg PE=4 SV=1</t>
  </si>
  <si>
    <t>Calcium-transporting ATPase OS=Prunus persica GN=PRUPE_ppa000581mg PE=3 SV=1</t>
  </si>
  <si>
    <t>Uncharacterized protein OS=Prunus persica GN=PRUPE_ppa014715mg PE=4 SV=1</t>
  </si>
  <si>
    <t>Uncharacterized protein OS=Prunus persica GN=PRUPE_ppa025403mg PE=4 SV=1</t>
  </si>
  <si>
    <t>Uncharacterized protein OS=Prunus persica GN=PRUPE_ppa011740mg PE=4 SV=1</t>
  </si>
  <si>
    <t>Uncharacterized protein OS=Prunus persica GN=PRUPE_ppa008772mg PE=4 SV=1</t>
  </si>
  <si>
    <t>Uncharacterized protein OS=Prunus persica GN=PRUPE_ppa022361mg PE=4 SV=1</t>
  </si>
  <si>
    <t>Uncharacterized protein OS=Prunus persica GN=PRUPE_ppa002614mg PE=4 SV=1</t>
  </si>
  <si>
    <t>Uncharacterized protein OS=Prunus persica GN=PRUPE_ppa008490mg PE=4 SV=1</t>
  </si>
  <si>
    <t>Uncharacterized protein OS=Prunus persica GN=PRUPE_ppa000398mg PE=4 SV=1</t>
  </si>
  <si>
    <t>Uncharacterized protein OS=Prunus persica GN=PRUPE_ppa004407mg PE=4 SV=1</t>
  </si>
  <si>
    <t>Uncharacterized protein OS=Prunus persica GN=PRUPE_ppa026168mg PE=4 SV=1</t>
  </si>
  <si>
    <t>Uncharacterized protein OS=Prunus persica GN=PRUPE_ppa010992mg PE=3 SV=1</t>
  </si>
  <si>
    <t>Uncharacterized protein OS=Prunus persica GN=PRUPE_ppa011213mg PE=4 SV=1</t>
  </si>
  <si>
    <t>Uncharacterized protein OS=Prunus persica GN=PRUPE_ppa005109mg PE=4 SV=1</t>
  </si>
  <si>
    <t>Uncharacterized protein OS=Prunus persica GN=PRUPE_ppa002325mg PE=4 SV=1</t>
  </si>
  <si>
    <t>Uncharacterized protein OS=Prunus persica GN=PRUPE_ppa017733mg PE=4 SV=1</t>
  </si>
  <si>
    <t>Uncharacterized protein OS=Prunus persica GN=PRUPE_ppa000228mg PE=4 SV=1</t>
  </si>
  <si>
    <t>Uncharacterized protein OS=Prunus persica GN=PRUPE_ppa010435mg PE=4 SV=1</t>
  </si>
  <si>
    <t>Uncharacterized protein isoform 2 (Fragment) OS=Theobroma cacao GN=TCM_041006 PE=4 SV=1</t>
  </si>
  <si>
    <t>Uncharacterized protein OS=Prunus persica GN=PRUPE_ppa000515mg PE=4 SV=1</t>
  </si>
  <si>
    <t>Uncharacterized protein OS=Prunus persica GN=PRUPE_ppa009233mg PE=4 SV=1</t>
  </si>
  <si>
    <t>Uncharacterized protein OS=Prunus persica GN=PRUPE_ppb011933mg PE=4 SV=1</t>
  </si>
  <si>
    <t>Uncharacterized protein OS=Prunus persica GN=PRUPE_ppa008500mg PE=4 SV=1</t>
  </si>
  <si>
    <t>Uncharacterized protein OS=Prunus persica GN=PRUPE_ppa002330mg PE=4 SV=1</t>
  </si>
  <si>
    <t>Uncharacterized protein OS=Prunus persica GN=PRUPE_ppa016077mg PE=4 SV=1</t>
  </si>
  <si>
    <t>Uncharacterized protein OS=Prunus persica GN=PRUPE_ppa002745mg PE=4 SV=1</t>
  </si>
  <si>
    <t>Uncharacterized protein OS=Prunus persica GN=PRUPE_ppa006493mg PE=4 SV=1</t>
  </si>
  <si>
    <t>Uncharacterized protein OS=Prunus persica GN=PRUPE_ppa022290mg PE=4 SV=1</t>
  </si>
  <si>
    <t>Uncharacterized protein OS=Prunus persica GN=PRUPE_ppa003038mg PE=4 SV=1</t>
  </si>
  <si>
    <t>Uncharacterized protein OS=Prunus persica GN=PRUPE_ppa013959mg PE=4 SV=1</t>
  </si>
  <si>
    <t>Uncharacterized protein OS=Prunus persica GN=PRUPE_ppa000451mg PE=4 SV=1</t>
  </si>
  <si>
    <t>Uncharacterized protein OS=Prunus persica GN=PRUPE_ppa000043mg PE=4 SV=1</t>
  </si>
  <si>
    <t>Uncharacterized protein OS=Prunus persica GN=PRUPE_ppb014692mg PE=4 SV=1</t>
  </si>
  <si>
    <t>GDSL-motif lipase/hydrolase family protein OS=Populus trichocarpa GN=POPTR_0011s07660g PE=4 SV=1</t>
  </si>
  <si>
    <t>Uncharacterized protein OS=Prunus persica GN=PRUPE_ppa005957mg PE=4 SV=1</t>
  </si>
  <si>
    <t>Small GTPase superfamily, ARF type OS=Ophiocordyceps sinensis (strain Co18 / CGMCC 3.14243) GN=OCS_03272 PE=3 SV=1</t>
  </si>
  <si>
    <t>Uncharacterized protein OS=Prunus persica GN=PRUPE_ppa025505mg PE=4 SV=1</t>
  </si>
  <si>
    <t>Putative uncharacterized protein OS=Vitis vinifera GN=VIT_15s0046g01580 PE=3 SV=1</t>
  </si>
  <si>
    <t>Uncharacterized protein OS=Prunus persica GN=PRUPE_ppa013767mg PE=4 SV=1</t>
  </si>
  <si>
    <t>Uncharacterized protein OS=Prunus persica GN=PRUPE_ppa000890mg PE=4 SV=1</t>
  </si>
  <si>
    <t>Uncharacterized protein OS=Morus notabilis GN=L484_008483 PE=4 SV=1</t>
  </si>
  <si>
    <t>Uncharacterized protein OS=Brassica rapa subsp. pekinensis GN=Bra017773 PE=4 SV=1</t>
  </si>
  <si>
    <t>Uncharacterized protein OS=Prunus persica GN=PRUPE_ppa010786mg PE=4 SV=1</t>
  </si>
  <si>
    <t>Uncharacterized protein (Fragment) OS=Prunus persica GN=PRUPE_ppa018963mg PE=4 SV=1</t>
  </si>
  <si>
    <t>Uncharacterized protein OS=Theobroma cacao GN=TCM_031319 PE=4 SV=1</t>
  </si>
  <si>
    <t>Beta-hexosaminidase OS=Prunus persica PE=2 SV=1</t>
  </si>
  <si>
    <t>Uncharacterized protein OS=Prunus persica GN=PRUPE_ppa003604mg PE=4 SV=1</t>
  </si>
  <si>
    <t>Uncharacterized protein OS=Prunus persica GN=PRUPE_ppa019107mg PE=4 SV=1</t>
  </si>
  <si>
    <t>Uncharacterized protein OS=Prunus persica GN=PRUPE_ppa014727mg PE=4 SV=1</t>
  </si>
  <si>
    <t>Uncharacterized protein OS=Prunus persica GN=PRUPE_ppa008142mg PE=4 SV=1</t>
  </si>
  <si>
    <t>Uncharacterized protein OS=Prunus persica GN=PRUPE_ppa011064mg PE=4 SV=1</t>
  </si>
  <si>
    <t>Auxin response factor OS=Prunus persica GN=PRUPE_ppa000708mg PE=3 SV=1</t>
  </si>
  <si>
    <t>Uncharacterized protein OS=Prunus persica GN=PRUPE_ppa004156mg PE=4 SV=1</t>
  </si>
  <si>
    <t>Uncharacterized protein OS=Prunus persica GN=PRUPE_ppa017045mg PE=4 SV=1</t>
  </si>
  <si>
    <t>Uncharacterized protein OS=Prunus persica GN=PRUPE_ppa000676mg PE=4 SV=1</t>
  </si>
  <si>
    <t>Uncharacterized protein OS=Prunus persica GN=PRUPE_ppa008636mg PE=3 SV=1</t>
  </si>
  <si>
    <t>Uncharacterized protein OS=Prunus persica GN=PRUPE_ppa011180mg PE=4 SV=1</t>
  </si>
  <si>
    <t>Uncharacterized protein OS=Prunus persica GN=PRUPE_ppa010812mg PE=4 SV=1</t>
  </si>
  <si>
    <t>Uncharacterized protein OS=Prunus persica GN=PRUPE_ppa019842mg PE=4 SV=1</t>
  </si>
  <si>
    <t>Uncharacterized protein OS=Prunus persica GN=PRUPE_ppa010155mg PE=4 SV=1</t>
  </si>
  <si>
    <t>Uncharacterized protein OS=Prunus persica GN=PRUPE_ppa005358mg PE=4 SV=1</t>
  </si>
  <si>
    <t>Uncharacterized protein OS=Prunus persica GN=PRUPE_ppa007796mg PE=4 SV=1</t>
  </si>
  <si>
    <t>Uncharacterized protein (Fragment) OS=Prunus persica GN=PRUPE_ppa016670mg PE=4 SV=1</t>
  </si>
  <si>
    <t>Uncharacterized protein OS=Prunus persica GN=PRUPE_ppa015287mg PE=4 SV=1</t>
  </si>
  <si>
    <t>Uncharacterized protein (Fragment) OS=Prunus persica GN=PRUPE_ppa020012mg PE=4 SV=1</t>
  </si>
  <si>
    <t>Uncharacterized protein OS=Prunus persica GN=PRUPE_ppa016366mg PE=4 SV=1</t>
  </si>
  <si>
    <t>Uncharacterized protein (Fragment) OS=Prunus persica GN=PRUPE_ppa026256mg PE=4 SV=1</t>
  </si>
  <si>
    <t>Uncharacterized protein OS=Morus notabilis GN=L484_004168 PE=4 SV=1</t>
  </si>
  <si>
    <t>Uncharacterized protein OS=Jatropha curcas GN=JCGZ_08464 PE=4 SV=1</t>
  </si>
  <si>
    <t>Uncharacterized protein OS=Prunus persica GN=PRUPE_ppa010878mg PE=4 SV=1</t>
  </si>
  <si>
    <t>Uncharacterized protein (Fragment) OS=Prunus persica GN=PRUPE_ppa025264mg PE=4 SV=1</t>
  </si>
  <si>
    <t>Uncharacterized protein OS=Prunus persica GN=PRUPE_ppa000062mg PE=4 SV=1</t>
  </si>
  <si>
    <t>Uncharacterized protein OS=Prunus persica GN=PRUPE_ppa005346mg PE=4 SV=1</t>
  </si>
  <si>
    <t>Putative uncharacterized protein OS=Ricinus communis GN=RCOM_2057350 PE=4 SV=1</t>
  </si>
  <si>
    <t>Uncharacterized protein OS=Prunus persica GN=PRUPE_ppa000505mg PE=4 SV=1</t>
  </si>
  <si>
    <t>Uncharacterized protein OS=Prunus persica GN=PRUPE_ppa026362mg PE=4 SV=1</t>
  </si>
  <si>
    <t>Uncharacterized protein OS=Prunus persica GN=PRUPE_ppa000273mg PE=4 SV=1</t>
  </si>
  <si>
    <t>Uncharacterized protein OS=Prunus persica GN=PRUPE_ppa004462mg PE=4 SV=1</t>
  </si>
  <si>
    <t>Uncharacterized protein OS=Prunus persica GN=PRUPE_ppa010733mg PE=4 SV=1</t>
  </si>
  <si>
    <t>Signal peptidase I OS=Prunus persica GN=PRUPE_ppa012183mg PE=4 SV=1</t>
  </si>
  <si>
    <t>Uncharacterized protein OS=Prunus persica GN=PRUPE_ppa025409mg PE=4 SV=1</t>
  </si>
  <si>
    <t>Uncharacterized protein OS=Prunus persica GN=PRUPE_ppa023445mg PE=4 SV=1</t>
  </si>
  <si>
    <t>Thioredoxin H OS=Prunus persica GN=PRUPE_ppa013161mg PE=2 SV=1</t>
  </si>
  <si>
    <t>40S ribosomal protein S24 OS=Prunus persica GN=PRUPE_ppa013158mg PE=3 SV=1</t>
  </si>
  <si>
    <t>Uncharacterized protein (Fragment) OS=Prunus persica GN=PRUPE_ppa026111mg PE=4 SV=1</t>
  </si>
  <si>
    <t>Uncharacterized protein OS=Prunus persica GN=PRUPE_ppa013062mg PE=4 SV=1</t>
  </si>
  <si>
    <t>Uncharacterized protein OS=Prunus persica GN=PRUPE_ppa016573mg PE=4 SV=1</t>
  </si>
  <si>
    <t>Uncharacterized protein (Fragment) OS=Prunus persica GN=PRUPE_ppa023653mg PE=4 SV=1</t>
  </si>
  <si>
    <t>Uncharacterized protein OS=Prunus persica GN=PRUPE_ppa011602mg PE=4 SV=1</t>
  </si>
  <si>
    <t>Uncharacterized protein OS=Prunus persica GN=PRUPE_ppa011018mg PE=4 SV=1</t>
  </si>
  <si>
    <t>Xyloglucan endotransglucosylase/hydrolase OS=Prunus persica GN=PRUPE_ppa015713mg PE=3 SV=1</t>
  </si>
  <si>
    <t>Uncharacterized protein OS=Prunus persica GN=PRUPE_ppa007064mg PE=4 SV=1</t>
  </si>
  <si>
    <t>Uncharacterized protein OS=Prunus persica GN=PRUPE_ppa006633mg PE=3 SV=1</t>
  </si>
  <si>
    <t>Uncharacterized protein OS=Prunus persica GN=PRUPE_ppa007998mg PE=4 SV=1</t>
  </si>
  <si>
    <t>Uncharacterized protein (Fragment) OS=Prunus persica GN=PRUPE_ppa019037mg PE=4 SV=1</t>
  </si>
  <si>
    <t>Uncharacterized protein OS=Prunus persica GN=PRUPE_ppa010025mg PE=4 SV=1</t>
  </si>
  <si>
    <t>Uncharacterized protein OS=Prunus persica GN=PRUPE_ppa000212mg PE=4 SV=1</t>
  </si>
  <si>
    <t>Uncharacterized protein OS=Prunus persica GN=PRUPE_ppa012811mg PE=4 SV=1</t>
  </si>
  <si>
    <t>Uncharacterized protein OS=Prunus persica GN=PRUPE_ppa002761mg PE=4 SV=1</t>
  </si>
  <si>
    <t>Uncharacterized protein OS=Prunus persica GN=PRUPE_ppa009109mg PE=4 SV=1</t>
  </si>
  <si>
    <t>Uncharacterized protein (Fragment) OS=Prunus persica GN=PRUPE_ppa024506mg PE=4 SV=1</t>
  </si>
  <si>
    <t>Uncharacterized protein OS=Prunus persica GN=PRUPE_ppa008501mg PE=4 SV=1</t>
  </si>
  <si>
    <t>Uncharacterized protein OS=Prunus persica GN=PRUPE_ppa025361mg PE=4 SV=1</t>
  </si>
  <si>
    <t>Uncharacterized protein (Fragment) OS=Prunus persica GN=PRUPE_ppa020211mg PE=4 SV=1</t>
  </si>
  <si>
    <t>Uncharacterized protein OS=Prunus persica GN=PRUPE_ppa007259mg PE=4 SV=1</t>
  </si>
  <si>
    <t>Uncharacterized protein OS=Prunus persica GN=PRUPE_ppa002543mg PE=4 SV=1</t>
  </si>
  <si>
    <t>Uncharacterized protein OS=Prunus persica GN=PRUPE_ppa026267mg PE=4 SV=1</t>
  </si>
  <si>
    <t>Uncharacterized protein (Fragment) OS=Prunus persica GN=PRUPE_ppa016950mg PE=4 SV=1</t>
  </si>
  <si>
    <t>Uncharacterized protein OS=Prunus persica GN=PRUPE_ppa003336mg PE=4 SV=1</t>
  </si>
  <si>
    <t>Uncharacterized protein OS=Prunus persica GN=PRUPE_ppa013299mg PE=4 SV=1</t>
  </si>
  <si>
    <t>Uncharacterized protein OS=Prunus persica GN=PRUPE_ppa001660mg PE=4 SV=1</t>
  </si>
  <si>
    <t>Uncharacterized protein OS=Prunus persica GN=PRUPE_ppa005313mg PE=4 SV=1</t>
  </si>
  <si>
    <t>Uncharacterized protein OS=Prunus persica GN=PRUPE_ppa009797mg PE=3 SV=1</t>
  </si>
  <si>
    <t>Uncharacterized protein OS=Prunus persica GN=PRUPE_ppa001221mg PE=4 SV=1</t>
  </si>
  <si>
    <t>Uncharacterized protein OS=Prunus persica GN=PRUPE_ppa008546mg PE=4 SV=1</t>
  </si>
  <si>
    <t>Uncharacterized protein OS=Prunus persica GN=PRUPE_ppa016580mg PE=4 SV=1</t>
  </si>
  <si>
    <t>Uncharacterized protein (Fragment) OS=Prunus persica GN=PRUPE_ppa017961mg PE=4 SV=1</t>
  </si>
  <si>
    <t>Uncharacterized protein (Fragment) OS=Prunus persica GN=PRUPE_ppa017992mg PE=4 SV=1</t>
  </si>
  <si>
    <t>Uncharacterized protein OS=Prunus persica GN=PRUPE_ppa010769mg PE=4 SV=1</t>
  </si>
  <si>
    <t>Uncharacterized protein OS=Prunus persica GN=PRUPE_ppa001802mg PE=3 SV=1</t>
  </si>
  <si>
    <t>Ribonucleoside-diphosphate reductase OS=Prunus persica GN=PRUPE_ppa025774mg PE=3 SV=1</t>
  </si>
  <si>
    <t>Uncharacterized protein OS=Prunus persica GN=PRUPE_ppa003610mg PE=4 SV=1</t>
  </si>
  <si>
    <t>Uncharacterized protein OS=Prunus persica GN=PRUPE_ppa010345mg PE=4 SV=1</t>
  </si>
  <si>
    <t>Uncharacterized protein OS=Prunus persica GN=PRUPE_ppa001565mg PE=4 SV=1</t>
  </si>
  <si>
    <t>Uncharacterized protein OS=Prunus persica GN=PRUPE_ppa023237mg PE=4 SV=1</t>
  </si>
  <si>
    <t>Uncharacterized protein OS=Prunus persica GN=PRUPE_ppa018004mg PE=4 SV=1</t>
  </si>
  <si>
    <t>Uncharacterized protein OS=Prunus persica GN=PRUPE_ppa005917mg PE=4 SV=1</t>
  </si>
  <si>
    <t>Uncharacterized protein OS=Prunus persica GN=PRUPE_ppa006917mg PE=4 SV=1</t>
  </si>
  <si>
    <t>Uncharacterized protein OS=Prunus persica GN=PRUPE_ppa019940mg PE=4 SV=1</t>
  </si>
  <si>
    <t>Uncharacterized protein OS=Prunus persica GN=PRUPE_ppa011145mg PE=4 SV=1</t>
  </si>
  <si>
    <t>Uncharacterized protein OS=Prunus persica GN=PRUPE_ppa010730mg PE=4 SV=1</t>
  </si>
  <si>
    <t>Uncharacterized protein OS=Prunus persica GN=PRUPE_ppa005737mg PE=4 SV=1</t>
  </si>
  <si>
    <t>Uncharacterized protein OS=Prunus persica GN=PRUPE_ppa000756mg PE=4 SV=1</t>
  </si>
  <si>
    <t>Uridine kinase OS=Prunus persica GN=PRUPE_ppa002541mg PE=3 SV=1</t>
  </si>
  <si>
    <t>Uncharacterized protein OS=Prunus persica GN=PRUPE_ppa001538mg PE=3 SV=1</t>
  </si>
  <si>
    <t>Hexosyltransferase OS=Prunus persica GN=PRUPE_ppa003603mg PE=3 SV=1</t>
  </si>
  <si>
    <t>Uncharacterized protein OS=Prunus persica GN=PRUPE_ppa005304mg PE=4 SV=1</t>
  </si>
  <si>
    <t>Uncharacterized protein OS=Gossypium arboreum GN=F383_17190 PE=4 SV=1</t>
  </si>
  <si>
    <t>Uncharacterized protein OS=Prunus persica GN=PRUPE_ppa001106mg PE=4 SV=1</t>
  </si>
  <si>
    <t>Uncharacterized protein (Fragment) OS=Prunus persica GN=PRUPE_ppa021735mg PE=4 SV=1</t>
  </si>
  <si>
    <t>Uncharacterized protein OS=Prunus persica GN=PRUPE_ppa011976mg PE=4 SV=1</t>
  </si>
  <si>
    <t>Uncharacterized protein OS=Prunus persica GN=PRUPE_ppa006320mg PE=4 SV=1</t>
  </si>
  <si>
    <t>Superoxide dismutase [Cu-Zn] OS=Prunus persica GN=PRUPE_ppa012845mg PE=2 SV=1</t>
  </si>
  <si>
    <t>Uncharacterized protein OS=Prunus persica GN=PRUPE_ppa007233mg PE=4 SV=1</t>
  </si>
  <si>
    <t>40S ribosomal protein S24 OS=Prunus persica GN=PRUPE_ppa013145mg PE=3 SV=1</t>
  </si>
  <si>
    <t>Uncharacterized protein OS=Prunus persica GN=PRUPE_ppa001385mg PE=4 SV=1</t>
  </si>
  <si>
    <t>Uncharacterized protein OS=Prunus persica GN=PRUPE_ppa006479mg PE=4 SV=1</t>
  </si>
  <si>
    <t>Beta-galactosidase OS=Prunus persica GN=PRUPE_ppa001308mg PE=3 SV=1</t>
  </si>
  <si>
    <t>Uncharacterized protein OS=Prunus persica GN=PRUPE_ppa000206mg PE=4 SV=1</t>
  </si>
  <si>
    <t>Uncharacterized protein OS=Prunus persica GN=PRUPE_ppa008522mg PE=4 SV=1</t>
  </si>
  <si>
    <t>Uncharacterized protein OS=Prunus persica GN=PRUPE_ppa000975mg PE=4 SV=1</t>
  </si>
  <si>
    <t>Uncharacterized protein OS=Prunus persica GN=PRUPE_ppa021451mg PE=4 SV=1</t>
  </si>
  <si>
    <t>Uncharacterized protein OS=Prunus persica GN=PRUPE_ppa021383mg PE=4 SV=1</t>
  </si>
  <si>
    <t>Uncharacterized protein OS=Prunus persica GN=PRUPE_ppa006319mg PE=4 SV=1</t>
  </si>
  <si>
    <t>Uncharacterized protein OS=Prunus persica GN=PRUPE_ppa000007mg PE=4 SV=1</t>
  </si>
  <si>
    <t>Pectinesterase (Fragment) OS=Prunus persica GN=PRUPE_ppa024812mg PE=3 SV=1</t>
  </si>
  <si>
    <t>Uncharacterized protein OS=Prunus persica GN=PRUPE_ppa1027216mg PE=4 SV=1</t>
  </si>
  <si>
    <t>Uncharacterized protein OS=Prunus persica GN=PRUPE_ppa005247mg PE=4 SV=1</t>
  </si>
  <si>
    <t>Acyl carrier protein OS=Prunus persica GN=PRUPE_ppa013401mg PE=3 SV=1</t>
  </si>
  <si>
    <t>Uncharacterized protein (Fragment) OS=Prunus persica GN=PRUPE_ppa023560mg PE=4 SV=1</t>
  </si>
  <si>
    <t>Uncharacterized protein OS=Prunus persica GN=PRUPE_ppa001808mg PE=3 SV=1</t>
  </si>
  <si>
    <t>Uncharacterized protein OS=Prunus persica GN=PRUPE_ppa018082mg PE=3 SV=1</t>
  </si>
  <si>
    <t>Uncharacterized protein OS=Prunus persica GN=PRUPE_ppa000589mg PE=4 SV=1</t>
  </si>
  <si>
    <t>Uncharacterized protein OS=Prunus persica GN=PRUPE_ppa011966mg PE=4 SV=1</t>
  </si>
  <si>
    <t>Uncharacterized protein OS=Prunus persica GN=PRUPE_ppa000873mg PE=4 SV=1</t>
  </si>
  <si>
    <t>Uncharacterized protein OS=Prunus persica GN=PRUPE_ppa022533mg PE=4 SV=1</t>
  </si>
  <si>
    <t>Starch synthase, chloroplastic/amyloplastic OS=Prunus persica GN=PRUPE_ppa001734mg PE=3 SV=1</t>
  </si>
  <si>
    <t>Uncharacterized protein OS=Prunus persica GN=PRUPE_ppa022150mg PE=4 SV=1</t>
  </si>
  <si>
    <t>Uncharacterized protein OS=Prunus persica GN=PRUPE_ppa013857mg PE=4 SV=1</t>
  </si>
  <si>
    <t>Uncharacterized protein OS=Prunus persica GN=PRUPE_ppa006178mg PE=4 SV=1</t>
  </si>
  <si>
    <t>Uncharacterized protein OS=Prunus persica GN=PRUPE_ppa004239mg PE=4 SV=1</t>
  </si>
  <si>
    <t>Uncharacterized protein OS=Prunus persica GN=PRUPE_ppa009115mg PE=4 SV=1</t>
  </si>
  <si>
    <t>Uncharacterized protein OS=Prunus persica GN=PRUPE_ppa004923mg PE=4 SV=1</t>
  </si>
  <si>
    <t>Uncharacterized protein (Fragment) OS=Prunus persica GN=PRUPE_ppa021144mg PE=4 SV=1</t>
  </si>
  <si>
    <t>Glycosyltransferase OS=Prunus persica GN=PRUPE_ppa005294mg PE=3 SV=1</t>
  </si>
  <si>
    <t>Uncharacterized protein (Fragment) OS=Prunus persica GN=PRUPE_ppa017372mg PE=4 SV=1</t>
  </si>
  <si>
    <t>Uncharacterized protein OS=Prunus persica GN=PRUPE_ppa002237mg PE=4 SV=1</t>
  </si>
  <si>
    <t>Uncharacterized protein OS=Prunus persica GN=PRUPE_ppa001140mg PE=4 SV=1</t>
  </si>
  <si>
    <t>Uncharacterized protein OS=Prunus persica GN=PRUPE_ppa008617mg PE=4 SV=1</t>
  </si>
  <si>
    <t>Uncharacterized protein OS=Prunus persica GN=PRUPE_ppa023832mg PE=4 SV=1</t>
  </si>
  <si>
    <t>Uncharacterized protein OS=Prunus persica GN=PRUPE_ppa008393mg PE=4 SV=1</t>
  </si>
  <si>
    <t>SET domain protein 38 isoform 1 OS=Theobroma cacao GN=TCM_025022 PE=4 SV=1</t>
  </si>
  <si>
    <t>Uncharacterized protein OS=Prunus persica GN=PRUPE_ppa015526mg PE=3 SV=1</t>
  </si>
  <si>
    <t>Uncharacterized protein OS=Prunus persica GN=PRUPE_ppa005010mg PE=4 SV=1</t>
  </si>
  <si>
    <t>Uncharacterized protein OS=Prunus persica GN=PRUPE_ppa001347mg PE=4 SV=1</t>
  </si>
  <si>
    <t>Homebox protein G OS=Prunus persica GN=PRUPE_ppa001378mg PE=4 SV=1</t>
  </si>
  <si>
    <t>Katanin p80 WD40 repeat-containing subunit B1 homolog OS=Prunus persica GN=PRUPE_ppa001393mg PE=3 SV=1</t>
  </si>
  <si>
    <t>Formin-like protein OS=Cucumis sativus GN=Csa_4G651990 PE=3 SV=1</t>
  </si>
  <si>
    <t>Uncharacterized protein OS=Prunus persica GN=PRUPE_ppa009821mg PE=4 SV=1</t>
  </si>
  <si>
    <t>Uncharacterized protein OS=Prunus persica GN=PRUPE_ppa005553mg PE=4 SV=1</t>
  </si>
  <si>
    <t>Uncharacterized protein OS=Prunus persica GN=PRUPE_ppa001749mg PE=4 SV=1</t>
  </si>
  <si>
    <t>Uncharacterized protein OS=Prunus persica GN=PRUPE_ppa004939mg PE=4 SV=1</t>
  </si>
  <si>
    <t>Uncharacterized protein OS=Prunus persica GN=PRUPE_ppa001691mg PE=4 SV=1</t>
  </si>
  <si>
    <t>Uncharacterized protein OS=Prunus persica GN=PRUPE_ppa014820mg PE=4 SV=1</t>
  </si>
  <si>
    <t>Uncharacterized protein OS=Prunus persica GN=PRUPE_ppa023021mg PE=4 SV=1</t>
  </si>
  <si>
    <t>Minichromosome maintenance family protein OS=Populus trichocarpa GN=POPTR_0019s03130g PE=3 SV=2</t>
  </si>
  <si>
    <t>Uncharacterized protein OS=Prunus persica GN=PRUPE_ppa007237mg PE=4 SV=1</t>
  </si>
  <si>
    <t>Uncharacterized protein (Fragment) OS=Prunus persica GN=PRUPE_ppa027021mg PE=4 SV=1</t>
  </si>
  <si>
    <t>Cyclin-dependent kinases regulatory subunit OS=Prunus persica GN=PRUPE_ppa014100mg PE=3 SV=1</t>
  </si>
  <si>
    <t>Uncharacterized protein OS=Prunus persica GN=PRUPE_ppa003487mg PE=3 SV=1</t>
  </si>
  <si>
    <t>Hexokinase OS=Prunus persica GN=PRUPE_ppa004471mg PE=3 SV=1</t>
  </si>
  <si>
    <t>Uncharacterized protein OS=Prunus persica GN=PRUPE_ppa023406mg PE=4 SV=1</t>
  </si>
  <si>
    <t>Uncharacterized protein OS=Prunus persica GN=PRUPE_ppa001426mg PE=4 SV=1</t>
  </si>
  <si>
    <t>Uncharacterized protein OS=Prunus persica GN=PRUPE_ppa001400mg PE=3 SV=1</t>
  </si>
  <si>
    <t>Uncharacterized protein (Fragment) OS=Prunus persica GN=PRUPE_ppa022998mg PE=3 SV=1</t>
  </si>
  <si>
    <t>Uncharacterized protein OS=Prunus persica GN=PRUPE_ppa003543mg PE=4 SV=1</t>
  </si>
  <si>
    <t>S-adenosylmethionine synthase OS=Prunus persica GN=PRUPE_ppa006915mg PE=3 SV=1</t>
  </si>
  <si>
    <t>Uncharacterized protein OS=Prunus persica GN=PRUPE_ppa022638mg PE=4 SV=1</t>
  </si>
  <si>
    <t>Uncharacterized protein OS=Prunus persica GN=PRUPE_ppa002717mg PE=4 SV=1</t>
  </si>
  <si>
    <t>Uncharacterized protein OS=Prunus persica GN=PRUPE_ppa004050mg PE=4 SV=1</t>
  </si>
  <si>
    <t>Uncharacterized protein OS=Prunus persica GN=PRUPE_ppa013407mg PE=4 SV=1</t>
  </si>
  <si>
    <t>Uncharacterized protein OS=Prunus persica GN=PRUPE_ppa019745mg PE=4 SV=1</t>
  </si>
  <si>
    <t>Uncharacterized protein OS=Prunus persica GN=PRUPE_ppa012478mg PE=4 SV=1</t>
  </si>
  <si>
    <t>Glycosyltransferase OS=Prunus persica GN=PRUPE_ppa005471mg PE=3 SV=1</t>
  </si>
  <si>
    <t>CASP-like protein OS=Prunus persica GN=PRUPE_ppa025143mg PE=3 SV=1</t>
  </si>
  <si>
    <t>Uncharacterized protein OS=Prunus persica GN=PRUPE_ppa010892mg PE=4 SV=1</t>
  </si>
  <si>
    <t>Uncharacterized protein OS=Prunus persica GN=PRUPE_ppa017151mg PE=4 SV=1</t>
  </si>
  <si>
    <t>Uncharacterized protein OS=Prunus persica GN=PRUPE_ppa013268mg PE=4 SV=1</t>
  </si>
  <si>
    <t>Uncharacterized protein OS=Jatropha curcas GN=JCGZ_20512 PE=4 SV=1</t>
  </si>
  <si>
    <t>Uncharacterized protein (Fragment) OS=Prunus persica GN=PRUPE_ppa020068mg PE=4 SV=1</t>
  </si>
  <si>
    <t>Uncharacterized protein OS=Prunus persica GN=PRUPE_ppa027073mg PE=4 SV=1</t>
  </si>
  <si>
    <t>Uncharacterized protein OS=Prunus persica GN=PRUPE_ppa021772mg PE=4 SV=1</t>
  </si>
  <si>
    <t>Uncharacterized protein OS=Prunus persica GN=PRUPE_ppa020232mg PE=4 SV=1</t>
  </si>
  <si>
    <t>Uncharacterized protein OS=Prunus persica GN=PRUPE_ppa002097mg PE=3 SV=1</t>
  </si>
  <si>
    <t>Uncharacterized protein OS=Prunus persica GN=PRUPE_ppa006818mg PE=4 SV=1</t>
  </si>
  <si>
    <t>Aquaporin PIP2 OS=Prunus humilis GN=pip2 PE=3 SV=2</t>
  </si>
  <si>
    <t>Uncharacterized protein OS=Prunus persica GN=PRUPE_ppa012838mg PE=4 SV=1</t>
  </si>
  <si>
    <t>Glucose-1-phosphate adenylyltransferase OS=Prunus persica GN=PRUPE_ppa004196mg PE=3 SV=1</t>
  </si>
  <si>
    <t>Uncharacterized protein OS=Prunus persica GN=PRUPE_ppa002384mg PE=4 SV=1</t>
  </si>
  <si>
    <t>Putative uncharacterized protein OS=Vitis vinifera GN=VIT_18s0001g01870 PE=4 SV=1</t>
  </si>
  <si>
    <t>Uncharacterized protein OS=Prunus persica GN=PRUPE_ppa009951mg PE=4 SV=1</t>
  </si>
  <si>
    <t>Uncharacterized protein OS=Prunus persica GN=PRUPE_ppa003996mg PE=3 SV=1</t>
  </si>
  <si>
    <t>Obg-like ATPase 1 OS=Prunus persica GN=PRUPE_ppa006821mg PE=3 SV=1</t>
  </si>
  <si>
    <t>Uncharacterized protein OS=Prunus persica GN=PRUPE_ppa005530mg PE=4 SV=1</t>
  </si>
  <si>
    <t>Uncharacterized protein OS=Prunus persica GN=PRUPE_ppa005639mg PE=4 SV=1</t>
  </si>
  <si>
    <t>Alkaline/neutral invertase C OS=Prunus persica GN=PRUPE_ppa002847mg PE=4 SV=1</t>
  </si>
  <si>
    <t>Phospholipase D OS=Prunus persica GN=PRUPE_ppa001300mg PE=3 SV=1</t>
  </si>
  <si>
    <t>Uncharacterized protein OS=Prunus persica GN=PRUPE_ppa006402mg PE=4 SV=1</t>
  </si>
  <si>
    <t>Uncharacterized protein OS=Prunus persica GN=PRUPE_ppa011851mg PE=3 SV=1</t>
  </si>
  <si>
    <t>Uncharacterized protein OS=Prunus persica GN=PRUPE_ppa003202mg PE=3 SV=1</t>
  </si>
  <si>
    <t>Uncharacterized protein OS=Prunus persica GN=PRUPE_ppa007767mg PE=4 SV=1</t>
  </si>
  <si>
    <t>Uncharacterized protein OS=Prunus persica GN=PRUPE_ppa009453mg PE=4 SV=1</t>
  </si>
  <si>
    <t>Uncharacterized protein OS=Jatropha curcas GN=JCGZ_00586 PE=4 SV=1</t>
  </si>
  <si>
    <t>Uncharacterized protein OS=Prunus persica GN=PRUPE_ppa003090mg PE=4 SV=1</t>
  </si>
  <si>
    <t>Uncharacterized protein OS=Prunus persica GN=PRUPE_ppa001730mg PE=4 SV=1</t>
  </si>
  <si>
    <t>Uncharacterized protein (Fragment) OS=Prunus persica GN=PRUPE_ppa023810mg PE=4 SV=1</t>
  </si>
  <si>
    <t>Aspartate aminotransferase OS=Prunus persica GN=PRUPE_ppa006548mg PE=3 SV=1</t>
  </si>
  <si>
    <t>Putative uncharacterized protein OS=Ricinus communis GN=RCOM_0851790 PE=4 SV=1</t>
  </si>
  <si>
    <t>Uncharacterized protein OS=Prunus persica GN=PRUPE_ppa012110mg PE=4 SV=1</t>
  </si>
  <si>
    <t>Uncharacterized protein OS=Prunus persica GN=PRUPE_ppa002229mg PE=4 SV=1</t>
  </si>
  <si>
    <t>Non-specific serine/threonine protein kinase OS=Prunus persica GN=PRUPE_ppa000414mg PE=4 SV=1</t>
  </si>
  <si>
    <t>Uncharacterized protein OS=Prunus persica GN=PRUPE_ppa001929mg PE=4 SV=1</t>
  </si>
  <si>
    <t>Uncharacterized protein (Fragment) OS=Prunus persica GN=PRUPE_ppa021440mg PE=4 SV=1</t>
  </si>
  <si>
    <t>Uncharacterized protein OS=Prunus persica GN=PRUPE_ppa004940mg PE=3 SV=1</t>
  </si>
  <si>
    <t>Coatomer subunit beta OS=Prunus persica GN=PRUPE_ppa000955mg PE=4 SV=1</t>
  </si>
  <si>
    <t>Uncharacterized protein (Fragment) OS=Prunus persica GN=PRUPE_ppa020523mg PE=4 SV=1</t>
  </si>
  <si>
    <t>Uncharacterized protein OS=Prunus persica GN=PRUPE_ppa011329mg PE=4 SV=1</t>
  </si>
  <si>
    <t>Uncharacterized protein OS=Prunus persica GN=PRUPE_ppa013210mg PE=4 SV=1</t>
  </si>
  <si>
    <t>Uncharacterized protein OS=Prunus persica GN=PRUPE_ppa022231mg PE=4 SV=1</t>
  </si>
  <si>
    <t>Uncharacterized protein OS=Prunus persica GN=PRUPE_ppa012016mg PE=4 SV=1</t>
  </si>
  <si>
    <t>Uncharacterized protein OS=Prunus persica GN=PRUPE_ppa010311mg PE=4 SV=1</t>
  </si>
  <si>
    <t>Uncharacterized protein OS=Prunus persica GN=PRUPE_ppa022891mg PE=4 SV=1</t>
  </si>
  <si>
    <t>Uncharacterized protein OS=Prunus persica GN=PRUPE_ppa001407mg PE=4 SV=1</t>
  </si>
  <si>
    <t>Uncharacterized protein (Fragment) OS=Prunus persica GN=PRUPE_ppa027066mg PE=4 SV=1</t>
  </si>
  <si>
    <t>Uncharacterized protein OS=Prunus persica GN=PRUPE_ppa000916mg PE=4 SV=1</t>
  </si>
  <si>
    <t>Uncharacterized protein OS=Prunus persica GN=PRUPE_ppa011233mg PE=4 SV=1</t>
  </si>
  <si>
    <t>Uncharacterized protein OS=Prunus persica GN=PRUPE_ppa004068mg PE=4 SV=1</t>
  </si>
  <si>
    <t>Uncharacterized protein OS=Prunus persica GN=PRUPE_ppb015207mg PE=4 SV=1</t>
  </si>
  <si>
    <t>Uncharacterized protein OS=Prunus persica GN=PRUPE_ppa025692mg PE=4 SV=1</t>
  </si>
  <si>
    <t>Uncharacterized protein OS=Prunus persica GN=PRUPE_ppa000001mg PE=4 SV=1</t>
  </si>
  <si>
    <t>Uncharacterized protein OS=Prunus persica GN=PRUPE_ppa002862mg PE=3 SV=1</t>
  </si>
  <si>
    <t>Uncharacterized protein OS=Fusarium oxysporum f. sp. lycopersici (strain 4287 / CBS 123668 / FGSC 9935 / NRRL 34936) GN=FOXG_11336 PE=4 SV=1</t>
  </si>
  <si>
    <t>Uncharacterized protein OS=Prunus persica GN=PRUPE_ppa017460mg PE=4 SV=1</t>
  </si>
  <si>
    <t>Uncharacterized protein OS=Prunus persica GN=PRUPE_ppa006380mg PE=3 SV=1</t>
  </si>
  <si>
    <t>Uncharacterized protein OS=Prunus persica GN=PRUPE_ppa010107mg PE=4 SV=1</t>
  </si>
  <si>
    <t>Uncharacterized protein OS=Prunus persica GN=PRUPE_ppb016870mg PE=4 SV=1</t>
  </si>
  <si>
    <t>Uncharacterized protein OS=Prunus persica GN=PRUPE_ppa006082mg PE=4 SV=1</t>
  </si>
  <si>
    <t>Uncharacterized protein OS=Prunus persica GN=PRUPE_ppa001894mg PE=4 SV=1</t>
  </si>
  <si>
    <t>Putative uncharacterized protein OS=Vitis vinifera GN=VIT_17s0000g06180 PE=4 SV=1</t>
  </si>
  <si>
    <t>Terpene synthase OS=Prunus cerasoides var. campanulata GN=TPS3 PE=4 SV=1</t>
  </si>
  <si>
    <t>Uncharacterized protein OS=Botryotinia fuckeliana (strain T4) GN=BofuT4P10000034001 PE=4 SV=1</t>
  </si>
  <si>
    <t>Uncharacterized protein (Fragment) OS=Prunus persica GN=PRUPE_ppa017934mg PE=4 SV=1</t>
  </si>
  <si>
    <t>Uncharacterized protein OS=Prunus persica GN=PRUPE_ppa003058mg PE=4 SV=1</t>
  </si>
  <si>
    <t>Uncharacterized protein OS=Prunus persica GN=PRUPE_ppa016616mg PE=4 SV=1</t>
  </si>
  <si>
    <t>Uncharacterized protein OS=Prunus persica GN=PRUPE_ppa021650mg PE=3 SV=1</t>
  </si>
  <si>
    <t>Uncharacterized protein OS=Prunus persica GN=PRUPE_ppa013033mg PE=4 SV=1</t>
  </si>
  <si>
    <t>Uncharacterized protein OS=Prunus persica GN=PRUPE_ppa011685mg PE=4 SV=1</t>
  </si>
  <si>
    <t>Uncharacterized protein OS=Prunus persica GN=PRUPE_ppa002041mg PE=4 SV=1</t>
  </si>
  <si>
    <t>Uncharacterized protein OS=Prunus persica GN=PRUPE_ppa002380mg PE=4 SV=1</t>
  </si>
  <si>
    <t>Uncharacterized protein OS=Prunus persica GN=PRUPE_ppa026825mg PE=4 SV=1</t>
  </si>
  <si>
    <t>Uncharacterized protein OS=Prunus persica GN=PRUPE_ppa003905mg PE=4 SV=1</t>
  </si>
  <si>
    <t>Uncharacterized protein OS=Prunus persica GN=PRUPE_ppa000199mg PE=4 SV=1</t>
  </si>
  <si>
    <t>Uncharacterized protein OS=Prunus persica GN=PRUPE_ppa024611mg PE=4 SV=1</t>
  </si>
  <si>
    <t>Uncharacterized protein OS=Prunus persica GN=PRUPE_ppa003403mg PE=4 SV=1</t>
  </si>
  <si>
    <t>Uncharacterized protein OS=Prunus persica GN=PRUPE_ppa011427mg PE=4 SV=1</t>
  </si>
  <si>
    <t>Uncharacterized protein OS=Prunus persica GN=PRUPE_ppa007246mg PE=4 SV=1</t>
  </si>
  <si>
    <t>Uncharacterized protein OS=Prunus persica GN=PRUPE_ppa009914mg PE=4 SV=1</t>
  </si>
  <si>
    <t>Uncharacterized protein OS=Prunus persica GN=PRUPE_ppa003623mg PE=4 SV=1</t>
  </si>
  <si>
    <t>Uncharacterized protein OS=Morus notabilis GN=L484_004129 PE=4 SV=1</t>
  </si>
  <si>
    <t>Uncharacterized protein OS=Prunus persica GN=PRUPE_ppa007988mg PE=4 SV=1</t>
  </si>
  <si>
    <t>Uncharacterized protein OS=Prunus persica GN=PRUPE_ppa001649mg PE=4 SV=1</t>
  </si>
  <si>
    <t>Uncharacterized protein OS=Prunus persica GN=PRUPE_ppa000832mg PE=4 SV=1</t>
  </si>
  <si>
    <t>Uncharacterized protein OS=Prunus persica GN=PRUPE_ppa013090mg PE=4 SV=1</t>
  </si>
  <si>
    <t>Uncharacterized protein OS=Prunus persica GN=PRUPE_ppa012829mg PE=4 SV=1</t>
  </si>
  <si>
    <t>Uncharacterized protein OS=Prunus persica GN=PRUPE_ppa008255mg PE=4 SV=1</t>
  </si>
  <si>
    <t>Uncharacterized protein OS=Prunus persica GN=PRUPE_ppa003046mg PE=3 SV=1</t>
  </si>
  <si>
    <t>Uncharacterized protein OS=Prunus persica GN=PRUPE_ppa010195mg PE=4 SV=1</t>
  </si>
  <si>
    <t>Uncharacterized protein OS=Prunus persica GN=PRUPE_ppa000531mg PE=4 SV=1</t>
  </si>
  <si>
    <t>Putative uncharacterized protein OS=Vitis vinifera GN=VIT_18s0001g09780 PE=4 SV=1</t>
  </si>
  <si>
    <t>Uncharacterized protein OS=Prunus persica GN=PRUPE_ppa009081mg PE=4 SV=1</t>
  </si>
  <si>
    <t>Uncharacterized protein OS=Prunus persica GN=PRUPE_ppa000630mg PE=4 SV=1</t>
  </si>
  <si>
    <t>Potassium transporter OS=Prunus persica GN=KUP3 PE=2 SV=1</t>
  </si>
  <si>
    <t>Uncharacterized protein OS=Prunus persica GN=PRUPE_ppa009103mg PE=4 SV=1</t>
  </si>
  <si>
    <t>Uncharacterized protein OS=Prunus persica GN=PRUPE_ppa001987mg PE=4 SV=1</t>
  </si>
  <si>
    <t>Annexin OS=Prunus persica GN=PRUPE_ppa008849mg PE=3 SV=1</t>
  </si>
  <si>
    <t>Uncharacterized protein OS=Prunus persica GN=PRUPE_ppa002531mg PE=4 SV=1</t>
  </si>
  <si>
    <t>Uncharacterized protein OS=Prunus persica GN=PRUPE_ppa000052mg PE=4 SV=1</t>
  </si>
  <si>
    <t>Uncharacterized protein OS=Prunus persica GN=PRUPE_ppa006170mg PE=4 SV=1</t>
  </si>
  <si>
    <t>Vacuolar protein sorting-associated protein 29 OS=Prunus persica GN=PRUPE_ppa011938mg PE=3 SV=1</t>
  </si>
  <si>
    <t>Uncharacterized protein OS=Prunus persica GN=PRUPE_ppa016564mg PE=4 SV=1</t>
  </si>
  <si>
    <t>Uncharacterized protein OS=Prunus persica GN=PRUPE_ppa011571mg PE=4 SV=1</t>
  </si>
  <si>
    <t>Uncharacterized protein OS=Prunus persica GN=PRUPE_ppa009538mg PE=3 SV=1</t>
  </si>
  <si>
    <t>Uncharacterized protein OS=Prunus persica GN=PRUPE_ppa016103mg PE=4 SV=1</t>
  </si>
  <si>
    <t>Uncharacterized protein OS=Prunus persica GN=PRUPE_ppa008536mg PE=4 SV=1</t>
  </si>
  <si>
    <t>Uncharacterized protein OS=Prunus persica GN=PRUPE_ppa007118mg PE=4 SV=1</t>
  </si>
  <si>
    <t>Uncharacterized protein OS=Prunus persica GN=PRUPE_ppa022543mg PE=3 SV=1</t>
  </si>
  <si>
    <t>Uncharacterized protein OS=Prunus persica GN=PRUPE_ppa022337mg PE=4 SV=1</t>
  </si>
  <si>
    <t>Uncharacterized protein OS=Prunus persica GN=PRUPE_ppa021259mg PE=4 SV=1</t>
  </si>
  <si>
    <t>Uncharacterized protein (Fragment) OS=Prunus persica GN=PRUPE_ppa022987mg PE=4 SV=1</t>
  </si>
  <si>
    <t>Uncharacterized protein OS=Prunus persica GN=PRUPE_ppa008090mg PE=4 SV=1</t>
  </si>
  <si>
    <t>Uncharacterized protein OS=Prunus persica GN=PRUPE_ppa017756mg PE=4 SV=1</t>
  </si>
  <si>
    <t>Uncharacterized protein OS=Prunus persica GN=PRUPE_ppa010862mg PE=4 SV=1</t>
  </si>
  <si>
    <t>Uncharacterized protein OS=Prunus persica GN=PRUPE_ppa003785mg PE=4 SV=1</t>
  </si>
  <si>
    <t>Uncharacterized protein OS=Prunus persica GN=PRUPE_ppa017212mg PE=4 SV=1</t>
  </si>
  <si>
    <t>40s ribosomal protein S10b OS=Ustilaginoidea virens GN=UV8b_714 PE=4 SV=1</t>
  </si>
  <si>
    <t>Ribosomal protein OS=Fusarium oxysporum f. sp. lycopersici (strain 4287 / CBS 123668 / FGSC 9935 / NRRL 34936) GN=FOXG_01896 PE=3 SV=1</t>
  </si>
  <si>
    <t>Flavin-containing monooxygenase OS=Prunus persica GN=PRUPE_ppa005373mg PE=3 SV=1</t>
  </si>
  <si>
    <t>Uncharacterized protein OS=Prunus persica GN=PRUPE_ppa016592mg PE=4 SV=1</t>
  </si>
  <si>
    <t>Cytosine-specific methyltransferase OS=Prunus persica GN=PRUPE_ppa000190mg PE=3 SV=1</t>
  </si>
  <si>
    <t>Serine/threonine-protein phosphatase (Fragment) OS=Prunus persica GN=PRUPE_ppa016483mg PE=3 SV=1</t>
  </si>
  <si>
    <t>Uncharacterized protein OS=Prunus persica GN=PRUPE_ppa017127mg PE=4 SV=1</t>
  </si>
  <si>
    <t>Uncharacterized protein OS=Prunus persica GN=PRUPE_ppa022659mg PE=4 SV=1</t>
  </si>
  <si>
    <t>Uncharacterized protein OS=Prunus persica GN=PRUPE_ppa002389mg PE=4 SV=1</t>
  </si>
  <si>
    <t>S-acyltransferase OS=Prunus persica GN=PRUPE_ppa002980mg PE=3 SV=1</t>
  </si>
  <si>
    <t>Uncharacterized protein OS=Prunus persica GN=PRUPE_ppa019372mg PE=4 SV=1</t>
  </si>
  <si>
    <t>Pentatricopeptide repeat superfamily protein isoform 1 OS=Theobroma cacao GN=TCM_041049 PE=4 SV=1</t>
  </si>
  <si>
    <t>Uncharacterized protein OS=Prunus persica GN=PRUPE_ppa005337mg PE=4 SV=1</t>
  </si>
  <si>
    <t>Uncharacterized protein OS=Prunus persica GN=PRUPE_ppa016651mg PE=4 SV=1</t>
  </si>
  <si>
    <t>Trehalose 6-phosphate phosphatase OS=Prunus persica GN=PRUPE_ppa020645mg PE=3 SV=1</t>
  </si>
  <si>
    <t>Uncharacterized protein (Fragment) OS=Prunus persica GN=PRUPE_ppa023178mg PE=4 SV=1</t>
  </si>
  <si>
    <t>Uncharacterized protein OS=Prunus persica GN=PRUPE_ppa017979mg PE=4 SV=1</t>
  </si>
  <si>
    <t>Ataxia telangiectasia mutated, putative OS=Theobroma cacao GN=TCM_012074 PE=4 SV=1</t>
  </si>
  <si>
    <t>Uncharacterized protein OS=Prunus persica GN=PRUPE_ppa009567mg PE=4 SV=1</t>
  </si>
  <si>
    <t>Uncharacterized protein OS=Prunus persica GN=PRUPE_ppa006589mg PE=4 SV=1</t>
  </si>
  <si>
    <t>Eukaryotic translation initiation factor 3 subunit L OS=Prunus persica GN=PRUPE_ppa004079mg PE=3 SV=1</t>
  </si>
  <si>
    <t>Uncharacterized protein OS=Prunus persica GN=PRUPE_ppa012883mg PE=4 SV=1</t>
  </si>
  <si>
    <t>Uncharacterized protein OS=Prunus persica GN=PRUPE_ppa011863mg PE=4 SV=1</t>
  </si>
  <si>
    <t>Uncharacterized protein OS=Prunus persica GN=PRUPE_ppa005011mg PE=4 SV=1</t>
  </si>
  <si>
    <t>Uncharacterized protein OS=Prunus persica GN=PRUPE_ppa008385mg PE=4 SV=1</t>
  </si>
  <si>
    <t>Uncharacterized protein OS=Prunus persica GN=PRUPE_ppa000552mg PE=4 SV=1</t>
  </si>
  <si>
    <t>Uncharacterized protein OS=Prunus persica GN=PRUPE_ppa026337mg PE=4 SV=1</t>
  </si>
  <si>
    <t>Uncharacterized protein OS=Prunus persica GN=PRUPE_ppa010593mg PE=4 SV=1</t>
  </si>
  <si>
    <t>Uncharacterized protein OS=Prunus persica GN=PRUPE_ppa001077mg PE=4 SV=1</t>
  </si>
  <si>
    <t>Uncharacterized protein OS=Prunus persica GN=PRUPE_ppa010526mg PE=4 SV=1</t>
  </si>
  <si>
    <t>Uncharacterized protein OS=Prunus persica GN=PRUPE_ppa005999mg PE=4 SV=1</t>
  </si>
  <si>
    <t>Uncharacterized protein OS=Gossypium raimondii GN=B456_002G020900 PE=4 SV=1</t>
  </si>
  <si>
    <t>Uncharacterized protein OS=Prunus persica GN=PRUPE_ppa023686mg PE=4 SV=1</t>
  </si>
  <si>
    <t>Uncharacterized protein OS=Prunus persica GN=PRUPE_ppa000460mg PE=3 SV=1</t>
  </si>
  <si>
    <t>Uncharacterized protein OS=Prunus persica GN=PRUPE_ppa001141mg PE=4 SV=1</t>
  </si>
  <si>
    <t>Uncharacterized protein OS=Prunus persica GN=PRUPE_ppa011927mg PE=4 SV=1</t>
  </si>
  <si>
    <t>Uncharacterized protein OS=Prunus persica GN=PRUPE_ppa003298mg PE=3 SV=1</t>
  </si>
  <si>
    <t>Uncharacterized protein OS=Prunus persica GN=PRUPE_ppb022626mg PE=4 SV=1</t>
  </si>
  <si>
    <t>Uncharacterized protein OS=Prunus persica GN=PRUPE_ppa005676mg PE=4 SV=1</t>
  </si>
  <si>
    <t>Uncharacterized protein OS=Prunus persica GN=PRUPE_ppa010374mg PE=4 SV=1</t>
  </si>
  <si>
    <t>Uncharacterized protein OS=Prunus persica GN=PRUPE_ppa015995mg PE=4 SV=1</t>
  </si>
  <si>
    <t>Uncharacterized protein OS=Prunus persica GN=PRUPE_ppa005937mg PE=3 SV=1</t>
  </si>
  <si>
    <t>Uncharacterized protein OS=Prunus persica GN=PRUPE_ppa009034mg PE=4 SV=1</t>
  </si>
  <si>
    <t>Uncharacterized protein OS=Prunus persica GN=PRUPE_ppa010128mg PE=4 SV=1</t>
  </si>
  <si>
    <t>Acetyl-coenzyme A synthetase OS=Prunus persica GN=PRUPE_ppa001641mg PE=3 SV=1</t>
  </si>
  <si>
    <t>Uncharacterized protein OS=Prunus persica GN=PRUPE_ppa003272mg PE=4 SV=1</t>
  </si>
  <si>
    <t>Uncharacterized protein (Fragment) OS=Prunus persica GN=PRUPE_ppa026255mg PE=3 SV=1</t>
  </si>
  <si>
    <t>GDP-mannose transporter OS=Prunus persica GN=GMT PE=2 SV=1</t>
  </si>
  <si>
    <t>Uncharacterized protein OS=Prunus persica GN=PRUPE_ppa008656mg PE=3 SV=1</t>
  </si>
  <si>
    <t>Uncharacterized protein (Fragment) OS=Prunus persica GN=PRUPE_ppa023537mg PE=4 SV=1</t>
  </si>
  <si>
    <t>Purple acid phosphatase OS=Prunus persica GN=PRUPE_ppa005293mg PE=3 SV=1</t>
  </si>
  <si>
    <t>Uncharacterized protein OS=Prunus persica GN=PRUPE_ppa001150mg PE=4 SV=1</t>
  </si>
  <si>
    <t>Uncharacterized protein OS=Prunus persica GN=PRUPE_ppa024220mg PE=4 SV=1</t>
  </si>
  <si>
    <t>Uncharacterized protein OS=Prunus persica GN=PRUPE_ppa010416mg PE=4 SV=1</t>
  </si>
  <si>
    <t>Uncharacterized protein OS=Prunus persica GN=PRUPE_ppa004100mg PE=4 SV=1</t>
  </si>
  <si>
    <t>Uncharacterized protein OS=Prunus persica GN=PRUPE_ppa001175mg PE=3 SV=1</t>
  </si>
  <si>
    <t>Uncharacterized protein OS=Prunus persica GN=PRUPE_ppa004875mg PE=4 SV=1</t>
  </si>
  <si>
    <t>Autophagy-related protein OS=Prunus persica GN=PRUPE_ppa013435mg PE=3 SV=1</t>
  </si>
  <si>
    <t>Pectate lyase OS=Prunus persica GN=PRUPE_ppa005859mg PE=3 SV=1</t>
  </si>
  <si>
    <t>Uncharacterized protein OS=Prunus persica GN=PRUPE_ppa010975mg PE=3 SV=1</t>
  </si>
  <si>
    <t>Ribosomal protein L34 OS=Prunus persica GN=PRUPE_ppa012999mg PE=3 SV=1</t>
  </si>
  <si>
    <t>Uncharacterized protein OS=Prunus persica GN=PRUPE_ppa007936mg PE=4 SV=1</t>
  </si>
  <si>
    <t>Uncharacterized protein OS=Prunus persica GN=PRUPE_ppa008311mg PE=4 SV=1</t>
  </si>
  <si>
    <t>Uncharacterized protein OS=Prunus persica GN=PRUPE_ppa022109mg PE=4 SV=1</t>
  </si>
  <si>
    <t>Uncharacterized protein OS=Prunus persica GN=PRUPE_ppa004515mg PE=3 SV=1</t>
  </si>
  <si>
    <t>Uncharacterized protein OS=Prunus persica GN=PRUPE_ppa003043mg PE=4 SV=1</t>
  </si>
  <si>
    <t>Uncharacterized protein OS=Prunus persica GN=PRUPE_ppa006994mg PE=4 SV=1</t>
  </si>
  <si>
    <t>Uncharacterized protein OS=Populus trichocarpa GN=POPTR_0008s11700g PE=4 SV=2</t>
  </si>
  <si>
    <t>Uncharacterized protein OS=Prunus persica GN=PRUPE_ppa000189mg PE=4 SV=1</t>
  </si>
  <si>
    <t>Uncharacterized protein OS=Prunus persica GN=PRUPE_ppa018192mg PE=4 SV=1</t>
  </si>
  <si>
    <t>Uncharacterized protein OS=Prunus persica GN=PRUPE_ppa008618mg PE=4 SV=1</t>
  </si>
  <si>
    <t>Glutamate receptor OS=Prunus persica GN=PRUPE_ppa000839mg PE=3 SV=1</t>
  </si>
  <si>
    <t>Uncharacterized protein OS=Prunus persica GN=PRUPE_ppa1027135mg PE=4 SV=1</t>
  </si>
  <si>
    <t>3-ketoacyl-CoA synthase OS=Prunus persica GN=PRUPE_ppa021836mg PE=3 SV=1</t>
  </si>
  <si>
    <t>Uncharacterized protein OS=Prunus persica GN=PRUPE_ppa007269mg PE=4 SV=1</t>
  </si>
  <si>
    <t>Uncharacterized protein (Fragment) OS=Prunus persica GN=PRUPE_ppa026409mg PE=4 SV=1</t>
  </si>
  <si>
    <t>Uncharacterized protein OS=Prunus persica GN=PRUPE_ppa009907mg PE=4 SV=1</t>
  </si>
  <si>
    <t>Uncharacterized protein OS=Prunus persica GN=PRUPE_ppa003502mg PE=4 SV=1</t>
  </si>
  <si>
    <t>Uncharacterized protein OS=Prunus persica GN=PRUPE_ppa000763mg PE=4 SV=1</t>
  </si>
  <si>
    <t>Uncharacterized protein OS=Prunus persica GN=PRUPE_ppa012588mg PE=4 SV=1</t>
  </si>
  <si>
    <t>Uncharacterized protein OS=Prunus persica GN=PRUPE_ppb017529mg PE=4 SV=1</t>
  </si>
  <si>
    <t>Uncharacterized protein (Fragment) OS=Prunus persica GN=PRUPE_ppa015891mg PE=4 SV=1</t>
  </si>
  <si>
    <t>Uncharacterized protein OS=Prunus persica GN=PRUPE_ppa008794mg PE=4 SV=1</t>
  </si>
  <si>
    <t>Uncharacterized protein OS=Prunus persica GN=PRUPE_ppa011458mg PE=4 SV=1</t>
  </si>
  <si>
    <t>Anaphase-promoting complex subunit 10 OS=Prunus persica GN=PRUPE_ppa011884mg PE=3 SV=1</t>
  </si>
  <si>
    <t>Uncharacterized protein OS=Prunus persica GN=PRUPE_ppa002141mg PE=4 SV=1</t>
  </si>
  <si>
    <t>Uncharacterized protein OS=Prunus persica GN=PRUPE_ppa011381mg PE=4 SV=1</t>
  </si>
  <si>
    <t>Uncharacterized protein OS=Prunus persica GN=PRUPE_ppa010369mg PE=4 SV=1</t>
  </si>
  <si>
    <t>Uncharacterized protein (Fragment) OS=Prunus persica GN=PRUPE_ppa026389mg PE=4 SV=1</t>
  </si>
  <si>
    <t>Uncharacterized protein OS=Prunus persica GN=PRUPE_ppa006043mg PE=4 SV=1</t>
  </si>
  <si>
    <t>Uncharacterized protein OS=Prunus persica GN=PRUPE_ppa003975mg PE=4 SV=1</t>
  </si>
  <si>
    <t>Uncharacterized protein OS=Prunus persica GN=PRUPE_ppa026963mg PE=4 SV=1</t>
  </si>
  <si>
    <t>Proteasome subunit alpha type OS=Prunus persica GN=PRUPE_ppa010523mg PE=3 SV=1</t>
  </si>
  <si>
    <t>Uncharacterized protein OS=Prunus persica GN=PRUPE_ppa024378mg PE=4 SV=1</t>
  </si>
  <si>
    <t>Putative uncharacterized protein OS=Vitis vinifera GN=VIT_03s0091g00460 PE=4 SV=1</t>
  </si>
  <si>
    <t>Uncharacterized protein OS=Prunus persica GN=PRUPE_ppa000151mg PE=4 SV=1</t>
  </si>
  <si>
    <t>Uncharacterized protein OS=Prunus persica GN=PRUPE_ppa003009mg PE=4 SV=1</t>
  </si>
  <si>
    <t>NADH-cytochrome b5 reductase OS=Prunus persica GN=PRUPE_ppa009801mg PE=3 SV=1</t>
  </si>
  <si>
    <t>Uncharacterized protein OS=Prunus persica GN=PRUPE_ppa010143mg PE=3 SV=1</t>
  </si>
  <si>
    <t>Uncharacterized protein OS=Prunus persica GN=PRUPE_ppa005283mg PE=4 SV=1</t>
  </si>
  <si>
    <t>Uncharacterized protein OS=Prunus persica GN=PRUPE_ppa000738mg PE=4 SV=1</t>
  </si>
  <si>
    <t>Uncharacterized protein OS=Prunus persica GN=PRUPE_ppa009335mg PE=4 SV=1</t>
  </si>
  <si>
    <t>Uncharacterized protein (Fragment) OS=Populus trichocarpa GN=POPTR_0983s00200g PE=4 SV=1</t>
  </si>
  <si>
    <t>Uncharacterized protein OS=Prunus persica GN=PRUPE_ppa024626mg PE=4 SV=1</t>
  </si>
  <si>
    <t>Uncharacterized protein OS=Prunus persica GN=PRUPE_ppa000956mg PE=3 SV=1</t>
  </si>
  <si>
    <t>Uncharacterized protein OS=Prunus persica GN=PRUPE_ppa011813mg PE=4 SV=1</t>
  </si>
  <si>
    <t>Histone deacetylase OS=Prunus persica GN=PRUPE_ppa006053mg PE=3 SV=1</t>
  </si>
  <si>
    <t>Uncharacterized protein OS=Prunus persica GN=PRUPE_ppa017503mg PE=4 SV=1</t>
  </si>
  <si>
    <t>Uncharacterized protein OS=Prunus persica GN=PRUPE_ppa013645mg PE=4 SV=1</t>
  </si>
  <si>
    <t>Uncharacterized protein OS=Prunus persica GN=PRUPE_ppa016782mg PE=4 SV=1</t>
  </si>
  <si>
    <t>Uncharacterized protein OS=Prunus persica GN=PRUPE_ppa012356mg PE=4 SV=1</t>
  </si>
  <si>
    <t>Uncharacterized protein OS=Prunus persica GN=PRUPE_ppa009060mg PE=4 SV=1</t>
  </si>
  <si>
    <t>Uncharacterized protein OS=Prunus persica GN=PRUPE_ppa022692mg PE=4 SV=1</t>
  </si>
  <si>
    <t>Pyruvate dehydrogenase E1 component subunit alpha OS=Prunus persica GN=PRUPE_ppa006652mg PE=4 SV=1</t>
  </si>
  <si>
    <t>Uncharacterized protein OS=Prunus persica GN=PRUPE_ppa000774mg PE=4 SV=1</t>
  </si>
  <si>
    <t>Uncharacterized protein (Fragment) OS=Prunus persica GN=PRUPE_ppa026773mg PE=4 SV=1</t>
  </si>
  <si>
    <t>Uncharacterized protein OS=Prunus persica GN=PRUPE_ppa000520mg PE=4 SV=1</t>
  </si>
  <si>
    <t>Uncharacterized protein OS=Prunus persica GN=PRUPE_ppa009473mg PE=4 SV=1</t>
  </si>
  <si>
    <t>Uncharacterized protein OS=Prunus persica GN=PRUPE_ppa000690mg PE=4 SV=1</t>
  </si>
  <si>
    <t>Uncharacterized protein OS=Prunus persica GN=PRUPE_ppa018125mg PE=4 SV=1</t>
  </si>
  <si>
    <t>Uncharacterized protein OS=Prunus persica GN=PRUPE_ppa022571mg PE=4 SV=1</t>
  </si>
  <si>
    <t>Uncharacterized protein OS=Prunus persica GN=PRUPE_ppa000291mg PE=3 SV=1</t>
  </si>
  <si>
    <t>Uncharacterized protein (Fragment) OS=Prunus persica GN=PRUPE_ppa023151mg PE=4 SV=1</t>
  </si>
  <si>
    <t>Uncharacterized protein OS=Prunus persica GN=PRUPE_ppa008377mg PE=4 SV=1</t>
  </si>
  <si>
    <t>Uncharacterized protein OS=Prunus persica GN=PRUPE_ppa017865mg PE=4 SV=1</t>
  </si>
  <si>
    <t>Uncharacterized protein OS=Phaseolus vulgaris GN=PHAVU_006G176000g PE=4 SV=1</t>
  </si>
  <si>
    <t>Uncharacterized protein OS=Prunus persica GN=PRUPE_ppa014957mg PE=4 SV=1</t>
  </si>
  <si>
    <t>Uncharacterized protein OS=Prunus persica GN=PRUPE_ppa008724mg PE=3 SV=1</t>
  </si>
  <si>
    <t>Uncharacterized protein OS=Prunus persica GN=PRUPE_ppa011031mg PE=4 SV=1</t>
  </si>
  <si>
    <t>Uncharacterized protein OS=Prunus persica GN=PRUPE_ppa000335mg PE=4 SV=1</t>
  </si>
  <si>
    <t>Uncharacterized protein OS=Prunus persica GN=PRUPE_ppa023915mg PE=3 SV=1</t>
  </si>
  <si>
    <t>Uncharacterized protein OS=Prunus persica GN=PRUPE_ppa000185mg PE=4 SV=1</t>
  </si>
  <si>
    <t>Uncharacterized protein OS=Prunus persica GN=PRUPE_ppa024306mg PE=4 SV=1</t>
  </si>
  <si>
    <t>Uncharacterized protein (Fragment) OS=Prunus persica GN=PRUPE_ppa023095mg PE=4 SV=1</t>
  </si>
  <si>
    <t>Uncharacterized protein OS=Prunus persica GN=PRUPE_ppa004817mg PE=4 SV=1</t>
  </si>
  <si>
    <t>Uncharacterized protein (Fragment) OS=Prunus persica GN=PRUPE_ppa024840mg PE=4 SV=1</t>
  </si>
  <si>
    <t>Uncharacterized protein OS=Prunus persica GN=PRUPE_ppa024123mg PE=4 SV=1</t>
  </si>
  <si>
    <t>Uncharacterized protein OS=Prunus persica GN=PRUPE_ppa006283mg PE=4 SV=1</t>
  </si>
  <si>
    <t>Uncharacterized protein OS=Prunus persica GN=PRUPE_ppa014266mg PE=4 SV=1</t>
  </si>
  <si>
    <t>Uncharacterized protein OS=Prunus persica GN=PRUPE_ppa022107mg PE=4 SV=1</t>
  </si>
  <si>
    <t>Uncharacterized protein OS=Prunus persica GN=PRUPE_ppa000129mg PE=4 SV=1</t>
  </si>
  <si>
    <t>Uncharacterized protein OS=Prunus persica GN=PRUPE_ppa006472mg PE=4 SV=1</t>
  </si>
  <si>
    <t>Uncharacterized protein OS=Prunus persica GN=PRUPE_ppa015209mg PE=4 SV=1</t>
  </si>
  <si>
    <t>Uncharacterized protein OS=Prunus persica GN=PRUPE_ppa003239mg PE=4 SV=1</t>
  </si>
  <si>
    <t>Uncharacterized protein OS=Prunus persica GN=PRUPE_ppa002040mg PE=3 SV=1</t>
  </si>
  <si>
    <t>Uncharacterized protein OS=Prunus persica GN=PRUPE_ppa011546mg PE=3 SV=1</t>
  </si>
  <si>
    <t>Uncharacterized protein OS=Prunus persica GN=PRUPE_ppa002566mg PE=4 SV=1</t>
  </si>
  <si>
    <t>Uncharacterized protein OS=Prunus persica GN=PRUPE_ppa008128mg PE=4 SV=1</t>
  </si>
  <si>
    <t>Uncharacterized protein OS=Prunus persica GN=PRUPE_ppa006404mg PE=4 SV=1</t>
  </si>
  <si>
    <t>Uncharacterized protein OS=Prunus persica GN=PRUPE_ppa015543mg PE=4 SV=1</t>
  </si>
  <si>
    <t>Putative uncharacterized protein OS=Vitis vinifera GN=VITISV_035070 PE=4 SV=1</t>
  </si>
  <si>
    <t>Uncharacterized protein OS=Prunus persica GN=PRUPE_ppa016464mg PE=4 SV=1</t>
  </si>
  <si>
    <t>Uncharacterized protein OS=Prunus persica GN=PRUPE_ppa003886mg PE=3 SV=1</t>
  </si>
  <si>
    <t>Uncharacterized protein OS=Prunus persica GN=PRUPE_ppa018212mg PE=4 SV=1</t>
  </si>
  <si>
    <t>Uncharacterized protein OS=Prunus persica GN=PRUPE_ppa001327mg PE=4 SV=1</t>
  </si>
  <si>
    <t>Uncharacterized protein OS=Prunus persica GN=PRUPE_ppa019951mg PE=4 SV=1</t>
  </si>
  <si>
    <t>Uncharacterized protein OS=Prunus persica GN=PRUPE_ppb010366mg PE=4 SV=1</t>
  </si>
  <si>
    <t>Uncharacterized protein OS=Prunus persica GN=PRUPE_ppa014624mg PE=3 SV=1</t>
  </si>
  <si>
    <t>Uncharacterized protein OS=Prunus persica GN=PRUPE_ppa009224mg PE=4 SV=1</t>
  </si>
  <si>
    <t>Uncharacterized protein OS=Prunus persica GN=PRUPE_ppa008555mg PE=3 SV=1</t>
  </si>
  <si>
    <t>Hexosyltransferase OS=Prunus persica GN=PRUPE_ppa004063mg PE=3 SV=1</t>
  </si>
  <si>
    <t>Uncharacterized protein OS=Prunus persica GN=PRUPE_ppa001190mg PE=3 SV=1</t>
  </si>
  <si>
    <t>Uncharacterized protein OS=Prunus persica GN=PRUPE_ppa009338mg PE=4 SV=1</t>
  </si>
  <si>
    <t>Uncharacterized protein (Fragment) OS=Prunus persica GN=PRUPE_ppa025233mg PE=4 SV=1</t>
  </si>
  <si>
    <t>Uncharacterized protein OS=Prunus persica GN=PRUPE_ppa026393mg PE=4 SV=1</t>
  </si>
  <si>
    <t>Uncharacterized protein OS=Prunus persica GN=PRUPE_ppa002926mg PE=4 SV=1</t>
  </si>
  <si>
    <t>Uncharacterized protein OS=Prunus persica GN=PRUPE_ppa002629mg PE=4 SV=1</t>
  </si>
  <si>
    <t>Uncharacterized protein (Fragment) OS=Prunus persica GN=PRUPE_ppa014675mg PE=3 SV=1</t>
  </si>
  <si>
    <t>Uncharacterized protein OS=Prunus persica GN=PRUPE_ppa006890mg PE=3 SV=1</t>
  </si>
  <si>
    <t>Uncharacterized protein OS=Prunus persica GN=PRUPE_ppa004826mg PE=4 SV=1</t>
  </si>
  <si>
    <t>Uncharacterized protein OS=Prunus persica GN=PRUPE_ppa004834mg PE=4 SV=1</t>
  </si>
  <si>
    <t>Uncharacterized protein OS=Prunus persica GN=PRUPE_ppa018934mg PE=4 SV=1</t>
  </si>
  <si>
    <t>Pectate lyase OS=Prunus persica GN=PRUPE_ppa005761mg PE=2 SV=1</t>
  </si>
  <si>
    <t>Uncharacterized protein OS=Prunus persica GN=PRUPE_ppa020525mg PE=4 SV=1</t>
  </si>
  <si>
    <t>Uncharacterized protein OS=Prunus persica GN=PRUPE_ppa005064mg PE=4 SV=1</t>
  </si>
  <si>
    <t>Uncharacterized protein OS=Prunus persica GN=PRUPE_ppa003105mg PE=3 SV=1</t>
  </si>
  <si>
    <t>Uncharacterized protein OS=Prunus persica GN=PRUPE_ppa017544mg PE=4 SV=1</t>
  </si>
  <si>
    <t>Uncharacterized protein OS=Prunus persica GN=PRUPE_ppa020739mg PE=4 SV=1</t>
  </si>
  <si>
    <t>Uncharacterized protein OS=Prunus persica GN=PRUPE_ppa007138mg PE=4 SV=1</t>
  </si>
  <si>
    <t>Uncharacterized protein OS=Prunus persica GN=PRUPE_ppa016884mg PE=4 SV=1</t>
  </si>
  <si>
    <t>DEAD-box RNA helicase-like protein OS=Prunus persica GN=PRUPE_ppa006399mg PE=2 SV=1</t>
  </si>
  <si>
    <t>Uncharacterized protein OS=Prunus persica GN=PRUPE_ppa024384mg PE=4 SV=1</t>
  </si>
  <si>
    <t>Terminal flower 1 OS=Prunus persica GN=PRUPE_ppa012369mg PE=4 SV=1</t>
  </si>
  <si>
    <t>Uncharacterized protein OS=Prunus persica GN=PRUPE_ppa014569mg PE=4 SV=1</t>
  </si>
  <si>
    <t>Uncharacterized protein OS=Musa acuminata subsp. malaccensis PE=3 SV=1</t>
  </si>
  <si>
    <t>Uncharacterized protein OS=Prunus persica GN=PRUPE_ppa003501mg PE=3 SV=1</t>
  </si>
  <si>
    <t>Uncharacterized protein OS=Prunus persica GN=PRUPE_ppa004154mg PE=3 SV=1</t>
  </si>
  <si>
    <t>Uncharacterized protein (Fragment) OS=Prunus persica GN=PRUPE_ppa023511mg PE=3 SV=1</t>
  </si>
  <si>
    <t>Serine/threonine-protein kinase RIO1 OS=Prunus persica GN=PRUPE_ppa003828mg PE=3 SV=1</t>
  </si>
  <si>
    <t>Uncharacterized protein OS=Prunus persica GN=PRUPE_ppa016512mg PE=3 SV=1</t>
  </si>
  <si>
    <t>Uncharacterized protein OS=Prunus persica GN=PRUPE_ppa000656mg PE=3 SV=1</t>
  </si>
  <si>
    <t>Uncharacterized protein OS=Prunus persica GN=PRUPE_ppa007394mg PE=4 SV=1</t>
  </si>
  <si>
    <t>Uncharacterized protein OS=Gossypium raimondii GN=B456_008G192600 PE=4 SV=1</t>
  </si>
  <si>
    <t>Uncharacterized protein OS=Prunus persica GN=PRUPE_ppa005106mg PE=4 SV=1</t>
  </si>
  <si>
    <t>Uncharacterized protein OS=Prunus persica GN=PRUPE_ppa009111mg PE=4 SV=1</t>
  </si>
  <si>
    <t>Uncharacterized protein OS=Prunus persica GN=PRUPE_ppa001286mg PE=4 SV=1</t>
  </si>
  <si>
    <t>Putative uncharacterized protein OS=Vitis vinifera GN=VITISV_024577 PE=4 SV=1</t>
  </si>
  <si>
    <t>Uncharacterized protein OS=Prunus persica GN=PRUPE_ppa020090mg PE=4 SV=1</t>
  </si>
  <si>
    <t>Uncharacterized protein (Fragment) OS=Prunus persica GN=PRUPE_ppa016794mg PE=4 SV=1</t>
  </si>
  <si>
    <t>Uncharacterized protein OS=Prunus persica GN=PRUPE_ppa007843mg PE=3 SV=1</t>
  </si>
  <si>
    <t>E3 ubiquitin-protein ligase OS=Prunus persica GN=PRUPE_ppa006254mg PE=3 SV=1</t>
  </si>
  <si>
    <t>Uncharacterized protein OS=Prunus persica GN=PRUPE_ppa013688mg PE=4 SV=1</t>
  </si>
  <si>
    <t>Clathrin heavy chain OS=Prunus persica GN=PRUPE_ppa000132mg PE=3 SV=1</t>
  </si>
  <si>
    <t>Uncharacterized protein OS=Prunus persica GN=PRUPE_ppa000837mg PE=4 SV=1</t>
  </si>
  <si>
    <t>Putative allergen Pru p 1.03 OS=Prunus dulcis x Prunus persica GN=Pru p 1.03 PE=3 SV=1</t>
  </si>
  <si>
    <t>Uncharacterized protein OS=Prunus persica GN=PRUPE_ppa007632mg PE=3 SV=1</t>
  </si>
  <si>
    <t>Uncharacterized protein OS=Prunus persica GN=PRUPE_ppa003305mg PE=4 SV=1</t>
  </si>
  <si>
    <t>NOT2 / NOT3 / NOT5 family isoform 1 OS=Theobroma cacao GN=TCM_041933 PE=4 SV=1</t>
  </si>
  <si>
    <t>Uncharacterized protein OS=Prunus persica GN=PRUPE_ppa003471mg PE=4 SV=1</t>
  </si>
  <si>
    <t>Uncharacterized protein (Fragment) OS=Prunus persica GN=PRUPE_ppa025595mg PE=4 SV=1</t>
  </si>
  <si>
    <t>Uncharacterized protein OS=Prunus persica GN=PRUPE_ppa011346mg PE=3 SV=1</t>
  </si>
  <si>
    <t>Uncharacterized protein OS=Prunus persica GN=PRUPE_ppa001325mg PE=4 SV=1</t>
  </si>
  <si>
    <t>Uncharacterized protein OS=Prunus persica GN=PRUPE_ppa023818mg PE=4 SV=1</t>
  </si>
  <si>
    <t>Uncharacterized protein OS=Prunus persica GN=PRUPE_ppa011420mg PE=4 SV=1</t>
  </si>
  <si>
    <t>Uncharacterized protein OS=Prunus persica GN=PRUPE_ppa011071mg PE=4 SV=1</t>
  </si>
  <si>
    <t>Uncharacterized protein OS=Prunus persica GN=PRUPE_ppa002453mg PE=4 SV=1</t>
  </si>
  <si>
    <t>Uncharacterized protein OS=Prunus persica GN=PRUPE_ppa021293mg PE=4 SV=1</t>
  </si>
  <si>
    <t>Uncharacterized protein OS=Prunus persica GN=PRUPE_ppa002211mg PE=4 SV=1</t>
  </si>
  <si>
    <t>Uncharacterized protein OS=Prunus persica GN=PRUPE_ppa008843mg PE=4 SV=1</t>
  </si>
  <si>
    <t>Uncharacterized protein OS=Prunus persica GN=PRUPE_ppa006248mg PE=4 SV=1</t>
  </si>
  <si>
    <t>DNA topoisomerase 6 subunit A OS=Prunus persica GN=TOP6A PE=3 SV=1</t>
  </si>
  <si>
    <t>Presenilin OS=Prunus persica GN=PRUPE_ppa005798mg PE=3 SV=1</t>
  </si>
  <si>
    <t>Uncharacterized protein OS=Prunus persica GN=PRUPE_ppa004238mg PE=4 SV=1</t>
  </si>
  <si>
    <t>Uncharacterized protein OS=Prunus persica GN=PRUPE_ppa000749mg PE=4 SV=1</t>
  </si>
  <si>
    <t>Uncharacterized protein OS=Prunus persica GN=PRUPE_ppa002295mg PE=4 SV=1</t>
  </si>
  <si>
    <t>Uncharacterized protein OS=Prunus persica GN=PRUPE_ppa000973mg PE=4 SV=1</t>
  </si>
  <si>
    <t>Uncharacterized protein OS=Prunus persica GN=PRUPE_ppa007925mg PE=4 SV=1</t>
  </si>
  <si>
    <t>Calcium-transporting ATPase OS=Prunus persica GN=PRUPE_ppa000704mg PE=3 SV=1</t>
  </si>
  <si>
    <t>Uncharacterized protein OS=Prunus persica GN=PRUPE_ppa005214mg PE=4 SV=1</t>
  </si>
  <si>
    <t>Uncharacterized protein OS=Prunus persica GN=PRUPE_ppa002117mg PE=3 SV=1</t>
  </si>
  <si>
    <t>Uncharacterized protein OS=Prunus persica GN=PRUPE_ppa000068mg PE=4 SV=1</t>
  </si>
  <si>
    <t>Uncharacterized protein OS=Prunus persica GN=PRUPE_ppa000104mg PE=4 SV=1</t>
  </si>
  <si>
    <t>Uncharacterized protein OS=Prunus persica GN=PRUPE_ppa010401mg PE=4 SV=1</t>
  </si>
  <si>
    <t>Histone-lysine N-methyltransferase OS=Prunus persica GN=PRUPE_ppa005549mg PE=4 SV=1</t>
  </si>
  <si>
    <t>Uncharacterized protein OS=Prunus persica GN=PRUPE_ppa003092mg PE=4 SV=1</t>
  </si>
  <si>
    <t>Uncharacterized protein OS=Prunus persica GN=PRUPE_ppa003225mg PE=4 SV=1</t>
  </si>
  <si>
    <t>Uncharacterized protein OS=Prunus persica GN=PRUPE_ppa006601mg PE=4 SV=1</t>
  </si>
  <si>
    <t>Uncharacterized protein OS=Prunus persica GN=PRUPE_ppa000940mg PE=4 SV=1</t>
  </si>
  <si>
    <t>Uncharacterized protein OS=Prunus persica GN=PRUPE_ppa000931mg PE=3 SV=1</t>
  </si>
  <si>
    <t>Uncharacterized protein OS=Prunus persica GN=PRUPE_ppa012353mg PE=4 SV=1</t>
  </si>
  <si>
    <t>Uncharacterized protein OS=Prunus persica GN=PRUPE_ppa000308mg PE=4 SV=1</t>
  </si>
  <si>
    <t>Uncharacterized protein OS=Prunus persica GN=PRUPE_ppa002728mg PE=4 SV=1</t>
  </si>
  <si>
    <t>Uncharacterized protein OS=Prunus persica GN=PRUPE_ppa010675mg PE=4 SV=1</t>
  </si>
  <si>
    <t>Uncharacterized protein OS=Prunus persica GN=PRUPE_ppa026980mg PE=4 SV=1</t>
  </si>
  <si>
    <t>Uncharacterized protein OS=Prunus persica GN=PRUPE_ppa004584mg PE=4 SV=1</t>
  </si>
  <si>
    <t>Uncharacterized protein OS=Prunus persica GN=PRUPE_ppa003737mg PE=4 SV=1</t>
  </si>
  <si>
    <t>Uncharacterized protein OS=Prunus persica GN=PRUPE_ppa020832mg PE=4 SV=1</t>
  </si>
  <si>
    <t>Uncharacterized protein (Fragment) OS=Prunus persica GN=PRUPE_ppa015894mg PE=4 SV=1</t>
  </si>
  <si>
    <t>Uncharacterized protein OS=Prunus persica GN=PRUPE_ppa017003mg PE=4 SV=1</t>
  </si>
  <si>
    <t>Uncharacterized protein OS=Prunus persica GN=PRUPE_ppa013525mg PE=4 SV=1</t>
  </si>
  <si>
    <t>Uncharacterized protein OS=Gibberella moniliformis (strain M3125 / FGSC 7600) GN=FVEG_09773 PE=4 SV=1</t>
  </si>
  <si>
    <t>Mitogen-activated protein kinase OS=Prunus persica GN=PRUPE_ppa002837mg PE=4 SV=1</t>
  </si>
  <si>
    <t>Uncharacterized protein OS=Prunus persica GN=PRUPE_ppa000742mg PE=4 SV=1</t>
  </si>
  <si>
    <t>Uncharacterized protein OS=Prunus persica GN=PRUPE_ppa005678mg PE=3 SV=1</t>
  </si>
  <si>
    <t>Uncharacterized protein (Fragment) OS=Prunus persica GN=PRUPE_ppa023129mg PE=4 SV=1</t>
  </si>
  <si>
    <t>Uncharacterized protein OS=Prunus persica GN=PRUPE_ppa011332mg PE=4 SV=1</t>
  </si>
  <si>
    <t>Putative uncharacterized protein OS=Prunus persica PE=4 SV=1</t>
  </si>
  <si>
    <t>Uncharacterized protein (Fragment) OS=Prunus persica GN=PRUPE_ppa021929mg PE=4 SV=1</t>
  </si>
  <si>
    <t>Uncharacterized protein OS=Prunus persica GN=PRUPE_ppa024435mg PE=4 SV=1</t>
  </si>
  <si>
    <t>Uncharacterized protein OS=Prunus persica GN=PRUPE_ppa002898mg PE=4 SV=1</t>
  </si>
  <si>
    <t>Uncharacterized protein OS=Prunus persica GN=PRUPE_ppa019862mg PE=3 SV=1</t>
  </si>
  <si>
    <t>Uncharacterized protein OS=Prunus persica GN=PRUPE_ppa013832mg PE=4 SV=1</t>
  </si>
  <si>
    <t>Uncharacterized protein OS=Prunus persica GN=PRUPE_ppa002480mg PE=4 SV=1</t>
  </si>
  <si>
    <t>Uncharacterized protein OS=Prunus persica GN=PRUPE_ppa010243mg PE=4 SV=1</t>
  </si>
  <si>
    <t>Uncharacterized protein OS=Prunus persica GN=PRUPE_ppa004321mg PE=3 SV=1</t>
  </si>
  <si>
    <t>Uncharacterized protein OS=Prunus persica GN=PRUPE_ppa011897mg PE=4 SV=1</t>
  </si>
  <si>
    <t>Uncharacterized protein OS=Prunus persica GN=PRUPE_ppa011641mg PE=4 SV=1</t>
  </si>
  <si>
    <t>Uncharacterized protein OS=Prunus persica GN=PRUPE_ppa012895mg PE=3 SV=1</t>
  </si>
  <si>
    <t>Uncharacterized protein OS=Prunus persica GN=PRUPE_ppb022962mg PE=4 SV=1</t>
  </si>
  <si>
    <t>Auxin response factor OS=Prunus persica GN=PRUPE_ppa003136mg PE=3 SV=1</t>
  </si>
  <si>
    <t>Uncharacterized protein OS=Prunus persica GN=PRUPE_ppa009716mg PE=4 SV=1</t>
  </si>
  <si>
    <t>Uncharacterized protein OS=Prunus persica GN=PRUPE_ppa024755mg PE=4 SV=1</t>
  </si>
  <si>
    <t>Uncharacterized protein OS=Prunus persica GN=PRUPE_ppa007509mg PE=4 SV=1</t>
  </si>
  <si>
    <t>Uncharacterized protein (Fragment) OS=Prunus persica GN=PRUPE_ppa017505mg PE=4 SV=1</t>
  </si>
  <si>
    <t>Uncharacterized protein OS=Prunus persica GN=PRUPE_ppa005474mg PE=4 SV=1</t>
  </si>
  <si>
    <t>Uncharacterized protein OS=Prunus persica GN=PRUPE_ppa001873mg PE=4 SV=1</t>
  </si>
  <si>
    <t>Uncharacterized protein OS=Solanum tuberosum GN=PGSC0003DMG400014137 PE=4 SV=1</t>
  </si>
  <si>
    <t>Uncharacterized protein OS=Citrus sinensis GN=CISIN_1g012101mg PE=4 SV=1</t>
  </si>
  <si>
    <t>Alpha-mannosidase OS=Prunus persica GN=PRUPE_ppa000717mg PE=2 SV=1</t>
  </si>
  <si>
    <t>Uncharacterized protein OS=Prunus persica GN=PRUPE_ppa001662mg PE=4 SV=1</t>
  </si>
  <si>
    <t>Uncharacterized protein OS=Prunus persica GN=PRUPE_ppa005317mg PE=4 SV=1</t>
  </si>
  <si>
    <t>Uncharacterized protein OS=Prunus persica GN=PRUPE_ppa003879mg PE=4 SV=1</t>
  </si>
  <si>
    <t>Uncharacterized protein OS=Prunus persica GN=PRUPE_ppa010095mg PE=4 SV=1</t>
  </si>
  <si>
    <t>Uncharacterized protein OS=Prunus persica GN=PRUPE_ppa006500mg PE=4 SV=1</t>
  </si>
  <si>
    <t>Uncharacterized protein OS=Prunus persica GN=PRUPE_ppa018811mg PE=4 SV=1</t>
  </si>
  <si>
    <t>Uncharacterized protein OS=Prunus persica GN=PRUPE_ppa008759mg PE=4 SV=1</t>
  </si>
  <si>
    <t>Uncharacterized protein OS=Jatropha curcas GN=JCGZ_22644 PE=4 SV=1</t>
  </si>
  <si>
    <t>Catalase OS=Prunus persica GN=PRUPE_ppa004763mg PE=3 SV=1</t>
  </si>
  <si>
    <t>Uncharacterized protein OS=Prunus persica GN=PRUPE_ppa017274mg PE=4 SV=1</t>
  </si>
  <si>
    <t>Uncharacterized protein OS=Prunus persica GN=PRUPE_ppa016410mg PE=4 SV=1</t>
  </si>
  <si>
    <t>Uncharacterized protein OS=Prunus persica GN=PRUPE_ppa013107mg PE=4 SV=1</t>
  </si>
  <si>
    <t>Uncharacterized protein OS=Prunus persica GN=PRUPE_ppa000238mg PE=4 SV=1</t>
  </si>
  <si>
    <t>Uncharacterized protein OS=Prunus persica GN=PRUPE_ppa003110mg PE=4 SV=1</t>
  </si>
  <si>
    <t>Glutathione synthetase OS=Prunus persica GN=PRUPE_ppa003677mg PE=3 SV=1</t>
  </si>
  <si>
    <t>Uncharacterized protein OS=Prunus persica GN=PRUPE_ppa021294mg PE=4 SV=1</t>
  </si>
  <si>
    <t>Uncharacterized protein OS=Prunus persica GN=PRUPE_ppa008228mg PE=4 SV=1</t>
  </si>
  <si>
    <t>Uncharacterized protein OS=Prunus persica GN=PRUPE_ppa003557mg PE=4 SV=1</t>
  </si>
  <si>
    <t>Uncharacterized protein OS=Prunus persica GN=PRUPE_ppa008924mg PE=4 SV=1</t>
  </si>
  <si>
    <t>Uncharacterized protein OS=Jatropha curcas GN=JCGZ_25720 PE=4 SV=1</t>
  </si>
  <si>
    <t>Uncharacterized protein OS=Prunus persica GN=PRUPE_ppa022572mg PE=3 SV=1</t>
  </si>
  <si>
    <t>Uncharacterized protein OS=Prunus persica GN=PRUPE_ppa010034mg PE=4 SV=1</t>
  </si>
  <si>
    <t>Uncharacterized protein OS=Prunus persica GN=PRUPE_ppa020063mg PE=4 SV=1</t>
  </si>
  <si>
    <t>V-ATPase subunit C3 OS=Eriobotrya japonica PE=2 SV=1</t>
  </si>
  <si>
    <t>NADH-plastoquinone oxidoreductase subunit 5 OS=Prunus kansuensis GN=ndhF PE=4 SV=1</t>
  </si>
  <si>
    <t>Uncharacterized protein OS=Prunus persica GN=PRUPE_ppa022751mg PE=4 SV=1</t>
  </si>
  <si>
    <t>Uncharacterized protein OS=Prunus persica GN=PRUPE_ppa012171mg PE=4 SV=1</t>
  </si>
  <si>
    <t>Nonspecific lipid-transfer protein, putative OS=Ricinus communis GN=RCOM_0646530 PE=4 SV=1</t>
  </si>
  <si>
    <t>Uncharacterized protein OS=Prunus persica GN=PRUPE_ppa010639mg PE=4 SV=1</t>
  </si>
  <si>
    <t>Endoplasmic reticulum oxidoreductins 1 isoform 1 OS=Theobroma cacao GN=TCM_029437 PE=4 SV=1</t>
  </si>
  <si>
    <t>Uncharacterized protein OS=Prunus persica GN=PRUPE_ppa000653mg PE=4 SV=1</t>
  </si>
  <si>
    <t>Uncharacterized protein OS=Prunus persica GN=PRUPE_ppa016185mg PE=4 SV=1</t>
  </si>
  <si>
    <t>Similar to cyanovirin-N family protein OS=Botryotinia fuckeliana (strain T4) GN=BofuT4_P069440.1 PE=4 SV=1</t>
  </si>
  <si>
    <t>Uncharacterized protein OS=Jatropha curcas GN=JCGZ_26061 PE=4 SV=1</t>
  </si>
  <si>
    <t>Uncharacterized protein OS=Prunus persica GN=PRUPE_ppa022462mg PE=4 SV=1</t>
  </si>
  <si>
    <t>Uncharacterized protein OS=Prunus persica GN=PRUPE_ppa007553mg PE=4 SV=1</t>
  </si>
  <si>
    <t>Uncharacterized protein OS=Prunus persica GN=PRUPE_ppa021723mg PE=4 SV=1</t>
  </si>
  <si>
    <t>Uncharacterized protein OS=Prunus persica GN=PRUPE_ppa010971mg PE=4 SV=1</t>
  </si>
  <si>
    <t>Uncharacterized protein OS=Prunus persica GN=PRUPE_ppa009764mg PE=3 SV=1</t>
  </si>
  <si>
    <t>Uncharacterized protein (Fragment) OS=Prunus persica GN=PRUPE_ppa020677mg PE=4 SV=1</t>
  </si>
  <si>
    <t>Uncharacterized protein OS=Prunus persica GN=PRUPE_ppa006774mg PE=4 SV=1</t>
  </si>
  <si>
    <t>Uncharacterized protein (Fragment) OS=Prunus persica GN=PRUPE_ppa021905mg PE=4 SV=1</t>
  </si>
  <si>
    <t>Uncharacterized protein OS=Prunus persica GN=PRUPE_ppa010706mg PE=4 SV=1</t>
  </si>
  <si>
    <t>Uncharacterized protein OS=Prunus persica GN=PRUPE_ppa001133mg PE=4 SV=1</t>
  </si>
  <si>
    <t>Uncharacterized protein OS=Prunus persica GN=PRUPE_ppa002327mg PE=4 SV=1</t>
  </si>
  <si>
    <t>Uncharacterized protein OS=Prunus persica GN=PRUPE_ppa010165mg PE=4 SV=1</t>
  </si>
  <si>
    <t>Uncharacterized protein OS=Prunus persica GN=PRUPE_ppa005727mg PE=3 SV=1</t>
  </si>
  <si>
    <t>Uncharacterized protein (Fragment) OS=Prunus persica GN=PRUPE_ppa023884mg PE=4 SV=1</t>
  </si>
  <si>
    <t>Uncharacterized protein OS=Prunus persica GN=PRUPE_ppa000661mg PE=4 SV=1</t>
  </si>
  <si>
    <t>Uncharacterized protein (Fragment) OS=Prunus persica GN=PRUPE_ppa016135mg PE=4 SV=1</t>
  </si>
  <si>
    <t>Uncharacterized protein OS=Jatropha curcas GN=JCGZ_11719 PE=4 SV=1</t>
  </si>
  <si>
    <t>Uncharacterized protein OS=Prunus persica GN=PRUPE_ppa000592mg PE=4 SV=1</t>
  </si>
  <si>
    <t>Uncharacterized protein OS=Prunus persica GN=PRUPE_ppa007000mg PE=4 SV=1</t>
  </si>
  <si>
    <t>Uncharacterized protein OS=Prunus persica GN=PRUPE_ppa013180mg PE=4 SV=1</t>
  </si>
  <si>
    <t>Uncharacterized protein OS=Prunus persica GN=PRUPE_ppa020548mg PE=4 SV=1</t>
  </si>
  <si>
    <t>Phosphoribulokinase OS=Prunus persica GN=PRUPE_ppa006386mg PE=3 SV=1</t>
  </si>
  <si>
    <t>Uncharacterized protein OS=Prunus persica GN=PRUPE_ppa002956mg PE=4 SV=1</t>
  </si>
  <si>
    <t>Ubiquitin carboxyl-terminal hydrolase OS=Prunus persica GN=PRUPE_ppa005074mg PE=3 SV=1</t>
  </si>
  <si>
    <t>Uncharacterized protein OS=Prunus persica GN=PRUPE_ppa001612mg PE=4 SV=1</t>
  </si>
  <si>
    <t>Uncharacterized protein OS=Prunus persica GN=PRUPE_ppa008783mg PE=4 SV=1</t>
  </si>
  <si>
    <t>Uncharacterized protein OS=Prunus persica GN=PRUPE_ppa009913mg PE=4 SV=1</t>
  </si>
  <si>
    <t>Uncharacterized protein (Fragment) OS=Prunus persica GN=PRUPE_ppa019061mg PE=4 SV=1</t>
  </si>
  <si>
    <t>Uncharacterized protein OS=Prunus persica GN=PRUPE_ppa013835mg PE=4 SV=1</t>
  </si>
  <si>
    <t>Uncharacterized protein OS=Prunus persica GN=PRUPE_ppa000224mg PE=4 SV=1</t>
  </si>
  <si>
    <t>MADS box protein OS=Prunus persica GN=MADS2 PE=2 SV=1</t>
  </si>
  <si>
    <t>Uncharacterized protein OS=Prunus persica GN=PRUPE_ppa010350mg PE=4 SV=1</t>
  </si>
  <si>
    <t>Uncharacterized protein OS=Prunus persica GN=PRUPE_ppa022874mg PE=4 SV=1</t>
  </si>
  <si>
    <t>Uncharacterized protein OS=Prunus persica GN=PRUPE_ppa003073mg PE=4 SV=1</t>
  </si>
  <si>
    <t>Uncharacterized protein OS=Prunus persica GN=PRUPE_ppa002639mg PE=3 SV=1</t>
  </si>
  <si>
    <t>Uncharacterized protein OS=Prunus persica GN=PRUPE_ppa014210mg PE=4 SV=1</t>
  </si>
  <si>
    <t>Uncharacterized protein (Fragment) OS=Prunus persica GN=PRUPE_ppa016983mg PE=3 SV=1</t>
  </si>
  <si>
    <t>Uncharacterized protein OS=Prunus persica GN=PRUPE_ppa000484mg PE=4 SV=1</t>
  </si>
  <si>
    <t>Uncharacterized protein OS=Prunus persica GN=PRUPE_ppa000838mg PE=4 SV=1</t>
  </si>
  <si>
    <t>Uncharacterized protein OS=Prunus persica GN=PRUPE_ppa017030mg PE=4 SV=1</t>
  </si>
  <si>
    <t>Uncharacterized protein OS=Prunus persica GN=PRUPE_ppa006065mg PE=4 SV=1</t>
  </si>
  <si>
    <t>Uncharacterized protein OS=Prunus persica GN=PRUPE_ppa004678mg PE=3 SV=1</t>
  </si>
  <si>
    <t>Uncharacterized protein OS=Prunus persica GN=PRUPE_ppa009180mg PE=3 SV=1</t>
  </si>
  <si>
    <t>Uncharacterized protein OS=Prunus persica GN=PRUPE_ppa004290mg PE=4 SV=1</t>
  </si>
  <si>
    <t>Uncharacterized protein OS=Prunus persica GN=PRUPE_ppa005978mg PE=4 SV=1</t>
  </si>
  <si>
    <t>Uncharacterized protein (Fragment) OS=Prunus persica GN=PRUPE_ppa021401mg PE=3 SV=1</t>
  </si>
  <si>
    <t>Uncharacterized protein OS=Prunus persica GN=PRUPE_ppa010234mg PE=4 SV=1</t>
  </si>
  <si>
    <t>Uncharacterized protein OS=Prunus persica GN=PRUPE_ppa004617mg PE=3 SV=1</t>
  </si>
  <si>
    <t>Uncharacterized protein OS=Prunus persica GN=PRUPE_ppa006913mg PE=3 SV=1</t>
  </si>
  <si>
    <t>Uncharacterized protein OS=Prunus persica GN=PRUPE_ppa000941mg PE=3 SV=1</t>
  </si>
  <si>
    <t>Protein phosphatase methylesterase 1 OS=Prunus persica GN=PRUPE_ppa007920mg PE=3 SV=1</t>
  </si>
  <si>
    <t>Uncharacterized protein OS=Prunus persica GN=PRUPE_ppa1027206mg PE=3 SV=1</t>
  </si>
  <si>
    <t>Uncharacterized protein OS=Prunus persica GN=PRUPE_ppa020075mg PE=4 SV=1</t>
  </si>
  <si>
    <t>Uncharacterized protein OS=Prunus persica GN=PRUPE_ppa002729mg PE=4 SV=1</t>
  </si>
  <si>
    <t>Uncharacterized protein OS=Prunus persica GN=PRUPE_ppa002260mg PE=3 SV=1</t>
  </si>
  <si>
    <t>3-phosphoshikimate 1-carboxyvinyltransferase OS=Prunus persica GN=PRUPE_ppa004186mg PE=3 SV=1</t>
  </si>
  <si>
    <t>Uncharacterized protein OS=Prunus persica GN=PRUPE_ppa018060mg PE=4 SV=1</t>
  </si>
  <si>
    <t>Uncharacterized protein OS=Prunus persica GN=PRUPE_ppa001856mg PE=4 SV=1</t>
  </si>
  <si>
    <t>Phospholipase D OS=Prunus persica GN=PRUPE_ppa001818mg PE=3 SV=1</t>
  </si>
  <si>
    <t>Uncharacterized protein OS=Prunus persica GN=PRUPE_ppa000160mg PE=4 SV=1</t>
  </si>
  <si>
    <t>Uncharacterized protein (Fragment) OS=Prunus persica GN=PRUPE_ppa026086mg PE=4 SV=1</t>
  </si>
  <si>
    <t>Similar to ATP synthase protein 9 OS=Botryotinia fuckeliana (strain T4) GN=BofuT4_P130000.1 PE=3 SV=1</t>
  </si>
  <si>
    <t>Uncharacterized protein (Fragment) OS=Prunus persica GN=PRUPE_ppa018179mg PE=4 SV=1</t>
  </si>
  <si>
    <t>Uncharacterized protein OS=Prunus persica GN=PRUPE_ppa011448mg PE=4 SV=1</t>
  </si>
  <si>
    <t>Uncharacterized protein OS=Prunus persica GN=PRUPE_ppa006675mg PE=3 SV=1</t>
  </si>
  <si>
    <t>Uncharacterized protein OS=Prunus persica GN=PRUPE_ppa012363mg PE=4 SV=1</t>
  </si>
  <si>
    <t>Uncharacterized protein OS=Prunus persica GN=PRUPE_ppa023932mg PE=4 SV=1</t>
  </si>
  <si>
    <t>Uncharacterized protein OS=Prunus persica GN=PRUPE_ppa010827mg PE=4 SV=1</t>
  </si>
  <si>
    <t>Uncharacterized protein OS=Prunus persica GN=PRUPE_ppa007682mg PE=4 SV=1</t>
  </si>
  <si>
    <t>Uncharacterized protein OS=Prunus persica GN=PRUPE_ppa008013mg PE=4 SV=1</t>
  </si>
  <si>
    <t>Uncharacterized protein (Fragment) OS=Prunus persica GN=PRUPE_ppa026629mg PE=4 SV=1</t>
  </si>
  <si>
    <t>Uncharacterized protein OS=Prunus persica GN=PRUPE_ppa020591mg PE=4 SV=1</t>
  </si>
  <si>
    <t>Uncharacterized protein OS=Prunus persica GN=PRUPE_ppa011717mg PE=4 SV=1</t>
  </si>
  <si>
    <t>Retrotransposon polyprotein OS=Rosa rugosa PE=4 SV=1</t>
  </si>
  <si>
    <t>Uncharacterized protein OS=Prunus persica GN=PRUPE_ppa007635mg PE=4 SV=1</t>
  </si>
  <si>
    <t>Uncharacterized protein (Fragment) OS=Prunus persica GN=PRUPE_ppa021344mg PE=4 SV=1</t>
  </si>
  <si>
    <t>Uncharacterized protein OS=Citrus sinensis GN=CISIN_1g001884mg PE=4 SV=1</t>
  </si>
  <si>
    <t>Uncharacterized protein OS=Prunus persica GN=PRUPE_ppa006773mg PE=3 SV=1</t>
  </si>
  <si>
    <t>Uncharacterized protein OS=Prunus persica GN=PRUPE_ppa022140mg PE=4 SV=1</t>
  </si>
  <si>
    <t>Uncharacterized protein OS=Prunus persica GN=PRUPE_ppa000790mg PE=4 SV=1</t>
  </si>
  <si>
    <t>Uncharacterized protein (Fragment) OS=Prunus persica GN=PRUPE_ppa019986mg PE=4 SV=1</t>
  </si>
  <si>
    <t>Uncharacterized protein (Fragment) OS=Prunus persica GN=PRUPE_ppa021060mg PE=4 SV=1</t>
  </si>
  <si>
    <t>Uncharacterized protein OS=Prunus persica GN=PRUPE_ppa010113mg PE=4 SV=1</t>
  </si>
  <si>
    <t>Uncharacterized protein OS=Prunus persica GN=PRUPE_ppa012326mg PE=4 SV=1</t>
  </si>
  <si>
    <t>Uncharacterized protein OS=Prunus persica GN=PRUPE_ppa009676mg PE=4 SV=1</t>
  </si>
  <si>
    <t>Uncharacterized protein OS=Prunus persica GN=PRUPE_ppa016348mg PE=4 SV=1</t>
  </si>
  <si>
    <t>Uncharacterized protein OS=Prunus persica GN=PRUPE_ppa006163mg PE=4 SV=1</t>
  </si>
  <si>
    <t>Repressor of RNA polymerase III transcription OS=Prunus persica GN=PRUPE_ppa011222mg PE=3 SV=1</t>
  </si>
  <si>
    <t>Uncharacterized protein (Fragment) OS=Prunus persica GN=PRUPE_ppa025996mg PE=4 SV=1</t>
  </si>
  <si>
    <t>Uncharacterized protein OS=Prunus persica GN=PRUPE_ppa012781mg PE=4 SV=1</t>
  </si>
  <si>
    <t>Uncharacterized protein OS=Prunus persica GN=PRUPE_ppa009780mg PE=4 SV=1</t>
  </si>
  <si>
    <t>Uncharacterized protein OS=Prunus persica GN=PRUPE_ppa003726mg PE=4 SV=1</t>
  </si>
  <si>
    <t>Uncharacterized protein OS=Prunus persica GN=PRUPE_ppa005021mg PE=4 SV=1</t>
  </si>
  <si>
    <t>Uncharacterized protein OS=Prunus persica GN=PRUPE_ppb009520mg PE=4 SV=1</t>
  </si>
  <si>
    <t>Uncharacterized protein OS=Prunus persica GN=PRUPE_ppa005946mg PE=3 SV=1</t>
  </si>
  <si>
    <t>Uncharacterized protein OS=Prunus persica GN=PRUPE_ppa006898mg PE=4 SV=1</t>
  </si>
  <si>
    <t>Uncharacterized protein OS=Prunus persica GN=PRUPE_ppa010305mg PE=4 SV=1</t>
  </si>
  <si>
    <t>Uncharacterized protein OS=Prunus persica GN=PRUPE_ppa025764mg PE=4 SV=1</t>
  </si>
  <si>
    <t>Uncharacterized protein OS=Prunus persica GN=PRUPE_ppa009688mg PE=4 SV=1</t>
  </si>
  <si>
    <t>Uncharacterized protein OS=Prunus persica GN=PRUPE_ppa008922mg PE=4 SV=1</t>
  </si>
  <si>
    <t>Protein cof OS=Escherichia coli STEC_DG131-3 GN=ECSTECDG1313_0829 PE=4 SV=1</t>
  </si>
  <si>
    <t>Transcription factor SaWRI1 OS=Prunus sibirica PE=2 SV=1</t>
  </si>
  <si>
    <t>Uncharacterized protein OS=Prunus persica GN=PRUPE_ppa005965mg PE=4 SV=1</t>
  </si>
  <si>
    <t>Uncharacterized protein OS=Erythranthe guttata GN=MIMGU_mgv1a005349mg PE=4 SV=1</t>
  </si>
  <si>
    <t>Uncharacterized protein (Fragment) OS=Prunus persica GN=PRUPE_ppa021667mg PE=4 SV=1</t>
  </si>
  <si>
    <t>Uncharacterized protein OS=Prunus persica GN=PRUPE_ppa024148mg PE=4 SV=1</t>
  </si>
  <si>
    <t>Uncharacterized protein OS=Jatropha curcas GN=JCGZ_13746 PE=4 SV=1</t>
  </si>
  <si>
    <t>Uncharacterized protein OS=Prunus persica GN=PRUPE_ppa025554mg PE=4 SV=1</t>
  </si>
  <si>
    <t>Uncharacterized protein OS=Prunus persica GN=PRUPE_ppa000681mg PE=4 SV=1</t>
  </si>
  <si>
    <t>Uncharacterized protein OS=Prunus persica GN=PRUPE_ppa003990mg PE=4 SV=1</t>
  </si>
  <si>
    <t>Uncharacterized protein OS=Prunus persica GN=PRUPE_ppa001658mg PE=4 SV=1</t>
  </si>
  <si>
    <t>Uncharacterized protein OS=Prunus persica GN=PRUPE_ppa003007mg PE=4 SV=1</t>
  </si>
  <si>
    <t>Uncharacterized protein OS=Prunus persica GN=PRUPE_ppa014599mg PE=4 SV=1</t>
  </si>
  <si>
    <t>Uncharacterized protein (Fragment) OS=Prunus persica GN=PRUPE_ppa023685mg PE=4 SV=1</t>
  </si>
  <si>
    <t>WGS project CBMI000000000 data, contig CS3069_c003245 OS=Fusarium sp. FIESC_5 CS3069 GN=BN850_0100520 PE=4 SV=1</t>
  </si>
  <si>
    <t>Laccase OS=Prunus persica GN=PRUPE_ppa003580mg PE=3 SV=1</t>
  </si>
  <si>
    <t>Uncharacterized protein OS=Prunus persica GN=PRUPE_ppa025129mg PE=4 SV=1</t>
  </si>
  <si>
    <t>Uncharacterized protein OS=Prunus persica GN=PRUPE_ppa010475mg PE=3 SV=1</t>
  </si>
  <si>
    <t>Uncharacterized protein OS=Prunus persica GN=PRUPE_ppa003164mg PE=4 SV=1</t>
  </si>
  <si>
    <t>Uncharacterized protein OS=Prunus persica GN=PRUPE_ppa007249mg PE=4 SV=1</t>
  </si>
  <si>
    <t>OSIGBa0134J07.9 protein OS=Oryza sativa GN=OSIGBa0134J07.9 PE=4 SV=1</t>
  </si>
  <si>
    <t>Uncharacterized protein (Fragment) OS=Prunus persica GN=PRUPE_ppa024953mg PE=4 SV=1</t>
  </si>
  <si>
    <t>Uncharacterized protein OS=Prunus persica GN=PRUPE_ppa010852mg PE=4 SV=1</t>
  </si>
  <si>
    <t>Uncharacterized protein (Fragment) OS=Prunus persica GN=PRUPE_ppa018517mg PE=4 SV=1</t>
  </si>
  <si>
    <t>Uncharacterized protein OS=Prunus persica GN=PRUPE_ppa005189mg PE=4 SV=1</t>
  </si>
  <si>
    <t>Uncharacterized protein OS=Prunus persica GN=PRUPE_ppa024803mg PE=4 SV=1</t>
  </si>
  <si>
    <t>Uncharacterized protein (Fragment) OS=Prunus persica GN=PRUPE_ppa020668mg PE=4 SV=1</t>
  </si>
  <si>
    <t>Uncharacterized protein (Fragment) OS=Prunus persica GN=PRUPE_ppa026514mg PE=4 SV=1</t>
  </si>
  <si>
    <t>Uncharacterized protein OS=Prunus persica GN=PRUPE_ppa011941mg PE=3 SV=1</t>
  </si>
  <si>
    <t>Uncharacterized protein OS=Prunus persica GN=PRUPE_ppa004513mg PE=4 SV=1</t>
  </si>
  <si>
    <t>Uncharacterized protein OS=Prunus persica GN=PRUPE_ppa000543mg PE=4 SV=1</t>
  </si>
  <si>
    <t>Uncharacterized protein OS=Prunus persica GN=PRUPE_ppa010671mg PE=4 SV=1</t>
  </si>
  <si>
    <t>Uncharacterized protein OS=Prunus persica GN=PRUPE_ppa023572mg PE=4 SV=1</t>
  </si>
  <si>
    <t>Histone-lysine N-methyltransferase OS=Prunus persica GN=PRUPE_ppa000574mg PE=4 SV=1</t>
  </si>
  <si>
    <t>Uncharacterized protein OS=Prunus persica GN=PRUPE_ppa002820mg PE=3 SV=1</t>
  </si>
  <si>
    <t>Uncharacterized protein OS=Prunus persica GN=PRUPE_ppa003321mg PE=4 SV=1</t>
  </si>
  <si>
    <t>Uncharacterized protein OS=Prunus persica GN=PRUPE_ppa022267mg PE=4 SV=1</t>
  </si>
  <si>
    <t>Uncharacterized protein OS=Prunus persica GN=PRUPE_ppa008121mg PE=4 SV=1</t>
  </si>
  <si>
    <t>Uncharacterized protein OS=Prunus persica GN=PRUPE_ppa009647mg PE=4 SV=1</t>
  </si>
  <si>
    <t>Uncharacterized protein OS=Prunus persica GN=PRUPE_ppa010074mg PE=4 SV=1</t>
  </si>
  <si>
    <t>Uncharacterized protein OS=Prunus persica GN=PRUPE_ppa006263mg PE=4 SV=1</t>
  </si>
  <si>
    <t>Uncharacterized protein OS=Prunus persica GN=PRUPE_ppb024149mg PE=4 SV=1</t>
  </si>
  <si>
    <t>Uncharacterized protein OS=Prunus persica GN=PRUPE_ppa003744mg PE=3 SV=1</t>
  </si>
  <si>
    <t>Uncharacterized protein OS=Prunus persica GN=PRUPE_ppa005049mg PE=4 SV=1</t>
  </si>
  <si>
    <t>Uncharacterized protein OS=Prunus persica GN=PRUPE_ppa002273mg PE=4 SV=1</t>
  </si>
  <si>
    <t>Uncharacterized protein OS=Prunus persica GN=PRUPE_ppa008498mg PE=4 SV=1</t>
  </si>
  <si>
    <t>Uncharacterized protein OS=Prunus persica GN=PRUPE_ppa013893mg PE=4 SV=1</t>
  </si>
  <si>
    <t>Uncharacterized protein OS=Prunus persica GN=PRUPE_ppa008708mg PE=4 SV=1</t>
  </si>
  <si>
    <t>Uncharacterized protein OS=Prunus persica GN=PRUPE_ppa009293mg PE=4 SV=1</t>
  </si>
  <si>
    <t>Uncharacterized protein OS=Prunus persica GN=PRUPE_ppa007011mg PE=4 SV=1</t>
  </si>
  <si>
    <t>Uncharacterized protein OS=Prunus persica GN=PRUPE_ppa013562mg PE=4 SV=1</t>
  </si>
  <si>
    <t>Uncharacterized protein OS=Prunus persica GN=PRUPE_ppa006407mg PE=4 SV=1</t>
  </si>
  <si>
    <t>Uncharacterized protein OS=Prunus persica GN=PRUPE_ppa010767mg PE=4 SV=1</t>
  </si>
  <si>
    <t>Uncharacterized protein OS=Prunus persica GN=PRUPE_ppa024960mg PE=4 SV=1</t>
  </si>
  <si>
    <t>Uncharacterized protein OS=Prunus persica GN=PRUPE_ppa011496mg PE=4 SV=1</t>
  </si>
  <si>
    <t>Uncharacterized protein OS=Prunus persica GN=PRUPE_ppa013890mg PE=4 SV=1</t>
  </si>
  <si>
    <t>CASP-like protein OS=Prunus persica GN=PRUPE_ppa012828mg PE=3 SV=1</t>
  </si>
  <si>
    <t>Uncharacterized protein OS=Prunus persica GN=PRUPE_ppa010755mg PE=4 SV=1</t>
  </si>
  <si>
    <t>Uncharacterized protein OS=Prunus persica GN=PRUPE_ppa001776mg PE=3 SV=1</t>
  </si>
  <si>
    <t>Uncharacterized protein OS=Prunus persica GN=PRUPE_ppa007506mg PE=4 SV=1</t>
  </si>
  <si>
    <t>Uncharacterized protein OS=Prunus persica GN=PRUPE_ppa010100mg PE=4 SV=1</t>
  </si>
  <si>
    <t>Uncharacterized protein OS=Prunus persica GN=PRUPE_ppa004226mg PE=3 SV=1</t>
  </si>
  <si>
    <t>Putative uncharacterized protein OS=Vitis vinifera GN=VIT_08s0040g02300 PE=4 SV=1</t>
  </si>
  <si>
    <t>Uncharacterized protein OS=Prunus persica GN=PRUPE_ppa001123mg PE=3 SV=1</t>
  </si>
  <si>
    <t>Uncharacterized protein OS=Prunus persica GN=PRUPE_ppa026802mg PE=4 SV=1</t>
  </si>
  <si>
    <t>Uncharacterized protein OS=Prunus persica GN=PRUPE_ppa009906mg PE=3 SV=1</t>
  </si>
  <si>
    <t>Uncharacterized protein OS=Prunus persica GN=PRUPE_ppa025088mg PE=4 SV=1</t>
  </si>
  <si>
    <t>Uncharacterized protein OS=Prunus persica GN=PRUPE_ppa006606mg PE=4 SV=1</t>
  </si>
  <si>
    <t>Uncharacterized protein OS=Prunus persica GN=PRUPE_ppa024076mg PE=4 SV=1</t>
  </si>
  <si>
    <t>Uncharacterized protein OS=Prunus persica GN=PRUPE_ppa024412mg PE=4 SV=1</t>
  </si>
  <si>
    <t>Pectinesterase OS=Prunus persica GN=PRUPE_ppa006779mg PE=3 SV=1</t>
  </si>
  <si>
    <t>Uncharacterized protein OS=Prunus persica GN=PRUPE_ppa026910mg PE=4 SV=1</t>
  </si>
  <si>
    <t>Uncharacterized protein (Fragment) OS=Brassica oleracea var. oleracea PE=4 SV=1</t>
  </si>
  <si>
    <t>Uncharacterized protein OS=Prunus persica GN=PRUPE_ppa004210mg PE=4 SV=1</t>
  </si>
  <si>
    <t>Uncharacterized protein OS=Prunus persica GN=PRUPE_ppa025537mg PE=4 SV=1</t>
  </si>
  <si>
    <t>Chloride channel protein OS=Prunus persica GN=PRUPE_ppa001693mg PE=3 SV=1</t>
  </si>
  <si>
    <t>DNA-directed RNA polymerase OS=Ricinus communis GN=RCOM_1683300 PE=3 SV=1</t>
  </si>
  <si>
    <t>Uncharacterized protein OS=Prunus persica GN=PRUPE_ppa011441mg PE=3 SV=1</t>
  </si>
  <si>
    <t>Uncharacterized protein OS=Prunus persica GN=PRUPE_ppa007987mg PE=3 SV=1</t>
  </si>
  <si>
    <t>Uncharacterized protein (Fragment) OS=Prunus persica GN=PRUPE_ppa024182mg PE=4 SV=1</t>
  </si>
  <si>
    <t>Uncharacterized protein OS=Prunus persica GN=PRUPE_ppa000885mg PE=4 SV=1</t>
  </si>
  <si>
    <t>Uncharacterized protein OS=Prunus persica GN=PRUPE_ppa023527mg PE=3 SV=1</t>
  </si>
  <si>
    <t>Uncharacterized protein (Fragment) OS=Prunus persica GN=PRUPE_ppa022014mg PE=4 SV=1</t>
  </si>
  <si>
    <t>Uncharacterized protein OS=Prunus persica GN=PRUPE_ppa013725mg PE=4 SV=1</t>
  </si>
  <si>
    <t>Uncharacterized protein OS=Prunus persica GN=PRUPE_ppa010943mg PE=4 SV=1</t>
  </si>
  <si>
    <t>Uncharacterized protein OS=Prunus persica GN=PRUPE_ppa019189mg PE=4 SV=1</t>
  </si>
  <si>
    <t>Uncharacterized protein OS=Prunus persica GN=PRUPE_ppa005604mg PE=4 SV=1</t>
  </si>
  <si>
    <t>Uncharacterized protein OS=Prunus persica GN=PRUPE_ppa002467mg PE=4 SV=1</t>
  </si>
  <si>
    <t>Uncharacterized protein (Fragment) OS=Prunus persica GN=PRUPE_ppa020432mg PE=3 SV=1</t>
  </si>
  <si>
    <t>Uncharacterized protein OS=Prunus persica GN=PRUPE_ppa007088mg PE=3 SV=1</t>
  </si>
  <si>
    <t>Uncharacterized protein OS=Prunus persica GN=PRUPE_ppa000694mg PE=4 SV=1</t>
  </si>
  <si>
    <t>Beta-adaptin-like protein OS=Prunus persica GN=PRUPE_ppa001366mg PE=3 SV=1</t>
  </si>
  <si>
    <t>Uncharacterized protein OS=Prunus persica GN=PRUPE_ppa013271mg PE=4 SV=1</t>
  </si>
  <si>
    <t>Uncharacterized protein OS=Prunus persica GN=PRUPE_ppa000191mg PE=4 SV=1</t>
  </si>
  <si>
    <t>Uncharacterized protein OS=Prunus persica GN=PRUPE_ppa007041mg PE=4 SV=1</t>
  </si>
  <si>
    <t>Uncharacterized protein OS=Prunus persica GN=PRUPE_ppa001104mg PE=4 SV=1</t>
  </si>
  <si>
    <t>Uncharacterized protein OS=Prunus persica GN=PRUPE_ppa009870mg PE=4 SV=1</t>
  </si>
  <si>
    <t>Uncharacterized protein OS=Prunus persica GN=PRUPE_ppa026016mg PE=4 SV=1</t>
  </si>
  <si>
    <t>Uncharacterized protein OS=Prunus persica GN=PRUPE_ppa009381mg PE=4 SV=1</t>
  </si>
  <si>
    <t>Uncharacterized protein OS=Prunus persica GN=PRUPE_ppa005058mg PE=4 SV=1</t>
  </si>
  <si>
    <t>Uncharacterized protein (Fragment) OS=Prunus persica GN=PRUPE_ppa020150mg PE=4 SV=1</t>
  </si>
  <si>
    <t>Uncharacterized protein OS=Prunus persica GN=PRUPE_ppa002594mg PE=4 SV=1</t>
  </si>
  <si>
    <t>Uncharacterized protein OS=Prunus persica GN=PRUPE_ppa007091mg PE=4 SV=1</t>
  </si>
  <si>
    <t>Uncharacterized protein OS=Prunus persica GN=PRUPE_ppa001468mg PE=4 SV=1</t>
  </si>
  <si>
    <t>Uncharacterized protein OS=Prunus persica GN=PRUPE_ppa010483mg PE=4 SV=1</t>
  </si>
  <si>
    <t>Uncharacterized protein OS=Prunus persica GN=PRUPE_ppa000942mg PE=3 SV=1</t>
  </si>
  <si>
    <t>Glycosyltransferase OS=Prunus persica GN=PRUPE_ppa004989mg PE=3 SV=1</t>
  </si>
  <si>
    <t>Uncharacterized protein OS=Prunus persica GN=PRUPE_ppa006004mg PE=4 SV=1</t>
  </si>
  <si>
    <t>Uncharacterized protein (Fragment) OS=Prunus persica GN=PRUPE_ppa015265mg PE=4 SV=1</t>
  </si>
  <si>
    <t>Uncharacterized protein OS=Prunus persica GN=PRUPE_ppa007122mg PE=4 SV=1</t>
  </si>
  <si>
    <t>Uncharacterized protein OS=Prunus persica GN=PRUPE_ppa008852mg PE=4 SV=1</t>
  </si>
  <si>
    <t>Uncharacterized protein OS=Prunus persica GN=PRUPE_ppa007303mg PE=4 SV=1</t>
  </si>
  <si>
    <t>Uncharacterized protein OS=Prunus persica GN=PRUPE_ppa001297mg PE=4 SV=1</t>
  </si>
  <si>
    <t>Uncharacterized protein OS=Prunus persica GN=PRUPE_ppa010316mg PE=4 SV=1</t>
  </si>
  <si>
    <t>Uncharacterized protein OS=Prunus persica GN=PRUPE_ppa001473mg PE=3 SV=1</t>
  </si>
  <si>
    <t>Uncharacterized protein OS=Prunus persica GN=PRUPE_ppa011191mg PE=4 SV=1</t>
  </si>
  <si>
    <t>Uncharacterized protein OS=Prunus persica GN=PRUPE_ppa003049mg PE=4 SV=1</t>
  </si>
  <si>
    <t>Uncharacterized protein OS=Prunus persica GN=PRUPE_ppa010225mg PE=4 SV=1</t>
  </si>
  <si>
    <t>Uncharacterized protein OS=Prunus persica GN=PRUPE_ppa002424mg PE=3 SV=1</t>
  </si>
  <si>
    <t>Uncharacterized protein OS=Prunus persica GN=PRUPE_ppa006702mg PE=4 SV=1</t>
  </si>
  <si>
    <t>Uncharacterized protein OS=Prunus persica GN=PRUPE_ppa001436mg PE=4 SV=1</t>
  </si>
  <si>
    <t>Phytochrome OS=Prunus persica GN=PRUPE_ppa000491mg PE=3 SV=1</t>
  </si>
  <si>
    <t>Uncharacterized protein OS=Prunus persica GN=PRUPE_ppa004599mg PE=4 SV=1</t>
  </si>
  <si>
    <t>Uncharacterized protein OS=Prunus persica GN=PRUPE_ppa001981mg PE=4 SV=1</t>
  </si>
  <si>
    <t>Uncharacterized protein OS=Prunus persica GN=PRUPE_ppa019408mg PE=4 SV=1</t>
  </si>
  <si>
    <t>Uncharacterized protein OS=Prunus persica GN=PRUPE_ppa001911mg PE=4 SV=1</t>
  </si>
  <si>
    <t>Uncharacterized protein OS=Prunus persica GN=PRUPE_ppa012958mg PE=4 SV=1</t>
  </si>
  <si>
    <t>Uncharacterized protein OS=Prunus persica GN=PRUPE_ppa002113mg PE=4 SV=1</t>
  </si>
  <si>
    <t>Uncharacterized protein OS=Prunus persica GN=PRUPE_ppa013637mg PE=3 SV=1</t>
  </si>
  <si>
    <t>Uncharacterized protein OS=Prunus persica GN=PRUPE_ppa019997mg PE=4 SV=1</t>
  </si>
  <si>
    <t>Uncharacterized protein OS=Prunus persica GN=PRUPE_ppa001820mg PE=4 SV=1</t>
  </si>
  <si>
    <t>Uncharacterized protein OS=Prunus persica GN=PRUPE_ppa015295mg PE=4 SV=1</t>
  </si>
  <si>
    <t>Uncharacterized protein OS=Prunus persica GN=PRUPE_ppa009843mg PE=3 SV=1</t>
  </si>
  <si>
    <t>Uncharacterized protein OS=Prunus persica GN=PRUPE_ppa008386mg PE=4 SV=1</t>
  </si>
  <si>
    <t>Uncharacterized protein OS=Prunus persica GN=PRUPE_ppa019632mg PE=4 SV=1</t>
  </si>
  <si>
    <t>Serine/threonine-protein kinase OS=Vitis vinifera GN=VIT_04s0044g00720 PE=3 SV=1</t>
  </si>
  <si>
    <t>Uncharacterized protein (Fragment) OS=Prunus persica GN=PRUPE_ppa017228mg PE=4 SV=1</t>
  </si>
  <si>
    <t>Uncharacterized protein OS=Prunus persica GN=PRUPE_ppa009227mg PE=3 SV=1</t>
  </si>
  <si>
    <t>Uncharacterized protein OS=Prunus persica GN=PRUPE_ppa002609mg PE=4 SV=1</t>
  </si>
  <si>
    <t>Uncharacterized protein OS=Morus notabilis GN=L484_026351 PE=4 SV=1</t>
  </si>
  <si>
    <t>Uncharacterized protein OS=Prunus persica GN=PRUPE_ppa001586mg PE=4 SV=1</t>
  </si>
  <si>
    <t>Uncharacterized protein OS=Prunus persica GN=PRUPE_ppa009218mg PE=4 SV=1</t>
  </si>
  <si>
    <t>Uncharacterized protein OS=Prunus persica GN=PRUPE_ppa005342mg PE=4 SV=1</t>
  </si>
  <si>
    <t>Uncharacterized protein OS=Prunus persica GN=PRUPE_ppa009192mg PE=4 SV=1</t>
  </si>
  <si>
    <t>Uncharacterized protein OS=Prunus persica GN=PRUPE_ppa007868mg PE=4 SV=1</t>
  </si>
  <si>
    <t>Uncharacterized protein OS=Prunus persica GN=PRUPE_ppa000049mg PE=4 SV=1</t>
  </si>
  <si>
    <t>Uncharacterized protein (Fragment) OS=Prunus persica GN=PRUPE_ppa025212m1g PE=4 SV=1</t>
  </si>
  <si>
    <t>Uncharacterized protein OS=Prunus persica GN=PRUPE_ppa020123mg PE=3 SV=1</t>
  </si>
  <si>
    <t>Uncharacterized protein OS=Prunus persica GN=PRUPE_ppa002547mg PE=4 SV=1</t>
  </si>
  <si>
    <t>Uncharacterized protein OS=Prunus persica GN=PRUPE_ppa000217mg PE=3 SV=1</t>
  </si>
  <si>
    <t>Uncharacterized protein OS=Prunus persica GN=PRUPE_ppa001860mg PE=4 SV=1</t>
  </si>
  <si>
    <t>Uncharacterized protein OS=Prunus persica GN=PRUPE_ppa017021mg PE=4 SV=1</t>
  </si>
  <si>
    <t>Uncharacterized protein OS=Prunus persica GN=PRUPE_ppa006884mg PE=4 SV=1</t>
  </si>
  <si>
    <t>Uncharacterized protein OS=Prunus persica GN=PRUPE_ppa003231mg PE=4 SV=1</t>
  </si>
  <si>
    <t>Uncharacterized protein OS=Prunus persica GN=PRUPE_ppa020135mg PE=4 SV=1</t>
  </si>
  <si>
    <t>Uncharacterized protein OS=Citrus clementina GN=CICLE_v10013016mg PE=4 SV=1</t>
  </si>
  <si>
    <t>Uncharacterized protein OS=Prunus persica GN=PRUPE_ppa021626mg PE=4 SV=1</t>
  </si>
  <si>
    <t>Putative uncharacterized protein OS=Vitis vinifera GN=VIT_04s0008g06700 PE=4 SV=1</t>
  </si>
  <si>
    <t>Uncharacterized protein OS=Beta vulgaris subsp. vulgaris PE=4 SV=1</t>
  </si>
  <si>
    <t>Uncharacterized protein OS=Prunus persica GN=PRUPE_ppa004593mg PE=4 SV=1</t>
  </si>
  <si>
    <t>Uncharacterized protein OS=Prunus persica GN=PRUPE_ppa024489mg PE=3 SV=1</t>
  </si>
  <si>
    <t>Uncharacterized protein OS=Prunus persica GN=PRUPE_ppa001031mg PE=4 SV=1</t>
  </si>
  <si>
    <t>Uncharacterized protein OS=Prunus persica GN=PRUPE_ppa002874mg PE=4 SV=1</t>
  </si>
  <si>
    <t>Uncharacterized protein OS=Prunus persica GN=PRUPE_ppa009159mg PE=4 SV=1</t>
  </si>
  <si>
    <t>Uncharacterized protein OS=Gossypium raimondii GN=B456_013G177900 PE=4 SV=1</t>
  </si>
  <si>
    <t>Uncharacterized protein OS=Prunus persica GN=PRUPE_ppa001010mg PE=3 SV=1</t>
  </si>
  <si>
    <t>Uncharacterized protein OS=Prunus persica GN=PRUPE_ppa000401mg PE=4 SV=1</t>
  </si>
  <si>
    <t>Uncharacterized protein OS=Prunus persica GN=PRUPE_ppa007038mg PE=4 SV=1</t>
  </si>
  <si>
    <t>Uncharacterized protein OS=Prunus persica GN=PRUPE_ppa008103mg PE=3 SV=1</t>
  </si>
  <si>
    <t>Uncharacterized protein OS=Prunus persica GN=PRUPE_ppa004067mg PE=4 SV=1</t>
  </si>
  <si>
    <t>Uncharacterized protein OS=Prunus persica GN=PRUPE_ppa018536mg PE=4 SV=1</t>
  </si>
  <si>
    <t>Uncharacterized protein OS=Prunus persica GN=PRUPE_ppa011940mg PE=4 SV=1</t>
  </si>
  <si>
    <t>Uncharacterized protein OS=Prunus persica GN=PRUPE_ppa003999mg PE=4 SV=1</t>
  </si>
  <si>
    <t>Uncharacterized protein OS=Prunus persica GN=PRUPE_ppa001357mg PE=4 SV=1</t>
  </si>
  <si>
    <t>Uncharacterized protein OS=Prunus persica GN=PRUPE_ppa014876mg PE=4 SV=1</t>
  </si>
  <si>
    <t>Uncharacterized protein OS=Prunus persica GN=PRUPE_ppa017748mg PE=4 SV=1</t>
  </si>
  <si>
    <t>Uncharacterized protein OS=Prunus persica GN=PRUPE_ppa021909mg PE=3 SV=1</t>
  </si>
  <si>
    <t>Uncharacterized protein OS=Prunus persica GN=PRUPE_ppa008224mg PE=4 SV=1</t>
  </si>
  <si>
    <t>Uncharacterized protein OS=Prunus persica GN=PRUPE_ppa001091mg PE=4 SV=1</t>
  </si>
  <si>
    <t>Non-specific lipid-transfer protein OS=Prunus dulcis x Prunus persica GN=Pru p 3.01 PE=3 SV=1</t>
  </si>
  <si>
    <t>Hexosyltransferase OS=Prunus persica GN=PRUPE_ppa005810mg PE=3 SV=1</t>
  </si>
  <si>
    <t>Glucose-6-phosphate 1-dehydrogenase OS=Prunus persica GN=PRUPE_ppa002782mg PE=3 SV=1</t>
  </si>
  <si>
    <t>Phosphoglycerate kinase OS=Prunus persica GN=PRUPE_ppa005031mg PE=3 SV=1</t>
  </si>
  <si>
    <t>Flavanone 3-hydroxylase OS=Prunus persica GN=F3H PE=2 SV=1</t>
  </si>
  <si>
    <t>Uncharacterized protein (Fragment) OS=Prunus persica GN=PRUPE_ppa021785mg PE=4 SV=1</t>
  </si>
  <si>
    <t>Glycosyltransferase OS=Prunus persica GN=PRUPE_ppa014816mg PE=3 SV=1</t>
  </si>
  <si>
    <t>Uncharacterized protein OS=Prunus persica GN=PRUPE_ppa009496mg PE=4 SV=1</t>
  </si>
  <si>
    <t>Uncharacterized protein OS=Prunus persica GN=PRUPE_ppa018657mg PE=4 SV=1</t>
  </si>
  <si>
    <t>Uncharacterized protein OS=Prunus persica GN=PRUPE_ppa001460mg PE=4 SV=1</t>
  </si>
  <si>
    <t>Uncharacterized protein OS=Prunus persica GN=PRUPE_ppa001782mg PE=3 SV=1</t>
  </si>
  <si>
    <t>Uncharacterized protein OS=Prunus persica GN=PRUPE_ppa012484mg PE=4 SV=1</t>
  </si>
  <si>
    <t>Uncharacterized protein OS=Prunus persica GN=PRUPE_ppa000119mg PE=4 SV=1</t>
  </si>
  <si>
    <t>Uncharacterized protein OS=Prunus persica GN=PRUPE_ppa001942mg PE=3 SV=1</t>
  </si>
  <si>
    <t>Uncharacterized protein OS=Prunus persica GN=PRUPE_ppa007324mg PE=4 SV=1</t>
  </si>
  <si>
    <t>Uncharacterized protein OS=Prunus persica GN=PRUPE_ppa005123mg PE=4 SV=1</t>
  </si>
  <si>
    <t>Uncharacterized protein OS=Prunus persica GN=PRUPE_ppa007487mg PE=3 SV=1</t>
  </si>
  <si>
    <t>Uncharacterized protein OS=Prunus persica GN=PRUPE_ppa016003mg PE=4 SV=1</t>
  </si>
  <si>
    <t>Uncharacterized protein OS=Prunus persica GN=PRUPE_ppa021927mg PE=4 SV=1</t>
  </si>
  <si>
    <t>Uncharacterized protein (Fragment) OS=Prunus persica GN=PRUPE_ppb013341mg PE=4 SV=1</t>
  </si>
  <si>
    <t>Uncharacterized protein OS=Prunus persica GN=PRUPE_ppa009508mg PE=4 SV=1</t>
  </si>
  <si>
    <t>Uncharacterized protein OS=Prunus persica GN=PRUPE_ppa002022mg PE=4 SV=1</t>
  </si>
  <si>
    <t>Uncharacterized protein OS=Prunus persica GN=PRUPE_ppa001315mg PE=4 SV=1</t>
  </si>
  <si>
    <t>Uncharacterized protein OS=Prunus persica GN=PRUPE_ppa012220mg PE=4 SV=1</t>
  </si>
  <si>
    <t>Uncharacterized protein OS=Prunus persica GN=PRUPE_ppa004514mg PE=3 SV=1</t>
  </si>
  <si>
    <t>Uncharacterized protein OS=Prunus persica GN=PRUPE_ppa004466mg PE=3 SV=1</t>
  </si>
  <si>
    <t>Uncharacterized protein OS=Prunus persica GN=PRUPE_ppa008303mg PE=4 SV=1</t>
  </si>
  <si>
    <t>Uncharacterized protein OS=Prunus persica GN=PRUPE_ppa005535mg PE=4 SV=1</t>
  </si>
  <si>
    <t>Uncharacterized protein OS=Prunus persica GN=PRUPE_ppa010396mg PE=3 SV=1</t>
  </si>
  <si>
    <t>Uncharacterized protein OS=Prunus persica GN=PRUPE_ppa023053mg PE=4 SV=1</t>
  </si>
  <si>
    <t>Uncharacterized protein OS=Prunus persica GN=PRUPE_ppa012453mg PE=4 SV=1</t>
  </si>
  <si>
    <t>Uncharacterized protein OS=Fusarium pseudograminearum (strain CS3096) GN=FPSE_02544 PE=4 SV=1</t>
  </si>
  <si>
    <t>Uncharacterized protein OS=Prunus persica GN=PRUPE_ppa008743mg PE=4 SV=1</t>
  </si>
  <si>
    <t>Uncharacterized protein OS=Prunus persica GN=PRUPE_ppa007176mg PE=4 SV=1</t>
  </si>
  <si>
    <t>Sucrose synthase OS=Prunus persica GN=Sus4 PE=2 SV=1</t>
  </si>
  <si>
    <t>Uncharacterized protein OS=Prunus persica GN=PRUPE_ppa002131mg PE=4 SV=1</t>
  </si>
  <si>
    <t>Uncharacterized protein OS=Prunus persica GN=PRUPE_ppa013341mg PE=4 SV=1</t>
  </si>
  <si>
    <t>Uncharacterized protein OS=Prunus persica GN=PRUPE_ppa007329mg PE=3 SV=1</t>
  </si>
  <si>
    <t>Uncharacterized protein OS=Prunus persica GN=PRUPE_ppa008602mg PE=4 SV=1</t>
  </si>
  <si>
    <t>Uncharacterized protein OS=Prunus persica GN=PRUPE_ppa013172mg PE=4 SV=1</t>
  </si>
  <si>
    <t>Uncharacterized protein OS=Prunus persica GN=PRUPE_ppa001676mg PE=4 SV=1</t>
  </si>
  <si>
    <t>Uncharacterized protein OS=Prunus persica GN=PRUPE_ppa016389mg PE=4 SV=1</t>
  </si>
  <si>
    <t>Uncharacterized protein OS=Botryotinia fuckeliana (strain T4) GN=BofuT4P13000003001 PE=4 SV=1</t>
  </si>
  <si>
    <t>Uncharacterized protein OS=Prunus persica GN=PRUPE_ppa002514mg PE=4 SV=1</t>
  </si>
  <si>
    <t>Uncharacterized protein OS=Prunus persica GN=PRUPE_ppa026656mg PE=4 SV=1</t>
  </si>
  <si>
    <t>Uncharacterized protein OS=Prunus persica GN=PRUPE_ppa000640mg PE=4 SV=1</t>
  </si>
  <si>
    <t>Uncharacterized protein OS=Prunus persica GN=PRUPE_ppa003633mg PE=4 SV=1</t>
  </si>
  <si>
    <t>Uncharacterized protein OS=Prunus persica GN=PRUPE_ppa001655mg PE=4 SV=1</t>
  </si>
  <si>
    <t>Importin subunit alpha OS=Prunus persica GN=PRUPE_ppa004091mg PE=3 SV=1</t>
  </si>
  <si>
    <t>Uncharacterized protein OS=Prunus persica GN=PRUPE_ppa006312mg PE=4 SV=1</t>
  </si>
  <si>
    <t>Uncharacterized protein OS=Prunus persica GN=PRUPE_ppa000008mg PE=4 SV=1</t>
  </si>
  <si>
    <t>Uncharacterized protein OS=Prunus persica GN=PRUPE_ppa020628mg PE=4 SV=1</t>
  </si>
  <si>
    <t>Uncharacterized protein OS=Prunus persica GN=PRUPE_ppa010321mg PE=4 SV=1</t>
  </si>
  <si>
    <t>Glycosyltransferase OS=Prunus persica GN=PRUPE_ppa005722mg PE=3 SV=1</t>
  </si>
  <si>
    <t>Uncharacterized protein (Fragment) OS=Prunus persica GN=PRUPE_ppa025466mg PE=3 SV=1</t>
  </si>
  <si>
    <t>Uncharacterized protein OS=Prunus persica GN=PRUPE_ppa004596mg PE=4 SV=1</t>
  </si>
  <si>
    <t>Histone acetyltransferase OS=Prunus persica GN=PRUPE_ppa005747mg PE=3 SV=1</t>
  </si>
  <si>
    <t>Uncharacterized protein OS=Prunus persica GN=PRUPE_ppa005029mg PE=4 SV=1</t>
  </si>
  <si>
    <t>Uncharacterized protein OS=Prunus persica GN=PRUPE_ppa004649mg PE=4 SV=1</t>
  </si>
  <si>
    <t>Uncharacterized protein OS=Prunus persica GN=PRUPE_ppa004704mg PE=4 SV=1</t>
  </si>
  <si>
    <t>Uncharacterized protein OS=Prunus persica GN=PRUPE_ppa004665mg PE=4 SV=1</t>
  </si>
  <si>
    <t>G protein coupled receptor OS=Theobroma cacao GN=TCM_031375 PE=4 SV=1</t>
  </si>
  <si>
    <t>Uncharacterized protein OS=Prunus persica GN=PRUPE_ppa010150mg PE=4 SV=1</t>
  </si>
  <si>
    <t>Peptidyl-tRNA hydrolase 2, mitochondrial OS=Gossypium arboreum GN=F383_03575 PE=4 SV=1</t>
  </si>
  <si>
    <t>DNA polymerase OS=Prunus persica GN=PRUPE_ppa000171mg PE=3 SV=1</t>
  </si>
  <si>
    <t>Uncharacterized protein (Fragment) OS=Prunus persica GN=PRUPE_ppa022464mg PE=4 SV=1</t>
  </si>
  <si>
    <t>Uncharacterized protein (Fragment) OS=Prunus persica GN=PRUPE_ppa018488mg PE=4 SV=1</t>
  </si>
  <si>
    <t>Uncharacterized protein OS=Prunus persica GN=PRUPE_ppa010484mg PE=4 SV=1</t>
  </si>
  <si>
    <t>Uncharacterized protein OS=Prunus persica GN=PRUPE_ppa001882mg PE=3 SV=1</t>
  </si>
  <si>
    <t>Uncharacterized protein OS=Prunus persica GN=PRUPE_ppa012090mg PE=3 SV=1</t>
  </si>
  <si>
    <t>Uncharacterized protein (Fragment) OS=Prunus persica GN=PRUPE_ppa020529mg PE=4 SV=1</t>
  </si>
  <si>
    <t>Purple acid phosphatase OS=Prunus persica GN=PRUPE_ppa003031mg PE=3 SV=1</t>
  </si>
  <si>
    <t>Uncharacterized protein OS=Amborella trichopoda GN=AMTR_s00025p00194920 PE=3 SV=1</t>
  </si>
  <si>
    <t>Uncharacterized protein OS=Prunus persica GN=PRUPE_ppa016040mg PE=4 SV=1</t>
  </si>
  <si>
    <t>Uncharacterized protein (Fragment) OS=Prunus persica GN=PRUPE_ppa022377mg PE=4 SV=1</t>
  </si>
  <si>
    <t>Uncharacterized protein OS=Prunus persica GN=PRUPE_ppa005324mg PE=4 SV=1</t>
  </si>
  <si>
    <t>Uncharacterized protein OS=Prunus persica GN=PRUPE_ppa011258mg PE=4 SV=1</t>
  </si>
  <si>
    <t>Uncharacterized protein OS=Prunus persica GN=PRUPE_ppa018309mg PE=4 SV=1</t>
  </si>
  <si>
    <t>Uncharacterized protein (Fragment) OS=Prunus persica GN=PRUPE_ppa017526mg PE=4 SV=1</t>
  </si>
  <si>
    <t>Uncharacterized protein OS=Prunus persica GN=PRUPE_ppa024695mg PE=4 SV=1</t>
  </si>
  <si>
    <t>Uncharacterized protein OS=Prunus persica GN=PRUPE_ppa010026mg PE=3 SV=1</t>
  </si>
  <si>
    <t>Uncharacterized protein (Fragment) OS=Prunus persica GN=PRUPE_ppa017252mg PE=3 SV=1</t>
  </si>
  <si>
    <t>Uncharacterized protein (Fragment) OS=Prunus persica GN=PRUPE_ppa014902mg PE=4 SV=1</t>
  </si>
  <si>
    <t>Uncharacterized protein OS=Prunus persica GN=PRUPE_ppa006346mg PE=4 SV=1</t>
  </si>
  <si>
    <t>Uncharacterized protein OS=Prunus persica GN=PRUPE_ppa012205mg PE=4 SV=1</t>
  </si>
  <si>
    <t>Uncharacterized protein OS=Prunus persica GN=PRUPE_ppa004560mg PE=4 SV=1</t>
  </si>
  <si>
    <t>Uncharacterized protein (Fragment) OS=Prunus persica GN=PRUPE_ppa022289mg PE=4 SV=1</t>
  </si>
  <si>
    <t>Uncharacterized protein OS=Prunus persica GN=PRUPE_ppa002218mg PE=4 SV=1</t>
  </si>
  <si>
    <t>Uncharacterized protein OS=Prunus persica GN=PRUPE_ppa021390mg PE=4 SV=1</t>
  </si>
  <si>
    <t>Uncharacterized protein OS=Prunus persica GN=PRUPE_ppa023115mg PE=4 SV=1</t>
  </si>
  <si>
    <t>Uncharacterized protein OS=Prunus persica GN=PRUPE_ppa016822mg PE=3 SV=1</t>
  </si>
  <si>
    <t>Ribulose bisphosphate carboxylase small chain OS=Prunus persica GN=PRUPE_ppa012123mg PE=3 SV=1</t>
  </si>
  <si>
    <t>Uncharacterized protein OS=Prunus persica GN=PRUPE_ppa014245mg PE=4 SV=1</t>
  </si>
  <si>
    <t>Uncharacterized protein OS=Prunus persica GN=PRUPE_ppa008595mg PE=4 SV=1</t>
  </si>
  <si>
    <t>Putative uncharacterized protein OS=Vitis vinifera GN=VIT_19s0014g04750 PE=3 SV=1</t>
  </si>
  <si>
    <t>Uncharacterized protein OS=Prunus persica GN=PRUPE_ppa000423mg PE=4 SV=1</t>
  </si>
  <si>
    <t>Uncharacterized protein OS=Prunus persica GN=PRUPE_ppa002174mg PE=4 SV=1</t>
  </si>
  <si>
    <t>Uncharacterized protein (Fragment) OS=Prunus persica GN=PRUPE_ppa015538mg PE=4 SV=1</t>
  </si>
  <si>
    <t>V-type proton ATPase subunit a OS=Ricinus communis GN=RCOM_1596210 PE=3 SV=1</t>
  </si>
  <si>
    <t>Uncharacterized protein OS=Prunus persica GN=PRUPE_ppa019415mg PE=3 SV=1</t>
  </si>
  <si>
    <t>Uncharacterized protein OS=Prunus persica GN=PRUPE_ppa007675mg PE=4 SV=1</t>
  </si>
  <si>
    <t>Uncharacterized protein OS=Prunus persica GN=PRUPE_ppa023502mg PE=3 SV=1</t>
  </si>
  <si>
    <t>Uncharacterized protein OS=Prunus persica GN=PRUPE_ppa016417mg PE=4 SV=1</t>
  </si>
  <si>
    <t>Uncharacterized protein (Fragment) OS=Prunus persica GN=PRUPE_ppa015500m1g PE=4 SV=1</t>
  </si>
  <si>
    <t>Uncharacterized protein OS=Prunus persica GN=PRUPE_ppa000870mg PE=4 SV=1</t>
  </si>
  <si>
    <t>Uncharacterized protein OS=Prunus persica GN=PRUPE_ppa013184mg PE=4 SV=1</t>
  </si>
  <si>
    <t>Uncharacterized protein OS=Prunus persica GN=PRUPE_ppa019338mg PE=4 SV=1</t>
  </si>
  <si>
    <t>Uncharacterized protein OS=Prunus persica GN=PRUPE_ppa013621mg PE=4 SV=1</t>
  </si>
  <si>
    <t>Uncharacterized protein OS=Prunus persica GN=PRUPE_ppa008659mg PE=4 SV=1</t>
  </si>
  <si>
    <t>Uncharacterized protein OS=Prunus persica GN=PRUPE_ppa003682mg PE=4 SV=1</t>
  </si>
  <si>
    <t>Uncharacterized protein OS=Prunus persica GN=PRUPE_ppa000659mg PE=4 SV=1</t>
  </si>
  <si>
    <t>Uncharacterized protein OS=Prunus persica GN=PRUPE_ppa007243mg PE=4 SV=1</t>
  </si>
  <si>
    <t>Uncharacterized protein OS=Jatropha curcas GN=JCGZ_14494 PE=3 SV=1</t>
  </si>
  <si>
    <t>Uncharacterized protein OS=Prunus persica GN=PRUPE_ppa013862mg PE=4 SV=1</t>
  </si>
  <si>
    <t>Uncharacterized protein OS=Prunus persica GN=PRUPE_ppa001598mg PE=3 SV=1</t>
  </si>
  <si>
    <t>Uncharacterized protein OS=Prunus persica GN=PRUPE_ppa001722mg PE=4 SV=1</t>
  </si>
  <si>
    <t>Uncharacterized protein OS=Prunus persica GN=PRUPE_ppa006516mg PE=4 SV=1</t>
  </si>
  <si>
    <t>Uncharacterized protein OS=Prunus persica GN=PRUPE_ppa020388mg PE=4 SV=1</t>
  </si>
  <si>
    <t>Protein yippee-like OS=Prunus persica GN=PRUPE_ppa013317mg PE=3 SV=1</t>
  </si>
  <si>
    <t>Uncharacterized protein (Fragment) OS=Prunus persica GN=PRUPE_ppa022353mg PE=4 SV=1</t>
  </si>
  <si>
    <t>Uncharacterized protein OS=Prunus persica GN=PRUPE_ppa003840mg PE=4 SV=1</t>
  </si>
  <si>
    <t>Uncharacterized protein OS=Prunus persica GN=PRUPE_ppa004712mg PE=4 SV=1</t>
  </si>
  <si>
    <t>Uncharacterized protein (Fragment) OS=Prunus persica GN=PRUPE_ppa016175mg PE=4 SV=1</t>
  </si>
  <si>
    <t>Uncharacterized protein OS=Prunus persica GN=PRUPE_ppa003052mg PE=4 SV=1</t>
  </si>
  <si>
    <t>Glutamate receptor OS=Prunus persica GN=PRUPE_ppa001283mg PE=3 SV=1</t>
  </si>
  <si>
    <t>Uncharacterized protein OS=Prunus persica GN=PRUPE_ppa001349mg PE=4 SV=1</t>
  </si>
  <si>
    <t>Uncharacterized protein OS=Prunus persica GN=PRUPE_ppa008784mg PE=4 SV=1</t>
  </si>
  <si>
    <t>Uncharacterized protein OS=Prunus persica GN=PRUPE_ppa003229mg PE=4 SV=1</t>
  </si>
  <si>
    <t>Uncharacterized protein OS=Prunus persica GN=PRUPE_ppa011953mg PE=4 SV=1</t>
  </si>
  <si>
    <t>Uncharacterized protein OS=Prunus persica GN=PRUPE_ppa004654mg PE=4 SV=1</t>
  </si>
  <si>
    <t>Uncharacterized protein OS=Prunus persica GN=PRUPE_ppa005357mg PE=4 SV=1</t>
  </si>
  <si>
    <t>Uncharacterized protein OS=Prunus persica GN=PRUPE_ppa025897mg PE=4 SV=1</t>
  </si>
  <si>
    <t>Uncharacterized protein OS=Prunus persica GN=PRUPE_ppa010366mg PE=4 SV=1</t>
  </si>
  <si>
    <t>Glutathione peroxidase OS=Prunus persica GN=PRUPE_ppa012378mg PE=3 SV=1</t>
  </si>
  <si>
    <t>Uncharacterized protein OS=Prunus persica GN=PRUPE_ppa004320mg PE=3 SV=1</t>
  </si>
  <si>
    <t>Uncharacterized protein OS=Prunus persica GN=PRUPE_ppa026014mg PE=4 SV=1</t>
  </si>
  <si>
    <t>Auxin-responsive protein OS=Prunus persica GN=PRUPE_ppa007663mg PE=3 SV=1</t>
  </si>
  <si>
    <t>Uncharacterized protein (Fragment) OS=Prunus persica GN=PRUPE_ppa026741m2g PE=4 SV=1</t>
  </si>
  <si>
    <t>Uncharacterized protein (Fragment) OS=Prunus persica GN=PRUPE_ppa024471mg PE=4 SV=1</t>
  </si>
  <si>
    <t>Uncharacterized protein OS=Prunus persica GN=PRUPE_ppa002533mg PE=4 SV=1</t>
  </si>
  <si>
    <t>Uncharacterized protein OS=Prunus persica GN=PRUPE_ppa014997mg PE=4 SV=1</t>
  </si>
  <si>
    <t>Uncharacterized protein OS=Prunus persica GN=PRUPE_ppa003700mg PE=4 SV=1</t>
  </si>
  <si>
    <t>Uncharacterized protein OS=Prunus persica GN=PRUPE_ppa024197mg PE=4 SV=1</t>
  </si>
  <si>
    <t>Uncharacterized protein OS=Prunus persica GN=PRUPE_ppa009427mg PE=4 SV=1</t>
  </si>
  <si>
    <t>Uncharacterized protein OS=Prunus persica GN=PRUPE_ppa004689mg PE=3 SV=1</t>
  </si>
  <si>
    <t>Uncharacterized protein OS=Prunus persica GN=PRUPE_ppa005312mg PE=3 SV=1</t>
  </si>
  <si>
    <t>Uncharacterized protein OS=Prunus persica GN=PRUPE_ppa008210mg PE=4 SV=1</t>
  </si>
  <si>
    <t>Uncharacterized protein OS=Prunus persica GN=PRUPE_ppa008113mg PE=4 SV=1</t>
  </si>
  <si>
    <t>Uncharacterized protein OS=Prunus persica GN=PRUPE_ppa010120mg PE=4 SV=1</t>
  </si>
  <si>
    <t>Potassium/sodium efflux P-type ATPase, fungal-type OS=Fusarium oxysporum f. sp. vasinfectum 25433 GN=FOTG_17523 PE=3 SV=1</t>
  </si>
  <si>
    <t>Uncharacterized protein OS=Prunus persica GN=PRUPE_ppa002489mg PE=3 SV=1</t>
  </si>
  <si>
    <t>Phosphomannomutase OS=Prunus persica GN=PMM PE=2 SV=1</t>
  </si>
  <si>
    <t>40S ribosomal protein S12 OS=Fusarium oxysporum f. sp. lycopersici (strain 4287 / CBS 123668 / FGSC 9935 / NRRL 34936) GN=FOXG_02121 PE=3 SV=1</t>
  </si>
  <si>
    <t>Uncharacterized protein OS=Prunus persica GN=PRUPE_ppa019647mg PE=4 SV=1</t>
  </si>
  <si>
    <t>Uncharacterized protein OS=Prunus persica GN=PRUPE_ppa011390mg PE=4 SV=1</t>
  </si>
  <si>
    <t>DNA-directed RNA polymerase OS=Prunus persica GN=PRUPE_ppa000278mg PE=3 SV=1</t>
  </si>
  <si>
    <t>Uncharacterized protein OS=Prunus persica GN=PRUPE_ppa006964mg PE=3 SV=1</t>
  </si>
  <si>
    <t>Uncharacterized protein (Fragment) OS=Prunus persica GN=PRUPE_ppa027202mg PE=4 SV=1</t>
  </si>
  <si>
    <t>Uncharacterized protein OS=Prunus persica GN=PRUPE_ppa000860mg PE=4 SV=1</t>
  </si>
  <si>
    <t>Uncharacterized protein OS=Prunus persica GN=PRUPE_ppa007443mg PE=3 SV=1</t>
  </si>
  <si>
    <t>Uncharacterized protein OS=Prunus persica GN=PRUPE_ppa010785mg PE=4 SV=1</t>
  </si>
  <si>
    <t>Uncharacterized protein OS=Prunus persica GN=PRUPE_ppa019428mg PE=4 SV=1</t>
  </si>
  <si>
    <t>Uncharacterized protein OS=Prunus persica GN=PRUPE_ppa009666mg PE=4 SV=1</t>
  </si>
  <si>
    <t>Uncharacterized protein OS=Prunus persica GN=PRUPE_ppa013498mg PE=4 SV=1</t>
  </si>
  <si>
    <t>Uncharacterized protein OS=Prunus persica GN=PRUPE_ppa009174mg PE=4 SV=1</t>
  </si>
  <si>
    <t>Uncharacterized protein OS=Prunus persica GN=PRUPE_ppa004075mg PE=4 SV=1</t>
  </si>
  <si>
    <t>Uncharacterized protein (Fragment) OS=Prunus persica GN=PRUPE_ppa019391mg PE=4 SV=1</t>
  </si>
  <si>
    <t>Non-specific serine/threonine protein kinase OS=Prunus persica GN=PRUPE_ppa005370mg PE=4 SV=1</t>
  </si>
  <si>
    <t>Uncharacterized protein OS=Prunus persica GN=PRUPE_ppa001275mg PE=4 SV=1</t>
  </si>
  <si>
    <t>Uncharacterized protein OS=Prunus persica GN=PRUPE_ppa020868mg PE=4 SV=1</t>
  </si>
  <si>
    <t>Uncharacterized protein OS=Prunus persica GN=PRUPE_ppa005945mg PE=4 SV=1</t>
  </si>
  <si>
    <t>Uncharacterized protein OS=Prunus persica GN=PRUPE_ppa023611mg PE=4 SV=1</t>
  </si>
  <si>
    <t>Uncharacterized protein OS=Prunus persica GN=PRUPE_ppa011466mg PE=3 SV=1</t>
  </si>
  <si>
    <t>Uncharacterized protein OS=Prunus persica GN=PRUPE_ppa008804mg PE=4 SV=1</t>
  </si>
  <si>
    <t>Uncharacterized protein OS=Prunus persica GN=PRUPE_ppa000168mg PE=4 SV=1</t>
  </si>
  <si>
    <t>Uncharacterized protein OS=Prunus persica GN=PRUPE_ppa010700mg PE=4 SV=1</t>
  </si>
  <si>
    <t>Uncharacterized protein OS=Prunus persica GN=PRUPE_ppa002360mg PE=4 SV=1</t>
  </si>
  <si>
    <t>Uncharacterized protein OS=Prunus persica GN=PRUPE_ppa021794mg PE=4 SV=1</t>
  </si>
  <si>
    <t>Uncharacterized protein OS=Prunus persica GN=PRUPE_ppa002989mg PE=4 SV=1</t>
  </si>
  <si>
    <t>Uncharacterized protein OS=Prunus persica GN=PRUPE_ppa009712mg PE=4 SV=1</t>
  </si>
  <si>
    <t>Uncharacterized protein OS=Prunus persica GN=PRUPE_ppa009601mg PE=4 SV=1</t>
  </si>
  <si>
    <t>Uncharacterized protein OS=Acetobacter malorum GN=AmDm5_1575 PE=4 SV=1</t>
  </si>
  <si>
    <t>Uncharacterized protein OS=Prunus persica GN=PRUPE_ppa011104mg PE=4 SV=1</t>
  </si>
  <si>
    <t>Uncharacterized protein OS=Prunus persica GN=PRUPE_ppa003473mg PE=3 SV=1</t>
  </si>
  <si>
    <t>Uncharacterized protein OS=Prunus persica GN=PRUPE_ppa003616mg PE=4 SV=1</t>
  </si>
  <si>
    <t>Uncharacterized protein OS=Prunus persica GN=PRUPE_ppa011206mg PE=4 SV=1</t>
  </si>
  <si>
    <t>Uncharacterized protein OS=Prunus persica GN=PRUPE_ppa001114mg PE=4 SV=1</t>
  </si>
  <si>
    <t>Uncharacterized protein OS=Prunus persica GN=PRUPE_ppa021814mg PE=4 SV=1</t>
  </si>
  <si>
    <t>DNA-directed RNA polymerase subunit beta'' OS=Prunus yedoensis GN=rpoC2 PE=3 SV=1</t>
  </si>
  <si>
    <t>Uncharacterized protein OS=Populus trichocarpa GN=POPTR_0005s27130g PE=4 SV=1</t>
  </si>
  <si>
    <t>Uncharacterized protein OS=Prunus persica GN=PRUPE_ppa005509mg PE=4 SV=1</t>
  </si>
  <si>
    <t>Uncharacterized protein OS=Prunus persica GN=PRUPE_ppa009148mg PE=4 SV=1</t>
  </si>
  <si>
    <t>NBS type disease resistance protein OS=Malus domestica PE=2 SV=1</t>
  </si>
  <si>
    <t>Uncharacterized protein OS=Prunus persica GN=PRUPE_ppa018523mg PE=4 SV=1</t>
  </si>
  <si>
    <t>Uncharacterized protein OS=Prunus persica GN=PRUPE_ppa012619mg PE=4 SV=1</t>
  </si>
  <si>
    <t>Uncharacterized protein (Fragment) OS=Prunus persica GN=PRUPE_ppa015466mg PE=4 SV=1</t>
  </si>
  <si>
    <t>Uncharacterized protein OS=Prunus persica GN=PRUPE_ppa014864mg PE=4 SV=1</t>
  </si>
  <si>
    <t>Heat shock protein 60 (Fragment) OS=Prunus dulcis GN=HSP60 PE=2 SV=1</t>
  </si>
  <si>
    <t>Uncharacterized protein OS=Prunus persica GN=PRUPE_ppa003532mg PE=4 SV=1</t>
  </si>
  <si>
    <t>Uncharacterized protein OS=Brassica oleracea var. oleracea PE=3 SV=1</t>
  </si>
  <si>
    <t>Uncharacterized protein OS=Prunus persica GN=PRUPE_ppa026293mg PE=4 SV=1</t>
  </si>
  <si>
    <t>Uncharacterized protein (Fragment) OS=Prunus persica GN=PRUPE_ppa016221mg PE=4 SV=1</t>
  </si>
  <si>
    <t>Uncharacterized protein OS=Prunus persica GN=PRUPE_ppa004693mg PE=4 SV=1</t>
  </si>
  <si>
    <t>Terpene cyclase/mutase family member OS=Prunus persica GN=PRUPE_ppa016625mg PE=3 SV=1</t>
  </si>
  <si>
    <t>Uncharacterized protein OS=Prunus persica GN=PRUPE_ppa012229mg PE=4 SV=1</t>
  </si>
  <si>
    <t>Uncharacterized protein OS=Prunus persica GN=PRUPE_ppa007874mg PE=4 SV=1</t>
  </si>
  <si>
    <t>Uncharacterized protein OS=Prunus persica GN=PRUPE_ppa000230mg PE=4 SV=1</t>
  </si>
  <si>
    <t>Uncharacterized protein OS=Prunus persica GN=PRUPE_ppa000851mg PE=4 SV=1</t>
  </si>
  <si>
    <t>Uncharacterized protein OS=Prunus persica GN=PRUPE_ppa010050mg PE=4 SV=1</t>
  </si>
  <si>
    <t>Uncharacterized protein (Fragment) OS=Prunus persica GN=PRUPE_ppa024544mg PE=4 SV=1</t>
  </si>
  <si>
    <t>Uncharacterized protein OS=Prunus persica GN=PRUPE_ppa011331mg PE=4 SV=1</t>
  </si>
  <si>
    <t>Uncharacterized protein OS=Prunus persica GN=PRUPE_ppa017192mg PE=3 SV=1</t>
  </si>
  <si>
    <t>Uncharacterized protein OS=Prunus persica GN=PRUPE_ppa009289mg PE=3 SV=1</t>
  </si>
  <si>
    <t>Pectinesterase OS=Prunus persica GN=PRUPE_ppa005976mg PE=3 SV=1</t>
  </si>
  <si>
    <t>Uncharacterized protein OS=Prunus persica GN=PRUPE_ppa021864mg PE=4 SV=1</t>
  </si>
  <si>
    <t>Uncharacterized protein OS=Prunus persica GN=PRUPE_ppa007263mg PE=3 SV=1</t>
  </si>
  <si>
    <t>Uncharacterized protein OS=Prunus persica GN=PRUPE_ppa004485mg PE=4 SV=1</t>
  </si>
  <si>
    <t>Uncharacterized protein OS=Prunus persica GN=PRUPE_ppa008713mg PE=4 SV=1</t>
  </si>
  <si>
    <t>Uncharacterized protein OS=Prunus persica GN=PRUPE_ppa009998mg PE=4 SV=1</t>
  </si>
  <si>
    <t>Uncharacterized protein OS=Prunus persica GN=PRUPE_ppa012188mg PE=4 SV=1</t>
  </si>
  <si>
    <t>Uncharacterized protein (Fragment) OS=Prunus persica GN=PRUPE_ppa015473mg PE=4 SV=1</t>
  </si>
  <si>
    <t>Uncharacterized protein OS=Prunus persica GN=PRUPE_ppa005276mg PE=3 SV=1</t>
  </si>
  <si>
    <t>Uncharacterized protein OS=Prunus persica GN=PRUPE_ppa021899mg PE=4 SV=1</t>
  </si>
  <si>
    <t>Cytoplasmic tRNA 2-thiolation protein 1 OS=Prunus persica GN=NCS6 PE=3 SV=1</t>
  </si>
  <si>
    <t>Uncharacterized protein OS=Morus notabilis GN=L484_010182 PE=4 SV=1</t>
  </si>
  <si>
    <t>Uncharacterized protein OS=Prunus persica GN=PRUPE_ppa006183mg PE=3 SV=1</t>
  </si>
  <si>
    <t>Polygalacturonase 1 (Fragment) OS=Botryotinia fuckeliana GN=PG1 PE=3 SV=1</t>
  </si>
  <si>
    <t>Uncharacterized protein OS=Prunus persica GN=PRUPE_ppa006135mg PE=4 SV=1</t>
  </si>
  <si>
    <t>Uncharacterized protein OS=Prunus persica GN=PRUPE_ppa006680mg PE=4 SV=1</t>
  </si>
  <si>
    <t>Uncharacterized protein OS=Prunus persica GN=PRUPE_ppa001666mg PE=3 SV=1</t>
  </si>
  <si>
    <t>Uncharacterized protein OS=Prunus persica GN=PRUPE_ppa006226mg PE=3 SV=1</t>
  </si>
  <si>
    <t>Uncharacterized protein OS=Prunus persica GN=PRUPE_ppa011805mg PE=4 SV=1</t>
  </si>
  <si>
    <t>Uncharacterized protein OS=Prunus persica GN=PRUPE_ppa005803mg PE=4 SV=1</t>
  </si>
  <si>
    <t>Uncharacterized protein OS=Prunus persica GN=PRUPE_ppa019344mg PE=4 SV=1</t>
  </si>
  <si>
    <t>Uncharacterized protein OS=Prunus persica GN=PRUPE_ppa010161mg PE=4 SV=1</t>
  </si>
  <si>
    <t>Peptidyl-prolyl cis-trans isomerase OS=Prunus persica GN=PRUPE_ppa012332mg PE=3 SV=1</t>
  </si>
  <si>
    <t>Uncharacterized protein OS=Prunus persica GN=PRUPE_ppa010991mg PE=4 SV=1</t>
  </si>
  <si>
    <t>Uncharacterized protein OS=Prunus persica GN=PRUPE_ppa027199mg PE=4 SV=1</t>
  </si>
  <si>
    <t>Uncharacterized protein OS=Prunus persica GN=PRUPE_ppa015688mg PE=4 SV=1</t>
  </si>
  <si>
    <t>Uncharacterized protein OS=Prunus persica GN=PRUPE_ppa008866mg PE=4 SV=1</t>
  </si>
  <si>
    <t>Uncharacterized protein OS=Prunus persica GN=PRUPE_ppa005632mg PE=4 SV=1</t>
  </si>
  <si>
    <t>Uncharacterized protein OS=Prunus persica GN=PRUPE_ppa000550mg PE=4 SV=1</t>
  </si>
  <si>
    <t>Uncharacterized protein OS=Prunus persica GN=PRUPE_ppa000927mg PE=3 SV=1</t>
  </si>
  <si>
    <t>Uncharacterized protein OS=Prunus persica GN=PRUPE_ppa009868mg PE=4 SV=1</t>
  </si>
  <si>
    <t>Uncharacterized protein OS=Prunus persica GN=PRUPE_ppa003940mg PE=4 SV=1</t>
  </si>
  <si>
    <t>Uncharacterized protein OS=Prunus persica GN=PRUPE_ppa007525mg PE=4 SV=1</t>
  </si>
  <si>
    <t>Uncharacterized protein OS=Prunus persica GN=PRUPE_ppa001694mg PE=4 SV=1</t>
  </si>
  <si>
    <t>Uncharacterized protein OS=Prunus persica GN=PRUPE_ppa000045mg PE=4 SV=1</t>
  </si>
  <si>
    <t>Serine/threonine-protein phosphatase OS=Prunus persica GN=PRUPE_ppa008946mg PE=3 SV=1</t>
  </si>
  <si>
    <t>Uncharacterized protein OS=Prunus persica GN=PRUPE_ppa025627mg PE=4 SV=1</t>
  </si>
  <si>
    <t>Uncharacterized protein OS=Prunus persica GN=PRUPE_ppa001128mg PE=4 SV=1</t>
  </si>
  <si>
    <t>Uncharacterized protein OS=Prunus persica GN=PRUPE_ppa001534mg PE=4 SV=1</t>
  </si>
  <si>
    <t>Uncharacterized protein OS=Prunus persica GN=PRUPE_ppa004065mg PE=4 SV=1</t>
  </si>
  <si>
    <t>Uncharacterized protein OS=Prunus persica GN=PRUPE_ppa002079mg PE=4 SV=1</t>
  </si>
  <si>
    <t>Uncharacterized protein OS=Jatropha curcas GN=JCGZ_20421 PE=3 SV=1</t>
  </si>
  <si>
    <t>Uncharacterized protein OS=Prunus persica GN=PRUPE_ppa013555mg PE=4 SV=1</t>
  </si>
  <si>
    <t>Uncharacterized protein OS=Prunus persica GN=PRUPE_ppa008889mg PE=4 SV=1</t>
  </si>
  <si>
    <t>Uncharacterized protein OS=Prunus persica GN=PRUPE_ppa001627mg PE=4 SV=1</t>
  </si>
  <si>
    <t>Uncharacterized protein OS=Prunus persica GN=PRUPE_ppa016685mg PE=4 SV=1</t>
  </si>
  <si>
    <t>Uncharacterized protein OS=Prunus persica GN=PRUPE_ppa001247mg PE=4 SV=1</t>
  </si>
  <si>
    <t>Putative serine/threonine-protein kinase WNK4 OS=Morus notabilis GN=L484_010680 PE=4 SV=1</t>
  </si>
  <si>
    <t>Uncharacterized protein (Fragment) OS=Prunus persica GN=PRUPE_ppa024819mg PE=4 SV=1</t>
  </si>
  <si>
    <t>Uncharacterized protein OS=Prunus persica GN=PRUPE_ppa012280mg PE=4 SV=1</t>
  </si>
  <si>
    <t>Uncharacterized protein (Fragment) OS=Prunus persica GN=PRUPE_ppa016519mg PE=4 SV=1</t>
  </si>
  <si>
    <t>Uncharacterized protein (Fragment) OS=Prunus persica GN=PRUPE_ppa014760mg PE=4 SV=1</t>
  </si>
  <si>
    <t>Uncharacterized protein OS=Prunus persica GN=PRUPE_ppa004292mg PE=4 SV=1</t>
  </si>
  <si>
    <t>Uncharacterized protein OS=Prunus persica GN=PRUPE_ppa005037mg PE=4 SV=1</t>
  </si>
  <si>
    <t>Uncharacterized protein OS=Prunus persica GN=PRUPE_ppa011761mg PE=4 SV=1</t>
  </si>
  <si>
    <t>Uncharacterized protein OS=Prunus persica GN=PRUPE_ppa007326mg PE=4 SV=1</t>
  </si>
  <si>
    <t>Uncharacterized protein (Fragment) OS=Prunus persica GN=PRUPE_ppa018765mg PE=4 SV=1</t>
  </si>
  <si>
    <t>Uncharacterized protein OS=Prunus persica GN=PRUPE_ppa011857mg PE=4 SV=1</t>
  </si>
  <si>
    <t>Uncharacterized protein OS=Prunus persica GN=PRUPE_ppa024647mg PE=4 SV=1</t>
  </si>
  <si>
    <t>Uncharacterized protein OS=Prunus persica GN=PRUPE_ppa000332mg PE=4 SV=1</t>
  </si>
  <si>
    <t>Uncharacterized protein OS=Prunus persica GN=PRUPE_ppa007551mg PE=4 SV=1</t>
  </si>
  <si>
    <t>Uncharacterized protein OS=Prunus persica GN=PRUPE_ppa006688mg PE=4 SV=1</t>
  </si>
  <si>
    <t>Uncharacterized protein OS=Prunus persica GN=PRUPE_ppa004049mg PE=4 SV=1</t>
  </si>
  <si>
    <t>mRNA cap guanine-N7 methyltransferase OS=Prunus persica GN=PRUPE_ppa007365mg PE=3 SV=1</t>
  </si>
  <si>
    <t>Uncharacterized protein OS=Prunus persica GN=PRUPE_ppa003089mg PE=4 SV=1</t>
  </si>
  <si>
    <t>Uncharacterized protein OS=Jatropha curcas GN=JCGZ_09310 PE=4 SV=1</t>
  </si>
  <si>
    <t>Uncharacterized protein OS=Prunus persica GN=PRUPE_ppa012107mg PE=4 SV=1</t>
  </si>
  <si>
    <t>Uncharacterized protein OS=Prunus persica GN=PRUPE_ppa003870mg PE=4 SV=1</t>
  </si>
  <si>
    <t>Uncharacterized protein (Fragment) OS=Prunus persica GN=PRUPE_ppa020214mg PE=4 SV=1</t>
  </si>
  <si>
    <t>Uncharacterized protein OS=Prunus persica GN=PRUPE_ppa006330mg PE=3 SV=1</t>
  </si>
  <si>
    <t>Uncharacterized protein OS=Prunus persica GN=PRUPE_ppa001650mg PE=4 SV=1</t>
  </si>
  <si>
    <t>Uncharacterized protein OS=Prunus persica GN=PRUPE_ppa004150mg PE=4 SV=1</t>
  </si>
  <si>
    <t>Uncharacterized protein OS=Prunus persica GN=PRUPE_ppa012388mg PE=4 SV=1</t>
  </si>
  <si>
    <t>Uncharacterized protein OS=Prunus persica GN=PRUPE_ppa011475mg PE=4 SV=1</t>
  </si>
  <si>
    <t>Uncharacterized protein (Fragment) OS=Prunus persica GN=PRUPE_ppa014647mg PE=4 SV=1</t>
  </si>
  <si>
    <t>Omega-6 fatty acid desaturase OS=Prunus persica GN=FAD PE=2 SV=1</t>
  </si>
  <si>
    <t>Uncharacterized protein OS=Prunus persica GN=PRUPE_ppa007910mg PE=4 SV=1</t>
  </si>
  <si>
    <t>Uncharacterized protein OS=Prunus persica GN=PRUPE_ppa020301mg PE=4 SV=1</t>
  </si>
  <si>
    <t>Hexosyltransferase OS=Prunus persica GN=PRUPE_ppa003165mg PE=3 SV=1</t>
  </si>
  <si>
    <t>Uncharacterized protein (Fragment) OS=Prunus persica GN=PRUPE_ppa025987mg PE=4 SV=1</t>
  </si>
  <si>
    <t>Uncharacterized protein OS=Prunus persica GN=PRUPE_ppa007548mg PE=3 SV=1</t>
  </si>
  <si>
    <t>Laccase OS=Prunus persica GN=PRUPE_ppa017421mg PE=3 SV=1</t>
  </si>
  <si>
    <t>Uncharacterized protein OS=Prunus persica GN=PRUPE_ppa015356mg PE=4 SV=1</t>
  </si>
  <si>
    <t>Peroxidase OS=Prunus persica GN=PRUPE_ppa009513mg PE=3 SV=1</t>
  </si>
  <si>
    <t>Uncharacterized protein OS=Prunus persica GN=PRUPE_ppa012367mg PE=4 SV=1</t>
  </si>
  <si>
    <t>Uncharacterized protein OS=Prunus persica GN=PRUPE_ppa000764mg PE=4 SV=1</t>
  </si>
  <si>
    <t>Uncharacterized protein OS=Prunus persica GN=PRUPE_ppa008086mg PE=4 SV=1</t>
  </si>
  <si>
    <t>Uncharacterized protein OS=Prunus persica GN=PRUPE_ppa012573mg PE=3 SV=1</t>
  </si>
  <si>
    <t>Uncharacterized protein OS=Prunus persica GN=PRUPE_ppa019854mg PE=4 SV=1</t>
  </si>
  <si>
    <t>Uncharacterized protein OS=Prunus persica GN=PRUPE_ppa013248mg PE=4 SV=1</t>
  </si>
  <si>
    <t>Uncharacterized protein OS=Prunus persica GN=PRUPE_ppa000117mg PE=4 SV=1</t>
  </si>
  <si>
    <t>Uncharacterized protein OS=Prunus persica GN=PRUPE_ppa021782mg PE=4 SV=1</t>
  </si>
  <si>
    <t>HVA22-like protein (Fragment) OS=Prunus persica GN=PRUPE_ppa015305mg PE=3 SV=1</t>
  </si>
  <si>
    <t>Uncharacterized protein OS=Prunus persica GN=PRUPE_ppa005970mg PE=4 SV=1</t>
  </si>
  <si>
    <t>Uncharacterized protein OS=Prunus persica GN=PRUPE_ppa002641mg PE=3 SV=1</t>
  </si>
  <si>
    <t>Aconitate hydratase OS=Prunus persica GN=PRUPE_ppa000812mg PE=3 SV=1</t>
  </si>
  <si>
    <t>Uncharacterized protein (Fragment) OS=Prunus persica GN=PRUPE_ppa014610mg PE=4 SV=1</t>
  </si>
  <si>
    <t>Uncharacterized protein OS=Prunus persica GN=PRUPE_ppa006264mg PE=4 SV=1</t>
  </si>
  <si>
    <t>Uncharacterized protein OS=Cucumis sativus GN=Csa_1G231010 PE=3 SV=1</t>
  </si>
  <si>
    <t>Pectinesterase OS=Prunus persica GN=PRUPE_ppa023802mg PE=3 SV=1</t>
  </si>
  <si>
    <t>Uncharacterized protein OS=Prunus persica GN=PRUPE_ppa012701mg PE=4 SV=1</t>
  </si>
  <si>
    <t>Uncharacterized protein OS=Prunus persica GN=PRUPE_ppa006114mg PE=4 SV=1</t>
  </si>
  <si>
    <t>Uncharacterized protein OS=Prunus persica GN=PRUPE_ppa012276mg PE=4 SV=1</t>
  </si>
  <si>
    <t>Glycosyltransferase OS=Prunus persica GN=PRUPE_ppa004909mg PE=3 SV=1</t>
  </si>
  <si>
    <t>Uncharacterized protein OS=Prunus persica GN=PRUPE_ppa002020mg PE=4 SV=1</t>
  </si>
  <si>
    <t>V-type proton ATPase subunit a OS=Prunus persica GN=PRUPE_ppa001492mg PE=3 SV=1</t>
  </si>
  <si>
    <t>Uncharacterized protein OS=Prunus persica GN=PRUPE_ppa005686mg PE=4 SV=1</t>
  </si>
  <si>
    <t>Uncharacterized protein OS=Prunus persica GN=PRUPE_ppa006989mg PE=4 SV=1</t>
  </si>
  <si>
    <t>Uncharacterized protein OS=Prunus persica GN=PRUPE_ppa009030mg PE=4 SV=1</t>
  </si>
  <si>
    <t>Uncharacterized protein OS=Prunus persica GN=PRUPE_ppa008352mg PE=4 SV=1</t>
  </si>
  <si>
    <t>Uncharacterized protein OS=Prunus persica GN=PRUPE_ppa021763mg PE=4 SV=1</t>
  </si>
  <si>
    <t>Arabinogalactan-protein OS=Pyrus communis GN=arabinogalactan-protein: AGP PE=2 SV=1</t>
  </si>
  <si>
    <t>Uncharacterized protein OS=Prunus persica GN=PRUPE_ppa002344mg PE=4 SV=1</t>
  </si>
  <si>
    <t>T-complex protein 1 subunit gamma OS=Physcomitrella patens subsp. patens GN=PHYPADRAFT_90805 PE=3 SV=1</t>
  </si>
  <si>
    <t>Uncharacterized protein OS=Prunus persica GN=PRUPE_ppa005771mg PE=4 SV=1</t>
  </si>
  <si>
    <t>Uncharacterized protein OS=Prunus persica GN=PRUPE_ppa005103mg PE=4 SV=1</t>
  </si>
  <si>
    <t>Ribonucleoside-diphosphate reductase OS=Prunus persica GN=PRUPE_ppa001526mg PE=3 SV=1</t>
  </si>
  <si>
    <t>Uncharacterized protein OS=Prunus persica GN=PRUPE_ppa000173mg PE=4 SV=1</t>
  </si>
  <si>
    <t>Uncharacterized protein OS=Prunus persica GN=PRUPE_ppa001362mg PE=4 SV=1</t>
  </si>
  <si>
    <t>Uncharacterized protein OS=Prunus persica GN=PRUPE_ppa026461mg PE=4 SV=1</t>
  </si>
  <si>
    <t>Uncharacterized protein OS=Prunus persica GN=PRUPE_ppa013741mg PE=4 SV=1</t>
  </si>
  <si>
    <t>Uncharacterized protein OS=Prunus persica GN=PRUPE_ppa014036mg PE=4 SV=1</t>
  </si>
  <si>
    <t>Uncharacterized protein OS=Prunus persica GN=PRUPE_ppa018892mg PE=4 SV=1</t>
  </si>
  <si>
    <t>Kinesin-like protein OS=Morus notabilis GN=L484_021170 PE=3 SV=1</t>
  </si>
  <si>
    <t>Uncharacterized protein OS=Prunus persica GN=PRUPE_ppa005254mg PE=4 SV=1</t>
  </si>
  <si>
    <t>Inositol-tetrakisphosphate 1-kinase OS=Prunus persica GN=PRUPE_ppa021492mg PE=3 SV=1</t>
  </si>
  <si>
    <t>Uncharacterized protein OS=Prunus persica GN=PRUPE_ppa011391mg PE=4 SV=1</t>
  </si>
  <si>
    <t>Uncharacterized protein OS=Prunus persica GN=PRUPE_ppa007396mg PE=3 SV=1</t>
  </si>
  <si>
    <t>Uncharacterized protein OS=Setaria italica GN=Si016746m.g PE=4 SV=1</t>
  </si>
  <si>
    <t>Uncharacterized protein OS=Prunus persica GN=PRUPE_ppa008080mg PE=4 SV=1</t>
  </si>
  <si>
    <t>Uncharacterized protein OS=Prunus persica GN=PRUPE_ppa011617mg PE=3 SV=1</t>
  </si>
  <si>
    <t>Uncharacterized protein OS=Prunus persica GN=PRUPE_ppa010420mg PE=4 SV=1</t>
  </si>
  <si>
    <t>Uncharacterized protein OS=Prunus persica GN=PRUPE_ppa006514mg PE=3 SV=1</t>
  </si>
  <si>
    <t>Uncharacterized protein OS=Prunus persica GN=PRUPE_ppa011099mg PE=4 SV=1</t>
  </si>
  <si>
    <t>Serine/threonine-protein kinase OS=Prunus persica GN=PRUPE_ppa001517mg PE=3 SV=1</t>
  </si>
  <si>
    <t>Uncharacterized protein OS=Prunus persica GN=PRUPE_ppa006359mg PE=4 SV=1</t>
  </si>
  <si>
    <t>Kinesin-like protein OS=Prunus persica GN=PRUPE_ppa002245mg PE=3 SV=1</t>
  </si>
  <si>
    <t>Uncharacterized protein (Fragment) OS=Prunus persica GN=PRUPE_ppa016425mg PE=4 SV=1</t>
  </si>
  <si>
    <t>Alcohol oxidase OS=Trichoderma reesei RUT C-30 GN=M419DRAFT_114133 PE=3 SV=1</t>
  </si>
  <si>
    <t>Uncharacterized protein OS=Prunus persica GN=PRUPE_ppa006060mg PE=4 SV=1</t>
  </si>
  <si>
    <t>Uncharacterized protein OS=Prunus persica GN=PRUPE_ppa000464mg PE=4 SV=1</t>
  </si>
  <si>
    <t>MatR protein OS=Malus domestica GN=matR PE=4 SV=1</t>
  </si>
  <si>
    <t>Uncharacterized protein OS=Jatropha curcas GN=JCGZ_08761 PE=4 SV=1</t>
  </si>
  <si>
    <t>Uncharacterized protein OS=Prunus persica GN=PRUPE_ppa002275mg PE=4 SV=1</t>
  </si>
  <si>
    <t>Uncharacterized protein OS=Prunus persica GN=PRUPE_ppa007436mg PE=4 SV=1</t>
  </si>
  <si>
    <t>Uncharacterized protein OS=Prunus persica GN=PRUPE_ppa000525mg PE=4 SV=1</t>
  </si>
  <si>
    <t>Uncharacterized protein OS=Prunus persica GN=PRUPE_ppa012775mg PE=4 SV=1</t>
  </si>
  <si>
    <t>Uncharacterized protein OS=Prunus persica GN=PRUPE_ppa002336mg PE=4 SV=1</t>
  </si>
  <si>
    <t>Hexokinase OS=Prunus persica GN=PRUPE_ppa004715mg PE=3 SV=1</t>
  </si>
  <si>
    <t>Uncharacterized protein OS=Jatropha curcas GN=JCGZ_06237 PE=4 SV=1</t>
  </si>
  <si>
    <t>Uncharacterized protein OS=Prunus persica GN=PRUPE_ppa006586mg PE=4 SV=1</t>
  </si>
  <si>
    <t>Uncharacterized protein OS=Prunus persica GN=PRUPE_ppa026923mg PE=3 SV=1</t>
  </si>
  <si>
    <t>Uncharacterized protein OS=Prunus persica GN=PRUPE_ppa002813mg PE=4 SV=1</t>
  </si>
  <si>
    <t>Chalcone-flavonone isomerase family protein OS=Prunus persica GN=PRUPE_ppa006153mg PE=3 SV=1</t>
  </si>
  <si>
    <t>Uncharacterized protein OS=Prunus persica GN=PRUPE_ppa000325mg PE=4 SV=1</t>
  </si>
  <si>
    <t>Serine acetyltransferase 5 OS=Morus notabilis GN=L484_027254 PE=4 SV=1</t>
  </si>
  <si>
    <t>Uncharacterized protein (Fragment) OS=Prunus persica GN=PRUPE_ppa016100mg PE=4 SV=1</t>
  </si>
  <si>
    <t>Uncharacterized protein OS=Prunus persica GN=PRUPE_ppa1027172mg PE=4 SV=1</t>
  </si>
  <si>
    <t>Uncharacterized protein OS=Prunus persica GN=PRUPE_ppa001263mg PE=4 SV=1</t>
  </si>
  <si>
    <t>Uncharacterized protein OS=Prunus persica GN=PRUPE_ppa013085mg PE=4 SV=1</t>
  </si>
  <si>
    <t>Ubiquinol oxidase OS=Prunus persica GN=PRUPE_ppa008213mg PE=3 SV=1</t>
  </si>
  <si>
    <t>Uncharacterized protein OS=Prunus persica GN=PRUPE_ppa011388mg PE=4 SV=1</t>
  </si>
  <si>
    <t>Uncharacterized protein OS=Prunus persica GN=PRUPE_ppa004160mg PE=4 SV=1</t>
  </si>
  <si>
    <t>Uncharacterized protein OS=Prunus persica GN=PRUPE_ppa003449mg PE=4 SV=1</t>
  </si>
  <si>
    <t>Uncharacterized protein OS=Prunus persica GN=PRUPE_ppa003201mg PE=4 SV=1</t>
  </si>
  <si>
    <t>Uncharacterized protein OS=Prunus persica GN=PRUPE_ppa018496mg PE=4 SV=1</t>
  </si>
  <si>
    <t>Uncharacterized protein OS=Prunus persica GN=PRUPE_ppa000944mg PE=3 SV=1</t>
  </si>
  <si>
    <t>Uncharacterized protein OS=Populus trichocarpa GN=POPTR_0018s10020g PE=4 SV=2</t>
  </si>
  <si>
    <t>Succinyl-CoA ligase subunit beta OS=Prunus persica GN=PRUPE_ppa006210mg PE=3 SV=1</t>
  </si>
  <si>
    <t>Protein yippee-like OS=Prunus persica GN=PRUPE_ppa013293mg PE=3 SV=1</t>
  </si>
  <si>
    <t>Uncharacterized protein OS=Prunus persica GN=PRUPE_ppa013195mg PE=4 SV=1</t>
  </si>
  <si>
    <t>Kinesin-like protein OS=Prunus persica GN=PRUPE_ppa015110mg PE=3 SV=1</t>
  </si>
  <si>
    <t>Uncharacterized protein OS=Prunus persica GN=PRUPE_ppa017863mg PE=3 SV=1</t>
  </si>
  <si>
    <t>Uncharacterized protein OS=Prunus persica GN=PRUPE_ppa004380mg PE=3 SV=1</t>
  </si>
  <si>
    <t>Uncharacterized protein OS=Prunus persica GN=PRUPE_ppa026912mg PE=4 SV=1</t>
  </si>
  <si>
    <t>Uncharacterized protein OS=Prunus persica GN=PRUPE_ppa019849mg PE=3 SV=1</t>
  </si>
  <si>
    <t>Uncharacterized protein OS=Prunus persica GN=PRUPE_ppa004802mg PE=4 SV=1</t>
  </si>
  <si>
    <t>Uncharacterized protein (Fragment) OS=Prunus persica GN=PRUPE_ppa020479mg PE=3 SV=1</t>
  </si>
  <si>
    <t>Uncharacterized protein isoform 1 OS=Theobroma cacao GN=TCM_020081 PE=4 SV=1</t>
  </si>
  <si>
    <t>Uncharacterized protein (Fragment) OS=Prunus persica GN=PRUPE_ppa016636mg PE=4 SV=1</t>
  </si>
  <si>
    <t>Uncharacterized protein OS=Prunus persica GN=PRUPE_ppa009839mg PE=4 SV=1</t>
  </si>
  <si>
    <t>Uncharacterized protein OS=Prunus persica GN=PRUPE_ppa000840mg PE=4 SV=1</t>
  </si>
  <si>
    <t>Uncharacterized protein OS=Prunus persica GN=PRUPE_ppa000648mg PE=4 SV=1</t>
  </si>
  <si>
    <t>Pectinesterase OS=Prunus persica GN=PRUPE_ppa020185mg PE=3 SV=1</t>
  </si>
  <si>
    <t>Patatin OS=Prunus persica GN=PRUPE_ppa021897mg PE=3 SV=1</t>
  </si>
  <si>
    <t>Uncharacterized protein OS=Gibberella moniliformis (strain M3125 / FGSC 7600) GN=FVEG_09715 PE=4 SV=1</t>
  </si>
  <si>
    <t>Uncharacterized protein OS=Prunus persica GN=PRUPE_ppa013399mg PE=4 SV=1</t>
  </si>
  <si>
    <t>Uncharacterized protein OS=Prunus persica GN=PRUPE_ppa004171mg PE=4 SV=1</t>
  </si>
  <si>
    <t>Uncharacterized protein OS=Prunus persica GN=PRUPE_ppa002396mg PE=4 SV=1</t>
  </si>
  <si>
    <t>Uncharacterized protein OS=Prunus persica GN=PRUPE_ppa025328mg PE=4 SV=1</t>
  </si>
  <si>
    <t>Uncharacterized protein (Fragment) OS=Prunus persica GN=PRUPE_ppa025427mg PE=4 SV=1</t>
  </si>
  <si>
    <t>Uncharacterized protein OS=Prunus persica GN=PRUPE_ppa020086mg PE=3 SV=1</t>
  </si>
  <si>
    <t>Uncharacterized protein OS=Gossypium raimondii GN=B456_009G011700 PE=4 SV=1</t>
  </si>
  <si>
    <t>Uncharacterized protein OS=Prunus persica GN=PRUPE_ppa008651mg PE=4 SV=1</t>
  </si>
  <si>
    <t>Uncharacterized protein OS=Prunus persica GN=PRUPE_ppa008065mg PE=4 SV=1</t>
  </si>
  <si>
    <t>Uncharacterized protein OS=Prunus persica GN=PRUPE_ppa011091mg PE=3 SV=1</t>
  </si>
  <si>
    <t>Uncharacterized protein OS=Prunus persica GN=PRUPE_ppa011839mg PE=4 SV=1</t>
  </si>
  <si>
    <t>Uncharacterized protein OS=Prunus persica GN=PRUPE_ppa006509mg PE=3 SV=1</t>
  </si>
  <si>
    <t>Uncharacterized protein OS=Prunus persica GN=PRUPE_ppa002289mg PE=4 SV=1</t>
  </si>
  <si>
    <t>Transcription elongation factor SPT4 homolog OS=Prunus persica GN=PRUPE_ppa013539mg PE=3 SV=1</t>
  </si>
  <si>
    <t>Uncharacterized protein OS=Prunus persica GN=PRUPE_ppa000252mg PE=4 SV=1</t>
  </si>
  <si>
    <t>Uncharacterized protein OS=Prunus persica GN=PRUPE_ppa010804mg PE=4 SV=1</t>
  </si>
  <si>
    <t>Uncharacterized protein OS=Prunus persica GN=PRUPE_ppa000834mg PE=4 SV=1</t>
  </si>
  <si>
    <t>Uncharacterized protein OS=Prunus persica GN=PRUPE_ppa025546mg PE=4 SV=1</t>
  </si>
  <si>
    <t>Uncharacterized protein OS=Prunus persica GN=PRUPE_ppa025793mg PE=4 SV=1</t>
  </si>
  <si>
    <t>Vacuolar protein sorting-associated protein 35 OS=Prunus persica GN=PRUPE_ppa001624mg PE=3 SV=1</t>
  </si>
  <si>
    <t>Uncharacterized protein (Fragment) OS=Prunus persica GN=PRUPE_ppa023835mg PE=4 SV=1</t>
  </si>
  <si>
    <t>Uncharacterized protein OS=Prunus persica GN=PRUPE_ppa008538mg PE=4 SV=1</t>
  </si>
  <si>
    <t>Malate transporter OS=Malus domestica PE=2 SV=1</t>
  </si>
  <si>
    <t>PsbP domain-OEC23 like protein OS=Pelargonium dichondrifolium GN=PPD2 PE=2 SV=1</t>
  </si>
  <si>
    <t>Uncharacterized protein (Fragment) OS=Prunus persica GN=PRUPE_ppa016454mg PE=4 SV=1</t>
  </si>
  <si>
    <t>Uncharacterized protein OS=Prunus persica GN=PRUPE_ppa016277mg PE=4 SV=1</t>
  </si>
  <si>
    <t>Uncharacterized protein (Fragment) OS=Prunus persica GN=PRUPE_ppa019902mg PE=4 SV=1</t>
  </si>
  <si>
    <t>Serine/threonine-protein kinase OS=Morus notabilis GN=L484_022541 PE=3 SV=1</t>
  </si>
  <si>
    <t>Uncharacterized protein OS=Prunus persica GN=PRUPE_ppa003568mg PE=4 SV=1</t>
  </si>
  <si>
    <t>Putative uncharacterized protein OS=Vitis vinifera GN=VIT_17s0000g08320 PE=4 SV=1</t>
  </si>
  <si>
    <t>Uncharacterized protein OS=Prunus persica GN=PRUPE_ppa001306mg PE=4 SV=1</t>
  </si>
  <si>
    <t>Uncharacterized protein OS=Prunus persica GN=PRUPE_ppa009635mg PE=4 SV=1</t>
  </si>
  <si>
    <t>Uncharacterized protein OS=Eucalyptus grandis GN=EUGRSUZ_E02366 PE=4 SV=1</t>
  </si>
  <si>
    <t>Alpha-mannosidase OS=Prunus persica GN=PRUPE_ppa000707mg PE=3 SV=1</t>
  </si>
  <si>
    <t>Uncharacterized protein OS=Prunus persica GN=PRUPE_ppa009752mg PE=4 SV=1</t>
  </si>
  <si>
    <t>Uncharacterized protein OS=Prunus persica GN=PRUPE_ppa001072mg PE=4 SV=1</t>
  </si>
  <si>
    <t>Auxin response factor OS=Prunus persica GN=PRUPE_ppa002710mg PE=3 SV=1</t>
  </si>
  <si>
    <t>Uncharacterized protein OS=Prunus persica GN=PRUPE_ppa009230mg PE=4 SV=1</t>
  </si>
  <si>
    <t>Uncharacterized protein OS=Prunus persica GN=PRUPE_ppa008114mg PE=4 SV=1</t>
  </si>
  <si>
    <t>Uncharacterized protein OS=Prunus persica GN=PRUPE_ppa006625mg PE=4 SV=1</t>
  </si>
  <si>
    <t>Uncharacterized protein OS=Prunus persica GN=PRUPE_ppa013765mg PE=4 SV=1</t>
  </si>
  <si>
    <t>Uncharacterized protein OS=Prunus persica GN=PRUPE_ppa004478mg PE=4 SV=1</t>
  </si>
  <si>
    <t>Uncharacterized protein OS=Prunus persica GN=PRUPE_ppa017318mg PE=4 SV=1</t>
  </si>
  <si>
    <t>Uncharacterized protein OS=Prunus persica GN=PRUPE_ppa005774mg PE=4 SV=1</t>
  </si>
  <si>
    <t>Uncharacterized protein OS=Prunus persica GN=PRUPE_ppa010405mg PE=4 SV=1</t>
  </si>
  <si>
    <t>Uncharacterized protein OS=Morus notabilis GN=L484_005361 PE=4 SV=1</t>
  </si>
  <si>
    <t>Uncharacterized protein (Fragment) OS=Prunus persica GN=PRUPE_ppa019516mg PE=4 SV=1</t>
  </si>
  <si>
    <t>Uncharacterized protein OS=Prunus persica GN=PRUPE_ppa005524mg PE=3 SV=1</t>
  </si>
  <si>
    <t>Uncharacterized protein OS=Prunus persica GN=PRUPE_ppa020640mg PE=4 SV=1</t>
  </si>
  <si>
    <t>Uncharacterized protein OS=Prunus persica GN=PRUPE_ppa000895mg PE=3 SV=1</t>
  </si>
  <si>
    <t>Uncharacterized protein OS=Prunus persica GN=PRUPE_ppa011580mg PE=4 SV=1</t>
  </si>
  <si>
    <t>Uncharacterized protein OS=Prunus persica GN=PRUPE_ppa011300mg PE=4 SV=1</t>
  </si>
  <si>
    <t>Uncharacterized protein OS=Prunus persica GN=PRUPE_ppa001096mg PE=4 SV=1</t>
  </si>
  <si>
    <t>Uncharacterized protein OS=Prunus persica GN=PRUPE_ppa021307mg PE=4 SV=1</t>
  </si>
  <si>
    <t>Uncharacterized protein OS=Prunus persica GN=PRUPE_ppa016385mg PE=4 SV=1</t>
  </si>
  <si>
    <t>Peroxidase OS=Prunus persica GN=PRUPE_ppa008831mg PE=3 SV=1</t>
  </si>
  <si>
    <t>Uncharacterized protein OS=Prunus persica GN=PRUPE_ppa003222mg PE=3 SV=1</t>
  </si>
  <si>
    <t>Uncharacterized protein OS=Prunus persica GN=PRUPE_ppa009380mg PE=4 SV=1</t>
  </si>
  <si>
    <t>Uncharacterized protein OS=Prunus persica GN=PRUPE_ppa026805mg PE=4 SV=1</t>
  </si>
  <si>
    <t>Uncharacterized protein OS=Prunus persica GN=PRUPE_ppa008015mg PE=4 SV=1</t>
  </si>
  <si>
    <t>Uncharacterized protein (Fragment) OS=Prunus persica GN=PRUPE_ppa017430mg PE=4 SV=1</t>
  </si>
  <si>
    <t>Uncharacterized protein OS=Oryza nivara PE=3 SV=1</t>
  </si>
  <si>
    <t>Uncharacterized protein OS=Prunus persica GN=PRUPE_ppa000019mg PE=4 SV=1</t>
  </si>
  <si>
    <t>Uncharacterized protein OS=Prunus persica GN=PRUPE_ppa004731mg PE=4 SV=1</t>
  </si>
  <si>
    <t>Uncharacterized protein OS=Prunus persica GN=PRUPE_ppa002921mg PE=4 SV=1</t>
  </si>
  <si>
    <t>Uncharacterized protein (Fragment) OS=Prunus persica GN=PRUPE_ppa014982mg PE=3 SV=1</t>
  </si>
  <si>
    <t>Uncharacterized protein OS=Prunus persica GN=PRUPE_ppa003851mg PE=4 SV=1</t>
  </si>
  <si>
    <t>Kinesin-like protein OS=Prunus persica GN=PRUPE_ppa000341mg PE=3 SV=1</t>
  </si>
  <si>
    <t>Uncharacterized protein OS=Prunus persica GN=PRUPE_ppa024441mg PE=4 SV=1</t>
  </si>
  <si>
    <t>Uncharacterized protein (Fragment) OS=Prunus persica GN=PRUPE_ppa027090mg PE=4 SV=1</t>
  </si>
  <si>
    <t>Uncharacterized protein OS=Prunus persica GN=PRUPE_ppa025739mg PE=4 SV=1</t>
  </si>
  <si>
    <t>Uncharacterized protein OS=Prunus persica GN=PRUPE_ppa000881mg PE=4 SV=1</t>
  </si>
  <si>
    <t>Uncharacterized protein OS=Prunus persica GN=PRUPE_ppa020731mg PE=4 SV=1</t>
  </si>
  <si>
    <t>Uncharacterized protein OS=Prunus persica GN=PRUPE_ppa004919mg PE=4 SV=1</t>
  </si>
  <si>
    <t>Uncharacterized protein OS=Prunus persica GN=PRUPE_ppa013186mg PE=4 SV=1</t>
  </si>
  <si>
    <t>Uncharacterized protein OS=Prunus persica GN=PRUPE_ppa016854mg PE=4 SV=1</t>
  </si>
  <si>
    <t>Uncharacterized protein OS=Prunus persica GN=PRUPE_ppa016719mg PE=4 SV=1</t>
  </si>
  <si>
    <t>Uncharacterized protein OS=Prunus persica GN=PRUPE_ppa001439mg PE=4 SV=1</t>
  </si>
  <si>
    <t>Uncharacterized protein OS=Prunus persica GN=PRUPE_ppa011037mg PE=4 SV=1</t>
  </si>
  <si>
    <t>Putative uncharacterized protein OS=Vitis vinifera GN=VIT_15s0048g02360 PE=4 SV=1</t>
  </si>
  <si>
    <t>Uncharacterized protein OS=Prunus persica GN=PRUPE_ppa002255mg PE=4 SV=1</t>
  </si>
  <si>
    <t>Uncharacterized protein OS=Prunus persica GN=PRUPE_ppa008046mg PE=4 SV=1</t>
  </si>
  <si>
    <t>Uncharacterized protein OS=Prunus persica GN=PRUPE_ppa026125mg PE=4 SV=1</t>
  </si>
  <si>
    <t>Uncharacterized protein OS=Prunus persica GN=PRUPE_ppa000598mg PE=4 SV=1</t>
  </si>
  <si>
    <t>Uncharacterized protein OS=Prunus persica GN=PRUPE_ppa003011mg PE=4 SV=1</t>
  </si>
  <si>
    <t>Uncharacterized protein OS=Prunus persica GN=PRUPE_ppa007670mg PE=4 SV=1</t>
  </si>
  <si>
    <t>Uncharacterized protein OS=Prunus persica GN=PRUPE_ppa002771mg PE=3 SV=1</t>
  </si>
  <si>
    <t>Uncharacterized protein OS=Prunus persica GN=PRUPE_ppa009769mg PE=4 SV=1</t>
  </si>
  <si>
    <t>Uncharacterized protein OS=Prunus persica GN=PRUPE_ppa000295mg PE=4 SV=1</t>
  </si>
  <si>
    <t>Uncharacterized protein OS=Prunus persica GN=PRUPE_ppa006058mg PE=4 SV=1</t>
  </si>
  <si>
    <t>Uncharacterized protein OS=Prunus persica GN=PRUPE_ppa008682mg PE=4 SV=1</t>
  </si>
  <si>
    <t>Uncharacterized protein OS=Prunus persica GN=PRUPE_ppa007959mg PE=4 SV=1</t>
  </si>
  <si>
    <t>Uncharacterized protein (Fragment) OS=Prunus persica GN=PRUPE_ppa026193mg PE=4 SV=1</t>
  </si>
  <si>
    <t>Uncharacterized protein OS=Prunus persica GN=PRUPE_ppa005751mg PE=4 SV=1</t>
  </si>
  <si>
    <t>Uncharacterized protein OS=Prunus persica GN=PRUPE_ppa002386mg PE=4 SV=1</t>
  </si>
  <si>
    <t>Uncharacterized protein OS=Prunus persica GN=PRUPE_ppa005960mg PE=3 SV=1</t>
  </si>
  <si>
    <t>Serine hydroxymethyltransferase OS=Prunus persica GN=PRUPE_ppa004090mg PE=3 SV=1</t>
  </si>
  <si>
    <t>Uncharacterized protein OS=Prunus persica GN=PRUPE_ppa021954mg PE=4 SV=1</t>
  </si>
  <si>
    <t>Uncharacterized protein OS=Prunus persica GN=PRUPE_ppa006697mg PE=4 SV=1</t>
  </si>
  <si>
    <t>Uncharacterized protein OS=Prunus persica GN=PRUPE_ppa012312mg PE=4 SV=1</t>
  </si>
  <si>
    <t>Uncharacterized protein OS=Prunus persica GN=PRUPE_ppa020678mg PE=4 SV=1</t>
  </si>
  <si>
    <t>Uncharacterized protein (Fragment) OS=Prunus persica GN=PRUPE_ppa018968mg PE=4 SV=1</t>
  </si>
  <si>
    <t>Uncharacterized protein OS=Prunus persica GN=PRUPE_ppa004190mg PE=4 SV=1</t>
  </si>
  <si>
    <t>SBP family protein OS=Theobroma cacao GN=TCM_015806 PE=4 SV=1</t>
  </si>
  <si>
    <t>Uncharacterized protein OS=Prunus persica GN=PRUPE_ppa013330mg PE=4 SV=1</t>
  </si>
  <si>
    <t>Uncharacterized protein OS=Prunus persica GN=PRUPE_ppa024074mg PE=4 SV=1</t>
  </si>
  <si>
    <t>Uncharacterized protein OS=Prunus persica GN=PRUPE_ppa001465mg PE=4 SV=1</t>
  </si>
  <si>
    <t>Laccase OS=Prunus persica GN=PRUPE_ppa022440mg PE=3 SV=1</t>
  </si>
  <si>
    <t>APETALA3-like protein transcript variant 1 OS=Prunus pseudocerasus PE=2 SV=1</t>
  </si>
  <si>
    <t>Uncharacterized protein OS=Prunus persica GN=PRUPE_ppa015494mg PE=4 SV=1</t>
  </si>
  <si>
    <t>S-acyltransferase OS=Prunus persica GN=PRUPE_ppa006849mg PE=3 SV=1</t>
  </si>
  <si>
    <t>Uncharacterized protein OS=Prunus persica GN=PRUPE_ppa005856mg PE=4 SV=1</t>
  </si>
  <si>
    <t>Uncharacterized protein OS=Prunus persica GN=PRUPE_ppa006267mg PE=4 SV=1</t>
  </si>
  <si>
    <t>Uncharacterized protein OS=Prunus persica GN=PRUPE_ppa003422mg PE=3 SV=1</t>
  </si>
  <si>
    <t>Uncharacterized protein (Fragment) OS=Prunus persica GN=PRUPE_ppa020227mg PE=3 SV=1</t>
  </si>
  <si>
    <t>Uncharacterized protein OS=Prunus persica GN=PRUPE_ppa005076mg PE=3 SV=1</t>
  </si>
  <si>
    <t>Uncharacterized protein (Fragment) OS=Prunus persica GN=PRUPE_ppa022052mg PE=4 SV=1</t>
  </si>
  <si>
    <t>Heat shock protein 70-1 OS=Nicotiana tabacum GN=HSP70-1 PE=3 SV=1</t>
  </si>
  <si>
    <t>Uncharacterized protein OS=Prunus persica GN=PRUPE_ppa006659mg PE=4 SV=1</t>
  </si>
  <si>
    <t>Uncharacterized protein OS=Prunus persica GN=PRUPE_ppa006657mg PE=4 SV=1</t>
  </si>
  <si>
    <t>Uncharacterized protein (Fragment) OS=Prunus persica GN=PRUPE_ppa024079mg PE=4 SV=1</t>
  </si>
  <si>
    <t>Ubiquitin carboxyl-terminal hydrolase OS=Prunus persica GN=PRUPE_ppa000535mg PE=3 SV=1</t>
  </si>
  <si>
    <t>Uncharacterized protein OS=Prunus persica GN=PRUPE_ppa010694mg PE=4 SV=1</t>
  </si>
  <si>
    <t>Uncharacterized protein OS=Prunus persica GN=PRUPE_ppa010424mg PE=4 SV=1</t>
  </si>
  <si>
    <t>Uncharacterized protein OS=Prunus persica GN=PRUPE_ppa013270mg PE=4 SV=1</t>
  </si>
  <si>
    <t>Uncharacterized protein OS=Prunus persica GN=PRUPE_ppa011317mg PE=4 SV=1</t>
  </si>
  <si>
    <t>Uncharacterized protein OS=Prunus persica GN=PRUPE_ppa009119mg PE=4 SV=1</t>
  </si>
  <si>
    <t>Uncharacterized protein OS=Prunus persica GN=PRUPE_ppa022282mg PE=4 SV=1</t>
  </si>
  <si>
    <t>Uncharacterized protein (Fragment) OS=Prunus persica GN=PRUPE_ppa018878mg PE=4 SV=1</t>
  </si>
  <si>
    <t>Uncharacterized protein OS=Prunus persica GN=PRUPE_ppa003190mg PE=4 SV=1</t>
  </si>
  <si>
    <t>Uncharacterized protein OS=Prunus persica GN=PRUPE_ppa004064mg PE=4 SV=1</t>
  </si>
  <si>
    <t>Uncharacterized protein OS=Prunus persica GN=PRUPE_ppa013632mg PE=4 SV=1</t>
  </si>
  <si>
    <t>Uncharacterized protein OS=Prunus persica GN=PRUPE_ppa010058mg PE=4 SV=1</t>
  </si>
  <si>
    <t>Uncharacterized protein OS=Prunus persica GN=PRUPE_ppa007985mg PE=4 SV=1</t>
  </si>
  <si>
    <t>Uncharacterized protein OS=Prunus persica GN=PRUPE_ppa009269mg PE=3 SV=1</t>
  </si>
  <si>
    <t>Uncharacterized protein OS=Prunus persica GN=PRUPE_ppa012310mg PE=4 SV=1</t>
  </si>
  <si>
    <t>Inositol-tetrakisphosphate 1-kinase OS=Prunus persica GN=PRUPE_ppa007677mg PE=3 SV=1</t>
  </si>
  <si>
    <t>Uncharacterized protein OS=Prunus persica GN=PRUPE_ppa003723mg PE=4 SV=1</t>
  </si>
  <si>
    <t>Uncharacterized protein OS=Prunus persica GN=PRUPE_ppa006686mg PE=4 SV=1</t>
  </si>
  <si>
    <t>Ras GTPase-activating protein-binding protein 1 OS=Morella rubra PE=2 SV=1</t>
  </si>
  <si>
    <t>Uncharacterized protein OS=Prunus persica GN=PRUPE_ppa019180mg PE=3 SV=1</t>
  </si>
  <si>
    <t>Uncharacterized protein OS=Prunus persica GN=PRUPE_ppa002110mg PE=4 SV=1</t>
  </si>
  <si>
    <t>Uncharacterized protein OS=Prunus persica GN=PRUPE_ppa009969mg PE=4 SV=1</t>
  </si>
  <si>
    <t>Uncharacterized protein OS=Prunus persica GN=PRUPE_ppa006582mg PE=4 SV=1</t>
  </si>
  <si>
    <t>Uncharacterized protein OS=Prunus persica GN=PRUPE_ppa019345mg PE=4 SV=1</t>
  </si>
  <si>
    <t>Uncharacterized protein OS=Prunus persica GN=PRUPE_ppa009468mg PE=4 SV=1</t>
  </si>
  <si>
    <t>Uncharacterized protein OS=Prunus persica GN=PRUPE_ppa011815mg PE=4 SV=1</t>
  </si>
  <si>
    <t>Uncharacterized protein (Fragment) OS=Prunus persica GN=PRUPE_ppa023740mg PE=4 SV=1</t>
  </si>
  <si>
    <t>Uncharacterized protein OS=Prunus persica GN=PRUPE_ppa004543mg PE=4 SV=1</t>
  </si>
  <si>
    <t>Uncharacterized protein OS=Prunus persica GN=PRUPE_ppa000400mg PE=4 SV=1</t>
  </si>
  <si>
    <t>Uncharacterized protein OS=Prunus persica GN=PRUPE_ppa018991mg PE=4 SV=1</t>
  </si>
  <si>
    <t>Uncharacterized protein OS=Prunus persica GN=PRUPE_ppa014074mg PE=4 SV=1</t>
  </si>
  <si>
    <t>Uncharacterized protein OS=Prunus persica GN=PRUPE_ppa004227mg PE=4 SV=1</t>
  </si>
  <si>
    <t>Uncharacterized protein OS=Prunus persica GN=PRUPE_ppa004590m1g PE=4 SV=1</t>
  </si>
  <si>
    <t>Uncharacterized protein OS=Prunus persica GN=PRUPE_ppa000976mg PE=4 SV=1</t>
  </si>
  <si>
    <t>Uncharacterized protein OS=Prunus persica GN=PRUPE_ppa009944mg PE=3 SV=1</t>
  </si>
  <si>
    <t>Uncharacterized protein OS=Prunus persica GN=PRUPE_ppa010397mg PE=4 SV=1</t>
  </si>
  <si>
    <t>Uncharacterized protein OS=Prunus persica GN=PRUPE_ppa000795mg PE=4 SV=1</t>
  </si>
  <si>
    <t>Uncharacterized protein OS=Prunus persica GN=PRUPE_ppa018430mg PE=4 SV=1</t>
  </si>
  <si>
    <t>Kinesin-like protein OS=Prunus persica GN=PRUPE_ppa019239mg PE=3 SV=1</t>
  </si>
  <si>
    <t>Uncharacterized protein OS=Prunus persica GN=PRUPE_ppa000283mg PE=4 SV=1</t>
  </si>
  <si>
    <t>Protein kinase OS=Prunus persica GN=PRUPE_ppa002871mg PE=2 SV=1</t>
  </si>
  <si>
    <t>Uncharacterized protein OS=Prunus persica GN=PRUPE_ppa000871mg PE=4 SV=1</t>
  </si>
  <si>
    <t>Uncharacterized protein OS=Prunus persica GN=PRUPE_ppa000456mg PE=4 SV=1</t>
  </si>
  <si>
    <t>Uncharacterized protein OS=Prunus persica GN=PRUPE_ppa023997mg PE=4 SV=1</t>
  </si>
  <si>
    <t>Uncharacterized protein OS=Prunus persica GN=PRUPE_ppa006878mg PE=3 SV=1</t>
  </si>
  <si>
    <t>Uncharacterized protein OS=Prunus persica GN=PRUPE_ppa003634mg PE=4 SV=1</t>
  </si>
  <si>
    <t>Uncharacterized protein OS=Prunus persica GN=PRUPE_ppa002602mg PE=4 SV=1</t>
  </si>
  <si>
    <t>Uncharacterized protein OS=Prunus persica GN=PRUPE_ppa000654mg PE=3 SV=1</t>
  </si>
  <si>
    <t>Uncharacterized protein OS=Prunus persica GN=PRUPE_ppa003966mg PE=3 SV=1</t>
  </si>
  <si>
    <t>Uncharacterized protein OS=Prunus persica GN=PRUPE_ppa012537mg PE=4 SV=1</t>
  </si>
  <si>
    <t>Uncharacterized protein OS=Lotus japonicus PE=2 SV=1</t>
  </si>
  <si>
    <t>Uncharacterized protein (Fragment) OS=Prunus persica GN=PRUPE_ppa025471mg PE=4 SV=1</t>
  </si>
  <si>
    <t>Uncharacterized protein (Fragment) OS=Prunus persica GN=PRUPE_ppa018367mg PE=4 SV=1</t>
  </si>
  <si>
    <t>Uncharacterized protein OS=Prunus persica GN=PRUPE_ppa012198mg PE=4 SV=1</t>
  </si>
  <si>
    <t>Uncharacterized protein OS=Prunus persica GN=PRUPE_ppa019963mg PE=4 SV=1</t>
  </si>
  <si>
    <t>Uncharacterized protein OS=Prunus persica GN=PRUPE_ppa007166mg PE=3 SV=1</t>
  </si>
  <si>
    <t>Uncharacterized protein OS=Prunus persica GN=PRUPE_ppa003983mg PE=4 SV=1</t>
  </si>
  <si>
    <t>Uncharacterized protein OS=Prunus persica GN=PRUPE_ppa004643mg PE=3 SV=1</t>
  </si>
  <si>
    <t>Uncharacterized protein OS=Prunus persica GN=PRUPE_ppa012905mg PE=4 SV=1</t>
  </si>
  <si>
    <t>Uncharacterized protein OS=Prunus persica GN=PRUPE_ppa000127mg PE=4 SV=1</t>
  </si>
  <si>
    <t>Uncharacterized protein OS=Prunus persica GN=PRUPE_ppa012195mg PE=4 SV=1</t>
  </si>
  <si>
    <t>Transcription factor bHLH OS=Vitis vinifera PE=2 SV=1</t>
  </si>
  <si>
    <t>Uncharacterized protein OS=Prunus persica GN=PRUPE_ppa000473mg PE=4 SV=1</t>
  </si>
  <si>
    <t>Uncharacterized protein OS=Cucumis sativus GN=Csa_1G423200 PE=3 SV=1</t>
  </si>
  <si>
    <t>Uncharacterized protein OS=Prunus persica GN=PRUPE_ppa006485mg PE=4 SV=1</t>
  </si>
  <si>
    <t>Uncharacterized protein OS=Prunus persica GN=PRUPE_ppa001796mg PE=4 SV=1</t>
  </si>
  <si>
    <t>Uncharacterized protein OS=Prunus persica GN=PRUPE_ppa010278mg PE=4 SV=1</t>
  </si>
  <si>
    <t>Uncharacterized protein OS=Prunus persica GN=PRUPE_ppa006738mg PE=4 SV=1</t>
  </si>
  <si>
    <t>Uncharacterized protein OS=Prunus persica GN=PRUPE_ppa008813mg PE=3 SV=1</t>
  </si>
  <si>
    <t>Uncharacterized protein (Fragment) OS=Prunus persica GN=PRUPE_ppa026440mg PE=4 SV=1</t>
  </si>
  <si>
    <t>alpha-1,2-Mannosidase OS=Prunus persica GN=PRUPE_ppa002909mg PE=3 SV=1</t>
  </si>
  <si>
    <t>Uncharacterized protein OS=Prunus persica GN=PRUPE_ppa001945mg PE=4 SV=1</t>
  </si>
  <si>
    <t>Uncharacterized protein OS=Prunus persica GN=PRUPE_ppa003065mg PE=4 SV=1</t>
  </si>
  <si>
    <t>Uncharacterized protein OS=Prunus persica GN=PRUPE_ppa022110mg PE=4 SV=1</t>
  </si>
  <si>
    <t>Uncharacterized protein OS=Prunus persica GN=PRUPE_ppa002822mg PE=4 SV=1</t>
  </si>
  <si>
    <t>Alpha-galactosidase OS=Prunus persica GN=PRUPE_ppa004477mg PE=3 SV=1</t>
  </si>
  <si>
    <t>Uncharacterized protein OS=Prunus persica GN=PRUPE_ppa018549mg PE=4 SV=1</t>
  </si>
  <si>
    <t>Uncharacterized protein OS=Prunus persica GN=PRUPE_ppa007124mg PE=3 SV=1</t>
  </si>
  <si>
    <t>Uncharacterized protein OS=Prunus persica GN=PRUPE_ppa007471mg PE=4 SV=1</t>
  </si>
  <si>
    <t>Uncharacterized protein OS=Prunus persica GN=PRUPE_ppa018113mg PE=3 SV=1</t>
  </si>
  <si>
    <t>Uncharacterized protein OS=Prunus persica GN=PRUPE_ppa015736mg PE=4 SV=1</t>
  </si>
  <si>
    <t>Uncharacterized protein OS=Prunus persica GN=PRUPE_ppa003442mg PE=4 SV=1</t>
  </si>
  <si>
    <t>Uncharacterized protein OS=Gossypium raimondii GN=B456_008G011400 PE=4 SV=1</t>
  </si>
  <si>
    <t>Uncharacterized protein OS=Prunus persica GN=PRUPE_ppa000937mg PE=3 SV=1</t>
  </si>
  <si>
    <t>Uncharacterized protein OS=Prunus persica GN=PRUPE_ppa005464mg PE=4 SV=1</t>
  </si>
  <si>
    <t>Uncharacterized protein OS=Prunus persica GN=PRUPE_ppa000200mg PE=4 SV=1</t>
  </si>
  <si>
    <t>Uncharacterized protein OS=Prunus persica GN=PRUPE_ppa004737mg PE=4 SV=1</t>
  </si>
  <si>
    <t>Tubulin gamma chain OS=Prunus persica GN=PRUPE_ppa005155mg PE=3 SV=1</t>
  </si>
  <si>
    <t>Uncharacterized protein OS=Prunus persica GN=PRUPE_ppa001625mg PE=3 SV=1</t>
  </si>
  <si>
    <t>Probable cytosolic iron-sulfur protein assembly protein CIAO1 homolog OS=Prunus persica GN=PRUPE_ppa007909mg PE=3 SV=1</t>
  </si>
  <si>
    <t>Uncharacterized protein OS=Prunus persica GN=PRUPE_ppa007153mg PE=4 SV=1</t>
  </si>
  <si>
    <t>Uncharacterized protein OS=Prunus persica GN=PRUPE_ppa001276mg PE=4 SV=1</t>
  </si>
  <si>
    <t>Uncharacterized protein OS=Prunus persica GN=PRUPE_ppa001255mg PE=4 SV=1</t>
  </si>
  <si>
    <t>Uncharacterized protein OS=Prunus persica GN=PRUPE_ppa009357mg PE=4 SV=1</t>
  </si>
  <si>
    <t>Uncharacterized protein OS=Prunus persica GN=PRUPE_ppa007434mg PE=4 SV=1</t>
  </si>
  <si>
    <t>Uncharacterized protein OS=Prunus persica GN=PRUPE_ppa001948mg PE=3 SV=1</t>
  </si>
  <si>
    <t>Uncharacterized protein OS=Prunus persica GN=PRUPE_ppa005180mg PE=4 SV=1</t>
  </si>
  <si>
    <t>Uncharacterized protein OS=Prunus persica GN=PRUPE_ppa005248mg PE=4 SV=1</t>
  </si>
  <si>
    <t>Uncharacterized protein OS=Prunus persica GN=PRUPE_ppa002261mg PE=4 SV=1</t>
  </si>
  <si>
    <t>Uncharacterized protein OS=Prunus persica GN=PRUPE_ppa002064mg PE=3 SV=1</t>
  </si>
  <si>
    <t>(R)-hydroxynitrile lyase OS=Prunus mume GN=PmHNL PE=3 SV=1</t>
  </si>
  <si>
    <t>Uncharacterized protein OS=Prunus persica GN=PRUPE_ppa007780mg PE=4 SV=1</t>
  </si>
  <si>
    <t>Ubiquitin carboxyl-terminal hydrolase OS=Prunus persica GN=PRUPE_ppa001039mg PE=3 SV=1</t>
  </si>
  <si>
    <t>Uncharacterized protein OS=Prunus persica GN=PRUPE_ppa011184mg PE=4 SV=1</t>
  </si>
  <si>
    <t>Uncharacterized protein OS=Prunus persica GN=PRUPE_ppa016584mg PE=4 SV=1</t>
  </si>
  <si>
    <t>Uncharacterized protein OS=Prunus persica GN=PRUPE_ppa015890mg PE=4 SV=1</t>
  </si>
  <si>
    <t>Superoxide dismutase [Cu-Zn] OS=Prunus persica GN=PRUPE_ppa009729mg PE=3 SV=1</t>
  </si>
  <si>
    <t>Uncharacterized protein OS=Prunus persica GN=PRUPE_ppa001105mg PE=4 SV=1</t>
  </si>
  <si>
    <t>Uncharacterized protein OS=Prunus persica GN=PRUPE_ppa001520mg PE=4 SV=1</t>
  </si>
  <si>
    <t>Putative uncharacterized protein OS=Vitis vinifera GN=VIT_04s0044g00580 PE=3 SV=1</t>
  </si>
  <si>
    <t>Uncharacterized protein OS=Prunus persica GN=PRUPE_ppa001561mg PE=4 SV=1</t>
  </si>
  <si>
    <t>Uncharacterized protein OS=Prunus persica GN=PRUPE_ppa008295mg PE=4 SV=1</t>
  </si>
  <si>
    <t>Uncharacterized protein OS=Prunus persica GN=PRUPE_ppa023648mg PE=4 SV=1</t>
  </si>
  <si>
    <t>Oleosin OS=Prunus persica GN=PRUPE_ppa012948mg PE=3 SV=1</t>
  </si>
  <si>
    <t>Uncharacterized protein OS=Chelonia mydas GN=UY3_00021 PE=4 SV=1</t>
  </si>
  <si>
    <t>Uncharacterized protein OS=Prunus persica GN=PRUPE_ppb019226mg PE=4 SV=1</t>
  </si>
  <si>
    <t>Uncharacterized protein OS=Theobroma cacao GN=TCM_014189 PE=4 SV=1</t>
  </si>
  <si>
    <t>Uncharacterized protein OS=Prunus persica GN=PRUPE_ppa014757mg PE=4 SV=1</t>
  </si>
  <si>
    <t>Uncharacterized protein OS=Prunus persica GN=PRUPE_ppa019589mg PE=4 SV=1</t>
  </si>
  <si>
    <t>Putative uncharacterized protein OS=Vitis vinifera GN=VIT_00s0252g00010 PE=3 SV=1</t>
  </si>
  <si>
    <t>Uncharacterized protein OS=Prunus persica GN=PRUPE_ppa002643mg PE=4 SV=1</t>
  </si>
  <si>
    <t>Ribulose bisphosphate carboxylase small chain OS=Prunus persica GN=PRUPE_ppa012300mg PE=3 SV=1</t>
  </si>
  <si>
    <t>Uncharacterized protein OS=Prunus persica GN=PRUPE_ppa000033mg PE=4 SV=1</t>
  </si>
  <si>
    <t>Uncharacterized protein OS=Prunus persica GN=PRUPE_ppa013386mg PE=4 SV=1</t>
  </si>
  <si>
    <t>Uncharacterized protein OS=Prunus persica GN=PRUPE_ppb021781mg PE=4 SV=1</t>
  </si>
  <si>
    <t>Uncharacterized protein OS=Prunus persica GN=PRUPE_ppa018285mg PE=4 SV=1</t>
  </si>
  <si>
    <t>Uncharacterized protein OS=Prunus persica GN=PRUPE_ppa013232mg PE=3 SV=1</t>
  </si>
  <si>
    <t>Uncharacterized protein (Fragment) OS=Prunus persica GN=PRUPE_ppa000214m2g PE=4 SV=1</t>
  </si>
  <si>
    <t>Uncharacterized protein (Fragment) OS=Prunus persica GN=PRUPE_ppa023852mg PE=4 SV=1</t>
  </si>
  <si>
    <t>Uncharacterized protein (Fragment) OS=Prunus persica GN=PRUPE_ppa021394mg PE=4 SV=1</t>
  </si>
  <si>
    <t>Uncharacterized protein (Fragment) OS=Prunus persica GN=PRUPE_ppa023556mg PE=3 SV=1</t>
  </si>
  <si>
    <t>Uncharacterized protein OS=Prunus persica GN=PRUPE_ppa011719mg PE=4 SV=1</t>
  </si>
  <si>
    <t>Ribosomal protein OS=Prunus persica GN=PRUPE_ppa007797mg PE=3 SV=1</t>
  </si>
  <si>
    <t>Pyrroline-5-carboxylate reductase OS=Prunus persica GN=PRUPE_ppa009813mg PE=3 SV=1</t>
  </si>
  <si>
    <t>Uncharacterized protein OS=Prunus persica GN=PRUPE_ppa006987mg PE=4 SV=1</t>
  </si>
  <si>
    <t>Uncharacterized protein OS=Prunus persica GN=PRUPE_ppa005340mg PE=4 SV=1</t>
  </si>
  <si>
    <t>Uncharacterized protein OS=Prunus persica GN=PRUPE_ppa009950mg PE=4 SV=1</t>
  </si>
  <si>
    <t>Uncharacterized protein OS=Prunus persica GN=PRUPE_ppa003175mg PE=3 SV=1</t>
  </si>
  <si>
    <t>Uncharacterized protein OS=Prunus persica GN=PRUPE_ppa008664mg PE=3 SV=1</t>
  </si>
  <si>
    <t>Uncharacterized protein OS=Prunus persica GN=PRUPE_ppa006988mg PE=4 SV=1</t>
  </si>
  <si>
    <t>Uncharacterized protein OS=Prunus persica GN=PRUPE_ppa016998mg PE=4 SV=1</t>
  </si>
  <si>
    <t>Uncharacterized protein OS=Prunus persica GN=PRUPE_ppa006327mg PE=4 SV=1</t>
  </si>
  <si>
    <t>Uncharacterized protein OS=Prunus persica GN=PRUPE_ppa011819mg PE=4 SV=1</t>
  </si>
  <si>
    <t>Uncharacterized protein (Fragment) OS=Prunus persica GN=PRUPE_ppa024678mg PE=4 SV=1</t>
  </si>
  <si>
    <t>Uncharacterized protein OS=Prunus persica GN=PRUPE_ppa009793mg PE=3 SV=1</t>
  </si>
  <si>
    <t>Uncharacterized protein OS=Prunus persica GN=PRUPE_ppa001966mg PE=4 SV=1</t>
  </si>
  <si>
    <t>Uncharacterized protein OS=Prunus persica GN=PRUPE_ppa000114mg PE=4 SV=1</t>
  </si>
  <si>
    <t>Uncharacterized protein OS=Prunus persica GN=PRUPE_ppa005855mg PE=3 SV=1</t>
  </si>
  <si>
    <t>Uncharacterized protein OS=Prunus persica GN=PRUPE_ppa012961mg PE=4 SV=1</t>
  </si>
  <si>
    <t>Uncharacterized protein OS=Prunus persica GN=PRUPE_ppa008058mg PE=4 SV=1</t>
  </si>
  <si>
    <t>Uncharacterized protein OS=Prunus persica GN=PRUPE_ppa014644mg PE=4 SV=1</t>
  </si>
  <si>
    <t>Uncharacterized protein OS=Prunus persica GN=PRUPE_ppa004879mg PE=4 SV=1</t>
  </si>
  <si>
    <t>Uncharacterized protein (Fragment) OS=Prunus persica GN=PRUPE_ppa024492mg PE=4 SV=1</t>
  </si>
  <si>
    <t>Uncharacterized protein OS=Prunus persica GN=PRUPE_ppa010171mg PE=3 SV=1</t>
  </si>
  <si>
    <t>Uncharacterized protein OS=Prunus persica GN=PRUPE_ppa003716mg PE=4 SV=1</t>
  </si>
  <si>
    <t>Amygdalin hydrolase isoform AH I OS=Prunus serotina GN=AH1 PE=2 SV=2</t>
  </si>
  <si>
    <t>Uncharacterized protein OS=Prunus persica GN=PRUPE_ppa018264mg PE=4 SV=1</t>
  </si>
  <si>
    <t>Uncharacterized protein OS=Prunus persica GN=PRUPE_ppa000500mg PE=4 SV=1</t>
  </si>
  <si>
    <t>Uncharacterized protein OS=Prunus persica GN=PRUPE_ppa009447mg PE=4 SV=1</t>
  </si>
  <si>
    <t>Uncharacterized protein OS=Prunus persica GN=PRUPE_ppa009336mg PE=4 SV=1</t>
  </si>
  <si>
    <t>Uncharacterized protein OS=Prunus persica GN=PRUPE_ppa010976mg PE=4 SV=1</t>
  </si>
  <si>
    <t>Uncharacterized protein OS=Prunus persica GN=PRUPE_ppa011981mg PE=4 SV=1</t>
  </si>
  <si>
    <t>Uncharacterized protein OS=Prunus persica GN=PRUPE_ppa011085mg PE=4 SV=1</t>
  </si>
  <si>
    <t>50S ribosomal protein L20, chloroplastic OS=Prunus serrulata var. spontanea GN=rpl20 PE=3 SV=1</t>
  </si>
  <si>
    <t>Uncharacterized protein OS=Prunus persica GN=PRUPE_ppa021212mg PE=4 SV=1</t>
  </si>
  <si>
    <t>Uncharacterized protein OS=Prunus persica GN=PRUPE_ppa023400mg PE=4 SV=1</t>
  </si>
  <si>
    <t>Uncharacterized protein OS=Prunus persica GN=PRUPE_ppa014098mg PE=4 SV=1</t>
  </si>
  <si>
    <t>Uncharacterized protein OS=Prunus persica GN=PRUPE_ppa015879mg PE=4 SV=1</t>
  </si>
  <si>
    <t>Uncharacterized protein OS=Prunus persica GN=PRUPE_ppa008653mg PE=3 SV=1</t>
  </si>
  <si>
    <t>Uncharacterized protein OS=Prunus persica GN=PRUPE_ppa002612mg PE=4 SV=1</t>
  </si>
  <si>
    <t>Uncharacterized protein OS=Prunus persica GN=PRUPE_ppa006938mg PE=4 SV=1</t>
  </si>
  <si>
    <t>Uncharacterized protein OS=Prunus persica GN=PRUPE_ppa009989mg PE=4 SV=1</t>
  </si>
  <si>
    <t>Uncharacterized protein OS=Prunus persica GN=PRUPE_ppa021137mg PE=3 SV=1</t>
  </si>
  <si>
    <t>Uncharacterized protein OS=Prunus persica GN=PRUPE_ppa1027227mg PE=4 SV=1</t>
  </si>
  <si>
    <t>Uncharacterized protein OS=Prunus persica GN=PRUPE_ppa002655mg PE=4 SV=1</t>
  </si>
  <si>
    <t>Serine/threonine-protein kinase OS=Prunus persica GN=PRUPE_ppa001472mg PE=3 SV=1</t>
  </si>
  <si>
    <t>Uncharacterized protein OS=Prunus persica GN=PRUPE_ppa008511mg PE=4 SV=1</t>
  </si>
  <si>
    <t>Uncharacterized protein OS=Prunus persica GN=PRUPE_ppa010672mg PE=4 SV=1</t>
  </si>
  <si>
    <t>Uncharacterized protein OS=Prunus persica GN=PRUPE_ppa002577mg PE=3 SV=1</t>
  </si>
  <si>
    <t>Uncharacterized protein OS=Prunus persica GN=PRUPE_ppa022673mg PE=4 SV=1</t>
  </si>
  <si>
    <t>Uncharacterized protein (Fragment) OS=Prunus persica GN=PRUPE_ppa023023mg PE=4 SV=1</t>
  </si>
  <si>
    <t>Uncharacterized protein OS=Prunus persica GN=PRUPE_ppa003891mg PE=3 SV=1</t>
  </si>
  <si>
    <t>General substrate transporter OS=Trichoderma reesei RUT C-30 GN=M419DRAFT_7811 PE=3 SV=1</t>
  </si>
  <si>
    <t>Uncharacterized protein OS=Glarea lozoyensis (strain ATCC 74030 / MF5533) GN=M7I_8238 PE=4 SV=1</t>
  </si>
  <si>
    <t>Uncharacterized protein OS=Prunus persica GN=PRUPE_ppa022586mg PE=4 SV=1</t>
  </si>
  <si>
    <t>Putative uncharacterized protein OS=Nectria haematococca (strain 77-13-4 / ATCC MYA-4622 / FGSC 9596 / MPVI) GN=NECHADRAFT_102532 PE=4 SV=1</t>
  </si>
  <si>
    <t>Uncharacterized protein OS=Prunus persica GN=PRUPE_ppa005009mg PE=4 SV=1</t>
  </si>
  <si>
    <t>Putative uncharacterized protein OS=Vitis vinifera GN=VIT_18s0076g00210 PE=4 SV=1</t>
  </si>
  <si>
    <t>Uncharacterized protein OS=Prunus persica GN=PRUPE_ppa024376mg PE=4 SV=1</t>
  </si>
  <si>
    <t>Uncharacterized protein (Fragment) OS=Prunus persica GN=PRUPE_ppa018086mg PE=4 SV=1</t>
  </si>
  <si>
    <t>Glutamate receptor OS=Prunus persica GN=PRUPE_ppa020695mg PE=3 SV=1</t>
  </si>
  <si>
    <t>Polyphenol oxidase OS=Malus domestica PE=4 SV=1</t>
  </si>
  <si>
    <t>Uncharacterized protein OS=Prunus persica GN=PRUPE_ppa010740mg PE=4 SV=1</t>
  </si>
  <si>
    <t>Uncharacterized protein OS=Prunus persica GN=PRUPE_ppa020278mg PE=4 SV=1</t>
  </si>
  <si>
    <t>Uncharacterized protein OS=Prunus persica GN=PRUPE_ppa005234mg PE=3 SV=1</t>
  </si>
  <si>
    <t>Uncharacterized protein OS=Prunus persica GN=PRUPE_ppa011345mg PE=4 SV=1</t>
  </si>
  <si>
    <t>Uncharacterized protein OS=Prunus persica GN=PRUPE_ppa001303mg PE=4 SV=1</t>
  </si>
  <si>
    <t>Uncharacterized protein OS=Prunus persica GN=PRUPE_ppa022958mg PE=4 SV=1</t>
  </si>
  <si>
    <t>Uncharacterized protein OS=Prunus persica GN=PRUPE_ppa006752mg PE=4 SV=1</t>
  </si>
  <si>
    <t>Uncharacterized protein OS=Prunus persica GN=PRUPE_ppa025104mg PE=4 SV=1</t>
  </si>
  <si>
    <t>Uncharacterized protein OS=Prunus persica GN=PRUPE_ppa003984mg PE=3 SV=1</t>
  </si>
  <si>
    <t>Uncharacterized protein (Fragment) OS=Prunus persica GN=PRUPE_ppa022021mg PE=4 SV=1</t>
  </si>
  <si>
    <t>Phosphoglycerate kinase OS=Prunus persica GN=PRUPE_ppa005669mg PE=3 SV=1</t>
  </si>
  <si>
    <t>Uncharacterized protein OS=Prunus persica GN=PRUPE_ppa023986mg PE=4 SV=1</t>
  </si>
  <si>
    <t>Uncharacterized protein OS=Prunus persica GN=PRUPE_ppa009927mg PE=4 SV=1</t>
  </si>
  <si>
    <t>Uncharacterized protein OS=Prunus persica GN=PRUPE_ppa010753mg PE=4 SV=1</t>
  </si>
  <si>
    <t>Uncharacterized protein OS=Prunus persica GN=PRUPE_ppa000720mg PE=4 SV=1</t>
  </si>
  <si>
    <t>Uncharacterized protein OS=Prunus persica GN=PRUPE_ppa003211mg PE=4 SV=1</t>
  </si>
  <si>
    <t>Uncharacterized protein OS=Prunus persica GN=PRUPE_ppa019164mg PE=4 SV=1</t>
  </si>
  <si>
    <t>Uncharacterized protein OS=Prunus persica GN=PRUPE_ppa004756mg PE=4 SV=1</t>
  </si>
  <si>
    <t>Putative uncharacterized protein Sb06g001970 OS=Sorghum bicolor GN=Sb06g001970 PE=3 SV=1</t>
  </si>
  <si>
    <t>Uncharacterized protein OS=Morus notabilis GN=L484_020104 PE=4 SV=1</t>
  </si>
  <si>
    <t>Peptidyl-prolyl cis-trans isomerase OS=Prunus persica GN=PRUPE_ppa012551mg PE=3 SV=1</t>
  </si>
  <si>
    <t>Uncharacterized protein OS=Prunus persica GN=PRUPE_ppa001063mg PE=4 SV=1</t>
  </si>
  <si>
    <t>Uncharacterized protein OS=Prunus persica GN=PRUPE_ppa001950mg PE=3 SV=1</t>
  </si>
  <si>
    <t>Uncharacterized protein OS=Prunus persica GN=PRUPE_ppa008518mg PE=4 SV=1</t>
  </si>
  <si>
    <t>Uncharacterized protein OS=Prunus persica GN=PRUPE_ppa002722mg PE=4 SV=1</t>
  </si>
  <si>
    <t>Uncharacterized protein OS=Prunus persica GN=PRUPE_ppa019047mg PE=4 SV=1</t>
  </si>
  <si>
    <t>Uncharacterized protein OS=Prunus persica GN=PRUPE_ppa013728mg PE=4 SV=1</t>
  </si>
  <si>
    <t>Uncharacterized protein OS=Prunus persica GN=PRUPE_ppa005303mg PE=3 SV=1</t>
  </si>
  <si>
    <t>Uncharacterized protein (Fragment) OS=Prunus persica GN=PRUPE_ppa1027201mg PE=4 SV=1</t>
  </si>
  <si>
    <t>Uncharacterized protein OS=Prunus persica GN=PRUPE_ppa004374mg PE=3 SV=1</t>
  </si>
  <si>
    <t>Uncharacterized protein OS=Prunus persica GN=PRUPE_ppa015896mg PE=4 SV=1</t>
  </si>
  <si>
    <t>Uncharacterized protein OS=Prunus persica GN=PRUPE_ppa006353mg PE=4 SV=1</t>
  </si>
  <si>
    <t>Uncharacterized protein OS=Prunus persica GN=PRUPE_ppa013384mg PE=4 SV=1</t>
  </si>
  <si>
    <t>Uncharacterized protein OS=Prunus persica GN=PRUPE_ppa013240mg PE=4 SV=1</t>
  </si>
  <si>
    <t>Uncharacterized protein OS=Prunus persica GN=PRUPE_ppa005838mg PE=4 SV=1</t>
  </si>
  <si>
    <t>Uncharacterized protein OS=Prunus persica GN=PRUPE_ppa022313mg PE=4 SV=1</t>
  </si>
  <si>
    <t>Peroxidase OS=Prunus persica GN=PRUPE_ppa008349mg PE=3 SV=1</t>
  </si>
  <si>
    <t>Uncharacterized protein OS=Prunus persica GN=PRUPE_ppa002965mg PE=4 SV=1</t>
  </si>
  <si>
    <t>Uncharacterized protein OS=Prunus persica GN=PRUPE_ppa020919mg PE=4 SV=1</t>
  </si>
  <si>
    <t>Uncharacterized protein OS=Prunus persica GN=PRUPE_ppa007841mg PE=4 SV=1</t>
  </si>
  <si>
    <t>Uncharacterized protein OS=Prunus persica GN=PRUPE_ppa007341mg PE=4 SV=1</t>
  </si>
  <si>
    <t>Uncharacterized protein OS=Prunus persica GN=PRUPE_ppa009709mg PE=4 SV=1</t>
  </si>
  <si>
    <t>Uncharacterized protein OS=Prunus persica GN=PRUPE_ppa010511mg PE=4 SV=1</t>
  </si>
  <si>
    <t>Uncharacterized protein OS=Prunus persica GN=PRUPE_ppa003609mg PE=3 SV=1</t>
  </si>
  <si>
    <t>Uncharacterized protein OS=Prunus persica GN=PRUPE_ppa018378mg PE=4 SV=1</t>
  </si>
  <si>
    <t>Serine/threonine-protein kinase OS=Prunus persica GN=PRUPE_ppa001616mg PE=3 SV=1</t>
  </si>
  <si>
    <t>Uncharacterized protein OS=Prunus persica GN=PRUPE_ppa004271mg PE=3 SV=1</t>
  </si>
  <si>
    <t>Uncharacterized protein OS=Prunus persica GN=PRUPE_ppa005599mg PE=3 SV=1</t>
  </si>
  <si>
    <t>Serine/threonine-protein phosphatase OS=Prunus persica GN=PRUPE_ppa009114mg PE=3 SV=1</t>
  </si>
  <si>
    <t>Uncharacterized protein OS=Prunus persica GN=PRUPE_ppa011625mg PE=4 SV=1</t>
  </si>
  <si>
    <t>Uncharacterized protein OS=Prunus persica GN=PRUPE_ppa010774mg PE=3 SV=1</t>
  </si>
  <si>
    <t>Uncharacterized protein (Fragment) OS=Prunus persica GN=PRUPE_ppa015273mg PE=3 SV=1</t>
  </si>
  <si>
    <t>Uncharacterized protein OS=Prunus persica GN=PRUPE_ppa011413mg PE=4 SV=1</t>
  </si>
  <si>
    <t>Uncharacterized protein OS=Prunus persica GN=PRUPE_ppa001564mg PE=3 SV=1</t>
  </si>
  <si>
    <t>Uncharacterized protein OS=Prunus persica GN=PRUPE_ppa021616mg PE=4 SV=1</t>
  </si>
  <si>
    <t>Uncharacterized protein OS=Prunus persica GN=PRUPE_ppa007077mg PE=4 SV=1</t>
  </si>
  <si>
    <t>Uncharacterized protein OS=Prunus persica GN=PRUPE_ppa001941mg PE=4 SV=1</t>
  </si>
  <si>
    <t>Uncharacterized protein (Fragment) OS=Prunus persica GN=PRUPE_ppa017017mg PE=4 SV=1</t>
  </si>
  <si>
    <t>Uncharacterized protein OS=Prunus persica GN=PRUPE_ppa015668mg PE=4 SV=1</t>
  </si>
  <si>
    <t>Uncharacterized protein OS=Prunus persica GN=PRUPE_ppa013038mg PE=4 SV=1</t>
  </si>
  <si>
    <t>Uncharacterized protein OS=Prunus persica GN=PRUPE_ppa009035mg PE=3 SV=1</t>
  </si>
  <si>
    <t>Uncharacterized protein OS=Prunus persica GN=PRUPE_ppa026467mg PE=4 SV=1</t>
  </si>
  <si>
    <t>Uncharacterized protein OS=Prunus persica GN=PRUPE_ppa026806mg PE=4 SV=1</t>
  </si>
  <si>
    <t>Uncharacterized protein OS=Prunus persica GN=PRUPE_ppa009532mg PE=4 SV=1</t>
  </si>
  <si>
    <t>Uncharacterized protein OS=Prunus persica GN=PRUPE_ppa002124mg PE=4 SV=1</t>
  </si>
  <si>
    <t>Uncharacterized protein OS=Prunus persica GN=PRUPE_ppa013479mg PE=4 SV=1</t>
  </si>
  <si>
    <t>Uncharacterized protein OS=Prunus persica GN=PRUPE_ppa001350mg PE=4 SV=1</t>
  </si>
  <si>
    <t>Uncharacterized protein OS=Prunus persica GN=PRUPE_ppa008363mg PE=4 SV=1</t>
  </si>
  <si>
    <t>Uncharacterized protein OS=Prunus persica GN=PRUPE_ppa013092mg PE=4 SV=1</t>
  </si>
  <si>
    <t>Uncharacterized protein OS=Prunus persica GN=PRUPE_ppa002154mg PE=3 SV=1</t>
  </si>
  <si>
    <t>Uncharacterized protein OS=Prunus persica GN=PRUPE_ppa000563mg PE=3 SV=1</t>
  </si>
  <si>
    <t>Uncharacterized protein OS=Prunus persica GN=PRUPE_ppa000905mg PE=4 SV=1</t>
  </si>
  <si>
    <t>Uncharacterized protein OS=Prunus persica GN=PRUPE_ppa015818mg PE=4 SV=1</t>
  </si>
  <si>
    <t>Kinesin-like protein OS=Prunus persica GN=PRUPE_ppa001070mg PE=3 SV=1</t>
  </si>
  <si>
    <t>Uncharacterized protein OS=Prunus persica GN=PRUPE_ppa009895mg PE=4 SV=1</t>
  </si>
  <si>
    <t>Uncharacterized protein OS=Prunus persica GN=PRUPE_ppa000620mg PE=4 SV=1</t>
  </si>
  <si>
    <t>Uncharacterized protein OS=Prunus persica GN=PRUPE_ppa025496mg PE=3 SV=1</t>
  </si>
  <si>
    <t>Uncharacterized protein OS=Prunus persica GN=PRUPE_ppa012359mg PE=4 SV=1</t>
  </si>
  <si>
    <t>DNA ligase OS=Prunus persica GN=PRUPE_ppa000275mg PE=3 SV=1</t>
  </si>
  <si>
    <t>Uncharacterized protein OS=Prunus persica GN=PRUPE_ppa000993mg PE=4 SV=1</t>
  </si>
  <si>
    <t>Pentatricopeptide repeat superfamily protein, putative OS=Theobroma cacao GN=TCM_007614 PE=4 SV=1</t>
  </si>
  <si>
    <t>Uncharacterized protein OS=Prunus persica GN=PRUPE_ppa012474mg PE=4 SV=1</t>
  </si>
  <si>
    <t>Uncharacterized protein OS=Prunus persica GN=PRUPE_ppa001182mg PE=4 SV=1</t>
  </si>
  <si>
    <t>Eukaryotic translation initiation factor 5A OS=Arachis hypogaea GN=IF5A PE=2 SV=1</t>
  </si>
  <si>
    <t>Uncharacterized protein OS=Prunus persica GN=PRUPE_ppa022650mg PE=4 SV=1</t>
  </si>
  <si>
    <t>MYB transcription factor 3 OS=Prunus domestica GN=MYB3 PE=2 SV=1</t>
  </si>
  <si>
    <t>Uncharacterized protein OS=Prunus persica GN=PRUPE_ppa002569mg PE=4 SV=1</t>
  </si>
  <si>
    <t>Uncharacterized protein OS=Prunus persica GN=PRUPE_ppa006544mg PE=4 SV=1</t>
  </si>
  <si>
    <t>Uncharacterized protein OS=Morus notabilis GN=L484_024956 PE=4 SV=1</t>
  </si>
  <si>
    <t>Uncharacterized protein OS=Prunus persica GN=PRUPE_ppa003213mg PE=4 SV=1</t>
  </si>
  <si>
    <t>Uncharacterized protein OS=Prunus persica GN=PRUPE_ppa002863mg PE=4 SV=1</t>
  </si>
  <si>
    <t>Uncharacterized protein OS=Prunus persica GN=PRUPE_ppa000087mg PE=4 SV=1</t>
  </si>
  <si>
    <t>Uncharacterized protein OS=Prunus persica GN=PRUPE_ppa009087mg PE=4 SV=1</t>
  </si>
  <si>
    <t>Uncharacterized protein OS=Prunus persica GN=PRUPE_ppa012247mg PE=4 SV=1</t>
  </si>
  <si>
    <t>Uncharacterized protein OS=Prunus persica GN=PRUPE_ppa002135mg PE=4 SV=1</t>
  </si>
  <si>
    <t>DNA helicase OS=Prunus persica GN=PRUPE_ppa000996mg PE=3 SV=1</t>
  </si>
  <si>
    <t>Uncharacterized protein OS=Prunus persica GN=PRUPE_ppa005841mg PE=4 SV=1</t>
  </si>
  <si>
    <t>Uncharacterized protein OS=Prunus persica GN=PRUPE_ppa003278mg PE=4 SV=1</t>
  </si>
  <si>
    <t>Uncharacterized protein (Fragment) OS=Prunus persica GN=PRUPE_ppa024594mg PE=4 SV=1</t>
  </si>
  <si>
    <t>Uncharacterized protein OS=Prunus persica GN=PRUPE_ppa007078mg PE=4 SV=1</t>
  </si>
  <si>
    <t>Uncharacterized protein OS=Prunus persica GN=PRUPE_ppa003979mg PE=4 SV=1</t>
  </si>
  <si>
    <t>Uncharacterized protein OS=Propionibacterium sp. DORA_15 GN=Q613_PSC00333G0003 PE=4 SV=1</t>
  </si>
  <si>
    <t>Uncharacterized protein OS=Prunus persica GN=PRUPE_ppa001375mg PE=4 SV=1</t>
  </si>
  <si>
    <t>Uncharacterized protein OS=Prunus persica GN=PRUPE_ppa011728mg PE=3 SV=1</t>
  </si>
  <si>
    <t>Uncharacterized protein OS=Prunus persica GN=PRUPE_ppa003033mg PE=4 SV=1</t>
  </si>
  <si>
    <t>Uncharacterized protein OS=Prunus persica GN=PRUPE_ppa009945mg PE=4 SV=1</t>
  </si>
  <si>
    <t>40S ribosomal protein S15a-1 OS=Glycine soja GN=glysoja_010067 PE=3 SV=1</t>
  </si>
  <si>
    <t>Uncharacterized protein OS=Jatropha curcas GN=JCGZ_05568 PE=4 SV=1</t>
  </si>
  <si>
    <t>Uncharacterized protein OS=Prunus persica GN=PRUPE_ppa009027mg PE=4 SV=1</t>
  </si>
  <si>
    <t>Uncharacterized protein OS=Prunus persica GN=PRUPE_ppa002716mg PE=4 SV=1</t>
  </si>
  <si>
    <t>Uncharacterized protein OS=Prunus persica GN=PRUPE_ppa013453mg PE=4 SV=1</t>
  </si>
  <si>
    <t>Kinesin-like protein (Fragment) OS=Prunus persica GN=PRUPE_ppa024028mg PE=3 SV=1</t>
  </si>
  <si>
    <t>Uncharacterized protein OS=Prunus persica GN=PRUPE_ppa013259mg PE=4 SV=1</t>
  </si>
  <si>
    <t>Uncharacterized protein OS=Jatropha curcas GN=JCGZ_22100 PE=4 SV=1</t>
  </si>
  <si>
    <t>Uncharacterized protein OS=Prunus persica GN=PRUPE_ppa003348mg PE=4 SV=1</t>
  </si>
  <si>
    <t>Uncharacterized protein OS=Prunus persica GN=PRUPE_ppa003858mg PE=4 SV=1</t>
  </si>
  <si>
    <t>Uncharacterized protein OS=Prunus persica GN=PRUPE_ppa011247mg PE=4 SV=1</t>
  </si>
  <si>
    <t>Uncharacterized protein OS=Prunus persica GN=PRUPE_ppa000715mg PE=4 SV=1</t>
  </si>
  <si>
    <t>Uncharacterized protein OS=Prunus persica GN=PRUPE_ppa004592mg PE=3 SV=1</t>
  </si>
  <si>
    <t>Beta-galactosidase OS=Prunus persica PE=2 SV=1</t>
  </si>
  <si>
    <t>Carbonic anhydrase OS=Prunus persica GN=PRUPE_ppa010302mg PE=3 SV=1</t>
  </si>
  <si>
    <t>Lipase OS=Morus notabilis GN=L484_017615 PE=3 SV=1</t>
  </si>
  <si>
    <t>Uncharacterized protein OS=Prunus persica GN=PRUPE_ppa010288mg PE=4 SV=1</t>
  </si>
  <si>
    <t>Uncharacterized protein OS=Prunus persica GN=PRUPE_ppa013235mg PE=4 SV=1</t>
  </si>
  <si>
    <t>Uncharacterized protein (Fragment) OS=Prunus persica GN=PRUPE_ppa015512mg PE=3 SV=1</t>
  </si>
  <si>
    <t>Uncharacterized protein (Fragment) OS=Prunus persica GN=PRUPE_ppa026702mg PE=4 SV=1</t>
  </si>
  <si>
    <t>alpha-1,2-Mannosidase OS=Prunus persica GN=PRUPE_ppa002795mg PE=3 SV=1</t>
  </si>
  <si>
    <t>Uncharacterized protein OS=Prunus persica GN=PRUPE_ppa013219mg PE=4 SV=1</t>
  </si>
  <si>
    <t>Uncharacterized protein OS=Prunus persica GN=PRUPE_ppa024551mg PE=4 SV=1</t>
  </si>
  <si>
    <t>Uncharacterized protein OS=Prunus persica GN=PRUPE_ppa019046mg PE=4 SV=1</t>
  </si>
  <si>
    <t>Uncharacterized protein OS=Prunus persica GN=PRUPE_ppa019308mg PE=4 SV=1</t>
  </si>
  <si>
    <t>NADH-cytochrome b5 reductase OS=Prunus persica GN=PRUPE_ppa008641mg PE=3 SV=1</t>
  </si>
  <si>
    <t>Uncharacterized protein OS=Prunus persica GN=PRUPE_ppa011661mg PE=4 SV=1</t>
  </si>
  <si>
    <t>Uncharacterized protein OS=Morus notabilis GN=L484_015867 PE=4 SV=1</t>
  </si>
  <si>
    <t>Uncharacterized protein OS=Prunus persica GN=PRUPE_ppa010651mg PE=4 SV=1</t>
  </si>
  <si>
    <t>Uncharacterized protein OS=Prunus persica GN=PRUPE_ppa001376mg PE=4 SV=1</t>
  </si>
  <si>
    <t>Uncharacterized protein OS=Prunus persica GN=PRUPE_ppa009757mg PE=4 SV=1</t>
  </si>
  <si>
    <t>Uncharacterized protein OS=Prunus persica GN=PRUPE_ppa002688mg PE=4 SV=1</t>
  </si>
  <si>
    <t>Uncharacterized protein OS=Prunus persica GN=PRUPE_ppa002495mg PE=4 SV=1</t>
  </si>
  <si>
    <t>Uncharacterized protein OS=Prunus persica GN=PRUPE_ppb018972mg PE=4 SV=1</t>
  </si>
  <si>
    <t>Uncharacterized protein OS=Prunus persica GN=PRUPE_ppa009021mg PE=4 SV=1</t>
  </si>
  <si>
    <t>Histone H3.3 OS=Arabidopsis thaliana GN=At4g40030 PE=4 SV=1</t>
  </si>
  <si>
    <t>Uncharacterized protein OS=Prunus persica GN=PRUPE_ppa004512mg PE=4 SV=1</t>
  </si>
  <si>
    <t>Uncharacterized protein OS=Prunus persica GN=PRUPE_ppa012215mg PE=4 SV=1</t>
  </si>
  <si>
    <t>Glycine-rich protein 2b OS=Morus notabilis GN=L484_024979 PE=4 SV=1</t>
  </si>
  <si>
    <t>Uncharacterized protein OS=Prunus persica GN=PRUPE_ppa025003mg PE=3 SV=1</t>
  </si>
  <si>
    <t>Uncharacterized protein (Fragment) OS=Prunus persica GN=PRUPE_ppb013718mg PE=4 SV=1</t>
  </si>
  <si>
    <t>Uncharacterized protein OS=Prunus persica GN=PRUPE_ppa007653mg PE=4 SV=1</t>
  </si>
  <si>
    <t>Pyruvate kinase OS=Glycine soja GN=glysoja_021469 PE=3 SV=1</t>
  </si>
  <si>
    <t>Uncharacterized protein OS=Prunus persica GN=PRUPE_ppa015440mg PE=3 SV=1</t>
  </si>
  <si>
    <t>Uncharacterized protein OS=Prunus persica GN=PRUPE_ppa010607mg PE=4 SV=1</t>
  </si>
  <si>
    <t>Uncharacterized protein OS=Prunus persica GN=PRUPE_ppa005411mg PE=4 SV=1</t>
  </si>
  <si>
    <t>Uncharacterized protein OS=Prunus persica GN=PRUPE_ppa008361mg PE=4 SV=1</t>
  </si>
  <si>
    <t>Uncharacterized protein OS=Prunus persica GN=PRUPE_ppa011094mg PE=3 SV=1</t>
  </si>
  <si>
    <t>Uncharacterized protein OS=Prunus persica GN=PRUPE_ppa017188mg PE=3 SV=1</t>
  </si>
  <si>
    <t>Uncharacterized protein OS=Cucumis sativus GN=Csa_3G895070 PE=4 SV=1</t>
  </si>
  <si>
    <t>Uncharacterized protein OS=Prunus persica GN=PRUPE_ppa024055mg PE=4 SV=1</t>
  </si>
  <si>
    <t>Uncharacterized protein OS=Prunus persica GN=PRUPE_ppa001550mg PE=4 SV=1</t>
  </si>
  <si>
    <t>Uncharacterized protein OS=Eucalyptus grandis GN=EUGRSUZ_E00068 PE=4 SV=1</t>
  </si>
  <si>
    <t>Uncharacterized protein OS=Prunus persica GN=PRUPE_ppa008254mg PE=4 SV=1</t>
  </si>
  <si>
    <t>Uncharacterized protein OS=Prunus persica GN=PRUPE_ppb024514mg PE=4 SV=1</t>
  </si>
  <si>
    <t>Uncharacterized protein OS=Prunus persica GN=PRUPE_ppb022899mg PE=4 SV=1</t>
  </si>
  <si>
    <t>Uncharacterized protein OS=Prunus persica GN=PRUPE_ppa010762mg PE=3 SV=1</t>
  </si>
  <si>
    <t>Putative CC-NBS-LRR resistance protein OS=Malus domestica GN=Md49N23_SdRGH2.030 PE=4 SV=1</t>
  </si>
  <si>
    <t>Uncharacterized protein OS=Prunus persica GN=PRUPE_ppa006918mg PE=4 SV=1</t>
  </si>
  <si>
    <t>40S ribosomal protein S8 OS=Prunus persica GN=PRUPE_ppa011067mg PE=3 SV=1</t>
  </si>
  <si>
    <t>Uncharacterized protein OS=Prunus persica GN=PRUPE_ppa025548mg PE=4 SV=1</t>
  </si>
  <si>
    <t>rRNA N-glycosidase OS=Prunus persica GN=PRUPE_ppa009637mg PE=3 SV=1</t>
  </si>
  <si>
    <t>Uncharacterized protein OS=Prunus persica GN=PRUPE_ppa007247mg PE=4 SV=1</t>
  </si>
  <si>
    <t>Cytosolic invertase 1 OS=Prunus persica GN=CINV1 PE=4 SV=1</t>
  </si>
  <si>
    <t>Uncharacterized protein OS=Prunus persica GN=PRUPE_ppa019551mg PE=3 SV=1</t>
  </si>
  <si>
    <t>Uncharacterized protein OS=Prunus persica GN=PRUPE_ppa012405mg PE=4 SV=1</t>
  </si>
  <si>
    <t>tRNA (guanine-N(7)-)-methyltransferase non-catalytic subunit OS=Prunus persica GN=PRUPE_ppa006007mg PE=3 SV=1</t>
  </si>
  <si>
    <t>Uncharacterized protein OS=Prunus persica GN=PRUPE_ppa002525mg PE=4 SV=1</t>
  </si>
  <si>
    <t>Uncharacterized protein (Fragment) OS=Prunus persica GN=PRUPE_ppa023983mg PE=4 SV=1</t>
  </si>
  <si>
    <t>Uncharacterized protein OS=Prunus persica GN=PRUPE_ppa006950mg PE=4 SV=1</t>
  </si>
  <si>
    <t>Uncharacterized protein OS=Prunus persica GN=PRUPE_ppa004230mg PE=4 SV=1</t>
  </si>
  <si>
    <t>Uncharacterized protein OS=Prunus persica GN=PRUPE_ppa017219mg PE=4 SV=1</t>
  </si>
  <si>
    <t>Uncharacterized protein OS=Prunus persica GN=PRUPE_ppa021565mg PE=4 SV=1</t>
  </si>
  <si>
    <t>Uncharacterized protein OS=Prunus persica GN=PRUPE_ppa006810mg PE=4 SV=1</t>
  </si>
  <si>
    <t>Uncharacterized protein OS=Prunus persica GN=PRUPE_ppa007630mg PE=4 SV=1</t>
  </si>
  <si>
    <t>Eukaryotic translation initiation factor eIF-1 OS=Fusarium oxysporum f. sp. cubense tropical race 4 54006 GN=FOIG_12026 PE=4 SV=1</t>
  </si>
  <si>
    <t>Uncharacterized protein OS=Prunus persica GN=PRUPE_ppa012890mg PE=4 SV=1</t>
  </si>
  <si>
    <t>Chloride channel protein OS=Prunus persica GN=PRUPE_ppa023512mg PE=3 SV=1</t>
  </si>
  <si>
    <t>Uncharacterized protein OS=Prunus persica GN=PRUPE_ppa016455mg PE=3 SV=1</t>
  </si>
  <si>
    <t>Alpha-tubulin 2 (Fragment) OS=Gossypium hirsutum GN=ATub2 PE=2 SV=1</t>
  </si>
  <si>
    <t>Uncharacterized protein OS=Prunus persica GN=PRUPE_ppa003579mg PE=4 SV=1</t>
  </si>
  <si>
    <t>Uncharacterized protein OS=Prunus persica GN=PRUPE_ppa017976mg PE=4 SV=1</t>
  </si>
  <si>
    <t>Uncharacterized protein OS=Gossypium raimondii GN=B456_006G124500 PE=4 SV=1</t>
  </si>
  <si>
    <t>Uncharacterized protein OS=Prunus persica GN=PRUPE_ppa016615mg PE=4 SV=1</t>
  </si>
  <si>
    <t>Uncharacterized protein OS=Prunus persica GN=PRUPE_ppa018856mg PE=4 SV=1</t>
  </si>
  <si>
    <t>Uncharacterized protein OS=Prunus persica GN=PRUPE_ppa018640mg PE=4 SV=1</t>
  </si>
  <si>
    <t>Uncharacterized protein OS=Prunus persica GN=PRUPE_ppa008267mg PE=3 SV=1</t>
  </si>
  <si>
    <t>Uncharacterized protein OS=Prunus persica GN=PRUPE_ppa002159mg PE=3 SV=1</t>
  </si>
  <si>
    <t>Uncharacterized protein OS=Prunus persica GN=PRUPE_ppa008366mg PE=4 SV=1</t>
  </si>
  <si>
    <t>Uncharacterized protein OS=Prunus persica GN=PRUPE_ppa006874mg PE=4 SV=1</t>
  </si>
  <si>
    <t>Uncharacterized protein OS=Prunus persica GN=PRUPE_ppa006044mg PE=4 SV=1</t>
  </si>
  <si>
    <t>Uncharacterized protein OS=Prunus persica GN=PRUPE_ppa006311mg PE=4 SV=1</t>
  </si>
  <si>
    <t>Uncharacterized protein OS=Prunus persica GN=PRUPE_ppa012477mg PE=4 SV=1</t>
  </si>
  <si>
    <t>Uncharacterized protein OS=Prunus persica GN=PRUPE_ppa006772mg PE=4 SV=1</t>
  </si>
  <si>
    <t>Uncharacterized protein OS=Prunus persica GN=PRUPE_ppa021798mg PE=4 SV=1</t>
  </si>
  <si>
    <t>Uncharacterized protein OS=Prunus persica GN=PRUPE_ppa023592mg PE=3 SV=1</t>
  </si>
  <si>
    <t>Uncharacterized protein OS=Prunus persica GN=PRUPE_ppa009857mg PE=4 SV=1</t>
  </si>
  <si>
    <t>Uncharacterized protein OS=Prunus persica GN=PRUPE_ppa013488mg PE=4 SV=1</t>
  </si>
  <si>
    <t>Uncharacterized protein OS=Prunus persica GN=PRUPE_ppa024990mg PE=4 SV=1</t>
  </si>
  <si>
    <t>Uncharacterized protein OS=Prunus persica GN=PRUPE_ppa002093mg PE=3 SV=1</t>
  </si>
  <si>
    <t>Uncharacterized protein OS=Prunus persica GN=PRUPE_ppa000578mg PE=3 SV=1</t>
  </si>
  <si>
    <t>Uncharacterized protein OS=Prunus persica GN=PRUPE_ppa027119mg PE=4 SV=1</t>
  </si>
  <si>
    <t>Uncharacterized protein OS=Prunus persica GN=PRUPE_ppa003642mg PE=3 SV=1</t>
  </si>
  <si>
    <t>Uncharacterized protein OS=Prunus persica GN=PRUPE_ppa000571mg PE=4 SV=1</t>
  </si>
  <si>
    <t>Uncharacterized protein OS=Prunus persica GN=PRUPE_ppa001756mg PE=4 SV=1</t>
  </si>
  <si>
    <t>Uncharacterized protein OS=Prunus persica GN=PRUPE_ppa009107mg PE=4 SV=1</t>
  </si>
  <si>
    <t>Uncharacterized protein OS=Prunus persica GN=PRUPE_ppa003205mg PE=4 SV=1</t>
  </si>
  <si>
    <t>Uncharacterized protein OS=Prunus persica GN=PRUPE_ppa012595mg PE=4 SV=1</t>
  </si>
  <si>
    <t>Uncharacterized protein OS=Prunus persica GN=PRUPE_ppa013592mg PE=4 SV=1</t>
  </si>
  <si>
    <t>Uncharacterized protein (Fragment) OS=Prunus persica GN=PRUPE_ppa022685mg PE=4 SV=1</t>
  </si>
  <si>
    <t>Uncharacterized protein OS=Prunus persica GN=PRUPE_ppa023723mg PE=4 SV=1</t>
  </si>
  <si>
    <t>Uncharacterized protein OS=Prunus persica GN=PRUPE_ppa006251mg PE=4 SV=1</t>
  </si>
  <si>
    <t>Uncharacterized protein OS=Prunus persica GN=PRUPE_ppa007930mg PE=4 SV=1</t>
  </si>
  <si>
    <t>Uncharacterized protein OS=Prunus persica GN=PRUPE_ppa001294mg PE=3 SV=1</t>
  </si>
  <si>
    <t>Alpha-1,4 glucan phosphorylase OS=Prunus persica GN=PRUPE_ppa000958mg PE=3 SV=1</t>
  </si>
  <si>
    <t>Uncharacterized protein (Fragment) OS=Prunus persica GN=PRUPE_ppa017675mg PE=4 SV=1</t>
  </si>
  <si>
    <t>Uncharacterized protein OS=Prunus persica GN=PRUPE_ppb006257mg PE=4 SV=1</t>
  </si>
  <si>
    <t>Uncharacterized protein (Fragment) OS=Prunus persica GN=PRUPE_ppa024571mg PE=4 SV=1</t>
  </si>
  <si>
    <t>Uncharacterized protein OS=Prunus persica GN=PRUPE_ppa018776mg PE=4 SV=1</t>
  </si>
  <si>
    <t>Uncharacterized protein OS=Prunus persica GN=PRUPE_ppa010760mg PE=4 SV=1</t>
  </si>
  <si>
    <t>Uncharacterized protein OS=Prunus persica GN=PRUPE_ppa007513mg PE=4 SV=1</t>
  </si>
  <si>
    <t>Uncharacterized protein OS=Prunus persica GN=PRUPE_ppa009782mg PE=4 SV=1</t>
  </si>
  <si>
    <t>Uncharacterized protein OS=Prunus persica GN=PRUPE_ppa004863mg PE=3 SV=1</t>
  </si>
  <si>
    <t>Auxin-responsive protein OS=Prunus persica GN=PRUPE_ppa009134mg PE=3 SV=1</t>
  </si>
  <si>
    <t>Uncharacterized protein OS=Prunus persica GN=PRUPE_ppa012492mg PE=4 SV=1</t>
  </si>
  <si>
    <t>Mitochondrial uncoupling protein 2 OS=Morus notabilis GN=L484_022082 PE=3 SV=1</t>
  </si>
  <si>
    <t>Uncharacterized protein OS=Prunus persica GN=PRUPE_ppa017571mg PE=4 SV=1</t>
  </si>
  <si>
    <t>Uncharacterized protein OS=Prunus persica GN=PRUPE_ppa008752mg PE=4 SV=1</t>
  </si>
  <si>
    <t>Uncharacterized protein OS=Prunus persica GN=PRUPE_ppa004741mg PE=4 SV=1</t>
  </si>
  <si>
    <t>IAA-amino acid hydrolase OS=Morus notabilis GN=L484_019193 PE=4 SV=1</t>
  </si>
  <si>
    <t>Uncharacterized protein OS=Prunus persica GN=PRUPE_ppa007413mg PE=4 SV=1</t>
  </si>
  <si>
    <t>Uncharacterized protein OS=Prunus persica GN=PRUPE_ppa009939mg PE=4 SV=1</t>
  </si>
  <si>
    <t>Kinesin-like protein OS=Prunus persica GN=PRUPE_ppa001068mg PE=3 SV=1</t>
  </si>
  <si>
    <t>Translation factor GUF1 homolog, mitochondrial OS=Prunus persica GN=PRUPE_ppa002382mg PE=3 SV=1</t>
  </si>
  <si>
    <t>Uncharacterized protein OS=Prunus persica GN=PRUPE_ppa000240mg PE=4 SV=1</t>
  </si>
  <si>
    <t>Uncharacterized protein OS=Prunus persica GN=PRUPE_ppa007071mg PE=4 SV=1</t>
  </si>
  <si>
    <t>Uncharacterized protein OS=Prunus persica GN=PRUPE_ppa004517mg PE=3 SV=1</t>
  </si>
  <si>
    <t>Uncharacterized protein OS=Prunus persica GN=PRUPE_ppa000647mg PE=3 SV=1</t>
  </si>
  <si>
    <t>Uncharacterized protein OS=Prunus persica GN=PRUPE_ppa002772mg PE=4 SV=1</t>
  </si>
  <si>
    <t>Uncharacterized protein (Fragment) OS=Prunus persica GN=PRUPE_ppa024218mg PE=4 SV=1</t>
  </si>
  <si>
    <t>Uncharacterized protein OS=Prunus persica GN=PRUPE_ppa012546mg PE=3 SV=1</t>
  </si>
  <si>
    <t>Uncharacterized protein OS=Prunus persica GN=PRUPE_ppa007856mg PE=3 SV=1</t>
  </si>
  <si>
    <t>Uncharacterized protein OS=Prunus persica GN=PRUPE_ppa011798mg PE=4 SV=1</t>
  </si>
  <si>
    <t>Uncharacterized protein OS=Prunus persica GN=PRUPE_ppa015276mg PE=4 SV=1</t>
  </si>
  <si>
    <t>Uncharacterized protein OS=Prunus persica GN=PRUPE_ppa007149mg PE=4 SV=1</t>
  </si>
  <si>
    <t>Uncharacterized protein OS=Prunus persica GN=PRUPE_ppb011119mg PE=4 SV=1</t>
  </si>
  <si>
    <t>Uncharacterized protein OS=Prunus persica GN=PRUPE_ppa003895mg PE=4 SV=1</t>
  </si>
  <si>
    <t>Uncharacterized protein OS=Prunus persica GN=PRUPE_ppa005953mg PE=4 SV=1</t>
  </si>
  <si>
    <t>Uncharacterized protein OS=Prunus persica GN=PRUPE_ppa002933mg PE=4 SV=1</t>
  </si>
  <si>
    <t>Uncharacterized protein OS=Prunus persica GN=PRUPE_ppa009853mg PE=4 SV=1</t>
  </si>
  <si>
    <t>Uncharacterized protein OS=Prunus persica GN=PRUPE_ppa020917mg PE=4 SV=1</t>
  </si>
  <si>
    <t>Uncharacterized protein OS=Prunus persica GN=PRUPE_ppa026352mg PE=4 SV=1</t>
  </si>
  <si>
    <t>Uncharacterized protein OS=Prunus persica GN=PRUPE_ppa005002mg PE=4 SV=1</t>
  </si>
  <si>
    <t>Uncharacterized protein OS=Prunus persica GN=PRUPE_ppa006216mg PE=4 SV=1</t>
  </si>
  <si>
    <t>Uncharacterized protein OS=Prunus persica GN=PRUPE_ppa003311mg PE=4 SV=1</t>
  </si>
  <si>
    <t>Uncharacterized protein OS=Prunus persica GN=PRUPE_ppa011745mg PE=4 SV=1</t>
  </si>
  <si>
    <t>Uncharacterized protein OS=Prunus persica GN=PRUPE_ppa009704mg PE=4 SV=1</t>
  </si>
  <si>
    <t>Uncharacterized protein OS=Prunus persica GN=PRUPE_ppa015401mg PE=4 SV=1</t>
  </si>
  <si>
    <t>Uncharacterized protein OS=Prunus persica GN=PRUPE_ppa023530mg PE=4 SV=1</t>
  </si>
  <si>
    <t>Uncharacterized protein OS=Prunus persica GN=PRUPE_ppa003869mg PE=3 SV=1</t>
  </si>
  <si>
    <t>Uncharacterized protein OS=Prunus persica GN=PRUPE_ppa026237mg PE=4 SV=1</t>
  </si>
  <si>
    <t>Uncharacterized protein OS=Prunus persica GN=PRUPE_ppa010803mg PE=4 SV=1</t>
  </si>
  <si>
    <t>Uncharacterized protein OS=Citrus clementina GN=CICLE_v10020172mg PE=4 SV=1</t>
  </si>
  <si>
    <t>Uncharacterized protein OS=Prunus persica GN=PRUPE_ppa007057mg PE=4 SV=1</t>
  </si>
  <si>
    <t>Uncharacterized protein OS=Prunus persica GN=PRUPE_ppa003586mg PE=4 SV=1</t>
  </si>
  <si>
    <t>Uncharacterized protein (Fragment) OS=Prunus persica GN=PRUPE_ppa018534mg PE=4 SV=1</t>
  </si>
  <si>
    <t>Uncharacterized protein OS=Prunus persica GN=PRUPE_ppa017880mg PE=3 SV=1</t>
  </si>
  <si>
    <t>Uncharacterized protein OS=Prunus persica GN=PRUPE_ppa006780mg PE=4 SV=1</t>
  </si>
  <si>
    <t>Uncharacterized protein (Fragment) OS=Prunus persica GN=PRUPE_ppa023263mg PE=4 SV=1</t>
  </si>
  <si>
    <t>Uncharacterized protein OS=Prunus persica GN=PRUPE_ppa010616mg PE=4 SV=1</t>
  </si>
  <si>
    <t>Uncharacterized protein OS=Prunus persica GN=PRUPE_ppa012959mg PE=4 SV=1</t>
  </si>
  <si>
    <t>Uncharacterized protein OS=Prunus persica GN=PRUPE_ppa008787mg PE=4 SV=1</t>
  </si>
  <si>
    <t>Uncharacterized protein OS=Prunus persica GN=PRUPE_ppa007989mg PE=4 SV=1</t>
  </si>
  <si>
    <t>Uncharacterized protein OS=Prunus persica GN=PRUPE_ppa003221mg PE=4 SV=1</t>
  </si>
  <si>
    <t>Uncharacterized protein OS=Prunus persica GN=PRUPE_ppa010572mg PE=4 SV=1</t>
  </si>
  <si>
    <t>Uncharacterized protein (Fragment) OS=Prunus persica GN=PRUPE_ppa021073mg PE=4 SV=1</t>
  </si>
  <si>
    <t>Uncharacterized protein OS=Prunus persica GN=PRUPE_ppa001261mg PE=4 SV=1</t>
  </si>
  <si>
    <t>Uncharacterized protein OS=Prunus persica GN=PRUPE_ppa000910mg PE=3 SV=1</t>
  </si>
  <si>
    <t>Uncharacterized protein OS=Prunus persica GN=PRUPE_ppa003370mg PE=4 SV=1</t>
  </si>
  <si>
    <t>Uncharacterized protein OS=Prunus persica GN=PRUPE_ppa002930mg PE=4 SV=1</t>
  </si>
  <si>
    <t>Uncharacterized protein OS=Prunus persica GN=PRUPE_ppa015113mg PE=3 SV=1</t>
  </si>
  <si>
    <t>Uncharacterized protein OS=Prunus persica GN=PRUPE_ppa013798mg PE=4 SV=1</t>
  </si>
  <si>
    <t>Uncharacterized protein OS=Prunus persica GN=PRUPE_ppa004884mg PE=3 SV=1</t>
  </si>
  <si>
    <t>Uncharacterized protein OS=Prunus persica GN=PRUPE_ppa009359mg PE=3 SV=1</t>
  </si>
  <si>
    <t>Uncharacterized protein OS=Morus notabilis GN=L484_008498 PE=4 SV=1</t>
  </si>
  <si>
    <t>Uncharacterized protein (Fragment) OS=Prunus persica GN=PRUPE_ppa018603mg PE=4 SV=1</t>
  </si>
  <si>
    <t>Uncharacterized protein OS=Prunus persica GN=PRUPE_ppa008484mg PE=4 SV=1</t>
  </si>
  <si>
    <t>Uncharacterized protein OS=Prunus persica GN=PRUPE_ppa002307mg PE=4 SV=1</t>
  </si>
  <si>
    <t>Uncharacterized protein OS=Prunus persica GN=PRUPE_ppa016928mg PE=4 SV=1</t>
  </si>
  <si>
    <t>Predicted protein OS=Nectria haematococca (strain 77-13-4 / ATCC MYA-4622 / FGSC 9596 / MPVI) GN=NECHADRAFT_63227 PE=4 SV=1</t>
  </si>
  <si>
    <t>Uncharacterized protein OS=Prunus persica GN=PRUPE_ppa001083mg PE=4 SV=1</t>
  </si>
  <si>
    <t>Uncharacterized protein OS=Prunus persica GN=PRUPE_ppa006563mg PE=4 SV=1</t>
  </si>
  <si>
    <t>Uncharacterized protein OS=Prunus persica GN=PRUPE_ppa027002mg PE=4 SV=1</t>
  </si>
  <si>
    <t>Uncharacterized protein OS=Brassica rapa subsp. pekinensis GN=Bra036804 PE=4 SV=1</t>
  </si>
  <si>
    <t>Uncharacterized protein OS=Prunus persica GN=PRUPE_ppa012076mg PE=4 SV=1</t>
  </si>
  <si>
    <t>Uncharacterized protein (Fragment) OS=Prunus persica GN=PRUPE_ppa026082mg PE=4 SV=1</t>
  </si>
  <si>
    <t>Uncharacterized protein OS=Prunus persica GN=PRUPE_ppa009759mg PE=4 SV=1</t>
  </si>
  <si>
    <t>Uncharacterized protein OS=Prunus persica GN=PRUPE_ppa001252mg PE=4 SV=1</t>
  </si>
  <si>
    <t>Uncharacterized protein OS=Prunus persica GN=PRUPE_ppa012975mg PE=4 SV=1</t>
  </si>
  <si>
    <t>Uncharacterized protein OS=Prunus persica GN=PRUPE_ppa018791mg PE=4 SV=1</t>
  </si>
  <si>
    <t>Uncharacterized protein OS=Prunus persica GN=PRUPE_ppa005119mg PE=4 SV=1</t>
  </si>
  <si>
    <t>Uncharacterized protein OS=Prunus persica GN=PRUPE_ppa008554mg PE=4 SV=1</t>
  </si>
  <si>
    <t>Uncharacterized protein OS=Prunus persica GN=PRUPE_ppa006618mg PE=4 SV=1</t>
  </si>
  <si>
    <t>Uncharacterized protein OS=Prunus persica GN=PRUPE_ppa006641mg PE=4 SV=1</t>
  </si>
  <si>
    <t>Uncharacterized protein OS=Prunus persica GN=PRUPE_ppa011089mg PE=4 SV=1</t>
  </si>
  <si>
    <t>Uncharacterized protein OS=Prunus persica GN=PRUPE_ppa007026mg PE=3 SV=1</t>
  </si>
  <si>
    <t>Uncharacterized protein OS=Prunus persica GN=PRUPE_ppa002161mg PE=3 SV=1</t>
  </si>
  <si>
    <t>Uncharacterized protein OS=Prunus persica GN=PRUPE_ppa000908mg PE=4 SV=1</t>
  </si>
  <si>
    <t>Uncharacterized protein OS=Prunus persica GN=PRUPE_ppa007300mg PE=3 SV=1</t>
  </si>
  <si>
    <t>Uncharacterized protein OS=Morus notabilis GN=L484_002500 PE=4 SV=1</t>
  </si>
  <si>
    <t>Uncharacterized protein OS=Prunus persica GN=PRUPE_ppb012748mg PE=4 SV=1</t>
  </si>
  <si>
    <t>Uncharacterized protein OS=Prunus persica GN=PRUPE_ppa001087mg PE=4 SV=1</t>
  </si>
  <si>
    <t>Uncharacterized protein OS=Prunus persica GN=PRUPE_ppa005111mg PE=4 SV=1</t>
  </si>
  <si>
    <t>Uncharacterized protein OS=Prunus persica GN=PRUPE_ppa001832mg PE=4 SV=1</t>
  </si>
  <si>
    <t>Uncharacterized protein OS=Prunus persica GN=PRUPE_ppa001231mg PE=4 SV=1</t>
  </si>
  <si>
    <t>Uncharacterized protein (Fragment) OS=Prunus persica GN=PRUPE_ppa020577mg PE=4 SV=1</t>
  </si>
  <si>
    <t>Uncharacterized protein OS=Prunus persica GN=PRUPE_ppa007046mg PE=4 SV=1</t>
  </si>
  <si>
    <t>Uncharacterized protein OS=Prunus persica GN=PRUPE_ppa023474mg PE=4 SV=1</t>
  </si>
  <si>
    <t>Elongation factor Ts, mitochondrial OS=Prunus persica GN=EFTS PE=3 SV=1</t>
  </si>
  <si>
    <t>Uncharacterized protein OS=Prunus persica GN=PRUPE_ppa003447mg PE=4 SV=1</t>
  </si>
  <si>
    <t>Uncharacterized protein OS=Prunus persica GN=PRUPE_ppa019896mg PE=4 SV=1</t>
  </si>
  <si>
    <t>Expressed protein (Fragment) OS=Prunus persica PE=4 SV=1</t>
  </si>
  <si>
    <t>Uncharacterized protein OS=Prunus persica GN=PRUPE_ppa026688mg PE=4 SV=1</t>
  </si>
  <si>
    <t>Uncharacterized protein OS=Prunus persica GN=PRUPE_ppa004928mg PE=4 SV=1</t>
  </si>
  <si>
    <t>Putative uncharacterized protein OS=Vitis vinifera GN=VIT_17s0000g03950 PE=4 SV=1</t>
  </si>
  <si>
    <t>Uncharacterized protein OS=Prunus persica GN=PRUPE_ppa014753mg PE=4 SV=1</t>
  </si>
  <si>
    <t>Uncharacterized protein OS=Prunus persica GN=PRUPE_ppa010090mg PE=4 SV=1</t>
  </si>
  <si>
    <t>Uncharacterized protein OS=Prunus persica GN=PRUPE_ppa005288mg PE=4 SV=1</t>
  </si>
  <si>
    <t>Uncharacterized protein OS=Prunus persica GN=PRUPE_ppa003567mg PE=3 SV=1</t>
  </si>
  <si>
    <t>Uncharacterized protein OS=Prunus persica GN=PRUPE_ppa009834mg PE=4 SV=1</t>
  </si>
  <si>
    <t>Uncharacterized protein OS=Prunus persica GN=PRUPE_ppa002913mg PE=4 SV=1</t>
  </si>
  <si>
    <t>Uncharacterized protein (Fragment) OS=Prunus persica GN=PRUPE_ppa015871mg PE=4 SV=1</t>
  </si>
  <si>
    <t>Uncharacterized protein OS=Prunus persica GN=PRUPE_ppa011807mg PE=4 SV=1</t>
  </si>
  <si>
    <t>Uncharacterized protein OS=Prunus persica GN=PRUPE_ppa007703mg PE=3 SV=1</t>
  </si>
  <si>
    <t>Uncharacterized protein OS=Prunus persica GN=PRUPE_ppa004990mg PE=4 SV=1</t>
  </si>
  <si>
    <t>Uncharacterized protein OS=Prunus persica GN=PRUPE_ppa024653mg PE=3 SV=1</t>
  </si>
  <si>
    <t>Uncharacterized protein OS=Prunus persica GN=PRUPE_ppa010647mg PE=4 SV=1</t>
  </si>
  <si>
    <t>Uncharacterized protein (Fragment) OS=Prunus persica GN=PRUPE_ppa017614mg PE=4 SV=1</t>
  </si>
  <si>
    <t>Uncharacterized protein OS=Prunus persica GN=PRUPE_ppa001066mg PE=4 SV=1</t>
  </si>
  <si>
    <t>Uncharacterized protein (Fragment) OS=Prunus persica GN=PRUPE_ppa021712mg PE=4 SV=1</t>
  </si>
  <si>
    <t>Uncharacterized protein OS=Prunus persica GN=PRUPE_ppa002309mg PE=3 SV=1</t>
  </si>
  <si>
    <t>Uncharacterized protein OS=Prunus persica GN=PRUPE_ppa019523mg PE=4 SV=1</t>
  </si>
  <si>
    <t>Uncharacterized protein OS=Prunus persica GN=PRUPE_ppa001680mg PE=4 SV=1</t>
  </si>
  <si>
    <t>Uncharacterized protein OS=Prunus persica GN=PRUPE_ppa024813mg PE=4 SV=1</t>
  </si>
  <si>
    <t>Glycosyltransferase OS=Prunus persica GN=PRUPE_ppa025605mg PE=3 SV=1</t>
  </si>
  <si>
    <t>Hexosyltransferase OS=Prunus persica GN=PRUPE_ppa004043mg PE=3 SV=1</t>
  </si>
  <si>
    <t>Uncharacterized protein OS=Prunus persica GN=PRUPE_ppb012111mg PE=4 SV=1</t>
  </si>
  <si>
    <t>Uncharacterized protein OS=Prunus persica GN=PRUPE_ppa023291mg PE=3 SV=1</t>
  </si>
  <si>
    <t>Uncharacterized protein OS=Prunus persica GN=PRUPE_ppa004003mg PE=3 SV=1</t>
  </si>
  <si>
    <t>Putative uncharacterized protein OS=Vitis vinifera GN=VITISV_023111 PE=4 SV=1</t>
  </si>
  <si>
    <t>Uncharacterized protein OS=Prunus persica GN=PRUPE_ppa024003mg PE=4 SV=1</t>
  </si>
  <si>
    <t>Uncharacterized protein OS=Prunus persica GN=PRUPE_ppa013824mg PE=4 SV=1</t>
  </si>
  <si>
    <t>Uncharacterized protein OS=Prunus persica GN=PRUPE_ppa008598mg PE=3 SV=1</t>
  </si>
  <si>
    <t>Uncharacterized protein OS=Prunus persica GN=PRUPE_ppa006078mg PE=4 SV=1</t>
  </si>
  <si>
    <t>Uncharacterized protein OS=Prunus persica GN=PRUPE_ppa001991mg PE=3 SV=1</t>
  </si>
  <si>
    <t>Uncharacterized protein OS=Prunus persica GN=PRUPE_ppa000131mg PE=4 SV=1</t>
  </si>
  <si>
    <t>Uncharacterized protein OS=Prunus persica GN=PRUPE_ppa013536mg PE=4 SV=1</t>
  </si>
  <si>
    <t>Uncharacterized protein OS=Prunus persica GN=PRUPE_ppa009619mg PE=4 SV=1</t>
  </si>
  <si>
    <t>Uncharacterized protein OS=Prunus persica GN=PRUPE_ppa006971mg PE=4 SV=1</t>
  </si>
  <si>
    <t>Uncharacterized protein OS=Prunus persica GN=PRUPE_ppa026204mg PE=4 SV=1</t>
  </si>
  <si>
    <t>Uncharacterized protein OS=Theobroma cacao GN=TCM_036954 PE=4 SV=1</t>
  </si>
  <si>
    <t>Uncharacterized protein OS=Prunus persica GN=PRUPE_ppa011709mg PE=3 SV=1</t>
  </si>
  <si>
    <t>F3H9.11 protein isoform 5 OS=Theobroma cacao GN=TCM_029858 PE=4 SV=1</t>
  </si>
  <si>
    <t>Uncharacterized protein OS=Prunus persica GN=PRUPE_ppa010315mg PE=4 SV=1</t>
  </si>
  <si>
    <t>Uncharacterized protein OS=Prunus persica GN=PRUPE_ppa004679mg PE=4 SV=1</t>
  </si>
  <si>
    <t>Uncharacterized protein OS=Prunus persica GN=PRUPE_ppa001725mg PE=4 SV=1</t>
  </si>
  <si>
    <t>Putative uncharacterized protein OS=Vitis vinifera GN=VIT_04s0044g00750 PE=3 SV=1</t>
  </si>
  <si>
    <t>Uncharacterized protein OS=Prunus persica GN=PRUPE_ppa016070mg PE=4 SV=1</t>
  </si>
  <si>
    <t>Uncharacterized protein OS=Prunus persica GN=PRUPE_ppa003030mg PE=4 SV=1</t>
  </si>
  <si>
    <t>Uncharacterized protein OS=Prunus persica GN=PRUPE_ppa023471mg PE=4 SV=1</t>
  </si>
  <si>
    <t>Uncharacterized protein OS=Prunus persica GN=PRUPE_ppa009672mg PE=4 SV=1</t>
  </si>
  <si>
    <t>Uncharacterized protein OS=Prunus persica GN=PRUPE_ppa002158mg PE=4 SV=1</t>
  </si>
  <si>
    <t>Uncharacterized protein OS=Prunus persica GN=PRUPE_ppa011060mg PE=4 SV=1</t>
  </si>
  <si>
    <t>Uncharacterized protein OS=Prunus persica GN=PRUPE_ppa004120mg PE=4 SV=1</t>
  </si>
  <si>
    <t>Uncharacterized protein OS=Prunus persica GN=PRUPE_ppa008693mg PE=4 SV=1</t>
  </si>
  <si>
    <t>Uncharacterized protein OS=Prunus persica GN=PRUPE_ppa025401mg PE=4 SV=1</t>
  </si>
  <si>
    <t>Uncharacterized protein OS=Prunus persica GN=PRUPE_ppa002476mg PE=3 SV=1</t>
  </si>
  <si>
    <t>Uncharacterized protein OS=Prunus persica GN=PRUPE_ppa005611mg PE=4 SV=1</t>
  </si>
  <si>
    <t>Uncharacterized protein OS=Prunus persica GN=PRUPE_ppa006798mg PE=4 SV=1</t>
  </si>
  <si>
    <t>Uncharacterized protein OS=Prunus persica GN=PRUPE_ppa005982mg PE=4 SV=1</t>
  </si>
  <si>
    <t>Putative receptor-like protein kinase OS=Morus notabilis GN=L484_018063 PE=3 SV=1</t>
  </si>
  <si>
    <t>Uncharacterized protein OS=Brassica rapa subsp. pekinensis GN=Bra036837 PE=4 SV=1</t>
  </si>
  <si>
    <t>Uncharacterized protein OS=Prunus persica GN=PRUPE_ppa1027144mg PE=4 SV=1</t>
  </si>
  <si>
    <t>Uncharacterized protein (Fragment) OS=Prunus persica GN=PRUPE_ppa026643mg PE=4 SV=1</t>
  </si>
  <si>
    <t>Uncharacterized protein OS=Prunus persica GN=PRUPE_ppa006258mg PE=3 SV=1</t>
  </si>
  <si>
    <t>Uncharacterized protein OS=Jatropha curcas GN=JCGZ_16480 PE=4 SV=1</t>
  </si>
  <si>
    <t>Uncharacterized protein OS=Prunus persica GN=PRUPE_ppa002069mg PE=4 SV=1</t>
  </si>
  <si>
    <t>Uncharacterized protein OS=Prunus persica GN=PRUPE_ppa005585mg PE=4 SV=1</t>
  </si>
  <si>
    <t>Uncharacterized protein OS=Prunus persica GN=PRUPE_ppa011421mg PE=3 SV=1</t>
  </si>
  <si>
    <t>Uncharacterized protein OS=Prunus persica GN=PRUPE_ppa004626mg PE=4 SV=1</t>
  </si>
  <si>
    <t>Uncharacterized protein OS=Prunus persica GN=PRUPE_ppa002435mg PE=4 SV=1</t>
  </si>
  <si>
    <t>Uncharacterized protein OS=Jatropha curcas GN=JCGZ_03163 PE=3 SV=1</t>
  </si>
  <si>
    <t>Uncharacterized protein OS=Prunus persica GN=PRUPE_ppa002408mg PE=4 SV=1</t>
  </si>
  <si>
    <t>Uncharacterized protein OS=Prunus persica GN=PRUPE_ppa001036mg PE=4 SV=1</t>
  </si>
  <si>
    <t>Uncharacterized protein (Fragment) OS=Prunus persica GN=PRUPE_ppa020920mg PE=3 SV=1</t>
  </si>
  <si>
    <t>Uncharacterized protein OS=Prunus persica GN=PRUPE_ppa024839mg PE=4 SV=1</t>
  </si>
  <si>
    <t>Structural maintenance of chromosomes protein OS=Prunus persica GN=PRUPE_ppa000362mg PE=3 SV=1</t>
  </si>
  <si>
    <t>Uncharacterized protein OS=Prunus persica GN=PRUPE_ppa004833mg PE=4 SV=1</t>
  </si>
  <si>
    <t>Uncharacterized protein OS=Prunus persica GN=PRUPE_ppa020173mg PE=4 SV=1</t>
  </si>
  <si>
    <t>40S ribosomal protein S4 OS=Prunus persica GN=PRUPE_ppa009337mg PE=3 SV=1</t>
  </si>
  <si>
    <t>Uncharacterized protein OS=Prunus persica GN=PRUPE_ppa000399mg PE=4 SV=1</t>
  </si>
  <si>
    <t>Plasma membrane H+ ATPase OS=Prunus persica GN=PPA2 PE=2 SV=1</t>
  </si>
  <si>
    <t>Transferase family protein OS=Populus trichocarpa GN=POPTR_0010s06390g PE=4 SV=2</t>
  </si>
  <si>
    <t>Cytosolic Fe-S cluster assembly factor NBP35 OS=Prunus persica GN=NBP35 PE=3 SV=1</t>
  </si>
  <si>
    <t>Uncharacterized protein OS=Prunus persica GN=PRUPE_ppa003574mg PE=4 SV=1</t>
  </si>
  <si>
    <t>Uncharacterized protein OS=Prunus persica GN=PRUPE_ppa020589mg PE=3 SV=1</t>
  </si>
  <si>
    <t>Uncharacterized protein OS=Prunus persica GN=PRUPE_ppa021143mg PE=4 SV=1</t>
  </si>
  <si>
    <t>Uncharacterized protein (Fragment) OS=Prunus persica GN=PRUPE_ppa021742mg PE=4 SV=1</t>
  </si>
  <si>
    <t>Uncharacterized protein OS=Prunus persica GN=PRUPE_ppa007383mg PE=4 SV=1</t>
  </si>
  <si>
    <t>Uncharacterized protein OS=Prunus persica GN=PRUPE_ppa004168mg PE=4 SV=1</t>
  </si>
  <si>
    <t>Uncharacterized protein (Fragment) OS=Prunus persica GN=PRUPE_ppa014787mg PE=4 SV=1</t>
  </si>
  <si>
    <t>Uncharacterized protein OS=Prunus persica GN=PRUPE_ppa008992mg PE=4 SV=1</t>
  </si>
  <si>
    <t>Kinesin-like protein OS=Prunus persica GN=PRUPE_ppa000583mg PE=3 SV=1</t>
  </si>
  <si>
    <t>Uncharacterized protein OS=Prunus persica GN=PRUPE_ppa007070mg PE=4 SV=1</t>
  </si>
  <si>
    <t>Uncharacterized protein OS=Prunus persica GN=PRUPE_ppa000568mg PE=4 SV=1</t>
  </si>
  <si>
    <t>Uncharacterized protein OS=Prunus persica GN=PRUPE_ppa017746mg PE=4 SV=1</t>
  </si>
  <si>
    <t>Uncharacterized protein OS=Prunus persica GN=PRUPE_ppa019013mg PE=4 SV=1</t>
  </si>
  <si>
    <t>Uncharacterized protein (Fragment) OS=Prunus persica GN=PRUPE_ppa018598mg PE=4 SV=1</t>
  </si>
  <si>
    <t>Uncharacterized protein OS=Prunus persica GN=PRUPE_ppa012322mg PE=4 SV=1</t>
  </si>
  <si>
    <t>Uncharacterized protein OS=Prunus persica GN=PRUPE_ppa019559mg PE=4 SV=1</t>
  </si>
  <si>
    <t>Uncharacterized protein OS=Prunus persica GN=PRUPE_ppa002450mg PE=4 SV=1</t>
  </si>
  <si>
    <t>Uncharacterized protein OS=Prunus persica GN=PRUPE_ppa000154mg PE=4 SV=1</t>
  </si>
  <si>
    <t>Uncharacterized protein (Fragment) OS=Prunus persica GN=PRUPE_ppa015406mg PE=4 SV=1</t>
  </si>
  <si>
    <t>Uncharacterized protein OS=Prunus persica GN=PRUPE_ppa006955mg PE=4 SV=1</t>
  </si>
  <si>
    <t>Uncharacterized protein OS=Prunus persica GN=PRUPE_ppa016048mg PE=4 SV=1</t>
  </si>
  <si>
    <t>Uncharacterized protein OS=Prunus persica GN=PRUPE_ppa000266mg PE=4 SV=1</t>
  </si>
  <si>
    <t>Uncharacterized protein OS=Prunus persica GN=PRUPE_ppa001884mg PE=4 SV=1</t>
  </si>
  <si>
    <t>Uncharacterized protein OS=Prunus persica GN=PRUPE_ppa002600mg PE=4 SV=1</t>
  </si>
  <si>
    <t>Uncharacterized protein OS=Prunus persica GN=PRUPE_ppa020509mg PE=4 SV=1</t>
  </si>
  <si>
    <t>Uncharacterized protein OS=Prunus persica GN=PRUPE_ppa011518mg PE=4 SV=1</t>
  </si>
  <si>
    <t>Uncharacterized protein OS=Prunus persica GN=PRUPE_ppa000609mg PE=4 SV=1</t>
  </si>
  <si>
    <t>Uncharacterized protein OS=Prunus persica GN=PRUPE_ppa019183mg PE=4 SV=1</t>
  </si>
  <si>
    <t>Uncharacterized protein OS=Prunus persica GN=PRUPE_ppa007052mg PE=4 SV=1</t>
  </si>
  <si>
    <t>Uncharacterized protein OS=Prunus persica GN=PRUPE_ppa005941mg PE=3 SV=1</t>
  </si>
  <si>
    <t>Uncharacterized protein OS=Prunus persica GN=PRUPE_ppa004893mg PE=3 SV=1</t>
  </si>
  <si>
    <t>Uncharacterized protein OS=Prunus persica GN=PRUPE_ppa001364mg PE=4 SV=1</t>
  </si>
  <si>
    <t>Uncharacterized protein OS=Prunus persica GN=PRUPE_ppa012851mg PE=4 SV=1</t>
  </si>
  <si>
    <t>Uncharacterized protein OS=Prunus persica GN=PRUPE_ppa004391mg PE=4 SV=1</t>
  </si>
  <si>
    <t>Uncharacterized protein OS=Prunus persica GN=PRUPE_ppa016099mg PE=4 SV=1</t>
  </si>
  <si>
    <t>Uncharacterized protein OS=Prunus persica GN=PRUPE_ppa003459mg PE=4 SV=1</t>
  </si>
  <si>
    <t>Uncharacterized protein (Fragment) OS=Prunus persica GN=PRUPE_ppa025732mg PE=4 SV=1</t>
  </si>
  <si>
    <t>Isocitrate dehydrogenase [NADP] OS=Prunus persica GN=PRUPE_ppa005200mg PE=3 SV=1</t>
  </si>
  <si>
    <t>Uncharacterized protein (Fragment) OS=Prunus persica GN=PRUPE_ppa025544mg PE=4 SV=1</t>
  </si>
  <si>
    <t>Uncharacterized protein (Fragment) OS=Prunus persica GN=PRUPE_ppa023941mg PE=4 SV=1</t>
  </si>
  <si>
    <t>Uncharacterized protein OS=Prunus persica GN=PRUPE_ppa004153mg PE=4 SV=1</t>
  </si>
  <si>
    <t>Uncharacterized protein OS=Prunus persica GN=PRUPE_ppa000178mg PE=4 SV=1</t>
  </si>
  <si>
    <t>Uncharacterized protein OS=Prunus persica GN=PRUPE_ppa000385mg PE=4 SV=1</t>
  </si>
  <si>
    <t>Uncharacterized protein (Fragment) OS=Prunus persica GN=PRUPE_ppa026139mg PE=4 SV=1</t>
  </si>
  <si>
    <t>Uncharacterized protein OS=Prunus persica GN=PRUPE_ppa004246mg PE=4 SV=1</t>
  </si>
  <si>
    <t>Uncharacterized protein OS=Prunus persica GN=PRUPE_ppa012613mg PE=4 SV=1</t>
  </si>
  <si>
    <t>Uncharacterized protein (Fragment) OS=Citrus sinensis GN=CISIN_1g0103193mg PE=4 SV=1</t>
  </si>
  <si>
    <t>Uncharacterized protein OS=Prunus persica GN=PRUPE_ppa011202mg PE=3 SV=1</t>
  </si>
  <si>
    <t>Uncharacterized protein OS=Prunus persica GN=PRUPE_ppa012578mg PE=4 SV=1</t>
  </si>
  <si>
    <t>Uncharacterized protein OS=Prunus persica GN=PRUPE_ppa012159mg PE=4 SV=1</t>
  </si>
  <si>
    <t>Uncharacterized protein OS=Prunus persica GN=PRUPE_ppa021636mg PE=4 SV=1</t>
  </si>
  <si>
    <t>Uncharacterized protein OS=Prunus persica GN=PRUPE_ppa001880mg PE=4 SV=1</t>
  </si>
  <si>
    <t>Uncharacterized protein OS=Prunus persica GN=PRUPE_ppa000046mg PE=4 SV=1</t>
  </si>
  <si>
    <t>Uncharacterized protein OS=Prunus persica GN=PRUPE_ppa011338mg PE=4 SV=1</t>
  </si>
  <si>
    <t>Auxin response factor OS=Prunus persica GN=PRUPE_ppa002617mg PE=3 SV=1</t>
  </si>
  <si>
    <t>Uncharacterized protein (Fragment) OS=Prunus persica GN=PRUPE_ppa015954mg PE=4 SV=1</t>
  </si>
  <si>
    <t>Uncharacterized protein OS=Prunus persica GN=PRUPE_ppa026003mg PE=4 SV=1</t>
  </si>
  <si>
    <t>Uncharacterized protein (Fragment) OS=Prunus persica GN=PRUPE_ppa024908mg PE=4 SV=1</t>
  </si>
  <si>
    <t>Uncharacterized protein (Fragment) OS=Prunus persica GN=PRUPE_ppa002432m2g PE=3 SV=1</t>
  </si>
  <si>
    <t>Uncharacterized protein OS=Prunus persica GN=PRUPE_ppa007258mg PE=4 SV=1</t>
  </si>
  <si>
    <t>Uncharacterized protein OS=Prunus persica GN=PRUPE_ppa011733mg PE=3 SV=1</t>
  </si>
  <si>
    <t>Uncharacterized protein OS=Prunus persica GN=PRUPE_ppa002880mg PE=4 SV=1</t>
  </si>
  <si>
    <t>Uncharacterized protein OS=Prunus persica GN=PRUPE_ppa006712mg PE=4 SV=1</t>
  </si>
  <si>
    <t>Uncharacterized protein OS=Prunus persica GN=PRUPE_ppa006285mg PE=4 SV=1</t>
  </si>
  <si>
    <t>Uncharacterized protein OS=Prunus persica GN=PRUPE_ppa007593mg PE=4 SV=1</t>
  </si>
  <si>
    <t>Uncharacterized protein OS=Prunus persica GN=PRUPE_ppa005038mg PE=4 SV=1</t>
  </si>
  <si>
    <t>Uncharacterized protein OS=Prunus persica GN=PRUPE_ppa006161mg PE=4 SV=1</t>
  </si>
  <si>
    <t>Uncharacterized protein OS=Prunus persica GN=PRUPE_ppa024367mg PE=3 SV=1</t>
  </si>
  <si>
    <t>Uncharacterized protein OS=Prunus persica GN=PRUPE_ppa007409mg PE=4 SV=1</t>
  </si>
  <si>
    <t>Uncharacterized protein OS=Prunus persica GN=PRUPE_ppa008424mg PE=4 SV=1</t>
  </si>
  <si>
    <t>Uncharacterized protein OS=Prunus persica GN=PRUPE_ppa002179mg PE=4 SV=1</t>
  </si>
  <si>
    <t>Uncharacterized protein OS=Prunus persica GN=PRUPE_ppa000377mg PE=4 SV=1</t>
  </si>
  <si>
    <t>Uncharacterized protein OS=Prunus persica GN=PRUPE_ppa003273mg PE=4 SV=1</t>
  </si>
  <si>
    <t>Formin-like protein OS=Prunus persica GN=PRUPE_ppa025208mg PE=3 SV=1</t>
  </si>
  <si>
    <t>Uncharacterized protein OS=Prunus persica GN=PRUPE_ppa009831mg PE=4 SV=1</t>
  </si>
  <si>
    <t>Uncharacterized protein OS=Prunus persica GN=PRUPE_ppa006173mg PE=4 SV=1</t>
  </si>
  <si>
    <t>Uncharacterized protein OS=Prunus persica GN=PRUPE_ppa015814mg PE=4 SV=1</t>
  </si>
  <si>
    <t>Uncharacterized protein OS=Prunus persica GN=PRUPE_ppa012441mg PE=4 SV=1</t>
  </si>
  <si>
    <t>Uncharacterized protein OS=Prunus persica GN=PRUPE_ppa005506mg PE=4 SV=1</t>
  </si>
  <si>
    <t>Uncharacterized protein OS=Prunus persica GN=PRUPE_ppa003827mg PE=4 SV=1</t>
  </si>
  <si>
    <t>Uncharacterized protein OS=Prunus persica GN=PRUPE_ppa010677mg PE=4 SV=1</t>
  </si>
  <si>
    <t>Ubiquitin carboxyl-terminal hydrolase OS=Prunus persica GN=PRUPE_ppa000584mg PE=3 SV=1</t>
  </si>
  <si>
    <t>Uncharacterized protein OS=Prunus persica GN=PRUPE_ppa012245mg PE=4 SV=1</t>
  </si>
  <si>
    <t>Uncharacterized protein OS=Prunus persica GN=PRUPE_ppa006508mg PE=4 SV=1</t>
  </si>
  <si>
    <t>Transcription factor MADS5 OS=Prunus persica GN=MADS5 PE=2 SV=1</t>
  </si>
  <si>
    <t>Uncharacterized protein OS=Prunus persica GN=PRUPE_ppa006377mg PE=4 SV=1</t>
  </si>
  <si>
    <t>Uncharacterized protein (Fragment) OS=Prunus persica GN=PRUPE_ppb014227mg PE=4 SV=1</t>
  </si>
  <si>
    <t>Uncharacterized protein (Fragment) OS=Prunus persica GN=PRUPE_ppa025097mg PE=4 SV=1</t>
  </si>
  <si>
    <t>Uncharacterized protein OS=Prunus persica GN=PRUPE_ppa009710mg PE=4 SV=1</t>
  </si>
  <si>
    <t>Uncharacterized protein OS=Prunus persica GN=PRUPE_ppa024068mg PE=4 SV=1</t>
  </si>
  <si>
    <t>Uncharacterized protein OS=Prunus persica GN=PRUPE_ppa013193mg PE=3 SV=1</t>
  </si>
  <si>
    <t>Uncharacterized protein OS=Prunus persica GN=PRUPE_ppa002305mg PE=4 SV=1</t>
  </si>
  <si>
    <t>Uncharacterized protein OS=Prunus persica GN=PRUPE_ppa002363mg PE=4 SV=1</t>
  </si>
  <si>
    <t>Glycosyltransferase OS=Prunus persica GN=PRUPE_ppa004972mg PE=3 SV=1</t>
  </si>
  <si>
    <t>DNA-directed RNA polymerase subunit beta'' OS=Prunus persica GN=rpoC2 PE=3 SV=1</t>
  </si>
  <si>
    <t>Uncharacterized protein OS=Prunus persica GN=PRUPE_ppa012023mg PE=4 SV=1</t>
  </si>
  <si>
    <t>Uncharacterized protein OS=Prunus persica GN=PRUPE_ppa000226mg PE=4 SV=1</t>
  </si>
  <si>
    <t>Uncharacterized protein OS=Prunus persica GN=PRUPE_ppa011639mg PE=4 SV=1</t>
  </si>
  <si>
    <t>Uncharacterized protein OS=Prunus persica GN=PRUPE_ppa022829mg PE=4 SV=1</t>
  </si>
  <si>
    <t>Uncharacterized protein OS=Prunus persica GN=PRUPE_ppa018789mg PE=4 SV=1</t>
  </si>
  <si>
    <t>Uncharacterized protein OS=Prunus persica GN=PRUPE_ppa013713mg PE=4 SV=1</t>
  </si>
  <si>
    <t>Uncharacterized protein OS=Prunus persica GN=PRUPE_ppa008706mg PE=4 SV=1</t>
  </si>
  <si>
    <t>Uncharacterized protein OS=Prunus persica GN=PRUPE_ppb010285mg PE=4 SV=1</t>
  </si>
  <si>
    <t>Kinesin-like protein OS=Prunus persica GN=PRUPE_ppa017673mg PE=3 SV=1</t>
  </si>
  <si>
    <t>Uncharacterized protein OS=Prunus persica GN=PRUPE_ppa010450mg PE=4 SV=1</t>
  </si>
  <si>
    <t>Aspartokinase OS=Prunus persica GN=PRUPE_ppa003770mg PE=3 SV=1</t>
  </si>
  <si>
    <t>Uncharacterized protein OS=Prunus persica GN=PRUPE_ppa026822mg PE=4 SV=1</t>
  </si>
  <si>
    <t>Uncharacterized protein OS=Prunus persica GN=PRUPE_ppa014684mg PE=4 SV=1</t>
  </si>
  <si>
    <t>Uncharacterized protein OS=Prunus persica GN=PRUPE_ppa000124mg PE=4 SV=1</t>
  </si>
  <si>
    <t>Uncharacterized protein OS=Prunus persica GN=PRUPE_ppa002404mg PE=4 SV=1</t>
  </si>
  <si>
    <t>Uncharacterized protein OS=Prunus persica GN=PRUPE_ppa008712mg PE=4 SV=1</t>
  </si>
  <si>
    <t>Pathogensis-related protein 1a (Fragment) OS=Prunus persica GN=PR1a PE=2 SV=1</t>
  </si>
  <si>
    <t>Uncharacterized protein OS=Prunus persica GN=PRUPE_ppa003363mg PE=4 SV=1</t>
  </si>
  <si>
    <t>Serine/threonine-protein kinase OS=Prunus persica GN=PRUPE_ppa001414mg PE=3 SV=1</t>
  </si>
  <si>
    <t>Uncharacterized protein (Fragment) OS=Amborella trichopoda GN=AMTR_s04311p00004950 PE=4 SV=1</t>
  </si>
  <si>
    <t>Uncharacterized protein OS=Prunus persica GN=PRUPE_ppa020689mg PE=4 SV=1</t>
  </si>
  <si>
    <t>Uncharacterized protein OS=Prunus persica GN=PRUPE_ppa002162mg PE=4 SV=1</t>
  </si>
  <si>
    <t>Uncharacterized protein OS=Prunus persica GN=PRUPE_ppa007486mg PE=4 SV=1</t>
  </si>
  <si>
    <t>Uncharacterized protein OS=Prunus persica GN=PRUPE_ppa003206mg PE=4 SV=1</t>
  </si>
  <si>
    <t>Potassium transporter OS=Prunus persica GN=KUP10 PE=2 SV=1</t>
  </si>
  <si>
    <t>Uncharacterized protein OS=Prunus persica GN=PRUPE_ppa009805mg PE=4 SV=1</t>
  </si>
  <si>
    <t>Uncharacterized protein OS=Prunus persica GN=PRUPE_ppa007917mg PE=4 SV=1</t>
  </si>
  <si>
    <t>Uncharacterized protein OS=Prunus persica GN=PRUPE_ppa011047mg PE=4 SV=1</t>
  </si>
  <si>
    <t>Uncharacterized protein OS=Prunus persica GN=PRUPE_ppa013874mg PE=4 SV=1</t>
  </si>
  <si>
    <t>Uncharacterized protein OS=Prunus persica GN=PRUPE_ppa005772mg PE=4 SV=1</t>
  </si>
  <si>
    <t>Uncharacterized protein OS=Prunus persica GN=PRUPE_ppa023831mg PE=4 SV=1</t>
  </si>
  <si>
    <t>Uncharacterized protein OS=Prunus persica GN=PRUPE_ppa018256mg PE=4 SV=1</t>
  </si>
  <si>
    <t>tRNA (guanine(37)-N1)-methyltransferase OS=Prunus persica GN=PRUPE_ppa002915mg PE=3 SV=1</t>
  </si>
  <si>
    <t>Uncharacterized protein OS=Prunus persica GN=PRUPE_ppa001499mg PE=4 SV=1</t>
  </si>
  <si>
    <t>Uncharacterized protein OS=Prunus persica GN=PRUPE_ppa013182mg PE=4 SV=1</t>
  </si>
  <si>
    <t>Uncharacterized protein OS=Prunus persica GN=PRUPE_ppa006213mg PE=4 SV=1</t>
  </si>
  <si>
    <t>Uncharacterized protein OS=Prunus persica GN=PRUPE_ppa016814mg PE=4 SV=1</t>
  </si>
  <si>
    <t>Uncharacterized protein OS=Prunus persica GN=PRUPE_ppa001795mg PE=4 SV=1</t>
  </si>
  <si>
    <t>Uncharacterized protein OS=Prunus persica GN=PRUPE_ppa020757mg PE=4 SV=1</t>
  </si>
  <si>
    <t>Uncharacterized protein OS=Prunus persica GN=PRUPE_ppa006863mg PE=4 SV=1</t>
  </si>
  <si>
    <t>Uncharacterized protein OS=Prunus persica GN=PRUPE_ppa011283mg PE=4 SV=1</t>
  </si>
  <si>
    <t>Uncharacterized protein OS=Prunus persica GN=PRUPE_ppa015096mg PE=4 SV=1</t>
  </si>
  <si>
    <t>Uncharacterized protein OS=Prunus persica GN=PRUPE_ppa000493mg PE=4 SV=1</t>
  </si>
  <si>
    <t>Uncharacterized protein OS=Prunus persica GN=PRUPE_ppa002590mg PE=4 SV=1</t>
  </si>
  <si>
    <t>Uncharacterized protein OS=Prunus persica GN=PRUPE_ppa003824mg PE=4 SV=1</t>
  </si>
  <si>
    <t>Uncharacterized protein OS=Prunus persica GN=PRUPE_ppa016111mg PE=4 SV=1</t>
  </si>
  <si>
    <t>Uncharacterized protein OS=Prunus persica GN=PRUPE_ppa003713mg PE=3 SV=1</t>
  </si>
  <si>
    <t>Uncharacterized protein OS=Prunus persica GN=PRUPE_ppa010068mg PE=4 SV=1</t>
  </si>
  <si>
    <t>Uncharacterized protein OS=Gossypium raimondii GN=B456_004G097000 PE=4 SV=1</t>
  </si>
  <si>
    <t>Uncharacterized protein OS=Prunus persica GN=PRUPE_ppa020937mg PE=4 SV=1</t>
  </si>
  <si>
    <t>Uncharacterized protein OS=Prunus persica GN=PRUPE_ppa001211mg PE=4 SV=1</t>
  </si>
  <si>
    <t>Kinase family protein OS=Arabidopsis lyrata subsp. lyrata GN=ARALYDRAFT_477797 PE=3 SV=1</t>
  </si>
  <si>
    <t>Trehalose 6-phosphate phosphatase OS=Prunus persica GN=PRUPE_ppa007221mg PE=3 SV=1</t>
  </si>
  <si>
    <t>Uncharacterized protein OS=Jatropha curcas GN=JCGZ_05010 PE=3 SV=1</t>
  </si>
  <si>
    <t>Uncharacterized protein OS=Prunus persica GN=PRUPE_ppa002993mg PE=4 SV=1</t>
  </si>
  <si>
    <t>Uncharacterized protein OS=Prunus persica GN=PRUPE_ppa002391mg PE=4 SV=1</t>
  </si>
  <si>
    <t>Putative uncharacterized protein OS=Vitis vinifera GN=VITISV_032980 PE=4 SV=1</t>
  </si>
  <si>
    <t>Uncharacterized protein OS=Prunus persica GN=PRUPE_ppa002877mg PE=4 SV=1</t>
  </si>
  <si>
    <t>Uncharacterized protein OS=Prunus persica GN=PRUPE_ppa025681mg PE=4 SV=1</t>
  </si>
  <si>
    <t>Uncharacterized protein OS=Prunus persica GN=PRUPE_ppa012271mg PE=4 SV=1</t>
  </si>
  <si>
    <t>Uncharacterized protein OS=Prunus persica GN=PRUPE_ppa021802mg PE=4 SV=1</t>
  </si>
  <si>
    <t>Uncharacterized protein OS=Prunus persica GN=PRUPE_ppa007842mg PE=4 SV=1</t>
  </si>
  <si>
    <t>Photosystem II CP43 reaction center protein (Fragment) OS=Viburnum amplificatum GN=psbC PE=3 SV=1</t>
  </si>
  <si>
    <t>Uncharacterized protein OS=Prunus persica GN=PRUPE_ppa014061mg PE=4 SV=1</t>
  </si>
  <si>
    <t>Uncharacterized protein OS=Prunus persica GN=PRUPE_ppa002258mg PE=4 SV=1</t>
  </si>
  <si>
    <t>Uncharacterized protein OS=Prunus persica GN=PRUPE_ppa018324mg PE=4 SV=1</t>
  </si>
  <si>
    <t>Uncharacterized protein OS=Prunus persica GN=PRUPE_ppa019977mg PE=4 SV=1</t>
  </si>
  <si>
    <t>Kinesin-like protein OS=Prunus persica GN=PRUPE_ppa000796mg PE=3 SV=1</t>
  </si>
  <si>
    <t>Uncharacterized protein OS=Prunus persica GN=PRUPE_ppa013487mg PE=4 SV=1</t>
  </si>
  <si>
    <t>Uncharacterized protein OS=Prunus persica GN=PRUPE_ppa000701mg PE=3 SV=1</t>
  </si>
  <si>
    <t>Uncharacterized protein OS=Prunus persica GN=PRUPE_ppa018704mg PE=4 SV=1</t>
  </si>
  <si>
    <t>Uncharacterized protein OS=Prunus persica GN=PRUPE_ppa003825mg PE=4 SV=1</t>
  </si>
  <si>
    <t>Uncharacterized protein OS=Prunus persica GN=PRUPE_ppa019938mg PE=3 SV=1</t>
  </si>
  <si>
    <t>Putative uncharacterized protein OS=Glycine max PE=2 SV=1</t>
  </si>
  <si>
    <t>Uncharacterized protein OS=Prunus persica GN=PRUPE_ppa006766mg PE=4 SV=1</t>
  </si>
  <si>
    <t>Sucrose synthase OS=Prunus persica GN=Sus2 PE=2 SV=1</t>
  </si>
  <si>
    <t>Non-specific serine/threonine protein kinase OS=Prunus persica GN=PRUPE_ppa005365mg PE=4 SV=1</t>
  </si>
  <si>
    <t>Uncharacterized protein OS=Prunus persica GN=PRUPE_ppa021766mg PE=4 SV=1</t>
  </si>
  <si>
    <t>Uncharacterized protein (Fragment) OS=Prunus persica GN=PRUPE_ppa1027217mg PE=4 SV=1</t>
  </si>
  <si>
    <t>Uncharacterized protein OS=Prunus persica GN=PRUPE_ppa007253mg PE=4 SV=1</t>
  </si>
  <si>
    <t>Uncharacterized protein OS=Prunus persica GN=PRUPE_ppa002036mg PE=4 SV=1</t>
  </si>
  <si>
    <t>Far1-related sequence 5, putative isoform 1 OS=Theobroma cacao GN=TCM_017061 PE=4 SV=1</t>
  </si>
  <si>
    <t>Uncharacterized protein OS=Prunus persica GN=PRUPE_ppa005971mg PE=4 SV=1</t>
  </si>
  <si>
    <t>Uncharacterized protein OS=Prunus persica GN=PRUPE_ppa008904mg PE=4 SV=1</t>
  </si>
  <si>
    <t>Uncharacterized protein OS=Prunus persica GN=PRUPE_ppa025804mg PE=4 SV=1</t>
  </si>
  <si>
    <t>Uncharacterized protein OS=Prunus persica GN=PRUPE_ppa004988mg PE=3 SV=1</t>
  </si>
  <si>
    <t>Uncharacterized protein OS=Prunus persica GN=PRUPE_ppa003876mg PE=4 SV=1</t>
  </si>
  <si>
    <t>Uncharacterized protein OS=Prunus persica GN=PRUPE_ppa008974mg PE=3 SV=1</t>
  </si>
  <si>
    <t>Uncharacterized protein OS=Prunus persica GN=PRUPE_ppa006142mg PE=3 SV=1</t>
  </si>
  <si>
    <t>Uncharacterized protein OS=Prunus persica GN=PRUPE_ppa003173mg PE=4 SV=1</t>
  </si>
  <si>
    <t>Uncharacterized protein OS=Prunus persica GN=PRUPE_ppa026095mg PE=4 SV=1</t>
  </si>
  <si>
    <t>Uncharacterized protein OS=Prunus persica GN=PRUPE_ppa011394mg PE=4 SV=1</t>
  </si>
  <si>
    <t>Uncharacterized protein OS=Prunus persica GN=PRUPE_ppa025423mg PE=4 SV=1</t>
  </si>
  <si>
    <t>Uncharacterized protein OS=Prunus persica GN=PRUPE_ppa008206mg PE=4 SV=1</t>
  </si>
  <si>
    <t>Uncharacterized protein (Fragment) OS=Prunus persica GN=PRUPE_ppa016913mg PE=4 SV=1</t>
  </si>
  <si>
    <t>Uncharacterized protein OS=Prunus persica GN=PRUPE_ppa001731mg PE=4 SV=1</t>
  </si>
  <si>
    <t>Uncharacterized protein OS=Prunus persica GN=PRUPE_ppa003380mg PE=4 SV=1</t>
  </si>
  <si>
    <t>Uncharacterized protein OS=Prunus persica GN=PRUPE_ppa012610mg PE=3 SV=1</t>
  </si>
  <si>
    <t>Uncharacterized protein OS=Prunus persica GN=PRUPE_ppa003283mg PE=4 SV=1</t>
  </si>
  <si>
    <t>Uncharacterized protein OS=Prunus persica GN=PRUPE_ppa008770mg PE=4 SV=1</t>
  </si>
  <si>
    <t>Uncharacterized protein OS=Prunus persica GN=PRUPE_ppa011818mg PE=4 SV=1</t>
  </si>
  <si>
    <t>Uncharacterized protein OS=Prunus persica GN=PRUPE_ppa006661mg PE=4 SV=1</t>
  </si>
  <si>
    <t>Uncharacterized protein OS=Prunus persica GN=PRUPE_ppa013814mg PE=4 SV=1</t>
  </si>
  <si>
    <t>Uncharacterized protein OS=Prunus persica GN=PRUPE_ppa001305mg PE=4 SV=1</t>
  </si>
  <si>
    <t>MATE efflux family protein OS=Prunus persica GN=PRUPE_ppa026412mg PE=3 SV=1</t>
  </si>
  <si>
    <t>Uncharacterized protein OS=Prunus persica GN=PRUPE_ppa002613mg PE=4 SV=1</t>
  </si>
  <si>
    <t>Uncharacterized protein OS=Prunus persica GN=PRUPE_ppa011410mg PE=4 SV=1</t>
  </si>
  <si>
    <t>Uncharacterized protein OS=Prunus persica GN=PRUPE_ppa008172mg PE=4 SV=1</t>
  </si>
  <si>
    <t>Uncharacterized protein OS=Gossypium raimondii GN=B456_002G185200 PE=3 SV=1</t>
  </si>
  <si>
    <t>Dihydrolipoyl dehydrogenase OS=Morus notabilis GN=L484_007729 PE=3 SV=1</t>
  </si>
  <si>
    <t>Uncharacterized protein (Fragment) OS=Prunus persica GN=PRUPE_ppa017507mg PE=4 SV=1</t>
  </si>
  <si>
    <t>Putative uncharacterized protein OS=Vitis vinifera GN=VIT_05s0020g03630 PE=4 SV=1</t>
  </si>
  <si>
    <t>Uncharacterized protein OS=Prunus persica GN=PRUPE_ppa024693mg PE=4 SV=1</t>
  </si>
  <si>
    <t>Uncharacterized protein OS=Prunus persica GN=PRUPE_ppa009069mg PE=4 SV=1</t>
  </si>
  <si>
    <t>Uncharacterized protein OS=Prunus persica GN=PRUPE_ppa000922mg PE=4 SV=1</t>
  </si>
  <si>
    <t>Uncharacterized protein OS=Prunus persica GN=PRUPE_ppa011255mg PE=4 SV=1</t>
  </si>
  <si>
    <t>Uncharacterized protein OS=Prunus persica GN=PRUPE_ppa001977mg PE=4 SV=1</t>
  </si>
  <si>
    <t>Uncharacterized protein OS=Prunus persica GN=PRUPE_ppa021430mg PE=4 SV=1</t>
  </si>
  <si>
    <t>Uncharacterized protein OS=Prunus persica GN=PRUPE_ppa006526mg PE=4 SV=1</t>
  </si>
  <si>
    <t>Uncharacterized protein OS=Prunus persica GN=PRUPE_ppa018849mg PE=3 SV=1</t>
  </si>
  <si>
    <t>Uncharacterized protein OS=Prunus persica GN=PRUPE_ppa013626mg PE=3 SV=1</t>
  </si>
  <si>
    <t>Uncharacterized protein OS=Prunus persica GN=PRUPE_ppa009997mg PE=3 SV=1</t>
  </si>
  <si>
    <t>Uncharacterized protein OS=Prunus persica GN=PRUPE_ppa022316mg PE=4 SV=1</t>
  </si>
  <si>
    <t>Uncharacterized protein OS=Jatropha curcas GN=JCGZ_23557 PE=4 SV=1</t>
  </si>
  <si>
    <t>Uncharacterized protein (Fragment) OS=Prunus persica GN=PRUPE_ppa023323mg PE=4 SV=1</t>
  </si>
  <si>
    <t>Putative senescence-associated protein (Fragment) OS=Pisum sativum GN=ssa-13 PE=2 SV=1</t>
  </si>
  <si>
    <t>Uncharacterized protein OS=Prunus persica GN=PRUPE_ppa005900mg PE=4 SV=1</t>
  </si>
  <si>
    <t>Uncharacterized protein OS=Prunus persica GN=PRUPE_ppa004033mg PE=4 SV=1</t>
  </si>
  <si>
    <t>Uncharacterized protein OS=Prunus persica GN=PRUPE_ppa001042mg PE=3 SV=1</t>
  </si>
  <si>
    <t>Uncharacterized protein OS=Prunus persica GN=PRUPE_ppa009407mg PE=3 SV=1</t>
  </si>
  <si>
    <t>Uncharacterized protein OS=Prunus persica GN=PRUPE_ppa016602mg PE=4 SV=1</t>
  </si>
  <si>
    <t>Putative uncharacterized protein OS=Nectria haematococca (strain 77-13-4 / ATCC MYA-4622 / FGSC 9596 / MPVI) GN=NECHADRAFT_99727 PE=4 SV=1</t>
  </si>
  <si>
    <t>Uncharacterized protein OS=Prunus persica GN=PRUPE_ppa012705mg PE=4 SV=1</t>
  </si>
  <si>
    <t>Uncharacterized protein OS=Prunus persica GN=PRUPE_ppa001167mg PE=4 SV=1</t>
  </si>
  <si>
    <t>Uncharacterized protein OS=Prunus persica GN=PRUPE_ppa007235mg PE=4 SV=1</t>
  </si>
  <si>
    <t>Uncharacterized protein OS=Prunus persica GN=PRUPE_ppa010394mg PE=4 SV=1</t>
  </si>
  <si>
    <t>Uncharacterized protein OS=Prunus persica GN=PRUPE_ppa002951mg PE=3 SV=1</t>
  </si>
  <si>
    <t>Uncharacterized protein OS=Prunus persica GN=PRUPE_ppa022672mg PE=3 SV=1</t>
  </si>
  <si>
    <t>Uncharacterized protein OS=Prunus persica GN=PRUPE_ppa012812mg PE=4 SV=1</t>
  </si>
  <si>
    <t>Uncharacterized protein OS=Prunus persica GN=PRUPE_ppa010042mg PE=4 SV=1</t>
  </si>
  <si>
    <t>Uncharacterized protein (Fragment) OS=Prunus persica GN=PRUPE_ppa015625mg PE=4 SV=1</t>
  </si>
  <si>
    <t>Uncharacterized protein OS=Prunus persica GN=PRUPE_ppa005082mg PE=4 SV=1</t>
  </si>
  <si>
    <t>ATP synthase subunit alpha, chloroplastic OS=Prunus kansuensis GN=atpA PE=3 SV=1</t>
  </si>
  <si>
    <t>Uncharacterized protein OS=Prunus persica GN=PRUPE_ppa003857mg PE=4 SV=1</t>
  </si>
  <si>
    <t>Uncharacterized protein OS=Morus notabilis GN=L484_021633 PE=4 SV=1</t>
  </si>
  <si>
    <t>Uncharacterized protein OS=Prunus persica GN=PRUPE_ppa010716mg PE=4 SV=1</t>
  </si>
  <si>
    <t>Uncharacterized protein OS=Prunus persica GN=PRUPE_ppa014010mg PE=4 SV=1</t>
  </si>
  <si>
    <t>Uncharacterized protein (Fragment) OS=Prunus persica GN=PRUPE_ppa019710mg PE=4 SV=1</t>
  </si>
  <si>
    <t>Uncharacterized protein OS=Prunus persica GN=PRUPE_ppa000215mg PE=3 SV=1</t>
  </si>
  <si>
    <t>Uncharacterized protein OS=Prunus persica GN=PRUPE_ppa002597mg PE=4 SV=1</t>
  </si>
  <si>
    <t>Uncharacterized protein (Fragment) OS=Prunus persica GN=PRUPE_ppa019450mg PE=4 SV=1</t>
  </si>
  <si>
    <t>Uncharacterized protein OS=Prunus persica GN=PRUPE_ppa005384mg PE=4 SV=1</t>
  </si>
  <si>
    <t>Uncharacterized protein OS=Prunus persica GN=PRUPE_ppa011970mg PE=4 SV=1</t>
  </si>
  <si>
    <t>U-box domain-containing protein 43 OS=Morus notabilis GN=L484_007607 PE=4 SV=1</t>
  </si>
  <si>
    <t>Uncharacterized protein OS=Prunus persica GN=PRUPE_ppa006954mg PE=3 SV=1</t>
  </si>
  <si>
    <t>Uncharacterized protein OS=Prunus persica GN=PRUPE_ppa006127mg PE=4 SV=1</t>
  </si>
  <si>
    <t>Uncharacterized protein OS=Morus notabilis GN=L484_025842 PE=4 SV=1</t>
  </si>
  <si>
    <t>Uncharacterized protein OS=Prunus persica GN=PRUPE_ppa012648mg PE=4 SV=1</t>
  </si>
  <si>
    <t>Uncharacterized protein OS=Prunus persica GN=PRUPE_ppa015681mg PE=4 SV=1</t>
  </si>
  <si>
    <t>Uncharacterized protein OS=Prunus persica GN=PRUPE_ppa012315mg PE=4 SV=1</t>
  </si>
  <si>
    <t>Uncharacterized protein OS=Prunus persica GN=PRUPE_ppa009999mg PE=4 SV=1</t>
  </si>
  <si>
    <t>Uncharacterized protein OS=Prunus persica GN=PRUPE_ppa006753mg PE=4 SV=1</t>
  </si>
  <si>
    <t>Uncharacterized protein OS=Prunus persica GN=PRUPE_ppa007351mg PE=4 SV=1</t>
  </si>
  <si>
    <t>Uncharacterized protein OS=Prunus persica GN=PRUPE_ppa023929mg PE=4 SV=1</t>
  </si>
  <si>
    <t>Uncharacterized protein OS=Prunus persica GN=PRUPE_ppa000106mg PE=4 SV=1</t>
  </si>
  <si>
    <t>Tubby-like F-box protein OS=Prunus persica GN=PRUPE_ppa006393mg PE=3 SV=1</t>
  </si>
  <si>
    <t>Uncharacterized protein OS=Prunus persica GN=PRUPE_ppa009363mg PE=4 SV=1</t>
  </si>
  <si>
    <t>Uncharacterized protein OS=Prunus persica GN=PRUPE_ppa006295mg PE=4 SV=1</t>
  </si>
  <si>
    <t>Uncharacterized protein (Fragment) OS=Prunus persica GN=PRUPE_ppa018206mg PE=4 SV=1</t>
  </si>
  <si>
    <t>Uncharacterized protein OS=Prunus persica GN=PRUPE_ppa003212mg PE=4 SV=1</t>
  </si>
  <si>
    <t>Uncharacterized protein (Fragment) OS=Prunus persica GN=PRUPE_ppa019383mg PE=4 SV=1</t>
  </si>
  <si>
    <t>Uncharacterized protein OS=Prunus persica GN=PRUPE_ppa000595mg PE=4 SV=1</t>
  </si>
  <si>
    <t>Uncharacterized protein OS=Prunus persica GN=PRUPE_ppa008163mg PE=4 SV=1</t>
  </si>
  <si>
    <t>Uncharacterized protein OS=Prunus persica GN=PRUPE_ppa010264mg PE=4 SV=1</t>
  </si>
  <si>
    <t>Uncharacterized protein OS=Prunus persica GN=PRUPE_ppa000065mg PE=4 SV=1</t>
  </si>
  <si>
    <t>Uncharacterized protein OS=Prunus persica GN=PRUPE_ppa006298mg PE=4 SV=1</t>
  </si>
  <si>
    <t>Eukaryotic translation initiation factor 3 subunit H OS=Prunus persica GN=PRUPE_ppa008325mg PE=3 SV=1</t>
  </si>
  <si>
    <t>Uncharacterized protein OS=Prunus persica GN=PRUPE_ppa013836mg PE=4 SV=1</t>
  </si>
  <si>
    <t>Uncharacterized protein OS=Prunus persica GN=PRUPE_ppa013048mg PE=4 SV=1</t>
  </si>
  <si>
    <t>Uncharacterized protein (Fragment) OS=Prunus persica GN=PRUPE_ppa019371mg PE=4 SV=1</t>
  </si>
  <si>
    <t>Uncharacterized protein (Fragment) OS=Prunus persica GN=PRUPE_ppa015791mg PE=4 SV=1</t>
  </si>
  <si>
    <t>Uncharacterized protein OS=Prunus persica GN=PRUPE_ppa003389mg PE=4 SV=1</t>
  </si>
  <si>
    <t>Uncharacterized protein OS=Prunus persica GN=PRUPE_ppa006946mg PE=3 SV=1</t>
  </si>
  <si>
    <t>Uncharacterized protein OS=Prunus persica GN=PRUPE_ppa018357mg PE=4 SV=1</t>
  </si>
  <si>
    <t>Uncharacterized protein OS=Prunus persica GN=PRUPE_ppa020746mg PE=4 SV=1</t>
  </si>
  <si>
    <t>Uncharacterized protein OS=Prunus persica GN=PRUPE_ppa018479mg PE=4 SV=1</t>
  </si>
  <si>
    <t>Uncharacterized protein OS=Prunus persica GN=PRUPE_ppa001847mg PE=4 SV=1</t>
  </si>
  <si>
    <t>Uncharacterized protein OS=Prunus persica GN=PRUPE_ppa004349mg PE=3 SV=1</t>
  </si>
  <si>
    <t>Uncharacterized protein OS=Prunus persica GN=PRUPE_ppa015523mg PE=3 SV=1</t>
  </si>
  <si>
    <t>Uncharacterized protein OS=Prunus persica GN=PRUPE_ppa004339mg PE=4 SV=1</t>
  </si>
  <si>
    <t>Uncharacterized protein (Fragment) OS=Prunus persica GN=PRUPE_ppa017265mg PE=4 SV=1</t>
  </si>
  <si>
    <t>Uncharacterized protein OS=Prunus persica GN=PRUPE_ppa012317mg PE=4 SV=1</t>
  </si>
  <si>
    <t>Laccase OS=Prunus persica GN=PRUPE_ppa003296mg PE=3 SV=1</t>
  </si>
  <si>
    <t>Uncharacterized protein OS=Prunus persica GN=PRUPE_ppa014775mg PE=4 SV=1</t>
  </si>
  <si>
    <t>Alpha-galactosidase OS=Prunus persica GN=PRUPE_ppa005977mg PE=3 SV=1</t>
  </si>
  <si>
    <t>Acyl-coenzyme A oxidase OS=Prunus persica GN=ACX3 PE=2 SV=1</t>
  </si>
  <si>
    <t>Uncharacterized protein OS=Prunus persica GN=PRUPE_ppa012716mg PE=4 SV=1</t>
  </si>
  <si>
    <t>Uncharacterized protein OS=Prunus persica GN=PRUPE_ppa011624mg PE=4 SV=1</t>
  </si>
  <si>
    <t>Uncharacterized protein (Fragment) OS=Prunus persica GN=PRUPE_ppa025893mg PE=4 SV=1</t>
  </si>
  <si>
    <t>Uncharacterized protein OS=Prunus persica GN=PRUPE_ppa010383mg PE=4 SV=1</t>
  </si>
  <si>
    <t>Uncharacterized protein OS=Prunus persica GN=PRUPE_ppa005625mg PE=4 SV=1</t>
  </si>
  <si>
    <t>Uncharacterized protein OS=Prunus persica GN=PRUPE_ppa006176mg PE=4 SV=1</t>
  </si>
  <si>
    <t>Uncharacterized protein OS=Citrus clementina GN=CICLE_v10030619mg PE=4 SV=1</t>
  </si>
  <si>
    <t>Uncharacterized protein OS=Prunus persica GN=PRUPE_ppa004575mg PE=4 SV=1</t>
  </si>
  <si>
    <t>Uncharacterized protein OS=Prunus persica GN=PRUPE_ppa001814mg PE=4 SV=1</t>
  </si>
  <si>
    <t>Uncharacterized protein (Fragment) OS=Prunus persica GN=PRUPE_ppa014619mg PE=4 SV=1</t>
  </si>
  <si>
    <t>Uncharacterized protein OS=Prunus persica GN=PRUPE_ppa020456mg PE=4 SV=1</t>
  </si>
  <si>
    <t>Uncharacterized protein OS=Prunus persica GN=PRUPE_ppa001629mg PE=4 SV=1</t>
  </si>
  <si>
    <t>Uncharacterized protein (Fragment) OS=Prunus persica GN=PRUPE_ppa026290mg PE=4 SV=1</t>
  </si>
  <si>
    <t>Uncharacterized protein OS=Prunus persica GN=PRUPE_ppa010557mg PE=4 SV=1</t>
  </si>
  <si>
    <t>Glycosyltransferase OS=Prunus persica GN=PRUPE_ppa016463mg PE=3 SV=1</t>
  </si>
  <si>
    <t>Uncharacterized protein OS=Prunus persica GN=PRUPE_ppa021778mg PE=4 SV=1</t>
  </si>
  <si>
    <t>Cation efflux family protein isoform 1 OS=Theobroma cacao GN=TCM_027868 PE=4 SV=1</t>
  </si>
  <si>
    <t>Uncharacterized protein OS=Prunus persica GN=PRUPE_ppa006607mg PE=4 SV=1</t>
  </si>
  <si>
    <t>Uncharacterized protein OS=Prunus persica GN=PRUPE_ppa004356mg PE=3 SV=1</t>
  </si>
  <si>
    <t>Uncharacterized protein OS=Prunus persica GN=PRUPE_ppa007224mg PE=4 SV=1</t>
  </si>
  <si>
    <t>Uncharacterized protein OS=Prunus persica GN=PRUPE_ppa011207mg PE=4 SV=1</t>
  </si>
  <si>
    <t>Non-specific serine/threonine protein kinase OS=Prunus persica GN=PRUPE_ppa004815mg PE=4 SV=1</t>
  </si>
  <si>
    <t>Terpene synthase OS=Prunus cerasoides var. campanulata GN=TPS2 PE=4 SV=1</t>
  </si>
  <si>
    <t>Uncharacterized protein OS=Prunus persica GN=PRUPE_ppa020684mg PE=4 SV=1</t>
  </si>
  <si>
    <t>Uncharacterized protein OS=Prunus persica GN=PRUPE_ppa011575mg PE=4 SV=1</t>
  </si>
  <si>
    <t>Uncharacterized protein OS=Prunus persica GN=PRUPE_ppa004272mg PE=4 SV=1</t>
  </si>
  <si>
    <t>Uncharacterized protein OS=Prunus persica GN=PRUPE_ppa004492mg PE=4 SV=1</t>
  </si>
  <si>
    <t>Uncharacterized protein OS=Prunus persica GN=PRUPE_ppa010044mg PE=4 SV=1</t>
  </si>
  <si>
    <t>Uncharacterized protein OS=Prunus persica GN=PRUPE_ppa005724mg PE=4 SV=1</t>
  </si>
  <si>
    <t>Uncharacterized protein OS=Prunus persica GN=PRUPE_ppa009378mg PE=4 SV=1</t>
  </si>
  <si>
    <t>Uncharacterized protein OS=Prunus persica GN=PRUPE_ppa008767mg PE=4 SV=1</t>
  </si>
  <si>
    <t>Uncharacterized protein OS=Prunus persica GN=PRUPE_ppa000671mg PE=4 SV=1</t>
  </si>
  <si>
    <t>Uncharacterized protein OS=Prunus persica GN=PRUPE_ppa002831mg PE=4 SV=1</t>
  </si>
  <si>
    <t>Uncharacterized protein OS=Prunus persica GN=PRUPE_ppa009838mg PE=4 SV=1</t>
  </si>
  <si>
    <t>Uncharacterized protein OS=Prunus persica GN=PRUPE_ppa013233mg PE=4 SV=1</t>
  </si>
  <si>
    <t>Uncharacterized protein (Fragment) OS=Prunus persica GN=PRUPE_ppa015361mg PE=4 SV=1</t>
  </si>
  <si>
    <t>Uncharacterized protein (Fragment) OS=Prunus persica GN=PRUPE_ppa027142mg PE=4 SV=1</t>
  </si>
  <si>
    <t>Uncharacterized protein OS=Prunus persica GN=PRUPE_ppa003727mg PE=4 SV=1</t>
  </si>
  <si>
    <t>Uncharacterized protein OS=Prunus persica GN=PRUPE_ppa014770mg PE=4 SV=1</t>
  </si>
  <si>
    <t>Uncharacterized protein OS=Prunus persica GN=PRUPE_ppa009063mg PE=4 SV=1</t>
  </si>
  <si>
    <t>Uncharacterized protein OS=Prunus persica GN=PRUPE_ppa021341mg PE=4 SV=1</t>
  </si>
  <si>
    <t>Uncharacterized protein OS=Prunus persica GN=PRUPE_ppa011529mg PE=4 SV=1</t>
  </si>
  <si>
    <t>Uncharacterized protein OS=Prunus persica GN=PRUPE_ppa006905mg PE=4 SV=1</t>
  </si>
  <si>
    <t>Uncharacterized protein OS=Prunus persica GN=PRUPE_ppa001826mg PE=4 SV=1</t>
  </si>
  <si>
    <t>Uncharacterized protein OS=Prunus persica GN=PRUPE_ppa005130mg PE=4 SV=1</t>
  </si>
  <si>
    <t>Uncharacterized protein OS=Prunus persica GN=PRUPE_ppa018145mg PE=4 SV=1</t>
  </si>
  <si>
    <t>WRKY transcription factor 45 OS=Gossypium hirsutum GN=WRKY45 PE=2 SV=1</t>
  </si>
  <si>
    <t>Uncharacterized protein OS=Prunus persica GN=PRUPE_ppa006310mg PE=3 SV=1</t>
  </si>
  <si>
    <t>Uncharacterized protein OS=Prunus persica GN=PRUPE_ppa007155mg PE=4 SV=1</t>
  </si>
  <si>
    <t>Uncharacterized protein OS=Prunus persica GN=PRUPE_ppa009953mg PE=4 SV=1</t>
  </si>
  <si>
    <t>Uncharacterized protein OS=Prunus persica GN=PRUPE_ppa018581mg PE=4 SV=1</t>
  </si>
  <si>
    <t>Uncharacterized protein OS=Prunus persica GN=PRUPE_ppa002376mg PE=4 SV=1</t>
  </si>
  <si>
    <t>Uncharacterized protein OS=Prunus persica GN=PRUPE_ppa013417mg PE=4 SV=1</t>
  </si>
  <si>
    <t>Uncharacterized protein OS=Prunus persica GN=PRUPE_ppa022136mg PE=4 SV=1</t>
  </si>
  <si>
    <t>Uncharacterized protein OS=Prunus persica GN=PRUPE_ppa026794mg PE=3 SV=1</t>
  </si>
  <si>
    <t>Putative uncharacterized protein OS=Nectria haematococca (strain 77-13-4 / ATCC MYA-4622 / FGSC 9596 / MPVI) GN=NECHADRAFT_89637 PE=4 SV=1</t>
  </si>
  <si>
    <t>Pectate lyase plyB OS=Fusarium oxysporum Fo47 GN=FOZG_11864 PE=3 SV=1</t>
  </si>
  <si>
    <t>Uncharacterized protein OS=Prunus persica GN=PRUPE_ppa021584mg PE=4 SV=1</t>
  </si>
  <si>
    <t>Ribosomal protein S3 OS=Malus domestica GN=rps3 PE=3 SV=1</t>
  </si>
  <si>
    <t>Peroxidase OS=Prunus persica GN=PRUPE_ppa008433mg PE=3 SV=1</t>
  </si>
  <si>
    <t>Uncharacterized protein OS=Prunus persica GN=PRUPE_ppa019283mg PE=4 SV=1</t>
  </si>
  <si>
    <t>Uncharacterized protein OS=Prunus persica GN=PRUPE_ppa003919mg PE=4 SV=1</t>
  </si>
  <si>
    <t>Uncharacterized protein OS=Prunus persica GN=PRUPE_ppa000436mg PE=4 SV=1</t>
  </si>
  <si>
    <t>N-acetylserotonin O-methyltransferase OS=Malus zumi GN=ASMT1 PE=2 SV=1</t>
  </si>
  <si>
    <t>Uncharacterized protein OS=Prunus persica GN=PRUPE_ppa010686mg PE=3 SV=1</t>
  </si>
  <si>
    <t>Uncharacterized protein OS=Prunus persica GN=PRUPE_ppa018108mg PE=4 SV=1</t>
  </si>
  <si>
    <t>Uncharacterized protein OS=Prunus persica GN=PRUPE_ppa008781mg PE=4 SV=1</t>
  </si>
  <si>
    <t>Uncharacterized protein OS=Prunus persica GN=PRUPE_ppa001088mg PE=4 SV=1</t>
  </si>
  <si>
    <t>Uncharacterized protein (Fragment) OS=Prunus persica GN=PRUPE_ppa026203mg PE=4 SV=1</t>
  </si>
  <si>
    <t>Uncharacterized protein (Fragment) OS=Prunus persica GN=PRUPE_ppa017205mg PE=4 SV=1</t>
  </si>
  <si>
    <t>Uncharacterized protein OS=Prunus persica GN=PRUPE_ppa003946mg PE=4 SV=1</t>
  </si>
  <si>
    <t>Uncharacterized protein OS=Prunus persica GN=PRUPE_ppa005849mg PE=3 SV=1</t>
  </si>
  <si>
    <t>Uncharacterized protein OS=Prunus persica GN=PRUPE_ppa008338mg PE=4 SV=1</t>
  </si>
  <si>
    <t>Uncharacterized protein OS=Prunus persica GN=PRUPE_ppa007342mg PE=3 SV=1</t>
  </si>
  <si>
    <t>Alpha-1,4 glucan phosphorylase OS=Prunus persica GN=PRUPE_ppa000827mg PE=3 SV=1</t>
  </si>
  <si>
    <t>Uncharacterized protein (Fragment) OS=Prunus persica GN=PRUPE_ppa025396mg PE=4 SV=1</t>
  </si>
  <si>
    <t>Uncharacterized protein OS=Prunus persica GN=PRUPE_ppa000627mg PE=4 SV=1</t>
  </si>
  <si>
    <t>Uncharacterized protein OS=Prunus persica GN=PRUPE_ppa011241mg PE=4 SV=1</t>
  </si>
  <si>
    <t>Uncharacterized protein (Fragment) OS=Prunus persica GN=PRUPE_ppa000722m2g PE=4 SV=1</t>
  </si>
  <si>
    <t>Putative uncharacterized protein OS=Ricinus communis GN=RCOM_0249780 PE=3 SV=1</t>
  </si>
  <si>
    <t>Uncharacterized protein OS=Prunus persica GN=PRUPE_ppa022528mg PE=4 SV=1</t>
  </si>
  <si>
    <t>Uncharacterized protein OS=Prunus persica GN=PRUPE_ppa006232mg PE=4 SV=1</t>
  </si>
  <si>
    <t>Uncharacterized protein OS=Prunus persica GN=PRUPE_ppa009267mg PE=4 SV=1</t>
  </si>
  <si>
    <t>Rho GTPase-activating protein 12 OS=Morus notabilis GN=L484_007716 PE=4 SV=1</t>
  </si>
  <si>
    <t>Uncharacterized protein OS=Prunus persica GN=PRUPE_ppa005440mg PE=4 SV=1</t>
  </si>
  <si>
    <t>Uncharacterized protein OS=Prunus persica GN=PRUPE_ppa004225mg PE=4 SV=1</t>
  </si>
  <si>
    <t>Uncharacterized protein OS=Prunus persica GN=PRUPE_ppa005096mg PE=4 SV=1</t>
  </si>
  <si>
    <t>Uncharacterized protein OS=Prunus persica GN=PRUPE_ppa006844mg PE=4 SV=1</t>
  </si>
  <si>
    <t>Uncharacterized protein OS=Prunus persica GN=PRUPE_ppa003071mg PE=4 SV=1</t>
  </si>
  <si>
    <t>Uncharacterized protein OS=Prunus persica GN=PRUPE_ppa011511mg PE=4 SV=1</t>
  </si>
  <si>
    <t>Uncharacterized protein OS=Prunus persica GN=PRUPE_ppa017562mg PE=4 SV=1</t>
  </si>
  <si>
    <t>Uncharacterized protein OS=Citrus clementina GN=CICLE_v10018446mg PE=4 SV=1</t>
  </si>
  <si>
    <t>Uncharacterized protein OS=Prunus persica GN=PRUPE_ppa002332mg PE=4 SV=1</t>
  </si>
  <si>
    <t>Uncharacterized protein OS=Prunus persica GN=PRUPE_ppa013276mg PE=4 SV=1</t>
  </si>
  <si>
    <t>Uncharacterized protein OS=Prunus persica GN=PRUPE_ppa009299mg PE=4 SV=1</t>
  </si>
  <si>
    <t>Uncharacterized protein OS=Prunus persica GN=PRUPE_ppa005505mg PE=4 SV=1</t>
  </si>
  <si>
    <t>Uncharacterized protein OS=Prunus persica GN=PRUPE_ppa004937mg PE=4 SV=1</t>
  </si>
  <si>
    <t>Uncharacterized protein OS=Prunus persica GN=PRUPE_ppa005221mg PE=4 SV=1</t>
  </si>
  <si>
    <t>Uncharacterized protein OS=Prunus persica GN=PRUPE_ppa022946mg PE=4 SV=1</t>
  </si>
  <si>
    <t>Terpene cyclase/mutase family member OS=Eucalyptus grandis GN=EUGRSUZ_C02165 PE=3 SV=1</t>
  </si>
  <si>
    <t>Uncharacterized protein OS=Prunus persica GN=PRUPE_ppa018132mg PE=4 SV=1</t>
  </si>
  <si>
    <t>Uncharacterized protein OS=Prunus persica GN=PRUPE_ppa015189mg PE=4 SV=1</t>
  </si>
  <si>
    <t>Uncharacterized protein OS=Prunus persica GN=PRUPE_ppa024598mg PE=4 SV=1</t>
  </si>
  <si>
    <t>Uncharacterized protein OS=Prunus persica GN=PRUPE_ppa005870mg PE=3 SV=1</t>
  </si>
  <si>
    <t>Uncharacterized protein OS=Prunus persica GN=PRUPE_ppa005091mg PE=3 SV=1</t>
  </si>
  <si>
    <t>Uncharacterized protein OS=Prunus persica GN=PRUPE_ppa005188mg PE=3 SV=1</t>
  </si>
  <si>
    <t>Uncharacterized protein OS=Prunus persica GN=PRUPE_ppa009360mg PE=4 SV=1</t>
  </si>
  <si>
    <t>Uncharacterized protein OS=Prunus persica GN=PRUPE_ppa019700mg PE=3 SV=1</t>
  </si>
  <si>
    <t>Uncharacterized protein OS=Prunus persica GN=PRUPE_ppa010052mg PE=4 SV=1</t>
  </si>
  <si>
    <t>Uncharacterized protein OS=Prunus persica GN=PRUPE_ppa011151mg PE=4 SV=1</t>
  </si>
  <si>
    <t>Serine acetyltransferase OS=Prunus persica GN=SAT PE=2 SV=1</t>
  </si>
  <si>
    <t>Abscisic stress ripening-like protein OS=Prunus persica GN=PRUPE_ppa011853mg PE=2 SV=1</t>
  </si>
  <si>
    <t>Putative uncharacterized protein OS=Vitis vinifera GN=VIT_09s0002g03350 PE=4 SV=1</t>
  </si>
  <si>
    <t>Uncharacterized protein OS=Prunus persica GN=PRUPE_ppa005711mg PE=4 SV=1</t>
  </si>
  <si>
    <t>Uncharacterized protein OS=Prunus persica GN=PRUPE_ppa011540mg PE=4 SV=1</t>
  </si>
  <si>
    <t>Uncharacterized protein OS=Prunus persica GN=PRUPE_ppa013811mg PE=4 SV=1</t>
  </si>
  <si>
    <t>Pectinesterase OS=Prunus persica GN=PRUPE_ppa017141mg PE=3 SV=1</t>
  </si>
  <si>
    <t>Uncharacterized protein OS=Prunus persica GN=PRUPE_ppa011315mg PE=4 SV=1</t>
  </si>
  <si>
    <t>Kinesin-like protein OS=Prunus persica GN=PRUPE_ppa002226mg PE=3 SV=1</t>
  </si>
  <si>
    <t>Uncharacterized protein OS=Prunus persica GN=PRUPE_ppa003260mg PE=3 SV=1</t>
  </si>
  <si>
    <t>Putative uncharacterized protein OS=Vitis vinifera GN=VITISV_039530 PE=4 SV=1</t>
  </si>
  <si>
    <t>Uncharacterized protein OS=Prunus persica GN=PRUPE_ppa021491mg PE=4 SV=1</t>
  </si>
  <si>
    <t>Uncharacterized protein OS=Prunus persica GN=PRUPE_ppa009915mg PE=4 SV=1</t>
  </si>
  <si>
    <t>Uncharacterized protein OS=Prunus persica GN=PRUPE_ppa001180mg PE=4 SV=1</t>
  </si>
  <si>
    <t>DNA-directed RNA polymerase OS=Prunus persica GN=PRUPE_ppa000719mg PE=3 SV=1</t>
  </si>
  <si>
    <t>Uncharacterized protein OS=Prunus persica GN=PRUPE_ppa011790mg PE=4 SV=1</t>
  </si>
  <si>
    <t>Uncharacterized protein OS=Gossypium raimondii GN=B456_010G066000 PE=4 SV=1</t>
  </si>
  <si>
    <t>Uncharacterized protein OS=Prunus persica GN=PRUPE_ppa003044mg PE=4 SV=1</t>
  </si>
  <si>
    <t>Protein Ycf2 OS=Prunus kansuensis GN=ycf2 PE=3 SV=1</t>
  </si>
  <si>
    <t>Uncharacterized protein OS=Prunus persica GN=PRUPE_ppa013336mg PE=4 SV=1</t>
  </si>
  <si>
    <t>Kinesin-like protein OS=Prunus persica GN=PRUPE_ppa000680mg PE=3 SV=1</t>
  </si>
  <si>
    <t>Uncharacterized protein (Fragment) OS=Eucalyptus grandis GN=EUGRSUZ_K03148 PE=4 SV=1</t>
  </si>
  <si>
    <t>Auxin response factor OS=Prunus persica GN=PRUPE_ppa001557mg PE=3 SV=1</t>
  </si>
  <si>
    <t>Uncharacterized protein OS=Prunus persica GN=PRUPE_ppa000861mg PE=4 SV=1</t>
  </si>
  <si>
    <t>Uncharacterized protein OS=Prunus persica GN=PRUPE_ppb021413mg PE=4 SV=1</t>
  </si>
  <si>
    <t>Uncharacterized protein OS=Prunus persica GN=PRUPE_ppa006126mg PE=4 SV=1</t>
  </si>
  <si>
    <t>Uncharacterized protein OS=Prunus persica GN=PRUPE_ppa011727mg PE=4 SV=1</t>
  </si>
  <si>
    <t>Uncharacterized protein OS=Prunus persica GN=PRUPE_ppa019544mg PE=4 SV=1</t>
  </si>
  <si>
    <t>Uncharacterized protein OS=Prunus persica GN=PRUPE_ppa011739mg PE=4 SV=1</t>
  </si>
  <si>
    <t>Uncharacterized protein OS=Prunus persica GN=PRUPE_ppa022615mg PE=4 SV=1</t>
  </si>
  <si>
    <t>Uncharacterized protein OS=Prunus persica GN=PRUPE_ppa010043mg PE=4 SV=1</t>
  </si>
  <si>
    <t>Uncharacterized protein OS=Prunus persica GN=PRUPE_ppa005896mg PE=3 SV=1</t>
  </si>
  <si>
    <t>Uncharacterized protein OS=Prunus persica GN=PRUPE_ppa018239mg PE=4 SV=1</t>
  </si>
  <si>
    <t>Uncharacterized protein OS=Prunus persica GN=PRUPE_ppa006438mg PE=4 SV=1</t>
  </si>
  <si>
    <t>Glycosyltransferase OS=Prunus persica GN=PRUPE_ppa005532mg PE=3 SV=1</t>
  </si>
  <si>
    <t>Uncharacterized protein OS=Prunus persica GN=PRUPE_ppa000069mg PE=4 SV=1</t>
  </si>
  <si>
    <t>Uncharacterized protein OS=Prunus persica GN=PRUPE_ppa001794mg PE=4 SV=1</t>
  </si>
  <si>
    <t>Uncharacterized protein OS=Prunus persica GN=PRUPE_ppa010409mg PE=4 SV=1</t>
  </si>
  <si>
    <t>Uncharacterized protein OS=Prunus persica GN=PRUPE_ppa000785mg PE=4 SV=1</t>
  </si>
  <si>
    <t>Uncharacterized protein OS=Prunus persica GN=PRUPE_ppa000594mg PE=4 SV=1</t>
  </si>
  <si>
    <t>Uncharacterized protein OS=Prunus persica GN=PRUPE_ppa013350mg PE=3 SV=1</t>
  </si>
  <si>
    <t>Uncharacterized protein OS=Prunus persica GN=PRUPE_ppa005281mg PE=4 SV=1</t>
  </si>
  <si>
    <t>Uncharacterized protein (Fragment) OS=Prunus persica GN=PRUPE_ppa014571mg PE=4 SV=1</t>
  </si>
  <si>
    <t>Uncharacterized protein OS=Prunus persica GN=PRUPE_ppa006927mg PE=4 SV=1</t>
  </si>
  <si>
    <t>Uncharacterized protein OS=Prunus persica GN=PRUPE_ppa007050mg PE=3 SV=1</t>
  </si>
  <si>
    <t>Uncharacterized protein OS=Prunus persica GN=PRUPE_ppa013904mg PE=3 SV=1</t>
  </si>
  <si>
    <t>Uncharacterized protein OS=Prunus persica GN=PRUPE_ppa015232mg PE=4 SV=1</t>
  </si>
  <si>
    <t>Uncharacterized protein OS=Prunus persica GN=PRUPE_ppa017371mg PE=4 SV=1</t>
  </si>
  <si>
    <t>Ubiquitin carboxyl-terminal hydrolase OS=Prunus persica GN=PRUPE_ppa001170mg PE=3 SV=1</t>
  </si>
  <si>
    <t>Cytochrome b-c1 complex subunit Rieske, mitochondrial OS=Prunus persica GN=PRUPE_ppa009909mg PE=4 SV=1</t>
  </si>
  <si>
    <t>Uncharacterized protein OS=Prunus persica GN=PRUPE_ppa007187mg PE=4 SV=1</t>
  </si>
  <si>
    <t>Uncharacterized protein OS=Prunus persica GN=PRUPE_ppa009938mg PE=4 SV=1</t>
  </si>
  <si>
    <t>Potassium transporter (Fragment) OS=Prunus persica GN=PRUPE_ppa022284mg PE=3 SV=1</t>
  </si>
  <si>
    <t>Uncharacterized protein OS=Prunus persica GN=PRUPE_ppa002456mg PE=4 SV=1</t>
  </si>
  <si>
    <t>Uncharacterized protein OS=Prunus persica GN=PRUPE_ppa019508mg PE=4 SV=1</t>
  </si>
  <si>
    <t>Uncharacterized protein OS=Prunus persica GN=PRUPE_ppa002023mg PE=4 SV=1</t>
  </si>
  <si>
    <t>Uncharacterized protein OS=Prunus persica GN=PRUPE_ppa012402mg PE=4 SV=1</t>
  </si>
  <si>
    <t>Uncharacterized protein OS=Prunus persica GN=PRUPE_ppa006075mg PE=3 SV=1</t>
  </si>
  <si>
    <t>Uncharacterized protein OS=Prunus persica GN=PRUPE_ppa006227mg PE=4 SV=1</t>
  </si>
  <si>
    <t>Uncharacterized protein OS=Prunus persica GN=PRUPE_ppa000014mg PE=4 SV=1</t>
  </si>
  <si>
    <t>Uncharacterized protein OS=Prunus persica GN=PRUPE_ppa023493mg PE=3 SV=1</t>
  </si>
  <si>
    <t>Uncharacterized protein OS=Prunus persica GN=PRUPE_ppa008523mg PE=4 SV=1</t>
  </si>
  <si>
    <t>Uncharacterized protein OS=Prunus persica GN=PRUPE_ppa023779mg PE=3 SV=1</t>
  </si>
  <si>
    <t>Uncharacterized protein OS=Prunus persica GN=PRUPE_ppa009978mg PE=4 SV=1</t>
  </si>
  <si>
    <t>Uncharacterized protein OS=Prunus persica GN=PRUPE_ppa007420mg PE=4 SV=1</t>
  </si>
  <si>
    <t>Uncharacterized protein OS=Prunus persica GN=PRUPE_ppa010306mg PE=4 SV=1</t>
  </si>
  <si>
    <t>Uncharacterized protein OS=Prunus persica GN=PRUPE_ppa003355mg PE=4 SV=1</t>
  </si>
  <si>
    <t>Replication protein OS=Cherry necrotic rusty mottle virus PE=4 SV=1</t>
  </si>
  <si>
    <t>Uncharacterized protein OS=Prunus persica GN=PRUPE_ppa015620mg PE=4 SV=1</t>
  </si>
  <si>
    <t>Uncharacterized protein OS=Prunus persica GN=PRUPE_ppa010728mg PE=4 SV=1</t>
  </si>
  <si>
    <t>Uncharacterized protein OS=Prunus persica GN=PRUPE_ppa000754mg PE=4 SV=1</t>
  </si>
  <si>
    <t>Uncharacterized protein OS=Prunus persica GN=PRUPE_ppa018739mg PE=4 SV=1</t>
  </si>
  <si>
    <t>Uncharacterized protein OS=Prunus persica GN=PRUPE_ppa014365mg PE=4 SV=1</t>
  </si>
  <si>
    <t>Uncharacterized protein (Fragment) OS=Prunus persica GN=PRUPE_ppa022999mg PE=4 SV=1</t>
  </si>
  <si>
    <t>Uncharacterized protein OS=Prunus persica GN=PRUPE_ppa012074mg PE=3 SV=1</t>
  </si>
  <si>
    <t>Uncharacterized protein OS=Prunus persica GN=PRUPE_ppa005656mg PE=4 SV=1</t>
  </si>
  <si>
    <t>Uncharacterized protein OS=Prunus persica GN=PRUPE_ppa015031mg PE=4 SV=1</t>
  </si>
  <si>
    <t>Uncharacterized protein OS=Prunus persica GN=PRUPE_ppa013102mg PE=4 SV=1</t>
  </si>
  <si>
    <t>Uncharacterized protein OS=Prunus persica GN=PRUPE_ppa017963mg PE=3 SV=1</t>
  </si>
  <si>
    <t>Uncharacterized protein OS=Prunus persica GN=PRUPE_ppa005416mg PE=4 SV=1</t>
  </si>
  <si>
    <t>Uncharacterized protein (Fragment) OS=Prunus persica GN=PRUPE_ppa023544mg PE=4 SV=1</t>
  </si>
  <si>
    <t>Uncharacterized protein OS=Prunus persica GN=PRUPE_ppa008417mg PE=4 SV=1</t>
  </si>
  <si>
    <t>Uncharacterized protein OS=Gossypium raimondii GN=B456_004G293300 PE=3 SV=1</t>
  </si>
  <si>
    <t>Uncharacterized protein OS=Prunus persica GN=PRUPE_ppa015277mg PE=4 SV=1</t>
  </si>
  <si>
    <t>Uncharacterized protein OS=Prunus persica GN=PRUPE_ppa015465mg PE=4 SV=1</t>
  </si>
  <si>
    <t>Uncharacterized protein OS=Prunus persica GN=PRUPE_ppa004685mg PE=3 SV=1</t>
  </si>
  <si>
    <t>Uncharacterized protein OS=Prunus persica GN=PRUPE_ppa021284mg PE=4 SV=1</t>
  </si>
  <si>
    <t>Uncharacterized protein OS=Prunus persica GN=PRUPE_ppa010957mg PE=3 SV=1</t>
  </si>
  <si>
    <t>Uncharacterized protein OS=Prunus persica GN=PRUPE_ppa007195mg PE=3 SV=1</t>
  </si>
  <si>
    <t>Uncharacterized protein OS=Prunus persica GN=PRUPE_ppa001606mg PE=4 SV=1</t>
  </si>
  <si>
    <t>Uncharacterized protein OS=Jatropha curcas GN=JCGZ_24546 PE=4 SV=1</t>
  </si>
  <si>
    <t>Uncharacterized protein OS=Jatropha curcas GN=JCGZ_06674 PE=4 SV=1</t>
  </si>
  <si>
    <t>Uncharacterized protein (Fragment) OS=Prunus persica GN=PRUPE_ppa024634m1g PE=3 SV=1</t>
  </si>
  <si>
    <t>Uncharacterized protein OS=Prunus persica GN=PRUPE_ppa024349mg PE=4 SV=1</t>
  </si>
  <si>
    <t>Uncharacterized protein (Fragment) OS=Prunus persica GN=PRUPE_ppa024954mg PE=4 SV=1</t>
  </si>
  <si>
    <t>Uncharacterized protein OS=Prunus persica GN=PRUPE_ppa018166mg PE=4 SV=1</t>
  </si>
  <si>
    <t>Uncharacterized protein OS=Prunus persica GN=PRUPE_ppa002202mg PE=3 SV=1</t>
  </si>
  <si>
    <t>ER lumen protein-retaining receptor OS=Prunus persica GN=PRUPE_ppa011313mg PE=3 SV=1</t>
  </si>
  <si>
    <t>Uncharacterized protein OS=Prunus persica GN=PRUPE_ppa003387mg PE=4 SV=1</t>
  </si>
  <si>
    <t>Uncharacterized protein OS=Prunus persica GN=PRUPE_ppa008024mg PE=4 SV=1</t>
  </si>
  <si>
    <t>Potassium transporter OS=Prunus persica GN=KUP1 PE=2 SV=1</t>
  </si>
  <si>
    <t>Uncharacterized protein OS=Prunus persica GN=PRUPE_ppa009561mg PE=4 SV=1</t>
  </si>
  <si>
    <t>Uncharacterized protein OS=Prunus persica GN=PRUPE_ppa008987mg PE=4 SV=1</t>
  </si>
  <si>
    <t>Uncharacterized protein OS=Prunus persica GN=PRUPE_ppa016871mg PE=4 SV=1</t>
  </si>
  <si>
    <t>Uncharacterized protein OS=Prunus persica GN=PRUPE_ppa013613mg PE=4 SV=1</t>
  </si>
  <si>
    <t>Uncharacterized protein (Fragment) OS=Prunus persica GN=PRUPE_ppa017855mg PE=4 SV=1</t>
  </si>
  <si>
    <t>Uncharacterized protein (Fragment) OS=Prunus persica GN=PRUPE_ppb013913mg PE=4 SV=1</t>
  </si>
  <si>
    <t>Histone H2A OS=Prunus persica GN=PRUPE_ppa013072mg PE=3 SV=1</t>
  </si>
  <si>
    <t>Uncharacterized protein OS=Prunus persica GN=PRUPE_ppa020465mg PE=4 SV=1</t>
  </si>
  <si>
    <t>Uncharacterized protein OS=Prunus persica GN=PRUPE_ppa003784mg PE=4 SV=1</t>
  </si>
  <si>
    <t>Uncharacterized protein OS=Prunus persica GN=PRUPE_ppa022429mg PE=4 SV=1</t>
  </si>
  <si>
    <t>Uncharacterized protein OS=Prunus persica GN=PRUPE_ppa009505mg PE=4 SV=1</t>
  </si>
  <si>
    <t>Glycosyltransferase OS=Prunus persica GN=PRUPE_ppa004829mg PE=3 SV=1</t>
  </si>
  <si>
    <t>Uncharacterized protein OS=Prunus persica GN=PRUPE_ppa020923mg PE=4 SV=1</t>
  </si>
  <si>
    <t>Uncharacterized protein OS=Citrus clementina GN=CICLE_v10003429mg PE=4 SV=1</t>
  </si>
  <si>
    <t>Uncharacterized protein OS=Prunus persica GN=PRUPE_ppa011648mg PE=4 SV=1</t>
  </si>
  <si>
    <t>Uncharacterized protein OS=Prunus persica GN=PRUPE_ppa005013mg PE=4 SV=1</t>
  </si>
  <si>
    <t>Uncharacterized protein OS=Prunus persica GN=PRUPE_ppa017450mg PE=3 SV=1</t>
  </si>
  <si>
    <t>Uncharacterized protein OS=Prunus persica GN=PRUPE_ppa004831mg PE=4 SV=1</t>
  </si>
  <si>
    <t>Uncharacterized protein OS=Prunus persica GN=PRUPE_ppa001129mg PE=4 SV=1</t>
  </si>
  <si>
    <t>Uncharacterized protein OS=Prunus persica GN=PRUPE_ppa000911mg PE=4 SV=1</t>
  </si>
  <si>
    <t>Uncharacterized protein OS=Prunus persica GN=PRUPE_ppa022910mg PE=4 SV=1</t>
  </si>
  <si>
    <t>Uncharacterized protein OS=Arabis alpina GN=AALP_AA3G229400 PE=4 SV=1</t>
  </si>
  <si>
    <t>Uncharacterized protein OS=Prunus persica GN=PRUPE_ppa007701mg PE=4 SV=1</t>
  </si>
  <si>
    <t>Uncharacterized protein OS=Prunus persica GN=PRUPE_ppa011621mg PE=4 SV=1</t>
  </si>
  <si>
    <t>Uncharacterized protein OS=Prunus persica GN=PRUPE_ppa006290mg PE=4 SV=1</t>
  </si>
  <si>
    <t>Uncharacterized protein OS=Prunus persica GN=PRUPE_ppa010190mg PE=4 SV=1</t>
  </si>
  <si>
    <t>Putative uncharacterized protein OS=Vitis vinifera GN=VITISV_024796 PE=4 SV=1</t>
  </si>
  <si>
    <t>Uncharacterized protein (Fragment) OS=Prunus persica GN=PRUPE_ppa022017mg PE=4 SV=1</t>
  </si>
  <si>
    <t>Uncharacterized protein OS=Prunus persica GN=PRUPE_ppa021157mg PE=4 SV=1</t>
  </si>
  <si>
    <t>Uncharacterized protein (Fragment) OS=Prunus persica GN=PRUPE_ppa018961mg PE=4 SV=1</t>
  </si>
  <si>
    <t>Uncharacterized protein OS=Prunus persica GN=PRUPE_ppa005889mg PE=4 SV=1</t>
  </si>
  <si>
    <t>Glutathione peroxidase OS=Prunus persica GN=PRUPE_ppa011682mg PE=3 SV=1</t>
  </si>
  <si>
    <t>Uncharacterized protein OS=Prunus persica GN=PRUPE_ppa008775mg PE=4 SV=1</t>
  </si>
  <si>
    <t>Uncharacterized protein OS=Prunus persica GN=PRUPE_ppa002560mg PE=4 SV=1</t>
  </si>
  <si>
    <t>Uncharacterized protein OS=Prunus persica GN=PRUPE_ppa011401mg PE=4 SV=1</t>
  </si>
  <si>
    <t>Uncharacterized protein OS=Prunus persica GN=PRUPE_ppa003481mg PE=4 SV=1</t>
  </si>
  <si>
    <t>Uncharacterized protein OS=Prunus persica GN=PRUPE_ppa013281mg PE=4 SV=1</t>
  </si>
  <si>
    <t>Uncharacterized protein OS=Prunus persica GN=PRUPE_ppa021672mg PE=4 SV=1</t>
  </si>
  <si>
    <t>Spindle pole body component 98 isoform 1 OS=Theobroma cacao GN=TCM_024946 PE=4 SV=1</t>
  </si>
  <si>
    <t>Uncharacterized protein OS=Prunus persica GN=PRUPE_ppa008168mg PE=4 SV=1</t>
  </si>
  <si>
    <t>Uncharacterized protein OS=Prunus persica GN=PRUPE_ppa010761mg PE=4 SV=1</t>
  </si>
  <si>
    <t>Uncharacterized protein OS=Prunus persica GN=PRUPE_ppa022009mg PE=4 SV=1</t>
  </si>
  <si>
    <t>Uncharacterized protein OS=Prunus persica GN=PRUPE_ppa011952mg PE=4 SV=1</t>
  </si>
  <si>
    <t>Kinesin-like protein OS=Prunus persica GN=PRUPE_ppa001323mg PE=3 SV=1</t>
  </si>
  <si>
    <t>Uncharacterized protein OS=Prunus persica GN=PRUPE_ppa001642mg PE=4 SV=1</t>
  </si>
  <si>
    <t>Uncharacterized protein OS=Prunus persica GN=PRUPE_ppa001671mg PE=4 SV=1</t>
  </si>
  <si>
    <t>Uncharacterized protein OS=Prunus persica GN=PRUPE_ppa011485mg PE=4 SV=1</t>
  </si>
  <si>
    <t>Uncharacterized protein OS=Prunus persica GN=PRUPE_ppa007355mg PE=3 SV=1</t>
  </si>
  <si>
    <t>Uncharacterized protein OS=Prunus persica GN=PRUPE_ppa006282mg PE=4 SV=1</t>
  </si>
  <si>
    <t>Uncharacterized protein OS=Prunus persica GN=PRUPE_ppa012570mg PE=4 SV=1</t>
  </si>
  <si>
    <t>Uncharacterized protein OS=Prunus persica GN=PRUPE_ppa009897mg PE=4 SV=1</t>
  </si>
  <si>
    <t>Uncharacterized protein OS=Prunus persica GN=PRUPE_ppa024794mg PE=4 SV=1</t>
  </si>
  <si>
    <t>Uncharacterized protein OS=Prunus persica GN=PRUPE_ppa004040mg PE=4 SV=1</t>
  </si>
  <si>
    <t>Uncharacterized protein OS=Prunus persica GN=PRUPE_ppa018559mg PE=4 SV=1</t>
  </si>
  <si>
    <t>Uncharacterized protein OS=Prunus persica GN=PRUPE_ppa001344mg PE=4 SV=1</t>
  </si>
  <si>
    <t>Uncharacterized protein OS=Prunus persica GN=PRUPE_ppa021064mg PE=4 SV=1</t>
  </si>
  <si>
    <t>Uncharacterized protein OS=Prunus persica GN=PRUPE_ppa007430mg PE=4 SV=1</t>
  </si>
  <si>
    <t>Uncharacterized protein OS=Prunus persica GN=PRUPE_ppa026365mg PE=4 SV=1</t>
  </si>
  <si>
    <t>Uncharacterized protein OS=Prunus persica GN=PRUPE_ppa019172mg PE=4 SV=1</t>
  </si>
  <si>
    <t>Uncharacterized protein OS=Prunus persica GN=PRUPE_ppa001025mg PE=4 SV=1</t>
  </si>
  <si>
    <t>Uncharacterized protein OS=Prunus persica GN=PRUPE_ppa003989mg PE=4 SV=1</t>
  </si>
  <si>
    <t>Uncharacterized protein OS=Prunus persica GN=PRUPE_ppb001514mg PE=4 SV=1</t>
  </si>
  <si>
    <t>Uncharacterized protein OS=Prunus persica GN=PRUPE_ppa1027167mg PE=4 SV=1</t>
  </si>
  <si>
    <t>Uncharacterized protein OS=Prunus persica GN=PRUPE_ppa004366mg PE=4 SV=1</t>
  </si>
  <si>
    <t>Uncharacterized protein OS=Prunus persica GN=PRUPE_ppa021447mg PE=4 SV=1</t>
  </si>
  <si>
    <t>Uncharacterized protein OS=Prunus persica GN=PRUPE_ppa008582mg PE=4 SV=1</t>
  </si>
  <si>
    <t>Uncharacterized protein OS=Prunus persica GN=PRUPE_ppa022764mg PE=4 SV=1</t>
  </si>
  <si>
    <t>CYP79D16 OS=Prunus dulcis PE=2 SV=1</t>
  </si>
  <si>
    <t>Uncharacterized protein OS=Prunus persica GN=PRUPE_ppa010035mg PE=4 SV=1</t>
  </si>
  <si>
    <t>Uncharacterized protein OS=Prunus persica GN=PRUPE_ppa001951mg PE=4 SV=1</t>
  </si>
  <si>
    <t>Uncharacterized protein OS=Prunus persica GN=PRUPE_ppa005423mg PE=4 SV=1</t>
  </si>
  <si>
    <t>Phospholipase D OS=Prunus persica GN=PRUPE_ppa022510mg PE=3 SV=1</t>
  </si>
  <si>
    <t>Uncharacterized protein OS=Prunus persica GN=PRUPE_ppa008942mg PE=3 SV=1</t>
  </si>
  <si>
    <t>Uncharacterized protein OS=Prunus persica GN=PRUPE_ppa010684mg PE=4 SV=1</t>
  </si>
  <si>
    <t>Uncharacterized protein OS=Prunus persica GN=PRUPE_ppa001984mg PE=4 SV=1</t>
  </si>
  <si>
    <t>Uncharacterized protein OS=Prunus persica GN=PRUPE_ppa004612mg PE=4 SV=1</t>
  </si>
  <si>
    <t>Uncharacterized protein (Fragment) OS=Prunus persica GN=PRUPE_ppa014907mg PE=4 SV=1</t>
  </si>
  <si>
    <t>Uncharacterized protein OS=Prunus persica GN=PRUPE_ppa015010mg PE=4 SV=1</t>
  </si>
  <si>
    <t>Uncharacterized protein OS=Prunus persica GN=PRUPE_ppa009212mg PE=4 SV=1</t>
  </si>
  <si>
    <t>Uncharacterized protein (Fragment) OS=Prunus persica GN=PRUPE_ppb013914mg PE=4 SV=1</t>
  </si>
  <si>
    <t>Uncharacterized protein OS=Prunus persica GN=PRUPE_ppa013724mg PE=4 SV=1</t>
  </si>
  <si>
    <t>Putative uncharacterized protein (Fragment) OS=Vitis vinifera GN=VIT_00s1403g00010 PE=4 SV=1</t>
  </si>
  <si>
    <t>Uncharacterized protein OS=Prunus persica GN=PRUPE_ppa018732mg PE=4 SV=1</t>
  </si>
  <si>
    <t>Uncharacterized protein OS=Prunus persica GN=PRUPE_ppa015862mg PE=4 SV=1</t>
  </si>
  <si>
    <t>S-acyltransferase OS=Prunus persica GN=PRUPE_ppa009634mg PE=3 SV=1</t>
  </si>
  <si>
    <t>Uncharacterized protein OS=Prunus persica GN=PRUPE_ppa002652mg PE=4 SV=1</t>
  </si>
  <si>
    <t>Uncharacterized protein OS=Prunus persica GN=PRUPE_ppa009318mg PE=4 SV=1</t>
  </si>
  <si>
    <t>Uncharacterized protein OS=Prunus persica GN=PRUPE_ppa001766mg PE=4 SV=1</t>
  </si>
  <si>
    <t>Uncharacterized protein OS=Prunus persica GN=PRUPE_ppa017312mg PE=4 SV=1</t>
  </si>
  <si>
    <t>Uncharacterized protein OS=Prunus persica GN=PRUPE_ppa002861mg PE=4 SV=1</t>
  </si>
  <si>
    <t>Uncharacterized protein OS=Prunus persica GN=PRUPE_ppa003907mg PE=4 SV=1</t>
  </si>
  <si>
    <t>Uncharacterized protein OS=Prunus persica GN=PRUPE_ppa003757mg PE=4 SV=1</t>
  </si>
  <si>
    <t>Uncharacterized protein OS=Prunus persica GN=PRUPE_ppa003350mg PE=4 SV=1</t>
  </si>
  <si>
    <t>Uncharacterized protein OS=Prunus persica GN=PRUPE_ppa016354mg PE=4 SV=1</t>
  </si>
  <si>
    <t>Uncharacterized protein OS=Prunus persica GN=PRUPE_ppa004302mg PE=4 SV=1</t>
  </si>
  <si>
    <t>Uncharacterized protein OS=Prunus persica GN=PRUPE_ppa008648mg PE=4 SV=1</t>
  </si>
  <si>
    <t>Uncharacterized protein (Fragment) OS=Citrus sinensis GN=CISIN_1g0487442mg PE=4 SV=1</t>
  </si>
  <si>
    <t>Uncharacterized protein OS=Prunus persica GN=PRUPE_ppa006116mg PE=4 SV=1</t>
  </si>
  <si>
    <t>Uncharacterized protein OS=Prunus persica GN=PRUPE_ppa011834mg PE=4 SV=1</t>
  </si>
  <si>
    <t>Uncharacterized protein OS=Prunus persica GN=PRUPE_ppa001243mg PE=4 SV=1</t>
  </si>
  <si>
    <t>Uncharacterized protein OS=Prunus persica GN=PRUPE_ppa024208mg PE=4 SV=1</t>
  </si>
  <si>
    <t>Uncharacterized protein OS=Prunus persica GN=PRUPE_ppa021707mg PE=4 SV=1</t>
  </si>
  <si>
    <t>Uncharacterized protein OS=Prunus persica GN=PRUPE_ppa009865mg PE=4 SV=1</t>
  </si>
  <si>
    <t>MATE efflux family protein OS=Prunus persica GN=PRUPE_ppa004771mg PE=3 SV=1</t>
  </si>
  <si>
    <t>Uncharacterized protein OS=Prunus persica GN=PRUPE_ppa013050mg PE=4 SV=1</t>
  </si>
  <si>
    <t>Uncharacterized protein OS=Prunus persica GN=PRUPE_ppa002461mg PE=4 SV=1</t>
  </si>
  <si>
    <t>Uncharacterized protein OS=Prunus persica GN=PRUPE_ppa025406mg PE=4 SV=1</t>
  </si>
  <si>
    <t>Uncharacterized protein OS=Prunus persica GN=PRUPE_ppa004623mg PE=4 SV=1</t>
  </si>
  <si>
    <t>Uncharacterized protein OS=Prunus persica GN=PRUPE_ppa013393mg PE=4 SV=1</t>
  </si>
  <si>
    <t>Uncharacterized protein OS=Prunus persica GN=PRUPE_ppa017996mg PE=4 SV=1</t>
  </si>
  <si>
    <t>Uncharacterized protein OS=Prunus persica GN=PRUPE_ppa021741mg PE=4 SV=1</t>
  </si>
  <si>
    <t>Histone H2A OS=Prunus persica GN=PRUPE_ppa012888mg PE=3 SV=1</t>
  </si>
  <si>
    <t>Uncharacterized protein OS=Cucumis sativus GN=Csa_3G117430 PE=4 SV=1</t>
  </si>
  <si>
    <t>Uncharacterized protein OS=Prunus persica GN=PRUPE_ppa1027134mg PE=4 SV=1</t>
  </si>
  <si>
    <t>Uncharacterized protein OS=Prunus persica GN=PRUPE_ppa000416mg PE=4 SV=1</t>
  </si>
  <si>
    <t>60S ribosomal protein L27 OS=Prunus persica GN=PRUPE_ppa013188mg PE=3 SV=1</t>
  </si>
  <si>
    <t>Uncharacterized protein OS=Prunus persica GN=PRUPE_ppa005434mg PE=4 SV=1</t>
  </si>
  <si>
    <t>Uncharacterized protein OS=Prunus persica GN=PRUPE_ppa000250mg PE=4 SV=1</t>
  </si>
  <si>
    <t>Uncharacterized protein OS=Prunus persica GN=PRUPE_ppa011859mg PE=4 SV=1</t>
  </si>
  <si>
    <t>Uncharacterized protein OS=Prunus persica GN=PRUPE_ppa013701mg PE=4 SV=1</t>
  </si>
  <si>
    <t>Uncharacterized protein OS=Prunus persica GN=PRUPE_ppa011024mg PE=4 SV=1</t>
  </si>
  <si>
    <t>Uncharacterized protein OS=Prunus persica GN=PRUPE_ppa004055mg PE=4 SV=1</t>
  </si>
  <si>
    <t>Uncharacterized protein OS=Prunus persica GN=PRUPE_ppa001559mg PE=4 SV=1</t>
  </si>
  <si>
    <t>Uncharacterized protein OS=Prunus persica GN=PRUPE_ppa007244mg PE=4 SV=1</t>
  </si>
  <si>
    <t>Pectinesterase (Fragment) OS=Prunus persica GN=PRUPE_ppa021446mg PE=3 SV=1</t>
  </si>
  <si>
    <t>Uncharacterized protein OS=Prunus persica GN=PRUPE_ppa002090mg PE=4 SV=1</t>
  </si>
  <si>
    <t>Uncharacterized protein (Fragment) OS=Prunus persica GN=PRUPE_ppa017542mg PE=4 SV=1</t>
  </si>
  <si>
    <t>Uncharacterized protein OS=Prunus persica GN=PRUPE_ppa011604mg PE=4 SV=1</t>
  </si>
  <si>
    <t>Uncharacterized protein OS=Prunus persica GN=PRUPE_ppa016120mg PE=4 SV=1</t>
  </si>
  <si>
    <t>Uncharacterized protein OS=Populus trichocarpa GN=POPTR_0008s11800g PE=4 SV=2</t>
  </si>
  <si>
    <t>Uncharacterized protein OS=Prunus persica GN=PRUPE_ppa026926mg PE=4 SV=1</t>
  </si>
  <si>
    <t>Uncharacterized protein OS=Prunus persica GN=PRUPE_ppa001248mg PE=4 SV=1</t>
  </si>
  <si>
    <t>Uncharacterized protein OS=Prunus persica GN=PRUPE_ppa011245mg PE=4 SV=1</t>
  </si>
  <si>
    <t>Uncharacterized protein OS=Prunus persica GN=PRUPE_ppa002338mg PE=4 SV=1</t>
  </si>
  <si>
    <t>Uncharacterized protein OS=Prunus persica GN=PRUPE_ppa025637mg PE=4 SV=1</t>
  </si>
  <si>
    <t>Uncharacterized protein (Fragment) OS=Prunus persica GN=PRUPE_ppa019234mg PE=4 SV=1</t>
  </si>
  <si>
    <t>Uncharacterized protein OS=Prunus persica GN=PRUPE_ppa012248mg PE=4 SV=1</t>
  </si>
  <si>
    <t>Uncharacterized protein OS=Prunus persica GN=PRUPE_ppa004073mg PE=4 SV=1</t>
  </si>
  <si>
    <t>Uncharacterized protein OS=Prunus persica GN=PRUPE_ppa009044mg PE=4 SV=1</t>
  </si>
  <si>
    <t>Uncharacterized protein (Fragment) OS=Prunus persica GN=PRUPE_ppa019744mg PE=4 SV=1</t>
  </si>
  <si>
    <t>Uncharacterized protein OS=Prunus persica GN=PRUPE_ppa007374mg PE=3 SV=1</t>
  </si>
  <si>
    <t>Uncharacterized protein OS=Prunus persica GN=PRUPE_ppa006420mg PE=4 SV=1</t>
  </si>
  <si>
    <t>Uncharacterized protein OS=Prunus persica GN=PRUPE_ppa004333mg PE=4 SV=1</t>
  </si>
  <si>
    <t>Uncharacterized protein OS=Prunus persica GN=PRUPE_ppb013600mg PE=4 SV=1</t>
  </si>
  <si>
    <t>Uncharacterized protein OS=Prunus persica GN=PRUPE_ppa012667mg PE=4 SV=1</t>
  </si>
  <si>
    <t>Uncharacterized protein OS=Prunus persica GN=PRUPE_ppa007150mg PE=4 SV=1</t>
  </si>
  <si>
    <t>Uncharacterized protein OS=Prunus persica GN=PRUPE_ppa000321mg PE=4 SV=1</t>
  </si>
  <si>
    <t>Uncharacterized protein OS=Prunus persica GN=PRUPE_ppa011577mg PE=4 SV=1</t>
  </si>
  <si>
    <t>Uncharacterized protein OS=Prunus persica GN=PRUPE_ppb013833mg PE=4 SV=1</t>
  </si>
  <si>
    <t>Uncharacterized protein OS=Prunus persica GN=PRUPE_ppa009933mg PE=4 SV=1</t>
  </si>
  <si>
    <t>Uncharacterized protein OS=Prunus persica GN=PRUPE_ppa002750mg PE=3 SV=1</t>
  </si>
  <si>
    <t>Uncharacterized protein OS=Jatropha curcas GN=JCGZ_15944 PE=4 SV=1</t>
  </si>
  <si>
    <t>Uncharacterized protein OS=Prunus persica GN=PRUPE_ppa021377mg PE=4 SV=1</t>
  </si>
  <si>
    <t>Uncharacterized protein OS=Prunus persica GN=PRUPE_ppa005258mg PE=3 SV=1</t>
  </si>
  <si>
    <t>Uncharacterized protein OS=Prunus persica GN=PRUPE_ppa003396mg PE=4 SV=1</t>
  </si>
  <si>
    <t>Uncharacterized protein (Fragment) OS=Prunus persica GN=PRUPE_ppa006120m2g PE=4 SV=1</t>
  </si>
  <si>
    <t>Uncharacterized protein OS=Prunus persica GN=PRUPE_ppa005725mg PE=4 SV=1</t>
  </si>
  <si>
    <t>Methylcrotonoyl-CoA carboxylase subunit alpha OS=Morus notabilis GN=L484_002045 PE=4 SV=1</t>
  </si>
  <si>
    <t>Uncharacterized protein OS=Prunus persica GN=PRUPE_ppa006930mg PE=3 SV=1</t>
  </si>
  <si>
    <t>Uncharacterized protein OS=Prunus persica GN=PRUPE_ppa010537mg PE=3 SV=1</t>
  </si>
  <si>
    <t>Uncharacterized protein OS=Prunus persica GN=PRUPE_ppa007790mg PE=3 SV=1</t>
  </si>
  <si>
    <t>Uncharacterized protein OS=Prunus persica GN=PRUPE_ppa009197mg PE=4 SV=1</t>
  </si>
  <si>
    <t>Pectate lyase OS=Prunus persica GN=PRUPE_ppa006569mg PE=3 SV=1</t>
  </si>
  <si>
    <t>Uncharacterized protein OS=Prunus persica GN=PRUPE_ppa003922mg PE=4 SV=1</t>
  </si>
  <si>
    <t>F-box family protein OS=Prunus persica GN=PRUPE_ppa004699mg PE=2 SV=1</t>
  </si>
  <si>
    <t>Uncharacterized protein OS=Prunus persica GN=PRUPE_ppa016540mg PE=4 SV=1</t>
  </si>
  <si>
    <t>Uncharacterized protein OS=Prunus persica GN=PRUPE_ppa010285mg PE=3 SV=1</t>
  </si>
  <si>
    <t>Uncharacterized protein OS=Prunus persica GN=PRUPE_ppa008371mg PE=4 SV=1</t>
  </si>
  <si>
    <t>Uncharacterized protein OS=Prunus persica GN=PRUPE_ppa001698mg PE=3 SV=1</t>
  </si>
  <si>
    <t>Methyltransferase OS=Prunus armeniaca PE=2 SV=1</t>
  </si>
  <si>
    <t>Uncharacterized protein OS=Prunus persica GN=PRUPE_ppa002660mg PE=4 SV=1</t>
  </si>
  <si>
    <t>Uncharacterized protein OS=Prunus persica GN=PRUPE_ppa017446mg PE=4 SV=1</t>
  </si>
  <si>
    <t>Sucrose transporter OS=Prunus persica GN=SUT PE=2 SV=1</t>
  </si>
  <si>
    <t>Putative uncharacterized protein F5K20_130 OS=Arabidopsis thaliana GN=F5K20_130 PE=4 SV=1</t>
  </si>
  <si>
    <t>Uncharacterized protein OS=Prunus persica GN=PRUPE_ppa022765mg PE=4 SV=1</t>
  </si>
  <si>
    <t>Uncharacterized protein OS=Prunus persica GN=PRUPE_ppa016136mg PE=4 SV=1</t>
  </si>
  <si>
    <t>Uncharacterized protein OS=Prunus persica GN=PRUPE_ppa009442mg PE=4 SV=1</t>
  </si>
  <si>
    <t>Uncharacterized protein OS=Prunus persica GN=PRUPE_ppa005087mg PE=4 SV=1</t>
  </si>
  <si>
    <t>Uncharacterized protein OS=Prunus persica GN=PRUPE_ppa001789mg PE=4 SV=1</t>
  </si>
  <si>
    <t>Uncharacterized protein OS=Prunus persica GN=PRUPE_ppa023391mg PE=4 SV=1</t>
  </si>
  <si>
    <t>Uncharacterized protein (Fragment) OS=Prunus persica GN=PRUPE_ppa021111mg PE=3 SV=1</t>
  </si>
  <si>
    <t>Uncharacterized protein OS=Prunus persica GN=PRUPE_ppa004041mg PE=4 SV=1</t>
  </si>
  <si>
    <t>Uncharacterized protein OS=Prunus persica GN=PRUPE_ppa017969mg PE=4 SV=1</t>
  </si>
  <si>
    <t>Uncharacterized protein OS=Prunus persica GN=PRUPE_ppa013598mg PE=4 SV=1</t>
  </si>
  <si>
    <t>Uncharacterized protein OS=Prunus persica GN=PRUPE_ppa002259mg PE=4 SV=1</t>
  </si>
  <si>
    <t>Uncharacterized protein OS=Prunus persica GN=PRUPE_ppa017655mg PE=4 SV=1</t>
  </si>
  <si>
    <t>Laccase OS=Prunus persica GN=PRUPE_ppa003587mg PE=3 SV=1</t>
  </si>
  <si>
    <t>Uncharacterized protein OS=Prunus persica GN=PRUPE_ppa024531mg PE=4 SV=1</t>
  </si>
  <si>
    <t>Uncharacterized protein OS=Prunus persica GN=PRUPE_ppa001842mg PE=3 SV=1</t>
  </si>
  <si>
    <t>Uncharacterized protein OS=Prunus persica GN=PRUPE_ppa000623mg PE=4 SV=1</t>
  </si>
  <si>
    <t>Uncharacterized protein (Fragment) OS=Prunus persica GN=PRUPE_ppa015759mg PE=4 SV=1</t>
  </si>
  <si>
    <t>Uncharacterized protein OS=Prunus persica GN=PRUPE_ppa013771mg PE=4 SV=1</t>
  </si>
  <si>
    <t>Uncharacterized protein OS=Prunus persica GN=PRUPE_ppa010515mg PE=4 SV=1</t>
  </si>
  <si>
    <t>Uncharacterized protein OS=Prunus persica GN=PRUPE_ppa003807mg PE=3 SV=1</t>
  </si>
  <si>
    <t>Uncharacterized protein OS=Prunus persica GN=PRUPE_ppa003083mg PE=4 SV=1</t>
  </si>
  <si>
    <t>Uncharacterized protein OS=Prunus persica GN=PRUPE_ppa012681mg PE=4 SV=1</t>
  </si>
  <si>
    <t>Potassium transporter OS=Prunus persica GN=KUP11 PE=2 SV=1</t>
  </si>
  <si>
    <t>Uncharacterized protein OS=Prunus persica GN=PRUPE_ppa006870mg PE=4 SV=1</t>
  </si>
  <si>
    <t>Uncharacterized protein OS=Prunus persica GN=PRUPE_ppa002324mg PE=4 SV=1</t>
  </si>
  <si>
    <t>Uncharacterized protein OS=Prunus persica GN=PRUPE_ppa011150mg PE=4 SV=1</t>
  </si>
  <si>
    <t>Uncharacterized protein (Fragment) OS=Prunus persica GN=PRUPE_ppa019612mg PE=4 SV=1</t>
  </si>
  <si>
    <t>Uncharacterized protein OS=Prunus persica GN=PRUPE_ppa009653mg PE=4 SV=1</t>
  </si>
  <si>
    <t>DNA mismatch repair protein pms2, putative isoform 1 OS=Theobroma cacao GN=TCM_004628 PE=4 SV=1</t>
  </si>
  <si>
    <t>Uncharacterized protein OS=Prunus persica GN=PRUPE_ppa020366mg PE=4 SV=1</t>
  </si>
  <si>
    <t>Uncharacterized protein OS=Prunus persica GN=PRUPE_ppa011113mg PE=3 SV=1</t>
  </si>
  <si>
    <t>Uncharacterized protein OS=Prunus persica GN=PRUPE_ppa005196mg PE=4 SV=1</t>
  </si>
  <si>
    <t>Uncharacterized protein OS=Prunus persica GN=PRUPE_ppa011887mg PE=4 SV=1</t>
  </si>
  <si>
    <t>Uncharacterized protein OS=Prunus persica GN=PRUPE_ppa001854mg PE=4 SV=1</t>
  </si>
  <si>
    <t>Uncharacterized protein OS=Morus notabilis GN=L484_006666 PE=4 SV=1</t>
  </si>
  <si>
    <t>Uncharacterized protein OS=Prunus persica GN=PRUPE_ppa002055mg PE=3 SV=1</t>
  </si>
  <si>
    <t>Uncharacterized protein OS=Prunus persica GN=PRUPE_ppa011609mg PE=4 SV=1</t>
  </si>
  <si>
    <t>Uncharacterized protein OS=Prunus persica GN=PRUPE_ppa001337mg PE=4 SV=1</t>
  </si>
  <si>
    <t>Uncharacterized protein OS=Prunus persica GN=PRUPE_ppa020957mg PE=3 SV=1</t>
  </si>
  <si>
    <t>Putative uncharacterized protein OS=Vitis vinifera GN=VIT_18s0122g00160 PE=3 SV=1</t>
  </si>
  <si>
    <t>Uncharacterized protein OS=Prunus persica GN=PRUPE_ppa000207mg PE=4 SV=1</t>
  </si>
  <si>
    <t>Uncharacterized protein OS=Prunus persica GN=PRUPE_ppa002239mg PE=4 SV=1</t>
  </si>
  <si>
    <t>Uncharacterized protein OS=Prunus persica GN=PRUPE_ppa008937mg PE=4 SV=1</t>
  </si>
  <si>
    <t>Uncharacterized protein OS=Prunus persica GN=PRUPE_ppa013149mg PE=4 SV=1</t>
  </si>
  <si>
    <t>Uncharacterized protein OS=Prunus persica GN=PRUPE_ppa004516mg PE=4 SV=1</t>
  </si>
  <si>
    <t>Uncharacterized protein OS=Prunus persica GN=PRUPE_ppa000135mg PE=4 SV=1</t>
  </si>
  <si>
    <t>Uncharacterized protein OS=Prunus persica GN=PRUPE_ppa007361mg PE=3 SV=1</t>
  </si>
  <si>
    <t>Uncharacterized protein OS=Prunus persica GN=PRUPE_ppa021292mg PE=4 SV=1</t>
  </si>
  <si>
    <t>Uncharacterized protein OS=Prunus persica GN=PRUPE_ppa010513mg PE=3 SV=1</t>
  </si>
  <si>
    <t>Uncharacterized protein OS=Prunus persica GN=PRUPE_ppa006015mg PE=4 SV=1</t>
  </si>
  <si>
    <t>Uncharacterized protein OS=Prunus persica GN=PRUPE_ppa014850mg PE=4 SV=1</t>
  </si>
  <si>
    <t>Uncharacterized protein OS=Prunus persica GN=PRUPE_ppa012685mg PE=4 SV=1</t>
  </si>
  <si>
    <t>Uncharacterized protein OS=Prunus persica GN=PRUPE_ppa008509mg PE=3 SV=1</t>
  </si>
  <si>
    <t>Uncharacterized protein OS=Prunus persica GN=PRUPE_ppa001295mg PE=4 SV=1</t>
  </si>
  <si>
    <t>Uncharacterized protein OS=Prunus persica GN=PRUPE_ppa006297mg PE=4 SV=1</t>
  </si>
  <si>
    <t>Predicted protein OS=Nectria haematococca (strain 77-13-4 / ATCC MYA-4622 / FGSC 9596 / MPVI) GN=NECHADRAFT_93281 PE=4 SV=1</t>
  </si>
  <si>
    <t>Uncharacterized protein OS=Prunus persica GN=PRUPE_ppa007397mg PE=4 SV=1</t>
  </si>
  <si>
    <t>Uncharacterized protein (Fragment) OS=Prunus persica GN=PRUPE_ppa024130mg PE=4 SV=1</t>
  </si>
  <si>
    <t>Uncharacterized protein OS=Prunus persica GN=PRUPE_ppa012217mg PE=4 SV=1</t>
  </si>
  <si>
    <t>Uncharacterized protein (Fragment) OS=Prunus persica GN=PRUPE_ppa023164mg PE=4 SV=1</t>
  </si>
  <si>
    <t>Uncharacterized protein OS=Prunus persica GN=PRUPE_ppa000404mg PE=3 SV=1</t>
  </si>
  <si>
    <t>Beta-galactosidase OS=Morus notabilis GN=L484_013376 PE=3 SV=1</t>
  </si>
  <si>
    <t>Uncharacterized protein OS=Prunus persica GN=PRUPE_ppa005748mg PE=4 SV=1</t>
  </si>
  <si>
    <t>Uncharacterized protein (Fragment) OS=Prunus persica GN=PRUPE_ppa014856mg PE=4 SV=1</t>
  </si>
  <si>
    <t>Uncharacterized protein OS=Prunus persica GN=PRUPE_ppa000429mg PE=4 SV=1</t>
  </si>
  <si>
    <t>Uncharacterized protein OS=Prunus persica GN=PRUPE_ppa007863mg PE=4 SV=1</t>
  </si>
  <si>
    <t>Ubiquitin carboxyl-terminal hydrolase OS=Jatropha curcas GN=JCGZ_23913 PE=3 SV=1</t>
  </si>
  <si>
    <t>Uncharacterized protein OS=Prunus persica GN=PRUPE_ppa001707mg PE=4 SV=1</t>
  </si>
  <si>
    <t>Uncharacterized protein OS=Prunus persica GN=PRUPE_ppa002108mg PE=4 SV=1</t>
  </si>
  <si>
    <t>Uncharacterized protein OS=Prunus persica GN=PRUPE_ppa023923mg PE=3 SV=1</t>
  </si>
  <si>
    <t>Uncharacterized protein OS=Prunus persica GN=PRUPE_ppa008091mg PE=3 SV=1</t>
  </si>
  <si>
    <t>Uncharacterized protein OS=Prunus persica GN=PRUPE_ppa001878mg PE=3 SV=1</t>
  </si>
  <si>
    <t>Uncharacterized protein OS=Prunus persica GN=PRUPE_ppa002340mg PE=4 SV=1</t>
  </si>
  <si>
    <t>Uncharacterized protein (Fragment) OS=Prunus persica GN=PRUPE_ppa019491mg PE=4 SV=1</t>
  </si>
  <si>
    <t>Uncharacterized protein OS=Prunus persica GN=PRUPE_ppa000251mg PE=4 SV=1</t>
  </si>
  <si>
    <t>Uncharacterized protein OS=Jatropha curcas GN=JCGZ_04353 PE=4 SV=1</t>
  </si>
  <si>
    <t>Uncharacterized protein OS=Prunus persica GN=PRUPE_ppa000782mg PE=4 SV=1</t>
  </si>
  <si>
    <t>Uncharacterized protein OS=Prunus persica GN=PRUPE_ppa012397mg PE=4 SV=1</t>
  </si>
  <si>
    <t>Uncharacterized protein OS=Prunus persica GN=PRUPE_ppa003282mg PE=3 SV=1</t>
  </si>
  <si>
    <t>Uncharacterized protein OS=Prunus persica GN=PRUPE_ppa002982mg PE=3 SV=1</t>
  </si>
  <si>
    <t>Uncharacterized protein OS=Prunus persica GN=PRUPE_ppa004886mg PE=4 SV=1</t>
  </si>
  <si>
    <t>Uncharacterized protein OS=Prunus persica GN=PRUPE_ppa002552mg PE=4 SV=1</t>
  </si>
  <si>
    <t>Uncharacterized protein OS=Prunus persica GN=PRUPE_ppa006699mg PE=4 SV=1</t>
  </si>
  <si>
    <t>Uncharacterized protein OS=Prunus persica GN=PRUPE_ppa006813mg PE=4 SV=1</t>
  </si>
  <si>
    <t>Uncharacterized protein OS=Prunus persica GN=PRUPE_ppa024606mg PE=4 SV=1</t>
  </si>
  <si>
    <t>Uncharacterized protein OS=Prunus persica GN=PRUPE_ppa008699mg PE=4 SV=1</t>
  </si>
  <si>
    <t>Uncharacterized protein OS=Prunus persica GN=PRUPE_ppa022982mg PE=4 SV=1</t>
  </si>
  <si>
    <t>Uncharacterized protein OS=Prunus persica GN=PRUPE_ppa007577mg PE=4 SV=1</t>
  </si>
  <si>
    <t>Acetyl-coenzyme A carboxylase carboxyl transferase subunit beta, chloroplastic OS=Prunus kansuensis GN=accD PE=3 SV=1</t>
  </si>
  <si>
    <t>NAD-dependent protein deacylase OS=Citrus sinensis GN=CISIN_1g015613mg PE=3 SV=1</t>
  </si>
  <si>
    <t>Uncharacterized protein OS=Prunus persica GN=PRUPE_ppa001024mg PE=4 SV=1</t>
  </si>
  <si>
    <t>Uncharacterized protein OS=Prunus persica GN=PRUPE_ppa001172mg PE=4 SV=1</t>
  </si>
  <si>
    <t>Uncharacterized protein OS=Prunus persica GN=PRUPE_ppa004265mg PE=3 SV=1</t>
  </si>
  <si>
    <t>Uncharacterized protein OS=Prunus persica GN=PRUPE_ppa002151mg PE=4 SV=1</t>
  </si>
  <si>
    <t>Uncharacterized protein OS=Prunus persica GN=PRUPE_ppa004761mg PE=4 SV=1</t>
  </si>
  <si>
    <t>Uncharacterized protein OS=Prunus persica GN=PRUPE_ppa008174mg PE=3 SV=1</t>
  </si>
  <si>
    <t>Uncharacterized protein OS=Prunus persica GN=PRUPE_ppa013474mg PE=4 SV=1</t>
  </si>
  <si>
    <t>Uncharacterized protein OS=Prunus persica GN=PRUPE_ppa004938mg PE=3 SV=1</t>
  </si>
  <si>
    <t>Uncharacterized protein OS=Prunus persica GN=PRUPE_ppb008123mg PE=4 SV=1</t>
  </si>
  <si>
    <t>Flavin-containing monooxygenase OS=Prunus persica GN=PRUPE_ppa024927mg PE=3 SV=1</t>
  </si>
  <si>
    <t>Putative uncharacterized protein OS=Vitis vinifera GN=VITISV_014294 PE=4 SV=1</t>
  </si>
  <si>
    <t>Uncharacterized protein OS=Prunus persica GN=PRUPE_ppa003707mg PE=4 SV=1</t>
  </si>
  <si>
    <t>Uncharacterized protein OS=Prunus persica GN=PRUPE_ppa014749mg PE=4 SV=1</t>
  </si>
  <si>
    <t>Uncharacterized protein OS=Prunus persica GN=PRUPE_ppa020916mg PE=4 SV=1</t>
  </si>
  <si>
    <t>Uncharacterized protein OS=Prunus persica GN=PRUPE_ppa002559mg PE=4 SV=1</t>
  </si>
  <si>
    <t>Uncharacterized protein OS=Prunus persica GN=PRUPE_ppa007778mg PE=4 SV=1</t>
  </si>
  <si>
    <t>Uncharacterized protein (Fragment) OS=Prunus persica GN=PRUPE_ppa022709mg PE=4 SV=1</t>
  </si>
  <si>
    <t>Glyceraldehyde-3-phosphate dehydrogenase OS=Prunus persica GN=PRUPE_ppa006610mg PE=3 SV=1</t>
  </si>
  <si>
    <t>Uncharacterized protein OS=Prunus persica GN=PRUPE_ppa005689mg PE=3 SV=1</t>
  </si>
  <si>
    <t>Uncharacterized protein OS=Prunus persica GN=PRUPE_ppa017436mg PE=4 SV=1</t>
  </si>
  <si>
    <t>Uncharacterized protein OS=Prunus persica GN=PRUPE_ppa010640mg PE=4 SV=1</t>
  </si>
  <si>
    <t>Uncharacterized protein OS=Prunus persica GN=PRUPE_ppa000913mg PE=4 SV=1</t>
  </si>
  <si>
    <t>Calcium-transporting ATPase OS=Prunus persica GN=PRUPE_ppa000670mg PE=3 SV=1</t>
  </si>
  <si>
    <t>Uncharacterized protein OS=Prunus persica GN=PRUPE_ppa013120mg PE=4 SV=1</t>
  </si>
  <si>
    <t>Copia protein (Fragment) OS=Glycine soja GN=glysoja_047649 PE=4 SV=1</t>
  </si>
  <si>
    <t>Uncharacterized protein (Fragment) OS=Prunus persica GN=PRUPE_ppa022706mg PE=4 SV=1</t>
  </si>
  <si>
    <t>Uncharacterized protein OS=Prunus persica GN=PRUPE_ppa025037mg PE=4 SV=1</t>
  </si>
  <si>
    <t>Peroxidase OS=Prunus persica GN=PRUPE_ppa008808mg PE=3 SV=1</t>
  </si>
  <si>
    <t>Uncharacterized protein OS=Prunus persica GN=PRUPE_ppa015480mg PE=4 SV=1</t>
  </si>
  <si>
    <t>Uncharacterized protein OS=Prunus persica GN=PRUPE_ppa004057mg PE=4 SV=1</t>
  </si>
  <si>
    <t>Uncharacterized protein OS=Prunus persica GN=PRUPE_ppa007895mg PE=4 SV=1</t>
  </si>
  <si>
    <t>Uncharacterized protein OS=Prunus persica GN=PRUPE_ppa013066mg PE=4 SV=1</t>
  </si>
  <si>
    <t>Vinorine synthase OS=Morus notabilis GN=L484_027601 PE=4 SV=1</t>
  </si>
  <si>
    <t>Uncharacterized protein OS=Prunus persica GN=PRUPE_ppa000309mg PE=4 SV=1</t>
  </si>
  <si>
    <t>Uncharacterized protein OS=Prunus persica GN=PRUPE_ppa024913mg PE=3 SV=1</t>
  </si>
  <si>
    <t>Uncharacterized protein OS=Prunus persica GN=PRUPE_ppa004582mg PE=4 SV=1</t>
  </si>
  <si>
    <t>Uncharacterized protein OS=Prunus persica GN=PRUPE_ppa004800mg PE=4 SV=1</t>
  </si>
  <si>
    <t>Uncharacterized protein OS=Prunus persica GN=PRUPE_ppa000558mg PE=4 SV=1</t>
  </si>
  <si>
    <t>Uncharacterized protein OS=Prunus persica GN=PRUPE_ppa007678mg PE=3 SV=1</t>
  </si>
  <si>
    <t>UDP-D-glucose pyrophosphorylase (Fragment) OS=Prunus persica GN=UGP PE=2 SV=1</t>
  </si>
  <si>
    <t>Uncharacterized protein OS=Prunus persica GN=PRUPE_ppa004013mg PE=4 SV=1</t>
  </si>
  <si>
    <t>Uncharacterized protein OS=Prunus persica GN=PRUPE_ppa000112mg PE=4 SV=1</t>
  </si>
  <si>
    <t>HAT transposon superfamily OS=Theobroma cacao GN=TCM_016057 PE=4 SV=1</t>
  </si>
  <si>
    <t>Uncharacterized protein OS=Prunus persica GN=PRUPE_ppb014229mg PE=4 SV=1</t>
  </si>
  <si>
    <t>Uncharacterized protein OS=Prunus persica GN=PRUPE_ppa002792mg PE=4 SV=1</t>
  </si>
  <si>
    <t>Uncharacterized protein OS=Prunus persica GN=PRUPE_ppa006006mg PE=4 SV=1</t>
  </si>
  <si>
    <t>Uncharacterized protein OS=Prunus persica GN=PRUPE_ppa025952mg PE=4 SV=1</t>
  </si>
  <si>
    <t>Uncharacterized protein OS=Prunus persica GN=PRUPE_ppa007414mg PE=3 SV=1</t>
  </si>
  <si>
    <t>Putative uncharacterized protein OS=Vitis vinifera GN=VIT_08s0007g08190 PE=4 SV=1</t>
  </si>
  <si>
    <t>Uncharacterized protein (Fragment) OS=Prunus persica GN=PRUPE_ppa023032mg PE=4 SV=1</t>
  </si>
  <si>
    <t>DNA repair RAD51-like protein OS=Medicago truncatula GN=MTR_2g093050 PE=4 SV=2</t>
  </si>
  <si>
    <t>Uncharacterized protein (Fragment) OS=Prunus persica GN=PRUPE_ppa017400mg PE=4 SV=1</t>
  </si>
  <si>
    <t>Carboxypeptidase (Fragment) OS=Prunus persica GN=PRUPE_ppa023729mg PE=3 SV=1</t>
  </si>
  <si>
    <t>Uncharacterized protein OS=Prunus persica GN=PRUPE_ppb022060mg PE=4 SV=1</t>
  </si>
  <si>
    <t>Uncharacterized protein OS=Prunus persica GN=PRUPE_ppa011231mg PE=3 SV=1</t>
  </si>
  <si>
    <t>Uncharacterized protein OS=Prunus persica GN=PRUPE_ppb018825mg PE=4 SV=1</t>
  </si>
  <si>
    <t>Uncharacterized protein OS=Prunus persica GN=PRUPE_ppa003003mg PE=4 SV=1</t>
  </si>
  <si>
    <t>Uncharacterized protein (Fragment) OS=Prunus persica GN=PRUPE_ppa024631mg PE=4 SV=1</t>
  </si>
  <si>
    <t>Uncharacterized protein OS=Prunus persica GN=PRUPE_ppa009419mg PE=4 SV=1</t>
  </si>
  <si>
    <t>Uncharacterized protein OS=Prunus persica GN=PRUPE_ppa010167mg PE=4 SV=1</t>
  </si>
  <si>
    <t>Uncharacterized protein OS=Prunus persica GN=PRUPE_ppa011404mg PE=4 SV=1</t>
  </si>
  <si>
    <t>Uncharacterized protein OS=Prunus persica GN=PRUPE_ppa007013mg PE=4 SV=1</t>
  </si>
  <si>
    <t>Uncharacterized protein OS=Prunus persica GN=PRUPE_ppa013170mg PE=4 SV=1</t>
  </si>
  <si>
    <t>Uncharacterized protein OS=Prunus persica GN=PRUPE_ppa000029mg PE=4 SV=1</t>
  </si>
  <si>
    <t>Uncharacterized protein OS=Prunus persica GN=PRUPE_ppa011382mg PE=4 SV=1</t>
  </si>
  <si>
    <t>Uncharacterized protein (Fragment) OS=Prunus persica GN=PRUPE_ppa020609mg PE=4 SV=1</t>
  </si>
  <si>
    <t>Uncharacterized protein OS=Solanum lycopersicum GN=rpl2 PE=3 SV=1</t>
  </si>
  <si>
    <t>Uncharacterized protein OS=Prunus persica GN=PRUPE_ppa011048mg PE=4 SV=1</t>
  </si>
  <si>
    <t>Uncharacterized protein OS=Fusarium oxysporum f. sp. lycopersici (strain 4287 / CBS 123668 / FGSC 9935 / NRRL 34936) GN=FOXG_05162 PE=4 SV=1</t>
  </si>
  <si>
    <t>Uncharacterized protein OS=Prunus persica GN=PRUPE_ppa1027191mg PE=4 SV=1</t>
  </si>
  <si>
    <t>Uncharacterized protein OS=Prunus persica GN=PRUPE_ppa007240mg PE=3 SV=1</t>
  </si>
  <si>
    <t>40S ribosomal protein S6 OS=Prunus persica GN=PRUPE_ppa010485mg PE=3 SV=1</t>
  </si>
  <si>
    <t>Uncharacterized protein OS=Prunus persica GN=PRUPE_ppa018629mg PE=4 SV=1</t>
  </si>
  <si>
    <t>Uncharacterized protein OS=Morus notabilis GN=L484_020441 PE=4 SV=1</t>
  </si>
  <si>
    <t>Uncharacterized protein OS=Prunus persica GN=PRUPE_ppa1027152mg PE=4 SV=1</t>
  </si>
  <si>
    <t>Uncharacterized protein (Fragment) OS=Prunus persica GN=PRUPE_ppa025151mg PE=4 SV=1</t>
  </si>
  <si>
    <t>CASP-like protein OS=Prunus persica GN=PRUPE_ppa010839mg PE=3 SV=1</t>
  </si>
  <si>
    <t>Uncharacterized protein OS=Prunus persica GN=PRUPE_ppa003039mg PE=4 SV=1</t>
  </si>
  <si>
    <t>Uncharacterized protein OS=Prunus persica GN=PRUPE_ppa005930mg PE=4 SV=1</t>
  </si>
  <si>
    <t>Uncharacterized protein OS=Prunus persica GN=PRUPE_ppa013493mg PE=4 SV=1</t>
  </si>
  <si>
    <t>Uncharacterized protein OS=Prunus persica GN=PRUPE_ppa009303mg PE=4 SV=1</t>
  </si>
  <si>
    <t>CONSTANS-like protein OS=Prunus persica GN=PRUPE_ppa008143mg PE=2 SV=1</t>
  </si>
  <si>
    <t>Uncharacterized protein (Fragment) OS=Prunus persica GN=PRUPE_ppa024616mg PE=4 SV=1</t>
  </si>
  <si>
    <t>Uncharacterized protein (Fragment) OS=Prunus persica GN=PRUPE_ppa017262mg PE=4 SV=1</t>
  </si>
  <si>
    <t>Uncharacterized protein OS=Prunus persica GN=PRUPE_ppa007721mg PE=4 SV=1</t>
  </si>
  <si>
    <t>Uncharacterized protein OS=Prunus persica GN=PRUPE_ppa001127mg PE=4 SV=1</t>
  </si>
  <si>
    <t>Uncharacterized protein OS=Prunus persica GN=PRUPE_ppa002539mg PE=4 SV=1</t>
  </si>
  <si>
    <t>Vacuolar protein sorting-associated protein 35 OS=Prunus persica GN=PRUPE_ppa001623mg PE=3 SV=1</t>
  </si>
  <si>
    <t>Uncharacterized protein OS=Prunus persica GN=PRUPE_ppa004422mg PE=4 SV=1</t>
  </si>
  <si>
    <t>Uncharacterized protein OS=Prunus persica GN=PRUPE_ppa001728mg PE=4 SV=1</t>
  </si>
  <si>
    <t>Uncharacterized protein OS=Prunus persica GN=PRUPE_ppa003945mg PE=4 SV=1</t>
  </si>
  <si>
    <t>Uncharacterized protein OS=Prunus persica GN=PRUPE_ppa000603mg PE=4 SV=1</t>
  </si>
  <si>
    <t>Uncharacterized protein OS=Prunus persica GN=PRUPE_ppa006578mg PE=4 SV=1</t>
  </si>
  <si>
    <t>Uncharacterized protein OS=Prunus persica GN=PRUPE_ppa004985mg PE=3 SV=1</t>
  </si>
  <si>
    <t>Uncharacterized protein OS=Prunus persica GN=PRUPE_ppa010004mg PE=4 SV=1</t>
  </si>
  <si>
    <t>Uncharacterized protein OS=Prunus persica GN=PRUPE_ppa017536mg PE=4 SV=1</t>
  </si>
  <si>
    <t>tRNA-dihydrouridine synthase OS=Prunus persica GN=PRUPE_ppa007116mg PE=3 SV=1</t>
  </si>
  <si>
    <t>Uncharacterized protein OS=Prunus persica GN=PRUPE_ppa009157mg PE=4 SV=1</t>
  </si>
  <si>
    <t>Uncharacterized protein OS=Citrus sinensis GN=CISIN_1g041401mg PE=4 SV=1</t>
  </si>
  <si>
    <t>Uncharacterized protein OS=Prunus persica GN=PRUPE_ppa000642mg PE=3 SV=1</t>
  </si>
  <si>
    <t>Purple acid phosphatase OS=Prunus persica GN=PRUPE_ppa005956mg PE=3 SV=1</t>
  </si>
  <si>
    <t>Uncharacterized protein OS=Prunus persica GN=PRUPE_ppa001395mg PE=4 SV=1</t>
  </si>
  <si>
    <t>Uncharacterized protein OS=Prunus persica GN=PRUPE_ppa021720mg PE=4 SV=1</t>
  </si>
  <si>
    <t>Nicalin OS=Prunus persica GN=PRUPE_ppa003566mg PE=3 SV=1</t>
  </si>
  <si>
    <t>Uncharacterized protein OS=Prunus persica GN=PRUPE_ppa000665mg PE=4 SV=1</t>
  </si>
  <si>
    <t>Sodium/hydrogen exchanger OS=Theobroma cacao GN=TCM_030490 PE=3 SV=1</t>
  </si>
  <si>
    <t>Kinesin-like protein OS=Prunus persica GN=PRUPE_ppa001567mg PE=3 SV=1</t>
  </si>
  <si>
    <t>Uncharacterized protein OS=Prunus persica GN=PRUPE_ppa009873mg PE=4 SV=1</t>
  </si>
  <si>
    <t>Uncharacterized protein OS=Prunus persica GN=PRUPE_ppa008947mg PE=3 SV=1</t>
  </si>
  <si>
    <t>Uncharacterized protein OS=Prunus persica GN=PRUPE_ppa004663mg PE=4 SV=1</t>
  </si>
  <si>
    <t>Uncharacterized protein OS=Prunus persica GN=PRUPE_ppa019863mg PE=4 SV=1</t>
  </si>
  <si>
    <t>Uncharacterized protein OS=Prunus persica GN=PRUPE_ppa009306mg PE=3 SV=1</t>
  </si>
  <si>
    <t>Uncharacterized protein OS=Prunus persica GN=PRUPE_ppa006785mg PE=4 SV=1</t>
  </si>
  <si>
    <t>Uncharacterized protein OS=Prunus persica GN=PRUPE_ppa008920mg PE=4 SV=1</t>
  </si>
  <si>
    <t>Uncharacterized protein OS=Prunus persica GN=PRUPE_ppa009691mg PE=3 SV=1</t>
  </si>
  <si>
    <t>Uncharacterized protein OS=Prunus persica GN=PRUPE_ppa003122mg PE=4 SV=1</t>
  </si>
  <si>
    <t>Uncharacterized protein OS=Prunus persica GN=PRUPE_ppa009846mg PE=4 SV=1</t>
  </si>
  <si>
    <t>Uncharacterized protein OS=Prunus persica GN=PRUPE_ppa023516mg PE=4 SV=1</t>
  </si>
  <si>
    <t>Uncharacterized protein (Fragment) OS=Prunus persica GN=PRUPE_ppa019133mg PE=4 SV=1</t>
  </si>
  <si>
    <t>Uncharacterized protein OS=Prunus persica GN=PRUPE_ppa012784mg PE=3 SV=1</t>
  </si>
  <si>
    <t>Uncharacterized protein OS=Prunus persica GN=PRUPE_ppa021525mg PE=4 SV=1</t>
  </si>
  <si>
    <t>Uncharacterized protein OS=Prunus persica GN=PRUPE_ppa004436mg PE=3 SV=1</t>
  </si>
  <si>
    <t>Uncharacterized protein OS=Prunus persica GN=PRUPE_ppa011936mg PE=4 SV=1</t>
  </si>
  <si>
    <t>Uncharacterized protein OS=Prunus persica GN=PRUPE_ppa019384mg PE=4 SV=1</t>
  </si>
  <si>
    <t>Uncharacterized protein OS=Prunus persica GN=PRUPE_ppa005137mg PE=4 SV=1</t>
  </si>
  <si>
    <t>Uncharacterized protein OS=Prunus persica GN=PRUPE_ppa006476mg PE=4 SV=1</t>
  </si>
  <si>
    <t>Uncharacterized protein OS=Prunus persica GN=PRUPE_ppa026831mg PE=4 SV=1</t>
  </si>
  <si>
    <t>Uncharacterized protein OS=Prunus persica GN=PRUPE_ppa007019mg PE=4 SV=1</t>
  </si>
  <si>
    <t>Uncharacterized protein OS=Prunus persica GN=PRUPE_ppa013047mg PE=4 SV=1</t>
  </si>
  <si>
    <t>Uncharacterized protein OS=Prunus persica GN=PRUPE_ppa006041mg PE=4 SV=1</t>
  </si>
  <si>
    <t>Putative uncharacterized protein OS=Vitis vinifera GN=VITISV_029373 PE=4 SV=1</t>
  </si>
  <si>
    <t>Uncharacterized protein (Fragment) OS=Prunus persica GN=PRUPE_ppa014573mg PE=4 SV=1</t>
  </si>
  <si>
    <t>Uncharacterized protein OS=Prunus persica GN=PRUPE_ppa019268mg PE=4 SV=1</t>
  </si>
  <si>
    <t>Uncharacterized protein OS=Prunus persica GN=PRUPE_ppa012757mg PE=4 SV=1</t>
  </si>
  <si>
    <t>Uncharacterized protein OS=Morus notabilis GN=L484_027258 PE=4 SV=1</t>
  </si>
  <si>
    <t>Uncharacterized protein OS=Prunus persica GN=PRUPE_ppa002451mg PE=4 SV=1</t>
  </si>
  <si>
    <t>Uncharacterized protein OS=Prunus persica GN=PRUPE_ppa003913mg PE=4 SV=1</t>
  </si>
  <si>
    <t>Acyl carrier protein OS=Prunus persica GN=PRUPE_ppa013054mg PE=3 SV=1</t>
  </si>
  <si>
    <t>Ribosomal protein OS=Prunus persica GN=PRUPE_ppa011280mg PE=3 SV=1</t>
  </si>
  <si>
    <t>Uncharacterized protein OS=Prunus persica GN=PRUPE_ppa001197mg PE=4 SV=1</t>
  </si>
  <si>
    <t>Pentatricopeptide repeat (PPR) superfamily protein OS=Theobroma cacao GN=TCM_008377 PE=4 SV=1</t>
  </si>
  <si>
    <t>Endoglucanase OS=Prunus persica GN=PRUPE_ppa004172mg PE=3 SV=1</t>
  </si>
  <si>
    <t>Uncharacterized protein OS=Prunus persica GN=PRUPE_ppa002796mg PE=4 SV=1</t>
  </si>
  <si>
    <t>Beta-amylase OS=Prunus persica GN=PRUPE_ppa004334mg PE=3 SV=1</t>
  </si>
  <si>
    <t>Uncharacterized protein OS=Prunus persica GN=PRUPE_ppa022264mg PE=4 SV=1</t>
  </si>
  <si>
    <t>Uncharacterized protein (Fragment) OS=Prunus persica GN=PRUPE_ppa023206mg PE=4 SV=1</t>
  </si>
  <si>
    <t>Uncharacterized protein OS=Prunus persica GN=PRUPE_ppa019375mg PE=4 SV=1</t>
  </si>
  <si>
    <t>Uncharacterized protein OS=Prunus persica GN=PRUPE_ppa026525mg PE=4 SV=1</t>
  </si>
  <si>
    <t>Uncharacterized protein OS=Prunus persica GN=PRUPE_ppa002575mg PE=4 SV=1</t>
  </si>
  <si>
    <t>Uncharacterized protein OS=Prunus persica GN=PRUPE_ppa000223mg PE=4 SV=1</t>
  </si>
  <si>
    <t>Uncharacterized protein OS=Prunus persica GN=PRUPE_ppa007512mg PE=4 SV=1</t>
  </si>
  <si>
    <t>Uncharacterized protein OS=Prunus persica GN=PRUPE_ppa008230mg PE=4 SV=1</t>
  </si>
  <si>
    <t>Uncharacterized protein OS=Prunus persica GN=PRUPE_ppa009415mg PE=4 SV=1</t>
  </si>
  <si>
    <t>Uncharacterized protein OS=Prunus persica GN=PRUPE_ppa003637mg PE=4 SV=1</t>
  </si>
  <si>
    <t>Uncharacterized protein (Fragment) OS=Prunus persica GN=PRUPE_ppb021546mg PE=4 SV=1</t>
  </si>
  <si>
    <t>Uncharacterized protein OS=Prunus persica GN=PRUPE_ppa003974mg PE=4 SV=1</t>
  </si>
  <si>
    <t>Uncharacterized protein OS=Prunus persica GN=PRUPE_ppa012265mg PE=4 SV=1</t>
  </si>
  <si>
    <t>Hexosyltransferase OS=Prunus persica GN=PRUPE_ppa002860mg PE=3 SV=1</t>
  </si>
  <si>
    <t>Uncharacterized protein OS=Prunus persica GN=PRUPE_ppa003786mg PE=4 SV=1</t>
  </si>
  <si>
    <t>Uncharacterized protein OS=Prunus persica GN=PRUPE_ppa002637mg PE=4 SV=1</t>
  </si>
  <si>
    <t>Uncharacterized protein OS=Prunus persica GN=PRUPE_ppa021630mg PE=3 SV=1</t>
  </si>
  <si>
    <t>Pectate lyase OS=Prunus persica GN=PRUPE_ppa004881mg PE=3 SV=1</t>
  </si>
  <si>
    <t>Uncharacterized protein (Fragment) OS=Prunus persica GN=PRUPE_ppa027016mg PE=4 SV=1</t>
  </si>
  <si>
    <t>Uncharacterized protein OS=Prunus persica GN=PRUPE_ppa006997mg PE=4 SV=1</t>
  </si>
  <si>
    <t>Uncharacterized protein OS=Prunus persica GN=PRUPE_ppa014403mg PE=4 SV=1</t>
  </si>
  <si>
    <t>Uncharacterized protein OS=Prunus persica GN=PRUPE_ppa008962mg PE=4 SV=1</t>
  </si>
  <si>
    <t>Uncharacterized protein (Fragment) OS=Prunus persica GN=PRUPE_ppa018130mg PE=4 SV=1</t>
  </si>
  <si>
    <t>Glycosyltransferase (Fragment) OS=Prunus persica GN=PRUPE_ppa015738mg PE=3 SV=1</t>
  </si>
  <si>
    <t>Uncharacterized protein OS=Prunus persica GN=PRUPE_ppa012791mg PE=3 SV=1</t>
  </si>
  <si>
    <t>Uncharacterized protein OS=Prunus persica GN=PRUPE_ppa004283mg PE=4 SV=1</t>
  </si>
  <si>
    <t>Uncharacterized protein OS=Prunus persica GN=PRUPE_ppa011596mg PE=4 SV=1</t>
  </si>
  <si>
    <t>Uncharacterized protein OS=Prunus persica GN=PRUPE_ppa002433mg PE=4 SV=1</t>
  </si>
  <si>
    <t>Uncharacterized protein OS=Prunus persica GN=PRUPE_ppa000227mg PE=4 SV=1</t>
  </si>
  <si>
    <t>Uncharacterized protein OS=Prunus persica GN=PRUPE_ppa026338mg PE=4 SV=1</t>
  </si>
  <si>
    <t>Uncharacterized protein OS=Prunus persica GN=PRUPE_ppa009566mg PE=4 SV=1</t>
  </si>
  <si>
    <t>Uncharacterized protein OS=Prunus persica GN=PRUPE_ppa025978mg PE=4 SV=1</t>
  </si>
  <si>
    <t>Uncharacterized protein OS=Prunus persica GN=PRUPE_ppa025047mg PE=4 SV=1</t>
  </si>
  <si>
    <t>Uncharacterized protein OS=Fusarium oxysporum f. sp. lycopersici (strain 4287 / CBS 123668 / FGSC 9935 / NRRL 34936) GN=FOXG_12790 PE=3 SV=1</t>
  </si>
  <si>
    <t>E3 ubiquitin-protein ligase OS=Prunus persica GN=PRUPE_ppa009379mg PE=3 SV=1</t>
  </si>
  <si>
    <t>Kinesin-like protein OS=Prunus persica GN=PRUPE_ppa000688mg PE=3 SV=1</t>
  </si>
  <si>
    <t>Uncharacterized protein OS=Morus notabilis GN=L484_018766 PE=4 SV=1</t>
  </si>
  <si>
    <t>Polyprotein OS=Prunus persica PE=4 SV=1</t>
  </si>
  <si>
    <t>Cytochrome b-c1 complex subunit Rieske, mitochondrial OS=Prunus persica GN=PRUPE_ppa009818mg PE=4 SV=1</t>
  </si>
  <si>
    <t>Uncharacterized protein OS=Prunus persica GN=PRUPE_ppa007986mg PE=4 SV=1</t>
  </si>
  <si>
    <t>Uncharacterized protein OS=Prunus persica GN=PRUPE_ppa011325mg PE=3 SV=1</t>
  </si>
  <si>
    <t>Uncharacterized protein OS=Prunus persica GN=PRUPE_ppa001918mg PE=4 SV=1</t>
  </si>
  <si>
    <t>Uncharacterized protein OS=Prunus persica GN=PRUPE_ppa020444mg PE=4 SV=1</t>
  </si>
  <si>
    <t>Uncharacterized protein OS=Prunus persica GN=PRUPE_ppa024133mg PE=4 SV=1</t>
  </si>
  <si>
    <t>Uncharacterized protein OS=Prunus persica GN=PRUPE_ppa017245mg PE=4 SV=1</t>
  </si>
  <si>
    <t>Uncharacterized protein OS=Prunus persica GN=PRUPE_ppa005501mg PE=3 SV=1</t>
  </si>
  <si>
    <t>Uncharacterized protein OS=Morus notabilis GN=L484_014606 PE=4 SV=1</t>
  </si>
  <si>
    <t>Protein disulfide-isomerase OS=Prunus persica GN=PRUPE_ppa004628mg PE=3 SV=1</t>
  </si>
  <si>
    <t>Uncharacterized protein OS=Prunus persica GN=PRUPE_ppa007024mg PE=4 SV=1</t>
  </si>
  <si>
    <t>Uncharacterized protein OS=Prunus persica GN=PRUPE_ppa005531mg PE=3 SV=1</t>
  </si>
  <si>
    <t>Uncharacterized protein OS=Prunus persica GN=PRUPE_ppb006863mg PE=4 SV=1</t>
  </si>
  <si>
    <t>Uncharacterized protein OS=Prunus persica GN=PRUPE_ppa017028mg PE=4 SV=1</t>
  </si>
  <si>
    <t>Uncharacterized protein OS=Prunus persica GN=PRUPE_ppa000817mg PE=4 SV=1</t>
  </si>
  <si>
    <t>Uncharacterized protein OS=Prunus persica GN=PRUPE_ppa025632mg PE=4 SV=1</t>
  </si>
  <si>
    <t>Uncharacterized protein OS=Prunus persica GN=PRUPE_ppa004143mg PE=3 SV=1</t>
  </si>
  <si>
    <t>Uncharacterized protein OS=Prunus persica GN=PRUPE_ppa026277mg PE=4 SV=1</t>
  </si>
  <si>
    <t>Uncharacterized protein OS=Prunus persica GN=PRUPE_ppa009886mg PE=4 SV=1</t>
  </si>
  <si>
    <t>Uncharacterized protein OS=Prunus persica GN=PRUPE_ppa014626mg PE=4 SV=1</t>
  </si>
  <si>
    <t>Uncharacterized protein OS=Prunus persica GN=PRUPE_ppa012081mg PE=4 SV=1</t>
  </si>
  <si>
    <t>Uncharacterized protein OS=Prunus persica GN=PRUPE_ppa011210mg PE=4 SV=1</t>
  </si>
  <si>
    <t>Uncharacterized protein OS=Prunus persica GN=PRUPE_ppa010994mg PE=4 SV=1</t>
  </si>
  <si>
    <t>Uncharacterized protein OS=Prunus persica GN=PRUPE_ppa000412mg PE=4 SV=1</t>
  </si>
  <si>
    <t>Uncharacterized protein OS=Prunus persica GN=PRUPE_ppa009196mg PE=4 SV=1</t>
  </si>
  <si>
    <t>Uncharacterized protein OS=Prunus persica GN=PRUPE_ppa007453mg PE=4 SV=1</t>
  </si>
  <si>
    <t>Uncharacterized protein OS=Prunus persica GN=PRUPE_ppa008378mg PE=4 SV=1</t>
  </si>
  <si>
    <t>Uncharacterized protein OS=Prunus persica GN=PRUPE_ppa001784mg PE=4 SV=1</t>
  </si>
  <si>
    <t>Uncharacterized protein OS=Prunus persica GN=PRUPE_ppa007402mg PE=4 SV=1</t>
  </si>
  <si>
    <t>Uncharacterized protein OS=Prunus persica GN=PRUPE_ppa005105mg PE=4 SV=1</t>
  </si>
  <si>
    <t>Uncharacterized protein OS=Prunus persica GN=PRUPE_ppa004114mg PE=4 SV=1</t>
  </si>
  <si>
    <t>Putative uncharacterized protein OS=Populus trichocarpa GN=Poptr_cp018 PE=4 SV=1</t>
  </si>
  <si>
    <t>Uncharacterized protein OS=Prunus persica GN=PRUPE_ppa026536mg PE=4 SV=1</t>
  </si>
  <si>
    <t>Uncharacterized protein OS=Prunus persica GN=PRUPE_ppa011732mg PE=4 SV=1</t>
  </si>
  <si>
    <t>Glutathione gamma-glutamylcysteinyltransferase 3 OS=Morus notabilis GN=L484_005929 PE=4 SV=1</t>
  </si>
  <si>
    <t>Uncharacterized protein OS=Prunus persica GN=PRUPE_ppa025260mg PE=4 SV=1</t>
  </si>
  <si>
    <t>Vacuolar protein sorting-associated protein 32-2-like protein OS=Morus notabilis GN=L484_005481 PE=4 SV=1</t>
  </si>
  <si>
    <t>Uncharacterized protein OS=Prunus persica GN=PRUPE_ppa010958mg PE=4 SV=1</t>
  </si>
  <si>
    <t>Uncharacterized protein OS=Prunus persica GN=PRUPE_ppa020107mg PE=4 SV=1</t>
  </si>
  <si>
    <t>Ethylene responsive factor (Fragment) OS=Prunus persica GN=ERF1.a PE=2 SV=1</t>
  </si>
  <si>
    <t>Uncharacterized protein OS=Prunus persica GN=PRUPE_ppa001045mg PE=4 SV=1</t>
  </si>
  <si>
    <t>Glutamine synthetase OS=Prunus persica GN=PRUPE_ppa007771mg PE=3 SV=1</t>
  </si>
  <si>
    <t>Uncharacterized protein OS=Prunus persica GN=PRUPE_ppa006940mg PE=4 SV=1</t>
  </si>
  <si>
    <t>Serine/threonine-protein kinase OS=Prunus persica GN=PRUPE_ppa002243mg PE=3 SV=1</t>
  </si>
  <si>
    <t>Uncharacterized protein OS=Prunus persica GN=PRUPE_ppa001034mg PE=4 SV=1</t>
  </si>
  <si>
    <t>Uncharacterized protein OS=Prunus persica GN=PRUPE_ppa020307mg PE=4 SV=1</t>
  </si>
  <si>
    <t>Peroxidase OS=Prunus persica GN=PRUPE_ppa020321mg PE=3 SV=1</t>
  </si>
  <si>
    <t>Uncharacterized protein (Fragment) OS=Prunus persica GN=PRUPE_ppa020661mg PE=4 SV=1</t>
  </si>
  <si>
    <t>Uncharacterized protein (Fragment) OS=Prunus persica GN=PRUPE_ppa025258mg PE=4 SV=1</t>
  </si>
  <si>
    <t>AGL17-like MADS-box protein OS=Pyrus pyrifolia PE=2 SV=1</t>
  </si>
  <si>
    <t>Uncharacterized protein OS=Prunus persica GN=PRUPE_ppa008986mg PE=4 SV=1</t>
  </si>
  <si>
    <t>Uncharacterized protein OS=Prunus persica GN=PRUPE_ppa018639mg PE=3 SV=1</t>
  </si>
  <si>
    <t>Uncharacterized protein OS=Prunus persica GN=PRUPE_ppa001387mg PE=4 SV=1</t>
  </si>
  <si>
    <t>Uncharacterized protein OS=Prunus persica GN=PRUPE_ppa008244mg PE=4 SV=1</t>
  </si>
  <si>
    <t>Uncharacterized protein OS=Prunus persica GN=PRUPE_ppa005414mg PE=4 SV=1</t>
  </si>
  <si>
    <t>Uncharacterized protein (Fragment) OS=Prunus persica GN=PRUPE_ppa023139mg PE=4 SV=1</t>
  </si>
  <si>
    <t>Uncharacterized protein OS=Prunus persica GN=PRUPE_ppa003602mg PE=4 SV=1</t>
  </si>
  <si>
    <t>60S ribosomal protein L36 OS=Prunus persica GN=PRUPE_ppa013654mg PE=3 SV=1</t>
  </si>
  <si>
    <t>Uncharacterized protein OS=Prunus persica GN=PRUPE_ppa006097mg PE=4 SV=1</t>
  </si>
  <si>
    <t>Uncharacterized protein OS=Prunus persica GN=PRUPE_ppa005752mg PE=4 SV=1</t>
  </si>
  <si>
    <t>Uncharacterized protein OS=Prunus persica GN=PRUPE_ppa003197mg PE=4 SV=1</t>
  </si>
  <si>
    <t>Uncharacterized protein OS=Prunus persica GN=PRUPE_ppa014584mg PE=4 SV=1</t>
  </si>
  <si>
    <t>Uncharacterized protein OS=Prunus persica GN=PRUPE_ppa002323mg PE=4 SV=1</t>
  </si>
  <si>
    <t>Uncharacterized protein OS=Prunus persica GN=PRUPE_ppa005911mg PE=4 SV=1</t>
  </si>
  <si>
    <t>Uncharacterized protein OS=Prunus persica GN=PRUPE_ppa003779mg PE=4 SV=1</t>
  </si>
  <si>
    <t>Uncharacterized protein OS=Prunus persica GN=PRUPE_ppa010121mg PE=4 SV=1</t>
  </si>
  <si>
    <t>Uncharacterized protein OS=Prunus persica GN=PRUPE_ppa006872mg PE=4 SV=1</t>
  </si>
  <si>
    <t>Uncharacterized protein OS=Prunus persica GN=PRUPE_ppa002756mg PE=4 SV=1</t>
  </si>
  <si>
    <t>Uncharacterized protein OS=Prunus persica GN=PRUPE_ppa010819mg PE=3 SV=1</t>
  </si>
  <si>
    <t>Uncharacterized protein OS=Prunus persica GN=PRUPE_ppa005763mg PE=4 SV=1</t>
  </si>
  <si>
    <t>Uncharacterized protein OS=Eucalyptus grandis GN=EUGRSUZ_J02468 PE=3 SV=1</t>
  </si>
  <si>
    <t>Uncharacterized protein OS=Prunus persica GN=PRUPE_ppa004231mg PE=4 SV=1</t>
  </si>
  <si>
    <t>Putative 1-deoxy-D-xylulose 5-phosphate synthase OS=Hevea brasiliensis GN=DXS2 PE=2 SV=1</t>
  </si>
  <si>
    <t>Uncharacterized protein OS=Jatropha curcas GN=JCGZ_09263 PE=4 SV=1</t>
  </si>
  <si>
    <t>Uncharacterized protein OS=Prunus persica GN=PRUPE_ppa008507mg PE=4 SV=1</t>
  </si>
  <si>
    <t>Protein pelota homolog OS=Prunus persica GN=PRUPE_ppa007181mg PE=3 SV=1</t>
  </si>
  <si>
    <t>Uncharacterized protein OS=Prunus persica GN=PRUPE_ppa002929mg PE=4 SV=1</t>
  </si>
  <si>
    <t>Uncharacterized protein OS=Prunus persica GN=PRUPE_ppa006867mg PE=4 SV=1</t>
  </si>
  <si>
    <t>Uncharacterized protein OS=Prunus persica GN=PRUPE_ppa007665mg PE=4 SV=1</t>
  </si>
  <si>
    <t>Uncharacterized protein OS=Prunus persica GN=PRUPE_ppa009220mg PE=4 SV=1</t>
  </si>
  <si>
    <t>Uncharacterized protein (Fragment) OS=Prunus persica GN=PRUPE_ppa021764mg PE=4 SV=1</t>
  </si>
  <si>
    <t>Uncharacterized protein OS=Prunus persica GN=PRUPE_ppa000489mg PE=4 SV=1</t>
  </si>
  <si>
    <t>Uncharacterized protein OS=Prunus persica GN=PRUPE_ppa1027119mg PE=4 SV=1</t>
  </si>
  <si>
    <t>Uncharacterized protein OS=Prunus persica GN=PRUPE_ppa018723mg PE=4 SV=1</t>
  </si>
  <si>
    <t>Uncharacterized protein OS=Prunus persica GN=PRUPE_ppa009068mg PE=4 SV=1</t>
  </si>
  <si>
    <t>Uncharacterized protein OS=Prunus persica GN=PRUPE_ppa003094mg PE=3 SV=1</t>
  </si>
  <si>
    <t>Uncharacterized protein OS=Prunus persica GN=PRUPE_ppa002165mg PE=4 SV=1</t>
  </si>
  <si>
    <t>Uncharacterized protein OS=Prunus persica GN=PRUPE_ppa005264mg PE=4 SV=1</t>
  </si>
  <si>
    <t>Uncharacterized protein OS=Prunus persica GN=PRUPE_ppa009979mg PE=4 SV=1</t>
  </si>
  <si>
    <t>Uncharacterized protein OS=Prunus persica GN=PRUPE_ppa009255mg PE=4 SV=1</t>
  </si>
  <si>
    <t>RNA pseudourine synthase 5 OS=Morus notabilis GN=L484_013432 PE=4 SV=1</t>
  </si>
  <si>
    <t>Uncharacterized protein OS=Prunus persica GN=PRUPE_ppa008042mg PE=3 SV=1</t>
  </si>
  <si>
    <t>Uncharacterized protein OS=Prunus persica GN=PRUPE_ppa010517mg PE=4 SV=1</t>
  </si>
  <si>
    <t>Uncharacterized protein (Fragment) OS=Prunus persica GN=PRUPE_ppa023265mg PE=4 SV=1</t>
  </si>
  <si>
    <t>Uncharacterized protein OS=Prunus persica GN=PRUPE_ppa001057mg PE=4 SV=1</t>
  </si>
  <si>
    <t>Uncharacterized protein OS=Prunus persica GN=PRUPE_ppa017011mg PE=4 SV=1</t>
  </si>
  <si>
    <t>Uncharacterized protein OS=Prunus persica GN=PRUPE_ppa018079mg PE=4 SV=1</t>
  </si>
  <si>
    <t>Uncharacterized protein OS=Prunus persica GN=PRUPE_ppa003846mg PE=4 SV=1</t>
  </si>
  <si>
    <t>Uncharacterized protein OS=Triticum aestivum PE=4 SV=1</t>
  </si>
  <si>
    <t>Uncharacterized protein OS=Prunus persica GN=PRUPE_ppa001936mg PE=4 SV=1</t>
  </si>
  <si>
    <t>Uncharacterized protein OS=Prunus persica GN=PRUPE_ppa008184mg PE=4 SV=1</t>
  </si>
  <si>
    <t>Uncharacterized protein (Fragment) OS=Prunus persica GN=PRUPE_ppb022491mg PE=4 SV=1</t>
  </si>
  <si>
    <t>Uncharacterized protein OS=Prunus persica GN=PRUPE_ppa011204mg PE=4 SV=1</t>
  </si>
  <si>
    <t>Uncharacterized protein OS=Prunus persica GN=PRUPE_ppa020718mg PE=4 SV=1</t>
  </si>
  <si>
    <t>Uncharacterized protein (Fragment) OS=Prunus persica GN=PRUPE_ppa018074mg PE=4 SV=1</t>
  </si>
  <si>
    <t>Uncharacterized protein OS=Prunus persica GN=PRUPE_ppa010998mg PE=3 SV=1</t>
  </si>
  <si>
    <t>40S ribosomal protein S12 OS=Prunus persica GN=PRUPE_ppa013001mg PE=3 SV=1</t>
  </si>
  <si>
    <t>Uncharacterized protein OS=Prunus persica GN=PRUPE_ppa012935mg PE=4 SV=1</t>
  </si>
  <si>
    <t>Uncharacterized protein OS=Prunus persica GN=PRUPE_ppa000776mg PE=3 SV=1</t>
  </si>
  <si>
    <t>Uncharacterized protein OS=Prunus persica GN=PRUPE_ppa013935mg PE=4 SV=1</t>
  </si>
  <si>
    <t>Uncharacterized protein OS=Prunus persica GN=PRUPE_ppa006156mg PE=3 SV=1</t>
  </si>
  <si>
    <t>Uncharacterized protein OS=Prunus persica GN=PRUPE_ppa001134mg PE=4 SV=1</t>
  </si>
  <si>
    <t>Uncharacterized protein (Fragment) OS=Citrus sinensis GN=CISIN_1g036283mg PE=4 SV=1</t>
  </si>
  <si>
    <t>Uncharacterized protein OS=Prunus persica GN=PRUPE_ppa015250mg PE=4 SV=1</t>
  </si>
  <si>
    <t>Uncharacterized protein OS=Prunus persica GN=PRUPE_ppa024224mg PE=4 SV=1</t>
  </si>
  <si>
    <t>Uncharacterized protein OS=Prunus persica GN=PRUPE_ppa003124mg PE=4 SV=1</t>
  </si>
  <si>
    <t>Uncharacterized protein (Fragment) OS=Prunus persica GN=PRUPE_ppa015206mg PE=4 SV=1</t>
  </si>
  <si>
    <t>Uncharacterized protein OS=Prunus persica GN=PRUPE_ppa004969mg PE=4 SV=1</t>
  </si>
  <si>
    <t>Uncharacterized protein OS=Prunus persica GN=PRUPE_ppa000999mg PE=4 SV=1</t>
  </si>
  <si>
    <t>Peroxidase (Fragment) OS=Prunus persica GN=PRUPE_ppa022386mg PE=3 SV=1</t>
  </si>
  <si>
    <t>Uncharacterized protein OS=Citrus clementina GN=CICLE_v10020789mg PE=4 SV=1</t>
  </si>
  <si>
    <t>Uncharacterized protein OS=Prunus persica GN=PRUPE_ppa000599mg PE=3 SV=1</t>
  </si>
  <si>
    <t>Leucine-rich receptor-like protein kinase family protein OS=Theobroma cacao GN=TCM_026939 PE=4 SV=1</t>
  </si>
  <si>
    <t>Uncharacterized protein OS=Prunus persica GN=PRUPE_ppa001997mg PE=3 SV=1</t>
  </si>
  <si>
    <t>Uncharacterized protein OS=Prunus persica GN=PRUPE_ppa011355mg PE=4 SV=1</t>
  </si>
  <si>
    <t>Uncharacterized protein OS=Prunus persica GN=PRUPE_ppa021345mg PE=4 SV=1</t>
  </si>
  <si>
    <t>Uncharacterized protein OS=Prunus persica GN=PRUPE_ppa009294mg PE=4 SV=1</t>
  </si>
  <si>
    <t>Uncharacterized protein OS=Prunus persica GN=PRUPE_ppa009736mg PE=4 SV=1</t>
  </si>
  <si>
    <t>Uncharacterized protein OS=Prunus persica GN=PRUPE_ppa001183mg PE=4 SV=1</t>
  </si>
  <si>
    <t>Uncharacterized protein OS=Prunus persica GN=PRUPE_ppa009070mg PE=4 SV=1</t>
  </si>
  <si>
    <t>Uncharacterized protein OS=Prunus persica GN=PRUPE_ppa021624mg PE=4 SV=1</t>
  </si>
  <si>
    <t>Uncharacterized protein OS=Prunus persica GN=PRUPE_ppa000136mg PE=4 SV=1</t>
  </si>
  <si>
    <t>Uncharacterized protein OS=Prunus persica GN=PRUPE_ppa007897mg PE=3 SV=1</t>
  </si>
  <si>
    <t>Uncharacterized protein OS=Prunus persica GN=PRUPE_ppa003477mg PE=4 SV=1</t>
  </si>
  <si>
    <t>Uncharacterized protein OS=Prunus persica GN=PRUPE_ppa005743mg PE=4 SV=1</t>
  </si>
  <si>
    <t>Uncharacterized protein (Fragment) OS=Prunus persica GN=PRUPE_ppa019382mg PE=3 SV=1</t>
  </si>
  <si>
    <t>Uncharacterized protein (Fragment) OS=Prunus persica GN=PRUPE_ppa016999mg PE=4 SV=1</t>
  </si>
  <si>
    <t>Uncharacterized protein OS=Prunus persica GN=PRUPE_ppa009815mg PE=4 SV=1</t>
  </si>
  <si>
    <t>Uncharacterized protein OS=Prunus persica GN=PRUPE_ppa014796mg PE=4 SV=1</t>
  </si>
  <si>
    <t>Uncharacterized protein OS=Prunus persica GN=PRUPE_ppa019834mg PE=4 SV=1</t>
  </si>
  <si>
    <t>Uncharacterized protein OS=Prunus persica GN=PRUPE_ppa003893mg PE=4 SV=1</t>
  </si>
  <si>
    <t>Uncharacterized protein OS=Prunus persica GN=PRUPE_ppa008972mg PE=4 SV=1</t>
  </si>
  <si>
    <t>Uncharacterized protein OS=Prunus persica GN=PRUPE_ppa002491mg PE=4 SV=1</t>
  </si>
  <si>
    <t>Homocysteine S-methyltransferase (Fragment) OS=Prunus persica PE=2 SV=1</t>
  </si>
  <si>
    <t>Uncharacterized protein OS=Prunus persica GN=PRUPE_ppa004244mg PE=4 SV=1</t>
  </si>
  <si>
    <t>Uncharacterized protein OS=Prunus persica GN=PRUPE_ppa009581mg PE=4 SV=1</t>
  </si>
  <si>
    <t>Uncharacterized protein OS=Prunus persica GN=PRUPE_ppa009889mg PE=4 SV=1</t>
  </si>
  <si>
    <t>Uncharacterized protein OS=Prunus persica GN=PRUPE_ppa024275mg PE=4 SV=1</t>
  </si>
  <si>
    <t>Uncharacterized protein OS=Prunus persica GN=PRUPE_ppa016849mg PE=4 SV=1</t>
  </si>
  <si>
    <t>Uncharacterized protein (Fragment) OS=Prunus persica GN=PRUPE_ppa027008mg PE=4 SV=1</t>
  </si>
  <si>
    <t>Uncharacterized protein OS=Prunus persica GN=PRUPE_ppa013777mg PE=4 SV=1</t>
  </si>
  <si>
    <t>Uncharacterized protein OS=Prunus persica GN=PRUPE_ppa025310mg PE=4 SV=1</t>
  </si>
  <si>
    <t>Uncharacterized protein OS=Prunus persica GN=PRUPE_ppa024892mg PE=4 SV=1</t>
  </si>
  <si>
    <t>Uncharacterized protein OS=Prunus persica GN=PRUPE_ppa022827mg PE=4 SV=1</t>
  </si>
  <si>
    <t>Uncharacterized protein OS=Prunus persica GN=PRUPE_ppa010207mg PE=4 SV=1</t>
  </si>
  <si>
    <t>Uncharacterized protein OS=Prunus persica GN=PRUPE_ppa013429mg PE=4 SV=1</t>
  </si>
  <si>
    <t>Uncharacterized protein OS=Prunus persica GN=PRUPE_ppa008415mg PE=4 SV=1</t>
  </si>
  <si>
    <t>Uncharacterized protein OS=Prunus persica GN=PRUPE_ppa008034mg PE=4 SV=1</t>
  </si>
  <si>
    <t>Uncharacterized protein OS=Prunus persica GN=PRUPE_ppa005228mg PE=3 SV=1</t>
  </si>
  <si>
    <t>Uncharacterized protein OS=Prunus persica GN=PRUPE_ppa020335mg PE=4 SV=1</t>
  </si>
  <si>
    <t>Uncharacterized protein OS=Prunus persica GN=PRUPE_ppa018286mg PE=4 SV=1</t>
  </si>
  <si>
    <t>Uncharacterized protein (Fragment) OS=Prunus persica GN=PRUPE_ppa024163mg PE=4 SV=1</t>
  </si>
  <si>
    <t>Uncharacterized protein OS=Prunus persica GN=PRUPE_ppa021068mg PE=3 SV=1</t>
  </si>
  <si>
    <t>Uncharacterized protein OS=Prunus persica GN=PRUPE_ppa024373mg PE=4 SV=1</t>
  </si>
  <si>
    <t>Uncharacterized protein OS=Prunus persica GN=PRUPE_ppa004221mg PE=4 SV=1</t>
  </si>
  <si>
    <t>Uncharacterized protein OS=Prunus persica GN=PRUPE_ppa013351mg PE=4 SV=1</t>
  </si>
  <si>
    <t>Uncharacterized protein OS=Prunus persica GN=PRUPE_ppa017230mg PE=4 SV=1</t>
  </si>
  <si>
    <t>Uncharacterized protein OS=Prunus persica GN=PRUPE_ppa002946mg PE=4 SV=1</t>
  </si>
  <si>
    <t>Uncharacterized protein OS=Prunus persica GN=PRUPE_ppa003248mg PE=4 SV=1</t>
  </si>
  <si>
    <t>DNA-directed RNA polymerase OS=Theobroma cacao GN=TCM_044750 PE=3 SV=1</t>
  </si>
  <si>
    <t>Uncharacterized protein OS=Prunus persica GN=PRUPE_ppa008762mg PE=4 SV=1</t>
  </si>
  <si>
    <t>Uncharacterized protein OS=Morus notabilis GN=L484_012136 PE=4 SV=1</t>
  </si>
  <si>
    <t>Protein YIPF OS=Prunus persica GN=PRUPE_ppa010319mg PE=3 SV=1</t>
  </si>
  <si>
    <t>Uncharacterized protein OS=Prunus persica GN=PRUPE_ppa026999mg PE=4 SV=1</t>
  </si>
  <si>
    <t>Uncharacterized protein OS=Prunus persica GN=PRUPE_ppa005827mg PE=4 SV=1</t>
  </si>
  <si>
    <t>Uncharacterized protein OS=Prunus persica GN=PRUPE_ppa021697mg PE=4 SV=1</t>
  </si>
  <si>
    <t>Sucrose phosphate synthase 1f OS=Prunus persica GN=SPS1F PE=4 SV=1</t>
  </si>
  <si>
    <t>Uncharacterized protein OS=Prunus persica GN=PRUPE_ppa000476mg PE=4 SV=1</t>
  </si>
  <si>
    <t>Uncharacterized protein OS=Prunus persica GN=PRUPE_ppa023646mg PE=4 SV=1</t>
  </si>
  <si>
    <t>Uncharacterized protein OS=Prunus persica GN=PRUPE_ppa019663mg PE=4 SV=1</t>
  </si>
  <si>
    <t>Uncharacterized protein OS=Prunus persica GN=PRUPE_ppa003010mg PE=4 SV=1</t>
  </si>
  <si>
    <t>Mitochondrial Rho GTPase OS=Prunus persica GN=PRUPE_ppa002661mg PE=3 SV=1</t>
  </si>
  <si>
    <t>Uncharacterized protein OS=Prunus persica GN=PRUPE_ppa013075mg PE=4 SV=1</t>
  </si>
  <si>
    <t>Uncharacterized protein OS=Prunus persica GN=PRUPE_ppa006014mg PE=4 SV=1</t>
  </si>
  <si>
    <t>Uncharacterized protein (Fragment) OS=Prunus persica GN=PRUPE_ppa017841m1g PE=4 SV=1</t>
  </si>
  <si>
    <t>Uncharacterized protein OS=Prunus persica GN=PRUPE_ppa006484mg PE=4 SV=1</t>
  </si>
  <si>
    <t>Uncharacterized protein OS=Prunus persica GN=PRUPE_ppa023661mg PE=4 SV=1</t>
  </si>
  <si>
    <t>Uncharacterized protein (Fragment) OS=Prunus persica GN=PRUPE_ppa017920mg PE=3 SV=1</t>
  </si>
  <si>
    <t>Uncharacterized protein OS=Prunus persica GN=PRUPE_ppa019484mg PE=4 SV=1</t>
  </si>
  <si>
    <t>Uncharacterized protein OS=Prunus persica GN=PRUPE_ppa013855mg PE=4 SV=1</t>
  </si>
  <si>
    <t>Uncharacterized protein OS=Prunus persica GN=PRUPE_ppa000107mg PE=4 SV=1</t>
  </si>
  <si>
    <t>Uncharacterized protein (Fragment) OS=Prunus persica GN=PRUPE_ppa020409mg PE=4 SV=1</t>
  </si>
  <si>
    <t>Uncharacterized protein OS=Prunus persica GN=PRUPE_ppa006465mg PE=4 SV=1</t>
  </si>
  <si>
    <t>Uncharacterized protein OS=Prunus persica GN=PRUPE_ppa002963mg PE=4 SV=1</t>
  </si>
  <si>
    <t>Uncharacterized protein OS=Prunus persica GN=PRUPE_ppa012511mg PE=3 SV=1</t>
  </si>
  <si>
    <t>Uncharacterized protein OS=Prunus persica GN=PRUPE_ppa001015mg PE=4 SV=1</t>
  </si>
  <si>
    <t>Uncharacterized protein OS=Prunus persica GN=PRUPE_ppa018199mg PE=4 SV=1</t>
  </si>
  <si>
    <t>Uncharacterized protein OS=Prunus persica GN=PRUPE_ppa012594mg PE=4 SV=1</t>
  </si>
  <si>
    <t>Uncharacterized protein OS=Prunus persica GN=PRUPE_ppa006790mg PE=4 SV=1</t>
  </si>
  <si>
    <t>Putative uncharacterized protein OS=Vitis vinifera GN=VIT_07s0005g02000 PE=3 SV=1</t>
  </si>
  <si>
    <t>Uncharacterized protein OS=Prunus persica GN=PRUPE_ppa005712mg PE=4 SV=1</t>
  </si>
  <si>
    <t>Uncharacterized protein OS=Prunus persica GN=PRUPE_ppa023149mg PE=4 SV=1</t>
  </si>
  <si>
    <t>Uncharacterized protein OS=Prunus persica GN=PRUPE_ppa021488mg PE=4 SV=1</t>
  </si>
  <si>
    <t>Uncharacterized protein OS=Prunus persica GN=PRUPE_ppa014748mg PE=4 SV=1</t>
  </si>
  <si>
    <t>Uncharacterized protein OS=Prunus persica GN=PRUPE_ppa005022mg PE=4 SV=1</t>
  </si>
  <si>
    <t>Uncharacterized protein OS=Prunus persica GN=PRUPE_ppa013006mg PE=4 SV=1</t>
  </si>
  <si>
    <t>Uncharacterized protein (Fragment) OS=Prunus persica GN=PRUPE_ppa027076mg PE=4 SV=1</t>
  </si>
  <si>
    <t>Uncharacterized protein OS=Prunus persica GN=PRUPE_ppa011831mg PE=4 SV=1</t>
  </si>
  <si>
    <t>Uncharacterized protein OS=Prunus persica GN=PRUPE_ppa010533mg PE=4 SV=1</t>
  </si>
  <si>
    <t>Uncharacterized protein OS=Prunus persica GN=PRUPE_ppa013454mg PE=4 SV=1</t>
  </si>
  <si>
    <t>Uncharacterized protein OS=Prunus persica GN=PRUPE_ppa006793mg PE=3 SV=1</t>
  </si>
  <si>
    <t>Uncharacterized protein OS=Prunus persica GN=PRUPE_ppa005926mg PE=4 SV=1</t>
  </si>
  <si>
    <t>Uncharacterized protein OS=Prunus persica GN=PRUPE_ppa006733mg PE=3 SV=1</t>
  </si>
  <si>
    <t>Uncharacterized protein OS=Prunus persica GN=PRUPE_ppa008716mg PE=4 SV=1</t>
  </si>
  <si>
    <t>Uncharacterized protein OS=Prunus persica GN=PRUPE_ppa009681mg PE=3 SV=1</t>
  </si>
  <si>
    <t>Uncharacterized protein OS=Prunus persica GN=PRUPE_ppa011980mg PE=4 SV=1</t>
  </si>
  <si>
    <t>Uncharacterized protein OS=Prunus persica GN=PRUPE_ppa013208mg PE=4 SV=1</t>
  </si>
  <si>
    <t>Uncharacterized protein OS=Prunus persica GN=PRUPE_ppa000271mg PE=4 SV=1</t>
  </si>
  <si>
    <t>Xyloglucan endotransglucosylase/hydrolase OS=Prunus persica GN=PRUPE_ppa009350mg PE=3 SV=1</t>
  </si>
  <si>
    <t>Uncharacterized protein OS=Prunus persica GN=PRUPE_ppa003741mg PE=4 SV=1</t>
  </si>
  <si>
    <t>Condensin complex subunit 1 OS=Prunus persica GN=PRUPE_ppa000276mg PE=3 SV=1</t>
  </si>
  <si>
    <t>Uncharacterized protein OS=Prunus persica GN=PRUPE_ppa024340mg PE=4 SV=1</t>
  </si>
  <si>
    <t>Uncharacterized protein OS=Prunus persica GN=PRUPE_ppa002316mg PE=4 SV=1</t>
  </si>
  <si>
    <t>Uncharacterized protein OS=Prunus persica GN=PRUPE_ppa008830mg PE=3 SV=1</t>
  </si>
  <si>
    <t>Uncharacterized protein OS=Prunus persica GN=PRUPE_ppa011911mg PE=4 SV=1</t>
  </si>
  <si>
    <t>Uncharacterized protein (Fragment) OS=Prunus persica GN=PRUPE_ppa1027183mg PE=4 SV=1</t>
  </si>
  <si>
    <t>Uncharacterized protein OS=Prunus persica GN=PRUPE_ppa007127mg PE=4 SV=1</t>
  </si>
  <si>
    <t>Uncharacterized protein OS=Prunus persica GN=PRUPE_ppa010233mg PE=4 SV=1</t>
  </si>
  <si>
    <t>Uncharacterized protein OS=Prunus persica GN=PRUPE_ppa003193mg PE=4 SV=1</t>
  </si>
  <si>
    <t>Uncharacterized protein OS=Phaseolus vulgaris GN=PHAVU_007G166800g PE=3 SV=1</t>
  </si>
  <si>
    <t>Uncharacterized protein (Fragment) OS=Prunus persica GN=PRUPE_ppa020984mg PE=4 SV=1</t>
  </si>
  <si>
    <t>Uncharacterized protein OS=Citrus sinensis GN=CISIN_1g021766mg PE=3 SV=1</t>
  </si>
  <si>
    <t>Uncharacterized protein OS=Prunus persica GN=PRUPE_ppa008621mg PE=4 SV=1</t>
  </si>
  <si>
    <t>Uncharacterized protein OS=Prunus persica GN=PRUPE_ppa012197mg PE=4 SV=1</t>
  </si>
  <si>
    <t>Uncharacterized protein OS=Prunus persica GN=PRUPE_ppa010587mg PE=4 SV=1</t>
  </si>
  <si>
    <t>Uncharacterized protein OS=Prunus persica GN=PRUPE_ppa000137mg PE=4 SV=1</t>
  </si>
  <si>
    <t>Uncharacterized protein OS=Prunus persica GN=PRUPE_ppa005231mg PE=4 SV=1</t>
  </si>
  <si>
    <t>Uncharacterized protein OS=Prunus persica GN=PRUPE_ppa017315mg PE=4 SV=1</t>
  </si>
  <si>
    <t>Uncharacterized protein OS=Prunus persica GN=PRUPE_ppa002466mg PE=4 SV=1</t>
  </si>
  <si>
    <t>Ubiquitin-related modifier 1 homolog OS=Prunus persica GN=PRUPE_ppa013867mg PE=3 SV=1</t>
  </si>
  <si>
    <t>Uncharacterized protein OS=Prunus persica GN=PRUPE_ppa000134mg PE=4 SV=1</t>
  </si>
  <si>
    <t>Uncharacterized protein OS=Prunus persica GN=PRUPE_ppa010824mg PE=3 SV=1</t>
  </si>
  <si>
    <t>Chalcone-flavonone isomerase family protein OS=Prunus persica GN=PRUPE_ppa011189mg PE=3 SV=1</t>
  </si>
  <si>
    <t>Uncharacterized protein OS=Prunus persica GN=PRUPE_ppa010340mg PE=4 SV=1</t>
  </si>
  <si>
    <t>Uncharacterized protein (Fragment) OS=Prunus persica GN=PRUPE_ppa019430mg PE=4 SV=1</t>
  </si>
  <si>
    <t>Uncharacterized protein OS=Prunus persica GN=PRUPE_ppa013515mg PE=4 SV=1</t>
  </si>
  <si>
    <t>Uncharacterized protein OS=Prunus persica GN=PRUPE_ppa005379mg PE=4 SV=1</t>
  </si>
  <si>
    <t>Uncharacterized protein OS=Theobroma cacao GN=TCM_041994 PE=4 SV=1</t>
  </si>
  <si>
    <t>Uncharacterized protein OS=Prunus persica GN=PRUPE_ppa016106mg PE=4 SV=1</t>
  </si>
  <si>
    <t>Uncharacterized protein OS=Prunus persica GN=PRUPE_ppa009656mg PE=4 SV=1</t>
  </si>
  <si>
    <t>Putative lysine-specific demethylase ELF6 OS=Morus notabilis GN=L484_013048 PE=4 SV=1</t>
  </si>
  <si>
    <t>Uncharacterized protein OS=Prunus persica GN=PRUPE_ppa009235mg PE=4 SV=1</t>
  </si>
  <si>
    <t>Uncharacterized protein OS=Prunus persica GN=PRUPE_ppa013679mg PE=4 SV=1</t>
  </si>
  <si>
    <t>Uncharacterized protein OS=Prunus persica GN=PRUPE_ppa010588mg PE=4 SV=1</t>
  </si>
  <si>
    <t>Uncharacterized protein OS=Prunus persica GN=PRUPE_ppa016466mg PE=3 SV=1</t>
  </si>
  <si>
    <t>Uncharacterized protein OS=Prunus persica GN=PRUPE_ppa009776mg PE=4 SV=1</t>
  </si>
  <si>
    <t>Uncharacterized protein OS=Prunus persica GN=PRUPE_ppa027064mg PE=4 SV=1</t>
  </si>
  <si>
    <t>Uncharacterized protein (Fragment) OS=Prunus persica GN=PRUPE_ppa016846mg PE=4 SV=1</t>
  </si>
  <si>
    <t>Uncharacterized protein OS=Prunus persica GN=PRUPE_ppa000074mg PE=4 SV=1</t>
  </si>
  <si>
    <t>Uncharacterized protein (Fragment) OS=Prunus persica GN=PRUPE_ppa020309mg PE=4 SV=1</t>
  </si>
  <si>
    <t>Uncharacterized protein OS=Prunus persica GN=PRUPE_ppa005885mg PE=4 SV=1</t>
  </si>
  <si>
    <t>Uncharacterized protein OS=Prunus persica GN=PRUPE_ppa012298mg PE=4 SV=1</t>
  </si>
  <si>
    <t>Uncharacterized protein OS=Prunus persica GN=PRUPE_ppa003244mg PE=4 SV=1</t>
  </si>
  <si>
    <t>Uncharacterized protein OS=Prunus persica GN=PRUPE_ppa010940mg PE=4 SV=1</t>
  </si>
  <si>
    <t>Uncharacterized protein (Fragment) OS=Prunus persica GN=PRUPE_ppa023633mg PE=4 SV=1</t>
  </si>
  <si>
    <t>GDP-D-mannose pyrophosphorylase OS=Prunus persica GN=GMP PE=2 SV=1</t>
  </si>
  <si>
    <t>Uncharacterized protein OS=Prunus persica GN=PRUPE_ppa005338mg PE=4 SV=1</t>
  </si>
  <si>
    <t>Uncharacterized protein OS=Prunus persica GN=PRUPE_ppa015568mg PE=3 SV=1</t>
  </si>
  <si>
    <t>Uncharacterized protein OS=Prunus persica GN=PRUPE_ppa026349mg PE=4 SV=1</t>
  </si>
  <si>
    <t>Uncharacterized protein OS=Prunus persica GN=PRUPE_ppa022200mg PE=4 SV=1</t>
  </si>
  <si>
    <t>Ribosomal L29 family protein OS=Theobroma cacao GN=TCM_001105 PE=3 SV=1</t>
  </si>
  <si>
    <t>Uncharacterized protein OS=Prunus persica GN=PRUPE_ppa011743mg PE=4 SV=1</t>
  </si>
  <si>
    <t>Uncharacterized protein OS=Prunus persica GN=PRUPE_ppa012971mg PE=4 SV=1</t>
  </si>
  <si>
    <t>Uncharacterized protein OS=Prunus persica GN=PRUPE_ppa007578mg PE=4 SV=1</t>
  </si>
  <si>
    <t>Uncharacterized protein OS=Prunus persica GN=PRUPE_ppa010968mg PE=4 SV=1</t>
  </si>
  <si>
    <t>Uncharacterized protein OS=Prunus persica GN=PRUPE_ppa011638mg PE=4 SV=1</t>
  </si>
  <si>
    <t>Uncharacterized protein OS=Prunus persica GN=PRUPE_ppa003344mg PE=4 SV=1</t>
  </si>
  <si>
    <t>Uncharacterized protein (Fragment) OS=Prunus persica GN=PRUPE_ppa017165mg PE=4 SV=1</t>
  </si>
  <si>
    <t>Putative uncharacterized protein OS=Vitis vinifera GN=VIT_16s0013g00490 PE=4 SV=1</t>
  </si>
  <si>
    <t>Uncharacterized protein OS=Prunus persica GN=PRUPE_ppa001309mg PE=4 SV=1</t>
  </si>
  <si>
    <t>Uncharacterized protein OS=Prunus persica GN=PRUPE_ppa025583mg PE=3 SV=1</t>
  </si>
  <si>
    <t>Uncharacterized protein OS=Prunus persica GN=PRUPE_ppa011969mg PE=4 SV=1</t>
  </si>
  <si>
    <t>Uncharacterized protein OS=Prunus persica GN=PRUPE_ppa016554mg PE=4 SV=1</t>
  </si>
  <si>
    <t>Uncharacterized protein OS=Prunus persica GN=PRUPE_ppa009573mg PE=4 SV=1</t>
  </si>
  <si>
    <t>Uncharacterized protein OS=Prunus persica GN=PRUPE_ppa003910mg PE=4 SV=1</t>
  </si>
  <si>
    <t>Putative uncharacterized protein OS=Vitis vinifera GN=VIT_01s0150g00180 PE=4 SV=1</t>
  </si>
  <si>
    <t>Uncharacterized protein OS=Prunus persica GN=PRUPE_ppa008906mg PE=4 SV=1</t>
  </si>
  <si>
    <t>Uncharacterized protein OS=Prunus persica GN=PRUPE_ppa012334mg PE=4 SV=1</t>
  </si>
  <si>
    <t>Fructose-bisphosphate aldolase (Fragment) OS=Homo sapiens GN=ALDOA PE=1 SV=1</t>
  </si>
  <si>
    <t>Uncharacterized protein OS=Prunus persica GN=PRUPE_ppa012969mg PE=3 SV=1</t>
  </si>
  <si>
    <t>Uncharacterized protein OS=Prunus persica GN=PRUPE_ppa005102mg PE=4 SV=1</t>
  </si>
  <si>
    <t>Uncharacterized protein OS=Prunus persica GN=PRUPE_ppa012260mg PE=4 SV=1</t>
  </si>
  <si>
    <t>Uncharacterized protein OS=Prunus persica GN=PRUPE_ppa005951mg PE=4 SV=1</t>
  </si>
  <si>
    <t>Uncharacterized protein OS=Prunus persica GN=PRUPE_ppa006462mg PE=4 SV=1</t>
  </si>
  <si>
    <t>ATP synthase subunit beta OS=Vitis vinifera GN=VIT_01s0011g04490 PE=3 SV=1</t>
  </si>
  <si>
    <t>Uncharacterized protein OS=Prunus persica GN=PRUPE_ppa000016mg PE=4 SV=1</t>
  </si>
  <si>
    <t>Uncharacterized protein OS=Prunus persica GN=PRUPE_ppa1027120mg PE=4 SV=1</t>
  </si>
  <si>
    <t>Uncharacterized protein OS=Prunus persica GN=PRUPE_ppa010174mg PE=3 SV=1</t>
  </si>
  <si>
    <t>Uncharacterized protein OS=Prunus persica GN=PRUPE_ppa020929mg PE=4 SV=1</t>
  </si>
  <si>
    <t>Hexosyltransferase OS=Prunus persica GN=PRUPE_ppa007794mg PE=3 SV=1</t>
  </si>
  <si>
    <t>Uncharacterized protein OS=Prunus persica GN=PRUPE_ppa003258mg PE=4 SV=1</t>
  </si>
  <si>
    <t>Uncharacterized protein OS=Prunus persica GN=PRUPE_ppa003106mg PE=4 SV=1</t>
  </si>
  <si>
    <t>Uncharacterized protein OS=Prunus persica GN=PRUPE_ppa009006mg PE=4 SV=1</t>
  </si>
  <si>
    <t>Uncharacterized protein OS=Prunus persica GN=PRUPE_ppa013007mg PE=4 SV=1</t>
  </si>
  <si>
    <t>Uncharacterized protein (Fragment) OS=Prunus persica GN=PRUPE_ppa005168m1g PE=4 SV=1</t>
  </si>
  <si>
    <t>Pectinesterase OS=Prunus persica GN=PRUPE_ppa003697mg PE=3 SV=1</t>
  </si>
  <si>
    <t>Uncharacterized protein OS=Prunus persica GN=PRUPE_ppa001568mg PE=4 SV=1</t>
  </si>
  <si>
    <t>Uncharacterized protein OS=Prunus persica GN=PRUPE_ppa005088mg PE=4 SV=1</t>
  </si>
  <si>
    <t>Phospholipid-transporting ATPase OS=Prunus persica GN=PRUPE_ppa000418mg PE=3 SV=1</t>
  </si>
  <si>
    <t>Uncharacterized protein OS=Prunus persica GN=PRUPE_ppa001253mg PE=4 SV=1</t>
  </si>
  <si>
    <t>Uncharacterized protein OS=Prunus persica GN=PRUPE_ppa011201mg PE=4 SV=1</t>
  </si>
  <si>
    <t>Uncharacterized protein OS=Prunus persica GN=PRUPE_ppa012450mg PE=4 SV=1</t>
  </si>
  <si>
    <t>Uncharacterized protein (Fragment) OS=Prunus persica GN=PRUPE_ppa015455mg PE=4 SV=1</t>
  </si>
  <si>
    <t>Uncharacterized protein OS=Prunus persica GN=PRUPE_ppa012063mg PE=4 SV=1</t>
  </si>
  <si>
    <t>Uncharacterized protein OS=Prunus persica GN=PRUPE_ppa026630mg PE=4 SV=1</t>
  </si>
  <si>
    <t>Uncharacterized protein OS=Prunus persica GN=PRUPE_ppa000867mg PE=4 SV=1</t>
  </si>
  <si>
    <t>Uncharacterized protein (Fragment) OS=Prunus persica GN=PRUPE_ppa023590mg PE=4 SV=1</t>
  </si>
  <si>
    <t>Eukaryotic translation initiation factor 3 subunit K OS=Prunus persica GN=PRUPE_ppa010881mg PE=3 SV=1</t>
  </si>
  <si>
    <t>Uncharacterized protein OS=Prunus persica GN=PRUPE_ppa010775mg PE=4 SV=1</t>
  </si>
  <si>
    <t>Uncharacterized protein OS=Prunus persica GN=PRUPE_ppa008225mg PE=4 SV=1</t>
  </si>
  <si>
    <t>Uncharacterized protein OS=Prunus persica GN=PRUPE_ppa018971mg PE=4 SV=1</t>
  </si>
  <si>
    <t>Uncharacterized protein OS=Prunus persica GN=PRUPE_ppa010443mg PE=3 SV=1</t>
  </si>
  <si>
    <t>Kinesin-like protein OS=Prunus persica GN=PRUPE_ppa001038mg PE=3 SV=1</t>
  </si>
  <si>
    <t>Uncharacterized protein OS=Prunus persica GN=PRUPE_ppa008691mg PE=4 SV=1</t>
  </si>
  <si>
    <t>Uncharacterized protein OS=Prunus persica GN=PRUPE_ppa005543mg PE=4 SV=1</t>
  </si>
  <si>
    <t>Uncharacterized protein (Fragment) OS=Prunus persica GN=PRUPE_ppa025272mg PE=4 SV=1</t>
  </si>
  <si>
    <t>Uncharacterized protein OS=Prunus persica GN=PRUPE_ppa002395mg PE=4 SV=1</t>
  </si>
  <si>
    <t>Uncharacterized protein OS=Prunus persica GN=PRUPE_ppa002934mg PE=4 SV=1</t>
  </si>
  <si>
    <t>Uncharacterized protein OS=Prunus persica GN=PRUPE_ppa005330mg PE=4 SV=1</t>
  </si>
  <si>
    <t>Uncharacterized protein OS=Prunus persica GN=PRUPE_ppa000803mg PE=4 SV=1</t>
  </si>
  <si>
    <t>Uncharacterized protein OS=Prunus persica GN=PRUPE_ppa003050mg PE=4 SV=1</t>
  </si>
  <si>
    <t>Uncharacterized protein OS=Prunus persica GN=PRUPE_ppa000082mg PE=4 SV=1</t>
  </si>
  <si>
    <t>Uncharacterized protein OS=Prunus persica GN=PRUPE_ppa008856mg PE=4 SV=1</t>
  </si>
  <si>
    <t>Putative uncharacterized protein OS=Ricinus communis GN=RCOM_0545900 PE=4 SV=1</t>
  </si>
  <si>
    <t>Uncharacterized protein OS=Prunus persica GN=PRUPE_ppa003522mg PE=4 SV=1</t>
  </si>
  <si>
    <t>Uncharacterized protein OS=Prunus persica GN=PRUPE_ppa001007mg PE=4 SV=1</t>
  </si>
  <si>
    <t>Uncharacterized protein OS=Prunus persica GN=PRUPE_ppa007183mg PE=4 SV=1</t>
  </si>
  <si>
    <t>Uncharacterized protein (Fragment) OS=Prunus persica GN=PRUPE_ppa026361mg PE=4 SV=1</t>
  </si>
  <si>
    <t>Uncharacterized protein OS=Prunus persica GN=PRUPE_ppa003503mg PE=4 SV=1</t>
  </si>
  <si>
    <t>Putative ER lumen protein retaining receptor OS=Morus notabilis GN=L484_007002 PE=4 SV=1</t>
  </si>
  <si>
    <t>Fructose-bisphosphate aldolase OS=Prunus persica GN=PRUPE_ppa006831mg PE=3 SV=1</t>
  </si>
  <si>
    <t>Uncharacterized protein OS=Prunus persica GN=PRUPE_ppa002465mg PE=4 SV=1</t>
  </si>
  <si>
    <t>Uncharacterized protein (Fragment) OS=Prunus persica GN=PRUPE_ppa016982mg PE=4 SV=1</t>
  </si>
  <si>
    <t>Uncharacterized protein OS=Morus notabilis GN=L484_015934 PE=4 SV=1</t>
  </si>
  <si>
    <t>Uncharacterized protein OS=Prunus persica GN=PRUPE_ppa011174mg PE=4 SV=1</t>
  </si>
  <si>
    <t>Uncharacterized protein OS=Populus trichocarpa GN=POPTR_0003s13500g PE=4 SV=1</t>
  </si>
  <si>
    <t>Uncharacterized protein OS=Prunus persica GN=PRUPE_ppa000781mg PE=4 SV=1</t>
  </si>
  <si>
    <t>Uncharacterized protein OS=Prunus persica GN=PRUPE_ppa004490mg PE=3 SV=1</t>
  </si>
  <si>
    <t>Uncharacterized protein (Fragment) OS=Prunus persica GN=PRUPE_ppa018509mg PE=4 SV=1</t>
  </si>
  <si>
    <t>Putative uncharacterized protein (Fragment) OS=Vitis vinifera GN=VIT_00s0477g00070 PE=3 SV=1</t>
  </si>
  <si>
    <t>Pentatricopeptide repeat (PPR) superfamily protein isoform 2 OS=Theobroma cacao GN=TCM_026455 PE=4 SV=1</t>
  </si>
  <si>
    <t>Uncharacterized protein OS=Fusarium oxysporum f. sp. lycopersici (strain 4287 / CBS 123668 / FGSC 9935 / NRRL 34936) GN=FOXG_03462 PE=4 SV=1</t>
  </si>
  <si>
    <t>Uncharacterized protein OS=Prunus persica GN=PRUPE_ppa001080mg PE=4 SV=1</t>
  </si>
  <si>
    <t>Uncharacterized protein OS=Prunus persica GN=PRUPE_ppa015783mg PE=4 SV=1</t>
  </si>
  <si>
    <t>Structure-specific endonuclease subunit SLX1 homolog OS=Prunus persica GN=PRUPE_ppa006794mg PE=3 SV=1</t>
  </si>
  <si>
    <t>Uncharacterized protein OS=Onchocerca volvulus GN=WBGene00249721 PE=4 SV=1</t>
  </si>
  <si>
    <t>Uncharacterized protein OS=Prunus persica GN=PRUPE_ppa001118mg PE=4 SV=1</t>
  </si>
  <si>
    <t>Uncharacterized protein OS=Prunus persica GN=PRUPE_ppa023958mg PE=4 SV=1</t>
  </si>
  <si>
    <t>Uncharacterized protein OS=Prunus persica GN=PRUPE_ppa007638mg PE=4 SV=1</t>
  </si>
  <si>
    <t>Uncharacterized protein OS=Prunus persica GN=PRUPE_ppa006235mg PE=4 SV=1</t>
  </si>
  <si>
    <t>Putative uncharacterized protein OS=Vitis vinifera GN=VITISV_025518 PE=4 SV=1</t>
  </si>
  <si>
    <t>Uncharacterized protein OS=Prunus persica GN=PRUPE_ppa012287mg PE=4 SV=1</t>
  </si>
  <si>
    <t>GrpE protein homolog OS=Prunus persica GN=PRUPE_ppa008162mg PE=3 SV=1</t>
  </si>
  <si>
    <t>Uncharacterized protein OS=Prunus persica GN=PRUPE_ppa008499mg PE=4 SV=1</t>
  </si>
  <si>
    <t>Uncharacterized protein OS=Prunus persica GN=PRUPE_ppa024185mg PE=4 SV=1</t>
  </si>
  <si>
    <t>Uncharacterized protein OS=Prunus persica GN=PRUPE_ppa012616mg PE=3 SV=1</t>
  </si>
  <si>
    <t>Uncharacterized protein OS=Prunus persica GN=PRUPE_ppa008292mg PE=4 SV=1</t>
  </si>
  <si>
    <t>Uncharacterized protein OS=Prunus persica GN=PRUPE_ppa001086mg PE=4 SV=1</t>
  </si>
  <si>
    <t>Uncharacterized protein OS=Prunus persica GN=PRUPE_ppa005664mg PE=4 SV=1</t>
  </si>
  <si>
    <t>Uncharacterized protein OS=Prunus persica GN=PRUPE_ppa024745mg PE=4 SV=1</t>
  </si>
  <si>
    <t>Uncharacterized protein OS=Prunus persica GN=PRUPE_ppa003417mg PE=3 SV=1</t>
  </si>
  <si>
    <t>Serine/threonine protein phosphatase 2A 57 kDa regulatory subunit B' alpha isoform OS=Morus notabilis GN=L484_017016 PE=4 SV=1</t>
  </si>
  <si>
    <t>Uncharacterized protein OS=Prunus persica GN=PRUPE_ppa001438mg PE=4 SV=1</t>
  </si>
  <si>
    <t>Uncharacterized protein OS=Prunus persica GN=PRUPE_ppa006711mg PE=4 SV=1</t>
  </si>
  <si>
    <t>Uncharacterized protein (Fragment) OS=Prunus persica GN=PRUPE_ppa016599mg PE=4 SV=1</t>
  </si>
  <si>
    <t>Uncharacterized protein OS=Prunus persica GN=PRUPE_ppa002061mg PE=4 SV=1</t>
  </si>
  <si>
    <t>Uncharacterized protein OS=Prunus persica GN=PRUPE_ppa018626mg PE=4 SV=1</t>
  </si>
  <si>
    <t>Uncharacterized protein (Fragment) OS=Prunus persica GN=PRUPE_ppa016728mg PE=4 SV=1</t>
  </si>
  <si>
    <t>Uncharacterized protein OS=Prunus persica GN=PRUPE_ppa000066mg PE=4 SV=1</t>
  </si>
  <si>
    <t>Uncharacterized protein OS=Prunus persica GN=PRUPE_ppa005775mg PE=4 SV=1</t>
  </si>
  <si>
    <t>Uncharacterized protein OS=Prunus persica GN=PRUPE_ppa021135mg PE=4 SV=1</t>
  </si>
  <si>
    <t>Uncharacterized protein OS=Prunus persica GN=PRUPE_ppa006612mg PE=4 SV=1</t>
  </si>
  <si>
    <t>Uncharacterized protein OS=Prunus persica GN=PRUPE_ppa004308mg PE=3 SV=1</t>
  </si>
  <si>
    <t>Uncharacterized protein OS=Prunus persica GN=PRUPE_ppa022307mg PE=4 SV=1</t>
  </si>
  <si>
    <t>Uncharacterized protein OS=Prunus persica GN=PRUPE_ppa000115mg PE=4 SV=1</t>
  </si>
  <si>
    <t>Uncharacterized protein OS=Prunus persica GN=PRUPE_ppa005910mg PE=4 SV=1</t>
  </si>
  <si>
    <t>Uncharacterized protein OS=Prunus persica GN=PRUPE_ppa012162mg PE=4 SV=1</t>
  </si>
  <si>
    <t>Uncharacterized protein OS=Prunus persica GN=PRUPE_ppa000349mg PE=3 SV=1</t>
  </si>
  <si>
    <t>Terpene synthase OS=Prunus cerasoides var. campanulata GN=TPS5 PE=4 SV=1</t>
  </si>
  <si>
    <t>Uncharacterized protein OS=Prunus persica GN=PRUPE_ppa000123mg PE=4 SV=1</t>
  </si>
  <si>
    <t>Glutamine synthetase OS=Prunus persica GN=PRUPE_ppa007772mg PE=3 SV=1</t>
  </si>
  <si>
    <t>Uncharacterized protein OS=Prunus persica GN=PRUPE_ppa004894mg PE=4 SV=1</t>
  </si>
  <si>
    <t>Uncharacterized protein OS=Prunus persica GN=PRUPE_ppa006107mg PE=3 SV=1</t>
  </si>
  <si>
    <t>Uncharacterized protein OS=Prunus persica GN=PRUPE_ppa011589mg PE=4 SV=1</t>
  </si>
  <si>
    <t>Uncharacterized protein OS=Prunus persica GN=PRUPE_ppa002285mg PE=4 SV=1</t>
  </si>
  <si>
    <t>Uncharacterized protein (Fragment) OS=Prunus persica GN=PRUPE_ppa017202mg PE=4 SV=1</t>
  </si>
  <si>
    <t>Branched-chain-amino-acid aminotransferase OS=Prunus persica GN=PRUPE_ppa008826mg PE=3 SV=1</t>
  </si>
  <si>
    <t>Uncharacterized protein (Fragment) OS=Prunus persica GN=PRUPE_ppa019472mg PE=4 SV=1</t>
  </si>
  <si>
    <t>Uncharacterized protein OS=Prunus persica GN=PRUPE_ppa000108mg PE=4 SV=1</t>
  </si>
  <si>
    <t>Uncharacterized protein OS=Prunus persica GN=PRUPE_ppa017485mg PE=4 SV=1</t>
  </si>
  <si>
    <t>Uncharacterized protein OS=Prunus persica GN=PRUPE_ppa010985mg PE=4 SV=1</t>
  </si>
  <si>
    <t>Uncharacterized protein (Fragment) OS=Prunus persica GN=PRUPE_ppa020501mg PE=4 SV=1</t>
  </si>
  <si>
    <t>MyoXIpt (Fragment) OS=Nicotiana tabacum GN=MyoXIpt PE=2 SV=1</t>
  </si>
  <si>
    <t>Uncharacterized protein OS=Prunus persica GN=PRUPE_ppa011654mg PE=4 SV=1</t>
  </si>
  <si>
    <t>Uncharacterized protein OS=Prunus persica GN=PRUPE_ppa013770mg PE=4 SV=1</t>
  </si>
  <si>
    <t>Uncharacterized protein (Fragment) OS=Prunus persica GN=PRUPE_ppa022532mg PE=4 SV=1</t>
  </si>
  <si>
    <t>Uncharacterized protein OS=Prunus persica GN=PRUPE_ppa001685mg PE=3 SV=1</t>
  </si>
  <si>
    <t>Uncharacterized protein OS=Prunus persica GN=PRUPE_ppa011000mg PE=4 SV=1</t>
  </si>
  <si>
    <t>Uncharacterized protein OS=Prunus persica GN=PRUPE_ppa015757mg PE=4 SV=1</t>
  </si>
  <si>
    <t>Uncharacterized protein OS=Prunus persica GN=PRUPE_ppa017125mg PE=4 SV=1</t>
  </si>
  <si>
    <t>Uncharacterized protein OS=Prunus persica GN=PRUPE_ppa014228mg PE=4 SV=1</t>
  </si>
  <si>
    <t>Protein argonaute OS=Prunus persica GN=PRUPE_ppa000547mg PE=3 SV=1</t>
  </si>
  <si>
    <t>Uncharacterized protein OS=Gossypium raimondii GN=B456_006G178000 PE=4 SV=1</t>
  </si>
  <si>
    <t>Uncharacterized protein OS=Prunus persica GN=PRUPE_ppa002800mg PE=4 SV=1</t>
  </si>
  <si>
    <t>Hexosyltransferase OS=Prunus persica GN=PRUPE_ppa002697mg PE=3 SV=1</t>
  </si>
  <si>
    <t>Uncharacterized protein OS=Prunus persica GN=PRUPE_ppa006242mg PE=4 SV=1</t>
  </si>
  <si>
    <t>Uncharacterized protein OS=Prunus persica GN=PRUPE_ppa024599mg PE=4 SV=1</t>
  </si>
  <si>
    <t>Uncharacterized protein OS=Prunus persica GN=PRUPE_ppa010245mg PE=4 SV=1</t>
  </si>
  <si>
    <t>CASP-like protein OS=Prunus persica GN=PRUPE_ppa011684mg PE=3 SV=1</t>
  </si>
  <si>
    <t>Uncharacterized protein OS=Prunus persica GN=PRUPE_ppa015410mg PE=4 SV=1</t>
  </si>
  <si>
    <t>Uncharacterized protein OS=Prunus persica GN=PRUPE_ppa013423mg PE=4 SV=1</t>
  </si>
  <si>
    <t>Uncharacterized protein OS=Prunus persica GN=PRUPE_ppa010283mg PE=4 SV=1</t>
  </si>
  <si>
    <t>Uncharacterized protein OS=Prunus persica GN=PRUPE_ppa011256mg PE=4 SV=1</t>
  </si>
  <si>
    <t>Uncharacterized protein OS=Prunus persica GN=PRUPE_ppa016517mg PE=4 SV=1</t>
  </si>
  <si>
    <t>Uncharacterized protein OS=Prunus persica GN=PRUPE_ppa013043mg PE=3 SV=1</t>
  </si>
  <si>
    <t>Uncharacterized protein (Fragment) OS=Prunus persica GN=PRUPE_ppa021891mg PE=3 SV=1</t>
  </si>
  <si>
    <t>Uncharacterized protein OS=Prunus persica GN=PRUPE_ppa000835mg PE=4 SV=1</t>
  </si>
  <si>
    <t>Uncharacterized protein OS=Prunus persica GN=PRUPE_ppa005003mg PE=4 SV=1</t>
  </si>
  <si>
    <t>Uncharacterized protein (Fragment) OS=Prunus persica GN=PRUPE_ppa017065mg PE=4 SV=1</t>
  </si>
  <si>
    <t>Uncharacterized protein (Fragment) OS=Prunus persica GN=PRUPE_ppa015602mg PE=3 SV=1</t>
  </si>
  <si>
    <t>Uncharacterized protein OS=Prunus persica GN=PRUPE_ppa000184mg PE=4 SV=1</t>
  </si>
  <si>
    <t>Uncharacterized protein (Fragment) OS=Prunus persica GN=PRUPE_ppa019672mg PE=4 SV=1</t>
  </si>
  <si>
    <t>Uncharacterized protein OS=Prunus persica GN=PRUPE_ppa026534mg PE=4 SV=1</t>
  </si>
  <si>
    <t>Uncharacterized protein OS=Prunus persica GN=PRUPE_ppa009172mg PE=4 SV=1</t>
  </si>
  <si>
    <t>Uncharacterized protein OS=Prunus persica GN=PRUPE_ppa009800mg PE=4 SV=1</t>
  </si>
  <si>
    <t>Uncharacterized protein OS=Prunus persica GN=PRUPE_ppa012436mg PE=4 SV=1</t>
  </si>
  <si>
    <t>Uncharacterized protein OS=Prunus persica GN=PRUPE_ppa024196mg PE=4 SV=1</t>
  </si>
  <si>
    <t>Uncharacterized protein OS=Prunus persica GN=PRUPE_ppa005269mg PE=4 SV=1</t>
  </si>
  <si>
    <t>Ferrochelatase OS=Prunus persica GN=PRUPE_ppa004536mg PE=3 SV=1</t>
  </si>
  <si>
    <t>Uncharacterized protein isoform 1 OS=Theobroma cacao GN=TCM_044640 PE=4 SV=1</t>
  </si>
  <si>
    <t>Uncharacterized protein OS=Prunus persica GN=PRUPE_ppa000692mg PE=4 SV=1</t>
  </si>
  <si>
    <t>Uncharacterized protein (Fragment) OS=Prunus persica GN=PRUPE_ppa026845mg PE=4 SV=1</t>
  </si>
  <si>
    <t>Uncharacterized protein OS=Prunus persica GN=PRUPE_ppa008188mg PE=4 SV=1</t>
  </si>
  <si>
    <t>Uncharacterized protein OS=Prunus persica GN=PRUPE_ppa013615mg PE=4 SV=1</t>
  </si>
  <si>
    <t>Uncharacterized protein (Fragment) OS=Prunus persica GN=PRUPE_ppa019278mg PE=3 SV=1</t>
  </si>
  <si>
    <t>Uncharacterized protein (Fragment) OS=Prunus persica GN=PRUPE_ppa026934mg PE=4 SV=1</t>
  </si>
  <si>
    <t>Uncharacterized protein OS=Prunus persica GN=PRUPE_ppa005412mg PE=4 SV=1</t>
  </si>
  <si>
    <t>Uncharacterized protein OS=Prunus persica GN=PRUPE_ppa006012mg PE=4 SV=1</t>
  </si>
  <si>
    <t>Uncharacterized protein OS=Prunus persica GN=PRUPE_ppa007353mg PE=4 SV=1</t>
  </si>
  <si>
    <t>Uncharacterized protein OS=Prunus persica GN=PRUPE_ppa006747mg PE=3 SV=1</t>
  </si>
  <si>
    <t>Uncharacterized protein OS=Prunus persica GN=PRUPE_ppa012070mg PE=4 SV=1</t>
  </si>
  <si>
    <t>Phosphoribosylformylglycinamidine cyclo-ligase OS=Prunus persica GN=PRUPE_ppa006639mg PE=3 SV=1</t>
  </si>
  <si>
    <t>DNA polymerase OS=Prunus persica GN=PRUPE_ppa000038mg PE=3 SV=1</t>
  </si>
  <si>
    <t>DNA-directed RNA polymerase OS=Morus notabilis GN=L484_007172 PE=3 SV=1</t>
  </si>
  <si>
    <t>Nucleolar GTP-binding protein 1 OS=Prunus persica GN=PRUPE_ppa002409mg PE=3 SV=1</t>
  </si>
  <si>
    <t>Uncharacterized protein (Fragment) OS=Prunus persica GN=PRUPE_ppa020332mg PE=4 SV=1</t>
  </si>
  <si>
    <t>UDP-D-xylose synthase OS=Prunus persica GN=UXS PE=2 SV=1</t>
  </si>
  <si>
    <t>Uncharacterized protein OS=Prunus persica GN=PRUPE_ppa014824mg PE=4 SV=1</t>
  </si>
  <si>
    <t>Fatty acyl-ACP thioesterase B OS=Prunus sibirica GN=fatB PE=2 SV=1</t>
  </si>
  <si>
    <t>Uncharacterized protein OS=Prunus persica GN=PRUPE_ppa023837mg PE=4 SV=1</t>
  </si>
  <si>
    <t>Uncharacterized protein OS=Prunus persica GN=PRUPE_ppa012915mg PE=4 SV=1</t>
  </si>
  <si>
    <t>Uncharacterized protein (Fragment) OS=Prunus persica GN=PRUPE_ppa019989mg PE=4 SV=1</t>
  </si>
  <si>
    <t>Uncharacterized protein OS=Prunus persica GN=PRUPE_ppa002651mg PE=3 SV=1</t>
  </si>
  <si>
    <t>Uncharacterized protein OS=Prunus persica GN=PRUPE_ppa013124mg PE=4 SV=1</t>
  </si>
  <si>
    <t>Uncharacterized protein OS=Prunus persica GN=PRUPE_ppa022795mg PE=4 SV=1</t>
  </si>
  <si>
    <t>Uncharacterized protein OS=Prunus persica GN=PRUPE_ppa011407mg PE=4 SV=1</t>
  </si>
  <si>
    <t>Uncharacterized protein OS=Prunus persica GN=PRUPE_ppa021061mg PE=4 SV=1</t>
  </si>
  <si>
    <t>Uncharacterized protein OS=Prunus persica GN=PRUPE_ppa010504mg PE=4 SV=1</t>
  </si>
  <si>
    <t>Uncharacterized protein OS=Prunus persica GN=PRUPE_ppa008122mg PE=4 SV=1</t>
  </si>
  <si>
    <t>Uncharacterized protein OS=Prunus persica GN=PRUPE_ppa005642mg PE=3 SV=1</t>
  </si>
  <si>
    <t>Uncharacterized protein (Fragment) OS=Prunus persica GN=PRUPE_ppa014576mg PE=4 SV=1</t>
  </si>
  <si>
    <t>Uncharacterized protein OS=Prunus persica GN=PRUPE_ppa003918mg PE=4 SV=1</t>
  </si>
  <si>
    <t>Uncharacterized protein OS=Prunus persica GN=PRUPE_ppa003256mg PE=4 SV=1</t>
  </si>
  <si>
    <t>Uncharacterized protein OS=Prunus persica GN=PRUPE_ppa011452mg PE=4 SV=1</t>
  </si>
  <si>
    <t>Uncharacterized protein OS=Prunus persica GN=PRUPE_ppa004259mg PE=4 SV=1</t>
  </si>
  <si>
    <t>Uncharacterized protein OS=Prunus persica GN=PRUPE_ppa025794mg PE=4 SV=1</t>
  </si>
  <si>
    <t>Uncharacterized protein OS=Prunus persica GN=PRUPE_ppa007241mg PE=4 SV=1</t>
  </si>
  <si>
    <t>Uncharacterized protein OS=Prunus persica GN=PRUPE_ppa021165mg PE=3 SV=1</t>
  </si>
  <si>
    <t>Uncharacterized protein OS=Prunus persica GN=PRUPE_ppa024270mg PE=3 SV=1</t>
  </si>
  <si>
    <t>Uncharacterized protein OS=Prunus persica GN=PRUPE_ppa002341mg PE=4 SV=1</t>
  </si>
  <si>
    <t>Uncharacterized protein OS=Prunus persica GN=PRUPE_ppa002351mg PE=3 SV=1</t>
  </si>
  <si>
    <t>Uncharacterized protein OS=Prunus persica GN=PRUPE_ppa009796mg PE=4 SV=1</t>
  </si>
  <si>
    <t>Uncharacterized protein OS=Prunus persica GN=PRUPE_ppa007184mg PE=4 SV=1</t>
  </si>
  <si>
    <t>Uncharacterized protein OS=Prunus persica GN=PRUPE_ppa003923mg PE=3 SV=1</t>
  </si>
  <si>
    <t>Uncharacterized protein OS=Prunus persica GN=PRUPE_ppa012259mg PE=4 SV=1</t>
  </si>
  <si>
    <t>Uncharacterized protein (Fragment) OS=Prunus persica GN=PRUPE_ppa024302mg PE=4 SV=1</t>
  </si>
  <si>
    <t>Uncharacterized protein OS=Prunus persica GN=PRUPE_ppa012084mg PE=4 SV=1</t>
  </si>
  <si>
    <t>Uncharacterized protein OS=Prunus persica GN=PRUPE_ppa004918mg PE=4 SV=1</t>
  </si>
  <si>
    <t>Uncharacterized protein OS=Prunus persica GN=PRUPE_ppa005648mg PE=4 SV=1</t>
  </si>
  <si>
    <t>Uncharacterized protein OS=Prunus persica GN=PRUPE_ppa004429mg PE=3 SV=1</t>
  </si>
  <si>
    <t>Uncharacterized protein OS=Prunus persica GN=PRUPE_ppa003479mg PE=4 SV=1</t>
  </si>
  <si>
    <t>Uncharacterized protein OS=Prunus persica GN=PRUPE_ppa011232mg PE=4 SV=1</t>
  </si>
  <si>
    <t>Uncharacterized protein OS=Prunus persica GN=PRUPE_ppa006145mg PE=3 SV=1</t>
  </si>
  <si>
    <t>Uncharacterized protein OS=Prunus persica GN=PRUPE_ppa011447mg PE=4 SV=1</t>
  </si>
  <si>
    <t>Uncharacterized protein OS=Prunus persica GN=PRUPE_ppa012580mg PE=4 SV=1</t>
  </si>
  <si>
    <t>Uncharacterized protein (Fragment) OS=Prunus persica GN=PRUPE_ppa022932mg PE=4 SV=1</t>
  </si>
  <si>
    <t>Uncharacterized protein OS=Prunus persica GN=PRUPE_ppa007391mg PE=4 SV=1</t>
  </si>
  <si>
    <t>Uncharacterized protein OS=Prunus persica GN=PRUPE_ppa004664mg PE=3 SV=1</t>
  </si>
  <si>
    <t>Uncharacterized protein (Fragment) OS=Prunus persica GN=PRUPE_ppa024254mg PE=4 SV=1</t>
  </si>
  <si>
    <t>Uncharacterized protein OS=Prunus persica GN=PRUPE_ppa005729mg PE=4 SV=1</t>
  </si>
  <si>
    <t>Uncharacterized protein OS=Prunus persica GN=PRUPE_ppa004961mg PE=4 SV=1</t>
  </si>
  <si>
    <t>Uncharacterized protein OS=Prunus persica GN=PRUPE_ppa012740mg PE=4 SV=1</t>
  </si>
  <si>
    <t>NADH dehydrogenase [ubiquinone] iron-sulfur protein 7 OS=Morus notabilis GN=L484_019522 PE=3 SV=1</t>
  </si>
  <si>
    <t>Uncharacterized protein OS=Prunus persica GN=PRUPE_ppa011480mg PE=4 SV=1</t>
  </si>
  <si>
    <t>tRNA pseudouridine synthase OS=Vitis vinifera GN=VIT_18s0001g01990 PE=3 SV=1</t>
  </si>
  <si>
    <t>Uncharacterized protein OS=Prunus persica GN=PRUPE_ppa001935mg PE=4 SV=1</t>
  </si>
  <si>
    <t>Uncharacterized protein OS=Prunus persica GN=PRUPE_ppa010089mg PE=4 SV=1</t>
  </si>
  <si>
    <t>Uncharacterized protein OS=Prunus persica GN=PRUPE_ppa019557mg PE=4 SV=1</t>
  </si>
  <si>
    <t>Uncharacterized protein OS=Prunus persica GN=PRUPE_ppa017461mg PE=4 SV=1</t>
  </si>
  <si>
    <t>Uncharacterized protein OS=Prunus persica GN=PRUPE_ppa012996mg PE=3 SV=1</t>
  </si>
  <si>
    <t>Uncharacterized protein OS=Morus notabilis GN=L484_009618 PE=4 SV=1</t>
  </si>
  <si>
    <t>Uncharacterized protein OS=Prunus persica GN=PRUPE_ppa021369mg PE=3 SV=1</t>
  </si>
  <si>
    <t>Uncharacterized protein OS=Prunus persica GN=PRUPE_ppa000569mg PE=4 SV=1</t>
  </si>
  <si>
    <t>Uncharacterized protein (Fragment) OS=Prunus persica GN=PRUPE_ppa018817mg PE=4 SV=1</t>
  </si>
  <si>
    <t>Uncharacterized protein (Fragment) OS=Prunus persica GN=PRUPE_ppa025334mg PE=4 SV=1</t>
  </si>
  <si>
    <t>Uncharacterized protein (Fragment) OS=Prunus persica GN=PRUPE_ppa025567mg PE=4 SV=1</t>
  </si>
  <si>
    <t>Uncharacterized protein OS=Prunus persica GN=PRUPE_ppa020794mg PE=4 SV=1</t>
  </si>
  <si>
    <t>Uncharacterized protein OS=Prunus persica GN=PRUPE_ppa026474mg PE=3 SV=1</t>
  </si>
  <si>
    <t>Kinesin-like protein OS=Prunus persica GN=PRUPE_ppa000985mg PE=3 SV=1</t>
  </si>
  <si>
    <t>Uncharacterized protein (Fragment) OS=Prunus persica GN=PRUPE_ppa023617mg PE=4 SV=1</t>
  </si>
  <si>
    <t>Uncharacterized protein OS=Citrus sinensis GN=CISIN_1g009755mg PE=4 SV=1</t>
  </si>
  <si>
    <t>Uncharacterized protein OS=Eucalyptus grandis GN=EUGRSUZ_B03153 PE=3 SV=1</t>
  </si>
  <si>
    <t>Uncharacterized protein OS=Prunus persica GN=PRUPE_ppa026947mg PE=4 SV=1</t>
  </si>
  <si>
    <t>Uncharacterized protein OS=Prunus persica GN=PRUPE_ppa014417mg PE=4 SV=1</t>
  </si>
  <si>
    <t>Uncharacterized protein OS=Prunus persica GN=PRUPE_ppa008991mg PE=4 SV=1</t>
  </si>
  <si>
    <t>Uncharacterized protein OS=Prunus persica GN=PRUPE_ppa004109mg PE=4 SV=1</t>
  </si>
  <si>
    <t>Uncharacterized protein OS=Prunus persica GN=PRUPE_ppa024857mg PE=4 SV=1</t>
  </si>
  <si>
    <t>Uncharacterized protein OS=Prunus persica GN=PRUPE_ppa008003mg PE=3 SV=1</t>
  </si>
  <si>
    <t>Uncharacterized protein (Fragment) OS=Prunus persica GN=PRUPE_ppa020788mg PE=3 SV=1</t>
  </si>
  <si>
    <t>Uncharacterized protein OS=Prunus persica GN=PRUPE_ppa004622mg PE=3 SV=1</t>
  </si>
  <si>
    <t>Uncharacterized protein OS=Prunus persica GN=PRUPE_ppa000165mg PE=4 SV=1</t>
  </si>
  <si>
    <t>Uncharacterized protein (Fragment) OS=Prunus persica GN=PRUPE_ppa018858mg PE=4 SV=1</t>
  </si>
  <si>
    <t>Uncharacterized protein OS=Prunus persica GN=PRUPE_ppa003021mg PE=3 SV=1</t>
  </si>
  <si>
    <t>Uncharacterized protein OS=Prunus persica GN=PRUPE_ppa007806mg PE=4 SV=1</t>
  </si>
  <si>
    <t>Serine/threonine-protein phosphatase OS=Prunus persica GN=PRUPE_ppa000783mg PE=3 SV=1</t>
  </si>
  <si>
    <t>Uncharacterized protein OS=Prunus persica GN=PRUPE_ppa000850mg PE=4 SV=1</t>
  </si>
  <si>
    <t>Uncharacterized protein OS=Prunus persica GN=PRUPE_ppa001548mg PE=4 SV=1</t>
  </si>
  <si>
    <t>A-b binding protein OS=Pyrus x bretschneideri PE=2 SV=1</t>
  </si>
  <si>
    <t>Dolichyl-diphosphooligosaccharide--protein glycosyltransferase subunit DAD1 OS=Prunus persica GN=PRUPE_ppa013509mg PE=3 SV=1</t>
  </si>
  <si>
    <t>Uncharacterized protein OS=Prunus persica GN=PRUPE_ppa016963mg PE=4 SV=1</t>
  </si>
  <si>
    <t>Starch synthase, chloroplastic/amyloplastic OS=Prunus persica GN=PRUPE_ppa002955mg PE=3 SV=1</t>
  </si>
  <si>
    <t>Uncharacterized protein (Fragment) OS=Prunus persica GN=PRUPE_ppa015300mg PE=4 SV=1</t>
  </si>
  <si>
    <t>Uncharacterized protein (Fragment) OS=Prunus persica GN=PRUPE_ppa024664mg PE=4 SV=1</t>
  </si>
  <si>
    <t>Uncharacterized protein (Fragment) OS=Prunus persica GN=PRUPE_ppa026196mg PE=4 SV=1</t>
  </si>
  <si>
    <t>Uncharacterized protein OS=Prunus persica GN=PRUPE_ppa026936mg PE=4 SV=1</t>
  </si>
  <si>
    <t>Uncharacterized protein OS=Prunus persica GN=PRUPE_ppa019739mg PE=4 SV=1</t>
  </si>
  <si>
    <t>Uncharacterized protein OS=Prunus persica GN=PRUPE_ppa011660mg PE=3 SV=1</t>
  </si>
  <si>
    <t>Glycerol-3-phosphate dehydrogenase OS=Prunus persica GN=PRUPE_ppa002830mg PE=3 SV=1</t>
  </si>
  <si>
    <t>Uncharacterized protein OS=Prunus persica GN=PRUPE_ppa012179mg PE=4 SV=1</t>
  </si>
  <si>
    <t>Uncharacterized protein OS=Prunus persica GN=PRUPE_ppa009893mg PE=4 SV=1</t>
  </si>
  <si>
    <t>Uncharacterized protein OS=Prunus persica GN=PRUPE_ppa001801mg PE=4 SV=1</t>
  </si>
  <si>
    <t>Uncharacterized protein OS=Prunus persica GN=PRUPE_ppa006026mg PE=4 SV=1</t>
  </si>
  <si>
    <t>Uncharacterized protein OS=Prunus persica GN=PRUPE_ppa010426mg PE=3 SV=1</t>
  </si>
  <si>
    <t>Uncharacterized protein OS=Prunus persica GN=PRUPE_ppa014487mg PE=4 SV=1</t>
  </si>
  <si>
    <t>Uncharacterized protein OS=Prunus persica GN=PRUPE_ppa011810mg PE=3 SV=1</t>
  </si>
  <si>
    <t>Uncharacterized protein OS=Prunus persica GN=PRUPE_ppa004666mg PE=4 SV=1</t>
  </si>
  <si>
    <t>Uncharacterized protein OS=Prunus persica GN=PRUPE_ppa006754mg PE=4 SV=1</t>
  </si>
  <si>
    <t>Uncharacterized protein OS=Prunus persica GN=PRUPE_ppa015927mg PE=4 SV=1</t>
  </si>
  <si>
    <t>Uncharacterized protein OS=Prunus persica GN=PRUPE_ppa007082mg PE=4 SV=1</t>
  </si>
  <si>
    <t>Uncharacterized protein OS=Prunus persica GN=PRUPE_ppa003318mg PE=4 SV=1</t>
  </si>
  <si>
    <t>Phosphatidate cytidylyltransferase OS=Prunus persica GN=PRUPE_ppa006483mg PE=3 SV=1</t>
  </si>
  <si>
    <t>Uncharacterized protein OS=Prunus persica GN=PRUPE_ppa020961mg PE=4 SV=1</t>
  </si>
  <si>
    <t>Uncharacterized protein OS=Prunus persica GN=PRUPE_ppa026996mg PE=4 SV=1</t>
  </si>
  <si>
    <t>Uncharacterized protein OS=Prunus persica GN=PRUPE_ppa012337mg PE=4 SV=1</t>
  </si>
  <si>
    <t>Uncharacterized protein OS=Prunus persica GN=PRUPE_ppa008732mg PE=4 SV=1</t>
  </si>
  <si>
    <t>Uncharacterized protein OS=Prunus persica GN=PRUPE_ppa024382mg PE=3 SV=1</t>
  </si>
  <si>
    <t>Uncharacterized protein (Fragment) OS=Prunus persica GN=PRUPE_ppa020946mg PE=4 SV=1</t>
  </si>
  <si>
    <t>Uncharacterized protein OS=Prunus persica GN=PRUPE_ppa000600mg PE=4 SV=1</t>
  </si>
  <si>
    <t>Sucrose synthase OS=Malus domestica GN=SS PE=2 SV=1</t>
  </si>
  <si>
    <t>Uncharacterized protein OS=Prunus persica GN=PRUPE_ppa006620mg PE=4 SV=1</t>
  </si>
  <si>
    <t>Uncharacterized protein OS=Prunus persica GN=PRUPE_ppa000948mg PE=4 SV=1</t>
  </si>
  <si>
    <t>Uncharacterized protein OS=Prunus persica GN=PRUPE_ppa013342mg PE=4 SV=1</t>
  </si>
  <si>
    <t>3-ketoacyl-CoA synthase OS=Prunus persica GN=PRUPE_ppa004944mg PE=3 SV=1</t>
  </si>
  <si>
    <t>Uncharacterized protein OS=Prunus persica GN=PRUPE_ppa007385mg PE=4 SV=1</t>
  </si>
  <si>
    <t>Uncharacterized protein OS=Prunus persica GN=PRUPE_ppa008104mg PE=3 SV=1</t>
  </si>
  <si>
    <t>Uncharacterized protein (Fragment) OS=Prunus persica GN=PRUPE_ppa026655mg PE=3 SV=1</t>
  </si>
  <si>
    <t>Uncharacterized protein OS=Prunus persica GN=PRUPE_ppa021932mg PE=4 SV=1</t>
  </si>
  <si>
    <t>Uncharacterized protein OS=Prunus persica GN=PRUPE_ppa007890mg PE=4 SV=1</t>
  </si>
  <si>
    <t>Uncharacterized protein OS=Prunus persica GN=PRUPE_ppa007810mg PE=4 SV=1</t>
  </si>
  <si>
    <t>Aldehyde dehydrogenase OS=Prunus persica GN=PRUPE_ppa005609mg PE=3 SV=1</t>
  </si>
  <si>
    <t>Uncharacterized protein OS=Prunus persica GN=PRUPE_ppa005815mg PE=4 SV=1</t>
  </si>
  <si>
    <t>Uncharacterized protein OS=Prunus persica GN=PRUPE_ppa002385mg PE=4 SV=1</t>
  </si>
  <si>
    <t>Uncharacterized protein (Fragment) OS=Prunus persica GN=PRUPE_ppb013756mg PE=4 SV=1</t>
  </si>
  <si>
    <t>Uncharacterized protein OS=Prunus persica GN=PRUPE_ppa000039mg PE=4 SV=1</t>
  </si>
  <si>
    <t>Uncharacterized protein (Fragment) OS=Prunus persica GN=PRUPE_ppa015223mg PE=4 SV=1</t>
  </si>
  <si>
    <t>Uncharacterized protein OS=Prunus persica GN=PRUPE_ppa023710mg PE=4 SV=1</t>
  </si>
  <si>
    <t>Uncharacterized protein OS=Prunus persica GN=PRUPE_ppa009960mg PE=4 SV=1</t>
  </si>
  <si>
    <t>Uncharacterized protein OS=Prunus persica GN=PRUPE_ppa000684mg PE=4 SV=1</t>
  </si>
  <si>
    <t>Uncharacterized protein OS=Prunus persica GN=PRUPE_ppa003525mg PE=3 SV=1</t>
  </si>
  <si>
    <t>Uncharacterized protein OS=Prunus persica GN=PRUPE_ppa012150mg PE=4 SV=1</t>
  </si>
  <si>
    <t>Uncharacterized protein (Fragment) OS=Prunus persica GN=PRUPE_ppa019021mg PE=4 SV=1</t>
  </si>
  <si>
    <t>Uncharacterized protein OS=Prunus persica GN=PRUPE_ppa005583mg PE=4 SV=1</t>
  </si>
  <si>
    <t>Uncharacterized protein OS=Jatropha curcas GN=JCGZ_10026 PE=4 SV=1</t>
  </si>
  <si>
    <t>Uncharacterized protein OS=Prunus persica GN=PRUPE_ppa011183mg PE=4 SV=1</t>
  </si>
  <si>
    <t>Uncharacterized protein OS=Prunus persica GN=PRUPE_ppa013263mg PE=4 SV=1</t>
  </si>
  <si>
    <t>Uncharacterized protein OS=Eucalyptus grandis GN=EUGRSUZ_J01889 PE=4 SV=1</t>
  </si>
  <si>
    <t>Beta-galactosidase OS=Prunus persica GN=PRUPE_ppa001480mg PE=3 SV=1</t>
  </si>
  <si>
    <t>Uncharacterized protein OS=Prunus persica GN=PRUPE_ppa001471mg PE=4 SV=1</t>
  </si>
  <si>
    <t>Uncharacterized protein OS=Prunus persica GN=PRUPE_ppa010528mg PE=3 SV=1</t>
  </si>
  <si>
    <t>Uncharacterized protein OS=Prunus persica GN=PRUPE_ppa003845mg PE=4 SV=1</t>
  </si>
  <si>
    <t>UDP-D-xylose 4-epimerase OS=Prunus persica GN=UXE PE=2 SV=1</t>
  </si>
  <si>
    <t>Uncharacterized protein OS=Prunus persica GN=PRUPE_ppa002483mg PE=4 SV=1</t>
  </si>
  <si>
    <t>Uncharacterized protein OS=Prunus persica GN=PRUPE_ppa004183mg PE=4 SV=1</t>
  </si>
  <si>
    <t>Uncharacterized protein OS=Prunus persica GN=PRUPE_ppa005659mg PE=4 SV=1</t>
  </si>
  <si>
    <t>Uncharacterized protein OS=Prunus persica GN=PRUPE_ppa010239mg PE=4 SV=1</t>
  </si>
  <si>
    <t>Uncharacterized protein OS=Prunus persica GN=PRUPE_ppa010603mg PE=4 SV=1</t>
  </si>
  <si>
    <t>Uncharacterized protein OS=Prunus persica GN=PRUPE_ppa007672mg PE=4 SV=1</t>
  </si>
  <si>
    <t>Uncharacterized protein OS=Prunus persica GN=PRUPE_ppa015197mg PE=4 SV=1</t>
  </si>
  <si>
    <t>Uncharacterized protein OS=Jatropha curcas GN=JCGZ_07017 PE=4 SV=1</t>
  </si>
  <si>
    <t>Uncharacterized protein OS=Prunus persica GN=PRUPE_ppa008842mg PE=4 SV=1</t>
  </si>
  <si>
    <t>Uncharacterized protein OS=Prunus persica GN=PRUPE_ppa000565mg PE=4 SV=1</t>
  </si>
  <si>
    <t>Uncharacterized protein (Fragment) OS=Prunus persica GN=PRUPE_ppa019347mg PE=4 SV=1</t>
  </si>
  <si>
    <t>Uncharacterized protein OS=Prunus persica GN=PRUPE_ppa016365mg PE=4 SV=1</t>
  </si>
  <si>
    <t>Uncharacterized protein OS=Prunus persica GN=PRUPE_ppa000285mg PE=4 SV=1</t>
  </si>
  <si>
    <t>Uncharacterized protein OS=Prunus persica GN=PRUPE_ppa025540mg PE=4 SV=1</t>
  </si>
  <si>
    <t>Uncharacterized protein OS=Prunus persica GN=PRUPE_ppa007645mg PE=4 SV=1</t>
  </si>
  <si>
    <t>Uncharacterized protein OS=Prunus persica GN=PRUPE_ppa003555mg PE=4 SV=1</t>
  </si>
  <si>
    <t>Kinesin-like protein OS=Prunus persica GN=PRUPE_ppa000411mg PE=3 SV=1</t>
  </si>
  <si>
    <t>Uncharacterized protein OS=Prunus persica GN=PRUPE_ppa000041mg PE=4 SV=1</t>
  </si>
  <si>
    <t>ABC transporter I family member 10 OS=Morus notabilis GN=L484_020707 PE=3 SV=1</t>
  </si>
  <si>
    <t>Uncharacterized protein OS=Prunus persica GN=PRUPE_ppa000480mg PE=4 SV=1</t>
  </si>
  <si>
    <t>Kinesin-like protein (Fragment) OS=Prunus persica GN=PRUPE_ppa020304mg PE=3 SV=1</t>
  </si>
  <si>
    <t>Uncharacterized protein OS=Prunus persica GN=PRUPE_ppa026075mg PE=4 SV=1</t>
  </si>
  <si>
    <t>Uncharacterized protein OS=Prunus persica GN=PRUPE_ppa010693mg PE=4 SV=1</t>
  </si>
  <si>
    <t>Uncharacterized protein OS=Prunus persica GN=PRUPE_ppa003069mg PE=4 SV=1</t>
  </si>
  <si>
    <t>Uncharacterized protein OS=Prunus persica GN=PRUPE_ppa001005mg PE=3 SV=1</t>
  </si>
  <si>
    <t>Uncharacterized protein OS=Prunus persica GN=PRUPE_ppa021643mg PE=4 SV=1</t>
  </si>
  <si>
    <t>Uncharacterized protein OS=Prunus persica GN=PRUPE_ppa005310mg PE=3 SV=1</t>
  </si>
  <si>
    <t>Uncharacterized protein OS=Prunus persica GN=PRUPE_ppa004709mg PE=4 SV=1</t>
  </si>
  <si>
    <t>Uncharacterized protein OS=Prunus persica GN=PRUPE_ppa003368mg PE=4 SV=1</t>
  </si>
  <si>
    <t>Elongator complex protein 3 OS=Morus notabilis GN=L484_008175 PE=4 SV=1</t>
  </si>
  <si>
    <t>Uncharacterized protein OS=Prunus persica GN=PRUPE_ppa008576mg PE=4 SV=1</t>
  </si>
  <si>
    <t>Uncharacterized protein OS=Prunus persica GN=PRUPE_ppa007044mg PE=4 SV=1</t>
  </si>
  <si>
    <t>Endoglucanase (Fragment) OS=Prunus persica GN=PRUPE_ppa014845mg PE=3 SV=1</t>
  </si>
  <si>
    <t>Uncharacterized protein OS=Prunus persica GN=PRUPE_ppa011153mg PE=3 SV=1</t>
  </si>
  <si>
    <t>Uncharacterized protein OS=Prunus persica GN=PRUPE_ppa011862mg PE=4 SV=1</t>
  </si>
  <si>
    <t>Uncharacterized protein OS=Prunus persica GN=PRUPE_ppa004947mg PE=3 SV=1</t>
  </si>
  <si>
    <t>Uncharacterized protein OS=Prunus persica GN=PRUPE_ppa008610mg PE=4 SV=1</t>
  </si>
  <si>
    <t>Uncharacterized protein OS=Prunus persica GN=PRUPE_ppa013156mg PE=4 SV=1</t>
  </si>
  <si>
    <t>NADPH--cytochrome P450 reductase OS=Prunus persica GN=PRUPE_ppa002142mg PE=3 SV=1</t>
  </si>
  <si>
    <t>Uncharacterized protein OS=Prunus persica GN=PRUPE_ppa012471mg PE=4 SV=1</t>
  </si>
  <si>
    <t>Uncharacterized protein OS=Prunus persica GN=PRUPE_ppa023358mg PE=4 SV=1</t>
  </si>
  <si>
    <t>Uncharacterized protein OS=Prunus persica GN=PRUPE_ppa000379mg PE=4 SV=1</t>
  </si>
  <si>
    <t>Uncharacterized protein OS=Morus notabilis GN=L484_025521 PE=4 SV=1</t>
  </si>
  <si>
    <t>Uncharacterized protein OS=Prunus persica GN=PRUPE_ppa012841mg PE=4 SV=1</t>
  </si>
  <si>
    <t>Uncharacterized protein (Fragment) OS=Prunus persica GN=PRUPE_ppa020074mg PE=4 SV=1</t>
  </si>
  <si>
    <t>Uncharacterized protein OS=Prunus persica GN=PRUPE_ppa000804mg PE=4 SV=1</t>
  </si>
  <si>
    <t>Uncharacterized protein (Fragment) OS=Prunus persica GN=PRUPE_ppa021535mg PE=4 SV=1</t>
  </si>
  <si>
    <t>Uncharacterized protein OS=Prunus persica GN=PRUPE_ppa010365mg PE=3 SV=1</t>
  </si>
  <si>
    <t>Uncharacterized protein OS=Prunus persica GN=PRUPE_ppa008605mg PE=4 SV=1</t>
  </si>
  <si>
    <t>Uncharacterized protein OS=Prunus persica GN=PRUPE_ppa023587mg PE=4 SV=1</t>
  </si>
  <si>
    <t>Uncharacterized protein OS=Prunus persica GN=PRUPE_ppa000471mg PE=4 SV=1</t>
  </si>
  <si>
    <t>Uncharacterized protein OS=Prunus persica GN=PRUPE_ppa010105mg PE=4 SV=1</t>
  </si>
  <si>
    <t>Uncharacterized protein OS=Prunus persica GN=PRUPE_ppa003057mg PE=4 SV=1</t>
  </si>
  <si>
    <t>Uncharacterized protein OS=Prunus persica GN=PRUPE_ppa007114mg PE=4 SV=1</t>
  </si>
  <si>
    <t>Uncharacterized protein OS=Prunus persica GN=PRUPE_ppa002556mg PE=3 SV=1</t>
  </si>
  <si>
    <t>Uncharacterized protein OS=Prunus persica GN=PRUPE_ppa010617mg PE=4 SV=1</t>
  </si>
  <si>
    <t>Uncharacterized protein OS=Prunus persica GN=PRUPE_ppa010518mg PE=4 SV=1</t>
  </si>
  <si>
    <t>Uncharacterized protein OS=Prunus persica GN=PRUPE_ppa008014mg PE=4 SV=1</t>
  </si>
  <si>
    <t>Uncharacterized protein (Fragment) OS=Prunus persica GN=PRUPE_ppa025236mg PE=4 SV=1</t>
  </si>
  <si>
    <t>Uncharacterized protein OS=Prunus persica GN=PRUPE_ppa000555mg PE=4 SV=1</t>
  </si>
  <si>
    <t>Uncharacterized protein OS=Prunus persica GN=PRUPE_ppa002610mg PE=4 SV=1</t>
  </si>
  <si>
    <t>Uncharacterized protein OS=Prunus persica GN=PRUPE_ppa010338mg PE=4 SV=1</t>
  </si>
  <si>
    <t>Uncharacterized protein OS=Prunus persica GN=PRUPE_ppa005647mg PE=4 SV=1</t>
  </si>
  <si>
    <t>Uncharacterized protein OS=Prunus persica GN=PRUPE_ppa003330mg PE=4 SV=1</t>
  </si>
  <si>
    <t>Uncharacterized protein OS=Prunus persica GN=PRUPE_ppa003653mg PE=4 SV=1</t>
  </si>
  <si>
    <t>UDP-glucuronosyltransferase, putative OS=Ricinus communis GN=RCOM_0497800 PE=4 SV=1</t>
  </si>
  <si>
    <t>Uncharacterized protein OS=Prunus persica GN=PRUPE_ppa013445mg PE=3 SV=1</t>
  </si>
  <si>
    <t>Uncharacterized protein OS=Prunus persica GN=PRUPE_ppa010153mg PE=4 SV=1</t>
  </si>
  <si>
    <t>Uncharacterized protein OS=Prunus persica GN=PRUPE_ppa018571mg PE=4 SV=1</t>
  </si>
  <si>
    <t>Uncharacterized protein OS=Morus notabilis GN=L484_001349 PE=3 SV=1</t>
  </si>
  <si>
    <t>Uncharacterized protein OS=Prunus persica GN=PRUPE_ppa008626mg PE=4 SV=1</t>
  </si>
  <si>
    <t>Uncharacterized protein OS=Prunus persica GN=PRUPE_ppa024024mg PE=3 SV=1</t>
  </si>
  <si>
    <t>Uncharacterized protein OS=Prunus persica GN=PRUPE_ppa008985mg PE=4 SV=1</t>
  </si>
  <si>
    <t>Uncharacterized protein (Fragment) OS=Prunus persica GN=PRUPE_ppa019497mg PE=4 SV=1</t>
  </si>
  <si>
    <t>Uncharacterized protein OS=Prunus persica GN=PRUPE_ppa010091mg PE=4 SV=1</t>
  </si>
  <si>
    <t>Uncharacterized protein (Fragment) OS=Prunus persica GN=PRUPE_ppa022609mg PE=4 SV=1</t>
  </si>
  <si>
    <t>Uncharacterized protein OS=Prunus persica GN=PRUPE_ppa012923mg PE=4 SV=1</t>
  </si>
  <si>
    <t>Uncharacterized protein OS=Prunus persica GN=PRUPE_ppa003505mg PE=4 SV=1</t>
  </si>
  <si>
    <t>Uncharacterized protein OS=Prunus persica GN=PRUPE_ppa017015mg PE=4 SV=1</t>
  </si>
  <si>
    <t>Uncharacterized protein OS=Fusarium oxysporum f. sp. lycopersici (strain 4287 / CBS 123668 / FGSC 9935 / NRRL 34936) GN=FOXG_05678 PE=4 SV=1</t>
  </si>
  <si>
    <t>Uncharacterized protein OS=Prunus persica GN=PRUPE_ppa020061mg PE=4 SV=1</t>
  </si>
  <si>
    <t>Uncharacterized protein OS=Prunus persica GN=PRUPE_ppa003074mg PE=4 SV=1</t>
  </si>
  <si>
    <t>Uncharacterized protein OS=Prunus persica GN=PRUPE_ppa014894mg PE=4 SV=1</t>
  </si>
  <si>
    <t>Uncharacterized protein OS=Prunus persica GN=PRUPE_ppa021550mg PE=4 SV=1</t>
  </si>
  <si>
    <t>Uncharacterized protein OS=Prunus persica GN=PRUPE_ppa016384mg PE=4 SV=1</t>
  </si>
  <si>
    <t>Reticulon-like protein OS=Prunus persica GN=PRUPE_ppa010481mg PE=4 SV=1</t>
  </si>
  <si>
    <t>Uncharacterized protein OS=Prunus persica GN=PRUPE_ppa005947mg PE=4 SV=1</t>
  </si>
  <si>
    <t>Uncharacterized protein OS=Morus notabilis GN=L484_004470 PE=4 SV=1</t>
  </si>
  <si>
    <t>MADS domain class transcription factor OS=Malus domestica GN=MADS16 PE=2 SV=1</t>
  </si>
  <si>
    <t>Uncharacterized protein OS=Prunus persica GN=PRUPE_ppa002903mg PE=4 SV=1</t>
  </si>
  <si>
    <t>Uncharacterized protein OS=Prunus persica GN=PRUPE_ppa010296mg PE=4 SV=1</t>
  </si>
  <si>
    <t>Uncharacterized protein OS=Prunus persica GN=PRUPE_ppa008468mg PE=3 SV=1</t>
  </si>
  <si>
    <t>Uncharacterized protein OS=Prunus persica GN=PRUPE_ppa001130mg PE=4 SV=1</t>
  </si>
  <si>
    <t>Uncharacterized protein OS=Prunus persica GN=PRUPE_ppa004014mg PE=4 SV=1</t>
  </si>
  <si>
    <t>Uncharacterized protein OS=Prunus persica GN=PRUPE_ppa000409mg PE=4 SV=1</t>
  </si>
  <si>
    <t>Uncharacterized protein OS=Prunus persica GN=PRUPE_ppa010378mg PE=4 SV=1</t>
  </si>
  <si>
    <t>Uncharacterized protein OS=Prunus persica GN=PRUPE_ppa011749mg PE=4 SV=1</t>
  </si>
  <si>
    <t>Uncharacterized protein OS=Prunus persica GN=PRUPE_ppa005445mg PE=4 SV=1</t>
  </si>
  <si>
    <t>Long-chain-alcohol oxidase OS=Prunus persica GN=PRUPE_ppa018458mg PE=3 SV=1</t>
  </si>
  <si>
    <t>Uncharacterized protein OS=Prunus persica GN=PRUPE_ppa012252mg PE=4 SV=1</t>
  </si>
  <si>
    <t>Uncharacterized protein OS=Prunus persica GN=PRUPE_ppa003967mg PE=4 SV=1</t>
  </si>
  <si>
    <t>Uncharacterized protein OS=Prunus persica GN=PRUPE_ppa009354mg PE=3 SV=1</t>
  </si>
  <si>
    <t>Uncharacterized protein OS=Prunus persica GN=PRUPE_ppa001940mg PE=4 SV=1</t>
  </si>
  <si>
    <t>Uncharacterized protein OS=Prunus persica GN=PRUPE_ppa003208mg PE=4 SV=1</t>
  </si>
  <si>
    <t>Uncharacterized protein OS=Prunus persica GN=PRUPE_ppa001502mg PE=4 SV=1</t>
  </si>
  <si>
    <t>Uncharacterized protein OS=Eucalyptus grandis GN=EUGRSUZ_F04100 PE=4 SV=1</t>
  </si>
  <si>
    <t>Uncharacterized protein OS=Prunus persica GN=PRUPE_ppa000732mg PE=4 SV=1</t>
  </si>
  <si>
    <t>Uncharacterized protein (Fragment) OS=Prunus persica GN=PRUPE_ppa021059mg PE=4 SV=1</t>
  </si>
  <si>
    <t>Uncharacterized protein OS=Prunus persica GN=PRUPE_ppa015023mg PE=4 SV=1</t>
  </si>
  <si>
    <t>Uncharacterized protein OS=Prunus persica GN=PRUPE_ppa001549mg PE=4 SV=1</t>
  </si>
  <si>
    <t>Uncharacterized protein OS=Prunus persica GN=PRUPE_ppa012238mg PE=4 SV=1</t>
  </si>
  <si>
    <t>NAD-dependent sorbitol dehydrogenase OS=Prunus persica GN=PRUPE_ppa007458mg PE=2 SV=1</t>
  </si>
  <si>
    <t>Uncharacterized protein OS=Prunus persica GN=PRUPE_ppa011449mg PE=3 SV=1</t>
  </si>
  <si>
    <t>Uncharacterized protein OS=Prunus persica GN=PRUPE_ppa011986mg PE=3 SV=1</t>
  </si>
  <si>
    <t>Uncharacterized protein OS=Prunus persica GN=PRUPE_ppa004728mg PE=3 SV=1</t>
  </si>
  <si>
    <t>Uncharacterized protein OS=Prunus persica GN=PRUPE_ppa003625mg PE=3 SV=1</t>
  </si>
  <si>
    <t>Uncharacterized protein OS=Prunus persica GN=PRUPE_ppa007923mg PE=4 SV=1</t>
  </si>
  <si>
    <t>Uncharacterized protein OS=Prunus persica GN=PRUPE_ppa021823mg PE=4 SV=1</t>
  </si>
  <si>
    <t>Uncharacterized protein OS=Prunus persica GN=PRUPE_ppa007688mg PE=4 SV=1</t>
  </si>
  <si>
    <t>Uncharacterized protein OS=Prunus persica GN=PRUPE_ppa000725mg PE=4 SV=1</t>
  </si>
  <si>
    <t>Uncharacterized protein OS=Prunus persica GN=PRUPE_ppa010261mg PE=4 SV=1</t>
  </si>
  <si>
    <t>Uncharacterized protein OS=Prunus persica GN=PRUPE_ppa004416mg PE=4 SV=1</t>
  </si>
  <si>
    <t>Serine/threonine-protein kinase OS=Prunus persica GN=PRUPE_ppa001663mg PE=3 SV=1</t>
  </si>
  <si>
    <t>Uncharacterized protein OS=Prunus persica GN=PRUPE_ppa010765mg PE=4 SV=1</t>
  </si>
  <si>
    <t>Uncharacterized protein OS=Prunus persica GN=PRUPE_ppa008608mg PE=4 SV=1</t>
  </si>
  <si>
    <t>Uncharacterized protein OS=Prunus persica GN=PRUPE_ppa001870mg PE=4 SV=1</t>
  </si>
  <si>
    <t>Uncharacterized protein (Fragment) OS=Prunus persica GN=PRUPE_ppa019760mg PE=3 SV=1</t>
  </si>
  <si>
    <t>Uncharacterized protein OS=Prunus persica GN=PRUPE_ppa007942mg PE=4 SV=1</t>
  </si>
  <si>
    <t>Uncharacterized protein (Fragment) OS=Prunus persica GN=PRUPE_ppa014593mg PE=4 SV=1</t>
  </si>
  <si>
    <t>Uncharacterized protein OS=Prunus persica GN=PRUPE_ppa012413mg PE=4 SV=1</t>
  </si>
  <si>
    <t>Uncharacterized protein OS=Prunus persica GN=PRUPE_ppa020800mg PE=4 SV=1</t>
  </si>
  <si>
    <t>Uncharacterized protein OS=Prunus persica GN=PRUPE_ppa006840mg PE=4 SV=1</t>
  </si>
  <si>
    <t>Uncharacterized protein OS=Prunus persica GN=PRUPE_ppa000133mg PE=4 SV=1</t>
  </si>
  <si>
    <t>Uncharacterized protein OS=Prunus persica GN=PRUPE_ppa009593mg PE=4 SV=1</t>
  </si>
  <si>
    <t>Uncharacterized protein OS=Prunus persica GN=PRUPE_ppa026499mg PE=4 SV=1</t>
  </si>
  <si>
    <t>tRNA-dihydrouridine synthase OS=Prunus persica GN=PRUPE_ppa008825mg PE=3 SV=1</t>
  </si>
  <si>
    <t>Uncharacterized protein OS=Prunus persica GN=PRUPE_ppa013721mg PE=4 SV=1</t>
  </si>
  <si>
    <t>Uncharacterized protein OS=Prunus persica GN=PRUPE_ppa025705mg PE=4 SV=1</t>
  </si>
  <si>
    <t>Uncharacterized protein OS=Prunus persica GN=PRUPE_ppa011854mg PE=4 SV=1</t>
  </si>
  <si>
    <t>Uncharacterized protein OS=Prunus persica GN=PRUPE_ppa021936mg PE=4 SV=1</t>
  </si>
  <si>
    <t>Uncharacterized protein OS=Prunus persica GN=PRUPE_ppa005813mg PE=4 SV=1</t>
  </si>
  <si>
    <t>Uncharacterized protein OS=Prunus persica GN=PRUPE_ppa013131mg PE=4 SV=1</t>
  </si>
  <si>
    <t>Uncharacterized protein OS=Prunus persica GN=PRUPE_ppa001023mg PE=4 SV=1</t>
  </si>
  <si>
    <t>Kinesin-like protein OS=Morus notabilis GN=L484_017156 PE=3 SV=1</t>
  </si>
  <si>
    <t>Uncharacterized protein OS=Prunus persica GN=PRUPE_ppa007293mg PE=3 SV=1</t>
  </si>
  <si>
    <t>Uncharacterized protein (Fragment) OS=Prunus persica GN=PRUPE_ppa022131mg PE=4 SV=1</t>
  </si>
  <si>
    <t>Uncharacterized protein OS=Prunus persica GN=PRUPE_ppa025445mg PE=4 SV=1</t>
  </si>
  <si>
    <t>Uncharacterized protein OS=Prunus persica GN=PRUPE_ppa012064mg PE=4 SV=1</t>
  </si>
  <si>
    <t>Uncharacterized protein OS=Prunus persica GN=PRUPE_ppa005287mg PE=4 SV=1</t>
  </si>
  <si>
    <t>Uncharacterized protein OS=Prunus persica GN=PRUPE_ppa026513mg PE=4 SV=1</t>
  </si>
  <si>
    <t>Uncharacterized protein OS=Prunus persica GN=PRUPE_ppa010996mg PE=4 SV=1</t>
  </si>
  <si>
    <t>Uncharacterized protein OS=Prunus persica GN=PRUPE_ppa011373mg PE=4 SV=1</t>
  </si>
  <si>
    <t>Uncharacterized protein OS=Prunus persica GN=PRUPE_ppa001770mg PE=4 SV=1</t>
  </si>
  <si>
    <t>Uncharacterized protein OS=Prunus persica GN=PRUPE_ppa016642mg PE=4 SV=1</t>
  </si>
  <si>
    <t>Uncharacterized protein OS=Prunus persica GN=PRUPE_ppa022649mg PE=4 SV=1</t>
  </si>
  <si>
    <t>Uncharacterized protein OS=Prunus persica GN=PRUPE_ppa013018mg PE=4 SV=1</t>
  </si>
  <si>
    <t>Uncharacterized protein OS=Prunus persica GN=PRUPE_ppa007536mg PE=4 SV=1</t>
  </si>
  <si>
    <t>Uncharacterized protein (Fragment) OS=Prunus persica GN=PRUPE_ppa017277mg PE=4 SV=1</t>
  </si>
  <si>
    <t>Uncharacterized protein OS=Prunus persica GN=PRUPE_ppa002221mg PE=4 SV=1</t>
  </si>
  <si>
    <t>Uncharacterized protein OS=Prunus persica GN=PRUPE_ppa000461mg PE=4 SV=1</t>
  </si>
  <si>
    <t>Uncharacterized protein (Fragment) OS=Prunus persica GN=PRUPE_ppa023627mg PE=4 SV=1</t>
  </si>
  <si>
    <t>Uncharacterized protein OS=Prunus persica GN=PRUPE_ppa006876mg PE=4 SV=1</t>
  </si>
  <si>
    <t>Formin-like protein OS=Prunus persica GN=PRUPE_ppa000494mg PE=3 SV=1</t>
  </si>
  <si>
    <t>Uncharacterized protein OS=Prunus persica GN=PRUPE_ppa003060mg PE=4 SV=1</t>
  </si>
  <si>
    <t>Uncharacterized protein OS=Prunus persica GN=PRUPE_ppa001151mg PE=4 SV=1</t>
  </si>
  <si>
    <t>Uncharacterized protein OS=Prunus persica GN=PRUPE_ppa024164mg PE=3 SV=1</t>
  </si>
  <si>
    <t>Uncharacterized protein OS=Prunus persica GN=PRUPE_ppa020913mg PE=4 SV=1</t>
  </si>
  <si>
    <t>Uncharacterized protein OS=Prunus persica GN=PRUPE_ppa002998mg PE=4 SV=1</t>
  </si>
  <si>
    <t>HVA22-like protein OS=Prunus persica GN=PRUPE_ppa012417mg PE=3 SV=1</t>
  </si>
  <si>
    <t>Uncharacterized protein OS=Prunus persica GN=PRUPE_ppa025666mg PE=3 SV=1</t>
  </si>
  <si>
    <t>Uncharacterized protein OS=Prunus persica GN=PRUPE_ppa003819mg PE=4 SV=1</t>
  </si>
  <si>
    <t>alpha-1,2-Mannosidase OS=Prunus persica GN=PRUPE_ppa004310mg PE=3 SV=1</t>
  </si>
  <si>
    <t>Uncharacterized protein (Fragment) OS=Prunus persica GN=PRUPE_ppa018689mg PE=4 SV=1</t>
  </si>
  <si>
    <t>Uncharacterized protein OS=Prunus persica GN=PRUPE_ppa000786mg PE=4 SV=1</t>
  </si>
  <si>
    <t>Uncharacterized protein OS=Prunus persica GN=PRUPE_ppa003551mg PE=4 SV=1</t>
  </si>
  <si>
    <t>Uncharacterized protein OS=Prunus persica GN=PRUPE_ppa007900mg PE=4 SV=1</t>
  </si>
  <si>
    <t>Uncharacterized protein OS=Prunus persica GN=PRUPE_ppa008736mg PE=4 SV=1</t>
  </si>
  <si>
    <t>Uncharacterized protein OS=Prunus persica GN=PRUPE_ppa007468mg PE=4 SV=1</t>
  </si>
  <si>
    <t>Uncharacterized protein OS=Prunus persica GN=PRUPE_ppa003397mg PE=4 SV=1</t>
  </si>
  <si>
    <t>Uncharacterized protein OS=Prunus persica GN=PRUPE_ppa006436mg PE=4 SV=1</t>
  </si>
  <si>
    <t>Uncharacterized protein OS=Prunus persica GN=PRUPE_ppa015574mg PE=4 SV=1</t>
  </si>
  <si>
    <t>Uncharacterized protein (Fragment) OS=Prunus persica GN=PRUPE_ppa023518mg PE=4 SV=1</t>
  </si>
  <si>
    <t>Uncharacterized protein (Fragment) OS=Prunus persica GN=PRUPE_ppa021729mg PE=4 SV=1</t>
  </si>
  <si>
    <t>Uncharacterized protein OS=Citrus clementina GN=CICLE_v10011046mg PE=3 SV=1</t>
  </si>
  <si>
    <t>Uncharacterized protein OS=Prunus persica GN=PRUPE_ppa024533mg PE=4 SV=1</t>
  </si>
  <si>
    <t>Chalcone-flavonone isomerase family protein OS=Prunus avium GN=CHI1 PE=2 SV=1</t>
  </si>
  <si>
    <t>DNA topoisomerase 2 OS=Prunus persica GN=PRUPE_ppa000202mg PE=3 SV=1</t>
  </si>
  <si>
    <t>Uncharacterized protein OS=Prunus persica GN=PRUPE_ppa000798mg PE=4 SV=1</t>
  </si>
  <si>
    <t>Uncharacterized protein OS=Prunus persica GN=PRUPE_ppa001304mg PE=4 SV=1</t>
  </si>
  <si>
    <t>Uncharacterized protein OS=Prunus persica GN=PRUPE_ppa018530mg PE=3 SV=1</t>
  </si>
  <si>
    <t>Uncharacterized protein OS=Prunus persica GN=PRUPE_ppa000612mg PE=4 SV=1</t>
  </si>
  <si>
    <t>Laccase OS=Prunus persica GN=PRUPE_ppa003572mg PE=3 SV=1</t>
  </si>
  <si>
    <t>Uncharacterized protein (Fragment) OS=Prunus persica GN=PRUPE_ppa018401mg PE=4 SV=1</t>
  </si>
  <si>
    <t>Uncharacterized protein OS=Prunus persica GN=PRUPE_ppa006482mg PE=4 SV=1</t>
  </si>
  <si>
    <t>Uncharacterized protein OS=Prunus persica GN=PRUPE_ppa012548mg PE=4 SV=1</t>
  </si>
  <si>
    <t>Uncharacterized protein OS=Prunus persica GN=PRUPE_ppa024837mg PE=4 SV=1</t>
  </si>
  <si>
    <t>Uncharacterized protein OS=Prunus persica GN=PRUPE_ppa025289mg PE=4 SV=1</t>
  </si>
  <si>
    <t>Uncharacterized protein OS=Prunus persica GN=PRUPE_ppa013561mg PE=4 SV=1</t>
  </si>
  <si>
    <t>Putative uncharacterized protein OS=Vitis vinifera GN=VIT_05s0077g01320 PE=4 SV=1</t>
  </si>
  <si>
    <t>Ubiquinol oxidase OS=Prunus persica GN=PRUPE_ppa008350mg PE=3 SV=1</t>
  </si>
  <si>
    <t>Uncharacterized protein OS=Prunus persica GN=PRUPE_ppa010284mg PE=3 SV=1</t>
  </si>
  <si>
    <t>Histidine-containing phosphotransfer protein, putative OS=Theobroma cacao GN=TCM_041473 PE=4 SV=1</t>
  </si>
  <si>
    <t>Uncharacterized protein OS=Prunus persica GN=PRUPE_ppa005814mg PE=4 SV=1</t>
  </si>
  <si>
    <t>Structural maintenance of chromosomes protein OS=Prunus persica GN=PRUPE_ppa000445mg PE=3 SV=1</t>
  </si>
  <si>
    <t>Uncharacterized protein OS=Jatropha curcas GN=JCGZ_18416 PE=4 SV=1</t>
  </si>
  <si>
    <t>Uncharacterized protein OS=Prunus persica GN=PRUPE_ppa023699mg PE=4 SV=1</t>
  </si>
  <si>
    <t>Uncharacterized protein (Fragment) OS=Prunus persica GN=PRUPE_ppa019975mg PE=4 SV=1</t>
  </si>
  <si>
    <t>Uncharacterized protein OS=Prunus persica GN=PRUPE_ppa001191mg PE=4 SV=1</t>
  </si>
  <si>
    <t>Uncharacterized protein (Fragment) OS=Prunus persica GN=PRUPE_ppa020119mg PE=4 SV=1</t>
  </si>
  <si>
    <t>Uncharacterized protein OS=Prunus persica GN=PRUPE_ppa007903mg PE=4 SV=1</t>
  </si>
  <si>
    <t>Uncharacterized protein OS=Prunus persica GN=PRUPE_ppa005450mg PE=3 SV=1</t>
  </si>
  <si>
    <t>Uncharacterized protein OS=Prunus persica GN=PRUPE_ppa016347mg PE=4 SV=1</t>
  </si>
  <si>
    <t>Uncharacterized protein OS=Prunus persica GN=PRUPE_ppa000261mg PE=4 SV=1</t>
  </si>
  <si>
    <t>Uncharacterized protein OS=Prunus persica GN=PRUPE_ppa010228mg PE=4 SV=1</t>
  </si>
  <si>
    <t>Glycosyltransferase OS=Prunus persica GN=PRUPE_ppa005039mg PE=3 SV=1</t>
  </si>
  <si>
    <t>Uncharacterized protein OS=Prunus persica GN=PRUPE_ppa000427mg PE=4 SV=1</t>
  </si>
  <si>
    <t>Uncharacterized protein OS=Prunus persica GN=PRUPE_ppa013279mg PE=4 SV=1</t>
  </si>
  <si>
    <t>Uncharacterized protein OS=Prunus persica GN=PRUPE_ppa007753mg PE=4 SV=1</t>
  </si>
  <si>
    <t>Uncharacterized protein OS=Prunus persica GN=PRUPE_ppa005301mg PE=4 SV=1</t>
  </si>
  <si>
    <t>Uncharacterized protein (Fragment) OS=Prunus persica GN=PRUPE_ppa018478mg PE=4 SV=1</t>
  </si>
  <si>
    <t>Uncharacterized protein OS=Prunus persica GN=PRUPE_ppa005403mg PE=4 SV=1</t>
  </si>
  <si>
    <t>Uncharacterized protein OS=Prunus persica GN=PRUPE_ppa003356mg PE=4 SV=1</t>
  </si>
  <si>
    <t>Uncharacterized protein OS=Prunus persica GN=PRUPE_ppa011796mg PE=3 SV=1</t>
  </si>
  <si>
    <t>Uncharacterized protein OS=Prunus persica GN=PRUPE_ppa002210mg PE=4 SV=1</t>
  </si>
  <si>
    <t>Calcium-transporting ATPase OS=Prunus persica GN=PRUPE_ppa000745mg PE=3 SV=1</t>
  </si>
  <si>
    <t>Peptidyl-prolyl cis-trans isomerase OS=Prunus persica GN=PRUPE_ppa012641mg PE=3 SV=1</t>
  </si>
  <si>
    <t>Uncharacterized protein OS=Prunus persica GN=PRUPE_ppa017489mg PE=4 SV=1</t>
  </si>
  <si>
    <t>Uncharacterized protein OS=Prunus persica GN=PRUPE_ppa007623mg PE=3 SV=1</t>
  </si>
  <si>
    <t>Uncharacterized protein OS=Prunus persica GN=PRUPE_ppa012979mg PE=4 SV=1</t>
  </si>
  <si>
    <t>Uncharacterized protein OS=Prunus persica GN=PRUPE_ppa020985mg PE=3 SV=1</t>
  </si>
  <si>
    <t>Uncharacterized protein OS=Prunus persica GN=PRUPE_ppa005817mg PE=4 SV=1</t>
  </si>
  <si>
    <t>Uncharacterized protein OS=Prunus persica GN=PRUPE_ppa004746mg PE=4 SV=1</t>
  </si>
  <si>
    <t>Uncharacterized protein OS=Prunus persica GN=PRUPE_ppa004029mg PE=4 SV=1</t>
  </si>
  <si>
    <t>Uncharacterized protein OS=Prunus persica GN=PRUPE_ppa001768mg PE=4 SV=1</t>
  </si>
  <si>
    <t>Uncharacterized protein OS=Prunus persica GN=PRUPE_ppa018528mg PE=4 SV=1</t>
  </si>
  <si>
    <t>Uncharacterized protein OS=Prunus persica GN=PRUPE_ppa001490mg PE=4 SV=1</t>
  </si>
  <si>
    <t>Uncharacterized protein OS=Prunus persica GN=PRUPE_ppa007129mg PE=4 SV=1</t>
  </si>
  <si>
    <t>3'-N-debenzoyl-2'-deoxytaxol N-benzoyltransferase, putative OS=Ricinus communis GN=RCOM_1081550 PE=4 SV=1</t>
  </si>
  <si>
    <t>Uncharacterized protein OS=Prunus persica GN=PRUPE_ppa001571mg PE=4 SV=1</t>
  </si>
  <si>
    <t>Uncharacterized protein OS=Prunus persica GN=PRUPE_ppa016435mg PE=4 SV=1</t>
  </si>
  <si>
    <t>Uncharacterized protein OS=Prunus persica GN=PRUPE_ppa008374mg PE=4 SV=1</t>
  </si>
  <si>
    <t>Uncharacterized protein OS=Prunus persica GN=PRUPE_ppa004690mg PE=4 SV=1</t>
  </si>
  <si>
    <t>Uncharacterized protein OS=Prunus persica GN=PRUPE_ppa017898mg PE=4 SV=1</t>
  </si>
  <si>
    <t>Uncharacterized protein OS=Prunus persica GN=PRUPE_ppb004383mg PE=4 SV=1</t>
  </si>
  <si>
    <t>Uncharacterized protein OS=Prunus persica GN=PRUPE_ppa006371mg PE=3 SV=1</t>
  </si>
  <si>
    <t>Uncharacterized protein OS=Prunus persica GN=PRUPE_ppa004315mg PE=4 SV=1</t>
  </si>
  <si>
    <t>Uncharacterized protein OS=Prunus persica GN=PRUPE_ppa001194mg PE=4 SV=1</t>
  </si>
  <si>
    <t>Auxin signaling F-box protein 5 OS=Prunus salicina GN=afb5 PE=2 SV=1</t>
  </si>
  <si>
    <t>Uncharacterized protein OS=Prunus persica GN=PRUPE_ppa002254mg PE=4 SV=1</t>
  </si>
  <si>
    <t>Uncharacterized protein OS=Prunus persica GN=PRUPE_ppa002605mg PE=4 SV=1</t>
  </si>
  <si>
    <t>Uncharacterized protein OS=Prunus persica GN=PRUPE_ppa018380mg PE=4 SV=1</t>
  </si>
  <si>
    <t>Uncharacterized protein OS=Gibberella zeae (strain PH-1 / ATCC MYA-4620 / FGSC 9075 / NRRL 31084) GN=FGSG_06235 PE=4 SV=1</t>
  </si>
  <si>
    <t>Uncharacterized protein OS=Stachybotrys chartarum IBT 40288 GN=S40288_08799 PE=4 SV=1</t>
  </si>
  <si>
    <t>Pyruvate kinase OS=Prunus persica GN=PRUPE_ppa004434mg PE=3 SV=1</t>
  </si>
  <si>
    <t>Uncharacterized protein OS=Prunus persica GN=PRUPE_ppa000522mg PE=4 SV=1</t>
  </si>
  <si>
    <t>Alcohol dehydrogenase 1 OS=Gibberella zeae (strain PH-1 / ATCC MYA-4620 / FGSC 9075 / NRRL 31084) GN=FGSG_10855 PE=4 SV=1</t>
  </si>
  <si>
    <t>Uncharacterized protein (Fragment) OS=Prunus persica GN=PRUPE_ppa022163mg PE=4 SV=1</t>
  </si>
  <si>
    <t>Uncharacterized protein OS=Prunus persica GN=PRUPE_ppa007267mg PE=3 SV=1</t>
  </si>
  <si>
    <t>Uncharacterized protein OS=Prunus persica GN=PRUPE_ppa019469mg PE=4 SV=1</t>
  </si>
  <si>
    <t>Uncharacterized protein OS=Prunus persica GN=PRUPE_ppa017885mg PE=4 SV=1</t>
  </si>
  <si>
    <t>Uncharacterized protein OS=Prunus persica GN=PRUPE_ppa007814mg PE=4 SV=1</t>
  </si>
  <si>
    <t>Uncharacterized protein OS=Prunus persica GN=PRUPE_ppa001336mg PE=4 SV=1</t>
  </si>
  <si>
    <t>Uncharacterized protein OS=Prunus persica GN=PRUPE_ppa012974mg PE=4 SV=1</t>
  </si>
  <si>
    <t>Uncharacterized protein OS=Prunus persica GN=PRUPE_ppa001827mg PE=4 SV=1</t>
  </si>
  <si>
    <t>Uncharacterized protein OS=Prunus persica GN=PRUPE_ppa005100mg PE=4 SV=1</t>
  </si>
  <si>
    <t>Uncharacterized protein (Fragment) OS=Prunus persica GN=PRUPE_ppa019237mg PE=4 SV=1</t>
  </si>
  <si>
    <t>Uncharacterized protein OS=Prunus persica GN=PRUPE_ppa005668mg PE=4 SV=1</t>
  </si>
  <si>
    <t>Uncharacterized protein OS=Prunus persica GN=PRUPE_ppa002797mg PE=4 SV=1</t>
  </si>
  <si>
    <t>Origin recognition complex subunit 4 OS=Prunus persica GN=PRUPE_ppa006384mg PE=3 SV=1</t>
  </si>
  <si>
    <t>Uncharacterized protein OS=Prunus persica GN=PRUPE_ppa007002mg PE=4 SV=1</t>
  </si>
  <si>
    <t>Uncharacterized protein OS=Prunus persica GN=PRUPE_ppa005406mg PE=4 SV=1</t>
  </si>
  <si>
    <t>Uncharacterized protein OS=Prunus persica GN=PRUPE_ppa017671mg PE=4 SV=1</t>
  </si>
  <si>
    <t>Uncharacterized protein OS=Prunus persica GN=PRUPE_ppa010248mg PE=3 SV=1</t>
  </si>
  <si>
    <t>Uncharacterized protein OS=Prunus persica GN=PRUPE_ppa002918mg PE=4 SV=1</t>
  </si>
  <si>
    <t>Uncharacterized protein OS=Prunus persica GN=PRUPE_ppa001903mg PE=4 SV=1</t>
  </si>
  <si>
    <t>Uncharacterized protein OS=Prunus persica GN=PRUPE_ppa002269mg PE=3 SV=1</t>
  </si>
  <si>
    <t>Uncharacterized protein OS=Prunus persica GN=PRUPE_ppa007415mg PE=4 SV=1</t>
  </si>
  <si>
    <t>Uncharacterized protein OS=Prunus persica GN=PRUPE_ppa002423mg PE=3 SV=1</t>
  </si>
  <si>
    <t>Uncharacterized protein OS=Prunus persica GN=PRUPE_ppa018748mg PE=4 SV=1</t>
  </si>
  <si>
    <t>Uncharacterized protein OS=Prunus persica GN=PRUPE_ppa010829mg PE=4 SV=1</t>
  </si>
  <si>
    <t>Uncharacterized protein OS=Prunus persica GN=PRUPE_ppa004594mg PE=4 SV=1</t>
  </si>
  <si>
    <t>Uncharacterized protein OS=Prunus persica GN=PRUPE_ppa024008mg PE=4 SV=1</t>
  </si>
  <si>
    <t>Uncharacterized protein OS=Prunus persica GN=PRUPE_ppa008141mg PE=4 SV=1</t>
  </si>
  <si>
    <t>Auxin-responsive protein OS=Prunus persica GN=PRUPE_ppa009254mg PE=3 SV=1</t>
  </si>
  <si>
    <t>Uncharacterized protein OS=Prunus persica GN=PRUPE_ppa021452mg PE=4 SV=1</t>
  </si>
  <si>
    <t>Uncharacterized protein OS=Prunus persica GN=PRUPE_ppa009374mg PE=4 SV=1</t>
  </si>
  <si>
    <t>Uncharacterized protein (Fragment) OS=Prunus persica GN=PRUPE_ppa027183m1g PE=4 SV=1</t>
  </si>
  <si>
    <t>Uncharacterized protein OS=Prunus persica GN=PRUPE_ppa009077mg PE=4 SV=1</t>
  </si>
  <si>
    <t>Glycylpeptide N-tetradecanoyltransferase OS=Prunus persica GN=PRUPE_ppa005969mg PE=3 SV=1</t>
  </si>
  <si>
    <t>Uncharacterized protein OS=Prunus persica GN=PRUPE_ppa008177mg PE=4 SV=1</t>
  </si>
  <si>
    <t>Uncharacterized protein OS=Prunus persica GN=PRUPE_ppa013095mg PE=4 SV=1</t>
  </si>
  <si>
    <t>Uncharacterized protein OS=Prunus persica GN=PRUPE_ppa000235mg PE=4 SV=1</t>
  </si>
  <si>
    <t>Peptidyl-prolyl cis-trans isomerase OS=Prunus persica GN=FKBP12 PE=2 SV=1</t>
  </si>
  <si>
    <t>Pectin acetylesterase OS=Prunus persica GN=PRUPE_ppa006718mg PE=2 SV=1</t>
  </si>
  <si>
    <t>Putative uncharacterized protein OS=Vitis vinifera GN=VIT_02s0025g03700 PE=4 SV=1</t>
  </si>
  <si>
    <t>Uncharacterized protein OS=Prunus persica GN=PRUPE_ppa010280mg PE=4 SV=1</t>
  </si>
  <si>
    <t>Uncharacterized protein OS=Prunus persica GN=PRUPE_ppa015943mg PE=4 SV=1</t>
  </si>
  <si>
    <t>Uncharacterized protein OS=Prunus persica GN=PRUPE_ppa005906mg PE=4 SV=1</t>
  </si>
  <si>
    <t>Uncharacterized protein OS=Prunus persica GN=PRUPE_ppa009292mg PE=3 SV=1</t>
  </si>
  <si>
    <t>Uncharacterized protein OS=Prunus persica GN=PRUPE_ppa024868mg PE=4 SV=1</t>
  </si>
  <si>
    <t>40S ribosomal protein S24 OS=Prunus persica GN=PRUPE_ppa013144mg PE=3 SV=1</t>
  </si>
  <si>
    <t>Uncharacterized protein OS=Prunus persica GN=PRUPE_ppa010823mg PE=3 SV=1</t>
  </si>
  <si>
    <t>Uncharacterized protein OS=Prunus persica GN=PRUPE_ppa006286mg PE=4 SV=1</t>
  </si>
  <si>
    <t>Uncharacterized protein (Fragment) OS=Prunus persica GN=PRUPE_ppa025175mg PE=4 SV=1</t>
  </si>
  <si>
    <t>Uncharacterized protein OS=Prunus persica GN=PRUPE_ppa004211mg PE=4 SV=1</t>
  </si>
  <si>
    <t>Uncharacterized protein OS=Prunus persica GN=PRUPE_ppa024728mg PE=4 SV=1</t>
  </si>
  <si>
    <t>Uncharacterized protein OS=Citrus clementina GN=CICLE_v10033075mg PE=4 SV=1</t>
  </si>
  <si>
    <t>Uncharacterized protein OS=Prunus persica GN=PRUPE_ppa006981mg PE=4 SV=1</t>
  </si>
  <si>
    <t>Uncharacterized protein OS=Prunus persica GN=PRUPE_ppa023074mg PE=3 SV=1</t>
  </si>
  <si>
    <t>Uncharacterized protein (Fragment) OS=Prunus persica GN=PRUPE_ppa015910mg PE=4 SV=1</t>
  </si>
  <si>
    <t>Uncharacterized protein OS=Prunus persica GN=PRUPE_ppa003721mg PE=4 SV=1</t>
  </si>
  <si>
    <t>Uncharacterized protein OS=Prunus persica GN=PRUPE_ppa009544mg PE=4 SV=1</t>
  </si>
  <si>
    <t>Uncharacterized protein OS=Prunus persica GN=PRUPE_ppa003126mg PE=4 SV=1</t>
  </si>
  <si>
    <t>Uncharacterized protein OS=Jatropha curcas GN=JCGZ_13438 PE=3 SV=1</t>
  </si>
  <si>
    <t>E3 ubiquitin-protein ligase OS=Prunus persica GN=PRUPE_ppa009142mg PE=3 SV=1</t>
  </si>
  <si>
    <t>Uncharacterized protein OS=Prunus persica GN=PRUPE_ppa008739mg PE=4 SV=1</t>
  </si>
  <si>
    <t>Uncharacterized protein OS=Prunus persica GN=PRUPE_ppa010887mg PE=4 SV=1</t>
  </si>
  <si>
    <t>Uncharacterized protein OS=Prunus persica GN=PRUPE_ppa007640mg PE=4 SV=1</t>
  </si>
  <si>
    <t>Uncharacterized protein OS=Prunus persica GN=PRUPE_ppa020891mg PE=4 SV=1</t>
  </si>
  <si>
    <t>Uncharacterized protein OS=Prunus persica GN=PRUPE_ppa003332mg PE=4 SV=1</t>
  </si>
  <si>
    <t>Uncharacterized protein OS=Prunus persica GN=PRUPE_ppa002611mg PE=4 SV=1</t>
  </si>
  <si>
    <t>Uncharacterized protein OS=Prunus persica GN=PRUPE_ppa000037mg PE=4 SV=1</t>
  </si>
  <si>
    <t>Uncharacterized protein OS=Prunus persica GN=PRUPE_ppa009869mg PE=4 SV=1</t>
  </si>
  <si>
    <t>Uncharacterized protein (Fragment) OS=Prunus persica GN=PRUPE_ppa015711mg PE=4 SV=1</t>
  </si>
  <si>
    <t>Uncharacterized protein OS=Prunus persica GN=PRUPE_ppa003959mg PE=4 SV=1</t>
  </si>
  <si>
    <t>Uncharacterized protein OS=Prunus persica GN=PRUPE_ppa006804mg PE=4 SV=1</t>
  </si>
  <si>
    <t>Uncharacterized protein (Fragment) OS=Prunus persica GN=PRUPE_ppa024735mg PE=4 SV=1</t>
  </si>
  <si>
    <t>Kinesin-like protein OS=Prunus persica GN=PRUPE_ppa017585mg PE=3 SV=1</t>
  </si>
  <si>
    <t>Uncharacterized protein OS=Prunus persica GN=PRUPE_ppa002853mg PE=4 SV=1</t>
  </si>
  <si>
    <t>Uncharacterized protein OS=Prunus persica GN=PRUPE_ppa004722mg PE=4 SV=1</t>
  </si>
  <si>
    <t>NADH-ubiquinone oxidoreductase chain 1 OS=Vaccinium macrocarpon GN=nad1 PE=3 SV=1</t>
  </si>
  <si>
    <t>Uncharacterized protein OS=Prunus persica GN=PRUPE_ppa006696mg PE=3 SV=1</t>
  </si>
  <si>
    <t>Uncharacterized protein OS=Prunus persica GN=PRUPE_ppb013779mg PE=4 SV=1</t>
  </si>
  <si>
    <t>Uncharacterized protein OS=Prunus persica GN=PRUPE_ppa002063mg PE=4 SV=1</t>
  </si>
  <si>
    <t>Uncharacterized protein OS=Prunus persica GN=PRUPE_ppa018507mg PE=4 SV=1</t>
  </si>
  <si>
    <t>Uncharacterized protein OS=Prunus persica GN=PRUPE_ppa009252mg PE=4 SV=1</t>
  </si>
  <si>
    <t>Uncharacterized protein OS=Prunus persica GN=PRUPE_ppa023382mg PE=4 SV=1</t>
  </si>
  <si>
    <t>Uncharacterized protein OS=Prunus persica GN=PRUPE_ppa002320mg PE=4 SV=1</t>
  </si>
  <si>
    <t>Uncharacterized protein OS=Prunus persica GN=PRUPE_ppb025303mg PE=4 SV=1</t>
  </si>
  <si>
    <t>Uncharacterized protein OS=Prunus persica GN=PRUPE_ppa025325mg PE=4 SV=1</t>
  </si>
  <si>
    <t>Formin-like protein OS=Prunus persica GN=PRUPE_ppa026144mg PE=3 SV=1</t>
  </si>
  <si>
    <t>Uncharacterized protein OS=Prunus persica GN=PRUPE_ppa019339mg PE=4 SV=1</t>
  </si>
  <si>
    <t>NADH-ubiquinone oxidoreductase chain 5 OS=Millettia pinnata GN=nad5 PE=3 SV=1</t>
  </si>
  <si>
    <t>Lipoxygenase OS=Prunus persica GN=PRUPE_ppa001064mg PE=3 SV=1</t>
  </si>
  <si>
    <t>Uncharacterized protein OS=Prunus persica GN=PRUPE_ppa004932mg PE=4 SV=1</t>
  </si>
  <si>
    <t>Uncharacterized protein OS=Prunus persica GN=PRUPE_ppa009646mg PE=4 SV=1</t>
  </si>
  <si>
    <t>E3 ubiquitin-protein ligase OS=Prunus persica GN=PRUPE_ppa009039mg PE=3 SV=1</t>
  </si>
  <si>
    <t>Laccase OS=Prunus persica GN=PRUPE_ppa003646mg PE=3 SV=1</t>
  </si>
  <si>
    <t>Uncharacterized protein OS=Prunus persica GN=PRUPE_ppa012055mg PE=4 SV=1</t>
  </si>
  <si>
    <t>Uncharacterized protein OS=Prunus persica GN=PRUPE_ppa016327mg PE=4 SV=1</t>
  </si>
  <si>
    <t>Proteasome subunit beta type OS=Prunus persica GN=PRUPE_ppa011605mg PE=3 SV=1</t>
  </si>
  <si>
    <t>Uncharacterized protein OS=Morus notabilis GN=L484_012261 PE=4 SV=1</t>
  </si>
  <si>
    <t>Uncharacterized protein OS=Prunus persica GN=PRUPE_ppa005125mg PE=4 SV=1</t>
  </si>
  <si>
    <t>RNA-dependent RNA polymerase P1-P2 fusion OS=Bean leafroll virus PE=4 SV=1</t>
  </si>
  <si>
    <t>Uncharacterized protein OS=Prunus persica GN=PRUPE_ppa005986mg PE=4 SV=1</t>
  </si>
  <si>
    <t>Uncharacterized protein (Fragment) OS=Prunus persica GN=PRUPE_ppa018668mg PE=4 SV=1</t>
  </si>
  <si>
    <t>Pentatricopeptide repeat (PPR) superfamily protein OS=Theobroma cacao GN=TCM_020645 PE=4 SV=1</t>
  </si>
  <si>
    <t>Pyruvate kinase OS=Prunus persica GN=PRUPE_ppa004974mg PE=3 SV=1</t>
  </si>
  <si>
    <t>Uncharacterized protein OS=Prunus persica GN=PRUPE_ppa008345mg PE=4 SV=1</t>
  </si>
  <si>
    <t>Uncharacterized protein OS=Prunus persica GN=PRUPE_ppa009333mg PE=4 SV=1</t>
  </si>
  <si>
    <t>Uncharacterized protein OS=Prunus persica GN=PRUPE_ppa025383mg PE=4 SV=1</t>
  </si>
  <si>
    <t>Uncharacterized protein OS=Prunus persica GN=PRUPE_ppa018078mg PE=4 SV=1</t>
  </si>
  <si>
    <t>Uncharacterized protein OS=Prunus persica GN=PRUPE_ppa009695mg PE=4 SV=1</t>
  </si>
  <si>
    <t>Uncharacterized protein OS=Prunus persica GN=PRUPE_ppa008611mg PE=4 SV=1</t>
  </si>
  <si>
    <t>Uncharacterized protein (Fragment) OS=Prunus persica GN=PRUPE_ppa015313mg PE=4 SV=1</t>
  </si>
  <si>
    <t>Uncharacterized protein OS=Prunus persica GN=PRUPE_ppa004966mg PE=4 SV=1</t>
  </si>
  <si>
    <t>Uncharacterized protein OS=Jatropha curcas GN=JCGZ_08220 PE=4 SV=1</t>
  </si>
  <si>
    <t>Uncharacterized protein OS=Prunus persica GN=PRUPE_ppa1027221mg PE=4 SV=1</t>
  </si>
  <si>
    <t>Uncharacterized protein OS=Cucumis sativus GN=Csa_4G168980 PE=4 SV=1</t>
  </si>
  <si>
    <t>Uncharacterized protein OS=Prunus persica GN=PRUPE_ppa008007mg PE=3 SV=1</t>
  </si>
  <si>
    <t>Lysine decarboxylase family protein isoform 1 OS=Theobroma cacao GN=TCM_042079 PE=4 SV=1</t>
  </si>
  <si>
    <t>Uncharacterized protein OS=Prunus persica GN=PRUPE_ppa010933mg PE=4 SV=1</t>
  </si>
  <si>
    <t>Uncharacterized protein OS=Prunus persica GN=PRUPE_ppa006031mg PE=4 SV=1</t>
  </si>
  <si>
    <t>Serine hydroxymethyltransferase OS=Prunus persica GN=PRUPE_ppa004304mg PE=3 SV=1</t>
  </si>
  <si>
    <t>Uncharacterized protein OS=Prunus persica GN=PRUPE_ppb021460mg PE=4 SV=1</t>
  </si>
  <si>
    <t>Uncharacterized protein OS=Prunus persica GN=PRUPE_ppa003238mg PE=4 SV=1</t>
  </si>
  <si>
    <t>Thioredoxin reductase OS=Prunus persica GN=PRUPE_ppa007040mg PE=3 SV=1</t>
  </si>
  <si>
    <t>Uncharacterized protein OS=Prunus persica GN=PRUPE_ppa023254mg PE=4 SV=1</t>
  </si>
  <si>
    <t>Uncharacterized protein OS=Prunus persica GN=PRUPE_ppa025193mg PE=4 SV=1</t>
  </si>
  <si>
    <t>Uncharacterized protein (Fragment) OS=Prunus persica GN=PRUPE_ppa020393mg PE=3 SV=1</t>
  </si>
  <si>
    <t>Uncharacterized protein OS=Prunus persica GN=PRUPE_ppb002505mg PE=4 SV=1</t>
  </si>
  <si>
    <t>Uncharacterized protein OS=Prunus persica GN=PRUPE_ppa004814mg PE=3 SV=1</t>
  </si>
  <si>
    <t>Glycosyltransferase OS=Prunus persica GN=PRUPE_ppa019633mg PE=3 SV=1</t>
  </si>
  <si>
    <t>Uncharacterized protein OS=Prunus persica GN=PRUPE_ppa000545mg PE=4 SV=1</t>
  </si>
  <si>
    <t>Uridine kinase OS=Prunus persica GN=PRUPE_ppa005095mg PE=3 SV=1</t>
  </si>
  <si>
    <t>Uncharacterized protein OS=Prunus persica GN=PRUPE_ppa001358mg PE=4 SV=1</t>
  </si>
  <si>
    <t>Uncharacterized protein OS=Prunus persica GN=PRUPE_ppa004136mg PE=4 SV=1</t>
  </si>
  <si>
    <t>Uncharacterized protein OS=Prunus persica GN=PRUPE_ppa002568mg PE=4 SV=1</t>
  </si>
  <si>
    <t>Uncharacterized protein OS=Prunus persica GN=PRUPE_ppa005230mg PE=4 SV=1</t>
  </si>
  <si>
    <t>Uncharacterized protein OS=Prunus persica GN=PRUPE_ppa015128mg PE=4 SV=1</t>
  </si>
  <si>
    <t>Uncharacterized protein OS=Prunus persica GN=PRUPE_ppa006550mg PE=4 SV=1</t>
  </si>
  <si>
    <t>Uncharacterized protein OS=Prunus persica GN=PRUPE_ppa019904mg PE=4 SV=1</t>
  </si>
  <si>
    <t>Uncharacterized protein OS=Prunus persica GN=PRUPE_ppa001040mg PE=4 SV=1</t>
  </si>
  <si>
    <t>Uncharacterized protein OS=Prunus persica GN=PRUPE_ppa007511mg PE=4 SV=1</t>
  </si>
  <si>
    <t>Uncharacterized protein OS=Prunus persica GN=PRUPE_ppa012677mg PE=4 SV=1</t>
  </si>
  <si>
    <t>Uncharacterized protein OS=Prunus persica GN=PRUPE_ppa006776mg PE=4 SV=1</t>
  </si>
  <si>
    <t>Uncharacterized protein OS=Prunus persica GN=PRUPE_ppa003111mg PE=4 SV=1</t>
  </si>
  <si>
    <t>Uncharacterized protein OS=Prunus persica GN=PRUPE_ppa000236mg PE=4 SV=1</t>
  </si>
  <si>
    <t>Uncharacterized protein OS=Prunus persica GN=PRUPE_ppa007378mg PE=3 SV=1</t>
  </si>
  <si>
    <t>Uncharacterized protein OS=Prunus persica GN=PRUPE_ppa001452mg PE=4 SV=1</t>
  </si>
  <si>
    <t>Uncharacterized protein OS=Prunus persica GN=PRUPE_ppa011623mg PE=4 SV=1</t>
  </si>
  <si>
    <t>Uncharacterized protein (Fragment) OS=Prunus persica GN=PRUPE_ppa025229mg PE=4 SV=1</t>
  </si>
  <si>
    <t>Uncharacterized protein OS=Prunus persica GN=PRUPE_ppa003324mg PE=4 SV=1</t>
  </si>
  <si>
    <t>Malate dehydrogenase OS=Prunus persica GN=PRUPE_ppa008435mg PE=3 SV=1</t>
  </si>
  <si>
    <t>Pectinesterase OS=Prunus persica GN=PRUPE_ppa024139mg PE=3 SV=1</t>
  </si>
  <si>
    <t>Uncharacterized protein OS=Prunus persica GN=PRUPE_ppa000573mg PE=4 SV=1</t>
  </si>
  <si>
    <t>Uncharacterized protein OS=Prunus persica GN=PRUPE_ppa011929mg PE=4 SV=1</t>
  </si>
  <si>
    <t>Uncharacterized protein OS=Prunus persica GN=PRUPE_ppa011075mg PE=4 SV=1</t>
  </si>
  <si>
    <t>Uncharacterized protein OS=Prunus persica GN=PRUPE_ppa002975mg PE=4 SV=1</t>
  </si>
  <si>
    <t>Acetolactate synthase OS=Prunus persica GN=PRUPE_ppa002576mg PE=3 SV=1</t>
  </si>
  <si>
    <t>Uncharacterized protein OS=Prunus persica GN=PRUPE_ppa004252mg PE=3 SV=1</t>
  </si>
  <si>
    <t>Uncharacterized protein OS=Prunus persica GN=PRUPE_ppa000746mg PE=4 SV=1</t>
  </si>
  <si>
    <t>Uncharacterized protein OS=Prunus persica GN=PRUPE_ppa021018mg PE=4 SV=1</t>
  </si>
  <si>
    <t>Uncharacterized protein OS=Prunus persica GN=PRUPE_ppa004534mg PE=3 SV=1</t>
  </si>
  <si>
    <t>Uncharacterized protein OS=Prunus persica GN=PRUPE_ppa000099mg PE=4 SV=1</t>
  </si>
  <si>
    <t>Uncharacterized protein OS=Prunus persica GN=PRUPE_ppa013058mg PE=4 SV=1</t>
  </si>
  <si>
    <t>Uncharacterized protein OS=Prunus persica GN=PRUPE_ppa011994mg PE=3 SV=1</t>
  </si>
  <si>
    <t>Uncharacterized protein (Fragment) OS=Prunus persica GN=PRUPE_ppa016045mg PE=4 SV=1</t>
  </si>
  <si>
    <t>Uncharacterized protein OS=Morus notabilis GN=L484_001805 PE=4 SV=1</t>
  </si>
  <si>
    <t>Uncharacterized protein OS=Prunus persica GN=PRUPE_ppa025305mg PE=4 SV=1</t>
  </si>
  <si>
    <t>Uncharacterized protein OS=Prunus persica GN=PRUPE_ppa001872mg PE=4 SV=1</t>
  </si>
  <si>
    <t>Uncharacterized protein OS=Prunus persica GN=PRUPE_ppa020101mg PE=4 SV=1</t>
  </si>
  <si>
    <t>Mitogen-activated protein kinase OS=Prunus persica GN=PRUPE_ppa007254mg PE=3 SV=1</t>
  </si>
  <si>
    <t>Uncharacterized protein (Fragment) OS=Prunus persica GN=PRUPE_ppa023969mg PE=4 SV=1</t>
  </si>
  <si>
    <t>Deoxyxylulose-5-phosphate synthase isoform 1 OS=Theobroma cacao GN=TCM_021107 PE=3 SV=1</t>
  </si>
  <si>
    <t>Uncharacterized protein (Fragment) OS=Prunus persica GN=PRUPE_ppa026942mg PE=3 SV=1</t>
  </si>
  <si>
    <t>Uncharacterized protein OS=Prunus persica GN=PRUPE_ppa006807mg PE=4 SV=1</t>
  </si>
  <si>
    <t>Uncharacterized protein OS=Prunus persica GN=PRUPE_ppa010139mg PE=4 SV=1</t>
  </si>
  <si>
    <t>Uncharacterized protein OS=Prunus persica GN=PRUPE_ppa004868mg PE=4 SV=1</t>
  </si>
  <si>
    <t>Uncharacterized protein OS=Prunus persica GN=PRUPE_ppa005673mg PE=4 SV=1</t>
  </si>
  <si>
    <t>Uncharacterized protein OS=Prunus persica GN=PRUPE_ppa002025mg PE=4 SV=1</t>
  </si>
  <si>
    <t>Uncharacterized protein OS=Prunus persica GN=PRUPE_ppa005692mg PE=4 SV=1</t>
  </si>
  <si>
    <t>Uncharacterized protein OS=Prunus persica GN=PRUPE_ppa026898mg PE=4 SV=1</t>
  </si>
  <si>
    <t>Uncharacterized protein OS=Prunus persica GN=PRUPE_ppa026620mg PE=4 SV=1</t>
  </si>
  <si>
    <t>Glucose-6-phosphate isomerase OS=Prunus persica GN=PGI PE=2 SV=1</t>
  </si>
  <si>
    <t>Uncharacterized protein OS=Prunus persica GN=PRUPE_ppa011989mg PE=4 SV=1</t>
  </si>
  <si>
    <t>Uncharacterized protein OS=Prunus persica GN=PRUPE_ppa019395mg PE=4 SV=1</t>
  </si>
  <si>
    <t>Kinesin-like protein OS=Prunus persica GN=PRUPE_ppa000865mg PE=3 SV=1</t>
  </si>
  <si>
    <t>Elongation factor 1-alpha OS=Prunus persica GN=eEF1A PE=2 SV=1</t>
  </si>
  <si>
    <t>Uncharacterized protein OS=Prunus persica GN=PRUPE_ppa021291mg PE=4 SV=1</t>
  </si>
  <si>
    <t>Cellulose synthase OS=Prunus persica GN=PRUPE_ppa000559mg PE=3 SV=1</t>
  </si>
  <si>
    <t>Callose synthase 3 OS=Morus notabilis GN=L484_018424 PE=4 SV=1</t>
  </si>
  <si>
    <t>Uncharacterized protein OS=Prunus persica GN=PRUPE_ppa001071mg PE=4 SV=1</t>
  </si>
  <si>
    <t>Uncharacterized protein (Fragment) OS=Prunus persica GN=PRUPE_ppa1027133mg PE=4 SV=1</t>
  </si>
  <si>
    <t>Uncharacterized protein OS=Prunus persica GN=PRUPE_ppa000247mg PE=4 SV=1</t>
  </si>
  <si>
    <t>Uncharacterized protein OS=Prunus persica GN=PRUPE_ppa003369mg PE=3 SV=1</t>
  </si>
  <si>
    <t>Uncharacterized protein OS=Prunus persica GN=PRUPE_ppa007712mg PE=4 SV=1</t>
  </si>
  <si>
    <t>Uncharacterized protein OS=Prunus persica GN=PRUPE_ppa004616mg PE=4 SV=1</t>
  </si>
  <si>
    <t>Uncharacterized protein OS=Prunus persica GN=PRUPE_ppa003323mg PE=4 SV=1</t>
  </si>
  <si>
    <t>Uncharacterized protein OS=Populus trichocarpa GN=POPTR_0014s16920g PE=4 SV=2</t>
  </si>
  <si>
    <t>Uncharacterized protein OS=Prunus persica GN=PRUPE_ppa025045mg PE=4 SV=1</t>
  </si>
  <si>
    <t>Uncharacterized protein OS=Prunus persica GN=PRUPE_ppa006590mg PE=4 SV=1</t>
  </si>
  <si>
    <t>Uncharacterized protein OS=Prunus persica GN=PRUPE_ppa016059mg PE=4 SV=1</t>
  </si>
  <si>
    <t>28 kDa ribonucleoprotein OS=Morus notabilis GN=L484_025397 PE=4 SV=1</t>
  </si>
  <si>
    <t>Uncharacterized protein (Fragment) OS=Prunus persica GN=PRUPE_ppa024760mg PE=4 SV=1</t>
  </si>
  <si>
    <t>Uncharacterized protein OS=Prunus persica GN=PRUPE_ppa011626mg PE=4 SV=1</t>
  </si>
  <si>
    <t>Uncharacterized protein OS=Prunus persica GN=PRUPE_ppa011870mg PE=4 SV=1</t>
  </si>
  <si>
    <t>Uncharacterized protein OS=Prunus persica GN=PRUPE_ppa005128mg PE=4 SV=1</t>
  </si>
  <si>
    <t>Uncharacterized protein OS=Prunus persica GN=PRUPE_ppa003710mg PE=4 SV=1</t>
  </si>
  <si>
    <t>Uncharacterized protein OS=Prunus persica GN=PRUPE_ppa013340mg PE=4 SV=1</t>
  </si>
  <si>
    <t>Uncharacterized protein OS=Prunus persica GN=PRUPE_ppa011319mg PE=4 SV=1</t>
  </si>
  <si>
    <t>Uncharacterized protein OS=Prunus persica GN=PRUPE_ppa016717mg PE=4 SV=1</t>
  </si>
  <si>
    <t>Uncharacterized protein OS=Prunus persica GN=PRUPE_ppa012914mg PE=4 SV=1</t>
  </si>
  <si>
    <t>Uncharacterized protein OS=Prunus persica GN=PRUPE_ppa022546mg PE=4 SV=1</t>
  </si>
  <si>
    <t>Uncharacterized protein OS=Prunus persica GN=PRUPE_ppa008234mg PE=4 SV=1</t>
  </si>
  <si>
    <t>Uncharacterized protein OS=Prunus persica GN=PRUPE_ppa003429mg PE=4 SV=1</t>
  </si>
  <si>
    <t>Uncharacterized protein OS=Prunus persica GN=PRUPE_ppa015390mg PE=4 SV=1</t>
  </si>
  <si>
    <t>Uncharacterized protein OS=Prunus persica GN=PRUPE_ppa011272mg PE=4 SV=1</t>
  </si>
  <si>
    <t>Uncharacterized protein OS=Prunus persica GN=PRUPE_ppa008152mg PE=4 SV=1</t>
  </si>
  <si>
    <t>Uncharacterized protein OS=Prunus persica GN=PRUPE_ppa016976mg PE=4 SV=1</t>
  </si>
  <si>
    <t>Uncharacterized protein (Fragment) OS=Prunus persica GN=PRUPE_ppa026054mg PE=4 SV=1</t>
  </si>
  <si>
    <t>Uncharacterized protein OS=Prunus persica GN=PRUPE_ppa003611mg PE=3 SV=1</t>
  </si>
  <si>
    <t>Uncharacterized protein OS=Prunus persica GN=PRUPE_ppa007758mg PE=3 SV=1</t>
  </si>
  <si>
    <t>Uncharacterized protein OS=Prunus persica GN=PRUPE_ppa001609mg PE=4 SV=1</t>
  </si>
  <si>
    <t>Uncharacterized protein OS=Prunus persica GN=PRUPE_ppa005041mg PE=3 SV=1</t>
  </si>
  <si>
    <t>Uncharacterized protein OS=Prunus persica GN=PRUPE_ppa008968mg PE=4 SV=1</t>
  </si>
  <si>
    <t>Uncharacterized protein OS=Prunus persica GN=PRUPE_ppa014582mg PE=4 SV=1</t>
  </si>
  <si>
    <t>Uncharacterized protein OS=Prunus persica GN=PRUPE_ppa016557mg PE=4 SV=1</t>
  </si>
  <si>
    <t>Uncharacterized protein OS=Prunus persica GN=PRUPE_ppa015327mg PE=4 SV=1</t>
  </si>
  <si>
    <t>Uncharacterized protein OS=Prunus persica GN=PRUPE_ppa021196mg PE=4 SV=1</t>
  </si>
  <si>
    <t>Uncharacterized protein OS=Prunus persica GN=PRUPE_ppa000972mg PE=4 SV=1</t>
  </si>
  <si>
    <t>Uncharacterized protein OS=Prunus persica GN=PRUPE_ppa001639mg PE=4 SV=1</t>
  </si>
  <si>
    <t>Uncharacterized protein OS=Prunus persica GN=PRUPE_ppa013434mg PE=4 SV=1</t>
  </si>
  <si>
    <t>Uncharacterized protein OS=Prunus persica GN=PRUPE_ppa008107mg PE=4 SV=1</t>
  </si>
  <si>
    <t>Uncharacterized protein OS=Prunus persica GN=PRUPE_ppa006343mg PE=4 SV=1</t>
  </si>
  <si>
    <t>Protein NLP7 OS=Morus notabilis GN=L484_007830 PE=4 SV=1</t>
  </si>
  <si>
    <t>Uncharacterized protein OS=Prunus persica GN=PRUPE_ppa006533mg PE=4 SV=1</t>
  </si>
  <si>
    <t>Uncharacterized protein OS=Prunus persica GN=PRUPE_ppa011432mg PE=4 SV=1</t>
  </si>
  <si>
    <t>Uncharacterized protein OS=Prunus persica GN=PRUPE_ppa010137mg PE=4 SV=1</t>
  </si>
  <si>
    <t>Uncharacterized protein OS=Prunus persica GN=PRUPE_ppa009779mg PE=4 SV=1</t>
  </si>
  <si>
    <t>Uncharacterized protein OS=Prunus persica GN=PRUPE_ppa004311mg PE=3 SV=1</t>
  </si>
  <si>
    <t>Uncharacterized protein OS=Prunus persica GN=PRUPE_ppa017803mg PE=4 SV=1</t>
  </si>
  <si>
    <t>Uncharacterized protein OS=Prunus persica GN=PRUPE_ppa007819mg PE=4 SV=1</t>
  </si>
  <si>
    <t>Uncharacterized protein OS=Prunus persica GN=PRUPE_ppa018545mg PE=4 SV=1</t>
  </si>
  <si>
    <t>Uncharacterized protein OS=Prunus persica GN=PRUPE_ppb013628mg PE=4 SV=1</t>
  </si>
  <si>
    <t>Uncharacterized protein OS=Prunus persica GN=PRUPE_ppa022069mg PE=4 SV=1</t>
  </si>
  <si>
    <t>Auxin response factor OS=Prunus persica GN=PRUPE_ppa002394mg PE=3 SV=1</t>
  </si>
  <si>
    <t>Uncharacterized protein OS=Prunus persica GN=PRUPE_ppa012817mg PE=4 SV=1</t>
  </si>
  <si>
    <t>Uncharacterized protein OS=Prunus persica GN=PRUPE_ppa014548mg PE=4 SV=1</t>
  </si>
  <si>
    <t>Uncharacterized protein OS=Prunus persica GN=PRUPE_ppa002817mg PE=4 SV=1</t>
  </si>
  <si>
    <t>Uncharacterized protein OS=Prunus persica GN=PRUPE_ppa017390mg PE=4 SV=1</t>
  </si>
  <si>
    <t>Uncharacterized protein OS=Prunus persica GN=PRUPE_ppa001584mg PE=4 SV=1</t>
  </si>
  <si>
    <t>Uncharacterized protein OS=Prunus persica GN=PRUPE_ppa003037mg PE=3 SV=1</t>
  </si>
  <si>
    <t>Uncharacterized protein OS=Prunus persica GN=PRUPE_ppa013390mg PE=4 SV=1</t>
  </si>
  <si>
    <t>Cellulose synthase OS=Prunus persica GN=PRUPE_ppa000593mg PE=3 SV=1</t>
  </si>
  <si>
    <t>Uncharacterized protein OS=Prunus persica GN=PRUPE_ppa007529mg PE=4 SV=1</t>
  </si>
  <si>
    <t>Uncharacterized protein OS=Prunus persica GN=PRUPE_ppa002526mg PE=4 SV=1</t>
  </si>
  <si>
    <t>Uncharacterized protein OS=Prunus persica GN=PRUPE_ppa012831mg PE=4 SV=1</t>
  </si>
  <si>
    <t>Uncharacterized protein OS=Prunus persica GN=PRUPE_ppa005612mg PE=3 SV=1</t>
  </si>
  <si>
    <t>Uncharacterized protein OS=Prunus persica GN=PRUPE_ppa019976mg PE=4 SV=1</t>
  </si>
  <si>
    <t>Uncharacterized protein OS=Prunus persica GN=PRUPE_ppa000144mg PE=4 SV=1</t>
  </si>
  <si>
    <t>Uncharacterized protein OS=Prunus persica GN=PRUPE_ppa004056mg PE=4 SV=1</t>
  </si>
  <si>
    <t>Peroxidase OS=Prunus persica GN=PRUPE_ppa008569mg PE=3 SV=1</t>
  </si>
  <si>
    <t>Uncharacterized protein OS=Prunus persica GN=PRUPE_ppa013118mg PE=4 SV=1</t>
  </si>
  <si>
    <t>Uncharacterized protein (Fragment) OS=Prunus persica GN=PRUPE_ppa017550mg PE=4 SV=1</t>
  </si>
  <si>
    <t>Uncharacterized protein OS=Prunus persica GN=PRUPE_ppa001861mg PE=4 SV=1</t>
  </si>
  <si>
    <t>Uncharacterized protein OS=Prunus persica GN=PRUPE_ppa006952mg PE=4 SV=1</t>
  </si>
  <si>
    <t>Uncharacterized protein OS=Prunus persica GN=PRUPE_ppa000310mg PE=4 SV=1</t>
  </si>
  <si>
    <t>Uncharacterized protein OS=Prunus persica GN=PRUPE_ppa002482mg PE=4 SV=1</t>
  </si>
  <si>
    <t>Uncharacterized protein OS=Prunus persica GN=PRUPE_ppa019331mg PE=4 SV=1</t>
  </si>
  <si>
    <t>Uncharacterized protein OS=Prunus persica GN=PRUPE_ppa025074mg PE=4 SV=1</t>
  </si>
  <si>
    <t>Uncharacterized protein OS=Prunus persica GN=PRUPE_ppa024525mg PE=4 SV=1</t>
  </si>
  <si>
    <t>Uncharacterized protein OS=Prunus persica GN=PRUPE_ppa004531mg PE=4 SV=1</t>
  </si>
  <si>
    <t>Uncharacterized protein OS=Prunus persica GN=PRUPE_ppa010173mg PE=4 SV=1</t>
  </si>
  <si>
    <t>Uncharacterized protein OS=Prunus persica GN=PRUPE_ppa008900mg PE=4 SV=1</t>
  </si>
  <si>
    <t>Putative uncharacterized protein OS=Vitis vinifera GN=VIT_06s0061g00080 PE=4 SV=1</t>
  </si>
  <si>
    <t>Uncharacterized protein OS=Prunus persica GN=PRUPE_ppa012756mg PE=4 SV=1</t>
  </si>
  <si>
    <t>Uncharacterized protein OS=Morus notabilis GN=L484_016042 PE=4 SV=1</t>
  </si>
  <si>
    <t>Uncharacterized protein OS=Prunus persica GN=PRUPE_ppa004355mg PE=4 SV=1</t>
  </si>
  <si>
    <t>Uncharacterized protein OS=Prunus persica GN=PRUPE_ppa011716mg PE=4 SV=1</t>
  </si>
  <si>
    <t>Uncharacterized protein OS=Prunus persica GN=PRUPE_ppa000440mg PE=4 SV=1</t>
  </si>
  <si>
    <t>Uncharacterized protein OS=Prunus persica GN=PRUPE_ppa007726mg PE=4 SV=1</t>
  </si>
  <si>
    <t>Uncharacterized protein OS=Prunus persica GN=PRUPE_ppb020052mg PE=4 SV=1</t>
  </si>
  <si>
    <t>Uncharacterized protein OS=Prunus persica GN=PRUPE_ppa009364mg PE=4 SV=1</t>
  </si>
  <si>
    <t>Uncharacterized protein OS=Prunus persica GN=PRUPE_ppa009118mg PE=4 SV=1</t>
  </si>
  <si>
    <t>Beta-galactosidase OS=Prunus persica GN=PRUPE_ppa002232mg PE=3 SV=1</t>
  </si>
  <si>
    <t>Uncharacterized protein (Fragment) OS=Prunus persica GN=PRUPE_ppa020028mg PE=4 SV=1</t>
  </si>
  <si>
    <t>Uncharacterized protein OS=Prunus persica GN=PRUPE_ppa001665mg PE=3 SV=1</t>
  </si>
  <si>
    <t>Uncharacterized protein OS=Prunus persica GN=PRUPE_ppa006781mg PE=4 SV=1</t>
  </si>
  <si>
    <t>Uncharacterized protein OS=Prunus persica GN=PRUPE_ppa005236mg PE=4 SV=1</t>
  </si>
  <si>
    <t>Uncharacterized protein OS=Prunus persica GN=PRUPE_ppa004018mg PE=4 SV=1</t>
  </si>
  <si>
    <t>Uncharacterized protein OS=Prunus persica GN=PRUPE_ppa019610mg PE=4 SV=1</t>
  </si>
  <si>
    <t>Uncharacterized protein OS=Prunus persica GN=PRUPE_ppa010936mg PE=4 SV=1</t>
  </si>
  <si>
    <t>Uncharacterized protein OS=Prunus persica GN=PRUPE_ppa015371mg PE=4 SV=1</t>
  </si>
  <si>
    <t>Uncharacterized protein OS=Prunus persica GN=PRUPE_ppa005626mg PE=3 SV=1</t>
  </si>
  <si>
    <t>Uncharacterized protein OS=Prunus persica GN=PRUPE_ppa000307mg PE=4 SV=1</t>
  </si>
  <si>
    <t>Uncharacterized protein (Fragment) OS=Prunus persica GN=PRUPE_ppa026400mg PE=4 SV=1</t>
  </si>
  <si>
    <t>Uncharacterized protein OS=Eucalyptus grandis GN=EUGRSUZ_F02918 PE=4 SV=1</t>
  </si>
  <si>
    <t>Uncharacterized protein OS=Prunus persica GN=PRUPE_ppa016401mg PE=4 SV=1</t>
  </si>
  <si>
    <t>Uncharacterized protein OS=Prunus persica GN=PRUPE_ppa005617mg PE=3 SV=1</t>
  </si>
  <si>
    <t>Putative mediator of RNA polymerase II transcription subunit 12 OS=Morus notabilis GN=L484_017274 PE=4 SV=1</t>
  </si>
  <si>
    <t>Uncharacterized protein OS=Prunus persica GN=PRUPE_ppa007199mg PE=4 SV=1</t>
  </si>
  <si>
    <t>Mitogen-activated protein kinase OS=Prunus persica GN=PRUPE_ppa007418mg PE=3 SV=1</t>
  </si>
  <si>
    <t>Uncharacterized protein OS=Prunus persica GN=PRUPE_ppa008201mg PE=4 SV=1</t>
  </si>
  <si>
    <t>Uncharacterized protein OS=Prunus persica GN=PRUPE_ppa000532mg PE=3 SV=1</t>
  </si>
  <si>
    <t>Uncharacterized protein OS=Prunus persica GN=PRUPE_ppa001865mg PE=4 SV=1</t>
  </si>
  <si>
    <t>Uncharacterized protein OS=Prunus persica GN=PRUPE_ppa000324mg PE=4 SV=1</t>
  </si>
  <si>
    <t>Uncharacterized protein OS=Prunus persica GN=PRUPE_ppa000446mg PE=4 SV=1</t>
  </si>
  <si>
    <t>MATE efflux family protein OS=Prunus persica GN=PRUPE_ppa026220mg PE=3 SV=1</t>
  </si>
  <si>
    <t>Glutamate receptor OS=Prunus persica GN=PRUPE_ppa014659mg PE=3 SV=1</t>
  </si>
  <si>
    <t>Uncharacterized protein OS=Prunus persica GN=PRUPE_ppa003538mg PE=4 SV=1</t>
  </si>
  <si>
    <t>Uncharacterized protein OS=Prunus persica GN=PRUPE_ppa012532mg PE=4 SV=1</t>
  </si>
  <si>
    <t>Uncharacterized protein OS=Prunus persica GN=PRUPE_ppa008288mg PE=3 SV=1</t>
  </si>
  <si>
    <t>Uncharacterized protein OS=Prunus persica GN=PRUPE_ppb009396mg PE=4 SV=1</t>
  </si>
  <si>
    <t>Uncharacterized protein OS=Prunus persica GN=PRUPE_ppa001937mg PE=4 SV=1</t>
  </si>
  <si>
    <t>Uncharacterized protein OS=Prunus persica GN=PRUPE_ppa003560mg PE=4 SV=1</t>
  </si>
  <si>
    <t>Non-specific phospholipase C6 OS=Theobroma cacao GN=TCM_014656 PE=4 SV=1</t>
  </si>
  <si>
    <t>Uncharacterized protein OS=Prunus persica GN=PRUPE_ppa016497mg PE=4 SV=1</t>
  </si>
  <si>
    <t>Uncharacterized protein OS=Prunus persica GN=PRUPE_ppa020023mg PE=4 SV=1</t>
  </si>
  <si>
    <t>Uncharacterized protein OS=Prunus persica GN=PRUPE_ppa006626mg PE=4 SV=1</t>
  </si>
  <si>
    <t>Uncharacterized protein OS=Prunus persica GN=PRUPE_ppa005120mg PE=4 SV=1</t>
  </si>
  <si>
    <t>Uncharacterized protein OS=Prunus persica GN=PRUPE_ppa002102mg PE=4 SV=1</t>
  </si>
  <si>
    <t>Uncharacterized protein OS=Prunus persica GN=PRUPE_ppa000047mg PE=4 SV=1</t>
  </si>
  <si>
    <t>Uncharacterized protein OS=Prunus persica GN=PRUPE_ppa003792mg PE=4 SV=1</t>
  </si>
  <si>
    <t>Uncharacterized protein OS=Prunus persica GN=PRUPE_ppa020979mg PE=4 SV=1</t>
  </si>
  <si>
    <t>Uncharacterized protein OS=Prunus persica GN=PRUPE_ppa000822mg PE=4 SV=1</t>
  </si>
  <si>
    <t>Uncharacterized protein OS=Prunus persica GN=PRUPE_ppa001742mg PE=4 SV=1</t>
  </si>
  <si>
    <t>Uncharacterized protein OS=Prunus persica GN=PRUPE_ppa001552mg PE=3 SV=1</t>
  </si>
  <si>
    <t>Uncharacterized protein OS=Prunus persica GN=PRUPE_ppa007063mg PE=4 SV=1</t>
  </si>
  <si>
    <t>Uncharacterized protein OS=Prunus persica GN=PRUPE_ppa005720mg PE=4 SV=1</t>
  </si>
  <si>
    <t>Uncharacterized protein OS=Prunus persica GN=PRUPE_ppa000175mg PE=4 SV=1</t>
  </si>
  <si>
    <t>Uncharacterized protein OS=Prunus persica GN=PRUPE_ppa001990mg PE=4 SV=1</t>
  </si>
  <si>
    <t>Uncharacterized protein OS=Prunus persica GN=PRUPE_ppa018393mg PE=4 SV=1</t>
  </si>
  <si>
    <t>Uncharacterized protein OS=Prunus persica GN=PRUPE_ppa002798mg PE=4 SV=1</t>
  </si>
  <si>
    <t>Uncharacterized protein OS=Glycine max PE=4 SV=2</t>
  </si>
  <si>
    <t>Uncharacterized protein OS=Prunus persica GN=PRUPE_ppa002157mg PE=4 SV=1</t>
  </si>
  <si>
    <t>Uncharacterized protein OS=Prunus persica GN=PRUPE_ppa015717mg PE=3 SV=1</t>
  </si>
  <si>
    <t>Uncharacterized protein OS=Prunus persica GN=PRUPE_ppa001855mg PE=4 SV=1</t>
  </si>
  <si>
    <t>Uncharacterized protein OS=Prunus persica GN=PRUPE_ppa007494mg PE=3 SV=1</t>
  </si>
  <si>
    <t>Uncharacterized protein OS=Prunus persica GN=PRUPE_ppa003196mg PE=4 SV=1</t>
  </si>
  <si>
    <t>Uncharacterized protein (Fragment) OS=Prunus persica GN=PRUPE_ppa016809mg PE=4 SV=1</t>
  </si>
  <si>
    <t>Uncharacterized protein OS=Prunus persica GN=PRUPE_ppa018255mg PE=4 SV=1</t>
  </si>
  <si>
    <t>Uncharacterized protein OS=Prunus persica GN=PRUPE_ppa004950mg PE=4 SV=1</t>
  </si>
  <si>
    <t>GTP-binding nuclear protein Ran3 OS=Prunus salicina PE=2 SV=1</t>
  </si>
  <si>
    <t>Uncharacterized protein (Fragment) OS=Prunus persica GN=PRUPE_ppa015463mg PE=4 SV=1</t>
  </si>
  <si>
    <t>Aconitate hydratase OS=Prunus persica GN=PRUPE_ppa001138mg PE=3 SV=1</t>
  </si>
  <si>
    <t>Pyruvate formate-lyase OS=Escherichia coli GN=ybiW PE=4 SV=1</t>
  </si>
  <si>
    <t>40S ribosomal protein S21 OS=Prunus persica GN=PRUPE_ppa014202mg PE=3 SV=1</t>
  </si>
  <si>
    <t>Uncharacterized protein OS=Prunus persica GN=PRUPE_ppa017598mg PE=4 SV=1</t>
  </si>
  <si>
    <t>Uncharacterized protein OS=Prunus persica GN=PRUPE_ppa019387mg PE=4 SV=1</t>
  </si>
  <si>
    <t>Uncharacterized protein OS=Prunus persica GN=PRUPE_ppa012087mg PE=3 SV=1</t>
  </si>
  <si>
    <t>Uncharacterized protein OS=Prunus persica GN=PRUPE_ppa011418mg PE=4 SV=1</t>
  </si>
  <si>
    <t>Histone H2B OS=Solanum lycopersicum GN=Solyc06g075800.1 PE=3 SV=1</t>
  </si>
  <si>
    <t>Uncharacterized protein OS=Prunus persica GN=PRUPE_ppa007718mg PE=4 SV=1</t>
  </si>
  <si>
    <t>Uncharacterized protein OS=Brassica rapa subsp. pekinensis GN=Bra009490 PE=4 SV=1</t>
  </si>
  <si>
    <t>Uncharacterized protein OS=Prunus persica GN=PRUPE_ppa008412mg PE=4 SV=1</t>
  </si>
  <si>
    <t>Uncharacterized protein OS=Prunus persica GN=PRUPE_ppa015394mg PE=4 SV=1</t>
  </si>
  <si>
    <t>Uncharacterized protein OS=Prunus persica GN=PRUPE_ppa012078mg PE=4 SV=1</t>
  </si>
  <si>
    <t>Uncharacterized protein OS=Prunus persica GN=PRUPE_ppa001223mg PE=4 SV=1</t>
  </si>
  <si>
    <t>Uncharacterized protein OS=Prunus persica GN=PRUPE_ppa003390mg PE=4 SV=1</t>
  </si>
  <si>
    <t>Uncharacterized protein OS=Prunus persica GN=PRUPE_ppa000538mg PE=3 SV=1</t>
  </si>
  <si>
    <t>Uncharacterized protein OS=Prunus persica GN=PRUPE_ppa019775mg PE=4 SV=1</t>
  </si>
  <si>
    <t>3-isopropylmalate dehydrogenase OS=Prunus persica GN=PRUPE_ppa006579mg PE=3 SV=1</t>
  </si>
  <si>
    <t>Uncharacterized protein OS=Prunus persica GN=PRUPE_ppa011328mg PE=4 SV=1</t>
  </si>
  <si>
    <t>Uncharacterized protein OS=Prunus persica GN=PRUPE_ppa003856mg PE=3 SV=1</t>
  </si>
  <si>
    <t>Uncharacterized protein OS=Prunus persica GN=PRUPE_ppa011890mg PE=4 SV=1</t>
  </si>
  <si>
    <t>Uncharacterized protein OS=Prunus persica GN=PRUPE_ppa013388mg PE=4 SV=1</t>
  </si>
  <si>
    <t>Uncharacterized protein OS=Prunus persica GN=PRUPE_ppa001703mg PE=4 SV=1</t>
  </si>
  <si>
    <t>Purple acid phosphatase OS=Prunus persica GN=PRUPE_ppa002773mg PE=3 SV=1</t>
  </si>
  <si>
    <t>Uncharacterized protein (Fragment) OS=Prunus persica GN=PRUPE_ppa023124mg PE=4 SV=1</t>
  </si>
  <si>
    <t>Uncharacterized protein (Fragment) OS=Prunus persica GN=PRUPE_ppa018392mg PE=4 SV=1</t>
  </si>
  <si>
    <t>Uncharacterized protein OS=Prunus persica GN=PRUPE_ppa025511mg PE=4 SV=1</t>
  </si>
  <si>
    <t>Uncharacterized protein (Fragment) OS=Prunus persica GN=PRUPE_ppa023463mg PE=4 SV=1</t>
  </si>
  <si>
    <t>Uncharacterized protein OS=Prunus persica GN=PRUPE_ppa004214mg PE=4 SV=1</t>
  </si>
  <si>
    <t>Uncharacterized protein OS=Prunus persica GN=PRUPE_ppa002735mg PE=4 SV=1</t>
  </si>
  <si>
    <t>Uncharacterized protein OS=Prunus persica GN=PRUPE_ppa009965mg PE=3 SV=1</t>
  </si>
  <si>
    <t>Uncharacterized protein (Fragment) OS=Prunus persica GN=PRUPE_ppa023914mg PE=4 SV=1</t>
  </si>
  <si>
    <t>Uncharacterized protein OS=Prunus persica GN=PRUPE_ppa011065mg PE=4 SV=1</t>
  </si>
  <si>
    <t>Uncharacterized protein OS=Prunus persica GN=PRUPE_ppa002780mg PE=4 SV=1</t>
  </si>
  <si>
    <t>Uncharacterized protein OS=Prunus persica GN=PRUPE_ppa011223mg PE=4 SV=1</t>
  </si>
  <si>
    <t>Uncharacterized protein OS=Prunus persica GN=PRUPE_ppa004672mg PE=4 SV=1</t>
  </si>
  <si>
    <t>Uncharacterized protein OS=Prunus persica GN=PRUPE_ppa019886mg PE=3 SV=1</t>
  </si>
  <si>
    <t>Uncharacterized protein OS=Prunus persica GN=PRUPE_ppa012597mg PE=4 SV=1</t>
  </si>
  <si>
    <t>Uncharacterized protein OS=Prunus persica GN=PRUPE_ppa003395mg PE=4 SV=1</t>
  </si>
  <si>
    <t>Uncharacterized protein OS=Prunus persica GN=PRUPE_ppa008561mg PE=4 SV=1</t>
  </si>
  <si>
    <t>Uncharacterized protein OS=Prunus persica GN=PRUPE_ppa014623mg PE=3 SV=1</t>
  </si>
  <si>
    <t>Uncharacterized protein OS=Erythranthe guttata GN=MIMGU_mgv1a001637mg PE=4 SV=1</t>
  </si>
  <si>
    <t>Uncharacterized protein (Fragment) OS=Prunus persica GN=PRUPE_ppa003098m2g PE=4 SV=1</t>
  </si>
  <si>
    <t>Uncharacterized protein OS=Prunus persica GN=PRUPE_ppa012593mg PE=4 SV=1</t>
  </si>
  <si>
    <t>Uncharacterized protein OS=Prunus persica GN=PRUPE_ppa005152mg PE=4 SV=1</t>
  </si>
  <si>
    <t>Uncharacterized protein OS=Prunus persica GN=PRUPE_ppa004891mg PE=4 SV=1</t>
  </si>
  <si>
    <t>Uncharacterized protein OS=Prunus persica GN=PRUPE_ppa019247mg PE=4 SV=1</t>
  </si>
  <si>
    <t>Uncharacterized protein OS=Prunus persica GN=PRUPE_ppa006996mg PE=4 SV=1</t>
  </si>
  <si>
    <t>MYBR domain class transcription factor OS=Malus domestica GN=MYBR7 PE=2 SV=1</t>
  </si>
  <si>
    <t>Uncharacterized protein OS=Prunus persica GN=PRUPE_ppa002013mg PE=4 SV=1</t>
  </si>
  <si>
    <t>40S ribosomal protein S21 OS=Prunus persica GN=PRUPE_ppa014182mg PE=3 SV=1</t>
  </si>
  <si>
    <t>Uncharacterized protein OS=Prunus persica GN=PRUPE_ppa009586mg PE=4 SV=1</t>
  </si>
  <si>
    <t>Uncharacterized protein OS=Prunus persica GN=PRUPE_ppa010466mg PE=4 SV=1</t>
  </si>
  <si>
    <t>Uncharacterized protein OS=Prunus persica GN=PRUPE_ppa004793mg PE=3 SV=1</t>
  </si>
  <si>
    <t>Uncharacterized protein OS=Prunus persica GN=PRUPE_ppa006270mg PE=3 SV=1</t>
  </si>
  <si>
    <t>Uncharacterized protein OS=Prunus persica GN=PRUPE_ppa017529mg PE=4 SV=1</t>
  </si>
  <si>
    <t>Alpha tubulin OS=Picea wilsonii GN=TUA1 PE=2 SV=1</t>
  </si>
  <si>
    <t>Uncharacterized protein OS=Prunus persica GN=PRUPE_ppa002521mg PE=4 SV=1</t>
  </si>
  <si>
    <t>Adenylyl-sulfate kinase OS=Prunus persica GN=PRUPE_ppa009621mg PE=3 SV=1</t>
  </si>
  <si>
    <t>Uncharacterized protein OS=Prunus persica GN=PRUPE_ppa000338mg PE=3 SV=1</t>
  </si>
  <si>
    <t>Uncharacterized protein OS=Prunus persica GN=PRUPE_ppa003506mg PE=4 SV=1</t>
  </si>
  <si>
    <t>CYC7 OS=Rosa hybrid cultivar PE=2 SV=1</t>
  </si>
  <si>
    <t>Uncharacterized protein OS=Morus notabilis GN=L484_020849 PE=4 SV=1</t>
  </si>
  <si>
    <t>Uncharacterized protein OS=Prunus persica GN=PRUPE_ppa005834mg PE=3 SV=1</t>
  </si>
  <si>
    <t>Uncharacterized protein OS=Prunus persica GN=PRUPE_ppa009004mg PE=4 SV=1</t>
  </si>
  <si>
    <t>Uncharacterized protein OS=Prunus persica GN=PRUPE_ppa002553mg PE=4 SV=1</t>
  </si>
  <si>
    <t>Uncharacterized protein (Fragment) OS=Prunus persica GN=PRUPE_ppa024649mg PE=3 SV=1</t>
  </si>
  <si>
    <t>Uncharacterized protein OS=Prunus persica GN=PRUPE_ppa008835mg PE=4 SV=1</t>
  </si>
  <si>
    <t>Putative allergen Pru p 1.02 OS=Prunus dulcis x Prunus persica GN=Pru p 1.02 PE=3 SV=1</t>
  </si>
  <si>
    <t>Uncharacterized protein OS=Prunus persica GN=PRUPE_ppa002647mg PE=4 SV=1</t>
  </si>
  <si>
    <t>Uncharacterized protein OS=Prunus persica GN=PRUPE_ppa001157mg PE=3 SV=1</t>
  </si>
  <si>
    <t>Uncharacterized protein OS=Prunus persica GN=PRUPE_ppa020940mg PE=4 SV=1</t>
  </si>
  <si>
    <t>Uncharacterized protein OS=Prunus persica GN=PRUPE_ppa024530mg PE=4 SV=1</t>
  </si>
  <si>
    <t>Uncharacterized protein OS=Jatropha curcas GN=JCGZ_02306 PE=3 SV=1</t>
  </si>
  <si>
    <t>Uncharacterized protein OS=Prunus persica GN=PRUPE_ppa010974mg PE=4 SV=1</t>
  </si>
  <si>
    <t>Uncharacterized protein OS=Prunus persica GN=PRUPE_ppa000989mg PE=4 SV=1</t>
  </si>
  <si>
    <t>Uncharacterized protein OS=Prunus persica GN=PRUPE_ppa004563mg PE=3 SV=1</t>
  </si>
  <si>
    <t>Uncharacterized protein OS=Prunus persica GN=PRUPE_ppa002172mg PE=4 SV=1</t>
  </si>
  <si>
    <t>Glucose-1-phosphate adenylyltransferase OS=Prunus persica GN=PRUPE_ppa004135mg PE=3 SV=1</t>
  </si>
  <si>
    <t>Uncharacterized protein OS=Prunus persica GN=PRUPE_ppa000196mg PE=4 SV=1</t>
  </si>
  <si>
    <t>Uncharacterized protein OS=Prunus persica GN=PRUPE_ppa003161mg PE=4 SV=1</t>
  </si>
  <si>
    <t>Uncharacterized protein OS=Prunus persica GN=PRUPE_ppa001773mg PE=4 SV=1</t>
  </si>
  <si>
    <t>Uncharacterized protein OS=Prunus persica GN=PRUPE_ppa022603mg PE=4 SV=1</t>
  </si>
  <si>
    <t>Uncharacterized protein OS=Prunus persica GN=PRUPE_ppa012047mg PE=4 SV=1</t>
  </si>
  <si>
    <t>Uncharacterized protein OS=Prunus persica GN=PRUPE_ppa006397mg PE=4 SV=1</t>
  </si>
  <si>
    <t>Uncharacterized protein OS=Prunus persica GN=PRUPE_ppa019924mg PE=4 SV=1</t>
  </si>
  <si>
    <t>Lactoylglutathione lyase OS=Prunus persica GN=PRUPE_ppa007643mg PE=3 SV=1</t>
  </si>
  <si>
    <t>Uncharacterized protein (Fragment) OS=Prunus persica GN=PRUPE_ppa022969mg PE=4 SV=1</t>
  </si>
  <si>
    <t>Uncharacterized protein OS=Prunus persica GN=PRUPE_ppa011998mg PE=4 SV=1</t>
  </si>
  <si>
    <t>Uncharacterized protein OS=Prunus persica GN=PRUPE_ppa003695mg PE=4 SV=1</t>
  </si>
  <si>
    <t>Uncharacterized protein OS=Prunus persica GN=PRUPE_ppa013415mg PE=4 SV=1</t>
  </si>
  <si>
    <t>Uncharacterized protein OS=Prunus persica GN=PRUPE_ppa000991mg PE=4 SV=1</t>
  </si>
  <si>
    <t>Uncharacterized protein OS=Prunus persica GN=PRUPE_ppa000880mg PE=3 SV=1</t>
  </si>
  <si>
    <t>Pyruvate kinase OS=Prunus persica GN=PRUPE_ppa004703mg PE=3 SV=1</t>
  </si>
  <si>
    <t>Uncharacterized protein (Fragment) OS=Prunus persica GN=PRUPE_ppa026563mg PE=4 SV=1</t>
  </si>
  <si>
    <t>Uncharacterized protein OS=Prunus persica GN=PRUPE_ppa009862mg PE=4 SV=1</t>
  </si>
  <si>
    <t>Uncharacterized protein OS=Prunus persica GN=PRUPE_ppa025579mg PE=4 SV=1</t>
  </si>
  <si>
    <t>Uncharacterized protein OS=Prunus persica GN=PRUPE_ppa000017mg PE=4 SV=1</t>
  </si>
  <si>
    <t>Uncharacterized protein (Fragment) OS=Prunus persica GN=PRUPE_ppa024263mg PE=4 SV=1</t>
  </si>
  <si>
    <t>Protein Ycf2 OS=Prunus persica GN=ycf2 PE=3 SV=1</t>
  </si>
  <si>
    <t>Starch synthase, chloroplastic/amyloplastic OS=Prunus persica GN=PRUPE_ppa002686mg PE=3 SV=1</t>
  </si>
  <si>
    <t>Uncharacterized protein OS=Prunus persica GN=PRUPE_ppa004992mg PE=3 SV=1</t>
  </si>
  <si>
    <t>Putative uncharacterized protein OS=Vitis vinifera GN=VIT_05s0029g00470 PE=4 SV=1</t>
  </si>
  <si>
    <t>Uncharacterized protein OS=Prunus persica GN=PRUPE_ppa001605mg PE=4 SV=1</t>
  </si>
  <si>
    <t>Uncharacterized protein OS=Prunus persica GN=PRUPE_ppa012101mg PE=4 SV=1</t>
  </si>
  <si>
    <t>Putative uncharacterized protein OS=Vitis vinifera GN=VIT_07s0005g06090 PE=4 SV=1</t>
  </si>
  <si>
    <t>Uncharacterized protein (Fragment) OS=Prunus persica GN=PRUPE_ppa024043mg PE=4 SV=1</t>
  </si>
  <si>
    <t>Tubby-like F-box protein OS=Prunus persica GN=PRUPE_ppa006121mg PE=3 SV=1</t>
  </si>
  <si>
    <t>Uncharacterized protein OS=Prunus persica GN=PRUPE_ppa009982mg PE=4 SV=1</t>
  </si>
  <si>
    <t>Uncharacterized protein OS=Prunus persica GN=PRUPE_ppa012813mg PE=3 SV=1</t>
  </si>
  <si>
    <t>Phospholipase D OS=Prunus persica GN=PRUPE_ppa001519mg PE=3 SV=1</t>
  </si>
  <si>
    <t>Histone-lysine N-methyltransferase OS=Prunus persica GN=PRUPE_ppa000056mg PE=4 SV=1</t>
  </si>
  <si>
    <t>Uncharacterized protein OS=Prunus persica GN=PRUPE_ppa003203mg PE=4 SV=1</t>
  </si>
  <si>
    <t>Defective in cullin neddylation protein OS=Prunus persica GN=PRUPE_ppa010417mg PE=4 SV=1</t>
  </si>
  <si>
    <t>Uncharacterized protein OS=Prunus persica GN=PRUPE_ppa010539mg PE=3 SV=1</t>
  </si>
  <si>
    <t>Uncharacterized protein OS=Prunus persica GN=PRUPE_ppa019701mg PE=4 SV=1</t>
  </si>
  <si>
    <t>Uncharacterized protein OS=Prunus persica GN=PRUPE_ppa015102mg PE=4 SV=1</t>
  </si>
  <si>
    <t>Uncharacterized protein OS=Prunus persica GN=PRUPE_ppa025118mg PE=4 SV=1</t>
  </si>
  <si>
    <t>Uncharacterized protein OS=Prunus persica GN=PRUPE_ppa018846mg PE=4 SV=1</t>
  </si>
  <si>
    <t>Uncharacterized protein OS=Prunus persica GN=PRUPE_ppa015566mg PE=4 SV=1</t>
  </si>
  <si>
    <t>Uncharacterized protein OS=Prunus persica GN=PRUPE_ppa019535mg PE=4 SV=1</t>
  </si>
  <si>
    <t>Uncharacterized protein OS=Prunus persica GN=PRUPE_ppa009679mg PE=4 SV=1</t>
  </si>
  <si>
    <t>Auxin-responsive protein OS=Prunus persica GN=PRUPE_ppa011935mg PE=3 SV=1</t>
  </si>
  <si>
    <t>Uncharacterized protein OS=Prunus persica GN=PRUPE_ppa013661mg PE=3 SV=1</t>
  </si>
  <si>
    <t>Uncharacterized protein OS=Prunus persica GN=PRUPE_ppa001757mg PE=4 SV=1</t>
  </si>
  <si>
    <t>Terpene cyclase/mutase family member OS=Prunus persica GN=PRUPE_ppa001830mg PE=3 SV=1</t>
  </si>
  <si>
    <t>Uncharacterized protein OS=Prunus persica GN=PRUPE_ppa002045mg PE=3 SV=1</t>
  </si>
  <si>
    <t>Uncharacterized protein OS=Prunus persica GN=PRUPE_ppa004705mg PE=4 SV=1</t>
  </si>
  <si>
    <t>Uncharacterized protein OS=Prunus persica GN=PRUPE_ppa010122mg PE=4 SV=1</t>
  </si>
  <si>
    <t>Uncharacterized protein OS=Prunus persica GN=PRUPE_ppa007393mg PE=4 SV=1</t>
  </si>
  <si>
    <t>Uncharacterized protein OS=Prunus persica GN=PRUPE_ppa009489mg PE=4 SV=1</t>
  </si>
  <si>
    <t>Uncharacterized protein OS=Prunus persica GN=PRUPE_ppa014847mg PE=4 SV=1</t>
  </si>
  <si>
    <t>Glutamine synthetase OS=Prunus persica GN=PRUPE_ppa007728mg PE=3 SV=1</t>
  </si>
  <si>
    <t>Peroxidase OS=Prunus persica GN=PRUPE_ppa008540mg PE=3 SV=1</t>
  </si>
  <si>
    <t>Uncharacterized protein OS=Prunus persica GN=PRUPE_ppa001463mg PE=4 SV=1</t>
  </si>
  <si>
    <t>Uncharacterized protein OS=Prunus persica GN=PRUPE_ppa010545mg PE=3 SV=1</t>
  </si>
  <si>
    <t>Uncharacterized protein OS=Prunus persica GN=PRUPE_ppa003241mg PE=3 SV=1</t>
  </si>
  <si>
    <t>Uncharacterized protein OS=Prunus persica GN=PRUPE_ppa006463mg PE=4 SV=1</t>
  </si>
  <si>
    <t>Uncharacterized protein OS=Prunus persica GN=PRUPE_ppa010268mg PE=4 SV=1</t>
  </si>
  <si>
    <t>Uncharacterized protein OS=Prunus persica GN=PRUPE_ppa009058mg PE=3 SV=1</t>
  </si>
  <si>
    <t>Uncharacterized protein OS=Prunus persica GN=PRUPE_ppa019072mg PE=4 SV=1</t>
  </si>
  <si>
    <t>Uncharacterized protein OS=Prunus persica GN=PRUPE_ppa021436mg PE=3 SV=1</t>
  </si>
  <si>
    <t>Uncharacterized protein OS=Prunus persica GN=PRUPE_ppa004680mg PE=4 SV=1</t>
  </si>
  <si>
    <t>Hexosyltransferase OS=Prunus persica GN=PRUPE_ppa004031mg PE=3 SV=1</t>
  </si>
  <si>
    <t>Uncharacterized protein OS=Prunus persica GN=PRUPE_ppa011579mg PE=3 SV=1</t>
  </si>
  <si>
    <t>Uncharacterized protein OS=Solanum lycopersicum GN=Solyc04g049630.2 PE=4 SV=1</t>
  </si>
  <si>
    <t>Uncharacterized protein OS=Prunus persica GN=PRUPE_ppa009042mg PE=4 SV=1</t>
  </si>
  <si>
    <t>Uncharacterized protein (Fragment) OS=Prunus persica GN=PRUPE_ppa016596mg PE=4 SV=1</t>
  </si>
  <si>
    <t>Uncharacterized protein (Fragment) OS=Prunus persica GN=PRUPE_ppa020660mg PE=3 SV=1</t>
  </si>
  <si>
    <t>Uncharacterized protein OS=Prunus persica GN=PRUPE_ppa003821mg PE=3 SV=1</t>
  </si>
  <si>
    <t>Uncharacterized protein OS=Prunus persica GN=PRUPE_ppa009620mg PE=4 SV=1</t>
  </si>
  <si>
    <t>Uncharacterized protein OS=Prunus persica GN=PRUPE_ppa005571mg PE=4 SV=1</t>
  </si>
  <si>
    <t>Uncharacterized protein OS=Prunus persica GN=PRUPE_ppa005362mg PE=4 SV=1</t>
  </si>
  <si>
    <t>Uncharacterized protein OS=Prunus persica GN=PRUPE_ppa010831mg PE=3 SV=1</t>
  </si>
  <si>
    <t>Uncharacterized protein OS=Prunus persica GN=PRUPE_ppa006172mg PE=4 SV=1</t>
  </si>
  <si>
    <t>Uncharacterized protein OS=Citrus clementina GN=CICLE_v10021507mg PE=4 SV=1</t>
  </si>
  <si>
    <t>Uncharacterized protein OS=Musa acuminata subsp. malaccensis PE=4 SV=1</t>
  </si>
  <si>
    <t>Uncharacterized protein OS=Prunus persica GN=PRUPE_ppa004181mg PE=4 SV=1</t>
  </si>
  <si>
    <t>Uncharacterized protein (Fragment) OS=Prunus persica GN=PRUPE_ppa003763m1g PE=4 SV=1</t>
  </si>
  <si>
    <t>Uncharacterized protein OS=Prunus persica GN=PRUPE_ppa006217mg PE=3 SV=1</t>
  </si>
  <si>
    <t>Uncharacterized protein OS=Prunus persica GN=PRUPE_ppa012145mg PE=4 SV=1</t>
  </si>
  <si>
    <t>Autophagy protein 5 OS=Prunus persica GN=PRUPE_ppa007660mg PE=3 SV=1</t>
  </si>
  <si>
    <t>Uncharacterized protein OS=Prunus persica GN=PRUPE_ppa010336mg PE=4 SV=1</t>
  </si>
  <si>
    <t>Uncharacterized protein OS=Prunus persica GN=PRUPE_ppa026540mg PE=4 SV=1</t>
  </si>
  <si>
    <t>Uncharacterized protein OS=Prunus persica GN=PRUPE_ppa005705mg PE=4 SV=1</t>
  </si>
  <si>
    <t>Uncharacterized protein OS=Prunus persica GN=PRUPE_ppa020629mg PE=4 SV=1</t>
  </si>
  <si>
    <t>Uncharacterized protein OS=Prunus persica GN=PRUPE_ppa025450mg PE=4 SV=1</t>
  </si>
  <si>
    <t>Uncharacterized protein OS=Prunus persica GN=PRUPE_ppa017225mg PE=4 SV=1</t>
  </si>
  <si>
    <t>Uncharacterized protein OS=Prunus persica GN=PRUPE_ppa009533mg PE=4 SV=1</t>
  </si>
  <si>
    <t>Uncharacterized protein OS=Prunus persica GN=PRUPE_ppa011187mg PE=4 SV=1</t>
  </si>
  <si>
    <t>Uncharacterized protein OS=Prunus persica GN=PRUPE_ppa006113mg PE=4 SV=1</t>
  </si>
  <si>
    <t>Uncharacterized protein OS=Prunus persica GN=PRUPE_ppa016819mg PE=4 SV=1</t>
  </si>
  <si>
    <t>Uncharacterized protein OS=Prunus persica GN=PRUPE_ppa011139mg PE=3 SV=1</t>
  </si>
  <si>
    <t>Uncharacterized protein OS=Prunus persica GN=PRUPE_ppa010166mg PE=4 SV=1</t>
  </si>
  <si>
    <t>Uncharacterized protein OS=Prunus persica GN=PRUPE_ppa004133mg PE=4 SV=1</t>
  </si>
  <si>
    <t>Ferritin OS=Prunus persica GN=PRUPE_ppa010086mg PE=3 SV=1</t>
  </si>
  <si>
    <t>Uncharacterized protein OS=Prunus persica GN=PRUPE_ppa016929mg PE=4 SV=1</t>
  </si>
  <si>
    <t>Uncharacterized protein OS=Prunus persica GN=PRUPE_ppa007470mg PE=4 SV=1</t>
  </si>
  <si>
    <t>Uncharacterized protein OS=Gossypium raimondii GN=B456_005G131100 PE=4 SV=1</t>
  </si>
  <si>
    <t>Uncharacterized protein OS=Prunus persica GN=PRUPE_ppa021614mg PE=4 SV=1</t>
  </si>
  <si>
    <t>Uncharacterized protein OS=Prunus persica GN=PRUPE_ppa009189mg PE=4 SV=1</t>
  </si>
  <si>
    <t>Hexosyltransferase OS=Prunus persica GN=PRUPE_ppa003817mg PE=3 SV=1</t>
  </si>
  <si>
    <t>Uncharacterized protein OS=Prunus persica GN=PRUPE_ppa005363mg PE=4 SV=1</t>
  </si>
  <si>
    <t>Uncharacterized protein OS=Prunus persica GN=PRUPE_ppa020605mg PE=4 SV=1</t>
  </si>
  <si>
    <t>Uncharacterized protein OS=Prunus persica GN=PRUPE_ppa008895mg PE=4 SV=1</t>
  </si>
  <si>
    <t>Uncharacterized protein OS=Prunus persica GN=PRUPE_ppa004734mg PE=4 SV=1</t>
  </si>
  <si>
    <t>Uncharacterized protein OS=Prunus persica GN=PRUPE_ppa006433mg PE=3 SV=1</t>
  </si>
  <si>
    <t>Uncharacterized protein OS=Prunus persica GN=PRUPE_ppa011216mg PE=4 SV=1</t>
  </si>
  <si>
    <t>Uncharacterized protein OS=Prunus persica GN=PRUPE_ppa010886mg PE=4 SV=1</t>
  </si>
  <si>
    <t>Uncharacterized protein OS=Prunus persica GN=PRUPE_ppa007919mg PE=4 SV=1</t>
  </si>
  <si>
    <t>Uncharacterized protein OS=Prunus persica GN=PRUPE_ppa010112mg PE=4 SV=1</t>
  </si>
  <si>
    <t>Uncharacterized protein OS=Prunus persica GN=PRUPE_ppa010864mg PE=4 SV=1</t>
  </si>
  <si>
    <t>Uncharacterized protein OS=Prunus persica GN=PRUPE_ppa002766mg PE=4 SV=1</t>
  </si>
  <si>
    <t>Uncharacterized protein OS=Prunus persica GN=PRUPE_ppa024882mg PE=4 SV=1</t>
  </si>
  <si>
    <t>Uncharacterized protein OS=Prunus persica GN=PRUPE_ppa009739mg PE=3 SV=1</t>
  </si>
  <si>
    <t>Uncharacterized protein OS=Prunus persica GN=PRUPE_ppa010520mg PE=4 SV=1</t>
  </si>
  <si>
    <t>Uncharacterized protein OS=Prunus persica GN=PRUPE_ppa003942mg PE=4 SV=1</t>
  </si>
  <si>
    <t>Uncharacterized protein OS=Prunus persica GN=PRUPE_ppa002215mg PE=4 SV=1</t>
  </si>
  <si>
    <t>Uncharacterized protein OS=Prunus persica GN=PRUPE_ppa010741mg PE=4 SV=1</t>
  </si>
  <si>
    <t>Uncharacterized protein OS=Prunus persica GN=PRUPE_ppa000053mg PE=4 SV=1</t>
  </si>
  <si>
    <t>Uncharacterized protein OS=Prunus persica GN=PRUPE_ppa012882mg PE=4 SV=1</t>
  </si>
  <si>
    <t>Uncharacterized protein OS=Prunus persica GN=PRUPE_ppa011770mg PE=4 SV=1</t>
  </si>
  <si>
    <t>Pectinesterase OS=Prunus persica GN=PRUPE_ppa004300mg PE=3 SV=1</t>
  </si>
  <si>
    <t>Uncharacterized protein (Fragment) OS=Prunus persica GN=PRUPE_ppa006454m2g PE=4 SV=1</t>
  </si>
  <si>
    <t>Uncharacterized protein OS=Prunus persica GN=PRUPE_ppa010384mg PE=3 SV=1</t>
  </si>
  <si>
    <t>Uncharacterized protein OS=Prunus persica GN=PRUPE_ppa001837mg PE=4 SV=1</t>
  </si>
  <si>
    <t>Endonuclease III, putative OS=Ricinus communis GN=RCOM_1512450 PE=4 SV=1</t>
  </si>
  <si>
    <t>Uncharacterized protein OS=Prunus persica GN=PRUPE_ppa012302mg PE=4 SV=1</t>
  </si>
  <si>
    <t>Uncharacterized protein OS=Prunus persica GN=PRUPE_ppa012608mg PE=4 SV=1</t>
  </si>
  <si>
    <t>Uncharacterized protein OS=Prunus persica GN=PRUPE_ppa000560mg PE=3 SV=1</t>
  </si>
  <si>
    <t>Uncharacterized protein OS=Prunus persica GN=PRUPE_ppa009016mg PE=4 SV=1</t>
  </si>
  <si>
    <t>Uncharacterized protein OS=Prunus persica GN=PRUPE_ppa001158mg PE=4 SV=1</t>
  </si>
  <si>
    <t>Uncharacterized protein OS=Prunus persica GN=PRUPE_ppa001166mg PE=4 SV=1</t>
  </si>
  <si>
    <t>Uncharacterized protein OS=Prunus persica GN=PRUPE_ppa027152mg PE=4 SV=1</t>
  </si>
  <si>
    <t>Uncharacterized protein OS=Prunus persica GN=PRUPE_ppa023759mg PE=4 SV=1</t>
  </si>
  <si>
    <t>Uncharacterized protein OS=Prunus persica GN=PRUPE_ppa009631mg PE=4 SV=1</t>
  </si>
  <si>
    <t>Uncharacterized protein OS=Prunus persica GN=PRUPE_ppa013222mg PE=4 SV=1</t>
  </si>
  <si>
    <t>Putative CC-NBS-LRR resistance protein OS=Malus domestica GN=Md49N23_SdRGH3.050 PE=4 SV=1</t>
  </si>
  <si>
    <t>Uncharacterized protein OS=Prunus persica GN=PRUPE_ppa013015mg PE=4 SV=1</t>
  </si>
  <si>
    <t>Uncharacterized protein OS=Prunus persica GN=PRUPE_ppa013531mg PE=4 SV=1</t>
  </si>
  <si>
    <t>Uncharacterized protein OS=Prunus persica GN=PRUPE_ppa001643mg PE=3 SV=1</t>
  </si>
  <si>
    <t>Uncharacterized protein OS=Prunus persica GN=PRUPE_ppa011620mg PE=4 SV=1</t>
  </si>
  <si>
    <t>Uncharacterized protein OS=Prunus persica GN=PRUPE_ppa002936mg PE=4 SV=1</t>
  </si>
  <si>
    <t>Uncharacterized protein OS=Prunus persica GN=PRUPE_ppa013784mg PE=4 SV=1</t>
  </si>
  <si>
    <t>Uncharacterized protein OS=Prunus persica GN=PRUPE_ppa011742mg PE=4 SV=1</t>
  </si>
  <si>
    <t>Uncharacterized protein OS=Prunus persica GN=PRUPE_ppa004009mg PE=4 SV=1</t>
  </si>
  <si>
    <t>Glycosyltransferase OS=Prunus persica GN=PRUPE_ppa018697mg PE=3 SV=1</t>
  </si>
  <si>
    <t>Uncharacterized protein OS=Prunus persica GN=PRUPE_ppa004389mg PE=4 SV=1</t>
  </si>
  <si>
    <t>Uncharacterized protein OS=Prunus persica GN=PRUPE_ppa015129mg PE=4 SV=1</t>
  </si>
  <si>
    <t>Uncharacterized protein OS=Prunus persica GN=PRUPE_ppa004396mg PE=4 SV=1</t>
  </si>
  <si>
    <t>Uncharacterized protein OS=Prunus persica GN=PRUPE_ppa020251mg PE=4 SV=1</t>
  </si>
  <si>
    <t>Uncharacterized protein OS=Prunus persica GN=PRUPE_ppa010141mg PE=3 SV=1</t>
  </si>
  <si>
    <t>Uncharacterized protein OS=Prunus persica GN=PRUPE_ppa004207mg PE=4 SV=1</t>
  </si>
  <si>
    <t>Uncharacterized protein OS=Prunus persica GN=PRUPE_ppa005025mg PE=4 SV=1</t>
  </si>
  <si>
    <t>Uncharacterized protein OS=Prunus persica GN=PRUPE_ppa019578mg PE=4 SV=1</t>
  </si>
  <si>
    <t>Uncharacterized protein OS=Prunus persica GN=PRUPE_ppa004936mg PE=4 SV=1</t>
  </si>
  <si>
    <t>Uroporphyrinogen decarboxylase OS=Prunus persica GN=PRUPE_ppa006864mg PE=3 SV=1</t>
  </si>
  <si>
    <t>Uncharacterized protein OS=Prunus persica GN=PRUPE_ppa004005mg PE=4 SV=1</t>
  </si>
  <si>
    <t>Uncharacterized protein OS=Prunus persica GN=PRUPE_ppa009341mg PE=4 SV=1</t>
  </si>
  <si>
    <t>Uncharacterized protein OS=Citrus clementina GN=CICLE_v10011395mg PE=4 SV=1</t>
  </si>
  <si>
    <t>Uncharacterized protein OS=Prunus persica GN=PRUPE_ppa009762mg PE=4 SV=1</t>
  </si>
  <si>
    <t>Uncharacterized protein OS=Prunus persica GN=PRUPE_ppa013009mg PE=4 SV=1</t>
  </si>
  <si>
    <t>Uncharacterized protein OS=Prunus persica GN=PRUPE_ppa012507mg PE=4 SV=1</t>
  </si>
  <si>
    <t>Uncharacterized protein OS=Prunus persica GN=PRUPE_ppa010458mg PE=4 SV=1</t>
  </si>
  <si>
    <t>Uncharacterized protein OS=Morus notabilis GN=L484_021067 PE=4 SV=1</t>
  </si>
  <si>
    <t>Uncharacterized protein OS=Prunus persica GN=PRUPE_ppa015604mg PE=4 SV=1</t>
  </si>
  <si>
    <t>Uncharacterized protein OS=Prunus persica GN=PRUPE_ppa010575mg PE=4 SV=1</t>
  </si>
  <si>
    <t>Uncharacterized protein OS=Prunus persica GN=PRUPE_ppa003156mg PE=4 SV=1</t>
  </si>
  <si>
    <t>Uncharacterized protein OS=Prunus persica GN=PRUPE_ppa013086mg PE=4 SV=1</t>
  </si>
  <si>
    <t>Uncharacterized protein OS=Prunus persica GN=PRUPE_ppa017408mg PE=4 SV=1</t>
  </si>
  <si>
    <t>Uncharacterized protein (Fragment) OS=Prunus persica GN=PRUPE_ppa026914mg PE=4 SV=1</t>
  </si>
  <si>
    <t>Uncharacterized protein OS=Prunus persica GN=PRUPE_ppa010407mg PE=4 SV=1</t>
  </si>
  <si>
    <t>DNA-repair protein UVH3, putative isoform 1 OS=Theobroma cacao GN=TCM_016845 PE=4 SV=1</t>
  </si>
  <si>
    <t>Uncharacterized protein OS=Prunus persica GN=PRUPE_ppa007192mg PE=4 SV=1</t>
  </si>
  <si>
    <t>Uncharacterized protein OS=Prunus persica GN=PRUPE_ppa000878mg PE=3 SV=1</t>
  </si>
  <si>
    <t>Uncharacterized protein OS=Prunus persica GN=PRUPE_ppa007190mg PE=3 SV=1</t>
  </si>
  <si>
    <t>Uncharacterized protein OS=Prunus persica GN=PRUPE_ppa001914mg PE=3 SV=1</t>
  </si>
  <si>
    <t>Uncharacterized protein OS=Prunus persica GN=PRUPE_ppa001060mg PE=4 SV=1</t>
  </si>
  <si>
    <t>Uncharacterized protein OS=Prunus persica GN=PRUPE_ppa006783mg PE=4 SV=1</t>
  </si>
  <si>
    <t>Uncharacterized protein OS=Prunus persica GN=PRUPE_ppa003902mg PE=4 SV=1</t>
  </si>
  <si>
    <t>Uncharacterized protein OS=Prunus persica GN=PRUPE_ppa009139mg PE=4 SV=1</t>
  </si>
  <si>
    <t>Uncharacterized protein OS=Prunus persica GN=PRUPE_ppa004854mg PE=4 SV=1</t>
  </si>
  <si>
    <t>Uncharacterized protein OS=Prunus persica GN=PRUPE_ppa012459mg PE=4 SV=1</t>
  </si>
  <si>
    <t>Uncharacterized protein OS=Prunus persica GN=PRUPE_ppa000836mg PE=3 SV=1</t>
  </si>
  <si>
    <t>Uncharacterized protein OS=Prunus persica GN=PRUPE_ppa000257mg PE=4 SV=1</t>
  </si>
  <si>
    <t>Uncharacterized protein OS=Prunus persica GN=PRUPE_ppa005487mg PE=4 SV=1</t>
  </si>
  <si>
    <t>Uncharacterized protein OS=Prunus persica GN=PRUPE_ppa003802mg PE=4 SV=1</t>
  </si>
  <si>
    <t>Uncharacterized protein OS=Prunus persica GN=PRUPE_ppa011330mg PE=4 SV=1</t>
  </si>
  <si>
    <t>Uncharacterized protein OS=Prunus persica GN=PRUPE_ppa017342mg PE=4 SV=1</t>
  </si>
  <si>
    <t>Uncharacterized protein OS=Prunus persica GN=PRUPE_ppa009057mg PE=4 SV=1</t>
  </si>
  <si>
    <t>Uncharacterized protein OS=Prunus persica GN=PRUPE_ppa002300mg PE=4 SV=1</t>
  </si>
  <si>
    <t>Uncharacterized protein OS=Prunus persica GN=PRUPE_ppa013475mg PE=4 SV=1</t>
  </si>
  <si>
    <t>Uncharacterized protein OS=Prunus persica GN=PRUPE_ppa006147mg PE=4 SV=1</t>
  </si>
  <si>
    <t>Uncharacterized protein OS=Prunus persica GN=PRUPE_ppa005653mg PE=4 SV=1</t>
  </si>
  <si>
    <t>Uncharacterized protein OS=Prunus persica GN=PRUPE_ppa008383mg PE=4 SV=1</t>
  </si>
  <si>
    <t>Uncharacterized protein OS=Prunus persica GN=PRUPE_ppa001838mg PE=4 SV=1</t>
  </si>
  <si>
    <t>Uncharacterized protein OS=Prunus persica GN=PRUPE_ppa008589mg PE=4 SV=1</t>
  </si>
  <si>
    <t>Putative uncharacterized protein OS=Vitis vinifera GN=VIT_05s0049g01310 PE=4 SV=1</t>
  </si>
  <si>
    <t>Uncharacterized protein OS=Prunus persica GN=PRUPE_ppa003899mg PE=3 SV=1</t>
  </si>
  <si>
    <t>Uncharacterized protein OS=Prunus persica GN=PRUPE_ppa001174mg PE=4 SV=1</t>
  </si>
  <si>
    <t>Uncharacterized protein OS=Prunus persica GN=PRUPE_ppa005818mg PE=3 SV=1</t>
  </si>
  <si>
    <t>Uncharacterized protein OS=Prunus persica GN=PRUPE_ppa012984mg PE=4 SV=1</t>
  </si>
  <si>
    <t>Uncharacterized protein (Fragment) OS=Prunus persica GN=PRUPE_ppa025985mg PE=4 SV=1</t>
  </si>
  <si>
    <t>Uncharacterized protein OS=Prunus persica GN=PRUPE_ppa007432mg PE=4 SV=1</t>
  </si>
  <si>
    <t>Uncharacterized protein OS=Prunus persica GN=PRUPE_ppa018057mg PE=4 SV=1</t>
  </si>
  <si>
    <t>Uncharacterized protein OS=Prunus persica GN=PRUPE_ppa023937mg PE=4 SV=1</t>
  </si>
  <si>
    <t>Uncharacterized protein (Fragment) OS=Prunus persica GN=PRUPE_ppa019819mg PE=4 SV=1</t>
  </si>
  <si>
    <t>Uncharacterized protein OS=Prunus persica GN=PRUPE_ppa005420mg PE=4 SV=1</t>
  </si>
  <si>
    <t>Uncharacterized protein OS=Prunus persica GN=PRUPE_ppa009571mg PE=4 SV=1</t>
  </si>
  <si>
    <t>Putative mitochondrial protein ymf11 OS=Morus notabilis GN=L484_021668 PE=4 SV=1</t>
  </si>
  <si>
    <t>CTP synthase OS=Prunus persica GN=PRUPE_ppa002621mg PE=3 SV=1</t>
  </si>
  <si>
    <t>Uncharacterized protein OS=Prunus persica GN=PRUPE_ppa021800mg PE=4 SV=1</t>
  </si>
  <si>
    <t>Uncharacterized protein OS=Prunus persica GN=PRUPE_ppa007695mg PE=4 SV=1</t>
  </si>
  <si>
    <t>Uncharacterized protein (Fragment) OS=Prunus persica GN=PRUPE_ppa027171mg PE=4 SV=1</t>
  </si>
  <si>
    <t>Uncharacterized protein OS=Prunus persica GN=PRUPE_ppa005274mg PE=4 SV=1</t>
  </si>
  <si>
    <t>Nitric oxide synthase-interacting protein homolog OS=Prunus persica GN=PRUPE_ppa009151mg PE=3 SV=1</t>
  </si>
  <si>
    <t>Uncharacterized protein OS=Prunus persica GN=PRUPE_ppa001556mg PE=4 SV=1</t>
  </si>
  <si>
    <t>Uncharacterized protein (Fragment) OS=Prunus persica GN=PRUPE_ppa018220mg PE=4 SV=1</t>
  </si>
  <si>
    <t>Uncharacterized protein OS=Prunus persica GN=PRUPE_ppa021086mg PE=4 SV=1</t>
  </si>
  <si>
    <t>Uncharacterized protein OS=Prunus persica GN=PRUPE_ppa010650mg PE=4 SV=1</t>
  </si>
  <si>
    <t>CBF/DREB 5 OS=Prunus persica GN=PRUPE_ppa021197mg PE=2 SV=1</t>
  </si>
  <si>
    <t>Uncharacterized protein (Fragment) OS=Prunus persica GN=PRUPE_ppa016669mg PE=4 SV=1</t>
  </si>
  <si>
    <t>Uncharacterized protein (Fragment) OS=Prunus persica GN=PRUPE_ppa015392mg PE=4 SV=1</t>
  </si>
  <si>
    <t>Uncharacterized protein (Fragment) OS=Prunus persica GN=PRUPE_ppa000575m1g PE=4 SV=1</t>
  </si>
  <si>
    <t>Uncharacterized protein OS=Prunus persica GN=PRUPE_ppa009584mg PE=4 SV=1</t>
  </si>
  <si>
    <t>Rar OS=Malus hupehensis PE=2 SV=1</t>
  </si>
  <si>
    <t>Uncharacterized protein (Fragment) OS=Prunus persica GN=PRUPE_ppa020663mg PE=4 SV=1</t>
  </si>
  <si>
    <t>Uncharacterized protein OS=Prunus persica GN=PRUPE_ppa001280mg PE=4 SV=1</t>
  </si>
  <si>
    <t>Uncharacterized protein OS=Prunus persica GN=PRUPE_ppa009117mg PE=4 SV=1</t>
  </si>
  <si>
    <t>Uncharacterized protein OS=Prunus persica GN=PRUPE_ppa017239mg PE=3 SV=1</t>
  </si>
  <si>
    <t>Putative uncharacterized protein OS=Vitis vinifera GN=VIT_13s0073g00130 PE=4 SV=1</t>
  </si>
  <si>
    <t>Uncharacterized protein OS=Prunus persica GN=PRUPE_ppa026492mg PE=4 SV=1</t>
  </si>
  <si>
    <t>Uncharacterized protein OS=Prunus persica GN=PRUPE_ppa003950mg PE=3 SV=1</t>
  </si>
  <si>
    <t>Uncharacterized protein OS=Prunus persica GN=PRUPE_ppa012384mg PE=4 SV=1</t>
  </si>
  <si>
    <t>Uncharacterized protein OS=Prunus persica GN=PRUPE_ppa001075mg PE=4 SV=1</t>
  </si>
  <si>
    <t>Uncharacterized protein OS=Prunus persica GN=PRUPE_ppa000286mg PE=4 SV=1</t>
  </si>
  <si>
    <t>Uncharacterized protein OS=Prunus persica GN=PRUPE_ppa010656mg PE=4 SV=1</t>
  </si>
  <si>
    <t>Uncharacterized protein OS=Prunus persica GN=PRUPE_ppa005824mg PE=4 SV=1</t>
  </si>
  <si>
    <t>Uncharacterized protein OS=Prunus persica GN=PRUPE_ppa000488mg PE=4 SV=1</t>
  </si>
  <si>
    <t>Uncharacterized protein OS=Prunus persica GN=PRUPE_ppa007835mg PE=3 SV=1</t>
  </si>
  <si>
    <t>Uncharacterized protein OS=Prunus persica GN=PRUPE_ppa011129mg PE=4 SV=1</t>
  </si>
  <si>
    <t>Uncharacterized protein OS=Prunus persica GN=PRUPE_ppa010356mg PE=4 SV=1</t>
  </si>
  <si>
    <t>Uncharacterized protein OS=Prunus persica GN=PRUPE_ppa018503mg PE=4 SV=1</t>
  </si>
  <si>
    <t>Uncharacterized protein OS=Prunus persica GN=PRUPE_ppa014846mg PE=4 SV=1</t>
  </si>
  <si>
    <t>Glycosyltransferase OS=Prunus persica GN=PRUPE_ppa005386mg PE=3 SV=1</t>
  </si>
  <si>
    <t>Uncharacterized protein OS=Prunus persica GN=PRUPE_ppa002765mg PE=4 SV=1</t>
  </si>
  <si>
    <t>Uncharacterized protein OS=Prunus persica GN=PRUPE_ppa000011mg PE=4 SV=1</t>
  </si>
  <si>
    <t>Ribosome-recycling factor OS=Morus notabilis GN=L484_025073 PE=3 SV=1</t>
  </si>
  <si>
    <t>Uncharacterized protein OS=Prunus persica GN=PRUPE_ppa023974mg PE=4 SV=1</t>
  </si>
  <si>
    <t>Uncharacterized protein OS=Prunus persica GN=PRUPE_ppa013466mg PE=4 SV=1</t>
  </si>
  <si>
    <t>Uncharacterized protein OS=Prunus persica GN=PRUPE_ppa009667mg PE=4 SV=1</t>
  </si>
  <si>
    <t>CASP-like protein OS=Prunus persica GN=PRUPE_ppa012835mg PE=3 SV=1</t>
  </si>
  <si>
    <t>Uncharacterized protein OS=Prunus persica GN=PRUPE_ppa006897mg PE=4 SV=1</t>
  </si>
  <si>
    <t>Uncharacterized protein OS=Prunus persica GN=PRUPE_ppa006896mg PE=4 SV=1</t>
  </si>
  <si>
    <t>Uncharacterized protein OS=Prunus persica GN=PRUPE_ppa010134mg PE=4 SV=1</t>
  </si>
  <si>
    <t>Putative allergen Pru du 1.06A OS=Prunus dulcis x Prunus persica GN=Pru du 1.06A PE=3 SV=1</t>
  </si>
  <si>
    <t>Putative uncharacterized protein OS=Vitis vinifera GN=VIT_14s0006g00860 PE=3 SV=1</t>
  </si>
  <si>
    <t>Uncharacterized protein OS=Prunus persica GN=PRUPE_ppa012833mg PE=4 SV=1</t>
  </si>
  <si>
    <t>Uncharacterized protein OS=Prunus persica GN=PRUPE_ppa005319mg PE=4 SV=1</t>
  </si>
  <si>
    <t>Uncharacterized protein OS=Prunus persica GN=PRUPE_ppa009682mg PE=4 SV=1</t>
  </si>
  <si>
    <t>Putative uncharacterized protein OS=Vitis vinifera GN=VIT_08s0056g00620 PE=3 SV=1</t>
  </si>
  <si>
    <t>Uncharacterized protein OS=Prunus persica GN=PRUPE_ppa011984mg PE=4 SV=1</t>
  </si>
  <si>
    <t>Uncharacterized protein OS=Prunus persica GN=PRUPE_ppa014792mg PE=4 SV=1</t>
  </si>
  <si>
    <t>Uncharacterized protein (Fragment) OS=Prunus persica GN=PRUPE_ppa016247mg PE=3 SV=1</t>
  </si>
  <si>
    <t>Uncharacterized protein OS=Prunus persica GN=PRUPE_ppa000736mg PE=4 SV=1</t>
  </si>
  <si>
    <t>Uncharacterized protein OS=Prunus persica GN=PRUPE_ppa015565mg PE=4 SV=1</t>
  </si>
  <si>
    <t>Uncharacterized protein OS=Prunus persica GN=PRUPE_ppa006104mg PE=4 SV=1</t>
  </si>
  <si>
    <t>Uncharacterized protein OS=Prunus persica GN=PRUPE_ppa015218mg PE=4 SV=1</t>
  </si>
  <si>
    <t>Uncharacterized protein OS=Prunus persica GN=PRUPE_ppa009553mg PE=3 SV=1</t>
  </si>
  <si>
    <t>Uncharacterized protein OS=Prunus persica GN=PRUPE_ppa010250mg PE=4 SV=1</t>
  </si>
  <si>
    <t>Uncharacterized protein OS=Prunus persica GN=PRUPE_ppa014197mg PE=4 SV=1</t>
  </si>
  <si>
    <t>Uncharacterized protein OS=Prunus persica GN=PRUPE_ppa012323mg PE=4 SV=1</t>
  </si>
  <si>
    <t>Uncharacterized protein OS=Prunus persica GN=PRUPE_ppa006401mg PE=4 SV=1</t>
  </si>
  <si>
    <t>Uncharacterized protein OS=Prunus persica GN=PRUPE_ppa020510mg PE=4 SV=1</t>
  </si>
  <si>
    <t>BZIP transcription factor OS=Prunus persica GN=PRUPE_ppa012739mg PE=2 SV=1</t>
  </si>
  <si>
    <t>Uncharacterized protein OS=Prunus persica GN=PRUPE_ppa014925mg PE=4 SV=1</t>
  </si>
  <si>
    <t>Uncharacterized protein (Fragment) OS=Prunus persica GN=PRUPE_ppa018112mg PE=3 SV=1</t>
  </si>
  <si>
    <t>Uncharacterized protein (Fragment) OS=Prunus persica GN=PRUPE_ppa021912mg PE=4 SV=1</t>
  </si>
  <si>
    <t>Uncharacterized protein OS=Prunus persica GN=PRUPE_ppa008052mg PE=4 SV=1</t>
  </si>
  <si>
    <t>Uncharacterized protein OS=Prunus persica GN=PRUPE_ppa008357mg PE=4 SV=1</t>
  </si>
  <si>
    <t>Uncharacterized protein OS=Prunus persica GN=PRUPE_ppa005181mg PE=4 SV=1</t>
  </si>
  <si>
    <t>Uncharacterized protein OS=Prunus persica GN=PRUPE_ppa003808mg PE=4 SV=1</t>
  </si>
  <si>
    <t>Patatin OS=Prunus persica GN=PRUPE_ppa005326mg PE=3 SV=1</t>
  </si>
  <si>
    <t>Uncharacterized protein OS=Prunus persica GN=PRUPE_ppa010402mg PE=4 SV=1</t>
  </si>
  <si>
    <t>Uncharacterized protein OS=Prunus persica GN=PRUPE_ppa001739mg PE=4 SV=1</t>
  </si>
  <si>
    <t>Uncharacterized protein (Fragment) OS=Prunus persica GN=PRUPE_ppa023224mg PE=4 SV=1</t>
  </si>
  <si>
    <t>Uncharacterized protein OS=Prunus persica GN=PRUPE_ppa007051mg PE=4 SV=1</t>
  </si>
  <si>
    <t>Uncharacterized protein OS=Prunus persica GN=PRUPE_ppa001899mg PE=4 SV=1</t>
  </si>
  <si>
    <t>Uncharacterized protein OS=Prunus persica GN=PRUPE_ppa006805mg PE=4 SV=1</t>
  </si>
  <si>
    <t>Uncharacterized protein OS=Prunus persica GN=PRUPE_ppa004362mg PE=4 SV=1</t>
  </si>
  <si>
    <t>Uncharacterized protein OS=Prunus persica GN=PRUPE_ppa010627mg PE=4 SV=1</t>
  </si>
  <si>
    <t>Uncharacterized protein OS=Prunus persica GN=PRUPE_ppb017370mg PE=4 SV=1</t>
  </si>
  <si>
    <t>Uncharacterized protein OS=Prunus persica GN=PRUPE_ppa003767mg PE=4 SV=1</t>
  </si>
  <si>
    <t>Uncharacterized protein OS=Prunus persica GN=PRUPE_ppa008450mg PE=4 SV=1</t>
  </si>
  <si>
    <t>Uncharacterized protein (Fragment) OS=Prunus persica GN=PRUPE_ppa016219mg PE=4 SV=1</t>
  </si>
  <si>
    <t>Uncharacterized protein OS=Prunus persica GN=PRUPE_ppa023747mg PE=4 SV=1</t>
  </si>
  <si>
    <t>Purple acid phosphatase OS=Prunus persica GN=PRUPE_ppa022682mg PE=3 SV=1</t>
  </si>
  <si>
    <t>Uncharacterized protein OS=Prunus persica GN=PRUPE_ppa018501mg PE=4 SV=1</t>
  </si>
  <si>
    <t>Uncharacterized protein OS=Prunus persica GN=PRUPE_ppa000241mg PE=4 SV=1</t>
  </si>
  <si>
    <t>Uncharacterized protein (Fragment) OS=Prunus persica GN=PRUPE_ppa019358mg PE=4 SV=1</t>
  </si>
  <si>
    <t>Uncharacterized protein OS=Prunus persica GN=PRUPE_ppa010267mg PE=4 SV=1</t>
  </si>
  <si>
    <t>Uncharacterized protein OS=Prunus persica GN=PRUPE_ppa004857mg PE=3 SV=1</t>
  </si>
  <si>
    <t>Uncharacterized protein OS=Prunus persica GN=PRUPE_ppa003766mg PE=4 SV=1</t>
  </si>
  <si>
    <t>Cysteine synthase OS=Prunus persica GN=PRUPE_ppa007292mg PE=3 SV=1</t>
  </si>
  <si>
    <t>Uncharacterized protein OS=Prunus persica GN=PRUPE_ppa002345mg PE=4 SV=1</t>
  </si>
  <si>
    <t>Uncharacterized protein OS=Prunus persica GN=PRUPE_ppa012017mg PE=4 SV=1</t>
  </si>
  <si>
    <t>Uncharacterized protein OS=Prunus persica GN=PRUPE_ppa010077mg PE=4 SV=1</t>
  </si>
  <si>
    <t>Uncharacterized protein OS=Prunus persica GN=PRUPE_ppa006022mg PE=3 SV=1</t>
  </si>
  <si>
    <t>Uncharacterized protein OS=Prunus persica GN=PRUPE_ppa008960mg PE=4 SV=1</t>
  </si>
  <si>
    <t>Uncharacterized protein OS=Prunus persica GN=PRUPE_ppa011041mg PE=4 SV=1</t>
  </si>
  <si>
    <t>Uncharacterized protein OS=Prunus persica GN=PRUPE_ppa004792mg PE=4 SV=1</t>
  </si>
  <si>
    <t>Uncharacterized protein OS=Prunus persica GN=PRUPE_ppa010127mg PE=3 SV=1</t>
  </si>
  <si>
    <t>Uncharacterized protein OS=Prunus persica GN=PRUPE_ppa000327mg PE=4 SV=1</t>
  </si>
  <si>
    <t>Uncharacterized protein OS=Prunus persica GN=PRUPE_ppa003850mg PE=4 SV=1</t>
  </si>
  <si>
    <t>Uncharacterized protein OS=Prunus persica GN=PRUPE_ppa005374mg PE=4 SV=1</t>
  </si>
  <si>
    <t>Cytosine-specific methyltransferase (Fragment) OS=Prunus persica GN=PRUPE_ppa019831mg PE=3 SV=1</t>
  </si>
  <si>
    <t>Uncharacterized protein OS=Prunus persica GN=PRUPE_ppa026810mg PE=4 SV=1</t>
  </si>
  <si>
    <t>Uncharacterized protein OS=Prunus persica GN=PRUPE_ppa009253mg PE=4 SV=1</t>
  </si>
  <si>
    <t>Uncharacterized protein OS=Prunus persica GN=PRUPE_ppa002370mg PE=4 SV=1</t>
  </si>
  <si>
    <t>Uncharacterized protein OS=Prunus persica GN=PRUPE_ppa012794mg PE=3 SV=1</t>
  </si>
  <si>
    <t>Auxin-responsive protein OS=Prunus persica GN=PRUPE_ppa007194mg PE=3 SV=1</t>
  </si>
  <si>
    <t>Uncharacterized protein OS=Prunus persica GN=PRUPE_ppa013619mg PE=4 SV=1</t>
  </si>
  <si>
    <t>Uncharacterized protein OS=Prunus persica GN=PRUPE_ppa008155mg PE=4 SV=1</t>
  </si>
  <si>
    <t>Uncharacterized protein OS=Prunus persica GN=PRUPE_ppa018716mg PE=4 SV=1</t>
  </si>
  <si>
    <t>Uncharacterized protein OS=Prunus persica GN=PRUPE_ppa000118mg PE=4 SV=1</t>
  </si>
  <si>
    <t>Protein disulfide-isomerase OS=Prunus persica GN=PRUPE_ppa003432mg PE=3 SV=1</t>
  </si>
  <si>
    <t>Uncharacterized protein OS=Prunus persica GN=PRUPE_ppa017680mg PE=4 SV=1</t>
  </si>
  <si>
    <t>Uncharacterized protein OS=Prunus persica GN=PRUPE_ppa001198mg PE=4 SV=1</t>
  </si>
  <si>
    <t>Movement protein OS=Apple chlorotic leaf spot virus PE=4 SV=1</t>
  </si>
  <si>
    <t>Uncharacterized protein OS=Prunus persica GN=PRUPE_ppa011326mg PE=4 SV=1</t>
  </si>
  <si>
    <t>Uncharacterized protein OS=Prunus persica GN=PRUPE_ppa013559mg PE=4 SV=1</t>
  </si>
  <si>
    <t>Uncharacterized protein OS=Prunus persica GN=PRUPE_ppa013584mg PE=4 SV=1</t>
  </si>
  <si>
    <t>Cytochrome P450, family 86, subfamily B, polypeptide 1 isoform 1 OS=Theobroma cacao GN=TCM_007730 PE=3 SV=1</t>
  </si>
  <si>
    <t>Uncharacterized protein OS=Prunus persica GN=PRUPE_ppa003783mg PE=4 SV=1</t>
  </si>
  <si>
    <t>Uncharacterized protein OS=Prunus persica GN=PRUPE_ppb012110mg PE=4 SV=1</t>
  </si>
  <si>
    <t>Uncharacterized protein (Fragment) OS=Prunus persica GN=PRUPE_ppa025278mg PE=3 SV=1</t>
  </si>
  <si>
    <t>Uncharacterized protein OS=Prunus persica GN=PRUPE_ppa013022mg PE=3 SV=1</t>
  </si>
  <si>
    <t>Uncharacterized protein (Fragment) OS=Prunus persica GN=PRUPE_ppa019024mg PE=4 SV=1</t>
  </si>
  <si>
    <t>Uncharacterized protein OS=Prunus persica GN=PRUPE_ppa002687mg PE=4 SV=1</t>
  </si>
  <si>
    <t>Uncharacterized protein OS=Prunus persica GN=PRUPE_ppa014629mg PE=4 SV=1</t>
  </si>
  <si>
    <t>Uncharacterized protein OS=Prunus persica GN=PRUPE_ppa005915mg PE=4 SV=1</t>
  </si>
  <si>
    <t>Uncharacterized protein OS=Prunus persica GN=PRUPE_ppa003483mg PE=4 SV=1</t>
  </si>
  <si>
    <t>Uncharacterized protein OS=Prunus persica GN=PRUPE_ppa016423mg PE=4 SV=1</t>
  </si>
  <si>
    <t>Uncharacterized protein OS=Prunus persica GN=PRUPE_ppa008983mg PE=4 SV=1</t>
  </si>
  <si>
    <t>Uncharacterized protein OS=Prunus persica GN=PRUPE_ppa024012mg PE=4 SV=1</t>
  </si>
  <si>
    <t>Uncharacterized protein OS=Prunus persica GN=PRUPE_ppa004077mg PE=4 SV=1</t>
  </si>
  <si>
    <t>Uncharacterized protein OS=Prunus persica GN=PRUPE_ppa020602mg PE=4 SV=1</t>
  </si>
  <si>
    <t>Uncharacterized protein OS=Prunus persica GN=PRUPE_ppa009050mg PE=4 SV=1</t>
  </si>
  <si>
    <t>Uncharacterized protein OS=Morus notabilis GN=L484_013859 PE=4 SV=1</t>
  </si>
  <si>
    <t>Uncharacterized protein OS=Prunus persica GN=PRUPE_ppa011657mg PE=4 SV=1</t>
  </si>
  <si>
    <t>Uncharacterized protein OS=Prunus persica GN=PRUPE_ppa026126mg PE=4 SV=1</t>
  </si>
  <si>
    <t>Uncharacterized protein OS=Prunus persica GN=PRUPE_ppa024877mg PE=4 SV=1</t>
  </si>
  <si>
    <t>Uncharacterized protein OS=Prunus persica GN=PRUPE_ppa006333mg PE=4 SV=1</t>
  </si>
  <si>
    <t>Uncharacterized protein OS=Prunus persica GN=PRUPE_ppa003458mg PE=3 SV=1</t>
  </si>
  <si>
    <t>Uncharacterized protein OS=Prunus persica GN=PRUPE_ppa009391mg PE=4 SV=1</t>
  </si>
  <si>
    <t>Uncharacterized protein OS=Prunus persica GN=PRUPE_ppa004821mg PE=4 SV=1</t>
  </si>
  <si>
    <t>Uncharacterized protein OS=Prunus persica GN=PRUPE_ppa003748mg PE=3 SV=1</t>
  </si>
  <si>
    <t>Uncharacterized protein OS=Prunus persica GN=PRUPE_ppa003262mg PE=4 SV=1</t>
  </si>
  <si>
    <t>Uncharacterized protein OS=Prunus persica GN=PRUPE_ppa001618mg PE=3 SV=1</t>
  </si>
  <si>
    <t>Uncharacterized protein OS=Prunus persica GN=PRUPE_ppa001930mg PE=4 SV=1</t>
  </si>
  <si>
    <t>Uncharacterized protein OS=Prunus persica GN=PRUPE_ppa009541mg PE=4 SV=1</t>
  </si>
  <si>
    <t>Uncharacterized protein OS=Prunus persica GN=PRUPE_ppa002845mg PE=3 SV=1</t>
  </si>
  <si>
    <t>ATP-dependent Clp protease proteolytic subunit OS=Prunus persica GN=PRUPE_ppa009129mg PE=3 SV=1</t>
  </si>
  <si>
    <t>Uncharacterized protein OS=Prunus persica GN=PRUPE_ppa003072mg PE=4 SV=1</t>
  </si>
  <si>
    <t>Uncharacterized protein OS=Prunus persica GN=PRUPE_ppa001723mg PE=4 SV=1</t>
  </si>
  <si>
    <t>Uncharacterized protein OS=Prunus persica GN=PRUPE_ppa008203mg PE=4 SV=1</t>
  </si>
  <si>
    <t>Uncharacterized protein (Fragment) OS=Prunus persica GN=PRUPE_ppa022658mg PE=4 SV=1</t>
  </si>
  <si>
    <t>Uncharacterized protein OS=Prunus persica GN=PRUPE_ppa022067mg PE=4 SV=1</t>
  </si>
  <si>
    <t>Uncharacterized protein OS=Prunus persica GN=PRUPE_ppa005987mg PE=4 SV=1</t>
  </si>
  <si>
    <t>Uncharacterized protein (Fragment) OS=Prunus persica GN=PRUPE_ppa018023mg PE=4 SV=1</t>
  </si>
  <si>
    <t>Uncharacterized protein OS=Prunus persica GN=PRUPE_ppa005080mg PE=4 SV=1</t>
  </si>
  <si>
    <t>Uncharacterized protein OS=Prunus persica GN=PRUPE_ppa009840mg PE=4 SV=1</t>
  </si>
  <si>
    <t>Uncharacterized protein OS=Prunus persica GN=PRUPE_ppa004905mg PE=4 SV=1</t>
  </si>
  <si>
    <t>Uncharacterized protein OS=Prunus persica GN=PRUPE_ppa004855mg PE=4 SV=1</t>
  </si>
  <si>
    <t>Uncharacterized protein OS=Prunus persica GN=PRUPE_ppa017601mg PE=4 SV=1</t>
  </si>
  <si>
    <t>Uncharacterized protein OS=Prunus persica GN=PRUPE_ppa013237mg PE=4 SV=1</t>
  </si>
  <si>
    <t>Putative uncharacterized protein 8C01 (Fragment) OS=Cucumis melo GN=8C01 PE=2 SV=1</t>
  </si>
  <si>
    <t>Uncharacterized protein (Fragment) OS=Citrus sinensis GN=CISIN_1g044497mg PE=3 SV=1</t>
  </si>
  <si>
    <t>Uncharacterized protein OS=Prunus persica GN=PRUPE_ppb002198mg PE=4 SV=1</t>
  </si>
  <si>
    <t>Uncharacterized protein OS=Prunus persica GN=PRUPE_ppa010941mg PE=3 SV=1</t>
  </si>
  <si>
    <t>Peroxidase OS=Prunus persica GN=PRUPE_ppa025326mg PE=3 SV=1</t>
  </si>
  <si>
    <t>Uncharacterized protein (Fragment) OS=Prunus persica GN=PRUPE_ppb020789mg PE=4 SV=1</t>
  </si>
  <si>
    <t>Putative 230 kDa polyprotein OS=Grapevine Syrah virus 1 PE=4 SV=1</t>
  </si>
  <si>
    <t>Uncharacterized protein OS=Prunus persica GN=PRUPE_ppa001443mg PE=3 SV=1</t>
  </si>
  <si>
    <t>Putative uncharacterized protein OS=Ricinus communis GN=RCOM_1493990 PE=4 SV=1</t>
  </si>
  <si>
    <t>Uncharacterized protein OS=Prunus persica GN=PRUPE_ppa002803mg PE=4 SV=1</t>
  </si>
  <si>
    <t>Uncharacterized protein OS=Prunus persica GN=PRUPE_ppa005482mg PE=3 SV=1</t>
  </si>
  <si>
    <t>Uncharacterized protein OS=Prunus persica GN=PRUPE_ppa000022mg PE=4 SV=1</t>
  </si>
  <si>
    <t>Uncharacterized protein OS=Morus notabilis GN=L484_015292 PE=4 SV=1</t>
  </si>
  <si>
    <t>Uncharacterized protein (Fragment) OS=Eutrema salsugineum GN=EUTSA_v10022007mg PE=4 SV=1</t>
  </si>
  <si>
    <t>Uncharacterized protein OS=Prunus persica GN=PRUPE_ppa019693mg PE=4 SV=1</t>
  </si>
  <si>
    <t>Uncharacterized protein OS=Prunus persica GN=PRUPE_ppa008665mg PE=4 SV=1</t>
  </si>
  <si>
    <t>Uncharacterized protein OS=Prunus persica GN=PRUPE_ppa008486mg PE=4 SV=1</t>
  </si>
  <si>
    <t>Uncharacterized protein OS=Solanum tuberosum GN=PGSC0003DMG400018255 PE=4 SV=1</t>
  </si>
  <si>
    <t>Uncharacterized protein OS=Prunus persica GN=PRUPE_ppa012640mg PE=4 SV=1</t>
  </si>
  <si>
    <t>Uncharacterized protein OS=Prunus persica GN=PRUPE_ppa009401mg PE=4 SV=1</t>
  </si>
  <si>
    <t>Uncharacterized protein OS=Populus trichocarpa GN=POPTR_0014s04810g PE=3 SV=2</t>
  </si>
  <si>
    <t>Uncharacterized protein OS=Prunus persica GN=PRUPE_ppa004337mg PE=4 SV=1</t>
  </si>
  <si>
    <t>Kinesin-like protein OS=Prunus persica GN=PRUPE_ppa026163mg PE=3 SV=1</t>
  </si>
  <si>
    <t>Uncharacterized protein (Fragment) OS=Prunus persica GN=PRUPE_ppa019167mg PE=4 SV=1</t>
  </si>
  <si>
    <t>Uncharacterized protein OS=Prunus persica GN=PRUPE_ppa024122mg PE=4 SV=1</t>
  </si>
  <si>
    <t>Uncharacterized protein OS=Prunus persica GN=PRUPE_ppa006451mg PE=4 SV=1</t>
  </si>
  <si>
    <t>Uncharacterized protein (Fragment) OS=Prunus persica GN=PRUPE_ppa026046mg PE=4 SV=1</t>
  </si>
  <si>
    <t>Uncharacterized protein OS=Prunus persica GN=PRUPE_ppa011833mg PE=4 SV=1</t>
  </si>
  <si>
    <t>Putative uncharacterized protein OS=Vitis vinifera GN=VIT_07s0031g02090 PE=4 SV=1</t>
  </si>
  <si>
    <t>Uncharacterized protein OS=Prunus persica GN=PRUPE_ppa012880mg PE=3 SV=1</t>
  </si>
  <si>
    <t>Uncharacterized protein OS=Prunus persica GN=PRUPE_ppa013280mg PE=4 SV=1</t>
  </si>
  <si>
    <t>Uncharacterized protein OS=Prunus persica GN=PRUPE_ppa008219mg PE=4 SV=1</t>
  </si>
  <si>
    <t>Uncharacterized protein OS=Prunus persica GN=PRUPE_ppa006709mg PE=4 SV=1</t>
  </si>
  <si>
    <t>Uncharacterized protein OS=Prunus persica GN=PRUPE_ppa000875mg PE=4 SV=1</t>
  </si>
  <si>
    <t>Uncharacterized protein OS=Prunus persica GN=PRUPE_ppa008818mg PE=4 SV=1</t>
  </si>
  <si>
    <t>Uncharacterized protein OS=Prunus persica GN=PRUPE_ppa006567mg PE=4 SV=1</t>
  </si>
  <si>
    <t>Uncharacterized protein OS=Citrus clementina GN=CICLE_v10031733mg PE=4 SV=1</t>
  </si>
  <si>
    <t>Uncharacterized protein OS=Prunus persica GN=PRUPE_ppa006182mg PE=4 SV=1</t>
  </si>
  <si>
    <t>Uncharacterized protein OS=Prunus persica GN=PRUPE_ppa012661mg PE=4 SV=1</t>
  </si>
  <si>
    <t>Uncharacterized protein OS=Prunus persica GN=PRUPE_ppa004435mg PE=4 SV=1</t>
  </si>
  <si>
    <t>Uncharacterized protein OS=Prunus persica GN=PRUPE_ppa002303mg PE=3 SV=1</t>
  </si>
  <si>
    <t>Uncharacterized protein OS=Prunus persica GN=PRUPE_ppa008690mg PE=4 SV=1</t>
  </si>
  <si>
    <t>Uncharacterized protein OS=Prunus persica GN=PRUPE_ppa002421mg PE=4 SV=1</t>
  </si>
  <si>
    <t>Citrate synthase OS=Prunus persica GN=PRUPE_ppa004363mg PE=3 SV=1</t>
  </si>
  <si>
    <t>Uncharacterized protein OS=Prunus persica GN=PRUPE_ppa012933mg PE=3 SV=1</t>
  </si>
  <si>
    <t>Uncharacterized protein (Fragment) OS=Prunus persica GN=PRUPE_ppa021689mg PE=4 SV=1</t>
  </si>
  <si>
    <t>Kinesin-like protein OS=Prunus persica GN=PRUPE_ppa014706mg PE=3 SV=1</t>
  </si>
  <si>
    <t>Uncharacterized protein (Fragment) OS=Citrus sinensis GN=CISIN_1g0023802mg PE=4 SV=1</t>
  </si>
  <si>
    <t>Uncharacterized protein OS=Prunus persica GN=PRUPE_ppb011333mg PE=4 SV=1</t>
  </si>
  <si>
    <t>Uncharacterized protein OS=Prunus persica GN=PRUPE_ppa007760mg PE=4 SV=1</t>
  </si>
  <si>
    <t>Uncharacterized protein OS=Morus notabilis GN=L484_023244 PE=4 SV=1</t>
  </si>
  <si>
    <t>Uncharacterized protein (Fragment) OS=Prunus persica GN=PRUPE_ppa022655mg PE=4 SV=1</t>
  </si>
  <si>
    <t>Uncharacterized protein OS=Prunus persica GN=PRUPE_ppa012040mg PE=4 SV=1</t>
  </si>
  <si>
    <t>Cytochrome b6-f complex iron-sulfur subunit OS=Prunus persica GN=PRUPE_ppa011015mg PE=3 SV=1</t>
  </si>
  <si>
    <t>Uncharacterized protein OS=Prunus persica GN=PRUPE_ppa004332mg PE=3 SV=1</t>
  </si>
  <si>
    <t>Uridine kinase OS=Prunus persica GN=PRUPE_ppa002506mg PE=3 SV=1</t>
  </si>
  <si>
    <t>Uncharacterized protein (Fragment) OS=Prunus persica GN=PRUPE_ppa019123mg PE=4 SV=1</t>
  </si>
  <si>
    <t>Uncharacterized protein OS=Prunus persica GN=PRUPE_ppa000292mg PE=4 SV=1</t>
  </si>
  <si>
    <t>Uncharacterized protein OS=Prunus persica GN=PRUPE_ppa006032mg PE=4 SV=1</t>
  </si>
  <si>
    <t>Uncharacterized protein OS=Prunus persica GN=PRUPE_ppa007709mg PE=4 SV=1</t>
  </si>
  <si>
    <t>Leucine-rich repeat protein kinase family protein OS=Theobroma cacao GN=TCM_026108 PE=4 SV=1</t>
  </si>
  <si>
    <t>Uncharacterized protein (Fragment) OS=Prunus persica GN=PRUPE_ppa026176mg PE=4 SV=1</t>
  </si>
  <si>
    <t>Uncharacterized protein (Fragment) OS=Prunus persica GN=PRUPE_ppa023621mg PE=4 SV=1</t>
  </si>
  <si>
    <t>Lon protease homolog, mitochondrial OS=Prunus persica GN=PRUPE_ppa000773mg PE=3 SV=1</t>
  </si>
  <si>
    <t>Uncharacterized protein OS=Prunus persica GN=PRUPE_ppa003455mg PE=3 SV=1</t>
  </si>
  <si>
    <t>Uncharacterized protein OS=Prunus persica GN=PRUPE_ppa009763mg PE=4 SV=1</t>
  </si>
  <si>
    <t>Uncharacterized protein OS=Prunus persica GN=PRUPE_ppa021953mg PE=3 SV=1</t>
  </si>
  <si>
    <t>Uncharacterized protein OS=Prunus persica GN=PRUPE_ppa012723mg PE=3 SV=1</t>
  </si>
  <si>
    <t>Uncharacterized protein OS=Prunus persica GN=PRUPE_ppa013952mg PE=4 SV=1</t>
  </si>
  <si>
    <t>Uncharacterized protein OS=Prunus persica GN=PRUPE_ppa010036mg PE=4 SV=1</t>
  </si>
  <si>
    <t>LOS4 (Fragment) OS=Fragaria vesca PE=2 SV=1</t>
  </si>
  <si>
    <t>Putative uncharacterized protein OS=Vitis vinifera GN=VITISV_017285 PE=4 SV=1</t>
  </si>
  <si>
    <t>Uncharacterized protein OS=Populus trichocarpa GN=POPTR_0005s00350g PE=4 SV=1</t>
  </si>
  <si>
    <t>Uncharacterized protein OS=Prunus persica GN=PRUPE_ppa008989mg PE=4 SV=1</t>
  </si>
  <si>
    <t>Uncharacterized protein OS=Prunus persica GN=PRUPE_ppa1027161mg PE=4 SV=1</t>
  </si>
  <si>
    <t>Uncharacterized protein OS=Prunus persica GN=PRUPE_ppa021934mg PE=4 SV=1</t>
  </si>
  <si>
    <t>Uncharacterized protein OS=Prunus persica GN=PRUPE_ppa015363mg PE=4 SV=1</t>
  </si>
  <si>
    <t>1-deoxy-D-xylulose-5-phosphate reductoisomerase OS=Pyrus communis GN=DXR PE=2 SV=1</t>
  </si>
  <si>
    <t>UMP-CMP kinase OS=Prunus persica GN=PRUPE_ppa010904mg PE=3 SV=1</t>
  </si>
  <si>
    <t>Uncharacterized protein OS=Prunus persica GN=PRUPE_ppa012175mg PE=4 SV=1</t>
  </si>
  <si>
    <t>Non-specific serine/threonine protein kinase OS=Prunus persica GN=PRUPE_ppa005480mg PE=4 SV=1</t>
  </si>
  <si>
    <t>Uncharacterized protein OS=Prunus persica GN=PRUPE_ppa007514mg PE=3 SV=1</t>
  </si>
  <si>
    <t>Uncharacterized protein OS=Prunus persica GN=PRUPE_ppa004085mg PE=4 SV=1</t>
  </si>
  <si>
    <t>Putative uncharacterized protein OS=Vitis vinifera GN=VIT_01s0010g00630 PE=4 SV=1</t>
  </si>
  <si>
    <t>Uncharacterized protein OS=Prunus persica GN=PRUPE_ppa013582mg PE=4 SV=1</t>
  </si>
  <si>
    <t>Uncharacterized protein OS=Prunus persica GN=PRUPE_ppa006925mg PE=4 SV=1</t>
  </si>
  <si>
    <t>Uncharacterized protein OS=Prunus persica GN=PRUPE_ppa007501mg PE=4 SV=1</t>
  </si>
  <si>
    <t>Uncharacterized protein OS=Prunus persica GN=PRUPE_ppa006250mg PE=4 SV=1</t>
  </si>
  <si>
    <t>Uncharacterized protein OS=Prunus persica GN=PRUPE_ppa001379mg PE=4 SV=1</t>
  </si>
  <si>
    <t>Uncharacterized protein OS=Prunus persica GN=PRUPE_ppa000159mg PE=4 SV=1</t>
  </si>
  <si>
    <t>Uncharacterized protein OS=Prunus persica GN=PRUPE_ppa026269mg PE=3 SV=1</t>
  </si>
  <si>
    <t>Uncharacterized protein OS=Prunus persica GN=PRUPE_ppa010916mg PE=3 SV=1</t>
  </si>
  <si>
    <t>Uncharacterized protein OS=Prunus persica GN=PRUPE_ppa009966mg PE=4 SV=1</t>
  </si>
  <si>
    <t>Uncharacterized protein OS=Prunus persica GN=PRUPE_ppa011158mg PE=4 SV=1</t>
  </si>
  <si>
    <t>Uncharacterized protein OS=Prunus persica GN=PRUPE_ppa001793mg PE=4 SV=1</t>
  </si>
  <si>
    <t>Uncharacterized protein OS=Prunus persica GN=PRUPE_ppa000858mg PE=4 SV=1</t>
  </si>
  <si>
    <t>Clathrin heavy chain OS=Prunus persica GN=PRUPE_ppa000130mg PE=3 SV=1</t>
  </si>
  <si>
    <t>Uncharacterized protein OS=Prunus persica GN=PRUPE_ppa002052mg PE=3 SV=1</t>
  </si>
  <si>
    <t>Uncharacterized protein OS=Prunus persica GN=PRUPE_ppa001374mg PE=4 SV=1</t>
  </si>
  <si>
    <t>Uncharacterized protein OS=Prunus persica GN=PRUPE_ppa005681mg PE=4 SV=1</t>
  </si>
  <si>
    <t>Uncharacterized protein OS=Cucumis sativus GN=Csa_7G372290 PE=4 SV=1</t>
  </si>
  <si>
    <t>Uncharacterized protein OS=Prunus persica GN=PRUPE_ppa024858mg PE=3 SV=1</t>
  </si>
  <si>
    <t>Uncharacterized protein OS=Prunus persica GN=PRUPE_ppa025894mg PE=3 SV=1</t>
  </si>
  <si>
    <t>Uncharacterized protein OS=Prunus persica GN=PRUPE_ppa005447mg PE=4 SV=1</t>
  </si>
  <si>
    <t>Uncharacterized protein OS=Prunus persica GN=PRUPE_ppa020536mg PE=4 SV=1</t>
  </si>
  <si>
    <t>Uncharacterized protein OS=Prunus persica GN=PRUPE_ppa004022mg PE=3 SV=1</t>
  </si>
  <si>
    <t>Uncharacterized protein OS=Prunus persica GN=PRUPE_ppa012796mg PE=4 SV=1</t>
  </si>
  <si>
    <t>Uncharacterized protein OS=Prunus persica GN=PRUPE_ppa007438mg PE=4 SV=1</t>
  </si>
  <si>
    <t>Uncharacterized protein OS=Prunus persica GN=PRUPE_ppa009099mg PE=4 SV=1</t>
  </si>
  <si>
    <t>Uncharacterized protein OS=Prunus persica GN=PRUPE_ppa026302mg PE=4 SV=1</t>
  </si>
  <si>
    <t>Flavin-containing monooxygenase OS=Prunus persica GN=PRUPE_ppa005546mg PE=3 SV=1</t>
  </si>
  <si>
    <t>Uncharacterized protein OS=Prunus persica GN=PRUPE_ppa011817mg PE=4 SV=1</t>
  </si>
  <si>
    <t>Uncharacterized protein OS=Prunus persica GN=PRUPE_ppb024794mg PE=4 SV=1</t>
  </si>
  <si>
    <t>Uncharacterized protein OS=Prunus persica GN=PRUPE_ppa004163mg PE=4 SV=1</t>
  </si>
  <si>
    <t>Cytochrome c maturation protein CcmB OS=Beta macrocarpa GN=ccmB PE=4 SV=1</t>
  </si>
  <si>
    <t>Uncharacterized protein (Fragment) OS=Prunus persica GN=PRUPE_ppa023635mg PE=3 SV=1</t>
  </si>
  <si>
    <t>Uncharacterized protein OS=Prunus persica GN=PRUPE_ppa014737mg PE=4 SV=1</t>
  </si>
  <si>
    <t>Peroxidase OS=Prunus persica GN=PRUPE_ppa008590mg PE=3 SV=1</t>
  </si>
  <si>
    <t>Uncharacterized protein (Fragment) OS=Prunus persica GN=PRUPE_ppa023080mg PE=3 SV=1</t>
  </si>
  <si>
    <t>Uncharacterized protein OS=Prunus persica GN=PRUPE_ppa001455mg PE=4 SV=1</t>
  </si>
  <si>
    <t>Uncharacterized protein OS=Prunus persica GN=PRUPE_ppa002291mg PE=4 SV=1</t>
  </si>
  <si>
    <t>Uncharacterized protein OS=Prunus persica GN=PRUPE_ppa006001mg PE=3 SV=1</t>
  </si>
  <si>
    <t>Uncharacterized protein (Fragment) OS=Prunus persica GN=PRUPE_ppa016058mg PE=4 SV=1</t>
  </si>
  <si>
    <t>Uncharacterized protein OS=Prunus persica GN=PRUPE_ppa002895mg PE=3 SV=1</t>
  </si>
  <si>
    <t>Uncharacterized protein OS=Prunus persica GN=PRUPE_ppa017094mg PE=4 SV=1</t>
  </si>
  <si>
    <t>Uncharacterized protein OS=Prunus persica GN=PRUPE_ppa005409mg PE=4 SV=1</t>
  </si>
  <si>
    <t>Uncharacterized protein OS=Prunus persica GN=PRUPE_ppa018485mg PE=4 SV=1</t>
  </si>
  <si>
    <t>Uncharacterized protein OS=Prunus persica GN=PRUPE_ppa001583mg PE=4 SV=1</t>
  </si>
  <si>
    <t>Uncharacterized protein OS=Prunus persica GN=PRUPE_ppa006644mg PE=4 SV=1</t>
  </si>
  <si>
    <t>Uncharacterized protein OS=Prunus persica GN=PRUPE_ppa006966mg PE=4 SV=1</t>
  </si>
  <si>
    <t>Uncharacterized protein OS=Prunus persica GN=PRUPE_ppa020346mg PE=4 SV=1</t>
  </si>
  <si>
    <t>Uncharacterized protein OS=Prunus persica GN=PRUPE_ppa014823mg PE=4 SV=1</t>
  </si>
  <si>
    <t>Uncharacterized protein OS=Prunus persica GN=PRUPE_ppa017714mg PE=4 SV=1</t>
  </si>
  <si>
    <t>Uncharacterized protein OS=Prunus persica GN=PRUPE_ppa009708mg PE=4 SV=1</t>
  </si>
  <si>
    <t>Uncharacterized protein OS=Prunus persica GN=PRUPE_ppa019718mg PE=4 SV=1</t>
  </si>
  <si>
    <t>Uncharacterized protein OS=Prunus persica GN=PRUPE_ppa025100mg PE=4 SV=1</t>
  </si>
  <si>
    <t>Uncharacterized protein OS=Prunus persica GN=PRUPE_ppa021003mg PE=4 SV=1</t>
  </si>
  <si>
    <t>Uncharacterized protein OS=Prunus persica GN=PRUPE_ppb014662mg PE=4 SV=1</t>
  </si>
  <si>
    <t>Uncharacterized protein OS=Prunus persica GN=PRUPE_ppa012505mg PE=4 SV=1</t>
  </si>
  <si>
    <t>Uncharacterized protein OS=Prunus persica GN=PRUPE_ppa002503mg PE=4 SV=1</t>
  </si>
  <si>
    <t>Uncharacterized protein OS=Prunus persica GN=PRUPE_ppa006175mg PE=4 SV=1</t>
  </si>
  <si>
    <t>COP9 signalosome complex subunit 3 OS=Morus notabilis GN=L484_017641 PE=4 SV=1</t>
  </si>
  <si>
    <t>Uncharacterized protein OS=Prunus persica GN=PRUPE_ppa000997mg PE=4 SV=1</t>
  </si>
  <si>
    <t>Uncharacterized protein (Fragment) OS=Prunus persica GN=PRUPE_ppa018760mg PE=4 SV=1</t>
  </si>
  <si>
    <t>Uncharacterized protein OS=Prunus persica GN=PRUPE_ppa004426mg PE=4 SV=1</t>
  </si>
  <si>
    <t>Uncharacterized protein OS=Prunus persica GN=PRUPE_ppa006929mg PE=4 SV=1</t>
  </si>
  <si>
    <t>Uncharacterized protein OS=Prunus persica GN=PRUPE_ppa006168mg PE=3 SV=1</t>
  </si>
  <si>
    <t>Uncharacterized protein OS=Prunus persica GN=PRUPE_ppa020762mg PE=4 SV=1</t>
  </si>
  <si>
    <t>Uncharacterized protein OS=Prunus persica GN=PRUPE_ppa003462mg PE=3 SV=1</t>
  </si>
  <si>
    <t>Uncharacterized protein (Fragment) OS=Prunus persica GN=PRUPE_ppa025469mg PE=4 SV=1</t>
  </si>
  <si>
    <t>Uncharacterized protein OS=Prunus persica GN=PRUPE_ppa004174mg PE=4 SV=1</t>
  </si>
  <si>
    <t>Uncharacterized protein (Fragment) OS=Prunus persica GN=PRUPE_ppa019910mg PE=4 SV=1</t>
  </si>
  <si>
    <t>Uncharacterized protein (Fragment) OS=Prunus persica GN=PRUPE_ppa015567mg PE=4 SV=1</t>
  </si>
  <si>
    <t>Uncharacterized protein OS=Jatropha curcas GN=JCGZ_12315 PE=4 SV=1</t>
  </si>
  <si>
    <t>Uncharacterized protein OS=Prunus persica GN=PRUPE_ppa013634mg PE=4 SV=1</t>
  </si>
  <si>
    <t>Uncharacterized protein OS=Prunus persica GN=PRUPE_ppa011569mg PE=4 SV=1</t>
  </si>
  <si>
    <t>Uncharacterized protein OS=Prunus persica GN=PRUPE_ppa007519mg PE=4 SV=1</t>
  </si>
  <si>
    <t>Uncharacterized protein OS=Prunus persica GN=PRUPE_ppa001478mg PE=4 SV=1</t>
  </si>
  <si>
    <t>Uncharacterized protein OS=Prunus persica GN=PRUPE_ppa013816mg PE=3 SV=1</t>
  </si>
  <si>
    <t>Uncharacterized protein OS=Prunus persica GN=PRUPE_ppa026875mg PE=3 SV=1</t>
  </si>
  <si>
    <t>Uncharacterized protein OS=Prunus persica GN=PRUPE_ppa005963mg PE=4 SV=1</t>
  </si>
  <si>
    <t>Uncharacterized protein OS=Prunus persica GN=PRUPE_ppa004556mg PE=4 SV=1</t>
  </si>
  <si>
    <t>Uncharacterized protein (Fragment) OS=Prunus persica GN=PRUPE_ppa017670mg PE=4 SV=1</t>
  </si>
  <si>
    <t>Uncharacterized protein OS=Prunus persica GN=PRUPE_ppa010075mg PE=4 SV=1</t>
  </si>
  <si>
    <t>Uncharacterized protein OS=Prunus persica GN=PRUPE_ppa022737mg PE=4 SV=1</t>
  </si>
  <si>
    <t>Uncharacterized protein OS=Prunus persica GN=PRUPE_ppa027220mg PE=4 SV=1</t>
  </si>
  <si>
    <t>Uncharacterized protein (Fragment) OS=Prunus persica GN=PRUPE_ppa019397mg PE=4 SV=1</t>
  </si>
  <si>
    <t>Uncharacterized protein OS=Prunus persica GN=PRUPE_ppa003958mg PE=4 SV=1</t>
  </si>
  <si>
    <t>Uncharacterized protein OS=Prunus persica GN=PRUPE_ppa005468mg PE=4 SV=1</t>
  </si>
  <si>
    <t>Putative uncharacterized protein OS=Vitis vinifera GN=VIT_08s0007g03980 PE=4 SV=1</t>
  </si>
  <si>
    <t>Hexosyltransferase OS=Prunus persica GN=PRUPE_ppa007216mg PE=3 SV=1</t>
  </si>
  <si>
    <t>Pectinesterase OS=Prunus persica GN=PRUPE_ppa008873mg PE=3 SV=1</t>
  </si>
  <si>
    <t>Uncharacterized protein OS=Prunus persica GN=PRUPE_ppa024173mg PE=4 SV=1</t>
  </si>
  <si>
    <t>Uncharacterized protein (Fragment) OS=Prunus persica GN=PRUPE_ppa019960mg PE=4 SV=1</t>
  </si>
  <si>
    <t>Uncharacterized protein OS=Prunus persica GN=PRUPE_ppa013568mg PE=4 SV=1</t>
  </si>
  <si>
    <t>Uncharacterized protein OS=Prunus persica GN=PRUPE_ppa009484mg PE=4 SV=1</t>
  </si>
  <si>
    <t>Uncharacterized protein OS=Prunus persica GN=PRUPE_ppa005940mg PE=4 SV=1</t>
  </si>
  <si>
    <t>Uncharacterized protein OS=Prunus persica GN=PRUPE_ppa023716mg PE=4 SV=1</t>
  </si>
  <si>
    <t>Uncharacterized protein OS=Prunus persica GN=PRUPE_ppa020966mg PE=4 SV=1</t>
  </si>
  <si>
    <t>Uncharacterized protein OS=Prunus persica GN=PRUPE_ppa010454mg PE=4 SV=1</t>
  </si>
  <si>
    <t>Uncharacterized protein OS=Prunus persica GN=PRUPE_ppa006088mg PE=4 SV=1</t>
  </si>
  <si>
    <t>Uncharacterized protein (Fragment) OS=Prunus persica GN=PRUPE_ppa021080mg PE=4 SV=1</t>
  </si>
  <si>
    <t>Uncharacterized protein OS=Prunus persica GN=PRUPE_ppa005057mg PE=4 SV=1</t>
  </si>
  <si>
    <t>Uncharacterized protein OS=Prunus persica GN=PRUPE_ppa005542mg PE=3 SV=1</t>
  </si>
  <si>
    <t>Uncharacterized protein OS=Prunus persica GN=PRUPE_ppa012565mg PE=4 SV=1</t>
  </si>
  <si>
    <t>Hexosyltransferase OS=Prunus persica GN=PRUPE_ppa002418mg PE=3 SV=1</t>
  </si>
  <si>
    <t>Uncharacterized protein OS=Prunus persica GN=PRUPE_ppa021566mg PE=4 SV=1</t>
  </si>
  <si>
    <t>Cysteine synthase OS=Prunus persica GN=PRUPE_ppa008606mg PE=3 SV=1</t>
  </si>
  <si>
    <t>Uncharacterized protein OS=Prunus persica GN=PRUPE_ppa004215mg PE=4 SV=1</t>
  </si>
  <si>
    <t>Uncharacterized protein OS=Prunus persica GN=PRUPE_ppa024940mg PE=4 SV=1</t>
  </si>
  <si>
    <t>Uncharacterized protein OS=Prunus persica GN=PRUPE_ppa001245mg PE=4 SV=1</t>
  </si>
  <si>
    <t>Uncharacterized protein OS=Prunus persica GN=PRUPE_ppa019192mg PE=4 SV=1</t>
  </si>
  <si>
    <t>Uncharacterized protein OS=Prunus persica GN=PRUPE_ppa022295mg PE=4 SV=1</t>
  </si>
  <si>
    <t>Uncharacterized protein OS=Prunus persica GN=PRUPE_ppa003023mg PE=3 SV=1</t>
  </si>
  <si>
    <t>Uncharacterized protein OS=Prunus persica GN=PRUPE_ppa003293mg PE=4 SV=1</t>
  </si>
  <si>
    <t>Uncharacterized protein OS=Eucalyptus grandis GN=EUGRSUZ_C00871 PE=4 SV=1</t>
  </si>
  <si>
    <t>Uncharacterized protein OS=Prunus persica GN=PRUPE_ppa008596mg PE=4 SV=1</t>
  </si>
  <si>
    <t>Uncharacterized protein OS=Prunus persica GN=PRUPE_ppa005893mg PE=4 SV=1</t>
  </si>
  <si>
    <t>Lipoxygenase OS=Prunus persica GN=PRUPE_ppa001082mg PE=3 SV=1</t>
  </si>
  <si>
    <t>Uncharacterized protein OS=Prunus persica GN=PRUPE_ppa016740mg PE=4 SV=1</t>
  </si>
  <si>
    <t>Uncharacterized protein OS=Prunus persica GN=PRUPE_ppa010697mg PE=4 SV=1</t>
  </si>
  <si>
    <t>MATE efflux family protein OS=Prunus persica GN=PRUPE_ppa005018mg PE=3 SV=1</t>
  </si>
  <si>
    <t>Uncharacterized protein OS=Prunus persica GN=PRUPE_ppa009126mg PE=4 SV=1</t>
  </si>
  <si>
    <t>Uncharacterized protein OS=Prunus persica GN=PRUPE_ppa000328mg PE=4 SV=1</t>
  </si>
  <si>
    <t>Auxin-responsive protein OS=Prunus persica GN=PRUPE_ppa013361mg PE=3 SV=1</t>
  </si>
  <si>
    <t>Uncharacterized protein OS=Prunus persica GN=PRUPE_ppa004358mg PE=3 SV=1</t>
  </si>
  <si>
    <t>Uncharacterized protein OS=Prunus persica GN=PRUPE_ppa001168mg PE=3 SV=1</t>
  </si>
  <si>
    <t>Uncharacterized protein OS=Prunus persica GN=PRUPE_ppa010993mg PE=4 SV=1</t>
  </si>
  <si>
    <t>Putative glycine-rich RNA-binding protein OS=Prunus avium PE=2 SV=1</t>
  </si>
  <si>
    <t>Uncharacterized protein OS=Prunus persica GN=PRUPE_ppa013316mg PE=4 SV=1</t>
  </si>
  <si>
    <t>Uncharacterized protein (Fragment) OS=Prunus persica GN=PRUPE_ppa025434mg PE=3 SV=1</t>
  </si>
  <si>
    <t>Uncharacterized protein OS=Prunus persica GN=PRUPE_ppa006681mg PE=4 SV=1</t>
  </si>
  <si>
    <t>Uncharacterized protein OS=Capsella rubella GN=CARUB_v10024180mg PE=4 SV=1</t>
  </si>
  <si>
    <t>Uncharacterized protein OS=Prunus persica GN=PRUPE_ppa006602mg PE=4 SV=1</t>
  </si>
  <si>
    <t>Uncharacterized protein (Fragment) OS=Prunus persica GN=PRUPE_ppa016310mg PE=4 SV=1</t>
  </si>
  <si>
    <t>Uncharacterized protein OS=Prunus persica GN=PRUPE_ppa022777mg PE=3 SV=1</t>
  </si>
  <si>
    <t>Uncharacterized protein OS=Prunus persica GN=PRUPE_ppa007368mg PE=3 SV=1</t>
  </si>
  <si>
    <t>Uncharacterized protein OS=Morus notabilis GN=L484_003478 PE=4 SV=1</t>
  </si>
  <si>
    <t>Uncharacterized protein OS=Prunus persica GN=PRUPE_ppa008771mg PE=4 SV=1</t>
  </si>
  <si>
    <t>Uncharacterized protein OS=Prunus persica GN=PRUPE_ppa022181mg PE=4 SV=1</t>
  </si>
  <si>
    <t>Uncharacterized protein OS=Prunus persica GN=PRUPE_ppa003295mg PE=4 SV=1</t>
  </si>
  <si>
    <t>ALCATRAZ/SPATULA-like protein OS=Prunus persica PE=2 SV=1</t>
  </si>
  <si>
    <t>Uncharacterized protein OS=Prunus persica GN=PRUPE_ppa019942mg PE=4 SV=1</t>
  </si>
  <si>
    <t>Uncharacterized protein OS=Prunus persica GN=PRUPE_ppa022043mg PE=4 SV=1</t>
  </si>
  <si>
    <t>Uncharacterized protein OS=Prunus persica GN=PRUPE_ppa022080mg PE=4 SV=1</t>
  </si>
  <si>
    <t>Uncharacterized protein (Fragment) OS=Prunus persica GN=PRUPE_ppa015528mg PE=4 SV=1</t>
  </si>
  <si>
    <t>Uncharacterized protein OS=Prunus persica GN=PRUPE_ppa017221mg PE=4 SV=1</t>
  </si>
  <si>
    <t>Eukaryotic translation initiation factor 3 subunit C OS=Prunus persica GN=PRUPE_ppa001017mg PE=3 SV=1</t>
  </si>
  <si>
    <t>Uncharacterized protein OS=Prunus persica GN=PRUPE_ppa006598mg PE=4 SV=1</t>
  </si>
  <si>
    <t>Uncharacterized protein OS=Prunus persica GN=PRUPE_ppa016358mg PE=4 SV=1</t>
  </si>
  <si>
    <t>Uncharacterized protein OS=Prunus persica GN=PRUPE_ppa004847mg PE=4 SV=1</t>
  </si>
  <si>
    <t>Uncharacterized protein OS=Prunus persica GN=PRUPE_ppa017292mg PE=4 SV=1</t>
  </si>
  <si>
    <t>Uncharacterized protein OS=Prunus persica GN=PRUPE_ppa002163mg PE=3 SV=1</t>
  </si>
  <si>
    <t>Uncharacterized protein OS=Prunus persica GN=PRUPE_ppa006862mg PE=4 SV=1</t>
  </si>
  <si>
    <t>Uncharacterized protein OS=Prunus persica GN=PRUPE_ppa010816mg PE=4 SV=1</t>
  </si>
  <si>
    <t>Uncharacterized protein OS=Prunus persica GN=PRUPE_ppa011830mg PE=4 SV=1</t>
  </si>
  <si>
    <t>Uncharacterized protein OS=Prunus persica GN=PRUPE_ppa006803mg PE=4 SV=1</t>
  </si>
  <si>
    <t>Uncharacterized protein OS=Prunus persica GN=PRUPE_ppa013297mg PE=4 SV=1</t>
  </si>
  <si>
    <t>Uncharacterized protein OS=Prunus persica GN=PRUPE_ppa002057mg PE=4 SV=1</t>
  </si>
  <si>
    <t>Uncharacterized protein OS=Prunus persica GN=PRUPE_ppa001989mg PE=4 SV=1</t>
  </si>
  <si>
    <t>Uncharacterized protein OS=Prunus persica GN=PRUPE_ppa003116mg PE=4 SV=1</t>
  </si>
  <si>
    <t>Uncharacterized protein OS=Prunus persica GN=PRUPE_ppa002175mg PE=4 SV=1</t>
  </si>
  <si>
    <t>Uncharacterized protein OS=Prunus persica GN=PRUPE_ppa010160mg PE=4 SV=1</t>
  </si>
  <si>
    <t>Uncharacterized protein OS=Prunus persica GN=PRUPE_ppa002164mg PE=4 SV=1</t>
  </si>
  <si>
    <t>Uncharacterized protein OS=Prunus persica GN=PRUPE_ppa019173mg PE=4 SV=1</t>
  </si>
  <si>
    <t>Uncharacterized protein OS=Prunus persica GN=PRUPE_ppa023767mg PE=4 SV=1</t>
  </si>
  <si>
    <t>Uncharacterized protein OS=Prunus persica GN=PRUPE_ppa006185mg PE=4 SV=1</t>
  </si>
  <si>
    <t>Uncharacterized protein OS=Prunus persica GN=PRUPE_ppa008880mg PE=4 SV=1</t>
  </si>
  <si>
    <t>Transmembrane protein, putative OS=Medicago truncatula GN=MTR_1g015040 PE=4 SV=1</t>
  </si>
  <si>
    <t>Uncharacterized protein OS=Prunus persica GN=PRUPE_ppa001046mg PE=4 SV=1</t>
  </si>
  <si>
    <t>Uncharacterized protein OS=Prunus persica GN=PRUPE_ppa010183mg PE=3 SV=1</t>
  </si>
  <si>
    <t>Uncharacterized protein OS=Prunus persica GN=PRUPE_ppa009802mg PE=4 SV=1</t>
  </si>
  <si>
    <t>Uncharacterized protein OS=Prunus persica GN=PRUPE_ppa010431mg PE=3 SV=1</t>
  </si>
  <si>
    <t>Uncharacterized protein OS=Prunus persica GN=PRUPE_ppa000345mg PE=4 SV=1</t>
  </si>
  <si>
    <t>Uncharacterized protein OS=Prunus persica GN=PRUPE_ppa007358mg PE=4 SV=1</t>
  </si>
  <si>
    <t>Cytochrome c oxidase subunit 1 OS=Bos javanicus GN=COX1 PE=3 SV=1</t>
  </si>
  <si>
    <t>Uncharacterized protein OS=Prunus persica GN=PRUPE_ppa007563mg PE=4 SV=1</t>
  </si>
  <si>
    <t>Uncharacterized protein OS=Prunus persica GN=PRUPE_ppa002799mg PE=4 SV=1</t>
  </si>
  <si>
    <t>Uncharacterized protein OS=Prunus persica GN=PRUPE_ppa001162mg PE=4 SV=1</t>
  </si>
  <si>
    <t>Uncharacterized protein OS=Prunus persica GN=PRUPE_ppa013398mg PE=4 SV=1</t>
  </si>
  <si>
    <t>Uncharacterized protein OS=Prunus persica GN=PRUPE_ppa025514mg PE=4 SV=1</t>
  </si>
  <si>
    <t>Uncharacterized protein OS=Prunus persica GN=PRUPE_ppa004151mg PE=4 SV=1</t>
  </si>
  <si>
    <t>Uncharacterized protein OS=Gossypium arboreum GN=F383_07669 PE=4 SV=1</t>
  </si>
  <si>
    <t>Uncharacterized protein (Fragment) OS=Prunus persica GN=PRUPE_ppa015939mg PE=4 SV=1</t>
  </si>
  <si>
    <t>Uncharacterized protein OS=Prunus persica GN=PRUPE_ppa003597mg PE=3 SV=1</t>
  </si>
  <si>
    <t>Uncharacterized protein OS=Populus trichocarpa GN=POPTR_0002s16500g PE=4 SV=1</t>
  </si>
  <si>
    <t>Ubiquitin carboxyl-terminal hydrolase OS=Prunus persica GN=PRUPE_ppa023910mg PE=3 SV=1</t>
  </si>
  <si>
    <t>Uncharacterized protein OS=Verticillium longisporum GN=BN1708_003493 PE=4 SV=1</t>
  </si>
  <si>
    <t>Uncharacterized protein OS=Prunus persica GN=PRUPE_ppb021141mg PE=4 SV=1</t>
  </si>
  <si>
    <t>Uncharacterized protein OS=Prunus persica GN=PRUPE_ppa010721mg PE=4 SV=1</t>
  </si>
  <si>
    <t>Uncharacterized protein (Fragment) OS=Prunus persica GN=PRUPE_ppa018270mg PE=4 SV=1</t>
  </si>
  <si>
    <t>Uncharacterized protein OS=Prunus persica GN=PRUPE_ppa023800mg PE=4 SV=1</t>
  </si>
  <si>
    <t>Uncharacterized protein OS=Prunus persica GN=PRUPE_ppa013764mg PE=4 SV=1</t>
  </si>
  <si>
    <t>Uncharacterized protein isoform 2 OS=Theobroma cacao GN=TCM_035643 PE=4 SV=1</t>
  </si>
  <si>
    <t>Uncharacterized protein OS=Prunus persica GN=PRUPE_ppa002777mg PE=4 SV=1</t>
  </si>
  <si>
    <t>Uncharacterized protein OS=Prunus persica GN=PRUPE_ppa006968mg PE=4 SV=1</t>
  </si>
  <si>
    <t>Uncharacterized protein OS=Prunus persica GN=PRUPE_ppa005887mg PE=4 SV=1</t>
  </si>
  <si>
    <t>Uncharacterized protein OS=Prunus persica GN=PRUPE_ppa012768mg PE=4 SV=1</t>
  </si>
  <si>
    <t>Uncharacterized protein (Fragment) OS=Prunus persica GN=PRUPE_ppa026294mg PE=4 SV=1</t>
  </si>
  <si>
    <t>6-phosphogluconate dehydrogenase, decarboxylating OS=Prunus persica GN=PRUPE_ppa004860mg PE=3 SV=1</t>
  </si>
  <si>
    <t>Uncharacterized protein OS=Prunus persica GN=PRUPE_ppa012149mg PE=4 SV=1</t>
  </si>
  <si>
    <t>MATE efflux family protein OS=Prunus persica GN=PRUPE_ppa004624mg PE=3 SV=1</t>
  </si>
  <si>
    <t>Uncharacterized protein OS=Prunus persica GN=PRUPE_ppa007855mg PE=4 SV=1</t>
  </si>
  <si>
    <t>Uncharacterized protein OS=Prunus persica GN=PRUPE_ppa006098mg PE=3 SV=1</t>
  </si>
  <si>
    <t>Uncharacterized protein OS=Prunus persica GN=PRUPE_ppa027047mg PE=3 SV=1</t>
  </si>
  <si>
    <t>Uncharacterized protein OS=Prunus persica GN=PRUPE_ppa004585mg PE=4 SV=1</t>
  </si>
  <si>
    <t>Uncharacterized protein (Fragment) OS=Prunus persica GN=PRUPE_ppa022501mg PE=4 SV=1</t>
  </si>
  <si>
    <t>Uncharacterized protein OS=Prunus persica GN=PRUPE_ppa001230mg PE=3 SV=1</t>
  </si>
  <si>
    <t>Putative uncharacterized protein OS=Vitis vinifera GN=VIT_08s0007g02800 PE=4 SV=1</t>
  </si>
  <si>
    <t>Uncharacterized protein OS=Prunus persica GN=PRUPE_ppa002791mg PE=4 SV=1</t>
  </si>
  <si>
    <t>Uncharacterized protein OS=Prunus persica GN=PRUPE_ppa012072mg PE=4 SV=1</t>
  </si>
  <si>
    <t>Uncharacterized protein OS=Prunus persica GN=PRUPE_ppa011795mg PE=4 SV=1</t>
  </si>
  <si>
    <t>Uncharacterized protein OS=Prunus persica GN=PRUPE_ppa025582mg PE=4 SV=1</t>
  </si>
  <si>
    <t>Uncharacterized protein OS=Prunus persica GN=PRUPE_ppa005332mg PE=4 SV=1</t>
  </si>
  <si>
    <t>Uncharacterized protein OS=Morus notabilis GN=L484_019690 PE=4 SV=1</t>
  </si>
  <si>
    <t>Uncharacterized protein OS=Prunus persica GN=PRUPE_ppa011555mg PE=3 SV=1</t>
  </si>
  <si>
    <t>Uncharacterized protein OS=Prunus persica GN=PRUPE_ppa007451mg PE=4 SV=1</t>
  </si>
  <si>
    <t>Uncharacterized protein OS=Morus notabilis GN=L484_024044 PE=4 SV=1</t>
  </si>
  <si>
    <t>Uncharacterized protein OS=Prunus persica GN=PRUPE_ppa008073mg PE=4 SV=1</t>
  </si>
  <si>
    <t>Uncharacterized protein OS=Prunus persica GN=PRUPE_ppa004997mg PE=4 SV=1</t>
  </si>
  <si>
    <t>Uncharacterized protein OS=Prunus persica GN=PRUPE_ppa012242mg PE=4 SV=1</t>
  </si>
  <si>
    <t>Beta-galactosidase OS=Prunus persica GN=PRUPE_ppa001340mg PE=3 SV=1</t>
  </si>
  <si>
    <t>Uncharacterized protein OS=Prunus persica GN=PRUPE_ppa003998mg PE=4 SV=1</t>
  </si>
  <si>
    <t>Uncharacterized protein OS=Prunus persica GN=PRUPE_ppa006450mg PE=3 SV=1</t>
  </si>
  <si>
    <t>Uncharacterized protein (Fragment) OS=Prunus persica GN=PRUPE_ppa016686mg PE=4 SV=1</t>
  </si>
  <si>
    <t>Uncharacterized protein (Fragment) OS=Prunus persica GN=PRUPE_ppa015022mg PE=4 SV=1</t>
  </si>
  <si>
    <t>Uncharacterized protein OS=Prunus persica GN=PRUPE_ppa004874mg PE=4 SV=1</t>
  </si>
  <si>
    <t>Transcription factor-related, putative OS=Theobroma cacao GN=TCM_029681 PE=4 SV=1</t>
  </si>
  <si>
    <t>Uncharacterized protein OS=Prunus persica GN=PRUPE_ppa002217mg PE=4 SV=1</t>
  </si>
  <si>
    <t>Uncharacterized protein (Fragment) OS=Prunus persica GN=PRUPE_ppa015238mg PE=4 SV=1</t>
  </si>
  <si>
    <t>Uncharacterized protein OS=Prunus persica GN=PRUPE_ppa002530mg PE=3 SV=1</t>
  </si>
  <si>
    <t>Uncharacterized protein OS=Prunus persica GN=PRUPE_ppa025833mg PE=4 SV=1</t>
  </si>
  <si>
    <t>Uncharacterized protein OS=Prunus persica GN=PRUPE_ppa020194mg PE=4 SV=1</t>
  </si>
  <si>
    <t>Uncharacterized protein OS=Prunus persica GN=PRUPE_ppa020039mg PE=4 SV=1</t>
  </si>
  <si>
    <t>Threonine dehydratase OS=Prunus persica GN=PRUPE_ppa003062mg PE=3 SV=1</t>
  </si>
  <si>
    <t>Uncharacterized protein (Fragment) OS=Prunus persica GN=PRUPE_ppa017563mg PE=4 SV=1</t>
  </si>
  <si>
    <t>Uncharacterized protein OS=Prunus persica GN=PRUPE_ppa002545mg PE=4 SV=1</t>
  </si>
  <si>
    <t>Uncharacterized protein OS=Prunus persica GN=PRUPE_ppa005891mg PE=4 SV=1</t>
  </si>
  <si>
    <t>Uncharacterized protein OS=Prunus persica GN=PRUPE_ppa001712mg PE=4 SV=1</t>
  </si>
  <si>
    <t>Uncharacterized protein OS=Prunus persica GN=PRUPE_ppa012575mg PE=4 SV=1</t>
  </si>
  <si>
    <t>3-hydroxy-3-methylglutaryl coenzyme A reductase OS=Prunus persica GN=PRUPE_ppa003627mg PE=3 SV=1</t>
  </si>
  <si>
    <t>Uncharacterized protein OS=Prunus persica GN=PRUPE_ppa012720mg PE=4 SV=1</t>
  </si>
  <si>
    <t>Uncharacterized protein OS=Prunus persica GN=PRUPE_ppa009186mg PE=4 SV=1</t>
  </si>
  <si>
    <t>Uncharacterized protein (Fragment) OS=Prunus persica GN=PRUPE_ppa023899mg PE=4 SV=1</t>
  </si>
  <si>
    <t>Uncharacterized protein (Fragment) OS=Prunus persica GN=PRUPE_ppa024178mg PE=4 SV=1</t>
  </si>
  <si>
    <t>Uncharacterized protein OS=Prunus persica GN=PRUPE_ppa008391mg PE=4 SV=1</t>
  </si>
  <si>
    <t>Uncharacterized protein OS=Prunus persica GN=PRUPE_ppa002712mg PE=4 SV=1</t>
  </si>
  <si>
    <t>Uncharacterized protein OS=Prunus persica GN=PRUPE_ppa002056mg PE=3 SV=1</t>
  </si>
  <si>
    <t>Uncharacterized protein OS=Prunus persica GN=PRUPE_ppa003889mg PE=4 SV=1</t>
  </si>
  <si>
    <t>Uncharacterized protein OS=Prunus persica GN=PRUPE_ppa009741mg PE=4 SV=1</t>
  </si>
  <si>
    <t>Uncharacterized protein OS=Prunus persica GN=PRUPE_ppa005032mg PE=3 SV=1</t>
  </si>
  <si>
    <t>Uncharacterized protein OS=Prunus persica GN=PRUPE_ppa008297mg PE=3 SV=1</t>
  </si>
  <si>
    <t>Uncharacterized protein OS=Prunus persica GN=PRUPE_ppa003341mg PE=4 SV=1</t>
  </si>
  <si>
    <t>Uncharacterized protein OS=Prunus persica GN=PRUPE_ppa003510mg PE=3 SV=1</t>
  </si>
  <si>
    <t>Uncharacterized protein (Fragment) OS=Prunus persica GN=PRUPE_ppa003026m1g PE=4 SV=1</t>
  </si>
  <si>
    <t>Uncharacterized protein OS=Prunus persica GN=PRUPE_ppa005462mg PE=4 SV=1</t>
  </si>
  <si>
    <t>Uncharacterized protein OS=Prunus persica GN=PRUPE_ppa007476mg PE=4 SV=1</t>
  </si>
  <si>
    <t>Uncharacterized protein (Fragment) OS=Prunus persica GN=PRUPE_ppa021336mg PE=4 SV=1</t>
  </si>
  <si>
    <t>Uncharacterized protein OS=Prunus persica GN=PRUPE_ppa003189mg PE=4 SV=1</t>
  </si>
  <si>
    <t>Uncharacterized protein OS=Prunus persica GN=PRUPE_ppa012053mg PE=4 SV=1</t>
  </si>
  <si>
    <t>Uncharacterized protein OS=Prunus persica GN=PRUPE_ppa013898mg PE=3 SV=1</t>
  </si>
  <si>
    <t>Glycosyltransferase OS=Prunus persica GN=PRUPE_ppa023014mg PE=3 SV=1</t>
  </si>
  <si>
    <t>Uncharacterized protein OS=Prunus persica GN=PRUPE_ppa024249mg PE=4 SV=1</t>
  </si>
  <si>
    <t>Uncharacterized protein OS=Glycine max PE=2 SV=1</t>
  </si>
  <si>
    <t>Uncharacterized protein OS=Prunus persica GN=PRUPE_ppa006181mg PE=4 SV=1</t>
  </si>
  <si>
    <t>Uncharacterized protein (Fragment) OS=Prunus persica GN=PRUPE_ppa024910mg PE=3 SV=1</t>
  </si>
  <si>
    <t>Uncharacterized protein OS=Citrus clementina GN=CICLE_v10032178mg PE=4 SV=1</t>
  </si>
  <si>
    <t>Uncharacterized protein OS=Prunus persica GN=PRUPE_ppa025586mg PE=4 SV=1</t>
  </si>
  <si>
    <t>Uncharacterized protein OS=Prunus persica GN=PRUPE_ppa004008mg PE=4 SV=1</t>
  </si>
  <si>
    <t>Putative uncharacterized protein OS=Vitis vinifera GN=VIT_02s0025g04540 PE=4 SV=1</t>
  </si>
  <si>
    <t>Uncharacterized protein OS=Prunus persica GN=PRUPE_ppa004625mg PE=4 SV=1</t>
  </si>
  <si>
    <t>Uncharacterized protein OS=Prunus persica GN=PRUPE_ppa013553mg PE=4 SV=1</t>
  </si>
  <si>
    <t>Protein S100 (Fragment) OS=Nomascus leucogenys GN=S100A9 PE=3 SV=2</t>
  </si>
  <si>
    <t>Uncharacterized protein OS=Prunus persica GN=PRUPE_ppa027089mg PE=4 SV=1</t>
  </si>
  <si>
    <t>Uncharacterized protein OS=Prunus persica GN=PRUPE_ppa017806mg PE=4 SV=1</t>
  </si>
  <si>
    <t>Uncharacterized protein OS=Prunus persica GN=PRUPE_ppa004810mg PE=4 SV=1</t>
  </si>
  <si>
    <t>Laccase OS=Prunus persica GN=PRUPE_ppa003529mg PE=3 SV=1</t>
  </si>
  <si>
    <t>WGS project CBMI000000000 data, contig CS3069_c004564 OS=Fusarium sp. FIESC_5 CS3069 GN=BN850_0124480 PE=4 SV=1</t>
  </si>
  <si>
    <t>Uncharacterized protein (Fragment) OS=Prunus persica GN=PRUPE_ppa021185mg PE=4 SV=1</t>
  </si>
  <si>
    <t>Uncharacterized protein OS=Prunus persica GN=PRUPE_ppa011741mg PE=4 SV=1</t>
  </si>
  <si>
    <t>Glycosyltransferase OS=Prunus persica GN=PRUPE_ppa017055mg PE=3 SV=1</t>
  </si>
  <si>
    <t>Uncharacterized protein OS=Prunus persica GN=PRUPE_ppa001967mg PE=4 SV=1</t>
  </si>
  <si>
    <t>Eukaryotic translation initiation factor 6 OS=Prunus persica GN=EIF6 PE=3 SV=1</t>
  </si>
  <si>
    <t>Uncharacterized protein OS=Prunus persica GN=PRUPE_ppa022010mg PE=4 SV=1</t>
  </si>
  <si>
    <t>Uncharacterized protein OS=Prunus persica GN=PRUPE_ppa005746mg PE=3 SV=1</t>
  </si>
  <si>
    <t>Glutathione transferase OS=Carica papaya GN=PGST1 PE=2 SV=1</t>
  </si>
  <si>
    <t>Uncharacterized protein OS=Prunus persica GN=PRUPE_ppa014774mg PE=4 SV=1</t>
  </si>
  <si>
    <t>Uncharacterized protein OS=Prunus persica GN=PRUPE_ppa002240mg PE=4 SV=1</t>
  </si>
  <si>
    <t>Uncharacterized protein OS=Prunus persica GN=PRUPE_ppa022456mg PE=4 SV=1</t>
  </si>
  <si>
    <t>Uncharacterized protein OS=Gossypium raimondii GN=B456_009G410400 PE=4 SV=1</t>
  </si>
  <si>
    <t>Uncharacterized protein OS=Prunus persica GN=PRUPE_ppa002062mg PE=4 SV=1</t>
  </si>
  <si>
    <t>Phosphoinositide phospholipase C OS=Prunus persica GN=PRUPE_ppa003685mg PE=4 SV=1</t>
  </si>
  <si>
    <t>Uncharacterized protein OS=Prunus persica GN=PRUPE_ppa000766mg PE=4 SV=1</t>
  </si>
  <si>
    <t>Uncharacterized protein OS=Prunus persica GN=PRUPE_ppa010182mg PE=3 SV=1</t>
  </si>
  <si>
    <t>Uncharacterized protein OS=Prunus persica GN=PRUPE_ppa000724mg PE=4 SV=1</t>
  </si>
  <si>
    <t>Uncharacterized protein OS=Prunus persica GN=PRUPE_ppa002670mg PE=4 SV=1</t>
  </si>
  <si>
    <t>Uncharacterized protein OS=Prunus persica GN=PRUPE_ppa018859mg PE=4 SV=1</t>
  </si>
  <si>
    <t>Uncharacterized protein OS=Prunus persica GN=PRUPE_ppa001109mg PE=4 SV=1</t>
  </si>
  <si>
    <t>Uncharacterized protein OS=Prunus persica GN=PRUPE_ppa003385mg PE=4 SV=1</t>
  </si>
  <si>
    <t>Uncharacterized protein OS=Prunus persica GN=PRUPE_ppa004159mg PE=4 SV=1</t>
  </si>
  <si>
    <t>Uncharacterized protein OS=Prunus persica GN=PRUPE_ppa003216mg PE=3 SV=1</t>
  </si>
  <si>
    <t>Protein translocase subunit SecA OS=Prunus persica GN=PRUPE_ppa000841mg PE=3 SV=1</t>
  </si>
  <si>
    <t>Uncharacterized protein OS=Prunus persica GN=PRUPE_ppa010787mg PE=4 SV=1</t>
  </si>
  <si>
    <t>Hexosyltransferase OS=Prunus persica GN=PRUPE_ppa003250mg PE=3 SV=1</t>
  </si>
  <si>
    <t>Uncharacterized protein OS=Prunus persica GN=PRUPE_ppa003112mg PE=4 SV=1</t>
  </si>
  <si>
    <t>Uncharacterized protein OS=Prunus persica GN=PRUPE_ppa001738mg PE=4 SV=1</t>
  </si>
  <si>
    <t>Uncharacterized protein OS=Prunus persica GN=PRUPE_ppa013105mg PE=4 SV=1</t>
  </si>
  <si>
    <t>Uncharacterized protein OS=Prunus persica GN=PRUPE_ppa002833mg PE=4 SV=1</t>
  </si>
  <si>
    <t>Uncharacterized protein OS=Prunus persica GN=PRUPE_ppa006490mg PE=4 SV=1</t>
  </si>
  <si>
    <t>Uncharacterized protein OS=Prunus persica GN=PRUPE_ppa007836mg PE=4 SV=1</t>
  </si>
  <si>
    <t>Uncharacterized protein OS=Prunus persica GN=PRUPE_ppa008164mg PE=4 SV=1</t>
  </si>
  <si>
    <t>Uncharacterized protein OS=Prunus persica GN=PRUPE_ppa010194mg PE=4 SV=1</t>
  </si>
  <si>
    <t>Uncharacterized protein OS=Prunus persica GN=PRUPE_ppa009564mg PE=4 SV=1</t>
  </si>
  <si>
    <t>Uncharacterized protein OS=Prunus persica GN=PRUPE_ppa005619mg PE=4 SV=1</t>
  </si>
  <si>
    <t>Formin-like protein OS=Prunus persica GN=PRUPE_ppa024740mg PE=3 SV=1</t>
  </si>
  <si>
    <t>Uncharacterized protein OS=Prunus persica GN=PRUPE_ppa015430mg PE=4 SV=1</t>
  </si>
  <si>
    <t>Uncharacterized protein OS=Prunus persica GN=PRUPE_ppa005237mg PE=4 SV=1</t>
  </si>
  <si>
    <t>Uncharacterized protein (Fragment) OS=Prunus persica GN=PRUPE_ppa020466mg PE=4 SV=1</t>
  </si>
  <si>
    <t>Uncharacterized protein OS=Prunus persica GN=PRUPE_ppa012274mg PE=4 SV=1</t>
  </si>
  <si>
    <t>Uncharacterized protein OS=Prunus persica GN=PRUPE_ppa021540mg PE=4 SV=1</t>
  </si>
  <si>
    <t>Glycosyltransferase OS=Prunus persica GN=PRUPE_ppa016005mg PE=3 SV=1</t>
  </si>
  <si>
    <t>Uncharacterized protein OS=Prunus persica GN=PRUPE_ppa010507mg PE=4 SV=1</t>
  </si>
  <si>
    <t>Uncharacterized protein OS=Prunus persica GN=PRUPE_ppa002081mg PE=4 SV=1</t>
  </si>
  <si>
    <t>Uncharacterized protein OS=Oryza brachyantha GN=OB07G20990 PE=3 SV=1</t>
  </si>
  <si>
    <t>Acyl-[acyl-carrier-protein] desaturase OS=Prunus persica GN=PRUPE_ppa006858mg PE=3 SV=1</t>
  </si>
  <si>
    <t>Uncharacterized protein OS=Prunus persica GN=PRUPE_ppa006854mg PE=4 SV=1</t>
  </si>
  <si>
    <t>Uncharacterized protein (Fragment) OS=Prunus persica GN=PRUPE_ppa024319mg PE=4 SV=1</t>
  </si>
  <si>
    <t>Serine/threonine-protein kinase OS=Citrus sinensis GN=CISIN_1g003759mg PE=3 SV=1</t>
  </si>
  <si>
    <t>Uncharacterized protein OS=Prunus persica GN=PRUPE_ppa001544mg PE=4 SV=1</t>
  </si>
  <si>
    <t>Uncharacterized protein OS=Prunus persica GN=PRUPE_ppa024769mg PE=4 SV=1</t>
  </si>
  <si>
    <t>Uncharacterized protein (Fragment) OS=Prunus persica GN=PRUPE_ppa023503mg PE=4 SV=1</t>
  </si>
  <si>
    <t>Putative uncharacterized protein OS=Vitis vinifera GN=VIT_12s0035g00240 PE=4 SV=1</t>
  </si>
  <si>
    <t>Uncharacterized protein OS=Prunus persica GN=PRUPE_ppa012675mg PE=4 SV=1</t>
  </si>
  <si>
    <t>Uncharacterized protein (Fragment) OS=Prunus persica GN=PRUPE_ppa022032mg PE=4 SV=1</t>
  </si>
  <si>
    <t>Uncharacterized protein OS=Prunus persica GN=PRUPE_ppb011482mg PE=4 SV=1</t>
  </si>
  <si>
    <t>Uncharacterized protein OS=Prunus persica GN=PRUPE_ppa015535mg PE=4 SV=1</t>
  </si>
  <si>
    <t>S-adenosylmethionine synthase OS=Prunus persica GN=PRUPE_ppa006841mg PE=2 SV=1</t>
  </si>
  <si>
    <t>Uncharacterized protein OS=Prunus persica GN=PRUPE_ppa011948mg PE=4 SV=1</t>
  </si>
  <si>
    <t>Uncharacterized protein OS=Prunus persica GN=PRUPE_ppa013544mg PE=4 SV=1</t>
  </si>
  <si>
    <t>Uncharacterized protein OS=Prunus persica GN=PRUPE_ppa011916mg PE=4 SV=1</t>
  </si>
  <si>
    <t>Uncharacterized protein OS=Prunus persica GN=PRUPE_ppa006595mg PE=4 SV=1</t>
  </si>
  <si>
    <t>Uncharacterized protein OS=Morus notabilis GN=L484_025557 PE=4 SV=1</t>
  </si>
  <si>
    <t>Uncharacterized protein OS=Prunus persica GN=PRUPE_ppa004830mg PE=4 SV=1</t>
  </si>
  <si>
    <t>Uncharacterized protein OS=Populus trichocarpa GN=POPTR_0008s15450g PE=4 SV=1</t>
  </si>
  <si>
    <t>Uncharacterized protein OS=Prunus persica GN=PRUPE_ppa009222mg PE=4 SV=1</t>
  </si>
  <si>
    <t>Uncharacterized protein OS=Phaseolus vulgaris GN=PHAVU_009G003600g PE=4 SV=1</t>
  </si>
  <si>
    <t>Uncharacterized protein OS=Prunus persica GN=PRUPE_ppa001489mg PE=4 SV=1</t>
  </si>
  <si>
    <t>Uncharacterized protein OS=Prunus persica GN=PRUPE_ppa011726mg PE=4 SV=1</t>
  </si>
  <si>
    <t>Uncharacterized protein (Fragment) OS=Prunus persica GN=PRUPE_ppa027221mg PE=4 SV=1</t>
  </si>
  <si>
    <t>Uncharacterized protein OS=Prunus persica GN=PRUPE_ppa008088mg PE=4 SV=1</t>
  </si>
  <si>
    <t>Uncharacterized protein OS=Prunus persica GN=PRUPE_ppa021573mg PE=4 SV=1</t>
  </si>
  <si>
    <t>Uncharacterized protein OS=Prunus persica GN=PRUPE_ppa003550mg PE=4 SV=1</t>
  </si>
  <si>
    <t>Uncharacterized protein (Fragment) OS=Prunus persica GN=PRUPE_ppa016582mg PE=4 SV=1</t>
  </si>
  <si>
    <t>Uncharacterized protein (Fragment) OS=Prunus persica GN=PRUPE_ppa020029mg PE=4 SV=1</t>
  </si>
  <si>
    <t>Uncharacterized protein OS=Prunus persica GN=PRUPE_ppa011229mg PE=4 SV=1</t>
  </si>
  <si>
    <t>Uncharacterized protein OS=Prunus persica GN=PRUPE_ppa009435mg PE=4 SV=1</t>
  </si>
  <si>
    <t>Importin subunit alpha OS=Prunus persica GN=PRUPE_ppa004046mg PE=3 SV=1</t>
  </si>
  <si>
    <t>Uncharacterized protein OS=Prunus persica GN=PRUPE_ppa010482mg PE=4 SV=1</t>
  </si>
  <si>
    <t>Protein yippee-like OS=Prunus persica GN=PRUPE_ppa013726mg PE=3 SV=1</t>
  </si>
  <si>
    <t>Uncharacterized protein OS=Prunus persica GN=PRUPE_ppa026779mg PE=4 SV=1</t>
  </si>
  <si>
    <t>Uncharacterized protein OS=Prunus persica GN=PRUPE_ppa009668mg PE=4 SV=1</t>
  </si>
  <si>
    <t>BnaC07g43850D protein OS=Brassica napus GN=BnaC07g43850D PE=4 SV=1</t>
  </si>
  <si>
    <t>Uncharacterized protein OS=Prunus persica GN=PRUPE_ppa000984mg PE=4 SV=1</t>
  </si>
  <si>
    <t>Uncharacterized protein OS=Prunus persica GN=PRUPE_ppa004994mg PE=4 SV=1</t>
  </si>
  <si>
    <t>Uncharacterized protein OS=Prunus persica GN=PRUPE_ppa011804mg PE=3 SV=1</t>
  </si>
  <si>
    <t>Uncharacterized protein OS=Prunus persica GN=PRUPE_ppa000810mg PE=4 SV=1</t>
  </si>
  <si>
    <t>Uncharacterized protein OS=Prunus persica GN=PRUPE_ppa012254mg PE=4 SV=1</t>
  </si>
  <si>
    <t>Uncharacterized protein OS=Prunus persica GN=PRUPE_ppa026585mg PE=4 SV=1</t>
  </si>
  <si>
    <t>Uncharacterized protein OS=Prunus persica GN=PRUPE_ppa017493mg PE=4 SV=1</t>
  </si>
  <si>
    <t>Uncharacterized protein OS=Prunus persica GN=PRUPE_ppa002734mg PE=4 SV=1</t>
  </si>
  <si>
    <t>Uncharacterized protein OS=Prunus persica GN=PRUPE_ppa001593mg PE=4 SV=1</t>
  </si>
  <si>
    <t>Uncharacterized protein (Fragment) OS=Prunus persica GN=PRUPE_ppa023547mg PE=4 SV=1</t>
  </si>
  <si>
    <t>Peptidyl-prolyl cis-trans isomerase OS=Prunus persica GN=PRUPE_ppa010867mg PE=4 SV=1</t>
  </si>
  <si>
    <t>Uncharacterized protein OS=Prunus persica GN=PRUPE_ppa024767mg PE=4 SV=1</t>
  </si>
  <si>
    <t>Uncharacterized protein OS=Prunus persica GN=PRUPE_ppa005396mg PE=3 SV=1</t>
  </si>
  <si>
    <t>Glycosyltransferase OS=Prunus persica GN=PRUPE_ppa004956mg PE=3 SV=1</t>
  </si>
  <si>
    <t>Uncharacterized protein OS=Prunus persica GN=PRUPE_ppa005175mg PE=4 SV=1</t>
  </si>
  <si>
    <t>Uncharacterized protein OS=Prunus persica GN=PRUPE_ppa013789mg PE=4 SV=1</t>
  </si>
  <si>
    <t>Uncharacterized protein OS=Prunus persica GN=PRUPE_ppa007014mg PE=3 SV=1</t>
  </si>
  <si>
    <t>Uncharacterized protein OS=Prunus persica GN=PRUPE_ppa007297mg PE=4 SV=1</t>
  </si>
  <si>
    <t>Uncharacterized protein OS=Prunus persica GN=PRUPE_ppa004184mg PE=4 SV=1</t>
  </si>
  <si>
    <t>Uncharacterized protein OS=Prunus persica GN=PRUPE_ppa021101mg PE=4 SV=1</t>
  </si>
  <si>
    <t>Uncharacterized protein OS=Prunus persica GN=PRUPE_ppa018693mg PE=4 SV=1</t>
  </si>
  <si>
    <t>Uncharacterized protein OS=Prunus persica GN=PRUPE_ppa009345mg PE=4 SV=1</t>
  </si>
  <si>
    <t>Peroxidase OS=Prunus persica GN=PRUPE_ppa008550mg PE=3 SV=1</t>
  </si>
  <si>
    <t>Uncharacterized protein OS=Prunus persica GN=PRUPE_ppa010536mg PE=4 SV=1</t>
  </si>
  <si>
    <t>Uncharacterized protein OS=Prunus persica GN=PRUPE_ppa010685mg PE=4 SV=1</t>
  </si>
  <si>
    <t>Uncharacterized protein OS=Prunus persica GN=PRUPE_ppa006055mg PE=4 SV=1</t>
  </si>
  <si>
    <t>Uncharacterized protein OS=Prunus persica GN=PRUPE_ppa006503mg PE=4 SV=1</t>
  </si>
  <si>
    <t>Uncharacterized protein OS=Prunus persica GN=PRUPE_ppa006834mg PE=4 SV=1</t>
  </si>
  <si>
    <t>Uncharacterized protein OS=Prunus persica GN=PRUPE_ppa011535mg PE=3 SV=1</t>
  </si>
  <si>
    <t>Uncharacterized protein OS=Citrus sinensis GN=CISIN_1g047794mg PE=4 SV=1</t>
  </si>
  <si>
    <t>Uncharacterized protein OS=Prunus persica GN=PRUPE_ppa017459mg PE=4 SV=1</t>
  </si>
  <si>
    <t>Uncharacterized protein OS=Prunus persica GN=PRUPE_ppa011235mg PE=4 SV=1</t>
  </si>
  <si>
    <t>Pyruvate kinase OS=Prunus persica GN=PRUPE_ppa004145mg PE=3 SV=1</t>
  </si>
  <si>
    <t>Protein Ycf2 OS=Prunus yedoensis GN=ycf2 PE=3 SV=1</t>
  </si>
  <si>
    <t>Uncharacterized protein OS=Prunus persica GN=PRUPE_ppa006307mg PE=3 SV=1</t>
  </si>
  <si>
    <t>Uncharacterized protein OS=Prunus persica GN=PRUPE_ppa000626mg PE=4 SV=1</t>
  </si>
  <si>
    <t>Uncharacterized protein OS=Prunus persica GN=PRUPE_ppa007447mg PE=3 SV=1</t>
  </si>
  <si>
    <t>Uncharacterized protein OS=Jatropha curcas GN=JCGZ_06008 PE=4 SV=1</t>
  </si>
  <si>
    <t>MATE efflux family protein OS=Prunus persica GN=PRUPE_ppa027104mg PE=3 SV=1</t>
  </si>
  <si>
    <t>Uncharacterized protein OS=Prunus persica GN=PRUPE_ppa011762mg PE=4 SV=1</t>
  </si>
  <si>
    <t>Uncharacterized protein OS=Prunus persica GN=PRUPE_ppa012465mg PE=4 SV=1</t>
  </si>
  <si>
    <t>MATE efflux family protein OS=Prunus persica GN=PRUPE_ppa004291mg PE=3 SV=1</t>
  </si>
  <si>
    <t>Uncharacterized protein OS=Prunus persica GN=PRUPE_ppa008436mg PE=4 SV=1</t>
  </si>
  <si>
    <t>Kinesin-like protein OS=Vitis vinifera GN=VIT_08s0007g05340 PE=3 SV=1</t>
  </si>
  <si>
    <t>Uncharacterized protein OS=Prunus persica GN=PRUPE_ppa009236mg PE=4 SV=1</t>
  </si>
  <si>
    <t>Uncharacterized protein OS=Prunus persica GN=PRUPE_ppa013216mg PE=4 SV=1</t>
  </si>
  <si>
    <t>Uncharacterized protein OS=Prunus persica GN=PRUPE_ppa018706mg PE=4 SV=1</t>
  </si>
  <si>
    <t>Uncharacterized protein OS=Prunus persica GN=PRUPE_ppa020252mg PE=4 SV=1</t>
  </si>
  <si>
    <t>Uncharacterized protein OS=Prunus persica GN=PRUPE_ppa012284mg PE=4 SV=1</t>
  </si>
  <si>
    <t>Uncharacterized protein OS=Prunus persica GN=PRUPE_ppa009106mg PE=4 SV=1</t>
  </si>
  <si>
    <t>Alpha-1,4 glucan phosphorylase OS=Prunus persica GN=PRUPE_ppa001354mg PE=3 SV=1</t>
  </si>
  <si>
    <t>Uncharacterized protein OS=Prunus persica GN=PRUPE_ppa006627mg PE=4 SV=1</t>
  </si>
  <si>
    <t>Uncharacterized protein OS=Prunus persica GN=PRUPE_ppa001237mg PE=4 SV=1</t>
  </si>
  <si>
    <t>Uncharacterized protein OS=Prunus persica GN=PRUPE_ppa026503mg PE=4 SV=1</t>
  </si>
  <si>
    <t>Ankyrin repeat family protein, putative isoform 3 OS=Theobroma cacao GN=TCM_018503 PE=4 SV=1</t>
  </si>
  <si>
    <t>Uncharacterized protein OS=Prunus persica GN=PRUPE_ppa005455mg PE=4 SV=1</t>
  </si>
  <si>
    <t>Uncharacterized protein OS=Prunus persica GN=PRUPE_ppa003756mg PE=3 SV=1</t>
  </si>
  <si>
    <t>Uncharacterized protein OS=Prunus persica GN=PRUPE_ppa006440mg PE=4 SV=1</t>
  </si>
  <si>
    <t>Uncharacterized protein OS=Prunus persica GN=PRUPE_ppa025672mg PE=4 SV=1</t>
  </si>
  <si>
    <t>Uncharacterized protein OS=Prunus persica GN=PRUPE_ppa026018mg PE=4 SV=1</t>
  </si>
  <si>
    <t>Uncharacterized protein OS=Prunus persica GN=PRUPE_ppa005433mg PE=4 SV=1</t>
  </si>
  <si>
    <t>Uncharacterized protein OS=Prunus persica GN=PRUPE_ppa010967mg PE=4 SV=1</t>
  </si>
  <si>
    <t>Uncharacterized protein OS=Prunus persica GN=PRUPE_ppa014020mg PE=4 SV=1</t>
  </si>
  <si>
    <t>Uncharacterized protein OS=Prunus persica GN=PRUPE_ppa019870mg PE=4 SV=1</t>
  </si>
  <si>
    <t>Uncharacterized protein OS=Prunus persica GN=PRUPE_ppa009010mg PE=4 SV=1</t>
  </si>
  <si>
    <t>Uncharacterized protein OS=Prunus persica GN=PRUPE_ppa001531mg PE=4 SV=1</t>
  </si>
  <si>
    <t>Putative uncharacterized protein OS=Vitis vinifera GN=VIT_03s0088g00630 PE=4 SV=1</t>
  </si>
  <si>
    <t>Uncharacterized protein OS=Prunus persica GN=PRUPE_ppa000710mg PE=4 SV=1</t>
  </si>
  <si>
    <t>Uncharacterized protein OS=Prunus persica GN=PRUPE_ppa006365mg PE=4 SV=1</t>
  </si>
  <si>
    <t>Putative uncharacterized protein OS=Vitis vinifera GN=VIT_14s0068g00250 PE=4 SV=1</t>
  </si>
  <si>
    <t>Uncharacterized protein (Fragment) OS=Prunus persica GN=PRUPE_ppa016943mg PE=4 SV=1</t>
  </si>
  <si>
    <t>Uncharacterized protein OS=Prunus persica GN=PRUPE_ppa005086mg PE=4 SV=1</t>
  </si>
  <si>
    <t>Putative uncharacterized protein OS=Vitis vinifera GN=VIT_12s0035g02030 PE=4 SV=1</t>
  </si>
  <si>
    <t>Uncharacterized protein OS=Prunus persica GN=PRUPE_ppa026189mg PE=4 SV=1</t>
  </si>
  <si>
    <t>Uncharacterized protein OS=Prunus persica GN=PRUPE_ppa021015mg PE=3 SV=1</t>
  </si>
  <si>
    <t>Uncharacterized protein OS=Prunus persica GN=PRUPE_ppa006028mg PE=4 SV=1</t>
  </si>
  <si>
    <t>Uncharacterized protein OS=Prunus persica GN=PRUPE_ppa011574mg PE=4 SV=1</t>
  </si>
  <si>
    <t>Uncharacterized protein (Fragment) OS=Prunus persica GN=PRUPE_ppa016630mg PE=4 SV=1</t>
  </si>
  <si>
    <t>Uncharacterized protein OS=Prunus persica GN=PRUPE_ppa002645mg PE=4 SV=1</t>
  </si>
  <si>
    <t>Uncharacterized protein OS=Prunus persica GN=PRUPE_ppa002564mg PE=4 SV=1</t>
  </si>
  <si>
    <t>Uncharacterized protein OS=Prunus persica GN=PRUPE_ppa027200mg PE=4 SV=1</t>
  </si>
  <si>
    <t>Uncharacterized protein OS=Prunus persica GN=PRUPE_ppa011134mg PE=3 SV=1</t>
  </si>
  <si>
    <t>Uncharacterized protein (Fragment) OS=Prunus persica GN=PRUPE_ppa000437m1g PE=4 SV=1</t>
  </si>
  <si>
    <t>Uncharacterized protein OS=Prunus persica GN=PRUPE_ppa002546mg PE=4 SV=1</t>
  </si>
  <si>
    <t>Uncharacterized protein OS=Prunus persica GN=PRUPE_ppa007390mg PE=4 SV=1</t>
  </si>
  <si>
    <t>Uncharacterized protein OS=Prunus persica GN=PRUPE_ppa005144mg PE=3 SV=1</t>
  </si>
  <si>
    <t>Uncharacterized protein OS=Prunus persica GN=PRUPE_ppa015634mg PE=4 SV=1</t>
  </si>
  <si>
    <t>Uncharacterized protein OS=Prunus persica GN=PRUPE_ppa013142mg PE=4 SV=1</t>
  </si>
  <si>
    <t>Uncharacterized protein OS=Prunus persica GN=PRUPE_ppa002205mg PE=4 SV=1</t>
  </si>
  <si>
    <t>Uncharacterized protein OS=Prunus persica GN=PRUPE_ppa013712mg PE=4 SV=1</t>
  </si>
  <si>
    <t>Uncharacterized protein (Fragment) OS=Prunus persica GN=PRUPE_ppa023176mg PE=4 SV=1</t>
  </si>
  <si>
    <t>Uncharacterized protein OS=Prunus persica GN=PRUPE_ppa013360mg PE=4 SV=1</t>
  </si>
  <si>
    <t>Uncharacterized protein (Fragment) OS=Prunus persica GN=PRUPE_ppa014673mg PE=4 SV=1</t>
  </si>
  <si>
    <t>Uncharacterized protein OS=Prunus persica GN=PRUPE_ppa004276mg PE=4 SV=1</t>
  </si>
  <si>
    <t>Uncharacterized protein OS=Prunus persica GN=PRUPE_ppa007172mg PE=4 SV=1</t>
  </si>
  <si>
    <t>Uncharacterized protein OS=Prunus persica GN=PRUPE_ppa011508mg PE=4 SV=1</t>
  </si>
  <si>
    <t>Uncharacterized protein OS=Prunus persica GN=PRUPE_ppa000950mg PE=3 SV=1</t>
  </si>
  <si>
    <t>Uncharacterized protein OS=Prunus persica GN=PRUPE_ppa000511mg PE=4 SV=1</t>
  </si>
  <si>
    <t>Uncharacterized protein OS=Prunus persica GN=PRUPE_ppa003284mg PE=4 SV=1</t>
  </si>
  <si>
    <t>Putative uncharacterized protein OS=Ricinus communis GN=RCOM_0797770 PE=4 SV=1</t>
  </si>
  <si>
    <t>Uncharacterized protein OS=Prunus persica GN=PRUPE_ppa021711mg PE=4 SV=1</t>
  </si>
  <si>
    <t>Uncharacterized protein OS=Prunus persica GN=PRUPE_ppa018387mg PE=4 SV=1</t>
  </si>
  <si>
    <t>Uncharacterized protein OS=Prunus persica GN=PRUPE_ppa010389mg PE=4 SV=1</t>
  </si>
  <si>
    <t>Uncharacterized protein OS=Prunus persica GN=PRUPE_ppa019318mg PE=4 SV=1</t>
  </si>
  <si>
    <t>Uncharacterized protein OS=Citrus sinensis GN=CISIN_1g038890mg PE=4 SV=1</t>
  </si>
  <si>
    <t>Uncharacterized protein OS=Prunus persica GN=PRUPE_ppa004448mg PE=4 SV=1</t>
  </si>
  <si>
    <t>Uncharacterized protein OS=Eutrema salsugineum GN=EUTSA_v10018601mg PE=3 SV=1</t>
  </si>
  <si>
    <t>Uncharacterized protein OS=Prunus persica GN=PRUPE_ppa007740mg PE=4 SV=1</t>
  </si>
  <si>
    <t>Uncharacterized protein OS=Prunus persica GN=PRUPE_ppa007008mg PE=4 SV=1</t>
  </si>
  <si>
    <t>Uncharacterized protein OS=Prunus persica GN=PRUPE_ppa003291mg PE=4 SV=1</t>
  </si>
  <si>
    <t>Uncharacterized protein OS=Prunus persica GN=PRUPE_ppa010432mg PE=4 SV=1</t>
  </si>
  <si>
    <t>Uncharacterized protein OS=Prunus persica GN=PRUPE_ppa004794mg PE=4 SV=1</t>
  </si>
  <si>
    <t>Uncharacterized protein (Fragment) OS=Prunus persica GN=PRUPE_ppa023311mg PE=4 SV=1</t>
  </si>
  <si>
    <t>Uncharacterized protein OS=Prunus persica GN=PRUPE_ppa006684mg PE=4 SV=1</t>
  </si>
  <si>
    <t>Magnesium chelatase H subunit OS=Prunus persica GN=CHLH PE=2 SV=1</t>
  </si>
  <si>
    <t>Uncharacterized protein OS=Prunus persica GN=PRUPE_ppa007281mg PE=4 SV=1</t>
  </si>
  <si>
    <t>Uncharacterized protein OS=Prunus persica GN=PRUPE_ppa001220mg PE=4 SV=1</t>
  </si>
  <si>
    <t>Uncharacterized protein OS=Prunus persica GN=PRUPE_ppa013348mg PE=4 SV=1</t>
  </si>
  <si>
    <t>Uncharacterized protein OS=Prunus persica GN=PRUPE_ppa021790mg PE=4 SV=1</t>
  </si>
  <si>
    <t>Uncharacterized protein OS=Prunus persica GN=PRUPE_ppa011369mg PE=3 SV=1</t>
  </si>
  <si>
    <t>Structural maintenance of chromosomes protein OS=Ricinus communis GN=RCOM_0573510 PE=3 SV=1</t>
  </si>
  <si>
    <t>Uncharacterized protein OS=Prunus persica GN=PRUPE_ppa009511mg PE=4 SV=1</t>
  </si>
  <si>
    <t>Uncharacterized protein OS=Prunus persica GN=PRUPE_ppa013604mg PE=4 SV=1</t>
  </si>
  <si>
    <t>Uncharacterized protein OS=Prunus persica GN=PRUPE_ppa005631mg PE=4 SV=1</t>
  </si>
  <si>
    <t>Uncharacterized protein OS=Prunus persica GN=PRUPE_ppa010956mg PE=4 SV=1</t>
  </si>
  <si>
    <t>Uncharacterized protein OS=Prunus persica GN=PRUPE_ppa001630mg PE=4 SV=1</t>
  </si>
  <si>
    <t>Uncharacterized protein OS=Prunus persica GN=PRUPE_ppa005486mg PE=4 SV=1</t>
  </si>
  <si>
    <t>Glutamate dehydrogenase OS=Prunus persica GN=PRUPE_ppa006442mg PE=3 SV=1</t>
  </si>
  <si>
    <t>Uncharacterized protein (Fragment) OS=Prunus persica GN=PRUPE_ppa022894mg PE=4 SV=1</t>
  </si>
  <si>
    <t>Uncharacterized protein OS=Prunus persica GN=PRUPE_ppa021568mg PE=4 SV=1</t>
  </si>
  <si>
    <t>Uncharacterized protein OS=Prunus persica GN=PRUPE_ppa010069mg PE=4 SV=1</t>
  </si>
  <si>
    <t>Histone H3 OS=Hordeum vulgare var. distichum PE=3 SV=1</t>
  </si>
  <si>
    <t>Uncharacterized protein OS=Prunus persica GN=PRUPE_ppb012245mg PE=3 SV=1</t>
  </si>
  <si>
    <t>Auxin-responsive protein OS=Prunus persica GN=PRUPE_ppa011843mg PE=3 SV=1</t>
  </si>
  <si>
    <t>Uncharacterized protein OS=Jatropha curcas GN=JCGZ_24892 PE=4 SV=1</t>
  </si>
  <si>
    <t>Uncharacterized protein OS=Prunus persica GN=PRUPE_ppa005268mg PE=4 SV=1</t>
  </si>
  <si>
    <t>Uncharacterized protein OS=Prunus persica GN=PRUPE_ppa007644mg PE=4 SV=1</t>
  </si>
  <si>
    <t>Uncharacterized protein OS=Prunus persica GN=PRUPE_ppa011627mg PE=4 SV=1</t>
  </si>
  <si>
    <t>Uncharacterized protein OS=Prunus persica GN=PRUPE_ppa009425mg PE=4 SV=1</t>
  </si>
  <si>
    <t>Uncharacterized protein OS=Prunus persica GN=PRUPE_ppa005297mg PE=4 SV=1</t>
  </si>
  <si>
    <t>Uncharacterized protein OS=Prunus persica GN=PRUPE_ppa007198mg PE=4 SV=1</t>
  </si>
  <si>
    <t>Uncharacterized protein OS=Prunus persica GN=PRUPE_ppa008243mg PE=4 SV=1</t>
  </si>
  <si>
    <t>Uncharacterized protein OS=Prunus persica GN=PRUPE_ppa019872mg PE=4 SV=1</t>
  </si>
  <si>
    <t>Uncharacterized protein OS=Prunus persica GN=PRUPE_ppa012990mg PE=4 SV=1</t>
  </si>
  <si>
    <t>Uncharacterized protein OS=Prunus persica GN=PRUPE_ppa003507mg PE=3 SV=1</t>
  </si>
  <si>
    <t>Uncharacterized protein OS=Prunus persica GN=PRUPE_ppa010901mg PE=4 SV=1</t>
  </si>
  <si>
    <t>Uncharacterized protein OS=Prunus persica GN=PRUPE_ppa026809mg PE=4 SV=1</t>
  </si>
  <si>
    <t>Uncharacterized protein OS=Prunus persica GN=PRUPE_ppa014643mg PE=4 SV=1</t>
  </si>
  <si>
    <t>Uncharacterized protein OS=Prunus persica GN=PRUPE_ppa009232mg PE=3 SV=1</t>
  </si>
  <si>
    <t>Uncharacterized protein OS=Prunus persica GN=PRUPE_ppa003553mg PE=4 SV=1</t>
  </si>
  <si>
    <t>Uncharacterized protein (Fragment) OS=Prunus persica GN=PRUPE_ppa018907mg PE=4 SV=1</t>
  </si>
  <si>
    <t>Uncharacterized protein (Fragment) OS=Prunus persica GN=PRUPE_ppa015874mg PE=4 SV=1</t>
  </si>
  <si>
    <t>Peptidyl-prolyl cis-trans isomerase OS=Prunus persica GN=PRUPE_ppa010146mg PE=3 SV=1</t>
  </si>
  <si>
    <t>Uncharacterized protein OS=Prunus persica GN=PRUPE_ppa023171mg PE=3 SV=1</t>
  </si>
  <si>
    <t>Uncharacterized protein OS=Prunus persica GN=PRUPE_ppa008045mg PE=4 SV=1</t>
  </si>
  <si>
    <t>Uncharacterized protein OS=Prunus persica GN=PRUPE_ppa001916mg PE=4 SV=1</t>
  </si>
  <si>
    <t>Uncharacterized protein OS=Prunus persica GN=PRUPE_ppa011550mg PE=4 SV=1</t>
  </si>
  <si>
    <t>Uncharacterized protein OS=Prunus persica GN=PRUPE_ppa006904mg PE=4 SV=1</t>
  </si>
  <si>
    <t>Uncharacterized protein OS=Prunus persica GN=PRUPE_ppa005116mg PE=4 SV=1</t>
  </si>
  <si>
    <t>Uncharacterized protein OS=Prunus persica GN=PRUPE_ppa003339mg PE=3 SV=1</t>
  </si>
  <si>
    <t>Patatin OS=Prunus persica GN=PRUPE_ppa019532mg PE=3 SV=1</t>
  </si>
  <si>
    <t>Uncharacterized protein OS=Prunus persica GN=PRUPE_ppa001339mg PE=4 SV=1</t>
  </si>
  <si>
    <t>Uncharacterized protein OS=Prunus persica GN=PRUPE_ppa002155mg PE=4 SV=1</t>
  </si>
  <si>
    <t>Uncharacterized protein OS=Prunus persica GN=PRUPE_ppa021502mg PE=4 SV=1</t>
  </si>
  <si>
    <t>Uncharacterized protein OS=Prunus persica GN=PRUPE_ppa008036mg PE=4 SV=1</t>
  </si>
  <si>
    <t>Uncharacterized protein OS=Prunus persica GN=PRUPE_ppa007412mg PE=4 SV=1</t>
  </si>
  <si>
    <t>S-acyltransferase OS=Prunus persica GN=PRUPE_ppa003909mg PE=3 SV=1</t>
  </si>
  <si>
    <t>Uncharacterized protein OS=Prunus persica GN=PRUPE_ppa003119mg PE=4 SV=1</t>
  </si>
  <si>
    <t>Uncharacterized protein OS=Prunus persica GN=PRUPE_ppa004202mg PE=3 SV=1</t>
  </si>
  <si>
    <t>Uncharacterized protein OS=Prunus persica GN=PRUPE_ppa011173mg PE=4 SV=1</t>
  </si>
  <si>
    <t>Uncharacterized protein OS=Prunus persica GN=PRUPE_ppa001577mg PE=3 SV=1</t>
  </si>
  <si>
    <t>Uncharacterized protein OS=Prunus persica GN=PRUPE_ppa008573mg PE=4 SV=1</t>
  </si>
  <si>
    <t>Uncharacterized protein OS=Prunus persica GN=PRUPE_ppa015063mg PE=3 SV=1</t>
  </si>
  <si>
    <t>Uncharacterized protein OS=Prunus persica GN=PRUPE_ppa010630mg PE=4 SV=1</t>
  </si>
  <si>
    <t>Putative uncharacterized protein p78RF OS=Prunus armeniaca GN=p78RF PE=2 SV=1</t>
  </si>
  <si>
    <t>Importin subunit alpha OS=Prunus persica GN=PRUPE_ppa004234mg PE=3 SV=1</t>
  </si>
  <si>
    <t>Pathogensis-related protein 1b OS=Prunus persica GN=PR1b PE=2 SV=1</t>
  </si>
  <si>
    <t>Uncharacterized protein OS=Prunus persica GN=PRUPE_ppa012263mg PE=4 SV=1</t>
  </si>
  <si>
    <t>Uncharacterized protein OS=Prunus persica GN=PRUPE_ppa004059mg PE=3 SV=1</t>
  </si>
  <si>
    <t>Uncharacterized protein OS=Prunus persica GN=PRUPE_ppa006021mg PE=4 SV=1</t>
  </si>
  <si>
    <t>Uncharacterized protein (Fragment) OS=Prunus persica GN=PRUPE_ppa014709mg PE=4 SV=1</t>
  </si>
  <si>
    <t>Uncharacterized protein OS=Prunus persica GN=PRUPE_ppa026425mg PE=4 SV=1</t>
  </si>
  <si>
    <t>Uncharacterized protein OS=Prunus persica GN=PRUPE_ppa003504mg PE=4 SV=1</t>
  </si>
  <si>
    <t>Uncharacterized protein (Fragment) OS=Prunus persica GN=PRUPE_ppa026065mg PE=4 SV=1</t>
  </si>
  <si>
    <t>Uncharacterized protein OS=Prunus persica GN=PRUPE_ppa023403mg PE=3 SV=1</t>
  </si>
  <si>
    <t>Isocitrate dehydrogenase [NADP] OS=Prunus persica GN=PRUPE_ppa006356mg PE=3 SV=1</t>
  </si>
  <si>
    <t>Uncharacterized protein (Fragment) OS=Prunus persica GN=PRUPE_ppa023532mg PE=4 SV=1</t>
  </si>
  <si>
    <t>Uncharacterized protein (Fragment) OS=Prunus persica GN=PRUPE_ppa020373mg PE=4 SV=1</t>
  </si>
  <si>
    <t>Uncharacterized protein OS=Citrus sinensis GN=CISIN_1g008173mg PE=4 SV=1</t>
  </si>
  <si>
    <t>Uncharacterized protein OS=Prunus persica GN=PRUPE_ppa025751mg PE=4 SV=1</t>
  </si>
  <si>
    <t>Uncharacterized protein OS=Prunus persica GN=PRUPE_ppa008029mg PE=4 SV=1</t>
  </si>
  <si>
    <t>Uncharacterized protein OS=Prunus persica GN=PRUPE_ppa013625mg PE=4 SV=1</t>
  </si>
  <si>
    <t>Uncharacterized protein OS=Prunus persica GN=PRUPE_ppa017721mg PE=4 SV=1</t>
  </si>
  <si>
    <t>Uncharacterized protein OS=Prunus persica GN=PRUPE_ppa005785mg PE=3 SV=1</t>
  </si>
  <si>
    <t>Uncharacterized protein OS=Prunus persica GN=PRUPE_ppa009203mg PE=4 SV=1</t>
  </si>
  <si>
    <t>Uncharacterized protein OS=Prunus persica GN=PRUPE_ppa013695mg PE=4 SV=1</t>
  </si>
  <si>
    <t>Serine/threonine-protein kinase OS=Prunus persica GN=PRUPE_ppa001791mg PE=3 SV=1</t>
  </si>
  <si>
    <t>Uncharacterized protein OS=Prunus persica GN=PRUPE_ppa012579mg PE=4 SV=1</t>
  </si>
  <si>
    <t>Uncharacterized protein OS=Prunus persica GN=PRUPE_ppa008977mg PE=4 SV=1</t>
  </si>
  <si>
    <t>Uncharacterized protein OS=Prunus persica GN=PRUPE_ppa013029mg PE=4 SV=1</t>
  </si>
  <si>
    <t>Uncharacterized protein OS=Prunus persica GN=PRUPE_ppa010061mg PE=3 SV=1</t>
  </si>
  <si>
    <t>Uncharacterized protein OS=Prunus persica GN=PRUPE_ppa010657mg PE=4 SV=1</t>
  </si>
  <si>
    <t>40S ribosomal protein S12 OS=Prunus persica GN=PRUPE_ppa012957mg PE=3 SV=1</t>
  </si>
  <si>
    <t>Uncharacterized protein OS=Prunus persica GN=PRUPE_ppa009277mg PE=4 SV=1</t>
  </si>
  <si>
    <t>Uncharacterized protein OS=Prunus persica GN=PRUPE_ppa003725mg PE=4 SV=1</t>
  </si>
  <si>
    <t>Uncharacterized protein OS=Prunus persica GN=PRUPE_ppa006272mg PE=4 SV=1</t>
  </si>
  <si>
    <t>Uncharacterized protein OS=Prunus persica GN=PRUPE_ppa000287mg PE=4 SV=1</t>
  </si>
  <si>
    <t>Uncharacterized protein (Fragment) OS=Prunus persica GN=PRUPE_ppa017678mg PE=4 SV=1</t>
  </si>
  <si>
    <t>Uncharacterized protein OS=Prunus persica GN=PRUPE_ppa023145mg PE=4 SV=1</t>
  </si>
  <si>
    <t>Uncharacterized protein OS=Prunus persica GN=PRUPE_ppa011800mg PE=4 SV=1</t>
  </si>
  <si>
    <t>Uncharacterized protein OS=Prunus persica GN=PRUPE_ppa015878mg PE=3 SV=1</t>
  </si>
  <si>
    <t>Uncharacterized protein OS=Prunus persica GN=PRUPE_ppa015752mg PE=4 SV=1</t>
  </si>
  <si>
    <t>Uncharacterized protein OS=Prunus persica GN=PRUPE_ppa011251mg PE=4 SV=1</t>
  </si>
  <si>
    <t>Uncharacterized protein OS=Prunus persica GN=PRUPE_ppa008512mg PE=4 SV=1</t>
  </si>
  <si>
    <t>tRNA pseudouridine synthase OS=Prunus persica GN=PRUPE_ppa006478mg PE=3 SV=1</t>
  </si>
  <si>
    <t>Uncharacterized protein OS=Prunus persica GN=PRUPE_ppa001313mg PE=4 SV=1</t>
  </si>
  <si>
    <t>Histone H4 OS=Capsella rubella GN=CARUB_v10018191mg PE=3 SV=1</t>
  </si>
  <si>
    <t>Uncharacterized protein OS=Prunus persica GN=PRUPE_ppa000906mg PE=3 SV=1</t>
  </si>
  <si>
    <t>Putative uncharacterized protein OS=Ricinus communis GN=RCOM_0338110 PE=4 SV=1</t>
  </si>
  <si>
    <t>Uncharacterized protein OS=Prunus persica GN=PRUPE_ppa018694mg PE=3 SV=1</t>
  </si>
  <si>
    <t>Uncharacterized protein OS=Prunus persica GN=PRUPE_ppa002789mg PE=4 SV=1</t>
  </si>
  <si>
    <t>Uncharacterized protein OS=Prunus persica GN=PRUPE_ppa005638mg PE=4 SV=1</t>
  </si>
  <si>
    <t>Uncharacterized protein OS=Prunus persica GN=PRUPE_ppa012104mg PE=4 SV=1</t>
  </si>
  <si>
    <t>Uncharacterized protein OS=Prunus persica GN=PRUPE_ppa007624mg PE=4 SV=1</t>
  </si>
  <si>
    <t>Uncharacterized protein OS=Prunus persica GN=PRUPE_ppa001857mg PE=4 SV=1</t>
  </si>
  <si>
    <t>Uncharacterized protein OS=Prunus persica GN=PRUPE_ppa010071mg PE=4 SV=1</t>
  </si>
  <si>
    <t>Uncharacterized protein OS=Prunus persica GN=PRUPE_ppa005499mg PE=4 SV=1</t>
  </si>
  <si>
    <t>Uncharacterized protein OS=Prunus persica GN=PRUPE_ppa021806mg PE=4 SV=1</t>
  </si>
  <si>
    <t>Uncharacterized protein OS=Prunus persica GN=PRUPE_ppa011931mg PE=4 SV=1</t>
  </si>
  <si>
    <t>Uncharacterized protein OS=Prunus persica GN=PRUPE_ppa001332mg PE=4 SV=1</t>
  </si>
  <si>
    <t>Kinesin-like protein OS=Prunus persica GN=PRUPE_ppa018128mg PE=3 SV=1</t>
  </si>
  <si>
    <t>Uncharacterized protein OS=Prunus persica GN=PRUPE_ppa010041mg PE=3 SV=1</t>
  </si>
  <si>
    <t>Uncharacterized protein OS=Prunus persica GN=PRUPE_ppa002257mg PE=4 SV=1</t>
  </si>
  <si>
    <t>Uncharacterized protein (Fragment) OS=Prunus persica GN=PRUPE_ppa021362mg PE=4 SV=1</t>
  </si>
  <si>
    <t>Phosphoglycerate kinase OS=Prunus persica GN=PRUPE_ppa003108mg PE=3 SV=1</t>
  </si>
  <si>
    <t>Uncharacterized protein OS=Prunus persica GN=PRUPE_ppa019948mg PE=4 SV=1</t>
  </si>
  <si>
    <t>Uncharacterized protein OS=Citrus clementina GN=CICLE_v10031118mg PE=4 SV=1</t>
  </si>
  <si>
    <t>Uncharacterized protein OS=Prunus persica GN=PRUPE_ppa018358mg PE=4 SV=1</t>
  </si>
  <si>
    <t>Uncharacterized protein OS=Prunus persica GN=PRUPE_ppa012749mg PE=4 SV=1</t>
  </si>
  <si>
    <t>DNA-directed RNA polymerase OS=Prunus persica GN=PRUPE_ppa000868mg PE=3 SV=1</t>
  </si>
  <si>
    <t>Uncharacterized protein OS=Prunus persica GN=PRUPE_ppa016545mg PE=3 SV=1</t>
  </si>
  <si>
    <t>Uncharacterized protein OS=Prunus persica GN=PRUPE_ppa016711mg PE=4 SV=1</t>
  </si>
  <si>
    <t>Uncharacterized protein OS=Prunus persica GN=PRUPE_ppa015786mg PE=4 SV=1</t>
  </si>
  <si>
    <t>DEAD/DEAH box RNA helicase family protein, putative isoform 1 OS=Theobroma cacao GN=TCM_036398 PE=4 SV=1</t>
  </si>
  <si>
    <t>Uncharacterized protein OS=Prunus persica GN=PRUPE_ppa019786mg PE=4 SV=1</t>
  </si>
  <si>
    <t>Uncharacterized protein OS=Prunus persica GN=PRUPE_ppa015325mg PE=4 SV=1</t>
  </si>
  <si>
    <t>Uncharacterized protein (Fragment) OS=Prunus persica GN=PRUPE_ppa1027218m2g PE=4 SV=1</t>
  </si>
  <si>
    <t>Uncharacterized protein OS=Prunus persica GN=PRUPE_ppa019529mg PE=4 SV=1</t>
  </si>
  <si>
    <t>Uncharacterized protein OS=Prunus persica GN=PRUPE_ppa020131mg PE=4 SV=1</t>
  </si>
  <si>
    <t>Uncharacterized protein OS=Prunus persica GN=PRUPE_ppa004343mg PE=3 SV=1</t>
  </si>
  <si>
    <t>Uncharacterized protein OS=Prunus persica GN=PRUPE_ppa014189mg PE=4 SV=1</t>
  </si>
  <si>
    <t>Uncharacterized protein (Fragment) OS=Prunus persica GN=PRUPE_ppa021591mg PE=4 SV=1</t>
  </si>
  <si>
    <t>Uncharacterized protein OS=Prunus persica GN=PRUPE_ppa003480mg PE=4 SV=1</t>
  </si>
  <si>
    <t>Uncharacterized protein OS=Prunus persica GN=PRUPE_ppa001925mg PE=4 SV=1</t>
  </si>
  <si>
    <t>Uncharacterized protein OS=Prunus persica GN=PRUPE_ppa001909mg PE=4 SV=1</t>
  </si>
  <si>
    <t>Uncharacterized protein OS=Prunus persica GN=PRUPE_ppa002755mg PE=4 SV=1</t>
  </si>
  <si>
    <t>Ribosomal protein L19 OS=Prunus persica GN=PRUPE_ppa011393mg PE=3 SV=1</t>
  </si>
  <si>
    <t>Uncharacterized protein OS=Prunus persica GN=PRUPE_ppa005060mg PE=3 SV=1</t>
  </si>
  <si>
    <t>Adenosylhomocysteinase OS=Prunus persica GN=PRUPE_ppa004934mg PE=3 SV=1</t>
  </si>
  <si>
    <t>Uncharacterized protein OS=Prunus persica GN=PRUPE_ppa007853mg PE=4 SV=1</t>
  </si>
  <si>
    <t>Fructose-bisphosphate aldolase OS=Prunus persica GN=PRUPE_ppa025195mg PE=3 SV=1</t>
  </si>
  <si>
    <t>Uncharacterized protein (Fragment) OS=Prunus persica GN=PRUPE_ppa016821mg PE=4 SV=1</t>
  </si>
  <si>
    <t>Uncharacterized protein OS=Prunus persica GN=PRUPE_ppa004401mg PE=4 SV=1</t>
  </si>
  <si>
    <t>Uncharacterized protein OS=Prunus persica GN=PRUPE_ppa003254mg PE=4 SV=1</t>
  </si>
  <si>
    <t>Uncharacterized protein OS=Prunus persica GN=PRUPE_ppa003774mg PE=4 SV=1</t>
  </si>
  <si>
    <t>Uncharacterized protein OS=Prunus persica GN=PRUPE_ppa016876mg PE=4 SV=1</t>
  </si>
  <si>
    <t>Uncharacterized protein OS=Prunus persica GN=PRUPE_ppa011124mg PE=4 SV=1</t>
  </si>
  <si>
    <t>Uncharacterized protein OS=Prunus persica GN=PRUPE_ppa006259mg PE=4 SV=1</t>
  </si>
  <si>
    <t>Uncharacterized protein OS=Prunus persica GN=PRUPE_ppa013742mg PE=4 SV=1</t>
  </si>
  <si>
    <t>Uncharacterized protein OS=Prunus persica GN=PRUPE_ppa007200mg PE=4 SV=1</t>
  </si>
  <si>
    <t>Tubby-like F-box protein OS=Prunus persica GN=PRUPE_ppa006177mg PE=3 SV=1</t>
  </si>
  <si>
    <t>Uncharacterized protein OS=Prunus persica GN=PRUPE_ppa001998mg PE=3 SV=1</t>
  </si>
  <si>
    <t>Uncharacterized protein (Fragment) OS=Prunus persica GN=PRUPE_ppa025246mg PE=4 SV=1</t>
  </si>
  <si>
    <t>Uncharacterized protein OS=Prunus persica GN=PRUPE_ppa001184mg PE=3 SV=1</t>
  </si>
  <si>
    <t>Uncharacterized protein OS=Prunus persica GN=PRUPE_ppa006439mg PE=4 SV=1</t>
  </si>
  <si>
    <t>Small nuclear ribonucleoprotein F OS=Prunus persica GN=PRUPE_ppa014017mg PE=3 SV=1</t>
  </si>
  <si>
    <t>Uncharacterized protein OS=Prunus persica GN=PRUPE_ppa006481mg PE=4 SV=1</t>
  </si>
  <si>
    <t>Uncharacterized protein OS=Morus notabilis GN=L484_017290 PE=4 SV=1</t>
  </si>
  <si>
    <t>Uncharacterized protein OS=Prunus persica GN=PRUPE_ppa009931mg PE=3 SV=1</t>
  </si>
  <si>
    <t>Uncharacterized protein OS=Prunus persica GN=PRUPE_ppa023077mg PE=4 SV=1</t>
  </si>
  <si>
    <t>Uncharacterized protein OS=Cecembia lonarensis LW9 GN=B879_04164 PE=4 SV=1</t>
  </si>
  <si>
    <t>Uncharacterized protein OS=Prunus persica GN=PRUPE_ppa006517mg PE=4 SV=1</t>
  </si>
  <si>
    <t>Ribonuclease z, chloroplast, putative OS=Ricinus communis GN=RCOM_0511120 PE=4 SV=1</t>
  </si>
  <si>
    <t>Uncharacterized protein OS=Prunus persica GN=PRUPE_ppa002515mg PE=4 SV=1</t>
  </si>
  <si>
    <t>Uncharacterized protein OS=Prunus persica GN=PRUPE_ppa012765mg PE=4 SV=1</t>
  </si>
  <si>
    <t>Uncharacterized protein OS=Prunus persica GN=PRUPE_ppa007865mg PE=3 SV=1</t>
  </si>
  <si>
    <t>Uncharacterized protein OS=Prunus persica GN=PRUPE_ppa011132mg PE=4 SV=1</t>
  </si>
  <si>
    <t>Uncharacterized protein OS=Prunus persica GN=PRUPE_ppa004615mg PE=3 SV=1</t>
  </si>
  <si>
    <t>Uncharacterized protein OS=Prunus persica GN=PRUPE_ppa010032mg PE=4 SV=1</t>
  </si>
  <si>
    <t>Purple acid phosphatase OS=Prunus persica GN=PRUPE_ppa005275mg PE=3 SV=1</t>
  </si>
  <si>
    <t>Uncharacterized protein OS=Prunus persica GN=PRUPE_ppa022484mg PE=4 SV=1</t>
  </si>
  <si>
    <t>Uncharacterized protein OS=Prunus persica GN=PRUPE_ppa014949mg PE=4 SV=1</t>
  </si>
  <si>
    <t>Uncharacterized protein (Fragment) OS=Prunus persica GN=PRUPE_ppa022175mg PE=4 SV=1</t>
  </si>
  <si>
    <t>Uncharacterized protein OS=Prunus persica GN=PRUPE_ppa020980mg PE=4 SV=1</t>
  </si>
  <si>
    <t>Histone H2A OS=Prunus persica GN=PRUPE_ppa013175mg PE=3 SV=1</t>
  </si>
  <si>
    <t>T-complex protein 1 subunit delta OS=Prunus persica GN=PRUPE_ppa004006mg PE=3 SV=1</t>
  </si>
  <si>
    <t>Uncharacterized protein OS=Prunus persica GN=PRUPE_ppa000874mg PE=4 SV=1</t>
  </si>
  <si>
    <t>Uncharacterized protein (Fragment) OS=Prunus persica GN=PRUPE_ppa019943mg PE=4 SV=1</t>
  </si>
  <si>
    <t>Uncharacterized protein OS=Prunus persica GN=PRUPE_ppa006538mg PE=4 SV=1</t>
  </si>
  <si>
    <t>CTP synthase OS=Prunus persica GN=PRUPE_ppa003314mg PE=3 SV=1</t>
  </si>
  <si>
    <t>Uncharacterized protein OS=Prunus persica GN=PRUPE_ppa024610mg PE=4 SV=1</t>
  </si>
  <si>
    <t>Uncharacterized protein OS=Prunus persica GN=PRUPE_ppa006511mg PE=3 SV=1</t>
  </si>
  <si>
    <t>Uncharacterized protein OS=Prunus persica GN=PRUPE_ppa001591mg PE=4 SV=1</t>
  </si>
  <si>
    <t>Putative uncharacterized protein OS=Vitis vinifera GN=VIT_07s0031g00800 PE=4 SV=1</t>
  </si>
  <si>
    <t>Uncharacterized protein OS=Prunus persica GN=PRUPE_ppa004224mg PE=4 SV=1</t>
  </si>
  <si>
    <t>Uncharacterized protein OS=Prunus persica GN=PRUPE_ppa003182mg PE=4 SV=1</t>
  </si>
  <si>
    <t>Uncharacterized protein OS=Prunus persica GN=PRUPE_ppa004553mg PE=3 SV=1</t>
  </si>
  <si>
    <t>Uncharacterized protein OS=Prunus persica GN=PRUPE_ppa020776mg PE=4 SV=1</t>
  </si>
  <si>
    <t>Histone H4 OS=Zea mays PE=2 SV=1</t>
  </si>
  <si>
    <t>Uncharacterized protein OS=Prunus persica GN=PRUPE_ppa010799mg PE=4 SV=1</t>
  </si>
  <si>
    <t>Uncharacterized protein OS=Prunus persica GN=PRUPE_ppa011384mg PE=4 SV=1</t>
  </si>
  <si>
    <t>Uncharacterized protein OS=Prunus persica GN=PRUPE_ppa000775mg PE=3 SV=1</t>
  </si>
  <si>
    <t>Uncharacterized protein OS=Prunus persica GN=PRUPE_ppa000679mg PE=4 SV=1</t>
  </si>
  <si>
    <t>Uncharacterized protein OS=Prunus persica GN=PRUPE_ppa006770mg PE=4 SV=1</t>
  </si>
  <si>
    <t>Uncharacterized protein OS=Prunus persica GN=PRUPE_ppa006005mg PE=4 SV=1</t>
  </si>
  <si>
    <t>Uncharacterized protein OS=Prunus persica GN=PRUPE_ppa020140mg PE=4 SV=1</t>
  </si>
  <si>
    <t>Uncharacterized protein OS=Prunus persica GN=PRUPE_ppa005238mg PE=4 SV=1</t>
  </si>
  <si>
    <t>Uncharacterized protein (Fragment) OS=Prunus persica GN=PRUPE_ppa019035mg PE=4 SV=1</t>
  </si>
  <si>
    <t>Uncharacterized protein OS=Prunus persica GN=PRUPE_ppa002805mg PE=4 SV=1</t>
  </si>
  <si>
    <t>Uncharacterized protein OS=Prunus persica GN=PRUPE_ppa009771mg PE=4 SV=1</t>
  </si>
  <si>
    <t>Uncharacterized protein OS=Prunus persica GN=PRUPE_ppa013032mg PE=4 SV=1</t>
  </si>
  <si>
    <t>Uncharacterized protein OS=Prunus persica GN=PRUPE_ppa021754mg PE=4 SV=1</t>
  </si>
  <si>
    <t>Uncharacterized protein OS=Prunus persica GN=PRUPE_ppa020445mg PE=4 SV=1</t>
  </si>
  <si>
    <t>Uncharacterized protein (Fragment) OS=Prunus persica GN=PRUPE_ppb017153mg PE=4 SV=1</t>
  </si>
  <si>
    <t>Uncharacterized protein OS=Prunus persica GN=PRUPE_ppa020983mg PE=4 SV=1</t>
  </si>
  <si>
    <t>Uncharacterized protein OS=Prunus persica GN=PRUPE_ppa011463mg PE=3 SV=1</t>
  </si>
  <si>
    <t>Uncharacterized protein (Fragment) OS=Prunus persica GN=PRUPE_ppa021902mg PE=4 SV=1</t>
  </si>
  <si>
    <t>Uncharacterized protein OS=Prunus persica GN=PRUPE_ppa011186mg PE=3 SV=1</t>
  </si>
  <si>
    <t>Uncharacterized protein OS=Prunus persica GN=PRUPE_ppa010388mg PE=4 SV=1</t>
  </si>
  <si>
    <t>Uncharacterized protein OS=Prunus persica GN=PRUPE_ppa020634mg PE=4 SV=1</t>
  </si>
  <si>
    <t>Uncharacterized protein OS=Prunus persica GN=PRUPE_ppa025013mg PE=4 SV=1</t>
  </si>
  <si>
    <t>Uncharacterized protein OS=Prunus persica GN=PRUPE_ppa002246mg PE=4 SV=1</t>
  </si>
  <si>
    <t>Uncharacterized protein OS=Prunus persica GN=PRUPE_ppa013534mg PE=4 SV=1</t>
  </si>
  <si>
    <t>Uncharacterized protein OS=Prunus persica GN=PRUPE_ppa004978mg PE=4 SV=1</t>
  </si>
  <si>
    <t>Uncharacterized protein OS=Prunus persica GN=PRUPE_ppa012771mg PE=4 SV=1</t>
  </si>
  <si>
    <t>Uncharacterized protein OS=Prunus persica GN=PRUPE_ppa023256mg PE=4 SV=1</t>
  </si>
  <si>
    <t>Uncharacterized protein OS=Prunus persica GN=PRUPE_ppa018036mg PE=4 SV=1</t>
  </si>
  <si>
    <t>Uncharacterized protein OS=Prunus persica GN=PRUPE_ppa015676mg PE=4 SV=1</t>
  </si>
  <si>
    <t>Uncharacterized protein OS=Prunus persica GN=PRUPE_ppa004762mg PE=4 SV=1</t>
  </si>
  <si>
    <t>Expansin OS=Prunus persica GN=PpExp3 PE=2 SV=1</t>
  </si>
  <si>
    <t>Uncharacterized protein OS=Prunus persica GN=PRUPE_ppa001424mg PE=4 SV=1</t>
  </si>
  <si>
    <t>DNA polymerase OS=Prunus persica GN=PRUPE_ppa000111mg PE=3 SV=1</t>
  </si>
  <si>
    <t>Uncharacterized protein OS=Prunus persica GN=PRUPE_ppa015098mg PE=4 SV=1</t>
  </si>
  <si>
    <t>Uncharacterized protein OS=Prunus persica GN=PRUPE_ppa006455mg PE=4 SV=1</t>
  </si>
  <si>
    <t>Uncharacterized protein OS=Prunus persica GN=PRUPE_ppa005564mg PE=4 SV=1</t>
  </si>
  <si>
    <t>Uncharacterized protein OS=Prunus persica GN=PRUPE_ppa019538mg PE=4 SV=1</t>
  </si>
  <si>
    <t>Uncharacterized protein OS=Prunus persica GN=PRUPE_ppa022539mg PE=4 SV=1</t>
  </si>
  <si>
    <t>Uncharacterized protein OS=Prunus persica GN=PRUPE_ppa007408mg PE=4 SV=1</t>
  </si>
  <si>
    <t>Uncharacterized protein OS=Morus notabilis GN=L484_012982 PE=4 SV=1</t>
  </si>
  <si>
    <t>Uncharacterized protein OS=Prunus persica GN=PRUPE_ppa010007mg PE=4 SV=1</t>
  </si>
  <si>
    <t>Uncharacterized protein OS=Eucalyptus grandis GN=EUGRSUZ_K03491 PE=4 SV=1</t>
  </si>
  <si>
    <t>Uncharacterized protein OS=Prunus persica GN=PRUPE_ppa000767mg PE=4 SV=1</t>
  </si>
  <si>
    <t>Uncharacterized protein OS=Prunus persica GN=PRUPE_ppa006284mg PE=4 SV=1</t>
  </si>
  <si>
    <t>UDP-glucose 6-dehydrogenase OS=Prunus persica GN=UGD PE=2 SV=1</t>
  </si>
  <si>
    <t>Putative high mobility group B protein 11 OS=Morus notabilis GN=L484_023658 PE=4 SV=1</t>
  </si>
  <si>
    <t>Uncharacterized protein OS=Prunus persica GN=PRUPE_ppa018734mg PE=4 SV=1</t>
  </si>
  <si>
    <t>Uncharacterized protein OS=Prunus persica GN=PRUPE_ppa000078mg PE=4 SV=1</t>
  </si>
  <si>
    <t>Uncharacterized protein OS=Prunus persica GN=PRUPE_ppa011068mg PE=4 SV=1</t>
  </si>
  <si>
    <t>Uncharacterized protein OS=Prunus persica GN=PRUPE_ppa009711mg PE=4 SV=1</t>
  </si>
  <si>
    <t>Uncharacterized protein OS=Prunus persica GN=PRUPE_ppa023830mg PE=4 SV=1</t>
  </si>
  <si>
    <t>Uncharacterized protein OS=Prunus persica GN=PRUPE_ppa007846mg PE=4 SV=1</t>
  </si>
  <si>
    <t>Uncharacterized protein OS=Prunus persica GN=PRUPE_ppa004294mg PE=4 SV=1</t>
  </si>
  <si>
    <t>Uncharacterized protein OS=Prunus persica GN=PRUPE_ppa001440mg PE=4 SV=1</t>
  </si>
  <si>
    <t>Calcium-dependent lipid-binding family protein OS=Arabidopsis thaliana GN=At1g48090 PE=4 SV=1</t>
  </si>
  <si>
    <t>Uncharacterized protein OS=Prunus persica GN=PRUPE_ppa000534mg PE=4 SV=1</t>
  </si>
  <si>
    <t>Uncharacterized protein OS=Prunus persica GN=PRUPE_ppa000417mg PE=4 SV=1</t>
  </si>
  <si>
    <t>Uncharacterized protein OS=Prunus persica GN=PRUPE_ppa002713mg PE=4 SV=1</t>
  </si>
  <si>
    <t>Uncharacterized protein OS=Prunus persica GN=PRUPE_ppa013610mg PE=4 SV=1</t>
  </si>
  <si>
    <t>Uncharacterized protein OS=Prunus persica GN=PRUPE_ppa008735mg PE=4 SV=1</t>
  </si>
  <si>
    <t>Uncharacterized protein OS=Prunus persica GN=PRUPE_ppa012390mg PE=4 SV=1</t>
  </si>
  <si>
    <t>Uncharacterized protein OS=Prunus persica GN=PRUPE_ppa010508mg PE=3 SV=1</t>
  </si>
  <si>
    <t>Uncharacterized protein OS=Prunus persica GN=PRUPE_ppa008010mg PE=4 SV=1</t>
  </si>
  <si>
    <t>Uncharacterized protein OS=Prunus persica GN=PRUPE_ppa012953mg PE=4 SV=1</t>
  </si>
  <si>
    <t>Uncharacterized protein OS=Prunus persica GN=PRUPE_ppa001026mg PE=4 SV=1</t>
  </si>
  <si>
    <t>Pentatricopeptide repeat-containing protein, putative OS=Ricinus communis GN=RCOM_1503120 PE=4 SV=1</t>
  </si>
  <si>
    <t>Uncharacterized protein OS=Prunus persica GN=PRUPE_ppa1027228mg PE=4 SV=1</t>
  </si>
  <si>
    <t>Uncharacterized protein OS=Prunus persica GN=PRUPE_ppa011337mg PE=3 SV=1</t>
  </si>
  <si>
    <t>Uncharacterized protein OS=Prunus persica GN=PRUPE_ppa008737mg PE=4 SV=1</t>
  </si>
  <si>
    <t>Uncharacterized protein OS=Prunus persica GN=PRUPE_ppa011226mg PE=3 SV=1</t>
  </si>
  <si>
    <t>Uncharacterized protein OS=Prunus persica GN=PRUPE_ppa008926mg PE=4 SV=1</t>
  </si>
  <si>
    <t>Uncharacterized protein OS=Prunus persica GN=PRUPE_ppa002475mg PE=4 SV=1</t>
  </si>
  <si>
    <t>Uncharacterized protein OS=Prunus persica GN=PRUPE_ppa011629mg PE=4 SV=1</t>
  </si>
  <si>
    <t>Uncharacterized protein (Fragment) OS=Prunus persica GN=PRUPE_ppa018696mg PE=4 SV=1</t>
  </si>
  <si>
    <t>Uncharacterized protein OS=Prunus persica GN=PRUPE_ppa010997mg PE=4 SV=1</t>
  </si>
  <si>
    <t>Uncharacterized protein (Fragment) OS=Prunus persica GN=PRUPE_ppa017552mg PE=4 SV=1</t>
  </si>
  <si>
    <t>Uncharacterized protein OS=Prunus persica GN=PRUPE_ppa027044mg PE=4 SV=1</t>
  </si>
  <si>
    <t>Uncharacterized protein OS=Prunus persica GN=PRUPE_ppa009733mg PE=4 SV=1</t>
  </si>
  <si>
    <t>Uncharacterized protein OS=Prunus persica GN=PRUPE_ppa002166mg PE=4 SV=1</t>
  </si>
  <si>
    <t>Uncharacterized protein OS=Prunus persica GN=PRUPE_ppa001251mg PE=4 SV=1</t>
  </si>
  <si>
    <t>Uncharacterized protein OS=Bionectria ochroleuca GN=BN869_000009128_1 PE=3 SV=1</t>
  </si>
  <si>
    <t>Uncharacterized protein OS=Prunus persica GN=PRUPE_ppa015522mg PE=4 SV=1</t>
  </si>
  <si>
    <t>Uncharacterized protein OS=Prunus persica GN=PRUPE_ppa009219mg PE=4 SV=1</t>
  </si>
  <si>
    <t>Uncharacterized protein OS=Prunus persica GN=PRUPE_ppa011013mg PE=4 SV=1</t>
  </si>
  <si>
    <t>Uncharacterized protein OS=Prunus persica GN=PRUPE_ppa011006mg PE=4 SV=1</t>
  </si>
  <si>
    <t>Uncharacterized protein OS=Prunus persica GN=PRUPE_ppa010652mg PE=4 SV=1</t>
  </si>
  <si>
    <t>Uncharacterized protein OS=Chelonia mydas GN=UY3_00022 PE=4 SV=1</t>
  </si>
  <si>
    <t>Uncharacterized protein OS=Prunus persica GN=PRUPE_ppa026680mg PE=4 SV=1</t>
  </si>
  <si>
    <t>Uncharacterized protein OS=Prunus persica GN=PRUPE_ppa017117mg PE=3 SV=1</t>
  </si>
  <si>
    <t>Uncharacterized protein OS=Prunus persica GN=PRUPE_ppa013247mg PE=4 SV=1</t>
  </si>
  <si>
    <t>Uncharacterized protein OS=Prunus persica GN=PRUPE_ppa001432mg PE=4 SV=1</t>
  </si>
  <si>
    <t>Uncharacterized protein OS=Prunus persica GN=PRUPE_ppa003068mg PE=4 SV=1</t>
  </si>
  <si>
    <t>Putative uncharacterized protein OS=Ricinus communis GN=RCOM_1496440 PE=4 SV=1</t>
  </si>
  <si>
    <t>Uncharacterized protein OS=Prunus persica GN=PRUPE_ppa001143mg PE=4 SV=1</t>
  </si>
  <si>
    <t>Putative uncharacterized protein OS=Ricinus communis GN=RCOM_0935900 PE=4 SV=1</t>
  </si>
  <si>
    <t>Uncharacterized protein (Fragment) OS=Prunus persica GN=PRUPE_ppa025482mg PE=4 SV=1</t>
  </si>
  <si>
    <t>Uncharacterized protein OS=Prunus persica GN=PRUPE_ppa003146mg PE=4 SV=1</t>
  </si>
  <si>
    <t>Uncharacterized protein OS=Prunus persica GN=PRUPE_ppa015008mg PE=4 SV=1</t>
  </si>
  <si>
    <t>Uncharacterized protein OS=Prunus persica GN=PRUPE_ppa008246mg PE=4 SV=1</t>
  </si>
  <si>
    <t>Glucose-1-phosphate adenylyltransferase OS=Prunus persica GN=PRUPE_ppa004192mg PE=3 SV=1</t>
  </si>
  <si>
    <t>Uncharacterized protein OS=Prunus persica GN=PRUPE_ppa012114mg PE=4 SV=1</t>
  </si>
  <si>
    <t>Glycylpeptide N-tetradecanoyltransferase OS=Prunus persica GN=PRUPE_ppa005983mg PE=3 SV=1</t>
  </si>
  <si>
    <t>Uncharacterized protein OS=Prunus persica GN=PRUPE_ppa000964mg PE=4 SV=1</t>
  </si>
  <si>
    <t>Uncharacterized protein OS=Prunus persica GN=PRUPE_ppa000939mg PE=3 SV=1</t>
  </si>
  <si>
    <t>Uncharacterized protein OS=Prunus persica GN=PRUPE_ppa023726mg PE=4 SV=1</t>
  </si>
  <si>
    <t>Purple acid phosphatase OS=Prunus persica GN=PRUPE_ppa003722mg PE=3 SV=1</t>
  </si>
  <si>
    <t>Uncharacterized protein OS=Prunus persica GN=PRUPE_ppa009183mg PE=3 SV=1</t>
  </si>
  <si>
    <t>Uncharacterized protein OS=Prunus persica GN=PRUPE_ppa003187mg PE=4 SV=1</t>
  </si>
  <si>
    <t>Uncharacterized protein OS=Prunus persica GN=PRUPE_ppa009125mg PE=4 SV=1</t>
  </si>
  <si>
    <t>Uncharacterized protein OS=Prunus persica GN=PRUPE_ppa000361mg PE=4 SV=1</t>
  </si>
  <si>
    <t>Uncharacterized protein OS=Prunus persica GN=PRUPE_ppa008613mg PE=4 SV=1</t>
  </si>
  <si>
    <t>Uncharacterized protein OS=Prunus persica GN=PRUPE_ppa003970mg PE=4 SV=1</t>
  </si>
  <si>
    <t>Uncharacterized protein OS=Prunus persica GN=PRUPE_ppa009287mg PE=4 SV=1</t>
  </si>
  <si>
    <t>Uncharacterized protein OS=Prunus persica GN=PRUPE_ppa004482mg PE=4 SV=1</t>
  </si>
  <si>
    <t>Uncharacterized protein OS=Prunus persica GN=PRUPE_ppa007304mg PE=4 SV=1</t>
  </si>
  <si>
    <t>Katanin p60 ATPase-containing subunit A1 OS=Prunus persica GN=KATNA1 PE=3 SV=1</t>
  </si>
  <si>
    <t>Uncharacterized protein OS=Prunus persica GN=PRUPE_ppa009490mg PE=4 SV=1</t>
  </si>
  <si>
    <t>Uncharacterized protein OS=Prunus persica GN=PRUPE_ppa009088mg PE=4 SV=1</t>
  </si>
  <si>
    <t>Uncharacterized protein OS=Prunus persica GN=PRUPE_ppa001115mg PE=4 SV=1</t>
  </si>
  <si>
    <t>Uncharacterized protein OS=Prunus persica GN=PRUPE_ppa010408mg PE=4 SV=1</t>
  </si>
  <si>
    <t>Uncharacterized protein OS=Prunus persica GN=PRUPE_ppa006928mg PE=4 SV=1</t>
  </si>
  <si>
    <t>MATE efflux family protein OS=Prunus persica GN=PRUPE_ppa004754mg PE=3 SV=1</t>
  </si>
  <si>
    <t>Peroxidase OS=Prunus persica GN=PRUPE_ppa015551mg PE=3 SV=1</t>
  </si>
  <si>
    <t>Uncharacterized protein OS=Prunus persica GN=PRUPE_ppa014021mg PE=4 SV=1</t>
  </si>
  <si>
    <t>Uncharacterized protein OS=Prunus persica GN=PRUPE_ppa000459mg PE=4 SV=1</t>
  </si>
  <si>
    <t>Proteasome subunit beta type OS=Prunus persica GN=PRUPE_ppa009921mg PE=3 SV=1</t>
  </si>
  <si>
    <t>Uncharacterized protein OS=Prunus persica GN=PRUPE_ppa008888mg PE=4 SV=1</t>
  </si>
  <si>
    <t>Uncharacterized protein OS=Prunus persica GN=PRUPE_ppa011918mg PE=3 SV=1</t>
  </si>
  <si>
    <t>Uncharacterized protein OS=Prunus persica GN=PRUPE_ppa023367mg PE=4 SV=1</t>
  </si>
  <si>
    <t>Uncharacterized protein OS=Prunus persica GN=PRUPE_ppa010676mg PE=4 SV=1</t>
  </si>
  <si>
    <t>Uncharacterized protein OS=Prunus persica GN=PRUPE_ppa007004mg PE=4 SV=1</t>
  </si>
  <si>
    <t>Uncharacterized protein OS=Prunus persica GN=PRUPE_ppa014076mg PE=4 SV=1</t>
  </si>
  <si>
    <t>Proteasome subunit alpha type OS=Prunus persica GN=PRUPE_ppa010411mg PE=3 SV=1</t>
  </si>
  <si>
    <t>Uncharacterized protein OS=Prunus persica GN=PRUPE_ppa001949mg PE=4 SV=1</t>
  </si>
  <si>
    <t>Uncharacterized protein OS=Prunus persica GN=PRUPE_ppa002743mg PE=4 SV=1</t>
  </si>
  <si>
    <t>Uncharacterized protein OS=Prunus persica GN=PRUPE_ppa005328mg PE=3 SV=1</t>
  </si>
  <si>
    <t>Uncharacterized protein OS=Prunus persica GN=PRUPE_ppa012012mg PE=4 SV=1</t>
  </si>
  <si>
    <t>Uncharacterized protein OS=Prunus persica GN=PRUPE_ppa003789mg PE=4 SV=1</t>
  </si>
  <si>
    <t>Uncharacterized protein OS=Prunus persica GN=PRUPE_ppa006778mg PE=4 SV=1</t>
  </si>
  <si>
    <t>Uncharacterized protein OS=Prunus persica GN=PRUPE_ppa024271mg PE=4 SV=1</t>
  </si>
  <si>
    <t>Uncharacterized protein OS=Prunus persica GN=PRUPE_ppa009499mg PE=4 SV=1</t>
  </si>
  <si>
    <t>Uncharacterized protein OS=Prunus persica GN=PRUPE_ppa011165mg PE=4 SV=1</t>
  </si>
  <si>
    <t>Uncharacterized protein OS=Prunus persica GN=PRUPE_ppa010373mg PE=4 SV=1</t>
  </si>
  <si>
    <t>Uncharacterized protein OS=Prunus persica GN=PRUPE_ppa025907mg PE=4 SV=1</t>
  </si>
  <si>
    <t>Uncharacterized protein OS=Prunus persica GN=PRUPE_ppa009461mg PE=4 SV=1</t>
  </si>
  <si>
    <t>Uncharacterized protein OS=Prunus persica GN=PRUPE_ppa002979mg PE=3 SV=1</t>
  </si>
  <si>
    <t>Uncharacterized protein OS=Prunus persica GN=PRUPE_ppa016299mg PE=4 SV=1</t>
  </si>
  <si>
    <t>Uncharacterized protein OS=Prunus persica GN=PRUPE_ppa005017mg PE=4 SV=1</t>
  </si>
  <si>
    <t>Uncharacterized protein OS=Prunus persica GN=PRUPE_ppa011260mg PE=3 SV=1</t>
  </si>
  <si>
    <t>Uncharacterized protein OS=Prunus persica GN=PRUPE_ppa000645mg PE=4 SV=1</t>
  </si>
  <si>
    <t>Uncharacterized protein OS=Prunus persica GN=PRUPE_ppa009411mg PE=4 SV=1</t>
  </si>
  <si>
    <t>Uncharacterized protein OS=Prunus persica GN=PRUPE_ppa005616mg PE=4 SV=1</t>
  </si>
  <si>
    <t>Uncharacterized protein OS=Prunus persica GN=PRUPE_ppa006562mg PE=4 SV=1</t>
  </si>
  <si>
    <t>Uncharacterized protein OS=Prunus persica GN=PRUPE_ppa011502mg PE=4 SV=1</t>
  </si>
  <si>
    <t>Uncharacterized protein OS=Prunus persica GN=PRUPE_ppa002024mg PE=4 SV=1</t>
  </si>
  <si>
    <t>Uncharacterized protein OS=Prunus persica GN=PRUPE_ppa020300mg PE=4 SV=1</t>
  </si>
  <si>
    <t>Uncharacterized protein OS=Populus trichocarpa GN=POPTR_0001s01920g PE=4 SV=2</t>
  </si>
  <si>
    <t>Uncharacterized protein OS=Prunus persica GN=PRUPE_ppa023273mg PE=4 SV=1</t>
  </si>
  <si>
    <t>Uncharacterized protein OS=Prunus persica GN=PRUPE_ppa005008mg PE=4 SV=1</t>
  </si>
  <si>
    <t>Uncharacterized protein OS=Prunus persica GN=PRUPE_ppa016304mg PE=4 SV=1</t>
  </si>
  <si>
    <t>Uncharacterized protein OS=Prunus persica GN=PRUPE_ppa012660mg PE=4 SV=1</t>
  </si>
  <si>
    <t>Uncharacterized protein OS=Prunus persica GN=PRUPE_ppa009400mg PE=4 SV=1</t>
  </si>
  <si>
    <t>Uncharacterized protein OS=Prunus persica GN=PRUPE_ppa003860mg PE=4 SV=1</t>
  </si>
  <si>
    <t>DNA ligase OS=Prunus persica GN=PRUPE_ppa001632mg PE=3 SV=1</t>
  </si>
  <si>
    <t>Uncharacterized protein OS=Prunus persica GN=PRUPE_ppa004386mg PE=4 SV=1</t>
  </si>
  <si>
    <t>Uncharacterized protein OS=Prunus persica GN=PRUPE_ppa002555mg PE=4 SV=1</t>
  </si>
  <si>
    <t>Uncharacterized protein (Fragment) OS=Prunus persica GN=PRUPE_ppa022763mg PE=4 SV=1</t>
  </si>
  <si>
    <t>Uncharacterized protein (Fragment) OS=Prunus persica GN=PRUPE_ppa027084mg PE=4 SV=1</t>
  </si>
  <si>
    <t>Uncharacterized protein OS=Prunus persica GN=PRUPE_ppa006400mg PE=4 SV=1</t>
  </si>
  <si>
    <t>Uncharacterized protein OS=Prunus persica GN=PRUPE_ppa003029mg PE=3 SV=1</t>
  </si>
  <si>
    <t>Uncharacterized protein OS=Prunus persica GN=PRUPE_ppa009995mg PE=4 SV=1</t>
  </si>
  <si>
    <t>Uncharacterized protein OS=Prunus persica GN=PRUPE_ppa005666mg PE=4 SV=1</t>
  </si>
  <si>
    <t>Uncharacterized protein OS=Prunus persica GN=PRUPE_ppa003470mg PE=4 SV=1</t>
  </si>
  <si>
    <t>Uncharacterized protein OS=Theobroma cacao GN=TCM_037877 PE=4 SV=1</t>
  </si>
  <si>
    <t>Uncharacterized protein OS=Prunus persica GN=PRUPE_ppa001111mg PE=4 SV=1</t>
  </si>
  <si>
    <t>Uncharacterized protein OS=Prunus persica GN=PRUPE_ppa001148mg PE=4 SV=1</t>
  </si>
  <si>
    <t>Uncharacterized protein OS=Prunus persica GN=PRUPE_ppa007439mg PE=4 SV=1</t>
  </si>
  <si>
    <t>Uncharacterized protein OS=Prunus persica GN=PRUPE_ppa006209mg PE=3 SV=1</t>
  </si>
  <si>
    <t>KNOPEM OS=Prunus persica GN=KNOPEM PE=2 SV=1</t>
  </si>
  <si>
    <t>Uncharacterized protein OS=Prunus persica GN=PRUPE_ppa011488mg PE=4 SV=1</t>
  </si>
  <si>
    <t>Uncharacterized protein OS=Prunus persica GN=PRUPE_ppa008426mg PE=4 SV=1</t>
  </si>
  <si>
    <t>Uncharacterized protein OS=Prunus persica GN=PRUPE_ppa014016mg PE=4 SV=1</t>
  </si>
  <si>
    <t>Uncharacterized protein OS=Prunus persica GN=PRUPE_ppa024411mg PE=4 SV=1</t>
  </si>
  <si>
    <t>Uncharacterized protein OS=Prunus persica GN=PRUPE_ppa006617mg PE=4 SV=1</t>
  </si>
  <si>
    <t>Uncharacterized protein OS=Prunus persica GN=PRUPE_ppa007749mg PE=3 SV=1</t>
  </si>
  <si>
    <t>Uncharacterized protein OS=Prunus persica GN=PRUPE_ppa011495mg PE=4 SV=1</t>
  </si>
  <si>
    <t>Uncharacterized protein OS=Medicago truncatula GN=MTR_0055s0030 PE=4 SV=1</t>
  </si>
  <si>
    <t>Uncharacterized protein OS=Prunus persica GN=PRUPE_ppa005736mg PE=4 SV=1</t>
  </si>
  <si>
    <t>Uncharacterized protein OS=Prunus persica GN=PRUPE_ppa021691mg PE=4 SV=1</t>
  </si>
  <si>
    <t>Peptidyl-prolyl cis-trans isomerase OS=Prunus persica GN=PRUPE_ppa010439mg PE=4 SV=1</t>
  </si>
  <si>
    <t>Uncharacterized protein OS=Prunus persica GN=PRUPE_ppa021102mg PE=4 SV=1</t>
  </si>
  <si>
    <t>Uncharacterized protein OS=Prunus persica GN=PRUPE_ppa025502mg PE=4 SV=1</t>
  </si>
  <si>
    <t>Uncharacterized protein OS=Prunus persica GN=PRUPE_ppa011445mg PE=4 SV=1</t>
  </si>
  <si>
    <t>Uncharacterized protein OS=Prunus persica GN=PRUPE_ppa015643mg PE=4 SV=1</t>
  </si>
  <si>
    <t>Glycosyltransferase OS=Prunus persica GN=UFGT PE=2 SV=1</t>
  </si>
  <si>
    <t>Uncharacterized protein OS=Prunus persica GN=PRUPE_ppa011170mg PE=4 SV=1</t>
  </si>
  <si>
    <t>Uncharacterized protein OS=Prunus persica GN=PRUPE_ppa003883mg PE=4 SV=1</t>
  </si>
  <si>
    <t>Uncharacterized protein OS=Prunus persica GN=PRUPE_ppa001862mg PE=4 SV=1</t>
  </si>
  <si>
    <t>Uncharacterized protein OS=Prunus persica GN=PRUPE_ppa006588mg PE=4 SV=1</t>
  </si>
  <si>
    <t>Phenylalanine ammonia-lyase OS=Prunus persica GN=PAL PE=2 SV=1</t>
  </si>
  <si>
    <t>Uncharacterized protein OS=Prunus persica GN=PRUPE_ppa016398mg PE=4 SV=1</t>
  </si>
  <si>
    <t>Copia-type polyprotein OS=Glycine max PE=4 SV=1</t>
  </si>
  <si>
    <t>Uncharacterized protein OS=Prunus persica GN=PRUPE_ppa013490mg PE=4 SV=1</t>
  </si>
  <si>
    <t>Uncharacterized protein OS=Prunus persica GN=PRUPE_ppa000368mg PE=4 SV=1</t>
  </si>
  <si>
    <t>Uncharacterized protein OS=Prunus persica GN=PRUPE_ppb009349mg PE=4 SV=1</t>
  </si>
  <si>
    <t>Uncharacterized protein OS=Prunus persica GN=PRUPE_ppa022479mg PE=4 SV=1</t>
  </si>
  <si>
    <t>Uncharacterized protein OS=Prunus persica GN=PRUPE_ppa003537mg PE=4 SV=1</t>
  </si>
  <si>
    <t>Glycosyltransferase OS=Prunus persica GN=PRUPE_ppa024612mg PE=3 SV=1</t>
  </si>
  <si>
    <t>Uncharacterized protein OS=Prunus persica GN=PRUPE_ppa004501mg PE=4 SV=1</t>
  </si>
  <si>
    <t>Ubiquitin carboxyl-terminal hydrolase OS=Prunus persica GN=PRUPE_ppa010780mg PE=3 SV=1</t>
  </si>
  <si>
    <t>Uncharacterized protein (Fragment) OS=Prunus persica GN=PRUPE_ppa026165mg PE=4 SV=1</t>
  </si>
  <si>
    <t>Uncharacterized protein OS=Prunus persica GN=PRUPE_ppa022530mg PE=4 SV=1</t>
  </si>
  <si>
    <t>Uncharacterized protein OS=Prunus persica GN=PRUPE_ppa004853mg PE=4 SV=1</t>
  </si>
  <si>
    <t>Uncharacterized protein OS=Prunus persica GN=PRUPE_ppa008396mg PE=3 SV=1</t>
  </si>
  <si>
    <t>Uncharacterized protein isoform 3 OS=Theobroma cacao GN=TCM_042817 PE=4 SV=1</t>
  </si>
  <si>
    <t>Uncharacterized protein OS=Prunus persica GN=PRUPE_ppa008063mg PE=4 SV=1</t>
  </si>
  <si>
    <t>SAGA-associated factor 11 OS=Prunus persica GN=PRUPE_ppa012190mg PE=3 SV=1</t>
  </si>
  <si>
    <t>Uncharacterized protein OS=Prunus persica GN=PRUPE_ppa010287mg PE=4 SV=1</t>
  </si>
  <si>
    <t>Uncharacterized protein OS=Prunus persica GN=PRUPE_ppa011909mg PE=4 SV=1</t>
  </si>
  <si>
    <t>Uncharacterized protein OS=Prunus persica GN=PRUPE_ppa000358mg PE=4 SV=1</t>
  </si>
  <si>
    <t>Uncharacterized protein OS=Prunus persica GN=PRUPE_ppa001204mg PE=4 SV=1</t>
  </si>
  <si>
    <t>Uncharacterized protein (Fragment) OS=Prunus persica GN=PRUPE_ppa025689mg PE=4 SV=1</t>
  </si>
  <si>
    <t>Uncharacterized protein OS=Prunus persica GN=PRUPE_ppa000898mg PE=4 SV=1</t>
  </si>
  <si>
    <t>Uncharacterized protein OS=Prunus persica GN=PRUPE_ppa016487mg PE=4 SV=1</t>
  </si>
  <si>
    <t>Uncharacterized protein OS=Prunus persica GN=PRUPE_ppa004640mg PE=4 SV=1</t>
  </si>
  <si>
    <t>Uncharacterized protein OS=Prunus persica GN=PRUPE_ppa008108mg PE=4 SV=1</t>
  </si>
  <si>
    <t>Uncharacterized protein OS=Prunus persica GN=PRUPE_ppa008996mg PE=4 SV=1</t>
  </si>
  <si>
    <t>Uncharacterized protein OS=Prunus persica GN=PRUPE_ppa007305mg PE=4 SV=1</t>
  </si>
  <si>
    <t>Uncharacterized protein OS=Prunus persica GN=PRUPE_ppa003641mg PE=4 SV=1</t>
  </si>
  <si>
    <t>Uncharacterized protein OS=Prunus persica GN=PRUPE_ppa000921mg PE=3 SV=1</t>
  </si>
  <si>
    <t>Ribosomal protein OS=Prunus persica GN=PRUPE_ppa011284mg PE=3 SV=1</t>
  </si>
  <si>
    <t>Uncharacterized protein OS=Prunus persica GN=PRUPE_ppa005387mg PE=4 SV=1</t>
  </si>
  <si>
    <t>Hexosyltransferase OS=Prunus persica GN=PRUPE_ppa007982mg PE=3 SV=1</t>
  </si>
  <si>
    <t>Uncharacterized protein OS=Prunus persica GN=PRUPE_ppa007763mg PE=4 SV=1</t>
  </si>
  <si>
    <t>Uncharacterized protein OS=Prunus persica GN=PRUPE_ppa017845mg PE=4 SV=1</t>
  </si>
  <si>
    <t>Uncharacterized protein OS=Prunus persica GN=PRUPE_ppa012922mg PE=4 SV=1</t>
  </si>
  <si>
    <t>Uncharacterized protein OS=Prunus persica GN=PRUPE_ppa015664mg PE=4 SV=1</t>
  </si>
  <si>
    <t>Uncharacterized protein (Fragment) OS=Prunus persica GN=PRUPE_ppa017132mg PE=4 SV=1</t>
  </si>
  <si>
    <t>RNA-binding protein 12B (Fragment) OS=Hydra vulgaris GN=RBM12B PE=2 SV=1</t>
  </si>
  <si>
    <t>Mitochondrial outer membrane porin OS=Aegilops tauschii GN=F775_28741 PE=4 SV=1</t>
  </si>
  <si>
    <t>Uncharacterized protein OS=Prunus persica GN=PRUPE_ppa000455mg PE=4 SV=1</t>
  </si>
  <si>
    <t>Uncharacterized protein OS=Prunus persica GN=PRUPE_ppa001238mg PE=4 SV=1</t>
  </si>
  <si>
    <t>Uncharacterized protein OS=Prunus persica GN=PRUPE_ppa004889mg PE=4 SV=1</t>
  </si>
  <si>
    <t>Uncharacterized protein OS=Prunus persica GN=PRUPE_ppa007076mg PE=4 SV=1</t>
  </si>
  <si>
    <t>Uncharacterized protein OS=Prunus persica GN=PRUPE_ppa001028mg PE=4 SV=1</t>
  </si>
  <si>
    <t>Potassium transporter OS=Prunus persica GN=PRUPE_ppa016701mg PE=3 SV=1</t>
  </si>
  <si>
    <t>Uncharacterized protein OS=Prunus persica GN=PRUPE_ppa001539mg PE=4 SV=1</t>
  </si>
  <si>
    <t>Uncharacterized protein OS=Prunus persica GN=PRUPE_ppa012143mg PE=4 SV=1</t>
  </si>
  <si>
    <t>Uncharacterized protein OS=Prunus persica GN=PRUPE_ppa008874mg PE=4 SV=1</t>
  </si>
  <si>
    <t>Uncharacterized protein OS=Prunus persica GN=PRUPE_ppa010662mg PE=4 SV=1</t>
  </si>
  <si>
    <t>Uncharacterized protein OS=Prunus persica GN=PRUPE_ppa1027132mg PE=4 SV=1</t>
  </si>
  <si>
    <t>MLO-like protein OS=Medicago truncatula GN=MLO PE=3 SV=2</t>
  </si>
  <si>
    <t>Ubiquitin carboxyl-terminal hydrolase family protein OS=Theobroma cacao GN=TCM_008927 PE=4 SV=1</t>
  </si>
  <si>
    <t>Uncharacterized protein OS=Prunus persica GN=PRUPE_ppa000896mg PE=3 SV=1</t>
  </si>
  <si>
    <t>Uncharacterized protein OS=Prunus persica GN=PRUPE_ppa024289mg PE=4 SV=1</t>
  </si>
  <si>
    <t>Uncharacterized protein (Fragment) OS=Prunus persica GN=PRUPE_ppa022324mg PE=4 SV=1</t>
  </si>
  <si>
    <t>Uncharacterized protein OS=Prunus persica GN=PRUPE_ppa003036mg PE=4 SV=1</t>
  </si>
  <si>
    <t>Uncharacterized protein (Fragment) OS=Prunus persica GN=PRUPE_ppa026749mg PE=4 SV=1</t>
  </si>
  <si>
    <t>Uncharacterized protein OS=Prunus persica GN=PRUPE_ppa021244mg PE=4 SV=1</t>
  </si>
  <si>
    <t>Uncharacterized protein OS=Prunus persica GN=PRUPE_ppa013486mg PE=4 SV=1</t>
  </si>
  <si>
    <t>S-acyltransferase OS=Prunus persica GN=PRUPE_ppa002053mg PE=3 SV=1</t>
  </si>
  <si>
    <t>Uncharacterized protein OS=Prunus persica GN=PRUPE_ppa006486mg PE=4 SV=1</t>
  </si>
  <si>
    <t>Uncharacterized protein OS=Prunus persica GN=PRUPE_ppa001677mg PE=4 SV=1</t>
  </si>
  <si>
    <t>Uncharacterized protein OS=Prunus persica GN=PRUPE_ppa015772mg PE=4 SV=1</t>
  </si>
  <si>
    <t>Uncharacterized protein OS=Prunus persica GN=PRUPE_ppa008696mg PE=4 SV=1</t>
  </si>
  <si>
    <t>Uncharacterized protein OS=Prunus persica GN=PRUPE_ppa013707mg PE=4 SV=1</t>
  </si>
  <si>
    <t>Uncharacterized protein OS=Prunus persica GN=PRUPE_ppa021206mg PE=4 SV=1</t>
  </si>
  <si>
    <t>Uncharacterized protein OS=Prunus persica GN=PRUPE_ppa003939mg PE=4 SV=1</t>
  </si>
  <si>
    <t>Uncharacterized protein OS=Prunus persica GN=PRUPE_ppa007410mg PE=4 SV=1</t>
  </si>
  <si>
    <t>Uncharacterized protein OS=Prunus persica GN=PRUPE_ppa009187mg PE=4 SV=1</t>
  </si>
  <si>
    <t>Uncharacterized protein OS=Prunus persica GN=PRUPE_ppa012244mg PE=4 SV=1</t>
  </si>
  <si>
    <t>Putative uncharacterized protein OS=Vitis vinifera GN=VIT_03s0063g00930 PE=4 SV=1</t>
  </si>
  <si>
    <t>Uncharacterized protein OS=Prunus persica GN=PRUPE_ppa003712mg PE=4 SV=1</t>
  </si>
  <si>
    <t>Glutamate receptor OS=Prunus persica GN=PRUPE_ppa001033mg PE=3 SV=1</t>
  </si>
  <si>
    <t>Putative uncharacterized protein OS=Vitis vinifera GN=VIT_06s0004g04460 PE=3 SV=1</t>
  </si>
  <si>
    <t>Xyloglucan endotransglucosylase/hydrolase OS=Prunus persica GN=PRUPE_ppa009090mg PE=3 SV=1</t>
  </si>
  <si>
    <t>Uncharacterized protein OS=Prunus persica GN=PRUPE_ppa003782mg PE=4 SV=1</t>
  </si>
  <si>
    <t>Uncharacterized protein OS=Prunus persica GN=PRUPE_ppa006081mg PE=3 SV=1</t>
  </si>
  <si>
    <t>Uncharacterized protein (Fragment) OS=Prunus persica GN=PRUPE_ppa016672mg PE=4 SV=1</t>
  </si>
  <si>
    <t>Succinate-semialdehyde dehydrogenase (Acetylating) OS=Morus notabilis GN=L484_013106 PE=4 SV=1</t>
  </si>
  <si>
    <t>Uncharacterized protein OS=Prunus persica GN=PRUPE_ppa025495mg PE=4 SV=1</t>
  </si>
  <si>
    <t>Uncharacterized protein OS=Prunus persica GN=PRUPE_ppa011515mg PE=4 SV=1</t>
  </si>
  <si>
    <t>Enhancer of polycomb-like protein OS=Prunus persica GN=PRUPE_ppa005548mg PE=3 SV=1</t>
  </si>
  <si>
    <t>Uncharacterized protein OS=Prunus persica GN=PRUPE_ppa026771mg PE=4 SV=1</t>
  </si>
  <si>
    <t>Uncharacterized protein OS=Prunus persica GN=PRUPE_ppa003906mg PE=4 SV=1</t>
  </si>
  <si>
    <t>Uncharacterized protein OS=Prunus persica GN=PRUPE_ppa011524mg PE=4 SV=1</t>
  </si>
  <si>
    <t>Uncharacterized protein OS=Prunus persica GN=PRUPE_ppa006423mg PE=4 SV=1</t>
  </si>
  <si>
    <t>Uncharacterized protein OS=Prunus persica GN=PRUPE_ppa008321mg PE=4 SV=1</t>
  </si>
  <si>
    <t>Major latex-like protein OS=Prunus persica GN=PRUPE_ppa012742mg PE=4 SV=1</t>
  </si>
  <si>
    <t>Uncharacterized protein OS=Prunus persica GN=PRUPE_ppa003971mg PE=4 SV=1</t>
  </si>
  <si>
    <t>Heat shock protein, putative OS=Ricinus communis GN=RCOM_1248100 PE=3 SV=1</t>
  </si>
  <si>
    <t>Uncharacterized protein OS=Prunus persica GN=PRUPE_ppa025190mg PE=4 SV=1</t>
  </si>
  <si>
    <t>Uncharacterized protein OS=Prunus persica GN=PRUPE_ppa003366mg PE=4 SV=1</t>
  </si>
  <si>
    <t>Uncharacterized protein OS=Prunus persica GN=PRUPE_ppa005331mg PE=4 SV=1</t>
  </si>
  <si>
    <t>Uncharacterized protein OS=Prunus persica GN=PRUPE_ppa010712mg PE=4 SV=1</t>
  </si>
  <si>
    <t>Uncharacterized protein OS=Prunus persica GN=PRUPE_ppa001319mg PE=4 SV=1</t>
  </si>
  <si>
    <t>Uncharacterized protein OS=Prunus persica GN=PRUPE_ppa016174mg PE=4 SV=1</t>
  </si>
  <si>
    <t>Uncharacterized protein (Fragment) OS=Prunus persica GN=PRUPE_ppa025017mg PE=4 SV=1</t>
  </si>
  <si>
    <t>Uncharacterized protein OS=Prunus persica GN=PRUPE_ppa010472mg PE=3 SV=1</t>
  </si>
  <si>
    <t>Uncharacterized protein OS=Prunus persica GN=PRUPE_ppa022234mg PE=4 SV=1</t>
  </si>
  <si>
    <t>Uncharacterized protein OS=Prunus persica GN=PRUPE_ppa007500mg PE=4 SV=1</t>
  </si>
  <si>
    <t>Uncharacterized protein OS=Prunus persica GN=PRUPE_ppa006101mg PE=4 SV=1</t>
  </si>
  <si>
    <t>Uncharacterized protein OS=Prunus persica GN=PRUPE_ppa004780mg PE=4 SV=1</t>
  </si>
  <si>
    <t>Uncharacterized protein OS=Prunus persica GN=PRUPE_ppa008899mg PE=4 SV=1</t>
  </si>
  <si>
    <t>Uncharacterized protein OS=Prunus persica GN=PRUPE_ppa005190mg PE=3 SV=1</t>
  </si>
  <si>
    <t>Uncharacterized protein OS=Prunus persica GN=PRUPE_ppa015633mg PE=4 SV=1</t>
  </si>
  <si>
    <t>Uncharacterized protein OS=Prunus persica GN=PRUPE_ppa020898mg PE=4 SV=1</t>
  </si>
  <si>
    <t>Uncharacterized protein OS=Prunus persica GN=PRUPE_ppa018687mg PE=3 SV=1</t>
  </si>
  <si>
    <t>Uncharacterized protein OS=Prunus persica GN=PRUPE_ppa019190mg PE=4 SV=1</t>
  </si>
  <si>
    <t>Uncharacterized protein OS=Prunus persica GN=PRUPE_ppa013719mg PE=4 SV=1</t>
  </si>
  <si>
    <t>Uncharacterized protein OS=Prunus persica GN=PRUPE_ppa017879mg PE=4 SV=1</t>
  </si>
  <si>
    <t>Uncharacterized protein OS=Prunus persica GN=PRUPE_ppa002693mg PE=3 SV=1</t>
  </si>
  <si>
    <t>Uncharacterized protein OS=Eucalyptus grandis GN=EUGRSUZ_C00675 PE=4 SV=1</t>
  </si>
  <si>
    <t>Uncharacterized protein (Fragment) OS=Prunus persica GN=PRUPE_ppa014978mg PE=4 SV=1</t>
  </si>
  <si>
    <t>Uncharacterized protein OS=Prunus persica GN=PRUPE_ppa026660mg PE=4 SV=1</t>
  </si>
  <si>
    <t>Uncharacterized protein OS=Prunus persica GN=PRUPE_ppa006547mg PE=4 SV=1</t>
  </si>
  <si>
    <t>Uncharacterized protein OS=Prunus persica GN=PRUPE_ppa013995mg PE=4 SV=1</t>
  </si>
  <si>
    <t>Uncharacterized protein OS=Citrus sinensis GN=CISIN_1g015046mg PE=4 SV=1</t>
  </si>
  <si>
    <t>Uncharacterized protein OS=Prunus persica GN=PRUPE_ppa022331mg PE=4 SV=1</t>
  </si>
  <si>
    <t>Uncharacterized protein OS=Prunus persica GN=PRUPE_ppa005621mg PE=3 SV=1</t>
  </si>
  <si>
    <t>Uncharacterized protein OS=Prunus persica GN=PRUPE_ppa012628mg PE=3 SV=1</t>
  </si>
  <si>
    <t>Uncharacterized protein (Fragment) OS=Prunus persica GN=PRUPE_ppb022557mg PE=4 SV=1</t>
  </si>
  <si>
    <t>Uncharacterized protein OS=Prunus persica GN=PRUPE_ppa016906mg PE=4 SV=1</t>
  </si>
  <si>
    <t>Multidrug resistance protein ABC transporter family OS=Theobroma cacao GN=TCM_042344 PE=3 SV=1</t>
  </si>
  <si>
    <t>Uncharacterized protein OS=Prunus persica GN=PRUPE_ppa007907mg PE=4 SV=1</t>
  </si>
  <si>
    <t>Uncharacterized protein OS=Prunus persica GN=PRUPE_ppa004132mg PE=3 SV=1</t>
  </si>
  <si>
    <t>Uncharacterized protein OS=Prunus persica GN=PRUPE_ppa001985mg PE=4 SV=1</t>
  </si>
  <si>
    <t>Uncharacterized protein OS=Eucalyptus grandis GN=EUGRSUZ_F04332 PE=4 SV=1</t>
  </si>
  <si>
    <t>Uncharacterized protein OS=Prunus persica GN=PRUPE_ppa019306mg PE=4 SV=1</t>
  </si>
  <si>
    <t>Uncharacterized protein OS=Prunus persica GN=PRUPE_ppa002438mg PE=3 SV=1</t>
  </si>
  <si>
    <t>Uncharacterized protein OS=Prunus persica GN=PRUPE_ppa012457mg PE=4 SV=1</t>
  </si>
  <si>
    <t>Uncharacterized protein OS=Prunus persica GN=PRUPE_ppa017970mg PE=4 SV=1</t>
  </si>
  <si>
    <t>Carboxypeptidase OS=Prunus persica GN=PRUPE_ppa004507mg PE=3 SV=1</t>
  </si>
  <si>
    <t>Uncharacterized protein OS=Prunus persica GN=PRUPE_ppa009083mg PE=3 SV=1</t>
  </si>
  <si>
    <t>Putative uncharacterized protein (Fragment) OS=Prunus persica PE=2 SV=1</t>
  </si>
  <si>
    <t>Uncharacterized protein (Fragment) OS=Prunus persica GN=PRUPE_ppa022240mg PE=4 SV=1</t>
  </si>
  <si>
    <t>Uncharacterized protein OS=Prunus persica GN=PRUPE_ppa004713mg PE=4 SV=1</t>
  </si>
  <si>
    <t>Uncharacterized protein OS=Prunus persica GN=PRUPE_ppa010713mg PE=4 SV=1</t>
  </si>
  <si>
    <t>Uncharacterized protein OS=Prunus persica GN=PRUPE_ppa015987mg PE=4 SV=1</t>
  </si>
  <si>
    <t>Uncharacterized protein OS=Prunus persica GN=PRUPE_ppa004452mg PE=4 SV=1</t>
  </si>
  <si>
    <t>Uncharacterized protein OS=Prunus persica GN=PRUPE_ppa005439mg PE=4 SV=1</t>
  </si>
  <si>
    <t>Uncharacterized protein OS=Prunus persica GN=PRUPE_ppa013839mg PE=4 SV=1</t>
  </si>
  <si>
    <t>Uncharacterized protein OS=Prunus persica GN=PRUPE_ppa003965mg PE=4 SV=1</t>
  </si>
  <si>
    <t>Uncharacterized protein OS=Prunus persica GN=PRUPE_ppa010879mg PE=4 SV=1</t>
  </si>
  <si>
    <t>Uncharacterized protein OS=Prunus persica GN=PRUPE_ppa011254mg PE=4 SV=1</t>
  </si>
  <si>
    <t>Uncharacterized protein OS=Prunus persica GN=PRUPE_ppa002388mg PE=4 SV=1</t>
  </si>
  <si>
    <t>Uncharacterized protein OS=Prunus persica GN=PRUPE_ppa000728mg PE=4 SV=1</t>
  </si>
  <si>
    <t>Uncharacterized protein OS=Prunus persica GN=PRUPE_ppa003972mg PE=4 SV=1</t>
  </si>
  <si>
    <t>Uncharacterized protein OS=Prunus persica GN=PRUPE_ppa001720mg PE=4 SV=1</t>
  </si>
  <si>
    <t>Uncharacterized protein OS=Prunus persica GN=PRUPE_ppa022855mg PE=4 SV=1</t>
  </si>
  <si>
    <t>Uncharacterized protein OS=Prunus persica GN=PRUPE_ppa012847mg PE=4 SV=1</t>
  </si>
  <si>
    <t>Uncharacterized protein OS=Prunus persica GN=PRUPE_ppa014283mg PE=4 SV=1</t>
  </si>
  <si>
    <t>Uncharacterized protein OS=Prunus persica GN=PRUPE_ppa004571mg PE=4 SV=1</t>
  </si>
  <si>
    <t>Uncharacterized protein (Fragment) OS=Prunus persica GN=PRUPE_ppb018112mg PE=3 SV=1</t>
  </si>
  <si>
    <t>Uncharacterized protein OS=Prunus persica GN=PRUPE_ppa003715mg PE=4 SV=1</t>
  </si>
  <si>
    <t>ORF2280 gene homolog (Fragment) OS=Nepenthes alata PE=4 SV=1</t>
  </si>
  <si>
    <t>Protein argonaute OS=Prunus persica GN=PRUPE_ppa000759mg PE=3 SV=1</t>
  </si>
  <si>
    <t>Auxin-responsive protein OS=Prunus persica GN=PRUPE_ppa010342mg PE=3 SV=1</t>
  </si>
  <si>
    <t>Uncharacterized protein OS=Prunus persica GN=PRUPE_ppa002083mg PE=3 SV=1</t>
  </si>
  <si>
    <t>Uncharacterized protein (Fragment) OS=Prunus persica GN=PRUPE_ppa014887mg PE=4 SV=1</t>
  </si>
  <si>
    <t>Uncharacterized protein OS=Prunus persica GN=PRUPE_ppb017672mg PE=4 SV=1</t>
  </si>
  <si>
    <t>Uncharacterized protein OS=Fusarium oxysporum f. sp. lycopersici (strain 4287 / CBS 123668 / FGSC 9935 / NRRL 34936) GN=FOXG_04308 PE=4 SV=1</t>
  </si>
  <si>
    <t>Uncharacterized protein (Fragment) OS=Prunus persica GN=PRUPE_ppa024630mg PE=3 SV=1</t>
  </si>
  <si>
    <t>Uncharacterized protein OS=Prunus persica GN=PRUPE_ppa012430mg PE=4 SV=1</t>
  </si>
  <si>
    <t>Uncharacterized protein OS=Morus notabilis GN=L484_015024 PE=4 SV=1</t>
  </si>
  <si>
    <t>Uncharacterized protein OS=Corethrella appendiculata PE=2 SV=1</t>
  </si>
  <si>
    <t>Uncharacterized protein OS=Prunus persica GN=PRUPE_ppa024429mg PE=4 SV=1</t>
  </si>
  <si>
    <t>Uncharacterized protein OS=Prunus persica GN=PRUPE_ppa009026mg PE=4 SV=1</t>
  </si>
  <si>
    <t>Uncharacterized protein OS=Prunus persica GN=PRUPE_ppa000652mg PE=4 SV=1</t>
  </si>
  <si>
    <t>Uncharacterized protein OS=Prunus persica GN=PRUPE_ppa003887mg PE=4 SV=1</t>
  </si>
  <si>
    <t>Uncharacterized protein OS=Prunus persica GN=PRUPE_ppa010959mg PE=4 SV=1</t>
  </si>
  <si>
    <t>Uncharacterized protein OS=Prunus persica GN=PRUPE_ppa006855mg PE=4 SV=1</t>
  </si>
  <si>
    <t>Uncharacterized protein OS=Prunus persica GN=PRUPE_ppa009958mg PE=3 SV=1</t>
  </si>
  <si>
    <t>Uncharacterized protein (Fragment) OS=Prunus persica GN=PRUPE_ppa024410mg PE=4 SV=1</t>
  </si>
  <si>
    <t>Uncharacterized protein OS=Prunus persica GN=PRUPE_ppa008127mg PE=3 SV=1</t>
  </si>
  <si>
    <t>Calcium-binding family protein OS=Populus trichocarpa GN=POPTR_0014s09720g PE=4 SV=1</t>
  </si>
  <si>
    <t>Uncharacterized protein OS=Morus notabilis GN=L484_022935 PE=4 SV=1</t>
  </si>
  <si>
    <t>Uncharacterized protein OS=Prunus persica GN=PRUPE_ppa001697mg PE=3 SV=1</t>
  </si>
  <si>
    <t>Uncharacterized protein OS=Prunus persica GN=PRUPE_ppa000181mg PE=4 SV=1</t>
  </si>
  <si>
    <t>Uncharacterized protein OS=Prunus persica GN=PRUPE_ppa022354mg PE=4 SV=1</t>
  </si>
  <si>
    <t>Uncharacterized protein OS=Prunus persica GN=PRUPE_ppa019406mg PE=4 SV=1</t>
  </si>
  <si>
    <t>Putative uncharacterized protein OS=Ricinus communis GN=RCOM_0689280 PE=4 SV=1</t>
  </si>
  <si>
    <t>Uncharacterized protein OS=Prunus persica GN=PRUPE_ppa012079mg PE=4 SV=1</t>
  </si>
  <si>
    <t>Uncharacterized protein OS=Prunus persica GN=PRUPE_ppa008018mg PE=3 SV=1</t>
  </si>
  <si>
    <t>Uncharacterized protein OS=Prunus persica GN=PRUPE_ppa004397mg PE=4 SV=1</t>
  </si>
  <si>
    <t>Uncharacterized protein OS=Prunus persica GN=PRUPE_ppa007163mg PE=4 SV=1</t>
  </si>
  <si>
    <t>Uncharacterized protein OS=Prunus persica GN=PRUPE_ppa004583mg PE=4 SV=1</t>
  </si>
  <si>
    <t>Uncharacterized protein (Fragment) OS=Prunus persica GN=PRUPE_ppa017812mg PE=4 SV=1</t>
  </si>
  <si>
    <t>Uncharacterized protein OS=Prunus persica GN=PRUPE_ppa010006mg PE=4 SV=1</t>
  </si>
  <si>
    <t>Uncharacterized protein OS=Prunus persica GN=PRUPE_ppa002030mg PE=4 SV=1</t>
  </si>
  <si>
    <t>Uncharacterized protein OS=Prunus persica GN=PRUPE_ppa022042mg PE=4 SV=1</t>
  </si>
  <si>
    <t>Uncharacterized protein OS=Prunus persica GN=PRUPE_ppa002046mg PE=4 SV=1</t>
  </si>
  <si>
    <t>Uncharacterized protein (Fragment) OS=Prunus persica GN=PRUPE_ppa021429mg PE=4 SV=1</t>
  </si>
  <si>
    <t>Uncharacterized protein OS=Prunus persica GN=PRUPE_ppa006379mg PE=4 SV=1</t>
  </si>
  <si>
    <t>Uncharacterized protein OS=Prunus persica GN=PRUPE_ppa001978mg PE=4 SV=1</t>
  </si>
  <si>
    <t>Uncharacterized protein OS=Prunus persica GN=PRUPE_ppa017323mg PE=4 SV=1</t>
  </si>
  <si>
    <t>3-ketoacyl-CoA synthase OS=Prunus persica GN=PRUPE_ppa003977mg PE=3 SV=1</t>
  </si>
  <si>
    <t>Uncharacterized protein (Fragment) OS=Prunus persica GN=PRUPE_ppa023785mg PE=4 SV=1</t>
  </si>
  <si>
    <t>Uncharacterized protein OS=Prunus persica GN=PRUPE_ppa022196mg PE=4 SV=1</t>
  </si>
  <si>
    <t>Uncharacterized protein OS=Prunus persica GN=PRUPE_ppa001617mg PE=4 SV=1</t>
  </si>
  <si>
    <t>Uncharacterized protein OS=Prunus persica GN=PRUPE_ppa015605mg PE=3 SV=1</t>
  </si>
  <si>
    <t>Uncharacterized protein OS=Prunus persica GN=PRUPE_ppa018129mg PE=4 SV=1</t>
  </si>
  <si>
    <t>Uncharacterized protein OS=Prunus persica GN=PRUPE_ppa000075mg PE=4 SV=1</t>
  </si>
  <si>
    <t>Uncharacterized protein OS=Prunus persica GN=PRUPE_ppa003759mg PE=4 SV=1</t>
  </si>
  <si>
    <t>Uncharacterized protein OS=Prunus persica GN=PRUPE_ppa002971mg PE=4 SV=1</t>
  </si>
  <si>
    <t>Uncharacterized protein OS=Prunus persica GN=PRUPE_ppa000737mg PE=4 SV=1</t>
  </si>
  <si>
    <t>Uncharacterized protein OS=Prunus persica GN=PRUPE_ppa003823mg PE=3 SV=1</t>
  </si>
  <si>
    <t>Uncharacterized protein OS=Prunus persica GN=PRUPE_ppa019640mg PE=4 SV=1</t>
  </si>
  <si>
    <t>Uncharacterized protein OS=Prunus persica GN=PRUPE_ppa009423mg PE=4 SV=1</t>
  </si>
  <si>
    <t>MADS-box transcription factor protein 1 OS=Camellia sinensis PE=2 SV=1</t>
  </si>
  <si>
    <t>Uncharacterized protein OS=Prunus persica GN=PRUPE_ppa015483mg PE=4 SV=1</t>
  </si>
  <si>
    <t>Uncharacterized protein OS=Prunus persica GN=PRUPE_ppa003134mg PE=4 SV=1</t>
  </si>
  <si>
    <t>Uncharacterized protein OS=Prunus persica GN=PRUPE_ppa005594mg PE=4 SV=1</t>
  </si>
  <si>
    <t>Glycosyltransferase OS=Prunus persica GN=PRUPE_ppa027159mg PE=3 SV=1</t>
  </si>
  <si>
    <t>Uncharacterized protein OS=Prunus persica GN=PRUPE_ppa023606mg PE=4 SV=1</t>
  </si>
  <si>
    <t>Uncharacterized protein OS=Prunus persica GN=PRUPE_ppa001289mg PE=3 SV=1</t>
  </si>
  <si>
    <t>Uncharacterized protein OS=Prunus persica GN=PRUPE_ppa003219mg PE=4 SV=1</t>
  </si>
  <si>
    <t>DNA primase OS=Prunus persica GN=PRUPE_ppa005529mg PE=3 SV=1</t>
  </si>
  <si>
    <t>Translation factor GUF1 homolog, chloroplastic OS=Prunus persica GN=PRUPE_ppa002477mg PE=3 SV=1</t>
  </si>
  <si>
    <t>Uncharacterized protein OS=Prunus persica GN=PRUPE_ppa014703mg PE=4 SV=1</t>
  </si>
  <si>
    <t>Uncharacterized protein OS=Prunus persica GN=PRUPE_ppa001330mg PE=4 SV=1</t>
  </si>
  <si>
    <t>Uncharacterized protein OS=Trichuris trichiura GN=TTRE_0000975601 PE=4 SV=1</t>
  </si>
  <si>
    <t>Uncharacterized protein OS=Prunus persica GN=PRUPE_ppa011675mg PE=3 SV=1</t>
  </si>
  <si>
    <t>Coffea canephora DH200=94 genomic scaffold, scaffold_323 OS=Coffea canephora GN=GSCOC_T00001034001 PE=4 SV=1</t>
  </si>
  <si>
    <t>Uncharacterized protein OS=Prunus persica GN=PRUPE_ppa012052mg PE=4 SV=1</t>
  </si>
  <si>
    <t>Uncharacterized protein OS=Prunus persica GN=PRUPE_ppa012211mg PE=4 SV=1</t>
  </si>
  <si>
    <t>Uncharacterized protein OS=Prunus persica GN=PRUPE_ppa013164mg PE=4 SV=1</t>
  </si>
  <si>
    <t>Uncharacterized protein OS=Prunus persica GN=PRUPE_ppa027176mg PE=4 SV=1</t>
  </si>
  <si>
    <t>Uncharacterized protein OS=Prunus persica GN=PRUPE_ppa025102mg PE=4 SV=1</t>
  </si>
  <si>
    <t>Cytochrome c oxidase subunit 3 OS=Vaccinium macrocarpon GN=cox3 PE=3 SV=1</t>
  </si>
  <si>
    <t>Uncharacterized protein OS=Prunus persica GN=PRUPE_ppa020728mg PE=4 SV=1</t>
  </si>
  <si>
    <t>Uncharacterized protein OS=Prunus persica GN=PRUPE_ppa019868mg PE=4 SV=1</t>
  </si>
  <si>
    <t>Uncharacterized protein (Fragment) OS=Prunus persica GN=PRUPE_ppa016404mg PE=4 SV=1</t>
  </si>
  <si>
    <t>Uncharacterized protein OS=Prunus persica GN=PRUPE_ppa003552mg PE=4 SV=1</t>
  </si>
  <si>
    <t>Uncharacterized protein OS=Prunus persica GN=PRUPE_ppa005158mg PE=4 SV=1</t>
  </si>
  <si>
    <t>Uncharacterized protein OS=Prunus persica GN=PRUPE_ppa019257mg PE=3 SV=1</t>
  </si>
  <si>
    <t>Uncharacterized protein OS=Prunus persica GN=PRUPE_ppa007285mg PE=3 SV=1</t>
  </si>
  <si>
    <t>CASP-like protein OS=Prunus persica GN=PRUPE_ppa012782mg PE=3 SV=1</t>
  </si>
  <si>
    <t>Uncharacterized protein OS=Prunus persica GN=PRUPE_ppa002868mg PE=4 SV=1</t>
  </si>
  <si>
    <t>Uncharacterized protein (Fragment) OS=Prunus persica GN=PRUPE_ppa021900mg PE=4 SV=1</t>
  </si>
  <si>
    <t>Uncharacterized protein OS=Prunus persica GN=PRUPE_ppa002828mg PE=4 SV=1</t>
  </si>
  <si>
    <t>Uncharacterized protein OS=Prunus persica GN=PRUPE_ppa004986mg PE=4 SV=1</t>
  </si>
  <si>
    <t>Uncharacterized protein OS=Prunus persica GN=PRUPE_ppa008319mg PE=4 SV=1</t>
  </si>
  <si>
    <t>Uncharacterized protein OS=Prunus persica GN=PRUPE_ppa001633mg PE=4 SV=1</t>
  </si>
  <si>
    <t>Uncharacterized protein OS=Prunus persica GN=PRUPE_ppa012000mg PE=4 SV=1</t>
  </si>
  <si>
    <t>Uncharacterized protein OS=Prunus persica GN=PRUPE_ppa009351mg PE=3 SV=1</t>
  </si>
  <si>
    <t>Uncharacterized protein OS=Prunus persica GN=PRUPE_ppa014734mg PE=4 SV=1</t>
  </si>
  <si>
    <t>Uncharacterized protein OS=Prunus persica GN=PRUPE_ppa001661mg PE=4 SV=1</t>
  </si>
  <si>
    <t>Uncharacterized protein OS=Prunus persica GN=PRUPE_ppa007214mg PE=3 SV=1</t>
  </si>
  <si>
    <t>Uncharacterized protein OS=Prunus persica GN=PRUPE_ppa000098mg PE=4 SV=1</t>
  </si>
  <si>
    <t>Uncharacterized protein OS=Prunus persica GN=PRUPE_ppa004873mg PE=4 SV=1</t>
  </si>
  <si>
    <t>Mitochondrial phosphatic carrier OS=Prunus persica GN=PiC PE=2 SV=1</t>
  </si>
  <si>
    <t>Uncharacterized protein OS=Prunus persica GN=PRUPE_ppa006963mg PE=4 SV=1</t>
  </si>
  <si>
    <t>Uncharacterized protein OS=Prunus persica GN=PRUPE_ppa006261mg PE=3 SV=1</t>
  </si>
  <si>
    <t>Uncharacterized protein OS=Prunus persica GN=PRUPE_ppa002671mg PE=4 SV=1</t>
  </si>
  <si>
    <t>Uncharacterized protein OS=Prunus persica GN=PRUPE_ppb024640mg PE=4 SV=1</t>
  </si>
  <si>
    <t>Uncharacterized protein OS=Prunus persica GN=PRUPE_ppa013564mg PE=4 SV=1</t>
  </si>
  <si>
    <t>Uncharacterized protein OS=Prunus persica GN=PRUPE_ppa011266mg PE=4 SV=1</t>
  </si>
  <si>
    <t>Uncharacterized protein OS=Prunus persica GN=PRUPE_ppb008326mg PE=4 SV=1</t>
  </si>
  <si>
    <t>Uncharacterized protein OS=Prunus persica GN=PRUPE_ppa020971mg PE=4 SV=1</t>
  </si>
  <si>
    <t>Uncharacterized protein OS=Prunus persica GN=PRUPE_ppa019779mg PE=4 SV=1</t>
  </si>
  <si>
    <t>Uncharacterized protein OS=Prunus persica GN=PRUPE_ppa011961mg PE=4 SV=1</t>
  </si>
  <si>
    <t>Potassium transporter OS=Prunus persica GN=KUP13 PE=2 SV=1</t>
  </si>
  <si>
    <t>Uncharacterized protein OS=Prunus persica GN=PRUPE_ppa019639mg PE=4 SV=1</t>
  </si>
  <si>
    <t>Uncharacterized protein (Fragment) OS=Prunus persica GN=PRUPE_ppa015025mg PE=4 SV=1</t>
  </si>
  <si>
    <t>Uncharacterized protein OS=Prunus persica GN=PRUPE_ppa001885mg PE=4 SV=1</t>
  </si>
  <si>
    <t>Uncharacterized protein OS=Prunus persica GN=PRUPE_ppa001356mg PE=4 SV=1</t>
  </si>
  <si>
    <t>Nitrate reductase OS=Prunus persica GN=PpNR1 PE=2 SV=1</t>
  </si>
  <si>
    <t>Uncharacterized protein OS=Prunus persica GN=PRUPE_ppa005204mg PE=4 SV=1</t>
  </si>
  <si>
    <t>Histone deacetylase OS=Prunus persica GN=PRUPE_ppa004697mg PE=3 SV=1</t>
  </si>
  <si>
    <t>Uncharacterized protein OS=Prunus persica GN=PRUPE_ppa025294mg PE=4 SV=1</t>
  </si>
  <si>
    <t>Uncharacterized protein OS=Prunus persica GN=PRUPE_ppa025103mg PE=4 SV=1</t>
  </si>
  <si>
    <t>Uncharacterized protein OS=Prunus persica GN=PRUPE_ppa009841mg PE=4 SV=1</t>
  </si>
  <si>
    <t>Uncharacterized protein OS=Prunus persica GN=PRUPE_ppb007262mg PE=3 SV=1</t>
  </si>
  <si>
    <t>Uncharacterized protein OS=Prunus persica GN=PRUPE_ppa000402mg PE=4 SV=1</t>
  </si>
  <si>
    <t>Uncharacterized protein OS=Prunus persica GN=PRUPE_ppa006180mg PE=4 SV=1</t>
  </si>
  <si>
    <t>Transcription and mRNA export factor SUS1 OS=Prunus persica GN=SUS1 PE=3 SV=1</t>
  </si>
  <si>
    <t>Uncharacterized protein OS=Prunus persica GN=PRUPE_ppa015095mg PE=4 SV=1</t>
  </si>
  <si>
    <t>Uncharacterized protein OS=Prunus persica GN=PRUPE_ppa005186mg PE=4 SV=1</t>
  </si>
  <si>
    <t>Uncharacterized protein OS=Jatropha curcas GN=JCGZ_02881 PE=3 SV=1</t>
  </si>
  <si>
    <t>Uncharacterized protein OS=Prunus persica GN=PRUPE_ppa026902mg PE=4 SV=1</t>
  </si>
  <si>
    <t>Uncharacterized protein OS=Prunus persica GN=PRUPE_ppa000770mg PE=4 SV=1</t>
  </si>
  <si>
    <t>Glutamate dehydrogenase OS=Prunus persica GN=PRUPE_ppa006458mg PE=3 SV=1</t>
  </si>
  <si>
    <t>Uncharacterized protein OS=Prunus persica GN=PRUPE_ppa010019mg PE=4 SV=1</t>
  </si>
  <si>
    <t>Uncharacterized protein OS=Prunus persica GN=PRUPE_ppa009629mg PE=4 SV=1</t>
  </si>
  <si>
    <t>Chloride channel protein OS=Cucumis sativus GN=ClCa PE=2 SV=1</t>
  </si>
  <si>
    <t>Uncharacterized protein OS=Prunus persica GN=PRUPE_ppa003768mg PE=4 SV=1</t>
  </si>
  <si>
    <t>Uncharacterized protein OS=Prunus persica GN=PRUPE_ppa008173mg PE=4 SV=1</t>
  </si>
  <si>
    <t>Uncharacterized protein OS=Prunus persica GN=PRUPE_ppa007995mg PE=4 SV=1</t>
  </si>
  <si>
    <t>Uncharacterized protein OS=Prunus persica GN=PRUPE_ppa002581mg PE=4 SV=1</t>
  </si>
  <si>
    <t>Uncharacterized protein OS=Prunus persica GN=PRUPE_ppa023789mg PE=4 SV=1</t>
  </si>
  <si>
    <t>Uncharacterized protein OS=Prunus persica GN=PRUPE_ppa010795mg PE=4 SV=1</t>
  </si>
  <si>
    <t>Uncharacterized protein OS=Prunus persica GN=PRUPE_ppa011167mg PE=4 SV=1</t>
  </si>
  <si>
    <t>Uncharacterized protein OS=Prunus persica GN=PRUPE_ppa002137mg PE=3 SV=1</t>
  </si>
  <si>
    <t>Uncharacterized protein OS=Prunus persica GN=PRUPE_ppa013684mg PE=4 SV=1</t>
  </si>
  <si>
    <t>Uncharacterized protein OS=Prunus persica GN=PRUPE_ppa007808mg PE=4 SV=1</t>
  </si>
  <si>
    <t>Putative uncharacterized protein OS=Populus trichocarpa PE=2 SV=1</t>
  </si>
  <si>
    <t>Uncharacterized protein (Fragment) OS=Prunus persica GN=PRUPE_ppa015283mg PE=4 SV=1</t>
  </si>
  <si>
    <t>Uncharacterized protein OS=Prunus persica GN=PRUPE_ppa012233mg PE=4 SV=1</t>
  </si>
  <si>
    <t>Uncharacterized protein OS=Prunus persica GN=PRUPE_ppa005767mg PE=4 SV=1</t>
  </si>
  <si>
    <t>Uncharacterized protein OS=Prunus persica GN=PRUPE_ppa011311mg PE=3 SV=1</t>
  </si>
  <si>
    <t>Uncharacterized protein OS=Prunus persica GN=PRUPE_ppa020955mg PE=3 SV=1</t>
  </si>
  <si>
    <t>Uncharacterized protein OS=Prunus persica GN=PRUPE_ppa010198mg PE=3 SV=1</t>
  </si>
  <si>
    <t>Uncharacterized protein OS=Prunus persica GN=PRUPE_ppa013577mg PE=4 SV=1</t>
  </si>
  <si>
    <t>Uncharacterized protein OS=Prunus persica GN=PRUPE_ppa004638mg PE=4 SV=1</t>
  </si>
  <si>
    <t>Uncharacterized protein OS=Prunus persica GN=PRUPE_ppa004933mg PE=3 SV=1</t>
  </si>
  <si>
    <t>Uncharacterized protein OS=Prunus persica GN=PRUPE_ppa024780mg PE=4 SV=1</t>
  </si>
  <si>
    <t>Uncharacterized protein OS=Prunus persica GN=PRUPE_ppa008979mg PE=4 SV=1</t>
  </si>
  <si>
    <t>Uncharacterized protein OS=Prunus persica GN=PRUPE_ppa025163mg PE=4 SV=1</t>
  </si>
  <si>
    <t>Uncharacterized protein (Fragment) OS=Prunus persica GN=PRUPE_ppa018221mg PE=4 SV=1</t>
  </si>
  <si>
    <t>Uncharacterized protein OS=Prunus persica GN=PRUPE_ppa006313mg PE=4 SV=1</t>
  </si>
  <si>
    <t>Uncharacterized protein OS=Prunus persica GN=PRUPE_ppa011030mg PE=4 SV=1</t>
  </si>
  <si>
    <t>Alpha-amylase OS=Prunus persica GN=PRUPE_ppa006160mg PE=3 SV=1</t>
  </si>
  <si>
    <t>Uncharacterized protein OS=Prunus persica GN=PRUPE_ppa001824mg PE=4 SV=1</t>
  </si>
  <si>
    <t>Uncharacterized protein OS=Prunus persica GN=PRUPE_ppa026670mg PE=4 SV=1</t>
  </si>
  <si>
    <t>Uncharacterized protein OS=Prunus persica GN=PRUPE_ppa008077mg PE=4 SV=1</t>
  </si>
  <si>
    <t>Uncharacterized protein OS=Prunus persica GN=PRUPE_ppa026972mg PE=4 SV=1</t>
  </si>
  <si>
    <t>Uncharacterized protein OS=Prunus persica GN=PRUPE_ppa012621mg PE=4 SV=1</t>
  </si>
  <si>
    <t>Uncharacterized protein OS=Prunus persica GN=PRUPE_ppa004250mg PE=4 SV=1</t>
  </si>
  <si>
    <t>Uncharacterized protein OS=Prunus persica GN=PRUPE_ppa001602mg PE=4 SV=1</t>
  </si>
  <si>
    <t>Uncharacterized protein OS=Prunus persica GN=PRUPE_ppb012387mg PE=4 SV=1</t>
  </si>
  <si>
    <t>Uncharacterized protein OS=Prunus persica GN=PRUPE_ppa021822mg PE=3 SV=1</t>
  </si>
  <si>
    <t>Uncharacterized protein OS=Prunus persica GN=PRUPE_ppa004247mg PE=4 SV=1</t>
  </si>
  <si>
    <t>Uncharacterized protein OS=Prunus persica GN=PRUPE_ppa001753mg PE=4 SV=1</t>
  </si>
  <si>
    <t>Uncharacterized protein OS=Prunus persica GN=PRUPE_ppa003040mg PE=4 SV=1</t>
  </si>
  <si>
    <t>Uncharacterized protein OS=Prunus persica GN=PRUPE_ppa019053mg PE=4 SV=1</t>
  </si>
  <si>
    <t>Uncharacterized protein OS=Prunus persica GN=PRUPE_ppa012986mg PE=4 SV=1</t>
  </si>
  <si>
    <t>Uncharacterized protein OS=Prunus persica GN=PRUPE_ppa006656mg PE=4 SV=1</t>
  </si>
  <si>
    <t>Uncharacterized protein OS=Prunus persica GN=PRUPE_ppa002029mg PE=4 SV=1</t>
  </si>
  <si>
    <t>Uncharacterized protein OS=Prunus persica GN=PRUPE_ppa002315mg PE=4 SV=1</t>
  </si>
  <si>
    <t>Uncharacterized protein OS=Prunus persica GN=PRUPE_ppa012557mg PE=4 SV=1</t>
  </si>
  <si>
    <t>Uncharacterized protein OS=Prunus persica GN=PRUPE_ppa000787mg PE=3 SV=1</t>
  </si>
  <si>
    <t>Uncharacterized protein OS=Prunus persica GN=PRUPE_ppa001835mg PE=4 SV=1</t>
  </si>
  <si>
    <t>Uncharacterized protein (Fragment) OS=Prunus persica GN=PRUPE_ppb020505mg PE=4 SV=1</t>
  </si>
  <si>
    <t>Uncharacterized protein OS=Prunus persica GN=PRUPE_ppa000188mg PE=4 SV=1</t>
  </si>
  <si>
    <t>Uncharacterized protein OS=Gossypium raimondii GN=B456_013G080300 PE=4 SV=1</t>
  </si>
  <si>
    <t>Uncharacterized protein OS=Prunus persica GN=PRUPE_ppa010759mg PE=4 SV=1</t>
  </si>
  <si>
    <t>Uncharacterized protein OS=Prunus persica GN=PRUPE_ppa000040mg PE=4 SV=1</t>
  </si>
  <si>
    <t>Aspartate aminotransferase OS=Prunus persica GN=PRUPE_ppa005576mg PE=3 SV=1</t>
  </si>
  <si>
    <t>Uncharacterized protein OS=Prunus persica GN=PRUPE_ppa009278mg PE=4 SV=1</t>
  </si>
  <si>
    <t>Uncharacterized protein OS=Prunus persica GN=PRUPE_ppa009262mg PE=4 SV=1</t>
  </si>
  <si>
    <t>Uncharacterized protein OS=Prunus persica GN=PRUPE_ppa006628mg PE=3 SV=1</t>
  </si>
  <si>
    <t>Uncharacterized protein OS=Prunus persica GN=PRUPE_ppa007918mg PE=3 SV=1</t>
  </si>
  <si>
    <t>CASP-like protein OS=Prunus persica GN=PRUPE_ppa019827mg PE=3 SV=1</t>
  </si>
  <si>
    <t>Uncharacterized protein OS=Prunus persica GN=PRUPE_ppa013846mg PE=4 SV=1</t>
  </si>
  <si>
    <t>ATP-dependent clp protease ATP-binding subunit clpx, putative OS=Ricinus communis GN=RCOM_0868210 PE=4 SV=1</t>
  </si>
  <si>
    <t>Uncharacterized protein OS=Prunus persica GN=PRUPE_ppa006933mg PE=3 SV=1</t>
  </si>
  <si>
    <t>Uncharacterized protein OS=Prunus persica GN=PRUPE_ppa000375mg PE=4 SV=1</t>
  </si>
  <si>
    <t>Uncharacterized protein (Fragment) OS=Prunus persica GN=PRUPE_ppa017679mg PE=4 SV=1</t>
  </si>
  <si>
    <t>Uncharacterized protein (Fragment) OS=Prunus persica GN=PRUPE_ppa027046mg PE=4 SV=1</t>
  </si>
  <si>
    <t>Uncharacterized protein OS=Prunus persica GN=PRUPE_ppa000340mg PE=3 SV=1</t>
  </si>
  <si>
    <t>Uncharacterized protein OS=Prunus persica GN=PRUPE_ppa005141mg PE=3 SV=1</t>
  </si>
  <si>
    <t>Uncharacterized protein OS=Prunus persica GN=PRUPE_ppa022610mg PE=4 SV=1</t>
  </si>
  <si>
    <t>Uncharacterized protein OS=Prunus persica GN=PRUPE_ppa011446mg PE=4 SV=1</t>
  </si>
  <si>
    <t>Uncharacterized protein OS=Prunus persica GN=PRUPE_ppa018717mg PE=4 SV=1</t>
  </si>
  <si>
    <t>Epoxide hydrolase 2 OS=Prunus persica GN=eh2 PE=2 SV=1</t>
  </si>
  <si>
    <t>Uncharacterized protein OS=Prunus persica GN=PRUPE_ppa011992mg PE=4 SV=1</t>
  </si>
  <si>
    <t>Uncharacterized protein OS=Prunus persica GN=PRUPE_ppa000077mg PE=4 SV=1</t>
  </si>
  <si>
    <t>Serine/threonine-protein kinase OS=Morus notabilis GN=L484_004490 PE=3 SV=1</t>
  </si>
  <si>
    <t>Uncharacterized protein OS=Prunus persica GN=PRUPE_ppa020972mg PE=4 SV=1</t>
  </si>
  <si>
    <t>Uncharacterized protein OS=Prunus persica GN=PRUPE_ppa011026mg PE=3 SV=1</t>
  </si>
  <si>
    <t>Uncharacterized protein OS=Prunus persica GN=PRUPE_ppa008000mg PE=4 SV=1</t>
  </si>
  <si>
    <t>Uncharacterized protein OS=Prunus persica GN=PRUPE_ppa012963mg PE=4 SV=1</t>
  </si>
  <si>
    <t>Uncharacterized protein OS=Prunus persica GN=PRUPE_ppa019758mg PE=4 SV=1</t>
  </si>
  <si>
    <t>Uncharacterized protein OS=Prunus persica GN=PRUPE_ppa006683mg PE=4 SV=1</t>
  </si>
  <si>
    <t>Uncharacterized protein OS=Prunus persica GN=PRUPE_ppa006759mg PE=4 SV=1</t>
  </si>
  <si>
    <t>Uncharacterized protein OS=Prunus persica GN=PRUPE_ppa020813mg PE=4 SV=1</t>
  </si>
  <si>
    <t>Uncharacterized protein (Fragment) OS=Prunus persica GN=PRUPE_ppa021761m1g PE=4 SV=1</t>
  </si>
  <si>
    <t>Uncharacterized protein OS=Prunus persica GN=PRUPE_ppa012279mg PE=4 SV=1</t>
  </si>
  <si>
    <t>Uncharacterized protein OS=Prunus persica GN=PRUPE_ppa008153mg PE=4 SV=1</t>
  </si>
  <si>
    <t>Uncharacterized protein OS=Prunus persica GN=PRUPE_ppa001821mg PE=4 SV=1</t>
  </si>
  <si>
    <t>Uncharacterized protein OS=Prunus persica GN=PRUPE_ppa013135mg PE=4 SV=1</t>
  </si>
  <si>
    <t>Uncharacterized protein OS=Prunus persica GN=PRUPE_ppa003866mg PE=4 SV=1</t>
  </si>
  <si>
    <t>Uncharacterized protein OS=Prunus persica GN=PRUPE_ppa022026mg PE=4 SV=1</t>
  </si>
  <si>
    <t>Galacturonic acid kinase isoform 2 OS=Theobroma cacao GN=TCM_039576 PE=3 SV=1</t>
  </si>
  <si>
    <t>Uncharacterized protein OS=Prunus persica GN=PRUPE_ppa006764mg PE=4 SV=1</t>
  </si>
  <si>
    <t>Uncharacterized protein OS=Prunus persica GN=PRUPE_ppa004403mg PE=4 SV=1</t>
  </si>
  <si>
    <t>Uncharacterized protein (Fragment) OS=Prunus persica GN=PRUPE_ppa004155m2g PE=3 SV=1</t>
  </si>
  <si>
    <t>Methyltransferase OS=Prunus persica GN=PRUPE_ppa008084mg PE=3 SV=1</t>
  </si>
  <si>
    <t>Uncharacterized protein OS=Prunus persica GN=PRUPE_ppa012645mg PE=4 SV=1</t>
  </si>
  <si>
    <t>Uncharacterized protein (Fragment) OS=Prunus persica GN=PRUPE_ppa020932mg PE=4 SV=1</t>
  </si>
  <si>
    <t>Uncharacterized protein OS=Prunus persica GN=PRUPE_ppa004807mg PE=4 SV=1</t>
  </si>
  <si>
    <t>Uncharacterized protein OS=Prunus persica GN=PRUPE_ppa003053mg PE=4 SV=1</t>
  </si>
  <si>
    <t>Uncharacterized protein OS=Prunus persica GN=PRUPE_ppa007111mg PE=4 SV=1</t>
  </si>
  <si>
    <t>Uncharacterized protein OS=Populus trichocarpa GN=POPTR_0013s11020g PE=4 SV=1</t>
  </si>
  <si>
    <t>Uncharacterized protein OS=Prunus persica GN=PRUPE_ppa008620mg PE=3 SV=1</t>
  </si>
  <si>
    <t>Uncharacterized protein OS=Prunus persica GN=PRUPE_ppa003383mg PE=4 SV=1</t>
  </si>
  <si>
    <t>Uncharacterized protein OS=Prunus persica GN=PRUPE_ppa005182mg PE=4 SV=1</t>
  </si>
  <si>
    <t>Uncharacterized protein OS=Prunus persica GN=PRUPE_ppa004456mg PE=3 SV=1</t>
  </si>
  <si>
    <t>Uncharacterized protein OS=Prunus persica GN=PRUPE_ppa007049mg PE=4 SV=1</t>
  </si>
  <si>
    <t>Uncharacterized protein OS=Prunus persica GN=PRUPE_ppa001659mg PE=4 SV=1</t>
  </si>
  <si>
    <t>Uncharacterized protein OS=Prunus persica GN=PRUPE_ppa009009mg PE=4 SV=1</t>
  </si>
  <si>
    <t>Uncharacterized protein OS=Prunus persica GN=PRUPE_ppa009924mg PE=4 SV=1</t>
  </si>
  <si>
    <t>Uncharacterized protein OS=Prunus persica GN=PRUPE_ppa003520mg PE=4 SV=1</t>
  </si>
  <si>
    <t>Uncharacterized protein (Fragment) OS=Prunus persica GN=PRUPE_ppa020316mg PE=4 SV=1</t>
  </si>
  <si>
    <t>Endoglucanase (Fragment) OS=Prunus persica GN=PRUPE_ppa025159mg PE=3 SV=1</t>
  </si>
  <si>
    <t>Uncharacterized protein (Fragment) OS=Prunus persica GN=PRUPE_ppa026631mg PE=4 SV=1</t>
  </si>
  <si>
    <t>Uncharacterized protein OS=Gossypium raimondii GN=B456_011G268500 PE=4 SV=1</t>
  </si>
  <si>
    <t>Uncharacterized protein OS=Prunus persica GN=PRUPE_ppa000933mg PE=4 SV=1</t>
  </si>
  <si>
    <t>Uncharacterized protein OS=Prunus persica GN=PRUPE_ppa005050mg PE=4 SV=1</t>
  </si>
  <si>
    <t>Uncharacterized protein OS=Prunus persica GN=PRUPE_ppa009241mg PE=4 SV=1</t>
  </si>
  <si>
    <t>Uncharacterized protein OS=Prunus persica GN=PRUPE_ppa003263mg PE=4 SV=1</t>
  </si>
  <si>
    <t>Uncharacterized protein OS=Prunus persica GN=PRUPE_ppa026732mg PE=3 SV=1</t>
  </si>
  <si>
    <t>Uncharacterized protein OS=Prunus persica GN=PRUPE_ppa016605mg PE=4 SV=1</t>
  </si>
  <si>
    <t>Uncharacterized protein OS=Prunus persica GN=PRUPE_ppa006528mg PE=4 SV=1</t>
  </si>
  <si>
    <t>Predicted protein OS=Nectria haematococca (strain 77-13-4 / ATCC MYA-4622 / FGSC 9596 / MPVI) GN=NECHADRAFT_67101 PE=4 SV=1</t>
  </si>
  <si>
    <t>Uncharacterized protein (Fragment) OS=Prunus persica GN=PRUPE_ppa023770mg PE=4 SV=1</t>
  </si>
  <si>
    <t>Uncharacterized protein OS=Prunus persica GN=PRUPE_ppa004052mg PE=4 SV=1</t>
  </si>
  <si>
    <t>Uncharacterized protein OS=Prunus persica GN=PRUPE_ppa002709mg PE=4 SV=1</t>
  </si>
  <si>
    <t>Uncharacterized protein (Fragment) OS=Prunus persica GN=PRUPE_ppa025474mg PE=4 SV=1</t>
  </si>
  <si>
    <t>Uncharacterized protein OS=Prunus persica GN=PRUPE_ppa025240mg PE=4 SV=1</t>
  </si>
  <si>
    <t>Uncharacterized protein OS=Prunus persica GN=PRUPE_ppa002497mg PE=4 SV=1</t>
  </si>
  <si>
    <t>Uncharacterized protein OS=Prunus persica GN=PRUPE_ppa008430mg PE=4 SV=1</t>
  </si>
  <si>
    <t>Uncharacterized protein OS=Prunus persica GN=PRUPE_ppa006643mg PE=4 SV=1</t>
  </si>
  <si>
    <t>Ribosomal protein L19 OS=Citrus sinensis GN=CISIN_1g028783mg PE=3 SV=1</t>
  </si>
  <si>
    <t>Uncharacterized protein (Fragment) OS=Prunus persica GN=PRUPE_ppa025539mg PE=4 SV=1</t>
  </si>
  <si>
    <t>Uncharacterized protein OS=Prunus persica GN=PRUPE_ppa021332mg PE=3 SV=1</t>
  </si>
  <si>
    <t>Uncharacterized protein OS=Prunus persica GN=PRUPE_ppa006205mg PE=4 SV=1</t>
  </si>
  <si>
    <t>Uncharacterized protein OS=Prunus persica GN=PRUPE_ppa017118mg PE=3 SV=1</t>
  </si>
  <si>
    <t>Uncharacterized protein (Fragment) OS=Prunus persica GN=PRUPE_ppa024785mg PE=4 SV=1</t>
  </si>
  <si>
    <t>Uncharacterized protein OS=Prunus persica GN=PRUPE_ppa012945mg PE=3 SV=1</t>
  </si>
  <si>
    <t>Uncharacterized protein OS=Prunus persica GN=PRUPE_ppa007135mg PE=3 SV=1</t>
  </si>
  <si>
    <t>Uncharacterized protein OS=Prunus persica GN=PRUPE_ppa017709mg PE=4 SV=1</t>
  </si>
  <si>
    <t>Uncharacterized protein OS=Prunus persica GN=PRUPE_ppa003097mg PE=4 SV=1</t>
  </si>
  <si>
    <t>Uncharacterized protein OS=Citrus sinensis GN=CISIN_1g048575mg PE=4 SV=1</t>
  </si>
  <si>
    <t>Uncharacterized protein OS=Prunus persica GN=PRUPE_ppa013495mg PE=4 SV=1</t>
  </si>
  <si>
    <t>Uncharacterized protein OS=Prunus persica GN=PRUPE_ppa008427mg PE=4 SV=1</t>
  </si>
  <si>
    <t>Uncharacterized protein OS=Prunus persica GN=PRUPE_ppa016746mg PE=4 SV=1</t>
  </si>
  <si>
    <t>Uncharacterized protein OS=Prunus persica GN=PRUPE_ppa1027209mg PE=3 SV=1</t>
  </si>
  <si>
    <t>MATE efflux family protein OS=Prunus persica GN=PRUPE_ppa004837mg PE=3 SV=1</t>
  </si>
  <si>
    <t>Uncharacterized protein OS=Prunus persica GN=PRUPE_ppa022931mg PE=4 SV=1</t>
  </si>
  <si>
    <t>Uncharacterized protein OS=Prunus persica GN=PRUPE_ppa007885mg PE=4 SV=1</t>
  </si>
  <si>
    <t>Tabersonine 16-O-methyltransferase OS=Morus notabilis GN=L484_015040 PE=4 SV=1</t>
  </si>
  <si>
    <t>Uncharacterized protein OS=Prunus persica GN=PRUPE_ppa011208mg PE=4 SV=1</t>
  </si>
  <si>
    <t>Uncharacterized protein OS=Prunus persica GN=PRUPE_ppa003954mg PE=4 SV=1</t>
  </si>
  <si>
    <t>Uncharacterized protein OS=Prunus persica GN=PRUPE_ppa003865mg PE=4 SV=1</t>
  </si>
  <si>
    <t>Uncharacterized protein OS=Prunus persica GN=PRUPE_ppa000050mg PE=4 SV=1</t>
  </si>
  <si>
    <t>Uncharacterized protein OS=Prunus persica GN=PRUPE_ppa013752mg PE=4 SV=1</t>
  </si>
  <si>
    <t>Uncharacterized protein OS=Prunus persica GN=PRUPE_ppa000462mg PE=4 SV=1</t>
  </si>
  <si>
    <t>Uncharacterized protein (Fragment) OS=Prunus persica GN=PRUPE_ppa027029mg PE=4 SV=1</t>
  </si>
  <si>
    <t>Uncharacterized protein OS=Prunus persica GN=PRUPE_ppa011552mg PE=3 SV=1</t>
  </si>
  <si>
    <t>Uncharacterized protein OS=Prunus persica GN=PRUPE_ppa003655mg PE=4 SV=1</t>
  </si>
  <si>
    <t>Uncharacterized protein OS=Prunus persica GN=PRUPE_ppa004048mg PE=4 SV=1</t>
  </si>
  <si>
    <t>Uncharacterized protein OS=Prunus persica GN=PRUPE_ppa005634mg PE=4 SV=1</t>
  </si>
  <si>
    <t>Uncharacterized protein (Fragment) OS=Prunus persica GN=PRUPE_ppa026879mg PE=3 SV=1</t>
  </si>
  <si>
    <t>Uncharacterized protein OS=Prunus persica GN=PRUPE_ppa005391mg PE=3 SV=1</t>
  </si>
  <si>
    <t>Uncharacterized protein (Fragment) OS=Prunus persica GN=PRUPE_ppa024396mg PE=4 SV=1</t>
  </si>
  <si>
    <t>Uncharacterized protein (Fragment) OS=Prunus persica GN=PRUPE_ppa027080mg PE=4 SV=1</t>
  </si>
  <si>
    <t>Uncharacterized protein OS=Prunus persica GN=PRUPE_ppa000383mg PE=4 SV=1</t>
  </si>
  <si>
    <t>Uncharacterized protein OS=Prunus persica GN=PRUPE_ppa012553mg PE=4 SV=1</t>
  </si>
  <si>
    <t>Uncharacterized protein (Fragment) OS=Prunus persica GN=PRUPE_ppa025145mg PE=4 SV=1</t>
  </si>
  <si>
    <t>Uncharacterized protein OS=Prunus persica GN=PRUPE_ppa012538mg PE=3 SV=1</t>
  </si>
  <si>
    <t>Uncharacterized protein OS=Prunus persica GN=PRUPE_ppa012874mg PE=4 SV=1</t>
  </si>
  <si>
    <t>Serine/threonine-protein kinase OS=Morus notabilis GN=L484_003805 PE=3 SV=1</t>
  </si>
  <si>
    <t>Uncharacterized protein OS=Prunus persica GN=PRUPE_ppa007927mg PE=4 SV=1</t>
  </si>
  <si>
    <t>Uncharacterized protein OS=Prunus persica GN=PRUPE_ppa006668mg PE=4 SV=1</t>
  </si>
  <si>
    <t>Uncharacterized protein OS=Prunus persica GN=PRUPE_ppa000709mg PE=4 SV=1</t>
  </si>
  <si>
    <t>Uncharacterized protein OS=Prunus persica GN=PRUPE_ppa001779mg PE=4 SV=1</t>
  </si>
  <si>
    <t>Uncharacterized protein OS=Prunus persica GN=PRUPE_ppb018756mg PE=4 SV=1</t>
  </si>
  <si>
    <t>Uncharacterized protein OS=Prunus persica GN=PRUPE_ppa004949mg PE=4 SV=1</t>
  </si>
  <si>
    <t>Uncharacterized protein OS=Prunus persica GN=PRUPE_ppa021354mg PE=4 SV=1</t>
  </si>
  <si>
    <t>Uncharacterized protein OS=Prunus persica GN=PRUPE_ppa019762mg PE=3 SV=1</t>
  </si>
  <si>
    <t>Uncharacterized protein OS=Prunus persica GN=PRUPE_ppa005385mg PE=4 SV=1</t>
  </si>
  <si>
    <t>Uncharacterized protein OS=Prunus persica GN=PRUPE_ppa005786mg PE=4 SV=1</t>
  </si>
  <si>
    <t>Uncharacterized protein OS=Prunus persica GN=PRUPE_ppa004191mg PE=4 SV=1</t>
  </si>
  <si>
    <t>Uncharacterized protein OS=Prunus persica GN=PRUPE_ppa000218mg PE=4 SV=1</t>
  </si>
  <si>
    <t>Glycosyltransferase OS=Prunus persica GN=PRUPE_ppa025290mg PE=3 SV=1</t>
  </si>
  <si>
    <t>Uncharacterized protein (Fragment) OS=Prunus persica GN=PRUPE_ppa017510mg PE=4 SV=1</t>
  </si>
  <si>
    <t>Uncharacterized protein OS=Prunus persica GN=PRUPE_ppa001484mg PE=4 SV=1</t>
  </si>
  <si>
    <t>Uncharacterized protein OS=Prunus persica GN=PRUPE_ppa009406mg PE=4 SV=1</t>
  </si>
  <si>
    <t>Uncharacterized protein OS=Prunus persica GN=PRUPE_ppa011544mg PE=4 SV=1</t>
  </si>
  <si>
    <t>Uncharacterized protein (Fragment) OS=Prunus persica GN=PRUPE_ppa026212mg PE=4 SV=1</t>
  </si>
  <si>
    <t>Histone-lysine N-methyltransferase OS=Prunus persica GN=PRUPE_ppa000519mg PE=4 SV=1</t>
  </si>
  <si>
    <t>Uncharacterized protein OS=Prunus persica GN=PRUPE_ppa020133mg PE=4 SV=1</t>
  </si>
  <si>
    <t>Uncharacterized protein OS=Prunus persica GN=PRUPE_ppa010393mg PE=4 SV=1</t>
  </si>
  <si>
    <t>Uncharacterized protein OS=Prunus persica GN=PRUPE_ppa012625mg PE=4 SV=1</t>
  </si>
  <si>
    <t>Uncharacterized protein OS=Prunus persica GN=PRUPE_ppa009067mg PE=3 SV=1</t>
  </si>
  <si>
    <t>ATP-dependent Clp protease proteolytic subunit OS=Prunus persica GN=PRUPE_ppa008823mg PE=3 SV=1</t>
  </si>
  <si>
    <t>Uncharacterized protein OS=Prunus persica GN=PRUPE_ppa012420mg PE=3 SV=1</t>
  </si>
  <si>
    <t>Uncharacterized protein OS=Prunus persica GN=PRUPE_ppa022548mg PE=4 SV=1</t>
  </si>
  <si>
    <t>Uncharacterized protein OS=Prunus persica GN=PRUPE_ppa013595mg PE=4 SV=1</t>
  </si>
  <si>
    <t>Uncharacterized protein (Fragment) OS=Prunus persica GN=PRUPE_ppa017381mg PE=4 SV=1</t>
  </si>
  <si>
    <t>Uncharacterized protein OS=Morus notabilis GN=L484_019057 PE=4 SV=1</t>
  </si>
  <si>
    <t>Uncharacterized protein OS=Prunus persica GN=PRUPE_ppa002431mg PE=4 SV=1</t>
  </si>
  <si>
    <t>Peroxidase OS=Prunus persica GN=PRUPE_ppa008723mg PE=3 SV=1</t>
  </si>
  <si>
    <t>Uncharacterized protein OS=Prunus persica GN=PRUPE_ppa009199mg PE=4 SV=1</t>
  </si>
  <si>
    <t>Uncharacterized protein OS=Prunus persica GN=PRUPE_ppa001975mg PE=4 SV=1</t>
  </si>
  <si>
    <t>Uncharacterized protein OS=Prunus persica GN=PRUPE_ppa008098mg PE=4 SV=1</t>
  </si>
  <si>
    <t>Uncharacterized protein (Fragment) OS=Prunus persica GN=PRUPE_ppa018032mg PE=4 SV=1</t>
  </si>
  <si>
    <t>Formin-like protein OS=Prunus persica GN=PRUPE_ppa000983mg PE=3 SV=1</t>
  </si>
  <si>
    <t>Uncharacterized protein OS=Prunus persica GN=PRUPE_ppa009522mg PE=4 SV=1</t>
  </si>
  <si>
    <t>Uncharacterized protein OS=Prunus persica GN=PRUPE_ppa011120mg PE=4 SV=1</t>
  </si>
  <si>
    <t>Uncharacterized protein OS=Prunus persica GN=PRUPE_ppa003006mg PE=4 SV=1</t>
  </si>
  <si>
    <t>Uncharacterized protein OS=Prunus persica GN=PRUPE_ppa011102mg PE=4 SV=1</t>
  </si>
  <si>
    <t>Uncharacterized protein OS=Prunus persica GN=PRUPE_ppa012606mg PE=4 SV=1</t>
  </si>
  <si>
    <t>Uncharacterized protein OS=Prunus persica GN=PRUPE_ppa021985mg PE=4 SV=1</t>
  </si>
  <si>
    <t>Alpha-cardiac actin (Fragment) OS=Mus musculus GN=alpha-cardiac actin PE=3 SV=1</t>
  </si>
  <si>
    <t>Uncharacterized protein OS=Prunus persica GN=PRUPE_ppa016029mg PE=4 SV=1</t>
  </si>
  <si>
    <t>Uncharacterized protein OS=Prunus persica GN=PRUPE_ppa019628mg PE=4 SV=1</t>
  </si>
  <si>
    <t>Uncharacterized protein OS=Prunus persica GN=PRUPE_ppa001590mg PE=3 SV=1</t>
  </si>
  <si>
    <t>Uncharacterized protein OS=Prunus persica GN=PRUPE_ppa023041mg PE=4 SV=1</t>
  </si>
  <si>
    <t>Uncharacterized protein OS=Prunus persica GN=PRUPE_ppa008236mg PE=3 SV=1</t>
  </si>
  <si>
    <t>Uncharacterized protein OS=Prunus persica GN=PRUPE_ppa010905mg PE=4 SV=1</t>
  </si>
  <si>
    <t>Uncharacterized protein OS=Cucumis sativus GN=Csa_4G095570 PE=4 SV=1</t>
  </si>
  <si>
    <t>WRKY transcription factor 40a OS=Malus hupehensis PE=2 SV=1</t>
  </si>
  <si>
    <t>Uncharacterized protein OS=Prunus persica GN=PRUPE_ppa003747mg PE=4 SV=1</t>
  </si>
  <si>
    <t>Uncharacterized protein (Fragment) OS=Prunus persica GN=PRUPE_ppa020497mg PE=4 SV=1</t>
  </si>
  <si>
    <t>Uncharacterized protein OS=Prunus persica GN=PRUPE_ppa002427mg PE=4 SV=1</t>
  </si>
  <si>
    <t>Uncharacterized protein OS=Prunus persica GN=PRUPE_ppa024407mg PE=4 SV=1</t>
  </si>
  <si>
    <t>Peroxidase OS=Prunus persica GN=PRUPE_ppa018664mg PE=3 SV=1</t>
  </si>
  <si>
    <t>Uncharacterized protein OS=Prunus persica GN=PRUPE_ppa022859mg PE=4 SV=1</t>
  </si>
  <si>
    <t>Uncharacterized protein OS=Prunus persica GN=PRUPE_ppa003605m1g PE=4 SV=1</t>
  </si>
  <si>
    <t>Uncharacterized protein (Fragment) OS=Prunus persica GN=PRUPE_ppa024342mg PE=4 SV=1</t>
  </si>
  <si>
    <t>Potassium transporter OS=Prunus persica GN=KUP9 PE=2 SV=1</t>
  </si>
  <si>
    <t>Uncharacterized protein (Fragment) OS=Prunus persica GN=PRUPE_ppa015186mg PE=4 SV=1</t>
  </si>
  <si>
    <t>Uncharacterized protein (Fragment) OS=Prunus persica GN=PRUPE_ppa017298mg PE=4 SV=1</t>
  </si>
  <si>
    <t>Uncharacterized protein OS=Prunus persica GN=PRUPE_ppa009899mg PE=4 SV=1</t>
  </si>
  <si>
    <t>Uncharacterized protein OS=Prunus persica GN=PRUPE_ppa004480mg PE=4 SV=1</t>
  </si>
  <si>
    <t>Uncharacterized protein OS=Prunus persica GN=PRUPE_ppa012618mg PE=4 SV=1</t>
  </si>
  <si>
    <t>Uncharacterized protein (Fragment) OS=Prunus persica GN=PRUPE_ppa016147mg PE=4 SV=1</t>
  </si>
  <si>
    <t>Uncharacterized protein OS=Prunus persica GN=PRUPE_ppa020353mg PE=4 SV=1</t>
  </si>
  <si>
    <t>Putative uncharacterized protein OS=Vitis vinifera GN=VITISV_030411 PE=4 SV=1</t>
  </si>
  <si>
    <t>Uncharacterized protein OS=Prunus persica GN=PRUPE_ppa002398mg PE=4 SV=1</t>
  </si>
  <si>
    <t>Uncharacterized protein OS=Prunus persica GN=PRUPE_ppa019262mg PE=3 SV=1</t>
  </si>
  <si>
    <t>Uncharacterized protein OS=Prunus persica GN=PRUPE_ppa005392mg PE=4 SV=1</t>
  </si>
  <si>
    <t>Uncharacterized protein OS=Prunus persica GN=PRUPE_ppa015240mg PE=4 SV=1</t>
  </si>
  <si>
    <t>Sucrose synthase OS=Prunus persica GN=Sus5 PE=2 SV=1</t>
  </si>
  <si>
    <t>Uncharacterized protein OS=Prunus persica GN=PRUPE_ppa008964mg PE=4 SV=1</t>
  </si>
  <si>
    <t>Uncharacterized protein OS=Prunus persica GN=PRUPE_ppa000967mg PE=3 SV=1</t>
  </si>
  <si>
    <t>Uncharacterized protein OS=Prunus persica GN=PRUPE_ppa008388mg PE=4 SV=1</t>
  </si>
  <si>
    <t>Uncharacterized protein OS=Prunus persica GN=PRUPE_ppa006998mg PE=3 SV=1</t>
  </si>
  <si>
    <t>Uncharacterized protein OS=Prunus persica GN=PRUPE_ppa020291mg PE=4 SV=1</t>
  </si>
  <si>
    <t>Uncharacterized protein OS=Prunus persica GN=PRUPE_ppa025592mg PE=4 SV=1</t>
  </si>
  <si>
    <t>Uncharacterized protein OS=Prunus persica GN=PRUPE_ppa000797mg PE=4 SV=1</t>
  </si>
  <si>
    <t>Uncharacterized protein OS=Prunus persica GN=PRUPE_ppa008766mg PE=4 SV=1</t>
  </si>
  <si>
    <t>Uncharacterized protein OS=Prunus persica GN=PRUPE_ppa020372mg PE=4 SV=1</t>
  </si>
  <si>
    <t>Uncharacterized protein OS=Prunus persica GN=PRUPE_ppa016724mg PE=4 SV=1</t>
  </si>
  <si>
    <t>Uncharacterized protein OS=Prunus persica GN=PRUPE_ppa012235mg PE=4 SV=1</t>
  </si>
  <si>
    <t>Uncharacterized protein OS=Prunus persica GN=PRUPE_ppa009049mg PE=4 SV=1</t>
  </si>
  <si>
    <t>Uncharacterized protein OS=Prunus persica GN=PRUPE_ppa001540mg PE=4 SV=1</t>
  </si>
  <si>
    <t>Uncharacterized protein OS=Prunus persica GN=PRUPE_ppa010845mg PE=4 SV=1</t>
  </si>
  <si>
    <t>Uncharacterized protein OS=Prunus persica GN=PRUPE_ppa012001mg PE=4 SV=1</t>
  </si>
  <si>
    <t>Triosephosphate isomerase OS=Prunus persica GN=PRUPE_ppa010323mg PE=3 SV=1</t>
  </si>
  <si>
    <t>Uncharacterized protein OS=Prunus persica GN=PRUPE_ppa002520mg PE=4 SV=1</t>
  </si>
  <si>
    <t>Uncharacterized protein OS=Prunus persica GN=PRUPE_ppa004313mg PE=4 SV=1</t>
  </si>
  <si>
    <t>Uncharacterized protein OS=Prunus persica GN=PRUPE_ppa013150mg PE=4 SV=1</t>
  </si>
  <si>
    <t>Uncharacterized protein OS=Prunus persica GN=PRUPE_ppa009580mg PE=4 SV=1</t>
  </si>
  <si>
    <t>Uncharacterized protein OS=Prunus persica GN=PRUPE_ppa011886mg PE=4 SV=1</t>
  </si>
  <si>
    <t>Uncharacterized protein OS=Prunus persica GN=PRUPE_ppa000438mg PE=4 SV=1</t>
  </si>
  <si>
    <t>Uncharacterized protein OS=Prunus persica GN=PRUPE_ppa009343mg PE=4 SV=1</t>
  </si>
  <si>
    <t>Uncharacterized protein OS=Prunus persica GN=PRUPE_ppa007957mg PE=4 SV=1</t>
  </si>
  <si>
    <t>40S ribosomal protein S27 (Fragment) OS=Capsella rubella GN=CARUB_v10018269mg PE=3 SV=1</t>
  </si>
  <si>
    <t>Uncharacterized protein OS=Prunus persica GN=PRUPE_ppa000277mg PE=4 SV=1</t>
  </si>
  <si>
    <t>Uncharacterized protein OS=Prunus persica GN=PRUPE_ppa012692mg PE=3 SV=1</t>
  </si>
  <si>
    <t>Uncharacterized protein OS=Prunus persica GN=PRUPE_ppa023628mg PE=4 SV=1</t>
  </si>
  <si>
    <t>Uncharacterized protein OS=Prunus persica GN=PRUPE_ppa007186mg PE=3 SV=1</t>
  </si>
  <si>
    <t>Uncharacterized protein OS=Prunus persica GN=PRUPE_ppa001030mg PE=4 SV=1</t>
  </si>
  <si>
    <t>40S ribosomal protein S27 OS=Musa acuminata subsp. malaccensis PE=3 SV=1</t>
  </si>
  <si>
    <t>Uncharacterized protein OS=Prunus persica GN=PRUPE_ppa002551mg PE=4 SV=1</t>
  </si>
  <si>
    <t>Uncharacterized protein OS=Prunus persica GN=PRUPE_ppa005608mg PE=4 SV=1</t>
  </si>
  <si>
    <t>Uncharacterized protein OS=Prunus persica GN=PRUPE_ppa013257mg PE=4 SV=1</t>
  </si>
  <si>
    <t>Uncharacterized protein OS=Prunus persica GN=PRUPE_ppa014062mg PE=4 SV=1</t>
  </si>
  <si>
    <t>Uncharacterized protein OS=Prunus persica GN=PRUPE_ppa011029mg PE=4 SV=1</t>
  </si>
  <si>
    <t>Uncharacterized protein OS=Prunus persica GN=PRUPE_ppa002702mg PE=3 SV=1</t>
  </si>
  <si>
    <t>Uncharacterized protein OS=Prunus persica GN=PRUPE_ppa007908mg PE=4 SV=1</t>
  </si>
  <si>
    <t>Uncharacterized protein OS=Prunus persica GN=PRUPE_ppb010253mg PE=4 SV=1</t>
  </si>
  <si>
    <t>Uncharacterized protein (Fragment) OS=Eucalyptus grandis GN=EUGRSUZ_K00432 PE=3 SV=1</t>
  </si>
  <si>
    <t>Uncharacterized protein (Fragment) OS=Prunus persica GN=PRUPE_ppa018651mg PE=4 SV=1</t>
  </si>
  <si>
    <t>Uncharacterized protein OS=Prunus persica GN=PRUPE_ppa017584mg PE=4 SV=1</t>
  </si>
  <si>
    <t>Uncharacterized protein (Fragment) OS=Prunus persica GN=PRUPE_ppa021005mg PE=4 SV=1</t>
  </si>
  <si>
    <t>Uncharacterized protein OS=Prunus persica GN=PRUPE_ppa026760mg PE=4 SV=1</t>
  </si>
  <si>
    <t>Uncharacterized protein OS=Prunus persica GN=PRUPE_ppa007875mg PE=4 SV=1</t>
  </si>
  <si>
    <t>Uncharacterized protein OS=Prunus persica GN=PRUPE_ppa012753mg PE=4 SV=1</t>
  </si>
  <si>
    <t>Uncharacterized protein OS=Prunus persica GN=PRUPE_ppa009983mg PE=4 SV=1</t>
  </si>
  <si>
    <t>Uncharacterized protein OS=Prunus persica GN=PRUPE_ppa006340mg PE=4 SV=1</t>
  </si>
  <si>
    <t>Uncharacterized protein OS=Prunus persica GN=PRUPE_ppa021397mg PE=3 SV=1</t>
  </si>
  <si>
    <t>Uncharacterized protein OS=Prunus persica GN=PRUPE_ppa010986mg PE=4 SV=1</t>
  </si>
  <si>
    <t>Uncharacterized protein OS=Prunus persica GN=PRUPE_ppa004859mg PE=3 SV=1</t>
  </si>
  <si>
    <t>Uncharacterized protein OS=Prunus persica GN=PRUPE_ppa007916mg PE=4 SV=1</t>
  </si>
  <si>
    <t>Uncharacterized protein OS=Prunus persica GN=PRUPE_ppa012091mg PE=4 SV=1</t>
  </si>
  <si>
    <t>Uncharacterized protein OS=Prunus persica GN=PRUPE_ppa009328mg PE=3 SV=1</t>
  </si>
  <si>
    <t>Uncharacterized protein OS=Prunus persica GN=PRUPE_ppa008652mg PE=4 SV=1</t>
  </si>
  <si>
    <t>Uncharacterized protein OS=Prunus persica GN=PRUPE_ppa020271mg PE=4 SV=1</t>
  </si>
  <si>
    <t>Uncharacterized protein OS=Prunus persica GN=PRUPE_ppa000869mg PE=3 SV=1</t>
  </si>
  <si>
    <t>Uncharacterized protein OS=Prunus persica GN=PRUPE_ppa007287mg PE=4 SV=1</t>
  </si>
  <si>
    <t>Uncharacterized protein OS=Prunus persica GN=PRUPE_ppa004414mg PE=3 SV=1</t>
  </si>
  <si>
    <t>Uncharacterized protein OS=Prunus persica GN=PRUPE_ppa005713mg PE=4 SV=1</t>
  </si>
  <si>
    <t>Uncharacterized protein OS=Prunus persica GN=PRUPE_ppa000209mg PE=4 SV=1</t>
  </si>
  <si>
    <t>Uncharacterized protein OS=Prunus persica GN=PRUPE_ppa003734mg PE=4 SV=1</t>
  </si>
  <si>
    <t>Uncharacterized protein OS=Prunus persica GN=PRUPE_ppa007090mg PE=4 SV=1</t>
  </si>
  <si>
    <t>Uncharacterized protein OS=Prunus persica GN=PRUPE_ppa005964mg PE=4 SV=1</t>
  </si>
  <si>
    <t>Uncharacterized protein OS=Jatropha curcas GN=JCGZ_11379 PE=4 SV=1</t>
  </si>
  <si>
    <t>Uncharacterized protein OS=Prunus persica GN=PRUPE_ppa018115mg PE=4 SV=1</t>
  </si>
  <si>
    <t>Actin, alpha skeletal muscle (Fragment) OS=Nestor notabilis GN=N333_01790 PE=3 SV=1</t>
  </si>
  <si>
    <t>Uncharacterized protein (Fragment) OS=Prunus persica GN=PRUPE_ppa020463mg PE=3 SV=1</t>
  </si>
  <si>
    <t>Uncharacterized protein OS=Prunus persica GN=PRUPE_ppa006211mg PE=3 SV=1</t>
  </si>
  <si>
    <t>Uncharacterized protein OS=Prunus persica GN=PRUPE_ppa013332mg PE=4 SV=1</t>
  </si>
  <si>
    <t>Uncharacterized protein OS=Prunus persica GN=PRUPE_ppa025477mg PE=4 SV=1</t>
  </si>
  <si>
    <t>Uncharacterized protein OS=Prunus persica GN=PRUPE_ppa005000mg PE=4 SV=1</t>
  </si>
  <si>
    <t>Uncharacterized protein OS=Prunus persica GN=PRUPE_ppa019658mg PE=4 SV=1</t>
  </si>
  <si>
    <t>Terpene synthase OS=Prunus cerasoides var. campanulata GN=TPS8 PE=4 SV=1</t>
  </si>
  <si>
    <t>Uncharacterized protein OS=Prunus persica GN=PRUPE_ppa010784mg PE=4 SV=1</t>
  </si>
  <si>
    <t>Uncharacterized protein OS=Prunus persica GN=PRUPE_ppa011303mg PE=4 SV=1</t>
  </si>
  <si>
    <t>Uncharacterized protein OS=Prunus persica GN=PRUPE_ppa018653mg PE=4 SV=1</t>
  </si>
  <si>
    <t>Uncharacterized protein OS=Prunus persica GN=PRUPE_ppa001076mg PE=4 SV=1</t>
  </si>
  <si>
    <t>Uncharacterized protein OS=Prunus persica GN=PRUPE_ppa006554mg PE=4 SV=1</t>
  </si>
  <si>
    <t>Uncharacterized protein OS=Fusarium oxysporum f. sp. lycopersici (strain 4287 / CBS 123668 / FGSC 9935 / NRRL 34936) GN=FOXG_15437 PE=3 SV=1</t>
  </si>
  <si>
    <t>Uncharacterized protein OS=Prunus persica GN=PRUPE_ppa023908mg PE=4 SV=1</t>
  </si>
  <si>
    <t>Uncharacterized protein OS=Prunus persica GN=PRUPE_ppa010772mg PE=4 SV=1</t>
  </si>
  <si>
    <t>Uncharacterized protein OS=Prunus persica GN=PRUPE_ppa004766mg PE=4 SV=1</t>
  </si>
  <si>
    <t>Uncharacterized protein (Fragment) OS=Prunus persica GN=PRUPE_ppa025707mg PE=4 SV=1</t>
  </si>
  <si>
    <t>Uncharacterized protein OS=Prunus persica GN=PRUPE_ppa013458mg PE=4 SV=1</t>
  </si>
  <si>
    <t>Uncharacterized protein OS=Prunus persica GN=PRUPE_ppa004021mg PE=4 SV=1</t>
  </si>
  <si>
    <t>Patatin OS=Prunus persica GN=PRUPE_ppa007009mg PE=3 SV=1</t>
  </si>
  <si>
    <t>Uncharacterized protein OS=Prunus persica GN=PRUPE_ppa015953mg PE=4 SV=1</t>
  </si>
  <si>
    <t>Uncharacterized protein OS=Prunus persica GN=PRUPE_ppa011701mg PE=4 SV=1</t>
  </si>
  <si>
    <t>Lipid binding protein, putative OS=Ricinus communis GN=RCOM_0865400 PE=4 SV=1</t>
  </si>
  <si>
    <t>Uncharacterized protein OS=Prunus persica GN=PRUPE_ppa012530mg PE=4 SV=1</t>
  </si>
  <si>
    <t>Uncharacterized protein OS=Prunus persica GN=PRUPE_ppa006367mg PE=4 SV=1</t>
  </si>
  <si>
    <t>Uncharacterized protein OS=Prunus persica GN=PRUPE_ppa003469mg PE=4 SV=1</t>
  </si>
  <si>
    <t>Uncharacterized protein OS=Prunus persica GN=PRUPE_ppa002306mg PE=4 SV=1</t>
  </si>
  <si>
    <t>Uncharacterized protein OS=Prunus persica GN=PRUPE_ppa003541mg PE=4 SV=1</t>
  </si>
  <si>
    <t>Uncharacterized protein OS=Prunus persica GN=PRUPE_ppa005537mg PE=4 SV=1</t>
  </si>
  <si>
    <t>Uncharacterized protein OS=Prunus persica GN=PRUPE_ppa010632mg PE=4 SV=1</t>
  </si>
  <si>
    <t>Uncharacterized protein OS=Prunus persica GN=PRUPE_ppa009799mg PE=4 SV=1</t>
  </si>
  <si>
    <t>Uncharacterized protein OS=Prunus persica GN=PRUPE_ppa009302mg PE=4 SV=1</t>
  </si>
  <si>
    <t>Uncharacterized protein OS=Prunus persica GN=PRUPE_ppa011072mg PE=4 SV=1</t>
  </si>
  <si>
    <t>Uncharacterized protein OS=Prunus persica GN=PRUPE_ppa010531mg PE=4 SV=1</t>
  </si>
  <si>
    <t>Uncharacterized protein OS=Prunus persica GN=PRUPE_ppa001195mg PE=4 SV=1</t>
  </si>
  <si>
    <t>Uncharacterized protein OS=Prunus persica GN=PRUPE_ppa011397mg PE=4 SV=1</t>
  </si>
  <si>
    <t>Uncharacterized protein OS=Prunus persica GN=PRUPE_ppa006808mg PE=4 SV=1</t>
  </si>
  <si>
    <t>Uroporphyrinogen decarboxylase OS=Prunus persica GN=PRUPE_ppa006289mg PE=3 SV=1</t>
  </si>
  <si>
    <t>Cytosine-specific methyltransferase OS=Prunus persica GN=PRUPE_ppa001672mg PE=3 SV=1</t>
  </si>
  <si>
    <t>Uncharacterized protein OS=Prunus persica GN=PRUPE_ppa005305mg PE=4 SV=1</t>
  </si>
  <si>
    <t>Uncharacterized protein OS=Prunus persica GN=PRUPE_ppa007527mg PE=4 SV=1</t>
  </si>
  <si>
    <t>Uncharacterized protein OS=Prunus persica GN=PRUPE_ppa000465mg PE=4 SV=1</t>
  </si>
  <si>
    <t>Uncharacterized protein OS=Prunus persica GN=PRUPE_ppa006447mg PE=4 SV=1</t>
  </si>
  <si>
    <t>Uncharacterized protein OS=Prunus persica GN=PRUPE_ppa009582mg PE=3 SV=1</t>
  </si>
  <si>
    <t>Uncharacterized protein OS=Prunus persica GN=PRUPE_ppa004277mg PE=3 SV=1</t>
  </si>
  <si>
    <t>Uncharacterized protein OS=Prunus persica GN=PRUPE_ppa003300mg PE=4 SV=1</t>
  </si>
  <si>
    <t>Uncharacterized protein OS=Prunus persica GN=PRUPE_ppa009690mg PE=4 SV=1</t>
  </si>
  <si>
    <t>Endo-1,4-beta-mannosidase protein 2 OS=Prunus persica PE=2 SV=1</t>
  </si>
  <si>
    <t>Uncharacterized protein OS=Prunus persica GN=PRUPE_ppa008175mg PE=4 SV=1</t>
  </si>
  <si>
    <t>Uncharacterized protein OS=Prunus persica GN=PRUPE_ppa005424mg PE=4 SV=1</t>
  </si>
  <si>
    <t>Uncharacterized protein OS=Prunus persica GN=PRUPE_ppa023042mg PE=4 SV=1</t>
  </si>
  <si>
    <t>Uncharacterized protein OS=Prunus persica GN=PRUPE_ppa007006mg PE=4 SV=1</t>
  </si>
  <si>
    <t>Uncharacterized protein OS=Prunus persica GN=PRUPE_ppa010777mg PE=4 SV=1</t>
  </si>
  <si>
    <t>Uncharacterized protein OS=Prunus persica GN=PRUPE_ppa001811mg PE=3 SV=1</t>
  </si>
  <si>
    <t>Uncharacterized protein OS=Prunus persica GN=PRUPE_ppa000974mg PE=4 SV=1</t>
  </si>
  <si>
    <t>NADH dehydrogenase subunit 5 (Fragment) OS=Geranium brycei GN=nad5 PE=4 SV=1</t>
  </si>
  <si>
    <t>Uncharacterized protein OS=Prunus persica GN=PRUPE_ppa026350mg PE=4 SV=1</t>
  </si>
  <si>
    <t>Non-specific serine/threonine protein kinase OS=Prunus persica GN=PRUPE_ppa005267mg PE=4 SV=1</t>
  </si>
  <si>
    <t>Uncharacterized protein OS=Prunus persica GN=PRUPE_ppa002806mg PE=4 SV=1</t>
  </si>
  <si>
    <t>Uncharacterized protein OS=Prunus persica GN=PRUPE_ppa021258mg PE=4 SV=1</t>
  </si>
  <si>
    <t>Uncharacterized protein OS=Prunus persica GN=PRUPE_ppa016907mg PE=4 SV=1</t>
  </si>
  <si>
    <t>Uncharacterized protein OS=Prunus persica GN=PRUPE_ppa004203mg PE=4 SV=1</t>
  </si>
  <si>
    <t>Uncharacterized protein OS=Prunus persica GN=PRUPE_ppa026454mg PE=4 SV=1</t>
  </si>
  <si>
    <t>Uncharacterized protein OS=Prunus persica GN=PRUPE_ppa003803mg PE=4 SV=1</t>
  </si>
  <si>
    <t>Uncharacterized protein OS=Prunus persica GN=PRUPE_ppa012862mg PE=3 SV=1</t>
  </si>
  <si>
    <t>Serine/threonine-protein kinase OS=Morus notabilis GN=L484_018401 PE=3 SV=1</t>
  </si>
  <si>
    <t>Uncharacterized protein OS=Prunus persica GN=PRUPE_ppa010643mg PE=4 SV=1</t>
  </si>
  <si>
    <t>Endoglucanase OS=Prunus persica GN=PRUPE_ppa026228mg PE=3 SV=1</t>
  </si>
  <si>
    <t>DNA-directed RNA polymerase OS=Capsicum annuum GN=orf152b PE=3 SV=1</t>
  </si>
  <si>
    <t>Uncharacterized protein OS=Prunus persica GN=PRUPE_ppa001599mg PE=3 SV=1</t>
  </si>
  <si>
    <t>Uncharacterized protein OS=Prunus persica GN=PRUPE_ppa007537mg PE=4 SV=1</t>
  </si>
  <si>
    <t>Uncharacterized protein OS=Prunus persica GN=PRUPE_ppa005525mg PE=4 SV=1</t>
  </si>
  <si>
    <t>Uncharacterized protein OS=Prunus persica GN=PRUPE_ppa011087mg PE=4 SV=1</t>
  </si>
  <si>
    <t>Uncharacterized protein OS=Prunus persica GN=PRUPE_ppa011873mg PE=4 SV=1</t>
  </si>
  <si>
    <t>Uncharacterized protein OS=Prunus persica GN=PRUPE_ppb020445mg PE=4 SV=1</t>
  </si>
  <si>
    <t>Uncharacterized protein OS=Prunus persica GN=PRUPE_ppa023736mg PE=4 SV=1</t>
  </si>
  <si>
    <t>Uncharacterized protein OS=Prunus persica GN=PRUPE_ppa022819mg PE=4 SV=1</t>
  </si>
  <si>
    <t>Uncharacterized protein OS=Prunus persica GN=PRUPE_ppa021747mg PE=4 SV=1</t>
  </si>
  <si>
    <t>Uncharacterized protein OS=Prunus persica GN=PRUPE_ppa000432mg PE=4 SV=1</t>
  </si>
  <si>
    <t>Uncharacterized protein OS=Prunus persica GN=PRUPE_ppa013455mg PE=4 SV=1</t>
  </si>
  <si>
    <t>Uncharacterized protein OS=Prunus persica GN=PRUPE_ppa000713mg PE=4 SV=1</t>
  </si>
  <si>
    <t>Uncharacterized protein OS=Prunus persica GN=PRUPE_ppb015806mg PE=4 SV=1</t>
  </si>
  <si>
    <t>Uncharacterized protein OS=Citrus sinensis GN=CISIN_1g015370mg PE=4 SV=1</t>
  </si>
  <si>
    <t>Uncharacterized protein OS=Prunus persica GN=PRUPE_ppa005831mg PE=4 SV=1</t>
  </si>
  <si>
    <t>Uncharacterized protein OS=Jatropha curcas GN=JCGZ_01026 PE=3 SV=1</t>
  </si>
  <si>
    <t>Uncharacterized protein OS=Prunus persica GN=PRUPE_ppa005417mg PE=4 SV=1</t>
  </si>
  <si>
    <t>Uncharacterized protein OS=Prunus persica GN=PRUPE_ppa002726mg PE=4 SV=1</t>
  </si>
  <si>
    <t>Uncharacterized protein OS=Prunus persica GN=PRUPE_ppa009714mg PE=4 SV=1</t>
  </si>
  <si>
    <t>Uncharacterized protein OS=Prunus persica GN=PRUPE_ppa015534mg PE=4 SV=1</t>
  </si>
  <si>
    <t>Uncharacterized protein OS=Prunus persica GN=PRUPE_ppa002974mg PE=4 SV=1</t>
  </si>
  <si>
    <t>Uncharacterized protein OS=Prunus persica GN=PRUPE_ppa004038mg PE=3 SV=1</t>
  </si>
  <si>
    <t>Uncharacterized protein OS=Prunus persica GN=PRUPE_ppa009595mg PE=4 SV=1</t>
  </si>
  <si>
    <t>Uncharacterized protein OS=Prunus persica GN=PRUPE_ppa000061mg PE=4 SV=1</t>
  </si>
  <si>
    <t>Putative uncharacterized protein OS=Vitis vinifera GN=VIT_08s0007g07510 PE=4 SV=1</t>
  </si>
  <si>
    <t>Uncharacterized protein OS=Prunus persica GN=PRUPE_ppa004688mg PE=4 SV=1</t>
  </si>
  <si>
    <t>Uncharacterized protein (Fragment) OS=Prunus persica GN=PRUPE_ppa016693mg PE=4 SV=1</t>
  </si>
  <si>
    <t>Uncharacterized protein OS=Prunus persica GN=PRUPE_ppa003790mg PE=4 SV=1</t>
  </si>
  <si>
    <t>Uncharacterized protein OS=Prunus persica GN=PRUPE_ppa016570mg PE=3 SV=1</t>
  </si>
  <si>
    <t>Uncharacterized protein OS=Prunus persica GN=PRUPE_ppa004347mg PE=4 SV=1</t>
  </si>
  <si>
    <t>Uncharacterized protein OS=Prunus persica GN=PRUPE_ppa006035mg PE=3 SV=1</t>
  </si>
  <si>
    <t>Uncharacterized protein OS=Prunus persica GN=PRUPE_ppa002711mg PE=4 SV=1</t>
  </si>
  <si>
    <t>Uncharacterized protein OS=Prunus persica GN=PRUPE_ppa006083mg PE=4 SV=1</t>
  </si>
  <si>
    <t>Uncharacterized protein OS=Prunus persica GN=PRUPE_ppa004392mg PE=4 SV=1</t>
  </si>
  <si>
    <t>Uncharacterized protein OS=Prunus persica GN=PRUPE_ppa006741mg PE=4 SV=1</t>
  </si>
  <si>
    <t>Uncharacterized protein OS=Prunus persica GN=PRUPE_ppa022581mg PE=4 SV=1</t>
  </si>
  <si>
    <t>Phospholipase D OS=Citrus sinensis GN=CISIN_1g003153mg PE=3 SV=1</t>
  </si>
  <si>
    <t>Putative allergen Pru du 1.04 OS=Prunus dulcis x Prunus persica GN=Pru du 1.04 PE=3 SV=1</t>
  </si>
  <si>
    <t>Uncharacterized protein OS=Prunus persica GN=PRUPE_ppa005024mg PE=4 SV=1</t>
  </si>
  <si>
    <t>Uncharacterized protein OS=Prunus persica GN=PRUPE_ppa004069mg PE=4 SV=1</t>
  </si>
  <si>
    <t>Uncharacterized protein OS=Prunus persica GN=PRUPE_ppa003765mg PE=4 SV=1</t>
  </si>
  <si>
    <t>Uncharacterized protein OS=Prunus persica GN=PRUPE_ppa026871mg PE=3 SV=1</t>
  </si>
  <si>
    <t>Uncharacterized protein OS=Prunus persica GN=PRUPE_ppa004806mg PE=4 SV=1</t>
  </si>
  <si>
    <t>Flavonoid 3' hydroxylase OS=Prunus persica GN=F3H PE=2 SV=1</t>
  </si>
  <si>
    <t>Uncharacterized protein OS=Prunus persica GN=PRUPE_ppa014773mg PE=4 SV=1</t>
  </si>
  <si>
    <t>Uncharacterized protein OS=Prunus persica GN=PRUPE_ppa004036mg PE=3 SV=1</t>
  </si>
  <si>
    <t>Serine/threonine-protein kinase OS=Theobroma cacao GN=TCM_040428 PE=3 SV=1</t>
  </si>
  <si>
    <t>Uncharacterized protein OS=Prunus persica GN=PRUPE_ppa001580mg PE=4 SV=1</t>
  </si>
  <si>
    <t>Uncharacterized protein OS=Prunus persica GN=PRUPE_ppa004002mg PE=3 SV=1</t>
  </si>
  <si>
    <t>Uncharacterized protein OS=Prunus persica GN=PRUPE_ppa005203mg PE=4 SV=1</t>
  </si>
  <si>
    <t>Uncharacterized protein (Fragment) OS=Prunus persica GN=PRUPE_ppa016528mg PE=4 SV=1</t>
  </si>
  <si>
    <t>Uncharacterized protein OS=Prunus persica GN=PRUPE_ppa009001mg PE=4 SV=1</t>
  </si>
  <si>
    <t>Uncharacterized protein OS=Prunus persica GN=PRUPE_ppa018606mg PE=4 SV=1</t>
  </si>
  <si>
    <t>Uncharacterized protein OS=Prunus persica GN=PRUPE_ppa007369mg PE=4 SV=1</t>
  </si>
  <si>
    <t>Glycerol kinase OS=Fusarium oxysporum f. sp. conglutinans race 2 54008 GN=FOPG_09312 PE=3 SV=1</t>
  </si>
  <si>
    <t>Cytochrome P450 736A117 OS=Prunus mume GN=CYP736A117 PE=2 SV=1</t>
  </si>
  <si>
    <t>Uncharacterized protein OS=Prunus persica GN=PRUPE_ppa005184mg PE=4 SV=1</t>
  </si>
  <si>
    <t>Uncharacterized protein OS=Prunus persica GN=PRUPE_ppa025555mg PE=3 SV=1</t>
  </si>
  <si>
    <t>Uncharacterized protein OS=Prunus persica GN=PRUPE_ppa002666mg PE=4 SV=1</t>
  </si>
  <si>
    <t>Uncharacterized protein OS=Prunus persica GN=PRUPE_ppa009014mg PE=4 SV=1</t>
  </si>
  <si>
    <t>Uncharacterized protein (Fragment) OS=Prunus persica GN=PRUPE_ppa016959mg PE=4 SV=1</t>
  </si>
  <si>
    <t>Uncharacterized protein OS=Prunus persica GN=PRUPE_ppa024601mg PE=4 SV=1</t>
  </si>
  <si>
    <t>Uncharacterized protein OS=Prunus persica GN=PRUPE_ppa026521mg PE=4 SV=1</t>
  </si>
  <si>
    <t>Uncharacterized protein OS=Prunus persica GN=PRUPE_ppa025649mg PE=4 SV=1</t>
  </si>
  <si>
    <t>Uncharacterized protein OS=Prunus persica GN=PRUPE_ppa011919mg PE=4 SV=1</t>
  </si>
  <si>
    <t>Uncharacterized protein OS=Prunus persica GN=PRUPE_ppa000174mg PE=4 SV=1</t>
  </si>
  <si>
    <t>Uncharacterized protein OS=Prunus persica GN=PRUPE_ppa007828mg PE=4 SV=1</t>
  </si>
  <si>
    <t>Uncharacterized protein (Fragment) OS=Prunus persica GN=PRUPE_ppa017697mg PE=4 SV=1</t>
  </si>
  <si>
    <t>Uncharacterized protein OS=Prunus persica GN=PRUPE_ppa003381mg PE=4 SV=1</t>
  </si>
  <si>
    <t>Uncharacterized protein OS=Prunus persica GN=PRUPE_ppa008223mg PE=4 SV=1</t>
  </si>
  <si>
    <t>Uncharacterized protein OS=Prunus persica GN=PRUPE_ppa001555mg PE=4 SV=1</t>
  </si>
  <si>
    <t>Uncharacterized protein OS=Prunus persica GN=PRUPE_ppa006967mg PE=4 SV=1</t>
  </si>
  <si>
    <t>Uncharacterized protein OS=Prunus persica GN=PRUPE_ppa011513mg PE=3 SV=1</t>
  </si>
  <si>
    <t>Uncharacterized protein (Fragment) OS=Prunus persica GN=PRUPE_ppa020144mg PE=4 SV=1</t>
  </si>
  <si>
    <t>Uncharacterized protein OS=Prunus persica GN=PRUPE_ppa016853mg PE=3 SV=1</t>
  </si>
  <si>
    <t>Uncharacterized protein OS=Prunus persica GN=PRUPE_ppa012268mg PE=4 SV=1</t>
  </si>
  <si>
    <t>Uncharacterized protein OS=Prunus persica GN=PRUPE_ppa016458mg PE=3 SV=1</t>
  </si>
  <si>
    <t>Uncharacterized protein OS=Prunus persica GN=PRUPE_ppa020037mg PE=4 SV=1</t>
  </si>
  <si>
    <t>Uncharacterized protein OS=Jatropha curcas GN=JCGZ_23749 PE=4 SV=1</t>
  </si>
  <si>
    <t>Putative uncharacterized protein OS=Vitis vinifera GN=VIT_14s0006g01240 PE=4 SV=1</t>
  </si>
  <si>
    <t>Uncharacterized protein OS=Prunus persica GN=PRUPE_ppa002077mg PE=4 SV=1</t>
  </si>
  <si>
    <t>Uncharacterized protein OS=Prunus persica GN=PRUPE_ppa020890mg PE=4 SV=1</t>
  </si>
  <si>
    <t>Histone-lysine N-methyltransferase OS=Prunus persica GN=PRUPE_ppa000743mg PE=4 SV=1</t>
  </si>
  <si>
    <t>Uncharacterized protein OS=Prunus persica GN=PRUPE_ppa003450mg PE=4 SV=1</t>
  </si>
  <si>
    <t>Uncharacterized protein (Fragment) OS=Prunus persica GN=PRUPE_ppa024051mg PE=4 SV=1</t>
  </si>
  <si>
    <t>Uncharacterized protein OS=Prunus persica GN=PRUPE_ppa010565mg PE=3 SV=1</t>
  </si>
  <si>
    <t>Uncharacterized protein OS=Prunus persica GN=PRUPE_ppa001254mg PE=4 SV=1</t>
  </si>
  <si>
    <t>Uncharacterized protein OS=Prunus persica GN=PRUPE_ppa001611mg PE=4 SV=1</t>
  </si>
  <si>
    <t>Uncharacterized protein OS=Prunus persica GN=PRUPE_ppa005498mg PE=3 SV=1</t>
  </si>
  <si>
    <t>Putative uncharacterized protein OS=Ricinus communis GN=RCOM_1324430 PE=4 SV=1</t>
  </si>
  <si>
    <t>Uncharacterized protein OS=Prunus persica GN=PRUPE_ppb007460mg PE=4 SV=1</t>
  </si>
  <si>
    <t>Uncharacterized protein OS=Prunus persica GN=PRUPE_ppa008562mg PE=4 SV=1</t>
  </si>
  <si>
    <t>Uncharacterized protein OS=Prunus persica GN=PRUPE_ppa000205mg PE=4 SV=1</t>
  </si>
  <si>
    <t>Actin 7 isoform 1 OS=Theobroma cacao GN=TCM_001364 PE=3 SV=1</t>
  </si>
  <si>
    <t>Uncharacterized protein (Fragment) OS=Prunus persica GN=PRUPE_ppa024033mg PE=4 SV=1</t>
  </si>
  <si>
    <t>CASP-like protein OS=Prunus persica GN=PRUPE_ppa022990mg PE=3 SV=1</t>
  </si>
  <si>
    <t>Uncharacterized protein OS=Prunus persica GN=PRUPE_ppa004964mg PE=3 SV=1</t>
  </si>
  <si>
    <t>Uncharacterized protein OS=Prunus persica GN=PRUPE_ppa017612mg PE=4 SV=1</t>
  </si>
  <si>
    <t>Mitogen-activated protein kinase OS=Prunus persica GN=PRUPE_ppa003297mg PE=4 SV=1</t>
  </si>
  <si>
    <t>Uncharacterized protein OS=Prunus persica GN=PRUPE_ppa003080mg PE=4 SV=1</t>
  </si>
  <si>
    <t>Uncharacterized protein OS=Prunus persica GN=PRUPE_ppa011784mg PE=4 SV=1</t>
  </si>
  <si>
    <t>Uncharacterized protein OS=Prunus persica GN=PRUPE_ppa003289mg PE=4 SV=1</t>
  </si>
  <si>
    <t>Uncharacterized protein (Fragment) OS=Prunus persica GN=PRUPE_ppa023456mg PE=4 SV=1</t>
  </si>
  <si>
    <t>Uncharacterized protein OS=Prunus persica GN=PRUPE_ppa022191mg PE=4 SV=1</t>
  </si>
  <si>
    <t>Uncharacterized protein OS=Prunus persica GN=PRUPE_ppa027099mg PE=4 SV=1</t>
  </si>
  <si>
    <t>Calcium binding protein/cast, putative OS=Ricinus communis GN=RCOM_0126810 PE=4 SV=1</t>
  </si>
  <si>
    <t>ADP,ATP carrier protein OS=Gibberella moniliformis (strain M3125 / FGSC 7600) GN=FVEG_04651 PE=3 SV=1</t>
  </si>
  <si>
    <t>Uncharacterized protein OS=Prunus persica GN=PRUPE_ppa001090mg PE=4 SV=1</t>
  </si>
  <si>
    <t>Uncharacterized protein (Fragment) OS=Prunus persica GN=PRUPE_ppa025580mg PE=4 SV=1</t>
  </si>
  <si>
    <t>Uncharacterized protein OS=Prunus persica GN=PRUPE_ppb007318mg PE=4 SV=1</t>
  </si>
  <si>
    <t>Uncharacterized protein OS=Prunus persica GN=PRUPE_ppa000747mg PE=4 SV=1</t>
  </si>
  <si>
    <t>Uncharacterized protein OS=Prunus persica GN=PRUPE_ppa010750mg PE=4 SV=1</t>
  </si>
  <si>
    <t>Uncharacterized protein OS=Prunus persica GN=PRUPE_ppa004579mg PE=3 SV=1</t>
  </si>
  <si>
    <t>Uncharacterized protein OS=Prunus persica GN=PRUPE_ppa003871mg PE=4 SV=1</t>
  </si>
  <si>
    <t>Uncharacterized protein OS=Prunus persica GN=PRUPE_ppa002070mg PE=4 SV=1</t>
  </si>
  <si>
    <t>Uncharacterized protein OS=Prunus persica GN=PRUPE_ppa024100mg PE=4 SV=1</t>
  </si>
  <si>
    <t>Uncharacterized protein OS=Prunus persica GN=PRUPE_ppa018574mg PE=4 SV=1</t>
  </si>
  <si>
    <t>Peptidyl-prolyl cis-trans isomerase OS=Prunus persica GN=PRUPE_ppa010825mg PE=4 SV=1</t>
  </si>
  <si>
    <t>Uncharacterized protein OS=Prunus persica GN=PRUPE_ppa006910mg PE=4 SV=1</t>
  </si>
  <si>
    <t>Uncharacterized protein OS=Prunus persica GN=PRUPE_ppa006361mg PE=4 SV=1</t>
  </si>
  <si>
    <t>Uncharacterized protein OS=Prunus persica GN=PRUPE_ppa002991mg PE=4 SV=1</t>
  </si>
  <si>
    <t>Uncharacterized protein OS=Prunus persica GN=PRUPE_ppa010351mg PE=4 SV=1</t>
  </si>
  <si>
    <t>Uncharacterized protein OS=Prunus persica GN=PRUPE_ppa009550mg PE=4 SV=1</t>
  </si>
  <si>
    <t>Uncharacterized protein OS=Prunus persica GN=PRUPE_ppa003154mg PE=4 SV=1</t>
  </si>
  <si>
    <t>Uncharacterized protein OS=Prunus persica GN=PRUPE_ppa000682mg PE=4 SV=1</t>
  </si>
  <si>
    <t>Uncharacterized protein OS=Prunus persica GN=PRUPE_ppa009028mg PE=4 SV=1</t>
  </si>
  <si>
    <t>Uncharacterized protein OS=Prunus persica GN=PRUPE_ppa004263mg PE=4 SV=1</t>
  </si>
  <si>
    <t>Uncharacterized protein OS=Prunus persica GN=PRUPE_ppa005601mg PE=4 SV=1</t>
  </si>
  <si>
    <t>Uncharacterized protein OS=Prunus persica GN=PRUPE_ppa002669mg PE=4 SV=1</t>
  </si>
  <si>
    <t>Putative uncharacterized protein OS=Vitis vinifera GN=VIT_13s0019g01060 PE=4 SV=1</t>
  </si>
  <si>
    <t>Uncharacterized protein OS=Prunus persica GN=PRUPE_ppa002634mg PE=4 SV=1</t>
  </si>
  <si>
    <t>Uncharacterized protein OS=Prunus persica GN=PRUPE_ppa004953mg PE=4 SV=1</t>
  </si>
  <si>
    <t>Uncharacterized protein OS=Prunus persica GN=PRUPE_ppa002630mg PE=4 SV=1</t>
  </si>
  <si>
    <t>Uncharacterized protein OS=Prunus persica GN=PRUPE_ppa006689mg PE=4 SV=1</t>
  </si>
  <si>
    <t>Uncharacterized protein OS=Prunus persica GN=PRUPE_ppa007421mg PE=4 SV=1</t>
  </si>
  <si>
    <t>Peptidyl-prolyl cis-trans isomerase (Fragment) OS=Prunus persica GN=PRUPE_ppa021681mg PE=4 SV=1</t>
  </si>
  <si>
    <t>Uncharacterized protein OS=Prunus persica GN=PRUPE_ppa009032mg PE=4 SV=1</t>
  </si>
  <si>
    <t>Uncharacterized protein OS=Prunus persica GN=PRUPE_ppa006623mg PE=4 SV=1</t>
  </si>
  <si>
    <t>Ubiquitin carboxyl-terminal hydrolase OS=Prunus persica GN=PRUPE_ppa008376mg PE=3 SV=1</t>
  </si>
  <si>
    <t>Endonuclease/exonuclease/phosphatase family protein OS=Populus trichocarpa GN=POPTR_0015s10030g PE=4 SV=1</t>
  </si>
  <si>
    <t>Uncharacterized protein OS=Prunus persica GN=PRUPE_ppa001224mg PE=4 SV=1</t>
  </si>
  <si>
    <t>Uncharacterized protein OS=Prunus persica GN=PRUPE_ppa009554mg PE=3 SV=1</t>
  </si>
  <si>
    <t>Uncharacterized protein OS=Prunus persica GN=PRUPE_ppa008453mg PE=4 SV=1</t>
  </si>
  <si>
    <t>Uncharacterized protein OS=Prunus persica GN=PRUPE_ppa011747mg PE=4 SV=1</t>
  </si>
  <si>
    <t>Uncharacterized protein OS=Prunus persica GN=PRUPE_ppa002595mg PE=3 SV=1</t>
  </si>
  <si>
    <t>Uncharacterized protein OS=Citrus sinensis GN=CISIN_1g022723mg PE=4 SV=1</t>
  </si>
  <si>
    <t>Uncharacterized protein OS=Prunus persica GN=PRUPE_ppa010908mg PE=4 SV=1</t>
  </si>
  <si>
    <t>Ubiquitin carboxyl-terminal hydrolase OS=Medicago truncatula GN=MTR_7g106570 PE=3 SV=1</t>
  </si>
  <si>
    <t>Uncharacterized protein OS=Thielavia terrestris (strain ATCC 38088 / NRRL 8126) GN=THITE_75719 PE=4 SV=1</t>
  </si>
  <si>
    <t>Uncharacterized protein OS=Prunus persica GN=PRUPE_ppa007354mg PE=3 SV=1</t>
  </si>
  <si>
    <t>Uncharacterized protein OS=Prunus persica GN=PRUPE_ppa021532mg PE=4 SV=1</t>
  </si>
  <si>
    <t>Uncharacterized protein OS=Prunus persica GN=PRUPE_ppa003067mg PE=4 SV=1</t>
  </si>
  <si>
    <t>Uncharacterized protein OS=Prunus persica GN=PRUPE_ppa008269mg PE=3 SV=1</t>
  </si>
  <si>
    <t>Uncharacterized protein OS=Prunus persica GN=PRUPE_ppa000339mg PE=4 SV=1</t>
  </si>
  <si>
    <t>Uncharacterized protein OS=Prunus persica GN=PRUPE_ppa027107mg PE=4 SV=1</t>
  </si>
  <si>
    <t>Uncharacterized protein OS=Prunus persica GN=PRUPE_ppa017657mg PE=3 SV=1</t>
  </si>
  <si>
    <t>Uncharacterized protein OS=Prunus persica GN=PRUPE_ppa008860mg PE=4 SV=1</t>
  </si>
  <si>
    <t>Uncharacterized protein OS=Prunus persica GN=PRUPE_ppa019520mg PE=4 SV=1</t>
  </si>
  <si>
    <t>Uncharacterized protein OS=Prunus persica GN=PRUPE_ppa012688mg PE=4 SV=1</t>
  </si>
  <si>
    <t>Uncharacterized protein OS=Prunus persica GN=PRUPE_ppb015985mg PE=4 SV=1</t>
  </si>
  <si>
    <t>Ribosome biogenesis protein WDR12 homolog OS=Prunus persica GN=PRUPE_ppa005967mg PE=3 SV=1</t>
  </si>
  <si>
    <t>Uncharacterized protein OS=Prunus persica GN=PRUPE_ppa003303mg PE=4 SV=1</t>
  </si>
  <si>
    <t>Uncharacterized protein OS=Prunus persica GN=PRUPE_ppa009147mg PE=4 SV=1</t>
  </si>
  <si>
    <t>Serine hydroxymethyltransferase OS=Prunus persica GN=PRUPE_ppa004082mg PE=3 SV=1</t>
  </si>
  <si>
    <t>Uncharacterized protein OS=Prunus persica GN=PRUPE_ppa004070mg PE=4 SV=1</t>
  </si>
  <si>
    <t>Uncharacterized protein OS=Prunus persica GN=PRUPE_ppa002406mg PE=4 SV=1</t>
  </si>
  <si>
    <t>Uncharacterized protein OS=Prunus persica GN=PRUPE_ppa005375mg PE=3 SV=1</t>
  </si>
  <si>
    <t>Uncharacterized protein OS=Prunus persica GN=PRUPE_ppa021577mg PE=4 SV=1</t>
  </si>
  <si>
    <t>Histone H2A OS=Prunus persica GN=PRUPE_ppa013134mg PE=3 SV=1</t>
  </si>
  <si>
    <t>Uncharacterized protein OS=Prunus persica GN=PRUPE_ppa000145mg PE=3 SV=1</t>
  </si>
  <si>
    <t>Chorismate synthase OS=Prunus persica GN=PRUPE_ppa005795mg PE=3 SV=1</t>
  </si>
  <si>
    <t>Cytoplasmic tRNA 2-thiolation protein 1 OS=Vitis vinifera GN=NCS6 PE=3 SV=1</t>
  </si>
  <si>
    <t>Uncharacterized protein OS=Prunus persica GN=PRUPE_ppa007320mg PE=4 SV=1</t>
  </si>
  <si>
    <t>Uncharacterized protein OS=Prunus persica GN=PRUPE_ppa013693mg PE=4 SV=1</t>
  </si>
  <si>
    <t>Uncharacterized protein OS=Prunus persica GN=PRUPE_ppa012889mg PE=4 SV=1</t>
  </si>
  <si>
    <t>Uncharacterized protein OS=Prunus persica GN=PRUPE_ppa009558mg PE=4 SV=1</t>
  </si>
  <si>
    <t>Uncharacterized protein OS=Prunus persica GN=PRUPE_ppa020192mg PE=4 SV=1</t>
  </si>
  <si>
    <t>Uncharacterized protein (Fragment) OS=Prunus persica GN=PRUPE_ppa019878mg PE=4 SV=1</t>
  </si>
  <si>
    <t>Uncharacterized protein (Fragment) OS=Prunus persica GN=PRUPE_ppa025972mg PE=4 SV=1</t>
  </si>
  <si>
    <t>Uncharacterized protein OS=Prunus persica GN=PRUPE_ppa002532mg PE=3 SV=1</t>
  </si>
  <si>
    <t>Putative allergen Pru du 2.02 OS=Prunus dulcis x Prunus persica GN=Pru du 2.02 PE=4 SV=1</t>
  </si>
  <si>
    <t>Uncharacterized protein OS=Prunus persica GN=PRUPE_ppa026496mg PE=4 SV=1</t>
  </si>
  <si>
    <t>Uncharacterized protein OS=Prunus persica GN=PRUPE_ppa011093mg PE=4 SV=1</t>
  </si>
  <si>
    <t>Uncharacterized protein OS=Prunus persica GN=PRUPE_ppa011592mg PE=4 SV=1</t>
  </si>
  <si>
    <t>Uncharacterized protein OS=Prunus persica GN=PRUPE_ppa009470mg PE=4 SV=1</t>
  </si>
  <si>
    <t>Uncharacterized protein OS=Prunus persica GN=PRUPE_ppa021164mg PE=4 SV=1</t>
  </si>
  <si>
    <t>Uncharacterized protein (Fragment) OS=Prunus persica GN=PRUPE_ppa024936mg PE=3 SV=1</t>
  </si>
  <si>
    <t>Uncharacterized protein OS=Prunus persica GN=PRUPE_ppa003818mg PE=3 SV=1</t>
  </si>
  <si>
    <t>Uncharacterized protein OS=Prunus persica GN=PRUPE_ppa005860mg PE=3 SV=1</t>
  </si>
  <si>
    <t>Uncharacterized protein (Fragment) OS=Prunus persica GN=PRUPE_ppa018326mg PE=4 SV=1</t>
  </si>
  <si>
    <t>Glutamyl-tRNA reductase OS=Prunus persica GN=PRUPE_ppa003848mg PE=3 SV=1</t>
  </si>
  <si>
    <t>Uncharacterized protein OS=Prunus persica GN=PRUPE_ppa009440mg PE=4 SV=1</t>
  </si>
  <si>
    <t>Uncharacterized protein OS=Prunus persica GN=PRUPE_ppa020008mg PE=4 SV=1</t>
  </si>
  <si>
    <t>Uncharacterized protein OS=Prunus persica GN=PRUPE_ppa009832mg PE=4 SV=1</t>
  </si>
  <si>
    <t>Uncharacterized protein OS=Prunus persica GN=PRUPE_ppa005191mg PE=4 SV=1</t>
  </si>
  <si>
    <t>Uncharacterized protein OS=Prunus persica GN=PRUPE_ppb008343mg PE=4 SV=1</t>
  </si>
  <si>
    <t>Uncharacterized protein OS=Prunus persica GN=PRUPE_ppa008273mg PE=4 SV=1</t>
  </si>
  <si>
    <t>Uncharacterized protein OS=Prunus persica GN=PRUPE_ppa011656mg PE=3 SV=1</t>
  </si>
  <si>
    <t>Uncharacterized protein OS=Prunus persica GN=PRUPE_ppa007177mg PE=4 SV=1</t>
  </si>
  <si>
    <t>Uncharacterized protein OS=Prunus persica GN=PRUPE_ppa012018mg PE=4 SV=1</t>
  </si>
  <si>
    <t>Uncharacterized protein (Fragment) OS=Prunus persica GN=PRUPE_ppa020691mg PE=4 SV=1</t>
  </si>
  <si>
    <t>AT3G63410 protein OS=Arabidopsis thaliana GN=At3g63410 PE=2 SV=1</t>
  </si>
  <si>
    <t>Uncharacterized protein OS=Prunus persica GN=PRUPE_ppa013426mg PE=4 SV=1</t>
  </si>
  <si>
    <t>Uncharacterized protein OS=Prunus persica GN=PRUPE_ppa004604mg PE=4 SV=1</t>
  </si>
  <si>
    <t>Uncharacterized protein OS=Prunus persica GN=PRUPE_ppa004636mg PE=3 SV=1</t>
  </si>
  <si>
    <t>Uncharacterized protein OS=Prunus persica GN=PRUPE_ppa012533mg PE=4 SV=1</t>
  </si>
  <si>
    <t>Uncharacterized protein OS=Prunus persica GN=PRUPE_ppa020470mg PE=4 SV=1</t>
  </si>
  <si>
    <t>Uncharacterized protein OS=Prunus persica GN=PRUPE_ppa006630mg PE=4 SV=1</t>
  </si>
  <si>
    <t>Uncharacterized protein OS=Prunus persica GN=PRUPE_ppa022935mg PE=4 SV=1</t>
  </si>
  <si>
    <t>Uncharacterized protein OS=Prunus persica GN=PRUPE_ppa009316mg PE=4 SV=1</t>
  </si>
  <si>
    <t>Uncharacterized protein OS=Prunus persica GN=PRUPE_ppa007330mg PE=4 SV=1</t>
  </si>
  <si>
    <t>Uncharacterized protein OS=Prunus persica GN=PRUPE_ppa003788mg PE=4 SV=1</t>
  </si>
  <si>
    <t>Uncharacterized protein OS=Prunus persica GN=PRUPE_ppa006558mg PE=4 SV=1</t>
  </si>
  <si>
    <t>Ubiquinol oxidase OS=Prunus persica GN=PRUPE_ppa007820mg PE=3 SV=1</t>
  </si>
  <si>
    <t>Uncharacterized protein OS=Prunus persica GN=PRUPE_ppa003434mg PE=3 SV=1</t>
  </si>
  <si>
    <t>Uncharacterized protein OS=Prunus persica GN=PRUPE_ppa001726mg PE=4 SV=1</t>
  </si>
  <si>
    <t>Phospholipase D OS=Prunus persica GN=PRUPE_ppa001528mg PE=3 SV=1</t>
  </si>
  <si>
    <t>Uncharacterized protein OS=Prunus persica GN=PRUPE_ppa005441mg PE=4 SV=1</t>
  </si>
  <si>
    <t>Uncharacterized protein OS=Prunus persica GN=PRUPE_ppa007724mg PE=4 SV=1</t>
  </si>
  <si>
    <t>Uncharacterized protein OS=Prunus persica GN=PRUPE_ppa009397mg PE=4 SV=1</t>
  </si>
  <si>
    <t>Uncharacterized protein OS=Prunus persica GN=PRUPE_ppa005251mg PE=4 SV=1</t>
  </si>
  <si>
    <t>Uncharacterized protein OS=Prunus persica GN=PRUPE_ppa000407mg PE=4 SV=1</t>
  </si>
  <si>
    <t>Uncharacterized protein OS=Prunus persica GN=PRUPE_ppa006614mg PE=4 SV=1</t>
  </si>
  <si>
    <t>Uncharacterized protein OS=Prunus persica GN=PRUPE_ppa010790mg PE=4 SV=1</t>
  </si>
  <si>
    <t>Uncharacterized protein OS=Prunus persica GN=PRUPE_ppa006074mg PE=4 SV=1</t>
  </si>
  <si>
    <t>Electron transport complex protein rnfC, putative isoform 3 OS=Theobroma cacao GN=TCM_020238 PE=4 SV=1</t>
  </si>
  <si>
    <t>Uncharacterized protein OS=Prunus persica GN=PRUPE_ppa008445mg PE=4 SV=1</t>
  </si>
  <si>
    <t>Uncharacterized protein OS=Prunus persica GN=PRUPE_ppa012998mg PE=3 SV=1</t>
  </si>
  <si>
    <t>Uncharacterized protein (Fragment) OS=Prunus persica GN=PRUPE_ppa015203mg PE=4 SV=1</t>
  </si>
  <si>
    <t>Uncharacterized protein OS=Prunus persica GN=PRUPE_ppa002824mg PE=4 SV=1</t>
  </si>
  <si>
    <t>Uncharacterized protein OS=Prunus persica GN=PRUPE_ppa009735mg PE=4 SV=1</t>
  </si>
  <si>
    <t>Uncharacterized protein OS=Prunus persica GN=PRUPE_ppa013406mg PE=4 SV=1</t>
  </si>
  <si>
    <t>Uncharacterized protein OS=Prunus persica GN=PRUPE_ppa000914mg PE=4 SV=1</t>
  </si>
  <si>
    <t>Uncharacterized protein OS=Prunus persica GN=PRUPE_ppa006122mg PE=4 SV=1</t>
  </si>
  <si>
    <t>Uncharacterized protein OS=Prunus persica GN=PRUPE_ppa017494mg PE=4 SV=1</t>
  </si>
  <si>
    <t>Uncharacterized protein OS=Prunus persica GN=PRUPE_ppa013804mg PE=4 SV=1</t>
  </si>
  <si>
    <t>Uncharacterized protein OS=Prunus persica GN=PRUPE_ppa017576mg PE=4 SV=1</t>
  </si>
  <si>
    <t>Uncharacterized protein OS=Prunus persica GN=PRUPE_ppa007680mg PE=4 SV=1</t>
  </si>
  <si>
    <t>Uncharacterized protein OS=Prunus persica GN=PRUPE_ppa016262mg PE=4 SV=1</t>
  </si>
  <si>
    <t>Uncharacterized protein OS=Prunus persica GN=PRUPE_ppa024155mg PE=4 SV=1</t>
  </si>
  <si>
    <t>Uncharacterized protein OS=Prunus persica GN=PRUPE_ppa011930mg PE=4 SV=1</t>
  </si>
  <si>
    <t>Uncharacterized protein OS=Prunus persica GN=PRUPE_ppa008324mg PE=4 SV=1</t>
  </si>
  <si>
    <t>Uncharacterized protein OS=Fusarium pseudograminearum (strain CS3096) GN=FPSE_04680 PE=4 SV=1</t>
  </si>
  <si>
    <t>Hexosyltransferase OS=Prunus persica GN=PRUPE_ppa007313mg PE=3 SV=1</t>
  </si>
  <si>
    <t>Uncharacterized protein OS=Prunus persica GN=PRUPE_ppa025519mg PE=4 SV=1</t>
  </si>
  <si>
    <t>Uncharacterized protein OS=Prunus persica GN=PRUPE_ppa023487mg PE=4 SV=1</t>
  </si>
  <si>
    <t>Uncharacterized protein OS=Prunus persica GN=PRUPE_ppa005699mg PE=4 SV=1</t>
  </si>
  <si>
    <t>Uncharacterized protein OS=Prunus persica GN=PRUPE_ppa023135mg PE=4 SV=1</t>
  </si>
  <si>
    <t>Uncharacterized protein OS=Prunus persica GN=PRUPE_ppa021095mg PE=3 SV=1</t>
  </si>
  <si>
    <t>Uncharacterized protein OS=Prunus persica GN=PRUPE_ppa023379mg PE=4 SV=1</t>
  </si>
  <si>
    <t>Uncharacterized protein OS=Prunus persica GN=PRUPE_ppa011290mg PE=3 SV=1</t>
  </si>
  <si>
    <t>Uncharacterized protein OS=Prunus persica GN=PRUPE_ppa009675mg PE=4 SV=1</t>
  </si>
  <si>
    <t>TRNA--methyltransferase isoform 1 OS=Theobroma cacao GN=TCM_030392 PE=4 SV=1</t>
  </si>
  <si>
    <t>Uncharacterized protein (Fragment) OS=Prunus persica GN=PRUPE_ppa022924mg PE=4 SV=1</t>
  </si>
  <si>
    <t>Uncharacterized protein OS=Prunus persica GN=PRUPE_ppa020240mg PE=4 SV=1</t>
  </si>
  <si>
    <t>Uncharacterized protein OS=Prunus persica GN=PRUPE_ppa007776mg PE=4 SV=1</t>
  </si>
  <si>
    <t>Uncharacterized protein OS=Citrus clementina GN=CICLE_v10025285mg PE=4 SV=1</t>
  </si>
  <si>
    <t>Uncharacterized protein OS=Prunus persica GN=PRUPE_ppa008044mg PE=4 SV=1</t>
  </si>
  <si>
    <t>Uncharacterized protein OS=Prunus persica GN=PRUPE_ppa000675mg PE=3 SV=1</t>
  </si>
  <si>
    <t>Uncharacterized protein OS=Prunus persica GN=PRUPE_ppa000254mg PE=4 SV=1</t>
  </si>
  <si>
    <t>Uncharacterized protein OS=Prunus persica GN=PRUPE_ppa014678mg PE=4 SV=1</t>
  </si>
  <si>
    <t>Uncharacterized protein OS=Prunus persica GN=PRUPE_ppa009361mg PE=4 SV=1</t>
  </si>
  <si>
    <t>Uncharacterized protein OS=Prunus persica GN=PRUPE_ppa008855mg PE=4 SV=1</t>
  </si>
  <si>
    <t>Trehalose 6-phosphate phosphatase OS=Prunus persica GN=PRUPE_ppa007023mg PE=3 SV=1</t>
  </si>
  <si>
    <t>Uncharacterized protein OS=Prunus persica GN=PRUPE_ppa003188mg PE=4 SV=1</t>
  </si>
  <si>
    <t>Uncharacterized protein OS=Prunus persica GN=PRUPE_ppa006419mg PE=4 SV=1</t>
  </si>
  <si>
    <t>Uncharacterized protein OS=Prunus persica GN=PRUPE_ppa001758mg PE=4 SV=1</t>
  </si>
  <si>
    <t>Mitogen-activated protein kinase OS=Prunus persica GN=PRUPE_ppa006536mg PE=3 SV=1</t>
  </si>
  <si>
    <t>Uncharacterized protein OS=Prunus persica GN=PRUPE_ppa005852mg PE=4 SV=1</t>
  </si>
  <si>
    <t>Uncharacterized protein OS=Prunus persica GN=PRUPE_ppa001219mg PE=4 SV=1</t>
  </si>
  <si>
    <t>Uncharacterized protein OS=Jatropha curcas GN=JCGZ_00932 PE=4 SV=1</t>
  </si>
  <si>
    <t>Uncharacterized protein OS=Prunus persica GN=PRUPE_ppa001445mg PE=4 SV=1</t>
  </si>
  <si>
    <t>Uncharacterized protein OS=Prunus persica GN=PRUPE_ppa008419mg PE=4 SV=1</t>
  </si>
  <si>
    <t>Arginine biosynthesis bifunctional protein ArgJ, chloroplastic OS=Prunus persica GN=PRUPE_ppa005393mg PE=3 SV=1</t>
  </si>
  <si>
    <t>Uncharacterized protein OS=Prunus persica GN=PRUPE_ppa006027mg PE=4 SV=1</t>
  </si>
  <si>
    <t>Kinesin-like protein (Fragment) OS=Prunus persica GN=PRUPE_ppa026079mg PE=3 SV=1</t>
  </si>
  <si>
    <t>Uncharacterized protein OS=Prunus persica GN=PRUPE_ppa018679mg PE=4 SV=1</t>
  </si>
  <si>
    <t>Uncharacterized protein OS=Prunus persica GN=PRUPE_ppa018726mg PE=4 SV=1</t>
  </si>
  <si>
    <t>Uncharacterized protein OS=Prunus persica GN=PRUPE_ppa012656mg PE=3 SV=1</t>
  </si>
  <si>
    <t>Uncharacterized protein OS=Prunus persica GN=PRUPE_ppa009413mg PE=4 SV=1</t>
  </si>
  <si>
    <t>Uncharacterized protein OS=Prunus persica GN=PRUPE_ppa011277mg PE=3 SV=1</t>
  </si>
  <si>
    <t>Uncharacterized protein OS=Prunus persica GN=PRUPE_ppa004454mg PE=4 SV=1</t>
  </si>
  <si>
    <t>Uncharacterized protein OS=Prunus persica GN=PRUPE_ppa015335mg PE=4 SV=1</t>
  </si>
  <si>
    <t>Uncharacterized protein OS=Prunus persica GN=PRUPE_ppa019884mg PE=4 SV=1</t>
  </si>
  <si>
    <t>Pyruvate kinase OS=Theobroma cacao GN=TCM_043508 PE=3 SV=1</t>
  </si>
  <si>
    <t>Uncharacterized protein OS=Prunus persica GN=PRUPE_ppa019185mg PE=4 SV=1</t>
  </si>
  <si>
    <t>Uncharacterized protein OS=Prunus persica GN=PRUPE_ppa011781mg PE=4 SV=1</t>
  </si>
  <si>
    <t>Chloride channel protein OS=Prunus persica GN=PRUPE_ppa001619mg PE=3 SV=1</t>
  </si>
  <si>
    <t>Uncharacterized protein OS=Prunus persica GN=PRUPE_ppa019923mg PE=4 SV=1</t>
  </si>
  <si>
    <t>Ethylene responsive factor (Fragment) OS=Prunus persica GN=ERF2.a PE=2 SV=1</t>
  </si>
  <si>
    <t>Uncharacterized protein OS=Prunus persica GN=PRUPE_ppa017195mg PE=4 SV=1</t>
  </si>
  <si>
    <t>Uncharacterized protein OS=Prunus persica GN=PRUPE_ppa005402mg PE=4 SV=1</t>
  </si>
  <si>
    <t>Uncharacterized protein OS=Prunus persica GN=PRUPE_ppa001954mg PE=4 SV=1</t>
  </si>
  <si>
    <t>Uncharacterized protein OS=Prunus persica GN=PRUPE_ppa020151mg PE=4 SV=1</t>
  </si>
  <si>
    <t>Uncharacterized protein OS=Prunus persica GN=PRUPE_ppa007265mg PE=3 SV=1</t>
  </si>
  <si>
    <t>Uncharacterized protein OS=Prunus persica GN=PRUPE_ppa018683mg PE=4 SV=1</t>
  </si>
  <si>
    <t>Pectinesterase OS=Prunus persica GN=PRUPE_ppa004413mg PE=3 SV=1</t>
  </si>
  <si>
    <t>Uncharacterized protein (Fragment) OS=Prunus persica GN=PRUPE_ppa020863mg PE=4 SV=1</t>
  </si>
  <si>
    <t>Proteasome subunit beta type OS=Prunus persica GN=PRUPE_ppa009896mg PE=3 SV=1</t>
  </si>
  <si>
    <t>Uncharacterized protein OS=Prunus persica GN=PRUPE_ppa002283mg PE=4 SV=1</t>
  </si>
  <si>
    <t>Uncharacterized protein OS=Prunus persica GN=PRUPE_ppa012722mg PE=4 SV=1</t>
  </si>
  <si>
    <t>Uncharacterized protein OS=Prunus persica GN=PRUPE_ppa009098mg PE=4 SV=1</t>
  </si>
  <si>
    <t>Uncharacterized protein OS=Prunus persica GN=PRUPE_ppa004725mg PE=4 SV=1</t>
  </si>
  <si>
    <t>Uncharacterized protein OS=Prunus persica GN=PRUPE_ppa005939mg PE=4 SV=1</t>
  </si>
  <si>
    <t>Uncharacterized protein OS=Prunus persica GN=PRUPE_ppa023902mg PE=4 SV=1</t>
  </si>
  <si>
    <t>Uncharacterized protein OS=Prunus persica GN=PRUPE_ppa001074mg PE=3 SV=1</t>
  </si>
  <si>
    <t>Uncharacterized protein OS=Prunus persica GN=PRUPE_ppa013698mg PE=4 SV=1</t>
  </si>
  <si>
    <t>Uncharacterized protein OS=Prunus persica GN=PRUPE_ppa006943mg PE=4 SV=1</t>
  </si>
  <si>
    <t>Uncharacterized protein OS=Prunus persica GN=PRUPE_ppa002236mg PE=4 SV=1</t>
  </si>
  <si>
    <t>Uncharacterized protein OS=Prunus persica GN=PRUPE_ppa002703mg PE=4 SV=1</t>
  </si>
  <si>
    <t>Uncharacterized protein OS=Prunus persica GN=PRUPE_ppa009734mg PE=3 SV=1</t>
  </si>
  <si>
    <t>Uncharacterized protein OS=Prunus persica GN=PRUPE_ppa000116mg PE=4 SV=1</t>
  </si>
  <si>
    <t>Uncharacterized protein (Fragment) OS=Prunus persica GN=PRUPE_ppa021209mg PE=4 SV=1</t>
  </si>
  <si>
    <t>Actin OS=Populus tomentosa PE=3 SV=1</t>
  </si>
  <si>
    <t>Uncharacterized protein OS=Prunus persica GN=PRUPE_ppa001430mg PE=3 SV=1</t>
  </si>
  <si>
    <t>Ubiquitin carboxyl-terminal hydrolase OS=Prunus persica GN=PRUPE_ppa007401mg PE=3 SV=1</t>
  </si>
  <si>
    <t>Uncharacterized protein OS=Prunus persica GN=PRUPE_ppa004285mg PE=4 SV=1</t>
  </si>
  <si>
    <t>Uncharacterized protein OS=Prunus persica GN=PRUPE_ppa004495mg PE=3 SV=1</t>
  </si>
  <si>
    <t>Uncharacterized protein OS=Prunus persica GN=PRUPE_ppa006037mg PE=4 SV=1</t>
  </si>
  <si>
    <t>Uncharacterized protein OS=Prunus persica GN=PRUPE_ppa005989mg PE=3 SV=1</t>
  </si>
  <si>
    <t>Uncharacterized protein OS=Prunus persica GN=PRUPE_ppa010473mg PE=4 SV=1</t>
  </si>
  <si>
    <t>Uncharacterized protein OS=Prunus persica GN=PRUPE_ppa011554mg PE=4 SV=1</t>
  </si>
  <si>
    <t>IclR helix-turn-helix domain protein OS=Escherichia coli MS 196-1 GN=HMPREF9551_01078 PE=4 SV=1</t>
  </si>
  <si>
    <t>Uncharacterized protein OS=Prunus persica GN=PRUPE_ppa015055mg PE=4 SV=1</t>
  </si>
  <si>
    <t>Uncharacterized protein OS=Prunus persica GN=PRUPE_ppa008066mg PE=4 SV=1</t>
  </si>
  <si>
    <t>Uncharacterized protein OS=Prunus persica GN=PRUPE_ppa012286mg PE=4 SV=1</t>
  </si>
  <si>
    <t>Kinesin-like protein OS=Prunus persica GN=PRUPE_ppa000821mg PE=3 SV=1</t>
  </si>
  <si>
    <t>Uncharacterized protein OS=Prunus persica GN=PRUPE_ppa024332mg PE=4 SV=1</t>
  </si>
  <si>
    <t>Uncharacterized protein OS=Prunus persica GN=PRUPE_ppa013327mg PE=4 SV=1</t>
  </si>
  <si>
    <t>Uncharacterized protein OS=Prunus persica GN=PRUPE_ppa026705mg PE=4 SV=1</t>
  </si>
  <si>
    <t>Uncharacterized protein OS=Prunus persica GN=PRUPE_ppa001799mg PE=3 SV=1</t>
  </si>
  <si>
    <t>Uncharacterized protein OS=Prunus persica GN=PRUPE_ppa000015mg PE=4 SV=1</t>
  </si>
  <si>
    <t>Putative uncharacterized protein OS=Vitis vinifera GN=VITISV_035279 PE=4 SV=1</t>
  </si>
  <si>
    <t>Uncharacterized protein OS=Prunus persica GN=PRUPE_ppa024941mg PE=4 SV=1</t>
  </si>
  <si>
    <t>Uncharacterized protein OS=Prunus persica GN=PRUPE_ppa017073mg PE=4 SV=1</t>
  </si>
  <si>
    <t>Glycosyltransferase OS=Prunus persica GN=PRUPE_ppa021058mg PE=3 SV=1</t>
  </si>
  <si>
    <t>Uncharacterized protein OS=Prunus persica GN=PRUPE_ppa002896mg PE=4 SV=1</t>
  </si>
  <si>
    <t>Uncharacterized protein OS=Prunus persica GN=PRUPE_ppa025162mg PE=3 SV=1</t>
  </si>
  <si>
    <t>Uncharacterized protein OS=Prunus persica GN=PRUPE_ppa011983mg PE=4 SV=1</t>
  </si>
  <si>
    <t>Uncharacterized protein (Fragment) OS=Prunus persica GN=PRUPE_ppa015613mg PE=4 SV=1</t>
  </si>
  <si>
    <t>Uncharacterized protein OS=Prunus persica GN=PRUPE_ppa005667mg PE=4 SV=1</t>
  </si>
  <si>
    <t>Uncharacterized protein (Fragment) OS=Prunus persica GN=PRUPE_ppa018821mg PE=4 SV=1</t>
  </si>
  <si>
    <t>Uncharacterized protein OS=Prunus persica GN=PRUPE_ppa003159mg PE=4 SV=1</t>
  </si>
  <si>
    <t>Uncharacterized protein OS=Prunus persica GN=PRUPE_ppa005401mg PE=4 SV=1</t>
  </si>
  <si>
    <t>Uncharacterized protein OS=Prunus persica GN=PRUPE_ppa023561mg PE=4 SV=1</t>
  </si>
  <si>
    <t>Uncharacterized protein OS=Prunus persica GN=PRUPE_ppa001947mg PE=4 SV=1</t>
  </si>
  <si>
    <t>Uncharacterized protein OS=Prunus persica GN=PRUPE_ppa000633mg PE=4 SV=1</t>
  </si>
  <si>
    <t>Uncharacterized protein OS=Prunus persica GN=PRUPE_ppa007896mg PE=4 SV=1</t>
  </si>
  <si>
    <t>Uncharacterized protein OS=Prunus persica GN=PRUPE_ppa004116mg PE=3 SV=1</t>
  </si>
  <si>
    <t>Uncharacterized protein OS=Prunus persica GN=PRUPE_ppa003358mg PE=4 SV=1</t>
  </si>
  <si>
    <t>Putative uncharacterized protein OS=Vitis vinifera GN=VIT_06s0004g02070 PE=3 SV=1</t>
  </si>
  <si>
    <t>Coatomer subunit alpha OS=Prunus persica GN=PRUPE_ppa000388mg PE=4 SV=1</t>
  </si>
  <si>
    <t>Uncharacterized protein OS=Prunus persica GN=PRUPE_ppa009386mg PE=4 SV=1</t>
  </si>
  <si>
    <t>Uncharacterized protein OS=Prunus persica GN=PRUPE_ppa012240mg PE=4 SV=1</t>
  </si>
  <si>
    <t>Uncharacterized protein OS=Prunus persica GN=PRUPE_ppa019291mg PE=4 SV=1</t>
  </si>
  <si>
    <t>Uncharacterized protein OS=Prunus persica GN=PRUPE_ppa008995mg PE=3 SV=1</t>
  </si>
  <si>
    <t>Uncharacterized protein OS=Prunus persica GN=PRUPE_ppa004178mg PE=4 SV=1</t>
  </si>
  <si>
    <t>Uncharacterized protein OS=Prunus persica GN=PRUPE_ppa001193mg PE=4 SV=1</t>
  </si>
  <si>
    <t>Putative gag-pol polyprotein OS=Fragaria ananassa PE=4 SV=1</t>
  </si>
  <si>
    <t>Uncharacterized protein OS=Prunus persica GN=PRUPE_ppa001481mg PE=3 SV=1</t>
  </si>
  <si>
    <t>Uncharacterized protein OS=Prunus persica GN=PRUPE_ppa001946mg PE=4 SV=1</t>
  </si>
  <si>
    <t>Uncharacterized protein OS=Prunus persica GN=PRUPE_ppa004764mg PE=4 SV=1</t>
  </si>
  <si>
    <t>Uncharacterized protein OS=Prunus persica GN=PRUPE_ppa020856mg PE=4 SV=1</t>
  </si>
  <si>
    <t>Uncharacterized protein OS=Prunus persica GN=PRUPE_ppa027011mg PE=4 SV=1</t>
  </si>
  <si>
    <t>Uncharacterized protein OS=Prunus persica GN=PRUPE_ppa024556mg PE=3 SV=1</t>
  </si>
  <si>
    <t>Uncharacterized protein (Fragment) OS=Prunus persica GN=PRUPE_ppa017816mg PE=3 SV=1</t>
  </si>
  <si>
    <t>Uncharacterized protein (Fragment) OS=Prunus persica GN=PRUPE_ppa018620mg PE=4 SV=1</t>
  </si>
  <si>
    <t>Uncharacterized protein OS=Prunus persica GN=PRUPE_ppa014918mg PE=4 SV=1</t>
  </si>
  <si>
    <t>Uncharacterized protein OS=Prunus persica GN=PRUPE_ppa012848mg PE=4 SV=1</t>
  </si>
  <si>
    <t>Endo-1,3-beta-glucanase OS=Pyrus pyrifolia PE=2 SV=1</t>
  </si>
  <si>
    <t>Uncharacterized protein OS=Prunus persica GN=PRUPE_ppa007517mg PE=4 SV=1</t>
  </si>
  <si>
    <t>Glycosyltransferase OS=Prunus persica GN=PRUPE_ppa004957mg PE=3 SV=1</t>
  </si>
  <si>
    <t>Uncharacterized WD repeat-containing protein OS=Morus notabilis GN=L484_021552 PE=4 SV=1</t>
  </si>
  <si>
    <t>Pyruvate kinase (Fragment) OS=Prunus persica GN=PRUPE_ppa003739m2g PE=3 SV=1</t>
  </si>
  <si>
    <t>Uncharacterized protein OS=Prunus persica GN=PRUPE_ppa007277mg PE=4 SV=1</t>
  </si>
  <si>
    <t>Uncharacterized protein OS=Prunus persica GN=PRUPE_ppa009493mg PE=4 SV=1</t>
  </si>
  <si>
    <t>Uncharacterized protein OS=Prunus persica GN=PRUPE_ppa009086mg PE=4 SV=1</t>
  </si>
  <si>
    <t>Uncharacterized protein OS=Prunus persica GN=PRUPE_ppa021180mg PE=4 SV=1</t>
  </si>
  <si>
    <t>Uncharacterized protein OS=Prunus persica GN=PRUPE_ppa002866mg PE=3 SV=1</t>
  </si>
  <si>
    <t>Uncharacterized protein OS=Prunus persica GN=PRUPE_ppa008328mg PE=4 SV=1</t>
  </si>
  <si>
    <t>Uncharacterized protein OS=Prunus persica GN=PRUPE_ppa018614mg PE=4 SV=1</t>
  </si>
  <si>
    <t>Uncharacterized protein OS=Prunus persica GN=PRUPE_ppa006348mg PE=4 SV=1</t>
  </si>
  <si>
    <t>GrpE protein homolog OS=Prunus persica GN=PRUPE_ppa008776mg PE=3 SV=1</t>
  </si>
  <si>
    <t>Uncharacterized protein OS=Prunus persica GN=PRUPE_ppa016008mg PE=4 SV=1</t>
  </si>
  <si>
    <t>Uncharacterized protein OS=Prunus persica GN=PRUPE_ppa010031mg PE=4 SV=1</t>
  </si>
  <si>
    <t>L-ascorbate peroxidase 3 OS=Morus notabilis GN=L484_026656 PE=3 SV=1</t>
  </si>
  <si>
    <t>Uncharacterized protein OS=Prunus persica GN=PRUPE_ppa021050mg PE=4 SV=1</t>
  </si>
  <si>
    <t>Putative uncharacterized protein OS=Vitis vinifera GN=VIT_01s0127g00380 PE=4 SV=1</t>
  </si>
  <si>
    <t>Uncharacterized protein OS=Prunus persica GN=PRUPE_ppa000367mg PE=4 SV=1</t>
  </si>
  <si>
    <t>Uncharacterized protein OS=Prunus persica GN=PRUPE_ppa008006mg PE=4 SV=1</t>
  </si>
  <si>
    <t>Uncharacterized protein OS=Prunus persica GN=PRUPE_ppa007549mg PE=4 SV=1</t>
  </si>
  <si>
    <t>Uncharacterized protein OS=Prunus persica GN=PRUPE_ppa013005mg PE=4 SV=1</t>
  </si>
  <si>
    <t>Uncharacterized protein OS=Prunus persica GN=PRUPE_ppa012042mg PE=4 SV=1</t>
  </si>
  <si>
    <t>Uncharacterized protein OS=Prunus persica GN=PRUPE_ppa013238mg PE=4 SV=1</t>
  </si>
  <si>
    <t>Uncharacterized protein OS=Prunus persica GN=PRUPE_ppa006591mg PE=4 SV=1</t>
  </si>
  <si>
    <t>Uncharacterized protein OS=Prunus persica GN=PRUPE_ppa017760mg PE=4 SV=1</t>
  </si>
  <si>
    <t>Uncharacterized protein OS=Prunus persica GN=PRUPE_ppa014828mg PE=4 SV=1</t>
  </si>
  <si>
    <t>Uncharacterized protein OS=Prunus persica GN=PRUPE_ppa006347mg PE=3 SV=1</t>
  </si>
  <si>
    <t>Uncharacterized protein OS=Prunus persica GN=PRUPE_ppa002189mg PE=4 SV=1</t>
  </si>
  <si>
    <t>Uncharacterized protein OS=Prunus persica GN=PRUPE_ppa005562mg PE=4 SV=1</t>
  </si>
  <si>
    <t>Uncharacterized protein OS=Prunus persica GN=PRUPE_ppa008323mg PE=4 SV=1</t>
  </si>
  <si>
    <t>Uncharacterized protein (Fragment) OS=Prunus persica GN=PRUPE_ppa025144mg PE=4 SV=1</t>
  </si>
  <si>
    <t>Pre-mRNA-splicing factor SF2-like protein OS=Medicago truncatula GN=MTR_3g092580 PE=4 SV=1</t>
  </si>
  <si>
    <t>Uncharacterized protein OS=Prunus persica GN=PRUPE_ppa015196mg PE=4 SV=1</t>
  </si>
  <si>
    <t>Uncharacterized protein OS=Prunus persica GN=PRUPE_ppa011631mg PE=4 SV=1</t>
  </si>
  <si>
    <t>Uncharacterized protein OS=Prunus persica GN=PRUPE_ppa001944mg PE=4 SV=1</t>
  </si>
  <si>
    <t>Auxin-responsive protein OS=Prunus persica GN=PRUPE_ppa018956mg PE=3 SV=1</t>
  </si>
  <si>
    <t>Uncharacterized protein OS=Prunus persica GN=PRUPE_ppa019730mg PE=4 SV=1</t>
  </si>
  <si>
    <t>Uncharacterized protein OS=Prunus persica GN=PRUPE_ppa013618mg PE=4 SV=1</t>
  </si>
  <si>
    <t>Uncharacterized protein OS=Prunus persica GN=PRUPE_ppa011692mg PE=4 SV=1</t>
  </si>
  <si>
    <t>Uncharacterized protein OS=Prunus persica GN=PRUPE_ppa009740mg PE=4 SV=1</t>
  </si>
  <si>
    <t>Uncharacterized protein OS=Prunus persica GN=PRUPE_ppa007215mg PE=4 SV=1</t>
  </si>
  <si>
    <t>SVP4 OS=Actinidia deliciosa PE=2 SV=1</t>
  </si>
  <si>
    <t>Uncharacterized protein OS=Prunus persica GN=PRUPE_ppa015542mg PE=4 SV=1</t>
  </si>
  <si>
    <t>Uncharacterized protein OS=Prunus persica GN=PRUPE_ppa002522mg PE=4 SV=1</t>
  </si>
  <si>
    <t>Uncharacterized protein OS=Prunus persica GN=PRUPE_ppa009943mg PE=3 SV=1</t>
  </si>
  <si>
    <t>Uncharacterized protein OS=Prunus persica GN=PRUPE_ppa002659mg PE=4 SV=1</t>
  </si>
  <si>
    <t>Uncharacterized protein OS=Prunus persica GN=PRUPE_ppa010187mg PE=4 SV=1</t>
  </si>
  <si>
    <t>Uncharacterized protein OS=Prunus persica GN=PRUPE_ppa005497mg PE=3 SV=1</t>
  </si>
  <si>
    <t>Uncharacterized protein OS=Arundo donax PE=4 SV=1</t>
  </si>
  <si>
    <t>Uncharacterized protein OS=Prunus persica GN=PRUPE_ppa016498mg PE=4 SV=1</t>
  </si>
  <si>
    <t>Uncharacterized protein OS=Prunus persica GN=PRUPE_ppa002452mg PE=4 SV=1</t>
  </si>
  <si>
    <t>Uncharacterized protein OS=Prunus persica GN=PRUPE_ppa003338mg PE=4 SV=1</t>
  </si>
  <si>
    <t>Uncharacterized protein OS=Prunus persica GN=PRUPE_ppa007207mg PE=4 SV=1</t>
  </si>
  <si>
    <t>Phosphoinositide phospholipase C OS=Prunus persica GN=PRUPE_ppa020283mg PE=4 SV=1</t>
  </si>
  <si>
    <t>Uncharacterized protein OS=Prunus persica GN=PRUPE_ppa024490mg PE=4 SV=1</t>
  </si>
  <si>
    <t>Uncharacterized protein (Fragment) OS=Prunus persica GN=PRUPE_ppa1027215mg PE=4 SV=1</t>
  </si>
  <si>
    <t>Uncharacterized protein OS=Prunus persica GN=PRUPE_ppa011849mg PE=3 SV=1</t>
  </si>
  <si>
    <t>Uncharacterized protein OS=Prunus persica GN=PRUPE_ppa009536mg PE=4 SV=1</t>
  </si>
  <si>
    <t>Uncharacterized protein OS=Prunus persica GN=PRUPE_ppa000421mg PE=4 SV=1</t>
  </si>
  <si>
    <t>Uncharacterized protein OS=Prunus persica GN=PRUPE_ppa009481mg PE=4 SV=1</t>
  </si>
  <si>
    <t>Uncharacterized protein OS=Prunus persica GN=PRUPE_ppa010038mg PE=4 SV=1</t>
  </si>
  <si>
    <t>Uncharacterized protein (Fragment) OS=Prunus persica GN=PRUPE_ppa016437mg PE=4 SV=1</t>
  </si>
  <si>
    <t>Uncharacterized protein OS=Prunus persica GN=PRUPE_ppa012221mg PE=4 SV=1</t>
  </si>
  <si>
    <t>Uncharacterized protein (Fragment) OS=Prunus persica GN=PRUPE_ppa018067mg PE=4 SV=1</t>
  </si>
  <si>
    <t>Uncharacterized protein OS=Prunus persica GN=PRUPE_ppa007562mg PE=4 SV=1</t>
  </si>
  <si>
    <t>Uncharacterized protein OS=Prunus persica GN=PRUPE_ppa002190mg PE=4 SV=1</t>
  </si>
  <si>
    <t>Uncharacterized protein OS=Prunus persica GN=PRUPE_ppa012048mg PE=3 SV=1</t>
  </si>
  <si>
    <t>Uncharacterized protein OS=Prunus persica GN=PRUPE_ppa006273mg PE=4 SV=1</t>
  </si>
  <si>
    <t>Uncharacterized protein OS=Prunus persica GN=PRUPE_ppa003095mg PE=4 SV=1</t>
  </si>
  <si>
    <t>Uncharacterized protein OS=Prunus persica GN=PRUPE_ppa013133mg PE=4 SV=1</t>
  </si>
  <si>
    <t>Glycosyltransferase OS=Prunus persica GN=PRUPE_ppa005112mg PE=3 SV=1</t>
  </si>
  <si>
    <t>Uncharacterized protein OS=Citrus sinensis GN=CISIN_1g018440mg PE=4 SV=1</t>
  </si>
  <si>
    <t>Uncharacterized protein OS=Prunus persica GN=PRUPE_ppa005840mg PE=4 SV=1</t>
  </si>
  <si>
    <t>Uncharacterized protein OS=Prunus persica GN=PRUPE_ppa008256mg PE=4 SV=1</t>
  </si>
  <si>
    <t>Uncharacterized protein OS=Prunus persica GN=PRUPE_ppa010018mg PE=4 SV=1</t>
  </si>
  <si>
    <t>Uncharacterized protein OS=Prunus persica GN=PRUPE_ppa026884mg PE=4 SV=1</t>
  </si>
  <si>
    <t>Uncharacterized protein OS=Prunus persica GN=PRUPE_ppa009559mg PE=4 SV=1</t>
  </si>
  <si>
    <t>Uncharacterized protein OS=Prunus persica GN=PRUPE_ppa011405mg PE=3 SV=1</t>
  </si>
  <si>
    <t>Uncharacterized protein OS=Prunus persica GN=PRUPE_ppa003472mg PE=3 SV=1</t>
  </si>
  <si>
    <t>Uncharacterized protein OS=Prunus persica GN=PRUPE_ppa012715mg PE=4 SV=1</t>
  </si>
  <si>
    <t>Uncharacterized protein OS=Prunus persica GN=PRUPE_ppa009062mg PE=4 SV=1</t>
  </si>
  <si>
    <t>Uncharacterized protein OS=Prunus persica GN=PRUPE_ppa009985mg PE=4 SV=1</t>
  </si>
  <si>
    <t>Uncharacterized protein OS=Prunus persica GN=PRUPE_ppa008702mg PE=4 SV=1</t>
  </si>
  <si>
    <t>Uncharacterized protein OS=Prunus persica GN=PRUPE_ppa010222mg PE=4 SV=1</t>
  </si>
  <si>
    <t>Uncharacterized protein OS=Prunus persica GN=PRUPE_ppa009753mg PE=4 SV=1</t>
  </si>
  <si>
    <t>Uncharacterized protein OS=Prunus persica GN=PRUPE_ppa008400mg PE=4 SV=1</t>
  </si>
  <si>
    <t>Uncharacterized protein OS=Prunus persica GN=PRUPE_ppa000348mg PE=4 SV=1</t>
  </si>
  <si>
    <t>Uncharacterized protein OS=Prunus persica GN=PRUPE_ppa011175mg PE=4 SV=1</t>
  </si>
  <si>
    <t>Serine/threonine-protein phosphatase OS=Prunus persica GN=PRUPE_ppa008549mg PE=3 SV=1</t>
  </si>
  <si>
    <t>Uncharacterized protein OS=Prunus persica GN=PRUPE_ppa013522mg PE=4 SV=1</t>
  </si>
  <si>
    <t>Uncharacterized protein OS=Prunus persica GN=PRUPE_ppa015122mg PE=4 SV=1</t>
  </si>
  <si>
    <t>Reticulon-like protein OS=Prunus persica GN=PRUPE_ppa010244mg PE=4 SV=1</t>
  </si>
  <si>
    <t>Uncharacterized protein OS=Prunus persica GN=PRUPE_ppa006364mg PE=3 SV=1</t>
  </si>
  <si>
    <t>Uncharacterized protein OS=Prunus persica GN=PRUPE_ppa006535mg PE=4 SV=1</t>
  </si>
  <si>
    <t>Uncharacterized protein OS=Prunus persica GN=PRUPE_ppa016206mg PE=4 SV=1</t>
  </si>
  <si>
    <t>Uncharacterized protein OS=Prunus persica GN=PRUPE_ppa001225mg PE=4 SV=1</t>
  </si>
  <si>
    <t>Uncharacterized protein OS=Prunus persica GN=PRUPE_ppa002519mg PE=3 SV=1</t>
  </si>
  <si>
    <t>Uncharacterized protein OS=Prunus persica GN=PRUPE_ppa008330mg PE=4 SV=1</t>
  </si>
  <si>
    <t>Uncharacterized protein OS=Prunus persica GN=PRUPE_ppa011156mg PE=3 SV=1</t>
  </si>
  <si>
    <t>Uncharacterized protein OS=Prunus persica GN=PRUPE_ppa008398mg PE=4 SV=1</t>
  </si>
  <si>
    <t>Uncharacterized protein OS=Prunus persica GN=PRUPE_ppa009274mg PE=3 SV=1</t>
  </si>
  <si>
    <t>Uncharacterized protein OS=Prunus persica GN=PRUPE_ppa023154mg PE=4 SV=1</t>
  </si>
  <si>
    <t>Uncharacterized protein OS=Prunus persica GN=PRUPE_ppa000802mg PE=4 SV=1</t>
  </si>
  <si>
    <t>Pectinesterase OS=Prunus persica GN=PRUPE_ppa003639mg PE=3 SV=1</t>
  </si>
  <si>
    <t>Uncharacterized protein OS=Fusarium oxysporum f. sp. lycopersici (strain 4287 / CBS 123668 / FGSC 9935 / NRRL 34936) GN=FOXG_00928 PE=3 SV=1</t>
  </si>
  <si>
    <t>Uncharacterized protein (Fragment) OS=Prunus persica GN=PRUPE_ppa021826mg PE=4 SV=1</t>
  </si>
  <si>
    <t>Uncharacterized protein OS=Prunus persica GN=PRUPE_ppa009537mg PE=4 SV=1</t>
  </si>
  <si>
    <t>Uncharacterized protein OS=Prunus persica GN=PRUPE_ppa004530mg PE=4 SV=1</t>
  </si>
  <si>
    <t>Uncharacterized protein OS=Prunus persica GN=PRUPE_ppa025269mg PE=4 SV=1</t>
  </si>
  <si>
    <t>Uncharacterized protein OS=Prunus persica GN=PRUPE_ppa024660mg PE=3 SV=1</t>
  </si>
  <si>
    <t>Uncharacterized protein OS=Prunus persica GN=PRUPE_ppa006376mg PE=4 SV=1</t>
  </si>
  <si>
    <t>Uncharacterized protein OS=Prunus persica GN=PRUPE_ppa000334mg PE=4 SV=1</t>
  </si>
  <si>
    <t>Uncharacterized protein OS=Prunus persica GN=PRUPE_ppa001874mg PE=4 SV=1</t>
  </si>
  <si>
    <t>Uncharacterized protein OS=Prunus persica GN=PRUPE_ppa008451mg PE=4 SV=1</t>
  </si>
  <si>
    <t>Uncharacterized protein OS=Prunus persica GN=PRUPE_ppa024094mg PE=4 SV=1</t>
  </si>
  <si>
    <t>Uncharacterized protein OS=Prunus persica GN=PRUPE_ppa017641mg PE=4 SV=1</t>
  </si>
  <si>
    <t>Uncharacterized protein OS=Prunus persica GN=PRUPE_ppa005710mg PE=3 SV=1</t>
  </si>
  <si>
    <t>Uncharacterized protein OS=Prunus persica GN=PRUPE_ppa004443mg PE=3 SV=1</t>
  </si>
  <si>
    <t>AP2 domain class transcription factor OS=Malus domestica GN=AP2D9 PE=2 SV=1</t>
  </si>
  <si>
    <t>Uncharacterized protein OS=Prunus persica GN=PRUPE_ppa007825mg PE=4 SV=1</t>
  </si>
  <si>
    <t>Uncharacterized protein OS=Prunus persica GN=PRUPE_ppa008215mg PE=4 SV=1</t>
  </si>
  <si>
    <t>Uncharacterized protein OS=Prunus persica GN=PRUPE_ppa005217mg PE=4 SV=1</t>
  </si>
  <si>
    <t>Uncharacterized protein OS=Morus notabilis GN=L484_012448 PE=4 SV=1</t>
  </si>
  <si>
    <t>Uncharacterized protein OS=Prunus persica GN=PRUPE_ppa005872mg PE=4 SV=1</t>
  </si>
  <si>
    <t>Uncharacterized protein OS=Amborella trichopoda GN=AMTR_s00041p00190400 PE=4 SV=1</t>
  </si>
  <si>
    <t>Uncharacterized protein OS=Prunus persica GN=PRUPE_ppa003911mg PE=3 SV=1</t>
  </si>
  <si>
    <t>Uncharacterized protein OS=Prunus persica GN=PRUPE_ppa018860mg PE=4 SV=1</t>
  </si>
  <si>
    <t>Uncharacterized protein OS=Prunus persica GN=PRUPE_ppa007904mg PE=3 SV=1</t>
  </si>
  <si>
    <t>Cation efflux protein/ zinc transporter, putative OS=Ricinus communis GN=RCOM_0852720 PE=4 SV=1</t>
  </si>
  <si>
    <t>Uncharacterized protein OS=Prunus persica GN=PRUPE_ppa008359mg PE=4 SV=1</t>
  </si>
  <si>
    <t>Uncharacterized protein OS=Prunus persica GN=PRUPE_ppa008936mg PE=4 SV=1</t>
  </si>
  <si>
    <t>Putative uncharacterized protein OS=Vitis vinifera GN=VIT_06s0004g02630 PE=4 SV=1</t>
  </si>
  <si>
    <t>Uncharacterized protein OS=Prunus persica GN=PRUPE_ppa026134mg PE=4 SV=1</t>
  </si>
  <si>
    <t>Uncharacterized protein OS=Prunus persica GN=PRUPE_ppa012291mg PE=4 SV=1</t>
  </si>
  <si>
    <t>Uncharacterized protein (Fragment) OS=Prunus persica GN=PRUPE_ppa016623mg PE=4 SV=1</t>
  </si>
  <si>
    <t>Uncharacterized protein OS=Prunus persica GN=PRUPE_ppa001199mg PE=4 SV=1</t>
  </si>
  <si>
    <t>Uncharacterized protein OS=Prunus persica GN=PRUPE_ppa000529mg PE=4 SV=1</t>
  </si>
  <si>
    <t>Uncharacterized protein OS=Prunus persica GN=PRUPE_ppa002373mg PE=4 SV=1</t>
  </si>
  <si>
    <t>Uncharacterized protein OS=Prunus persica GN=PRUPE_ppa012136mg PE=4 SV=1</t>
  </si>
  <si>
    <t>Uncharacterized protein OS=Prunus persica GN=PRUPE_ppa010009mg PE=4 SV=1</t>
  </si>
  <si>
    <t>Malic enzyme OS=Prunus persica GN=PRUPE_ppa002714mg PE=3 SV=1</t>
  </si>
  <si>
    <t>Uncharacterized protein OS=Prunus persica GN=PRUPE_ppa012458mg PE=4 SV=1</t>
  </si>
  <si>
    <t>Uncharacterized protein OS=Prunus persica GN=PRUPE_ppa003915mg PE=3 SV=1</t>
  </si>
  <si>
    <t>Uncharacterized protein OS=Prunus persica GN=PRUPE_ppa020412mg PE=4 SV=1</t>
  </si>
  <si>
    <t>Uncharacterized protein OS=Prunus persica GN=PRUPE_ppa004757mg PE=4 SV=1</t>
  </si>
  <si>
    <t>Uncharacterized protein OS=Prunus persica GN=PRUPE_ppa004105mg PE=4 SV=1</t>
  </si>
  <si>
    <t>Uncharacterized protein OS=Prunus persica GN=PRUPE_ppa001601mg PE=4 SV=1</t>
  </si>
  <si>
    <t>Uncharacterized protein OS=Prunus persica GN=PRUPE_ppa001507mg PE=4 SV=1</t>
  </si>
  <si>
    <t>Uncharacterized protein (Fragment) OS=Prunus persica GN=PRUPE_ppa014799mg PE=4 SV=1</t>
  </si>
  <si>
    <t>Uncharacterized protein OS=Prunus persica GN=PRUPE_ppa011357mg PE=3 SV=1</t>
  </si>
  <si>
    <t>Uncharacterized protein OS=Prunus persica GN=PRUPE_ppa005628mg PE=4 SV=1</t>
  </si>
  <si>
    <t>Uncharacterized protein OS=Prunus persica GN=PRUPE_ppb018539mg PE=4 SV=1</t>
  </si>
  <si>
    <t>Carboxypeptidase OS=Prunus persica GN=PRUPE_ppa004242mg PE=3 SV=1</t>
  </si>
  <si>
    <t>Sodium transport ATPase FST OS=Nectria haematococca GN=fst PE=2 SV=1</t>
  </si>
  <si>
    <t>Uncharacterized protein OS=Gibberella zeae (strain PH-1 / ATCC MYA-4620 / FGSC 9075 / NRRL 31084) GN=FGSG_01440 PE=4 SV=1</t>
  </si>
  <si>
    <t>Uncharacterized protein OS=Prunus persica GN=PRUPE_ppa010429mg PE=4 SV=1</t>
  </si>
  <si>
    <t>Uncharacterized protein OS=Prunus persica GN=PRUPE_ppa015121mg PE=4 SV=1</t>
  </si>
  <si>
    <t>Uncharacterized protein OS=Prunus persica GN=PRUPE_ppa017399mg PE=4 SV=1</t>
  </si>
  <si>
    <t>Phospholipid-transporting ATPase OS=Prunus persica GN=PRUPE_ppa000420mg PE=3 SV=1</t>
  </si>
  <si>
    <t>Uncharacterized protein OS=Prunus persica GN=PRUPE_ppa018127mg PE=4 SV=1</t>
  </si>
  <si>
    <t>Uncharacterized protein OS=Prunus persica GN=PRUPE_ppa010392mg PE=4 SV=1</t>
  </si>
  <si>
    <t>Uncharacterized protein OS=Prunus persica GN=PRUPE_ppa008020mg PE=4 SV=1</t>
  </si>
  <si>
    <t>Uncharacterized protein OS=Prunus persica GN=PRUPE_ppa020294mg PE=4 SV=1</t>
  </si>
  <si>
    <t>Uncharacterized protein OS=Prunus persica GN=PRUPE_ppa004336mg PE=4 SV=1</t>
  </si>
  <si>
    <t>Uncharacterized protein OS=Prunus persica GN=PRUPE_ppa005071mg PE=4 SV=1</t>
  </si>
  <si>
    <t>Uncharacterized protein (Fragment) OS=Prunus persica GN=PRUPE_ppa017639mg PE=4 SV=1</t>
  </si>
  <si>
    <t>Putative uncharacterized protein OS=Vitis vinifera GN=VIT_18s0001g05620 PE=3 SV=1</t>
  </si>
  <si>
    <t>Uncharacterized protein OS=Prunus persica GN=PRUPE_ppa004774mg PE=3 SV=1</t>
  </si>
  <si>
    <t>Uncharacterized protein OS=Prunus persica GN=PRUPE_ppa006092mg PE=4 SV=1</t>
  </si>
  <si>
    <t>Uncharacterized protein OS=Prunus persica GN=PRUPE_ppa001389mg PE=4 SV=1</t>
  </si>
  <si>
    <t>Uncharacterized protein OS=Prunus persica GN=PRUPE_ppa005649mg PE=3 SV=1</t>
  </si>
  <si>
    <t>Uncharacterized protein OS=Prunus persica GN=PRUPE_ppa008437mg PE=3 SV=1</t>
  </si>
  <si>
    <t>Uncharacterized protein OS=Prunus persica GN=PRUPE_ppa007507mg PE=4 SV=1</t>
  </si>
  <si>
    <t>Uncharacterized protein (Fragment) OS=Prunus persica GN=PRUPE_ppa017525mg PE=4 SV=1</t>
  </si>
  <si>
    <t>Uncharacterized protein OS=Prunus persica GN=PRUPE_ppa003798mg PE=4 SV=1</t>
  </si>
  <si>
    <t>Uncharacterized protein OS=Medicago truncatula GN=MTR_1g115315 PE=4 SV=1</t>
  </si>
  <si>
    <t>Uncharacterized protein OS=Prunus persica GN=PRUPE_ppa008327mg PE=4 SV=1</t>
  </si>
  <si>
    <t>Xyloglucan endotransglucosylase/hydrolase OS=Prunus persica GN=PRUPE_ppa007685mg PE=3 SV=1</t>
  </si>
  <si>
    <t>Uncharacterized protein OS=Prunus persica GN=PRUPE_ppa002888mg PE=4 SV=1</t>
  </si>
  <si>
    <t>Sugar transporter SWEET OS=Prunus persica GN=PRUPE_ppa009789mg PE=3 SV=1</t>
  </si>
  <si>
    <t>Uncharacterized protein OS=Prunus persica GN=PRUPE_ppa005935mg PE=3 SV=1</t>
  </si>
  <si>
    <t>Uncharacterized protein OS=Prunus persica GN=PRUPE_ppa009665mg PE=4 SV=1</t>
  </si>
  <si>
    <t>Uncharacterized protein OS=Prunus persica GN=PRUPE_ppa027045mg PE=4 SV=1</t>
  </si>
  <si>
    <t>Uncharacterized protein OS=Prunus persica GN=PRUPE_ppa002181mg PE=4 SV=1</t>
  </si>
  <si>
    <t>Uncharacterized protein OS=Prunus persica GN=PRUPE_ppa006755mg PE=4 SV=1</t>
  </si>
  <si>
    <t>Uncharacterized protein OS=Prunus persica GN=PRUPE_ppa001418mg PE=4 SV=1</t>
  </si>
  <si>
    <t>Uncharacterized protein OS=Prunus persica GN=PRUPE_ppa000219mg PE=4 SV=1</t>
  </si>
  <si>
    <t>Uncharacterized protein (Fragment) OS=Prunus persica GN=PRUPE_ppa018142mg PE=3 SV=1</t>
  </si>
  <si>
    <t>Uncharacterized protein OS=Prunus persica GN=PRUPE_ppa017159mg PE=4 SV=1</t>
  </si>
  <si>
    <t>Uncharacterized protein OS=Prunus persica GN=PRUPE_ppa013260mg PE=4 SV=1</t>
  </si>
  <si>
    <t>Uncharacterized protein OS=Prunus persica GN=PRUPE_ppa002931mg PE=4 SV=1</t>
  </si>
  <si>
    <t>Uncharacterized protein OS=Prunus persica GN=PRUPE_ppa000689mg PE=4 SV=1</t>
  </si>
  <si>
    <t>Uncharacterized protein OS=Prunus persica GN=PRUPE_ppa019001mg PE=4 SV=1</t>
  </si>
  <si>
    <t>Kinesin-like protein OS=Prunus persica GN=PRUPE_ppa019074mg PE=3 SV=1</t>
  </si>
  <si>
    <t>Uncharacterized protein (Fragment) OS=Prunus persica GN=PRUPE_ppa015491mg PE=4 SV=1</t>
  </si>
  <si>
    <t>Uncharacterized protein OS=Prunus persica GN=PRUPE_ppa000919mg PE=4 SV=1</t>
  </si>
  <si>
    <t>Uncharacterized protein OS=Gossypium raimondii GN=B456_N003800 PE=4 SV=1</t>
  </si>
  <si>
    <t>Uncharacterized protein OS=Prunus persica GN=PRUPE_ppa007639mg PE=4 SV=1</t>
  </si>
  <si>
    <t>Uncharacterized protein (Fragment) OS=Prunus persica GN=PRUPE_ppa025414mg PE=4 SV=1</t>
  </si>
  <si>
    <t>Uncharacterized protein OS=Prunus persica GN=PRUPE_ppa014917mg PE=4 SV=1</t>
  </si>
  <si>
    <t>Uncharacterized protein OS=Prunus persica GN=PRUPE_ppa009918mg PE=4 SV=1</t>
  </si>
  <si>
    <t>Serine hydroxymethyltransferase OS=Prunus persica GN=PRUPE_ppa005242mg PE=3 SV=1</t>
  </si>
  <si>
    <t>Uncharacterized protein OS=Prunus persica GN=PRUPE_ppa023539mg PE=4 SV=1</t>
  </si>
  <si>
    <t>Uncharacterized protein OS=Prunus persica GN=PRUPE_ppa015097mg PE=4 SV=1</t>
  </si>
  <si>
    <t>Hypothetical chloroplast RF19 OS=Prunus kansuensis GN=ycf1 PE=4 SV=1</t>
  </si>
  <si>
    <t>Uncharacterized protein OS=Prunus persica GN=PRUPE_ppa000186mg PE=3 SV=1</t>
  </si>
  <si>
    <t>Uncharacterized protein OS=Prunus persica GN=PRUPE_ppa016474mg PE=4 SV=1</t>
  </si>
  <si>
    <t>Uncharacterized protein OS=Prunus persica GN=PRUPE_ppa006169mg PE=4 SV=1</t>
  </si>
  <si>
    <t>Uncharacterized protein OS=Erythranthe guttata GN=MIMGU_mgv1a023848mg PE=3 SV=1</t>
  </si>
  <si>
    <t>Uncharacterized protein OS=Prunus persica GN=PRUPE_ppa026279mg PE=4 SV=1</t>
  </si>
  <si>
    <t>Uncharacterized protein OS=Prunus persica GN=PRUPE_ppa007010mg PE=4 SV=1</t>
  </si>
  <si>
    <t>Uncharacterized protein OS=Prunus persica GN=PRUPE_ppa008965mg PE=4 SV=1</t>
  </si>
  <si>
    <t>Uncharacterized protein OS=Prunus persica GN=PRUPE_ppa002092mg PE=4 SV=1</t>
  </si>
  <si>
    <t>Uncharacterized protein OS=Prunus persica GN=PRUPE_ppa009052mg PE=4 SV=1</t>
  </si>
  <si>
    <t>Uncharacterized protein OS=Prunus persica GN=PRUPE_ppa006761mg PE=4 SV=1</t>
  </si>
  <si>
    <t>Uncharacterized protein OS=Prunus persica GN=PRUPE_ppa005864mg PE=4 SV=1</t>
  </si>
  <si>
    <t>S-acyltransferase OS=Prunus persica GN=PRUPE_ppa005757mg PE=3 SV=1</t>
  </si>
  <si>
    <t>Uncharacterized protein OS=Prunus persica GN=PRUPE_ppa011712mg PE=4 SV=1</t>
  </si>
  <si>
    <t>Uncharacterized protein (Fragment) OS=Prunus persica GN=PRUPE_ppa024978mg PE=4 SV=1</t>
  </si>
  <si>
    <t>Uncharacterized protein OS=Prunus persica GN=PRUPE_ppa005042mg PE=4 SV=1</t>
  </si>
  <si>
    <t>Uncharacterized protein (Fragment) OS=Prunus persica GN=PRUPE_ppa000533m1g PE=4 SV=1</t>
  </si>
  <si>
    <t>Uncharacterized protein OS=Prunus persica GN=PRUPE_ppa019890mg PE=4 SV=1</t>
  </si>
  <si>
    <t>Uncharacterized protein OS=Prunus persica GN=PRUPE_ppa017775mg PE=4 SV=1</t>
  </si>
  <si>
    <t>Uncharacterized protein OS=Prunus persica GN=PRUPE_ppa009314mg PE=4 SV=1</t>
  </si>
  <si>
    <t>Uncharacterized protein OS=Prunus persica GN=PRUPE_ppa008462mg PE=3 SV=1</t>
  </si>
  <si>
    <t>Uncharacterized protein OS=Prunus persica GN=PRUPE_ppa012634mg PE=4 SV=1</t>
  </si>
  <si>
    <t>Uncharacterized protein OS=Prunus persica GN=PRUPE_ppa002606mg PE=4 SV=1</t>
  </si>
  <si>
    <t>Uncharacterized protein OS=Prunus persica GN=PRUPE_ppa003345mg PE=4 SV=1</t>
  </si>
  <si>
    <t>60S ribosome subunit biogenesis protein NIP7 homolog OS=Prunus persica GN=PRUPE_ppa012007mg PE=3 SV=1</t>
  </si>
  <si>
    <t>Uncharacterized protein OS=Prunus persica GN=PRUPE_ppa025549mg PE=4 SV=1</t>
  </si>
  <si>
    <t>Uncharacterized protein OS=Prunus persica GN=PRUPE_ppa003215mg PE=4 SV=1</t>
  </si>
  <si>
    <t>Uncharacterized protein OS=Prunus persica GN=PRUPE_ppa009967mg PE=4 SV=1</t>
  </si>
  <si>
    <t>Uncharacterized protein OS=Prunus persica GN=PRUPE_ppa004494mg PE=4 SV=1</t>
  </si>
  <si>
    <t>Uncharacterized protein OS=Prunus persica GN=PRUPE_ppa025033mg PE=4 SV=1</t>
  </si>
  <si>
    <t>Uncharacterized protein OS=Prunus persica GN=PRUPE_ppa004723mg PE=4 SV=1</t>
  </si>
  <si>
    <t>Glucose-6-phosphate 1-dehydrogenase OS=Prunus persica GN=PRUPE_ppa004323mg PE=3 SV=1</t>
  </si>
  <si>
    <t>Uncharacterized protein OS=Prunus persica GN=PRUPE_ppa009901mg PE=4 SV=1</t>
  </si>
  <si>
    <t>Uncharacterized protein OS=Prunus persica GN=PRUPE_ppa002981mg PE=4 SV=1</t>
  </si>
  <si>
    <t>Uncharacterized protein OS=Prunus persica GN=PRUPE_ppa006682mg PE=4 SV=1</t>
  </si>
  <si>
    <t>Uncharacterized protein OS=Prunus persica GN=PRUPE_ppa011364mg PE=4 SV=1</t>
  </si>
  <si>
    <t>PsbP domain-OEC23 like protein OS=Hypseocharis bilobata GN=PPD2 PE=2 SV=1</t>
  </si>
  <si>
    <t>Putative uncharacterized protein OS=Ricinus communis GN=RCOM_0619320 PE=4 SV=1</t>
  </si>
  <si>
    <t>Malic enzyme OS=Prunus persica GN=PRUPE_ppa003210mg PE=3 SV=1</t>
  </si>
  <si>
    <t>Uncharacterized protein OS=Prunus persica GN=PRUPE_ppa003849mg PE=4 SV=1</t>
  </si>
  <si>
    <t>Uncharacterized protein OS=Prunus persica GN=PRUPE_ppb011907mg PE=4 SV=1</t>
  </si>
  <si>
    <t>Uncharacterized protein OS=Prunus persica GN=PRUPE_ppa023462mg PE=4 SV=1</t>
  </si>
  <si>
    <t>Uncharacterized protein OS=Prunus persica GN=PRUPE_ppa021176mg PE=4 SV=1</t>
  </si>
  <si>
    <t>Uncharacterized protein OS=Prunus persica GN=PRUPE_ppa005646mg PE=4 SV=1</t>
  </si>
  <si>
    <t>Uncharacterized protein OS=Prunus persica GN=PRUPE_ppa010705mg PE=4 SV=1</t>
  </si>
  <si>
    <t>Uncharacterized protein (Fragment) OS=Prunus persica GN=PRUPE_ppa026375mg PE=4 SV=1</t>
  </si>
  <si>
    <t>Uncharacterized protein OS=Prunus persica GN=PRUPE_ppa011522mg PE=4 SV=1</t>
  </si>
  <si>
    <t>Hypothetical chloroplast RF1 OS=Prunus persica GN=ycf1 PE=4 SV=1</t>
  </si>
  <si>
    <t>Uncharacterized protein OS=Prunus persica GN=PRUPE_ppa003742mg PE=4 SV=1</t>
  </si>
  <si>
    <t>RNA-binding protein, putative OS=Ricinus communis GN=RCOM_0286400 PE=4 SV=1</t>
  </si>
  <si>
    <t>Uncharacterized protein OS=Prunus persica GN=PRUPE_ppa006262mg PE=3 SV=1</t>
  </si>
  <si>
    <t>Uncharacterized protein OS=Prunus persica GN=PRUPE_ppa002249mg PE=4 SV=1</t>
  </si>
  <si>
    <t>UDP-glucose 6-dehydrogenase OS=Prunus persica GN=PRUPE_ppa005045mg PE=3 SV=1</t>
  </si>
  <si>
    <t>Uncharacterized protein OS=Prunus persica GN=PRUPE_ppa023369mg PE=4 SV=1</t>
  </si>
  <si>
    <t>EARLY FLOWERING 3 OS=Dimocarpus longan PE=2 SV=1</t>
  </si>
  <si>
    <t>Uncharacterized protein OS=Prunus persica GN=PRUPE_ppa026226mg PE=4 SV=1</t>
  </si>
  <si>
    <t>Uncharacterized protein OS=Prunus persica GN=PRUPE_ppa024293mg PE=4 SV=1</t>
  </si>
  <si>
    <t>Uncharacterized protein OS=Prunus persica GN=PRUPE_ppa016622mg PE=4 SV=1</t>
  </si>
  <si>
    <t>Uncharacterized protein OS=Prunus persica GN=PRUPE_ppa001144mg PE=4 SV=1</t>
  </si>
  <si>
    <t>Uncharacterized protein OS=Prunus persica GN=PRUPE_ppa018820mg PE=3 SV=1</t>
  </si>
  <si>
    <t>Pectinesterase OS=Prunus persica GN=PRUPE_ppa003578mg PE=3 SV=1</t>
  </si>
  <si>
    <t>tRNA-dihydrouridine(47) synthase [NAD(P)(+)] OS=Prunus persica GN=PRUPE_ppa002335mg PE=3 SV=1</t>
  </si>
  <si>
    <t>Uncharacterized protein OS=Prunus persica GN=PRUPE_ppa007901mg PE=4 SV=1</t>
  </si>
  <si>
    <t>Uncharacterized protein OS=Prunus persica GN=PRUPE_ppa004071mg PE=4 SV=1</t>
  </si>
  <si>
    <t>Uncharacterized protein OS=Prunus persica GN=PRUPE_ppa006373mg PE=3 SV=1</t>
  </si>
  <si>
    <t>Uncharacterized protein OS=Prunus persica GN=PRUPE_ppa009934mg PE=4 SV=1</t>
  </si>
  <si>
    <t>Uncharacterized protein OS=Prunus persica GN=PRUPE_ppa024253mg PE=4 SV=1</t>
  </si>
  <si>
    <t>Pre-mRNA-processing-splicing factor 8 OS=Morus notabilis GN=L484_025759 PE=4 SV=1</t>
  </si>
  <si>
    <t>Uncharacterized protein OS=Eucalyptus grandis GN=EUGRSUZ_D01687 PE=4 SV=1</t>
  </si>
  <si>
    <t>Putative uncharacterized protein OS=Vitis vinifera GN=VITISV_032452 PE=4 SV=1</t>
  </si>
  <si>
    <t>Uncharacterized protein OS=Prunus persica GN=PRUPE_ppa002841mg PE=4 SV=1</t>
  </si>
  <si>
    <t>Uncharacterized protein OS=Prunus persica GN=PRUPE_ppa001281mg PE=4 SV=1</t>
  </si>
  <si>
    <t>Uncharacterized protein OS=Prunus persica GN=PRUPE_ppa004074mg PE=4 SV=1</t>
  </si>
  <si>
    <t>Uncharacterized protein OS=Prunus persica GN=PRUPE_ppa010492mg PE=4 SV=1</t>
  </si>
  <si>
    <t>Uridine kinase OS=Prunus persica GN=PRUPE_ppa000994mg PE=4 SV=1</t>
  </si>
  <si>
    <t>Uncharacterized protein (Fragment) OS=Prunus persica GN=PRUPE_ppa019748mg PE=4 SV=1</t>
  </si>
  <si>
    <t>Coffea canephora DH200=94 genomic scaffold, scaffold_81 OS=Coffea canephora GN=GSCOC_T00040646001 PE=4 SV=1</t>
  </si>
  <si>
    <t>Uncharacterized protein OS=Prunus persica GN=PRUPE_ppa025483mg PE=4 SV=1</t>
  </si>
  <si>
    <t>Uncharacterized protein OS=Prunus persica GN=PRUPE_ppa004980mg PE=4 SV=1</t>
  </si>
  <si>
    <t>Uncharacterized protein OS=Prunus persica GN=PRUPE_ppa006302mg PE=4 SV=1</t>
  </si>
  <si>
    <t>Uncharacterized protein OS=Prunus persica GN=PRUPE_ppa009036mg PE=4 SV=1</t>
  </si>
  <si>
    <t>Uncharacterized protein OS=Prunus persica GN=PRUPE_ppa000272mg PE=4 SV=1</t>
  </si>
  <si>
    <t>Uncharacterized protein OS=Prunus persica GN=PRUPE_ppa001314mg PE=4 SV=1</t>
  </si>
  <si>
    <t>Uncharacterized protein OS=Prunus persica GN=PRUPE_ppa008011mg PE=4 SV=1</t>
  </si>
  <si>
    <t>Uncharacterized protein OS=Prunus persica GN=PRUPE_ppa005934mg PE=4 SV=1</t>
  </si>
  <si>
    <t>Uncharacterized protein (Fragment) OS=Prunus persica GN=PRUPE_ppa022158mg PE=4 SV=1</t>
  </si>
  <si>
    <t>Uncharacterized protein OS=Prunus persica GN=PRUPE_ppa009926mg PE=4 SV=1</t>
  </si>
  <si>
    <t>Uncharacterized protein OS=Prunus persica GN=PRUPE_ppa024183mg PE=4 SV=1</t>
  </si>
  <si>
    <t>Uncharacterized protein OS=Prunus persica GN=PRUPE_ppa001736mg PE=4 SV=1</t>
  </si>
  <si>
    <t>Uncharacterized protein OS=Prunus persica GN=PRUPE_ppa000845mg PE=4 SV=1</t>
  </si>
  <si>
    <t>Uncharacterized protein OS=Prunus persica GN=PRUPE_ppa009743mg PE=4 SV=1</t>
  </si>
  <si>
    <t>Uncharacterized protein OS=Prunus persica GN=PRUPE_ppa005948mg PE=4 SV=1</t>
  </si>
  <si>
    <t>Uncharacterized protein OS=Prunus persica GN=PRUPE_ppa018890mg PE=4 SV=1</t>
  </si>
  <si>
    <t>Uncharacterized protein (Fragment) OS=Prunus persica GN=PRUPE_ppa027153mg PE=3 SV=1</t>
  </si>
  <si>
    <t>Uncharacterized protein (Fragment) OS=Prunus persica GN=PRUPE_ppa019231mg PE=3 SV=1</t>
  </si>
  <si>
    <t>Uncharacterized protein OS=Prunus persica GN=PRUPE_ppa011832mg PE=3 SV=1</t>
  </si>
  <si>
    <t>Uncharacterized protein OS=Prunus persica GN=PRUPE_ppa016320mg PE=4 SV=1</t>
  </si>
  <si>
    <t>Uncharacterized protein OS=Prunus persica GN=PRUPE_ppa002852mg PE=4 SV=1</t>
  </si>
  <si>
    <t>Uncharacterized protein OS=Prunus persica GN=PRUPE_ppa009376mg PE=4 SV=1</t>
  </si>
  <si>
    <t>Uncharacterized protein OS=Prunus persica GN=PRUPE_ppa004671mg PE=3 SV=1</t>
  </si>
  <si>
    <t>Uncharacterized protein OS=Prunus persica GN=PRUPE_ppa010830mg PE=4 SV=1</t>
  </si>
  <si>
    <t>Uncharacterized protein OS=Prunus persica GN=PRUPE_ppa003192mg PE=4 SV=1</t>
  </si>
  <si>
    <t>Uncharacterized protein OS=Prunus persica GN=PRUPE_ppa014855mg PE=4 SV=1</t>
  </si>
  <si>
    <t>Uncharacterized protein OS=Prunus persica GN=PRUPE_ppa013286mg PE=4 SV=1</t>
  </si>
  <si>
    <t>Kinesin-like protein OS=Prunus persica GN=PRUPE_ppa000288mg PE=3 SV=1</t>
  </si>
  <si>
    <t>Uncharacterized protein OS=Prunus persica GN=PRUPE_ppa006814mg PE=4 SV=1</t>
  </si>
  <si>
    <t>Uncharacterized protein OS=Prunus persica GN=PRUPE_ppa007017mg PE=4 SV=1</t>
  </si>
  <si>
    <t>Transcription factor OS=Morus notabilis GN=L484_025119 PE=4 SV=1</t>
  </si>
  <si>
    <t>Uncharacterized protein OS=Prunus persica GN=PRUPE_ppa008563mg PE=4 SV=1</t>
  </si>
  <si>
    <t>Transcription factor OS=Morus notabilis GN=L484_024223 PE=4 SV=1</t>
  </si>
  <si>
    <t>Uncharacterized protein OS=Prunus persica GN=PRUPE_ppa007823mg PE=4 SV=1</t>
  </si>
  <si>
    <t>Eukaryotic translation initiation factor 5A OS=Gibberella zeae (strain PH-1 / ATCC MYA-4620 / FGSC 9075 / NRRL 31084) GN=FGSG_01955 PE=3 SV=1</t>
  </si>
  <si>
    <t>Uncharacterized protein OS=Prunus persica GN=PRUPE_ppa012978mg PE=4 SV=1</t>
  </si>
  <si>
    <t>Uncharacterized protein (Fragment) OS=Prunus persica GN=PRUPE_ppa015533mg PE=4 SV=1</t>
  </si>
  <si>
    <t>CASP-like protein OS=Prunus persica GN=PRUPE_ppa011591mg PE=3 SV=1</t>
  </si>
  <si>
    <t>Uncharacterized protein OS=Prunus persica GN=PRUPE_ppa002804mg PE=4 SV=1</t>
  </si>
  <si>
    <t>Uncharacterized protein OS=Prunus persica GN=PRUPE_ppa013609mg PE=4 SV=1</t>
  </si>
  <si>
    <t>Uncharacterized protein OS=Prunus persica GN=PRUPE_ppa012543mg PE=4 SV=1</t>
  </si>
  <si>
    <t>Uncharacterized protein OS=Prunus persica GN=PRUPE_ppa015767mg PE=4 SV=1</t>
  </si>
  <si>
    <t>Uncharacterized protein OS=Prunus persica GN=PRUPE_ppa013106mg PE=4 SV=1</t>
  </si>
  <si>
    <t>Uncharacterized protein OS=Prunus persica GN=PRUPE_ppa010542mg PE=3 SV=1</t>
  </si>
  <si>
    <t>Uncharacterized protein OS=Prunus persica GN=PRUPE_ppa004205mg PE=4 SV=1</t>
  </si>
  <si>
    <t>Uncharacterized protein OS=Prunus persica GN=PRUPE_ppa004844mg PE=4 SV=1</t>
  </si>
  <si>
    <t>Uncharacterized protein OS=Prunus persica GN=PRUPE_ppa017730mg PE=4 SV=1</t>
  </si>
  <si>
    <t>Homoserine dehydrogenase OS=Populus trichocarpa GN=POPTR_0004s20700g PE=3 SV=1</t>
  </si>
  <si>
    <t>Uncharacterized protein (Fragment) OS=Prunus persica GN=PRUPE_ppa017138mg PE=4 SV=1</t>
  </si>
  <si>
    <t>KNOPE7 OS=Prunus persica GN=KNOPE7 PE=2 SV=1</t>
  </si>
  <si>
    <t>Uncharacterized protein (Fragment) OS=Prunus persica GN=PRUPE_ppa022145mg PE=4 SV=1</t>
  </si>
  <si>
    <t>Uncharacterized protein OS=Prunus persica GN=PRUPE_ppa013313mg PE=4 SV=1</t>
  </si>
  <si>
    <t>Uncharacterized protein OS=Prunus persica GN=PRUPE_ppa018475mg PE=3 SV=1</t>
  </si>
  <si>
    <t>CASP-like protein OS=Prunus persica GN=PRUPE_ppa010567mg PE=3 SV=1</t>
  </si>
  <si>
    <t>Uncharacterized protein OS=Prunus persica GN=PRUPE_ppa024277mg PE=4 SV=1</t>
  </si>
  <si>
    <t>Uncharacterized protein OS=Prunus persica GN=PRUPE_ppa010808mg PE=4 SV=1</t>
  </si>
  <si>
    <t>Uncharacterized protein OS=Prunus persica GN=PRUPE_ppa008806mg PE=4 SV=1</t>
  </si>
  <si>
    <t>Uncharacterized protein OS=Prunus persica GN=PRUPE_ppa000740mg PE=4 SV=1</t>
  </si>
  <si>
    <t>Uncharacterized protein OS=Prunus persica GN=PRUPE_ppa002947mg PE=4 SV=1</t>
  </si>
  <si>
    <t>Uncharacterized protein OS=Prunus persica GN=PRUPE_ppa008950mg PE=4 SV=1</t>
  </si>
  <si>
    <t>Uncharacterized protein OS=Prunus persica GN=PRUPE_ppa004444mg PE=3 SV=1</t>
  </si>
  <si>
    <t>Uncharacterized protein OS=Prunus persica GN=PRUPE_ppa020250mg PE=4 SV=1</t>
  </si>
  <si>
    <t>Arabinogalactan peptide 20 OS=Glycine soja GN=glysoja_000850 PE=4 SV=1</t>
  </si>
  <si>
    <t>Uncharacterized protein OS=Prunus persica GN=PRUPE_ppa003087mg PE=3 SV=1</t>
  </si>
  <si>
    <t>Uncharacterized protein OS=Prunus persica GN=PRUPE_ppa001324mg PE=4 SV=1</t>
  </si>
  <si>
    <t>Uncharacterized protein OS=Prunus persica GN=PRUPE_ppa003415mg PE=4 SV=1</t>
  </si>
  <si>
    <t>Uncharacterized protein OS=Prunus persica GN=PRUPE_ppa026135mg PE=4 SV=1</t>
  </si>
  <si>
    <t>Uncharacterized protein OS=Prunus persica GN=PRUPE_ppa008650mg PE=4 SV=1</t>
  </si>
  <si>
    <t>Histone acetyltransferase HAC1 OS=Morus notabilis GN=L484_010457 PE=4 SV=1</t>
  </si>
  <si>
    <t>Uncharacterized protein OS=Prunus persica GN=PRUPE_ppa012893mg PE=4 SV=1</t>
  </si>
  <si>
    <t>DNA replication complex GINS protein PSF2 OS=Morus notabilis GN=L484_012008 PE=3 SV=1</t>
  </si>
  <si>
    <t>Uncharacterized protein OS=Prunus persica GN=PRUPE_ppa002961mg PE=4 SV=1</t>
  </si>
  <si>
    <t>Histone H2A OS=Prunus persica GN=PRUPE_ppa013206mg PE=3 SV=1</t>
  </si>
  <si>
    <t>Uncharacterized protein OS=Prunus persica GN=PRUPE_ppa000521mg PE=4 SV=1</t>
  </si>
  <si>
    <t>Uncharacterized protein OS=Prunus persica GN=PRUPE_ppa004745mg PE=4 SV=1</t>
  </si>
  <si>
    <t>Uncharacterized protein OS=Prunus persica GN=PRUPE_ppa010237mg PE=4 SV=1</t>
  </si>
  <si>
    <t>Uncharacterized protein OS=Prunus persica GN=PRUPE_ppa1027123mg PE=4 SV=1</t>
  </si>
  <si>
    <t>Uncharacterized protein OS=Prunus persica GN=PRUPE_ppa002121mg PE=4 SV=1</t>
  </si>
  <si>
    <t>Uncharacterized protein OS=Prunus persica GN=PRUPE_ppa017068mg PE=4 SV=1</t>
  </si>
  <si>
    <t>Uncharacterized protein OS=Cucumis sativus GN=Csa_7G043560 PE=4 SV=1</t>
  </si>
  <si>
    <t>Uncharacterized protein OS=Prunus persica GN=PRUPE_ppa009622mg PE=4 SV=1</t>
  </si>
  <si>
    <t>Uncharacterized protein OS=Prunus persica GN=PRUPE_ppa005142mg PE=3 SV=1</t>
  </si>
  <si>
    <t>Uncharacterized protein OS=Prunus persica GN=PRUPE_ppa014810mg PE=4 SV=1</t>
  </si>
  <si>
    <t>Dam3 OS=Prunus persica PE=2 SV=1</t>
  </si>
  <si>
    <t>NAD(P)H-quinone oxidoreductase chain 4, chloroplastic OS=Prunus kansuensis GN=ndhD PE=3 SV=1</t>
  </si>
  <si>
    <t>Uncharacterized protein OS=Prunus persica GN=PRUPE_ppa013016mg PE=4 SV=1</t>
  </si>
  <si>
    <t>Uncharacterized protein OS=Prunus persica GN=PRUPE_ppa004509mg PE=4 SV=1</t>
  </si>
  <si>
    <t>Uncharacterized protein OS=Prunus persica GN=PRUPE_ppa022034mg PE=4 SV=1</t>
  </si>
  <si>
    <t>Uncharacterized protein OS=Citrus sinensis GN=CISIN_1g003115mg PE=4 SV=1</t>
  </si>
  <si>
    <t>Proline iminopeptidase OS=Prunus persica GN=PRUPE_ppa006357mg PE=3 SV=1</t>
  </si>
  <si>
    <t>Uncharacterized protein OS=Prunus persica GN=PRUPE_ppa025896mg PE=3 SV=1</t>
  </si>
  <si>
    <t>Uncharacterized protein OS=Prunus persica GN=PRUPE_ppa001107mg PE=4 SV=1</t>
  </si>
  <si>
    <t>Uncharacterized protein OS=Prunus persica GN=PRUPE_ppa008478mg PE=4 SV=1</t>
  </si>
  <si>
    <t>Uncharacterized protein OS=Prunus persica GN=PRUPE_ppa006355mg PE=4 SV=1</t>
  </si>
  <si>
    <t>Uncharacterized protein OS=Prunus persica GN=PRUPE_ppa012029mg PE=4 SV=1</t>
  </si>
  <si>
    <t>Uncharacterized protein OS=Prunus persica GN=PRUPE_ppa007319mg PE=4 SV=1</t>
  </si>
  <si>
    <t>Uncharacterized protein OS=Prunus persica GN=PRUPE_ppa017665mg PE=4 SV=1</t>
  </si>
  <si>
    <t>Uncharacterized protein OS=Prunus persica GN=PRUPE_ppa013192mg PE=4 SV=1</t>
  </si>
  <si>
    <t>Uncharacterized protein (Fragment) OS=Prunus persica GN=PRUPE_ppa023922mg PE=4 SV=1</t>
  </si>
  <si>
    <t>Uncharacterized protein OS=Prunus persica GN=PRUPE_ppa003626mg PE=4 SV=1</t>
  </si>
  <si>
    <t>Uncharacterized protein OS=Prunus persica GN=PRUPE_ppa009012mg PE=4 SV=1</t>
  </si>
  <si>
    <t>Uncharacterized protein OS=Prunus persica GN=PRUPE_ppa011593mg PE=4 SV=1</t>
  </si>
  <si>
    <t>Uncharacterized protein OS=Prunus persica GN=PRUPE_ppa026518mg PE=4 SV=1</t>
  </si>
  <si>
    <t>Uncharacterized protein OS=Prunus persica GN=PRUPE_ppa004298mg PE=3 SV=1</t>
  </si>
  <si>
    <t>Uncharacterized protein OS=Prunus persica GN=PRUPE_ppa012822mg PE=4 SV=1</t>
  </si>
  <si>
    <t>Uncharacterized protein OS=Prunus persica GN=PRUPE_ppa011771mg PE=4 SV=1</t>
  </si>
  <si>
    <t>Uncharacterized protein OS=Prunus persica GN=PRUPE_ppa004519mg PE=4 SV=1</t>
  </si>
  <si>
    <t>Uncharacterized protein OS=Morus notabilis GN=L484_025847 PE=4 SV=1</t>
  </si>
  <si>
    <t>Uncharacterized protein OS=Prunus persica GN=PRUPE_ppa024996mg PE=4 SV=1</t>
  </si>
  <si>
    <t>Uncharacterized protein OS=Prunus persica GN=PRUPE_ppa010325mg PE=4 SV=1</t>
  </si>
  <si>
    <t>Uncharacterized protein OS=Prunus persica GN=PRUPE_ppa009210mg PE=4 SV=1</t>
  </si>
  <si>
    <t>Auxin response factor OS=Prunus persica GN=PRUPE_ppa002195mg PE=3 SV=1</t>
  </si>
  <si>
    <t>Uncharacterized protein OS=Prunus persica GN=PRUPE_ppa005821mg PE=4 SV=1</t>
  </si>
  <si>
    <t>Uncharacterized protein OS=Prunus persica GN=PRUPE_ppa007508mg PE=4 SV=1</t>
  </si>
  <si>
    <t>Uncharacterized protein OS=Prunus persica GN=PRUPE_ppa011130mg PE=3 SV=1</t>
  </si>
  <si>
    <t>Uncharacterized protein (Fragment) OS=Prunus persica GN=PRUPE_ppa020175mg PE=4 SV=1</t>
  </si>
  <si>
    <t>Uncharacterized protein OS=Prunus persica GN=PRUPE_ppa012414mg PE=4 SV=1</t>
  </si>
  <si>
    <t>Uncharacterized protein OS=Prunus persica GN=PRUPE_ppa003830mg PE=4 SV=1</t>
  </si>
  <si>
    <t>Uncharacterized protein OS=Prunus persica GN=PRUPE_ppa000095mg PE=4 SV=1</t>
  </si>
  <si>
    <t>Uncharacterized protein OS=Prunus persica GN=PRUPE_ppa007793mg PE=4 SV=1</t>
  </si>
  <si>
    <t>Serine/threonine-protein phosphatase OS=Prunus persica GN=PRUPE_ppa008868mg PE=3 SV=1</t>
  </si>
  <si>
    <t>Uncharacterized protein OS=Prunus persica GN=PRUPE_ppa1027145mg PE=4 SV=1</t>
  </si>
  <si>
    <t>Uncharacterized protein OS=Prunus persica GN=PRUPE_ppa001840mg PE=4 SV=1</t>
  </si>
  <si>
    <t>Uncharacterized protein OS=Prunus persica GN=PRUPE_ppa009128mg PE=4 SV=1</t>
  </si>
  <si>
    <t>Uncharacterized protein OS=Prunus persica GN=PRUPE_ppa025762mg PE=4 SV=1</t>
  </si>
  <si>
    <t>Uncharacterized protein OS=Prunus persica GN=PRUPE_ppa018010mg PE=4 SV=1</t>
  </si>
  <si>
    <t>Uncharacterized protein OS=Prunus persica GN=PRUPE_ppa019416mg PE=4 SV=1</t>
  </si>
  <si>
    <t>Uncharacterized protein OS=Prunus persica GN=PRUPE_ppa010370mg PE=4 SV=1</t>
  </si>
  <si>
    <t>Uncharacterized protein OS=Prunus persica GN=PRUPE_ppa006540mg PE=4 SV=1</t>
  </si>
  <si>
    <t>Uncharacterized protein OS=Prunus persica GN=PRUPE_ppa010555mg PE=4 SV=1</t>
  </si>
  <si>
    <t>Uncharacterized protein OS=Prunus persica GN=PRUPE_ppa005157mg PE=4 SV=1</t>
  </si>
  <si>
    <t>Uncharacterized protein OS=Prunus persica GN=PRUPE_ppa012785mg PE=4 SV=1</t>
  </si>
  <si>
    <t>Uncharacterized protein OS=Prunus persica GN=PRUPE_ppa019577mg PE=3 SV=1</t>
  </si>
  <si>
    <t>Uncharacterized protein OS=Prunus persica GN=PRUPE_ppa022384mg PE=4 SV=1</t>
  </si>
  <si>
    <t>Uncharacterized protein (Fragment) OS=Prunus persica GN=PRUPE_ppa016783mg PE=4 SV=1</t>
  </si>
  <si>
    <t>Uncharacterized protein OS=Prunus persica GN=PRUPE_ppa005343mg PE=4 SV=1</t>
  </si>
  <si>
    <t>Uncharacterized protein OS=Prunus persica GN=PRUPE_ppa020792mg PE=4 SV=1</t>
  </si>
  <si>
    <t>Uncharacterized protein OS=Prunus persica GN=PRUPE_ppa011305mg PE=4 SV=1</t>
  </si>
  <si>
    <t>Uncharacterized protein OS=Prunus persica GN=PRUPE_ppa007829mg PE=4 SV=1</t>
  </si>
  <si>
    <t>Uncharacterized protein OS=Prunus persica GN=PRUPE_ppa002619mg PE=4 SV=1</t>
  </si>
  <si>
    <t>Uncharacterized protein OS=Prunus persica GN=PRUPE_ppa024931mg PE=4 SV=1</t>
  </si>
  <si>
    <t>Uncharacterized protein OS=Prunus persica GN=PRUPE_ppa002462mg PE=4 SV=1</t>
  </si>
  <si>
    <t>Pentatricopeptide repeat-containing protein, chloroplastic OS=Glycine soja GN=glysoja_038620 PE=4 SV=1</t>
  </si>
  <si>
    <t>Uncharacterized protein OS=Prunus persica GN=PRUPE_ppa000085mg PE=4 SV=1</t>
  </si>
  <si>
    <t>Uncharacterized protein OS=Prunus persica GN=PRUPE_ppa016655mg PE=4 SV=1</t>
  </si>
  <si>
    <t>Uncharacterized protein OS=Prunus persica GN=PRUPE_ppa006223mg PE=4 SV=1</t>
  </si>
  <si>
    <t>Uncharacterized protein OS=Prunus persica GN=PRUPE_ppa008095mg PE=4 SV=1</t>
  </si>
  <si>
    <t>Uncharacterized protein OS=Prunus persica GN=PRUPE_ppa002196mg PE=4 SV=1</t>
  </si>
  <si>
    <t>Uncharacterized protein OS=Prunus persica GN=PRUPE_ppa007779mg PE=4 SV=1</t>
  </si>
  <si>
    <t>Uncharacterized protein (Fragment) OS=Prunus persica GN=PRUPE_ppa002358m1g PE=4 SV=1</t>
  </si>
  <si>
    <t>Uncharacterized protein OS=Prunus persica GN=PRUPE_ppa003084mg PE=4 SV=1</t>
  </si>
  <si>
    <t>Uncharacterized protein OS=Prunus persica GN=PRUPE_ppa015427mg PE=4 SV=1</t>
  </si>
  <si>
    <t>Uncharacterized protein OS=Prunus persica GN=PRUPE_ppa008927mg PE=4 SV=1</t>
  </si>
  <si>
    <t>Uncharacterized protein OS=Prunus persica GN=PRUPE_ppa011181mg PE=4 SV=1</t>
  </si>
  <si>
    <t>COL domain class transcription factor OS=Malus domestica GN=COL5 PE=2 SV=1</t>
  </si>
  <si>
    <t>Uncharacterized protein OS=Prunus persica GN=PRUPE_ppa014728mg PE=4 SV=1</t>
  </si>
  <si>
    <t>ATP-dependent Clp protease proteolytic subunit OS=Prunus persica GN=PRUPE_ppa006873mg PE=3 SV=1</t>
  </si>
  <si>
    <t>Uncharacterized protein OS=Prunus persica GN=PRUPE_ppa006708mg PE=3 SV=1</t>
  </si>
  <si>
    <t>Uncharacterized protein OS=Prunus persica GN=PRUPE_ppa012141mg PE=4 SV=1</t>
  </si>
  <si>
    <t>Uncharacterized protein OS=Prunus persica GN=PRUPE_ppa006036mg PE=3 SV=1</t>
  </si>
  <si>
    <t>Uncharacterized protein OS=Prunus persica GN=PRUPE_ppa012335mg PE=4 SV=1</t>
  </si>
  <si>
    <t>Uncharacterized protein OS=Prunus persica GN=PRUPE_ppa007832mg PE=4 SV=1</t>
  </si>
  <si>
    <t>Uncharacterized protein OS=Prunus persica GN=PRUPE_ppa009524mg PE=3 SV=1</t>
  </si>
  <si>
    <t>Uncharacterized protein OS=Prunus persica GN=PRUPE_ppa007442mg PE=4 SV=1</t>
  </si>
  <si>
    <t>Uncharacterized protein OS=Prunus persica GN=PRUPE_ppa016063mg PE=4 SV=1</t>
  </si>
  <si>
    <t>Uncharacterized protein OS=Prunus persica GN=PRUPE_ppa021999mg PE=4 SV=1</t>
  </si>
  <si>
    <t>Uncharacterized protein OS=Prunus persica GN=PRUPE_ppa006269mg PE=4 SV=1</t>
  </si>
  <si>
    <t>Peroxidase (Fragment) OS=Prunus persica GN=PRUPE_ppa025451mg PE=3 SV=1</t>
  </si>
  <si>
    <t>Uncharacterized protein OS=Prunus persica GN=PRUPE_ppa005554mg PE=4 SV=1</t>
  </si>
  <si>
    <t>Uncharacterized protein OS=Prunus persica GN=PRUPE_ppa012494mg PE=4 SV=1</t>
  </si>
  <si>
    <t>Uncharacterized protein OS=Prunus persica GN=PRUPE_ppa008755mg PE=4 SV=1</t>
  </si>
  <si>
    <t>Uncharacterized protein OS=Prunus persica GN=PRUPE_ppa001399mg PE=4 SV=1</t>
  </si>
  <si>
    <t>ATP-dependent DNA helicase 2 subunit KU80 OS=Prunus persica GN=PRUPE_ppa002331mg PE=3 SV=1</t>
  </si>
  <si>
    <t>Uncharacterized protein OS=Prunus persica GN=PRUPE_ppa007516mg PE=4 SV=1</t>
  </si>
  <si>
    <t>Uncharacterized protein OS=Prunus persica GN=PRUPE_ppa002662mg PE=4 SV=1</t>
  </si>
  <si>
    <t>Uncharacterized protein OS=Prunus persica GN=PRUPE_ppa022207mg PE=4 SV=1</t>
  </si>
  <si>
    <t>Uncharacterized protein OS=Prunus persica GN=PRUPE_ppa023408mg PE=4 SV=1</t>
  </si>
  <si>
    <t>Uncharacterized protein OS=Prunus persica GN=PRUPE_ppa008053mg PE=3 SV=1</t>
  </si>
  <si>
    <t>Uncharacterized protein OS=Prunus persica GN=PRUPE_ppa012539mg PE=4 SV=1</t>
  </si>
  <si>
    <t>Uncharacterized protein OS=Prunus persica GN=PRUPE_ppa006349mg PE=4 SV=1</t>
  </si>
  <si>
    <t>Kinesin-like protein OS=Prunus persica GN=PRUPE_ppa000677mg PE=3 SV=1</t>
  </si>
  <si>
    <t>Uncharacterized protein OS=Stachybotrys chartarum IBT 40288 GN=S40288_08323 PE=3 SV=1</t>
  </si>
  <si>
    <t>Uncharacterized protein OS=Prunus persica GN=PRUPE_ppa000265mg PE=4 SV=1</t>
  </si>
  <si>
    <t>Uncharacterized protein OS=Prunus persica GN=PRUPE_ppa009140mg PE=4 SV=1</t>
  </si>
  <si>
    <t>Uncharacterized protein OS=Prunus persica GN=PRUPE_ppa009645mg PE=4 SV=1</t>
  </si>
  <si>
    <t>Uncharacterized protein OS=Prunus persica GN=PRUPE_ppa016994mg PE=4 SV=1</t>
  </si>
  <si>
    <t>Uncharacterized protein OS=Prunus persica GN=PRUPE_ppa005895mg PE=4 SV=1</t>
  </si>
  <si>
    <t>Uncharacterized protein OS=Prunus persica GN=PRUPE_ppa006965mg PE=4 SV=1</t>
  </si>
  <si>
    <t>Uncharacterized protein OS=Prunus persica GN=PRUPE_ppa013099mg PE=4 SV=1</t>
  </si>
  <si>
    <t>Uncharacterized protein OS=Prunus persica GN=PRUPE_ppa006233mg PE=4 SV=1</t>
  </si>
  <si>
    <t>Putative uncharacterized protein OS=Ricinus communis GN=RCOM_1440800 PE=4 SV=1</t>
  </si>
  <si>
    <t>Uncharacterized protein OS=Prunus persica GN=PRUPE_ppa005615mg PE=3 SV=1</t>
  </si>
  <si>
    <t>Uncharacterized protein (Fragment) OS=Prunus persica GN=PRUPE_ppa020128mg PE=3 SV=1</t>
  </si>
  <si>
    <t>Uncharacterized protein OS=Prunus persica GN=PRUPE_ppa004995mg PE=4 SV=1</t>
  </si>
  <si>
    <t>Uncharacterized protein OS=Prunus persica GN=PRUPE_ppa010170mg PE=4 SV=1</t>
  </si>
  <si>
    <t>Uncharacterized protein OS=Prunus persica GN=PRUPE_ppa008131mg PE=4 SV=1</t>
  </si>
  <si>
    <t>Uncharacterized protein OS=Prunus persica GN=PRUPE_ppa013275mg PE=4 SV=1</t>
  </si>
  <si>
    <t>Uncharacterized protein OS=Prunus persica GN=PRUPE_ppa023132mg PE=4 SV=1</t>
  </si>
  <si>
    <t>Uncharacterized protein OS=Prunus persica GN=PRUPE_ppa000504mg PE=4 SV=1</t>
  </si>
  <si>
    <t>Uncharacterized protein OS=Prunus persica GN=PRUPE_ppa025110mg PE=4 SV=1</t>
  </si>
  <si>
    <t>Uncharacterized protein OS=Prunus persica GN=PRUPE_ppa004948mg PE=4 SV=1</t>
  </si>
  <si>
    <t>Uncharacterized protein OS=Prunus persica GN=PRUPE_ppa009748mg PE=4 SV=1</t>
  </si>
  <si>
    <t>Uncharacterized protein OS=Prunus persica GN=PRUPE_ppa021433mg PE=4 SV=1</t>
  </si>
  <si>
    <t>Uncharacterized protein OS=Prunus persica GN=PRUPE_ppa022529mg PE=4 SV=1</t>
  </si>
  <si>
    <t>Uncharacterized protein OS=Prunus persica GN=PRUPE_ppa011530mg PE=4 SV=1</t>
  </si>
  <si>
    <t>Uncharacterized protein OS=Prunus persica GN=PRUPE_ppa010554mg PE=4 SV=1</t>
  </si>
  <si>
    <t>Uncharacterized protein OS=Prunus persica GN=PRUPE_ppa005259mg PE=4 SV=1</t>
  </si>
  <si>
    <t>Uncharacterized protein OS=Prunus persica GN=PRUPE_ppa006737mg PE=3 SV=1</t>
  </si>
  <si>
    <t>Uncharacterized protein OS=Prunus persica GN=PRUPE_ppa025249mg PE=4 SV=1</t>
  </si>
  <si>
    <t>Uncharacterized protein OS=Prunus persica GN=PRUPE_ppa008726mg PE=4 SV=1</t>
  </si>
  <si>
    <t>Uncharacterized protein OS=Prunus persica GN=PRUPE_ppa027172mg PE=4 SV=1</t>
  </si>
  <si>
    <t>Uncharacterized protein OS=Prunus persica GN=PRUPE_ppa008060mg PE=4 SV=1</t>
  </si>
  <si>
    <t>Eukaryotic translation initiation factor 3 subunit C OS=Prunus persica GN=PRUPE_ppa001006mg PE=3 SV=1</t>
  </si>
  <si>
    <t>Uncharacterized protein OS=Prunus persica GN=PRUPE_ppa008115mg PE=4 SV=1</t>
  </si>
  <si>
    <t>Uncharacterized protein OS=Prunus persica GN=PRUPE_ppa013852mg PE=4 SV=1</t>
  </si>
  <si>
    <t>Uncharacterized protein OS=Prunus persica GN=PRUPE_ppa013130mg PE=4 SV=1</t>
  </si>
  <si>
    <t>Uncharacterized protein OS=Morus notabilis GN=L484_010455 PE=4 SV=1</t>
  </si>
  <si>
    <t>Uncharacterized protein OS=Prunus persica GN=PRUPE_ppa010331mg PE=3 SV=1</t>
  </si>
  <si>
    <t>Stromal cell-derived factor 2-like protein OS=Morus notabilis GN=L484_014471 PE=4 SV=1</t>
  </si>
  <si>
    <t>Uncharacterized protein OS=Prunus persica GN=PRUPE_ppa009885mg PE=4 SV=1</t>
  </si>
  <si>
    <t>Uncharacterized protein OS=Prunus persica GN=PRUPE_ppa002558mg PE=4 SV=1</t>
  </si>
  <si>
    <t>Class 1 KNOTTED-like transcription factor KNOPE2 OS=Prunus persica GN=KNOPE2 PE=2 SV=1</t>
  </si>
  <si>
    <t>Uncharacterized protein OS=Prunus persica GN=PRUPE_ppa011257mg PE=4 SV=1</t>
  </si>
  <si>
    <t>Uncharacterized protein OS=Prunus persica GN=PRUPE_ppa021388mg PE=4 SV=1</t>
  </si>
  <si>
    <t>Uncharacterized protein OS=Prunus persica GN=PRUPE_ppa003486mg PE=4 SV=1</t>
  </si>
  <si>
    <t>Uncharacterized protein OS=Prunus persica GN=PRUPE_ppa010078mg PE=4 SV=1</t>
  </si>
  <si>
    <t>Uncharacterized protein OS=Prunus persica GN=PRUPE_ppa006513mg PE=3 SV=1</t>
  </si>
  <si>
    <t>Uncharacterized protein OS=Prunus persica GN=PRUPE_ppa004836mg PE=4 SV=1</t>
  </si>
  <si>
    <t>Uncharacterized protein OS=Prunus persica GN=PRUPE_ppa006799mg PE=4 SV=1</t>
  </si>
  <si>
    <t>Uncharacterized protein OS=Jatropha curcas GN=JCGZ_17767 PE=4 SV=1</t>
  </si>
  <si>
    <t>Uncharacterized protein OS=Prunus persica GN=PRUPE_ppa013109mg PE=4 SV=1</t>
  </si>
  <si>
    <t>Uncharacterized protein OS=Prunus persica GN=PRUPE_ppa004372mg PE=3 SV=1</t>
  </si>
  <si>
    <t>Uncharacterized protein OS=Prunus persica GN=PRUPE_ppa006973mg PE=4 SV=1</t>
  </si>
  <si>
    <t>Uncharacterized protein OS=Prunus persica GN=PRUPE_ppa004987mg PE=3 SV=1</t>
  </si>
  <si>
    <t>Uncharacterized protein OS=Prunus persica GN=PRUPE_ppa010899mg PE=4 SV=1</t>
  </si>
  <si>
    <t>Uncharacterized protein OS=Prunus persica GN=PRUPE_ppa002500mg PE=4 SV=1</t>
  </si>
  <si>
    <t>Uncharacterized protein OS=Prunus persica GN=PRUPE_ppb015086mg PE=4 SV=1</t>
  </si>
  <si>
    <t>Uncharacterized protein OS=Prunus persica GN=PRUPE_ppa001401mg PE=4 SV=1</t>
  </si>
  <si>
    <t>Uncharacterized protein OS=Prunus persica GN=PRUPE_ppa012574mg PE=4 SV=1</t>
  </si>
  <si>
    <t>Uncharacterized protein OS=Prunus persica GN=PRUPE_ppa003304mg PE=4 SV=1</t>
  </si>
  <si>
    <t>Uncharacterized protein OS=Prunus persica GN=PRUPE_ppa002411mg PE=4 SV=1</t>
  </si>
  <si>
    <t>Uncharacterized protein OS=Prunus persica GN=PRUPE_ppa025990mg PE=4 SV=1</t>
  </si>
  <si>
    <t>Uncharacterized protein OS=Prunus persica GN=PRUPE_ppa002959mg PE=4 SV=1</t>
  </si>
  <si>
    <t>Uncharacterized protein OS=Prunus persica GN=PRUPE_ppa006704mg PE=4 SV=1</t>
  </si>
  <si>
    <t>Uncharacterized protein OS=Prunus persica GN=PRUPE_ppa008123mg PE=4 SV=1</t>
  </si>
  <si>
    <t>Uncharacterized protein OS=Prunus persica GN=PRUPE_ppa011906mg PE=4 SV=1</t>
  </si>
  <si>
    <t>Uncharacterized protein OS=Prunus persica GN=PRUPE_ppa015477mg PE=4 SV=1</t>
  </si>
  <si>
    <t>Uncharacterized protein OS=Prunus persica GN=PRUPE_ppa005246mg PE=4 SV=1</t>
  </si>
  <si>
    <t>Uncharacterized protein (Fragment) OS=Prunus persica GN=PRUPE_ppa023546mg PE=4 SV=1</t>
  </si>
  <si>
    <t>Uncharacterized protein OS=Prunus persica GN=PRUPE_ppa021547mg PE=4 SV=1</t>
  </si>
  <si>
    <t>Glycosyltransferase OS=Prunus persica GN=PRUPE_ppa004906mg PE=3 SV=1</t>
  </si>
  <si>
    <t>Uncharacterized protein OS=Prunus persica GN=PRUPE_ppa018798mg PE=3 SV=1</t>
  </si>
  <si>
    <t>Uncharacterized protein OS=Prunus persica GN=PRUPE_ppa011730mg PE=4 SV=1</t>
  </si>
  <si>
    <t>Uncharacterized protein OS=Prunus persica GN=PRUPE_ppa003669mg PE=4 SV=1</t>
  </si>
  <si>
    <t>Uncharacterized protein OS=Prunus persica GN=PRUPE_ppa009160mg PE=4 SV=1</t>
  </si>
  <si>
    <t>Uncharacterized protein OS=Prunus persica GN=PRUPE_ppa003678mg PE=3 SV=1</t>
  </si>
  <si>
    <t>Uncharacterized protein OS=Prunus persica GN=PRUPE_ppa006495mg PE=4 SV=1</t>
  </si>
  <si>
    <t>Uncharacterized protein OS=Prunus persica GN=PRUPE_ppa012246mg PE=3 SV=1</t>
  </si>
  <si>
    <t>Uncharacterized protein OS=Prunus persica GN=PRUPE_ppa010055mg PE=4 SV=1</t>
  </si>
  <si>
    <t>Uncharacterized protein OS=Prunus persica GN=PRUPE_ppa006599mg PE=4 SV=1</t>
  </si>
  <si>
    <t>Uncharacterized protein OS=Prunus persica GN=PRUPE_ppa012421mg PE=4 SV=1</t>
  </si>
  <si>
    <t>Serine/threonine-protein phosphatase OS=Prunus persica GN=PRUPE_ppa008757mg PE=3 SV=1</t>
  </si>
  <si>
    <t>Uncharacterized protein OS=Oryza sativa subsp. japonica GN=OsJ_01227 PE=4 SV=1</t>
  </si>
  <si>
    <t>Uncharacterized protein OS=Prunus persica GN=PRUPE_ppa012065mg PE=4 SV=1</t>
  </si>
  <si>
    <t>Uncharacterized protein OS=Prunus persica GN=PRUPE_ppa001171mg PE=3 SV=1</t>
  </si>
  <si>
    <t>Uncharacterized protein OS=Prunus persica GN=PRUPE_ppa000526mg PE=4 SV=1</t>
  </si>
  <si>
    <t>BnaC04g40780D protein OS=Brassica napus GN=BnaC04g40780D PE=4 SV=1</t>
  </si>
  <si>
    <t>Uncharacterized protein OS=Prunus persica GN=PRUPE_ppa007510mg PE=4 SV=1</t>
  </si>
  <si>
    <t>Uncharacterized protein OS=Prunus persica GN=PRUPE_ppa003411mg PE=4 SV=1</t>
  </si>
  <si>
    <t>Uncharacterized protein OS=Prunus persica GN=PRUPE_ppa011573mg PE=4 SV=1</t>
  </si>
  <si>
    <t>Uncharacterized protein OS=Prunus persica GN=PRUPE_ppa007115mg PE=4 SV=1</t>
  </si>
  <si>
    <t>Uncharacterized protein OS=Prunus persica GN=PRUPE_ppa008362mg PE=4 SV=1</t>
  </si>
  <si>
    <t>Uncharacterized protein OS=Prunus persica GN=PRUPE_ppa005488mg PE=4 SV=1</t>
  </si>
  <si>
    <t>Uncharacterized protein (Fragment) OS=Prunus persica GN=PRUPE_ppa019102m1g PE=4 SV=1</t>
  </si>
  <si>
    <t>Reticulon-like protein OS=Prunus persica GN=PRUPE_ppa010739mg PE=4 SV=1</t>
  </si>
  <si>
    <t>Uncharacterized protein OS=Prunus persica GN=PRUPE_ppa002744mg PE=4 SV=1</t>
  </si>
  <si>
    <t>Uncharacterized protein OS=Prunus persica GN=PRUPE_ppa006792mg PE=4 SV=1</t>
  </si>
  <si>
    <t>Uncharacterized protein OS=Prunus persica GN=PRUPE_ppa006221mg PE=4 SV=1</t>
  </si>
  <si>
    <t>Uncharacterized protein OS=Prunus persica GN=PRUPE_ppa012552mg PE=4 SV=1</t>
  </si>
  <si>
    <t>Uncharacterized protein OS=Prunus persica GN=PRUPE_ppa012827mg PE=4 SV=1</t>
  </si>
  <si>
    <t>Uncharacterized protein OS=Prunus persica GN=PRUPE_ppa005708mg PE=4 SV=1</t>
  </si>
  <si>
    <t>Uncharacterized protein (Fragment) OS=Prunus persica GN=PRUPE_ppa019319mg PE=3 SV=1</t>
  </si>
  <si>
    <t>Uncharacterized protein OS=Prunus persica GN=PRUPE_ppa010281mg PE=4 SV=1</t>
  </si>
  <si>
    <t>Eukaryotic translation initiation factor 3 subunit E OS=Prunus persica GN=PRUPE_ppa005923mg PE=3 SV=1</t>
  </si>
  <si>
    <t>Homeobox protein 15 OS=Prunus persica GN=PRUPE_ppa001405mg PE=4 SV=1</t>
  </si>
  <si>
    <t>Uncharacterized protein OS=Prunus persica GN=PRUPE_ppa009518mg PE=4 SV=1</t>
  </si>
  <si>
    <t>Uncharacterized protein OS=Prunus persica GN=PRUPE_ppa009384mg PE=4 SV=1</t>
  </si>
  <si>
    <t>Uncharacterized protein OS=Prunus persica GN=PRUPE_ppa019833mg PE=4 SV=1</t>
  </si>
  <si>
    <t>Uncharacterized protein OS=Prunus persica GN=PRUPE_ppb023753mg PE=4 SV=1</t>
  </si>
  <si>
    <t>Signal anchor, putative OS=Medicago truncatula GN=MTR_5g080940 PE=4 SV=1</t>
  </si>
  <si>
    <t>Uncharacterized protein (Fragment) OS=Prunus persica GN=PRUPE_ppa015081mg PE=4 SV=1</t>
  </si>
  <si>
    <t>Uncharacterized protein OS=Prunus persica GN=PRUPE_ppa004716mg PE=4 SV=1</t>
  </si>
  <si>
    <t>Uncharacterized protein OS=Prunus persica GN=PRUPE_ppa006018mg PE=4 SV=1</t>
  </si>
  <si>
    <t>Uncharacterized protein (Fragment) OS=Prunus persica GN=PRUPE_ppa025772mg PE=4 SV=1</t>
  </si>
  <si>
    <t>Uncharacterized protein OS=Prunus persica GN=PRUPE_ppa010692mg PE=4 SV=1</t>
  </si>
  <si>
    <t>Uncharacterized protein (Fragment) OS=Prunus persica GN=PRUPE_ppa016282mg PE=4 SV=1</t>
  </si>
  <si>
    <t>Uncharacterized protein OS=Prunus persica GN=PRUPE_ppa012193mg PE=3 SV=1</t>
  </si>
  <si>
    <t>Uncharacterized protein OS=Prunus persica GN=PRUPE_ppa017046mg PE=4 SV=1</t>
  </si>
  <si>
    <t>Uncharacterized protein OS=Prunus persica GN=PRUPE_ppa012451mg PE=4 SV=1</t>
  </si>
  <si>
    <t>Uncharacterized protein OS=Prunus persica GN=PRUPE_ppa003718mg PE=3 SV=1</t>
  </si>
  <si>
    <t>Uncharacterized protein OS=Prunus persica GN=PRUPE_ppa008305mg PE=3 SV=1</t>
  </si>
  <si>
    <t>Uncharacterized protein OS=Prunus persica GN=PRUPE_ppa003584mg PE=4 SV=1</t>
  </si>
  <si>
    <t>Uncharacterized protein OS=Prunus persica GN=PRUPE_ppa003042mg PE=4 SV=1</t>
  </si>
  <si>
    <t>Uncharacterized protein OS=Jatropha curcas GN=JCGZ_23107 PE=4 SV=1</t>
  </si>
  <si>
    <t>Uncharacterized protein OS=Prunus persica GN=PRUPE_ppa010098mg PE=4 SV=1</t>
  </si>
  <si>
    <t>Uncharacterized protein OS=Prunus persica GN=PRUPE_ppa009525mg PE=4 SV=1</t>
  </si>
  <si>
    <t>Uncharacterized protein OS=Prunus persica GN=PRUPE_ppa001846mg PE=4 SV=1</t>
  </si>
  <si>
    <t>Uncharacterized protein OS=Prunus persica GN=PRUPE_ppa007411mg PE=4 SV=1</t>
  </si>
  <si>
    <t>Uncharacterized protein OS=Prunus persica GN=PRUPE_ppa002339mg PE=4 SV=1</t>
  </si>
  <si>
    <t>Uncharacterized protein OS=Prunus persica GN=PRUPE_ppa000582mg PE=4 SV=1</t>
  </si>
  <si>
    <t>Uncharacterized protein OS=Prunus persica GN=PRUPE_ppa013827mg PE=4 SV=1</t>
  </si>
  <si>
    <t>Uncharacterized protein OS=Prunus persica GN=PRUPE_ppa004249mg PE=3 SV=1</t>
  </si>
  <si>
    <t>Uncharacterized protein OS=Prunus persica GN=PRUPE_ppa005437mg PE=4 SV=1</t>
  </si>
  <si>
    <t>Uncharacterized protein (Fragment) OS=Prunus persica GN=PRUPE_ppa021131mg PE=4 SV=1</t>
  </si>
  <si>
    <t>Uncharacterized protein (Fragment) OS=Prunus persica GN=PRUPE_ppa017404mg PE=4 SV=1</t>
  </si>
  <si>
    <t>Uncharacterized protein OS=Prunus persica GN=PRUPE_ppa021580mg PE=4 SV=1</t>
  </si>
  <si>
    <t>Uncharacterized protein OS=Prunus persica GN=PRUPE_ppa007884mg PE=4 SV=1</t>
  </si>
  <si>
    <t>Uncharacterized protein OS=Prunus persica GN=PRUPE_ppa009246mg PE=3 SV=1</t>
  </si>
  <si>
    <t>Uncharacterized protein OS=Prunus persica GN=PRUPE_ppa004791mg PE=4 SV=1</t>
  </si>
  <si>
    <t>Uncharacterized protein OS=Prunus persica GN=PRUPE_ppa011236mg PE=4 SV=1</t>
  </si>
  <si>
    <t>Putative uncharacterized protein OS=Vitis vinifera GN=VITISV_022039 PE=4 SV=1</t>
  </si>
  <si>
    <t>Uncharacterized protein OS=Prunus persica GN=PRUPE_ppa007944mg PE=3 SV=1</t>
  </si>
  <si>
    <t>Uncharacterized protein (Fragment) OS=Prunus persica GN=PRUPE_ppa024968mg PE=4 SV=1</t>
  </si>
  <si>
    <t>Uncharacterized protein OS=Prunus persica GN=PRUPE_ppa000846mg PE=3 SV=1</t>
  </si>
  <si>
    <t>Uncharacterized protein (Fragment) OS=Prunus persica GN=PRUPE_ppa026326mg PE=4 SV=1</t>
  </si>
  <si>
    <t>Uncharacterized protein OS=Prunus persica GN=PRUPE_ppa001008mg PE=4 SV=1</t>
  </si>
  <si>
    <t>Endoglucanase OS=Pyrus communis GN=PcCL2 PE=2 SV=1</t>
  </si>
  <si>
    <t>Uncharacterized protein OS=Prunus persica GN=PRUPE_ppa012200mg PE=3 SV=1</t>
  </si>
  <si>
    <t>Uncharacterized protein OS=Prunus persica GN=PRUPE_ppa003608mg PE=4 SV=1</t>
  </si>
  <si>
    <t>Uncharacterized protein OS=Prunus persica GN=PRUPE_ppa005800mg PE=4 SV=1</t>
  </si>
  <si>
    <t>Uncharacterized protein (Fragment) OS=Prunus persica GN=PRUPE_ppa014758mg PE=4 SV=1</t>
  </si>
  <si>
    <t>Uncharacterized protein OS=Morus notabilis GN=L484_008517 PE=4 SV=1</t>
  </si>
  <si>
    <t>Uncharacterized protein OS=Prunus persica GN=PRUPE_ppa000138mg PE=4 SV=1</t>
  </si>
  <si>
    <t>Uncharacterized protein OS=Prunus persica GN=PRUPE_ppa008779mg PE=3 SV=1</t>
  </si>
  <si>
    <t>Uncharacterized protein OS=Prunus persica GN=PRUPE_ppa018814mg PE=4 SV=1</t>
  </si>
  <si>
    <t>Uncharacterized protein OS=Prunus persica GN=PRUPE_ppa001900mg PE=4 SV=1</t>
  </si>
  <si>
    <t>Uncharacterized protein OS=Prunus persica GN=PRUPE_ppa014724mg PE=4 SV=1</t>
  </si>
  <si>
    <t>Uncharacterized protein OS=Prunus persica GN=PRUPE_ppa009074mg PE=4 SV=1</t>
  </si>
  <si>
    <t>Uncharacterized protein OS=Prunus persica GN=PRUPE_ppa003517mg PE=4 SV=1</t>
  </si>
  <si>
    <t>Uncharacterized protein OS=Prunus persica GN=PRUPE_ppa010249mg PE=4 SV=1</t>
  </si>
  <si>
    <t>Uncharacterized protein OS=Prunus persica GN=PRUPE_ppa004101mg PE=4 SV=1</t>
  </si>
  <si>
    <t>Uncharacterized protein OS=Prunus persica GN=PRUPE_ppa024484mg PE=4 SV=1</t>
  </si>
  <si>
    <t>Uncharacterized protein OS=Prunus persica GN=PRUPE_ppa005178mg PE=4 SV=1</t>
  </si>
  <si>
    <t>Uncharacterized protein OS=Prunus persica GN=PRUPE_ppa007282mg PE=4 SV=1</t>
  </si>
  <si>
    <t>Uncharacterized protein OS=Prunus persica GN=PRUPE_ppa013304mg PE=4 SV=1</t>
  </si>
  <si>
    <t>Uncharacterized protein OS=Prunus persica GN=PRUPE_ppa007571mg PE=4 SV=1</t>
  </si>
  <si>
    <t>Uncharacterized protein OS=Prunus persica GN=PRUPE_ppa011688mg PE=4 SV=1</t>
  </si>
  <si>
    <t>Uncharacterized protein OS=Prunus persica GN=PRUPE_ppa009474mg PE=4 SV=1</t>
  </si>
  <si>
    <t>Uncharacterized protein OS=Prunus persica GN=PRUPE_ppa016752mg PE=4 SV=1</t>
  </si>
  <si>
    <t>Uncharacterized protein OS=Prunus persica GN=PRUPE_ppa004958mg PE=4 SV=1</t>
  </si>
  <si>
    <t>Uncharacterized protein OS=Prunus persica GN=PRUPE_ppa010846mg PE=4 SV=1</t>
  </si>
  <si>
    <t>Uncharacterized protein OS=Prunus persica GN=PRUPE_ppa003661mg PE=4 SV=1</t>
  </si>
  <si>
    <t>Uncharacterized protein OS=Prunus persica GN=PRUPE_ppa011715mg PE=4 SV=1</t>
  </si>
  <si>
    <t>Uncharacterized protein OS=Prunus persica GN=PRUPE_ppa021881mg PE=4 SV=1</t>
  </si>
  <si>
    <t>Uncharacterized protein (Fragment) OS=Prunus persica GN=PRUPE_ppa015066mg PE=4 SV=1</t>
  </si>
  <si>
    <t>Uncharacterized protein OS=Prunus persica GN=PRUPE_ppa005056mg PE=4 SV=1</t>
  </si>
  <si>
    <t>Uncharacterized protein OS=Prunus persica GN=PRUPE_ppa025026mg PE=4 SV=1</t>
  </si>
  <si>
    <t>Uncharacterized protein OS=Prunus persica GN=PRUPE_ppa009122mg PE=4 SV=1</t>
  </si>
  <si>
    <t>Uncharacterized protein OS=Prunus persica GN=PRUPE_ppa022363mg PE=4 SV=1</t>
  </si>
  <si>
    <t>Uncharacterized protein OS=Prunus persica GN=PRUPE_ppa012590mg PE=4 SV=1</t>
  </si>
  <si>
    <t>Uncharacterized protein OS=Prunus persica GN=PRUPE_ppa013529mg PE=4 SV=1</t>
  </si>
  <si>
    <t>T4.14 protein OS=Malus x robusta GN=T4.14 PE=4 SV=1</t>
  </si>
  <si>
    <t>Uncharacterized protein OS=Prunus persica GN=PRUPE_ppa003908mg PE=3 SV=1</t>
  </si>
  <si>
    <t>Uncharacterized protein OS=Prunus persica GN=PRUPE_ppa004739mg PE=4 SV=1</t>
  </si>
  <si>
    <t>Uncharacterized protein OS=Prunus persica GN=PRUPE_ppa005861mg PE=4 SV=1</t>
  </si>
  <si>
    <t>Uncharacterized protein OS=Prunus persica GN=PRUPE_ppa010487mg PE=4 SV=1</t>
  </si>
  <si>
    <t>Uncharacterized protein OS=Prunus persica GN=PRUPE_ppa004577mg PE=4 SV=1</t>
  </si>
  <si>
    <t>Uncharacterized protein OS=Prunus persica GN=PRUPE_ppa005489mg PE=4 SV=1</t>
  </si>
  <si>
    <t>Uncharacterized protein OS=Prunus persica GN=PRUPE_ppa008750mg PE=4 SV=1</t>
  </si>
  <si>
    <t>Non-lysosomal glucosylceramidase OS=Prunus persica GN=PRUPE_ppa000954mg PE=3 SV=1</t>
  </si>
  <si>
    <t>Uncharacterized protein OS=Prunus persica GN=PRUPE_ppa010917mg PE=4 SV=1</t>
  </si>
  <si>
    <t>Uncharacterized protein OS=Prunus persica GN=PRUPE_ppa004394mg PE=3 SV=1</t>
  </si>
  <si>
    <t>Uncharacterized protein OS=Prunus persica GN=PRUPE_ppa007559mg PE=4 SV=1</t>
  </si>
  <si>
    <t>Uncharacterized protein OS=Prunus persica GN=PRUPE_ppa009113mg PE=4 SV=1</t>
  </si>
  <si>
    <t>Uncharacterized protein OS=Prunus persica GN=PRUPE_ppa004558mg PE=4 SV=1</t>
  </si>
  <si>
    <t>Uncharacterized protein OS=Prunus persica GN=PRUPE_ppa008365mg PE=4 SV=1</t>
  </si>
  <si>
    <t>Uncharacterized protein OS=Prunus persica GN=PRUPE_ppa013496mg PE=3 SV=1</t>
  </si>
  <si>
    <t>Peroxidase OS=Prunus persica GN=PRUPE_ppa008820mg PE=3 SV=1</t>
  </si>
  <si>
    <t>Methionine aminopeptidase 2 OS=Prunus persica GN=PRUPE_ppa005954mg PE=3 SV=1</t>
  </si>
  <si>
    <t>Lipoxygenase OS=Malus domestica GN=LOX5b PE=2 SV=1</t>
  </si>
  <si>
    <t>Uncharacterized protein OS=Prunus persica GN=PRUPE_ppa017078mg PE=4 SV=1</t>
  </si>
  <si>
    <t>Glutaredoxin C4 OS=Theobroma cacao GN=TCM_039626 PE=4 SV=1</t>
  </si>
  <si>
    <t>Riboflavin biosynthesis protein ribBA OS=Morus notabilis GN=L484_010850 PE=3 SV=1</t>
  </si>
  <si>
    <t>Uncharacterized protein OS=Prunus persica GN=PRUPE_ppa003930mg PE=4 SV=1</t>
  </si>
  <si>
    <t>Uncharacterized protein OS=Prunus persica GN=PRUPE_ppa023616mg PE=4 SV=1</t>
  </si>
  <si>
    <t>Uncharacterized protein OS=Prunus persica GN=PRUPE_ppa005635mg PE=4 SV=1</t>
  </si>
  <si>
    <t>Uncharacterized protein OS=Prunus persica GN=PRUPE_ppa008910mg PE=4 SV=1</t>
  </si>
  <si>
    <t>Uncharacterized protein OS=Prunus persica GN=PRUPE_ppa010012mg PE=4 SV=1</t>
  </si>
  <si>
    <t>Uncharacterized protein (Fragment) OS=Pseudogymnoascus pannorum VKM F-3775 GN=V491_07731 PE=4 SV=1</t>
  </si>
  <si>
    <t>Uncharacterized protein OS=Prunus persica GN=PRUPE_ppa001469mg PE=3 SV=1</t>
  </si>
  <si>
    <t>Uncharacterized protein (Fragment) OS=Prunus persica GN=PRUPE_ppa020996mg PE=4 SV=1</t>
  </si>
  <si>
    <t>Uncharacterized protein OS=Prunus persica GN=PRUPE_ppa012069mg PE=4 SV=1</t>
  </si>
  <si>
    <t>Putative uncharacterized protein OS=Vitis vinifera GN=VITISV_020655 PE=4 SV=1</t>
  </si>
  <si>
    <t>Maturase K OS=Prunus persica GN=matK PE=3 SV=1</t>
  </si>
  <si>
    <t>Uncharacterized protein (Fragment) OS=Prunus persica GN=PRUPE_ppa026027mg PE=4 SV=1</t>
  </si>
  <si>
    <t>Uncharacterized protein OS=Prunus persica GN=PRUPE_ppa009809mg PE=4 SV=1</t>
  </si>
  <si>
    <t>Uncharacterized protein OS=Prunus persica GN=PRUPE_ppa008333mg PE=4 SV=1</t>
  </si>
  <si>
    <t>Uncharacterized protein OS=Prunus persica GN=PRUPE_ppa009266mg PE=4 SV=1</t>
  </si>
  <si>
    <t>Uncharacterized protein OS=Prunus persica GN=PRUPE_ppa024431mg PE=4 SV=1</t>
  </si>
  <si>
    <t>Uncharacterized protein OS=Prunus persica GN=PRUPE_ppa006246mg PE=3 SV=1</t>
  </si>
  <si>
    <t>Uncharacterized protein OS=Prunus persica GN=PRUPE_ppa019431mg PE=4 SV=1</t>
  </si>
  <si>
    <t>Uncharacterized protein OS=Prunus persica GN=PRUPE_ppa020404mg PE=4 SV=1</t>
  </si>
  <si>
    <t>Uncharacterized protein OS=Prunus persica GN=PRUPE_ppa005410mg PE=4 SV=1</t>
  </si>
  <si>
    <t>Uncharacterized protein OS=Prunus persica GN=PRUPE_ppa003861mg PE=4 SV=1</t>
  </si>
  <si>
    <t>Class III HD-Zip protein 8 OS=Prunus persica GN=ATHB8 PE=2 SV=1</t>
  </si>
  <si>
    <t>Uncharacterized protein OS=Prunus persica GN=PRUPE_ppa010087mg PE=4 SV=1</t>
  </si>
  <si>
    <t>Uncharacterized protein OS=Prunus persica GN=PRUPE_ppa003476mg PE=4 SV=1</t>
  </si>
  <si>
    <t>Uncharacterized protein OS=Prunus persica GN=PRUPE_ppa000902mg PE=4 SV=1</t>
  </si>
  <si>
    <t>Uncharacterized protein OS=Prunus persica GN=PRUPE_ppa009807mg PE=4 SV=1</t>
  </si>
  <si>
    <t>Uncharacterized protein OS=Prunus persica GN=PRUPE_ppa010446mg PE=4 SV=1</t>
  </si>
  <si>
    <t>Uncharacterized protein OS=Prunus persica GN=PRUPE_ppa007745mg PE=4 SV=1</t>
  </si>
  <si>
    <t>Uncharacterized protein OS=Prunus persica GN=PRUPE_ppa004194mg PE=4 SV=1</t>
  </si>
  <si>
    <t>Glutamyl-tRNA reductase OS=Prunus persica GN=PRUPE_ppa003952mg PE=3 SV=1</t>
  </si>
  <si>
    <t>Uncharacterized protein OS=Prunus persica GN=PRUPE_ppa006552mg PE=4 SV=1</t>
  </si>
  <si>
    <t>Uncharacterized protein OS=Prunus persica GN=PRUPE_ppa001804mg PE=4 SV=1</t>
  </si>
  <si>
    <t>Uncharacterized protein OS=Prunus persica GN=PRUPE_ppa001402mg PE=4 SV=1</t>
  </si>
  <si>
    <t>R2R3 MYB transcription factor 10 OS=Prunus persica GN=MYB10 PE=2 SV=1</t>
  </si>
  <si>
    <t>Uncharacterized protein OS=Prunus persica GN=PRUPE_ppa010737mg PE=4 SV=1</t>
  </si>
  <si>
    <t>Uncharacterized protein OS=Prunus persica GN=PRUPE_ppa009373mg PE=4 SV=1</t>
  </si>
  <si>
    <t>Uncharacterized protein OS=Prunus persica GN=PRUPE_ppa010333mg PE=4 SV=1</t>
  </si>
  <si>
    <t>Carbonic anhydrase OS=Prunus persica GN=PRUPE_ppa008903mg PE=3 SV=1</t>
  </si>
  <si>
    <t>Uncharacterized protein OS=Prunus persica GN=PRUPE_ppa006615mg PE=4 SV=1</t>
  </si>
  <si>
    <t>Uncharacterized protein OS=Prunus persica GN=PRUPE_ppa011211mg PE=3 SV=1</t>
  </si>
  <si>
    <t>Uncharacterized protein OS=Prunus persica GN=PRUPE_ppa023059mg PE=4 SV=1</t>
  </si>
  <si>
    <t>Uncharacterized protein OS=Prunus persica GN=PRUPE_ppa006932mg PE=3 SV=1</t>
  </si>
  <si>
    <t>Peptidyl-prolyl cis-trans isomerase OS=Prunus persica GN=PRUPE_ppa011792mg PE=3 SV=1</t>
  </si>
  <si>
    <t>Class I KNOX homeobox transcription factor STM-like 2 OS=Prunus persica PE=2 SV=1</t>
  </si>
  <si>
    <t>Uncharacterized protein OS=Prunus persica GN=PRUPE_ppa024844mg PE=4 SV=1</t>
  </si>
  <si>
    <t>Uncharacterized protein OS=Prunus persica GN=PRUPE_ppa001973mg PE=3 SV=1</t>
  </si>
  <si>
    <t>Uncharacterized protein OS=Prunus persica GN=PRUPE_ppa026481mg PE=4 SV=1</t>
  </si>
  <si>
    <t>Uncharacterized protein OS=Prunus persica GN=PRUPE_ppa000161mg PE=4 SV=1</t>
  </si>
  <si>
    <t>Uncharacterized protein OS=Prunus persica GN=PRUPE_ppa000058mg PE=4 SV=1</t>
  </si>
  <si>
    <t>Uncharacterized protein OS=Prunus persica GN=PRUPE_ppa004393mg PE=4 SV=1</t>
  </si>
  <si>
    <t>Uncharacterized protein OS=Prunus persica GN=PRUPE_ppa000374mg PE=4 SV=1</t>
  </si>
  <si>
    <t>Uncharacterized protein OS=Prunus persica GN=PRUPE_ppa003656mg PE=4 SV=1</t>
  </si>
  <si>
    <t>Uncharacterized protein OS=Prunus persica GN=PRUPE_ppa005115mg PE=3 SV=1</t>
  </si>
  <si>
    <t>Uncharacterized protein OS=Solanum lycopersicum GN=Solyc04g064760.2 PE=4 SV=1</t>
  </si>
  <si>
    <t>Uncharacterized protein OS=Prunus persica GN=PRUPE_ppa008035mg PE=4 SV=1</t>
  </si>
  <si>
    <t>Uncharacterized protein OS=Prunus persica GN=PRUPE_ppa007337mg PE=3 SV=1</t>
  </si>
  <si>
    <t>Uncharacterized protein OS=Prunus persica GN=PRUPE_ppa000971mg PE=4 SV=1</t>
  </si>
  <si>
    <t>Uncharacterized protein (Fragment) OS=Prunus persica GN=PRUPE_ppa021855mg PE=4 SV=1</t>
  </si>
  <si>
    <t>Uncharacterized protein OS=Prunus persica GN=PRUPE_ppa015718mg PE=4 SV=1</t>
  </si>
  <si>
    <t>Uncharacterized protein OS=Prunus persica GN=PRUPE_ppa006935mg PE=4 SV=1</t>
  </si>
  <si>
    <t>Uncharacterized protein OS=Prunus persica GN=PRUPE_ppa004340mg PE=4 SV=1</t>
  </si>
  <si>
    <t>Uncharacterized protein OS=Prunus persica GN=PRUPE_ppa011128mg PE=4 SV=1</t>
  </si>
  <si>
    <t>Uncharacterized protein (Fragment) OS=Prunus persica GN=PRUPE_ppa018695mg PE=4 SV=1</t>
  </si>
  <si>
    <t>Uncharacterized protein OS=Prunus persica GN=PRUPE_ppa001992mg PE=4 SV=1</t>
  </si>
  <si>
    <t>Uncharacterized protein OS=Prunus persica GN=PRUPE_ppa016272mg PE=4 SV=1</t>
  </si>
  <si>
    <t>Uncharacterized protein OS=Prunus persica GN=PRUPE_ppa002579mg PE=4 SV=1</t>
  </si>
  <si>
    <t>Uncharacterized protein OS=Prunus persica GN=PRUPE_ppa006351mg PE=4 SV=1</t>
  </si>
  <si>
    <t>Polyadenylate-binding protein OS=Prunus persica GN=PRUPE_ppa002607mg PE=3 SV=1</t>
  </si>
  <si>
    <t>Uncharacterized protein OS=Prunus persica GN=PRUPE_ppa013265mg PE=4 SV=1</t>
  </si>
  <si>
    <t>Uncharacterized protein OS=Prunus persica GN=PRUPE_ppa011274mg PE=4 SV=1</t>
  </si>
  <si>
    <t>Uncharacterized protein OS=Prunus persica GN=PRUPE_ppa007472mg PE=4 SV=1</t>
  </si>
  <si>
    <t>Uncharacterized protein (Fragment) OS=Prunus persica GN=PRUPE_ppa024677mg PE=4 SV=1</t>
  </si>
  <si>
    <t>Uncharacterized protein OS=Prunus persica GN=PRUPE_ppa009488mg PE=4 SV=1</t>
  </si>
  <si>
    <t>Putative uncharacterized protein OS=Vitis vinifera GN=VIT_12s0059g01070 PE=4 SV=1</t>
  </si>
  <si>
    <t>Uncharacterized protein OS=Prunus persica GN=PRUPE_ppa018855mg PE=4 SV=1</t>
  </si>
  <si>
    <t>Uncharacterized protein OS=Prunus persica GN=PRUPE_ppa004212mg PE=4 SV=1</t>
  </si>
  <si>
    <t>Uncharacterized protein OS=Prunus persica GN=PRUPE_ppa000518mg PE=4 SV=1</t>
  </si>
  <si>
    <t>Plasma membrane-type calcium ATPase OS=Arabidopsis thaliana GN=At4g37640 PE=2 SV=1</t>
  </si>
  <si>
    <t>Uncharacterized protein OS=Prunus persica GN=PRUPE_ppa004775mg PE=4 SV=1</t>
  </si>
  <si>
    <t>Uncharacterized protein OS=Morus notabilis GN=L484_001891 PE=4 SV=1</t>
  </si>
  <si>
    <t>Uncharacterized protein OS=Prunus persica GN=PRUPE_ppa000830mg PE=4 SV=1</t>
  </si>
  <si>
    <t>Uncharacterized protein OS=Prunus persica GN=PRUPE_ppa000892mg PE=4 SV=1</t>
  </si>
  <si>
    <t>Ribosomal protein S3 OS=Citrullus lanatus GN=rps3 PE=3 SV=1</t>
  </si>
  <si>
    <t>Uncharacterized protein OS=Prunus persica GN=PRUPE_ppa004732mg PE=3 SV=1</t>
  </si>
  <si>
    <t>Uncharacterized protein OS=Prunus persica GN=PRUPE_ppa004769mg PE=4 SV=1</t>
  </si>
  <si>
    <t>Uncharacterized protein OS=Prunus persica GN=PRUPE_ppa010251mg PE=4 SV=1</t>
  </si>
  <si>
    <t>Uncharacterized protein OS=Prunus persica GN=PRUPE_ppa016155mg PE=4 SV=1</t>
  </si>
  <si>
    <t>Uncharacterized protein OS=Prunus persica GN=PRUPE_ppa024006mg PE=4 SV=1</t>
  </si>
  <si>
    <t>Uncharacterized protein OS=Prunus persica GN=PRUPE_ppa010376mg PE=3 SV=1</t>
  </si>
  <si>
    <t>Uncharacterized protein (Fragment) OS=Prunus persica GN=PRUPE_ppa021700mg PE=4 SV=1</t>
  </si>
  <si>
    <t>Uncharacterized protein OS=Prunus persica GN=PRUPE_ppa012737mg PE=4 SV=1</t>
  </si>
  <si>
    <t>Uncharacterized protein OS=Prunus persica GN=PRUPE_ppb013264mg PE=4 SV=1</t>
  </si>
  <si>
    <t>Uncharacterized protein OS=Prunus persica GN=PRUPE_ppa003376mg PE=4 SV=1</t>
  </si>
  <si>
    <t>Uncharacterized protein OS=Prunus persica GN=PRUPE_ppa007741mg PE=3 SV=1</t>
  </si>
  <si>
    <t>RNA replicase (Coat protein) OS=Cherry virus A PE=4 SV=1</t>
  </si>
  <si>
    <t>Uncharacterized protein OS=Prunus persica GN=PRUPE_ppa024511mg PE=4 SV=1</t>
  </si>
  <si>
    <t>Uncharacterized protein (Fragment) OS=Prunus persica GN=PRUPE_ppa026657mg PE=4 SV=1</t>
  </si>
  <si>
    <t>Alcohol oxidase OS=Scedosporium apiospermum GN=SAPIO_CDS2494 PE=3 SV=1</t>
  </si>
  <si>
    <t>Uncharacterized protein OS=Prunus persica GN=PRUPE_ppa007941mg PE=4 SV=1</t>
  </si>
  <si>
    <t>Uncharacterized protein OS=Prunus persica GN=PRUPE_ppa007554mg PE=3 SV=1</t>
  </si>
  <si>
    <t>Carboxypeptidase OS=Prunus persica GN=PRUPE_ppa003691mg PE=3 SV=1</t>
  </si>
  <si>
    <t>Uncharacterized protein OS=Prunus persica GN=PRUPE_ppa022053mg PE=4 SV=1</t>
  </si>
  <si>
    <t>Uncharacterized protein (Fragment) OS=Prunus persica GN=PRUPE_ppa017031mg PE=4 SV=1</t>
  </si>
  <si>
    <t>Uncharacterized protein OS=Prunus persica GN=PRUPE_ppa010456mg PE=4 SV=1</t>
  </si>
  <si>
    <t>Uncharacterized protein OS=Prunus persica GN=PRUPE_ppa002625mg PE=4 SV=1</t>
  </si>
  <si>
    <t>Uncharacterized protein OS=Prunus persica GN=PRUPE_ppa026725mg PE=4 SV=1</t>
  </si>
  <si>
    <t>Uncharacterized protein OS=Jatropha curcas GN=JCGZ_19651 PE=4 SV=1</t>
  </si>
  <si>
    <t>Uncharacterized protein OS=Prunus persica GN=PRUPE_ppa017177mg PE=4 SV=1</t>
  </si>
  <si>
    <t>Uncharacterized protein OS=Prunus persica GN=PRUPE_ppa005605mg PE=4 SV=1</t>
  </si>
  <si>
    <t>Uncharacterized protein OS=Prunus persica GN=PRUPE_ppa013267mg PE=4 SV=1</t>
  </si>
  <si>
    <t>Uncharacterized protein OS=Prunus persica GN=PRUPE_ppa005787mg PE=4 SV=1</t>
  </si>
  <si>
    <t>Uncharacterized protein OS=Prunus persica GN=PRUPE_ppa021775mg PE=4 SV=1</t>
  </si>
  <si>
    <t>Putative ubiquitin-conjugating enzyme E2 OS=Gardenia jasminoides PE=2 SV=1</t>
  </si>
  <si>
    <t>Uncharacterized protein (Fragment) OS=Prunus persica GN=PRUPE_ppa022398mg PE=4 SV=1</t>
  </si>
  <si>
    <t>Putative uncharacterized protein OS=Vitis vinifera GN=VITISV_026680 PE=4 SV=1</t>
  </si>
  <si>
    <t>Uncharacterized protein OS=Prunus persica GN=PRUPE_ppa011377mg PE=4 SV=1</t>
  </si>
  <si>
    <t>Lon protease homolog 2, peroxisomal OS=Prunus persica GN=PRUPE_ppa001173mg PE=3 SV=1</t>
  </si>
  <si>
    <t>Uncharacterized protein OS=Prunus persica GN=PRUPE_ppa005093mg PE=4 SV=1</t>
  </si>
  <si>
    <t>Uncharacterized protein OS=Prunus persica GN=PRUPE_ppa016704mg PE=4 SV=1</t>
  </si>
  <si>
    <t>S-acyltransferase OS=Prunus persica GN=PRUPE_ppa005782mg PE=3 SV=1</t>
  </si>
  <si>
    <t>Uncharacterized protein (Fragment) OS=Prunus persica GN=PRUPE_ppa016186mg PE=4 SV=1</t>
  </si>
  <si>
    <t>Uncharacterized protein OS=Prunus persica GN=PRUPE_ppa025256mg PE=4 SV=1</t>
  </si>
  <si>
    <t>Uncharacterized protein OS=Prunus persica GN=PRUPE_ppa001214mg PE=4 SV=1</t>
  </si>
  <si>
    <t>Uncharacterized protein OS=Prunus persica GN=PRUPE_ppa020514mg PE=4 SV=1</t>
  </si>
  <si>
    <t>Uncharacterized protein OS=Prunus persica GN=PRUPE_ppa012770mg PE=4 SV=1</t>
  </si>
  <si>
    <t>Uncharacterized protein OS=Prunus persica GN=PRUPE_ppa012307mg PE=4 SV=1</t>
  </si>
  <si>
    <t>Uncharacterized protein OS=Prunus persica GN=PRUPE_ppa000158mg PE=4 SV=1</t>
  </si>
  <si>
    <t>Peroxidase OS=Prunus persica GN=PRUPE_ppa008489mg PE=3 SV=1</t>
  </si>
  <si>
    <t>Acyl-coenzyme A oxidase OS=Prunus persica GN=PRUPE_ppa002282mg PE=3 SV=1</t>
  </si>
  <si>
    <t>Uncharacterized protein OS=Prunus persica GN=PRUPE_ppa021037mg PE=4 SV=1</t>
  </si>
  <si>
    <t>Uncharacterized protein OS=Prunus persica GN=PRUPE_ppa011352mg PE=4 SV=1</t>
  </si>
  <si>
    <t>Uncharacterized protein OS=Prunus persica GN=PRUPE_ppa006192mg PE=3 SV=1</t>
  </si>
  <si>
    <t>Uncharacterized protein OS=Prunus persica GN=PRUPE_ppa007158mg PE=3 SV=1</t>
  </si>
  <si>
    <t>Uncharacterized protein OS=Prunus persica GN=PRUPE_ppa006976mg PE=4 SV=1</t>
  </si>
  <si>
    <t>Uncharacterized protein OS=Prunus persica GN=PRUPE_ppa005084mg PE=3 SV=1</t>
  </si>
  <si>
    <t>Uncharacterized protein OS=Prunus persica GN=PRUPE_ppa007629mg PE=4 SV=1</t>
  </si>
  <si>
    <t>Uncharacterized protein OS=Prunus persica GN=PRUPE_ppa012638mg PE=3 SV=1</t>
  </si>
  <si>
    <t>Uncharacterized protein OS=Prunus persica GN=PRUPE_ppa006204mg PE=4 SV=1</t>
  </si>
  <si>
    <t>Uncharacterized protein OS=Prunus persica GN=PRUPE_ppa001371mg PE=4 SV=1</t>
  </si>
  <si>
    <t>Uncharacterized protein OS=Prunus persica GN=PRUPE_ppa009093mg PE=4 SV=1</t>
  </si>
  <si>
    <t>Uncharacterized protein OS=Prunus persica GN=PRUPE_ppa005046mg PE=4 SV=1</t>
  </si>
  <si>
    <t>Uncharacterized protein (Fragment) OS=Prunus persica GN=PRUPE_ppa022396mg PE=4 SV=1</t>
  </si>
  <si>
    <t>Uncharacterized protein OS=Prunus persica GN=PRUPE_ppa008871mg PE=4 SV=1</t>
  </si>
  <si>
    <t>Uncharacterized protein OS=Prunus persica GN=PRUPE_ppa016586mg PE=4 SV=1</t>
  </si>
  <si>
    <t>Uncharacterized protein OS=Prunus persica GN=PRUPE_ppa019068mg PE=3 SV=1</t>
  </si>
  <si>
    <t>Cyclin family protein OS=Populus trichocarpa GN=POPTR_0013s02350g PE=4 SV=1</t>
  </si>
  <si>
    <t>Uncharacterized protein OS=Prunus persica GN=PRUPE_ppa016532mg PE=4 SV=1</t>
  </si>
  <si>
    <t>Uncharacterized protein OS=Prunus persica GN=PRUPE_ppa003617mg PE=4 SV=1</t>
  </si>
  <si>
    <t>Kinesin-like protein OS=Prunus persica GN=PRUPE_ppa000768mg PE=3 SV=1</t>
  </si>
  <si>
    <t>Uncharacterized protein OS=Prunus persica GN=PRUPE_ppa017691mg PE=4 SV=1</t>
  </si>
  <si>
    <t>SnRK2.6 OS=Malus domestica PE=2 SV=1</t>
  </si>
  <si>
    <t>Uncharacterized protein OS=Prunus persica GN=PRUPE_ppa011387mg PE=3 SV=1</t>
  </si>
  <si>
    <t>Uncharacterized protein OS=Prunus persica GN=PRUPE_ppa000691mg PE=3 SV=1</t>
  </si>
  <si>
    <t>Uncharacterized protein OS=Prunus persica GN=PRUPE_ppa017396mg PE=4 SV=1</t>
  </si>
  <si>
    <t>Uncharacterized protein OS=Prunus persica GN=PRUPE_ppa023298mg PE=4 SV=1</t>
  </si>
  <si>
    <t>Uncharacterized protein OS=Prunus persica GN=PRUPE_ppa026663mg PE=4 SV=1</t>
  </si>
  <si>
    <t>Urease OS=Prunus persica GN=PRUPE_ppa001420mg PE=3 SV=1</t>
  </si>
  <si>
    <t>Cellulose synthase OS=Prunus persica GN=PRUPE_ppa000641mg PE=3 SV=1</t>
  </si>
  <si>
    <t>Protein kish OS=Prunus persica GN=PRUPE_ppa014418mg PE=3 SV=1</t>
  </si>
  <si>
    <t>Uncharacterized protein OS=Prunus persica GN=PRUPE_ppa025866mg PE=4 SV=1</t>
  </si>
  <si>
    <t>Acyl carrier protein OS=Prunus persica GN=PRUPE_ppa013030mg PE=3 SV=1</t>
  </si>
  <si>
    <t>1-aminocyclopropane-1-carboxylate oxidase (Fragment) OS=Prunus persica GN=aco1 PE=2 SV=1</t>
  </si>
  <si>
    <t>Uncharacterized protein OS=Prunus persica GN=PRUPE_ppa012991mg PE=4 SV=1</t>
  </si>
  <si>
    <t>Uncharacterized protein OS=Prunus persica GN=PRUPE_ppa007552mg PE=4 SV=1</t>
  </si>
  <si>
    <t>Uncharacterized protein OS=Prunus persica GN=PRUPE_ppa008807mg PE=3 SV=1</t>
  </si>
  <si>
    <t>Uncharacterized protein OS=Prunus persica GN=PRUPE_ppa003740mg PE=4 SV=1</t>
  </si>
  <si>
    <t>Uncharacterized protein OS=Prunus persica GN=PRUPE_ppa001836mg PE=4 SV=1</t>
  </si>
  <si>
    <t>Uncharacterized protein OS=Prunus persica GN=PRUPE_ppa004998mg PE=4 SV=1</t>
  </si>
  <si>
    <t>Uncharacterized protein OS=Prunus persica GN=PRUPE_ppa011610mg PE=4 SV=1</t>
  </si>
  <si>
    <t>Uncharacterized protein OS=Prunus persica GN=PRUPE_ppa016203mg PE=4 SV=1</t>
  </si>
  <si>
    <t>Uncharacterized protein OS=Prunus persica GN=PRUPE_ppa006148mg PE=4 SV=1</t>
  </si>
  <si>
    <t>Uncharacterized protein OS=Prunus persica GN=PRUPE_ppa022752mg PE=3 SV=1</t>
  </si>
  <si>
    <t>Uncharacterized protein OS=Prunus persica GN=PRUPE_ppa022474mg PE=4 SV=1</t>
  </si>
  <si>
    <t>Uncharacterized protein OS=Morus notabilis GN=L484_022317 PE=4 SV=1</t>
  </si>
  <si>
    <t>Uncharacterized protein OS=Prunus persica GN=PRUPE_ppa002802mg PE=4 SV=1</t>
  </si>
  <si>
    <t>Uncharacterized protein OS=Prunus persica GN=PRUPE_ppa010599mg PE=4 SV=1</t>
  </si>
  <si>
    <t>Uncharacterized protein OS=Prunus persica GN=PRUPE_ppa000333mg PE=4 SV=1</t>
  </si>
  <si>
    <t>Uncharacterized protein OS=Prunus persica GN=PRUPE_ppa009463mg PE=4 SV=1</t>
  </si>
  <si>
    <t>Uncharacterized protein OS=Prunus persica GN=PRUPE_ppa011968mg PE=4 SV=1</t>
  </si>
  <si>
    <t>Uncharacterized protein (Fragment) OS=Prunus persica GN=PRUPE_ppa020716mg PE=4 SV=1</t>
  </si>
  <si>
    <t>Uncharacterized protein OS=Prunus persica GN=PRUPE_ppa007950mg PE=3 SV=1</t>
  </si>
  <si>
    <t>Uncharacterized protein OS=Prunus persica GN=PRUPE_ppa021917mg PE=4 SV=1</t>
  </si>
  <si>
    <t>NADH-cytochrome b5 reductase OS=Jatropha curcas GN=JCGZ_23855 PE=3 SV=1</t>
  </si>
  <si>
    <t>Uncharacterized protein OS=Prunus persica GN=PRUPE_ppa007164mg PE=4 SV=1</t>
  </si>
  <si>
    <t>Uncharacterized protein OS=Prunus persica GN=PRUPE_ppa007007mg PE=4 SV=1</t>
  </si>
  <si>
    <t>Uncharacterized protein OS=Prunus persica GN=PRUPE_ppa000109mg PE=4 SV=1</t>
  </si>
  <si>
    <t>Uncharacterized protein OS=Prunus persica GN=PRUPE_ppa003292mg PE=3 SV=1</t>
  </si>
  <si>
    <t>Uncharacterized protein OS=Prunus persica GN=PRUPE_ppa011228mg PE=4 SV=1</t>
  </si>
  <si>
    <t>Uridine kinase OS=Erythranthe guttata GN=MIMGU_mgv1a022696mg PE=3 SV=1</t>
  </si>
  <si>
    <t>Uncharacterized protein OS=Prunus persica GN=PRUPE_ppa002814mg PE=4 SV=1</t>
  </si>
  <si>
    <t>Uncharacterized protein OS=Prunus persica GN=PRUPE_ppa007706mg PE=4 SV=1</t>
  </si>
  <si>
    <t>Uncharacterized protein OS=Prunus persica GN=PRUPE_ppa004503mg PE=3 SV=1</t>
  </si>
  <si>
    <t>Uncharacterized protein OS=Prunus persica GN=PRUPE_ppa008913mg PE=4 SV=1</t>
  </si>
  <si>
    <t>Uncharacterized protein OS=Prunus persica GN=PRUPE_ppa015952mg PE=4 SV=1</t>
  </si>
  <si>
    <t>Uncharacterized protein OS=Prunus persica GN=PRUPE_ppa009445mg PE=4 SV=1</t>
  </si>
  <si>
    <t>Uncharacterized protein (Fragment) OS=Prunus persica GN=PRUPE_ppa014611mg PE=4 SV=1</t>
  </si>
  <si>
    <t>Uncharacterized protein OS=Prunus persica GN=PRUPE_ppa005256mg PE=4 SV=1</t>
  </si>
  <si>
    <t>Uncharacterized protein OS=Prunus persica GN=PRUPE_ppa011645mg PE=4 SV=1</t>
  </si>
  <si>
    <t>Uncharacterized protein OS=Prunus persica GN=PRUPE_ppa002719mg PE=4 SV=1</t>
  </si>
  <si>
    <t>Uncharacterized protein OS=Prunus persica GN=PRUPE_ppa025117mg PE=3 SV=1</t>
  </si>
  <si>
    <t>Uncharacterized protein OS=Prunus persica GN=PRUPE_ppa022680mg PE=4 SV=1</t>
  </si>
  <si>
    <t>Uncharacterized protein OS=Prunus persica GN=PRUPE_ppa002513mg PE=4 SV=1</t>
  </si>
  <si>
    <t>Putative Plasma-membrane proton-efflux P-type ATPase OS=Torrubiella hemipterigena GN=VHEMI01742 PE=3 SV=1</t>
  </si>
  <si>
    <t>Uncharacterized protein OS=Prunus persica GN=PRUPE_ppa000930mg PE=4 SV=1</t>
  </si>
  <si>
    <t>Uncharacterized protein OS=Prunus persica GN=PRUPE_ppa002892mg PE=3 SV=1</t>
  </si>
  <si>
    <t>Uncharacterized protein (Fragment) OS=Prunus persica GN=PRUPE_ppa023327mg PE=4 SV=1</t>
  </si>
  <si>
    <t>Uncharacterized protein OS=Prunus persica GN=PRUPE_ppa003762mg PE=3 SV=1</t>
  </si>
  <si>
    <t>Uncharacterized protein OS=Prunus persica GN=PRUPE_ppa012702mg PE=3 SV=1</t>
  </si>
  <si>
    <t>Uncharacterized protein OS=Prunus persica GN=PRUPE_ppa018029mg PE=3 SV=1</t>
  </si>
  <si>
    <t>Uncharacterized protein OS=Prunus persica GN=PRUPE_ppa026612mg PE=4 SV=1</t>
  </si>
  <si>
    <t>Uncharacterized protein OS=Prunus persica GN=PRUPE_ppa020110mg PE=3 SV=1</t>
  </si>
  <si>
    <t>Uncharacterized protein OS=Prunus persica GN=PRUPE_ppa004278mg PE=4 SV=1</t>
  </si>
  <si>
    <t>Uncharacterized protein OS=Prunus persica GN=PRUPE_ppa000126mg PE=4 SV=1</t>
  </si>
  <si>
    <t>Uncharacterized protein OS=Prunus persica GN=PRUPE_ppa003085mg PE=4 SV=1</t>
  </si>
  <si>
    <t>Uncharacterized protein OS=Prunus persica GN=PRUPE_ppa026870mg PE=4 SV=1</t>
  </si>
  <si>
    <t>Uncharacterized protein OS=Prunus persica GN=PRUPE_ppa010552mg PE=4 SV=1</t>
  </si>
  <si>
    <t>Uncharacterized protein OS=Solanum lycopersicum GN=Solyc12g099030.1 PE=4 SV=1</t>
  </si>
  <si>
    <t>Uncharacterized protein OS=Prunus persica GN=PRUPE_ppa025399mg PE=4 SV=1</t>
  </si>
  <si>
    <t>Uncharacterized protein OS=Prunus persica GN=PRUPE_ppa003806mg PE=4 SV=1</t>
  </si>
  <si>
    <t>Uncharacterized protein OS=Prunus persica GN=PRUPE_ppa022754mg PE=4 SV=1</t>
  </si>
  <si>
    <t>Uncharacterized protein OS=Prunus persica GN=PRUPE_ppa005170mg PE=4 SV=1</t>
  </si>
  <si>
    <t>Uncharacterized protein OS=Prunus persica GN=PRUPE_ppa001529mg PE=4 SV=1</t>
  </si>
  <si>
    <t>Uncharacterized protein OS=Prunus persica GN=PRUPE_ppa003764mg PE=3 SV=1</t>
  </si>
  <si>
    <t>Uncharacterized protein OS=Prunus persica GN=PRUPE_ppa011608mg PE=4 SV=1</t>
  </si>
  <si>
    <t>Small ubiquitin-related modifier OS=Prunus persica GN=PRUPE_ppa013753mg PE=3 SV=1</t>
  </si>
  <si>
    <t>Uncharacterized protein OS=Prunus persica GN=PRUPE_ppa008320mg PE=4 SV=1</t>
  </si>
  <si>
    <t>Uncharacterized protein OS=Prunus persica GN=PRUPE_ppa003236mg PE=4 SV=1</t>
  </si>
  <si>
    <t>Uncharacterized protein OS=Prunus persica GN=PRUPE_ppa024287mg PE=3 SV=1</t>
  </si>
  <si>
    <t>Uncharacterized protein (Fragment) OS=Prunus persica GN=PRUPE_ppa027179mg PE=4 SV=1</t>
  </si>
  <si>
    <t>Uncharacterized protein OS=Prunus persica GN=PRUPE_ppa005833mg PE=4 SV=1</t>
  </si>
  <si>
    <t>Uncharacterized protein OS=Prunus persica GN=PRUPE_ppa004839mg PE=4 SV=1</t>
  </si>
  <si>
    <t>Uncharacterized protein OS=Prunus persica GN=PRUPE_ppa009202mg PE=4 SV=1</t>
  </si>
  <si>
    <t>Uncharacterized protein OS=Prunus persica GN=PRUPE_ppb024948mg PE=4 SV=1</t>
  </si>
  <si>
    <t>Uncharacterized protein OS=Prunus persica GN=PRUPE_ppa010559mg PE=4 SV=1</t>
  </si>
  <si>
    <t>Golgi SNAP receptor complex member 1 OS=Theobroma cacao GN=TCM_027409 PE=3 SV=1</t>
  </si>
  <si>
    <t>Uncharacterized protein OS=Prunus persica GN=PRUPE_ppa002548mg PE=4 SV=1</t>
  </si>
  <si>
    <t>Eukaryotic translation initiation factor 3 subunit I OS=Prunus persica GN=PRUPE_ppa008567mg PE=3 SV=1</t>
  </si>
  <si>
    <t>Diacylglycerol kinase OS=Prunus persica GN=PRUPE_ppa004529mg PE=3 SV=1</t>
  </si>
  <si>
    <t>Uncharacterized protein OS=Prunus persica GN=PRUPE_ppa006230mg PE=4 SV=1</t>
  </si>
  <si>
    <t>Uncharacterized protein (Fragment) OS=Citrus sinensis GN=CISIN_1g0111441mg PE=4 SV=1</t>
  </si>
  <si>
    <t>Uncharacterized protein OS=Jatropha curcas GN=JCGZ_14004 PE=3 SV=1</t>
  </si>
  <si>
    <t>Uncharacterized protein OS=Prunus persica GN=PRUPE_ppa001932mg PE=3 SV=1</t>
  </si>
  <si>
    <t>Uncharacterized protein OS=Prunus persica GN=PRUPE_ppa018685mg PE=4 SV=1</t>
  </si>
  <si>
    <t>Uncharacterized protein OS=Prunus persica GN=PRUPE_ppa013004mg PE=4 SV=1</t>
  </si>
  <si>
    <t>Uncharacterized protein OS=Prunus persica GN=PRUPE_ppa000378mg PE=3 SV=1</t>
  </si>
  <si>
    <t>Uncharacterized protein OS=Jatropha curcas GN=JCGZ_25229 PE=4 SV=1</t>
  </si>
  <si>
    <t>Uncharacterized protein OS=Prunus persica GN=PRUPE_ppa007915mg PE=4 SV=1</t>
  </si>
  <si>
    <t>Uncharacterized protein OS=Prunus persica GN=PRUPE_ppa1027142mg PE=4 SV=1</t>
  </si>
  <si>
    <t>Uncharacterized protein OS=Prunus persica GN=PRUPE_ppa002721mg PE=4 SV=1</t>
  </si>
  <si>
    <t>Uncharacterized protein OS=Prunus persica GN=PRUPE_ppa008525mg PE=3 SV=1</t>
  </si>
  <si>
    <t>Uncharacterized protein OS=Prunus persica GN=PRUPE_ppa001508mg PE=4 SV=1</t>
  </si>
  <si>
    <t>Putative uncharacterized protein OS=Vitis vinifera GN=VIT_18s0122g00840 PE=4 SV=1</t>
  </si>
  <si>
    <t>MYB domain class transcription factor OS=Malus domestica GN=MYB1 PE=2 SV=1</t>
  </si>
  <si>
    <t>Uncharacterized protein OS=Prunus persica GN=PRUPE_ppa011958mg PE=4 SV=1</t>
  </si>
  <si>
    <t>Uncharacterized protein OS=Prunus persica GN=PRUPE_ppa000646mg PE=4 SV=1</t>
  </si>
  <si>
    <t>Uncharacterized protein OS=Prunus persica GN=PRUPE_ppa012820mg PE=4 SV=1</t>
  </si>
  <si>
    <t>Uncharacterized protein OS=Prunus persica GN=PRUPE_ppa003904mg PE=3 SV=1</t>
  </si>
  <si>
    <t>Uncharacterized protein (Fragment) OS=Prunus persica GN=PRUPE_ppa021558mg PE=4 SV=1</t>
  </si>
  <si>
    <t>Uncharacterized protein OS=Prunus persica GN=PRUPE_ppa019290mg PE=4 SV=1</t>
  </si>
  <si>
    <t>Uncharacterized protein OS=Populus trichocarpa GN=POPTR_0001s24440g PE=4 SV=1</t>
  </si>
  <si>
    <t>Uncharacterized protein OS=Prunus persica GN=PRUPE_ppa005117mg PE=4 SV=1</t>
  </si>
  <si>
    <t>Uncharacterized protein OS=Prunus persica GN=PRUPE_ppa008859mg PE=4 SV=1</t>
  </si>
  <si>
    <t>Superoxide dismutase OS=Prunus persica GN=PRUPE_ppa008765mg PE=4 SV=1</t>
  </si>
  <si>
    <t>Uncharacterized protein OS=Prunus persica GN=PRUPE_ppa012577mg PE=3 SV=1</t>
  </si>
  <si>
    <t>Protein-tyrosine-phosphatase OS=Prunus persica GN=PRUPE_ppa016082mg PE=4 SV=1</t>
  </si>
  <si>
    <t>Uncharacterized protein OS=Prunus persica GN=PRUPE_ppa006324mg PE=4 SV=1</t>
  </si>
  <si>
    <t>Uncharacterized protein OS=Prunus persica GN=PRUPE_ppa006430mg PE=4 SV=1</t>
  </si>
  <si>
    <t>Uncharacterized protein OS=Prunus persica GN=PRUPE_ppa002769mg PE=3 SV=1</t>
  </si>
  <si>
    <t>Uncharacterized protein (Fragment) OS=Prunus persica GN=PRUPE_ppa017984mg PE=4 SV=1</t>
  </si>
  <si>
    <t>Protein interaction regulator family protein isoform 1 OS=Theobroma cacao GN=TCM_006427 PE=4 SV=1</t>
  </si>
  <si>
    <t>Uncharacterized protein OS=Prunus persica GN=PRUPE_ppa002762mg PE=4 SV=1</t>
  </si>
  <si>
    <t>Sulfhydryl oxidase OS=Prunus persica GN=PRUPE_ppa012227mg PE=4 SV=1</t>
  </si>
  <si>
    <t>Uncharacterized protein OS=Prunus persica GN=PRUPE_ppa001762mg PE=4 SV=1</t>
  </si>
  <si>
    <t>Uncharacterized protein OS=Prunus persica GN=PRUPE_ppa000482mg PE=4 SV=1</t>
  </si>
  <si>
    <t>Uncharacterized protein OS=Prunus persica GN=PRUPE_ppa009300mg PE=3 SV=1</t>
  </si>
  <si>
    <t>Uncharacterized protein OS=Prunus persica GN=PRUPE_ppa015318mg PE=4 SV=1</t>
  </si>
  <si>
    <t>Uncharacterized protein OS=Prunus persica GN=PRUPE_ppa011288mg PE=4 SV=1</t>
  </si>
  <si>
    <t>Uncharacterized protein OS=Prunus persica GN=PRUPE_ppa008657mg PE=3 SV=1</t>
  </si>
  <si>
    <t>Uncharacterized protein OS=Prunus persica GN=PRUPE_ppa004842mg PE=4 SV=1</t>
  </si>
  <si>
    <t>Uncharacterized protein OS=Prunus persica GN=PRUPE_ppa024194mg PE=4 SV=1</t>
  </si>
  <si>
    <t>Uncharacterized protein OS=Prunus persica GN=PRUPE_ppa007223mg PE=4 SV=1</t>
  </si>
  <si>
    <t>Uncharacterized protein OS=Prunus persica GN=PRUPE_ppa006662mg PE=4 SV=1</t>
  </si>
  <si>
    <t>Uncharacterized protein OS=Prunus persica GN=PRUPE_ppa022872mg PE=4 SV=1</t>
  </si>
  <si>
    <t>Uncharacterized protein OS=Prunus persica GN=PRUPE_ppa011182mg PE=4 SV=1</t>
  </si>
  <si>
    <t>Uncharacterized protein (Fragment) OS=Prunus persica GN=PRUPE_ppa015439mg PE=4 SV=1</t>
  </si>
  <si>
    <t>Uncharacterized protein OS=Prunus persica GN=PRUPE_ppa007005mg PE=4 SV=1</t>
  </si>
  <si>
    <t>Uncharacterized protein OS=Prunus persica GN=PRUPE_ppa009482mg PE=4 SV=1</t>
  </si>
  <si>
    <t>Uncharacterized protein OS=Prunus persica GN=PRUPE_ppa001644mg PE=4 SV=1</t>
  </si>
  <si>
    <t>Uncharacterized protein OS=Prunus persica GN=PRUPE_ppa023250mg PE=4 SV=1</t>
  </si>
  <si>
    <t>Uncharacterized protein OS=Prunus persica GN=PRUPE_ppa007686mg PE=4 SV=1</t>
  </si>
  <si>
    <t>Uncharacterized protein OS=Prunus persica GN=PRUPE_ppa010773mg PE=4 SV=1</t>
  </si>
  <si>
    <t>Uncharacterized protein OS=Prunus persica GN=PRUPE_ppa011671mg PE=4 SV=1</t>
  </si>
  <si>
    <t>Uncharacterized protein OS=Prunus persica GN=PRUPE_ppa001777mg PE=4 SV=1</t>
  </si>
  <si>
    <t>Uncharacterized protein OS=Prunus persica GN=PRUPE_ppa009783mg PE=4 SV=1</t>
  </si>
  <si>
    <t>Uncharacterized protein OS=Prunus persica GN=PRUPE_ppa010930mg PE=4 SV=1</t>
  </si>
  <si>
    <t>Uncharacterized protein OS=Prunus persica GN=PRUPE_ppa012509mg PE=3 SV=1</t>
  </si>
  <si>
    <t>Uncharacterized protein OS=Prunus persica GN=PRUPE_ppa006207mg PE=4 SV=1</t>
  </si>
  <si>
    <t>Uncharacterized protein OS=Prunus persica GN=PRUPE_ppa024161mg PE=4 SV=1</t>
  </si>
  <si>
    <t>Uncharacterized protein OS=Prunus persica GN=PRUPE_ppa023891mg PE=4 SV=1</t>
  </si>
  <si>
    <t>PHYTOCHROME AND FLOWERING TIME 1 family protein OS=Populus trichocarpa GN=POPTR_0010s13870g PE=4 SV=1</t>
  </si>
  <si>
    <t>Uncharacterized protein OS=Prunus persica GN=PRUPE_ppa009405mg PE=4 SV=1</t>
  </si>
  <si>
    <t>Uncharacterized protein (Fragment) OS=Prunus persica GN=PRUPE_ppa019627mg PE=4 SV=1</t>
  </si>
  <si>
    <t>Uncharacterized protein OS=Prunus persica GN=PRUPE_ppa024820mg PE=3 SV=1</t>
  </si>
  <si>
    <t>Related to sporulation-specific gene SPS2 OS=Gibberella fujikuroi (strain CBS 195.34 / IMI 58289 / NRRL A-6831) GN=FFUJ_07361 PE=4 SV=1</t>
  </si>
  <si>
    <t>Uncharacterized protein OS=Prunus persica GN=PRUPE_ppa005811mg PE=4 SV=1</t>
  </si>
  <si>
    <t>Uncharacterized protein OS=Prunus persica GN=PRUPE_ppa009347mg PE=4 SV=1</t>
  </si>
  <si>
    <t>Uncharacterized protein OS=Prunus persica GN=PRUPE_ppa003168mg PE=3 SV=1</t>
  </si>
  <si>
    <t>Uncharacterized protein OS=Theobroma cacao GN=TCM_012596 PE=4 SV=1</t>
  </si>
  <si>
    <t>Uncharacterized protein OS=Populus trichocarpa GN=POPTR_0013s09570g PE=4 SV=1</t>
  </si>
  <si>
    <t>Uncharacterized protein OS=Prunus persica GN=PRUPE_ppa019666mg PE=3 SV=1</t>
  </si>
  <si>
    <t>Uncharacterized protein OS=Prunus persica GN=PRUPE_ppa004197mg PE=4 SV=1</t>
  </si>
  <si>
    <t>Uncharacterized protein OS=Prunus persica GN=PRUPE_ppa007824mg PE=4 SV=1</t>
  </si>
  <si>
    <t>Uncharacterized protein OS=Prunus persica GN=PRUPE_ppa001654mg PE=4 SV=1</t>
  </si>
  <si>
    <t>Serine/threonine-protein kinase OS=Prunus persica GN=PRUPE_ppa026593mg PE=3 SV=1</t>
  </si>
  <si>
    <t>Uncharacterized protein OS=Prunus persica GN=PRUPE_ppa021647mg PE=4 SV=1</t>
  </si>
  <si>
    <t>Uncharacterized protein (Fragment) OS=Prunus persica GN=PRUPE_ppa021789mg PE=4 SV=1</t>
  </si>
  <si>
    <t>Uncharacterized protein OS=Prunus persica GN=PRUPE_ppa024493mg PE=4 SV=1</t>
  </si>
  <si>
    <t>ATP synthase subunit a OS=Beta vulgaris GN=atp6 PE=3 SV=2</t>
  </si>
  <si>
    <t>Uncharacterized protein OS=Prunus persica GN=PRUPE_ppa000142mg PE=4 SV=1</t>
  </si>
  <si>
    <t>Uncharacterized protein OS=Prunus persica GN=PRUPE_ppa005212mg PE=3 SV=1</t>
  </si>
  <si>
    <t>Uncharacterized protein OS=Prunus persica GN=PRUPE_ppa007109mg PE=4 SV=1</t>
  </si>
  <si>
    <t>Uncharacterized protein OS=Prunus persica GN=PRUPE_ppa023982mg PE=4 SV=1</t>
  </si>
  <si>
    <t>Uncharacterized protein OS=Prunus persica GN=PRUPE_ppa002829mg PE=4 SV=1</t>
  </si>
  <si>
    <t>Uncharacterized protein OS=Prunus persica GN=PRUPE_ppa011430mg PE=4 SV=1</t>
  </si>
  <si>
    <t>Uncharacterized protein OS=Prunus persica GN=PRUPE_ppa008138mg PE=4 SV=1</t>
  </si>
  <si>
    <t>Uncharacterized protein OS=Prunus persica GN=PRUPE_ppa1027141mg PE=4 SV=1</t>
  </si>
  <si>
    <t>Uncharacterized protein OS=Prunus persica GN=PRUPE_ppa001429mg PE=4 SV=1</t>
  </si>
  <si>
    <t>Uncharacterized protein OS=Prunus persica GN=PRUPE_ppb001660mg PE=4 SV=1</t>
  </si>
  <si>
    <t>Uncharacterized protein OS=Prunus persica GN=PRUPE_ppa005792mg PE=4 SV=1</t>
  </si>
  <si>
    <t>MATE efflux family protein OS=Prunus persica GN=PRUPE_ppa024400mg PE=3 SV=1</t>
  </si>
  <si>
    <t>Histone-lysine N-methyltransferase OS=Prunus persica GN=PRUPE_ppa002574mg PE=4 SV=1</t>
  </si>
  <si>
    <t>Uncharacterized protein OS=Prunus persica GN=PRUPE_ppa011217mg PE=4 SV=1</t>
  </si>
  <si>
    <t>Uncharacterized protein (Fragment) OS=Prunus persica GN=PRUPE_ppa023545mg PE=4 SV=1</t>
  </si>
  <si>
    <t>Uncharacterized protein OS=Prunus persica GN=PRUPE_ppa011240mg PE=4 SV=1</t>
  </si>
  <si>
    <t>Uncharacterized protein OS=Prunus persica GN=PRUPE_ppa010645mg PE=4 SV=1</t>
  </si>
  <si>
    <t>Uncharacterized protein OS=Prunus persica GN=PRUPE_ppa023072mg PE=4 SV=1</t>
  </si>
  <si>
    <t>Ribosomal protein L21 OS=Theobroma cacao GN=TCM_029868 PE=3 SV=1</t>
  </si>
  <si>
    <t>Uncharacterized protein OS=Prunus persica GN=PRUPE_ppa002650mg PE=4 SV=1</t>
  </si>
  <si>
    <t>Uncharacterized protein OS=Prunus persica GN=PRUPE_ppa002329mg PE=4 SV=1</t>
  </si>
  <si>
    <t>Uncharacterized protein (Fragment) OS=Prunus persica GN=PRUPE_ppa003302m1g PE=4 SV=1</t>
  </si>
  <si>
    <t>Uncharacterized protein OS=Prunus persica GN=PRUPE_ppa013680mg PE=4 SV=1</t>
  </si>
  <si>
    <t>Uncharacterized protein OS=Prunus persica GN=PRUPE_ppa006422mg PE=4 SV=1</t>
  </si>
  <si>
    <t>Uncharacterized protein (Fragment) OS=Prunus persica GN=PRUPE_ppa023894mg PE=4 SV=1</t>
  </si>
  <si>
    <t>Uncharacterized protein OS=Prunus persica GN=PRUPE_ppa019146mg PE=4 SV=1</t>
  </si>
  <si>
    <t>Uncharacterized protein OS=Prunus persica GN=PRUPE_ppa001155mg PE=4 SV=1</t>
  </si>
  <si>
    <t>Uncharacterized protein (Fragment) OS=Prunus persica GN=PRUPE_ppa026605mg PE=3 SV=1</t>
  </si>
  <si>
    <t>Uncharacterized protein OS=Prunus persica GN=PRUPE_ppa000176mg PE=4 SV=1</t>
  </si>
  <si>
    <t>CASP-like protein OS=Prunus persica GN=PRUPE_ppa011802mg PE=3 SV=1</t>
  </si>
  <si>
    <t>Uncharacterized protein OS=Prunus persica GN=PRUPE_ppa012077mg PE=4 SV=1</t>
  </si>
  <si>
    <t>Uncharacterized protein OS=Prunus persica GN=PRUPE_ppb018874mg PE=4 SV=1</t>
  </si>
  <si>
    <t>Uncharacterized protein OS=Prunus persica GN=PRUPE_ppa002472mg PE=4 SV=1</t>
  </si>
  <si>
    <t>Uncharacterized protein OS=Prunus persica GN=PRUPE_ppa011752mg PE=4 SV=1</t>
  </si>
  <si>
    <t>Bacterial transferase hexapeptide repeat-containing protein isoform 1 OS=Theobroma cacao GN=TCM_037688 PE=4 SV=1</t>
  </si>
  <si>
    <t>Uncharacterized protein OS=Prunus persica GN=PRUPE_ppa011310mg PE=4 SV=1</t>
  </si>
  <si>
    <t>Uncharacterized protein OS=Prunus persica GN=PRUPE_ppa002148mg PE=4 SV=1</t>
  </si>
  <si>
    <t>60S ribosomal protein L9-B OS=Fusarium oxysporum f. sp. cubense (strain race 4) GN=FOC4_g10015338 PE=4 SV=1</t>
  </si>
  <si>
    <t>Uncharacterized protein OS=Prunus persica GN=PRUPE_ppa001647mg PE=4 SV=1</t>
  </si>
  <si>
    <t>Uncharacterized protein OS=Prunus persica GN=PRUPE_ppa009256mg PE=4 SV=1</t>
  </si>
  <si>
    <t>Glycosyltransferase OS=Prunus persica GN=PRUPE_ppa023458mg PE=3 SV=1</t>
  </si>
  <si>
    <t>tRNA (guanine-N(7)-)-methyltransferase OS=Prunus persica GN=PRUPE_ppa010368mg PE=3 SV=1</t>
  </si>
  <si>
    <t>Uncharacterized protein OS=Prunus persica GN=PRUPE_ppa026411mg PE=4 SV=1</t>
  </si>
  <si>
    <t>Uncharacterized protein OS=Prunus persica GN=PRUPE_ppa004982mg PE=4 SV=1</t>
  </si>
  <si>
    <t>Uncharacterized protein OS=Prunus persica GN=PRUPE_ppa008898mg PE=4 SV=1</t>
  </si>
  <si>
    <t>Uncharacterized protein OS=Prunus persica GN=PRUPE_ppa016044mg PE=4 SV=1</t>
  </si>
  <si>
    <t>Uncharacterized protein OS=Prunus persica GN=PRUPE_ppa009772mg PE=4 SV=1</t>
  </si>
  <si>
    <t>Uncharacterized protein (Fragment) OS=Prunus persica GN=PRUPE_ppa019797mg PE=4 SV=1</t>
  </si>
  <si>
    <t>Uncharacterized protein OS=Prunus persica GN=PRUPE_ppa009987mg PE=4 SV=1</t>
  </si>
  <si>
    <t>Uncharacterized protein OS=Prunus persica GN=PRUPE_ppa011736mg PE=4 SV=1</t>
  </si>
  <si>
    <t>Uncharacterized protein OS=Prunus persica GN=PRUPE_ppa011820mg PE=4 SV=1</t>
  </si>
  <si>
    <t>Uncharacterized protein OS=Prunus persica GN=PRUPE_ppa007160mg PE=4 SV=1</t>
  </si>
  <si>
    <t>Uncharacterized protein OS=Prunus persica GN=PRUPE_ppa008056mg PE=4 SV=1</t>
  </si>
  <si>
    <t>Uncharacterized protein OS=Prunus persica GN=PRUPE_ppa011036mg PE=4 SV=1</t>
  </si>
  <si>
    <t>Uncharacterized protein OS=Prunus persica GN=PRUPE_ppa001235mg PE=4 SV=1</t>
  </si>
  <si>
    <t>Uncharacterized protein OS=Prunus persica GN=PRUPE_ppa000447mg PE=3 SV=1</t>
  </si>
  <si>
    <t>Uncharacterized protein OS=Prunus persica GN=PRUPE_ppa006812mg PE=4 SV=1</t>
  </si>
  <si>
    <t>Uncharacterized protein OS=Prunus persica GN=PRUPE_ppa002235mg PE=4 SV=1</t>
  </si>
  <si>
    <t>Uncharacterized protein OS=Prunus persica GN=PRUPE_ppa004322mg PE=4 SV=1</t>
  </si>
  <si>
    <t>Uncharacterized protein OS=Prunus persica GN=PRUPE_ppa008625mg PE=4 SV=1</t>
  </si>
  <si>
    <t>Uncharacterized protein OS=Prunus persica GN=PRUPE_ppa001915mg PE=4 SV=1</t>
  </si>
  <si>
    <t>Uncharacterized protein OS=Prunus persica GN=PRUPE_ppa007716mg PE=3 SV=1</t>
  </si>
  <si>
    <t>Uncharacterized protein OS=Prunus persica GN=PRUPE_ppa005205mg PE=4 SV=1</t>
  </si>
  <si>
    <t>Uncharacterized protein OS=Prunus persica GN=PRUPE_ppa016882mg PE=4 SV=1</t>
  </si>
  <si>
    <t>Uncharacterized protein OS=Prunus persica GN=PRUPE_ppa013717mg PE=4 SV=1</t>
  </si>
  <si>
    <t>Uncharacterized protein OS=Prunus persica GN=PRUPE_ppa004547mg PE=4 SV=1</t>
  </si>
  <si>
    <t>Uncharacterized protein OS=Prunus persica GN=PRUPE_ppa001048mg PE=4 SV=1</t>
  </si>
  <si>
    <t>Uncharacterized protein OS=Prunus persica GN=PRUPE_ppb012922mg PE=4 SV=1</t>
  </si>
  <si>
    <t>GRAM domain family protein, putative isoform 2 OS=Theobroma cacao GN=TCM_005713 PE=4 SV=1</t>
  </si>
  <si>
    <t>Uncharacterized protein OS=Prunus persica GN=PRUPE_ppa002274mg PE=4 SV=1</t>
  </si>
  <si>
    <t>Uncharacterized protein OS=Prunus persica GN=PRUPE_ppa003378mg PE=4 SV=1</t>
  </si>
  <si>
    <t>Mannose-6-phosphate isomerase OS=Prunus persica GN=PMI PE=2 SV=1</t>
  </si>
  <si>
    <t>Uncharacterized protein OS=Prunus persica GN=PRUPE_ppa001657mg PE=4 SV=1</t>
  </si>
  <si>
    <t>Uncharacterized protein (Fragment) OS=Prunus persica GN=PRUPE_ppa016878mg PE=4 SV=1</t>
  </si>
  <si>
    <t>Uncharacterized protein OS=Prunus persica GN=PRUPE_ppa004977mg PE=4 SV=1</t>
  </si>
  <si>
    <t>Uncharacterized protein OS=Prunus persica GN=PRUPE_ppa000336mg PE=4 SV=1</t>
  </si>
  <si>
    <t>Uncharacterized protein OS=Prunus persica GN=PRUPE_ppa018766mg PE=4 SV=1</t>
  </si>
  <si>
    <t>UDP-glucose 4-epimerase OS=Prunus persica GN=UGE PE=2 SV=1</t>
  </si>
  <si>
    <t>Uncharacterized protein OS=Prunus persica GN=PRUPE_ppa010223mg PE=4 SV=1</t>
  </si>
  <si>
    <t>Uncharacterized protein OS=Prunus persica GN=PRUPE_ppa000059mg PE=4 SV=1</t>
  </si>
  <si>
    <t>Putative uncharacterized protein OS=Ricinus communis GN=RCOM_0939550 PE=4 SV=1</t>
  </si>
  <si>
    <t>Uncharacterized protein OS=Prunus persica GN=PRUPE_ppa008734mg PE=4 SV=1</t>
  </si>
  <si>
    <t>Uncharacterized protein OS=Prunus persica GN=PRUPE_ppa001014mg PE=4 SV=1</t>
  </si>
  <si>
    <t>Uncharacterized protein (Fragment) OS=Citrus clementina GN=CICLE_v10027019mg PE=4 SV=1</t>
  </si>
  <si>
    <t>Uncharacterized protein (Fragment) OS=Prunus persica GN=PRUPE_ppa019592mg PE=4 SV=1</t>
  </si>
  <si>
    <t>Uncharacterized protein OS=Prunus persica GN=PRUPE_ppa006257mg PE=4 SV=1</t>
  </si>
  <si>
    <t>Fusarium graminearum chromosome 3, complete genome OS=Gibberella zeae GN=FG06407.1 PE=3 SV=1</t>
  </si>
  <si>
    <t>Uncharacterized protein OS=Prunus persica GN=PRUPE_ppa006791mg PE=3 SV=1</t>
  </si>
  <si>
    <t>Autophagy-related protein OS=Trichophyton verrucosum (strain HKI 0517) GN=TRV_01085 PE=3 SV=1</t>
  </si>
  <si>
    <t>Uncharacterized protein OS=Prunus persica GN=PRUPE_ppa026799mg PE=3 SV=1</t>
  </si>
  <si>
    <t>Uncharacterized protein OS=Prunus persica GN=PRUPE_ppa019080mg PE=4 SV=1</t>
  </si>
  <si>
    <t>Uncharacterized protein OS=Prunus persica GN=PRUPE_ppa008777mg PE=4 SV=1</t>
  </si>
  <si>
    <t>Uncharacterized protein OS=Prunus persica GN=PRUPE_ppa010490mg PE=4 SV=1</t>
  </si>
  <si>
    <t>Uncharacterized protein OS=Prunus persica GN=PRUPE_ppa011713mg PE=3 SV=1</t>
  </si>
  <si>
    <t>Ubiquitin carboxyl-terminal hydrolase OS=Prunus persica GN=PRUPE_ppa000553mg PE=3 SV=1</t>
  </si>
  <si>
    <t>Uncharacterized protein OS=Prunus persica GN=PRUPE_ppa012529mg PE=3 SV=1</t>
  </si>
  <si>
    <t>Uncharacterized protein OS=Prunus persica GN=PRUPE_ppa010274mg PE=3 SV=1</t>
  </si>
  <si>
    <t>Dof-type zinc finger domain-containing protein OS=Prunus persica PE=2 SV=1</t>
  </si>
  <si>
    <t>Uncharacterized protein OS=Prunus persica GN=PRUPE_ppa024217mg PE=3 SV=1</t>
  </si>
  <si>
    <t>Uncharacterized protein OS=Prunus persica GN=PRUPE_ppa008853mg PE=4 SV=1</t>
  </si>
  <si>
    <t>Uncharacterized protein OS=Prunus persica GN=PRUPE_ppa007445mg PE=4 SV=1</t>
  </si>
  <si>
    <t>Uncharacterized protein OS=Prunus persica GN=PRUPE_ppa001200mg PE=4 SV=1</t>
  </si>
  <si>
    <t>CASP-like protein OS=Morus notabilis GN=L484_012817 PE=3 SV=1</t>
  </si>
  <si>
    <t>Uncharacterized protein OS=Prunus persica GN=PRUPE_ppa005733mg PE=4 SV=1</t>
  </si>
  <si>
    <t>Uncharacterized protein OS=Prunus persica GN=PRUPE_ppb014677mg PE=4 SV=1</t>
  </si>
  <si>
    <t>Uncharacterized protein OS=Prunus persica GN=PRUPE_ppa010950mg PE=4 SV=1</t>
  </si>
  <si>
    <t>Uncharacterized protein OS=Prunus persica GN=PRUPE_ppa000577mg PE=4 SV=1</t>
  </si>
  <si>
    <t>Uncharacterized protein (Fragment) OS=Prunus persica GN=PRUPE_ppa018775mg PE=4 SV=1</t>
  </si>
  <si>
    <t>Carbonic anhydrase OS=Prunus persica PE=3 SV=1</t>
  </si>
  <si>
    <t>Uncharacterized protein OS=Prunus persica GN=PRUPE_ppa001558mg PE=4 SV=1</t>
  </si>
  <si>
    <t>Uncharacterized protein OS=Prunus persica GN=PRUPE_ppa007534mg PE=4 SV=1</t>
  </si>
  <si>
    <t>Uncharacterized protein OS=Prunus persica GN=PRUPE_ppa023340mg PE=4 SV=1</t>
  </si>
  <si>
    <t>Uncharacterized protein OS=Prunus persica GN=PRUPE_ppa013076mg PE=3 SV=1</t>
  </si>
  <si>
    <t>Uncharacterized protein OS=Prunus persica GN=PRUPE_ppa009697mg PE=4 SV=1</t>
  </si>
  <si>
    <t>Uncharacterized protein OS=Prunus persica GN=PRUPE_ppa017583mg PE=4 SV=1</t>
  </si>
  <si>
    <t>Uncharacterized protein OS=Prunus persica GN=PRUPE_ppa000697mg PE=4 SV=1</t>
  </si>
  <si>
    <t>Uncharacterized protein OS=Prunus persica GN=PRUPE_ppa003444mg PE=3 SV=1</t>
  </si>
  <si>
    <t>Uncharacterized protein OS=Prunus persica GN=PRUPE_ppa006936mg PE=4 SV=1</t>
  </si>
  <si>
    <t>Uncharacterized protein OS=Prunus persica GN=PRUPE_ppa003132mg PE=4 SV=1</t>
  </si>
  <si>
    <t>Uncharacterized protein (Fragment) OS=Prunus persica GN=PRUPE_ppa015200mg PE=3 SV=1</t>
  </si>
  <si>
    <t>Uncharacterized protein OS=Prunus persica GN=PRUPE_ppa008395mg PE=4 SV=1</t>
  </si>
  <si>
    <t>ATP synthase subunit alpha, chloroplastic OS=Prunus persica GN=atpA PE=3 SV=1</t>
  </si>
  <si>
    <t>Ribosomal protein S4 OS=Citrullus lanatus GN=rps4 PE=4 SV=1</t>
  </si>
  <si>
    <t>Uncharacterized protein OS=Prunus persica GN=PRUPE_ppa012858mg PE=4 SV=1</t>
  </si>
  <si>
    <t>Uncharacterized protein OS=Prunus persica GN=PRUPE_ppa000357mg PE=4 SV=1</t>
  </si>
  <si>
    <t>Uncharacterized protein OS=Prunus persica GN=PRUPE_ppa002940mg PE=4 SV=1</t>
  </si>
  <si>
    <t>Uncharacterized protein OS=Prunus persica GN=PRUPE_ppa005988mg PE=3 SV=1</t>
  </si>
  <si>
    <t>Uncharacterized protein OS=Prunus persica GN=PRUPE_ppa007933mg PE=4 SV=1</t>
  </si>
  <si>
    <t>Uncharacterized protein OS=Prunus persica GN=PRUPE_ppa002133mg PE=4 SV=1</t>
  </si>
  <si>
    <t>Uncharacterized protein OS=Prunus persica GN=PRUPE_ppa002035mg PE=3 SV=1</t>
  </si>
  <si>
    <t>Uncharacterized protein OS=Prunus persica GN=PRUPE_ppa019680mg PE=4 SV=1</t>
  </si>
  <si>
    <t>Uncharacterized protein OS=Prunus persica GN=PRUPE_ppa021072mg PE=4 SV=1</t>
  </si>
  <si>
    <t>Uncharacterized protein OS=Prunus persica GN=PRUPE_ppa021935mg PE=4 SV=1</t>
  </si>
  <si>
    <t>Uncharacterized protein OS=Prunus persica GN=PRUPE_ppa007345mg PE=4 SV=1</t>
  </si>
  <si>
    <t>Uncharacterized protein OS=Prunus persica GN=PRUPE_ppa008905mg PE=4 SV=1</t>
  </si>
  <si>
    <t>Uncharacterized protein OS=Prunus persica GN=PRUPE_ppa026797mg PE=4 SV=1</t>
  </si>
  <si>
    <t>Uncharacterized protein OS=Prunus persica GN=PRUPE_ppa011553mg PE=3 SV=1</t>
  </si>
  <si>
    <t>Uncharacterized protein OS=Prunus persica GN=PRUPE_ppa008725mg PE=4 SV=1</t>
  </si>
  <si>
    <t>Uncharacterized protein (Fragment) OS=Prunus persica GN=PRUPE_ppa022997mg PE=4 SV=1</t>
  </si>
  <si>
    <t>Uncharacterized protein OS=Prunus persica GN=PRUPE_ppa015779mg PE=4 SV=1</t>
  </si>
  <si>
    <t>Uncharacterized protein OS=Prunus persica GN=PRUPE_ppa013447mg PE=4 SV=1</t>
  </si>
  <si>
    <t>Uncharacterized protein OS=Prunus persica GN=PRUPE_ppa008405mg PE=4 SV=1</t>
  </si>
  <si>
    <t>Uncharacterized protein OS=Prunus persica GN=PRUPE_ppa005587mg PE=4 SV=1</t>
  </si>
  <si>
    <t>Uncharacterized protein OS=Prunus persica GN=PRUPE_ppa007747mg PE=4 SV=1</t>
  </si>
  <si>
    <t>Uncharacterized protein OS=Prunus persica GN=PRUPE_ppa008984mg PE=4 SV=1</t>
  </si>
  <si>
    <t>Non-specific serine/threonine protein kinase OS=Prunus persica GN=PRUPE_ppa005700mg PE=4 SV=1</t>
  </si>
  <si>
    <t>Uncharacterized protein OS=Prunus persica GN=PRUPE_ppa025205mg PE=4 SV=1</t>
  </si>
  <si>
    <t>Uncharacterized protein OS=Prunus persica GN=PRUPE_ppa010629mg PE=4 SV=1</t>
  </si>
  <si>
    <t>Uncharacterized protein OS=Prunus persica GN=PRUPE_ppa000393mg PE=4 SV=1</t>
  </si>
  <si>
    <t>Uncharacterized protein (Fragment) OS=Prunus persica GN=PRUPE_ppa022380mg PE=4 SV=1</t>
  </si>
  <si>
    <t>Uncharacterized protein OS=Prunus persica GN=PRUPE_ppa001361mg PE=4 SV=1</t>
  </si>
  <si>
    <t>Uncharacterized protein OS=Prunus persica GN=PRUPE_ppa009430mg PE=4 SV=1</t>
  </si>
  <si>
    <t>Uncharacterized protein OS=Prunus persica GN=PRUPE_ppa002894mg PE=4 SV=1</t>
  </si>
  <si>
    <t>Sucrose synthase OS=Prunus persica GN=Sus6 PE=2 SV=1</t>
  </si>
  <si>
    <t>Uncharacterized protein OS=Prunus persica GN=PRUPE_ppa025354mg PE=4 SV=1</t>
  </si>
  <si>
    <t>Uncharacterized protein OS=Prunus persica GN=PRUPE_ppa005783mg PE=3 SV=1</t>
  </si>
  <si>
    <t>Uncharacterized protein OS=Prunus persica GN=PRUPE_ppa001061mg PE=4 SV=1</t>
  </si>
  <si>
    <t>Uncharacterized protein OS=Prunus persica GN=PRUPE_ppa011292mg PE=3 SV=1</t>
  </si>
  <si>
    <t>Uncharacterized protein OS=Prunus persica GN=PRUPE_ppa008125mg PE=3 SV=1</t>
  </si>
  <si>
    <t>Uncharacterized protein OS=Prunus persica GN=PRUPE_ppa010666mg PE=4 SV=1</t>
  </si>
  <si>
    <t>Uncharacterized protein (Fragment) OS=Prunus persica GN=PRUPE_ppa021575mg PE=3 SV=1</t>
  </si>
  <si>
    <t>Uncharacterized protein OS=Prunus persica GN=PRUPE_ppa005972mg PE=4 SV=1</t>
  </si>
  <si>
    <t>Uncharacterized protein OS=Prunus persica GN=PRUPE_ppa023692mg PE=3 SV=1</t>
  </si>
  <si>
    <t>Uncharacterized protein OS=Prunus persica GN=PRUPE_ppa022508mg PE=4 SV=1</t>
  </si>
  <si>
    <t>Uncharacterized protein OS=Prunus persica GN=PRUPE_ppa004930mg PE=4 SV=1</t>
  </si>
  <si>
    <t>Uncharacterized protein OS=Prunus persica GN=PRUPE_ppa008821mg PE=4 SV=1</t>
  </si>
  <si>
    <t>Uncharacterized protein OS=Prunus persica GN=PRUPE_ppa001563mg PE=4 SV=1</t>
  </si>
  <si>
    <t>Uncharacterized protein OS=Prunus persica GN=PRUPE_ppa004520mg PE=4 SV=1</t>
  </si>
  <si>
    <t>Eukaryotic translation initiation factor 3 subunit F OS=Prunus persica GN=PRUPE_ppa009579mg PE=3 SV=1</t>
  </si>
  <si>
    <t>Serine/threonine-protein phosphatase OS=Prunus persica GN=PRUPE_ppa005292mg PE=3 SV=1</t>
  </si>
  <si>
    <t>Uncharacterized protein OS=Prunus persica GN=PRUPE_ppa023624mg PE=3 SV=1</t>
  </si>
  <si>
    <t>Uncharacterized protein OS=Prunus persica GN=PRUPE_ppa017556mg PE=4 SV=1</t>
  </si>
  <si>
    <t>Putative uncharacterized protein OS=Vitis vinifera GN=VIT_15s0021g01910 PE=4 SV=1</t>
  </si>
  <si>
    <t>DNA-directed RNA polymerase OS=Prunus persica GN=PRUPE_ppa000153mg PE=3 SV=1</t>
  </si>
  <si>
    <t>Uncharacterized protein OS=Prunus persica GN=PRUPE_ppa014870mg PE=4 SV=1</t>
  </si>
  <si>
    <t>Uncharacterized protein OS=Prunus persica GN=PRUPE_ppa008609mg PE=4 SV=1</t>
  </si>
  <si>
    <t>Uncharacterized protein OS=Gossypium raimondii GN=B456_003G040300 PE=4 SV=1</t>
  </si>
  <si>
    <t>Uncharacterized protein OS=Prunus persica GN=PRUPE_ppa023758mg PE=4 SV=1</t>
  </si>
  <si>
    <t>Uncharacterized protein OS=Prunus persica GN=PRUPE_ppa000695mg PE=4 SV=1</t>
  </si>
  <si>
    <t>Uncharacterized protein OS=Prunus persica GN=PRUPE_ppa024359mg PE=4 SV=1</t>
  </si>
  <si>
    <t>Uncharacterized protein OS=Prunus persica GN=PRUPE_ppa000650mg PE=4 SV=1</t>
  </si>
  <si>
    <t>Laccase OS=Prunus persica GN=PRUPE_ppa003408mg PE=3 SV=1</t>
  </si>
  <si>
    <t>Uncharacterized protein OS=Prunus persica GN=PRUPE_ppa012934mg PE=3 SV=1</t>
  </si>
  <si>
    <t>Uncharacterized protein OS=Prunus persica GN=PRUPE_ppa004869mg PE=3 SV=1</t>
  </si>
  <si>
    <t>Uncharacterized protein OS=Prunus persica GN=PRUPE_ppa018417mg PE=3 SV=1</t>
  </si>
  <si>
    <t>Uncharacterized protein OS=Prunus persica GN=PRUPE_ppa022094mg PE=4 SV=1</t>
  </si>
  <si>
    <t>Uncharacterized protein OS=Prunus persica GN=PRUPE_ppa013141mg PE=4 SV=1</t>
  </si>
  <si>
    <t>Uncharacterized protein OS=Prunus persica GN=PRUPE_ppa021208mg PE=4 SV=1</t>
  </si>
  <si>
    <t>Uncharacterized protein OS=Prunus persica GN=PRUPE_ppa024487mg PE=4 SV=1</t>
  </si>
  <si>
    <t>Uncharacterized protein OS=Prunus persica GN=PRUPE_ppa000825mg PE=4 SV=1</t>
  </si>
  <si>
    <t>Uncharacterized protein OS=Prunus persica GN=PRUPE_ppa020040mg PE=4 SV=1</t>
  </si>
  <si>
    <t>Uncharacterized protein OS=Prunus persica GN=PRUPE_ppa009184mg PE=4 SV=1</t>
  </si>
  <si>
    <t>Putative uncharacterized protein OS=Vitis vinifera GN=VIT_05s0094g00430 PE=4 SV=1</t>
  </si>
  <si>
    <t>Uncharacterized protein OS=Prunus persica GN=PRUPE_ppa005994mg PE=3 SV=1</t>
  </si>
  <si>
    <t>Uncharacterized protein OS=Prunus persica GN=PRUPE_ppa005477mg PE=4 SV=1</t>
  </si>
  <si>
    <t>Uncharacterized protein OS=Prunus persica GN=PRUPE_ppa010253mg PE=4 SV=1</t>
  </si>
  <si>
    <t>Uncharacterized protein OS=Prunus persica GN=PRUPE_ppa010184mg PE=4 SV=1</t>
  </si>
  <si>
    <t>Uncharacterized protein OS=Prunus persica GN=PRUPE_ppa007568mg PE=4 SV=1</t>
  </si>
  <si>
    <t>Uncharacterized protein OS=Prunus persica GN=PRUPE_ppa022911mg PE=4 SV=1</t>
  </si>
  <si>
    <t>Uncharacterized protein OS=Prunus persica GN=PRUPE_ppa012044mg PE=4 SV=1</t>
  </si>
  <si>
    <t>Uncharacterized protein OS=Prunus persica GN=PRUPE_ppa009719mg PE=4 SV=1</t>
  </si>
  <si>
    <t>Uncharacterized protein OS=Prunus persica GN=PRUPE_ppa006243mg PE=4 SV=1</t>
  </si>
  <si>
    <t>Uncharacterized protein OS=Prunus persica GN=PRUPE_ppa003107mg PE=4 SV=1</t>
  </si>
  <si>
    <t>Uncharacterized protein OS=Prunus persica GN=PRUPE_ppa003926mg PE=4 SV=1</t>
  </si>
  <si>
    <t>Uncharacterized protein OS=Prunus persica GN=PRUPE_ppa002234mg PE=4 SV=1</t>
  </si>
  <si>
    <t>Uncharacterized protein OS=Prunus persica GN=PRUPE_ppa003644mg PE=4 SV=1</t>
  </si>
  <si>
    <t>Uncharacterized protein OS=Prunus persica GN=PRUPE_ppa011028mg PE=4 SV=1</t>
  </si>
  <si>
    <t>Uncharacterized protein OS=Prunus persica GN=PRUPE_ppa013461mg PE=4 SV=1</t>
  </si>
  <si>
    <t>Uncharacterized protein OS=Prunus persica GN=PRUPE_ppa011971mg PE=4 SV=1</t>
  </si>
  <si>
    <t>Uncharacterized protein (Fragment) OS=Prunus persica GN=PRUPE_ppa026408mg PE=4 SV=1</t>
  </si>
  <si>
    <t>Uncharacterized protein OS=Prunus persica GN=PRUPE_ppa002256mg PE=4 SV=1</t>
  </si>
  <si>
    <t>Uncharacterized protein OS=Prunus persica GN=PRUPE_ppa003607mg PE=4 SV=1</t>
  </si>
  <si>
    <t>Uncharacterized protein OS=Prunus persica GN=PRUPE_ppa001970mg PE=4 SV=1</t>
  </si>
  <si>
    <t>KRR1 small subunit processome component OS=Jatropha curcas GN=JCGZ_20196 PE=3 SV=1</t>
  </si>
  <si>
    <t>TRAF-like superfamily protein, putative OS=Theobroma cacao GN=TCM_025031 PE=4 SV=1</t>
  </si>
  <si>
    <t>Uncharacterized protein OS=Prunus persica GN=PRUPE_ppa002976mg PE=4 SV=1</t>
  </si>
  <si>
    <t>Uncharacterized protein OS=Prunus persica GN=PRUPE_ppa011581mg PE=4 SV=1</t>
  </si>
  <si>
    <t>Uncharacterized protein OS=Prunus persica GN=PRUPE_ppa004280mg PE=4 SV=1</t>
  </si>
  <si>
    <t>Uncharacterized protein OS=Prunus persica GN=PRUPE_ppa009132mg PE=4 SV=1</t>
  </si>
  <si>
    <t>Uncharacterized protein OS=Prunus persica GN=PRUPE_ppa010115mg PE=4 SV=1</t>
  </si>
  <si>
    <t>Uncharacterized protein OS=Prunus persica GN=PRUPE_ppa007310mg PE=4 SV=1</t>
  </si>
  <si>
    <t>Uncharacterized protein OS=Prunus persica GN=PRUPE_ppa002840mg PE=4 SV=1</t>
  </si>
  <si>
    <t>Uncharacterized protein (Fragment) OS=Capsella rubella GN=CARUB_v10014805mg PE=3 SV=1</t>
  </si>
  <si>
    <t>Uncharacterized protein OS=Prunus persica GN=PRUPE_ppa018779mg PE=3 SV=1</t>
  </si>
  <si>
    <t>Uncharacterized protein OS=Prunus persica GN=PRUPE_ppa010611mg PE=4 SV=1</t>
  </si>
  <si>
    <t>Uncharacterized protein (Fragment) OS=Prunus persica GN=PRUPE_ppa025031mg PE=4 SV=1</t>
  </si>
  <si>
    <t>Uncharacterized protein OS=Prunus persica GN=PRUPE_ppa008208mg PE=4 SV=1</t>
  </si>
  <si>
    <t>Uncharacterized protein OS=Prunus persica GN=PRUPE_ppa010238mg PE=4 SV=1</t>
  </si>
  <si>
    <t>Uncharacterized protein OS=Prunus persica GN=PRUPE_ppa004813mg PE=4 SV=1</t>
  </si>
  <si>
    <t>Uncharacterized protein OS=Prunus persica GN=PRUPE_ppa004730mg PE=4 SV=1</t>
  </si>
  <si>
    <t>Uncharacterized protein OS=Prunus persica GN=PRUPE_ppa024778mg PE=4 SV=1</t>
  </si>
  <si>
    <t>Uncharacterized protein OS=Prunus persica GN=PRUPE_ppb019006mg PE=4 SV=1</t>
  </si>
  <si>
    <t>Uncharacterized protein OS=Prunus persica GN=PRUPE_ppa009639mg PE=4 SV=1</t>
  </si>
  <si>
    <t>Uncharacterized protein OS=Prunus persica GN=PRUPE_ppa001867mg PE=4 SV=1</t>
  </si>
  <si>
    <t>Uncharacterized protein OS=Prunus persica GN=PRUPE_ppa024914mg PE=4 SV=1</t>
  </si>
  <si>
    <t>Uncharacterized protein OS=Prunus persica GN=PRUPE_ppa020843mg PE=4 SV=1</t>
  </si>
  <si>
    <t>Uncharacterized protein OS=Prunus persica GN=PRUPE_ppa010801mg PE=4 SV=1</t>
  </si>
  <si>
    <t>Uncharacterized protein OS=Prunus persica GN=PRUPE_ppa026757mg PE=4 SV=1</t>
  </si>
  <si>
    <t>Uncharacterized protein OS=Prunus persica GN=PRUPE_ppa007431mg PE=4 SV=1</t>
  </si>
  <si>
    <t>Uncharacterized protein OS=Morus notabilis GN=L484_013194 PE=4 SV=1</t>
  </si>
  <si>
    <t>Uncharacterized protein OS=Prunus persica GN=PRUPE_ppa016550mg PE=4 SV=1</t>
  </si>
  <si>
    <t>Uncharacterized protein OS=Prunus persica GN=PRUPE_ppa024169mg PE=4 SV=1</t>
  </si>
  <si>
    <t>Peroxidase OS=Prunus persica GN=PRUPE_ppa008504mg PE=3 SV=1</t>
  </si>
  <si>
    <t>Uncharacterized protein OS=Prunus persica GN=PRUPE_ppa008185mg PE=4 SV=1</t>
  </si>
  <si>
    <t>Chalcone-flavonone isomerase family protein OS=Prunus persica GN=CHI PE=2 SV=1</t>
  </si>
  <si>
    <t>Uncharacterized protein OS=Prunus persica GN=PRUPE_ppa006985mg PE=3 SV=1</t>
  </si>
  <si>
    <t>Uncharacterized protein OS=Prunus persica GN=PRUPE_ppa007437mg PE=4 SV=1</t>
  </si>
  <si>
    <t>Uncharacterized protein OS=Prunus persica GN=PRUPE_ppa012095mg PE=4 SV=1</t>
  </si>
  <si>
    <t>Protein phosphatase 2c, putative OS=Ricinus communis GN=RCOM_0510070 PE=3 SV=1</t>
  </si>
  <si>
    <t>Uncharacterized protein OS=Prunus persica GN=PRUPE_ppa012779mg PE=4 SV=1</t>
  </si>
  <si>
    <t>Uncharacterized protein OS=Prunus persica GN=PRUPE_ppa007053mg PE=4 SV=1</t>
  </si>
  <si>
    <t>Uncharacterized protein OS=Prunus persica GN=PRUPE_ppa012830mg PE=4 SV=1</t>
  </si>
  <si>
    <t>Uncharacterized protein OS=Prunus persica GN=PRUPE_ppa009905mg PE=4 SV=1</t>
  </si>
  <si>
    <t>Putative uncharacterized protein OS=Vitis vinifera GN=VITISV_030746 PE=4 SV=1</t>
  </si>
  <si>
    <t>Uncharacterized protein OS=Prunus persica GN=PRUPE_ppa001800mg PE=4 SV=1</t>
  </si>
  <si>
    <t>50S ribosomal protein L31 OS=Prunus persica GN=PRUPE_ppa013126mg PE=3 SV=1</t>
  </si>
  <si>
    <t>Uncharacterized protein OS=Prunus persica GN=PRUPE_ppa019851mg PE=4 SV=1</t>
  </si>
  <si>
    <t>Lipase OS=Prunus persica GN=PRUPE_ppa006519mg PE=3 SV=1</t>
  </si>
  <si>
    <t>Uncharacterized protein OS=Prunus persica GN=PRUPE_ppa006155mg PE=4 SV=1</t>
  </si>
  <si>
    <t>Uncharacterized protein OS=Prunus persica GN=PRUPE_ppa016477mg PE=4 SV=1</t>
  </si>
  <si>
    <t>Uncharacterized protein OS=Prunus persica GN=PRUPE_ppa009483mg PE=4 SV=1</t>
  </si>
  <si>
    <t>Uncharacterized protein OS=Prunus persica GN=PRUPE_ppa006470mg PE=4 SV=1</t>
  </si>
  <si>
    <t>Uncharacterized protein OS=Prunus persica GN=PRUPE_ppa010843mg PE=4 SV=1</t>
  </si>
  <si>
    <t>Uncharacterized protein (Fragment) OS=Prunus persica GN=PRUPE_ppa014874mg PE=4 SV=1</t>
  </si>
  <si>
    <t>Uncharacterized protein OS=Prunus persica GN=PRUPE_ppa000255mg PE=4 SV=1</t>
  </si>
  <si>
    <t>Uncharacterized protein OS=Prunus persica GN=PRUPE_ppa012503mg PE=4 SV=1</t>
  </si>
  <si>
    <t>Uncharacterized protein OS=Prunus persica GN=PRUPE_ppa002293mg PE=4 SV=1</t>
  </si>
  <si>
    <t>Uncharacterized protein OS=Prunus persica GN=PRUPE_ppa005975mg PE=4 SV=1</t>
  </si>
  <si>
    <t>Uncharacterized protein OS=Prunus persica GN=PRUPE_ppa010415mg PE=4 SV=1</t>
  </si>
  <si>
    <t>Uncharacterized protein OS=Prunus persica GN=PRUPE_ppa009555mg PE=4 SV=1</t>
  </si>
  <si>
    <t>Uncharacterized protein OS=Prunus persica GN=PRUPE_ppa007594mg PE=4 SV=1</t>
  </si>
  <si>
    <t>Uncharacterized protein (Fragment) OS=Prunus persica GN=PRUPE_ppa022729mg PE=4 SV=1</t>
  </si>
  <si>
    <t>Uncharacterized protein (Fragment) OS=Prunus persica GN=PRUPE_ppa026000mg PE=4 SV=1</t>
  </si>
  <si>
    <t>Uncharacterized protein OS=Prunus persica GN=PRUPE_ppa024519mg PE=4 SV=1</t>
  </si>
  <si>
    <t>Uncharacterized protein OS=Prunus persica GN=PRUPE_ppa002938mg PE=4 SV=1</t>
  </si>
  <si>
    <t>Uncharacterized protein OS=Prunus persica GN=PRUPE_ppa000194mg PE=4 SV=1</t>
  </si>
  <si>
    <t>Uncharacterized protein (Fragment) OS=Prunus persica GN=PRUPE_ppa022005mg PE=4 SV=1</t>
  </si>
  <si>
    <t>Uncharacterized protein OS=Prunus persica GN=PRUPE_ppa003353mg PE=4 SV=1</t>
  </si>
  <si>
    <t>Uncharacterized protein OS=Prunus persica GN=PRUPE_ppa006408mg PE=4 SV=1</t>
  </si>
  <si>
    <t>Defensin, alpha 3, neutrophil-specific OS=Homo sapiens GN=DEFA3 PE=2 SV=1</t>
  </si>
  <si>
    <t>Uncharacterized protein OS=Prunus persica GN=PRUPE_ppa004236mg PE=4 SV=1</t>
  </si>
  <si>
    <t>Uncharacterized protein OS=Prunus persica GN=PRUPE_ppa008890mg PE=4 SV=1</t>
  </si>
  <si>
    <t>Uncharacterized protein OS=Prunus persica GN=PRUPE_ppa016153mg PE=4 SV=1</t>
  </si>
  <si>
    <t>Phosphofructokinase (Fragment) OS=Prunus persica GN=PFK PE=2 SV=1</t>
  </si>
  <si>
    <t>Homeobox protein 14 OS=Prunus persica GN=PRUPE_ppa001343mg PE=4 SV=1</t>
  </si>
  <si>
    <t>Uncharacterized protein OS=Prunus persica GN=PRUPE_ppa012391mg PE=4 SV=1</t>
  </si>
  <si>
    <t>Uncharacterized protein OS=Prunus persica GN=PRUPE_ppa020997mg PE=4 SV=1</t>
  </si>
  <si>
    <t>Uncharacterized protein OS=Prunus persica GN=PRUPE_ppb014153mg PE=4 SV=1</t>
  </si>
  <si>
    <t>Uncharacterized protein OS=Prunus persica GN=PRUPE_ppa023858mg PE=4 SV=1</t>
  </si>
  <si>
    <t>Uncharacterized protein OS=Prunus persica GN=PRUPE_ppa013046mg PE=4 SV=1</t>
  </si>
  <si>
    <t>Uncharacterized protein OS=Prunus persica GN=PRUPE_ppa019322mg PE=4 SV=1</t>
  </si>
  <si>
    <t>Uncharacterized protein OS=Prunus persica GN=PRUPE_ppa016604mg PE=4 SV=1</t>
  </si>
  <si>
    <t>Uncharacterized protein OS=Prunus persica GN=PRUPE_ppa007128mg PE=3 SV=1</t>
  </si>
  <si>
    <t>Uncharacterized protein OS=Prunus persica GN=PRUPE_ppa010375mg PE=4 SV=1</t>
  </si>
  <si>
    <t>Uncharacterized protein (Fragment) OS=Prunus persica GN=PRUPE_ppa021193mg PE=4 SV=1</t>
  </si>
  <si>
    <t>Uncharacterized protein OS=Prunus persica GN=PRUPE_ppa009475mg PE=4 SV=1</t>
  </si>
  <si>
    <t>Putative uncharacterized protein OS=Vitis vinifera GN=VIT_01s0150g00360 PE=4 SV=1</t>
  </si>
  <si>
    <t>Uncharacterized protein OS=Prunus persica GN=PRUPE_ppa006434mg PE=4 SV=1</t>
  </si>
  <si>
    <t>Non-specific serine/threonine protein kinase OS=Prunus persica GN=PRUPE_ppa005741mg PE=4 SV=1</t>
  </si>
  <si>
    <t>Uncharacterized protein OS=Prunus persica GN=PRUPE_ppa002347mg PE=4 SV=1</t>
  </si>
  <si>
    <t>Uncharacterized protein OS=Prunus persica GN=PRUPE_ppa001397mg PE=4 SV=1</t>
  </si>
  <si>
    <t>Uncharacterized protein OS=Prunus persica GN=PRUPE_ppa011198mg PE=4 SV=1</t>
  </si>
  <si>
    <t>Uncharacterized protein (Fragment) OS=Citrus clementina GN=CICLE_v10013881mg PE=4 SV=1</t>
  </si>
  <si>
    <t>Uncharacterized protein OS=Prunus persica GN=PRUPE_ppa002343mg PE=4 SV=1</t>
  </si>
  <si>
    <t>Uncharacterized protein OS=Prunus persica GN=PRUPE_ppa000483mg PE=4 SV=1</t>
  </si>
  <si>
    <t>Uncharacterized protein (Fragment) OS=Prunus persica GN=PRUPE_ppa016761mg PE=4 SV=1</t>
  </si>
  <si>
    <t>Uncharacterized protein OS=Prunus persica GN=PRUPE_ppa018312mg PE=4 SV=1</t>
  </si>
  <si>
    <t>Uncharacterized protein OS=Prunus persica GN=PRUPE_ppa003717mg PE=4 SV=1</t>
  </si>
  <si>
    <t>Uncharacterized protein OS=Prunus persica GN=PRUPE_ppa003988mg PE=4 SV=1</t>
  </si>
  <si>
    <t>Uncharacterized protein (Fragment) OS=Prunus persica GN=PRUPE_ppa018635mg PE=4 SV=1</t>
  </si>
  <si>
    <t>Uncharacterized protein OS=Prunus persica GN=PRUPE_ppa003301mg PE=4 SV=1</t>
  </si>
  <si>
    <t>Uncharacterized protein OS=Prunus persica GN=PRUPE_ppa013325mg PE=4 SV=1</t>
  </si>
  <si>
    <t>Queuine tRNA-ribosyltransferase OS=Prunus persica GN=PRUPE_ppa006727mg PE=3 SV=1</t>
  </si>
  <si>
    <t>Uncharacterized protein OS=Prunus persica GN=PRUPE_ppa026381mg PE=4 SV=1</t>
  </si>
  <si>
    <t>Uncharacterized protein OS=Prunus persica GN=PRUPE_ppa001733mg PE=4 SV=1</t>
  </si>
  <si>
    <t>Uncharacterized protein OS=Prunus persica GN=PRUPE_ppa025961mg PE=4 SV=1</t>
  </si>
  <si>
    <t>Uncharacterized protein OS=Prunus persica GN=PRUPE_ppa004461mg PE=3 SV=1</t>
  </si>
  <si>
    <t>Uncharacterized protein OS=Prunus persica GN=PRUPE_ppa005068mg PE=4 SV=1</t>
  </si>
  <si>
    <t>Uncharacterized protein OS=Prunus persica GN=PRUPE_ppa013291mg PE=4 SV=1</t>
  </si>
  <si>
    <t>Uncharacterized protein OS=Prunus persica GN=PRUPE_ppa001270mg PE=4 SV=1</t>
  </si>
  <si>
    <t>ABC transporter family protein OS=Hevea brasiliensis GN=ABCI10 PE=2 SV=1</t>
  </si>
  <si>
    <t>Uncharacterized protein OS=Prunus persica GN=PRUPE_ppa012726mg PE=4 SV=1</t>
  </si>
  <si>
    <t>Uncharacterized protein OS=Prunus persica GN=PRUPE_ppa012869mg PE=4 SV=1</t>
  </si>
  <si>
    <t>Uncharacterized protein OS=Prunus persica GN=PRUPE_ppa020622mg PE=4 SV=1</t>
  </si>
  <si>
    <t>Uncharacterized protein OS=Prunus persica GN=PRUPE_ppa023812mg PE=4 SV=1</t>
  </si>
  <si>
    <t>Uncharacterized protein OS=Prunus persica GN=PRUPE_ppa010110mg PE=4 SV=1</t>
  </si>
  <si>
    <t>Uncharacterized protein OS=Prunus persica GN=PRUPE_ppa009121mg PE=4 SV=1</t>
  </si>
  <si>
    <t>Uncharacterized protein OS=Prunus persica GN=PRUPE_ppa022868mg PE=4 SV=1</t>
  </si>
  <si>
    <t>Uncharacterized protein OS=Prunus persica GN=PRUPE_ppa005657mg PE=4 SV=1</t>
  </si>
  <si>
    <t>Uncharacterized protein OS=Prunus persica GN=PRUPE_ppa005366mg PE=4 SV=1</t>
  </si>
  <si>
    <t>Ig kappa chain C region (Fragment) OS=Homo sapiens GN=IGKC PE=1 SV=1</t>
  </si>
  <si>
    <t>Uncharacterized protein OS=Prunus persica GN=PRUPE_ppa011695mg PE=3 SV=1</t>
  </si>
  <si>
    <t>Uncharacterized protein OS=Morus notabilis GN=L484_020017 PE=4 SV=1</t>
  </si>
  <si>
    <t>Uncharacterized protein OS=Prunus persica GN=PRUPE_ppa025296mg PE=3 SV=1</t>
  </si>
  <si>
    <t>Uncharacterized protein OS=Prunus persica GN=PRUPE_ppa001813mg PE=4 SV=1</t>
  </si>
  <si>
    <t>Uncharacterized protein OS=Prunus persica GN=PRUPE_ppa025825mg PE=4 SV=1</t>
  </si>
  <si>
    <t>Haloacid dehalogenase-like hydrolase superfamily protein (Fragment) OS=Prunus persica PE=2 SV=1</t>
  </si>
  <si>
    <t>Uncharacterized protein OS=Prunus persica GN=PRUPE_ppa003628mg PE=4 SV=1</t>
  </si>
  <si>
    <t>Uncharacterized protein OS=Prunus persica GN=PRUPE_ppa004867mg PE=3 SV=1</t>
  </si>
  <si>
    <t>Uncharacterized protein OS=Prunus persica GN=PRUPE_ppa002441mg PE=4 SV=1</t>
  </si>
  <si>
    <t>Uncharacterized protein OS=Jatropha curcas GN=JCGZ_22803 PE=4 SV=1</t>
  </si>
  <si>
    <t>Uncharacterized protein OS=Prunus persica GN=PRUPE_ppa010718mg PE=4 SV=1</t>
  </si>
  <si>
    <t>Uncharacterized protein (Fragment) OS=Prunus persica GN=PRUPE_ppa024939mg PE=4 SV=1</t>
  </si>
  <si>
    <t>Reticulon-like protein OS=Prunus persica GN=PRUPE_ppa008259mg PE=4 SV=1</t>
  </si>
  <si>
    <t>Uncharacterized protein OS=Prunus persica GN=PRUPE_ppa001291mg PE=4 SV=1</t>
  </si>
  <si>
    <t>Uncharacterized protein OS=Prunus persica GN=PRUPE_ppa000514mg PE=4 SV=1</t>
  </si>
  <si>
    <t>Uncharacterized protein OS=Prunus persica GN=PRUPE_ppa002583mg PE=4 SV=1</t>
  </si>
  <si>
    <t>Uncharacterized protein OS=Prunus persica GN=PRUPE_ppa021128mg PE=4 SV=1</t>
  </si>
  <si>
    <t>Uncharacterized protein OS=Prunus persica GN=PRUPE_ppa004809mg PE=4 SV=1</t>
  </si>
  <si>
    <t>Uncharacterized protein OS=Prunus persica GN=PRUPE_ppa007973mg PE=4 SV=1</t>
  </si>
  <si>
    <t>Putative uncharacterized protein OS=Vitis vinifera GN=VITISV_026335 PE=4 SV=1</t>
  </si>
  <si>
    <t>Uncharacterized protein OS=Prunus persica GN=PRUPE_ppa011050mg PE=4 SV=1</t>
  </si>
  <si>
    <t>Uncharacterized protein OS=Prunus persica GN=PRUPE_ppa001312mg PE=4 SV=1</t>
  </si>
  <si>
    <t>Uncharacterized protein OS=Prunus persica GN=PRUPE_ppa004890mg PE=3 SV=1</t>
  </si>
  <si>
    <t>Uncharacterized protein OS=Prunus persica GN=PRUPE_ppa010469mg PE=4 SV=1</t>
  </si>
  <si>
    <t>Uncharacterized protein OS=Prunus persica GN=PRUPE_ppa002790mg PE=4 SV=1</t>
  </si>
  <si>
    <t>Uncharacterized protein OS=Prunus persica GN=PRUPE_ppa008047mg PE=4 SV=1</t>
  </si>
  <si>
    <t>Uncharacterized protein (Fragment) OS=Prunus persica GN=PRUPE_ppb019242mg PE=4 SV=1</t>
  </si>
  <si>
    <t>Uncharacterized protein OS=Prunus persica GN=PRUPE_ppa021240mg PE=4 SV=1</t>
  </si>
  <si>
    <t>Uncharacterized protein OS=Prunus persica GN=PRUPE_ppa004260mg PE=3 SV=1</t>
  </si>
  <si>
    <t>Uncharacterized protein OS=Prunus persica GN=PRUPE_ppa005266mg PE=4 SV=1</t>
  </si>
  <si>
    <t>Uncharacterized protein OS=Prunus persica GN=PRUPE_ppa004524mg PE=4 SV=1</t>
  </si>
  <si>
    <t>Uncharacterized protein OS=Prunus persica GN=PRUPE_ppa022023mg PE=4 SV=1</t>
  </si>
  <si>
    <t>Uncharacterized protein OS=Prunus persica GN=PRUPE_ppa022841mg PE=4 SV=1</t>
  </si>
  <si>
    <t>Uncharacterized protein OS=Hypocrea atroviridis (strain ATCC 20476 / IMI 206040) GN=TRIATDRAFT_156562 PE=4 SV=1</t>
  </si>
  <si>
    <t>Histone H4 OS=Zea mays GN=H4C14 PE=3 SV=1</t>
  </si>
  <si>
    <t>Uncharacterized protein OS=Prunus persica GN=PRUPE_ppa004404mg PE=3 SV=1</t>
  </si>
  <si>
    <t>Uncharacterized protein OS=Prunus persica GN=PRUPE_ppa023337mg PE=4 SV=1</t>
  </si>
  <si>
    <t>Uncharacterized protein OS=Prunus persica GN=PRUPE_ppa009286mg PE=4 SV=1</t>
  </si>
  <si>
    <t>Uncharacterized protein (Fragment) OS=Prunus persica GN=PRUPE_ppa016919mg PE=4 SV=1</t>
  </si>
  <si>
    <t>Uncharacterized protein OS=Prunus persica GN=PRUPE_ppa007170mg PE=4 SV=1</t>
  </si>
  <si>
    <t>Glutamate receptor OS=Prunus persica GN=PRUPE_ppa001079mg PE=3 SV=1</t>
  </si>
  <si>
    <t>Uncharacterized protein OS=Prunus persica GN=PRUPE_ppa012853mg PE=3 SV=1</t>
  </si>
  <si>
    <t>Ribulose bisphosphate carboxylase large chain OS=Prunus kansuensis GN=rbcL PE=3 SV=1</t>
  </si>
  <si>
    <t>Glutamate decarboxylase OS=Prunus persica GN=PRUPE_ppa004567mg PE=3 SV=1</t>
  </si>
  <si>
    <t>Uncharacterized protein OS=Prunus persica GN=PRUPE_ppa010314mg PE=3 SV=1</t>
  </si>
  <si>
    <t>Uncharacterized protein OS=Prunus persica GN=PRUPE_ppa008200mg PE=4 SV=1</t>
  </si>
  <si>
    <t>Uncharacterized protein OS=Prunus persica GN=PRUPE_ppa001365mg PE=4 SV=1</t>
  </si>
  <si>
    <t>Uncharacterized protein OS=Prunus persica GN=PRUPE_ppa020632mg PE=4 SV=1</t>
  </si>
  <si>
    <t>Uncharacterized protein OS=Prunus persica GN=PRUPE_ppa004518mg PE=4 SV=1</t>
  </si>
  <si>
    <t>Uncharacterized protein OS=Prunus persica GN=PRUPE_ppa008414mg PE=3 SV=1</t>
  </si>
  <si>
    <t>Uncharacterized protein OS=Prunus persica GN=PRUPE_ppa008051mg PE=4 SV=1</t>
  </si>
  <si>
    <t>Uncharacterized protein OS=Prunus persica GN=PRUPE_ppa001454mg PE=4 SV=1</t>
  </si>
  <si>
    <t>3'-N-debenzoyl-2'-deoxytaxol N-benzoyltransferase, putative OS=Ricinus communis GN=RCOM_1082410 PE=4 SV=1</t>
  </si>
  <si>
    <t>Uncharacterized protein OS=Prunus persica GN=PRUPE_ppa018824mg PE=4 SV=1</t>
  </si>
  <si>
    <t>Uncharacterized protein OS=Prunus persica GN=PRUPE_ppa005582mg PE=4 SV=1</t>
  </si>
  <si>
    <t>Uncharacterized protein OS=Prunus persica GN=PRUPE_ppa001562mg PE=4 SV=1</t>
  </si>
  <si>
    <t>Uncharacterized protein OS=Prunus persica GN=PRUPE_ppa001464mg PE=4 SV=1</t>
  </si>
  <si>
    <t>Uncharacterized protein OS=Prunus persica GN=PRUPE_ppa007311mg PE=4 SV=1</t>
  </si>
  <si>
    <t>Uncharacterized protein OS=Prunus persica GN=PRUPE_ppa003140mg PE=4 SV=1</t>
  </si>
  <si>
    <t>Uncharacterized protein OS=Prunus persica GN=PRUPE_ppa011172mg PE=4 SV=1</t>
  </si>
  <si>
    <t>Uncharacterized protein OS=Prunus persica GN=PRUPE_ppa007108mg PE=4 SV=1</t>
  </si>
  <si>
    <t>Uncharacterized protein OS=Prunus persica GN=PRUPE_ppa007789mg PE=3 SV=1</t>
  </si>
  <si>
    <t>Uncharacterized protein OS=Prunus persica GN=PRUPE_ppa006325mg PE=4 SV=1</t>
  </si>
  <si>
    <t>Uncharacterized protein OS=Prunus persica GN=PRUPE_ppa024320mg PE=4 SV=1</t>
  </si>
  <si>
    <t>Uncharacterized protein OS=Prunus persica GN=PRUPE_ppa022467mg PE=4 SV=1</t>
  </si>
  <si>
    <t>Uncharacterized protein OS=Prunus persica GN=PRUPE_ppa011116mg PE=4 SV=1</t>
  </si>
  <si>
    <t>Uncharacterized protein OS=Citrus clementina GN=CICLE_v10021224mg PE=4 SV=1</t>
  </si>
  <si>
    <t>DsRNA-binding protein 3 isoform 1 OS=Theobroma cacao GN=TCM_017279 PE=4 SV=1</t>
  </si>
  <si>
    <t>Uncharacterized protein OS=Prunus persica GN=PRUPE_ppa012483mg PE=3 SV=1</t>
  </si>
  <si>
    <t>Uncharacterized protein OS=Prunus persica GN=PRUPE_ppa013042mg PE=4 SV=1</t>
  </si>
  <si>
    <t>Uncharacterized protein OS=Prunus persica GN=PRUPE_ppa000721mg PE=4 SV=1</t>
  </si>
  <si>
    <t>Uncharacterized protein OS=Prunus persica GN=PRUPE_ppa022205mg PE=4 SV=1</t>
  </si>
  <si>
    <t>Uncharacterized protein OS=Prunus persica GN=PRUPE_ppa001579mg PE=4 SV=1</t>
  </si>
  <si>
    <t>Uncharacterized protein OS=Prunus persica GN=PRUPE_ppa010282mg PE=4 SV=1</t>
  </si>
  <si>
    <t>Expansin 1 OS=Prunus salicina PE=2 SV=1</t>
  </si>
  <si>
    <t>Uncharacterized protein OS=Eucalyptus grandis GN=EUGRSUZ_F00448 PE=4 SV=1</t>
  </si>
  <si>
    <t>Uncharacterized protein OS=Prunus persica GN=PRUPE_ppa011081mg PE=3 SV=1</t>
  </si>
  <si>
    <t>Tubby-like F-box protein OS=Prunus persica GN=PRUPE_ppa006428mg PE=3 SV=1</t>
  </si>
  <si>
    <t>Uncharacterized protein OS=Prunus persica GN=PRUPE_ppa025053mg PE=4 SV=1</t>
  </si>
  <si>
    <t>Uncharacterized protein (Fragment) OS=Prunus persica GN=PRUPE_ppa015026mg PE=4 SV=1</t>
  </si>
  <si>
    <t>Uncharacterized protein (Fragment) OS=Prunus persica GN=PRUPE_ppa022044mg PE=4 SV=1</t>
  </si>
  <si>
    <t>Uncharacterized protein OS=Prunus persica GN=PRUPE_ppa001653mg PE=4 SV=1</t>
  </si>
  <si>
    <t>Uncharacterized protein OS=Prunus persica GN=PRUPE_ppa010301mg PE=4 SV=1</t>
  </si>
  <si>
    <t>Uncharacterized protein OS=Prunus persica GN=PRUPE_ppa023187mg PE=4 SV=1</t>
  </si>
  <si>
    <t>Uncharacterized protein OS=Prunus persica GN=PRUPE_ppa001547mg PE=4 SV=1</t>
  </si>
  <si>
    <t>Uncharacterized protein OS=Prunus persica GN=PRUPE_ppa007954mg PE=4 SV=1</t>
  </si>
  <si>
    <t>Uncharacterized protein OS=Morus notabilis GN=L484_021594 PE=4 SV=1</t>
  </si>
  <si>
    <t>Uncharacterized protein OS=Prunus persica GN=PRUPE_ppa008951mg PE=4 SV=1</t>
  </si>
  <si>
    <t>Uncharacterized protein OS=Prunus persica GN=PRUPE_ppa004331mg PE=3 SV=1</t>
  </si>
  <si>
    <t>Uncharacterized protein OS=Prunus persica GN=PRUPE_ppa013876mg PE=4 SV=1</t>
  </si>
  <si>
    <t>Uncharacterized protein OS=Prunus persica GN=PRUPE_ppa021471mg PE=4 SV=1</t>
  </si>
  <si>
    <t>Uncharacterized protein OS=Prunus persica GN=PRUPE_ppa009882mg PE=3 SV=1</t>
  </si>
  <si>
    <t>Uncharacterized protein OS=Prunus persica GN=PRUPE_ppa002350mg PE=4 SV=1</t>
  </si>
  <si>
    <t>Uncharacterized protein OS=Prunus persica GN=PRUPE_ppa010176mg PE=4 SV=1</t>
  </si>
  <si>
    <t>Uncharacterized protein OS=Prunus persica GN=PRUPE_ppa023771mg PE=4 SV=1</t>
  </si>
  <si>
    <t>Uncharacterized protein OS=Prunus persica GN=PRUPE_ppa009214mg PE=4 SV=1</t>
  </si>
  <si>
    <t>Uncharacterized protein OS=Prunus persica GN=PRUPE_ppa006795mg PE=4 SV=1</t>
  </si>
  <si>
    <t>Uncharacterized protein (Fragment) OS=Prunus persica GN=PRUPE_ppa022383m1g PE=4 SV=1</t>
  </si>
  <si>
    <t>Uncharacterized protein OS=Prunus persica GN=PRUPE_ppa009658mg PE=4 SV=1</t>
  </si>
  <si>
    <t>Uncharacterized protein OS=Prunus persica GN=PRUPE_ppa003464mg PE=4 SV=1</t>
  </si>
  <si>
    <t>Uncharacterized protein OS=Prunus persica GN=PRUPE_ppa026051mg PE=4 SV=1</t>
  </si>
  <si>
    <t>Uncharacterized protein (Fragment) OS=Prunus persica GN=PRUPE_ppa023366mg PE=4 SV=1</t>
  </si>
  <si>
    <t>Uncharacterized protein OS=Prunus persica GN=PRUPE_ppa020977mg PE=4 SV=1</t>
  </si>
  <si>
    <t>Uncharacterized protein OS=Prunus persica GN=PRUPE_ppa004324mg PE=4 SV=1</t>
  </si>
  <si>
    <t>Uncharacterized protein OS=Prunus persica GN=PRUPE_ppa008729mg PE=4 SV=1</t>
  </si>
  <si>
    <t>Uncharacterized protein OS=Prunus persica GN=PRUPE_ppb018157mg PE=4 SV=1</t>
  </si>
  <si>
    <t>Uncharacterized protein OS=Prunus persica GN=PRUPE_ppa018819mg PE=4 SV=1</t>
  </si>
  <si>
    <t>Uncharacterized protein OS=Prunus persica GN=PRUPE_ppa005981mg PE=4 SV=1</t>
  </si>
  <si>
    <t>Uncharacterized protein OS=Prunus persica GN=PRUPE_ppa010601mg PE=4 SV=1</t>
  </si>
  <si>
    <t>Uncharacterized protein OS=Prunus persica GN=PRUPE_ppa006809mg PE=4 SV=1</t>
  </si>
  <si>
    <t>Glycosyltransferase OS=Prunus persica GN=PRUPE_ppa021082mg PE=3 SV=1</t>
  </si>
  <si>
    <t>Uncharacterized protein OS=Prunus persica GN=PRUPE_ppa013549mg PE=4 SV=1</t>
  </si>
  <si>
    <t>Androgen induced inhibitor of proliferation (As3) / pds5, putative isoform 1 OS=Theobroma cacao GN=TCM_035110 PE=4 SV=1</t>
  </si>
  <si>
    <t>Uncharacterized protein OS=Prunus persica GN=PRUPE_ppa001651mg PE=4 SV=1</t>
  </si>
  <si>
    <t>Uncharacterized protein OS=Prunus persica GN=PRUPE_ppa004141mg PE=4 SV=1</t>
  </si>
  <si>
    <t>Proteasome subunit alpha type OS=Prunus persica GN=PRUPE_ppa010778mg PE=3 SV=1</t>
  </si>
  <si>
    <t>Uncharacterized protein OS=Jatropha curcas GN=JCGZ_10475 PE=4 SV=1</t>
  </si>
  <si>
    <t>Uncharacterized protein (Fragment) OS=Prunus persica GN=PRUPE_ppa025771mg PE=4 SV=1</t>
  </si>
  <si>
    <t>Uncharacterized protein OS=Morus notabilis GN=L484_005751 PE=4 SV=1</t>
  </si>
  <si>
    <t>Uncharacterized protein (Fragment) OS=Prunus persica GN=PRUPE_ppa020145mg PE=3 SV=1</t>
  </si>
  <si>
    <t>Uncharacterized protein OS=Prunus persica GN=PRUPE_ppa024036mg PE=4 SV=1</t>
  </si>
  <si>
    <t>Uncharacterized protein OS=Prunus persica GN=PRUPE_ppa007698mg PE=4 SV=1</t>
  </si>
  <si>
    <t>Uncharacterized protein (Fragment) OS=Prunus persica GN=PRUPE_ppa016245mg PE=4 SV=1</t>
  </si>
  <si>
    <t>R2R3 Myb transcription factor OS=Prunus persica GN=Peace PE=2 SV=1</t>
  </si>
  <si>
    <t>Uncharacterized protein OS=Prunus persica GN=PRUPE_ppa015641mg PE=4 SV=1</t>
  </si>
  <si>
    <t>Obg-like ATPase 1 OS=Prunus persica GN=PRUPE_ppa006276mg PE=3 SV=1</t>
  </si>
  <si>
    <t>Pectate lyase OS=Prunus persica GN=PRUPE_ppa005744mg PE=3 SV=1</t>
  </si>
  <si>
    <t>Uncharacterized protein OS=Prunus persica GN=PRUPE_ppa006902mg PE=3 SV=1</t>
  </si>
  <si>
    <t>Uncharacterized protein OS=Prunus persica GN=PRUPE_ppa004039mg PE=4 SV=1</t>
  </si>
  <si>
    <t>Uncharacterized protein OS=Prunus persica GN=PRUPE_ppa008068mg PE=4 SV=1</t>
  </si>
  <si>
    <t>Uncharacterized protein OS=Prunus persica GN=PRUPE_ppa026374mg PE=3 SV=1</t>
  </si>
  <si>
    <t>Uncharacterized protein OS=Prunus persica GN=PRUPE_ppa010189mg PE=4 SV=1</t>
  </si>
  <si>
    <t>Uncharacterized protein OS=Prunus persica GN=PRUPE_ppa016098mg PE=4 SV=1</t>
  </si>
  <si>
    <t>Uncharacterized protein OS=Prunus persica GN=PRUPE_ppa013766mg PE=4 SV=1</t>
  </si>
  <si>
    <t>Uncharacterized protein OS=Prunus persica GN=PRUPE_ppa018394mg PE=4 SV=1</t>
  </si>
  <si>
    <t>Uncharacterized protein OS=Prunus persica GN=PRUPE_ppa023448mg PE=4 SV=1</t>
  </si>
  <si>
    <t>Uncharacterized protein OS=Prunus persica GN=PRUPE_ppa008298mg PE=4 SV=1</t>
  </si>
  <si>
    <t>Uncharacterized protein OS=Prunus persica GN=PRUPE_ppa009859mg PE=4 SV=1</t>
  </si>
  <si>
    <t>Uncharacterized protein OS=Prunus persica GN=PRUPE_ppa017281mg PE=4 SV=1</t>
  </si>
  <si>
    <t>Uncharacterized protein OS=Prunus persica GN=PRUPE_ppa005318mg PE=4 SV=1</t>
  </si>
  <si>
    <t>Uncharacterized protein OS=Prunus persica GN=PRUPE_ppa000502mg PE=4 SV=1</t>
  </si>
  <si>
    <t>Uncharacterized protein OS=Prunus persica GN=PRUPE_ppa003751mg PE=4 SV=1</t>
  </si>
  <si>
    <t>Serine/threonine-protein kinase OS=Ricinus communis GN=RCOM_0899890 PE=3 SV=1</t>
  </si>
  <si>
    <t>Uncharacterized protein OS=Prunus persica GN=PRUPE_ppa017157mg PE=4 SV=1</t>
  </si>
  <si>
    <t>Uncharacterized protein OS=Prunus persica GN=PRUPE_ppa024189mg PE=4 SV=1</t>
  </si>
  <si>
    <t>Uncharacterized protein OS=Prunus persica GN=PRUPE_ppa005867mg PE=4 SV=1</t>
  </si>
  <si>
    <t>Uncharacterized protein (Fragment) OS=Prunus persica GN=PRUPE_ppa015217mg PE=4 SV=1</t>
  </si>
  <si>
    <t>Uncharacterized protein OS=Prunus persica GN=PRUPE_ppa011534mg PE=4 SV=1</t>
  </si>
  <si>
    <t>Uncharacterized protein OS=Prunus persica GN=PRUPE_ppa002596mg PE=4 SV=1</t>
  </si>
  <si>
    <t>Uncharacterized protein OS=Prunus persica GN=PRUPE_ppa005832mg PE=3 SV=1</t>
  </si>
  <si>
    <t>Uncharacterized protein OS=Prunus persica GN=PRUPE_ppa005435mg PE=4 SV=1</t>
  </si>
  <si>
    <t>Uncharacterized protein OS=Prunus persica GN=PRUPE_ppa002664mg PE=4 SV=1</t>
  </si>
  <si>
    <t>Uncharacterized protein (Fragment) OS=Prunus persica GN=PRUPE_ppa020513mg PE=4 SV=1</t>
  </si>
  <si>
    <t>Uncharacterized protein OS=Prunus persica GN=PRUPE_ppa008043mg PE=4 SV=1</t>
  </si>
  <si>
    <t>Uncharacterized protein OS=Prunus persica GN=PRUPE_ppa003120mg PE=4 SV=1</t>
  </si>
  <si>
    <t>Uncharacterized protein (Fragment) OS=Prunus persica GN=PRUPE_ppa022227mg PE=3 SV=1</t>
  </si>
  <si>
    <t>Uncharacterized protein OS=Prunus persica GN=PRUPE_ppa007251mg PE=4 SV=1</t>
  </si>
  <si>
    <t>Uncharacterized protein OS=Prunus persica GN=PRUPE_ppa002004mg PE=4 SV=1</t>
  </si>
  <si>
    <t>Uncharacterized protein OS=Prunus persica GN=PRUPE_ppa008558mg PE=4 SV=1</t>
  </si>
  <si>
    <t>Uncharacterized protein OS=Prunus persica GN=PRUPE_ppa005943mg PE=4 SV=1</t>
  </si>
  <si>
    <t>Uncharacterized protein OS=Prunus persica GN=PRUPE_ppa004432mg PE=4 SV=1</t>
  </si>
  <si>
    <t>Uncharacterized protein OS=Prunus persica GN=PRUPE_ppa003100mg PE=4 SV=1</t>
  </si>
  <si>
    <t>Uncharacterized protein OS=Prunus persica GN=PRUPE_ppa008283mg PE=3 SV=1</t>
  </si>
  <si>
    <t>Uncharacterized protein (Fragment) OS=Prunus persica GN=PRUPE_ppa017366mg PE=4 SV=1</t>
  </si>
  <si>
    <t>Uncharacterized protein OS=Prunus persica GN=PRUPE_ppa007614mg PE=4 SV=1</t>
  </si>
  <si>
    <t>Uncharacterized protein OS=Prunus persica GN=PRUPE_ppa010047mg PE=4 SV=1</t>
  </si>
  <si>
    <t>Uncharacterized protein OS=Prunus persica GN=PRUPE_ppa010547mg PE=4 SV=1</t>
  </si>
  <si>
    <t>Uncharacterized protein OS=Prunus persica GN=PRUPE_ppa014592mg PE=4 SV=1</t>
  </si>
  <si>
    <t>Uncharacterized protein OS=Prunus persica GN=PRUPE_ppa003523mg PE=4 SV=1</t>
  </si>
  <si>
    <t>Uncharacterized protein (Fragment) OS=Prunus persica GN=PRUPE_ppa022180mg PE=4 SV=1</t>
  </si>
  <si>
    <t>Uncharacterized protein (Fragment) OS=Petromyzon marinus PE=4 SV=1</t>
  </si>
  <si>
    <t>Mitogen-activated protein kinase OS=Jatropha curcas GN=JCGZ_03628 PE=4 SV=1</t>
  </si>
  <si>
    <t>Serine/threonine-protein phosphatase OS=Arabis alpina GN=AALP_AA3G229900 PE=3 SV=1</t>
  </si>
  <si>
    <t>Uncharacterized protein OS=Prunus persica GN=PRUPE_ppa010066mg PE=4 SV=1</t>
  </si>
  <si>
    <t>Uncharacterized protein (Fragment) OS=Prunus persica GN=PRUPE_ppa027192mg PE=4 SV=1</t>
  </si>
  <si>
    <t>Putative uncharacterized protein OS=Vitis vinifera GN=VIT_07s0005g02810 PE=4 SV=1</t>
  </si>
  <si>
    <t>Uncharacterized protein OS=Prunus persica GN=PRUPE_ppa004042mg PE=4 SV=1</t>
  </si>
  <si>
    <t>Uncharacterized protein OS=Prunus persica GN=PRUPE_ppa009394mg PE=4 SV=1</t>
  </si>
  <si>
    <t>Uncharacterized protein OS=Prunus persica GN=PRUPE_ppa010051mg PE=4 SV=1</t>
  </si>
  <si>
    <t>Uncharacterized protein OS=Prunus persica GN=PRUPE_ppa012201mg PE=4 SV=1</t>
  </si>
  <si>
    <t>Alpha-mannosidase OS=Prunus persica GN=PRUPE_ppa000458mg PE=3 SV=1</t>
  </si>
  <si>
    <t>Uncharacterized protein OS=Prunus persica GN=PRUPE_ppb016975mg PE=4 SV=1</t>
  </si>
  <si>
    <t>Uncharacterized protein OS=Morus notabilis GN=L484_009849 PE=4 SV=1</t>
  </si>
  <si>
    <t>Uncharacterized protein OS=Prunus persica GN=PRUPE_ppa023957mg PE=4 SV=1</t>
  </si>
  <si>
    <t>Uncharacterized protein OS=Prunus persica GN=PRUPE_ppa009852mg PE=4 SV=1</t>
  </si>
  <si>
    <t>Uncharacterized protein OS=Prunus persica GN=PRUPE_ppa004820mg PE=4 SV=1</t>
  </si>
  <si>
    <t>Uncharacterized protein OS=Prunus persica GN=PRUPE_ppa010735mg PE=4 SV=1</t>
  </si>
  <si>
    <t>Uncharacterized protein OS=Prunus persica GN=PRUPE_ppa007309mg PE=4 SV=1</t>
  </si>
  <si>
    <t>Aminoacylase-1 OS=Prunus persica GN=PRUPE_ppa005858mg PE=3 SV=1</t>
  </si>
  <si>
    <t>Uncharacterized protein OS=Prunus persica GN=PRUPE_ppa006047mg PE=4 SV=1</t>
  </si>
  <si>
    <t>Uncharacterized protein OS=Prunus persica GN=PRUPE_ppa010230mg PE=4 SV=1</t>
  </si>
  <si>
    <t>Uncharacterized protein OS=Prunus persica GN=PRUPE_ppa006979mg PE=3 SV=1</t>
  </si>
  <si>
    <t>Uncharacterized protein OS=Prunus persica GN=PRUPE_ppa003143mg PE=3 SV=1</t>
  </si>
  <si>
    <t>Uncharacterized protein OS=Prunus persica GN=PRUPE_ppa007848mg PE=4 SV=1</t>
  </si>
  <si>
    <t>Uncharacterized protein (Fragment) OS=Prunus persica GN=PRUPE_ppa021081mg PE=4 SV=1</t>
  </si>
  <si>
    <t>Uncharacterized protein OS=Prunus persica GN=PRUPE_ppa009418mg PE=3 SV=1</t>
  </si>
  <si>
    <t>Golgi SNAP receptor complex member 1 OS=Prunus persica GN=PRUPE_ppa010682mg PE=3 SV=1</t>
  </si>
  <si>
    <t>S-adenosylmethionine decarboxylase proenzyme OS=Prunus persica GN=PRUPE_ppa007732mg PE=3 SV=1</t>
  </si>
  <si>
    <t>Uncharacterized protein OS=Prunus persica GN=PRUPE_ppa013178mg PE=4 SV=1</t>
  </si>
  <si>
    <t>Uncharacterized protein OS=Prunus persica GN=PRUPE_ppa020424mg PE=4 SV=1</t>
  </si>
  <si>
    <t>Uncharacterized protein OS=Prunus persica GN=PRUPE_ppa012671mg PE=4 SV=1</t>
  </si>
  <si>
    <t>Uncharacterized protein OS=Prunus persica GN=PRUPE_ppa006239mg PE=3 SV=1</t>
  </si>
  <si>
    <t>Uncharacterized protein OS=Prunus persica GN=PRUPE_ppa004161mg PE=4 SV=1</t>
  </si>
  <si>
    <t>Uncharacterized protein OS=Prunus persica GN=PRUPE_ppa016047mg PE=4 SV=1</t>
  </si>
  <si>
    <t>Uncharacterized protein OS=Prunus persica GN=PRUPE_ppa002058mg PE=4 SV=1</t>
  </si>
  <si>
    <t>Uncharacterized protein OS=Citrus sinensis GN=CISIN_1g006178mg PE=4 SV=1</t>
  </si>
  <si>
    <t>Uncharacterized protein (Fragment) OS=Prunus persica GN=PRUPE_ppa024717mg PE=3 SV=1</t>
  </si>
  <si>
    <t>Serine/threonine-protein phosphatase 2A 55 kDa regulatory subunit B OS=Prunus persica GN=PRUPE_ppa004468mg PE=3 SV=1</t>
  </si>
  <si>
    <t>Putative uncharacterized protein OS=Vitis vinifera GN=VITISV_003315 PE=4 SV=1</t>
  </si>
  <si>
    <t>Uncharacterized protein OS=Prunus persica GN=PRUPE_ppa001459mg PE=4 SV=1</t>
  </si>
  <si>
    <t>Uncharacterized protein OS=Prunus persica GN=PRUPE_ppa000352mg PE=4 SV=1</t>
  </si>
  <si>
    <t>Formin-like protein OS=Prunus persica GN=PRUPE_ppa001809mg PE=3 SV=1</t>
  </si>
  <si>
    <t>Uncharacterized protein OS=Prunus persica GN=PRUPE_ppa004602mg PE=3 SV=1</t>
  </si>
  <si>
    <t>Xyloglucan endotransglucosylase/hydrolase OS=Prunus persica GN=PRUPE_ppa008275mg PE=3 SV=1</t>
  </si>
  <si>
    <t>Uncharacterized protein (Fragment) OS=Prunus persica GN=PRUPE_ppa016524mg PE=4 SV=1</t>
  </si>
  <si>
    <t>Uncharacterized protein OS=Prunus persica GN=PRUPE_ppa023821mg PE=4 SV=1</t>
  </si>
  <si>
    <t>Uncharacterized protein OS=Prunus persica GN=PRUPE_ppa001268mg PE=4 SV=1</t>
  </si>
  <si>
    <t>Uncharacterized protein OS=Prunus persica GN=PRUPE_ppa012462mg PE=4 SV=1</t>
  </si>
  <si>
    <t>Acyl-coenzyme A oxidase OS=Prunus persica GN=PRUPE_ppa003524mg PE=3 SV=1</t>
  </si>
  <si>
    <t>Uncharacterized protein OS=Prunus persica GN=PRUPE_ppa000734mg PE=4 SV=1</t>
  </si>
  <si>
    <t>Uncharacterized protein OS=Prunus persica GN=PRUPE_ppa017020mg PE=4 SV=1</t>
  </si>
  <si>
    <t>Uncharacterized protein OS=Prunus persica GN=PRUPE_ppa023385mg PE=4 SV=1</t>
  </si>
  <si>
    <t>Uncharacterized protein OS=Prunus persica GN=PRUPE_ppa020292mg PE=4 SV=1</t>
  </si>
  <si>
    <t>Uncharacterized protein OS=Prunus persica GN=PRUPE_ppa007427mg PE=4 SV=1</t>
  </si>
  <si>
    <t>NAD(P)H-quinone oxidoreductase subunit K, chloroplastic OS=Morus notabilis GN=ndhK PE=3 SV=1</t>
  </si>
  <si>
    <t>Uncharacterized protein OS=Prunus persica GN=PRUPE_ppa006468mg PE=4 SV=1</t>
  </si>
  <si>
    <t>Uncharacterized protein OS=Prunus persica GN=PRUPE_ppa003652mg PE=4 SV=1</t>
  </si>
  <si>
    <t>Glycosyltransferase (Fragment) OS=Prunus persica GN=PRUPE_ppa016486mg PE=3 SV=1</t>
  </si>
  <si>
    <t>Uncharacterized protein OS=Prunus persica GN=PRUPE_ppa025930mg PE=4 SV=1</t>
  </si>
  <si>
    <t>Uncharacterized protein OS=Prunus persica GN=PRUPE_ppa026713mg PE=3 SV=1</t>
  </si>
  <si>
    <t>Uncharacterized protein OS=Prunus persica GN=PRUPE_ppa003274mg PE=4 SV=1</t>
  </si>
  <si>
    <t>Uncharacterized protein (Fragment) OS=Prunus persica GN=PRUPE_ppa018989mg PE=4 SV=1</t>
  </si>
  <si>
    <t>Uncharacterized protein OS=Prunus persica GN=PRUPE_ppa002486mg PE=4 SV=1</t>
  </si>
  <si>
    <t>Uncharacterized protein OS=Prunus persica GN=PRUPE_ppa011386mg PE=4 SV=1</t>
  </si>
  <si>
    <t>Uncharacterized protein OS=Prunus persica GN=PRUPE_ppa016831mg PE=4 SV=1</t>
  </si>
  <si>
    <t>Putative uncharacterized protein OS=Vitis vinifera GN=VIT_07s0005g03090 PE=4 SV=1</t>
  </si>
  <si>
    <t>Uncharacterized protein OS=Prunus persica GN=PRUPE_ppa007314mg PE=4 SV=1</t>
  </si>
  <si>
    <t>Uncharacterized protein OS=Prunus persica GN=PRUPE_ppa006765mg PE=4 SV=1</t>
  </si>
  <si>
    <t>Uncharacterized protein OS=Prunus persica GN=PRUPE_ppa013100mg PE=4 SV=1</t>
  </si>
  <si>
    <t>Uncharacterized protein OS=Prunus persica GN=PRUPE_ppa010486mg PE=4 SV=1</t>
  </si>
  <si>
    <t>Uncharacterized protein OS=Prunus persica GN=PRUPE_ppa002073mg PE=4 SV=1</t>
  </si>
  <si>
    <t>DNA topoisomerase OS=Prunus persica GN=PRUPE_ppa001274mg PE=3 SV=1</t>
  </si>
  <si>
    <t>Uncharacterized protein OS=Prunus persica GN=PRUPE_ppa017153mg PE=4 SV=1</t>
  </si>
  <si>
    <t>Uncharacterized protein OS=Prunus persica GN=PRUPE_ppa000588mg PE=4 SV=1</t>
  </si>
  <si>
    <t>Uncharacterized protein OS=Prunus persica GN=PRUPE_ppa020221mg PE=4 SV=1</t>
  </si>
  <si>
    <t>Uncharacterized protein OS=Prunus persica GN=PRUPE_ppa003881mg PE=4 SV=1</t>
  </si>
  <si>
    <t>Uncharacterized protein OS=Prunus persica GN=PRUPE_ppa010638mg PE=4 SV=1</t>
  </si>
  <si>
    <t>Uncharacterized protein OS=Prunus persica GN=PRUPE_ppa003978mg PE=4 SV=1</t>
  </si>
  <si>
    <t>Uncharacterized protein OS=Prunus persica GN=PRUPE_ppa023287mg PE=4 SV=1</t>
  </si>
  <si>
    <t>Structure-specific endonuclease subunit SLX1 homolog OS=Prunus persica GN=PRUPE_ppa006827mg PE=3 SV=1</t>
  </si>
  <si>
    <t>Uncharacterized protein OS=Prunus persica GN=PRUPE_ppa018028mg PE=4 SV=1</t>
  </si>
  <si>
    <t>Uncharacterized protein OS=Prunus persica GN=PRUPE_ppa010814mg PE=3 SV=1</t>
  </si>
  <si>
    <t>Alpha-mannosidase OS=Prunus persica GN=PRUPE_ppa000755mg PE=3 SV=1</t>
  </si>
  <si>
    <t>Uncharacterized protein OS=Prunus persica GN=PRUPE_ppa001716mg PE=4 SV=1</t>
  </si>
  <si>
    <t>Uncharacterized protein OS=Prunus persica GN=PRUPE_ppa021306mg PE=4 SV=1</t>
  </si>
  <si>
    <t>Uncharacterized protein OS=Prunus persica GN=PRUPE_ppa006305mg PE=4 SV=1</t>
  </si>
  <si>
    <t>Uncharacterized protein OS=Prunus persica GN=PRUPE_ppa010592mg PE=4 SV=1</t>
  </si>
  <si>
    <t>Uncharacterized protein OS=Prunus persica GN=PRUPE_ppa011149mg PE=3 SV=1</t>
  </si>
  <si>
    <t>Uncharacterized protein OS=Prunus persica GN=PRUPE_ppa005697mg PE=4 SV=1</t>
  </si>
  <si>
    <t>Uncharacterized protein (Fragment) OS=Prunus persica GN=PRUPE_ppa022443mg PE=3 SV=1</t>
  </si>
  <si>
    <t>Uncharacterized protein OS=Prunus persica GN=PRUPE_ppa006231mg PE=4 SV=1</t>
  </si>
  <si>
    <t>Endoglucanase OS=Prunus persica GN=PRUPE_ppa004644mg PE=3 SV=1</t>
  </si>
  <si>
    <t>Uncharacterized protein OS=Prunus persica GN=PRUPE_ppa012870mg PE=4 SV=1</t>
  </si>
  <si>
    <t>Uncharacterized protein OS=Prunus persica GN=PRUPE_ppa009696mg PE=4 SV=1</t>
  </si>
  <si>
    <t>Uncharacterized protein (Fragment) OS=Prunus persica GN=PRUPE_ppa015395mg PE=4 SV=1</t>
  </si>
  <si>
    <t>Uncharacterized protein OS=Prunus persica GN=PRUPE_ppa005361mg PE=4 SV=1</t>
  </si>
  <si>
    <t>Uncharacterized protein OS=Prunus persica GN=PRUPE_ppa004912mg PE=3 SV=1</t>
  </si>
  <si>
    <t>Uncharacterized protein OS=Prunus persica GN=PRUPE_ppa018134mg PE=4 SV=1</t>
  </si>
  <si>
    <t>Uncharacterized protein OS=Prunus persica GN=PRUPE_ppa008291mg PE=4 SV=1</t>
  </si>
  <si>
    <t>Uncharacterized protein OS=Fusarium oxysporum f. sp. lycopersici (strain 4287 / CBS 123668 / FGSC 9935 / NRRL 34936) GN=FOXG_04007 PE=3 SV=1</t>
  </si>
  <si>
    <t>Predicted protein OS=Nectria haematococca (strain 77-13-4 / ATCC MYA-4622 / FGSC 9596 / MPVI) GN=NECHADRAFT_59945 PE=4 SV=1</t>
  </si>
  <si>
    <t>Uncharacterized protein OS=Prunus persica GN=PRUPE_ppa004917mg PE=4 SV=1</t>
  </si>
  <si>
    <t>Uncharacterized protein OS=Prunus persica GN=PRUPE_ppa007144mg PE=3 SV=1</t>
  </si>
  <si>
    <t>Uncharacterized protein OS=Prunus persica GN=PRUPE_ppa004651mg PE=4 SV=1</t>
  </si>
  <si>
    <t>Uncharacterized protein OS=Prunus persica GN=PRUPE_ppa023196mg PE=4 SV=1</t>
  </si>
  <si>
    <t>Uncharacterized protein OS=Prunus persica GN=PRUPE_ppa010045mg PE=4 SV=1</t>
  </si>
  <si>
    <t>Uncharacterized protein OS=Prunus persica GN=PRUPE_ppa007033mg PE=4 SV=1</t>
  </si>
  <si>
    <t>Uncharacterized protein (Fragment) OS=Prunus persica GN=PRUPE_ppa024325mg PE=4 SV=1</t>
  </si>
  <si>
    <t>Uncharacterized protein OS=Prunus persica GN=PRUPE_ppa023469mg PE=4 SV=1</t>
  </si>
  <si>
    <t>Potassium transporter OS=Prunus persica GN=KUP15 PE=2 SV=1</t>
  </si>
  <si>
    <t>Uncharacterized protein OS=Prunus persica GN=PRUPE_ppa004481mg PE=4 SV=1</t>
  </si>
  <si>
    <t>Uncharacterized protein OS=Prunus persica GN=PRUPE_ppa016511mg PE=4 SV=1</t>
  </si>
  <si>
    <t>Uncharacterized protein OS=Prunus persica GN=PRUPE_ppa003410mg PE=4 SV=1</t>
  </si>
  <si>
    <t>Uncharacterized protein OS=Prunus persica GN=PRUPE_ppa003687mg PE=4 SV=1</t>
  </si>
  <si>
    <t>Uncharacterized protein OS=Prunus persica GN=PRUPE_ppa008786mg PE=3 SV=1</t>
  </si>
  <si>
    <t>Uncharacterized protein OS=Prunus persica GN=PRUPE_ppa007384mg PE=4 SV=1</t>
  </si>
  <si>
    <t>Uncharacterized protein OS=Prunus persica GN=PRUPE_ppa005381mg PE=4 SV=1</t>
  </si>
  <si>
    <t>Uncharacterized protein (Fragment) OS=Prunus persica GN=PRUPE_ppa024838mg PE=4 SV=1</t>
  </si>
  <si>
    <t>Uncharacterized protein OS=Prunus persica GN=PRUPE_ppa010030mg PE=4 SV=1</t>
  </si>
  <si>
    <t>Uncharacterized protein OS=Prunus persica GN=PRUPE_ppa020260mg PE=4 SV=1</t>
  </si>
  <si>
    <t>Uncharacterized protein OS=Prunus persica GN=PRUPE_ppa009548mg PE=4 SV=1</t>
  </si>
  <si>
    <t>Uncharacterized protein OS=Prunus persica GN=PRUPE_ppa012387mg PE=4 SV=1</t>
  </si>
  <si>
    <t>Uncharacterized protein OS=Prunus persica GN=PRUPE_ppa006869mg PE=4 SV=1</t>
  </si>
  <si>
    <t>Uncharacterized protein OS=Prunus persica GN=PRUPE_ppa001394mg PE=4 SV=1</t>
  </si>
  <si>
    <t>Uncharacterized protein OS=Prunus persica GN=PRUPE_ppa007983mg PE=4 SV=1</t>
  </si>
  <si>
    <t>Uncharacterized protein OS=Prunus persica GN=PRUPE_ppa008675mg PE=4 SV=1</t>
  </si>
  <si>
    <t>Uncharacterized protein (Fragment) OS=Prunus persica GN=PRUPE_ppa019028mg PE=4 SV=1</t>
  </si>
  <si>
    <t>Uncharacterized protein OS=Prunus persica GN=PRUPE_ppa018823mg PE=4 SV=1</t>
  </si>
  <si>
    <t>Uncharacterized protein OS=Prunus persica GN=PRUPE_ppa017488mg PE=4 SV=1</t>
  </si>
  <si>
    <t>Uncharacterized protein OS=Prunus persica GN=PRUPE_ppa002168mg PE=4 SV=1</t>
  </si>
  <si>
    <t>Uncharacterized protein OS=Prunus persica GN=PRUPE_ppa011869mg PE=4 SV=1</t>
  </si>
  <si>
    <t>Uncharacterized protein OS=Prunus persica GN=PRUPE_ppa008565mg PE=3 SV=1</t>
  </si>
  <si>
    <t>Uncharacterized protein OS=Prunus persica GN=PRUPE_ppa011667mg PE=4 SV=1</t>
  </si>
  <si>
    <t>Uncharacterized protein OS=Prunus persica GN=PRUPE_ppa000886mg PE=4 SV=1</t>
  </si>
  <si>
    <t>Uncharacterized protein OS=Prunus persica GN=PRUPE_ppa004673mg PE=3 SV=1</t>
  </si>
  <si>
    <t>Uncharacterized protein OS=Prunus persica GN=PRUPE_ppa012210mg PE=4 SV=1</t>
  </si>
  <si>
    <t>Pentatricopeptide repeat (PPR-like) superfamily protein OS=Theobroma cacao GN=TCM_026185 PE=4 SV=1</t>
  </si>
  <si>
    <t>Uncharacterized protein OS=Prunus persica GN=PRUPE_ppa008663mg PE=4 SV=1</t>
  </si>
  <si>
    <t>Uncharacterized protein OS=Prunus persica GN=PRUPE_ppa000718mg PE=4 SV=1</t>
  </si>
  <si>
    <t>Uncharacterized protein OS=Prunus persica GN=PRUPE_ppa004952mg PE=4 SV=1</t>
  </si>
  <si>
    <t>Uncharacterized protein OS=Prunus persica GN=PRUPE_ppa001597mg PE=4 SV=1</t>
  </si>
  <si>
    <t>ATP-dependent Clp protease proteolytic subunit OS=Prunus persica GN=PRUPE_ppa009510mg PE=3 SV=1</t>
  </si>
  <si>
    <t>Uncharacterized protein (Fragment) OS=Prunus persica GN=PRUPE_ppa015739mg PE=3 SV=1</t>
  </si>
  <si>
    <t>Kinesin-like protein OS=Theobroma cacao GN=TCM_034249 PE=3 SV=1</t>
  </si>
  <si>
    <t>Uncharacterized protein OS=Prunus persica GN=PRUPE_ppa018375mg PE=4 SV=1</t>
  </si>
  <si>
    <t>Uncharacterized protein OS=Prunus persica GN=PRUPE_ppa010984mg PE=4 SV=1</t>
  </si>
  <si>
    <t>Uncharacterized protein OS=Prunus persica GN=PRUPE_ppa001408mg PE=4 SV=1</t>
  </si>
  <si>
    <t>Uncharacterized protein OS=Prunus persica GN=PRUPE_ppa006527mg PE=4 SV=1</t>
  </si>
  <si>
    <t>Peroxidase OS=Prunus persica GN=PRUPE_ppa008666mg PE=3 SV=1</t>
  </si>
  <si>
    <t>Uncharacterized protein (Fragment) OS=Prunus persica GN=PRUPE_ppa018548mg PE=4 SV=1</t>
  </si>
  <si>
    <t>Uncharacterized protein OS=Prunus persica GN=PRUPE_ppa000750mg PE=4 SV=1</t>
  </si>
  <si>
    <t>Uncharacterized protein OS=Morus notabilis GN=L484_020848 PE=4 SV=1</t>
  </si>
  <si>
    <t>Uncharacterized protein OS=Prunus persica GN=PRUPE_ppa016217mg PE=4 SV=1</t>
  </si>
  <si>
    <t>Uncharacterized protein OS=Prunus persica GN=PRUPE_ppa008021mg PE=4 SV=1</t>
  </si>
  <si>
    <t>Uncharacterized protein OS=Prunus persica GN=PRUPE_ppa023867mg PE=3 SV=1</t>
  </si>
  <si>
    <t>Uncharacterized protein OS=Prunus persica GN=PRUPE_ppa022088mg PE=3 SV=1</t>
  </si>
  <si>
    <t>Uncharacterized protein OS=Prunus persica GN=PRUPE_ppa012119mg PE=3 SV=1</t>
  </si>
  <si>
    <t>Uncharacterized protein OS=Prunus persica GN=PRUPE_ppa014998mg PE=4 SV=1</t>
  </si>
  <si>
    <t>Uncharacterized protein OS=Prunus persica GN=PRUPE_ppa027123mg PE=4 SV=1</t>
  </si>
  <si>
    <t>Uncharacterized protein OS=Prunus persica GN=PRUPE_ppb014490mg PE=4 SV=1</t>
  </si>
  <si>
    <t>Uncharacterized protein OS=Prunus persica GN=PRUPE_ppa002809mg PE=4 SV=1</t>
  </si>
  <si>
    <t>Uncharacterized protein OS=Prunus persica GN=PRUPE_ppa006735mg PE=4 SV=1</t>
  </si>
  <si>
    <t>F-box family protein OS=Populus trichocarpa GN=POPTR_0009s16580g PE=4 SV=1</t>
  </si>
  <si>
    <t>Uncharacterized protein OS=Prunus persica GN=PRUPE_ppa007667mg PE=4 SV=1</t>
  </si>
  <si>
    <t>Uncharacterized protein OS=Prunus persica GN=PRUPE_ppa004286mg PE=4 SV=1</t>
  </si>
  <si>
    <t>Protein argonaute OS=Brachypodium distachyon GN=BRADI1G36907 PE=3 SV=1</t>
  </si>
  <si>
    <t>Uncharacterized protein OS=Prunus persica GN=PRUPE_ppa006995mg PE=4 SV=1</t>
  </si>
  <si>
    <t>Uncharacterized protein OS=Prunus persica GN=PRUPE_ppa026419mg PE=4 SV=1</t>
  </si>
  <si>
    <t>Uncharacterized protein OS=Prunus persica GN=PRUPE_ppa010944mg PE=4 SV=1</t>
  </si>
  <si>
    <t>Uncharacterized protein OS=Prunus persica GN=PRUPE_ppa024080mg PE=4 SV=1</t>
  </si>
  <si>
    <t>Uncharacterized protein OS=Prunus persica GN=PRUPE_ppa020315mg PE=4 SV=1</t>
  </si>
  <si>
    <t>Uncharacterized protein OS=Prunus persica GN=PRUPE_ppa018729mg PE=4 SV=1</t>
  </si>
  <si>
    <t>Uncharacterized protein (Fragment) OS=Prunus persica GN=PRUPE_ppa021739mg PE=4 SV=1</t>
  </si>
  <si>
    <t>Uncharacterized protein OS=Prunus persica GN=PRUPE_ppa008241mg PE=4 SV=1</t>
  </si>
  <si>
    <t>Uncharacterized protein OS=Prunus persica GN=PRUPE_ppa000435mg PE=4 SV=1</t>
  </si>
  <si>
    <t>Uncharacterized protein OS=Prunus persica GN=PRUPE_ppa007473mg PE=4 SV=1</t>
  </si>
  <si>
    <t>Uncharacterized protein OS=Prunus persica GN=PRUPE_ppa010889mg PE=4 SV=1</t>
  </si>
  <si>
    <t>Uncharacterized protein OS=Prunus persica GN=PRUPE_ppa000012mg PE=4 SV=1</t>
  </si>
  <si>
    <t>Uncharacterized protein OS=Prunus persica GN=PRUPE_ppa011650mg PE=4 SV=1</t>
  </si>
  <si>
    <t>Uncharacterized protein OS=Prunus persica GN=PRUPE_ppa013329mg PE=4 SV=1</t>
  </si>
  <si>
    <t>Uncharacterized protein OS=Prunus persica GN=PRUPE_ppa004472mg PE=4 SV=1</t>
  </si>
  <si>
    <t>Uncharacterized protein OS=Prunus persica GN=PRUPE_ppa008165mg PE=4 SV=1</t>
  </si>
  <si>
    <t>Uncharacterized protein OS=Prunus persica GN=PRUPE_ppa016997mg PE=4 SV=1</t>
  </si>
  <si>
    <t>Uncharacterized protein OS=Prunus persica GN=PRUPE_ppa013840mg PE=4 SV=1</t>
  </si>
  <si>
    <t>Uncharacterized protein OS=Prunus persica GN=PRUPE_ppa005286mg PE=3 SV=1</t>
  </si>
  <si>
    <t>Uncharacterized protein OS=Prunus persica GN=PRUPE_ppa007081mg PE=4 SV=1</t>
  </si>
  <si>
    <t>Uncharacterized protein OS=Prunus persica GN=PRUPE_ppa021166mg PE=4 SV=1</t>
  </si>
  <si>
    <t>Uncharacterized protein OS=Prunus persica GN=PRUPE_ppa011157mg PE=4 SV=1</t>
  </si>
  <si>
    <t>Uncharacterized protein OS=Prunus persica GN=PRUPE_ppa012563mg PE=4 SV=1</t>
  </si>
  <si>
    <t>Uncharacterized protein OS=Prunus persica GN=PRUPE_ppa008009mg PE=4 SV=1</t>
  </si>
  <si>
    <t>Uncharacterized protein OS=Prunus persica GN=PRUPE_ppa002242mg PE=4 SV=1</t>
  </si>
  <si>
    <t>Uncharacterized protein OS=Prunus persica GN=PRUPE_ppa016880mg PE=3 SV=1</t>
  </si>
  <si>
    <t>Uncharacterized protein OS=Prunus persica GN=PRUPE_ppa000757mg PE=4 SV=1</t>
  </si>
  <si>
    <t>Uncharacterized protein OS=Prunus persica GN=PRUPE_ppa002944mg PE=4 SV=1</t>
  </si>
  <si>
    <t>Uncharacterized protein OS=Prunus persica GN=PRUPE_ppa011922mg PE=3 SV=1</t>
  </si>
  <si>
    <t>Uncharacterized protein OS=Jatropha curcas GN=JCGZ_03423 PE=4 SV=1</t>
  </si>
  <si>
    <t>Uncharacterized protein OS=Prunus persica GN=PRUPE_ppa009171mg PE=4 SV=1</t>
  </si>
  <si>
    <t>G-type lectin S-receptor-like serine/threonine-protein kinase OS=Morus notabilis GN=L484_016761 PE=3 SV=1</t>
  </si>
  <si>
    <t>Uncharacterized protein OS=Prunus persica GN=PRUPE_ppa020524mg PE=4 SV=1</t>
  </si>
  <si>
    <t>Uncharacterized protein OS=Prunus persica GN=PRUPE_ppa010252mg PE=4 SV=1</t>
  </si>
  <si>
    <t>Uncharacterized protein (Fragment) OS=Prunus persica GN=PRUPE_ppa018813mg PE=4 SV=1</t>
  </si>
  <si>
    <t>Uncharacterized protein OS=Prunus persica GN=PRUPE_ppa011572mg PE=4 SV=1</t>
  </si>
  <si>
    <t>Aspartokinase OS=Prunus persica GN=PRUPE_ppa003561mg PE=3 SV=1</t>
  </si>
  <si>
    <t>Pectinesterase OS=Prunus persica GN=PRUPE_ppa003400mg PE=3 SV=1</t>
  </si>
  <si>
    <t>Uncharacterized protein OS=Prunus persica GN=PRUPE_ppa006882mg PE=4 SV=1</t>
  </si>
  <si>
    <t>Uncharacterized protein OS=Prunus persica GN=PRUPE_ppa004555mg PE=3 SV=1</t>
  </si>
  <si>
    <t>Uncharacterized protein OS=Prunus persica GN=PRUPE_ppa006378mg PE=3 SV=1</t>
  </si>
  <si>
    <t>Uncharacterized protein OS=Prunus persica GN=PRUPE_ppa002585mg PE=3 SV=1</t>
  </si>
  <si>
    <t>Uncharacterized protein OS=Prunus persica GN=PRUPE_ppa006030mg PE=4 SV=1</t>
  </si>
  <si>
    <t>Uncharacterized protein OS=Prunus persica GN=PRUPE_ppb002215mg PE=4 SV=1</t>
  </si>
  <si>
    <t>Uncharacterized protein OS=Prunus persica GN=PRUPE_ppa011273mg PE=3 SV=1</t>
  </si>
  <si>
    <t>Uncharacterized protein OS=Prunus persica GN=PRUPE_ppa002125mg PE=3 SV=1</t>
  </si>
  <si>
    <t>Uncharacterized protein OS=Prunus persica GN=PRUPE_ppa004201mg PE=4 SV=1</t>
  </si>
  <si>
    <t>Uncharacterized protein OS=Prunus persica GN=PRUPE_ppa006889mg PE=4 SV=1</t>
  </si>
  <si>
    <t>Putative uncharacterized protein OS=Vitis vinifera GN=VIT_03s0088g01130 PE=4 SV=1</t>
  </si>
  <si>
    <t>Uncharacterized protein OS=Prunus persica GN=PRUPE_ppa009984mg PE=4 SV=1</t>
  </si>
  <si>
    <t>Uncharacterized protein OS=Prunus persica GN=PRUPE_ppa013635mg PE=4 SV=1</t>
  </si>
  <si>
    <t>Uncharacterized protein OS=Prunus persica GN=PRUPE_ppa013541mg PE=4 SV=1</t>
  </si>
  <si>
    <t>Translation elongation factor 2 OS=Prunus persica GN=TEF2 PE=2 SV=1</t>
  </si>
  <si>
    <t>Uncharacterized protein OS=Prunus persica GN=PRUPE_ppa000100mg PE=4 SV=1</t>
  </si>
  <si>
    <t>Putative uncharacterized protein OS=Vitis vinifera GN=VIT_12s0028g03340 PE=4 SV=1</t>
  </si>
  <si>
    <t>Uncharacterized protein OS=Prunus persica GN=PRUPE_ppa009231mg PE=4 SV=1</t>
  </si>
  <si>
    <t>Uncharacterized protein OS=Prunus persica GN=PRUPE_ppa001256mg PE=4 SV=1</t>
  </si>
  <si>
    <t>Ferritin OS=Prunus persica GN=PRUPE_ppa009703mg PE=3 SV=1</t>
  </si>
  <si>
    <t>Uncharacterized protein OS=Prunus persica GN=PRUPE_ppa019256mg PE=4 SV=1</t>
  </si>
  <si>
    <t>Uncharacterized protein OS=Prunus persica GN=PRUPE_ppa007189mg PE=4 SV=1</t>
  </si>
  <si>
    <t>Putative histone-lysine N-methyltransferase OS=Morus notabilis GN=L484_018296 PE=4 SV=1</t>
  </si>
  <si>
    <t>Uncharacterized protein OS=Prunus persica GN=PRUPE_ppa011874mg PE=4 SV=1</t>
  </si>
  <si>
    <t>Uncharacterized protein OS=Prunus persica GN=PRUPE_ppa012182mg PE=4 SV=1</t>
  </si>
  <si>
    <t>Uncharacterized protein OS=Prunus persica GN=PRUPE_ppa003776mg PE=4 SV=1</t>
  </si>
  <si>
    <t>Uncharacterized protein OS=Prunus persica GN=PRUPE_ppa006448mg PE=4 SV=1</t>
  </si>
  <si>
    <t>Uncharacterized protein OS=Prunus persica GN=PRUPE_ppa021746mg PE=4 SV=1</t>
  </si>
  <si>
    <t>Putative glycine-rich protein (Fragment) OS=Prunus dulcis PE=2 SV=1</t>
  </si>
  <si>
    <t>Uncharacterized protein OS=Prunus persica GN=PRUPE_ppa022385mg PE=4 SV=1</t>
  </si>
  <si>
    <t>Uncharacterized protein OS=Prunus persica GN=PRUPE_ppa003957mg PE=4 SV=1</t>
  </si>
  <si>
    <t>Uncharacterized protein OS=Prunus persica GN=PRUPE_ppa007762mg PE=4 SV=1</t>
  </si>
  <si>
    <t>Uncharacterized protein (Fragment) OS=Prunus persica GN=PRUPE_ppa014790mg PE=4 SV=1</t>
  </si>
  <si>
    <t>Uncharacterized protein (Fragment) OS=Prunus persica GN=PRUPE_ppa019414mg PE=4 SV=1</t>
  </si>
  <si>
    <t>Uncharacterized protein OS=Prunus persica GN=PRUPE_ppa011375mg PE=4 SV=1</t>
  </si>
  <si>
    <t>Uncharacterized protein OS=Prunus persica GN=PRUPE_ppa012116mg PE=4 SV=1</t>
  </si>
  <si>
    <t>Uncharacterized protein OS=Gibberella zeae (strain PH-1 / ATCC MYA-4620 / FGSC 9075 / NRRL 31084) GN=FGSG_11008 PE=4 SV=1</t>
  </si>
  <si>
    <t>Uncharacterized protein OS=Prunus persica GN=PRUPE_ppa008237mg PE=4 SV=1</t>
  </si>
  <si>
    <t>Putative uncharacterized protein OS=Ricinus communis GN=RCOM_0597450 PE=4 SV=1</t>
  </si>
  <si>
    <t>Uncharacterized protein OS=Prunus persica GN=PRUPE_ppa004275mg PE=4 SV=1</t>
  </si>
  <si>
    <t>Uncharacterized protein (Fragment) OS=Prunus persica GN=PRUPE_ppa022992mg PE=4 SV=1</t>
  </si>
  <si>
    <t>Uncharacterized protein OS=Prunus persica GN=PRUPE_ppa005239mg PE=4 SV=1</t>
  </si>
  <si>
    <t>Uncharacterized protein OS=Prunus persica GN=PRUPE_ppa011547mg PE=4 SV=1</t>
  </si>
  <si>
    <t>Uncharacterized protein OS=Prunus persica GN=PRUPE_ppa011057mg PE=4 SV=1</t>
  </si>
  <si>
    <t>Uncharacterized protein OS=Prunus persica GN=PRUPE_ppa009874mg PE=4 SV=1</t>
  </si>
  <si>
    <t>Uncharacterized protein OS=Prunus persica GN=PRUPE_ppa004408mg PE=4 SV=1</t>
  </si>
  <si>
    <t>Uncharacterized protein OS=Prunus persica GN=PRUPE_ppa004233mg PE=4 SV=1</t>
  </si>
  <si>
    <t>Uncharacterized protein OS=Prunus persica GN=PRUPE_ppa004877mg PE=4 SV=1</t>
  </si>
  <si>
    <t>Uncharacterized protein OS=Prunus persica GN=PRUPE_ppa011914mg PE=4 SV=1</t>
  </si>
  <si>
    <t>Uncharacterized protein OS=Prunus persica GN=PRUPE_ppa004976mg PE=3 SV=1</t>
  </si>
  <si>
    <t>Serine/threonine-protein phosphatase 2A 55 kDa regulatory subunit B OS=Prunus persica GN=PRUPE_ppa004483mg PE=3 SV=1</t>
  </si>
  <si>
    <t>Uncharacterized protein OS=Prunus persica GN=PRUPE_ppa011613mg PE=3 SV=1</t>
  </si>
  <si>
    <t>Uncharacterized protein OS=Prunus persica GN=PRUPE_ppa009715mg PE=4 SV=1</t>
  </si>
  <si>
    <t>Uncharacterized protein OS=Prunus persica GN=PRUPE_ppa015585mg PE=4 SV=1</t>
  </si>
  <si>
    <t>Universal stress protein A-like protein OS=Morus notabilis GN=L484_004112 PE=4 SV=1</t>
  </si>
  <si>
    <t>Uncharacterized protein OS=Prunus persica GN=PRUPE_ppa002191mg PE=4 SV=1</t>
  </si>
  <si>
    <t>Uncharacterized protein OS=Prunus persica GN=PRUPE_ppa004527mg PE=4 SV=1</t>
  </si>
  <si>
    <t>Beta-amylase OS=Prunus persica GN=PRUPE_ppa005431mg PE=3 SV=1</t>
  </si>
  <si>
    <t>Uncharacterized protein OS=Prunus persica GN=PRUPE_ppa005114mg PE=4 SV=1</t>
  </si>
  <si>
    <t>Uncharacterized protein OS=Prunus persica GN=PRUPE_ppa008456mg PE=4 SV=1</t>
  </si>
  <si>
    <t>4-hydroxy-4-methyl-2-oxoglutarate aldolase OS=Prunus persica GN=PRUPE_ppa012517mg PE=3 SV=1</t>
  </si>
  <si>
    <t>Uncharacterized protein (Fragment) OS=Prunus persica GN=PRUPE_ppa019925mg PE=4 SV=1</t>
  </si>
  <si>
    <t>Uncharacterized protein OS=Prunus persica GN=PRUPE_ppa005921mg PE=4 SV=1</t>
  </si>
  <si>
    <t>Phosphatidate cytidylyltransferase OS=Jatropha curcas GN=JCGZ_21145 PE=3 SV=1</t>
  </si>
  <si>
    <t>Uncharacterized protein OS=Prunus persica GN=PRUPE_ppa026847mg PE=4 SV=1</t>
  </si>
  <si>
    <t>Uncharacterized protein OS=Prunus persica GN=PRUPE_ppa006802mg PE=4 SV=1</t>
  </si>
  <si>
    <t>Uncharacterized protein OS=Prunus persica GN=PRUPE_ppa006050mg PE=4 SV=1</t>
  </si>
  <si>
    <t>Uncharacterized protein OS=Prunus persica GN=PRUPE_ppa010422mg PE=4 SV=1</t>
  </si>
  <si>
    <t>Uncharacterized protein OS=Prunus persica GN=PRUPE_ppa013511mg PE=4 SV=1</t>
  </si>
  <si>
    <t>Putative uncharacterized protein OS=Vitis vinifera GN=VIT_00s0561g00030 PE=4 SV=1</t>
  </si>
  <si>
    <t>MATE efflux family protein OS=Prunus persica GN=PRUPE_ppa024274mg PE=3 SV=1</t>
  </si>
  <si>
    <t>Uncharacterized protein (Fragment) OS=Prunus persica GN=PRUPE_ppa020143mg PE=4 SV=1</t>
  </si>
  <si>
    <t>Uncharacterized protein (Fragment) OS=Prunus persica GN=PRUPE_ppa020452mg PE=4 SV=1</t>
  </si>
  <si>
    <t>Uncharacterized protein OS=Prunus persica GN=PRUPE_ppa005624mg PE=4 SV=1</t>
  </si>
  <si>
    <t>Uncharacterized protein OS=Prunus persica GN=PRUPE_ppa019623mg PE=4 SV=1</t>
  </si>
  <si>
    <t>Uncharacterized protein OS=Prunus persica GN=PRUPE_ppa008247mg PE=4 SV=1</t>
  </si>
  <si>
    <t>Uncharacterized protein OS=Prunus persica GN=PRUPE_ppa019377mg PE=4 SV=1</t>
  </si>
  <si>
    <t>Uncharacterized protein OS=Prunus persica GN=PRUPE_ppa023215mg PE=4 SV=1</t>
  </si>
  <si>
    <t>Uncharacterized protein OS=Prunus persica GN=PRUPE_ppa000346mg PE=4 SV=1</t>
  </si>
  <si>
    <t>Uncharacterized protein OS=Prunus persica GN=PRUPE_ppa023483mg PE=4 SV=1</t>
  </si>
  <si>
    <t>Xyloglucan endotransglucosylase/hydrolase OS=Prunus persica GN=PRUPE_ppa021675mg PE=3 SV=1</t>
  </si>
  <si>
    <t>Uncharacterized protein OS=Prunus persica GN=PRUPE_ppa010553mg PE=4 SV=1</t>
  </si>
  <si>
    <t>Uncharacterized protein (Fragment) OS=Prunus persica GN=PRUPE_ppa1027150mg PE=4 SV=1</t>
  </si>
  <si>
    <t>Uncharacterized protein OS=Hypocrea atroviridis (strain ATCC 20476 / IMI 206040) GN=TRIATDRAFT_46358 PE=4 SV=1</t>
  </si>
  <si>
    <t>Uncharacterized protein (Fragment) OS=Prunus persica GN=PRUPE_ppa025028mg PE=4 SV=1</t>
  </si>
  <si>
    <t>Uncharacterized protein (Fragment) OS=Prunus persica GN=PRUPE_ppa015204mg PE=4 SV=1</t>
  </si>
  <si>
    <t>Uncharacterized protein OS=Prunus persica GN=PRUPE_ppa005364mg PE=4 SV=1</t>
  </si>
  <si>
    <t>Uncharacterized protein OS=Prunus persica GN=PRUPE_ppa011378mg PE=4 SV=1</t>
  </si>
  <si>
    <t>Uncharacterized protein OS=Prunus persica GN=PRUPE_ppa012631mg PE=4 SV=1</t>
  </si>
  <si>
    <t>Uncharacterized protein OS=Prunus persica GN=PRUPE_ppa000028mg PE=4 SV=1</t>
  </si>
  <si>
    <t>S-acyltransferase (Fragment) OS=Prunus persica GN=PRUPE_ppa017899mg PE=3 SV=1</t>
  </si>
  <si>
    <t>Uncharacterized protein OS=Prunus persica GN=PRUPE_ppa004121mg PE=4 SV=1</t>
  </si>
  <si>
    <t>Non-specific serine/threonine protein kinase OS=Prunus persica GN=PRUPE_ppa005492mg PE=4 SV=1</t>
  </si>
  <si>
    <t>Uncharacterized protein OS=Prunus persica GN=PRUPE_ppa003388mg PE=4 SV=1</t>
  </si>
  <si>
    <t>Uncharacterized protein OS=Prunus persica GN=PRUPE_ppa005974mg PE=3 SV=1</t>
  </si>
  <si>
    <t>Uncharacterized protein OS=Prunus persica GN=PRUPE_ppa011287mg PE=4 SV=1</t>
  </si>
  <si>
    <t>Uncharacterized protein OS=Prunus persica GN=PRUPE_ppa024974mg PE=4 SV=1</t>
  </si>
  <si>
    <t>Uncharacterized protein OS=Prunus persica GN=PRUPE_ppa006308mg PE=4 SV=1</t>
  </si>
  <si>
    <t>Uncharacterized protein OS=Prunus persica GN=PRUPE_ppa004357mg PE=4 SV=1</t>
  </si>
  <si>
    <t>CDPK-related kinase 1 OS=Theobroma cacao GN=TCM_024052 PE=4 SV=1</t>
  </si>
  <si>
    <t>Uncharacterized protein OS=Prunus persica GN=PRUPE_ppa007157mg PE=4 SV=1</t>
  </si>
  <si>
    <t>Uncharacterized protein OS=Prunus persica GN=PRUPE_ppa006556mg PE=4 SV=1</t>
  </si>
  <si>
    <t>Uncharacterized protein OS=Prunus persica GN=PRUPE_ppa004497mg PE=4 SV=1</t>
  </si>
  <si>
    <t>S-acyltransferase OS=Prunus persica GN=PRUPE_ppa002724mg PE=3 SV=1</t>
  </si>
  <si>
    <t>Uncharacterized protein OS=Prunus persica GN=PRUPE_ppa003533mg PE=4 SV=1</t>
  </si>
  <si>
    <t>Uncharacterized protein OS=Prunus persica GN=PRUPE_ppa024822mg PE=4 SV=1</t>
  </si>
  <si>
    <t>Pectinesterase OS=Prunus persica GN=PRUPE_ppa003307mg PE=3 SV=1</t>
  </si>
  <si>
    <t>Uncharacterized protein OS=Prunus persica GN=PRUPE_ppa015562mg PE=4 SV=1</t>
  </si>
  <si>
    <t>Uncharacterized protein OS=Prunus persica GN=PRUPE_ppa009848mg PE=4 SV=1</t>
  </si>
  <si>
    <t>Uncharacterized protein OS=Prunus persica GN=PRUPE_ppa001067mg PE=4 SV=1</t>
  </si>
  <si>
    <t>Uncharacterized protein OS=Prunus persica GN=PRUPE_ppa004084mg PE=4 SV=1</t>
  </si>
  <si>
    <t>Uncharacterized protein (Fragment) OS=Prunus persica GN=PRUPE_ppa015468mg PE=3 SV=1</t>
  </si>
  <si>
    <t>Uncharacterized protein OS=Prunus persica GN=PRUPE_ppa012481mg PE=4 SV=1</t>
  </si>
  <si>
    <t>Uncharacterized protein OS=Prunus persica GN=PRUPE_ppa008956mg PE=4 SV=1</t>
  </si>
  <si>
    <t>Uncharacterized protein OS=Prunus persica GN=PRUPE_ppa002626mg PE=4 SV=1</t>
  </si>
  <si>
    <t>Uncharacterized protein OS=Prunus persica GN=PRUPE_ppa015490mg PE=4 SV=1</t>
  </si>
  <si>
    <t>Serine/threonine-protein kinase OS=Morus notabilis GN=L484_021459 PE=3 SV=1</t>
  </si>
  <si>
    <t>Uncharacterized protein OS=Prunus persica GN=PRUPE_ppa011429mg PE=4 SV=1</t>
  </si>
  <si>
    <t>Uncharacterized protein OS=Prunus persica GN=PRUPE_ppa011053mg PE=4 SV=1</t>
  </si>
  <si>
    <t>60S ribosomal protein L13 OS=Prunus persica GN=PRUPE_ppa011512mg PE=3 SV=1</t>
  </si>
  <si>
    <t>Uncharacterized protein (Fragment) OS=Prunus persica GN=PRUPE_ppa000413m1g PE=4 SV=1</t>
  </si>
  <si>
    <t>Uncharacterized protein OS=Prunus persica GN=PRUPE_ppa003941mg PE=4 SV=1</t>
  </si>
  <si>
    <t>Uncharacterized protein OS=Prunus persica GN=PRUPE_ppa002313mg PE=3 SV=1</t>
  </si>
  <si>
    <t>Uncharacterized protein OS=Prunus persica GN=PRUPE_ppa006292mg PE=4 SV=1</t>
  </si>
  <si>
    <t>Uncharacterized protein OS=Gibberella zeae (strain PH-1 / ATCC MYA-4620 / FGSC 9075 / NRRL 31084) GN=FGSG_10125 PE=4 SV=1</t>
  </si>
  <si>
    <t>Uncharacterized protein OS=Prunus persica GN=PRUPE_ppa001656mg PE=4 SV=1</t>
  </si>
  <si>
    <t>Uncharacterized protein OS=Prunus persica GN=PRUPE_ppa012842mg PE=4 SV=1</t>
  </si>
  <si>
    <t>Uncharacterized protein OS=Prunus persica GN=PRUPE_ppa020413mg PE=4 SV=1</t>
  </si>
  <si>
    <t>Uncharacterized protein OS=Prunus persica GN=PRUPE_ppa006788mg PE=4 SV=1</t>
  </si>
  <si>
    <t>Uncharacterized protein OS=Prunus persica GN=PRUPE_ppa009017mg PE=4 SV=1</t>
  </si>
  <si>
    <t>Uncharacterized protein OS=Prunus persica GN=PRUPE_ppa004139mg PE=4 SV=1</t>
  </si>
  <si>
    <t>Uncharacterized protein (Fragment) OS=Prunus persica GN=PRUPE_ppa002884m2g PE=4 SV=1</t>
  </si>
  <si>
    <t>Uncharacterized protein OS=Prunus persica GN=PRUPE_ppa005573mg PE=4 SV=1</t>
  </si>
  <si>
    <t>Uncharacterized protein OS=Prunus persica GN=PRUPE_ppa011389mg PE=4 SV=1</t>
  </si>
  <si>
    <t>Uncharacterized protein OS=Prunus persica GN=PRUPE_ppa007755mg PE=4 SV=1</t>
  </si>
  <si>
    <t>Uncharacterized protein OS=Prunus persica GN=PRUPE_ppa002212mg PE=4 SV=1</t>
  </si>
  <si>
    <t>Uncharacterized protein OS=Prunus persica GN=PRUPE_ppa015078mg PE=4 SV=1</t>
  </si>
  <si>
    <t>Phospholipid-transporting ATPase OS=Prunus persica GN=PRUPE_ppa000380mg PE=3 SV=1</t>
  </si>
  <si>
    <t>Sugar transporter protein 7 isoform 1 OS=Theobroma cacao GN=TCM_038280 PE=3 SV=1</t>
  </si>
  <si>
    <t>Uncharacterized protein OS=Prunus persica GN=PRUPE_ppa017633mg PE=4 SV=1</t>
  </si>
  <si>
    <t>Uncharacterized protein OS=Prunus persica GN=PRUPE_ppa004562mg PE=4 SV=1</t>
  </si>
  <si>
    <t>Uncharacterized protein OS=Prunus persica GN=PRUPE_ppa013497mg PE=4 SV=1</t>
  </si>
  <si>
    <t>Uncharacterized protein OS=Prunus persica GN=PRUPE_ppa000969mg PE=4 SV=1</t>
  </si>
  <si>
    <t>Uncharacterized protein OS=Prunus persica GN=PRUPE_ppa015266mg PE=4 SV=1</t>
  </si>
  <si>
    <t>Uncharacterized protein OS=Prunus persica GN=PRUPE_ppa003829mg PE=4 SV=1</t>
  </si>
  <si>
    <t>Uncharacterized protein OS=Prunus persica GN=PRUPE_ppa016420mg PE=4 SV=1</t>
  </si>
  <si>
    <t>Uncharacterized protein OS=Prunus persica GN=PRUPE_ppa021051mg PE=4 SV=1</t>
  </si>
  <si>
    <t>Uncharacterized protein OS=Prunus persica GN=PRUPE_ppa002604mg PE=4 SV=1</t>
  </si>
  <si>
    <t>Uncharacterized protein (Fragment) OS=Prunus persica GN=PRUPE_ppb021269mg PE=4 SV=1</t>
  </si>
  <si>
    <t>Uncharacterized protein (Fragment) OS=Prunus persica GN=PRUPE_ppa022881mg PE=4 SV=1</t>
  </si>
  <si>
    <t>Uncharacterized protein OS=Prunus persica GN=PRUPE_ppa018176mg PE=4 SV=1</t>
  </si>
  <si>
    <t>Uncharacterized protein OS=Prunus persica GN=PRUPE_ppa016593mg PE=4 SV=1</t>
  </si>
  <si>
    <t>Uncharacterized protein OS=Prunus persica GN=PRUPE_ppb021036mg PE=4 SV=1</t>
  </si>
  <si>
    <t>Uncharacterized protein OS=Prunus persica GN=PRUPE_ppa002001mg PE=3 SV=1</t>
  </si>
  <si>
    <t>Uncharacterized protein OS=Prunus persica GN=PRUPE_ppa005614mg PE=4 SV=1</t>
  </si>
  <si>
    <t>Uncharacterized protein OS=Prunus persica GN=PRUPE_ppa001695mg PE=4 SV=1</t>
  </si>
  <si>
    <t>Proteasome subunit beta type OS=Prunus persica GN=PRUPE_ppa011112mg PE=3 SV=1</t>
  </si>
  <si>
    <t>Uncharacterized protein OS=Prunus persica GN=PRUPE_ppa017356mg PE=4 SV=1</t>
  </si>
  <si>
    <t>Uncharacterized protein OS=Prunus persica GN=PRUPE_ppa010256mg PE=3 SV=1</t>
  </si>
  <si>
    <t>Uncharacterized protein OS=Prunus persica GN=PRUPE_ppa005623mg PE=4 SV=1</t>
  </si>
  <si>
    <t>Uncharacterized protein OS=Prunus persica GN=PRUPE_ppa002263mg PE=4 SV=1</t>
  </si>
  <si>
    <t>Uncharacterized protein OS=Prunus persica GN=PRUPE_ppa021221mg PE=4 SV=1</t>
  </si>
  <si>
    <t>Uncharacterized protein (Fragment) OS=Prunus persica GN=PRUPE_ppa015500m2g PE=4 SV=1</t>
  </si>
  <si>
    <t>Eukaryotic translation initiation factor 3 subunit M OS=Prunus persica GN=PRUPE_ppa006461mg PE=3 SV=1</t>
  </si>
  <si>
    <t>Uncharacterized protein OS=Prunus persica GN=PRUPE_ppa027091mg PE=4 SV=1</t>
  </si>
  <si>
    <t>Uncharacterized protein (Fragment) OS=Prunus persica GN=PRUPE_ppa021635mg PE=4 SV=1</t>
  </si>
  <si>
    <t>Uncharacterized protein OS=Prunus persica GN=PRUPE_ppa004588mg PE=4 SV=1</t>
  </si>
  <si>
    <t>Uncharacterized protein OS=Prunus persica GN=PRUPE_ppa010011mg PE=4 SV=1</t>
  </si>
  <si>
    <t>Uncharacterized protein OS=Prunus persica GN=PRUPE_ppa000772mg PE=4 SV=1</t>
  </si>
  <si>
    <t>Uncharacterized protein OS=Prunus persica GN=PRUPE_ppa012083mg PE=4 SV=1</t>
  </si>
  <si>
    <t>Uncharacterized protein OS=Prunus persica GN=PRUPE_ppa016716mg PE=4 SV=1</t>
  </si>
  <si>
    <t>Uncharacterized protein OS=Prunus persica GN=PRUPE_ppa006095mg PE=4 SV=1</t>
  </si>
  <si>
    <t>Uncharacterized protein OS=Prunus persica GN=PRUPE_ppa009137mg PE=4 SV=1</t>
  </si>
  <si>
    <t>Uncharacterized protein OS=Morus notabilis GN=L484_021648 PE=4 SV=1</t>
  </si>
  <si>
    <t>Uncharacterized protein OS=Prunus persica GN=PRUPE_ppa012253mg PE=4 SV=1</t>
  </si>
  <si>
    <t>Uncharacterized protein OS=Prunus persica GN=PRUPE_ppa013731mg PE=4 SV=1</t>
  </si>
  <si>
    <t>Uncharacterized protein OS=Prunus persica GN=PRUPE_ppa002140mg PE=3 SV=1</t>
  </si>
  <si>
    <t>Uncharacterized protein OS=Prunus persica GN=PRUPE_ppa010215mg PE=4 SV=1</t>
  </si>
  <si>
    <t>Uncharacterized protein OS=Prunus persica GN=PRUPE_ppa006750mg PE=4 SV=1</t>
  </si>
  <si>
    <t>Uncharacterized protein OS=Prunus persica GN=PRUPE_ppa003170mg PE=3 SV=1</t>
  </si>
  <si>
    <t>alpha-1,2-Mannosidase OS=Prunus persica GN=PRUPE_ppa003534mg PE=3 SV=1</t>
  </si>
  <si>
    <t>Uncharacterized protein OS=Prunus persica GN=PRUPE_ppa003822mg PE=4 SV=1</t>
  </si>
  <si>
    <t>Uncharacterized protein OS=Prunus persica GN=PRUPE_ppa023084mg PE=4 SV=1</t>
  </si>
  <si>
    <t>Uncharacterized protein OS=Prunus persica GN=PRUPE_ppa001831mg PE=4 SV=1</t>
  </si>
  <si>
    <t>Uncharacterized protein OS=Prunus persica GN=PRUPE_ppa009683mg PE=4 SV=1</t>
  </si>
  <si>
    <t>Uncharacterized protein OS=Prunus persica GN=PRUPE_ppa008834mg PE=4 SV=1</t>
  </si>
  <si>
    <t>Uncharacterized protein OS=Prunus persica GN=PRUPE_ppa003453mg PE=4 SV=1</t>
  </si>
  <si>
    <t>Uncharacterized protein OS=Prunus persica GN=PRUPE_ppa004010mg PE=4 SV=1</t>
  </si>
  <si>
    <t>Uncharacterized protein OS=Prunus persica GN=PRUPE_ppa006942mg PE=3 SV=1</t>
  </si>
  <si>
    <t>Uncharacterized protein OS=Prunus persica GN=PRUPE_ppa008070mg PE=4 SV=1</t>
  </si>
  <si>
    <t>Uncharacterized protein OS=Prunus persica GN=PRUPE_ppa001993mg PE=4 SV=1</t>
  </si>
  <si>
    <t>Uncharacterized protein OS=Prunus persica GN=PRUPE_ppa023441mg PE=4 SV=1</t>
  </si>
  <si>
    <t>Uncharacterized protein OS=Prunus persica GN=PRUPE_ppa011489mg PE=4 SV=1</t>
  </si>
  <si>
    <t>Uncharacterized protein OS=Prunus persica GN=PRUPE_ppa014786mg PE=4 SV=1</t>
  </si>
  <si>
    <t>Uncharacterized protein OS=Prunus persica GN=PRUPE_ppa017522mg PE=4 SV=1</t>
  </si>
  <si>
    <t>Uncharacterized protein (Fragment) OS=Prunus persica GN=PRUPE_ppa014618mg PE=4 SV=1</t>
  </si>
  <si>
    <t>Uncharacterized protein OS=Prunus persica GN=PRUPE_ppa008640mg PE=4 SV=1</t>
  </si>
  <si>
    <t>Uncharacterized protein OS=Prunus persica GN=PRUPE_ppa005325mg PE=4 SV=1</t>
  </si>
  <si>
    <t>Uncharacterized protein OS=Prunus persica GN=PRUPE_ppa007278mg PE=4 SV=1</t>
  </si>
  <si>
    <t>Uncharacterized protein (Fragment) OS=Prunus persica GN=PRUPE_ppa019289mg PE=4 SV=1</t>
  </si>
  <si>
    <t>Replicase OS=Cherry green ring mottle virus PE=4 SV=1</t>
  </si>
  <si>
    <t>Uncharacterized protein OS=Prunus persica GN=PRUPE_ppa015919mg PE=3 SV=1</t>
  </si>
  <si>
    <t>Histone-lysine N-methyltransferase OS=Prunus persica GN=PRUPE_ppa002185mg PE=4 SV=1</t>
  </si>
  <si>
    <t>Uncharacterized protein OS=Prunus persica GN=PRUPE_ppa017090mg PE=4 SV=1</t>
  </si>
  <si>
    <t>Uncharacterized protein (Fragment) OS=Prunus persica GN=PRUPE_ppa021444mg PE=4 SV=1</t>
  </si>
  <si>
    <t>Uncharacterized protein OS=Phaseolus vulgaris GN=PHAVU_011G045200g PE=3 SV=1</t>
  </si>
  <si>
    <t>Uncharacterized protein OS=Prunus persica GN=PRUPE_ppa026590mg PE=4 SV=1</t>
  </si>
  <si>
    <t>Uncharacterized protein OS=Prunus persica GN=PRUPE_ppa012666mg PE=4 SV=1</t>
  </si>
  <si>
    <t>Replicase P2 OS=Prunus necrotic ringspot virus PE=4 SV=1</t>
  </si>
  <si>
    <t>Uncharacterized protein OS=Prunus persica GN=PRUPE_ppa011768mg PE=4 SV=1</t>
  </si>
  <si>
    <t>Uncharacterized protein OS=Prunus persica GN=PRUPE_ppa012885mg PE=4 SV=1</t>
  </si>
  <si>
    <t>Annexin OS=Prunus persica GN=PRUPE_ppa007879mg PE=3 SV=1</t>
  </si>
  <si>
    <t>Uncharacterized protein OS=Prunus persica GN=PRUPE_ppa002540mg PE=4 SV=1</t>
  </si>
  <si>
    <t>Uncharacterized protein OS=Prunus persica GN=PRUPE_ppa027169mg PE=4 SV=1</t>
  </si>
  <si>
    <t>Uncharacterized protein OS=Prunus persica GN=PRUPE_ppa006605mg PE=4 SV=1</t>
  </si>
  <si>
    <t>Uncharacterized protein OS=Prunus persica GN=PRUPE_ppa006236mg PE=4 SV=1</t>
  </si>
  <si>
    <t>Uncharacterized protein OS=Prunus persica GN=PRUPE_ppa023076mg PE=4 SV=1</t>
  </si>
  <si>
    <t>Uncharacterized protein OS=Prunus persica GN=PRUPE_ppa006089mg PE=4 SV=1</t>
  </si>
  <si>
    <t>Uncharacterized protein OS=Prunus persica GN=PRUPE_ppa025780mg PE=4 SV=1</t>
  </si>
  <si>
    <t>Uncharacterized protein OS=Prunus persica GN=PRUPE_ppa012142mg PE=4 SV=1</t>
  </si>
  <si>
    <t>Uncharacterized protein OS=Prunus persica GN=PRUPE_ppa008346mg PE=4 SV=1</t>
  </si>
  <si>
    <t>Peroxidase OS=Prunus persica GN=PRUPE_ppa008728mg PE=3 SV=1</t>
  </si>
  <si>
    <t>Uncharacterized protein OS=Prunus persica GN=PRUPE_ppa015001mg PE=3 SV=1</t>
  </si>
  <si>
    <t>Uncharacterized protein OS=Prunus persica GN=PRUPE_ppa017997mg PE=4 SV=1</t>
  </si>
  <si>
    <t>Uncharacterized protein OS=Prunus persica GN=PRUPE_ppa003760mg PE=4 SV=1</t>
  </si>
  <si>
    <t>Uncharacterized protein OS=Prunus persica GN=PRUPE_ppa009131mg PE=4 SV=1</t>
  </si>
  <si>
    <t>Uncharacterized protein OS=Prunus persica GN=PRUPE_ppa007713mg PE=4 SV=1</t>
  </si>
  <si>
    <t>Uncharacterized protein OS=Prunus persica GN=PRUPE_ppa010623mg PE=4 SV=1</t>
  </si>
  <si>
    <t>Uncharacterized protein (Fragment) OS=Prunus persica GN=PRUPE_ppa019222mg PE=4 SV=1</t>
  </si>
  <si>
    <t>Uncharacterized protein (Fragment) OS=Prunus persica GN=PRUPE_ppa017260mg PE=4 SV=1</t>
  </si>
  <si>
    <t>Uncharacterized protein OS=Prunus persica GN=PRUPE_ppa011714mg PE=4 SV=1</t>
  </si>
  <si>
    <t>Uncharacterized protein OS=Prunus persica GN=PRUPE_ppa005962mg PE=4 SV=1</t>
  </si>
  <si>
    <t>Uncharacterized protein OS=Prunus persica GN=PRUPE_ppa006622mg PE=4 SV=1</t>
  </si>
  <si>
    <t>Uncharacterized protein OS=Prunus persica GN=PRUPE_ppa1027165mg PE=4 SV=1</t>
  </si>
  <si>
    <t>Uncharacterized protein OS=Prunus persica GN=PRUPE_ppa020003mg PE=4 SV=1</t>
  </si>
  <si>
    <t>Uncharacterized protein OS=Prunus persica GN=PRUPE_ppa003334mg PE=4 SV=1</t>
  </si>
  <si>
    <t>Uncharacterized protein OS=Prunus persica GN=PRUPE_ppa012366mg PE=4 SV=1</t>
  </si>
  <si>
    <t>Uncharacterized protein OS=Prunus persica GN=PRUPE_ppa020531mg PE=4 SV=1</t>
  </si>
  <si>
    <t>SOC1 OS=Prunus salicina PE=2 SV=1</t>
  </si>
  <si>
    <t>Uncharacterized protein OS=Prunus persica GN=PRUPE_ppa007301mg PE=4 SV=1</t>
  </si>
  <si>
    <t>Uncharacterized protein OS=Prunus persica GN=PRUPE_ppa002143mg PE=3 SV=1</t>
  </si>
  <si>
    <t>Uncharacterized protein (Fragment) OS=Prunus persica GN=PRUPE_ppa022322m1g PE=4 SV=1</t>
  </si>
  <si>
    <t>Uncharacterized protein OS=Prunus persica GN=PRUPE_ppa012560mg PE=4 SV=1</t>
  </si>
  <si>
    <t>Uncharacterized protein OS=Prunus persica GN=PRUPE_ppa009973mg PE=4 SV=1</t>
  </si>
  <si>
    <t>Uncharacterized protein OS=Prunus persica GN=PRUPE_ppa005802mg PE=4 SV=1</t>
  </si>
  <si>
    <t>Uncharacterized protein OS=Prunus persica GN=PRUPE_ppa026117mg PE=3 SV=1</t>
  </si>
  <si>
    <t>Uncharacterized protein OS=Prunus persica GN=PRUPE_ppa023079mg PE=3 SV=1</t>
  </si>
  <si>
    <t>Predicted protein OS=Nectria haematococca (strain 77-13-4 / ATCC MYA-4622 / FGSC 9596 / MPVI) GN=NECHADRAFT_37886 PE=4 SV=1</t>
  </si>
  <si>
    <t>Uncharacterized protein (Fragment) OS=Prunus persica GN=PRUPE_ppa018463mg PE=4 SV=1</t>
  </si>
  <si>
    <t>Uncharacterized protein OS=Prunus persica GN=PRUPE_ppa023582mg PE=4 SV=1</t>
  </si>
  <si>
    <t>Lipase OS=Prunus persica GN=PRUPE_ppa025611mg PE=3 SV=1</t>
  </si>
  <si>
    <t>Diacylglycerol kinase OS=Prunus persica GN=PRUPE_ppa004883mg PE=3 SV=1</t>
  </si>
  <si>
    <t>Uncharacterized protein OS=Prunus persica GN=PRUPE_ppa023236mg PE=4 SV=1</t>
  </si>
  <si>
    <t>Uncharacterized protein OS=Prunus persica GN=PRUPE_ppa013136mg PE=4 SV=1</t>
  </si>
  <si>
    <t>Uncharacterized protein OS=Prunus persica GN=PRUPE_ppa001828mg PE=4 SV=1</t>
  </si>
  <si>
    <t>Uncharacterized protein OS=Prunus persica GN=PRUPE_ppa012522mg PE=4 SV=1</t>
  </si>
  <si>
    <t>Dolichyl-diphosphooligosaccharide--protein glycosyltransferase subunit 1 OS=Prunus persica GN=PRUPE_ppa002999mg PE=3 SV=1</t>
  </si>
  <si>
    <t>Uncharacterized protein OS=Prunus persica GN=PRUPE_ppa023201mg PE=4 SV=1</t>
  </si>
  <si>
    <t>Uncharacterized protein OS=Oryza barthii PE=3 SV=1</t>
  </si>
  <si>
    <t>Uncharacterized protein OS=Prunus persica GN=PRUPE_ppa009185mg PE=4 SV=1</t>
  </si>
  <si>
    <t>Uncharacterized protein OS=Prunus persica GN=PRUPE_ppa000337mg PE=4 SV=1</t>
  </si>
  <si>
    <t>Uncharacterized protein OS=Prunus persica GN=PRUPE_ppa001409mg PE=3 SV=1</t>
  </si>
  <si>
    <t>Malic enzyme OS=Prunus persica GN=PRUPE_ppa002842mg PE=3 SV=1</t>
  </si>
  <si>
    <t>Uncharacterized protein OS=Prunus persica GN=PRUPE_ppa001213mg PE=4 SV=1</t>
  </si>
  <si>
    <t>Uncharacterized protein OS=Prunus persica GN=PRUPE_ppa001896mg PE=4 SV=1</t>
  </si>
  <si>
    <t>Uncharacterized protein OS=Prunus persica GN=PRUPE_ppa006056mg PE=4 SV=1</t>
  </si>
  <si>
    <t>Uncharacterized protein OS=Prunus persica GN=PRUPE_ppa011406mg PE=4 SV=1</t>
  </si>
  <si>
    <t>Uncharacterized protein OS=Prunus persica GN=PRUPE_ppa001132mg PE=4 SV=1</t>
  </si>
  <si>
    <t>Uncharacterized protein OS=Prunus persica GN=PRUPE_ppa008575mg PE=4 SV=1</t>
  </si>
  <si>
    <t>Uncharacterized protein OS=Prunus persica GN=PRUPE_ppa011199mg PE=4 SV=1</t>
  </si>
  <si>
    <t>Uncharacterized protein OS=Prunus persica GN=PRUPE_ppa006017mg PE=4 SV=1</t>
  </si>
  <si>
    <t>Uncharacterized protein OS=Prunus persica GN=PRUPE_ppa015195mg PE=4 SV=1</t>
  </si>
  <si>
    <t>Uncharacterized protein (Fragment) OS=Prunus persica GN=PRUPE_ppa025624mg PE=4 SV=1</t>
  </si>
  <si>
    <t>Uncharacterized protein OS=Prunus persica GN=PRUPE_ppa009835mg PE=4 SV=1</t>
  </si>
  <si>
    <t>Uncharacterized protein OS=Prunus persica GN=PRUPE_ppa011852mg PE=3 SV=1</t>
  </si>
  <si>
    <t>Uncharacterized protein OS=Prunus persica GN=PRUPE_ppa007174mg PE=4 SV=1</t>
  </si>
  <si>
    <t>Uncharacterized protein OS=Prunus persica GN=PRUPE_ppa012938mg PE=4 SV=1</t>
  </si>
  <si>
    <t>Uncharacterized protein OS=Prunus persica GN=PRUPE_ppa000433mg PE=4 SV=1</t>
  </si>
  <si>
    <t>Uncharacterized protein OS=Prunus persica GN=PRUPE_ppa008087mg PE=3 SV=1</t>
  </si>
  <si>
    <t>Uncharacterized protein OS=Prunus persica GN=PRUPE_ppa011008mg PE=4 SV=1</t>
  </si>
  <si>
    <t>Uncharacterized protein OS=Prunus persica GN=PRUPE_ppa005028mg PE=3 SV=1</t>
  </si>
  <si>
    <t>Uncharacterized protein OS=Prunus persica GN=PRUPE_ppa001433mg PE=3 SV=1</t>
  </si>
  <si>
    <t>Uncharacterized protein OS=Prunus persica GN=PRUPE_ppa004469mg PE=4 SV=1</t>
  </si>
  <si>
    <t>Uncharacterized protein OS=Prunus persica GN=PRUPE_ppa005687mg PE=4 SV=1</t>
  </si>
  <si>
    <t>Uncharacterized protein OS=Prunus persica GN=PRUPE_ppa013668mg PE=4 SV=1</t>
  </si>
  <si>
    <t>Uncharacterized protein OS=Gossypium raimondii GN=B456_008G097900 PE=4 SV=1</t>
  </si>
  <si>
    <t>Uncharacterized protein OS=Prunus persica GN=PRUPE_ppa017220mg PE=3 SV=1</t>
  </si>
  <si>
    <t>Uncharacterized protein OS=Prunus persica GN=PRUPE_ppa000381mg PE=4 SV=1</t>
  </si>
  <si>
    <t>Uncharacterized protein OS=Prunus persica GN=PRUPE_ppa002400mg PE=3 SV=1</t>
  </si>
  <si>
    <t>Uncharacterized protein OS=Prunus persica GN=PRUPE_ppa018599mg PE=4 SV=1</t>
  </si>
  <si>
    <t>Uncharacterized protein OS=Prunus persica GN=PRUPE_ppa007386mg PE=4 SV=1</t>
  </si>
  <si>
    <t>Uncharacterized protein OS=Prunus persica GN=PRUPE_ppa002733mg PE=3 SV=1</t>
  </si>
  <si>
    <t>Uncharacterized protein OS=Prunus persica GN=PRUPE_ppa008597mg PE=4 SV=1</t>
  </si>
  <si>
    <t>Uncharacterized protein OS=Prunus persica GN=PRUPE_ppa006164mg PE=4 SV=1</t>
  </si>
  <si>
    <t>Transferase family protein OS=Populus trichocarpa GN=POPTR_0010s06410g PE=4 SV=1</t>
  </si>
  <si>
    <t>Uncharacterized protein OS=Prunus persica GN=PRUPE_ppa1027127mg PE=4 SV=1</t>
  </si>
  <si>
    <t>Uncharacterized protein OS=Prunus persica GN=PRUPE_ppa007364mg PE=4 SV=1</t>
  </si>
  <si>
    <t>Putative serine/threonine-protein kinase OS=Morus notabilis GN=L484_015462 PE=3 SV=1</t>
  </si>
  <si>
    <t>Glycerol-3-phosphate dehydrogenase [NAD(+)] OS=Prunus persica GN=PRUPE_ppa005150mg PE=3 SV=1</t>
  </si>
  <si>
    <t>Alpha-1,4 glucan phosphorylase OS=Prunus persica GN=PRUPE_ppa000587mg PE=3 SV=1</t>
  </si>
  <si>
    <t>Uncharacterized protein OS=Prunus persica GN=PRUPE_ppa006957mg PE=4 SV=1</t>
  </si>
  <si>
    <t>Uncharacterized protein OS=Prunus persica GN=PRUPE_ppa003797mg PE=4 SV=1</t>
  </si>
  <si>
    <t>Uncharacterized protein OS=Prunus persica GN=PRUPE_ppa018059mg PE=4 SV=1</t>
  </si>
  <si>
    <t>Uncharacterized protein (Fragment) OS=Metarhizium anisopliae BRIP 53293 GN=H634G_00213 PE=3 SV=1</t>
  </si>
  <si>
    <t>Photosystem I assembly protein Ycf4 OS=Prunus serrulata var. spontanea GN=ycf4 PE=3 SV=1</t>
  </si>
  <si>
    <t>Uncharacterized protein OS=Prunus persica GN=PRUPE_ppa004788mg PE=4 SV=1</t>
  </si>
  <si>
    <t>L-galactose-1-phosphate phosphatase OS=Prunus persica GN=GPP PE=2 SV=1</t>
  </si>
  <si>
    <t>Uncharacterized protein OS=Prunus persica GN=PRUPE_ppa027143mg PE=3 SV=1</t>
  </si>
  <si>
    <t>Uncharacterized protein OS=Prunus persica GN=PRUPE_ppa007899mg PE=4 SV=1</t>
  </si>
  <si>
    <t>Uncharacterized protein OS=Prunus persica GN=PRUPE_ppa008587mg PE=4 SV=1</t>
  </si>
  <si>
    <t>Uncharacterized protein OS=Prunus persica GN=PRUPE_ppa013204mg PE=4 SV=1</t>
  </si>
  <si>
    <t>Uncharacterized protein (Fragment) OS=Prunus persica GN=PRUPE_ppa026026mg PE=4 SV=1</t>
  </si>
  <si>
    <t>Uncharacterized protein OS=Prunus persica GN=PRUPE_ppa006266mg PE=4 SV=1</t>
  </si>
  <si>
    <t>Uncharacterized protein OS=Prunus persica GN=PRUPE_ppa010897mg PE=4 SV=1</t>
  </si>
  <si>
    <t>Uncharacterized protein OS=Prunus persica GN=PRUPE_ppa010612mg PE=4 SV=1</t>
  </si>
  <si>
    <t>Uncharacterized protein OS=Prunus persica GN=PRUPE_ppa006190mg PE=4 SV=1</t>
  </si>
  <si>
    <t>Uncharacterized protein OS=Prunus persica GN=PRUPE_ppa005429mg PE=4 SV=1</t>
  </si>
  <si>
    <t>Uncharacterized protein (Fragment) OS=Prunus persica GN=PRUPE_ppa017818mg PE=4 SV=1</t>
  </si>
  <si>
    <t>Uncharacterized protein (Fragment) OS=Prunus persica GN=PRUPE_ppa022242mg PE=4 SV=1</t>
  </si>
  <si>
    <t>Uncharacterized protein OS=Prunus persica GN=PRUPE_ppa006480mg PE=4 SV=1</t>
  </si>
  <si>
    <t>Ketol-acid reductoisomerase OS=Prunus persica GN=PRUPE_ppa003271mg PE=3 SV=1</t>
  </si>
  <si>
    <t>Uncharacterized protein OS=Prunus persica GN=PRUPE_ppa001741mg PE=4 SV=1</t>
  </si>
  <si>
    <t>Uncharacterized protein OS=Prunus persica GN=PRUPE_ppa007921mg PE=4 SV=1</t>
  </si>
  <si>
    <t>Uncharacterized protein OS=Prunus persica GN=PRUPE_ppa007805mg PE=4 SV=1</t>
  </si>
  <si>
    <t>Putative uncharacterized protein OS=Vitis vinifera GN=VIT_04s0008g06890 PE=4 SV=1</t>
  </si>
  <si>
    <t>Uncharacterized protein OS=Prunus persica GN=PRUPE_ppb005202mg PE=4 SV=1</t>
  </si>
  <si>
    <t>NADPH--cytochrome P450 reductase OS=Prunus persica GN=PRUPE_ppa002280mg PE=3 SV=1</t>
  </si>
  <si>
    <t>Carbonic anhydrase OS=Prunus persica GN=PRUPE_ppa008289mg PE=3 SV=1</t>
  </si>
  <si>
    <t>Uncharacterized protein OS=Prunus persica GN=PRUPE_ppa003277mg PE=4 SV=1</t>
  </si>
  <si>
    <t>Uncharacterized protein (Fragment) OS=Prunus persica GN=PRUPE_ppa008864m1g PE=4 SV=1</t>
  </si>
  <si>
    <t>Uncharacterized protein OS=Prunus persica GN=PRUPE_ppa006157mg PE=4 SV=1</t>
  </si>
  <si>
    <t>Uncharacterized protein OS=Prunus persica GN=PRUPE_ppa006409mg PE=3 SV=1</t>
  </si>
  <si>
    <t>Uncharacterized protein OS=Prunus persica GN=PRUPE_ppa008711mg PE=4 SV=1</t>
  </si>
  <si>
    <t>Uncharacterized protein OS=Prunus persica GN=PRUPE_ppa012213mg PE=4 SV=1</t>
  </si>
  <si>
    <t>Uncharacterized protein OS=Prunus persica GN=PRUPE_ppa003606mg PE=3 SV=1</t>
  </si>
  <si>
    <t>R2R3-MYB transcription factor OS=Prunus avium GN=MYBR PE=2 SV=1</t>
  </si>
  <si>
    <t>Uncharacterized protein OS=Citrus clementina GN=CICLE_v10009806mg PE=3 SV=1</t>
  </si>
  <si>
    <t>Superoxide dismutase 1 copper chaperone OS=Gossypium arboreum GN=F383_18984 PE=4 SV=1</t>
  </si>
  <si>
    <t>Histone H3.3 type 2 OS=Culex quinquefasciatus GN=CpipJ_CPIJ015009 PE=4 SV=1</t>
  </si>
  <si>
    <t>Uncharacterized protein OS=Prunus persica GN=PRUPE_ppa017989mg PE=4 SV=1</t>
  </si>
  <si>
    <t>Uncharacterized protein OS=Prunus persica GN=PRUPE_ppa022895mg PE=4 SV=1</t>
  </si>
  <si>
    <t>Uncharacterized protein OS=Prunus persica GN=PRUPE_ppa012501mg PE=4 SV=1</t>
  </si>
  <si>
    <t>WD protein AN11 homolog OS=Rosa hybrid cultivar PE=2 SV=1</t>
  </si>
  <si>
    <t>Uncharacterized protein OS=Prunus persica GN=PRUPE_ppb008932mg PE=4 SV=1</t>
  </si>
  <si>
    <t>Uncharacterized protein (Fragment) OS=Prunus persica GN=PRUPE_ppa019154mg PE=4 SV=1</t>
  </si>
  <si>
    <t>Histone H4 OS=Triticum aestivum PE=3 SV=1</t>
  </si>
  <si>
    <t>Coatomer subunit gamma OS=Prunus persica GN=PRUPE_ppa001186mg PE=3 SV=1</t>
  </si>
  <si>
    <t>Uncharacterized protein (Fragment) OS=Prunus persica GN=PRUPE_ppa025166mg PE=3 SV=1</t>
  </si>
  <si>
    <t>Uncharacterized protein OS=Prunus persica GN=PRUPE_ppa025363mg PE=4 SV=1</t>
  </si>
  <si>
    <t>Uncharacterized protein OS=Prunus persica GN=PRUPE_ppa011836mg PE=4 SV=1</t>
  </si>
  <si>
    <t>Uncharacterized protein OS=Saitoella complicata NRRL Y-17804 GN=G7K_2323-t1 PE=3 SV=1</t>
  </si>
  <si>
    <t>Uncharacterized protein OS=Prunus persica GN=PRUPE_ppa012918mg PE=4 SV=1</t>
  </si>
  <si>
    <t>Uncharacterized protein OS=Prunus persica GN=PRUPE_ppa010495mg PE=4 SV=1</t>
  </si>
  <si>
    <t>Uncharacterized protein OS=Prunus persica GN=PRUPE_ppa008639mg PE=4 SV=1</t>
  </si>
  <si>
    <t>Uncharacterized protein OS=Prunus persica GN=PRUPE_ppa008452mg PE=3 SV=1</t>
  </si>
  <si>
    <t>Uncharacterized protein (Fragment) OS=Prunus persica GN=PRUPE_ppa015708mg PE=4 SV=1</t>
  </si>
  <si>
    <t>Uncharacterized protein OS=Prunus persica GN=PRUPE_ppa012615mg PE=4 SV=1</t>
  </si>
  <si>
    <t>Uncharacterized protein OS=Prunus persica GN=PRUPE_ppa026502mg PE=4 SV=1</t>
  </si>
  <si>
    <t>Uncharacterized protein OS=Prunus persica GN=PRUPE_ppa003513mg PE=4 SV=1</t>
  </si>
  <si>
    <t>Succinate dehydrogenase [ubiquinone] flavoprotein subunit, mitochondrial OS=Prunus persica GN=PRUPE_ppa002787mg PE=3 SV=1</t>
  </si>
  <si>
    <t>Uncharacterized protein OS=Prunus persica GN=PRUPE_ppa027173mg PE=4 SV=1</t>
  </si>
  <si>
    <t>Uncharacterized protein (Fragment) OS=Prunus persica GN=PRUPE_ppa020238mg PE=4 SV=1</t>
  </si>
  <si>
    <t>Uncharacterized protein OS=Prunus persica GN=PRUPE_ppa017272mg PE=3 SV=1</t>
  </si>
  <si>
    <t>Pyruvate kinase OS=Prunus persica GN=PRUPE_ppa003382mg PE=3 SV=1</t>
  </si>
  <si>
    <t>Uncharacterized protein OS=Prunus persica GN=PRUPE_ppa008072mg PE=4 SV=1</t>
  </si>
  <si>
    <t>Uncharacterized protein (Fragment) OS=Prunus persica GN=PRUPE_ppa020331mg PE=4 SV=1</t>
  </si>
  <si>
    <t>Uncharacterized protein OS=Prunus persica GN=PRUPE_ppa001895mg PE=3 SV=1</t>
  </si>
  <si>
    <t>Uncharacterized protein OS=Prunus persica GN=PRUPE_ppa013571mg PE=4 SV=1</t>
  </si>
  <si>
    <t>Uncharacterized protein (Fragment) OS=Prunus persica GN=PRUPE_ppa022058mg PE=4 SV=1</t>
  </si>
  <si>
    <t>Uncharacterized protein OS=Prunus persica GN=PRUPE_ppa016051mg PE=4 SV=1</t>
  </si>
  <si>
    <t>Uncharacterized protein OS=Prunus persica GN=PRUPE_ppa007273mg PE=4 SV=1</t>
  </si>
  <si>
    <t>Uncharacterized protein OS=Prunus persica GN=PRUPE_ppa009517mg PE=4 SV=1</t>
  </si>
  <si>
    <t>Uncharacterized protein OS=Prunus persica GN=PRUPE_ppa011689mg PE=4 SV=1</t>
  </si>
  <si>
    <t>Uncharacterized protein OS=Prunus persica GN=PRUPE_ppa009929mg PE=4 SV=1</t>
  </si>
  <si>
    <t>Uncharacterized protein OS=Prunus persica GN=PRUPE_ppa001506mg PE=4 SV=1</t>
  </si>
  <si>
    <t>Uncharacterized protein OS=Prunus persica GN=PRUPE_ppa020560mg PE=4 SV=1</t>
  </si>
  <si>
    <t>Uncharacterized protein OS=Prunus persica GN=PRUPE_ppa008249mg PE=4 SV=1</t>
  </si>
  <si>
    <t>Uncharacterized protein OS=Prunus persica GN=PRUPE_ppa007204mg PE=4 SV=1</t>
  </si>
  <si>
    <t>Uncharacterized protein OS=Prunus persica GN=PRUPE_ppa009156mg PE=4 SV=1</t>
  </si>
  <si>
    <t>Uncharacterized protein OS=Prunus persica GN=PRUPE_ppa015993mg PE=4 SV=1</t>
  </si>
  <si>
    <t>Uncharacterized protein OS=Citrus clementina GN=CICLE_v10000110mg PE=4 SV=1</t>
  </si>
  <si>
    <t>Uncharacterized protein OS=Prunus persica GN=PRUPE_ppa006619mg PE=4 SV=1</t>
  </si>
  <si>
    <t>Uncharacterized protein OS=Prunus persica GN=PRUPE_ppa002672mg PE=3 SV=1</t>
  </si>
  <si>
    <t>Uncharacterized protein OS=Prunus persica GN=PRUPE_ppa007817mg PE=4 SV=1</t>
  </si>
  <si>
    <t>Uncharacterized protein OS=Prunus persica GN=PRUPE_ppa002005mg PE=4 SV=1</t>
  </si>
  <si>
    <t>Uncharacterized protein OS=Prunus persica GN=PRUPE_ppa004607mg PE=4 SV=1</t>
  </si>
  <si>
    <t>Uncharacterized protein OS=Prunus persica GN=PRUPE_ppa000441mg PE=4 SV=1</t>
  </si>
  <si>
    <t>Uncharacterized protein OS=Prunus persica GN=PRUPE_ppa006969mg PE=4 SV=1</t>
  </si>
  <si>
    <t>Uncharacterized protein OS=Prunus persica GN=PRUPE_ppa006240mg PE=4 SV=1</t>
  </si>
  <si>
    <t>Uncharacterized protein OS=Prunus persica GN=PRUPE_ppa011791mg PE=3 SV=1</t>
  </si>
  <si>
    <t>Uncharacterized protein OS=Prunus persica GN=PRUPE_ppa011920mg PE=4 SV=1</t>
  </si>
  <si>
    <t>Uncharacterized protein OS=Prunus persica GN=PRUPE_ppa001743mg PE=4 SV=1</t>
  </si>
  <si>
    <t>Uncharacterized protein OS=Prunus persica GN=PRUPE_ppa011005mg PE=4 SV=1</t>
  </si>
  <si>
    <t>BHLH3 OS=Prunus persica GN=bHLH3 PE=2 SV=1</t>
  </si>
  <si>
    <t>Uncharacterized protein OS=Prunus persica GN=PRUPE_ppa008318mg PE=4 SV=1</t>
  </si>
  <si>
    <t>Uncharacterized protein OS=Prunus persica GN=PRUPE_ppa017401mg PE=3 SV=1</t>
  </si>
  <si>
    <t>Uncharacterized protein OS=Prunus persica GN=PRUPE_ppa004083mg PE=3 SV=1</t>
  </si>
  <si>
    <t>Uncharacterized protein OS=Prunus persica GN=PRUPE_ppa001456mg PE=4 SV=1</t>
  </si>
  <si>
    <t>Uncharacterized protein OS=Prunus persica GN=PRUPE_ppa1027173mg PE=4 SV=1</t>
  </si>
  <si>
    <t>Uncharacterized protein OS=Prunus persica GN=PRUPE_ppa026431mg PE=4 SV=1</t>
  </si>
  <si>
    <t>Uncharacterized protein OS=Prunus persica GN=PRUPE_ppa014731mg PE=4 SV=1</t>
  </si>
  <si>
    <t>Uncharacterized protein OS=Prunus persica GN=PRUPE_ppa026315mg PE=4 SV=1</t>
  </si>
  <si>
    <t>NADH dehydrogenase subunit 2 OS=Asclepias syriaca GN=nad2 PE=3 SV=1</t>
  </si>
  <si>
    <t>Condensin complex subunit 2, putative isoform 4 OS=Theobroma cacao GN=TCM_030821 PE=4 SV=1</t>
  </si>
  <si>
    <t>Uncharacterized protein OS=Prunus persica GN=PRUPE_ppa016436mg PE=4 SV=1</t>
  </si>
  <si>
    <t>Uncharacterized protein OS=Prunus persica GN=PRUPE_ppa017747mg PE=4 SV=1</t>
  </si>
  <si>
    <t>Uncharacterized protein OS=Prunus persica GN=PRUPE_ppa004295mg PE=4 SV=1</t>
  </si>
  <si>
    <t>Uncharacterized protein (Fragment) OS=Prunus persica GN=PRUPE_ppa026970mg PE=4 SV=1</t>
  </si>
  <si>
    <t>Uncharacterized protein OS=Prunus persica GN=PRUPE_ppa013537mg PE=4 SV=1</t>
  </si>
  <si>
    <t>Uncharacterized protein OS=Prunus persica GN=PRUPE_ppa006202mg PE=4 SV=1</t>
  </si>
  <si>
    <t>Uncharacterized protein OS=Prunus persica GN=PRUPE_ppa005878mg PE=4 SV=1</t>
  </si>
  <si>
    <t>Uncharacterized protein OS=Prunus persica GN=PRUPE_ppa011594mg PE=4 SV=1</t>
  </si>
  <si>
    <t>Uncharacterized protein OS=Prunus persica GN=PRUPE_ppa005124mg PE=4 SV=1</t>
  </si>
  <si>
    <t>Uncharacterized protein OS=Prunus persica GN=PRUPE_ppa002000mg PE=4 SV=1</t>
  </si>
  <si>
    <t>Uncharacterized protein OS=Prunus persica GN=PRUPE_ppa004927mg PE=4 SV=1</t>
  </si>
  <si>
    <t>Uncharacterized protein OS=Prunus persica GN=PRUPE_ppa004185mg PE=4 SV=1</t>
  </si>
  <si>
    <t>Uncharacterized protein OS=Prunus persica GN=PRUPE_ppa000157mg PE=4 SV=1</t>
  </si>
  <si>
    <t>Uncharacterized protein OS=Prunus persica GN=PRUPE_ppa007993mg PE=4 SV=1</t>
  </si>
  <si>
    <t>Uncharacterized protein OS=Prunus persica GN=PRUPE_ppa021099mg PE=4 SV=1</t>
  </si>
  <si>
    <t>Uncharacterized protein OS=Prunus persica GN=PRUPE_ppa026142mg PE=4 SV=1</t>
  </si>
  <si>
    <t>UB-like protease 1D OS=Theobroma cacao GN=TCM_010311 PE=4 SV=1</t>
  </si>
  <si>
    <t>Uncharacterized protein OS=Prunus persica GN=PRUPE_ppa008355mg PE=4 SV=1</t>
  </si>
  <si>
    <t>Uncharacterized protein OS=Prunus persica GN=PRUPE_ppa008502mg PE=4 SV=1</t>
  </si>
  <si>
    <t>Uncharacterized protein OS=Prunus persica GN=PRUPE_ppa002127mg PE=4 SV=1</t>
  </si>
  <si>
    <t>Uncharacterized protein OS=Prunus persica GN=PRUPE_ppa002843mg PE=4 SV=1</t>
  </si>
  <si>
    <t>Terpene cyclase/mutase family member OS=Prunus persica GN=PRUPE_ppa001810mg PE=3 SV=1</t>
  </si>
  <si>
    <t>Uncharacterized protein OS=Prunus persica GN=PRUPE_ppa018518mg PE=4 SV=1</t>
  </si>
  <si>
    <t>6-phosphogluconate dehydrogenase, decarboxylating OS=Prunus persica GN=PRUPE_ppa005270mg PE=3 SV=1</t>
  </si>
  <si>
    <t>Uncharacterized protein OS=Prunus persica GN=PRUPE_ppa010229mg PE=4 SV=1</t>
  </si>
  <si>
    <t>Accelerated cell death 11 (Fragment) OS=Prunus persica PE=2 SV=1</t>
  </si>
  <si>
    <t>Uncharacterized protein OS=Prunus persica GN=PRUPE_ppa009974mg PE=4 SV=1</t>
  </si>
  <si>
    <t>RING finger and CHY zinc finger domain-containing protein 1 OS=Morus notabilis GN=L484_022575 PE=4 SV=1</t>
  </si>
  <si>
    <t>Uncharacterized protein OS=Prunus persica GN=PRUPE_ppa021045mg PE=4 SV=1</t>
  </si>
  <si>
    <t>Uncharacterized protein (Fragment) OS=Prunus persica GN=PRUPE_ppa023197mg PE=4 SV=1</t>
  </si>
  <si>
    <t>Uncharacterized protein OS=Prunus persica GN=PRUPE_ppa008941mg PE=4 SV=1</t>
  </si>
  <si>
    <t>Uncharacterized protein OS=Prunus persica GN=PRUPE_ppa009164mg PE=4 SV=1</t>
  </si>
  <si>
    <t>Ferredoxin--NADP reductase OS=Prunus persica GN=PRUPE_ppa007547mg PE=3 SV=1</t>
  </si>
  <si>
    <t>Uncharacterized protein OS=Petunia integrifolia subsp. inflata GN=15.PETUNIA.8 PE=4 SV=1</t>
  </si>
  <si>
    <t>Uncharacterized protein OS=Gossypium raimondii GN=B456_005G155200 PE=4 SV=1</t>
  </si>
  <si>
    <t>Uncharacterized protein OS=Prunus persica GN=PRUPE_ppa004911mg PE=3 SV=1</t>
  </si>
  <si>
    <t>Putative uncharacterized protein OS=Vitis vinifera GN=VITISV_037041 PE=4 SV=1</t>
  </si>
  <si>
    <t>Uncharacterized protein OS=Prunus persica GN=PRUPE_ppa004876mg PE=4 SV=1</t>
  </si>
  <si>
    <t>Uncharacterized protein OS=Prunus persica GN=PRUPE_ppa002635mg PE=4 SV=1</t>
  </si>
  <si>
    <t>Polygalacturonase inhibiting protein OS=Prunus persica GN=PGIP PE=2 SV=1</t>
  </si>
  <si>
    <t>Zinc ion binding,nucleic acid binding,hydrolases, acting on acid anhydrides, in phosphorus-containing anhydrides isoform 5 OS=Theobroma cacao GN=TCM_020135 PE=4 SV=1</t>
  </si>
  <si>
    <t>Jasmonate-zim-domain protein 12, putative isoform 1 OS=Theobroma cacao GN=TCM_006179 PE=4 SV=1</t>
  </si>
  <si>
    <t>Uncharacterized protein (Fragment) OS=Genlisea aurea GN=M569_00269 PE=3 SV=1</t>
  </si>
  <si>
    <t>Uncharacterized protein OS=Prunus persica GN=PRUPE_ppa007499mg PE=4 SV=1</t>
  </si>
  <si>
    <t>Uncharacterized protein OS=Prunus persica GN=PRUPE_ppa013797mg PE=4 SV=1</t>
  </si>
  <si>
    <t>Uncharacterized protein (Fragment) OS=Prunus persica GN=PRUPE_ppa024470mg PE=4 SV=1</t>
  </si>
  <si>
    <t>Uncharacterized protein OS=Prunus persica GN=PRUPE_ppa013849mg PE=4 SV=1</t>
  </si>
  <si>
    <t>Uncharacterized protein OS=Prunus persica GN=PRUPE_ppa011746mg PE=4 SV=1</t>
  </si>
  <si>
    <t>Uncharacterized protein OS=Prunus persica GN=PRUPE_ppa014148mg PE=4 SV=1</t>
  </si>
  <si>
    <t>Uncharacterized protein OS=Prunus persica GN=PRUPE_ppa012919mg PE=4 SV=1</t>
  </si>
  <si>
    <t>Uncharacterized protein OS=Prunus persica GN=PRUPE_ppa007363mg PE=4 SV=1</t>
  </si>
  <si>
    <t>Uncharacterized protein (Fragment) OS=Prunus persica GN=PRUPE_ppa015750mg PE=4 SV=1</t>
  </si>
  <si>
    <t>Uncharacterized protein OS=Prunus persica GN=PRUPE_ppa009659mg PE=4 SV=1</t>
  </si>
  <si>
    <t>Uncharacterized protein OS=Prunus persica GN=PRUPE_ppa005931mg PE=4 SV=1</t>
  </si>
  <si>
    <t>Plastid DNA-binding protein (Fragment) OS=Prunus yedoensis GN=PEND PE=4 SV=1</t>
  </si>
  <si>
    <t>Uncharacterized protein OS=Prunus persica GN=PRUPE_ppa004384mg PE=4 SV=1</t>
  </si>
  <si>
    <t>Uncharacterized protein OS=Prunus persica GN=PRUPE_ppa001922mg PE=4 SV=1</t>
  </si>
  <si>
    <t>Uncharacterized protein OS=Prunus persica GN=PRUPE_ppa020942mg PE=4 SV=1</t>
  </si>
  <si>
    <t>Uncharacterized protein OS=Prunus persica GN=PRUPE_ppa011582mg PE=4 SV=1</t>
  </si>
  <si>
    <t>Uncharacterized protein OS=Prunus persica GN=PRUPE_ppa012691mg PE=3 SV=1</t>
  </si>
  <si>
    <t>Putative beta-alanine-pyruvate aminotransferase OS=Prunus persica GN=PRUPE_ppa005092mg PE=2 SV=1</t>
  </si>
  <si>
    <t>Uncharacterized protein OS=Gossypium raimondii GN=B456_004G154800 PE=4 SV=1</t>
  </si>
  <si>
    <t>Uncharacterized protein OS=Prunus persica GN=PRUPE_ppa012480mg PE=4 SV=1</t>
  </si>
  <si>
    <t>Uncharacterized protein (Fragment) OS=Prunus persica GN=PRUPE_ppa025983mg PE=4 SV=1</t>
  </si>
  <si>
    <t>3-oxoacyl-[acyl-carrier-protein] synthase OS=Prunus persica GN=PRUPE_ppa020225mg PE=3 SV=1</t>
  </si>
  <si>
    <t>Uncharacterized protein OS=Prunus persica GN=PRUPE_ppa011754mg PE=4 SV=1</t>
  </si>
  <si>
    <t>Uncharacterized protein OS=Prunus persica GN=PRUPE_ppa002147mg PE=3 SV=1</t>
  </si>
  <si>
    <t>Uncharacterized protein OS=Prunus persica GN=PRUPE_ppa011422mg PE=4 SV=1</t>
  </si>
  <si>
    <t>Uncharacterized protein OS=Prunus persica GN=PRUPE_ppa007039mg PE=3 SV=1</t>
  </si>
  <si>
    <t>Uncharacterized protein OS=Prunus persica GN=PRUPE_ppa022342mg PE=4 SV=1</t>
  </si>
  <si>
    <t>Uncharacterized protein OS=Prunus persica GN=PRUPE_ppa006193mg PE=4 SV=1</t>
  </si>
  <si>
    <t>Uncharacterized protein OS=Prunus persica GN=PRUPE_ppa025647mg PE=4 SV=1</t>
  </si>
  <si>
    <t>Uncharacterized protein OS=Prunus persica GN=PRUPE_ppa016640mg PE=4 SV=1</t>
  </si>
  <si>
    <t>Uncharacterized protein OS=Prunus persica GN=PRUPE_ppa003048mg PE=4 SV=1</t>
  </si>
  <si>
    <t>Uncharacterized protein OS=Prunus persica GN=PRUPE_ppa018097mg PE=4 SV=1</t>
  </si>
  <si>
    <t>Uncharacterized protein OS=Prunus persica GN=PRUPE_ppa007775mg PE=3 SV=1</t>
  </si>
  <si>
    <t>Uncharacterized protein OS=Prunus persica GN=PRUPE_ppa005372mg PE=4 SV=1</t>
  </si>
  <si>
    <t>Uncharacterized protein OS=Prunus persica GN=PRUPE_ppa012466mg PE=4 SV=1</t>
  </si>
  <si>
    <t>Uncharacterized protein OS=Populus trichocarpa GN=POPTR_0011s15970g PE=3 SV=1</t>
  </si>
  <si>
    <t>Uncharacterized protein OS=Prunus persica GN=PRUPE_ppa010474mg PE=4 SV=1</t>
  </si>
  <si>
    <t>Uncharacterized protein OS=Prunus persica GN=PRUPE_ppa002720mg PE=4 SV=1</t>
  </si>
  <si>
    <t>Uncharacterized protein OS=Prunus persica GN=PRUPE_ppa020662mg PE=4 SV=1</t>
  </si>
  <si>
    <t>Uncharacterized protein OS=Prunus persica GN=PRUPE_ppa020429mg PE=4 SV=1</t>
  </si>
  <si>
    <t>Uncharacterized protein OS=Populus trichocarpa GN=POPTR_0015s08790g PE=4 SV=1</t>
  </si>
  <si>
    <t>Uncharacterized protein OS=Prunus persica GN=PRUPE_ppa002920mg PE=3 SV=1</t>
  </si>
  <si>
    <t>Uncharacterized protein OS=Prunus persica GN=PRUPE_ppa021895mg PE=4 SV=1</t>
  </si>
  <si>
    <t>Hexosyltransferase OS=Prunus persica GN=PRUPE_ppa007162mg PE=3 SV=1</t>
  </si>
  <si>
    <t>Cytochrome c biogenesis FN OS=Ricinus communis GN=ccmFn PE=4 SV=1</t>
  </si>
  <si>
    <t>Uncharacterized protein OS=Prunus persica GN=PRUPE_ppa021967mg PE=4 SV=1</t>
  </si>
  <si>
    <t>Uncharacterized protein OS=Citrus sinensis GN=CISIN_1g032720mg PE=4 SV=1</t>
  </si>
  <si>
    <t>Uncharacterized protein OS=Prunus persica GN=PRUPE_ppa006294mg PE=4 SV=1</t>
  </si>
  <si>
    <t>Uncharacterized protein OS=Prunus persica GN=PRUPE_ppa025388mg PE=4 SV=1</t>
  </si>
  <si>
    <t>Uncharacterized protein OS=Prunus persica GN=PRUPE_ppa000979mg PE=4 SV=1</t>
  </si>
  <si>
    <t>Uncharacterized protein OS=Prunus persica GN=PRUPE_ppa006342mg PE=4 SV=1</t>
  </si>
  <si>
    <t>Uncharacterized protein OS=Prunus persica GN=PRUPE_ppa013368mg PE=3 SV=1</t>
  </si>
  <si>
    <t>Reticulon-like protein (Fragment) OS=Prunus persica GN=PRUPE_ppa018593mg PE=4 SV=1</t>
  </si>
  <si>
    <t>Uncharacterized protein OS=Prunus persica GN=PRUPE_ppa008443mg PE=4 SV=1</t>
  </si>
  <si>
    <t>Uncharacterized protein OS=Prunus persica GN=PRUPE_ppa005819mg PE=4 SV=1</t>
  </si>
  <si>
    <t>Superoxide dismutase OS=Prunus persica GN=PRUPE_ppa010748mg PE=2 SV=1</t>
  </si>
  <si>
    <t>Uncharacterized protein OS=Prunus persica GN=PRUPE_ppb013122mg PE=4 SV=1</t>
  </si>
  <si>
    <t>Uncharacterized protein (Fragment) OS=Prunus persica GN=PRUPE_ppa024067mg PE=4 SV=1</t>
  </si>
  <si>
    <t>Uncharacterized protein OS=Prunus persica GN=PRUPE_ppa001486mg PE=4 SV=1</t>
  </si>
  <si>
    <t>Uncharacterized protein OS=Prunus persica GN=PRUPE_ppa021500mg PE=4 SV=1</t>
  </si>
  <si>
    <t>Uncharacterized protein OS=Prunus persica GN=PRUPE_ppa004795mg PE=4 SV=1</t>
  </si>
  <si>
    <t>Uncharacterized protein (Fragment) OS=Prunus persica GN=PRUPE_ppa016307mg PE=4 SV=1</t>
  </si>
  <si>
    <t>Uncharacterized protein OS=Prunus persica GN=PRUPE_ppa002752mg PE=4 SV=1</t>
  </si>
  <si>
    <t>4-coumarate-CoA ligase OS=Prunus avium GN=4CL1 PE=2 SV=1</t>
  </si>
  <si>
    <t>Epoxide hydrolase 1 OS=Prunus persica GN=eh1 PE=2 SV=1</t>
  </si>
  <si>
    <t>Uncharacterized protein OS=Prunus persica GN=PRUPE_ppa010877mg PE=4 SV=1</t>
  </si>
  <si>
    <t>Kinesin-like protein OS=Morus notabilis GN=L484_003410 PE=3 SV=1</t>
  </si>
  <si>
    <t>Uncharacterized protein OS=Prunus persica GN=PRUPE_ppa000322mg PE=4 SV=1</t>
  </si>
  <si>
    <t>Uncharacterized protein OS=Prunus persica GN=PRUPE_ppa004400mg PE=4 SV=1</t>
  </si>
  <si>
    <t>Uncharacterized protein OS=Prunus persica GN=PRUPE_ppa002690mg PE=4 SV=1</t>
  </si>
  <si>
    <t>Uncharacterized protein OS=Prunus persica GN=PRUPE_ppa001551mg PE=4 SV=1</t>
  </si>
  <si>
    <t>Uncharacterized protein OS=Prunus persica GN=PRUPE_ppa018247mg PE=4 SV=1</t>
  </si>
  <si>
    <t>Uncharacterized protein OS=Prunus persica GN=PRUPE_ppa003059mg PE=4 SV=1</t>
  </si>
  <si>
    <t>Uncharacterized protein OS=Prunus persica GN=PRUPE_ppa022359mg PE=3 SV=1</t>
  </si>
  <si>
    <t>Uncharacterized protein OS=Prunus persica GN=PRUPE_ppa021523mg PE=4 SV=1</t>
  </si>
  <si>
    <t>Non-ltr retroelement reverse transcriptase OS=Rosa rugosa PE=4 SV=1</t>
  </si>
  <si>
    <t>Putative uncharacterized protein OS=Vitis vinifera GN=VITISV_020117 PE=4 SV=1</t>
  </si>
  <si>
    <t>Uncharacterized protein OS=Prunus persica GN=PRUPE_ppa004267mg PE=4 SV=1</t>
  </si>
  <si>
    <t>Uncharacterized protein OS=Prunus persica GN=PRUPE_ppa025969mg PE=4 SV=1</t>
  </si>
  <si>
    <t>Uncharacterized protein OS=Prunus persica GN=PRUPE_ppa003937mg PE=4 SV=1</t>
  </si>
  <si>
    <t>Uncharacterized protein OS=Prunus persica GN=PRUPE_ppa025335mg PE=4 SV=1</t>
  </si>
  <si>
    <t>Uncharacterized protein OS=Prunus persica GN=PRUPE_ppa003809mg PE=4 SV=1</t>
  </si>
  <si>
    <t>Uncharacterized protein OS=Prunus persica GN=PRUPE_ppa010841mg PE=4 SV=1</t>
  </si>
  <si>
    <t>Uncharacterized protein OS=Solanum tuberosum GN=PGSC0003DMG400019542 PE=4 SV=1</t>
  </si>
  <si>
    <t>Uncharacterized protein OS=Prunus persica GN=PRUPE_ppa026582mg PE=4 SV=1</t>
  </si>
  <si>
    <t>Uncharacterized protein OS=Prunus persica GN=PRUPE_ppa004180mg PE=4 SV=1</t>
  </si>
  <si>
    <t>Uncharacterized protein OS=Prunus persica GN=PRUPE_ppa006670mg PE=3 SV=1</t>
  </si>
  <si>
    <t>Uncharacterized protein OS=Prunus persica GN=PRUPE_ppa012373mg PE=4 SV=1</t>
  </si>
  <si>
    <t>Uncharacterized protein OS=Prunus persica GN=PRUPE_ppa020976mg PE=4 SV=1</t>
  </si>
  <si>
    <t>Uncharacterized protein OS=Prunus persica GN=PRUPE_ppa015268mg PE=4 SV=1</t>
  </si>
  <si>
    <t>Uncharacterized protein OS=Prunus persica GN=PRUPE_ppa007161mg PE=4 SV=1</t>
  </si>
  <si>
    <t>Uncharacterized protein OS=Prunus persica GN=PRUPE_ppa026298mg PE=4 SV=1</t>
  </si>
  <si>
    <t>Uncharacterized protein OS=Prunus persica GN=PRUPE_ppa020992mg PE=4 SV=1</t>
  </si>
  <si>
    <t>1-acyl-sn-glycerol-3-phosphate acyltransferase OS=Prunus persica GN=PRUPE_ppa015179mg PE=3 SV=1</t>
  </si>
  <si>
    <t>E3 ubiquitin-protein ligase OS=Prunus persica GN=PRUPE_ppa008410mg PE=3 SV=1</t>
  </si>
  <si>
    <t>Uncharacterized protein OS=Prunus persica GN=PRUPE_ppa012071mg PE=4 SV=1</t>
  </si>
  <si>
    <t>Uncharacterized protein OS=Prunus persica GN=PRUPE_ppa007331mg PE=4 SV=1</t>
  </si>
  <si>
    <t>Uncharacterized protein OS=Prunus persica GN=PRUPE_ppa009912mg PE=4 SV=1</t>
  </si>
  <si>
    <t>Uncharacterized protein OS=Prunus persica GN=PRUPE_ppa011200mg PE=4 SV=1</t>
  </si>
  <si>
    <t>Uncharacterized protein OS=Prunus persica GN=PRUPE_ppa000372mg PE=4 SV=1</t>
  </si>
  <si>
    <t>Uncharacterized protein OS=Prunus persica GN=PRUPE_ppa012032mg PE=4 SV=1</t>
  </si>
  <si>
    <t>Uncharacterized protein OS=Prunus persica GN=PRUPE_ppa017129mg PE=4 SV=1</t>
  </si>
  <si>
    <t>Uncharacterized protein OS=Prunus persica GN=PRUPE_ppa002870mg PE=4 SV=1</t>
  </si>
  <si>
    <t>Uncharacterized protein OS=Prunus persica GN=PRUPE_ppa009745mg PE=4 SV=1</t>
  </si>
  <si>
    <t>Deoxyhypusine hydroxylase OS=Prunus persica GN=PRUPE_ppa008841mg PE=3 SV=1</t>
  </si>
  <si>
    <t>Uncharacterized protein OS=Prunus persica GN=PRUPE_ppa008753mg PE=4 SV=1</t>
  </si>
  <si>
    <t>Uncharacterized protein (Fragment) OS=Prunus persica GN=PRUPE_ppa021704mg PE=4 SV=1</t>
  </si>
  <si>
    <t>Uncharacterized protein OS=Prunus persica GN=PRUPE_ppa015013mg PE=4 SV=1</t>
  </si>
  <si>
    <t>Uncharacterized protein OS=Prunus persica GN=PRUPE_ppa012825mg PE=3 SV=1</t>
  </si>
  <si>
    <t>Uncharacterized protein OS=Prunus persica GN=PRUPE_ppa001525mg PE=3 SV=1</t>
  </si>
  <si>
    <t>Uncharacterized protein OS=Prunus persica GN=PRUPE_ppa009498mg PE=4 SV=1</t>
  </si>
  <si>
    <t>Uncharacterized protein OS=Prunus persica GN=PRUPE_ppa020764mg PE=4 SV=1</t>
  </si>
  <si>
    <t>Uncharacterized protein OS=Prunus persica GN=PRUPE_ppa008389mg PE=4 SV=1</t>
  </si>
  <si>
    <t>Uncharacterized protein OS=Prunus persica GN=PRUPE_ppa003204mg PE=4 SV=1</t>
  </si>
  <si>
    <t>Uncharacterized protein OS=Prunus persica GN=PRUPE_ppa015564mg PE=3 SV=1</t>
  </si>
  <si>
    <t>Uncharacterized protein OS=Prunus persica GN=PRUPE_ppa009329mg PE=3 SV=1</t>
  </si>
  <si>
    <t>Uncharacterized protein (Fragment) OS=Prunus persica GN=PRUPE_ppa022514mg PE=4 SV=1</t>
  </si>
  <si>
    <t>Uncharacterized protein OS=Prunus persica GN=PRUPE_ppa012711mg PE=4 SV=1</t>
  </si>
  <si>
    <t>Uncharacterized protein OS=Prunus persica GN=PRUPE_ppb012682mg PE=4 SV=1</t>
  </si>
  <si>
    <t>Uncharacterized protein OS=Prunus persica GN=PRUPE_ppa007173mg PE=4 SV=1</t>
  </si>
  <si>
    <t>Uncharacterized protein OS=Prunus persica GN=PRUPE_ppa001434mg PE=4 SV=1</t>
  </si>
  <si>
    <t>Uncharacterized protein OS=Prunus persica GN=PRUPE_ppa018800mg PE=4 SV=1</t>
  </si>
  <si>
    <t>Uncharacterized protein OS=Capsella rubella GN=CARUB_v10014014mg PE=4 SV=1</t>
  </si>
  <si>
    <t>Uncharacterized protein OS=Prunus persica GN=PRUPE_ppa022507mg PE=4 SV=1</t>
  </si>
  <si>
    <t>Uncharacterized protein (Fragment) OS=Prunus persica GN=PRUPE_ppa026691mg PE=4 SV=1</t>
  </si>
  <si>
    <t>Uncharacterized protein OS=Prunus persica GN=PRUPE_ppa002759mg PE=4 SV=1</t>
  </si>
  <si>
    <t>Uncharacterized protein OS=Prunus persica GN=PRUPE_ppa004379mg PE=4 SV=1</t>
  </si>
  <si>
    <t>Uncharacterized protein (Fragment) OS=Prunus persica GN=PRUPE_ppa022020mg PE=4 SV=1</t>
  </si>
  <si>
    <t>Uncharacterized protein OS=Prunus persica GN=PRUPE_ppa006714mg PE=4 SV=1</t>
  </si>
  <si>
    <t>Uncharacterized protein OS=Prunus persica GN=PRUPE_ppa010500mg PE=4 SV=1</t>
  </si>
  <si>
    <t>Uncharacterized protein OS=Prunus persica GN=PRUPE_ppa019075mg PE=4 SV=1</t>
  </si>
  <si>
    <t>Uncharacterized protein OS=Prunus persica GN=PRUPE_ppa009158mg PE=4 SV=1</t>
  </si>
  <si>
    <t>Uncharacterized protein OS=Prunus persica GN=PRUPE_ppa012281mg PE=4 SV=1</t>
  </si>
  <si>
    <t>NADPH:adrenodoxin oxidoreductase, mitochondrial OS=Prunus persica GN=PRUPE_ppa004960mg PE=3 SV=1</t>
  </si>
  <si>
    <t>Uncharacterized protein OS=Prunus persica GN=PRUPE_ppa004344mg PE=3 SV=1</t>
  </si>
  <si>
    <t>Uncharacterized protein OS=Prunus persica GN=PRUPE_ppa004140mg PE=4 SV=1</t>
  </si>
  <si>
    <t>Uncharacterized protein OS=Prunus persica GN=PRUPE_ppa025747mg PE=4 SV=1</t>
  </si>
  <si>
    <t>Vacuolar protein sorting-associated protein 13A, putative OS=Theobroma cacao GN=TCM_001701 PE=4 SV=1</t>
  </si>
  <si>
    <t>Uncharacterized protein OS=Prunus persica GN=PRUPE_ppa011383mg PE=3 SV=1</t>
  </si>
  <si>
    <t>Uncharacterized protein OS=Prunus persica GN=PRUPE_ppa013035mg PE=4 SV=1</t>
  </si>
  <si>
    <t>Uncharacterized protein OS=Prunus persica GN=PRUPE_ppa000576mg PE=4 SV=1</t>
  </si>
  <si>
    <t>Ribosome biogenesis protein BOP1 homolog OS=Prunus persica GN=PRUPE_ppa002352mg PE=3 SV=1</t>
  </si>
  <si>
    <t>Uncharacterized protein OS=Prunus persica GN=PRUPE_ppa012868mg PE=4 SV=1</t>
  </si>
  <si>
    <t>Uncharacterized protein OS=Prunus persica GN=PRUPE_ppa006194mg PE=4 SV=1</t>
  </si>
  <si>
    <t>Uncharacterized protein OS=Prunus persica GN=PRUPE_ppa002337mg PE=4 SV=1</t>
  </si>
  <si>
    <t>Uncharacterized protein OS=Citrus sinensis GN=CISIN_1g018617mg PE=4 SV=1</t>
  </si>
  <si>
    <t>Uncharacterized protein OS=Prunus persica GN=PRUPE_ppa008930mg PE=4 SV=1</t>
  </si>
  <si>
    <t>Uncharacterized protein OS=Prunus persica GN=PRUPE_ppa009845mg PE=4 SV=1</t>
  </si>
  <si>
    <t>Uncharacterized protein OS=Prunus persica GN=PRUPE_ppa021837mg PE=4 SV=1</t>
  </si>
  <si>
    <t>Uncharacterized protein OS=Prunus persica GN=PRUPE_ppa001958mg PE=4 SV=1</t>
  </si>
  <si>
    <t>Uncharacterized protein OS=Prunus persica GN=PRUPE_ppa006806mg PE=3 SV=1</t>
  </si>
  <si>
    <t>Uncharacterized protein OS=Prunus persica GN=PRUPE_ppa005791mg PE=4 SV=1</t>
  </si>
  <si>
    <t>Uncharacterized protein OS=Prunus persica GN=PRUPE_ppa007255mg PE=4 SV=1</t>
  </si>
  <si>
    <t>Uncharacterized protein OS=Prunus persica GN=PRUPE_ppa023447mg PE=3 SV=1</t>
  </si>
  <si>
    <t>Uncharacterized protein OS=Prunus persica GN=PRUPE_ppa003176mg PE=4 SV=1</t>
  </si>
  <si>
    <t>Uncharacterized protein OS=Prunus persica GN=PRUPE_ppa000269mg PE=3 SV=1</t>
  </si>
  <si>
    <t>DNA helicase OS=Morus notabilis GN=L484_021701 PE=3 SV=1</t>
  </si>
  <si>
    <t>Uncharacterized protein OS=Prunus persica GN=PRUPE_ppa020637mg PE=3 SV=1</t>
  </si>
  <si>
    <t>Uncharacterized protein OS=Prunus persica GN=PRUPE_ppa012706mg PE=4 SV=1</t>
  </si>
  <si>
    <t>Uncharacterized protein OS=Prunus persica GN=PRUPE_ppa005351mg PE=4 SV=1</t>
  </si>
  <si>
    <t>Uncharacterized protein OS=Prunus persica GN=PRUPE_ppa013692mg PE=4 SV=1</t>
  </si>
  <si>
    <t>Putative uncharacterized protein OS=Ricinus communis GN=RCOM_0904330 PE=4 SV=1</t>
  </si>
  <si>
    <t>Uncharacterized protein OS=Prunus persica GN=PRUPE_ppa008828mg PE=4 SV=1</t>
  </si>
  <si>
    <t>Uncharacterized protein OS=Prunus persica GN=PRUPE_ppa007335mg PE=4 SV=1</t>
  </si>
  <si>
    <t>Uncharacterized protein OS=Prunus persica GN=PRUPE_ppa011049mg PE=4 SV=1</t>
  </si>
  <si>
    <t>Uncharacterized protein OS=Prunus persica GN=PRUPE_ppa013228mg PE=4 SV=1</t>
  </si>
  <si>
    <t>Uncharacterized protein OS=Fusarium oxysporum f. sp. lycopersici (strain 4287 / CBS 123668 / FGSC 9935 / NRRL 34936) GN=FOXG_07727 PE=3 SV=1</t>
  </si>
  <si>
    <t>Uncharacterized protein OS=Prunus persica GN=PRUPE_ppa011297mg PE=3 SV=1</t>
  </si>
  <si>
    <t>Uncharacterized protein OS=Morus notabilis GN=L484_007437 PE=4 SV=1</t>
  </si>
  <si>
    <t>Uncharacterized protein OS=Prunus persica GN=PRUPE_ppa018100mg PE=4 SV=1</t>
  </si>
  <si>
    <t>Uncharacterized protein OS=Prunus persica GN=PRUPE_ppa008105mg PE=4 SV=1</t>
  </si>
  <si>
    <t>Uncharacterized protein (Fragment) OS=Prunus persica GN=PRUPE_ppa017555mg PE=4 SV=1</t>
  </si>
  <si>
    <t>Uncharacterized protein OS=Prunus persica GN=PRUPE_ppa017975mg PE=4 SV=1</t>
  </si>
  <si>
    <t>Uncharacterized protein OS=Prunus persica GN=PRUPE_ppa026219mg PE=4 SV=1</t>
  </si>
  <si>
    <t>Uncharacterized protein (Fragment) OS=Prunus persica GN=PRUPE_ppa026291mg PE=4 SV=1</t>
  </si>
  <si>
    <t>Uncharacterized protein OS=Prunus persica GN=PRUPE_ppa012060mg PE=4 SV=1</t>
  </si>
  <si>
    <t>Uncharacterized protein OS=Prunus persica GN=PRUPE_ppa004119mg PE=3 SV=1</t>
  </si>
  <si>
    <t>Uncharacterized protein OS=Prunus persica GN=PRUPE_ppa008850mg PE=4 SV=1</t>
  </si>
  <si>
    <t>Defective in cullin neddylation protein OS=Prunus persica GN=PRUPE_ppa008635mg PE=4 SV=1</t>
  </si>
  <si>
    <t>Delta-aminolevulinic acid dehydratase OS=Prunus persica GN=PRUPE_ppa006219mg PE=3 SV=1</t>
  </si>
  <si>
    <t>Hexosyltransferase OS=Prunus persica GN=PRUPE_ppa002758mg PE=3 SV=1</t>
  </si>
  <si>
    <t>Uncharacterized protein OS=Prunus persica GN=PRUPE_ppa000452mg PE=4 SV=1</t>
  </si>
  <si>
    <t>Amine oxidase OS=Malus domestica PE=2 SV=1</t>
  </si>
  <si>
    <t>Uncharacterized protein OS=Prunus persica GN=PRUPE_ppa015388mg PE=4 SV=1</t>
  </si>
  <si>
    <t>Uncharacterized protein OS=Prunus persica GN=PRUPE_ppa002094mg PE=3 SV=1</t>
  </si>
  <si>
    <t>Sulfite oxidase-like protein OS=Gossypium arboreum GN=F383_25209 PE=4 SV=1</t>
  </si>
  <si>
    <t>Putative proline-rich cell wall protein (Fragment) OS=Prunus dulcis PE=2 SV=1</t>
  </si>
  <si>
    <t>Uncharacterized protein OS=Prunus persica GN=PRUPE_ppa000815mg PE=4 SV=1</t>
  </si>
  <si>
    <t>Uncharacterized protein OS=Prunus persica GN=PRUPE_ppa004467mg PE=3 SV=1</t>
  </si>
  <si>
    <t>Uncharacterized protein OS=Prunus persica GN=PRUPE_ppa009705mg PE=4 SV=1</t>
  </si>
  <si>
    <t>Uncharacterized protein OS=Prunus persica GN=PRUPE_ppa012203mg PE=4 SV=1</t>
  </si>
  <si>
    <t>Uncharacterized protein OS=Prunus persica GN=PRUPE_ppa013683mg PE=4 SV=1</t>
  </si>
  <si>
    <t>Uncharacterized protein OS=Prunus persica GN=PRUPE_ppa010326mg PE=3 SV=1</t>
  </si>
  <si>
    <t>Uncharacterized protein OS=Prunus persica GN=PRUPE_ppa011950mg PE=4 SV=1</t>
  </si>
  <si>
    <t>Uncharacterized protein OS=Prunus persica GN=PRUPE_ppa009830mg PE=4 SV=1</t>
  </si>
  <si>
    <t>Uncharacterized protein OS=Prunus persica GN=PRUPE_ppa006381mg PE=4 SV=1</t>
  </si>
  <si>
    <t>Putative uncharacterized protein OS=Vitis vinifera GN=VIT_06s0009g00650 PE=4 SV=1</t>
  </si>
  <si>
    <t>Uncharacterized protein OS=Prunus persica GN=PRUPE_ppa001192mg PE=4 SV=1</t>
  </si>
  <si>
    <t>Uncharacterized protein OS=Prunus persica GN=PRUPE_ppa012068mg PE=4 SV=1</t>
  </si>
  <si>
    <t>Uncharacterized protein (Fragment) OS=Prunus persica GN=PRUPE_ppa015365mg PE=4 SV=1</t>
  </si>
  <si>
    <t>Uncharacterized protein OS=Prunus persica GN=PRUPE_ppa006717mg PE=4 SV=1</t>
  </si>
  <si>
    <t>Uncharacterized protein OS=Prunus persica GN=PRUPE_ppa015386mg PE=4 SV=1</t>
  </si>
  <si>
    <t>Uncharacterized protein OS=Prunus persica GN=PRUPE_ppa023443mg PE=4 SV=1</t>
  </si>
  <si>
    <t>Uncharacterized protein OS=Prunus persica GN=PRUPE_ppa009112mg PE=4 SV=1</t>
  </si>
  <si>
    <t>Uncharacterized protein OS=Prunus persica GN=PRUPE_ppa023632mg PE=4 SV=1</t>
  </si>
  <si>
    <t>Tetratricopeptide repeat-like superfamily protein isoform 1 OS=Theobroma cacao GN=TCM_033029 PE=4 SV=1</t>
  </si>
  <si>
    <t>Uncharacterized protein OS=Prunus persica GN=PRUPE_ppa004611mg PE=4 SV=1</t>
  </si>
  <si>
    <t>Uncharacterized protein OS=Prunus persica GN=PRUPE_ppa011032mg PE=4 SV=1</t>
  </si>
  <si>
    <t>Uncharacterized protein OS=Prunus persica GN=PRUPE_ppa018715mg PE=4 SV=1</t>
  </si>
  <si>
    <t>Receptor-like protein 12 OS=Morus notabilis GN=L484_021841 PE=4 SV=1</t>
  </si>
  <si>
    <t>Serine hydroxymethyltransferase OS=Prunus persica GN=PRUPE_ppa003640mg PE=3 SV=1</t>
  </si>
  <si>
    <t>Predicted protein OS=Nectria haematococca (strain 77-13-4 / ATCC MYA-4622 / FGSC 9596 / MPVI) GN=NECHADRAFT_69563 PE=4 SV=1</t>
  </si>
  <si>
    <t>Uncharacterized protein OS=Prunus persica GN=PRUPE_ppa024737mg PE=4 SV=1</t>
  </si>
  <si>
    <t>Uncharacterized protein OS=Prunus persica GN=PRUPE_ppa006613mg PE=4 SV=1</t>
  </si>
  <si>
    <t>Uncharacterized protein OS=Prunus persica GN=PRUPE_ppa019625mg PE=4 SV=1</t>
  </si>
  <si>
    <t>Uncharacterized protein OS=Prunus persica GN=PRUPE_ppa013021mg PE=4 SV=1</t>
  </si>
  <si>
    <t>Glycosyltransferase OS=Prunus persica GN=PRUPE_ppa005173mg PE=3 SV=1</t>
  </si>
  <si>
    <t>Uncharacterized protein OS=Prunus persica GN=PRUPE_ppa004124mg PE=4 SV=1</t>
  </si>
  <si>
    <t>Uncharacterized protein OS=Prunus persica GN=PRUPE_ppa002905mg PE=4 SV=1</t>
  </si>
  <si>
    <t>Uncharacterized protein OS=Prunus persica GN=PRUPE_ppa013203mg PE=4 SV=1</t>
  </si>
  <si>
    <t>Uncharacterized protein OS=Prunus persica GN=PRUPE_ppa003337mg PE=4 SV=1</t>
  </si>
  <si>
    <t>Uncharacterized protein OS=Prunus persica GN=PRUPE_ppa008532mg PE=3 SV=1</t>
  </si>
  <si>
    <t>Uncharacterized protein OS=Prunus persica GN=PRUPE_ppa002050mg PE=4 SV=1</t>
  </si>
  <si>
    <t>Uncharacterized protein OS=Prunus persica GN=PRUPE_ppa000070mg PE=4 SV=1</t>
  </si>
  <si>
    <t>Uncharacterized protein OS=Prunus persica GN=PRUPE_ppa001136mg PE=4 SV=1</t>
  </si>
  <si>
    <t>Uncharacterized protein OS=Prunus persica GN=PRUPE_ppa006394mg PE=4 SV=1</t>
  </si>
  <si>
    <t>Uncharacterized protein OS=Prunus persica GN=PRUPE_ppa007493mg PE=3 SV=1</t>
  </si>
  <si>
    <t>Putative uncharacterized protein OS=Vitis vinifera GN=VITISV_005945 PE=4 SV=1</t>
  </si>
  <si>
    <t>Uncharacterized protein OS=Prunus persica GN=PRUPE_ppa019176mg PE=4 SV=1</t>
  </si>
  <si>
    <t>Uncharacterized protein (Fragment) OS=Prunus persica GN=PRUPE_ppa017986mg PE=4 SV=1</t>
  </si>
  <si>
    <t>Uncharacterized protein (Fragment) OS=Populus trichocarpa GN=POPTR_0214s00230g PE=4 SV=1</t>
  </si>
  <si>
    <t>Uncharacterized protein OS=Prunus persica GN=PRUPE_ppa006958mg PE=3 SV=1</t>
  </si>
  <si>
    <t>Uncharacterized protein OS=Prunus persica GN=PRUPE_ppa009216mg PE=4 SV=1</t>
  </si>
  <si>
    <t>Uncharacterized protein OS=Prunus persica GN=PRUPE_ppa007423mg PE=4 SV=1</t>
  </si>
  <si>
    <t>Uncharacterized protein OS=Prunus persica GN=PRUPE_ppa007911mg PE=4 SV=1</t>
  </si>
  <si>
    <t>Uncharacterized protein OS=Prunus persica GN=PRUPE_ppa010023mg PE=4 SV=1</t>
  </si>
  <si>
    <t>Carboxypeptidase OS=Prunus persica GN=PRUPE_ppa004618mg PE=3 SV=1</t>
  </si>
  <si>
    <t>Uncharacterized protein (Fragment) OS=Prunus persica GN=PRUPE_ppa026266mg PE=4 SV=1</t>
  </si>
  <si>
    <t>Putative DEAD-box ATP-dependent RNA helicase 29 OS=Morus notabilis GN=L484_021867 PE=4 SV=1</t>
  </si>
  <si>
    <t>Uncharacterized protein OS=Prunus persica GN=PRUPE_ppa003815mg PE=4 SV=1</t>
  </si>
  <si>
    <t>Uncharacterized protein OS=Prunus persica GN=PRUPE_ppa000951mg PE=4 SV=1</t>
  </si>
  <si>
    <t>Uncharacterized protein (Fragment) OS=Prunus persica GN=PRUPE_ppa021305mg PE=4 SV=1</t>
  </si>
  <si>
    <t>Uncharacterized protein OS=Prunus persica GN=PRUPE_ppa010218mg PE=4 SV=1</t>
  </si>
  <si>
    <t>Uncharacterized protein OS=Prunus persica GN=PRUPE_ppa012545mg PE=4 SV=1</t>
  </si>
  <si>
    <t>Uncharacterized protein OS=Prunus persica GN=PRUPE_ppa002183mg PE=4 SV=1</t>
  </si>
  <si>
    <t>Coffea canephora DH200=94 genomic scaffold, scaffold_261 OS=Coffea canephora GN=GSCOC_T00000537001 PE=4 SV=1</t>
  </si>
  <si>
    <t>Uncharacterized protein OS=Prunus persica GN=PRUPE_ppa011259mg PE=3 SV=1</t>
  </si>
  <si>
    <t>Uncharacterized protein OS=Prunus persica GN=PRUPE_ppa022389mg PE=4 SV=1</t>
  </si>
  <si>
    <t>Uncharacterized protein OS=Prunus persica GN=PRUPE_ppa016138mg PE=4 SV=1</t>
  </si>
  <si>
    <t>Uncharacterized protein OS=Leersia perrieri PE=4 SV=1</t>
  </si>
  <si>
    <t>DNA excision repair protein ERCC-6-like protein OS=Morus notabilis GN=L484_016507 PE=4 SV=1</t>
  </si>
  <si>
    <t>Uncharacterized protein (Fragment) OS=Prunus persica GN=PRUPE_ppa026508mg PE=3 SV=1</t>
  </si>
  <si>
    <t>Uncharacterized protein OS=Prunus persica GN=PRUPE_ppa003791mg PE=4 SV=1</t>
  </si>
  <si>
    <t>Uncharacterized protein OS=Prunus persica GN=PRUPE_ppa017942mg PE=4 SV=1</t>
  </si>
  <si>
    <t>Uncharacterized protein OS=Prunus persica GN=PRUPE_ppa025116mg PE=4 SV=1</t>
  </si>
  <si>
    <t>Uncharacterized protein OS=Prunus persica GN=PRUPE_ppa010430mg PE=4 SV=1</t>
  </si>
  <si>
    <t>Uncharacterized protein OS=Prunus persica GN=PRUPE_ppa002508mg PE=4 SV=1</t>
  </si>
  <si>
    <t>Uncharacterized protein OS=Morus notabilis GN=L484_023516 PE=4 SV=1</t>
  </si>
  <si>
    <t>Uncharacterized protein OS=Prunus persica GN=PRUPE_ppa018908mg PE=4 SV=1</t>
  </si>
  <si>
    <t>Uncharacterized protein (Fragment) OS=Prunus persica GN=PRUPE_ppa018874mg PE=4 SV=1</t>
  </si>
  <si>
    <t>Uncharacterized protein OS=Prunus persica GN=PRUPE_ppa000002mg PE=4 SV=1</t>
  </si>
  <si>
    <t>Uncharacterized protein OS=Prunus persica GN=PRUPE_ppa000949mg PE=4 SV=1</t>
  </si>
  <si>
    <t>Uncharacterized protein OS=Prunus persica GN=PRUPE_ppa007087mg PE=4 SV=1</t>
  </si>
  <si>
    <t>Uncharacterized protein OS=Prunus persica GN=PRUPE_ppa008472mg PE=4 SV=1</t>
  </si>
  <si>
    <t>Uncharacterized protein OS=Prunus persica GN=PRUPE_ppa016764mg PE=4 SV=1</t>
  </si>
  <si>
    <t>DNAJ heat shock N-terminal domain-containing protein OS=Theobroma cacao GN=TCM_035317 PE=4 SV=1</t>
  </si>
  <si>
    <t>Uncharacterized protein OS=Prunus persica GN=PRUPE_ppa003325mg PE=4 SV=1</t>
  </si>
  <si>
    <t>Uncharacterized protein OS=Prunus persica GN=PRUPE_ppa012393mg PE=4 SV=1</t>
  </si>
  <si>
    <t>Uncharacterized protein OS=Prunus persica GN=PRUPE_ppa005451mg PE=4 SV=1</t>
  </si>
  <si>
    <t>Uncharacterized protein OS=Prunus persica GN=PRUPE_ppa018386mg PE=4 SV=1</t>
  </si>
  <si>
    <t>Uncharacterized protein OS=Prunus persica GN=PRUPE_ppa012185mg PE=4 SV=1</t>
  </si>
  <si>
    <t>Uncharacterized protein OS=Prunus persica GN=PRUPE_ppa004398mg PE=4 SV=1</t>
  </si>
  <si>
    <t>Uncharacterized protein OS=Prunus persica GN=PRUPE_ppa005842mg PE=4 SV=2</t>
  </si>
  <si>
    <t>Uncharacterized protein OS=Prunus persica GN=PRUPE_ppb009805mg PE=4 SV=1</t>
  </si>
  <si>
    <t>Uncharacterized protein OS=Prunus persica GN=PRUPE_ppa026055mg PE=4 SV=1</t>
  </si>
  <si>
    <t>Uncharacterized protein OS=Prunus persica GN=PRUPE_ppa012473mg PE=4 SV=1</t>
  </si>
  <si>
    <t>Uncharacterized protein OS=Prunus persica GN=PRUPE_ppa009911mg PE=4 SV=1</t>
  </si>
  <si>
    <t>Uncharacterized protein OS=Prunus persica GN=PRUPE_ppa022195mg PE=4 SV=1</t>
  </si>
  <si>
    <t>Uncharacterized protein OS=Prunus persica GN=PRUPE_ppa005580mg PE=4 SV=1</t>
  </si>
  <si>
    <t>Uncharacterized protein OS=Prunus persica GN=PRUPE_ppa011702mg PE=4 SV=1</t>
  </si>
  <si>
    <t>Uncharacterized protein OS=Prunus persica GN=PRUPE_ppa006541mg PE=4 SV=1</t>
  </si>
  <si>
    <t>Uncharacterized protein OS=Prunus persica GN=PRUPE_ppa008268mg PE=4 SV=1</t>
  </si>
  <si>
    <t>Bifunctional purine biosynthesis protein, putative OS=Ricinus communis GN=RCOM_0503930 PE=3 SV=1</t>
  </si>
  <si>
    <t>Uncharacterized protein OS=Prunus persica GN=PRUPE_ppa001566mg PE=4 SV=1</t>
  </si>
  <si>
    <t>Auxin-responsive protein OS=Prunus persica GN=PRUPE_ppa011570mg PE=3 SV=1</t>
  </si>
  <si>
    <t>Uncharacterized protein OS=Prunus persica GN=PRUPE_ppa025597mg PE=4 SV=1</t>
  </si>
  <si>
    <t>Uncharacterized protein OS=Prunus persica GN=PRUPE_ppa001328mg PE=4 SV=1</t>
  </si>
  <si>
    <t>Uncharacterized protein OS=Prunus persica GN=PRUPE_ppa012328mg PE=4 SV=1</t>
  </si>
  <si>
    <t>Uncharacterized protein OS=Prunus persica GN=PRUPE_ppa011339mg PE=4 SV=1</t>
  </si>
  <si>
    <t>Uncharacterized protein OS=Prunus persica GN=PRUPE_ppa001957mg PE=3 SV=1</t>
  </si>
  <si>
    <t>Uncharacterized protein (Fragment) OS=Prunus persica GN=PRUPE_ppa010269m1g PE=4 SV=1</t>
  </si>
  <si>
    <t>Uncharacterized protein OS=Prunus persica GN=PRUPE_ppa010149mg PE=4 SV=1</t>
  </si>
  <si>
    <t>Uncharacterized protein OS=Prunus persica GN=PRUPE_ppa007546mg PE=4 SV=1</t>
  </si>
  <si>
    <t>Uncharacterized protein OS=Prunus persica GN=PRUPE_ppa019198mg PE=4 SV=1</t>
  </si>
  <si>
    <t>Uncharacterized protein OS=Prunus persica GN=PRUPE_ppa015154mg PE=4 SV=1</t>
  </si>
  <si>
    <t>Uncharacterized protein OS=Prunus persica GN=PRUPE_ppa023248mg PE=4 SV=1</t>
  </si>
  <si>
    <t>Uncharacterized protein (Fragment) OS=Prunus persica GN=PRUPE_ppa000542m2g PE=4 SV=1</t>
  </si>
  <si>
    <t>Uncharacterized protein OS=Prunus persica GN=PRUPE_ppa1027186mg PE=4 SV=1</t>
  </si>
  <si>
    <t>Uncharacterized protein OS=Fusarium pseudograminearum (strain CS3096) GN=FPSE_04007 PE=4 SV=1</t>
  </si>
  <si>
    <t>WGS project CBMI000000000 data, contig CS3069_c004127 OS=Fusarium sp. FIESC_5 CS3069 GN=BN850_0117050 PE=4 SV=1</t>
  </si>
  <si>
    <t>Uncharacterized protein OS=Prunus persica GN=PRUPE_ppa010448mg PE=4 SV=1</t>
  </si>
  <si>
    <t>Uncharacterized protein OS=Prunus persica GN=PRUPE_ppa002132mg PE=4 SV=1</t>
  </si>
  <si>
    <t>Uncharacterized protein OS=Prunus persica GN=PRUPE_ppa000824mg PE=4 SV=1</t>
  </si>
  <si>
    <t>Uncharacterized protein OS=Prunus persica GN=PRUPE_ppa022618mg PE=4 SV=1</t>
  </si>
  <si>
    <t>Uncharacterized protein (Fragment) OS=Prunus persica GN=PRUPE_ppa020911mg PE=4 SV=1</t>
  </si>
  <si>
    <t>Uncharacterized protein OS=Prunus persica GN=PRUPE_ppa000658mg PE=4 SV=1</t>
  </si>
  <si>
    <t>Uncharacterized protein OS=Prunus persica GN=PRUPE_ppa001117mg PE=4 SV=1</t>
  </si>
  <si>
    <t>Uncharacterized protein OS=Prunus persica GN=PRUPE_ppa010752mg PE=4 SV=1</t>
  </si>
  <si>
    <t>Uncharacterized protein OS=Prunus persica GN=PRUPE_ppa017695mg PE=4 SV=1</t>
  </si>
  <si>
    <t>Uncharacterized protein OS=Prunus persica GN=PRUPE_ppa004218mg PE=4 SV=1</t>
  </si>
  <si>
    <t>Uncharacterized protein OS=Prunus persica GN=PRUPE_ppa013842mg PE=4 SV=1</t>
  </si>
  <si>
    <t>Uncharacterized protein OS=Prunus persica GN=PRUPE_ppa008694mg PE=4 SV=1</t>
  </si>
  <si>
    <t>Uncharacterized protein OS=Prunus persica GN=PRUPE_ppa007532mg PE=4 SV=1</t>
  </si>
  <si>
    <t>Uncharacterized protein OS=Prunus persica GN=PRUPE_ppa013932mg PE=4 SV=1</t>
  </si>
  <si>
    <t>Coatomer subunit alpha OS=Prunus persica GN=PRUPE_ppa000386mg PE=4 SV=1</t>
  </si>
  <si>
    <t>Uncharacterized protein OS=Prunus persica GN=PRUPE_ppa010358mg PE=4 SV=1</t>
  </si>
  <si>
    <t>Aldehyde dehydrogenase OS=Prunus persica GN=PRUPE_ppa004751mg PE=3 SV=1</t>
  </si>
  <si>
    <t>Uncharacterized protein OS=Prunus persica GN=PRUPE_ppa009072mg PE=4 SV=1</t>
  </si>
  <si>
    <t>Uncharacterized protein OS=Prunus persica GN=PRUPE_ppa010346mg PE=4 SV=1</t>
  </si>
  <si>
    <t>Uncharacterized protein OS=Prunus persica GN=PRUPE_ppa002985mg PE=4 SV=1</t>
  </si>
  <si>
    <t>Uncharacterized protein OS=Prunus persica GN=PRUPE_ppa007649mg PE=4 SV=1</t>
  </si>
  <si>
    <t>Uncharacterized protein OS=Prunus persica GN=PRUPE_ppa005336mg PE=4 SV=1</t>
  </si>
  <si>
    <t>Uncharacterized protein OS=Prunus persica GN=PRUPE_ppa002632mg PE=4 SV=1</t>
  </si>
  <si>
    <t>Uncharacterized protein OS=Prunus persica GN=PRUPE_ppa009323mg PE=4 SV=1</t>
  </si>
  <si>
    <t>Uncharacterized protein OS=Prunus persica GN=PRUPE_ppa013605mg PE=4 SV=1</t>
  </si>
  <si>
    <t>Uncharacterized protein OS=Prunus persica GN=PRUPE_ppa004656mg PE=4 SV=1</t>
  </si>
  <si>
    <t>Patatin OS=Prunus persica GN=PRUPE_ppa000303mg PE=3 SV=1</t>
  </si>
  <si>
    <t>Uncharacterized protein OS=Prunus persica GN=PRUPE_ppa010499mg PE=4 SV=1</t>
  </si>
  <si>
    <t>Uncharacterized protein OS=Prunus persica GN=PRUPE_ppa022617mg PE=4 SV=1</t>
  </si>
  <si>
    <t>Uncharacterized protein (Fragment) OS=Prunus persica GN=PRUPE_ppa019929mg PE=4 SV=1</t>
  </si>
  <si>
    <t>Uncharacterized protein OS=Prunus persica GN=PRUPE_ppa024285mg PE=4 SV=1</t>
  </si>
  <si>
    <t>Uncharacterized protein OS=Prunus persica GN=PRUPE_ppa006033mg PE=4 SV=1</t>
  </si>
  <si>
    <t>Uncharacterized protein OS=Prunus persica GN=PRUPE_ppa022367mg PE=4 SV=1</t>
  </si>
  <si>
    <t>Uncharacterized protein OS=Prunus persica GN=PRUPE_ppa009947mg PE=3 SV=1</t>
  </si>
  <si>
    <t>HVA22-like protein OS=Prunus persica GN=PRUPE_ppa009458mg PE=3 SV=1</t>
  </si>
  <si>
    <t>Uncharacterized protein OS=Prunus persica GN=PRUPE_ppa013020mg PE=4 SV=1</t>
  </si>
  <si>
    <t>Uncharacterized protein OS=Prunus persica GN=PRUPE_ppa021103mg PE=4 SV=1</t>
  </si>
  <si>
    <t>Uncharacterized protein OS=Prunus persica GN=PRUPE_ppa006886mg PE=4 SV=1</t>
  </si>
  <si>
    <t>Uncharacterized protein OS=Prunus persica GN=PRUPE_ppa005799mg PE=4 SV=1</t>
  </si>
  <si>
    <t>SEEDSTICK-like protein OS=Prunus serrulata var. lannesiana PE=2 SV=1</t>
  </si>
  <si>
    <t>Uncharacterized protein OS=Prunus persica GN=PRUPE_ppa005857mg PE=4 SV=1</t>
  </si>
  <si>
    <t>Uncharacterized protein (Fragment) OS=Prunus persica GN=PRUPE_ppa018282mg PE=3 SV=1</t>
  </si>
  <si>
    <t>Uncharacterized protein OS=Prunus persica GN=PRUPE_ppa004447mg PE=4 SV=1</t>
  </si>
  <si>
    <t>Uncharacterized protein OS=Prunus persica GN=PRUPE_ppa021898mg PE=4 SV=1</t>
  </si>
  <si>
    <t>Uncharacterized protein OS=Prunus persica GN=PRUPE_ppa015630mg PE=4 SV=1</t>
  </si>
  <si>
    <t>Uncharacterized protein (Fragment) OS=Prunus persica GN=PRUPE_ppa1027179mg PE=4 SV=1</t>
  </si>
  <si>
    <t>Uncharacterized protein OS=Citrus clementina GN=CICLE_v10010992mg PE=4 SV=1</t>
  </si>
  <si>
    <t>Uncharacterized protein OS=Prunus persica GN=PRUPE_ppb017383mg PE=4 SV=1</t>
  </si>
  <si>
    <t>Uncharacterized protein OS=Cucumis sativus GN=Csa_4G007040 PE=4 SV=1</t>
  </si>
  <si>
    <t>Uncharacterized protein OS=Prunus persica GN=PRUPE_ppa010509mg PE=4 SV=1</t>
  </si>
  <si>
    <t>Uncharacterized protein OS=Prunus persica GN=PRUPE_ppa1027230mg PE=4 SV=1</t>
  </si>
  <si>
    <t>Uncharacterized protein OS=Prunus persica GN=PRUPE_ppa009102mg PE=3 SV=1</t>
  </si>
  <si>
    <t>Uncharacterized protein OS=Prunus persica GN=PRUPE_ppa004740mg PE=4 SV=1</t>
  </si>
  <si>
    <t>Uncharacterized protein OS=Prunus persica GN=PRUPE_ppa002910mg PE=4 SV=1</t>
  </si>
  <si>
    <t>Uncharacterized protein (Fragment) OS=Prunus persica GN=PRUPE_ppa017509mg PE=3 SV=1</t>
  </si>
  <si>
    <t>Uncharacterized protein OS=Prunus persica GN=PRUPE_ppa001640mg PE=4 SV=1</t>
  </si>
  <si>
    <t>MATE efflux family protein (Fragment) OS=Prunus persica GN=PRUPE_ppa017237mg PE=3 SV=1</t>
  </si>
  <si>
    <t>Uncharacterized protein OS=Prunus persica GN=PRUPE_ppa012800mg PE=4 SV=1</t>
  </si>
  <si>
    <t>Uncharacterized protein OS=Prunus persica GN=PRUPE_ppa000442mg PE=3 SV=1</t>
  </si>
  <si>
    <t>MATE efflux family protein OS=Prunus persica GN=PRUPE_ppa003352mg PE=3 SV=1</t>
  </si>
  <si>
    <t>Uncharacterized protein OS=Prunus persica GN=PRUPE_ppa007280mg PE=4 SV=1</t>
  </si>
  <si>
    <t>Uncharacterized protein OS=Prunus persica GN=PRUPE_ppa008508mg PE=4 SV=1</t>
  </si>
  <si>
    <t>Uncharacterized protein OS=Morus notabilis GN=L484_017832 PE=4 SV=1</t>
  </si>
  <si>
    <t>Aldehyde dehydrogenase OS=Prunus persica GN=PRUPE_ppa004971mg PE=3 SV=1</t>
  </si>
  <si>
    <t>Uncharacterized protein OS=Prunus persica GN=PRUPE_ppa004411mg PE=4 SV=1</t>
  </si>
  <si>
    <t>Uncharacterized protein OS=Prunus persica GN=PRUPE_ppa002128mg PE=4 SV=1</t>
  </si>
  <si>
    <t>Uncharacterized protein OS=Prunus persica GN=PRUPE_ppa004965mg PE=3 SV=1</t>
  </si>
  <si>
    <t>Uncharacterized protein (Fragment) OS=Prunus persica GN=PRUPE_ppa015181mg PE=3 SV=1</t>
  </si>
  <si>
    <t>Uncharacterized protein OS=Prunus persica GN=PRUPE_ppa007389mg PE=4 SV=1</t>
  </si>
  <si>
    <t>Uncharacterized protein OS=Prunus persica GN=PRUPE_ppa006105mg PE=4 SV=1</t>
  </si>
  <si>
    <t>Carbonic anhydrase OS=Prunus persica GN=PRUPE_ppa010344mg PE=3 SV=1</t>
  </si>
  <si>
    <t>Uncharacterized protein OS=Prunus persica GN=PRUPE_ppa024713mg PE=4 SV=1</t>
  </si>
  <si>
    <t>Uncharacterized protein (Fragment) OS=Prunus persica GN=PRUPE_ppa022266mg PE=4 SV=1</t>
  </si>
  <si>
    <t>Uncharacterized protein OS=Prunus persica GN=PRUPE_ppa004783mg PE=3 SV=1</t>
  </si>
  <si>
    <t>Non-specific lipid-transfer protein OS=Prunus persica GN=PRUPE_ppa023181mg PE=3 SV=1</t>
  </si>
  <si>
    <t>Uncharacterized protein OS=Prunus persica GN=PRUPE_ppa010162mg PE=3 SV=1</t>
  </si>
  <si>
    <t>Uncharacterized protein (Fragment) OS=Prunus persica GN=PRUPE_ppa018299mg PE=4 SV=1</t>
  </si>
  <si>
    <t>Uncharacterized protein OS=Prunus persica GN=PRUPE_ppa016161mg PE=4 SV=1</t>
  </si>
  <si>
    <t>Uncharacterized protein (Fragment) OS=Prunus persica GN=PRUPE_ppa023859mg PE=4 SV=1</t>
  </si>
  <si>
    <t>Uncharacterized protein OS=Prunus persica GN=PRUPE_ppa003601mg PE=3 SV=1</t>
  </si>
  <si>
    <t>Uncharacterized protein OS=Prunus persica GN=PRUPE_ppa020272mg PE=4 SV=1</t>
  </si>
  <si>
    <t>Thaumatin-like protein 3 (Fragment) OS=Prunus persica GN=TLP3 PE=2 SV=1</t>
  </si>
  <si>
    <t>Uncharacterized protein OS=Prunus persica GN=PRUPE_ppa009120mg PE=3 SV=1</t>
  </si>
  <si>
    <t>Uncharacterized protein OS=Prunus persica GN=PRUPE_ppa004430mg PE=4 SV=1</t>
  </si>
  <si>
    <t>Uncharacterized protein OS=Prunus persica GN=PRUPE_ppa009588mg PE=3 SV=1</t>
  </si>
  <si>
    <t>Uncharacterized protein OS=Prunus persica GN=PRUPE_ppa006710mg PE=4 SV=1</t>
  </si>
  <si>
    <t>Uncharacterized protein OS=Prunus persica GN=PRUPE_ppa007137mg PE=3 SV=1</t>
  </si>
  <si>
    <t>Uncharacterized protein OS=Prunus persica GN=PRUPE_ppa007861mg PE=4 SV=1</t>
  </si>
  <si>
    <t>Uncharacterized protein OS=Prunus persica GN=PRUPE_ppa007582mg PE=4 SV=1</t>
  </si>
  <si>
    <t>Uncharacterized protein (Fragment) OS=Prunus persica GN=PRUPE_ppa019141mg PE=4 SV=1</t>
  </si>
  <si>
    <t>Uncharacterized protein OS=Prunus persica GN=PRUPE_ppa012860mg PE=4 SV=1</t>
  </si>
  <si>
    <t>Uncharacterized protein OS=Prunus persica GN=PRUPE_ppa015433mg PE=4 SV=1</t>
  </si>
  <si>
    <t>Uncharacterized protein OS=Prunus persica GN=PRUPE_ppa002026mg PE=4 SV=1</t>
  </si>
  <si>
    <t>Uncharacterized protein OS=Prunus persica GN=PRUPE_ppa001228mg PE=4 SV=1</t>
  </si>
  <si>
    <t>Uncharacterized protein OS=Prunus persica GN=PRUPE_ppa007316mg PE=4 SV=1</t>
  </si>
  <si>
    <t>Uncharacterized protein OS=Prunus persica GN=PRUPE_ppa004377mg PE=3 SV=1</t>
  </si>
  <si>
    <t>Uncharacterized protein OS=Prunus persica GN=PRUPE_ppa010048mg PE=4 SV=1</t>
  </si>
  <si>
    <t>Uncharacterized protein OS=Prunus persica GN=PRUPE_ppa008878mg PE=4 SV=1</t>
  </si>
  <si>
    <t>Uncharacterized protein OS=Prunus persica GN=PRUPE_ppa023536mg PE=4 SV=1</t>
  </si>
  <si>
    <t>Uncharacterized protein OS=Prunus persica GN=PRUPE_ppa011788mg PE=4 SV=1</t>
  </si>
  <si>
    <t>Uncharacterized protein OS=Prunus persica GN=PRUPE_ppa004943mg PE=3 SV=1</t>
  </si>
  <si>
    <t>Uncharacterized protein OS=Prunus persica GN=PRUPE_ppa018835mg PE=4 SV=1</t>
  </si>
  <si>
    <t>Uncharacterized protein OS=Prunus persica GN=PRUPE_ppa005597mg PE=4 SV=1</t>
  </si>
  <si>
    <t>Uncharacterized protein OS=Prunus persica GN=PRUPE_ppa013737mg PE=4 SV=1</t>
  </si>
  <si>
    <t>Uncharacterized protein OS=Prunus persica GN=PRUPE_ppa007227mg PE=4 SV=1</t>
  </si>
  <si>
    <t>Uncharacterized protein OS=Cucumis sativus GN=Csa_6G149420 PE=4 SV=1</t>
  </si>
  <si>
    <t>Putative alcohol acyl-transferases OS=Cucumis melo GN=AAT3 PE=2 SV=1</t>
  </si>
  <si>
    <t>Uncharacterized protein OS=Prunus persica GN=PRUPE_ppa012482mg PE=4 SV=1</t>
  </si>
  <si>
    <t>Uncharacterized protein OS=Prunus persica GN=PRUPE_ppa009443mg PE=4 SV=1</t>
  </si>
  <si>
    <t>Uncharacterized protein OS=Prunus persica GN=PRUPE_ppa001587mg PE=4 SV=1</t>
  </si>
  <si>
    <t>Uncharacterized protein OS=Prunus persica GN=PRUPE_ppa008364mg PE=4 SV=1</t>
  </si>
  <si>
    <t>Uncharacterized protein OS=Prunus persica GN=PRUPE_ppa011293mg PE=4 SV=1</t>
  </si>
  <si>
    <t>Protein arginine N-methyltransferase OS=Prunus persica GN=PRUPE_ppa002603mg PE=3 SV=1</t>
  </si>
  <si>
    <t>Uncharacterized protein OS=Prunus persica GN=PRUPE_ppa012810mg PE=4 SV=1</t>
  </si>
  <si>
    <t>Uncharacterized protein OS=Prunus persica GN=PRUPE_ppa008660mg PE=4 SV=1</t>
  </si>
  <si>
    <t>Uncharacterized protein OS=Prunus persica GN=PRUPE_ppa004458mg PE=4 SV=1</t>
  </si>
  <si>
    <t>Uncharacterized protein OS=Prunus persica GN=PRUPE_ppa012699mg PE=4 SV=1</t>
  </si>
  <si>
    <t>Uncharacterized protein OS=Prunus persica GN=PRUPE_ppa012767mg PE=4 SV=1</t>
  </si>
  <si>
    <t>Uncharacterized protein OS=Prunus persica GN=PRUPE_ppa004025mg PE=3 SV=1</t>
  </si>
  <si>
    <t>Protein ROOT HAIR DEFECTIVE 3 homolog OS=Prunus persica GN=PRUPE_ppa001419mg PE=3 SV=1</t>
  </si>
  <si>
    <t>Uncharacterized protein OS=Prunus persica GN=PRUPE_ppa001875mg PE=4 SV=1</t>
  </si>
  <si>
    <t>Uncharacterized protein OS=Prunus persica GN=PRUPE_ppa012034mg PE=4 SV=1</t>
  </si>
  <si>
    <t>Uncharacterized protein OS=Prunus persica GN=PRUPE_ppa018015mg PE=4 SV=1</t>
  </si>
  <si>
    <t>Uncharacterized protein (Fragment) OS=Prunus persica GN=PRUPE_ppa023897mg PE=4 SV=1</t>
  </si>
  <si>
    <t>Putative uncharacterized protein OS=Vitis vinifera GN=VIT_02s0033g00320 PE=4 SV=1</t>
  </si>
  <si>
    <t>Uncharacterized protein OS=Prunus persica GN=PRUPE_ppa004544mg PE=3 SV=1</t>
  </si>
  <si>
    <t>Uncharacterized protein OS=Prunus persica GN=PRUPE_ppa004701mg PE=3 SV=1</t>
  </si>
  <si>
    <t>Uncharacterized protein OS=Prunus persica GN=PRUPE_ppa026262mg PE=4 SV=1</t>
  </si>
  <si>
    <t>Uncharacterized protein OS=Citrus clementina GN=CICLE_v10023629mg PE=4 SV=1</t>
  </si>
  <si>
    <t>Uncharacterized protein OS=Prunus persica GN=PRUPE_ppa020834mg PE=4 SV=1</t>
  </si>
  <si>
    <t>Uncharacterized protein OS=Prunus persica GN=PRUPE_ppa020450mg PE=4 SV=1</t>
  </si>
  <si>
    <t>Uncharacterized protein OS=Prunus persica GN=PRUPE_ppa003185mg PE=4 SV=1</t>
  </si>
  <si>
    <t>Uncharacterized protein OS=Prunus persica GN=PRUPE_ppa002361mg PE=4 SV=1</t>
  </si>
  <si>
    <t>Uncharacterized protein OS=Prunus persica GN=PRUPE_ppa010562mg PE=4 SV=1</t>
  </si>
  <si>
    <t>Uncharacterized protein OS=Prunus persica GN=PRUPE_ppa011470mg PE=4 SV=1</t>
  </si>
  <si>
    <t>Uncharacterized protein OS=Prunus persica GN=PRUPE_ppa010776mg PE=4 SV=1</t>
  </si>
  <si>
    <t>Uncharacterized protein OS=Prunus persica GN=PRUPE_ppa003294mg PE=4 SV=1</t>
  </si>
  <si>
    <t>Uncharacterized protein OS=Prunus persica GN=PRUPE_ppa001488mg PE=4 SV=1</t>
  </si>
  <si>
    <t>Uncharacterized protein OS=Prunus persica GN=PRUPE_ppa008738mg PE=4 SV=1</t>
  </si>
  <si>
    <t>Uncharacterized protein OS=Prunus persica GN=PRUPE_ppa026991mg PE=4 SV=1</t>
  </si>
  <si>
    <t>Uncharacterized protein (Fragment) OS=Prunus persica GN=PRUPE_ppa019771mg PE=4 SV=1</t>
  </si>
  <si>
    <t>Uncharacterized protein OS=Prunus persica GN=PRUPE_ppa019893mg PE=4 SV=1</t>
  </si>
  <si>
    <t>Uncharacterized protein OS=Prunus persica GN=PRUPE_ppa016934mg PE=4 SV=1</t>
  </si>
  <si>
    <t>Uncharacterized protein OS=Prunus persica GN=PRUPE_ppa002811mg PE=4 SV=1</t>
  </si>
  <si>
    <t>Uncharacterized protein OS=Prunus persica GN=PRUPE_ppa006432mg PE=4 SV=1</t>
  </si>
  <si>
    <t>Uncharacterized protein (Fragment) OS=Prunus persica GN=PRUPE_ppa019905mg PE=4 SV=1</t>
  </si>
  <si>
    <t>Uncharacterized protein (Fragment) OS=Prunus persica GN=PRUPE_ppa019738mg PE=4 SV=1</t>
  </si>
  <si>
    <t>Cofactor assembly OS=Theobroma cacao GN=TCM_012933 PE=4 SV=1</t>
  </si>
  <si>
    <t>Uncharacterized protein OS=Prunus persica GN=PRUPE_ppa001622mg PE=4 SV=1</t>
  </si>
  <si>
    <t>Glutathione peroxidase OS=Prunus persica GN=PRUPE_ppa010584mg PE=3 SV=1</t>
  </si>
  <si>
    <t>Uncharacterized protein OS=Prunus persica GN=PRUPE_ppa002302mg PE=4 SV=1</t>
  </si>
  <si>
    <t>Uncharacterized protein (Fragment) OS=Prunus persica GN=PRUPE_ppa026010mg PE=4 SV=1</t>
  </si>
  <si>
    <t>Uncharacterized protein OS=Prunus persica GN=PRUPE_ppa016955mg PE=4 SV=1</t>
  </si>
  <si>
    <t>Uncharacterized protein OS=Prunus persica GN=PRUPE_ppa013574mg PE=4 SV=1</t>
  </si>
  <si>
    <t>Putative uncharacterized protein OS=Arabidopsis lyrata subsp. lyrata GN=ARALYDRAFT_483703 PE=4 SV=1</t>
  </si>
  <si>
    <t>Uncharacterized protein OS=Prunus persica GN=PRUPE_ppa023700mg PE=3 SV=1</t>
  </si>
  <si>
    <t>Uncharacterized protein OS=Prunus persica GN=PRUPE_ppa011700mg PE=4 SV=1</t>
  </si>
  <si>
    <t>Uncharacterized protein OS=Prunus persica GN=PRUPE_ppa009980mg PE=4 SV=1</t>
  </si>
  <si>
    <t>Uncharacterized protein OS=Prunus persica GN=PRUPE_ppa000419mg PE=4 SV=1</t>
  </si>
  <si>
    <t>Uncharacterized protein OS=Prunus persica GN=PRUPE_ppa008186mg PE=4 SV=1</t>
  </si>
  <si>
    <t>Uncharacterized protein (Fragment) OS=Prunus persica GN=PRUPE_ppa025473mg PE=4 SV=1</t>
  </si>
  <si>
    <t>Uncharacterized protein OS=Prunus persica GN=PRUPE_ppa002134mg PE=4 SV=1</t>
  </si>
  <si>
    <t>Uncharacterized protein OS=Prunus persica GN=PRUPE_ppa004945mg PE=4 SV=1</t>
  </si>
  <si>
    <t>Uncharacterized protein (Fragment) OS=Prunus persica GN=PRUPE_ppa018058mg PE=4 SV=1</t>
  </si>
  <si>
    <t>Uncharacterized protein OS=Prunus persica GN=PRUPE_ppa019019mg PE=4 SV=1</t>
  </si>
  <si>
    <t>Uncharacterized protein OS=Prunus persica GN=PRUPE_ppa008372mg PE=4 SV=1</t>
  </si>
  <si>
    <t>Uncharacterized protein OS=Prunus persica GN=PRUPE_ppa005352mg PE=4 SV=1</t>
  </si>
  <si>
    <t>Uncharacterized protein OS=Prunus persica GN=PRUPE_ppa011010mg PE=4 SV=1</t>
  </si>
  <si>
    <t>Uncharacterized protein OS=Prunus persica GN=PRUPE_ppa016986mg PE=4 SV=1</t>
  </si>
  <si>
    <t>Uncharacterized protein OS=Prunus persica GN=PRUPE_ppa019270mg PE=4 SV=1</t>
  </si>
  <si>
    <t>Uncharacterized protein OS=Prunus persica GN=PRUPE_ppa011722mg PE=4 SV=1</t>
  </si>
  <si>
    <t>Uncharacterized protein OS=Prunus persica GN=PRUPE_ppa003955mg PE=4 SV=1</t>
  </si>
  <si>
    <t>Uncharacterized protein OS=Prunus persica GN=PRUPE_ppa003286mg PE=4 SV=1</t>
  </si>
  <si>
    <t>Uncharacterized protein OS=Prunus persica GN=PRUPE_ppa002757mg PE=4 SV=1</t>
  </si>
  <si>
    <t>Histone-lysine N-methyltransferase ATX1 OS=Morus notabilis GN=L484_008526 PE=4 SV=1</t>
  </si>
  <si>
    <t>Serine/threonine-protein phosphatase OS=Prunus persica GN=PRUPE_ppa024160mg PE=3 SV=1</t>
  </si>
  <si>
    <t>Uncharacterized protein OS=Prunus persica GN=PRUPE_ppa002572mg PE=3 SV=1</t>
  </si>
  <si>
    <t>Uncharacterized protein OS=Prunus persica GN=PRUPE_ppa005108mg PE=4 SV=1</t>
  </si>
  <si>
    <t>Uncharacterized protein OS=Prunus persica GN=PRUPE_ppa025154mg PE=4 SV=1</t>
  </si>
  <si>
    <t>Uncharacterized protein OS=Prunus persica GN=PRUPE_ppa013960mg PE=4 SV=1</t>
  </si>
  <si>
    <t>Uncharacterized protein OS=Prunus persica GN=PRUPE_ppa017843mg PE=4 SV=1</t>
  </si>
  <si>
    <t>Uncharacterized protein OS=Prunus persica GN=PRUPE_ppa026924mg PE=4 SV=1</t>
  </si>
  <si>
    <t>Cytochrome b6-f complex subunit 6 OS=Citrus clementina GN=CICLE_v10003202mg PE=3 SV=1</t>
  </si>
  <si>
    <t>Uncharacterized protein OS=Prunus persica GN=PRUPE_ppa003268mg PE=4 SV=1</t>
  </si>
  <si>
    <t>Uncharacterized protein OS=Prunus persica GN=PRUPE_ppa009136mg PE=4 SV=1</t>
  </si>
  <si>
    <t>Uncharacterized protein (Fragment) OS=Prunus persica GN=PRUPE_ppa025698mg PE=3 SV=1</t>
  </si>
  <si>
    <t>Uncharacterized protein OS=Prunus persica GN=PRUPE_ppa011809mg PE=3 SV=1</t>
  </si>
  <si>
    <t>Uncharacterized protein (Fragment) OS=Prunus persica GN=PRUPE_ppa022491mg PE=4 SV=1</t>
  </si>
  <si>
    <t>Uncharacterized protein OS=Prunus persica GN=PRUPE_ppa009837mg PE=3 SV=1</t>
  </si>
  <si>
    <t>Uncharacterized protein OS=Prunus persica GN=PRUPE_ppa018063mg PE=4 SV=1</t>
  </si>
  <si>
    <t>Uncharacterized protein OS=Prunus persica GN=PRUPE_ppa007416mg PE=4 SV=1</t>
  </si>
  <si>
    <t>Uncharacterized protein OS=Prunus persica GN=PRUPE_ppa005174mg PE=4 SV=1</t>
  </si>
  <si>
    <t>Uncharacterized protein (Fragment) OS=Prunus persica GN=PRUPE_ppa014735mg PE=4 SV=1</t>
  </si>
  <si>
    <t>Uncharacterized protein OS=Prunus persica GN=PRUPE_ppa007658mg PE=4 SV=1</t>
  </si>
  <si>
    <t>Uncharacterized protein OS=Prunus persica GN=PRUPE_ppa003811mg PE=4 SV=1</t>
  </si>
  <si>
    <t>Uncharacterized protein OS=Prunus persica GN=PRUPE_ppa026443mg PE=4 SV=1</t>
  </si>
  <si>
    <t>Uncharacterized protein OS=Prunus persica GN=PRUPE_ppa003461mg PE=4 SV=1</t>
  </si>
  <si>
    <t>Uncharacterized protein OS=Prunus persica GN=PRUPE_ppa002801mg PE=4 SV=1</t>
  </si>
  <si>
    <t>Uncharacterized protein OS=Prunus persica GN=PRUPE_ppa009168mg PE=4 SV=1</t>
  </si>
  <si>
    <t>Uncharacterized protein OS=Prunus persica GN=PRUPE_ppa010850mg PE=3 SV=1</t>
  </si>
  <si>
    <t>Uncharacterized protein OS=Prunus persica GN=PRUPE_ppa005925mg PE=4 SV=1</t>
  </si>
  <si>
    <t>Uncharacterized protein (Fragment) OS=Prunus persica GN=PRUPE_ppa018370mg PE=4 SV=1</t>
  </si>
  <si>
    <t>TCP domain class transcription factor OS=Malus domestica GN=TCP9 PE=2 SV=1</t>
  </si>
  <si>
    <t>Uncharacterized protein OS=Prunus persica GN=PRUPE_ppa014028mg PE=4 SV=1</t>
  </si>
  <si>
    <t>Uncharacterized protein OS=Prunus persica GN=PRUPE_ppa005300mg PE=4 SV=1</t>
  </si>
  <si>
    <t>Nucleoside diphosphate kinase OS=Prunus persica GN=PRUPE_ppa010872mg PE=3 SV=1</t>
  </si>
  <si>
    <t>Uncharacterized protein OS=Prunus persica GN=PRUPE_ppa011720mg PE=4 SV=1</t>
  </si>
  <si>
    <t>Uncharacterized protein OS=Prunus persica GN=PRUPE_ppa010585mg PE=3 SV=1</t>
  </si>
  <si>
    <t>Uncharacterized protein OS=Prunus persica GN=PRUPE_ppa012382mg PE=4 SV=1</t>
  </si>
  <si>
    <t>Uncharacterized protein OS=Prunus persica GN=PRUPE_ppa026271mg PE=4 SV=1</t>
  </si>
  <si>
    <t>Formin-like protein (Fragment) OS=Prunus persica GN=PRUPE_ppa000575m2g PE=3 SV=1</t>
  </si>
  <si>
    <t>Uncharacterized protein OS=Prunus persica GN=PRUPE_ppa005265mg PE=4 SV=1</t>
  </si>
  <si>
    <t>Uncharacterized protein OS=Prunus persica GN=PRUPE_ppa007464mg PE=4 SV=1</t>
  </si>
  <si>
    <t>Uncharacterized protein OS=Prunus persica GN=PRUPE_ppa014708mg PE=4 SV=1</t>
  </si>
  <si>
    <t>Peptidyl-prolyl cis-trans isomerase OS=Prunus persica GN=PRUPE_ppa010357mg PE=3 SV=1</t>
  </si>
  <si>
    <t>Xylose isomerase OS=Prunus persica GN=PRUPE_ppa005065mg PE=3 SV=1</t>
  </si>
  <si>
    <t>Glycosyltransferase OS=Populus trichocarpa GN=POPTR_0006s02310g PE=3 SV=1</t>
  </si>
  <si>
    <t>Uncharacterized protein OS=Prunus persica GN=PRUPE_ppa010605mg PE=4 SV=1</t>
  </si>
  <si>
    <t>Uncharacterized protein (Fragment) OS=Prunus persica GN=PRUPE_ppa023347mg PE=4 SV=1</t>
  </si>
  <si>
    <t>Uncharacterized protein OS=Prunus persica GN=PRUPE_ppa001706mg PE=4 SV=1</t>
  </si>
  <si>
    <t>Uncharacterized protein OS=Prunus persica GN=PRUPE_ppa013500mg PE=4 SV=1</t>
  </si>
  <si>
    <t>Uncharacterized protein OS=Morus notabilis GN=L484_001418 PE=4 SV=1</t>
  </si>
  <si>
    <t>Uncharacterized protein OS=Prunus persica GN=PRUPE_ppa017763mg PE=4 SV=1</t>
  </si>
  <si>
    <t>Uncharacterized protein OS=Gossypium raimondii GN=B456_010G051100 PE=4 SV=1</t>
  </si>
  <si>
    <t>Uncharacterized protein OS=Prunus persica GN=PRUPE_ppa013629mg PE=4 SV=1</t>
  </si>
  <si>
    <t>Uncharacterized protein OS=Prunus persica GN=PRUPE_ppa011635mg PE=4 SV=1</t>
  </si>
  <si>
    <t>Elongation factor Ts OS=Vitis vinifera GN=VIT_11s0016g03510 PE=3 SV=1</t>
  </si>
  <si>
    <t>Uncharacterized protein OS=Prunus persica GN=PRUPE_ppa006551mg PE=4 SV=1</t>
  </si>
  <si>
    <t>Uncharacterized protein OS=Prunus persica GN=PRUPE_ppa000294mg PE=4 SV=1</t>
  </si>
  <si>
    <t>Uncharacterized protein OS=Jatropha curcas GN=JCGZ_14090 PE=4 SV=1</t>
  </si>
  <si>
    <t>Uncharacterized protein OS=Prunus persica GN=PRUPE_ppa001359mg PE=4 SV=1</t>
  </si>
  <si>
    <t>40S ribosomal protein S4 OS=Fusarium oxysporum f. sp. lycopersici (strain 4287 / CBS 123668 / FGSC 9935 / NRRL 34936) GN=FOXG_03083 PE=3 SV=1</t>
  </si>
  <si>
    <t>Uncharacterized protein (Fragment) OS=Prunus persica GN=PRUPE_ppa016618mg PE=4 SV=1</t>
  </si>
  <si>
    <t>Uncharacterized protein OS=Prunus persica GN=PRUPE_ppa001968mg PE=4 SV=1</t>
  </si>
  <si>
    <t>Uncharacterized protein OS=Prunus persica GN=PRUPE_ppa018346mg PE=3 SV=1</t>
  </si>
  <si>
    <t>Uncharacterized protein (Fragment) OS=Prunus persica GN=PRUPE_ppa014583m1g PE=4 SV=1</t>
  </si>
  <si>
    <t>Uncharacterized protein OS=Prunus persica GN=PRUPE_ppa011426mg PE=4 SV=1</t>
  </si>
  <si>
    <t>Nematode resistance-like protein OS=Prunus cerasifera GN=Ma PE=4 SV=1</t>
  </si>
  <si>
    <t>Uncharacterized protein OS=Prunus persica GN=PRUPE_ppa009562mg PE=4 SV=1</t>
  </si>
  <si>
    <t>Uncharacterized protein OS=Prunus persica GN=PRUPE_ppa002027mg PE=4 SV=1</t>
  </si>
  <si>
    <t>Uncharacterized protein OS=Prunus persica GN=PRUPE_ppb021265mg PE=4 SV=1</t>
  </si>
  <si>
    <t>ORF3 OS=Nectarine stem pitting-associated virus PE=4 SV=1</t>
  </si>
  <si>
    <t>Uncharacterized protein (Fragment) OS=Prunus persica GN=PRUPE_ppa015080mg PE=4 SV=1</t>
  </si>
  <si>
    <t>Uncharacterized protein OS=Prunus persica GN=PRUPE_ppa007145mg PE=4 SV=1</t>
  </si>
  <si>
    <t>Uncharacterized protein (Fragment) OS=Prunus persica GN=PRUPE_ppa015626mg PE=4 SV=1</t>
  </si>
  <si>
    <t>Uncharacterized protein OS=Prunus persica GN=PRUPE_ppa010060mg PE=4 SV=1</t>
  </si>
  <si>
    <t>Arginyl-tRNA--protein transferase OS=Prunus persica GN=PRUPE_ppa002749mg PE=3 SV=1</t>
  </si>
  <si>
    <t>Uncharacterized protein OS=Prunus persica GN=PRUPE_ppa004169mg PE=3 SV=1</t>
  </si>
  <si>
    <t>Serine/threonine-protein kinase OS=Prunus persica GN=PRUPE_ppa001372mg PE=3 SV=1</t>
  </si>
  <si>
    <t>Uncharacterized protein OS=Prunus persica GN=PRUPE_ppa003027mg PE=4 SV=1</t>
  </si>
  <si>
    <t>Uncharacterized protein OS=Prunus persica GN=PRUPE_ppa012399mg PE=4 SV=1</t>
  </si>
  <si>
    <t>Uncharacterized protein OS=Prunus persica GN=PRUPE_ppa003494mg PE=4 SV=1</t>
  </si>
  <si>
    <t>Uncharacterized protein OS=Prunus persica GN=PRUPE_ppa002627mg PE=4 SV=1</t>
  </si>
  <si>
    <t>Proteasome subunit alpha type OS=Glycine soja GN=glysoja_048128 PE=3 SV=1</t>
  </si>
  <si>
    <t>Uncharacterized protein OS=Prunus persica GN=PRUPE_ppa002747mg PE=4 SV=1</t>
  </si>
  <si>
    <t>Uncharacterized protein OS=Prunus persica GN=PRUPE_ppa005807mg PE=4 SV=1</t>
  </si>
  <si>
    <t>Uncharacterized protein OS=Prunus persica GN=PRUPE_ppa000083mg PE=4 SV=1</t>
  </si>
  <si>
    <t>Uncharacterized protein OS=Prunus persica GN=PRUPE_ppa001518mg PE=3 SV=1</t>
  </si>
  <si>
    <t>Uncharacterized protein OS=Prunus persica GN=PRUPE_ppa017713mg PE=4 SV=1</t>
  </si>
  <si>
    <t>Uncharacterized protein OS=Prunus persica GN=PRUPE_ppa007422mg PE=4 SV=1</t>
  </si>
  <si>
    <t>Lipoxygenase OS=Prunus persica GN=PRUPE_ppa026489mg PE=3 SV=1</t>
  </si>
  <si>
    <t>Uncharacterized protein OS=Prunus persica GN=PRUPE_ppa018710mg PE=4 SV=1</t>
  </si>
  <si>
    <t>Uncharacterized protein OS=Prunus persica GN=PRUPE_ppa011323mg PE=4 SV=1</t>
  </si>
  <si>
    <t>Hexosyltransferase OS=Prunus persica GN=PRUPE_ppa007777mg PE=3 SV=1</t>
  </si>
  <si>
    <t>S-adenosylmethionine synthase OS=Prunus persica PE=2 SV=1</t>
  </si>
  <si>
    <t>Uncharacterized protein OS=Prunus persica GN=PRUPE_ppa006260mg PE=4 SV=1</t>
  </si>
  <si>
    <t>Uncharacterized protein OS=Prunus persica GN=PRUPE_ppa007336mg PE=3 SV=1</t>
  </si>
  <si>
    <t>Asparagine synthetase OS=Prunus persica GN=PRUPE_ppa003265mg PE=4 SV=1</t>
  </si>
  <si>
    <t>Uncharacterized protein OS=Prunus persica GN=PRUPE_ppa010624mg PE=4 SV=1</t>
  </si>
  <si>
    <t>Uncharacterized protein OS=Prunus persica GN=PRUPE_ppa006414mg PE=4 SV=1</t>
  </si>
  <si>
    <t>Uncharacterized protein OS=Prunus persica GN=PRUPE_ppa007766mg PE=3 SV=1</t>
  </si>
  <si>
    <t>Uncharacterized protein OS=Prunus persica GN=PRUPE_ppa016079mg PE=4 SV=1</t>
  </si>
  <si>
    <t>Uncharacterized protein OS=Prunus persica GN=PRUPE_ppa022431mg PE=4 SV=1</t>
  </si>
  <si>
    <t>Uncharacterized protein OS=Prunus persica GN=PRUPE_ppa009217mg PE=4 SV=1</t>
  </si>
  <si>
    <t>Movement Protein (Fragment) OS=Apple chlorotic leaf spot virus GN=MP PE=4 SV=1</t>
  </si>
  <si>
    <t>Uncharacterized protein OS=Prunus persica GN=PRUPE_ppa010965mg PE=4 SV=1</t>
  </si>
  <si>
    <t>Uncharacterized protein OS=Prunus persica GN=PRUPE_ppa007650mg PE=4 SV=1</t>
  </si>
  <si>
    <t>Uncharacterized protein OS=Prunus persica GN=PRUPE_ppa010462mg PE=4 SV=1</t>
  </si>
  <si>
    <t>Uncharacterized protein OS=Prunus persica GN=PRUPE_ppb022649mg PE=4 SV=1</t>
  </si>
  <si>
    <t>Uncharacterized protein OS=Morus notabilis GN=L484_027566 PE=4 SV=1</t>
  </si>
  <si>
    <t>Uncharacterized protein (Fragment) OS=Prunus persica GN=PRUPE_ppb015139mg PE=4 SV=1</t>
  </si>
  <si>
    <t>Uncharacterized protein OS=Prunus persica GN=PRUPE_ppa027036mg PE=4 SV=1</t>
  </si>
  <si>
    <t>Uncharacterized protein OS=Prunus persica GN=PRUPE_ppa020319mg PE=4 SV=1</t>
  </si>
  <si>
    <t>Tetratricopeptide repeat-like superfamily protein, putative isoform 1 OS=Theobroma cacao GN=TCM_021066 PE=4 SV=1</t>
  </si>
  <si>
    <t>Uncharacterized protein OS=Prunus persica GN=PRUPE_ppa1027148mg PE=4 SV=1</t>
  </si>
  <si>
    <t>Uncharacterized protein OS=Prunus persica GN=PRUPE_ppa008840mg PE=4 SV=1</t>
  </si>
  <si>
    <t>Uncharacterized protein (Fragment) OS=Prunus persica GN=PRUPE_ppa016279mg PE=3 SV=1</t>
  </si>
  <si>
    <t>Uncharacterized protein OS=Prunus persica GN=PRUPE_ppa005726mg PE=4 SV=1</t>
  </si>
  <si>
    <t>Uncharacterized protein OS=Prunus persica GN=PRUPE_ppa021854mg PE=4 SV=1</t>
  </si>
  <si>
    <t>Uncharacterized protein OS=Prunus persica GN=PRUPE_ppa003888mg PE=4 SV=1</t>
  </si>
  <si>
    <t>Uncharacterized protein OS=Prunus persica GN=PRUPE_ppa021670mg PE=4 SV=1</t>
  </si>
  <si>
    <t>Non-specific serine/threonine protein kinase OS=Prunus persica GN=PRUPE_ppa005575mg PE=4 SV=1</t>
  </si>
  <si>
    <t>Uncharacterized protein OS=Prunus persica GN=PRUPE_ppa004768mg PE=3 SV=1</t>
  </si>
  <si>
    <t>Uncharacterized protein OS=Prunus persica GN=PRUPE_ppa013588mg PE=4 SV=1</t>
  </si>
  <si>
    <t>Uncharacterized protein OS=Prunus persica GN=PRUPE_ppa002945mg PE=4 SV=1</t>
  </si>
  <si>
    <t>Uncharacterized protein OS=Prunus persica GN=PRUPE_ppa013357mg PE=4 SV=1</t>
  </si>
  <si>
    <t>Uncharacterized protein OS=Gossypium raimondii GN=B456_006G190100 PE=4 SV=1</t>
  </si>
  <si>
    <t>Uncharacterized protein OS=Prunus persica GN=PRUPE_ppa001790mg PE=4 SV=1</t>
  </si>
  <si>
    <t>Isocitrate dehydrogenase [NADP] OS=Prunus persica GN=icdh1 PE=2 SV=1</t>
  </si>
  <si>
    <t>Uncharacterized protein OS=Prunus persica GN=PRUPE_ppa000739mg PE=4 SV=1</t>
  </si>
  <si>
    <t>Peptidyl-prolyl cis-trans isomerase OS=Prunus persica GN=PRUPE_ppa021349mg PE=4 SV=1</t>
  </si>
  <si>
    <t>Uncharacterized protein OS=Prunus persica GN=PRUPE_ppa002628mg PE=4 SV=1</t>
  </si>
  <si>
    <t>Uncharacterized protein OS=Prunus persica GN=PRUPE_ppa003191mg PE=3 SV=1</t>
  </si>
  <si>
    <t>Uncharacterized protein OS=Prunus persica GN=PRUPE_ppa010810mg PE=4 SV=1</t>
  </si>
  <si>
    <t>Uncharacterized protein OS=Prunus persica GN=PRUPE_ppa003398mg PE=4 SV=1</t>
  </si>
  <si>
    <t>Uncharacterized protein OS=Morus notabilis GN=L484_013258 PE=4 SV=1</t>
  </si>
  <si>
    <t>Cytochrome c oxidase subunit 1 OS=Daucus carota GN=cox1 PE=3 SV=1</t>
  </si>
  <si>
    <t>Uncharacterized protein (Fragment) OS=Prunus persica GN=PRUPE_ppa024278mg PE=4 SV=1</t>
  </si>
  <si>
    <t>Uncharacterized protein OS=Prunus persica GN=PRUPE_ppa008778mg PE=4 SV=1</t>
  </si>
  <si>
    <t>Uncharacterized protein OS=Citrus sinensis GN=CISIN_1g043609mg PE=4 SV=1</t>
  </si>
  <si>
    <t>Uncharacterized protein OS=Prunus persica GN=PRUPE_ppa009847mg PE=4 SV=1</t>
  </si>
  <si>
    <t>Uncharacterized protein OS=Prunus persica GN=PRUPE_ppa009165mg PE=3 SV=1</t>
  </si>
  <si>
    <t>Uncharacterized protein OS=Prunus persica GN=PRUPE_ppa002948mg PE=4 SV=1</t>
  </si>
  <si>
    <t>Uncharacterized protein OS=Prunus persica GN=PRUPE_ppa006064mg PE=4 SV=1</t>
  </si>
  <si>
    <t>Uncharacterized protein OS=Citrus sinensis GN=CISIN_1g025613mg PE=4 SV=1</t>
  </si>
  <si>
    <t>Uncharacterized protein OS=Citrus clementina GN=CICLE_v10015267mg PE=4 SV=1</t>
  </si>
  <si>
    <t>Uncharacterized protein OS=Prunus persica GN=PRUPE_ppa011975mg PE=4 SV=1</t>
  </si>
  <si>
    <t>Nodulin MtN21 /EamA transporter family protein OS=Theobroma cacao GN=TCM_016844 PE=4 SV=1</t>
  </si>
  <si>
    <t>Uncharacterized protein OS=Prunus persica GN=PRUPE_ppa012396mg PE=4 SV=1</t>
  </si>
  <si>
    <t>Uncharacterized protein OS=Prunus persica GN=PRUPE_ppa005607mg PE=4 SV=1</t>
  </si>
  <si>
    <t>Uncharacterized protein OS=Prunus persica GN=PRUPE_ppa011828mg PE=4 SV=1</t>
  </si>
  <si>
    <t>Fructose-bisphosphate aldolase (Fragment) OS=Callithrix jacchus PE=3 SV=1</t>
  </si>
  <si>
    <t>Uncharacterized protein OS=Prunus persica GN=PRUPE_ppa003735mg PE=4 SV=1</t>
  </si>
  <si>
    <t>Uncharacterized protein OS=Prunus persica GN=PRUPE_ppa013508mg PE=4 SV=1</t>
  </si>
  <si>
    <t>Uncharacterized protein OS=Prunus persica GN=PRUPE_ppa011991mg PE=4 SV=1</t>
  </si>
  <si>
    <t>Uncharacterized protein OS=Prunus persica GN=PRUPE_ppa008566mg PE=4 SV=1</t>
  </si>
  <si>
    <t>Uncharacterized protein OS=Prunus persica GN=PRUPE_ppa012019mg PE=4 SV=1</t>
  </si>
  <si>
    <t>Uncharacterized protein OS=Prunus persica GN=PRUPE_ppa1027156mg PE=4 SV=1</t>
  </si>
  <si>
    <t>Uncharacterized protein OS=Prunus persica GN=PRUPE_ppa008261mg PE=3 SV=1</t>
  </si>
  <si>
    <t>25kDa coat protein OS=Grapevine Red Globe virus GN=CP PE=4 SV=1</t>
  </si>
  <si>
    <t>Uncharacterized protein OS=Prunus persica GN=PRUPE_ppa008848mg PE=4 SV=1</t>
  </si>
  <si>
    <t>Uncharacterized protein OS=Prunus persica GN=PRUPE_ppa013838mg PE=4 SV=1</t>
  </si>
  <si>
    <t>Uncharacterized protein OS=Prunus persica GN=PRUPE_ppa000852mg PE=4 SV=1</t>
  </si>
  <si>
    <t>Uncharacterized protein OS=Prunus persica GN=PRUPE_ppa009661mg PE=4 SV=1</t>
  </si>
  <si>
    <t>Uncharacterized protein OS=Prunus persica GN=PRUPE_ppa012891mg PE=4 SV=1</t>
  </si>
  <si>
    <t>Uncharacterized protein OS=Prunus persica GN=PRUPE_ppa014073mg PE=4 SV=1</t>
  </si>
  <si>
    <t>Uncharacterized protein OS=Prunus persica GN=PRUPE_ppa011079mg PE=3 SV=1</t>
  </si>
  <si>
    <t>Uncharacterized protein OS=Prunus persica GN=PRUPE_ppa003683mg PE=3 SV=1</t>
  </si>
  <si>
    <t>Uncharacterized protein (Fragment) OS=Prunus persica GN=PRUPE_ppa018008mg PE=4 SV=1</t>
  </si>
  <si>
    <t>Uncharacterized protein OS=Prunus persica GN=PRUPE_ppa001019mg PE=4 SV=1</t>
  </si>
  <si>
    <t>Histidinol dehydrogenase, chloroplastic OS=Prunus persica GN=PRUPE_ppa005890mg PE=3 SV=1</t>
  </si>
  <si>
    <t>Uncharacterized protein OS=Jatropha curcas GN=JCGZ_16914 PE=4 SV=1</t>
  </si>
  <si>
    <t>Uncharacterized protein OS=Prunus persica GN=PRUPE_ppa007880mg PE=4 SV=1</t>
  </si>
  <si>
    <t>Uncharacterized protein OS=Morus notabilis GN=L484_006707 PE=4 SV=1</t>
  </si>
  <si>
    <t>Uncharacterized protein OS=Prunus persica GN=PRUPE_ppa008815mg PE=4 SV=1</t>
  </si>
  <si>
    <t>Uncharacterized protein OS=Prunus persica GN=PRUPE_ppa001864mg PE=4 SV=1</t>
  </si>
  <si>
    <t>Protein YIPF OS=Prunus persica GN=PRUPE_ppa009988mg PE=3 SV=1</t>
  </si>
  <si>
    <t>Uncharacterized protein (Fragment) OS=Prunus persica GN=PRUPE_ppa022138mg PE=4 SV=1</t>
  </si>
  <si>
    <t>Uncharacterized protein OS=Prunus persica GN=PRUPE_ppa026297mg PE=4 SV=1</t>
  </si>
  <si>
    <t>Uncharacterized protein OS=Prunus persica GN=PRUPE_ppa008745mg PE=4 SV=1</t>
  </si>
  <si>
    <t>Uncharacterized protein OS=Prunus persica GN=PRUPE_ppa007105mg PE=4 SV=1</t>
  </si>
  <si>
    <t>Uncharacterized protein OS=Prunus persica GN=PRUPE_ppa020587mg PE=4 SV=1</t>
  </si>
  <si>
    <t>Uncharacterized protein OS=Prunus persica GN=PRUPE_ppa008112mg PE=4 SV=1</t>
  </si>
  <si>
    <t>Uncharacterized protein OS=Prunus persica GN=PRUPE_ppa026692mg PE=3 SV=1</t>
  </si>
  <si>
    <t>Uncharacterized protein OS=Populus trichocarpa GN=POPTR_0001s08640g PE=4 SV=2</t>
  </si>
  <si>
    <t>Uncharacterized protein OS=Prunus persica GN=PRUPE_ppa004630mg PE=4 SV=1</t>
  </si>
  <si>
    <t>Auxin-responsive protein OS=Prunus persica GN=PRUPE_ppa010303mg PE=3 SV=1</t>
  </si>
  <si>
    <t>Uncharacterized protein OS=Prunus persica GN=PRUPE_ppa011494mg PE=4 SV=1</t>
  </si>
  <si>
    <t>Uncharacterized protein OS=Prunus persica GN=PRUPE_ppa003242mg PE=4 SV=1</t>
  </si>
  <si>
    <t>Uncharacterized protein OS=Prunus persica GN=PRUPE_ppa006435mg PE=4 SV=1</t>
  </si>
  <si>
    <t>Uncharacterized protein OS=Prunus persica GN=PRUPE_ppa023235mg PE=4 SV=1</t>
  </si>
  <si>
    <t>Uncharacterized protein OS=Prunus persica GN=PRUPE_ppa007032mg PE=4 SV=1</t>
  </si>
  <si>
    <t>Uncharacterized protein OS=Prunus persica GN=PRUPE_ppa008471mg PE=4 SV=1</t>
  </si>
  <si>
    <t>Uncharacterized protein OS=Prunus persica GN=PRUPE_ppa015009mg PE=4 SV=1</t>
  </si>
  <si>
    <t>Uncharacterized protein OS=Morus notabilis GN=L484_004430 PE=4 SV=1</t>
  </si>
  <si>
    <t>Peptidyl-prolyl cis-trans isomerase OS=Prunus persica GN=PRUPE_ppa012894mg PE=4 SV=1</t>
  </si>
  <si>
    <t>Uncharacterized protein OS=Prunus persica GN=PRUPE_ppa023371mg PE=4 SV=1</t>
  </si>
  <si>
    <t>Katanin p60 ATPase-containing subunit, putative OS=Ricinus communis GN=RCOM_0632640 PE=4 SV=1</t>
  </si>
  <si>
    <t>Uncharacterized protein OS=Cucumis sativus GN=Csa_3G173010 PE=4 SV=1</t>
  </si>
  <si>
    <t>Uncharacterized protein OS=Prunus persica GN=PRUPE_ppa013427mg PE=3 SV=1</t>
  </si>
  <si>
    <t>Uncharacterized protein OS=Prunus persica GN=PRUPE_ppa019170mg PE=4 SV=1</t>
  </si>
  <si>
    <t>Patatin OS=Prunus persica GN=PRUPE_ppa014860mg PE=3 SV=1</t>
  </si>
  <si>
    <t>Uncharacterized protein OS=Prunus persica GN=PRUPE_ppa001485mg PE=4 SV=1</t>
  </si>
  <si>
    <t>Uncharacterized protein OS=Prunus persica GN=PRUPE_ppa011876mg PE=4 SV=1</t>
  </si>
  <si>
    <t>Uncharacterized protein OS=Prunus persica GN=PRUPE_ppa008548mg PE=4 SV=1</t>
  </si>
  <si>
    <t>Uncharacterized protein OS=Prunus persica GN=PRUPE_ppa010064mg PE=3 SV=1</t>
  </si>
  <si>
    <t>Uncharacterized protein OS=Prunus persica GN=PRUPE_ppa024154mg PE=4 SV=1</t>
  </si>
  <si>
    <t>Uncharacterized protein OS=Prunus persica GN=PRUPE_ppa003632mg PE=4 SV=1</t>
  </si>
  <si>
    <t>Uncharacterized protein OS=Prunus persica GN=PRUPE_ppa009051mg PE=4 SV=1</t>
  </si>
  <si>
    <t>Uncharacterized protein OS=Prunus persica GN=PRUPE_ppa003997mg PE=3 SV=1</t>
  </si>
  <si>
    <t>Auxin response factor OS=Prunus persica GN=PRUPE_ppa000479mg PE=3 SV=1</t>
  </si>
  <si>
    <t>Uncharacterized protein OS=Prunus persica GN=PRUPE_ppa003638mg PE=4 SV=1</t>
  </si>
  <si>
    <t>Uncharacterized protein OS=Prunus persica GN=PRUPE_ppa025729mg PE=3 SV=1</t>
  </si>
  <si>
    <t>Uncharacterized protein OS=Prunus persica GN=PRUPE_ppa010029mg PE=4 SV=1</t>
  </si>
  <si>
    <t>Coffea canephora DH200=94 genomic scaffold, scaffold_178 OS=Coffea canephora GN=GSCOC_T00010516001 PE=4 SV=1</t>
  </si>
  <si>
    <t>Uncharacterized protein OS=Prunus persica GN=PRUPE_ppa006306mg PE=3 SV=1</t>
  </si>
  <si>
    <t>Uncharacterized protein (Fragment) OS=Prunus persica GN=PRUPE_ppa017564mg PE=4 SV=1</t>
  </si>
  <si>
    <t>Uncharacterized protein OS=Prunus persica GN=PRUPE_ppa006883mg PE=4 SV=1</t>
  </si>
  <si>
    <t>Uncharacterized protein OS=Prunus persica GN=PRUPE_ppa003898mg PE=4 SV=1</t>
  </si>
  <si>
    <t>U1 small nuclear ribonucleoprotein C OS=Prunus persica GN=PRUPE_ppa009808mg PE=3 SV=1</t>
  </si>
  <si>
    <t>Uncharacterized protein OS=Prunus persica GN=PRUPE_ppa013785mg PE=4 SV=1</t>
  </si>
  <si>
    <t>Uncharacterized protein OS=Prunus persica GN=PRUPE_ppa012968mg PE=4 SV=1</t>
  </si>
  <si>
    <t>Uncharacterized protein OS=Prunus persica GN=PRUPE_ppa003418mg PE=4 SV=1</t>
  </si>
  <si>
    <t>Uncharacterized protein (Fragment) OS=Prunus persica GN=PRUPE_ppa018081mg PE=4 SV=1</t>
  </si>
  <si>
    <t>Uncharacterized protein (Fragment) OS=Prunus persica GN=PRUPE_ppa1027122mg PE=4 SV=1</t>
  </si>
  <si>
    <t>Glycogen synthase kinase OS=Medicago truncatula GN=MTR_7g110060 PE=4 SV=2</t>
  </si>
  <si>
    <t>Uncharacterized protein OS=Prunus persica GN=PRUPE_ppa024742mg PE=4 SV=1</t>
  </si>
  <si>
    <t>Gag-pol polyprotein OS=Rosa rugosa PE=4 SV=1</t>
  </si>
  <si>
    <t>Uncharacterized protein OS=Prunus persica GN=PRUPE_ppa023811mg PE=4 SV=1</t>
  </si>
  <si>
    <t>Uncharacterized protein OS=Prunus persica GN=PRUPE_ppa000155mg PE=4 SV=1</t>
  </si>
  <si>
    <t>Uncharacterized protein OS=Prunus persica GN=PRUPE_ppa001411mg PE=4 SV=1</t>
  </si>
  <si>
    <t>Uncharacterized protein (Fragment) OS=Prunus persica GN=PRUPE_ppa018065mg PE=4 SV=1</t>
  </si>
  <si>
    <t>Uncharacterized protein OS=Prunus persica GN=PRUPE_ppa000741mg PE=4 SV=1</t>
  </si>
  <si>
    <t>Xyloglucan endotransglucosylase/hydrolase (Fragment) OS=Prunus persica GN=PRUPE_ppa019741mg PE=3 SV=1</t>
  </si>
  <si>
    <t>Uncharacterized protein OS=Prunus persica GN=PRUPE_ppa008459mg PE=4 SV=1</t>
  </si>
  <si>
    <t>DNA topoisomerase OS=Eucalyptus grandis GN=EUGRSUZ_H05141 PE=3 SV=1</t>
  </si>
  <si>
    <t>Uncharacterized protein OS=Prunus persica GN=PRUPE_ppa012022mg PE=4 SV=1</t>
  </si>
  <si>
    <t>Uncharacterized protein OS=Prunus persica GN=PRUPE_ppa020152mg PE=4 SV=1</t>
  </si>
  <si>
    <t>Uncharacterized protein OS=Prunus persica GN=PRUPE_ppa003034mg PE=4 SV=1</t>
  </si>
  <si>
    <t>Uncharacterized protein OS=Prunus persica GN=PRUPE_ppa002074mg PE=3 SV=1</t>
  </si>
  <si>
    <t>Uncharacterized protein OS=Prunus persica GN=PRUPE_ppa013575mg PE=4 SV=1</t>
  </si>
  <si>
    <t>NAD(P)H-quinone oxidoreductase chain 4 OS=Medicago truncatula GN=MTR_4g006120 PE=3 SV=1</t>
  </si>
  <si>
    <t>KRR1 small subunit processome component OS=Erythranthe guttata GN=MIMGU_mgv1a007831mg PE=3 SV=1</t>
  </si>
  <si>
    <t>Putative uncharacterized protein OS=Ricinus communis GN=RCOM_1387470 PE=4 SV=1</t>
  </si>
  <si>
    <t>Uncharacterized protein (Fragment) OS=Prunus persica GN=PRUPE_ppa026175mg PE=4 SV=1</t>
  </si>
  <si>
    <t>Uncharacterized protein OS=Prunus persica GN=PRUPE_ppa009777mg PE=4 SV=1</t>
  </si>
  <si>
    <t>Uncharacterized protein OS=Prunus persica GN=PRUPE_ppa002116mg PE=3 SV=1</t>
  </si>
  <si>
    <t>Uncharacterized protein OS=Prunus persica GN=PRUPE_ppa017965mg PE=4 SV=1</t>
  </si>
  <si>
    <t>Uncharacterized protein OS=Prunus persica GN=PRUPE_ppa011668mg PE=4 SV=1</t>
  </si>
  <si>
    <t>Uncharacterized protein OS=Prunus persica GN=PRUPE_ppa012495mg PE=3 SV=1</t>
  </si>
  <si>
    <t>Uncharacterized protein OS=Prunus persica GN=PRUPE_ppa003780mg PE=3 SV=1</t>
  </si>
  <si>
    <t>Uncharacterized protein OS=Prunus persica GN=PRUPE_ppa008929mg PE=3 SV=1</t>
  </si>
  <si>
    <t>Uncharacterized protein OS=Prunus persica GN=PRUPE_ppa020782mg PE=4 SV=1</t>
  </si>
  <si>
    <t>Uncharacterized protein OS=Prunus persica GN=PRUPE_ppa000685mg PE=4 SV=1</t>
  </si>
  <si>
    <t>Uncharacterized protein OS=Prunus persica GN=PRUPE_ppa013282mg PE=4 SV=1</t>
  </si>
  <si>
    <t>Uncharacterized protein OS=Prunus persica GN=PRUPE_ppa025619mg PE=3 SV=1</t>
  </si>
  <si>
    <t>Dehydrin (Fragment) OS=Prunus dulcis PE=2 SV=1</t>
  </si>
  <si>
    <t>Uncharacterized protein OS=Prunus persica GN=PRUPE_ppa011275mg PE=4 SV=1</t>
  </si>
  <si>
    <t>Uncharacterized protein OS=Prunus persica GN=PRUPE_ppa007764mg PE=3 SV=1</t>
  </si>
  <si>
    <t>Auxin-responsive protein OS=Prunus persica GN=PRUPE_ppa010698mg PE=3 SV=1</t>
  </si>
  <si>
    <t>Uncharacterized protein (Fragment) OS=Prunus persica GN=PRUPE_ppa020094mg PE=4 SV=1</t>
  </si>
  <si>
    <t>Uncharacterized protein OS=Prunus persica GN=PRUPE_ppa003679mg PE=4 SV=1</t>
  </si>
  <si>
    <t>Malate dehydrogenase OS=Prunus persica GN=PRUPE_ppa008423mg PE=3 SV=1</t>
  </si>
  <si>
    <t>Uncharacterized protein OS=Prunus persica GN=PRUPE_ppa010227mg PE=4 SV=1</t>
  </si>
  <si>
    <t>Uncharacterized protein OS=Prunus persica GN=PRUPE_ppa005536mg PE=4 SV=1</t>
  </si>
  <si>
    <t>Uncharacterized protein OS=Prunus persica GN=PRUPE_ppa001858mg PE=4 SV=1</t>
  </si>
  <si>
    <t>Actin 1 (Fragment) OS=Prunus maritima GN=Act1 PE=3 SV=1</t>
  </si>
  <si>
    <t>Uncharacterized protein (Fragment) OS=Prunus persica GN=PRUPE_ppa018167mg PE=4 SV=1</t>
  </si>
  <si>
    <t>Uncharacterized protein OS=Prunus persica GN=PRUPE_ppa008488mg PE=4 SV=1</t>
  </si>
  <si>
    <t>Uncharacterized protein OS=Prunus persica GN=PRUPE_ppa019702mg PE=4 SV=1</t>
  </si>
  <si>
    <t>Uncharacterized protein OS=Prunus persica GN=PRUPE_ppa001181mg PE=4 SV=1</t>
  </si>
  <si>
    <t>Ubiquitin carboxyl-terminal hydrolase OS=Prunus persica GN=PRUPE_ppa002549mg PE=3 SV=1</t>
  </si>
  <si>
    <t>Uncharacterized protein OS=Prunus persica GN=PRUPE_ppa001410mg PE=3 SV=1</t>
  </si>
  <si>
    <t>Uncharacterized protein OS=Prunus persica GN=PRUPE_ppa007596mg PE=4 SV=1</t>
  </si>
  <si>
    <t>Uncharacterized protein OS=Prunus persica GN=PRUPE_ppa008050mg PE=4 SV=1</t>
  </si>
  <si>
    <t>Ferredoxin--NADP reductase OS=Prunus persica GN=PRUPE_ppa007232mg PE=3 SV=1</t>
  </si>
  <si>
    <t>Uncharacterized protein OS=Prunus persica GN=PRUPE_ppa003004mg PE=4 SV=1</t>
  </si>
  <si>
    <t>Uncharacterized protein OS=Prunus persica GN=PRUPE_ppa001094mg PE=4 SV=1</t>
  </si>
  <si>
    <t>Uncharacterized protein OS=Prunus persica GN=PRUPE_ppa005296mg PE=4 SV=1</t>
  </si>
  <si>
    <t>4-alpha-glucanotransferase OS=Prunus persica GN=PRUPE_ppa003327mg PE=3 SV=1</t>
  </si>
  <si>
    <t>Uncharacterized protein (Fragment) OS=Prunus persica GN=PRUPE_ppa023695mg PE=4 SV=1</t>
  </si>
  <si>
    <t>Protein ROOT HAIR DEFECTIVE 3 homolog OS=Prunus persica GN=PRUPE_ppa001516mg PE=3 SV=1</t>
  </si>
  <si>
    <t>Uncharacterized protein OS=Prunus persica GN=PRUPE_ppa002832mg PE=4 SV=1</t>
  </si>
  <si>
    <t>3-ketoacyl-CoA synthase OS=Prunus persica GN=PRUPE_ppa019864mg PE=3 SV=1</t>
  </si>
  <si>
    <t>Uncharacterized protein OS=Prunus persica GN=PRUPE_ppa008683mg PE=4 SV=1</t>
  </si>
  <si>
    <t>Uncharacterized protein OS=Prunus persica GN=PRUPE_ppa010412mg PE=4 SV=1</t>
  </si>
  <si>
    <t>Uncharacterized protein OS=Prunus persica GN=PRUPE_ppa020196mg PE=4 SV=1</t>
  </si>
  <si>
    <t>Transcription factor MADS7 OS=Prunus persica GN=MADS7 PE=2 SV=1</t>
  </si>
  <si>
    <t>Uncharacterized protein OS=Prunus persica GN=PRUPE_ppa026478mg PE=4 SV=1</t>
  </si>
  <si>
    <t>Plasma membrane ATPase OS=Fusarium oxysporum f. sp. melonis 26406 GN=FOMG_00570 PE=3 SV=1</t>
  </si>
  <si>
    <t>Uncharacterized protein OS=Prunus persica GN=PRUPE_ppa009206mg PE=3 SV=1</t>
  </si>
  <si>
    <t>Uncharacterized protein OS=Prunus persica GN=PRUPE_ppa012468mg PE=4 SV=1</t>
  </si>
  <si>
    <t>Retrovirus-related Pol polyprotein LINE-1 OS=Helicobacter pylori Hp P-4 GN=HPHPP4_1732 PE=4 SV=1</t>
  </si>
  <si>
    <t>Uncharacterized protein OS=Prunus persica GN=PRUPE_ppa026646mg PE=4 SV=1</t>
  </si>
  <si>
    <t>Uncharacterized protein OS=Prunus persica GN=PRUPE_ppa026104mg PE=4 SV=1</t>
  </si>
  <si>
    <t>Uncharacterized protein OS=Prunus persica GN=PRUPE_ppa024921mg PE=3 SV=1</t>
  </si>
  <si>
    <t>Uncharacterized protein OS=Prunus persica GN=PRUPE_ppa021286mg PE=4 SV=1</t>
  </si>
  <si>
    <t>Uncharacterized protein OS=Citrus clementina GN=CICLE_v10023559mg PE=4 SV=1</t>
  </si>
  <si>
    <t>Uncharacterized protein OS=Prunus persica GN=PRUPE_ppa016073mg PE=4 SV=1</t>
  </si>
  <si>
    <t>Uncharacterized protein OS=Prunus persica GN=PRUPE_ppa007171mg PE=4 SV=1</t>
  </si>
  <si>
    <t>Uncharacterized protein OS=Prunus persica GN=PRUPE_ppa020339mg PE=3 SV=1</t>
  </si>
  <si>
    <t>Uncharacterized protein OS=Prunus persica GN=PRUPE_ppa001754mg PE=4 SV=1</t>
  </si>
  <si>
    <t>Uncharacterized protein OS=Prunus persica GN=PRUPE_ppa009124mg PE=4 SV=1</t>
  </si>
  <si>
    <t>Uncharacterized protein OS=Prunus persica GN=PRUPE_ppa006748mg PE=4 SV=1</t>
  </si>
  <si>
    <t>NAD(P)H-quinone oxidoreductase subunit 3, chloroplastic OS=Prunus serrulata var. spontanea GN=ndhC PE=3 SV=1</t>
  </si>
  <si>
    <t>Uncharacterized protein OS=Prunus persica GN=PRUPE_ppa008837mg PE=4 SV=1</t>
  </si>
  <si>
    <t>Zeaxanthin epoxidase, chloroplastic OS=Prunus persica GN=PRUPE_ppa002248mg PE=4 SV=1</t>
  </si>
  <si>
    <t>Uncharacterized protein (Fragment) OS=Prunus persica GN=PRUPE_ppa023596mg PE=4 SV=1</t>
  </si>
  <si>
    <t>Uncharacterized protein OS=Prunus persica GN=PRUPE_ppa014697mg PE=4 SV=1</t>
  </si>
  <si>
    <t>Uncharacterized protein OS=Prunus persica GN=PRUPE_ppa006052mg PE=4 SV=1</t>
  </si>
  <si>
    <t>Uncharacterized protein OS=Prunus persica GN=PRUPE_ppa011423mg PE=4 SV=1</t>
  </si>
  <si>
    <t>Uncharacterized protein OS=Prunus persica GN=PRUPE_ppa002100mg PE=4 SV=1</t>
  </si>
  <si>
    <t>Uncharacterized protein OS=Prunus persica GN=PRUPE_ppa009221mg PE=4 SV=1</t>
  </si>
  <si>
    <t>Uncharacterized protein OS=Prunus persica GN=PRUPE_ppa006112mg PE=4 SV=1</t>
  </si>
  <si>
    <t>Uncharacterized protein OS=Prunus persica GN=PRUPE_ppa002872mg PE=4 SV=1</t>
  </si>
  <si>
    <t>Uncharacterized protein OS=Prunus persica GN=PRUPE_ppa005522mg PE=4 SV=1</t>
  </si>
  <si>
    <t>Uncharacterized protein OS=Prunus persica GN=PRUPE_ppa005347mg PE=4 SV=1</t>
  </si>
  <si>
    <t>Uncharacterized protein OS=Prunus persica GN=PRUPE_ppa006576mg PE=4 SV=1</t>
  </si>
  <si>
    <t>Uncharacterized protein OS=Prunus persica GN=PRUPE_ppa011776mg PE=4 SV=1</t>
  </si>
  <si>
    <t>Uncharacterized protein OS=Prunus persica GN=PRUPE_ppa009326mg PE=3 SV=1</t>
  </si>
  <si>
    <t>Uncharacterized protein OS=Prunus persica GN=PRUPE_ppa012684mg PE=4 SV=1</t>
  </si>
  <si>
    <t>Putative uncharacterized protein Sb05g001350 OS=Sorghum bicolor GN=Sb05g001350 PE=4 SV=1</t>
  </si>
  <si>
    <t>Uncharacterized protein OS=Prunus persica GN=PRUPE_ppa002867mg PE=4 SV=1</t>
  </si>
  <si>
    <t>Uncharacterized protein OS=Prunus persica GN=PRUPE_ppa001807mg PE=4 SV=1</t>
  </si>
  <si>
    <t>Uncharacterized protein OS=Prunus persica GN=PRUPE_ppa012427mg PE=4 SV=1</t>
  </si>
  <si>
    <t>Cysteine synthase OS=Prunus persica GN=PRUPE_ppa006674mg PE=3 SV=1</t>
  </si>
  <si>
    <t>Uncharacterized protein OS=Prunus persica GN=PRUPE_ppa000990mg PE=4 SV=1</t>
  </si>
  <si>
    <t>Uncharacterized protein OS=Prunus persica GN=PRUPE_ppa015833mg PE=4 SV=1</t>
  </si>
  <si>
    <t>Uncharacterized protein OS=Prunus persica GN=PRUPE_ppa009154mg PE=4 SV=1</t>
  </si>
  <si>
    <t>Uncharacterized protein OS=Prunus persica GN=PRUPE_ppa006801mg PE=4 SV=1</t>
  </si>
  <si>
    <t>Uncharacterized protein OS=Gibberella zeae (strain PH-1 / ATCC MYA-4620 / FGSC 9075 / NRRL 31084) GN=FGSG_09297 PE=4 SV=1</t>
  </si>
  <si>
    <t>Aldehyde dehydrogenase OS=Gibberella zeae (strain PH-1 / ATCC MYA-4620 / FGSC 9075 / NRRL 31084) GN=FGSG_00979 PE=4 SV=1</t>
  </si>
  <si>
    <t>Uncharacterized protein OS=Gossypium raimondii GN=B456_009G087100 PE=4 SV=1</t>
  </si>
  <si>
    <t>Uncharacterized protein OS=Gibberella moniliformis (strain M3125 / FGSC 7600) GN=FVEG_06822 PE=4 SV=1</t>
  </si>
  <si>
    <t>Uncharacterized protein OS=Gibberella moniliformis (strain M3125 / FGSC 7600) GN=FVEG_04871 PE=3 SV=1</t>
  </si>
  <si>
    <t>Uncharacterized protein OS=Brachypodium distachyon GN=BRADI1G12267 PE=4 SV=1</t>
  </si>
  <si>
    <t>Uncharacterized protein OS=Prunus persica GN=PRUPE_ppa020938mg PE=3 SV=1</t>
  </si>
  <si>
    <t>HXXXD-type acyl-transferase family protein, putative OS=Theobroma cacao GN=TCM_010738 PE=4 SV=1</t>
  </si>
  <si>
    <t>Uncharacterized protein OS=Prunus persica GN=PRUPE_ppa011500mg PE=4 SV=1</t>
  </si>
  <si>
    <t>Uncharacterized protein OS=Prunus persica GN=PRUPE_ppa002899mg PE=4 SV=1</t>
  </si>
  <si>
    <t>Uncharacterized protein OS=Prunus persica GN=PRUPE_ppa011925mg PE=3 SV=1</t>
  </si>
  <si>
    <t>Uncharacterized protein OS=Prunus persica GN=PRUPE_ppa016243mg PE=4 SV=1</t>
  </si>
  <si>
    <t>Uncharacterized protein OS=Prunus persica GN=PRUPE_ppa004237mg PE=4 SV=1</t>
  </si>
  <si>
    <t>Uncharacterized protein OS=Prunus persica GN=PRUPE_ppa008547mg PE=3 SV=1</t>
  </si>
  <si>
    <t>Putative uncharacterized protein OS=Vitis vinifera GN=VIT_14s0068g01240 PE=4 SV=1</t>
  </si>
  <si>
    <t>Uncharacterized protein OS=Prunus persica GN=PRUPE_ppa001201mg PE=4 SV=1</t>
  </si>
  <si>
    <t>Uncharacterized protein OS=Prunus persica GN=PRUPE_ppa016627mg PE=4 SV=1</t>
  </si>
  <si>
    <t>Uncharacterized protein OS=Prunus persica GN=PRUPE_ppa002484mg PE=4 SV=1</t>
  </si>
  <si>
    <t>Uncharacterized protein OS=Prunus persica GN=PRUPE_ppa013450mg PE=4 SV=1</t>
  </si>
  <si>
    <t>Uncharacterized protein OS=Prunus persica GN=PRUPE_ppa009557mg PE=4 SV=1</t>
  </si>
  <si>
    <t>Protein argonaute OS=Prunus persica GN=PRUPE_ppa024131mg PE=3 SV=1</t>
  </si>
  <si>
    <t>Uncharacterized protein OS=Prunus persica GN=PRUPE_ppa012589mg PE=4 SV=1</t>
  </si>
  <si>
    <t>Uncharacterized protein OS=Prunus persica GN=PRUPE_ppa004198mg PE=4 SV=1</t>
  </si>
  <si>
    <t>Rab8 OS=Hevea brasiliensis PE=2 SV=1</t>
  </si>
  <si>
    <t>Uncharacterized protein OS=Prunus persica GN=PRUPE_ppa010699mg PE=4 SV=1</t>
  </si>
  <si>
    <t>Uncharacterized protein OS=Prunus persica GN=PRUPE_ppa000674mg PE=4 SV=1</t>
  </si>
  <si>
    <t>Polyadenylate-binding protein OS=Prunus persica GN=PRUPE_ppa002584mg PE=3 SV=1</t>
  </si>
  <si>
    <t>CASP-like protein OS=Prunus persica GN=PRUPE_ppa012225mg PE=3 SV=1</t>
  </si>
  <si>
    <t>Uncharacterized protein OS=Prunus persica GN=PRUPE_ppa003402mg PE=4 SV=1</t>
  </si>
  <si>
    <t>Uncharacterized protein OS=Citrus clementina GN=CICLE_v10002352mg PE=4 SV=1</t>
  </si>
  <si>
    <t>Glycosyltransferase OS=Prunus persica GN=PRUPE_ppa021645mg PE=3 SV=1</t>
  </si>
  <si>
    <t>Uncharacterized protein OS=Prunus persica GN=PRUPE_ppa001122mg PE=4 SV=1</t>
  </si>
  <si>
    <t>Uncharacterized protein OS=Prunus persica GN=PRUPE_ppa008727mg PE=4 SV=1</t>
  </si>
  <si>
    <t>tRNA pseudouridine synthase OS=Prunus persica GN=PRUPE_ppa008515mg PE=3 SV=1</t>
  </si>
  <si>
    <t>Uncharacterized protein OS=Prunus persica GN=PRUPE_ppa008819mg PE=4 SV=1</t>
  </si>
  <si>
    <t>Uncharacterized protein OS=Prunus persica GN=PRUPE_ppa013503mg PE=4 SV=1</t>
  </si>
  <si>
    <t>Uncharacterized protein OS=Prunus persica GN=PRUPE_ppa010039mg PE=4 SV=1</t>
  </si>
  <si>
    <t>Uncharacterized protein OS=Prunus persica GN=PRUPE_ppa020908mg PE=4 SV=1</t>
  </si>
  <si>
    <t>Uncharacterized protein OS=Prunus persica GN=PRUPE_ppa005566mg PE=4 SV=1</t>
  </si>
  <si>
    <t>Uncharacterized protein OS=Prunus persica GN=PRUPE_ppa010498mg PE=4 SV=1</t>
  </si>
  <si>
    <t>Uncharacterized protein OS=Prunus persica GN=PRUPE_ppa004823mg PE=4 SV=1</t>
  </si>
  <si>
    <t>Histone-lysine N-methyltransferase OS=Prunus persica GN=PRUPE_ppa002266mg PE=4 SV=1</t>
  </si>
  <si>
    <t>Uncharacterized protein OS=Prunus persica GN=PRUPE_ppa011318mg PE=4 SV=1</t>
  </si>
  <si>
    <t>Uncharacterized protein OS=Prunus persica GN=PRUPE_ppa013025mg PE=4 SV=1</t>
  </si>
  <si>
    <t>Uncharacterized protein OS=Prunus persica GN=PRUPE_ppa009650mg PE=4 SV=1</t>
  </si>
  <si>
    <t>Uncharacterized protein OS=Prunus persica GN=PRUPE_ppa001853mg PE=4 SV=1</t>
  </si>
  <si>
    <t>Uncharacterized protein OS=Prunus persica GN=PRUPE_ppb022083mg PE=4 SV=1</t>
  </si>
  <si>
    <t>Uncharacterized protein OS=Prunus persica GN=PRUPE_ppa007047mg PE=4 SV=1</t>
  </si>
  <si>
    <t>Uncharacterized protein OS=Prunus persica GN=PRUPE_ppa026230mg PE=4 SV=1</t>
  </si>
  <si>
    <t>Uncharacterized protein OS=Prunus persica GN=PRUPE_ppa011428mg PE=4 SV=1</t>
  </si>
  <si>
    <t>Uncharacterized protein OS=Prunus persica GN=PRUPE_ppa010377mg PE=4 SV=1</t>
  </si>
  <si>
    <t>Putative uncharacterized protein OS=Vitis vinifera GN=VIT_15s0046g03720 PE=4 SV=1</t>
  </si>
  <si>
    <t>Uncharacterized protein OS=Prunus persica GN=PRUPE_ppa025664mg PE=4 SV=1</t>
  </si>
  <si>
    <t>Uncharacterized protein OS=Prunus persica GN=PRUPE_ppa007503mg PE=4 SV=1</t>
  </si>
  <si>
    <t>Uncharacterized protein OS=Prunus persica GN=PRUPE_ppa004743mg PE=4 SV=1</t>
  </si>
  <si>
    <t>Uncharacterized protein OS=Prunus persica GN=PRUPE_ppa005675mg PE=4 SV=1</t>
  </si>
  <si>
    <t>Uncharacterized protein OS=Prunus persica GN=PRUPE_ppa012020mg PE=4 SV=1</t>
  </si>
  <si>
    <t>Cytochrome f OS=Prunus kansuensis GN=petA PE=3 SV=1</t>
  </si>
  <si>
    <t>Uncharacterized protein OS=Prunus persica GN=PRUPE_ppa012536mg PE=4 SV=1</t>
  </si>
  <si>
    <t>Uncharacterized protein (Fragment) OS=Prunus persica GN=PRUPE_ppa021231mg PE=4 SV=1</t>
  </si>
  <si>
    <t>Uncharacterized protein OS=Prunus persica GN=PRUPE_ppa021606mg PE=4 SV=1</t>
  </si>
  <si>
    <t>Uncharacterized protein OS=Prunus persica GN=PRUPE_ppa013400mg PE=4 SV=1</t>
  </si>
  <si>
    <t>Uncharacterized protein OS=Prunus persica GN=PRUPE_ppa009814mg PE=3 SV=1</t>
  </si>
  <si>
    <t>Putative uncharacterized protein OS=Ricinus communis GN=RCOM_0912620 PE=4 SV=1</t>
  </si>
  <si>
    <t>Uncharacterized protein OS=Prunus persica GN=PRUPE_ppa015622mg PE=4 SV=1</t>
  </si>
  <si>
    <t>Uncharacterized protein OS=Prunus persica GN=PRUPE_ppa001341mg PE=3 SV=1</t>
  </si>
  <si>
    <t>Uncharacterized protein OS=Prunus persica GN=PRUPE_ppa005550mg PE=4 SV=1</t>
  </si>
  <si>
    <t>Uncharacterized protein OS=Prunus persica GN=PRUPE_ppa002334mg PE=4 SV=1</t>
  </si>
  <si>
    <t>Uncharacterized protein OS=Prunus persica GN=PRUPE_ppa011663mg PE=4 SV=1</t>
  </si>
  <si>
    <t>Skp1-like protein 1 OS=Prunus avium PE=2 SV=1</t>
  </si>
  <si>
    <t>Uncharacterized protein OS=Prunus persica GN=PRUPE_ppa005023mg PE=4 SV=1</t>
  </si>
  <si>
    <t>Uncharacterized protein OS=Prunus persica GN=PRUPE_ppa002429mg PE=3 SV=1</t>
  </si>
  <si>
    <t>Uncharacterized protein OS=Prunus persica GN=PRUPE_ppa027138mg PE=4 SV=1</t>
  </si>
  <si>
    <t>Uncharacterized protein OS=Prunus persica GN=PRUPE_ppa002706mg PE=4 SV=1</t>
  </si>
  <si>
    <t>Uncharacterized protein OS=Prunus persica GN=PRUPE_ppa007847mg PE=4 SV=1</t>
  </si>
  <si>
    <t>Uncharacterized protein OS=Prunus persica GN=PRUPE_ppa007084mg PE=4 SV=1</t>
  </si>
  <si>
    <t>Uncharacterized protein OS=Prunus persica GN=PRUPE_ppa016979mg PE=4 SV=1</t>
  </si>
  <si>
    <t>Uncharacterized protein OS=Prunus persica GN=PRUPE_ppa021982mg PE=4 SV=1</t>
  </si>
  <si>
    <t>Uncharacterized protein OS=Prunus persica GN=PRUPE_ppa003384mg PE=3 SV=1</t>
  </si>
  <si>
    <t>UMP-CMP kinase OS=Prunus persica GN=PRUPE_ppa011471mg PE=3 SV=1</t>
  </si>
  <si>
    <t>Uncharacterized protein OS=Prunus persica GN=PRUPE_ppa018737mg PE=4 SV=1</t>
  </si>
  <si>
    <t>Uncharacterized protein OS=Prunus persica GN=PRUPE_ppa006244mg PE=4 SV=1</t>
  </si>
  <si>
    <t>Uncharacterized protein OS=Prunus persica GN=PRUPE_ppa006090mg PE=4 SV=1</t>
  </si>
  <si>
    <t>Zinc finger C-x8-C-x5-C-x3-H type family protein, putative isoform 1 OS=Theobroma cacao GN=TCM_039821 PE=4 SV=1</t>
  </si>
  <si>
    <t>Uncharacterized protein OS=Eucalyptus grandis GN=EUGRSUZ_H00892 PE=4 SV=1</t>
  </si>
  <si>
    <t>Uncharacterized protein OS=Morus notabilis GN=L484_002623 PE=4 SV=1</t>
  </si>
  <si>
    <t>Uncharacterized protein OS=Prunus persica GN=PRUPE_ppa000894mg PE=4 SV=1</t>
  </si>
  <si>
    <t>Uncharacterized protein OS=Prunus persica GN=PRUPE_ppa017607mg PE=4 SV=1</t>
  </si>
  <si>
    <t>Uncharacterized protein OS=Prunus persica GN=PRUPE_ppa024517mg PE=4 SV=1</t>
  </si>
  <si>
    <t>Uncharacterized protein OS=Prunus persica GN=PRUPE_ppa001888mg PE=3 SV=1</t>
  </si>
  <si>
    <t>Uncharacterized protein (Fragment) OS=Prunus persica GN=PRUPE_ppa022028mg PE=4 SV=1</t>
  </si>
  <si>
    <t>Ras family protein OS=Colletotrichum graminicola (strain M1.001 / M2 / FGSC 10212) GN=GLRG_05224 PE=3 SV=1</t>
  </si>
  <si>
    <t>Uncharacterized protein OS=Prunus persica GN=PRUPE_ppa011846mg PE=4 SV=1</t>
  </si>
  <si>
    <t>Uncharacterized protein OS=Prunus persica GN=PRUPE_ppa002479mg PE=4 SV=1</t>
  </si>
  <si>
    <t>Uncharacterized protein OS=Prunus persica GN=PRUPE_ppa001513mg PE=4 SV=1</t>
  </si>
  <si>
    <t>Uncharacterized protein OS=Prunus persica GN=PRUPE_ppa002774mg PE=4 SV=1</t>
  </si>
  <si>
    <t>NAD(P)H-quinone oxidoreductase subunit H OS=Medicago truncatula GN=MTR_4g006100 PE=3 SV=1</t>
  </si>
  <si>
    <t>Hypothetical chloroplast RF19 OS=Prunus mume GN=ycf1 PE=4 SV=1</t>
  </si>
  <si>
    <t>Uncharacterized protein OS=Prunus persica GN=PRUPE_ppa002153mg PE=4 SV=1</t>
  </si>
  <si>
    <t>Uncharacterized protein OS=Prunus persica GN=PRUPE_ppa006296mg PE=4 SV=1</t>
  </si>
  <si>
    <t>Uncharacterized protein OS=Prunus persica GN=PRUPE_ppa010655mg PE=4 SV=1</t>
  </si>
  <si>
    <t>Uncharacterized protein OS=Prunus persica GN=PRUPE_ppa007862mg PE=4 SV=1</t>
  </si>
  <si>
    <t>Uncharacterized protein OS=Prunus persica GN=PRUPE_ppa009602mg PE=4 SV=1</t>
  </si>
  <si>
    <t>Uncharacterized protein OS=Prunus persica GN=PRUPE_ppa000826mg PE=4 SV=1</t>
  </si>
  <si>
    <t>Uncharacterized protein OS=Prunus persica GN=PRUPE_ppa011454mg PE=4 SV=1</t>
  </si>
  <si>
    <t>Uncharacterized protein OS=Prunus persica GN=PRUPE_ppa007891mg PE=3 SV=1</t>
  </si>
  <si>
    <t>Uncharacterized protein OS=Prunus persica GN=PRUPE_ppa000912mg PE=4 SV=1</t>
  </si>
  <si>
    <t>Uncharacterized protein OS=Prunus persica GN=PRUPE_ppa003312mg PE=4 SV=1</t>
  </si>
  <si>
    <t>Tfe OS=Gossypium arboreum GN=F383_08357 PE=4 SV=1</t>
  </si>
  <si>
    <t>Uncharacterized protein OS=Prunus persica GN=PRUPE_ppa003854mg PE=4 SV=1</t>
  </si>
  <si>
    <t>Uncharacterized protein OS=Prunus persica GN=PRUPE_ppa011977mg PE=4 SV=1</t>
  </si>
  <si>
    <t>Uncharacterized protein OS=Prunus persica GN=PRUPE_ppa009055mg PE=4 SV=1</t>
  </si>
  <si>
    <t>MATE efflux family protein OS=Prunus persica GN=PRUPE_ppa003694mg PE=3 SV=1</t>
  </si>
  <si>
    <t>Uncharacterized protein OS=Prunus persica GN=PRUPE_ppa001996mg PE=4 SV=1</t>
  </si>
  <si>
    <t>Uncharacterized protein OS=Prunus persica GN=PRUPE_ppa000920mg PE=4 SV=1</t>
  </si>
  <si>
    <t>Uncharacterized protein OS=Prunus persica GN=PRUPE_ppa012080mg PE=3 SV=1</t>
  </si>
  <si>
    <t>Uncharacterized protein OS=Prunus persica GN=PRUPE_ppa013243mg PE=4 SV=1</t>
  </si>
  <si>
    <t>Uncharacterized protein OS=Prunus persica GN=PRUPE_ppa010349mg PE=4 SV=1</t>
  </si>
  <si>
    <t>Uncharacterized protein OS=Prunus persica GN=PRUPE_ppa003730mg PE=4 SV=1</t>
  </si>
  <si>
    <t>Uncharacterized protein OS=Prunus persica GN=PRUPE_ppa023694mg PE=4 SV=1</t>
  </si>
  <si>
    <t>Uncharacterized protein OS=Prunus persica GN=PRUPE_ppa013419mg PE=4 SV=1</t>
  </si>
  <si>
    <t>Putative uncharacterized protein OS=Ricinus communis GN=RCOM_1328320 PE=4 SV=1</t>
  </si>
  <si>
    <t>Uncharacterized protein OS=Prunus persica GN=PRUPE_ppa001690mg PE=3 SV=1</t>
  </si>
  <si>
    <t>Annexin OS=Prunus persica GN=PRUPE_ppa008881mg PE=3 SV=1</t>
  </si>
  <si>
    <t>Uncharacterized protein (Fragment) OS=Prunus persica GN=PRUPE_ppa1027176m1g PE=4 SV=1</t>
  </si>
  <si>
    <t>Uncharacterized protein OS=Prunus persica GN=PRUPE_ppa002582mg PE=4 SV=1</t>
  </si>
  <si>
    <t>Uncharacterized protein OS=Prunus persica GN=PRUPE_ppa014641mg PE=4 SV=1</t>
  </si>
  <si>
    <t>Uncharacterized protein OS=Prunus persica GN=PRUPE_ppa002856mg PE=4 SV=1</t>
  </si>
  <si>
    <t>Uncharacterized protein OS=Prunus persica GN=PRUPE_ppa006926mg PE=3 SV=1</t>
  </si>
  <si>
    <t>Uncharacterized protein OS=Prunus persica GN=PRUPE_ppa009301mg PE=4 SV=1</t>
  </si>
  <si>
    <t>Uncharacterized protein OS=Prunus persica GN=PRUPE_ppa012674mg PE=4 SV=1</t>
  </si>
  <si>
    <t>Uncharacterized protein OS=Prunus persica GN=PRUPE_ppa020585mg PE=4 SV=1</t>
  </si>
  <si>
    <t>Uncharacterized protein (Fragment) OS=Prunus persica GN=PRUPE_ppa018151mg PE=4 SV=1</t>
  </si>
  <si>
    <t>Uncharacterized protein (Fragment) OS=Citrus sinensis GN=CISIN_1g048446mg PE=4 SV=1</t>
  </si>
  <si>
    <t>Uncharacterized protein (Fragment) OS=Prunus persica GN=PRUPE_ppa018398mg PE=4 SV=1</t>
  </si>
  <si>
    <t>Uncharacterized protein OS=Prunus persica GN=PRUPE_ppa011188mg PE=4 SV=1</t>
  </si>
  <si>
    <t>Uncharacterized protein OS=Prunus persica GN=PRUPE_ppa001081mg PE=4 SV=1</t>
  </si>
  <si>
    <t>Uncharacterized protein OS=Prunus persica GN=PRUPE_ppa014970mg PE=4 SV=1</t>
  </si>
  <si>
    <t>Uncharacterized protein OS=Prunus persica GN=PRUPE_ppa007541mg PE=4 SV=1</t>
  </si>
  <si>
    <t>Uncharacterized protein OS=Prunus persica GN=PRUPE_ppa006749mg PE=4 SV=1</t>
  </si>
  <si>
    <t>Uncharacterized protein OS=Prunus persica GN=PRUPE_ppa002173mg PE=4 SV=1</t>
  </si>
  <si>
    <t>Uncharacterized protein OS=Prunus persica GN=PRUPE_ppa000819mg PE=4 SV=1</t>
  </si>
  <si>
    <t>Uncharacterized protein OS=Prunus persica GN=PRUPE_ppa023221mg PE=4 SV=1</t>
  </si>
  <si>
    <t>Uncharacterized protein OS=Prunus persica GN=PRUPE_ppa011474mg PE=4 SV=1</t>
  </si>
  <si>
    <t>Uncharacterized protein OS=Prunus persica GN=PRUPE_ppa003439mg PE=4 SV=1</t>
  </si>
  <si>
    <t>Uncharacterized protein OS=Prunus persica GN=PRUPE_ppa010859mg PE=4 SV=1</t>
  </si>
  <si>
    <t>Uncharacterized protein OS=Prunus persica GN=PRUPE_ppa002593mg PE=4 SV=1</t>
  </si>
  <si>
    <t>Aminoacylase-1 OS=Prunus persica GN=PRUPE_ppa005883mg PE=3 SV=1</t>
  </si>
  <si>
    <t>Uncharacterized protein OS=Prunus persica GN=PRUPE_ppa019447mg PE=4 SV=1</t>
  </si>
  <si>
    <t>Uncharacterized protein OS=Prunus persica GN=PRUPE_ppa009880mg PE=4 SV=1</t>
  </si>
  <si>
    <t>Uncharacterized protein (Fragment) OS=Prunus persica GN=PRUPE_ppa015138mg PE=4 SV=1</t>
  </si>
  <si>
    <t>Uncharacterized protein OS=Prunus persica GN=PRUPE_ppa015059mg PE=4 SV=1</t>
  </si>
  <si>
    <t>Uncharacterized protein OS=Prunus persica GN=PRUPE_ppa005961mg PE=4 SV=1</t>
  </si>
  <si>
    <t>Putative aarF domain-containing protein kinase OS=Morus notabilis GN=L484_016467 PE=4 SV=1</t>
  </si>
  <si>
    <t>Uncharacterized protein OS=Prunus persica GN=PRUPE_ppa010329mg PE=4 SV=1</t>
  </si>
  <si>
    <t>Uncharacterized protein OS=Prunus persica GN=PRUPE_ppa004908mg PE=4 SV=1</t>
  </si>
  <si>
    <t>Uncharacterized protein OS=Prunus persica GN=PRUPE_ppa010307mg PE=4 SV=1</t>
  </si>
  <si>
    <t>Uncharacterized protein (Fragment) OS=Prunus persica GN=PRUPE_ppa024026mg PE=4 SV=1</t>
  </si>
  <si>
    <t>Uncharacterized protein OS=Prunus persica GN=PRUPE_ppa019151mg PE=4 SV=1</t>
  </si>
  <si>
    <t>Uncharacterized protein OS=Prunus persica GN=PRUPE_ppa013774mg PE=4 SV=1</t>
  </si>
  <si>
    <t>Uncharacterized protein OS=Prunus persica GN=PRUPE_ppb021895mg PE=4 SV=1</t>
  </si>
  <si>
    <t>Uncharacterized protein OS=Prunus persica GN=PRUPE_ppa006132mg PE=4 SV=1</t>
  </si>
  <si>
    <t>Uncharacterized protein OS=Prunus persica GN=PRUPE_ppa001189mg PE=4 SV=1</t>
  </si>
  <si>
    <t>Uncharacterized protein OS=Prunus persica GN=PRUPE_ppa013358mg PE=4 SV=1</t>
  </si>
  <si>
    <t>Uncharacterized protein OS=Prunus persica GN=PRUPE_ppa026635mg PE=3 SV=1</t>
  </si>
  <si>
    <t>Uncharacterized protein OS=Prunus persica GN=PRUPE_ppa018611mg PE=3 SV=1</t>
  </si>
  <si>
    <t>Uncharacterized protein OS=Prunus persica GN=PRUPE_ppa007121mg PE=4 SV=1</t>
  </si>
  <si>
    <t>Uncharacterized protein OS=Prunus persica GN=PRUPE_ppa007588mg PE=4 SV=1</t>
  </si>
  <si>
    <t>Plasma membrane ATPase OS=Hypocrea atroviridis (strain ATCC 20476 / IMI 206040) GN=pma1 PE=3 SV=1</t>
  </si>
  <si>
    <t>Uncharacterized protein OS=Prunus persica GN=PRUPE_ppa006061mg PE=4 SV=1</t>
  </si>
  <si>
    <t>Uncharacterized protein OS=Prunus persica GN=PRUPE_ppa024866mg PE=4 SV=1</t>
  </si>
  <si>
    <t>Uncharacterized protein OS=Prunus persica GN=PRUPE_ppa005405mg PE=4 SV=1</t>
  </si>
  <si>
    <t>Uncharacterized protein OS=Prunus persica GN=PRUPE_ppa022446mg PE=4 SV=1</t>
  </si>
  <si>
    <t>40S ribosomal protein S18 OS=Coniosporium apollinis (strain CBS 100218) GN=W97_01614 PE=3 SV=1</t>
  </si>
  <si>
    <t>Uncharacterized protein OS=Prunus persica GN=PRUPE_ppa007218mg PE=3 SV=1</t>
  </si>
  <si>
    <t>Uncharacterized protein OS=Prunus persica GN=PRUPE_ppa001241mg PE=4 SV=1</t>
  </si>
  <si>
    <t>Uncharacterized protein OS=Prunus persica GN=PRUPE_ppa024360mg PE=3 SV=1</t>
  </si>
  <si>
    <t>Uncharacterized protein (Fragment) OS=Prunus persica GN=PRUPE_ppa025826mg PE=4 SV=1</t>
  </si>
  <si>
    <t>Uncharacterized protein OS=Prunus persica GN=PRUPE_ppa002219mg PE=4 SV=1</t>
  </si>
  <si>
    <t>Uncharacterized protein OS=Prunus persica GN=PRUPE_ppa008646mg PE=4 SV=1</t>
  </si>
  <si>
    <t>Uncharacterized protein OS=Prunus persica GN=PRUPE_ppa012082mg PE=3 SV=1</t>
  </si>
  <si>
    <t>Uncharacterized protein OS=Prunus persica GN=PRUPE_ppa008347mg PE=4 SV=1</t>
  </si>
  <si>
    <t>Uncharacterized protein OS=Prunus persica GN=PRUPE_ppa005484mg PE=4 SV=1</t>
  </si>
  <si>
    <t>Uncharacterized protein OS=Prunus persica GN=PRUPE_ppa000953mg PE=4 SV=1</t>
  </si>
  <si>
    <t>Uncharacterized protein OS=Prunus persica GN=PRUPE_ppa009344mg PE=4 SV=1</t>
  </si>
  <si>
    <t>Uncharacterized protein (Fragment) OS=Prunus persica GN=PRUPE_ppa019928mg PE=4 SV=1</t>
  </si>
  <si>
    <t>Uncharacterized protein OS=Jatropha curcas GN=JCGZ_06351 PE=4 SV=1</t>
  </si>
  <si>
    <t>Uncharacterized protein OS=Prunus persica GN=PRUPE_ppa000444mg PE=4 SV=1</t>
  </si>
  <si>
    <t>Uncharacterized protein OS=Prunus persica GN=PRUPE_ppa012051mg PE=4 SV=1</t>
  </si>
  <si>
    <t>Uncharacterized protein OS=Prunus persica GN=PRUPE_ppa013266mg PE=4 SV=1</t>
  </si>
  <si>
    <t>Uncharacterized protein OS=Prunus persica GN=PRUPE_ppa012783mg PE=3 SV=1</t>
  </si>
  <si>
    <t>Uncharacterized protein OS=Prunus persica GN=PRUPE_ppa000631mg PE=4 SV=1</t>
  </si>
  <si>
    <t>Uncharacterized protein (Fragment) OS=Prunus persica GN=PRUPE_ppa021666mg PE=4 SV=1</t>
  </si>
  <si>
    <t>Uncharacterized protein OS=Prunus persica GN=PRUPE_ppa007147mg PE=4 SV=1</t>
  </si>
  <si>
    <t>Uncharacterized protein OS=Prunus persica GN=PRUPE_ppa009046mg PE=3 SV=1</t>
  </si>
  <si>
    <t>Uncharacterized protein OS=Prunus persica GN=PRUPE_ppa011514mg PE=4 SV=1</t>
  </si>
  <si>
    <t>Uncharacterized protein OS=Prunus persica GN=PRUPE_ppa012272mg PE=4 SV=1</t>
  </si>
  <si>
    <t>Uncharacterized protein OS=Prunus persica GN=PRUPE_ppa006720mg PE=4 SV=1</t>
  </si>
  <si>
    <t>Uncharacterized protein OS=Eucalyptus grandis GN=EUGRSUZ_G00770 PE=4 SV=1</t>
  </si>
  <si>
    <t>Uncharacterized protein OS=Prunus persica GN=PRUPE_ppb009532mg PE=3 SV=1</t>
  </si>
  <si>
    <t>Uncharacterized protein OS=Prunus persica GN=PRUPE_ppa005081mg PE=4 SV=1</t>
  </si>
  <si>
    <t>Uncharacterized protein OS=Prunus persica GN=PRUPE_ppa001589mg PE=4 SV=1</t>
  </si>
  <si>
    <t>Uncharacterized protein OS=Prunus persica GN=PRUPE_ppa003130mg PE=4 SV=1</t>
  </si>
  <si>
    <t>Uncharacterized protein OS=Prunus persica GN=PRUPE_ppa000487mg PE=4 SV=1</t>
  </si>
  <si>
    <t>BHLH domain class transcription factor OS=Malus domestica GN=BHLH7 PE=2 SV=1</t>
  </si>
  <si>
    <t>Uncharacterized protein OS=Prunus persica GN=PRUPE_ppa009820mg PE=3 SV=1</t>
  </si>
  <si>
    <t>Uncharacterized protein OS=Prunus persica GN=PRUPE_ppa009003mg PE=4 SV=1</t>
  </si>
  <si>
    <t>TAC1 OS=Prunus persica PE=4 SV=1</t>
  </si>
  <si>
    <t>Uncharacterized protein OS=Prunus persica GN=PRUPE_ppa003951mg PE=4 SV=1</t>
  </si>
  <si>
    <t>Uncharacterized protein OS=Prunus persica GN=PRUPE_ppb017893mg PE=4 SV=1</t>
  </si>
  <si>
    <t>Uncharacterized protein OS=Prunus persica GN=PRUPE_ppa023756mg PE=4 SV=1</t>
  </si>
  <si>
    <t>Uncharacterized protein OS=Eucalyptus grandis GN=EUGRSUZ_A02734 PE=3 SV=1</t>
  </si>
  <si>
    <t>Uncharacterized protein OS=Prunus persica GN=PRUPE_ppa005446mg PE=3 SV=1</t>
  </si>
  <si>
    <t>Uncharacterized protein OS=Prunus persica GN=PRUPE_ppa011559mg PE=4 SV=1</t>
  </si>
  <si>
    <t>Uncharacterized protein OS=Prunus persica GN=PRUPE_ppa023497mg PE=4 SV=1</t>
  </si>
  <si>
    <t>Far1-related sequence 10 isoform 5 OS=Theobroma cacao GN=TCM_030416 PE=4 SV=1</t>
  </si>
  <si>
    <t>Putative uncharacterized protein OS=Vitis vinifera GN=VIT_07s0130g00120 PE=4 SV=1</t>
  </si>
  <si>
    <t>Uncharacterized protein OS=Prunus persica GN=PRUPE_ppa001933mg PE=4 SV=1</t>
  </si>
  <si>
    <t>Uncharacterized protein OS=Prunus persica GN=PRUPE_ppa023167mg PE=4 SV=1</t>
  </si>
  <si>
    <t>Lipoxygenase OS=Prunus persica GN=PRUPE_ppa000968mg PE=3 SV=1</t>
  </si>
  <si>
    <t>Uncharacterized protein (Fragment) OS=Prunus persica GN=PRUPE_ppa023625mg PE=4 SV=1</t>
  </si>
  <si>
    <t>Uncharacterized protein OS=Prunus persica GN=PRUPE_ppa017871mg PE=4 SV=1</t>
  </si>
  <si>
    <t>Uncharacterized protein OS=Prunus persica GN=PRUPE_ppa008578mg PE=4 SV=1</t>
  </si>
  <si>
    <t>Uncharacterized protein OS=Prunus persica GN=PRUPE_ppa004219mg PE=3 SV=1</t>
  </si>
  <si>
    <t>Uncharacterized protein OS=Prunus persica GN=PRUPE_ppa008810mg PE=3 SV=1</t>
  </si>
  <si>
    <t>Uncharacterized protein OS=Prunus persica GN=PRUPE_ppa003186mg PE=4 SV=1</t>
  </si>
  <si>
    <t>Uncharacterized protein OS=Prunus persica GN=PRUPE_ppa011913mg PE=4 SV=1</t>
  </si>
  <si>
    <t>Uncharacterized protein OS=Prunus persica GN=PRUPE_ppa009754mg PE=4 SV=1</t>
  </si>
  <si>
    <t>Uncharacterized protein OS=Prunus persica GN=PRUPE_ppa011176mg PE=4 SV=1</t>
  </si>
  <si>
    <t>Uncharacterized protein OS=Morus notabilis GN=L484_023155 PE=4 SV=1</t>
  </si>
  <si>
    <t>Uncharacterized protein OS=Prunus persica GN=PRUPE_ppa009883mg PE=4 SV=1</t>
  </si>
  <si>
    <t>Uncharacterized protein OS=Prunus persica GN=PRUPE_ppa010125mg PE=4 SV=1</t>
  </si>
  <si>
    <t>Uncharacterized protein OS=Prunus persica GN=PRUPE_ppa013044mg PE=4 SV=1</t>
  </si>
  <si>
    <t>Uncharacterized protein (Fragment) OS=Prunus persica GN=PRUPE_ppa015343mg PE=4 SV=1</t>
  </si>
  <si>
    <t>Uncharacterized protein OS=Prunus persica GN=PRUPE_ppa002890mg PE=4 SV=1</t>
  </si>
  <si>
    <t>Uncharacterized protein OS=Prunus persica GN=PRUPE_ppa003657mg PE=4 SV=1</t>
  </si>
  <si>
    <t>Uncharacterized protein (Fragment) OS=Prunus persica GN=PRUPE_ppa017848mg PE=4 SV=1</t>
  </si>
  <si>
    <t>Uncharacterized protein OS=Prunus persica GN=PRUPE_ppa005742mg PE=4 SV=1</t>
  </si>
  <si>
    <t>Uncharacterized protein OS=Prunus persica GN=PRUPE_ppa012025mg PE=4 SV=1</t>
  </si>
  <si>
    <t>Leucoanthocyanidin dioxygenase OS=Prunus persica GN=LDOX PE=2 SV=1</t>
  </si>
  <si>
    <t>Uncharacterized protein OS=Prunus persica GN=PRUPE_ppa003247mg PE=4 SV=1</t>
  </si>
  <si>
    <t>Uncharacterized protein OS=Prunus persica GN=PRUPE_ppa007156mg PE=4 SV=1</t>
  </si>
  <si>
    <t>Uncharacterized protein OS=Prunus persica GN=PRUPE_ppa007878mg PE=4 SV=1</t>
  </si>
  <si>
    <t>Uncharacterized protein OS=Prunus persica GN=PRUPE_ppa008276mg PE=4 SV=1</t>
  </si>
  <si>
    <t>Uncharacterized protein OS=Prunus persica GN=PRUPE_ppa010981mg PE=4 SV=1</t>
  </si>
  <si>
    <t>Putative uncharacterized protein OS=Vitis vinifera GN=VIT_02s0087g00070 PE=4 SV=1</t>
  </si>
  <si>
    <t>Uncharacterized protein OS=Prunus persica GN=PRUPE_ppa005882mg PE=4 SV=1</t>
  </si>
  <si>
    <t>Uncharacterized protein OS=Prunus persica GN=PRUPE_ppa006453mg PE=4 SV=1</t>
  </si>
  <si>
    <t>Uncharacterized protein OS=Prunus persica GN=PRUPE_ppa006403mg PE=4 SV=1</t>
  </si>
  <si>
    <t>Uncharacterized protein (Fragment) OS=Prunus persica GN=PRUPE_ppa026682mg PE=3 SV=1</t>
  </si>
  <si>
    <t>Uncharacterized protein OS=Prunus persica GN=PRUPE_ppa000326mg PE=4 SV=1</t>
  </si>
  <si>
    <t>Uncharacterized protein OS=Prunus persica GN=PRUPE_ppa005661mg PE=4 SV=1</t>
  </si>
  <si>
    <t>Uncharacterized protein OS=Prunus persica GN=PRUPE_ppa011001mg PE=4 SV=1</t>
  </si>
  <si>
    <t>Uncharacterized protein OS=Prunus persica GN=PRUPE_ppa012901mg PE=4 SV=1</t>
  </si>
  <si>
    <t>Uncharacterized protein OS=Prunus persica GN=PRUPE_ppa025120mg PE=4 SV=1</t>
  </si>
  <si>
    <t>Uncharacterized protein OS=Prunus persica GN=PRUPE_ppa011959mg PE=4 SV=1</t>
  </si>
  <si>
    <t>Uncharacterized protein OS=Prunus persica GN=PRUPE_ppa022321mg PE=4 SV=1</t>
  </si>
  <si>
    <t>Uncharacterized protein OS=Prunus persica GN=PRUPE_ppa003118mg PE=4 SV=1</t>
  </si>
  <si>
    <t>Uncharacterized protein OS=Prunus persica GN=PRUPE_ppa010259mg PE=4 SV=1</t>
  </si>
  <si>
    <t>Uncharacterized protein OS=Prunus persica GN=PRUPE_ppa010924mg PE=4 SV=1</t>
  </si>
  <si>
    <t>Uncharacterized protein (Fragment) OS=Prunus persica GN=PRUPE_ppa016930mg PE=4 SV=1</t>
  </si>
  <si>
    <t>Uncharacterized protein OS=Prunus persica GN=PRUPE_ppa020213mg PE=4 SV=1</t>
  </si>
  <si>
    <t>Uncharacterized protein OS=Prunus persica GN=PRUPE_ppa007674mg PE=4 SV=1</t>
  </si>
  <si>
    <t>Uncharacterized protein OS=Prunus persica GN=PRUPE_ppa001441mg PE=4 SV=1</t>
  </si>
  <si>
    <t>Uncharacterized protein OS=Prunus persica GN=PRUPE_ppa027068mg PE=4 SV=1</t>
  </si>
  <si>
    <t>Uncharacterized protein OS=Prunus persica GN=PRUPE_ppa005016mg PE=4 SV=1</t>
  </si>
  <si>
    <t>Uncharacterized protein OS=Prunus persica GN=PRUPE_ppa027140mg PE=3 SV=1</t>
  </si>
  <si>
    <t>Mitogen-activated protein kinase OS=Prunus persica GN=PRUPE_ppa007332mg PE=3 SV=1</t>
  </si>
  <si>
    <t>Uncharacterized protein OS=Prunus persica GN=PRUPE_ppa008829mg PE=3 SV=1</t>
  </si>
  <si>
    <t>Uncharacterized protein OS=Prunus persica GN=PRUPE_ppa007288mg PE=4 SV=1</t>
  </si>
  <si>
    <t>Uncharacterized protein OS=Prunus persica GN=PRUPE_ppa014688mg PE=4 SV=1</t>
  </si>
  <si>
    <t>Uncharacterized protein OS=Prunus persica GN=PRUPE_ppa022983mg PE=4 SV=1</t>
  </si>
  <si>
    <t>Uncharacterized protein OS=Prunus persica GN=PRUPE_ppa024091mg PE=4 SV=1</t>
  </si>
  <si>
    <t>Uncharacterized protein OS=Medicago truncatula GN=MTR_1g082370 PE=4 SV=1</t>
  </si>
  <si>
    <t>Uncharacterized protein OS=Prunus persica GN=PRUPE_ppa007256mg PE=4 SV=1</t>
  </si>
  <si>
    <t>Uncharacterized protein OS=Prunus persica GN=PRUPE_ppa010534mg PE=4 SV=1</t>
  </si>
  <si>
    <t>Thymidine kinase OS=Prunus persica GN=PRUPE_ppa010211mg PE=3 SV=1</t>
  </si>
  <si>
    <t>Putative uncharacterized protein OS=Vitis vinifera GN=VIT_16s0050g00720 PE=4 SV=1</t>
  </si>
  <si>
    <t>Uncharacterized protein (Fragment) OS=Prunus persica GN=PRUPE_ppa019759m1g PE=4 SV=1</t>
  </si>
  <si>
    <t>Uncharacterized protein OS=Prunus persica GN=PRUPE_ppa017729mg PE=4 SV=1</t>
  </si>
  <si>
    <t>Uncharacterized protein OS=Prunus persica GN=PRUPE_ppa010201mg PE=4 SV=1</t>
  </si>
  <si>
    <t>Uncharacterized protein OS=Prunus persica GN=PRUPE_ppa000513mg PE=4 SV=1</t>
  </si>
  <si>
    <t>Uncharacterized protein OS=Prunus persica GN=PRUPE_ppa001447mg PE=3 SV=1</t>
  </si>
  <si>
    <t>Uncharacterized protein OS=Prunus persica GN=PRUPE_ppa009444mg PE=4 SV=1</t>
  </si>
  <si>
    <t>Uncharacterized protein OS=Prunus persica GN=PRUPE_ppa007888mg PE=4 SV=1</t>
  </si>
  <si>
    <t>Beta-galactosidase OS=Prunus persica GN=PRUPE_ppa001345mg PE=3 SV=1</t>
  </si>
  <si>
    <t>GCR2-like 1 OS=Theobroma cacao GN=TCM_001050 PE=4 SV=1</t>
  </si>
  <si>
    <t>Uncharacterized protein OS=Prunus persica GN=PRUPE_ppa010832mg PE=3 SV=1</t>
  </si>
  <si>
    <t>Uncharacterized protein OS=Prunus persica GN=PRUPE_ppa002381mg PE=4 SV=1</t>
  </si>
  <si>
    <t>Uncharacterized protein OS=Prunus persica GN=PRUPE_ppa018966mg PE=4 SV=1</t>
  </si>
  <si>
    <t>Uncharacterized protein OS=Prunus persica GN=PRUPE_ppa009162mg PE=4 SV=1</t>
  </si>
  <si>
    <t>Uncharacterized protein OS=Prunus persica GN=PRUPE_ppa019039mg PE=4 SV=1</t>
  </si>
  <si>
    <t>Uncharacterized protein OS=Prunus persica GN=PRUPE_ppa016034mg PE=4 SV=1</t>
  </si>
  <si>
    <t>Uncharacterized protein (Fragment) OS=Prunus persica GN=PRUPE_ppa012121m2g PE=4 SV=1</t>
  </si>
  <si>
    <t>Uncharacterized protein OS=Prunus persica GN=PRUPE_ppa009403mg PE=4 SV=1</t>
  </si>
  <si>
    <t>Uncharacterized protein OS=Prunus persica GN=PRUPE_ppa005569mg PE=4 SV=1</t>
  </si>
  <si>
    <t>Uncharacterized protein OS=Prunus persica GN=PRUPE_ppa002016mg PE=4 SV=1</t>
  </si>
  <si>
    <t>Uncharacterized protein OS=Prunus persica GN=PRUPE_ppa007139mg PE=4 SV=1</t>
  </si>
  <si>
    <t>Uncharacterized protein OS=Prunus persica GN=PRUPE_ppa010433mg PE=4 SV=1</t>
  </si>
  <si>
    <t>S-acyltransferase OS=Prunus persica GN=PRUPE_ppa005660mg PE=3 SV=1</t>
  </si>
  <si>
    <t>Uncharacterized protein OS=Prunus persica GN=PRUPE_ppa022668mg PE=4 SV=1</t>
  </si>
  <si>
    <t>Uncharacterized protein (Fragment) OS=Prunus persica GN=PRUPE_ppa025392mg PE=4 SV=1</t>
  </si>
  <si>
    <t>Uncharacterized protein OS=Prunus persica GN=PRUPE_ppa007080mg PE=3 SV=1</t>
  </si>
  <si>
    <t>Peroxidase OS=Prunus persica GN=PRUPE_ppa007654mg PE=3 SV=1</t>
  </si>
  <si>
    <t>Uncharacterized protein OS=Prunus persica GN=PRUPE_ppa010380mg PE=4 SV=1</t>
  </si>
  <si>
    <t>Uncharacterized protein OS=Prunus persica GN=PRUPE_ppa017705mg PE=4 SV=1</t>
  </si>
  <si>
    <t>Uncharacterized protein OS=Prunus persica GN=PRUPE_ppa007781mg PE=3 SV=1</t>
  </si>
  <si>
    <t>Uncharacterized protein OS=Prunus persica GN=PRUPE_ppa009842mg PE=4 SV=1</t>
  </si>
  <si>
    <t>Uncharacterized protein OS=Prunus persica GN=PRUPE_ppa011061mg PE=4 SV=1</t>
  </si>
  <si>
    <t>Uncharacterized protein OS=Prunus persica GN=PRUPE_ppa010299mg PE=3 SV=1</t>
  </si>
  <si>
    <t>MATE efflux family protein OS=Prunus persica GN=PRUPE_ppa004113mg PE=3 SV=1</t>
  </si>
  <si>
    <t>Uncharacterized protein OS=Prunus persica GN=PRUPE_ppa015244mg PE=4 SV=1</t>
  </si>
  <si>
    <t>Uncharacterized protein (Fragment) OS=Prunus persica GN=PRUPE_ppa1027212mg PE=4 SV=1</t>
  </si>
  <si>
    <t>Uncharacterized protein OS=Prunus persica GN=PRUPE_ppa024374mg PE=4 SV=1</t>
  </si>
  <si>
    <t>Uncharacterized protein (Fragment) OS=Prunus persica GN=PRUPE_ppa023678mg PE=4 SV=1</t>
  </si>
  <si>
    <t>Peroxidase OS=Prunus persica GN=PRUPE_ppa015245mg PE=3 SV=1</t>
  </si>
  <si>
    <t>Uncharacterized protein OS=Prunus persica GN=PRUPE_ppa001979mg PE=4 SV=1</t>
  </si>
  <si>
    <t>Ribosomal protein L15 OS=Populus trichocarpa GN=POPTR_0002s14250g PE=3 SV=1</t>
  </si>
  <si>
    <t>Uncharacterized protein OS=Prunus persica GN=PRUPE_ppa005788mg PE=4 SV=1</t>
  </si>
  <si>
    <t>Uncharacterized protein OS=Prunus persica GN=PRUPE_ppa001467mg PE=3 SV=1</t>
  </si>
  <si>
    <t>Uncharacterized protein OS=Prunus persica GN=PRUPE_ppa006609mg PE=4 SV=1</t>
  </si>
  <si>
    <t>Uncharacterized protein OS=Prunus persica GN=PRUPE_ppa009432mg PE=4 SV=1</t>
  </si>
  <si>
    <t>Uncharacterized protein (Fragment) OS=Prunus persica GN=PRUPE_ppa020993mg PE=4 SV=1</t>
  </si>
  <si>
    <t>Uncharacterized protein OS=Prunus persica GN=PRUPE_ppa003835mg PE=3 SV=1</t>
  </si>
  <si>
    <t>Uncharacterized protein OS=Prunus persica GN=PRUPE_ppa005159mg PE=4 SV=1</t>
  </si>
  <si>
    <t>Uncharacterized protein OS=Prunus persica GN=PRUPE_ppa008684mg PE=4 SV=1</t>
  </si>
  <si>
    <t>Uncharacterized protein OS=Prunus persica GN=PRUPE_ppa002213mg PE=4 SV=1</t>
  </si>
  <si>
    <t>Uncharacterized protein OS=Prunus persica GN=PRUPE_ppa002471mg PE=4 SV=1</t>
  </si>
  <si>
    <t>Uncharacterized protein OS=Prunus persica GN=PRUPE_ppa005148mg PE=4 SV=1</t>
  </si>
  <si>
    <t>Uncharacterized protein OS=Citrus clementina GN=CICLE_v10014915mg PE=4 SV=1</t>
  </si>
  <si>
    <t>Uncharacterized protein OS=Prunus persica GN=PRUPE_ppa009699mg PE=4 SV=1</t>
  </si>
  <si>
    <t>Uncharacterized protein OS=Prunus persica GN=PRUPE_ppa009331mg PE=4 SV=1</t>
  </si>
  <si>
    <t>Uncharacterized protein OS=Prunus persica GN=PRUPE_ppa001271mg PE=4 SV=1</t>
  </si>
  <si>
    <t>Uncharacterized protein OS=Prunus persica GN=PRUPE_ppa004888mg PE=4 SV=1</t>
  </si>
  <si>
    <t>Uncharacterized protein OS=Prunus persica GN=PRUPE_ppa015364mg PE=4 SV=1</t>
  </si>
  <si>
    <t>Uncharacterized protein OS=Prunus persica GN=PRUPE_ppa012134mg PE=4 SV=1</t>
  </si>
  <si>
    <t>Uncharacterized protein OS=Prunus persica GN=PRUPE_ppa010622mg PE=4 SV=1</t>
  </si>
  <si>
    <t>Defective in cullin neddylation protein OS=Prunus persica GN=PRUPE_ppa010116mg PE=4 SV=1</t>
  </si>
  <si>
    <t>Uncharacterized protein OS=Prunus persica GN=PRUPE_ppa026697mg PE=4 SV=1</t>
  </si>
  <si>
    <t>Uncharacterized protein OS=Prunus persica GN=PRUPE_ppa004081mg PE=4 SV=1</t>
  </si>
  <si>
    <t>CASP-like protein OS=Prunus persica GN=PRUPE_ppa011435mg PE=3 SV=1</t>
  </si>
  <si>
    <t>Uncharacterized protein OS=Prunus persica GN=PRUPE_ppa001001mg PE=3 SV=1</t>
  </si>
  <si>
    <t>Uncharacterized protein OS=Prunus persica GN=PRUPE_ppa009990mg PE=4 SV=1</t>
  </si>
  <si>
    <t>Uncharacterized protein OS=Prunus persica GN=PRUPE_ppa002298mg PE=3 SV=1</t>
  </si>
  <si>
    <t>Uncharacterized protein OS=Prunus persica GN=PRUPE_ppa005209mg PE=4 SV=1</t>
  </si>
  <si>
    <t>Uncharacterized protein OS=Prunus persica GN=PRUPE_ppa024741mg PE=4 SV=1</t>
  </si>
  <si>
    <t>Uncharacterized protein OS=Prunus persica GN=PRUPE_ppa005808mg PE=4 SV=1</t>
  </si>
  <si>
    <t>Uncharacterized protein (Fragment) OS=Prunus persica GN=PRUPE_ppa025682mg PE=4 SV=1</t>
  </si>
  <si>
    <t>DNA polymerase epsilon subunit 2 OS=Prunus persica GN=PRUPE_ppa004061mg PE=3 SV=1</t>
  </si>
  <si>
    <t>Uncharacterized protein OS=Prunus persica GN=PRUPE_ppa007730mg PE=4 SV=1</t>
  </si>
  <si>
    <t>Uncharacterized protein OS=Prunus persica GN=PRUPE_ppa003401mg PE=4 SV=1</t>
  </si>
  <si>
    <t>Uncharacterized protein OS=Prunus persica GN=PRUPE_ppa026396mg PE=4 SV=1</t>
  </si>
  <si>
    <t>Uncharacterized protein OS=Prunus persica GN=PRUPE_ppa018338mg PE=4 SV=1</t>
  </si>
  <si>
    <t>Uncharacterized protein OS=Prunus persica GN=PRUPE_ppa022499mg PE=4 SV=1</t>
  </si>
  <si>
    <t>Uncharacterized protein (Fragment) OS=Prunus persica GN=PRUPE_ppa015715mg PE=4 SV=1</t>
  </si>
  <si>
    <t>Uncharacterized protein OS=Prunus persica GN=PRUPE_ppa000256mg PE=3 SV=1</t>
  </si>
  <si>
    <t>Uncharacterized protein OS=Prunus persica GN=PRUPE_ppa013119mg PE=4 SV=1</t>
  </si>
  <si>
    <t>Uncharacterized protein OS=Prunus persica GN=PRUPE_ppa008180mg PE=4 SV=1</t>
  </si>
  <si>
    <t>Uncharacterized protein OS=Prunus persica GN=PRUPE_ppa002096mg PE=4 SV=1</t>
  </si>
  <si>
    <t>Uncharacterized protein OS=Prunus persica GN=PRUPE_ppa004108mg PE=3 SV=1</t>
  </si>
  <si>
    <t>Uncharacterized protein OS=Prunus persica GN=PRUPE_ppa012713mg PE=4 SV=1</t>
  </si>
  <si>
    <t>Peroxidase (Fragment) OS=Prunus persica GN=PRUPE_ppa017309mg PE=3 SV=1</t>
  </si>
  <si>
    <t>Uncharacterized protein OS=Prunus persica GN=PRUPE_ppa017093mg PE=4 SV=1</t>
  </si>
  <si>
    <t>Receptor serine-threonine protein kinase, putative OS=Ricinus communis GN=RCOM_0744030 PE=3 SV=1</t>
  </si>
  <si>
    <t>Uncharacterized protein OS=Prunus persica GN=PRUPE_ppa002589mg PE=4 SV=1</t>
  </si>
  <si>
    <t>Uncharacterized protein OS=Prunus persica GN=PRUPE_ppa021067mg PE=3 SV=1</t>
  </si>
  <si>
    <t>Uncharacterized protein OS=Prunus persica GN=PRUPE_ppa017567mg PE=4 SV=1</t>
  </si>
  <si>
    <t>Uncharacterized protein OS=Prunus persica GN=PRUPE_ppa005690mg PE=4 SV=1</t>
  </si>
  <si>
    <t>Uncharacterized protein OS=Prunus persica GN=PRUPE_ppa000731mg PE=4 SV=1</t>
  </si>
  <si>
    <t>Uncharacterized protein OS=Prunus persica GN=PRUPE_ppa008495mg PE=4 SV=1</t>
  </si>
  <si>
    <t>DNA binding protein, putative OS=Ricinus communis GN=RCOM_1777350 PE=4 SV=1</t>
  </si>
  <si>
    <t>Uncharacterized protein OS=Prunus persica GN=PRUPE_ppa008638mg PE=4 SV=1</t>
  </si>
  <si>
    <t>Uncharacterized protein OS=Prunus persica GN=PRUPE_ppa006019mg PE=4 SV=1</t>
  </si>
  <si>
    <t>Uncharacterized protein OS=Prunus persica GN=PRUPE_ppa008232mg PE=3 SV=1</t>
  </si>
  <si>
    <t>26S proteasome regulatory subunit 4-B-like protein OS=Morus notabilis GN=L484_015161 PE=3 SV=1</t>
  </si>
  <si>
    <t>Uncharacterized protein OS=Prunus persica GN=PRUPE_ppa009956mg PE=4 SV=1</t>
  </si>
  <si>
    <t>Uncharacterized protein OS=Prunus persica GN=PRUPE_ppa012056mg PE=4 SV=1</t>
  </si>
  <si>
    <t>Uncharacterized protein OS=Prunus persica GN=PRUPE_ppa016591mg PE=4 SV=1</t>
  </si>
  <si>
    <t>Uncharacterized protein OS=Prunus persica GN=PRUPE_ppa007628mg PE=4 SV=1</t>
  </si>
  <si>
    <t>Uncharacterized protein OS=Prunus persica GN=PRUPE_ppa000360mg PE=4 SV=1</t>
  </si>
  <si>
    <t>Uncharacterized protein OS=Prunus persica GN=PRUPE_ppa012623mg PE=4 SV=1</t>
  </si>
  <si>
    <t>Uncharacterized protein OS=Prunus persica GN=PRUPE_ppa020352mg PE=4 SV=1</t>
  </si>
  <si>
    <t>Glycosyltransferase OS=Prunus persica GN=PRUPE_ppa024090mg PE=3 SV=1</t>
  </si>
  <si>
    <t>Uncharacterized protein OS=Prunus persica GN=PRUPE_ppa000751mg PE=4 SV=1</t>
  </si>
  <si>
    <t>Uncharacterized protein OS=Prunus persica GN=PRUPE_ppa006225mg PE=4 SV=1</t>
  </si>
  <si>
    <t>Uncharacterized protein OS=Prunus persica GN=PRUPE_ppa000580mg PE=4 SV=1</t>
  </si>
  <si>
    <t>Lipoxygenase OS=Prunus persica GN=PRUPE_ppa001216mg PE=3 SV=1</t>
  </si>
  <si>
    <t>O-acyltransferase OS=Prunus persica GN=PRUPE_ppa003936mg PE=3 SV=1</t>
  </si>
  <si>
    <t>Uncharacterized protein OS=Prunus persica GN=PRUPE_ppa003564mg PE=4 SV=1</t>
  </si>
  <si>
    <t>Uncharacterized protein OS=Prunus persica GN=PRUPE_ppa013921mg PE=4 SV=1</t>
  </si>
  <si>
    <t>Histone-lysine N-methyltransferase OS=Prunus persica GN=PRUPE_ppa007425mg PE=4 SV=1</t>
  </si>
  <si>
    <t>Uncharacterized protein OS=Prunus persica GN=PRUPE_ppa008594mg PE=3 SV=1</t>
  </si>
  <si>
    <t>Uncharacterized protein OS=Prunus persica GN=PRUPE_ppa011763mg PE=4 SV=1</t>
  </si>
  <si>
    <t>Uncharacterized protein OS=Prunus persica GN=PRUPE_ppa005183mg PE=4 SV=1</t>
  </si>
  <si>
    <t>Uncharacterized protein (Fragment) OS=Citrus sinensis GN=CISIN_1g0075042mg PE=4 SV=1</t>
  </si>
  <si>
    <t>Uncharacterized protein (Fragment) OS=Prunus persica GN=PRUPE_ppa016807m2g PE=4 SV=1</t>
  </si>
  <si>
    <t>Uncharacterized protein OS=Prunus persica GN=PRUPE_ppa024463mg PE=3 SV=1</t>
  </si>
  <si>
    <t>Uncharacterized protein OS=Prunus persica GN=PRUPE_ppa022280mg PE=4 SV=1</t>
  </si>
  <si>
    <t>Uncharacterized protein OS=Prunus persica GN=PRUPE_ppa009005mg PE=4 SV=1</t>
  </si>
  <si>
    <t>Uncharacterized protein OS=Prunus persica GN=PRUPE_ppa000092mg PE=4 SV=1</t>
  </si>
  <si>
    <t>Uncharacterized protein OS=Prunus persica GN=PRUPE_ppa006906mg PE=4 SV=1</t>
  </si>
  <si>
    <t>Uncharacterized protein OS=Prunus persica GN=PRUPE_ppa011063mg PE=4 SV=1</t>
  </si>
  <si>
    <t>Uncharacterized protein OS=Prunus persica GN=PRUPE_ppa023786mg PE=3 SV=1</t>
  </si>
  <si>
    <t>Peptidyl-prolyl cis-trans isomerase OS=Prunus persica GN=PRUPE_ppa011219mg PE=4 SV=1</t>
  </si>
  <si>
    <t>Uncharacterized protein OS=Prunus persica GN=PRUPE_ppa010459mg PE=4 SV=1</t>
  </si>
  <si>
    <t>Nucleoside diphosphate kinase (Fragment) OS=Prunus persica GN=PRUPE_ppa015085mg PE=3 SV=1</t>
  </si>
  <si>
    <t>Uncharacterized protein OS=Prunus persica GN=PRUPE_ppa021762mg PE=3 SV=1</t>
  </si>
  <si>
    <t>Uncharacterized protein OS=Prunus persica GN=PRUPE_ppa019374mg PE=4 SV=1</t>
  </si>
  <si>
    <t>Uncharacterized protein OS=Prunus persica GN=PRUPE_ppa011138mg PE=4 SV=1</t>
  </si>
  <si>
    <t>Serine/threonine-protein kinase OS=Citrus sinensis GN=CISIN_1g036583mg PE=3 SV=1</t>
  </si>
  <si>
    <t>Uncharacterized protein OS=Prunus persica GN=PRUPE_ppa001711mg PE=4 SV=1</t>
  </si>
  <si>
    <t>Uncharacterized protein OS=Prunus persica GN=PRUPE_ppa021034mg PE=4 SV=1</t>
  </si>
  <si>
    <t>Uncharacterized protein OS=Prunus persica GN=PRUPE_ppa007307mg PE=3 SV=1</t>
  </si>
  <si>
    <t>Uncharacterized protein OS=Prunus persica GN=PRUPE_ppa015056mg PE=4 SV=1</t>
  </si>
  <si>
    <t>Uncharacterized protein OS=Prunus persica GN=PRUPE_ppa001353mg PE=4 SV=1</t>
  </si>
  <si>
    <t>Uncharacterized protein OS=Prunus persica GN=PRUPE_ppa000615mg PE=4 SV=1</t>
  </si>
  <si>
    <t>Uncharacterized protein OS=Prunus persica GN=PRUPE_ppa007338mg PE=3 SV=1</t>
  </si>
  <si>
    <t>Uncharacterized protein OS=Prunus persica GN=PRUPE_ppa012469mg PE=3 SV=1</t>
  </si>
  <si>
    <t>Uncharacterized protein OS=Prunus persica GN=PRUPE_ppa002557mg PE=4 SV=1</t>
  </si>
  <si>
    <t>Uncharacterized protein OS=Prunus persica GN=PRUPE_ppa009237mg PE=4 SV=1</t>
  </si>
  <si>
    <t>Uncharacterized protein OS=Prunus persica GN=PRUPE_ppa008110mg PE=4 SV=1</t>
  </si>
  <si>
    <t>Uncharacterized protein OS=Prunus persica GN=PRUPE_ppa003570mg PE=4 SV=1</t>
  </si>
  <si>
    <t>Uncharacterized protein OS=Prunus persica GN=PRUPE_ppa007456mg PE=4 SV=1</t>
  </si>
  <si>
    <t>Uncharacterized protein OS=Prunus persica GN=PRUPE_ppa015252mg PE=4 SV=1</t>
  </si>
  <si>
    <t>Uncharacterized protein OS=Prunus persica GN=PRUPE_ppa000020mg PE=4 SV=1</t>
  </si>
  <si>
    <t>Putative uncharacterized protein OS=Vitis vinifera GN=VIT_02s0012g00870 PE=4 SV=1</t>
  </si>
  <si>
    <t>Uncharacterized protein OS=Prunus persica GN=PRUPE_ppa013214mg PE=4 SV=1</t>
  </si>
  <si>
    <t>Lactoylglutathione lyase OS=Prunus persica GN=PRUPE_ppa011023mg PE=3 SV=1</t>
  </si>
  <si>
    <t>Putative uncharacterized protein OS=Ricinus communis GN=RCOM_0811430 PE=4 SV=1</t>
  </si>
  <si>
    <t>Uncharacterized protein OS=Prunus persica GN=PRUPE_ppa020399mg PE=4 SV=1</t>
  </si>
  <si>
    <t>Uncharacterized protein OS=Prunus persica GN=PRUPE_ppa022797mg PE=4 SV=1</t>
  </si>
  <si>
    <t>Uncharacterized protein OS=Prunus persica GN=PRUPE_ppa004578mg PE=4 SV=1</t>
  </si>
  <si>
    <t>Putative uncharacterized protein OS=Vitis vinifera GN=VIT_18s0001g12720 PE=4 SV=1</t>
  </si>
  <si>
    <t>Uncharacterized protein OS=Prunus persica GN=PRUPE_ppa017010mg PE=4 SV=1</t>
  </si>
  <si>
    <t>Uncharacterized protein OS=Prunus persica GN=PRUPE_ppa013413mg PE=4 SV=1</t>
  </si>
  <si>
    <t>Uncharacterized protein (Fragment) OS=Prunus persica GN=PRUPE_ppa025036mg PE=4 SV=1</t>
  </si>
  <si>
    <t>Uncharacterized protein OS=Prunus persica GN=PRUPE_ppa016881mg PE=4 SV=1</t>
  </si>
  <si>
    <t>Uncharacterized protein OS=Prunus persica GN=PRUPE_ppa012428mg PE=4 SV=1</t>
  </si>
  <si>
    <t>Uncharacterized protein OS=Prunus persica GN=PRUPE_ppa011718mg PE=4 SV=1</t>
  </si>
  <si>
    <t>Glycerol kinase OS=Fusarium oxysporum f. sp. pisi HDV247 GN=FOVG_12931 PE=3 SV=1</t>
  </si>
  <si>
    <t>Uncharacterized protein OS=Fusarium oxysporum f. sp. melonis 26406 GN=FOMG_10356 PE=4 SV=1</t>
  </si>
  <si>
    <t>Uncharacterized protein (Fragment) OS=Prunus persica GN=PRUPE_ppa026071mg PE=4 SV=1</t>
  </si>
  <si>
    <t>Uncharacterized protein OS=Prunus persica GN=PRUPE_ppa018623mg PE=4 SV=1</t>
  </si>
  <si>
    <t>Uncharacterized protein OS=Prunus persica GN=PRUPE_ppa020862mg PE=4 SV=1</t>
  </si>
  <si>
    <t>Uncharacterized protein OS=Prunus persica GN=PRUPE_ppb012805mg PE=4 SV=1</t>
  </si>
  <si>
    <t>Uncharacterized protein (Fragment) OS=Prunus persica GN=PRUPE_ppa016117mg PE=4 SV=1</t>
  </si>
  <si>
    <t>Uncharacterized protein OS=Prunus persica GN=PRUPE_ppa024829mg PE=4 SV=1</t>
  </si>
  <si>
    <t>Uncharacterized protein OS=Prunus persica GN=PRUPE_ppa026735mg PE=4 SV=1</t>
  </si>
  <si>
    <t>Uncharacterized protein OS=Prunus persica GN=PRUPE_ppa007838mg PE=4 SV=1</t>
  </si>
  <si>
    <t>Uncharacterized protein OS=Prunus persica GN=PRUPE_ppa007496mg PE=4 SV=1</t>
  </si>
  <si>
    <t>Uncharacterized protein OS=Prunus persica GN=PRUPE_ppa009976mg PE=4 SV=1</t>
  </si>
  <si>
    <t>Serine/threonine-protein kinase OS=Theobroma cacao GN=TCM_030035 PE=3 SV=1</t>
  </si>
  <si>
    <t>Uncharacterized protein OS=Prunus persica GN=PRUPE_ppa005153mg PE=4 SV=1</t>
  </si>
  <si>
    <t>Uncharacterized protein OS=Prunus persica GN=PRUPE_ppa018292mg PE=4 SV=1</t>
  </si>
  <si>
    <t>Uncharacterized protein OS=Prunus persica GN=PRUPE_ppa011027mg PE=4 SV=1</t>
  </si>
  <si>
    <t>Uncharacterized protein OS=Prunus persica GN=PRUPE_ppa006471mg PE=4 SV=1</t>
  </si>
  <si>
    <t>Uncharacterized protein OS=Prunus persica GN=PRUPE_ppa003252mg PE=4 SV=1</t>
  </si>
  <si>
    <t>Uncharacterized protein OS=Prunus persica GN=PRUPE_ppa002537mg PE=4 SV=1</t>
  </si>
  <si>
    <t>Uncharacterized protein OS=Prunus persica GN=PRUPE_ppa012622mg PE=4 SV=1</t>
  </si>
  <si>
    <t>Uncharacterized protein OS=Prunus persica GN=PRUPE_ppa007784mg PE=4 SV=1</t>
  </si>
  <si>
    <t>Uncharacterized protein OS=Prunus persica GN=PRUPE_ppa013163mg PE=4 SV=1</t>
  </si>
  <si>
    <t>Uncharacterized protein OS=Prunus persica GN=PRUPE_ppa013152mg PE=4 SV=1</t>
  </si>
  <si>
    <t>Uncharacterized protein OS=Prunus persica GN=PRUPE_ppa000833mg PE=4 SV=1</t>
  </si>
  <si>
    <t>Uncharacterized protein OS=Prunus persica GN=PRUPE_ppa002015mg PE=4 SV=1</t>
  </si>
  <si>
    <t>Uncharacterized protein OS=Prunus persica GN=PRUPE_ppa002601mg PE=4 SV=1</t>
  </si>
  <si>
    <t>Putative methyltransferase TARBP1 OS=Morus notabilis GN=L484_023399 PE=4 SV=1</t>
  </si>
  <si>
    <t>Uncharacterized protein OS=Prunus persica GN=PRUPE_ppa008135mg PE=4 SV=1</t>
  </si>
  <si>
    <t>Uncharacterized protein OS=Prunus persica GN=PRUPE_ppa009574mg PE=4 SV=1</t>
  </si>
  <si>
    <t>Uncharacterized protein OS=Prunus persica GN=PRUPE_ppa012664mg PE=4 SV=1</t>
  </si>
  <si>
    <t>Uncharacterized protein OS=Prunus persica GN=PRUPE_ppa013060mg PE=4 SV=1</t>
  </si>
  <si>
    <t>Uncharacterized protein OS=Prunus persica GN=PRUPE_ppa019770mg PE=4 SV=1</t>
  </si>
  <si>
    <t>Uncharacterized protein OS=Prunus persica GN=PRUPE_ppa003020mg PE=4 SV=1</t>
  </si>
  <si>
    <t>Uncharacterized protein OS=Prunus persica GN=PRUPE_ppa001260mg PE=4 SV=1</t>
  </si>
  <si>
    <t>Uncharacterized protein OS=Prunus persica GN=PRUPE_ppa001907mg PE=4 SV=1</t>
  </si>
  <si>
    <t>Uncharacterized protein OS=Prunus persica GN=PRUPE_ppa007104mg PE=3 SV=1</t>
  </si>
  <si>
    <t>Uncharacterized protein OS=Theobroma cacao GN=TCM_035126 PE=4 SV=1</t>
  </si>
  <si>
    <t>Uncharacterized protein OS=Prunus persica GN=PRUPE_ppa022334mg PE=4 SV=1</t>
  </si>
  <si>
    <t>Uncharacterized protein OS=Prunus persica GN=PRUPE_ppa016895mg PE=4 SV=1</t>
  </si>
  <si>
    <t>Uncharacterized protein OS=Prunus persica GN=PRUPE_ppa001233mg PE=4 SV=1</t>
  </si>
  <si>
    <t>Uncharacterized protein OS=Prunus persica GN=PRUPE_ppa013414mg PE=4 SV=1</t>
  </si>
  <si>
    <t>Uncharacterized protein OS=Prunus persica GN=PRUPE_ppa006559mg PE=4 SV=1</t>
  </si>
  <si>
    <t>Uncharacterized protein OS=Prunus persica GN=PRUPE_ppa003636mg PE=4 SV=1</t>
  </si>
  <si>
    <t>Uncharacterized protein OS=Prunus persica GN=PRUPE_ppa008556mg PE=4 SV=1</t>
  </si>
  <si>
    <t>Uncharacterized protein OS=Prunus persica GN=PRUPE_ppa011652mg PE=4 SV=1</t>
  </si>
  <si>
    <t>Peroxidase OS=Prunus persica GN=PRUPE_ppa008309mg PE=3 SV=1</t>
  </si>
  <si>
    <t>Uncharacterized protein OS=Prunus persica GN=PRUPE_ppa003732mg PE=4 SV=1</t>
  </si>
  <si>
    <t>Uncharacterized protein (Fragment) OS=Prunus persica GN=PRUPE_ppa020655mg PE=4 SV=1</t>
  </si>
  <si>
    <t>Putative uncharacterized protein OS=Vitis vinifera GN=VITISV_031733 PE=4 SV=1</t>
  </si>
  <si>
    <t>Patatin OS=Prunus persica GN=PRUPE_ppa006466mg PE=3 SV=1</t>
  </si>
  <si>
    <t>Uncharacterized protein OS=Prunus persica GN=PRUPE_ppa009649mg PE=4 SV=1</t>
  </si>
  <si>
    <t>Uncharacterized protein OS=Prunus persica GN=PRUPE_ppa020350mg PE=4 SV=1</t>
  </si>
  <si>
    <t>Glutamate decarboxylase OS=Prunus persica GN=PRUPE_ppa016362mg PE=3 SV=1</t>
  </si>
  <si>
    <t>Uncharacterized protein OS=Prunus persica GN=PRUPE_ppa005223mg PE=4 SV=1</t>
  </si>
  <si>
    <t>Uncharacterized protein OS=Prunus persica GN=PRUPE_ppa010836mg PE=3 SV=1</t>
  </si>
  <si>
    <t>Serine/threonine-protein kinase OS=Theobroma cacao GN=TCM_046171 PE=3 SV=1</t>
  </si>
  <si>
    <t>Uncharacterized protein OS=Prunus persica GN=PRUPE_ppa004686mg PE=4 SV=1</t>
  </si>
  <si>
    <t>Uncharacterized protein OS=Prunus persica GN=PRUPE_ppa005683mg PE=4 SV=1</t>
  </si>
  <si>
    <t>Uncharacterized protein OS=Prunus persica GN=PRUPE_ppa012433mg PE=4 SV=1</t>
  </si>
  <si>
    <t>Uncharacterized protein OS=Prunus persica GN=PRUPE_ppa000628mg PE=4 SV=1</t>
  </si>
  <si>
    <t>Proteasome subunit beta type OS=Prunus persica GN=PRUPE_ppa010636mg PE=3 SV=1</t>
  </si>
  <si>
    <t>Class 1 KNOTTED-like transcription factor KNOPE6 OS=Prunus persica PE=2 SV=1</t>
  </si>
  <si>
    <t>Uncharacterized protein OS=Prunus persica GN=PRUPE_ppa010236mg PE=4 SV=1</t>
  </si>
  <si>
    <t>Putative E3 ubiquitin-protein ligase RING1a OS=Morus notabilis GN=L484_015083 PE=4 SV=1</t>
  </si>
  <si>
    <t>Uncharacterized protein OS=Eucalyptus grandis GN=EUGRSUZ_I02806 PE=3 SV=1</t>
  </si>
  <si>
    <t>Uncharacterized protein OS=Prunus persica GN=PRUPE_ppa002106mg PE=3 SV=1</t>
  </si>
  <si>
    <t>Uncharacterized protein OS=Prunus persica GN=PRUPE_ppa011872mg PE=4 SV=1</t>
  </si>
  <si>
    <t>Peptidyl-prolyl cis-trans isomerase OS=Prunus persica GN=PRUPE_ppa011090mg PE=3 SV=1</t>
  </si>
  <si>
    <t>Uncharacterized protein OS=Prunus persica GN=PRUPE_ppa007902mg PE=4 SV=1</t>
  </si>
  <si>
    <t>Uncharacterized protein OS=Prunus persica GN=PRUPE_ppa001702mg PE=4 SV=1</t>
  </si>
  <si>
    <t>Uncharacterized protein OS=Prunus persica GN=PRUPE_ppa016016mg PE=3 SV=1</t>
  </si>
  <si>
    <t>Uncharacterized protein (Fragment) OS=Prunus persica GN=PRUPE_ppa020615mg PE=4 SV=1</t>
  </si>
  <si>
    <t>Uncharacterized protein OS=Prunus persica GN=PRUPE_ppa001278mg PE=4 SV=1</t>
  </si>
  <si>
    <t>Uncharacterized protein OS=Prunus persica GN=PRUPE_ppa002505mg PE=4 SV=1</t>
  </si>
  <si>
    <t>Uncharacterized protein OS=Prunus persica GN=PRUPE_ppa004954mg PE=4 SV=1</t>
  </si>
  <si>
    <t>Uncharacterized protein OS=Prunus persica GN=PRUPE_ppa018186mg PE=4 SV=1</t>
  </si>
  <si>
    <t>Ribonuclease OS=Prunus persica GN=PRUPE_ppa009327mg PE=3 SV=1</t>
  </si>
  <si>
    <t>Uncharacterized protein OS=Prunus persica GN=PRUPE_ppa005426mg PE=3 SV=1</t>
  </si>
  <si>
    <t>Uncharacterized protein OS=Prunus persica GN=PRUPE_ppa024898mg PE=4 SV=1</t>
  </si>
  <si>
    <t>Uncharacterized protein OS=Prunus persica GN=PRUPE_ppa015593mg PE=4 SV=1</t>
  </si>
  <si>
    <t>Uncharacterized protein OS=Prunus persica GN=PRUPE_ppa010421mg PE=4 SV=1</t>
  </si>
  <si>
    <t>Uncharacterized protein (Fragment) OS=Prunus persica GN=PRUPE_ppa025230mg PE=4 SV=1</t>
  </si>
  <si>
    <t>Protein S100 OS=Pan troglodytes GN=S100A8 PE=3 SV=1</t>
  </si>
  <si>
    <t>Uncharacterized protein OS=Prunus persica GN=PRUPE_ppa002529mg PE=4 SV=1</t>
  </si>
  <si>
    <t>Uncharacterized protein (Fragment) OS=Arabis alpina GN=AALP_AA3G290100 PE=4 SV=1</t>
  </si>
  <si>
    <t>Patatin OS=Prunus persica GN=PRUPE_ppa025529mg PE=3 SV=1</t>
  </si>
  <si>
    <t>Uncharacterized protein OS=Prunus persica GN=PRUPE_ppa016379mg PE=4 SV=1</t>
  </si>
  <si>
    <t>Uncharacterized protein OS=Prunus persica GN=PRUPE_ppa007459mg PE=4 SV=1</t>
  </si>
  <si>
    <t>Peroxidase OS=Prunus persica GN=PRUPE_ppa023604mg PE=3 SV=1</t>
  </si>
  <si>
    <t>Uncharacterized protein OS=Prunus persica GN=PRUPE_ppa005425mg PE=3 SV=1</t>
  </si>
  <si>
    <t>Uncharacterized protein OS=Prunus persica GN=PRUPE_ppa006079mg PE=4 SV=1</t>
  </si>
  <si>
    <t>Uncharacterized protein OS=Prunus persica GN=PRUPE_ppa010678mg PE=4 SV=1</t>
  </si>
  <si>
    <t>Uncharacterized protein OS=Citrus sinensis GN=CISIN_1g006154mg PE=4 SV=1</t>
  </si>
  <si>
    <t>Uncharacterized protein OS=Prunus persica GN=PRUPE_ppa019556mg PE=4 SV=1</t>
  </si>
  <si>
    <t>Uncharacterized protein OS=Prunus persica GN=PRUPE_ppa014878mg PE=4 SV=1</t>
  </si>
  <si>
    <t>Uncharacterized protein OS=Prunus persica GN=PRUPE_ppa008528mg PE=4 SV=1</t>
  </si>
  <si>
    <t>Uncharacterized protein OS=Prunus persica GN=PRUPE_ppa013492mg PE=4 SV=1</t>
  </si>
  <si>
    <t>Uncharacterized protein OS=Prunus persica GN=PRUPE_ppa005210mg PE=3 SV=1</t>
  </si>
  <si>
    <t>Uncharacterized protein OS=Prunus persica GN=PRUPE_ppa019505mg PE=4 SV=1</t>
  </si>
  <si>
    <t>Uncharacterized protein OS=Prunus persica GN=PRUPE_ppa018617mg PE=4 SV=1</t>
  </si>
  <si>
    <t>Poly(A)-specific ribonuclease PARN-like protein OS=Morus notabilis GN=L484_007447 PE=4 SV=1</t>
  </si>
  <si>
    <t>Uncharacterized protein OS=Prunus persica GN=PRUPE_ppa012155mg PE=4 SV=1</t>
  </si>
  <si>
    <t>Uncharacterized protein OS=Prunus persica GN=PRUPE_ppa012903mg PE=4 SV=1</t>
  </si>
  <si>
    <t>DNA-directed RNA polymerase OS=Prunus persica GN=PRUPE_ppa020507mg PE=3 SV=1</t>
  </si>
  <si>
    <t>Uncharacterized protein OS=Prunus persica GN=PRUPE_ppa008655mg PE=4 SV=1</t>
  </si>
  <si>
    <t>Uncharacterized protein OS=Prunus persica GN=PRUPE_ppa011640mg PE=4 SV=1</t>
  </si>
  <si>
    <t>Uncharacterized protein OS=Prunus persica GN=PRUPE_ppa008197mg PE=4 SV=1</t>
  </si>
  <si>
    <t>Uncharacterized protein OS=Prunus persica GN=PRUPE_ppa015076mg PE=4 SV=1</t>
  </si>
  <si>
    <t>Uncharacterized protein OS=Prunus persica GN=PRUPE_ppa012219mg PE=4 SV=1</t>
  </si>
  <si>
    <t>Uncharacterized protein OS=Prunus persica GN=PRUPE_ppa008229mg PE=3 SV=1</t>
  </si>
  <si>
    <t>Uncharacterized protein OS=Prunus persica GN=PRUPE_ppa008799mg PE=3 SV=1</t>
  </si>
  <si>
    <t>Uncharacterized protein OS=Prunus persica GN=PRUPE_ppa005073mg PE=4 SV=1</t>
  </si>
  <si>
    <t>Uncharacterized protein OS=Prunus persica GN=PRUPE_ppa004545mg PE=3 SV=1</t>
  </si>
  <si>
    <t>Uncharacterized protein OS=Prunus persica GN=PRUPE_ppa006336mg PE=4 SV=1</t>
  </si>
  <si>
    <t>Uncharacterized protein OS=Prunus persica GN=PRUPE_ppa005995mg PE=4 SV=1</t>
  </si>
  <si>
    <t>Uncharacterized protein OS=Prunus persica GN=PRUPE_ppa010130mg PE=4 SV=1</t>
  </si>
  <si>
    <t>Uncharacterized protein OS=Prunus persica GN=PRUPE_ppa001928mg PE=4 SV=1</t>
  </si>
  <si>
    <t>Uncharacterized protein OS=Prunus persica GN=PRUPE_ppa006820mg PE=4 SV=1</t>
  </si>
  <si>
    <t>Uncharacterized protein OS=Prunus persica GN=PRUPE_ppa002311mg PE=4 SV=1</t>
  </si>
  <si>
    <t>Ubiquitin carboxyl-terminal hydrolase OS=Prunus persica GN=PRUPE_ppa001521mg PE=3 SV=1</t>
  </si>
  <si>
    <t>Uncharacterized protein OS=Prunus persica GN=PRUPE_ppa003728mg PE=4 SV=1</t>
  </si>
  <si>
    <t>Uncharacterized protein OS=Prunus persica GN=PRUPE_ppa009727mg PE=4 SV=1</t>
  </si>
  <si>
    <t>Uncharacterized protein OS=Prunus persica GN=PRUPE_ppa004661mg PE=4 SV=1</t>
  </si>
  <si>
    <t>Uncharacterized protein OS=Prunus persica GN=PRUPE_ppa004189mg PE=4 SV=1</t>
  </si>
  <si>
    <t>E3 ubiquitin-protein ligase OS=Prunus persica GN=PRUPE_ppa017925mg PE=3 SV=1</t>
  </si>
  <si>
    <t>Cytochrome b-c1 complex subunit 7 OS=Prunus persica GN=PRUPE_ppa013437mg PE=3 SV=1</t>
  </si>
  <si>
    <t>Uncharacterized protein OS=Prunus persica GN=PRUPE_ppa018318mg PE=4 SV=1</t>
  </si>
  <si>
    <t>Uncharacterized protein OS=Prunus persica GN=PRUPE_ppa000748mg PE=4 SV=1</t>
  </si>
  <si>
    <t>Beta-galactosidase OS=Prunus persica GN=PRUPE_ppa001363mg PE=3 SV=1</t>
  </si>
  <si>
    <t>Ribosomal protein S12C OS=Medicago truncatula GN=MTR_0082s0040 PE=4 SV=1</t>
  </si>
  <si>
    <t>Uncharacterized protein OS=Prunus persica GN=PRUPE_ppa004078mg PE=3 SV=1</t>
  </si>
  <si>
    <t>Uncharacterized protein OS=Prunus persica GN=PRUPE_ppa002538mg PE=4 SV=1</t>
  </si>
  <si>
    <t>Uncharacterized protein (Fragment) OS=Fusarium oxysporum f. sp. lycopersici (strain 4287 / CBS 123668 / FGSC 9935 / NRRL 34936) GN=FOXG_17752 PE=4 SV=1</t>
  </si>
  <si>
    <t>Uncharacterized protein OS=Prunus persica GN=PRUPE_ppa006835mg PE=4 SV=1</t>
  </si>
  <si>
    <t>Callose synthase 12 OS=Morus notabilis GN=L484_001943 PE=4 SV=1</t>
  </si>
  <si>
    <t>Uncharacterized protein (Fragment) OS=Prunus persica GN=PRUPE_ppa026310mg PE=4 SV=1</t>
  </si>
  <si>
    <t>Uncharacterized protein OS=Prunus persica GN=PRUPE_ppa001242mg PE=4 SV=1</t>
  </si>
  <si>
    <t>Uncharacterized protein OS=Prunus persica GN=PRUPE_ppa021687mg PE=4 SV=1</t>
  </si>
  <si>
    <t>Uncharacterized protein OS=Prunus persica GN=PRUPE_ppa001732mg PE=4 SV=1</t>
  </si>
  <si>
    <t>Uncharacterized protein OS=Prunus persica GN=PRUPE_ppa006149mg PE=4 SV=1</t>
  </si>
  <si>
    <t>Uncharacterized protein OS=Prunus persica GN=PRUPE_ppa022624mg PE=4 SV=1</t>
  </si>
  <si>
    <t>Uncharacterized protein OS=Prunus persica GN=PRUPE_ppa005262mg PE=3 SV=1</t>
  </si>
  <si>
    <t>Uncharacterized protein OS=Prunus persica GN=PRUPE_ppa010024mg PE=4 SV=1</t>
  </si>
  <si>
    <t>Uncharacterized protein OS=Prunus persica GN=PRUPE_ppa000938mg PE=4 SV=1</t>
  </si>
  <si>
    <t>Putative uncharacterized protein OS=Vitis vinifera GN=VIT_19s0014g04960 PE=4 SV=1</t>
  </si>
  <si>
    <t>Uncharacterized protein OS=Prunus persica GN=PRUPE_ppa009204mg PE=4 SV=1</t>
  </si>
  <si>
    <t>Uncharacterized protein OS=Prunus persica GN=PRUPE_ppa025168mg PE=4 SV=1</t>
  </si>
  <si>
    <t>Uncharacterized protein OS=Prunus persica GN=PRUPE_ppa025191mg PE=4 SV=1</t>
  </si>
  <si>
    <t>Uncharacterized protein OS=Prunus persica GN=PRUPE_ppa003022mg PE=4 SV=1</t>
  </si>
  <si>
    <t>Uncharacterized protein OS=Prunus persica GN=PRUPE_ppa007296mg PE=4 SV=1</t>
  </si>
  <si>
    <t>Uncharacterized protein OS=Prunus persica GN=PRUPE_ppa002362mg PE=4 SV=1</t>
  </si>
  <si>
    <t>Uncharacterized protein OS=Prunus persica GN=PRUPE_ppa003456mg PE=4 SV=1</t>
  </si>
  <si>
    <t>Uncharacterized protein OS=Prunus persica GN=PRUPE_ppa009205mg PE=4 SV=1</t>
  </si>
  <si>
    <t>Calmodulin-like protein 11 OS=Morus notabilis GN=L484_013347 PE=4 SV=1</t>
  </si>
  <si>
    <t>Regulator of chromosome condensation (RCC1) family protein isoform 2 OS=Theobroma cacao GN=TCM_001623 PE=4 SV=1</t>
  </si>
  <si>
    <t>Uncharacterized protein OS=Prunus persica GN=PRUPE_ppa006275mg PE=4 SV=1</t>
  </si>
  <si>
    <t>Uncharacterized protein OS=Prunus persica GN=PRUPE_ppa004309mg PE=4 SV=1</t>
  </si>
  <si>
    <t>Uncharacterized protein OS=Prunus persica GN=PRUPE_ppa002422mg PE=4 SV=1</t>
  </si>
  <si>
    <t>Uncharacterized protein OS=Prunus persica GN=PRUPE_ppa003446mg PE=4 SV=1</t>
  </si>
  <si>
    <t>Uncharacterized protein OS=Prunus persica GN=PRUPE_ppa004395mg PE=4 SV=1</t>
  </si>
  <si>
    <t>Uncharacterized protein OS=Prunus persica GN=PRUPE_ppa001620mg PE=4 SV=1</t>
  </si>
  <si>
    <t>Uncharacterized protein OS=Prunus persica GN=PRUPE_ppa015411mg PE=4 SV=1</t>
  </si>
  <si>
    <t>Inosine-5'-monophosphate dehydrogenase OS=Prunus persica GN=PRUPE_ppa004597mg PE=3 SV=1</t>
  </si>
  <si>
    <t>Uncharacterized protein OS=Prunus persica GN=PRUPE_ppa011943mg PE=4 SV=1</t>
  </si>
  <si>
    <t>Uncharacterized protein OS=Prunus persica GN=PRUPE_ppa017426mg PE=4 SV=1</t>
  </si>
  <si>
    <t>Uncharacterized protein OS=Prunus persica GN=PRUPE_ppa025015mg PE=4 SV=1</t>
  </si>
  <si>
    <t>Bacterial sec-independent translocation protein mttA/Hcf106, putative isoform 1 OS=Theobroma cacao GN=TCM_015220 PE=4 SV=1</t>
  </si>
  <si>
    <t>Uncharacterized protein OS=Citrus sinensis GN=CISIN_1g027708mg PE=4 SV=1</t>
  </si>
  <si>
    <t>S-acyltransferase OS=Prunus persica GN=PRUPE_ppa006040mg PE=3 SV=1</t>
  </si>
  <si>
    <t>Uncharacterized protein OS=Prunus persica GN=PRUPE_ppa021536mg PE=3 SV=1</t>
  </si>
  <si>
    <t>Uncharacterized protein (Fragment) OS=Prunus persica GN=PRUPE_ppa025000mg PE=3 SV=1</t>
  </si>
  <si>
    <t>Uncharacterized protein OS=Prunus persica GN=PRUPE_ppa010347mg PE=4 SV=1</t>
  </si>
  <si>
    <t>NAD(P)H-quinone oxidoreductase subunit H, chloroplastic OS=Prunus kansuensis GN=ndhH PE=3 SV=1</t>
  </si>
  <si>
    <t>Uncharacterized protein OS=Prunus persica GN=PRUPE_ppa012324mg PE=4 SV=1</t>
  </si>
  <si>
    <t>Uncharacterized protein OS=Prunus persica GN=PRUPE_ppa004107mg PE=4 SV=1</t>
  </si>
  <si>
    <t>Uncharacterized protein OS=Prunus persica GN=PRUPE_ppa012004mg PE=4 SV=1</t>
  </si>
  <si>
    <t>Xyloglucan endotransglucosylase/hydrolase OS=Prunus persica GN=PRUPE_ppa021295mg PE=3 SV=1</t>
  </si>
  <si>
    <t>Uncharacterized protein OS=Prunus persica GN=PRUPE_ppa008681mg PE=4 SV=1</t>
  </si>
  <si>
    <t>Uncharacterized protein OS=Prunus persica GN=PRUPE_ppa019799mg PE=4 SV=1</t>
  </si>
  <si>
    <t>Uncharacterized protein OS=Prunus persica GN=PRUPE_ppa007318mg PE=3 SV=1</t>
  </si>
  <si>
    <t>Uncharacterized protein (Fragment) OS=Prunus persica GN=PRUPE_ppa023049mg PE=4 SV=1</t>
  </si>
  <si>
    <t>Putative uncharacterized protein OS=Ricinus communis GN=RCOM_1434920 PE=4 SV=1</t>
  </si>
  <si>
    <t>Uncharacterized protein OS=Prunus persica GN=PRUPE_ppa002987mg PE=4 SV=1</t>
  </si>
  <si>
    <t>Uncharacterized protein OS=Prunus persica GN=PRUPE_ppa024292mg PE=4 SV=1</t>
  </si>
  <si>
    <t>Uncharacterized protein OS=Prunus persica GN=PRUPE_ppa006907mg PE=3 SV=1</t>
  </si>
  <si>
    <t>Uncharacterized protein OS=Prunus persica GN=PRUPE_ppa022577mg PE=4 SV=1</t>
  </si>
  <si>
    <t>Uncharacterized protein OS=Prunus persica GN=PRUPE_ppa005848mg PE=4 SV=1</t>
  </si>
  <si>
    <t>DNA-directed RNA polymerase OS=Prunus persica GN=PRUPE_ppa000093mg PE=3 SV=1</t>
  </si>
  <si>
    <t>Uncharacterized protein OS=Prunus persica GN=PRUPE_ppa006524mg PE=4 SV=1</t>
  </si>
  <si>
    <t>Protein-S-isoprenylcysteine O-methyltransferase OS=Prunus persica GN=PRUPE_ppa008485mg PE=3 SV=1</t>
  </si>
  <si>
    <t>Uncharacterized protein OS=Prunus persica GN=PRUPE_ppa010438mg PE=4 SV=1</t>
  </si>
  <si>
    <t>Uncharacterized protein OS=Prunus persica GN=PRUPE_ppa008278mg PE=4 SV=1</t>
  </si>
  <si>
    <t>Uncharacterized protein OS=Prunus persica GN=PRUPE_ppa007399mg PE=3 SV=1</t>
  </si>
  <si>
    <t>ER lumen protein-retaining receptor OS=Prunus persica GN=PRUPE_ppa011308mg PE=3 SV=1</t>
  </si>
  <si>
    <t>Uncharacterized protein OS=Prunus persica GN=PRUPE_ppa005226mg PE=3 SV=1</t>
  </si>
  <si>
    <t>Transport inhibitor response protein OS=Prunus persica GN=PRUPE_ppa003465mg PE=2 SV=1</t>
  </si>
  <si>
    <t>Uncharacterized protein OS=Prunus persica GN=PRUPE_ppa008454mg PE=4 SV=1</t>
  </si>
  <si>
    <t>Uncharacterized protein OS=Prunus persica GN=PRUPE_ppa013586mg PE=4 SV=1</t>
  </si>
  <si>
    <t>Uncharacterized protein (Fragment) OS=Prunus persica GN=PRUPE_ppa019773mg PE=4 SV=1</t>
  </si>
  <si>
    <t>Uncharacterized protein OS=Prunus persica GN=PRUPE_ppa026241mg PE=4 SV=1</t>
  </si>
  <si>
    <t>Uncharacterized protein OS=Prunus persica GN=PRUPE_ppa000148mg PE=4 SV=1</t>
  </si>
  <si>
    <t>Uncharacterized protein OS=Prunus persica GN=PRUPE_ppa004692mg PE=4 SV=1</t>
  </si>
  <si>
    <t>Uncharacterized protein OS=Prunus persica GN=PRUPE_ppa003867mg PE=4 SV=1</t>
  </si>
  <si>
    <t>Uncharacterized protein OS=Prunus persica GN=PRUPE_ppa006713mg PE=4 SV=1</t>
  </si>
  <si>
    <t>Uncharacterized protein OS=Prunus persica GN=PRUPE_ppa017347mg PE=4 SV=1</t>
  </si>
  <si>
    <t>Uncharacterized protein OS=Prunus persica GN=PRUPE_ppa017486mg PE=4 SV=1</t>
  </si>
  <si>
    <t>Uncharacterized protein OS=Prunus persica GN=PRUPE_ppa014696mg PE=4 SV=1</t>
  </si>
  <si>
    <t>PHD finger protein ING OS=Prunus persica GN=PRUPE_ppa010764mg PE=3 SV=1</t>
  </si>
  <si>
    <t>Uncharacterized protein (Fragment) OS=Prunus persica GN=PRUPE_ppa022719mg PE=4 SV=1</t>
  </si>
  <si>
    <t>Uncharacterized protein OS=Prunus persica GN=PRUPE_ppa019973mg PE=4 SV=1</t>
  </si>
  <si>
    <t>Uncharacterized protein OS=Prunus persica GN=PRUPE_ppa016811mg PE=4 SV=1</t>
  </si>
  <si>
    <t>Uncharacterized protein OS=Prunus persica GN=PRUPE_ppa005765mg PE=3 SV=1</t>
  </si>
  <si>
    <t>Putative uncharacterized protein OS=Vitis vinifera GN=VIT_12s0028g03880 PE=4 SV=1</t>
  </si>
  <si>
    <t>Uncharacterized protein OS=Prunus persica GN=PRUPE_ppa003392mg PE=4 SV=1</t>
  </si>
  <si>
    <t>Uncharacterized protein OS=Prunus persica GN=PRUPE_ppa007395mg PE=4 SV=1</t>
  </si>
  <si>
    <t>Uncharacterized protein OS=Prunus persica GN=PRUPE_ppa012865mg PE=4 SV=1</t>
  </si>
  <si>
    <t>Potassium transporter OS=Vitis vinifera GN=VIT_00s0125g00190 PE=3 SV=1</t>
  </si>
  <si>
    <t>Uncharacterized protein OS=Prunus persica GN=PRUPE_ppa015695mg PE=4 SV=1</t>
  </si>
  <si>
    <t>Chloride channel protein OS=Prunus persica GN=PRUPE_ppa001700mg PE=3 SV=1</t>
  </si>
  <si>
    <t>Uncharacterized protein OS=Prunus persica GN=PRUPE_ppa013611mg PE=4 SV=1</t>
  </si>
  <si>
    <t>Uncharacterized protein OS=Prunus persica GN=PRUPE_ppa010782mg PE=4 SV=1</t>
  </si>
  <si>
    <t>Uncharacterized protein OS=Morus notabilis GN=L484_002603 PE=4 SV=1</t>
  </si>
  <si>
    <t>Uncharacterized protein OS=Prunus persica GN=PRUPE_ppa007558mg PE=4 SV=1</t>
  </si>
  <si>
    <t>Uncharacterized protein OS=Prunus persica GN=PRUPE_ppa012398mg PE=4 SV=1</t>
  </si>
  <si>
    <t>Uncharacterized protein OS=Citrus sinensis GN=CISIN_1g030092mg PE=3 SV=1</t>
  </si>
  <si>
    <t>Uncharacterized protein OS=Prunus persica GN=PRUPE_ppa000422mg PE=4 SV=1</t>
  </si>
  <si>
    <t>Uncharacterized protein OS=Prunus persica GN=PRUPE_ppa003932mg PE=4 SV=1</t>
  </si>
  <si>
    <t>Uncharacterized protein OS=Prunus persica GN=PRUPE_ppa002267mg PE=4 SV=1</t>
  </si>
  <si>
    <t>Uncharacterized protein OS=Prunus persica GN=PRUPE_ppa010400mg PE=4 SV=1</t>
  </si>
  <si>
    <t>Uncharacterized protein (Fragment) OS=Prunus persica GN=PRUPE_ppa018322mg PE=4 SV=1</t>
  </si>
  <si>
    <t>Uncharacterized protein OS=Prunus persica GN=PRUPE_ppa010743mg PE=4 SV=1</t>
  </si>
  <si>
    <t>Uncharacterized protein OS=Prunus persica GN=PRUPE_ppa000660mg PE=4 SV=1</t>
  </si>
  <si>
    <t>Uncharacterized protein OS=Prunus persica GN=PRUPE_ppa001886mg PE=4 SV=1</t>
  </si>
  <si>
    <t>Uncharacterized protein OS=Prunus persica GN=PRUPE_ppa008649mg PE=4 SV=1</t>
  </si>
  <si>
    <t>Auxin response factor OS=Prunus persica GN=PRUPE_ppa002230mg PE=3 SV=1</t>
  </si>
  <si>
    <t>Uncharacterized protein OS=Prunus persica GN=PRUPE_ppa008287mg PE=4 SV=1</t>
  </si>
  <si>
    <t>Uncharacterized protein OS=Prunus persica GN=PRUPE_ppa001206mg PE=3 SV=1</t>
  </si>
  <si>
    <t>Uncharacterized protein OS=Prunus persica GN=PRUPE_ppa001475mg PE=3 SV=1</t>
  </si>
  <si>
    <t>Uncharacterized protein OS=Prunus persica GN=PRUPE_ppa007815mg PE=4 SV=1</t>
  </si>
  <si>
    <t>Uncharacterized protein OS=Prunus persica GN=PRUPE_ppa003719mg PE=4 SV=1</t>
  </si>
  <si>
    <t>Uncharacterized protein OS=Prunus persica GN=PRUPE_ppa011878mg PE=4 SV=1</t>
  </si>
  <si>
    <t>Uncharacterized protein OS=Prunus persica GN=PRUPE_ppa000614mg PE=4 SV=1</t>
  </si>
  <si>
    <t>Uncharacterized protein (Fragment) OS=Prunus persica GN=PRUPE_ppa017379mg PE=4 SV=1</t>
  </si>
  <si>
    <t>Uncharacterized protein (Fragment) OS=Nitrosospira sp. NpAV GN=SQ11_15775 PE=4 SV=1</t>
  </si>
  <si>
    <t>Uncharacterized protein OS=Prunus persica GN=PRUPE_ppa005443mg PE=4 SV=1</t>
  </si>
  <si>
    <t>Uncharacterized protein OS=Prunus persica GN=PRUPE_ppa007467mg PE=3 SV=1</t>
  </si>
  <si>
    <t>Uncharacterized protein OS=Prunus persica GN=PRUPE_ppa020266mg PE=4 SV=1</t>
  </si>
  <si>
    <t>Glycosyltransferase OS=Prunus persica GN=PRUPE_ppa005475mg PE=3 SV=1</t>
  </si>
  <si>
    <t>Uncharacterized protein OS=Prunus persica GN=PRUPE_ppa005641mg PE=3 SV=1</t>
  </si>
  <si>
    <t>Uncharacterized protein OS=Prunus persica GN=PRUPE_ppa002487mg PE=4 SV=1</t>
  </si>
  <si>
    <t>Uncharacterized protein OS=Prunus persica GN=PRUPE_ppa002442mg PE=3 SV=1</t>
  </si>
  <si>
    <t>Cytochrome b6 OS=Aethionema grandiflorum GN=petB PE=3 SV=1</t>
  </si>
  <si>
    <t>Non-specific serine/threonine protein kinase OS=Prunus persica GN=PRUPE_ppa005344mg PE=4 SV=1</t>
  </si>
  <si>
    <t>Uncharacterized protein OS=Fusarium oxysporum f. sp. pisi HDV247 GN=FOVG_00921 PE=4 SV=1</t>
  </si>
  <si>
    <t>Uncharacterized protein OS=Prunus persica GN=PRUPE_ppa007058mg PE=4 SV=1</t>
  </si>
  <si>
    <t>Uncharacterized protein OS=Prunus persica GN=PRUPE_ppa025076mg PE=4 SV=1</t>
  </si>
  <si>
    <t>Uncharacterized protein OS=Prunus persica GN=PRUPE_ppa022336mg PE=4 SV=1</t>
  </si>
  <si>
    <t>Uncharacterized protein OS=Populus trichocarpa GN=POPTR_0008s16850g PE=4 SV=1</t>
  </si>
  <si>
    <t>Uncharacterized protein OS=Prunus persica GN=PRUPE_ppa025263mg PE=4 SV=1</t>
  </si>
  <si>
    <t>Uncharacterized protein OS=Prunus persica GN=PRUPE_ppa023260mg PE=4 SV=1</t>
  </si>
  <si>
    <t>Uncharacterized protein OS=Prunus persica GN=PRUPE_ppa004707mg PE=4 SV=1</t>
  </si>
  <si>
    <t>Uncharacterized protein OS=Prunus persica GN=PRUPE_ppa012075mg PE=4 SV=1</t>
  </si>
  <si>
    <t>Uncharacterized protein (Fragment) OS=Prunus persica GN=PRUPE_ppa017762mg PE=4 SV=1</t>
  </si>
  <si>
    <t>Uncharacterized protein OS=Prunus persica GN=PRUPE_ppa019171mg PE=4 SV=1</t>
  </si>
  <si>
    <t>Uncharacterized protein OS=Prunus persica GN=PRUPE_ppa008836mg PE=4 SV=1</t>
  </si>
  <si>
    <t>Uncharacterized protein OS=Prunus persica GN=PRUPE_ppa001043mg PE=4 SV=1</t>
  </si>
  <si>
    <t>Uncharacterized protein OS=Prunus persica GN=PRUPE_ppa022176mg PE=4 SV=1</t>
  </si>
  <si>
    <t>Uncharacterized protein OS=Prunus persica GN=PRUPE_ppa009500mg PE=4 SV=1</t>
  </si>
  <si>
    <t>Uncharacterized protein OS=Prunus persica GN=PRUPE_ppa006518mg PE=3 SV=1</t>
  </si>
  <si>
    <t>Uncharacterized protein OS=Morus notabilis GN=L484_018407 PE=4 SV=1</t>
  </si>
  <si>
    <t>Uncharacterized protein OS=Gossypium arboreum GN=F383_28491 PE=4 SV=1</t>
  </si>
  <si>
    <t>Uncharacterized protein OS=Prunus persica GN=PRUPE_ppa007705mg PE=4 SV=1</t>
  </si>
  <si>
    <t>Uncharacterized protein OS=Prunus persica GN=PRUPE_ppa003921mg PE=4 SV=1</t>
  </si>
  <si>
    <t>Uncharacterized protein OS=Prunus persica GN=PRUPE_ppa001542mg PE=4 SV=1</t>
  </si>
  <si>
    <t>Uncharacterized protein OS=Prunus persica GN=PRUPE_ppa000509mg PE=4 SV=1</t>
  </si>
  <si>
    <t>Uncharacterized protein OS=Prunus persica GN=PRUPE_ppa004892mg PE=4 SV=1</t>
  </si>
  <si>
    <t>Uncharacterized protein OS=Prunus persica GN=PRUPE_ppa005584mg PE=4 SV=1</t>
  </si>
  <si>
    <t>Uncharacterized protein OS=Prunus persica GN=PRUPE_ppa003496mg PE=4 SV=1</t>
  </si>
  <si>
    <t>Serine/threonine-protein kinase OS=Jatropha curcas GN=JCGZ_05280 PE=3 SV=1</t>
  </si>
  <si>
    <t>Uncharacterized protein OS=Prunus persica GN=PRUPE_ppa017905mg PE=4 SV=1</t>
  </si>
  <si>
    <t>Uncharacterized protein OS=Prunus persica GN=PRUPE_ppa017267mg PE=4 SV=1</t>
  </si>
  <si>
    <t>Uncharacterized protein OS=Prunus persica GN=PRUPE_ppa010080mg PE=3 SV=1</t>
  </si>
  <si>
    <t>Uncharacterized protein OS=Prunus persica GN=PRUPE_ppb004154mg PE=3 SV=1</t>
  </si>
  <si>
    <t>Uncharacterized protein OS=Prunus persica GN=PRUPE_ppb021634mg PE=4 SV=1</t>
  </si>
  <si>
    <t>Uncharacterized protein OS=Prunus persica GN=PRUPE_ppa004667mg PE=4 SV=1</t>
  </si>
  <si>
    <t>Uncharacterized protein (Fragment) OS=Prunus persica GN=PRUPE_ppa018850mg PE=4 SV=1</t>
  </si>
  <si>
    <t>Polyadenylate-binding protein OS=Prunus persica GN=PRUPE_ppa020841mg PE=3 SV=1</t>
  </si>
  <si>
    <t>Uncharacterized protein OS=Prunus persica GN=PRUPE_ppa005199mg PE=3 SV=1</t>
  </si>
  <si>
    <t>Uncharacterized protein OS=Prunus persica GN=PRUPE_ppa012668mg PE=4 SV=1</t>
  </si>
  <si>
    <t>Pectinesterase OS=Prunus persica GN=PRUPE_ppa003441mg PE=3 SV=1</t>
  </si>
  <si>
    <t>Uncharacterized protein OS=Jatropha curcas GN=JCGZ_23474 PE=4 SV=1</t>
  </si>
  <si>
    <t>Uncharacterized protein OS=Prunus persica GN=PRUPE_ppa000981mg PE=3 SV=1</t>
  </si>
  <si>
    <t>Uncharacterized protein OS=Prunus persica GN=PRUPE_ppa006565mg PE=4 SV=1</t>
  </si>
  <si>
    <t>Uncharacterized protein OS=Prunus persica GN=PRUPE_ppa008181mg PE=3 SV=1</t>
  </si>
  <si>
    <t>Uncharacterized protein OS=Prunus persica GN=PRUPE_ppa007854mg PE=4 SV=1</t>
  </si>
  <si>
    <t>Cysteine synthase OS=Citrus sinensis GN=CISIN_1g020617mg PE=3 SV=1</t>
  </si>
  <si>
    <t>Uncharacterized protein OS=Prunus persica GN=PRUPE_ppa000366mg PE=4 SV=1</t>
  </si>
  <si>
    <t>Xyloglucan endotransglucosylase/hydrolase OS=Prunus persica GN=PRUPE_ppa009346mg PE=3 SV=1</t>
  </si>
  <si>
    <t>Uncharacterized protein OS=Prunus persica GN=PRUPE_ppa006331mg PE=4 SV=1</t>
  </si>
  <si>
    <t>Uncharacterized protein OS=Prunus persica GN=PRUPE_ppa013424mg PE=4 SV=1</t>
  </si>
  <si>
    <t>Uncharacterized protein (Fragment) OS=Prunus persica GN=PRUPE_ppa017780mg PE=4 SV=1</t>
  </si>
  <si>
    <t>Uncharacterized protein OS=Prunus persica GN=PRUPE_ppa024674mg PE=3 SV=1</t>
  </si>
  <si>
    <t>Uncharacterized protein OS=Prunus persica GN=PRUPE_ppa022699mg PE=4 SV=1</t>
  </si>
  <si>
    <t>Uncharacterized protein OS=Prunus persica GN=PRUPE_ppa007359mg PE=3 SV=1</t>
  </si>
  <si>
    <t>Uncharacterized protein OS=Prunus persica GN=PRUPE_ppa010181mg PE=4 SV=1</t>
  </si>
  <si>
    <t>Uncharacterized protein OS=Prunus persica GN=PRUPE_ppa021574mg PE=4 SV=1</t>
  </si>
  <si>
    <t>Uncharacterized protein OS=Prunus persica GN=PRUPE_ppa002126mg PE=4 SV=1</t>
  </si>
  <si>
    <t>Uncharacterized protein OS=Prunus persica GN=PRUPE_ppa014784mg PE=4 SV=1</t>
  </si>
  <si>
    <t>Uncharacterized protein OS=Prunus persica GN=PRUPE_ppa018075mg PE=4 SV=1</t>
  </si>
  <si>
    <t>Uncharacterized protein OS=Prunus persica GN=PRUPE_ppa021204mg PE=4 SV=1</t>
  </si>
  <si>
    <t>Uncharacterized protein (Fragment) OS=Prunus persica GN=PRUPE_ppa026633mg PE=4 SV=1</t>
  </si>
  <si>
    <t>Non-specific serine/threonine protein kinase OS=Prunus persica GN=PRUPE_ppa005163mg PE=4 SV=1</t>
  </si>
  <si>
    <t>Uncharacterized protein OS=Prunus persica GN=PRUPE_ppa011503mg PE=4 SV=1</t>
  </si>
  <si>
    <t>Uncharacterized protein OS=Prunus persica GN=PRUPE_ppa012173mg PE=4 SV=1</t>
  </si>
  <si>
    <t>Uncharacterized protein OS=Prunus persica GN=PRUPE_ppa021673mg PE=4 SV=1</t>
  </si>
  <si>
    <t>Tyrosine--tRNA ligase OS=Prunus persica GN=PRUPE_ppa004925mg PE=3 SV=1</t>
  </si>
  <si>
    <t>Uncharacterized protein OS=Prunus persica GN=PRUPE_ppa003874mg PE=4 SV=1</t>
  </si>
  <si>
    <t>ATP-dependent Clp protease proteolytic subunit OS=Prunus persica GN=PRUPE_ppa008579mg PE=3 SV=1</t>
  </si>
  <si>
    <t>Uncharacterized protein OS=Prunus persica GN=PRUPE_ppa002071mg PE=4 SV=1</t>
  </si>
  <si>
    <t>Uncharacterized protein OS=Prunus persica GN=PRUPE_ppa002375mg PE=4 SV=1</t>
  </si>
  <si>
    <t>Isocitrate dehydrogenase [NAD] subunit, mitochondrial OS=Prunus persica GN=PRUPE_ppa007185mg PE=3 SV=1</t>
  </si>
  <si>
    <t>Uncharacterized protein OS=Prunus persica GN=PRUPE_ppa010053mg PE=4 SV=1</t>
  </si>
  <si>
    <t>Uncharacterized protein OS=Prunus persica GN=PRUPE_ppa007131mg PE=3 SV=1</t>
  </si>
  <si>
    <t>Uncharacterized protein (Fragment) OS=Prunus persica GN=PRUPE_ppa019301mg PE=4 SV=1</t>
  </si>
  <si>
    <t>Citrate synthase OS=Prunus persica GN=PRUPE_ppa005193mg PE=3 SV=1</t>
  </si>
  <si>
    <t>Uncharacterized protein (Fragment) OS=Prunus persica GN=PRUPE_ppa018348mg PE=4 SV=1</t>
  </si>
  <si>
    <t>Uncharacterized protein OS=Prunus persica GN=PRUPE_ppa009673mg PE=4 SV=1</t>
  </si>
  <si>
    <t>Uncharacterized protein OS=Prunus persica GN=PRUPE_ppa010834mg PE=4 SV=1</t>
  </si>
  <si>
    <t>Uncharacterized protein OS=Prunus persica GN=PRUPE_ppa016785mg PE=4 SV=1</t>
  </si>
  <si>
    <t>High-affinity nitrate transporter OS=Prunus persica GN=PpNRT2;2 PE=2 SV=1</t>
  </si>
  <si>
    <t>Uncharacterized protein (Fragment) OS=Prunus persica GN=PRUPE_ppa021245mg PE=4 SV=1</t>
  </si>
  <si>
    <t>Glucose-1-phosphate adenylyltransferase OS=Prunus persica GN=PRUPE_ppa019426mg PE=3 SV=1</t>
  </si>
  <si>
    <t>Uncharacterized protein OS=Prunus persica GN=PRUPE_ppa010410mg PE=4 SV=1</t>
  </si>
  <si>
    <t>DNA helicase OS=Prunus persica GN=PRUPE_ppa001755mg PE=3 SV=1</t>
  </si>
  <si>
    <t>Lipoxygenase OS=Prunus persica GN=PRUPE_ppa001016mg PE=3 SV=1</t>
  </si>
  <si>
    <t>Serine/threonine-protein kinase ATM OS=Morus notabilis GN=L484_015021 PE=4 SV=1</t>
  </si>
  <si>
    <t>Uncharacterized protein OS=Prunus persica GN=PRUPE_ppa001735mg PE=4 SV=1</t>
  </si>
  <si>
    <t>Uncharacterized protein OS=Prunus persica GN=PRUPE_ppa027164mg PE=3 SV=1</t>
  </si>
  <si>
    <t>Uncharacterized protein OS=Prunus persica GN=PRUPE_ppa002730mg PE=4 SV=1</t>
  </si>
  <si>
    <t>Uncharacterized protein (Fragment) OS=Prunus persica GN=PRUPE_ppa025048mg PE=4 SV=1</t>
  </si>
  <si>
    <t>Uncharacterized protein OS=Prunus persica GN=PRUPE_ppa006413mg PE=4 SV=1</t>
  </si>
  <si>
    <t>Uncharacterized protein OS=Prunus persica GN=PRUPE_ppa019678mg PE=4 SV=1</t>
  </si>
  <si>
    <t>Uncharacterized protein (Fragment) OS=Prunus persica GN=PRUPE_ppa026434mg PE=3 SV=1</t>
  </si>
  <si>
    <t>3-ketoacyl-CoA synthase OS=Prunus persica GN=PRUPE_ppa004011mg PE=3 SV=1</t>
  </si>
  <si>
    <t>Uncharacterized protein OS=Prunus persica GN=PRUPE_ppa009143mg PE=4 SV=1</t>
  </si>
  <si>
    <t>Uncharacterized protein (Fragment) OS=Prunus persica GN=PRUPE_ppa018916mg PE=4 SV=1</t>
  </si>
  <si>
    <t>Uncharacterized protein OS=Prunus persica GN=PRUPE_ppa012135mg PE=4 SV=1</t>
  </si>
  <si>
    <t>Uncharacterized protein OS=Prunus persica GN=PRUPE_ppa009368mg PE=4 SV=1</t>
  </si>
  <si>
    <t>Uncharacterized protein OS=Prunus persica GN=PRUPE_ppa013593mg PE=4 SV=1</t>
  </si>
  <si>
    <t>Uncharacterized protein (Fragment) OS=Genlisea aurea GN=M569_08967 PE=4 SV=1</t>
  </si>
  <si>
    <t>Uncharacterized protein OS=Prunus persica GN=PRUPE_ppa002216mg PE=4 SV=1</t>
  </si>
  <si>
    <t>Uncharacterized protein OS=Prunus persica GN=PRUPE_ppa006856mg PE=4 SV=1</t>
  </si>
  <si>
    <t>Uncharacterized protein OS=Prunus persica GN=PRUPE_ppa006575mg PE=4 SV=1</t>
  </si>
  <si>
    <t>Uncharacterized protein OS=Prunus persica GN=PRUPE_ppa002667mg PE=3 SV=1</t>
  </si>
  <si>
    <t>Uncharacterized protein OS=Prunus persica GN=PRUPE_ppa001264mg PE=4 SV=1</t>
  </si>
  <si>
    <t>Putative uncharacterized protein OS=Vitis vinifera GN=VITISV_000485 PE=4 SV=1</t>
  </si>
  <si>
    <t>Uncharacterized protein OS=Prunus persica GN=PRUPE_ppa008431mg PE=4 SV=1</t>
  </si>
  <si>
    <t>Uncharacterized protein OS=Prunus persica GN=PRUPE_ppa005898mg PE=4 SV=1</t>
  </si>
  <si>
    <t>Uncharacterized protein OS=Prunus persica GN=PRUPE_ppa013117mg PE=4 SV=1</t>
  </si>
  <si>
    <t>Glutamate receptor OS=Prunus persica GN=PRUPE_ppa001093mg PE=3 SV=1</t>
  </si>
  <si>
    <t>Uncharacterized protein (Fragment) OS=Prunus persica GN=PRUPE_ppa020709mg PE=4 SV=1</t>
  </si>
  <si>
    <t>Uncharacterized protein OS=Prunus persica GN=PRUPE_ppa008097mg PE=4 SV=1</t>
  </si>
  <si>
    <t>Uncharacterized protein OS=Prunus persica GN=PRUPE_ppa012585mg PE=4 SV=1</t>
  </si>
  <si>
    <t>Uncharacterized protein OS=Prunus persica GN=PRUPE_ppa011424mg PE=4 SV=1</t>
  </si>
  <si>
    <t>Uncharacterized protein OS=Prunus persica GN=PRUPE_ppa020077mg PE=4 SV=1</t>
  </si>
  <si>
    <t>Uncharacterized protein OS=Prunus persica GN=PRUPE_ppa006099mg PE=3 SV=1</t>
  </si>
  <si>
    <t>Uncharacterized protein OS=Prunus persica GN=PRUPE_ppa004254mg PE=4 SV=1</t>
  </si>
  <si>
    <t>Uncharacterized protein OS=Prunus persica GN=PRUPE_ppa011045mg PE=4 SV=1</t>
  </si>
  <si>
    <t>Uncharacterized protein OS=Prunus persica GN=PRUPE_ppa004668mg PE=4 SV=1</t>
  </si>
  <si>
    <t>Uncharacterized protein (Fragment) OS=Prunus persica GN=PRUPE_ppa020042mg PE=4 SV=1</t>
  </si>
  <si>
    <t>Uncharacterized protein OS=Prunus persica GN=PRUPE_ppa026500mg PE=4 SV=1</t>
  </si>
  <si>
    <t>Uncharacterized protein OS=Prunus persica GN=PRUPE_ppa010203mg PE=3 SV=1</t>
  </si>
  <si>
    <t>Dolichyl-diphosphooligosaccharide--protein glycosyltransferase subunit DAD1 OS=Prunus persica GN=PRUPE_ppa013499mg PE=3 SV=1</t>
  </si>
  <si>
    <t>Uncharacterized protein OS=Prunus persica GN=PRUPE_ppa004087mg PE=4 SV=1</t>
  </si>
  <si>
    <t>Dehydrin OS=Prunus persica PE=3 SV=1</t>
  </si>
  <si>
    <t>Putative uncharacterized protein OS=Ricinus communis GN=RCOM_1597240 PE=4 SV=1</t>
  </si>
  <si>
    <t>Uncharacterized protein (Fragment) OS=Prunus persica GN=PRUPE_ppa017490mg PE=4 SV=1</t>
  </si>
  <si>
    <t>Uncharacterized protein OS=Prunus persica GN=PRUPE_ppa010894mg PE=4 SV=1</t>
  </si>
  <si>
    <t>ATP synthase subunit alpha OS=Thielaviopsis punctulata GN=TD95_001819 PE=3 SV=1</t>
  </si>
  <si>
    <t>Serine/threonine-protein kinase OS=Prunus persica GN=PRUPE_ppa018262mg PE=3 SV=1</t>
  </si>
  <si>
    <t>Uncharacterized protein OS=Prunus persica GN=PRUPE_ppa026851mg PE=3 SV=1</t>
  </si>
  <si>
    <t>Uncharacterized protein OS=Prunus persica GN=PRUPE_ppa020903mg PE=4 SV=1</t>
  </si>
  <si>
    <t>Uncharacterized protein OS=Prunus persica GN=PRUPE_ppa013154mg PE=3 SV=1</t>
  </si>
  <si>
    <t>Uncharacterized protein OS=Prunus persica GN=PRUPE_ppa018955mg PE=3 SV=1</t>
  </si>
  <si>
    <t>Xyloglucan endotransglucosylase/hydrolase OS=Prunus persica GN=PRUPE_ppa009245mg PE=3 SV=1</t>
  </si>
  <si>
    <t>Uncharacterized protein OS=Prunus persica GN=PRUPE_ppa019635mg PE=4 SV=1</t>
  </si>
  <si>
    <t>Uncharacterized protein OS=Prunus persica GN=PRUPE_ppa011881mg PE=4 SV=1</t>
  </si>
  <si>
    <t>Uncharacterized protein OS=Prunus persica GN=PRUPE_ppa001423mg PE=4 SV=1</t>
  </si>
  <si>
    <t>Uncharacterized protein OS=Prunus persica GN=PRUPE_ppa006676mg PE=4 SV=1</t>
  </si>
  <si>
    <t>Uncharacterized protein OS=Prunus persica GN=PRUPE_ppa003855mg PE=4 SV=1</t>
  </si>
  <si>
    <t>Uncharacterized protein OS=Prunus persica GN=PRUPE_ppa000125mg PE=4 SV=1</t>
  </si>
  <si>
    <t>Uncharacterized protein OS=Prunus persica GN=PRUPE_ppa011142mg PE=3 SV=1</t>
  </si>
  <si>
    <t>Ribonuclease OS=Coffea canephora GN=GSCOC_T00029634001 PE=3 SV=1</t>
  </si>
  <si>
    <t>Uncharacterized protein OS=Prunus persica GN=PRUPE_ppa018895mg PE=4 SV=1</t>
  </si>
  <si>
    <t>Uncharacterized protein OS=Prunus persica GN=PRUPE_ppa011542mg PE=3 SV=1</t>
  </si>
  <si>
    <t>Uncharacterized protein OS=Prunus persica GN=PRUPE_ppa005460mg PE=4 SV=1</t>
  </si>
  <si>
    <t>Uncharacterized protein OS=Prunus persica GN=PRUPE_ppa005243mg PE=4 SV=1</t>
  </si>
  <si>
    <t>Uncharacterized protein OS=Prunus persica GN=PRUPE_ppa005822mg PE=4 SV=1</t>
  </si>
  <si>
    <t>Vacuolar protein sorting-associated protein 45-like protein OS=Morus notabilis GN=L484_003530 PE=4 SV=1</t>
  </si>
  <si>
    <t>Protein yippee-like OS=Prunus persica GN=PRUPE_ppa025538mg PE=3 SV=1</t>
  </si>
  <si>
    <t>Uncharacterized protein OS=Prunus persica GN=PRUPE_ppa005134mg PE=3 SV=1</t>
  </si>
  <si>
    <t>Putative uncharacterized protein OS=Vitis vinifera GN=VIT_16s0098g00420 PE=3 SV=1</t>
  </si>
  <si>
    <t>Acetyltransferase component of pyruvate dehydrogenase complex OS=Prunus persica GN=PRUPE_ppa003847mg PE=3 SV=1</t>
  </si>
  <si>
    <t>Uncharacterized protein OS=Prunus persica GN=PRUPE_ppa005516mg PE=4 SV=1</t>
  </si>
  <si>
    <t>Uncharacterized protein OS=Prunus persica GN=PRUPE_ppa008574mg PE=4 SV=1</t>
  </si>
  <si>
    <t>Uncharacterized protein (Fragment) OS=Prunus persica GN=PRUPE_ppa024655mg PE=4 SV=1</t>
  </si>
  <si>
    <t>Uncharacterized protein (Fragment) OS=Prunus persica GN=PRUPE_ppa015617mg PE=4 SV=1</t>
  </si>
  <si>
    <t>Uncharacterized protein OS=Prunus persica GN=PRUPE_ppa005574mg PE=4 SV=1</t>
  </si>
  <si>
    <t>Uncharacterized protein OS=Prunus persica GN=PRUPE_ppa012031mg PE=4 SV=1</t>
  </si>
  <si>
    <t>Uncharacterized protein OS=Prunus persica GN=PRUPE_ppa003227mg PE=4 SV=1</t>
  </si>
  <si>
    <t>Putative uncharacterized protein OS=Vitis vinifera GN=VIT_07s0130g00420 PE=4 SV=1</t>
  </si>
  <si>
    <t>Uncharacterized protein OS=Prunus persica GN=PRUPE_ppa001890mg PE=4 SV=1</t>
  </si>
  <si>
    <t>S-acyltransferase OS=Prunus persica GN=PRUPE_ppa004525mg PE=3 SV=1</t>
  </si>
  <si>
    <t>Uncharacterized protein OS=Prunus persica GN=PRUPE_ppa002914mg PE=4 SV=1</t>
  </si>
  <si>
    <t>Putative uncharacterized protein OS=Vitis vinifera GN=VIT_08s0007g01490 PE=4 SV=1</t>
  </si>
  <si>
    <t>Uncharacterized protein OS=Prunus persica GN=PRUPE_ppa010427mg PE=4 SV=1</t>
  </si>
  <si>
    <t>Genome polyprotein OS=Blackberry virus S PE=2 SV=1</t>
  </si>
  <si>
    <t>3-ketoacyl-CoA synthase OS=Prunus persica GN=PRUPE_ppa004243mg PE=3 SV=1</t>
  </si>
  <si>
    <t>Intracellular protease 1 OS=Morus notabilis GN=L484_006467 PE=4 SV=1</t>
  </si>
  <si>
    <t>Uncharacterized protein OS=Prunus persica GN=PRUPE_ppa004614mg PE=4 SV=1</t>
  </si>
  <si>
    <t>Uncharacterized protein OS=Prunus persica GN=PRUPE_ppa004752mg PE=4 SV=1</t>
  </si>
  <si>
    <t>Uncharacterized protein OS=Prunus persica GN=PRUPE_ppa003232mg PE=4 SV=1</t>
  </si>
  <si>
    <t>Uncharacterized protein OS=Prunus persica GN=PRUPE_ppa010798mg PE=3 SV=1</t>
  </si>
  <si>
    <t>Uncharacterized protein OS=Prunus persica GN=PRUPE_ppa009903mg PE=4 SV=1</t>
  </si>
  <si>
    <t>Phytochrome OS=Prunus persica GN=PRUPE_ppa000510mg PE=3 SV=1</t>
  </si>
  <si>
    <t>Uncharacterized protein OS=Prunus persica GN=PRUPE_ppa001055mg PE=4 SV=1</t>
  </si>
  <si>
    <t>Uncharacterized protein OS=Prunus persica GN=PRUPE_ppa004669mg PE=4 SV=1</t>
  </si>
  <si>
    <t>Uncharacterized protein OS=Prunus persica GN=PRUPE_ppa013205mg PE=4 SV=1</t>
  </si>
  <si>
    <t>Uncharacterized protein OS=Prunus persica GN=PRUPE_ppa001926mg PE=4 SV=1</t>
  </si>
  <si>
    <t>Uncharacterized protein OS=Prunus persica GN=PRUPE_ppa010828mg PE=4 SV=1</t>
  </si>
  <si>
    <t>Uncharacterized protein OS=Prunus persica GN=PRUPE_ppa008760mg PE=3 SV=1</t>
  </si>
  <si>
    <t>Uncharacterized protein OS=Prunus persica GN=PRUPE_ppa012774mg PE=4 SV=1</t>
  </si>
  <si>
    <t>Uncharacterized protein (Fragment) OS=Prunus persica GN=PRUPE_ppa023765mg PE=4 SV=1</t>
  </si>
  <si>
    <t>Uncharacterized protein OS=Prunus persica GN=PRUPE_ppa005679mg PE=4 SV=1</t>
  </si>
  <si>
    <t>Triosephosphate isomerase OS=Prunus persica GN=PRUPE_ppa010312mg PE=3 SV=1</t>
  </si>
  <si>
    <t>Uncharacterized protein OS=Prunus persica GN=PRUPE_ppa026708mg PE=4 SV=1</t>
  </si>
  <si>
    <t>Uncharacterized protein OS=Prunus persica GN=PRUPE_ppa003684mg PE=4 SV=1</t>
  </si>
  <si>
    <t>Kinase family protein / peptidoglycan-binding LysM domain-containing protein, putative OS=Theobroma cacao GN=TCM_010473 PE=3 SV=1</t>
  </si>
  <si>
    <t>Uncharacterized protein OS=Prunus persica GN=PRUPE_ppa010707mg PE=4 SV=1</t>
  </si>
  <si>
    <t>Uncharacterized protein OS=Prunus persica GN=PRUPE_ppa007298mg PE=4 SV=1</t>
  </si>
  <si>
    <t>Uncharacterized protein OS=Prunus persica GN=PRUPE_ppa013061mg PE=4 SV=1</t>
  </si>
  <si>
    <t>Uncharacterized protein OS=Prunus persica GN=PRUPE_ppa008588mg PE=4 SV=1</t>
  </si>
  <si>
    <t>Sulfhydryl oxidase OS=Prunus persica GN=PRUPE_ppa004371mg PE=4 SV=1</t>
  </si>
  <si>
    <t>Adenylyl-sulfate kinase OS=Prunus persica GN=PRUPE_ppa010961mg PE=3 SV=1</t>
  </si>
  <si>
    <t>Katanin p80 WD40 repeat-containing subunit B1 homolog OS=Prunus persica GN=PRUPE_ppa001553mg PE=3 SV=1</t>
  </si>
  <si>
    <t>Uncharacterized protein OS=Prunus persica GN=PRUPE_ppa007523mg PE=4 SV=1</t>
  </si>
  <si>
    <t>Peptidyl-prolyl cis-trans isomerase OS=Prunus persica GN=PRUPE_ppa012309mg PE=3 SV=1</t>
  </si>
  <si>
    <t>Uncharacterized protein OS=Prunus persica GN=PRUPE_ppa010291mg PE=4 SV=1</t>
  </si>
  <si>
    <t>Uncharacterized protein OS=Prunus persica GN=PRUPE_ppa014746mg PE=4 SV=1</t>
  </si>
  <si>
    <t>Uncharacterized protein OS=Prunus persica GN=PRUPE_ppa003419mg PE=4 SV=1</t>
  </si>
  <si>
    <t>Uncharacterized protein OS=Prunus persica GN=PRUPE_ppa012024mg PE=4 SV=1</t>
  </si>
  <si>
    <t>Uncharacterized protein OS=Erythranthe guttata GN=MIMGU_mgv1a014700mg PE=4 SV=1</t>
  </si>
  <si>
    <t>Uncharacterized protein OS=Prunus persica GN=PRUPE_ppa004096mg PE=3 SV=1</t>
  </si>
  <si>
    <t>Dehydrin 1 (Fragment) OS=Prunus dulcis GN=DHN1 PE=4 SV=1</t>
  </si>
  <si>
    <t>Uncharacterized protein (Fragment) OS=Prunus persica GN=PRUPE_ppa027118mg PE=3 SV=1</t>
  </si>
  <si>
    <t>Glycosyltransferase OS=Prunus persica GN=PRUPE_ppa004924mg PE=3 SV=1</t>
  </si>
  <si>
    <t>Uncharacterized protein OS=Prunus persica GN=PRUPE_ppa013209mg PE=4 SV=1</t>
  </si>
  <si>
    <t>Uncharacterized protein OS=Prunus persica GN=PRUPE_ppa024965mg PE=4 SV=1</t>
  </si>
  <si>
    <t>Uncharacterized protein OS=Populus trichocarpa GN=POPTR_0016s00410g PE=4 SV=1</t>
  </si>
  <si>
    <t>Uncharacterized protein OS=Prunus persica GN=PRUPE_ppa012896mg PE=3 SV=1</t>
  </si>
  <si>
    <t>Uncharacterized protein OS=Prunus persica GN=PRUPE_ppa005760mg PE=4 SV=1</t>
  </si>
  <si>
    <t>Uncharacterized protein OS=Prunus persica GN=PRUPE_ppa022757mg PE=3 SV=1</t>
  </si>
  <si>
    <t>Patatin OS=Prunus persica GN=PRUPE_ppa019010mg PE=3 SV=1</t>
  </si>
  <si>
    <t>Peptidyl-prolyl cis-trans isomerase (Fragment) OS=Prunus persica GN=PRUPE_ppa016560mg PE=4 SV=1</t>
  </si>
  <si>
    <t>Uncharacterized protein OS=Prunus persica GN=PRUPE_ppa006894mg PE=4 SV=1</t>
  </si>
  <si>
    <t>Putative MYB transcription factor OS=Rosa hybrid cultivar GN=myb10 PE=2 SV=1</t>
  </si>
  <si>
    <t>Uncharacterized protein (Fragment) OS=Prunus persica GN=PRUPE_ppa024438mg PE=4 SV=1</t>
  </si>
  <si>
    <t>Uncharacterized protein OS=Prunus persica GN=PRUPE_ppa000343mg PE=4 SV=1</t>
  </si>
  <si>
    <t>Uncharacterized protein OS=Prunus persica GN=PRUPE_ppa000318mg PE=4 SV=1</t>
  </si>
  <si>
    <t>Uncharacterized protein (Fragment) OS=Prunus persica GN=PRUPE_ppa024085mg PE=4 SV=1</t>
  </si>
  <si>
    <t>Phosphatidylserine decarboxylase 2 isoform 1 OS=Theobroma cacao GN=TCM_007544 PE=4 SV=1</t>
  </si>
  <si>
    <t>Uncharacterized protein OS=Prunus persica GN=PRUPE_ppa003598mg PE=4 SV=1</t>
  </si>
  <si>
    <t>Uncharacterized protein (Fragment) OS=Prunus persica GN=PRUPE_ppa026107mg PE=4 SV=1</t>
  </si>
  <si>
    <t>Uncharacterized protein OS=Prunus persica GN=PRUPE_ppa002049mg PE=4 SV=1</t>
  </si>
  <si>
    <t>Uncharacterized protein OS=Prunus persica GN=PRUPE_ppb004066mg PE=3 SV=1</t>
  </si>
  <si>
    <t>Uncharacterized protein OS=Prunus persica GN=PRUPE_ppa000060mg PE=4 SV=1</t>
  </si>
  <si>
    <t>Uncharacterized protein OS=Prunus persica GN=PRUPE_ppa006970mg PE=3 SV=1</t>
  </si>
  <si>
    <t>Proteasome subunit beta type OS=Prunus persica GN=PRUPE_ppa010747mg PE=3 SV=1</t>
  </si>
  <si>
    <t>Uncharacterized protein OS=Prunus persica GN=PRUPE_ppa001982mg PE=3 SV=1</t>
  </si>
  <si>
    <t>Uncharacterized protein OS=Prunus persica GN=PRUPE_ppa011664mg PE=4 SV=1</t>
  </si>
  <si>
    <t>Eukaryotic translation initiation factor 3 subunit B OS=Prunus persica GN=PRUPE_ppa002067mg PE=3 SV=1</t>
  </si>
  <si>
    <t>Uncharacterized protein OS=Prunus persica GN=PRUPE_ppa024582mg PE=4 SV=1</t>
  </si>
  <si>
    <t>Uncharacterized protein OS=Prunus persica GN=PRUPE_ppa021880mg PE=4 SV=1</t>
  </si>
  <si>
    <t>Formin-like protein (Fragment) OS=Gossypium raimondii GN=B456_008G1956002 PE=3 SV=1</t>
  </si>
  <si>
    <t>Uncharacterized protein OS=Prunus persica GN=PRUPE_ppa001505mg PE=4 SV=1</t>
  </si>
  <si>
    <t>ATP-dependent Clp protease proteolytic subunit OS=Prunus persica GN=PRUPE_ppa008442mg PE=3 SV=1</t>
  </si>
  <si>
    <t>Uncharacterized protein OS=Prunus persica GN=PRUPE_ppa004297mg PE=4 SV=1</t>
  </si>
  <si>
    <t>Uncharacterized protein (Fragment) OS=Prunus persica GN=PRUPE_ppa015322mg PE=4 SV=1</t>
  </si>
  <si>
    <t>Uncharacterized protein OS=Prunus persica GN=PRUPE_ppa012866mg PE=4 SV=1</t>
  </si>
  <si>
    <t>Uncharacterized protein OS=Prunus persica GN=PRUPE_ppa026661mg PE=4 SV=1</t>
  </si>
  <si>
    <t>Uncharacterized protein OS=Prunus persica GN=PRUPE_ppa008169mg PE=4 SV=1</t>
  </si>
  <si>
    <t>Uncharacterized protein OS=Prunus persica GN=PRUPE_ppa003518mg PE=3 SV=1</t>
  </si>
  <si>
    <t>Uncharacterized protein OS=Prunus persica GN=PRUPE_ppa007621mg PE=4 SV=1</t>
  </si>
  <si>
    <t>Uncharacterized protein OS=Prunus persica GN=PRUPE_ppa010418mg PE=4 SV=1</t>
  </si>
  <si>
    <t>Putative uncharacterized protein OS=Vitis vinifera GN=VIT_00s0551g00030 PE=3 SV=1</t>
  </si>
  <si>
    <t>Uncharacterized protein OS=Prunus persica GN=PRUPE_ppa004089mg PE=4 SV=1</t>
  </si>
  <si>
    <t>Polyphenol oxidase II OS=Prunus persica GN=PPOII PE=4 SV=1</t>
  </si>
  <si>
    <t>Uncharacterized protein OS=Prunus persica GN=PRUPE_ppa011558mg PE=4 SV=1</t>
  </si>
  <si>
    <t>Uncharacterized protein OS=Eucalyptus grandis GN=EUGRSUZ_J00745 PE=3 SV=1</t>
  </si>
  <si>
    <t>Pectate lyase OS=Prunus persica GN=PRUPE_ppa005602mg PE=3 SV=1</t>
  </si>
  <si>
    <t>Genome polyprotein OS=Plum pox virus strain Marcus PE=3 SV=1</t>
  </si>
  <si>
    <t>Uncharacterized protein OS=Morus notabilis GN=L484_026288 PE=4 SV=1</t>
  </si>
  <si>
    <t>Uncharacterized protein (Fragment) OS=Prunus persica GN=PRUPE_ppa022260mg PE=3 SV=1</t>
  </si>
  <si>
    <t>Uncharacterized protein OS=Prunus persica GN=PRUPE_ppa007555mg PE=4 SV=1</t>
  </si>
  <si>
    <t>Uncharacterized protein OS=Prunus persica GN=PRUPE_ppa003070mg PE=4 SV=1</t>
  </si>
  <si>
    <t>Uncharacterized protein OS=Prunus persica GN=PRUPE_ppa008740mg PE=4 SV=1</t>
  </si>
  <si>
    <t>Uncharacterized protein OS=Prunus persica GN=PRUPE_ppa005600mg PE=4 SV=1</t>
  </si>
  <si>
    <t>Uncharacterized protein OS=Prunus persica GN=PRUPE_ppa006187mg PE=4 SV=1</t>
  </si>
  <si>
    <t>Uncharacterized protein OS=Prunus persica GN=PRUPE_ppa007708mg PE=4 SV=1</t>
  </si>
  <si>
    <t>Uncharacterized protein (Fragment) OS=Prunus persica GN=PRUPE_ppa016187mg PE=4 SV=1</t>
  </si>
  <si>
    <t>Uncharacterized protein OS=Prunus persica GN=PRUPE_ppa001164mg PE=3 SV=1</t>
  </si>
  <si>
    <t>Beta-galactosidase OS=Prunus persica GN=PRUPE_ppa001412mg PE=3 SV=1</t>
  </si>
  <si>
    <t>Temperature-induced lipocalin OS=Prunus armeniaca GN=TIL PE=2 SV=1</t>
  </si>
  <si>
    <t>Putative uncharacterized protein OS=Vitis vinifera GN=VIT_01s0010g03920 PE=4 SV=1</t>
  </si>
  <si>
    <t>Diacylglycerol kinase OS=Prunus persica GN=PRUPE_ppa002146mg PE=3 SV=1</t>
  </si>
  <si>
    <t>Uncharacterized protein OS=Prunus persica GN=PRUPE_ppa012461mg PE=4 SV=1</t>
  </si>
  <si>
    <t>Uncharacterized protein OS=Prunus persica GN=PRUPE_ppa004193mg PE=4 SV=1</t>
  </si>
  <si>
    <t>Potassium transporter OS=Prunus persica GN=KUP12 PE=2 SV=1</t>
  </si>
  <si>
    <t>Uncharacterized protein OS=Prunus persica GN=PRUPE_ppa023558mg PE=4 SV=1</t>
  </si>
  <si>
    <t>Uncharacterized protein OS=Prunus persica GN=PRUPE_ppa011904mg PE=4 SV=1</t>
  </si>
  <si>
    <t>Uncharacterized protein OS=Prunus persica GN=PRUPE_ppa000903mg PE=3 SV=1</t>
  </si>
  <si>
    <t>Uncharacterized protein OS=Prunus persica GN=PRUPE_ppa012218mg PE=4 SV=1</t>
  </si>
  <si>
    <t>Uncharacterized protein OS=Prunus persica GN=PRUPE_ppa000632mg PE=4 SV=1</t>
  </si>
  <si>
    <t>Uncharacterized protein OS=Prunus persica GN=PRUPE_ppa023978mg PE=4 SV=1</t>
  </si>
  <si>
    <t>Uncharacterized protein OS=Jatropha curcas GN=JCGZ_03034 PE=4 SV=1</t>
  </si>
  <si>
    <t>Uncharacterized protein OS=Prunus persica GN=PRUPE_ppa007505mg PE=4 SV=1</t>
  </si>
  <si>
    <t>Uncharacterized protein OS=Prunus persica GN=PRUPE_ppa005874mg PE=4 SV=1</t>
  </si>
  <si>
    <t>Uncharacterized protein OS=Prunus persica GN=PRUPE_ppa000662mg PE=4 SV=1</t>
  </si>
  <si>
    <t>Uncharacterized protein OS=Prunus persica GN=PRUPE_ppa002857mg PE=4 SV=1</t>
  </si>
  <si>
    <t>Uncharacterized protein (Fragment) OS=Prunus persica GN=PRUPE_ppa018433mg PE=4 SV=1</t>
  </si>
  <si>
    <t>Uncharacterized protein OS=Prunus persica GN=PRUPE_ppa010057mg PE=4 SV=1</t>
  </si>
  <si>
    <t>Uncharacterized protein OS=Prunus persica GN=PRUPE_ppa004818mg PE=4 SV=1</t>
  </si>
  <si>
    <t>Uncharacterized protein OS=Prunus persica GN=PRUPE_ppa010419mg PE=4 SV=1</t>
  </si>
  <si>
    <t>Uncharacterized protein OS=Prunus persica GN=PRUPE_ppa013039mg PE=4 SV=1</t>
  </si>
  <si>
    <t>Methionine aminopeptidase 1 OS=Prunus persica GN=PRUPE_ppa007539mg PE=3 SV=1</t>
  </si>
  <si>
    <t>Uncharacterized protein OS=Prunus persica GN=PRUPE_ppa024929mg PE=4 SV=1</t>
  </si>
  <si>
    <t>Lipoxygenase OS=Prunus persica GN=PRUPE_ppa001207mg PE=2 SV=1</t>
  </si>
  <si>
    <t>Sulfotransferase (Fragment) OS=Prunus persica GN=PRUPE_ppa019861mg PE=3 SV=1</t>
  </si>
  <si>
    <t>Uncharacterized protein OS=Prunus persica GN=PRUPE_ppa001244mg PE=4 SV=1</t>
  </si>
  <si>
    <t>Uncharacterized protein OS=Prunus persica GN=PRUPE_ppa025618mg PE=4 SV=1</t>
  </si>
  <si>
    <t>Uncharacterized protein OS=Prunus persica GN=PRUPE_ppa012394mg PE=4 SV=1</t>
  </si>
  <si>
    <t>Profilin OS=Prunus persica GN=PRUPE_ppa010614mg PE=3 SV=1</t>
  </si>
  <si>
    <t>Protein Ycf2 OS=Prunus serrulata var. spontanea GN=ycf2 PE=3 SV=1</t>
  </si>
  <si>
    <t>Uncharacterized protein OS=Prunus persica GN=PRUPE_ppa003672mg PE=4 SV=1</t>
  </si>
  <si>
    <t>Glutamate receptor OS=Prunus persica GN=PRUPE_ppa019874mg PE=3 SV=1</t>
  </si>
  <si>
    <t>Uncharacterized protein OS=Prunus persica GN=PRUPE_ppa020799mg PE=4 SV=1</t>
  </si>
  <si>
    <t>Uncharacterized protein OS=Prunus persica GN=PRUPE_ppa009305mg PE=4 SV=1</t>
  </si>
  <si>
    <t>Uncharacterized protein (Fragment) OS=Prunus persica GN=PRUPE_ppa018869mg PE=4 SV=1</t>
  </si>
  <si>
    <t>Glycosyltransferase OS=Prunus persica GN=PRUPE_ppa026557mg PE=3 SV=1</t>
  </si>
  <si>
    <t>Uncharacterized protein (Fragment) OS=Prunus persica GN=PRUPE_ppa023693mg PE=4 SV=1</t>
  </si>
  <si>
    <t>Uncharacterized protein OS=Prunus persica GN=PRUPE_ppa009794mg PE=4 SV=1</t>
  </si>
  <si>
    <t>Uncharacterized protein OS=Prunus persica GN=PRUPE_ppa011088mg PE=4 SV=1</t>
  </si>
  <si>
    <t>Uncharacterized protein OS=Prunus persica GN=PRUPE_ppa005750mg PE=4 SV=1</t>
  </si>
  <si>
    <t>Uncharacterized protein OS=Prunus persica GN=PRUPE_ppa001927mg PE=4 SV=1</t>
  </si>
  <si>
    <t>Uncharacterized protein OS=Prunus persica GN=PRUPE_ppa010860mg PE=4 SV=1</t>
  </si>
  <si>
    <t>Uncharacterized protein OS=Prunus persica GN=PRUPE_ppa015861mg PE=4 SV=1</t>
  </si>
  <si>
    <t>Uncharacterized protein OS=Prunus persica GN=PRUPE_ppa004376mg PE=4 SV=1</t>
  </si>
  <si>
    <t>Uncharacterized protein OS=Prunus persica GN=PRUPE_ppa004128mg PE=4 SV=1</t>
  </si>
  <si>
    <t>Uncharacterized protein OS=Prunus persica GN=PRUPE_ppa017098mg PE=4 SV=1</t>
  </si>
  <si>
    <t>Uncharacterized protein (Fragment) OS=Prunus persica GN=PRUPE_ppa023714mg PE=4 SV=1</t>
  </si>
  <si>
    <t>Chloride channel protein OS=Prunus persica GN=PRUPE_ppa025837mg PE=3 SV=1</t>
  </si>
  <si>
    <t>Uncharacterized protein OS=Prunus persica GN=PRUPE_ppa019498mg PE=4 SV=1</t>
  </si>
  <si>
    <t>Uncharacterized protein OS=Prunus persica GN=PRUPE_ppa009228mg PE=3 SV=1</t>
  </si>
  <si>
    <t>Uncharacterized protein OS=Prunus persica GN=PRUPE_ppa001919mg PE=4 SV=1</t>
  </si>
  <si>
    <t>Uncharacterized protein OS=Prunus persica GN=PRUPE_ppa021441mg PE=4 SV=1</t>
  </si>
  <si>
    <t>Uncharacterized protein OS=Prunus persica GN=PRUPE_ppa012435mg PE=4 SV=1</t>
  </si>
  <si>
    <t>Uncharacterized protein OS=Prunus persica GN=PRUPE_ppa020237mg PE=4 SV=1</t>
  </si>
  <si>
    <t>Uncharacterized protein OS=Prunus persica GN=PRUPE_ppa010317mg PE=4 SV=1</t>
  </si>
  <si>
    <t>BHLH domain class transcription factor OS=Malus domestica GN=BHLH10 PE=2 SV=1</t>
  </si>
  <si>
    <t>Uncharacterized protein OS=Prunus persica GN=PRUPE_ppa004785mg PE=4 SV=1</t>
  </si>
  <si>
    <t>Uncharacterized protein OS=Prunus persica GN=PRUPE_ppa010817mg PE=4 SV=1</t>
  </si>
  <si>
    <t>Uncharacterized protein OS=Prunus persica GN=PRUPE_ppa002383mg PE=4 SV=1</t>
  </si>
  <si>
    <t>Uncharacterized protein OS=Prunus persica GN=PRUPE_ppa006645mg PE=4 SV=1</t>
  </si>
  <si>
    <t>Beta-adaptin-like protein OS=Prunus persica GN=PRUPE_ppa001124mg PE=3 SV=1</t>
  </si>
  <si>
    <t>Uncharacterized protein OS=Prunus persica GN=PRUPE_ppa009970mg PE=4 SV=1</t>
  </si>
  <si>
    <t>Kinesin-like protein OS=Prunus persica GN=PRUPE_ppa000319mg PE=3 SV=1</t>
  </si>
  <si>
    <t>Uncharacterized protein OS=Prunus persica GN=PRUPE_ppa003150mg PE=4 SV=1</t>
  </si>
  <si>
    <t>Putative uncharacterized protein OS=Ricinus communis GN=RCOM_1217400 PE=4 SV=1</t>
  </si>
  <si>
    <t>Uncharacterized protein OS=Prunus persica GN=PRUPE_ppa000507mg PE=4 SV=1</t>
  </si>
  <si>
    <t>Uncharacterized protein OS=Prunus persica GN=PRUPE_ppa016406mg PE=4 SV=1</t>
  </si>
  <si>
    <t>Uncharacterized protein OS=Prunus persica GN=PRUPE_ppa005078mg PE=4 SV=1</t>
  </si>
  <si>
    <t>Uncharacterized protein OS=Prunus persica GN=PRUPE_ppa006165mg PE=4 SV=1</t>
  </si>
  <si>
    <t>Uncharacterized protein OS=Prunus persica GN=PRUPE_ppa014732mg PE=4 SV=1</t>
  </si>
  <si>
    <t>Uncharacterized protein OS=Prunus persica GN=PRUPE_ppa005491mg PE=4 SV=1</t>
  </si>
  <si>
    <t>Uncharacterized protein OS=Prunus persica GN=PRUPE_ppa002986mg PE=4 SV=1</t>
  </si>
  <si>
    <t>Uncharacterized protein OS=Prunus persica GN=PRUPE_ppa005901mg PE=4 SV=1</t>
  </si>
  <si>
    <t>Uncharacterized protein OS=Prunus persica GN=PRUPE_ppa013923mg PE=4 SV=1</t>
  </si>
  <si>
    <t>Uncharacterized protein OS=Prunus persica GN=PRUPE_ppa008420mg PE=4 SV=1</t>
  </si>
  <si>
    <t>Uncharacterized protein OS=Morus notabilis GN=L484_020249 PE=4 SV=1</t>
  </si>
  <si>
    <t>30S ribosomal protein S4, chloroplastic OS=Prunus kansuensis GN=rps4 PE=3 SV=1</t>
  </si>
  <si>
    <t>Uncharacterized protein OS=Prunus persica GN=PRUPE_ppa009765mg PE=4 SV=1</t>
  </si>
  <si>
    <t>Uncharacterized protein OS=Prunus persica GN=PRUPE_ppa010660mg PE=4 SV=1</t>
  </si>
  <si>
    <t>Uncharacterized protein OS=Prunus persica GN=PRUPE_ppa007619mg PE=3 SV=1</t>
  </si>
  <si>
    <t>Uncharacterized protein OS=Prunus persica GN=PRUPE_ppa010320mg PE=3 SV=1</t>
  </si>
  <si>
    <t>Carboxypeptidase OS=Prunus persica GN=PRUPE_ppa019210mg PE=3 SV=1</t>
  </si>
  <si>
    <t>Uncharacterized protein OS=Anaplasma phagocytophilum str. Norway variant2 GN=P029_01605 PE=4 SV=1</t>
  </si>
  <si>
    <t>Putative uncharacterized protein OS=Vitis vinifera GN=VITISV_019029 PE=4 SV=1</t>
  </si>
  <si>
    <t>Uncharacterized protein OS=Prunus persica GN=PRUPE_ppa026830mg PE=3 SV=1</t>
  </si>
  <si>
    <t>Uncharacterized protein OS=Prunus persica GN=PRUPE_ppa010729mg PE=4 SV=1</t>
  </si>
  <si>
    <t>Uncharacterized protein OS=Prunus persica GN=PRUPE_ppa006304mg PE=4 SV=1</t>
  </si>
  <si>
    <t>Uncharacterized protein OS=Prunus persica GN=PRUPE_ppa012275mg PE=4 SV=1</t>
  </si>
  <si>
    <t>Uncharacterized protein OS=Prunus persica GN=PRUPE_ppa002668mg PE=3 SV=1</t>
  </si>
  <si>
    <t>Uncharacterized protein OS=Prunus persica GN=PRUPE_ppa013040mg PE=4 SV=1</t>
  </si>
  <si>
    <t>Uncharacterized protein OS=Prunus persica GN=PRUPE_ppa006672mg PE=3 SV=1</t>
  </si>
  <si>
    <t>DNA helicase OS=Prunus persica GN=PRUPE_ppa002089mg PE=3 SV=1</t>
  </si>
  <si>
    <t>Uncharacterized protein OS=Prunus persica GN=PRUPE_ppa009687mg PE=4 SV=1</t>
  </si>
  <si>
    <t>Branched-chain-amino-acid aminotransferase OS=Prunus persica GN=PRUPE_ppa008101mg PE=3 SV=1</t>
  </si>
  <si>
    <t>Uncharacterized protein OS=Prunus persica GN=PRUPE_ppa012769mg PE=4 SV=1</t>
  </si>
  <si>
    <t>Uncharacterized protein OS=Prunus persica GN=PRUPE_ppa010690mg PE=4 SV=1</t>
  </si>
  <si>
    <t>Uncharacterized protein OS=Prunus persica GN=PRUPE_ppa008132mg PE=4 SV=1</t>
  </si>
  <si>
    <t>Uncharacterized protein OS=Gossypium raimondii GN=B456_009G263100 PE=4 SV=1</t>
  </si>
  <si>
    <t>Uncharacterized protein OS=Prunus persica GN=PRUPE_ppa009767mg PE=4 SV=1</t>
  </si>
  <si>
    <t>Uncharacterized protein OS=Prunus persica GN=PRUPE_ppa006868mg PE=4 SV=1</t>
  </si>
  <si>
    <t>Uncharacterized protein OS=Prunus persica GN=PRUPE_ppa003699mg PE=4 SV=1</t>
  </si>
  <si>
    <t>Uncharacterized protein OS=Prunus persica GN=PRUPE_ppa019541mg PE=4 SV=1</t>
  </si>
  <si>
    <t>Uncharacterized protein OS=Prunus persica GN=PRUPE_ppa013557mg PE=4 SV=1</t>
  </si>
  <si>
    <t>Uncharacterized protein OS=Prunus persica GN=PRUPE_ppa006488mg PE=4 SV=1</t>
  </si>
  <si>
    <t>Uncharacterized protein OS=Prunus persica GN=PRUPE_ppa003127mg PE=4 SV=1</t>
  </si>
  <si>
    <t>Uncharacterized protein OS=Prunus persica GN=PRUPE_ppa004147mg PE=4 SV=1</t>
  </si>
  <si>
    <t>Uncharacterized protein OS=Prunus persica GN=PRUPE_ppa007666mg PE=4 SV=1</t>
  </si>
  <si>
    <t>3-ketoacyl-CoA synthase OS=Prunus persica GN=PRUPE_ppa004269mg PE=3 SV=1</t>
  </si>
  <si>
    <t>Uncharacterized protein OS=Prunus persica GN=PRUPE_ppa007074mg PE=4 SV=1</t>
  </si>
  <si>
    <t>Uncharacterized protein OS=Prunus persica GN=PRUPE_ppa006566mg PE=4 SV=1</t>
  </si>
  <si>
    <t>Uncharacterized protein OS=Prunus persica GN=PRUPE_ppa004170mg PE=4 SV=1</t>
  </si>
  <si>
    <t>Uncharacterized protein OS=Prunus persica GN=PRUPE_ppa005376mg PE=4 SV=1</t>
  </si>
  <si>
    <t>Uncharacterized protein OS=Prunus persica GN=PRUPE_ppa021089mg PE=4 SV=1</t>
  </si>
  <si>
    <t>Uncharacterized protein OS=Populus trichocarpa GN=POPTR_0006s24730g PE=4 SV=2</t>
  </si>
  <si>
    <t>Uncharacterized protein OS=Prunus persica GN=PRUPE_ppa010005mg PE=4 SV=1</t>
  </si>
  <si>
    <t>Uncharacterized protein OS=Prunus persica GN=PRUPE_ppa021903mg PE=4 SV=1</t>
  </si>
  <si>
    <t>Uncharacterized protein OS=Fusarium oxysporum f. sp. pisi HDV247 GN=FOVG_07634 PE=3 SV=1</t>
  </si>
  <si>
    <t>Uncharacterized protein OS=Prunus persica GN=PRUPE_ppa000935mg PE=4 SV=1</t>
  </si>
  <si>
    <t>Uncharacterized protein OS=Prunus persica GN=PRUPE_ppa006496mg PE=4 SV=1</t>
  </si>
  <si>
    <t>Uncharacterized protein OS=Prunus persica GN=PRUPE_ppa007812mg PE=4 SV=1</t>
  </si>
  <si>
    <t>Uncharacterized protein OS=Prunus persica GN=PRUPE_ppa004415mg PE=3 SV=1</t>
  </si>
  <si>
    <t>Uncharacterized protein OS=Prunus persica GN=PRUPE_ppa002227mg PE=4 SV=1</t>
  </si>
  <si>
    <t>Uncharacterized protein OS=Prunus persica GN=PRUPE_ppa005139mg PE=3 SV=1</t>
  </si>
  <si>
    <t>Carboxypeptidase OS=Prunus persica GN=PRUPE_ppa005192mg PE=3 SV=1</t>
  </si>
  <si>
    <t>Uncharacterized protein OS=Prunus persica GN=PRUPE_ppa003527mg PE=4 SV=1</t>
  </si>
  <si>
    <t>Uncharacterized protein (Fragment) OS=Prunus persica GN=PRUPE_ppa016088mg PE=4 SV=1</t>
  </si>
  <si>
    <t>Uncharacterized protein OS=Prunus persica GN=PRUPE_ppa000031mg PE=4 SV=1</t>
  </si>
  <si>
    <t>Uncharacterized protein OS=Prunus persica GN=PRUPE_ppa008999mg PE=4 SV=1</t>
  </si>
  <si>
    <t>Uncharacterized protein OS=Prunus persica GN=PRUPE_ppa004383mg PE=4 SV=1</t>
  </si>
  <si>
    <t>Uncharacterized protein OS=Prunus persica GN=PRUPE_ppa008938mg PE=4 SV=1</t>
  </si>
  <si>
    <t>Uncharacterized protein OS=Prunus persica GN=PRUPE_ppa004115mg PE=4 SV=1</t>
  </si>
  <si>
    <t>Uncharacterized protein OS=Prunus persica GN=PRUPE_ppa011230mg PE=4 SV=1</t>
  </si>
  <si>
    <t>Uncharacterized protein OS=Prunus persica GN=PRUPE_ppa013116mg PE=4 SV=1</t>
  </si>
  <si>
    <t>Farnesylated protein-converting enzyme 2 OS=Prunus persica PE=4 SV=1</t>
  </si>
  <si>
    <t>Uncharacterized protein OS=Prunus persica GN=PRUPE_ppa004904mg PE=4 SV=1</t>
  </si>
  <si>
    <t>Uncharacterized protein OS=Prunus persica GN=PRUPE_ppa005933mg PE=4 SV=1</t>
  </si>
  <si>
    <t>Uncharacterized protein OS=Prunus persica GN=PRUPE_ppa004165mg PE=4 SV=1</t>
  </si>
  <si>
    <t>Uncharacterized protein OS=Prunus persica GN=PRUPE_ppa019352mg PE=3 SV=1</t>
  </si>
  <si>
    <t>Uncharacterized protein OS=Prunus persica GN=PRUPE_ppa007302mg PE=3 SV=1</t>
  </si>
  <si>
    <t>Uncharacterized protein OS=Prunus persica GN=PRUPE_ppa012306mg PE=4 SV=1</t>
  </si>
  <si>
    <t>Uncharacterized protein OS=Prunus persica GN=PRUPE_ppa013441mg PE=4 SV=1</t>
  </si>
  <si>
    <t>Uncharacterized protein OS=Prunus persica GN=PRUPE_ppa008700mg PE=4 SV=1</t>
  </si>
  <si>
    <t>Plastid alpha-amylase OS=Malus domestica GN=AMY10 PE=2 SV=1</t>
  </si>
  <si>
    <t>Uncharacterized protein OS=Prunus persica GN=PRUPE_ppa015070mg PE=4 SV=1</t>
  </si>
  <si>
    <t>Uncharacterized protein OS=Prunus persica GN=PRUPE_ppa010232mg PE=4 SV=1</t>
  </si>
  <si>
    <t>Aldose reductase OS=Prunus persica GN=PpAKR1 PE=2 SV=1</t>
  </si>
  <si>
    <t>Uncharacterized protein OS=Prunus persica GN=PRUPE_ppa008795mg PE=4 SV=1</t>
  </si>
  <si>
    <t>Uncharacterized protein OS=Jatropha curcas GN=JCGZ_17276 PE=3 SV=1</t>
  </si>
  <si>
    <t>Uncharacterized protein OS=Prunus persica GN=PRUPE_ppa010907mg PE=3 SV=1</t>
  </si>
  <si>
    <t>Uncharacterized protein OS=Prunus persica GN=PRUPE_ppa000301mg PE=4 SV=1</t>
  </si>
  <si>
    <t>Uncharacterized protein OS=Prunus persica GN=PRUPE_ppa019752mg PE=4 SV=1</t>
  </si>
  <si>
    <t>Uncharacterized protein (Fragment) OS=Prunus persica GN=PRUPE_ppa024193mg PE=3 SV=1</t>
  </si>
  <si>
    <t>Uncharacterized protein (Fragment) OS=Prunus persica GN=PRUPE_ppa020475mg PE=4 SV=1</t>
  </si>
  <si>
    <t>Putative uncharacterized protein OS=Oryza sativa subsp. japonica GN=OsJ_33372 PE=4 SV=1</t>
  </si>
  <si>
    <t>Uncharacterized protein OS=Prunus persica GN=PRUPE_ppa013301mg PE=4 SV=1</t>
  </si>
  <si>
    <t>Uncharacterized protein OS=Prunus persica GN=PRUPE_ppa010746mg PE=3 SV=1</t>
  </si>
  <si>
    <t>Ribosomal protein S7 OS=Medicago truncatula GN=MTR_3g035660 PE=3 SV=1</t>
  </si>
  <si>
    <t>Uncharacterized protein OS=Prunus persica GN=PRUPE_ppa019465mg PE=4 SV=1</t>
  </si>
  <si>
    <t>Uncharacterized protein OS=Prunus persica GN=PRUPE_ppa008719mg PE=4 SV=1</t>
  </si>
  <si>
    <t>Uncharacterized protein OS=Prunus persica GN=PRUPE_ppa004251mg PE=3 SV=1</t>
  </si>
  <si>
    <t>Uncharacterized protein OS=Prunus persica GN=PRUPE_ppa002220mg PE=3 SV=1</t>
  </si>
  <si>
    <t>Uncharacterized protein OS=Prunus persica GN=PRUPE_ppa025387mg PE=4 SV=1</t>
  </si>
  <si>
    <t>Uncharacterized protein OS=Prunus persica GN=PRUPE_ppa001333mg PE=4 SV=1</t>
  </si>
  <si>
    <t>Uncharacterized protein OS=Prunus persica GN=PRUPE_ppa001859mg PE=4 SV=1</t>
  </si>
  <si>
    <t>Uncharacterized protein OS=Prunus persica GN=PRUPE_ppb002474mg PE=4 SV=1</t>
  </si>
  <si>
    <t>Uncharacterized protein OS=Prunus persica GN=PRUPE_ppa002793mg PE=4 SV=1</t>
  </si>
  <si>
    <t>Uncharacterized protein OS=Prunus persica GN=PRUPE_ppa003123mg PE=4 SV=1</t>
  </si>
  <si>
    <t>Uncharacterized protein OS=Prunus persica GN=PRUPE_ppa023675mg PE=4 SV=1</t>
  </si>
  <si>
    <t>Uncharacterized protein OS=Prunus persica GN=PRUPE_ppa013521mg PE=4 SV=1</t>
  </si>
  <si>
    <t>Uncharacterized protein OS=Prunus persica GN=PRUPE_ppa009904mg PE=4 SV=1</t>
  </si>
  <si>
    <t>Uncharacterized protein OS=Prunus persica GN=PRUPE_ppa008037mg PE=4 SV=1</t>
  </si>
  <si>
    <t>Uncharacterized protein OS=Prunus persica GN=PRUPE_ppa001390mg PE=4 SV=1</t>
  </si>
  <si>
    <t>Uncharacterized protein OS=Prunus persica GN=PRUPE_ppa012840mg PE=3 SV=1</t>
  </si>
  <si>
    <t>Glycosyltransferase OS=Prunus persica GN=PRUPE_ppa004968mg PE=3 SV=1</t>
  </si>
  <si>
    <t>Uncharacterized protein OS=Prunus persica GN=PRUPE_ppa021437mg PE=4 SV=1</t>
  </si>
  <si>
    <t>Uncharacterized protein OS=Prunus persica GN=PRUPE_ppa002310mg PE=4 SV=1</t>
  </si>
  <si>
    <t>DNA-directed RNA polymerase subunit beta OS=Pyrus spinosa GN=rpoB PE=3 SV=1</t>
  </si>
  <si>
    <t>Uncharacterized protein OS=Prunus persica GN=PRUPE_ppa007699mg PE=4 SV=1</t>
  </si>
  <si>
    <t>Uncharacterized protein OS=Prunus persica GN=PRUPE_ppa003901mg PE=4 SV=1</t>
  </si>
  <si>
    <t>Uncharacterized protein OS=Prunus persica GN=PRUPE_ppa000063mg PE=4 SV=1</t>
  </si>
  <si>
    <t>Uncharacterized protein OS=Prunus persica GN=PRUPE_ppa006865mg PE=4 SV=1</t>
  </si>
  <si>
    <t>Histone-lysine N-methyltransferase OS=Prunus persica GN=PRUPE_ppa004967mg PE=4 SV=1</t>
  </si>
  <si>
    <t>Uncharacterized protein OS=Prunus persica GN=PRUPE_ppa005557mg PE=3 SV=1</t>
  </si>
  <si>
    <t>AGAMOUS-like 65, putative isoform 1 OS=Theobroma cacao GN=TCM_014051 PE=4 SV=1</t>
  </si>
  <si>
    <t>Uncharacterized protein OS=Prunus persica GN=PRUPE_ppa008798mg PE=4 SV=1</t>
  </si>
  <si>
    <t>Uncharacterized protein OS=Prunus persica GN=PRUPE_ppa008730mg PE=4 SV=1</t>
  </si>
  <si>
    <t>Uncharacterized protein OS=Prunus persica GN=PRUPE_ppa012635mg PE=4 SV=1</t>
  </si>
  <si>
    <t>Uncharacterized protein OS=Prunus persica GN=PRUPE_ppa002353mg PE=4 SV=1</t>
  </si>
  <si>
    <t>Uncharacterized protein OS=Prunus persica GN=PRUPE_ppa003066mg PE=4 SV=1</t>
  </si>
  <si>
    <t>Uncharacterized protein OS=Prunus persica GN=PRUPE_ppa018930mg PE=4 SV=1</t>
  </si>
  <si>
    <t>Uncharacterized protein OS=Prunus persica GN=PRUPE_ppa024442mg PE=4 SV=1</t>
  </si>
  <si>
    <t>Uncharacterized protein OS=Prunus persica GN=PRUPE_ppa011244mg PE=4 SV=1</t>
  </si>
  <si>
    <t>Uncharacterized protein OS=Prunus persica GN=PRUPE_ppa008239mg PE=4 SV=1</t>
  </si>
  <si>
    <t>Uncharacterized protein OS=Prunus persica GN=PRUPE_ppa011209mg PE=4 SV=1</t>
  </si>
  <si>
    <t>Uncharacterized protein OS=Prunus persica GN=PRUPE_ppa023919mg PE=4 SV=1</t>
  </si>
  <si>
    <t>Uncharacterized protein OS=Prunus persica GN=PRUPE_ppa006537mg PE=3 SV=1</t>
  </si>
  <si>
    <t>Uncharacterized protein OS=Prunus persica GN=PRUPE_ppa001320mg PE=3 SV=1</t>
  </si>
  <si>
    <t>Pinene/camphene synthase OS=Malus domestica GN=CAM PE=2 SV=1</t>
  </si>
  <si>
    <t>Uncharacterized protein OS=Prunus persica GN=PRUPE_ppa013052mg PE=4 SV=1</t>
  </si>
  <si>
    <t>Uncharacterized protein (Fragment) OS=Prunus persica GN=PRUPE_ppa016991mg PE=4 SV=1</t>
  </si>
  <si>
    <t>Uncharacterized protein OS=Prunus persica GN=PRUPE_ppa026896mg PE=4 SV=1</t>
  </si>
  <si>
    <t>Uncharacterized protein (Fragment) OS=Prunus persica GN=PRUPE_ppa015798mg PE=4 SV=1</t>
  </si>
  <si>
    <t>Uncharacterized protein OS=Prunus persica GN=PRUPE_ppa005629mg PE=4 SV=1</t>
  </si>
  <si>
    <t>Uncharacterized protein OS=Prunus persica GN=PRUPE_ppa018269mg PE=4 SV=1</t>
  </si>
  <si>
    <t>Uncharacterized protein OS=Prunus persica GN=PRUPE_ppa005030mg PE=4 SV=1</t>
  </si>
  <si>
    <t>Uncharacterized protein OS=Prunus persica GN=PRUPE_ppa005728mg PE=4 SV=1</t>
  </si>
  <si>
    <t>Uncharacterized protein OS=Prunus persica GN=PRUPE_ppa008876mg PE=4 SV=1</t>
  </si>
  <si>
    <t>Uncharacterized protein OS=Prunus persica GN=PRUPE_ppa010648mg PE=4 SV=1</t>
  </si>
  <si>
    <t>Uncharacterized protein OS=Prunus persica GN=PRUPE_ppa020743mg PE=4 SV=1</t>
  </si>
  <si>
    <t>Uncharacterized protein OS=Prunus persica GN=PRUPE_ppa017684mg PE=3 SV=1</t>
  </si>
  <si>
    <t>Cysteine synthase OS=Prunus persica GN=OAS-TL PE=2 SV=1</t>
  </si>
  <si>
    <t>Uncharacterized protein OS=Prunus persica GN=PRUPE_ppa010294mg PE=4 SV=1</t>
  </si>
  <si>
    <t>Actin-related protein 2/3 complex subunit 3 OS=Prunus persica GN=PRUPE_ppa012308mg PE=3 SV=1</t>
  </si>
  <si>
    <t>Uncharacterized protein OS=Prunus persica GN=PRUPE_ppa001267mg PE=3 SV=1</t>
  </si>
  <si>
    <t>Uncharacterized protein OS=Prunus persica GN=PRUPE_ppa009664mg PE=4 SV=1</t>
  </si>
  <si>
    <t>Arginine decarboxylase OS=Prunus persica GN=PpADC PE=2 SV=1</t>
  </si>
  <si>
    <t>Lactoylglutathione lyase OS=Prunus persica GN=PRUPE_ppa009462mg PE=3 SV=1</t>
  </si>
  <si>
    <t>Uncharacterized protein OS=Prunus persica GN=PRUPE_ppa002846mg PE=4 SV=1</t>
  </si>
  <si>
    <t>Uncharacterized protein OS=Prunus persica GN=PRUPE_ppa006561mg PE=4 SV=1</t>
  </si>
  <si>
    <t>Uncharacterized protein OS=Citrus clementina GN=CICLE_v10015131mg PE=4 SV=1</t>
  </si>
  <si>
    <t>Uncharacterized protein OS=Prunus persica GN=PRUPE_ppa008932mg PE=4 SV=1</t>
  </si>
  <si>
    <t>Eukaryotic translation initiation factor 3 subunit G OS=Prunus persica GN=PRUPE_ppa009390mg PE=3 SV=1</t>
  </si>
  <si>
    <t>Uncharacterized protein OS=Prunus persica GN=PRUPE_ppa002459mg PE=4 SV=1</t>
  </si>
  <si>
    <t>Uncharacterized protein OS=Prunus persica GN=PRUPE_ppa009701mg PE=4 SV=1</t>
  </si>
  <si>
    <t>Uncharacterized protein OS=Prunus persica GN=PRUPE_ppa017300mg PE=3 SV=1</t>
  </si>
  <si>
    <t>Uncharacterized protein OS=Prunus persica GN=PRUPE_ppa022694mg PE=4 SV=1</t>
  </si>
  <si>
    <t>Uncharacterized protein OS=Prunus persica GN=PRUPE_ppa009578mg PE=4 SV=1</t>
  </si>
  <si>
    <t>Uncharacterized protein OS=Prunus persica GN=PRUPE_ppa004314mg PE=4 SV=1</t>
  </si>
  <si>
    <t>Uncharacterized protein OS=Prunus persica GN=PRUPE_ppa008869mg PE=4 SV=1</t>
  </si>
  <si>
    <t>Uncharacterized protein OS=Prunus persica GN=PRUPE_ppa001205mg PE=4 SV=1</t>
  </si>
  <si>
    <t>Uncharacterized protein OS=Prunus persica GN=PRUPE_ppa019120mg PE=4 SV=1</t>
  </si>
  <si>
    <t>Uncharacterized protein OS=Prunus persica GN=PRUPE_ppa003200mg PE=4 SV=1</t>
  </si>
  <si>
    <t>Uncharacterized protein OS=Prunus persica GN=PRUPE_ppa006797mg PE=3 SV=1</t>
  </si>
  <si>
    <t>Uncharacterized protein OS=Prunus persica GN=PRUPE_ppa019473mg PE=4 SV=1</t>
  </si>
  <si>
    <t>Uncharacterized protein OS=Prunus persica GN=PRUPE_ppa002012mg PE=4 SV=1</t>
  </si>
  <si>
    <t>Uncharacterized protein OS=Prunus persica GN=PRUPE_ppa005716mg PE=4 SV=1</t>
  </si>
  <si>
    <t>Uncharacterized protein (Fragment) OS=Prunus persica GN=PRUPE_ppa015635mg PE=4 SV=1</t>
  </si>
  <si>
    <t>Uncharacterized protein OS=Prunus persica GN=PRUPE_ppa000164mg PE=4 SV=1</t>
  </si>
  <si>
    <t>Uncharacterized protein (Fragment) OS=Prunus persica GN=PRUPE_ppa011880m2g PE=4 SV=1</t>
  </si>
  <si>
    <t>Uncharacterized protein OS=Prunus persica GN=PRUPE_ppa018381mg PE=4 SV=1</t>
  </si>
  <si>
    <t>Serine hydroxymethyltransferase OS=Prunus persica GN=PRUPE_ppa003562mg PE=3 SV=1</t>
  </si>
  <si>
    <t>Uncharacterized protein OS=Prunus persica GN=PRUPE_ppa017043mg PE=4 SV=1</t>
  </si>
  <si>
    <t>Proteasome subunit beta type OS=Prunus persica GN=PRUPE_ppa011601mg PE=3 SV=1</t>
  </si>
  <si>
    <t>Calcium-dependent protein kinase OS=Malus domestica GN=MdCPK1 PE=2 SV=1</t>
  </si>
  <si>
    <t>Ubiquitin carboxyl-terminal hydrolase OS=Prunus persica GN=PRUPE_ppa000932mg PE=3 SV=1</t>
  </si>
  <si>
    <t>Uncharacterized protein OS=Prunus persica GN=PRUPE_ppa024477mg PE=3 SV=1</t>
  </si>
  <si>
    <t>Uncharacterized protein OS=Prunus persica GN=PRUPE_ppa003903mg PE=3 SV=1</t>
  </si>
  <si>
    <t>Uncharacterized protein OS=Prunus persica GN=PRUPE_ppa006494mg PE=4 SV=1</t>
  </si>
  <si>
    <t>Uncharacterized protein (Fragment) OS=Verticillium longisporum GN=BN1708_018191 PE=4 SV=1</t>
  </si>
  <si>
    <t>Carboxypeptidase OS=Prunus persica GN=PRUPE_ppa005545mg PE=3 SV=1</t>
  </si>
  <si>
    <t>Uncharacterized protein OS=Prunus persica GN=PRUPE_ppa008630mg PE=3 SV=1</t>
  </si>
  <si>
    <t>Uncharacterized protein OS=Prunus persica GN=PRUPE_ppa004274mg PE=4 SV=1</t>
  </si>
  <si>
    <t>Uncharacterized protein OS=Prunus persica GN=PRUPE_ppa1027143mg PE=3 SV=1</t>
  </si>
  <si>
    <t>Uncharacterized protein OS=Prunus persica GN=PRUPE_ppa003427mg PE=4 SV=1</t>
  </si>
  <si>
    <t>Uncharacterized protein OS=Prunus persica GN=PRUPE_ppa020879mg PE=3 SV=1</t>
  </si>
  <si>
    <t>Uncharacterized protein OS=Prunus persica GN=PRUPE_ppa001877mg PE=4 SV=1</t>
  </si>
  <si>
    <t>Uncharacterized protein (Fragment) OS=Prunus persica GN=PRUPE_ppa023707mg PE=4 SV=1</t>
  </si>
  <si>
    <t>Uncharacterized protein OS=Prunus persica GN=PRUPE_ppa003500mg PE=4 SV=1</t>
  </si>
  <si>
    <t>Uncharacterized protein OS=Prunus persica GN=PRUPE_ppa003944mg PE=4 SV=1</t>
  </si>
  <si>
    <t>Uncharacterized protein OS=Prunus persica GN=PRUPE_ppa002322mg PE=4 SV=1</t>
  </si>
  <si>
    <t>Uncharacterized protein OS=Prunus persica GN=PRUPE_ppa003335mg PE=3 SV=1</t>
  </si>
  <si>
    <t>Uncharacterized protein OS=Prunus persica GN=PRUPE_ppa006819mg PE=4 SV=1</t>
  </si>
  <si>
    <t>Putative uncharacterized protein OS=Ricinus communis GN=RCOM_0718380 PE=4 SV=1</t>
  </si>
  <si>
    <t>Glycosyltransferase OS=Prunus persica GN=PRUPE_ppa023071mg PE=3 SV=1</t>
  </si>
  <si>
    <t>Uncharacterized protein OS=Prunus persica GN=PRUPE_ppa004095mg PE=3 SV=1</t>
  </si>
  <si>
    <t>Uncharacterized protein OS=Prunus persica GN=PRUPE_ppa012569mg PE=4 SV=1</t>
  </si>
  <si>
    <t>Uncharacterized protein OS=Prunus persica GN=PRUPE_ppa1027210mg PE=4 SV=1</t>
  </si>
  <si>
    <t>Uncharacterized protein OS=Prunus persica GN=PRUPE_ppa026423mg PE=4 SV=1</t>
  </si>
  <si>
    <t>Uncharacterized protein OS=Prunus persica GN=PRUPE_ppa008271mg PE=4 SV=1</t>
  </si>
  <si>
    <t>Uncharacterized protein OS=Prunus persica GN=PRUPE_ppa008111mg PE=4 SV=1</t>
  </si>
  <si>
    <t>Uncharacterized protein OS=Prunus persica GN=PRUPE_ppa008387mg PE=4 SV=1</t>
  </si>
  <si>
    <t>Double-stranded-RNA-binding protein 4, putative OS=Theobroma cacao GN=TCM_025865 PE=4 SV=1</t>
  </si>
  <si>
    <t>6,7-dimethyl-8-ribityllumazine synthase OS=Prunus persica GN=PRUPE_ppa010865mg PE=3 SV=1</t>
  </si>
  <si>
    <t>Uncharacterized protein (Fragment) OS=Prunus persica GN=PRUPE_ppb020933mg PE=4 SV=1</t>
  </si>
  <si>
    <t>Uncharacterized protein OS=Prunus persica GN=PRUPE_ppa005778mg PE=4 SV=1</t>
  </si>
  <si>
    <t>Uncharacterized protein OS=Prunus persica GN=PRUPE_ppa012236mg PE=3 SV=1</t>
  </si>
  <si>
    <t>Uncharacterized protein OS=Prunus persica GN=PRUPE_ppa008397mg PE=4 SV=1</t>
  </si>
  <si>
    <t>Uncharacterized protein OS=Prunus persica GN=PRUPE_ppa005510mg PE=4 SV=1</t>
  </si>
  <si>
    <t>Uncharacterized protein OS=Prunus persica GN=PRUPE_ppa013743mg PE=4 SV=1</t>
  </si>
  <si>
    <t>Uncharacterized protein OS=Prunus persica GN=PRUPE_ppa001377mg PE=4 SV=1</t>
  </si>
  <si>
    <t>Uncharacterized protein OS=Prunus persica GN=PRUPE_ppa004316mg PE=4 SV=1</t>
  </si>
  <si>
    <t>Uncharacterized protein OS=Prunus persica GN=PRUPE_ppa008076mg PE=4 SV=1</t>
  </si>
  <si>
    <t>Small ubiquitin-related modifier OS=Prunus persica GN=PRUPE_ppa013826mg PE=3 SV=1</t>
  </si>
  <si>
    <t>Uncharacterized protein OS=Prunus persica GN=PRUPE_ppa001102mg PE=3 SV=1</t>
  </si>
  <si>
    <t>Uncharacterized protein (Fragment) OS=Prunus persica GN=PRUPE_ppa021976mg PE=4 SV=1</t>
  </si>
  <si>
    <t>Uncharacterized protein OS=Prunus persica GN=PRUPE_ppa006322mg PE=4 SV=1</t>
  </si>
  <si>
    <t>Uncharacterized protein OS=Prunus persica GN=PRUPE_ppa009285mg PE=4 SV=1</t>
  </si>
  <si>
    <t>Uncharacterized protein OS=Prunus persica GN=PRUPE_ppa007647mg PE=3 SV=1</t>
  </si>
  <si>
    <t>Uncharacterized protein OS=Prunus persica GN=PRUPE_ppa012096mg PE=4 SV=1</t>
  </si>
  <si>
    <t>Uncharacterized protein OS=Prunus persica GN=PRUPE_ppa010934mg PE=4 SV=1</t>
  </si>
  <si>
    <t>Uncharacterized protein OS=Prunus persica GN=PRUPE_ppa010654mg PE=3 SV=1</t>
  </si>
  <si>
    <t>Uncharacterized protein (Fragment) OS=Prunus persica GN=PRUPE_ppa025639mg PE=4 SV=1</t>
  </si>
  <si>
    <t>Uncharacterized protein OS=Prunus persica GN=PRUPE_ppa009356mg PE=4 SV=1</t>
  </si>
  <si>
    <t>Uncharacterized protein OS=Prunus persica GN=PRUPE_ppa003364mg PE=3 SV=1</t>
  </si>
  <si>
    <t>S-acyltransferase OS=Prunus persica GN=PRUPE_ppa007565mg PE=3 SV=1</t>
  </si>
  <si>
    <t>Uncharacterized protein OS=Prunus persica GN=PRUPE_ppa012283mg PE=3 SV=1</t>
  </si>
  <si>
    <t>Uncharacterized protein OS=Prunus persica GN=PRUPE_ppa012167mg PE=4 SV=1</t>
  </si>
  <si>
    <t>Uncharacterized protein OS=Prunus persica GN=PRUPE_ppa010749mg PE=4 SV=1</t>
  </si>
  <si>
    <t>Uncharacterized protein OS=Prunus persica GN=PRUPE_ppa011585mg PE=4 SV=1</t>
  </si>
  <si>
    <t>Aspartate aminotransferase OS=Prunus persica GN=PRUPE_ppa005315mg PE=2 SV=1</t>
  </si>
  <si>
    <t>Uncharacterized protein OS=Prunus persica GN=PRUPE_ppa019709mg PE=4 SV=1</t>
  </si>
  <si>
    <t>1,3-beta-glucanosyltransferase OS=Diplodia seriata GN=UCDDS831_g06280 PE=3 SV=1</t>
  </si>
  <si>
    <t>Uncharacterized protein OS=Prunus persica GN=PRUPE_ppa004412mg PE=4 SV=1</t>
  </si>
  <si>
    <t>Uncharacterized protein OS=Prunus persica GN=PRUPE_ppa017332mg PE=4 SV=1</t>
  </si>
  <si>
    <t>Uncharacterized protein OS=Prunus persica GN=PRUPE_ppa001321mg PE=3 SV=1</t>
  </si>
  <si>
    <t>Uncharacterized protein OS=Prunus persica GN=PRUPE_ppa010710mg PE=4 SV=1</t>
  </si>
  <si>
    <t>Pectinesterase OS=Prunus persica GN=PRUPE_ppa003569mg PE=3 SV=1</t>
  </si>
  <si>
    <t>Uncharacterized protein OS=Prunus persica GN=PRUPE_ppa006859mg PE=3 SV=1</t>
  </si>
  <si>
    <t>Putative uncharacterized protein OS=Vitis vinifera GN=VITISV_035210 PE=4 SV=1</t>
  </si>
  <si>
    <t>Uncharacterized protein OS=Prunus persica GN=PRUPE_ppa026736mg PE=4 SV=1</t>
  </si>
  <si>
    <t>Uncharacterized protein OS=Prunus persica GN=PRUPE_ppa006118mg PE=4 SV=1</t>
  </si>
  <si>
    <t>Uncharacterized protein OS=Prunus persica GN=PRUPE_ppa004498mg PE=4 SV=1</t>
  </si>
  <si>
    <t>Uncharacterized protein OS=Prunus persica GN=PRUPE_ppa002731mg PE=4 SV=1</t>
  </si>
  <si>
    <t>Uncharacterized protein OS=Prunus persica GN=PRUPE_ppa008401mg PE=4 SV=1</t>
  </si>
  <si>
    <t>Uncharacterized protein (Fragment) OS=Prunus persica GN=PRUPE_ppa021182mg PE=4 SV=1</t>
  </si>
  <si>
    <t>Uncharacterized protein (Fragment) OS=Prunus persica GN=PRUPE_ppa020847mg PE=4 SV=1</t>
  </si>
  <si>
    <t>Uncharacterized protein OS=Prunus persica GN=PRUPE_ppa008067mg PE=4 SV=1</t>
  </si>
  <si>
    <t>Uncharacterized protein OS=Prunus persica GN=PRUPE_ppa012342mg PE=4 SV=1</t>
  </si>
  <si>
    <t>Uncharacterized protein (Fragment) OS=Prunus persica GN=PRUPE_ppa005561m1g PE=4 SV=1</t>
  </si>
  <si>
    <t>Uncharacterized protein OS=Prunus persica GN=PRUPE_ppa015911mg PE=4 SV=1</t>
  </si>
  <si>
    <t>Uncharacterized protein OS=Prunus persica GN=PRUPE_ppa018516mg PE=4 SV=1</t>
  </si>
  <si>
    <t>Uncharacterized protein OS=Prunus persica GN=PRUPE_ppa002962mg PE=4 SV=1</t>
  </si>
  <si>
    <t>Uncharacterized protein OS=Prunus persica GN=PRUPE_ppa008394mg PE=4 SV=1</t>
  </si>
  <si>
    <t>Uncharacterized protein OS=Prunus persica GN=PRUPE_ppa007429mg PE=4 SV=1</t>
  </si>
  <si>
    <t>Uncharacterized protein OS=Prunus persica GN=PRUPE_ppa007056mg PE=4 SV=1</t>
  </si>
  <si>
    <t>Uncharacterized protein OS=Prunus persica GN=PRUPE_ppa017191mg PE=4 SV=1</t>
  </si>
  <si>
    <t>Uncharacterized protein OS=Prunus persica GN=PRUPE_ppa009247mg PE=4 SV=1</t>
  </si>
  <si>
    <t>Uncharacterized protein OS=Prunus persica GN=PRUPE_ppa002573mg PE=3 SV=1</t>
  </si>
  <si>
    <t>Uncharacterized protein OS=Prunus persica GN=PRUPE_ppa025947mg PE=4 SV=1</t>
  </si>
  <si>
    <t>Uncharacterized protein OS=Prunus persica GN=PRUPE_ppa006895mg PE=4 SV=1</t>
  </si>
  <si>
    <t>Uncharacterized protein OS=Prunus persica GN=PRUPE_ppa007560mg PE=4 SV=1</t>
  </si>
  <si>
    <t>Uncharacterized protein OS=Prunus persica GN=PRUPE_ppa013298mg PE=4 SV=1</t>
  </si>
  <si>
    <t>Patatin OS=Prunus persica GN=PRUPE_ppa007085mg PE=3 SV=1</t>
  </si>
  <si>
    <t>Uncharacterized protein OS=Prunus persica GN=PRUPE_ppa002434mg PE=4 SV=1</t>
  </si>
  <si>
    <t>Laccase OS=Prunus persica GN=PRUPE_ppa003349mg PE=3 SV=1</t>
  </si>
  <si>
    <t>Uncharacterized protein OS=Prunus persica GN=PRUPE_ppa005796mg PE=4 SV=1</t>
  </si>
  <si>
    <t>Uncharacterized protein OS=Prunus persica GN=PRUPE_ppa001687mg PE=4 SV=1</t>
  </si>
  <si>
    <t>Uncharacterized protein OS=Medicago truncatula GN=MTR_4g035030 PE=4 SV=1</t>
  </si>
  <si>
    <t>Uncharacterized protein OS=Prunus persica GN=PRUPE_ppa023056mg PE=3 SV=1</t>
  </si>
  <si>
    <t>Uncharacterized protein OS=Morus notabilis GN=L484_024471 PE=4 SV=1</t>
  </si>
  <si>
    <t>Uncharacterized protein OS=Prunus persica GN=PRUPE_ppa017052mg PE=3 SV=1</t>
  </si>
  <si>
    <t>Citrate synthase OS=Nectria haematococca (strain 77-13-4 / ATCC MYA-4622 / FGSC 9596 / MPVI) GN=NECHADRAFT_57073 PE=3 SV=1</t>
  </si>
  <si>
    <t>Related to PTR2-Di-and tripeptide permease OS=Gibberella fujikuroi (strain CBS 195.34 / IMI 58289 / NRRL A-6831) GN=FFUJ_02632 PE=3 SV=1</t>
  </si>
  <si>
    <t>Uncharacterized protein OS=Prunus persica GN=PRUPE_ppa010334mg PE=4 SV=1</t>
  </si>
  <si>
    <t>Uncharacterized protein OS=Prunus persica GN=PRUPE_ppa001869mg PE=4 SV=1</t>
  </si>
  <si>
    <t>Uncharacterized protein OS=Prunus persica GN=PRUPE_ppa018984mg PE=3 SV=1</t>
  </si>
  <si>
    <t>Uncharacterized protein OS=Prunus persica GN=PRUPE_ppa016534mg PE=4 SV=1</t>
  </si>
  <si>
    <t>Uncharacterized protein OS=Prunus persica GN=PRUPE_ppa022127mg PE=4 SV=1</t>
  </si>
  <si>
    <t>Uncharacterized protein OS=Prunus persica GN=PRUPE_ppa004195mg PE=4 SV=1</t>
  </si>
  <si>
    <t>Uncharacterized protein (Fragment) OS=Prunus persica GN=PRUPE_ppa018553mg PE=4 SV=1</t>
  </si>
  <si>
    <t>Uncharacterized protein OS=Prunus persica GN=PRUPE_ppa007673mg PE=3 SV=1</t>
  </si>
  <si>
    <t>Pectinesterase OS=Prunus persica GN=PpPME1 PE=2 SV=1</t>
  </si>
  <si>
    <t>Uncharacterized protein OS=Prunus persica GN=PRUPE_ppa010219mg PE=3 SV=1</t>
  </si>
  <si>
    <t>Uncharacterized protein OS=Prunus persica GN=PRUPE_ppa011677mg PE=4 SV=1</t>
  </si>
  <si>
    <t>Uncharacterized protein OS=Prunus persica GN=PRUPE_ppa002673mg PE=4 SV=1</t>
  </si>
  <si>
    <t>Uncharacterized protein OS=Prunus persica GN=PRUPE_ppa004455mg PE=4 SV=1</t>
  </si>
  <si>
    <t>Uncharacterized protein OS=Prunus persica GN=PRUPE_ppa003526mg PE=4 SV=1</t>
  </si>
  <si>
    <t>Uncharacterized protein OS=Prunus persica GN=PRUPE_ppa002922mg PE=4 SV=1</t>
  </si>
  <si>
    <t>Uncharacterized protein OS=Prunus persica GN=PRUPE_ppa000376mg PE=4 SV=1</t>
  </si>
  <si>
    <t>Uncharacterized protein OS=Prunus persica GN=PRUPE_ppa004719mg PE=4 SV=1</t>
  </si>
  <si>
    <t>Uncharacterized protein OS=Prunus persica GN=PRUPE_ppa008568mg PE=4 SV=1</t>
  </si>
  <si>
    <t>Uncharacterized protein OS=Prunus persica GN=PRUPE_ppa009826mg PE=4 SV=1</t>
  </si>
  <si>
    <t>Uncharacterized protein OS=Prunus persica GN=PRUPE_ppa002950mg PE=4 SV=1</t>
  </si>
  <si>
    <t>Uncharacterized protein OS=Prunus persica GN=PRUPE_ppa001154mg PE=4 SV=1</t>
  </si>
  <si>
    <t>Uncharacterized protein OS=Prunus persica GN=PRUPE_ppa002072mg PE=4 SV=1</t>
  </si>
  <si>
    <t>Uncharacterized protein (Fragment) OS=Prunus persica GN=PRUPE_ppa023083mg PE=4 SV=1</t>
  </si>
  <si>
    <t>Uncharacterized protein OS=Prunus persica GN=PRUPE_ppa010813mg PE=4 SV=1</t>
  </si>
  <si>
    <t>Uncharacterized protein OS=Prunus persica GN=PRUPE_ppa005766mg PE=4 SV=1</t>
  </si>
  <si>
    <t>Uncharacterized protein OS=Prunus persica GN=PRUPE_ppa007999mg PE=3 SV=1</t>
  </si>
  <si>
    <t>Uncharacterized protein (Fragment) OS=Prunus persica GN=PRUPE_ppa022802mg PE=4 SV=1</t>
  </si>
  <si>
    <t>Uncharacterized protein OS=Prunus persica GN=PRUPE_ppa022838mg PE=4 SV=1</t>
  </si>
  <si>
    <t>Uncharacterized protein (Fragment) OS=Prunus persica GN=PRUPE_ppa003935m1g PE=4 SV=1</t>
  </si>
  <si>
    <t>Uncharacterized protein OS=Prunus persica GN=PRUPE_ppa003063mg PE=4 SV=1</t>
  </si>
  <si>
    <t>Auxin-responsive protein OS=Prunus persica GN=PRUPE_ppa011821mg PE=3 SV=1</t>
  </si>
  <si>
    <t>Uncharacterized protein OS=Prunus persica GN=PRUPE_ppa022199mg PE=4 SV=1</t>
  </si>
  <si>
    <t>Uncharacterized protein OS=Prunus persica GN=PRUPE_ppa000009mg PE=4 SV=1</t>
  </si>
  <si>
    <t>Uncharacterized protein OS=Prunus persica GN=PRUPE_ppa018095mg PE=4 SV=1</t>
  </si>
  <si>
    <t>Uncharacterized protein OS=Prunus persica GN=PRUPE_ppa009215mg PE=4 SV=1</t>
  </si>
  <si>
    <t>Uncharacterized protein OS=Prunus persica GN=PRUPE_ppa025942mg PE=4 SV=1</t>
  </si>
  <si>
    <t>Uncharacterized protein OS=Prunus persica GN=PRUPE_ppa004381mg PE=3 SV=1</t>
  </si>
  <si>
    <t>Uncharacterized protein OS=Prunus persica GN=PRUPE_ppa009372mg PE=4 SV=1</t>
  </si>
  <si>
    <t>Uncharacterized protein OS=Prunus persica GN=PRUPE_ppa012192mg PE=4 SV=1</t>
  </si>
  <si>
    <t>Uncharacterized protein OS=Prunus persica GN=PRUPE_ppa015046mg PE=4 SV=1</t>
  </si>
  <si>
    <t>Uncharacterized protein OS=Prunus persica GN=PRUPE_ppa011336mg PE=4 SV=1</t>
  </si>
  <si>
    <t>Uncharacterized protein OS=Prunus persica GN=PRUPE_ppa011612mg PE=4 SV=1</t>
  </si>
  <si>
    <t>1-aminocyclopropane-1-carboxylate oxidase, putative OS=Ricinus communis GN=RCOM_0562170 PE=3 SV=1</t>
  </si>
  <si>
    <t>Uncharacterized protein OS=Prunus persica GN=PRUPE_ppa008296mg PE=4 SV=1</t>
  </si>
  <si>
    <t>Serine/threonine-protein kinase AFC3 OS=Gossypium arboreum GN=F383_11539 PE=4 SV=1</t>
  </si>
  <si>
    <t>Uncharacterized protein OS=Prunus persica GN=PRUPE_ppa012209mg PE=4 SV=1</t>
  </si>
  <si>
    <t>Uncharacterized protein OS=Prunus persica GN=PRUPE_ppa005636mg PE=4 SV=1</t>
  </si>
  <si>
    <t>Uncharacterized protein OS=Prunus persica GN=PRUPE_ppa010477mg PE=4 SV=1</t>
  </si>
  <si>
    <t>Uncharacterized protein OS=Eucalyptus grandis GN=EUGRSUZ_F04417 PE=4 SV=1</t>
  </si>
  <si>
    <t>Uncharacterized protein OS=Prunus persica GN=PRUPE_ppa004206mg PE=4 SV=1</t>
  </si>
  <si>
    <t>Uncharacterized protein OS=Prunus persica GN=PRUPE_ppa015249mg PE=4 SV=1</t>
  </si>
  <si>
    <t>Uncharacterized protein OS=Prunus persica GN=PRUPE_ppa011252mg PE=4 SV=1</t>
  </si>
  <si>
    <t>Uncharacterized protein OS=Gossypium raimondii GN=B456_001G166300 PE=4 SV=1</t>
  </si>
  <si>
    <t>Uncharacterized protein OS=Prunus persica GN=PRUPE_ppa022928mg PE=4 SV=1</t>
  </si>
  <si>
    <t>Uncharacterized protein (Fragment) OS=Prunus persica GN=PRUPE_ppa026159mg PE=4 SV=1</t>
  </si>
  <si>
    <t>Uncharacterized protein (Fragment) OS=Prunus persica GN=PRUPE_ppa024907mg PE=4 SV=1</t>
  </si>
  <si>
    <t>Putative uncharacterized protein OS=Vitis vinifera GN=VITISV_032383 PE=4 SV=1</t>
  </si>
  <si>
    <t>Uncharacterized protein OS=Prunus persica GN=PRUPE_ppa007595mg PE=4 SV=1</t>
  </si>
  <si>
    <t>Uncharacterized protein OS=Prunus persica GN=PRUPE_ppa009170mg PE=4 SV=1</t>
  </si>
  <si>
    <t>Uncharacterized protein OS=Prunus persica GN=PRUPE_ppa001208mg PE=4 SV=1</t>
  </si>
  <si>
    <t>Uncharacterized protein OS=Prunus persica GN=PRUPE_ppa003237mg PE=3 SV=1</t>
  </si>
  <si>
    <t>Uncharacterized protein OS=Prunus persica GN=PRUPE_ppa008679mg PE=3 SV=1</t>
  </si>
  <si>
    <t>KNOPE2.1 OS=Prunus persica GN=KNOPE2.1 PE=2 SV=1</t>
  </si>
  <si>
    <t>Uncharacterized protein OS=Prunus persica GN=PRUPE_ppa000635mg PE=4 SV=1</t>
  </si>
  <si>
    <t>Uncharacterized protein OS=Prunus persica GN=PRUPE_ppa000183mg PE=4 SV=1</t>
  </si>
  <si>
    <t>Uncharacterized protein OS=Gossypium arboreum GN=F383_19278 PE=4 SV=1</t>
  </si>
  <si>
    <t>Uncharacterized protein OS=Prunus persica GN=PRUPE_ppa016470mg PE=4 SV=1</t>
  </si>
  <si>
    <t>Vacuolar H+-ATPase subunit c OS=Rosa rugosa GN=VHA-c PE=2 SV=1</t>
  </si>
  <si>
    <t>Uncharacterized protein OS=Prunus persica GN=PRUPE_ppa000854mg PE=4 SV=1</t>
  </si>
  <si>
    <t>Uncharacterized protein OS=Prunus persica GN=PRUPE_ppa008444mg PE=3 SV=1</t>
  </si>
  <si>
    <t>Uncharacterized protein OS=Prunus persica GN=PRUPE_ppa001448mg PE=4 SV=1</t>
  </si>
  <si>
    <t>Uncharacterized protein OS=Prunus persica GN=PRUPE_ppa006467mg PE=4 SV=1</t>
  </si>
  <si>
    <t>Phosphoinositide phospholipase C OS=Prunus persica GN=PRUPE_ppa003890mg PE=4 SV=1</t>
  </si>
  <si>
    <t>Uncharacterized protein OS=Prunus persica GN=PRUPE_ppa006131mg PE=4 SV=1</t>
  </si>
  <si>
    <t>Uncharacterized protein OS=Prunus persica GN=PRUPE_ppa001059mg PE=4 SV=1</t>
  </si>
  <si>
    <t>Uncharacterized protein OS=Prunus persica GN=PRUPE_ppa005339mg PE=4 SV=1</t>
  </si>
  <si>
    <t>Uncharacterized protein OS=Prunus persica GN=PRUPE_ppa002354mg PE=4 SV=1</t>
  </si>
  <si>
    <t>Uncharacterized protein OS=Prunus persica GN=PRUPE_ppa017018mg PE=4 SV=1</t>
  </si>
  <si>
    <t>Uncharacterized protein (Fragment) OS=Prunus persica GN=PRUPE_ppb012974m1g PE=4 SV=1</t>
  </si>
  <si>
    <t>Uncharacterized protein OS=Prunus persica GN=PRUPE_ppa019390mg PE=4 SV=1</t>
  </si>
  <si>
    <t>Uncharacterized protein OS=Jatropha curcas GN=JCGZ_07320 PE=4 SV=1</t>
  </si>
  <si>
    <t>DNA topoisomerase OS=Populus trichocarpa GN=POPTR_0005s06810g PE=3 SV=1</t>
  </si>
  <si>
    <t>Phenylalanine ammonia-lyase OS=Prunus persica GN=PRUPE_ppa002099mg PE=3 SV=1</t>
  </si>
  <si>
    <t>Uncharacterized protein OS=Prunus persica GN=PRUPE_ppa011737mg PE=3 SV=1</t>
  </si>
  <si>
    <t>Uncharacterized protein OS=Prunus persica GN=PRUPE_ppa009153mg PE=4 SV=1</t>
  </si>
  <si>
    <t>MIKC mads-box transcription factor, putative isoform 1 OS=Theobroma cacao GN=TCM_007378 PE=4 SV=1</t>
  </si>
  <si>
    <t>Uncharacterized protein OS=Prunus persica GN=PRUPE_ppa006171mg PE=4 SV=1</t>
  </si>
  <si>
    <t>Uncharacterized protein OS=Prunus persica GN=PRUPE_ppa008510mg PE=3 SV=1</t>
  </si>
  <si>
    <t>Uncharacterized protein OS=Prunus persica GN=PRUPE_ppa020132mg PE=4 SV=1</t>
  </si>
  <si>
    <t>Uncharacterized protein OS=Prunus persica GN=PRUPE_ppa011901mg PE=4 SV=1</t>
  </si>
  <si>
    <t>Uncharacterized protein OS=Prunus persica GN=PRUPE_ppa003144mg PE=4 SV=1</t>
  </si>
  <si>
    <t>Uncharacterized protein OS=Prunus persica GN=PRUPE_ppa002321mg PE=4 SV=1</t>
  </si>
  <si>
    <t>Uncharacterized protein OS=Prunus persica GN=PRUPE_ppa001299mg PE=4 SV=1</t>
  </si>
  <si>
    <t>Uncharacterized protein OS=Prunus persica GN=PRUPE_ppa023306mg PE=4 SV=1</t>
  </si>
  <si>
    <t>Uncharacterized protein OS=Prunus persica GN=PRUPE_ppa002834mg PE=4 SV=1</t>
  </si>
  <si>
    <t>Uncharacterized protein OS=Prunus persica GN=PRUPE_ppa001002mg PE=3 SV=1</t>
  </si>
  <si>
    <t>Uncharacterized protein OS=Prunus persica GN=PRUPE_ppa002387mg PE=4 SV=1</t>
  </si>
  <si>
    <t>Putative uncharacterized protein OS=Vitis vinifera GN=VITISV_002923 PE=4 SV=1</t>
  </si>
  <si>
    <t>Uncharacterized protein OS=Prunus persica GN=PRUPE_ppa008240mg PE=4 SV=1</t>
  </si>
  <si>
    <t>Uncharacterized protein OS=Prunus persica GN=PRUPE_ppa005444mg PE=4 SV=1</t>
  </si>
  <si>
    <t>Uncharacterized protein OS=Prunus persica GN=PRUPE_ppa002390mg PE=4 SV=1</t>
  </si>
  <si>
    <t>Uncharacterized protein OS=Prunus persica GN=PRUPE_ppa009324mg PE=3 SV=1</t>
  </si>
  <si>
    <t>Uncharacterized protein OS=Prunus persica GN=PRUPE_ppa018002mg PE=4 SV=1</t>
  </si>
  <si>
    <t>Uncharacterized protein OS=Prunus persica GN=PRUPE_ppa008204mg PE=4 SV=1</t>
  </si>
  <si>
    <t>Uncharacterized protein OS=Prunus persica GN=PRUPE_ppa003233mg PE=4 SV=1</t>
  </si>
  <si>
    <t>Uncharacterized protein OS=Prunus persica GN=PRUPE_ppa014594mg PE=4 SV=1</t>
  </si>
  <si>
    <t>Uncharacterized protein OS=Prunus persica GN=PRUPE_ppa013081mg PE=4 SV=1</t>
  </si>
  <si>
    <t>Photosystem II CP47 reaction center protein OS=Prunus serrulata var. spontanea GN=psbB PE=3 SV=1</t>
  </si>
  <si>
    <t>Uncharacterized protein OS=Prunus persica GN=PRUPE_ppa011785mg PE=4 SV=1</t>
  </si>
  <si>
    <t>Uncharacterized protein OS=Prunus persica GN=PRUPE_ppa001613mg PE=4 SV=1</t>
  </si>
  <si>
    <t>Uncharacterized protein OS=Prunus persica GN=PRUPE_ppa004735mg PE=4 SV=1</t>
  </si>
  <si>
    <t>Uncharacterized protein OS=Prunus persica GN=PRUPE_ppa005072mg PE=4 SV=1</t>
  </si>
  <si>
    <t>Uncharacterized protein OS=Prunus persica GN=PRUPE_ppa007725mg PE=4 SV=1</t>
  </si>
  <si>
    <t>Mitogen-activated protein kinase like MMK1 OS=Glycine soja GN=glysoja_032532 PE=4 SV=1</t>
  </si>
  <si>
    <t>S-acyltransferase OS=Prunus persica GN=PRUPE_ppa009076mg PE=3 SV=1</t>
  </si>
  <si>
    <t>Uncharacterized protein OS=Prunus persica GN=PRUPE_ppa013382mg PE=4 SV=1</t>
  </si>
  <si>
    <t>Uncharacterized protein OS=Prunus persica GN=PRUPE_ppa007126mg PE=3 SV=1</t>
  </si>
  <si>
    <t>Uncharacterized protein OS=Prunus persica GN=PRUPE_ppa025251mg PE=4 SV=1</t>
  </si>
  <si>
    <t>Uncharacterized protein OS=Prunus persica GN=PRUPE_ppa021028mg PE=4 SV=1</t>
  </si>
  <si>
    <t>Adenosine deaminase-like protein OS=Morus notabilis GN=L484_012876 PE=4 SV=1</t>
  </si>
  <si>
    <t>Uncharacterized protein OS=Prunus persica GN=PRUPE_ppa001496mg PE=4 SV=1</t>
  </si>
  <si>
    <t>Uncharacterized protein OS=Prunus persica GN=PRUPE_ppa015447mg PE=4 SV=1</t>
  </si>
  <si>
    <t>Uncharacterized protein OS=Prunus persica GN=PRUPE_ppa013385mg PE=4 SV=1</t>
  </si>
  <si>
    <t>Pectinesterase OS=Prunus persica GN=PRUPE_ppa024011mg PE=3 SV=1</t>
  </si>
  <si>
    <t>Uncharacterized protein OS=Prunus persica GN=PRUPE_ppa011944mg PE=4 SV=1</t>
  </si>
  <si>
    <t>Uncharacterized protein OS=Fusarium oxysporum f. sp. melonis 26406 GN=FOMG_06714 PE=4 SV=1</t>
  </si>
  <si>
    <t>Uncharacterized protein (Fragment) OS=Prunus persica GN=PRUPE_ppa019654mg PE=4 SV=1</t>
  </si>
  <si>
    <t>Uncharacterized protein OS=Prunus persica GN=PRUPE_ppa003771mg PE=4 SV=1</t>
  </si>
  <si>
    <t>Uncharacterized protein OS=Jatropha curcas GN=JCGZ_10628 PE=4 SV=1</t>
  </si>
  <si>
    <t>Uncharacterized protein OS=Prunus persica GN=PRUPE_ppa027025mg PE=4 SV=1</t>
  </si>
  <si>
    <t>Uncharacterized protein OS=Prunus persica GN=PRUPE_ppa011560mg PE=4 SV=1</t>
  </si>
  <si>
    <t>Uncharacterized protein (Fragment) OS=Prunus persica GN=PRUPE_ppa014954mg PE=4 SV=1</t>
  </si>
  <si>
    <t>Uncharacterized protein OS=Prunus persica GN=PRUPE_ppa003035mg PE=4 SV=1</t>
  </si>
  <si>
    <t>Uncharacterized protein OS=Prunus persica GN=PRUPE_ppa006695mg PE=3 SV=1</t>
  </si>
  <si>
    <t>Putative receptor-like protein kinase OS=Morus notabilis GN=L484_015452 PE=3 SV=1</t>
  </si>
  <si>
    <t>Uncharacterized protein OS=Prunus persica GN=PRUPE_ppa008487mg PE=4 SV=1</t>
  </si>
  <si>
    <t>Trichome birefringence-like 37 isoform 1 OS=Theobroma cacao GN=TCM_029724 PE=4 SV=1</t>
  </si>
  <si>
    <t>Uncharacterized protein OS=Prunus persica GN=PRUPE_ppa000330mg PE=4 SV=1</t>
  </si>
  <si>
    <t>Uncharacterized protein OS=Prunus persica GN=PRUPE_ppa004446mg PE=3 SV=1</t>
  </si>
  <si>
    <t>Uncharacterized protein (Fragment) OS=Prunus persica GN=PRUPE_ppa026658mg PE=4 SV=1</t>
  </si>
  <si>
    <t>Transcription elongation factor SPT5 OS=Prunus persica GN=PRUPE_ppa000668mg PE=3 SV=1</t>
  </si>
  <si>
    <t>Uncharacterized protein OS=Prunus persica GN=PRUPE_ppa008262mg PE=3 SV=1</t>
  </si>
  <si>
    <t>Uncharacterized protein OS=Prunus persica GN=PRUPE_ppa006596mg PE=4 SV=1</t>
  </si>
  <si>
    <t>Hexosyltransferase OS=Prunus persica GN=PRUPE_ppa008294mg PE=3 SV=1</t>
  </si>
  <si>
    <t>Uncharacterized protein OS=Prunus persica GN=PRUPE_ppa012303mg PE=4 SV=1</t>
  </si>
  <si>
    <t>Uncharacterized protein OS=Prunus persica GN=PRUPE_ppa003842mg PE=4 SV=1</t>
  </si>
  <si>
    <t>Uncharacterized protein OS=Prunus persica GN=PRUPE_ppa003629mg PE=4 SV=1</t>
  </si>
  <si>
    <t>Uncharacterized protein OS=Prunus persica GN=PRUPE_ppa006491mg PE=4 SV=1</t>
  </si>
  <si>
    <t>Profilin OS=Prunus persica GN=PRUPE_ppa013277mg PE=3 SV=1</t>
  </si>
  <si>
    <t>Putative uncharacterized protein OS=Vitis vinifera GN=VIT_08s0040g00620 PE=4 SV=1</t>
  </si>
  <si>
    <t>Uncharacterized protein OS=Prunus persica GN=PRUPE_ppa011353mg PE=3 SV=1</t>
  </si>
  <si>
    <t>Uncharacterized protein OS=Prunus persica GN=PRUPE_ppa000608mg PE=4 SV=1</t>
  </si>
  <si>
    <t>Uncharacterized protein OS=Prunus persica GN=PRUPE_ppa003843mg PE=4 SV=1</t>
  </si>
  <si>
    <t>Auxin-responsive protein OS=Prunus persica GN=PRUPE_ppa010683mg PE=3 SV=1</t>
  </si>
  <si>
    <t>Uncharacterized protein OS=Prunus persica GN=PRUPE_ppa000952mg PE=3 SV=1</t>
  </si>
  <si>
    <t>Uncharacterized protein OS=Prunus persica GN=PRUPE_ppa017224mg PE=4 SV=1</t>
  </si>
  <si>
    <t>Uncharacterized protein OS=Prunus persica GN=PRUPE_ppa023152mg PE=4 SV=1</t>
  </si>
  <si>
    <t>Uncharacterized protein OS=Prunus persica GN=PRUPE_ppa013650mg PE=4 SV=1</t>
  </si>
  <si>
    <t>3-hydroxy-3-methylglutaryl coenzyme A reductase OS=Prunus persica GN=PRUPE_ppa003613mg PE=3 SV=1</t>
  </si>
  <si>
    <t>Uncharacterized protein OS=Prunus persica GN=PRUPE_ppa011159mg PE=4 SV=1</t>
  </si>
  <si>
    <t>Uncharacterized protein OS=Prunus persica GN=PRUPE_ppa003139mg PE=4 SV=1</t>
  </si>
  <si>
    <t>Uncharacterized protein (Fragment) OS=Prunus persica GN=PRUPE_ppa014695mg PE=4 SV=1</t>
  </si>
  <si>
    <t>Uncharacterized protein OS=Prunus persica GN=PRUPE_ppa001095mg PE=4 SV=1</t>
  </si>
  <si>
    <t>Uncharacterized protein OS=Prunus persica GN=PRUPE_ppa004152mg PE=3 SV=1</t>
  </si>
  <si>
    <t>Uncharacterized protein OS=Prunus persica GN=PRUPE_ppa000443mg PE=4 SV=1</t>
  </si>
  <si>
    <t>Mitogen-activated protein kinase OS=Prunus persica GN=PRUPE_ppa007306mg PE=3 SV=1</t>
  </si>
  <si>
    <t>Flavin-containing monooxygenase OS=Prunus persica GN=PRUPE_ppb004328mg PE=3 SV=1</t>
  </si>
  <si>
    <t>Casein kinase II subunit beta OS=Prunus persica GN=PRUPE_ppa009594mg PE=3 SV=1</t>
  </si>
  <si>
    <t>ATP-dependent Clp protease proteolytic subunit OS=Gossypium raimondii GN=B456_012G145900 PE=3 SV=1</t>
  </si>
  <si>
    <t>Uncharacterized protein OS=Prunus persica GN=PRUPE_ppa006108mg PE=4 SV=1</t>
  </si>
  <si>
    <t>Uncharacterized protein OS=Prunus persica GN=PRUPE_ppa025921mg PE=4 SV=1</t>
  </si>
  <si>
    <t>Uncharacterized protein (Fragment) OS=Prunus persica GN=PRUPE_ppa025862mg PE=4 SV=1</t>
  </si>
  <si>
    <t>Uncharacterized protein OS=Prunus persica GN=PRUPE_ppa002059mg PE=4 SV=1</t>
  </si>
  <si>
    <t>Uncharacterized protein OS=Prunus persica GN=PRUPE_ppa001696mg PE=4 SV=1</t>
  </si>
  <si>
    <t>Uncharacterized protein OS=Prunus persica GN=PRUPE_ppa003934mg PE=4 SV=1</t>
  </si>
  <si>
    <t>Uncharacterized protein OS=Prunus persica GN=PRUPE_ppa001249mg PE=4 SV=1</t>
  </si>
  <si>
    <t>Uncharacterized protein OS=Prunus persica GN=PRUPE_ppa001156mg PE=4 SV=1</t>
  </si>
  <si>
    <t>Uncharacterized protein OS=Prunus persica GN=PRUPE_ppa001013mg PE=3 SV=1</t>
  </si>
  <si>
    <t>Uncharacterized protein OS=Prunus persica GN=PRUPE_ppa014769mg PE=4 SV=1</t>
  </si>
  <si>
    <t>Uncharacterized protein OS=Prunus persica GN=PRUPE_ppa003754mg PE=3 SV=1</t>
  </si>
  <si>
    <t>Uncharacterized protein OS=Prunus persica GN=PRUPE_ppa023622mg PE=4 SV=1</t>
  </si>
  <si>
    <t>Uncharacterized protein OS=Prunus persica GN=PRUPE_ppa005677mg PE=4 SV=1</t>
  </si>
  <si>
    <t>Uncharacterized protein OS=Prunus persica GN=PRUPE_ppa011190mg PE=4 SV=1</t>
  </si>
  <si>
    <t>Uncharacterized protein OS=Prunus persica GN=PRUPE_ppa001533mg PE=4 SV=1</t>
  </si>
  <si>
    <t>Uncharacterized protein OS=Prunus persica GN=PRUPE_ppa008782mg PE=4 SV=1</t>
  </si>
  <si>
    <t>Uncharacterized protein OS=Prunus persica GN=PRUPE_ppa012983mg PE=4 SV=1</t>
  </si>
  <si>
    <t>Uncharacterized protein OS=Prunus persica GN=PRUPE_ppa012498mg PE=4 SV=1</t>
  </si>
  <si>
    <t>Uncharacterized protein (Fragment) OS=Prunus persica GN=PRUPE_ppa019876mg PE=4 SV=1</t>
  </si>
  <si>
    <t>Clathrin adaptor complexes medium subunit family protein isoform 4 OS=Theobroma cacao GN=TCM_015733 PE=4 SV=1</t>
  </si>
  <si>
    <t>Uncharacterized protein OS=Prunus persica GN=PRUPE_ppa008367mg PE=3 SV=1</t>
  </si>
  <si>
    <t>Uncharacterized protein OS=Prunus persica GN=PRUPE_ppa000387mg PE=4 SV=1</t>
  </si>
  <si>
    <t>Uncharacterized protein OS=Prunus persica GN=PRUPE_ppa003680mg PE=4 SV=1</t>
  </si>
  <si>
    <t>Uncharacterized protein OS=Prunus persica GN=PRUPE_ppa026706mg PE=4 SV=1</t>
  </si>
  <si>
    <t>Uncharacterized protein OS=Prunus persica GN=PRUPE_ppa013019mg PE=4 SV=1</t>
  </si>
  <si>
    <t>Uncharacterized protein OS=Prunus persica GN=PRUPE_ppa004532mg PE=4 SV=1</t>
  </si>
  <si>
    <t>Uncharacterized protein OS=Prunus persica GN=PRUPE_ppa003017mg PE=4 SV=1</t>
  </si>
  <si>
    <t>Uncharacterized protein (Fragment) OS=Prunus persica GN=PRUPE_ppa021047mg PE=4 SV=1</t>
  </si>
  <si>
    <t>Uncharacterized protein OS=Prunus persica GN=PRUPE_ppa012008mg PE=3 SV=1</t>
  </si>
  <si>
    <t>Uncharacterized protein OS=Prunus persica GN=PRUPE_ppa018297mg PE=4 SV=1</t>
  </si>
  <si>
    <t>Elongation factor 1-alpha (Fragment) OS=Gibberella fujikuroi PE=2 SV=1</t>
  </si>
  <si>
    <t>Uncharacterized protein OS=Prunus persica GN=PRUPE_ppa008337mg PE=3 SV=1</t>
  </si>
  <si>
    <t>Uncharacterized protein OS=Prunus persica GN=PRUPE_ppa023866mg PE=4 SV=1</t>
  </si>
  <si>
    <t>Uncharacterized protein OS=Prunus persica GN=PRUPE_ppa026223mg PE=4 SV=1</t>
  </si>
  <si>
    <t>Pre-mRNA-processing-splicing factor 8 OS=Cricetulus griseus GN=I79_024091 PE=4 SV=1</t>
  </si>
  <si>
    <t>Uncharacterized protein OS=Prunus persica GN=PRUPE_ppa007702mg PE=4 SV=1</t>
  </si>
  <si>
    <t>Uncharacterized protein (Fragment) OS=Prunus persica GN=PRUPE_ppa025384mg PE=4 SV=1</t>
  </si>
  <si>
    <t>Uncharacterized protein OS=Prunus persica GN=PRUPE_ppa010059mg PE=4 SV=1</t>
  </si>
  <si>
    <t>Uncharacterized protein OS=Prunus persica GN=PRUPE_ppa000564mg PE=3 SV=1</t>
  </si>
  <si>
    <t>Structural maintenance of chromosomes protein OS=Prunus persica GN=PRUPE_ppa000396mg PE=3 SV=1</t>
  </si>
  <si>
    <t>Uncharacterized protein OS=Citrus sinensis GN=CISIN_1g001707mg PE=3 SV=1</t>
  </si>
  <si>
    <t>Putative syntaxin-131 OS=Morus notabilis GN=L484_018255 PE=4 SV=1</t>
  </si>
  <si>
    <t>Uncharacterized protein OS=Prunus persica GN=PRUPE_ppa012710mg PE=4 SV=1</t>
  </si>
  <si>
    <t>Uncharacterized protein OS=Prunus persica GN=PRUPE_ppa000475mg PE=4 SV=1</t>
  </si>
  <si>
    <t>Uncharacterized protein OS=Prunus persica GN=PRUPE_ppa015846mg PE=4 SV=1</t>
  </si>
  <si>
    <t>DNA-directed RNA polymerase OS=Prunus persica GN=PRUPE_ppa000410mg PE=3 SV=1</t>
  </si>
  <si>
    <t>Uncharacterized protein OS=Prunus persica GN=PRUPE_ppa003005mg PE=4 SV=1</t>
  </si>
  <si>
    <t>Uncharacterized protein OS=Prunus persica GN=PRUPE_ppa012899mg PE=3 SV=1</t>
  </si>
  <si>
    <t>Uncharacterized protein OS=Prunus persica GN=PRUPE_ppa003962mg PE=4 SV=1</t>
  </si>
  <si>
    <t>Uncharacterized protein OS=Prunus persica GN=PRUPE_ppa002449mg PE=4 SV=1</t>
  </si>
  <si>
    <t>Uncharacterized protein OS=Prunus persica GN=PRUPE_ppa001645mg PE=4 SV=1</t>
  </si>
  <si>
    <t>Uncharacterized protein OS=Prunus persica GN=PRUPE_ppa018287mg PE=4 SV=1</t>
  </si>
  <si>
    <t>Uncharacterized protein OS=Prunus persica GN=PRUPE_ppa024397mg PE=3 SV=1</t>
  </si>
  <si>
    <t>Potassium transporter OS=Prunus persica GN=KUP7 PE=2 SV=1</t>
  </si>
  <si>
    <t>Signal recognition particle 9 kDa protein OS=Prunus persica GN=PRUPE_ppa013775mg PE=3 SV=1</t>
  </si>
  <si>
    <t>Uncharacterized protein OS=Prunus persica GN=PRUPE_ppa006549mg PE=4 SV=1</t>
  </si>
  <si>
    <t>Uncharacterized protein OS=Prunus persica GN=PRUPE_ppa002916mg PE=4 SV=1</t>
  </si>
  <si>
    <t>Uncharacterized protein OS=Prunus persica GN=PRUPE_ppa007175mg PE=4 SV=1</t>
  </si>
  <si>
    <t>Uncharacterized protein OS=Prunus persica GN=PRUPE_ppa001771mg PE=4 SV=1</t>
  </si>
  <si>
    <t>Uncharacterized protein OS=Prunus persica GN=PRUPE_ppa000856mg PE=4 SV=1</t>
  </si>
  <si>
    <t>Uncharacterized protein OS=Prunus persica GN=PRUPE_ppa026789mg PE=4 SV=1</t>
  </si>
  <si>
    <t>Uncharacterized protein OS=Prunus persica GN=PRUPE_ppa008517mg PE=3 SV=1</t>
  </si>
  <si>
    <t>Uncharacterized protein OS=Prunus persica GN=PRUPE_ppa006642mg PE=4 SV=1</t>
  </si>
  <si>
    <t>Uncharacterized protein OS=Prunus persica GN=PRUPE_ppa002208mg PE=4 SV=1</t>
  </si>
  <si>
    <t>Uncharacterized protein OS=Prunus persica GN=PRUPE_ppa005171mg PE=4 SV=1</t>
  </si>
  <si>
    <t>Bifunctional dihydrofolate reductase-thymidylate synthase OS=Prunus persica GN=PRUPE_ppa004093mg PE=3 SV=1</t>
  </si>
  <si>
    <t>Uncharacterized protein OS=Prunus persica GN=PRUPE_ppa018785mg PE=4 SV=1</t>
  </si>
  <si>
    <t>Uncharacterized protein OS=Prunus persica GN=PRUPE_ppa002445mg PE=4 SV=1</t>
  </si>
  <si>
    <t>Uncharacterized protein OS=Prunus persica GN=PRUPE_ppa000486mg PE=4 SV=1</t>
  </si>
  <si>
    <t>Uncharacterized protein OS=Prunus persica GN=PRUPE_ppa005694mg PE=4 SV=1</t>
  </si>
  <si>
    <t>Potassium transporter OS=Populus trichocarpa GN=POPTR_0010s11100g PE=3 SV=2</t>
  </si>
  <si>
    <t>Uncharacterized protein OS=Prunus persica GN=PRUPE_ppa019439mg PE=4 SV=1</t>
  </si>
  <si>
    <t>Uncharacterized protein OS=Prunus persica GN=PRUPE_ppa016720mg PE=4 SV=1</t>
  </si>
  <si>
    <t>Uncharacterized protein OS=Prunus persica GN=PRUPE_ppa026542mg PE=4 SV=1</t>
  </si>
  <si>
    <t>Uncharacterized protein OS=Prunus persica GN=PRUPE_ppa024718mg PE=4 SV=1</t>
  </si>
  <si>
    <t>Uncharacterized protein OS=Prunus persica GN=PRUPE_ppa012038mg PE=4 SV=1</t>
  </si>
  <si>
    <t>Purple acid phosphatase OS=Prunus persica GN=PRUPE_ppa006195mg PE=3 SV=1</t>
  </si>
  <si>
    <t>Uncharacterized protein OS=Prunus persica GN=PRUPE_ppa010561mg PE=4 SV=1</t>
  </si>
  <si>
    <t>Phytochelatin synthase OS=Pyrus betulifolia GN=PCS2 PE=2 SV=1</t>
  </si>
  <si>
    <t>Uncharacterized protein OS=Prunus persica GN=PRUPE_ppa016271mg PE=4 SV=1</t>
  </si>
  <si>
    <t>Uncharacterized protein OS=Prunus persica GN=PRUPE_ppa020426mg PE=4 SV=1</t>
  </si>
  <si>
    <t>Uncharacterized protein OS=Prunus persica GN=PRUPE_ppa012258mg PE=4 SV=1</t>
  </si>
  <si>
    <t>Uncharacterized protein OS=Prunus persica GN=PRUPE_ppa009265mg PE=4 SV=1</t>
  </si>
  <si>
    <t>Uncharacterized protein OS=Prunus persica GN=PRUPE_ppa011536mg PE=3 SV=1</t>
  </si>
  <si>
    <t>Uncharacterized protein (Fragment) OS=Prunus persica GN=PRUPE_ppa019108mg PE=4 SV=1</t>
  </si>
  <si>
    <t>Uncharacterized protein OS=Fusarium oxysporum f. sp. lycopersici (strain 4287 / CBS 123668 / FGSC 9935 / NRRL 34936) GN=FOXG_12737 PE=3 SV=1</t>
  </si>
  <si>
    <t>Uncharacterized protein (Fragment) OS=Prunus persica GN=PRUPE_ppa016639mg PE=4 SV=1</t>
  </si>
  <si>
    <t>Amino acid permease OS=Colletotrichum higginsianum (strain IMI 349063) GN=CH063_05550 PE=4 SV=1</t>
  </si>
  <si>
    <t>Uncharacterized protein (Fragment) OS=Citrus sinensis GN=CISIN_1g0007061mg PE=4 SV=1</t>
  </si>
  <si>
    <t>Uncharacterized protein OS=Prunus persica GN=PRUPE_ppa003180mg PE=4 SV=1</t>
  </si>
  <si>
    <t>Uncharacterized protein OS=Prunus persica GN=PRUPE_ppa009110mg PE=4 SV=1</t>
  </si>
  <si>
    <t>Glutaredoxin 2.1 OS=Hevea brasiliensis GN=Grx2.1 PE=2 SV=1</t>
  </si>
  <si>
    <t>Uncharacterized protein OS=Prunus persica GN=PRUPE_ppa002176mg PE=4 SV=1</t>
  </si>
  <si>
    <t>Uncharacterized protein OS=Morus notabilis GN=L484_020559 PE=4 SV=1</t>
  </si>
  <si>
    <t>Uncharacterized protein OS=Prunus persica GN=PRUPE_ppa021632mg PE=4 SV=1</t>
  </si>
  <si>
    <t>Uncharacterized protein OS=Prunus persica GN=PRUPE_ppa009452mg PE=3 SV=1</t>
  </si>
  <si>
    <t>Uncharacterized protein OS=Prunus persica GN=PRUPE_ppa014589mg PE=4 SV=1</t>
  </si>
  <si>
    <t>Uncharacterized protein OS=Prunus persica GN=PRUPE_ppa003013mg PE=4 SV=1</t>
  </si>
  <si>
    <t>Uncharacterized protein OS=Prunus persica GN=PRUPE_ppa003674mg PE=4 SV=1</t>
  </si>
  <si>
    <t>Putative LRR receptor-like serine/threonine-protein kinase OS=Morus notabilis GN=L484_005807 PE=4 SV=1</t>
  </si>
  <si>
    <t>Uncharacterized protein OS=Prunus persica GN=PRUPE_ppa001596mg PE=4 SV=1</t>
  </si>
  <si>
    <t>Uncharacterized protein OS=Prunus persica GN=PRUPE_ppa022560mg PE=4 SV=1</t>
  </si>
  <si>
    <t>Uncharacterized protein OS=Prunus persica GN=PRUPE_ppa018994mg PE=4 SV=1</t>
  </si>
  <si>
    <t>Uncharacterized protein OS=Phaseolus vulgaris GN=PHAVU_011G108700g PE=4 SV=1</t>
  </si>
  <si>
    <t>Uncharacterized protein OS=Prunus persica GN=PRUPE_ppa002499mg PE=4 SV=1</t>
  </si>
  <si>
    <t>Uncharacterized protein (Fragment) OS=Prunus persica GN=PRUPE_ppa025967mg PE=4 SV=1</t>
  </si>
  <si>
    <t>Uncharacterized protein OS=Gossypium arboreum GN=F383_14365 PE=4 SV=1</t>
  </si>
  <si>
    <t>Uncharacterized protein OS=Prunus persica GN=PRUPE_ppa005618mg PE=3 SV=1</t>
  </si>
  <si>
    <t>Uncharacterized protein (Fragment) OS=Prunus persica GN=PRUPE_ppa023061mg PE=4 SV=1</t>
  </si>
  <si>
    <t>Uncharacterized protein (Fragment) OS=Prunus persica GN=PRUPE_ppa024698mg PE=4 SV=1</t>
  </si>
  <si>
    <t>Uncharacterized protein OS=Prunus persica GN=PRUPE_ppa007860mg PE=4 SV=1</t>
  </si>
  <si>
    <t>Uncharacterized protein OS=Prunus persica GN=PRUPE_ppa011417mg PE=4 SV=1</t>
  </si>
  <si>
    <t>Uncharacterized protein OS=Prunus persica GN=PRUPE_ppa001595mg PE=4 SV=1</t>
  </si>
  <si>
    <t>Uncharacterized protein OS=Prunus persica GN=PRUPE_ppa004287mg PE=4 SV=1</t>
  </si>
  <si>
    <t>Uncharacterized protein OS=Prunus persica GN=PRUPE_ppa005350mg PE=4 SV=1</t>
  </si>
  <si>
    <t>Uncharacterized protein OS=Prunus persica GN=PRUPE_ppa008071mg PE=3 SV=1</t>
  </si>
  <si>
    <t>Uncharacterized protein OS=Prunus persica GN=PRUPE_ppa008845mg PE=4 SV=1</t>
  </si>
  <si>
    <t>Uncharacterized protein OS=Prunus persica GN=PRUPE_ppa005145mg PE=4 SV=1</t>
  </si>
  <si>
    <t>Uncharacterized protein OS=Prunus persica GN=PRUPE_ppa007029mg PE=3 SV=1</t>
  </si>
  <si>
    <t>Uncharacterized protein (Fragment) OS=Prunus persica GN=PRUPE_ppa014714mg PE=3 SV=1</t>
  </si>
  <si>
    <t>Uncharacterized protein OS=Prunus persica GN=PRUPE_ppa008514mg PE=4 SV=1</t>
  </si>
  <si>
    <t>Uncharacterized protein OS=Prunus persica GN=PRUPE_ppb017187mg PE=4 SV=1</t>
  </si>
  <si>
    <t>Uncharacterized protein OS=Prunus persica GN=PRUPE_ppa019917mg PE=4 SV=1</t>
  </si>
  <si>
    <t>Uncharacterized protein OS=Prunus persica GN=PRUPE_ppa005040mg PE=4 SV=1</t>
  </si>
  <si>
    <t>Uncharacterized protein OS=Prunus persica GN=PRUPE_ppa010164mg PE=4 SV=1</t>
  </si>
  <si>
    <t>Uncharacterized protein OS=Prunus persica GN=PRUPE_ppa005448mg PE=4 SV=1</t>
  </si>
  <si>
    <t>Uncharacterized protein OS=Prunus persica GN=PRUPE_ppa025080mg PE=4 SV=1</t>
  </si>
  <si>
    <t>Receptor protein kinase CLAVATA1, putative OS=Theobroma cacao GN=TCM_024820 PE=4 SV=1</t>
  </si>
  <si>
    <t>Uncharacterized protein OS=Prunus persica GN=PRUPE_ppa002653mg PE=4 SV=1</t>
  </si>
  <si>
    <t>Uncharacterized protein OS=Prunus persica GN=PRUPE_ppa000966mg PE=4 SV=1</t>
  </si>
  <si>
    <t>Uncharacterized protein OS=Cucumis sativus GN=Csa_3G026150 PE=4 SV=1</t>
  </si>
  <si>
    <t>Kinesin-like protein OS=Prunus persica GN=PRUPE_ppa001146mg PE=3 SV=1</t>
  </si>
  <si>
    <t>DNA double-strand break repair rad50 ATPase, putative isoform 1 OS=Theobroma cacao GN=TCM_021789 PE=4 SV=1</t>
  </si>
  <si>
    <t>Uncharacterized protein OS=Prunus persica GN=PRUPE_ppa025916mg PE=4 SV=1</t>
  </si>
  <si>
    <t>Uncharacterized protein OS=Prunus persica GN=PRUPE_ppa020526mg PE=4 SV=1</t>
  </si>
  <si>
    <t>Uncharacterized protein OS=Prunus persica GN=PRUPE_ppa003960mg PE=3 SV=1</t>
  </si>
  <si>
    <t>Uncharacterized protein (Fragment) OS=Prunus persica GN=PRUPE_ppa019341mg PE=4 SV=1</t>
  </si>
  <si>
    <t>Uncharacterized protein OS=Prunus persica GN=PRUPE_ppa019965mg PE=3 SV=1</t>
  </si>
  <si>
    <t>Uncharacterized protein OS=Prunus persica GN=PRUPE_ppa020749mg PE=3 SV=1</t>
  </si>
  <si>
    <t>Uncharacterized protein OS=Prunus persica GN=PRUPE_ppa010781mg PE=4 SV=1</t>
  </si>
  <si>
    <t>Uncharacterized protein OS=Prunus persica GN=PRUPE_ppa011014mg PE=3 SV=1</t>
  </si>
  <si>
    <t>Uncharacterized protein OS=Morus notabilis GN=L484_011475 PE=4 SV=1</t>
  </si>
  <si>
    <t>Uncharacterized protein OS=Prunus persica GN=PRUPE_ppa007978mg PE=4 SV=1</t>
  </si>
  <si>
    <t>Superoxide dismutase OS=Gossypium raimondii GN=B456_011G207900 PE=3 SV=1</t>
  </si>
  <si>
    <t>Uncharacterized protein OS=Prunus persica GN=PRUPE_ppa003573mg PE=4 SV=1</t>
  </si>
  <si>
    <t>Uncharacterized protein OS=Prunus persica GN=PRUPE_ppa007655mg PE=4 SV=1</t>
  </si>
  <si>
    <t>Uncharacterized protein OS=Prunus persica GN=PRUPE_ppa008901mg PE=4 SV=1</t>
  </si>
  <si>
    <t>Uncharacterized protein OS=Prunus persica GN=PRUPE_ppa016438mg PE=4 SV=1</t>
  </si>
  <si>
    <t>Uncharacterized protein (Fragment) OS=Prunus persica GN=PRUPE_ppa022339mg PE=4 SV=1</t>
  </si>
  <si>
    <t>Uncharacterized protein OS=Prunus persica GN=PRUPE_ppa023995mg PE=4 SV=1</t>
  </si>
  <si>
    <t>Uncharacterized protein (Fragment) OS=Prunus persica GN=PRUPE_ppa026309mg PE=4 SV=1</t>
  </si>
  <si>
    <t>Uncharacterized protein OS=Prunus persica GN=PRUPE_ppa004684mg PE=4 SV=1</t>
  </si>
  <si>
    <t>Hexosyltransferase OS=Prunus persica GN=PRUPE_ppa018681mg PE=3 SV=1</t>
  </si>
  <si>
    <t>Uncharacterized protein OS=Prunus persica GN=PRUPE_ppa004030mg PE=4 SV=1</t>
  </si>
  <si>
    <t>Acyl-CoA oxidase 4 OS=Prunus persica GN=ACX4 PE=2 SV=1</t>
  </si>
  <si>
    <t>Uncharacterized protein OS=Prunus persica GN=PRUPE_ppa007535mg PE=4 SV=1</t>
  </si>
  <si>
    <t>Uncharacterized protein OS=Prunus persica GN=PRUPE_ppa013289mg PE=4 SV=1</t>
  </si>
  <si>
    <t>Uncharacterized protein OS=Prunus persica GN=PRUPE_ppa009618mg PE=3 SV=1</t>
  </si>
  <si>
    <t>Uncharacterized protein OS=Prunus persica GN=PRUPE_ppa003015mg PE=4 SV=1</t>
  </si>
  <si>
    <t>Uncharacterized protein OS=Prunus persica GN=PRUPE_ppa017605mg PE=4 SV=1</t>
  </si>
  <si>
    <t>Uncharacterized protein OS=Prunus persica GN=PRUPE_ppa003101mg PE=4 SV=1</t>
  </si>
  <si>
    <t>Uncharacterized protein OS=Prunus persica GN=PRUPE_ppa001004mg PE=4 SV=1</t>
  </si>
  <si>
    <t>Uncharacterized protein OS=Prunus persica GN=PRUPE_ppa004921mg PE=4 SV=1</t>
  </si>
  <si>
    <t>Uncharacterized protein OS=Prunus persica GN=PRUPE_ppa003243mg PE=4 SV=1</t>
  </si>
  <si>
    <t>Uncharacterized protein (Fragment) OS=Prunus persica GN=PRUPE_ppa016471mg PE=4 SV=1</t>
  </si>
  <si>
    <t>Uncharacterized protein OS=Prunus persica GN=PRUPE_ppa007765mg PE=4 SV=1</t>
  </si>
  <si>
    <t>Uncharacterized protein (Fragment) OS=Prunus persica GN=PRUPE_ppa021505mg PE=4 SV=1</t>
  </si>
  <si>
    <t>Uncharacterized protein OS=Prunus persica GN=PRUPE_ppa017864mg PE=4 SV=1</t>
  </si>
  <si>
    <t>Uncharacterized protein OS=Prunus persica GN=PRUPE_ppa005924mg PE=4 SV=1</t>
  </si>
  <si>
    <t>Uncharacterized protein OS=Prunus persica GN=PRUPE_ppa000806mg PE=3 SV=1</t>
  </si>
  <si>
    <t>Uncharacterized protein (Fragment) OS=Prunus persica GN=PRUPE_ppa016760mg PE=4 SV=1</t>
  </si>
  <si>
    <t>Uncharacterized protein OS=Prunus persica GN=PRUPE_ppa023564mg PE=4 SV=1</t>
  </si>
  <si>
    <t>Uncharacterized protein OS=Prunus persica GN=PRUPE_ppa013113mg PE=4 SV=1</t>
  </si>
  <si>
    <t>Gibberellin receptor 1c OS=Prunus salicina GN=Gid1c PE=2 SV=1</t>
  </si>
  <si>
    <t>Uncharacterized protein OS=Prunus persica GN=PRUPE_ppa017377mg PE=4 SV=1</t>
  </si>
  <si>
    <t>Uncharacterized protein (Fragment) OS=Prunus persica GN=PRUPE_ppa015018mg PE=4 SV=1</t>
  </si>
  <si>
    <t>Uncharacterized protein OS=Medicago truncatula GN=MTR_5g093050 PE=4 SV=1</t>
  </si>
  <si>
    <t>Uncharacterized protein (Fragment) OS=Prunus persica GN=PRUPE_ppa024268mg PE=4 SV=1</t>
  </si>
  <si>
    <t>Uncharacterized protein OS=Prunus persica GN=PRUPE_ppa004491mg PE=4 SV=1</t>
  </si>
  <si>
    <t>Uncharacterized protein OS=Prunus persica GN=PRUPE_ppa002563mg PE=4 SV=1</t>
  </si>
  <si>
    <t>Kinesin-like protein OS=Prunus persica GN=PRUPE_ppa015323mg PE=3 SV=1</t>
  </si>
  <si>
    <t>Auxin-responsive protein OS=Prunus persica GN=PRUPE_ppa010871mg PE=3 SV=1</t>
  </si>
  <si>
    <t>Uncharacterized protein OS=Prunus persica GN=PRUPE_ppa003622mg PE=4 SV=1</t>
  </si>
  <si>
    <t>Uncharacterized protein OS=Prunus persica GN=PRUPE_ppa026295mg PE=3 SV=1</t>
  </si>
  <si>
    <t>Uncharacterized protein OS=Prunus persica GN=PRUPE_ppa010945mg PE=4 SV=1</t>
  </si>
  <si>
    <t>Uncharacterized protein OS=Prunus persica GN=PRUPE_ppa018578mg PE=4 SV=1</t>
  </si>
  <si>
    <t>Uncharacterized protein OS=Prunus persica GN=PRUPE_ppa008440mg PE=4 SV=1</t>
  </si>
  <si>
    <t>Uncharacterized protein OS=Prunus persica GN=PRUPE_ppa003863mg PE=4 SV=1</t>
  </si>
  <si>
    <t>Uncharacterized protein (Fragment) OS=Prunus persica GN=PRUPE_ppa023602mg PE=4 SV=1</t>
  </si>
  <si>
    <t>Uncharacterized protein OS=Prunus persica GN=PRUPE_ppa003752mg PE=4 SV=1</t>
  </si>
  <si>
    <t>Uncharacterized protein OS=Prunus persica GN=PRUPE_ppa000468mg PE=4 SV=1</t>
  </si>
  <si>
    <t>Uncharacterized protein OS=Jatropha curcas GN=JCGZ_19418 PE=4 SV=1</t>
  </si>
  <si>
    <t>Uncharacterized protein OS=Prunus persica GN=PRUPE_ppa007480mg PE=3 SV=1</t>
  </si>
  <si>
    <t>Uncharacterized protein OS=Prunus persica GN=PRUPE_ppa008970mg PE=4 SV=1</t>
  </si>
  <si>
    <t>Uncharacterized protein OS=Prunus persica GN=PRUPE_ppa013751mg PE=4 SV=1</t>
  </si>
  <si>
    <t>Uncharacterized protein OS=Prunus persica GN=PRUPE_ppa006151mg PE=4 SV=1</t>
  </si>
  <si>
    <t>Uncharacterized protein OS=Prunus persica GN=PRUPE_ppa000853mg PE=4 SV=1</t>
  </si>
  <si>
    <t>Uncharacterized protein OS=Prunus persica GN=PRUPE_ppa004655mg PE=4 SV=1</t>
  </si>
  <si>
    <t>Uncharacterized protein OS=Prunus persica GN=PRUPE_ppa004361mg PE=3 SV=1</t>
  </si>
  <si>
    <t>Uncharacterized protein OS=Prunus persica GN=PRUPE_ppa006162mg PE=4 SV=1</t>
  </si>
  <si>
    <t>Uncharacterized protein OS=Prunus persica GN=PRUPE_ppa022590mg PE=4 SV=1</t>
  </si>
  <si>
    <t>Uncharacterized protein (Fragment) OS=Prunus persica GN=PRUPE_ppa019713mg PE=4 SV=1</t>
  </si>
  <si>
    <t>Uncharacterized protein (Fragment) OS=Prunus persica GN=PRUPE_ppa022268mg PE=4 SV=1</t>
  </si>
  <si>
    <t>Uncharacterized protein OS=Prunus persica GN=PRUPE_ppa003299m2g PE=4 SV=1</t>
  </si>
  <si>
    <t>Uncharacterized protein OS=Prunus persica GN=PRUPE_ppa013199mg PE=4 SV=1</t>
  </si>
  <si>
    <t>Uncharacterized protein OS=Prunus persica GN=PRUPE_ppa004484mg PE=3 SV=1</t>
  </si>
  <si>
    <t>Uncharacterized protein OS=Prunus persica GN=PRUPE_ppa009689mg PE=3 SV=1</t>
  </si>
  <si>
    <t>Uncharacterized protein OS=Prunus persica GN=PRUPE_ppa023569mg PE=4 SV=1</t>
  </si>
  <si>
    <t>Pectinesterase OS=Prunus persica GN=PRUPE_ppa004770mg PE=3 SV=1</t>
  </si>
  <si>
    <t>Uncharacterized protein OS=Zea mays PE=2 SV=1</t>
  </si>
  <si>
    <t>Uncharacterized protein OS=Prunus persica GN=PRUPE_ppa015472mg PE=4 SV=1</t>
  </si>
  <si>
    <t>Uncharacterized protein OS=Prunus persica GN=PRUPE_ppa008887mg PE=4 SV=1</t>
  </si>
  <si>
    <t>Serine/Threonine kinase family protein OS=Medicago truncatula GN=MTR_0349s0030 PE=4 SV=1</t>
  </si>
  <si>
    <t>Uncharacterized protein OS=Prunus persica GN=PRUPE_ppa014767mg PE=4 SV=1</t>
  </si>
  <si>
    <t>Uncharacterized protein OS=Prunus persica GN=PRUPE_ppa013780mg PE=4 SV=1</t>
  </si>
  <si>
    <t>Uncharacterized protein OS=Prunus persica GN=PRUPE_ppa012410mg PE=4 SV=1</t>
  </si>
  <si>
    <t>Uncharacterized protein OS=Prunus persica GN=PRUPE_ppa002169mg PE=4 SV=1</t>
  </si>
  <si>
    <t>Uncharacterized protein OS=Prunus persica GN=PRUPE_ppa022963mg PE=4 SV=1</t>
  </si>
  <si>
    <t>Uncharacterized protein OS=Prunus persica GN=PRUPE_ppa010447mg PE=4 SV=1</t>
  </si>
  <si>
    <t>Uncharacterized protein OS=Prunus persica GN=PRUPE_ppa008441mg PE=3 SV=1</t>
  </si>
  <si>
    <t>Uncharacterized protein OS=Prunus persica GN=PRUPE_ppa003091mg PE=4 SV=1</t>
  </si>
  <si>
    <t>Uncharacterized protein OS=Prunus persica GN=PRUPE_ppa000638mg PE=4 SV=1</t>
  </si>
  <si>
    <t>Eukaryotic translation initiation factor 3 subunit D OS=Prunus persica GN=PRUPE_ppa003548mg PE=3 SV=1</t>
  </si>
  <si>
    <t>Uncharacterized protein OS=Morus notabilis GN=L484_026551 PE=4 SV=1</t>
  </si>
  <si>
    <t>Uncharacterized protein OS=Prunus persica GN=PRUPE_ppa003056mg PE=4 SV=1</t>
  </si>
  <si>
    <t>Uncharacterized protein OS=Prunus persica GN=PRUPE_ppa002448mg PE=4 SV=1</t>
  </si>
  <si>
    <t>60S ribosomal protein L6 OS=Prunus persica GN=PRUPE_ppa010844mg PE=3 SV=1</t>
  </si>
  <si>
    <t>Uncharacterized protein OS=Prunus persica GN=PRUPE_ppa008290mg PE=4 SV=1</t>
  </si>
  <si>
    <t>Uncharacterized protein OS=Prunus persica GN=PRUPE_ppa008677mg PE=4 SV=1</t>
  </si>
  <si>
    <t>Uncharacterized protein OS=Prunus persica GN=PRUPE_ppa002775mg PE=4 SV=1</t>
  </si>
  <si>
    <t>Uncharacterized protein OS=Cucumis sativus GN=Csa_2G034550 PE=4 SV=1</t>
  </si>
  <si>
    <t>Uncharacterized protein OS=Prunus persica GN=PRUPE_ppa004130mg PE=4 SV=1</t>
  </si>
  <si>
    <t>Uncharacterized protein OS=Prunus persica GN=PRUPE_ppa010631mg PE=4 SV=1</t>
  </si>
  <si>
    <t>Uncharacterized protein OS=Prunus persica GN=PRUPE_ppa010590mg PE=4 SV=1</t>
  </si>
  <si>
    <t>Synaptotagmin A OS=Arabidopsis thaliana GN=SYTA PE=4 SV=1</t>
  </si>
  <si>
    <t>Uncharacterized protein OS=Prunus persica GN=PRUPE_ppa007887mg PE=4 SV=1</t>
  </si>
  <si>
    <t>Uncharacterized protein OS=Prunus persica GN=PRUPE_ppa007346mg PE=4 SV=1</t>
  </si>
  <si>
    <t>Uncharacterized protein OS=Populus trichocarpa GN=POPTR_0015s15700g PE=4 SV=1</t>
  </si>
  <si>
    <t>Uncharacterized protein OS=Prunus persica GN=PRUPE_ppa001965mg PE=4 SV=1</t>
  </si>
  <si>
    <t>Kinesin-like protein OS=Prunus persica GN=PRUPE_ppa000463mg PE=3 SV=1</t>
  </si>
  <si>
    <t>Uncharacterized protein OS=Prunus persica GN=PRUPE_ppa009296mg PE=4 SV=1</t>
  </si>
  <si>
    <t>Uncharacterized protein OS=Gossypium raimondii GN=B456_007G271300 PE=4 SV=1</t>
  </si>
  <si>
    <t>Uncharacterized protein OS=Prunus persica GN=PRUPE_ppa002808mg PE=4 SV=1</t>
  </si>
  <si>
    <t>Uncharacterized protein OS=Prunus persica GN=PRUPE_ppa018563mg PE=4 SV=1</t>
  </si>
  <si>
    <t>Ubiquinone biosynthesis protein COQ4 homolog, mitochondrial OS=Prunus persica GN=PRUPE_ppa010913mg PE=3 SV=1</t>
  </si>
  <si>
    <t>Uncharacterized protein OS=Prunus persica GN=PRUPE_ppa007132mg PE=4 SV=1</t>
  </si>
  <si>
    <t>Uncharacterized protein OS=Prunus persica GN=PRUPE_ppa011322mg PE=4 SV=1</t>
  </si>
  <si>
    <t>Uncharacterized protein OS=Prunus persica GN=PRUPE_ppa006529mg PE=4 SV=1</t>
  </si>
  <si>
    <t>Hexaubiquitin protein OS=Arabidopsis lyrata subsp. lyrata GN=ARALYDRAFT_894064 PE=4 SV=1</t>
  </si>
  <si>
    <t>Uncharacterized protein OS=Prunus persica GN=PRUPE_ppa017002mg PE=4 SV=1</t>
  </si>
  <si>
    <t>Uncharacterized protein OS=Gossypium raimondii GN=B456_005G123800 PE=4 SV=1</t>
  </si>
  <si>
    <t>Uncharacterized protein OS=Prunus persica GN=PRUPE_ppa020686mg PE=4 SV=1</t>
  </si>
  <si>
    <t>Uncharacterized protein OS=Prunus persica GN=PRUPE_ppa017256mg PE=4 SV=1</t>
  </si>
  <si>
    <t>Uncharacterized protein OS=Prunus persica GN=PRUPE_ppa002490mg PE=3 SV=1</t>
  </si>
  <si>
    <t>Uncharacterized protein OS=Prunus persica GN=PRUPE_ppa012438mg PE=3 SV=1</t>
  </si>
  <si>
    <t>Uncharacterized protein OS=Prunus persica GN=PRUPE_ppa006186mg PE=4 SV=1</t>
  </si>
  <si>
    <t>Auxin-responsive protein OS=Prunus persica GN=PRUPE_ppa018535mg PE=3 SV=1</t>
  </si>
  <si>
    <t>Uncharacterized protein OS=Prunus persica GN=PRUPE_ppa003281mg PE=4 SV=1</t>
  </si>
  <si>
    <t>Uncharacterized protein OS=Prunus persica GN=PRUPE_ppa007711mg PE=4 SV=1</t>
  </si>
  <si>
    <t>Uncharacterized protein OS=Prunus persica GN=PRUPE_ppa008721mg PE=4 SV=1</t>
  </si>
  <si>
    <t>Protein yippee-like OS=Prunus persica GN=PRUPE_ppa013745mg PE=3 SV=1</t>
  </si>
  <si>
    <t>Uncharacterized protein (Fragment) OS=Prunus persica GN=PRUPE_ppa020786mg PE=4 SV=1</t>
  </si>
  <si>
    <t>Uncharacterized protein OS=Prunus persica GN=PRUPE_ppa010337mg PE=4 SV=1</t>
  </si>
  <si>
    <t>Uncharacterized protein OS=Prunus persica GN=PRUPE_ppa004162mg PE=4 SV=1</t>
  </si>
  <si>
    <t>Uncharacterized protein OS=Prunus persica GN=PRUPE_ppa003270mg PE=4 SV=1</t>
  </si>
  <si>
    <t>Uncharacterized protein OS=Prunus persica GN=PRUPE_ppa001232mg PE=3 SV=1</t>
  </si>
  <si>
    <t>Uncharacterized protein OS=Prunus persica GN=PRUPE_ppa009589mg PE=4 SV=1</t>
  </si>
  <si>
    <t>Uncharacterized protein OS=Prunus persica GN=PRUPE_ppa008205mg PE=4 SV=1</t>
  </si>
  <si>
    <t>Uncharacterized protein OS=Prunus persica GN=PRUPE_ppa007606mg PE=4 SV=1</t>
  </si>
  <si>
    <t>Uncharacterized protein OS=Prunus persica GN=PRUPE_ppa001302mg PE=4 SV=1</t>
  </si>
  <si>
    <t>Uncharacterized protein OS=Prunus persica GN=PRUPE_ppa024153mg PE=4 SV=1</t>
  </si>
  <si>
    <t>Uncharacterized protein OS=Prunus persica GN=PRUPE_ppa000120mg PE=4 SV=1</t>
  </si>
  <si>
    <t>Uncharacterized protein OS=Prunus persica GN=PRUPE_ppa021562mg PE=4 SV=1</t>
  </si>
  <si>
    <t>Uncharacterized protein OS=Prunus persica GN=PRUPE_ppa026171mg PE=3 SV=1</t>
  </si>
  <si>
    <t>Uncharacterized protein OS=Prunus persica GN=PRUPE_ppa004896mg PE=4 SV=1</t>
  </si>
  <si>
    <t>Uncharacterized protein OS=Prunus persica GN=PRUPE_ppa012099mg PE=4 SV=1</t>
  </si>
  <si>
    <t>Uncharacterized protein OS=Prunus persica GN=PRUPE_ppa008093mg PE=4 SV=1</t>
  </si>
  <si>
    <t>Auxin response factor OS=Prunus persica GN=PRUPE_ppa002082mg PE=3 SV=1</t>
  </si>
  <si>
    <t>Uncharacterized protein OS=Prunus persica GN=PRUPE_ppa007308mg PE=4 SV=1</t>
  </si>
  <si>
    <t>Uncharacterized protein OS=Prunus persica GN=PRUPE_ppa004557mg PE=4 SV=1</t>
  </si>
  <si>
    <t>Uncharacterized protein OS=Prunus persica GN=PRUPE_ppa001668mg PE=4 SV=1</t>
  </si>
  <si>
    <t>Uncharacterized protein OS=Prunus persica GN=PRUPE_ppa000918mg PE=3 SV=1</t>
  </si>
  <si>
    <t>Uncharacterized protein OS=Prunus persica GN=PRUPE_ppa004659mg PE=4 SV=1</t>
  </si>
  <si>
    <t>Uncharacterized protein (Fragment) OS=Prunus persica GN=PRUPE_ppa027212mg PE=4 SV=1</t>
  </si>
  <si>
    <t>Uncharacterized protein OS=Prunus persica GN=PRUPE_ppa005481mg PE=3 SV=1</t>
  </si>
  <si>
    <t>Uncharacterized protein OS=Prunus persica GN=PRUPE_ppa000010mg PE=4 SV=1</t>
  </si>
  <si>
    <t>Uncharacterized protein OS=Prunus persica GN=PRUPE_ppa025431mg PE=4 SV=1</t>
  </si>
  <si>
    <t>Uncharacterized protein OS=Prunus persica GN=PRUPE_ppa013432mg PE=4 SV=1</t>
  </si>
  <si>
    <t>Uncharacterized protein OS=Prunus persica GN=PRUPE_ppa016754mg PE=4 SV=1</t>
  </si>
  <si>
    <t>Uncharacterized protein OS=Prunus persica GN=PRUPE_ppa007845mg PE=3 SV=1</t>
  </si>
  <si>
    <t>MATE efflux family protein OS=Prunus persica GN=PRUPE_ppa017663mg PE=3 SV=1</t>
  </si>
  <si>
    <t>Uncharacterized protein (Fragment) OS=Prunus persica GN=PRUPE_ppa026859mg PE=4 SV=1</t>
  </si>
  <si>
    <t>Uncharacterized protein OS=Populus trichocarpa GN=POPTR_0005s15990g PE=4 SV=2</t>
  </si>
  <si>
    <t>Uncharacterized protein OS=Prunus persica GN=PRUPE_ppa006212mg PE=4 SV=1</t>
  </si>
  <si>
    <t>Uncharacterized protein (Fragment) OS=Prunus persica GN=PRUPE_ppa018733mg PE=3 SV=1</t>
  </si>
  <si>
    <t>Uncharacterized protein OS=Prunus persica GN=PRUPE_ppa006341mg PE=4 SV=1</t>
  </si>
  <si>
    <t>Uncharacterized protein OS=Prunus persica GN=PRUPE_ppa019233mg PE=4 SV=1</t>
  </si>
  <si>
    <t>Uncharacterized protein (Fragment) OS=Prunus persica GN=PRUPE_ppa017988mg PE=4 SV=1</t>
  </si>
  <si>
    <t>Putative catechol-dioxygenase 1 protein OS=Togninia minima (strain UCR-PA7) GN=UCRPA7_1843 PE=4 SV=1</t>
  </si>
  <si>
    <t>Uncharacterized protein OS=Prunus persica GN=PRUPE_ppa001961mg PE=4 SV=1</t>
  </si>
  <si>
    <t>Uncharacterized protein OS=Gibberella zeae (strain PH-1 / ATCC MYA-4620 / FGSC 9075 / NRRL 31084) GN=FGSG_11094 PE=4 SV=1</t>
  </si>
  <si>
    <t>Uncharacterized protein (Fragment) OS=Prunus persica GN=PRUPE_ppa020357mg PE=4 SV=1</t>
  </si>
  <si>
    <t>Uncharacterized protein OS=Prunus persica GN=PRUPE_ppa022641mg PE=3 SV=1</t>
  </si>
  <si>
    <t>Uncharacterized protein OS=Prunus persica GN=PRUPE_ppa022345mg PE=3 SV=1</t>
  </si>
  <si>
    <t>Uncharacterized protein OS=Prunus persica GN=PRUPE_ppa006893mg PE=4 SV=1</t>
  </si>
  <si>
    <t>Uncharacterized protein OS=Prunus persica GN=PRUPE_ppa000090mg PE=4 SV=1</t>
  </si>
  <si>
    <t>Uncharacterized protein OS=Jatropha curcas GN=JCGZ_17521 PE=4 SV=1</t>
  </si>
  <si>
    <t>Uncharacterized protein OS=Prunus persica GN=PRUPE_ppa020345mg PE=4 SV=1</t>
  </si>
  <si>
    <t>Uncharacterized protein OS=Prunus persica GN=PRUPE_ppa005289mg PE=3 SV=1</t>
  </si>
  <si>
    <t>Uncharacterized protein OS=Prunus persica GN=PRUPE_ppa010016mg PE=4 SV=1</t>
  </si>
  <si>
    <t>Uncharacterized protein OS=Prunus persica GN=PRUPE_ppa007213mg PE=4 SV=1</t>
  </si>
  <si>
    <t>HVA22-like protein OS=Prunus persica GN=PRUPE_ppa011772mg PE=3 SV=1</t>
  </si>
  <si>
    <t>Uncharacterized protein OS=Prunus persica GN=PRUPE_ppa008814mg PE=4 SV=1</t>
  </si>
  <si>
    <t>Uncharacterized protein OS=Prunus persica GN=PRUPE_ppa015043mg PE=4 SV=1</t>
  </si>
  <si>
    <t>Uncharacterized protein OS=Prunus persica GN=PRUPE_ppa010076mg PE=4 SV=1</t>
  </si>
  <si>
    <t>Uncharacterized protein OS=Prunus persica GN=PRUPE_ppa004144mg PE=3 SV=1</t>
  </si>
  <si>
    <t>Uncharacterized protein OS=Prunus persica GN=PRUPE_ppa014964mg PE=4 SV=1</t>
  </si>
  <si>
    <t>Uncharacterized protein OS=Prunus persica GN=PRUPE_ppa005422mg PE=4 SV=1</t>
  </si>
  <si>
    <t>Uncharacterized protein OS=Prunus persica GN=PRUPE_ppa010911mg PE=4 SV=1</t>
  </si>
  <si>
    <t>Calcium-transporting ATPase OS=Prunus persica GN=PRUPE_ppa015353mg PE=3 SV=1</t>
  </si>
  <si>
    <t>Uncharacterized protein (Fragment) OS=Prunus persica GN=PRUPE_ppa026469mg PE=4 SV=1</t>
  </si>
  <si>
    <t>Uncharacterized protein OS=Prunus persica GN=PRUPE_ppa007570mg PE=3 SV=1</t>
  </si>
  <si>
    <t>Uncharacterized protein OS=Prunus persica GN=PRUPE_ppa007906mg PE=4 SV=1</t>
  </si>
  <si>
    <t>Uncharacterized protein OS=Prunus persica GN=PRUPE_ppa013082mg PE=4 SV=1</t>
  </si>
  <si>
    <t>Uncharacterized protein OS=Prunus persica GN=PRUPE_ppa005876mg PE=4 SV=1</t>
  </si>
  <si>
    <t>Uncharacterized protein OS=Prunus persica GN=PRUPE_ppa004682mg PE=4 SV=1</t>
  </si>
  <si>
    <t>Uncharacterized protein OS=Prunus persica GN=PRUPE_ppa014271mg PE=4 SV=1</t>
  </si>
  <si>
    <t>Uncharacterized protein OS=Prunus persica GN=PRUPE_ppa007140mg PE=4 SV=1</t>
  </si>
  <si>
    <t>Uncharacterized protein OS=Prunus persica GN=PRUPE_ppa009609mg PE=4 SV=1</t>
  </si>
  <si>
    <t>Uncharacterized protein OS=Prunus persica GN=PRUPE_ppa008497mg PE=3 SV=1</t>
  </si>
  <si>
    <t>Proteasome assembly chaperone 2 OS=Prunus persica GN=PRUPE_ppa009713mg PE=3 SV=1</t>
  </si>
  <si>
    <t>Transcriptional corepressor SEUSS OS=Morus notabilis GN=L484_015740 PE=4 SV=1</t>
  </si>
  <si>
    <t>Uncharacterized protein (Fragment) OS=Citrus clementina GN=CICLE_v10017905mg PE=4 SV=1</t>
  </si>
  <si>
    <t>Uncharacterized protein OS=Ornithorhynchus anatinus GN=LOC100076533 PE=3 SV=1</t>
  </si>
  <si>
    <t>Uncharacterized protein OS=Prunus persica GN=PRUPE_ppa023317mg PE=3 SV=1</t>
  </si>
  <si>
    <t>Phospholipid-transporting ATPase OS=Theobroma cacao GN=TCM_019687 PE=3 SV=1</t>
  </si>
  <si>
    <t>3-ketoacyl-CoA synthase OS=Prunus persica GN=PRUPE_ppa004500mg PE=3 SV=1</t>
  </si>
  <si>
    <t>Uncharacterized protein OS=Prunus persica GN=PRUPE_ppa002222mg PE=3 SV=1</t>
  </si>
  <si>
    <t>Uncharacterized protein OS=Prunus persica GN=PRUPE_ppa008812mg PE=4 SV=1</t>
  </si>
  <si>
    <t>Uncharacterized protein (Fragment) OS=Prunus persica GN=PRUPE_ppa026463mg PE=4 SV=1</t>
  </si>
  <si>
    <t>Uncharacterized protein OS=Prunus persica GN=PRUPE_ppa000478mg PE=4 SV=1</t>
  </si>
  <si>
    <t>Uncharacterized protein OS=Prunus persica GN=PRUPE_ppa002415mg PE=4 SV=1</t>
  </si>
  <si>
    <t>Glycosyltransferase OS=Prunus persica GN=PRUPE_ppa018454mg PE=3 SV=1</t>
  </si>
  <si>
    <t>Kinesin-like protein OS=Prunus persica GN=PRUPE_ppa000925mg PE=3 SV=1</t>
  </si>
  <si>
    <t>Uncharacterized protein OS=Prunus persica GN=PRUPE_ppa003413mg PE=4 SV=1</t>
  </si>
  <si>
    <t>Uncharacterized protein OS=Prunus persica GN=PRUPE_ppa018719mg PE=3 SV=1</t>
  </si>
  <si>
    <t>Uncharacterized protein OS=Prunus persica GN=PRUPE_ppa003452mg PE=4 SV=1</t>
  </si>
  <si>
    <t>Uncharacterized protein (Fragment) OS=Prunus persica GN=PRUPE_ppa018924mg PE=4 SV=1</t>
  </si>
  <si>
    <t>Uncharacterized protein OS=Prunus persica GN=PRUPE_ppa000961mg PE=4 SV=1</t>
  </si>
  <si>
    <t>NADPH-dependent diflavin oxidoreductase 1 OS=Prunus persica GN=PRUPE_ppa002941mg PE=3 SV=1</t>
  </si>
  <si>
    <t>Uncharacterized protein OS=Prunus persica GN=PRUPE_ppa000485mg PE=3 SV=1</t>
  </si>
  <si>
    <t>CASP-like protein (Fragment) OS=Prunus persica GN=PRUPE_ppa014614mg PE=3 SV=1</t>
  </si>
  <si>
    <t>Uncharacterized protein OS=Prunus persica GN=PRUPE_ppa015646mg PE=4 SV=1</t>
  </si>
  <si>
    <t>Uncharacterized protein OS=Prunus persica GN=PRUPE_ppa010715mg PE=4 SV=1</t>
  </si>
  <si>
    <t>Uncharacterized protein OS=Prunus persica GN=PRUPE_ppa021740mg PE=4 SV=1</t>
  </si>
  <si>
    <t>50S ribosomal protein L14, chloroplastic OS=Prunus serrulata var. spontanea GN=rpl14 PE=3 SV=1</t>
  </si>
  <si>
    <t>Uncharacterized protein OS=Prunus persica GN=PRUPE_ppa021442mg PE=4 SV=1</t>
  </si>
  <si>
    <t>Uncharacterized protein (Fragment) OS=Prunus persica GN=PRUPE_ppa014561mg PE=4 SV=1</t>
  </si>
  <si>
    <t>Uncharacterized protein OS=Prunus persica GN=PRUPE_ppa011827mg PE=4 SV=1</t>
  </si>
  <si>
    <t>Uncharacterized protein OS=Prunus persica GN=PRUPE_ppa002679mg PE=4 SV=1</t>
  </si>
  <si>
    <t>Cytochrome b OS=Vitis vinifera PE=3 SV=1</t>
  </si>
  <si>
    <t>Uncharacterized protein OS=Prunus persica GN=PRUPE_ppa005755mg PE=4 SV=1</t>
  </si>
  <si>
    <t>Uncharacterized protein OS=Prunus persica GN=PRUPE_ppa007572mg PE=4 SV=1</t>
  </si>
  <si>
    <t>Uncharacterized protein OS=Prunus persica GN=PRUPE_ppa001883mg PE=4 SV=1</t>
  </si>
  <si>
    <t>Uncharacterized protein OS=Prunus persica GN=PRUPE_ppa002658mg PE=4 SV=1</t>
  </si>
  <si>
    <t>Uncharacterized protein OS=Prunus persica GN=PRUPE_ppa022285mg PE=4 SV=1</t>
  </si>
  <si>
    <t>Uncharacterized protein OS=Prunus persica GN=PRUPE_ppa008470mg PE=4 SV=1</t>
  </si>
  <si>
    <t>Uncharacterized protein OS=Prunus persica GN=PRUPE_ppa002047mg PE=4 SV=1</t>
  </si>
  <si>
    <t>Uncharacterized protein (Fragment) OS=Prunus persica GN=PRUPE_ppa021915mg PE=4 SV=1</t>
  </si>
  <si>
    <t>Uncharacterized protein OS=Prunus persica GN=PRUPE_ppa020882mg PE=4 SV=1</t>
  </si>
  <si>
    <t>Translocase of chloroplast OS=Prunus persica GN=PRUPE_ppa008959mg PE=3 SV=1</t>
  </si>
  <si>
    <t>Uncharacterized protein OS=Prunus persica GN=PRUPE_ppa013636mg PE=4 SV=1</t>
  </si>
  <si>
    <t>Uncharacterized protein OS=Citrus sinensis GN=CISIN_1g001804mg PE=4 SV=1</t>
  </si>
  <si>
    <t>Xyloglucan endotransglucosylase/hydrolase OS=Prunus persica GN=PRUPE_ppa009610mg PE=3 SV=1</t>
  </si>
  <si>
    <t>Uncharacterized protein OS=Prunus persica GN=PRUPE_ppa010946mg PE=4 SV=1</t>
  </si>
  <si>
    <t>Uncharacterized protein OS=Prunus persica GN=PRUPE_ppa005378mg PE=3 SV=1</t>
  </si>
  <si>
    <t>Uncharacterized protein OS=Prunus persica GN=PRUPE_ppa010895mg PE=4 SV=1</t>
  </si>
  <si>
    <t>Uncharacterized protein (Fragment) OS=Prunus persica GN=PRUPE_ppa016260mg PE=4 SV=1</t>
  </si>
  <si>
    <t>Uncharacterized protein OS=Prunus persica GN=PRUPE_ppa020455mg PE=4 SV=1</t>
  </si>
  <si>
    <t>Uncharacterized protein (Fragment) OS=Prunus persica GN=PRUPE_ppa023163mg PE=4 SV=1</t>
  </si>
  <si>
    <t>Uncharacterized protein OS=Prunus persica GN=PRUPE_ppa011203mg PE=4 SV=1</t>
  </si>
  <si>
    <t>Creatine kinase M-type OS=Sus scrofa GN=CKM PE=1 SV=1</t>
  </si>
  <si>
    <t>Uncharacterized protein OS=Prunus persica GN=PRUPE_ppa006238mg PE=4 SV=1</t>
  </si>
  <si>
    <t>Uncharacterized protein OS=Prunus persica GN=PRUPE_ppa023094mg PE=4 SV=1</t>
  </si>
  <si>
    <t>Uncharacterized protein OS=Prunus persica GN=PRUPE_ppa013570mg PE=4 SV=1</t>
  </si>
  <si>
    <t>Uncharacterized protein OS=Prunus persica GN=PRUPE_ppa012558mg PE=4 SV=1</t>
  </si>
  <si>
    <t>Uncharacterized protein OS=Prunus persica GN=PRUPE_ppa018480mg PE=4 SV=1</t>
  </si>
  <si>
    <t>Uncharacterized protein OS=Prunus persica GN=PRUPE_ppa000716mg PE=4 SV=1</t>
  </si>
  <si>
    <t>Uncharacterized protein OS=Prunus persica GN=PRUPE_ppa012607mg PE=4 SV=1</t>
  </si>
  <si>
    <t>Uncharacterized protein OS=Prunus persica GN=PRUPE_ppa017577mg PE=4 SV=1</t>
  </si>
  <si>
    <t>Uncharacterized protein (Fragment) OS=Prunus persica GN=PRUPE_ppa019361mg PE=4 SV=1</t>
  </si>
  <si>
    <t>Uncharacterized protein OS=Prunus persica GN=PRUPE_ppa023887mg PE=4 SV=1</t>
  </si>
  <si>
    <t>3-hydroxyisobutyrate dehydrogenase OS=Prunus persica GN=PRUPE_ppa008030mg PE=3 SV=1</t>
  </si>
  <si>
    <t>Uncharacterized protein OS=Prunus persica GN=PRUPE_ppa003313mg PE=4 SV=1</t>
  </si>
  <si>
    <t>Uncharacterized protein OS=Prunus persica GN=PRUPE_ppa013217mg PE=4 SV=1</t>
  </si>
  <si>
    <t>Superoxide dismutase [Cu-Zn] OS=Prunus persica GN=PRUPE_ppa012725mg PE=3 SV=1</t>
  </si>
  <si>
    <t>Non-specific serine/threonine protein kinase OS=Prunus persica GN=PRUPE_ppa004907mg PE=4 SV=1</t>
  </si>
  <si>
    <t>Uncharacterized protein OS=Morus notabilis GN=L484_025716 PE=4 SV=1</t>
  </si>
  <si>
    <t>Uncharacterized protein OS=Prunus persica GN=PRUPE_ppa008231mg PE=4 SV=1</t>
  </si>
  <si>
    <t>Uncharacterized protein OS=Morus notabilis GN=L484_005539 PE=4 SV=1</t>
  </si>
  <si>
    <t>3-ketoacyl-CoA synthase OS=Prunus persica GN=PRUPE_ppa004284mg PE=3 SV=1</t>
  </si>
  <si>
    <t>Uncharacterized protein OS=Prunus persica GN=PRUPE_ppa009597mg PE=4 SV=1</t>
  </si>
  <si>
    <t>Uncharacterized protein OS=Prunus persica GN=PRUPE_ppa012424mg PE=4 SV=1</t>
  </si>
  <si>
    <t>Uncharacterized protein (Fragment) OS=Prunus persica GN=PRUPE_ppa021708m1g PE=4 SV=1</t>
  </si>
  <si>
    <t>Uncharacterized protein OS=Prunus persica GN=PRUPE_ppa005769mg PE=4 SV=1</t>
  </si>
  <si>
    <t>Uncharacterized protein (Fragment) OS=Prunus persica GN=PRUPE_ppa017496mg PE=3 SV=1</t>
  </si>
  <si>
    <t>Uncharacterized protein (Fragment) OS=Prunus persica GN=PRUPE_ppa016069mg PE=4 SV=1</t>
  </si>
  <si>
    <t>S-adenosylmethionine synthase OS=Prunus persica GN=PRUPE_ppa006916mg PE=3 SV=1</t>
  </si>
  <si>
    <t>Uncharacterized protein OS=Prunus persica GN=PRUPE_ppa004564mg PE=4 SV=1</t>
  </si>
  <si>
    <t>Uncharacterized protein OS=Prunus persica GN=PRUPE_ppa020396mg PE=4 SV=1</t>
  </si>
  <si>
    <t>Uncharacterized protein OS=Prunus persica GN=PRUPE_ppa000453mg PE=4 SV=1</t>
  </si>
  <si>
    <t>Uncharacterized protein OS=Prunus persica GN=PRUPE_ppa004282mg PE=4 SV=1</t>
  </si>
  <si>
    <t>Putative uncharacterized protein OS=Vitis vinifera GN=VITISV_041559 PE=3 SV=1</t>
  </si>
  <si>
    <t>Uncharacterized protein OS=Prunus persica GN=PRUPE_ppa010912mg PE=4 SV=1</t>
  </si>
  <si>
    <t>Uncharacterized protein OS=Prunus persica GN=PRUPE_ppa000342mg PE=4 SV=1</t>
  </si>
  <si>
    <t>Uncharacterized protein (Fragment) OS=Prunus persica GN=PRUPE_ppa023231mg PE=4 SV=1</t>
  </si>
  <si>
    <t>Uncharacterized protein OS=Prunus persica GN=PRUPE_ppa011212mg PE=4 SV=1</t>
  </si>
  <si>
    <t>Uncharacterized protein OS=Prunus persica GN=PRUPE_ppa019796mg PE=4 SV=1</t>
  </si>
  <si>
    <t>Uncharacterized protein OS=Prunus persica GN=PRUPE_ppa010156mg PE=4 SV=1</t>
  </si>
  <si>
    <t>Uncharacterized protein OS=Prunus persica GN=PRUPE_ppa009626mg PE=4 SV=1</t>
  </si>
  <si>
    <t>Uncharacterized protein OS=Citrus sinensis GN=CISIN_1g025469mg PE=4 SV=1</t>
  </si>
  <si>
    <t>Uncharacterized protein OS=Prunus persica GN=PRUPE_ppa002534mg PE=4 SV=1</t>
  </si>
  <si>
    <t>Uncharacterized protein OS=Prunus persica GN=PRUPE_ppa006572mg PE=4 SV=1</t>
  </si>
  <si>
    <t>Uncharacterized protein OS=Prunus persica GN=PRUPE_ppa016180mg PE=4 SV=1</t>
  </si>
  <si>
    <t>Uncharacterized protein OS=Prunus persica GN=PRUPE_ppa010027mg PE=4 SV=1</t>
  </si>
  <si>
    <t>Uncharacterized protein OS=Prunus persica GN=PRUPE_ppa008192mg PE=4 SV=1</t>
  </si>
  <si>
    <t>Uncharacterized protein OS=Prunus persica GN=PRUPE_ppa005415mg PE=4 SV=1</t>
  </si>
  <si>
    <t>Uncharacterized protein OS=Prunus persica GN=PRUPE_ppa003357mg PE=4 SV=1</t>
  </si>
  <si>
    <t>Tropomyosin beta chain (Fragment) OS=Mus musculus GN=Tpm2 PE=1 SV=5</t>
  </si>
  <si>
    <t>Uncharacterized protein (Fragment) OS=Prunus persica GN=PRUPE_ppa015285mg PE=4 SV=1</t>
  </si>
  <si>
    <t>Uncharacterized protein OS=Prunus persica GN=PRUPE_ppa003328mg PE=3 SV=1</t>
  </si>
  <si>
    <t>Uncharacterized protein OS=Prunus persica GN=PRUPE_ppa000762mg PE=4 SV=1</t>
  </si>
  <si>
    <t>Uncharacterized protein OS=Prunus persica GN=PRUPE_ppa011437mg PE=4 SV=1</t>
  </si>
  <si>
    <t>Uncharacterized protein OS=Prunus persica GN=PRUPE_ppa011214mg PE=4 SV=1</t>
  </si>
  <si>
    <t>Uncharacterized protein OS=Prunus persica GN=PRUPE_ppa001572mg PE=3 SV=1</t>
  </si>
  <si>
    <t>Uncharacterized protein OS=Prunus persica GN=PRUPE_ppa009082mg PE=4 SV=1</t>
  </si>
  <si>
    <t>Uncharacterized protein OS=Prunus persica GN=PRUPE_ppa023999mg PE=4 SV=1</t>
  </si>
  <si>
    <t>Potassium transporter OS=Prunus persica GN=KUP5 PE=2 SV=1</t>
  </si>
  <si>
    <t>Malate dehydrogenase OS=Prunus persica GN=PRUPE_ppa022676mg PE=3 SV=1</t>
  </si>
  <si>
    <t>Proteasome subunit alpha type OS=Prunus persica GN=PRUPE_ppa010444mg PE=3 SV=1</t>
  </si>
  <si>
    <t>Uncharacterized protein OS=Prunus persica GN=PRUPE_ppa015999mg PE=4 SV=1</t>
  </si>
  <si>
    <t>Uncharacterized protein OS=Prunus persica GN=PRUPE_ppa009542mg PE=4 SV=1</t>
  </si>
  <si>
    <t>Uncharacterized protein OS=Prunus persica GN=PRUPE_ppa001450mg PE=3 SV=1</t>
  </si>
  <si>
    <t>Uncharacterized protein OS=Prunus persica GN=PRUPE_ppa007148mg PE=4 SV=1</t>
  </si>
  <si>
    <t>Genome polyprotein OS=Citrus sudden death-associated virus GN=CSDaVgp1 PE=4 SV=1</t>
  </si>
  <si>
    <t>Uncharacterized protein OS=Prunus persica GN=PRUPE_ppa005603mg PE=4 SV=1</t>
  </si>
  <si>
    <t>Uncharacterized protein OS=Prunus persica GN=PRUPE_ppa022051mg PE=4 SV=1</t>
  </si>
  <si>
    <t>Uncharacterized protein (Fragment) OS=Prunus persica GN=PRUPE_ppa021818mg PE=4 SV=1</t>
  </si>
  <si>
    <t>Uncharacterized protein OS=Prunus persica GN=PRUPE_ppa005845mg PE=3 SV=1</t>
  </si>
  <si>
    <t>Uncharacterized protein OS=Prunus persica GN=PRUPE_ppa002393mg PE=4 SV=1</t>
  </si>
  <si>
    <t>Uncharacterized protein OS=Prunus persica GN=PRUPE_ppa000907mg PE=4 SV=1</t>
  </si>
  <si>
    <t>Uncharacterized protein OS=Erythranthe guttata GN=MIMGU_mgv1a014389mg PE=4 SV=1</t>
  </si>
  <si>
    <t>Uncharacterized protein (Fragment) OS=Prunus persica GN=PRUPE_ppa004367m1g PE=4 SV=1</t>
  </si>
  <si>
    <t>Uncharacterized protein OS=Prunus persica GN=PRUPE_ppa012311mg PE=4 SV=1</t>
  </si>
  <si>
    <t>Uncharacterized protein OS=Prunus persica GN=PRUPE_ppa012361mg PE=4 SV=1</t>
  </si>
  <si>
    <t>Uncharacterized protein OS=Prunus persica GN=PRUPE_ppa003964mg PE=4 SV=1</t>
  </si>
  <si>
    <t>Uncharacterized protein OS=Prunus persica GN=PRUPE_ppa007786mg PE=4 SV=1</t>
  </si>
  <si>
    <t>Uncharacterized protein OS=Prunus persica GN=PRUPE_ppa003731mg PE=4 SV=1</t>
  </si>
  <si>
    <t>Uncharacterized protein (Fragment) OS=Prunus persica GN=PRUPE_ppa019002mg PE=4 SV=1</t>
  </si>
  <si>
    <t>Uncharacterized protein OS=Prunus persica GN=PRUPE_ppa005047mg PE=4 SV=1</t>
  </si>
  <si>
    <t>Uncharacterized protein OS=Prunus persica GN=PRUPE_ppa008526mg PE=4 SV=1</t>
  </si>
  <si>
    <t>Uncharacterized protein OS=Prunus persica GN=PRUPE_ppa009790mg PE=4 SV=1</t>
  </si>
  <si>
    <t>Uncharacterized protein OS=Prunus persica GN=PRUPE_ppa009694mg PE=4 SV=1</t>
  </si>
  <si>
    <t>Uncharacterized protein OS=Prunus persica GN=PRUPE_ppa018107mg PE=4 SV=1</t>
  </si>
  <si>
    <t>Uncharacterized protein (Fragment) OS=Prunus persica GN=PRUPE_ppa023425mg PE=4 SV=1</t>
  </si>
  <si>
    <t>Putative uncharacterized protein OS=Vitis vinifera GN=VIT_09s0018g01970 PE=4 SV=1</t>
  </si>
  <si>
    <t>Uncharacterized protein OS=Prunus persica GN=PRUPE_ppa008710mg PE=4 SV=1</t>
  </si>
  <si>
    <t>Uncharacterized protein OS=Prunus persica GN=PRUPE_ppa005738mg PE=4 SV=1</t>
  </si>
  <si>
    <t>Uncharacterized protein OS=Prunus persica GN=PRUPE_ppa008741mg PE=4 SV=1</t>
  </si>
  <si>
    <t>Uncharacterized protein OS=Prunus persica GN=PRUPE_ppa009019mg PE=4 SV=1</t>
  </si>
  <si>
    <t>Isocitrate dehydrogenase [NADP] OS=Prunus persica GN=PRUPE_ppa006334mg PE=3 SV=1</t>
  </si>
  <si>
    <t>Uncharacterized protein OS=Prunus persica GN=PRUPE_ppa019086mg PE=4 SV=1</t>
  </si>
  <si>
    <t>Uncharacterized protein OS=Prunus persica GN=PRUPE_ppa005684mg PE=4 SV=1</t>
  </si>
  <si>
    <t>Uncharacterized protein OS=Prunus persica GN=PRUPE_ppa004510mg PE=4 SV=1</t>
  </si>
  <si>
    <t>Uncharacterized protein OS=Prunus persica GN=PRUPE_ppa004935mg PE=4 SV=1</t>
  </si>
  <si>
    <t>Myosin-1 (Fragment) OS=Cricetulus griseus GN=H671_7g17350 PE=4 SV=1</t>
  </si>
  <si>
    <t>Uncharacterized protein OS=Prunus persica GN=PRUPE_ppa000855mg PE=3 SV=1</t>
  </si>
  <si>
    <t>Uncharacterized protein OS=Prunus persica GN=PRUPE_ppb020236mg PE=4 SV=1</t>
  </si>
  <si>
    <t>Uncharacterized protein OS=Prunus persica GN=PRUPE_ppa001326mg PE=4 SV=1</t>
  </si>
  <si>
    <t>Uncharacterized protein OS=Prunus persica GN=PRUPE_ppa006358mg PE=4 SV=1</t>
  </si>
  <si>
    <t>Uncharacterized protein OS=Prunus persica GN=PRUPE_ppa020815mg PE=3 SV=1</t>
  </si>
  <si>
    <t>Non-specific serine/threonine protein kinase OS=Prunus persica GN=PRUPE_ppa000304mg PE=4 SV=1</t>
  </si>
  <si>
    <t>Uncharacterized protein OS=Prunus persica GN=PRUPE_ppa005773mg PE=4 SV=1</t>
  </si>
  <si>
    <t>Uncharacterized protein (Fragment) OS=Prunus persica GN=PRUPE_ppa024241mg PE=4 SV=1</t>
  </si>
  <si>
    <t>Uncharacterized protein (Fragment) OS=Prunus persica GN=PRUPE_ppa026854mg PE=4 SV=1</t>
  </si>
  <si>
    <t>Uncharacterized protein OS=Prunus persica GN=PRUPE_ppa008425mg PE=4 SV=1</t>
  </si>
  <si>
    <t>Uncharacterized protein OS=Prunus persica GN=PRUPE_ppa022306mg PE=4 SV=1</t>
  </si>
  <si>
    <t>Uncharacterized protein OS=Gossypium raimondii GN=B456_006G006100 PE=3 SV=1</t>
  </si>
  <si>
    <t>Uncharacterized protein OS=Prunus persica GN=PRUPE_ppa007945mg PE=4 SV=1</t>
  </si>
  <si>
    <t>Uncharacterized protein OS=Prunus persica GN=PRUPE_ppa014805mg PE=3 SV=1</t>
  </si>
  <si>
    <t>Uncharacterized protein OS=Prunus persica GN=PRUPE_ppa004024mg PE=4 SV=1</t>
  </si>
  <si>
    <t>Uncharacterized protein OS=Prunus persica GN=PRUPE_ppa001748mg PE=4 SV=1</t>
  </si>
  <si>
    <t>Sugar transporter SWEET OS=Prunus persica GN=PRUPE_ppa009422mg PE=3 SV=1</t>
  </si>
  <si>
    <t>Uncharacterized protein OS=Prunus persica GN=PRUPE_ppa002997mg PE=4 SV=1</t>
  </si>
  <si>
    <t>Uncharacterized protein OS=Prunus persica GN=PRUPE_ppa002507mg PE=4 SV=1</t>
  </si>
  <si>
    <t>Uncharacterized protein OS=Prunus persica GN=PRUPE_ppa024119mg PE=4 SV=1</t>
  </si>
  <si>
    <t>Casein kinase II subunit beta OS=Citrus sinensis GN=CISIN_1g023046mg PE=3 SV=1</t>
  </si>
  <si>
    <t>Uncharacterized protein OS=Prunus persica GN=PRUPE_ppa004007mg PE=3 SV=1</t>
  </si>
  <si>
    <t>Uncharacterized protein OS=Prunus persica GN=PRUPE_ppa004241mg PE=3 SV=1</t>
  </si>
  <si>
    <t>Uncharacterized protein OS=Prunus persica GN=PRUPE_ppa001404mg PE=4 SV=1</t>
  </si>
  <si>
    <t>Methyltransferase-like protein OS=Prunus persica GN=PRUPE_ppa003576mg PE=3 SV=1</t>
  </si>
  <si>
    <t>Uncharacterized protein OS=Prunus persica GN=PRUPE_ppa004660mg PE=4 SV=1</t>
  </si>
  <si>
    <t>Peptidyl-prolyl cis-trans isomerase OS=Prunus persica GN=PRUPE_ppa012857mg PE=3 SV=1</t>
  </si>
  <si>
    <t>Uncharacterized protein OS=Prunus persica GN=PRUPE_ppa006321mg PE=4 SV=1</t>
  </si>
  <si>
    <t>Uncharacterized protein OS=Prunus persica GN=PRUPE_ppa009521mg PE=4 SV=1</t>
  </si>
  <si>
    <t>Uncharacterized protein OS=Prunus persica GN=PRUPE_ppa000673mg PE=4 SV=1</t>
  </si>
  <si>
    <t>Uncharacterized protein OS=Cucumis sativus GN=Csa_4G336250 PE=4 SV=1</t>
  </si>
  <si>
    <t>Elongation factor Tu OS=Prunus persica GN=PRUPE_ppa004942mg PE=3 SV=1</t>
  </si>
  <si>
    <t>Serine/threonine-protein kinase OS=Prunus persica GN=PRUPE_ppa025478mg PE=3 SV=1</t>
  </si>
  <si>
    <t>Uncharacterized protein OS=Prunus persica GN=PRUPE_ppa013722mg PE=4 SV=1</t>
  </si>
  <si>
    <t>Uncharacterized protein OS=Eucalyptus grandis GN=EUGRSUZ_F01644 PE=4 SV=1</t>
  </si>
  <si>
    <t>Uncharacterized protein OS=Prunus persica GN=PRUPE_ppa005835mg PE=4 SV=1</t>
  </si>
  <si>
    <t>Uncharacterized protein OS=Prunus persica GN=PRUPE_ppa003436mg PE=4 SV=1</t>
  </si>
  <si>
    <t>Uncharacterized protein OS=Prunus persica GN=PRUPE_ppa000094mg PE=4 SV=1</t>
  </si>
  <si>
    <t>Uncharacterized protein OS=Prunus persica GN=PRUPE_ppa021907mg PE=4 SV=1</t>
  </si>
  <si>
    <t>Uncharacterized protein OS=Prunus persica GN=PRUPE_ppa001147mg PE=3 SV=1</t>
  </si>
  <si>
    <t>Ulp1 peptidase-like OS=Cucumis melo PE=4 SV=1</t>
  </si>
  <si>
    <t>Uncharacterized protein OS=Prunus persica GN=PRUPE_ppa021490mg PE=4 SV=1</t>
  </si>
  <si>
    <t>Uncharacterized protein OS=Prunus persica GN=PRUPE_ppa011351mg PE=4 SV=1</t>
  </si>
  <si>
    <t>Uncharacterized protein OS=Prunus persica GN=PRUPE_ppa005672mg PE=4 SV=1</t>
  </si>
  <si>
    <t>Uncharacterized protein OS=Prunus persica GN=PRUPE_ppa002192mg PE=3 SV=1</t>
  </si>
  <si>
    <t>Glycosyltransferase OS=Prunus persica GN=PRUPE_ppa016890mg PE=3 SV=1</t>
  </si>
  <si>
    <t>Uncharacterized protein OS=Prunus persica GN=PRUPE_ppa020376mg PE=3 SV=1</t>
  </si>
  <si>
    <t>Uncharacterized protein OS=Prunus persica GN=PRUPE_ppa012131mg PE=4 SV=1</t>
  </si>
  <si>
    <t>Uncharacterized protein OS=Prunus persica GN=PRUPE_ppa009291mg PE=4 SV=1</t>
  </si>
  <si>
    <t>Uncharacterized protein OS=Prunus persica GN=PRUPE_ppa007966mg PE=4 SV=1</t>
  </si>
  <si>
    <t>Chlorophyll b reductase NOL protein OS=Pyrus x bretschneideri PE=2 SV=1</t>
  </si>
  <si>
    <t>Uncharacterized protein OS=Prunus persica GN=PRUPE_ppa023225mg PE=4 SV=1</t>
  </si>
  <si>
    <t>Uncharacterized protein OS=Prunus persica GN=PRUPE_ppa022714mg PE=4 SV=1</t>
  </si>
  <si>
    <t>Uncharacterized protein OS=Prunus persica GN=PRUPE_ppa010709mg PE=4 SV=1</t>
  </si>
  <si>
    <t>Retropepsin-like protein OS=Phaseolus vulgaris PE=4 SV=1</t>
  </si>
  <si>
    <t>Glutathione peroxidase OS=Prunus persica GN=PRUPE_ppa010771mg PE=3 SV=1</t>
  </si>
  <si>
    <t>Ubiquitin-fold modifier-conjugating enzyme 1 OS=Prunus persica GN=PRUPE_ppa012314mg PE=3 SV=1</t>
  </si>
  <si>
    <t>Uncharacterized protein OS=Prunus persica GN=PRUPE_ppa008202mg PE=4 SV=1</t>
  </si>
  <si>
    <t>Uncharacterized protein OS=Prunus persica GN=PRUPE_ppa023506mg PE=4 SV=1</t>
  </si>
  <si>
    <t>Putative uncharacterized protein OS=Vitis vinifera GN=VIT_10s0116g00700 PE=4 SV=1</t>
  </si>
  <si>
    <t>Uncharacterized protein OS=Prunus persica GN=PRUPE_ppa011077mg PE=4 SV=1</t>
  </si>
  <si>
    <t>Uncharacterized protein OS=Prunus persica GN=PRUPE_ppa002304mg PE=3 SV=1</t>
  </si>
  <si>
    <t>Uncharacterized protein OS=Prunus persica GN=PRUPE_ppa009964mg PE=4 SV=1</t>
  </si>
  <si>
    <t>Uncharacterized protein OS=Prunus persica GN=PRUPE_ppa007625mg PE=4 SV=1</t>
  </si>
  <si>
    <t>Uncharacterized protein OS=Prunus persica GN=PRUPE_ppa011443mg PE=3 SV=1</t>
  </si>
  <si>
    <t>Uncharacterized protein OS=Prunus persica GN=PRUPE_ppa005015mg PE=3 SV=1</t>
  </si>
  <si>
    <t>Uncharacterized protein OS=Prunus persica GN=PRUPE_ppa009108mg PE=4 SV=1</t>
  </si>
  <si>
    <t>Uncharacterized protein OS=Prunus persica GN=PRUPE_ppa010704mg PE=4 SV=1</t>
  </si>
  <si>
    <t>Uncharacterized protein OS=Prunus persica GN=PRUPE_ppa013667mg PE=4 SV=1</t>
  </si>
  <si>
    <t>Remorin OS=Pyrus x bretschneideri PE=2 SV=1</t>
  </si>
  <si>
    <t>Uncharacterized protein OS=Prunus persica GN=PRUPE_ppa008715mg PE=4 SV=1</t>
  </si>
  <si>
    <t>Uncharacterized protein OS=Prunus persica GN=PRUPE_ppa009020mg PE=4 SV=1</t>
  </si>
  <si>
    <t>Malate synthase OS=Prunus sibirica PE=2 SV=1</t>
  </si>
  <si>
    <t>Uncharacterized protein OS=Prunus persica GN=PRUPE_ppa009674mg PE=4 SV=1</t>
  </si>
  <si>
    <t>Uncharacterized protein OS=Prunus persica GN=PRUPE_ppa000208mg PE=4 SV=1</t>
  </si>
  <si>
    <t>Aberrant testa shape OS=Prunus armeniaca GN=ATS PE=4 SV=1</t>
  </si>
  <si>
    <t>Uncharacterized protein OS=Prunus persica GN=PRUPE_ppa000771mg PE=4 SV=1</t>
  </si>
  <si>
    <t>Uncharacterized protein OS=Prunus persica GN=PRUPE_ppa006729mg PE=3 SV=1</t>
  </si>
  <si>
    <t>Uncharacterized protein OS=Prunus persica GN=PRUPE_ppa012418mg PE=4 SV=1</t>
  </si>
  <si>
    <t>Uncharacterized protein OS=Prunus persica GN=PRUPE_ppa005177mg PE=4 SV=1</t>
  </si>
  <si>
    <t>Uncharacterized protein OS=Prunus persica GN=PRUPE_ppa002356mg PE=4 SV=1</t>
  </si>
  <si>
    <t>Uncharacterized protein OS=Prunus persica GN=PRUPE_ppa020306mg PE=4 SV=1</t>
  </si>
  <si>
    <t>Uncharacterized protein OS=Prunus persica GN=PRUPE_ppa009698mg PE=3 SV=1</t>
  </si>
  <si>
    <t>Uncharacterized protein OS=Prunus persica GN=PRUPE_ppa017676mg PE=4 SV=1</t>
  </si>
  <si>
    <t>Uncharacterized protein OS=Prunus persica GN=PRUPE_ppa005356mg PE=3 SV=1</t>
  </si>
  <si>
    <t>Uncharacterized protein OS=Prunus persica GN=PRUPE_ppa019121mg PE=4 SV=1</t>
  </si>
  <si>
    <t>Uncharacterized protein OS=Prunus persica GN=PRUPE_ppa011789mg PE=4 SV=1</t>
  </si>
  <si>
    <t>Uncharacterized protein OS=Prunus persica GN=PRUPE_ppa004627mg PE=4 SV=1</t>
  </si>
  <si>
    <t>Uncharacterized protein (Fragment) OS=Prunus persica GN=PRUPE_ppb016013mg PE=4 SV=1</t>
  </si>
  <si>
    <t>S-acyltransferase OS=Prunus persica GN=PRUPE_ppa009226mg PE=3 SV=1</t>
  </si>
  <si>
    <t>Uncharacterized protein OS=Prunus persica GN=PRUPE_ppa004650mg PE=4 SV=1</t>
  </si>
  <si>
    <t>Uncharacterized protein OS=Prunus persica GN=PRUPE_ppa007357mg PE=3 SV=1</t>
  </si>
  <si>
    <t>Uncharacterized protein OS=Prunus persica GN=PRUPE_ppa008908mg PE=4 SV=1</t>
  </si>
  <si>
    <t>Genome polyprotein OS=Oat blue dwarf virus PE=4 SV=1</t>
  </si>
  <si>
    <t>DNA-directed RNA polymerase subunit alpha OS=Prunus serrulata var. spontanea GN=rpoA PE=3 SV=1</t>
  </si>
  <si>
    <t>Uncharacterized protein OS=Jatropha curcas GN=JCGZ_00964 PE=4 SV=1</t>
  </si>
  <si>
    <t>Uncharacterized protein OS=Prunus persica GN=PRUPE_ppa007380mg PE=4 SV=1</t>
  </si>
  <si>
    <t>Uncharacterized protein OS=Prunus persica GN=PRUPE_ppa000807mg PE=4 SV=1</t>
  </si>
  <si>
    <t>Uncharacterized protein (Fragment) OS=Prunus persica GN=PRUPE_ppa017530mg PE=4 SV=1</t>
  </si>
  <si>
    <t>Uncharacterized protein OS=Prunus persica GN=PRUPE_ppa006368mg PE=4 SV=1</t>
  </si>
  <si>
    <t>Cytochrome P450 71AP13 OS=Prunus mume GN=CYP71AP13 PE=2 SV=1</t>
  </si>
  <si>
    <t>Uncharacterized protein OS=Prunus persica GN=PRUPE_ppa002725mg PE=3 SV=1</t>
  </si>
  <si>
    <t>Uncharacterized protein OS=Prunus persica GN=PRUPE_ppa005909mg PE=4 SV=1</t>
  </si>
  <si>
    <t>Uncharacterized protein OS=Citrus clementina GN=CICLE_v10014129mg PE=4 SV=1</t>
  </si>
  <si>
    <t>Uncharacterized protein OS=Prunus persica GN=PRUPE_ppa003619mg PE=4 SV=1</t>
  </si>
  <si>
    <t>Uncharacterized protein OS=Prunus persica GN=PRUPE_ppa015648mg PE=4 SV=1</t>
  </si>
  <si>
    <t>Uncharacterized protein OS=Prunus persica GN=PRUPE_ppa026099mg PE=4 SV=1</t>
  </si>
  <si>
    <t>Ubiquitin-conjugating enzyme OS=Rosa multiflora PE=2 SV=1</t>
  </si>
  <si>
    <t>Uncharacterized protein (Fragment) OS=Prunus persica GN=PRUPE_ppa024022mg PE=4 SV=1</t>
  </si>
  <si>
    <t>Glycosyltransferase OS=Prunus persica GN=PRUPE_ppa020358mg PE=3 SV=1</t>
  </si>
  <si>
    <t>ATP synthase subunit beta OS=Fusarium oxysporum f. sp. cubense (strain race 4) GN=FOC4_g10005995 PE=3 SV=1</t>
  </si>
  <si>
    <t>Uncharacterized protein OS=Prunus persica GN=PRUPE_ppa1027170mg PE=4 SV=1</t>
  </si>
  <si>
    <t>Uncharacterized protein OS=Prunus persica GN=PRUPE_ppa003838mg PE=4 SV=1</t>
  </si>
  <si>
    <t>Uncharacterized protein OS=Prunus persica GN=PRUPE_ppa004838mg PE=4 SV=1</t>
  </si>
  <si>
    <t>Uncharacterized protein OS=Prunus persica GN=PRUPE_ppa012567mg PE=4 SV=1</t>
  </si>
  <si>
    <t>Proliferating cell nuclear antigen OS=Prunus persica GN=PRUPE_ppa010062mg PE=3 SV=1</t>
  </si>
  <si>
    <t>Uncharacterized protein OS=Prunus persica GN=PRUPE_ppa007671mg PE=3 SV=1</t>
  </si>
  <si>
    <t>Phosphoinositide phospholipase C OS=Prunus persica GN=PRUPE_ppa003249mg PE=4 SV=1</t>
  </si>
  <si>
    <t>Uncharacterized protein OS=Prunus persica GN=PRUPE_ppa011956mg PE=4 SV=1</t>
  </si>
  <si>
    <t>Uncharacterized protein (Fragment) OS=Prunus persica GN=PRUPE_ppa019165mg PE=4 SV=1</t>
  </si>
  <si>
    <t>Uncharacterized protein OS=Prunus persica GN=PRUPE_ppa006719mg PE=4 SV=1</t>
  </si>
  <si>
    <t>Uncharacterized protein OS=Prunus persica GN=PRUPE_ppa002006mg PE=4 SV=1</t>
  </si>
  <si>
    <t>Uncharacterized protein OS=Prunus persica GN=PRUPE_ppa015596mg PE=4 SV=1</t>
  </si>
  <si>
    <t>Uncharacterized protein OS=Prunus persica GN=PRUPE_ppa000245mg PE=4 SV=1</t>
  </si>
  <si>
    <t>Uncharacterized protein OS=Prunus persica GN=PRUPE_ppa012939mg PE=3 SV=1</t>
  </si>
  <si>
    <t>Uncharacterized protein OS=Prunus persica GN=PRUPE_ppa012871mg PE=4 SV=1</t>
  </si>
  <si>
    <t>Translocon at the outer envelope membrane of chloroplasts 159, putative OS=Theobroma cacao GN=TCM_021209 PE=4 SV=1</t>
  </si>
  <si>
    <t>Uncharacterized protein OS=Prunus persica GN=PRUPE_ppa020478mg PE=4 SV=1</t>
  </si>
  <si>
    <t>Uncharacterized protein OS=Prunus persica GN=PRUPE_ppa012045mg PE=4 SV=1</t>
  </si>
  <si>
    <t>Uncharacterized protein OS=Prunus persica GN=PRUPE_ppa003269mg PE=4 SV=1</t>
  </si>
  <si>
    <t>Uncharacterized protein OS=Prunus persica GN=PRUPE_ppa006690mg PE=4 SV=1</t>
  </si>
  <si>
    <t>Chloride channel protein OS=Prunus persica GN=PRUPE_ppa001699mg PE=3 SV=1</t>
  </si>
  <si>
    <t>Glyceraldehyde-3-phosphate dehydrogenase (Fragment) OS=Bos taurus GN=GAPDH PE=2 SV=1</t>
  </si>
  <si>
    <t>Kinesin-like protein OS=Prunus persica GN=PRUPE_ppa001416mg PE=3 SV=1</t>
  </si>
  <si>
    <t>Uncharacterized protein OS=Prunus persica GN=PRUPE_ppa009643mg PE=4 SV=1</t>
  </si>
  <si>
    <t>Uncharacterized protein OS=Prunus persica GN=PRUPE_ppa010425mg PE=4 SV=1</t>
  </si>
  <si>
    <t>Uncharacterized protein OS=Prunus persica GN=PRUPE_ppa007953mg PE=4 SV=1</t>
  </si>
  <si>
    <t>Uncharacterized protein OS=Prunus persica GN=PRUPE_ppa021302mg PE=4 SV=1</t>
  </si>
  <si>
    <t>60S ribosomal protein L18a OS=Prunus persica GN=PRUPE_ppa012251mg PE=3 SV=1</t>
  </si>
  <si>
    <t>Thylakoid lumenal family protein OS=Populus trichocarpa GN=POPTR_0003s11240g PE=4 SV=1</t>
  </si>
  <si>
    <t>Uncharacterized protein OS=Prunus persica GN=PRUPE_ppa008647mg PE=4 SV=1</t>
  </si>
  <si>
    <t>Clustered mitochondria protein homolog OS=Prunus persica GN=PRUPE_ppa000213mg PE=3 SV=1</t>
  </si>
  <si>
    <t>Uncharacterized protein OS=Prunus persica GN=PRUPE_ppa019735mg PE=4 SV=1</t>
  </si>
  <si>
    <t>Uncharacterized protein OS=Prunus persica GN=PRUPE_ppa009603mg PE=4 SV=1</t>
  </si>
  <si>
    <t>Uncharacterized protein OS=Prunus persica GN=PRUPE_ppa003647mg PE=4 SV=1</t>
  </si>
  <si>
    <t>Uncharacterized protein OS=Prunus persica GN=PRUPE_ppa016703mg PE=4 SV=1</t>
  </si>
  <si>
    <t>Uncharacterized protein OS=Prunus persica GN=PRUPE_ppa000664mg PE=4 SV=1</t>
  </si>
  <si>
    <t>Uncharacterized protein OS=Prunus persica GN=PRUPE_ppa005094mg PE=4 SV=1</t>
  </si>
  <si>
    <t>Uncharacterized protein OS=Prunus persica GN=PRUPE_ppa011982mg PE=4 SV=1</t>
  </si>
  <si>
    <t>Uncharacterized protein OS=Prunus persica GN=PRUPE_ppa003163mg PE=4 SV=1</t>
  </si>
  <si>
    <t>Uncharacterized protein OS=Prunus persica GN=PRUPE_ppa006726mg PE=4 SV=1</t>
  </si>
  <si>
    <t>Uncharacterized protein OS=Prunus persica GN=PRUPE_ppa002768mg PE=4 SV=1</t>
  </si>
  <si>
    <t>Uncharacterized protein OS=Populus trichocarpa GN=POPTR_0006s07380g PE=4 SV=1</t>
  </si>
  <si>
    <t>Uncharacterized protein OS=Prunus persica GN=PRUPE_ppa002037mg PE=4 SV=1</t>
  </si>
  <si>
    <t>Uncharacterized protein OS=Prunus persica GN=PRUPE_ppa011253mg PE=4 SV=1</t>
  </si>
  <si>
    <t>Uncharacterized protein (Fragment) OS=Prunus persica GN=PRUPE_ppa022690mg PE=4 SV=1</t>
  </si>
  <si>
    <t>Uncharacterized protein OS=Prunus persica GN=PRUPE_ppa022006mg PE=4 SV=1</t>
  </si>
  <si>
    <t>Uncharacterized protein OS=Morus notabilis GN=L484_009077 PE=4 SV=1</t>
  </si>
  <si>
    <t>Uncharacterized protein OS=Prunus persica GN=PRUPE_ppa007581mg PE=3 SV=1</t>
  </si>
  <si>
    <t>Uncharacterized protein OS=Prunus persica GN=PRUPE_ppa016459mg PE=4 SV=1</t>
  </si>
  <si>
    <t>Uncharacterized protein OS=Prunus persica GN=PRUPE_ppa012752mg PE=4 SV=1</t>
  </si>
  <si>
    <t>Uncharacterized protein OS=Prunus persica GN=PRUPE_ppa007037mg PE=4 SV=1</t>
  </si>
  <si>
    <t>Uncharacterized protein OS=Prunus persica GN=PRUPE_ppa004032mg PE=4 SV=1</t>
  </si>
  <si>
    <t>Uncharacterized protein (Fragment) OS=Prunus persica GN=PRUPE_ppa020904mg PE=4 SV=1</t>
  </si>
  <si>
    <t>Uncharacterized protein OS=Prunus persica GN=PRUPE_ppa1027193mg PE=4 SV=1</t>
  </si>
  <si>
    <t>Cytosolic fructose-1,6-bisphosphatase OS=Fragaria ananassa PE=2 SV=1</t>
  </si>
  <si>
    <t>Uncharacterized protein OS=Prunus persica GN=PRUPE_ppa002788mg PE=4 SV=1</t>
  </si>
  <si>
    <t>50S ribosomal protein L35 OS=Prunus persica GN=PRUPE_ppa012843mg PE=3 SV=1</t>
  </si>
  <si>
    <t>Uncharacterized protein OS=Prunus persica GN=PRUPE_ppa004146mg PE=4 SV=1</t>
  </si>
  <si>
    <t>Uncharacterized protein (Fragment) OS=Erythranthe guttata GN=MIMGU_mgv11b021892mg PE=4 SV=1</t>
  </si>
  <si>
    <t>Uncharacterized protein (Fragment) OS=Prunus persica GN=PRUPE_ppb013861mg PE=4 SV=1</t>
  </si>
  <si>
    <t>Uncharacterized protein OS=Prunus persica GN=PRUPE_ppa000279mg PE=4 SV=1</t>
  </si>
  <si>
    <t>Uncharacterized protein OS=Prunus persica GN=PRUPE_ppa001458mg PE=4 SV=1</t>
  </si>
  <si>
    <t>Uncharacterized protein OS=Prunus persica GN=PRUPE_ppa007788mg PE=4 SV=1</t>
  </si>
  <si>
    <t>Myoglobin OS=Bos mutus GN=M91_19333 PE=3 SV=1</t>
  </si>
  <si>
    <t>Uncharacterized protein OS=Prunus persica GN=PRUPE_ppa007991mg PE=4 SV=1</t>
  </si>
  <si>
    <t>Uncharacterized protein OS=Prunus persica GN=PRUPE_ppa010857mg PE=4 SV=1</t>
  </si>
  <si>
    <t>Uncharacterized protein OS=Prunus persica GN=PRUPE_ppa007034mg PE=4 SV=1</t>
  </si>
  <si>
    <t>Uncharacterized protein OS=Prunus persica GN=PRUPE_ppb011184mg PE=4 SV=1</t>
  </si>
  <si>
    <t>Putative uncharacterized protein OS=Vitis vinifera GN=VIT_00s0204g00080 PE=4 SV=1</t>
  </si>
  <si>
    <t>Uncharacterized protein OS=Prunus persica GN=PRUPE_ppa008061mg PE=4 SV=1</t>
  </si>
  <si>
    <t>Uncharacterized protein OS=Prunus persica GN=PRUPE_ppa020933mg PE=4 SV=1</t>
  </si>
  <si>
    <t>Uncharacterized protein (Fragment) OS=Prunus persica GN=PRUPE_ppa004167m2g PE=4 SV=1</t>
  </si>
  <si>
    <t>Uncharacterized protein OS=Prunus persica GN=PRUPE_ppa001931mg PE=4 SV=1</t>
  </si>
  <si>
    <t>Uncharacterized protein OS=Prunus persica GN=PRUPE_ppa009438mg PE=4 SV=1</t>
  </si>
  <si>
    <t>Uncharacterized protein OS=Prunus persica GN=PRUPE_ppa011556mg PE=4 SV=1</t>
  </si>
  <si>
    <t>Uncharacterized protein OS=Prunus persica GN=PRUPE_ppa019502mg PE=4 SV=1</t>
  </si>
  <si>
    <t>Uncharacterized protein OS=Prunus persica GN=PRUPE_ppa001348mg PE=4 SV=1</t>
  </si>
  <si>
    <t>Uncharacterized protein OS=Prunus persica GN=PRUPE_ppa017707mg PE=4 SV=1</t>
  </si>
  <si>
    <t>Uncharacterized protein OS=Prunus persica GN=PRUPE_ppb023904mg PE=4 SV=1</t>
  </si>
  <si>
    <t>Uncharacterized protein (Fragment) OS=Prunus persica GN=PRUPE_ppa020121mg PE=4 SV=1</t>
  </si>
  <si>
    <t>Uncharacterized protein OS=Prunus persica GN=PRUPE_ppa012818mg PE=4 SV=1</t>
  </si>
  <si>
    <t>Uncharacterized protein OS=Prunus persica GN=PRUPE_ppa013653mg PE=4 SV=1</t>
  </si>
  <si>
    <t>Putative uncharacterized protein OS=Vitis vinifera GN=VITISV_035228 PE=4 SV=1</t>
  </si>
  <si>
    <t>Uncharacterized protein OS=Prunus persica GN=PRUPE_ppa011268mg PE=3 SV=1</t>
  </si>
  <si>
    <t>Uncharacterized protein OS=Prunus persica GN=PRUPE_ppa011324mg PE=4 SV=1</t>
  </si>
  <si>
    <t>Molybdenum cofactor sulfurase OS=Prunus persica GN=PRUPE_ppa001477mg PE=3 SV=1</t>
  </si>
  <si>
    <t>Uncharacterized protein OS=Prunus persica GN=PRUPE_ppa003322mg PE=4 SV=1</t>
  </si>
  <si>
    <t>Uncharacterized protein OS=Prunus persica GN=PRUPE_ppa004053mg PE=4 SV=1</t>
  </si>
  <si>
    <t>Uncharacterized protein OS=Prunus persica GN=PRUPE_ppa005903mg PE=4 SV=1</t>
  </si>
  <si>
    <t>Uncharacterized protein (Fragment) OS=Prunus persica GN=PRUPE_ppa000167m2g PE=4 SV=1</t>
  </si>
  <si>
    <t>HVA22-like protein OS=Prunus persica GN=PRUPE_ppa012712mg PE=3 SV=1</t>
  </si>
  <si>
    <t>Uncharacterized protein OS=Prunus persica GN=PRUPE_ppa004606mg PE=3 SV=1</t>
  </si>
  <si>
    <t>Uncharacterized protein OS=Prunus persica GN=PRUPE_ppa005466mg PE=4 SV=1</t>
  </si>
  <si>
    <t>Uncharacterized protein OS=Prunus persica GN=PRUPE_ppa000805mg PE=4 SV=1</t>
  </si>
  <si>
    <t>Uncharacterized protein OS=Prunus persica GN=PRUPE_ppa008354mg PE=3 SV=1</t>
  </si>
  <si>
    <t>Uncharacterized protein OS=Prunus persica GN=PRUPE_ppa006636mg PE=4 SV=1</t>
  </si>
  <si>
    <t>Uncharacterized protein OS=Prunus persica GN=PRUPE_ppa012228mg PE=4 SV=1</t>
  </si>
  <si>
    <t>Uncharacterized protein OS=Prunus persica GN=PRUPE_ppa000962mg PE=4 SV=1</t>
  </si>
  <si>
    <t>Uncharacterized protein OS=Prunus persica GN=PRUPE_ppa003813mg PE=4 SV=1</t>
  </si>
  <si>
    <t>Uncharacterized protein OS=Prunus persica GN=PRUPE_ppa008306mg PE=4 SV=1</t>
  </si>
  <si>
    <t>Uncharacterized protein OS=Prunus persica GN=PRUPE_ppa005586mg PE=4 SV=1</t>
  </si>
  <si>
    <t>Uncharacterized protein OS=Bos taurus GN=TNNC2 PE=4 SV=1</t>
  </si>
  <si>
    <t>Uncharacterized protein OS=Prunus persica GN=PRUPE_ppa017688mg PE=3 SV=1</t>
  </si>
  <si>
    <t>Uncharacterized protein OS=Jatropha curcas GN=JCGZ_16252 PE=4 SV=1</t>
  </si>
  <si>
    <t>Uncharacterized protein OS=Prunus persica GN=PRUPE_ppa023731mg PE=4 SV=1</t>
  </si>
  <si>
    <t>Uncharacterized protein OS=Prunus persica GN=PRUPE_ppa000495mg PE=3 SV=1</t>
  </si>
  <si>
    <t>Uncharacterized protein OS=Prunus persica GN=PRUPE_ppa010070mg PE=4 SV=1</t>
  </si>
  <si>
    <t>Uncharacterized protein OS=Prunus persica GN=PRUPE_ppa027148mg PE=3 SV=1</t>
  </si>
  <si>
    <t>Uncharacterized protein OS=Prunus persica GN=PRUPE_ppa004228mg PE=4 SV=1</t>
  </si>
  <si>
    <t>Uncharacterized protein OS=Prunus persica GN=PRUPE_ppa009728mg PE=4 SV=1</t>
  </si>
  <si>
    <t>Uncharacterized protein OS=Prunus persica GN=PRUPE_ppa013480mg PE=4 SV=1</t>
  </si>
  <si>
    <t>Uncharacterized protein OS=Prunus persica GN=PRUPE_ppa000249mg PE=4 SV=1</t>
  </si>
  <si>
    <t>Uncharacterized protein OS=Prunus persica GN=PRUPE_ppa007206mg PE=4 SV=1</t>
  </si>
  <si>
    <t>Uncharacterized protein OS=Prunus persica GN=PRUPE_ppa014669mg PE=4 SV=1</t>
  </si>
  <si>
    <t>Uncharacterized protein OS=Prunus persica GN=PRUPE_ppa002494mg PE=4 SV=1</t>
  </si>
  <si>
    <t>Uncharacterized protein OS=Prunus persica GN=PRUPE_ppa011850mg PE=4 SV=1</t>
  </si>
  <si>
    <t>Uncharacterized protein OS=Prunus persica GN=PRUPE_ppa003394mg PE=3 SV=1</t>
  </si>
  <si>
    <t>Cysteine synthase OS=Prunus persica GN=PRUPE_ppa007201mg PE=3 SV=1</t>
  </si>
  <si>
    <t>Uncharacterized protein OS=Prunus persica GN=PRUPE_ppa010779mg PE=4 SV=1</t>
  </si>
  <si>
    <t>Uncharacterized protein OS=Prunus persica GN=PRUPE_ppa012687mg PE=4 SV=1</t>
  </si>
  <si>
    <t>Uncharacterized protein OS=Prunus persica GN=PRUPE_ppa007406mg PE=4 SV=1</t>
  </si>
  <si>
    <t>Carboxypeptidase (Fragment) OS=Prunus persica GN=PRUPE_ppa023509mg PE=3 SV=1</t>
  </si>
  <si>
    <t>Uncharacterized protein OS=Prunus persica GN=PRUPE_ppa000156mg PE=3 SV=1</t>
  </si>
  <si>
    <t>Uncharacterized protein OS=Prunus persica GN=PRUPE_ppa025561mg PE=4 SV=1</t>
  </si>
  <si>
    <t>Uncharacterized protein OS=Prunus persica GN=PRUPE_ppa005670mg PE=4 SV=1</t>
  </si>
  <si>
    <t>Phosphatidylinositolglycan-related family protein OS=Populus trichocarpa GN=POPTR_0018s01810g PE=4 SV=2</t>
  </si>
  <si>
    <t>Uncharacterized protein OS=Prunus persica GN=PRUPE_ppa021696mg PE=4 SV=1</t>
  </si>
  <si>
    <t>Pectinesterase OS=Prunus persica GN=PRUPE_ppa004437mg PE=3 SV=1</t>
  </si>
  <si>
    <t>Uncharacterized protein OS=Prunus persica GN=PRUPE_ppa013716mg PE=4 SV=1</t>
  </si>
  <si>
    <t>Uncharacterized protein OS=Prunus persica GN=PRUPE_ppa011052mg PE=4 SV=1</t>
  </si>
  <si>
    <t>Uncharacterized protein OS=Prunus persica GN=PRUPE_ppa016173mg PE=4 SV=1</t>
  </si>
  <si>
    <t>Uncharacterized protein OS=Prunus persica GN=PRUPE_ppa000448mg PE=4 SV=1</t>
  </si>
  <si>
    <t>Uncharacterized protein OS=Prunus persica GN=PRUPE_ppa002193mg PE=4 SV=1</t>
  </si>
  <si>
    <t>Double-stranded DNA-binding protein OS=Arachis hypogaea PE=2 SV=1</t>
  </si>
  <si>
    <t>Uncharacterized protein OS=Prunus persica GN=PRUPE_ppa006456mg PE=4 SV=1</t>
  </si>
  <si>
    <t>Uncharacterized protein OS=Prunus persica GN=PRUPE_ppa003177mg PE=3 SV=1</t>
  </si>
  <si>
    <t>Uncharacterized protein OS=Prunus persica GN=PRUPE_ppa011309mg PE=4 SV=1</t>
  </si>
  <si>
    <t>Uncharacterized protein OS=Prunus persica GN=PRUPE_ppa003664mg PE=4 SV=1</t>
  </si>
  <si>
    <t>Uncharacterized protein OS=Prunus persica GN=PRUPE_ppa003342mg PE=4 SV=1</t>
  </si>
  <si>
    <t>Uncharacterized protein OS=Prunus persica GN=PRUPE_ppa012372mg PE=4 SV=1</t>
  </si>
  <si>
    <t>Uncharacterized protein OS=Prunus persica GN=PRUPE_ppa008925mg PE=4 SV=1</t>
  </si>
  <si>
    <t>Uncharacterized protein OS=Prunus persica GN=PRUPE_ppa004099mg PE=4 SV=1</t>
  </si>
  <si>
    <t>Uncharacterized protein OS=Prunus persica GN=PRUPE_ppa007504mg PE=4 SV=1</t>
  </si>
  <si>
    <t>Uncharacterized protein OS=Prunus persica GN=PRUPE_ppa003145mg PE=4 SV=1</t>
  </si>
  <si>
    <t>Uncharacterized protein OS=Prunus persica GN=PRUPE_ppa012887mg PE=4 SV=1</t>
  </si>
  <si>
    <t>GDP-mannose 3,5-epimerase 1 OS=Morus notabilis GN=L484_024576 PE=4 SV=1</t>
  </si>
  <si>
    <t>Uncharacterized protein OS=Prunus persica GN=PRUPE_ppa002501mg PE=4 SV=1</t>
  </si>
  <si>
    <t>Uncharacterized protein OS=Prunus persica GN=PRUPE_ppa003702mg PE=4 SV=1</t>
  </si>
  <si>
    <t>Uncharacterized protein OS=Prunus persica GN=PRUPE_ppa008872mg PE=4 SV=1</t>
  </si>
  <si>
    <t>Dam6 OS=Prunus persica GN=PpDAM6 PE=2 SV=1</t>
  </si>
  <si>
    <t>Uncharacterized protein OS=Prunus persica GN=PRUPE_ppa027055mg PE=4 SV=1</t>
  </si>
  <si>
    <t>Uncharacterized protein OS=Prunus persica GN=PRUPE_ppa000110mg PE=4 SV=1</t>
  </si>
  <si>
    <t>Uncharacterized protein OS=Prunus persica GN=PRUPE_ppa026704mg PE=4 SV=1</t>
  </si>
  <si>
    <t>Uncharacterized protein OS=Prunus persica GN=PRUPE_ppa007928mg PE=3 SV=1</t>
  </si>
  <si>
    <t>Uncharacterized protein OS=Prunus persica GN=PRUPE_ppa011155mg PE=4 SV=1</t>
  </si>
  <si>
    <t>Profilin OS=Prunus persica GN=PRUPE_ppa013278mg PE=3 SV=1</t>
  </si>
  <si>
    <t>Uncharacterized protein OS=Prunus persica GN=PRUPE_ppa003374mg PE=4 SV=1</t>
  </si>
  <si>
    <t>Uncharacterized protein OS=Prunus persica GN=PRUPE_ppa011162mg PE=4 SV=1</t>
  </si>
  <si>
    <t>Uncharacterized protein OS=Prunus persica GN=PRUPE_ppa012088mg PE=4 SV=1</t>
  </si>
  <si>
    <t>Uncharacterized protein OS=Prunus persica GN=PRUPE_ppa006908mg PE=4 SV=1</t>
  </si>
  <si>
    <t>Uncharacterized protein (Fragment) OS=Prunus persica GN=PRUPE_ppb017687mg PE=4 SV=1</t>
  </si>
  <si>
    <t>Uncharacterized protein OS=Prunus persica GN=PRUPE_ppa007816mg PE=4 SV=1</t>
  </si>
  <si>
    <t>Putative uncharacterized protein OS=Vitis vinifera GN=VITISV_019802 PE=4 SV=1</t>
  </si>
  <si>
    <t>PLATZ transcription factor family protein OS=Theobroma cacao GN=TCM_022356 PE=4 SV=1</t>
  </si>
  <si>
    <t>Uncharacterized protein OS=Jatropha curcas GN=JCGZ_12819 PE=4 SV=1</t>
  </si>
  <si>
    <t>Uncharacterized protein OS=Prunus persica GN=PRUPE_ppa006390mg PE=3 SV=1</t>
  </si>
  <si>
    <t>Mitochondrial, putative OS=Theobroma cacao GN=TCM_041086 PE=4 SV=1</t>
  </si>
  <si>
    <t>Uncharacterized protein OS=Prunus persica GN=PRUPE_ppa006654mg PE=4 SV=1</t>
  </si>
  <si>
    <t>Uncharacterized protein OS=Morus notabilis GN=L484_027070 PE=4 SV=1</t>
  </si>
  <si>
    <t>Uncharacterized protein OS=Prunus persica GN=PRUPE_ppa002783mg PE=4 SV=1</t>
  </si>
  <si>
    <t>Uncharacterized protein (Fragment) OS=Prunus persica GN=PRUPE_ppa018218mg PE=4 SV=1</t>
  </si>
  <si>
    <t>Uncharacterized protein OS=Prunus persica GN=PRUPE_ppa010214mg PE=4 SV=1</t>
  </si>
  <si>
    <t>Uncharacterized protein OS=Prunus persica GN=PRUPE_ppa023019mg PE=4 SV=1</t>
  </si>
  <si>
    <t>Uncharacterized protein OS=Prunus persica GN=PRUPE_ppa011491mg PE=4 SV=1</t>
  </si>
  <si>
    <t>Uncharacterized protein OS=Prunus persica GN=PRUPE_ppa017778mg PE=4 SV=1</t>
  </si>
  <si>
    <t>Uncharacterized protein OS=Prunus persica GN=PRUPE_ppa021918mg PE=4 SV=1</t>
  </si>
  <si>
    <t>Uncharacterized protein OS=Prunus persica GN=PRUPE_ppa012108mg PE=4 SV=1</t>
  </si>
  <si>
    <t>Uncharacterized protein OS=Prunus persica GN=PRUPE_ppa003696mg PE=4 SV=1</t>
  </si>
  <si>
    <t>Uncharacterized protein OS=Prunus persica GN=PRUPE_ppa000428mg PE=4 SV=1</t>
  </si>
  <si>
    <t>Sulfotransferase OS=Prunus persica GN=PRUPE_ppa004767mg PE=3 SV=1</t>
  </si>
  <si>
    <t>Uncharacterized protein OS=Prunus persica GN=PRUPE_ppa007299mg PE=4 SV=1</t>
  </si>
  <si>
    <t>Photoregulatory zinc-finger protein COP1 OS=Rosa hybrid cultivar PE=2 SV=1</t>
  </si>
  <si>
    <t>Uncharacterized protein OS=Prunus persica GN=PRUPE_ppa001257mg PE=4 SV=1</t>
  </si>
  <si>
    <t>Uncharacterized protein OS=Prunus persica GN=PRUPE_ppa023998mg PE=4 SV=1</t>
  </si>
  <si>
    <t>Kinesin-like protein OS=Solanum tuberosum GN=PGSC0003DMG400024505 PE=3 SV=1</t>
  </si>
  <si>
    <t>Uncharacterized protein OS=Prunus persica GN=PRUPE_ppa002326mg PE=4 SV=1</t>
  </si>
  <si>
    <t>Uncharacterized protein OS=Prunus persica GN=PRUPE_ppa020666mg PE=4 SV=1</t>
  </si>
  <si>
    <t>Uncharacterized protein OS=Prunus persica GN=PRUPE_ppa007746mg PE=4 SV=1</t>
  </si>
  <si>
    <t>Uncharacterized protein (Fragment) OS=Prunus persica GN=PRUPE_ppa025792mg PE=4 SV=1</t>
  </si>
  <si>
    <t>Uncharacterized protein OS=Prunus persica GN=PRUPE_ppa013917mg PE=4 SV=1</t>
  </si>
  <si>
    <t>Uncharacterized protein OS=Prunus persica GN=PRUPE_ppa006410mg PE=4 SV=1</t>
  </si>
  <si>
    <t>Uncharacterized protein OS=Prunus persica GN=PRUPE_ppa004561mg PE=4 SV=1</t>
  </si>
  <si>
    <t>Uncharacterized protein OS=Prunus persica GN=PRUPE_ppa008081mg PE=3 SV=1</t>
  </si>
  <si>
    <t>Uncharacterized protein OS=Prunus persica GN=PRUPE_ppa009670mg PE=4 SV=1</t>
  </si>
  <si>
    <t>Uncharacterized protein OS=Prunus persica GN=PRUPE_ppa003147mg PE=4 SV=1</t>
  </si>
  <si>
    <t>Uncharacterized protein OS=Prunus persica GN=PRUPE_ppa007935mg PE=4 SV=1</t>
  </si>
  <si>
    <t>Uncharacterized protein (Fragment) OS=Prunus persica GN=PRUPE_ppa026118mg PE=4 SV=1</t>
  </si>
  <si>
    <t>Uncharacterized protein OS=Prunus persica GN=PRUPE_ppa019614mg PE=4 SV=1</t>
  </si>
  <si>
    <t>Uncharacterized protein OS=Prunus persica GN=PRUPE_ppa007229mg PE=4 SV=1</t>
  </si>
  <si>
    <t>U6 snRNA phosphodiesterase OS=Prunus persica GN=PRUPE_ppa009680mg PE=3 SV=1</t>
  </si>
  <si>
    <t>Uncharacterized protein OS=Prunus persica GN=PRUPE_ppa002214mg PE=4 SV=1</t>
  </si>
  <si>
    <t>Putative sodium-dependent transporter yocS OS=Morus notabilis GN=L484_010991 PE=4 SV=1</t>
  </si>
  <si>
    <t>Uncharacterized protein OS=Prunus persica GN=PRUPE_ppa004641mg PE=4 SV=1</t>
  </si>
  <si>
    <t>Uncharacterized protein (Fragment) OS=Erythranthe guttata GN=MIMGU_mgv1a0189873mg PE=4 SV=1</t>
  </si>
  <si>
    <t>Uncharacterized protein OS=Prunus persica GN=PRUPE_ppa023543mg PE=4 SV=1</t>
  </si>
  <si>
    <t>Uncharacterized protein OS=Prunus persica GN=PRUPE_ppa019004mg PE=4 SV=1</t>
  </si>
  <si>
    <t>Uncharacterized protein OS=Prunus persica GN=PRUPE_ppa010224mg PE=3 SV=1</t>
  </si>
  <si>
    <t>Uncharacterized protein OS=Prunus persica GN=PRUPE_ppa006669mg PE=4 SV=1</t>
  </si>
  <si>
    <t>Uncharacterized protein OS=Prunus persica GN=PRUPE_ppa001272mg PE=4 SV=1</t>
  </si>
  <si>
    <t>Uncharacterized protein (Fragment) OS=Prunus persica GN=PRUPE_ppa023841mg PE=4 SV=1</t>
  </si>
  <si>
    <t>Uncharacterized protein OS=Prunus persica GN=PRUPE_ppa019161mg PE=4 SV=1</t>
  </si>
  <si>
    <t>Uncharacterized protein OS=Prunus persica GN=PRUPE_ppa012422mg PE=4 SV=1</t>
  </si>
  <si>
    <t>Uncharacterized protein OS=Prunus persica GN=PRUPE_ppa012354mg PE=4 SV=1</t>
  </si>
  <si>
    <t>Uncharacterized protein OS=Prunus persica GN=PRUPE_ppa010254mg PE=4 SV=1</t>
  </si>
  <si>
    <t>Uncharacterized protein OS=Prunus persica GN=PRUPE_ppa017050mg PE=4 SV=1</t>
  </si>
  <si>
    <t>Uncharacterized protein OS=Prunus persica GN=PRUPE_ppa012059mg PE=4 SV=1</t>
  </si>
  <si>
    <t>Uncharacterized protein OS=Prunus persica GN=PRUPE_ppa013179mg PE=3 SV=1</t>
  </si>
  <si>
    <t>Uncharacterized protein OS=Prunus persica GN=PRUPE_ppa006281mg PE=4 SV=1</t>
  </si>
  <si>
    <t>Uncharacterized protein OS=Prunus persica GN=PRUPE_ppa005151mg PE=4 SV=1</t>
  </si>
  <si>
    <t>Kinesin-like protein OS=Prunus persica GN=PRUPE_ppa000651mg PE=3 SV=1</t>
  </si>
  <si>
    <t>Uncharacterized protein (Fragment) OS=Prunus persica GN=PRUPE_ppa025929mg PE=4 SV=1</t>
  </si>
  <si>
    <t>Uncharacterized protein OS=Prunus persica GN=PRUPE_ppa009179mg PE=4 SV=1</t>
  </si>
  <si>
    <t>Uncharacterized protein OS=Prunus persica GN=PRUPE_ppa006332mg PE=4 SV=1</t>
  </si>
  <si>
    <t>Uncharacterized protein OS=Prunus persica GN=PRUPE_ppa022734mg PE=4 SV=1</t>
  </si>
  <si>
    <t>Uncharacterized protein OS=Gossypium raimondii GN=B456_006G025300 PE=4 SV=1</t>
  </si>
  <si>
    <t>Uncharacterized protein OS=Prunus persica GN=PRUPE_ppa000601mg PE=4 SV=1</t>
  </si>
  <si>
    <t>Uncharacterized protein OS=Prunus persica GN=PRUPE_ppa002622mg PE=4 SV=1</t>
  </si>
  <si>
    <t>Uncharacterized protein OS=Prunus persica GN=PRUPE_ppa009596mg PE=4 SV=1</t>
  </si>
  <si>
    <t>Uncharacterized protein OS=Prunus persica GN=PRUPE_ppa008117mg PE=4 SV=1</t>
  </si>
  <si>
    <t>Uncharacterized protein OS=Prunus persica GN=PRUPE_ppa002075mg PE=4 SV=1</t>
  </si>
  <si>
    <t>Uncharacterized protein OS=Prunus persica GN=PRUPE_ppa009428mg PE=4 SV=1</t>
  </si>
  <si>
    <t>Uncharacterized protein OS=Prunus persica GN=PRUPE_ppa005496mg PE=3 SV=1</t>
  </si>
  <si>
    <t>Pectate lyase OS=Prunus persica GN=PRUPE_ppa019055mg PE=3 SV=1</t>
  </si>
  <si>
    <t>Uncharacterized protein (Fragment) OS=Prunus persica GN=PRUPE_ppa024687mg PE=4 SV=1</t>
  </si>
  <si>
    <t>Uncharacterized protein OS=Prunus persica GN=PRUPE_ppa001615mg PE=3 SV=1</t>
  </si>
  <si>
    <t>Uncharacterized protein OS=Prunus persica GN=PRUPE_ppa016790mg PE=4 SV=1</t>
  </si>
  <si>
    <t>Uncharacterized protein OS=Prunus persica GN=PRUPE_ppa011095mg PE=4 SV=1</t>
  </si>
  <si>
    <t>Auxin-responsive protein OS=Prunus persica GN=PRUPE_ppa008953mg PE=3 SV=1</t>
  </si>
  <si>
    <t>Uncharacterized protein OS=Prunus persica GN=PRUPE_ppa009242mg PE=4 SV=1</t>
  </si>
  <si>
    <t>Uncharacterized protein (Fragment) OS=Prunus persica GN=PRUPE_ppa017866mg PE=4 SV=1</t>
  </si>
  <si>
    <t>ATP synthase subunit beta, chloroplastic OS=Prunus yedoensis GN=atpB PE=3 SV=1</t>
  </si>
  <si>
    <t>Uncharacterized protein OS=Prunus persica GN=PRUPE_ppa017295mg PE=4 SV=1</t>
  </si>
  <si>
    <t>Uncharacterized protein (Fragment) OS=Prunus persica GN=PRUPE_ppa015485mg PE=4 SV=1</t>
  </si>
  <si>
    <t>Uncharacterized protein OS=Prunus persica GN=PRUPE_ppa014198mg PE=4 SV=1</t>
  </si>
  <si>
    <t>Uncharacterized protein OS=Prunus persica GN=PRUPE_ppa012476mg PE=4 SV=1</t>
  </si>
  <si>
    <t>Uncharacterized protein OS=Prunus persica GN=PRUPE_ppa001574mg PE=4 SV=1</t>
  </si>
  <si>
    <t>Uncharacterized protein OS=Prunus persica GN=PRUPE_ppa020969mg PE=4 SV=1</t>
  </si>
  <si>
    <t>Uncharacterized protein OS=Prunus persica GN=PRUPE_ppa011121mg PE=4 SV=1</t>
  </si>
  <si>
    <t>Uncharacterized protein OS=Prunus persica GN=PRUPE_ppa003753mg PE=4 SV=1</t>
  </si>
  <si>
    <t>Uncharacterized protein OS=Prunus persica GN=PRUPE_ppa003969mg PE=4 SV=1</t>
  </si>
  <si>
    <t>Uncharacterized protein OS=Prunus persica GN=PRUPE_ppa004812mg PE=4 SV=1</t>
  </si>
  <si>
    <t>Putative uncharacterized protein (Fragment) OS=Vitis vinifera GN=VIT_00s2213g00010 PE=4 SV=1</t>
  </si>
  <si>
    <t>Uncharacterized protein OS=Prunus persica GN=PRUPE_ppa013074mg PE=4 SV=1</t>
  </si>
  <si>
    <t>Uncharacterized protein (Fragment) OS=Prunus persica GN=PRUPE_ppa020136mg PE=4 SV=1</t>
  </si>
  <si>
    <t>Uncharacterized protein OS=Prunus persica GN=PRUPE_ppa022098mg PE=4 SV=1</t>
  </si>
  <si>
    <t>Uncharacterized protein OS=Morus notabilis GN=L484_009505 PE=4 SV=1</t>
  </si>
  <si>
    <t>Uncharacterized protein OS=Prunus persica GN=PRUPE_ppa003240mg PE=4 SV=1</t>
  </si>
  <si>
    <t>Uncharacterized protein OS=Prunus persica GN=PRUPE_ppa010437mg PE=4 SV=1</t>
  </si>
  <si>
    <t>Uncharacterized protein OS=Prunus persica GN=PRUPE_ppa003467mg PE=4 SV=1</t>
  </si>
  <si>
    <t>Uncharacterized protein OS=Prunus persica GN=PRUPE_ppa006768mg PE=4 SV=1</t>
  </si>
  <si>
    <t>Uncharacterized protein OS=Prunus persica GN=PRUPE_ppa011372mg PE=4 SV=1</t>
  </si>
  <si>
    <t>Uncharacterized protein OS=Prunus persica GN=PRUPE_ppb013496mg PE=3 SV=1</t>
  </si>
  <si>
    <t>Uncharacterized protein OS=Prunus persica GN=PRUPE_ppa008448mg PE=4 SV=1</t>
  </si>
  <si>
    <t>Uncharacterized protein OS=Prunus persica GN=PRUPE_ppa008302mg PE=4 SV=1</t>
  </si>
  <si>
    <t>Lipoyl synthase, mitochondrial OS=Prunus persica GN=LIP1 PE=3 SV=1</t>
  </si>
  <si>
    <t>Uncharacterized protein OS=Prunus persica GN=PRUPE_ppa014258mg PE=4 SV=1</t>
  </si>
  <si>
    <t>Uncharacterized protein OS=Prunus persica GN=PRUPE_ppa023106mg PE=4 SV=1</t>
  </si>
  <si>
    <t>Uncharacterized protein OS=Cucumis sativus GN=Csa_5G571490 PE=4 SV=1</t>
  </si>
  <si>
    <t>Uncharacterized protein OS=Prunus persica GN=PRUPE_ppa009630mg PE=3 SV=1</t>
  </si>
  <si>
    <t>Uncharacterized protein OS=Prunus persica GN=PRUPE_ppa018085mg PE=4 SV=1</t>
  </si>
  <si>
    <t>Uncharacterized protein OS=Prunus persica GN=PRUPE_ppa012879mg PE=4 SV=1</t>
  </si>
  <si>
    <t>Xyloglucan endotransglucosylase/hydrolase OS=Prunus persica GN=PRUPE_ppa007943mg PE=3 SV=1</t>
  </si>
  <si>
    <t>Chromosome transmission fidelity protein 18-like protein OS=Morus notabilis GN=L484_007387 PE=4 SV=1</t>
  </si>
  <si>
    <t>Uncharacterized protein OS=Prunus persica GN=PRUPE_ppa003991mg PE=4 SV=1</t>
  </si>
  <si>
    <t>Uncharacterized protein OS=Prunus persica GN=PRUPE_ppb018863mg PE=4 SV=1</t>
  </si>
  <si>
    <t>Uncharacterized protein OS=Prunus persica GN=PRUPE_ppa009272mg PE=4 SV=1</t>
  </si>
  <si>
    <t>Uncharacterized protein OS=Prunus persica GN=PRUPE_ppa025628mg PE=4 SV=1</t>
  </si>
  <si>
    <t>Uncharacterized protein OS=Prunus persica GN=PRUPE_ppa001495mg PE=4 SV=1</t>
  </si>
  <si>
    <t>Uncharacterized protein OS=Cucumis sativus GN=Csa_3G129670 PE=4 SV=1</t>
  </si>
  <si>
    <t>Uncharacterized protein (Fragment) OS=Prunus persica GN=PRUPE_ppa019125mg PE=4 SV=1</t>
  </si>
  <si>
    <t>Uncharacterized protein (Fragment) OS=Prunus persica GN=PRUPE_ppa025235mg PE=4 SV=1</t>
  </si>
  <si>
    <t>Uncharacterized protein OS=Prunus persica GN=PRUPE_ppa011531mg PE=3 SV=1</t>
  </si>
  <si>
    <t>Epsilon-adaptin family protein OS=Populus trichocarpa GN=POPTR_0004s24340g PE=4 SV=1</t>
  </si>
  <si>
    <t>Uncharacterized protein (Fragment) OS=Prunus persica GN=PRUPE_ppa016112mg PE=4 SV=1</t>
  </si>
  <si>
    <t>Uncharacterized protein OS=Prunus persica GN=PRUPE_ppa014649mg PE=4 SV=1</t>
  </si>
  <si>
    <t>Uncharacterized protein OS=Prunus persica GN=PRUPE_ppa001500mg PE=4 SV=1</t>
  </si>
  <si>
    <t>Uncharacterized protein OS=Prunus persica GN=PRUPE_ppa007774mg PE=4 SV=1</t>
  </si>
  <si>
    <t>Uncharacterized protein OS=Solanum lycopersicum GN=Solyc12g008410.1 PE=4 SV=1</t>
  </si>
  <si>
    <t>Uncharacterized protein OS=Prunus persica GN=PRUPE_ppa004645mg PE=4 SV=1</t>
  </si>
  <si>
    <t>Uncharacterized protein (Fragment) OS=Prunus persica GN=PRUPE_ppa023472mg PE=4 SV=1</t>
  </si>
  <si>
    <t>Uncharacterized protein OS=Prunus persica GN=PRUPE_ppa005335mg PE=4 SV=1</t>
  </si>
  <si>
    <t>Uncharacterized protein OS=Prunus persica GN=PRUPE_ppa010880mg PE=4 SV=1</t>
  </si>
  <si>
    <t>Uncharacterized protein OS=Prunus persica GN=PRUPE_ppa006206mg PE=4 SV=1</t>
  </si>
  <si>
    <t>Uncharacterized protein OS=Prunus persica GN=PRUPE_ppa003933mg PE=4 SV=1</t>
  </si>
  <si>
    <t>Uncharacterized protein OS=Prunus persica GN=PRUPE_ppa003643mg PE=4 SV=1</t>
  </si>
  <si>
    <t>Uncharacterized protein OS=Prunus persica GN=PRUPE_ppa000457mg PE=4 SV=1</t>
  </si>
  <si>
    <t>Chaperonin 60 subunit alpha 2 OS=Morus notabilis GN=L484_018489 PE=3 SV=1</t>
  </si>
  <si>
    <t>60S ribosomal protein L13 OS=Prunus persica GN=PRUPE_ppa011506mg PE=3 SV=1</t>
  </si>
  <si>
    <t>Uncharacterized protein OS=Prunus persica GN=PRUPE_ppa019618mg PE=4 SV=1</t>
  </si>
  <si>
    <t>Uncharacterized protein (Fragment) OS=Prunus persica GN=PRUPE_ppa021844mg PE=4 SV=1</t>
  </si>
  <si>
    <t>Uncharacterized protein OS=Prunus persica GN=PRUPE_ppa002182mg PE=4 SV=1</t>
  </si>
  <si>
    <t>Uncharacterized protein OS=Prunus persica GN=PRUPE_ppa000548mg PE=4 SV=1</t>
  </si>
  <si>
    <t>Uncharacterized protein OS=Prunus persica GN=PRUPE_ppa010119mg PE=4 SV=1</t>
  </si>
  <si>
    <t>Uncharacterized protein OS=Prunus persica GN=PRUPE_ppa004270mg PE=4 SV=1</t>
  </si>
  <si>
    <t>Uncharacterized protein OS=Prunus persica GN=PRUPE_ppa001498mg PE=4 SV=1</t>
  </si>
  <si>
    <t>Serine/threonine-protein phosphatase OS=Prunus persica GN=PRUPE_ppa001177mg PE=3 SV=1</t>
  </si>
  <si>
    <t>Uncharacterized protein OS=Cucumis sativus GN=Csa_6G384060 PE=4 SV=1</t>
  </si>
  <si>
    <t>Pectinesterase OS=Prunus persica GN=PRUPE_ppa007112mg PE=3 SV=1</t>
  </si>
  <si>
    <t>Uncharacterized protein (Fragment) OS=Prunus persica GN=PRUPE_ppa025213mg PE=4 SV=1</t>
  </si>
  <si>
    <t>Uncharacterized protein OS=Prunus persica GN=PRUPE_ppa006678mg PE=4 SV=1</t>
  </si>
  <si>
    <t>Uncharacterized protein OS=Prunus persica GN=PRUPE_ppa026873mg PE=4 SV=1</t>
  </si>
  <si>
    <t>Uncharacterized protein OS=Prunus persica GN=PRUPE_ppa009890mg PE=3 SV=1</t>
  </si>
  <si>
    <t>Uncharacterized protein OS=Prunus persica GN=PRUPE_ppa004375mg PE=3 SV=1</t>
  </si>
  <si>
    <t>Uncharacterized protein OS=Prunus persica GN=PRUPE_ppa024214mg PE=4 SV=1</t>
  </si>
  <si>
    <t>Uncharacterized protein OS=Fusarium oxysporum f. sp. lycopersici (strain 4287 / CBS 123668 / FGSC 9935 / NRRL 34936) GN=FOXG_13628 PE=3 SV=1</t>
  </si>
  <si>
    <t>Uncharacterized protein OS=Prunus persica GN=PRUPE_ppa011731mg PE=4 SV=1</t>
  </si>
  <si>
    <t>Uncharacterized protein OS=Prunus persica GN=PRUPE_ppa003290mg PE=4 SV=1</t>
  </si>
  <si>
    <t>Uncharacterized protein (Fragment) OS=Prunus persica GN=PRUPE_ppa016689mg PE=4 SV=1</t>
  </si>
  <si>
    <t>Uncharacterized protein (Fragment) OS=Prunus persica GN=PRUPE_ppb022045mg PE=4 SV=1</t>
  </si>
  <si>
    <t>Putative uncharacterized protein OS=Vitis vinifera GN=VIT_12s0057g00860 PE=4 SV=1</t>
  </si>
  <si>
    <t>Uncharacterized protein OS=Prunus persica GN=PRUPE_ppa005299mg PE=4 SV=1</t>
  </si>
  <si>
    <t>Uncharacterized protein OS=Prunus persica GN=PRUPE_ppa007073mg PE=4 SV=1</t>
  </si>
  <si>
    <t>Uncharacterized protein OS=Prunus persica GN=PRUPE_ppa000829mg PE=4 SV=1</t>
  </si>
  <si>
    <t>Uncharacterized protein OS=Prunus persica GN=PRUPE_ppa000607mg PE=4 SV=1</t>
  </si>
  <si>
    <t>Uncharacterized protein OS=Prunus persica GN=PRUPE_ppa007600mg PE=3 SV=1</t>
  </si>
  <si>
    <t>Uncharacterized protein OS=Citrus clementina GN=CICLE_v10008496mg PE=4 SV=1</t>
  </si>
  <si>
    <t>Uncharacterized protein OS=Prunus persica GN=PRUPE_ppa005467mg PE=4 SV=1</t>
  </si>
  <si>
    <t>Uncharacterized protein OS=Prunus persica GN=PRUPE_ppa010560mg PE=3 SV=1</t>
  </si>
  <si>
    <t>Uncharacterized protein OS=Prunus persica GN=PRUPE_ppa021541mg PE=4 SV=1</t>
  </si>
  <si>
    <t>Uncharacterized protein OS=Prunus persica GN=PRUPE_ppa024659mg PE=4 SV=1</t>
  </si>
  <si>
    <t>Uncharacterized protein OS=Prunus persica GN=PRUPE_ppa006564mg PE=4 SV=1</t>
  </si>
  <si>
    <t>Uncharacterized protein OS=Prunus persica GN=PRUPE_ppa010890mg PE=4 SV=1</t>
  </si>
  <si>
    <t>Uncharacterized protein (Fragment) OS=Prunus persica GN=PRUPE_ppa019736mg PE=3 SV=1</t>
  </si>
  <si>
    <t>Uncharacterized protein OS=Prunus persica GN=PRUPE_ppa003787mg PE=4 SV=1</t>
  </si>
  <si>
    <t>Uncharacterized protein OS=Prunus persica GN=PRUPE_ppa024272mg PE=3 SV=1</t>
  </si>
  <si>
    <t>Uncharacterized protein OS=Prunus persica GN=PRUPE_ppa011105mg PE=3 SV=1</t>
  </si>
  <si>
    <t>Uncharacterized protein OS=Prunus persica GN=PRUPE_ppa001737mg PE=4 SV=1</t>
  </si>
  <si>
    <t>Uncharacterized protein OS=Prunus persica GN=PRUPE_ppa010906mg PE=4 SV=1</t>
  </si>
  <si>
    <t>Chaperone protein dnaJ 49 OS=Morus notabilis GN=L484_022392 PE=4 SV=1</t>
  </si>
  <si>
    <t>Uncharacterized protein OS=Prunus persica GN=PRUPE_ppa014216mg PE=4 SV=1</t>
  </si>
  <si>
    <t>Uncharacterized protein OS=Prunus persica GN=PRUPE_ppa000172mg PE=3 SV=1</t>
  </si>
  <si>
    <t>Uncharacterized protein (Fragment) OS=Prunus persica GN=PRUPE_ppa025669mg PE=3 SV=1</t>
  </si>
  <si>
    <t>Uncharacterized protein OS=Prunus persica GN=PRUPE_ppa012330mg PE=3 SV=1</t>
  </si>
  <si>
    <t>Uncharacterized protein OS=Prunus persica GN=PRUPE_ppa000683mg PE=3 SV=1</t>
  </si>
  <si>
    <t>Uncharacterized protein OS=Prunus persica GN=PRUPE_ppa005904mg PE=4 SV=1</t>
  </si>
  <si>
    <t>Uncharacterized protein OS=Prunus persica GN=PRUPE_ppa006573mg PE=4 SV=1</t>
  </si>
  <si>
    <t>Uncharacterized protein (Fragment) OS=Prunus persica GN=PRUPE_ppa015486mg PE=4 SV=1</t>
  </si>
  <si>
    <t>Uncharacterized protein OS=Prunus persica GN=PRUPE_ppa004279mg PE=4 SV=1</t>
  </si>
  <si>
    <t>Uncharacterized protein OS=Prunus persica GN=PRUPE_ppa009194mg PE=4 SV=1</t>
  </si>
  <si>
    <t>Uncharacterized protein OS=Zea mays PE=4 SV=1</t>
  </si>
  <si>
    <t>Uncharacterized protein OS=Prunus persica GN=PRUPE_ppa001786mg PE=4 SV=1</t>
  </si>
  <si>
    <t>Uncharacterized protein OS=Prunus persica GN=PRUPE_ppa001960mg PE=4 SV=1</t>
  </si>
  <si>
    <t>Uncharacterized protein OS=Prunus persica GN=PRUPE_ppa001073mg PE=4 SV=1</t>
  </si>
  <si>
    <t>Uncharacterized protein OS=Prunus persica GN=PRUPE_ppa011801mg PE=4 SV=1</t>
  </si>
  <si>
    <t>Uncharacterized protein OS=Prunus persica GN=PRUPE_ppa023846mg PE=4 SV=1</t>
  </si>
  <si>
    <t>Uncharacterized protein OS=Prunus persica GN=PRUPE_ppa019295mg PE=4 SV=1</t>
  </si>
  <si>
    <t>Uncharacterized protein OS=Prunus persica GN=PRUPE_ppa021774mg PE=4 SV=1</t>
  </si>
  <si>
    <t>Uncharacterized protein OS=Prunus persica GN=PRUPE_ppa024216mg PE=4 SV=1</t>
  </si>
  <si>
    <t>Uncharacterized protein OS=Prunus persica GN=PRUPE_ppa021097mg PE=4 SV=1</t>
  </si>
  <si>
    <t>S-(hydroxymethyl)glutathione dehydrogenase OS=Eucalyptus grandis GN=EUGRSUZ_K01401 PE=3 SV=1</t>
  </si>
  <si>
    <t>Uncharacterized protein OS=Prunus persica GN=PRUPE_ppa013859mg PE=4 SV=1</t>
  </si>
  <si>
    <t>Uncharacterized protein OS=Prunus persica GN=PRUPE_ppa002481mg PE=4 SV=1</t>
  </si>
  <si>
    <t>Uncharacterized protein OS=Prunus persica GN=PRUPE_ppa017792mg PE=4 SV=1</t>
  </si>
  <si>
    <t>Uncharacterized protein OS=Prunus persica GN=PRUPE_ppa011858mg PE=3 SV=1</t>
  </si>
  <si>
    <t>Uncharacterized protein OS=Prunus persica GN=PRUPE_ppa007710mg PE=3 SV=1</t>
  </si>
  <si>
    <t>Uncharacterized protein OS=Prunus persica GN=PRUPE_ppa017214mg PE=4 SV=1</t>
  </si>
  <si>
    <t>Glucose-6-phosphate 1-dehydrogenase OS=Prunus persica GN=PRUPE_ppa015545mg PE=3 SV=1</t>
  </si>
  <si>
    <t>Uncharacterized protein (Fragment) OS=Prunus persica GN=PRUPE_ppa021122mg PE=4 SV=1</t>
  </si>
  <si>
    <t>2-C-methyl-D-erythritol 2,4-cyclodiphosphate synthase OS=Prunus persica GN=PRUPE_ppa010644mg PE=3 SV=1</t>
  </si>
  <si>
    <t>Uncharacterized protein OS=Prunus persica GN=PRUPE_ppa008583mg PE=4 SV=1</t>
  </si>
  <si>
    <t>Uncharacterized protein OS=Prunus persica GN=PRUPE_ppa023619mg PE=4 SV=1</t>
  </si>
  <si>
    <t>Uncharacterized protein (Fragment) OS=Prunus persica GN=PRUPE_ppa019327mg PE=4 SV=1</t>
  </si>
  <si>
    <t>Uncharacterized protein OS=Prunus persica GN=PRUPE_ppa000091mg PE=3 SV=1</t>
  </si>
  <si>
    <t>Uncharacterized protein OS=Prunus persica GN=PRUPE_ppa000096mg PE=4 SV=1</t>
  </si>
  <si>
    <t>Uncharacterized protein OS=Prunus persica GN=PRUPE_ppa003614mg PE=4 SV=1</t>
  </si>
  <si>
    <t>Uncharacterized protein OS=Prunus persica GN=PRUPE_ppa024881mg PE=4 SV=1</t>
  </si>
  <si>
    <t>Uncharacterized protein OS=Prunus persica GN=PRUPE_ppa016318mg PE=4 SV=1</t>
  </si>
  <si>
    <t>Uncharacterized protein OS=Prunus persica GN=PRUPE_ppa009250mg PE=4 SV=1</t>
  </si>
  <si>
    <t>Uncharacterized protein OS=Prunus persica GN=PRUPE_ppa002460mg PE=4 SV=1</t>
  </si>
  <si>
    <t>Uncharacterized protein OS=Prunus persica GN=PRUPE_ppa011477mg PE=3 SV=1</t>
  </si>
  <si>
    <t>Uncharacterized protein OS=Prunus persica GN=PRUPE_ppa008411mg PE=4 SV=1</t>
  </si>
  <si>
    <t>Uncharacterized protein OS=Prunus persica GN=PRUPE_ppa018345mg PE=4 SV=1</t>
  </si>
  <si>
    <t>Uncharacterized protein OS=Prunus persica GN=PRUPE_ppa005099mg PE=4 SV=1</t>
  </si>
  <si>
    <t>Uncharacterized protein OS=Prunus persica GN=PRUPE_ppa005547mg PE=4 SV=1</t>
  </si>
  <si>
    <t>Uncharacterized protein OS=Prunus persica GN=PRUPE_ppa011304mg PE=4 SV=1</t>
  </si>
  <si>
    <t>Phytochrome OS=Prunus persica GN=PRUPE_ppa000506mg PE=3 SV=1</t>
  </si>
  <si>
    <t>Uncharacterized protein OS=Prunus persica GN=PRUPE_ppa000086mg PE=4 SV=1</t>
  </si>
  <si>
    <t>Uncharacterized protein (Fragment) OS=Prunus persica GN=PRUPE_ppa019445mg PE=4 SV=1</t>
  </si>
  <si>
    <t>Pectate lyase OS=Prunus persica GN=PRUPE_ppa007270mg PE=3 SV=1</t>
  </si>
  <si>
    <t>Sterol regulatory element-binding protein site 2 protease OS=Cucumis melo subsp. melo PE=4 SV=1</t>
  </si>
  <si>
    <t>Uncharacterized protein (Fragment) OS=Prunus persica GN=PRUPE_ppa024883mg PE=4 SV=1</t>
  </si>
  <si>
    <t>Uncharacterized protein OS=Prunus persica GN=PRUPE_ppa006881mg PE=4 SV=1</t>
  </si>
  <si>
    <t>Uncharacterized protein OS=Prunus persica GN=PRUPE_ppa004946mg PE=4 SV=1</t>
  </si>
  <si>
    <t>Uncharacterized protein OS=Prunus persica GN=PRUPE_ppa008733mg PE=4 SV=1</t>
  </si>
  <si>
    <t>Aspartate aminotransferase OS=Prunus persica GN=PRUPE_ppa005369mg PE=3 SV=1</t>
  </si>
  <si>
    <t>Uncharacterized protein OS=Prunus persica GN=PRUPE_ppa002812mg PE=4 SV=1</t>
  </si>
  <si>
    <t>Formin-like protein OS=Prunus persica GN=PRUPE_ppa001116mg PE=3 SV=1</t>
  </si>
  <si>
    <t>Uncharacterized protein OS=Prunus persica GN=PRUPE_ppa024290mg PE=4 SV=1</t>
  </si>
  <si>
    <t>Uncharacterized protein OS=Eucalyptus grandis GN=EUGRSUZ_C02416 PE=4 SV=1</t>
  </si>
  <si>
    <t>Uncharacterized protein OS=Prunus persica GN=PRUPE_ppa005314mg PE=4 SV=1</t>
  </si>
  <si>
    <t>Uncharacterized protein (Fragment) OS=Prunus persica GN=PRUPE_ppa026576mg PE=4 SV=1</t>
  </si>
  <si>
    <t>Uncharacterized protein OS=Prunus persica GN=PRUPE_ppa009259mg PE=4 SV=1</t>
  </si>
  <si>
    <t>Coiled-coil domain-containing protein 109A isoform 2 OS=Theobroma cacao GN=TCM_046937 PE=4 SV=1</t>
  </si>
  <si>
    <t>Uncharacterized protein OS=Prunus persica GN=PRUPE_ppa012463mg PE=4 SV=1</t>
  </si>
  <si>
    <t>Uncharacterized protein OS=Prunus persica GN=PRUPE_ppa010033mg PE=4 SV=1</t>
  </si>
  <si>
    <t>Uncharacterized protein (Fragment) OS=Prunus persica GN=PRUPE_ppa026940mg PE=4 SV=1</t>
  </si>
  <si>
    <t>Uncharacterized protein (Fragment) OS=Prunus persica GN=PRUPE_ppa015262mg PE=3 SV=1</t>
  </si>
  <si>
    <t>Uncharacterized protein OS=Prunus persica GN=PRUPE_ppa021168mg PE=4 SV=1</t>
  </si>
  <si>
    <t>Uncharacterized protein OS=Prunus persica GN=PRUPE_ppa026913mg PE=4 SV=1</t>
  </si>
  <si>
    <t>Glucose-6-phosphate isomerase OS=Prunus persica GN=PRUPE_ppa002932mg PE=3 SV=1</t>
  </si>
  <si>
    <t>Uncharacterized protein OS=Prunus persica GN=PRUPE_ppa010902mg PE=3 SV=1</t>
  </si>
  <si>
    <t>Uncharacterized protein OS=Prunus persica GN=PRUPE_ppa013295mg PE=4 SV=1</t>
  </si>
  <si>
    <t>Uncharacterized protein OS=Prunus persica GN=PRUPE_ppa001901mg PE=3 SV=1</t>
  </si>
  <si>
    <t>Uncharacterized protein OS=Prunus persica GN=PRUPE_ppa012704mg PE=4 SV=1</t>
  </si>
  <si>
    <t>Uncharacterized protein OS=Prunus persica GN=PRUPE_ppa000263mg PE=4 SV=1</t>
  </si>
  <si>
    <t>Uncharacterized protein OS=Prunus persica GN=PRUPE_ppa012738mg PE=4 SV=1</t>
  </si>
  <si>
    <t>D-galactokinase OS=Prunus persica GN=AGK PE=2 SV=1</t>
  </si>
  <si>
    <t>Glutamate receptor OS=Prunus persica GN=PRUPE_ppa019950mg PE=3 SV=1</t>
  </si>
  <si>
    <t>Uncharacterized protein OS=Prunus persica GN=PRUPE_ppa011902mg PE=4 SV=1</t>
  </si>
  <si>
    <t>Uncharacterized protein OS=Prunus persica GN=PRUPE_ppa002887mg PE=4 SV=1</t>
  </si>
  <si>
    <t>Uncharacterized protein OS=Prunus persica GN=PRUPE_ppa011665mg PE=4 SV=1</t>
  </si>
  <si>
    <t>Uncharacterized protein OS=Prunus persica GN=PRUPE_ppa001841mg PE=4 SV=1</t>
  </si>
  <si>
    <t>Uncharacterized protein OS=Prunus persica GN=PRUPE_ppa015299mg PE=4 SV=1</t>
  </si>
  <si>
    <t>E3 ubiquitin-protein ligase OS=Prunus persica GN=PRUPE_ppa003531mg PE=3 SV=1</t>
  </si>
  <si>
    <t>Uncharacterized protein OS=Prunus persica GN=PRUPE_ppa001342mg PE=4 SV=1</t>
  </si>
  <si>
    <t>Uncharacterized protein OS=Prunus persica GN=PRUPE_ppa004983mg PE=4 SV=1</t>
  </si>
  <si>
    <t>Uncharacterized protein OS=Prunus persica GN=PRUPE_ppa012043mg PE=4 SV=1</t>
  </si>
  <si>
    <t>Uncharacterized protein OS=Prunus persica GN=PRUPE_ppa024565mg PE=4 SV=1</t>
  </si>
  <si>
    <t>Uncharacterized protein OS=Prunus persica GN=PRUPE_ppa001943mg PE=4 SV=1</t>
  </si>
  <si>
    <t>Uncharacterized protein OS=Prunus persica GN=PRUPE_ppa007656mg PE=4 SV=1</t>
  </si>
  <si>
    <t>Uncharacterized protein OS=Prunus persica GN=PRUPE_ppa006425mg PE=4 SV=1</t>
  </si>
  <si>
    <t>Uncharacterized protein OS=Prunus persica GN=PRUPE_ppa003181mg PE=4 SV=1</t>
  </si>
  <si>
    <t>Uncharacterized protein OS=Prunus persica GN=PRUPE_ppa008915mg PE=4 SV=1</t>
  </si>
  <si>
    <t>Uncharacterized protein OS=Prunus persica GN=PRUPE_ppa004369mg PE=3 SV=1</t>
  </si>
  <si>
    <t>Uncharacterized protein OS=Prunus persica GN=PRUPE_ppa022781mg PE=4 SV=1</t>
  </si>
  <si>
    <t>Uncharacterized protein OS=Prunus persica GN=PRUPE_ppa007481mg PE=4 SV=1</t>
  </si>
  <si>
    <t>Putative CC-NBS-LRR resistance protein OS=Malus domestica GN=Md49N23_SdRGH1.070 PE=4 SV=1</t>
  </si>
  <si>
    <t>Uncharacterized protein OS=Prunus persica GN=PRUPE_ppa015837mg PE=4 SV=1</t>
  </si>
  <si>
    <t>Uncharacterized protein OS=Prunus persica GN=PRUPE_ppa001963mg PE=4 SV=1</t>
  </si>
  <si>
    <t>Uncharacterized protein OS=Prunus persica GN=PRUPE_ppa024329mg PE=4 SV=1</t>
  </si>
  <si>
    <t>Uncharacterized protein OS=Prunus persica GN=PRUPE_ppa011314mg PE=3 SV=1</t>
  </si>
  <si>
    <t>Uncharacterized protein OS=Prunus persica GN=PRUPE_ppa021227mg PE=4 SV=1</t>
  </si>
  <si>
    <t>Uncharacterized protein OS=Jatropha curcas GN=JCGZ_15100 PE=4 SV=1</t>
  </si>
  <si>
    <t>Uncharacterized protein (Fragment) OS=Prunus persica GN=PRUPE_ppa024165mg PE=4 SV=1</t>
  </si>
  <si>
    <t>Uncharacterized protein OS=Prunus persica GN=PRUPE_ppa001509mg PE=4 SV=1</t>
  </si>
  <si>
    <t>Nematode resistance-like protein OS=Prunus cerasifera PE=4 SV=1</t>
  </si>
  <si>
    <t>Uncharacterized protein (Fragment) OS=Prunus persica GN=PRUPE_ppa024417mg PE=4 SV=1</t>
  </si>
  <si>
    <t>Uncharacterized protein OS=Prunus persica GN=PRUPE_ppa005640mg PE=4 SV=1</t>
  </si>
  <si>
    <t>NADH-ubiquinone oxidoreductase chain 4 OS=Beta macrocarpa GN=orf288 PE=3 SV=1</t>
  </si>
  <si>
    <t>Uncharacterized protein (Fragment) OS=Prunus persica GN=PRUPE_ppa020239mg PE=4 SV=1</t>
  </si>
  <si>
    <t>Uncharacterized protein OS=Prunus persica GN=PRUPE_ppa004245mg PE=4 SV=1</t>
  </si>
  <si>
    <t>Uncharacterized protein OS=Prunus persica GN=PRUPE_ppa020302mg PE=4 SV=1</t>
  </si>
  <si>
    <t>Potassium transporter OS=Prunus persica GN=KUP2 PE=2 SV=1</t>
  </si>
  <si>
    <t>Hexosyltransferase OS=Prunus persica GN=PRUPE_ppa021809mg PE=3 SV=1</t>
  </si>
  <si>
    <t>Uncharacterized protein OS=Prunus persica GN=PRUPE_ppa003515mg PE=4 SV=1</t>
  </si>
  <si>
    <t>Uncharacterized protein OS=Prunus persica GN=PRUPE_ppa012877mg PE=4 SV=1</t>
  </si>
  <si>
    <t>Uncharacterized protein OS=Prunus persica GN=PRUPE_ppa009941mg PE=3 SV=1</t>
  </si>
  <si>
    <t>Uncharacterized protein (Fragment) OS=Prunus persica GN=PRUPE_ppa022273mg PE=4 SV=1</t>
  </si>
  <si>
    <t>Uncharacterized protein OS=Prunus persica GN=PRUPE_ppa005897mg PE=4 SV=1</t>
  </si>
  <si>
    <t>Uncharacterized protein OS=Prunus persica GN=PRUPE_ppa002919mg PE=4 SV=1</t>
  </si>
  <si>
    <t>Uncharacterized protein OS=Prunus persica GN=PRUPE_ppa002048mg PE=4 SV=1</t>
  </si>
  <si>
    <t>Uncharacterized protein OS=Prunus persica GN=PRUPE_ppa004350mg PE=4 SV=1</t>
  </si>
  <si>
    <t>Uncharacterized protein OS=Prunus persica GN=PRUPE_ppa026371mg PE=3 SV=1</t>
  </si>
  <si>
    <t>Uncharacterized protein OS=Prunus persica GN=PRUPE_ppa013756mg PE=4 SV=1</t>
  </si>
  <si>
    <t>Uncharacterized protein OS=Prunus persica GN=PRUPE_ppa010745mg PE=4 SV=1</t>
  </si>
  <si>
    <t>Uncharacterized protein OS=Prunus persica GN=PRUPE_ppa008531mg PE=4 SV=1</t>
  </si>
  <si>
    <t>Kinesin-like protein OS=Vitis vinifera GN=VIT_14s0128g00090 PE=3 SV=1</t>
  </si>
  <si>
    <t>Uncharacterized protein OS=Prunus persica GN=PRUPE_ppa004137mg PE=4 SV=1</t>
  </si>
  <si>
    <t>Uncharacterized protein (Fragment) OS=Prunus persica GN=PRUPE_ppb013610mg PE=4 SV=1</t>
  </si>
  <si>
    <t>Uncharacterized protein OS=Prunus persica GN=PRUPE_ppa010209mg PE=4 SV=1</t>
  </si>
  <si>
    <t>Uncharacterized protein OS=Prunus persica GN=PRUPE_ppa010626mg PE=4 SV=1</t>
  </si>
  <si>
    <t>Uncharacterized protein OS=Prunus persica GN=PRUPE_ppa006498mg PE=4 SV=1</t>
  </si>
  <si>
    <t>Cytidine deaminase OS=Prunus persica GN=PRUPE_ppa009163mg PE=3 SV=1</t>
  </si>
  <si>
    <t>Uncharacterized protein OS=Prunus persica GN=PRUPE_ppa025934mg PE=4 SV=1</t>
  </si>
  <si>
    <t>Uncharacterized protein OS=Prunus persica GN=PRUPE_ppa017473mg PE=4 SV=1</t>
  </si>
  <si>
    <t>Uncharacterized protein OS=Prunus persica GN=PRUPE_ppa019531mg PE=4 SV=1</t>
  </si>
  <si>
    <t>Uncharacterized protein OS=Prunus persica GN=PRUPE_ppa027031mg PE=4 SV=1</t>
  </si>
  <si>
    <t>Uncharacterized protein OS=Prunus persica GN=PRUPE_ppa024560mg PE=4 SV=1</t>
  </si>
  <si>
    <t>Uncharacterized protein OS=Prunus persica GN=PRUPE_ppa007015mg PE=4 SV=1</t>
  </si>
  <si>
    <t>Uncharacterized protein OS=Prunus persica GN=PRUPE_ppa010423mg PE=4 SV=1</t>
  </si>
  <si>
    <t>Uncharacterized protein OS=Morus notabilis GN=L484_012137 PE=4 SV=1</t>
  </si>
  <si>
    <t>Uncharacterized protein OS=Prunus persica GN=PRUPE_ppa012021mg PE=4 SV=1</t>
  </si>
  <si>
    <t>Uncharacterized protein OS=Prunus persica GN=PRUPE_ppa024827mg PE=4 SV=1</t>
  </si>
  <si>
    <t>Uncharacterized protein OS=Prunus persica GN=PRUPE_ppa014909mg PE=4 SV=1</t>
  </si>
  <si>
    <t>Uncharacterized protein OS=Prunus persica GN=PRUPE_ppa017114mg PE=4 SV=1</t>
  </si>
  <si>
    <t>Uncharacterized protein OS=Prunus persica GN=PRUPE_ppa021817mg PE=4 SV=1</t>
  </si>
  <si>
    <t>Uncharacterized protein OS=Prunus persica GN=PRUPE_ppa006635mg PE=4 SV=1</t>
  </si>
  <si>
    <t>Uncharacterized protein OS=Prunus persica GN=PRUPE_ppa026553mg PE=4 SV=1</t>
  </si>
  <si>
    <t>Uncharacterized protein OS=Prunus persica GN=PRUPE_ppa003777mg PE=4 SV=1</t>
  </si>
  <si>
    <t>Putative LRR receptor-like serine/threonine-protein kinase RFK1 OS=Morus notabilis GN=L484_003514 PE=4 SV=1</t>
  </si>
  <si>
    <t>Uncharacterized protein (Fragment) OS=Prunus persica GN=PRUPE_ppa026078mg PE=4 SV=1</t>
  </si>
  <si>
    <t>Uncharacterized protein OS=Prunus persica GN=PRUPE_ppa014835mg PE=4 SV=1</t>
  </si>
  <si>
    <t>Uncharacterized protein OS=Prunus persica GN=PRUPE_ppa021264mg PE=4 SV=1</t>
  </si>
  <si>
    <t>Uncharacterized protein OS=Prunus persica GN=PRUPE_ppa003081mg PE=4 SV=1</t>
  </si>
  <si>
    <t>Uncharacterized protein OS=Prunus persica GN=PRUPE_ppa002844mg PE=4 SV=1</t>
  </si>
  <si>
    <t>Uncharacterized protein OS=Prunus persica GN=PRUPE_ppa002348mg PE=4 SV=1</t>
  </si>
  <si>
    <t>Uncharacterized protein OS=Prunus persica GN=PRUPE_ppa012264mg PE=4 SV=1</t>
  </si>
  <si>
    <t>Uncharacterized protein OS=Prunus persica GN=PRUPE_ppa002738mg PE=4 SV=1</t>
  </si>
  <si>
    <t>Uncharacterized protein OS=Prunus persica GN=PRUPE_ppa001425mg PE=4 SV=1</t>
  </si>
  <si>
    <t>Uncharacterized protein OS=Prunus persica GN=PRUPE_ppa004335mg PE=4 SV=1</t>
  </si>
  <si>
    <t>Uncharacterized protein OS=Prunus persica GN=PRUPE_ppa012212mg PE=4 SV=1</t>
  </si>
  <si>
    <t>Uncharacterized protein OS=Prunus persica GN=PRUPE_ppa008701mg PE=4 SV=1</t>
  </si>
  <si>
    <t>Uncharacterized protein OS=Prunus persica GN=PRUPE_ppa008584mg PE=4 SV=1</t>
  </si>
  <si>
    <t>Uncharacterized protein OS=Prunus persica GN=PRUPE_ppa012490mg PE=4 SV=1</t>
  </si>
  <si>
    <t>Uncharacterized protein OS=Prunus persica GN=PRUPE_ppa011237mg PE=4 SV=1</t>
  </si>
  <si>
    <t>Uncharacterized protein OS=Prunus persica GN=PRUPE_ppa003103mg PE=4 SV=1</t>
  </si>
  <si>
    <t>Uncharacterized protein OS=Prunus persica GN=PRUPE_ppa013057mg PE=4 SV=1</t>
  </si>
  <si>
    <t>Uncharacterized protein OS=Prunus persica GN=PRUPE_ppa000084mg PE=4 SV=1</t>
  </si>
  <si>
    <t>Uncharacterized protein OS=Prunus persica GN=PRUPE_ppa005854mg PE=4 SV=1</t>
  </si>
  <si>
    <t>WD-repeat protein, putative OS=Ricinus communis GN=RCOM_0287180 PE=4 SV=1</t>
  </si>
  <si>
    <t>Uncharacterized protein OS=Prunus persica GN=PRUPE_ppa006303mg PE=4 SV=1</t>
  </si>
  <si>
    <t>Uncharacterized protein OS=Prunus persica GN=PRUPE_ppa011438mg PE=4 SV=1</t>
  </si>
  <si>
    <t>Uncharacterized protein OS=Prunus persica GN=PRUPE_ppa004710mg PE=4 SV=1</t>
  </si>
  <si>
    <t>Uncharacterized protein OS=Prunus persica GN=PRUPE_ppa005875mg PE=4 SV=1</t>
  </si>
  <si>
    <t>Uncharacterized protein OS=Prunus persica GN=PRUPE_ppa010491mg PE=4 SV=1</t>
  </si>
  <si>
    <t>Putative uncharacterized protein OS=Vitis vinifera GN=VITISV_001430 PE=4 SV=1</t>
  </si>
  <si>
    <t>Putative uncharacterized protein OS=Vitis vinifera GN=VIT_04s0008g03590 PE=4 SV=1</t>
  </si>
  <si>
    <t>Uncharacterized protein OS=Prunus persica GN=PRUPE_ppa002969mg PE=4 SV=1</t>
  </si>
  <si>
    <t>Uncharacterized protein OS=Prunus persica GN=PRUPE_ppa012670mg PE=4 SV=1</t>
  </si>
  <si>
    <t>Uncharacterized protein OS=Gossypium raimondii GN=B456_010G171000 PE=4 SV=1</t>
  </si>
  <si>
    <t>Uncharacterized protein (Fragment) OS=Prunus persica GN=PRUPE_ppa021510mg PE=4 SV=1</t>
  </si>
  <si>
    <t>Uncharacterized protein (Fragment) OS=Prunus persica GN=PRUPE_ppa000101m1g PE=4 SV=1</t>
  </si>
  <si>
    <t>Uncharacterized protein OS=Prunus persica GN=PRUPE_ppa019168mg PE=4 SV=1</t>
  </si>
  <si>
    <t>Uncharacterized protein OS=Prunus persica GN=PRUPE_ppa026781mg PE=3 SV=1</t>
  </si>
  <si>
    <t>Uncharacterized protein OS=Prunus persica GN=PRUPE_ppa013514mg PE=4 SV=1</t>
  </si>
  <si>
    <t>Uncharacterized protein OS=Prunus persica GN=PRUPE_ppa024377mg PE=4 SV=1</t>
  </si>
  <si>
    <t>Uncharacterized protein OS=Prunus persica GN=PRUPE_ppa004772mg PE=4 SV=1</t>
  </si>
  <si>
    <t>Uncharacterized protein OS=Prunus persica GN=PRUPE_ppa001217mg PE=3 SV=1</t>
  </si>
  <si>
    <t>Predicted protein OS=Nectria haematococca (strain 77-13-4 / ATCC MYA-4622 / FGSC 9596 / MPVI) GN=NECHADRAFT_30535 PE=4 SV=1</t>
  </si>
  <si>
    <t>Uncharacterized protein OS=Prunus persica GN=PRUPE_ppa001581mg PE=4 SV=1</t>
  </si>
  <si>
    <t>Myotubularin-like phosphatases II superfamily OS=Theobroma cacao GN=TCM_043552 PE=4 SV=1</t>
  </si>
  <si>
    <t>Uncharacterized protein OS=Prunus persica GN=PRUPE_ppa002455mg PE=4 SV=1</t>
  </si>
  <si>
    <t>Uncharacterized protein OS=Medicago truncatula GN=MTR_0002s0250 PE=4 SV=1</t>
  </si>
  <si>
    <t>Uncharacterized protein (Fragment) OS=Prunus persica GN=PRUPE_ppa019357mg PE=4 SV=1</t>
  </si>
  <si>
    <t>Replicase P1 OS=Prunus necrotic ringspot virus PE=4 SV=1</t>
  </si>
  <si>
    <t>Uncharacterized protein OS=Prunus persica GN=PRUPE_ppa003709mg PE=4 SV=1</t>
  </si>
  <si>
    <t>Uncharacterized protein OS=Prunus persica GN=PRUPE_ppa011816mg PE=4 SV=1</t>
  </si>
  <si>
    <t>Uncharacterized protein (Fragment) OS=Prunus persica GN=PRUPE_ppb014337mg PE=4 SV=1</t>
  </si>
  <si>
    <t>Uncharacterized protein OS=Prunus persica GN=PRUPE_ppa002180mg PE=4 SV=1</t>
  </si>
  <si>
    <t>Uncharacterized protein OS=Prunus persica GN=PRUPE_ppa011811mg PE=4 SV=1</t>
  </si>
  <si>
    <t>Uncharacterized protein OS=Prunus persica GN=PRUPE_ppa008705mg PE=4 SV=1</t>
  </si>
  <si>
    <t>Uncharacterized protein OS=Prunus persica GN=PRUPE_ppa012541mg PE=4 SV=1</t>
  </si>
  <si>
    <t>Uncharacterized protein OS=Prunus persica GN=PRUPE_ppa015973mg PE=4 SV=1</t>
  </si>
  <si>
    <t>Uncharacterized protein OS=Prunus persica GN=PRUPE_ppa018340mg PE=3 SV=1</t>
  </si>
  <si>
    <t>Uncharacterized protein OS=Prunus persica GN=PRUPE_ppa011242mg PE=3 SV=1</t>
  </si>
  <si>
    <t>Uncharacterized protein OS=Prunus persica GN=PRUPE_ppa004549mg PE=3 SV=1</t>
  </si>
  <si>
    <t>Uncharacterized protein OS=Prunus persica GN=PRUPE_ppa009018mg PE=4 SV=1</t>
  </si>
  <si>
    <t>Uncharacterized protein OS=Prunus persica GN=PRUPE_ppa009726mg PE=4 SV=1</t>
  </si>
  <si>
    <t>Glutamate dehydrogenase OS=Prunus persica GN=PRUPE_ppa006457mg PE=3 SV=1</t>
  </si>
  <si>
    <t>Arm repeat protein interacting with abf2 OS=Morus notabilis GN=L484_012348 PE=4 SV=1</t>
  </si>
  <si>
    <t>Uncharacterized protein OS=Prunus persica GN=PRUPE_ppa009258mg PE=4 SV=1</t>
  </si>
  <si>
    <t>Pescadillo homolog OS=Prunus persica GN=PRUPE_ppa027082mg PE=3 SV=1</t>
  </si>
  <si>
    <t>Uncharacterized protein OS=Prunus persica GN=PRUPE_ppa001370mg PE=4 SV=1</t>
  </si>
  <si>
    <t>Uncharacterized protein OS=Prunus persica GN=PRUPE_ppa006072mg PE=4 SV=1</t>
  </si>
  <si>
    <t>Uncharacterized protein OS=Prunus persica GN=PRUPE_ppa006592mg PE=4 SV=1</t>
  </si>
  <si>
    <t>Uncharacterized protein OS=Prunus persica GN=PRUPE_ppa013218mg PE=4 SV=1</t>
  </si>
  <si>
    <t>rRNA N-glycosidase OS=Prunus persica GN=PRUPE_ppa009409mg PE=3 SV=1</t>
  </si>
  <si>
    <t>Uncharacterized protein OS=Prunus persica GN=PRUPE_ppa007012mg PE=4 SV=1</t>
  </si>
  <si>
    <t>Hnl isoenzyme 5 OS=Prunus dulcis GN=hnl5 PE=3 SV=1</t>
  </si>
  <si>
    <t>Uncharacterized protein OS=Prunus persica GN=PRUPE_ppa010081mg PE=4 SV=1</t>
  </si>
  <si>
    <t>Uncharacterized protein OS=Prunus persica GN=PRUPE_ppa024637mg PE=4 SV=1</t>
  </si>
  <si>
    <t>Uncharacterized protein OS=Prunus persica GN=PRUPE_ppa004440mg PE=4 SV=1</t>
  </si>
  <si>
    <t>ATP-dependent RNA helicase eIF4A OS=Magnaporthiopsis poae (strain ATCC 64411 / 73-15) GN=MAPG_01135 PE=3 SV=1</t>
  </si>
  <si>
    <t>Uncharacterized protein OS=Prunus persica GN=PRUPE_ppa024578mg PE=4 SV=1</t>
  </si>
  <si>
    <t>Predicted protein OS=Arabidopsis lyrata subsp. lyrata GN=ARALYDRAFT_683153 PE=4 SV=1</t>
  </si>
  <si>
    <t>Uncharacterized protein OS=Prunus persica GN=PRUPE_ppa005721mg PE=4 SV=1</t>
  </si>
  <si>
    <t>Uncharacterized protein OS=Prunus persica GN=PRUPE_ppa005353mg PE=4 SV=1</t>
  </si>
  <si>
    <t>Uncharacterized protein OS=Prunus persica GN=PRUPE_ppa005005mg PE=3 SV=1</t>
  </si>
  <si>
    <t>Uncharacterized protein (Fragment) OS=Prunus persica GN=PRUPE_ppa026379mg PE=4 SV=1</t>
  </si>
  <si>
    <t>Uncharacterized protein OS=Prunus persica GN=PRUPE_ppa001317mg PE=3 SV=1</t>
  </si>
  <si>
    <t>Uncharacterized protein OS=Prunus persica GN=PRUPE_ppa010973mg PE=4 SV=1</t>
  </si>
  <si>
    <t>3-hydroxy-3-methylglutaryl coenzyme A reductase OS=Prunus persica GN=PRUPE_ppa002715mg PE=3 SV=1</t>
  </si>
  <si>
    <t>Uncharacterized protein OS=Prunus persica GN=PRUPE_ppa018265mg PE=4 SV=1</t>
  </si>
  <si>
    <t>Uncharacterized protein OS=Prunus persica GN=PRUPE_ppa010926mg PE=4 SV=1</t>
  </si>
  <si>
    <t>Uncharacterized protein OS=Prunus persica GN=PRUPE_ppa010674mg PE=4 SV=1</t>
  </si>
  <si>
    <t>Uncharacterized protein OS=Prunus persica GN=PRUPE_ppa008146mg PE=4 SV=1</t>
  </si>
  <si>
    <t>Uncharacterized protein OS=Prunus persica GN=PRUPE_ppa013533mg PE=4 SV=1</t>
  </si>
  <si>
    <t>Uncharacterized protein OS=Prunus persica GN=PRUPE_ppa013457mg PE=3 SV=1</t>
  </si>
  <si>
    <t>Uncharacterized protein OS=Prunus persica GN=PRUPE_ppa026850mg PE=4 SV=1</t>
  </si>
  <si>
    <t>Uncharacterized protein OS=Prunus persica GN=PRUPE_ppa008998mg PE=4 SV=1</t>
  </si>
  <si>
    <t>Uncharacterized protein OS=Prunus persica GN=PRUPE_ppa001246mg PE=4 SV=1</t>
  </si>
  <si>
    <t>Uncharacterized protein OS=Prunus persica GN=PRUPE_ppa002464mg PE=4 SV=1</t>
  </si>
  <si>
    <t>Uncharacterized protein (Fragment) OS=Prunus persica GN=PRUPE_ppa018938mg PE=4 SV=1</t>
  </si>
  <si>
    <t>Uncharacterized protein OS=Prunus persica GN=PRUPE_ppa003666mg PE=4 SV=1</t>
  </si>
  <si>
    <t>Uncharacterized protein OS=Prunus persica GN=PRUPE_ppa005779mg PE=3 SV=1</t>
  </si>
  <si>
    <t>Uncharacterized protein OS=Prunus persica GN=PRUPE_ppa005762mg PE=4 SV=1</t>
  </si>
  <si>
    <t>Uncharacterized protein OS=Morus notabilis GN=L484_006354 PE=4 SV=1</t>
  </si>
  <si>
    <t>Uncharacterized protein OS=Prunus persica GN=PRUPE_ppa009395mg PE=4 SV=1</t>
  </si>
  <si>
    <t>Uncharacterized protein OS=Prunus persica GN=PRUPE_ppa005306mg PE=3 SV=1</t>
  </si>
  <si>
    <t>Uncharacterized protein OS=Prunus persica GN=PRUPE_ppa000982mg PE=3 SV=1</t>
  </si>
  <si>
    <t>Uncharacterized protein (Fragment) OS=Prunus persica GN=PRUPE_ppa024576mg PE=4 SV=1</t>
  </si>
  <si>
    <t>Uncharacterized protein OS=Prunus persica GN=PRUPE_ppa005413mg PE=4 SV=1</t>
  </si>
  <si>
    <t>Uncharacterized protein OS=Prunus persica GN=PRUPE_ppa002346mg PE=4 SV=1</t>
  </si>
  <si>
    <t>Pyruvate kinase OS=Prunus persica GN=PRUPE_ppa003316mg PE=3 SV=1</t>
  </si>
  <si>
    <t>Cellulose synthase OS=Prunus persica GN=PRUPE_ppa000611mg PE=3 SV=1</t>
  </si>
  <si>
    <t>Uncharacterized protein (Fragment) OS=Prunus persica GN=PRUPE_ppa022105mg PE=4 SV=1</t>
  </si>
  <si>
    <t>Uncharacterized protein OS=Prunus persica GN=PRUPE_ppa002536mg PE=4 SV=1</t>
  </si>
  <si>
    <t>Uncharacterized protein OS=Prunus persica GN=PRUPE_ppa002973mg PE=3 SV=1</t>
  </si>
  <si>
    <t>Uncharacterized protein OS=Prunus persica GN=PRUPE_ppa006570mg PE=4 SV=1</t>
  </si>
  <si>
    <t>Uncharacterized protein OS=Prunus persica GN=PRUPE_ppa010701mg PE=4 SV=1</t>
  </si>
  <si>
    <t>Uncharacterized protein OS=Prunus persica GN=PRUPE_ppa013971mg PE=4 SV=1</t>
  </si>
  <si>
    <t>Uncharacterized protein OS=Prunus persica GN=PRUPE_ppa011711mg PE=3 SV=1</t>
  </si>
  <si>
    <t>Uncharacterized protein OS=Prunus persica GN=PRUPE_ppa007446mg PE=4 SV=1</t>
  </si>
  <si>
    <t>Uncharacterized protein OS=Prunus persica GN=PRUPE_ppa002319mg PE=4 SV=1</t>
  </si>
  <si>
    <t>Lysozyme OS=Homo sapiens GN=LYZ PE=2 SV=1</t>
  </si>
  <si>
    <t>Uncharacterized protein OS=Fusarium oxysporum FOSC 3-a GN=FOYG_06696 PE=4 SV=1</t>
  </si>
  <si>
    <t>Uncharacterized protein OS=Prunus persica GN=PRUPE_ppa010144mg PE=4 SV=1</t>
  </si>
  <si>
    <t>Uncharacterized protein OS=Prunus persica GN=PRUPE_ppa007735mg PE=4 SV=1</t>
  </si>
  <si>
    <t>Uncharacterized protein OS=Prunus persica GN=PRUPE_ppa004862mg PE=4 SV=1</t>
  </si>
  <si>
    <t>Uncharacterized protein OS=Prunus persica GN=PRUPE_ppa012568mg PE=4 SV=1</t>
  </si>
  <si>
    <t>Cytosine-specific methyltransferase OS=Prunus persica PE=2 SV=1</t>
  </si>
  <si>
    <t>Uncharacterized protein OS=Prunus persica GN=PRUPE_ppa009089mg PE=4 SV=1</t>
  </si>
  <si>
    <t>Uncharacterized protein OS=Prunus persica GN=PRUPE_ppa005222mg PE=4 SV=1</t>
  </si>
  <si>
    <t>Uncharacterized protein OS=Prunus persica GN=PRUPE_ppb012876mg PE=4 SV=1</t>
  </si>
  <si>
    <t>Uncharacterized protein OS=Prunus persica GN=PRUPE_ppa010564mg PE=4 SV=1</t>
  </si>
  <si>
    <t>Uncharacterized protein OS=Prunus persica GN=PRUPE_ppa002599mg PE=4 SV=1</t>
  </si>
  <si>
    <t>Uncharacterized protein OS=Prunus persica GN=PRUPE_ppa001578mg PE=4 SV=1</t>
  </si>
  <si>
    <t>Uncharacterized protein OS=Prunus persica GN=PRUPE_ppa008867mg PE=3 SV=1</t>
  </si>
  <si>
    <t>Uncharacterized protein OS=Prunus persica GN=PRUPE_ppa012790mg PE=4 SV=1</t>
  </si>
  <si>
    <t>Uncharacterized protein OS=Citrus sinensis GN=CISIN_1g023093mg PE=4 SV=1</t>
  </si>
  <si>
    <t>Uncharacterized protein (Fragment) OS=Prunus persica GN=PRUPE_ppa015787mg PE=3 SV=1</t>
  </si>
  <si>
    <t>Uncharacterized protein OS=Prunus persica GN=PRUPE_ppa024524mg PE=4 SV=1</t>
  </si>
  <si>
    <t>Autophagy-related protein OS=Prunus persica GN=PRUPE_ppa013507mg PE=3 SV=1</t>
  </si>
  <si>
    <t>Uncharacterized protein OS=Prunus persica GN=PRUPE_ppa000268mg PE=4 SV=1</t>
  </si>
  <si>
    <t>Uncharacterized protein OS=Prunus persica GN=PRUPE_ppa007601mg PE=4 SV=1</t>
  </si>
  <si>
    <t>Uncharacterized protein OS=Prunus persica GN=PRUPE_ppa008491mg PE=4 SV=1</t>
  </si>
  <si>
    <t>Uncharacterized protein OS=Prunus persica GN=PRUPE_ppa002691mg PE=4 SV=1</t>
  </si>
  <si>
    <t>Uncharacterized protein OS=Prunus persica GN=PRUPE_ppa010445mg PE=4 SV=1</t>
  </si>
  <si>
    <t>Uncharacterized protein OS=Prunus persica GN=PRUPE_ppa023386mg PE=4 SV=1</t>
  </si>
  <si>
    <t>MATE efflux family protein OS=Prunus persica GN=PRUPE_ppa017023mg PE=3 SV=1</t>
  </si>
  <si>
    <t>Uncharacterized protein OS=Prunus persica GN=PRUPE_ppa006038mg PE=4 SV=1</t>
  </si>
  <si>
    <t>Mitogen-activated protein kinase OS=Prunus persica GN=PRUPE_ppa007376mg PE=3 SV=1</t>
  </si>
  <si>
    <t>Uncharacterized protein OS=Prunus persica GN=PRUPE_ppa011307mg PE=3 SV=1</t>
  </si>
  <si>
    <t>Zinc-finger domain of monoamine-oxidase A repressor R1 isoform 1 OS=Theobroma cacao GN=TCM_012934 PE=4 SV=1</t>
  </si>
  <si>
    <t>Uncharacterized protein OS=Prunus persica GN=PRUPE_ppa009784mg PE=4 SV=1</t>
  </si>
  <si>
    <t>Uncharacterized protein OS=Prunus persica GN=PRUPE_ppa002401mg PE=4 SV=1</t>
  </si>
  <si>
    <t>Uncharacterized protein (Fragment) OS=Prunus persica GN=PRUPE_ppa014857mg PE=4 SV=1</t>
  </si>
  <si>
    <t>Uncharacterized protein OS=Prunus persica GN=PRUPE_ppa016750mg PE=4 SV=1</t>
  </si>
  <si>
    <t>Uncharacterized protein OS=Prunus persica GN=PRUPE_ppa004232mg PE=3 SV=1</t>
  </si>
  <si>
    <t>Uncharacterized protein OS=Prunus persica GN=PRUPE_ppa009459mg PE=4 SV=1</t>
  </si>
  <si>
    <t>Uncharacterized protein OS=Prunus persica GN=PRUPE_ppa020702mg PE=4 SV=1</t>
  </si>
  <si>
    <t>Uncharacterized protein OS=Prunus persica GN=PRUPE_ppa006961mg PE=4 SV=1</t>
  </si>
  <si>
    <t>Uncharacterized protein (Fragment) OS=Prunus persica GN=PRUPE_ppa023165m1g PE=4 SV=1</t>
  </si>
  <si>
    <t>Uncharacterized protein OS=Prunus persica GN=PRUPE_ppa001098mg PE=3 SV=1</t>
  </si>
  <si>
    <t>Uncharacterized protein OS=Prunus persica GN=PRUPE_ppa008790mg PE=4 SV=1</t>
  </si>
  <si>
    <t>Uncharacterized protein OS=Prunus persica GN=PRUPE_ppa008384mg PE=4 SV=1</t>
  </si>
  <si>
    <t>1,3-beta-glucanosyltransferase OS=Fusarium sp. FIESC_5 CS3069 GN=BN850_0011400 PE=3 SV=1</t>
  </si>
  <si>
    <t>Uncharacterized protein (Fragment) OS=Prunus persica GN=PRUPE_ppa020421mg PE=4 SV=1</t>
  </si>
  <si>
    <t>Uncharacterized protein OS=Prunus persica GN=PRUPE_ppa018120mg PE=4 SV=1</t>
  </si>
  <si>
    <t>Uncharacterized protein OS=Eucalyptus grandis GN=EUGRSUZ_E00051 PE=4 SV=1</t>
  </si>
  <si>
    <t>Uncharacterized protein OS=Prunus persica GN=PRUPE_ppa011414mg PE=4 SV=1</t>
  </si>
  <si>
    <t>Uncharacterized protein OS=Prunus persica GN=PRUPE_ppa010954mg PE=4 SV=1</t>
  </si>
  <si>
    <t>Uncharacterized protein OS=Prunus persica GN=PRUPE_ppa008403mg PE=3 SV=1</t>
  </si>
  <si>
    <t>Uncharacterized protein OS=Prunus persica GN=PRUPE_ppa000761mg PE=3 SV=1</t>
  </si>
  <si>
    <t>Uncharacterized protein (Fragment) OS=Prunus persica GN=PRUPE_ppa024672mg PE=4 SV=1</t>
  </si>
  <si>
    <t>Uncharacterized protein OS=Prunus persica GN=PRUPE_ppa020379mg PE=4 SV=1</t>
  </si>
  <si>
    <t>Uncharacterized protein OS=Prunus persica GN=PRUPE_ppa008586mg PE=4 SV=1</t>
  </si>
  <si>
    <t>Uncharacterized protein OS=Prunus persica GN=PRUPE_ppa006499mg PE=4 SV=1</t>
  </si>
  <si>
    <t>Uncharacterized protein OS=Prunus persica GN=PRUPE_ppa003226mg PE=3 SV=1</t>
  </si>
  <si>
    <t>Uncharacterized protein OS=Prunus persica GN=PRUPE_ppa022619mg PE=4 SV=1</t>
  </si>
  <si>
    <t>Uncharacterized protein OS=Prunus persica GN=PRUPE_ppa003981mg PE=4 SV=1</t>
  </si>
  <si>
    <t>Beta-hexosaminidase OS=Prunus persica GN=PRUPE_ppa003880mg PE=3 SV=1</t>
  </si>
  <si>
    <t>Acyl-coenzyme A oxidase OS=Prunus persica GN=ACX1 PE=2 SV=1</t>
  </si>
  <si>
    <t>Uncharacterized protein OS=Prunus persica GN=PRUPE_ppa001976mg PE=4 SV=1</t>
  </si>
  <si>
    <t>Uncharacterized protein OS=Prunus persica GN=PRUPE_ppa003497mg PE=4 SV=1</t>
  </si>
  <si>
    <t>NBS-LRR-like protein (Fragment) OS=Prunus kansuensis PE=4 SV=1</t>
  </si>
  <si>
    <t>Uncharacterized protein OS=Prunus persica GN=PRUPE_ppa009078mg PE=4 SV=1</t>
  </si>
  <si>
    <t>Uncharacterized protein OS=Citrus clementina GN=CICLE_v10013598mg PE=4 SV=1</t>
  </si>
  <si>
    <t>Uncharacterized protein OS=Prunus persica GN=PRUPE_ppa024547mg PE=4 SV=1</t>
  </si>
  <si>
    <t>L-aspartate oxidase OS=Prunus persica GN=PRUPE_ppa002656mg PE=3 SV=1</t>
  </si>
  <si>
    <t>Uncharacterized protein OS=Prunus persica GN=PRUPE_ppa012448mg PE=4 SV=1</t>
  </si>
  <si>
    <t>Uncharacterized protein OS=Prunus persica GN=PRUPE_ppa007182mg PE=3 SV=1</t>
  </si>
  <si>
    <t>Uncharacterized protein OS=Prunus persica GN=PRUPE_ppa013659mg PE=4 SV=1</t>
  </si>
  <si>
    <t>Uncharacterized protein OS=Prunus persica GN=PRUPE_ppa006214mg PE=4 SV=1</t>
  </si>
  <si>
    <t>Uncharacterized protein OS=Prunus persica GN=PRUPE_ppa022820mg PE=4 SV=1</t>
  </si>
  <si>
    <t>Ubiquitin carboxyl-terminal hydrolase OS=Prunus persica GN=PRUPE_ppa006137mg PE=3 SV=1</t>
  </si>
  <si>
    <t>Uncharacterized protein OS=Prunus persica GN=PRUPE_ppa006329mg PE=3 SV=1</t>
  </si>
  <si>
    <t>Uncharacterized protein OS=Prunus persica GN=PRUPE_ppb017079mg PE=4 SV=1</t>
  </si>
  <si>
    <t>Uncharacterized protein OS=Prunus persica GN=PRUPE_ppb010244mg PE=4 SV=1</t>
  </si>
  <si>
    <t>Uncharacterized protein OS=Prunus persica GN=PRUPE_ppa008167mg PE=4 SV=1</t>
  </si>
  <si>
    <t>Uncharacterized protein OS=Prunus persica GN=PRUPE_ppa009138mg PE=4 SV=1</t>
  </si>
  <si>
    <t>Uncharacterized protein OS=Prunus persica GN=PRUPE_ppa006980mg PE=3 SV=1</t>
  </si>
  <si>
    <t>Uncharacterized protein OS=Prunus persica GN=PRUPE_ppa008519mg PE=4 SV=1</t>
  </si>
  <si>
    <t>Auxin response factor (Fragment) OS=Prunus persica GN=PRUPE_ppa022314mg PE=3 SV=1</t>
  </si>
  <si>
    <t>RNA polymerase OS=Apple chlorotic leaf spot virus GN=POL PE=4 SV=1</t>
  </si>
  <si>
    <t>Uncharacterized protein OS=Prunus persica GN=PRUPE_ppa004319mg PE=3 SV=1</t>
  </si>
  <si>
    <t>Sulfotransferase OS=Prunus persica GN=PRUPE_ppa009048mg PE=3 SV=1</t>
  </si>
  <si>
    <t>Uncharacterized protein OS=Prunus persica GN=PRUPE_ppa013616mg PE=4 SV=1</t>
  </si>
  <si>
    <t>Uncharacterized protein (Fragment) OS=Prunus persica GN=PRUPE_ppa017414mg PE=4 SV=1</t>
  </si>
  <si>
    <t>Pentatricopeptide repeat-containing protein, putative OS=Theobroma cacao GN=TCM_021212 PE=4 SV=1</t>
  </si>
  <si>
    <t>BnaA09g20710D protein OS=Brassica napus GN=BnaA09g20710D PE=4 SV=1</t>
  </si>
  <si>
    <t>Uncharacterized protein (Fragment) OS=Prunus persica GN=PRUPE_ppa022434mg PE=4 SV=1</t>
  </si>
  <si>
    <t>Uncharacterized protein (Fragment) OS=Prunus persica GN=PRUPE_ppa023642mg PE=4 SV=1</t>
  </si>
  <si>
    <t>Uncharacterized protein OS=Prunus persica GN=PRUPE_ppb019113mg PE=4 SV=1</t>
  </si>
  <si>
    <t>Spur-type DELLA protein OS=Malus domestica GN=SPMdDELLA1b PE=2 SV=1</t>
  </si>
  <si>
    <t>Uncharacterized protein OS=Prunus persica GN=PRUPE_ppa017776mg PE=4 SV=1</t>
  </si>
  <si>
    <t>Uncharacterized protein OS=Prunus persica GN=PRUPE_ppa012350mg PE=4 SV=1</t>
  </si>
  <si>
    <t>Uncharacterized protein (Fragment) OS=Prunus persica GN=PRUPE_ppa027042mg PE=4 SV=1</t>
  </si>
  <si>
    <t>Uncharacterized protein OS=Prunus persica GN=PRUPE_ppa016172mg PE=4 SV=1</t>
  </si>
  <si>
    <t>MATE efflux family protein OS=Prunus persica GN=PRUPE_ppa022523mg PE=3 SV=1</t>
  </si>
  <si>
    <t>Dehydrin 2 OS=Prunus persica GN=PRUPE_ppa011637mg PE=2 SV=1</t>
  </si>
  <si>
    <t>Uncharacterized protein OS=Prunus persica GN=PRUPE_ppa003166mg PE=4 SV=1</t>
  </si>
  <si>
    <t>Uncharacterized protein OS=Prunus persica GN=PRUPE_ppa000289mg PE=4 SV=1</t>
  </si>
  <si>
    <t>Uncharacterized protein OS=Prunus persica GN=PRUPE_ppa014977mg PE=4 SV=1</t>
  </si>
  <si>
    <t>Uncharacterized protein OS=Prunus persica GN=PRUPE_ppa005784mg PE=4 SV=1</t>
  </si>
  <si>
    <t>HVA22-like protein OS=Prunus persica GN=PRUPE_ppa026273mg PE=3 SV=1</t>
  </si>
  <si>
    <t>Uncharacterized protein OS=Prunus persica GN=PRUPE_ppa012572mg PE=4 SV=1</t>
  </si>
  <si>
    <t>Uncharacterized protein OS=Prunus persica GN=PRUPE_ppa003558mg PE=4 SV=1</t>
  </si>
  <si>
    <t>Uncharacterized protein OS=Prunus persica GN=PRUPE_ppa003837mg PE=4 SV=1</t>
  </si>
  <si>
    <t>Uncharacterized protein (Fragment) OS=Prunus persica GN=PRUPE_ppa026812mg PE=4 SV=1</t>
  </si>
  <si>
    <t>Uncharacterized protein OS=Prunus persica GN=PRUPE_ppa012348mg PE=4 SV=1</t>
  </si>
  <si>
    <t>Uncharacterized protein OS=Prunus persica GN=PRUPE_ppa006520mg PE=4 SV=1</t>
  </si>
  <si>
    <t>Uncharacterized protein OS=Prunus persica GN=PRUPE_ppa000977mg PE=3 SV=1</t>
  </si>
  <si>
    <t>Uncharacterized protein OS=Prunus persica GN=PRUPE_ppa011144mg PE=4 SV=1</t>
  </si>
  <si>
    <t>Uncharacterized protein OS=Prunus persica GN=PRUPE_ppa009239mg PE=4 SV=1</t>
  </si>
  <si>
    <t>Uncharacterized protein OS=Prunus persica GN=PRUPE_ppa016485mg PE=4 SV=1</t>
  </si>
  <si>
    <t>Uncharacterized protein OS=Prunus persica GN=PRUPE_ppa015501mg PE=4 SV=1</t>
  </si>
  <si>
    <t>Uncharacterized protein OS=Phaseolus vulgaris GN=PHAVU_006G151500g PE=4 SV=1</t>
  </si>
  <si>
    <t>Uncharacterized protein OS=Prunus persica GN=PRUPE_ppa008534mg PE=4 SV=1</t>
  </si>
  <si>
    <t>Uncharacterized protein OS=Citrus sinensis GN=CISIN_1g035503mg PE=4 SV=1</t>
  </si>
  <si>
    <t>Uncharacterized protein OS=Prunus persica GN=PRUPE_ppa001262mg PE=4 SV=1</t>
  </si>
  <si>
    <t>Non-specific lipid-transfer protein OS=Prunus persica GN=PRUPE_ppa013558mg PE=3 SV=1</t>
  </si>
  <si>
    <t>Uncharacterized protein OS=Prunus persica GN=PRUPE_ppa026402mg PE=4 SV=1</t>
  </si>
  <si>
    <t>Uncharacterized protein OS=Prunus persica GN=PRUPE_ppa017672mg PE=4 SV=1</t>
  </si>
  <si>
    <t>Uncharacterized protein OS=Prunus persica GN=PRUPE_ppa001778mg PE=4 SV=1</t>
  </si>
  <si>
    <t>Uncharacterized protein OS=Prunus persica GN=PRUPE_ppa000901mg PE=4 SV=1</t>
  </si>
  <si>
    <t>Uncharacterized protein OS=Prunus persica GN=PRUPE_ppb012410mg PE=4 SV=1</t>
  </si>
  <si>
    <t>Uncharacterized protein OS=Prunus persica GN=PRUPE_ppa012582mg PE=4 SV=1</t>
  </si>
  <si>
    <t>Uncharacterized protein OS=Prunus persica GN=PRUPE_ppa007914mg PE=4 SV=1</t>
  </si>
  <si>
    <t>Uncharacterized protein OS=Morus notabilis GN=L484_012164 PE=4 SV=1</t>
  </si>
  <si>
    <t>Kinesin-like protein OS=Medicago truncatula GN=MTR_5g026790 PE=4 SV=1</t>
  </si>
  <si>
    <t>Uncharacterized protein (Fragment) OS=Prunus persica GN=PRUPE_ppa000722m1g PE=4 SV=1</t>
  </si>
  <si>
    <t>Uncharacterized protein OS=Prunus persica GN=PRUPE_ppa004759mg PE=3 SV=1</t>
  </si>
  <si>
    <t>Uncharacterized protein OS=Triticum urartu GN=TRIUR3_03352 PE=3 SV=1</t>
  </si>
  <si>
    <t>Uncharacterized protein OS=Prunus persica GN=PRUPE_ppa001849mg PE=4 SV=1</t>
  </si>
  <si>
    <t>Uncharacterized protein OS=Prunus persica GN=PRUPE_ppa006593mg PE=3 SV=1</t>
  </si>
  <si>
    <t>Uncharacterized protein OS=Prunus persica GN=PRUPE_ppa009519mg PE=3 SV=1</t>
  </si>
  <si>
    <t>Uncharacterized protein OS=Gossypium raimondii GN=B456_005G136200 PE=4 SV=1</t>
  </si>
  <si>
    <t>Uncharacterized protein OS=Citrus sinensis GN=CISIN_1g021055mg PE=4 SV=1</t>
  </si>
  <si>
    <t>Uncharacterized protein OS=Prunus persica GN=PRUPE_ppa000597mg PE=4 SV=1</t>
  </si>
  <si>
    <t>Uncharacterized protein OS=Prunus persica GN=PRUPE_ppa018702mg PE=4 SV=1</t>
  </si>
  <si>
    <t>Uncharacterized protein (Fragment) OS=Prunus persica GN=PRUPE_ppa015342mg PE=4 SV=1</t>
  </si>
  <si>
    <t>Uncharacterized protein OS=Prunus persica GN=PRUPE_ppa006063mg PE=4 SV=1</t>
  </si>
  <si>
    <t>Uncharacterized protein OS=Prunus persica GN=PRUPE_ppa000800mg PE=4 SV=1</t>
  </si>
  <si>
    <t>Gigantea OS=Prunus dulcis PE=4 SV=1</t>
  </si>
  <si>
    <t>Uncharacterized protein OS=Morus notabilis GN=L484_008174 PE=4 SV=1</t>
  </si>
  <si>
    <t>Uncharacterized protein OS=Prunus persica GN=PRUPE_ppa005734mg PE=4 SV=1</t>
  </si>
  <si>
    <t>Uncharacterized protein OS=Prunus persica GN=PRUPE_ppa006415mg PE=4 SV=1</t>
  </si>
  <si>
    <t>Uncharacterized protein OS=Prunus persica GN=PRUPE_ppa017413mg PE=4 SV=1</t>
  </si>
  <si>
    <t>Uncharacterized protein OS=Prunus persica GN=PRUPE_ppa021589mg PE=4 SV=1</t>
  </si>
  <si>
    <t>Uncharacterized protein OS=Prunus persica GN=PRUPE_ppa007886mg PE=4 SV=1</t>
  </si>
  <si>
    <t>Uncharacterized protein OS=Prunus persica GN=PRUPE_ppa001805mg PE=4 SV=1</t>
  </si>
  <si>
    <t>Phospholipid-transporting ATPase OS=Prunus persica GN=PRUPE_ppa016577mg PE=3 SV=1</t>
  </si>
  <si>
    <t>Uncharacterized protein OS=Prunus persica GN=PRUPE_ppa1027139mg PE=4 SV=1</t>
  </si>
  <si>
    <t>Uncharacterized protein OS=Gossypium raimondii GN=B456_008G218200 PE=4 SV=1</t>
  </si>
  <si>
    <t>Uncharacterized protein OS=Prunus persica GN=PRUPE_ppa006253mg PE=4 SV=1</t>
  </si>
  <si>
    <t>Uncharacterized protein OS=Prunus persica GN=PRUPE_ppa008797mg PE=3 SV=1</t>
  </si>
  <si>
    <t>Uncharacterized protein OS=Prunus persica GN=PRUPE_ppa026610mg PE=4 SV=1</t>
  </si>
  <si>
    <t>Uncharacterized protein OS=Prunus persica GN=PRUPE_ppa022435mg PE=4 SV=1</t>
  </si>
  <si>
    <t>Uncharacterized protein OS=Prunus persica GN=PRUPE_ppa007622mg PE=3 SV=1</t>
  </si>
  <si>
    <t>Uncharacterized protein OS=Prunus persica GN=PRUPE_ppa012673mg PE=4 SV=1</t>
  </si>
  <si>
    <t>Uncharacterized protein OS=Prunus persica GN=PRUPE_ppa024455mg PE=4 SV=1</t>
  </si>
  <si>
    <t>Uncharacterized protein OS=Prunus persica GN=PRUPE_ppa000517mg PE=4 SV=1</t>
  </si>
  <si>
    <t>Uncharacterized protein OS=Prunus persica GN=PRUPE_ppa022216mg PE=4 SV=1</t>
  </si>
  <si>
    <t>Uncharacterized protein (Fragment) OS=Prunus persica GN=PRUPE_ppa025667mg PE=4 SV=1</t>
  </si>
  <si>
    <t>Glycosyltransferase OS=Prunus persica GN=PRUPE_ppa024809mg PE=3 SV=1</t>
  </si>
  <si>
    <t>Uncharacterized protein OS=Prunus persica GN=PRUPE_ppa008564mg PE=4 SV=1</t>
  </si>
  <si>
    <t>Uncharacterized protein OS=Prunus persica GN=PRUPE_ppa010770mg PE=4 SV=1</t>
  </si>
  <si>
    <t>Uncharacterized protein OS=Prunus persica GN=PRUPE_ppa1027140mg PE=4 SV=1</t>
  </si>
  <si>
    <t>Uncharacterized protein (Fragment) OS=Prunus persica GN=PRUPE_ppa023930mg PE=3 SV=1</t>
  </si>
  <si>
    <t>Putative uncharacterized protein OS=Vitis vinifera GN=VIT_13s0019g04250 PE=4 SV=1</t>
  </si>
  <si>
    <t>Uncharacterized protein OS=Populus trichocarpa GN=POPTR_0013s12830g PE=4 SV=1</t>
  </si>
  <si>
    <t>Uncharacterized protein OS=Prunus persica GN=PRUPE_ppa014642mg PE=4 SV=1</t>
  </si>
  <si>
    <t>Uncharacterized protein (Fragment) OS=Citrus sinensis GN=CISIN_1g0199311mg PE=4 SV=1</t>
  </si>
  <si>
    <t>Uncharacterized protein OS=Prunus persica GN=PRUPE_ppa007827mg PE=4 SV=1</t>
  </si>
  <si>
    <t>Uncharacterized protein OS=Prunus persica GN=PRUPE_ppa011939mg PE=4 SV=1</t>
  </si>
  <si>
    <t>Uncharacterized protein OS=Prunus persica GN=PRUPE_ppa023907mg PE=4 SV=1</t>
  </si>
  <si>
    <t>Uncharacterized protein OS=Morus notabilis GN=L484_002472 PE=4 SV=1</t>
  </si>
  <si>
    <t>Uncharacterized protein OS=Prunus persica GN=PRUPE_ppa009706mg PE=4 SV=1</t>
  </si>
  <si>
    <t>Uncharacterized protein OS=Prunus persica GN=PRUPE_ppa000170mg PE=4 SV=1</t>
  </si>
  <si>
    <t>Uncharacterized protein OS=Prunus persica GN=PRUPE_ppa011528mg PE=4 SV=1</t>
  </si>
  <si>
    <t>Uncharacterized protein OS=Prunus persica GN=PRUPE_ppa011823mg PE=4 SV=1</t>
  </si>
  <si>
    <t>Uncharacterized protein OS=Prunus persica GN=PRUPE_ppa008281mg PE=4 SV=1</t>
  </si>
  <si>
    <t>Uncharacterized protein OS=Prunus persica GN=PRUPE_ppa008049mg PE=4 SV=1</t>
  </si>
  <si>
    <t>Uncharacterized protein OS=Prunus persica GN=PRUPE_ppa000879mg PE=4 SV=1</t>
  </si>
  <si>
    <t>Uncharacterized protein OS=Prunus persica GN=PRUPE_ppa002994mg PE=4 SV=1</t>
  </si>
  <si>
    <t>Uncharacterized protein OS=Prunus persica GN=PRUPE_ppa010583mg PE=4 SV=1</t>
  </si>
  <si>
    <t>Putative uncharacterized protein OS=Vitis vinifera GN=VIT_14s0006g02700 PE=4 SV=1</t>
  </si>
  <si>
    <t>Methylenetetrahydrofolate reductase OS=Prunus persica GN=PRUPE_ppa003184mg PE=3 SV=1</t>
  </si>
  <si>
    <t>Ferrochelatase OS=Prunus persica GN=PRUPE_ppa005067mg PE=3 SV=1</t>
  </si>
  <si>
    <t>Uncharacterized protein OS=Prunus persica GN=PRUPE_ppa009358mg PE=4 SV=1</t>
  </si>
  <si>
    <t>Uncharacterized protein OS=Prunus persica GN=PRUPE_ppa018502mg PE=4 SV=1</t>
  </si>
  <si>
    <t>Uncharacterized protein OS=Prunus persica GN=PRUPE_ppa009385mg PE=4 SV=1</t>
  </si>
  <si>
    <t>Uncharacterized protein OS=Prunus persica GN=PRUPE_ppa013589mg PE=4 SV=1</t>
  </si>
  <si>
    <t>Uncharacterized protein OS=Theobroma cacao GN=TCM_001744 PE=4 SV=1</t>
  </si>
  <si>
    <t>Uncharacterized protein OS=Prunus persica GN=PRUPE_ppa019437mg PE=4 SV=1</t>
  </si>
  <si>
    <t>Uncharacterized protein OS=Prunus persica GN=PRUPE_ppa022644mg PE=4 SV=1</t>
  </si>
  <si>
    <t>Uncharacterized protein OS=Prunus persica GN=PRUPE_ppa013601mg PE=4 SV=1</t>
  </si>
  <si>
    <t>Uncharacterized protein OS=Prunus persica GN=PRUPE_ppa011110mg PE=4 SV=1</t>
  </si>
  <si>
    <t>NADH dehydrogenase subunit 7 (Fragment) OS=Fragaria virginiana GN=nad7 PE=3 SV=1</t>
  </si>
  <si>
    <t>Uncharacterized protein OS=Prunus persica GN=PRUPE_ppa008413mg PE=4 SV=1</t>
  </si>
  <si>
    <t>Uncharacterized protein OS=Prunus persica GN=PRUPE_ppa008464mg PE=4 SV=1</t>
  </si>
  <si>
    <t>Uncharacterized protein OS=Prunus persica GN=PRUPE_ppa008685mg PE=4 SV=1</t>
  </si>
  <si>
    <t>Uncharacterized protein OS=Prunus persica GN=PRUPE_ppa010436mg PE=4 SV=1</t>
  </si>
  <si>
    <t>Reticulon-like protein OS=Prunus persica GN=PRUPE_ppa021658mg PE=4 SV=1</t>
  </si>
  <si>
    <t>tRNA pseudouridine synthase OS=Vitis vinifera GN=VIT_12s0035g00960 PE=3 SV=1</t>
  </si>
  <si>
    <t>Uncharacterized protein OS=Prunus persica GN=PRUPE_ppa012086mg PE=3 SV=1</t>
  </si>
  <si>
    <t>Uncharacterized protein (Fragment) OS=Prunus persica GN=PRUPE_ppa022423mg PE=4 SV=1</t>
  </si>
  <si>
    <t>Putative uncharacterized protein (Fragment) OS=Medicago truncatula GN=MTR_132s0010 PE=4 SV=1</t>
  </si>
  <si>
    <t>Uncharacterized protein OS=Prunus persica GN=PRUPE_ppa003310mg PE=4 SV=1</t>
  </si>
  <si>
    <t>Uncharacterized protein (Fragment) OS=Prunus persica GN=PRUPE_ppa014841mg PE=3 SV=1</t>
  </si>
  <si>
    <t>Uncharacterized protein OS=Prunus persica GN=PRUPE_ppa006352mg PE=4 SV=1</t>
  </si>
  <si>
    <t>Uncharacterized protein OS=Prunus persica GN=PRUPE_ppa003929mg PE=4 SV=1</t>
  </si>
  <si>
    <t>Uncharacterized protein (Fragment) OS=Prunus persica GN=PRUPE_ppa020558mg PE=4 SV=1</t>
  </si>
  <si>
    <t>Uncharacterized protein OS=Prunus persica GN=PRUPE_ppa002960mg PE=4 SV=1</t>
  </si>
  <si>
    <t>Uncharacterized protein (Fragment) OS=Prunus persica GN=PRUPE_ppa019062mg PE=4 SV=1</t>
  </si>
  <si>
    <t>Uncharacterized protein OS=Prunus persica GN=PRUPE_ppa011562mg PE=4 SV=1</t>
  </si>
  <si>
    <t>Uncharacterized protein OS=Prunus persica GN=PRUPE_ppa002849mg PE=4 SV=1</t>
  </si>
  <si>
    <t>Uncharacterized protein OS=Prunus persica GN=PRUPE_ppa009234mg PE=4 SV=1</t>
  </si>
  <si>
    <t>Uncharacterized protein OS=Prunus persica GN=PRUPE_ppa005452mg PE=4 SV=1</t>
  </si>
  <si>
    <t>Uncharacterized protein OS=Prunus persica GN=PRUPE_ppa000554mg PE=4 SV=1</t>
  </si>
  <si>
    <t>Uncharacterized protein OS=Prunus persica GN=PRUPE_ppa020646mg PE=4 SV=1</t>
  </si>
  <si>
    <t>Uncharacterized protein OS=Prunus persica GN=PRUPE_ppa001466mg PE=4 SV=1</t>
  </si>
  <si>
    <t>DNA replication complex GINS protein SLD5 OS=Prunus persica GN=PRUPE_ppa022428mg PE=3 SV=1</t>
  </si>
  <si>
    <t>Uncharacterized protein OS=Prunus persica GN=PRUPE_ppa001744mg PE=4 SV=1</t>
  </si>
  <si>
    <t>Uncharacterized protein OS=Prunus persica GN=PRUPE_ppa020705mg PE=4 SV=1</t>
  </si>
  <si>
    <t>Uncharacterized protein (Fragment) OS=Prunus persica GN=PRUPE_ppa022459mg PE=4 SV=1</t>
  </si>
  <si>
    <t>Uncharacterized protein OS=Prunus persica GN=PRUPE_ppa016289mg PE=4 SV=1</t>
  </si>
  <si>
    <t>Uncharacterized protein OS=Prunus persica GN=PRUPE_ppa002943mg PE=4 SV=1</t>
  </si>
  <si>
    <t>Uncharacterized protein OS=Prunus persica GN=PRUPE_ppa018211mg PE=4 SV=1</t>
  </si>
  <si>
    <t>Uncharacterized protein (Fragment) OS=Prunus persica GN=PRUPE_ppa021657mg PE=4 SV=1</t>
  </si>
  <si>
    <t>Uncharacterized protein OS=Prunus persica GN=PRUPE_ppa004852mg PE=4 SV=1</t>
  </si>
  <si>
    <t>Uncharacterized protein OS=Prunus persica GN=PRUPE_ppa024618mg PE=4 SV=1</t>
  </si>
  <si>
    <t>Uncharacterized protein OS=Prunus persica GN=PRUPE_ppa014984mg PE=4 SV=1</t>
  </si>
  <si>
    <t>Group II intron-encoded protein ltrA OS=Morus notabilis GN=L484_020694 PE=4 SV=1</t>
  </si>
  <si>
    <t>Uncharacterized protein OS=Prunus persica GN=PRUPE_ppa005829mg PE=4 SV=1</t>
  </si>
  <si>
    <t>PLENA-like MADS-box protein OS=Prunus persica GN=SHP PE=2 SV=1</t>
  </si>
  <si>
    <t>Uncharacterized protein OS=Prunus persica GN=PRUPE_ppa002917mg PE=4 SV=1</t>
  </si>
  <si>
    <t>Uncharacterized protein OS=Prunus persica GN=PRUPE_ppa012719mg PE=4 SV=1</t>
  </si>
  <si>
    <t>Uncharacterized protein OS=Prunus persica GN=PRUPE_ppa014976mg PE=4 SV=1</t>
  </si>
  <si>
    <t>Uncharacterized protein (Fragment) OS=Prunus persica GN=PRUPE_ppa021241mg PE=4 SV=1</t>
  </si>
  <si>
    <t>Uncharacterized protein OS=Prunus persica GN=PRUPE_ppa006757mg PE=4 SV=1</t>
  </si>
  <si>
    <t>Uncharacterized protein OS=Morus notabilis GN=L484_007760 PE=4 SV=1</t>
  </si>
  <si>
    <t>Uncharacterized protein OS=Prunus persica GN=PRUPE_ppa010480mg PE=4 SV=1</t>
  </si>
  <si>
    <t>Uncharacterized protein OS=Prunus persica GN=PRUPE_ppa012030mg PE=4 SV=1</t>
  </si>
  <si>
    <t>Uncharacterized protein OS=Prunus persica GN=PRUPE_ppa017227mg PE=4 SV=1</t>
  </si>
  <si>
    <t>Uncharacterized protein OS=Prunus persica GN=PRUPE_ppa004348mg PE=4 SV=1</t>
  </si>
  <si>
    <t>Uncharacterized protein OS=Prunus persica GN=PRUPE_ppa012488mg PE=4 SV=1</t>
  </si>
  <si>
    <t>Uncharacterized protein OS=Prunus persica GN=PRUPE_ppa002403mg PE=4 SV=1</t>
  </si>
  <si>
    <t>Uncharacterized protein (Fragment) OS=Prunus persica GN=PRUPE_ppa024775mg PE=4 SV=1</t>
  </si>
  <si>
    <t>Serine/threonine protein kinase OS=Prunus persica GN=CTR1 PE=2 SV=1</t>
  </si>
  <si>
    <t>Uncharacterized protein OS=Prunus persica GN=PRUPE_ppa020387mg PE=3 SV=1</t>
  </si>
  <si>
    <t>Uncharacterized protein OS=Prunus persica GN=PRUPE_ppa012380mg PE=4 SV=1</t>
  </si>
  <si>
    <t>Uncharacterized protein OS=Prunus persica GN=PRUPE_ppa000030mg PE=4 SV=1</t>
  </si>
  <si>
    <t>Uncharacterized protein OS=Prunus persica GN=PRUPE_ppa017765mg PE=4 SV=1</t>
  </si>
  <si>
    <t>Uncharacterized protein OS=Prunus persica GN=PRUPE_ppa004062mg PE=4 SV=1</t>
  </si>
  <si>
    <t>Uncharacterized protein OS=Prunus persica GN=PRUPE_ppa005508mg PE=4 SV=1</t>
  </si>
  <si>
    <t>Uncharacterized protein OS=Prunus persica GN=PRUPE_ppa025180mg PE=4 SV=1</t>
  </si>
  <si>
    <t>Uncharacterized protein OS=Prunus persica GN=PRUPE_ppa018711mg PE=4 SV=1</t>
  </si>
  <si>
    <t>Uncharacterized protein OS=Prunus persica GN=PRUPE_ppa009503mg PE=4 SV=1</t>
  </si>
  <si>
    <t>Uncharacterized protein OS=Prunus persica GN=PRUPE_ppb017449mg PE=4 SV=1</t>
  </si>
  <si>
    <t>Uncharacterized protein OS=Prunus persica GN=PRUPE_ppa004459mg PE=4 SV=1</t>
  </si>
  <si>
    <t>Uncharacterized protein OS=Prunus persica GN=PRUPE_ppa010138mg PE=4 SV=1</t>
  </si>
  <si>
    <t>Uncharacterized protein OS=Prunus persica GN=PRUPE_ppa010920mg PE=4 SV=1</t>
  </si>
  <si>
    <t>Uncharacterized protein OS=Prunus persica GN=PRUPE_ppa012389mg PE=4 SV=1</t>
  </si>
  <si>
    <t>Uncharacterized protein OS=Prunus persica GN=PRUPE_ppa005671mg PE=4 SV=1</t>
  </si>
  <si>
    <t>Uncharacterized protein OS=Prunus persica GN=PRUPE_ppa011787mg PE=3 SV=1</t>
  </si>
  <si>
    <t>Uncharacterized protein OS=Prunus persica GN=PRUPE_ppa005389mg PE=4 SV=1</t>
  </si>
  <si>
    <t>Uncharacterized protein OS=Prunus persica GN=PRUPE_ppa001536mg PE=4 SV=1</t>
  </si>
  <si>
    <t>Uncharacterized protein OS=Prunus persica GN=PRUPE_ppa000814mg PE=4 SV=1</t>
  </si>
  <si>
    <t>Uncharacterized protein (Fragment) OS=Prunus persica GN=PRUPE_ppa016376mg PE=4 SV=1</t>
  </si>
  <si>
    <t>Putative uncharacterized protein OS=Vitis vinifera GN=VITISV_038964 PE=4 SV=1</t>
  </si>
  <si>
    <t>Uncharacterized protein OS=Prunus persica GN=PRUPE_ppa003985mg PE=4 SV=1</t>
  </si>
  <si>
    <t>Uncharacterized protein OS=Prunus persica GN=PRUPE_ppa014981mg PE=4 SV=1</t>
  </si>
  <si>
    <t>Uncharacterized protein OS=Prunus persica GN=PRUPE_ppa003365mg PE=4 SV=1</t>
  </si>
  <si>
    <t>Uncharacterized protein OS=Prunus persica GN=PRUPE_ppa001188mg PE=4 SV=1</t>
  </si>
  <si>
    <t>Uncharacterized protein OS=Prunus persica GN=PRUPE_ppa007398mg PE=4 SV=1</t>
  </si>
  <si>
    <t>Uncharacterized protein OS=Prunus persica GN=PRUPE_ppa008668mg PE=4 SV=1</t>
  </si>
  <si>
    <t>Uncharacterized protein OS=Prunus persica GN=PRUPE_ppa002942mg PE=4 SV=1</t>
  </si>
  <si>
    <t>Uncharacterized protein OS=Prunus persica GN=PRUPE_ppa012824mg PE=4 SV=1</t>
  </si>
  <si>
    <t>Uncharacterized protein OS=Prunus persica GN=PRUPE_ppa011160mg PE=4 SV=1</t>
  </si>
  <si>
    <t>Uncharacterized protein (Fragment) OS=Prunus persica GN=PRUPE_ppa025002mg PE=4 SV=1</t>
  </si>
  <si>
    <t>Uncharacterized protein OS=Prunus persica GN=PRUPE_ppa011674mg PE=4 SV=1</t>
  </si>
  <si>
    <t>Uncharacterized protein OS=Prunus persica GN=PRUPE_ppa016922mg PE=4 SV=1</t>
  </si>
  <si>
    <t>Uncharacterized protein OS=Prunus persica GN=PRUPE_ppa019337mg PE=4 SV=1</t>
  </si>
  <si>
    <t>Uncharacterized protein (Fragment) OS=Prunus persica GN=PRUPE_ppa021078mg PE=4 SV=1</t>
  </si>
  <si>
    <t>ATP-dependent Clp protease proteolytic subunit OS=Pentactina rupicola GN=clpP PE=3 SV=1</t>
  </si>
  <si>
    <t>Peroxidase OS=Prunus persica GN=PRUPE_ppa021819mg PE=3 SV=1</t>
  </si>
  <si>
    <t>ATP-dependent caseinolytic (Clp) protease/crotonase family protein isoform 1 OS=Theobroma cacao GN=TCM_002029 PE=4 SV=1</t>
  </si>
  <si>
    <t>Uncharacterized protein (Fragment) OS=Prunus persica GN=PRUPE_ppa018905mg PE=4 SV=1</t>
  </si>
  <si>
    <t>Uncharacterized protein (Fragment) OS=Prunus persica GN=PRUPE_ppa025630mg PE=4 SV=1</t>
  </si>
  <si>
    <t>Branched-chain-amino-acid aminotransferase OS=Prunus persica GN=PRUPE_ppa023043mg PE=3 SV=1</t>
  </si>
  <si>
    <t>Uncharacterized protein OS=Prunus persica GN=PRUPE_ppa010367mg PE=3 SV=1</t>
  </si>
  <si>
    <t>Uncharacterized protein (Fragment) OS=Prunus persica GN=PRUPE_ppa019648mg PE=3 SV=1</t>
  </si>
  <si>
    <t>Uncharacterized protein OS=Prunus persica GN=PRUPE_ppa004502mg PE=4 SV=1</t>
  </si>
  <si>
    <t>Uncharacterized protein OS=Jatropha curcas GN=JCGZ_17447 PE=4 SV=1</t>
  </si>
  <si>
    <t>Uncharacterized protein OS=Prunus persica GN=PRUPE_ppa005551mg PE=4 SV=1</t>
  </si>
  <si>
    <t>Uncharacterized protein OS=Prunus persica GN=PRUPE_ppa011493mg PE=4 SV=1</t>
  </si>
  <si>
    <t>Uncharacterized protein OS=Prunus persica GN=PRUPE_ppa006141mg PE=4 SV=1</t>
  </si>
  <si>
    <t>Uncharacterized protein OS=Prunus persica GN=PRUPE_ppa002683mg PE=4 SV=1</t>
  </si>
  <si>
    <t>Uncharacterized protein OS=Prunus persica GN=PRUPE_ppa004652mg PE=4 SV=1</t>
  </si>
  <si>
    <t>Uncharacterized protein OS=Prunus persica GN=PRUPE_ppa013343mg PE=4 SV=1</t>
  </si>
  <si>
    <t>Uncharacterized protein (Fragment) OS=Prunus persica GN=PRUPE_ppa027015mg PE=3 SV=1</t>
  </si>
  <si>
    <t>Uncharacterized protein OS=Prunus persica GN=PRUPE_ppa008253mg PE=4 SV=1</t>
  </si>
  <si>
    <t>Uncharacterized protein OS=Prunus persica GN=PRUPE_ppa003443mg PE=4 SV=1</t>
  </si>
  <si>
    <t>Uncharacterized protein OS=Prunus persica GN=PRUPE_ppa004325mg PE=4 SV=1</t>
  </si>
  <si>
    <t>Uncharacterized protein OS=Prunus persica GN=PRUPE_ppa013543mg PE=4 SV=1</t>
  </si>
  <si>
    <t>Uncharacterized protein OS=Prunus persica GN=PRUPE_ppa011017mg PE=4 SV=1</t>
  </si>
  <si>
    <t>Starch synthase, chloroplastic/amyloplastic OS=Prunus persica GN=PRUPE_ppa002995mg PE=3 SV=1</t>
  </si>
  <si>
    <t>Uncharacterized protein OS=Prunus persica GN=PRUPE_ppa010586mg PE=4 SV=1</t>
  </si>
  <si>
    <t>Uncharacterized protein OS=Prunus persica GN=PRUPE_ppa012601mg PE=4 SV=1</t>
  </si>
  <si>
    <t>Uncharacterized protein OS=Prunus persica GN=PRUPE_ppa006111mg PE=3 SV=1</t>
  </si>
  <si>
    <t>Uncharacterized protein OS=Prunus persica GN=PRUPE_ppa001110mg PE=4 SV=1</t>
  </si>
  <si>
    <t>Uncharacterized protein OS=Prunus persica GN=PRUPE_ppa007834mg PE=4 SV=1</t>
  </si>
  <si>
    <t>Uncharacterized protein OS=Prunus persica GN=PRUPE_ppa001600mg PE=4 SV=1</t>
  </si>
  <si>
    <t>Uncharacterized protein OS=Prunus persica GN=PRUPE_ppa003266mg PE=4 SV=1</t>
  </si>
  <si>
    <t>Uncharacterized protein OS=Prunus persica GN=PRUPE_ppa012146mg PE=3 SV=1</t>
  </si>
  <si>
    <t>Uncharacterized protein OS=Prunus persica GN=PRUPE_ppa014570mg PE=4 SV=1</t>
  </si>
  <si>
    <t>Uncharacterized protein OS=Prunus persica GN=PRUPE_ppa021557mg PE=4 SV=1</t>
  </si>
  <si>
    <t>Ornithine decarboxylase OS=Pyrus x bretschneideri GN=ODC PE=2 SV=1</t>
  </si>
  <si>
    <t>Uncharacterized protein OS=Prunus persica GN=PRUPE_ppa007564mg PE=4 SV=1</t>
  </si>
  <si>
    <t>Uncharacterized protein OS=Prunus persica GN=PRUPE_ppa025573mg PE=4 SV=1</t>
  </si>
  <si>
    <t>Auxin response factor OS=Prunus persica GN=PRUPE_ppa002065m1g PE=3 SV=1</t>
  </si>
  <si>
    <t>Uncharacterized protein OS=Prunus persica GN=PRUPE_ppa021582mg PE=4 SV=1</t>
  </si>
  <si>
    <t>Uncharacterized protein OS=Prunus persica GN=PRUPE_ppa002906mg PE=4 SV=1</t>
  </si>
  <si>
    <t>Uncharacterized protein OS=Prunus persica GN=PRUPE_ppa003019mg PE=4 SV=1</t>
  </si>
  <si>
    <t>Uncharacterized protein OS=Prunus persica GN=PRUPE_ppa003665mg PE=4 SV=1</t>
  </si>
  <si>
    <t>Uncharacterized protein OS=Prunus persica GN=PRUPE_ppa003927mg PE=4 SV=1</t>
  </si>
  <si>
    <t>Uncharacterized protein OS=Prunus persica GN=PRUPE_ppa002231mg PE=3 SV=1</t>
  </si>
  <si>
    <t>3-ketoacyl-CoA synthase OS=Cucumis sativus GN=Csa_5G609650 PE=3 SV=1</t>
  </si>
  <si>
    <t>Uncharacterized protein OS=Prunus persica GN=PRUPE_ppa000516mg PE=4 SV=1</t>
  </si>
  <si>
    <t>Uncharacterized protein (Fragment) OS=Prunus persica GN=PRUPE_ppa018913mg PE=4 SV=1</t>
  </si>
  <si>
    <t>Uncharacterized protein OS=Prunus persica GN=PRUPE_ppa005495mg PE=4 SV=1</t>
  </si>
  <si>
    <t>Uncharacterized protein OS=Prunus persica GN=PRUPE_ppa002511mg PE=4 SV=1</t>
  </si>
  <si>
    <t>Uncharacterized protein OS=Prunus persica GN=PRUPE_ppa021425mg PE=4 SV=1</t>
  </si>
  <si>
    <t>Uncharacterized protein OS=Prunus persica GN=PRUPE_ppa006443mg PE=4 SV=1</t>
  </si>
  <si>
    <t>Uncharacterized protein OS=Prunus persica GN=PRUPE_ppa004576mg PE=4 SV=1</t>
  </si>
  <si>
    <t>Pectate lyase OS=Prunus persica GN=PRUPE_ppa008409mg PE=3 SV=1</t>
  </si>
  <si>
    <t>Uncharacterized protein OS=Prunus persica GN=PRUPE_ppa006119mg PE=4 SV=1</t>
  </si>
  <si>
    <t>Uncharacterized protein OS=Prunus persica GN=PRUPE_ppa026623mg PE=4 SV=1</t>
  </si>
  <si>
    <t>Uncharacterized protein OS=Prunus persica GN=PRUPE_ppa024222mg PE=4 SV=1</t>
  </si>
  <si>
    <t>Putative tRNA (cytidine(32)/guanosine(34)-2'-O)-methyltransferase OS=Prunus persica GN=PRUPE_ppa008863mg PE=3 SV=1</t>
  </si>
  <si>
    <t>Uncharacterized protein OS=Prunus persica GN=PRUPE_ppa009466mg PE=4 SV=1</t>
  </si>
  <si>
    <t>Uncharacterized protein OS=Prunus persica GN=PRUPE_ppa006110mg PE=3 SV=1</t>
  </si>
  <si>
    <t>Uncharacterized protein OS=Prunus persica GN=PRUPE_ppa006293mg PE=4 SV=1</t>
  </si>
  <si>
    <t>Uncharacterized protein OS=Prunus persica GN=PRUPE_ppa008150mg PE=4 SV=1</t>
  </si>
  <si>
    <t>Uncharacterized protein OS=Prunus persica GN=PRUPE_ppa004975mg PE=4 SV=1</t>
  </si>
  <si>
    <t>Uncharacterized protein OS=Prunus persica GN=PRUPE_ppa007222mg PE=4 SV=1</t>
  </si>
  <si>
    <t>Uncharacterized protein OS=Solanum lycopersicum GN=Solyc05g050350.1 PE=4 SV=1</t>
  </si>
  <si>
    <t>Uncharacterized protein OS=Prunus persica GN=PRUPE_ppa010258mg PE=4 SV=1</t>
  </si>
  <si>
    <t>Uncharacterized protein OS=Prunus persica GN=PRUPE_ppa009940mg PE=4 SV=1</t>
  </si>
  <si>
    <t>Uncharacterized protein OS=Prunus persica GN=PRUPE_ppa008846mg PE=4 SV=1</t>
  </si>
  <si>
    <t>Uncharacterized protein OS=Prunus persica GN=PRUPE_ppa021603mg PE=3 SV=1</t>
  </si>
  <si>
    <t>Uncharacterized protein OS=Prunus persica GN=PRUPE_ppa000081mg PE=3 SV=1</t>
  </si>
  <si>
    <t>Uncharacterized protein OS=Prunus persica GN=PRUPE_ppa011707mg PE=4 SV=1</t>
  </si>
  <si>
    <t>Uncharacterized protein OS=Prunus persica GN=PRUPE_ppa005229mg PE=4 SV=1</t>
  </si>
  <si>
    <t>Uncharacterized protein OS=Prunus persica GN=PRUPE_ppa019500mg PE=4 SV=1</t>
  </si>
  <si>
    <t>Uncharacterized protein OS=Prunus persica GN=PRUPE_ppa008137mg PE=4 SV=1</t>
  </si>
  <si>
    <t>Uncharacterized protein (Fragment) OS=Prunus persica GN=PRUPE_ppa017180mg PE=4 SV=1</t>
  </si>
  <si>
    <t>Uncharacterized protein OS=Prunus persica GN=PRUPE_ppa023345mg PE=4 SV=1</t>
  </si>
  <si>
    <t>Uncharacterized protein OS=Prunus persica GN=PRUPE_ppa001839mg PE=4 SV=1</t>
  </si>
  <si>
    <t>BnaA03g32250D protein OS=Brassica napus GN=BnaA03g32250D PE=4 SV=1</t>
  </si>
  <si>
    <t>Uncharacterized protein OS=Prunus persica GN=PRUPE_ppa017797mg PE=4 SV=1</t>
  </si>
  <si>
    <t>Uncharacterized protein OS=Prunus persica GN=PRUPE_ppa018001mg PE=4 SV=1</t>
  </si>
  <si>
    <t>Uncharacterized protein OS=Prunus persica GN=PRUPE_ppa011842mg PE=3 SV=1</t>
  </si>
  <si>
    <t>Glycosyltransferase OS=Jatropha curcas GN=JCGZ_14282 PE=3 SV=1</t>
  </si>
  <si>
    <t>Uncharacterized protein OS=Prunus persica GN=PRUPE_ppa004913mg PE=4 SV=1</t>
  </si>
  <si>
    <t>Uncharacterized protein OS=Prunus persica GN=PRUPE_ppa014919mg PE=4 SV=1</t>
  </si>
  <si>
    <t>Uncharacterized protein OS=Prunus persica GN=PRUPE_ppa002357mg PE=4 SV=1</t>
  </si>
  <si>
    <t>Uncharacterized protein OS=Prunus persica GN=PRUPE_ppa001823mg PE=4 SV=1</t>
  </si>
  <si>
    <t>Uncharacterized protein OS=Prunus persica GN=PRUPE_ppa002984mg PE=4 SV=1</t>
  </si>
  <si>
    <t>SOC1-like protein OS=Prunus pseudocerasus PE=2 SV=1</t>
  </si>
  <si>
    <t>Purple acid phosphatase OS=Prunus persica GN=PRUPE_ppa002700mg PE=3 SV=1</t>
  </si>
  <si>
    <t>Uncharacterized protein OS=Prunus persica GN=PRUPE_ppa010821mg PE=4 SV=1</t>
  </si>
  <si>
    <t>Uncharacterized protein OS=Eucalyptus grandis GN=EUGRSUZ_C00245 PE=4 SV=1</t>
  </si>
  <si>
    <t>Uncharacterized protein OS=Prunus persica GN=PRUPE_ppa026580mg PE=4 SV=1</t>
  </si>
  <si>
    <t>Predicted protein OS=Physcomitrella patens subsp. patens GN=PHYPADRAFT_179401 PE=4 SV=1</t>
  </si>
  <si>
    <t>Uncharacterized protein (Fragment) OS=Prunus persica GN=PRUPE_ppa024338mg PE=4 SV=1</t>
  </si>
  <si>
    <t>Uncharacterized protein OS=Prunus persica GN=PRUPE_ppa010002mg PE=4 SV=1</t>
  </si>
  <si>
    <t>Uncharacterized protein (Fragment) OS=Prunus persica GN=PRUPE_ppa015981mg PE=4 SV=1</t>
  </si>
  <si>
    <t>Uncharacterized protein OS=Prunus persica GN=PRUPE_ppa004528mg PE=4 SV=1</t>
  </si>
  <si>
    <t>Uncharacterized protein OS=Prunus persica GN=PRUPE_ppa011469mg PE=4 SV=1</t>
  </si>
  <si>
    <t>Protein yippee-like OS=Prunus persica GN=PRUPE_ppa013364mg PE=3 SV=1</t>
  </si>
  <si>
    <t>Uncharacterized protein OS=Prunus persica GN=PRUPE_ppa000315mg PE=3 SV=1</t>
  </si>
  <si>
    <t>Uncharacterized protein OS=Prunus persica GN=PRUPE_ppa026876mg PE=4 SV=1</t>
  </si>
  <si>
    <t>Uncharacterized protein (Fragment) OS=Prunus persica GN=PRUPE_ppa024457mg PE=3 SV=1</t>
  </si>
  <si>
    <t>Uncharacterized protein OS=Prunus persica GN=PRUPE_ppa001761mg PE=3 SV=1</t>
  </si>
  <si>
    <t>Polyubiquitin-A OS=Triticum urartu GN=TRIUR3_08047 PE=4 SV=1</t>
  </si>
  <si>
    <t>Uncharacterized protein OS=Prunus persica GN=PRUPE_ppa011227mg PE=4 SV=1</t>
  </si>
  <si>
    <t>Uncharacterized protein OS=Prunus persica GN=PRUPE_ppa001442mg PE=4 SV=1</t>
  </si>
  <si>
    <t>Uncharacterized protein OS=Prunus persica GN=PRUPE_ppa010633mg PE=4 SV=1</t>
  </si>
  <si>
    <t>Cytoplasmic tRNA 2-thiolation protein 2 OS=Prunus persica GN=PRUPE_ppa005400mg PE=3 SV=1</t>
  </si>
  <si>
    <t>Uncharacterized protein OS=Prunus persica GN=PRUPE_ppa008527mg PE=4 SV=1</t>
  </si>
  <si>
    <t>Uncharacterized protein (Fragment) OS=Prunus persica GN=PRUPE_ppa025274mg PE=4 SV=1</t>
  </si>
  <si>
    <t>Uncharacterized protein OS=Prunus persica GN=PRUPE_ppa007146mg PE=4 SV=1</t>
  </si>
  <si>
    <t>Uncharacterized protein OS=Prunus persica GN=PRUPE_ppa005534mg PE=3 SV=1</t>
  </si>
  <si>
    <t>Autophagy-related protein OS=Prunus persica GN=PRUPE_ppa011964mg PE=3 SV=1</t>
  </si>
  <si>
    <t>Uncharacterized protein OS=Prunus persica GN=PRUPE_ppa005263mg PE=4 SV=1</t>
  </si>
  <si>
    <t>Uncharacterized protein OS=Prunus persica GN=PRUPE_ppa000959mg PE=4 SV=1</t>
  </si>
  <si>
    <t>Uncharacterized protein OS=Prunus persica GN=PRUPE_ppa008310mg PE=3 SV=1</t>
  </si>
  <si>
    <t>Uncharacterized protein OS=Prunus persica GN=PRUPE_ppa018307mg PE=4 SV=1</t>
  </si>
  <si>
    <t>Uncharacterized protein OS=Prunus persica GN=PRUPE_ppa011361mg PE=4 SV=1</t>
  </si>
  <si>
    <t>Lipase OS=Prunus persica GN=PRUPE_ppa006507mg PE=3 SV=1</t>
  </si>
  <si>
    <t>Uncharacterized protein OS=Gossypium raimondii GN=B456_010G241000 PE=3 SV=1</t>
  </si>
  <si>
    <t>Uncharacterized protein OS=Prunus persica GN=PRUPE_ppa000449mg PE=4 SV=1</t>
  </si>
  <si>
    <t>Uncharacterized protein OS=Prunus persica GN=PRUPE_ppa005291mg PE=4 SV=1</t>
  </si>
  <si>
    <t>Uncharacterized protein OS=Prunus persica GN=PRUPE_ppa004598mg PE=4 SV=1</t>
  </si>
  <si>
    <t>Non-specific serine/threonine protein kinase OS=Prunus persica GN=PRUPE_ppa005839mg PE=4 SV=1</t>
  </si>
  <si>
    <t>Uncharacterized protein OS=Citrus clementina GN=CICLE_v10028974mg PE=4 SV=1</t>
  </si>
  <si>
    <t>Uncharacterized protein OS=Prunus persica GN=PRUPE_ppa011164mg PE=4 SV=1</t>
  </si>
  <si>
    <t>Uncharacterized protein OS=Prunus persica GN=PRUPE_ppa000248mg PE=4 SV=1</t>
  </si>
  <si>
    <t>Inositol-tetrakisphosphate 1-kinase OS=Prunus persica GN=PRUPE_ppa021570mg PE=3 SV=1</t>
  </si>
  <si>
    <t>Uncharacterized protein OS=Prunus persica GN=PRUPE_ppa025914mg PE=4 SV=1</t>
  </si>
  <si>
    <t>Uncharacterized protein OS=Prunus persica GN=PRUPE_ppa011362mg PE=4 SV=1</t>
  </si>
  <si>
    <t>Uncharacterized protein OS=Prunus persica GN=PRUPE_ppa005644mg PE=3 SV=1</t>
  </si>
  <si>
    <t>Uncharacterized protein OS=Prunus persica GN=PRUPE_ppa007574mg PE=4 SV=1</t>
  </si>
  <si>
    <t>Uncharacterized protein OS=Prunus persica GN=PRUPE_ppa004368mg PE=3 SV=1</t>
  </si>
  <si>
    <t>Uncharacterized protein OS=Prunus persica GN=PRUPE_ppa018105mg PE=4 SV=1</t>
  </si>
  <si>
    <t>Putative uncharacterized protein OS=Nectria haematococca (strain 77-13-4 / ATCC MYA-4622 / FGSC 9596 / MPVI) GN=NECHADRAFT_98843 PE=4 SV=1</t>
  </si>
  <si>
    <t>Uncharacterized protein OS=Prunus persica GN=PRUPE_ppa000237mg PE=4 SV=1</t>
  </si>
  <si>
    <t>Uncharacterized protein (Fragment) OS=Verticillium longisporum GN=BN1723_019054 PE=4 SV=1</t>
  </si>
  <si>
    <t>Uncharacterized protein OS=Prunus persica GN=PRUPE_ppa000877mg PE=4 SV=1</t>
  </si>
  <si>
    <t>Uncharacterized protein OS=Prunus persica GN=PRUPE_ppa000698mg PE=4 SV=1</t>
  </si>
  <si>
    <t>Uncharacterized protein OS=Prunus persica GN=PRUPE_ppa015956mg PE=4 SV=1</t>
  </si>
  <si>
    <t>Fructokinase OS=Prunus persica GN=FRK PE=2 SV=1</t>
  </si>
  <si>
    <t>Uncharacterized protein OS=Prunus persica GN=PRUPE_ppa022068mg PE=4 SV=1</t>
  </si>
  <si>
    <t>Uncharacterized protein OS=Prunus persica GN=PRUPE_ppa001986mg PE=4 SV=1</t>
  </si>
  <si>
    <t>Uncharacterized protein OS=Prunus persica GN=PRUPE_ppa000936mg PE=4 SV=1</t>
  </si>
  <si>
    <t>Uncharacterized protein OS=Prunus persica GN=PRUPE_ppa010428mg PE=4 SV=1</t>
  </si>
  <si>
    <t>Uncharacterized protein OS=Prunus persica GN=PRUPE_ppa001037mg PE=4 SV=1</t>
  </si>
  <si>
    <t>Uncharacterized protein OS=Prunus persica GN=PRUPE_ppa013226mg PE=4 SV=1</t>
  </si>
  <si>
    <t>Uncharacterized protein OS=Prunus persica GN=PRUPE_ppa015436mg PE=4 SV=1</t>
  </si>
  <si>
    <t>Putative uncharacterized protein OS=Vitis vinifera GN=VIT_08s0040g01020 PE=4 SV=1</t>
  </si>
  <si>
    <t>Trehalase OS=Prunus persica GN=PRUPE_ppa003514mg PE=3 SV=1</t>
  </si>
  <si>
    <t>Uncharacterized protein OS=Prunus persica GN=PRUPE_ppa009963mg PE=3 SV=1</t>
  </si>
  <si>
    <t>Uncharacterized protein (Fragment) OS=Prunus persica GN=PRUPE_ppa016482mg PE=4 SV=1</t>
  </si>
  <si>
    <t>Uncharacterized protein OS=Prunus persica GN=PRUPE_ppa001994mg PE=4 SV=1</t>
  </si>
  <si>
    <t>Uncharacterized protein OS=Prunus persica GN=PRUPE_ppa002677mg PE=4 SV=1</t>
  </si>
  <si>
    <t>Uncharacterized protein (Fragment) OS=Prunus persica GN=PRUPE_ppa027151mg PE=4 SV=1</t>
  </si>
  <si>
    <t>Uncharacterized protein (Fragment) OS=Prunus persica GN=PRUPE_ppa020204mg PE=4 SV=1</t>
  </si>
  <si>
    <t>Uncharacterized protein OS=Prunus persica GN=PRUPE_ppa006274mg PE=4 SV=1</t>
  </si>
  <si>
    <t>Uncharacterized protein OS=Prunus persica GN=PRUPE_ppa007798mg PE=4 SV=1</t>
  </si>
  <si>
    <t>Uncharacterized protein OS=Prunus persica GN=PRUPE_ppa000634mg PE=4 SV=1</t>
  </si>
  <si>
    <t>Uncharacterized protein OS=Prunus persica GN=PRUPE_ppa005320mg PE=3 SV=1</t>
  </si>
  <si>
    <t>Uncharacterized protein OS=Prunus persica GN=PRUPE_ppa004148mg PE=4 SV=1</t>
  </si>
  <si>
    <t>Uncharacterized protein OS=Prunus persica GN=PRUPE_ppa008023mg PE=4 SV=1</t>
  </si>
  <si>
    <t>Uncharacterized protein OS=Prunus persica GN=PRUPE_ppa027013mg PE=3 SV=1</t>
  </si>
  <si>
    <t>Uncharacterized protein OS=Prunus persica GN=PRUPE_ppa021674mg PE=4 SV=1</t>
  </si>
  <si>
    <t>Uncharacterized protein OS=Prunus persica GN=PRUPE_ppa006084mg PE=4 SV=1</t>
  </si>
  <si>
    <t>Uncharacterized protein (Fragment) OS=Prunus persica GN=PRUPE_ppa016288mg PE=4 SV=1</t>
  </si>
  <si>
    <t>Uncharacterized protein OS=Prunus persica GN=PRUPE_ppa024957mg PE=4 SV=1</t>
  </si>
  <si>
    <t>Uncharacterized protein OS=Prunus persica GN=PRUPE_ppa005143mg PE=4 SV=1</t>
  </si>
  <si>
    <t>Uncharacterized protein OS=Prunus persica GN=PRUPE_ppa003135mg PE=4 SV=1</t>
  </si>
  <si>
    <t>Uncharacterized protein OS=Prunus persica GN=PRUPE_ppa014191mg PE=4 SV=1</t>
  </si>
  <si>
    <t>Uncharacterized protein OS=Prunus persica GN=PRUPE_ppa011725mg PE=3 SV=1</t>
  </si>
  <si>
    <t>Uncharacterized protein OS=Prunus persica GN=PRUPE_ppa021134mg PE=4 SV=1</t>
  </si>
  <si>
    <t>Uncharacterized protein OS=Prunus persica GN=PRUPE_ppa004787mg PE=4 SV=1</t>
  </si>
  <si>
    <t>Uncharacterized protein OS=Prunus persica GN=PRUPE_ppa020729mg PE=4 SV=1</t>
  </si>
  <si>
    <t>Uncharacterized protein OS=Prunus persica GN=PRUPE_ppa016062mg PE=4 SV=1</t>
  </si>
  <si>
    <t>Uncharacterized protein OS=Prunus persica GN=PRUPE_ppa006406mg PE=4 SV=1</t>
  </si>
  <si>
    <t>Uncharacterized protein OS=Prunus persica GN=PRUPE_ppa002850mg PE=4 SV=1</t>
  </si>
  <si>
    <t>Uncharacterized protein OS=Prunus persica GN=PRUPE_ppa017136mg PE=4 SV=1</t>
  </si>
  <si>
    <t>ATP synthase alpha/beta family protein isoform 1 OS=Theobroma cacao GN=TCM_000733 PE=4 SV=1</t>
  </si>
  <si>
    <t>Uncharacterized protein OS=Prunus persica GN=PRUPE_ppa024895mg PE=4 SV=1</t>
  </si>
  <si>
    <t>Uncharacterized protein OS=Prunus persica GN=PRUPE_ppa005257mg PE=3 SV=1</t>
  </si>
  <si>
    <t>Uncharacterized protein OS=Citrus clementina GN=CICLE_v10008889mg PE=4 SV=1</t>
  </si>
  <si>
    <t>Uncharacterized protein OS=Prunus persica GN=PRUPE_ppa016341mg PE=4 SV=1</t>
  </si>
  <si>
    <t>Uncharacterized protein (Fragment) OS=Prunus persica GN=PRUPE_ppa022000mg PE=4 SV=1</t>
  </si>
  <si>
    <t>Uncharacterized protein OS=Prunus persica GN=PRUPE_ppa024779mg PE=4 SV=1</t>
  </si>
  <si>
    <t>Uncharacterized protein OS=Prunus persica GN=PRUPE_ppa004157mg PE=4 SV=1</t>
  </si>
  <si>
    <t>Uncharacterized protein OS=Prunus persica GN=PRUPE_ppa009942mg PE=4 SV=1</t>
  </si>
  <si>
    <t>Uncharacterized protein OS=Prunus persica GN=PRUPE_ppa001355mg PE=3 SV=1</t>
  </si>
  <si>
    <t>Uncharacterized protein OS=Prunus persica GN=PRUPE_ppa010381mg PE=3 SV=1</t>
  </si>
  <si>
    <t>Uncharacterized protein OS=Prunus persica GN=PRUPE_ppa002883mg PE=4 SV=1</t>
  </si>
  <si>
    <t>Uncharacterized protein OS=Prunus persica GN=PRUPE_ppa026792mg PE=4 SV=1</t>
  </si>
  <si>
    <t>Uncharacterized protein OS=Prunus persica GN=PRUPE_ppa005059mg PE=3 SV=1</t>
  </si>
  <si>
    <t>Uncharacterized protein OS=Prunus persica GN=PRUPE_ppa015088mg PE=4 SV=1</t>
  </si>
  <si>
    <t>Uncharacterized protein OS=Prunus persica GN=PRUPE_ppa009515mg PE=4 SV=1</t>
  </si>
  <si>
    <t>V-type proton ATPase subunit F OS=Prunus persica GN=PRUPE_ppa013294mg PE=3 SV=1</t>
  </si>
  <si>
    <t>Uncharacterized protein OS=Prunus persica GN=PRUPE_ppa023436mg PE=4 SV=1</t>
  </si>
  <si>
    <t>Uncharacterized protein OS=Prunus persica GN=PRUPE_ppa001850mg PE=4 SV=1</t>
  </si>
  <si>
    <t>Uncharacterized protein OS=Prunus persica GN=PRUPE_ppa006222mg PE=4 SV=1</t>
  </si>
  <si>
    <t>Uncharacterized protein (Fragment) OS=Prunus persica GN=PRUPE_ppa017173mg PE=4 SV=1</t>
  </si>
  <si>
    <t>Uncharacterized protein (Fragment) OS=Prunus persica GN=PRUPE_ppa021398mg PE=4 SV=1</t>
  </si>
  <si>
    <t>Probable ribosome biogenesis protein PRUPE_ppa010103mg OS=Prunus persica GN=PRUPE_ppa010103mg PE=3 SV=1</t>
  </si>
  <si>
    <t>Uncharacterized protein OS=Prunus persica GN=PRUPE_ppa007962mg PE=3 SV=1</t>
  </si>
  <si>
    <t>Uncharacterized protein OS=Prunus persica GN=PRUPE_ppa004470mg PE=4 SV=1</t>
  </si>
  <si>
    <t>Uncharacterized protein OS=Prunus persica GN=PRUPE_ppa008118mg PE=4 SV=1</t>
  </si>
  <si>
    <t>Uncharacterized protein OS=Prunus persica GN=PRUPE_ppa006288mg PE=4 SV=1</t>
  </si>
  <si>
    <t>Uncharacterized protein OS=Prunus persica GN=PRUPE_ppa012181mg PE=4 SV=1</t>
  </si>
  <si>
    <t>Uncharacterized protein OS=Prunus persica GN=PRUPE_ppa012542mg PE=4 SV=1</t>
  </si>
  <si>
    <t>Uncharacterized protein OS=Prunus persica GN=PRUPE_ppa006960mg PE=3 SV=1</t>
  </si>
  <si>
    <t>Uncharacterized protein OS=Prunus persica GN=PRUPE_ppa008438mg PE=4 SV=1</t>
  </si>
  <si>
    <t>Uncharacterized protein OS=Prunus persica GN=PRUPE_ppa015125mg PE=4 SV=1</t>
  </si>
  <si>
    <t>Uncharacterized protein OS=Jatropha curcas GN=JCGZ_00857 PE=4 SV=1</t>
  </si>
  <si>
    <t>Uncharacterized protein OS=Prunus persica GN=PRUPE_ppa025020mg PE=4 SV=1</t>
  </si>
  <si>
    <t>Uncharacterized protein OS=Prunus persica GN=PRUPE_ppa012444mg PE=4 SV=1</t>
  </si>
  <si>
    <t>Uncharacterized protein OS=Prunus persica GN=PRUPE_ppa004080mg PE=4 SV=1</t>
  </si>
  <si>
    <t>Uncharacterized protein OS=Jatropha curcas GN=JCGZ_13040 PE=4 SV=1</t>
  </si>
  <si>
    <t>Uncharacterized protein OS=Prunus persica GN=PRUPE_ppa001956mg PE=4 SV=1</t>
  </si>
  <si>
    <t>Uncharacterized protein OS=Prunus persica GN=PRUPE_ppa013096mg PE=4 SV=1</t>
  </si>
  <si>
    <t>Uncharacterized protein OS=Prunus persica GN=PRUPE_ppa023190mg PE=4 SV=1</t>
  </si>
  <si>
    <t>Translation machinery-associated protein 22 OS=Prunus persica GN=PRUPE_ppa011888mg PE=3 SV=1</t>
  </si>
  <si>
    <t>Uncharacterized protein (Fragment) OS=Prunus persica GN=PRUPE_ppa018124mg PE=4 SV=1</t>
  </si>
  <si>
    <t>Uncharacterized protein OS=Prunus persica GN=PRUPE_ppb025548mg PE=4 SV=1</t>
  </si>
  <si>
    <t>Uncharacterized protein OS=Prunus persica GN=PRUPE_ppa001285mg PE=4 SV=1</t>
  </si>
  <si>
    <t>Uncharacterized protein OS=Prunus persica GN=PRUPE_ppa010727mg PE=4 SV=1</t>
  </si>
  <si>
    <t>Uncharacterized protein OS=Prunus persica GN=PRUPE_ppa009257mg PE=4 SV=1</t>
  </si>
  <si>
    <t>Uncharacterized protein OS=Prunus persica GN=PRUPE_ppa011568mg PE=4 SV=1</t>
  </si>
  <si>
    <t>Uncharacterized protein OS=Prunus persica GN=PRUPE_ppa007079mg PE=3 SV=1</t>
  </si>
  <si>
    <t>Uncharacterized protein OS=Gossypium raimondii GN=B456_001G164600 PE=4 SV=1</t>
  </si>
  <si>
    <t>Uncharacterized protein OS=Prunus persica GN=PRUPE_ppa020181mg PE=4 SV=1</t>
  </si>
  <si>
    <t>Uncharacterized protein (Fragment) OS=Prunus persica GN=PRUPE_ppa026817mg PE=4 SV=1</t>
  </si>
  <si>
    <t>Uncharacterized protein OS=Prunus persica GN=PRUPE_ppa013381mg PE=4 SV=1</t>
  </si>
  <si>
    <t>Uncharacterized protein OS=Prunus persica GN=PRUPE_ppa008260mg PE=4 SV=1</t>
  </si>
  <si>
    <t>Uncharacterized protein (Fragment) OS=Prunus persica GN=PRUPE_ppa024738mg PE=4 SV=1</t>
  </si>
  <si>
    <t>Uncharacterized protein OS=Prunus persica GN=PRUPE_ppa010653mg PE=4 SV=1</t>
  </si>
  <si>
    <t>Uncharacterized protein OS=Prunus persica GN=PRUPE_ppa007448mg PE=4 SV=1</t>
  </si>
  <si>
    <t>Uncharacterized protein OS=Prunus persica GN=PRUPE_ppa012061mg PE=4 SV=1</t>
  </si>
  <si>
    <t>Uncharacterized protein OS=Jatropha curcas GN=JCGZ_26556 PE=3 SV=1</t>
  </si>
  <si>
    <t>Uncharacterized protein OS=Prunus persica GN=PRUPE_ppa013337mg PE=4 SV=1</t>
  </si>
  <si>
    <t>Uncharacterized protein OS=Prunus persica GN=PRUPE_ppa007203mg PE=4 SV=1</t>
  </si>
  <si>
    <t>Uncharacterized protein OS=Prunus persica GN=PRUPE_ppa006877mg PE=4 SV=1</t>
  </si>
  <si>
    <t>Uncharacterized protein OS=Prunus persica GN=PRUPE_ppa002437mg PE=4 SV=1</t>
  </si>
  <si>
    <t>Uncharacterized protein OS=Prunus persica GN=PRUPE_ppa000791mg PE=4 SV=1</t>
  </si>
  <si>
    <t>Uncharacterized protein OS=Prunus persica GN=PRUPE_ppa009833mg PE=4 SV=1</t>
  </si>
  <si>
    <t>Uncharacterized protein OS=Prunus persica GN=PRUPE_ppa016956mg PE=4 SV=1</t>
  </si>
  <si>
    <t>Uncharacterized protein OS=Prunus persica GN=PRUPE_ppa004899mg PE=4 SV=1</t>
  </si>
  <si>
    <t>Uncharacterized protein OS=Prunus persica GN=PRUPE_ppa022232mg PE=4 SV=1</t>
  </si>
  <si>
    <t>Alpha-galactosidase OS=Prunus persica GN=PRUPE_ppa007136mg PE=3 SV=1</t>
  </si>
  <si>
    <t>Uncharacterized protein OS=Prunus persica GN=PRUPE_ppa007719mg PE=3 SV=1</t>
  </si>
  <si>
    <t>Uncharacterized protein OS=Prunus persica GN=PRUPE_ppa006763mg PE=4 SV=1</t>
  </si>
  <si>
    <t>Uncharacterized protein OS=Prunus persica GN=PRUPE_ppa010461mg PE=4 SV=1</t>
  </si>
  <si>
    <t>Uncharacterized protein OS=Prunus persica GN=PRUPE_ppa006071mg PE=4 SV=1</t>
  </si>
  <si>
    <t>Uncharacterized protein OS=Prunus persica GN=PRUPE_ppa005206mg PE=3 SV=1</t>
  </si>
  <si>
    <t>Uncharacterized protein OS=Brachypodium distachyon GN=BRADI3G52300 PE=4 SV=1</t>
  </si>
  <si>
    <t>Uncharacterized protein OS=Prunus persica GN=PRUPE_ppa008687mg PE=4 SV=1</t>
  </si>
  <si>
    <t>Uncharacterized protein OS=Prunus persica GN=PRUPE_ppa024891mg PE=4 SV=1</t>
  </si>
  <si>
    <t>Uncharacterized protein OS=Prunus persica GN=PRUPE_ppa017182mg PE=4 SV=1</t>
  </si>
  <si>
    <t>Uncharacterized protein OS=Prunus persica GN=PRUPE_ppa018149mg PE=3 SV=1</t>
  </si>
  <si>
    <t>Uncharacterized protein OS=Prunus persica GN=PRUPE_ppa007556mg PE=4 SV=1</t>
  </si>
  <si>
    <t>Uncharacterized protein OS=Prunus persica GN=PRUPE_ppa011764mg PE=3 SV=1</t>
  </si>
  <si>
    <t>Uncharacterized protein OS=Prunus persica GN=PRUPE_ppa001709mg PE=4 SV=1</t>
  </si>
  <si>
    <t>Uncharacterized protein OS=Prunus persica GN=PRUPE_ppa000859mg PE=4 SV=1</t>
  </si>
  <si>
    <t>Uncharacterized protein OS=Prunus persica GN=PRUPE_ppa026701mg PE=4 SV=1</t>
  </si>
  <si>
    <t>Uncharacterized protein OS=Prunus persica GN=PRUPE_ppa011533mg PE=4 SV=1</t>
  </si>
  <si>
    <t>Uncharacterized protein (Fragment) OS=Prunus persica GN=PRUPE_ppa017535mg PE=4 SV=1</t>
  </si>
  <si>
    <t>UDP-glucose 6-dehydrogenase OS=Prunus persica GN=PRUPE_ppa005034mg PE=3 SV=1</t>
  </si>
  <si>
    <t>TMV resistance protein N OS=Morus notabilis GN=L484_016858 PE=4 SV=1</t>
  </si>
  <si>
    <t>Uncharacterized protein (Fragment) OS=Prunus persica GN=PRUPE_ppa023214mg PE=4 SV=1</t>
  </si>
  <si>
    <t>Uncharacterized protein OS=Prunus persica GN=PRUPE_ppa001178mg PE=4 SV=1</t>
  </si>
  <si>
    <t>Uncharacterized protein OS=Prunus persica GN=PRUPE_ppa024548mg PE=4 SV=1</t>
  </si>
  <si>
    <t>Uncharacterized protein OS=Prunus persica GN=PRUPE_ppa009207mg PE=4 SV=1</t>
  </si>
  <si>
    <t>Reticulon-like protein OS=Prunus persica GN=PRUPE_ppa023407mg PE=4 SV=1</t>
  </si>
  <si>
    <t>Uncharacterized protein OS=Prunus persica GN=PRUPE_ppa001062mg PE=3 SV=1</t>
  </si>
  <si>
    <t>Uncharacterized protein OS=Prunus persica GN=PRUPE_ppa000392mg PE=4 SV=1</t>
  </si>
  <si>
    <t>Uncharacterized protein OS=Prunus persica GN=PRUPE_ppa010763mg PE=4 SV=1</t>
  </si>
  <si>
    <t>Uncharacterized protein OS=Prunus persica GN=PRUPE_ppa012118mg PE=4 SV=1</t>
  </si>
  <si>
    <t>Uncharacterized protein OS=Morus notabilis GN=L484_001076 PE=4 SV=1</t>
  </si>
  <si>
    <t>Uncharacterized protein OS=Prunus persica GN=PRUPE_ppa003796mg PE=4 SV=1</t>
  </si>
  <si>
    <t>Uncharacterized protein OS=Prunus persica GN=PRUPE_ppa002708mg PE=4 SV=1</t>
  </si>
  <si>
    <t>Uncharacterized protein OS=Prunus persica GN=PRUPE_ppa004166mg PE=4 SV=1</t>
  </si>
  <si>
    <t>Uncharacterized protein OS=Prunus persica GN=PRUPE_ppb022892mg PE=4 SV=1</t>
  </si>
  <si>
    <t>Uncharacterized protein OS=Prunus persica GN=PRUPE_ppa025913mg PE=4 SV=1</t>
  </si>
  <si>
    <t>Uncharacterized protein OS=Prunus persica GN=PRUPE_ppa011954mg PE=4 SV=1</t>
  </si>
  <si>
    <t>Uncharacterized protein OS=Prunus persica GN=PRUPE_ppa003872mg PE=4 SV=1</t>
  </si>
  <si>
    <t>Uncharacterized protein OS=Prunus persica GN=PRUPE_ppa013110mg PE=4 SV=1</t>
  </si>
  <si>
    <t>Uncharacterized protein OS=Prunus persica GN=PRUPE_ppa025515mg PE=4 SV=1</t>
  </si>
  <si>
    <t>Uncharacterized protein OS=Prunus persica GN=PRUPE_ppa000625mg PE=4 SV=1</t>
  </si>
  <si>
    <t>Uncharacterized protein OS=Prunus persica GN=PRUPE_ppa010582mg PE=4 SV=1</t>
  </si>
  <si>
    <t>Uncharacterized protein OS=Prunus persica GN=PRUPE_ppa012564mg PE=4 SV=1</t>
  </si>
  <si>
    <t>Uncharacterized protein OS=Prunus persica GN=PRUPE_ppa003894mg PE=4 SV=1</t>
  </si>
  <si>
    <t>EIL2 OS=Prunus persica PE=2 SV=1</t>
  </si>
  <si>
    <t>Uncharacterized protein OS=Prunus persica GN=PRUPE_ppa025237mg PE=4 SV=1</t>
  </si>
  <si>
    <t>Uncharacterized protein (Fragment) OS=Prunus persica GN=PRUPE_ppa015702mg PE=4 SV=1</t>
  </si>
  <si>
    <t>Uncharacterized protein OS=Prunus persica GN=PRUPE_ppa008644mg PE=4 SV=1</t>
  </si>
  <si>
    <t>Uncharacterized protein (Fragment) OS=Prunus persica GN=PRUPE_ppa021736mg PE=4 SV=1</t>
  </si>
  <si>
    <t>Uncharacterized protein OS=Prunus persica GN=PRUPE_ppa003209mg PE=4 SV=1</t>
  </si>
  <si>
    <t>Uncharacterized protein OS=Prunus persica GN=PRUPE_ppa1027188mg PE=4 SV=1</t>
  </si>
  <si>
    <t>Uncharacterized protein OS=Prunus persica GN=PRUPE_ppa016927mg PE=4 SV=1</t>
  </si>
  <si>
    <t>Uncharacterized protein OS=Prunus persica GN=PRUPE_ppa003812mg PE=3 SV=1</t>
  </si>
  <si>
    <t>Uncharacterized protein OS=Prunus persica GN=PRUPE_ppa000760mg PE=4 SV=1</t>
  </si>
  <si>
    <t>Uncharacterized protein (Fragment) OS=Prunus persica GN=PRUPE_ppa018952mg PE=4 SV=1</t>
  </si>
  <si>
    <t>Uncharacterized protein (Fragment) OS=Prunus persica GN=PRUPE_ppa020909mg PE=4 SV=1</t>
  </si>
  <si>
    <t>Uncharacterized protein OS=Prunus persica GN=PRUPE_ppa025574mg PE=4 SV=1</t>
  </si>
  <si>
    <t>Uncharacterized protein OS=Prunus persica GN=PRUPE_ppa006685mg PE=3 SV=1</t>
  </si>
  <si>
    <t>Uncharacterized protein OS=Prunus persica GN=PRUPE_ppa007062mg PE=3 SV=1</t>
  </si>
  <si>
    <t>Uncharacterized protein OS=Prunus persica GN=PRUPE_ppa000140mg PE=4 SV=1</t>
  </si>
  <si>
    <t>Uncharacterized protein OS=Prunus persica GN=PRUPE_ppa009717mg PE=4 SV=1</t>
  </si>
  <si>
    <t>Uncharacterized protein OS=Prunus persica GN=PRUPE_ppa006777mg PE=4 SV=1</t>
  </si>
  <si>
    <t>Uncharacterized protein OS=Prunus persica GN=PRUPE_ppa004608mg PE=4 SV=1</t>
  </si>
  <si>
    <t>Uncharacterized protein OS=Prunus persica GN=PRUPE_ppa009133mg PE=4 SV=1</t>
  </si>
  <si>
    <t>Uncharacterized protein OS=Prunus persica GN=PRUPE_ppa003463mg PE=4 SV=1</t>
  </si>
  <si>
    <t>Uncharacterized protein OS=Prunus persica GN=PRUPE_ppa017008mg PE=4 SV=1</t>
  </si>
  <si>
    <t>Uncharacterized protein OS=Prunus persica GN=PRUPE_ppa020714mg PE=4 SV=1</t>
  </si>
  <si>
    <t>Uncharacterized protein OS=Prunus persica GN=PRUPE_ppa002827mg PE=4 SV=1</t>
  </si>
  <si>
    <t>Uncharacterized protein OS=Prunus persica GN=PRUPE_ppa003844mg PE=4 SV=1</t>
  </si>
  <si>
    <t>Uncharacterized protein OS=Prunus persica GN=PRUPE_ppa006323mg PE=3 SV=1</t>
  </si>
  <si>
    <t>Uncharacterized protein OS=Prunus persica GN=PRUPE_ppa016682mg PE=3 SV=1</t>
  </si>
  <si>
    <t>Uncharacterized protein OS=Prunus persica GN=PRUPE_ppa013773mg PE=4 SV=1</t>
  </si>
  <si>
    <t>Uncharacterized protein OS=Prunus persica GN=PRUPE_ppa003877mg PE=4 SV=1</t>
  </si>
  <si>
    <t>Uncharacterized protein OS=Prunus persica GN=PRUPE_ppa015171mg PE=4 SV=1</t>
  </si>
  <si>
    <t>Uncharacterized protein OS=Prunus persica GN=PRUPE_ppb017681mg PE=4 SV=1</t>
  </si>
  <si>
    <t>Uncharacterized protein OS=Prunus persica GN=PRUPE_ppa021861mg PE=4 SV=1</t>
  </si>
  <si>
    <t>Uncharacterized protein OS=Prunus persica GN=PRUPE_ppa004824mg PE=4 SV=1</t>
  </si>
  <si>
    <t>Uncharacterized protein OS=Prunus persica GN=PRUPE_ppa012989mg PE=4 SV=1</t>
  </si>
  <si>
    <t>Uncharacterized protein (Fragment) OS=Verticillium longisporum GN=BN1723_005379 PE=4 SV=1</t>
  </si>
  <si>
    <t>Uncharacterized protein OS=Prunus persica GN=PRUPE_ppa023213mg PE=3 SV=1</t>
  </si>
  <si>
    <t>Proline-rich receptor-like protein kinase PERK1 OS=Morus notabilis GN=L484_014337 PE=4 SV=1</t>
  </si>
  <si>
    <t>Uncharacterized protein (Fragment) OS=Prunus persica GN=PRUPE_ppb016299mg PE=4 SV=1</t>
  </si>
  <si>
    <t>Uncharacterized protein OS=Prunus persica GN=PRUPE_ppa009700mg PE=4 SV=1</t>
  </si>
  <si>
    <t>Uncharacterized protein (Fragment) OS=Prunus persica GN=PRUPE_ppa026903mg PE=4 SV=1</t>
  </si>
  <si>
    <t>Peroxidase OS=Prunus persica GN=PRUPE_ppb006944mg PE=3 SV=1</t>
  </si>
  <si>
    <t>Uncharacterized protein OS=Prunus persica GN=PRUPE_ppa009393mg PE=4 SV=1</t>
  </si>
  <si>
    <t>DNA topoisomerase 6 subunit B OS=Prunus persica GN=TOP6B PE=3 SV=1</t>
  </si>
  <si>
    <t>Uncharacterized protein OS=Prunus persica GN=PRUPE_ppa003451mg PE=4 SV=1</t>
  </si>
  <si>
    <t>Uncharacterized protein OS=Prunus persica GN=PRUPE_ppa001710mg PE=4 SV=1</t>
  </si>
  <si>
    <t>Uncharacterized protein OS=Prunus persica GN=PRUPE_ppa006241mg PE=4 SV=1</t>
  </si>
  <si>
    <t>Uncharacterized protein OS=Gossypium raimondii GN=B456_008G004800 PE=3 SV=1</t>
  </si>
  <si>
    <t>Uncharacterized protein OS=Prunus persica GN=PRUPE_ppa002781mg PE=4 SV=1</t>
  </si>
  <si>
    <t>Uncharacterized protein OS=Prunus persica GN=PRUPE_ppa011161mg PE=4 SV=1</t>
  </si>
  <si>
    <t>PTI1-like tyrosine-protein kinase 3 OS=Morus notabilis GN=L484_024701 PE=3 SV=1</t>
  </si>
  <si>
    <t>Uncharacterized protein OS=Prunus persica GN=PRUPE_ppa025468mg PE=4 SV=1</t>
  </si>
  <si>
    <t>ABA 8'-hydroxylase (Fragment) OS=Prunus avium GN=CYP707A3 PE=2 SV=1</t>
  </si>
  <si>
    <t>Uncharacterized protein OS=Prunus persica GN=PRUPE_ppa007867mg PE=4 SV=1</t>
  </si>
  <si>
    <t>Uncharacterized protein OS=Prunus persica GN=PRUPE_ppa001029mg PE=3 SV=1</t>
  </si>
  <si>
    <t>Uncharacterized protein OS=Prunus persica GN=PRUPE_ppa000426mg PE=4 SV=1</t>
  </si>
  <si>
    <t>Uncharacterized protein OS=Prunus persica GN=PRUPE_ppa005118mg PE=4 SV=1</t>
  </si>
  <si>
    <t>Uncharacterized protein OS=Prunus persica GN=PRUPE_ppa000960mg PE=4 SV=1</t>
  </si>
  <si>
    <t>Uncharacterized protein OS=Prunus persica GN=PRUPE_ppa002197mg PE=4 SV=1</t>
  </si>
  <si>
    <t>Uncharacterized protein OS=Prunus persica GN=PRUPE_ppa007963mg PE=3 SV=1</t>
  </si>
  <si>
    <t>Uncharacterized protein OS=Prunus persica GN=PRUPE_ppa005132mg PE=4 SV=1</t>
  </si>
  <si>
    <t>Uncharacterized protein OS=Prunus persica GN=PRUPE_ppa010987mg PE=4 SV=1</t>
  </si>
  <si>
    <t>Uncharacterized protein OS=Prunus persica GN=PRUPE_ppa013397mg PE=4 SV=1</t>
  </si>
  <si>
    <t>Uncharacterized protein OS=Prunus persica GN=PRUPE_ppa009399mg PE=4 SV=1</t>
  </si>
  <si>
    <t>Uncharacterized protein OS=Prunus persica GN=PRUPE_ppa006603mg PE=4 SV=1</t>
  </si>
  <si>
    <t>Uncharacterized protein OS=Prunus persica GN=PRUPE_ppa005469mg PE=4 SV=1</t>
  </si>
  <si>
    <t>Uncharacterized protein OS=Prunus persica GN=PRUPE_ppa020867mg PE=4 SV=1</t>
  </si>
  <si>
    <t>Uncharacterized protein (Fragment) OS=Prunus persica GN=PRUPE_ppa021477mg PE=4 SV=1</t>
  </si>
  <si>
    <t>Uncharacterized protein OS=Prunus persica GN=PRUPE_ppa001701mg PE=4 SV=1</t>
  </si>
  <si>
    <t>Uncharacterized protein OS=Prunus persica GN=PRUPE_ppa012415mg PE=4 SV=1</t>
  </si>
  <si>
    <t>Uncharacterized protein OS=Prunus persica GN=PRUPE_ppa004499mg PE=4 SV=1</t>
  </si>
  <si>
    <t>Uncharacterized protein OS=Prunus persica GN=PRUPE_ppa010226mg PE=3 SV=1</t>
  </si>
  <si>
    <t>Uncharacterized protein OS=Prunus persica GN=PRUPE_ppa024853mg PE=4 SV=1</t>
  </si>
  <si>
    <t>Uncharacterized protein OS=Prunus persica GN=PRUPE_ppa022174mg PE=3 SV=1</t>
  </si>
  <si>
    <t>Uncharacterized protein OS=Prunus persica GN=PRUPE_ppa004457mg PE=4 SV=1</t>
  </si>
  <si>
    <t>Putative polygalacturonase OS=Fragaria ananassa PE=2 SV=1</t>
  </si>
  <si>
    <t>Uncharacterized protein OS=Prunus persica GN=PRUPE_ppa016338mg PE=4 SV=1</t>
  </si>
  <si>
    <t>Uncharacterized protein OS=Prunus persica GN=PRUPE_ppa023255mg PE=4 SV=1</t>
  </si>
  <si>
    <t>Uncharacterized protein OS=Solanum tuberosum GN=PGSC0003DMG400009230 PE=4 SV=1</t>
  </si>
  <si>
    <t>Uncharacterized protein OS=Prunus persica GN=PRUPE_ppa003079mg PE=4 SV=1</t>
  </si>
  <si>
    <t>Uncharacterized protein OS=Prunus persica GN=PRUPE_ppa000501mg PE=4 SV=1</t>
  </si>
  <si>
    <t>Zeta-carotene desaturase OS=Prunus persica GN=PRUPE_ppa003478mg PE=3 SV=1</t>
  </si>
  <si>
    <t>Uncharacterized protein OS=Prunus persica GN=PRUPE_ppa000777mg PE=4 SV=1</t>
  </si>
  <si>
    <t>Uncharacterized protein OS=Prunus persica GN=PRUPE_ppa007067mg PE=4 SV=1</t>
  </si>
  <si>
    <t>Uncharacterized protein OS=Prunus persica GN=PRUPE_ppa005227mg PE=4 SV=1</t>
  </si>
  <si>
    <t>Uncharacterized protein OS=Prunus persica GN=PRUPE_ppa004296mg PE=4 SV=1</t>
  </si>
  <si>
    <t>Histone deacetylase OS=Prunus persica GN=PRUPE_ppa005308mg PE=3 SV=1</t>
  </si>
  <si>
    <t>Malate dehydrogenase OS=Prunus persica GN=PRUPE_ppa008270mg PE=3 SV=1</t>
  </si>
  <si>
    <t>Uncharacterized protein OS=Prunus persica GN=PRUPE_ppa013177mg PE=4 SV=1</t>
  </si>
  <si>
    <t>Uncharacterized protein OS=Prunus persica GN=PRUPE_ppa006174mg PE=3 SV=1</t>
  </si>
  <si>
    <t>Uncharacterized protein OS=Prunus persica GN=PRUPE_ppa003264mg PE=4 SV=1</t>
  </si>
  <si>
    <t>Uncharacterized protein OS=Prunus persica GN=PRUPE_ppa011097mg PE=4 SV=1</t>
  </si>
  <si>
    <t>Uncharacterized protein OS=Prunus persica GN=PRUPE_ppa007997mg PE=4 SV=1</t>
  </si>
  <si>
    <t>Uncharacterized protein OS=Prunus persica GN=PRUPE_ppa010589mg PE=4 SV=1</t>
  </si>
  <si>
    <t>Uncharacterized protein OS=Prunus persica GN=PRUPE_ppa027210mg PE=4 SV=1</t>
  </si>
  <si>
    <t>Uncharacterized protein (Fragment) OS=Prunus persica GN=PRUPE_ppa024709mg PE=4 SV=1</t>
  </si>
  <si>
    <t>CASP-like protein OS=Prunus persica GN=PRUPE_ppa011729mg PE=3 SV=1</t>
  </si>
  <si>
    <t>Uncharacterized protein OS=Prunus persica GN=PRUPE_ppa009064mg PE=4 SV=1</t>
  </si>
  <si>
    <t>Uncharacterized protein OS=Prunus persica GN=PRUPE_ppa008314mg PE=4 SV=1</t>
  </si>
  <si>
    <t>Glycosyltransferase OS=Prunus persica GN=PRUPE_ppa024453mg PE=3 SV=1</t>
  </si>
  <si>
    <t>Uncharacterized protein OS=Prunus persica GN=PRUPE_ppa013234mg PE=3 SV=1</t>
  </si>
  <si>
    <t>Uncharacterized protein OS=Prunus persica GN=PRUPE_ppa010942mg PE=4 SV=1</t>
  </si>
  <si>
    <t>UDP-glucose:glycoprotein glucosyltransferases,transferases isoform 3 OS=Theobroma cacao GN=TCM_006926 PE=4 SV=1</t>
  </si>
  <si>
    <t>Uncharacterized protein OS=Gossypium raimondii GN=B456_011G239400 PE=4 SV=1</t>
  </si>
  <si>
    <t>Uncharacterized protein OS=Prunus persica GN=PRUPE_ppa014966mg PE=4 SV=1</t>
  </si>
  <si>
    <t>Uncharacterized protein OS=Prunus persica GN=PRUPE_ppa002644mg PE=4 SV=1</t>
  </si>
  <si>
    <t>Uncharacterized protein OS=Prunus persica GN=PRUPE_ppa023247mg PE=4 SV=1</t>
  </si>
  <si>
    <t>Uncharacterized protein OS=Prunus persica GN=PRUPE_ppa003599mg PE=4 SV=1</t>
  </si>
  <si>
    <t>Uncharacterized protein OS=Prunus persica GN=PRUPE_ppa010145mg PE=3 SV=1</t>
  </si>
  <si>
    <t>Uncharacterized protein OS=Prunus persica GN=PRUPE_ppa001893mg PE=3 SV=1</t>
  </si>
  <si>
    <t>Uncharacterized protein OS=Prunus persica GN=PRUPE_ppa005979mg PE=4 SV=1</t>
  </si>
  <si>
    <t>Uncharacterized protein OS=Prunus persica GN=PRUPE_ppa003405mg PE=3 SV=1</t>
  </si>
  <si>
    <t>Uncharacterized protein OS=Prunus persica GN=PRUPE_ppa022495mg PE=4 SV=1</t>
  </si>
  <si>
    <t>Uncharacterized protein OS=Prunus persica GN=PRUPE_ppa005198mg PE=4 SV=1</t>
  </si>
  <si>
    <t>Uncharacterized protein OS=Prunus persica GN=PRUPE_ppa002704mg PE=4 SV=1</t>
  </si>
  <si>
    <t>Uncharacterized protein OS=Prunus persica GN=PRUPE_ppa007742mg PE=4 SV=1</t>
  </si>
  <si>
    <t>Uncharacterized protein OS=Prunus persica GN=PRUPE_ppa003360mg PE=4 SV=1</t>
  </si>
  <si>
    <t>Uncharacterized protein OS=Prunus persica GN=PRUPE_ppa013064mg PE=4 SV=1</t>
  </si>
  <si>
    <t>Uncharacterized protein OS=Prunus persica GN=PRUPE_ppa024324mg PE=4 SV=1</t>
  </si>
  <si>
    <t>Uncharacterized protein (Fragment) OS=Prunus persica GN=PRUPE_ppa018440mg PE=4 SV=1</t>
  </si>
  <si>
    <t>Uncharacterized protein OS=Prunus persica GN=PRUPE_ppa009123mg PE=4 SV=1</t>
  </si>
  <si>
    <t>Uncharacterized protein OS=Prunus persica GN=PRUPE_ppa012707mg PE=4 SV=1</t>
  </si>
  <si>
    <t>Uncharacterized protein (Fragment) OS=Prunus persica GN=PRUPE_ppa019564mg PE=4 SV=1</t>
  </si>
  <si>
    <t>Uncharacterized protein OS=Prunus persica GN=PRUPE_ppa008789mg PE=4 SV=1</t>
  </si>
  <si>
    <t>Uncharacterized protein OS=Prunus persica GN=PRUPE_ppa000544mg PE=4 SV=1</t>
  </si>
  <si>
    <t>Uncharacterized protein OS=Prunus persica GN=PRUPE_ppa011775mg PE=4 SV=1</t>
  </si>
  <si>
    <t>Uncharacterized protein OS=Prunus persica GN=PRUPE_ppa006094mg PE=4 SV=1</t>
  </si>
  <si>
    <t>Uncharacterized protein OS=Prunus persica GN=PRUPE_ppa003077mg PE=4 SV=1</t>
  </si>
  <si>
    <t>Uncharacterized protein (Fragment) OS=Prunus persica GN=PRUPE_ppa016768mg PE=4 SV=1</t>
  </si>
  <si>
    <t>Mitochondrial Rho GTPase OS=Prunus persica GN=PRUPE_ppa002696mg PE=3 SV=1</t>
  </si>
  <si>
    <t>Uncharacterized protein OS=Prunus persica GN=PRUPE_ppa011371mg PE=4 SV=1</t>
  </si>
  <si>
    <t>Uncharacterized protein OS=Prunus persica GN=PRUPE_ppa005723mg PE=4 SV=1</t>
  </si>
  <si>
    <t>MATE efflux family protein OS=Prunus persica GN=PRUPE_ppa004487mg PE=3 SV=1</t>
  </si>
  <si>
    <t>Uncharacterized protein OS=Prunus persica GN=PRUPE_ppa009755mg PE=4 SV=1</t>
  </si>
  <si>
    <t>Uncharacterized protein OS=Prunus persica GN=PRUPE_ppa003547mg PE=3 SV=1</t>
  </si>
  <si>
    <t>Uncharacterized protein OS=Prunus persica GN=PRUPE_ppa001089mg PE=4 SV=1</t>
  </si>
  <si>
    <t>Uncharacterized protein OS=Prunus persica GN=PRUPE_ppa006767mg PE=3 SV=1</t>
  </si>
  <si>
    <t>Uncharacterized protein OS=Prunus persica GN=PRUPE_ppa000395mg PE=4 SV=1</t>
  </si>
  <si>
    <t>Uncharacterized protein OS=Prunus persica GN=PRUPE_ppa011499mg PE=4 SV=1</t>
  </si>
  <si>
    <t>Uncharacterized protein OS=Prunus persica GN=PRUPE_ppa000201mg PE=4 SV=1</t>
  </si>
  <si>
    <t>Uncharacterized protein OS=Prunus persica GN=PRUPE_ppa012502mg PE=4 SV=1</t>
  </si>
  <si>
    <t>Uncharacterized protein (Fragment) OS=Prunus persica GN=PRUPE_ppa000101m2g PE=4 SV=1</t>
  </si>
  <si>
    <t>Putative uncharacterized protein OS=Vitis vinifera GN=VITISV_044400 PE=4 SV=1</t>
  </si>
  <si>
    <t>Putative uncharacterized protein OS=Vitis vinifera GN=VIT_18s0001g08480 PE=4 SV=1</t>
  </si>
  <si>
    <t>Uncharacterized protein OS=Prunus persica GN=PRUPE_ppa013763mg PE=4 SV=1</t>
  </si>
  <si>
    <t>DNA-directed RNA polymerase subunit OS=Medicago truncatula GN=MTR_3g102420 PE=3 SV=1</t>
  </si>
  <si>
    <t>Uncharacterized protein OS=Prunus persica GN=PRUPE_ppa007974mg PE=4 SV=1</t>
  </si>
  <si>
    <t>Uncharacterized protein OS=Prunus persica GN=PRUPE_ppa020569mg PE=4 SV=1</t>
  </si>
  <si>
    <t>Uncharacterized protein OS=Prunus persica GN=PRUPE_ppa007031mg PE=4 SV=1</t>
  </si>
  <si>
    <t>Putative uncharacterized protein OS=Vitis vinifera GN=VIT_05s0029g01260 PE=4 SV=1</t>
  </si>
  <si>
    <t>MYB19 OS=Malus domestica GN=MdMYBB PE=2 SV=1</t>
  </si>
  <si>
    <t>Uncharacterized protein OS=Prunus persica GN=PRUPE_ppa001675mg PE=4 SV=1</t>
  </si>
  <si>
    <t>Uncharacterized protein OS=Prunus persica GN=PRUPE_ppa002954mg PE=4 SV=1</t>
  </si>
  <si>
    <t>Putative uncharacterized protein OS=Vitis vinifera GN=VITISV_026810 PE=4 SV=1</t>
  </si>
  <si>
    <t>Uncharacterized protein OS=Prunus persica GN=PRUPE_ppa017651mg PE=4 SV=1</t>
  </si>
  <si>
    <t>Uncharacterized protein OS=Citrus clementina GN=CICLE_v10012319mg PE=4 SV=1</t>
  </si>
  <si>
    <t>Uncharacterized protein OS=Prunus persica GN=PRUPE_ppa014999mg PE=3 SV=1</t>
  </si>
  <si>
    <t>Uncharacterized protein OS=Prunus persica GN=PRUPE_ppa007803mg PE=4 SV=1</t>
  </si>
  <si>
    <t>Laccase OS=Prunus persica GN=PRUPE_ppa003590mg PE=3 SV=1</t>
  </si>
  <si>
    <t>Uncharacterized protein (Fragment) OS=Prunus persica GN=PRUPE_ppa018038mg PE=4 SV=1</t>
  </si>
  <si>
    <t>Uncharacterized protein OS=Prunus persica GN=PRUPE_ppa003498mg PE=4 SV=1</t>
  </si>
  <si>
    <t>Uncharacterized protein OS=Prunus persica GN=PRUPE_ppa025287mg PE=3 SV=1</t>
  </si>
  <si>
    <t>Uncharacterized protein OS=Prunus persica GN=PRUPE_ppa004677mg PE=4 SV=1</t>
  </si>
  <si>
    <t>Sodium/hydrogen exchanger OS=Prunus persica GN=PRUPE_ppa003943mg PE=3 SV=1</t>
  </si>
  <si>
    <t>Uncharacterized protein (Fragment) OS=Prunus persica GN=PRUPE_ppa015990mg PE=4 SV=1</t>
  </si>
  <si>
    <t>Intron maturase, type II family protein OS=Theobroma cacao GN=TCM_024930 PE=4 SV=1</t>
  </si>
  <si>
    <t>Uncharacterized protein OS=Prunus persica GN=PRUPE_ppa008460mg PE=4 SV=1</t>
  </si>
  <si>
    <t>Uncharacterized protein OS=Prunus persica GN=PRUPE_ppa009177mg PE=4 SV=1</t>
  </si>
  <si>
    <t>Uncharacterized protein OS=Prunus persica GN=PRUPE_ppa014192mg PE=4 SV=1</t>
  </si>
  <si>
    <t>Uncharacterized protein OS=Prunus persica GN=PRUPE_ppa005776mg PE=4 SV=1</t>
  </si>
  <si>
    <t>Uncharacterized protein OS=Prunus persica GN=PRUPE_ppa011046mg PE=4 SV=1</t>
  </si>
  <si>
    <t>Uncharacterized protein OS=Prunus persica GN=PRUPE_ppa013551mg PE=4 SV=1</t>
  </si>
  <si>
    <t>Uncharacterized protein OS=Prunus persica GN=PRUPE_ppa006521mg PE=4 SV=1</t>
  </si>
  <si>
    <t>Uncharacterized protein OS=Prunus persica GN=PRUPE_ppa010883mg PE=4 SV=1</t>
  </si>
  <si>
    <t>Uncharacterized protein OS=Prunus persica GN=PRUPE_ppa011007mg PE=4 SV=1</t>
  </si>
  <si>
    <t>Uncharacterized protein (Fragment) OS=Prunus persica GN=PRUPE_ppa015962mg PE=4 SV=1</t>
  </si>
  <si>
    <t>Uncharacterized protein OS=Prunus persica GN=PRUPE_ppa007405mg PE=4 SV=1</t>
  </si>
  <si>
    <t>Uncharacterized protein OS=Prunus persica GN=PRUPE_ppa011691mg PE=3 SV=1</t>
  </si>
  <si>
    <t>Uncharacterized protein OS=Prunus persica GN=PRUPE_ppa009917mg PE=4 SV=1</t>
  </si>
  <si>
    <t>Glutathione-S-transferase OS=Pyrus pyrifolia GN=GST PE=2 SV=1</t>
  </si>
  <si>
    <t>Uncharacterized protein OS=Prunus persica GN=PRUPE_ppa003430mg PE=4 SV=1</t>
  </si>
  <si>
    <t>Cell wall invertase 1 OS=Prunus persica GN=CWINV1 PE=4 SV=1</t>
  </si>
  <si>
    <t>Uncharacterized protein (Fragment) OS=Prunus persica GN=PRUPE_ppa022478mg PE=4 SV=1</t>
  </si>
  <si>
    <t>Uncharacterized protein OS=Prunus persica GN=PRUPE_ppa004633mg PE=3 SV=1</t>
  </si>
  <si>
    <t>Uncharacterized protein OS=Prunus persica GN=PRUPE_ppa005149mg PE=4 SV=1</t>
  </si>
  <si>
    <t>Uncharacterized protein OS=Prunus persica GN=PRUPE_ppa015470mg PE=3 SV=1</t>
  </si>
  <si>
    <t>Uncharacterized protein OS=Prunus persica GN=PRUPE_ppa004828mg PE=4 SV=1</t>
  </si>
  <si>
    <t>Uncharacterized protein OS=Prunus persica GN=PRUPE_ppa1027136mg PE=4 SV=1</t>
  </si>
  <si>
    <t>Defective in cullin neddylation protein OS=Prunus persica GN=PRUPE_ppa011419mg PE=4 SV=1</t>
  </si>
  <si>
    <t>Uncharacterized protein OS=Prunus persica GN=PRUPE_ppa001674mg PE=4 SV=1</t>
  </si>
  <si>
    <t>Uncharacterized protein OS=Prunus persica GN=PRUPE_ppa020184mg PE=3 SV=1</t>
  </si>
  <si>
    <t>Uncharacterized protein OS=Prunus persica GN=PRUPE_ppa020114mg PE=4 SV=1</t>
  </si>
  <si>
    <t>Uncharacterized protein OS=Prunus persica GN=PRUPE_ppa026842mg PE=4 SV=1</t>
  </si>
  <si>
    <t>Phospholipase D delta OS=Morus notabilis GN=L484_014306 PE=4 SV=1</t>
  </si>
  <si>
    <t>Sulfiredoxin OS=Prunus persica GN=PRUPE_ppa013333mg PE=3 SV=1</t>
  </si>
  <si>
    <t>Uncharacterized protein OS=Prunus persica GN=PRUPE_ppa013103mg PE=4 SV=1</t>
  </si>
  <si>
    <t>Uncharacterized protein OS=Prunus persica GN=PRUPE_ppa010514mg PE=4 SV=1</t>
  </si>
  <si>
    <t>Uncharacterized protein OS=Prunus persica GN=PRUPE_ppa019049mg PE=4 SV=1</t>
  </si>
  <si>
    <t>Uncharacterized protein (Fragment) OS=Prunus persica GN=PRUPE_ppa025782m1g PE=4 SV=1</t>
  </si>
  <si>
    <t>Uncharacterized protein OS=Prunus persica GN=PRUPE_ppa014741mg PE=3 SV=1</t>
  </si>
  <si>
    <t>Uncharacterized protein OS=Prunus persica GN=PRUPE_ppa013094mg PE=3 SV=1</t>
  </si>
  <si>
    <t>40S ribosomal protein S6 OS=Prunus persica GN=PRUPE_ppa010452mg PE=3 SV=1</t>
  </si>
  <si>
    <t>Uncharacterized protein OS=Prunus persica GN=PRUPE_ppa1027175mg PE=4 SV=1</t>
  </si>
  <si>
    <t>Phosphoserine aminotransferase OS=Prunus persica GN=PRUPE_ppa006013mg PE=3 SV=1</t>
  </si>
  <si>
    <t>Uncharacterized protein OS=Prunus persica GN=PRUPE_ppa024956mg PE=4 SV=1</t>
  </si>
  <si>
    <t>Uncharacterized protein (Fragment) OS=Prunus persica GN=PRUPE_ppa019223mg PE=4 SV=1</t>
  </si>
  <si>
    <t>Uncharacterized protein OS=Prunus persica GN=PRUPE_ppa007097mg PE=4 SV=1</t>
  </si>
  <si>
    <t>MATE efflux family protein OS=Prunus persica GN=PRUPE_ppa023647mg PE=3 SV=1</t>
  </si>
  <si>
    <t>Uncharacterized protein OS=Prunus persica GN=PRUPE_ppa011221mg PE=4 SV=1</t>
  </si>
  <si>
    <t>Uncharacterized protein OS=Prunus persica GN=PRUPE_ppa024761mg PE=4 SV=1</t>
  </si>
  <si>
    <t>Uncharacterized protein OS=Prunus persica GN=PRUPE_ppb003710mg PE=4 SV=1</t>
  </si>
  <si>
    <t>Uncharacterized protein OS=Prunus persica GN=PRUPE_ppa004409mg PE=4 SV=1</t>
  </si>
  <si>
    <t>UDP-galactose transporter OS=Prunus persica GN=UGT PE=2 SV=1</t>
  </si>
  <si>
    <t>Pectinesterase OS=Prunus persica GN=PRUPE_ppa003047mg PE=3 SV=1</t>
  </si>
  <si>
    <t>Uncharacterized protein OS=Prunus persica GN=PRUPE_ppa018155mg PE=4 SV=1</t>
  </si>
  <si>
    <t>Uncharacterized protein OS=Prunus persica GN=PRUPE_ppb015931mg PE=4 SV=1</t>
  </si>
  <si>
    <t>Uncharacterized protein OS=Prunus persica GN=PRUPE_ppa002748mg PE=3 SV=1</t>
  </si>
  <si>
    <t>Uncharacterized protein OS=Prunus persica GN=PRUPE_ppa003051mg PE=4 SV=1</t>
  </si>
  <si>
    <t>Uncharacterized protein OS=Prunus persica GN=PRUPE_ppa012454mg PE=4 SV=1</t>
  </si>
  <si>
    <t>Uncharacterized protein OS=Prunus persica GN=PRUPE_ppa022555mg PE=4 SV=1</t>
  </si>
  <si>
    <t>Uncharacterized protein OS=Prunus persica GN=PRUPE_ppa006530mg PE=4 SV=1</t>
  </si>
  <si>
    <t>Uncharacterized protein OS=Prunus persica GN=PRUPE_ppa002371mg PE=4 SV=1</t>
  </si>
  <si>
    <t>Uncharacterized protein OS=Prunus persica GN=PRUPE_ppa016533mg PE=3 SV=1</t>
  </si>
  <si>
    <t>Putative uncharacterized protein OS=Vitis vinifera GN=VIT_16s0022g01710 PE=3 SV=1</t>
  </si>
  <si>
    <t>Uncharacterized protein OS=Prunus persica GN=PRUPE_ppa008342mg PE=4 SV=1</t>
  </si>
  <si>
    <t>Desiccation protectant protein Lea14 like OS=Glycine soja GN=glysoja_000941 PE=4 SV=1</t>
  </si>
  <si>
    <t>Uncharacterized protein OS=Prunus persica GN=PRUPE_ppa008379mg PE=4 SV=1</t>
  </si>
  <si>
    <t>Uncharacterized protein OS=Prunus persica GN=PRUPE_ppa001431mg PE=4 SV=1</t>
  </si>
  <si>
    <t>Uncharacterized protein OS=Prunus persica GN=PRUPE_ppa005211mg PE=4 SV=1</t>
  </si>
  <si>
    <t>Uncharacterized protein OS=Prunus persica GN=PRUPE_ppa024959mg PE=4 SV=1</t>
  </si>
  <si>
    <t>Uncharacterized protein OS=Prunus persica GN=PRUPE_ppa007016mg PE=4 SV=1</t>
  </si>
  <si>
    <t>Uncharacterized protein OS=Prunus persica GN=PRUPE_ppa012431mg PE=4 SV=1</t>
  </si>
  <si>
    <t>Uncharacterized protein OS=Prunus persica GN=PRUPE_ppa004724mg PE=4 SV=1</t>
  </si>
  <si>
    <t>Uncharacterized protein OS=Prunus persica GN=PRUPE_ppa012636mg PE=4 SV=1</t>
  </si>
  <si>
    <t>Uncharacterized protein OS=Prunus persica GN=PRUPE_ppa000146mg PE=4 SV=1</t>
  </si>
  <si>
    <t>Uncharacterized protein OS=Prunus persica GN=PRUPE_ppa014565mg PE=4 SV=1</t>
  </si>
  <si>
    <t>Calcium-transporting ATPase OS=Prunus persica GN=PRUPE_ppa000672mg PE=3 SV=1</t>
  </si>
  <si>
    <t>Uncharacterized protein OS=Prunus persica GN=PRUPE_ppa026281mg PE=4 SV=1</t>
  </si>
  <si>
    <t>NHL domain-containing protein isoform 1 OS=Theobroma cacao GN=TCM_032010 PE=4 SV=1</t>
  </si>
  <si>
    <t>Uncharacterized protein OS=Prunus persica GN=PRUPE_ppa008343mg PE=4 SV=1</t>
  </si>
  <si>
    <t>Uncharacterized protein OS=Prunus persica GN=PRUPE_ppa015657mg PE=4 SV=1</t>
  </si>
  <si>
    <t>Uncharacterized protein OS=Prunus persica GN=PRUPE_ppa016222mg PE=4 SV=1</t>
  </si>
  <si>
    <t>Uncharacterized protein OS=Prunus persica GN=PRUPE_ppa003544mg PE=4 SV=1</t>
  </si>
  <si>
    <t>Uncharacterized protein OS=Prunus persica GN=PRUPE_ppa007328mg PE=3 SV=1</t>
  </si>
  <si>
    <t>Uncharacterized protein OS=Prunus persica GN=PRUPE_ppa008129mg PE=4 SV=1</t>
  </si>
  <si>
    <t>Uncharacterized protein OS=Prunus persica GN=PRUPE_ppa009806mg PE=4 SV=1</t>
  </si>
  <si>
    <t>Uncharacterized protein OS=Prunus persica GN=PRUPE_ppa011368mg PE=3 SV=1</t>
  </si>
  <si>
    <t>Uncharacterized protein OS=Morus notabilis GN=L484_015932 PE=4 SV=1</t>
  </si>
  <si>
    <t>Uncharacterized protein OS=Prunus persica GN=PRUPE_ppa024573mg PE=4 SV=1</t>
  </si>
  <si>
    <t>Uncharacterized protein (Fragment) OS=Prunus persica GN=PRUPE_ppb023573mg PE=4 SV=1</t>
  </si>
  <si>
    <t>Uncharacterized protein OS=Prunus persica GN=PRUPE_ppa025811mg PE=4 SV=1</t>
  </si>
  <si>
    <t>Uncharacterized protein OS=Prunus persica GN=PRUPE_ppa009707mg PE=4 SV=1</t>
  </si>
  <si>
    <t>Uncharacterized protein OS=Prunus persica GN=PRUPE_ppa002779mg PE=4 SV=1</t>
  </si>
  <si>
    <t>Tetratricopeptide repeat-like superfamily protein, putative OS=Theobroma cacao GN=TCM_007549 PE=4 SV=1</t>
  </si>
  <si>
    <t>Uncharacterized protein OS=Prunus persica GN=PRUPE_ppa018576mg PE=3 SV=1</t>
  </si>
  <si>
    <t>Uncharacterized protein OS=Prunus persica GN=PRUPE_ppa021968mg PE=4 SV=1</t>
  </si>
  <si>
    <t>Uncharacterized protein OS=Morus notabilis GN=L484_020405 PE=4 SV=1</t>
  </si>
  <si>
    <t>Glycerol-3-phosphate dehydrogenase [NAD(+)] OS=Prunus persica GN=PRUPE_ppa005359mg PE=3 SV=1</t>
  </si>
  <si>
    <t>Uncharacterized protein OS=Prunus persica GN=PRUPE_ppa003673mg PE=4 SV=1</t>
  </si>
  <si>
    <t>Uncharacterized protein OS=Prunus persica GN=PRUPE_ppa013606mg PE=4 SV=1</t>
  </si>
  <si>
    <t>Uncharacterized protein (Fragment) OS=Prunus persica GN=PRUPE_ppa025830mg PE=4 SV=1</t>
  </si>
  <si>
    <t>Uncharacterized protein OS=Medicago truncatula GN=MTR_1g027380 PE=4 SV=1</t>
  </si>
  <si>
    <t>Uncharacterized protein (Fragment) OS=Prunus persica GN=PRUPE_ppa017261mg PE=4 SV=1</t>
  </si>
  <si>
    <t>Uncharacterized protein OS=Prunus persica GN=PRUPE_ppa001902mg PE=4 SV=1</t>
  </si>
  <si>
    <t>Uncharacterized protein OS=Prunus persica GN=PRUPE_ppa011281mg PE=3 SV=1</t>
  </si>
  <si>
    <t>Uncharacterized protein OS=Prunus persica GN=PRUPE_ppa001449mg PE=4 SV=1</t>
  </si>
  <si>
    <t>Uncharacterized protein OS=Prunus persica GN=PRUPE_ppa008746mg PE=3 SV=1</t>
  </si>
  <si>
    <t>Uncharacterized protein OS=Prunus persica GN=PRUPE_ppa000365mg PE=4 SV=1</t>
  </si>
  <si>
    <t>Uncharacterized protein OS=Prunus persica GN=PRUPE_ppa004914mg PE=4 SV=1</t>
  </si>
  <si>
    <t>Uncharacterized protein OS=Prunus persica GN=PRUPE_ppa001097mg PE=4 SV=1</t>
  </si>
  <si>
    <t>Serine/threonine-protein phosphatase OS=Prunus persica GN=PRUPE_ppa009100mg PE=3 SV=1</t>
  </si>
  <si>
    <t>Uncharacterized protein OS=Prunus persica GN=PRUPE_ppa014687mg PE=4 SV=1</t>
  </si>
  <si>
    <t>Uncharacterized protein OS=Populus trichocarpa GN=POPTR_0006s23180g PE=4 SV=1</t>
  </si>
  <si>
    <t>T-complex protein 1 subunit alpha OS=Prunus persica GN=PRUPE_ppa003729mg PE=3 SV=1</t>
  </si>
  <si>
    <t>Uncharacterized protein OS=Prunus persica GN=PRUPE_ppa000723mg PE=4 SV=1</t>
  </si>
  <si>
    <t>Histone-lysine N-methyltransferase OS=Prunus persica GN=PRUPE_ppa1027128mg PE=4 SV=1</t>
  </si>
  <si>
    <t>Uncharacterized protein OS=Prunus persica GN=PRUPE_ppa016978mg PE=4 SV=1</t>
  </si>
  <si>
    <t>Uncharacterized protein OS=Prunus persica GN=PRUPE_ppa007455mg PE=4 SV=1</t>
  </si>
  <si>
    <t>Uncharacterized protein OS=Prunus persica GN=PRUPE_ppa001032mg PE=3 SV=1</t>
  </si>
  <si>
    <t>Uncharacterized protein OS=Prunus persica GN=PRUPE_ppa004870mg PE=4 SV=1</t>
  </si>
  <si>
    <t>Uncharacterized protein (Fragment) OS=Prunus persica GN=PRUPE_ppa025386mg PE=4 SV=1</t>
  </si>
  <si>
    <t>Uncharacterized protein OS=Prunus persica GN=PRUPE_ppa013702mg PE=4 SV=1</t>
  </si>
  <si>
    <t>Endonuclease III homolog OS=Prunus persica GN=NTH1 PE=3 SV=1</t>
  </si>
  <si>
    <t>Uncharacterized protein OS=Prunus persica GN=PRUPE_ppa005753mg PE=4 SV=1</t>
  </si>
  <si>
    <t>Peroxidase OS=Prunus persica GN=PRUPE_ppa008896mg PE=3 SV=1</t>
  </si>
  <si>
    <t>Trehalose 6-phosphate phosphatase OS=Prunus persica GN=PRUPE_ppa026983mg PE=3 SV=1</t>
  </si>
  <si>
    <t>Uncharacterized protein OS=Prunus persica GN=PRUPE_ppa001239mg PE=4 SV=1</t>
  </si>
  <si>
    <t>Uncharacterized protein OS=Prunus persica GN=PRUPE_ppa004034mg PE=3 SV=1</t>
  </si>
  <si>
    <t>Uncharacterized protein OS=Prunus persica GN=PRUPE_ppa011632mg PE=4 SV=1</t>
  </si>
  <si>
    <t>Putative uncharacterized protein OS=Vitis vinifera GN=VIT_13s0067g02700 PE=4 SV=1</t>
  </si>
  <si>
    <t>Uncharacterized protein OS=Prunus persica GN=PRUPE_ppa001530mg PE=4 SV=1</t>
  </si>
  <si>
    <t>Uncharacterized protein OS=Prunus persica GN=PRUPE_ppa004427mg PE=4 SV=1</t>
  </si>
  <si>
    <t>Pre-mRNA-processing factor 39 OS=Arabidopsis thaliana GN=PRP39 PE=1 SV=1</t>
  </si>
  <si>
    <t>Uncharacterized protein OS=Prunus persica GN=PRUPE_ppa015592mg PE=4 SV=1</t>
  </si>
  <si>
    <t>Uncharacterized protein OS=Prunus persica GN=PRUPE_ppa005658mg PE=3 SV=1</t>
  </si>
  <si>
    <t>Uncharacterized protein OS=Prunus persica GN=PRUPE_ppa021242mg PE=4 SV=1</t>
  </si>
  <si>
    <t>Glycosyltransferase OS=Prunus persica GN=PRUPE_ppa015133mg PE=3 SV=1</t>
  </si>
  <si>
    <t>Uncharacterized protein OS=Prunus persica GN=PRUPE_ppa011584mg PE=4 SV=1</t>
  </si>
  <si>
    <t>Uncharacterized protein (Fragment) OS=Prunus persica GN=PRUPE_ppa019150mg PE=3 SV=1</t>
  </si>
  <si>
    <t>Uncharacterized protein (Fragment) OS=Prunus persica GN=PRUPE_ppa021990mg PE=4 SV=1</t>
  </si>
  <si>
    <t>Uncharacterized protein OS=Prunus persica GN=PRUPE_ppa011425mg PE=4 SV=1</t>
  </si>
  <si>
    <t>Uncharacterized protein OS=Prunus persica GN=PRUPE_ppa012169mg PE=4 SV=1</t>
  </si>
  <si>
    <t>Uncharacterized protein OS=Prunus persica GN=PRUPE_ppa012763mg PE=4 SV=1</t>
  </si>
  <si>
    <t>Uncharacterized protein OS=Prunus persica GN=PRUPE_ppa026090mg PE=4 SV=1</t>
  </si>
  <si>
    <t>Uncharacterized protein OS=Prunus persica GN=PRUPE_ppa006280mg PE=4 SV=1</t>
  </si>
  <si>
    <t>Uncharacterized protein OS=Hevea brasiliensis PE=2 SV=1</t>
  </si>
  <si>
    <t>Uncharacterized protein OS=Prunus persica GN=PRUPE_ppa017736mg PE=4 SV=1</t>
  </si>
  <si>
    <t>Glyceraldehyde-3-phosphate dehydrogenase OS=Prunus persica GN=PRUPE_ppa006087mg PE=3 SV=1</t>
  </si>
  <si>
    <t>Uncharacterized protein OS=Prunus persica GN=PRUPE_ppa003671mg PE=4 SV=1</t>
  </si>
  <si>
    <t>Uncharacterized protein OS=Prunus persica GN=PRUPE_ppa002869mg PE=4 SV=1</t>
  </si>
  <si>
    <t>Purple acid phosphatase OS=Prunus persica GN=PRUPE_ppa005973mg PE=3 SV=1</t>
  </si>
  <si>
    <t>Uncharacterized protein OS=Prunus persica GN=PRUPE_ppa003113mg PE=4 SV=1</t>
  </si>
  <si>
    <t>Uncharacterized protein OS=Prunus persica GN=PRUPE_ppa009991mg PE=4 SV=1</t>
  </si>
  <si>
    <t>Uncharacterized protein OS=Prunus persica GN=PRUPE_ppa020215mg PE=4 SV=1</t>
  </si>
  <si>
    <t>Auxin response factor OS=Prunus persica GN=PRUPE_ppa001392mg PE=3 SV=1</t>
  </si>
  <si>
    <t>Uncharacterized protein OS=Prunus persica GN=PRUPE_ppa004717mg PE=4 SV=1</t>
  </si>
  <si>
    <t>Uncharacterized protein OS=Prunus persica GN=PRUPE_ppa002512mg PE=4 SV=1</t>
  </si>
  <si>
    <t>Uncharacterized protein OS=Prunus persica GN=PRUPE_ppa008356mg PE=4 SV=1</t>
  </si>
  <si>
    <t>Uncharacterized protein OS=Prunus persica GN=PRUPE_ppa017842mg PE=4 SV=1</t>
  </si>
  <si>
    <t>Uncharacterized protein OS=Prunus persica GN=PRUPE_ppa005146mg PE=3 SV=1</t>
  </si>
  <si>
    <t>Uncharacterized protein OS=Prunus persica GN=PRUPE_ppa005715mg PE=4 SV=1</t>
  </si>
  <si>
    <t>Uncharacterized protein (Fragment) OS=Prunus persica GN=PRUPE_ppa020719mg PE=4 SV=1</t>
  </si>
  <si>
    <t>Condensin complex subunit 2 OS=Theobroma cacao GN=TCM_030821 PE=3 SV=1</t>
  </si>
  <si>
    <t>Uncharacterized protein OS=Prunus persica GN=PRUPE_ppa000909mg PE=4 SV=1</t>
  </si>
  <si>
    <t>Exocyst complex component sec5 isoform 1 OS=Theobroma cacao GN=TCM_035548 PE=4 SV=1</t>
  </si>
  <si>
    <t>Uncharacterized protein (Fragment) OS=Prunus persica GN=PRUPE_ppa023437mg PE=4 SV=1</t>
  </si>
  <si>
    <t>Uncharacterized protein OS=Prunus persica GN=PRUPE_ppa009817mg PE=4 SV=1</t>
  </si>
  <si>
    <t>Uncharacterized protein OS=Prunus persica GN=PRUPE_ppa012214mg PE=4 SV=1</t>
  </si>
  <si>
    <t>Uncharacterized protein OS=Prunus persica GN=PRUPE_ppa012156mg PE=3 SV=1</t>
  </si>
  <si>
    <t>Uncharacterized protein OS=Prunus persica GN=PRUPE_ppa010931mg PE=3 SV=1</t>
  </si>
  <si>
    <t>Uncharacterized protein OS=Prunus persica GN=PRUPE_ppa003588mg PE=4 SV=1</t>
  </si>
  <si>
    <t>HVA22-like protein OS=Prunus persica GN=PRUPE_ppa012222mg PE=3 SV=1</t>
  </si>
  <si>
    <t>Uncharacterized protein OS=Prunus persica GN=PRUPE_ppa022473mg PE=4 SV=1</t>
  </si>
  <si>
    <t>Uncharacterized protein OS=Prunus persica GN=PRUPE_ppa012846mg PE=4 SV=1</t>
  </si>
  <si>
    <t>Polyprotein (Fragment) OS=Ananas comosus PE=4 SV=1</t>
  </si>
  <si>
    <t>Non-specific lipid-transfer protein OS=Prunus persica GN=PRUPE_ppa013565mg PE=3 SV=1</t>
  </si>
  <si>
    <t>Uncharacterized protein OS=Prunus persica GN=PRUPE_ppa010354mg PE=4 SV=1</t>
  </si>
  <si>
    <t>Uncharacterized protein (Fragment) OS=Citrus sinensis GN=CISIN_1g0000282mg PE=4 SV=1</t>
  </si>
  <si>
    <t>Uncharacterized protein OS=Prunus persica GN=PRUPE_ppa026717mg PE=4 SV=1</t>
  </si>
  <si>
    <t>Uncharacterized protein OS=Prunus persica GN=PRUPE_ppa006388mg PE=4 SV=1</t>
  </si>
  <si>
    <t>Uncharacterized protein OS=Prunus persica GN=PRUPE_ppa000499mg PE=4 SV=1</t>
  </si>
  <si>
    <t>Uncharacterized protein OS=Prunus persica GN=PRUPE_ppa011679mg PE=4 SV=1</t>
  </si>
  <si>
    <t>Uncharacterized protein OS=Prunus persica GN=PRUPE_ppa006045mg PE=3 SV=1</t>
  </si>
  <si>
    <t>Uncharacterized protein OS=Prunus persica GN=PRUPE_ppa005397mg PE=4 SV=1</t>
  </si>
  <si>
    <t>Uncharacterized protein OS=Prunus persica GN=PRUPE_ppa005538mg PE=4 SV=1</t>
  </si>
  <si>
    <t>Uncharacterized protein (Fragment) OS=Prunus persica GN=PRUPE_ppa019583mg PE=4 SV=1</t>
  </si>
  <si>
    <t>Uncharacterized protein (Fragment) OS=Prunus persica GN=PRUPE_ppa022418mg PE=4 SV=1</t>
  </si>
  <si>
    <t>Uncharacterized protein OS=Prunus persica GN=PRUPE_ppa009310mg PE=4 SV=1</t>
  </si>
  <si>
    <t>Uncharacterized protein OS=Prunus persica GN=PRUPE_ppa008083mg PE=4 SV=1</t>
  </si>
  <si>
    <t>Uncharacterized protein OS=Prunus persica GN=PRUPE_ppa001226mg PE=4 SV=1</t>
  </si>
  <si>
    <t>Uncharacterized protein OS=Prunus persica GN=PRUPE_ppa022486mg PE=4 SV=1</t>
  </si>
  <si>
    <t>Uncharacterized protein OS=Prunus persica GN=PRUPE_ppa008948mg PE=3 SV=1</t>
  </si>
  <si>
    <t>Uncharacterized protein (Fragment) OS=Prunus persica GN=PRUPE_ppa017184mg PE=4 SV=1</t>
  </si>
  <si>
    <t>Uncharacterized protein OS=Prunus persica GN=PRUPE_ppa009507mg PE=4 SV=1</t>
  </si>
  <si>
    <t>Laccase OS=Prunus persica GN=PRUPE_ppa003714mg PE=3 SV=1</t>
  </si>
  <si>
    <t>Uncharacterized protein OS=Prunus persica GN=PRUPE_ppa010118mg PE=4 SV=1</t>
  </si>
  <si>
    <t>Uncharacterized protein OS=Prunus persica GN=PRUPE_ppa002144mg PE=4 SV=1</t>
  </si>
  <si>
    <t>Uncharacterized protein (Fragment) OS=Prunus persica GN=PRUPE_ppa026994mg PE=4 SV=1</t>
  </si>
  <si>
    <t>Uncharacterized protein (Fragment) OS=Prunus persica GN=PRUPE_ppa015768mg PE=4 SV=1</t>
  </si>
  <si>
    <t>Uncharacterized protein OS=Prunus persica GN=PRUPE_ppa011285mg PE=4 SV=1</t>
  </si>
  <si>
    <t>Uncharacterized protein OS=Prunus persica GN=PRUPE_ppa008958mg PE=4 SV=1</t>
  </si>
  <si>
    <t>Uncharacterized protein OS=Prunus persica GN=PRUPE_ppa000150mg PE=4 SV=1</t>
  </si>
  <si>
    <t>Uncharacterized protein OS=Prunus persica GN=PRUPE_ppa007325mg PE=4 SV=1</t>
  </si>
  <si>
    <t>Uncharacterized protein OS=Prunus persica GN=PRUPE_ppa006624mg PE=4 SV=1</t>
  </si>
  <si>
    <t>Uncharacterized protein OS=Prunus persica GN=PRUPE_ppa021862mg PE=4 SV=1</t>
  </si>
  <si>
    <t>Uncharacterized protein OS=Prunus persica GN=PRUPE_ppa012147mg PE=4 SV=1</t>
  </si>
  <si>
    <t>Uncharacterized protein OS=Prunus persica GN=PRUPE_ppa016007mg PE=4 SV=1</t>
  </si>
  <si>
    <t>Uncharacterized protein OS=Prunus persica GN=PRUPE_ppa010497mg PE=4 SV=1</t>
  </si>
  <si>
    <t>Uncharacterized protein OS=Jatropha curcas GN=JCGZ_21539 PE=4 SV=1</t>
  </si>
  <si>
    <t>Uncharacterized protein OS=Prunus persica GN=PRUPE_ppa011035mg PE=3 SV=1</t>
  </si>
  <si>
    <t>Uncharacterized protein OS=Prunus persica GN=PRUPE_ppa011034mg PE=3 SV=1</t>
  </si>
  <si>
    <t>Uncharacterized protein OS=Prunus persica GN=PRUPE_ppa007652mg PE=4 SV=1</t>
  </si>
  <si>
    <t>Uncharacterized protein OS=Prunus persica GN=PRUPE_ppa023313mg PE=4 SV=1</t>
  </si>
  <si>
    <t>Uncharacterized protein OS=Prunus persica GN=PRUPE_ppa011539mg PE=3 SV=1</t>
  </si>
  <si>
    <t>Sodium/hydrogen exchanger OS=Prunus persica GN=PRUPE_ppa024846mg PE=3 SV=1</t>
  </si>
  <si>
    <t>Hexosyltransferase OS=Citrus clementina GN=CICLE_v10011396mg PE=3 SV=1</t>
  </si>
  <si>
    <t>Uncharacterized protein OS=Prunus persica GN=PRUPE_ppa005578mg PE=4 SV=1</t>
  </si>
  <si>
    <t>Uncharacterized protein OS=Prunus persica GN=PRUPE_ppa013471mg PE=4 SV=1</t>
  </si>
  <si>
    <t>Uncharacterized protein OS=Prunus persica GN=PRUPE_ppa000391mg PE=4 SV=1</t>
  </si>
  <si>
    <t>Uncharacterized protein OS=Prunus persica GN=PRUPE_ppa025821mg PE=4 SV=1</t>
  </si>
  <si>
    <t>Uncharacterized protein OS=Prunus persica GN=PRUPE_ppa019867mg PE=4 SV=1</t>
  </si>
  <si>
    <t>Uncharacterized protein OS=Prunus persica GN=PRUPE_ppa001444mg PE=4 SV=1</t>
  </si>
  <si>
    <t>Uncharacterized protein OS=Prunus persica GN=PRUPE_ppa000122mg PE=4 SV=1</t>
  </si>
  <si>
    <t>Uncharacterized protein OS=Prunus persica GN=PRUPE_ppa004402mg PE=4 SV=1</t>
  </si>
  <si>
    <t>Uncharacterized protein OS=Prunus persica GN=PRUPE_ppa006653mg PE=3 SV=1</t>
  </si>
  <si>
    <t>Uncharacterized protein OS=Prunus persica GN=PRUPE_ppa012510mg PE=4 SV=1</t>
  </si>
  <si>
    <t>Uncharacterized protein (Fragment) OS=Prunus persica GN=PRUPE_ppa002972m2g PE=4 SV=1</t>
  </si>
  <si>
    <t>Uncharacterized protein OS=Prunus persica GN=PRUPE_ppa026391mg PE=4 SV=1</t>
  </si>
  <si>
    <t>Uncharacterized protein OS=Prunus persica GN=PRUPE_ppa009971mg PE=4 SV=1</t>
  </si>
  <si>
    <t>Uncharacterized protein OS=Prunus persica GN=PRUPE_ppa014532mg PE=4 SV=1</t>
  </si>
  <si>
    <t>Uncharacterized protein OS=Prunus persica GN=PRUPE_ppa003778mg PE=4 SV=1</t>
  </si>
  <si>
    <t>Uncharacterized protein OS=Prunus persica GN=PRUPE_ppa004782mg PE=3 SV=1</t>
  </si>
  <si>
    <t>Uncharacterized protein OS=Prunus persica GN=PRUPE_ppa009627mg PE=4 SV=1</t>
  </si>
  <si>
    <t>Uncharacterized protein OS=Prunus persica GN=PRUPE_ppa007205mg PE=4 SV=1</t>
  </si>
  <si>
    <t>Uncharacterized protein OS=Morus notabilis GN=L484_008698 PE=4 SV=1</t>
  </si>
  <si>
    <t>Putative uncharacterized protein OS=Ricinus communis GN=RCOM_0686080 PE=4 SV=1</t>
  </si>
  <si>
    <t>Uncharacterized protein OS=Prunus persica GN=PRUPE_ppa007478mg PE=4 SV=1</t>
  </si>
  <si>
    <t>Uncharacterized protein OS=Prunus persica GN=PRUPE_ppa006228mg PE=4 SV=1</t>
  </si>
  <si>
    <t>Uncharacterized protein OS=Prunus persica GN=PRUPE_ppa003596mg PE=4 SV=1</t>
  </si>
  <si>
    <t>Uncharacterized protein OS=Prunus persica GN=PRUPE_ppa004720mg PE=4 SV=1</t>
  </si>
  <si>
    <t>Uncharacterized protein OS=Prunus persica GN=PRUPE_ppa009321mg PE=4 SV=1</t>
  </si>
  <si>
    <t>Uncharacterized protein OS=Prunus persica GN=PRUPE_ppa009972mg PE=4 SV=1</t>
  </si>
  <si>
    <t>Jasmonate-zim-domain protein 1 OS=Prunus persica GN=JAZ1 PE=2 SV=1</t>
  </si>
  <si>
    <t>Malic enzyme OS=Prunus persica GN=PRUPE_ppa003102mg PE=3 SV=1</t>
  </si>
  <si>
    <t>Uncharacterized protein OS=Prunus persica GN=PRUPE_ppa015228mg PE=4 SV=1</t>
  </si>
  <si>
    <t>Uncharacterized protein OS=Prunus persica GN=PRUPE_ppa024422mg PE=4 SV=1</t>
  </si>
  <si>
    <t>Dihydroflavonol 4-reductase OS=Prunus persica GN=DFR PE=2 SV=1</t>
  </si>
  <si>
    <t>Uncharacterized protein OS=Prunus persica GN=PRUPE_ppa004631mg PE=4 SV=1</t>
  </si>
  <si>
    <t>Uncharacterized protein (Fragment) OS=Prunus persica GN=PRUPE_ppa018964mg PE=4 SV=1</t>
  </si>
  <si>
    <t>Uncharacterized protein OS=Prunus persica GN=PRUPE_ppa003875mg PE=4 SV=1</t>
  </si>
  <si>
    <t>Uncharacterized protein OS=Prunus persica GN=PRUPE_ppa010271mg PE=4 SV=1</t>
  </si>
  <si>
    <t>Uncharacterized protein OS=Prunus persica GN=PRUPE_ppa006899mg PE=3 SV=1</t>
  </si>
  <si>
    <t>Uncharacterized protein OS=Prunus persica GN=PRUPE_ppa020736mg PE=4 SV=1</t>
  </si>
  <si>
    <t>SMARCA3-like protein 2 OS=Morus notabilis GN=L484_002467 PE=4 SV=1</t>
  </si>
  <si>
    <t>Uncharacterized protein OS=Prunus persica GN=PRUPE_ppa007610mg PE=4 SV=1</t>
  </si>
  <si>
    <t>Uncharacterized protein OS=Prunus persica GN=PRUPE_ppa019252mg PE=4 SV=1</t>
  </si>
  <si>
    <t>Uncharacterized protein OS=Prunus persica GN=PRUPE_ppa018007mg PE=3 SV=1</t>
  </si>
  <si>
    <t>Uncharacterized protein OS=Prunus persica GN=PRUPE_ppa000799mg PE=4 SV=1</t>
  </si>
  <si>
    <t>Uncharacterized protein OS=Prunus persica GN=PRUPE_ppa002111mg PE=3 SV=1</t>
  </si>
  <si>
    <t>Uncharacterized protein OS=Prunus persica GN=PRUPE_ppa007616mg PE=4 SV=1</t>
  </si>
  <si>
    <t>Actin-related protein 2/3 complex subunit 5 OS=Prunus persica GN=PRUPE_ppa013215mg PE=3 SV=1</t>
  </si>
  <si>
    <t>Uncharacterized protein OS=Prunus persica GN=PRUPE_ppa012809mg PE=4 SV=1</t>
  </si>
  <si>
    <t>Uncharacterized protein OS=Prunus persica GN=PRUPE_ppa005877mg PE=4 SV=1</t>
  </si>
  <si>
    <t>Endoglucanase OS=Prunus persica GN=eg4 PE=2 SV=1</t>
  </si>
  <si>
    <t>Uncharacterized protein OS=Prunus persica GN=PRUPE_ppa016097mg PE=4 SV=1</t>
  </si>
  <si>
    <t>Uncharacterized protein OS=Prunus persica GN=PRUPE_ppa007001mg PE=4 SV=1</t>
  </si>
  <si>
    <t>Uncharacterized protein OS=Prunus persica GN=PRUPE_ppa026840mg PE=4 SV=1</t>
  </si>
  <si>
    <t>Uncharacterized protein (Fragment) OS=Prunus persica GN=PRUPE_ppb022627m1g PE=4 SV=1</t>
  </si>
  <si>
    <t>Uncharacterized protein OS=Prunus persica GN=PRUPE_ppa022761mg PE=4 SV=1</t>
  </si>
  <si>
    <t>Uncharacterized protein OS=Prunus persica GN=PRUPE_ppa026621mg PE=4 SV=1</t>
  </si>
  <si>
    <t>Uncharacterized protein OS=Prunus persica GN=PRUPE_ppa003169mg PE=4 SV=1</t>
  </si>
  <si>
    <t>Uncharacterized protein OS=Prunus persica GN=PRUPE_ppa001212mg PE=4 SV=1</t>
  </si>
  <si>
    <t>Uncharacterized protein OS=Prunus persica GN=PRUPE_ppa001688mg PE=4 SV=1</t>
  </si>
  <si>
    <t>Uncharacterized protein OS=Prunus persica GN=PRUPE_ppa003093mg PE=3 SV=1</t>
  </si>
  <si>
    <t>Uncharacterized protein OS=Prunus persica GN=PRUPE_ppa013527mg PE=3 SV=1</t>
  </si>
  <si>
    <t>Uncharacterized protein OS=Prunus persica GN=PRUPE_ppa000169mg PE=4 SV=1</t>
  </si>
  <si>
    <t>Uncharacterized protein OS=Prunus persica GN=PRUPE_ppa006937mg PE=4 SV=1</t>
  </si>
  <si>
    <t>Uncharacterized protein OS=Prunus persica GN=PRUPE_ppa003836mg PE=4 SV=1</t>
  </si>
  <si>
    <t>Uncharacterized protein OS=Prunus persica GN=PRUPE_ppa005316mg PE=4 SV=1</t>
  </si>
  <si>
    <t>Uncharacterized protein OS=Prunus persica GN=PRUPE_ppa009599mg PE=4 SV=1</t>
  </si>
  <si>
    <t>Uncharacterized protein OS=Prunus persica GN=PRUPE_ppa026043mg PE=4 SV=1</t>
  </si>
  <si>
    <t>Uncharacterized protein OS=Prunus persica GN=PRUPE_ppa010869mg PE=3 SV=1</t>
  </si>
  <si>
    <t>Uncharacterized protein OS=Prunus persica GN=PRUPE_ppb013860mg PE=4 SV=1</t>
  </si>
  <si>
    <t>Uncharacterized protein OS=Prunus persica GN=PRUPE_ppa013831mg PE=4 SV=1</t>
  </si>
  <si>
    <t>Uncharacterized protein OS=Prunus persica GN=PRUPE_ppa007490mg PE=4 SV=1</t>
  </si>
  <si>
    <t>Uncharacterized protein OS=Prunus persica GN=PRUPE_ppa019828mg PE=3 SV=1</t>
  </si>
  <si>
    <t>Uncharacterized protein OS=Prunus persica GN=PRUPE_ppa000842mg PE=4 SV=1</t>
  </si>
  <si>
    <t>Uncharacterized protein OS=Prunus persica GN=PRUPE_ppa013410mg PE=4 SV=1</t>
  </si>
  <si>
    <t>Uncharacterized protein (Fragment) OS=Prunus persica GN=PRUPE_ppa016504mg PE=4 SV=1</t>
  </si>
  <si>
    <t>Uncharacterized protein OS=Prunus persica GN=PRUPE_ppa007657mg PE=3 SV=1</t>
  </si>
  <si>
    <t>Uncharacterized protein OS=Prunus persica GN=PRUPE_ppa000818mg PE=4 SV=1</t>
  </si>
  <si>
    <t>Uncharacterized protein OS=Prunus persica GN=PRUPE_ppa021922mg PE=4 SV=1</t>
  </si>
  <si>
    <t>Uncharacterized protein OS=Prunus persica GN=PRUPE_ppa014668mg PE=4 SV=1</t>
  </si>
  <si>
    <t>Uncharacterized protein OS=Prunus persica GN=PRUPE_ppa016546mg PE=4 SV=1</t>
  </si>
  <si>
    <t>Uncharacterized protein OS=Prunus persica GN=PRUPE_ppa007387mg PE=3 SV=1</t>
  </si>
  <si>
    <t>Uncharacterized protein OS=Prunus persica GN=PRUPE_ppa009421mg PE=4 SV=1</t>
  </si>
  <si>
    <t>Uncharacterized protein OS=Prunus persica GN=PRUPE_ppa003148mg PE=4 SV=1</t>
  </si>
  <si>
    <t>Uncharacterized protein OS=Prunus persica GN=PRUPE_ppa022066mg PE=4 SV=1</t>
  </si>
  <si>
    <t>Uncharacterized protein OS=Prunus persica GN=PRUPE_ppa012526mg PE=3 SV=1</t>
  </si>
  <si>
    <t>Uncharacterized protein OS=Prunus persica GN=PRUPE_ppa011122mg PE=4 SV=1</t>
  </si>
  <si>
    <t>Uncharacterized protein OS=Prunus persica GN=PRUPE_ppa011864mg PE=4 SV=1</t>
  </si>
  <si>
    <t>Uncharacterized protein OS=Prunus persica GN=PRUPE_ppa004209mg PE=3 SV=1</t>
  </si>
  <si>
    <t>Uncharacterized protein OS=Prunus persica GN=PRUPE_ppa010132mg PE=4 SV=1</t>
  </si>
  <si>
    <t>Uncharacterized protein OS=Prunus persica GN=PRUPE_ppa000537mg PE=4 SV=1</t>
  </si>
  <si>
    <t>Uncharacterized protein OS=Prunus persica GN=PRUPE_ppa006634mg PE=4 SV=1</t>
  </si>
  <si>
    <t>Uncharacterized protein OS=Prunus persica GN=PRUPE_ppa007591mg PE=4 SV=1</t>
  </si>
  <si>
    <t>Uncharacterized protein (Fragment) OS=Prunus persica GN=PRUPE_ppa026476mg PE=4 SV=1</t>
  </si>
  <si>
    <t>Uncharacterized protein OS=Morus notabilis GN=L484_019583 PE=4 SV=1</t>
  </si>
  <si>
    <t>Uncharacterized protein OS=Prunus persica GN=PRUPE_ppa008147mg PE=4 SV=1</t>
  </si>
  <si>
    <t>Uncharacterized protein OS=Prunus persica GN=PRUPE_ppa003287mg PE=4 SV=1</t>
  </si>
  <si>
    <t>Uncharacterized protein OS=Prunus persica GN=PRUPE_ppa001512mg PE=4 SV=1</t>
  </si>
  <si>
    <t>Uncharacterized protein OS=Prunus persica GN=PRUPE_ppa018962mg PE=4 SV=1</t>
  </si>
  <si>
    <t>Uncharacterized protein OS=Prunus persica GN=PRUPE_ppa003761mg PE=4 SV=1</t>
  </si>
  <si>
    <t>Uncharacterized protein OS=Prunus persica GN=PRUPE_ppa004301mg PE=3 SV=1</t>
  </si>
  <si>
    <t>Anthranilate synthase component I-2 OS=Morus notabilis GN=L484_022036 PE=4 SV=1</t>
  </si>
  <si>
    <t>Uncharacterized protein OS=Prunus persica GN=PRUPE_ppa016962mg PE=4 SV=1</t>
  </si>
  <si>
    <t>Uncharacterized protein OS=Jatropha curcas GN=JCGZ_22556 PE=4 SV=1</t>
  </si>
  <si>
    <t>Uncharacterized protein OS=Prunus persica GN=PRUPE_ppa010093mg PE=4 SV=1</t>
  </si>
  <si>
    <t>Uncharacterized protein OS=Prunus persica GN=PRUPE_ppa017808mg PE=4 SV=1</t>
  </si>
  <si>
    <t>Kinesin-like protein OS=Prunus persica GN=PRUPE_ppa003220mg PE=3 SV=1</t>
  </si>
  <si>
    <t>Uncharacterized protein (Fragment) OS=Prunus persica GN=PRUPE_ppa018867mg PE=4 SV=1</t>
  </si>
  <si>
    <t>Uncharacterized protein OS=Prunus persica GN=PRUPE_ppa003399mg PE=4 SV=1</t>
  </si>
  <si>
    <t>Uncharacterized protein OS=Prunus persica GN=PRUPE_ppa001457mg PE=4 SV=1</t>
  </si>
  <si>
    <t>GDSL esterase/lipase EXL3 OS=Morus notabilis GN=L484_019428 PE=4 SV=1</t>
  </si>
  <si>
    <t>Uncharacterized protein OS=Prunus persica GN=PRUPE_ppa001783mg PE=3 SV=1</t>
  </si>
  <si>
    <t>Uncharacterized protein OS=Prunus persica GN=PRUPE_ppa005645mg PE=4 SV=1</t>
  </si>
  <si>
    <t>Uncharacterized protein OS=Prunus persica GN=PRUPE_ppa018847mg PE=4 SV=1</t>
  </si>
  <si>
    <t>Uncharacterized protein OS=Prunus persica GN=PRUPE_ppa007059mg PE=4 SV=1</t>
  </si>
  <si>
    <t>Adipose-regulatory protein, putative OS=Theobroma cacao GN=TCM_025247 PE=4 SV=1</t>
  </si>
  <si>
    <t>Uncharacterized protein OS=Prunus persica GN=PRUPE_ppa009928mg PE=4 SV=1</t>
  </si>
  <si>
    <t>Uncharacterized protein OS=Prunus persica GN=PRUPE_ppa000166mg PE=4 SV=1</t>
  </si>
  <si>
    <t>Uncharacterized protein OS=Prunus persica GN=PRUPE_ppa022488mg PE=4 SV=1</t>
  </si>
  <si>
    <t>Uncharacterized protein OS=Prunus persica GN=PRUPE_ppa009993mg PE=4 SV=1</t>
  </si>
  <si>
    <t>Uncharacterized protein OS=Prunus persica GN=PRUPE_ppa013071mg PE=4 SV=1</t>
  </si>
  <si>
    <t>Uncharacterized protein OS=Prunus persica GN=PRUPE_ppa010953mg PE=4 SV=1</t>
  </si>
  <si>
    <t>Uncharacterized protein OS=Prunus persica GN=PRUPE_ppa006375mg PE=4 SV=1</t>
  </si>
  <si>
    <t>Uncharacterized protein OS=Prunus persica GN=PRUPE_ppa010928mg PE=4 SV=1</t>
  </si>
  <si>
    <t>Uncharacterized protein (Fragment) OS=Prunus persica GN=PRUPE_ppa021549mg PE=4 SV=1</t>
  </si>
  <si>
    <t>Uncharacterized protein OS=Prunus persica GN=PRUPE_ppa020779mg PE=4 SV=1</t>
  </si>
  <si>
    <t>Calcium-transporting ATPase OS=Prunus persica GN=PRUPE_ppa000801mg PE=3 SV=1</t>
  </si>
  <si>
    <t>Uncharacterized protein OS=Prunus persica GN=PRUPE_ppa003491mg PE=4 SV=1</t>
  </si>
  <si>
    <t>Uncharacterized protein OS=Prunus persica GN=PRUPE_ppa000035mg PE=4 SV=1</t>
  </si>
  <si>
    <t>Uncharacterized protein OS=Prunus persica GN=PRUPE_ppa013065mg PE=4 SV=1</t>
  </si>
  <si>
    <t>Uncharacterized protein OS=Prunus persica GN=PRUPE_ppa011926mg PE=4 SV=1</t>
  </si>
  <si>
    <t>Uncharacterized protein OS=Prunus persica GN=PRUPE_ppa008971mg PE=4 SV=1</t>
  </si>
  <si>
    <t>Uncharacterized protein (Fragment) OS=Prunus persica GN=PRUPE_ppa015326mg PE=4 SV=1</t>
  </si>
  <si>
    <t>Uncharacterized protein OS=Prunus persica GN=PRUPE_ppa000004mg PE=4 SV=1</t>
  </si>
  <si>
    <t>Terpene cyclase/mutase family member OS=Prunus persica GN=PRUPE_ppa001844mg PE=3 SV=1</t>
  </si>
  <si>
    <t>Uncharacterized protein (Fragment) OS=Prunus persica GN=PRUPE_ppa015598mg PE=4 SV=1</t>
  </si>
  <si>
    <t>Pectinesterase OS=Prunus persica GN=PRUPE_ppa003285mg PE=3 SV=1</t>
  </si>
  <si>
    <t>Uncharacterized protein OS=Prunus persica GN=PRUPE_ppa019396mg PE=3 SV=1</t>
  </si>
  <si>
    <t>Uncharacterized protein OS=Prunus persica GN=PRUPE_ppa002819mg PE=4 SV=1</t>
  </si>
  <si>
    <t>Eukaryotic translation initiation factor 5A OS=Quercus suber PE=2 SV=1</t>
  </si>
  <si>
    <t>Uncharacterized protein OS=Prunus persica GN=PRUPE_ppa004537mg PE=4 SV=1</t>
  </si>
  <si>
    <t>Uncharacterized protein OS=Prunus persica GN=PRUPE_ppa006010mg PE=3 SV=1</t>
  </si>
  <si>
    <t>Uncharacterized protein OS=Prunus persica GN=PRUPE_ppa019621mg PE=4 SV=1</t>
  </si>
  <si>
    <t>Uncharacterized protein OS=Prunus persica GN=PRUPE_ppa003968mg PE=4 SV=1</t>
  </si>
  <si>
    <t>Uncharacterized protein OS=Prunus persica GN=PRUPE_ppa010664mg PE=4 SV=1</t>
  </si>
  <si>
    <t>Uncharacterized protein OS=Prunus persica GN=PRUPE_ppa003667mg PE=4 SV=1</t>
  </si>
  <si>
    <t>Uncharacterized protein OS=Prunus persica GN=PRUPE_ppa014093mg PE=4 SV=1</t>
  </si>
  <si>
    <t>Uncharacterized protein OS=Prunus persica GN=PRUPE_ppa011455mg PE=4 SV=1</t>
  </si>
  <si>
    <t>Uncharacterized protein OS=Prunus persica GN=PRUPE_ppa010102mg PE=4 SV=1</t>
  </si>
  <si>
    <t>Uncharacterized protein (Fragment) OS=Prunus persica GN=PRUPE_ppa004453m2g PE=3 SV=1</t>
  </si>
  <si>
    <t>Uncharacterized protein (Fragment) OS=Prunus persica GN=PRUPE_ppa014881mg PE=4 SV=1</t>
  </si>
  <si>
    <t>Uncharacterized protein OS=Prunus persica GN=PRUPE_ppa012855mg PE=4 SV=1</t>
  </si>
  <si>
    <t>Uncharacterized protein OS=Prunus persica GN=PRUPE_ppa016330mg PE=4 SV=1</t>
  </si>
  <si>
    <t>Uncharacterized protein (Fragment) OS=Prunus persica GN=PRUPE_ppa016860mg PE=4 SV=1</t>
  </si>
  <si>
    <t>Uncharacterized protein OS=Prunus persica GN=PRUPE_ppa008382mg PE=3 SV=1</t>
  </si>
  <si>
    <t>Uncharacterized protein OS=Prunus persica GN=PRUPE_ppa003246mg PE=4 SV=1</t>
  </si>
  <si>
    <t>Uncharacterized protein OS=Prunus persica GN=PRUPE_ppa003549mg PE=4 SV=1</t>
  </si>
  <si>
    <t>Uncharacterized protein OS=Prunus persica GN=PRUPE_ppa011634mg PE=4 SV=1</t>
  </si>
  <si>
    <t>Uncharacterized protein OS=Prunus persica GN=PRUPE_ppa012806mg PE=3 SV=1</t>
  </si>
  <si>
    <t>Purple acid phosphatase OS=Prunus persica GN=PRUPE_ppa004955mg PE=3 SV=1</t>
  </si>
  <si>
    <t>Hexosyltransferase OS=Prunus persica GN=PRUPE_ppa004045mg PE=3 SV=1</t>
  </si>
  <si>
    <t>Putative lipid phosphate phosphatase 3 OS=Morus notabilis GN=L484_027086 PE=4 SV=1</t>
  </si>
  <si>
    <t>Starch synthase, chloroplastic/amyloplastic OS=Prunus persica GN=PRUPE_ppa004088mg PE=3 SV=1</t>
  </si>
  <si>
    <t>Uncharacterized protein OS=Jatropha curcas GN=JCGZ_25996 PE=3 SV=1</t>
  </si>
  <si>
    <t>Uncharacterized protein (Fragment) OS=Gossypium raimondii GN=B456_004G166900 PE=4 SV=1</t>
  </si>
  <si>
    <t>Uncharacterized protein OS=Prunus persica GN=PRUPE_ppa005991mg PE=4 SV=1</t>
  </si>
  <si>
    <t>Uncharacterized protein OS=Prunus persica GN=PRUPE_ppa006473mg PE=4 SV=1</t>
  </si>
  <si>
    <t>Uncharacterized protein OS=Citrus clementina GN=CICLE_v10004755mg PE=3 SV=1</t>
  </si>
  <si>
    <t>Uncharacterized protein OS=Prunus persica GN=PRUPE_ppa023890mg PE=3 SV=1</t>
  </si>
  <si>
    <t>Uncharacterized protein OS=Prunus persica GN=PRUPE_ppa015296mg PE=4 SV=1</t>
  </si>
  <si>
    <t>Uncharacterized protein (Fragment) OS=Prunus persica GN=PRUPE_ppa022003mg PE=4 SV=1</t>
  </si>
  <si>
    <t>Uncharacterized protein OS=Prunus persica GN=PRUPE_ppa024234mg PE=4 SV=1</t>
  </si>
  <si>
    <t>Oleosin OS=Prunus persica GN=PRUPE_ppa025868mg PE=3 SV=1</t>
  </si>
  <si>
    <t>Uncharacterized protein (Fragment) OS=Prunus persica GN=PRUPE_ppa019211mg PE=4 SV=1</t>
  </si>
  <si>
    <t>Uncharacterized protein OS=Prunus persica GN=PRUPE_ppa026048mg PE=4 SV=1</t>
  </si>
  <si>
    <t>Uncharacterized protein OS=Prunus persica GN=PRUPE_ppa008877mg PE=4 SV=1</t>
  </si>
  <si>
    <t>Uncharacterized protein (Fragment) OS=Prunus persica GN=PRUPE_ppa026808mg PE=4 SV=1</t>
  </si>
  <si>
    <t>Uncharacterized protein OS=Prunus persica GN=PRUPE_ppa012100mg PE=4 SV=1</t>
  </si>
  <si>
    <t>Uncharacterized protein OS=Prunus persica GN=PRUPE_ppa006823mg PE=4 SV=1</t>
  </si>
  <si>
    <t>Uncharacterized protein OS=Prunus persica GN=PRUPE_ppa003055mg PE=4 SV=1</t>
  </si>
  <si>
    <t>Uncharacterized protein OS=Prunus persica GN=PRUPE_ppb024440mg PE=4 SV=1</t>
  </si>
  <si>
    <t>Uncharacterized protein OS=Prunus persica GN=PRUPE_ppa009288mg PE=4 SV=1</t>
  </si>
  <si>
    <t>Uncharacterized protein OS=Prunus persica GN=PRUPE_ppa004173mg PE=4 SV=1</t>
  </si>
  <si>
    <t>Uncharacterized protein OS=Prunus persica GN=PRUPE_ppa002881mg PE=4 SV=1</t>
  </si>
  <si>
    <t>Uncharacterized protein OS=Prunus persica GN=PRUPE_ppa009540mg PE=3 SV=1</t>
  </si>
  <si>
    <t>Uncharacterized protein OS=Prunus persica GN=PRUPE_ppa004352mg PE=4 SV=1</t>
  </si>
  <si>
    <t>Uncharacterized protein (Fragment) OS=Prunus persica GN=PRUPE_ppa019788mg PE=4 SV=1</t>
  </si>
  <si>
    <t>Uncharacterized protein OS=Prunus persica GN=PRUPE_ppa003078mg PE=3 SV=1</t>
  </si>
  <si>
    <t>Uncharacterized protein OS=Prunus persica GN=PRUPE_ppa003711mg PE=4 SV=1</t>
  </si>
  <si>
    <t>Uncharacterized protein OS=Prunus persica GN=PRUPE_ppa009628mg PE=4 SV=1</t>
  </si>
  <si>
    <t>ATP binding protein, putative OS=Ricinus communis GN=RCOM_1429840 PE=3 SV=1</t>
  </si>
  <si>
    <t>DNA helicase OS=Prunus persica GN=PRUPE_ppa001974mg PE=3 SV=1</t>
  </si>
  <si>
    <t>Uncharacterized protein OS=Prunus persica GN=PRUPE_ppa002578mg PE=4 SV=1</t>
  </si>
  <si>
    <t>Uncharacterized protein OS=Prunus persica GN=PRUPE_ppa007687mg PE=4 SV=1</t>
  </si>
  <si>
    <t>Uncharacterized protein OS=Prunus persica GN=PRUPE_ppa025389mg PE=4 SV=1</t>
  </si>
  <si>
    <t>Uncharacterized protein OS=Prunus persica GN=PRUPE_ppa012976mg PE=4 SV=1</t>
  </si>
  <si>
    <t>Uncharacterized protein OS=Prunus persica GN=PRUPE_ppa010851mg PE=4 SV=1</t>
  </si>
  <si>
    <t>Uncharacterized protein OS=Prunus persica GN=PRUPE_ppa000808mg PE=4 SV=1</t>
  </si>
  <si>
    <t>Uncharacterized protein OS=Prunus persica GN=PRUPE_ppa007352mg PE=4 SV=1</t>
  </si>
  <si>
    <t>Uncharacterized protein OS=Prunus persica GN=PRUPE_ppa003347mg PE=4 SV=1</t>
  </si>
  <si>
    <t>Uncharacterized protein OS=Prunus persica GN=PRUPE_ppa000847mg PE=3 SV=1</t>
  </si>
  <si>
    <t>Oleosin OS=Prunus persica GN=PRUPE_ppa012747mg PE=3 SV=1</t>
  </si>
  <si>
    <t>Uncharacterized protein OS=Prunus persica GN=PRUPE_ppa019476mg PE=4 SV=1</t>
  </si>
  <si>
    <t>BnaC09g40180D protein OS=Brassica napus GN=BnaC09g40180D PE=4 SV=1</t>
  </si>
  <si>
    <t>Uncharacterized protein OS=Prunus persica GN=PRUPE_ppa008028mg PE=4 SV=1</t>
  </si>
  <si>
    <t>Uncharacterized protein OS=Prunus persica GN=PRUPE_ppa026062mg PE=4 SV=1</t>
  </si>
  <si>
    <t>Uncharacterized protein OS=Prunus persica GN=PRUPE_ppa018680mg PE=4 SV=1</t>
  </si>
  <si>
    <t>Polysaccharide lyase family 1 OS=Nectria haematococca (strain 77-13-4 / ATCC MYA-4622 / FGSC 9596 / MPVI) GN=NECHADRAFT_34871 PE=3 SV=1</t>
  </si>
  <si>
    <t>Putative uncharacterized protein OS=Vitis vinifera GN=VIT_14s0060g00320 PE=4 SV=1</t>
  </si>
  <si>
    <t>Glutamine synthetase OS=Fusarium oxysporum f. sp. lycopersici MN25 GN=FOWG_07969 PE=3 SV=1</t>
  </si>
  <si>
    <t>Uncharacterized protein OS=Prunus persica GN=PRUPE_ppa024311mg PE=4 SV=1</t>
  </si>
  <si>
    <t>Uncharacterized protein OS=Prunus persica GN=PRUPE_ppa026685mg PE=4 SV=1</t>
  </si>
  <si>
    <t>Uncharacterized protein OS=Prunus persica GN=PRUPE_ppa011196mg PE=4 SV=1</t>
  </si>
  <si>
    <t>Uncharacterized protein OS=Prunus persica GN=PRUPE_ppa020978mg PE=4 SV=1</t>
  </si>
  <si>
    <t>Uncharacterized protein OS=Prunus persica GN=PRUPE_ppa010833mg PE=4 SV=1</t>
  </si>
  <si>
    <t>Uncharacterized protein OS=Prunus persica GN=PRUPE_ppa001360mg PE=4 SV=1</t>
  </si>
  <si>
    <t>Uncharacterized protein OS=Zea mays GN=Zm.84164 PE=4 SV=1</t>
  </si>
  <si>
    <t>Uncharacterized protein (Fragment) OS=Prunus persica GN=PRUPE_ppa027113mg PE=4 SV=1</t>
  </si>
  <si>
    <t>Uncharacterized protein OS=Prunus persica GN=PRUPE_ppa006879mg PE=4 SV=1</t>
  </si>
  <si>
    <t>Uncharacterized protein OS=Prunus persica GN=PRUPE_ppa021623mg PE=4 SV=1</t>
  </si>
  <si>
    <t>Uncharacterized protein OS=Prunus persica GN=PRUPE_ppa003320mg PE=4 SV=1</t>
  </si>
  <si>
    <t>Uncharacterized protein OS=Prunus persica GN=PRUPE_ppa022417mg PE=4 SV=1</t>
  </si>
  <si>
    <t>Uncharacterized protein OS=Prunus persica GN=PRUPE_ppa005693mg PE=3 SV=1</t>
  </si>
  <si>
    <t>Uncharacterized protein OS=Prunus persica GN=PRUPE_ppa003772mg PE=4 SV=1</t>
  </si>
  <si>
    <t>Uncharacterized protein OS=Prunus persica GN=PRUPE_ppa002122mg PE=4 SV=1</t>
  </si>
  <si>
    <t>Uncharacterized protein OS=Prunus persica GN=PRUPE_ppa003594mg PE=4 SV=1</t>
  </si>
  <si>
    <t>Uncharacterized protein OS=Prunus persica GN=PRUPE_ppa012850mg PE=4 SV=1</t>
  </si>
  <si>
    <t>Uncharacterized protein OS=Prunus persica GN=PRUPE_ppa012500mg PE=4 SV=1</t>
  </si>
  <si>
    <t>Uncharacterized protein OS=Prunus persica GN=PRUPE_ppa009249mg PE=4 SV=1</t>
  </si>
  <si>
    <t>Carboxypeptidase OS=Prunus persica GN=PRUPE_ppa021576mg PE=3 SV=1</t>
  </si>
  <si>
    <t>Uncharacterized protein OS=Prunus persica GN=PRUPE_ppa008151mg PE=3 SV=1</t>
  </si>
  <si>
    <t>Phospholipid-transporting ATPase OS=Prunus persica GN=PRUPE_ppa000430mg PE=3 SV=1</t>
  </si>
  <si>
    <t>Uncharacterized protein OS=Prunus persica GN=PRUPE_ppa001209mg PE=4 SV=1</t>
  </si>
  <si>
    <t>Uncharacterized protein (Fragment) OS=Prunus persica GN=PRUPE_ppa021964mg PE=4 SV=1</t>
  </si>
  <si>
    <t>Uncharacterized protein OS=Prunus persica GN=PRUPE_ppa014373mg PE=4 SV=1</t>
  </si>
  <si>
    <t>Movement protein OS=Prunus necrotic ringspot virus GN=MP PE=4 SV=1</t>
  </si>
  <si>
    <t>Xyloglucan endotransglucosylase/hydrolase OS=Prunus persica GN=PRUPE_ppa009437mg PE=3 SV=1</t>
  </si>
  <si>
    <t>Uncharacterized protein (Fragment) OS=Prunus persica GN=PRUPE_ppa022570mg PE=4 SV=1</t>
  </si>
  <si>
    <t>Uncharacterized protein OS=Prunus persica GN=PRUPE_ppb022527mg PE=4 SV=1</t>
  </si>
  <si>
    <t>Uncharacterized protein OS=Jatropha curcas GN=JCGZ_05407 PE=4 SV=1</t>
  </si>
  <si>
    <t>Uncharacterized protein OS=Prunus persica GN=PRUPE_ppa017640mg PE=4 SV=1</t>
  </si>
  <si>
    <t>Uncharacterized protein OS=Prunus persica GN=PRUPE_ppa013552mg PE=4 SV=1</t>
  </si>
  <si>
    <t>Uncharacterized protein OS=Prunus persica GN=PRUPE_ppa008769mg PE=4 SV=1</t>
  </si>
  <si>
    <t>Uncharacterized protein OS=Prunus persica GN=PRUPE_ppa005540mg PE=4 SV=1</t>
  </si>
  <si>
    <t>Uncharacterized protein OS=Prunus persica GN=PRUPE_ppa007561mg PE=4 SV=1</t>
  </si>
  <si>
    <t>Uncharacterized protein (Fragment) OS=Prunus persica GN=PRUPE_ppa020418mg PE=4 SV=1</t>
  </si>
  <si>
    <t>Uncharacterized protein OS=Gibberella moniliformis (strain M3125 / FGSC 7600) GN=FVEG_11229 PE=4 SV=1</t>
  </si>
  <si>
    <t>Uncharacterized protein OS=Prunus persica GN=PRUPE_ppa002342mg PE=3 SV=1</t>
  </si>
  <si>
    <t>Uncharacterized protein OS=Prunus persica GN=PRUPE_ppa007615mg PE=3 SV=1</t>
  </si>
  <si>
    <t>Uncharacterized protein OS=Prunus persica GN=PRUPE_ppa026783mg PE=4 SV=1</t>
  </si>
  <si>
    <t>Uncharacterized protein OS=Prunus persica GN=PRUPE_ppa014450mg PE=4 SV=1</t>
  </si>
  <si>
    <t>Uncharacterized protein OS=Prunus persica GN=PRUPE_ppa010687mg PE=4 SV=1</t>
  </si>
  <si>
    <t>Peroxidase OS=Prunus persica GN=PRUPE_ppa007748mg PE=3 SV=1</t>
  </si>
  <si>
    <t>Uncharacterized protein OS=Prunus persica GN=PRUPE_ppa002028mg PE=4 SV=1</t>
  </si>
  <si>
    <t>Uncharacterized protein OS=Prunus persica GN=PRUPE_ppa003099mg PE=4 SV=1</t>
  </si>
  <si>
    <t>Nuclear pore complex protein NUP35 OS=Prunus persica GN=PRUPE_ppa008465mg PE=3 SV=1</t>
  </si>
  <si>
    <t>Uncharacterized protein OS=Prunus persica GN=PRUPE_ppa025459mg PE=4 SV=1</t>
  </si>
  <si>
    <t>Uncharacterized protein OS=Prunus persica GN=PRUPE_ppa010659mg PE=4 SV=1</t>
  </si>
  <si>
    <t>Uncharacterized protein OS=Prunus persica GN=PRUPE_ppa002112mg PE=4 SV=1</t>
  </si>
  <si>
    <t>60S ribosomal protein L36 OS=Prunus persica GN=PRUPE_ppa013641mg PE=3 SV=1</t>
  </si>
  <si>
    <t>Histone-lysine N-methyltransferase OS=Prunus persica GN=PRUPE_ppa000624mg PE=4 SV=1</t>
  </si>
  <si>
    <t>Uncharacterized protein OS=Prunus persica GN=PRUPE_ppa019815mg PE=4 SV=1</t>
  </si>
  <si>
    <t>Uncharacterized protein OS=Prunus persica GN=PRUPE_ppa010696mg PE=4 SV=1</t>
  </si>
  <si>
    <t>Uncharacterized protein OS=Prunus persica GN=PRUPE_ppa009923mg PE=4 SV=1</t>
  </si>
  <si>
    <t>Serine racemase, putative OS=Ricinus communis GN=RCOM_1686380 PE=4 SV=1</t>
  </si>
  <si>
    <t>Uncharacterized protein OS=Prunus persica GN=PRUPE_ppa003485mg PE=4 SV=1</t>
  </si>
  <si>
    <t>Uncharacterized protein OS=Prunus persica GN=PRUPE_ppa005470mg PE=3 SV=1</t>
  </si>
  <si>
    <t>Uncharacterized protein OS=Citrus clementina GN=CICLE_v10001231mg PE=4 SV=1</t>
  </si>
  <si>
    <t>Uncharacterized protein OS=Prunus persica GN=PRUPE_ppa012721mg PE=4 SV=1</t>
  </si>
  <si>
    <t>Uncharacterized protein OS=Prunus persica GN=PRUPE_ppa000963mg PE=4 SV=1</t>
  </si>
  <si>
    <t>Uncharacterized protein OS=Prunus persica GN=PRUPE_ppa001413mg PE=3 SV=1</t>
  </si>
  <si>
    <t>Uncharacterized protein OS=Prunus persica GN=PRUPE_ppa008978mg PE=3 SV=1</t>
  </si>
  <si>
    <t>Glutathione-binding protein GsiB OS=Escherichia coli H736 GN=ECHG_00605 PE=4 SV=1</t>
  </si>
  <si>
    <t>Uncharacterized protein OS=Prunus persica GN=PRUPE_ppa010359mg PE=3 SV=1</t>
  </si>
  <si>
    <t>Uncharacterized protein OS=Prunus persica GN=PRUPE_ppa020464mg PE=4 SV=1</t>
  </si>
  <si>
    <t>Uncharacterized protein OS=Prunus persica GN=PRUPE_ppa011565mg PE=4 SV=1</t>
  </si>
  <si>
    <t>60S ribosomal protein L6 OS=Prunus persica GN=PRUPE_ppa009054mg PE=3 SV=1</t>
  </si>
  <si>
    <t>Uncharacterized protein OS=Prunus persica GN=PRUPE_ppa009188mg PE=4 SV=1</t>
  </si>
  <si>
    <t>Serine/threonine-protein kinase OS=Coffea canephora GN=GSCOC_T00027886001 PE=3 SV=1</t>
  </si>
  <si>
    <t>Uncharacterized protein OS=Prunus persica GN=PRUPE_ppa004647mg PE=3 SV=1</t>
  </si>
  <si>
    <t>Uncharacterized protein OS=Prunus persica GN=PRUPE_ppa011793mg PE=4 SV=1</t>
  </si>
  <si>
    <t>DNA binding protein, putative isoform 3 OS=Theobroma cacao GN=TCM_004275 PE=3 SV=1</t>
  </si>
  <si>
    <t>Predicted protein OS=Nectria haematococca (strain 77-13-4 / ATCC MYA-4622 / FGSC 9596 / MPVI) GN=NECHADRAFT_95895 PE=3 SV=1</t>
  </si>
  <si>
    <t>Uncharacterized protein OS=Prunus persica GN=PRUPE_ppa003228mg PE=4 SV=1</t>
  </si>
  <si>
    <t>Uncharacterized protein OS=Prunus persica GN=PRUPE_ppa002640mg PE=4 SV=1</t>
  </si>
  <si>
    <t>Uncharacterized protein OS=Prunus persica GN=PRUPE_ppa002642mg PE=4 SV=1</t>
  </si>
  <si>
    <t>Uncharacterized protein OS=Prunus persica GN=PRUPE_ppa021408mg PE=4 SV=1</t>
  </si>
  <si>
    <t>Uncharacterized protein OS=Prunus persica GN=PRUPE_ppa012278mg PE=4 SV=1</t>
  </si>
  <si>
    <t>Uncharacterized protein OS=Prunus persica GN=PRUPE_ppa015352mg PE=4 SV=1</t>
  </si>
  <si>
    <t>Cyanate hydratase OS=Prunus persica GN=CYN PE=3 SV=1</t>
  </si>
  <si>
    <t>Glycosyltransferase OS=Prunus persica GN=PRUPE_ppa005075mg PE=3 SV=1</t>
  </si>
  <si>
    <t>Uncharacterized protein OS=Prunus persica GN=PRUPE_ppa001524mg PE=4 SV=1</t>
  </si>
  <si>
    <t>Uncharacterized protein OS=Prunus persica GN=PRUPE_ppa013670mg PE=4 SV=1</t>
  </si>
  <si>
    <t>Sulfite oxidase OS=Codonopsis lanceolata PE=2 SV=1</t>
  </si>
  <si>
    <t>Uncharacterized protein OS=Prunus persica GN=PRUPE_ppa000539mg PE=4 SV=1</t>
  </si>
  <si>
    <t>Putative uncharacterized protein OS=Ricinus communis GN=RCOM_0563820 PE=4 SV=1</t>
  </si>
  <si>
    <t>Acetolactate synthase OS=Prunus persica GN=PRUPE_ppa002517mg PE=3 SV=1</t>
  </si>
  <si>
    <t>Protein yippee-like OS=Prunus persica GN=PRUPE_ppa013324mg PE=3 SV=1</t>
  </si>
  <si>
    <t>Uncharacterized protein OS=Prunus persica GN=PRUPE_ppa003346mg PE=4 SV=1</t>
  </si>
  <si>
    <t>Uncharacterized protein OS=Prunus persica GN=PRUPE_ppa013083mg PE=3 SV=1</t>
  </si>
  <si>
    <t>Pleckstrin (PH) domain-containing protein isoform 2 OS=Theobroma cacao GN=TCM_015810 PE=4 SV=1</t>
  </si>
  <si>
    <t>Uncharacterized protein OS=Prunus persica GN=PRUPE_ppa006096mg PE=4 SV=1</t>
  </si>
  <si>
    <t>Uncharacterized protein OS=Prunus persica GN=PRUPE_ppa005853mg PE=4 SV=1</t>
  </si>
  <si>
    <t>Putative uncharacterized protein OS=Vitis vinifera GN=VIT_14s0068g00630 PE=4 SV=1</t>
  </si>
  <si>
    <t>Uncharacterized protein OS=Prunus persica GN=PRUPE_ppa009781mg PE=4 SV=1</t>
  </si>
  <si>
    <t>Uncharacterized protein OS=Prunus persica GN=PRUPE_ppa002228mg PE=4 SV=1</t>
  </si>
  <si>
    <t>Uncharacterized protein OS=Prunus persica GN=PRUPE_ppa008934mg PE=3 SV=1</t>
  </si>
  <si>
    <t>Uncharacterized protein OS=Prunus persica GN=PRUPE_ppa007426mg PE=4 SV=1</t>
  </si>
  <si>
    <t>Uncharacterized protein OS=Prunus persica GN=PRUPE_ppa009920mg PE=4 SV=1</t>
  </si>
  <si>
    <t>Elongation factor Tu OS=Prunus persica GN=PRUPE_ppa021420mg PE=3 SV=1</t>
  </si>
  <si>
    <t>Uncharacterized protein OS=Prunus persica GN=PRUPE_ppa005770mg PE=4 SV=1</t>
  </si>
  <si>
    <t>Adenylyltransferase and sulfurtransferase MOCS3 OS=Prunus persica GN=MOCS3 PE=3 SV=1</t>
  </si>
  <si>
    <t>Uncharacterized protein OS=Prunus persica GN=PRUPE_ppa012549mg PE=4 SV=1</t>
  </si>
  <si>
    <t>Uncharacterized protein OS=Prunus persica GN=PRUPE_ppa016449mg PE=4 SV=1</t>
  </si>
  <si>
    <t>Uncharacterized protein OS=Prunus persica GN=PRUPE_ppa006066mg PE=4 SV=1</t>
  </si>
  <si>
    <t>Uncharacterized protein OS=Prunus persica GN=PRUPE_ppa001923mg PE=4 SV=1</t>
  </si>
  <si>
    <t>Uncharacterized protein OS=Prunus persica GN=PRUPE_ppb021745mg PE=4 SV=1</t>
  </si>
  <si>
    <t>Uncharacterized protein OS=Prunus persica GN=PRUPE_ppa1027169mg PE=4 SV=1</t>
  </si>
  <si>
    <t>Uncharacterized protein OS=Prunus persica GN=PRUPE_ppa003565mg PE=4 SV=1</t>
  </si>
  <si>
    <t>Uncharacterized protein OS=Prunus persica GN=PRUPE_ppa007584mg PE=4 SV=1</t>
  </si>
  <si>
    <t>Ribosomal protein L19 OS=Jatropha curcas GN=JCGZ_18926 PE=3 SV=1</t>
  </si>
  <si>
    <t>Uncharacterized protein OS=Prunus persica GN=PRUPE_ppa001681mg PE=4 SV=1</t>
  </si>
  <si>
    <t>Elongation factor 1-alpha OS=Botryotinia fuckeliana (strain T4) GN=BofuT4_P113440.1 PE=3 SV=1</t>
  </si>
  <si>
    <t>Putative rRNA methyltransferase OS=Prunus persica GN=PRUPE_ppa001381mg PE=3 SV=1</t>
  </si>
  <si>
    <t>Uncharacterized protein OS=Prunus persica GN=PRUPE_ppa007969mg PE=3 SV=1</t>
  </si>
  <si>
    <t>Potassium transporter OS=Prunus persica GN=PRUPE_ppa001724mg PE=3 SV=1</t>
  </si>
  <si>
    <t>Uncharacterized protein OS=Prunus persica GN=PRUPE_ppa005993mg PE=4 SV=1</t>
  </si>
  <si>
    <t>Uncharacterized protein OS=Prunus persica GN=PRUPE_ppa001218mg PE=4 SV=1</t>
  </si>
  <si>
    <t>Uncharacterized protein OS=Prunus persica GN=PRUPE_ppa015851mg PE=4 SV=1</t>
  </si>
  <si>
    <t>Uncharacterized protein OS=Prunus persica GN=PRUPE_ppa026254mg PE=4 SV=1</t>
  </si>
  <si>
    <t>Uncharacterized protein OS=Prunus persica GN=PRUPE_ppa002807mg PE=4 SV=1</t>
  </si>
  <si>
    <t>Uncharacterized protein OS=Prunus persica GN=PRUPE_ppa004223mg PE=4 SV=1</t>
  </si>
  <si>
    <t>Uncharacterized protein OS=Prunus persica GN=PRUPE_ppa012956mg PE=4 SV=1</t>
  </si>
  <si>
    <t>Uncharacterized protein OS=Prunus persica GN=PRUPE_ppa003554mg PE=4 SV=1</t>
  </si>
  <si>
    <t>Ubiquitin carboxyl-terminal hydrolase (Fragment) OS=Prunus persica GN=PRUPE_ppa000917m1g PE=3 SV=1</t>
  </si>
  <si>
    <t>Uncharacterized protein OS=Prunus persica GN=PRUPE_ppa1027211mg PE=4 SV=1</t>
  </si>
  <si>
    <t>Uncharacterized protein OS=Prunus persica GN=PRUPE_ppa004962mg PE=4 SV=1</t>
  </si>
  <si>
    <t>S-acyltransferase OS=Prunus persica GN=PRUPE_ppa007948mg PE=3 SV=1</t>
  </si>
  <si>
    <t>Uncharacterized protein OS=Prunus persica GN=PRUPE_ppa009590mg PE=4 SV=1</t>
  </si>
  <si>
    <t>Uncharacterized protein OS=Prunus persica GN=PRUPE_ppa011433mg PE=4 SV=1</t>
  </si>
  <si>
    <t>Uncharacterized protein OS=Prunus persica GN=PRUPE_ppa021748mg PE=4 SV=1</t>
  </si>
  <si>
    <t>Uncharacterized protein OS=Prunus persica GN=PRUPE_ppa002115mg PE=4 SV=1</t>
  </si>
  <si>
    <t>Uncharacterized protein OS=Prunus persica GN=PRUPE_ppa019593mg PE=4 SV=1</t>
  </si>
  <si>
    <t>Uncharacterized protein OS=Prunus persica GN=PRUPE_ppa009804mg PE=4 SV=1</t>
  </si>
  <si>
    <t>Uncharacterized protein OS=Prunus persica GN=PRUPE_ppa026283mg PE=4 SV=1</t>
  </si>
  <si>
    <t>Uncharacterized protein OS=Prunus persica GN=PRUPE_ppa020649mg PE=4 SV=1</t>
  </si>
  <si>
    <t>Uncharacterized protein OS=Prunus persica GN=PRUPE_ppa014235mg PE=4 SV=1</t>
  </si>
  <si>
    <t>Uncharacterized protein OS=Prunus persica GN=PRUPE_ppa025847mg PE=4 SV=1</t>
  </si>
  <si>
    <t>Uncharacterized protein OS=Prunus persica GN=PRUPE_ppa011879mg PE=3 SV=1</t>
  </si>
  <si>
    <t>Uncharacterized protein OS=Prunus persica GN=PRUPE_ppa012109mg PE=4 SV=1</t>
  </si>
  <si>
    <t>Uncharacterized protein OS=Prunus persica GN=PRUPE_ppa004573mg PE=4 SV=1</t>
  </si>
  <si>
    <t>Uncharacterized protein OS=Prunus persica GN=PRUPE_ppa002665mg PE=4 SV=1</t>
  </si>
  <si>
    <t>Uncharacterized protein (Fragment) OS=Prunus persica GN=PRUPE_ppa015514mg PE=4 SV=1</t>
  </si>
  <si>
    <t>Glutamate decarboxylase OS=Prunus persica GN=PRUPE_ppa004796mg PE=3 SV=1</t>
  </si>
  <si>
    <t>Uncharacterized protein OS=Prunus persica GN=PRUPE_ppa019448mg PE=4 SV=1</t>
  </si>
  <si>
    <t>Purple acid phosphatase OS=Prunus persica GN=PRUPE_ppa002570mg PE=3 SV=1</t>
  </si>
  <si>
    <t>Uncharacterized protein OS=Prunus persica GN=PRUPE_ppa012856mg PE=4 SV=1</t>
  </si>
  <si>
    <t>Uncharacterized protein OS=Prunus persica GN=PRUPE_ppa009775mg PE=4 SV=1</t>
  </si>
  <si>
    <t>Protein CLP1 homolog OS=Prunus persica GN=PRUPE_ppa006062mg PE=3 SV=1</t>
  </si>
  <si>
    <t>Uncharacterized protein OS=Prunus persica GN=PRUPE_ppa010964mg PE=4 SV=1</t>
  </si>
  <si>
    <t>Uncharacterized protein OS=Prunus persica GN=PRUPE_ppa010246mg PE=4 SV=1</t>
  </si>
  <si>
    <t>Uncharacterized protein OS=Prunus persica GN=PRUPE_ppa017025mg PE=4 SV=1</t>
  </si>
  <si>
    <t>Uncharacterized protein OS=Prunus persica GN=PRUPE_ppa009657mg PE=3 SV=1</t>
  </si>
  <si>
    <t>Uncharacterized protein OS=Prunus persica GN=PRUPE_ppa004591mg PE=4 SV=1</t>
  </si>
  <si>
    <t>Uncharacterized protein OS=Prunus persica GN=PRUPE_ppa023807mg PE=4 SV=1</t>
  </si>
  <si>
    <t>Uncharacterized protein OS=Prunus persica GN=PRUPE_ppa005432mg PE=3 SV=1</t>
  </si>
  <si>
    <t>Uncharacterized protein OS=Prunus persica GN=PRUPE_ppa004711mg PE=4 SV=1</t>
  </si>
  <si>
    <t>Uncharacterized protein OS=Prunus persica GN=PRUPE_ppa009876mg PE=4 SV=1</t>
  </si>
  <si>
    <t>Uncharacterized protein OS=Prunus persica GN=PRUPE_ppa007882mg PE=4 SV=1</t>
  </si>
  <si>
    <t>Uncharacterized protein OS=Prunus persica GN=PRUPE_ppa007731mg PE=4 SV=1</t>
  </si>
  <si>
    <t>Uncharacterized protein OS=Prunus persica GN=PRUPE_ppa004572mg PE=4 SV=1</t>
  </si>
  <si>
    <t>Uncharacterized protein OS=Prunus persica GN=PRUPE_ppa013501mg PE=4 SV=1</t>
  </si>
  <si>
    <t>Uncharacterized protein (Fragment) OS=Prunus persica GN=PRUPE_ppa023344mg PE=4 SV=1</t>
  </si>
  <si>
    <t>Uncharacterized protein OS=Prunus persica GN=PRUPE_ppa018910mg PE=4 SV=1</t>
  </si>
  <si>
    <t>Uncharacterized protein OS=Prunus persica GN=PRUPE_ppa002889mg PE=4 SV=1</t>
  </si>
  <si>
    <t>Uncharacterized protein OS=Prunus persica GN=PRUPE_ppa001719mg PE=4 SV=1</t>
  </si>
  <si>
    <t>Ubiquitinyl hydrolase 1 OS=Prunus persica GN=PRUPE_ppa003724mg PE=4 SV=1</t>
  </si>
  <si>
    <t>Tetratricopeptide repeat-like superfamily protein OS=Theobroma cacao GN=TCM_040451 PE=4 SV=1</t>
  </si>
  <si>
    <t>Uncharacterized protein OS=Prunus persica GN=PRUPE_ppa004658mg PE=4 SV=1</t>
  </si>
  <si>
    <t>Uncharacterized protein OS=Prunus persica GN=PRUPE_ppa020245mg PE=4 SV=1</t>
  </si>
  <si>
    <t>Uncharacterized protein OS=Prunus persica GN=PRUPE_ppa008911mg PE=4 SV=1</t>
  </si>
  <si>
    <t>Uncharacterized protein (Fragment) OS=Prunus persica GN=PRUPE_ppa023117mg PE=4 SV=1</t>
  </si>
  <si>
    <t>Uncharacterized protein OS=Prunus persica GN=PRUPE_ppa009611mg PE=4 SV=1</t>
  </si>
  <si>
    <t>Uncharacterized protein OS=Prunus persica GN=PRUPE_ppa006724mg PE=4 SV=1</t>
  </si>
  <si>
    <t>Uncharacterized protein OS=Prunus persica GN=PRUPE_ppa012799mg PE=4 SV=1</t>
  </si>
  <si>
    <t>Uncharacterized protein OS=Prunus persica GN=PRUPE_ppa021287mg PE=4 SV=1</t>
  </si>
  <si>
    <t>BHLH domain class transcription factor OS=Malus domestica GN=BHLH9 PE=2 SV=1</t>
  </si>
  <si>
    <t>Uncharacterized protein OS=Prunus persica GN=PRUPE_ppa006941mg PE=3 SV=1</t>
  </si>
  <si>
    <t>Uncharacterized protein OS=Prunus persica GN=PRUPE_ppa012400mg PE=4 SV=1</t>
  </si>
  <si>
    <t>Glycosyltransferase OS=Prunus persica GN=PRUPE_ppa025943mg PE=3 SV=1</t>
  </si>
  <si>
    <t>Uncharacterized protein OS=Prunus persica GN=PRUPE_ppa002105mg PE=4 SV=1</t>
  </si>
  <si>
    <t>Uncharacterized protein OS=Prunus persica GN=PRUPE_ppa008094mg PE=4 SV=1</t>
  </si>
  <si>
    <t>Putative uncharacterized protein OS=Vitis vinifera GN=VIT_04s0044g00650 PE=3 SV=1</t>
  </si>
  <si>
    <t>Hexosyltransferase OS=Prunus persica GN=PRUPE_ppa002694mg PE=3 SV=1</t>
  </si>
  <si>
    <t>Uncharacterized protein OS=Prunus persica GN=PRUPE_ppa007193mg PE=4 SV=1</t>
  </si>
  <si>
    <t>MATE efflux family protein OS=Prunus persica GN=PRUPE_ppa020722mg PE=3 SV=1</t>
  </si>
  <si>
    <t>Uncharacterized protein OS=Prunus persica GN=PRUPE_ppa027193mg PE=4 SV=1</t>
  </si>
  <si>
    <t>Uncharacterized protein OS=Prunus persica GN=PRUPE_ppa006826mg PE=4 SV=1</t>
  </si>
  <si>
    <t>Uncharacterized protein OS=Morus notabilis GN=L484_003732 PE=4 SV=1</t>
  </si>
  <si>
    <t>Uncharacterized protein OS=Prunus persica GN=PRUPE_ppa023880mg PE=4 SV=1</t>
  </si>
  <si>
    <t>Uncharacterized protein OS=Prunus persica GN=PRUPE_ppa023172mg PE=4 SV=1</t>
  </si>
  <si>
    <t>Uncharacterized protein OS=Prunus persica GN=PRUPE_ppa007852mg PE=3 SV=1</t>
  </si>
  <si>
    <t>Uncharacterized protein (Fragment) OS=Prunus persica GN=PRUPE_ppa021498mg PE=4 SV=1</t>
  </si>
  <si>
    <t>Uncharacterized protein (Fragment) OS=Prunus persica GN=PRUPE_ppa015419mg PE=4 SV=1</t>
  </si>
  <si>
    <t>Uncharacterized protein OS=Prunus persica GN=PRUPE_ppa018040mg PE=4 SV=1</t>
  </si>
  <si>
    <t>Uncharacterized protein OS=Prunus persica GN=PRUPE_ppa003261mg PE=4 SV=1</t>
  </si>
  <si>
    <t>Kinesin-like protein OS=Prunus persica GN=PRUPE_ppa001494mg PE=3 SV=1</t>
  </si>
  <si>
    <t>Uncharacterized protein OS=Prunus persica GN=PRUPE_ppa002364mg PE=3 SV=1</t>
  </si>
  <si>
    <t>Uncharacterized protein OS=Solanum tuberosum GN=PGSC0003DMG400026228 PE=3 SV=1</t>
  </si>
  <si>
    <t>Uncharacterized protein OS=Prunus persica GN=PRUPE_ppa010835mg PE=4 SV=1</t>
  </si>
  <si>
    <t>Uncharacterized protein OS=Prunus persica GN=PRUPE_ppa006691mg PE=4 SV=1</t>
  </si>
  <si>
    <t>Uncharacterized protein OS=Prunus persica GN=PRUPE_ppa008747mg PE=3 SV=1</t>
  </si>
  <si>
    <t>Phospholipid-transporting ATPase OS=Prunus persica GN=PRUPE_ppa000382mg PE=3 SV=1</t>
  </si>
  <si>
    <t>Uncharacterized protein OS=Prunus persica GN=PRUPE_ppa013151mg PE=4 SV=1</t>
  </si>
  <si>
    <t>Uncharacterized protein OS=Prunus persica GN=PRUPE_ppa008092mg PE=4 SV=1</t>
  </si>
  <si>
    <t>Uncharacterized protein OS=Prunus persica GN=PRUPE_ppa010809mg PE=4 SV=1</t>
  </si>
  <si>
    <t>Uncharacterized protein (Fragment) OS=Prunus persica GN=PRUPE_ppa025432mg PE=4 SV=1</t>
  </si>
  <si>
    <t>Uncharacterized protein OS=Prunus persica GN=PRUPE_ppa003841mg PE=4 SV=1</t>
  </si>
  <si>
    <t>Uncharacterized protein (Fragment) OS=Prunus persica GN=PRUPE_ppa014677mg PE=4 SV=1</t>
  </si>
  <si>
    <t>Uncharacterized protein OS=Prunus persica GN=PRUPE_ppa024029mg PE=3 SV=1</t>
  </si>
  <si>
    <t>Uncharacterized protein OS=Prunus persica GN=PRUPE_ppa000299mg PE=4 SV=1</t>
  </si>
  <si>
    <t>Uncharacterized protein OS=Prunus persica GN=PRUPE_ppa011106mg PE=4 SV=1</t>
  </si>
  <si>
    <t>Uncharacterized protein OS=Prunus persica GN=PRUPE_ppa011840mg PE=4 SV=1</t>
  </si>
  <si>
    <t>Glyceraldehyde-3-phosphate dehydrogenase OS=Prunus persica GN=PRUPE_ppa005598mg PE=3 SV=1</t>
  </si>
  <si>
    <t>Protein YIPF OS=Prunus persica GN=PRUPE_ppa009742mg PE=3 SV=1</t>
  </si>
  <si>
    <t>Uncharacterized protein OS=Prunus persica GN=PRUPE_ppa000980mg PE=4 SV=1</t>
  </si>
  <si>
    <t>Ribosomal protein S19 OS=Melianthus villosus GN=rps19 PE=2 SV=1</t>
  </si>
  <si>
    <t>Uncharacterized protein OS=Prunus persica GN=PRUPE_ppa010947mg PE=4 SV=1</t>
  </si>
  <si>
    <t>RNA binding protein, putative OS=Ricinus communis GN=RCOM_1211420 PE=4 SV=1</t>
  </si>
  <si>
    <t>Reticulon-like protein OS=Prunus persica GN=PRUPE_ppa002580mg PE=4 SV=1</t>
  </si>
  <si>
    <t>Uncharacterized protein OS=Prunus persica GN=PRUPE_ppa002278mg PE=4 SV=1</t>
  </si>
  <si>
    <t>Pectinesterase OS=Prunus persica GN=PRUPE_ppa023784mg PE=3 SV=1</t>
  </si>
  <si>
    <t>Uncharacterized protein OS=Fusarium oxysporum f. sp. lycopersici (strain 4287 / CBS 123668 / FGSC 9935 / NRRL 34936) GN=FOXG_12264 PE=4 SV=1</t>
  </si>
  <si>
    <t>Predicted protein OS=Nectria haematococca (strain 77-13-4 / ATCC MYA-4622 / FGSC 9596 / MPVI) GN=NECHADRAFT_47306 PE=4 SV=1</t>
  </si>
  <si>
    <t>MATE efflux family protein OS=Prunus persica GN=PRUPE_ppa026329mg PE=3 SV=1</t>
  </si>
  <si>
    <t>Uncharacterized protein OS=Prunus persica GN=PRUPE_ppa009485mg PE=4 SV=1</t>
  </si>
  <si>
    <t>Putative uncharacterized protein OS=Vitis vinifera GN=VITISV_033389 PE=4 SV=1</t>
  </si>
  <si>
    <t>Uncharacterized protein OS=Prunus persica GN=PRUPE_ppa005515mg PE=4 SV=1</t>
  </si>
  <si>
    <t>Uncharacterized protein OS=Prunus persica GN=PRUPE_ppa002043mg PE=4 SV=1</t>
  </si>
  <si>
    <t>Uncharacterized protein OS=Prunus persica GN=PRUPE_ppa012485mg PE=4 SV=1</t>
  </si>
  <si>
    <t>Uncharacterized protein OS=Prunus persica GN=PRUPE_ppa008116mg PE=4 SV=1</t>
  </si>
  <si>
    <t>Uncharacterized protein OS=Prunus persica GN=PRUPE_ppa022822mg PE=4 SV=1</t>
  </si>
  <si>
    <t>Uncharacterized protein OS=Prunus persica GN=PRUPE_ppa001338mg PE=4 SV=1</t>
  </si>
  <si>
    <t>Uncharacterized protein OS=Prunus persica GN=PRUPE_ppa007590mg PE=4 SV=1</t>
  </si>
  <si>
    <t>Calcium-transporting ATPase OS=Prunus persica GN=PRUPE_ppa021744mg PE=3 SV=1</t>
  </si>
  <si>
    <t>Uncharacterized protein OS=Prunus persica GN=PRUPE_ppa004187mg PE=3 SV=1</t>
  </si>
  <si>
    <t>Uncharacterized protein OS=Prunus persica GN=PRUPE_ppa003649mg PE=4 SV=1</t>
  </si>
  <si>
    <t>Uncharacterized protein OS=Prunus persica GN=PRUPE_ppa003582mg PE=4 SV=1</t>
  </si>
  <si>
    <t>Uncharacterized protein OS=Prunus persica GN=PRUPE_ppa010108mg PE=4 SV=1</t>
  </si>
  <si>
    <t>Uncharacterized protein OS=Prunus persica GN=PRUPE_ppa004581mg PE=3 SV=1</t>
  </si>
  <si>
    <t>Uncharacterized protein OS=Prunus persica GN=PRUPE_ppa006076mg PE=4 SV=1</t>
  </si>
  <si>
    <t>Uncharacterized protein OS=Prunus persica GN=PRUPE_ppa007454mg PE=3 SV=1</t>
  </si>
  <si>
    <t>Uncharacterized protein OS=Prunus persica GN=PRUPE_ppa016302mg PE=4 SV=1</t>
  </si>
  <si>
    <t>Uncharacterized protein OS=Prunus persica GN=PRUPE_ppa007940mg PE=4 SV=1</t>
  </si>
  <si>
    <t>Uncharacterized protein OS=Populus trichocarpa GN=POPTR_0004s24160g PE=4 SV=1</t>
  </si>
  <si>
    <t>Uncharacterized protein OS=Prunus persica GN=PRUPE_ppa005980mg PE=4 SV=1</t>
  </si>
  <si>
    <t>Uncharacterized protein (Fragment) OS=Prunus persica GN=PRUPE_ppa024062mg PE=4 SV=1</t>
  </si>
  <si>
    <t>ZRT/IRT-like protein 2 isoform 1 OS=Theobroma cacao GN=TCM_041798 PE=4 SV=1</t>
  </si>
  <si>
    <t>Uncharacterized protein OS=Prunus persica GN=PRUPE_ppa000667mg PE=4 SV=1</t>
  </si>
  <si>
    <t>Prefoldin subunit 4 OS=Prunus persica GN=PRUPE_ppa013376mg PE=3 SV=1</t>
  </si>
  <si>
    <t>Uncharacterized protein OS=Prunus persica GN=PRUPE_ppa000026mg PE=4 SV=1</t>
  </si>
  <si>
    <t>Uncharacterized protein (Fragment) OS=Prunus persica GN=PRUPE_ppa025736mg PE=4 SV=1</t>
  </si>
  <si>
    <t>Uncharacterized protein OS=Amborella trichopoda GN=AMTR_s00071p00087100 PE=3 SV=1</t>
  </si>
  <si>
    <t>Uncharacterized protein OS=Prunus persica GN=PRUPE_ppa013542mg PE=4 SV=1</t>
  </si>
  <si>
    <t>Uncharacterized protein OS=Prunus persica GN=PRUPE_ppa026320mg PE=4 SV=1</t>
  </si>
  <si>
    <t>Uncharacterized protein OS=Prunus persica GN=PRUPE_ppa007290mg PE=4 SV=1</t>
  </si>
  <si>
    <t>Uncharacterized protein OS=Prunus persica GN=PRUPE_ppa001868mg PE=4 SV=1</t>
  </si>
  <si>
    <t>Uncharacterized protein OS=Prunus persica GN=PRUPE_ppa003795mg PE=4 SV=1</t>
  </si>
  <si>
    <t>Uncharacterized protein OS=Prunus persica GN=PRUPE_ppa020166mg PE=4 SV=1</t>
  </si>
  <si>
    <t>Anthranilate N-benzoyltransferase protein, putative OS=Ricinus communis GN=RCOM_1081560 PE=4 SV=1</t>
  </si>
  <si>
    <t>Uncharacterized protein OS=Prunus persica GN=PRUPE_ppa021688mg PE=4 SV=1</t>
  </si>
  <si>
    <t>Uncharacterized protein OS=Prunus persica GN=PRUPE_ppa003000mg PE=3 SV=1</t>
  </si>
  <si>
    <t>Uncharacterized protein OS=Prunus persica GN=PRUPE_ppa005655mg PE=4 SV=1</t>
  </si>
  <si>
    <t>Uncharacterized protein OS=Prunus persica GN=PRUPE_ppa025479mg PE=4 SV=1</t>
  </si>
  <si>
    <t>Uncharacterized protein OS=Prunus persica GN=PRUPE_ppa014733mg PE=4 SV=1</t>
  </si>
  <si>
    <t>Uncharacterized protein OS=Prunus persica GN=PRUPE_ppa011344mg PE=4 SV=1</t>
  </si>
  <si>
    <t>Uncharacterized protein OS=Prunus persica GN=PRUPE_ppa022455mg PE=4 SV=1</t>
  </si>
  <si>
    <t>Uncharacterized protein OS=Prunus persica GN=PRUPE_ppa009024mg PE=4 SV=1</t>
  </si>
  <si>
    <t>Uncharacterized protein OS=Prunus persica GN=PRUPE_ppa008380mg PE=4 SV=1</t>
  </si>
  <si>
    <t>Uncharacterized protein OS=Prunus persica GN=PRUPE_ppa018551mg PE=4 SV=1</t>
  </si>
  <si>
    <t>Uncharacterized protein OS=Prunus persica GN=PRUPE_ppa002648mg PE=3 SV=1</t>
  </si>
  <si>
    <t>Uncharacterized protein OS=Prunus persica GN=PRUPE_ppa009663mg PE=4 SV=1</t>
  </si>
  <si>
    <t>Uncharacterized protein OS=Prunus persica GN=PRUPE_ppa021038mg PE=4 SV=1</t>
  </si>
  <si>
    <t>Uncharacterized protein OS=Prunus persica GN=PRUPE_ppa1027125mg PE=4 SV=1</t>
  </si>
  <si>
    <t>Uncharacterized protein OS=Prunus persica GN=PRUPE_ppa012609mg PE=4 SV=1</t>
  </si>
  <si>
    <t>Flowering locus T protein OS=Prunus persica GN=FT PE=4 SV=1</t>
  </si>
  <si>
    <t>Uncharacterized protein (Fragment) OS=Prunus persica GN=PRUPE_ppa015358mg PE=4 SV=1</t>
  </si>
  <si>
    <t>Uncharacterized protein (Fragment) OS=Prunus persica GN=PRUPE_ppa027027mg PE=4 SV=1</t>
  </si>
  <si>
    <t>Uncharacterized protein OS=Prunus persica GN=PRUPE_ppa004920mg PE=4 SV=1</t>
  </si>
  <si>
    <t>Uncharacterized protein OS=Prunus persica GN=PRUPE_ppa024897mg PE=4 SV=1</t>
  </si>
  <si>
    <t>Uncharacterized protein OS=Prunus persica GN=PRUPE_ppa016923mg PE=4 SV=1</t>
  </si>
  <si>
    <t>Uncharacterized protein OS=Prunus persica GN=PRUPE_ppa022323mg PE=4 SV=1</t>
  </si>
  <si>
    <t>Uncharacterized protein OS=Prunus persica GN=PRUPE_ppa011136mg PE=4 SV=1</t>
  </si>
  <si>
    <t>Uncharacterized protein OS=Prunus persica GN=PRUPE_ppa1027225mg PE=4 SV=1</t>
  </si>
  <si>
    <t>Uncharacterized protein OS=Morus notabilis GN=L484_003949 PE=4 SV=1</t>
  </si>
  <si>
    <t>Uncharacterized protein OS=Prunus persica GN=PRUPE_ppa010558mg PE=4 SV=1</t>
  </si>
  <si>
    <t>Amine oxidase 4 OS=Malus domestica PE=2 SV=1</t>
  </si>
  <si>
    <t>Uncharacterized protein OS=Prunus persica GN=PRUPE_ppa018880mg PE=4 SV=1</t>
  </si>
  <si>
    <t>Uncharacterized protein OS=Prunus persica GN=PRUPE_ppa025817mg PE=4 SV=1</t>
  </si>
  <si>
    <t>Uncharacterized protein OS=Prunus persica GN=PRUPE_ppa004871mg PE=4 SV=1</t>
  </si>
  <si>
    <t>Uncharacterized protein OS=Prunus persica GN=PRUPE_ppa004784mg PE=3 SV=1</t>
  </si>
  <si>
    <t>Uncharacterized protein OS=Prunus persica GN=PRUPE_ppa004773mg PE=4 SV=1</t>
  </si>
  <si>
    <t>Uncharacterized protein OS=Prunus persica GN=PRUPE_ppa019553mg PE=4 SV=1</t>
  </si>
  <si>
    <t>Uncharacterized protein OS=Prunus persica GN=PRUPE_ppa020703mg PE=4 SV=1</t>
  </si>
  <si>
    <t>Uncharacterized protein (Fragment) OS=Prunus persica GN=PRUPE_ppa021410mg PE=4 SV=1</t>
  </si>
  <si>
    <t>Uncharacterized protein OS=Prunus persica GN=PRUPE_ppa001169mg PE=4 SV=1</t>
  </si>
  <si>
    <t>Uncharacterized protein OS=Prunus persica GN=PRUPE_ppa011367mg PE=4 SV=1</t>
  </si>
  <si>
    <t>GRF domain class transcription factor OS=Malus domestica GN=GRF4 PE=2 SV=1</t>
  </si>
  <si>
    <t>Fructose-bisphosphate aldolase OS=Prunus persica GN=PRUPE_ppa007714mg PE=3 SV=1</t>
  </si>
  <si>
    <t>Uncharacterized protein OS=Prunus persica GN=PRUPE_ppa001279mg PE=4 SV=1</t>
  </si>
  <si>
    <t>Uncharacterized protein OS=Prunus persica GN=PRUPE_ppa006948mg PE=4 SV=1</t>
  </si>
  <si>
    <t>Putative polyprotein OS=Oryza sativa subsp. japonica GN=OSJNBa0078D06.27 PE=4 SV=1</t>
  </si>
  <si>
    <t>Uncharacterized protein OS=Prunus persica GN=PRUPE_ppa011479mg PE=4 SV=1</t>
  </si>
  <si>
    <t>Uncharacterized protein OS=Prunus persica GN=PRUPE_ppa020001mg PE=4 SV=1</t>
  </si>
  <si>
    <t>Uncharacterized protein OS=Prunus persica GN=PRUPE_ppa004253mg PE=4 SV=1</t>
  </si>
  <si>
    <t>Uncharacterized protein OS=Prunus persica GN=PRUPE_ppa002858mg PE=4 SV=1</t>
  </si>
  <si>
    <t>Uncharacterized protein OS=Prunus persica GN=PRUPE_ppa002786mg PE=4 SV=1</t>
  </si>
  <si>
    <t>Uncharacterized protein OS=Prunus persica GN=PRUPE_ppa012015mg PE=4 SV=1</t>
  </si>
  <si>
    <t>Peptidyl-prolyl cis-trans isomerase OS=Prunus persica GN=PRUPE_ppa025416mg PE=4 SV=1</t>
  </si>
  <si>
    <t>Uncharacterized protein (Fragment) OS=Prunus persica GN=PRUPE_ppa022877mg PE=4 SV=1</t>
  </si>
  <si>
    <t>Uncharacterized protein OS=Prunus persica GN=PRUPE_ppa012464mg PE=4 SV=1</t>
  </si>
  <si>
    <t>Uncharacterized protein OS=Prunus persica GN=PRUPE_ppa009623mg PE=4 SV=1</t>
  </si>
  <si>
    <t>Uncharacterized protein OS=Morus notabilis GN=L484_008033 PE=4 SV=1</t>
  </si>
  <si>
    <t>PHD finger protein ING OS=Vitis vinifera GN=VIT_05s0051g00350 PE=3 SV=1</t>
  </si>
  <si>
    <t>Uncharacterized protein OS=Prunus persica GN=PRUPE_ppa006504mg PE=4 SV=1</t>
  </si>
  <si>
    <t>Uncharacterized protein OS=Prunus persica GN=PRUPE_ppa001301mg PE=4 SV=1</t>
  </si>
  <si>
    <t>Uncharacterized protein OS=Prunus persica GN=PRUPE_ppa009770mg PE=4 SV=1</t>
  </si>
  <si>
    <t>Uncharacterized protein OS=Prunus persica GN=PRUPE_ppa002426mg PE=4 SV=1</t>
  </si>
  <si>
    <t>Pyruvate decarboxylase OS=Prunus dulcis x Prunus persica GN=PDC PE=2 SV=1</t>
  </si>
  <si>
    <t>Uncharacterized protein OS=Prunus persica GN=PRUPE_ppa011642mg PE=4 SV=1</t>
  </si>
  <si>
    <t>Uncharacterized protein OS=Prunus persica GN=PRUPE_ppa015949mg PE=3 SV=1</t>
  </si>
  <si>
    <t>Uncharacterized protein OS=Prunus persica GN=PRUPE_ppa003773mg PE=3 SV=1</t>
  </si>
  <si>
    <t>Uncharacterized protein OS=Prunus persica GN=PRUPE_ppa010972mg PE=4 SV=1</t>
  </si>
  <si>
    <t>Uncharacterized protein OS=Prunus persica GN=PRUPE_ppa010646mg PE=4 SV=1</t>
  </si>
  <si>
    <t>Uncharacterized protein OS=Prunus persica GN=PRUPE_ppa002367mg PE=4 SV=1</t>
  </si>
  <si>
    <t>Uncharacterized protein OS=Prunus persica GN=PRUPE_ppa009932mg PE=3 SV=1</t>
  </si>
  <si>
    <t>Uncharacterized protein OS=Prunus persica GN=PRUPE_ppa001120mg PE=4 SV=1</t>
  </si>
  <si>
    <t>Putative uncharacterized protein OS=Vitis vinifera GN=VITISV_033795 PE=4 SV=1</t>
  </si>
  <si>
    <t>Uncharacterized protein OS=Prunus persica GN=PRUPE_ppa018493mg PE=4 SV=1</t>
  </si>
  <si>
    <t>Uncharacterized protein (Fragment) OS=Prunus persica GN=PRUPE_ppa020122mg PE=4 SV=1</t>
  </si>
  <si>
    <t>Uncharacterized protein OS=Prunus persica GN=PRUPE_ppa013231mg PE=4 SV=1</t>
  </si>
  <si>
    <t>Uncharacterized protein OS=Prunus persica GN=PRUPE_ppa002276mg PE=4 SV=1</t>
  </si>
  <si>
    <t>Uncharacterized protein OS=Prunus persica GN=PRUPE_ppa026676mg PE=3 SV=1</t>
  </si>
  <si>
    <t>Uncharacterized protein OS=Prunus persica GN=PRUPE_ppa011192mg PE=4 SV=1</t>
  </si>
  <si>
    <t>Uncharacterized protein OS=Prunus persica GN=PRUPE_ppa005012mg PE=4 SV=1</t>
  </si>
  <si>
    <t>Uncharacterized protein OS=Prunus persica GN=PRUPE_ppa008928mg PE=4 SV=1</t>
  </si>
  <si>
    <t>Eugenol synthase 1a OS=Fragaria ananassa GN=EGS1a PE=2 SV=1</t>
  </si>
  <si>
    <t>Uncharacterized protein OS=Prunus persica GN=PRUPE_ppa002836mg PE=4 SV=1</t>
  </si>
  <si>
    <t>Uncharacterized protein (Fragment) OS=Prunus persica GN=PRUPE_ppa023893mg PE=4 SV=1</t>
  </si>
  <si>
    <t>Uncharacterized protein OS=Cucumis sativus GN=Csa_1G043070 PE=3 SV=1</t>
  </si>
  <si>
    <t>Uncharacterized protein OS=Prunus persica GN=PRUPE_ppa000331mg PE=4 SV=1</t>
  </si>
  <si>
    <t>Uncharacterized protein OS=Prunus persica GN=PRUPE_ppa010022mg PE=4 SV=1</t>
  </si>
  <si>
    <t>Uncharacterized protein OS=Prunus persica GN=PRUPE_ppa008744mg PE=4 SV=1</t>
  </si>
  <si>
    <t>Uncharacterized protein OS=Prunus persica GN=PRUPE_ppa004511mg PE=4 SV=1</t>
  </si>
  <si>
    <t>Uncharacterized protein OS=Prunus persica GN=PRUPE_ppa019579mg PE=4 SV=1</t>
  </si>
  <si>
    <t>Uncharacterized protein OS=Prunus persica GN=PRUPE_ppa005282mg PE=4 SV=1</t>
  </si>
  <si>
    <t>Uncharacterized protein OS=Prunus persica GN=PRUPE_ppa001462mg PE=4 SV=1</t>
  </si>
  <si>
    <t>Uncharacterized protein OS=Prunus persica GN=PRUPE_ppa000264mg PE=4 SV=1</t>
  </si>
  <si>
    <t>Uncharacterized protein (Fragment) OS=Prunus persica GN=PRUPE_ppa021865mg PE=4 SV=1</t>
  </si>
  <si>
    <t>Uncharacterized protein OS=Prunus persica GN=PRUPE_ppa011680mg PE=4 SV=1</t>
  </si>
  <si>
    <t>Uncharacterized protein OS=Prunus persica GN=PRUPE_ppa012966mg PE=4 SV=1</t>
  </si>
  <si>
    <t>Uncharacterized protein OS=Prunus persica GN=PRUPE_ppa022031mg PE=4 SV=1</t>
  </si>
  <si>
    <t>Uncharacterized protein OS=Prunus persica GN=PRUPE_ppa011504mg PE=4 SV=1</t>
  </si>
  <si>
    <t>Uncharacterized protein OS=Prunus persica GN=PRUPE_ppa020434mg PE=4 SV=1</t>
  </si>
  <si>
    <t>Uncharacterized protein OS=Prunus persica GN=PRUPE_ppa012347mg PE=4 SV=1</t>
  </si>
  <si>
    <t>Uncharacterized protein OS=Prunus persica GN=PRUPE_ppa017744mg PE=4 SV=1</t>
  </si>
  <si>
    <t>Callose synthase 10 OS=Morus notabilis GN=L484_008188 PE=4 SV=1</t>
  </si>
  <si>
    <t>40S ribosomal protein S1 OS=Fusarium oxysporum f. sp. lycopersici (strain 4287 / CBS 123668 / FGSC 9935 / NRRL 34936) GN=FOXG_01413 PE=3 SV=1</t>
  </si>
  <si>
    <t>Uncharacterized protein OS=Prunus persica GN=PRUPE_ppa011566mg PE=4 SV=1</t>
  </si>
  <si>
    <t>Uncharacterized protein OS=Prunus persica GN=PRUPE_ppa015583mg PE=4 SV=1</t>
  </si>
  <si>
    <t>Glycosyltransferase OS=Theobroma cacao GN=TCM_046680 PE=3 SV=1</t>
  </si>
  <si>
    <t>Uncharacterized protein (Fragment) OS=Prunus persica GN=PRUPE_ppa023882mg PE=4 SV=1</t>
  </si>
  <si>
    <t>Uncharacterized protein OS=Prunus persica GN=PRUPE_ppa000415mg PE=4 SV=1</t>
  </si>
  <si>
    <t>Uncharacterized protein OS=Prunus persica GN=PRUPE_ppa001383mg PE=3 SV=1</t>
  </si>
  <si>
    <t>Uncharacterized protein OS=Prunus persica GN=PRUPE_ppa011606mg PE=4 SV=1</t>
  </si>
  <si>
    <t>Uncharacterized protein OS=Prunus persica GN=PRUPE_ppa002447mg PE=3 SV=1</t>
  </si>
  <si>
    <t>Uncharacterized protein OS=Citrus sinensis GN=CISIN_1g011458mg PE=4 SV=1</t>
  </si>
  <si>
    <t>Uncharacterized protein OS=Prunus persica GN=PRUPE_ppa018294mg PE=4 SV=1</t>
  </si>
  <si>
    <t>Uncharacterized protein OS=Prunus persica GN=PRUPE_ppa012867mg PE=4 SV=1</t>
  </si>
  <si>
    <t>Uncharacterized protein OS=Prunus persica GN=PRUPE_ppa005298mg PE=4 SV=1</t>
  </si>
  <si>
    <t>Uncharacterized protein OS=Prunus persica GN=PRUPE_ppa004023mg PE=4 SV=1</t>
  </si>
  <si>
    <t>Uncharacterized protein OS=Prunus persica GN=PRUPE_ppa010255mg PE=4 SV=1</t>
  </si>
  <si>
    <t>Uncharacterized protein OS=Prunus persica GN=PRUPE_ppa002095mg PE=4 SV=1</t>
  </si>
  <si>
    <t>Uncharacterized protein OS=Prunus persica GN=PRUPE_ppa010295mg PE=4 SV=1</t>
  </si>
  <si>
    <t>Uncharacterized protein OS=Prunus persica GN=PRUPE_ppa008148mg PE=4 SV=1</t>
  </si>
  <si>
    <t>Uncharacterized protein (Fragment) OS=Prunus persica GN=PRUPE_ppa020759mg PE=4 SV=1</t>
  </si>
  <si>
    <t>Cytochrome C biogenesis protein CcmFC protein OS=Medicago truncatula GN=MTR_0082s0260 PE=4 SV=1</t>
  </si>
  <si>
    <t>Uncharacterized protein OS=Prunus persica GN=PRUPE_ppa012762mg PE=4 SV=1</t>
  </si>
  <si>
    <t>Uncharacterized protein OS=Prunus persica GN=PRUPE_ppa003508mg PE=4 SV=1</t>
  </si>
  <si>
    <t>Alpha-mannosidase OS=Prunus persica GN=PRUPE_ppa021513mg PE=3 SV=1</t>
  </si>
  <si>
    <t>Uncharacterized protein OS=Prunus persica GN=PRUPE_ppa004158mg PE=4 SV=1</t>
  </si>
  <si>
    <t>Uncharacterized protein OS=Prunus persica GN=PRUPE_ppa001277mg PE=4 SV=1</t>
  </si>
  <si>
    <t>Uncharacterized protein OS=Prunus persica GN=PRUPE_ppa005250mg PE=4 SV=1</t>
  </si>
  <si>
    <t>Uncharacterized protein OS=Prunus persica GN=PRUPE_ppa013877mg PE=4 SV=1</t>
  </si>
  <si>
    <t>Uncharacterized protein (Fragment) OS=Prunus persica GN=PRUPE_ppa023387mg PE=4 SV=1</t>
  </si>
  <si>
    <t>Uncharacterized protein OS=Prunus persica GN=PRUPE_ppa002417mg PE=4 SV=1</t>
  </si>
  <si>
    <t>Uncharacterized protein (Fragment) OS=Prunus persica GN=PRUPE_ppa020735mg PE=4 SV=1</t>
  </si>
  <si>
    <t>Uncharacterized protein OS=Prunus persica GN=PRUPE_ppa010114mg PE=4 SV=1</t>
  </si>
  <si>
    <t>Ferritin (Fragment) OS=Prunus persica GN=PRUPE_ppa026887mg PE=3 SV=1</t>
  </si>
  <si>
    <t>Uncharacterized protein OS=Prunus persica GN=PRUPE_ppa003440mg PE=3 SV=1</t>
  </si>
  <si>
    <t>Putative MADS box protein OS=Prunus persica GN=PRUPE_ppa010308mg PE=2 SV=1</t>
  </si>
  <si>
    <t>Uncharacterized protein OS=Prunus persica GN=PRUPE_ppa012368mg PE=4 SV=1</t>
  </si>
  <si>
    <t>Uncharacterized protein OS=Prunus persica GN=PRUPE_ppa022915mg PE=4 SV=1</t>
  </si>
  <si>
    <t>Uncharacterized protein OS=Prunus persica GN=PRUPE_ppa005035mg PE=4 SV=1</t>
  </si>
  <si>
    <t>Phosphoenolpyruvate carboxykinase (Fragment) OS=Colletotrichum higginsianum (strain IMI 349063) GN=CH063_02549 PE=3 SV=1</t>
  </si>
  <si>
    <t>NADH dehydrogenase subunit 2 OS=Beta vulgaris subsp. maritima GN=nad2 PE=3 SV=1</t>
  </si>
  <si>
    <t>Putative Myb family transcription factor OS=Morus notabilis GN=L484_013303 PE=4 SV=1</t>
  </si>
  <si>
    <t>Transcription initiation factor TFIid subunit 6 OS=Morus notabilis GN=L484_014030 PE=4 SV=1</t>
  </si>
  <si>
    <t>Uncharacterized protein (Fragment) OS=Prunus persica GN=PRUPE_ppa021457mg PE=4 SV=1</t>
  </si>
  <si>
    <t>Uncharacterized protein OS=Prunus persica GN=PRUPE_ppa002440mg PE=3 SV=1</t>
  </si>
  <si>
    <t>Putative B3 domain-containing protein OS=Morus notabilis GN=L484_018818 PE=4 SV=1</t>
  </si>
  <si>
    <t>Enhancer of polycomb-like protein OS=Prunus persica GN=PRUPE_ppa001422mg PE=3 SV=1</t>
  </si>
  <si>
    <t>Uncharacterized protein OS=Prunus persica GN=PRUPE_ppa011676mg PE=4 SV=1</t>
  </si>
  <si>
    <t>Uncharacterized protein OS=Prunus persica GN=PRUPE_ppa011294mg PE=3 SV=1</t>
  </si>
  <si>
    <t>Uncharacterized protein OS=Prunus persica GN=PRUPE_ppa010371mg PE=4 SV=1</t>
  </si>
  <si>
    <t>Uncharacterized protein OS=Prunus persica GN=PRUPE_ppa011561mg PE=4 SV=1</t>
  </si>
  <si>
    <t>Histone H2A OS=Prunus persica GN=PRUPE_ppa013079mg PE=3 SV=1</t>
  </si>
  <si>
    <t>Uncharacterized protein OS=Prunus persica GN=PRUPE_ppa003834mg PE=4 SV=1</t>
  </si>
  <si>
    <t>Alanine--tRNA ligase OS=Prunus persica GN=PRUPE_ppa000923mg PE=3 SV=1</t>
  </si>
  <si>
    <t>Uncharacterized protein OS=Prunus persica GN=PRUPE_ppa004486mg PE=3 SV=1</t>
  </si>
  <si>
    <t>Glutamate decarboxylase OS=Prunus persica GN=PRUPE_ppa006398mg PE=3 SV=1</t>
  </si>
  <si>
    <t>Uncharacterized protein OS=Prunus persica GN=PRUPE_ppa008017mg PE=4 SV=1</t>
  </si>
  <si>
    <t>Uncharacterized protein OS=Prunus persica GN=PRUPE_ppa004020mg PE=4 SV=1</t>
  </si>
  <si>
    <t>Presenilin OS=Prunus persica GN=PRUPE_ppa005461mg PE=3 SV=1</t>
  </si>
  <si>
    <t>Uncharacterized protein OS=Prunus persica GN=PRUPE_ppa002031mg PE=4 SV=1</t>
  </si>
  <si>
    <t>Ubiquinol oxidase OS=Prunus persica GN=PRUPE_ppa014817mg PE=3 SV=1</t>
  </si>
  <si>
    <t>Uncharacterized protein OS=Prunus persica GN=PRUPE_ppa004097mg PE=3 SV=1</t>
  </si>
  <si>
    <t>Uncharacterized protein OS=Prunus persica GN=PRUPE_ppa003659mg PE=4 SV=1</t>
  </si>
  <si>
    <t>Uncharacterized protein OS=Prunus persica GN=PRUPE_ppa004235mg PE=4 SV=1</t>
  </si>
  <si>
    <t>Uncharacterized protein OS=Gossypium raimondii GN=B456_008G066300 PE=4 SV=1</t>
  </si>
  <si>
    <t>Uncharacterized protein OS=Prunus persica GN=PRUPE_ppa006102mg PE=4 SV=1</t>
  </si>
  <si>
    <t>Uncharacterized protein OS=Prunus persica GN=PRUPE_ppa003681mg PE=4 SV=1</t>
  </si>
  <si>
    <t>Uncharacterized protein OS=Prunus persica GN=PRUPE_ppa001296mg PE=4 SV=1</t>
  </si>
  <si>
    <t>Uncharacterized protein OS=Prunus persica GN=PRUPE_ppa004405mg PE=4 SV=1</t>
  </si>
  <si>
    <t>Uncharacterized protein OS=Prunus persica GN=PRUPE_ppa000744mg PE=4 SV=1</t>
  </si>
  <si>
    <t>Uncharacterized protein OS=Prunus persica GN=PRUPE_ppa012836mg PE=4 SV=1</t>
  </si>
  <si>
    <t>Uncharacterized protein (Fragment) OS=Prunus persica GN=PRUPE_ppa018841mg PE=4 SV=1</t>
  </si>
  <si>
    <t>Uncharacterized protein OS=Prunus persica GN=PRUPE_ppa018037mg PE=4 SV=1</t>
  </si>
  <si>
    <t>Uncharacterized protein OS=Prunus persica GN=PRUPE_ppa004000mg PE=4 SV=1</t>
  </si>
  <si>
    <t>Ubiquitin carboxyl-terminal hydrolase OS=Prunus persica GN=PRUPE_ppa002550mg PE=3 SV=1</t>
  </si>
  <si>
    <t>Uncharacterized protein (Fragment) OS=Prunus persica GN=PRUPE_ppa015345m1g PE=4 SV=1</t>
  </si>
  <si>
    <t>Uncharacterized protein OS=Prunus persica GN=PRUPE_ppa008418mg PE=4 SV=1</t>
  </si>
  <si>
    <t>Uncharacterized protein OS=Prunus persica GN=PRUPE_ppa023836mg PE=4 SV=1</t>
  </si>
  <si>
    <t>Uncharacterized protein OS=Prunus persica GN=PRUPE_ppa019487mg PE=4 SV=1</t>
  </si>
  <si>
    <t>Uncharacterized protein OS=Prunus persica GN=PRUPE_ppa008434mg PE=4 SV=1</t>
  </si>
  <si>
    <t>Uncharacterized protein OS=Prunus persica GN=PRUPE_ppa006068mg PE=4 SV=1</t>
  </si>
  <si>
    <t>Uncharacterized protein OS=Prunus persica GN=PRUPE_ppa003800mg PE=4 SV=1</t>
  </si>
  <si>
    <t>Uncharacterized protein OS=Prunus persica GN=PRUPE_ppa002988mg PE=4 SV=1</t>
  </si>
  <si>
    <t>Uncharacterized protein OS=Prunus persica GN=PRUPE_ppa003425mg PE=4 SV=1</t>
  </si>
  <si>
    <t>Serine/threonine-protein phosphatase 2A activator OS=Prunus persica GN=PRUPE_ppa006692mg PE=3 SV=1</t>
  </si>
  <si>
    <t>Uncharacterized protein (Fragment) OS=Prunus persica GN=PRUPE_ppa023845mg PE=3 SV=1</t>
  </si>
  <si>
    <t>Histone H2A OS=Prunus persica GN=PRUPE_ppa013202mg PE=3 SV=1</t>
  </si>
  <si>
    <t>Uncharacterized protein OS=Prunus persica GN=PRUPE_ppa023730mg PE=4 SV=1</t>
  </si>
  <si>
    <t>Uncharacterized protein OS=Prunus persica GN=PRUPE_ppa022249mg PE=4 SV=1</t>
  </si>
  <si>
    <t>Uncharacterized protein OS=Prunus persica GN=PRUPE_ppa005511mg PE=4 SV=1</t>
  </si>
  <si>
    <t>Uncharacterized protein OS=Prunus persica GN=PRUPE_ppa007871mg PE=4 SV=1</t>
  </si>
  <si>
    <t>Uncharacterized protein OS=Prunus persica GN=PRUPE_ppa006412mg PE=4 SV=1</t>
  </si>
  <si>
    <t>Alpha/beta-Hydrolases superfamily protein OS=Theobroma cacao GN=TCM_037927 PE=4 SV=1</t>
  </si>
  <si>
    <t>Uncharacterized protein OS=Prunus persica GN=PRUPE_ppa009404mg PE=4 SV=1</t>
  </si>
  <si>
    <t>Uncharacterized protein OS=Prunus persica GN=PRUPE_ppa023446mg PE=4 SV=1</t>
  </si>
  <si>
    <t>Uncharacterized protein (Fragment) OS=Prunus persica GN=PRUPE_ppa025936mg PE=4 SV=1</t>
  </si>
  <si>
    <t>Uncharacterized protein (Fragment) OS=Prunus persica GN=PRUPE_ppa027007mg PE=4 SV=1</t>
  </si>
  <si>
    <t>Uncharacterized protein OS=Prunus persica GN=PRUPE_ppa011168mg PE=4 SV=1</t>
  </si>
  <si>
    <t>Uncharacterized protein OS=Prunus persica GN=PRUPE_ppa013853mg PE=4 SV=1</t>
  </si>
  <si>
    <t>40S ribosomal protein S3a OS=Prunus persica GN=PRUPE_ppa010179mg PE=3 SV=1</t>
  </si>
  <si>
    <t>Uncharacterized protein OS=Prunus persica GN=PRUPE_ppa009725mg PE=4 SV=1</t>
  </si>
  <si>
    <t>Uncharacterized protein OS=Prunus persica GN=PRUPE_ppa013168mg PE=4 SV=1</t>
  </si>
  <si>
    <t>Uncharacterized protein OS=Prunus persica GN=PRUPE_ppa005167mg PE=4 SV=1</t>
  </si>
  <si>
    <t>Uncharacterized protein OS=Prunus persica GN=PRUPE_ppa008284mg PE=4 SV=1</t>
  </si>
  <si>
    <t>Uncharacterized protein OS=Prunus persica GN=PRUPE_ppa006196mg PE=4 SV=1</t>
  </si>
  <si>
    <t>Uncharacterized protein OS=Prunus persica GN=PRUPE_ppa018894mg PE=4 SV=1</t>
  </si>
  <si>
    <t>Uncharacterized protein OS=Prunus persica GN=PRUPE_ppa011347mg PE=4 SV=1</t>
  </si>
  <si>
    <t>Acyl carrier protein OS=Prunus persica GN=PRUPE_ppa013239mg PE=3 SV=1</t>
  </si>
  <si>
    <t>Uncharacterized protein OS=Prunus persica GN=PRUPE_ppa006861mg PE=3 SV=1</t>
  </si>
  <si>
    <t>Uncharacterized protein OS=Prunus persica GN=PRUPE_ppa005682mg PE=4 SV=1</t>
  </si>
  <si>
    <t>Fructose-bisphosphate aldolase OS=Prunus persica GN=PRUPE_ppa006746mg PE=3 SV=1</t>
  </si>
  <si>
    <t>Uncharacterized protein OS=Eucalyptus grandis GN=EUGRSUZ_C02434 PE=4 SV=1</t>
  </si>
  <si>
    <t>ATP synthase subunit beta, chloroplastic OS=Prunus padus GN=atpB PE=3 SV=1</t>
  </si>
  <si>
    <t>Beta HLH protein 93 OS=Theobroma cacao GN=TCM_034574 PE=4 SV=1</t>
  </si>
  <si>
    <t>Auxin response factor OS=Populus trichocarpa GN=POPTR_0004s07640g PE=3 SV=2</t>
  </si>
  <si>
    <t>60S ribosomal protein L24, putative OS=Ricinus communis GN=RCOM_1685040 PE=4 SV=1</t>
  </si>
  <si>
    <t>Uncharacterized protein OS=Prunus persica GN=PRUPE_ppa007608mg PE=4 SV=1</t>
  </si>
  <si>
    <t>Uncharacterized protein OS=Prunus persica GN=PRUPE_ppa001108mg PE=4 SV=1</t>
  </si>
  <si>
    <t>Uncharacterized protein OS=Prunus persica GN=PRUPE_ppa011708mg PE=4 SV=1</t>
  </si>
  <si>
    <t>Uncharacterized protein OS=Prunus persica GN=PRUPE_ppa022413mg PE=4 SV=1</t>
  </si>
  <si>
    <t>Uncharacterized protein OS=Prunus persica GN=PRUPE_ppa006382mg PE=4 SV=1</t>
  </si>
  <si>
    <t>Uncharacterized protein OS=Prunus persica GN=PRUPE_ppa010364mg PE=3 SV=1</t>
  </si>
  <si>
    <t>Uncharacterized protein OS=Prunus persica GN=PRUPE_ppa001273mg PE=4 SV=1</t>
  </si>
  <si>
    <t>Uncharacterized protein OS=Cucumis sativus GN=Csa_5G175960 PE=4 SV=1</t>
  </si>
  <si>
    <t>Uncharacterized protein OS=Prunus persica GN=PRUPE_ppa009625mg PE=4 SV=1</t>
  </si>
  <si>
    <t>Uncharacterized protein OS=Prunus persica GN=PRUPE_ppa015728mg PE=4 SV=1</t>
  </si>
  <si>
    <t>Uncharacterized protein OS=Prunus persica GN=PRUPE_ppa001570mg PE=4 SV=1</t>
  </si>
  <si>
    <t>Uncharacterized protein OS=Prunus persica GN=PRUPE_ppa010073mg PE=4 SV=1</t>
  </si>
  <si>
    <t>Uncharacterized protein OS=Prunus persica GN=PRUPE_ppa005731mg PE=4 SV=1</t>
  </si>
  <si>
    <t>Uncharacterized protein OS=Prunus persica GN=PRUPE_ppa011431mg PE=4 SV=1</t>
  </si>
  <si>
    <t>Uncharacterized protein OS=Prunus persica GN=PRUPE_ppa011109mg PE=4 SV=1</t>
  </si>
  <si>
    <t>Uncharacterized protein OS=Prunus persica GN=PRUPE_ppa008458mg PE=4 SV=1</t>
  </si>
  <si>
    <t>Uncharacterized protein OS=Prunus persica GN=PRUPE_ppa008982mg PE=4 SV=1</t>
  </si>
  <si>
    <t>Uncharacterized protein OS=Prunus persica GN=PRUPE_ppa024380mg PE=4 SV=1</t>
  </si>
  <si>
    <t>Uncharacterized protein OS=Prunus persica GN=PRUPE_ppa018226mg PE=4 SV=1</t>
  </si>
  <si>
    <t>Uncharacterized protein OS=Prunus persica GN=PRUPE_ppa011838mg PE=3 SV=1</t>
  </si>
  <si>
    <t>Uncharacterized protein OS=Prunus persica GN=PRUPE_ppa022198mg PE=4 SV=1</t>
  </si>
  <si>
    <t>Uncharacterized protein OS=Prunus persica GN=PRUPE_ppa003488mg PE=4 SV=1</t>
  </si>
  <si>
    <t>Uncharacterized protein OS=Prunus persica GN=PRUPE_ppa012994mg PE=3 SV=1</t>
  </si>
  <si>
    <t>Uncharacterized protein OS=Prunus persica GN=PRUPE_ppa002290mg PE=3 SV=1</t>
  </si>
  <si>
    <t>Uncharacterized protein OS=Prunus persica GN=PRUPE_ppa013889mg PE=4 SV=1</t>
  </si>
  <si>
    <t>Putative uncharacterized protein OS=Malus domestica PE=4 SV=1</t>
  </si>
  <si>
    <t>Alcohol oxidase OS=Gibberella moniliformis (strain M3125 / FGSC 7600) GN=FVEG_12768 PE=3 SV=1</t>
  </si>
  <si>
    <t>Xyloglucan endotransglucosylase/hydrolase OS=Prunus persica GN=PRUPE_ppa009608mg PE=3 SV=1</t>
  </si>
  <si>
    <t>Uncharacterized protein OS=Oryza glaberrima PE=4 SV=1</t>
  </si>
  <si>
    <t>Carboxypeptidase OS=Prunus persica GN=PRUPE_ppa005368mg PE=3 SV=1</t>
  </si>
  <si>
    <t>Uncharacterized protein OS=Prunus persica GN=PRUPE_ppa010903mg PE=4 SV=1</t>
  </si>
  <si>
    <t>Uncharacterized protein OS=Prunus persica GN=PRUPE_ppa018816mg PE=3 SV=1</t>
  </si>
  <si>
    <t>Uncharacterized protein OS=Prunus persica GN=PRUPE_ppa021613mg PE=4 SV=1</t>
  </si>
  <si>
    <t>Uncharacterized protein OS=Prunus persica GN=PRUPE_ppa012977mg PE=4 SV=1</t>
  </si>
  <si>
    <t>Uncharacterized protein OS=Prunus persica GN=PRUPE_ppa012562mg PE=4 SV=1</t>
  </si>
  <si>
    <t>Uncharacterized protein OS=Prunus persica GN=PRUPE_ppa024791mg PE=4 SV=1</t>
  </si>
  <si>
    <t>Uncharacterized protein OS=Prunus persica GN=PRUPE_ppa012940mg PE=4 SV=1</t>
  </si>
  <si>
    <t>Uncharacterized protein OS=Prunus persica GN=PRUPE_ppa007913mg PE=4 SV=1</t>
  </si>
  <si>
    <t>Photosystem I P700 chlorophyll a apoprotein A1 OS=Oryza sativa subsp. japonica GN=psaA PE=3 SV=1</t>
  </si>
  <si>
    <t>Uncharacterized protein OS=Prunus persica GN=PRUPE_ppa011734mg PE=4 SV=1</t>
  </si>
  <si>
    <t>Uncharacterized protein OS=Prunus persica GN=PRUPE_ppa000586mg PE=3 SV=1</t>
  </si>
  <si>
    <t>Uncharacterized protein OS=Prunus persica GN=PRUPE_ppa011812mg PE=4 SV=1</t>
  </si>
  <si>
    <t>Uncharacterized protein OS=Prunus persica GN=PRUPE_ppa007977mg PE=4 SV=1</t>
  </si>
  <si>
    <t>Uncharacterized protein OS=Prunus persica GN=PRUPE_ppa021858mg PE=4 SV=1</t>
  </si>
  <si>
    <t>Uncharacterized protein OS=Prunus persica GN=PRUPE_ppa005449mg PE=4 SV=1</t>
  </si>
  <si>
    <t>Uncharacterized protein OS=Cucumis sativus GN=Csa_4G013030 PE=4 SV=1</t>
  </si>
  <si>
    <t>Uncharacterized protein OS=Prunus persica GN=PRUPE_ppa011995mg PE=4 SV=1</t>
  </si>
  <si>
    <t>Uncharacterized protein OS=Prunus persica GN=PRUPE_ppa008217mg PE=4 SV=1</t>
  </si>
  <si>
    <t>Uncharacterized protein OS=Prunus persica GN=PRUPE_ppa007990mg PE=4 SV=1</t>
  </si>
  <si>
    <t>Uncharacterized protein OS=Prunus persica GN=PRUPE_ppa007690mg PE=4 SV=1</t>
  </si>
  <si>
    <t>Uncharacterized protein OS=Prunus persica GN=PRUPE_ppa008839mg PE=4 SV=1</t>
  </si>
  <si>
    <t>Uncharacterized protein OS=Prunus persica GN=PRUPE_ppa015020mg PE=4 SV=1</t>
  </si>
  <si>
    <t>Thymidine kinase OS=Citrus sinensis GN=CISIN_1g023563mg PE=3 SV=1</t>
  </si>
  <si>
    <t>Uncharacterized protein OS=Prunus persica GN=PRUPE_ppa011710mg PE=4 SV=1</t>
  </si>
  <si>
    <t>Uncharacterized protein OS=Prunus persica GN=PRUPE_ppa012689mg PE=4 SV=1</t>
  </si>
  <si>
    <t>Uncharacterized protein OS=Prunus persica GN=PRUPE_ppa1027138mg PE=4 SV=1</t>
  </si>
  <si>
    <t>Uncharacterized protein OS=Prunus persica GN=PRUPE_ppa007752mg PE=4 SV=1</t>
  </si>
  <si>
    <t>Uncharacterized protein (Fragment) OS=Prunus persica GN=PRUPE_ppa026767mg PE=4 SV=1</t>
  </si>
  <si>
    <t>Uncharacterized protein OS=Prunus persica GN=PRUPE_ppa021648mg PE=4 SV=1</t>
  </si>
  <si>
    <t>Uncharacterized protein OS=Prunus persica GN=PRUPE_ppa012112mg PE=4 SV=1</t>
  </si>
  <si>
    <t>Uncharacterized protein OS=Prunus persica GN=PRUPE_ppa024044mg PE=4 SV=1</t>
  </si>
  <si>
    <t>Zinc finger protein ZFPM1 OS=Theobroma cacao GN=TCM_042203 PE=4 SV=1</t>
  </si>
  <si>
    <t>Uncharacterized protein OS=Morus notabilis GN=L484_006392 PE=4 SV=1</t>
  </si>
  <si>
    <t>Uncharacterized protein OS=Prunus persica GN=PRUPE_ppa001829mg PE=4 SV=1</t>
  </si>
  <si>
    <t>Uncharacterized protein OS=Prunus persica GN=PRUPE_ppa027026mg PE=4 SV=1</t>
  </si>
  <si>
    <t>Uncharacterized protein OS=Prunus persica GN=PRUPE_ppa004546mg PE=3 SV=1</t>
  </si>
  <si>
    <t>Uncharacterized protein OS=Prunus persica GN=PRUPE_ppa003018mg PE=4 SV=1</t>
  </si>
  <si>
    <t>Uncharacterized protein OS=Prunus persica GN=PRUPE_ppa011021mg PE=4 SV=1</t>
  </si>
  <si>
    <t>Uncharacterized protein OS=Prunus persica GN=PRUPE_ppa013581mg PE=4 SV=1</t>
  </si>
  <si>
    <t>Uncharacterized protein OS=Prunus persica GN=PRUPE_ppa009512mg PE=4 SV=1</t>
  </si>
  <si>
    <t>Uncharacterized protein OS=Prunus persica GN=PRUPE_ppa005309mg PE=4 SV=1</t>
  </si>
  <si>
    <t>Uncharacterized protein OS=Prunus persica GN=PRUPE_ppa004268mg PE=3 SV=1</t>
  </si>
  <si>
    <t>Putative uncharacterized protein OS=Vitis vinifera GN=VITISV_021909 PE=4 SV=1</t>
  </si>
  <si>
    <t>Uncharacterized protein OS=Prunus persica GN=PRUPE_ppa003660mg PE=4 SV=1</t>
  </si>
  <si>
    <t>Uncharacterized protein OS=Prunus persica GN=PRUPE_ppa024284mg PE=4 SV=1</t>
  </si>
  <si>
    <t>Uncharacterized protein OS=Prunus persica GN=PRUPE_ppa007947mg PE=4 SV=1</t>
  </si>
  <si>
    <t>Uncharacterized protein OS=Prunus persica GN=PRUPE_ppa000021mg PE=4 SV=1</t>
  </si>
  <si>
    <t>N-acetyl-gamma-glutamyl-phosphate reductase OS=Citrus clementina GN=CICLE_v10028560mg PE=3 SV=1</t>
  </si>
  <si>
    <t>Uncharacterized protein OS=Prunus persica GN=PRUPE_ppa011797mg PE=4 SV=1</t>
  </si>
  <si>
    <t>Uncharacterized protein OS=Prunus persica GN=PRUPE_ppa005606mg PE=4 SV=1</t>
  </si>
  <si>
    <t>Uncharacterized protein OS=Prunus persica GN=PRUPE_ppa007850mg PE=4 SV=1</t>
  </si>
  <si>
    <t>Uncharacterized protein OS=Prunus persica GN=PRUPE_ppa025125mg PE=4 SV=1</t>
  </si>
  <si>
    <t>Uncharacterized protein OS=Prunus persica GN=PRUPE_ppa013115mg PE=4 SV=1</t>
  </si>
  <si>
    <t>Uncharacterized protein OS=Prunus persica GN=PRUPE_ppa025835mg PE=4 SV=1</t>
  </si>
  <si>
    <t>Uncharacterized protein OS=Prunus persica GN=PRUPE_ppa004758mg PE=3 SV=1</t>
  </si>
  <si>
    <t>Uncharacterized protein OS=Prunus persica GN=PRUPE_ppa003676mg PE=4 SV=1</t>
  </si>
  <si>
    <t>Uncharacterized protein OS=Prunus persica GN=PRUPE_ppa002730mg PE=3 SV=1</t>
  </si>
  <si>
    <t>Uncharacterized protein OS=Prunus persica GN=PRUPE_ppa012665mg PE=4 SV=1</t>
  </si>
  <si>
    <t>Uncharacterized protein OS=Prunus persica GN=PRUPE_ppa012906mg PE=4 SV=1</t>
  </si>
  <si>
    <t>Uncharacterized protein OS=Prunus persica GN=PRUPE_ppa010468mg PE=4 SV=1</t>
  </si>
  <si>
    <t>Uncharacterized protein OS=Prunus persica GN=PRUPE_ppa009644mg PE=4 SV=1</t>
  </si>
  <si>
    <t>Hexosyltransferase OS=Prunus persica GN=PRUPE_ppa008521mg PE=3 SV=1</t>
  </si>
  <si>
    <t>Uncharacterized protein OS=Prunus persica GN=PRUPE_ppa009575mg PE=4 SV=1</t>
  </si>
  <si>
    <t>Uncharacterized protein OS=Prunus persica GN=PRUPE_ppa020552mg PE=4 SV=1</t>
  </si>
  <si>
    <t>Uncharacterized protein (Fragment) OS=Prunus persica GN=PRUPE_ppa025962mg PE=4 SV=1</t>
  </si>
  <si>
    <t>Uncharacterized protein OS=Prunus persica GN=PRUPE_ppa023989mg PE=4 SV=1</t>
  </si>
  <si>
    <t>Uncharacterized protein OS=Prunus persica GN=PRUPE_ppa004373mg PE=3 SV=1</t>
  </si>
  <si>
    <t>Uncharacterized protein OS=Prunus persica GN=PRUPE_ppa007260mg PE=3 SV=1</t>
  </si>
  <si>
    <t>Uncharacterized protein OS=Prunus persica GN=PRUPE_ppa000678mg PE=4 SV=1</t>
  </si>
  <si>
    <t>Uncharacterized protein OS=Prunus persica GN=PRUPE_ppa010067mg PE=3 SV=1</t>
  </si>
  <si>
    <t>Uncharacterized protein OS=Prunus persica GN=PRUPE_ppa017429mg PE=4 SV=1</t>
  </si>
  <si>
    <t>Uncharacterized protein OS=Prunus persica GN=PRUPE_ppa006489mg PE=4 SV=1</t>
  </si>
  <si>
    <t>Uncharacterized protein OS=Citrus sinensis GN=CISIN_1g000837mg PE=4 SV=1</t>
  </si>
  <si>
    <t>Uncharacterized protein OS=Prunus persica GN=PRUPE_ppa011359mg PE=4 SV=1</t>
  </si>
  <si>
    <t>Uncharacterized protein OS=Prunus persica GN=PRUPE_ppa008768mg PE=4 SV=1</t>
  </si>
  <si>
    <t>Uncharacterized protein OS=Prunus persica GN=PRUPE_ppa001964mg PE=3 SV=1</t>
  </si>
  <si>
    <t>Uncharacterized protein OS=Prunus persica GN=PRUPE_ppa002663mg PE=4 SV=1</t>
  </si>
  <si>
    <t>Uncharacterized protein OS=Prunus persica GN=PRUPE_ppa007540mg PE=3 SV=1</t>
  </si>
  <si>
    <t>Uncharacterized protein (Fragment) OS=Prunus persica GN=PRUPE_ppa023486mg PE=4 SV=1</t>
  </si>
  <si>
    <t>Uncharacterized protein OS=Prunus persica GN=PRUPE_ppa000267mg PE=4 SV=1</t>
  </si>
  <si>
    <t>Uncharacterized protein OS=Prunus persica GN=PRUPE_ppa014581mg PE=4 SV=1</t>
  </si>
  <si>
    <t>Uncharacterized protein OS=Prunus persica GN=PRUPE_ppa026719mg PE=4 SV=1</t>
  </si>
  <si>
    <t>Vacuolar ATPase assembly integral membrane protein VMA21 homolog OS=Prunus persica GN=PRUPE_ppa013759mg PE=3 SV=1</t>
  </si>
  <si>
    <t>Uncharacterized protein OS=Prunus persica GN=PRUPE_ppa010085mg PE=4 SV=1</t>
  </si>
  <si>
    <t>Uncharacterized protein OS=Prunus persica GN=PRUPE_ppa003859mg PE=4 SV=1</t>
  </si>
  <si>
    <t>Putative transposase tnp2 OS=Malus domestica PE=4 SV=1</t>
  </si>
  <si>
    <t>Uncharacterized protein OS=Prunus persica GN=PRUPE_ppa000813mg PE=3 SV=1</t>
  </si>
  <si>
    <t>G-type lectin S-receptor-like serine/threonine-protein kinase RLK1 OS=Morus notabilis GN=L484_022539 PE=3 SV=1</t>
  </si>
  <si>
    <t>Profilin OS=Prunus persica GN=PRUPE_ppa013285mg PE=3 SV=1</t>
  </si>
  <si>
    <t>Uncharacterized protein OS=Prunus persica GN=PRUPE_ppa010544mg PE=4 SV=1</t>
  </si>
  <si>
    <t>Dolichyl-diphosphooligosaccharide--protein glycosyltransferase 48 kDa subunit OS=Prunus persica GN=PRUPE_ppa005938mg PE=3 SV=1</t>
  </si>
  <si>
    <t>Non-specific serine/threonine protein kinase OS=Prunus persica GN=PRUPE_ppa005902mg PE=4 SV=1</t>
  </si>
  <si>
    <t>Uncharacterized protein OS=Prunus persica GN=PRUPE_ppa010309mg PE=4 SV=1</t>
  </si>
  <si>
    <t>Uncharacterized protein OS=Prunus persica GN=PRUPE_ppa005592mg PE=4 SV=1</t>
  </si>
  <si>
    <t>Uncharacterized protein OS=Prunus persica GN=PRUPE_ppa005354mg PE=4 SV=1</t>
  </si>
  <si>
    <t>Uncharacterized protein OS=Citrus clementina GN=CICLE_v10019626mg PE=4 SV=1</t>
  </si>
  <si>
    <t>Uncharacterized protein OS=Prunus persica GN=PRUPE_ppa018848mg PE=4 SV=1</t>
  </si>
  <si>
    <t>Uncharacterized protein OS=Prunus persica GN=PRUPE_ppa005691mg PE=4 SV=1</t>
  </si>
  <si>
    <t>Uncharacterized protein OS=Prunus persica GN=PRUPE_ppa014415mg PE=4 SV=1</t>
  </si>
  <si>
    <t>Uncharacterized protein (Fragment) OS=Prunus persica GN=PRUPE_ppa019966mg PE=4 SV=1</t>
  </si>
  <si>
    <t>Uncharacterized protein OS=Prunus persica GN=PRUPE_ppa023724mg PE=4 SV=1</t>
  </si>
  <si>
    <t>Uncharacterized protein OS=Prunus persica GN=PRUPE_ppa010580mg PE=4 SV=1</t>
  </si>
  <si>
    <t>Uncharacterized protein OS=Prunus persica GN=PRUPE_ppa008949mg PE=4 SV=1</t>
  </si>
  <si>
    <t>Evolutionarily conserved C-terminal region 2 isoform 2 OS=Theobroma cacao GN=TCM_039865 PE=4 SV=1</t>
  </si>
  <si>
    <t>Ubiquitin carboxyl-terminal hydrolase OS=Gossypium arboreum GN=F383_13455 PE=3 SV=1</t>
  </si>
  <si>
    <t>Uncharacterized protein OS=Prunus persica GN=PRUPE_ppa1027166mg PE=4 SV=1</t>
  </si>
  <si>
    <t>Uncharacterized protein OS=Prunus persica GN=PRUPE_ppa016645mg PE=4 SV=1</t>
  </si>
  <si>
    <t>Uncharacterized protein OS=Prunus persica GN=PRUPE_ppa001843mg PE=4 SV=1</t>
  </si>
  <si>
    <t>GrpE protein homolog OS=Prunus persica GN=PRUPE_ppa008263mg PE=3 SV=1</t>
  </si>
  <si>
    <t>Uncharacterized protein (Fragment) OS=Prunus persica GN=PRUPE_ppa024942mg PE=4 SV=1</t>
  </si>
  <si>
    <t>Uncharacterized protein OS=Prunus persica GN=PRUPE_ppa002927mg PE=4 SV=1</t>
  </si>
  <si>
    <t>NADH dehydrogenase subunit F (Fragment) OS=Prunus avium GN=ndhF PE=4 SV=1</t>
  </si>
  <si>
    <t>Uncharacterized protein OS=Prunus persica GN=PRUPE_ppa019092mg PE=4 SV=1</t>
  </si>
  <si>
    <t>Uncharacterized protein OS=Prunus persica GN=PRUPE_ppa022301mg PE=4 SV=1</t>
  </si>
  <si>
    <t>WGS project CBMI000000000 data, contig CS3069_c004917 OS=Fusarium sp. FIESC_5 CS3069 GN=BN850_0134180 PE=3 SV=1</t>
  </si>
  <si>
    <t>Uncharacterized protein OS=Prunus persica GN=PRUPE_ppa010395mg PE=4 SV=1</t>
  </si>
  <si>
    <t>Uncharacterized protein OS=Prunus persica GN=PRUPE_ppa018139mg PE=4 SV=1</t>
  </si>
  <si>
    <t>Uncharacterized protein OS=Prunus persica GN=PRUPE_ppa005185mg PE=3 SV=1</t>
  </si>
  <si>
    <t>Uncharacterized protein OS=Prunus persica GN=PRUPE_ppa008182mg PE=4 SV=1</t>
  </si>
  <si>
    <t>Uncharacterized protein OS=Prunus persica GN=PRUPE_ppa006184mg PE=4 SV=1</t>
  </si>
  <si>
    <t>Branched-chain-amino-acid aminotransferase OS=Prunus persica GN=PRUPE_ppa006309mg PE=3 SV=1</t>
  </si>
  <si>
    <t>Uncharacterized protein OS=Prunus persica GN=PRUPE_ppa024657mg PE=4 SV=1</t>
  </si>
  <si>
    <t>Uncharacterized protein OS=Prunus persica GN=PRUPE_ppa009161mg PE=4 SV=1</t>
  </si>
  <si>
    <t>Uncharacterized protein OS=Prunus persica GN=PRUPE_ppa016090mg PE=4 SV=1</t>
  </si>
  <si>
    <t>Uncharacterized protein OS=Prunus persica GN=PRUPE_ppa000450mg PE=4 SV=1</t>
  </si>
  <si>
    <t>Uncharacterized protein OS=Prunus persica GN=PRUPE_ppa001119mg PE=4 SV=1</t>
  </si>
  <si>
    <t>Uncharacterized protein OS=Prunus persica GN=PRUPE_ppa011398mg PE=4 SV=1</t>
  </si>
  <si>
    <t>Uncharacterized protein OS=Prunus persica GN=PRUPE_ppa003224mg PE=4 SV=1</t>
  </si>
  <si>
    <t>Uncharacterized protein OS=Prunus persica GN=PRUPE_ppa017472mg PE=4 SV=1</t>
  </si>
  <si>
    <t>Uncharacterized protein OS=Prunus persica GN=PRUPE_ppa010318mg PE=4 SV=1</t>
  </si>
  <si>
    <t>Uncharacterized protein OS=Citrus sinensis GN=CISIN_1g013395mg PE=4 SV=1</t>
  </si>
  <si>
    <t>Uncharacterized protein OS=Prunus persica GN=PRUPE_ppa001047mg PE=4 SV=1</t>
  </si>
  <si>
    <t>Uncharacterized protein OS=Prunus persica GN=PRUPE_ppa002247mg PE=4 SV=1</t>
  </si>
  <si>
    <t>Uncharacterized protein OS=Prunus persica GN=PRUPE_ppa000733mg PE=4 SV=1</t>
  </si>
  <si>
    <t>Uncharacterized protein OS=Prunus persica GN=PRUPE_ppa008857mg PE=4 SV=1</t>
  </si>
  <si>
    <t>Dolichyl-diphosphooligosaccharide--protein glycosyltransferase 48 kDa subunit OS=Prunus persica GN=PRUPE_ppa005950mg PE=3 SV=1</t>
  </si>
  <si>
    <t>Uncharacterized protein OS=Prunus persica GN=PRUPE_ppa004142mg PE=4 SV=1</t>
  </si>
  <si>
    <t>Uncharacterized protein OS=Prunus persica GN=PRUPE_ppa009981mg PE=4 SV=1</t>
  </si>
  <si>
    <t>Uncharacterized protein OS=Prunus persica GN=PRUPE_ppa006444mg PE=4 SV=1</t>
  </si>
  <si>
    <t>Uncharacterized protein OS=Prunus persica GN=PRUPE_ppa019749mg PE=4 SV=1</t>
  </si>
  <si>
    <t>Uncharacterized protein OS=Prunus persica GN=PRUPE_ppa002968mg PE=4 SV=1</t>
  </si>
  <si>
    <t>Uncharacterized protein OS=Prunus persica GN=PRUPE_ppa010695mg PE=4 SV=1</t>
  </si>
  <si>
    <t>Uncharacterized protein OS=Prunus persica GN=PRUPE_ppa007107mg PE=4 SV=1</t>
  </si>
  <si>
    <t>Uncharacterized protein OS=Prunus persica GN=PRUPE_ppa000079mg PE=4 SV=1</t>
  </si>
  <si>
    <t>Uncharacterized protein OS=Prunus persica GN=PRUPE_ppa012180mg PE=4 SV=1</t>
  </si>
  <si>
    <t>Uncharacterized protein OS=Prunus persica GN=PRUPE_ppa001879mg PE=4 SV=1</t>
  </si>
  <si>
    <t>Uncharacterized protein OS=Prunus persica GN=PRUPE_ppa002699mg PE=4 SV=1</t>
  </si>
  <si>
    <t>Uncharacterized protein OS=Prunus persica GN=PRUPE_ppa013788mg PE=4 SV=1</t>
  </si>
  <si>
    <t>Uncharacterized protein OS=Prunus persica GN=PRUPE_ppa002562m1g PE=3 SV=1</t>
  </si>
  <si>
    <t>Uncharacterized protein OS=Prunus persica GN=PRUPE_ppa016650mg PE=4 SV=1</t>
  </si>
  <si>
    <t>Uncharacterized protein OS=Prunus persica GN=PRUPE_ppa005952mg PE=4 SV=1</t>
  </si>
  <si>
    <t>Uncharacterized protein OS=Prunus persica GN=PRUPE_ppa024181mg PE=4 SV=1</t>
  </si>
  <si>
    <t>Uncharacterized protein OS=Prunus persica GN=PRUPE_ppa025324mg PE=4 SV=1</t>
  </si>
  <si>
    <t>Uncharacterized protein OS=Prunus persica GN=PRUPE_ppa007283mg PE=4 SV=1</t>
  </si>
  <si>
    <t>Serine/threonine-protein kinase OS=Jatropha curcas GN=JCGZ_22675 PE=3 SV=1</t>
  </si>
  <si>
    <t>Uncharacterized protein OS=Prunus persica GN=PRUPE_ppa021753mg PE=4 SV=1</t>
  </si>
  <si>
    <t>Putative uncharacterized protein OS=Vitis vinifera GN=VIT_13s0064g01360 PE=3 SV=1</t>
  </si>
  <si>
    <t>Uncharacterized protein OS=Prunus persica GN=PRUPE_ppa004848mg PE=4 SV=1</t>
  </si>
  <si>
    <t>Uncharacterized protein OS=Prunus persica GN=PRUPE_ppa013528mg PE=4 SV=1</t>
  </si>
  <si>
    <t>Uncharacterized protein OS=Prunus persica GN=PRUPE_ppa001391mg PE=4 SV=1</t>
  </si>
  <si>
    <t>Uncharacterized protein OS=Prunus persica GN=PRUPE_ppa007951mg PE=4 SV=1</t>
  </si>
  <si>
    <t>Uncharacterized protein OS=Prunus persica GN=PRUPE_ppa010404mg PE=4 SV=1</t>
  </si>
  <si>
    <t>Uncharacterized protein OS=Prunus persica GN=PRUPE_ppa007068mg PE=4 SV=1</t>
  </si>
  <si>
    <t>Uncharacterized protein (Fragment) OS=Prunus persica GN=PRUPE_ppa019873mg PE=4 SV=1</t>
  </si>
  <si>
    <t>Uncharacterized protein (Fragment) OS=Prunus persica GN=PRUPE_ppa026501mg PE=4 SV=1</t>
  </si>
  <si>
    <t>Uncharacterized protein (Fragment) OS=Prunus persica GN=PRUPE_ppa025617mg PE=4 SV=1</t>
  </si>
  <si>
    <t>Uncharacterized protein (Fragment) OS=Prunus persica GN=PRUPE_ppa016555mg PE=3 SV=1</t>
  </si>
  <si>
    <t>Uncharacterized protein OS=Morus notabilis GN=L484_008418 PE=4 SV=1</t>
  </si>
  <si>
    <t>Uncharacterized protein OS=Prunus persica GN=PRUPE_ppa010882mg PE=3 SV=1</t>
  </si>
  <si>
    <t>Uncharacterized protein OS=Prunus persica GN=PRUPE_ppa007474mg PE=4 SV=1</t>
  </si>
  <si>
    <t>Uncharacterized protein OS=Prunus persica GN=PRUPE_ppa007211mg PE=3 SV=1</t>
  </si>
  <si>
    <t>Uncharacterized protein OS=Prunus persica GN=PRUPE_ppa019254mg PE=4 SV=1</t>
  </si>
  <si>
    <t>Uncharacterized protein OS=Prunus persica GN=PRUPE_ppa007133mg PE=4 SV=1</t>
  </si>
  <si>
    <t>Uncharacterized protein OS=Prunus persica GN=PRUPE_ppa000439mg PE=4 SV=1</t>
  </si>
  <si>
    <t>Uncharacterized protein (Fragment) OS=Eucalyptus grandis GN=EUGRSUZ_H02096 PE=3 SV=1</t>
  </si>
  <si>
    <t>Uncharacterized protein OS=Prunus persica GN=PRUPE_ppa007466mg PE=4 SV=1</t>
  </si>
  <si>
    <t>Uncharacterized protein OS=Prunus persica GN=PRUPE_ppa013112mg PE=4 SV=1</t>
  </si>
  <si>
    <t>Filament-like plant protein, putative isoform 2 OS=Theobroma cacao GN=TCM_035120 PE=4 SV=1</t>
  </si>
  <si>
    <t>Peroxidase OS=Prunus persica GN=PRUPE_ppa017084mg PE=3 SV=1</t>
  </si>
  <si>
    <t>Uncharacterized protein OS=Prunus persica GN=PRUPE_ppa010191mg PE=4 SV=1</t>
  </si>
  <si>
    <t>Xyloglucan endotransglucosylase/hydrolase OS=Prunus persica GN=PRUPE_ppa009387mg PE=3 SV=1</t>
  </si>
  <si>
    <t>Uncharacterized protein OS=Prunus persica GN=PRUPE_ppa025743mg PE=4 SV=1</t>
  </si>
  <si>
    <t>Uncharacterized protein OS=Prunus persica GN=PRUPE_ppa008919mg PE=4 SV=1</t>
  </si>
  <si>
    <t>Uncharacterized protein OS=Prunus persica GN=PRUPE_ppa015834mg PE=4 SV=1</t>
  </si>
  <si>
    <t>Uncharacterized protein OS=Prunus persica GN=PRUPE_ppa003882mg PE=3 SV=1</t>
  </si>
  <si>
    <t>Uncharacterized protein (Fragment) OS=Prunus persica GN=PRUPE_ppa016218mg PE=3 SV=1</t>
  </si>
  <si>
    <t>Uncharacterized protein (Fragment) OS=Prunus persica GN=PRUPE_ppa014862mg PE=4 SV=1</t>
  </si>
  <si>
    <t>Uncharacterized protein OS=Citrus sinensis GN=CISIN_1g000209mg PE=4 SV=1</t>
  </si>
  <si>
    <t>Uncharacterized protein OS=Prunus persica GN=PRUPE_ppa004540mg PE=4 SV=1</t>
  </si>
  <si>
    <t>Uncharacterized protein (Fragment) OS=Prunus persica GN=PRUPE_ppa016705mg PE=4 SV=1</t>
  </si>
  <si>
    <t>Uncharacterized protein OS=Prunus persica GN=PRUPE_ppa003149mg PE=4 SV=1</t>
  </si>
  <si>
    <t>Uncharacterized protein OS=Prunus persica GN=PRUPE_ppa010995mg PE=4 SV=1</t>
  </si>
  <si>
    <t>Uncharacterized protein OS=Prunus persica GN=PRUPE_ppa009678mg PE=4 SV=1</t>
  </si>
  <si>
    <t>Uncharacterized protein OS=Prunus persica GN=PRUPE_ppa000657mg PE=4 SV=1</t>
  </si>
  <si>
    <t>Uncharacterized protein OS=Prunus persica GN=PRUPE_ppa004916mg PE=4 SV=1</t>
  </si>
  <si>
    <t>Uncharacterized protein OS=Prunus persica GN=PRUPE_ppa012039mg PE=4 SV=1</t>
  </si>
  <si>
    <t>Uncharacterized protein OS=Prunus persica GN=PRUPE_ppa001684mg PE=4 SV=1</t>
  </si>
  <si>
    <t>HXXXD-type acyl-transferase family protein, putative OS=Theobroma cacao GN=TCM_010714 PE=4 SV=1</t>
  </si>
  <si>
    <t>Uncharacterized protein OS=Prunus persica GN=PRUPE_ppa011923mg PE=4 SV=1</t>
  </si>
  <si>
    <t>Uncharacterized protein OS=Prunus persica GN=PRUPE_ppa011744mg PE=4 SV=1</t>
  </si>
  <si>
    <t>Uncharacterized protein OS=Prunus persica GN=PRUPE_ppa003333mg PE=4 SV=1</t>
  </si>
  <si>
    <t>Uncharacterized protein OS=Prunus persica GN=PRUPE_ppa000353mg PE=4 SV=1</t>
  </si>
  <si>
    <t>Uncharacterized protein OS=Prunus persica GN=PRUPE_ppa004696mg PE=4 SV=1</t>
  </si>
  <si>
    <t>Uncharacterized protein OS=Prunus persica GN=PRUPE_ppa007518mg PE=4 SV=1</t>
  </si>
  <si>
    <t>Uncharacterized protein OS=Prunus persica GN=PRUPE_ppa002262mg PE=4 SV=1</t>
  </si>
  <si>
    <t>Uncharacterized protein OS=Prunus persica GN=PRUPE_ppa026720mg PE=4 SV=1</t>
  </si>
  <si>
    <t>Uncharacterized protein OS=Prunus persica GN=PRUPE_ppa011616mg PE=4 SV=1</t>
  </si>
  <si>
    <t>Malic enzyme OS=Prunus persica GN=PRUPE_ppa003142mg PE=3 SV=1</t>
  </si>
  <si>
    <t>Uncharacterized protein OS=Prunus persica GN=PRUPE_ppa006698mg PE=4 SV=1</t>
  </si>
  <si>
    <t>Uncharacterized protein OS=Prunus persica GN=PRUPE_ppa000222mg PE=4 SV=1</t>
  </si>
  <si>
    <t>Uncharacterized protein isoform 1 OS=Theobroma cacao GN=TCM_002513 PE=4 SV=1</t>
  </si>
  <si>
    <t>Uncharacterized protein OS=Citrus clementina GN=CICLE_v10004439mg PE=4 SV=1</t>
  </si>
  <si>
    <t>Peroxidase OS=Prunus persica GN=PRUPE_ppa020970mg PE=3 SV=1</t>
  </si>
  <si>
    <t>Uncharacterized protein OS=Prunus persica GN=PRUPE_ppa008134mg PE=4 SV=1</t>
  </si>
  <si>
    <t>Uncharacterized protein OS=Prunus persica GN=PRUPE_ppa008931mg PE=3 SV=1</t>
  </si>
  <si>
    <t>Uncharacterized protein (Fragment) OS=Prunus persica GN=PRUPE_ppa024988mg PE=4 SV=1</t>
  </si>
  <si>
    <t>Serine/threonine-protein phosphatase OS=Prunus persica GN=PRUPE_ppa009178mg PE=3 SV=1</t>
  </si>
  <si>
    <t>Nicotinamide-nucleotide adenylyltransferase OS=Prunus persica GN=PRUPE_ppa027030mg PE=3 SV=1</t>
  </si>
  <si>
    <t>Hexosyltransferase OS=Prunus persica GN=PRUPE_ppa006911mg PE=3 SV=1</t>
  </si>
  <si>
    <t>Uncharacterized protein OS=Fusarium oxysporum f. sp. lycopersici MN25 GN=FOWG_18076 PE=4 SV=1</t>
  </si>
  <si>
    <t>Uncharacterized protein OS=Prunus persica GN=PRUPE_ppa017623mg PE=4 SV=1</t>
  </si>
  <si>
    <t>Uncharacterized protein OS=Prunus persica GN=PRUPE_ppa006931mg PE=4 SV=1</t>
  </si>
  <si>
    <t>Uncharacterized protein OS=Prunus persica GN=PRUPE_ppa018291mg PE=4 SV=1</t>
  </si>
  <si>
    <t>Putative uncharacterized protein OS=Vitis vinifera GN=VIT_04s0069g01110 PE=4 SV=1</t>
  </si>
  <si>
    <t>Uncharacterized protein OS=Prunus persica GN=PRUPE_ppa002076mg PE=4 SV=1</t>
  </si>
  <si>
    <t>Uncharacterized protein OS=Prunus persica GN=PRUPE_ppa022272mg PE=4 SV=1</t>
  </si>
  <si>
    <t>Uncharacterized protein OS=Prunus persica GN=PRUPE_ppa002085mg PE=4 SV=1</t>
  </si>
  <si>
    <t>Uncharacterized protein OS=Prunus persica GN=PRUPE_ppa007103mg PE=4 SV=1</t>
  </si>
  <si>
    <t>Uncharacterized protein OS=Prunus persica GN=PRUPE_ppa007375mg PE=4 SV=1</t>
  </si>
  <si>
    <t>Protein YIPF OS=Prunus persica GN=PRUPE_ppa009732mg PE=3 SV=1</t>
  </si>
  <si>
    <t>Uncharacterized protein OS=Prunus persica GN=PRUPE_ppa014921mg PE=4 SV=1</t>
  </si>
  <si>
    <t>Uncharacterized protein OS=Prunus persica GN=PRUPE_ppa000926mg PE=4 SV=1</t>
  </si>
  <si>
    <t>Uncharacterized protein OS=Prunus persica GN=PRUPE_ppa003833mg PE=4 SV=1</t>
  </si>
  <si>
    <t>Uncharacterized protein OS=Prunus persica GN=PRUPE_ppa003750mg PE=4 SV=1</t>
  </si>
  <si>
    <t>Uncharacterized protein OS=Prunus persica GN=PRUPE_ppa026345mg PE=4 SV=1</t>
  </si>
  <si>
    <t>Flavin-containing monooxygenase OS=Prunus persica GN=PRUPE_ppa005244mg PE=3 SV=1</t>
  </si>
  <si>
    <t>Uncharacterized protein OS=Prunus persica GN=PRUPE_ppa012586mg PE=4 SV=1</t>
  </si>
  <si>
    <t>Uncharacterized protein OS=Prunus persica GN=PRUPE_ppa010980mg PE=4 SV=1</t>
  </si>
  <si>
    <t>Uncharacterized protein OS=Prunus persica GN=PRUPE_ppa006731mg PE=4 SV=1</t>
  </si>
  <si>
    <t>Uncharacterized protein OS=Prunus persica GN=PRUPE_ppa009957mg PE=4 SV=1</t>
  </si>
  <si>
    <t>Uncharacterized protein OS=Prunus persica GN=PRUPE_ppa002542mg PE=3 SV=1</t>
  </si>
  <si>
    <t>Autophagy-related protein OS=Ricinus communis GN=RCOM_1302610 PE=3 SV=1</t>
  </si>
  <si>
    <t>Uncharacterized protein OS=Prunus persica GN=PRUPE_ppa007881mg PE=3 SV=1</t>
  </si>
  <si>
    <t>Uncharacterized protein OS=Prunus persica GN=PRUPE_ppa000384mg PE=4 SV=1</t>
  </si>
  <si>
    <t>Serine/threonine-protein kinase OS=Prunus persica GN=PRUPE_ppa001369mg PE=3 SV=1</t>
  </si>
  <si>
    <t>Uncharacterized protein OS=Prunus persica GN=PRUPE_ppa006424mg PE=4 SV=1</t>
  </si>
  <si>
    <t>1,3-beta-glucanosyltransferase OS=Fusarium oxysporum f. sp. lycopersici (strain 4287 / CBS 123668 / FGSC 9935 / NRRL 34936) GN=FOXG_17750 PE=3 SV=1</t>
  </si>
  <si>
    <t>Uncharacterized protein OS=Prunus persica GN=PRUPE_ppa003708mg PE=4 SV=1</t>
  </si>
  <si>
    <t>Uncharacterized protein (Fragment) OS=Prunus persica GN=PRUPE_ppa016872mg PE=4 SV=1</t>
  </si>
  <si>
    <t>Uncharacterized protein OS=Prunus persica GN=PRUPE_ppa015111mg PE=4 SV=1</t>
  </si>
  <si>
    <t>Uncharacterized protein OS=Prunus persica GN=PRUPE_ppa013224mg PE=4 SV=1</t>
  </si>
  <si>
    <t>Uncharacterized protein OS=Prunus persica GN=PRUPE_ppa018853mg PE=4 SV=1</t>
  </si>
  <si>
    <t>Uncharacterized protein (Fragment) OS=Prunus persica GN=PRUPE_ppa027095mg PE=4 SV=1</t>
  </si>
  <si>
    <t>Uncharacterized protein OS=Populus trichocarpa GN=POPTR_0468s00200g PE=4 SV=1</t>
  </si>
  <si>
    <t>Uncharacterized protein (Fragment) OS=Prunus persica GN=PRUPE_ppa025492mg PE=4 SV=1</t>
  </si>
  <si>
    <t>Uncharacterized protein OS=Prunus persica GN=PRUPE_ppa000481mg PE=4 SV=1</t>
  </si>
  <si>
    <t>Uncharacterized protein OS=Prunus persica GN=PRUPE_ppa001785mg PE=4 SV=1</t>
  </si>
  <si>
    <t>Uncharacterized protein OS=Prunus persica GN=PRUPE_ppa000753mg PE=4 SV=1</t>
  </si>
  <si>
    <t>Uncharacterized protein OS=Prunus persica GN=PRUPE_ppa009948mg PE=4 SV=1</t>
  </si>
  <si>
    <t>Uncharacterized protein OS=Prunus persica GN=PRUPE_ppa002891mg PE=4 SV=1</t>
  </si>
  <si>
    <t>Uncharacterized protein OS=Prunus persica GN=PRUPE_ppa009651mg PE=4 SV=1</t>
  </si>
  <si>
    <t>Uncharacterized protein OS=Prunus persica GN=PRUPE_ppa006631mg PE=3 SV=1</t>
  </si>
  <si>
    <t>Uncharacterized protein OS=Prunus persica GN=PRUPE_ppa009563mg PE=4 SV=1</t>
  </si>
  <si>
    <t>Uncharacterized protein OS=Prunus persica GN=PRUPE_ppa009317mg PE=4 SV=1</t>
  </si>
  <si>
    <t>Uncharacterized protein OS=Prunus persica GN=PRUPE_ppa003276mg PE=4 SV=1</t>
  </si>
  <si>
    <t>Uncharacterized protein OS=Prunus persica GN=PRUPE_ppa010556mg PE=4 SV=1</t>
  </si>
  <si>
    <t>Uncharacterized protein OS=Prunus persica GN=PRUPE_ppa003519mg PE=4 SV=1</t>
  </si>
  <si>
    <t>Uncharacterized protein OS=Prunus persica GN=PRUPE_ppa010951mg PE=4 SV=1</t>
  </si>
  <si>
    <t>Uncharacterized protein OS=Prunus persica GN=PRUPE_ppa011587mg PE=4 SV=1</t>
  </si>
  <si>
    <t>Uncharacterized protein OS=Prunus persica GN=PRUPE_ppb011833mg PE=4 SV=1</t>
  </si>
  <si>
    <t>Uncharacterized protein (Fragment) OS=Prunus persica GN=PRUPE_ppa020189mg PE=4 SV=1</t>
  </si>
  <si>
    <t>Peroxidase OS=Prunus persica GN=PRUPE_ppa008503mg PE=3 SV=1</t>
  </si>
  <si>
    <t>Peroxidase OS=Prunus persica GN=PRUPE_ppa008607mg PE=3 SV=1</t>
  </si>
  <si>
    <t>14-3-3 family protein OS=Malus domestica PE=2 SV=1</t>
  </si>
  <si>
    <t>Uncharacterized protein OS=Prunus persica GN=PRUPE_ppa026780mg PE=4 SV=1</t>
  </si>
  <si>
    <t>Uncharacterized protein OS=Prunus persica GN=PRUPE_ppa007761mg PE=3 SV=1</t>
  </si>
  <si>
    <t>Isocitrate lyase OS=Prunus persica GN=PRUPE_ppa003428mg PE=3 SV=1</t>
  </si>
  <si>
    <t>Uncharacterized protein OS=Prunus persica GN=PRUPE_ppb010572mg PE=4 SV=1</t>
  </si>
  <si>
    <t>Uncharacterized protein OS=Prunus persica GN=PRUPE_ppa010123mg PE=4 SV=1</t>
  </si>
  <si>
    <t>Uncharacterized protein OS=Prunus persica GN=PRUPE_ppa025745mg PE=3 SV=1</t>
  </si>
  <si>
    <t>Uncharacterized protein OS=Prunus persica GN=PRUPE_ppa005207mg PE=4 SV=1</t>
  </si>
  <si>
    <t>Serine/threonine-protein kinase OS=Morus notabilis GN=L484_027394 PE=4 SV=1</t>
  </si>
  <si>
    <t>Uncharacterized protein OS=Prunus persica GN=PRUPE_ppa010854mg PE=4 SV=1</t>
  </si>
  <si>
    <t>Alpha-galactosidase OS=Prunus persica GN=PRUPE_ppa006179mg PE=3 SV=1</t>
  </si>
  <si>
    <t>Uncharacterized protein OS=Prunus persica GN=PRUPE_ppa009836mg PE=4 SV=1</t>
  </si>
  <si>
    <t>Uncharacterized protein OS=Prunus persica GN=PRUPE_ppa025925mg PE=4 SV=1</t>
  </si>
  <si>
    <t>Uncharacterized protein OS=Prunus persica GN=PRUPE_ppa012611mg PE=4 SV=1</t>
  </si>
  <si>
    <t>Uncharacterized protein OS=Prunus persica GN=PRUPE_ppa000102mg PE=4 SV=1</t>
  </si>
  <si>
    <t>Uncharacterized protein OS=Prunus persica GN=PRUPE_ppa011263mg PE=4 SV=1</t>
  </si>
  <si>
    <t>Uncharacterized protein OS=Prunus persica GN=PRUPE_ppa003152mg PE=4 SV=1</t>
  </si>
  <si>
    <t>60S ribosomal protein L27 OS=Prunus persica GN=PRUPE_ppa013198mg PE=3 SV=1</t>
  </si>
  <si>
    <t>Uncharacterized protein (Fragment) OS=Prunus persica GN=PRUPE_ppa020367mg PE=4 SV=1</t>
  </si>
  <si>
    <t>Uncharacterized protein OS=Prunus persica GN=PRUPE_ppa003475mg PE=4 SV=1</t>
  </si>
  <si>
    <t>Uncharacterized protein OS=Prunus persica GN=PRUPE_ppa010855mg PE=4 SV=1</t>
  </si>
  <si>
    <t>Uncharacterized protein OS=Prunus persica GN=PRUPE_ppa018725mg PE=4 SV=1</t>
  </si>
  <si>
    <t>Uncharacterized protein OS=Prunus persica GN=PRUPE_ppa011456mg PE=4 SV=1</t>
  </si>
  <si>
    <t>Uncharacterized protein OS=Prunus persica GN=PRUPE_ppb024194mg PE=4 SV=1</t>
  </si>
  <si>
    <t>Uncharacterized protein (Fragment) OS=Prunus persica GN=PRUPE_ppa026336mg PE=4 SV=1</t>
  </si>
  <si>
    <t>Uncharacterized protein OS=Prunus persica GN=PRUPE_ppa012351mg PE=4 SV=1</t>
  </si>
  <si>
    <t>Uncharacterized protein OS=Prunus persica GN=PRUPE_ppa004755mg PE=4 SV=1</t>
  </si>
  <si>
    <t>Uncharacterized protein OS=Prunus persica GN=PRUPE_ppa004505mg PE=3 SV=1</t>
  </si>
  <si>
    <t>Uncharacterized protein OS=Prunus persica GN=PRUPE_ppa002638mg PE=4 SV=1</t>
  </si>
  <si>
    <t>Uncharacterized protein OS=Prunus persica GN=PRUPE_ppa006350mg PE=4 SV=1</t>
  </si>
  <si>
    <t>Uncharacterized protein (Fragment) OS=Prunus persica GN=PRUPE_ppa017108mg PE=4 SV=1</t>
  </si>
  <si>
    <t>Putative uncharacterized protein OS=Vitis vinifera GN=VIT_05s0124g00540 PE=4 SV=1</t>
  </si>
  <si>
    <t>Uncharacterized protein OS=Prunus persica GN=PRUPE_ppa002816mg PE=4 SV=1</t>
  </si>
  <si>
    <t>tRNA (guanine(37)-N1)-methyltransferase OS=Populus trichocarpa GN=POPTR_0018s06240g PE=3 SV=1</t>
  </si>
  <si>
    <t>Transcription factor OS=Morus notabilis GN=L484_014546 PE=4 SV=1</t>
  </si>
  <si>
    <t>Uncharacterized protein (Fragment) OS=Prunus persica GN=PRUPE_ppa019859mg PE=4 SV=1</t>
  </si>
  <si>
    <t>Uncharacterized protein OS=Prunus persica GN=PRUPE_ppa007268mg PE=4 SV=1</t>
  </si>
  <si>
    <t>Uncharacterized protein OS=Prunus persica GN=PRUPE_ppa012805mg PE=4 SV=1</t>
  </si>
  <si>
    <t>Uncharacterized protein OS=Prunus persica GN=PRUPE_ppa027024mg PE=4 SV=1</t>
  </si>
  <si>
    <t>Uncharacterized protein OS=Prunus persica GN=PRUPE_ppa004037mg PE=4 SV=1</t>
  </si>
  <si>
    <t>Uncharacterized protein OS=Prunus persica GN=PRUPE_ppa015966mg PE=4 SV=1</t>
  </si>
  <si>
    <t>Dolichyl-diphosphooligosaccharide--protein glycosyltransferase subunit 1 OS=Prunus persica GN=PRUPE_ppa005245mg PE=3 SV=1</t>
  </si>
  <si>
    <t>Uncharacterized protein OS=Prunus persica GN=PRUPE_ppa000197mg PE=3 SV=1</t>
  </si>
  <si>
    <t>Patatin OS=Prunus persica GN=PRUPE_ppa019615mg PE=3 SV=1</t>
  </si>
  <si>
    <t>Uncharacterized protein OS=Prunus persica GN=PRUPE_ppa019186mg PE=4 SV=1</t>
  </si>
  <si>
    <t>Uncharacterized protein (Fragment) OS=Prunus persica GN=PRUPE_ppa021299mg PE=4 SV=1</t>
  </si>
  <si>
    <t>Uncharacterized protein OS=Prunus persica GN=PRUPE_ppa007457mg PE=3 SV=1</t>
  </si>
  <si>
    <t>Uncharacterized protein OS=Prunus persica GN=PRUPE_ppa008198mg PE=4 SV=1</t>
  </si>
  <si>
    <t>Uncharacterized protein OS=Prunus persica GN=PRUPE_ppa010154mg PE=4 SV=1</t>
  </si>
  <si>
    <t>Uncharacterized protein OS=Prunus persica GN=PRUPE_ppa015700mg PE=4 SV=1</t>
  </si>
  <si>
    <t>Uncharacterized protein OS=Prunus persica GN=PRUPE_ppa013937mg PE=4 SV=1</t>
  </si>
  <si>
    <t>Uncharacterized protein OS=Prunus persica GN=PRUPE_ppa013590mg PE=4 SV=1</t>
  </si>
  <si>
    <t>Uncharacterized protein OS=Prunus persica GN=PRUPE_ppa023003mg PE=4 SV=1</t>
  </si>
  <si>
    <t>Putative uncharacterized protein OS=Vitis vinifera GN=VIT_01s0137g00190 PE=4 SV=1</t>
  </si>
  <si>
    <t>Uncharacterized protein OS=Prunus persica GN=PRUPE_ppa001637mg PE=4 SV=1</t>
  </si>
  <si>
    <t>Glycosyltransferase OS=Prunus persica GN=PRUPE_ppa014729mg PE=3 SV=1</t>
  </si>
  <si>
    <t>Uncharacterized protein (Fragment) OS=Prunus persica GN=PRUPE_ppa015068mg PE=4 SV=1</t>
  </si>
  <si>
    <t>Uncharacterized protein OS=Prunus persica GN=PRUPE_ppa002209mg PE=4 SV=1</t>
  </si>
  <si>
    <t>Uncharacterized protein OS=Prunus persica GN=PRUPE_ppa000242mg PE=4 SV=1</t>
  </si>
  <si>
    <t>Uncharacterized protein OS=Prunus persica GN=PRUPE_ppa010241mg PE=4 SV=1</t>
  </si>
  <si>
    <t>Uncharacterized protein OS=Prunus persica GN=PRUPE_ppa007799mg PE=4 SV=1</t>
  </si>
  <si>
    <t>Uncharacterized protein OS=Prunus persica GN=PRUPE_ppa003692mg PE=4 SV=1</t>
  </si>
  <si>
    <t>Uncharacterized protein OS=Prunus persica GN=PRUPE_ppa006553mg PE=4 SV=1</t>
  </si>
  <si>
    <t>Uncharacterized protein OS=Prunus persica GN=PRUPE_ppa009467mg PE=4 SV=1</t>
  </si>
  <si>
    <t>Uncharacterized protein OS=Prunus persica GN=PRUPE_ppa008160mg PE=4 SV=1</t>
  </si>
  <si>
    <t>Uncharacterized protein OS=Prunus persica GN=PRUPE_ppa006594mg PE=4 SV=1</t>
  </si>
  <si>
    <t>PHD finger protein ING OS=Prunus persica GN=PRUPE_ppa010040mg PE=3 SV=1</t>
  </si>
  <si>
    <t>Uncharacterized protein OS=Prunus persica GN=PRUPE_ppa003746mg PE=4 SV=1</t>
  </si>
  <si>
    <t>Uncharacterized protein OS=Prunus persica GN=PRUPE_ppa012140mg PE=4 SV=1</t>
  </si>
  <si>
    <t>Uncharacterized protein OS=Prunus persica GN=PRUPE_ppa002368mg PE=4 SV=1</t>
  </si>
  <si>
    <t>Uncharacterized protein OS=Prunus persica GN=PRUPE_ppa011990mg PE=4 SV=1</t>
  </si>
  <si>
    <t>Uncharacterized protein OS=Prunus persica GN=PRUPE_ppa008748mg PE=4 SV=1</t>
  </si>
  <si>
    <t>Uncharacterized protein OS=Prunus persica GN=PRUPE_ppa005879mg PE=4 SV=1</t>
  </si>
  <si>
    <t>Lipoxygenase OS=Prunus persica GN=PRUPE_ppa001085mg PE=3 SV=1</t>
  </si>
  <si>
    <t>Uncharacterized protein OS=Prunus persica GN=PRUPE_ppa019392mg PE=4 SV=1</t>
  </si>
  <si>
    <t>Uncharacterized protein OS=Eucalyptus grandis GN=EUGRSUZ_D02028 PE=4 SV=1</t>
  </si>
  <si>
    <t>L-lactate dehydrogenase OS=Prunus persica GN=PRUPE_ppa007976mg PE=3 SV=1</t>
  </si>
  <si>
    <t>Uncharacterized protein (Fragment) OS=Prunus persica GN=PRUPE_ppa019981mg PE=4 SV=1</t>
  </si>
  <si>
    <t>Uncharacterized protein OS=Prunus persica GN=PRUPE_ppa021141mg PE=4 SV=1</t>
  </si>
  <si>
    <t>Uncharacterized protein OS=Prunus persica GN=PRUPE_ppa006085mg PE=4 SV=1</t>
  </si>
  <si>
    <t>NAD(P)H-quinone oxidoreductase subunit J, chloroplastic OS=Prunus serrulata var. spontanea GN=ndhJ PE=3 SV=1</t>
  </si>
  <si>
    <t>Protein pleiotropic regulatory locus 1 OS=Morus notabilis GN=L484_023506 PE=4 SV=1</t>
  </si>
  <si>
    <t>Uncharacterized protein OS=Prunus persica GN=PRUPE_ppa015093mg PE=3 SV=1</t>
  </si>
  <si>
    <t>Uncharacterized protein OS=Prunus persica GN=PRUPE_ppa008019mg PE=4 SV=1</t>
  </si>
  <si>
    <t>Uncharacterized protein (Fragment) OS=Prunus persica GN=PRUPE_ppa017682mg PE=4 SV=1</t>
  </si>
  <si>
    <t>Uncharacterized protein OS=Prunus persica GN=PRUPE_ppb021349mg PE=4 SV=1</t>
  </si>
  <si>
    <t>Uncharacterized protein OS=Prunus persica GN=PRUPE_ppa001203mg PE=4 SV=1</t>
  </si>
  <si>
    <t>Uncharacterized protein OS=Prunus persica GN=PRUPE_ppa018053mg PE=4 SV=1</t>
  </si>
  <si>
    <t>Uncharacterized protein (Fragment) OS=Prunus persica GN=PRUPE_ppa019683mg PE=4 SV=1</t>
  </si>
  <si>
    <t>Uncharacterized protein OS=Prunus persica GN=PRUPE_ppa009135mg PE=4 SV=1</t>
  </si>
  <si>
    <t>Uncharacterized protein OS=Prunus persica GN=PRUPE_ppa015474mg PE=4 SV=1</t>
  </si>
  <si>
    <t>Uncharacterized protein OS=Prunus persica GN=PRUPE_ppa003530mg PE=4 SV=1</t>
  </si>
  <si>
    <t>Uncharacterized protein (Fragment) OS=Prunus persica GN=PRUPE_ppa015841mg PE=4 SV=1</t>
  </si>
  <si>
    <t>Uncharacterized protein OS=Prunus persica GN=PRUPE_ppa000042mg PE=4 SV=1</t>
  </si>
  <si>
    <t>Uncharacterized protein OS=Prunus persica GN=PRUPE_ppa005063mg PE=4 SV=1</t>
  </si>
  <si>
    <t>Uncharacterized protein OS=Prunus persica GN=PRUPE_ppa013579mg PE=4 SV=1</t>
  </si>
  <si>
    <t>Uncharacterized protein OS=Prunus persica GN=PRUPE_ppa000758mg PE=3 SV=1</t>
  </si>
  <si>
    <t>Uncharacterized protein OS=Prunus persica GN=PRUPE_ppb000367mg PE=4 SV=1</t>
  </si>
  <si>
    <t>Uncharacterized protein OS=Prunus persica GN=PRUPE_ppa007604mg PE=4 SV=1</t>
  </si>
  <si>
    <t>Uncharacterized protein OS=Prunus persica GN=PRUPE_ppa005894mg PE=4 SV=1</t>
  </si>
  <si>
    <t>Uncharacterized protein OS=Prunus persica GN=PRUPE_ppa009692mg PE=4 SV=1</t>
  </si>
  <si>
    <t>Uncharacterized protein OS=Citrus sinensis GN=CISIN_1g001208mg PE=4 SV=1</t>
  </si>
  <si>
    <t>Uncharacterized protein OS=Prunus persica GN=PRUPE_ppa012696mg PE=4 SV=1</t>
  </si>
  <si>
    <t>Uncharacterized protein OS=Prunus persica GN=PRUPE_ppa008449mg PE=4 SV=1</t>
  </si>
  <si>
    <t>Carboxypeptidase OS=Prunus persica GN=PRUPE_ppa004538mg PE=3 SV=1</t>
  </si>
  <si>
    <t>Uncharacterized protein OS=Prunus persica GN=PRUPE_ppa010275mg PE=4 SV=1</t>
  </si>
  <si>
    <t>Putative uncharacterized protein OS=Vitis vinifera GN=VIT_19s0014g01170 PE=4 SV=1</t>
  </si>
  <si>
    <t>Uncharacterized protein OS=Prunus persica GN=PRUPE_ppa001451mg PE=4 SV=1</t>
  </si>
  <si>
    <t>Uncharacterized protein OS=Prunus persica GN=PRUPE_ppa009930mg PE=4 SV=1</t>
  </si>
  <si>
    <t>Uncharacterized protein OS=Prunus persica GN=PRUPE_ppa003167mg PE=4 SV=1</t>
  </si>
  <si>
    <t>Diacylglycerol kinase OS=Prunus persica GN=PRUPE_ppa002021mg PE=3 SV=1</t>
  </si>
  <si>
    <t>Uncharacterized protein OS=Prunus persica GN=PRUPE_ppa012819mg PE=4 SV=1</t>
  </si>
  <si>
    <t>Uncharacterized protein OS=Prunus persica GN=PRUPE_ppa008981mg PE=4 SV=1</t>
  </si>
  <si>
    <t>Uncharacterized protein OS=Prunus persica GN=PRUPE_ppa015051mg PE=4 SV=1</t>
  </si>
  <si>
    <t>Uncharacterized protein OS=Prunus persica GN=PRUPE_ppa012801mg PE=4 SV=1</t>
  </si>
  <si>
    <t>Uncharacterized protein OS=Prunus persica GN=PRUPE_ppa023320mg PE=4 SV=1</t>
  </si>
  <si>
    <t>Uncharacterized protein OS=Prunus persica GN=PRUPE_ppa021795mg PE=4 SV=1</t>
  </si>
  <si>
    <t>Terpene cyclase/mutase family member OS=Prunus persica GN=PRUPE_ppa001797mg PE=3 SV=1</t>
  </si>
  <si>
    <t>Uncharacterized protein OS=Prunus persica GN=PRUPE_ppa021966mg PE=4 SV=1</t>
  </si>
  <si>
    <t>Uncharacterized protein OS=Prunus persica GN=PRUPE_ppa017638mg PE=4 SV=1</t>
  </si>
  <si>
    <t>Uncharacterized protein OS=Prunus persica GN=PRUPE_ppa004204mg PE=4 SV=1</t>
  </si>
  <si>
    <t>Uncharacterized protein OS=Prunus persica GN=PRUPE_ppa007275mg PE=4 SV=1</t>
  </si>
  <si>
    <t>DNA-directed RNA polymerase OS=Ricinus communis GN=RCOM_0090500 PE=3 SV=1</t>
  </si>
  <si>
    <t>Uncharacterized protein OS=Prunus persica GN=PRUPE_ppa022259mg PE=4 SV=1</t>
  </si>
  <si>
    <t>Uncharacterized protein OS=Prunus persica GN=PRUPE_ppa001678mg PE=4 SV=1</t>
  </si>
  <si>
    <t>Uncharacterized protein OS=Prunus persica GN=PRUPE_ppa003794mg PE=4 SV=1</t>
  </si>
  <si>
    <t>Uncharacterized protein OS=Prunus persica GN=PRUPE_ppa001759mg PE=4 SV=1</t>
  </si>
  <si>
    <t>Uncharacterized protein OS=Prunus persica GN=PRUPE_ppa007567mg PE=4 SV=1</t>
  </si>
  <si>
    <t>Uncharacterized protein OS=Prunus persica GN=PRUPE_ppa010896mg PE=4 SV=1</t>
  </si>
  <si>
    <t>Uncharacterized protein OS=Prunus persica GN=PRUPE_ppa003457mg PE=4 SV=1</t>
  </si>
  <si>
    <t>Uncharacterized protein OS=Prunus persica GN=PRUPE_ppa023439mg PE=4 SV=1</t>
  </si>
  <si>
    <t>Uncharacterized protein (Fragment) OS=Prunus persica GN=PRUPE_ppa022318mg PE=4 SV=1</t>
  </si>
  <si>
    <t>Uncharacterized protein OS=Prunus persica GN=PRUPE_ppa008467mg PE=4 SV=1</t>
  </si>
  <si>
    <t>Putative uncharacterized protein OS=Vitis vinifera GN=VIT_18s0001g07840 PE=4 SV=1</t>
  </si>
  <si>
    <t>Uncharacterized protein OS=Prunus persica GN=PRUPE_ppa006838mg PE=4 SV=1</t>
  </si>
  <si>
    <t>Uncharacterized protein OS=Gossypium raimondii GN=B456_008G198900 PE=3 SV=1</t>
  </si>
  <si>
    <t>Uncharacterized protein OS=Prunus persica GN=PRUPE_ppa018797mg PE=4 SV=1</t>
  </si>
  <si>
    <t>Uncharacterized protein OS=Prunus persica GN=PRUPE_ppa014630mg PE=4 SV=1</t>
  </si>
  <si>
    <t>Uncharacterized protein OS=Morus notabilis GN=L484_014756 PE=4 SV=1</t>
  </si>
  <si>
    <t>Uncharacterized protein OS=Prunus persica GN=PRUPE_ppa010579mg PE=3 SV=1</t>
  </si>
  <si>
    <t>Uncharacterized protein OS=Prunus persica GN=PRUPE_ppa009633mg PE=4 SV=1</t>
  </si>
  <si>
    <t>Uncharacterized protein OS=Prunus persica GN=PRUPE_ppa003862mg PE=4 SV=1</t>
  </si>
  <si>
    <t>Uncharacterized protein OS=Prunus persica GN=PRUPE_ppa014901mg PE=4 SV=1</t>
  </si>
  <si>
    <t>Uncharacterized protein OS=Gossypium raimondii GN=B456_001G182000 PE=4 SV=1</t>
  </si>
  <si>
    <t>Uncharacterized protein OS=Prunus persica GN=PRUPE_ppa003591mg PE=4 SV=1</t>
  </si>
  <si>
    <t>Uncharacterized protein OS=Prunus persica GN=PRUPE_ppa002732mg PE=4 SV=1</t>
  </si>
  <si>
    <t>3-ketoacyl-CoA synthase OS=Prunus persica GN=PRUPE_ppa004354mg PE=3 SV=1</t>
  </si>
  <si>
    <t>Uncharacterized protein OS=Prunus persica GN=PRUPE_ppa005371mg PE=4 SV=1</t>
  </si>
  <si>
    <t>Uncharacterized protein OS=Glarea lozoyensis (strain ATCC 20868 / MF5171) GN=GLAREA_12960 PE=4 SV=1</t>
  </si>
  <si>
    <t>Uncharacterized protein OS=Prunus persica GN=PRUPE_ppa017791mg PE=4 SV=1</t>
  </si>
  <si>
    <t>Uncharacterized protein OS=Prunus persica GN=PRUPE_ppa013699mg PE=4 SV=1</t>
  </si>
  <si>
    <t>Peroxidase OS=Prunus persica GN=PRUPE_ppa027053mg PE=3 SV=1</t>
  </si>
  <si>
    <t>Uncharacterized protein OS=Eucalyptus grandis GN=EUGRSUZ_B03220 PE=4 SV=1</t>
  </si>
  <si>
    <t>Uncharacterized protein OS=Prunus persica GN=PRUPE_ppa012447mg PE=4 SV=1</t>
  </si>
  <si>
    <t>Nitrite reductase OS=Prunus persica GN=PRUPE_ppa003315mg PE=4 SV=1</t>
  </si>
  <si>
    <t>Uncharacterized protein OS=Prunus persica GN=PRUPE_ppa013660mg PE=4 SV=1</t>
  </si>
  <si>
    <t>Uncharacterized protein OS=Prunus persica GN=PRUPE_ppa008057mg PE=4 SV=1</t>
  </si>
  <si>
    <t>Uncharacterized protein OS=Prunus persica GN=PRUPE_ppa011380mg PE=4 SV=1</t>
  </si>
  <si>
    <t>Uncharacterized protein OS=Prunus persica GN=PRUPE_ppa006389mg PE=4 SV=1</t>
  </si>
  <si>
    <t>Uncharacterized protein OS=Prunus persica GN=PRUPE_ppa010185mg PE=4 SV=1</t>
  </si>
  <si>
    <t>Uncharacterized protein OS=Prunus persica GN=PRUPE_ppa002754mg PE=4 SV=1</t>
  </si>
  <si>
    <t>GDSL esterase/lipase OS=Morus notabilis GN=L484_006152 PE=4 SV=1</t>
  </si>
  <si>
    <t>Uncharacterized protein isoform 1 OS=Theobroma cacao GN=TCM_031307 PE=4 SV=1</t>
  </si>
  <si>
    <t>DNA topoisomerase OS=Prunus persica GN=PRUPE_ppa001428mg PE=3 SV=1</t>
  </si>
  <si>
    <t>Uncharacterized protein OS=Prunus persica GN=PRUPE_ppb019197mg PE=4 SV=1</t>
  </si>
  <si>
    <t>Putative uncharacterized protein OS=Ricinus communis GN=RCOM_1061850 PE=4 SV=1</t>
  </si>
  <si>
    <t>Uncharacterized protein OS=Prunus persica GN=PRUPE_ppa002684mg PE=4 SV=1</t>
  </si>
  <si>
    <t>Uncharacterized protein OS=Prunus persica GN=PRUPE_ppa001417mg PE=4 SV=1</t>
  </si>
  <si>
    <t>Uncharacterized protein OS=Prunus persica GN=PRUPE_ppa013371mg PE=4 SV=1</t>
  </si>
  <si>
    <t>Uncharacterized protein OS=Prunus persica GN=PRUPE_ppa017811mg PE=4 SV=1</t>
  </si>
  <si>
    <t>Uncharacterized protein OS=Prunus persica GN=PRUPE_ppa007348mg PE=4 SV=1</t>
  </si>
  <si>
    <t>Uncharacterized protein OS=Prunus persica GN=PRUPE_ppa001585mg PE=4 SV=1</t>
  </si>
  <si>
    <t>5'-3' exoribonuclease 3 OS=Morus notabilis GN=L484_016328 PE=4 SV=1</t>
  </si>
  <si>
    <t>Uncharacterized protein OS=Prunus persica GN=PRUPE_ppa002312mg PE=4 SV=1</t>
  </si>
  <si>
    <t>Uncharacterized protein OS=Prunus persica GN=PRUPE_ppa022210mg PE=4 SV=1</t>
  </si>
  <si>
    <t>Uncharacterized protein OS=Prunus persica GN=PRUPE_ppa006824mg PE=3 SV=1</t>
  </si>
  <si>
    <t>Auxin-responsive protein OS=Prunus persica GN=PRUPE_ppa009545mg PE=3 SV=1</t>
  </si>
  <si>
    <t>Uncharacterized protein OS=Prunus persica GN=PRUPE_ppa003257mg PE=4 SV=1</t>
  </si>
  <si>
    <t>Uncharacterized protein OS=Prunus persica GN=PRUPE_ppa024912mg PE=4 SV=1</t>
  </si>
  <si>
    <t>Uncharacterized protein OS=Prunus persica GN=PRUPE_ppa007530mg PE=4 SV=1</t>
  </si>
  <si>
    <t>Uncharacterized protein OS=Prunus persica GN=PRUPE_ppa008796mg PE=4 SV=1</t>
  </si>
  <si>
    <t>Uncharacterized protein OS=Prunus persica GN=PRUPE_ppa024345mg PE=3 SV=1</t>
  </si>
  <si>
    <t>Uncharacterized protein OS=Prunus persica GN=PRUPE_ppa000883mg PE=4 SV=1</t>
  </si>
  <si>
    <t>Uncharacterized protein OS=Gibberella zeae (strain PH-1 / ATCC MYA-4620 / FGSC 9075 / NRRL 31084) GN=FGSG_04431 PE=4 SV=1</t>
  </si>
  <si>
    <t>Uncharacterized protein OS=Prunus persica GN=PRUPE_ppa003416mg PE=4 SV=1</t>
  </si>
  <si>
    <t>Uncharacterized protein OS=Prunus persica GN=PRUPE_ppa018219mg PE=4 SV=1</t>
  </si>
  <si>
    <t>Uncharacterized protein OS=Prunus persica GN=PRUPE_ppa009029mg PE=3 SV=1</t>
  </si>
  <si>
    <t>Uncharacterized protein OS=Prunus persica GN=PRUPE_ppa004941mg PE=4 SV=1</t>
  </si>
  <si>
    <t>Uncharacterized protein OS=Prunus persica GN=PRUPE_ppa000141mg PE=4 SV=1</t>
  </si>
  <si>
    <t>Uncharacterized protein OS=Citrus clementina GN=CICLE_v10017161mg PE=4 SV=1</t>
  </si>
  <si>
    <t>Uncharacterized protein (Fragment) OS=Prunus persica GN=PRUPE_ppa021949mg PE=4 SV=1</t>
  </si>
  <si>
    <t>Uncharacterized protein OS=Prunus persica GN=PRUPE_ppa016242mg PE=4 SV=1</t>
  </si>
  <si>
    <t>Putative uncharacterized protein OS=Vitis vinifera GN=VIT_08s0007g05780 PE=4 SV=1</t>
  </si>
  <si>
    <t>Uncharacterized protein OS=Prunus persica GN=PRUPE_ppa010625mg PE=4 SV=1</t>
  </si>
  <si>
    <t>MdMads2.1 protein OS=Malus domestica PE=4 SV=1</t>
  </si>
  <si>
    <t>Uncharacterized protein (Fragment) OS=Prunus persica GN=PRUPE_ppa019225mg PE=4 SV=1</t>
  </si>
  <si>
    <t>Uncharacterized protein OS=Prunus persica GN=PRUPE_ppa012046mg PE=4 SV=1</t>
  </si>
  <si>
    <t>Uncharacterized protein OS=Prunus persica GN=PRUPE_ppa008720mg PE=4 SV=1</t>
  </si>
  <si>
    <t>ATP synthase subunit gamma OS=Prunus persica GN=PRUPE_ppa008674mg PE=3 SV=1</t>
  </si>
  <si>
    <t>Uncharacterized protein OS=Prunus persica GN=PRUPE_ppa008731mg PE=4 SV=1</t>
  </si>
  <si>
    <t>Uncharacterized protein OS=Prunus persica GN=PRUPE_ppa010470mg PE=4 SV=1</t>
  </si>
  <si>
    <t>5-formyltetrahydrofolate cyclo-ligase OS=Prunus persica GN=PRUPE_ppa021728mg PE=3 SV=1</t>
  </si>
  <si>
    <t>Uncharacterized protein OS=Prunus persica GN=PRUPE_ppa002990mg PE=4 SV=1</t>
  </si>
  <si>
    <t>Uncharacterized protein OS=Prunus persica GN=PRUPE_ppa000344mg PE=3 SV=1</t>
  </si>
  <si>
    <t>Uncharacterized protein OS=Prunus persica GN=PRUPE_ppa006191mg PE=4 SV=1</t>
  </si>
  <si>
    <t>Uncharacterized protein OS=Prunus persica GN=PRUPE_ppa008301mg PE=4 SV=1</t>
  </si>
  <si>
    <t>Uncharacterized protein (Fragment) OS=Prunus persica GN=PRUPE_ppa018012mg PE=4 SV=1</t>
  </si>
  <si>
    <t>Uncharacterized protein OS=Prunus persica GN=PRUPE_ppa007407mg PE=4 SV=1</t>
  </si>
  <si>
    <t>Uncharacterized protein OS=Prunus persica GN=PRUPE_ppa013221mg PE=3 SV=1</t>
  </si>
  <si>
    <t>Uncharacterized protein OS=Prunus persica GN=PRUPE_ppa006646mg PE=4 SV=1</t>
  </si>
  <si>
    <t>Uncharacterized protein OS=Citrus clementina GN=CICLE_v10003017mg PE=4 SV=1</t>
  </si>
  <si>
    <t>Uncharacterized protein OS=Prunus persica GN=PRUPE_ppa011825mg PE=4 SV=1</t>
  </si>
  <si>
    <t>Uncharacterized protein (Fragment) OS=Prunus persica GN=PRUPE_ppa023746mg PE=4 SV=1</t>
  </si>
  <si>
    <t>Uncharacterized protein OS=Prunus persica GN=PRUPE_ppa001504mg PE=4 SV=1</t>
  </si>
  <si>
    <t>Uncharacterized protein OS=Prunus persica GN=PRUPE_ppa021812mg PE=4 SV=1</t>
  </si>
  <si>
    <t>Uncharacterized protein OS=Prunus persica GN=PRUPE_ppa011080mg PE=4 SV=1</t>
  </si>
  <si>
    <t>Uncharacterized protein OS=Prunus persica GN=PRUPE_ppa003495mg PE=4 SV=1</t>
  </si>
  <si>
    <t>Uncharacterized protein OS=Prunus persica GN=PRUPE_ppa009844mg PE=4 SV=1</t>
  </si>
  <si>
    <t>Pectate lyase OS=Fusarium oxysporum FOSC 3-a GN=FOYG_04112 PE=4 SV=1</t>
  </si>
  <si>
    <t>Uncharacterized protein OS=Prunus persica GN=PRUPE_ppa011195mg PE=4 SV=1</t>
  </si>
  <si>
    <t>Uncharacterized protein (Fragment) OS=Prunus persica GN=PRUPE_ppa024554mg PE=4 SV=1</t>
  </si>
  <si>
    <t>Uncharacterized protein OS=Prunus persica GN=PRUPE_ppa009662mg PE=4 SV=1</t>
  </si>
  <si>
    <t>Uncharacterized protein OS=Prunus persica GN=PRUPE_ppa006982mg PE=4 SV=1</t>
  </si>
  <si>
    <t>Protein vip1 OS=Morus notabilis GN=L484_017758 PE=4 SV=1</t>
  </si>
  <si>
    <t>Uncharacterized protein (Fragment) OS=Prunus persica GN=PRUPE_ppa022787mg PE=4 SV=1</t>
  </si>
  <si>
    <t>Uncharacterized protein OS=Prunus persica GN=PRUPE_ppa011794mg PE=4 SV=1</t>
  </si>
  <si>
    <t>Uncharacterized protein OS=Prunus persica GN=PRUPE_ppa016199mg PE=4 SV=1</t>
  </si>
  <si>
    <t>Uncharacterized protein OS=Prunus persica GN=PRUPE_ppa005521mg PE=4 SV=1</t>
  </si>
  <si>
    <t>Uncharacterized protein OS=Prunus persica GN=PRUPE_ppa003160mg PE=4 SV=1</t>
  </si>
  <si>
    <t>Uncharacterized protein OS=Prunus persica GN=PRUPE_ppa008800mg PE=3 SV=1</t>
  </si>
  <si>
    <t>Uncharacterized protein OS=Prunus persica GN=PRUPE_ppa007883mg PE=4 SV=1</t>
  </si>
  <si>
    <t>Uncharacterized protein OS=Prunus persica GN=PRUPE_ppa009570mg PE=4 SV=1</t>
  </si>
  <si>
    <t>Uncharacterized protein OS=Prunus persica GN=PRUPE_ppa002412mg PE=4 SV=1</t>
  </si>
  <si>
    <t>Uncharacterized protein OS=Prunus persica GN=PRUPE_ppa005863mg PE=4 SV=1</t>
  </si>
  <si>
    <t>Uncharacterized protein OS=Prunus persica GN=PRUPE_ppa023702mg PE=4 SV=1</t>
  </si>
  <si>
    <t>Uncharacterized protein OS=Prunus persica GN=PRUPE_ppa004385mg PE=4 SV=1</t>
  </si>
  <si>
    <t>Uncharacterized protein OS=Morus notabilis GN=L484_010806 PE=4 SV=1</t>
  </si>
  <si>
    <t>Uncharacterized protein OS=Prunus persica GN=PRUPE_ppa009632mg PE=4 SV=1</t>
  </si>
  <si>
    <t>Uncharacterized protein OS=Prunus persica GN=PRUPE_ppa007837mg PE=4 SV=1</t>
  </si>
  <si>
    <t>Uncharacterized protein OS=Prunus persica GN=PRUPE_ppa003460mg PE=4 SV=1</t>
  </si>
  <si>
    <t>Uncharacterized protein OS=Prunus persica GN=PRUPE_ppa006760mg PE=4 SV=1</t>
  </si>
  <si>
    <t>Uncharacterized protein OS=Prunus persica GN=PRUPE_ppa005527mg PE=4 SV=1</t>
  </si>
  <si>
    <t>Uncharacterized protein OS=Prunus persica GN=PRUPE_ppa009606mg PE=4 SV=1</t>
  </si>
  <si>
    <t>Uncharacterized protein OS=Prunus persica GN=PRUPE_ppa009738mg PE=4 SV=1</t>
  </si>
  <si>
    <t>5-formyltetrahydrofolate cyclo-ligase OS=Prunus persica GN=PRUPE_ppa009377mg PE=3 SV=1</t>
  </si>
  <si>
    <t>Uncharacterized protein (Fragment) OS=Prunus persica GN=PRUPE_ppa021699mg PE=4 SV=1</t>
  </si>
  <si>
    <t>Uridine kinase OS=Prunus persica GN=PRUPE_ppa005044mg PE=3 SV=1</t>
  </si>
  <si>
    <t>Uncharacterized protein OS=Prunus persica GN=PRUPE_ppb022571mg PE=4 SV=1</t>
  </si>
  <si>
    <t>Uncharacterized protein OS=Prunus persica GN=PRUPE_ppa011545mg PE=4 SV=1</t>
  </si>
  <si>
    <t>Uncharacterized protein OS=Prunus persica GN=PRUPE_ppa002436mg PE=4 SV=1</t>
  </si>
  <si>
    <t>Uncharacterized protein OS=Prunus persica GN=PRUPE_ppa013287mg PE=4 SV=1</t>
  </si>
  <si>
    <t>Uncharacterized protein OS=Prunus persica GN=PRUPE_ppa019215mg PE=3 SV=1</t>
  </si>
  <si>
    <t>Uncharacterized protein OS=Prunus persica GN=PRUPE_ppa024854mg PE=3 SV=1</t>
  </si>
  <si>
    <t>Uncharacterized protein OS=Prunus persica GN=PRUPE_ppa003492mg PE=4 SV=1</t>
  </si>
  <si>
    <t>Transcription factor-like protein OS=Theobroma cacao GN=TCM_000876 PE=4 SV=1</t>
  </si>
  <si>
    <t>Uncharacterized protein OS=Prunus persica GN=PRUPE_ppa012067mg PE=4 SV=1</t>
  </si>
  <si>
    <t>Uncharacterized protein OS=Prunus persica GN=PRUPE_ppa004634mg PE=4 SV=1</t>
  </si>
  <si>
    <t>Uncharacterized protein (Fragment) OS=Prunus persica GN=PRUPE_ppa017548mg PE=4 SV=1</t>
  </si>
  <si>
    <t>Uncharacterized protein OS=Prunus persica GN=PRUPE_ppa001131mg PE=4 SV=1</t>
  </si>
  <si>
    <t>Uncharacterized protein OS=Prunus persica GN=PRUPE_ppa003372mg PE=4 SV=1</t>
  </si>
  <si>
    <t>Beta-1,3-N-acetylglucosaminyltransferase lunatic fringe OS=Gossypium arboreum GN=F383_10487 PE=4 SV=1</t>
  </si>
  <si>
    <t>Uncharacterized protein OS=Prunus persica GN=PRUPE_ppa002416mg PE=4 SV=1</t>
  </si>
  <si>
    <t>Uncharacterized protein (Fragment) OS=Prunus persica GN=PRUPE_ppa019826mg PE=4 SV=1</t>
  </si>
  <si>
    <t>Uncharacterized protein OS=Prunus persica GN=PRUPE_ppa1027202mg PE=3 SV=1</t>
  </si>
  <si>
    <t>Uncharacterized protein OS=Prunus persica GN=PRUPE_ppa010054mg PE=4 SV=1</t>
  </si>
  <si>
    <t>Uncharacterized protein (Fragment) OS=Prunus persica GN=PRUPE_ppa022427mg PE=3 SV=1</t>
  </si>
  <si>
    <t>Uncharacterized protein OS=Prunus persica GN=PRUPE_ppa008862mg PE=4 SV=1</t>
  </si>
  <si>
    <t>Uncharacterized protein OS=Prunus persica GN=PRUPE_ppa002251mg PE=4 SV=1</t>
  </si>
  <si>
    <t>Uncharacterized protein OS=Prunus persica GN=PRUPE_ppa024901mg PE=4 SV=1</t>
  </si>
  <si>
    <t>Uncharacterized protein OS=Prunus persica GN=PRUPE_ppa009408mg PE=4 SV=1</t>
  </si>
  <si>
    <t>Uncharacterized protein OS=Prunus persica GN=PRUPE_ppa001834mg PE=4 SV=1</t>
  </si>
  <si>
    <t>Uncharacterized protein OS=Prunus persica GN=PRUPE_ppa004850mg PE=4 SV=1</t>
  </si>
  <si>
    <t>Uncharacterized protein OS=Prunus persica GN=PRUPE_ppa019275mg PE=4 SV=1</t>
  </si>
  <si>
    <t>Uncharacterized protein OS=Prunus persica GN=PRUPE_ppa001708mg PE=4 SV=1</t>
  </si>
  <si>
    <t>Uncharacterized protein OS=Prunus persica GN=PRUPE_ppa000282mg PE=4 SV=1</t>
  </si>
  <si>
    <t>Eukaryotic translation initiation factor 3 subunit J OS=Prunus persica GN=PRUPE_ppa011146mg PE=3 SV=1</t>
  </si>
  <si>
    <t>Uncharacterized protein OS=Prunus persica GN=PRUPE_ppa1027147mg PE=4 SV=1</t>
  </si>
  <si>
    <t>Uncharacterized protein OS=Prunus persica GN=PRUPE_ppa008870mg PE=4 SV=1</t>
  </si>
  <si>
    <t>Uncharacterized protein OS=Prunus persica GN=PRUPE_ppa010566mg PE=4 SV=1</t>
  </si>
  <si>
    <t>Uncharacterized protein OS=Prunus persica GN=PRUPE_ppa002535mg PE=4 SV=1</t>
  </si>
  <si>
    <t>Uncharacterized protein OS=Prunus persica GN=PRUPE_ppa007892mg PE=4 SV=1</t>
  </si>
  <si>
    <t>Uncharacterized protein OS=Prunus persica GN=PRUPE_ppa002859mg PE=4 SV=1</t>
  </si>
  <si>
    <t>Lysine--tRNA ligase OS=Prunus persica GN=PRUPE_ppa003133mg PE=3 SV=1</t>
  </si>
  <si>
    <t>Uncharacterized protein OS=Prunus persica GN=PRUPE_ppa007770mg PE=4 SV=1</t>
  </si>
  <si>
    <t>Uncharacterized protein OS=Prunus persica GN=PRUPE_ppa010133mg PE=3 SV=1</t>
  </si>
  <si>
    <t>Uncharacterized protein OS=Prunus persica GN=PRUPE_ppa013993mg PE=4 SV=1</t>
  </si>
  <si>
    <t>Uncharacterized protein OS=Prunus persica GN=PRUPE_ppa027001mg PE=4 SV=1</t>
  </si>
  <si>
    <t>Uncharacterized protein OS=Prunus persica GN=PRUPE_ppa013017mg PE=4 SV=1</t>
  </si>
  <si>
    <t>Uncharacterized protein OS=Prunus persica GN=PRUPE_ppa001803mg PE=4 SV=1</t>
  </si>
  <si>
    <t>Uncharacterized protein OS=Prunus persica GN=PRUPE_ppa024604mg PE=4 SV=1</t>
  </si>
  <si>
    <t>Ubiquitin carboxyl-terminal hydrolase OS=Coffea canephora GN=GSCOC_T00029688001 PE=3 SV=1</t>
  </si>
  <si>
    <t>Uncharacterized protein isoform 2 OS=Theobroma cacao GN=TCM_025689 PE=4 SV=1</t>
  </si>
  <si>
    <t>Uncharacterized protein OS=Prunus persica GN=PRUPE_ppa001009mg PE=3 SV=1</t>
  </si>
  <si>
    <t>Ribulose-phosphate 3-epimerase OS=Prunus persica GN=PRUPE_ppa011042mg PE=3 SV=1</t>
  </si>
  <si>
    <t>Uncharacterized protein OS=Prunus persica GN=PRUPE_ppa007072mg PE=4 SV=1</t>
  </si>
  <si>
    <t>Uncharacterized protein OS=Prunus persica GN=PRUPE_ppa022589mg PE=4 SV=1</t>
  </si>
  <si>
    <t>Glutamine synthetase OS=Prunus persica GN=PRUPE_ppa006025mg PE=3 SV=1</t>
  </si>
  <si>
    <t>Uncharacterized protein OS=Prunus persica GN=PRUPE_ppa024312mg PE=4 SV=1</t>
  </si>
  <si>
    <t>Uncharacterized protein OS=Prunus persica GN=PRUPE_ppa014995mg PE=4 SV=1</t>
  </si>
  <si>
    <t>Uncharacterized protein OS=Rosa rugosa PE=4 SV=1</t>
  </si>
  <si>
    <t>Uncharacterized protein OS=Prunus persica GN=PRUPE_ppa021958mg PE=4 SV=1</t>
  </si>
  <si>
    <t>Uncharacterized protein OS=Prunus persica GN=PRUPE_ppa002893mg PE=4 SV=1</t>
  </si>
  <si>
    <t>Glucose-6-phosphate 1-dehydrogenase OS=Prunus sibirica PE=2 SV=1</t>
  </si>
  <si>
    <t>Uncharacterized protein OS=Prunus persica GN=PRUPE_ppa018799mg PE=4 SV=1</t>
  </si>
  <si>
    <t>Uncharacterized protein OS=Prunus persica GN=PRUPE_ppa006993mg PE=3 SV=1</t>
  </si>
  <si>
    <t>Uncharacterized protein OS=Prunus persica GN=PRUPE_ppa023776mg PE=4 SV=1</t>
  </si>
  <si>
    <t>Uncharacterized protein (Fragment) OS=Prunus persica GN=PRUPE_ppa019806mg PE=4 SV=1</t>
  </si>
  <si>
    <t>Uncharacterized protein OS=Prunus persica GN=PRUPE_ppa024553mg PE=4 SV=1</t>
  </si>
  <si>
    <t>Putative uncharacterized protein OS=Vitis vinifera GN=VITISV_021290 PE=4 SV=1</t>
  </si>
  <si>
    <t>Uncharacterized protein OS=Prunus persica GN=PRUPE_ppa012992mg PE=4 SV=1</t>
  </si>
  <si>
    <t>Uncharacterized protein OS=Prunus persica GN=PRUPE_ppa013036mg PE=4 SV=1</t>
  </si>
  <si>
    <t>Uncharacterized protein OS=Prunus persica GN=PRUPE_ppa000371mg PE=4 SV=1</t>
  </si>
  <si>
    <t>Uncharacterized protein OS=Prunus persica GN=PRUPE_ppa009556mg PE=4 SV=1</t>
  </si>
  <si>
    <t>Uncharacterized protein OS=Prunus persica GN=PRUPE_ppa000051mg PE=4 SV=1</t>
  </si>
  <si>
    <t>Uncharacterized protein OS=Prunus persica GN=PRUPE_ppa011607mg PE=4 SV=1</t>
  </si>
  <si>
    <t>Uncharacterized protein OS=Prunus persica GN=PRUPE_ppa006525mg PE=4 SV=1</t>
  </si>
  <si>
    <t>Uncharacterized protein OS=Prunus persica GN=PRUPE_ppa018893mg PE=4 SV=1</t>
  </si>
  <si>
    <t>ATP-dependent Clp protease proteolytic subunit OS=Prunus persica GN=PRUPE_ppa010637mg PE=3 SV=1</t>
  </si>
  <si>
    <t>Uncharacterized protein OS=Prunus persica GN=PRUPE_ppa011295mg PE=4 SV=1</t>
  </si>
  <si>
    <t>Uncharacterized protein OS=Prunus persica GN=PRUPE_ppa020947mg PE=4 SV=1</t>
  </si>
  <si>
    <t>Uncharacterized protein OS=Prunus persica GN=PRUPE_ppa011541mg PE=4 SV=1</t>
  </si>
  <si>
    <t>Uncharacterized protein OS=Citrus sinensis GN=CISIN_1g045690mg PE=4 SV=1</t>
  </si>
  <si>
    <t>Uncharacterized protein OS=Prunus persica GN=PRUPE_ppa001904mg PE=3 SV=1</t>
  </si>
  <si>
    <t>Uncharacterized protein OS=Prunus persica GN=PRUPE_ppa009456mg PE=4 SV=1</t>
  </si>
  <si>
    <t>Uncharacterized protein OS=Prunus persica GN=PRUPE_ppa012655mg PE=3 SV=1</t>
  </si>
  <si>
    <t>Uncharacterized protein OS=Prunus persica GN=PRUPE_ppa003128mg PE=4 SV=1</t>
  </si>
  <si>
    <t>Putative uncharacterized protein OS=Vitis vinifera GN=VITISV_041689 PE=4 SV=1</t>
  </si>
  <si>
    <t>Uncharacterized protein OS=Prunus persica GN=PRUPE_ppa009962mg PE=4 SV=1</t>
  </si>
  <si>
    <t>Uncharacterized protein OS=Prunus persica GN=PRUPE_ppa010708mg PE=3 SV=1</t>
  </si>
  <si>
    <t>Uncharacterized protein OS=Prunus persica GN=PRUPE_ppa005179mg PE=4 SV=1</t>
  </si>
  <si>
    <t>Uncharacterized protein OS=Prunus persica GN=PRUPE_ppa013469mg PE=4 SV=1</t>
  </si>
  <si>
    <t>Uncharacterized protein OS=Prunus persica GN=PRUPE_ppa008537mg PE=4 SV=1</t>
  </si>
  <si>
    <t>Uncharacterized protein OS=Prunus persica GN=PRUPE_ppa011644mg PE=4 SV=1</t>
  </si>
  <si>
    <t>Uncharacterized protein OS=Prunus persica GN=PRUPE_ppa024587mg PE=4 SV=1</t>
  </si>
  <si>
    <t>Uncharacterized protein OS=Prunus persica GN=PRUPE_ppa019674mg PE=4 SV=1</t>
  </si>
  <si>
    <t>Uncharacterized protein OS=Prunus persica GN=PRUPE_ppa003924mg PE=3 SV=1</t>
  </si>
  <si>
    <t>Uncharacterized protein OS=Prunus persica GN=PRUPE_ppa007844mg PE=4 SV=1</t>
  </si>
  <si>
    <t>Uncharacterized protein OS=Prunus persica GN=PRUPE_ppa024886mg PE=4 SV=1</t>
  </si>
  <si>
    <t>Uncharacterized protein OS=Prunus persica GN=PRUPE_ppa014094mg PE=4 SV=1</t>
  </si>
  <si>
    <t>Dihydroorotate dehydrogenase (quinone), mitochondrial OS=Prunus persica GN=PRUPE_ppa005438mg PE=3 SV=1</t>
  </si>
  <si>
    <t>Uncharacterized protein OS=Prunus persica GN=PRUPE_ppa008585mg PE=4 SV=1</t>
  </si>
  <si>
    <t>Uncharacterized protein OS=Prunus persica GN=PRUPE_ppa006959mg PE=4 SV=1</t>
  </si>
  <si>
    <t>Uncharacterized protein OS=Medicago truncatula GN=MTR_0021s0160 PE=4 SV=1</t>
  </si>
  <si>
    <t>NBS protein (Fragment) OS=Fragaria vesca GN=NBS4 PE=2 SV=1</t>
  </si>
  <si>
    <t>Profilin OS=Prunus persica GN=PRUPE_ppa013242mg PE=3 SV=1</t>
  </si>
  <si>
    <t>Uncharacterized protein OS=Prunus persica GN=PRUPE_ppb009943mg PE=4 SV=1</t>
  </si>
  <si>
    <t>RNA-binding family protein isoform 2 OS=Theobroma cacao GN=TCM_041684 PE=4 SV=1</t>
  </si>
  <si>
    <t>Uncharacterized protein OS=Prunus persica GN=PRUPE_ppa013389mg PE=4 SV=1</t>
  </si>
  <si>
    <t>Uncharacterized protein OS=Prunus persica GN=PRUPE_ppa008816mg PE=4 SV=1</t>
  </si>
  <si>
    <t>Uncharacterized protein (Fragment) OS=Prunus persica GN=PRUPE_ppa016985mg PE=4 SV=1</t>
  </si>
  <si>
    <t>Aspartate aminotransferase OS=Prunus persica GN=PRUPE_ppa006806mg PE=2 SV=1</t>
  </si>
  <si>
    <t>Uncharacterized protein (Fragment) OS=Prunus persica GN=PRUPE_ppa015795mg PE=4 SV=1</t>
  </si>
  <si>
    <t>Uncharacterized protein OS=Prunus persica GN=PRUPE_ppa009145mg PE=4 SV=1</t>
  </si>
  <si>
    <t>Uncharacterized protein OS=Prunus persica GN=PRUPE_ppa003612mg PE=4 SV=1</t>
  </si>
  <si>
    <t>Uncharacterized protein OS=Prunus persica GN=PRUPE_ppa024177mg PE=4 SV=1</t>
  </si>
  <si>
    <t>CASP-like protein OS=Prunus persica GN=PRUPE_ppa009176mg PE=3 SV=1</t>
  </si>
  <si>
    <t>Uncharacterized protein OS=Prunus persica GN=PRUPE_ppa012787mg PE=4 SV=1</t>
  </si>
  <si>
    <t>Uncharacterized protein OS=Prunus persica GN=PRUPE_ppa004262mg PE=4 SV=1</t>
  </si>
  <si>
    <t>Uncharacterized protein OS=Prunus persica GN=PRUPE_ppa017170mg PE=4 SV=1</t>
  </si>
  <si>
    <t>Uncharacterized protein OS=Prunus persica GN=PRUPE_ppa009244mg PE=4 SV=1</t>
  </si>
  <si>
    <t>Uncharacterized protein OS=Gossypium raimondii GN=B456_005G170100 PE=4 SV=1</t>
  </si>
  <si>
    <t>Uncharacterized protein OS=Prunus persica GN=PRUPE_ppa002080mg PE=4 SV=1</t>
  </si>
  <si>
    <t>Uncharacterized protein OS=Prunus persica GN=PRUPE_ppa011411mg PE=4 SV=1</t>
  </si>
  <si>
    <t>Uncharacterized protein OS=Prunus persica GN=PRUPE_ppa011442mg PE=4 SV=1</t>
  </si>
  <si>
    <t>Uncharacterized protein OS=Prunus persica GN=PRUPE_ppa013714mg PE=4 SV=1</t>
  </si>
  <si>
    <t>Uncharacterized protein OS=Prunus persica GN=PRUPE_ppa005348mg PE=4 SV=1</t>
  </si>
  <si>
    <t>Uncharacterized protein OS=Prunus persica GN=PRUPE_ppa010609mg PE=4 SV=1</t>
  </si>
  <si>
    <t>Uncharacterized protein OS=Prunus persica GN=PRUPE_ppa005442mg PE=4 SV=1</t>
  </si>
  <si>
    <t>Uncharacterized protein isoform 1 OS=Theobroma cacao GN=TCM_037373 PE=4 SV=1</t>
  </si>
  <si>
    <t>Uncharacterized protein OS=Prunus persica GN=PRUPE_ppa003938mg PE=4 SV=1</t>
  </si>
  <si>
    <t>Uncharacterized protein OS=Prunus persica GN=PRUPE_ppa003121mg PE=4 SV=1</t>
  </si>
  <si>
    <t>Uncharacterized protein OS=Prunus persica GN=PRUPE_ppa001704mg PE=4 SV=1</t>
  </si>
  <si>
    <t>Uncharacterized protein OS=Prunus persica GN=PRUPE_ppa011588mg PE=3 SV=1</t>
  </si>
  <si>
    <t>Serine/threonine-protein phosphatase OS=Prunus persica GN=PRUPE_ppa009000mg PE=3 SV=1</t>
  </si>
  <si>
    <t>Uncharacterized protein OS=Morus notabilis GN=L484_025271 PE=4 SV=1</t>
  </si>
  <si>
    <t>Uncharacterized protein OS=Prunus persica GN=PRUPE_ppa010151mg PE=4 SV=1</t>
  </si>
  <si>
    <t>Uncharacterized protein OS=Prunus persica GN=PRUPE_ppa007274mg PE=4 SV=1</t>
  </si>
  <si>
    <t>Uncharacterized protein OS=Prunus persica GN=PRUPE_ppa012728mg PE=4 SV=1</t>
  </si>
  <si>
    <t>Uncharacterized protein OS=Prunus persica GN=PRUPE_ppa019350mg PE=4 SV=1</t>
  </si>
  <si>
    <t>Uncharacterized protein OS=Prunus persica GN=PRUPE_ppa011177mg PE=3 SV=1</t>
  </si>
  <si>
    <t>Uncharacterized protein OS=Prunus persica GN=PRUPE_ppa012434mg PE=4 SV=1</t>
  </si>
  <si>
    <t>Uncharacterized protein OS=Pseudocercospora fijiensis (strain CIRAD86) GN=MYCFidRAFT_54532 PE=4 SV=1</t>
  </si>
  <si>
    <t>Uncharacterized protein OS=Prunus persica GN=PRUPE_ppa013519mg PE=4 SV=1</t>
  </si>
  <si>
    <t>Uncharacterized protein OS=Prunus persica GN=PRUPE_ppa026611mg PE=4 SV=1</t>
  </si>
  <si>
    <t>Uncharacterized protein OS=Prunus persica GN=PRUPE_ppa016667mg PE=4 SV=1</t>
  </si>
  <si>
    <t>Uncharacterized protein OS=Prunus persica GN=PRUPE_ppa025375mg PE=4 SV=1</t>
  </si>
  <si>
    <t>Uncharacterized protein OS=Prunus persica GN=PRUPE_ppb020591mg PE=4 SV=1</t>
  </si>
  <si>
    <t>Uncharacterized protein OS=Prunus persica GN=PRUPE_ppa007996mg PE=4 SV=1</t>
  </si>
  <si>
    <t>Uncharacterized protein (Fragment) OS=Prunus persica GN=PRUPE_ppa021371mg PE=4 SV=1</t>
  </si>
  <si>
    <t>Uncharacterized protein OS=Prunus persica GN=PRUPE_ppa011509mg PE=4 SV=1</t>
  </si>
  <si>
    <t>Uncharacterized protein OS=Prunus persica GN=PRUPE_ppa017109mg PE=4 SV=1</t>
  </si>
  <si>
    <t>Uncharacterized protein OS=Prunus persica GN=PRUPE_ppa012467mg PE=4 SV=1</t>
  </si>
  <si>
    <t>Uncharacterized protein OS=Prunus persica GN=PRUPE_ppa001729mg PE=4 SV=1</t>
  </si>
  <si>
    <t>Uncharacterized protein OS=Prunus persica GN=PRUPE_ppa010744mg PE=4 SV=1</t>
  </si>
  <si>
    <t>Polygalacturonase inhibiting protein OS=Prunus persica GN=PGIP PE=4 SV=1</t>
  </si>
  <si>
    <t>Uncharacterized protein OS=Morus notabilis GN=L484_025691 PE=4 SV=1</t>
  </si>
  <si>
    <t>Uncharacterized protein OS=Prunus persica GN=PRUPE_ppa019227mg PE=4 SV=1</t>
  </si>
  <si>
    <t>Signal recognition particle subunit SRP68 OS=Prunus persica GN=PRUPE_ppa002649mg PE=3 SV=1</t>
  </si>
  <si>
    <t>Uncharacterized protein OS=Prunus persica GN=PRUPE_ppa007234mg PE=4 SV=1</t>
  </si>
  <si>
    <t>Uncharacterized protein OS=Prunus persica GN=PRUPE_ppa012703mg PE=4 SV=1</t>
  </si>
  <si>
    <t>Uncharacterized protein OS=Prunus persica GN=PRUPE_ppa004708mg PE=4 SV=1</t>
  </si>
  <si>
    <t>Uncharacterized protein OS=Prunus persica GN=PRUPE_ppa023662mg PE=4 SV=1</t>
  </si>
  <si>
    <t>Uncharacterized protein OS=Prunus persica GN=PRUPE_ppa018832mg PE=4 SV=1</t>
  </si>
  <si>
    <t>Uncharacterized protein OS=Prunus persica GN=PRUPE_ppa002587mg PE=4 SV=1</t>
  </si>
  <si>
    <t>Uncharacterized protein OS=Prunus persica GN=PRUPE_ppa018436mg PE=4 SV=1</t>
  </si>
  <si>
    <t>Uncharacterized protein OS=Prunus persica GN=PRUPE_ppa021465mg PE=4 SV=1</t>
  </si>
  <si>
    <t>Uncharacterized protein OS=Prunus persica GN=PRUPE_ppa000280mg PE=4 SV=1</t>
  </si>
  <si>
    <t>Uncharacterized protein OS=Prunus persica GN=PRUPE_ppa020710mg PE=4 SV=1</t>
  </si>
  <si>
    <t>Uncharacterized protein OS=Prunus persica GN=PRUPE_ppa023414mg PE=4 SV=1</t>
  </si>
  <si>
    <t>Uncharacterized protein OS=Prunus persica GN=PRUPE_ppa013517mg PE=4 SV=1</t>
  </si>
  <si>
    <t>Uncharacterized protein OS=Prunus persica GN=PRUPE_ppa010530mg PE=4 SV=1</t>
  </si>
  <si>
    <t>Methionine aminopeptidase 1 OS=Prunus persica GN=PRUPE_ppa006771mg PE=3 SV=1</t>
  </si>
  <si>
    <t>Uncharacterized protein OS=Prunus persica GN=PRUPE_ppa012129mg PE=4 SV=1</t>
  </si>
  <si>
    <t>Uncharacterized protein OS=Prunus persica GN=PRUPE_ppa006975mg PE=3 SV=1</t>
  </si>
  <si>
    <t>Protein yippee-like OS=Prunus persica GN=PRUPE_ppa013649mg PE=3 SV=1</t>
  </si>
  <si>
    <t>Uncharacterized protein (Fragment) OS=Prunus persica GN=PRUPE_ppa017455mg PE=4 SV=1</t>
  </si>
  <si>
    <t>Uncharacterized protein OS=Prunus persica GN=PRUPE_ppa022954mg PE=4 SV=1</t>
  </si>
  <si>
    <t>Uncharacterized protein OS=Prunus persica GN=PRUPE_ppa014299mg PE=4 SV=1</t>
  </si>
  <si>
    <t>Uncharacterized protein OS=Prunus persica GN=PRUPE_ppa008220mg PE=4 SV=1</t>
  </si>
  <si>
    <t>Uncharacterized protein OS=Citrus clementina GN=CICLE_v10004276mg PE=4 SV=1</t>
  </si>
  <si>
    <t>Uncharacterized protein OS=Prunus persica GN=PRUPE_ppa000828mg PE=4 SV=1</t>
  </si>
  <si>
    <t>Putative uncharacterized protein (Fragment) OS=Vitis vinifera GN=VIT_00s1322g00010 PE=4 SV=1</t>
  </si>
  <si>
    <t>Uncharacterized protein OS=Prunus persica GN=PRUPE_ppa024247mg PE=4 SV=1</t>
  </si>
  <si>
    <t>Uncharacterized protein OS=Prunus persica GN=PRUPE_ppa003595mg PE=3 SV=1</t>
  </si>
  <si>
    <t>Uncharacterized protein OS=Prunus persica GN=PRUPE_ppa009307mg PE=4 SV=1</t>
  </si>
  <si>
    <t>Uncharacterized protein OS=Prunus persica GN=PRUPE_ppa026548mg PE=4 SV=1</t>
  </si>
  <si>
    <t>Uncharacterized protein OS=Prunus persica GN=PRUPE_ppa021331mg PE=4 SV=1</t>
  </si>
  <si>
    <t>Uncharacterized protein OS=Prunus persica GN=PRUPE_ppa019036mg PE=4 SV=1</t>
  </si>
  <si>
    <t>Uncharacterized protein OS=Prunus persica GN=PRUPE_ppa006138mg PE=4 SV=1</t>
  </si>
  <si>
    <t>Methylmalonate-semialdehyde dehydrogenase, putative OS=Ricinus communis GN=RCOM_0410030 PE=4 SV=1</t>
  </si>
  <si>
    <t>ATP-dependent Clp protease proteolytic subunit OS=Prunus persica GN=PRUPE_ppa009315mg PE=3 SV=1</t>
  </si>
  <si>
    <t>Uncharacterized protein OS=Prunus persica GN=PRUPE_ppa000211mg PE=4 SV=1</t>
  </si>
  <si>
    <t>Uncharacterized protein OS=Gossypium raimondii GN=B456_008G067400 PE=4 SV=1</t>
  </si>
  <si>
    <t>Uncharacterized protein OS=Prunus persica GN=PRUPE_ppa015205mg PE=4 SV=1</t>
  </si>
  <si>
    <t>Uncharacterized protein OS=Prunus persica GN=PRUPE_ppa012946mg PE=3 SV=1</t>
  </si>
  <si>
    <t>Uncharacterized protein OS=Prunus persica GN=PRUPE_ppa005279mg PE=4 SV=1</t>
  </si>
  <si>
    <t>Uncharacterized protein OS=Prunus persica GN=PRUPE_ppa000617mg PE=4 SV=1</t>
  </si>
  <si>
    <t>Uncharacterized protein OS=Prunus persica GN=PRUPE_ppa005816mg PE=4 SV=1</t>
  </si>
  <si>
    <t>Uncharacterized protein OS=Prunus persica GN=PRUPE_ppa010512mg PE=4 SV=1</t>
  </si>
  <si>
    <t>Uncharacterized protein OS=Prunus persica GN=PRUPE_ppa007531mg PE=3 SV=1</t>
  </si>
  <si>
    <t>Uncharacterized protein OS=Prunus persica GN=PRUPE_ppa007938mg PE=4 SV=1</t>
  </si>
  <si>
    <t>Uncharacterized protein OS=Prunus persica GN=PRUPE_ppb017205mg PE=4 SV=1</t>
  </si>
  <si>
    <t>Uncharacterized protein OS=Prunus persica GN=PRUPE_ppa006300mg PE=4 SV=1</t>
  </si>
  <si>
    <t>Uncharacterized protein OS=Prunus persica GN=PRUPE_ppa000889mg PE=4 SV=1</t>
  </si>
  <si>
    <t>Uncharacterized protein OS=Prunus persica GN=PRUPE_ppa009431mg PE=4 SV=1</t>
  </si>
  <si>
    <t>Uncharacterized protein OS=Prunus persica GN=PRUPE_ppa024201mg PE=4 SV=1</t>
  </si>
  <si>
    <t>Uncharacterized protein OS=Prunus persica GN=PRUPE_ppa003704mg PE=4 SV=1</t>
  </si>
  <si>
    <t>Uncharacterized protein OS=Prunus persica GN=PRUPE_ppa007096mg PE=4 SV=1</t>
  </si>
  <si>
    <t>Uncharacterized protein (Fragment) OS=Prunus persica GN=PRUPE_ppa024140mg PE=4 SV=1</t>
  </si>
  <si>
    <t>S-adenosylmethionine synthetase (Fragment) OS=Prunus persica PE=2 SV=1</t>
  </si>
  <si>
    <t>Uncharacterized protein OS=Prunus persica GN=PRUPE_ppa011076mg PE=4 SV=1</t>
  </si>
  <si>
    <t>Uncharacterized protein OS=Gibberella zeae (strain PH-1 / ATCC MYA-4620 / FGSC 9075 / NRRL 31084) GN=FGSG_06397 PE=4 SV=1</t>
  </si>
  <si>
    <t>Uncharacterized protein OS=Prunus persica GN=PRUPE_ppa025370mg PE=4 SV=1</t>
  </si>
  <si>
    <t>Uncharacterized protein OS=Prunus persica GN=PRUPE_ppa020951mg PE=4 SV=1</t>
  </si>
  <si>
    <t>Uncharacterized protein (Fragment) OS=Prunus persica GN=PRUPE_ppa023959mg PE=4 SV=1</t>
  </si>
  <si>
    <t>Uncharacterized protein OS=Prunus persica GN=PRUPE_ppa009898mg PE=4 SV=1</t>
  </si>
  <si>
    <t>Uncharacterized protein (Fragment) OS=Prunus persica GN=PRUPE_ppa015868mg PE=4 SV=1</t>
  </si>
  <si>
    <t>Uncharacterized protein (Fragment) OS=Prunus persica GN=PRUPE_ppa024001mg PE=4 SV=1</t>
  </si>
  <si>
    <t>Uncharacterized protein OS=Prunus persica GN=PRUPE_ppa004702mg PE=4 SV=1</t>
  </si>
  <si>
    <t>Uncharacterized protein OS=Prunus persica GN=PRUPE_ppa001679mg PE=4 SV=1</t>
  </si>
  <si>
    <t>Uncharacterized protein OS=Prunus persica GN=PRUPE_ppa007818mg PE=4 SV=1</t>
  </si>
  <si>
    <t>Uncharacterized protein OS=Prunus persica GN=PRUPE_ppa012475mg PE=4 SV=1</t>
  </si>
  <si>
    <t>Uncharacterized protein OS=Prunus persica GN=PRUPE_ppa023839mg PE=4 SV=1</t>
  </si>
  <si>
    <t>Uncharacterized protein OS=Prunus persica GN=PRUPE_ppa012904mg PE=4 SV=1</t>
  </si>
  <si>
    <t>Uncharacterized protein OS=Prunus persica GN=PRUPE_ppa003536mg PE=4 SV=1</t>
  </si>
  <si>
    <t>Uncharacterized protein OS=Prunus persica GN=PRUPE_ppa008463mg PE=4 SV=1</t>
  </si>
  <si>
    <t>Uncharacterized protein OS=Prunus persica GN=PRUPE_ppa011481mg PE=3 SV=1</t>
  </si>
  <si>
    <t>Uncharacterized protein OS=Prunus persica GN=PRUPE_ppa002414mg PE=4 SV=1</t>
  </si>
  <si>
    <t>Uncharacterized protein OS=Prunus persica GN=PRUPE_ppa015806mg PE=4 SV=1</t>
  </si>
  <si>
    <t>Uncharacterized protein OS=Prunus persica GN=PRUPE_ppa002379mg PE=4 SV=1</t>
  </si>
  <si>
    <t>Uncharacterized protein (Fragment) OS=Prunus persica GN=PRUPE_ppa022947mg PE=4 SV=1</t>
  </si>
  <si>
    <t>Uncharacterized protein OS=Prunus persica GN=PRUPE_ppa010049mg PE=3 SV=1</t>
  </si>
  <si>
    <t>Uncharacterized protein OS=Prunus persica GN=PRUPE_ppa010649mg PE=4 SV=1</t>
  </si>
  <si>
    <t>Uncharacterized protein OS=Prunus persica GN=PRUPE_ppa012097mg PE=4 SV=1</t>
  </si>
  <si>
    <t>Uncharacterized protein OS=Prunus persica GN=PRUPE_ppa025532mg PE=4 SV=1</t>
  </si>
  <si>
    <t>Uncharacterized protein OS=Prunus persica GN=PRUPE_ppa002636mg PE=4 SV=1</t>
  </si>
  <si>
    <t>Putative uncharacterized protein OS=Vitis vinifera GN=VIT_05s0020g03570 PE=4 SV=1</t>
  </si>
  <si>
    <t>Uncharacterized protein OS=Prunus persica GN=PRUPE_ppa002912mg PE=4 SV=1</t>
  </si>
  <si>
    <t>Uncharacterized protein OS=Prunus persica GN=PRUPE_ppa007609mg PE=4 SV=1</t>
  </si>
  <si>
    <t>Uncharacterized protein OS=Prunus persica GN=PRUPE_ppa002678mg PE=4 SV=1</t>
  </si>
  <si>
    <t>Uncharacterized protein OS=Prunus persica GN=PRUPE_ppa003509mg PE=4 SV=1</t>
  </si>
  <si>
    <t>CBF/DREB 2 OS=Prunus persica GN=DREB PE=2 SV=1</t>
  </si>
  <si>
    <t>Uncharacterized protein OS=Prunus persica GN=PRUPE_ppa006984mg PE=3 SV=1</t>
  </si>
  <si>
    <t>Uncharacterized protein OS=Prunus persica GN=PRUPE_ppa021878mg PE=4 SV=1</t>
  </si>
  <si>
    <t>Uncharacterized protein OS=Prunus persica GN=PRUPE_ppa026460mg PE=4 SV=1</t>
  </si>
  <si>
    <t>Uncharacterized protein OS=Prunus persica GN=PRUPE_ppa002425mg PE=3 SV=1</t>
  </si>
  <si>
    <t>Elongation factor Tu OS=Prunus persica GN=PRUPE_ppa005707mg PE=3 SV=1</t>
  </si>
  <si>
    <t>Uncharacterized protein OS=Capsicum annuum GN=orf543 PE=4 SV=1</t>
  </si>
  <si>
    <t>Uncharacterized protein OS=Prunus persica GN=PRUPE_ppa010766mg PE=4 SV=1</t>
  </si>
  <si>
    <t>Uncharacterized protein OS=Prunus persica GN=PRUPE_ppa010148mg PE=3 SV=1</t>
  </si>
  <si>
    <t>Uncharacterized protein OS=Prunus persica GN=PRUPE_ppa013250mg PE=4 SV=1</t>
  </si>
  <si>
    <t>40S ribosomal protein S26E OS=Colletotrichum higginsianum (strain IMI 349063) GN=CH063_05368 PE=4 SV=1</t>
  </si>
  <si>
    <t>Uncharacterized protein OS=Prunus persica GN=PRUPE_ppa001515mg PE=4 SV=1</t>
  </si>
  <si>
    <t>40S ribosomal protein S1 OS=Gibberella zeae (strain PH-1 / ATCC MYA-4620 / FGSC 9075 / NRRL 31084) GN=RPS1 PE=3 SV=1</t>
  </si>
  <si>
    <t>Uncharacterized protein OS=Prunus persica GN=PRUPE_ppa014813mg PE=4 SV=1</t>
  </si>
  <si>
    <t>Uncharacterized protein OS=Prunus persica GN=PRUPE_ppa010719mg PE=3 SV=1</t>
  </si>
  <si>
    <t>Uncharacterized protein OS=Prunus persica GN=PRUPE_ppa003693mg PE=4 SV=1</t>
  </si>
  <si>
    <t>Uncharacterized protein (Fragment) OS=Prunus persica GN=PRUPE_ppa027218mg PE=4 SV=1</t>
  </si>
  <si>
    <t>Putative uncharacterized protein OS=Vitis vinifera GN=VITISV_008415 PE=4 SV=1</t>
  </si>
  <si>
    <t>Uncharacterized protein OS=Prunus persica GN=PRUPE_ppa024301mg PE=4 SV=1</t>
  </si>
  <si>
    <t>Uncharacterized protein OS=Prunus persica GN=PRUPE_ppa001427mg PE=3 SV=1</t>
  </si>
  <si>
    <t>Uncharacterized protein OS=Prunus persica GN=PRUPE_ppa000527mg PE=4 SV=1</t>
  </si>
  <si>
    <t>Uncharacterized protein OS=Prunus persica GN=PRUPE_ppa012949mg PE=4 SV=1</t>
  </si>
  <si>
    <t>Uncharacterized protein OS=Prunus persica GN=PRUPE_ppa006991mg PE=4 SV=1</t>
  </si>
  <si>
    <t>Uncharacterized protein OS=Prunus persica GN=PRUPE_ppa011934mg PE=4 SV=1</t>
  </si>
  <si>
    <t>Uncharacterized protein OS=Prunus persica GN=PRUPE_ppa007946mg PE=4 SV=1</t>
  </si>
  <si>
    <t>COL domain class transcription factor OS=Malus domestica GN=COL12 PE=2 SV=1</t>
  </si>
  <si>
    <t>Uncharacterized protein OS=Prunus persica GN=PRUPE_ppa008703mg PE=4 SV=1</t>
  </si>
  <si>
    <t>Uncharacterized protein OS=Prunus persica GN=PRUPE_ppa003386mg PE=4 SV=1</t>
  </si>
  <si>
    <t>Uncharacterized protein OS=Prunus persica GN=PRUPE_ppa015904mg PE=4 SV=1</t>
  </si>
  <si>
    <t>Uncharacterized protein OS=Prunus persica GN=PRUPE_ppa013494mg PE=4 SV=1</t>
  </si>
  <si>
    <t>Methyltransferase OS=Prunus persica GN=PRUPE_ppa005590mg PE=3 SV=1</t>
  </si>
  <si>
    <t>Uncharacterized protein OS=Prunus persica GN=PRUPE_ppa010020mg PE=4 SV=1</t>
  </si>
  <si>
    <t>Uncharacterized protein OS=Prunus persica GN=PRUPE_ppa002199mg PE=3 SV=1</t>
  </si>
  <si>
    <t>Uncharacterized protein OS=Prunus persica GN=PRUPE_ppa012267mg PE=4 SV=1</t>
  </si>
  <si>
    <t>Uncharacterized protein OS=Morus notabilis GN=L484_004865 PE=4 SV=1</t>
  </si>
  <si>
    <t>Uncharacterized protein OS=Prunus persica GN=PRUPE_ppa019682mg PE=4 SV=1</t>
  </si>
  <si>
    <t>Uncharacterized protein OS=Prunus persica GN=PRUPE_ppa012138mg PE=3 SV=1</t>
  </si>
  <si>
    <t>Uncharacterized protein OS=Morus notabilis GN=L484_020551 PE=4 SV=1</t>
  </si>
  <si>
    <t>Uncharacterized protein OS=Prunus persica GN=PRUPE_ppa010208mg PE=4 SV=1</t>
  </si>
  <si>
    <t>Kinesin-like protein (Fragment) OS=Prunus persica GN=PRUPE_ppa024456mg PE=3 SV=1</t>
  </si>
  <si>
    <t>Uncharacterized protein OS=Prunus persica GN=PRUPE_ppa008059mg PE=4 SV=1</t>
  </si>
  <si>
    <t>Uncharacterized protein OS=Prunus persica GN=PRUPE_ppa006978mg PE=4 SV=1</t>
  </si>
  <si>
    <t>Uncharacterized protein OS=Prunus persica GN=PRUPE_ppa011860mg PE=4 SV=1</t>
  </si>
  <si>
    <t>Uncharacterized protein OS=Prunus persica GN=PRUPE_ppa003540mg PE=4 SV=1</t>
  </si>
  <si>
    <t>Uncharacterized protein OS=Prunus persica GN=PRUPE_ppa019204mg PE=4 SV=1</t>
  </si>
  <si>
    <t>Uncharacterized protein OS=Prunus persica GN=PRUPE_ppa009275mg PE=3 SV=1</t>
  </si>
  <si>
    <t>Uncharacterized protein OS=Prunus persica GN=PRUPE_ppa005388mg PE=4 SV=1</t>
  </si>
  <si>
    <t>Uncharacterized protein OS=Prunus persica GN=PRUPE_ppa013190mg PE=4 SV=1</t>
  </si>
  <si>
    <t>Uncharacterized protein OS=Prunus persica GN=PRUPE_ppa009787mg PE=4 SV=1</t>
  </si>
  <si>
    <t>Uncharacterized protein OS=Prunus persica GN=PRUPE_ppa001819mg PE=4 SV=1</t>
  </si>
  <si>
    <t>Uncharacterized protein OS=Prunus persica GN=PRUPE_ppa004922mg PE=4 SV=1</t>
  </si>
  <si>
    <t>Uncharacterized protein (Fragment) OS=Prunus persica GN=PRUPE_ppa024708mg PE=4 SV=1</t>
  </si>
  <si>
    <t>Uncharacterized protein OS=Prunus persica GN=PRUPE_ppa019509mg PE=4 SV=1</t>
  </si>
  <si>
    <t>Uncharacterized protein (Fragment) OS=Prunus persica GN=PRUPE_ppa021083mg PE=4 SV=1</t>
  </si>
  <si>
    <t>Uncharacterized protein OS=Prunus persica GN=PRUPE_ppa001881mg PE=4 SV=1</t>
  </si>
  <si>
    <t>Uncharacterized protein OS=Prunus persica GN=PRUPE_ppa006199mg PE=4 SV=1</t>
  </si>
  <si>
    <t>Uncharacterized protein OS=Prunus persica GN=PRUPE_ppa009785mg PE=4 SV=1</t>
  </si>
  <si>
    <t>Pectinesterase OS=Prunus persica GN=PRUPE_ppa003433mg PE=3 SV=1</t>
  </si>
  <si>
    <t>Uncharacterized protein OS=Prunus persica GN=PRUPE_ppa002369mg PE=4 SV=1</t>
  </si>
  <si>
    <t>Uncharacterized protein OS=Prunus persica GN=PRUPE_ppa020758mg PE=4 SV=1</t>
  </si>
  <si>
    <t>Uncharacterized protein OS=Morus notabilis GN=L484_013966 PE=4 SV=1</t>
  </si>
  <si>
    <t>Uncharacterized protein OS=Prunus persica GN=PRUPE_ppa002272mg PE=4 SV=1</t>
  </si>
  <si>
    <t>Uncharacterized protein OS=Prunus persica GN=PRUPE_ppa000424mg PE=3 SV=1</t>
  </si>
  <si>
    <t>Uncharacterized protein OS=Prunus persica GN=PRUPE_ppa008133mg PE=4 SV=1</t>
  </si>
  <si>
    <t>Uncharacterized protein OS=Prunus persica GN=PRUPE_ppa024800mg PE=4 SV=1</t>
  </si>
  <si>
    <t>Uncharacterized protein OS=Prunus persica GN=PRUPE_ppa007333mg PE=4 SV=1</t>
  </si>
  <si>
    <t>Uncharacterized protein OS=Prunus persica GN=PRUPE_ppa002821mg PE=4 SV=1</t>
  </si>
  <si>
    <t>Uncharacterized protein OS=Prunus persica GN=PRUPE_ppa003820mg PE=4 SV=1</t>
  </si>
  <si>
    <t>Uncharacterized protein OS=Prunus persica GN=PRUPE_ppa004811mg PE=3 SV=1</t>
  </si>
  <si>
    <t>Uncharacterized protein OS=Prunus persica GN=PRUPE_ppa001266mg PE=4 SV=1</t>
  </si>
  <si>
    <t>Uncharacterized protein OS=Prunus persica GN=PRUPE_ppa001078mg PE=4 SV=1</t>
  </si>
  <si>
    <t>Uncharacterized protein OS=Prunus persica GN=PRUPE_ppa002633mg PE=4 SV=1</t>
  </si>
  <si>
    <t>Uncharacterized protein OS=Prunus persica GN=PRUPE_ppa001092mg PE=4 SV=1</t>
  </si>
  <si>
    <t>Uncharacterized protein OS=Prunus persica GN=PRUPE_ppa020036mg PE=4 SV=1</t>
  </si>
  <si>
    <t>Uncharacterized protein OS=Prunus persica GN=PRUPE_ppa008954mg PE=4 SV=1</t>
  </si>
  <si>
    <t>Uncharacterized protein OS=Prunus persica GN=PRUPE_ppa009339mg PE=3 SV=1</t>
  </si>
  <si>
    <t>Alpha-amylase OS=Prunus persica GN=PRUPE_ppa006152mg PE=3 SV=1</t>
  </si>
  <si>
    <t>Triosephosphate isomerase OS=Prunus persica GN=PRUPE_ppa007813mg PE=3 SV=1</t>
  </si>
  <si>
    <t>Uncharacterized protein OS=Prunus persica GN=PRUPE_ppa005197mg PE=4 SV=1</t>
  </si>
  <si>
    <t>Uncharacterized protein OS=Prunus persica GN=PRUPE_ppa012657mg PE=3 SV=1</t>
  </si>
  <si>
    <t>Uncharacterized protein OS=Prunus persica GN=PRUPE_ppa011143mg PE=4 SV=1</t>
  </si>
  <si>
    <t>Ycf1 (Fragment) OS=Heuchera micrantha GN=ycf1 PE=4 SV=1</t>
  </si>
  <si>
    <t>Uncharacterized protein OS=Prunus persica GN=PRUPE_ppa006817mg PE=4 SV=1</t>
  </si>
  <si>
    <t>Uncharacterized protein OS=Prunus persica GN=PRUPE_ppa026733mg PE=4 SV=1</t>
  </si>
  <si>
    <t>Uncharacterized protein OS=Prunus persica GN=PRUPE_ppa005622mg PE=3 SV=1</t>
  </si>
  <si>
    <t>Uncharacterized protein OS=Prunus persica GN=PRUPE_ppa009935mg PE=4 SV=1</t>
  </si>
  <si>
    <t>Uncharacterized protein OS=Prunus persica GN=PRUPE_ppa006756mg PE=4 SV=1</t>
  </si>
  <si>
    <t>Encodes protein with Uncharacterized protein function whose expression is repressed by inoculation with Agrobacterium tumerifaciens isoform 1 OS=Theobroma cacao GN=TCM_010077 PE=4 SV=1</t>
  </si>
  <si>
    <t>Uncharacterized protein (Fragment) OS=Prunus persica GN=PRUPE_ppa025959mg PE=4 SV=1</t>
  </si>
  <si>
    <t>Uncharacterized protein OS=Prunus persica GN=PRUPE_ppa020084mg PE=4 SV=1</t>
  </si>
  <si>
    <t>Uncharacterized protein OS=Prunus persica GN=PRUPE_ppa001953mg PE=4 SV=1</t>
  </si>
  <si>
    <t>Uncharacterized protein OS=Prunus persica GN=PRUPE_ppa000897mg PE=3 SV=1</t>
  </si>
  <si>
    <t>Uncharacterized protein OS=Prunus persica GN=PRUPE_ppa012516mg PE=4 SV=1</t>
  </si>
  <si>
    <t>Uncharacterized protein OS=Prunus persica GN=PRUPE_ppa013201mg PE=4 SV=1</t>
  </si>
  <si>
    <t>Uncharacterized protein OS=Prunus persica GN=PRUPE_ppa014689mg PE=4 SV=1</t>
  </si>
  <si>
    <t>Uncharacterized protein OS=Prunus persica GN=PRUPE_ppa023050mg PE=4 SV=1</t>
  </si>
  <si>
    <t>Uncharacterized protein OS=Citrus clementina GN=CICLE_v10032221mg PE=4 SV=1</t>
  </si>
  <si>
    <t>Histone-lysine N-methyltransferase OS=Prunus persica GN=PRUPE_ppa002428mg PE=4 SV=1</t>
  </si>
  <si>
    <t>Uncharacterized protein OS=Jatropha curcas GN=JCGZ_13259 PE=4 SV=1</t>
  </si>
  <si>
    <t>Uncharacterized protein OS=Prunus persica GN=PRUPE_ppa011669mg PE=3 SV=1</t>
  </si>
  <si>
    <t>Uncharacterized protein OS=Prunus persica GN=PRUPE_ppa009655mg PE=4 SV=1</t>
  </si>
  <si>
    <t>Uncharacterized protein OS=Prunus persica GN=PRUPE_ppa012700mg PE=4 SV=1</t>
  </si>
  <si>
    <t>Uncharacterized protein OS=Prunus persica GN=PRUPE_ppa020233mg PE=4 SV=1</t>
  </si>
  <si>
    <t>Uncharacterized protein OS=Prunus persica GN=PRUPE_ppa011356mg PE=4 SV=1</t>
  </si>
  <si>
    <t>Uncharacterized protein OS=Prunus persica GN=PRUPE_ppa005781mg PE=4 SV=1</t>
  </si>
  <si>
    <t>Uncharacterized protein OS=Prunus persica GN=PRUPE_ppa003028mg PE=4 SV=1</t>
  </si>
  <si>
    <t>Uncharacterized protein OS=Prunus persica GN=PRUPE_ppa002152mg PE=4 SV=1</t>
  </si>
  <si>
    <t>Uncharacterized protein OS=Prunus persica GN=PRUPE_ppa023614mg PE=4 SV=1</t>
  </si>
  <si>
    <t>Uncharacterized protein OS=Prunus persica GN=PRUPE_ppa010266mg PE=4 SV=1</t>
  </si>
  <si>
    <t>Uncharacterized protein OS=Prunus persica GN=PRUPE_ppa019911mg PE=4 SV=1</t>
  </si>
  <si>
    <t>Uncharacterized protein OS=Prunus persica GN=PRUPE_ppa010999mg PE=4 SV=1</t>
  </si>
  <si>
    <t>Uncharacterized protein OS=Prunus persica GN=PRUPE_ppa002003mg PE=4 SV=1</t>
  </si>
  <si>
    <t>Uncharacterized protein OS=Prunus persica GN=PRUPE_ppa009640mg PE=4 SV=1</t>
  </si>
  <si>
    <t>Uncharacterized protein OS=Prunus persica GN=PRUPE_ppa002674mg PE=4 SV=1</t>
  </si>
  <si>
    <t>Uncharacterized protein OS=Prunus persica GN=PRUPE_ppa019495mg PE=4 SV=1</t>
  </si>
  <si>
    <t>Uncharacterized protein OS=Prunus persica GN=PRUPE_ppa010398mg PE=4 SV=1</t>
  </si>
  <si>
    <t>Uncharacterized protein OS=Prunus persica GN=PRUPE_ppa013985mg PE=4 SV=1</t>
  </si>
  <si>
    <t>BnaC02g13240D protein OS=Brassica napus GN=BnaC02g13240D PE=4 SV=1</t>
  </si>
  <si>
    <t>HVA22-like protein OS=Prunus persica GN=PRUPE_ppa011973mg PE=3 SV=1</t>
  </si>
  <si>
    <t>Uncharacterized protein OS=Prunus persica GN=PRUPE_ppa018950mg PE=4 SV=1</t>
  </si>
  <si>
    <t>Uncharacterized protein OS=Prunus persica GN=PRUPE_ppa025065mg PE=4 SV=1</t>
  </si>
  <si>
    <t>Uncharacterized protein OS=Prunus persica GN=PRUPE_ppa010332mg PE=4 SV=1</t>
  </si>
  <si>
    <t>Uncharacterized protein OS=Prunus persica GN=PRUPE_ppa001053mg PE=4 SV=1</t>
  </si>
  <si>
    <t>Uncharacterized protein OS=Prunus persica GN=PRUPE_ppa004463mg PE=3 SV=1</t>
  </si>
  <si>
    <t>Uncharacterized protein isoform 1 OS=Theobroma cacao GN=TCM_041006 PE=4 SV=1</t>
  </si>
  <si>
    <t>Uncharacterized protein (Fragment) OS=Prunus persica GN=PRUPE_ppa015337mg PE=4 SV=1</t>
  </si>
  <si>
    <t>Uncharacterized protein OS=Prunus persica GN=PRUPE_ppa012093mg PE=3 SV=1</t>
  </si>
  <si>
    <t>Uncharacterized protein OS=Prunus persica GN=PRUPE_ppa004216mg PE=3 SV=1</t>
  </si>
  <si>
    <t>3-ketoacyl-CoA synthase OS=Prunus persica GN=PRUPE_ppa1027226mg PE=3 SV=1</t>
  </si>
  <si>
    <t>HAT and BED zinc finger domain-containing protein, putative OS=Theobroma cacao GN=TCM_042727 PE=4 SV=1</t>
  </si>
  <si>
    <t>Uncharacterized protein OS=Prunus persica GN=PRUPE_ppa021815mg PE=4 SV=1</t>
  </si>
  <si>
    <t>Uncharacterized protein OS=Prunus persica GN=PRUPE_ppa013473mg PE=4 SV=1</t>
  </si>
  <si>
    <t>Uncharacterized protein OS=Prunus persica GN=PRUPE_ppa006673mg PE=4 SV=1</t>
  </si>
  <si>
    <t>Uncharacterized protein OS=Morus notabilis GN=L484_021461 PE=4 SV=1</t>
  </si>
  <si>
    <t>Uncharacterized protein OS=Prunus persica GN=PRUPE_ppa002068mg PE=4 SV=1</t>
  </si>
  <si>
    <t>Uncharacterized protein OS=Prunus persica GN=PRUPE_ppa003153mg PE=4 SV=1</t>
  </si>
  <si>
    <t>Uncharacterized protein OS=Prunus persica GN=PRUPE_ppa016010mg PE=4 SV=1</t>
  </si>
  <si>
    <t>Uncharacterized protein OS=Prunus persica GN=PRUPE_ppa016188mg PE=4 SV=1</t>
  </si>
  <si>
    <t>Uncharacterized protein OS=Populus trichocarpa GN=POPTR_0001s19100g PE=4 SV=1</t>
  </si>
  <si>
    <t>Uncharacterized protein OS=Prunus persica GN=PRUPE_ppa013697mg PE=4 SV=1</t>
  </si>
  <si>
    <t>Uncharacterized protein OS=Prunus persica GN=PRUPE_ppa005756mg PE=4 SV=1</t>
  </si>
  <si>
    <t>Putative uncharacterized protein OS=Ricinus communis GN=RCOM_1175860 PE=4 SV=1</t>
  </si>
  <si>
    <t>Uncharacterized protein OS=Prunus persica GN=PRUPE_ppa004609mg PE=4 SV=1</t>
  </si>
  <si>
    <t>Uncharacterized protein OS=Prunus persica GN=PRUPE_ppa020276mg PE=4 SV=1</t>
  </si>
  <si>
    <t>Phospholipid-transporting ATPase OS=Morus notabilis GN=L484_011000 PE=3 SV=1</t>
  </si>
  <si>
    <t>Purple acid phosphatase OS=Prunus persica GN=PRUPE_ppa005749mg PE=3 SV=1</t>
  </si>
  <si>
    <t>Diacylglycerol kinase OS=Jatropha curcas GN=JCGZ_00714 PE=3 SV=1</t>
  </si>
  <si>
    <t>Uncharacterized protein OS=Populus trichocarpa GN=POPTR_0003s13600g PE=3 SV=1</t>
  </si>
  <si>
    <t>Uncharacterized protein OS=Prunus persica GN=PRUPE_ppa012917mg PE=3 SV=1</t>
  </si>
  <si>
    <t>Uncharacterized protein OS=Prunus persica GN=PRUPE_ppa002937mg PE=4 SV=1</t>
  </si>
  <si>
    <t>Uncharacterized protein OS=Prunus persica GN=PRUPE_ppa005459mg PE=4 SV=1</t>
  </si>
  <si>
    <t>Uncharacterized protein OS=Prunus persica GN=PRUPE_ppa008945mg PE=4 SV=1</t>
  </si>
  <si>
    <t>Uncharacterized protein OS=Prunus persica GN=PRUPE_ppa005884mg PE=4 SV=1</t>
  </si>
  <si>
    <t>12-oxophytodienoate reductase 1 OS=Arabidopsis thaliana GN=OPR1 PE=4 SV=1</t>
  </si>
  <si>
    <t>Uncharacterized protein (Fragment) OS=Prunus persica GN=PRUPE_ppa015520mg PE=4 SV=1</t>
  </si>
  <si>
    <t>Uncharacterized protein OS=Prunus persica GN=PRUPE_ppa002413mg PE=4 SV=1</t>
  </si>
  <si>
    <t>Uncharacterized protein OS=Prunus persica GN=PRUPE_ppa022287mg PE=4 SV=1</t>
  </si>
  <si>
    <t>Uncharacterized protein (Fragment) OS=Prunus persica GN=PRUPE_ppa017858mg PE=3 SV=1</t>
  </si>
  <si>
    <t>Uncharacterized protein OS=Prunus persica GN=PRUPE_ppa013961mg PE=4 SV=1</t>
  </si>
  <si>
    <t>Uncharacterized protein OS=Prunus persica GN=PRUPE_ppa007452mg PE=4 SV=1</t>
  </si>
  <si>
    <t>Acyl-CoA N-acyltransferase with RING/FYVE/PHD-type zinc finger domain isoform 1 OS=Theobroma cacao GN=TCM_022344 PE=4 SV=1</t>
  </si>
  <si>
    <t>Putative uncharacterized protein OS=Nectria haematococca (strain 77-13-4 / ATCC MYA-4622 / FGSC 9596 / MPVI) GN=NECHADRAFT_87727 PE=4 SV=1</t>
  </si>
  <si>
    <t>Putative uncharacterized protein OS=Nectria haematococca (strain 77-13-4 / ATCC MYA-4622 / FGSC 9596 / MPVI) GN=NECHADRAFT_66538 PE=4 SV=1</t>
  </si>
  <si>
    <t>DNA-directed RNA polymerase subunit beta OS=Prunus kansuensis GN=rpoB PE=3 SV=1</t>
  </si>
  <si>
    <t>Uncharacterized protein OS=Prunus persica GN=PRUPE_ppa024300mg PE=4 SV=1</t>
  </si>
  <si>
    <t>Uncharacterized protein OS=Prunus persica GN=PRUPE_ppa019399mg PE=4 SV=1</t>
  </si>
  <si>
    <t>Uncharacterized protein OS=Prunus persica GN=PRUPE_ppa019550mg PE=4 SV=1</t>
  </si>
  <si>
    <t>Uncharacterized protein OS=Prunus persica GN=PRUPE_ppa009193mg PE=4 SV=1</t>
  </si>
  <si>
    <t>Uncharacterized protein OS=Prunus persica GN=PRUPE_ppa009497mg PE=4 SV=1</t>
  </si>
  <si>
    <t>Uncharacterized protein OS=Prunus persica GN=PRUPE_ppa011951mg PE=4 SV=1</t>
  </si>
  <si>
    <t>Uncharacterized protein OS=Prunus persica GN=PRUPE_ppa011767mg PE=4 SV=1</t>
  </si>
  <si>
    <t>Uncharacterized protein OS=Prunus persica GN=PRUPE_ppa026693mg PE=4 SV=1</t>
  </si>
  <si>
    <t>Uncharacterized protein OS=Prunus persica GN=PRUPE_ppa012795mg PE=3 SV=1</t>
  </si>
  <si>
    <t>Uncharacterized protein OS=Prunus persica GN=PRUPE_ppa007792mg PE=4 SV=1</t>
  </si>
  <si>
    <t>Glycosyltransferase OS=Prunus persica GN=PRUPE_ppa016883mg PE=3 SV=1</t>
  </si>
  <si>
    <t>Uncharacterized protein OS=Prunus persica GN=PRUPE_ppa026192mg PE=4 SV=1</t>
  </si>
  <si>
    <t>Uncharacterized protein OS=Prunus persica GN=PRUPE_ppa002397mg PE=4 SV=1</t>
  </si>
  <si>
    <t>Uncharacterized protein OS=Prunus persica GN=PRUPE_ppa016549mg PE=4 SV=1</t>
  </si>
  <si>
    <t>Uncharacterized protein OS=Prunus persica GN=PRUPE_ppa001049mg PE=3 SV=1</t>
  </si>
  <si>
    <t>Uncharacterized protein OS=Prunus persica GN=PRUPE_ppa015867mg PE=4 SV=1</t>
  </si>
  <si>
    <t>Uncharacterized protein OS=Prunus persica GN=PRUPE_ppa001461mg PE=4 SV=1</t>
  </si>
  <si>
    <t>Uncharacterized protein OS=Prunus persica GN=PRUPE_ppa005518mg PE=4 SV=1</t>
  </si>
  <si>
    <t>Uncharacterized protein OS=Prunus persica GN=PRUPE_ppa004428mg PE=4 SV=1</t>
  </si>
  <si>
    <t>Uncharacterized protein OS=Prunus persica GN=PRUPE_ppa002463mg PE=4 SV=1</t>
  </si>
  <si>
    <t>Auxin response factor OS=Prunus persica GN=PRUPE_ppa001179mg PE=3 SV=1</t>
  </si>
  <si>
    <t>Uncharacterized protein OS=Prunus persica GN=PRUPE_ppa024788mg PE=4 SV=1</t>
  </si>
  <si>
    <t>Uncharacterized protein OS=Prunus persica GN=PRUPE_ppa011551mg PE=3 SV=1</t>
  </si>
  <si>
    <t>Uncharacterized protein OS=Prunus persica GN=PRUPE_ppa002194mg PE=4 SV=1</t>
  </si>
  <si>
    <t>Uncharacterized protein (Fragment) OS=Prunus persica GN=PRUPE_ppa019148mg PE=3 SV=1</t>
  </si>
  <si>
    <t>Uncharacterized protein OS=Prunus persica GN=PRUPE_ppa023037mg PE=4 SV=1</t>
  </si>
  <si>
    <t>Putative uncharacterized protein OS=Vitis vinifera GN=VIT_07s0005g01780 PE=4 SV=1</t>
  </si>
  <si>
    <t>Uncharacterized protein OS=Prunus persica GN=PRUPE_ppa025202mg PE=4 SV=1</t>
  </si>
  <si>
    <t>Uncharacterized protein OS=Prunus persica GN=PRUPE_ppa009084mg PE=3 SV=1</t>
  </si>
  <si>
    <t>Uncharacterized protein OS=Prunus persica GN=PRUPE_ppa003743mg PE=4 SV=1</t>
  </si>
  <si>
    <t>Uncharacterized protein OS=Citrus clementina GN=CICLE_v10030561mg PE=4 SV=1</t>
  </si>
  <si>
    <t>Uncharacterized protein OS=Prunus persica GN=PRUPE_ppa009261mg PE=4 SV=1</t>
  </si>
  <si>
    <t>Peroxidase OS=Prunus persica GN=PRUPE_ppa008642mg PE=3 SV=1</t>
  </si>
  <si>
    <t>Uncharacterized protein OS=Prunus persica GN=PRUPE_ppa002044mg PE=4 SV=1</t>
  </si>
  <si>
    <t>Myosin-J heavy chain OS=Morus notabilis GN=L484_027337 PE=4 SV=1</t>
  </si>
  <si>
    <t>Uncharacterized protein OS=Prunus persica GN=PRUPE_ppa015725mg PE=4 SV=1</t>
  </si>
  <si>
    <t>Uncharacterized protein OS=Prunus persica GN=PRUPE_ppa020844mg PE=4 SV=1</t>
  </si>
  <si>
    <t>Uncharacterized protein OS=Prunus persica GN=PRUPE_ppa020895mg PE=4 SV=1</t>
  </si>
  <si>
    <t>Uncharacterized protein OS=Prunus persica GN=PRUPE_ppa020810mg PE=4 SV=1</t>
  </si>
  <si>
    <t>Uncharacterized protein OS=Prunus persica GN=PRUPE_ppa011673mg PE=4 SV=1</t>
  </si>
  <si>
    <t>Glycosyltransferase OS=Prunus persica GN=PRUPE_ppa005107mg PE=3 SV=1</t>
  </si>
  <si>
    <t>Uncharacterized protein OS=Prunus persica GN=PRUPE_ppa012584mg PE=4 SV=1</t>
  </si>
  <si>
    <t>Uncharacterized protein OS=Prunus persica GN=PRUPE_ppa005847mg PE=4 SV=1</t>
  </si>
  <si>
    <t>Histone-lysine N-methyltransferase OS=Prunus persica GN=PRUPE_ppa000179mg PE=4 SV=1</t>
  </si>
  <si>
    <t>Uncharacterized protein OS=Prunus persica GN=PRUPE_ppa011125mg PE=4 SV=1</t>
  </si>
  <si>
    <t>Uncharacterized protein OS=Prunus persica GN=PRUPE_ppa007230mg PE=4 SV=1</t>
  </si>
  <si>
    <t>Uncharacterized protein OS=Prunus persica GN=PRUPE_ppa003814mg PE=4 SV=1</t>
  </si>
  <si>
    <t>Uncharacterized protein OS=Prunus persica GN=PRUPE_ppa017712mg PE=4 SV=1</t>
  </si>
  <si>
    <t>Uncharacterized protein (Fragment) OS=Prunus persica GN=PRUPE_ppa025949mg PE=4 SV=1</t>
  </si>
  <si>
    <t>Putative uncharacterized protein OS=Vitis vinifera GN=VIT_07s0031g01340 PE=4 SV=1</t>
  </si>
  <si>
    <t>Uncharacterized protein OS=Prunus persica GN=PRUPE_ppa012256mg PE=4 SV=1</t>
  </si>
  <si>
    <t>Uncharacterized protein OS=Prunus persica GN=PRUPE_ppa001227mg PE=4 SV=1</t>
  </si>
  <si>
    <t>Uncharacterized protein OS=Prunus persica GN=PRUPE_ppa008695mg PE=4 SV=1</t>
  </si>
  <si>
    <t>Uncharacterized protein OS=Prunus persica GN=PRUPE_ppa008780mg PE=4 SV=1</t>
  </si>
  <si>
    <t>E3 ubiquitin-protein ligase OS=Morus notabilis GN=L484_006853 PE=4 SV=1</t>
  </si>
  <si>
    <t>Uncharacterized protein (Fragment) OS=Prunus persica GN=PRUPE_ppa025643mg PE=4 SV=1</t>
  </si>
  <si>
    <t>Uncharacterized protein OS=Prunus persica GN=PRUPE_ppa006287mg PE=4 SV=1</t>
  </si>
  <si>
    <t>Flavonol synthase OS=Fragaria ananassa PE=3 SV=1</t>
  </si>
  <si>
    <t>Kinesin-like protein OS=Prunus persica GN=PRUPE_ppa000347mg PE=3 SV=1</t>
  </si>
  <si>
    <t>Uncharacterized protein OS=Prunus persica GN=PRUPE_ppa026366mg PE=4 SV=1</t>
  </si>
  <si>
    <t>Uncharacterized protein OS=Prunus persica GN=PRUPE_ppa024841mg PE=4 SV=1</t>
  </si>
  <si>
    <t>Uncharacterized protein (Fragment) OS=Prunus persica GN=PRUPE_ppa025851mg PE=4 SV=1</t>
  </si>
  <si>
    <t>Uncharacterized protein OS=Prunus persica GN=PRUPE_ppa008676mg PE=4 SV=1</t>
  </si>
  <si>
    <t>Uncharacterized protein OS=Prunus persica GN=PRUPE_ppa006103mg PE=4 SV=1</t>
  </si>
  <si>
    <t>Uncharacterized protein OS=Prunus persica GN=PRUPE_ppa005966mg PE=4 SV=1</t>
  </si>
  <si>
    <t>Uncharacterized protein OS=Prunus persica GN=PRUPE_ppa002682mg PE=3 SV=1</t>
  </si>
  <si>
    <t>Uncharacterized protein (Fragment) OS=Phaseolus vulgaris GN=PHAVU_002G0088000g PE=4 SV=1</t>
  </si>
  <si>
    <t>ER lumen protein-retaining receptor OS=Prunus persica GN=PRUPE_ppa011335mg PE=3 SV=1</t>
  </si>
  <si>
    <t>Uncharacterized protein OS=Morus notabilis GN=L484_018623 PE=4 SV=1</t>
  </si>
  <si>
    <t>Uncharacterized protein OS=Aureobasidium pullulans EXF-150 GN=M438DRAFT_346033 PE=4 SV=1</t>
  </si>
  <si>
    <t>Uncharacterized protein (Fragment) OS=Prunus persica GN=PRUPE_ppa018138mg PE=4 SV=1</t>
  </si>
  <si>
    <t>Uncharacterized protein (Fragment) OS=Prunus persica GN=PRUPE_ppa021366mg PE=4 SV=1</t>
  </si>
  <si>
    <t>Glycosyltransferase OS=Prunus persica GN=PRUPE_ppa005427mg PE=3 SV=1</t>
  </si>
  <si>
    <t>Uncharacterized protein OS=Prunus persica GN=PRUPE_ppa017982mg PE=3 SV=1</t>
  </si>
  <si>
    <t>Uncharacterized protein OS=Prunus persica GN=PRUPE_ppa011278mg PE=3 SV=1</t>
  </si>
  <si>
    <t>6-phosphogluconate dehydrogenase, decarboxylating OS=Prunus sibirica PE=2 SV=1</t>
  </si>
  <si>
    <t>Uncharacterized protein OS=Prunus persica GN=PRUPE_ppa005869mg PE=4 SV=1</t>
  </si>
  <si>
    <t>Uncharacterized protein OS=Prunus persica GN=PRUPE_ppa009520mg PE=4 SV=1</t>
  </si>
  <si>
    <t>Uncharacterized protein OS=Prunus persica GN=PRUPE_ppa025788mg PE=4 SV=1</t>
  </si>
  <si>
    <t>Uncharacterized protein OS=Prunus persica GN=PRUPE_ppa002561mg PE=4 SV=1</t>
  </si>
  <si>
    <t>Uncharacterized protein OS=Prunus persica GN=PRUPE_ppa001018mg PE=3 SV=1</t>
  </si>
  <si>
    <t>Uncharacterized protein OS=Prunus persica GN=PRUPE_ppa005295mg PE=4 SV=1</t>
  </si>
  <si>
    <t>Uncharacterized protein OS=Prunus persica GN=PRUPE_ppa007617mg PE=4 SV=1</t>
  </si>
  <si>
    <t>Uncharacterized protein OS=Prunus persica GN=PRUPE_ppa008969mg PE=4 SV=1</t>
  </si>
  <si>
    <t>Uncharacterized protein OS=Prunus persica GN=PRUPE_ppa002815mg PE=4 SV=1</t>
  </si>
  <si>
    <t>Uncharacterized protein OS=Prunus persica GN=PRUPE_ppa006742mg PE=4 SV=1</t>
  </si>
  <si>
    <t>Uncharacterized protein OS=Prunus persica GN=PRUPE_ppa000655mg PE=4 SV=1</t>
  </si>
  <si>
    <t>Uncharacterized protein (Fragment) OS=Prunus persica GN=PRUPE_ppa017854mg PE=4 SV=1</t>
  </si>
  <si>
    <t>Uncharacterized protein OS=Prunus persica GN=PRUPE_ppb019012mg PE=4 SV=1</t>
  </si>
  <si>
    <t>Uncharacterized protein OS=Prunus persica GN=PRUPE_ppa008120mg PE=4 SV=1</t>
  </si>
  <si>
    <t>Uncharacterized protein (Fragment) OS=Prunus persica GN=PRUPE_ppa1027189mg PE=4 SV=1</t>
  </si>
  <si>
    <t>Uncharacterized protein OS=Prunus persica GN=PRUPE_ppa011868mg PE=4 SV=1</t>
  </si>
  <si>
    <t>Uncharacterized protein OS=Prunus persica GN=PRUPE_ppa006990mg PE=3 SV=1</t>
  </si>
  <si>
    <t>Uncharacterized protein OS=Prunus persica GN=PRUPE_ppa003178mg PE=4 SV=1</t>
  </si>
  <si>
    <t>Uncharacterized protein OS=Prunus persica GN=PRUPE_ppa005473mg PE=4 SV=1</t>
  </si>
  <si>
    <t>Serine/threonine-protein phosphatase OS=Prunus persica GN=PRUPE_ppa008194mg PE=3 SV=1</t>
  </si>
  <si>
    <t>Ribosomal protein L37 OS=Prunus persica GN=PRUPE_ppa013927mg PE=3 SV=1</t>
  </si>
  <si>
    <t>Uncharacterized protein OS=Prunus persica GN=PRUPE_ppa008322mg PE=3 SV=1</t>
  </si>
  <si>
    <t>Uncharacterized protein OS=Citrus sinensis GN=CISIN_1g035474mg PE=4 SV=1</t>
  </si>
  <si>
    <t>Uncharacterized protein (Fragment) OS=Prunus persica GN=PRUPE_ppa015230mg PE=4 SV=1</t>
  </si>
  <si>
    <t>Uncharacterized protein OS=Prunus persica GN=PRUPE_ppa019094mg PE=4 SV=1</t>
  </si>
  <si>
    <t>Uncharacterized protein OS=Prunus persica GN=PRUPE_ppa013803mg PE=4 SV=1</t>
  </si>
  <si>
    <t>Uncharacterized protein OS=Prunus persica GN=PRUPE_ppa025873mg PE=4 SV=1</t>
  </si>
  <si>
    <t>Uncharacterized protein OS=Prunus persica GN=PRUPE_ppa004849mg PE=4 SV=1</t>
  </si>
  <si>
    <t>Uncharacterized protein OS=Prunus persica GN=PRUPE_ppa021783mg PE=4 SV=1</t>
  </si>
  <si>
    <t>Uncharacterized protein OS=Prunus persica GN=PRUPE_ppa006796mg PE=4 SV=1</t>
  </si>
  <si>
    <t>Uncharacterized protein OS=Prunus persica GN=PRUPE_ppa013617mg PE=4 SV=1</t>
  </si>
  <si>
    <t>Uncharacterized protein OS=Prunus persica GN=PRUPE_ppa013794mg PE=4 SV=1</t>
  </si>
  <si>
    <t>Uncharacterized protein (Fragment) OS=Prunus persica GN=PRUPE_ppa027144mg PE=4 SV=1</t>
  </si>
  <si>
    <t>Uncharacterized protein OS=Prunus persica GN=PRUPE_ppa008544mg PE=4 SV=1</t>
  </si>
  <si>
    <t>Uncharacterized protein OS=Prunus persica GN=PRUPE_ppa018630mg PE=4 SV=1</t>
  </si>
  <si>
    <t>Uncharacterized protein OS=Morus notabilis GN=L484_003146 PE=4 SV=1</t>
  </si>
  <si>
    <t>Uncharacterized protein OS=Prunus persica GN=PRUPE_ppa017604mg PE=4 SV=1</t>
  </si>
  <si>
    <t>Uncharacterized protein OS=Prunus persica GN=PRUPE_ppa004149mg PE=3 SV=1</t>
  </si>
  <si>
    <t>Uncharacterized protein (Fragment) OS=Prunus persica GN=PRUPE_ppa024269mg PE=4 SV=1</t>
  </si>
  <si>
    <t>Uncharacterized protein OS=Prunus persica GN=PRUPE_ppa1027222mg PE=4 SV=1</t>
  </si>
  <si>
    <t>Uncharacterized protein OS=Morus notabilis GN=L484_021993 PE=4 SV=1</t>
  </si>
  <si>
    <t>Uncharacterized protein OS=Prunus persica GN=PRUPE_ppa005327mg PE=4 SV=1</t>
  </si>
  <si>
    <t>Uncharacterized protein (Fragment) OS=Prunus persica GN=PRUPE_ppa017471mg PE=4 SV=1</t>
  </si>
  <si>
    <t>Uncharacterized protein OS=Prunus persica GN=PRUPE_ppa009396mg PE=4 SV=1</t>
  </si>
  <si>
    <t>Uncharacterized protein OS=Prunus persica GN=PRUPE_ppa025855mg PE=4 SV=1</t>
  </si>
  <si>
    <t>Uncharacterized protein OS=Prunus persica GN=PRUPE_ppa009516mg PE=4 SV=1</t>
  </si>
  <si>
    <t>Uncharacterized protein OS=Prunus persica GN=PRUPE_ppa003556mg PE=4 SV=1</t>
  </si>
  <si>
    <t>Uncharacterized protein OS=Prunus persica GN=PRUPE_ppa019310mg PE=4 SV=1</t>
  </si>
  <si>
    <t>Uncharacterized protein OS=Prunus persica GN=PRUPE_ppa021380mg PE=4 SV=1</t>
  </si>
  <si>
    <t>Uncharacterized protein OS=Prunus persica GN=PRUPE_ppa007165mg PE=4 SV=1</t>
  </si>
  <si>
    <t>Uncharacterized protein (Fragment) OS=Prunus persica GN=PRUPE_ppa023055mg PE=4 SV=1</t>
  </si>
  <si>
    <t>Uncharacterized protein OS=Prunus persica GN=PRUPE_ppa014437mg PE=4 SV=1</t>
  </si>
  <si>
    <t>Aldose 1-epimerase OS=Prunus persica GN=PRUPE_ppa024124mg PE=3 SV=1</t>
  </si>
  <si>
    <t>Uncharacterized protein OS=Prunus persica GN=PRUPE_ppa008274mg PE=4 SV=1</t>
  </si>
  <si>
    <t>Uncharacterized protein (Fragment) OS=Prunus persica GN=PRUPE_ppa022461mg PE=4 SV=1</t>
  </si>
  <si>
    <t>Uncharacterized protein OS=Prunus persica GN=PRUPE_ppb012603mg PE=4 SV=1</t>
  </si>
  <si>
    <t>1,3-beta-glucanosyltransferase OS=Hypocrea virens (strain Gv29-8 / FGSC 10586) GN=TRIVidRAFT_85296 PE=3 SV=1</t>
  </si>
  <si>
    <t>Uncharacterized protein (Fragment) OS=Prunus persica GN=PRUPE_ppa015729mg PE=4 SV=1</t>
  </si>
  <si>
    <t>Uncharacterized protein OS=Eucalyptus grandis GN=EUGRSUZ_J02425 PE=3 SV=1</t>
  </si>
  <si>
    <t>Uncharacterized protein OS=Prunus persica GN=PRUPE_ppa018787mg PE=4 SV=1</t>
  </si>
  <si>
    <t>Uncharacterized protein OS=Prunus persica GN=PRUPE_ppa005421mg PE=3 SV=1</t>
  </si>
  <si>
    <t>Uncharacterized protein OS=Prunus persica GN=PRUPE_ppa010591mg PE=3 SV=1</t>
  </si>
  <si>
    <t>Uncharacterized protein OS=Prunus persica GN=PRUPE_ppa026569mg PE=4 SV=1</t>
  </si>
  <si>
    <t>Uncharacterized protein OS=Prunus persica GN=PRUPE_ppa009152mg PE=4 SV=1</t>
  </si>
  <si>
    <t>Uncharacterized protein OS=Prunus persica GN=PRUPE_ppa007980mg PE=4 SV=1</t>
  </si>
  <si>
    <t>Uncharacterized protein (Fragment) OS=Prunus persica GN=PRUPE_ppa018214mg PE=4 SV=1</t>
  </si>
  <si>
    <t>Uncharacterized protein OS=Prunus persica GN=PRUPE_ppa000590mg PE=4 SV=1</t>
  </si>
  <si>
    <t>Uncharacterized protein OS=Prunus persica GN=PRUPE_ppa005512mg PE=3 SV=1</t>
  </si>
  <si>
    <t>Uncharacterized protein OS=Hordeum vulgare var. distichum PE=3 SV=1</t>
  </si>
  <si>
    <t>Uncharacterized protein OS=Prunus persica GN=PRUPE_ppa000643mg PE=4 SV=1</t>
  </si>
  <si>
    <t>Uncharacterized protein OS=Prunus persica GN=PRUPE_ppb010066mg PE=4 SV=1</t>
  </si>
  <si>
    <t>Uncharacterized protein OS=Prunus persica GN=PRUPE_ppa009304mg PE=4 SV=1</t>
  </si>
  <si>
    <t>Uncharacterized protein OS=Prunus persica GN=PRUPE_ppa001250mg PE=4 SV=1</t>
  </si>
  <si>
    <t>Uncharacterized protein (Fragment) OS=Prunus persica GN=PRUPE_ppa017869mg PE=4 SV=1</t>
  </si>
  <si>
    <t>Uncharacterized protein OS=Prunus persica GN=PRUPE_ppa007956mg PE=4 SV=1</t>
  </si>
  <si>
    <t>Uncharacterized protein OS=Prunus persica GN=PRUPE_ppa010088mg PE=4 SV=1</t>
  </si>
  <si>
    <t>Uncharacterized protein (Fragment) OS=Prunus persica GN=PRUPE_ppa021281mg PE=4 SV=1</t>
  </si>
  <si>
    <t>Uncharacterized protein OS=Prunus persica GN=PRUPE_ppa004926mg PE=4 SV=1</t>
  </si>
  <si>
    <t>Uncharacterized protein OS=Prunus persica GN=PRUPE_ppa000097mg PE=4 SV=1</t>
  </si>
  <si>
    <t>Uncharacterized protein OS=Prunus persica GN=PRUPE_ppa012566mg PE=4 SV=1</t>
  </si>
  <si>
    <t>Uncharacterized protein OS=Prunus persica GN=PRUPE_ppa005871mg PE=4 SV=1</t>
  </si>
  <si>
    <t>Uncharacterized protein OS=Prunus persica GN=PRUPE_ppa018471mg PE=4 SV=1</t>
  </si>
  <si>
    <t>Uncharacterized protein OS=Prunus persica GN=PRUPE_ppa005322mg PE=3 SV=1</t>
  </si>
  <si>
    <t>Uncharacterized protein OS=Prunus persica GN=PRUPE_ppa010465mg PE=4 SV=1</t>
  </si>
  <si>
    <t>Uncharacterized protein (Fragment) OS=Prunus persica GN=PRUPE_ppa021579mg PE=4 SV=1</t>
  </si>
  <si>
    <t>Uncharacterized protein OS=Prunus persica GN=PRUPE_ppa007350mg PE=3 SV=1</t>
  </si>
  <si>
    <t>Uncharacterized protein OS=Prunus persica GN=PRUPE_ppa025332mg PE=4 SV=1</t>
  </si>
  <si>
    <t>Uncharacterized protein OS=Prunus persica GN=PRUPE_ppa007440mg PE=4 SV=1</t>
  </si>
  <si>
    <t>Uncharacterized protein OS=Jatropha curcas GN=JCGZ_06847 PE=4 SV=1</t>
  </si>
  <si>
    <t>Kinase OS=Theobroma cacao GN=TCM_039168 PE=3 SV=1</t>
  </si>
  <si>
    <t>Peroxidase OS=Prunus persica GN=PRUPE_ppa008667mg PE=3 SV=1</t>
  </si>
  <si>
    <t>Uncharacterized protein OS=Prunus persica GN=PRUPE_ppa004229mg PE=4 SV=1</t>
  </si>
  <si>
    <t>Uncharacterized protein OS=Prunus persica GN=PRUPE_ppa008026mg PE=4 SV=1</t>
  </si>
  <si>
    <t>Uncharacterized protein OS=Prunus persica GN=PRUPE_ppa017515mg PE=4 SV=1</t>
  </si>
  <si>
    <t>Putative uncharacterized protein OS=Vitis vinifera GN=VIT_01s0011g01440 PE=3 SV=1</t>
  </si>
  <si>
    <t>Uncharacterized protein OS=Prunus persica GN=PRUPE_ppa006146mg PE=3 SV=1</t>
  </si>
  <si>
    <t>Uncharacterized protein OS=Prunus persica GN=PRUPE_ppa013420mg PE=4 SV=1</t>
  </si>
  <si>
    <t>Uncharacterized protein OS=Prunus persica GN=PRUPE_ppa009494mg PE=4 SV=1</t>
  </si>
  <si>
    <t>Uncharacterized protein OS=Prunus persica GN=PRUPE_ppa000523mg PE=4 SV=1</t>
  </si>
  <si>
    <t>Uncharacterized protein OS=Prunus persica GN=PRUPE_ppa012602mg PE=4 SV=1</t>
  </si>
  <si>
    <t>Uncharacterized protein OS=Prunus persica GN=PRUPE_ppa009552mg PE=4 SV=1</t>
  </si>
  <si>
    <t>Uncharacterized protein OS=Prunus persica GN=PRUPE_ppa003371mg PE=3 SV=1</t>
  </si>
  <si>
    <t>Uncharacterized protein OS=Prunus persica GN=PRUPE_ppa012970mg PE=4 SV=1</t>
  </si>
  <si>
    <t>DNA-directed RNA polymerase subunit OS=Prunus persica GN=PRUPE_ppa013594mg PE=3 SV=1</t>
  </si>
  <si>
    <t>Uncharacterized protein OS=Prunus persica GN=PRUPE_ppa022817mg PE=3 SV=1</t>
  </si>
  <si>
    <t>DNA binding protein, putative OS=Ricinus communis GN=RCOM_1621770 PE=4 SV=1</t>
  </si>
  <si>
    <t>Uncharacterized protein OS=Prunus persica GN=PRUPE_ppa021454mg PE=4 SV=1</t>
  </si>
  <si>
    <t>Uncharacterized protein OS=Prunus persica GN=PRUPE_ppa010352mg PE=4 SV=1</t>
  </si>
  <si>
    <t>Serine/threonine-protein phosphatase OS=Citrus sinensis GN=CISIN_1g022085mg PE=3 SV=1</t>
  </si>
  <si>
    <t>Uncharacterized protein OS=Prunus persica GN=PRUPE_ppa004551mg PE=4 SV=1</t>
  </si>
  <si>
    <t>DNA binding,ATP binding,nucleic acid bindin isoform 1 OS=Theobroma cacao GN=TCM_025757 PE=4 SV=1</t>
  </si>
  <si>
    <t>Uncharacterized protein OS=Prunus persica GN=PRUPE_ppa001788mg PE=4 SV=1</t>
  </si>
  <si>
    <t>Uncharacterized protein OS=Prunus persica GN=PRUPE_ppa005219mg PE=4 SV=1</t>
  </si>
  <si>
    <t>Uncharacterized protein OS=Prunus persica GN=PRUPE_ppa011082mg PE=4 SV=1</t>
  </si>
  <si>
    <t>Uncharacterized protein OS=Prunus persica GN=PRUPE_ppa004353mg PE=3 SV=1</t>
  </si>
  <si>
    <t>Uncharacterized protein OS=Prunus persica GN=PRUPE_ppa005053mg PE=4 SV=1</t>
  </si>
  <si>
    <t>Uncharacterized protein OS=Prunus persica GN=PRUPE_ppa000616mg PE=4 SV=1</t>
  </si>
  <si>
    <t>Uncharacterized protein OS=Prunus persica GN=PRUPE_ppa023067mg PE=4 SV=1</t>
  </si>
  <si>
    <t>Uncharacterized protein (Fragment) OS=Prunus persica GN=PRUPE_ppa018980mg PE=4 SV=1</t>
  </si>
  <si>
    <t>Uncharacterized protein OS=Prunus persica GN=PRUPE_ppa011478mg PE=4 SV=1</t>
  </si>
  <si>
    <t>Uncharacterized protein OS=Prunus persica GN=PRUPE_ppa007642mg PE=4 SV=1</t>
  </si>
  <si>
    <t>Uncharacterized protein OS=Prunus persica GN=PRUPE_ppb018758mg PE=4 SV=1</t>
  </si>
  <si>
    <t>Uncharacterized protein OS=Prunus persica GN=PRUPE_ppa016114mg PE=3 SV=1</t>
  </si>
  <si>
    <t>Uncharacterized protein OS=Prunus persica GN=PRUPE_ppa008085mg PE=4 SV=1</t>
  </si>
  <si>
    <t>Uncharacterized protein OS=Prunus persica GN=PRUPE_ppa014557mg PE=4 SV=1</t>
  </si>
  <si>
    <t>Uncharacterized protein OS=Prunus persica GN=PRUPE_ppa021921mg PE=4 SV=1</t>
  </si>
  <si>
    <t>Uncharacterized protein OS=Prunus persica GN=PRUPE_ppa024918mg PE=4 SV=1</t>
  </si>
  <si>
    <t>Uncharacterized protein OS=Prunus persica GN=PRUPE_ppa024670mg PE=3 SV=1</t>
  </si>
  <si>
    <t>Glycoside hydrolase family 61 protein OS=Serendipita vermifera MAFF 305830 GN=M408DRAFT_332772 PE=4 SV=1</t>
  </si>
  <si>
    <t>Uncharacterized protein OS=Prunus persica GN=PRUPE_ppa005430mg PE=4 SV=1</t>
  </si>
  <si>
    <t>Uncharacterized protein OS=Prunus persica GN=PRUPE_ppa004504mg PE=3 SV=1</t>
  </si>
  <si>
    <t>Uncharacterized protein OS=Prunus persica GN=PRUPE_ppa005739mg PE=3 SV=1</t>
  </si>
  <si>
    <t>Uncharacterized protein OS=Prunus persica GN=PRUPE_ppa026894mg PE=4 SV=1</t>
  </si>
  <si>
    <t>Nicotinamide-nucleotide adenylyltransferase OS=Prunus persica GN=PRUPE_ppa010619mg PE=3 SV=1</t>
  </si>
  <si>
    <t>Uncharacterized protein OS=Prunus persica GN=PRUPE_ppa026355mg PE=4 SV=1</t>
  </si>
  <si>
    <t>Uncharacterized protein OS=Prunus persica GN=PRUPE_ppa011649mg PE=4 SV=1</t>
  </si>
  <si>
    <t>Uncharacterized protein OS=Prunus persica GN=PRUPE_ppa011472mg PE=4 SV=1</t>
  </si>
  <si>
    <t>Uncharacterized protein OS=Prunus persica GN=PRUPE_ppa002776mg PE=4 SV=1</t>
  </si>
  <si>
    <t>L-arabinokinase OS=Prunus persica GN=ARA PE=2 SV=1</t>
  </si>
  <si>
    <t>Uncharacterized protein OS=Prunus persica GN=PRUPE_ppa002086mg PE=4 SV=1</t>
  </si>
  <si>
    <t>Uncharacterized protein OS=Prunus persica GN=PRUPE_ppa009213mg PE=4 SV=1</t>
  </si>
  <si>
    <t>Uncharacterized protein OS=Prunus persica GN=PRUPE_ppa013171mg PE=4 SV=1</t>
  </si>
  <si>
    <t>Uncharacterized protein OS=Prunus persica GN=PRUPE_ppa006972mg PE=4 SV=1</t>
  </si>
  <si>
    <t>Malate dehydrogenase OS=Prunus persica GN=PRUPE_ppa007722mg PE=3 SV=1</t>
  </si>
  <si>
    <t>Uncharacterized protein OS=Prunus persica GN=PRUPE_ppa007055mg PE=4 SV=1</t>
  </si>
  <si>
    <t>Uncharacterized protein OS=Prunus persica GN=PRUPE_ppa009280mg PE=4 SV=1</t>
  </si>
  <si>
    <t>Uncharacterized protein OS=Prunus persica GN=PRUPE_ppa002470mg PE=4 SV=1</t>
  </si>
  <si>
    <t>Uncharacterized protein OS=Prunus persica GN=PRUPE_ppa019418mg PE=4 SV=1</t>
  </si>
  <si>
    <t>Uncharacterized protein OS=Prunus persica GN=PRUPE_ppa008722mg PE=4 SV=1</t>
  </si>
  <si>
    <t>Uncharacterized protein OS=Prunus persica GN=PRUPE_ppa008176mg PE=4 SV=1</t>
  </si>
  <si>
    <t>L-galactose dehydrogenase OS=Prunus persica GN=GDH PE=2 SV=1</t>
  </si>
  <si>
    <t>Uncharacterized protein OS=Prunus persica GN=PRUPE_ppa012988mg PE=4 SV=1</t>
  </si>
  <si>
    <t>Uncharacterized protein OS=Prunus persica GN=PRUPE_ppa005758mg PE=4 SV=1</t>
  </si>
  <si>
    <t>Uncharacterized protein OS=Prunus persica GN=PRUPE_ppa005404mg PE=4 SV=1</t>
  </si>
  <si>
    <t>Uncharacterized protein OS=Prunus persica GN=PRUPE_ppa023477mg PE=4 SV=1</t>
  </si>
  <si>
    <t>Uncharacterized protein OS=Prunus persica GN=PRUPE_ppa003589mg PE=4 SV=1</t>
  </si>
  <si>
    <t>Uncharacterized protein OS=Prunus persica GN=PRUPE_ppa004662mg PE=4 SV=1</t>
  </si>
  <si>
    <t>Uncharacterized protein OS=Citrus clementina GN=CICLE_v10025016mg PE=4 SV=1</t>
  </si>
  <si>
    <t>E3 ubiquitin-protein ligase OS=Prunus persica GN=PRUPE_ppa008943mg PE=3 SV=1</t>
  </si>
  <si>
    <t>Uncharacterized protein OS=Prunus persica GN=PRUPE_ppa002252mg PE=4 SV=1</t>
  </si>
  <si>
    <t>Uncharacterized protein OS=Citrus clementina GN=CICLE_v10025165mg PE=4 SV=1</t>
  </si>
  <si>
    <t>Uncharacterized protein OS=Prunus persica GN=PRUPE_ppa008557mg PE=4 SV=1</t>
  </si>
  <si>
    <t>Uncharacterized protein OS=Prunus persica GN=PRUPE_ppa007542mg PE=3 SV=1</t>
  </si>
  <si>
    <t>Uncharacterized protein OS=Prunus persica GN=PRUPE_ppa025241mg PE=4 SV=1</t>
  </si>
  <si>
    <t>Uncharacterized protein OS=Prunus persica GN=PRUPE_ppa025888mg PE=4 SV=1</t>
  </si>
  <si>
    <t>Uncharacterized protein (Fragment) OS=Prunus persica GN=PRUPE_ppa025382mg PE=4 SV=1</t>
  </si>
  <si>
    <t>Uncharacterized protein OS=Prunus persica GN=PRUPE_ppa004865mg PE=4 SV=1</t>
  </si>
  <si>
    <t>Uncharacterized protein (Fragment) OS=Prunus persica GN=PRUPE_ppa023552mg PE=4 SV=1</t>
  </si>
  <si>
    <t>Uncharacterized protein (Fragment) OS=Prunus persica GN=PRUPE_ppa024545mg PE=4 SV=1</t>
  </si>
  <si>
    <t>Uncharacterized protein OS=Ustilaginoidea virens GN=UVI_047010 PE=3 SV=1</t>
  </si>
  <si>
    <t>Uncharacterized protein OS=Prunus persica GN=PRUPE_ppa000884mg PE=4 SV=1</t>
  </si>
  <si>
    <t>Uncharacterized protein OS=Fusarium pseudograminearum (strain CS3096) GN=FPSE_09686 PE=3 SV=1</t>
  </si>
  <si>
    <t>Uncharacterized protein (Fragment) OS=Prunus persica GN=PRUPE_ppa024137mg PE=4 SV=1</t>
  </si>
  <si>
    <t>Uncharacterized protein OS=Prunus persica GN=PRUPE_ppa019163mg PE=3 SV=1</t>
  </si>
  <si>
    <t>Serine/threonine-protein kinase OS=Prunus persica GN=PRUPE_ppa015608mg PE=3 SV=1</t>
  </si>
  <si>
    <t>Uncharacterized protein OS=Prunus persica GN=PRUPE_ppa011402mg PE=4 SV=1</t>
  </si>
  <si>
    <t>Putative receptor-like protein kinase OS=Morus notabilis GN=L484_001302 PE=3 SV=1</t>
  </si>
  <si>
    <t>Uncharacterized protein OS=Prunus persica GN=PRUPE_ppa019591mg PE=4 SV=1</t>
  </si>
  <si>
    <t>Uncharacterized protein (Fragment) OS=Prunus persica GN=PRUPE_ppa021085mg PE=4 SV=1</t>
  </si>
  <si>
    <t>Uncharacterized protein OS=Prunus persica GN=PRUPE_ppa009149mg PE=4 SV=1</t>
  </si>
  <si>
    <t>Uncharacterized protein OS=Prunus persica GN=PRUPE_ppa003769mg PE=4 SV=1</t>
  </si>
  <si>
    <t>Uncharacterized protein OS=Prunus persica GN=PRUPE_ppa002054mg PE=4 SV=1</t>
  </si>
  <si>
    <t>Uncharacterized protein OS=Prunus persica GN=PRUPE_ppa007787mg PE=4 SV=1</t>
  </si>
  <si>
    <t>Uncharacterized protein OS=Prunus persica GN=PRUPE_ppa020375mg PE=4 SV=1</t>
  </si>
  <si>
    <t>Uncharacterized protein (Fragment) OS=Prunus persica GN=PRUPE_ppa022554mg PE=4 SV=1</t>
  </si>
  <si>
    <t>Uncharacterized protein OS=Prunus persica GN=PRUPE_ppa004015mg PE=4 SV=1</t>
  </si>
  <si>
    <t>Uncharacterized protein OS=Prunus persica GN=PRUPE_ppa007648mg PE=4 SV=1</t>
  </si>
  <si>
    <t>Uncharacterized protein OS=Prunus persica GN=PRUPE_ppa009130mg PE=4 SV=1</t>
  </si>
  <si>
    <t>Uncharacterized protein OS=Prunus persica GN=PRUPE_ppa021805mg PE=4 SV=1</t>
  </si>
  <si>
    <t>Uncharacterized protein OS=Prunus persica GN=PRUPE_ppa003359mg PE=4 SV=1</t>
  </si>
  <si>
    <t>Uncharacterized protein OS=Prunus persica GN=PRUPE_ppa008530mg PE=4 SV=1</t>
  </si>
  <si>
    <t>Uncharacterized protein OS=Prunus persica GN=PRUPE_ppa002474mg PE=4 SV=1</t>
  </si>
  <si>
    <t>Uncharacterized protein (Fragment) OS=Prunus persica GN=PRUPE_ppa018162mg PE=4 SV=1</t>
  </si>
  <si>
    <t>Uncharacterized protein (Fragment) OS=Prunus persica GN=PRUPE_ppa026038mg PE=4 SV=1</t>
  </si>
  <si>
    <t>Uncharacterized protein OS=Prunus persica GN=PRUPE_ppa008758mg PE=4 SV=1</t>
  </si>
  <si>
    <t>Uncharacterized protein OS=Morus notabilis GN=L484_012329 PE=4 SV=1</t>
  </si>
  <si>
    <t>Uncharacterized protein OS=Prunus persica GN=PRUPE_ppa005732mg PE=3 SV=1</t>
  </si>
  <si>
    <t>Aluminum-activated malate transporter 9 OS=Morus notabilis GN=L484_019984 PE=4 SV=1</t>
  </si>
  <si>
    <t>Uncharacterized protein OS=Prunus persica GN=PRUPE_ppa022071mg PE=4 SV=1</t>
  </si>
  <si>
    <t>Uncharacterized protein OS=Prunus persica GN=PRUPE_ppa008886mg PE=4 SV=1</t>
  </si>
  <si>
    <t>Uncharacterized protein OS=Prunus persica GN=PRUPE_ppa013314mg PE=4 SV=1</t>
  </si>
  <si>
    <t>Peptidyl-prolyl cis-trans isomerase OS=Prunus persica GN=PRUPE_ppa011270mg PE=4 SV=1</t>
  </si>
  <si>
    <t>Uncharacterized protein OS=Prunus persica GN=PRUPE_ppa008592mg PE=4 SV=1</t>
  </si>
  <si>
    <t>Uncharacterized protein OS=Prunus persica GN=PRUPE_ppa003781mg PE=4 SV=1</t>
  </si>
  <si>
    <t>Uncharacterized protein OS=Prunus persica GN=PRUPE_ppa016441mg PE=4 SV=1</t>
  </si>
  <si>
    <t>Uncharacterized protein OS=Prunus persica GN=PRUPE_ppa008257mg PE=4 SV=1</t>
  </si>
  <si>
    <t>Uncharacterized protein OS=Prunus persica GN=PRUPE_ppa004742mg PE=4 SV=1</t>
  </si>
  <si>
    <t>Uncharacterized protein OS=Prunus persica GN=PRUPE_ppa021273mg PE=4 SV=1</t>
  </si>
  <si>
    <t>Uncharacterized protein OS=Prunus persica GN=PRUPE_ppa008481mg PE=4 SV=1</t>
  </si>
  <si>
    <t>Uncharacterized protein OS=Prunus persica GN=PRUPE_ppa000699mg PE=4 SV=1</t>
  </si>
  <si>
    <t>Uncharacterized protein OS=Fusarium pseudograminearum (strain CS3096) GN=FPSE_07485 PE=4 SV=1</t>
  </si>
  <si>
    <t>ATP synthase subunit beta OS=Eucalyptus grandis GN=EUGRSUZ_G02224 PE=3 SV=1</t>
  </si>
  <si>
    <t>Uncharacterized protein OS=Prunus persica GN=PRUPE_ppa000253mg PE=4 SV=1</t>
  </si>
  <si>
    <t>Uncharacterized protein OS=Aureobasidium pullulans EXF-150 GN=M438DRAFT_342079 PE=4 SV=1</t>
  </si>
  <si>
    <t>Uncharacterized protein OS=Prunus persica GN=PRUPE_ppa012144mg PE=4 SV=1</t>
  </si>
  <si>
    <t>Uncharacterized protein OS=Prunus persica GN=PRUPE_ppa006421mg PE=4 SV=1</t>
  </si>
  <si>
    <t>Pyruvate kinase OS=Prunus persica GN=PRUPE_ppa002592mg PE=3 SV=1</t>
  </si>
  <si>
    <t>Uncharacterized protein OS=Prunus persica GN=PRUPE_ppa001284mg PE=4 SV=1</t>
  </si>
  <si>
    <t>Uncharacterized protein OS=Prunus persica GN=PRUPE_ppa003992mg PE=4 SV=1</t>
  </si>
  <si>
    <t>Uncharacterized protein OS=Prunus persica GN=PRUPE_ppa000769mg PE=4 SV=1</t>
  </si>
  <si>
    <t>Uncharacterized protein OS=Prunus persica GN=PRUPE_ppa009791mg PE=4 SV=1</t>
  </si>
  <si>
    <t>Uncharacterized protein OS=Prunus persica GN=PRUPE_ppa009311mg PE=4 SV=1</t>
  </si>
  <si>
    <t>NAC domain-containing protein 78 OS=Morus notabilis GN=L484_008004 PE=4 SV=1</t>
  </si>
  <si>
    <t>Uncharacterized protein OS=Prunus persica GN=PRUPE_ppa000359mg PE=3 SV=1</t>
  </si>
  <si>
    <t>Autophagy-related protein 3 OS=Prunus persica GN=PRUPE_ppa009040mg PE=3 SV=1</t>
  </si>
  <si>
    <t>Uncharacterized protein (Fragment) OS=Prunus persica GN=PRUPE_ppb014730mg PE=4 SV=1</t>
  </si>
  <si>
    <t>Uncharacterized protein OS=Prunus persica GN=PRUPE_ppa016544mg PE=4 SV=1</t>
  </si>
  <si>
    <t>Uncharacterized protein OS=Prunus persica GN=PRUPE_ppa012587mg PE=4 SV=1</t>
  </si>
  <si>
    <t>Uncharacterized protein OS=Prunus persica GN=PRUPE_ppa012449mg PE=4 SV=1</t>
  </si>
  <si>
    <t>Uncharacterized protein (Fragment) OS=Prunus persica GN=PRUPE_ppa014882mg PE=4 SV=1</t>
  </si>
  <si>
    <t>Putative uncharacterized protein OS=Vitis vinifera GN=VIT_00s0226g00060 PE=4 SV=1</t>
  </si>
  <si>
    <t>Uncharacterized protein OS=Prunus persica GN=PRUPE_ppa013353mg PE=4 SV=1</t>
  </si>
  <si>
    <t>Uncharacterized protein OS=Prunus persica GN=PRUPE_ppa010620mg PE=4 SV=1</t>
  </si>
  <si>
    <t>Uncharacterized protein OS=Prunus persica GN=PRUPE_ppa006011mg PE=3 SV=1</t>
  </si>
  <si>
    <t>Uncharacterized protein OS=Prunus persica GN=PRUPE_ppa009642mg PE=3 SV=1</t>
  </si>
  <si>
    <t>Glutathione peroxidase OS=Prunus persica GN=PRUPE_ppa018305mg PE=3 SV=1</t>
  </si>
  <si>
    <t>Reticulon-like protein OS=Prunus persica GN=PRUPE_ppa010065mg PE=4 SV=1</t>
  </si>
  <si>
    <t>Uncharacterized protein OS=Prunus persica GN=PRUPE_ppa010204mg PE=4 SV=1</t>
  </si>
  <si>
    <t>Query</t>
  </si>
  <si>
    <t>Query Length</t>
  </si>
  <si>
    <t>Match</t>
  </si>
  <si>
    <t>Description</t>
  </si>
  <si>
    <t>Exp</t>
  </si>
  <si>
    <t>Score</t>
  </si>
  <si>
    <t>PID</t>
  </si>
  <si>
    <t>Align Length</t>
  </si>
  <si>
    <t>Query Start</t>
  </si>
  <si>
    <t>Query Stop</t>
  </si>
  <si>
    <t>Match Start</t>
  </si>
  <si>
    <t>Match Stop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</si>
</sst>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0808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18" fillId="33" borderId="0" xfId="0" applyFont="1" applyFill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19" fillId="0" borderId="0" xfId="0" applyFont="1" applyAlignment="1">
      <alignment horizontal="center"/>
    </xf>
    <xf numFmtId="0" fontId="13" fillId="33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841"/>
  <sheetViews>
    <sheetView tabSelected="1" workbookViewId="0">
      <selection activeCell="C2" sqref="C2"/>
    </sheetView>
  </sheetViews>
  <sheetFormatPr defaultRowHeight="15" x14ac:dyDescent="0.25"/>
  <cols>
    <col min="1" max="1" width="39" style="4" customWidth="1"/>
    <col min="2" max="2" width="15.42578125" style="2" customWidth="1"/>
    <col min="3" max="3" width="18.5703125" style="4" customWidth="1"/>
    <col min="4" max="4" width="23.140625" style="2" customWidth="1"/>
    <col min="5" max="5" width="10.85546875" style="2" customWidth="1"/>
    <col min="6" max="12" width="9.140625" style="2"/>
  </cols>
  <sheetData>
    <row r="1" spans="1:12" x14ac:dyDescent="0.25">
      <c r="A1" s="5" t="s">
        <v>16779</v>
      </c>
      <c r="B1" s="1" t="s">
        <v>16780</v>
      </c>
      <c r="C1" s="5" t="s">
        <v>16781</v>
      </c>
      <c r="D1" s="1" t="s">
        <v>16782</v>
      </c>
      <c r="E1" s="1" t="s">
        <v>16783</v>
      </c>
      <c r="F1" s="1" t="s">
        <v>16784</v>
      </c>
      <c r="G1" s="1" t="s">
        <v>16785</v>
      </c>
      <c r="H1" s="1" t="s">
        <v>16786</v>
      </c>
      <c r="I1" s="1" t="s">
        <v>16787</v>
      </c>
      <c r="J1" s="1" t="s">
        <v>16788</v>
      </c>
      <c r="K1" s="1" t="s">
        <v>16789</v>
      </c>
      <c r="L1" s="1" t="s">
        <v>16790</v>
      </c>
    </row>
    <row r="2" spans="1:12" x14ac:dyDescent="0.25">
      <c r="A2" s="4" t="str">
        <f>HYPERLINK("http://www.rosaceae.org/Prunus/Prunus_persica/p.persica_gdr_reftransV1_0000001","p.persica_gdr_reftransV1_0000001")</f>
        <v>p.persica_gdr_reftransV1_0000001</v>
      </c>
      <c r="B2" s="2">
        <v>791</v>
      </c>
      <c r="C2" s="4" t="str">
        <f>HYPERLINK("http://www.uniprot.org/uniprot/M5VR64","M5VR64")</f>
        <v>M5VR64</v>
      </c>
      <c r="D2" s="2" t="s">
        <v>0</v>
      </c>
      <c r="E2" s="3">
        <v>6.0599999999999998E-92</v>
      </c>
      <c r="F2" s="2">
        <v>720</v>
      </c>
      <c r="G2" s="2">
        <v>100</v>
      </c>
      <c r="H2" s="2">
        <v>153</v>
      </c>
      <c r="I2" s="2">
        <v>292</v>
      </c>
      <c r="J2" s="2">
        <v>750</v>
      </c>
      <c r="K2" s="2">
        <v>49</v>
      </c>
      <c r="L2" s="2">
        <v>201</v>
      </c>
    </row>
    <row r="3" spans="1:12" x14ac:dyDescent="0.25">
      <c r="A3" s="4" t="str">
        <f>HYPERLINK("http://www.rosaceae.org/Prunus/Prunus_persica/p.persica_gdr_reftransV1_0000351","p.persica_gdr_reftransV1_0000351")</f>
        <v>p.persica_gdr_reftransV1_0000351</v>
      </c>
      <c r="B3" s="2">
        <v>3058</v>
      </c>
      <c r="C3" s="4" t="str">
        <f>HYPERLINK("http://www.uniprot.org/uniprot/M5XGZ7","M5XGZ7")</f>
        <v>M5XGZ7</v>
      </c>
      <c r="D3" s="2" t="s">
        <v>1</v>
      </c>
      <c r="E3" s="3">
        <v>0</v>
      </c>
      <c r="F3" s="2">
        <v>2359</v>
      </c>
      <c r="G3" s="2">
        <v>96</v>
      </c>
      <c r="H3" s="2">
        <v>495</v>
      </c>
      <c r="I3" s="2">
        <v>1</v>
      </c>
      <c r="J3" s="2">
        <v>1485</v>
      </c>
      <c r="K3" s="2">
        <v>684</v>
      </c>
      <c r="L3" s="2">
        <v>1178</v>
      </c>
    </row>
    <row r="4" spans="1:12" x14ac:dyDescent="0.25">
      <c r="A4" s="4" t="str">
        <f>HYPERLINK("http://www.rosaceae.org/Prunus/Prunus_persica/p.persica_gdr_reftransV1_0001051","p.persica_gdr_reftransV1_0001051")</f>
        <v>p.persica_gdr_reftransV1_0001051</v>
      </c>
      <c r="B4" s="2">
        <v>740</v>
      </c>
      <c r="C4" s="4" t="str">
        <f>HYPERLINK("http://www.uniprot.org/uniprot/M5WI12","M5WI12")</f>
        <v>M5WI12</v>
      </c>
      <c r="D4" s="2" t="s">
        <v>2</v>
      </c>
      <c r="E4" s="3">
        <v>4.9099999999999997E-61</v>
      </c>
      <c r="F4" s="2">
        <v>506</v>
      </c>
      <c r="G4" s="2">
        <v>100</v>
      </c>
      <c r="H4" s="2">
        <v>119</v>
      </c>
      <c r="I4" s="2">
        <v>132</v>
      </c>
      <c r="J4" s="2">
        <v>488</v>
      </c>
      <c r="K4" s="2">
        <v>1</v>
      </c>
      <c r="L4" s="2">
        <v>119</v>
      </c>
    </row>
    <row r="5" spans="1:12" x14ac:dyDescent="0.25">
      <c r="A5" s="4" t="str">
        <f>HYPERLINK("http://www.rosaceae.org/Prunus/Prunus_persica/p.persica_gdr_reftransV1_0001401","p.persica_gdr_reftransV1_0001401")</f>
        <v>p.persica_gdr_reftransV1_0001401</v>
      </c>
      <c r="B5" s="2">
        <v>1446</v>
      </c>
      <c r="C5" s="4" t="str">
        <f>HYPERLINK("http://www.uniprot.org/uniprot/M5WQU5","M5WQU5")</f>
        <v>M5WQU5</v>
      </c>
      <c r="D5" s="2" t="s">
        <v>3</v>
      </c>
      <c r="E5" s="3">
        <v>0</v>
      </c>
      <c r="F5" s="2">
        <v>2474</v>
      </c>
      <c r="G5" s="2">
        <v>100</v>
      </c>
      <c r="H5" s="2">
        <v>469</v>
      </c>
      <c r="I5" s="2">
        <v>38</v>
      </c>
      <c r="J5" s="2">
        <v>1444</v>
      </c>
      <c r="K5" s="2">
        <v>24</v>
      </c>
      <c r="L5" s="2">
        <v>492</v>
      </c>
    </row>
    <row r="6" spans="1:12" x14ac:dyDescent="0.25">
      <c r="A6" s="4" t="str">
        <f>HYPERLINK("http://www.rosaceae.org/Prunus/Prunus_persica/p.persica_gdr_reftransV1_0001751","p.persica_gdr_reftransV1_0001751")</f>
        <v>p.persica_gdr_reftransV1_0001751</v>
      </c>
      <c r="B6" s="2">
        <v>6127</v>
      </c>
      <c r="C6" s="4" t="str">
        <f>HYPERLINK("http://www.uniprot.org/uniprot/M5VXR3","M5VXR3")</f>
        <v>M5VXR3</v>
      </c>
      <c r="D6" s="2" t="s">
        <v>4</v>
      </c>
      <c r="E6" s="3">
        <v>0</v>
      </c>
      <c r="F6" s="2">
        <v>7707</v>
      </c>
      <c r="G6" s="2">
        <v>95</v>
      </c>
      <c r="H6" s="2">
        <v>1622</v>
      </c>
      <c r="I6" s="2">
        <v>251</v>
      </c>
      <c r="J6" s="2">
        <v>5116</v>
      </c>
      <c r="K6" s="2">
        <v>9</v>
      </c>
      <c r="L6" s="2">
        <v>1556</v>
      </c>
    </row>
    <row r="7" spans="1:12" x14ac:dyDescent="0.25">
      <c r="A7" s="4" t="str">
        <f>HYPERLINK("http://www.rosaceae.org/Prunus/Prunus_persica/p.persica_gdr_reftransV1_0002101","p.persica_gdr_reftransV1_0002101")</f>
        <v>p.persica_gdr_reftransV1_0002101</v>
      </c>
      <c r="B7" s="2">
        <v>3324</v>
      </c>
      <c r="C7" s="4" t="str">
        <f>HYPERLINK("http://www.uniprot.org/uniprot/M5VVR1","M5VVR1")</f>
        <v>M5VVR1</v>
      </c>
      <c r="D7" s="2" t="s">
        <v>5</v>
      </c>
      <c r="E7" s="3">
        <v>0</v>
      </c>
      <c r="F7" s="2">
        <v>4399</v>
      </c>
      <c r="G7" s="2">
        <v>100</v>
      </c>
      <c r="H7" s="2">
        <v>882</v>
      </c>
      <c r="I7" s="2">
        <v>392</v>
      </c>
      <c r="J7" s="2">
        <v>3037</v>
      </c>
      <c r="K7" s="2">
        <v>4</v>
      </c>
      <c r="L7" s="2">
        <v>885</v>
      </c>
    </row>
    <row r="8" spans="1:12" x14ac:dyDescent="0.25">
      <c r="A8" s="4" t="str">
        <f>HYPERLINK("http://www.rosaceae.org/Prunus/Prunus_persica/p.persica_gdr_reftransV1_0002801","p.persica_gdr_reftransV1_0002801")</f>
        <v>p.persica_gdr_reftransV1_0002801</v>
      </c>
      <c r="B8" s="2">
        <v>2449</v>
      </c>
      <c r="C8" s="4" t="str">
        <f>HYPERLINK("http://www.uniprot.org/uniprot/M5WR02","M5WR02")</f>
        <v>M5WR02</v>
      </c>
      <c r="D8" s="2" t="s">
        <v>6</v>
      </c>
      <c r="E8" s="3">
        <v>0</v>
      </c>
      <c r="F8" s="2">
        <v>3902</v>
      </c>
      <c r="G8" s="2">
        <v>100</v>
      </c>
      <c r="H8" s="2">
        <v>737</v>
      </c>
      <c r="I8" s="2">
        <v>215</v>
      </c>
      <c r="J8" s="2">
        <v>2425</v>
      </c>
      <c r="K8" s="2">
        <v>1</v>
      </c>
      <c r="L8" s="2">
        <v>737</v>
      </c>
    </row>
    <row r="9" spans="1:12" x14ac:dyDescent="0.25">
      <c r="A9" s="4" t="str">
        <f>HYPERLINK("http://www.rosaceae.org/Prunus/Prunus_persica/p.persica_gdr_reftransV1_0003151","p.persica_gdr_reftransV1_0003151")</f>
        <v>p.persica_gdr_reftransV1_0003151</v>
      </c>
      <c r="B9" s="2">
        <v>395</v>
      </c>
      <c r="C9" s="4" t="str">
        <f>HYPERLINK("http://www.uniprot.org/uniprot/M5X4P0","M5X4P0")</f>
        <v>M5X4P0</v>
      </c>
      <c r="D9" s="2" t="s">
        <v>7</v>
      </c>
      <c r="E9" s="3">
        <v>2.89E-43</v>
      </c>
      <c r="F9" s="2">
        <v>400</v>
      </c>
      <c r="G9" s="2">
        <v>76</v>
      </c>
      <c r="H9" s="2">
        <v>125</v>
      </c>
      <c r="I9" s="2">
        <v>3</v>
      </c>
      <c r="J9" s="2">
        <v>374</v>
      </c>
      <c r="K9" s="2">
        <v>89</v>
      </c>
      <c r="L9" s="2">
        <v>213</v>
      </c>
    </row>
    <row r="10" spans="1:12" x14ac:dyDescent="0.25">
      <c r="A10" s="4" t="str">
        <f>HYPERLINK("http://www.rosaceae.org/Prunus/Prunus_persica/p.persica_gdr_reftransV1_0003501","p.persica_gdr_reftransV1_0003501")</f>
        <v>p.persica_gdr_reftransV1_0003501</v>
      </c>
      <c r="B10" s="2">
        <v>1978</v>
      </c>
      <c r="C10" s="4" t="str">
        <f>HYPERLINK("http://www.uniprot.org/uniprot/M5XDM1","M5XDM1")</f>
        <v>M5XDM1</v>
      </c>
      <c r="D10" s="2" t="s">
        <v>8</v>
      </c>
      <c r="E10" s="3">
        <v>0</v>
      </c>
      <c r="F10" s="2">
        <v>2475</v>
      </c>
      <c r="G10" s="2">
        <v>100</v>
      </c>
      <c r="H10" s="2">
        <v>487</v>
      </c>
      <c r="I10" s="2">
        <v>458</v>
      </c>
      <c r="J10" s="2">
        <v>1918</v>
      </c>
      <c r="K10" s="2">
        <v>1</v>
      </c>
      <c r="L10" s="2">
        <v>487</v>
      </c>
    </row>
    <row r="11" spans="1:12" x14ac:dyDescent="0.25">
      <c r="A11" s="4" t="str">
        <f>HYPERLINK("http://www.rosaceae.org/Prunus/Prunus_persica/p.persica_gdr_reftransV1_0005251","p.persica_gdr_reftransV1_0005251")</f>
        <v>p.persica_gdr_reftransV1_0005251</v>
      </c>
      <c r="B11" s="2">
        <v>400</v>
      </c>
      <c r="C11" s="4" t="str">
        <f>HYPERLINK("http://www.uniprot.org/uniprot/M5XE85","M5XE85")</f>
        <v>M5XE85</v>
      </c>
      <c r="D11" s="2" t="s">
        <v>9</v>
      </c>
      <c r="E11" s="3">
        <v>9.2700000000000002E-60</v>
      </c>
      <c r="F11" s="2">
        <v>485</v>
      </c>
      <c r="G11" s="2">
        <v>100</v>
      </c>
      <c r="H11" s="2">
        <v>108</v>
      </c>
      <c r="I11" s="2">
        <v>75</v>
      </c>
      <c r="J11" s="2">
        <v>398</v>
      </c>
      <c r="K11" s="2">
        <v>1</v>
      </c>
      <c r="L11" s="2">
        <v>108</v>
      </c>
    </row>
    <row r="12" spans="1:12" x14ac:dyDescent="0.25">
      <c r="A12" s="4" t="str">
        <f>HYPERLINK("http://www.rosaceae.org/Prunus/Prunus_persica/p.persica_gdr_reftransV1_0005601","p.persica_gdr_reftransV1_0005601")</f>
        <v>p.persica_gdr_reftransV1_0005601</v>
      </c>
      <c r="B12" s="2">
        <v>709</v>
      </c>
      <c r="C12" s="4" t="str">
        <f>HYPERLINK("http://www.uniprot.org/uniprot/M5WP68","M5WP68")</f>
        <v>M5WP68</v>
      </c>
      <c r="D12" s="2" t="s">
        <v>10</v>
      </c>
      <c r="E12" s="3">
        <v>1.27E-120</v>
      </c>
      <c r="F12" s="2">
        <v>937</v>
      </c>
      <c r="G12" s="2">
        <v>100</v>
      </c>
      <c r="H12" s="2">
        <v>196</v>
      </c>
      <c r="I12" s="2">
        <v>120</v>
      </c>
      <c r="J12" s="2">
        <v>707</v>
      </c>
      <c r="K12" s="2">
        <v>336</v>
      </c>
      <c r="L12" s="2">
        <v>531</v>
      </c>
    </row>
    <row r="13" spans="1:12" x14ac:dyDescent="0.25">
      <c r="A13" s="4" t="str">
        <f>HYPERLINK("http://www.rosaceae.org/Prunus/Prunus_persica/p.persica_gdr_reftransV1_0006301","p.persica_gdr_reftransV1_0006301")</f>
        <v>p.persica_gdr_reftransV1_0006301</v>
      </c>
      <c r="B13" s="2">
        <v>465</v>
      </c>
      <c r="C13" s="4" t="str">
        <f>HYPERLINK("http://www.uniprot.org/uniprot/M5X5F3","M5X5F3")</f>
        <v>M5X5F3</v>
      </c>
      <c r="D13" s="2" t="s">
        <v>11</v>
      </c>
      <c r="E13" s="3">
        <v>1.1E-40</v>
      </c>
      <c r="F13" s="2">
        <v>380</v>
      </c>
      <c r="G13" s="2">
        <v>100</v>
      </c>
      <c r="H13" s="2">
        <v>86</v>
      </c>
      <c r="I13" s="2">
        <v>3</v>
      </c>
      <c r="J13" s="2">
        <v>260</v>
      </c>
      <c r="K13" s="2">
        <v>23</v>
      </c>
      <c r="L13" s="2">
        <v>108</v>
      </c>
    </row>
    <row r="14" spans="1:12" x14ac:dyDescent="0.25">
      <c r="A14" s="4" t="str">
        <f>HYPERLINK("http://www.rosaceae.org/Prunus/Prunus_persica/p.persica_gdr_reftransV1_0007001","p.persica_gdr_reftransV1_0007001")</f>
        <v>p.persica_gdr_reftransV1_0007001</v>
      </c>
      <c r="B14" s="2">
        <v>731</v>
      </c>
      <c r="C14" s="4" t="str">
        <f>HYPERLINK("http://www.uniprot.org/uniprot/M5XJB0","M5XJB0")</f>
        <v>M5XJB0</v>
      </c>
      <c r="D14" s="2" t="s">
        <v>12</v>
      </c>
      <c r="E14" s="3">
        <v>5.5000000000000003E-109</v>
      </c>
      <c r="F14" s="2">
        <v>839</v>
      </c>
      <c r="G14" s="2">
        <v>78</v>
      </c>
      <c r="H14" s="2">
        <v>219</v>
      </c>
      <c r="I14" s="2">
        <v>2</v>
      </c>
      <c r="J14" s="2">
        <v>514</v>
      </c>
      <c r="K14" s="2">
        <v>68</v>
      </c>
      <c r="L14" s="2">
        <v>286</v>
      </c>
    </row>
    <row r="15" spans="1:12" x14ac:dyDescent="0.25">
      <c r="A15" s="4" t="str">
        <f>HYPERLINK("http://www.rosaceae.org/Prunus/Prunus_persica/p.persica_gdr_reftransV1_0007351","p.persica_gdr_reftransV1_0007351")</f>
        <v>p.persica_gdr_reftransV1_0007351</v>
      </c>
      <c r="B15" s="2">
        <v>1578</v>
      </c>
      <c r="C15" s="4" t="str">
        <f>HYPERLINK("http://www.uniprot.org/uniprot/M5XKM1","M5XKM1")</f>
        <v>M5XKM1</v>
      </c>
      <c r="D15" s="2" t="s">
        <v>13</v>
      </c>
      <c r="E15" s="3">
        <v>2.7300000000000001E-128</v>
      </c>
      <c r="F15" s="2">
        <v>988</v>
      </c>
      <c r="G15" s="2">
        <v>100</v>
      </c>
      <c r="H15" s="2">
        <v>214</v>
      </c>
      <c r="I15" s="2">
        <v>36</v>
      </c>
      <c r="J15" s="2">
        <v>677</v>
      </c>
      <c r="K15" s="2">
        <v>1</v>
      </c>
      <c r="L15" s="2">
        <v>214</v>
      </c>
    </row>
    <row r="16" spans="1:12" x14ac:dyDescent="0.25">
      <c r="A16" s="4" t="str">
        <f>HYPERLINK("http://www.rosaceae.org/Prunus/Prunus_persica/p.persica_gdr_reftransV1_0007701","p.persica_gdr_reftransV1_0007701")</f>
        <v>p.persica_gdr_reftransV1_0007701</v>
      </c>
      <c r="B16" s="2">
        <v>1303</v>
      </c>
      <c r="C16" s="4" t="str">
        <f>HYPERLINK("http://www.uniprot.org/uniprot/M5VYF9","M5VYF9")</f>
        <v>M5VYF9</v>
      </c>
      <c r="D16" s="2" t="s">
        <v>14</v>
      </c>
      <c r="E16" s="3">
        <v>0</v>
      </c>
      <c r="F16" s="2">
        <v>2023</v>
      </c>
      <c r="G16" s="2">
        <v>99</v>
      </c>
      <c r="H16" s="2">
        <v>426</v>
      </c>
      <c r="I16" s="2">
        <v>3</v>
      </c>
      <c r="J16" s="2">
        <v>1280</v>
      </c>
      <c r="K16" s="2">
        <v>22</v>
      </c>
      <c r="L16" s="2">
        <v>447</v>
      </c>
    </row>
    <row r="17" spans="1:12" x14ac:dyDescent="0.25">
      <c r="A17" s="4" t="str">
        <f>HYPERLINK("http://www.rosaceae.org/Prunus/Prunus_persica/p.persica_gdr_reftransV1_0008051","p.persica_gdr_reftransV1_0008051")</f>
        <v>p.persica_gdr_reftransV1_0008051</v>
      </c>
      <c r="B17" s="2">
        <v>1324</v>
      </c>
      <c r="C17" s="4" t="str">
        <f>HYPERLINK("http://www.uniprot.org/uniprot/M5WSW9","M5WSW9")</f>
        <v>M5WSW9</v>
      </c>
      <c r="D17" s="2" t="s">
        <v>15</v>
      </c>
      <c r="E17" s="3">
        <v>0</v>
      </c>
      <c r="F17" s="2">
        <v>1377</v>
      </c>
      <c r="G17" s="2">
        <v>100</v>
      </c>
      <c r="H17" s="2">
        <v>292</v>
      </c>
      <c r="I17" s="2">
        <v>12</v>
      </c>
      <c r="J17" s="2">
        <v>887</v>
      </c>
      <c r="K17" s="2">
        <v>62</v>
      </c>
      <c r="L17" s="2">
        <v>353</v>
      </c>
    </row>
    <row r="18" spans="1:12" x14ac:dyDescent="0.25">
      <c r="A18" s="4" t="str">
        <f>HYPERLINK("http://www.rosaceae.org/Prunus/Prunus_persica/p.persica_gdr_reftransV1_0008751","p.persica_gdr_reftransV1_0008751")</f>
        <v>p.persica_gdr_reftransV1_0008751</v>
      </c>
      <c r="B18" s="2">
        <v>1528</v>
      </c>
      <c r="C18" s="4" t="str">
        <f>HYPERLINK("http://www.uniprot.org/uniprot/M5X3G7","M5X3G7")</f>
        <v>M5X3G7</v>
      </c>
      <c r="D18" s="2" t="s">
        <v>16</v>
      </c>
      <c r="E18" s="3">
        <v>7.6600000000000003E-158</v>
      </c>
      <c r="F18" s="2">
        <v>1186</v>
      </c>
      <c r="G18" s="2">
        <v>100</v>
      </c>
      <c r="H18" s="2">
        <v>256</v>
      </c>
      <c r="I18" s="2">
        <v>465</v>
      </c>
      <c r="J18" s="2">
        <v>1232</v>
      </c>
      <c r="K18" s="2">
        <v>1</v>
      </c>
      <c r="L18" s="2">
        <v>256</v>
      </c>
    </row>
    <row r="19" spans="1:12" x14ac:dyDescent="0.25">
      <c r="A19" s="4" t="str">
        <f>HYPERLINK("http://www.rosaceae.org/Prunus/Prunus_persica/p.persica_gdr_reftransV1_0009451","p.persica_gdr_reftransV1_0009451")</f>
        <v>p.persica_gdr_reftransV1_0009451</v>
      </c>
      <c r="B19" s="2">
        <v>1323</v>
      </c>
      <c r="C19" s="4" t="str">
        <f>HYPERLINK("http://www.uniprot.org/uniprot/M5VT81","M5VT81")</f>
        <v>M5VT81</v>
      </c>
      <c r="D19" s="2" t="s">
        <v>17</v>
      </c>
      <c r="E19" s="3">
        <v>6.8800000000000001E-152</v>
      </c>
      <c r="F19" s="2">
        <v>1025</v>
      </c>
      <c r="G19" s="2">
        <v>81</v>
      </c>
      <c r="H19" s="2">
        <v>247</v>
      </c>
      <c r="I19" s="2">
        <v>508</v>
      </c>
      <c r="J19" s="2">
        <v>1242</v>
      </c>
      <c r="K19" s="2">
        <v>358</v>
      </c>
      <c r="L19" s="2">
        <v>604</v>
      </c>
    </row>
    <row r="20" spans="1:12" x14ac:dyDescent="0.25">
      <c r="A20" s="4" t="str">
        <f>HYPERLINK("http://www.rosaceae.org/Prunus/Prunus_persica/p.persica_gdr_reftransV1_0010151","p.persica_gdr_reftransV1_0010151")</f>
        <v>p.persica_gdr_reftransV1_0010151</v>
      </c>
      <c r="B20" s="2">
        <v>2635</v>
      </c>
      <c r="C20" s="4" t="str">
        <f>HYPERLINK("http://www.uniprot.org/uniprot/M5WV95","M5WV95")</f>
        <v>M5WV95</v>
      </c>
      <c r="D20" s="2" t="s">
        <v>18</v>
      </c>
      <c r="E20" s="3">
        <v>0</v>
      </c>
      <c r="F20" s="2">
        <v>3011</v>
      </c>
      <c r="G20" s="2">
        <v>100</v>
      </c>
      <c r="H20" s="2">
        <v>647</v>
      </c>
      <c r="I20" s="2">
        <v>442</v>
      </c>
      <c r="J20" s="2">
        <v>2382</v>
      </c>
      <c r="K20" s="2">
        <v>1</v>
      </c>
      <c r="L20" s="2">
        <v>647</v>
      </c>
    </row>
    <row r="21" spans="1:12" x14ac:dyDescent="0.25">
      <c r="A21" s="4" t="str">
        <f>HYPERLINK("http://www.rosaceae.org/Prunus/Prunus_persica/p.persica_gdr_reftransV1_0010501","p.persica_gdr_reftransV1_0010501")</f>
        <v>p.persica_gdr_reftransV1_0010501</v>
      </c>
      <c r="B21" s="2">
        <v>2026</v>
      </c>
      <c r="C21" s="4" t="str">
        <f>HYPERLINK("http://www.uniprot.org/uniprot/M5W661","M5W661")</f>
        <v>M5W661</v>
      </c>
      <c r="D21" s="2" t="s">
        <v>19</v>
      </c>
      <c r="E21" s="3">
        <v>0</v>
      </c>
      <c r="F21" s="2">
        <v>1931</v>
      </c>
      <c r="G21" s="2">
        <v>100</v>
      </c>
      <c r="H21" s="2">
        <v>390</v>
      </c>
      <c r="I21" s="2">
        <v>357</v>
      </c>
      <c r="J21" s="2">
        <v>1526</v>
      </c>
      <c r="K21" s="2">
        <v>1</v>
      </c>
      <c r="L21" s="2">
        <v>390</v>
      </c>
    </row>
    <row r="22" spans="1:12" x14ac:dyDescent="0.25">
      <c r="A22" s="4" t="str">
        <f>HYPERLINK("http://www.rosaceae.org/Prunus/Prunus_persica/p.persica_gdr_reftransV1_0010851","p.persica_gdr_reftransV1_0010851")</f>
        <v>p.persica_gdr_reftransV1_0010851</v>
      </c>
      <c r="B22" s="2">
        <v>4451</v>
      </c>
      <c r="C22" s="4" t="str">
        <f>HYPERLINK("http://www.uniprot.org/uniprot/M5XMH1","M5XMH1")</f>
        <v>M5XMH1</v>
      </c>
      <c r="D22" s="2" t="s">
        <v>20</v>
      </c>
      <c r="E22" s="3">
        <v>0</v>
      </c>
      <c r="F22" s="2">
        <v>5040</v>
      </c>
      <c r="G22" s="2">
        <v>98</v>
      </c>
      <c r="H22" s="2">
        <v>984</v>
      </c>
      <c r="I22" s="2">
        <v>599</v>
      </c>
      <c r="J22" s="2">
        <v>3550</v>
      </c>
      <c r="K22" s="2">
        <v>1</v>
      </c>
      <c r="L22" s="2">
        <v>969</v>
      </c>
    </row>
    <row r="23" spans="1:12" x14ac:dyDescent="0.25">
      <c r="A23" s="4" t="str">
        <f>HYPERLINK("http://www.rosaceae.org/Prunus/Prunus_persica/p.persica_gdr_reftransV1_0011551","p.persica_gdr_reftransV1_0011551")</f>
        <v>p.persica_gdr_reftransV1_0011551</v>
      </c>
      <c r="B23" s="2">
        <v>658</v>
      </c>
      <c r="C23" s="4" t="str">
        <f>HYPERLINK("http://www.uniprot.org/uniprot/Q84QH3","Q84QH3")</f>
        <v>Q84QH3</v>
      </c>
      <c r="D23" s="2" t="s">
        <v>21</v>
      </c>
      <c r="E23" s="3">
        <v>2.0800000000000001E-57</v>
      </c>
      <c r="F23" s="2">
        <v>510</v>
      </c>
      <c r="G23" s="2">
        <v>97</v>
      </c>
      <c r="H23" s="2">
        <v>132</v>
      </c>
      <c r="I23" s="2">
        <v>264</v>
      </c>
      <c r="J23" s="2">
        <v>656</v>
      </c>
      <c r="K23" s="2">
        <v>407</v>
      </c>
      <c r="L23" s="2">
        <v>538</v>
      </c>
    </row>
    <row r="24" spans="1:12" x14ac:dyDescent="0.25">
      <c r="A24" s="4" t="str">
        <f>HYPERLINK("http://www.rosaceae.org/Prunus/Prunus_persica/p.persica_gdr_reftransV1_0012251","p.persica_gdr_reftransV1_0012251")</f>
        <v>p.persica_gdr_reftransV1_0012251</v>
      </c>
      <c r="B24" s="2">
        <v>1555</v>
      </c>
      <c r="C24" s="4" t="str">
        <f>HYPERLINK("http://www.uniprot.org/uniprot/B9I0Y7","B9I0Y7")</f>
        <v>B9I0Y7</v>
      </c>
      <c r="D24" s="2" t="s">
        <v>22</v>
      </c>
      <c r="E24" s="3">
        <v>0</v>
      </c>
      <c r="F24" s="2">
        <v>1878</v>
      </c>
      <c r="G24" s="2">
        <v>78</v>
      </c>
      <c r="H24" s="2">
        <v>447</v>
      </c>
      <c r="I24" s="2">
        <v>230</v>
      </c>
      <c r="J24" s="2">
        <v>1534</v>
      </c>
      <c r="K24" s="2">
        <v>1</v>
      </c>
      <c r="L24" s="2">
        <v>447</v>
      </c>
    </row>
    <row r="25" spans="1:12" x14ac:dyDescent="0.25">
      <c r="A25" s="4" t="str">
        <f>HYPERLINK("http://www.rosaceae.org/Prunus/Prunus_persica/p.persica_gdr_reftransV1_0013301","p.persica_gdr_reftransV1_0013301")</f>
        <v>p.persica_gdr_reftransV1_0013301</v>
      </c>
      <c r="B25" s="2">
        <v>1480</v>
      </c>
      <c r="C25" s="4" t="str">
        <f>HYPERLINK("http://www.uniprot.org/uniprot/M5WNN1","M5WNN1")</f>
        <v>M5WNN1</v>
      </c>
      <c r="D25" s="2" t="s">
        <v>23</v>
      </c>
      <c r="E25" s="3">
        <v>1.0900000000000001E-174</v>
      </c>
      <c r="F25" s="2">
        <v>883</v>
      </c>
      <c r="G25" s="2">
        <v>100</v>
      </c>
      <c r="H25" s="2">
        <v>186</v>
      </c>
      <c r="I25" s="2">
        <v>779</v>
      </c>
      <c r="J25" s="2">
        <v>1336</v>
      </c>
      <c r="K25" s="2">
        <v>23</v>
      </c>
      <c r="L25" s="2">
        <v>208</v>
      </c>
    </row>
    <row r="26" spans="1:12" x14ac:dyDescent="0.25">
      <c r="A26" s="4" t="str">
        <f>HYPERLINK("http://www.rosaceae.org/Prunus/Prunus_persica/p.persica_gdr_reftransV1_0014351","p.persica_gdr_reftransV1_0014351")</f>
        <v>p.persica_gdr_reftransV1_0014351</v>
      </c>
      <c r="B26" s="2">
        <v>2580</v>
      </c>
      <c r="C26" s="4" t="str">
        <f>HYPERLINK("http://www.uniprot.org/uniprot/M5WMU1","M5WMU1")</f>
        <v>M5WMU1</v>
      </c>
      <c r="D26" s="2" t="s">
        <v>24</v>
      </c>
      <c r="E26" s="3">
        <v>0</v>
      </c>
      <c r="F26" s="2">
        <v>1418</v>
      </c>
      <c r="G26" s="2">
        <v>92</v>
      </c>
      <c r="H26" s="2">
        <v>321</v>
      </c>
      <c r="I26" s="2">
        <v>100</v>
      </c>
      <c r="J26" s="2">
        <v>1062</v>
      </c>
      <c r="K26" s="2">
        <v>156</v>
      </c>
      <c r="L26" s="2">
        <v>449</v>
      </c>
    </row>
    <row r="27" spans="1:12" x14ac:dyDescent="0.25">
      <c r="A27" s="4" t="str">
        <f>HYPERLINK("http://www.rosaceae.org/Prunus/Prunus_persica/p.persica_gdr_reftransV1_0015051","p.persica_gdr_reftransV1_0015051")</f>
        <v>p.persica_gdr_reftransV1_0015051</v>
      </c>
      <c r="B27" s="2">
        <v>2216</v>
      </c>
      <c r="C27" s="4" t="str">
        <f>HYPERLINK("http://www.uniprot.org/uniprot/M5WSP9","M5WSP9")</f>
        <v>M5WSP9</v>
      </c>
      <c r="D27" s="2" t="s">
        <v>25</v>
      </c>
      <c r="E27" s="3">
        <v>0</v>
      </c>
      <c r="F27" s="2">
        <v>2593</v>
      </c>
      <c r="G27" s="2">
        <v>100</v>
      </c>
      <c r="H27" s="2">
        <v>542</v>
      </c>
      <c r="I27" s="2">
        <v>3</v>
      </c>
      <c r="J27" s="2">
        <v>1628</v>
      </c>
      <c r="K27" s="2">
        <v>149</v>
      </c>
      <c r="L27" s="2">
        <v>690</v>
      </c>
    </row>
    <row r="28" spans="1:12" x14ac:dyDescent="0.25">
      <c r="A28" s="4" t="str">
        <f>HYPERLINK("http://www.rosaceae.org/Prunus/Prunus_persica/p.persica_gdr_reftransV1_0015401","p.persica_gdr_reftransV1_0015401")</f>
        <v>p.persica_gdr_reftransV1_0015401</v>
      </c>
      <c r="B28" s="2">
        <v>2303</v>
      </c>
      <c r="C28" s="4" t="str">
        <f>HYPERLINK("http://www.uniprot.org/uniprot/M5W6D5","M5W6D5")</f>
        <v>M5W6D5</v>
      </c>
      <c r="D28" s="2" t="s">
        <v>26</v>
      </c>
      <c r="E28" s="3">
        <v>0</v>
      </c>
      <c r="F28" s="2">
        <v>2669</v>
      </c>
      <c r="G28" s="2">
        <v>100</v>
      </c>
      <c r="H28" s="2">
        <v>516</v>
      </c>
      <c r="I28" s="2">
        <v>616</v>
      </c>
      <c r="J28" s="2">
        <v>2163</v>
      </c>
      <c r="K28" s="2">
        <v>1</v>
      </c>
      <c r="L28" s="2">
        <v>516</v>
      </c>
    </row>
    <row r="29" spans="1:12" x14ac:dyDescent="0.25">
      <c r="A29" s="4" t="str">
        <f>HYPERLINK("http://www.rosaceae.org/Prunus/Prunus_persica/p.persica_gdr_reftransV1_0016101","p.persica_gdr_reftransV1_0016101")</f>
        <v>p.persica_gdr_reftransV1_0016101</v>
      </c>
      <c r="B29" s="2">
        <v>1272</v>
      </c>
      <c r="C29" s="4" t="str">
        <f>HYPERLINK("http://www.uniprot.org/uniprot/M5WI06","M5WI06")</f>
        <v>M5WI06</v>
      </c>
      <c r="D29" s="2" t="s">
        <v>27</v>
      </c>
      <c r="E29" s="3">
        <v>0</v>
      </c>
      <c r="F29" s="2">
        <v>1444</v>
      </c>
      <c r="G29" s="2">
        <v>100</v>
      </c>
      <c r="H29" s="2">
        <v>297</v>
      </c>
      <c r="I29" s="2">
        <v>267</v>
      </c>
      <c r="J29" s="2">
        <v>1157</v>
      </c>
      <c r="K29" s="2">
        <v>1</v>
      </c>
      <c r="L29" s="2">
        <v>297</v>
      </c>
    </row>
    <row r="30" spans="1:12" x14ac:dyDescent="0.25">
      <c r="A30" s="4" t="str">
        <f>HYPERLINK("http://www.rosaceae.org/Prunus/Prunus_persica/p.persica_gdr_reftransV1_0017851","p.persica_gdr_reftransV1_0017851")</f>
        <v>p.persica_gdr_reftransV1_0017851</v>
      </c>
      <c r="B30" s="2">
        <v>3437</v>
      </c>
      <c r="C30" s="4" t="str">
        <f>HYPERLINK("http://www.uniprot.org/uniprot/M5WS81","M5WS81")</f>
        <v>M5WS81</v>
      </c>
      <c r="D30" s="2" t="s">
        <v>28</v>
      </c>
      <c r="E30" s="3">
        <v>0</v>
      </c>
      <c r="F30" s="2">
        <v>1804</v>
      </c>
      <c r="G30" s="2">
        <v>100</v>
      </c>
      <c r="H30" s="2">
        <v>356</v>
      </c>
      <c r="I30" s="2">
        <v>2027</v>
      </c>
      <c r="J30" s="2">
        <v>3094</v>
      </c>
      <c r="K30" s="2">
        <v>1</v>
      </c>
      <c r="L30" s="2">
        <v>356</v>
      </c>
    </row>
    <row r="31" spans="1:12" x14ac:dyDescent="0.25">
      <c r="A31" s="4" t="str">
        <f>HYPERLINK("http://www.rosaceae.org/Prunus/Prunus_persica/p.persica_gdr_reftransV1_0018551","p.persica_gdr_reftransV1_0018551")</f>
        <v>p.persica_gdr_reftransV1_0018551</v>
      </c>
      <c r="B31" s="2">
        <v>1157</v>
      </c>
      <c r="C31" s="4" t="str">
        <f>HYPERLINK("http://www.uniprot.org/uniprot/M5X2P6","M5X2P6")</f>
        <v>M5X2P6</v>
      </c>
      <c r="D31" s="2" t="s">
        <v>29</v>
      </c>
      <c r="E31" s="3">
        <v>4.2600000000000002E-78</v>
      </c>
      <c r="F31" s="2">
        <v>431</v>
      </c>
      <c r="G31" s="2">
        <v>99</v>
      </c>
      <c r="H31" s="2">
        <v>83</v>
      </c>
      <c r="I31" s="2">
        <v>562</v>
      </c>
      <c r="J31" s="2">
        <v>810</v>
      </c>
      <c r="K31" s="2">
        <v>28</v>
      </c>
      <c r="L31" s="2">
        <v>110</v>
      </c>
    </row>
    <row r="32" spans="1:12" x14ac:dyDescent="0.25">
      <c r="A32" s="4" t="str">
        <f>HYPERLINK("http://www.rosaceae.org/Prunus/Prunus_persica/p.persica_gdr_reftransV1_0019951","p.persica_gdr_reftransV1_0019951")</f>
        <v>p.persica_gdr_reftransV1_0019951</v>
      </c>
      <c r="B32" s="2">
        <v>3545</v>
      </c>
      <c r="C32" s="4" t="str">
        <f>HYPERLINK("http://www.uniprot.org/uniprot/D7STS2","D7STS2")</f>
        <v>D7STS2</v>
      </c>
      <c r="D32" s="2" t="s">
        <v>30</v>
      </c>
      <c r="E32" s="3">
        <v>1.6100000000000001E-139</v>
      </c>
      <c r="F32" s="2">
        <v>1124</v>
      </c>
      <c r="G32" s="2">
        <v>66</v>
      </c>
      <c r="H32" s="2">
        <v>320</v>
      </c>
      <c r="I32" s="2">
        <v>91</v>
      </c>
      <c r="J32" s="2">
        <v>1017</v>
      </c>
      <c r="K32" s="2">
        <v>1</v>
      </c>
      <c r="L32" s="2">
        <v>320</v>
      </c>
    </row>
    <row r="33" spans="1:12" x14ac:dyDescent="0.25">
      <c r="A33" s="4" t="str">
        <f>HYPERLINK("http://www.rosaceae.org/Prunus/Prunus_persica/p.persica_gdr_reftransV1_0020651","p.persica_gdr_reftransV1_0020651")</f>
        <v>p.persica_gdr_reftransV1_0020651</v>
      </c>
      <c r="B33" s="2">
        <v>2299</v>
      </c>
      <c r="C33" s="4" t="str">
        <f>HYPERLINK("http://www.uniprot.org/uniprot/M5W222","M5W222")</f>
        <v>M5W222</v>
      </c>
      <c r="D33" s="2" t="s">
        <v>31</v>
      </c>
      <c r="E33" s="3">
        <v>5.2499999999999998E-63</v>
      </c>
      <c r="F33" s="2">
        <v>428</v>
      </c>
      <c r="G33" s="2">
        <v>79</v>
      </c>
      <c r="H33" s="2">
        <v>105</v>
      </c>
      <c r="I33" s="2">
        <v>816</v>
      </c>
      <c r="J33" s="2">
        <v>1121</v>
      </c>
      <c r="K33" s="2">
        <v>8</v>
      </c>
      <c r="L33" s="2">
        <v>112</v>
      </c>
    </row>
    <row r="34" spans="1:12" x14ac:dyDescent="0.25">
      <c r="A34" s="4" t="str">
        <f>HYPERLINK("http://www.rosaceae.org/Prunus/Prunus_persica/p.persica_gdr_reftransV1_0021701","p.persica_gdr_reftransV1_0021701")</f>
        <v>p.persica_gdr_reftransV1_0021701</v>
      </c>
      <c r="B34" s="2">
        <v>2143</v>
      </c>
      <c r="C34" s="4" t="str">
        <f>HYPERLINK("http://www.uniprot.org/uniprot/M5VUI7","M5VUI7")</f>
        <v>M5VUI7</v>
      </c>
      <c r="D34" s="2" t="s">
        <v>32</v>
      </c>
      <c r="E34" s="3">
        <v>0</v>
      </c>
      <c r="F34" s="2">
        <v>2935</v>
      </c>
      <c r="G34" s="2">
        <v>100</v>
      </c>
      <c r="H34" s="2">
        <v>546</v>
      </c>
      <c r="I34" s="2">
        <v>2</v>
      </c>
      <c r="J34" s="2">
        <v>1639</v>
      </c>
      <c r="K34" s="2">
        <v>443</v>
      </c>
      <c r="L34" s="2">
        <v>988</v>
      </c>
    </row>
    <row r="35" spans="1:12" x14ac:dyDescent="0.25">
      <c r="A35" s="4" t="str">
        <f>HYPERLINK("http://www.rosaceae.org/Prunus/Prunus_persica/p.persica_gdr_reftransV1_0024151","p.persica_gdr_reftransV1_0024151")</f>
        <v>p.persica_gdr_reftransV1_0024151</v>
      </c>
      <c r="B35" s="2">
        <v>2635</v>
      </c>
      <c r="C35" s="4" t="str">
        <f>HYPERLINK("http://www.uniprot.org/uniprot/M5W3Q5","M5W3Q5")</f>
        <v>M5W3Q5</v>
      </c>
      <c r="D35" s="2" t="s">
        <v>33</v>
      </c>
      <c r="E35" s="3">
        <v>0</v>
      </c>
      <c r="F35" s="2">
        <v>3886</v>
      </c>
      <c r="G35" s="2">
        <v>100</v>
      </c>
      <c r="H35" s="2">
        <v>795</v>
      </c>
      <c r="I35" s="2">
        <v>251</v>
      </c>
      <c r="J35" s="2">
        <v>2635</v>
      </c>
      <c r="K35" s="2">
        <v>171</v>
      </c>
      <c r="L35" s="2">
        <v>965</v>
      </c>
    </row>
    <row r="36" spans="1:12" x14ac:dyDescent="0.25">
      <c r="A36" s="4" t="str">
        <f>HYPERLINK("http://www.rosaceae.org/Prunus/Prunus_persica/p.persica_gdr_reftransV1_0024501","p.persica_gdr_reftransV1_0024501")</f>
        <v>p.persica_gdr_reftransV1_0024501</v>
      </c>
      <c r="B36" s="2">
        <v>2073</v>
      </c>
      <c r="C36" s="4" t="str">
        <f>HYPERLINK("http://www.uniprot.org/uniprot/M5W2M0","M5W2M0")</f>
        <v>M5W2M0</v>
      </c>
      <c r="D36" s="2" t="s">
        <v>34</v>
      </c>
      <c r="E36" s="3">
        <v>0</v>
      </c>
      <c r="F36" s="2">
        <v>1259</v>
      </c>
      <c r="G36" s="2">
        <v>98</v>
      </c>
      <c r="H36" s="2">
        <v>240</v>
      </c>
      <c r="I36" s="2">
        <v>908</v>
      </c>
      <c r="J36" s="2">
        <v>1627</v>
      </c>
      <c r="K36" s="2">
        <v>227</v>
      </c>
      <c r="L36" s="2">
        <v>466</v>
      </c>
    </row>
    <row r="37" spans="1:12" x14ac:dyDescent="0.25">
      <c r="A37" s="4" t="str">
        <f>HYPERLINK("http://www.rosaceae.org/Prunus/Prunus_persica/p.persica_gdr_reftransV1_0026601","p.persica_gdr_reftransV1_0026601")</f>
        <v>p.persica_gdr_reftransV1_0026601</v>
      </c>
      <c r="B37" s="2">
        <v>568</v>
      </c>
      <c r="C37" s="4" t="str">
        <f>HYPERLINK("http://www.uniprot.org/uniprot/M5WL98","M5WL98")</f>
        <v>M5WL98</v>
      </c>
      <c r="D37" s="2" t="s">
        <v>35</v>
      </c>
      <c r="E37" s="3">
        <v>2.4500000000000001E-21</v>
      </c>
      <c r="F37" s="2">
        <v>238</v>
      </c>
      <c r="G37" s="2">
        <v>100</v>
      </c>
      <c r="H37" s="2">
        <v>100</v>
      </c>
      <c r="I37" s="2">
        <v>180</v>
      </c>
      <c r="J37" s="2">
        <v>479</v>
      </c>
      <c r="K37" s="2">
        <v>72</v>
      </c>
      <c r="L37" s="2">
        <v>171</v>
      </c>
    </row>
    <row r="38" spans="1:12" x14ac:dyDescent="0.25">
      <c r="A38" s="4" t="str">
        <f>HYPERLINK("http://www.rosaceae.org/Prunus/Prunus_persica/p.persica_gdr_reftransV1_0027651","p.persica_gdr_reftransV1_0027651")</f>
        <v>p.persica_gdr_reftransV1_0027651</v>
      </c>
      <c r="B38" s="2">
        <v>3205</v>
      </c>
      <c r="C38" s="4" t="str">
        <f>HYPERLINK("http://www.uniprot.org/uniprot/M5VQK4","M5VQK4")</f>
        <v>M5VQK4</v>
      </c>
      <c r="D38" s="2" t="s">
        <v>36</v>
      </c>
      <c r="E38" s="3">
        <v>0</v>
      </c>
      <c r="F38" s="2">
        <v>1609</v>
      </c>
      <c r="G38" s="2">
        <v>100</v>
      </c>
      <c r="H38" s="2">
        <v>327</v>
      </c>
      <c r="I38" s="2">
        <v>207</v>
      </c>
      <c r="J38" s="2">
        <v>1187</v>
      </c>
      <c r="K38" s="2">
        <v>14</v>
      </c>
      <c r="L38" s="2">
        <v>340</v>
      </c>
    </row>
    <row r="39" spans="1:12" x14ac:dyDescent="0.25">
      <c r="A39" s="4" t="str">
        <f>HYPERLINK("http://www.rosaceae.org/Prunus/Prunus_persica/p.persica_gdr_reftransV1_0029401","p.persica_gdr_reftransV1_0029401")</f>
        <v>p.persica_gdr_reftransV1_0029401</v>
      </c>
      <c r="B39" s="2">
        <v>1822</v>
      </c>
      <c r="C39" s="4" t="str">
        <f>HYPERLINK("http://www.uniprot.org/uniprot/M5WPB9","M5WPB9")</f>
        <v>M5WPB9</v>
      </c>
      <c r="D39" s="2" t="s">
        <v>37</v>
      </c>
      <c r="E39" s="3">
        <v>0</v>
      </c>
      <c r="F39" s="2">
        <v>2034</v>
      </c>
      <c r="G39" s="2">
        <v>100</v>
      </c>
      <c r="H39" s="2">
        <v>491</v>
      </c>
      <c r="I39" s="2">
        <v>123</v>
      </c>
      <c r="J39" s="2">
        <v>1595</v>
      </c>
      <c r="K39" s="2">
        <v>1</v>
      </c>
      <c r="L39" s="2">
        <v>491</v>
      </c>
    </row>
    <row r="40" spans="1:12" x14ac:dyDescent="0.25">
      <c r="A40" s="4" t="str">
        <f>HYPERLINK("http://www.rosaceae.org/Prunus/Prunus_persica/p.persica_gdr_reftransV1_0030101","p.persica_gdr_reftransV1_0030101")</f>
        <v>p.persica_gdr_reftransV1_0030101</v>
      </c>
      <c r="B40" s="2">
        <v>1923</v>
      </c>
      <c r="C40" s="4" t="str">
        <f>HYPERLINK("http://www.uniprot.org/uniprot/M5Y423","M5Y423")</f>
        <v>M5Y423</v>
      </c>
      <c r="D40" s="2" t="s">
        <v>38</v>
      </c>
      <c r="E40" s="3">
        <v>0</v>
      </c>
      <c r="F40" s="2">
        <v>1496</v>
      </c>
      <c r="G40" s="2">
        <v>90</v>
      </c>
      <c r="H40" s="2">
        <v>317</v>
      </c>
      <c r="I40" s="2">
        <v>589</v>
      </c>
      <c r="J40" s="2">
        <v>1524</v>
      </c>
      <c r="K40" s="2">
        <v>1</v>
      </c>
      <c r="L40" s="2">
        <v>310</v>
      </c>
    </row>
    <row r="41" spans="1:12" x14ac:dyDescent="0.25">
      <c r="A41" s="4" t="str">
        <f>HYPERLINK("http://www.rosaceae.org/Prunus/Prunus_persica/p.persica_gdr_reftransV1_0031501","p.persica_gdr_reftransV1_0031501")</f>
        <v>p.persica_gdr_reftransV1_0031501</v>
      </c>
      <c r="B41" s="2">
        <v>663</v>
      </c>
      <c r="C41" s="4" t="str">
        <f>HYPERLINK("http://www.uniprot.org/uniprot/M5X502","M5X502")</f>
        <v>M5X502</v>
      </c>
      <c r="D41" s="2" t="s">
        <v>39</v>
      </c>
      <c r="E41" s="3">
        <v>3.4400000000000001E-154</v>
      </c>
      <c r="F41" s="2">
        <v>1164</v>
      </c>
      <c r="G41" s="2">
        <v>99</v>
      </c>
      <c r="H41" s="2">
        <v>221</v>
      </c>
      <c r="I41" s="2">
        <v>1</v>
      </c>
      <c r="J41" s="2">
        <v>663</v>
      </c>
      <c r="K41" s="2">
        <v>360</v>
      </c>
      <c r="L41" s="2">
        <v>580</v>
      </c>
    </row>
    <row r="42" spans="1:12" x14ac:dyDescent="0.25">
      <c r="A42" s="4" t="str">
        <f>HYPERLINK("http://www.rosaceae.org/Prunus/Prunus_persica/p.persica_gdr_reftransV1_0032201","p.persica_gdr_reftransV1_0032201")</f>
        <v>p.persica_gdr_reftransV1_0032201</v>
      </c>
      <c r="B42" s="2">
        <v>6023</v>
      </c>
      <c r="C42" s="4" t="str">
        <f>HYPERLINK("http://www.uniprot.org/uniprot/M5VHA5","M5VHA5")</f>
        <v>M5VHA5</v>
      </c>
      <c r="D42" s="2" t="s">
        <v>40</v>
      </c>
      <c r="E42" s="3">
        <v>0</v>
      </c>
      <c r="F42" s="2">
        <v>2130</v>
      </c>
      <c r="G42" s="2">
        <v>100</v>
      </c>
      <c r="H42" s="2">
        <v>458</v>
      </c>
      <c r="I42" s="2">
        <v>1955</v>
      </c>
      <c r="J42" s="2">
        <v>3328</v>
      </c>
      <c r="K42" s="2">
        <v>236</v>
      </c>
      <c r="L42" s="2">
        <v>693</v>
      </c>
    </row>
    <row r="43" spans="1:12" x14ac:dyDescent="0.25">
      <c r="A43" s="4" t="str">
        <f>HYPERLINK("http://www.rosaceae.org/Prunus/Prunus_persica/p.persica_gdr_reftransV1_0033601","p.persica_gdr_reftransV1_0033601")</f>
        <v>p.persica_gdr_reftransV1_0033601</v>
      </c>
      <c r="B43" s="2">
        <v>3086</v>
      </c>
      <c r="C43" s="4" t="str">
        <f>HYPERLINK("http://www.uniprot.org/uniprot/M5XDE6","M5XDE6")</f>
        <v>M5XDE6</v>
      </c>
      <c r="D43" s="2" t="s">
        <v>41</v>
      </c>
      <c r="E43" s="3">
        <v>1.95E-116</v>
      </c>
      <c r="F43" s="2">
        <v>958</v>
      </c>
      <c r="G43" s="2">
        <v>97</v>
      </c>
      <c r="H43" s="2">
        <v>185</v>
      </c>
      <c r="I43" s="2">
        <v>1920</v>
      </c>
      <c r="J43" s="2">
        <v>2474</v>
      </c>
      <c r="K43" s="2">
        <v>27</v>
      </c>
      <c r="L43" s="2">
        <v>211</v>
      </c>
    </row>
    <row r="44" spans="1:12" x14ac:dyDescent="0.25">
      <c r="A44" s="4" t="str">
        <f>HYPERLINK("http://www.rosaceae.org/Prunus/Prunus_persica/p.persica_gdr_reftransV1_0037801","p.persica_gdr_reftransV1_0037801")</f>
        <v>p.persica_gdr_reftransV1_0037801</v>
      </c>
      <c r="B44" s="2">
        <v>558</v>
      </c>
      <c r="C44" s="4" t="str">
        <f>HYPERLINK("http://www.uniprot.org/uniprot/M5VLM9","M5VLM9")</f>
        <v>M5VLM9</v>
      </c>
      <c r="D44" s="2" t="s">
        <v>42</v>
      </c>
      <c r="E44" s="3">
        <v>6.2700000000000001E-17</v>
      </c>
      <c r="F44" s="2">
        <v>214</v>
      </c>
      <c r="G44" s="2">
        <v>89</v>
      </c>
      <c r="H44" s="2">
        <v>46</v>
      </c>
      <c r="I44" s="2">
        <v>264</v>
      </c>
      <c r="J44" s="2">
        <v>401</v>
      </c>
      <c r="K44" s="2">
        <v>16</v>
      </c>
      <c r="L44" s="2">
        <v>61</v>
      </c>
    </row>
    <row r="45" spans="1:12" x14ac:dyDescent="0.25">
      <c r="A45" s="4" t="str">
        <f>HYPERLINK("http://www.rosaceae.org/Prunus/Prunus_persica/p.persica_gdr_reftransV1_0038501","p.persica_gdr_reftransV1_0038501")</f>
        <v>p.persica_gdr_reftransV1_0038501</v>
      </c>
      <c r="B45" s="2">
        <v>2518</v>
      </c>
      <c r="C45" s="4" t="str">
        <f>HYPERLINK("http://www.uniprot.org/uniprot/M5VV56","M5VV56")</f>
        <v>M5VV56</v>
      </c>
      <c r="D45" s="2" t="s">
        <v>43</v>
      </c>
      <c r="E45" s="3">
        <v>0</v>
      </c>
      <c r="F45" s="2">
        <v>2907</v>
      </c>
      <c r="G45" s="2">
        <v>100</v>
      </c>
      <c r="H45" s="2">
        <v>557</v>
      </c>
      <c r="I45" s="2">
        <v>506</v>
      </c>
      <c r="J45" s="2">
        <v>2176</v>
      </c>
      <c r="K45" s="2">
        <v>1</v>
      </c>
      <c r="L45" s="2">
        <v>557</v>
      </c>
    </row>
    <row r="46" spans="1:12" x14ac:dyDescent="0.25">
      <c r="A46" s="4" t="str">
        <f>HYPERLINK("http://www.rosaceae.org/Prunus/Prunus_persica/p.persica_gdr_reftransV1_0039551","p.persica_gdr_reftransV1_0039551")</f>
        <v>p.persica_gdr_reftransV1_0039551</v>
      </c>
      <c r="B46" s="2">
        <v>2753</v>
      </c>
      <c r="C46" s="4" t="str">
        <f>HYPERLINK("http://www.uniprot.org/uniprot/M5WNE3","M5WNE3")</f>
        <v>M5WNE3</v>
      </c>
      <c r="D46" s="2" t="s">
        <v>44</v>
      </c>
      <c r="E46" s="3">
        <v>0</v>
      </c>
      <c r="F46" s="2">
        <v>1530</v>
      </c>
      <c r="G46" s="2">
        <v>99</v>
      </c>
      <c r="H46" s="2">
        <v>296</v>
      </c>
      <c r="I46" s="2">
        <v>1221</v>
      </c>
      <c r="J46" s="2">
        <v>2108</v>
      </c>
      <c r="K46" s="2">
        <v>145</v>
      </c>
      <c r="L46" s="2">
        <v>440</v>
      </c>
    </row>
    <row r="47" spans="1:12" x14ac:dyDescent="0.25">
      <c r="A47" s="4" t="str">
        <f>HYPERLINK("http://www.rosaceae.org/Prunus/Prunus_persica/p.persica_gdr_reftransV1_0041301","p.persica_gdr_reftransV1_0041301")</f>
        <v>p.persica_gdr_reftransV1_0041301</v>
      </c>
      <c r="B47" s="2">
        <v>2319</v>
      </c>
      <c r="C47" s="4" t="str">
        <f>HYPERLINK("http://www.uniprot.org/uniprot/M5VVT9","M5VVT9")</f>
        <v>M5VVT9</v>
      </c>
      <c r="D47" s="2" t="s">
        <v>45</v>
      </c>
      <c r="E47" s="3">
        <v>3.5000000000000002E-179</v>
      </c>
      <c r="F47" s="2">
        <v>1379</v>
      </c>
      <c r="G47" s="2">
        <v>100</v>
      </c>
      <c r="H47" s="2">
        <v>399</v>
      </c>
      <c r="I47" s="2">
        <v>1121</v>
      </c>
      <c r="J47" s="2">
        <v>2317</v>
      </c>
      <c r="K47" s="2">
        <v>119</v>
      </c>
      <c r="L47" s="2">
        <v>517</v>
      </c>
    </row>
    <row r="48" spans="1:12" x14ac:dyDescent="0.25">
      <c r="A48" s="4" t="str">
        <f>HYPERLINK("http://www.rosaceae.org/Prunus/Prunus_persica/p.persica_gdr_reftransV1_0041651","p.persica_gdr_reftransV1_0041651")</f>
        <v>p.persica_gdr_reftransV1_0041651</v>
      </c>
      <c r="B48" s="2">
        <v>9420</v>
      </c>
      <c r="C48" s="4" t="str">
        <f>HYPERLINK("http://www.uniprot.org/uniprot/A0A061DQU4","A0A061DQU4")</f>
        <v>A0A061DQU4</v>
      </c>
      <c r="D48" s="2" t="s">
        <v>46</v>
      </c>
      <c r="E48" s="3">
        <v>0</v>
      </c>
      <c r="F48" s="2">
        <v>10158</v>
      </c>
      <c r="G48" s="2">
        <v>70</v>
      </c>
      <c r="H48" s="2">
        <v>3012</v>
      </c>
      <c r="I48" s="2">
        <v>3</v>
      </c>
      <c r="J48" s="2">
        <v>8957</v>
      </c>
      <c r="K48" s="2">
        <v>268</v>
      </c>
      <c r="L48" s="2">
        <v>3218</v>
      </c>
    </row>
    <row r="49" spans="1:12" x14ac:dyDescent="0.25">
      <c r="A49" s="4" t="str">
        <f>HYPERLINK("http://www.rosaceae.org/Prunus/Prunus_persica/p.persica_gdr_reftransV1_0042701","p.persica_gdr_reftransV1_0042701")</f>
        <v>p.persica_gdr_reftransV1_0042701</v>
      </c>
      <c r="B49" s="2">
        <v>2119</v>
      </c>
      <c r="C49" s="4" t="str">
        <f>HYPERLINK("http://www.uniprot.org/uniprot/M5WHA1","M5WHA1")</f>
        <v>M5WHA1</v>
      </c>
      <c r="D49" s="2" t="s">
        <v>47</v>
      </c>
      <c r="E49" s="3">
        <v>0</v>
      </c>
      <c r="F49" s="2">
        <v>2546</v>
      </c>
      <c r="G49" s="2">
        <v>100</v>
      </c>
      <c r="H49" s="2">
        <v>491</v>
      </c>
      <c r="I49" s="2">
        <v>315</v>
      </c>
      <c r="J49" s="2">
        <v>1787</v>
      </c>
      <c r="K49" s="2">
        <v>1</v>
      </c>
      <c r="L49" s="2">
        <v>491</v>
      </c>
    </row>
    <row r="50" spans="1:12" x14ac:dyDescent="0.25">
      <c r="A50" s="4" t="str">
        <f>HYPERLINK("http://www.rosaceae.org/Prunus/Prunus_persica/p.persica_gdr_reftransV1_0043051","p.persica_gdr_reftransV1_0043051")</f>
        <v>p.persica_gdr_reftransV1_0043051</v>
      </c>
      <c r="B50" s="2">
        <v>638</v>
      </c>
      <c r="C50" s="4" t="str">
        <f>HYPERLINK("http://www.uniprot.org/uniprot/M5VW42","M5VW42")</f>
        <v>M5VW42</v>
      </c>
      <c r="D50" s="2" t="s">
        <v>48</v>
      </c>
      <c r="E50" s="3">
        <v>1.1200000000000001E-40</v>
      </c>
      <c r="F50" s="2">
        <v>367</v>
      </c>
      <c r="G50" s="2">
        <v>100</v>
      </c>
      <c r="H50" s="2">
        <v>121</v>
      </c>
      <c r="I50" s="2">
        <v>191</v>
      </c>
      <c r="J50" s="2">
        <v>553</v>
      </c>
      <c r="K50" s="2">
        <v>1</v>
      </c>
      <c r="L50" s="2">
        <v>121</v>
      </c>
    </row>
    <row r="51" spans="1:12" x14ac:dyDescent="0.25">
      <c r="A51" s="4" t="str">
        <f>HYPERLINK("http://www.rosaceae.org/Prunus/Prunus_persica/p.persica_gdr_reftransV1_0043401","p.persica_gdr_reftransV1_0043401")</f>
        <v>p.persica_gdr_reftransV1_0043401</v>
      </c>
      <c r="B51" s="2">
        <v>390</v>
      </c>
      <c r="C51" s="4" t="str">
        <f>HYPERLINK("http://www.uniprot.org/uniprot/M5Wid3","M5Wid3")</f>
        <v>M5Wid3</v>
      </c>
      <c r="D51" s="2" t="s">
        <v>49</v>
      </c>
      <c r="E51" s="3">
        <v>2.18E-35</v>
      </c>
      <c r="F51" s="2">
        <v>351</v>
      </c>
      <c r="G51" s="2">
        <v>100</v>
      </c>
      <c r="H51" s="2">
        <v>101</v>
      </c>
      <c r="I51" s="2">
        <v>3</v>
      </c>
      <c r="J51" s="2">
        <v>305</v>
      </c>
      <c r="K51" s="2">
        <v>900</v>
      </c>
      <c r="L51" s="2">
        <v>1000</v>
      </c>
    </row>
    <row r="52" spans="1:12" x14ac:dyDescent="0.25">
      <c r="A52" s="4" t="str">
        <f>HYPERLINK("http://www.rosaceae.org/Prunus/Prunus_persica/p.persica_gdr_reftransV1_0044101","p.persica_gdr_reftransV1_0044101")</f>
        <v>p.persica_gdr_reftransV1_0044101</v>
      </c>
      <c r="B52" s="2">
        <v>494</v>
      </c>
      <c r="C52" s="4" t="str">
        <f>HYPERLINK("http://www.uniprot.org/uniprot/M5WW88","M5WW88")</f>
        <v>M5WW88</v>
      </c>
      <c r="D52" s="2" t="s">
        <v>50</v>
      </c>
      <c r="E52" s="3">
        <v>8.29E-86</v>
      </c>
      <c r="F52" s="2">
        <v>662</v>
      </c>
      <c r="G52" s="2">
        <v>100</v>
      </c>
      <c r="H52" s="2">
        <v>125</v>
      </c>
      <c r="I52" s="2">
        <v>110</v>
      </c>
      <c r="J52" s="2">
        <v>484</v>
      </c>
      <c r="K52" s="2">
        <v>1</v>
      </c>
      <c r="L52" s="2">
        <v>125</v>
      </c>
    </row>
    <row r="53" spans="1:12" x14ac:dyDescent="0.25">
      <c r="A53" s="4" t="str">
        <f>HYPERLINK("http://www.rosaceae.org/Prunus/Prunus_persica/p.persica_gdr_reftransV1_0044451","p.persica_gdr_reftransV1_0044451")</f>
        <v>p.persica_gdr_reftransV1_0044451</v>
      </c>
      <c r="B53" s="2">
        <v>841</v>
      </c>
      <c r="C53" s="4" t="str">
        <f>HYPERLINK("http://www.uniprot.org/uniprot/M5WBC2","M5WBC2")</f>
        <v>M5WBC2</v>
      </c>
      <c r="D53" s="2" t="s">
        <v>51</v>
      </c>
      <c r="E53" s="3">
        <v>1.6000000000000001E-41</v>
      </c>
      <c r="F53" s="2">
        <v>381</v>
      </c>
      <c r="G53" s="2">
        <v>100</v>
      </c>
      <c r="H53" s="2">
        <v>141</v>
      </c>
      <c r="I53" s="2">
        <v>304</v>
      </c>
      <c r="J53" s="2">
        <v>726</v>
      </c>
      <c r="K53" s="2">
        <v>1</v>
      </c>
      <c r="L53" s="2">
        <v>141</v>
      </c>
    </row>
    <row r="54" spans="1:12" x14ac:dyDescent="0.25">
      <c r="A54" s="4" t="str">
        <f>HYPERLINK("http://www.rosaceae.org/Prunus/Prunus_persica/p.persica_gdr_reftransV1_0044801","p.persica_gdr_reftransV1_0044801")</f>
        <v>p.persica_gdr_reftransV1_0044801</v>
      </c>
      <c r="B54" s="2">
        <v>2052</v>
      </c>
      <c r="C54" s="4" t="str">
        <f>HYPERLINK("http://www.uniprot.org/uniprot/M5VJ30","M5VJ30")</f>
        <v>M5VJ30</v>
      </c>
      <c r="D54" s="2" t="s">
        <v>52</v>
      </c>
      <c r="E54" s="3">
        <v>0</v>
      </c>
      <c r="F54" s="2">
        <v>1974</v>
      </c>
      <c r="G54" s="2">
        <v>93</v>
      </c>
      <c r="H54" s="2">
        <v>401</v>
      </c>
      <c r="I54" s="2">
        <v>322</v>
      </c>
      <c r="J54" s="2">
        <v>1524</v>
      </c>
      <c r="K54" s="2">
        <v>51</v>
      </c>
      <c r="L54" s="2">
        <v>447</v>
      </c>
    </row>
    <row r="55" spans="1:12" x14ac:dyDescent="0.25">
      <c r="A55" s="4" t="str">
        <f>HYPERLINK("http://www.rosaceae.org/Prunus/Prunus_persica/p.persica_gdr_reftransV1_0045151","p.persica_gdr_reftransV1_0045151")</f>
        <v>p.persica_gdr_reftransV1_0045151</v>
      </c>
      <c r="B55" s="2">
        <v>3708</v>
      </c>
      <c r="C55" s="4" t="str">
        <f>HYPERLINK("http://www.uniprot.org/uniprot/M5XM80","M5XM80")</f>
        <v>M5XM80</v>
      </c>
      <c r="D55" s="2" t="s">
        <v>53</v>
      </c>
      <c r="E55" s="3">
        <v>0</v>
      </c>
      <c r="F55" s="2">
        <v>4921</v>
      </c>
      <c r="G55" s="2">
        <v>100</v>
      </c>
      <c r="H55" s="2">
        <v>1056</v>
      </c>
      <c r="I55" s="2">
        <v>158</v>
      </c>
      <c r="J55" s="2">
        <v>3313</v>
      </c>
      <c r="K55" s="2">
        <v>1</v>
      </c>
      <c r="L55" s="2">
        <v>1056</v>
      </c>
    </row>
    <row r="56" spans="1:12" x14ac:dyDescent="0.25">
      <c r="A56" s="4" t="str">
        <f>HYPERLINK("http://www.rosaceae.org/Prunus/Prunus_persica/p.persica_gdr_reftransV1_0045501","p.persica_gdr_reftransV1_0045501")</f>
        <v>p.persica_gdr_reftransV1_0045501</v>
      </c>
      <c r="B56" s="2">
        <v>875</v>
      </c>
      <c r="C56" s="4" t="str">
        <f>HYPERLINK("http://www.uniprot.org/uniprot/M5WI83","M5WI83")</f>
        <v>M5WI83</v>
      </c>
      <c r="D56" s="2" t="s">
        <v>54</v>
      </c>
      <c r="E56" s="3">
        <v>1.6899999999999999E-113</v>
      </c>
      <c r="F56" s="2">
        <v>896</v>
      </c>
      <c r="G56" s="2">
        <v>100</v>
      </c>
      <c r="H56" s="2">
        <v>202</v>
      </c>
      <c r="I56" s="2">
        <v>170</v>
      </c>
      <c r="J56" s="2">
        <v>775</v>
      </c>
      <c r="K56" s="2">
        <v>324</v>
      </c>
      <c r="L56" s="2">
        <v>525</v>
      </c>
    </row>
    <row r="57" spans="1:12" x14ac:dyDescent="0.25">
      <c r="A57" s="4" t="str">
        <f>HYPERLINK("http://www.rosaceae.org/Prunus/Prunus_persica/p.persica_gdr_reftransV1_0045851","p.persica_gdr_reftransV1_0045851")</f>
        <v>p.persica_gdr_reftransV1_0045851</v>
      </c>
      <c r="B57" s="2">
        <v>393</v>
      </c>
      <c r="C57" s="4" t="str">
        <f>HYPERLINK("http://www.uniprot.org/uniprot/M5W969","M5W969")</f>
        <v>M5W969</v>
      </c>
      <c r="D57" s="2" t="s">
        <v>55</v>
      </c>
      <c r="E57" s="3">
        <v>1.7600000000000001E-73</v>
      </c>
      <c r="F57" s="2">
        <v>599</v>
      </c>
      <c r="G57" s="2">
        <v>99</v>
      </c>
      <c r="H57" s="2">
        <v>118</v>
      </c>
      <c r="I57" s="2">
        <v>36</v>
      </c>
      <c r="J57" s="2">
        <v>389</v>
      </c>
      <c r="K57" s="2">
        <v>235</v>
      </c>
      <c r="L57" s="2">
        <v>352</v>
      </c>
    </row>
    <row r="58" spans="1:12" x14ac:dyDescent="0.25">
      <c r="A58" s="4" t="str">
        <f>HYPERLINK("http://www.rosaceae.org/Prunus/Prunus_persica/p.persica_gdr_reftransV1_0046201","p.persica_gdr_reftransV1_0046201")</f>
        <v>p.persica_gdr_reftransV1_0046201</v>
      </c>
      <c r="B58" s="2">
        <v>1302</v>
      </c>
      <c r="C58" s="4" t="str">
        <f>HYPERLINK("http://www.uniprot.org/uniprot/M5XM66","M5XM66")</f>
        <v>M5XM66</v>
      </c>
      <c r="D58" s="2" t="s">
        <v>56</v>
      </c>
      <c r="E58" s="3">
        <v>0</v>
      </c>
      <c r="F58" s="2">
        <v>1997</v>
      </c>
      <c r="G58" s="2">
        <v>99</v>
      </c>
      <c r="H58" s="2">
        <v>389</v>
      </c>
      <c r="I58" s="2">
        <v>127</v>
      </c>
      <c r="J58" s="2">
        <v>1293</v>
      </c>
      <c r="K58" s="2">
        <v>62</v>
      </c>
      <c r="L58" s="2">
        <v>450</v>
      </c>
    </row>
    <row r="59" spans="1:12" x14ac:dyDescent="0.25">
      <c r="A59" s="4" t="str">
        <f>HYPERLINK("http://www.rosaceae.org/Prunus/Prunus_persica/p.persica_gdr_reftransV1_0046901","p.persica_gdr_reftransV1_0046901")</f>
        <v>p.persica_gdr_reftransV1_0046901</v>
      </c>
      <c r="B59" s="2">
        <v>327</v>
      </c>
      <c r="C59" s="4" t="str">
        <f>HYPERLINK("http://www.uniprot.org/uniprot/M5W344","M5W344")</f>
        <v>M5W344</v>
      </c>
      <c r="D59" s="2" t="s">
        <v>57</v>
      </c>
      <c r="E59" s="3">
        <v>2.94E-57</v>
      </c>
      <c r="F59" s="2">
        <v>502</v>
      </c>
      <c r="G59" s="2">
        <v>100</v>
      </c>
      <c r="H59" s="2">
        <v>109</v>
      </c>
      <c r="I59" s="2">
        <v>1</v>
      </c>
      <c r="J59" s="2">
        <v>327</v>
      </c>
      <c r="K59" s="2">
        <v>9</v>
      </c>
      <c r="L59" s="2">
        <v>117</v>
      </c>
    </row>
    <row r="60" spans="1:12" x14ac:dyDescent="0.25">
      <c r="A60" s="4" t="str">
        <f>HYPERLINK("http://www.rosaceae.org/Prunus/Prunus_persica/p.persica_gdr_reftransV1_0047251","p.persica_gdr_reftransV1_0047251")</f>
        <v>p.persica_gdr_reftransV1_0047251</v>
      </c>
      <c r="B60" s="2">
        <v>540</v>
      </c>
      <c r="C60" s="4" t="str">
        <f>HYPERLINK("http://www.uniprot.org/uniprot/F6H8A1","F6H8A1")</f>
        <v>F6H8A1</v>
      </c>
      <c r="D60" s="2" t="s">
        <v>58</v>
      </c>
      <c r="E60" s="3">
        <v>5.24E-82</v>
      </c>
      <c r="F60" s="2">
        <v>687</v>
      </c>
      <c r="G60" s="2">
        <v>73</v>
      </c>
      <c r="H60" s="2">
        <v>180</v>
      </c>
      <c r="I60" s="2">
        <v>1</v>
      </c>
      <c r="J60" s="2">
        <v>540</v>
      </c>
      <c r="K60" s="2">
        <v>424</v>
      </c>
      <c r="L60" s="2">
        <v>603</v>
      </c>
    </row>
    <row r="61" spans="1:12" x14ac:dyDescent="0.25">
      <c r="A61" s="4" t="str">
        <f>HYPERLINK("http://www.rosaceae.org/Prunus/Prunus_persica/p.persica_gdr_reftransV1_0047601","p.persica_gdr_reftransV1_0047601")</f>
        <v>p.persica_gdr_reftransV1_0047601</v>
      </c>
      <c r="B61" s="2">
        <v>1697</v>
      </c>
      <c r="C61" s="4" t="str">
        <f>HYPERLINK("http://www.uniprot.org/uniprot/M5VU62","M5VU62")</f>
        <v>M5VU62</v>
      </c>
      <c r="D61" s="2" t="s">
        <v>59</v>
      </c>
      <c r="E61" s="3">
        <v>0</v>
      </c>
      <c r="F61" s="2">
        <v>2598</v>
      </c>
      <c r="G61" s="2">
        <v>100</v>
      </c>
      <c r="H61" s="2">
        <v>491</v>
      </c>
      <c r="I61" s="2">
        <v>194</v>
      </c>
      <c r="J61" s="2">
        <v>1666</v>
      </c>
      <c r="K61" s="2">
        <v>1</v>
      </c>
      <c r="L61" s="2">
        <v>491</v>
      </c>
    </row>
    <row r="62" spans="1:12" x14ac:dyDescent="0.25">
      <c r="A62" s="4" t="str">
        <f>HYPERLINK("http://www.rosaceae.org/Prunus/Prunus_persica/p.persica_gdr_reftransV1_0047951","p.persica_gdr_reftransV1_0047951")</f>
        <v>p.persica_gdr_reftransV1_0047951</v>
      </c>
      <c r="B62" s="2">
        <v>1896</v>
      </c>
      <c r="C62" s="4" t="str">
        <f>HYPERLINK("http://www.uniprot.org/uniprot/B2BMQ1","B2BMQ1")</f>
        <v>B2BMQ1</v>
      </c>
      <c r="D62" s="2" t="s">
        <v>60</v>
      </c>
      <c r="E62" s="3">
        <v>0</v>
      </c>
      <c r="F62" s="2">
        <v>1976</v>
      </c>
      <c r="G62" s="2">
        <v>100</v>
      </c>
      <c r="H62" s="2">
        <v>387</v>
      </c>
      <c r="I62" s="2">
        <v>336</v>
      </c>
      <c r="J62" s="2">
        <v>1496</v>
      </c>
      <c r="K62" s="2">
        <v>27</v>
      </c>
      <c r="L62" s="2">
        <v>413</v>
      </c>
    </row>
    <row r="63" spans="1:12" x14ac:dyDescent="0.25">
      <c r="A63" s="4" t="str">
        <f>HYPERLINK("http://www.rosaceae.org/Prunus/Prunus_persica/p.persica_gdr_reftransV1_0048301","p.persica_gdr_reftransV1_0048301")</f>
        <v>p.persica_gdr_reftransV1_0048301</v>
      </c>
      <c r="B63" s="2">
        <v>2827</v>
      </c>
      <c r="C63" s="4" t="str">
        <f>HYPERLINK("http://www.uniprot.org/uniprot/W9RN27","W9RN27")</f>
        <v>W9RN27</v>
      </c>
      <c r="D63" s="2" t="s">
        <v>61</v>
      </c>
      <c r="E63" s="3">
        <v>0</v>
      </c>
      <c r="F63" s="2">
        <v>2186</v>
      </c>
      <c r="G63" s="2">
        <v>84</v>
      </c>
      <c r="H63" s="2">
        <v>614</v>
      </c>
      <c r="I63" s="2">
        <v>88</v>
      </c>
      <c r="J63" s="2">
        <v>1917</v>
      </c>
      <c r="K63" s="2">
        <v>1</v>
      </c>
      <c r="L63" s="2">
        <v>606</v>
      </c>
    </row>
    <row r="64" spans="1:12" x14ac:dyDescent="0.25">
      <c r="A64" s="4" t="str">
        <f>HYPERLINK("http://www.rosaceae.org/Prunus/Prunus_persica/p.persica_gdr_reftransV1_0048651","p.persica_gdr_reftransV1_0048651")</f>
        <v>p.persica_gdr_reftransV1_0048651</v>
      </c>
      <c r="B64" s="2">
        <v>1271</v>
      </c>
      <c r="C64" s="4" t="str">
        <f>HYPERLINK("http://www.uniprot.org/uniprot/M5VLP6","M5VLP6")</f>
        <v>M5VLP6</v>
      </c>
      <c r="D64" s="2" t="s">
        <v>62</v>
      </c>
      <c r="E64" s="3">
        <v>3.5799999999999999E-172</v>
      </c>
      <c r="F64" s="2">
        <v>1272</v>
      </c>
      <c r="G64" s="2">
        <v>100</v>
      </c>
      <c r="H64" s="2">
        <v>255</v>
      </c>
      <c r="I64" s="2">
        <v>160</v>
      </c>
      <c r="J64" s="2">
        <v>924</v>
      </c>
      <c r="K64" s="2">
        <v>1</v>
      </c>
      <c r="L64" s="2">
        <v>255</v>
      </c>
    </row>
    <row r="65" spans="1:12" x14ac:dyDescent="0.25">
      <c r="A65" s="4" t="str">
        <f>HYPERLINK("http://www.rosaceae.org/Prunus/Prunus_persica/p.persica_gdr_reftransV1_0049001","p.persica_gdr_reftransV1_0049001")</f>
        <v>p.persica_gdr_reftransV1_0049001</v>
      </c>
      <c r="B65" s="2">
        <v>2357</v>
      </c>
      <c r="C65" s="4" t="str">
        <f>HYPERLINK("http://www.uniprot.org/uniprot/M5X6R3","M5X6R3")</f>
        <v>M5X6R3</v>
      </c>
      <c r="D65" s="2" t="s">
        <v>63</v>
      </c>
      <c r="E65" s="3">
        <v>0</v>
      </c>
      <c r="F65" s="2">
        <v>2946</v>
      </c>
      <c r="G65" s="2">
        <v>100</v>
      </c>
      <c r="H65" s="2">
        <v>598</v>
      </c>
      <c r="I65" s="2">
        <v>138</v>
      </c>
      <c r="J65" s="2">
        <v>1931</v>
      </c>
      <c r="K65" s="2">
        <v>1</v>
      </c>
      <c r="L65" s="2">
        <v>598</v>
      </c>
    </row>
    <row r="66" spans="1:12" x14ac:dyDescent="0.25">
      <c r="A66" s="4" t="str">
        <f>HYPERLINK("http://www.rosaceae.org/Prunus/Prunus_persica/p.persica_gdr_reftransV1_0000101","p.persica_gdr_reftransV1_0000101")</f>
        <v>p.persica_gdr_reftransV1_0000101</v>
      </c>
      <c r="B66" s="2">
        <v>1171</v>
      </c>
      <c r="C66" s="4" t="str">
        <f>HYPERLINK("http://www.uniprot.org/uniprot/M5W3E7","M5W3E7")</f>
        <v>M5W3E7</v>
      </c>
      <c r="D66" s="2" t="s">
        <v>64</v>
      </c>
      <c r="E66" s="3">
        <v>3.6500000000000002E-134</v>
      </c>
      <c r="F66" s="2">
        <v>1024</v>
      </c>
      <c r="G66" s="2">
        <v>100</v>
      </c>
      <c r="H66" s="2">
        <v>306</v>
      </c>
      <c r="I66" s="2">
        <v>22</v>
      </c>
      <c r="J66" s="2">
        <v>939</v>
      </c>
      <c r="K66" s="2">
        <v>1</v>
      </c>
      <c r="L66" s="2">
        <v>306</v>
      </c>
    </row>
    <row r="67" spans="1:12" x14ac:dyDescent="0.25">
      <c r="A67" s="4" t="str">
        <f>HYPERLINK("http://www.rosaceae.org/Prunus/Prunus_persica/p.persica_gdr_reftransV1_0000451","p.persica_gdr_reftransV1_0000451")</f>
        <v>p.persica_gdr_reftransV1_0000451</v>
      </c>
      <c r="B67" s="2">
        <v>1836</v>
      </c>
      <c r="C67" s="4" t="str">
        <f>HYPERLINK("http://www.uniprot.org/uniprot/M5XJA1","M5XJA1")</f>
        <v>M5XJA1</v>
      </c>
      <c r="D67" s="2" t="s">
        <v>65</v>
      </c>
      <c r="E67" s="3">
        <v>0</v>
      </c>
      <c r="F67" s="2">
        <v>2171</v>
      </c>
      <c r="G67" s="2">
        <v>100</v>
      </c>
      <c r="H67" s="2">
        <v>420</v>
      </c>
      <c r="I67" s="2">
        <v>203</v>
      </c>
      <c r="J67" s="2">
        <v>1462</v>
      </c>
      <c r="K67" s="2">
        <v>1</v>
      </c>
      <c r="L67" s="2">
        <v>420</v>
      </c>
    </row>
    <row r="68" spans="1:12" x14ac:dyDescent="0.25">
      <c r="A68" s="4" t="str">
        <f>HYPERLINK("http://www.rosaceae.org/Prunus/Prunus_persica/p.persica_gdr_reftransV1_0000801","p.persica_gdr_reftransV1_0000801")</f>
        <v>p.persica_gdr_reftransV1_0000801</v>
      </c>
      <c r="B68" s="2">
        <v>502</v>
      </c>
      <c r="C68" s="4" t="str">
        <f>HYPERLINK("http://www.uniprot.org/uniprot/M5W1D4","M5W1D4")</f>
        <v>M5W1D4</v>
      </c>
      <c r="D68" s="2" t="s">
        <v>66</v>
      </c>
      <c r="E68" s="3">
        <v>3.0400000000000002E-101</v>
      </c>
      <c r="F68" s="2">
        <v>769</v>
      </c>
      <c r="G68" s="2">
        <v>99</v>
      </c>
      <c r="H68" s="2">
        <v>147</v>
      </c>
      <c r="I68" s="2">
        <v>1</v>
      </c>
      <c r="J68" s="2">
        <v>441</v>
      </c>
      <c r="K68" s="2">
        <v>32</v>
      </c>
      <c r="L68" s="2">
        <v>178</v>
      </c>
    </row>
    <row r="69" spans="1:12" x14ac:dyDescent="0.25">
      <c r="A69" s="4" t="str">
        <f>HYPERLINK("http://www.rosaceae.org/Prunus/Prunus_persica/p.persica_gdr_reftransV1_0001151","p.persica_gdr_reftransV1_0001151")</f>
        <v>p.persica_gdr_reftransV1_0001151</v>
      </c>
      <c r="B69" s="2">
        <v>2014</v>
      </c>
      <c r="C69" s="4" t="str">
        <f>HYPERLINK("http://www.uniprot.org/uniprot/M5VPQ0","M5VPQ0")</f>
        <v>M5VPQ0</v>
      </c>
      <c r="D69" s="2" t="s">
        <v>67</v>
      </c>
      <c r="E69" s="3">
        <v>0</v>
      </c>
      <c r="F69" s="2">
        <v>2213</v>
      </c>
      <c r="G69" s="2">
        <v>97</v>
      </c>
      <c r="H69" s="2">
        <v>466</v>
      </c>
      <c r="I69" s="2">
        <v>308</v>
      </c>
      <c r="J69" s="2">
        <v>1705</v>
      </c>
      <c r="K69" s="2">
        <v>1</v>
      </c>
      <c r="L69" s="2">
        <v>466</v>
      </c>
    </row>
    <row r="70" spans="1:12" x14ac:dyDescent="0.25">
      <c r="A70" s="4" t="str">
        <f>HYPERLINK("http://www.rosaceae.org/Prunus/Prunus_persica/p.persica_gdr_reftransV1_0001501","p.persica_gdr_reftransV1_0001501")</f>
        <v>p.persica_gdr_reftransV1_0001501</v>
      </c>
      <c r="B70" s="2">
        <v>4062</v>
      </c>
      <c r="C70" s="4" t="str">
        <f>HYPERLINK("http://www.uniprot.org/uniprot/M5VIE5","M5VIE5")</f>
        <v>M5VIE5</v>
      </c>
      <c r="D70" s="2" t="s">
        <v>68</v>
      </c>
      <c r="E70" s="3">
        <v>0</v>
      </c>
      <c r="F70" s="2">
        <v>5226</v>
      </c>
      <c r="G70" s="2">
        <v>100</v>
      </c>
      <c r="H70" s="2">
        <v>1021</v>
      </c>
      <c r="I70" s="2">
        <v>514</v>
      </c>
      <c r="J70" s="2">
        <v>3576</v>
      </c>
      <c r="K70" s="2">
        <v>1</v>
      </c>
      <c r="L70" s="2">
        <v>1021</v>
      </c>
    </row>
    <row r="71" spans="1:12" x14ac:dyDescent="0.25">
      <c r="A71" s="4" t="str">
        <f>HYPERLINK("http://www.rosaceae.org/Prunus/Prunus_persica/p.persica_gdr_reftransV1_0001851","p.persica_gdr_reftransV1_0001851")</f>
        <v>p.persica_gdr_reftransV1_0001851</v>
      </c>
      <c r="B71" s="2">
        <v>679</v>
      </c>
      <c r="C71" s="4" t="str">
        <f>HYPERLINK("http://www.uniprot.org/uniprot/M5XZK5","M5XZK5")</f>
        <v>M5XZK5</v>
      </c>
      <c r="D71" s="2" t="s">
        <v>69</v>
      </c>
      <c r="E71" s="3">
        <v>3.48E-72</v>
      </c>
      <c r="F71" s="2">
        <v>577</v>
      </c>
      <c r="G71" s="2">
        <v>100</v>
      </c>
      <c r="H71" s="2">
        <v>107</v>
      </c>
      <c r="I71" s="2">
        <v>170</v>
      </c>
      <c r="J71" s="2">
        <v>490</v>
      </c>
      <c r="K71" s="2">
        <v>1</v>
      </c>
      <c r="L71" s="2">
        <v>107</v>
      </c>
    </row>
    <row r="72" spans="1:12" x14ac:dyDescent="0.25">
      <c r="A72" s="4" t="str">
        <f>HYPERLINK("http://www.rosaceae.org/Prunus/Prunus_persica/p.persica_gdr_reftransV1_0002201","p.persica_gdr_reftransV1_0002201")</f>
        <v>p.persica_gdr_reftransV1_0002201</v>
      </c>
      <c r="B72" s="2">
        <v>1373</v>
      </c>
      <c r="C72" s="4" t="str">
        <f>HYPERLINK("http://www.uniprot.org/uniprot/M5XEJ4","M5XEJ4")</f>
        <v>M5XEJ4</v>
      </c>
      <c r="D72" s="2" t="s">
        <v>70</v>
      </c>
      <c r="E72" s="3">
        <v>0</v>
      </c>
      <c r="F72" s="2">
        <v>1517</v>
      </c>
      <c r="G72" s="2">
        <v>100</v>
      </c>
      <c r="H72" s="2">
        <v>288</v>
      </c>
      <c r="I72" s="2">
        <v>394</v>
      </c>
      <c r="J72" s="2">
        <v>1257</v>
      </c>
      <c r="K72" s="2">
        <v>1</v>
      </c>
      <c r="L72" s="2">
        <v>288</v>
      </c>
    </row>
    <row r="73" spans="1:12" x14ac:dyDescent="0.25">
      <c r="A73" s="4" t="str">
        <f>HYPERLINK("http://www.rosaceae.org/Prunus/Prunus_persica/p.persica_gdr_reftransV1_0002551","p.persica_gdr_reftransV1_0002551")</f>
        <v>p.persica_gdr_reftransV1_0002551</v>
      </c>
      <c r="B73" s="2">
        <v>1695</v>
      </c>
      <c r="C73" s="4" t="str">
        <f>HYPERLINK("http://www.uniprot.org/uniprot/A0A0D2NDD4","A0A0D2NDD4")</f>
        <v>A0A0D2NDD4</v>
      </c>
      <c r="D73" s="2" t="s">
        <v>71</v>
      </c>
      <c r="E73" s="3">
        <v>0</v>
      </c>
      <c r="F73" s="2">
        <v>1683</v>
      </c>
      <c r="G73" s="2">
        <v>69</v>
      </c>
      <c r="H73" s="2">
        <v>458</v>
      </c>
      <c r="I73" s="2">
        <v>72</v>
      </c>
      <c r="J73" s="2">
        <v>1439</v>
      </c>
      <c r="K73" s="2">
        <v>1</v>
      </c>
      <c r="L73" s="2">
        <v>453</v>
      </c>
    </row>
    <row r="74" spans="1:12" x14ac:dyDescent="0.25">
      <c r="A74" s="4" t="str">
        <f>HYPERLINK("http://www.rosaceae.org/Prunus/Prunus_persica/p.persica_gdr_reftransV1_0002901","p.persica_gdr_reftransV1_0002901")</f>
        <v>p.persica_gdr_reftransV1_0002901</v>
      </c>
      <c r="B74" s="2">
        <v>1100</v>
      </c>
      <c r="C74" s="4" t="str">
        <f>HYPERLINK("http://www.uniprot.org/uniprot/M5WJ18","M5WJ18")</f>
        <v>M5WJ18</v>
      </c>
      <c r="D74" s="2" t="s">
        <v>72</v>
      </c>
      <c r="E74" s="3">
        <v>0</v>
      </c>
      <c r="F74" s="2">
        <v>1383</v>
      </c>
      <c r="G74" s="2">
        <v>100</v>
      </c>
      <c r="H74" s="2">
        <v>264</v>
      </c>
      <c r="I74" s="2">
        <v>308</v>
      </c>
      <c r="J74" s="2">
        <v>1099</v>
      </c>
      <c r="K74" s="2">
        <v>107</v>
      </c>
      <c r="L74" s="2">
        <v>370</v>
      </c>
    </row>
    <row r="75" spans="1:12" x14ac:dyDescent="0.25">
      <c r="A75" s="4" t="str">
        <f>HYPERLINK("http://www.rosaceae.org/Prunus/Prunus_persica/p.persica_gdr_reftransV1_0003251","p.persica_gdr_reftransV1_0003251")</f>
        <v>p.persica_gdr_reftransV1_0003251</v>
      </c>
      <c r="B75" s="2">
        <v>538</v>
      </c>
      <c r="C75" s="4" t="str">
        <f>HYPERLINK("http://www.uniprot.org/uniprot/A0A0D2NUU2","A0A0D2NUU2")</f>
        <v>A0A0D2NUU2</v>
      </c>
      <c r="D75" s="2" t="s">
        <v>73</v>
      </c>
      <c r="E75" s="3">
        <v>5.9399999999999996E-47</v>
      </c>
      <c r="F75" s="2">
        <v>418</v>
      </c>
      <c r="G75" s="2">
        <v>73</v>
      </c>
      <c r="H75" s="2">
        <v>107</v>
      </c>
      <c r="I75" s="2">
        <v>210</v>
      </c>
      <c r="J75" s="2">
        <v>530</v>
      </c>
      <c r="K75" s="2">
        <v>161</v>
      </c>
      <c r="L75" s="2">
        <v>264</v>
      </c>
    </row>
    <row r="76" spans="1:12" x14ac:dyDescent="0.25">
      <c r="A76" s="4" t="str">
        <f>HYPERLINK("http://www.rosaceae.org/Prunus/Prunus_persica/p.persica_gdr_reftransV1_0004301","p.persica_gdr_reftransV1_0004301")</f>
        <v>p.persica_gdr_reftransV1_0004301</v>
      </c>
      <c r="B76" s="2">
        <v>1662</v>
      </c>
      <c r="C76" s="4" t="str">
        <f>HYPERLINK("http://www.uniprot.org/uniprot/M5WHI3","M5WHI3")</f>
        <v>M5WHI3</v>
      </c>
      <c r="D76" s="2" t="s">
        <v>74</v>
      </c>
      <c r="E76" s="3">
        <v>0</v>
      </c>
      <c r="F76" s="2">
        <v>2034</v>
      </c>
      <c r="G76" s="2">
        <v>93</v>
      </c>
      <c r="H76" s="2">
        <v>465</v>
      </c>
      <c r="I76" s="2">
        <v>198</v>
      </c>
      <c r="J76" s="2">
        <v>1592</v>
      </c>
      <c r="K76" s="2">
        <v>1</v>
      </c>
      <c r="L76" s="2">
        <v>431</v>
      </c>
    </row>
    <row r="77" spans="1:12" x14ac:dyDescent="0.25">
      <c r="A77" s="4" t="str">
        <f>HYPERLINK("http://www.rosaceae.org/Prunus/Prunus_persica/p.persica_gdr_reftransV1_0004651","p.persica_gdr_reftransV1_0004651")</f>
        <v>p.persica_gdr_reftransV1_0004651</v>
      </c>
      <c r="B77" s="2">
        <v>983</v>
      </c>
      <c r="C77" s="4" t="str">
        <f>HYPERLINK("http://www.uniprot.org/uniprot/M5W082","M5W082")</f>
        <v>M5W082</v>
      </c>
      <c r="D77" s="2" t="s">
        <v>75</v>
      </c>
      <c r="E77" s="3">
        <v>6.9799999999999996E-51</v>
      </c>
      <c r="F77" s="2">
        <v>452</v>
      </c>
      <c r="G77" s="2">
        <v>94</v>
      </c>
      <c r="H77" s="2">
        <v>124</v>
      </c>
      <c r="I77" s="2">
        <v>113</v>
      </c>
      <c r="J77" s="2">
        <v>484</v>
      </c>
      <c r="K77" s="2">
        <v>1</v>
      </c>
      <c r="L77" s="2">
        <v>124</v>
      </c>
    </row>
    <row r="78" spans="1:12" x14ac:dyDescent="0.25">
      <c r="A78" s="4" t="str">
        <f>HYPERLINK("http://www.rosaceae.org/Prunus/Prunus_persica/p.persica_gdr_reftransV1_0005001","p.persica_gdr_reftransV1_0005001")</f>
        <v>p.persica_gdr_reftransV1_0005001</v>
      </c>
      <c r="B78" s="2">
        <v>1264</v>
      </c>
      <c r="C78" s="4" t="str">
        <f>HYPERLINK("http://www.uniprot.org/uniprot/M5XFV1","M5XFV1")</f>
        <v>M5XFV1</v>
      </c>
      <c r="D78" s="2" t="s">
        <v>76</v>
      </c>
      <c r="E78" s="3">
        <v>8.6399999999999995E-63</v>
      </c>
      <c r="F78" s="2">
        <v>534</v>
      </c>
      <c r="G78" s="2">
        <v>100</v>
      </c>
      <c r="H78" s="2">
        <v>126</v>
      </c>
      <c r="I78" s="2">
        <v>360</v>
      </c>
      <c r="J78" s="2">
        <v>737</v>
      </c>
      <c r="K78" s="2">
        <v>12</v>
      </c>
      <c r="L78" s="2">
        <v>137</v>
      </c>
    </row>
    <row r="79" spans="1:12" x14ac:dyDescent="0.25">
      <c r="A79" s="4" t="str">
        <f>HYPERLINK("http://www.rosaceae.org/Prunus/Prunus_persica/p.persica_gdr_reftransV1_0005701","p.persica_gdr_reftransV1_0005701")</f>
        <v>p.persica_gdr_reftransV1_0005701</v>
      </c>
      <c r="B79" s="2">
        <v>320</v>
      </c>
      <c r="C79" s="4" t="str">
        <f>HYPERLINK("http://www.uniprot.org/uniprot/M5VSV7","M5VSV7")</f>
        <v>M5VSV7</v>
      </c>
      <c r="D79" s="2" t="s">
        <v>77</v>
      </c>
      <c r="E79" s="3">
        <v>2.8599999999999998E-42</v>
      </c>
      <c r="F79" s="2">
        <v>385</v>
      </c>
      <c r="G79" s="2">
        <v>100</v>
      </c>
      <c r="H79" s="2">
        <v>106</v>
      </c>
      <c r="I79" s="2">
        <v>1</v>
      </c>
      <c r="J79" s="2">
        <v>318</v>
      </c>
      <c r="K79" s="2">
        <v>69</v>
      </c>
      <c r="L79" s="2">
        <v>174</v>
      </c>
    </row>
    <row r="80" spans="1:12" x14ac:dyDescent="0.25">
      <c r="A80" s="4" t="str">
        <f>HYPERLINK("http://www.rosaceae.org/Prunus/Prunus_persica/p.persica_gdr_reftransV1_0006051","p.persica_gdr_reftransV1_0006051")</f>
        <v>p.persica_gdr_reftransV1_0006051</v>
      </c>
      <c r="B80" s="2">
        <v>1523</v>
      </c>
      <c r="C80" s="4" t="str">
        <f>HYPERLINK("http://www.uniprot.org/uniprot/M5VYZ6","M5VYZ6")</f>
        <v>M5VYZ6</v>
      </c>
      <c r="D80" s="2" t="s">
        <v>78</v>
      </c>
      <c r="E80" s="3">
        <v>0</v>
      </c>
      <c r="F80" s="2">
        <v>2014</v>
      </c>
      <c r="G80" s="2">
        <v>100</v>
      </c>
      <c r="H80" s="2">
        <v>416</v>
      </c>
      <c r="I80" s="2">
        <v>275</v>
      </c>
      <c r="J80" s="2">
        <v>1522</v>
      </c>
      <c r="K80" s="2">
        <v>63</v>
      </c>
      <c r="L80" s="2">
        <v>478</v>
      </c>
    </row>
    <row r="81" spans="1:12" x14ac:dyDescent="0.25">
      <c r="A81" s="4" t="str">
        <f>HYPERLINK("http://www.rosaceae.org/Prunus/Prunus_persica/p.persica_gdr_reftransV1_0007451","p.persica_gdr_reftransV1_0007451")</f>
        <v>p.persica_gdr_reftransV1_0007451</v>
      </c>
      <c r="B81" s="2">
        <v>2091</v>
      </c>
      <c r="C81" s="4" t="str">
        <f>HYPERLINK("http://www.uniprot.org/uniprot/M5WE12","M5WE12")</f>
        <v>M5WE12</v>
      </c>
      <c r="D81" s="2" t="s">
        <v>79</v>
      </c>
      <c r="E81" s="3">
        <v>0</v>
      </c>
      <c r="F81" s="2">
        <v>2435</v>
      </c>
      <c r="G81" s="2">
        <v>100</v>
      </c>
      <c r="H81" s="2">
        <v>459</v>
      </c>
      <c r="I81" s="2">
        <v>1</v>
      </c>
      <c r="J81" s="2">
        <v>1377</v>
      </c>
      <c r="K81" s="2">
        <v>90</v>
      </c>
      <c r="L81" s="2">
        <v>548</v>
      </c>
    </row>
    <row r="82" spans="1:12" x14ac:dyDescent="0.25">
      <c r="A82" s="4" t="str">
        <f>HYPERLINK("http://www.rosaceae.org/Prunus/Prunus_persica/p.persica_gdr_reftransV1_0007801","p.persica_gdr_reftransV1_0007801")</f>
        <v>p.persica_gdr_reftransV1_0007801</v>
      </c>
      <c r="B82" s="2">
        <v>1808</v>
      </c>
      <c r="C82" s="4" t="str">
        <f>HYPERLINK("http://www.uniprot.org/uniprot/M5WGN9","M5WGN9")</f>
        <v>M5WGN9</v>
      </c>
      <c r="D82" s="2" t="s">
        <v>80</v>
      </c>
      <c r="E82" s="3">
        <v>0</v>
      </c>
      <c r="F82" s="2">
        <v>2520</v>
      </c>
      <c r="G82" s="2">
        <v>100</v>
      </c>
      <c r="H82" s="2">
        <v>519</v>
      </c>
      <c r="I82" s="2">
        <v>14</v>
      </c>
      <c r="J82" s="2">
        <v>1570</v>
      </c>
      <c r="K82" s="2">
        <v>1</v>
      </c>
      <c r="L82" s="2">
        <v>519</v>
      </c>
    </row>
    <row r="83" spans="1:12" x14ac:dyDescent="0.25">
      <c r="A83" s="4" t="str">
        <f>HYPERLINK("http://www.rosaceae.org/Prunus/Prunus_persica/p.persica_gdr_reftransV1_0008501","p.persica_gdr_reftransV1_0008501")</f>
        <v>p.persica_gdr_reftransV1_0008501</v>
      </c>
      <c r="B83" s="2">
        <v>772</v>
      </c>
      <c r="C83" s="4" t="str">
        <f>HYPERLINK("http://www.uniprot.org/uniprot/M5X6J0","M5X6J0")</f>
        <v>M5X6J0</v>
      </c>
      <c r="D83" s="2" t="s">
        <v>81</v>
      </c>
      <c r="E83" s="3">
        <v>1.6199999999999999E-58</v>
      </c>
      <c r="F83" s="2">
        <v>489</v>
      </c>
      <c r="G83" s="2">
        <v>100</v>
      </c>
      <c r="H83" s="2">
        <v>108</v>
      </c>
      <c r="I83" s="2">
        <v>247</v>
      </c>
      <c r="J83" s="2">
        <v>570</v>
      </c>
      <c r="K83" s="2">
        <v>1</v>
      </c>
      <c r="L83" s="2">
        <v>108</v>
      </c>
    </row>
    <row r="84" spans="1:12" x14ac:dyDescent="0.25">
      <c r="A84" s="4" t="str">
        <f>HYPERLINK("http://www.rosaceae.org/Prunus/Prunus_persica/p.persica_gdr_reftransV1_0009551","p.persica_gdr_reftransV1_0009551")</f>
        <v>p.persica_gdr_reftransV1_0009551</v>
      </c>
      <c r="B84" s="2">
        <v>3908</v>
      </c>
      <c r="C84" s="4" t="str">
        <f>HYPERLINK("http://www.uniprot.org/uniprot/M5WAM5","M5WAM5")</f>
        <v>M5WAM5</v>
      </c>
      <c r="D84" s="2" t="s">
        <v>82</v>
      </c>
      <c r="E84" s="3">
        <v>0</v>
      </c>
      <c r="F84" s="2">
        <v>1852</v>
      </c>
      <c r="G84" s="2">
        <v>100</v>
      </c>
      <c r="H84" s="2">
        <v>496</v>
      </c>
      <c r="I84" s="2">
        <v>2103</v>
      </c>
      <c r="J84" s="2">
        <v>3590</v>
      </c>
      <c r="K84" s="2">
        <v>1</v>
      </c>
      <c r="L84" s="2">
        <v>496</v>
      </c>
    </row>
    <row r="85" spans="1:12" x14ac:dyDescent="0.25">
      <c r="A85" s="4" t="str">
        <f>HYPERLINK("http://www.rosaceae.org/Prunus/Prunus_persica/p.persica_gdr_reftransV1_0010601","p.persica_gdr_reftransV1_0010601")</f>
        <v>p.persica_gdr_reftransV1_0010601</v>
      </c>
      <c r="B85" s="2">
        <v>1362</v>
      </c>
      <c r="C85" s="4" t="str">
        <f>HYPERLINK("http://www.uniprot.org/uniprot/M5XWT0","M5XWT0")</f>
        <v>M5XWT0</v>
      </c>
      <c r="D85" s="2" t="s">
        <v>83</v>
      </c>
      <c r="E85" s="3">
        <v>2.7400000000000001E-174</v>
      </c>
      <c r="F85" s="2">
        <v>1298</v>
      </c>
      <c r="G85" s="2">
        <v>100</v>
      </c>
      <c r="H85" s="2">
        <v>315</v>
      </c>
      <c r="I85" s="2">
        <v>416</v>
      </c>
      <c r="J85" s="2">
        <v>1360</v>
      </c>
      <c r="K85" s="2">
        <v>27</v>
      </c>
      <c r="L85" s="2">
        <v>341</v>
      </c>
    </row>
    <row r="86" spans="1:12" x14ac:dyDescent="0.25">
      <c r="A86" s="4" t="str">
        <f>HYPERLINK("http://www.rosaceae.org/Prunus/Prunus_persica/p.persica_gdr_reftransV1_0011301","p.persica_gdr_reftransV1_0011301")</f>
        <v>p.persica_gdr_reftransV1_0011301</v>
      </c>
      <c r="B86" s="2">
        <v>1014</v>
      </c>
      <c r="C86" s="4" t="str">
        <f>HYPERLINK("http://www.uniprot.org/uniprot/M5W035","M5W035")</f>
        <v>M5W035</v>
      </c>
      <c r="D86" s="2" t="s">
        <v>84</v>
      </c>
      <c r="E86" s="3">
        <v>9.4499999999999999E-110</v>
      </c>
      <c r="F86" s="2">
        <v>843</v>
      </c>
      <c r="G86" s="2">
        <v>100</v>
      </c>
      <c r="H86" s="2">
        <v>180</v>
      </c>
      <c r="I86" s="2">
        <v>239</v>
      </c>
      <c r="J86" s="2">
        <v>778</v>
      </c>
      <c r="K86" s="2">
        <v>1</v>
      </c>
      <c r="L86" s="2">
        <v>180</v>
      </c>
    </row>
    <row r="87" spans="1:12" x14ac:dyDescent="0.25">
      <c r="A87" s="4" t="str">
        <f>HYPERLINK("http://www.rosaceae.org/Prunus/Prunus_persica/p.persica_gdr_reftransV1_0011651","p.persica_gdr_reftransV1_0011651")</f>
        <v>p.persica_gdr_reftransV1_0011651</v>
      </c>
      <c r="B87" s="2">
        <v>1864</v>
      </c>
      <c r="C87" s="4" t="str">
        <f>HYPERLINK("http://www.uniprot.org/uniprot/M5VTJ3","M5VTJ3")</f>
        <v>M5VTJ3</v>
      </c>
      <c r="D87" s="2" t="s">
        <v>85</v>
      </c>
      <c r="E87" s="3">
        <v>0</v>
      </c>
      <c r="F87" s="2">
        <v>2399</v>
      </c>
      <c r="G87" s="2">
        <v>100</v>
      </c>
      <c r="H87" s="2">
        <v>478</v>
      </c>
      <c r="I87" s="2">
        <v>358</v>
      </c>
      <c r="J87" s="2">
        <v>1791</v>
      </c>
      <c r="K87" s="2">
        <v>1</v>
      </c>
      <c r="L87" s="2">
        <v>478</v>
      </c>
    </row>
    <row r="88" spans="1:12" x14ac:dyDescent="0.25">
      <c r="A88" s="4" t="str">
        <f>HYPERLINK("http://www.rosaceae.org/Prunus/Prunus_persica/p.persica_gdr_reftransV1_0012001","p.persica_gdr_reftransV1_0012001")</f>
        <v>p.persica_gdr_reftransV1_0012001</v>
      </c>
      <c r="B88" s="2">
        <v>2087</v>
      </c>
      <c r="C88" s="4" t="str">
        <f>HYPERLINK("http://www.uniprot.org/uniprot/M5W9S2","M5W9S2")</f>
        <v>M5W9S2</v>
      </c>
      <c r="D88" s="2" t="s">
        <v>86</v>
      </c>
      <c r="E88" s="3">
        <v>0</v>
      </c>
      <c r="F88" s="2">
        <v>1767</v>
      </c>
      <c r="G88" s="2">
        <v>100</v>
      </c>
      <c r="H88" s="2">
        <v>355</v>
      </c>
      <c r="I88" s="2">
        <v>294</v>
      </c>
      <c r="J88" s="2">
        <v>1358</v>
      </c>
      <c r="K88" s="2">
        <v>1</v>
      </c>
      <c r="L88" s="2">
        <v>355</v>
      </c>
    </row>
    <row r="89" spans="1:12" x14ac:dyDescent="0.25">
      <c r="A89" s="4" t="str">
        <f>HYPERLINK("http://www.rosaceae.org/Prunus/Prunus_persica/p.persica_gdr_reftransV1_0014101","p.persica_gdr_reftransV1_0014101")</f>
        <v>p.persica_gdr_reftransV1_0014101</v>
      </c>
      <c r="B89" s="2">
        <v>1759</v>
      </c>
      <c r="C89" s="4" t="str">
        <f>HYPERLINK("http://www.uniprot.org/uniprot/M5WEA2","M5WEA2")</f>
        <v>M5WEA2</v>
      </c>
      <c r="D89" s="2" t="s">
        <v>87</v>
      </c>
      <c r="E89" s="3">
        <v>0</v>
      </c>
      <c r="F89" s="2">
        <v>1607</v>
      </c>
      <c r="G89" s="2">
        <v>100</v>
      </c>
      <c r="H89" s="2">
        <v>400</v>
      </c>
      <c r="I89" s="2">
        <v>279</v>
      </c>
      <c r="J89" s="2">
        <v>1478</v>
      </c>
      <c r="K89" s="2">
        <v>1</v>
      </c>
      <c r="L89" s="2">
        <v>400</v>
      </c>
    </row>
    <row r="90" spans="1:12" x14ac:dyDescent="0.25">
      <c r="A90" s="4" t="str">
        <f>HYPERLINK("http://www.rosaceae.org/Prunus/Prunus_persica/p.persica_gdr_reftransV1_0014451","p.persica_gdr_reftransV1_0014451")</f>
        <v>p.persica_gdr_reftransV1_0014451</v>
      </c>
      <c r="B90" s="2">
        <v>1891</v>
      </c>
      <c r="C90" s="4" t="str">
        <f>HYPERLINK("http://www.uniprot.org/uniprot/M5VWQ7","M5VWQ7")</f>
        <v>M5VWQ7</v>
      </c>
      <c r="D90" s="2" t="s">
        <v>88</v>
      </c>
      <c r="E90" s="3">
        <v>2.8800000000000001E-93</v>
      </c>
      <c r="F90" s="2">
        <v>760</v>
      </c>
      <c r="G90" s="2">
        <v>90</v>
      </c>
      <c r="H90" s="2">
        <v>191</v>
      </c>
      <c r="I90" s="2">
        <v>400</v>
      </c>
      <c r="J90" s="2">
        <v>972</v>
      </c>
      <c r="K90" s="2">
        <v>1</v>
      </c>
      <c r="L90" s="2">
        <v>191</v>
      </c>
    </row>
    <row r="91" spans="1:12" x14ac:dyDescent="0.25">
      <c r="A91" s="4" t="str">
        <f>HYPERLINK("http://www.rosaceae.org/Prunus/Prunus_persica/p.persica_gdr_reftransV1_0014801","p.persica_gdr_reftransV1_0014801")</f>
        <v>p.persica_gdr_reftransV1_0014801</v>
      </c>
      <c r="B91" s="2">
        <v>2486</v>
      </c>
      <c r="C91" s="4" t="str">
        <f>HYPERLINK("http://www.uniprot.org/uniprot/M5VUD8","M5VUD8")</f>
        <v>M5VUD8</v>
      </c>
      <c r="D91" s="2" t="s">
        <v>89</v>
      </c>
      <c r="E91" s="3">
        <v>0</v>
      </c>
      <c r="F91" s="2">
        <v>3921</v>
      </c>
      <c r="G91" s="2">
        <v>96</v>
      </c>
      <c r="H91" s="2">
        <v>828</v>
      </c>
      <c r="I91" s="2">
        <v>1</v>
      </c>
      <c r="J91" s="2">
        <v>2484</v>
      </c>
      <c r="K91" s="2">
        <v>11</v>
      </c>
      <c r="L91" s="2">
        <v>809</v>
      </c>
    </row>
    <row r="92" spans="1:12" x14ac:dyDescent="0.25">
      <c r="A92" s="4" t="str">
        <f>HYPERLINK("http://www.rosaceae.org/Prunus/Prunus_persica/p.persica_gdr_reftransV1_0015501","p.persica_gdr_reftransV1_0015501")</f>
        <v>p.persica_gdr_reftransV1_0015501</v>
      </c>
      <c r="B92" s="2">
        <v>1236</v>
      </c>
      <c r="C92" s="4" t="str">
        <f>HYPERLINK("http://www.uniprot.org/uniprot/M5X4P9","M5X4P9")</f>
        <v>M5X4P9</v>
      </c>
      <c r="D92" s="2" t="s">
        <v>90</v>
      </c>
      <c r="E92" s="3">
        <v>0</v>
      </c>
      <c r="F92" s="2">
        <v>1568</v>
      </c>
      <c r="G92" s="2">
        <v>97</v>
      </c>
      <c r="H92" s="2">
        <v>359</v>
      </c>
      <c r="I92" s="2">
        <v>1</v>
      </c>
      <c r="J92" s="2">
        <v>1077</v>
      </c>
      <c r="K92" s="2">
        <v>1</v>
      </c>
      <c r="L92" s="2">
        <v>359</v>
      </c>
    </row>
    <row r="93" spans="1:12" x14ac:dyDescent="0.25">
      <c r="A93" s="4" t="str">
        <f>HYPERLINK("http://www.rosaceae.org/Prunus/Prunus_persica/p.persica_gdr_reftransV1_0015851","p.persica_gdr_reftransV1_0015851")</f>
        <v>p.persica_gdr_reftransV1_0015851</v>
      </c>
      <c r="B93" s="2">
        <v>756</v>
      </c>
      <c r="C93" s="4" t="str">
        <f>HYPERLINK("http://www.uniprot.org/uniprot/M5XH24","M5XH24")</f>
        <v>M5XH24</v>
      </c>
      <c r="D93" s="2" t="s">
        <v>91</v>
      </c>
      <c r="E93" s="3">
        <v>3.8399999999999999E-46</v>
      </c>
      <c r="F93" s="2">
        <v>404</v>
      </c>
      <c r="G93" s="2">
        <v>100</v>
      </c>
      <c r="H93" s="2">
        <v>84</v>
      </c>
      <c r="I93" s="2">
        <v>182</v>
      </c>
      <c r="J93" s="2">
        <v>433</v>
      </c>
      <c r="K93" s="2">
        <v>1</v>
      </c>
      <c r="L93" s="2">
        <v>84</v>
      </c>
    </row>
    <row r="94" spans="1:12" x14ac:dyDescent="0.25">
      <c r="A94" s="4" t="str">
        <f>HYPERLINK("http://www.rosaceae.org/Prunus/Prunus_persica/p.persica_gdr_reftransV1_0017251","p.persica_gdr_reftransV1_0017251")</f>
        <v>p.persica_gdr_reftransV1_0017251</v>
      </c>
      <c r="B94" s="2">
        <v>2578</v>
      </c>
      <c r="C94" s="4" t="str">
        <f>HYPERLINK("http://www.uniprot.org/uniprot/M5WS45","M5WS45")</f>
        <v>M5WS45</v>
      </c>
      <c r="D94" s="2" t="s">
        <v>92</v>
      </c>
      <c r="E94" s="3">
        <v>1.5500000000000001E-107</v>
      </c>
      <c r="F94" s="2">
        <v>895</v>
      </c>
      <c r="G94" s="2">
        <v>100</v>
      </c>
      <c r="H94" s="2">
        <v>170</v>
      </c>
      <c r="I94" s="2">
        <v>1942</v>
      </c>
      <c r="J94" s="2">
        <v>2451</v>
      </c>
      <c r="K94" s="2">
        <v>253</v>
      </c>
      <c r="L94" s="2">
        <v>422</v>
      </c>
    </row>
    <row r="95" spans="1:12" x14ac:dyDescent="0.25">
      <c r="A95" s="4" t="str">
        <f>HYPERLINK("http://www.rosaceae.org/Prunus/Prunus_persica/p.persica_gdr_reftransV1_0017601","p.persica_gdr_reftransV1_0017601")</f>
        <v>p.persica_gdr_reftransV1_0017601</v>
      </c>
      <c r="B95" s="2">
        <v>2536</v>
      </c>
      <c r="C95" s="4" t="str">
        <f>HYPERLINK("http://www.uniprot.org/uniprot/M5WCI5","M5WCI5")</f>
        <v>M5WCI5</v>
      </c>
      <c r="D95" s="2" t="s">
        <v>93</v>
      </c>
      <c r="E95" s="3">
        <v>0</v>
      </c>
      <c r="F95" s="2">
        <v>2039</v>
      </c>
      <c r="G95" s="2">
        <v>100</v>
      </c>
      <c r="H95" s="2">
        <v>413</v>
      </c>
      <c r="I95" s="2">
        <v>764</v>
      </c>
      <c r="J95" s="2">
        <v>2002</v>
      </c>
      <c r="K95" s="2">
        <v>167</v>
      </c>
      <c r="L95" s="2">
        <v>579</v>
      </c>
    </row>
    <row r="96" spans="1:12" x14ac:dyDescent="0.25">
      <c r="A96" s="4" t="str">
        <f>HYPERLINK("http://www.rosaceae.org/Prunus/Prunus_persica/p.persica_gdr_reftransV1_0017951","p.persica_gdr_reftransV1_0017951")</f>
        <v>p.persica_gdr_reftransV1_0017951</v>
      </c>
      <c r="B96" s="2">
        <v>839</v>
      </c>
      <c r="C96" s="4" t="str">
        <f>HYPERLINK("http://www.uniprot.org/uniprot/M5XM63","M5XM63")</f>
        <v>M5XM63</v>
      </c>
      <c r="D96" s="2" t="s">
        <v>94</v>
      </c>
      <c r="E96" s="3">
        <v>9.8400000000000005E-83</v>
      </c>
      <c r="F96" s="2">
        <v>653</v>
      </c>
      <c r="G96" s="2">
        <v>100</v>
      </c>
      <c r="H96" s="2">
        <v>124</v>
      </c>
      <c r="I96" s="2">
        <v>139</v>
      </c>
      <c r="J96" s="2">
        <v>510</v>
      </c>
      <c r="K96" s="2">
        <v>1</v>
      </c>
      <c r="L96" s="2">
        <v>124</v>
      </c>
    </row>
    <row r="97" spans="1:12" x14ac:dyDescent="0.25">
      <c r="A97" s="4" t="str">
        <f>HYPERLINK("http://www.rosaceae.org/Prunus/Prunus_persica/p.persica_gdr_reftransV1_0018301","p.persica_gdr_reftransV1_0018301")</f>
        <v>p.persica_gdr_reftransV1_0018301</v>
      </c>
      <c r="B97" s="2">
        <v>1158</v>
      </c>
      <c r="C97" s="4" t="str">
        <f>HYPERLINK("http://www.uniprot.org/uniprot/M5WP74","M5WP74")</f>
        <v>M5WP74</v>
      </c>
      <c r="D97" s="2" t="s">
        <v>95</v>
      </c>
      <c r="E97" s="3">
        <v>2.28E-60</v>
      </c>
      <c r="F97" s="2">
        <v>517</v>
      </c>
      <c r="G97" s="2">
        <v>100</v>
      </c>
      <c r="H97" s="2">
        <v>158</v>
      </c>
      <c r="I97" s="2">
        <v>202</v>
      </c>
      <c r="J97" s="2">
        <v>675</v>
      </c>
      <c r="K97" s="2">
        <v>1</v>
      </c>
      <c r="L97" s="2">
        <v>158</v>
      </c>
    </row>
    <row r="98" spans="1:12" x14ac:dyDescent="0.25">
      <c r="A98" s="4" t="str">
        <f>HYPERLINK("http://www.rosaceae.org/Prunus/Prunus_persica/p.persica_gdr_reftransV1_0020401","p.persica_gdr_reftransV1_0020401")</f>
        <v>p.persica_gdr_reftransV1_0020401</v>
      </c>
      <c r="B98" s="2">
        <v>749</v>
      </c>
      <c r="C98" s="4" t="str">
        <f>HYPERLINK("http://www.uniprot.org/uniprot/M5XW17","M5XW17")</f>
        <v>M5XW17</v>
      </c>
      <c r="D98" s="2" t="s">
        <v>96</v>
      </c>
      <c r="E98" s="3">
        <v>2.1500000000000001E-110</v>
      </c>
      <c r="F98" s="2">
        <v>855</v>
      </c>
      <c r="G98" s="2">
        <v>100</v>
      </c>
      <c r="H98" s="2">
        <v>161</v>
      </c>
      <c r="I98" s="2">
        <v>2</v>
      </c>
      <c r="J98" s="2">
        <v>484</v>
      </c>
      <c r="K98" s="2">
        <v>196</v>
      </c>
      <c r="L98" s="2">
        <v>356</v>
      </c>
    </row>
    <row r="99" spans="1:12" x14ac:dyDescent="0.25">
      <c r="A99" s="4" t="str">
        <f>HYPERLINK("http://www.rosaceae.org/Prunus/Prunus_persica/p.persica_gdr_reftransV1_0021101","p.persica_gdr_reftransV1_0021101")</f>
        <v>p.persica_gdr_reftransV1_0021101</v>
      </c>
      <c r="B99" s="2">
        <v>1429</v>
      </c>
      <c r="C99" s="4" t="str">
        <f>HYPERLINK("http://www.uniprot.org/uniprot/M5WB04","M5WB04")</f>
        <v>M5WB04</v>
      </c>
      <c r="D99" s="2" t="s">
        <v>97</v>
      </c>
      <c r="E99" s="3">
        <v>0</v>
      </c>
      <c r="F99" s="2">
        <v>1878</v>
      </c>
      <c r="G99" s="2">
        <v>100</v>
      </c>
      <c r="H99" s="2">
        <v>363</v>
      </c>
      <c r="I99" s="2">
        <v>88</v>
      </c>
      <c r="J99" s="2">
        <v>1176</v>
      </c>
      <c r="K99" s="2">
        <v>1</v>
      </c>
      <c r="L99" s="2">
        <v>363</v>
      </c>
    </row>
    <row r="100" spans="1:12" x14ac:dyDescent="0.25">
      <c r="A100" s="4" t="str">
        <f>HYPERLINK("http://www.rosaceae.org/Prunus/Prunus_persica/p.persica_gdr_reftransV1_0021451","p.persica_gdr_reftransV1_0021451")</f>
        <v>p.persica_gdr_reftransV1_0021451</v>
      </c>
      <c r="B100" s="2">
        <v>538</v>
      </c>
      <c r="C100" s="4" t="str">
        <f>HYPERLINK("http://www.uniprot.org/uniprot/M5WZU0","M5WZU0")</f>
        <v>M5WZU0</v>
      </c>
      <c r="D100" s="2" t="s">
        <v>98</v>
      </c>
      <c r="E100" s="3">
        <v>1.3299999999999999E-112</v>
      </c>
      <c r="F100" s="2">
        <v>896</v>
      </c>
      <c r="G100" s="2">
        <v>100</v>
      </c>
      <c r="H100" s="2">
        <v>179</v>
      </c>
      <c r="I100" s="2">
        <v>2</v>
      </c>
      <c r="J100" s="2">
        <v>538</v>
      </c>
      <c r="K100" s="2">
        <v>117</v>
      </c>
      <c r="L100" s="2">
        <v>295</v>
      </c>
    </row>
    <row r="101" spans="1:12" x14ac:dyDescent="0.25">
      <c r="A101" s="4" t="str">
        <f>HYPERLINK("http://www.rosaceae.org/Prunus/Prunus_persica/p.persica_gdr_reftransV1_0021801","p.persica_gdr_reftransV1_0021801")</f>
        <v>p.persica_gdr_reftransV1_0021801</v>
      </c>
      <c r="B101" s="2">
        <v>917</v>
      </c>
      <c r="C101" s="4" t="str">
        <f>HYPERLINK("http://www.uniprot.org/uniprot/M5VRD3","M5VRD3")</f>
        <v>M5VRD3</v>
      </c>
      <c r="D101" s="2" t="s">
        <v>99</v>
      </c>
      <c r="E101" s="3">
        <v>1.14E-97</v>
      </c>
      <c r="F101" s="2">
        <v>758</v>
      </c>
      <c r="G101" s="2">
        <v>84</v>
      </c>
      <c r="H101" s="2">
        <v>184</v>
      </c>
      <c r="I101" s="2">
        <v>277</v>
      </c>
      <c r="J101" s="2">
        <v>828</v>
      </c>
      <c r="K101" s="2">
        <v>1</v>
      </c>
      <c r="L101" s="2">
        <v>154</v>
      </c>
    </row>
    <row r="102" spans="1:12" x14ac:dyDescent="0.25">
      <c r="A102" s="4" t="str">
        <f>HYPERLINK("http://www.rosaceae.org/Prunus/Prunus_persica/p.persica_gdr_reftransV1_0022151","p.persica_gdr_reftransV1_0022151")</f>
        <v>p.persica_gdr_reftransV1_0022151</v>
      </c>
      <c r="B102" s="2">
        <v>1403</v>
      </c>
      <c r="C102" s="4" t="str">
        <f>HYPERLINK("http://www.uniprot.org/uniprot/M5X3H0","M5X3H0")</f>
        <v>M5X3H0</v>
      </c>
      <c r="D102" s="2" t="s">
        <v>100</v>
      </c>
      <c r="E102" s="3">
        <v>0</v>
      </c>
      <c r="F102" s="2">
        <v>1632</v>
      </c>
      <c r="G102" s="2">
        <v>100</v>
      </c>
      <c r="H102" s="2">
        <v>352</v>
      </c>
      <c r="I102" s="2">
        <v>152</v>
      </c>
      <c r="J102" s="2">
        <v>1207</v>
      </c>
      <c r="K102" s="2">
        <v>1</v>
      </c>
      <c r="L102" s="2">
        <v>352</v>
      </c>
    </row>
    <row r="103" spans="1:12" x14ac:dyDescent="0.25">
      <c r="A103" s="4" t="str">
        <f>HYPERLINK("http://www.rosaceae.org/Prunus/Prunus_persica/p.persica_gdr_reftransV1_0022851","p.persica_gdr_reftransV1_0022851")</f>
        <v>p.persica_gdr_reftransV1_0022851</v>
      </c>
      <c r="B103" s="2">
        <v>1575</v>
      </c>
      <c r="C103" s="4" t="str">
        <f>HYPERLINK("http://www.uniprot.org/uniprot/M5X5J7","M5X5J7")</f>
        <v>M5X5J7</v>
      </c>
      <c r="D103" s="2" t="s">
        <v>101</v>
      </c>
      <c r="E103" s="3">
        <v>5.1100000000000003E-159</v>
      </c>
      <c r="F103" s="2">
        <v>1206</v>
      </c>
      <c r="G103" s="2">
        <v>99</v>
      </c>
      <c r="H103" s="2">
        <v>319</v>
      </c>
      <c r="I103" s="2">
        <v>246</v>
      </c>
      <c r="J103" s="2">
        <v>1202</v>
      </c>
      <c r="K103" s="2">
        <v>41</v>
      </c>
      <c r="L103" s="2">
        <v>356</v>
      </c>
    </row>
    <row r="104" spans="1:12" x14ac:dyDescent="0.25">
      <c r="A104" s="4" t="str">
        <f>HYPERLINK("http://www.rosaceae.org/Prunus/Prunus_persica/p.persica_gdr_reftransV1_0023201","p.persica_gdr_reftransV1_0023201")</f>
        <v>p.persica_gdr_reftransV1_0023201</v>
      </c>
      <c r="B104" s="2">
        <v>2345</v>
      </c>
      <c r="C104" s="4" t="str">
        <f>HYPERLINK("http://www.uniprot.org/uniprot/M5W2W9","M5W2W9")</f>
        <v>M5W2W9</v>
      </c>
      <c r="D104" s="2" t="s">
        <v>102</v>
      </c>
      <c r="E104" s="3">
        <v>0</v>
      </c>
      <c r="F104" s="2">
        <v>2852</v>
      </c>
      <c r="G104" s="2">
        <v>100</v>
      </c>
      <c r="H104" s="2">
        <v>574</v>
      </c>
      <c r="I104" s="2">
        <v>274</v>
      </c>
      <c r="J104" s="2">
        <v>1995</v>
      </c>
      <c r="K104" s="2">
        <v>1</v>
      </c>
      <c r="L104" s="2">
        <v>574</v>
      </c>
    </row>
    <row r="105" spans="1:12" x14ac:dyDescent="0.25">
      <c r="A105" s="4" t="str">
        <f>HYPERLINK("http://www.rosaceae.org/Prunus/Prunus_persica/p.persica_gdr_reftransV1_0024251","p.persica_gdr_reftransV1_0024251")</f>
        <v>p.persica_gdr_reftransV1_0024251</v>
      </c>
      <c r="B105" s="2">
        <v>1647</v>
      </c>
      <c r="C105" s="4" t="str">
        <f>HYPERLINK("http://www.uniprot.org/uniprot/M5XD12","M5XD12")</f>
        <v>M5XD12</v>
      </c>
      <c r="D105" s="2" t="s">
        <v>103</v>
      </c>
      <c r="E105" s="3">
        <v>0</v>
      </c>
      <c r="F105" s="2">
        <v>2109</v>
      </c>
      <c r="G105" s="2">
        <v>100</v>
      </c>
      <c r="H105" s="2">
        <v>401</v>
      </c>
      <c r="I105" s="2">
        <v>102</v>
      </c>
      <c r="J105" s="2">
        <v>1304</v>
      </c>
      <c r="K105" s="2">
        <v>1</v>
      </c>
      <c r="L105" s="2">
        <v>401</v>
      </c>
    </row>
    <row r="106" spans="1:12" x14ac:dyDescent="0.25">
      <c r="A106" s="4" t="str">
        <f>HYPERLINK("http://www.rosaceae.org/Prunus/Prunus_persica/p.persica_gdr_reftransV1_0024601","p.persica_gdr_reftransV1_0024601")</f>
        <v>p.persica_gdr_reftransV1_0024601</v>
      </c>
      <c r="B106" s="2">
        <v>5075</v>
      </c>
      <c r="C106" s="4" t="str">
        <f>HYPERLINK("http://www.uniprot.org/uniprot/M5W860","M5W860")</f>
        <v>M5W860</v>
      </c>
      <c r="D106" s="2" t="s">
        <v>104</v>
      </c>
      <c r="E106" s="3">
        <v>0</v>
      </c>
      <c r="F106" s="2">
        <v>6922</v>
      </c>
      <c r="G106" s="2">
        <v>100</v>
      </c>
      <c r="H106" s="2">
        <v>1372</v>
      </c>
      <c r="I106" s="2">
        <v>540</v>
      </c>
      <c r="J106" s="2">
        <v>4655</v>
      </c>
      <c r="K106" s="2">
        <v>1</v>
      </c>
      <c r="L106" s="2">
        <v>1372</v>
      </c>
    </row>
    <row r="107" spans="1:12" x14ac:dyDescent="0.25">
      <c r="A107" s="4" t="str">
        <f>HYPERLINK("http://www.rosaceae.org/Prunus/Prunus_persica/p.persica_gdr_reftransV1_0024951","p.persica_gdr_reftransV1_0024951")</f>
        <v>p.persica_gdr_reftransV1_0024951</v>
      </c>
      <c r="B107" s="2">
        <v>2436</v>
      </c>
      <c r="C107" s="4" t="str">
        <f>HYPERLINK("http://www.uniprot.org/uniprot/M5XE74","M5XE74")</f>
        <v>M5XE74</v>
      </c>
      <c r="D107" s="2" t="s">
        <v>105</v>
      </c>
      <c r="E107" s="3">
        <v>0</v>
      </c>
      <c r="F107" s="2">
        <v>1419</v>
      </c>
      <c r="G107" s="2">
        <v>100</v>
      </c>
      <c r="H107" s="2">
        <v>296</v>
      </c>
      <c r="I107" s="2">
        <v>366</v>
      </c>
      <c r="J107" s="2">
        <v>1253</v>
      </c>
      <c r="K107" s="2">
        <v>1</v>
      </c>
      <c r="L107" s="2">
        <v>296</v>
      </c>
    </row>
    <row r="108" spans="1:12" x14ac:dyDescent="0.25">
      <c r="A108" s="4" t="str">
        <f>HYPERLINK("http://www.rosaceae.org/Prunus/Prunus_persica/p.persica_gdr_reftransV1_0026351","p.persica_gdr_reftransV1_0026351")</f>
        <v>p.persica_gdr_reftransV1_0026351</v>
      </c>
      <c r="B108" s="2">
        <v>2430</v>
      </c>
      <c r="C108" s="4" t="str">
        <f>HYPERLINK("http://www.uniprot.org/uniprot/M5WGD0","M5WGD0")</f>
        <v>M5WGD0</v>
      </c>
      <c r="D108" s="2" t="s">
        <v>106</v>
      </c>
      <c r="E108" s="3">
        <v>1.0399999999999999E-88</v>
      </c>
      <c r="F108" s="2">
        <v>754</v>
      </c>
      <c r="G108" s="2">
        <v>99</v>
      </c>
      <c r="H108" s="2">
        <v>141</v>
      </c>
      <c r="I108" s="2">
        <v>1737</v>
      </c>
      <c r="J108" s="2">
        <v>2159</v>
      </c>
      <c r="K108" s="2">
        <v>24</v>
      </c>
      <c r="L108" s="2">
        <v>164</v>
      </c>
    </row>
    <row r="109" spans="1:12" x14ac:dyDescent="0.25">
      <c r="A109" s="4" t="str">
        <f>HYPERLINK("http://www.rosaceae.org/Prunus/Prunus_persica/p.persica_gdr_reftransV1_0026701","p.persica_gdr_reftransV1_0026701")</f>
        <v>p.persica_gdr_reftransV1_0026701</v>
      </c>
      <c r="B109" s="2">
        <v>1594</v>
      </c>
      <c r="C109" s="4" t="str">
        <f>HYPERLINK("http://www.uniprot.org/uniprot/M5X807","M5X807")</f>
        <v>M5X807</v>
      </c>
      <c r="D109" s="2" t="s">
        <v>107</v>
      </c>
      <c r="E109" s="3">
        <v>0</v>
      </c>
      <c r="F109" s="2">
        <v>1628</v>
      </c>
      <c r="G109" s="2">
        <v>100</v>
      </c>
      <c r="H109" s="2">
        <v>371</v>
      </c>
      <c r="I109" s="2">
        <v>367</v>
      </c>
      <c r="J109" s="2">
        <v>1479</v>
      </c>
      <c r="K109" s="2">
        <v>1</v>
      </c>
      <c r="L109" s="2">
        <v>371</v>
      </c>
    </row>
    <row r="110" spans="1:12" x14ac:dyDescent="0.25">
      <c r="A110" s="4" t="str">
        <f>HYPERLINK("http://www.rosaceae.org/Prunus/Prunus_persica/p.persica_gdr_reftransV1_0027051","p.persica_gdr_reftransV1_0027051")</f>
        <v>p.persica_gdr_reftransV1_0027051</v>
      </c>
      <c r="B110" s="2">
        <v>3808</v>
      </c>
      <c r="C110" s="4" t="str">
        <f>HYPERLINK("http://www.uniprot.org/uniprot/M5W8D4","M5W8D4")</f>
        <v>M5W8D4</v>
      </c>
      <c r="D110" s="2" t="s">
        <v>108</v>
      </c>
      <c r="E110" s="3">
        <v>1.0200000000000001E-71</v>
      </c>
      <c r="F110" s="2">
        <v>634</v>
      </c>
      <c r="G110" s="2">
        <v>92</v>
      </c>
      <c r="H110" s="2">
        <v>151</v>
      </c>
      <c r="I110" s="2">
        <v>2216</v>
      </c>
      <c r="J110" s="2">
        <v>2668</v>
      </c>
      <c r="K110" s="2">
        <v>1</v>
      </c>
      <c r="L110" s="2">
        <v>151</v>
      </c>
    </row>
    <row r="111" spans="1:12" x14ac:dyDescent="0.25">
      <c r="A111" s="4" t="str">
        <f>HYPERLINK("http://www.rosaceae.org/Prunus/Prunus_persica/p.persica_gdr_reftransV1_0031601","p.persica_gdr_reftransV1_0031601")</f>
        <v>p.persica_gdr_reftransV1_0031601</v>
      </c>
      <c r="B111" s="2">
        <v>4044</v>
      </c>
      <c r="C111" s="4" t="str">
        <f>HYPERLINK("http://www.uniprot.org/uniprot/M5X9D0","M5X9D0")</f>
        <v>M5X9D0</v>
      </c>
      <c r="D111" s="2" t="s">
        <v>109</v>
      </c>
      <c r="E111" s="3">
        <v>3.2099999999999998E-123</v>
      </c>
      <c r="F111" s="2">
        <v>1007</v>
      </c>
      <c r="G111" s="2">
        <v>100</v>
      </c>
      <c r="H111" s="2">
        <v>210</v>
      </c>
      <c r="I111" s="2">
        <v>2760</v>
      </c>
      <c r="J111" s="2">
        <v>3389</v>
      </c>
      <c r="K111" s="2">
        <v>1</v>
      </c>
      <c r="L111" s="2">
        <v>210</v>
      </c>
    </row>
    <row r="112" spans="1:12" x14ac:dyDescent="0.25">
      <c r="A112" s="4" t="str">
        <f>HYPERLINK("http://www.rosaceae.org/Prunus/Prunus_persica/p.persica_gdr_reftransV1_0032301","p.persica_gdr_reftransV1_0032301")</f>
        <v>p.persica_gdr_reftransV1_0032301</v>
      </c>
      <c r="B112" s="2">
        <v>1740</v>
      </c>
      <c r="C112" s="4" t="str">
        <f>HYPERLINK("http://www.uniprot.org/uniprot/A0A061DWS4","A0A061DWS4")</f>
        <v>A0A061DWS4</v>
      </c>
      <c r="D112" s="2" t="s">
        <v>110</v>
      </c>
      <c r="E112" s="3">
        <v>0</v>
      </c>
      <c r="F112" s="2">
        <v>1071</v>
      </c>
      <c r="G112" s="2">
        <v>80</v>
      </c>
      <c r="H112" s="2">
        <v>243</v>
      </c>
      <c r="I112" s="2">
        <v>732</v>
      </c>
      <c r="J112" s="2">
        <v>1460</v>
      </c>
      <c r="K112" s="2">
        <v>384</v>
      </c>
      <c r="L112" s="2">
        <v>626</v>
      </c>
    </row>
    <row r="113" spans="1:12" x14ac:dyDescent="0.25">
      <c r="A113" s="4" t="str">
        <f>HYPERLINK("http://www.rosaceae.org/Prunus/Prunus_persica/p.persica_gdr_reftransV1_0033001","p.persica_gdr_reftransV1_0033001")</f>
        <v>p.persica_gdr_reftransV1_0033001</v>
      </c>
      <c r="B113" s="2">
        <v>576</v>
      </c>
      <c r="C113" s="4" t="str">
        <f>HYPERLINK("http://www.uniprot.org/uniprot/M5WZ10","M5WZ10")</f>
        <v>M5WZ10</v>
      </c>
      <c r="D113" s="2" t="s">
        <v>111</v>
      </c>
      <c r="E113" s="3">
        <v>2.1300000000000001E-103</v>
      </c>
      <c r="F113" s="2">
        <v>816</v>
      </c>
      <c r="G113" s="2">
        <v>100</v>
      </c>
      <c r="H113" s="2">
        <v>151</v>
      </c>
      <c r="I113" s="2">
        <v>124</v>
      </c>
      <c r="J113" s="2">
        <v>576</v>
      </c>
      <c r="K113" s="2">
        <v>1</v>
      </c>
      <c r="L113" s="2">
        <v>151</v>
      </c>
    </row>
    <row r="114" spans="1:12" x14ac:dyDescent="0.25">
      <c r="A114" s="4" t="str">
        <f>HYPERLINK("http://www.rosaceae.org/Prunus/Prunus_persica/p.persica_gdr_reftransV1_0034401","p.persica_gdr_reftransV1_0034401")</f>
        <v>p.persica_gdr_reftransV1_0034401</v>
      </c>
      <c r="B114" s="2">
        <v>2523</v>
      </c>
      <c r="C114" s="4" t="str">
        <f>HYPERLINK("http://www.uniprot.org/uniprot/M5WJ27","M5WJ27")</f>
        <v>M5WJ27</v>
      </c>
      <c r="D114" s="2" t="s">
        <v>112</v>
      </c>
      <c r="E114" s="3">
        <v>0</v>
      </c>
      <c r="F114" s="2">
        <v>2234</v>
      </c>
      <c r="G114" s="2">
        <v>90</v>
      </c>
      <c r="H114" s="2">
        <v>503</v>
      </c>
      <c r="I114" s="2">
        <v>829</v>
      </c>
      <c r="J114" s="2">
        <v>2337</v>
      </c>
      <c r="K114" s="2">
        <v>25</v>
      </c>
      <c r="L114" s="2">
        <v>479</v>
      </c>
    </row>
    <row r="115" spans="1:12" x14ac:dyDescent="0.25">
      <c r="A115" s="4" t="str">
        <f>HYPERLINK("http://www.rosaceae.org/Prunus/Prunus_persica/p.persica_gdr_reftransV1_0034751","p.persica_gdr_reftransV1_0034751")</f>
        <v>p.persica_gdr_reftransV1_0034751</v>
      </c>
      <c r="B115" s="2">
        <v>6512</v>
      </c>
      <c r="C115" s="4" t="str">
        <f>HYPERLINK("http://www.uniprot.org/uniprot/M5WEA5","M5WEA5")</f>
        <v>M5WEA5</v>
      </c>
      <c r="D115" s="2" t="s">
        <v>113</v>
      </c>
      <c r="E115" s="3">
        <v>0</v>
      </c>
      <c r="F115" s="2">
        <v>5953</v>
      </c>
      <c r="G115" s="2">
        <v>100</v>
      </c>
      <c r="H115" s="2">
        <v>1148</v>
      </c>
      <c r="I115" s="2">
        <v>2256</v>
      </c>
      <c r="J115" s="2">
        <v>5699</v>
      </c>
      <c r="K115" s="2">
        <v>1</v>
      </c>
      <c r="L115" s="2">
        <v>1148</v>
      </c>
    </row>
    <row r="116" spans="1:12" x14ac:dyDescent="0.25">
      <c r="A116" s="4" t="str">
        <f>HYPERLINK("http://www.rosaceae.org/Prunus/Prunus_persica/p.persica_gdr_reftransV1_0037901","p.persica_gdr_reftransV1_0037901")</f>
        <v>p.persica_gdr_reftransV1_0037901</v>
      </c>
      <c r="B116" s="2">
        <v>1145</v>
      </c>
      <c r="C116" s="4" t="str">
        <f>HYPERLINK("http://www.uniprot.org/uniprot/M5XLX3","M5XLX3")</f>
        <v>M5XLX3</v>
      </c>
      <c r="D116" s="2" t="s">
        <v>114</v>
      </c>
      <c r="E116" s="3">
        <v>1.0200000000000001E-108</v>
      </c>
      <c r="F116" s="2">
        <v>848</v>
      </c>
      <c r="G116" s="2">
        <v>84</v>
      </c>
      <c r="H116" s="2">
        <v>202</v>
      </c>
      <c r="I116" s="2">
        <v>332</v>
      </c>
      <c r="J116" s="2">
        <v>937</v>
      </c>
      <c r="K116" s="2">
        <v>64</v>
      </c>
      <c r="L116" s="2">
        <v>251</v>
      </c>
    </row>
    <row r="117" spans="1:12" x14ac:dyDescent="0.25">
      <c r="A117" s="4" t="str">
        <f>HYPERLINK("http://www.rosaceae.org/Prunus/Prunus_persica/p.persica_gdr_reftransV1_0040351","p.persica_gdr_reftransV1_0040351")</f>
        <v>p.persica_gdr_reftransV1_0040351</v>
      </c>
      <c r="B117" s="2">
        <v>3570</v>
      </c>
      <c r="C117" s="4" t="str">
        <f>HYPERLINK("http://www.uniprot.org/uniprot/I1W1U1","I1W1U1")</f>
        <v>I1W1U1</v>
      </c>
      <c r="D117" s="2" t="s">
        <v>115</v>
      </c>
      <c r="E117" s="3">
        <v>0</v>
      </c>
      <c r="F117" s="2">
        <v>4152</v>
      </c>
      <c r="G117" s="2">
        <v>100</v>
      </c>
      <c r="H117" s="2">
        <v>796</v>
      </c>
      <c r="I117" s="2">
        <v>469</v>
      </c>
      <c r="J117" s="2">
        <v>2856</v>
      </c>
      <c r="K117" s="2">
        <v>1</v>
      </c>
      <c r="L117" s="2">
        <v>796</v>
      </c>
    </row>
    <row r="118" spans="1:12" x14ac:dyDescent="0.25">
      <c r="A118" s="4" t="str">
        <f>HYPERLINK("http://www.rosaceae.org/Prunus/Prunus_persica/p.persica_gdr_reftransV1_0042101","p.persica_gdr_reftransV1_0042101")</f>
        <v>p.persica_gdr_reftransV1_0042101</v>
      </c>
      <c r="B118" s="2">
        <v>1964</v>
      </c>
      <c r="C118" s="4" t="str">
        <f>HYPERLINK("http://www.uniprot.org/uniprot/M5XS36","M5XS36")</f>
        <v>M5XS36</v>
      </c>
      <c r="D118" s="2" t="s">
        <v>116</v>
      </c>
      <c r="E118" s="3">
        <v>0</v>
      </c>
      <c r="F118" s="2">
        <v>1630</v>
      </c>
      <c r="G118" s="2">
        <v>82</v>
      </c>
      <c r="H118" s="2">
        <v>391</v>
      </c>
      <c r="I118" s="2">
        <v>313</v>
      </c>
      <c r="J118" s="2">
        <v>1485</v>
      </c>
      <c r="K118" s="2">
        <v>591</v>
      </c>
      <c r="L118" s="2">
        <v>948</v>
      </c>
    </row>
    <row r="119" spans="1:12" x14ac:dyDescent="0.25">
      <c r="A119" s="4" t="str">
        <f>HYPERLINK("http://www.rosaceae.org/Prunus/Prunus_persica/p.persica_gdr_reftransV1_0043151","p.persica_gdr_reftransV1_0043151")</f>
        <v>p.persica_gdr_reftransV1_0043151</v>
      </c>
      <c r="B119" s="2">
        <v>911</v>
      </c>
      <c r="C119" s="4" t="str">
        <f>HYPERLINK("http://www.uniprot.org/uniprot/M5WDF3","M5WDF3")</f>
        <v>M5WDF3</v>
      </c>
      <c r="D119" s="2" t="s">
        <v>117</v>
      </c>
      <c r="E119" s="3">
        <v>0</v>
      </c>
      <c r="F119" s="2">
        <v>1549</v>
      </c>
      <c r="G119" s="2">
        <v>100</v>
      </c>
      <c r="H119" s="2">
        <v>288</v>
      </c>
      <c r="I119" s="2">
        <v>46</v>
      </c>
      <c r="J119" s="2">
        <v>909</v>
      </c>
      <c r="K119" s="2">
        <v>1</v>
      </c>
      <c r="L119" s="2">
        <v>288</v>
      </c>
    </row>
    <row r="120" spans="1:12" x14ac:dyDescent="0.25">
      <c r="A120" s="4" t="str">
        <f>HYPERLINK("http://www.rosaceae.org/Prunus/Prunus_persica/p.persica_gdr_reftransV1_0043501","p.persica_gdr_reftransV1_0043501")</f>
        <v>p.persica_gdr_reftransV1_0043501</v>
      </c>
      <c r="B120" s="2">
        <v>457</v>
      </c>
      <c r="C120" s="4" t="str">
        <f>HYPERLINK("http://www.uniprot.org/uniprot/M5XBB0","M5XBB0")</f>
        <v>M5XBB0</v>
      </c>
      <c r="D120" s="2" t="s">
        <v>118</v>
      </c>
      <c r="E120" s="3">
        <v>7.0900000000000004E-103</v>
      </c>
      <c r="F120" s="2">
        <v>816</v>
      </c>
      <c r="G120" s="2">
        <v>100</v>
      </c>
      <c r="H120" s="2">
        <v>152</v>
      </c>
      <c r="I120" s="2">
        <v>2</v>
      </c>
      <c r="J120" s="2">
        <v>457</v>
      </c>
      <c r="K120" s="2">
        <v>130</v>
      </c>
      <c r="L120" s="2">
        <v>281</v>
      </c>
    </row>
    <row r="121" spans="1:12" x14ac:dyDescent="0.25">
      <c r="A121" s="4" t="str">
        <f>HYPERLINK("http://www.rosaceae.org/Prunus/Prunus_persica/p.persica_gdr_reftransV1_0043851","p.persica_gdr_reftransV1_0043851")</f>
        <v>p.persica_gdr_reftransV1_0043851</v>
      </c>
      <c r="B121" s="2">
        <v>495</v>
      </c>
      <c r="C121" s="4" t="str">
        <f>HYPERLINK("http://www.uniprot.org/uniprot/M5X9G3","M5X9G3")</f>
        <v>M5X9G3</v>
      </c>
      <c r="D121" s="2" t="s">
        <v>119</v>
      </c>
      <c r="E121" s="3">
        <v>2.07E-100</v>
      </c>
      <c r="F121" s="2">
        <v>809</v>
      </c>
      <c r="G121" s="2">
        <v>90</v>
      </c>
      <c r="H121" s="2">
        <v>163</v>
      </c>
      <c r="I121" s="2">
        <v>6</v>
      </c>
      <c r="J121" s="2">
        <v>494</v>
      </c>
      <c r="K121" s="2">
        <v>172</v>
      </c>
      <c r="L121" s="2">
        <v>334</v>
      </c>
    </row>
    <row r="122" spans="1:12" x14ac:dyDescent="0.25">
      <c r="A122" s="4" t="str">
        <f>HYPERLINK("http://www.rosaceae.org/Prunus/Prunus_persica/p.persica_gdr_reftransV1_0044201","p.persica_gdr_reftransV1_0044201")</f>
        <v>p.persica_gdr_reftransV1_0044201</v>
      </c>
      <c r="B122" s="2">
        <v>406</v>
      </c>
      <c r="C122" s="4" t="str">
        <f>HYPERLINK("http://www.uniprot.org/uniprot/M5WIG1","M5WIG1")</f>
        <v>M5WIG1</v>
      </c>
      <c r="D122" s="2" t="s">
        <v>120</v>
      </c>
      <c r="E122" s="3">
        <v>4.9699999999999997E-25</v>
      </c>
      <c r="F122" s="2">
        <v>262</v>
      </c>
      <c r="G122" s="2">
        <v>79</v>
      </c>
      <c r="H122" s="2">
        <v>72</v>
      </c>
      <c r="I122" s="2">
        <v>153</v>
      </c>
      <c r="J122" s="2">
        <v>368</v>
      </c>
      <c r="K122" s="2">
        <v>122</v>
      </c>
      <c r="L122" s="2">
        <v>178</v>
      </c>
    </row>
    <row r="123" spans="1:12" x14ac:dyDescent="0.25">
      <c r="A123" s="4" t="str">
        <f>HYPERLINK("http://www.rosaceae.org/Prunus/Prunus_persica/p.persica_gdr_reftransV1_0044551","p.persica_gdr_reftransV1_0044551")</f>
        <v>p.persica_gdr_reftransV1_0044551</v>
      </c>
      <c r="B123" s="2">
        <v>1517</v>
      </c>
      <c r="C123" s="4" t="str">
        <f>HYPERLINK("http://www.uniprot.org/uniprot/M5WHJ2","M5WHJ2")</f>
        <v>M5WHJ2</v>
      </c>
      <c r="D123" s="2" t="s">
        <v>121</v>
      </c>
      <c r="E123" s="3">
        <v>5.79E-130</v>
      </c>
      <c r="F123" s="2">
        <v>996</v>
      </c>
      <c r="G123" s="2">
        <v>100</v>
      </c>
      <c r="H123" s="2">
        <v>187</v>
      </c>
      <c r="I123" s="2">
        <v>290</v>
      </c>
      <c r="J123" s="2">
        <v>850</v>
      </c>
      <c r="K123" s="2">
        <v>14</v>
      </c>
      <c r="L123" s="2">
        <v>200</v>
      </c>
    </row>
    <row r="124" spans="1:12" x14ac:dyDescent="0.25">
      <c r="A124" s="4" t="str">
        <f>HYPERLINK("http://www.rosaceae.org/Prunus/Prunus_persica/p.persica_gdr_reftransV1_0044901","p.persica_gdr_reftransV1_0044901")</f>
        <v>p.persica_gdr_reftransV1_0044901</v>
      </c>
      <c r="B124" s="2">
        <v>1880</v>
      </c>
      <c r="C124" s="4" t="str">
        <f>HYPERLINK("http://www.uniprot.org/uniprot/M5XTC5","M5XTC5")</f>
        <v>M5XTC5</v>
      </c>
      <c r="D124" s="2" t="s">
        <v>122</v>
      </c>
      <c r="E124" s="3">
        <v>0</v>
      </c>
      <c r="F124" s="2">
        <v>2507</v>
      </c>
      <c r="G124" s="2">
        <v>97</v>
      </c>
      <c r="H124" s="2">
        <v>520</v>
      </c>
      <c r="I124" s="2">
        <v>320</v>
      </c>
      <c r="J124" s="2">
        <v>1879</v>
      </c>
      <c r="K124" s="2">
        <v>489</v>
      </c>
      <c r="L124" s="2">
        <v>992</v>
      </c>
    </row>
    <row r="125" spans="1:12" x14ac:dyDescent="0.25">
      <c r="A125" s="4" t="str">
        <f>HYPERLINK("http://www.rosaceae.org/Prunus/Prunus_persica/p.persica_gdr_reftransV1_0045601","p.persica_gdr_reftransV1_0045601")</f>
        <v>p.persica_gdr_reftransV1_0045601</v>
      </c>
      <c r="B125" s="2">
        <v>2279</v>
      </c>
      <c r="C125" s="4" t="str">
        <f>HYPERLINK("http://www.uniprot.org/uniprot/M5WGE3","M5WGE3")</f>
        <v>M5WGE3</v>
      </c>
      <c r="D125" s="2" t="s">
        <v>123</v>
      </c>
      <c r="E125" s="3">
        <v>0</v>
      </c>
      <c r="F125" s="2">
        <v>3157</v>
      </c>
      <c r="G125" s="2">
        <v>100</v>
      </c>
      <c r="H125" s="2">
        <v>612</v>
      </c>
      <c r="I125" s="2">
        <v>76</v>
      </c>
      <c r="J125" s="2">
        <v>1911</v>
      </c>
      <c r="K125" s="2">
        <v>1</v>
      </c>
      <c r="L125" s="2">
        <v>612</v>
      </c>
    </row>
    <row r="126" spans="1:12" x14ac:dyDescent="0.25">
      <c r="A126" s="4" t="str">
        <f>HYPERLINK("http://www.rosaceae.org/Prunus/Prunus_persica/p.persica_gdr_reftransV1_0045951","p.persica_gdr_reftransV1_0045951")</f>
        <v>p.persica_gdr_reftransV1_0045951</v>
      </c>
      <c r="B126" s="2">
        <v>791</v>
      </c>
      <c r="C126" s="4" t="str">
        <f>HYPERLINK("http://www.uniprot.org/uniprot/M5WNR2","M5WNR2")</f>
        <v>M5WNR2</v>
      </c>
      <c r="D126" s="2" t="s">
        <v>124</v>
      </c>
      <c r="E126" s="3">
        <v>1.3999999999999999E-88</v>
      </c>
      <c r="F126" s="2">
        <v>694</v>
      </c>
      <c r="G126" s="2">
        <v>82</v>
      </c>
      <c r="H126" s="2">
        <v>158</v>
      </c>
      <c r="I126" s="2">
        <v>33</v>
      </c>
      <c r="J126" s="2">
        <v>506</v>
      </c>
      <c r="K126" s="2">
        <v>1</v>
      </c>
      <c r="L126" s="2">
        <v>158</v>
      </c>
    </row>
    <row r="127" spans="1:12" x14ac:dyDescent="0.25">
      <c r="A127" s="4" t="str">
        <f>HYPERLINK("http://www.rosaceae.org/Prunus/Prunus_persica/p.persica_gdr_reftransV1_0046301","p.persica_gdr_reftransV1_0046301")</f>
        <v>p.persica_gdr_reftransV1_0046301</v>
      </c>
      <c r="B127" s="2">
        <v>1996</v>
      </c>
      <c r="C127" s="4" t="str">
        <f>HYPERLINK("http://www.uniprot.org/uniprot/M5WSM7","M5WSM7")</f>
        <v>M5WSM7</v>
      </c>
      <c r="D127" s="2" t="s">
        <v>125</v>
      </c>
      <c r="E127" s="3">
        <v>0</v>
      </c>
      <c r="F127" s="2">
        <v>3025</v>
      </c>
      <c r="G127" s="2">
        <v>100</v>
      </c>
      <c r="H127" s="2">
        <v>581</v>
      </c>
      <c r="I127" s="2">
        <v>217</v>
      </c>
      <c r="J127" s="2">
        <v>1959</v>
      </c>
      <c r="K127" s="2">
        <v>1</v>
      </c>
      <c r="L127" s="2">
        <v>581</v>
      </c>
    </row>
    <row r="128" spans="1:12" x14ac:dyDescent="0.25">
      <c r="A128" s="4" t="str">
        <f>HYPERLINK("http://www.rosaceae.org/Prunus/Prunus_persica/p.persica_gdr_reftransV1_0046651","p.persica_gdr_reftransV1_0046651")</f>
        <v>p.persica_gdr_reftransV1_0046651</v>
      </c>
      <c r="B128" s="2">
        <v>2160</v>
      </c>
      <c r="C128" s="4" t="str">
        <f>HYPERLINK("http://www.uniprot.org/uniprot/M5VN87","M5VN87")</f>
        <v>M5VN87</v>
      </c>
      <c r="D128" s="2" t="s">
        <v>126</v>
      </c>
      <c r="E128" s="3">
        <v>0</v>
      </c>
      <c r="F128" s="2">
        <v>1719</v>
      </c>
      <c r="G128" s="2">
        <v>84</v>
      </c>
      <c r="H128" s="2">
        <v>461</v>
      </c>
      <c r="I128" s="2">
        <v>445</v>
      </c>
      <c r="J128" s="2">
        <v>1635</v>
      </c>
      <c r="K128" s="2">
        <v>68</v>
      </c>
      <c r="L128" s="2">
        <v>528</v>
      </c>
    </row>
    <row r="129" spans="1:12" x14ac:dyDescent="0.25">
      <c r="A129" s="4" t="str">
        <f>HYPERLINK("http://www.rosaceae.org/Prunus/Prunus_persica/p.persica_gdr_reftransV1_0047001","p.persica_gdr_reftransV1_0047001")</f>
        <v>p.persica_gdr_reftransV1_0047001</v>
      </c>
      <c r="B129" s="2">
        <v>503</v>
      </c>
      <c r="C129" s="4" t="str">
        <f>HYPERLINK("http://www.uniprot.org/uniprot/M5X5U8","M5X5U8")</f>
        <v>M5X5U8</v>
      </c>
      <c r="D129" s="2" t="s">
        <v>127</v>
      </c>
      <c r="E129" s="3">
        <v>6.88E-84</v>
      </c>
      <c r="F129" s="2">
        <v>667</v>
      </c>
      <c r="G129" s="2">
        <v>99</v>
      </c>
      <c r="H129" s="2">
        <v>128</v>
      </c>
      <c r="I129" s="2">
        <v>3</v>
      </c>
      <c r="J129" s="2">
        <v>386</v>
      </c>
      <c r="K129" s="2">
        <v>188</v>
      </c>
      <c r="L129" s="2">
        <v>315</v>
      </c>
    </row>
    <row r="130" spans="1:12" x14ac:dyDescent="0.25">
      <c r="A130" s="4" t="str">
        <f>HYPERLINK("http://www.rosaceae.org/Prunus/Prunus_persica/p.persica_gdr_reftransV1_0047701","p.persica_gdr_reftransV1_0047701")</f>
        <v>p.persica_gdr_reftransV1_0047701</v>
      </c>
      <c r="B130" s="2">
        <v>1483</v>
      </c>
      <c r="C130" s="4" t="str">
        <f>HYPERLINK("http://www.uniprot.org/uniprot/M5VL99","M5VL99")</f>
        <v>M5VL99</v>
      </c>
      <c r="D130" s="2" t="s">
        <v>128</v>
      </c>
      <c r="E130" s="3">
        <v>2.4000000000000001E-139</v>
      </c>
      <c r="F130" s="2">
        <v>1059</v>
      </c>
      <c r="G130" s="2">
        <v>100</v>
      </c>
      <c r="H130" s="2">
        <v>219</v>
      </c>
      <c r="I130" s="2">
        <v>675</v>
      </c>
      <c r="J130" s="2">
        <v>1331</v>
      </c>
      <c r="K130" s="2">
        <v>1</v>
      </c>
      <c r="L130" s="2">
        <v>219</v>
      </c>
    </row>
    <row r="131" spans="1:12" x14ac:dyDescent="0.25">
      <c r="A131" s="4" t="str">
        <f>HYPERLINK("http://www.rosaceae.org/Prunus/Prunus_persica/p.persica_gdr_reftransV1_0048051","p.persica_gdr_reftransV1_0048051")</f>
        <v>p.persica_gdr_reftransV1_0048051</v>
      </c>
      <c r="B131" s="2">
        <v>2153</v>
      </c>
      <c r="C131" s="4" t="str">
        <f>HYPERLINK("http://www.uniprot.org/uniprot/M5XRB7","M5XRB7")</f>
        <v>M5XRB7</v>
      </c>
      <c r="D131" s="2" t="s">
        <v>129</v>
      </c>
      <c r="E131" s="3">
        <v>0</v>
      </c>
      <c r="F131" s="2">
        <v>2858</v>
      </c>
      <c r="G131" s="2">
        <v>93</v>
      </c>
      <c r="H131" s="2">
        <v>606</v>
      </c>
      <c r="I131" s="2">
        <v>280</v>
      </c>
      <c r="J131" s="2">
        <v>2097</v>
      </c>
      <c r="K131" s="2">
        <v>1</v>
      </c>
      <c r="L131" s="2">
        <v>563</v>
      </c>
    </row>
    <row r="132" spans="1:12" x14ac:dyDescent="0.25">
      <c r="A132" s="4" t="str">
        <f>HYPERLINK("http://www.rosaceae.org/Prunus/Prunus_persica/p.persica_gdr_reftransV1_0048401","p.persica_gdr_reftransV1_0048401")</f>
        <v>p.persica_gdr_reftransV1_0048401</v>
      </c>
      <c r="B132" s="2">
        <v>657</v>
      </c>
      <c r="C132" s="4" t="str">
        <f>HYPERLINK("http://www.uniprot.org/uniprot/M5WDA3","M5WDA3")</f>
        <v>M5WDA3</v>
      </c>
      <c r="D132" s="2" t="s">
        <v>130</v>
      </c>
      <c r="E132" s="3">
        <v>3.43E-93</v>
      </c>
      <c r="F132" s="2">
        <v>726</v>
      </c>
      <c r="G132" s="2">
        <v>88</v>
      </c>
      <c r="H132" s="2">
        <v>155</v>
      </c>
      <c r="I132" s="2">
        <v>2</v>
      </c>
      <c r="J132" s="2">
        <v>466</v>
      </c>
      <c r="K132" s="2">
        <v>24</v>
      </c>
      <c r="L132" s="2">
        <v>178</v>
      </c>
    </row>
    <row r="133" spans="1:12" x14ac:dyDescent="0.25">
      <c r="A133" s="4" t="str">
        <f>HYPERLINK("http://www.rosaceae.org/Prunus/Prunus_persica/p.persica_gdr_reftransV1_0048751","p.persica_gdr_reftransV1_0048751")</f>
        <v>p.persica_gdr_reftransV1_0048751</v>
      </c>
      <c r="B133" s="2">
        <v>396</v>
      </c>
      <c r="C133" s="4" t="str">
        <f>HYPERLINK("http://www.uniprot.org/uniprot/M5VUC7","M5VUC7")</f>
        <v>M5VUC7</v>
      </c>
      <c r="D133" s="2" t="s">
        <v>131</v>
      </c>
      <c r="E133" s="3">
        <v>6.9799999999999994E-67</v>
      </c>
      <c r="F133" s="2">
        <v>580</v>
      </c>
      <c r="G133" s="2">
        <v>87</v>
      </c>
      <c r="H133" s="2">
        <v>132</v>
      </c>
      <c r="I133" s="2">
        <v>1</v>
      </c>
      <c r="J133" s="2">
        <v>396</v>
      </c>
      <c r="K133" s="2">
        <v>757</v>
      </c>
      <c r="L133" s="2">
        <v>871</v>
      </c>
    </row>
    <row r="134" spans="1:12" x14ac:dyDescent="0.25">
      <c r="A134" s="4" t="str">
        <f>HYPERLINK("http://www.rosaceae.org/Prunus/Prunus_persica/p.persica_gdr_reftransV1_0049101","p.persica_gdr_reftransV1_0049101")</f>
        <v>p.persica_gdr_reftransV1_0049101</v>
      </c>
      <c r="B134" s="2">
        <v>965</v>
      </c>
      <c r="C134" s="4" t="str">
        <f>HYPERLINK("http://www.uniprot.org/uniprot/M5X421","M5X421")</f>
        <v>M5X421</v>
      </c>
      <c r="D134" s="2" t="s">
        <v>132</v>
      </c>
      <c r="E134" s="3">
        <v>0</v>
      </c>
      <c r="F134" s="2">
        <v>1419</v>
      </c>
      <c r="G134" s="2">
        <v>100</v>
      </c>
      <c r="H134" s="2">
        <v>266</v>
      </c>
      <c r="I134" s="2">
        <v>2</v>
      </c>
      <c r="J134" s="2">
        <v>799</v>
      </c>
      <c r="K134" s="2">
        <v>1</v>
      </c>
      <c r="L134" s="2">
        <v>266</v>
      </c>
    </row>
    <row r="135" spans="1:12" x14ac:dyDescent="0.25">
      <c r="A135" s="4" t="str">
        <f>HYPERLINK("http://www.rosaceae.org/Prunus/Prunus_persica/p.persica_gdr_reftransV1_0000102","p.persica_gdr_reftransV1_0000102")</f>
        <v>p.persica_gdr_reftransV1_0000102</v>
      </c>
      <c r="B135" s="2">
        <v>1132</v>
      </c>
      <c r="C135" s="4" t="str">
        <f>HYPERLINK("http://www.uniprot.org/uniprot/M5WR51","M5WR51")</f>
        <v>M5WR51</v>
      </c>
      <c r="D135" s="2" t="s">
        <v>133</v>
      </c>
      <c r="E135" s="3">
        <v>0</v>
      </c>
      <c r="F135" s="2">
        <v>1791</v>
      </c>
      <c r="G135" s="2">
        <v>100</v>
      </c>
      <c r="H135" s="2">
        <v>377</v>
      </c>
      <c r="I135" s="2">
        <v>2</v>
      </c>
      <c r="J135" s="2">
        <v>1132</v>
      </c>
      <c r="K135" s="2">
        <v>36</v>
      </c>
      <c r="L135" s="2">
        <v>412</v>
      </c>
    </row>
    <row r="136" spans="1:12" x14ac:dyDescent="0.25">
      <c r="A136" s="4" t="str">
        <f>HYPERLINK("http://www.rosaceae.org/Prunus/Prunus_persica/p.persica_gdr_reftransV1_0000452","p.persica_gdr_reftransV1_0000452")</f>
        <v>p.persica_gdr_reftransV1_0000452</v>
      </c>
      <c r="B136" s="2">
        <v>1193</v>
      </c>
      <c r="C136" s="4" t="str">
        <f>HYPERLINK("http://www.uniprot.org/uniprot/M5WFP6","M5WFP6")</f>
        <v>M5WFP6</v>
      </c>
      <c r="D136" s="2" t="s">
        <v>134</v>
      </c>
      <c r="E136" s="3">
        <v>0</v>
      </c>
      <c r="F136" s="2">
        <v>1760</v>
      </c>
      <c r="G136" s="2">
        <v>98</v>
      </c>
      <c r="H136" s="2">
        <v>337</v>
      </c>
      <c r="I136" s="2">
        <v>183</v>
      </c>
      <c r="J136" s="2">
        <v>1193</v>
      </c>
      <c r="K136" s="2">
        <v>559</v>
      </c>
      <c r="L136" s="2">
        <v>895</v>
      </c>
    </row>
    <row r="137" spans="1:12" x14ac:dyDescent="0.25">
      <c r="A137" s="4" t="str">
        <f>HYPERLINK("http://www.rosaceae.org/Prunus/Prunus_persica/p.persica_gdr_reftransV1_0001152","p.persica_gdr_reftransV1_0001152")</f>
        <v>p.persica_gdr_reftransV1_0001152</v>
      </c>
      <c r="B137" s="2">
        <v>337</v>
      </c>
      <c r="C137" s="4" t="str">
        <f>HYPERLINK("http://www.uniprot.org/uniprot/A0A067JSA5","A0A067JSA5")</f>
        <v>A0A067JSA5</v>
      </c>
      <c r="D137" s="2" t="s">
        <v>135</v>
      </c>
      <c r="E137" s="3">
        <v>1.2400000000000001E-41</v>
      </c>
      <c r="F137" s="2">
        <v>387</v>
      </c>
      <c r="G137" s="2">
        <v>70</v>
      </c>
      <c r="H137" s="2">
        <v>112</v>
      </c>
      <c r="I137" s="2">
        <v>1</v>
      </c>
      <c r="J137" s="2">
        <v>336</v>
      </c>
      <c r="K137" s="2">
        <v>104</v>
      </c>
      <c r="L137" s="2">
        <v>209</v>
      </c>
    </row>
    <row r="138" spans="1:12" x14ac:dyDescent="0.25">
      <c r="A138" s="4" t="str">
        <f>HYPERLINK("http://www.rosaceae.org/Prunus/Prunus_persica/p.persica_gdr_reftransV1_0001502","p.persica_gdr_reftransV1_0001502")</f>
        <v>p.persica_gdr_reftransV1_0001502</v>
      </c>
      <c r="B138" s="2">
        <v>903</v>
      </c>
      <c r="C138" s="4" t="str">
        <f>HYPERLINK("http://www.uniprot.org/uniprot/M5WFA7","M5WFA7")</f>
        <v>M5WFA7</v>
      </c>
      <c r="D138" s="2" t="s">
        <v>136</v>
      </c>
      <c r="E138" s="3">
        <v>5.39E-64</v>
      </c>
      <c r="F138" s="2">
        <v>530</v>
      </c>
      <c r="G138" s="2">
        <v>96</v>
      </c>
      <c r="H138" s="2">
        <v>109</v>
      </c>
      <c r="I138" s="2">
        <v>428</v>
      </c>
      <c r="J138" s="2">
        <v>742</v>
      </c>
      <c r="K138" s="2">
        <v>1</v>
      </c>
      <c r="L138" s="2">
        <v>109</v>
      </c>
    </row>
    <row r="139" spans="1:12" x14ac:dyDescent="0.25">
      <c r="A139" s="4" t="str">
        <f>HYPERLINK("http://www.rosaceae.org/Prunus/Prunus_persica/p.persica_gdr_reftransV1_0002202","p.persica_gdr_reftransV1_0002202")</f>
        <v>p.persica_gdr_reftransV1_0002202</v>
      </c>
      <c r="B139" s="2">
        <v>454</v>
      </c>
      <c r="C139" s="4" t="str">
        <f>HYPERLINK("http://www.uniprot.org/uniprot/M5W8U0","M5W8U0")</f>
        <v>M5W8U0</v>
      </c>
      <c r="D139" s="2" t="s">
        <v>137</v>
      </c>
      <c r="E139" s="3">
        <v>3.2199999999999997E-92</v>
      </c>
      <c r="F139" s="2">
        <v>713</v>
      </c>
      <c r="G139" s="2">
        <v>100</v>
      </c>
      <c r="H139" s="2">
        <v>150</v>
      </c>
      <c r="I139" s="2">
        <v>3</v>
      </c>
      <c r="J139" s="2">
        <v>452</v>
      </c>
      <c r="K139" s="2">
        <v>46</v>
      </c>
      <c r="L139" s="2">
        <v>195</v>
      </c>
    </row>
    <row r="140" spans="1:12" x14ac:dyDescent="0.25">
      <c r="A140" s="4" t="str">
        <f>HYPERLINK("http://www.rosaceae.org/Prunus/Prunus_persica/p.persica_gdr_reftransV1_0002902","p.persica_gdr_reftransV1_0002902")</f>
        <v>p.persica_gdr_reftransV1_0002902</v>
      </c>
      <c r="B140" s="2">
        <v>388</v>
      </c>
      <c r="C140" s="4" t="str">
        <f>HYPERLINK("http://www.uniprot.org/uniprot/A0A096PEE3","A0A096PEE3")</f>
        <v>A0A096PEE3</v>
      </c>
      <c r="D140" s="2" t="s">
        <v>138</v>
      </c>
      <c r="E140" s="3">
        <v>1.0899999999999999E-82</v>
      </c>
      <c r="F140" s="2">
        <v>676</v>
      </c>
      <c r="G140" s="2">
        <v>98</v>
      </c>
      <c r="H140" s="2">
        <v>129</v>
      </c>
      <c r="I140" s="2">
        <v>1</v>
      </c>
      <c r="J140" s="2">
        <v>387</v>
      </c>
      <c r="K140" s="2">
        <v>379</v>
      </c>
      <c r="L140" s="2">
        <v>507</v>
      </c>
    </row>
    <row r="141" spans="1:12" x14ac:dyDescent="0.25">
      <c r="A141" s="4" t="str">
        <f>HYPERLINK("http://www.rosaceae.org/Prunus/Prunus_persica/p.persica_gdr_reftransV1_0003252","p.persica_gdr_reftransV1_0003252")</f>
        <v>p.persica_gdr_reftransV1_0003252</v>
      </c>
      <c r="B141" s="2">
        <v>1922</v>
      </c>
      <c r="C141" s="4" t="str">
        <f>HYPERLINK("http://www.uniprot.org/uniprot/M5XN21","M5XN21")</f>
        <v>M5XN21</v>
      </c>
      <c r="D141" s="2" t="s">
        <v>139</v>
      </c>
      <c r="E141" s="3">
        <v>0</v>
      </c>
      <c r="F141" s="2">
        <v>1646</v>
      </c>
      <c r="G141" s="2">
        <v>100</v>
      </c>
      <c r="H141" s="2">
        <v>324</v>
      </c>
      <c r="I141" s="2">
        <v>714</v>
      </c>
      <c r="J141" s="2">
        <v>1685</v>
      </c>
      <c r="K141" s="2">
        <v>1</v>
      </c>
      <c r="L141" s="2">
        <v>324</v>
      </c>
    </row>
    <row r="142" spans="1:12" x14ac:dyDescent="0.25">
      <c r="A142" s="4" t="str">
        <f>HYPERLINK("http://www.rosaceae.org/Prunus/Prunus_persica/p.persica_gdr_reftransV1_0003602","p.persica_gdr_reftransV1_0003602")</f>
        <v>p.persica_gdr_reftransV1_0003602</v>
      </c>
      <c r="B142" s="2">
        <v>1471</v>
      </c>
      <c r="C142" s="4" t="str">
        <f>HYPERLINK("http://www.uniprot.org/uniprot/M5WTW2","M5WTW2")</f>
        <v>M5WTW2</v>
      </c>
      <c r="D142" s="2" t="s">
        <v>140</v>
      </c>
      <c r="E142" s="3">
        <v>0</v>
      </c>
      <c r="F142" s="2">
        <v>2088</v>
      </c>
      <c r="G142" s="2">
        <v>89</v>
      </c>
      <c r="H142" s="2">
        <v>471</v>
      </c>
      <c r="I142" s="2">
        <v>59</v>
      </c>
      <c r="J142" s="2">
        <v>1471</v>
      </c>
      <c r="K142" s="2">
        <v>15</v>
      </c>
      <c r="L142" s="2">
        <v>484</v>
      </c>
    </row>
    <row r="143" spans="1:12" x14ac:dyDescent="0.25">
      <c r="A143" s="4" t="str">
        <f>HYPERLINK("http://www.rosaceae.org/Prunus/Prunus_persica/p.persica_gdr_reftransV1_0003952","p.persica_gdr_reftransV1_0003952")</f>
        <v>p.persica_gdr_reftransV1_0003952</v>
      </c>
      <c r="B143" s="2">
        <v>2465</v>
      </c>
      <c r="C143" s="4" t="str">
        <f>HYPERLINK("http://www.uniprot.org/uniprot/M5WQC0","M5WQC0")</f>
        <v>M5WQC0</v>
      </c>
      <c r="D143" s="2" t="s">
        <v>141</v>
      </c>
      <c r="E143" s="3">
        <v>0</v>
      </c>
      <c r="F143" s="2">
        <v>3273</v>
      </c>
      <c r="G143" s="2">
        <v>100</v>
      </c>
      <c r="H143" s="2">
        <v>622</v>
      </c>
      <c r="I143" s="2">
        <v>532</v>
      </c>
      <c r="J143" s="2">
        <v>2397</v>
      </c>
      <c r="K143" s="2">
        <v>36</v>
      </c>
      <c r="L143" s="2">
        <v>657</v>
      </c>
    </row>
    <row r="144" spans="1:12" x14ac:dyDescent="0.25">
      <c r="A144" s="4" t="str">
        <f>HYPERLINK("http://www.rosaceae.org/Prunus/Prunus_persica/p.persica_gdr_reftransV1_0004652","p.persica_gdr_reftransV1_0004652")</f>
        <v>p.persica_gdr_reftransV1_0004652</v>
      </c>
      <c r="B144" s="2">
        <v>1551</v>
      </c>
      <c r="C144" s="4" t="str">
        <f>HYPERLINK("http://www.uniprot.org/uniprot/M5XBP2","M5XBP2")</f>
        <v>M5XBP2</v>
      </c>
      <c r="D144" s="2" t="s">
        <v>142</v>
      </c>
      <c r="E144" s="3">
        <v>0</v>
      </c>
      <c r="F144" s="2">
        <v>2148</v>
      </c>
      <c r="G144" s="2">
        <v>100</v>
      </c>
      <c r="H144" s="2">
        <v>443</v>
      </c>
      <c r="I144" s="2">
        <v>24</v>
      </c>
      <c r="J144" s="2">
        <v>1352</v>
      </c>
      <c r="K144" s="2">
        <v>1</v>
      </c>
      <c r="L144" s="2">
        <v>443</v>
      </c>
    </row>
    <row r="145" spans="1:12" x14ac:dyDescent="0.25">
      <c r="A145" s="4" t="str">
        <f>HYPERLINK("http://www.rosaceae.org/Prunus/Prunus_persica/p.persica_gdr_reftransV1_0005002","p.persica_gdr_reftransV1_0005002")</f>
        <v>p.persica_gdr_reftransV1_0005002</v>
      </c>
      <c r="B145" s="2">
        <v>3467</v>
      </c>
      <c r="C145" s="4" t="str">
        <f>HYPERLINK("http://www.uniprot.org/uniprot/M5X9N2","M5X9N2")</f>
        <v>M5X9N2</v>
      </c>
      <c r="D145" s="2" t="s">
        <v>143</v>
      </c>
      <c r="E145" s="3">
        <v>0</v>
      </c>
      <c r="F145" s="2">
        <v>5336</v>
      </c>
      <c r="G145" s="2">
        <v>98</v>
      </c>
      <c r="H145" s="2">
        <v>1145</v>
      </c>
      <c r="I145" s="2">
        <v>2</v>
      </c>
      <c r="J145" s="2">
        <v>3436</v>
      </c>
      <c r="K145" s="2">
        <v>45</v>
      </c>
      <c r="L145" s="2">
        <v>1165</v>
      </c>
    </row>
    <row r="146" spans="1:12" x14ac:dyDescent="0.25">
      <c r="A146" s="4" t="str">
        <f>HYPERLINK("http://www.rosaceae.org/Prunus/Prunus_persica/p.persica_gdr_reftransV1_0005352","p.persica_gdr_reftransV1_0005352")</f>
        <v>p.persica_gdr_reftransV1_0005352</v>
      </c>
      <c r="B146" s="2">
        <v>1040</v>
      </c>
      <c r="C146" s="4" t="str">
        <f>HYPERLINK("http://www.uniprot.org/uniprot/M5XKY6","M5XKY6")</f>
        <v>M5XKY6</v>
      </c>
      <c r="D146" s="2" t="s">
        <v>144</v>
      </c>
      <c r="E146" s="3">
        <v>3.48E-155</v>
      </c>
      <c r="F146" s="2">
        <v>1065</v>
      </c>
      <c r="G146" s="2">
        <v>98</v>
      </c>
      <c r="H146" s="2">
        <v>208</v>
      </c>
      <c r="I146" s="2">
        <v>1</v>
      </c>
      <c r="J146" s="2">
        <v>624</v>
      </c>
      <c r="K146" s="2">
        <v>562</v>
      </c>
      <c r="L146" s="2">
        <v>769</v>
      </c>
    </row>
    <row r="147" spans="1:12" x14ac:dyDescent="0.25">
      <c r="A147" s="4" t="str">
        <f>HYPERLINK("http://www.rosaceae.org/Prunus/Prunus_persica/p.persica_gdr_reftransV1_0005702","p.persica_gdr_reftransV1_0005702")</f>
        <v>p.persica_gdr_reftransV1_0005702</v>
      </c>
      <c r="B147" s="2">
        <v>1975</v>
      </c>
      <c r="C147" s="4" t="str">
        <f>HYPERLINK("http://www.uniprot.org/uniprot/M5XSC7","M5XSC7")</f>
        <v>M5XSC7</v>
      </c>
      <c r="D147" s="2" t="s">
        <v>145</v>
      </c>
      <c r="E147" s="3">
        <v>0</v>
      </c>
      <c r="F147" s="2">
        <v>2148</v>
      </c>
      <c r="G147" s="2">
        <v>100</v>
      </c>
      <c r="H147" s="2">
        <v>430</v>
      </c>
      <c r="I147" s="2">
        <v>508</v>
      </c>
      <c r="J147" s="2">
        <v>1797</v>
      </c>
      <c r="K147" s="2">
        <v>1</v>
      </c>
      <c r="L147" s="2">
        <v>430</v>
      </c>
    </row>
    <row r="148" spans="1:12" x14ac:dyDescent="0.25">
      <c r="A148" s="4" t="str">
        <f>HYPERLINK("http://www.rosaceae.org/Prunus/Prunus_persica/p.persica_gdr_reftransV1_0006052","p.persica_gdr_reftransV1_0006052")</f>
        <v>p.persica_gdr_reftransV1_0006052</v>
      </c>
      <c r="B148" s="2">
        <v>803</v>
      </c>
      <c r="C148" s="4" t="str">
        <f>HYPERLINK("http://www.uniprot.org/uniprot/M5VY02","M5VY02")</f>
        <v>M5VY02</v>
      </c>
      <c r="D148" s="2" t="s">
        <v>146</v>
      </c>
      <c r="E148" s="3">
        <v>1.45E-72</v>
      </c>
      <c r="F148" s="2">
        <v>615</v>
      </c>
      <c r="G148" s="2">
        <v>51</v>
      </c>
      <c r="H148" s="2">
        <v>272</v>
      </c>
      <c r="I148" s="2">
        <v>3</v>
      </c>
      <c r="J148" s="2">
        <v>803</v>
      </c>
      <c r="K148" s="2">
        <v>17</v>
      </c>
      <c r="L148" s="2">
        <v>280</v>
      </c>
    </row>
    <row r="149" spans="1:12" x14ac:dyDescent="0.25">
      <c r="A149" s="4" t="str">
        <f>HYPERLINK("http://www.rosaceae.org/Prunus/Prunus_persica/p.persica_gdr_reftransV1_0007102","p.persica_gdr_reftransV1_0007102")</f>
        <v>p.persica_gdr_reftransV1_0007102</v>
      </c>
      <c r="B149" s="2">
        <v>1300</v>
      </c>
      <c r="C149" s="4" t="str">
        <f>HYPERLINK("http://www.uniprot.org/uniprot/M5WJ79","M5WJ79")</f>
        <v>M5WJ79</v>
      </c>
      <c r="D149" s="2" t="s">
        <v>147</v>
      </c>
      <c r="E149" s="3">
        <v>6.9800000000000006E-142</v>
      </c>
      <c r="F149" s="2">
        <v>1077</v>
      </c>
      <c r="G149" s="2">
        <v>98</v>
      </c>
      <c r="H149" s="2">
        <v>202</v>
      </c>
      <c r="I149" s="2">
        <v>275</v>
      </c>
      <c r="J149" s="2">
        <v>880</v>
      </c>
      <c r="K149" s="2">
        <v>90</v>
      </c>
      <c r="L149" s="2">
        <v>291</v>
      </c>
    </row>
    <row r="150" spans="1:12" x14ac:dyDescent="0.25">
      <c r="A150" s="4" t="str">
        <f>HYPERLINK("http://www.rosaceae.org/Prunus/Prunus_persica/p.persica_gdr_reftransV1_0007452","p.persica_gdr_reftransV1_0007452")</f>
        <v>p.persica_gdr_reftransV1_0007452</v>
      </c>
      <c r="B150" s="2">
        <v>2458</v>
      </c>
      <c r="C150" s="4" t="str">
        <f>HYPERLINK("http://www.uniprot.org/uniprot/M5XAY5","M5XAY5")</f>
        <v>M5XAY5</v>
      </c>
      <c r="D150" s="2" t="s">
        <v>148</v>
      </c>
      <c r="E150" s="3">
        <v>0</v>
      </c>
      <c r="F150" s="2">
        <v>3133</v>
      </c>
      <c r="G150" s="2">
        <v>100</v>
      </c>
      <c r="H150" s="2">
        <v>584</v>
      </c>
      <c r="I150" s="2">
        <v>292</v>
      </c>
      <c r="J150" s="2">
        <v>2043</v>
      </c>
      <c r="K150" s="2">
        <v>1</v>
      </c>
      <c r="L150" s="2">
        <v>584</v>
      </c>
    </row>
    <row r="151" spans="1:12" x14ac:dyDescent="0.25">
      <c r="A151" s="4" t="str">
        <f>HYPERLINK("http://www.rosaceae.org/Prunus/Prunus_persica/p.persica_gdr_reftransV1_0008152","p.persica_gdr_reftransV1_0008152")</f>
        <v>p.persica_gdr_reftransV1_0008152</v>
      </c>
      <c r="B151" s="2">
        <v>1028</v>
      </c>
      <c r="C151" s="4" t="str">
        <f>HYPERLINK("http://www.uniprot.org/uniprot/M5X130","M5X130")</f>
        <v>M5X130</v>
      </c>
      <c r="D151" s="2" t="s">
        <v>149</v>
      </c>
      <c r="E151" s="3">
        <v>1.39E-59</v>
      </c>
      <c r="F151" s="2">
        <v>506</v>
      </c>
      <c r="G151" s="2">
        <v>100</v>
      </c>
      <c r="H151" s="2">
        <v>131</v>
      </c>
      <c r="I151" s="2">
        <v>512</v>
      </c>
      <c r="J151" s="2">
        <v>904</v>
      </c>
      <c r="K151" s="2">
        <v>1</v>
      </c>
      <c r="L151" s="2">
        <v>131</v>
      </c>
    </row>
    <row r="152" spans="1:12" x14ac:dyDescent="0.25">
      <c r="A152" s="4" t="str">
        <f>HYPERLINK("http://www.rosaceae.org/Prunus/Prunus_persica/p.persica_gdr_reftransV1_0008502","p.persica_gdr_reftransV1_0008502")</f>
        <v>p.persica_gdr_reftransV1_0008502</v>
      </c>
      <c r="B152" s="2">
        <v>1163</v>
      </c>
      <c r="C152" s="4" t="str">
        <f>HYPERLINK("http://www.uniprot.org/uniprot/M5WG36","M5WG36")</f>
        <v>M5WG36</v>
      </c>
      <c r="D152" s="2" t="s">
        <v>150</v>
      </c>
      <c r="E152" s="3">
        <v>1.4E-86</v>
      </c>
      <c r="F152" s="2">
        <v>695</v>
      </c>
      <c r="G152" s="2">
        <v>99</v>
      </c>
      <c r="H152" s="2">
        <v>141</v>
      </c>
      <c r="I152" s="2">
        <v>558</v>
      </c>
      <c r="J152" s="2">
        <v>980</v>
      </c>
      <c r="K152" s="2">
        <v>33</v>
      </c>
      <c r="L152" s="2">
        <v>173</v>
      </c>
    </row>
    <row r="153" spans="1:12" x14ac:dyDescent="0.25">
      <c r="A153" s="4" t="str">
        <f>HYPERLINK("http://www.rosaceae.org/Prunus/Prunus_persica/p.persica_gdr_reftransV1_0008852","p.persica_gdr_reftransV1_0008852")</f>
        <v>p.persica_gdr_reftransV1_0008852</v>
      </c>
      <c r="B153" s="2">
        <v>1574</v>
      </c>
      <c r="C153" s="4" t="str">
        <f>HYPERLINK("http://www.uniprot.org/uniprot/M5VQW5","M5VQW5")</f>
        <v>M5VQW5</v>
      </c>
      <c r="D153" s="2" t="s">
        <v>151</v>
      </c>
      <c r="E153" s="3">
        <v>2.3099999999999999E-179</v>
      </c>
      <c r="F153" s="2">
        <v>1330</v>
      </c>
      <c r="G153" s="2">
        <v>100</v>
      </c>
      <c r="H153" s="2">
        <v>250</v>
      </c>
      <c r="I153" s="2">
        <v>533</v>
      </c>
      <c r="J153" s="2">
        <v>1282</v>
      </c>
      <c r="K153" s="2">
        <v>1</v>
      </c>
      <c r="L153" s="2">
        <v>250</v>
      </c>
    </row>
    <row r="154" spans="1:12" x14ac:dyDescent="0.25">
      <c r="A154" s="4" t="str">
        <f>HYPERLINK("http://www.rosaceae.org/Prunus/Prunus_persica/p.persica_gdr_reftransV1_0009202","p.persica_gdr_reftransV1_0009202")</f>
        <v>p.persica_gdr_reftransV1_0009202</v>
      </c>
      <c r="B154" s="2">
        <v>1598</v>
      </c>
      <c r="C154" s="4" t="str">
        <f>HYPERLINK("http://www.uniprot.org/uniprot/M5VVZ5","M5VVZ5")</f>
        <v>M5VVZ5</v>
      </c>
      <c r="D154" s="2" t="s">
        <v>152</v>
      </c>
      <c r="E154" s="3">
        <v>0</v>
      </c>
      <c r="F154" s="2">
        <v>2014</v>
      </c>
      <c r="G154" s="2">
        <v>100</v>
      </c>
      <c r="H154" s="2">
        <v>376</v>
      </c>
      <c r="I154" s="2">
        <v>80</v>
      </c>
      <c r="J154" s="2">
        <v>1207</v>
      </c>
      <c r="K154" s="2">
        <v>1</v>
      </c>
      <c r="L154" s="2">
        <v>376</v>
      </c>
    </row>
    <row r="155" spans="1:12" x14ac:dyDescent="0.25">
      <c r="A155" s="4" t="str">
        <f>HYPERLINK("http://www.rosaceae.org/Prunus/Prunus_persica/p.persica_gdr_reftransV1_0010252","p.persica_gdr_reftransV1_0010252")</f>
        <v>p.persica_gdr_reftransV1_0010252</v>
      </c>
      <c r="B155" s="2">
        <v>1822</v>
      </c>
      <c r="C155" s="4" t="str">
        <f>HYPERLINK("http://www.uniprot.org/uniprot/M5W5F5","M5W5F5")</f>
        <v>M5W5F5</v>
      </c>
      <c r="D155" s="2" t="s">
        <v>153</v>
      </c>
      <c r="E155" s="3">
        <v>2.28E-58</v>
      </c>
      <c r="F155" s="2">
        <v>546</v>
      </c>
      <c r="G155" s="2">
        <v>100</v>
      </c>
      <c r="H155" s="2">
        <v>104</v>
      </c>
      <c r="I155" s="2">
        <v>1</v>
      </c>
      <c r="J155" s="2">
        <v>312</v>
      </c>
      <c r="K155" s="2">
        <v>385</v>
      </c>
      <c r="L155" s="2">
        <v>488</v>
      </c>
    </row>
    <row r="156" spans="1:12" x14ac:dyDescent="0.25">
      <c r="A156" s="4" t="str">
        <f>HYPERLINK("http://www.rosaceae.org/Prunus/Prunus_persica/p.persica_gdr_reftransV1_0010602","p.persica_gdr_reftransV1_0010602")</f>
        <v>p.persica_gdr_reftransV1_0010602</v>
      </c>
      <c r="B156" s="2">
        <v>939</v>
      </c>
      <c r="C156" s="4" t="str">
        <f>HYPERLINK("http://www.uniprot.org/uniprot/M5XD17","M5XD17")</f>
        <v>M5XD17</v>
      </c>
      <c r="D156" s="2" t="s">
        <v>154</v>
      </c>
      <c r="E156" s="3">
        <v>5.1999999999999996E-111</v>
      </c>
      <c r="F156" s="2">
        <v>874</v>
      </c>
      <c r="G156" s="2">
        <v>98</v>
      </c>
      <c r="H156" s="2">
        <v>183</v>
      </c>
      <c r="I156" s="2">
        <v>390</v>
      </c>
      <c r="J156" s="2">
        <v>938</v>
      </c>
      <c r="K156" s="2">
        <v>244</v>
      </c>
      <c r="L156" s="2">
        <v>426</v>
      </c>
    </row>
    <row r="157" spans="1:12" x14ac:dyDescent="0.25">
      <c r="A157" s="4" t="str">
        <f>HYPERLINK("http://www.rosaceae.org/Prunus/Prunus_persica/p.persica_gdr_reftransV1_0010952","p.persica_gdr_reftransV1_0010952")</f>
        <v>p.persica_gdr_reftransV1_0010952</v>
      </c>
      <c r="B157" s="2">
        <v>1659</v>
      </c>
      <c r="C157" s="4" t="str">
        <f>HYPERLINK("http://www.uniprot.org/uniprot/A0A0A1CP34","A0A0A1CP34")</f>
        <v>A0A0A1CP34</v>
      </c>
      <c r="D157" s="2" t="s">
        <v>155</v>
      </c>
      <c r="E157" s="3">
        <v>0</v>
      </c>
      <c r="F157" s="2">
        <v>1447</v>
      </c>
      <c r="G157" s="2">
        <v>91</v>
      </c>
      <c r="H157" s="2">
        <v>300</v>
      </c>
      <c r="I157" s="2">
        <v>674</v>
      </c>
      <c r="J157" s="2">
        <v>1567</v>
      </c>
      <c r="K157" s="2">
        <v>1</v>
      </c>
      <c r="L157" s="2">
        <v>300</v>
      </c>
    </row>
    <row r="158" spans="1:12" x14ac:dyDescent="0.25">
      <c r="A158" s="4" t="str">
        <f>HYPERLINK("http://www.rosaceae.org/Prunus/Prunus_persica/p.persica_gdr_reftransV1_0011302","p.persica_gdr_reftransV1_0011302")</f>
        <v>p.persica_gdr_reftransV1_0011302</v>
      </c>
      <c r="B158" s="2">
        <v>1452</v>
      </c>
      <c r="C158" s="4" t="str">
        <f>HYPERLINK("http://www.uniprot.org/uniprot/M5WAD1","M5WAD1")</f>
        <v>M5WAD1</v>
      </c>
      <c r="D158" s="2" t="s">
        <v>156</v>
      </c>
      <c r="E158" s="3">
        <v>1.14E-61</v>
      </c>
      <c r="F158" s="2">
        <v>538</v>
      </c>
      <c r="G158" s="2">
        <v>100</v>
      </c>
      <c r="H158" s="2">
        <v>100</v>
      </c>
      <c r="I158" s="2">
        <v>366</v>
      </c>
      <c r="J158" s="2">
        <v>665</v>
      </c>
      <c r="K158" s="2">
        <v>115</v>
      </c>
      <c r="L158" s="2">
        <v>214</v>
      </c>
    </row>
    <row r="159" spans="1:12" x14ac:dyDescent="0.25">
      <c r="A159" s="4" t="str">
        <f>HYPERLINK("http://www.rosaceae.org/Prunus/Prunus_persica/p.persica_gdr_reftransV1_0012002","p.persica_gdr_reftransV1_0012002")</f>
        <v>p.persica_gdr_reftransV1_0012002</v>
      </c>
      <c r="B159" s="2">
        <v>2637</v>
      </c>
      <c r="C159" s="4" t="str">
        <f>HYPERLINK("http://www.uniprot.org/uniprot/M5XAM2","M5XAM2")</f>
        <v>M5XAM2</v>
      </c>
      <c r="D159" s="2" t="s">
        <v>157</v>
      </c>
      <c r="E159" s="3">
        <v>0</v>
      </c>
      <c r="F159" s="2">
        <v>3454</v>
      </c>
      <c r="G159" s="2">
        <v>100</v>
      </c>
      <c r="H159" s="2">
        <v>747</v>
      </c>
      <c r="I159" s="2">
        <v>230</v>
      </c>
      <c r="J159" s="2">
        <v>2470</v>
      </c>
      <c r="K159" s="2">
        <v>29</v>
      </c>
      <c r="L159" s="2">
        <v>775</v>
      </c>
    </row>
    <row r="160" spans="1:12" x14ac:dyDescent="0.25">
      <c r="A160" s="4" t="str">
        <f>HYPERLINK("http://www.rosaceae.org/Prunus/Prunus_persica/p.persica_gdr_reftransV1_0013052","p.persica_gdr_reftransV1_0013052")</f>
        <v>p.persica_gdr_reftransV1_0013052</v>
      </c>
      <c r="B160" s="2">
        <v>1727</v>
      </c>
      <c r="C160" s="4" t="str">
        <f>HYPERLINK("http://www.uniprot.org/uniprot/M5WYG8","M5WYG8")</f>
        <v>M5WYG8</v>
      </c>
      <c r="D160" s="2" t="s">
        <v>158</v>
      </c>
      <c r="E160" s="3">
        <v>0</v>
      </c>
      <c r="F160" s="2">
        <v>1859</v>
      </c>
      <c r="G160" s="2">
        <v>100</v>
      </c>
      <c r="H160" s="2">
        <v>411</v>
      </c>
      <c r="I160" s="2">
        <v>2</v>
      </c>
      <c r="J160" s="2">
        <v>1234</v>
      </c>
      <c r="K160" s="2">
        <v>1</v>
      </c>
      <c r="L160" s="2">
        <v>411</v>
      </c>
    </row>
    <row r="161" spans="1:12" x14ac:dyDescent="0.25">
      <c r="A161" s="4" t="str">
        <f>HYPERLINK("http://www.rosaceae.org/Prunus/Prunus_persica/p.persica_gdr_reftransV1_0013402","p.persica_gdr_reftransV1_0013402")</f>
        <v>p.persica_gdr_reftransV1_0013402</v>
      </c>
      <c r="B161" s="2">
        <v>718</v>
      </c>
      <c r="C161" s="4" t="str">
        <f>HYPERLINK("http://www.uniprot.org/uniprot/M5VVH3","M5VVH3")</f>
        <v>M5VVH3</v>
      </c>
      <c r="D161" s="2" t="s">
        <v>159</v>
      </c>
      <c r="E161" s="3">
        <v>2.21E-82</v>
      </c>
      <c r="F161" s="2">
        <v>679</v>
      </c>
      <c r="G161" s="2">
        <v>99</v>
      </c>
      <c r="H161" s="2">
        <v>125</v>
      </c>
      <c r="I161" s="2">
        <v>3</v>
      </c>
      <c r="J161" s="2">
        <v>377</v>
      </c>
      <c r="K161" s="2">
        <v>260</v>
      </c>
      <c r="L161" s="2">
        <v>384</v>
      </c>
    </row>
    <row r="162" spans="1:12" x14ac:dyDescent="0.25">
      <c r="A162" s="4" t="str">
        <f>HYPERLINK("http://www.rosaceae.org/Prunus/Prunus_persica/p.persica_gdr_reftransV1_0015502","p.persica_gdr_reftransV1_0015502")</f>
        <v>p.persica_gdr_reftransV1_0015502</v>
      </c>
      <c r="B162" s="2">
        <v>2269</v>
      </c>
      <c r="C162" s="4" t="str">
        <f>HYPERLINK("http://www.uniprot.org/uniprot/M5X5E8","M5X5E8")</f>
        <v>M5X5E8</v>
      </c>
      <c r="D162" s="2" t="s">
        <v>160</v>
      </c>
      <c r="E162" s="3">
        <v>0</v>
      </c>
      <c r="F162" s="2">
        <v>1906</v>
      </c>
      <c r="G162" s="2">
        <v>100</v>
      </c>
      <c r="H162" s="2">
        <v>358</v>
      </c>
      <c r="I162" s="2">
        <v>301</v>
      </c>
      <c r="J162" s="2">
        <v>1374</v>
      </c>
      <c r="K162" s="2">
        <v>1</v>
      </c>
      <c r="L162" s="2">
        <v>358</v>
      </c>
    </row>
    <row r="163" spans="1:12" x14ac:dyDescent="0.25">
      <c r="A163" s="4" t="str">
        <f>HYPERLINK("http://www.rosaceae.org/Prunus/Prunus_persica/p.persica_gdr_reftransV1_0016902","p.persica_gdr_reftransV1_0016902")</f>
        <v>p.persica_gdr_reftransV1_0016902</v>
      </c>
      <c r="B163" s="2">
        <v>429</v>
      </c>
      <c r="C163" s="4" t="str">
        <f>HYPERLINK("http://www.uniprot.org/uniprot/M5XGH1","M5XGH1")</f>
        <v>M5XGH1</v>
      </c>
      <c r="D163" s="2" t="s">
        <v>161</v>
      </c>
      <c r="E163" s="3">
        <v>3.9699999999999997E-71</v>
      </c>
      <c r="F163" s="2">
        <v>583</v>
      </c>
      <c r="G163" s="2">
        <v>100</v>
      </c>
      <c r="H163" s="2">
        <v>122</v>
      </c>
      <c r="I163" s="2">
        <v>62</v>
      </c>
      <c r="J163" s="2">
        <v>427</v>
      </c>
      <c r="K163" s="2">
        <v>1</v>
      </c>
      <c r="L163" s="2">
        <v>122</v>
      </c>
    </row>
    <row r="164" spans="1:12" x14ac:dyDescent="0.25">
      <c r="A164" s="4" t="str">
        <f>HYPERLINK("http://www.rosaceae.org/Prunus/Prunus_persica/p.persica_gdr_reftransV1_0018652","p.persica_gdr_reftransV1_0018652")</f>
        <v>p.persica_gdr_reftransV1_0018652</v>
      </c>
      <c r="B164" s="2">
        <v>1894</v>
      </c>
      <c r="C164" s="4" t="str">
        <f>HYPERLINK("http://www.uniprot.org/uniprot/M5VPW1","M5VPW1")</f>
        <v>M5VPW1</v>
      </c>
      <c r="D164" s="2" t="s">
        <v>162</v>
      </c>
      <c r="E164" s="3">
        <v>0</v>
      </c>
      <c r="F164" s="2">
        <v>2181</v>
      </c>
      <c r="G164" s="2">
        <v>100</v>
      </c>
      <c r="H164" s="2">
        <v>422</v>
      </c>
      <c r="I164" s="2">
        <v>271</v>
      </c>
      <c r="J164" s="2">
        <v>1536</v>
      </c>
      <c r="K164" s="2">
        <v>1</v>
      </c>
      <c r="L164" s="2">
        <v>422</v>
      </c>
    </row>
    <row r="165" spans="1:12" x14ac:dyDescent="0.25">
      <c r="A165" s="4" t="str">
        <f>HYPERLINK("http://www.rosaceae.org/Prunus/Prunus_persica/p.persica_gdr_reftransV1_0019352","p.persica_gdr_reftransV1_0019352")</f>
        <v>p.persica_gdr_reftransV1_0019352</v>
      </c>
      <c r="B165" s="2">
        <v>1423</v>
      </c>
      <c r="C165" s="4" t="str">
        <f>HYPERLINK("http://www.uniprot.org/uniprot/M5XEZ9","M5XEZ9")</f>
        <v>M5XEZ9</v>
      </c>
      <c r="D165" s="2" t="s">
        <v>163</v>
      </c>
      <c r="E165" s="3">
        <v>0</v>
      </c>
      <c r="F165" s="2">
        <v>1560</v>
      </c>
      <c r="G165" s="2">
        <v>100</v>
      </c>
      <c r="H165" s="2">
        <v>291</v>
      </c>
      <c r="I165" s="2">
        <v>158</v>
      </c>
      <c r="J165" s="2">
        <v>1030</v>
      </c>
      <c r="K165" s="2">
        <v>1</v>
      </c>
      <c r="L165" s="2">
        <v>291</v>
      </c>
    </row>
    <row r="166" spans="1:12" x14ac:dyDescent="0.25">
      <c r="A166" s="4" t="str">
        <f>HYPERLINK("http://www.rosaceae.org/Prunus/Prunus_persica/p.persica_gdr_reftransV1_0020402","p.persica_gdr_reftransV1_0020402")</f>
        <v>p.persica_gdr_reftransV1_0020402</v>
      </c>
      <c r="B166" s="2">
        <v>1620</v>
      </c>
      <c r="C166" s="4" t="str">
        <f>HYPERLINK("http://www.uniprot.org/uniprot/H6SV46","H6SV46")</f>
        <v>H6SV46</v>
      </c>
      <c r="D166" s="2" t="s">
        <v>164</v>
      </c>
      <c r="E166" s="3">
        <v>0</v>
      </c>
      <c r="F166" s="2">
        <v>2088</v>
      </c>
      <c r="G166" s="2">
        <v>100</v>
      </c>
      <c r="H166" s="2">
        <v>391</v>
      </c>
      <c r="I166" s="2">
        <v>67</v>
      </c>
      <c r="J166" s="2">
        <v>1239</v>
      </c>
      <c r="K166" s="2">
        <v>1</v>
      </c>
      <c r="L166" s="2">
        <v>391</v>
      </c>
    </row>
    <row r="167" spans="1:12" x14ac:dyDescent="0.25">
      <c r="A167" s="4" t="str">
        <f>HYPERLINK("http://www.rosaceae.org/Prunus/Prunus_persica/p.persica_gdr_reftransV1_0021102","p.persica_gdr_reftransV1_0021102")</f>
        <v>p.persica_gdr_reftransV1_0021102</v>
      </c>
      <c r="B167" s="2">
        <v>3376</v>
      </c>
      <c r="C167" s="4" t="str">
        <f>HYPERLINK("http://www.uniprot.org/uniprot/M5XLA1","M5XLA1")</f>
        <v>M5XLA1</v>
      </c>
      <c r="D167" s="2" t="s">
        <v>165</v>
      </c>
      <c r="E167" s="3">
        <v>0</v>
      </c>
      <c r="F167" s="2">
        <v>3388</v>
      </c>
      <c r="G167" s="2">
        <v>100</v>
      </c>
      <c r="H167" s="2">
        <v>671</v>
      </c>
      <c r="I167" s="2">
        <v>346</v>
      </c>
      <c r="J167" s="2">
        <v>2358</v>
      </c>
      <c r="K167" s="2">
        <v>144</v>
      </c>
      <c r="L167" s="2">
        <v>814</v>
      </c>
    </row>
    <row r="168" spans="1:12" x14ac:dyDescent="0.25">
      <c r="A168" s="4" t="str">
        <f>HYPERLINK("http://www.rosaceae.org/Prunus/Prunus_persica/p.persica_gdr_reftransV1_0022152","p.persica_gdr_reftransV1_0022152")</f>
        <v>p.persica_gdr_reftransV1_0022152</v>
      </c>
      <c r="B168" s="2">
        <v>1671</v>
      </c>
      <c r="C168" s="4" t="str">
        <f>HYPERLINK("http://www.uniprot.org/uniprot/M5X435","M5X435")</f>
        <v>M5X435</v>
      </c>
      <c r="D168" s="2" t="s">
        <v>166</v>
      </c>
      <c r="E168" s="3">
        <v>0</v>
      </c>
      <c r="F168" s="2">
        <v>2698</v>
      </c>
      <c r="G168" s="2">
        <v>100</v>
      </c>
      <c r="H168" s="2">
        <v>511</v>
      </c>
      <c r="I168" s="2">
        <v>90</v>
      </c>
      <c r="J168" s="2">
        <v>1622</v>
      </c>
      <c r="K168" s="2">
        <v>1</v>
      </c>
      <c r="L168" s="2">
        <v>511</v>
      </c>
    </row>
    <row r="169" spans="1:12" x14ac:dyDescent="0.25">
      <c r="A169" s="4" t="str">
        <f>HYPERLINK("http://www.rosaceae.org/Prunus/Prunus_persica/p.persica_gdr_reftransV1_0023202","p.persica_gdr_reftransV1_0023202")</f>
        <v>p.persica_gdr_reftransV1_0023202</v>
      </c>
      <c r="B169" s="2">
        <v>943</v>
      </c>
      <c r="C169" s="4" t="str">
        <f>HYPERLINK("http://www.uniprot.org/uniprot/M5X1J5","M5X1J5")</f>
        <v>M5X1J5</v>
      </c>
      <c r="D169" s="2" t="s">
        <v>167</v>
      </c>
      <c r="E169" s="3">
        <v>1.5099999999999999E-147</v>
      </c>
      <c r="F169" s="2">
        <v>1115</v>
      </c>
      <c r="G169" s="2">
        <v>100</v>
      </c>
      <c r="H169" s="2">
        <v>261</v>
      </c>
      <c r="I169" s="2">
        <v>1</v>
      </c>
      <c r="J169" s="2">
        <v>783</v>
      </c>
      <c r="K169" s="2">
        <v>1</v>
      </c>
      <c r="L169" s="2">
        <v>261</v>
      </c>
    </row>
    <row r="170" spans="1:12" x14ac:dyDescent="0.25">
      <c r="A170" s="4" t="str">
        <f>HYPERLINK("http://www.rosaceae.org/Prunus/Prunus_persica/p.persica_gdr_reftransV1_0023552","p.persica_gdr_reftransV1_0023552")</f>
        <v>p.persica_gdr_reftransV1_0023552</v>
      </c>
      <c r="B170" s="2">
        <v>2053</v>
      </c>
      <c r="C170" s="4" t="str">
        <f>HYPERLINK("http://www.uniprot.org/uniprot/M5XS21","M5XS21")</f>
        <v>M5XS21</v>
      </c>
      <c r="D170" s="2" t="s">
        <v>168</v>
      </c>
      <c r="E170" s="3">
        <v>0</v>
      </c>
      <c r="F170" s="2">
        <v>2986</v>
      </c>
      <c r="G170" s="2">
        <v>100</v>
      </c>
      <c r="H170" s="2">
        <v>587</v>
      </c>
      <c r="I170" s="2">
        <v>1</v>
      </c>
      <c r="J170" s="2">
        <v>1761</v>
      </c>
      <c r="K170" s="2">
        <v>1</v>
      </c>
      <c r="L170" s="2">
        <v>587</v>
      </c>
    </row>
    <row r="171" spans="1:12" x14ac:dyDescent="0.25">
      <c r="A171" s="4" t="str">
        <f>HYPERLINK("http://www.rosaceae.org/Prunus/Prunus_persica/p.persica_gdr_reftransV1_0023902","p.persica_gdr_reftransV1_0023902")</f>
        <v>p.persica_gdr_reftransV1_0023902</v>
      </c>
      <c r="B171" s="2">
        <v>2661</v>
      </c>
      <c r="C171" s="4" t="str">
        <f>HYPERLINK("http://www.uniprot.org/uniprot/M5X8C3","M5X8C3")</f>
        <v>M5X8C3</v>
      </c>
      <c r="D171" s="2" t="s">
        <v>169</v>
      </c>
      <c r="E171" s="3">
        <v>8.0599999999999998E-172</v>
      </c>
      <c r="F171" s="2">
        <v>970</v>
      </c>
      <c r="G171" s="2">
        <v>99</v>
      </c>
      <c r="H171" s="2">
        <v>199</v>
      </c>
      <c r="I171" s="2">
        <v>1824</v>
      </c>
      <c r="J171" s="2">
        <v>2420</v>
      </c>
      <c r="K171" s="2">
        <v>14</v>
      </c>
      <c r="L171" s="2">
        <v>212</v>
      </c>
    </row>
    <row r="172" spans="1:12" x14ac:dyDescent="0.25">
      <c r="A172" s="4" t="str">
        <f>HYPERLINK("http://www.rosaceae.org/Prunus/Prunus_persica/p.persica_gdr_reftransV1_0024602","p.persica_gdr_reftransV1_0024602")</f>
        <v>p.persica_gdr_reftransV1_0024602</v>
      </c>
      <c r="B172" s="2">
        <v>558</v>
      </c>
      <c r="C172" s="4" t="str">
        <f>HYPERLINK("http://www.uniprot.org/uniprot/M5WW25","M5WW25")</f>
        <v>M5WW25</v>
      </c>
      <c r="D172" s="2" t="s">
        <v>170</v>
      </c>
      <c r="E172" s="3">
        <v>1.0600000000000001E-79</v>
      </c>
      <c r="F172" s="2">
        <v>665</v>
      </c>
      <c r="G172" s="2">
        <v>100</v>
      </c>
      <c r="H172" s="2">
        <v>173</v>
      </c>
      <c r="I172" s="2">
        <v>1</v>
      </c>
      <c r="J172" s="2">
        <v>519</v>
      </c>
      <c r="K172" s="2">
        <v>39</v>
      </c>
      <c r="L172" s="2">
        <v>211</v>
      </c>
    </row>
    <row r="173" spans="1:12" x14ac:dyDescent="0.25">
      <c r="A173" s="4" t="str">
        <f>HYPERLINK("http://www.rosaceae.org/Prunus/Prunus_persica/p.persica_gdr_reftransV1_0026352","p.persica_gdr_reftransV1_0026352")</f>
        <v>p.persica_gdr_reftransV1_0026352</v>
      </c>
      <c r="B173" s="2">
        <v>1739</v>
      </c>
      <c r="C173" s="4" t="str">
        <f>HYPERLINK("http://www.uniprot.org/uniprot/J7G5B0","J7G5B0")</f>
        <v>J7G5B0</v>
      </c>
      <c r="D173" s="2" t="s">
        <v>171</v>
      </c>
      <c r="E173" s="3">
        <v>0</v>
      </c>
      <c r="F173" s="2">
        <v>2106</v>
      </c>
      <c r="G173" s="2">
        <v>86</v>
      </c>
      <c r="H173" s="2">
        <v>463</v>
      </c>
      <c r="I173" s="2">
        <v>142</v>
      </c>
      <c r="J173" s="2">
        <v>1518</v>
      </c>
      <c r="K173" s="2">
        <v>26</v>
      </c>
      <c r="L173" s="2">
        <v>485</v>
      </c>
    </row>
    <row r="174" spans="1:12" x14ac:dyDescent="0.25">
      <c r="A174" s="4" t="str">
        <f>HYPERLINK("http://www.rosaceae.org/Prunus/Prunus_persica/p.persica_gdr_reftransV1_0026702","p.persica_gdr_reftransV1_0026702")</f>
        <v>p.persica_gdr_reftransV1_0026702</v>
      </c>
      <c r="B174" s="2">
        <v>1863</v>
      </c>
      <c r="C174" s="4" t="str">
        <f>HYPERLINK("http://www.uniprot.org/uniprot/M5XM59","M5XM59")</f>
        <v>M5XM59</v>
      </c>
      <c r="D174" s="2" t="s">
        <v>172</v>
      </c>
      <c r="E174" s="3">
        <v>1.4499999999999999E-41</v>
      </c>
      <c r="F174" s="2">
        <v>397</v>
      </c>
      <c r="G174" s="2">
        <v>64</v>
      </c>
      <c r="H174" s="2">
        <v>136</v>
      </c>
      <c r="I174" s="2">
        <v>241</v>
      </c>
      <c r="J174" s="2">
        <v>648</v>
      </c>
      <c r="K174" s="2">
        <v>61</v>
      </c>
      <c r="L174" s="2">
        <v>148</v>
      </c>
    </row>
    <row r="175" spans="1:12" x14ac:dyDescent="0.25">
      <c r="A175" s="4" t="str">
        <f>HYPERLINK("http://www.rosaceae.org/Prunus/Prunus_persica/p.persica_gdr_reftransV1_0027752","p.persica_gdr_reftransV1_0027752")</f>
        <v>p.persica_gdr_reftransV1_0027752</v>
      </c>
      <c r="B175" s="2">
        <v>2992</v>
      </c>
      <c r="C175" s="4" t="str">
        <f>HYPERLINK("http://www.uniprot.org/uniprot/M5WK31","M5WK31")</f>
        <v>M5WK31</v>
      </c>
      <c r="D175" s="2" t="s">
        <v>173</v>
      </c>
      <c r="E175" s="3">
        <v>0</v>
      </c>
      <c r="F175" s="2">
        <v>3724</v>
      </c>
      <c r="G175" s="2">
        <v>98</v>
      </c>
      <c r="H175" s="2">
        <v>827</v>
      </c>
      <c r="I175" s="2">
        <v>1</v>
      </c>
      <c r="J175" s="2">
        <v>2481</v>
      </c>
      <c r="K175" s="2">
        <v>165</v>
      </c>
      <c r="L175" s="2">
        <v>972</v>
      </c>
    </row>
    <row r="176" spans="1:12" x14ac:dyDescent="0.25">
      <c r="A176" s="4" t="str">
        <f>HYPERLINK("http://www.rosaceae.org/Prunus/Prunus_persica/p.persica_gdr_reftransV1_0030902","p.persica_gdr_reftransV1_0030902")</f>
        <v>p.persica_gdr_reftransV1_0030902</v>
      </c>
      <c r="B176" s="2">
        <v>421</v>
      </c>
      <c r="C176" s="4" t="str">
        <f>HYPERLINK("http://www.uniprot.org/uniprot/M5XQX2","M5XQX2")</f>
        <v>M5XQX2</v>
      </c>
      <c r="D176" s="2" t="s">
        <v>174</v>
      </c>
      <c r="E176" s="3">
        <v>2.44E-91</v>
      </c>
      <c r="F176" s="2">
        <v>720</v>
      </c>
      <c r="G176" s="2">
        <v>100</v>
      </c>
      <c r="H176" s="2">
        <v>135</v>
      </c>
      <c r="I176" s="2">
        <v>16</v>
      </c>
      <c r="J176" s="2">
        <v>420</v>
      </c>
      <c r="K176" s="2">
        <v>99</v>
      </c>
      <c r="L176" s="2">
        <v>233</v>
      </c>
    </row>
    <row r="177" spans="1:12" x14ac:dyDescent="0.25">
      <c r="A177" s="4" t="str">
        <f>HYPERLINK("http://www.rosaceae.org/Prunus/Prunus_persica/p.persica_gdr_reftransV1_0032302","p.persica_gdr_reftransV1_0032302")</f>
        <v>p.persica_gdr_reftransV1_0032302</v>
      </c>
      <c r="B177" s="2">
        <v>2872</v>
      </c>
      <c r="C177" s="4" t="str">
        <f>HYPERLINK("http://www.uniprot.org/uniprot/M5VWQ0","M5VWQ0")</f>
        <v>M5VWQ0</v>
      </c>
      <c r="D177" s="2" t="s">
        <v>175</v>
      </c>
      <c r="E177" s="3">
        <v>0</v>
      </c>
      <c r="F177" s="2">
        <v>4513</v>
      </c>
      <c r="G177" s="2">
        <v>100</v>
      </c>
      <c r="H177" s="2">
        <v>888</v>
      </c>
      <c r="I177" s="2">
        <v>209</v>
      </c>
      <c r="J177" s="2">
        <v>2872</v>
      </c>
      <c r="K177" s="2">
        <v>1</v>
      </c>
      <c r="L177" s="2">
        <v>887</v>
      </c>
    </row>
    <row r="178" spans="1:12" x14ac:dyDescent="0.25">
      <c r="A178" s="4" t="str">
        <f>HYPERLINK("http://www.rosaceae.org/Prunus/Prunus_persica/p.persica_gdr_reftransV1_0033002","p.persica_gdr_reftransV1_0033002")</f>
        <v>p.persica_gdr_reftransV1_0033002</v>
      </c>
      <c r="B178" s="2">
        <v>964</v>
      </c>
      <c r="C178" s="4" t="str">
        <f>HYPERLINK("http://www.uniprot.org/uniprot/M5W7X8","M5W7X8")</f>
        <v>M5W7X8</v>
      </c>
      <c r="D178" s="2" t="s">
        <v>176</v>
      </c>
      <c r="E178" s="3">
        <v>4.7400000000000002E-176</v>
      </c>
      <c r="F178" s="2">
        <v>1297</v>
      </c>
      <c r="G178" s="2">
        <v>97</v>
      </c>
      <c r="H178" s="2">
        <v>251</v>
      </c>
      <c r="I178" s="2">
        <v>210</v>
      </c>
      <c r="J178" s="2">
        <v>962</v>
      </c>
      <c r="K178" s="2">
        <v>113</v>
      </c>
      <c r="L178" s="2">
        <v>357</v>
      </c>
    </row>
    <row r="179" spans="1:12" x14ac:dyDescent="0.25">
      <c r="A179" s="4" t="str">
        <f>HYPERLINK("http://www.rosaceae.org/Prunus/Prunus_persica/p.persica_gdr_reftransV1_0033352","p.persica_gdr_reftransV1_0033352")</f>
        <v>p.persica_gdr_reftransV1_0033352</v>
      </c>
      <c r="B179" s="2">
        <v>2325</v>
      </c>
      <c r="C179" s="4" t="str">
        <f>HYPERLINK("http://www.uniprot.org/uniprot/M5VQK2","M5VQK2")</f>
        <v>M5VQK2</v>
      </c>
      <c r="D179" s="2" t="s">
        <v>177</v>
      </c>
      <c r="E179" s="3">
        <v>1.2300000000000001E-133</v>
      </c>
      <c r="F179" s="2">
        <v>1063</v>
      </c>
      <c r="G179" s="2">
        <v>100</v>
      </c>
      <c r="H179" s="2">
        <v>214</v>
      </c>
      <c r="I179" s="2">
        <v>1536</v>
      </c>
      <c r="J179" s="2">
        <v>2177</v>
      </c>
      <c r="K179" s="2">
        <v>1</v>
      </c>
      <c r="L179" s="2">
        <v>214</v>
      </c>
    </row>
    <row r="180" spans="1:12" x14ac:dyDescent="0.25">
      <c r="A180" s="4" t="str">
        <f>HYPERLINK("http://www.rosaceae.org/Prunus/Prunus_persica/p.persica_gdr_reftransV1_0038602","p.persica_gdr_reftransV1_0038602")</f>
        <v>p.persica_gdr_reftransV1_0038602</v>
      </c>
      <c r="B180" s="2">
        <v>1967</v>
      </c>
      <c r="C180" s="4" t="str">
        <f>HYPERLINK("http://www.uniprot.org/uniprot/M5X3U4","M5X3U4")</f>
        <v>M5X3U4</v>
      </c>
      <c r="D180" s="2" t="s">
        <v>178</v>
      </c>
      <c r="E180" s="3">
        <v>0</v>
      </c>
      <c r="F180" s="2">
        <v>2788</v>
      </c>
      <c r="G180" s="2">
        <v>100</v>
      </c>
      <c r="H180" s="2">
        <v>539</v>
      </c>
      <c r="I180" s="2">
        <v>102</v>
      </c>
      <c r="J180" s="2">
        <v>1718</v>
      </c>
      <c r="K180" s="2">
        <v>1</v>
      </c>
      <c r="L180" s="2">
        <v>539</v>
      </c>
    </row>
    <row r="181" spans="1:12" x14ac:dyDescent="0.25">
      <c r="A181" s="4" t="str">
        <f>HYPERLINK("http://www.rosaceae.org/Prunus/Prunus_persica/p.persica_gdr_reftransV1_0040702","p.persica_gdr_reftransV1_0040702")</f>
        <v>p.persica_gdr_reftransV1_0040702</v>
      </c>
      <c r="B181" s="2">
        <v>2783</v>
      </c>
      <c r="C181" s="4" t="str">
        <f>HYPERLINK("http://www.uniprot.org/uniprot/M5W6S9","M5W6S9")</f>
        <v>M5W6S9</v>
      </c>
      <c r="D181" s="2" t="s">
        <v>179</v>
      </c>
      <c r="E181" s="3">
        <v>2.33E-52</v>
      </c>
      <c r="F181" s="2">
        <v>486</v>
      </c>
      <c r="G181" s="2">
        <v>100</v>
      </c>
      <c r="H181" s="2">
        <v>117</v>
      </c>
      <c r="I181" s="2">
        <v>195</v>
      </c>
      <c r="J181" s="2">
        <v>545</v>
      </c>
      <c r="K181" s="2">
        <v>1</v>
      </c>
      <c r="L181" s="2">
        <v>117</v>
      </c>
    </row>
    <row r="182" spans="1:12" x14ac:dyDescent="0.25">
      <c r="A182" s="4" t="str">
        <f>HYPERLINK("http://www.rosaceae.org/Prunus/Prunus_persica/p.persica_gdr_reftransV1_0041052","p.persica_gdr_reftransV1_0041052")</f>
        <v>p.persica_gdr_reftransV1_0041052</v>
      </c>
      <c r="B182" s="2">
        <v>10799</v>
      </c>
      <c r="C182" s="4" t="str">
        <f>HYPERLINK("http://www.uniprot.org/uniprot/A0A061FDR7","A0A061FDR7")</f>
        <v>A0A061FDR7</v>
      </c>
      <c r="D182" s="2" t="s">
        <v>180</v>
      </c>
      <c r="E182" s="3">
        <v>0</v>
      </c>
      <c r="F182" s="2">
        <v>12447</v>
      </c>
      <c r="G182" s="2">
        <v>75</v>
      </c>
      <c r="H182" s="2">
        <v>3282</v>
      </c>
      <c r="I182" s="2">
        <v>7</v>
      </c>
      <c r="J182" s="2">
        <v>9780</v>
      </c>
      <c r="K182" s="2">
        <v>1</v>
      </c>
      <c r="L182" s="2">
        <v>3267</v>
      </c>
    </row>
    <row r="183" spans="1:12" x14ac:dyDescent="0.25">
      <c r="A183" s="4" t="str">
        <f>HYPERLINK("http://www.rosaceae.org/Prunus/Prunus_persica/p.persica_gdr_reftransV1_0043152","p.persica_gdr_reftransV1_0043152")</f>
        <v>p.persica_gdr_reftransV1_0043152</v>
      </c>
      <c r="B183" s="2">
        <v>918</v>
      </c>
      <c r="C183" s="4" t="str">
        <f>HYPERLINK("http://www.uniprot.org/uniprot/M5WR51","M5WR51")</f>
        <v>M5WR51</v>
      </c>
      <c r="D183" s="2" t="s">
        <v>133</v>
      </c>
      <c r="E183" s="3">
        <v>0</v>
      </c>
      <c r="F183" s="2">
        <v>1508</v>
      </c>
      <c r="G183" s="2">
        <v>99</v>
      </c>
      <c r="H183" s="2">
        <v>297</v>
      </c>
      <c r="I183" s="2">
        <v>20</v>
      </c>
      <c r="J183" s="2">
        <v>910</v>
      </c>
      <c r="K183" s="2">
        <v>127</v>
      </c>
      <c r="L183" s="2">
        <v>423</v>
      </c>
    </row>
    <row r="184" spans="1:12" x14ac:dyDescent="0.25">
      <c r="A184" s="4" t="str">
        <f>HYPERLINK("http://www.rosaceae.org/Prunus/Prunus_persica/p.persica_gdr_reftransV1_0043502","p.persica_gdr_reftransV1_0043502")</f>
        <v>p.persica_gdr_reftransV1_0043502</v>
      </c>
      <c r="B184" s="2">
        <v>828</v>
      </c>
      <c r="C184" s="4" t="str">
        <f>HYPERLINK("http://www.uniprot.org/uniprot/M5XZ15","M5XZ15")</f>
        <v>M5XZ15</v>
      </c>
      <c r="D184" s="2" t="s">
        <v>181</v>
      </c>
      <c r="E184" s="3">
        <v>8.7300000000000004E-122</v>
      </c>
      <c r="F184" s="2">
        <v>916</v>
      </c>
      <c r="G184" s="2">
        <v>99</v>
      </c>
      <c r="H184" s="2">
        <v>175</v>
      </c>
      <c r="I184" s="2">
        <v>178</v>
      </c>
      <c r="J184" s="2">
        <v>702</v>
      </c>
      <c r="K184" s="2">
        <v>1</v>
      </c>
      <c r="L184" s="2">
        <v>175</v>
      </c>
    </row>
    <row r="185" spans="1:12" x14ac:dyDescent="0.25">
      <c r="A185" s="4" t="str">
        <f>HYPERLINK("http://www.rosaceae.org/Prunus/Prunus_persica/p.persica_gdr_reftransV1_0043852","p.persica_gdr_reftransV1_0043852")</f>
        <v>p.persica_gdr_reftransV1_0043852</v>
      </c>
      <c r="B185" s="2">
        <v>1490</v>
      </c>
      <c r="C185" s="4" t="str">
        <f>HYPERLINK("http://www.uniprot.org/uniprot/M5W589","M5W589")</f>
        <v>M5W589</v>
      </c>
      <c r="D185" s="2" t="s">
        <v>182</v>
      </c>
      <c r="E185" s="3">
        <v>0</v>
      </c>
      <c r="F185" s="2">
        <v>1881</v>
      </c>
      <c r="G185" s="2">
        <v>100</v>
      </c>
      <c r="H185" s="2">
        <v>366</v>
      </c>
      <c r="I185" s="2">
        <v>393</v>
      </c>
      <c r="J185" s="2">
        <v>1490</v>
      </c>
      <c r="K185" s="2">
        <v>203</v>
      </c>
      <c r="L185" s="2">
        <v>568</v>
      </c>
    </row>
    <row r="186" spans="1:12" x14ac:dyDescent="0.25">
      <c r="A186" s="4" t="str">
        <f>HYPERLINK("http://www.rosaceae.org/Prunus/Prunus_persica/p.persica_gdr_reftransV1_0044202","p.persica_gdr_reftransV1_0044202")</f>
        <v>p.persica_gdr_reftransV1_0044202</v>
      </c>
      <c r="B186" s="2">
        <v>496</v>
      </c>
      <c r="C186" s="4" t="str">
        <f>HYPERLINK("http://www.uniprot.org/uniprot/M5VNU7","M5VNU7")</f>
        <v>M5VNU7</v>
      </c>
      <c r="D186" s="2" t="s">
        <v>183</v>
      </c>
      <c r="E186" s="3">
        <v>3.9800000000000002E-76</v>
      </c>
      <c r="F186" s="2">
        <v>631</v>
      </c>
      <c r="G186" s="2">
        <v>100</v>
      </c>
      <c r="H186" s="2">
        <v>135</v>
      </c>
      <c r="I186" s="2">
        <v>91</v>
      </c>
      <c r="J186" s="2">
        <v>495</v>
      </c>
      <c r="K186" s="2">
        <v>1</v>
      </c>
      <c r="L186" s="2">
        <v>135</v>
      </c>
    </row>
    <row r="187" spans="1:12" x14ac:dyDescent="0.25">
      <c r="A187" s="4" t="str">
        <f>HYPERLINK("http://www.rosaceae.org/Prunus/Prunus_persica/p.persica_gdr_reftransV1_0044552","p.persica_gdr_reftransV1_0044552")</f>
        <v>p.persica_gdr_reftransV1_0044552</v>
      </c>
      <c r="B187" s="2">
        <v>310</v>
      </c>
      <c r="C187" s="4" t="str">
        <f>HYPERLINK("http://www.uniprot.org/uniprot/M5WJH4","M5WJH4")</f>
        <v>M5WJH4</v>
      </c>
      <c r="D187" s="2" t="s">
        <v>184</v>
      </c>
      <c r="E187" s="3">
        <v>5.9400000000000004E-26</v>
      </c>
      <c r="F187" s="2">
        <v>257</v>
      </c>
      <c r="G187" s="2">
        <v>100</v>
      </c>
      <c r="H187" s="2">
        <v>49</v>
      </c>
      <c r="I187" s="2">
        <v>1</v>
      </c>
      <c r="J187" s="2">
        <v>147</v>
      </c>
      <c r="K187" s="2">
        <v>1</v>
      </c>
      <c r="L187" s="2">
        <v>49</v>
      </c>
    </row>
    <row r="188" spans="1:12" x14ac:dyDescent="0.25">
      <c r="A188" s="4" t="str">
        <f>HYPERLINK("http://www.rosaceae.org/Prunus/Prunus_persica/p.persica_gdr_reftransV1_0044902","p.persica_gdr_reftransV1_0044902")</f>
        <v>p.persica_gdr_reftransV1_0044902</v>
      </c>
      <c r="B188" s="2">
        <v>2585</v>
      </c>
      <c r="C188" s="4" t="str">
        <f>HYPERLINK("http://www.uniprot.org/uniprot/M5W665","M5W665")</f>
        <v>M5W665</v>
      </c>
      <c r="D188" s="2" t="s">
        <v>185</v>
      </c>
      <c r="E188" s="3">
        <v>0</v>
      </c>
      <c r="F188" s="2">
        <v>3162</v>
      </c>
      <c r="G188" s="2">
        <v>100</v>
      </c>
      <c r="H188" s="2">
        <v>621</v>
      </c>
      <c r="I188" s="2">
        <v>402</v>
      </c>
      <c r="J188" s="2">
        <v>2264</v>
      </c>
      <c r="K188" s="2">
        <v>1</v>
      </c>
      <c r="L188" s="2">
        <v>621</v>
      </c>
    </row>
    <row r="189" spans="1:12" x14ac:dyDescent="0.25">
      <c r="A189" s="4" t="str">
        <f>HYPERLINK("http://www.rosaceae.org/Prunus/Prunus_persica/p.persica_gdr_reftransV1_0045952","p.persica_gdr_reftransV1_0045952")</f>
        <v>p.persica_gdr_reftransV1_0045952</v>
      </c>
      <c r="B189" s="2">
        <v>3136</v>
      </c>
      <c r="C189" s="4" t="str">
        <f>HYPERLINK("http://www.uniprot.org/uniprot/W9QJQ1","W9QJQ1")</f>
        <v>W9QJQ1</v>
      </c>
      <c r="D189" s="2" t="s">
        <v>186</v>
      </c>
      <c r="E189" s="3">
        <v>0</v>
      </c>
      <c r="F189" s="2">
        <v>2958</v>
      </c>
      <c r="G189" s="2">
        <v>72</v>
      </c>
      <c r="H189" s="2">
        <v>855</v>
      </c>
      <c r="I189" s="2">
        <v>390</v>
      </c>
      <c r="J189" s="2">
        <v>2930</v>
      </c>
      <c r="K189" s="2">
        <v>248</v>
      </c>
      <c r="L189" s="2">
        <v>1084</v>
      </c>
    </row>
    <row r="190" spans="1:12" x14ac:dyDescent="0.25">
      <c r="A190" s="4" t="str">
        <f>HYPERLINK("http://www.rosaceae.org/Prunus/Prunus_persica/p.persica_gdr_reftransV1_0046302","p.persica_gdr_reftransV1_0046302")</f>
        <v>p.persica_gdr_reftransV1_0046302</v>
      </c>
      <c r="B190" s="2">
        <v>689</v>
      </c>
      <c r="C190" s="4" t="str">
        <f>HYPERLINK("http://www.uniprot.org/uniprot/M5WIH1","M5WIH1")</f>
        <v>M5WIH1</v>
      </c>
      <c r="D190" s="2" t="s">
        <v>187</v>
      </c>
      <c r="E190" s="3">
        <v>2.2099999999999999E-52</v>
      </c>
      <c r="F190" s="2">
        <v>453</v>
      </c>
      <c r="G190" s="2">
        <v>98</v>
      </c>
      <c r="H190" s="2">
        <v>89</v>
      </c>
      <c r="I190" s="2">
        <v>336</v>
      </c>
      <c r="J190" s="2">
        <v>602</v>
      </c>
      <c r="K190" s="2">
        <v>102</v>
      </c>
      <c r="L190" s="2">
        <v>190</v>
      </c>
    </row>
    <row r="191" spans="1:12" x14ac:dyDescent="0.25">
      <c r="A191" s="4" t="str">
        <f>HYPERLINK("http://www.rosaceae.org/Prunus/Prunus_persica/p.persica_gdr_reftransV1_0046652","p.persica_gdr_reftransV1_0046652")</f>
        <v>p.persica_gdr_reftransV1_0046652</v>
      </c>
      <c r="B191" s="2">
        <v>509</v>
      </c>
      <c r="C191" s="4" t="str">
        <f>HYPERLINK("http://www.uniprot.org/uniprot/M5VN87","M5VN87")</f>
        <v>M5VN87</v>
      </c>
      <c r="D191" s="2" t="s">
        <v>126</v>
      </c>
      <c r="E191" s="3">
        <v>2.7999999999999998E-59</v>
      </c>
      <c r="F191" s="2">
        <v>517</v>
      </c>
      <c r="G191" s="2">
        <v>74</v>
      </c>
      <c r="H191" s="2">
        <v>148</v>
      </c>
      <c r="I191" s="2">
        <v>80</v>
      </c>
      <c r="J191" s="2">
        <v>508</v>
      </c>
      <c r="K191" s="2">
        <v>115</v>
      </c>
      <c r="L191" s="2">
        <v>245</v>
      </c>
    </row>
    <row r="192" spans="1:12" x14ac:dyDescent="0.25">
      <c r="A192" s="4" t="str">
        <f>HYPERLINK("http://www.rosaceae.org/Prunus/Prunus_persica/p.persica_gdr_reftransV1_0047002","p.persica_gdr_reftransV1_0047002")</f>
        <v>p.persica_gdr_reftransV1_0047002</v>
      </c>
      <c r="B192" s="2">
        <v>482</v>
      </c>
      <c r="C192" s="4" t="str">
        <f>HYPERLINK("http://www.uniprot.org/uniprot/M5XJ48","M5XJ48")</f>
        <v>M5XJ48</v>
      </c>
      <c r="D192" s="2" t="s">
        <v>188</v>
      </c>
      <c r="E192" s="3">
        <v>3.9100000000000003E-46</v>
      </c>
      <c r="F192" s="2">
        <v>403</v>
      </c>
      <c r="G192" s="2">
        <v>92</v>
      </c>
      <c r="H192" s="2">
        <v>109</v>
      </c>
      <c r="I192" s="2">
        <v>39</v>
      </c>
      <c r="J192" s="2">
        <v>353</v>
      </c>
      <c r="K192" s="2">
        <v>66</v>
      </c>
      <c r="L192" s="2">
        <v>174</v>
      </c>
    </row>
    <row r="193" spans="1:12" x14ac:dyDescent="0.25">
      <c r="A193" s="4" t="str">
        <f>HYPERLINK("http://www.rosaceae.org/Prunus/Prunus_persica/p.persica_gdr_reftransV1_0047702","p.persica_gdr_reftransV1_0047702")</f>
        <v>p.persica_gdr_reftransV1_0047702</v>
      </c>
      <c r="B193" s="2">
        <v>780</v>
      </c>
      <c r="C193" s="4" t="str">
        <f>HYPERLINK("http://www.uniprot.org/uniprot/M5WG06","M5WG06")</f>
        <v>M5WG06</v>
      </c>
      <c r="D193" s="2" t="s">
        <v>189</v>
      </c>
      <c r="E193" s="3">
        <v>7.8600000000000005E-159</v>
      </c>
      <c r="F193" s="2">
        <v>1178</v>
      </c>
      <c r="G193" s="2">
        <v>100</v>
      </c>
      <c r="H193" s="2">
        <v>221</v>
      </c>
      <c r="I193" s="2">
        <v>117</v>
      </c>
      <c r="J193" s="2">
        <v>779</v>
      </c>
      <c r="K193" s="2">
        <v>154</v>
      </c>
      <c r="L193" s="2">
        <v>374</v>
      </c>
    </row>
    <row r="194" spans="1:12" x14ac:dyDescent="0.25">
      <c r="A194" s="4" t="str">
        <f>HYPERLINK("http://www.rosaceae.org/Prunus/Prunus_persica/p.persica_gdr_reftransV1_0048052","p.persica_gdr_reftransV1_0048052")</f>
        <v>p.persica_gdr_reftransV1_0048052</v>
      </c>
      <c r="B194" s="2">
        <v>438</v>
      </c>
      <c r="C194" s="4" t="str">
        <f>HYPERLINK("http://www.uniprot.org/uniprot/M5VK84","M5VK84")</f>
        <v>M5VK84</v>
      </c>
      <c r="D194" s="2" t="s">
        <v>190</v>
      </c>
      <c r="E194" s="3">
        <v>5.1300000000000004E-84</v>
      </c>
      <c r="F194" s="2">
        <v>713</v>
      </c>
      <c r="G194" s="2">
        <v>95</v>
      </c>
      <c r="H194" s="2">
        <v>146</v>
      </c>
      <c r="I194" s="2">
        <v>1</v>
      </c>
      <c r="J194" s="2">
        <v>438</v>
      </c>
      <c r="K194" s="2">
        <v>68</v>
      </c>
      <c r="L194" s="2">
        <v>213</v>
      </c>
    </row>
    <row r="195" spans="1:12" x14ac:dyDescent="0.25">
      <c r="A195" s="4" t="str">
        <f>HYPERLINK("http://www.rosaceae.org/Prunus/Prunus_persica/p.persica_gdr_reftransV1_0048402","p.persica_gdr_reftransV1_0048402")</f>
        <v>p.persica_gdr_reftransV1_0048402</v>
      </c>
      <c r="B195" s="2">
        <v>529</v>
      </c>
      <c r="C195" s="4" t="str">
        <f>HYPERLINK("http://www.uniprot.org/uniprot/M5WWU0","M5WWU0")</f>
        <v>M5WWU0</v>
      </c>
      <c r="D195" s="2" t="s">
        <v>191</v>
      </c>
      <c r="E195" s="3">
        <v>4.3099999999999997E-59</v>
      </c>
      <c r="F195" s="2">
        <v>529</v>
      </c>
      <c r="G195" s="2">
        <v>100</v>
      </c>
      <c r="H195" s="2">
        <v>140</v>
      </c>
      <c r="I195" s="2">
        <v>2</v>
      </c>
      <c r="J195" s="2">
        <v>421</v>
      </c>
      <c r="K195" s="2">
        <v>1</v>
      </c>
      <c r="L195" s="2">
        <v>140</v>
      </c>
    </row>
    <row r="196" spans="1:12" x14ac:dyDescent="0.25">
      <c r="A196" s="4" t="str">
        <f>HYPERLINK("http://www.rosaceae.org/Prunus/Prunus_persica/p.persica_gdr_reftransV1_0048752","p.persica_gdr_reftransV1_0048752")</f>
        <v>p.persica_gdr_reftransV1_0048752</v>
      </c>
      <c r="B196" s="2">
        <v>669</v>
      </c>
      <c r="C196" s="4" t="str">
        <f>HYPERLINK("http://www.uniprot.org/uniprot/M5VNB8","M5VNB8")</f>
        <v>M5VNB8</v>
      </c>
      <c r="D196" s="2" t="s">
        <v>192</v>
      </c>
      <c r="E196" s="3">
        <v>5.9399999999999997E-89</v>
      </c>
      <c r="F196" s="2">
        <v>689</v>
      </c>
      <c r="G196" s="2">
        <v>100</v>
      </c>
      <c r="H196" s="2">
        <v>129</v>
      </c>
      <c r="I196" s="2">
        <v>72</v>
      </c>
      <c r="J196" s="2">
        <v>458</v>
      </c>
      <c r="K196" s="2">
        <v>1</v>
      </c>
      <c r="L196" s="2">
        <v>129</v>
      </c>
    </row>
    <row r="197" spans="1:12" x14ac:dyDescent="0.25">
      <c r="A197" s="4" t="str">
        <f>HYPERLINK("http://www.rosaceae.org/Prunus/Prunus_persica/p.persica_gdr_reftransV1_0049102","p.persica_gdr_reftransV1_0049102")</f>
        <v>p.persica_gdr_reftransV1_0049102</v>
      </c>
      <c r="B197" s="2">
        <v>2143</v>
      </c>
      <c r="C197" s="4" t="str">
        <f>HYPERLINK("http://www.uniprot.org/uniprot/M5XQ99","M5XQ99")</f>
        <v>M5XQ99</v>
      </c>
      <c r="D197" s="2" t="s">
        <v>193</v>
      </c>
      <c r="E197" s="3">
        <v>0</v>
      </c>
      <c r="F197" s="2">
        <v>1382</v>
      </c>
      <c r="G197" s="2">
        <v>96</v>
      </c>
      <c r="H197" s="2">
        <v>339</v>
      </c>
      <c r="I197" s="2">
        <v>2</v>
      </c>
      <c r="J197" s="2">
        <v>1018</v>
      </c>
      <c r="K197" s="2">
        <v>62</v>
      </c>
      <c r="L197" s="2">
        <v>397</v>
      </c>
    </row>
    <row r="198" spans="1:12" x14ac:dyDescent="0.25">
      <c r="A198" s="4" t="str">
        <f>HYPERLINK("http://www.rosaceae.org/Prunus/Prunus_persica/p.persica_gdr_reftransV1_0000103","p.persica_gdr_reftransV1_0000103")</f>
        <v>p.persica_gdr_reftransV1_0000103</v>
      </c>
      <c r="B198" s="2">
        <v>1629</v>
      </c>
      <c r="C198" s="4" t="str">
        <f>HYPERLINK("http://www.uniprot.org/uniprot/M5X784","M5X784")</f>
        <v>M5X784</v>
      </c>
      <c r="D198" s="2" t="s">
        <v>194</v>
      </c>
      <c r="E198" s="3">
        <v>0</v>
      </c>
      <c r="F198" s="2">
        <v>2312</v>
      </c>
      <c r="G198" s="2">
        <v>100</v>
      </c>
      <c r="H198" s="2">
        <v>440</v>
      </c>
      <c r="I198" s="2">
        <v>1</v>
      </c>
      <c r="J198" s="2">
        <v>1320</v>
      </c>
      <c r="K198" s="2">
        <v>278</v>
      </c>
      <c r="L198" s="2">
        <v>717</v>
      </c>
    </row>
    <row r="199" spans="1:12" x14ac:dyDescent="0.25">
      <c r="A199" s="4" t="str">
        <f>HYPERLINK("http://www.rosaceae.org/Prunus/Prunus_persica/p.persica_gdr_reftransV1_0000453","p.persica_gdr_reftransV1_0000453")</f>
        <v>p.persica_gdr_reftransV1_0000453</v>
      </c>
      <c r="B199" s="2">
        <v>4232</v>
      </c>
      <c r="C199" s="4" t="str">
        <f>HYPERLINK("http://www.uniprot.org/uniprot/M5X7Q7","M5X7Q7")</f>
        <v>M5X7Q7</v>
      </c>
      <c r="D199" s="2" t="s">
        <v>195</v>
      </c>
      <c r="E199" s="3">
        <v>0</v>
      </c>
      <c r="F199" s="2">
        <v>6389</v>
      </c>
      <c r="G199" s="2">
        <v>100</v>
      </c>
      <c r="H199" s="2">
        <v>1314</v>
      </c>
      <c r="I199" s="2">
        <v>80</v>
      </c>
      <c r="J199" s="2">
        <v>4021</v>
      </c>
      <c r="K199" s="2">
        <v>1</v>
      </c>
      <c r="L199" s="2">
        <v>1314</v>
      </c>
    </row>
    <row r="200" spans="1:12" x14ac:dyDescent="0.25">
      <c r="A200" s="4" t="str">
        <f>HYPERLINK("http://www.rosaceae.org/Prunus/Prunus_persica/p.persica_gdr_reftransV1_0000803","p.persica_gdr_reftransV1_0000803")</f>
        <v>p.persica_gdr_reftransV1_0000803</v>
      </c>
      <c r="B200" s="2">
        <v>1815</v>
      </c>
      <c r="C200" s="4" t="str">
        <f>HYPERLINK("http://www.uniprot.org/uniprot/M5WAL5","M5WAL5")</f>
        <v>M5WAL5</v>
      </c>
      <c r="D200" s="2" t="s">
        <v>196</v>
      </c>
      <c r="E200" s="3">
        <v>0</v>
      </c>
      <c r="F200" s="2">
        <v>2333</v>
      </c>
      <c r="G200" s="2">
        <v>100</v>
      </c>
      <c r="H200" s="2">
        <v>431</v>
      </c>
      <c r="I200" s="2">
        <v>400</v>
      </c>
      <c r="J200" s="2">
        <v>1692</v>
      </c>
      <c r="K200" s="2">
        <v>1</v>
      </c>
      <c r="L200" s="2">
        <v>431</v>
      </c>
    </row>
    <row r="201" spans="1:12" x14ac:dyDescent="0.25">
      <c r="A201" s="4" t="str">
        <f>HYPERLINK("http://www.rosaceae.org/Prunus/Prunus_persica/p.persica_gdr_reftransV1_0001153","p.persica_gdr_reftransV1_0001153")</f>
        <v>p.persica_gdr_reftransV1_0001153</v>
      </c>
      <c r="B201" s="2">
        <v>1260</v>
      </c>
      <c r="C201" s="4" t="str">
        <f>HYPERLINK("http://www.uniprot.org/uniprot/M5X1Q2","M5X1Q2")</f>
        <v>M5X1Q2</v>
      </c>
      <c r="D201" s="2" t="s">
        <v>197</v>
      </c>
      <c r="E201" s="3">
        <v>5.2599999999999998E-158</v>
      </c>
      <c r="F201" s="2">
        <v>1180</v>
      </c>
      <c r="G201" s="2">
        <v>88</v>
      </c>
      <c r="H201" s="2">
        <v>276</v>
      </c>
      <c r="I201" s="2">
        <v>122</v>
      </c>
      <c r="J201" s="2">
        <v>853</v>
      </c>
      <c r="K201" s="2">
        <v>1</v>
      </c>
      <c r="L201" s="2">
        <v>276</v>
      </c>
    </row>
    <row r="202" spans="1:12" x14ac:dyDescent="0.25">
      <c r="A202" s="4" t="str">
        <f>HYPERLINK("http://www.rosaceae.org/Prunus/Prunus_persica/p.persica_gdr_reftransV1_0001503","p.persica_gdr_reftransV1_0001503")</f>
        <v>p.persica_gdr_reftransV1_0001503</v>
      </c>
      <c r="B202" s="2">
        <v>1551</v>
      </c>
      <c r="C202" s="4" t="str">
        <f>HYPERLINK("http://www.uniprot.org/uniprot/A5B781","A5B781")</f>
        <v>A5B781</v>
      </c>
      <c r="D202" s="2" t="s">
        <v>198</v>
      </c>
      <c r="E202" s="3">
        <v>3.6100000000000001E-96</v>
      </c>
      <c r="F202" s="2">
        <v>785</v>
      </c>
      <c r="G202" s="2">
        <v>49</v>
      </c>
      <c r="H202" s="2">
        <v>299</v>
      </c>
      <c r="I202" s="2">
        <v>118</v>
      </c>
      <c r="J202" s="2">
        <v>1008</v>
      </c>
      <c r="K202" s="2">
        <v>21</v>
      </c>
      <c r="L202" s="2">
        <v>306</v>
      </c>
    </row>
    <row r="203" spans="1:12" x14ac:dyDescent="0.25">
      <c r="A203" s="4" t="str">
        <f>HYPERLINK("http://www.rosaceae.org/Prunus/Prunus_persica/p.persica_gdr_reftransV1_0001853","p.persica_gdr_reftransV1_0001853")</f>
        <v>p.persica_gdr_reftransV1_0001853</v>
      </c>
      <c r="B203" s="2">
        <v>1547</v>
      </c>
      <c r="C203" s="4" t="str">
        <f>HYPERLINK("http://www.uniprot.org/uniprot/M5VN87","M5VN87")</f>
        <v>M5VN87</v>
      </c>
      <c r="D203" s="2" t="s">
        <v>126</v>
      </c>
      <c r="E203" s="3">
        <v>3.2600000000000001E-87</v>
      </c>
      <c r="F203" s="2">
        <v>741</v>
      </c>
      <c r="G203" s="2">
        <v>95</v>
      </c>
      <c r="H203" s="2">
        <v>149</v>
      </c>
      <c r="I203" s="2">
        <v>1032</v>
      </c>
      <c r="J203" s="2">
        <v>1478</v>
      </c>
      <c r="K203" s="2">
        <v>68</v>
      </c>
      <c r="L203" s="2">
        <v>216</v>
      </c>
    </row>
    <row r="204" spans="1:12" x14ac:dyDescent="0.25">
      <c r="A204" s="4" t="str">
        <f>HYPERLINK("http://www.rosaceae.org/Prunus/Prunus_persica/p.persica_gdr_reftransV1_0002553","p.persica_gdr_reftransV1_0002553")</f>
        <v>p.persica_gdr_reftransV1_0002553</v>
      </c>
      <c r="B204" s="2">
        <v>329</v>
      </c>
      <c r="C204" s="4" t="str">
        <f>HYPERLINK("http://www.uniprot.org/uniprot/M5XR23","M5XR23")</f>
        <v>M5XR23</v>
      </c>
      <c r="D204" s="2" t="s">
        <v>199</v>
      </c>
      <c r="E204" s="3">
        <v>1.9499999999999999E-66</v>
      </c>
      <c r="F204" s="2">
        <v>577</v>
      </c>
      <c r="G204" s="2">
        <v>100</v>
      </c>
      <c r="H204" s="2">
        <v>109</v>
      </c>
      <c r="I204" s="2">
        <v>2</v>
      </c>
      <c r="J204" s="2">
        <v>328</v>
      </c>
      <c r="K204" s="2">
        <v>412</v>
      </c>
      <c r="L204" s="2">
        <v>520</v>
      </c>
    </row>
    <row r="205" spans="1:12" x14ac:dyDescent="0.25">
      <c r="A205" s="4" t="str">
        <f>HYPERLINK("http://www.rosaceae.org/Prunus/Prunus_persica/p.persica_gdr_reftransV1_0002903","p.persica_gdr_reftransV1_0002903")</f>
        <v>p.persica_gdr_reftransV1_0002903</v>
      </c>
      <c r="B205" s="2">
        <v>4008</v>
      </c>
      <c r="C205" s="4" t="str">
        <f>HYPERLINK("http://www.uniprot.org/uniprot/M5WJB8","M5WJB8")</f>
        <v>M5WJB8</v>
      </c>
      <c r="D205" s="2" t="s">
        <v>200</v>
      </c>
      <c r="E205" s="3">
        <v>0</v>
      </c>
      <c r="F205" s="2">
        <v>5880</v>
      </c>
      <c r="G205" s="2">
        <v>98</v>
      </c>
      <c r="H205" s="2">
        <v>1166</v>
      </c>
      <c r="I205" s="2">
        <v>405</v>
      </c>
      <c r="J205" s="2">
        <v>3902</v>
      </c>
      <c r="K205" s="2">
        <v>1</v>
      </c>
      <c r="L205" s="2">
        <v>1145</v>
      </c>
    </row>
    <row r="206" spans="1:12" x14ac:dyDescent="0.25">
      <c r="A206" s="4" t="str">
        <f>HYPERLINK("http://www.rosaceae.org/Prunus/Prunus_persica/p.persica_gdr_reftransV1_0003253","p.persica_gdr_reftransV1_0003253")</f>
        <v>p.persica_gdr_reftransV1_0003253</v>
      </c>
      <c r="B206" s="2">
        <v>628</v>
      </c>
      <c r="C206" s="4" t="str">
        <f>HYPERLINK("http://www.uniprot.org/uniprot/M5XN22","M5XN22")</f>
        <v>M5XN22</v>
      </c>
      <c r="D206" s="2" t="s">
        <v>201</v>
      </c>
      <c r="E206" s="3">
        <v>3.2299999999999999E-34</v>
      </c>
      <c r="F206" s="2">
        <v>321</v>
      </c>
      <c r="G206" s="2">
        <v>100</v>
      </c>
      <c r="H206" s="2">
        <v>78</v>
      </c>
      <c r="I206" s="2">
        <v>13</v>
      </c>
      <c r="J206" s="2">
        <v>246</v>
      </c>
      <c r="K206" s="2">
        <v>1</v>
      </c>
      <c r="L206" s="2">
        <v>78</v>
      </c>
    </row>
    <row r="207" spans="1:12" x14ac:dyDescent="0.25">
      <c r="A207" s="4" t="str">
        <f>HYPERLINK("http://www.rosaceae.org/Prunus/Prunus_persica/p.persica_gdr_reftransV1_0003603","p.persica_gdr_reftransV1_0003603")</f>
        <v>p.persica_gdr_reftransV1_0003603</v>
      </c>
      <c r="B207" s="2">
        <v>2438</v>
      </c>
      <c r="C207" s="4" t="str">
        <f>HYPERLINK("http://www.uniprot.org/uniprot/M5VQS2","M5VQS2")</f>
        <v>M5VQS2</v>
      </c>
      <c r="D207" s="2" t="s">
        <v>202</v>
      </c>
      <c r="E207" s="3">
        <v>2.35E-66</v>
      </c>
      <c r="F207" s="2">
        <v>592</v>
      </c>
      <c r="G207" s="2">
        <v>100</v>
      </c>
      <c r="H207" s="2">
        <v>112</v>
      </c>
      <c r="I207" s="2">
        <v>1669</v>
      </c>
      <c r="J207" s="2">
        <v>2004</v>
      </c>
      <c r="K207" s="2">
        <v>1</v>
      </c>
      <c r="L207" s="2">
        <v>112</v>
      </c>
    </row>
    <row r="208" spans="1:12" x14ac:dyDescent="0.25">
      <c r="A208" s="4" t="str">
        <f>HYPERLINK("http://www.rosaceae.org/Prunus/Prunus_persica/p.persica_gdr_reftransV1_0003953","p.persica_gdr_reftransV1_0003953")</f>
        <v>p.persica_gdr_reftransV1_0003953</v>
      </c>
      <c r="B208" s="2">
        <v>705</v>
      </c>
      <c r="C208" s="4" t="str">
        <f>HYPERLINK("http://www.uniprot.org/uniprot/M5XJP6","M5XJP6")</f>
        <v>M5XJP6</v>
      </c>
      <c r="D208" s="2" t="s">
        <v>203</v>
      </c>
      <c r="E208" s="3">
        <v>1.2299999999999999E-121</v>
      </c>
      <c r="F208" s="2">
        <v>938</v>
      </c>
      <c r="G208" s="2">
        <v>94</v>
      </c>
      <c r="H208" s="2">
        <v>190</v>
      </c>
      <c r="I208" s="2">
        <v>139</v>
      </c>
      <c r="J208" s="2">
        <v>705</v>
      </c>
      <c r="K208" s="2">
        <v>144</v>
      </c>
      <c r="L208" s="2">
        <v>332</v>
      </c>
    </row>
    <row r="209" spans="1:12" x14ac:dyDescent="0.25">
      <c r="A209" s="4" t="str">
        <f>HYPERLINK("http://www.rosaceae.org/Prunus/Prunus_persica/p.persica_gdr_reftransV1_0004303","p.persica_gdr_reftransV1_0004303")</f>
        <v>p.persica_gdr_reftransV1_0004303</v>
      </c>
      <c r="B209" s="2">
        <v>1269</v>
      </c>
      <c r="C209" s="4" t="str">
        <f>HYPERLINK("http://www.uniprot.org/uniprot/M5XBZ9","M5XBZ9")</f>
        <v>M5XBZ9</v>
      </c>
      <c r="D209" s="2" t="s">
        <v>204</v>
      </c>
      <c r="E209" s="3">
        <v>0</v>
      </c>
      <c r="F209" s="2">
        <v>1631</v>
      </c>
      <c r="G209" s="2">
        <v>89</v>
      </c>
      <c r="H209" s="2">
        <v>376</v>
      </c>
      <c r="I209" s="2">
        <v>37</v>
      </c>
      <c r="J209" s="2">
        <v>1164</v>
      </c>
      <c r="K209" s="2">
        <v>57</v>
      </c>
      <c r="L209" s="2">
        <v>431</v>
      </c>
    </row>
    <row r="210" spans="1:12" x14ac:dyDescent="0.25">
      <c r="A210" s="4" t="str">
        <f>HYPERLINK("http://www.rosaceae.org/Prunus/Prunus_persica/p.persica_gdr_reftransV1_0004653","p.persica_gdr_reftransV1_0004653")</f>
        <v>p.persica_gdr_reftransV1_0004653</v>
      </c>
      <c r="B210" s="2">
        <v>2061</v>
      </c>
      <c r="C210" s="4" t="str">
        <f>HYPERLINK("http://www.uniprot.org/uniprot/M5WJL1","M5WJL1")</f>
        <v>M5WJL1</v>
      </c>
      <c r="D210" s="2" t="s">
        <v>205</v>
      </c>
      <c r="E210" s="3">
        <v>0</v>
      </c>
      <c r="F210" s="2">
        <v>2468</v>
      </c>
      <c r="G210" s="2">
        <v>99</v>
      </c>
      <c r="H210" s="2">
        <v>484</v>
      </c>
      <c r="I210" s="2">
        <v>1</v>
      </c>
      <c r="J210" s="2">
        <v>1452</v>
      </c>
      <c r="K210" s="2">
        <v>274</v>
      </c>
      <c r="L210" s="2">
        <v>757</v>
      </c>
    </row>
    <row r="211" spans="1:12" x14ac:dyDescent="0.25">
      <c r="A211" s="4" t="str">
        <f>HYPERLINK("http://www.rosaceae.org/Prunus/Prunus_persica/p.persica_gdr_reftransV1_0005003","p.persica_gdr_reftransV1_0005003")</f>
        <v>p.persica_gdr_reftransV1_0005003</v>
      </c>
      <c r="B211" s="2">
        <v>2518</v>
      </c>
      <c r="C211" s="4" t="str">
        <f>HYPERLINK("http://www.uniprot.org/uniprot/M5VIT8","M5VIT8")</f>
        <v>M5VIT8</v>
      </c>
      <c r="D211" s="2" t="s">
        <v>206</v>
      </c>
      <c r="E211" s="3">
        <v>0</v>
      </c>
      <c r="F211" s="2">
        <v>2405</v>
      </c>
      <c r="G211" s="2">
        <v>100</v>
      </c>
      <c r="H211" s="2">
        <v>555</v>
      </c>
      <c r="I211" s="2">
        <v>319</v>
      </c>
      <c r="J211" s="2">
        <v>1983</v>
      </c>
      <c r="K211" s="2">
        <v>1</v>
      </c>
      <c r="L211" s="2">
        <v>555</v>
      </c>
    </row>
    <row r="212" spans="1:12" x14ac:dyDescent="0.25">
      <c r="A212" s="4" t="str">
        <f>HYPERLINK("http://www.rosaceae.org/Prunus/Prunus_persica/p.persica_gdr_reftransV1_0005703","p.persica_gdr_reftransV1_0005703")</f>
        <v>p.persica_gdr_reftransV1_0005703</v>
      </c>
      <c r="B212" s="2">
        <v>651</v>
      </c>
      <c r="C212" s="4" t="str">
        <f>HYPERLINK("http://www.uniprot.org/uniprot/M5XA90","M5XA90")</f>
        <v>M5XA90</v>
      </c>
      <c r="D212" s="2" t="s">
        <v>207</v>
      </c>
      <c r="E212" s="3">
        <v>4.1799999999999998E-136</v>
      </c>
      <c r="F212" s="2">
        <v>1027</v>
      </c>
      <c r="G212" s="2">
        <v>98</v>
      </c>
      <c r="H212" s="2">
        <v>195</v>
      </c>
      <c r="I212" s="2">
        <v>3</v>
      </c>
      <c r="J212" s="2">
        <v>587</v>
      </c>
      <c r="K212" s="2">
        <v>222</v>
      </c>
      <c r="L212" s="2">
        <v>416</v>
      </c>
    </row>
    <row r="213" spans="1:12" x14ac:dyDescent="0.25">
      <c r="A213" s="4" t="str">
        <f>HYPERLINK("http://www.rosaceae.org/Prunus/Prunus_persica/p.persica_gdr_reftransV1_0007453","p.persica_gdr_reftransV1_0007453")</f>
        <v>p.persica_gdr_reftransV1_0007453</v>
      </c>
      <c r="B213" s="2">
        <v>815</v>
      </c>
      <c r="C213" s="4" t="str">
        <f>HYPERLINK("http://www.uniprot.org/uniprot/M5WL77","M5WL77")</f>
        <v>M5WL77</v>
      </c>
      <c r="D213" s="2" t="s">
        <v>208</v>
      </c>
      <c r="E213" s="3">
        <v>0</v>
      </c>
      <c r="F213" s="2">
        <v>1363</v>
      </c>
      <c r="G213" s="2">
        <v>97</v>
      </c>
      <c r="H213" s="2">
        <v>262</v>
      </c>
      <c r="I213" s="2">
        <v>1</v>
      </c>
      <c r="J213" s="2">
        <v>786</v>
      </c>
      <c r="K213" s="2">
        <v>217</v>
      </c>
      <c r="L213" s="2">
        <v>478</v>
      </c>
    </row>
    <row r="214" spans="1:12" x14ac:dyDescent="0.25">
      <c r="A214" s="4" t="str">
        <f>HYPERLINK("http://www.rosaceae.org/Prunus/Prunus_persica/p.persica_gdr_reftransV1_0008153","p.persica_gdr_reftransV1_0008153")</f>
        <v>p.persica_gdr_reftransV1_0008153</v>
      </c>
      <c r="B214" s="2">
        <v>604</v>
      </c>
      <c r="C214" s="4" t="str">
        <f>HYPERLINK("http://www.uniprot.org/uniprot/M5VMF9","M5VMF9")</f>
        <v>M5VMF9</v>
      </c>
      <c r="D214" s="2" t="s">
        <v>209</v>
      </c>
      <c r="E214" s="3">
        <v>1.41E-137</v>
      </c>
      <c r="F214" s="2">
        <v>1053</v>
      </c>
      <c r="G214" s="2">
        <v>100</v>
      </c>
      <c r="H214" s="2">
        <v>201</v>
      </c>
      <c r="I214" s="2">
        <v>2</v>
      </c>
      <c r="J214" s="2">
        <v>604</v>
      </c>
      <c r="K214" s="2">
        <v>109</v>
      </c>
      <c r="L214" s="2">
        <v>309</v>
      </c>
    </row>
    <row r="215" spans="1:12" x14ac:dyDescent="0.25">
      <c r="A215" s="4" t="str">
        <f>HYPERLINK("http://www.rosaceae.org/Prunus/Prunus_persica/p.persica_gdr_reftransV1_0008503","p.persica_gdr_reftransV1_0008503")</f>
        <v>p.persica_gdr_reftransV1_0008503</v>
      </c>
      <c r="B215" s="2">
        <v>726</v>
      </c>
      <c r="C215" s="4" t="str">
        <f>HYPERLINK("http://www.uniprot.org/uniprot/M5XDU6","M5XDU6")</f>
        <v>M5XDU6</v>
      </c>
      <c r="D215" s="2" t="s">
        <v>210</v>
      </c>
      <c r="E215" s="3">
        <v>2.1200000000000001E-59</v>
      </c>
      <c r="F215" s="2">
        <v>520</v>
      </c>
      <c r="G215" s="2">
        <v>99</v>
      </c>
      <c r="H215" s="2">
        <v>96</v>
      </c>
      <c r="I215" s="2">
        <v>425</v>
      </c>
      <c r="J215" s="2">
        <v>712</v>
      </c>
      <c r="K215" s="2">
        <v>1</v>
      </c>
      <c r="L215" s="2">
        <v>96</v>
      </c>
    </row>
    <row r="216" spans="1:12" x14ac:dyDescent="0.25">
      <c r="A216" s="4" t="str">
        <f>HYPERLINK("http://www.rosaceae.org/Prunus/Prunus_persica/p.persica_gdr_reftransV1_0009203","p.persica_gdr_reftransV1_0009203")</f>
        <v>p.persica_gdr_reftransV1_0009203</v>
      </c>
      <c r="B216" s="2">
        <v>4123</v>
      </c>
      <c r="C216" s="4" t="str">
        <f>HYPERLINK("http://www.uniprot.org/uniprot/M5W8C2","M5W8C2")</f>
        <v>M5W8C2</v>
      </c>
      <c r="D216" s="2" t="s">
        <v>211</v>
      </c>
      <c r="E216" s="3">
        <v>0</v>
      </c>
      <c r="F216" s="2">
        <v>5607</v>
      </c>
      <c r="G216" s="2">
        <v>100</v>
      </c>
      <c r="H216" s="2">
        <v>1095</v>
      </c>
      <c r="I216" s="2">
        <v>397</v>
      </c>
      <c r="J216" s="2">
        <v>3681</v>
      </c>
      <c r="K216" s="2">
        <v>1</v>
      </c>
      <c r="L216" s="2">
        <v>1095</v>
      </c>
    </row>
    <row r="217" spans="1:12" x14ac:dyDescent="0.25">
      <c r="A217" s="4" t="str">
        <f>HYPERLINK("http://www.rosaceae.org/Prunus/Prunus_persica/p.persica_gdr_reftransV1_0009553","p.persica_gdr_reftransV1_0009553")</f>
        <v>p.persica_gdr_reftransV1_0009553</v>
      </c>
      <c r="B217" s="2">
        <v>1372</v>
      </c>
      <c r="C217" s="4" t="str">
        <f>HYPERLINK("http://www.uniprot.org/uniprot/M5VSC9","M5VSC9")</f>
        <v>M5VSC9</v>
      </c>
      <c r="D217" s="2" t="s">
        <v>212</v>
      </c>
      <c r="E217" s="3">
        <v>4.3599999999999997E-86</v>
      </c>
      <c r="F217" s="2">
        <v>693</v>
      </c>
      <c r="G217" s="2">
        <v>100</v>
      </c>
      <c r="H217" s="2">
        <v>137</v>
      </c>
      <c r="I217" s="2">
        <v>554</v>
      </c>
      <c r="J217" s="2">
        <v>964</v>
      </c>
      <c r="K217" s="2">
        <v>1</v>
      </c>
      <c r="L217" s="2">
        <v>137</v>
      </c>
    </row>
    <row r="218" spans="1:12" x14ac:dyDescent="0.25">
      <c r="A218" s="4" t="str">
        <f>HYPERLINK("http://www.rosaceae.org/Prunus/Prunus_persica/p.persica_gdr_reftransV1_0010253","p.persica_gdr_reftransV1_0010253")</f>
        <v>p.persica_gdr_reftransV1_0010253</v>
      </c>
      <c r="B218" s="2">
        <v>738</v>
      </c>
      <c r="C218" s="4" t="str">
        <f>HYPERLINK("http://www.uniprot.org/uniprot/M5XB34","M5XB34")</f>
        <v>M5XB34</v>
      </c>
      <c r="D218" s="2" t="s">
        <v>213</v>
      </c>
      <c r="E218" s="3">
        <v>4.25E-104</v>
      </c>
      <c r="F218" s="2">
        <v>796</v>
      </c>
      <c r="G218" s="2">
        <v>100</v>
      </c>
      <c r="H218" s="2">
        <v>172</v>
      </c>
      <c r="I218" s="2">
        <v>51</v>
      </c>
      <c r="J218" s="2">
        <v>566</v>
      </c>
      <c r="K218" s="2">
        <v>1</v>
      </c>
      <c r="L218" s="2">
        <v>172</v>
      </c>
    </row>
    <row r="219" spans="1:12" x14ac:dyDescent="0.25">
      <c r="A219" s="4" t="str">
        <f>HYPERLINK("http://www.rosaceae.org/Prunus/Prunus_persica/p.persica_gdr_reftransV1_0011303","p.persica_gdr_reftransV1_0011303")</f>
        <v>p.persica_gdr_reftransV1_0011303</v>
      </c>
      <c r="B219" s="2">
        <v>2097</v>
      </c>
      <c r="C219" s="4" t="str">
        <f>HYPERLINK("http://www.uniprot.org/uniprot/M5WT21","M5WT21")</f>
        <v>M5WT21</v>
      </c>
      <c r="D219" s="2" t="s">
        <v>214</v>
      </c>
      <c r="E219" s="3">
        <v>0</v>
      </c>
      <c r="F219" s="2">
        <v>2284</v>
      </c>
      <c r="G219" s="2">
        <v>80</v>
      </c>
      <c r="H219" s="2">
        <v>577</v>
      </c>
      <c r="I219" s="2">
        <v>248</v>
      </c>
      <c r="J219" s="2">
        <v>1978</v>
      </c>
      <c r="K219" s="2">
        <v>1</v>
      </c>
      <c r="L219" s="2">
        <v>469</v>
      </c>
    </row>
    <row r="220" spans="1:12" x14ac:dyDescent="0.25">
      <c r="A220" s="4" t="str">
        <f>HYPERLINK("http://www.rosaceae.org/Prunus/Prunus_persica/p.persica_gdr_reftransV1_0012003","p.persica_gdr_reftransV1_0012003")</f>
        <v>p.persica_gdr_reftransV1_0012003</v>
      </c>
      <c r="B220" s="2">
        <v>2061</v>
      </c>
      <c r="C220" s="4" t="str">
        <f>HYPERLINK("http://www.uniprot.org/uniprot/M5XEF9","M5XEF9")</f>
        <v>M5XEF9</v>
      </c>
      <c r="D220" s="2" t="s">
        <v>215</v>
      </c>
      <c r="E220" s="3">
        <v>0</v>
      </c>
      <c r="F220" s="2">
        <v>1911</v>
      </c>
      <c r="G220" s="2">
        <v>94</v>
      </c>
      <c r="H220" s="2">
        <v>405</v>
      </c>
      <c r="I220" s="2">
        <v>585</v>
      </c>
      <c r="J220" s="2">
        <v>1799</v>
      </c>
      <c r="K220" s="2">
        <v>1</v>
      </c>
      <c r="L220" s="2">
        <v>381</v>
      </c>
    </row>
    <row r="221" spans="1:12" x14ac:dyDescent="0.25">
      <c r="A221" s="4" t="str">
        <f>HYPERLINK("http://www.rosaceae.org/Prunus/Prunus_persica/p.persica_gdr_reftransV1_0012703","p.persica_gdr_reftransV1_0012703")</f>
        <v>p.persica_gdr_reftransV1_0012703</v>
      </c>
      <c r="B221" s="2">
        <v>512</v>
      </c>
      <c r="C221" s="4" t="str">
        <f>HYPERLINK("http://www.uniprot.org/uniprot/M5XGF5","M5XGF5")</f>
        <v>M5XGF5</v>
      </c>
      <c r="D221" s="2" t="s">
        <v>216</v>
      </c>
      <c r="E221" s="3">
        <v>2.28E-37</v>
      </c>
      <c r="F221" s="2">
        <v>337</v>
      </c>
      <c r="G221" s="2">
        <v>100</v>
      </c>
      <c r="H221" s="2">
        <v>67</v>
      </c>
      <c r="I221" s="2">
        <v>255</v>
      </c>
      <c r="J221" s="2">
        <v>455</v>
      </c>
      <c r="K221" s="2">
        <v>1</v>
      </c>
      <c r="L221" s="2">
        <v>67</v>
      </c>
    </row>
    <row r="222" spans="1:12" x14ac:dyDescent="0.25">
      <c r="A222" s="4" t="str">
        <f>HYPERLINK("http://www.rosaceae.org/Prunus/Prunus_persica/p.persica_gdr_reftransV1_0013053","p.persica_gdr_reftransV1_0013053")</f>
        <v>p.persica_gdr_reftransV1_0013053</v>
      </c>
      <c r="B222" s="2">
        <v>968</v>
      </c>
      <c r="C222" s="4" t="str">
        <f>HYPERLINK("http://www.uniprot.org/uniprot/A0A059AIY7","A0A059AIY7")</f>
        <v>A0A059AIY7</v>
      </c>
      <c r="D222" s="2" t="s">
        <v>217</v>
      </c>
      <c r="E222" s="3">
        <v>1.25E-20</v>
      </c>
      <c r="F222" s="2">
        <v>239</v>
      </c>
      <c r="G222" s="2">
        <v>90</v>
      </c>
      <c r="H222" s="2">
        <v>50</v>
      </c>
      <c r="I222" s="2">
        <v>383</v>
      </c>
      <c r="J222" s="2">
        <v>532</v>
      </c>
      <c r="K222" s="2">
        <v>72</v>
      </c>
      <c r="L222" s="2">
        <v>121</v>
      </c>
    </row>
    <row r="223" spans="1:12" x14ac:dyDescent="0.25">
      <c r="A223" s="4" t="str">
        <f>HYPERLINK("http://www.rosaceae.org/Prunus/Prunus_persica/p.persica_gdr_reftransV1_0013403","p.persica_gdr_reftransV1_0013403")</f>
        <v>p.persica_gdr_reftransV1_0013403</v>
      </c>
      <c r="B223" s="2">
        <v>996</v>
      </c>
      <c r="C223" s="4" t="str">
        <f>HYPERLINK("http://www.uniprot.org/uniprot/M5WH17","M5WH17")</f>
        <v>M5WH17</v>
      </c>
      <c r="D223" s="2" t="s">
        <v>218</v>
      </c>
      <c r="E223" s="3">
        <v>4.4899999999999997E-135</v>
      </c>
      <c r="F223" s="2">
        <v>1017</v>
      </c>
      <c r="G223" s="2">
        <v>100</v>
      </c>
      <c r="H223" s="2">
        <v>249</v>
      </c>
      <c r="I223" s="2">
        <v>55</v>
      </c>
      <c r="J223" s="2">
        <v>801</v>
      </c>
      <c r="K223" s="2">
        <v>1</v>
      </c>
      <c r="L223" s="2">
        <v>249</v>
      </c>
    </row>
    <row r="224" spans="1:12" x14ac:dyDescent="0.25">
      <c r="A224" s="4" t="str">
        <f>HYPERLINK("http://www.rosaceae.org/Prunus/Prunus_persica/p.persica_gdr_reftransV1_0014103","p.persica_gdr_reftransV1_0014103")</f>
        <v>p.persica_gdr_reftransV1_0014103</v>
      </c>
      <c r="B224" s="2">
        <v>4832</v>
      </c>
      <c r="C224" s="4" t="str">
        <f>HYPERLINK("http://www.uniprot.org/uniprot/M5W283","M5W283")</f>
        <v>M5W283</v>
      </c>
      <c r="D224" s="2" t="s">
        <v>219</v>
      </c>
      <c r="E224" s="3">
        <v>0</v>
      </c>
      <c r="F224" s="2">
        <v>4949</v>
      </c>
      <c r="G224" s="2">
        <v>98</v>
      </c>
      <c r="H224" s="2">
        <v>1093</v>
      </c>
      <c r="I224" s="2">
        <v>1554</v>
      </c>
      <c r="J224" s="2">
        <v>4832</v>
      </c>
      <c r="K224" s="2">
        <v>112</v>
      </c>
      <c r="L224" s="2">
        <v>1189</v>
      </c>
    </row>
    <row r="225" spans="1:12" x14ac:dyDescent="0.25">
      <c r="A225" s="4" t="str">
        <f>HYPERLINK("http://www.rosaceae.org/Prunus/Prunus_persica/p.persica_gdr_reftransV1_0014453","p.persica_gdr_reftransV1_0014453")</f>
        <v>p.persica_gdr_reftransV1_0014453</v>
      </c>
      <c r="B225" s="2">
        <v>831</v>
      </c>
      <c r="C225" s="4" t="str">
        <f>HYPERLINK("http://www.uniprot.org/uniprot/M5XQT4","M5XQT4")</f>
        <v>M5XQT4</v>
      </c>
      <c r="D225" s="2" t="s">
        <v>220</v>
      </c>
      <c r="E225" s="3">
        <v>8.6499999999999998E-156</v>
      </c>
      <c r="F225" s="2">
        <v>1203</v>
      </c>
      <c r="G225" s="2">
        <v>92</v>
      </c>
      <c r="H225" s="2">
        <v>276</v>
      </c>
      <c r="I225" s="2">
        <v>3</v>
      </c>
      <c r="J225" s="2">
        <v>830</v>
      </c>
      <c r="K225" s="2">
        <v>178</v>
      </c>
      <c r="L225" s="2">
        <v>453</v>
      </c>
    </row>
    <row r="226" spans="1:12" x14ac:dyDescent="0.25">
      <c r="A226" s="4" t="str">
        <f>HYPERLINK("http://www.rosaceae.org/Prunus/Prunus_persica/p.persica_gdr_reftransV1_0015153","p.persica_gdr_reftransV1_0015153")</f>
        <v>p.persica_gdr_reftransV1_0015153</v>
      </c>
      <c r="B226" s="2">
        <v>3426</v>
      </c>
      <c r="C226" s="4" t="str">
        <f>HYPERLINK("http://www.uniprot.org/uniprot/M5XY28","M5XY28")</f>
        <v>M5XY28</v>
      </c>
      <c r="D226" s="2" t="s">
        <v>221</v>
      </c>
      <c r="E226" s="3">
        <v>0</v>
      </c>
      <c r="F226" s="2">
        <v>4530</v>
      </c>
      <c r="G226" s="2">
        <v>100</v>
      </c>
      <c r="H226" s="2">
        <v>882</v>
      </c>
      <c r="I226" s="2">
        <v>439</v>
      </c>
      <c r="J226" s="2">
        <v>3084</v>
      </c>
      <c r="K226" s="2">
        <v>1</v>
      </c>
      <c r="L226" s="2">
        <v>882</v>
      </c>
    </row>
    <row r="227" spans="1:12" x14ac:dyDescent="0.25">
      <c r="A227" s="4" t="str">
        <f>HYPERLINK("http://www.rosaceae.org/Prunus/Prunus_persica/p.persica_gdr_reftransV1_0015853","p.persica_gdr_reftransV1_0015853")</f>
        <v>p.persica_gdr_reftransV1_0015853</v>
      </c>
      <c r="B227" s="2">
        <v>2321</v>
      </c>
      <c r="C227" s="4" t="str">
        <f>HYPERLINK("http://www.uniprot.org/uniprot/M5WEC8","M5WEC8")</f>
        <v>M5WEC8</v>
      </c>
      <c r="D227" s="2" t="s">
        <v>222</v>
      </c>
      <c r="E227" s="3">
        <v>0</v>
      </c>
      <c r="F227" s="2">
        <v>3189</v>
      </c>
      <c r="G227" s="2">
        <v>99</v>
      </c>
      <c r="H227" s="2">
        <v>612</v>
      </c>
      <c r="I227" s="2">
        <v>272</v>
      </c>
      <c r="J227" s="2">
        <v>2107</v>
      </c>
      <c r="K227" s="2">
        <v>1</v>
      </c>
      <c r="L227" s="2">
        <v>612</v>
      </c>
    </row>
    <row r="228" spans="1:12" x14ac:dyDescent="0.25">
      <c r="A228" s="4" t="str">
        <f>HYPERLINK("http://www.rosaceae.org/Prunus/Prunus_persica/p.persica_gdr_reftransV1_0016553","p.persica_gdr_reftransV1_0016553")</f>
        <v>p.persica_gdr_reftransV1_0016553</v>
      </c>
      <c r="B228" s="2">
        <v>615</v>
      </c>
      <c r="C228" s="4" t="str">
        <f>HYPERLINK("http://www.uniprot.org/uniprot/M5Y1A7","M5Y1A7")</f>
        <v>M5Y1A7</v>
      </c>
      <c r="D228" s="2" t="s">
        <v>223</v>
      </c>
      <c r="E228" s="3">
        <v>5.96E-45</v>
      </c>
      <c r="F228" s="2">
        <v>397</v>
      </c>
      <c r="G228" s="2">
        <v>73</v>
      </c>
      <c r="H228" s="2">
        <v>99</v>
      </c>
      <c r="I228" s="2">
        <v>317</v>
      </c>
      <c r="J228" s="2">
        <v>613</v>
      </c>
      <c r="K228" s="2">
        <v>34</v>
      </c>
      <c r="L228" s="2">
        <v>132</v>
      </c>
    </row>
    <row r="229" spans="1:12" x14ac:dyDescent="0.25">
      <c r="A229" s="4" t="str">
        <f>HYPERLINK("http://www.rosaceae.org/Prunus/Prunus_persica/p.persica_gdr_reftransV1_0016903","p.persica_gdr_reftransV1_0016903")</f>
        <v>p.persica_gdr_reftransV1_0016903</v>
      </c>
      <c r="B229" s="2">
        <v>750</v>
      </c>
      <c r="C229" s="4" t="str">
        <f>HYPERLINK("http://www.uniprot.org/uniprot/M5WBA5","M5WBA5")</f>
        <v>M5WBA5</v>
      </c>
      <c r="D229" s="2" t="s">
        <v>224</v>
      </c>
      <c r="E229" s="3">
        <v>7.6299999999999998E-53</v>
      </c>
      <c r="F229" s="2">
        <v>473</v>
      </c>
      <c r="G229" s="2">
        <v>95</v>
      </c>
      <c r="H229" s="2">
        <v>97</v>
      </c>
      <c r="I229" s="2">
        <v>458</v>
      </c>
      <c r="J229" s="2">
        <v>748</v>
      </c>
      <c r="K229" s="2">
        <v>20</v>
      </c>
      <c r="L229" s="2">
        <v>116</v>
      </c>
    </row>
    <row r="230" spans="1:12" x14ac:dyDescent="0.25">
      <c r="A230" s="4" t="str">
        <f>HYPERLINK("http://www.rosaceae.org/Prunus/Prunus_persica/p.persica_gdr_reftransV1_0017953","p.persica_gdr_reftransV1_0017953")</f>
        <v>p.persica_gdr_reftransV1_0017953</v>
      </c>
      <c r="B230" s="2">
        <v>2161</v>
      </c>
      <c r="C230" s="4" t="str">
        <f>HYPERLINK("http://www.uniprot.org/uniprot/M5XWZ9","M5XWZ9")</f>
        <v>M5XWZ9</v>
      </c>
      <c r="D230" s="2" t="s">
        <v>225</v>
      </c>
      <c r="E230" s="3">
        <v>0</v>
      </c>
      <c r="F230" s="2">
        <v>1599</v>
      </c>
      <c r="G230" s="2">
        <v>100</v>
      </c>
      <c r="H230" s="2">
        <v>336</v>
      </c>
      <c r="I230" s="2">
        <v>716</v>
      </c>
      <c r="J230" s="2">
        <v>1723</v>
      </c>
      <c r="K230" s="2">
        <v>1</v>
      </c>
      <c r="L230" s="2">
        <v>336</v>
      </c>
    </row>
    <row r="231" spans="1:12" x14ac:dyDescent="0.25">
      <c r="A231" s="4" t="str">
        <f>HYPERLINK("http://www.rosaceae.org/Prunus/Prunus_persica/p.persica_gdr_reftransV1_0018303","p.persica_gdr_reftransV1_0018303")</f>
        <v>p.persica_gdr_reftransV1_0018303</v>
      </c>
      <c r="B231" s="2">
        <v>2031</v>
      </c>
      <c r="C231" s="4" t="str">
        <f>HYPERLINK("http://www.uniprot.org/uniprot/M5VQV5","M5VQV5")</f>
        <v>M5VQV5</v>
      </c>
      <c r="D231" s="2" t="s">
        <v>226</v>
      </c>
      <c r="E231" s="3">
        <v>4.4999999999999996E-161</v>
      </c>
      <c r="F231" s="2">
        <v>1225</v>
      </c>
      <c r="G231" s="2">
        <v>99</v>
      </c>
      <c r="H231" s="2">
        <v>238</v>
      </c>
      <c r="I231" s="2">
        <v>295</v>
      </c>
      <c r="J231" s="2">
        <v>1008</v>
      </c>
      <c r="K231" s="2">
        <v>27</v>
      </c>
      <c r="L231" s="2">
        <v>264</v>
      </c>
    </row>
    <row r="232" spans="1:12" x14ac:dyDescent="0.25">
      <c r="A232" s="4" t="str">
        <f>HYPERLINK("http://www.rosaceae.org/Prunus/Prunus_persica/p.persica_gdr_reftransV1_0018653","p.persica_gdr_reftransV1_0018653")</f>
        <v>p.persica_gdr_reftransV1_0018653</v>
      </c>
      <c r="B232" s="2">
        <v>2703</v>
      </c>
      <c r="C232" s="4" t="str">
        <f>HYPERLINK("http://www.uniprot.org/uniprot/M5XBB7","M5XBB7")</f>
        <v>M5XBB7</v>
      </c>
      <c r="D232" s="2" t="s">
        <v>227</v>
      </c>
      <c r="E232" s="3">
        <v>0</v>
      </c>
      <c r="F232" s="2">
        <v>3455</v>
      </c>
      <c r="G232" s="2">
        <v>100</v>
      </c>
      <c r="H232" s="2">
        <v>716</v>
      </c>
      <c r="I232" s="2">
        <v>235</v>
      </c>
      <c r="J232" s="2">
        <v>2382</v>
      </c>
      <c r="K232" s="2">
        <v>1</v>
      </c>
      <c r="L232" s="2">
        <v>716</v>
      </c>
    </row>
    <row r="233" spans="1:12" x14ac:dyDescent="0.25">
      <c r="A233" s="4" t="str">
        <f>HYPERLINK("http://www.rosaceae.org/Prunus/Prunus_persica/p.persica_gdr_reftransV1_0019003","p.persica_gdr_reftransV1_0019003")</f>
        <v>p.persica_gdr_reftransV1_0019003</v>
      </c>
      <c r="B233" s="2">
        <v>4598</v>
      </c>
      <c r="C233" s="4" t="str">
        <f>HYPERLINK("http://www.uniprot.org/uniprot/M5W7A5","M5W7A5")</f>
        <v>M5W7A5</v>
      </c>
      <c r="D233" s="2" t="s">
        <v>228</v>
      </c>
      <c r="E233" s="3">
        <v>0</v>
      </c>
      <c r="F233" s="2">
        <v>3918</v>
      </c>
      <c r="G233" s="2">
        <v>100</v>
      </c>
      <c r="H233" s="2">
        <v>757</v>
      </c>
      <c r="I233" s="2">
        <v>502</v>
      </c>
      <c r="J233" s="2">
        <v>2772</v>
      </c>
      <c r="K233" s="2">
        <v>1</v>
      </c>
      <c r="L233" s="2">
        <v>757</v>
      </c>
    </row>
    <row r="234" spans="1:12" x14ac:dyDescent="0.25">
      <c r="A234" s="4" t="str">
        <f>HYPERLINK("http://www.rosaceae.org/Prunus/Prunus_persica/p.persica_gdr_reftransV1_0019703","p.persica_gdr_reftransV1_0019703")</f>
        <v>p.persica_gdr_reftransV1_0019703</v>
      </c>
      <c r="B234" s="2">
        <v>1817</v>
      </c>
      <c r="C234" s="4" t="str">
        <f>HYPERLINK("http://www.uniprot.org/uniprot/M5X381","M5X381")</f>
        <v>M5X381</v>
      </c>
      <c r="D234" s="2" t="s">
        <v>229</v>
      </c>
      <c r="E234" s="3">
        <v>1.5E-68</v>
      </c>
      <c r="F234" s="2">
        <v>584</v>
      </c>
      <c r="G234" s="2">
        <v>99</v>
      </c>
      <c r="H234" s="2">
        <v>115</v>
      </c>
      <c r="I234" s="2">
        <v>308</v>
      </c>
      <c r="J234" s="2">
        <v>652</v>
      </c>
      <c r="K234" s="2">
        <v>1</v>
      </c>
      <c r="L234" s="2">
        <v>115</v>
      </c>
    </row>
    <row r="235" spans="1:12" x14ac:dyDescent="0.25">
      <c r="A235" s="4" t="str">
        <f>HYPERLINK("http://www.rosaceae.org/Prunus/Prunus_persica/p.persica_gdr_reftransV1_0020053","p.persica_gdr_reftransV1_0020053")</f>
        <v>p.persica_gdr_reftransV1_0020053</v>
      </c>
      <c r="B235" s="2">
        <v>2660</v>
      </c>
      <c r="C235" s="4" t="str">
        <f>HYPERLINK("http://www.uniprot.org/uniprot/M5XD19","M5XD19")</f>
        <v>M5XD19</v>
      </c>
      <c r="D235" s="2" t="s">
        <v>230</v>
      </c>
      <c r="E235" s="3">
        <v>4.5600000000000002E-160</v>
      </c>
      <c r="F235" s="2">
        <v>1258</v>
      </c>
      <c r="G235" s="2">
        <v>98</v>
      </c>
      <c r="H235" s="2">
        <v>239</v>
      </c>
      <c r="I235" s="2">
        <v>1803</v>
      </c>
      <c r="J235" s="2">
        <v>2519</v>
      </c>
      <c r="K235" s="2">
        <v>242</v>
      </c>
      <c r="L235" s="2">
        <v>480</v>
      </c>
    </row>
    <row r="236" spans="1:12" x14ac:dyDescent="0.25">
      <c r="A236" s="4" t="str">
        <f>HYPERLINK("http://www.rosaceae.org/Prunus/Prunus_persica/p.persica_gdr_reftransV1_0020403","p.persica_gdr_reftransV1_0020403")</f>
        <v>p.persica_gdr_reftransV1_0020403</v>
      </c>
      <c r="B236" s="2">
        <v>1263</v>
      </c>
      <c r="C236" s="4" t="str">
        <f>HYPERLINK("http://www.uniprot.org/uniprot/M5WDG9","M5WDG9")</f>
        <v>M5WDG9</v>
      </c>
      <c r="D236" s="2" t="s">
        <v>231</v>
      </c>
      <c r="E236" s="3">
        <v>3.4399999999999999E-72</v>
      </c>
      <c r="F236" s="2">
        <v>597</v>
      </c>
      <c r="G236" s="2">
        <v>100</v>
      </c>
      <c r="H236" s="2">
        <v>137</v>
      </c>
      <c r="I236" s="2">
        <v>459</v>
      </c>
      <c r="J236" s="2">
        <v>869</v>
      </c>
      <c r="K236" s="2">
        <v>1</v>
      </c>
      <c r="L236" s="2">
        <v>137</v>
      </c>
    </row>
    <row r="237" spans="1:12" x14ac:dyDescent="0.25">
      <c r="A237" s="4" t="str">
        <f>HYPERLINK("http://www.rosaceae.org/Prunus/Prunus_persica/p.persica_gdr_reftransV1_0021103","p.persica_gdr_reftransV1_0021103")</f>
        <v>p.persica_gdr_reftransV1_0021103</v>
      </c>
      <c r="B237" s="2">
        <v>2568</v>
      </c>
      <c r="C237" s="4" t="str">
        <f>HYPERLINK("http://www.uniprot.org/uniprot/A0A0D9V486","A0A0D9V486")</f>
        <v>A0A0D9V486</v>
      </c>
      <c r="D237" s="2" t="s">
        <v>232</v>
      </c>
      <c r="E237" s="3">
        <v>0</v>
      </c>
      <c r="F237" s="2">
        <v>1714</v>
      </c>
      <c r="G237" s="2">
        <v>98</v>
      </c>
      <c r="H237" s="2">
        <v>328</v>
      </c>
      <c r="I237" s="2">
        <v>430</v>
      </c>
      <c r="J237" s="2">
        <v>1413</v>
      </c>
      <c r="K237" s="2">
        <v>212</v>
      </c>
      <c r="L237" s="2">
        <v>539</v>
      </c>
    </row>
    <row r="238" spans="1:12" x14ac:dyDescent="0.25">
      <c r="A238" s="4" t="str">
        <f>HYPERLINK("http://www.rosaceae.org/Prunus/Prunus_persica/p.persica_gdr_reftransV1_0021453","p.persica_gdr_reftransV1_0021453")</f>
        <v>p.persica_gdr_reftransV1_0021453</v>
      </c>
      <c r="B238" s="2">
        <v>1750</v>
      </c>
      <c r="C238" s="4" t="str">
        <f>HYPERLINK("http://www.uniprot.org/uniprot/M5X7F2","M5X7F2")</f>
        <v>M5X7F2</v>
      </c>
      <c r="D238" s="2" t="s">
        <v>233</v>
      </c>
      <c r="E238" s="3">
        <v>2.8900000000000001E-73</v>
      </c>
      <c r="F238" s="2">
        <v>586</v>
      </c>
      <c r="G238" s="2">
        <v>100</v>
      </c>
      <c r="H238" s="2">
        <v>124</v>
      </c>
      <c r="I238" s="2">
        <v>183</v>
      </c>
      <c r="J238" s="2">
        <v>554</v>
      </c>
      <c r="K238" s="2">
        <v>52</v>
      </c>
      <c r="L238" s="2">
        <v>175</v>
      </c>
    </row>
    <row r="239" spans="1:12" x14ac:dyDescent="0.25">
      <c r="A239" s="4" t="str">
        <f>HYPERLINK("http://www.rosaceae.org/Prunus/Prunus_persica/p.persica_gdr_reftransV1_0023203","p.persica_gdr_reftransV1_0023203")</f>
        <v>p.persica_gdr_reftransV1_0023203</v>
      </c>
      <c r="B239" s="2">
        <v>1273</v>
      </c>
      <c r="C239" s="4" t="str">
        <f>HYPERLINK("http://www.uniprot.org/uniprot/M5WP69","M5WP69")</f>
        <v>M5WP69</v>
      </c>
      <c r="D239" s="2" t="s">
        <v>234</v>
      </c>
      <c r="E239" s="3">
        <v>1.9399999999999999E-98</v>
      </c>
      <c r="F239" s="2">
        <v>781</v>
      </c>
      <c r="G239" s="2">
        <v>100</v>
      </c>
      <c r="H239" s="2">
        <v>217</v>
      </c>
      <c r="I239" s="2">
        <v>467</v>
      </c>
      <c r="J239" s="2">
        <v>1117</v>
      </c>
      <c r="K239" s="2">
        <v>1</v>
      </c>
      <c r="L239" s="2">
        <v>217</v>
      </c>
    </row>
    <row r="240" spans="1:12" x14ac:dyDescent="0.25">
      <c r="A240" s="4" t="str">
        <f>HYPERLINK("http://www.rosaceae.org/Prunus/Prunus_persica/p.persica_gdr_reftransV1_0026003","p.persica_gdr_reftransV1_0026003")</f>
        <v>p.persica_gdr_reftransV1_0026003</v>
      </c>
      <c r="B240" s="2">
        <v>1542</v>
      </c>
      <c r="C240" s="4" t="str">
        <f>HYPERLINK("http://www.uniprot.org/uniprot/M5WGN5","M5WGN5")</f>
        <v>M5WGN5</v>
      </c>
      <c r="D240" s="2" t="s">
        <v>235</v>
      </c>
      <c r="E240" s="3">
        <v>0</v>
      </c>
      <c r="F240" s="2">
        <v>1470</v>
      </c>
      <c r="G240" s="2">
        <v>99</v>
      </c>
      <c r="H240" s="2">
        <v>290</v>
      </c>
      <c r="I240" s="2">
        <v>320</v>
      </c>
      <c r="J240" s="2">
        <v>1189</v>
      </c>
      <c r="K240" s="2">
        <v>1</v>
      </c>
      <c r="L240" s="2">
        <v>290</v>
      </c>
    </row>
    <row r="241" spans="1:12" x14ac:dyDescent="0.25">
      <c r="A241" s="4" t="str">
        <f>HYPERLINK("http://www.rosaceae.org/Prunus/Prunus_persica/p.persica_gdr_reftransV1_0026353","p.persica_gdr_reftransV1_0026353")</f>
        <v>p.persica_gdr_reftransV1_0026353</v>
      </c>
      <c r="B241" s="2">
        <v>1206</v>
      </c>
      <c r="C241" s="4" t="str">
        <f>HYPERLINK("http://www.uniprot.org/uniprot/M5WTR7","M5WTR7")</f>
        <v>M5WTR7</v>
      </c>
      <c r="D241" s="2" t="s">
        <v>236</v>
      </c>
      <c r="E241" s="3">
        <v>1.14E-86</v>
      </c>
      <c r="F241" s="2">
        <v>712</v>
      </c>
      <c r="G241" s="2">
        <v>100</v>
      </c>
      <c r="H241" s="2">
        <v>132</v>
      </c>
      <c r="I241" s="2">
        <v>370</v>
      </c>
      <c r="J241" s="2">
        <v>765</v>
      </c>
      <c r="K241" s="2">
        <v>219</v>
      </c>
      <c r="L241" s="2">
        <v>350</v>
      </c>
    </row>
    <row r="242" spans="1:12" x14ac:dyDescent="0.25">
      <c r="A242" s="4" t="str">
        <f>HYPERLINK("http://www.rosaceae.org/Prunus/Prunus_persica/p.persica_gdr_reftransV1_0027403","p.persica_gdr_reftransV1_0027403")</f>
        <v>p.persica_gdr_reftransV1_0027403</v>
      </c>
      <c r="B242" s="2">
        <v>1979</v>
      </c>
      <c r="C242" s="4" t="str">
        <f>HYPERLINK("http://www.uniprot.org/uniprot/M5VSQ8","M5VSQ8")</f>
        <v>M5VSQ8</v>
      </c>
      <c r="D242" s="2" t="s">
        <v>237</v>
      </c>
      <c r="E242" s="3">
        <v>0</v>
      </c>
      <c r="F242" s="2">
        <v>1369</v>
      </c>
      <c r="G242" s="2">
        <v>100</v>
      </c>
      <c r="H242" s="2">
        <v>291</v>
      </c>
      <c r="I242" s="2">
        <v>27</v>
      </c>
      <c r="J242" s="2">
        <v>899</v>
      </c>
      <c r="K242" s="2">
        <v>1</v>
      </c>
      <c r="L242" s="2">
        <v>291</v>
      </c>
    </row>
    <row r="243" spans="1:12" x14ac:dyDescent="0.25">
      <c r="A243" s="4" t="str">
        <f>HYPERLINK("http://www.rosaceae.org/Prunus/Prunus_persica/p.persica_gdr_reftransV1_0028803","p.persica_gdr_reftransV1_0028803")</f>
        <v>p.persica_gdr_reftransV1_0028803</v>
      </c>
      <c r="B243" s="2">
        <v>4096</v>
      </c>
      <c r="C243" s="4" t="str">
        <f>HYPERLINK("http://www.uniprot.org/uniprot/M5XGZ6","M5XGZ6")</f>
        <v>M5XGZ6</v>
      </c>
      <c r="D243" s="2" t="s">
        <v>238</v>
      </c>
      <c r="E243" s="3">
        <v>0</v>
      </c>
      <c r="F243" s="2">
        <v>1513</v>
      </c>
      <c r="G243" s="2">
        <v>85</v>
      </c>
      <c r="H243" s="2">
        <v>360</v>
      </c>
      <c r="I243" s="2">
        <v>251</v>
      </c>
      <c r="J243" s="2">
        <v>1330</v>
      </c>
      <c r="K243" s="2">
        <v>35</v>
      </c>
      <c r="L243" s="2">
        <v>344</v>
      </c>
    </row>
    <row r="244" spans="1:12" x14ac:dyDescent="0.25">
      <c r="A244" s="4" t="str">
        <f>HYPERLINK("http://www.rosaceae.org/Prunus/Prunus_persica/p.persica_gdr_reftransV1_0031253","p.persica_gdr_reftransV1_0031253")</f>
        <v>p.persica_gdr_reftransV1_0031253</v>
      </c>
      <c r="B244" s="2">
        <v>5140</v>
      </c>
      <c r="C244" s="4" t="str">
        <f>HYPERLINK("http://www.uniprot.org/uniprot/M5VVD9","M5VVD9")</f>
        <v>M5VVD9</v>
      </c>
      <c r="D244" s="2" t="s">
        <v>239</v>
      </c>
      <c r="E244" s="3">
        <v>0</v>
      </c>
      <c r="F244" s="2">
        <v>5531</v>
      </c>
      <c r="G244" s="2">
        <v>99</v>
      </c>
      <c r="H244" s="2">
        <v>1081</v>
      </c>
      <c r="I244" s="2">
        <v>1113</v>
      </c>
      <c r="J244" s="2">
        <v>4355</v>
      </c>
      <c r="K244" s="2">
        <v>2</v>
      </c>
      <c r="L244" s="2">
        <v>1072</v>
      </c>
    </row>
    <row r="245" spans="1:12" x14ac:dyDescent="0.25">
      <c r="A245" s="4" t="str">
        <f>HYPERLINK("http://www.rosaceae.org/Prunus/Prunus_persica/p.persica_gdr_reftransV1_0035103","p.persica_gdr_reftransV1_0035103")</f>
        <v>p.persica_gdr_reftransV1_0035103</v>
      </c>
      <c r="B245" s="2">
        <v>2664</v>
      </c>
      <c r="C245" s="4" t="str">
        <f>HYPERLINK("http://www.uniprot.org/uniprot/M5VTU6","M5VTU6")</f>
        <v>M5VTU6</v>
      </c>
      <c r="D245" s="2" t="s">
        <v>240</v>
      </c>
      <c r="E245" s="3">
        <v>0</v>
      </c>
      <c r="F245" s="2">
        <v>2156</v>
      </c>
      <c r="G245" s="2">
        <v>100</v>
      </c>
      <c r="H245" s="2">
        <v>452</v>
      </c>
      <c r="I245" s="2">
        <v>104</v>
      </c>
      <c r="J245" s="2">
        <v>1459</v>
      </c>
      <c r="K245" s="2">
        <v>1</v>
      </c>
      <c r="L245" s="2">
        <v>452</v>
      </c>
    </row>
    <row r="246" spans="1:12" x14ac:dyDescent="0.25">
      <c r="A246" s="4" t="str">
        <f>HYPERLINK("http://www.rosaceae.org/Prunus/Prunus_persica/p.persica_gdr_reftransV1_0037903","p.persica_gdr_reftransV1_0037903")</f>
        <v>p.persica_gdr_reftransV1_0037903</v>
      </c>
      <c r="B246" s="2">
        <v>1198</v>
      </c>
      <c r="C246" s="4" t="str">
        <f>HYPERLINK("http://www.uniprot.org/uniprot/M5XS37","M5XS37")</f>
        <v>M5XS37</v>
      </c>
      <c r="D246" s="2" t="s">
        <v>241</v>
      </c>
      <c r="E246" s="3">
        <v>1.1899999999999999E-38</v>
      </c>
      <c r="F246" s="2">
        <v>366</v>
      </c>
      <c r="G246" s="2">
        <v>100</v>
      </c>
      <c r="H246" s="2">
        <v>89</v>
      </c>
      <c r="I246" s="2">
        <v>824</v>
      </c>
      <c r="J246" s="2">
        <v>1090</v>
      </c>
      <c r="K246" s="2">
        <v>1</v>
      </c>
      <c r="L246" s="2">
        <v>89</v>
      </c>
    </row>
    <row r="247" spans="1:12" x14ac:dyDescent="0.25">
      <c r="A247" s="4" t="str">
        <f>HYPERLINK("http://www.rosaceae.org/Prunus/Prunus_persica/p.persica_gdr_reftransV1_0038603","p.persica_gdr_reftransV1_0038603")</f>
        <v>p.persica_gdr_reftransV1_0038603</v>
      </c>
      <c r="B247" s="2">
        <v>1014</v>
      </c>
      <c r="C247" s="4" t="str">
        <f>HYPERLINK("http://www.uniprot.org/uniprot/M5XM49","M5XM49")</f>
        <v>M5XM49</v>
      </c>
      <c r="D247" s="2" t="s">
        <v>242</v>
      </c>
      <c r="E247" s="3">
        <v>3.6699999999999998E-87</v>
      </c>
      <c r="F247" s="2">
        <v>692</v>
      </c>
      <c r="G247" s="2">
        <v>100</v>
      </c>
      <c r="H247" s="2">
        <v>143</v>
      </c>
      <c r="I247" s="2">
        <v>127</v>
      </c>
      <c r="J247" s="2">
        <v>555</v>
      </c>
      <c r="K247" s="2">
        <v>1</v>
      </c>
      <c r="L247" s="2">
        <v>143</v>
      </c>
    </row>
    <row r="248" spans="1:12" x14ac:dyDescent="0.25">
      <c r="A248" s="4" t="str">
        <f>HYPERLINK("http://www.rosaceae.org/Prunus/Prunus_persica/p.persica_gdr_reftransV1_0039653","p.persica_gdr_reftransV1_0039653")</f>
        <v>p.persica_gdr_reftransV1_0039653</v>
      </c>
      <c r="B248" s="2">
        <v>3612</v>
      </c>
      <c r="C248" s="4" t="str">
        <f>HYPERLINK("http://www.uniprot.org/uniprot/M5WUP2","M5WUP2")</f>
        <v>M5WUP2</v>
      </c>
      <c r="D248" s="2" t="s">
        <v>243</v>
      </c>
      <c r="E248" s="3">
        <v>2.74E-76</v>
      </c>
      <c r="F248" s="2">
        <v>700</v>
      </c>
      <c r="G248" s="2">
        <v>100</v>
      </c>
      <c r="H248" s="2">
        <v>158</v>
      </c>
      <c r="I248" s="2">
        <v>844</v>
      </c>
      <c r="J248" s="2">
        <v>1317</v>
      </c>
      <c r="K248" s="2">
        <v>111</v>
      </c>
      <c r="L248" s="2">
        <v>268</v>
      </c>
    </row>
    <row r="249" spans="1:12" x14ac:dyDescent="0.25">
      <c r="A249" s="4" t="str">
        <f>HYPERLINK("http://www.rosaceae.org/Prunus/Prunus_persica/p.persica_gdr_reftransV1_0040353","p.persica_gdr_reftransV1_0040353")</f>
        <v>p.persica_gdr_reftransV1_0040353</v>
      </c>
      <c r="B249" s="2">
        <v>3840</v>
      </c>
      <c r="C249" s="4" t="str">
        <f>HYPERLINK("http://www.uniprot.org/uniprot/M5X3Y2","M5X3Y2")</f>
        <v>M5X3Y2</v>
      </c>
      <c r="D249" s="2" t="s">
        <v>244</v>
      </c>
      <c r="E249" s="3">
        <v>5.57E-128</v>
      </c>
      <c r="F249" s="2">
        <v>1069</v>
      </c>
      <c r="G249" s="2">
        <v>100</v>
      </c>
      <c r="H249" s="2">
        <v>212</v>
      </c>
      <c r="I249" s="2">
        <v>3045</v>
      </c>
      <c r="J249" s="2">
        <v>3680</v>
      </c>
      <c r="K249" s="2">
        <v>1</v>
      </c>
      <c r="L249" s="2">
        <v>212</v>
      </c>
    </row>
    <row r="250" spans="1:12" x14ac:dyDescent="0.25">
      <c r="A250" s="4" t="str">
        <f>HYPERLINK("http://www.rosaceae.org/Prunus/Prunus_persica/p.persica_gdr_reftransV1_0042103","p.persica_gdr_reftransV1_0042103")</f>
        <v>p.persica_gdr_reftransV1_0042103</v>
      </c>
      <c r="B250" s="2">
        <v>1338</v>
      </c>
      <c r="C250" s="4" t="str">
        <f>HYPERLINK("http://www.uniprot.org/uniprot/M5X9Z2","M5X9Z2")</f>
        <v>M5X9Z2</v>
      </c>
      <c r="D250" s="2" t="s">
        <v>245</v>
      </c>
      <c r="E250" s="3">
        <v>0</v>
      </c>
      <c r="F250" s="2">
        <v>1795</v>
      </c>
      <c r="G250" s="2">
        <v>89</v>
      </c>
      <c r="H250" s="2">
        <v>445</v>
      </c>
      <c r="I250" s="2">
        <v>5</v>
      </c>
      <c r="J250" s="2">
        <v>1336</v>
      </c>
      <c r="K250" s="2">
        <v>265</v>
      </c>
      <c r="L250" s="2">
        <v>708</v>
      </c>
    </row>
    <row r="251" spans="1:12" x14ac:dyDescent="0.25">
      <c r="A251" s="4" t="str">
        <f>HYPERLINK("http://www.rosaceae.org/Prunus/Prunus_persica/p.persica_gdr_reftransV1_0042453","p.persica_gdr_reftransV1_0042453")</f>
        <v>p.persica_gdr_reftransV1_0042453</v>
      </c>
      <c r="B251" s="2">
        <v>1878</v>
      </c>
      <c r="C251" s="4" t="str">
        <f>HYPERLINK("http://www.uniprot.org/uniprot/M5WHG5","M5WHG5")</f>
        <v>M5WHG5</v>
      </c>
      <c r="D251" s="2" t="s">
        <v>246</v>
      </c>
      <c r="E251" s="3">
        <v>1.02E-171</v>
      </c>
      <c r="F251" s="2">
        <v>1305</v>
      </c>
      <c r="G251" s="2">
        <v>100</v>
      </c>
      <c r="H251" s="2">
        <v>244</v>
      </c>
      <c r="I251" s="2">
        <v>371</v>
      </c>
      <c r="J251" s="2">
        <v>1102</v>
      </c>
      <c r="K251" s="2">
        <v>168</v>
      </c>
      <c r="L251" s="2">
        <v>411</v>
      </c>
    </row>
    <row r="252" spans="1:12" x14ac:dyDescent="0.25">
      <c r="A252" s="4" t="str">
        <f>HYPERLINK("http://www.rosaceae.org/Prunus/Prunus_persica/p.persica_gdr_reftransV1_0042803","p.persica_gdr_reftransV1_0042803")</f>
        <v>p.persica_gdr_reftransV1_0042803</v>
      </c>
      <c r="B252" s="2">
        <v>4074</v>
      </c>
      <c r="C252" s="4" t="str">
        <f>HYPERLINK("http://www.uniprot.org/uniprot/M5XE32","M5XE32")</f>
        <v>M5XE32</v>
      </c>
      <c r="D252" s="2" t="s">
        <v>247</v>
      </c>
      <c r="E252" s="3">
        <v>4.0299999999999996E-130</v>
      </c>
      <c r="F252" s="2">
        <v>1067</v>
      </c>
      <c r="G252" s="2">
        <v>96</v>
      </c>
      <c r="H252" s="2">
        <v>253</v>
      </c>
      <c r="I252" s="2">
        <v>2370</v>
      </c>
      <c r="J252" s="2">
        <v>3128</v>
      </c>
      <c r="K252" s="2">
        <v>1</v>
      </c>
      <c r="L252" s="2">
        <v>253</v>
      </c>
    </row>
    <row r="253" spans="1:12" x14ac:dyDescent="0.25">
      <c r="A253" s="4" t="str">
        <f>HYPERLINK("http://www.rosaceae.org/Prunus/Prunus_persica/p.persica_gdr_reftransV1_0043153","p.persica_gdr_reftransV1_0043153")</f>
        <v>p.persica_gdr_reftransV1_0043153</v>
      </c>
      <c r="B253" s="2">
        <v>978</v>
      </c>
      <c r="C253" s="4" t="str">
        <f>HYPERLINK("http://www.uniprot.org/uniprot/M5XDW4","M5XDW4")</f>
        <v>M5XDW4</v>
      </c>
      <c r="D253" s="2" t="s">
        <v>248</v>
      </c>
      <c r="E253" s="3">
        <v>5.0899999999999999E-128</v>
      </c>
      <c r="F253" s="2">
        <v>990</v>
      </c>
      <c r="G253" s="2">
        <v>100</v>
      </c>
      <c r="H253" s="2">
        <v>271</v>
      </c>
      <c r="I253" s="2">
        <v>149</v>
      </c>
      <c r="J253" s="2">
        <v>961</v>
      </c>
      <c r="K253" s="2">
        <v>1</v>
      </c>
      <c r="L253" s="2">
        <v>271</v>
      </c>
    </row>
    <row r="254" spans="1:12" x14ac:dyDescent="0.25">
      <c r="A254" s="4" t="str">
        <f>HYPERLINK("http://www.rosaceae.org/Prunus/Prunus_persica/p.persica_gdr_reftransV1_0043503","p.persica_gdr_reftransV1_0043503")</f>
        <v>p.persica_gdr_reftransV1_0043503</v>
      </c>
      <c r="B254" s="2">
        <v>2199</v>
      </c>
      <c r="C254" s="4" t="str">
        <f>HYPERLINK("http://www.uniprot.org/uniprot/M5VJK3","M5VJK3")</f>
        <v>M5VJK3</v>
      </c>
      <c r="D254" s="2" t="s">
        <v>249</v>
      </c>
      <c r="E254" s="3">
        <v>0</v>
      </c>
      <c r="F254" s="2">
        <v>2260</v>
      </c>
      <c r="G254" s="2">
        <v>94</v>
      </c>
      <c r="H254" s="2">
        <v>467</v>
      </c>
      <c r="I254" s="2">
        <v>3</v>
      </c>
      <c r="J254" s="2">
        <v>1400</v>
      </c>
      <c r="K254" s="2">
        <v>51</v>
      </c>
      <c r="L254" s="2">
        <v>496</v>
      </c>
    </row>
    <row r="255" spans="1:12" x14ac:dyDescent="0.25">
      <c r="A255" s="4" t="str">
        <f>HYPERLINK("http://www.rosaceae.org/Prunus/Prunus_persica/p.persica_gdr_reftransV1_0043853","p.persica_gdr_reftransV1_0043853")</f>
        <v>p.persica_gdr_reftransV1_0043853</v>
      </c>
      <c r="B255" s="2">
        <v>370</v>
      </c>
      <c r="C255" s="4" t="str">
        <f>HYPERLINK("http://www.uniprot.org/uniprot/M5VX36","M5VX36")</f>
        <v>M5VX36</v>
      </c>
      <c r="D255" s="2" t="s">
        <v>250</v>
      </c>
      <c r="E255" s="3">
        <v>1.2500000000000001E-69</v>
      </c>
      <c r="F255" s="2">
        <v>588</v>
      </c>
      <c r="G255" s="2">
        <v>100</v>
      </c>
      <c r="H255" s="2">
        <v>106</v>
      </c>
      <c r="I255" s="2">
        <v>53</v>
      </c>
      <c r="J255" s="2">
        <v>370</v>
      </c>
      <c r="K255" s="2">
        <v>1</v>
      </c>
      <c r="L255" s="2">
        <v>106</v>
      </c>
    </row>
    <row r="256" spans="1:12" x14ac:dyDescent="0.25">
      <c r="A256" s="4" t="str">
        <f>HYPERLINK("http://www.rosaceae.org/Prunus/Prunus_persica/p.persica_gdr_reftransV1_0044203","p.persica_gdr_reftransV1_0044203")</f>
        <v>p.persica_gdr_reftransV1_0044203</v>
      </c>
      <c r="B256" s="2">
        <v>2063</v>
      </c>
      <c r="C256" s="4" t="str">
        <f>HYPERLINK("http://www.uniprot.org/uniprot/M5X189","M5X189")</f>
        <v>M5X189</v>
      </c>
      <c r="D256" s="2" t="s">
        <v>251</v>
      </c>
      <c r="E256" s="3">
        <v>0</v>
      </c>
      <c r="F256" s="2">
        <v>2129</v>
      </c>
      <c r="G256" s="2">
        <v>100</v>
      </c>
      <c r="H256" s="2">
        <v>414</v>
      </c>
      <c r="I256" s="2">
        <v>439</v>
      </c>
      <c r="J256" s="2">
        <v>1680</v>
      </c>
      <c r="K256" s="2">
        <v>1</v>
      </c>
      <c r="L256" s="2">
        <v>414</v>
      </c>
    </row>
    <row r="257" spans="1:12" x14ac:dyDescent="0.25">
      <c r="A257" s="4" t="str">
        <f>HYPERLINK("http://www.rosaceae.org/Prunus/Prunus_persica/p.persica_gdr_reftransV1_0044553","p.persica_gdr_reftransV1_0044553")</f>
        <v>p.persica_gdr_reftransV1_0044553</v>
      </c>
      <c r="B257" s="2">
        <v>544</v>
      </c>
      <c r="C257" s="4" t="str">
        <f>HYPERLINK("http://www.uniprot.org/uniprot/M5VUK4","M5VUK4")</f>
        <v>M5VUK4</v>
      </c>
      <c r="D257" s="2" t="s">
        <v>252</v>
      </c>
      <c r="E257" s="3">
        <v>7.3100000000000003E-57</v>
      </c>
      <c r="F257" s="2">
        <v>500</v>
      </c>
      <c r="G257" s="2">
        <v>99</v>
      </c>
      <c r="H257" s="2">
        <v>96</v>
      </c>
      <c r="I257" s="2">
        <v>67</v>
      </c>
      <c r="J257" s="2">
        <v>354</v>
      </c>
      <c r="K257" s="2">
        <v>1</v>
      </c>
      <c r="L257" s="2">
        <v>96</v>
      </c>
    </row>
    <row r="258" spans="1:12" x14ac:dyDescent="0.25">
      <c r="A258" s="4" t="str">
        <f>HYPERLINK("http://www.rosaceae.org/Prunus/Prunus_persica/p.persica_gdr_reftransV1_0044903","p.persica_gdr_reftransV1_0044903")</f>
        <v>p.persica_gdr_reftransV1_0044903</v>
      </c>
      <c r="B258" s="2">
        <v>881</v>
      </c>
      <c r="C258" s="4" t="str">
        <f>HYPERLINK("http://www.uniprot.org/uniprot/M5Y590","M5Y590")</f>
        <v>M5Y590</v>
      </c>
      <c r="D258" s="2" t="s">
        <v>253</v>
      </c>
      <c r="E258" s="3">
        <v>5.9299999999999997E-124</v>
      </c>
      <c r="F258" s="2">
        <v>935</v>
      </c>
      <c r="G258" s="2">
        <v>95</v>
      </c>
      <c r="H258" s="2">
        <v>199</v>
      </c>
      <c r="I258" s="2">
        <v>19</v>
      </c>
      <c r="J258" s="2">
        <v>615</v>
      </c>
      <c r="K258" s="2">
        <v>4</v>
      </c>
      <c r="L258" s="2">
        <v>202</v>
      </c>
    </row>
    <row r="259" spans="1:12" x14ac:dyDescent="0.25">
      <c r="A259" s="4" t="str">
        <f>HYPERLINK("http://www.rosaceae.org/Prunus/Prunus_persica/p.persica_gdr_reftransV1_0045253","p.persica_gdr_reftransV1_0045253")</f>
        <v>p.persica_gdr_reftransV1_0045253</v>
      </c>
      <c r="B259" s="2">
        <v>2681</v>
      </c>
      <c r="C259" s="4" t="str">
        <f>HYPERLINK("http://www.uniprot.org/uniprot/M5XUH2","M5XUH2")</f>
        <v>M5XUH2</v>
      </c>
      <c r="D259" s="2" t="s">
        <v>254</v>
      </c>
      <c r="E259" s="3">
        <v>0</v>
      </c>
      <c r="F259" s="2">
        <v>2657</v>
      </c>
      <c r="G259" s="2">
        <v>100</v>
      </c>
      <c r="H259" s="2">
        <v>528</v>
      </c>
      <c r="I259" s="2">
        <v>931</v>
      </c>
      <c r="J259" s="2">
        <v>2514</v>
      </c>
      <c r="K259" s="2">
        <v>1</v>
      </c>
      <c r="L259" s="2">
        <v>528</v>
      </c>
    </row>
    <row r="260" spans="1:12" x14ac:dyDescent="0.25">
      <c r="A260" s="4" t="str">
        <f>HYPERLINK("http://www.rosaceae.org/Prunus/Prunus_persica/p.persica_gdr_reftransV1_0045953","p.persica_gdr_reftransV1_0045953")</f>
        <v>p.persica_gdr_reftransV1_0045953</v>
      </c>
      <c r="B260" s="2">
        <v>2050</v>
      </c>
      <c r="C260" s="4" t="str">
        <f>HYPERLINK("http://www.uniprot.org/uniprot/M5XYE7","M5XYE7")</f>
        <v>M5XYE7</v>
      </c>
      <c r="D260" s="2" t="s">
        <v>255</v>
      </c>
      <c r="E260" s="3">
        <v>0</v>
      </c>
      <c r="F260" s="2">
        <v>2902</v>
      </c>
      <c r="G260" s="2">
        <v>100</v>
      </c>
      <c r="H260" s="2">
        <v>564</v>
      </c>
      <c r="I260" s="2">
        <v>135</v>
      </c>
      <c r="J260" s="2">
        <v>1826</v>
      </c>
      <c r="K260" s="2">
        <v>1</v>
      </c>
      <c r="L260" s="2">
        <v>564</v>
      </c>
    </row>
    <row r="261" spans="1:12" x14ac:dyDescent="0.25">
      <c r="A261" s="4" t="str">
        <f>HYPERLINK("http://www.rosaceae.org/Prunus/Prunus_persica/p.persica_gdr_reftransV1_0046303","p.persica_gdr_reftransV1_0046303")</f>
        <v>p.persica_gdr_reftransV1_0046303</v>
      </c>
      <c r="B261" s="2">
        <v>1940</v>
      </c>
      <c r="C261" s="4" t="str">
        <f>HYPERLINK("http://www.uniprot.org/uniprot/W9R328","W9R328")</f>
        <v>W9R328</v>
      </c>
      <c r="D261" s="2" t="s">
        <v>256</v>
      </c>
      <c r="E261" s="3">
        <v>0</v>
      </c>
      <c r="F261" s="2">
        <v>2402</v>
      </c>
      <c r="G261" s="2">
        <v>86</v>
      </c>
      <c r="H261" s="2">
        <v>527</v>
      </c>
      <c r="I261" s="2">
        <v>254</v>
      </c>
      <c r="J261" s="2">
        <v>1834</v>
      </c>
      <c r="K261" s="2">
        <v>1</v>
      </c>
      <c r="L261" s="2">
        <v>523</v>
      </c>
    </row>
    <row r="262" spans="1:12" x14ac:dyDescent="0.25">
      <c r="A262" s="4" t="str">
        <f>HYPERLINK("http://www.rosaceae.org/Prunus/Prunus_persica/p.persica_gdr_reftransV1_0046653","p.persica_gdr_reftransV1_0046653")</f>
        <v>p.persica_gdr_reftransV1_0046653</v>
      </c>
      <c r="B262" s="2">
        <v>1938</v>
      </c>
      <c r="C262" s="4" t="str">
        <f>HYPERLINK("http://www.uniprot.org/uniprot/A0A0D2PWM9","A0A0D2PWM9")</f>
        <v>A0A0D2PWM9</v>
      </c>
      <c r="D262" s="2" t="s">
        <v>257</v>
      </c>
      <c r="E262" s="3">
        <v>5.9000000000000002E-148</v>
      </c>
      <c r="F262" s="2">
        <v>1151</v>
      </c>
      <c r="G262" s="2">
        <v>68</v>
      </c>
      <c r="H262" s="2">
        <v>419</v>
      </c>
      <c r="I262" s="2">
        <v>490</v>
      </c>
      <c r="J262" s="2">
        <v>1731</v>
      </c>
      <c r="K262" s="2">
        <v>44</v>
      </c>
      <c r="L262" s="2">
        <v>428</v>
      </c>
    </row>
    <row r="263" spans="1:12" x14ac:dyDescent="0.25">
      <c r="A263" s="4" t="str">
        <f>HYPERLINK("http://www.rosaceae.org/Prunus/Prunus_persica/p.persica_gdr_reftransV1_0047003","p.persica_gdr_reftransV1_0047003")</f>
        <v>p.persica_gdr_reftransV1_0047003</v>
      </c>
      <c r="B263" s="2">
        <v>778</v>
      </c>
      <c r="C263" s="4" t="str">
        <f>HYPERLINK("http://www.uniprot.org/uniprot/M5X0Z5","M5X0Z5")</f>
        <v>M5X0Z5</v>
      </c>
      <c r="D263" s="2" t="s">
        <v>258</v>
      </c>
      <c r="E263" s="3">
        <v>4.7400000000000001E-81</v>
      </c>
      <c r="F263" s="2">
        <v>660</v>
      </c>
      <c r="G263" s="2">
        <v>93</v>
      </c>
      <c r="H263" s="2">
        <v>132</v>
      </c>
      <c r="I263" s="2">
        <v>2</v>
      </c>
      <c r="J263" s="2">
        <v>397</v>
      </c>
      <c r="K263" s="2">
        <v>64</v>
      </c>
      <c r="L263" s="2">
        <v>195</v>
      </c>
    </row>
    <row r="264" spans="1:12" x14ac:dyDescent="0.25">
      <c r="A264" s="4" t="str">
        <f>HYPERLINK("http://www.rosaceae.org/Prunus/Prunus_persica/p.persica_gdr_reftransV1_0047353","p.persica_gdr_reftransV1_0047353")</f>
        <v>p.persica_gdr_reftransV1_0047353</v>
      </c>
      <c r="B264" s="2">
        <v>1668</v>
      </c>
      <c r="C264" s="4" t="str">
        <f>HYPERLINK("http://www.uniprot.org/uniprot/M5W8V5","M5W8V5")</f>
        <v>M5W8V5</v>
      </c>
      <c r="D264" s="2" t="s">
        <v>259</v>
      </c>
      <c r="E264" s="3">
        <v>0</v>
      </c>
      <c r="F264" s="2">
        <v>2011</v>
      </c>
      <c r="G264" s="2">
        <v>100</v>
      </c>
      <c r="H264" s="2">
        <v>404</v>
      </c>
      <c r="I264" s="2">
        <v>351</v>
      </c>
      <c r="J264" s="2">
        <v>1562</v>
      </c>
      <c r="K264" s="2">
        <v>1</v>
      </c>
      <c r="L264" s="2">
        <v>404</v>
      </c>
    </row>
    <row r="265" spans="1:12" x14ac:dyDescent="0.25">
      <c r="A265" s="4" t="str">
        <f>HYPERLINK("http://www.rosaceae.org/Prunus/Prunus_persica/p.persica_gdr_reftransV1_0047703","p.persica_gdr_reftransV1_0047703")</f>
        <v>p.persica_gdr_reftransV1_0047703</v>
      </c>
      <c r="B265" s="2">
        <v>487</v>
      </c>
      <c r="C265" s="4" t="str">
        <f>HYPERLINK("http://www.uniprot.org/uniprot/M5VTP2","M5VTP2")</f>
        <v>M5VTP2</v>
      </c>
      <c r="D265" s="2" t="s">
        <v>260</v>
      </c>
      <c r="E265" s="3">
        <v>2.4500000000000001E-96</v>
      </c>
      <c r="F265" s="2">
        <v>743</v>
      </c>
      <c r="G265" s="2">
        <v>100</v>
      </c>
      <c r="H265" s="2">
        <v>162</v>
      </c>
      <c r="I265" s="2">
        <v>1</v>
      </c>
      <c r="J265" s="2">
        <v>486</v>
      </c>
      <c r="K265" s="2">
        <v>46</v>
      </c>
      <c r="L265" s="2">
        <v>207</v>
      </c>
    </row>
    <row r="266" spans="1:12" x14ac:dyDescent="0.25">
      <c r="A266" s="4" t="str">
        <f>HYPERLINK("http://www.rosaceae.org/Prunus/Prunus_persica/p.persica_gdr_reftransV1_0048053","p.persica_gdr_reftransV1_0048053")</f>
        <v>p.persica_gdr_reftransV1_0048053</v>
      </c>
      <c r="B266" s="2">
        <v>367</v>
      </c>
      <c r="C266" s="4" t="str">
        <f>HYPERLINK("http://www.uniprot.org/uniprot/M5WG67","M5WG67")</f>
        <v>M5WG67</v>
      </c>
      <c r="D266" s="2" t="s">
        <v>261</v>
      </c>
      <c r="E266" s="3">
        <v>4.7599999999999997E-23</v>
      </c>
      <c r="F266" s="2">
        <v>251</v>
      </c>
      <c r="G266" s="2">
        <v>100</v>
      </c>
      <c r="H266" s="2">
        <v>99</v>
      </c>
      <c r="I266" s="2">
        <v>2</v>
      </c>
      <c r="J266" s="2">
        <v>298</v>
      </c>
      <c r="K266" s="2">
        <v>1</v>
      </c>
      <c r="L266" s="2">
        <v>99</v>
      </c>
    </row>
    <row r="267" spans="1:12" x14ac:dyDescent="0.25">
      <c r="A267" s="4" t="str">
        <f>HYPERLINK("http://www.rosaceae.org/Prunus/Prunus_persica/p.persica_gdr_reftransV1_0048403","p.persica_gdr_reftransV1_0048403")</f>
        <v>p.persica_gdr_reftransV1_0048403</v>
      </c>
      <c r="B267" s="2">
        <v>1566</v>
      </c>
      <c r="C267" s="4" t="str">
        <f>HYPERLINK("http://www.uniprot.org/uniprot/M5WLH7","M5WLH7")</f>
        <v>M5WLH7</v>
      </c>
      <c r="D267" s="2" t="s">
        <v>262</v>
      </c>
      <c r="E267" s="3">
        <v>0</v>
      </c>
      <c r="F267" s="2">
        <v>2090</v>
      </c>
      <c r="G267" s="2">
        <v>100</v>
      </c>
      <c r="H267" s="2">
        <v>390</v>
      </c>
      <c r="I267" s="2">
        <v>234</v>
      </c>
      <c r="J267" s="2">
        <v>1403</v>
      </c>
      <c r="K267" s="2">
        <v>1</v>
      </c>
      <c r="L267" s="2">
        <v>390</v>
      </c>
    </row>
    <row r="268" spans="1:12" x14ac:dyDescent="0.25">
      <c r="A268" s="4" t="str">
        <f>HYPERLINK("http://www.rosaceae.org/Prunus/Prunus_persica/p.persica_gdr_reftransV1_0048753","p.persica_gdr_reftransV1_0048753")</f>
        <v>p.persica_gdr_reftransV1_0048753</v>
      </c>
      <c r="B268" s="2">
        <v>663</v>
      </c>
      <c r="C268" s="4" t="str">
        <f>HYPERLINK("http://www.uniprot.org/uniprot/M5WLC1","M5WLC1")</f>
        <v>M5WLC1</v>
      </c>
      <c r="D268" s="2" t="s">
        <v>263</v>
      </c>
      <c r="E268" s="3">
        <v>1.0099999999999999E-146</v>
      </c>
      <c r="F268" s="2">
        <v>1092</v>
      </c>
      <c r="G268" s="2">
        <v>100</v>
      </c>
      <c r="H268" s="2">
        <v>220</v>
      </c>
      <c r="I268" s="2">
        <v>3</v>
      </c>
      <c r="J268" s="2">
        <v>662</v>
      </c>
      <c r="K268" s="2">
        <v>3</v>
      </c>
      <c r="L268" s="2">
        <v>222</v>
      </c>
    </row>
    <row r="269" spans="1:12" x14ac:dyDescent="0.25">
      <c r="A269" s="4" t="str">
        <f>HYPERLINK("http://www.rosaceae.org/Prunus/Prunus_persica/p.persica_gdr_reftransV1_0049103","p.persica_gdr_reftransV1_0049103")</f>
        <v>p.persica_gdr_reftransV1_0049103</v>
      </c>
      <c r="B269" s="2">
        <v>1090</v>
      </c>
      <c r="C269" s="4" t="str">
        <f>HYPERLINK("http://www.uniprot.org/uniprot/M5WLD7","M5WLD7")</f>
        <v>M5WLD7</v>
      </c>
      <c r="D269" s="2" t="s">
        <v>264</v>
      </c>
      <c r="E269" s="3">
        <v>3.8700000000000001E-121</v>
      </c>
      <c r="F269" s="2">
        <v>927</v>
      </c>
      <c r="G269" s="2">
        <v>100</v>
      </c>
      <c r="H269" s="2">
        <v>206</v>
      </c>
      <c r="I269" s="2">
        <v>158</v>
      </c>
      <c r="J269" s="2">
        <v>775</v>
      </c>
      <c r="K269" s="2">
        <v>31</v>
      </c>
      <c r="L269" s="2">
        <v>236</v>
      </c>
    </row>
    <row r="270" spans="1:12" x14ac:dyDescent="0.25">
      <c r="A270" s="4" t="str">
        <f>HYPERLINK("http://www.rosaceae.org/Prunus/Prunus_persica/p.persica_gdr_reftransV1_0000104","p.persica_gdr_reftransV1_0000104")</f>
        <v>p.persica_gdr_reftransV1_0000104</v>
      </c>
      <c r="B270" s="2">
        <v>2753</v>
      </c>
      <c r="C270" s="4" t="str">
        <f>HYPERLINK("http://www.uniprot.org/uniprot/M5Y936","M5Y936")</f>
        <v>M5Y936</v>
      </c>
      <c r="D270" s="2" t="s">
        <v>265</v>
      </c>
      <c r="E270" s="3">
        <v>0</v>
      </c>
      <c r="F270" s="2">
        <v>3400</v>
      </c>
      <c r="G270" s="2">
        <v>98</v>
      </c>
      <c r="H270" s="2">
        <v>698</v>
      </c>
      <c r="I270" s="2">
        <v>323</v>
      </c>
      <c r="J270" s="2">
        <v>2416</v>
      </c>
      <c r="K270" s="2">
        <v>19</v>
      </c>
      <c r="L270" s="2">
        <v>701</v>
      </c>
    </row>
    <row r="271" spans="1:12" x14ac:dyDescent="0.25">
      <c r="A271" s="4" t="str">
        <f>HYPERLINK("http://www.rosaceae.org/Prunus/Prunus_persica/p.persica_gdr_reftransV1_0000454","p.persica_gdr_reftransV1_0000454")</f>
        <v>p.persica_gdr_reftransV1_0000454</v>
      </c>
      <c r="B271" s="2">
        <v>439</v>
      </c>
      <c r="C271" s="4" t="str">
        <f>HYPERLINK("http://www.uniprot.org/uniprot/M5WLS6","M5WLS6")</f>
        <v>M5WLS6</v>
      </c>
      <c r="D271" s="2" t="s">
        <v>266</v>
      </c>
      <c r="E271" s="3">
        <v>1.92E-101</v>
      </c>
      <c r="F271" s="2">
        <v>792</v>
      </c>
      <c r="G271" s="2">
        <v>100</v>
      </c>
      <c r="H271" s="2">
        <v>146</v>
      </c>
      <c r="I271" s="2">
        <v>1</v>
      </c>
      <c r="J271" s="2">
        <v>438</v>
      </c>
      <c r="K271" s="2">
        <v>106</v>
      </c>
      <c r="L271" s="2">
        <v>251</v>
      </c>
    </row>
    <row r="272" spans="1:12" x14ac:dyDescent="0.25">
      <c r="A272" s="4" t="str">
        <f>HYPERLINK("http://www.rosaceae.org/Prunus/Prunus_persica/p.persica_gdr_reftransV1_0000804","p.persica_gdr_reftransV1_0000804")</f>
        <v>p.persica_gdr_reftransV1_0000804</v>
      </c>
      <c r="B272" s="2">
        <v>1802</v>
      </c>
      <c r="C272" s="4" t="str">
        <f>HYPERLINK("http://www.uniprot.org/uniprot/M5XMV7","M5XMV7")</f>
        <v>M5XMV7</v>
      </c>
      <c r="D272" s="2" t="s">
        <v>267</v>
      </c>
      <c r="E272" s="3">
        <v>0</v>
      </c>
      <c r="F272" s="2">
        <v>2054</v>
      </c>
      <c r="G272" s="2">
        <v>99</v>
      </c>
      <c r="H272" s="2">
        <v>462</v>
      </c>
      <c r="I272" s="2">
        <v>386</v>
      </c>
      <c r="J272" s="2">
        <v>1771</v>
      </c>
      <c r="K272" s="2">
        <v>87</v>
      </c>
      <c r="L272" s="2">
        <v>545</v>
      </c>
    </row>
    <row r="273" spans="1:12" x14ac:dyDescent="0.25">
      <c r="A273" s="4" t="str">
        <f>HYPERLINK("http://www.rosaceae.org/Prunus/Prunus_persica/p.persica_gdr_reftransV1_0001154","p.persica_gdr_reftransV1_0001154")</f>
        <v>p.persica_gdr_reftransV1_0001154</v>
      </c>
      <c r="B273" s="2">
        <v>942</v>
      </c>
      <c r="C273" s="4" t="str">
        <f>HYPERLINK("http://www.uniprot.org/uniprot/M5WR50","M5WR50")</f>
        <v>M5WR50</v>
      </c>
      <c r="D273" s="2" t="s">
        <v>268</v>
      </c>
      <c r="E273" s="3">
        <v>1.0799999999999999E-161</v>
      </c>
      <c r="F273" s="2">
        <v>1188</v>
      </c>
      <c r="G273" s="2">
        <v>100</v>
      </c>
      <c r="H273" s="2">
        <v>226</v>
      </c>
      <c r="I273" s="2">
        <v>206</v>
      </c>
      <c r="J273" s="2">
        <v>883</v>
      </c>
      <c r="K273" s="2">
        <v>1</v>
      </c>
      <c r="L273" s="2">
        <v>226</v>
      </c>
    </row>
    <row r="274" spans="1:12" x14ac:dyDescent="0.25">
      <c r="A274" s="4" t="str">
        <f>HYPERLINK("http://www.rosaceae.org/Prunus/Prunus_persica/p.persica_gdr_reftransV1_0001504","p.persica_gdr_reftransV1_0001504")</f>
        <v>p.persica_gdr_reftransV1_0001504</v>
      </c>
      <c r="B274" s="2">
        <v>1618</v>
      </c>
      <c r="C274" s="4" t="str">
        <f>HYPERLINK("http://www.uniprot.org/uniprot/M5XIM3","M5XIM3")</f>
        <v>M5XIM3</v>
      </c>
      <c r="D274" s="2" t="s">
        <v>269</v>
      </c>
      <c r="E274" s="3">
        <v>0</v>
      </c>
      <c r="F274" s="2">
        <v>1449</v>
      </c>
      <c r="G274" s="2">
        <v>100</v>
      </c>
      <c r="H274" s="2">
        <v>274</v>
      </c>
      <c r="I274" s="2">
        <v>391</v>
      </c>
      <c r="J274" s="2">
        <v>1212</v>
      </c>
      <c r="K274" s="2">
        <v>92</v>
      </c>
      <c r="L274" s="2">
        <v>365</v>
      </c>
    </row>
    <row r="275" spans="1:12" x14ac:dyDescent="0.25">
      <c r="A275" s="4" t="str">
        <f>HYPERLINK("http://www.rosaceae.org/Prunus/Prunus_persica/p.persica_gdr_reftransV1_0002204","p.persica_gdr_reftransV1_0002204")</f>
        <v>p.persica_gdr_reftransV1_0002204</v>
      </c>
      <c r="B275" s="2">
        <v>877</v>
      </c>
      <c r="C275" s="4" t="str">
        <f>HYPERLINK("http://www.uniprot.org/uniprot/M5VUT3","M5VUT3")</f>
        <v>M5VUT3</v>
      </c>
      <c r="D275" s="2" t="s">
        <v>270</v>
      </c>
      <c r="E275" s="3">
        <v>0</v>
      </c>
      <c r="F275" s="2">
        <v>1527</v>
      </c>
      <c r="G275" s="2">
        <v>98</v>
      </c>
      <c r="H275" s="2">
        <v>292</v>
      </c>
      <c r="I275" s="2">
        <v>2</v>
      </c>
      <c r="J275" s="2">
        <v>877</v>
      </c>
      <c r="K275" s="2">
        <v>427</v>
      </c>
      <c r="L275" s="2">
        <v>718</v>
      </c>
    </row>
    <row r="276" spans="1:12" x14ac:dyDescent="0.25">
      <c r="A276" s="4" t="str">
        <f>HYPERLINK("http://www.rosaceae.org/Prunus/Prunus_persica/p.persica_gdr_reftransV1_0002554","p.persica_gdr_reftransV1_0002554")</f>
        <v>p.persica_gdr_reftransV1_0002554</v>
      </c>
      <c r="B276" s="2">
        <v>2083</v>
      </c>
      <c r="C276" s="4" t="str">
        <f>HYPERLINK("http://www.uniprot.org/uniprot/M5WUC7","M5WUC7")</f>
        <v>M5WUC7</v>
      </c>
      <c r="D276" s="2" t="s">
        <v>271</v>
      </c>
      <c r="E276" s="3">
        <v>0</v>
      </c>
      <c r="F276" s="2">
        <v>1911</v>
      </c>
      <c r="G276" s="2">
        <v>100</v>
      </c>
      <c r="H276" s="2">
        <v>413</v>
      </c>
      <c r="I276" s="2">
        <v>251</v>
      </c>
      <c r="J276" s="2">
        <v>1489</v>
      </c>
      <c r="K276" s="2">
        <v>1</v>
      </c>
      <c r="L276" s="2">
        <v>413</v>
      </c>
    </row>
    <row r="277" spans="1:12" x14ac:dyDescent="0.25">
      <c r="A277" s="4" t="str">
        <f>HYPERLINK("http://www.rosaceae.org/Prunus/Prunus_persica/p.persica_gdr_reftransV1_0004304","p.persica_gdr_reftransV1_0004304")</f>
        <v>p.persica_gdr_reftransV1_0004304</v>
      </c>
      <c r="B277" s="2">
        <v>1568</v>
      </c>
      <c r="C277" s="4" t="str">
        <f>HYPERLINK("http://www.uniprot.org/uniprot/M5VQI3","M5VQI3")</f>
        <v>M5VQI3</v>
      </c>
      <c r="D277" s="2" t="s">
        <v>272</v>
      </c>
      <c r="E277" s="3">
        <v>0</v>
      </c>
      <c r="F277" s="2">
        <v>1414</v>
      </c>
      <c r="G277" s="2">
        <v>100</v>
      </c>
      <c r="H277" s="2">
        <v>346</v>
      </c>
      <c r="I277" s="2">
        <v>376</v>
      </c>
      <c r="J277" s="2">
        <v>1413</v>
      </c>
      <c r="K277" s="2">
        <v>1</v>
      </c>
      <c r="L277" s="2">
        <v>346</v>
      </c>
    </row>
    <row r="278" spans="1:12" x14ac:dyDescent="0.25">
      <c r="A278" s="4" t="str">
        <f>HYPERLINK("http://www.rosaceae.org/Prunus/Prunus_persica/p.persica_gdr_reftransV1_0004654","p.persica_gdr_reftransV1_0004654")</f>
        <v>p.persica_gdr_reftransV1_0004654</v>
      </c>
      <c r="B278" s="2">
        <v>462</v>
      </c>
      <c r="C278" s="4" t="str">
        <f>HYPERLINK("http://www.uniprot.org/uniprot/M5WX59","M5WX59")</f>
        <v>M5WX59</v>
      </c>
      <c r="D278" s="2" t="s">
        <v>273</v>
      </c>
      <c r="E278" s="3">
        <v>8.2699999999999997E-84</v>
      </c>
      <c r="F278" s="2">
        <v>677</v>
      </c>
      <c r="G278" s="2">
        <v>97</v>
      </c>
      <c r="H278" s="2">
        <v>153</v>
      </c>
      <c r="I278" s="2">
        <v>3</v>
      </c>
      <c r="J278" s="2">
        <v>461</v>
      </c>
      <c r="K278" s="2">
        <v>126</v>
      </c>
      <c r="L278" s="2">
        <v>278</v>
      </c>
    </row>
    <row r="279" spans="1:12" x14ac:dyDescent="0.25">
      <c r="A279" s="4" t="str">
        <f>HYPERLINK("http://www.rosaceae.org/Prunus/Prunus_persica/p.persica_gdr_reftransV1_0005704","p.persica_gdr_reftransV1_0005704")</f>
        <v>p.persica_gdr_reftransV1_0005704</v>
      </c>
      <c r="B279" s="2">
        <v>426</v>
      </c>
      <c r="C279" s="4" t="str">
        <f>HYPERLINK("http://www.uniprot.org/uniprot/M5W3D3","M5W3D3")</f>
        <v>M5W3D3</v>
      </c>
      <c r="D279" s="2" t="s">
        <v>274</v>
      </c>
      <c r="E279" s="3">
        <v>8.1599999999999998E-28</v>
      </c>
      <c r="F279" s="2">
        <v>294</v>
      </c>
      <c r="G279" s="2">
        <v>100</v>
      </c>
      <c r="H279" s="2">
        <v>50</v>
      </c>
      <c r="I279" s="2">
        <v>277</v>
      </c>
      <c r="J279" s="2">
        <v>426</v>
      </c>
      <c r="K279" s="2">
        <v>623</v>
      </c>
      <c r="L279" s="2">
        <v>672</v>
      </c>
    </row>
    <row r="280" spans="1:12" x14ac:dyDescent="0.25">
      <c r="A280" s="4" t="str">
        <f>HYPERLINK("http://www.rosaceae.org/Prunus/Prunus_persica/p.persica_gdr_reftransV1_0007454","p.persica_gdr_reftransV1_0007454")</f>
        <v>p.persica_gdr_reftransV1_0007454</v>
      </c>
      <c r="B280" s="2">
        <v>2103</v>
      </c>
      <c r="C280" s="4" t="str">
        <f>HYPERLINK("http://www.uniprot.org/uniprot/M5X189","M5X189")</f>
        <v>M5X189</v>
      </c>
      <c r="D280" s="2" t="s">
        <v>251</v>
      </c>
      <c r="E280" s="3">
        <v>0</v>
      </c>
      <c r="F280" s="2">
        <v>2134</v>
      </c>
      <c r="G280" s="2">
        <v>100</v>
      </c>
      <c r="H280" s="2">
        <v>414</v>
      </c>
      <c r="I280" s="2">
        <v>529</v>
      </c>
      <c r="J280" s="2">
        <v>1770</v>
      </c>
      <c r="K280" s="2">
        <v>1</v>
      </c>
      <c r="L280" s="2">
        <v>414</v>
      </c>
    </row>
    <row r="281" spans="1:12" x14ac:dyDescent="0.25">
      <c r="A281" s="4" t="str">
        <f>HYPERLINK("http://www.rosaceae.org/Prunus/Prunus_persica/p.persica_gdr_reftransV1_0007804","p.persica_gdr_reftransV1_0007804")</f>
        <v>p.persica_gdr_reftransV1_0007804</v>
      </c>
      <c r="B281" s="2">
        <v>1592</v>
      </c>
      <c r="C281" s="4" t="str">
        <f>HYPERLINK("http://www.uniprot.org/uniprot/M5WC45","M5WC45")</f>
        <v>M5WC45</v>
      </c>
      <c r="D281" s="2" t="s">
        <v>275</v>
      </c>
      <c r="E281" s="3">
        <v>6.6400000000000002E-156</v>
      </c>
      <c r="F281" s="2">
        <v>1180</v>
      </c>
      <c r="G281" s="2">
        <v>100</v>
      </c>
      <c r="H281" s="2">
        <v>263</v>
      </c>
      <c r="I281" s="2">
        <v>710</v>
      </c>
      <c r="J281" s="2">
        <v>1498</v>
      </c>
      <c r="K281" s="2">
        <v>36</v>
      </c>
      <c r="L281" s="2">
        <v>298</v>
      </c>
    </row>
    <row r="282" spans="1:12" x14ac:dyDescent="0.25">
      <c r="A282" s="4" t="str">
        <f>HYPERLINK("http://www.rosaceae.org/Prunus/Prunus_persica/p.persica_gdr_reftransV1_0008504","p.persica_gdr_reftransV1_0008504")</f>
        <v>p.persica_gdr_reftransV1_0008504</v>
      </c>
      <c r="B282" s="2">
        <v>451</v>
      </c>
      <c r="C282" s="4" t="str">
        <f>HYPERLINK("http://www.uniprot.org/uniprot/M5VTW0","M5VTW0")</f>
        <v>M5VTW0</v>
      </c>
      <c r="D282" s="2" t="s">
        <v>276</v>
      </c>
      <c r="E282" s="3">
        <v>4.6900000000000001E-85</v>
      </c>
      <c r="F282" s="2">
        <v>689</v>
      </c>
      <c r="G282" s="2">
        <v>100</v>
      </c>
      <c r="H282" s="2">
        <v>150</v>
      </c>
      <c r="I282" s="2">
        <v>1</v>
      </c>
      <c r="J282" s="2">
        <v>450</v>
      </c>
      <c r="K282" s="2">
        <v>215</v>
      </c>
      <c r="L282" s="2">
        <v>364</v>
      </c>
    </row>
    <row r="283" spans="1:12" x14ac:dyDescent="0.25">
      <c r="A283" s="4" t="str">
        <f>HYPERLINK("http://www.rosaceae.org/Prunus/Prunus_persica/p.persica_gdr_reftransV1_0009554","p.persica_gdr_reftransV1_0009554")</f>
        <v>p.persica_gdr_reftransV1_0009554</v>
      </c>
      <c r="B283" s="2">
        <v>852</v>
      </c>
      <c r="C283" s="4" t="str">
        <f>HYPERLINK("http://www.uniprot.org/uniprot/M5WHY0","M5WHY0")</f>
        <v>M5WHY0</v>
      </c>
      <c r="D283" s="2" t="s">
        <v>277</v>
      </c>
      <c r="E283" s="3">
        <v>1.88E-86</v>
      </c>
      <c r="F283" s="2">
        <v>680</v>
      </c>
      <c r="G283" s="2">
        <v>100</v>
      </c>
      <c r="H283" s="2">
        <v>139</v>
      </c>
      <c r="I283" s="2">
        <v>330</v>
      </c>
      <c r="J283" s="2">
        <v>746</v>
      </c>
      <c r="K283" s="2">
        <v>1</v>
      </c>
      <c r="L283" s="2">
        <v>139</v>
      </c>
    </row>
    <row r="284" spans="1:12" x14ac:dyDescent="0.25">
      <c r="A284" s="4" t="str">
        <f>HYPERLINK("http://www.rosaceae.org/Prunus/Prunus_persica/p.persica_gdr_reftransV1_0010254","p.persica_gdr_reftransV1_0010254")</f>
        <v>p.persica_gdr_reftransV1_0010254</v>
      </c>
      <c r="B284" s="2">
        <v>1757</v>
      </c>
      <c r="C284" s="4" t="str">
        <f>HYPERLINK("http://www.uniprot.org/uniprot/M5VVH3","M5VVH3")</f>
        <v>M5VVH3</v>
      </c>
      <c r="D284" s="2" t="s">
        <v>159</v>
      </c>
      <c r="E284" s="3">
        <v>5.6099999999999997E-131</v>
      </c>
      <c r="F284" s="2">
        <v>1039</v>
      </c>
      <c r="G284" s="2">
        <v>99</v>
      </c>
      <c r="H284" s="2">
        <v>196</v>
      </c>
      <c r="I284" s="2">
        <v>1169</v>
      </c>
      <c r="J284" s="2">
        <v>1756</v>
      </c>
      <c r="K284" s="2">
        <v>92</v>
      </c>
      <c r="L284" s="2">
        <v>287</v>
      </c>
    </row>
    <row r="285" spans="1:12" x14ac:dyDescent="0.25">
      <c r="A285" s="4" t="str">
        <f>HYPERLINK("http://www.rosaceae.org/Prunus/Prunus_persica/p.persica_gdr_reftransV1_0010604","p.persica_gdr_reftransV1_0010604")</f>
        <v>p.persica_gdr_reftransV1_0010604</v>
      </c>
      <c r="B285" s="2">
        <v>2268</v>
      </c>
      <c r="C285" s="4" t="str">
        <f>HYPERLINK("http://www.uniprot.org/uniprot/M5XH48","M5XH48")</f>
        <v>M5XH48</v>
      </c>
      <c r="D285" s="2" t="s">
        <v>278</v>
      </c>
      <c r="E285" s="3">
        <v>0</v>
      </c>
      <c r="F285" s="2">
        <v>1984</v>
      </c>
      <c r="G285" s="2">
        <v>79</v>
      </c>
      <c r="H285" s="2">
        <v>501</v>
      </c>
      <c r="I285" s="2">
        <v>673</v>
      </c>
      <c r="J285" s="2">
        <v>2175</v>
      </c>
      <c r="K285" s="2">
        <v>1</v>
      </c>
      <c r="L285" s="2">
        <v>489</v>
      </c>
    </row>
    <row r="286" spans="1:12" x14ac:dyDescent="0.25">
      <c r="A286" s="4" t="str">
        <f>HYPERLINK("http://www.rosaceae.org/Prunus/Prunus_persica/p.persica_gdr_reftransV1_0010954","p.persica_gdr_reftransV1_0010954")</f>
        <v>p.persica_gdr_reftransV1_0010954</v>
      </c>
      <c r="B286" s="2">
        <v>3080</v>
      </c>
      <c r="C286" s="4" t="str">
        <f>HYPERLINK("http://www.uniprot.org/uniprot/M5WGF7","M5WGF7")</f>
        <v>M5WGF7</v>
      </c>
      <c r="D286" s="2" t="s">
        <v>279</v>
      </c>
      <c r="E286" s="3">
        <v>0</v>
      </c>
      <c r="F286" s="2">
        <v>3689</v>
      </c>
      <c r="G286" s="2">
        <v>100</v>
      </c>
      <c r="H286" s="2">
        <v>788</v>
      </c>
      <c r="I286" s="2">
        <v>368</v>
      </c>
      <c r="J286" s="2">
        <v>2731</v>
      </c>
      <c r="K286" s="2">
        <v>27</v>
      </c>
      <c r="L286" s="2">
        <v>814</v>
      </c>
    </row>
    <row r="287" spans="1:12" x14ac:dyDescent="0.25">
      <c r="A287" s="4" t="str">
        <f>HYPERLINK("http://www.rosaceae.org/Prunus/Prunus_persica/p.persica_gdr_reftransV1_0011304","p.persica_gdr_reftransV1_0011304")</f>
        <v>p.persica_gdr_reftransV1_0011304</v>
      </c>
      <c r="B287" s="2">
        <v>5496</v>
      </c>
      <c r="C287" s="4" t="str">
        <f>HYPERLINK("http://www.uniprot.org/uniprot/M5WMB0","M5WMB0")</f>
        <v>M5WMB0</v>
      </c>
      <c r="D287" s="2" t="s">
        <v>280</v>
      </c>
      <c r="E287" s="3">
        <v>0</v>
      </c>
      <c r="F287" s="2">
        <v>7632</v>
      </c>
      <c r="G287" s="2">
        <v>98</v>
      </c>
      <c r="H287" s="2">
        <v>1521</v>
      </c>
      <c r="I287" s="2">
        <v>343</v>
      </c>
      <c r="J287" s="2">
        <v>4818</v>
      </c>
      <c r="K287" s="2">
        <v>1</v>
      </c>
      <c r="L287" s="2">
        <v>1521</v>
      </c>
    </row>
    <row r="288" spans="1:12" x14ac:dyDescent="0.25">
      <c r="A288" s="4" t="str">
        <f>HYPERLINK("http://www.rosaceae.org/Prunus/Prunus_persica/p.persica_gdr_reftransV1_0011654","p.persica_gdr_reftransV1_0011654")</f>
        <v>p.persica_gdr_reftransV1_0011654</v>
      </c>
      <c r="B288" s="2">
        <v>3512</v>
      </c>
      <c r="C288" s="4" t="str">
        <f>HYPERLINK("http://www.uniprot.org/uniprot/M5Y4G5","M5Y4G5")</f>
        <v>M5Y4G5</v>
      </c>
      <c r="D288" s="2" t="s">
        <v>281</v>
      </c>
      <c r="E288" s="3">
        <v>0</v>
      </c>
      <c r="F288" s="2">
        <v>3987</v>
      </c>
      <c r="G288" s="2">
        <v>88</v>
      </c>
      <c r="H288" s="2">
        <v>1056</v>
      </c>
      <c r="I288" s="2">
        <v>3</v>
      </c>
      <c r="J288" s="2">
        <v>3134</v>
      </c>
      <c r="K288" s="2">
        <v>1</v>
      </c>
      <c r="L288" s="2">
        <v>1008</v>
      </c>
    </row>
    <row r="289" spans="1:12" x14ac:dyDescent="0.25">
      <c r="A289" s="4" t="str">
        <f>HYPERLINK("http://www.rosaceae.org/Prunus/Prunus_persica/p.persica_gdr_reftransV1_0012354","p.persica_gdr_reftransV1_0012354")</f>
        <v>p.persica_gdr_reftransV1_0012354</v>
      </c>
      <c r="B289" s="2">
        <v>1858</v>
      </c>
      <c r="C289" s="4" t="str">
        <f>HYPERLINK("http://www.uniprot.org/uniprot/M5VN06","M5VN06")</f>
        <v>M5VN06</v>
      </c>
      <c r="D289" s="2" t="s">
        <v>282</v>
      </c>
      <c r="E289" s="3">
        <v>0</v>
      </c>
      <c r="F289" s="2">
        <v>2111</v>
      </c>
      <c r="G289" s="2">
        <v>100</v>
      </c>
      <c r="H289" s="2">
        <v>399</v>
      </c>
      <c r="I289" s="2">
        <v>567</v>
      </c>
      <c r="J289" s="2">
        <v>1763</v>
      </c>
      <c r="K289" s="2">
        <v>1</v>
      </c>
      <c r="L289" s="2">
        <v>399</v>
      </c>
    </row>
    <row r="290" spans="1:12" x14ac:dyDescent="0.25">
      <c r="A290" s="4" t="str">
        <f>HYPERLINK("http://www.rosaceae.org/Prunus/Prunus_persica/p.persica_gdr_reftransV1_0012704","p.persica_gdr_reftransV1_0012704")</f>
        <v>p.persica_gdr_reftransV1_0012704</v>
      </c>
      <c r="B290" s="2">
        <v>1431</v>
      </c>
      <c r="C290" s="4" t="str">
        <f>HYPERLINK("http://www.uniprot.org/uniprot/M5XG65","M5XG65")</f>
        <v>M5XG65</v>
      </c>
      <c r="D290" s="2" t="s">
        <v>283</v>
      </c>
      <c r="E290" s="3">
        <v>3.3700000000000002E-110</v>
      </c>
      <c r="F290" s="2">
        <v>860</v>
      </c>
      <c r="G290" s="2">
        <v>100</v>
      </c>
      <c r="H290" s="2">
        <v>186</v>
      </c>
      <c r="I290" s="2">
        <v>786</v>
      </c>
      <c r="J290" s="2">
        <v>1343</v>
      </c>
      <c r="K290" s="2">
        <v>1</v>
      </c>
      <c r="L290" s="2">
        <v>186</v>
      </c>
    </row>
    <row r="291" spans="1:12" x14ac:dyDescent="0.25">
      <c r="A291" s="4" t="str">
        <f>HYPERLINK("http://www.rosaceae.org/Prunus/Prunus_persica/p.persica_gdr_reftransV1_0013054","p.persica_gdr_reftransV1_0013054")</f>
        <v>p.persica_gdr_reftransV1_0013054</v>
      </c>
      <c r="B291" s="2">
        <v>776</v>
      </c>
      <c r="C291" s="4" t="str">
        <f>HYPERLINK("http://www.uniprot.org/uniprot/M5VTR8","M5VTR8")</f>
        <v>M5VTR8</v>
      </c>
      <c r="D291" s="2" t="s">
        <v>284</v>
      </c>
      <c r="E291" s="3">
        <v>1.69E-64</v>
      </c>
      <c r="F291" s="2">
        <v>530</v>
      </c>
      <c r="G291" s="2">
        <v>94</v>
      </c>
      <c r="H291" s="2">
        <v>106</v>
      </c>
      <c r="I291" s="2">
        <v>102</v>
      </c>
      <c r="J291" s="2">
        <v>419</v>
      </c>
      <c r="K291" s="2">
        <v>1</v>
      </c>
      <c r="L291" s="2">
        <v>106</v>
      </c>
    </row>
    <row r="292" spans="1:12" x14ac:dyDescent="0.25">
      <c r="A292" s="4" t="str">
        <f>HYPERLINK("http://www.rosaceae.org/Prunus/Prunus_persica/p.persica_gdr_reftransV1_0013404","p.persica_gdr_reftransV1_0013404")</f>
        <v>p.persica_gdr_reftransV1_0013404</v>
      </c>
      <c r="B292" s="2">
        <v>728</v>
      </c>
      <c r="C292" s="4" t="str">
        <f>HYPERLINK("http://www.uniprot.org/uniprot/M5WQ84","M5WQ84")</f>
        <v>M5WQ84</v>
      </c>
      <c r="D292" s="2" t="s">
        <v>285</v>
      </c>
      <c r="E292" s="3">
        <v>3.8900000000000001E-129</v>
      </c>
      <c r="F292" s="2">
        <v>988</v>
      </c>
      <c r="G292" s="2">
        <v>85</v>
      </c>
      <c r="H292" s="2">
        <v>222</v>
      </c>
      <c r="I292" s="2">
        <v>61</v>
      </c>
      <c r="J292" s="2">
        <v>726</v>
      </c>
      <c r="K292" s="2">
        <v>262</v>
      </c>
      <c r="L292" s="2">
        <v>451</v>
      </c>
    </row>
    <row r="293" spans="1:12" x14ac:dyDescent="0.25">
      <c r="A293" s="4" t="str">
        <f>HYPERLINK("http://www.rosaceae.org/Prunus/Prunus_persica/p.persica_gdr_reftransV1_0014104","p.persica_gdr_reftransV1_0014104")</f>
        <v>p.persica_gdr_reftransV1_0014104</v>
      </c>
      <c r="B293" s="2">
        <v>2282</v>
      </c>
      <c r="C293" s="4" t="str">
        <f>HYPERLINK("http://www.uniprot.org/uniprot/M5X055","M5X055")</f>
        <v>M5X055</v>
      </c>
      <c r="D293" s="2" t="s">
        <v>286</v>
      </c>
      <c r="E293" s="3">
        <v>2.34E-105</v>
      </c>
      <c r="F293" s="2">
        <v>872</v>
      </c>
      <c r="G293" s="2">
        <v>100</v>
      </c>
      <c r="H293" s="2">
        <v>166</v>
      </c>
      <c r="I293" s="2">
        <v>276</v>
      </c>
      <c r="J293" s="2">
        <v>773</v>
      </c>
      <c r="K293" s="2">
        <v>227</v>
      </c>
      <c r="L293" s="2">
        <v>392</v>
      </c>
    </row>
    <row r="294" spans="1:12" x14ac:dyDescent="0.25">
      <c r="A294" s="4" t="str">
        <f>HYPERLINK("http://www.rosaceae.org/Prunus/Prunus_persica/p.persica_gdr_reftransV1_0014454","p.persica_gdr_reftransV1_0014454")</f>
        <v>p.persica_gdr_reftransV1_0014454</v>
      </c>
      <c r="B294" s="2">
        <v>1369</v>
      </c>
      <c r="C294" s="4" t="str">
        <f>HYPERLINK("http://www.uniprot.org/uniprot/D7SQ02","D7SQ02")</f>
        <v>D7SQ02</v>
      </c>
      <c r="D294" s="2" t="s">
        <v>287</v>
      </c>
      <c r="E294" s="3">
        <v>8.4700000000000006E-152</v>
      </c>
      <c r="F294" s="2">
        <v>1161</v>
      </c>
      <c r="G294" s="2">
        <v>68</v>
      </c>
      <c r="H294" s="2">
        <v>347</v>
      </c>
      <c r="I294" s="2">
        <v>131</v>
      </c>
      <c r="J294" s="2">
        <v>1168</v>
      </c>
      <c r="K294" s="2">
        <v>112</v>
      </c>
      <c r="L294" s="2">
        <v>452</v>
      </c>
    </row>
    <row r="295" spans="1:12" x14ac:dyDescent="0.25">
      <c r="A295" s="4" t="str">
        <f>HYPERLINK("http://www.rosaceae.org/Prunus/Prunus_persica/p.persica_gdr_reftransV1_0015154","p.persica_gdr_reftransV1_0015154")</f>
        <v>p.persica_gdr_reftransV1_0015154</v>
      </c>
      <c r="B295" s="2">
        <v>483</v>
      </c>
      <c r="C295" s="4" t="str">
        <f>HYPERLINK("http://www.uniprot.org/uniprot/M5VWQ4","M5VWQ4")</f>
        <v>M5VWQ4</v>
      </c>
      <c r="D295" s="2" t="s">
        <v>288</v>
      </c>
      <c r="E295" s="3">
        <v>6.1200000000000001E-81</v>
      </c>
      <c r="F295" s="2">
        <v>693</v>
      </c>
      <c r="G295" s="2">
        <v>100</v>
      </c>
      <c r="H295" s="2">
        <v>144</v>
      </c>
      <c r="I295" s="2">
        <v>50</v>
      </c>
      <c r="J295" s="2">
        <v>481</v>
      </c>
      <c r="K295" s="2">
        <v>266</v>
      </c>
      <c r="L295" s="2">
        <v>409</v>
      </c>
    </row>
    <row r="296" spans="1:12" x14ac:dyDescent="0.25">
      <c r="A296" s="4" t="str">
        <f>HYPERLINK("http://www.rosaceae.org/Prunus/Prunus_persica/p.persica_gdr_reftransV1_0015504","p.persica_gdr_reftransV1_0015504")</f>
        <v>p.persica_gdr_reftransV1_0015504</v>
      </c>
      <c r="B296" s="2">
        <v>2413</v>
      </c>
      <c r="C296" s="4" t="str">
        <f>HYPERLINK("http://www.uniprot.org/uniprot/M5XLG6","M5XLG6")</f>
        <v>M5XLG6</v>
      </c>
      <c r="D296" s="2" t="s">
        <v>289</v>
      </c>
      <c r="E296" s="3">
        <v>0</v>
      </c>
      <c r="F296" s="2">
        <v>1507</v>
      </c>
      <c r="G296" s="2">
        <v>100</v>
      </c>
      <c r="H296" s="2">
        <v>320</v>
      </c>
      <c r="I296" s="2">
        <v>1345</v>
      </c>
      <c r="J296" s="2">
        <v>2304</v>
      </c>
      <c r="K296" s="2">
        <v>1</v>
      </c>
      <c r="L296" s="2">
        <v>320</v>
      </c>
    </row>
    <row r="297" spans="1:12" x14ac:dyDescent="0.25">
      <c r="A297" s="4" t="str">
        <f>HYPERLINK("http://www.rosaceae.org/Prunus/Prunus_persica/p.persica_gdr_reftransV1_0016204","p.persica_gdr_reftransV1_0016204")</f>
        <v>p.persica_gdr_reftransV1_0016204</v>
      </c>
      <c r="B297" s="2">
        <v>1851</v>
      </c>
      <c r="C297" s="4" t="str">
        <f>HYPERLINK("http://www.uniprot.org/uniprot/M5XRS9","M5XRS9")</f>
        <v>M5XRS9</v>
      </c>
      <c r="D297" s="2" t="s">
        <v>290</v>
      </c>
      <c r="E297" s="3">
        <v>5.5000000000000002E-47</v>
      </c>
      <c r="F297" s="2">
        <v>360</v>
      </c>
      <c r="G297" s="2">
        <v>100</v>
      </c>
      <c r="H297" s="2">
        <v>66</v>
      </c>
      <c r="I297" s="2">
        <v>1462</v>
      </c>
      <c r="J297" s="2">
        <v>1659</v>
      </c>
      <c r="K297" s="2">
        <v>14</v>
      </c>
      <c r="L297" s="2">
        <v>79</v>
      </c>
    </row>
    <row r="298" spans="1:12" x14ac:dyDescent="0.25">
      <c r="A298" s="4" t="str">
        <f>HYPERLINK("http://www.rosaceae.org/Prunus/Prunus_persica/p.persica_gdr_reftransV1_0016554","p.persica_gdr_reftransV1_0016554")</f>
        <v>p.persica_gdr_reftransV1_0016554</v>
      </c>
      <c r="B298" s="2">
        <v>1323</v>
      </c>
      <c r="C298" s="4" t="str">
        <f>HYPERLINK("http://www.uniprot.org/uniprot/M5WIF8","M5WIF8")</f>
        <v>M5WIF8</v>
      </c>
      <c r="D298" s="2" t="s">
        <v>291</v>
      </c>
      <c r="E298" s="3">
        <v>2.71E-117</v>
      </c>
      <c r="F298" s="2">
        <v>793</v>
      </c>
      <c r="G298" s="2">
        <v>93</v>
      </c>
      <c r="H298" s="2">
        <v>219</v>
      </c>
      <c r="I298" s="2">
        <v>243</v>
      </c>
      <c r="J298" s="2">
        <v>899</v>
      </c>
      <c r="K298" s="2">
        <v>63</v>
      </c>
      <c r="L298" s="2">
        <v>266</v>
      </c>
    </row>
    <row r="299" spans="1:12" x14ac:dyDescent="0.25">
      <c r="A299" s="4" t="str">
        <f>HYPERLINK("http://www.rosaceae.org/Prunus/Prunus_persica/p.persica_gdr_reftransV1_0016904","p.persica_gdr_reftransV1_0016904")</f>
        <v>p.persica_gdr_reftransV1_0016904</v>
      </c>
      <c r="B299" s="2">
        <v>1297</v>
      </c>
      <c r="C299" s="4" t="str">
        <f>HYPERLINK("http://www.uniprot.org/uniprot/M5VKB3","M5VKB3")</f>
        <v>M5VKB3</v>
      </c>
      <c r="D299" s="2" t="s">
        <v>292</v>
      </c>
      <c r="E299" s="3">
        <v>3.5399999999999999E-109</v>
      </c>
      <c r="F299" s="2">
        <v>856</v>
      </c>
      <c r="G299" s="2">
        <v>99</v>
      </c>
      <c r="H299" s="2">
        <v>163</v>
      </c>
      <c r="I299" s="2">
        <v>624</v>
      </c>
      <c r="J299" s="2">
        <v>1112</v>
      </c>
      <c r="K299" s="2">
        <v>25</v>
      </c>
      <c r="L299" s="2">
        <v>187</v>
      </c>
    </row>
    <row r="300" spans="1:12" x14ac:dyDescent="0.25">
      <c r="A300" s="4" t="str">
        <f>HYPERLINK("http://www.rosaceae.org/Prunus/Prunus_persica/p.persica_gdr_reftransV1_0017254","p.persica_gdr_reftransV1_0017254")</f>
        <v>p.persica_gdr_reftransV1_0017254</v>
      </c>
      <c r="B300" s="2">
        <v>3409</v>
      </c>
      <c r="C300" s="4" t="str">
        <f>HYPERLINK("http://www.uniprot.org/uniprot/A0A061GXN1","A0A061GXN1")</f>
        <v>A0A061GXN1</v>
      </c>
      <c r="D300" s="2" t="s">
        <v>293</v>
      </c>
      <c r="E300" s="3">
        <v>0</v>
      </c>
      <c r="F300" s="2">
        <v>2795</v>
      </c>
      <c r="G300" s="2">
        <v>75</v>
      </c>
      <c r="H300" s="2">
        <v>723</v>
      </c>
      <c r="I300" s="2">
        <v>977</v>
      </c>
      <c r="J300" s="2">
        <v>3130</v>
      </c>
      <c r="K300" s="2">
        <v>1</v>
      </c>
      <c r="L300" s="2">
        <v>711</v>
      </c>
    </row>
    <row r="301" spans="1:12" x14ac:dyDescent="0.25">
      <c r="A301" s="4" t="str">
        <f>HYPERLINK("http://www.rosaceae.org/Prunus/Prunus_persica/p.persica_gdr_reftransV1_0017604","p.persica_gdr_reftransV1_0017604")</f>
        <v>p.persica_gdr_reftransV1_0017604</v>
      </c>
      <c r="B301" s="2">
        <v>1802</v>
      </c>
      <c r="C301" s="4" t="str">
        <f>HYPERLINK("http://www.uniprot.org/uniprot/M5VMY2","M5VMY2")</f>
        <v>M5VMY2</v>
      </c>
      <c r="D301" s="2" t="s">
        <v>294</v>
      </c>
      <c r="E301" s="3">
        <v>6.5099999999999998E-97</v>
      </c>
      <c r="F301" s="2">
        <v>789</v>
      </c>
      <c r="G301" s="2">
        <v>100</v>
      </c>
      <c r="H301" s="2">
        <v>185</v>
      </c>
      <c r="I301" s="2">
        <v>576</v>
      </c>
      <c r="J301" s="2">
        <v>1130</v>
      </c>
      <c r="K301" s="2">
        <v>74</v>
      </c>
      <c r="L301" s="2">
        <v>258</v>
      </c>
    </row>
    <row r="302" spans="1:12" x14ac:dyDescent="0.25">
      <c r="A302" s="4" t="str">
        <f>HYPERLINK("http://www.rosaceae.org/Prunus/Prunus_persica/p.persica_gdr_reftransV1_0017954","p.persica_gdr_reftransV1_0017954")</f>
        <v>p.persica_gdr_reftransV1_0017954</v>
      </c>
      <c r="B302" s="2">
        <v>2356</v>
      </c>
      <c r="C302" s="4" t="str">
        <f>HYPERLINK("http://www.uniprot.org/uniprot/M5W7H2","M5W7H2")</f>
        <v>M5W7H2</v>
      </c>
      <c r="D302" s="2" t="s">
        <v>295</v>
      </c>
      <c r="E302" s="3">
        <v>0</v>
      </c>
      <c r="F302" s="2">
        <v>2321</v>
      </c>
      <c r="G302" s="2">
        <v>100</v>
      </c>
      <c r="H302" s="2">
        <v>543</v>
      </c>
      <c r="I302" s="2">
        <v>332</v>
      </c>
      <c r="J302" s="2">
        <v>1960</v>
      </c>
      <c r="K302" s="2">
        <v>1</v>
      </c>
      <c r="L302" s="2">
        <v>543</v>
      </c>
    </row>
    <row r="303" spans="1:12" x14ac:dyDescent="0.25">
      <c r="A303" s="4" t="str">
        <f>HYPERLINK("http://www.rosaceae.org/Prunus/Prunus_persica/p.persica_gdr_reftransV1_0018654","p.persica_gdr_reftransV1_0018654")</f>
        <v>p.persica_gdr_reftransV1_0018654</v>
      </c>
      <c r="B303" s="2">
        <v>3082</v>
      </c>
      <c r="C303" s="4" t="str">
        <f>HYPERLINK("http://www.uniprot.org/uniprot/M5XP27","M5XP27")</f>
        <v>M5XP27</v>
      </c>
      <c r="D303" s="2" t="s">
        <v>296</v>
      </c>
      <c r="E303" s="3">
        <v>3.54E-150</v>
      </c>
      <c r="F303" s="2">
        <v>1191</v>
      </c>
      <c r="G303" s="2">
        <v>100</v>
      </c>
      <c r="H303" s="2">
        <v>244</v>
      </c>
      <c r="I303" s="2">
        <v>2096</v>
      </c>
      <c r="J303" s="2">
        <v>2827</v>
      </c>
      <c r="K303" s="2">
        <v>1</v>
      </c>
      <c r="L303" s="2">
        <v>244</v>
      </c>
    </row>
    <row r="304" spans="1:12" x14ac:dyDescent="0.25">
      <c r="A304" s="4" t="str">
        <f>HYPERLINK("http://www.rosaceae.org/Prunus/Prunus_persica/p.persica_gdr_reftransV1_0019004","p.persica_gdr_reftransV1_0019004")</f>
        <v>p.persica_gdr_reftransV1_0019004</v>
      </c>
      <c r="B304" s="2">
        <v>1365</v>
      </c>
      <c r="C304" s="4" t="str">
        <f>HYPERLINK("http://www.uniprot.org/uniprot/M5VPQ5","M5VPQ5")</f>
        <v>M5VPQ5</v>
      </c>
      <c r="D304" s="2" t="s">
        <v>297</v>
      </c>
      <c r="E304" s="3">
        <v>1.14E-84</v>
      </c>
      <c r="F304" s="2">
        <v>719</v>
      </c>
      <c r="G304" s="2">
        <v>46</v>
      </c>
      <c r="H304" s="2">
        <v>376</v>
      </c>
      <c r="I304" s="2">
        <v>154</v>
      </c>
      <c r="J304" s="2">
        <v>1152</v>
      </c>
      <c r="K304" s="2">
        <v>156</v>
      </c>
      <c r="L304" s="2">
        <v>526</v>
      </c>
    </row>
    <row r="305" spans="1:12" x14ac:dyDescent="0.25">
      <c r="A305" s="4" t="str">
        <f>HYPERLINK("http://www.rosaceae.org/Prunus/Prunus_persica/p.persica_gdr_reftransV1_0019354","p.persica_gdr_reftransV1_0019354")</f>
        <v>p.persica_gdr_reftransV1_0019354</v>
      </c>
      <c r="B305" s="2">
        <v>455</v>
      </c>
      <c r="C305" s="4" t="str">
        <f>HYPERLINK("http://www.uniprot.org/uniprot/J7G586","J7G586")</f>
        <v>J7G586</v>
      </c>
      <c r="D305" s="2" t="s">
        <v>298</v>
      </c>
      <c r="E305" s="3">
        <v>1.0399999999999999E-29</v>
      </c>
      <c r="F305" s="2">
        <v>310</v>
      </c>
      <c r="G305" s="2">
        <v>45</v>
      </c>
      <c r="H305" s="2">
        <v>150</v>
      </c>
      <c r="I305" s="2">
        <v>8</v>
      </c>
      <c r="J305" s="2">
        <v>454</v>
      </c>
      <c r="K305" s="2">
        <v>365</v>
      </c>
      <c r="L305" s="2">
        <v>512</v>
      </c>
    </row>
    <row r="306" spans="1:12" x14ac:dyDescent="0.25">
      <c r="A306" s="4" t="str">
        <f>HYPERLINK("http://www.rosaceae.org/Prunus/Prunus_persica/p.persica_gdr_reftransV1_0021104","p.persica_gdr_reftransV1_0021104")</f>
        <v>p.persica_gdr_reftransV1_0021104</v>
      </c>
      <c r="B306" s="2">
        <v>1053</v>
      </c>
      <c r="C306" s="4" t="str">
        <f>HYPERLINK("http://www.uniprot.org/uniprot/M5X5L1","M5X5L1")</f>
        <v>M5X5L1</v>
      </c>
      <c r="D306" s="2" t="s">
        <v>299</v>
      </c>
      <c r="E306" s="3">
        <v>0</v>
      </c>
      <c r="F306" s="2">
        <v>1394</v>
      </c>
      <c r="G306" s="2">
        <v>100</v>
      </c>
      <c r="H306" s="2">
        <v>259</v>
      </c>
      <c r="I306" s="2">
        <v>277</v>
      </c>
      <c r="J306" s="2">
        <v>1053</v>
      </c>
      <c r="K306" s="2">
        <v>70</v>
      </c>
      <c r="L306" s="2">
        <v>328</v>
      </c>
    </row>
    <row r="307" spans="1:12" x14ac:dyDescent="0.25">
      <c r="A307" s="4" t="str">
        <f>HYPERLINK("http://www.rosaceae.org/Prunus/Prunus_persica/p.persica_gdr_reftransV1_0021454","p.persica_gdr_reftransV1_0021454")</f>
        <v>p.persica_gdr_reftransV1_0021454</v>
      </c>
      <c r="B307" s="2">
        <v>2886</v>
      </c>
      <c r="C307" s="4" t="str">
        <f>HYPERLINK("http://www.uniprot.org/uniprot/M5WM36","M5WM36")</f>
        <v>M5WM36</v>
      </c>
      <c r="D307" s="2" t="s">
        <v>300</v>
      </c>
      <c r="E307" s="3">
        <v>0</v>
      </c>
      <c r="F307" s="2">
        <v>2055</v>
      </c>
      <c r="G307" s="2">
        <v>100</v>
      </c>
      <c r="H307" s="2">
        <v>455</v>
      </c>
      <c r="I307" s="2">
        <v>497</v>
      </c>
      <c r="J307" s="2">
        <v>1861</v>
      </c>
      <c r="K307" s="2">
        <v>1</v>
      </c>
      <c r="L307" s="2">
        <v>455</v>
      </c>
    </row>
    <row r="308" spans="1:12" x14ac:dyDescent="0.25">
      <c r="A308" s="4" t="str">
        <f>HYPERLINK("http://www.rosaceae.org/Prunus/Prunus_persica/p.persica_gdr_reftransV1_0023204","p.persica_gdr_reftransV1_0023204")</f>
        <v>p.persica_gdr_reftransV1_0023204</v>
      </c>
      <c r="B308" s="2">
        <v>1303</v>
      </c>
      <c r="C308" s="4" t="str">
        <f>HYPERLINK("http://www.uniprot.org/uniprot/M5WKK1","M5WKK1")</f>
        <v>M5WKK1</v>
      </c>
      <c r="D308" s="2" t="s">
        <v>301</v>
      </c>
      <c r="E308" s="3">
        <v>8.3299999999999996E-118</v>
      </c>
      <c r="F308" s="2">
        <v>920</v>
      </c>
      <c r="G308" s="2">
        <v>100</v>
      </c>
      <c r="H308" s="2">
        <v>212</v>
      </c>
      <c r="I308" s="2">
        <v>607</v>
      </c>
      <c r="J308" s="2">
        <v>1242</v>
      </c>
      <c r="K308" s="2">
        <v>1</v>
      </c>
      <c r="L308" s="2">
        <v>212</v>
      </c>
    </row>
    <row r="309" spans="1:12" x14ac:dyDescent="0.25">
      <c r="A309" s="4" t="str">
        <f>HYPERLINK("http://www.rosaceae.org/Prunus/Prunus_persica/p.persica_gdr_reftransV1_0024604","p.persica_gdr_reftransV1_0024604")</f>
        <v>p.persica_gdr_reftransV1_0024604</v>
      </c>
      <c r="B309" s="2">
        <v>2829</v>
      </c>
      <c r="C309" s="4" t="str">
        <f>HYPERLINK("http://www.uniprot.org/uniprot/M5XB36","M5XB36")</f>
        <v>M5XB36</v>
      </c>
      <c r="D309" s="2" t="s">
        <v>302</v>
      </c>
      <c r="E309" s="3">
        <v>7.8199999999999997E-172</v>
      </c>
      <c r="F309" s="2">
        <v>1343</v>
      </c>
      <c r="G309" s="2">
        <v>100</v>
      </c>
      <c r="H309" s="2">
        <v>252</v>
      </c>
      <c r="I309" s="2">
        <v>389</v>
      </c>
      <c r="J309" s="2">
        <v>1144</v>
      </c>
      <c r="K309" s="2">
        <v>248</v>
      </c>
      <c r="L309" s="2">
        <v>499</v>
      </c>
    </row>
    <row r="310" spans="1:12" x14ac:dyDescent="0.25">
      <c r="A310" s="4" t="str">
        <f>HYPERLINK("http://www.rosaceae.org/Prunus/Prunus_persica/p.persica_gdr_reftransV1_0024954","p.persica_gdr_reftransV1_0024954")</f>
        <v>p.persica_gdr_reftransV1_0024954</v>
      </c>
      <c r="B310" s="2">
        <v>1775</v>
      </c>
      <c r="C310" s="4" t="str">
        <f>HYPERLINK("http://www.uniprot.org/uniprot/M5VQK6","M5VQK6")</f>
        <v>M5VQK6</v>
      </c>
      <c r="D310" s="2" t="s">
        <v>303</v>
      </c>
      <c r="E310" s="3">
        <v>0</v>
      </c>
      <c r="F310" s="2">
        <v>1681</v>
      </c>
      <c r="G310" s="2">
        <v>100</v>
      </c>
      <c r="H310" s="2">
        <v>401</v>
      </c>
      <c r="I310" s="2">
        <v>344</v>
      </c>
      <c r="J310" s="2">
        <v>1546</v>
      </c>
      <c r="K310" s="2">
        <v>29</v>
      </c>
      <c r="L310" s="2">
        <v>429</v>
      </c>
    </row>
    <row r="311" spans="1:12" x14ac:dyDescent="0.25">
      <c r="A311" s="4" t="str">
        <f>HYPERLINK("http://www.rosaceae.org/Prunus/Prunus_persica/p.persica_gdr_reftransV1_0027054","p.persica_gdr_reftransV1_0027054")</f>
        <v>p.persica_gdr_reftransV1_0027054</v>
      </c>
      <c r="B311" s="2">
        <v>2663</v>
      </c>
      <c r="C311" s="4" t="str">
        <f>HYPERLINK("http://www.uniprot.org/uniprot/M5XCN6","M5XCN6")</f>
        <v>M5XCN6</v>
      </c>
      <c r="D311" s="2" t="s">
        <v>304</v>
      </c>
      <c r="E311" s="3">
        <v>0</v>
      </c>
      <c r="F311" s="2">
        <v>3117</v>
      </c>
      <c r="G311" s="2">
        <v>100</v>
      </c>
      <c r="H311" s="2">
        <v>606</v>
      </c>
      <c r="I311" s="2">
        <v>334</v>
      </c>
      <c r="J311" s="2">
        <v>2151</v>
      </c>
      <c r="K311" s="2">
        <v>1</v>
      </c>
      <c r="L311" s="2">
        <v>606</v>
      </c>
    </row>
    <row r="312" spans="1:12" x14ac:dyDescent="0.25">
      <c r="A312" s="4" t="str">
        <f>HYPERLINK("http://www.rosaceae.org/Prunus/Prunus_persica/p.persica_gdr_reftransV1_0028104","p.persica_gdr_reftransV1_0028104")</f>
        <v>p.persica_gdr_reftransV1_0028104</v>
      </c>
      <c r="B312" s="2">
        <v>3908</v>
      </c>
      <c r="C312" s="4" t="str">
        <f>HYPERLINK("http://www.uniprot.org/uniprot/M5Y854","M5Y854")</f>
        <v>M5Y854</v>
      </c>
      <c r="D312" s="2" t="s">
        <v>305</v>
      </c>
      <c r="E312" s="3">
        <v>0</v>
      </c>
      <c r="F312" s="2">
        <v>3227</v>
      </c>
      <c r="G312" s="2">
        <v>98</v>
      </c>
      <c r="H312" s="2">
        <v>662</v>
      </c>
      <c r="I312" s="2">
        <v>1206</v>
      </c>
      <c r="J312" s="2">
        <v>3143</v>
      </c>
      <c r="K312" s="2">
        <v>1</v>
      </c>
      <c r="L312" s="2">
        <v>662</v>
      </c>
    </row>
    <row r="313" spans="1:12" x14ac:dyDescent="0.25">
      <c r="A313" s="4" t="str">
        <f>HYPERLINK("http://www.rosaceae.org/Prunus/Prunus_persica/p.persica_gdr_reftransV1_0028454","p.persica_gdr_reftransV1_0028454")</f>
        <v>p.persica_gdr_reftransV1_0028454</v>
      </c>
      <c r="B313" s="2">
        <v>3642</v>
      </c>
      <c r="C313" s="4" t="str">
        <f>HYPERLINK("http://www.uniprot.org/uniprot/M5X3L3","M5X3L3")</f>
        <v>M5X3L3</v>
      </c>
      <c r="D313" s="2" t="s">
        <v>306</v>
      </c>
      <c r="E313" s="3">
        <v>0</v>
      </c>
      <c r="F313" s="2">
        <v>5246</v>
      </c>
      <c r="G313" s="2">
        <v>100</v>
      </c>
      <c r="H313" s="2">
        <v>1028</v>
      </c>
      <c r="I313" s="2">
        <v>237</v>
      </c>
      <c r="J313" s="2">
        <v>3320</v>
      </c>
      <c r="K313" s="2">
        <v>1</v>
      </c>
      <c r="L313" s="2">
        <v>1028</v>
      </c>
    </row>
    <row r="314" spans="1:12" x14ac:dyDescent="0.25">
      <c r="A314" s="4" t="str">
        <f>HYPERLINK("http://www.rosaceae.org/Prunus/Prunus_persica/p.persica_gdr_reftransV1_0029154","p.persica_gdr_reftransV1_0029154")</f>
        <v>p.persica_gdr_reftransV1_0029154</v>
      </c>
      <c r="B314" s="2">
        <v>2360</v>
      </c>
      <c r="C314" s="4" t="str">
        <f>HYPERLINK("http://www.uniprot.org/uniprot/M5VXP2","M5VXP2")</f>
        <v>M5VXP2</v>
      </c>
      <c r="D314" s="2" t="s">
        <v>307</v>
      </c>
      <c r="E314" s="3">
        <v>0</v>
      </c>
      <c r="F314" s="2">
        <v>1439</v>
      </c>
      <c r="G314" s="2">
        <v>100</v>
      </c>
      <c r="H314" s="2">
        <v>330</v>
      </c>
      <c r="I314" s="2">
        <v>1039</v>
      </c>
      <c r="J314" s="2">
        <v>2028</v>
      </c>
      <c r="K314" s="2">
        <v>226</v>
      </c>
      <c r="L314" s="2">
        <v>555</v>
      </c>
    </row>
    <row r="315" spans="1:12" x14ac:dyDescent="0.25">
      <c r="A315" s="4" t="str">
        <f>HYPERLINK("http://www.rosaceae.org/Prunus/Prunus_persica/p.persica_gdr_reftransV1_0031254","p.persica_gdr_reftransV1_0031254")</f>
        <v>p.persica_gdr_reftransV1_0031254</v>
      </c>
      <c r="B315" s="2">
        <v>1508</v>
      </c>
      <c r="C315" s="4" t="str">
        <f>HYPERLINK("http://www.uniprot.org/uniprot/M5WW68","M5WW68")</f>
        <v>M5WW68</v>
      </c>
      <c r="D315" s="2" t="s">
        <v>308</v>
      </c>
      <c r="E315" s="3">
        <v>1.1699999999999999E-25</v>
      </c>
      <c r="F315" s="2">
        <v>273</v>
      </c>
      <c r="G315" s="2">
        <v>100</v>
      </c>
      <c r="H315" s="2">
        <v>69</v>
      </c>
      <c r="I315" s="2">
        <v>122</v>
      </c>
      <c r="J315" s="2">
        <v>328</v>
      </c>
      <c r="K315" s="2">
        <v>1</v>
      </c>
      <c r="L315" s="2">
        <v>69</v>
      </c>
    </row>
    <row r="316" spans="1:12" x14ac:dyDescent="0.25">
      <c r="A316" s="4" t="str">
        <f>HYPERLINK("http://www.rosaceae.org/Prunus/Prunus_persica/p.persica_gdr_reftransV1_0033004","p.persica_gdr_reftransV1_0033004")</f>
        <v>p.persica_gdr_reftransV1_0033004</v>
      </c>
      <c r="B316" s="2">
        <v>1538</v>
      </c>
      <c r="C316" s="4" t="str">
        <f>HYPERLINK("http://www.uniprot.org/uniprot/M5W515","M5W515")</f>
        <v>M5W515</v>
      </c>
      <c r="D316" s="2" t="s">
        <v>309</v>
      </c>
      <c r="E316" s="3">
        <v>0</v>
      </c>
      <c r="F316" s="2">
        <v>1927</v>
      </c>
      <c r="G316" s="2">
        <v>100</v>
      </c>
      <c r="H316" s="2">
        <v>360</v>
      </c>
      <c r="I316" s="2">
        <v>243</v>
      </c>
      <c r="J316" s="2">
        <v>1322</v>
      </c>
      <c r="K316" s="2">
        <v>424</v>
      </c>
      <c r="L316" s="2">
        <v>783</v>
      </c>
    </row>
    <row r="317" spans="1:12" x14ac:dyDescent="0.25">
      <c r="A317" s="4" t="str">
        <f>HYPERLINK("http://www.rosaceae.org/Prunus/Prunus_persica/p.persica_gdr_reftransV1_0034054","p.persica_gdr_reftransV1_0034054")</f>
        <v>p.persica_gdr_reftransV1_0034054</v>
      </c>
      <c r="B317" s="2">
        <v>518</v>
      </c>
      <c r="C317" s="4" t="str">
        <f>HYPERLINK("http://www.uniprot.org/uniprot/M5WH93","M5WH93")</f>
        <v>M5WH93</v>
      </c>
      <c r="D317" s="2" t="s">
        <v>310</v>
      </c>
      <c r="E317" s="3">
        <v>3.9199999999999998E-32</v>
      </c>
      <c r="F317" s="2">
        <v>333</v>
      </c>
      <c r="G317" s="2">
        <v>100</v>
      </c>
      <c r="H317" s="2">
        <v>78</v>
      </c>
      <c r="I317" s="2">
        <v>284</v>
      </c>
      <c r="J317" s="2">
        <v>517</v>
      </c>
      <c r="K317" s="2">
        <v>710</v>
      </c>
      <c r="L317" s="2">
        <v>787</v>
      </c>
    </row>
    <row r="318" spans="1:12" x14ac:dyDescent="0.25">
      <c r="A318" s="4" t="str">
        <f>HYPERLINK("http://www.rosaceae.org/Prunus/Prunus_persica/p.persica_gdr_reftransV1_0036154","p.persica_gdr_reftransV1_0036154")</f>
        <v>p.persica_gdr_reftransV1_0036154</v>
      </c>
      <c r="B318" s="2">
        <v>2567</v>
      </c>
      <c r="C318" s="4" t="str">
        <f>HYPERLINK("http://www.uniprot.org/uniprot/M5WHP8","M5WHP8")</f>
        <v>M5WHP8</v>
      </c>
      <c r="D318" s="2" t="s">
        <v>311</v>
      </c>
      <c r="E318" s="3">
        <v>0</v>
      </c>
      <c r="F318" s="2">
        <v>1752</v>
      </c>
      <c r="G318" s="2">
        <v>100</v>
      </c>
      <c r="H318" s="2">
        <v>340</v>
      </c>
      <c r="I318" s="2">
        <v>1175</v>
      </c>
      <c r="J318" s="2">
        <v>2194</v>
      </c>
      <c r="K318" s="2">
        <v>27</v>
      </c>
      <c r="L318" s="2">
        <v>366</v>
      </c>
    </row>
    <row r="319" spans="1:12" x14ac:dyDescent="0.25">
      <c r="A319" s="4" t="str">
        <f>HYPERLINK("http://www.rosaceae.org/Prunus/Prunus_persica/p.persica_gdr_reftransV1_0037204","p.persica_gdr_reftransV1_0037204")</f>
        <v>p.persica_gdr_reftransV1_0037204</v>
      </c>
      <c r="B319" s="2">
        <v>3771</v>
      </c>
      <c r="C319" s="4" t="str">
        <f>HYPERLINK("http://www.uniprot.org/uniprot/M5VV72","M5VV72")</f>
        <v>M5VV72</v>
      </c>
      <c r="D319" s="2" t="s">
        <v>312</v>
      </c>
      <c r="E319" s="3">
        <v>1.6199999999999999E-127</v>
      </c>
      <c r="F319" s="2">
        <v>1074</v>
      </c>
      <c r="G319" s="2">
        <v>100</v>
      </c>
      <c r="H319" s="2">
        <v>195</v>
      </c>
      <c r="I319" s="2">
        <v>2951</v>
      </c>
      <c r="J319" s="2">
        <v>3535</v>
      </c>
      <c r="K319" s="2">
        <v>428</v>
      </c>
      <c r="L319" s="2">
        <v>622</v>
      </c>
    </row>
    <row r="320" spans="1:12" x14ac:dyDescent="0.25">
      <c r="A320" s="4" t="str">
        <f>HYPERLINK("http://www.rosaceae.org/Prunus/Prunus_persica/p.persica_gdr_reftransV1_0038954","p.persica_gdr_reftransV1_0038954")</f>
        <v>p.persica_gdr_reftransV1_0038954</v>
      </c>
      <c r="B320" s="2">
        <v>3274</v>
      </c>
      <c r="C320" s="4" t="str">
        <f>HYPERLINK("http://www.uniprot.org/uniprot/M5X808","M5X808")</f>
        <v>M5X808</v>
      </c>
      <c r="D320" s="2" t="s">
        <v>313</v>
      </c>
      <c r="E320" s="3">
        <v>2.5399999999999999E-141</v>
      </c>
      <c r="F320" s="2">
        <v>1123</v>
      </c>
      <c r="G320" s="2">
        <v>98</v>
      </c>
      <c r="H320" s="2">
        <v>212</v>
      </c>
      <c r="I320" s="2">
        <v>628</v>
      </c>
      <c r="J320" s="2">
        <v>1263</v>
      </c>
      <c r="K320" s="2">
        <v>38</v>
      </c>
      <c r="L320" s="2">
        <v>249</v>
      </c>
    </row>
    <row r="321" spans="1:12" x14ac:dyDescent="0.25">
      <c r="A321" s="4" t="str">
        <f>HYPERLINK("http://www.rosaceae.org/Prunus/Prunus_persica/p.persica_gdr_reftransV1_0039304","p.persica_gdr_reftransV1_0039304")</f>
        <v>p.persica_gdr_reftransV1_0039304</v>
      </c>
      <c r="B321" s="2">
        <v>1502</v>
      </c>
      <c r="C321" s="4" t="str">
        <f>HYPERLINK("http://www.uniprot.org/uniprot/M5VXQ0","M5VXQ0")</f>
        <v>M5VXQ0</v>
      </c>
      <c r="D321" s="2" t="s">
        <v>314</v>
      </c>
      <c r="E321" s="3">
        <v>1.8E-99</v>
      </c>
      <c r="F321" s="2">
        <v>550</v>
      </c>
      <c r="G321" s="2">
        <v>99</v>
      </c>
      <c r="H321" s="2">
        <v>118</v>
      </c>
      <c r="I321" s="2">
        <v>844</v>
      </c>
      <c r="J321" s="2">
        <v>1197</v>
      </c>
      <c r="K321" s="2">
        <v>83</v>
      </c>
      <c r="L321" s="2">
        <v>200</v>
      </c>
    </row>
    <row r="322" spans="1:12" x14ac:dyDescent="0.25">
      <c r="A322" s="4" t="str">
        <f>HYPERLINK("http://www.rosaceae.org/Prunus/Prunus_persica/p.persica_gdr_reftransV1_0043154","p.persica_gdr_reftransV1_0043154")</f>
        <v>p.persica_gdr_reftransV1_0043154</v>
      </c>
      <c r="B322" s="2">
        <v>410</v>
      </c>
      <c r="C322" s="4" t="str">
        <f>HYPERLINK("http://www.uniprot.org/uniprot/W9QU68","W9QU68")</f>
        <v>W9QU68</v>
      </c>
      <c r="D322" s="2" t="s">
        <v>315</v>
      </c>
      <c r="E322" s="3">
        <v>5.2900000000000003E-82</v>
      </c>
      <c r="F322" s="2">
        <v>692</v>
      </c>
      <c r="G322" s="2">
        <v>92</v>
      </c>
      <c r="H322" s="2">
        <v>136</v>
      </c>
      <c r="I322" s="2">
        <v>1</v>
      </c>
      <c r="J322" s="2">
        <v>408</v>
      </c>
      <c r="K322" s="2">
        <v>244</v>
      </c>
      <c r="L322" s="2">
        <v>379</v>
      </c>
    </row>
    <row r="323" spans="1:12" x14ac:dyDescent="0.25">
      <c r="A323" s="4" t="str">
        <f>HYPERLINK("http://www.rosaceae.org/Prunus/Prunus_persica/p.persica_gdr_reftransV1_0043504","p.persica_gdr_reftransV1_0043504")</f>
        <v>p.persica_gdr_reftransV1_0043504</v>
      </c>
      <c r="B323" s="2">
        <v>1083</v>
      </c>
      <c r="C323" s="4" t="str">
        <f>HYPERLINK("http://www.uniprot.org/uniprot/M5W4F4","M5W4F4")</f>
        <v>M5W4F4</v>
      </c>
      <c r="D323" s="2" t="s">
        <v>316</v>
      </c>
      <c r="E323" s="3">
        <v>8.1599999999999994E-147</v>
      </c>
      <c r="F323" s="2">
        <v>1094</v>
      </c>
      <c r="G323" s="2">
        <v>85</v>
      </c>
      <c r="H323" s="2">
        <v>254</v>
      </c>
      <c r="I323" s="2">
        <v>286</v>
      </c>
      <c r="J323" s="2">
        <v>1047</v>
      </c>
      <c r="K323" s="2">
        <v>1</v>
      </c>
      <c r="L323" s="2">
        <v>215</v>
      </c>
    </row>
    <row r="324" spans="1:12" x14ac:dyDescent="0.25">
      <c r="A324" s="4" t="str">
        <f>HYPERLINK("http://www.rosaceae.org/Prunus/Prunus_persica/p.persica_gdr_reftransV1_0043854","p.persica_gdr_reftransV1_0043854")</f>
        <v>p.persica_gdr_reftransV1_0043854</v>
      </c>
      <c r="B324" s="2">
        <v>2702</v>
      </c>
      <c r="C324" s="4" t="str">
        <f>HYPERLINK("http://www.uniprot.org/uniprot/M5WBT4","M5WBT4")</f>
        <v>M5WBT4</v>
      </c>
      <c r="D324" s="2" t="s">
        <v>317</v>
      </c>
      <c r="E324" s="3">
        <v>0</v>
      </c>
      <c r="F324" s="2">
        <v>2541</v>
      </c>
      <c r="G324" s="2">
        <v>100</v>
      </c>
      <c r="H324" s="2">
        <v>470</v>
      </c>
      <c r="I324" s="2">
        <v>1019</v>
      </c>
      <c r="J324" s="2">
        <v>2428</v>
      </c>
      <c r="K324" s="2">
        <v>1</v>
      </c>
      <c r="L324" s="2">
        <v>470</v>
      </c>
    </row>
    <row r="325" spans="1:12" x14ac:dyDescent="0.25">
      <c r="A325" s="4" t="str">
        <f>HYPERLINK("http://www.rosaceae.org/Prunus/Prunus_persica/p.persica_gdr_reftransV1_0044904","p.persica_gdr_reftransV1_0044904")</f>
        <v>p.persica_gdr_reftransV1_0044904</v>
      </c>
      <c r="B325" s="2">
        <v>2114</v>
      </c>
      <c r="C325" s="4" t="str">
        <f>HYPERLINK("http://www.uniprot.org/uniprot/M5WWN0","M5WWN0")</f>
        <v>M5WWN0</v>
      </c>
      <c r="D325" s="2" t="s">
        <v>318</v>
      </c>
      <c r="E325" s="3">
        <v>0</v>
      </c>
      <c r="F325" s="2">
        <v>3152</v>
      </c>
      <c r="G325" s="2">
        <v>100</v>
      </c>
      <c r="H325" s="2">
        <v>607</v>
      </c>
      <c r="I325" s="2">
        <v>35</v>
      </c>
      <c r="J325" s="2">
        <v>1855</v>
      </c>
      <c r="K325" s="2">
        <v>105</v>
      </c>
      <c r="L325" s="2">
        <v>711</v>
      </c>
    </row>
    <row r="326" spans="1:12" x14ac:dyDescent="0.25">
      <c r="A326" s="4" t="str">
        <f>HYPERLINK("http://www.rosaceae.org/Prunus/Prunus_persica/p.persica_gdr_reftransV1_0045254","p.persica_gdr_reftransV1_0045254")</f>
        <v>p.persica_gdr_reftransV1_0045254</v>
      </c>
      <c r="B326" s="2">
        <v>416</v>
      </c>
      <c r="C326" s="4" t="str">
        <f>HYPERLINK("http://www.uniprot.org/uniprot/M5WWX2","M5WWX2")</f>
        <v>M5WWX2</v>
      </c>
      <c r="D326" s="2" t="s">
        <v>319</v>
      </c>
      <c r="E326" s="3">
        <v>7.5399999999999999E-56</v>
      </c>
      <c r="F326" s="2">
        <v>495</v>
      </c>
      <c r="G326" s="2">
        <v>74</v>
      </c>
      <c r="H326" s="2">
        <v>138</v>
      </c>
      <c r="I326" s="2">
        <v>3</v>
      </c>
      <c r="J326" s="2">
        <v>416</v>
      </c>
      <c r="K326" s="2">
        <v>246</v>
      </c>
      <c r="L326" s="2">
        <v>355</v>
      </c>
    </row>
    <row r="327" spans="1:12" x14ac:dyDescent="0.25">
      <c r="A327" s="4" t="str">
        <f>HYPERLINK("http://www.rosaceae.org/Prunus/Prunus_persica/p.persica_gdr_reftransV1_0045604","p.persica_gdr_reftransV1_0045604")</f>
        <v>p.persica_gdr_reftransV1_0045604</v>
      </c>
      <c r="B327" s="2">
        <v>1127</v>
      </c>
      <c r="C327" s="4" t="str">
        <f>HYPERLINK("http://www.uniprot.org/uniprot/M5XZB6","M5XZB6")</f>
        <v>M5XZB6</v>
      </c>
      <c r="D327" s="2" t="s">
        <v>320</v>
      </c>
      <c r="E327" s="3">
        <v>7.7700000000000003E-65</v>
      </c>
      <c r="F327" s="2">
        <v>551</v>
      </c>
      <c r="G327" s="2">
        <v>100</v>
      </c>
      <c r="H327" s="2">
        <v>103</v>
      </c>
      <c r="I327" s="2">
        <v>720</v>
      </c>
      <c r="J327" s="2">
        <v>1028</v>
      </c>
      <c r="K327" s="2">
        <v>1</v>
      </c>
      <c r="L327" s="2">
        <v>103</v>
      </c>
    </row>
    <row r="328" spans="1:12" x14ac:dyDescent="0.25">
      <c r="A328" s="4" t="str">
        <f>HYPERLINK("http://www.rosaceae.org/Prunus/Prunus_persica/p.persica_gdr_reftransV1_0045954","p.persica_gdr_reftransV1_0045954")</f>
        <v>p.persica_gdr_reftransV1_0045954</v>
      </c>
      <c r="B328" s="2">
        <v>1046</v>
      </c>
      <c r="C328" s="4" t="str">
        <f>HYPERLINK("http://www.uniprot.org/uniprot/M5W9Y7","M5W9Y7")</f>
        <v>M5W9Y7</v>
      </c>
      <c r="D328" s="2" t="s">
        <v>321</v>
      </c>
      <c r="E328" s="3">
        <v>2.9900000000000001E-150</v>
      </c>
      <c r="F328" s="2">
        <v>1126</v>
      </c>
      <c r="G328" s="2">
        <v>100</v>
      </c>
      <c r="H328" s="2">
        <v>275</v>
      </c>
      <c r="I328" s="2">
        <v>20</v>
      </c>
      <c r="J328" s="2">
        <v>844</v>
      </c>
      <c r="K328" s="2">
        <v>1</v>
      </c>
      <c r="L328" s="2">
        <v>275</v>
      </c>
    </row>
    <row r="329" spans="1:12" x14ac:dyDescent="0.25">
      <c r="A329" s="4" t="str">
        <f>HYPERLINK("http://www.rosaceae.org/Prunus/Prunus_persica/p.persica_gdr_reftransV1_0046654","p.persica_gdr_reftransV1_0046654")</f>
        <v>p.persica_gdr_reftransV1_0046654</v>
      </c>
      <c r="B329" s="2">
        <v>318</v>
      </c>
      <c r="C329" s="4" t="str">
        <f>HYPERLINK("http://www.uniprot.org/uniprot/M5XIQ2","M5XIQ2")</f>
        <v>M5XIQ2</v>
      </c>
      <c r="D329" s="2" t="s">
        <v>322</v>
      </c>
      <c r="E329" s="3">
        <v>1.03E-47</v>
      </c>
      <c r="F329" s="2">
        <v>429</v>
      </c>
      <c r="G329" s="2">
        <v>89</v>
      </c>
      <c r="H329" s="2">
        <v>105</v>
      </c>
      <c r="I329" s="2">
        <v>2</v>
      </c>
      <c r="J329" s="2">
        <v>316</v>
      </c>
      <c r="K329" s="2">
        <v>319</v>
      </c>
      <c r="L329" s="2">
        <v>421</v>
      </c>
    </row>
    <row r="330" spans="1:12" x14ac:dyDescent="0.25">
      <c r="A330" s="4" t="str">
        <f>HYPERLINK("http://www.rosaceae.org/Prunus/Prunus_persica/p.persica_gdr_reftransV1_0047704","p.persica_gdr_reftransV1_0047704")</f>
        <v>p.persica_gdr_reftransV1_0047704</v>
      </c>
      <c r="B330" s="2">
        <v>1473</v>
      </c>
      <c r="C330" s="4" t="str">
        <f>HYPERLINK("http://www.uniprot.org/uniprot/M5XP49","M5XP49")</f>
        <v>M5XP49</v>
      </c>
      <c r="D330" s="2" t="s">
        <v>323</v>
      </c>
      <c r="E330" s="3">
        <v>0</v>
      </c>
      <c r="F330" s="2">
        <v>1857</v>
      </c>
      <c r="G330" s="2">
        <v>100</v>
      </c>
      <c r="H330" s="2">
        <v>361</v>
      </c>
      <c r="I330" s="2">
        <v>66</v>
      </c>
      <c r="J330" s="2">
        <v>1148</v>
      </c>
      <c r="K330" s="2">
        <v>1</v>
      </c>
      <c r="L330" s="2">
        <v>361</v>
      </c>
    </row>
    <row r="331" spans="1:12" x14ac:dyDescent="0.25">
      <c r="A331" s="4" t="str">
        <f>HYPERLINK("http://www.rosaceae.org/Prunus/Prunus_persica/p.persica_gdr_reftransV1_0048054","p.persica_gdr_reftransV1_0048054")</f>
        <v>p.persica_gdr_reftransV1_0048054</v>
      </c>
      <c r="B331" s="2">
        <v>1956</v>
      </c>
      <c r="C331" s="4" t="str">
        <f>HYPERLINK("http://www.uniprot.org/uniprot/M5XCE2","M5XCE2")</f>
        <v>M5XCE2</v>
      </c>
      <c r="D331" s="2" t="s">
        <v>324</v>
      </c>
      <c r="E331" s="3">
        <v>0</v>
      </c>
      <c r="F331" s="2">
        <v>2328</v>
      </c>
      <c r="G331" s="2">
        <v>100</v>
      </c>
      <c r="H331" s="2">
        <v>460</v>
      </c>
      <c r="I331" s="2">
        <v>111</v>
      </c>
      <c r="J331" s="2">
        <v>1490</v>
      </c>
      <c r="K331" s="2">
        <v>1</v>
      </c>
      <c r="L331" s="2">
        <v>460</v>
      </c>
    </row>
    <row r="332" spans="1:12" x14ac:dyDescent="0.25">
      <c r="A332" s="4" t="str">
        <f>HYPERLINK("http://www.rosaceae.org/Prunus/Prunus_persica/p.persica_gdr_reftransV1_0048404","p.persica_gdr_reftransV1_0048404")</f>
        <v>p.persica_gdr_reftransV1_0048404</v>
      </c>
      <c r="B332" s="2">
        <v>2707</v>
      </c>
      <c r="C332" s="4" t="str">
        <f>HYPERLINK("http://www.uniprot.org/uniprot/M5XRJ7","M5XRJ7")</f>
        <v>M5XRJ7</v>
      </c>
      <c r="D332" s="2" t="s">
        <v>325</v>
      </c>
      <c r="E332" s="3">
        <v>0</v>
      </c>
      <c r="F332" s="2">
        <v>2982</v>
      </c>
      <c r="G332" s="2">
        <v>100</v>
      </c>
      <c r="H332" s="2">
        <v>616</v>
      </c>
      <c r="I332" s="2">
        <v>719</v>
      </c>
      <c r="J332" s="2">
        <v>2566</v>
      </c>
      <c r="K332" s="2">
        <v>1</v>
      </c>
      <c r="L332" s="2">
        <v>616</v>
      </c>
    </row>
    <row r="333" spans="1:12" x14ac:dyDescent="0.25">
      <c r="A333" s="4" t="str">
        <f>HYPERLINK("http://www.rosaceae.org/Prunus/Prunus_persica/p.persica_gdr_reftransV1_0048754","p.persica_gdr_reftransV1_0048754")</f>
        <v>p.persica_gdr_reftransV1_0048754</v>
      </c>
      <c r="B333" s="2">
        <v>370</v>
      </c>
      <c r="C333" s="4" t="str">
        <f>HYPERLINK("http://www.uniprot.org/uniprot/M5X9P9","M5X9P9")</f>
        <v>M5X9P9</v>
      </c>
      <c r="D333" s="2" t="s">
        <v>326</v>
      </c>
      <c r="E333" s="3">
        <v>1.69E-81</v>
      </c>
      <c r="F333" s="2">
        <v>663</v>
      </c>
      <c r="G333" s="2">
        <v>100</v>
      </c>
      <c r="H333" s="2">
        <v>123</v>
      </c>
      <c r="I333" s="2">
        <v>2</v>
      </c>
      <c r="J333" s="2">
        <v>370</v>
      </c>
      <c r="K333" s="2">
        <v>75</v>
      </c>
      <c r="L333" s="2">
        <v>197</v>
      </c>
    </row>
    <row r="334" spans="1:12" x14ac:dyDescent="0.25">
      <c r="A334" s="4" t="str">
        <f>HYPERLINK("http://www.rosaceae.org/Prunus/Prunus_persica/p.persica_gdr_reftransV1_0000455","p.persica_gdr_reftransV1_0000455")</f>
        <v>p.persica_gdr_reftransV1_0000455</v>
      </c>
      <c r="B334" s="2">
        <v>1264</v>
      </c>
      <c r="C334" s="4" t="str">
        <f>HYPERLINK("http://www.uniprot.org/uniprot/M5XE64","M5XE64")</f>
        <v>M5XE64</v>
      </c>
      <c r="D334" s="2" t="s">
        <v>327</v>
      </c>
      <c r="E334" s="3">
        <v>0</v>
      </c>
      <c r="F334" s="2">
        <v>1389</v>
      </c>
      <c r="G334" s="2">
        <v>100</v>
      </c>
      <c r="H334" s="2">
        <v>263</v>
      </c>
      <c r="I334" s="2">
        <v>457</v>
      </c>
      <c r="J334" s="2">
        <v>1245</v>
      </c>
      <c r="K334" s="2">
        <v>35</v>
      </c>
      <c r="L334" s="2">
        <v>297</v>
      </c>
    </row>
    <row r="335" spans="1:12" x14ac:dyDescent="0.25">
      <c r="A335" s="4" t="str">
        <f>HYPERLINK("http://www.rosaceae.org/Prunus/Prunus_persica/p.persica_gdr_reftransV1_0002205","p.persica_gdr_reftransV1_0002205")</f>
        <v>p.persica_gdr_reftransV1_0002205</v>
      </c>
      <c r="B335" s="2">
        <v>1554</v>
      </c>
      <c r="C335" s="4" t="str">
        <f>HYPERLINK("http://www.uniprot.org/uniprot/M5X323","M5X323")</f>
        <v>M5X323</v>
      </c>
      <c r="D335" s="2" t="s">
        <v>328</v>
      </c>
      <c r="E335" s="3">
        <v>5.9299999999999999E-139</v>
      </c>
      <c r="F335" s="2">
        <v>1068</v>
      </c>
      <c r="G335" s="2">
        <v>100</v>
      </c>
      <c r="H335" s="2">
        <v>231</v>
      </c>
      <c r="I335" s="2">
        <v>216</v>
      </c>
      <c r="J335" s="2">
        <v>908</v>
      </c>
      <c r="K335" s="2">
        <v>1</v>
      </c>
      <c r="L335" s="2">
        <v>231</v>
      </c>
    </row>
    <row r="336" spans="1:12" x14ac:dyDescent="0.25">
      <c r="A336" s="4" t="str">
        <f>HYPERLINK("http://www.rosaceae.org/Prunus/Prunus_persica/p.persica_gdr_reftransV1_0002555","p.persica_gdr_reftransV1_0002555")</f>
        <v>p.persica_gdr_reftransV1_0002555</v>
      </c>
      <c r="B336" s="2">
        <v>2077</v>
      </c>
      <c r="C336" s="4" t="str">
        <f>HYPERLINK("http://www.uniprot.org/uniprot/M5WN28","M5WN28")</f>
        <v>M5WN28</v>
      </c>
      <c r="D336" s="2" t="s">
        <v>329</v>
      </c>
      <c r="E336" s="3">
        <v>0</v>
      </c>
      <c r="F336" s="2">
        <v>2804</v>
      </c>
      <c r="G336" s="2">
        <v>100</v>
      </c>
      <c r="H336" s="2">
        <v>532</v>
      </c>
      <c r="I336" s="2">
        <v>148</v>
      </c>
      <c r="J336" s="2">
        <v>1743</v>
      </c>
      <c r="K336" s="2">
        <v>1</v>
      </c>
      <c r="L336" s="2">
        <v>532</v>
      </c>
    </row>
    <row r="337" spans="1:12" x14ac:dyDescent="0.25">
      <c r="A337" s="4" t="str">
        <f>HYPERLINK("http://www.rosaceae.org/Prunus/Prunus_persica/p.persica_gdr_reftransV1_0002905","p.persica_gdr_reftransV1_0002905")</f>
        <v>p.persica_gdr_reftransV1_0002905</v>
      </c>
      <c r="B337" s="2">
        <v>3305</v>
      </c>
      <c r="C337" s="4" t="str">
        <f>HYPERLINK("http://www.uniprot.org/uniprot/M5VK71","M5VK71")</f>
        <v>M5VK71</v>
      </c>
      <c r="D337" s="2" t="s">
        <v>330</v>
      </c>
      <c r="E337" s="3">
        <v>0</v>
      </c>
      <c r="F337" s="2">
        <v>4553</v>
      </c>
      <c r="G337" s="2">
        <v>99</v>
      </c>
      <c r="H337" s="2">
        <v>947</v>
      </c>
      <c r="I337" s="2">
        <v>65</v>
      </c>
      <c r="J337" s="2">
        <v>2905</v>
      </c>
      <c r="K337" s="2">
        <v>1</v>
      </c>
      <c r="L337" s="2">
        <v>933</v>
      </c>
    </row>
    <row r="338" spans="1:12" x14ac:dyDescent="0.25">
      <c r="A338" s="4" t="str">
        <f>HYPERLINK("http://www.rosaceae.org/Prunus/Prunus_persica/p.persica_gdr_reftransV1_0003255","p.persica_gdr_reftransV1_0003255")</f>
        <v>p.persica_gdr_reftransV1_0003255</v>
      </c>
      <c r="B338" s="2">
        <v>1384</v>
      </c>
      <c r="C338" s="4" t="str">
        <f>HYPERLINK("http://www.uniprot.org/uniprot/M5WZT1","M5WZT1")</f>
        <v>M5WZT1</v>
      </c>
      <c r="D338" s="2" t="s">
        <v>331</v>
      </c>
      <c r="E338" s="3">
        <v>0</v>
      </c>
      <c r="F338" s="2">
        <v>1768</v>
      </c>
      <c r="G338" s="2">
        <v>75</v>
      </c>
      <c r="H338" s="2">
        <v>459</v>
      </c>
      <c r="I338" s="2">
        <v>31</v>
      </c>
      <c r="J338" s="2">
        <v>1383</v>
      </c>
      <c r="K338" s="2">
        <v>285</v>
      </c>
      <c r="L338" s="2">
        <v>712</v>
      </c>
    </row>
    <row r="339" spans="1:12" x14ac:dyDescent="0.25">
      <c r="A339" s="4" t="str">
        <f>HYPERLINK("http://www.rosaceae.org/Prunus/Prunus_persica/p.persica_gdr_reftransV1_0003955","p.persica_gdr_reftransV1_0003955")</f>
        <v>p.persica_gdr_reftransV1_0003955</v>
      </c>
      <c r="B339" s="2">
        <v>6496</v>
      </c>
      <c r="C339" s="4" t="str">
        <f>HYPERLINK("http://www.uniprot.org/uniprot/M5XQ75","M5XQ75")</f>
        <v>M5XQ75</v>
      </c>
      <c r="D339" s="2" t="s">
        <v>332</v>
      </c>
      <c r="E339" s="3">
        <v>0</v>
      </c>
      <c r="F339" s="2">
        <v>8967</v>
      </c>
      <c r="G339" s="2">
        <v>100</v>
      </c>
      <c r="H339" s="2">
        <v>1854</v>
      </c>
      <c r="I339" s="2">
        <v>444</v>
      </c>
      <c r="J339" s="2">
        <v>6005</v>
      </c>
      <c r="K339" s="2">
        <v>1</v>
      </c>
      <c r="L339" s="2">
        <v>1854</v>
      </c>
    </row>
    <row r="340" spans="1:12" x14ac:dyDescent="0.25">
      <c r="A340" s="4" t="str">
        <f>HYPERLINK("http://www.rosaceae.org/Prunus/Prunus_persica/p.persica_gdr_reftransV1_0004655","p.persica_gdr_reftransV1_0004655")</f>
        <v>p.persica_gdr_reftransV1_0004655</v>
      </c>
      <c r="B340" s="2">
        <v>485</v>
      </c>
      <c r="C340" s="4" t="str">
        <f>HYPERLINK("http://www.uniprot.org/uniprot/M5XNW8","M5XNW8")</f>
        <v>M5XNW8</v>
      </c>
      <c r="D340" s="2" t="s">
        <v>333</v>
      </c>
      <c r="E340" s="3">
        <v>3.2199999999999998E-81</v>
      </c>
      <c r="F340" s="2">
        <v>643</v>
      </c>
      <c r="G340" s="2">
        <v>99</v>
      </c>
      <c r="H340" s="2">
        <v>141</v>
      </c>
      <c r="I340" s="2">
        <v>3</v>
      </c>
      <c r="J340" s="2">
        <v>425</v>
      </c>
      <c r="K340" s="2">
        <v>110</v>
      </c>
      <c r="L340" s="2">
        <v>250</v>
      </c>
    </row>
    <row r="341" spans="1:12" x14ac:dyDescent="0.25">
      <c r="A341" s="4" t="str">
        <f>HYPERLINK("http://www.rosaceae.org/Prunus/Prunus_persica/p.persica_gdr_reftransV1_0005705","p.persica_gdr_reftransV1_0005705")</f>
        <v>p.persica_gdr_reftransV1_0005705</v>
      </c>
      <c r="B341" s="2">
        <v>635</v>
      </c>
      <c r="C341" s="4" t="str">
        <f>HYPERLINK("http://www.uniprot.org/uniprot/M5Y0C2","M5Y0C2")</f>
        <v>M5Y0C2</v>
      </c>
      <c r="D341" s="2" t="s">
        <v>334</v>
      </c>
      <c r="E341" s="3">
        <v>1.29E-48</v>
      </c>
      <c r="F341" s="2">
        <v>429</v>
      </c>
      <c r="G341" s="2">
        <v>100</v>
      </c>
      <c r="H341" s="2">
        <v>84</v>
      </c>
      <c r="I341" s="2">
        <v>382</v>
      </c>
      <c r="J341" s="2">
        <v>633</v>
      </c>
      <c r="K341" s="2">
        <v>95</v>
      </c>
      <c r="L341" s="2">
        <v>178</v>
      </c>
    </row>
    <row r="342" spans="1:12" x14ac:dyDescent="0.25">
      <c r="A342" s="4" t="str">
        <f>HYPERLINK("http://www.rosaceae.org/Prunus/Prunus_persica/p.persica_gdr_reftransV1_0008155","p.persica_gdr_reftransV1_0008155")</f>
        <v>p.persica_gdr_reftransV1_0008155</v>
      </c>
      <c r="B342" s="2">
        <v>1491</v>
      </c>
      <c r="C342" s="4" t="str">
        <f>HYPERLINK("http://www.uniprot.org/uniprot/M5WRK8","M5WRK8")</f>
        <v>M5WRK8</v>
      </c>
      <c r="D342" s="2" t="s">
        <v>335</v>
      </c>
      <c r="E342" s="3">
        <v>0</v>
      </c>
      <c r="F342" s="2">
        <v>2374</v>
      </c>
      <c r="G342" s="2">
        <v>99</v>
      </c>
      <c r="H342" s="2">
        <v>496</v>
      </c>
      <c r="I342" s="2">
        <v>3</v>
      </c>
      <c r="J342" s="2">
        <v>1490</v>
      </c>
      <c r="K342" s="2">
        <v>51</v>
      </c>
      <c r="L342" s="2">
        <v>546</v>
      </c>
    </row>
    <row r="343" spans="1:12" x14ac:dyDescent="0.25">
      <c r="A343" s="4" t="str">
        <f>HYPERLINK("http://www.rosaceae.org/Prunus/Prunus_persica/p.persica_gdr_reftransV1_0008505","p.persica_gdr_reftransV1_0008505")</f>
        <v>p.persica_gdr_reftransV1_0008505</v>
      </c>
      <c r="B343" s="2">
        <v>4375</v>
      </c>
      <c r="C343" s="4" t="str">
        <f>HYPERLINK("http://www.uniprot.org/uniprot/M5XQV4","M5XQV4")</f>
        <v>M5XQV4</v>
      </c>
      <c r="D343" s="2" t="s">
        <v>336</v>
      </c>
      <c r="E343" s="3">
        <v>0</v>
      </c>
      <c r="F343" s="2">
        <v>3413</v>
      </c>
      <c r="G343" s="2">
        <v>100</v>
      </c>
      <c r="H343" s="2">
        <v>669</v>
      </c>
      <c r="I343" s="2">
        <v>2165</v>
      </c>
      <c r="J343" s="2">
        <v>4171</v>
      </c>
      <c r="K343" s="2">
        <v>1</v>
      </c>
      <c r="L343" s="2">
        <v>669</v>
      </c>
    </row>
    <row r="344" spans="1:12" x14ac:dyDescent="0.25">
      <c r="A344" s="4" t="str">
        <f>HYPERLINK("http://www.rosaceae.org/Prunus/Prunus_persica/p.persica_gdr_reftransV1_0008855","p.persica_gdr_reftransV1_0008855")</f>
        <v>p.persica_gdr_reftransV1_0008855</v>
      </c>
      <c r="B344" s="2">
        <v>1821</v>
      </c>
      <c r="C344" s="4" t="str">
        <f>HYPERLINK("http://www.uniprot.org/uniprot/M5WK18","M5WK18")</f>
        <v>M5WK18</v>
      </c>
      <c r="D344" s="2" t="s">
        <v>337</v>
      </c>
      <c r="E344" s="3">
        <v>0</v>
      </c>
      <c r="F344" s="2">
        <v>1902</v>
      </c>
      <c r="G344" s="2">
        <v>100</v>
      </c>
      <c r="H344" s="2">
        <v>392</v>
      </c>
      <c r="I344" s="2">
        <v>646</v>
      </c>
      <c r="J344" s="2">
        <v>1821</v>
      </c>
      <c r="K344" s="2">
        <v>1</v>
      </c>
      <c r="L344" s="2">
        <v>392</v>
      </c>
    </row>
    <row r="345" spans="1:12" x14ac:dyDescent="0.25">
      <c r="A345" s="4" t="str">
        <f>HYPERLINK("http://www.rosaceae.org/Prunus/Prunus_persica/p.persica_gdr_reftransV1_0009555","p.persica_gdr_reftransV1_0009555")</f>
        <v>p.persica_gdr_reftransV1_0009555</v>
      </c>
      <c r="B345" s="2">
        <v>1436</v>
      </c>
      <c r="C345" s="4" t="str">
        <f>HYPERLINK("http://www.uniprot.org/uniprot/M5X030","M5X030")</f>
        <v>M5X030</v>
      </c>
      <c r="D345" s="2" t="s">
        <v>338</v>
      </c>
      <c r="E345" s="3">
        <v>0</v>
      </c>
      <c r="F345" s="2">
        <v>2080</v>
      </c>
      <c r="G345" s="2">
        <v>100</v>
      </c>
      <c r="H345" s="2">
        <v>393</v>
      </c>
      <c r="I345" s="2">
        <v>77</v>
      </c>
      <c r="J345" s="2">
        <v>1255</v>
      </c>
      <c r="K345" s="2">
        <v>1</v>
      </c>
      <c r="L345" s="2">
        <v>393</v>
      </c>
    </row>
    <row r="346" spans="1:12" x14ac:dyDescent="0.25">
      <c r="A346" s="4" t="str">
        <f>HYPERLINK("http://www.rosaceae.org/Prunus/Prunus_persica/p.persica_gdr_reftransV1_0009905","p.persica_gdr_reftransV1_0009905")</f>
        <v>p.persica_gdr_reftransV1_0009905</v>
      </c>
      <c r="B346" s="2">
        <v>3136</v>
      </c>
      <c r="C346" s="4" t="str">
        <f>HYPERLINK("http://www.uniprot.org/uniprot/W9RXL4","W9RXL4")</f>
        <v>W9RXL4</v>
      </c>
      <c r="D346" s="2" t="s">
        <v>339</v>
      </c>
      <c r="E346" s="3">
        <v>1.32E-169</v>
      </c>
      <c r="F346" s="2">
        <v>1112</v>
      </c>
      <c r="G346" s="2">
        <v>97</v>
      </c>
      <c r="H346" s="2">
        <v>213</v>
      </c>
      <c r="I346" s="2">
        <v>762</v>
      </c>
      <c r="J346" s="2">
        <v>1400</v>
      </c>
      <c r="K346" s="2">
        <v>1</v>
      </c>
      <c r="L346" s="2">
        <v>213</v>
      </c>
    </row>
    <row r="347" spans="1:12" x14ac:dyDescent="0.25">
      <c r="A347" s="4" t="str">
        <f>HYPERLINK("http://www.rosaceae.org/Prunus/Prunus_persica/p.persica_gdr_reftransV1_0010255","p.persica_gdr_reftransV1_0010255")</f>
        <v>p.persica_gdr_reftransV1_0010255</v>
      </c>
      <c r="B347" s="2">
        <v>1725</v>
      </c>
      <c r="C347" s="4" t="str">
        <f>HYPERLINK("http://www.uniprot.org/uniprot/A0A061GJT7","A0A061GJT7")</f>
        <v>A0A061GJT7</v>
      </c>
      <c r="D347" s="2" t="s">
        <v>340</v>
      </c>
      <c r="E347" s="3">
        <v>0</v>
      </c>
      <c r="F347" s="2">
        <v>1749</v>
      </c>
      <c r="G347" s="2">
        <v>83</v>
      </c>
      <c r="H347" s="2">
        <v>416</v>
      </c>
      <c r="I347" s="2">
        <v>159</v>
      </c>
      <c r="J347" s="2">
        <v>1400</v>
      </c>
      <c r="K347" s="2">
        <v>1</v>
      </c>
      <c r="L347" s="2">
        <v>416</v>
      </c>
    </row>
    <row r="348" spans="1:12" x14ac:dyDescent="0.25">
      <c r="A348" s="4" t="str">
        <f>HYPERLINK("http://www.rosaceae.org/Prunus/Prunus_persica/p.persica_gdr_reftransV1_0010605","p.persica_gdr_reftransV1_0010605")</f>
        <v>p.persica_gdr_reftransV1_0010605</v>
      </c>
      <c r="B348" s="2">
        <v>638</v>
      </c>
      <c r="C348" s="4" t="str">
        <f>HYPERLINK("http://www.uniprot.org/uniprot/M5XLA4","M5XLA4")</f>
        <v>M5XLA4</v>
      </c>
      <c r="D348" s="2" t="s">
        <v>341</v>
      </c>
      <c r="E348" s="3">
        <v>4.98E-88</v>
      </c>
      <c r="F348" s="2">
        <v>727</v>
      </c>
      <c r="G348" s="2">
        <v>100</v>
      </c>
      <c r="H348" s="2">
        <v>150</v>
      </c>
      <c r="I348" s="2">
        <v>2</v>
      </c>
      <c r="J348" s="2">
        <v>451</v>
      </c>
      <c r="K348" s="2">
        <v>527</v>
      </c>
      <c r="L348" s="2">
        <v>676</v>
      </c>
    </row>
    <row r="349" spans="1:12" x14ac:dyDescent="0.25">
      <c r="A349" s="4" t="str">
        <f>HYPERLINK("http://www.rosaceae.org/Prunus/Prunus_persica/p.persica_gdr_reftransV1_0011305","p.persica_gdr_reftransV1_0011305")</f>
        <v>p.persica_gdr_reftransV1_0011305</v>
      </c>
      <c r="B349" s="2">
        <v>383</v>
      </c>
      <c r="C349" s="4" t="str">
        <f>HYPERLINK("http://www.uniprot.org/uniprot/M5WU66","M5WU66")</f>
        <v>M5WU66</v>
      </c>
      <c r="D349" s="2" t="s">
        <v>342</v>
      </c>
      <c r="E349" s="3">
        <v>1.6300000000000001E-63</v>
      </c>
      <c r="F349" s="2">
        <v>554</v>
      </c>
      <c r="G349" s="2">
        <v>100</v>
      </c>
      <c r="H349" s="2">
        <v>103</v>
      </c>
      <c r="I349" s="2">
        <v>75</v>
      </c>
      <c r="J349" s="2">
        <v>383</v>
      </c>
      <c r="K349" s="2">
        <v>782</v>
      </c>
      <c r="L349" s="2">
        <v>884</v>
      </c>
    </row>
    <row r="350" spans="1:12" x14ac:dyDescent="0.25">
      <c r="A350" s="4" t="str">
        <f>HYPERLINK("http://www.rosaceae.org/Prunus/Prunus_persica/p.persica_gdr_reftransV1_0011655","p.persica_gdr_reftransV1_0011655")</f>
        <v>p.persica_gdr_reftransV1_0011655</v>
      </c>
      <c r="B350" s="2">
        <v>4742</v>
      </c>
      <c r="C350" s="4" t="str">
        <f>HYPERLINK("http://www.uniprot.org/uniprot/R7W279","R7W279")</f>
        <v>R7W279</v>
      </c>
      <c r="D350" s="2" t="s">
        <v>343</v>
      </c>
      <c r="E350" s="3">
        <v>2.4200000000000001E-161</v>
      </c>
      <c r="F350" s="2">
        <v>1302</v>
      </c>
      <c r="G350" s="2">
        <v>64</v>
      </c>
      <c r="H350" s="2">
        <v>433</v>
      </c>
      <c r="I350" s="2">
        <v>2650</v>
      </c>
      <c r="J350" s="2">
        <v>3948</v>
      </c>
      <c r="K350" s="2">
        <v>1</v>
      </c>
      <c r="L350" s="2">
        <v>388</v>
      </c>
    </row>
    <row r="351" spans="1:12" x14ac:dyDescent="0.25">
      <c r="A351" s="4" t="str">
        <f>HYPERLINK("http://www.rosaceae.org/Prunus/Prunus_persica/p.persica_gdr_reftransV1_0012005","p.persica_gdr_reftransV1_0012005")</f>
        <v>p.persica_gdr_reftransV1_0012005</v>
      </c>
      <c r="B351" s="2">
        <v>653</v>
      </c>
      <c r="C351" s="4" t="str">
        <f>HYPERLINK("http://www.uniprot.org/uniprot/M5WFU3","M5WFU3")</f>
        <v>M5WFU3</v>
      </c>
      <c r="D351" s="2" t="s">
        <v>344</v>
      </c>
      <c r="E351" s="3">
        <v>4.6200000000000003E-109</v>
      </c>
      <c r="F351" s="2">
        <v>828</v>
      </c>
      <c r="G351" s="2">
        <v>100</v>
      </c>
      <c r="H351" s="2">
        <v>156</v>
      </c>
      <c r="I351" s="2">
        <v>184</v>
      </c>
      <c r="J351" s="2">
        <v>651</v>
      </c>
      <c r="K351" s="2">
        <v>35</v>
      </c>
      <c r="L351" s="2">
        <v>190</v>
      </c>
    </row>
    <row r="352" spans="1:12" x14ac:dyDescent="0.25">
      <c r="A352" s="4" t="str">
        <f>HYPERLINK("http://www.rosaceae.org/Prunus/Prunus_persica/p.persica_gdr_reftransV1_0012705","p.persica_gdr_reftransV1_0012705")</f>
        <v>p.persica_gdr_reftransV1_0012705</v>
      </c>
      <c r="B352" s="2">
        <v>1272</v>
      </c>
      <c r="C352" s="4" t="str">
        <f>HYPERLINK("http://www.uniprot.org/uniprot/M5W9Y7","M5W9Y7")</f>
        <v>M5W9Y7</v>
      </c>
      <c r="D352" s="2" t="s">
        <v>321</v>
      </c>
      <c r="E352" s="3">
        <v>3.9300000000000002E-167</v>
      </c>
      <c r="F352" s="2">
        <v>1246</v>
      </c>
      <c r="G352" s="2">
        <v>100</v>
      </c>
      <c r="H352" s="2">
        <v>307</v>
      </c>
      <c r="I352" s="2">
        <v>1</v>
      </c>
      <c r="J352" s="2">
        <v>921</v>
      </c>
      <c r="K352" s="2">
        <v>13</v>
      </c>
      <c r="L352" s="2">
        <v>319</v>
      </c>
    </row>
    <row r="353" spans="1:12" x14ac:dyDescent="0.25">
      <c r="A353" s="4" t="str">
        <f>HYPERLINK("http://www.rosaceae.org/Prunus/Prunus_persica/p.persica_gdr_reftransV1_0013055","p.persica_gdr_reftransV1_0013055")</f>
        <v>p.persica_gdr_reftransV1_0013055</v>
      </c>
      <c r="B353" s="2">
        <v>596</v>
      </c>
      <c r="C353" s="4" t="str">
        <f>HYPERLINK("http://www.uniprot.org/uniprot/M5WSA6","M5WSA6")</f>
        <v>M5WSA6</v>
      </c>
      <c r="D353" s="2" t="s">
        <v>345</v>
      </c>
      <c r="E353" s="3">
        <v>1.08E-121</v>
      </c>
      <c r="F353" s="2">
        <v>928</v>
      </c>
      <c r="G353" s="2">
        <v>100</v>
      </c>
      <c r="H353" s="2">
        <v>189</v>
      </c>
      <c r="I353" s="2">
        <v>3</v>
      </c>
      <c r="J353" s="2">
        <v>569</v>
      </c>
      <c r="K353" s="2">
        <v>1</v>
      </c>
      <c r="L353" s="2">
        <v>189</v>
      </c>
    </row>
    <row r="354" spans="1:12" x14ac:dyDescent="0.25">
      <c r="A354" s="4" t="str">
        <f>HYPERLINK("http://www.rosaceae.org/Prunus/Prunus_persica/p.persica_gdr_reftransV1_0013405","p.persica_gdr_reftransV1_0013405")</f>
        <v>p.persica_gdr_reftransV1_0013405</v>
      </c>
      <c r="B354" s="2">
        <v>3148</v>
      </c>
      <c r="C354" s="4" t="str">
        <f>HYPERLINK("http://www.uniprot.org/uniprot/M5WET3","M5WET3")</f>
        <v>M5WET3</v>
      </c>
      <c r="D354" s="2" t="s">
        <v>346</v>
      </c>
      <c r="E354" s="3">
        <v>0</v>
      </c>
      <c r="F354" s="2">
        <v>2682</v>
      </c>
      <c r="G354" s="2">
        <v>94</v>
      </c>
      <c r="H354" s="2">
        <v>578</v>
      </c>
      <c r="I354" s="2">
        <v>115</v>
      </c>
      <c r="J354" s="2">
        <v>1848</v>
      </c>
      <c r="K354" s="2">
        <v>1</v>
      </c>
      <c r="L354" s="2">
        <v>543</v>
      </c>
    </row>
    <row r="355" spans="1:12" x14ac:dyDescent="0.25">
      <c r="A355" s="4" t="str">
        <f>HYPERLINK("http://www.rosaceae.org/Prunus/Prunus_persica/p.persica_gdr_reftransV1_0014455","p.persica_gdr_reftransV1_0014455")</f>
        <v>p.persica_gdr_reftransV1_0014455</v>
      </c>
      <c r="B355" s="2">
        <v>915</v>
      </c>
      <c r="C355" s="4" t="str">
        <f>HYPERLINK("http://www.uniprot.org/uniprot/M5W3P3","M5W3P3")</f>
        <v>M5W3P3</v>
      </c>
      <c r="D355" s="2" t="s">
        <v>347</v>
      </c>
      <c r="E355" s="3">
        <v>2.5399999999999999E-96</v>
      </c>
      <c r="F355" s="2">
        <v>752</v>
      </c>
      <c r="G355" s="2">
        <v>100</v>
      </c>
      <c r="H355" s="2">
        <v>189</v>
      </c>
      <c r="I355" s="2">
        <v>60</v>
      </c>
      <c r="J355" s="2">
        <v>626</v>
      </c>
      <c r="K355" s="2">
        <v>1</v>
      </c>
      <c r="L355" s="2">
        <v>189</v>
      </c>
    </row>
    <row r="356" spans="1:12" x14ac:dyDescent="0.25">
      <c r="A356" s="4" t="str">
        <f>HYPERLINK("http://www.rosaceae.org/Prunus/Prunus_persica/p.persica_gdr_reftransV1_0015505","p.persica_gdr_reftransV1_0015505")</f>
        <v>p.persica_gdr_reftransV1_0015505</v>
      </c>
      <c r="B356" s="2">
        <v>1729</v>
      </c>
      <c r="C356" s="4" t="str">
        <f>HYPERLINK("http://www.uniprot.org/uniprot/M5XG08","M5XG08")</f>
        <v>M5XG08</v>
      </c>
      <c r="D356" s="2" t="s">
        <v>348</v>
      </c>
      <c r="E356" s="3">
        <v>1.39E-172</v>
      </c>
      <c r="F356" s="2">
        <v>1295</v>
      </c>
      <c r="G356" s="2">
        <v>100</v>
      </c>
      <c r="H356" s="2">
        <v>246</v>
      </c>
      <c r="I356" s="2">
        <v>265</v>
      </c>
      <c r="J356" s="2">
        <v>1002</v>
      </c>
      <c r="K356" s="2">
        <v>1</v>
      </c>
      <c r="L356" s="2">
        <v>246</v>
      </c>
    </row>
    <row r="357" spans="1:12" x14ac:dyDescent="0.25">
      <c r="A357" s="4" t="str">
        <f>HYPERLINK("http://www.rosaceae.org/Prunus/Prunus_persica/p.persica_gdr_reftransV1_0016555","p.persica_gdr_reftransV1_0016555")</f>
        <v>p.persica_gdr_reftransV1_0016555</v>
      </c>
      <c r="B357" s="2">
        <v>3239</v>
      </c>
      <c r="C357" s="4" t="str">
        <f>HYPERLINK("http://www.uniprot.org/uniprot/Q8LLJ1","Q8LLJ1")</f>
        <v>Q8LLJ1</v>
      </c>
      <c r="D357" s="2" t="s">
        <v>349</v>
      </c>
      <c r="E357" s="3">
        <v>0</v>
      </c>
      <c r="F357" s="2">
        <v>3189</v>
      </c>
      <c r="G357" s="2">
        <v>100</v>
      </c>
      <c r="H357" s="2">
        <v>626</v>
      </c>
      <c r="I357" s="2">
        <v>481</v>
      </c>
      <c r="J357" s="2">
        <v>2358</v>
      </c>
      <c r="K357" s="2">
        <v>1</v>
      </c>
      <c r="L357" s="2">
        <v>626</v>
      </c>
    </row>
    <row r="358" spans="1:12" x14ac:dyDescent="0.25">
      <c r="A358" s="4" t="str">
        <f>HYPERLINK("http://www.rosaceae.org/Prunus/Prunus_persica/p.persica_gdr_reftransV1_0016905","p.persica_gdr_reftransV1_0016905")</f>
        <v>p.persica_gdr_reftransV1_0016905</v>
      </c>
      <c r="B358" s="2">
        <v>758</v>
      </c>
      <c r="C358" s="4" t="str">
        <f>HYPERLINK("http://www.uniprot.org/uniprot/A5B4B2","A5B4B2")</f>
        <v>A5B4B2</v>
      </c>
      <c r="D358" s="2" t="s">
        <v>350</v>
      </c>
      <c r="E358" s="3">
        <v>2.7800000000000001E-48</v>
      </c>
      <c r="F358" s="2">
        <v>426</v>
      </c>
      <c r="G358" s="2">
        <v>84</v>
      </c>
      <c r="H358" s="2">
        <v>96</v>
      </c>
      <c r="I358" s="2">
        <v>382</v>
      </c>
      <c r="J358" s="2">
        <v>669</v>
      </c>
      <c r="K358" s="2">
        <v>71</v>
      </c>
      <c r="L358" s="2">
        <v>166</v>
      </c>
    </row>
    <row r="359" spans="1:12" x14ac:dyDescent="0.25">
      <c r="A359" s="4" t="str">
        <f>HYPERLINK("http://www.rosaceae.org/Prunus/Prunus_persica/p.persica_gdr_reftransV1_0017605","p.persica_gdr_reftransV1_0017605")</f>
        <v>p.persica_gdr_reftransV1_0017605</v>
      </c>
      <c r="B359" s="2">
        <v>2782</v>
      </c>
      <c r="C359" s="4" t="str">
        <f>HYPERLINK("http://www.uniprot.org/uniprot/M5XLR3","M5XLR3")</f>
        <v>M5XLR3</v>
      </c>
      <c r="D359" s="2" t="s">
        <v>351</v>
      </c>
      <c r="E359" s="3">
        <v>0</v>
      </c>
      <c r="F359" s="2">
        <v>4091</v>
      </c>
      <c r="G359" s="2">
        <v>100</v>
      </c>
      <c r="H359" s="2">
        <v>782</v>
      </c>
      <c r="I359" s="2">
        <v>182</v>
      </c>
      <c r="J359" s="2">
        <v>2527</v>
      </c>
      <c r="K359" s="2">
        <v>1</v>
      </c>
      <c r="L359" s="2">
        <v>782</v>
      </c>
    </row>
    <row r="360" spans="1:12" x14ac:dyDescent="0.25">
      <c r="A360" s="4" t="str">
        <f>HYPERLINK("http://www.rosaceae.org/Prunus/Prunus_persica/p.persica_gdr_reftransV1_0019005","p.persica_gdr_reftransV1_0019005")</f>
        <v>p.persica_gdr_reftransV1_0019005</v>
      </c>
      <c r="B360" s="2">
        <v>2047</v>
      </c>
      <c r="C360" s="4" t="str">
        <f>HYPERLINK("http://www.uniprot.org/uniprot/M5VVN4","M5VVN4")</f>
        <v>M5VVN4</v>
      </c>
      <c r="D360" s="2" t="s">
        <v>352</v>
      </c>
      <c r="E360" s="3">
        <v>0</v>
      </c>
      <c r="F360" s="2">
        <v>3049</v>
      </c>
      <c r="G360" s="2">
        <v>100</v>
      </c>
      <c r="H360" s="2">
        <v>599</v>
      </c>
      <c r="I360" s="2">
        <v>195</v>
      </c>
      <c r="J360" s="2">
        <v>1991</v>
      </c>
      <c r="K360" s="2">
        <v>1</v>
      </c>
      <c r="L360" s="2">
        <v>599</v>
      </c>
    </row>
    <row r="361" spans="1:12" x14ac:dyDescent="0.25">
      <c r="A361" s="4" t="str">
        <f>HYPERLINK("http://www.rosaceae.org/Prunus/Prunus_persica/p.persica_gdr_reftransV1_0019355","p.persica_gdr_reftransV1_0019355")</f>
        <v>p.persica_gdr_reftransV1_0019355</v>
      </c>
      <c r="B361" s="2">
        <v>1592</v>
      </c>
      <c r="C361" s="4" t="str">
        <f>HYPERLINK("http://www.uniprot.org/uniprot/M5WT06","M5WT06")</f>
        <v>M5WT06</v>
      </c>
      <c r="D361" s="2" t="s">
        <v>353</v>
      </c>
      <c r="E361" s="3">
        <v>6.9099999999999997E-61</v>
      </c>
      <c r="F361" s="2">
        <v>527</v>
      </c>
      <c r="G361" s="2">
        <v>100</v>
      </c>
      <c r="H361" s="2">
        <v>100</v>
      </c>
      <c r="I361" s="2">
        <v>891</v>
      </c>
      <c r="J361" s="2">
        <v>1190</v>
      </c>
      <c r="K361" s="2">
        <v>1</v>
      </c>
      <c r="L361" s="2">
        <v>100</v>
      </c>
    </row>
    <row r="362" spans="1:12" x14ac:dyDescent="0.25">
      <c r="A362" s="4" t="str">
        <f>HYPERLINK("http://www.rosaceae.org/Prunus/Prunus_persica/p.persica_gdr_reftransV1_0021105","p.persica_gdr_reftransV1_0021105")</f>
        <v>p.persica_gdr_reftransV1_0021105</v>
      </c>
      <c r="B362" s="2">
        <v>2685</v>
      </c>
      <c r="C362" s="4" t="str">
        <f>HYPERLINK("http://www.uniprot.org/uniprot/M5XLA6","M5XLA6")</f>
        <v>M5XLA6</v>
      </c>
      <c r="D362" s="2" t="s">
        <v>354</v>
      </c>
      <c r="E362" s="3">
        <v>0</v>
      </c>
      <c r="F362" s="2">
        <v>4027</v>
      </c>
      <c r="G362" s="2">
        <v>100</v>
      </c>
      <c r="H362" s="2">
        <v>775</v>
      </c>
      <c r="I362" s="2">
        <v>75</v>
      </c>
      <c r="J362" s="2">
        <v>2399</v>
      </c>
      <c r="K362" s="2">
        <v>1</v>
      </c>
      <c r="L362" s="2">
        <v>775</v>
      </c>
    </row>
    <row r="363" spans="1:12" x14ac:dyDescent="0.25">
      <c r="A363" s="4" t="str">
        <f>HYPERLINK("http://www.rosaceae.org/Prunus/Prunus_persica/p.persica_gdr_reftransV1_0021455","p.persica_gdr_reftransV1_0021455")</f>
        <v>p.persica_gdr_reftransV1_0021455</v>
      </c>
      <c r="B363" s="2">
        <v>2973</v>
      </c>
      <c r="C363" s="4" t="str">
        <f>HYPERLINK("http://www.uniprot.org/uniprot/M5XR00","M5XR00")</f>
        <v>M5XR00</v>
      </c>
      <c r="D363" s="2" t="s">
        <v>355</v>
      </c>
      <c r="E363" s="3">
        <v>0</v>
      </c>
      <c r="F363" s="2">
        <v>3227</v>
      </c>
      <c r="G363" s="2">
        <v>100</v>
      </c>
      <c r="H363" s="2">
        <v>637</v>
      </c>
      <c r="I363" s="2">
        <v>227</v>
      </c>
      <c r="J363" s="2">
        <v>2137</v>
      </c>
      <c r="K363" s="2">
        <v>1</v>
      </c>
      <c r="L363" s="2">
        <v>637</v>
      </c>
    </row>
    <row r="364" spans="1:12" x14ac:dyDescent="0.25">
      <c r="A364" s="4" t="str">
        <f>HYPERLINK("http://www.rosaceae.org/Prunus/Prunus_persica/p.persica_gdr_reftransV1_0021805","p.persica_gdr_reftransV1_0021805")</f>
        <v>p.persica_gdr_reftransV1_0021805</v>
      </c>
      <c r="B364" s="2">
        <v>2550</v>
      </c>
      <c r="C364" s="4" t="str">
        <f>HYPERLINK("http://www.uniprot.org/uniprot/M5WEF9","M5WEF9")</f>
        <v>M5WEF9</v>
      </c>
      <c r="D364" s="2" t="s">
        <v>356</v>
      </c>
      <c r="E364" s="3">
        <v>2.7999999999999998E-59</v>
      </c>
      <c r="F364" s="2">
        <v>543</v>
      </c>
      <c r="G364" s="2">
        <v>100</v>
      </c>
      <c r="H364" s="2">
        <v>123</v>
      </c>
      <c r="I364" s="2">
        <v>1245</v>
      </c>
      <c r="J364" s="2">
        <v>1613</v>
      </c>
      <c r="K364" s="2">
        <v>107</v>
      </c>
      <c r="L364" s="2">
        <v>229</v>
      </c>
    </row>
    <row r="365" spans="1:12" x14ac:dyDescent="0.25">
      <c r="A365" s="4" t="str">
        <f>HYPERLINK("http://www.rosaceae.org/Prunus/Prunus_persica/p.persica_gdr_reftransV1_0022505","p.persica_gdr_reftransV1_0022505")</f>
        <v>p.persica_gdr_reftransV1_0022505</v>
      </c>
      <c r="B365" s="2">
        <v>2021</v>
      </c>
      <c r="C365" s="4" t="str">
        <f>HYPERLINK("http://www.uniprot.org/uniprot/M5XDK3","M5XDK3")</f>
        <v>M5XDK3</v>
      </c>
      <c r="D365" s="2" t="s">
        <v>357</v>
      </c>
      <c r="E365" s="3">
        <v>0</v>
      </c>
      <c r="F365" s="2">
        <v>1862</v>
      </c>
      <c r="G365" s="2">
        <v>100</v>
      </c>
      <c r="H365" s="2">
        <v>376</v>
      </c>
      <c r="I365" s="2">
        <v>698</v>
      </c>
      <c r="J365" s="2">
        <v>1825</v>
      </c>
      <c r="K365" s="2">
        <v>1</v>
      </c>
      <c r="L365" s="2">
        <v>376</v>
      </c>
    </row>
    <row r="366" spans="1:12" x14ac:dyDescent="0.25">
      <c r="A366" s="4" t="str">
        <f>HYPERLINK("http://www.rosaceae.org/Prunus/Prunus_persica/p.persica_gdr_reftransV1_0022855","p.persica_gdr_reftransV1_0022855")</f>
        <v>p.persica_gdr_reftransV1_0022855</v>
      </c>
      <c r="B366" s="2">
        <v>3449</v>
      </c>
      <c r="C366" s="4" t="str">
        <f>HYPERLINK("http://www.uniprot.org/uniprot/M5VWN3","M5VWN3")</f>
        <v>M5VWN3</v>
      </c>
      <c r="D366" s="2" t="s">
        <v>358</v>
      </c>
      <c r="E366" s="3">
        <v>0</v>
      </c>
      <c r="F366" s="2">
        <v>2085</v>
      </c>
      <c r="G366" s="2">
        <v>100</v>
      </c>
      <c r="H366" s="2">
        <v>389</v>
      </c>
      <c r="I366" s="2">
        <v>119</v>
      </c>
      <c r="J366" s="2">
        <v>1285</v>
      </c>
      <c r="K366" s="2">
        <v>1</v>
      </c>
      <c r="L366" s="2">
        <v>389</v>
      </c>
    </row>
    <row r="367" spans="1:12" x14ac:dyDescent="0.25">
      <c r="A367" s="4" t="str">
        <f>HYPERLINK("http://www.rosaceae.org/Prunus/Prunus_persica/p.persica_gdr_reftransV1_0023205","p.persica_gdr_reftransV1_0023205")</f>
        <v>p.persica_gdr_reftransV1_0023205</v>
      </c>
      <c r="B367" s="2">
        <v>684</v>
      </c>
      <c r="C367" s="4" t="str">
        <f>HYPERLINK("http://www.uniprot.org/uniprot/A0A061DKP1","A0A061DKP1")</f>
        <v>A0A061DKP1</v>
      </c>
      <c r="D367" s="2" t="s">
        <v>359</v>
      </c>
      <c r="E367" s="3">
        <v>4.0399999999999999E-93</v>
      </c>
      <c r="F367" s="2">
        <v>730</v>
      </c>
      <c r="G367" s="2">
        <v>65</v>
      </c>
      <c r="H367" s="2">
        <v>211</v>
      </c>
      <c r="I367" s="2">
        <v>30</v>
      </c>
      <c r="J367" s="2">
        <v>629</v>
      </c>
      <c r="K367" s="2">
        <v>48</v>
      </c>
      <c r="L367" s="2">
        <v>258</v>
      </c>
    </row>
    <row r="368" spans="1:12" x14ac:dyDescent="0.25">
      <c r="A368" s="4" t="str">
        <f>HYPERLINK("http://www.rosaceae.org/Prunus/Prunus_persica/p.persica_gdr_reftransV1_0026005","p.persica_gdr_reftransV1_0026005")</f>
        <v>p.persica_gdr_reftransV1_0026005</v>
      </c>
      <c r="B368" s="2">
        <v>1761</v>
      </c>
      <c r="C368" s="4" t="str">
        <f>HYPERLINK("http://www.uniprot.org/uniprot/M5VQY6","M5VQY6")</f>
        <v>M5VQY6</v>
      </c>
      <c r="D368" s="2" t="s">
        <v>360</v>
      </c>
      <c r="E368" s="3">
        <v>1.2199999999999999E-43</v>
      </c>
      <c r="F368" s="2">
        <v>419</v>
      </c>
      <c r="G368" s="2">
        <v>100</v>
      </c>
      <c r="H368" s="2">
        <v>96</v>
      </c>
      <c r="I368" s="2">
        <v>375</v>
      </c>
      <c r="J368" s="2">
        <v>662</v>
      </c>
      <c r="K368" s="2">
        <v>1</v>
      </c>
      <c r="L368" s="2">
        <v>96</v>
      </c>
    </row>
    <row r="369" spans="1:12" x14ac:dyDescent="0.25">
      <c r="A369" s="4" t="str">
        <f>HYPERLINK("http://www.rosaceae.org/Prunus/Prunus_persica/p.persica_gdr_reftransV1_0028455","p.persica_gdr_reftransV1_0028455")</f>
        <v>p.persica_gdr_reftransV1_0028455</v>
      </c>
      <c r="B369" s="2">
        <v>1067</v>
      </c>
      <c r="C369" s="4" t="str">
        <f>HYPERLINK("http://www.uniprot.org/uniprot/M5XJX7","M5XJX7")</f>
        <v>M5XJX7</v>
      </c>
      <c r="D369" s="2" t="s">
        <v>361</v>
      </c>
      <c r="E369" s="3">
        <v>4.1699999999999997E-62</v>
      </c>
      <c r="F369" s="2">
        <v>545</v>
      </c>
      <c r="G369" s="2">
        <v>100</v>
      </c>
      <c r="H369" s="2">
        <v>229</v>
      </c>
      <c r="I369" s="2">
        <v>381</v>
      </c>
      <c r="J369" s="2">
        <v>1067</v>
      </c>
      <c r="K369" s="2">
        <v>1</v>
      </c>
      <c r="L369" s="2">
        <v>229</v>
      </c>
    </row>
    <row r="370" spans="1:12" x14ac:dyDescent="0.25">
      <c r="A370" s="4" t="str">
        <f>HYPERLINK("http://www.rosaceae.org/Prunus/Prunus_persica/p.persica_gdr_reftransV1_0032655","p.persica_gdr_reftransV1_0032655")</f>
        <v>p.persica_gdr_reftransV1_0032655</v>
      </c>
      <c r="B370" s="2">
        <v>1574</v>
      </c>
      <c r="C370" s="4" t="str">
        <f>HYPERLINK("http://www.uniprot.org/uniprot/M5XH17","M5XH17")</f>
        <v>M5XH17</v>
      </c>
      <c r="D370" s="2" t="s">
        <v>362</v>
      </c>
      <c r="E370" s="3">
        <v>2.0100000000000001E-63</v>
      </c>
      <c r="F370" s="2">
        <v>549</v>
      </c>
      <c r="G370" s="2">
        <v>97</v>
      </c>
      <c r="H370" s="2">
        <v>105</v>
      </c>
      <c r="I370" s="2">
        <v>233</v>
      </c>
      <c r="J370" s="2">
        <v>547</v>
      </c>
      <c r="K370" s="2">
        <v>1</v>
      </c>
      <c r="L370" s="2">
        <v>105</v>
      </c>
    </row>
    <row r="371" spans="1:12" x14ac:dyDescent="0.25">
      <c r="A371" s="4" t="str">
        <f>HYPERLINK("http://www.rosaceae.org/Prunus/Prunus_persica/p.persica_gdr_reftransV1_0033005","p.persica_gdr_reftransV1_0033005")</f>
        <v>p.persica_gdr_reftransV1_0033005</v>
      </c>
      <c r="B371" s="2">
        <v>4304</v>
      </c>
      <c r="C371" s="4" t="str">
        <f>HYPERLINK("http://www.uniprot.org/uniprot/M5X5A5","M5X5A5")</f>
        <v>M5X5A5</v>
      </c>
      <c r="D371" s="2" t="s">
        <v>363</v>
      </c>
      <c r="E371" s="3">
        <v>0</v>
      </c>
      <c r="F371" s="2">
        <v>3944</v>
      </c>
      <c r="G371" s="2">
        <v>98</v>
      </c>
      <c r="H371" s="2">
        <v>835</v>
      </c>
      <c r="I371" s="2">
        <v>1730</v>
      </c>
      <c r="J371" s="2">
        <v>4234</v>
      </c>
      <c r="K371" s="2">
        <v>1</v>
      </c>
      <c r="L371" s="2">
        <v>835</v>
      </c>
    </row>
    <row r="372" spans="1:12" x14ac:dyDescent="0.25">
      <c r="A372" s="4" t="str">
        <f>HYPERLINK("http://www.rosaceae.org/Prunus/Prunus_persica/p.persica_gdr_reftransV1_0034055","p.persica_gdr_reftransV1_0034055")</f>
        <v>p.persica_gdr_reftransV1_0034055</v>
      </c>
      <c r="B372" s="2">
        <v>5876</v>
      </c>
      <c r="C372" s="4" t="str">
        <f>HYPERLINK("http://www.uniprot.org/uniprot/M5WR83","M5WR83")</f>
        <v>M5WR83</v>
      </c>
      <c r="D372" s="2" t="s">
        <v>364</v>
      </c>
      <c r="E372" s="3">
        <v>0</v>
      </c>
      <c r="F372" s="2">
        <v>5857</v>
      </c>
      <c r="G372" s="2">
        <v>100</v>
      </c>
      <c r="H372" s="2">
        <v>1180</v>
      </c>
      <c r="I372" s="2">
        <v>1316</v>
      </c>
      <c r="J372" s="2">
        <v>4855</v>
      </c>
      <c r="K372" s="2">
        <v>1</v>
      </c>
      <c r="L372" s="2">
        <v>1180</v>
      </c>
    </row>
    <row r="373" spans="1:12" x14ac:dyDescent="0.25">
      <c r="A373" s="4" t="str">
        <f>HYPERLINK("http://www.rosaceae.org/Prunus/Prunus_persica/p.persica_gdr_reftransV1_0036155","p.persica_gdr_reftransV1_0036155")</f>
        <v>p.persica_gdr_reftransV1_0036155</v>
      </c>
      <c r="B373" s="2">
        <v>1018</v>
      </c>
      <c r="C373" s="4" t="str">
        <f>HYPERLINK("http://www.uniprot.org/uniprot/M5X254","M5X254")</f>
        <v>M5X254</v>
      </c>
      <c r="D373" s="2" t="s">
        <v>365</v>
      </c>
      <c r="E373" s="3">
        <v>1.6999999999999999E-178</v>
      </c>
      <c r="F373" s="2">
        <v>1307</v>
      </c>
      <c r="G373" s="2">
        <v>100</v>
      </c>
      <c r="H373" s="2">
        <v>257</v>
      </c>
      <c r="I373" s="2">
        <v>200</v>
      </c>
      <c r="J373" s="2">
        <v>970</v>
      </c>
      <c r="K373" s="2">
        <v>22</v>
      </c>
      <c r="L373" s="2">
        <v>278</v>
      </c>
    </row>
    <row r="374" spans="1:12" x14ac:dyDescent="0.25">
      <c r="A374" s="4" t="str">
        <f>HYPERLINK("http://www.rosaceae.org/Prunus/Prunus_persica/p.persica_gdr_reftransV1_0039305","p.persica_gdr_reftransV1_0039305")</f>
        <v>p.persica_gdr_reftransV1_0039305</v>
      </c>
      <c r="B374" s="2">
        <v>1985</v>
      </c>
      <c r="C374" s="4" t="str">
        <f>HYPERLINK("http://www.uniprot.org/uniprot/M5XIZ5","M5XIZ5")</f>
        <v>M5XIZ5</v>
      </c>
      <c r="D374" s="2" t="s">
        <v>366</v>
      </c>
      <c r="E374" s="3">
        <v>0</v>
      </c>
      <c r="F374" s="2">
        <v>2285</v>
      </c>
      <c r="G374" s="2">
        <v>100</v>
      </c>
      <c r="H374" s="2">
        <v>450</v>
      </c>
      <c r="I374" s="2">
        <v>273</v>
      </c>
      <c r="J374" s="2">
        <v>1622</v>
      </c>
      <c r="K374" s="2">
        <v>1</v>
      </c>
      <c r="L374" s="2">
        <v>450</v>
      </c>
    </row>
    <row r="375" spans="1:12" x14ac:dyDescent="0.25">
      <c r="A375" s="4" t="str">
        <f>HYPERLINK("http://www.rosaceae.org/Prunus/Prunus_persica/p.persica_gdr_reftransV1_0041405","p.persica_gdr_reftransV1_0041405")</f>
        <v>p.persica_gdr_reftransV1_0041405</v>
      </c>
      <c r="B375" s="2">
        <v>1420</v>
      </c>
      <c r="C375" s="4" t="str">
        <f>HYPERLINK("http://www.uniprot.org/uniprot/M5WHT7","M5WHT7")</f>
        <v>M5WHT7</v>
      </c>
      <c r="D375" s="2" t="s">
        <v>367</v>
      </c>
      <c r="E375" s="3">
        <v>0</v>
      </c>
      <c r="F375" s="2">
        <v>1534</v>
      </c>
      <c r="G375" s="2">
        <v>100</v>
      </c>
      <c r="H375" s="2">
        <v>319</v>
      </c>
      <c r="I375" s="2">
        <v>369</v>
      </c>
      <c r="J375" s="2">
        <v>1325</v>
      </c>
      <c r="K375" s="2">
        <v>1</v>
      </c>
      <c r="L375" s="2">
        <v>319</v>
      </c>
    </row>
    <row r="376" spans="1:12" x14ac:dyDescent="0.25">
      <c r="A376" s="4" t="str">
        <f>HYPERLINK("http://www.rosaceae.org/Prunus/Prunus_persica/p.persica_gdr_reftransV1_0043505","p.persica_gdr_reftransV1_0043505")</f>
        <v>p.persica_gdr_reftransV1_0043505</v>
      </c>
      <c r="B376" s="2">
        <v>925</v>
      </c>
      <c r="C376" s="4" t="str">
        <f>HYPERLINK("http://www.uniprot.org/uniprot/M5XAI3","M5XAI3")</f>
        <v>M5XAI3</v>
      </c>
      <c r="D376" s="2" t="s">
        <v>368</v>
      </c>
      <c r="E376" s="3">
        <v>2.44E-107</v>
      </c>
      <c r="F376" s="2">
        <v>842</v>
      </c>
      <c r="G376" s="2">
        <v>100</v>
      </c>
      <c r="H376" s="2">
        <v>253</v>
      </c>
      <c r="I376" s="2">
        <v>166</v>
      </c>
      <c r="J376" s="2">
        <v>924</v>
      </c>
      <c r="K376" s="2">
        <v>109</v>
      </c>
      <c r="L376" s="2">
        <v>361</v>
      </c>
    </row>
    <row r="377" spans="1:12" x14ac:dyDescent="0.25">
      <c r="A377" s="4" t="str">
        <f>HYPERLINK("http://www.rosaceae.org/Prunus/Prunus_persica/p.persica_gdr_reftransV1_0043855","p.persica_gdr_reftransV1_0043855")</f>
        <v>p.persica_gdr_reftransV1_0043855</v>
      </c>
      <c r="B377" s="2">
        <v>775</v>
      </c>
      <c r="C377" s="4" t="str">
        <f>HYPERLINK("http://www.uniprot.org/uniprot/M5WKP5","M5WKP5")</f>
        <v>M5WKP5</v>
      </c>
      <c r="D377" s="2" t="s">
        <v>369</v>
      </c>
      <c r="E377" s="3">
        <v>7.5500000000000006E-64</v>
      </c>
      <c r="F377" s="2">
        <v>526</v>
      </c>
      <c r="G377" s="2">
        <v>100</v>
      </c>
      <c r="H377" s="2">
        <v>121</v>
      </c>
      <c r="I377" s="2">
        <v>363</v>
      </c>
      <c r="J377" s="2">
        <v>725</v>
      </c>
      <c r="K377" s="2">
        <v>1</v>
      </c>
      <c r="L377" s="2">
        <v>121</v>
      </c>
    </row>
    <row r="378" spans="1:12" x14ac:dyDescent="0.25">
      <c r="A378" s="4" t="str">
        <f>HYPERLINK("http://www.rosaceae.org/Prunus/Prunus_persica/p.persica_gdr_reftransV1_0044205","p.persica_gdr_reftransV1_0044205")</f>
        <v>p.persica_gdr_reftransV1_0044205</v>
      </c>
      <c r="B378" s="2">
        <v>903</v>
      </c>
      <c r="C378" s="4" t="str">
        <f>HYPERLINK("http://www.uniprot.org/uniprot/M5WDG7","M5WDG7")</f>
        <v>M5WDG7</v>
      </c>
      <c r="D378" s="2" t="s">
        <v>370</v>
      </c>
      <c r="E378" s="3">
        <v>1.7000000000000001E-168</v>
      </c>
      <c r="F378" s="2">
        <v>1250</v>
      </c>
      <c r="G378" s="2">
        <v>91</v>
      </c>
      <c r="H378" s="2">
        <v>293</v>
      </c>
      <c r="I378" s="2">
        <v>1</v>
      </c>
      <c r="J378" s="2">
        <v>852</v>
      </c>
      <c r="K378" s="2">
        <v>1</v>
      </c>
      <c r="L378" s="2">
        <v>289</v>
      </c>
    </row>
    <row r="379" spans="1:12" x14ac:dyDescent="0.25">
      <c r="A379" s="4" t="str">
        <f>HYPERLINK("http://www.rosaceae.org/Prunus/Prunus_persica/p.persica_gdr_reftransV1_0044905","p.persica_gdr_reftransV1_0044905")</f>
        <v>p.persica_gdr_reftransV1_0044905</v>
      </c>
      <c r="B379" s="2">
        <v>2699</v>
      </c>
      <c r="C379" s="4" t="str">
        <f>HYPERLINK("http://www.uniprot.org/uniprot/M5WJ44","M5WJ44")</f>
        <v>M5WJ44</v>
      </c>
      <c r="D379" s="2" t="s">
        <v>371</v>
      </c>
      <c r="E379" s="3">
        <v>0</v>
      </c>
      <c r="F379" s="2">
        <v>3371</v>
      </c>
      <c r="G379" s="2">
        <v>100</v>
      </c>
      <c r="H379" s="2">
        <v>701</v>
      </c>
      <c r="I379" s="2">
        <v>334</v>
      </c>
      <c r="J379" s="2">
        <v>2436</v>
      </c>
      <c r="K379" s="2">
        <v>1</v>
      </c>
      <c r="L379" s="2">
        <v>701</v>
      </c>
    </row>
    <row r="380" spans="1:12" x14ac:dyDescent="0.25">
      <c r="A380" s="4" t="str">
        <f>HYPERLINK("http://www.rosaceae.org/Prunus/Prunus_persica/p.persica_gdr_reftransV1_0045605","p.persica_gdr_reftransV1_0045605")</f>
        <v>p.persica_gdr_reftransV1_0045605</v>
      </c>
      <c r="B380" s="2">
        <v>1692</v>
      </c>
      <c r="C380" s="4" t="str">
        <f>HYPERLINK("http://www.uniprot.org/uniprot/M5WUK0","M5WUK0")</f>
        <v>M5WUK0</v>
      </c>
      <c r="D380" s="2" t="s">
        <v>372</v>
      </c>
      <c r="E380" s="3">
        <v>0</v>
      </c>
      <c r="F380" s="2">
        <v>1429</v>
      </c>
      <c r="G380" s="2">
        <v>100</v>
      </c>
      <c r="H380" s="2">
        <v>312</v>
      </c>
      <c r="I380" s="2">
        <v>313</v>
      </c>
      <c r="J380" s="2">
        <v>1248</v>
      </c>
      <c r="K380" s="2">
        <v>1</v>
      </c>
      <c r="L380" s="2">
        <v>312</v>
      </c>
    </row>
    <row r="381" spans="1:12" x14ac:dyDescent="0.25">
      <c r="A381" s="4" t="str">
        <f>HYPERLINK("http://www.rosaceae.org/Prunus/Prunus_persica/p.persica_gdr_reftransV1_0046305","p.persica_gdr_reftransV1_0046305")</f>
        <v>p.persica_gdr_reftransV1_0046305</v>
      </c>
      <c r="B381" s="2">
        <v>1394</v>
      </c>
      <c r="C381" s="4" t="str">
        <f>HYPERLINK("http://www.uniprot.org/uniprot/M5WL68","M5WL68")</f>
        <v>M5WL68</v>
      </c>
      <c r="D381" s="2" t="s">
        <v>373</v>
      </c>
      <c r="E381" s="3">
        <v>0</v>
      </c>
      <c r="F381" s="2">
        <v>1641</v>
      </c>
      <c r="G381" s="2">
        <v>100</v>
      </c>
      <c r="H381" s="2">
        <v>325</v>
      </c>
      <c r="I381" s="2">
        <v>220</v>
      </c>
      <c r="J381" s="2">
        <v>1194</v>
      </c>
      <c r="K381" s="2">
        <v>304</v>
      </c>
      <c r="L381" s="2">
        <v>628</v>
      </c>
    </row>
    <row r="382" spans="1:12" x14ac:dyDescent="0.25">
      <c r="A382" s="4" t="str">
        <f>HYPERLINK("http://www.rosaceae.org/Prunus/Prunus_persica/p.persica_gdr_reftransV1_0046655","p.persica_gdr_reftransV1_0046655")</f>
        <v>p.persica_gdr_reftransV1_0046655</v>
      </c>
      <c r="B382" s="2">
        <v>2894</v>
      </c>
      <c r="C382" s="4" t="str">
        <f>HYPERLINK("http://www.uniprot.org/uniprot/M5W4T7","M5W4T7")</f>
        <v>M5W4T7</v>
      </c>
      <c r="D382" s="2" t="s">
        <v>374</v>
      </c>
      <c r="E382" s="3">
        <v>0</v>
      </c>
      <c r="F382" s="2">
        <v>4068</v>
      </c>
      <c r="G382" s="2">
        <v>96</v>
      </c>
      <c r="H382" s="2">
        <v>808</v>
      </c>
      <c r="I382" s="2">
        <v>229</v>
      </c>
      <c r="J382" s="2">
        <v>2652</v>
      </c>
      <c r="K382" s="2">
        <v>1</v>
      </c>
      <c r="L382" s="2">
        <v>775</v>
      </c>
    </row>
    <row r="383" spans="1:12" x14ac:dyDescent="0.25">
      <c r="A383" s="4" t="str">
        <f>HYPERLINK("http://www.rosaceae.org/Prunus/Prunus_persica/p.persica_gdr_reftransV1_0047355","p.persica_gdr_reftransV1_0047355")</f>
        <v>p.persica_gdr_reftransV1_0047355</v>
      </c>
      <c r="B383" s="2">
        <v>1111</v>
      </c>
      <c r="C383" s="4" t="str">
        <f>HYPERLINK("http://www.uniprot.org/uniprot/M5X7F1","M5X7F1")</f>
        <v>M5X7F1</v>
      </c>
      <c r="D383" s="2" t="s">
        <v>375</v>
      </c>
      <c r="E383" s="3">
        <v>4.9299999999999999E-80</v>
      </c>
      <c r="F383" s="2">
        <v>652</v>
      </c>
      <c r="G383" s="2">
        <v>83</v>
      </c>
      <c r="H383" s="2">
        <v>243</v>
      </c>
      <c r="I383" s="2">
        <v>1</v>
      </c>
      <c r="J383" s="2">
        <v>729</v>
      </c>
      <c r="K383" s="2">
        <v>10</v>
      </c>
      <c r="L383" s="2">
        <v>210</v>
      </c>
    </row>
    <row r="384" spans="1:12" x14ac:dyDescent="0.25">
      <c r="A384" s="4" t="str">
        <f>HYPERLINK("http://www.rosaceae.org/Prunus/Prunus_persica/p.persica_gdr_reftransV1_0047705","p.persica_gdr_reftransV1_0047705")</f>
        <v>p.persica_gdr_reftransV1_0047705</v>
      </c>
      <c r="B384" s="2">
        <v>1955</v>
      </c>
      <c r="C384" s="4" t="str">
        <f>HYPERLINK("http://www.uniprot.org/uniprot/M5VQP8","M5VQP8")</f>
        <v>M5VQP8</v>
      </c>
      <c r="D384" s="2" t="s">
        <v>376</v>
      </c>
      <c r="E384" s="3">
        <v>0</v>
      </c>
      <c r="F384" s="2">
        <v>1991</v>
      </c>
      <c r="G384" s="2">
        <v>100</v>
      </c>
      <c r="H384" s="2">
        <v>393</v>
      </c>
      <c r="I384" s="2">
        <v>197</v>
      </c>
      <c r="J384" s="2">
        <v>1375</v>
      </c>
      <c r="K384" s="2">
        <v>1</v>
      </c>
      <c r="L384" s="2">
        <v>393</v>
      </c>
    </row>
    <row r="385" spans="1:12" x14ac:dyDescent="0.25">
      <c r="A385" s="4" t="str">
        <f>HYPERLINK("http://www.rosaceae.org/Prunus/Prunus_persica/p.persica_gdr_reftransV1_0048055","p.persica_gdr_reftransV1_0048055")</f>
        <v>p.persica_gdr_reftransV1_0048055</v>
      </c>
      <c r="B385" s="2">
        <v>2995</v>
      </c>
      <c r="C385" s="4" t="str">
        <f>HYPERLINK("http://www.uniprot.org/uniprot/M5VVS4","M5VVS4")</f>
        <v>M5VVS4</v>
      </c>
      <c r="D385" s="2" t="s">
        <v>377</v>
      </c>
      <c r="E385" s="3">
        <v>0</v>
      </c>
      <c r="F385" s="2">
        <v>3545</v>
      </c>
      <c r="G385" s="2">
        <v>100</v>
      </c>
      <c r="H385" s="2">
        <v>789</v>
      </c>
      <c r="I385" s="2">
        <v>480</v>
      </c>
      <c r="J385" s="2">
        <v>2846</v>
      </c>
      <c r="K385" s="2">
        <v>1</v>
      </c>
      <c r="L385" s="2">
        <v>789</v>
      </c>
    </row>
    <row r="386" spans="1:12" x14ac:dyDescent="0.25">
      <c r="A386" s="4" t="str">
        <f>HYPERLINK("http://www.rosaceae.org/Prunus/Prunus_persica/p.persica_gdr_reftransV1_0048405","p.persica_gdr_reftransV1_0048405")</f>
        <v>p.persica_gdr_reftransV1_0048405</v>
      </c>
      <c r="B386" s="2">
        <v>2123</v>
      </c>
      <c r="C386" s="4" t="str">
        <f>HYPERLINK("http://www.uniprot.org/uniprot/M5X7B9","M5X7B9")</f>
        <v>M5X7B9</v>
      </c>
      <c r="D386" s="2" t="s">
        <v>378</v>
      </c>
      <c r="E386" s="3">
        <v>0</v>
      </c>
      <c r="F386" s="2">
        <v>2490</v>
      </c>
      <c r="G386" s="2">
        <v>100</v>
      </c>
      <c r="H386" s="2">
        <v>556</v>
      </c>
      <c r="I386" s="2">
        <v>352</v>
      </c>
      <c r="J386" s="2">
        <v>2019</v>
      </c>
      <c r="K386" s="2">
        <v>1</v>
      </c>
      <c r="L386" s="2">
        <v>556</v>
      </c>
    </row>
    <row r="387" spans="1:12" x14ac:dyDescent="0.25">
      <c r="A387" s="4" t="str">
        <f>HYPERLINK("http://www.rosaceae.org/Prunus/Prunus_persica/p.persica_gdr_reftransV1_0048755","p.persica_gdr_reftransV1_0048755")</f>
        <v>p.persica_gdr_reftransV1_0048755</v>
      </c>
      <c r="B387" s="2">
        <v>788</v>
      </c>
      <c r="C387" s="4" t="str">
        <f>HYPERLINK("http://www.uniprot.org/uniprot/M5VVY1","M5VVY1")</f>
        <v>M5VVY1</v>
      </c>
      <c r="D387" s="2" t="s">
        <v>379</v>
      </c>
      <c r="E387" s="3">
        <v>5.4300000000000001E-48</v>
      </c>
      <c r="F387" s="2">
        <v>445</v>
      </c>
      <c r="G387" s="2">
        <v>99</v>
      </c>
      <c r="H387" s="2">
        <v>174</v>
      </c>
      <c r="I387" s="2">
        <v>3</v>
      </c>
      <c r="J387" s="2">
        <v>524</v>
      </c>
      <c r="K387" s="2">
        <v>284</v>
      </c>
      <c r="L387" s="2">
        <v>457</v>
      </c>
    </row>
    <row r="388" spans="1:12" x14ac:dyDescent="0.25">
      <c r="A388" s="4" t="str">
        <f>HYPERLINK("http://www.rosaceae.org/Prunus/Prunus_persica/p.persica_gdr_reftransV1_0000106","p.persica_gdr_reftransV1_0000106")</f>
        <v>p.persica_gdr_reftransV1_0000106</v>
      </c>
      <c r="B388" s="2">
        <v>472</v>
      </c>
      <c r="C388" s="4" t="str">
        <f>HYPERLINK("http://www.uniprot.org/uniprot/M5WH02","M5WH02")</f>
        <v>M5WH02</v>
      </c>
      <c r="D388" s="2" t="s">
        <v>380</v>
      </c>
      <c r="E388" s="3">
        <v>1.3100000000000001E-62</v>
      </c>
      <c r="F388" s="2">
        <v>521</v>
      </c>
      <c r="G388" s="2">
        <v>100</v>
      </c>
      <c r="H388" s="2">
        <v>112</v>
      </c>
      <c r="I388" s="2">
        <v>2</v>
      </c>
      <c r="J388" s="2">
        <v>337</v>
      </c>
      <c r="K388" s="2">
        <v>1</v>
      </c>
      <c r="L388" s="2">
        <v>112</v>
      </c>
    </row>
    <row r="389" spans="1:12" x14ac:dyDescent="0.25">
      <c r="A389" s="4" t="str">
        <f>HYPERLINK("http://www.rosaceae.org/Prunus/Prunus_persica/p.persica_gdr_reftransV1_0000456","p.persica_gdr_reftransV1_0000456")</f>
        <v>p.persica_gdr_reftransV1_0000456</v>
      </c>
      <c r="B389" s="2">
        <v>401</v>
      </c>
      <c r="C389" s="4" t="str">
        <f>HYPERLINK("http://www.uniprot.org/uniprot/M5WM91","M5WM91")</f>
        <v>M5WM91</v>
      </c>
      <c r="D389" s="2" t="s">
        <v>381</v>
      </c>
      <c r="E389" s="3">
        <v>4.1699999999999999E-59</v>
      </c>
      <c r="F389" s="2">
        <v>505</v>
      </c>
      <c r="G389" s="2">
        <v>100</v>
      </c>
      <c r="H389" s="2">
        <v>96</v>
      </c>
      <c r="I389" s="2">
        <v>40</v>
      </c>
      <c r="J389" s="2">
        <v>327</v>
      </c>
      <c r="K389" s="2">
        <v>53</v>
      </c>
      <c r="L389" s="2">
        <v>148</v>
      </c>
    </row>
    <row r="390" spans="1:12" x14ac:dyDescent="0.25">
      <c r="A390" s="4" t="str">
        <f>HYPERLINK("http://www.rosaceae.org/Prunus/Prunus_persica/p.persica_gdr_reftransV1_0000806","p.persica_gdr_reftransV1_0000806")</f>
        <v>p.persica_gdr_reftransV1_0000806</v>
      </c>
      <c r="B390" s="2">
        <v>1793</v>
      </c>
      <c r="C390" s="4" t="str">
        <f>HYPERLINK("http://www.uniprot.org/uniprot/M5XWY8","M5XWY8")</f>
        <v>M5XWY8</v>
      </c>
      <c r="D390" s="2" t="s">
        <v>382</v>
      </c>
      <c r="E390" s="3">
        <v>6.15E-119</v>
      </c>
      <c r="F390" s="2">
        <v>944</v>
      </c>
      <c r="G390" s="2">
        <v>100</v>
      </c>
      <c r="H390" s="2">
        <v>229</v>
      </c>
      <c r="I390" s="2">
        <v>804</v>
      </c>
      <c r="J390" s="2">
        <v>1490</v>
      </c>
      <c r="K390" s="2">
        <v>109</v>
      </c>
      <c r="L390" s="2">
        <v>337</v>
      </c>
    </row>
    <row r="391" spans="1:12" x14ac:dyDescent="0.25">
      <c r="A391" s="4" t="str">
        <f>HYPERLINK("http://www.rosaceae.org/Prunus/Prunus_persica/p.persica_gdr_reftransV1_0001156","p.persica_gdr_reftransV1_0001156")</f>
        <v>p.persica_gdr_reftransV1_0001156</v>
      </c>
      <c r="B391" s="2">
        <v>3570</v>
      </c>
      <c r="C391" s="4" t="str">
        <f>HYPERLINK("http://www.uniprot.org/uniprot/A0A0C5GYF8","A0A0C5GYF8")</f>
        <v>A0A0C5GYF8</v>
      </c>
      <c r="D391" s="2" t="s">
        <v>383</v>
      </c>
      <c r="E391" s="3">
        <v>0</v>
      </c>
      <c r="F391" s="2">
        <v>5068</v>
      </c>
      <c r="G391" s="2">
        <v>99</v>
      </c>
      <c r="H391" s="2">
        <v>966</v>
      </c>
      <c r="I391" s="2">
        <v>495</v>
      </c>
      <c r="J391" s="2">
        <v>3392</v>
      </c>
      <c r="K391" s="2">
        <v>1</v>
      </c>
      <c r="L391" s="2">
        <v>966</v>
      </c>
    </row>
    <row r="392" spans="1:12" x14ac:dyDescent="0.25">
      <c r="A392" s="4" t="str">
        <f>HYPERLINK("http://www.rosaceae.org/Prunus/Prunus_persica/p.persica_gdr_reftransV1_0001506","p.persica_gdr_reftransV1_0001506")</f>
        <v>p.persica_gdr_reftransV1_0001506</v>
      </c>
      <c r="B392" s="2">
        <v>898</v>
      </c>
      <c r="C392" s="4" t="str">
        <f>HYPERLINK("http://www.uniprot.org/uniprot/M5Y5K8","M5Y5K8")</f>
        <v>M5Y5K8</v>
      </c>
      <c r="D392" s="2" t="s">
        <v>384</v>
      </c>
      <c r="E392" s="3">
        <v>1.5900000000000001E-93</v>
      </c>
      <c r="F392" s="2">
        <v>730</v>
      </c>
      <c r="G392" s="2">
        <v>100</v>
      </c>
      <c r="H392" s="2">
        <v>138</v>
      </c>
      <c r="I392" s="2">
        <v>159</v>
      </c>
      <c r="J392" s="2">
        <v>572</v>
      </c>
      <c r="K392" s="2">
        <v>20</v>
      </c>
      <c r="L392" s="2">
        <v>157</v>
      </c>
    </row>
    <row r="393" spans="1:12" x14ac:dyDescent="0.25">
      <c r="A393" s="4" t="str">
        <f>HYPERLINK("http://www.rosaceae.org/Prunus/Prunus_persica/p.persica_gdr_reftransV1_0002556","p.persica_gdr_reftransV1_0002556")</f>
        <v>p.persica_gdr_reftransV1_0002556</v>
      </c>
      <c r="B393" s="2">
        <v>1908</v>
      </c>
      <c r="C393" s="4" t="str">
        <f>HYPERLINK("http://www.uniprot.org/uniprot/M5XDT4","M5XDT4")</f>
        <v>M5XDT4</v>
      </c>
      <c r="D393" s="2" t="s">
        <v>385</v>
      </c>
      <c r="E393" s="3">
        <v>0</v>
      </c>
      <c r="F393" s="2">
        <v>973</v>
      </c>
      <c r="G393" s="2">
        <v>99</v>
      </c>
      <c r="H393" s="2">
        <v>184</v>
      </c>
      <c r="I393" s="2">
        <v>34</v>
      </c>
      <c r="J393" s="2">
        <v>585</v>
      </c>
      <c r="K393" s="2">
        <v>126</v>
      </c>
      <c r="L393" s="2">
        <v>309</v>
      </c>
    </row>
    <row r="394" spans="1:12" x14ac:dyDescent="0.25">
      <c r="A394" s="4" t="str">
        <f>HYPERLINK("http://www.rosaceae.org/Prunus/Prunus_persica/p.persica_gdr_reftransV1_0003256","p.persica_gdr_reftransV1_0003256")</f>
        <v>p.persica_gdr_reftransV1_0003256</v>
      </c>
      <c r="B394" s="2">
        <v>397</v>
      </c>
      <c r="C394" s="4" t="str">
        <f>HYPERLINK("http://www.uniprot.org/uniprot/W9RMU2","W9RMU2")</f>
        <v>W9RMU2</v>
      </c>
      <c r="D394" s="2" t="s">
        <v>386</v>
      </c>
      <c r="E394" s="3">
        <v>6.3699999999999997E-63</v>
      </c>
      <c r="F394" s="2">
        <v>531</v>
      </c>
      <c r="G394" s="2">
        <v>82</v>
      </c>
      <c r="H394" s="2">
        <v>130</v>
      </c>
      <c r="I394" s="2">
        <v>3</v>
      </c>
      <c r="J394" s="2">
        <v>392</v>
      </c>
      <c r="K394" s="2">
        <v>204</v>
      </c>
      <c r="L394" s="2">
        <v>333</v>
      </c>
    </row>
    <row r="395" spans="1:12" x14ac:dyDescent="0.25">
      <c r="A395" s="4" t="str">
        <f>HYPERLINK("http://www.rosaceae.org/Prunus/Prunus_persica/p.persica_gdr_reftransV1_0003956","p.persica_gdr_reftransV1_0003956")</f>
        <v>p.persica_gdr_reftransV1_0003956</v>
      </c>
      <c r="B395" s="2">
        <v>3907</v>
      </c>
      <c r="C395" s="4" t="str">
        <f>HYPERLINK("http://www.uniprot.org/uniprot/F6HLE6","F6HLE6")</f>
        <v>F6HLE6</v>
      </c>
      <c r="D395" s="2" t="s">
        <v>387</v>
      </c>
      <c r="E395" s="3">
        <v>0</v>
      </c>
      <c r="F395" s="2">
        <v>4601</v>
      </c>
      <c r="G395" s="2">
        <v>85</v>
      </c>
      <c r="H395" s="2">
        <v>1103</v>
      </c>
      <c r="I395" s="2">
        <v>582</v>
      </c>
      <c r="J395" s="2">
        <v>3887</v>
      </c>
      <c r="K395" s="2">
        <v>1</v>
      </c>
      <c r="L395" s="2">
        <v>1101</v>
      </c>
    </row>
    <row r="396" spans="1:12" x14ac:dyDescent="0.25">
      <c r="A396" s="4" t="str">
        <f>HYPERLINK("http://www.rosaceae.org/Prunus/Prunus_persica/p.persica_gdr_reftransV1_0004656","p.persica_gdr_reftransV1_0004656")</f>
        <v>p.persica_gdr_reftransV1_0004656</v>
      </c>
      <c r="B396" s="2">
        <v>1979</v>
      </c>
      <c r="C396" s="4" t="str">
        <f>HYPERLINK("http://www.uniprot.org/uniprot/M5Y8R2","M5Y8R2")</f>
        <v>M5Y8R2</v>
      </c>
      <c r="D396" s="2" t="s">
        <v>388</v>
      </c>
      <c r="E396" s="3">
        <v>0</v>
      </c>
      <c r="F396" s="2">
        <v>1018</v>
      </c>
      <c r="G396" s="2">
        <v>100</v>
      </c>
      <c r="H396" s="2">
        <v>197</v>
      </c>
      <c r="I396" s="2">
        <v>89</v>
      </c>
      <c r="J396" s="2">
        <v>679</v>
      </c>
      <c r="K396" s="2">
        <v>1</v>
      </c>
      <c r="L396" s="2">
        <v>197</v>
      </c>
    </row>
    <row r="397" spans="1:12" x14ac:dyDescent="0.25">
      <c r="A397" s="4" t="str">
        <f>HYPERLINK("http://www.rosaceae.org/Prunus/Prunus_persica/p.persica_gdr_reftransV1_0005006","p.persica_gdr_reftransV1_0005006")</f>
        <v>p.persica_gdr_reftransV1_0005006</v>
      </c>
      <c r="B397" s="2">
        <v>1581</v>
      </c>
      <c r="C397" s="4" t="str">
        <f>HYPERLINK("http://www.uniprot.org/uniprot/M5WHH2","M5WHH2")</f>
        <v>M5WHH2</v>
      </c>
      <c r="D397" s="2" t="s">
        <v>389</v>
      </c>
      <c r="E397" s="3">
        <v>2.64E-99</v>
      </c>
      <c r="F397" s="2">
        <v>794</v>
      </c>
      <c r="G397" s="2">
        <v>100</v>
      </c>
      <c r="H397" s="2">
        <v>178</v>
      </c>
      <c r="I397" s="2">
        <v>592</v>
      </c>
      <c r="J397" s="2">
        <v>1125</v>
      </c>
      <c r="K397" s="2">
        <v>1</v>
      </c>
      <c r="L397" s="2">
        <v>178</v>
      </c>
    </row>
    <row r="398" spans="1:12" x14ac:dyDescent="0.25">
      <c r="A398" s="4" t="str">
        <f>HYPERLINK("http://www.rosaceae.org/Prunus/Prunus_persica/p.persica_gdr_reftransV1_0005356","p.persica_gdr_reftransV1_0005356")</f>
        <v>p.persica_gdr_reftransV1_0005356</v>
      </c>
      <c r="B398" s="2">
        <v>534</v>
      </c>
      <c r="C398" s="4" t="str">
        <f>HYPERLINK("http://www.uniprot.org/uniprot/M5VY84","M5VY84")</f>
        <v>M5VY84</v>
      </c>
      <c r="D398" s="2" t="s">
        <v>390</v>
      </c>
      <c r="E398" s="3">
        <v>8.2899999999999999E-124</v>
      </c>
      <c r="F398" s="2">
        <v>944</v>
      </c>
      <c r="G398" s="2">
        <v>100</v>
      </c>
      <c r="H398" s="2">
        <v>174</v>
      </c>
      <c r="I398" s="2">
        <v>1</v>
      </c>
      <c r="J398" s="2">
        <v>522</v>
      </c>
      <c r="K398" s="2">
        <v>264</v>
      </c>
      <c r="L398" s="2">
        <v>437</v>
      </c>
    </row>
    <row r="399" spans="1:12" x14ac:dyDescent="0.25">
      <c r="A399" s="4" t="str">
        <f>HYPERLINK("http://www.rosaceae.org/Prunus/Prunus_persica/p.persica_gdr_reftransV1_0005706","p.persica_gdr_reftransV1_0005706")</f>
        <v>p.persica_gdr_reftransV1_0005706</v>
      </c>
      <c r="B399" s="2">
        <v>645</v>
      </c>
      <c r="C399" s="4" t="str">
        <f>HYPERLINK("http://www.uniprot.org/uniprot/M5X9I8","M5X9I8")</f>
        <v>M5X9I8</v>
      </c>
      <c r="D399" s="2" t="s">
        <v>391</v>
      </c>
      <c r="E399" s="3">
        <v>1.28E-78</v>
      </c>
      <c r="F399" s="2">
        <v>640</v>
      </c>
      <c r="G399" s="2">
        <v>100</v>
      </c>
      <c r="H399" s="2">
        <v>174</v>
      </c>
      <c r="I399" s="2">
        <v>3</v>
      </c>
      <c r="J399" s="2">
        <v>524</v>
      </c>
      <c r="K399" s="2">
        <v>178</v>
      </c>
      <c r="L399" s="2">
        <v>351</v>
      </c>
    </row>
    <row r="400" spans="1:12" x14ac:dyDescent="0.25">
      <c r="A400" s="4" t="str">
        <f>HYPERLINK("http://www.rosaceae.org/Prunus/Prunus_persica/p.persica_gdr_reftransV1_0006056","p.persica_gdr_reftransV1_0006056")</f>
        <v>p.persica_gdr_reftransV1_0006056</v>
      </c>
      <c r="B400" s="2">
        <v>2236</v>
      </c>
      <c r="C400" s="4" t="str">
        <f>HYPERLINK("http://www.uniprot.org/uniprot/M5WU58","M5WU58")</f>
        <v>M5WU58</v>
      </c>
      <c r="D400" s="2" t="s">
        <v>392</v>
      </c>
      <c r="E400" s="3">
        <v>9.8799999999999996E-100</v>
      </c>
      <c r="F400" s="2">
        <v>829</v>
      </c>
      <c r="G400" s="2">
        <v>85</v>
      </c>
      <c r="H400" s="2">
        <v>220</v>
      </c>
      <c r="I400" s="2">
        <v>1324</v>
      </c>
      <c r="J400" s="2">
        <v>1983</v>
      </c>
      <c r="K400" s="2">
        <v>179</v>
      </c>
      <c r="L400" s="2">
        <v>366</v>
      </c>
    </row>
    <row r="401" spans="1:12" x14ac:dyDescent="0.25">
      <c r="A401" s="4" t="str">
        <f>HYPERLINK("http://www.rosaceae.org/Prunus/Prunus_persica/p.persica_gdr_reftransV1_0007806","p.persica_gdr_reftransV1_0007806")</f>
        <v>p.persica_gdr_reftransV1_0007806</v>
      </c>
      <c r="B401" s="2">
        <v>2520</v>
      </c>
      <c r="C401" s="4" t="str">
        <f>HYPERLINK("http://www.uniprot.org/uniprot/M5XN81","M5XN81")</f>
        <v>M5XN81</v>
      </c>
      <c r="D401" s="2" t="s">
        <v>393</v>
      </c>
      <c r="E401" s="3">
        <v>0</v>
      </c>
      <c r="F401" s="2">
        <v>3554</v>
      </c>
      <c r="G401" s="2">
        <v>94</v>
      </c>
      <c r="H401" s="2">
        <v>715</v>
      </c>
      <c r="I401" s="2">
        <v>374</v>
      </c>
      <c r="J401" s="2">
        <v>2518</v>
      </c>
      <c r="K401" s="2">
        <v>175</v>
      </c>
      <c r="L401" s="2">
        <v>845</v>
      </c>
    </row>
    <row r="402" spans="1:12" x14ac:dyDescent="0.25">
      <c r="A402" s="4" t="str">
        <f>HYPERLINK("http://www.rosaceae.org/Prunus/Prunus_persica/p.persica_gdr_reftransV1_0008156","p.persica_gdr_reftransV1_0008156")</f>
        <v>p.persica_gdr_reftransV1_0008156</v>
      </c>
      <c r="B402" s="2">
        <v>678</v>
      </c>
      <c r="C402" s="4" t="str">
        <f>HYPERLINK("http://www.uniprot.org/uniprot/A0A0B0MPU8","A0A0B0MPU8")</f>
        <v>A0A0B0MPU8</v>
      </c>
      <c r="D402" s="2" t="s">
        <v>394</v>
      </c>
      <c r="E402" s="3">
        <v>2.04E-20</v>
      </c>
      <c r="F402" s="2">
        <v>228</v>
      </c>
      <c r="G402" s="2">
        <v>65</v>
      </c>
      <c r="H402" s="2">
        <v>65</v>
      </c>
      <c r="I402" s="2">
        <v>104</v>
      </c>
      <c r="J402" s="2">
        <v>298</v>
      </c>
      <c r="K402" s="2">
        <v>14</v>
      </c>
      <c r="L402" s="2">
        <v>78</v>
      </c>
    </row>
    <row r="403" spans="1:12" x14ac:dyDescent="0.25">
      <c r="A403" s="4" t="str">
        <f>HYPERLINK("http://www.rosaceae.org/Prunus/Prunus_persica/p.persica_gdr_reftransV1_0009556","p.persica_gdr_reftransV1_0009556")</f>
        <v>p.persica_gdr_reftransV1_0009556</v>
      </c>
      <c r="B403" s="2">
        <v>883</v>
      </c>
      <c r="C403" s="4" t="str">
        <f>HYPERLINK("http://www.uniprot.org/uniprot/M5WB35","M5WB35")</f>
        <v>M5WB35</v>
      </c>
      <c r="D403" s="2" t="s">
        <v>395</v>
      </c>
      <c r="E403" s="3">
        <v>2.8500000000000002E-28</v>
      </c>
      <c r="F403" s="2">
        <v>291</v>
      </c>
      <c r="G403" s="2">
        <v>100</v>
      </c>
      <c r="H403" s="2">
        <v>81</v>
      </c>
      <c r="I403" s="2">
        <v>406</v>
      </c>
      <c r="J403" s="2">
        <v>648</v>
      </c>
      <c r="K403" s="2">
        <v>64</v>
      </c>
      <c r="L403" s="2">
        <v>144</v>
      </c>
    </row>
    <row r="404" spans="1:12" x14ac:dyDescent="0.25">
      <c r="A404" s="4" t="str">
        <f>HYPERLINK("http://www.rosaceae.org/Prunus/Prunus_persica/p.persica_gdr_reftransV1_0010956","p.persica_gdr_reftransV1_0010956")</f>
        <v>p.persica_gdr_reftransV1_0010956</v>
      </c>
      <c r="B404" s="2">
        <v>432</v>
      </c>
      <c r="C404" s="4" t="str">
        <f>HYPERLINK("http://www.uniprot.org/uniprot/M5VUE7","M5VUE7")</f>
        <v>M5VUE7</v>
      </c>
      <c r="D404" s="2" t="s">
        <v>396</v>
      </c>
      <c r="E404" s="3">
        <v>9.2099999999999996E-95</v>
      </c>
      <c r="F404" s="2">
        <v>759</v>
      </c>
      <c r="G404" s="2">
        <v>97</v>
      </c>
      <c r="H404" s="2">
        <v>144</v>
      </c>
      <c r="I404" s="2">
        <v>1</v>
      </c>
      <c r="J404" s="2">
        <v>432</v>
      </c>
      <c r="K404" s="2">
        <v>427</v>
      </c>
      <c r="L404" s="2">
        <v>570</v>
      </c>
    </row>
    <row r="405" spans="1:12" x14ac:dyDescent="0.25">
      <c r="A405" s="4" t="str">
        <f>HYPERLINK("http://www.rosaceae.org/Prunus/Prunus_persica/p.persica_gdr_reftransV1_0011306","p.persica_gdr_reftransV1_0011306")</f>
        <v>p.persica_gdr_reftransV1_0011306</v>
      </c>
      <c r="B405" s="2">
        <v>4540</v>
      </c>
      <c r="C405" s="4" t="str">
        <f>HYPERLINK("http://www.uniprot.org/uniprot/M5WNU3","M5WNU3")</f>
        <v>M5WNU3</v>
      </c>
      <c r="D405" s="2" t="s">
        <v>397</v>
      </c>
      <c r="E405" s="3">
        <v>0</v>
      </c>
      <c r="F405" s="2">
        <v>6318</v>
      </c>
      <c r="G405" s="2">
        <v>99</v>
      </c>
      <c r="H405" s="2">
        <v>1300</v>
      </c>
      <c r="I405" s="2">
        <v>361</v>
      </c>
      <c r="J405" s="2">
        <v>4254</v>
      </c>
      <c r="K405" s="2">
        <v>1</v>
      </c>
      <c r="L405" s="2">
        <v>1285</v>
      </c>
    </row>
    <row r="406" spans="1:12" x14ac:dyDescent="0.25">
      <c r="A406" s="4" t="str">
        <f>HYPERLINK("http://www.rosaceae.org/Prunus/Prunus_persica/p.persica_gdr_reftransV1_0012006","p.persica_gdr_reftransV1_0012006")</f>
        <v>p.persica_gdr_reftransV1_0012006</v>
      </c>
      <c r="B406" s="2">
        <v>4935</v>
      </c>
      <c r="C406" s="4" t="str">
        <f>HYPERLINK("http://www.uniprot.org/uniprot/M5WXH9","M5WXH9")</f>
        <v>M5WXH9</v>
      </c>
      <c r="D406" s="2" t="s">
        <v>398</v>
      </c>
      <c r="E406" s="3">
        <v>0</v>
      </c>
      <c r="F406" s="2">
        <v>3001</v>
      </c>
      <c r="G406" s="2">
        <v>96</v>
      </c>
      <c r="H406" s="2">
        <v>617</v>
      </c>
      <c r="I406" s="2">
        <v>2649</v>
      </c>
      <c r="J406" s="2">
        <v>4499</v>
      </c>
      <c r="K406" s="2">
        <v>99</v>
      </c>
      <c r="L406" s="2">
        <v>691</v>
      </c>
    </row>
    <row r="407" spans="1:12" x14ac:dyDescent="0.25">
      <c r="A407" s="4" t="str">
        <f>HYPERLINK("http://www.rosaceae.org/Prunus/Prunus_persica/p.persica_gdr_reftransV1_0012356","p.persica_gdr_reftransV1_0012356")</f>
        <v>p.persica_gdr_reftransV1_0012356</v>
      </c>
      <c r="B407" s="2">
        <v>1271</v>
      </c>
      <c r="C407" s="4" t="str">
        <f>HYPERLINK("http://www.uniprot.org/uniprot/M5VYH3","M5VYH3")</f>
        <v>M5VYH3</v>
      </c>
      <c r="D407" s="2" t="s">
        <v>399</v>
      </c>
      <c r="E407" s="3">
        <v>1.5599999999999999E-88</v>
      </c>
      <c r="F407" s="2">
        <v>731</v>
      </c>
      <c r="G407" s="2">
        <v>100</v>
      </c>
      <c r="H407" s="2">
        <v>237</v>
      </c>
      <c r="I407" s="2">
        <v>107</v>
      </c>
      <c r="J407" s="2">
        <v>817</v>
      </c>
      <c r="K407" s="2">
        <v>161</v>
      </c>
      <c r="L407" s="2">
        <v>397</v>
      </c>
    </row>
    <row r="408" spans="1:12" x14ac:dyDescent="0.25">
      <c r="A408" s="4" t="str">
        <f>HYPERLINK("http://www.rosaceae.org/Prunus/Prunus_persica/p.persica_gdr_reftransV1_0012706","p.persica_gdr_reftransV1_0012706")</f>
        <v>p.persica_gdr_reftransV1_0012706</v>
      </c>
      <c r="B408" s="2">
        <v>928</v>
      </c>
      <c r="C408" s="4" t="str">
        <f>HYPERLINK("http://www.uniprot.org/uniprot/M5VP42","M5VP42")</f>
        <v>M5VP42</v>
      </c>
      <c r="D408" s="2" t="s">
        <v>400</v>
      </c>
      <c r="E408" s="3">
        <v>4.1700000000000002E-91</v>
      </c>
      <c r="F408" s="2">
        <v>720</v>
      </c>
      <c r="G408" s="2">
        <v>100</v>
      </c>
      <c r="H408" s="2">
        <v>159</v>
      </c>
      <c r="I408" s="2">
        <v>204</v>
      </c>
      <c r="J408" s="2">
        <v>680</v>
      </c>
      <c r="K408" s="2">
        <v>1</v>
      </c>
      <c r="L408" s="2">
        <v>159</v>
      </c>
    </row>
    <row r="409" spans="1:12" x14ac:dyDescent="0.25">
      <c r="A409" s="4" t="str">
        <f>HYPERLINK("http://www.rosaceae.org/Prunus/Prunus_persica/p.persica_gdr_reftransV1_0013056","p.persica_gdr_reftransV1_0013056")</f>
        <v>p.persica_gdr_reftransV1_0013056</v>
      </c>
      <c r="B409" s="2">
        <v>2001</v>
      </c>
      <c r="C409" s="4" t="str">
        <f>HYPERLINK("http://www.uniprot.org/uniprot/M5XSE8","M5XSE8")</f>
        <v>M5XSE8</v>
      </c>
      <c r="D409" s="2" t="s">
        <v>401</v>
      </c>
      <c r="E409" s="3">
        <v>0</v>
      </c>
      <c r="F409" s="2">
        <v>3111</v>
      </c>
      <c r="G409" s="2">
        <v>99</v>
      </c>
      <c r="H409" s="2">
        <v>666</v>
      </c>
      <c r="I409" s="2">
        <v>3</v>
      </c>
      <c r="J409" s="2">
        <v>1997</v>
      </c>
      <c r="K409" s="2">
        <v>18</v>
      </c>
      <c r="L409" s="2">
        <v>681</v>
      </c>
    </row>
    <row r="410" spans="1:12" x14ac:dyDescent="0.25">
      <c r="A410" s="4" t="str">
        <f>HYPERLINK("http://www.rosaceae.org/Prunus/Prunus_persica/p.persica_gdr_reftransV1_0013406","p.persica_gdr_reftransV1_0013406")</f>
        <v>p.persica_gdr_reftransV1_0013406</v>
      </c>
      <c r="B410" s="2">
        <v>3513</v>
      </c>
      <c r="C410" s="4" t="str">
        <f>HYPERLINK("http://www.uniprot.org/uniprot/M5WGG2","M5WGG2")</f>
        <v>M5WGG2</v>
      </c>
      <c r="D410" s="2" t="s">
        <v>402</v>
      </c>
      <c r="E410" s="3">
        <v>0</v>
      </c>
      <c r="F410" s="2">
        <v>3565</v>
      </c>
      <c r="G410" s="2">
        <v>100</v>
      </c>
      <c r="H410" s="2">
        <v>908</v>
      </c>
      <c r="I410" s="2">
        <v>624</v>
      </c>
      <c r="J410" s="2">
        <v>3347</v>
      </c>
      <c r="K410" s="2">
        <v>1</v>
      </c>
      <c r="L410" s="2">
        <v>908</v>
      </c>
    </row>
    <row r="411" spans="1:12" x14ac:dyDescent="0.25">
      <c r="A411" s="4" t="str">
        <f>HYPERLINK("http://www.rosaceae.org/Prunus/Prunus_persica/p.persica_gdr_reftransV1_0014456","p.persica_gdr_reftransV1_0014456")</f>
        <v>p.persica_gdr_reftransV1_0014456</v>
      </c>
      <c r="B411" s="2">
        <v>1315</v>
      </c>
      <c r="C411" s="4" t="str">
        <f>HYPERLINK("http://www.uniprot.org/uniprot/M5WIZ7","M5WIZ7")</f>
        <v>M5WIZ7</v>
      </c>
      <c r="D411" s="2" t="s">
        <v>403</v>
      </c>
      <c r="E411" s="3">
        <v>1.19E-104</v>
      </c>
      <c r="F411" s="2">
        <v>822</v>
      </c>
      <c r="G411" s="2">
        <v>99</v>
      </c>
      <c r="H411" s="2">
        <v>175</v>
      </c>
      <c r="I411" s="2">
        <v>161</v>
      </c>
      <c r="J411" s="2">
        <v>685</v>
      </c>
      <c r="K411" s="2">
        <v>1</v>
      </c>
      <c r="L411" s="2">
        <v>175</v>
      </c>
    </row>
    <row r="412" spans="1:12" x14ac:dyDescent="0.25">
      <c r="A412" s="4" t="str">
        <f>HYPERLINK("http://www.rosaceae.org/Prunus/Prunus_persica/p.persica_gdr_reftransV1_0014806","p.persica_gdr_reftransV1_0014806")</f>
        <v>p.persica_gdr_reftransV1_0014806</v>
      </c>
      <c r="B412" s="2">
        <v>5019</v>
      </c>
      <c r="C412" s="4" t="str">
        <f>HYPERLINK("http://www.uniprot.org/uniprot/M5XLP2","M5XLP2")</f>
        <v>M5XLP2</v>
      </c>
      <c r="D412" s="2" t="s">
        <v>404</v>
      </c>
      <c r="E412" s="3">
        <v>0</v>
      </c>
      <c r="F412" s="2">
        <v>3525</v>
      </c>
      <c r="G412" s="2">
        <v>100</v>
      </c>
      <c r="H412" s="2">
        <v>741</v>
      </c>
      <c r="I412" s="2">
        <v>2307</v>
      </c>
      <c r="J412" s="2">
        <v>4529</v>
      </c>
      <c r="K412" s="2">
        <v>1</v>
      </c>
      <c r="L412" s="2">
        <v>741</v>
      </c>
    </row>
    <row r="413" spans="1:12" x14ac:dyDescent="0.25">
      <c r="A413" s="4" t="str">
        <f>HYPERLINK("http://www.rosaceae.org/Prunus/Prunus_persica/p.persica_gdr_reftransV1_0015156","p.persica_gdr_reftransV1_0015156")</f>
        <v>p.persica_gdr_reftransV1_0015156</v>
      </c>
      <c r="B413" s="2">
        <v>2954</v>
      </c>
      <c r="C413" s="4" t="str">
        <f>HYPERLINK("http://www.uniprot.org/uniprot/M5WB05","M5WB05")</f>
        <v>M5WB05</v>
      </c>
      <c r="D413" s="2" t="s">
        <v>405</v>
      </c>
      <c r="E413" s="3">
        <v>1.17E-80</v>
      </c>
      <c r="F413" s="2">
        <v>688</v>
      </c>
      <c r="G413" s="2">
        <v>100</v>
      </c>
      <c r="H413" s="2">
        <v>131</v>
      </c>
      <c r="I413" s="2">
        <v>2491</v>
      </c>
      <c r="J413" s="2">
        <v>2883</v>
      </c>
      <c r="K413" s="2">
        <v>1</v>
      </c>
      <c r="L413" s="2">
        <v>131</v>
      </c>
    </row>
    <row r="414" spans="1:12" x14ac:dyDescent="0.25">
      <c r="A414" s="4" t="str">
        <f>HYPERLINK("http://www.rosaceae.org/Prunus/Prunus_persica/p.persica_gdr_reftransV1_0015856","p.persica_gdr_reftransV1_0015856")</f>
        <v>p.persica_gdr_reftransV1_0015856</v>
      </c>
      <c r="B414" s="2">
        <v>1467</v>
      </c>
      <c r="C414" s="4" t="str">
        <f>HYPERLINK("http://www.uniprot.org/uniprot/A0A068B703","A0A068B703")</f>
        <v>A0A068B703</v>
      </c>
      <c r="D414" s="2" t="s">
        <v>406</v>
      </c>
      <c r="E414" s="3">
        <v>1.99E-85</v>
      </c>
      <c r="F414" s="2">
        <v>413</v>
      </c>
      <c r="G414" s="2">
        <v>52</v>
      </c>
      <c r="H414" s="2">
        <v>149</v>
      </c>
      <c r="I414" s="2">
        <v>542</v>
      </c>
      <c r="J414" s="2">
        <v>979</v>
      </c>
      <c r="K414" s="2">
        <v>653</v>
      </c>
      <c r="L414" s="2">
        <v>801</v>
      </c>
    </row>
    <row r="415" spans="1:12" x14ac:dyDescent="0.25">
      <c r="A415" s="4" t="str">
        <f>HYPERLINK("http://www.rosaceae.org/Prunus/Prunus_persica/p.persica_gdr_reftransV1_0017256","p.persica_gdr_reftransV1_0017256")</f>
        <v>p.persica_gdr_reftransV1_0017256</v>
      </c>
      <c r="B415" s="2">
        <v>3387</v>
      </c>
      <c r="C415" s="4" t="str">
        <f>HYPERLINK("http://www.uniprot.org/uniprot/M5VY91","M5VY91")</f>
        <v>M5VY91</v>
      </c>
      <c r="D415" s="2" t="s">
        <v>407</v>
      </c>
      <c r="E415" s="3">
        <v>1.56E-147</v>
      </c>
      <c r="F415" s="2">
        <v>1187</v>
      </c>
      <c r="G415" s="2">
        <v>99</v>
      </c>
      <c r="H415" s="2">
        <v>223</v>
      </c>
      <c r="I415" s="2">
        <v>2379</v>
      </c>
      <c r="J415" s="2">
        <v>3047</v>
      </c>
      <c r="K415" s="2">
        <v>33</v>
      </c>
      <c r="L415" s="2">
        <v>255</v>
      </c>
    </row>
    <row r="416" spans="1:12" x14ac:dyDescent="0.25">
      <c r="A416" s="4" t="str">
        <f>HYPERLINK("http://www.rosaceae.org/Prunus/Prunus_persica/p.persica_gdr_reftransV1_0017606","p.persica_gdr_reftransV1_0017606")</f>
        <v>p.persica_gdr_reftransV1_0017606</v>
      </c>
      <c r="B416" s="2">
        <v>1012</v>
      </c>
      <c r="C416" s="4" t="str">
        <f>HYPERLINK("http://www.uniprot.org/uniprot/M5Y077","M5Y077")</f>
        <v>M5Y077</v>
      </c>
      <c r="D416" s="2" t="s">
        <v>408</v>
      </c>
      <c r="E416" s="3">
        <v>3.2999999999999998E-68</v>
      </c>
      <c r="F416" s="2">
        <v>563</v>
      </c>
      <c r="G416" s="2">
        <v>99</v>
      </c>
      <c r="H416" s="2">
        <v>135</v>
      </c>
      <c r="I416" s="2">
        <v>206</v>
      </c>
      <c r="J416" s="2">
        <v>610</v>
      </c>
      <c r="K416" s="2">
        <v>1</v>
      </c>
      <c r="L416" s="2">
        <v>135</v>
      </c>
    </row>
    <row r="417" spans="1:12" x14ac:dyDescent="0.25">
      <c r="A417" s="4" t="str">
        <f>HYPERLINK("http://www.rosaceae.org/Prunus/Prunus_persica/p.persica_gdr_reftransV1_0017956","p.persica_gdr_reftransV1_0017956")</f>
        <v>p.persica_gdr_reftransV1_0017956</v>
      </c>
      <c r="B417" s="2">
        <v>1772</v>
      </c>
      <c r="C417" s="4" t="str">
        <f>HYPERLINK("http://www.uniprot.org/uniprot/M5WSZ8","M5WSZ8")</f>
        <v>M5WSZ8</v>
      </c>
      <c r="D417" s="2" t="s">
        <v>409</v>
      </c>
      <c r="E417" s="3">
        <v>1.4300000000000001E-161</v>
      </c>
      <c r="F417" s="2">
        <v>1229</v>
      </c>
      <c r="G417" s="2">
        <v>100</v>
      </c>
      <c r="H417" s="2">
        <v>245</v>
      </c>
      <c r="I417" s="2">
        <v>3</v>
      </c>
      <c r="J417" s="2">
        <v>737</v>
      </c>
      <c r="K417" s="2">
        <v>49</v>
      </c>
      <c r="L417" s="2">
        <v>293</v>
      </c>
    </row>
    <row r="418" spans="1:12" x14ac:dyDescent="0.25">
      <c r="A418" s="4" t="str">
        <f>HYPERLINK("http://www.rosaceae.org/Prunus/Prunus_persica/p.persica_gdr_reftransV1_0020406","p.persica_gdr_reftransV1_0020406")</f>
        <v>p.persica_gdr_reftransV1_0020406</v>
      </c>
      <c r="B418" s="2">
        <v>1189</v>
      </c>
      <c r="C418" s="4" t="str">
        <f>HYPERLINK("http://www.uniprot.org/uniprot/M5WFX7","M5WFX7")</f>
        <v>M5WFX7</v>
      </c>
      <c r="D418" s="2" t="s">
        <v>410</v>
      </c>
      <c r="E418" s="3">
        <v>4.3600000000000003E-54</v>
      </c>
      <c r="F418" s="2">
        <v>479</v>
      </c>
      <c r="G418" s="2">
        <v>100</v>
      </c>
      <c r="H418" s="2">
        <v>92</v>
      </c>
      <c r="I418" s="2">
        <v>714</v>
      </c>
      <c r="J418" s="2">
        <v>989</v>
      </c>
      <c r="K418" s="2">
        <v>81</v>
      </c>
      <c r="L418" s="2">
        <v>172</v>
      </c>
    </row>
    <row r="419" spans="1:12" x14ac:dyDescent="0.25">
      <c r="A419" s="4" t="str">
        <f>HYPERLINK("http://www.rosaceae.org/Prunus/Prunus_persica/p.persica_gdr_reftransV1_0021106","p.persica_gdr_reftransV1_0021106")</f>
        <v>p.persica_gdr_reftransV1_0021106</v>
      </c>
      <c r="B419" s="2">
        <v>2234</v>
      </c>
      <c r="C419" s="4" t="str">
        <f>HYPERLINK("http://www.uniprot.org/uniprot/M5X5D5","M5X5D5")</f>
        <v>M5X5D5</v>
      </c>
      <c r="D419" s="2" t="s">
        <v>411</v>
      </c>
      <c r="E419" s="3">
        <v>1.17E-138</v>
      </c>
      <c r="F419" s="2">
        <v>1105</v>
      </c>
      <c r="G419" s="2">
        <v>89</v>
      </c>
      <c r="H419" s="2">
        <v>284</v>
      </c>
      <c r="I419" s="2">
        <v>1035</v>
      </c>
      <c r="J419" s="2">
        <v>1859</v>
      </c>
      <c r="K419" s="2">
        <v>228</v>
      </c>
      <c r="L419" s="2">
        <v>509</v>
      </c>
    </row>
    <row r="420" spans="1:12" x14ac:dyDescent="0.25">
      <c r="A420" s="4" t="str">
        <f>HYPERLINK("http://www.rosaceae.org/Prunus/Prunus_persica/p.persica_gdr_reftransV1_0021456","p.persica_gdr_reftransV1_0021456")</f>
        <v>p.persica_gdr_reftransV1_0021456</v>
      </c>
      <c r="B420" s="2">
        <v>1490</v>
      </c>
      <c r="C420" s="4" t="str">
        <f>HYPERLINK("http://www.uniprot.org/uniprot/M5WUF0","M5WUF0")</f>
        <v>M5WUF0</v>
      </c>
      <c r="D420" s="2" t="s">
        <v>412</v>
      </c>
      <c r="E420" s="3">
        <v>0</v>
      </c>
      <c r="F420" s="2">
        <v>1702</v>
      </c>
      <c r="G420" s="2">
        <v>100</v>
      </c>
      <c r="H420" s="2">
        <v>326</v>
      </c>
      <c r="I420" s="2">
        <v>362</v>
      </c>
      <c r="J420" s="2">
        <v>1339</v>
      </c>
      <c r="K420" s="2">
        <v>1</v>
      </c>
      <c r="L420" s="2">
        <v>326</v>
      </c>
    </row>
    <row r="421" spans="1:12" x14ac:dyDescent="0.25">
      <c r="A421" s="4" t="str">
        <f>HYPERLINK("http://www.rosaceae.org/Prunus/Prunus_persica/p.persica_gdr_reftransV1_0022156","p.persica_gdr_reftransV1_0022156")</f>
        <v>p.persica_gdr_reftransV1_0022156</v>
      </c>
      <c r="B421" s="2">
        <v>2107</v>
      </c>
      <c r="C421" s="4" t="str">
        <f>HYPERLINK("http://www.uniprot.org/uniprot/M5X0B5","M5X0B5")</f>
        <v>M5X0B5</v>
      </c>
      <c r="D421" s="2" t="s">
        <v>413</v>
      </c>
      <c r="E421" s="3">
        <v>5.75E-137</v>
      </c>
      <c r="F421" s="2">
        <v>1063</v>
      </c>
      <c r="G421" s="2">
        <v>100</v>
      </c>
      <c r="H421" s="2">
        <v>202</v>
      </c>
      <c r="I421" s="2">
        <v>1360</v>
      </c>
      <c r="J421" s="2">
        <v>1965</v>
      </c>
      <c r="K421" s="2">
        <v>1</v>
      </c>
      <c r="L421" s="2">
        <v>202</v>
      </c>
    </row>
    <row r="422" spans="1:12" x14ac:dyDescent="0.25">
      <c r="A422" s="4" t="str">
        <f>HYPERLINK("http://www.rosaceae.org/Prunus/Prunus_persica/p.persica_gdr_reftransV1_0022856","p.persica_gdr_reftransV1_0022856")</f>
        <v>p.persica_gdr_reftransV1_0022856</v>
      </c>
      <c r="B422" s="2">
        <v>2486</v>
      </c>
      <c r="C422" s="4" t="str">
        <f>HYPERLINK("http://www.uniprot.org/uniprot/M5VXM4","M5VXM4")</f>
        <v>M5VXM4</v>
      </c>
      <c r="D422" s="2" t="s">
        <v>414</v>
      </c>
      <c r="E422" s="3">
        <v>0</v>
      </c>
      <c r="F422" s="2">
        <v>3082</v>
      </c>
      <c r="G422" s="2">
        <v>100</v>
      </c>
      <c r="H422" s="2">
        <v>675</v>
      </c>
      <c r="I422" s="2">
        <v>271</v>
      </c>
      <c r="J422" s="2">
        <v>2295</v>
      </c>
      <c r="K422" s="2">
        <v>1</v>
      </c>
      <c r="L422" s="2">
        <v>675</v>
      </c>
    </row>
    <row r="423" spans="1:12" x14ac:dyDescent="0.25">
      <c r="A423" s="4" t="str">
        <f>HYPERLINK("http://www.rosaceae.org/Prunus/Prunus_persica/p.persica_gdr_reftransV1_0023206","p.persica_gdr_reftransV1_0023206")</f>
        <v>p.persica_gdr_reftransV1_0023206</v>
      </c>
      <c r="B423" s="2">
        <v>4386</v>
      </c>
      <c r="C423" s="4" t="str">
        <f>HYPERLINK("http://www.uniprot.org/uniprot/M5WE91","M5WE91")</f>
        <v>M5WE91</v>
      </c>
      <c r="D423" s="2" t="s">
        <v>415</v>
      </c>
      <c r="E423" s="3">
        <v>0</v>
      </c>
      <c r="F423" s="2">
        <v>4737</v>
      </c>
      <c r="G423" s="2">
        <v>100</v>
      </c>
      <c r="H423" s="2">
        <v>901</v>
      </c>
      <c r="I423" s="2">
        <v>636</v>
      </c>
      <c r="J423" s="2">
        <v>3338</v>
      </c>
      <c r="K423" s="2">
        <v>287</v>
      </c>
      <c r="L423" s="2">
        <v>1187</v>
      </c>
    </row>
    <row r="424" spans="1:12" x14ac:dyDescent="0.25">
      <c r="A424" s="4" t="str">
        <f>HYPERLINK("http://www.rosaceae.org/Prunus/Prunus_persica/p.persica_gdr_reftransV1_0024256","p.persica_gdr_reftransV1_0024256")</f>
        <v>p.persica_gdr_reftransV1_0024256</v>
      </c>
      <c r="B424" s="2">
        <v>3192</v>
      </c>
      <c r="C424" s="4" t="str">
        <f>HYPERLINK("http://www.uniprot.org/uniprot/M5VLM1","M5VLM1")</f>
        <v>M5VLM1</v>
      </c>
      <c r="D424" s="2" t="s">
        <v>416</v>
      </c>
      <c r="E424" s="3">
        <v>6.1699999999999997E-17</v>
      </c>
      <c r="F424" s="2">
        <v>225</v>
      </c>
      <c r="G424" s="2">
        <v>100</v>
      </c>
      <c r="H424" s="2">
        <v>64</v>
      </c>
      <c r="I424" s="2">
        <v>1044</v>
      </c>
      <c r="J424" s="2">
        <v>1235</v>
      </c>
      <c r="K424" s="2">
        <v>128</v>
      </c>
      <c r="L424" s="2">
        <v>191</v>
      </c>
    </row>
    <row r="425" spans="1:12" x14ac:dyDescent="0.25">
      <c r="A425" s="4" t="str">
        <f>HYPERLINK("http://www.rosaceae.org/Prunus/Prunus_persica/p.persica_gdr_reftransV1_0025306","p.persica_gdr_reftransV1_0025306")</f>
        <v>p.persica_gdr_reftransV1_0025306</v>
      </c>
      <c r="B425" s="2">
        <v>6753</v>
      </c>
      <c r="C425" s="4" t="str">
        <f>HYPERLINK("http://www.uniprot.org/uniprot/Q6L3N8","Q6L3N8")</f>
        <v>Q6L3N8</v>
      </c>
      <c r="D425" s="2" t="s">
        <v>417</v>
      </c>
      <c r="E425" s="3">
        <v>0</v>
      </c>
      <c r="F425" s="2">
        <v>1875</v>
      </c>
      <c r="G425" s="2">
        <v>39</v>
      </c>
      <c r="H425" s="2">
        <v>1270</v>
      </c>
      <c r="I425" s="2">
        <v>2</v>
      </c>
      <c r="J425" s="2">
        <v>3625</v>
      </c>
      <c r="K425" s="2">
        <v>85</v>
      </c>
      <c r="L425" s="2">
        <v>1323</v>
      </c>
    </row>
    <row r="426" spans="1:12" x14ac:dyDescent="0.25">
      <c r="A426" s="4" t="str">
        <f>HYPERLINK("http://www.rosaceae.org/Prunus/Prunus_persica/p.persica_gdr_reftransV1_0027056","p.persica_gdr_reftransV1_0027056")</f>
        <v>p.persica_gdr_reftransV1_0027056</v>
      </c>
      <c r="B426" s="2">
        <v>3602</v>
      </c>
      <c r="C426" s="4" t="str">
        <f>HYPERLINK("http://www.uniprot.org/uniprot/M5VP33","M5VP33")</f>
        <v>M5VP33</v>
      </c>
      <c r="D426" s="2" t="s">
        <v>418</v>
      </c>
      <c r="E426" s="3">
        <v>0</v>
      </c>
      <c r="F426" s="2">
        <v>1735</v>
      </c>
      <c r="G426" s="2">
        <v>100</v>
      </c>
      <c r="H426" s="2">
        <v>333</v>
      </c>
      <c r="I426" s="2">
        <v>374</v>
      </c>
      <c r="J426" s="2">
        <v>1372</v>
      </c>
      <c r="K426" s="2">
        <v>3</v>
      </c>
      <c r="L426" s="2">
        <v>335</v>
      </c>
    </row>
    <row r="427" spans="1:12" x14ac:dyDescent="0.25">
      <c r="A427" s="4" t="str">
        <f>HYPERLINK("http://www.rosaceae.org/Prunus/Prunus_persica/p.persica_gdr_reftransV1_0028106","p.persica_gdr_reftransV1_0028106")</f>
        <v>p.persica_gdr_reftransV1_0028106</v>
      </c>
      <c r="B427" s="2">
        <v>2192</v>
      </c>
      <c r="C427" s="4" t="str">
        <f>HYPERLINK("http://www.uniprot.org/uniprot/A0A067F0P3","A0A067F0P3")</f>
        <v>A0A067F0P3</v>
      </c>
      <c r="D427" s="2" t="s">
        <v>419</v>
      </c>
      <c r="E427" s="3">
        <v>1.1100000000000001E-11</v>
      </c>
      <c r="F427" s="2">
        <v>187</v>
      </c>
      <c r="G427" s="2">
        <v>33</v>
      </c>
      <c r="H427" s="2">
        <v>179</v>
      </c>
      <c r="I427" s="2">
        <v>1394</v>
      </c>
      <c r="J427" s="2">
        <v>1897</v>
      </c>
      <c r="K427" s="2">
        <v>12</v>
      </c>
      <c r="L427" s="2">
        <v>186</v>
      </c>
    </row>
    <row r="428" spans="1:12" x14ac:dyDescent="0.25">
      <c r="A428" s="4" t="str">
        <f>HYPERLINK("http://www.rosaceae.org/Prunus/Prunus_persica/p.persica_gdr_reftransV1_0028456","p.persica_gdr_reftransV1_0028456")</f>
        <v>p.persica_gdr_reftransV1_0028456</v>
      </c>
      <c r="B428" s="2">
        <v>2519</v>
      </c>
      <c r="C428" s="4" t="str">
        <f>HYPERLINK("http://www.uniprot.org/uniprot/M5XB49","M5XB49")</f>
        <v>M5XB49</v>
      </c>
      <c r="D428" s="2" t="s">
        <v>420</v>
      </c>
      <c r="E428" s="3">
        <v>0</v>
      </c>
      <c r="F428" s="2">
        <v>3180</v>
      </c>
      <c r="G428" s="2">
        <v>100</v>
      </c>
      <c r="H428" s="2">
        <v>639</v>
      </c>
      <c r="I428" s="2">
        <v>367</v>
      </c>
      <c r="J428" s="2">
        <v>2283</v>
      </c>
      <c r="K428" s="2">
        <v>1</v>
      </c>
      <c r="L428" s="2">
        <v>639</v>
      </c>
    </row>
    <row r="429" spans="1:12" x14ac:dyDescent="0.25">
      <c r="A429" s="4" t="str">
        <f>HYPERLINK("http://www.rosaceae.org/Prunus/Prunus_persica/p.persica_gdr_reftransV1_0029156","p.persica_gdr_reftransV1_0029156")</f>
        <v>p.persica_gdr_reftransV1_0029156</v>
      </c>
      <c r="B429" s="2">
        <v>2330</v>
      </c>
      <c r="C429" s="4" t="str">
        <f>HYPERLINK("http://www.uniprot.org/uniprot/V5LLY3","V5LLY3")</f>
        <v>V5LLY3</v>
      </c>
      <c r="D429" s="2" t="s">
        <v>421</v>
      </c>
      <c r="E429" s="3">
        <v>3.8600000000000001E-65</v>
      </c>
      <c r="F429" s="2">
        <v>588</v>
      </c>
      <c r="G429" s="2">
        <v>90</v>
      </c>
      <c r="H429" s="2">
        <v>167</v>
      </c>
      <c r="I429" s="2">
        <v>602</v>
      </c>
      <c r="J429" s="2">
        <v>1099</v>
      </c>
      <c r="K429" s="2">
        <v>1</v>
      </c>
      <c r="L429" s="2">
        <v>165</v>
      </c>
    </row>
    <row r="430" spans="1:12" x14ac:dyDescent="0.25">
      <c r="A430" s="4" t="str">
        <f>HYPERLINK("http://www.rosaceae.org/Prunus/Prunus_persica/p.persica_gdr_reftransV1_0033356","p.persica_gdr_reftransV1_0033356")</f>
        <v>p.persica_gdr_reftransV1_0033356</v>
      </c>
      <c r="B430" s="2">
        <v>1472</v>
      </c>
      <c r="C430" s="4" t="str">
        <f>HYPERLINK("http://www.uniprot.org/uniprot/M5VR14","M5VR14")</f>
        <v>M5VR14</v>
      </c>
      <c r="D430" s="2" t="s">
        <v>422</v>
      </c>
      <c r="E430" s="3">
        <v>1.78E-150</v>
      </c>
      <c r="F430" s="2">
        <v>1133</v>
      </c>
      <c r="G430" s="2">
        <v>100</v>
      </c>
      <c r="H430" s="2">
        <v>227</v>
      </c>
      <c r="I430" s="2">
        <v>637</v>
      </c>
      <c r="J430" s="2">
        <v>1317</v>
      </c>
      <c r="K430" s="2">
        <v>1</v>
      </c>
      <c r="L430" s="2">
        <v>227</v>
      </c>
    </row>
    <row r="431" spans="1:12" x14ac:dyDescent="0.25">
      <c r="A431" s="4" t="str">
        <f>HYPERLINK("http://www.rosaceae.org/Prunus/Prunus_persica/p.persica_gdr_reftransV1_0033706","p.persica_gdr_reftransV1_0033706")</f>
        <v>p.persica_gdr_reftransV1_0033706</v>
      </c>
      <c r="B431" s="2">
        <v>1866</v>
      </c>
      <c r="C431" s="4" t="str">
        <f>HYPERLINK("http://www.uniprot.org/uniprot/M5XL62","M5XL62")</f>
        <v>M5XL62</v>
      </c>
      <c r="D431" s="2" t="s">
        <v>423</v>
      </c>
      <c r="E431" s="3">
        <v>2.9899999999999998E-130</v>
      </c>
      <c r="F431" s="2">
        <v>1016</v>
      </c>
      <c r="G431" s="2">
        <v>100</v>
      </c>
      <c r="H431" s="2">
        <v>193</v>
      </c>
      <c r="I431" s="2">
        <v>1156</v>
      </c>
      <c r="J431" s="2">
        <v>1734</v>
      </c>
      <c r="K431" s="2">
        <v>1</v>
      </c>
      <c r="L431" s="2">
        <v>193</v>
      </c>
    </row>
    <row r="432" spans="1:12" x14ac:dyDescent="0.25">
      <c r="A432" s="4" t="str">
        <f>HYPERLINK("http://www.rosaceae.org/Prunus/Prunus_persica/p.persica_gdr_reftransV1_0035106","p.persica_gdr_reftransV1_0035106")</f>
        <v>p.persica_gdr_reftransV1_0035106</v>
      </c>
      <c r="B432" s="2">
        <v>866</v>
      </c>
      <c r="C432" s="4" t="str">
        <f>HYPERLINK("http://www.uniprot.org/uniprot/M5XDX7","M5XDX7")</f>
        <v>M5XDX7</v>
      </c>
      <c r="D432" s="2" t="s">
        <v>424</v>
      </c>
      <c r="E432" s="3">
        <v>0</v>
      </c>
      <c r="F432" s="2">
        <v>1456</v>
      </c>
      <c r="G432" s="2">
        <v>100</v>
      </c>
      <c r="H432" s="2">
        <v>270</v>
      </c>
      <c r="I432" s="2">
        <v>3</v>
      </c>
      <c r="J432" s="2">
        <v>812</v>
      </c>
      <c r="K432" s="2">
        <v>203</v>
      </c>
      <c r="L432" s="2">
        <v>472</v>
      </c>
    </row>
    <row r="433" spans="1:12" x14ac:dyDescent="0.25">
      <c r="A433" s="4" t="str">
        <f>HYPERLINK("http://www.rosaceae.org/Prunus/Prunus_persica/p.persica_gdr_reftransV1_0036506","p.persica_gdr_reftransV1_0036506")</f>
        <v>p.persica_gdr_reftransV1_0036506</v>
      </c>
      <c r="B433" s="2">
        <v>5034</v>
      </c>
      <c r="C433" s="4" t="str">
        <f>HYPERLINK("http://www.uniprot.org/uniprot/M5XKU6","M5XKU6")</f>
        <v>M5XKU6</v>
      </c>
      <c r="D433" s="2" t="s">
        <v>425</v>
      </c>
      <c r="E433" s="3">
        <v>0</v>
      </c>
      <c r="F433" s="2">
        <v>7297</v>
      </c>
      <c r="G433" s="2">
        <v>95</v>
      </c>
      <c r="H433" s="2">
        <v>1478</v>
      </c>
      <c r="I433" s="2">
        <v>388</v>
      </c>
      <c r="J433" s="2">
        <v>4821</v>
      </c>
      <c r="K433" s="2">
        <v>1</v>
      </c>
      <c r="L433" s="2">
        <v>1429</v>
      </c>
    </row>
    <row r="434" spans="1:12" x14ac:dyDescent="0.25">
      <c r="A434" s="4" t="str">
        <f>HYPERLINK("http://www.rosaceae.org/Prunus/Prunus_persica/p.persica_gdr_reftransV1_0042456","p.persica_gdr_reftransV1_0042456")</f>
        <v>p.persica_gdr_reftransV1_0042456</v>
      </c>
      <c r="B434" s="2">
        <v>4359</v>
      </c>
      <c r="C434" s="4" t="str">
        <f>HYPERLINK("http://www.uniprot.org/uniprot/M5XHJ1","M5XHJ1")</f>
        <v>M5XHJ1</v>
      </c>
      <c r="D434" s="2" t="s">
        <v>426</v>
      </c>
      <c r="E434" s="3">
        <v>3.2600000000000001E-72</v>
      </c>
      <c r="F434" s="2">
        <v>661</v>
      </c>
      <c r="G434" s="2">
        <v>87</v>
      </c>
      <c r="H434" s="2">
        <v>238</v>
      </c>
      <c r="I434" s="2">
        <v>3375</v>
      </c>
      <c r="J434" s="2">
        <v>4088</v>
      </c>
      <c r="K434" s="2">
        <v>43</v>
      </c>
      <c r="L434" s="2">
        <v>250</v>
      </c>
    </row>
    <row r="435" spans="1:12" x14ac:dyDescent="0.25">
      <c r="A435" s="4" t="str">
        <f>HYPERLINK("http://www.rosaceae.org/Prunus/Prunus_persica/p.persica_gdr_reftransV1_0043506","p.persica_gdr_reftransV1_0043506")</f>
        <v>p.persica_gdr_reftransV1_0043506</v>
      </c>
      <c r="B435" s="2">
        <v>543</v>
      </c>
      <c r="C435" s="4" t="str">
        <f>HYPERLINK("http://www.uniprot.org/uniprot/M5XJF2","M5XJF2")</f>
        <v>M5XJF2</v>
      </c>
      <c r="D435" s="2" t="s">
        <v>427</v>
      </c>
      <c r="E435" s="3">
        <v>2.9099999999999998E-125</v>
      </c>
      <c r="F435" s="2">
        <v>963</v>
      </c>
      <c r="G435" s="2">
        <v>100</v>
      </c>
      <c r="H435" s="2">
        <v>181</v>
      </c>
      <c r="I435" s="2">
        <v>1</v>
      </c>
      <c r="J435" s="2">
        <v>543</v>
      </c>
      <c r="K435" s="2">
        <v>107</v>
      </c>
      <c r="L435" s="2">
        <v>287</v>
      </c>
    </row>
    <row r="436" spans="1:12" x14ac:dyDescent="0.25">
      <c r="A436" s="4" t="str">
        <f>HYPERLINK("http://www.rosaceae.org/Prunus/Prunus_persica/p.persica_gdr_reftransV1_0043856","p.persica_gdr_reftransV1_0043856")</f>
        <v>p.persica_gdr_reftransV1_0043856</v>
      </c>
      <c r="B436" s="2">
        <v>496</v>
      </c>
      <c r="C436" s="4" t="str">
        <f>HYPERLINK("http://www.uniprot.org/uniprot/M5VVE7","M5VVE7")</f>
        <v>M5VVE7</v>
      </c>
      <c r="D436" s="2" t="s">
        <v>428</v>
      </c>
      <c r="E436" s="3">
        <v>2.8900000000000001E-101</v>
      </c>
      <c r="F436" s="2">
        <v>830</v>
      </c>
      <c r="G436" s="2">
        <v>100</v>
      </c>
      <c r="H436" s="2">
        <v>164</v>
      </c>
      <c r="I436" s="2">
        <v>3</v>
      </c>
      <c r="J436" s="2">
        <v>494</v>
      </c>
      <c r="K436" s="2">
        <v>74</v>
      </c>
      <c r="L436" s="2">
        <v>237</v>
      </c>
    </row>
    <row r="437" spans="1:12" x14ac:dyDescent="0.25">
      <c r="A437" s="4" t="str">
        <f>HYPERLINK("http://www.rosaceae.org/Prunus/Prunus_persica/p.persica_gdr_reftransV1_0044206","p.persica_gdr_reftransV1_0044206")</f>
        <v>p.persica_gdr_reftransV1_0044206</v>
      </c>
      <c r="B437" s="2">
        <v>1762</v>
      </c>
      <c r="C437" s="4" t="str">
        <f>HYPERLINK("http://www.uniprot.org/uniprot/M5WLC9","M5WLC9")</f>
        <v>M5WLC9</v>
      </c>
      <c r="D437" s="2" t="s">
        <v>429</v>
      </c>
      <c r="E437" s="3">
        <v>3.51E-154</v>
      </c>
      <c r="F437" s="2">
        <v>1221</v>
      </c>
      <c r="G437" s="2">
        <v>91</v>
      </c>
      <c r="H437" s="2">
        <v>494</v>
      </c>
      <c r="I437" s="2">
        <v>2</v>
      </c>
      <c r="J437" s="2">
        <v>1483</v>
      </c>
      <c r="K437" s="2">
        <v>1</v>
      </c>
      <c r="L437" s="2">
        <v>449</v>
      </c>
    </row>
    <row r="438" spans="1:12" x14ac:dyDescent="0.25">
      <c r="A438" s="4" t="str">
        <f>HYPERLINK("http://www.rosaceae.org/Prunus/Prunus_persica/p.persica_gdr_reftransV1_0044906","p.persica_gdr_reftransV1_0044906")</f>
        <v>p.persica_gdr_reftransV1_0044906</v>
      </c>
      <c r="B438" s="2">
        <v>1189</v>
      </c>
      <c r="C438" s="4" t="str">
        <f>HYPERLINK("http://www.uniprot.org/uniprot/M5WE80","M5WE80")</f>
        <v>M5WE80</v>
      </c>
      <c r="D438" s="2" t="s">
        <v>430</v>
      </c>
      <c r="E438" s="3">
        <v>7.6199999999999997E-176</v>
      </c>
      <c r="F438" s="2">
        <v>1367</v>
      </c>
      <c r="G438" s="2">
        <v>100</v>
      </c>
      <c r="H438" s="2">
        <v>263</v>
      </c>
      <c r="I438" s="2">
        <v>2</v>
      </c>
      <c r="J438" s="2">
        <v>790</v>
      </c>
      <c r="K438" s="2">
        <v>811</v>
      </c>
      <c r="L438" s="2">
        <v>1073</v>
      </c>
    </row>
    <row r="439" spans="1:12" x14ac:dyDescent="0.25">
      <c r="A439" s="4" t="str">
        <f>HYPERLINK("http://www.rosaceae.org/Prunus/Prunus_persica/p.persica_gdr_reftransV1_0045256","p.persica_gdr_reftransV1_0045256")</f>
        <v>p.persica_gdr_reftransV1_0045256</v>
      </c>
      <c r="B439" s="2">
        <v>2970</v>
      </c>
      <c r="C439" s="4" t="str">
        <f>HYPERLINK("http://www.uniprot.org/uniprot/M5X0A4","M5X0A4")</f>
        <v>M5X0A4</v>
      </c>
      <c r="D439" s="2" t="s">
        <v>431</v>
      </c>
      <c r="E439" s="3">
        <v>0</v>
      </c>
      <c r="F439" s="2">
        <v>1527</v>
      </c>
      <c r="G439" s="2">
        <v>99</v>
      </c>
      <c r="H439" s="2">
        <v>292</v>
      </c>
      <c r="I439" s="2">
        <v>211</v>
      </c>
      <c r="J439" s="2">
        <v>1086</v>
      </c>
      <c r="K439" s="2">
        <v>16</v>
      </c>
      <c r="L439" s="2">
        <v>305</v>
      </c>
    </row>
    <row r="440" spans="1:12" x14ac:dyDescent="0.25">
      <c r="A440" s="4" t="str">
        <f>HYPERLINK("http://www.rosaceae.org/Prunus/Prunus_persica/p.persica_gdr_reftransV1_0045606","p.persica_gdr_reftransV1_0045606")</f>
        <v>p.persica_gdr_reftransV1_0045606</v>
      </c>
      <c r="B440" s="2">
        <v>733</v>
      </c>
      <c r="C440" s="4" t="str">
        <f>HYPERLINK("http://www.uniprot.org/uniprot/M5XKH9","M5XKH9")</f>
        <v>M5XKH9</v>
      </c>
      <c r="D440" s="2" t="s">
        <v>432</v>
      </c>
      <c r="E440" s="3">
        <v>1.6299999999999999E-88</v>
      </c>
      <c r="F440" s="2">
        <v>700</v>
      </c>
      <c r="G440" s="2">
        <v>100</v>
      </c>
      <c r="H440" s="2">
        <v>175</v>
      </c>
      <c r="I440" s="2">
        <v>208</v>
      </c>
      <c r="J440" s="2">
        <v>732</v>
      </c>
      <c r="K440" s="2">
        <v>79</v>
      </c>
      <c r="L440" s="2">
        <v>253</v>
      </c>
    </row>
    <row r="441" spans="1:12" x14ac:dyDescent="0.25">
      <c r="A441" s="4" t="str">
        <f>HYPERLINK("http://www.rosaceae.org/Prunus/Prunus_persica/p.persica_gdr_reftransV1_0046306","p.persica_gdr_reftransV1_0046306")</f>
        <v>p.persica_gdr_reftransV1_0046306</v>
      </c>
      <c r="B441" s="2">
        <v>2161</v>
      </c>
      <c r="C441" s="4" t="str">
        <f>HYPERLINK("http://www.uniprot.org/uniprot/M5WZ16","M5WZ16")</f>
        <v>M5WZ16</v>
      </c>
      <c r="D441" s="2" t="s">
        <v>433</v>
      </c>
      <c r="E441" s="3">
        <v>0</v>
      </c>
      <c r="F441" s="2">
        <v>2424</v>
      </c>
      <c r="G441" s="2">
        <v>99</v>
      </c>
      <c r="H441" s="2">
        <v>482</v>
      </c>
      <c r="I441" s="2">
        <v>416</v>
      </c>
      <c r="J441" s="2">
        <v>1861</v>
      </c>
      <c r="K441" s="2">
        <v>1</v>
      </c>
      <c r="L441" s="2">
        <v>482</v>
      </c>
    </row>
    <row r="442" spans="1:12" x14ac:dyDescent="0.25">
      <c r="A442" s="4" t="str">
        <f>HYPERLINK("http://www.rosaceae.org/Prunus/Prunus_persica/p.persica_gdr_reftransV1_0046656","p.persica_gdr_reftransV1_0046656")</f>
        <v>p.persica_gdr_reftransV1_0046656</v>
      </c>
      <c r="B442" s="2">
        <v>1623</v>
      </c>
      <c r="C442" s="4" t="str">
        <f>HYPERLINK("http://www.uniprot.org/uniprot/M5WK91","M5WK91")</f>
        <v>M5WK91</v>
      </c>
      <c r="D442" s="2" t="s">
        <v>434</v>
      </c>
      <c r="E442" s="3">
        <v>0</v>
      </c>
      <c r="F442" s="2">
        <v>2428</v>
      </c>
      <c r="G442" s="2">
        <v>100</v>
      </c>
      <c r="H442" s="2">
        <v>537</v>
      </c>
      <c r="I442" s="2">
        <v>13</v>
      </c>
      <c r="J442" s="2">
        <v>1623</v>
      </c>
      <c r="K442" s="2">
        <v>1</v>
      </c>
      <c r="L442" s="2">
        <v>537</v>
      </c>
    </row>
    <row r="443" spans="1:12" x14ac:dyDescent="0.25">
      <c r="A443" s="4" t="str">
        <f>HYPERLINK("http://www.rosaceae.org/Prunus/Prunus_persica/p.persica_gdr_reftransV1_0047006","p.persica_gdr_reftransV1_0047006")</f>
        <v>p.persica_gdr_reftransV1_0047006</v>
      </c>
      <c r="B443" s="2">
        <v>1768</v>
      </c>
      <c r="C443" s="4" t="str">
        <f>HYPERLINK("http://www.uniprot.org/uniprot/M5X1J0","M5X1J0")</f>
        <v>M5X1J0</v>
      </c>
      <c r="D443" s="2" t="s">
        <v>435</v>
      </c>
      <c r="E443" s="3">
        <v>0</v>
      </c>
      <c r="F443" s="2">
        <v>2054</v>
      </c>
      <c r="G443" s="2">
        <v>100</v>
      </c>
      <c r="H443" s="2">
        <v>431</v>
      </c>
      <c r="I443" s="2">
        <v>407</v>
      </c>
      <c r="J443" s="2">
        <v>1699</v>
      </c>
      <c r="K443" s="2">
        <v>1</v>
      </c>
      <c r="L443" s="2">
        <v>431</v>
      </c>
    </row>
    <row r="444" spans="1:12" x14ac:dyDescent="0.25">
      <c r="A444" s="4" t="str">
        <f>HYPERLINK("http://www.rosaceae.org/Prunus/Prunus_persica/p.persica_gdr_reftransV1_0047356","p.persica_gdr_reftransV1_0047356")</f>
        <v>p.persica_gdr_reftransV1_0047356</v>
      </c>
      <c r="B444" s="2">
        <v>347</v>
      </c>
      <c r="C444" s="4" t="str">
        <f>HYPERLINK("http://www.uniprot.org/uniprot/M5WM38","M5WM38")</f>
        <v>M5WM38</v>
      </c>
      <c r="D444" s="2" t="s">
        <v>436</v>
      </c>
      <c r="E444" s="3">
        <v>1.19E-70</v>
      </c>
      <c r="F444" s="2">
        <v>598</v>
      </c>
      <c r="G444" s="2">
        <v>100</v>
      </c>
      <c r="H444" s="2">
        <v>115</v>
      </c>
      <c r="I444" s="2">
        <v>1</v>
      </c>
      <c r="J444" s="2">
        <v>345</v>
      </c>
      <c r="K444" s="2">
        <v>8</v>
      </c>
      <c r="L444" s="2">
        <v>122</v>
      </c>
    </row>
    <row r="445" spans="1:12" x14ac:dyDescent="0.25">
      <c r="A445" s="4" t="str">
        <f>HYPERLINK("http://www.rosaceae.org/Prunus/Prunus_persica/p.persica_gdr_reftransV1_0047706","p.persica_gdr_reftransV1_0047706")</f>
        <v>p.persica_gdr_reftransV1_0047706</v>
      </c>
      <c r="B445" s="2">
        <v>662</v>
      </c>
      <c r="C445" s="4" t="str">
        <f>HYPERLINK("http://www.uniprot.org/uniprot/M5X6W2","M5X6W2")</f>
        <v>M5X6W2</v>
      </c>
      <c r="D445" s="2" t="s">
        <v>437</v>
      </c>
      <c r="E445" s="3">
        <v>1.6E-84</v>
      </c>
      <c r="F445" s="2">
        <v>704</v>
      </c>
      <c r="G445" s="2">
        <v>100</v>
      </c>
      <c r="H445" s="2">
        <v>133</v>
      </c>
      <c r="I445" s="2">
        <v>264</v>
      </c>
      <c r="J445" s="2">
        <v>662</v>
      </c>
      <c r="K445" s="2">
        <v>22</v>
      </c>
      <c r="L445" s="2">
        <v>154</v>
      </c>
    </row>
    <row r="446" spans="1:12" x14ac:dyDescent="0.25">
      <c r="A446" s="4" t="str">
        <f>HYPERLINK("http://www.rosaceae.org/Prunus/Prunus_persica/p.persica_gdr_reftransV1_0048056","p.persica_gdr_reftransV1_0048056")</f>
        <v>p.persica_gdr_reftransV1_0048056</v>
      </c>
      <c r="B446" s="2">
        <v>1502</v>
      </c>
      <c r="C446" s="4" t="str">
        <f>HYPERLINK("http://www.uniprot.org/uniprot/M5W0U2","M5W0U2")</f>
        <v>M5W0U2</v>
      </c>
      <c r="D446" s="2" t="s">
        <v>438</v>
      </c>
      <c r="E446" s="3">
        <v>2.4599999999999999E-54</v>
      </c>
      <c r="F446" s="2">
        <v>480</v>
      </c>
      <c r="G446" s="2">
        <v>92</v>
      </c>
      <c r="H446" s="2">
        <v>119</v>
      </c>
      <c r="I446" s="2">
        <v>1112</v>
      </c>
      <c r="J446" s="2">
        <v>1468</v>
      </c>
      <c r="K446" s="2">
        <v>1</v>
      </c>
      <c r="L446" s="2">
        <v>111</v>
      </c>
    </row>
    <row r="447" spans="1:12" x14ac:dyDescent="0.25">
      <c r="A447" s="4" t="str">
        <f>HYPERLINK("http://www.rosaceae.org/Prunus/Prunus_persica/p.persica_gdr_reftransV1_0048406","p.persica_gdr_reftransV1_0048406")</f>
        <v>p.persica_gdr_reftransV1_0048406</v>
      </c>
      <c r="B447" s="2">
        <v>439</v>
      </c>
      <c r="C447" s="4" t="str">
        <f>HYPERLINK("http://www.uniprot.org/uniprot/M5WPZ2","M5WPZ2")</f>
        <v>M5WPZ2</v>
      </c>
      <c r="D447" s="2" t="s">
        <v>439</v>
      </c>
      <c r="E447" s="3">
        <v>3.7199999999999998E-89</v>
      </c>
      <c r="F447" s="2">
        <v>744</v>
      </c>
      <c r="G447" s="2">
        <v>100</v>
      </c>
      <c r="H447" s="2">
        <v>145</v>
      </c>
      <c r="I447" s="2">
        <v>3</v>
      </c>
      <c r="J447" s="2">
        <v>437</v>
      </c>
      <c r="K447" s="2">
        <v>355</v>
      </c>
      <c r="L447" s="2">
        <v>499</v>
      </c>
    </row>
    <row r="448" spans="1:12" x14ac:dyDescent="0.25">
      <c r="A448" s="4" t="str">
        <f>HYPERLINK("http://www.rosaceae.org/Prunus/Prunus_persica/p.persica_gdr_reftransV1_0049106","p.persica_gdr_reftransV1_0049106")</f>
        <v>p.persica_gdr_reftransV1_0049106</v>
      </c>
      <c r="B448" s="2">
        <v>1338</v>
      </c>
      <c r="C448" s="4" t="str">
        <f>HYPERLINK("http://www.uniprot.org/uniprot/M5X223","M5X223")</f>
        <v>M5X223</v>
      </c>
      <c r="D448" s="2" t="s">
        <v>440</v>
      </c>
      <c r="E448" s="3">
        <v>3.01E-163</v>
      </c>
      <c r="F448" s="2">
        <v>1215</v>
      </c>
      <c r="G448" s="2">
        <v>100</v>
      </c>
      <c r="H448" s="2">
        <v>246</v>
      </c>
      <c r="I448" s="2">
        <v>314</v>
      </c>
      <c r="J448" s="2">
        <v>1051</v>
      </c>
      <c r="K448" s="2">
        <v>1</v>
      </c>
      <c r="L448" s="2">
        <v>246</v>
      </c>
    </row>
    <row r="449" spans="1:12" x14ac:dyDescent="0.25">
      <c r="A449" s="4" t="str">
        <f>HYPERLINK("http://www.rosaceae.org/Prunus/Prunus_persica/p.persica_gdr_reftransV1_0000457","p.persica_gdr_reftransV1_0000457")</f>
        <v>p.persica_gdr_reftransV1_0000457</v>
      </c>
      <c r="B449" s="2">
        <v>6862</v>
      </c>
      <c r="C449" s="4" t="str">
        <f>HYPERLINK("http://www.uniprot.org/uniprot/Q8GT89","Q8GT89")</f>
        <v>Q8GT89</v>
      </c>
      <c r="D449" s="2" t="s">
        <v>441</v>
      </c>
      <c r="E449" s="3">
        <v>0</v>
      </c>
      <c r="F449" s="2">
        <v>4962</v>
      </c>
      <c r="G449" s="2">
        <v>100</v>
      </c>
      <c r="H449" s="2">
        <v>954</v>
      </c>
      <c r="I449" s="2">
        <v>349</v>
      </c>
      <c r="J449" s="2">
        <v>3210</v>
      </c>
      <c r="K449" s="2">
        <v>1</v>
      </c>
      <c r="L449" s="2">
        <v>954</v>
      </c>
    </row>
    <row r="450" spans="1:12" x14ac:dyDescent="0.25">
      <c r="A450" s="4" t="str">
        <f>HYPERLINK("http://www.rosaceae.org/Prunus/Prunus_persica/p.persica_gdr_reftransV1_0000807","p.persica_gdr_reftransV1_0000807")</f>
        <v>p.persica_gdr_reftransV1_0000807</v>
      </c>
      <c r="B450" s="2">
        <v>1224</v>
      </c>
      <c r="C450" s="4" t="str">
        <f>HYPERLINK("http://www.uniprot.org/uniprot/D8L7V9","D8L7V9")</f>
        <v>D8L7V9</v>
      </c>
      <c r="D450" s="2" t="s">
        <v>442</v>
      </c>
      <c r="E450" s="3">
        <v>0</v>
      </c>
      <c r="F450" s="2">
        <v>1645</v>
      </c>
      <c r="G450" s="2">
        <v>100</v>
      </c>
      <c r="H450" s="2">
        <v>314</v>
      </c>
      <c r="I450" s="2">
        <v>116</v>
      </c>
      <c r="J450" s="2">
        <v>1057</v>
      </c>
      <c r="K450" s="2">
        <v>1</v>
      </c>
      <c r="L450" s="2">
        <v>314</v>
      </c>
    </row>
    <row r="451" spans="1:12" x14ac:dyDescent="0.25">
      <c r="A451" s="4" t="str">
        <f>HYPERLINK("http://www.rosaceae.org/Prunus/Prunus_persica/p.persica_gdr_reftransV1_0001507","p.persica_gdr_reftransV1_0001507")</f>
        <v>p.persica_gdr_reftransV1_0001507</v>
      </c>
      <c r="B451" s="2">
        <v>828</v>
      </c>
      <c r="C451" s="4" t="str">
        <f>HYPERLINK("http://www.uniprot.org/uniprot/M5WDF1","M5WDF1")</f>
        <v>M5WDF1</v>
      </c>
      <c r="D451" s="2" t="s">
        <v>443</v>
      </c>
      <c r="E451" s="3">
        <v>5.8699999999999998E-99</v>
      </c>
      <c r="F451" s="2">
        <v>762</v>
      </c>
      <c r="G451" s="2">
        <v>100</v>
      </c>
      <c r="H451" s="2">
        <v>144</v>
      </c>
      <c r="I451" s="2">
        <v>81</v>
      </c>
      <c r="J451" s="2">
        <v>512</v>
      </c>
      <c r="K451" s="2">
        <v>1</v>
      </c>
      <c r="L451" s="2">
        <v>144</v>
      </c>
    </row>
    <row r="452" spans="1:12" x14ac:dyDescent="0.25">
      <c r="A452" s="4" t="str">
        <f>HYPERLINK("http://www.rosaceae.org/Prunus/Prunus_persica/p.persica_gdr_reftransV1_0002207","p.persica_gdr_reftransV1_0002207")</f>
        <v>p.persica_gdr_reftransV1_0002207</v>
      </c>
      <c r="B452" s="2">
        <v>1424</v>
      </c>
      <c r="C452" s="4" t="str">
        <f>HYPERLINK("http://www.uniprot.org/uniprot/M5WHD6","M5WHD6")</f>
        <v>M5WHD6</v>
      </c>
      <c r="D452" s="2" t="s">
        <v>444</v>
      </c>
      <c r="E452" s="3">
        <v>0</v>
      </c>
      <c r="F452" s="2">
        <v>1959</v>
      </c>
      <c r="G452" s="2">
        <v>100</v>
      </c>
      <c r="H452" s="2">
        <v>421</v>
      </c>
      <c r="I452" s="2">
        <v>44</v>
      </c>
      <c r="J452" s="2">
        <v>1306</v>
      </c>
      <c r="K452" s="2">
        <v>1</v>
      </c>
      <c r="L452" s="2">
        <v>421</v>
      </c>
    </row>
    <row r="453" spans="1:12" x14ac:dyDescent="0.25">
      <c r="A453" s="4" t="str">
        <f>HYPERLINK("http://www.rosaceae.org/Prunus/Prunus_persica/p.persica_gdr_reftransV1_0002907","p.persica_gdr_reftransV1_0002907")</f>
        <v>p.persica_gdr_reftransV1_0002907</v>
      </c>
      <c r="B453" s="2">
        <v>2009</v>
      </c>
      <c r="C453" s="4" t="str">
        <f>HYPERLINK("http://www.uniprot.org/uniprot/M5VQI2","M5VQI2")</f>
        <v>M5VQI2</v>
      </c>
      <c r="D453" s="2" t="s">
        <v>445</v>
      </c>
      <c r="E453" s="3">
        <v>0</v>
      </c>
      <c r="F453" s="2">
        <v>2368</v>
      </c>
      <c r="G453" s="2">
        <v>100</v>
      </c>
      <c r="H453" s="2">
        <v>462</v>
      </c>
      <c r="I453" s="2">
        <v>328</v>
      </c>
      <c r="J453" s="2">
        <v>1713</v>
      </c>
      <c r="K453" s="2">
        <v>1</v>
      </c>
      <c r="L453" s="2">
        <v>462</v>
      </c>
    </row>
    <row r="454" spans="1:12" x14ac:dyDescent="0.25">
      <c r="A454" s="4" t="str">
        <f>HYPERLINK("http://www.rosaceae.org/Prunus/Prunus_persica/p.persica_gdr_reftransV1_0003257","p.persica_gdr_reftransV1_0003257")</f>
        <v>p.persica_gdr_reftransV1_0003257</v>
      </c>
      <c r="B454" s="2">
        <v>413</v>
      </c>
      <c r="C454" s="4" t="str">
        <f>HYPERLINK("http://www.uniprot.org/uniprot/M5XE58","M5XE58")</f>
        <v>M5XE58</v>
      </c>
      <c r="D454" s="2" t="s">
        <v>446</v>
      </c>
      <c r="E454" s="3">
        <v>2.47E-93</v>
      </c>
      <c r="F454" s="2">
        <v>717</v>
      </c>
      <c r="G454" s="2">
        <v>100</v>
      </c>
      <c r="H454" s="2">
        <v>137</v>
      </c>
      <c r="I454" s="2">
        <v>1</v>
      </c>
      <c r="J454" s="2">
        <v>411</v>
      </c>
      <c r="K454" s="2">
        <v>38</v>
      </c>
      <c r="L454" s="2">
        <v>174</v>
      </c>
    </row>
    <row r="455" spans="1:12" x14ac:dyDescent="0.25">
      <c r="A455" s="4" t="str">
        <f>HYPERLINK("http://www.rosaceae.org/Prunus/Prunus_persica/p.persica_gdr_reftransV1_0003957","p.persica_gdr_reftransV1_0003957")</f>
        <v>p.persica_gdr_reftransV1_0003957</v>
      </c>
      <c r="B455" s="2">
        <v>1738</v>
      </c>
      <c r="C455" s="4" t="str">
        <f>HYPERLINK("http://www.uniprot.org/uniprot/M5VZ85","M5VZ85")</f>
        <v>M5VZ85</v>
      </c>
      <c r="D455" s="2" t="s">
        <v>447</v>
      </c>
      <c r="E455" s="3">
        <v>0</v>
      </c>
      <c r="F455" s="2">
        <v>2259</v>
      </c>
      <c r="G455" s="2">
        <v>100</v>
      </c>
      <c r="H455" s="2">
        <v>432</v>
      </c>
      <c r="I455" s="2">
        <v>315</v>
      </c>
      <c r="J455" s="2">
        <v>1610</v>
      </c>
      <c r="K455" s="2">
        <v>1</v>
      </c>
      <c r="L455" s="2">
        <v>432</v>
      </c>
    </row>
    <row r="456" spans="1:12" x14ac:dyDescent="0.25">
      <c r="A456" s="4" t="str">
        <f>HYPERLINK("http://www.rosaceae.org/Prunus/Prunus_persica/p.persica_gdr_reftransV1_0004307","p.persica_gdr_reftransV1_0004307")</f>
        <v>p.persica_gdr_reftransV1_0004307</v>
      </c>
      <c r="B456" s="2">
        <v>2433</v>
      </c>
      <c r="C456" s="4" t="str">
        <f>HYPERLINK("http://www.uniprot.org/uniprot/M5WRS4","M5WRS4")</f>
        <v>M5WRS4</v>
      </c>
      <c r="D456" s="2" t="s">
        <v>448</v>
      </c>
      <c r="E456" s="3">
        <v>0</v>
      </c>
      <c r="F456" s="2">
        <v>1614</v>
      </c>
      <c r="G456" s="2">
        <v>92</v>
      </c>
      <c r="H456" s="2">
        <v>332</v>
      </c>
      <c r="I456" s="2">
        <v>99</v>
      </c>
      <c r="J456" s="2">
        <v>1094</v>
      </c>
      <c r="K456" s="2">
        <v>1</v>
      </c>
      <c r="L456" s="2">
        <v>308</v>
      </c>
    </row>
    <row r="457" spans="1:12" x14ac:dyDescent="0.25">
      <c r="A457" s="4" t="str">
        <f>HYPERLINK("http://www.rosaceae.org/Prunus/Prunus_persica/p.persica_gdr_reftransV1_0005707","p.persica_gdr_reftransV1_0005707")</f>
        <v>p.persica_gdr_reftransV1_0005707</v>
      </c>
      <c r="B457" s="2">
        <v>636</v>
      </c>
      <c r="C457" s="4" t="str">
        <f>HYPERLINK("http://www.uniprot.org/uniprot/M5VNC6","M5VNC6")</f>
        <v>M5VNC6</v>
      </c>
      <c r="D457" s="2" t="s">
        <v>449</v>
      </c>
      <c r="E457" s="3">
        <v>1.5600000000000001E-69</v>
      </c>
      <c r="F457" s="2">
        <v>585</v>
      </c>
      <c r="G457" s="2">
        <v>100</v>
      </c>
      <c r="H457" s="2">
        <v>109</v>
      </c>
      <c r="I457" s="2">
        <v>2</v>
      </c>
      <c r="J457" s="2">
        <v>328</v>
      </c>
      <c r="K457" s="2">
        <v>315</v>
      </c>
      <c r="L457" s="2">
        <v>423</v>
      </c>
    </row>
    <row r="458" spans="1:12" x14ac:dyDescent="0.25">
      <c r="A458" s="4" t="str">
        <f>HYPERLINK("http://www.rosaceae.org/Prunus/Prunus_persica/p.persica_gdr_reftransV1_0007807","p.persica_gdr_reftransV1_0007807")</f>
        <v>p.persica_gdr_reftransV1_0007807</v>
      </c>
      <c r="B458" s="2">
        <v>1081</v>
      </c>
      <c r="C458" s="4" t="str">
        <f>HYPERLINK("http://www.uniprot.org/uniprot/M5VKW9","M5VKW9")</f>
        <v>M5VKW9</v>
      </c>
      <c r="D458" s="2" t="s">
        <v>450</v>
      </c>
      <c r="E458" s="3">
        <v>0</v>
      </c>
      <c r="F458" s="2">
        <v>1440</v>
      </c>
      <c r="G458" s="2">
        <v>89</v>
      </c>
      <c r="H458" s="2">
        <v>323</v>
      </c>
      <c r="I458" s="2">
        <v>111</v>
      </c>
      <c r="J458" s="2">
        <v>1079</v>
      </c>
      <c r="K458" s="2">
        <v>1</v>
      </c>
      <c r="L458" s="2">
        <v>286</v>
      </c>
    </row>
    <row r="459" spans="1:12" x14ac:dyDescent="0.25">
      <c r="A459" s="4" t="str">
        <f>HYPERLINK("http://www.rosaceae.org/Prunus/Prunus_persica/p.persica_gdr_reftransV1_0008157","p.persica_gdr_reftransV1_0008157")</f>
        <v>p.persica_gdr_reftransV1_0008157</v>
      </c>
      <c r="B459" s="2">
        <v>1486</v>
      </c>
      <c r="C459" s="4" t="str">
        <f>HYPERLINK("http://www.uniprot.org/uniprot/M5WBV6","M5WBV6")</f>
        <v>M5WBV6</v>
      </c>
      <c r="D459" s="2" t="s">
        <v>451</v>
      </c>
      <c r="E459" s="3">
        <v>0</v>
      </c>
      <c r="F459" s="2">
        <v>1554</v>
      </c>
      <c r="G459" s="2">
        <v>100</v>
      </c>
      <c r="H459" s="2">
        <v>313</v>
      </c>
      <c r="I459" s="2">
        <v>299</v>
      </c>
      <c r="J459" s="2">
        <v>1237</v>
      </c>
      <c r="K459" s="2">
        <v>13</v>
      </c>
      <c r="L459" s="2">
        <v>325</v>
      </c>
    </row>
    <row r="460" spans="1:12" x14ac:dyDescent="0.25">
      <c r="A460" s="4" t="str">
        <f>HYPERLINK("http://www.rosaceae.org/Prunus/Prunus_persica/p.persica_gdr_reftransV1_0009557","p.persica_gdr_reftransV1_0009557")</f>
        <v>p.persica_gdr_reftransV1_0009557</v>
      </c>
      <c r="B460" s="2">
        <v>1311</v>
      </c>
      <c r="C460" s="4" t="str">
        <f>HYPERLINK("http://www.uniprot.org/uniprot/M5WBG4","M5WBG4")</f>
        <v>M5WBG4</v>
      </c>
      <c r="D460" s="2" t="s">
        <v>452</v>
      </c>
      <c r="E460" s="3">
        <v>0</v>
      </c>
      <c r="F460" s="2">
        <v>1660</v>
      </c>
      <c r="G460" s="2">
        <v>100</v>
      </c>
      <c r="H460" s="2">
        <v>362</v>
      </c>
      <c r="I460" s="2">
        <v>167</v>
      </c>
      <c r="J460" s="2">
        <v>1252</v>
      </c>
      <c r="K460" s="2">
        <v>1</v>
      </c>
      <c r="L460" s="2">
        <v>362</v>
      </c>
    </row>
    <row r="461" spans="1:12" x14ac:dyDescent="0.25">
      <c r="A461" s="4" t="str">
        <f>HYPERLINK("http://www.rosaceae.org/Prunus/Prunus_persica/p.persica_gdr_reftransV1_0010957","p.persica_gdr_reftransV1_0010957")</f>
        <v>p.persica_gdr_reftransV1_0010957</v>
      </c>
      <c r="B461" s="2">
        <v>886</v>
      </c>
      <c r="C461" s="4" t="str">
        <f>HYPERLINK("http://www.uniprot.org/uniprot/M5XQP7","M5XQP7")</f>
        <v>M5XQP7</v>
      </c>
      <c r="D461" s="2" t="s">
        <v>453</v>
      </c>
      <c r="E461" s="3">
        <v>0</v>
      </c>
      <c r="F461" s="2">
        <v>1578</v>
      </c>
      <c r="G461" s="2">
        <v>100</v>
      </c>
      <c r="H461" s="2">
        <v>294</v>
      </c>
      <c r="I461" s="2">
        <v>3</v>
      </c>
      <c r="J461" s="2">
        <v>884</v>
      </c>
      <c r="K461" s="2">
        <v>84</v>
      </c>
      <c r="L461" s="2">
        <v>377</v>
      </c>
    </row>
    <row r="462" spans="1:12" x14ac:dyDescent="0.25">
      <c r="A462" s="4" t="str">
        <f>HYPERLINK("http://www.rosaceae.org/Prunus/Prunus_persica/p.persica_gdr_reftransV1_0011307","p.persica_gdr_reftransV1_0011307")</f>
        <v>p.persica_gdr_reftransV1_0011307</v>
      </c>
      <c r="B462" s="2">
        <v>893</v>
      </c>
      <c r="C462" s="4" t="str">
        <f>HYPERLINK("http://www.uniprot.org/uniprot/M5W9N1","M5W9N1")</f>
        <v>M5W9N1</v>
      </c>
      <c r="D462" s="2" t="s">
        <v>454</v>
      </c>
      <c r="E462" s="3">
        <v>5.2699999999999996E-90</v>
      </c>
      <c r="F462" s="2">
        <v>704</v>
      </c>
      <c r="G462" s="2">
        <v>98</v>
      </c>
      <c r="H462" s="2">
        <v>133</v>
      </c>
      <c r="I462" s="2">
        <v>151</v>
      </c>
      <c r="J462" s="2">
        <v>549</v>
      </c>
      <c r="K462" s="2">
        <v>1</v>
      </c>
      <c r="L462" s="2">
        <v>133</v>
      </c>
    </row>
    <row r="463" spans="1:12" x14ac:dyDescent="0.25">
      <c r="A463" s="4" t="str">
        <f>HYPERLINK("http://www.rosaceae.org/Prunus/Prunus_persica/p.persica_gdr_reftransV1_0012007","p.persica_gdr_reftransV1_0012007")</f>
        <v>p.persica_gdr_reftransV1_0012007</v>
      </c>
      <c r="B463" s="2">
        <v>1619</v>
      </c>
      <c r="C463" s="4" t="str">
        <f>HYPERLINK("http://www.uniprot.org/uniprot/M5X2C5","M5X2C5")</f>
        <v>M5X2C5</v>
      </c>
      <c r="D463" s="2" t="s">
        <v>455</v>
      </c>
      <c r="E463" s="3">
        <v>1.45E-97</v>
      </c>
      <c r="F463" s="2">
        <v>783</v>
      </c>
      <c r="G463" s="2">
        <v>100</v>
      </c>
      <c r="H463" s="2">
        <v>201</v>
      </c>
      <c r="I463" s="2">
        <v>569</v>
      </c>
      <c r="J463" s="2">
        <v>1171</v>
      </c>
      <c r="K463" s="2">
        <v>1</v>
      </c>
      <c r="L463" s="2">
        <v>201</v>
      </c>
    </row>
    <row r="464" spans="1:12" x14ac:dyDescent="0.25">
      <c r="A464" s="4" t="str">
        <f>HYPERLINK("http://www.rosaceae.org/Prunus/Prunus_persica/p.persica_gdr_reftransV1_0013057","p.persica_gdr_reftransV1_0013057")</f>
        <v>p.persica_gdr_reftransV1_0013057</v>
      </c>
      <c r="B464" s="2">
        <v>5060</v>
      </c>
      <c r="C464" s="4" t="str">
        <f>HYPERLINK("http://www.uniprot.org/uniprot/M5W776","M5W776")</f>
        <v>M5W776</v>
      </c>
      <c r="D464" s="2" t="s">
        <v>456</v>
      </c>
      <c r="E464" s="3">
        <v>0</v>
      </c>
      <c r="F464" s="2">
        <v>6767</v>
      </c>
      <c r="G464" s="2">
        <v>92</v>
      </c>
      <c r="H464" s="2">
        <v>1452</v>
      </c>
      <c r="I464" s="2">
        <v>392</v>
      </c>
      <c r="J464" s="2">
        <v>4747</v>
      </c>
      <c r="K464" s="2">
        <v>1</v>
      </c>
      <c r="L464" s="2">
        <v>1425</v>
      </c>
    </row>
    <row r="465" spans="1:12" x14ac:dyDescent="0.25">
      <c r="A465" s="4" t="str">
        <f>HYPERLINK("http://www.rosaceae.org/Prunus/Prunus_persica/p.persica_gdr_reftransV1_0013757","p.persica_gdr_reftransV1_0013757")</f>
        <v>p.persica_gdr_reftransV1_0013757</v>
      </c>
      <c r="B465" s="2">
        <v>3071</v>
      </c>
      <c r="C465" s="4" t="str">
        <f>HYPERLINK("http://www.uniprot.org/uniprot/M5W6F0","M5W6F0")</f>
        <v>M5W6F0</v>
      </c>
      <c r="D465" s="2" t="s">
        <v>457</v>
      </c>
      <c r="E465" s="3">
        <v>0</v>
      </c>
      <c r="F465" s="2">
        <v>2171</v>
      </c>
      <c r="G465" s="2">
        <v>88</v>
      </c>
      <c r="H465" s="2">
        <v>520</v>
      </c>
      <c r="I465" s="2">
        <v>441</v>
      </c>
      <c r="J465" s="2">
        <v>2000</v>
      </c>
      <c r="K465" s="2">
        <v>1</v>
      </c>
      <c r="L465" s="2">
        <v>467</v>
      </c>
    </row>
    <row r="466" spans="1:12" x14ac:dyDescent="0.25">
      <c r="A466" s="4" t="str">
        <f>HYPERLINK("http://www.rosaceae.org/Prunus/Prunus_persica/p.persica_gdr_reftransV1_0014107","p.persica_gdr_reftransV1_0014107")</f>
        <v>p.persica_gdr_reftransV1_0014107</v>
      </c>
      <c r="B466" s="2">
        <v>1082</v>
      </c>
      <c r="C466" s="4" t="str">
        <f>HYPERLINK("http://www.uniprot.org/uniprot/M5VKQ9","M5VKQ9")</f>
        <v>M5VKQ9</v>
      </c>
      <c r="D466" s="2" t="s">
        <v>458</v>
      </c>
      <c r="E466" s="3">
        <v>0</v>
      </c>
      <c r="F466" s="2">
        <v>1494</v>
      </c>
      <c r="G466" s="2">
        <v>100</v>
      </c>
      <c r="H466" s="2">
        <v>276</v>
      </c>
      <c r="I466" s="2">
        <v>67</v>
      </c>
      <c r="J466" s="2">
        <v>894</v>
      </c>
      <c r="K466" s="2">
        <v>20</v>
      </c>
      <c r="L466" s="2">
        <v>295</v>
      </c>
    </row>
    <row r="467" spans="1:12" x14ac:dyDescent="0.25">
      <c r="A467" s="4" t="str">
        <f>HYPERLINK("http://www.rosaceae.org/Prunus/Prunus_persica/p.persica_gdr_reftransV1_0015857","p.persica_gdr_reftransV1_0015857")</f>
        <v>p.persica_gdr_reftransV1_0015857</v>
      </c>
      <c r="B467" s="2">
        <v>427</v>
      </c>
      <c r="C467" s="4" t="str">
        <f>HYPERLINK("http://www.uniprot.org/uniprot/M5Wid7","M5Wid7")</f>
        <v>M5Wid7</v>
      </c>
      <c r="D467" s="2" t="s">
        <v>459</v>
      </c>
      <c r="E467" s="3">
        <v>4.1499999999999998E-91</v>
      </c>
      <c r="F467" s="2">
        <v>753</v>
      </c>
      <c r="G467" s="2">
        <v>100</v>
      </c>
      <c r="H467" s="2">
        <v>142</v>
      </c>
      <c r="I467" s="2">
        <v>1</v>
      </c>
      <c r="J467" s="2">
        <v>426</v>
      </c>
      <c r="K467" s="2">
        <v>39</v>
      </c>
      <c r="L467" s="2">
        <v>180</v>
      </c>
    </row>
    <row r="468" spans="1:12" x14ac:dyDescent="0.25">
      <c r="A468" s="4" t="str">
        <f>HYPERLINK("http://www.rosaceae.org/Prunus/Prunus_persica/p.persica_gdr_reftransV1_0017607","p.persica_gdr_reftransV1_0017607")</f>
        <v>p.persica_gdr_reftransV1_0017607</v>
      </c>
      <c r="B468" s="2">
        <v>2971</v>
      </c>
      <c r="C468" s="4" t="str">
        <f>HYPERLINK("http://www.uniprot.org/uniprot/M5VXJ6","M5VXJ6")</f>
        <v>M5VXJ6</v>
      </c>
      <c r="D468" s="2" t="s">
        <v>460</v>
      </c>
      <c r="E468" s="3">
        <v>0</v>
      </c>
      <c r="F468" s="2">
        <v>4457</v>
      </c>
      <c r="G468" s="2">
        <v>100</v>
      </c>
      <c r="H468" s="2">
        <v>874</v>
      </c>
      <c r="I468" s="2">
        <v>64</v>
      </c>
      <c r="J468" s="2">
        <v>2685</v>
      </c>
      <c r="K468" s="2">
        <v>1</v>
      </c>
      <c r="L468" s="2">
        <v>874</v>
      </c>
    </row>
    <row r="469" spans="1:12" x14ac:dyDescent="0.25">
      <c r="A469" s="4" t="str">
        <f>HYPERLINK("http://www.rosaceae.org/Prunus/Prunus_persica/p.persica_gdr_reftransV1_0019007","p.persica_gdr_reftransV1_0019007")</f>
        <v>p.persica_gdr_reftransV1_0019007</v>
      </c>
      <c r="B469" s="2">
        <v>1655</v>
      </c>
      <c r="C469" s="4" t="str">
        <f>HYPERLINK("http://www.uniprot.org/uniprot/M5WXC5","M5WXC5")</f>
        <v>M5WXC5</v>
      </c>
      <c r="D469" s="2" t="s">
        <v>461</v>
      </c>
      <c r="E469" s="3">
        <v>0</v>
      </c>
      <c r="F469" s="2">
        <v>1436</v>
      </c>
      <c r="G469" s="2">
        <v>98</v>
      </c>
      <c r="H469" s="2">
        <v>308</v>
      </c>
      <c r="I469" s="2">
        <v>664</v>
      </c>
      <c r="J469" s="2">
        <v>1587</v>
      </c>
      <c r="K469" s="2">
        <v>3</v>
      </c>
      <c r="L469" s="2">
        <v>310</v>
      </c>
    </row>
    <row r="470" spans="1:12" x14ac:dyDescent="0.25">
      <c r="A470" s="4" t="str">
        <f>HYPERLINK("http://www.rosaceae.org/Prunus/Prunus_persica/p.persica_gdr_reftransV1_0019357","p.persica_gdr_reftransV1_0019357")</f>
        <v>p.persica_gdr_reftransV1_0019357</v>
      </c>
      <c r="B470" s="2">
        <v>1536</v>
      </c>
      <c r="C470" s="4" t="str">
        <f>HYPERLINK("http://www.uniprot.org/uniprot/M5XK41","M5XK41")</f>
        <v>M5XK41</v>
      </c>
      <c r="D470" s="2" t="s">
        <v>462</v>
      </c>
      <c r="E470" s="3">
        <v>1.58E-105</v>
      </c>
      <c r="F470" s="2">
        <v>838</v>
      </c>
      <c r="G470" s="2">
        <v>100</v>
      </c>
      <c r="H470" s="2">
        <v>156</v>
      </c>
      <c r="I470" s="2">
        <v>1067</v>
      </c>
      <c r="J470" s="2">
        <v>1534</v>
      </c>
      <c r="K470" s="2">
        <v>12</v>
      </c>
      <c r="L470" s="2">
        <v>167</v>
      </c>
    </row>
    <row r="471" spans="1:12" x14ac:dyDescent="0.25">
      <c r="A471" s="4" t="str">
        <f>HYPERLINK("http://www.rosaceae.org/Prunus/Prunus_persica/p.persica_gdr_reftransV1_0019707","p.persica_gdr_reftransV1_0019707")</f>
        <v>p.persica_gdr_reftransV1_0019707</v>
      </c>
      <c r="B471" s="2">
        <v>7564</v>
      </c>
      <c r="C471" s="4" t="str">
        <f>HYPERLINK("http://www.uniprot.org/uniprot/M5XKL3","M5XKL3")</f>
        <v>M5XKL3</v>
      </c>
      <c r="D471" s="2" t="s">
        <v>463</v>
      </c>
      <c r="E471" s="3">
        <v>0</v>
      </c>
      <c r="F471" s="2">
        <v>4233</v>
      </c>
      <c r="G471" s="2">
        <v>91</v>
      </c>
      <c r="H471" s="2">
        <v>877</v>
      </c>
      <c r="I471" s="2">
        <v>4049</v>
      </c>
      <c r="J471" s="2">
        <v>6679</v>
      </c>
      <c r="K471" s="2">
        <v>1</v>
      </c>
      <c r="L471" s="2">
        <v>802</v>
      </c>
    </row>
    <row r="472" spans="1:12" x14ac:dyDescent="0.25">
      <c r="A472" s="4" t="str">
        <f>HYPERLINK("http://www.rosaceae.org/Prunus/Prunus_persica/p.persica_gdr_reftransV1_0020407","p.persica_gdr_reftransV1_0020407")</f>
        <v>p.persica_gdr_reftransV1_0020407</v>
      </c>
      <c r="B472" s="2">
        <v>3001</v>
      </c>
      <c r="C472" s="4" t="str">
        <f>HYPERLINK("http://www.uniprot.org/uniprot/M5X700","M5X700")</f>
        <v>M5X700</v>
      </c>
      <c r="D472" s="2" t="s">
        <v>464</v>
      </c>
      <c r="E472" s="3">
        <v>0</v>
      </c>
      <c r="F472" s="2">
        <v>3670</v>
      </c>
      <c r="G472" s="2">
        <v>100</v>
      </c>
      <c r="H472" s="2">
        <v>745</v>
      </c>
      <c r="I472" s="2">
        <v>765</v>
      </c>
      <c r="J472" s="2">
        <v>2999</v>
      </c>
      <c r="K472" s="2">
        <v>97</v>
      </c>
      <c r="L472" s="2">
        <v>841</v>
      </c>
    </row>
    <row r="473" spans="1:12" x14ac:dyDescent="0.25">
      <c r="A473" s="4" t="str">
        <f>HYPERLINK("http://www.rosaceae.org/Prunus/Prunus_persica/p.persica_gdr_reftransV1_0021457","p.persica_gdr_reftransV1_0021457")</f>
        <v>p.persica_gdr_reftransV1_0021457</v>
      </c>
      <c r="B473" s="2">
        <v>936</v>
      </c>
      <c r="C473" s="4" t="str">
        <f>HYPERLINK("http://www.uniprot.org/uniprot/M5VVR8","M5VVR8")</f>
        <v>M5VVR8</v>
      </c>
      <c r="D473" s="2" t="s">
        <v>465</v>
      </c>
      <c r="E473" s="3">
        <v>1.2499999999999999E-113</v>
      </c>
      <c r="F473" s="2">
        <v>930</v>
      </c>
      <c r="G473" s="2">
        <v>100</v>
      </c>
      <c r="H473" s="2">
        <v>172</v>
      </c>
      <c r="I473" s="2">
        <v>1</v>
      </c>
      <c r="J473" s="2">
        <v>516</v>
      </c>
      <c r="K473" s="2">
        <v>803</v>
      </c>
      <c r="L473" s="2">
        <v>974</v>
      </c>
    </row>
    <row r="474" spans="1:12" x14ac:dyDescent="0.25">
      <c r="A474" s="4" t="str">
        <f>HYPERLINK("http://www.rosaceae.org/Prunus/Prunus_persica/p.persica_gdr_reftransV1_0022157","p.persica_gdr_reftransV1_0022157")</f>
        <v>p.persica_gdr_reftransV1_0022157</v>
      </c>
      <c r="B474" s="2">
        <v>1010</v>
      </c>
      <c r="C474" s="4" t="str">
        <f>HYPERLINK("http://www.uniprot.org/uniprot/M5WWN3","M5WWN3")</f>
        <v>M5WWN3</v>
      </c>
      <c r="D474" s="2" t="s">
        <v>466</v>
      </c>
      <c r="E474" s="3">
        <v>7.03E-106</v>
      </c>
      <c r="F474" s="2">
        <v>819</v>
      </c>
      <c r="G474" s="2">
        <v>86</v>
      </c>
      <c r="H474" s="2">
        <v>190</v>
      </c>
      <c r="I474" s="2">
        <v>211</v>
      </c>
      <c r="J474" s="2">
        <v>780</v>
      </c>
      <c r="K474" s="2">
        <v>29</v>
      </c>
      <c r="L474" s="2">
        <v>192</v>
      </c>
    </row>
    <row r="475" spans="1:12" x14ac:dyDescent="0.25">
      <c r="A475" s="4" t="str">
        <f>HYPERLINK("http://www.rosaceae.org/Prunus/Prunus_persica/p.persica_gdr_reftransV1_0022857","p.persica_gdr_reftransV1_0022857")</f>
        <v>p.persica_gdr_reftransV1_0022857</v>
      </c>
      <c r="B475" s="2">
        <v>1150</v>
      </c>
      <c r="C475" s="4" t="str">
        <f>HYPERLINK("http://www.uniprot.org/uniprot/M5XSV8","M5XSV8")</f>
        <v>M5XSV8</v>
      </c>
      <c r="D475" s="2" t="s">
        <v>467</v>
      </c>
      <c r="E475" s="3">
        <v>9.4600000000000005E-18</v>
      </c>
      <c r="F475" s="2">
        <v>144</v>
      </c>
      <c r="G475" s="2">
        <v>79</v>
      </c>
      <c r="H475" s="2">
        <v>34</v>
      </c>
      <c r="I475" s="2">
        <v>738</v>
      </c>
      <c r="J475" s="2">
        <v>839</v>
      </c>
      <c r="K475" s="2">
        <v>1</v>
      </c>
      <c r="L475" s="2">
        <v>34</v>
      </c>
    </row>
    <row r="476" spans="1:12" x14ac:dyDescent="0.25">
      <c r="A476" s="4" t="str">
        <f>HYPERLINK("http://www.rosaceae.org/Prunus/Prunus_persica/p.persica_gdr_reftransV1_0023207","p.persica_gdr_reftransV1_0023207")</f>
        <v>p.persica_gdr_reftransV1_0023207</v>
      </c>
      <c r="B476" s="2">
        <v>2211</v>
      </c>
      <c r="C476" s="4" t="str">
        <f>HYPERLINK("http://www.uniprot.org/uniprot/M5WIP1","M5WIP1")</f>
        <v>M5WIP1</v>
      </c>
      <c r="D476" s="2" t="s">
        <v>468</v>
      </c>
      <c r="E476" s="3">
        <v>3.8800000000000002E-176</v>
      </c>
      <c r="F476" s="2">
        <v>1347</v>
      </c>
      <c r="G476" s="2">
        <v>90</v>
      </c>
      <c r="H476" s="2">
        <v>303</v>
      </c>
      <c r="I476" s="2">
        <v>184</v>
      </c>
      <c r="J476" s="2">
        <v>1092</v>
      </c>
      <c r="K476" s="2">
        <v>1</v>
      </c>
      <c r="L476" s="2">
        <v>275</v>
      </c>
    </row>
    <row r="477" spans="1:12" x14ac:dyDescent="0.25">
      <c r="A477" s="4" t="str">
        <f>HYPERLINK("http://www.rosaceae.org/Prunus/Prunus_persica/p.persica_gdr_reftransV1_0024257","p.persica_gdr_reftransV1_0024257")</f>
        <v>p.persica_gdr_reftransV1_0024257</v>
      </c>
      <c r="B477" s="2">
        <v>1442</v>
      </c>
      <c r="C477" s="4" t="str">
        <f>HYPERLINK("http://www.uniprot.org/uniprot/M5XM75","M5XM75")</f>
        <v>M5XM75</v>
      </c>
      <c r="D477" s="2" t="s">
        <v>469</v>
      </c>
      <c r="E477" s="3">
        <v>0</v>
      </c>
      <c r="F477" s="2">
        <v>1619</v>
      </c>
      <c r="G477" s="2">
        <v>100</v>
      </c>
      <c r="H477" s="2">
        <v>334</v>
      </c>
      <c r="I477" s="2">
        <v>439</v>
      </c>
      <c r="J477" s="2">
        <v>1440</v>
      </c>
      <c r="K477" s="2">
        <v>1</v>
      </c>
      <c r="L477" s="2">
        <v>334</v>
      </c>
    </row>
    <row r="478" spans="1:12" x14ac:dyDescent="0.25">
      <c r="A478" s="4" t="str">
        <f>HYPERLINK("http://www.rosaceae.org/Prunus/Prunus_persica/p.persica_gdr_reftransV1_0024607","p.persica_gdr_reftransV1_0024607")</f>
        <v>p.persica_gdr_reftransV1_0024607</v>
      </c>
      <c r="B478" s="2">
        <v>1845</v>
      </c>
      <c r="C478" s="4" t="str">
        <f>HYPERLINK("http://www.uniprot.org/uniprot/M5XD86","M5XD86")</f>
        <v>M5XD86</v>
      </c>
      <c r="D478" s="2" t="s">
        <v>470</v>
      </c>
      <c r="E478" s="3">
        <v>0</v>
      </c>
      <c r="F478" s="2">
        <v>1916</v>
      </c>
      <c r="G478" s="2">
        <v>100</v>
      </c>
      <c r="H478" s="2">
        <v>405</v>
      </c>
      <c r="I478" s="2">
        <v>366</v>
      </c>
      <c r="J478" s="2">
        <v>1580</v>
      </c>
      <c r="K478" s="2">
        <v>10</v>
      </c>
      <c r="L478" s="2">
        <v>414</v>
      </c>
    </row>
    <row r="479" spans="1:12" x14ac:dyDescent="0.25">
      <c r="A479" s="4" t="str">
        <f>HYPERLINK("http://www.rosaceae.org/Prunus/Prunus_persica/p.persica_gdr_reftransV1_0025307","p.persica_gdr_reftransV1_0025307")</f>
        <v>p.persica_gdr_reftransV1_0025307</v>
      </c>
      <c r="B479" s="2">
        <v>351</v>
      </c>
      <c r="C479" s="4" t="str">
        <f>HYPERLINK("http://www.uniprot.org/uniprot/M5XCZ4","M5XCZ4")</f>
        <v>M5XCZ4</v>
      </c>
      <c r="D479" s="2" t="s">
        <v>471</v>
      </c>
      <c r="E479" s="3">
        <v>1.53E-50</v>
      </c>
      <c r="F479" s="2">
        <v>450</v>
      </c>
      <c r="G479" s="2">
        <v>100</v>
      </c>
      <c r="H479" s="2">
        <v>105</v>
      </c>
      <c r="I479" s="2">
        <v>1</v>
      </c>
      <c r="J479" s="2">
        <v>315</v>
      </c>
      <c r="K479" s="2">
        <v>1</v>
      </c>
      <c r="L479" s="2">
        <v>105</v>
      </c>
    </row>
    <row r="480" spans="1:12" x14ac:dyDescent="0.25">
      <c r="A480" s="4" t="str">
        <f>HYPERLINK("http://www.rosaceae.org/Prunus/Prunus_persica/p.persica_gdr_reftransV1_0027757","p.persica_gdr_reftransV1_0027757")</f>
        <v>p.persica_gdr_reftransV1_0027757</v>
      </c>
      <c r="B480" s="2">
        <v>4837</v>
      </c>
      <c r="C480" s="4" t="str">
        <f>HYPERLINK("http://www.uniprot.org/uniprot/M5X9Q7","M5X9Q7")</f>
        <v>M5X9Q7</v>
      </c>
      <c r="D480" s="2" t="s">
        <v>472</v>
      </c>
      <c r="E480" s="3">
        <v>0</v>
      </c>
      <c r="F480" s="2">
        <v>3830</v>
      </c>
      <c r="G480" s="2">
        <v>100</v>
      </c>
      <c r="H480" s="2">
        <v>847</v>
      </c>
      <c r="I480" s="2">
        <v>2041</v>
      </c>
      <c r="J480" s="2">
        <v>4581</v>
      </c>
      <c r="K480" s="2">
        <v>23</v>
      </c>
      <c r="L480" s="2">
        <v>869</v>
      </c>
    </row>
    <row r="481" spans="1:12" x14ac:dyDescent="0.25">
      <c r="A481" s="4" t="str">
        <f>HYPERLINK("http://www.rosaceae.org/Prunus/Prunus_persica/p.persica_gdr_reftransV1_0029157","p.persica_gdr_reftransV1_0029157")</f>
        <v>p.persica_gdr_reftransV1_0029157</v>
      </c>
      <c r="B481" s="2">
        <v>1291</v>
      </c>
      <c r="C481" s="4" t="str">
        <f>HYPERLINK("http://www.uniprot.org/uniprot/M5XR99","M5XR99")</f>
        <v>M5XR99</v>
      </c>
      <c r="D481" s="2" t="s">
        <v>473</v>
      </c>
      <c r="E481" s="3">
        <v>0</v>
      </c>
      <c r="F481" s="2">
        <v>1445</v>
      </c>
      <c r="G481" s="2">
        <v>86</v>
      </c>
      <c r="H481" s="2">
        <v>369</v>
      </c>
      <c r="I481" s="2">
        <v>184</v>
      </c>
      <c r="J481" s="2">
        <v>1290</v>
      </c>
      <c r="K481" s="2">
        <v>1</v>
      </c>
      <c r="L481" s="2">
        <v>317</v>
      </c>
    </row>
    <row r="482" spans="1:12" x14ac:dyDescent="0.25">
      <c r="A482" s="4" t="str">
        <f>HYPERLINK("http://www.rosaceae.org/Prunus/Prunus_persica/p.persica_gdr_reftransV1_0030557","p.persica_gdr_reftransV1_0030557")</f>
        <v>p.persica_gdr_reftransV1_0030557</v>
      </c>
      <c r="B482" s="2">
        <v>841</v>
      </c>
      <c r="C482" s="4" t="str">
        <f>HYPERLINK("http://www.uniprot.org/uniprot/M5WWU7","M5WWU7")</f>
        <v>M5WWU7</v>
      </c>
      <c r="D482" s="2" t="s">
        <v>474</v>
      </c>
      <c r="E482" s="3">
        <v>4.7399999999999998E-7</v>
      </c>
      <c r="F482" s="2">
        <v>134</v>
      </c>
      <c r="G482" s="2">
        <v>100</v>
      </c>
      <c r="H482" s="2">
        <v>27</v>
      </c>
      <c r="I482" s="2">
        <v>267</v>
      </c>
      <c r="J482" s="2">
        <v>347</v>
      </c>
      <c r="K482" s="2">
        <v>47</v>
      </c>
      <c r="L482" s="2">
        <v>73</v>
      </c>
    </row>
    <row r="483" spans="1:12" x14ac:dyDescent="0.25">
      <c r="A483" s="4" t="str">
        <f>HYPERLINK("http://www.rosaceae.org/Prunus/Prunus_persica/p.persica_gdr_reftransV1_0031257","p.persica_gdr_reftransV1_0031257")</f>
        <v>p.persica_gdr_reftransV1_0031257</v>
      </c>
      <c r="B483" s="2">
        <v>1731</v>
      </c>
      <c r="C483" s="4" t="str">
        <f>HYPERLINK("http://www.uniprot.org/uniprot/M5XEF5","M5XEF5")</f>
        <v>M5XEF5</v>
      </c>
      <c r="D483" s="2" t="s">
        <v>475</v>
      </c>
      <c r="E483" s="3">
        <v>0</v>
      </c>
      <c r="F483" s="2">
        <v>2500</v>
      </c>
      <c r="G483" s="2">
        <v>100</v>
      </c>
      <c r="H483" s="2">
        <v>488</v>
      </c>
      <c r="I483" s="2">
        <v>176</v>
      </c>
      <c r="J483" s="2">
        <v>1639</v>
      </c>
      <c r="K483" s="2">
        <v>17</v>
      </c>
      <c r="L483" s="2">
        <v>504</v>
      </c>
    </row>
    <row r="484" spans="1:12" x14ac:dyDescent="0.25">
      <c r="A484" s="4" t="str">
        <f>HYPERLINK("http://www.rosaceae.org/Prunus/Prunus_persica/p.persica_gdr_reftransV1_0031607","p.persica_gdr_reftransV1_0031607")</f>
        <v>p.persica_gdr_reftransV1_0031607</v>
      </c>
      <c r="B484" s="2">
        <v>2246</v>
      </c>
      <c r="C484" s="4" t="str">
        <f>HYPERLINK("http://www.uniprot.org/uniprot/M5WVA9","M5WVA9")</f>
        <v>M5WVA9</v>
      </c>
      <c r="D484" s="2" t="s">
        <v>476</v>
      </c>
      <c r="E484" s="3">
        <v>0</v>
      </c>
      <c r="F484" s="2">
        <v>2015</v>
      </c>
      <c r="G484" s="2">
        <v>89</v>
      </c>
      <c r="H484" s="2">
        <v>453</v>
      </c>
      <c r="I484" s="2">
        <v>730</v>
      </c>
      <c r="J484" s="2">
        <v>2088</v>
      </c>
      <c r="K484" s="2">
        <v>1</v>
      </c>
      <c r="L484" s="2">
        <v>404</v>
      </c>
    </row>
    <row r="485" spans="1:12" x14ac:dyDescent="0.25">
      <c r="A485" s="4" t="str">
        <f>HYPERLINK("http://www.rosaceae.org/Prunus/Prunus_persica/p.persica_gdr_reftransV1_0032307","p.persica_gdr_reftransV1_0032307")</f>
        <v>p.persica_gdr_reftransV1_0032307</v>
      </c>
      <c r="B485" s="2">
        <v>2955</v>
      </c>
      <c r="C485" s="4" t="str">
        <f>HYPERLINK("http://www.uniprot.org/uniprot/M5WTB2","M5WTB2")</f>
        <v>M5WTB2</v>
      </c>
      <c r="D485" s="2" t="s">
        <v>477</v>
      </c>
      <c r="E485" s="3">
        <v>9.0000000000000004E-131</v>
      </c>
      <c r="F485" s="2">
        <v>1048</v>
      </c>
      <c r="G485" s="2">
        <v>99</v>
      </c>
      <c r="H485" s="2">
        <v>209</v>
      </c>
      <c r="I485" s="2">
        <v>646</v>
      </c>
      <c r="J485" s="2">
        <v>1272</v>
      </c>
      <c r="K485" s="2">
        <v>61</v>
      </c>
      <c r="L485" s="2">
        <v>268</v>
      </c>
    </row>
    <row r="486" spans="1:12" x14ac:dyDescent="0.25">
      <c r="A486" s="4" t="str">
        <f>HYPERLINK("http://www.rosaceae.org/Prunus/Prunus_persica/p.persica_gdr_reftransV1_0034407","p.persica_gdr_reftransV1_0034407")</f>
        <v>p.persica_gdr_reftransV1_0034407</v>
      </c>
      <c r="B486" s="2">
        <v>3209</v>
      </c>
      <c r="C486" s="4" t="str">
        <f>HYPERLINK("http://www.uniprot.org/uniprot/M5WJ15","M5WJ15")</f>
        <v>M5WJ15</v>
      </c>
      <c r="D486" s="2" t="s">
        <v>478</v>
      </c>
      <c r="E486" s="3">
        <v>4.8900000000000003E-161</v>
      </c>
      <c r="F486" s="2">
        <v>1290</v>
      </c>
      <c r="G486" s="2">
        <v>99</v>
      </c>
      <c r="H486" s="2">
        <v>313</v>
      </c>
      <c r="I486" s="2">
        <v>1117</v>
      </c>
      <c r="J486" s="2">
        <v>2055</v>
      </c>
      <c r="K486" s="2">
        <v>137</v>
      </c>
      <c r="L486" s="2">
        <v>449</v>
      </c>
    </row>
    <row r="487" spans="1:12" x14ac:dyDescent="0.25">
      <c r="A487" s="4" t="str">
        <f>HYPERLINK("http://www.rosaceae.org/Prunus/Prunus_persica/p.persica_gdr_reftransV1_0036157","p.persica_gdr_reftransV1_0036157")</f>
        <v>p.persica_gdr_reftransV1_0036157</v>
      </c>
      <c r="B487" s="2">
        <v>2376</v>
      </c>
      <c r="C487" s="4" t="str">
        <f>HYPERLINK("http://www.uniprot.org/uniprot/M5WZH9","M5WZH9")</f>
        <v>M5WZH9</v>
      </c>
      <c r="D487" s="2" t="s">
        <v>479</v>
      </c>
      <c r="E487" s="3">
        <v>0</v>
      </c>
      <c r="F487" s="2">
        <v>1982</v>
      </c>
      <c r="G487" s="2">
        <v>100</v>
      </c>
      <c r="H487" s="2">
        <v>374</v>
      </c>
      <c r="I487" s="2">
        <v>890</v>
      </c>
      <c r="J487" s="2">
        <v>2011</v>
      </c>
      <c r="K487" s="2">
        <v>69</v>
      </c>
      <c r="L487" s="2">
        <v>442</v>
      </c>
    </row>
    <row r="488" spans="1:12" x14ac:dyDescent="0.25">
      <c r="A488" s="4" t="str">
        <f>HYPERLINK("http://www.rosaceae.org/Prunus/Prunus_persica/p.persica_gdr_reftransV1_0037557","p.persica_gdr_reftransV1_0037557")</f>
        <v>p.persica_gdr_reftransV1_0037557</v>
      </c>
      <c r="B488" s="2">
        <v>3051</v>
      </c>
      <c r="C488" s="4" t="str">
        <f>HYPERLINK("http://www.uniprot.org/uniprot/M5VXL2","M5VXL2")</f>
        <v>M5VXL2</v>
      </c>
      <c r="D488" s="2" t="s">
        <v>480</v>
      </c>
      <c r="E488" s="3">
        <v>0</v>
      </c>
      <c r="F488" s="2">
        <v>1617</v>
      </c>
      <c r="G488" s="2">
        <v>91</v>
      </c>
      <c r="H488" s="2">
        <v>422</v>
      </c>
      <c r="I488" s="2">
        <v>1260</v>
      </c>
      <c r="J488" s="2">
        <v>2525</v>
      </c>
      <c r="K488" s="2">
        <v>1</v>
      </c>
      <c r="L488" s="2">
        <v>385</v>
      </c>
    </row>
    <row r="489" spans="1:12" x14ac:dyDescent="0.25">
      <c r="A489" s="4" t="str">
        <f>HYPERLINK("http://www.rosaceae.org/Prunus/Prunus_persica/p.persica_gdr_reftransV1_0037907","p.persica_gdr_reftransV1_0037907")</f>
        <v>p.persica_gdr_reftransV1_0037907</v>
      </c>
      <c r="B489" s="2">
        <v>1779</v>
      </c>
      <c r="C489" s="4" t="str">
        <f>HYPERLINK("http://www.uniprot.org/uniprot/M5WTM4","M5WTM4")</f>
        <v>M5WTM4</v>
      </c>
      <c r="D489" s="2" t="s">
        <v>481</v>
      </c>
      <c r="E489" s="3">
        <v>0</v>
      </c>
      <c r="F489" s="2">
        <v>2210</v>
      </c>
      <c r="G489" s="2">
        <v>99</v>
      </c>
      <c r="H489" s="2">
        <v>447</v>
      </c>
      <c r="I489" s="2">
        <v>310</v>
      </c>
      <c r="J489" s="2">
        <v>1650</v>
      </c>
      <c r="K489" s="2">
        <v>1</v>
      </c>
      <c r="L489" s="2">
        <v>447</v>
      </c>
    </row>
    <row r="490" spans="1:12" x14ac:dyDescent="0.25">
      <c r="A490" s="4" t="str">
        <f>HYPERLINK("http://www.rosaceae.org/Prunus/Prunus_persica/p.persica_gdr_reftransV1_0040007","p.persica_gdr_reftransV1_0040007")</f>
        <v>p.persica_gdr_reftransV1_0040007</v>
      </c>
      <c r="B490" s="2">
        <v>3252</v>
      </c>
      <c r="C490" s="4" t="str">
        <f>HYPERLINK("http://www.uniprot.org/uniprot/M5VZF8","M5VZF8")</f>
        <v>M5VZF8</v>
      </c>
      <c r="D490" s="2" t="s">
        <v>482</v>
      </c>
      <c r="E490" s="3">
        <v>0</v>
      </c>
      <c r="F490" s="2">
        <v>1234</v>
      </c>
      <c r="G490" s="2">
        <v>100</v>
      </c>
      <c r="H490" s="2">
        <v>249</v>
      </c>
      <c r="I490" s="2">
        <v>452</v>
      </c>
      <c r="J490" s="2">
        <v>1198</v>
      </c>
      <c r="K490" s="2">
        <v>6</v>
      </c>
      <c r="L490" s="2">
        <v>254</v>
      </c>
    </row>
    <row r="491" spans="1:12" x14ac:dyDescent="0.25">
      <c r="A491" s="4" t="str">
        <f>HYPERLINK("http://www.rosaceae.org/Prunus/Prunus_persica/p.persica_gdr_reftransV1_0040357","p.persica_gdr_reftransV1_0040357")</f>
        <v>p.persica_gdr_reftransV1_0040357</v>
      </c>
      <c r="B491" s="2">
        <v>2325</v>
      </c>
      <c r="C491" s="4" t="str">
        <f>HYPERLINK("http://www.uniprot.org/uniprot/M5VZN6","M5VZN6")</f>
        <v>M5VZN6</v>
      </c>
      <c r="D491" s="2" t="s">
        <v>483</v>
      </c>
      <c r="E491" s="3">
        <v>2.6700000000000002E-102</v>
      </c>
      <c r="F491" s="2">
        <v>839</v>
      </c>
      <c r="G491" s="2">
        <v>98</v>
      </c>
      <c r="H491" s="2">
        <v>171</v>
      </c>
      <c r="I491" s="2">
        <v>265</v>
      </c>
      <c r="J491" s="2">
        <v>777</v>
      </c>
      <c r="K491" s="2">
        <v>1</v>
      </c>
      <c r="L491" s="2">
        <v>171</v>
      </c>
    </row>
    <row r="492" spans="1:12" x14ac:dyDescent="0.25">
      <c r="A492" s="4" t="str">
        <f>HYPERLINK("http://www.rosaceae.org/Prunus/Prunus_persica/p.persica_gdr_reftransV1_0041407","p.persica_gdr_reftransV1_0041407")</f>
        <v>p.persica_gdr_reftransV1_0041407</v>
      </c>
      <c r="B492" s="2">
        <v>867</v>
      </c>
      <c r="C492" s="4" t="str">
        <f>HYPERLINK("http://www.uniprot.org/uniprot/M5XB62","M5XB62")</f>
        <v>M5XB62</v>
      </c>
      <c r="D492" s="2" t="s">
        <v>484</v>
      </c>
      <c r="E492" s="3">
        <v>2.0199999999999999E-67</v>
      </c>
      <c r="F492" s="2">
        <v>547</v>
      </c>
      <c r="G492" s="2">
        <v>97</v>
      </c>
      <c r="H492" s="2">
        <v>108</v>
      </c>
      <c r="I492" s="2">
        <v>154</v>
      </c>
      <c r="J492" s="2">
        <v>477</v>
      </c>
      <c r="K492" s="2">
        <v>43</v>
      </c>
      <c r="L492" s="2">
        <v>150</v>
      </c>
    </row>
    <row r="493" spans="1:12" x14ac:dyDescent="0.25">
      <c r="A493" s="4" t="str">
        <f>HYPERLINK("http://www.rosaceae.org/Prunus/Prunus_persica/p.persica_gdr_reftransV1_0042107","p.persica_gdr_reftransV1_0042107")</f>
        <v>p.persica_gdr_reftransV1_0042107</v>
      </c>
      <c r="B493" s="2">
        <v>2802</v>
      </c>
      <c r="C493" s="4" t="str">
        <f>HYPERLINK("http://www.uniprot.org/uniprot/M5XDF1","M5XDF1")</f>
        <v>M5XDF1</v>
      </c>
      <c r="D493" s="2" t="s">
        <v>485</v>
      </c>
      <c r="E493" s="3">
        <v>3.3300000000000002E-81</v>
      </c>
      <c r="F493" s="2">
        <v>699</v>
      </c>
      <c r="G493" s="2">
        <v>96</v>
      </c>
      <c r="H493" s="2">
        <v>142</v>
      </c>
      <c r="I493" s="2">
        <v>2041</v>
      </c>
      <c r="J493" s="2">
        <v>2466</v>
      </c>
      <c r="K493" s="2">
        <v>89</v>
      </c>
      <c r="L493" s="2">
        <v>230</v>
      </c>
    </row>
    <row r="494" spans="1:12" x14ac:dyDescent="0.25">
      <c r="A494" s="4" t="str">
        <f>HYPERLINK("http://www.rosaceae.org/Prunus/Prunus_persica/p.persica_gdr_reftransV1_0043157","p.persica_gdr_reftransV1_0043157")</f>
        <v>p.persica_gdr_reftransV1_0043157</v>
      </c>
      <c r="B494" s="2">
        <v>1054</v>
      </c>
      <c r="C494" s="4" t="str">
        <f>HYPERLINK("http://www.uniprot.org/uniprot/M5WV79","M5WV79")</f>
        <v>M5WV79</v>
      </c>
      <c r="D494" s="2" t="s">
        <v>486</v>
      </c>
      <c r="E494" s="3">
        <v>5.8500000000000003E-148</v>
      </c>
      <c r="F494" s="2">
        <v>1101</v>
      </c>
      <c r="G494" s="2">
        <v>100</v>
      </c>
      <c r="H494" s="2">
        <v>209</v>
      </c>
      <c r="I494" s="2">
        <v>228</v>
      </c>
      <c r="J494" s="2">
        <v>854</v>
      </c>
      <c r="K494" s="2">
        <v>7</v>
      </c>
      <c r="L494" s="2">
        <v>215</v>
      </c>
    </row>
    <row r="495" spans="1:12" x14ac:dyDescent="0.25">
      <c r="A495" s="4" t="str">
        <f>HYPERLINK("http://www.rosaceae.org/Prunus/Prunus_persica/p.persica_gdr_reftransV1_0043507","p.persica_gdr_reftransV1_0043507")</f>
        <v>p.persica_gdr_reftransV1_0043507</v>
      </c>
      <c r="B495" s="2">
        <v>1238</v>
      </c>
      <c r="C495" s="4" t="str">
        <f>HYPERLINK("http://www.uniprot.org/uniprot/A0A067L0V5","A0A067L0V5")</f>
        <v>A0A067L0V5</v>
      </c>
      <c r="D495" s="2" t="s">
        <v>487</v>
      </c>
      <c r="E495" s="3">
        <v>6.14E-96</v>
      </c>
      <c r="F495" s="2">
        <v>790</v>
      </c>
      <c r="G495" s="2">
        <v>57</v>
      </c>
      <c r="H495" s="2">
        <v>334</v>
      </c>
      <c r="I495" s="2">
        <v>159</v>
      </c>
      <c r="J495" s="2">
        <v>1133</v>
      </c>
      <c r="K495" s="2">
        <v>188</v>
      </c>
      <c r="L495" s="2">
        <v>517</v>
      </c>
    </row>
    <row r="496" spans="1:12" x14ac:dyDescent="0.25">
      <c r="A496" s="4" t="str">
        <f>HYPERLINK("http://www.rosaceae.org/Prunus/Prunus_persica/p.persica_gdr_reftransV1_0043857","p.persica_gdr_reftransV1_0043857")</f>
        <v>p.persica_gdr_reftransV1_0043857</v>
      </c>
      <c r="B496" s="2">
        <v>957</v>
      </c>
      <c r="C496" s="4" t="str">
        <f>HYPERLINK("http://www.uniprot.org/uniprot/M5WRS8","M5WRS8")</f>
        <v>M5WRS8</v>
      </c>
      <c r="D496" s="2" t="s">
        <v>488</v>
      </c>
      <c r="E496" s="3">
        <v>6.24E-109</v>
      </c>
      <c r="F496" s="2">
        <v>838</v>
      </c>
      <c r="G496" s="2">
        <v>100</v>
      </c>
      <c r="H496" s="2">
        <v>187</v>
      </c>
      <c r="I496" s="2">
        <v>272</v>
      </c>
      <c r="J496" s="2">
        <v>832</v>
      </c>
      <c r="K496" s="2">
        <v>11</v>
      </c>
      <c r="L496" s="2">
        <v>197</v>
      </c>
    </row>
    <row r="497" spans="1:12" x14ac:dyDescent="0.25">
      <c r="A497" s="4" t="str">
        <f>HYPERLINK("http://www.rosaceae.org/Prunus/Prunus_persica/p.persica_gdr_reftransV1_0044207","p.persica_gdr_reftransV1_0044207")</f>
        <v>p.persica_gdr_reftransV1_0044207</v>
      </c>
      <c r="B497" s="2">
        <v>1047</v>
      </c>
      <c r="C497" s="4" t="str">
        <f>HYPERLINK("http://www.uniprot.org/uniprot/M5WG95","M5WG95")</f>
        <v>M5WG95</v>
      </c>
      <c r="D497" s="2" t="s">
        <v>489</v>
      </c>
      <c r="E497" s="3">
        <v>1.0100000000000001E-158</v>
      </c>
      <c r="F497" s="2">
        <v>1195</v>
      </c>
      <c r="G497" s="2">
        <v>96</v>
      </c>
      <c r="H497" s="2">
        <v>271</v>
      </c>
      <c r="I497" s="2">
        <v>233</v>
      </c>
      <c r="J497" s="2">
        <v>1045</v>
      </c>
      <c r="K497" s="2">
        <v>197</v>
      </c>
      <c r="L497" s="2">
        <v>455</v>
      </c>
    </row>
    <row r="498" spans="1:12" x14ac:dyDescent="0.25">
      <c r="A498" s="4" t="str">
        <f>HYPERLINK("http://www.rosaceae.org/Prunus/Prunus_persica/p.persica_gdr_reftransV1_0044557","p.persica_gdr_reftransV1_0044557")</f>
        <v>p.persica_gdr_reftransV1_0044557</v>
      </c>
      <c r="B498" s="2">
        <v>1033</v>
      </c>
      <c r="C498" s="4" t="str">
        <f>HYPERLINK("http://www.uniprot.org/uniprot/M5Y084","M5Y084")</f>
        <v>M5Y084</v>
      </c>
      <c r="D498" s="2" t="s">
        <v>490</v>
      </c>
      <c r="E498" s="3">
        <v>2.1699999999999998E-168</v>
      </c>
      <c r="F498" s="2">
        <v>1237</v>
      </c>
      <c r="G498" s="2">
        <v>100</v>
      </c>
      <c r="H498" s="2">
        <v>238</v>
      </c>
      <c r="I498" s="2">
        <v>81</v>
      </c>
      <c r="J498" s="2">
        <v>794</v>
      </c>
      <c r="K498" s="2">
        <v>1</v>
      </c>
      <c r="L498" s="2">
        <v>238</v>
      </c>
    </row>
    <row r="499" spans="1:12" x14ac:dyDescent="0.25">
      <c r="A499" s="4" t="str">
        <f>HYPERLINK("http://www.rosaceae.org/Prunus/Prunus_persica/p.persica_gdr_reftransV1_0044907","p.persica_gdr_reftransV1_0044907")</f>
        <v>p.persica_gdr_reftransV1_0044907</v>
      </c>
      <c r="B499" s="2">
        <v>1011</v>
      </c>
      <c r="C499" s="4" t="str">
        <f>HYPERLINK("http://www.uniprot.org/uniprot/M5WD83","M5WD83")</f>
        <v>M5WD83</v>
      </c>
      <c r="D499" s="2" t="s">
        <v>491</v>
      </c>
      <c r="E499" s="3">
        <v>0</v>
      </c>
      <c r="F499" s="2">
        <v>1486</v>
      </c>
      <c r="G499" s="2">
        <v>98</v>
      </c>
      <c r="H499" s="2">
        <v>303</v>
      </c>
      <c r="I499" s="2">
        <v>101</v>
      </c>
      <c r="J499" s="2">
        <v>1009</v>
      </c>
      <c r="K499" s="2">
        <v>33</v>
      </c>
      <c r="L499" s="2">
        <v>335</v>
      </c>
    </row>
    <row r="500" spans="1:12" x14ac:dyDescent="0.25">
      <c r="A500" s="4" t="str">
        <f>HYPERLINK("http://www.rosaceae.org/Prunus/Prunus_persica/p.persica_gdr_reftransV1_0045607","p.persica_gdr_reftransV1_0045607")</f>
        <v>p.persica_gdr_reftransV1_0045607</v>
      </c>
      <c r="B500" s="2">
        <v>2168</v>
      </c>
      <c r="C500" s="4" t="str">
        <f>HYPERLINK("http://www.uniprot.org/uniprot/M5XD66","M5XD66")</f>
        <v>M5XD66</v>
      </c>
      <c r="D500" s="2" t="s">
        <v>492</v>
      </c>
      <c r="E500" s="3">
        <v>4.3599999999999997E-147</v>
      </c>
      <c r="F500" s="2">
        <v>1151</v>
      </c>
      <c r="G500" s="2">
        <v>76</v>
      </c>
      <c r="H500" s="2">
        <v>349</v>
      </c>
      <c r="I500" s="2">
        <v>1</v>
      </c>
      <c r="J500" s="2">
        <v>1041</v>
      </c>
      <c r="K500" s="2">
        <v>121</v>
      </c>
      <c r="L500" s="2">
        <v>416</v>
      </c>
    </row>
    <row r="501" spans="1:12" x14ac:dyDescent="0.25">
      <c r="A501" s="4" t="str">
        <f>HYPERLINK("http://www.rosaceae.org/Prunus/Prunus_persica/p.persica_gdr_reftransV1_0045957","p.persica_gdr_reftransV1_0045957")</f>
        <v>p.persica_gdr_reftransV1_0045957</v>
      </c>
      <c r="B501" s="2">
        <v>437</v>
      </c>
      <c r="C501" s="4" t="str">
        <f>HYPERLINK("http://www.uniprot.org/uniprot/M5VLG1","M5VLG1")</f>
        <v>M5VLG1</v>
      </c>
      <c r="D501" s="2" t="s">
        <v>493</v>
      </c>
      <c r="E501" s="3">
        <v>4.8800000000000003E-36</v>
      </c>
      <c r="F501" s="2">
        <v>327</v>
      </c>
      <c r="G501" s="2">
        <v>100</v>
      </c>
      <c r="H501" s="2">
        <v>91</v>
      </c>
      <c r="I501" s="2">
        <v>99</v>
      </c>
      <c r="J501" s="2">
        <v>371</v>
      </c>
      <c r="K501" s="2">
        <v>1</v>
      </c>
      <c r="L501" s="2">
        <v>91</v>
      </c>
    </row>
    <row r="502" spans="1:12" x14ac:dyDescent="0.25">
      <c r="A502" s="4" t="str">
        <f>HYPERLINK("http://www.rosaceae.org/Prunus/Prunus_persica/p.persica_gdr_reftransV1_0046657","p.persica_gdr_reftransV1_0046657")</f>
        <v>p.persica_gdr_reftransV1_0046657</v>
      </c>
      <c r="B502" s="2">
        <v>1735</v>
      </c>
      <c r="C502" s="4" t="str">
        <f>HYPERLINK("http://www.uniprot.org/uniprot/M5XN55","M5XN55")</f>
        <v>M5XN55</v>
      </c>
      <c r="D502" s="2" t="s">
        <v>494</v>
      </c>
      <c r="E502" s="3">
        <v>0</v>
      </c>
      <c r="F502" s="2">
        <v>2393</v>
      </c>
      <c r="G502" s="2">
        <v>100</v>
      </c>
      <c r="H502" s="2">
        <v>463</v>
      </c>
      <c r="I502" s="2">
        <v>145</v>
      </c>
      <c r="J502" s="2">
        <v>1533</v>
      </c>
      <c r="K502" s="2">
        <v>1</v>
      </c>
      <c r="L502" s="2">
        <v>463</v>
      </c>
    </row>
    <row r="503" spans="1:12" x14ac:dyDescent="0.25">
      <c r="A503" s="4" t="str">
        <f>HYPERLINK("http://www.rosaceae.org/Prunus/Prunus_persica/p.persica_gdr_reftransV1_0047007","p.persica_gdr_reftransV1_0047007")</f>
        <v>p.persica_gdr_reftransV1_0047007</v>
      </c>
      <c r="B503" s="2">
        <v>1170</v>
      </c>
      <c r="C503" s="4" t="str">
        <f>HYPERLINK("http://www.uniprot.org/uniprot/M5WU39","M5WU39")</f>
        <v>M5WU39</v>
      </c>
      <c r="D503" s="2" t="s">
        <v>495</v>
      </c>
      <c r="E503" s="3">
        <v>0</v>
      </c>
      <c r="F503" s="2">
        <v>1740</v>
      </c>
      <c r="G503" s="2">
        <v>100</v>
      </c>
      <c r="H503" s="2">
        <v>328</v>
      </c>
      <c r="I503" s="2">
        <v>185</v>
      </c>
      <c r="J503" s="2">
        <v>1168</v>
      </c>
      <c r="K503" s="2">
        <v>1</v>
      </c>
      <c r="L503" s="2">
        <v>328</v>
      </c>
    </row>
    <row r="504" spans="1:12" x14ac:dyDescent="0.25">
      <c r="A504" s="4" t="str">
        <f>HYPERLINK("http://www.rosaceae.org/Prunus/Prunus_persica/p.persica_gdr_reftransV1_0047357","p.persica_gdr_reftransV1_0047357")</f>
        <v>p.persica_gdr_reftransV1_0047357</v>
      </c>
      <c r="B504" s="2">
        <v>1071</v>
      </c>
      <c r="C504" s="4" t="str">
        <f>HYPERLINK("http://www.uniprot.org/uniprot/M5WLK9","M5WLK9")</f>
        <v>M5WLK9</v>
      </c>
      <c r="D504" s="2" t="s">
        <v>496</v>
      </c>
      <c r="E504" s="3">
        <v>4.8199999999999996E-140</v>
      </c>
      <c r="F504" s="2">
        <v>1050</v>
      </c>
      <c r="G504" s="2">
        <v>97</v>
      </c>
      <c r="H504" s="2">
        <v>220</v>
      </c>
      <c r="I504" s="2">
        <v>197</v>
      </c>
      <c r="J504" s="2">
        <v>856</v>
      </c>
      <c r="K504" s="2">
        <v>1</v>
      </c>
      <c r="L504" s="2">
        <v>220</v>
      </c>
    </row>
    <row r="505" spans="1:12" x14ac:dyDescent="0.25">
      <c r="A505" s="4" t="str">
        <f>HYPERLINK("http://www.rosaceae.org/Prunus/Prunus_persica/p.persica_gdr_reftransV1_0047707","p.persica_gdr_reftransV1_0047707")</f>
        <v>p.persica_gdr_reftransV1_0047707</v>
      </c>
      <c r="B505" s="2">
        <v>1267</v>
      </c>
      <c r="C505" s="4" t="str">
        <f>HYPERLINK("http://www.uniprot.org/uniprot/B6CQR8","B6CQR8")</f>
        <v>B6CQR8</v>
      </c>
      <c r="D505" s="2" t="s">
        <v>497</v>
      </c>
      <c r="E505" s="3">
        <v>1.58E-105</v>
      </c>
      <c r="F505" s="2">
        <v>822</v>
      </c>
      <c r="G505" s="2">
        <v>100</v>
      </c>
      <c r="H505" s="2">
        <v>160</v>
      </c>
      <c r="I505" s="2">
        <v>436</v>
      </c>
      <c r="J505" s="2">
        <v>915</v>
      </c>
      <c r="K505" s="2">
        <v>1</v>
      </c>
      <c r="L505" s="2">
        <v>160</v>
      </c>
    </row>
    <row r="506" spans="1:12" x14ac:dyDescent="0.25">
      <c r="A506" s="4" t="str">
        <f>HYPERLINK("http://www.rosaceae.org/Prunus/Prunus_persica/p.persica_gdr_reftransV1_0048407","p.persica_gdr_reftransV1_0048407")</f>
        <v>p.persica_gdr_reftransV1_0048407</v>
      </c>
      <c r="B506" s="2">
        <v>1801</v>
      </c>
      <c r="C506" s="4" t="str">
        <f>HYPERLINK("http://www.uniprot.org/uniprot/M5XN49","M5XN49")</f>
        <v>M5XN49</v>
      </c>
      <c r="D506" s="2" t="s">
        <v>498</v>
      </c>
      <c r="E506" s="3">
        <v>0</v>
      </c>
      <c r="F506" s="2">
        <v>1501</v>
      </c>
      <c r="G506" s="2">
        <v>100</v>
      </c>
      <c r="H506" s="2">
        <v>318</v>
      </c>
      <c r="I506" s="2">
        <v>317</v>
      </c>
      <c r="J506" s="2">
        <v>1270</v>
      </c>
      <c r="K506" s="2">
        <v>1</v>
      </c>
      <c r="L506" s="2">
        <v>318</v>
      </c>
    </row>
    <row r="507" spans="1:12" x14ac:dyDescent="0.25">
      <c r="A507" s="4" t="str">
        <f>HYPERLINK("http://www.rosaceae.org/Prunus/Prunus_persica/p.persica_gdr_reftransV1_0049107","p.persica_gdr_reftransV1_0049107")</f>
        <v>p.persica_gdr_reftransV1_0049107</v>
      </c>
      <c r="B507" s="2">
        <v>469</v>
      </c>
      <c r="C507" s="4" t="str">
        <f>HYPERLINK("http://www.uniprot.org/uniprot/M5VIB1","M5VIB1")</f>
        <v>M5VIB1</v>
      </c>
      <c r="D507" s="2" t="s">
        <v>499</v>
      </c>
      <c r="E507" s="3">
        <v>1.2900000000000001E-61</v>
      </c>
      <c r="F507" s="2">
        <v>509</v>
      </c>
      <c r="G507" s="2">
        <v>100</v>
      </c>
      <c r="H507" s="2">
        <v>121</v>
      </c>
      <c r="I507" s="2">
        <v>3</v>
      </c>
      <c r="J507" s="2">
        <v>365</v>
      </c>
      <c r="K507" s="2">
        <v>101</v>
      </c>
      <c r="L507" s="2">
        <v>221</v>
      </c>
    </row>
    <row r="508" spans="1:12" x14ac:dyDescent="0.25">
      <c r="A508" s="4" t="str">
        <f>HYPERLINK("http://www.rosaceae.org/Prunus/Prunus_persica/p.persica_gdr_reftransV1_0000108","p.persica_gdr_reftransV1_0000108")</f>
        <v>p.persica_gdr_reftransV1_0000108</v>
      </c>
      <c r="B508" s="2">
        <v>956</v>
      </c>
      <c r="C508" s="4" t="str">
        <f>HYPERLINK("http://www.uniprot.org/uniprot/M5XBN1","M5XBN1")</f>
        <v>M5XBN1</v>
      </c>
      <c r="D508" s="2" t="s">
        <v>500</v>
      </c>
      <c r="E508" s="3">
        <v>3.43E-50</v>
      </c>
      <c r="F508" s="2">
        <v>464</v>
      </c>
      <c r="G508" s="2">
        <v>94</v>
      </c>
      <c r="H508" s="2">
        <v>89</v>
      </c>
      <c r="I508" s="2">
        <v>288</v>
      </c>
      <c r="J508" s="2">
        <v>554</v>
      </c>
      <c r="K508" s="2">
        <v>4</v>
      </c>
      <c r="L508" s="2">
        <v>92</v>
      </c>
    </row>
    <row r="509" spans="1:12" x14ac:dyDescent="0.25">
      <c r="A509" s="4" t="str">
        <f>HYPERLINK("http://www.rosaceae.org/Prunus/Prunus_persica/p.persica_gdr_reftransV1_0000458","p.persica_gdr_reftransV1_0000458")</f>
        <v>p.persica_gdr_reftransV1_0000458</v>
      </c>
      <c r="B509" s="2">
        <v>2607</v>
      </c>
      <c r="C509" s="4" t="str">
        <f>HYPERLINK("http://www.uniprot.org/uniprot/M5WPS0","M5WPS0")</f>
        <v>M5WPS0</v>
      </c>
      <c r="D509" s="2" t="s">
        <v>501</v>
      </c>
      <c r="E509" s="3">
        <v>0</v>
      </c>
      <c r="F509" s="2">
        <v>2743</v>
      </c>
      <c r="G509" s="2">
        <v>70</v>
      </c>
      <c r="H509" s="2">
        <v>816</v>
      </c>
      <c r="I509" s="2">
        <v>155</v>
      </c>
      <c r="J509" s="2">
        <v>2581</v>
      </c>
      <c r="K509" s="2">
        <v>1</v>
      </c>
      <c r="L509" s="2">
        <v>773</v>
      </c>
    </row>
    <row r="510" spans="1:12" x14ac:dyDescent="0.25">
      <c r="A510" s="4" t="str">
        <f>HYPERLINK("http://www.rosaceae.org/Prunus/Prunus_persica/p.persica_gdr_reftransV1_0000808","p.persica_gdr_reftransV1_0000808")</f>
        <v>p.persica_gdr_reftransV1_0000808</v>
      </c>
      <c r="B510" s="2">
        <v>1777</v>
      </c>
      <c r="C510" s="4" t="str">
        <f>HYPERLINK("http://www.uniprot.org/uniprot/M5X0K9","M5X0K9")</f>
        <v>M5X0K9</v>
      </c>
      <c r="D510" s="2" t="s">
        <v>502</v>
      </c>
      <c r="E510" s="3">
        <v>0</v>
      </c>
      <c r="F510" s="2">
        <v>2388</v>
      </c>
      <c r="G510" s="2">
        <v>89</v>
      </c>
      <c r="H510" s="2">
        <v>518</v>
      </c>
      <c r="I510" s="2">
        <v>206</v>
      </c>
      <c r="J510" s="2">
        <v>1756</v>
      </c>
      <c r="K510" s="2">
        <v>1</v>
      </c>
      <c r="L510" s="2">
        <v>518</v>
      </c>
    </row>
    <row r="511" spans="1:12" x14ac:dyDescent="0.25">
      <c r="A511" s="4" t="str">
        <f>HYPERLINK("http://www.rosaceae.org/Prunus/Prunus_persica/p.persica_gdr_reftransV1_0001158","p.persica_gdr_reftransV1_0001158")</f>
        <v>p.persica_gdr_reftransV1_0001158</v>
      </c>
      <c r="B511" s="2">
        <v>598</v>
      </c>
      <c r="C511" s="4" t="str">
        <f>HYPERLINK("http://www.uniprot.org/uniprot/M5WSK7","M5WSK7")</f>
        <v>M5WSK7</v>
      </c>
      <c r="D511" s="2" t="s">
        <v>503</v>
      </c>
      <c r="E511" s="3">
        <v>5.8000000000000003E-45</v>
      </c>
      <c r="F511" s="2">
        <v>424</v>
      </c>
      <c r="G511" s="2">
        <v>99</v>
      </c>
      <c r="H511" s="2">
        <v>94</v>
      </c>
      <c r="I511" s="2">
        <v>316</v>
      </c>
      <c r="J511" s="2">
        <v>597</v>
      </c>
      <c r="K511" s="2">
        <v>549</v>
      </c>
      <c r="L511" s="2">
        <v>642</v>
      </c>
    </row>
    <row r="512" spans="1:12" x14ac:dyDescent="0.25">
      <c r="A512" s="4" t="str">
        <f>HYPERLINK("http://www.rosaceae.org/Prunus/Prunus_persica/p.persica_gdr_reftransV1_0001508","p.persica_gdr_reftransV1_0001508")</f>
        <v>p.persica_gdr_reftransV1_0001508</v>
      </c>
      <c r="B512" s="2">
        <v>823</v>
      </c>
      <c r="C512" s="4" t="str">
        <f>HYPERLINK("http://www.uniprot.org/uniprot/M5WJ06","M5WJ06")</f>
        <v>M5WJ06</v>
      </c>
      <c r="D512" s="2" t="s">
        <v>504</v>
      </c>
      <c r="E512" s="3">
        <v>1.4799999999999999E-112</v>
      </c>
      <c r="F512" s="2">
        <v>858</v>
      </c>
      <c r="G512" s="2">
        <v>85</v>
      </c>
      <c r="H512" s="2">
        <v>233</v>
      </c>
      <c r="I512" s="2">
        <v>76</v>
      </c>
      <c r="J512" s="2">
        <v>774</v>
      </c>
      <c r="K512" s="2">
        <v>1</v>
      </c>
      <c r="L512" s="2">
        <v>197</v>
      </c>
    </row>
    <row r="513" spans="1:12" x14ac:dyDescent="0.25">
      <c r="A513" s="4" t="str">
        <f>HYPERLINK("http://www.rosaceae.org/Prunus/Prunus_persica/p.persica_gdr_reftransV1_0002208","p.persica_gdr_reftransV1_0002208")</f>
        <v>p.persica_gdr_reftransV1_0002208</v>
      </c>
      <c r="B513" s="2">
        <v>1446</v>
      </c>
      <c r="C513" s="4" t="str">
        <f>HYPERLINK("http://www.uniprot.org/uniprot/M5VL40","M5VL40")</f>
        <v>M5VL40</v>
      </c>
      <c r="D513" s="2" t="s">
        <v>505</v>
      </c>
      <c r="E513" s="3">
        <v>4.2800000000000001E-173</v>
      </c>
      <c r="F513" s="2">
        <v>1267</v>
      </c>
      <c r="G513" s="2">
        <v>100</v>
      </c>
      <c r="H513" s="2">
        <v>268</v>
      </c>
      <c r="I513" s="2">
        <v>622</v>
      </c>
      <c r="J513" s="2">
        <v>1425</v>
      </c>
      <c r="K513" s="2">
        <v>1</v>
      </c>
      <c r="L513" s="2">
        <v>268</v>
      </c>
    </row>
    <row r="514" spans="1:12" x14ac:dyDescent="0.25">
      <c r="A514" s="4" t="str">
        <f>HYPERLINK("http://www.rosaceae.org/Prunus/Prunus_persica/p.persica_gdr_reftransV1_0002558","p.persica_gdr_reftransV1_0002558")</f>
        <v>p.persica_gdr_reftransV1_0002558</v>
      </c>
      <c r="B514" s="2">
        <v>423</v>
      </c>
      <c r="C514" s="4" t="str">
        <f>HYPERLINK("http://www.uniprot.org/uniprot/W7M3M6","W7M3M6")</f>
        <v>W7M3M6</v>
      </c>
      <c r="D514" s="2" t="s">
        <v>506</v>
      </c>
      <c r="E514" s="3">
        <v>6.5099999999999999E-85</v>
      </c>
      <c r="F514" s="2">
        <v>692</v>
      </c>
      <c r="G514" s="2">
        <v>91</v>
      </c>
      <c r="H514" s="2">
        <v>140</v>
      </c>
      <c r="I514" s="2">
        <v>3</v>
      </c>
      <c r="J514" s="2">
        <v>422</v>
      </c>
      <c r="K514" s="2">
        <v>39</v>
      </c>
      <c r="L514" s="2">
        <v>178</v>
      </c>
    </row>
    <row r="515" spans="1:12" x14ac:dyDescent="0.25">
      <c r="A515" s="4" t="str">
        <f>HYPERLINK("http://www.rosaceae.org/Prunus/Prunus_persica/p.persica_gdr_reftransV1_0002908","p.persica_gdr_reftransV1_0002908")</f>
        <v>p.persica_gdr_reftransV1_0002908</v>
      </c>
      <c r="B515" s="2">
        <v>435</v>
      </c>
      <c r="C515" s="4" t="str">
        <f>HYPERLINK("http://www.uniprot.org/uniprot/W7LG87","W7LG87")</f>
        <v>W7LG87</v>
      </c>
      <c r="D515" s="2" t="s">
        <v>507</v>
      </c>
      <c r="E515" s="3">
        <v>3.4500000000000002E-87</v>
      </c>
      <c r="F515" s="2">
        <v>706</v>
      </c>
      <c r="G515" s="2">
        <v>89</v>
      </c>
      <c r="H515" s="2">
        <v>145</v>
      </c>
      <c r="I515" s="2">
        <v>1</v>
      </c>
      <c r="J515" s="2">
        <v>435</v>
      </c>
      <c r="K515" s="2">
        <v>250</v>
      </c>
      <c r="L515" s="2">
        <v>394</v>
      </c>
    </row>
    <row r="516" spans="1:12" x14ac:dyDescent="0.25">
      <c r="A516" s="4" t="str">
        <f>HYPERLINK("http://www.rosaceae.org/Prunus/Prunus_persica/p.persica_gdr_reftransV1_0003258","p.persica_gdr_reftransV1_0003258")</f>
        <v>p.persica_gdr_reftransV1_0003258</v>
      </c>
      <c r="B516" s="2">
        <v>399</v>
      </c>
      <c r="C516" s="4" t="str">
        <f>HYPERLINK("http://www.uniprot.org/uniprot/M5X5D1","M5X5D1")</f>
        <v>M5X5D1</v>
      </c>
      <c r="D516" s="2" t="s">
        <v>508</v>
      </c>
      <c r="E516" s="3">
        <v>5.1500000000000002E-89</v>
      </c>
      <c r="F516" s="2">
        <v>720</v>
      </c>
      <c r="G516" s="2">
        <v>100</v>
      </c>
      <c r="H516" s="2">
        <v>133</v>
      </c>
      <c r="I516" s="2">
        <v>1</v>
      </c>
      <c r="J516" s="2">
        <v>399</v>
      </c>
      <c r="K516" s="2">
        <v>128</v>
      </c>
      <c r="L516" s="2">
        <v>260</v>
      </c>
    </row>
    <row r="517" spans="1:12" x14ac:dyDescent="0.25">
      <c r="A517" s="4" t="str">
        <f>HYPERLINK("http://www.rosaceae.org/Prunus/Prunus_persica/p.persica_gdr_reftransV1_0003958","p.persica_gdr_reftransV1_0003958")</f>
        <v>p.persica_gdr_reftransV1_0003958</v>
      </c>
      <c r="B517" s="2">
        <v>1135</v>
      </c>
      <c r="C517" s="4" t="str">
        <f>HYPERLINK("http://www.uniprot.org/uniprot/M5WC98","M5WC98")</f>
        <v>M5WC98</v>
      </c>
      <c r="D517" s="2" t="s">
        <v>509</v>
      </c>
      <c r="E517" s="3">
        <v>3.2500000000000001E-166</v>
      </c>
      <c r="F517" s="2">
        <v>1226</v>
      </c>
      <c r="G517" s="2">
        <v>100</v>
      </c>
      <c r="H517" s="2">
        <v>232</v>
      </c>
      <c r="I517" s="2">
        <v>85</v>
      </c>
      <c r="J517" s="2">
        <v>780</v>
      </c>
      <c r="K517" s="2">
        <v>1</v>
      </c>
      <c r="L517" s="2">
        <v>232</v>
      </c>
    </row>
    <row r="518" spans="1:12" x14ac:dyDescent="0.25">
      <c r="A518" s="4" t="str">
        <f>HYPERLINK("http://www.rosaceae.org/Prunus/Prunus_persica/p.persica_gdr_reftransV1_0004308","p.persica_gdr_reftransV1_0004308")</f>
        <v>p.persica_gdr_reftransV1_0004308</v>
      </c>
      <c r="B518" s="2">
        <v>519</v>
      </c>
      <c r="C518" s="4" t="str">
        <f>HYPERLINK("http://www.uniprot.org/uniprot/M5XNM8","M5XNM8")</f>
        <v>M5XNM8</v>
      </c>
      <c r="D518" s="2" t="s">
        <v>510</v>
      </c>
      <c r="E518" s="3">
        <v>1.0999999999999999E-50</v>
      </c>
      <c r="F518" s="2">
        <v>436</v>
      </c>
      <c r="G518" s="2">
        <v>100</v>
      </c>
      <c r="H518" s="2">
        <v>101</v>
      </c>
      <c r="I518" s="2">
        <v>217</v>
      </c>
      <c r="J518" s="2">
        <v>519</v>
      </c>
      <c r="K518" s="2">
        <v>1</v>
      </c>
      <c r="L518" s="2">
        <v>101</v>
      </c>
    </row>
    <row r="519" spans="1:12" x14ac:dyDescent="0.25">
      <c r="A519" s="4" t="str">
        <f>HYPERLINK("http://www.rosaceae.org/Prunus/Prunus_persica/p.persica_gdr_reftransV1_0005008","p.persica_gdr_reftransV1_0005008")</f>
        <v>p.persica_gdr_reftransV1_0005008</v>
      </c>
      <c r="B519" s="2">
        <v>1059</v>
      </c>
      <c r="C519" s="4" t="str">
        <f>HYPERLINK("http://www.uniprot.org/uniprot/M5Y104","M5Y104")</f>
        <v>M5Y104</v>
      </c>
      <c r="D519" s="2" t="s">
        <v>511</v>
      </c>
      <c r="E519" s="3">
        <v>8.7199999999999997E-14</v>
      </c>
      <c r="F519" s="2">
        <v>201</v>
      </c>
      <c r="G519" s="2">
        <v>69</v>
      </c>
      <c r="H519" s="2">
        <v>89</v>
      </c>
      <c r="I519" s="2">
        <v>599</v>
      </c>
      <c r="J519" s="2">
        <v>865</v>
      </c>
      <c r="K519" s="2">
        <v>1060</v>
      </c>
      <c r="L519" s="2">
        <v>1148</v>
      </c>
    </row>
    <row r="520" spans="1:12" x14ac:dyDescent="0.25">
      <c r="A520" s="4" t="str">
        <f>HYPERLINK("http://www.rosaceae.org/Prunus/Prunus_persica/p.persica_gdr_reftransV1_0006758","p.persica_gdr_reftransV1_0006758")</f>
        <v>p.persica_gdr_reftransV1_0006758</v>
      </c>
      <c r="B520" s="2">
        <v>1156</v>
      </c>
      <c r="C520" s="4" t="str">
        <f>HYPERLINK("http://www.uniprot.org/uniprot/M5WRR0","M5WRR0")</f>
        <v>M5WRR0</v>
      </c>
      <c r="D520" s="2" t="s">
        <v>512</v>
      </c>
      <c r="E520" s="3">
        <v>0</v>
      </c>
      <c r="F520" s="2">
        <v>1447</v>
      </c>
      <c r="G520" s="2">
        <v>100</v>
      </c>
      <c r="H520" s="2">
        <v>271</v>
      </c>
      <c r="I520" s="2">
        <v>344</v>
      </c>
      <c r="J520" s="2">
        <v>1156</v>
      </c>
      <c r="K520" s="2">
        <v>71</v>
      </c>
      <c r="L520" s="2">
        <v>341</v>
      </c>
    </row>
    <row r="521" spans="1:12" x14ac:dyDescent="0.25">
      <c r="A521" s="4" t="str">
        <f>HYPERLINK("http://www.rosaceae.org/Prunus/Prunus_persica/p.persica_gdr_reftransV1_0007808","p.persica_gdr_reftransV1_0007808")</f>
        <v>p.persica_gdr_reftransV1_0007808</v>
      </c>
      <c r="B521" s="2">
        <v>1565</v>
      </c>
      <c r="C521" s="4" t="str">
        <f>HYPERLINK("http://www.uniprot.org/uniprot/M5WSK1","M5WSK1")</f>
        <v>M5WSK1</v>
      </c>
      <c r="D521" s="2" t="s">
        <v>513</v>
      </c>
      <c r="E521" s="3">
        <v>0</v>
      </c>
      <c r="F521" s="2">
        <v>1986</v>
      </c>
      <c r="G521" s="2">
        <v>100</v>
      </c>
      <c r="H521" s="2">
        <v>410</v>
      </c>
      <c r="I521" s="2">
        <v>334</v>
      </c>
      <c r="J521" s="2">
        <v>1563</v>
      </c>
      <c r="K521" s="2">
        <v>100</v>
      </c>
      <c r="L521" s="2">
        <v>509</v>
      </c>
    </row>
    <row r="522" spans="1:12" x14ac:dyDescent="0.25">
      <c r="A522" s="4" t="str">
        <f>HYPERLINK("http://www.rosaceae.org/Prunus/Prunus_persica/p.persica_gdr_reftransV1_0009558","p.persica_gdr_reftransV1_0009558")</f>
        <v>p.persica_gdr_reftransV1_0009558</v>
      </c>
      <c r="B522" s="2">
        <v>4340</v>
      </c>
      <c r="C522" s="4" t="str">
        <f>HYPERLINK("http://www.uniprot.org/uniprot/X2G1E9","X2G1E9")</f>
        <v>X2G1E9</v>
      </c>
      <c r="D522" s="2" t="s">
        <v>514</v>
      </c>
      <c r="E522" s="3">
        <v>0</v>
      </c>
      <c r="F522" s="2">
        <v>2712</v>
      </c>
      <c r="G522" s="2">
        <v>99</v>
      </c>
      <c r="H522" s="2">
        <v>528</v>
      </c>
      <c r="I522" s="2">
        <v>2420</v>
      </c>
      <c r="J522" s="2">
        <v>4003</v>
      </c>
      <c r="K522" s="2">
        <v>841</v>
      </c>
      <c r="L522" s="2">
        <v>1368</v>
      </c>
    </row>
    <row r="523" spans="1:12" x14ac:dyDescent="0.25">
      <c r="A523" s="4" t="str">
        <f>HYPERLINK("http://www.rosaceae.org/Prunus/Prunus_persica/p.persica_gdr_reftransV1_0010958","p.persica_gdr_reftransV1_0010958")</f>
        <v>p.persica_gdr_reftransV1_0010958</v>
      </c>
      <c r="B523" s="2">
        <v>901</v>
      </c>
      <c r="C523" s="4" t="str">
        <f>HYPERLINK("http://www.uniprot.org/uniprot/M5VR78","M5VR78")</f>
        <v>M5VR78</v>
      </c>
      <c r="D523" s="2" t="s">
        <v>515</v>
      </c>
      <c r="E523" s="3">
        <v>8.7599999999999997E-104</v>
      </c>
      <c r="F523" s="2">
        <v>802</v>
      </c>
      <c r="G523" s="2">
        <v>99</v>
      </c>
      <c r="H523" s="2">
        <v>183</v>
      </c>
      <c r="I523" s="2">
        <v>11</v>
      </c>
      <c r="J523" s="2">
        <v>559</v>
      </c>
      <c r="K523" s="2">
        <v>11</v>
      </c>
      <c r="L523" s="2">
        <v>193</v>
      </c>
    </row>
    <row r="524" spans="1:12" x14ac:dyDescent="0.25">
      <c r="A524" s="4" t="str">
        <f>HYPERLINK("http://www.rosaceae.org/Prunus/Prunus_persica/p.persica_gdr_reftransV1_0012358","p.persica_gdr_reftransV1_0012358")</f>
        <v>p.persica_gdr_reftransV1_0012358</v>
      </c>
      <c r="B524" s="2">
        <v>1446</v>
      </c>
      <c r="C524" s="4" t="str">
        <f>HYPERLINK("http://www.uniprot.org/uniprot/M5XDJ2","M5XDJ2")</f>
        <v>M5XDJ2</v>
      </c>
      <c r="D524" s="2" t="s">
        <v>516</v>
      </c>
      <c r="E524" s="3">
        <v>3.5300000000000002E-160</v>
      </c>
      <c r="F524" s="2">
        <v>1200</v>
      </c>
      <c r="G524" s="2">
        <v>100</v>
      </c>
      <c r="H524" s="2">
        <v>268</v>
      </c>
      <c r="I524" s="2">
        <v>467</v>
      </c>
      <c r="J524" s="2">
        <v>1270</v>
      </c>
      <c r="K524" s="2">
        <v>1</v>
      </c>
      <c r="L524" s="2">
        <v>268</v>
      </c>
    </row>
    <row r="525" spans="1:12" x14ac:dyDescent="0.25">
      <c r="A525" s="4" t="str">
        <f>HYPERLINK("http://www.rosaceae.org/Prunus/Prunus_persica/p.persica_gdr_reftransV1_0013408","p.persica_gdr_reftransV1_0013408")</f>
        <v>p.persica_gdr_reftransV1_0013408</v>
      </c>
      <c r="B525" s="2">
        <v>2860</v>
      </c>
      <c r="C525" s="4" t="str">
        <f>HYPERLINK("http://www.uniprot.org/uniprot/M5X8K8","M5X8K8")</f>
        <v>M5X8K8</v>
      </c>
      <c r="D525" s="2" t="s">
        <v>517</v>
      </c>
      <c r="E525" s="3">
        <v>0</v>
      </c>
      <c r="F525" s="2">
        <v>4055</v>
      </c>
      <c r="G525" s="2">
        <v>99</v>
      </c>
      <c r="H525" s="2">
        <v>836</v>
      </c>
      <c r="I525" s="2">
        <v>77</v>
      </c>
      <c r="J525" s="2">
        <v>2584</v>
      </c>
      <c r="K525" s="2">
        <v>1</v>
      </c>
      <c r="L525" s="2">
        <v>836</v>
      </c>
    </row>
    <row r="526" spans="1:12" x14ac:dyDescent="0.25">
      <c r="A526" s="4" t="str">
        <f>HYPERLINK("http://www.rosaceae.org/Prunus/Prunus_persica/p.persica_gdr_reftransV1_0014458","p.persica_gdr_reftransV1_0014458")</f>
        <v>p.persica_gdr_reftransV1_0014458</v>
      </c>
      <c r="B526" s="2">
        <v>3041</v>
      </c>
      <c r="C526" s="4" t="str">
        <f>HYPERLINK("http://www.uniprot.org/uniprot/M5WJF5","M5WJF5")</f>
        <v>M5WJF5</v>
      </c>
      <c r="D526" s="2" t="s">
        <v>518</v>
      </c>
      <c r="E526" s="3">
        <v>0</v>
      </c>
      <c r="F526" s="2">
        <v>2695</v>
      </c>
      <c r="G526" s="2">
        <v>100</v>
      </c>
      <c r="H526" s="2">
        <v>544</v>
      </c>
      <c r="I526" s="2">
        <v>685</v>
      </c>
      <c r="J526" s="2">
        <v>2316</v>
      </c>
      <c r="K526" s="2">
        <v>1</v>
      </c>
      <c r="L526" s="2">
        <v>544</v>
      </c>
    </row>
    <row r="527" spans="1:12" x14ac:dyDescent="0.25">
      <c r="A527" s="4" t="str">
        <f>HYPERLINK("http://www.rosaceae.org/Prunus/Prunus_persica/p.persica_gdr_reftransV1_0016558","p.persica_gdr_reftransV1_0016558")</f>
        <v>p.persica_gdr_reftransV1_0016558</v>
      </c>
      <c r="B527" s="2">
        <v>927</v>
      </c>
      <c r="C527" s="4" t="str">
        <f>HYPERLINK("http://www.uniprot.org/uniprot/M5WNJ7","M5WNJ7")</f>
        <v>M5WNJ7</v>
      </c>
      <c r="D527" s="2" t="s">
        <v>519</v>
      </c>
      <c r="E527" s="3">
        <v>3.7099999999999998E-109</v>
      </c>
      <c r="F527" s="2">
        <v>837</v>
      </c>
      <c r="G527" s="2">
        <v>99</v>
      </c>
      <c r="H527" s="2">
        <v>185</v>
      </c>
      <c r="I527" s="2">
        <v>104</v>
      </c>
      <c r="J527" s="2">
        <v>652</v>
      </c>
      <c r="K527" s="2">
        <v>1</v>
      </c>
      <c r="L527" s="2">
        <v>185</v>
      </c>
    </row>
    <row r="528" spans="1:12" x14ac:dyDescent="0.25">
      <c r="A528" s="4" t="str">
        <f>HYPERLINK("http://www.rosaceae.org/Prunus/Prunus_persica/p.persica_gdr_reftransV1_0018658","p.persica_gdr_reftransV1_0018658")</f>
        <v>p.persica_gdr_reftransV1_0018658</v>
      </c>
      <c r="B528" s="2">
        <v>1047</v>
      </c>
      <c r="C528" s="4" t="str">
        <f>HYPERLINK("http://www.uniprot.org/uniprot/M5XN60","M5XN60")</f>
        <v>M5XN60</v>
      </c>
      <c r="D528" s="2" t="s">
        <v>520</v>
      </c>
      <c r="E528" s="3">
        <v>0</v>
      </c>
      <c r="F528" s="2">
        <v>1647</v>
      </c>
      <c r="G528" s="2">
        <v>99</v>
      </c>
      <c r="H528" s="2">
        <v>314</v>
      </c>
      <c r="I528" s="2">
        <v>57</v>
      </c>
      <c r="J528" s="2">
        <v>998</v>
      </c>
      <c r="K528" s="2">
        <v>1</v>
      </c>
      <c r="L528" s="2">
        <v>314</v>
      </c>
    </row>
    <row r="529" spans="1:12" x14ac:dyDescent="0.25">
      <c r="A529" s="4" t="str">
        <f>HYPERLINK("http://www.rosaceae.org/Prunus/Prunus_persica/p.persica_gdr_reftransV1_0019008","p.persica_gdr_reftransV1_0019008")</f>
        <v>p.persica_gdr_reftransV1_0019008</v>
      </c>
      <c r="B529" s="2">
        <v>761</v>
      </c>
      <c r="C529" s="4" t="str">
        <f>HYPERLINK("http://www.uniprot.org/uniprot/M5XKA5","M5XKA5")</f>
        <v>M5XKA5</v>
      </c>
      <c r="D529" s="2" t="s">
        <v>521</v>
      </c>
      <c r="E529" s="3">
        <v>3.1699999999999997E-113</v>
      </c>
      <c r="F529" s="2">
        <v>873</v>
      </c>
      <c r="G529" s="2">
        <v>99</v>
      </c>
      <c r="H529" s="2">
        <v>166</v>
      </c>
      <c r="I529" s="2">
        <v>3</v>
      </c>
      <c r="J529" s="2">
        <v>500</v>
      </c>
      <c r="K529" s="2">
        <v>177</v>
      </c>
      <c r="L529" s="2">
        <v>342</v>
      </c>
    </row>
    <row r="530" spans="1:12" x14ac:dyDescent="0.25">
      <c r="A530" s="4" t="str">
        <f>HYPERLINK("http://www.rosaceae.org/Prunus/Prunus_persica/p.persica_gdr_reftransV1_0021458","p.persica_gdr_reftransV1_0021458")</f>
        <v>p.persica_gdr_reftransV1_0021458</v>
      </c>
      <c r="B530" s="2">
        <v>873</v>
      </c>
      <c r="C530" s="4" t="str">
        <f>HYPERLINK("http://www.uniprot.org/uniprot/M5XHF8","M5XHF8")</f>
        <v>M5XHF8</v>
      </c>
      <c r="D530" s="2" t="s">
        <v>522</v>
      </c>
      <c r="E530" s="3">
        <v>2.62E-74</v>
      </c>
      <c r="F530" s="2">
        <v>611</v>
      </c>
      <c r="G530" s="2">
        <v>99</v>
      </c>
      <c r="H530" s="2">
        <v>118</v>
      </c>
      <c r="I530" s="2">
        <v>426</v>
      </c>
      <c r="J530" s="2">
        <v>779</v>
      </c>
      <c r="K530" s="2">
        <v>145</v>
      </c>
      <c r="L530" s="2">
        <v>262</v>
      </c>
    </row>
    <row r="531" spans="1:12" x14ac:dyDescent="0.25">
      <c r="A531" s="4" t="str">
        <f>HYPERLINK("http://www.rosaceae.org/Prunus/Prunus_persica/p.persica_gdr_reftransV1_0022158","p.persica_gdr_reftransV1_0022158")</f>
        <v>p.persica_gdr_reftransV1_0022158</v>
      </c>
      <c r="B531" s="2">
        <v>545</v>
      </c>
      <c r="C531" s="4" t="str">
        <f>HYPERLINK("http://www.uniprot.org/uniprot/M5WGH2","M5WGH2")</f>
        <v>M5WGH2</v>
      </c>
      <c r="D531" s="2" t="s">
        <v>523</v>
      </c>
      <c r="E531" s="3">
        <v>1.05E-82</v>
      </c>
      <c r="F531" s="2">
        <v>677</v>
      </c>
      <c r="G531" s="2">
        <v>100</v>
      </c>
      <c r="H531" s="2">
        <v>128</v>
      </c>
      <c r="I531" s="2">
        <v>160</v>
      </c>
      <c r="J531" s="2">
        <v>543</v>
      </c>
      <c r="K531" s="2">
        <v>1</v>
      </c>
      <c r="L531" s="2">
        <v>128</v>
      </c>
    </row>
    <row r="532" spans="1:12" x14ac:dyDescent="0.25">
      <c r="A532" s="4" t="str">
        <f>HYPERLINK("http://www.rosaceae.org/Prunus/Prunus_persica/p.persica_gdr_reftransV1_0024258","p.persica_gdr_reftransV1_0024258")</f>
        <v>p.persica_gdr_reftransV1_0024258</v>
      </c>
      <c r="B532" s="2">
        <v>640</v>
      </c>
      <c r="C532" s="4" t="str">
        <f>HYPERLINK("http://www.uniprot.org/uniprot/M5WGN0","M5WGN0")</f>
        <v>M5WGN0</v>
      </c>
      <c r="D532" s="2" t="s">
        <v>524</v>
      </c>
      <c r="E532" s="3">
        <v>7.97E-52</v>
      </c>
      <c r="F532" s="2">
        <v>456</v>
      </c>
      <c r="G532" s="2">
        <v>100</v>
      </c>
      <c r="H532" s="2">
        <v>86</v>
      </c>
      <c r="I532" s="2">
        <v>381</v>
      </c>
      <c r="J532" s="2">
        <v>638</v>
      </c>
      <c r="K532" s="2">
        <v>206</v>
      </c>
      <c r="L532" s="2">
        <v>291</v>
      </c>
    </row>
    <row r="533" spans="1:12" x14ac:dyDescent="0.25">
      <c r="A533" s="4" t="str">
        <f>HYPERLINK("http://www.rosaceae.org/Prunus/Prunus_persica/p.persica_gdr_reftransV1_0026008","p.persica_gdr_reftransV1_0026008")</f>
        <v>p.persica_gdr_reftransV1_0026008</v>
      </c>
      <c r="B533" s="2">
        <v>2941</v>
      </c>
      <c r="C533" s="4" t="str">
        <f>HYPERLINK("http://www.uniprot.org/uniprot/M5XM35","M5XM35")</f>
        <v>M5XM35</v>
      </c>
      <c r="D533" s="2" t="s">
        <v>525</v>
      </c>
      <c r="E533" s="3">
        <v>0</v>
      </c>
      <c r="F533" s="2">
        <v>3895</v>
      </c>
      <c r="G533" s="2">
        <v>100</v>
      </c>
      <c r="H533" s="2">
        <v>794</v>
      </c>
      <c r="I533" s="2">
        <v>472</v>
      </c>
      <c r="J533" s="2">
        <v>2853</v>
      </c>
      <c r="K533" s="2">
        <v>1</v>
      </c>
      <c r="L533" s="2">
        <v>794</v>
      </c>
    </row>
    <row r="534" spans="1:12" x14ac:dyDescent="0.25">
      <c r="A534" s="4" t="str">
        <f>HYPERLINK("http://www.rosaceae.org/Prunus/Prunus_persica/p.persica_gdr_reftransV1_0027758","p.persica_gdr_reftransV1_0027758")</f>
        <v>p.persica_gdr_reftransV1_0027758</v>
      </c>
      <c r="B534" s="2">
        <v>1584</v>
      </c>
      <c r="C534" s="4" t="str">
        <f>HYPERLINK("http://www.uniprot.org/uniprot/M5WV14","M5WV14")</f>
        <v>M5WV14</v>
      </c>
      <c r="D534" s="2" t="s">
        <v>526</v>
      </c>
      <c r="E534" s="3">
        <v>1.0200000000000001E-71</v>
      </c>
      <c r="F534" s="2">
        <v>611</v>
      </c>
      <c r="G534" s="2">
        <v>100</v>
      </c>
      <c r="H534" s="2">
        <v>216</v>
      </c>
      <c r="I534" s="2">
        <v>817</v>
      </c>
      <c r="J534" s="2">
        <v>1464</v>
      </c>
      <c r="K534" s="2">
        <v>13</v>
      </c>
      <c r="L534" s="2">
        <v>228</v>
      </c>
    </row>
    <row r="535" spans="1:12" x14ac:dyDescent="0.25">
      <c r="A535" s="4" t="str">
        <f>HYPERLINK("http://www.rosaceae.org/Prunus/Prunus_persica/p.persica_gdr_reftransV1_0029158","p.persica_gdr_reftransV1_0029158")</f>
        <v>p.persica_gdr_reftransV1_0029158</v>
      </c>
      <c r="B535" s="2">
        <v>882</v>
      </c>
      <c r="C535" s="4" t="str">
        <f>HYPERLINK("http://www.uniprot.org/uniprot/M5XGF7","M5XGF7")</f>
        <v>M5XGF7</v>
      </c>
      <c r="D535" s="2" t="s">
        <v>527</v>
      </c>
      <c r="E535" s="3">
        <v>1.66E-168</v>
      </c>
      <c r="F535" s="2">
        <v>1232</v>
      </c>
      <c r="G535" s="2">
        <v>100</v>
      </c>
      <c r="H535" s="2">
        <v>238</v>
      </c>
      <c r="I535" s="2">
        <v>91</v>
      </c>
      <c r="J535" s="2">
        <v>804</v>
      </c>
      <c r="K535" s="2">
        <v>1</v>
      </c>
      <c r="L535" s="2">
        <v>238</v>
      </c>
    </row>
    <row r="536" spans="1:12" x14ac:dyDescent="0.25">
      <c r="A536" s="4" t="str">
        <f>HYPERLINK("http://www.rosaceae.org/Prunus/Prunus_persica/p.persica_gdr_reftransV1_0030558","p.persica_gdr_reftransV1_0030558")</f>
        <v>p.persica_gdr_reftransV1_0030558</v>
      </c>
      <c r="B536" s="2">
        <v>1169</v>
      </c>
      <c r="C536" s="4" t="str">
        <f>HYPERLINK("http://www.uniprot.org/uniprot/M5WH50","M5WH50")</f>
        <v>M5WH50</v>
      </c>
      <c r="D536" s="2" t="s">
        <v>528</v>
      </c>
      <c r="E536" s="3">
        <v>1.13E-96</v>
      </c>
      <c r="F536" s="2">
        <v>782</v>
      </c>
      <c r="G536" s="2">
        <v>100</v>
      </c>
      <c r="H536" s="2">
        <v>161</v>
      </c>
      <c r="I536" s="2">
        <v>169</v>
      </c>
      <c r="J536" s="2">
        <v>651</v>
      </c>
      <c r="K536" s="2">
        <v>1</v>
      </c>
      <c r="L536" s="2">
        <v>161</v>
      </c>
    </row>
    <row r="537" spans="1:12" x14ac:dyDescent="0.25">
      <c r="A537" s="4" t="str">
        <f>HYPERLINK("http://www.rosaceae.org/Prunus/Prunus_persica/p.persica_gdr_reftransV1_0030908","p.persica_gdr_reftransV1_0030908")</f>
        <v>p.persica_gdr_reftransV1_0030908</v>
      </c>
      <c r="B537" s="2">
        <v>3673</v>
      </c>
      <c r="C537" s="4" t="str">
        <f>HYPERLINK("http://www.uniprot.org/uniprot/M5W899","M5W899")</f>
        <v>M5W899</v>
      </c>
      <c r="D537" s="2" t="s">
        <v>529</v>
      </c>
      <c r="E537" s="3">
        <v>0</v>
      </c>
      <c r="F537" s="2">
        <v>1312</v>
      </c>
      <c r="G537" s="2">
        <v>100</v>
      </c>
      <c r="H537" s="2">
        <v>281</v>
      </c>
      <c r="I537" s="2">
        <v>2596</v>
      </c>
      <c r="J537" s="2">
        <v>3438</v>
      </c>
      <c r="K537" s="2">
        <v>513</v>
      </c>
      <c r="L537" s="2">
        <v>793</v>
      </c>
    </row>
    <row r="538" spans="1:12" x14ac:dyDescent="0.25">
      <c r="A538" s="4" t="str">
        <f>HYPERLINK("http://www.rosaceae.org/Prunus/Prunus_persica/p.persica_gdr_reftransV1_0031608","p.persica_gdr_reftransV1_0031608")</f>
        <v>p.persica_gdr_reftransV1_0031608</v>
      </c>
      <c r="B538" s="2">
        <v>845</v>
      </c>
      <c r="C538" s="4" t="str">
        <f>HYPERLINK("http://www.uniprot.org/uniprot/M5W0W9","M5W0W9")</f>
        <v>M5W0W9</v>
      </c>
      <c r="D538" s="2" t="s">
        <v>530</v>
      </c>
      <c r="E538" s="3">
        <v>6.4699999999999999E-60</v>
      </c>
      <c r="F538" s="2">
        <v>500</v>
      </c>
      <c r="G538" s="2">
        <v>98</v>
      </c>
      <c r="H538" s="2">
        <v>97</v>
      </c>
      <c r="I538" s="2">
        <v>318</v>
      </c>
      <c r="J538" s="2">
        <v>608</v>
      </c>
      <c r="K538" s="2">
        <v>1</v>
      </c>
      <c r="L538" s="2">
        <v>97</v>
      </c>
    </row>
    <row r="539" spans="1:12" x14ac:dyDescent="0.25">
      <c r="A539" s="4" t="str">
        <f>HYPERLINK("http://www.rosaceae.org/Prunus/Prunus_persica/p.persica_gdr_reftransV1_0032308","p.persica_gdr_reftransV1_0032308")</f>
        <v>p.persica_gdr_reftransV1_0032308</v>
      </c>
      <c r="B539" s="2">
        <v>431</v>
      </c>
      <c r="C539" s="4" t="str">
        <f>HYPERLINK("http://www.uniprot.org/uniprot/M5WX17","M5WX17")</f>
        <v>M5WX17</v>
      </c>
      <c r="D539" s="2" t="s">
        <v>531</v>
      </c>
      <c r="E539" s="3">
        <v>3.0299999999999997E-95</v>
      </c>
      <c r="F539" s="2">
        <v>769</v>
      </c>
      <c r="G539" s="2">
        <v>100</v>
      </c>
      <c r="H539" s="2">
        <v>143</v>
      </c>
      <c r="I539" s="2">
        <v>2</v>
      </c>
      <c r="J539" s="2">
        <v>430</v>
      </c>
      <c r="K539" s="2">
        <v>521</v>
      </c>
      <c r="L539" s="2">
        <v>663</v>
      </c>
    </row>
    <row r="540" spans="1:12" x14ac:dyDescent="0.25">
      <c r="A540" s="4" t="str">
        <f>HYPERLINK("http://www.rosaceae.org/Prunus/Prunus_persica/p.persica_gdr_reftransV1_0033008","p.persica_gdr_reftransV1_0033008")</f>
        <v>p.persica_gdr_reftransV1_0033008</v>
      </c>
      <c r="B540" s="2">
        <v>4028</v>
      </c>
      <c r="C540" s="4" t="str">
        <f>HYPERLINK("http://www.uniprot.org/uniprot/M5W9T4","M5W9T4")</f>
        <v>M5W9T4</v>
      </c>
      <c r="D540" s="2" t="s">
        <v>532</v>
      </c>
      <c r="E540" s="3">
        <v>0</v>
      </c>
      <c r="F540" s="2">
        <v>1870</v>
      </c>
      <c r="G540" s="2">
        <v>100</v>
      </c>
      <c r="H540" s="2">
        <v>362</v>
      </c>
      <c r="I540" s="2">
        <v>373</v>
      </c>
      <c r="J540" s="2">
        <v>1458</v>
      </c>
      <c r="K540" s="2">
        <v>1</v>
      </c>
      <c r="L540" s="2">
        <v>362</v>
      </c>
    </row>
    <row r="541" spans="1:12" x14ac:dyDescent="0.25">
      <c r="A541" s="4" t="str">
        <f>HYPERLINK("http://www.rosaceae.org/Prunus/Prunus_persica/p.persica_gdr_reftransV1_0033358","p.persica_gdr_reftransV1_0033358")</f>
        <v>p.persica_gdr_reftransV1_0033358</v>
      </c>
      <c r="B541" s="2">
        <v>1705</v>
      </c>
      <c r="C541" s="4" t="str">
        <f>HYPERLINK("http://www.uniprot.org/uniprot/M5WU60","M5WU60")</f>
        <v>M5WU60</v>
      </c>
      <c r="D541" s="2" t="s">
        <v>533</v>
      </c>
      <c r="E541" s="3">
        <v>3.1000000000000003E-141</v>
      </c>
      <c r="F541" s="2">
        <v>1088</v>
      </c>
      <c r="G541" s="2">
        <v>100</v>
      </c>
      <c r="H541" s="2">
        <v>211</v>
      </c>
      <c r="I541" s="2">
        <v>34</v>
      </c>
      <c r="J541" s="2">
        <v>666</v>
      </c>
      <c r="K541" s="2">
        <v>1</v>
      </c>
      <c r="L541" s="2">
        <v>211</v>
      </c>
    </row>
    <row r="542" spans="1:12" x14ac:dyDescent="0.25">
      <c r="A542" s="4" t="str">
        <f>HYPERLINK("http://www.rosaceae.org/Prunus/Prunus_persica/p.persica_gdr_reftransV1_0033708","p.persica_gdr_reftransV1_0033708")</f>
        <v>p.persica_gdr_reftransV1_0033708</v>
      </c>
      <c r="B542" s="2">
        <v>5073</v>
      </c>
      <c r="C542" s="4" t="str">
        <f>HYPERLINK("http://www.uniprot.org/uniprot/M5VWQ8","M5VWQ8")</f>
        <v>M5VWQ8</v>
      </c>
      <c r="D542" s="2" t="s">
        <v>534</v>
      </c>
      <c r="E542" s="3">
        <v>0</v>
      </c>
      <c r="F542" s="2">
        <v>5378</v>
      </c>
      <c r="G542" s="2">
        <v>96</v>
      </c>
      <c r="H542" s="2">
        <v>1156</v>
      </c>
      <c r="I542" s="2">
        <v>1190</v>
      </c>
      <c r="J542" s="2">
        <v>4657</v>
      </c>
      <c r="K542" s="2">
        <v>1</v>
      </c>
      <c r="L542" s="2">
        <v>1116</v>
      </c>
    </row>
    <row r="543" spans="1:12" x14ac:dyDescent="0.25">
      <c r="A543" s="4" t="str">
        <f>HYPERLINK("http://www.rosaceae.org/Prunus/Prunus_persica/p.persica_gdr_reftransV1_0035808","p.persica_gdr_reftransV1_0035808")</f>
        <v>p.persica_gdr_reftransV1_0035808</v>
      </c>
      <c r="B543" s="2">
        <v>3256</v>
      </c>
      <c r="C543" s="4" t="str">
        <f>HYPERLINK("http://www.uniprot.org/uniprot/M5XBV2","M5XBV2")</f>
        <v>M5XBV2</v>
      </c>
      <c r="D543" s="2" t="s">
        <v>535</v>
      </c>
      <c r="E543" s="3">
        <v>4.3099999999999999E-71</v>
      </c>
      <c r="F543" s="2">
        <v>648</v>
      </c>
      <c r="G543" s="2">
        <v>100</v>
      </c>
      <c r="H543" s="2">
        <v>121</v>
      </c>
      <c r="I543" s="2">
        <v>2064</v>
      </c>
      <c r="J543" s="2">
        <v>2426</v>
      </c>
      <c r="K543" s="2">
        <v>192</v>
      </c>
      <c r="L543" s="2">
        <v>312</v>
      </c>
    </row>
    <row r="544" spans="1:12" x14ac:dyDescent="0.25">
      <c r="A544" s="4" t="str">
        <f>HYPERLINK("http://www.rosaceae.org/Prunus/Prunus_persica/p.persica_gdr_reftransV1_0038608","p.persica_gdr_reftransV1_0038608")</f>
        <v>p.persica_gdr_reftransV1_0038608</v>
      </c>
      <c r="B544" s="2">
        <v>2604</v>
      </c>
      <c r="C544" s="4" t="str">
        <f>HYPERLINK("http://www.uniprot.org/uniprot/M5VVZ1","M5VVZ1")</f>
        <v>M5VVZ1</v>
      </c>
      <c r="D544" s="2" t="s">
        <v>536</v>
      </c>
      <c r="E544" s="3">
        <v>1.77E-122</v>
      </c>
      <c r="F544" s="2">
        <v>771</v>
      </c>
      <c r="G544" s="2">
        <v>100</v>
      </c>
      <c r="H544" s="2">
        <v>149</v>
      </c>
      <c r="I544" s="2">
        <v>210</v>
      </c>
      <c r="J544" s="2">
        <v>656</v>
      </c>
      <c r="K544" s="2">
        <v>252</v>
      </c>
      <c r="L544" s="2">
        <v>400</v>
      </c>
    </row>
    <row r="545" spans="1:12" x14ac:dyDescent="0.25">
      <c r="A545" s="4" t="str">
        <f>HYPERLINK("http://www.rosaceae.org/Prunus/Prunus_persica/p.persica_gdr_reftransV1_0038958","p.persica_gdr_reftransV1_0038958")</f>
        <v>p.persica_gdr_reftransV1_0038958</v>
      </c>
      <c r="B545" s="2">
        <v>3214</v>
      </c>
      <c r="C545" s="4" t="str">
        <f>HYPERLINK("http://www.uniprot.org/uniprot/M5Y4G5","M5Y4G5")</f>
        <v>M5Y4G5</v>
      </c>
      <c r="D545" s="2" t="s">
        <v>281</v>
      </c>
      <c r="E545" s="3">
        <v>0</v>
      </c>
      <c r="F545" s="2">
        <v>2427</v>
      </c>
      <c r="G545" s="2">
        <v>100</v>
      </c>
      <c r="H545" s="2">
        <v>484</v>
      </c>
      <c r="I545" s="2">
        <v>863</v>
      </c>
      <c r="J545" s="2">
        <v>2314</v>
      </c>
      <c r="K545" s="2">
        <v>1001</v>
      </c>
      <c r="L545" s="2">
        <v>1484</v>
      </c>
    </row>
    <row r="546" spans="1:12" x14ac:dyDescent="0.25">
      <c r="A546" s="4" t="str">
        <f>HYPERLINK("http://www.rosaceae.org/Prunus/Prunus_persica/p.persica_gdr_reftransV1_0039308","p.persica_gdr_reftransV1_0039308")</f>
        <v>p.persica_gdr_reftransV1_0039308</v>
      </c>
      <c r="B546" s="2">
        <v>3008</v>
      </c>
      <c r="C546" s="4" t="str">
        <f>HYPERLINK("http://www.uniprot.org/uniprot/M5W9E5","M5W9E5")</f>
        <v>M5W9E5</v>
      </c>
      <c r="D546" s="2" t="s">
        <v>537</v>
      </c>
      <c r="E546" s="3">
        <v>0</v>
      </c>
      <c r="F546" s="2">
        <v>1752</v>
      </c>
      <c r="G546" s="2">
        <v>100</v>
      </c>
      <c r="H546" s="2">
        <v>344</v>
      </c>
      <c r="I546" s="2">
        <v>578</v>
      </c>
      <c r="J546" s="2">
        <v>1609</v>
      </c>
      <c r="K546" s="2">
        <v>1</v>
      </c>
      <c r="L546" s="2">
        <v>344</v>
      </c>
    </row>
    <row r="547" spans="1:12" x14ac:dyDescent="0.25">
      <c r="A547" s="4" t="str">
        <f>HYPERLINK("http://www.rosaceae.org/Prunus/Prunus_persica/p.persica_gdr_reftransV1_0042808","p.persica_gdr_reftransV1_0042808")</f>
        <v>p.persica_gdr_reftransV1_0042808</v>
      </c>
      <c r="B547" s="2">
        <v>3612</v>
      </c>
      <c r="C547" s="4" t="str">
        <f>HYPERLINK("http://www.uniprot.org/uniprot/M5XH09","M5XH09")</f>
        <v>M5XH09</v>
      </c>
      <c r="D547" s="2" t="s">
        <v>538</v>
      </c>
      <c r="E547" s="3">
        <v>0</v>
      </c>
      <c r="F547" s="2">
        <v>3521</v>
      </c>
      <c r="G547" s="2">
        <v>98</v>
      </c>
      <c r="H547" s="2">
        <v>692</v>
      </c>
      <c r="I547" s="2">
        <v>402</v>
      </c>
      <c r="J547" s="2">
        <v>2459</v>
      </c>
      <c r="K547" s="2">
        <v>57</v>
      </c>
      <c r="L547" s="2">
        <v>748</v>
      </c>
    </row>
    <row r="548" spans="1:12" x14ac:dyDescent="0.25">
      <c r="A548" s="4" t="str">
        <f>HYPERLINK("http://www.rosaceae.org/Prunus/Prunus_persica/p.persica_gdr_reftransV1_0043158","p.persica_gdr_reftransV1_0043158")</f>
        <v>p.persica_gdr_reftransV1_0043158</v>
      </c>
      <c r="B548" s="2">
        <v>1174</v>
      </c>
      <c r="C548" s="4" t="str">
        <f>HYPERLINK("http://www.uniprot.org/uniprot/M5VU58","M5VU58")</f>
        <v>M5VU58</v>
      </c>
      <c r="D548" s="2" t="s">
        <v>539</v>
      </c>
      <c r="E548" s="3">
        <v>5.0299999999999999E-38</v>
      </c>
      <c r="F548" s="2">
        <v>361</v>
      </c>
      <c r="G548" s="2">
        <v>100</v>
      </c>
      <c r="H548" s="2">
        <v>70</v>
      </c>
      <c r="I548" s="2">
        <v>569</v>
      </c>
      <c r="J548" s="2">
        <v>778</v>
      </c>
      <c r="K548" s="2">
        <v>23</v>
      </c>
      <c r="L548" s="2">
        <v>92</v>
      </c>
    </row>
    <row r="549" spans="1:12" x14ac:dyDescent="0.25">
      <c r="A549" s="4" t="str">
        <f>HYPERLINK("http://www.rosaceae.org/Prunus/Prunus_persica/p.persica_gdr_reftransV1_0043508","p.persica_gdr_reftransV1_0043508")</f>
        <v>p.persica_gdr_reftransV1_0043508</v>
      </c>
      <c r="B549" s="2">
        <v>921</v>
      </c>
      <c r="C549" s="4" t="str">
        <f>HYPERLINK("http://www.uniprot.org/uniprot/M5VHG8","M5VHG8")</f>
        <v>M5VHG8</v>
      </c>
      <c r="D549" s="2" t="s">
        <v>540</v>
      </c>
      <c r="E549" s="3">
        <v>5.2699999999999997E-121</v>
      </c>
      <c r="F549" s="2">
        <v>921</v>
      </c>
      <c r="G549" s="2">
        <v>100</v>
      </c>
      <c r="H549" s="2">
        <v>174</v>
      </c>
      <c r="I549" s="2">
        <v>249</v>
      </c>
      <c r="J549" s="2">
        <v>770</v>
      </c>
      <c r="K549" s="2">
        <v>70</v>
      </c>
      <c r="L549" s="2">
        <v>243</v>
      </c>
    </row>
    <row r="550" spans="1:12" x14ac:dyDescent="0.25">
      <c r="A550" s="4" t="str">
        <f>HYPERLINK("http://www.rosaceae.org/Prunus/Prunus_persica/p.persica_gdr_reftransV1_0043858","p.persica_gdr_reftransV1_0043858")</f>
        <v>p.persica_gdr_reftransV1_0043858</v>
      </c>
      <c r="B550" s="2">
        <v>2026</v>
      </c>
      <c r="C550" s="4" t="str">
        <f>HYPERLINK("http://www.uniprot.org/uniprot/M5XJB4","M5XJB4")</f>
        <v>M5XJB4</v>
      </c>
      <c r="D550" s="2" t="s">
        <v>541</v>
      </c>
      <c r="E550" s="3">
        <v>0</v>
      </c>
      <c r="F550" s="2">
        <v>2307</v>
      </c>
      <c r="G550" s="2">
        <v>100</v>
      </c>
      <c r="H550" s="2">
        <v>487</v>
      </c>
      <c r="I550" s="2">
        <v>333</v>
      </c>
      <c r="J550" s="2">
        <v>1793</v>
      </c>
      <c r="K550" s="2">
        <v>1</v>
      </c>
      <c r="L550" s="2">
        <v>487</v>
      </c>
    </row>
    <row r="551" spans="1:12" x14ac:dyDescent="0.25">
      <c r="A551" s="4" t="str">
        <f>HYPERLINK("http://www.rosaceae.org/Prunus/Prunus_persica/p.persica_gdr_reftransV1_0044208","p.persica_gdr_reftransV1_0044208")</f>
        <v>p.persica_gdr_reftransV1_0044208</v>
      </c>
      <c r="B551" s="2">
        <v>784</v>
      </c>
      <c r="C551" s="4" t="str">
        <f>HYPERLINK("http://www.uniprot.org/uniprot/M5WZI4","M5WZI4")</f>
        <v>M5WZI4</v>
      </c>
      <c r="D551" s="2" t="s">
        <v>542</v>
      </c>
      <c r="E551" s="3">
        <v>1.24E-96</v>
      </c>
      <c r="F551" s="2">
        <v>773</v>
      </c>
      <c r="G551" s="2">
        <v>100</v>
      </c>
      <c r="H551" s="2">
        <v>160</v>
      </c>
      <c r="I551" s="2">
        <v>303</v>
      </c>
      <c r="J551" s="2">
        <v>782</v>
      </c>
      <c r="K551" s="2">
        <v>281</v>
      </c>
      <c r="L551" s="2">
        <v>440</v>
      </c>
    </row>
    <row r="552" spans="1:12" x14ac:dyDescent="0.25">
      <c r="A552" s="4" t="str">
        <f>HYPERLINK("http://www.rosaceae.org/Prunus/Prunus_persica/p.persica_gdr_reftransV1_0044558","p.persica_gdr_reftransV1_0044558")</f>
        <v>p.persica_gdr_reftransV1_0044558</v>
      </c>
      <c r="B552" s="2">
        <v>821</v>
      </c>
      <c r="C552" s="4" t="str">
        <f>HYPERLINK("http://www.uniprot.org/uniprot/M5VUZ1","M5VUZ1")</f>
        <v>M5VUZ1</v>
      </c>
      <c r="D552" s="2" t="s">
        <v>543</v>
      </c>
      <c r="E552" s="3">
        <v>1.07E-159</v>
      </c>
      <c r="F552" s="2">
        <v>1193</v>
      </c>
      <c r="G552" s="2">
        <v>100</v>
      </c>
      <c r="H552" s="2">
        <v>224</v>
      </c>
      <c r="I552" s="2">
        <v>1</v>
      </c>
      <c r="J552" s="2">
        <v>672</v>
      </c>
      <c r="K552" s="2">
        <v>229</v>
      </c>
      <c r="L552" s="2">
        <v>452</v>
      </c>
    </row>
    <row r="553" spans="1:12" x14ac:dyDescent="0.25">
      <c r="A553" s="4" t="str">
        <f>HYPERLINK("http://www.rosaceae.org/Prunus/Prunus_persica/p.persica_gdr_reftransV1_0044908","p.persica_gdr_reftransV1_0044908")</f>
        <v>p.persica_gdr_reftransV1_0044908</v>
      </c>
      <c r="B553" s="2">
        <v>2784</v>
      </c>
      <c r="C553" s="4" t="str">
        <f>HYPERLINK("http://www.uniprot.org/uniprot/M5WM32","M5WM32")</f>
        <v>M5WM32</v>
      </c>
      <c r="D553" s="2" t="s">
        <v>544</v>
      </c>
      <c r="E553" s="3">
        <v>0</v>
      </c>
      <c r="F553" s="2">
        <v>3906</v>
      </c>
      <c r="G553" s="2">
        <v>100</v>
      </c>
      <c r="H553" s="2">
        <v>819</v>
      </c>
      <c r="I553" s="2">
        <v>31</v>
      </c>
      <c r="J553" s="2">
        <v>2487</v>
      </c>
      <c r="K553" s="2">
        <v>1</v>
      </c>
      <c r="L553" s="2">
        <v>819</v>
      </c>
    </row>
    <row r="554" spans="1:12" x14ac:dyDescent="0.25">
      <c r="A554" s="4" t="str">
        <f>HYPERLINK("http://www.rosaceae.org/Prunus/Prunus_persica/p.persica_gdr_reftransV1_0045258","p.persica_gdr_reftransV1_0045258")</f>
        <v>p.persica_gdr_reftransV1_0045258</v>
      </c>
      <c r="B554" s="2">
        <v>627</v>
      </c>
      <c r="C554" s="4" t="str">
        <f>HYPERLINK("http://www.uniprot.org/uniprot/M5WYW6","M5WYW6")</f>
        <v>M5WYW6</v>
      </c>
      <c r="D554" s="2" t="s">
        <v>545</v>
      </c>
      <c r="E554" s="3">
        <v>6.1799999999999999E-12</v>
      </c>
      <c r="F554" s="2">
        <v>168</v>
      </c>
      <c r="G554" s="2">
        <v>100</v>
      </c>
      <c r="H554" s="2">
        <v>109</v>
      </c>
      <c r="I554" s="2">
        <v>78</v>
      </c>
      <c r="J554" s="2">
        <v>404</v>
      </c>
      <c r="K554" s="2">
        <v>1</v>
      </c>
      <c r="L554" s="2">
        <v>109</v>
      </c>
    </row>
    <row r="555" spans="1:12" x14ac:dyDescent="0.25">
      <c r="A555" s="4" t="str">
        <f>HYPERLINK("http://www.rosaceae.org/Prunus/Prunus_persica/p.persica_gdr_reftransV1_0045958","p.persica_gdr_reftransV1_0045958")</f>
        <v>p.persica_gdr_reftransV1_0045958</v>
      </c>
      <c r="B555" s="2">
        <v>1599</v>
      </c>
      <c r="C555" s="4" t="str">
        <f>HYPERLINK("http://www.uniprot.org/uniprot/M5XQW4","M5XQW4")</f>
        <v>M5XQW4</v>
      </c>
      <c r="D555" s="2" t="s">
        <v>546</v>
      </c>
      <c r="E555" s="3">
        <v>0</v>
      </c>
      <c r="F555" s="2">
        <v>2221</v>
      </c>
      <c r="G555" s="2">
        <v>100</v>
      </c>
      <c r="H555" s="2">
        <v>410</v>
      </c>
      <c r="I555" s="2">
        <v>323</v>
      </c>
      <c r="J555" s="2">
        <v>1552</v>
      </c>
      <c r="K555" s="2">
        <v>1</v>
      </c>
      <c r="L555" s="2">
        <v>410</v>
      </c>
    </row>
    <row r="556" spans="1:12" x14ac:dyDescent="0.25">
      <c r="A556" s="4" t="str">
        <f>HYPERLINK("http://www.rosaceae.org/Prunus/Prunus_persica/p.persica_gdr_reftransV1_0046308","p.persica_gdr_reftransV1_0046308")</f>
        <v>p.persica_gdr_reftransV1_0046308</v>
      </c>
      <c r="B556" s="2">
        <v>1288</v>
      </c>
      <c r="C556" s="4" t="str">
        <f>HYPERLINK("http://www.uniprot.org/uniprot/M5Y2H7","M5Y2H7")</f>
        <v>M5Y2H7</v>
      </c>
      <c r="D556" s="2" t="s">
        <v>547</v>
      </c>
      <c r="E556" s="3">
        <v>1.31E-66</v>
      </c>
      <c r="F556" s="2">
        <v>559</v>
      </c>
      <c r="G556" s="2">
        <v>97</v>
      </c>
      <c r="H556" s="2">
        <v>111</v>
      </c>
      <c r="I556" s="2">
        <v>213</v>
      </c>
      <c r="J556" s="2">
        <v>545</v>
      </c>
      <c r="K556" s="2">
        <v>1</v>
      </c>
      <c r="L556" s="2">
        <v>111</v>
      </c>
    </row>
    <row r="557" spans="1:12" x14ac:dyDescent="0.25">
      <c r="A557" s="4" t="str">
        <f>HYPERLINK("http://www.rosaceae.org/Prunus/Prunus_persica/p.persica_gdr_reftransV1_0046658","p.persica_gdr_reftransV1_0046658")</f>
        <v>p.persica_gdr_reftransV1_0046658</v>
      </c>
      <c r="B557" s="2">
        <v>1036</v>
      </c>
      <c r="C557" s="4" t="str">
        <f>HYPERLINK("http://www.uniprot.org/uniprot/M5XC35","M5XC35")</f>
        <v>M5XC35</v>
      </c>
      <c r="D557" s="2" t="s">
        <v>548</v>
      </c>
      <c r="E557" s="3">
        <v>0</v>
      </c>
      <c r="F557" s="2">
        <v>1422</v>
      </c>
      <c r="G557" s="2">
        <v>100</v>
      </c>
      <c r="H557" s="2">
        <v>272</v>
      </c>
      <c r="I557" s="2">
        <v>1</v>
      </c>
      <c r="J557" s="2">
        <v>816</v>
      </c>
      <c r="K557" s="2">
        <v>262</v>
      </c>
      <c r="L557" s="2">
        <v>533</v>
      </c>
    </row>
    <row r="558" spans="1:12" x14ac:dyDescent="0.25">
      <c r="A558" s="4" t="str">
        <f>HYPERLINK("http://www.rosaceae.org/Prunus/Prunus_persica/p.persica_gdr_reftransV1_0047008","p.persica_gdr_reftransV1_0047008")</f>
        <v>p.persica_gdr_reftransV1_0047008</v>
      </c>
      <c r="B558" s="2">
        <v>1810</v>
      </c>
      <c r="C558" s="4" t="str">
        <f>HYPERLINK("http://www.uniprot.org/uniprot/M5XEX2","M5XEX2")</f>
        <v>M5XEX2</v>
      </c>
      <c r="D558" s="2" t="s">
        <v>549</v>
      </c>
      <c r="E558" s="3">
        <v>0</v>
      </c>
      <c r="F558" s="2">
        <v>2566</v>
      </c>
      <c r="G558" s="2">
        <v>99</v>
      </c>
      <c r="H558" s="2">
        <v>508</v>
      </c>
      <c r="I558" s="2">
        <v>72</v>
      </c>
      <c r="J558" s="2">
        <v>1595</v>
      </c>
      <c r="K558" s="2">
        <v>1</v>
      </c>
      <c r="L558" s="2">
        <v>508</v>
      </c>
    </row>
    <row r="559" spans="1:12" x14ac:dyDescent="0.25">
      <c r="A559" s="4" t="str">
        <f>HYPERLINK("http://www.rosaceae.org/Prunus/Prunus_persica/p.persica_gdr_reftransV1_0047708","p.persica_gdr_reftransV1_0047708")</f>
        <v>p.persica_gdr_reftransV1_0047708</v>
      </c>
      <c r="B559" s="2">
        <v>1452</v>
      </c>
      <c r="C559" s="4" t="str">
        <f>HYPERLINK("http://www.uniprot.org/uniprot/M5XKL8","M5XKL8")</f>
        <v>M5XKL8</v>
      </c>
      <c r="D559" s="2" t="s">
        <v>550</v>
      </c>
      <c r="E559" s="3">
        <v>6.8900000000000004E-141</v>
      </c>
      <c r="F559" s="2">
        <v>1085</v>
      </c>
      <c r="G559" s="2">
        <v>98</v>
      </c>
      <c r="H559" s="2">
        <v>391</v>
      </c>
      <c r="I559" s="2">
        <v>244</v>
      </c>
      <c r="J559" s="2">
        <v>1413</v>
      </c>
      <c r="K559" s="2">
        <v>1</v>
      </c>
      <c r="L559" s="2">
        <v>391</v>
      </c>
    </row>
    <row r="560" spans="1:12" x14ac:dyDescent="0.25">
      <c r="A560" s="4" t="str">
        <f>HYPERLINK("http://www.rosaceae.org/Prunus/Prunus_persica/p.persica_gdr_reftransV1_0048058","p.persica_gdr_reftransV1_0048058")</f>
        <v>p.persica_gdr_reftransV1_0048058</v>
      </c>
      <c r="B560" s="2">
        <v>467</v>
      </c>
      <c r="C560" s="4" t="str">
        <f>HYPERLINK("http://www.uniprot.org/uniprot/M5X5Z5","M5X5Z5")</f>
        <v>M5X5Z5</v>
      </c>
      <c r="D560" s="2" t="s">
        <v>551</v>
      </c>
      <c r="E560" s="3">
        <v>1.35E-66</v>
      </c>
      <c r="F560" s="2">
        <v>536</v>
      </c>
      <c r="G560" s="2">
        <v>89</v>
      </c>
      <c r="H560" s="2">
        <v>113</v>
      </c>
      <c r="I560" s="2">
        <v>129</v>
      </c>
      <c r="J560" s="2">
        <v>467</v>
      </c>
      <c r="K560" s="2">
        <v>25</v>
      </c>
      <c r="L560" s="2">
        <v>137</v>
      </c>
    </row>
    <row r="561" spans="1:12" x14ac:dyDescent="0.25">
      <c r="A561" s="4" t="str">
        <f>HYPERLINK("http://www.rosaceae.org/Prunus/Prunus_persica/p.persica_gdr_reftransV1_0048408","p.persica_gdr_reftransV1_0048408")</f>
        <v>p.persica_gdr_reftransV1_0048408</v>
      </c>
      <c r="B561" s="2">
        <v>758</v>
      </c>
      <c r="C561" s="4" t="str">
        <f>HYPERLINK("http://www.uniprot.org/uniprot/M5Y6F9","M5Y6F9")</f>
        <v>M5Y6F9</v>
      </c>
      <c r="D561" s="2" t="s">
        <v>552</v>
      </c>
      <c r="E561" s="3">
        <v>2.0900000000000001E-111</v>
      </c>
      <c r="F561" s="2">
        <v>887</v>
      </c>
      <c r="G561" s="2">
        <v>100</v>
      </c>
      <c r="H561" s="2">
        <v>167</v>
      </c>
      <c r="I561" s="2">
        <v>256</v>
      </c>
      <c r="J561" s="2">
        <v>756</v>
      </c>
      <c r="K561" s="2">
        <v>481</v>
      </c>
      <c r="L561" s="2">
        <v>647</v>
      </c>
    </row>
    <row r="562" spans="1:12" x14ac:dyDescent="0.25">
      <c r="A562" s="4" t="str">
        <f>HYPERLINK("http://www.rosaceae.org/Prunus/Prunus_persica/p.persica_gdr_reftransV1_0048758","p.persica_gdr_reftransV1_0048758")</f>
        <v>p.persica_gdr_reftransV1_0048758</v>
      </c>
      <c r="B562" s="2">
        <v>5152</v>
      </c>
      <c r="C562" s="4" t="str">
        <f>HYPERLINK("http://www.uniprot.org/uniprot/M5X371","M5X371")</f>
        <v>M5X371</v>
      </c>
      <c r="D562" s="2" t="s">
        <v>553</v>
      </c>
      <c r="E562" s="3">
        <v>0</v>
      </c>
      <c r="F562" s="2">
        <v>7205</v>
      </c>
      <c r="G562" s="2">
        <v>100</v>
      </c>
      <c r="H562" s="2">
        <v>1410</v>
      </c>
      <c r="I562" s="2">
        <v>617</v>
      </c>
      <c r="J562" s="2">
        <v>4846</v>
      </c>
      <c r="K562" s="2">
        <v>1</v>
      </c>
      <c r="L562" s="2">
        <v>1410</v>
      </c>
    </row>
    <row r="563" spans="1:12" x14ac:dyDescent="0.25">
      <c r="A563" s="4" t="str">
        <f>HYPERLINK("http://www.rosaceae.org/Prunus/Prunus_persica/p.persica_gdr_reftransV1_0049108","p.persica_gdr_reftransV1_0049108")</f>
        <v>p.persica_gdr_reftransV1_0049108</v>
      </c>
      <c r="B563" s="2">
        <v>469</v>
      </c>
      <c r="C563" s="4" t="str">
        <f>HYPERLINK("http://www.uniprot.org/uniprot/M5XBQ2","M5XBQ2")</f>
        <v>M5XBQ2</v>
      </c>
      <c r="D563" s="2" t="s">
        <v>554</v>
      </c>
      <c r="E563" s="3">
        <v>4.9299999999999996E-62</v>
      </c>
      <c r="F563" s="2">
        <v>394</v>
      </c>
      <c r="G563" s="2">
        <v>100</v>
      </c>
      <c r="H563" s="2">
        <v>72</v>
      </c>
      <c r="I563" s="2">
        <v>220</v>
      </c>
      <c r="J563" s="2">
        <v>435</v>
      </c>
      <c r="K563" s="2">
        <v>99</v>
      </c>
      <c r="L563" s="2">
        <v>170</v>
      </c>
    </row>
    <row r="564" spans="1:12" x14ac:dyDescent="0.25">
      <c r="A564" s="4" t="str">
        <f>HYPERLINK("http://www.rosaceae.org/Prunus/Prunus_persica/p.persica_gdr_reftransV1_0000109","p.persica_gdr_reftransV1_0000109")</f>
        <v>p.persica_gdr_reftransV1_0000109</v>
      </c>
      <c r="B564" s="2">
        <v>611</v>
      </c>
      <c r="C564" s="4" t="str">
        <f>HYPERLINK("http://www.uniprot.org/uniprot/M5WIJ6","M5WIJ6")</f>
        <v>M5WIJ6</v>
      </c>
      <c r="D564" s="2" t="s">
        <v>555</v>
      </c>
      <c r="E564" s="3">
        <v>1.9599999999999999E-64</v>
      </c>
      <c r="F564" s="2">
        <v>523</v>
      </c>
      <c r="G564" s="2">
        <v>100</v>
      </c>
      <c r="H564" s="2">
        <v>104</v>
      </c>
      <c r="I564" s="2">
        <v>175</v>
      </c>
      <c r="J564" s="2">
        <v>486</v>
      </c>
      <c r="K564" s="2">
        <v>1</v>
      </c>
      <c r="L564" s="2">
        <v>104</v>
      </c>
    </row>
    <row r="565" spans="1:12" x14ac:dyDescent="0.25">
      <c r="A565" s="4" t="str">
        <f>HYPERLINK("http://www.rosaceae.org/Prunus/Prunus_persica/p.persica_gdr_reftransV1_0000459","p.persica_gdr_reftransV1_0000459")</f>
        <v>p.persica_gdr_reftransV1_0000459</v>
      </c>
      <c r="B565" s="2">
        <v>2305</v>
      </c>
      <c r="C565" s="4" t="str">
        <f>HYPERLINK("http://www.uniprot.org/uniprot/M5XDI1","M5XDI1")</f>
        <v>M5XDI1</v>
      </c>
      <c r="D565" s="2" t="s">
        <v>556</v>
      </c>
      <c r="E565" s="3">
        <v>0</v>
      </c>
      <c r="F565" s="2">
        <v>2930</v>
      </c>
      <c r="G565" s="2">
        <v>100</v>
      </c>
      <c r="H565" s="2">
        <v>582</v>
      </c>
      <c r="I565" s="2">
        <v>302</v>
      </c>
      <c r="J565" s="2">
        <v>2047</v>
      </c>
      <c r="K565" s="2">
        <v>1</v>
      </c>
      <c r="L565" s="2">
        <v>582</v>
      </c>
    </row>
    <row r="566" spans="1:12" x14ac:dyDescent="0.25">
      <c r="A566" s="4" t="str">
        <f>HYPERLINK("http://www.rosaceae.org/Prunus/Prunus_persica/p.persica_gdr_reftransV1_0000809","p.persica_gdr_reftransV1_0000809")</f>
        <v>p.persica_gdr_reftransV1_0000809</v>
      </c>
      <c r="B566" s="2">
        <v>2054</v>
      </c>
      <c r="C566" s="4" t="str">
        <f>HYPERLINK("http://www.uniprot.org/uniprot/M5WH08","M5WH08")</f>
        <v>M5WH08</v>
      </c>
      <c r="D566" s="2" t="s">
        <v>557</v>
      </c>
      <c r="E566" s="3">
        <v>0</v>
      </c>
      <c r="F566" s="2">
        <v>3160</v>
      </c>
      <c r="G566" s="2">
        <v>99</v>
      </c>
      <c r="H566" s="2">
        <v>611</v>
      </c>
      <c r="I566" s="2">
        <v>222</v>
      </c>
      <c r="J566" s="2">
        <v>2054</v>
      </c>
      <c r="K566" s="2">
        <v>13</v>
      </c>
      <c r="L566" s="2">
        <v>621</v>
      </c>
    </row>
    <row r="567" spans="1:12" x14ac:dyDescent="0.25">
      <c r="A567" s="4" t="str">
        <f>HYPERLINK("http://www.rosaceae.org/Prunus/Prunus_persica/p.persica_gdr_reftransV1_0001159","p.persica_gdr_reftransV1_0001159")</f>
        <v>p.persica_gdr_reftransV1_0001159</v>
      </c>
      <c r="B567" s="2">
        <v>424</v>
      </c>
      <c r="C567" s="4" t="str">
        <f>HYPERLINK("http://www.uniprot.org/uniprot/M5W295","M5W295")</f>
        <v>M5W295</v>
      </c>
      <c r="D567" s="2" t="s">
        <v>558</v>
      </c>
      <c r="E567" s="3">
        <v>1.3099999999999999E-94</v>
      </c>
      <c r="F567" s="2">
        <v>772</v>
      </c>
      <c r="G567" s="2">
        <v>100</v>
      </c>
      <c r="H567" s="2">
        <v>140</v>
      </c>
      <c r="I567" s="2">
        <v>3</v>
      </c>
      <c r="J567" s="2">
        <v>422</v>
      </c>
      <c r="K567" s="2">
        <v>261</v>
      </c>
      <c r="L567" s="2">
        <v>400</v>
      </c>
    </row>
    <row r="568" spans="1:12" x14ac:dyDescent="0.25">
      <c r="A568" s="4" t="str">
        <f>HYPERLINK("http://www.rosaceae.org/Prunus/Prunus_persica/p.persica_gdr_reftransV1_0001509","p.persica_gdr_reftransV1_0001509")</f>
        <v>p.persica_gdr_reftransV1_0001509</v>
      </c>
      <c r="B568" s="2">
        <v>2263</v>
      </c>
      <c r="C568" s="4" t="str">
        <f>HYPERLINK("http://www.uniprot.org/uniprot/M5XLK2","M5XLK2")</f>
        <v>M5XLK2</v>
      </c>
      <c r="D568" s="2" t="s">
        <v>559</v>
      </c>
      <c r="E568" s="3">
        <v>0</v>
      </c>
      <c r="F568" s="2">
        <v>3087</v>
      </c>
      <c r="G568" s="2">
        <v>100</v>
      </c>
      <c r="H568" s="2">
        <v>638</v>
      </c>
      <c r="I568" s="2">
        <v>349</v>
      </c>
      <c r="J568" s="2">
        <v>2262</v>
      </c>
      <c r="K568" s="2">
        <v>1</v>
      </c>
      <c r="L568" s="2">
        <v>638</v>
      </c>
    </row>
    <row r="569" spans="1:12" x14ac:dyDescent="0.25">
      <c r="A569" s="4" t="str">
        <f>HYPERLINK("http://www.rosaceae.org/Prunus/Prunus_persica/p.persica_gdr_reftransV1_0002559","p.persica_gdr_reftransV1_0002559")</f>
        <v>p.persica_gdr_reftransV1_0002559</v>
      </c>
      <c r="B569" s="2">
        <v>1771</v>
      </c>
      <c r="C569" s="4" t="str">
        <f>HYPERLINK("http://www.uniprot.org/uniprot/M5VYG2","M5VYG2")</f>
        <v>M5VYG2</v>
      </c>
      <c r="D569" s="2" t="s">
        <v>560</v>
      </c>
      <c r="E569" s="3">
        <v>0</v>
      </c>
      <c r="F569" s="2">
        <v>1790</v>
      </c>
      <c r="G569" s="2">
        <v>100</v>
      </c>
      <c r="H569" s="2">
        <v>404</v>
      </c>
      <c r="I569" s="2">
        <v>110</v>
      </c>
      <c r="J569" s="2">
        <v>1321</v>
      </c>
      <c r="K569" s="2">
        <v>1</v>
      </c>
      <c r="L569" s="2">
        <v>404</v>
      </c>
    </row>
    <row r="570" spans="1:12" x14ac:dyDescent="0.25">
      <c r="A570" s="4" t="str">
        <f>HYPERLINK("http://www.rosaceae.org/Prunus/Prunus_persica/p.persica_gdr_reftransV1_0002909","p.persica_gdr_reftransV1_0002909")</f>
        <v>p.persica_gdr_reftransV1_0002909</v>
      </c>
      <c r="B570" s="2">
        <v>1619</v>
      </c>
      <c r="C570" s="4" t="str">
        <f>HYPERLINK("http://www.uniprot.org/uniprot/M5X0A7","M5X0A7")</f>
        <v>M5X0A7</v>
      </c>
      <c r="D570" s="2" t="s">
        <v>561</v>
      </c>
      <c r="E570" s="3">
        <v>0</v>
      </c>
      <c r="F570" s="2">
        <v>2046</v>
      </c>
      <c r="G570" s="2">
        <v>100</v>
      </c>
      <c r="H570" s="2">
        <v>386</v>
      </c>
      <c r="I570" s="2">
        <v>338</v>
      </c>
      <c r="J570" s="2">
        <v>1495</v>
      </c>
      <c r="K570" s="2">
        <v>14</v>
      </c>
      <c r="L570" s="2">
        <v>399</v>
      </c>
    </row>
    <row r="571" spans="1:12" x14ac:dyDescent="0.25">
      <c r="A571" s="4" t="str">
        <f>HYPERLINK("http://www.rosaceae.org/Prunus/Prunus_persica/p.persica_gdr_reftransV1_0003259","p.persica_gdr_reftransV1_0003259")</f>
        <v>p.persica_gdr_reftransV1_0003259</v>
      </c>
      <c r="B571" s="2">
        <v>2559</v>
      </c>
      <c r="C571" s="4" t="str">
        <f>HYPERLINK("http://www.uniprot.org/uniprot/M5VL53","M5VL53")</f>
        <v>M5VL53</v>
      </c>
      <c r="D571" s="2" t="s">
        <v>562</v>
      </c>
      <c r="E571" s="3">
        <v>0</v>
      </c>
      <c r="F571" s="2">
        <v>1625</v>
      </c>
      <c r="G571" s="2">
        <v>100</v>
      </c>
      <c r="H571" s="2">
        <v>333</v>
      </c>
      <c r="I571" s="2">
        <v>1503</v>
      </c>
      <c r="J571" s="2">
        <v>2501</v>
      </c>
      <c r="K571" s="2">
        <v>1</v>
      </c>
      <c r="L571" s="2">
        <v>333</v>
      </c>
    </row>
    <row r="572" spans="1:12" x14ac:dyDescent="0.25">
      <c r="A572" s="4" t="str">
        <f>HYPERLINK("http://www.rosaceae.org/Prunus/Prunus_persica/p.persica_gdr_reftransV1_0003609","p.persica_gdr_reftransV1_0003609")</f>
        <v>p.persica_gdr_reftransV1_0003609</v>
      </c>
      <c r="B572" s="2">
        <v>2305</v>
      </c>
      <c r="C572" s="4" t="str">
        <f>HYPERLINK("http://www.uniprot.org/uniprot/M5W8W9","M5W8W9")</f>
        <v>M5W8W9</v>
      </c>
      <c r="D572" s="2" t="s">
        <v>563</v>
      </c>
      <c r="E572" s="3">
        <v>1.34E-132</v>
      </c>
      <c r="F572" s="2">
        <v>1035</v>
      </c>
      <c r="G572" s="2">
        <v>100</v>
      </c>
      <c r="H572" s="2">
        <v>193</v>
      </c>
      <c r="I572" s="2">
        <v>1522</v>
      </c>
      <c r="J572" s="2">
        <v>2100</v>
      </c>
      <c r="K572" s="2">
        <v>1</v>
      </c>
      <c r="L572" s="2">
        <v>193</v>
      </c>
    </row>
    <row r="573" spans="1:12" x14ac:dyDescent="0.25">
      <c r="A573" s="4" t="str">
        <f>HYPERLINK("http://www.rosaceae.org/Prunus/Prunus_persica/p.persica_gdr_reftransV1_0004309","p.persica_gdr_reftransV1_0004309")</f>
        <v>p.persica_gdr_reftransV1_0004309</v>
      </c>
      <c r="B573" s="2">
        <v>669</v>
      </c>
      <c r="C573" s="4" t="str">
        <f>HYPERLINK("http://www.uniprot.org/uniprot/M5XL50","M5XL50")</f>
        <v>M5XL50</v>
      </c>
      <c r="D573" s="2" t="s">
        <v>564</v>
      </c>
      <c r="E573" s="3">
        <v>1.92E-101</v>
      </c>
      <c r="F573" s="2">
        <v>847</v>
      </c>
      <c r="G573" s="2">
        <v>100</v>
      </c>
      <c r="H573" s="2">
        <v>181</v>
      </c>
      <c r="I573" s="2">
        <v>126</v>
      </c>
      <c r="J573" s="2">
        <v>668</v>
      </c>
      <c r="K573" s="2">
        <v>1</v>
      </c>
      <c r="L573" s="2">
        <v>181</v>
      </c>
    </row>
    <row r="574" spans="1:12" x14ac:dyDescent="0.25">
      <c r="A574" s="4" t="str">
        <f>HYPERLINK("http://www.rosaceae.org/Prunus/Prunus_persica/p.persica_gdr_reftransV1_0004659","p.persica_gdr_reftransV1_0004659")</f>
        <v>p.persica_gdr_reftransV1_0004659</v>
      </c>
      <c r="B574" s="2">
        <v>302</v>
      </c>
      <c r="C574" s="4" t="str">
        <f>HYPERLINK("http://www.uniprot.org/uniprot/M5X619","M5X619")</f>
        <v>M5X619</v>
      </c>
      <c r="D574" s="2" t="s">
        <v>565</v>
      </c>
      <c r="E574" s="3">
        <v>6.3199999999999995E-54</v>
      </c>
      <c r="F574" s="2">
        <v>484</v>
      </c>
      <c r="G574" s="2">
        <v>97</v>
      </c>
      <c r="H574" s="2">
        <v>90</v>
      </c>
      <c r="I574" s="2">
        <v>33</v>
      </c>
      <c r="J574" s="2">
        <v>302</v>
      </c>
      <c r="K574" s="2">
        <v>217</v>
      </c>
      <c r="L574" s="2">
        <v>306</v>
      </c>
    </row>
    <row r="575" spans="1:12" x14ac:dyDescent="0.25">
      <c r="A575" s="4" t="str">
        <f>HYPERLINK("http://www.rosaceae.org/Prunus/Prunus_persica/p.persica_gdr_reftransV1_0005009","p.persica_gdr_reftransV1_0005009")</f>
        <v>p.persica_gdr_reftransV1_0005009</v>
      </c>
      <c r="B575" s="2">
        <v>1729</v>
      </c>
      <c r="C575" s="4" t="str">
        <f>HYPERLINK("http://www.uniprot.org/uniprot/M5XT33","M5XT33")</f>
        <v>M5XT33</v>
      </c>
      <c r="D575" s="2" t="s">
        <v>566</v>
      </c>
      <c r="E575" s="3">
        <v>0</v>
      </c>
      <c r="F575" s="2">
        <v>1919</v>
      </c>
      <c r="G575" s="2">
        <v>100</v>
      </c>
      <c r="H575" s="2">
        <v>404</v>
      </c>
      <c r="I575" s="2">
        <v>319</v>
      </c>
      <c r="J575" s="2">
        <v>1530</v>
      </c>
      <c r="K575" s="2">
        <v>3</v>
      </c>
      <c r="L575" s="2">
        <v>406</v>
      </c>
    </row>
    <row r="576" spans="1:12" x14ac:dyDescent="0.25">
      <c r="A576" s="4" t="str">
        <f>HYPERLINK("http://www.rosaceae.org/Prunus/Prunus_persica/p.persica_gdr_reftransV1_0005709","p.persica_gdr_reftransV1_0005709")</f>
        <v>p.persica_gdr_reftransV1_0005709</v>
      </c>
      <c r="B576" s="2">
        <v>375</v>
      </c>
      <c r="C576" s="4" t="str">
        <f>HYPERLINK("http://www.uniprot.org/uniprot/M5W7A0","M5W7A0")</f>
        <v>M5W7A0</v>
      </c>
      <c r="D576" s="2" t="s">
        <v>567</v>
      </c>
      <c r="E576" s="3">
        <v>1.0699999999999999E-74</v>
      </c>
      <c r="F576" s="2">
        <v>640</v>
      </c>
      <c r="G576" s="2">
        <v>100</v>
      </c>
      <c r="H576" s="2">
        <v>124</v>
      </c>
      <c r="I576" s="2">
        <v>2</v>
      </c>
      <c r="J576" s="2">
        <v>373</v>
      </c>
      <c r="K576" s="2">
        <v>477</v>
      </c>
      <c r="L576" s="2">
        <v>600</v>
      </c>
    </row>
    <row r="577" spans="1:12" x14ac:dyDescent="0.25">
      <c r="A577" s="4" t="str">
        <f>HYPERLINK("http://www.rosaceae.org/Prunus/Prunus_persica/p.persica_gdr_reftransV1_0006759","p.persica_gdr_reftransV1_0006759")</f>
        <v>p.persica_gdr_reftransV1_0006759</v>
      </c>
      <c r="B577" s="2">
        <v>1481</v>
      </c>
      <c r="C577" s="4" t="str">
        <f>HYPERLINK("http://www.uniprot.org/uniprot/M5WAH0","M5WAH0")</f>
        <v>M5WAH0</v>
      </c>
      <c r="D577" s="2" t="s">
        <v>568</v>
      </c>
      <c r="E577" s="3">
        <v>9.4300000000000004E-123</v>
      </c>
      <c r="F577" s="2">
        <v>951</v>
      </c>
      <c r="G577" s="2">
        <v>99</v>
      </c>
      <c r="H577" s="2">
        <v>199</v>
      </c>
      <c r="I577" s="2">
        <v>619</v>
      </c>
      <c r="J577" s="2">
        <v>1215</v>
      </c>
      <c r="K577" s="2">
        <v>48</v>
      </c>
      <c r="L577" s="2">
        <v>246</v>
      </c>
    </row>
    <row r="578" spans="1:12" x14ac:dyDescent="0.25">
      <c r="A578" s="4" t="str">
        <f>HYPERLINK("http://www.rosaceae.org/Prunus/Prunus_persica/p.persica_gdr_reftransV1_0007809","p.persica_gdr_reftransV1_0007809")</f>
        <v>p.persica_gdr_reftransV1_0007809</v>
      </c>
      <c r="B578" s="2">
        <v>795</v>
      </c>
      <c r="C578" s="4" t="str">
        <f>HYPERLINK("http://www.uniprot.org/uniprot/M5W7E9","M5W7E9")</f>
        <v>M5W7E9</v>
      </c>
      <c r="D578" s="2" t="s">
        <v>569</v>
      </c>
      <c r="E578" s="3">
        <v>2.6300000000000001E-157</v>
      </c>
      <c r="F578" s="2">
        <v>1203</v>
      </c>
      <c r="G578" s="2">
        <v>100</v>
      </c>
      <c r="H578" s="2">
        <v>242</v>
      </c>
      <c r="I578" s="2">
        <v>1</v>
      </c>
      <c r="J578" s="2">
        <v>726</v>
      </c>
      <c r="K578" s="2">
        <v>1</v>
      </c>
      <c r="L578" s="2">
        <v>242</v>
      </c>
    </row>
    <row r="579" spans="1:12" x14ac:dyDescent="0.25">
      <c r="A579" s="4" t="str">
        <f>HYPERLINK("http://www.rosaceae.org/Prunus/Prunus_persica/p.persica_gdr_reftransV1_0008159","p.persica_gdr_reftransV1_0008159")</f>
        <v>p.persica_gdr_reftransV1_0008159</v>
      </c>
      <c r="B579" s="2">
        <v>534</v>
      </c>
      <c r="C579" s="4" t="str">
        <f>HYPERLINK("http://www.uniprot.org/uniprot/M5WWZ3","M5WWZ3")</f>
        <v>M5WWZ3</v>
      </c>
      <c r="D579" s="2" t="s">
        <v>570</v>
      </c>
      <c r="E579" s="3">
        <v>5.6800000000000001E-77</v>
      </c>
      <c r="F579" s="2">
        <v>636</v>
      </c>
      <c r="G579" s="2">
        <v>88</v>
      </c>
      <c r="H579" s="2">
        <v>143</v>
      </c>
      <c r="I579" s="2">
        <v>105</v>
      </c>
      <c r="J579" s="2">
        <v>533</v>
      </c>
      <c r="K579" s="2">
        <v>374</v>
      </c>
      <c r="L579" s="2">
        <v>499</v>
      </c>
    </row>
    <row r="580" spans="1:12" x14ac:dyDescent="0.25">
      <c r="A580" s="4" t="str">
        <f>HYPERLINK("http://www.rosaceae.org/Prunus/Prunus_persica/p.persica_gdr_reftransV1_0009559","p.persica_gdr_reftransV1_0009559")</f>
        <v>p.persica_gdr_reftransV1_0009559</v>
      </c>
      <c r="B580" s="2">
        <v>1734</v>
      </c>
      <c r="C580" s="4" t="str">
        <f>HYPERLINK("http://www.uniprot.org/uniprot/M5WAS3","M5WAS3")</f>
        <v>M5WAS3</v>
      </c>
      <c r="D580" s="2" t="s">
        <v>571</v>
      </c>
      <c r="E580" s="3">
        <v>0</v>
      </c>
      <c r="F580" s="2">
        <v>2459</v>
      </c>
      <c r="G580" s="2">
        <v>100</v>
      </c>
      <c r="H580" s="2">
        <v>463</v>
      </c>
      <c r="I580" s="2">
        <v>142</v>
      </c>
      <c r="J580" s="2">
        <v>1530</v>
      </c>
      <c r="K580" s="2">
        <v>1</v>
      </c>
      <c r="L580" s="2">
        <v>463</v>
      </c>
    </row>
    <row r="581" spans="1:12" x14ac:dyDescent="0.25">
      <c r="A581" s="4" t="str">
        <f>HYPERLINK("http://www.rosaceae.org/Prunus/Prunus_persica/p.persica_gdr_reftransV1_0009909","p.persica_gdr_reftransV1_0009909")</f>
        <v>p.persica_gdr_reftransV1_0009909</v>
      </c>
      <c r="B581" s="2">
        <v>2278</v>
      </c>
      <c r="C581" s="4" t="str">
        <f>HYPERLINK("http://www.uniprot.org/uniprot/M5XCJ7","M5XCJ7")</f>
        <v>M5XCJ7</v>
      </c>
      <c r="D581" s="2" t="s">
        <v>572</v>
      </c>
      <c r="E581" s="3">
        <v>7.9500000000000003E-157</v>
      </c>
      <c r="F581" s="2">
        <v>1210</v>
      </c>
      <c r="G581" s="2">
        <v>94</v>
      </c>
      <c r="H581" s="2">
        <v>243</v>
      </c>
      <c r="I581" s="2">
        <v>1549</v>
      </c>
      <c r="J581" s="2">
        <v>2277</v>
      </c>
      <c r="K581" s="2">
        <v>41</v>
      </c>
      <c r="L581" s="2">
        <v>281</v>
      </c>
    </row>
    <row r="582" spans="1:12" x14ac:dyDescent="0.25">
      <c r="A582" s="4" t="str">
        <f>HYPERLINK("http://www.rosaceae.org/Prunus/Prunus_persica/p.persica_gdr_reftransV1_0010259","p.persica_gdr_reftransV1_0010259")</f>
        <v>p.persica_gdr_reftransV1_0010259</v>
      </c>
      <c r="B582" s="2">
        <v>2672</v>
      </c>
      <c r="C582" s="4" t="str">
        <f>HYPERLINK("http://www.uniprot.org/uniprot/M5WJ36","M5WJ36")</f>
        <v>M5WJ36</v>
      </c>
      <c r="D582" s="2" t="s">
        <v>573</v>
      </c>
      <c r="E582" s="3">
        <v>0</v>
      </c>
      <c r="F582" s="2">
        <v>2260</v>
      </c>
      <c r="G582" s="2">
        <v>100</v>
      </c>
      <c r="H582" s="2">
        <v>428</v>
      </c>
      <c r="I582" s="2">
        <v>1102</v>
      </c>
      <c r="J582" s="2">
        <v>2385</v>
      </c>
      <c r="K582" s="2">
        <v>1</v>
      </c>
      <c r="L582" s="2">
        <v>428</v>
      </c>
    </row>
    <row r="583" spans="1:12" x14ac:dyDescent="0.25">
      <c r="A583" s="4" t="str">
        <f>HYPERLINK("http://www.rosaceae.org/Prunus/Prunus_persica/p.persica_gdr_reftransV1_0010609","p.persica_gdr_reftransV1_0010609")</f>
        <v>p.persica_gdr_reftransV1_0010609</v>
      </c>
      <c r="B583" s="2">
        <v>1312</v>
      </c>
      <c r="C583" s="4" t="str">
        <f>HYPERLINK("http://www.uniprot.org/uniprot/M5VZF5","M5VZF5")</f>
        <v>M5VZF5</v>
      </c>
      <c r="D583" s="2" t="s">
        <v>574</v>
      </c>
      <c r="E583" s="3">
        <v>0</v>
      </c>
      <c r="F583" s="2">
        <v>1931</v>
      </c>
      <c r="G583" s="2">
        <v>100</v>
      </c>
      <c r="H583" s="2">
        <v>388</v>
      </c>
      <c r="I583" s="2">
        <v>148</v>
      </c>
      <c r="J583" s="2">
        <v>1311</v>
      </c>
      <c r="K583" s="2">
        <v>1</v>
      </c>
      <c r="L583" s="2">
        <v>388</v>
      </c>
    </row>
    <row r="584" spans="1:12" x14ac:dyDescent="0.25">
      <c r="A584" s="4" t="str">
        <f>HYPERLINK("http://www.rosaceae.org/Prunus/Prunus_persica/p.persica_gdr_reftransV1_0010959","p.persica_gdr_reftransV1_0010959")</f>
        <v>p.persica_gdr_reftransV1_0010959</v>
      </c>
      <c r="B584" s="2">
        <v>493</v>
      </c>
      <c r="C584" s="4" t="str">
        <f>HYPERLINK("http://www.uniprot.org/uniprot/K7LLJ0","K7LLJ0")</f>
        <v>K7LLJ0</v>
      </c>
      <c r="D584" s="2" t="s">
        <v>575</v>
      </c>
      <c r="E584" s="3">
        <v>2.6999999999999999E-59</v>
      </c>
      <c r="F584" s="2">
        <v>495</v>
      </c>
      <c r="G584" s="2">
        <v>79</v>
      </c>
      <c r="H584" s="2">
        <v>115</v>
      </c>
      <c r="I584" s="2">
        <v>147</v>
      </c>
      <c r="J584" s="2">
        <v>491</v>
      </c>
      <c r="K584" s="2">
        <v>29</v>
      </c>
      <c r="L584" s="2">
        <v>143</v>
      </c>
    </row>
    <row r="585" spans="1:12" x14ac:dyDescent="0.25">
      <c r="A585" s="4" t="str">
        <f>HYPERLINK("http://www.rosaceae.org/Prunus/Prunus_persica/p.persica_gdr_reftransV1_0011309","p.persica_gdr_reftransV1_0011309")</f>
        <v>p.persica_gdr_reftransV1_0011309</v>
      </c>
      <c r="B585" s="2">
        <v>1512</v>
      </c>
      <c r="C585" s="4" t="str">
        <f>HYPERLINK("http://www.uniprot.org/uniprot/M5WMC9","M5WMC9")</f>
        <v>M5WMC9</v>
      </c>
      <c r="D585" s="2" t="s">
        <v>576</v>
      </c>
      <c r="E585" s="3">
        <v>0</v>
      </c>
      <c r="F585" s="2">
        <v>2035</v>
      </c>
      <c r="G585" s="2">
        <v>100</v>
      </c>
      <c r="H585" s="2">
        <v>386</v>
      </c>
      <c r="I585" s="2">
        <v>240</v>
      </c>
      <c r="J585" s="2">
        <v>1397</v>
      </c>
      <c r="K585" s="2">
        <v>1</v>
      </c>
      <c r="L585" s="2">
        <v>386</v>
      </c>
    </row>
    <row r="586" spans="1:12" x14ac:dyDescent="0.25">
      <c r="A586" s="4" t="str">
        <f>HYPERLINK("http://www.rosaceae.org/Prunus/Prunus_persica/p.persica_gdr_reftransV1_0012709","p.persica_gdr_reftransV1_0012709")</f>
        <v>p.persica_gdr_reftransV1_0012709</v>
      </c>
      <c r="B586" s="2">
        <v>546</v>
      </c>
      <c r="C586" s="4" t="str">
        <f>HYPERLINK("http://www.uniprot.org/uniprot/M5X6E0","M5X6E0")</f>
        <v>M5X6E0</v>
      </c>
      <c r="D586" s="2" t="s">
        <v>577</v>
      </c>
      <c r="E586" s="3">
        <v>3.4900000000000001E-99</v>
      </c>
      <c r="F586" s="2">
        <v>774</v>
      </c>
      <c r="G586" s="2">
        <v>95</v>
      </c>
      <c r="H586" s="2">
        <v>155</v>
      </c>
      <c r="I586" s="2">
        <v>1</v>
      </c>
      <c r="J586" s="2">
        <v>465</v>
      </c>
      <c r="K586" s="2">
        <v>194</v>
      </c>
      <c r="L586" s="2">
        <v>348</v>
      </c>
    </row>
    <row r="587" spans="1:12" x14ac:dyDescent="0.25">
      <c r="A587" s="4" t="str">
        <f>HYPERLINK("http://www.rosaceae.org/Prunus/Prunus_persica/p.persica_gdr_reftransV1_0013059","p.persica_gdr_reftransV1_0013059")</f>
        <v>p.persica_gdr_reftransV1_0013059</v>
      </c>
      <c r="B587" s="2">
        <v>1423</v>
      </c>
      <c r="C587" s="4" t="str">
        <f>HYPERLINK("http://www.uniprot.org/uniprot/M5XRG5","M5XRG5")</f>
        <v>M5XRG5</v>
      </c>
      <c r="D587" s="2" t="s">
        <v>578</v>
      </c>
      <c r="E587" s="3">
        <v>0</v>
      </c>
      <c r="F587" s="2">
        <v>1489</v>
      </c>
      <c r="G587" s="2">
        <v>100</v>
      </c>
      <c r="H587" s="2">
        <v>313</v>
      </c>
      <c r="I587" s="2">
        <v>120</v>
      </c>
      <c r="J587" s="2">
        <v>1058</v>
      </c>
      <c r="K587" s="2">
        <v>1</v>
      </c>
      <c r="L587" s="2">
        <v>313</v>
      </c>
    </row>
    <row r="588" spans="1:12" x14ac:dyDescent="0.25">
      <c r="A588" s="4" t="str">
        <f>HYPERLINK("http://www.rosaceae.org/Prunus/Prunus_persica/p.persica_gdr_reftransV1_0013409","p.persica_gdr_reftransV1_0013409")</f>
        <v>p.persica_gdr_reftransV1_0013409</v>
      </c>
      <c r="B588" s="2">
        <v>1558</v>
      </c>
      <c r="C588" s="4" t="str">
        <f>HYPERLINK("http://www.uniprot.org/uniprot/B9GFC1","B9GFC1")</f>
        <v>B9GFC1</v>
      </c>
      <c r="D588" s="2" t="s">
        <v>579</v>
      </c>
      <c r="E588" s="3">
        <v>0</v>
      </c>
      <c r="F588" s="2">
        <v>1491</v>
      </c>
      <c r="G588" s="2">
        <v>85</v>
      </c>
      <c r="H588" s="2">
        <v>322</v>
      </c>
      <c r="I588" s="2">
        <v>281</v>
      </c>
      <c r="J588" s="2">
        <v>1246</v>
      </c>
      <c r="K588" s="2">
        <v>62</v>
      </c>
      <c r="L588" s="2">
        <v>383</v>
      </c>
    </row>
    <row r="589" spans="1:12" x14ac:dyDescent="0.25">
      <c r="A589" s="4" t="str">
        <f>HYPERLINK("http://www.rosaceae.org/Prunus/Prunus_persica/p.persica_gdr_reftransV1_0013759","p.persica_gdr_reftransV1_0013759")</f>
        <v>p.persica_gdr_reftransV1_0013759</v>
      </c>
      <c r="B589" s="2">
        <v>1369</v>
      </c>
      <c r="C589" s="4" t="str">
        <f>HYPERLINK("http://www.uniprot.org/uniprot/M5X1Z8","M5X1Z8")</f>
        <v>M5X1Z8</v>
      </c>
      <c r="D589" s="2" t="s">
        <v>580</v>
      </c>
      <c r="E589" s="3">
        <v>8.9799999999999998E-177</v>
      </c>
      <c r="F589" s="2">
        <v>1306</v>
      </c>
      <c r="G589" s="2">
        <v>100</v>
      </c>
      <c r="H589" s="2">
        <v>245</v>
      </c>
      <c r="I589" s="2">
        <v>350</v>
      </c>
      <c r="J589" s="2">
        <v>1084</v>
      </c>
      <c r="K589" s="2">
        <v>15</v>
      </c>
      <c r="L589" s="2">
        <v>259</v>
      </c>
    </row>
    <row r="590" spans="1:12" x14ac:dyDescent="0.25">
      <c r="A590" s="4" t="str">
        <f>HYPERLINK("http://www.rosaceae.org/Prunus/Prunus_persica/p.persica_gdr_reftransV1_0014109","p.persica_gdr_reftransV1_0014109")</f>
        <v>p.persica_gdr_reftransV1_0014109</v>
      </c>
      <c r="B590" s="2">
        <v>2101</v>
      </c>
      <c r="C590" s="4" t="str">
        <f>HYPERLINK("http://www.uniprot.org/uniprot/M5X283","M5X283")</f>
        <v>M5X283</v>
      </c>
      <c r="D590" s="2" t="s">
        <v>581</v>
      </c>
      <c r="E590" s="3">
        <v>0</v>
      </c>
      <c r="F590" s="2">
        <v>1884</v>
      </c>
      <c r="G590" s="2">
        <v>99</v>
      </c>
      <c r="H590" s="2">
        <v>371</v>
      </c>
      <c r="I590" s="2">
        <v>266</v>
      </c>
      <c r="J590" s="2">
        <v>1378</v>
      </c>
      <c r="K590" s="2">
        <v>160</v>
      </c>
      <c r="L590" s="2">
        <v>530</v>
      </c>
    </row>
    <row r="591" spans="1:12" x14ac:dyDescent="0.25">
      <c r="A591" s="4" t="str">
        <f>HYPERLINK("http://www.rosaceae.org/Prunus/Prunus_persica/p.persica_gdr_reftransV1_0014809","p.persica_gdr_reftransV1_0014809")</f>
        <v>p.persica_gdr_reftransV1_0014809</v>
      </c>
      <c r="B591" s="2">
        <v>1960</v>
      </c>
      <c r="C591" s="4" t="str">
        <f>HYPERLINK("http://www.uniprot.org/uniprot/M5VVU1","M5VVU1")</f>
        <v>M5VVU1</v>
      </c>
      <c r="D591" s="2" t="s">
        <v>582</v>
      </c>
      <c r="E591" s="3">
        <v>0</v>
      </c>
      <c r="F591" s="2">
        <v>2253</v>
      </c>
      <c r="G591" s="2">
        <v>100</v>
      </c>
      <c r="H591" s="2">
        <v>450</v>
      </c>
      <c r="I591" s="2">
        <v>421</v>
      </c>
      <c r="J591" s="2">
        <v>1770</v>
      </c>
      <c r="K591" s="2">
        <v>1</v>
      </c>
      <c r="L591" s="2">
        <v>450</v>
      </c>
    </row>
    <row r="592" spans="1:12" x14ac:dyDescent="0.25">
      <c r="A592" s="4" t="str">
        <f>HYPERLINK("http://www.rosaceae.org/Prunus/Prunus_persica/p.persica_gdr_reftransV1_0015509","p.persica_gdr_reftransV1_0015509")</f>
        <v>p.persica_gdr_reftransV1_0015509</v>
      </c>
      <c r="B592" s="2">
        <v>1009</v>
      </c>
      <c r="C592" s="4" t="str">
        <f>HYPERLINK("http://www.uniprot.org/uniprot/M5VXB5","M5VXB5")</f>
        <v>M5VXB5</v>
      </c>
      <c r="D592" s="2" t="s">
        <v>583</v>
      </c>
      <c r="E592" s="3">
        <v>5.6000000000000002E-37</v>
      </c>
      <c r="F592" s="2">
        <v>355</v>
      </c>
      <c r="G592" s="2">
        <v>97</v>
      </c>
      <c r="H592" s="2">
        <v>91</v>
      </c>
      <c r="I592" s="2">
        <v>296</v>
      </c>
      <c r="J592" s="2">
        <v>568</v>
      </c>
      <c r="K592" s="2">
        <v>62</v>
      </c>
      <c r="L592" s="2">
        <v>152</v>
      </c>
    </row>
    <row r="593" spans="1:12" x14ac:dyDescent="0.25">
      <c r="A593" s="4" t="str">
        <f>HYPERLINK("http://www.rosaceae.org/Prunus/Prunus_persica/p.persica_gdr_reftransV1_0015859","p.persica_gdr_reftransV1_0015859")</f>
        <v>p.persica_gdr_reftransV1_0015859</v>
      </c>
      <c r="B593" s="2">
        <v>1800</v>
      </c>
      <c r="C593" s="4" t="str">
        <f>HYPERLINK("http://www.uniprot.org/uniprot/M5XDG4","M5XDG4")</f>
        <v>M5XDG4</v>
      </c>
      <c r="D593" s="2" t="s">
        <v>584</v>
      </c>
      <c r="E593" s="3">
        <v>1.01E-177</v>
      </c>
      <c r="F593" s="2">
        <v>897</v>
      </c>
      <c r="G593" s="2">
        <v>100</v>
      </c>
      <c r="H593" s="2">
        <v>181</v>
      </c>
      <c r="I593" s="2">
        <v>729</v>
      </c>
      <c r="J593" s="2">
        <v>1271</v>
      </c>
      <c r="K593" s="2">
        <v>1</v>
      </c>
      <c r="L593" s="2">
        <v>181</v>
      </c>
    </row>
    <row r="594" spans="1:12" x14ac:dyDescent="0.25">
      <c r="A594" s="4" t="str">
        <f>HYPERLINK("http://www.rosaceae.org/Prunus/Prunus_persica/p.persica_gdr_reftransV1_0016909","p.persica_gdr_reftransV1_0016909")</f>
        <v>p.persica_gdr_reftransV1_0016909</v>
      </c>
      <c r="B594" s="2">
        <v>2145</v>
      </c>
      <c r="C594" s="4" t="str">
        <f>HYPERLINK("http://www.uniprot.org/uniprot/M5XDT4","M5XDT4")</f>
        <v>M5XDT4</v>
      </c>
      <c r="D594" s="2" t="s">
        <v>385</v>
      </c>
      <c r="E594" s="3">
        <v>8.9400000000000005E-120</v>
      </c>
      <c r="F594" s="2">
        <v>973</v>
      </c>
      <c r="G594" s="2">
        <v>99</v>
      </c>
      <c r="H594" s="2">
        <v>184</v>
      </c>
      <c r="I594" s="2">
        <v>1562</v>
      </c>
      <c r="J594" s="2">
        <v>2113</v>
      </c>
      <c r="K594" s="2">
        <v>126</v>
      </c>
      <c r="L594" s="2">
        <v>309</v>
      </c>
    </row>
    <row r="595" spans="1:12" x14ac:dyDescent="0.25">
      <c r="A595" s="4" t="str">
        <f>HYPERLINK("http://www.rosaceae.org/Prunus/Prunus_persica/p.persica_gdr_reftransV1_0017959","p.persica_gdr_reftransV1_0017959")</f>
        <v>p.persica_gdr_reftransV1_0017959</v>
      </c>
      <c r="B595" s="2">
        <v>1730</v>
      </c>
      <c r="C595" s="4" t="str">
        <f>HYPERLINK("http://www.uniprot.org/uniprot/M5WQX5","M5WQX5")</f>
        <v>M5WQX5</v>
      </c>
      <c r="D595" s="2" t="s">
        <v>585</v>
      </c>
      <c r="E595" s="3">
        <v>0</v>
      </c>
      <c r="F595" s="2">
        <v>2311</v>
      </c>
      <c r="G595" s="2">
        <v>100</v>
      </c>
      <c r="H595" s="2">
        <v>459</v>
      </c>
      <c r="I595" s="2">
        <v>322</v>
      </c>
      <c r="J595" s="2">
        <v>1698</v>
      </c>
      <c r="K595" s="2">
        <v>1</v>
      </c>
      <c r="L595" s="2">
        <v>459</v>
      </c>
    </row>
    <row r="596" spans="1:12" x14ac:dyDescent="0.25">
      <c r="A596" s="4" t="str">
        <f>HYPERLINK("http://www.rosaceae.org/Prunus/Prunus_persica/p.persica_gdr_reftransV1_0018659","p.persica_gdr_reftransV1_0018659")</f>
        <v>p.persica_gdr_reftransV1_0018659</v>
      </c>
      <c r="B596" s="2">
        <v>2200</v>
      </c>
      <c r="C596" s="4" t="str">
        <f>HYPERLINK("http://www.uniprot.org/uniprot/M5W728","M5W728")</f>
        <v>M5W728</v>
      </c>
      <c r="D596" s="2" t="s">
        <v>586</v>
      </c>
      <c r="E596" s="3">
        <v>0</v>
      </c>
      <c r="F596" s="2">
        <v>3534</v>
      </c>
      <c r="G596" s="2">
        <v>99</v>
      </c>
      <c r="H596" s="2">
        <v>705</v>
      </c>
      <c r="I596" s="2">
        <v>85</v>
      </c>
      <c r="J596" s="2">
        <v>2199</v>
      </c>
      <c r="K596" s="2">
        <v>1</v>
      </c>
      <c r="L596" s="2">
        <v>705</v>
      </c>
    </row>
    <row r="597" spans="1:12" x14ac:dyDescent="0.25">
      <c r="A597" s="4" t="str">
        <f>HYPERLINK("http://www.rosaceae.org/Prunus/Prunus_persica/p.persica_gdr_reftransV1_0019359","p.persica_gdr_reftransV1_0019359")</f>
        <v>p.persica_gdr_reftransV1_0019359</v>
      </c>
      <c r="B597" s="2">
        <v>3017</v>
      </c>
      <c r="C597" s="4" t="str">
        <f>HYPERLINK("http://www.uniprot.org/uniprot/M5W2T7","M5W2T7")</f>
        <v>M5W2T7</v>
      </c>
      <c r="D597" s="2" t="s">
        <v>587</v>
      </c>
      <c r="E597" s="3">
        <v>0</v>
      </c>
      <c r="F597" s="2">
        <v>2232</v>
      </c>
      <c r="G597" s="2">
        <v>93</v>
      </c>
      <c r="H597" s="2">
        <v>457</v>
      </c>
      <c r="I597" s="2">
        <v>2</v>
      </c>
      <c r="J597" s="2">
        <v>1339</v>
      </c>
      <c r="K597" s="2">
        <v>179</v>
      </c>
      <c r="L597" s="2">
        <v>635</v>
      </c>
    </row>
    <row r="598" spans="1:12" x14ac:dyDescent="0.25">
      <c r="A598" s="4" t="str">
        <f>HYPERLINK("http://www.rosaceae.org/Prunus/Prunus_persica/p.persica_gdr_reftransV1_0020409","p.persica_gdr_reftransV1_0020409")</f>
        <v>p.persica_gdr_reftransV1_0020409</v>
      </c>
      <c r="B598" s="2">
        <v>1315</v>
      </c>
      <c r="C598" s="4" t="str">
        <f>HYPERLINK("http://www.uniprot.org/uniprot/M5WBT1","M5WBT1")</f>
        <v>M5WBT1</v>
      </c>
      <c r="D598" s="2" t="s">
        <v>588</v>
      </c>
      <c r="E598" s="3">
        <v>0</v>
      </c>
      <c r="F598" s="2">
        <v>1461</v>
      </c>
      <c r="G598" s="2">
        <v>100</v>
      </c>
      <c r="H598" s="2">
        <v>329</v>
      </c>
      <c r="I598" s="2">
        <v>148</v>
      </c>
      <c r="J598" s="2">
        <v>1134</v>
      </c>
      <c r="K598" s="2">
        <v>1</v>
      </c>
      <c r="L598" s="2">
        <v>329</v>
      </c>
    </row>
    <row r="599" spans="1:12" x14ac:dyDescent="0.25">
      <c r="A599" s="4" t="str">
        <f>HYPERLINK("http://www.rosaceae.org/Prunus/Prunus_persica/p.persica_gdr_reftransV1_0021459","p.persica_gdr_reftransV1_0021459")</f>
        <v>p.persica_gdr_reftransV1_0021459</v>
      </c>
      <c r="B599" s="2">
        <v>1866</v>
      </c>
      <c r="C599" s="4" t="str">
        <f>HYPERLINK("http://www.uniprot.org/uniprot/M5XT29","M5XT29")</f>
        <v>M5XT29</v>
      </c>
      <c r="D599" s="2" t="s">
        <v>589</v>
      </c>
      <c r="E599" s="3">
        <v>0</v>
      </c>
      <c r="F599" s="2">
        <v>2094</v>
      </c>
      <c r="G599" s="2">
        <v>100</v>
      </c>
      <c r="H599" s="2">
        <v>446</v>
      </c>
      <c r="I599" s="2">
        <v>177</v>
      </c>
      <c r="J599" s="2">
        <v>1514</v>
      </c>
      <c r="K599" s="2">
        <v>1</v>
      </c>
      <c r="L599" s="2">
        <v>446</v>
      </c>
    </row>
    <row r="600" spans="1:12" x14ac:dyDescent="0.25">
      <c r="A600" s="4" t="str">
        <f>HYPERLINK("http://www.rosaceae.org/Prunus/Prunus_persica/p.persica_gdr_reftransV1_0022159","p.persica_gdr_reftransV1_0022159")</f>
        <v>p.persica_gdr_reftransV1_0022159</v>
      </c>
      <c r="B600" s="2">
        <v>1847</v>
      </c>
      <c r="C600" s="4" t="str">
        <f>HYPERLINK("http://www.uniprot.org/uniprot/M5XUI9","M5XUI9")</f>
        <v>M5XUI9</v>
      </c>
      <c r="D600" s="2" t="s">
        <v>590</v>
      </c>
      <c r="E600" s="3">
        <v>0</v>
      </c>
      <c r="F600" s="2">
        <v>2927</v>
      </c>
      <c r="G600" s="2">
        <v>100</v>
      </c>
      <c r="H600" s="2">
        <v>570</v>
      </c>
      <c r="I600" s="2">
        <v>1</v>
      </c>
      <c r="J600" s="2">
        <v>1710</v>
      </c>
      <c r="K600" s="2">
        <v>266</v>
      </c>
      <c r="L600" s="2">
        <v>835</v>
      </c>
    </row>
    <row r="601" spans="1:12" x14ac:dyDescent="0.25">
      <c r="A601" s="4" t="str">
        <f>HYPERLINK("http://www.rosaceae.org/Prunus/Prunus_persica/p.persica_gdr_reftransV1_0023209","p.persica_gdr_reftransV1_0023209")</f>
        <v>p.persica_gdr_reftransV1_0023209</v>
      </c>
      <c r="B601" s="2">
        <v>2138</v>
      </c>
      <c r="C601" s="4" t="str">
        <f>HYPERLINK("http://www.uniprot.org/uniprot/M5XQQ1","M5XQQ1")</f>
        <v>M5XQQ1</v>
      </c>
      <c r="D601" s="2" t="s">
        <v>591</v>
      </c>
      <c r="E601" s="3">
        <v>0</v>
      </c>
      <c r="F601" s="2">
        <v>2075</v>
      </c>
      <c r="G601" s="2">
        <v>100</v>
      </c>
      <c r="H601" s="2">
        <v>411</v>
      </c>
      <c r="I601" s="2">
        <v>221</v>
      </c>
      <c r="J601" s="2">
        <v>1453</v>
      </c>
      <c r="K601" s="2">
        <v>1</v>
      </c>
      <c r="L601" s="2">
        <v>411</v>
      </c>
    </row>
    <row r="602" spans="1:12" x14ac:dyDescent="0.25">
      <c r="A602" s="4" t="str">
        <f>HYPERLINK("http://www.rosaceae.org/Prunus/Prunus_persica/p.persica_gdr_reftransV1_0023559","p.persica_gdr_reftransV1_0023559")</f>
        <v>p.persica_gdr_reftransV1_0023559</v>
      </c>
      <c r="B602" s="2">
        <v>4816</v>
      </c>
      <c r="C602" s="4" t="str">
        <f>HYPERLINK("http://www.uniprot.org/uniprot/M5XRW7","M5XRW7")</f>
        <v>M5XRW7</v>
      </c>
      <c r="D602" s="2" t="s">
        <v>592</v>
      </c>
      <c r="E602" s="3">
        <v>0</v>
      </c>
      <c r="F602" s="2">
        <v>2922</v>
      </c>
      <c r="G602" s="2">
        <v>100</v>
      </c>
      <c r="H602" s="2">
        <v>546</v>
      </c>
      <c r="I602" s="2">
        <v>1361</v>
      </c>
      <c r="J602" s="2">
        <v>2998</v>
      </c>
      <c r="K602" s="2">
        <v>1</v>
      </c>
      <c r="L602" s="2">
        <v>546</v>
      </c>
    </row>
    <row r="603" spans="1:12" x14ac:dyDescent="0.25">
      <c r="A603" s="4" t="str">
        <f>HYPERLINK("http://www.rosaceae.org/Prunus/Prunus_persica/p.persica_gdr_reftransV1_0023909","p.persica_gdr_reftransV1_0023909")</f>
        <v>p.persica_gdr_reftransV1_0023909</v>
      </c>
      <c r="B603" s="2">
        <v>2521</v>
      </c>
      <c r="C603" s="4" t="str">
        <f>HYPERLINK("http://www.uniprot.org/uniprot/M5VK80","M5VK80")</f>
        <v>M5VK80</v>
      </c>
      <c r="D603" s="2" t="s">
        <v>593</v>
      </c>
      <c r="E603" s="3">
        <v>1.15E-108</v>
      </c>
      <c r="F603" s="2">
        <v>555</v>
      </c>
      <c r="G603" s="2">
        <v>59</v>
      </c>
      <c r="H603" s="2">
        <v>203</v>
      </c>
      <c r="I603" s="2">
        <v>882</v>
      </c>
      <c r="J603" s="2">
        <v>1475</v>
      </c>
      <c r="K603" s="2">
        <v>145</v>
      </c>
      <c r="L603" s="2">
        <v>343</v>
      </c>
    </row>
    <row r="604" spans="1:12" x14ac:dyDescent="0.25">
      <c r="A604" s="4" t="str">
        <f>HYPERLINK("http://www.rosaceae.org/Prunus/Prunus_persica/p.persica_gdr_reftransV1_0024259","p.persica_gdr_reftransV1_0024259")</f>
        <v>p.persica_gdr_reftransV1_0024259</v>
      </c>
      <c r="B604" s="2">
        <v>1895</v>
      </c>
      <c r="C604" s="4" t="str">
        <f>HYPERLINK("http://www.uniprot.org/uniprot/M5X045","M5X045")</f>
        <v>M5X045</v>
      </c>
      <c r="D604" s="2" t="s">
        <v>594</v>
      </c>
      <c r="E604" s="3">
        <v>4.6799999999999998E-178</v>
      </c>
      <c r="F604" s="2">
        <v>1348</v>
      </c>
      <c r="G604" s="2">
        <v>100</v>
      </c>
      <c r="H604" s="2">
        <v>277</v>
      </c>
      <c r="I604" s="2">
        <v>256</v>
      </c>
      <c r="J604" s="2">
        <v>1086</v>
      </c>
      <c r="K604" s="2">
        <v>40</v>
      </c>
      <c r="L604" s="2">
        <v>316</v>
      </c>
    </row>
    <row r="605" spans="1:12" x14ac:dyDescent="0.25">
      <c r="A605" s="4" t="str">
        <f>HYPERLINK("http://www.rosaceae.org/Prunus/Prunus_persica/p.persica_gdr_reftransV1_0024609","p.persica_gdr_reftransV1_0024609")</f>
        <v>p.persica_gdr_reftransV1_0024609</v>
      </c>
      <c r="B605" s="2">
        <v>1108</v>
      </c>
      <c r="C605" s="4" t="str">
        <f>HYPERLINK("http://www.uniprot.org/uniprot/M5W006","M5W006")</f>
        <v>M5W006</v>
      </c>
      <c r="D605" s="2" t="s">
        <v>595</v>
      </c>
      <c r="E605" s="3">
        <v>1.13E-132</v>
      </c>
      <c r="F605" s="2">
        <v>1002</v>
      </c>
      <c r="G605" s="2">
        <v>100</v>
      </c>
      <c r="H605" s="2">
        <v>190</v>
      </c>
      <c r="I605" s="2">
        <v>106</v>
      </c>
      <c r="J605" s="2">
        <v>675</v>
      </c>
      <c r="K605" s="2">
        <v>1</v>
      </c>
      <c r="L605" s="2">
        <v>190</v>
      </c>
    </row>
    <row r="606" spans="1:12" x14ac:dyDescent="0.25">
      <c r="A606" s="4" t="str">
        <f>HYPERLINK("http://www.rosaceae.org/Prunus/Prunus_persica/p.persica_gdr_reftransV1_0025309","p.persica_gdr_reftransV1_0025309")</f>
        <v>p.persica_gdr_reftransV1_0025309</v>
      </c>
      <c r="B606" s="2">
        <v>2658</v>
      </c>
      <c r="C606" s="4" t="str">
        <f>HYPERLINK("http://www.uniprot.org/uniprot/M5WN44","M5WN44")</f>
        <v>M5WN44</v>
      </c>
      <c r="D606" s="2" t="s">
        <v>596</v>
      </c>
      <c r="E606" s="3">
        <v>8.6099999999999991E-171</v>
      </c>
      <c r="F606" s="2">
        <v>1337</v>
      </c>
      <c r="G606" s="2">
        <v>86</v>
      </c>
      <c r="H606" s="2">
        <v>337</v>
      </c>
      <c r="I606" s="2">
        <v>1200</v>
      </c>
      <c r="J606" s="2">
        <v>2210</v>
      </c>
      <c r="K606" s="2">
        <v>255</v>
      </c>
      <c r="L606" s="2">
        <v>543</v>
      </c>
    </row>
    <row r="607" spans="1:12" x14ac:dyDescent="0.25">
      <c r="A607" s="4" t="str">
        <f>HYPERLINK("http://www.rosaceae.org/Prunus/Prunus_persica/p.persica_gdr_reftransV1_0027409","p.persica_gdr_reftransV1_0027409")</f>
        <v>p.persica_gdr_reftransV1_0027409</v>
      </c>
      <c r="B607" s="2">
        <v>2223</v>
      </c>
      <c r="C607" s="4" t="str">
        <f>HYPERLINK("http://www.uniprot.org/uniprot/M5W2F7","M5W2F7")</f>
        <v>M5W2F7</v>
      </c>
      <c r="D607" s="2" t="s">
        <v>597</v>
      </c>
      <c r="E607" s="3">
        <v>0</v>
      </c>
      <c r="F607" s="2">
        <v>2620</v>
      </c>
      <c r="G607" s="2">
        <v>96</v>
      </c>
      <c r="H607" s="2">
        <v>510</v>
      </c>
      <c r="I607" s="2">
        <v>2</v>
      </c>
      <c r="J607" s="2">
        <v>1507</v>
      </c>
      <c r="K607" s="2">
        <v>169</v>
      </c>
      <c r="L607" s="2">
        <v>678</v>
      </c>
    </row>
    <row r="608" spans="1:12" x14ac:dyDescent="0.25">
      <c r="A608" s="4" t="str">
        <f>HYPERLINK("http://www.rosaceae.org/Prunus/Prunus_persica/p.persica_gdr_reftransV1_0027759","p.persica_gdr_reftransV1_0027759")</f>
        <v>p.persica_gdr_reftransV1_0027759</v>
      </c>
      <c r="B608" s="2">
        <v>1878</v>
      </c>
      <c r="C608" s="4" t="str">
        <f>HYPERLINK("http://www.uniprot.org/uniprot/M5WH68","M5WH68")</f>
        <v>M5WH68</v>
      </c>
      <c r="D608" s="2" t="s">
        <v>598</v>
      </c>
      <c r="E608" s="3">
        <v>0</v>
      </c>
      <c r="F608" s="2">
        <v>2131</v>
      </c>
      <c r="G608" s="2">
        <v>100</v>
      </c>
      <c r="H608" s="2">
        <v>475</v>
      </c>
      <c r="I608" s="2">
        <v>77</v>
      </c>
      <c r="J608" s="2">
        <v>1498</v>
      </c>
      <c r="K608" s="2">
        <v>1</v>
      </c>
      <c r="L608" s="2">
        <v>475</v>
      </c>
    </row>
    <row r="609" spans="1:12" x14ac:dyDescent="0.25">
      <c r="A609" s="4" t="str">
        <f>HYPERLINK("http://www.rosaceae.org/Prunus/Prunus_persica/p.persica_gdr_reftransV1_0029159","p.persica_gdr_reftransV1_0029159")</f>
        <v>p.persica_gdr_reftransV1_0029159</v>
      </c>
      <c r="B609" s="2">
        <v>1261</v>
      </c>
      <c r="C609" s="4" t="str">
        <f>HYPERLINK("http://www.uniprot.org/uniprot/M5WTT5","M5WTT5")</f>
        <v>M5WTT5</v>
      </c>
      <c r="D609" s="2" t="s">
        <v>599</v>
      </c>
      <c r="E609" s="3">
        <v>6.1399999999999997E-163</v>
      </c>
      <c r="F609" s="2">
        <v>1212</v>
      </c>
      <c r="G609" s="2">
        <v>100</v>
      </c>
      <c r="H609" s="2">
        <v>261</v>
      </c>
      <c r="I609" s="2">
        <v>297</v>
      </c>
      <c r="J609" s="2">
        <v>1079</v>
      </c>
      <c r="K609" s="2">
        <v>1</v>
      </c>
      <c r="L609" s="2">
        <v>261</v>
      </c>
    </row>
    <row r="610" spans="1:12" x14ac:dyDescent="0.25">
      <c r="A610" s="4" t="str">
        <f>HYPERLINK("http://www.rosaceae.org/Prunus/Prunus_persica/p.persica_gdr_reftransV1_0029509","p.persica_gdr_reftransV1_0029509")</f>
        <v>p.persica_gdr_reftransV1_0029509</v>
      </c>
      <c r="B610" s="2">
        <v>1636</v>
      </c>
      <c r="C610" s="4" t="str">
        <f>HYPERLINK("http://www.uniprot.org/uniprot/M5W335","M5W335")</f>
        <v>M5W335</v>
      </c>
      <c r="D610" s="2" t="s">
        <v>600</v>
      </c>
      <c r="E610" s="3">
        <v>5.0099999999999998E-98</v>
      </c>
      <c r="F610" s="2">
        <v>792</v>
      </c>
      <c r="G610" s="2">
        <v>91</v>
      </c>
      <c r="H610" s="2">
        <v>164</v>
      </c>
      <c r="I610" s="2">
        <v>733</v>
      </c>
      <c r="J610" s="2">
        <v>1224</v>
      </c>
      <c r="K610" s="2">
        <v>96</v>
      </c>
      <c r="L610" s="2">
        <v>259</v>
      </c>
    </row>
    <row r="611" spans="1:12" x14ac:dyDescent="0.25">
      <c r="A611" s="4" t="str">
        <f>HYPERLINK("http://www.rosaceae.org/Prunus/Prunus_persica/p.persica_gdr_reftransV1_0031609","p.persica_gdr_reftransV1_0031609")</f>
        <v>p.persica_gdr_reftransV1_0031609</v>
      </c>
      <c r="B611" s="2">
        <v>4174</v>
      </c>
      <c r="C611" s="4" t="str">
        <f>HYPERLINK("http://www.uniprot.org/uniprot/M5X0I3","M5X0I3")</f>
        <v>M5X0I3</v>
      </c>
      <c r="D611" s="2" t="s">
        <v>601</v>
      </c>
      <c r="E611" s="3">
        <v>0</v>
      </c>
      <c r="F611" s="2">
        <v>2325</v>
      </c>
      <c r="G611" s="2">
        <v>100</v>
      </c>
      <c r="H611" s="2">
        <v>526</v>
      </c>
      <c r="I611" s="2">
        <v>977</v>
      </c>
      <c r="J611" s="2">
        <v>2554</v>
      </c>
      <c r="K611" s="2">
        <v>119</v>
      </c>
      <c r="L611" s="2">
        <v>644</v>
      </c>
    </row>
    <row r="612" spans="1:12" x14ac:dyDescent="0.25">
      <c r="A612" s="4" t="str">
        <f>HYPERLINK("http://www.rosaceae.org/Prunus/Prunus_persica/p.persica_gdr_reftransV1_0033009","p.persica_gdr_reftransV1_0033009")</f>
        <v>p.persica_gdr_reftransV1_0033009</v>
      </c>
      <c r="B612" s="2">
        <v>2344</v>
      </c>
      <c r="C612" s="4" t="str">
        <f>HYPERLINK("http://www.uniprot.org/uniprot/M5WHI5","M5WHI5")</f>
        <v>M5WHI5</v>
      </c>
      <c r="D612" s="2" t="s">
        <v>602</v>
      </c>
      <c r="E612" s="3">
        <v>0</v>
      </c>
      <c r="F612" s="2">
        <v>2458</v>
      </c>
      <c r="G612" s="2">
        <v>94</v>
      </c>
      <c r="H612" s="2">
        <v>576</v>
      </c>
      <c r="I612" s="2">
        <v>560</v>
      </c>
      <c r="J612" s="2">
        <v>2287</v>
      </c>
      <c r="K612" s="2">
        <v>1</v>
      </c>
      <c r="L612" s="2">
        <v>540</v>
      </c>
    </row>
    <row r="613" spans="1:12" x14ac:dyDescent="0.25">
      <c r="A613" s="4" t="str">
        <f>HYPERLINK("http://www.rosaceae.org/Prunus/Prunus_persica/p.persica_gdr_reftransV1_0037209","p.persica_gdr_reftransV1_0037209")</f>
        <v>p.persica_gdr_reftransV1_0037209</v>
      </c>
      <c r="B613" s="2">
        <v>2095</v>
      </c>
      <c r="C613" s="4" t="str">
        <f>HYPERLINK("http://www.uniprot.org/uniprot/M5XE91","M5XE91")</f>
        <v>M5XE91</v>
      </c>
      <c r="D613" s="2" t="s">
        <v>603</v>
      </c>
      <c r="E613" s="3">
        <v>4.0399999999999999E-71</v>
      </c>
      <c r="F613" s="2">
        <v>624</v>
      </c>
      <c r="G613" s="2">
        <v>85</v>
      </c>
      <c r="H613" s="2">
        <v>143</v>
      </c>
      <c r="I613" s="2">
        <v>220</v>
      </c>
      <c r="J613" s="2">
        <v>648</v>
      </c>
      <c r="K613" s="2">
        <v>153</v>
      </c>
      <c r="L613" s="2">
        <v>295</v>
      </c>
    </row>
    <row r="614" spans="1:12" x14ac:dyDescent="0.25">
      <c r="A614" s="4" t="str">
        <f>HYPERLINK("http://www.rosaceae.org/Prunus/Prunus_persica/p.persica_gdr_reftransV1_0037559","p.persica_gdr_reftransV1_0037559")</f>
        <v>p.persica_gdr_reftransV1_0037559</v>
      </c>
      <c r="B614" s="2">
        <v>1438</v>
      </c>
      <c r="C614" s="4" t="str">
        <f>HYPERLINK("http://www.uniprot.org/uniprot/J7IPK8","J7IPK8")</f>
        <v>J7IPK8</v>
      </c>
      <c r="D614" s="2" t="s">
        <v>604</v>
      </c>
      <c r="E614" s="3">
        <v>0</v>
      </c>
      <c r="F614" s="2">
        <v>1768</v>
      </c>
      <c r="G614" s="2">
        <v>100</v>
      </c>
      <c r="H614" s="2">
        <v>353</v>
      </c>
      <c r="I614" s="2">
        <v>93</v>
      </c>
      <c r="J614" s="2">
        <v>1151</v>
      </c>
      <c r="K614" s="2">
        <v>1</v>
      </c>
      <c r="L614" s="2">
        <v>353</v>
      </c>
    </row>
    <row r="615" spans="1:12" x14ac:dyDescent="0.25">
      <c r="A615" s="4" t="str">
        <f>HYPERLINK("http://www.rosaceae.org/Prunus/Prunus_persica/p.persica_gdr_reftransV1_0037909","p.persica_gdr_reftransV1_0037909")</f>
        <v>p.persica_gdr_reftransV1_0037909</v>
      </c>
      <c r="B615" s="2">
        <v>4425</v>
      </c>
      <c r="C615" s="4" t="str">
        <f>HYPERLINK("http://www.uniprot.org/uniprot/M5X2K1","M5X2K1")</f>
        <v>M5X2K1</v>
      </c>
      <c r="D615" s="2" t="s">
        <v>605</v>
      </c>
      <c r="E615" s="3">
        <v>0</v>
      </c>
      <c r="F615" s="2">
        <v>6108</v>
      </c>
      <c r="G615" s="2">
        <v>100</v>
      </c>
      <c r="H615" s="2">
        <v>1159</v>
      </c>
      <c r="I615" s="2">
        <v>556</v>
      </c>
      <c r="J615" s="2">
        <v>4032</v>
      </c>
      <c r="K615" s="2">
        <v>20</v>
      </c>
      <c r="L615" s="2">
        <v>1178</v>
      </c>
    </row>
    <row r="616" spans="1:12" x14ac:dyDescent="0.25">
      <c r="A616" s="4" t="str">
        <f>HYPERLINK("http://www.rosaceae.org/Prunus/Prunus_persica/p.persica_gdr_reftransV1_0038959","p.persica_gdr_reftransV1_0038959")</f>
        <v>p.persica_gdr_reftransV1_0038959</v>
      </c>
      <c r="B616" s="2">
        <v>1374</v>
      </c>
      <c r="C616" s="4" t="str">
        <f>HYPERLINK("http://www.uniprot.org/uniprot/M5WN62","M5WN62")</f>
        <v>M5WN62</v>
      </c>
      <c r="D616" s="2" t="s">
        <v>606</v>
      </c>
      <c r="E616" s="3">
        <v>0</v>
      </c>
      <c r="F616" s="2">
        <v>1762</v>
      </c>
      <c r="G616" s="2">
        <v>100</v>
      </c>
      <c r="H616" s="2">
        <v>350</v>
      </c>
      <c r="I616" s="2">
        <v>237</v>
      </c>
      <c r="J616" s="2">
        <v>1286</v>
      </c>
      <c r="K616" s="2">
        <v>1</v>
      </c>
      <c r="L616" s="2">
        <v>350</v>
      </c>
    </row>
    <row r="617" spans="1:12" x14ac:dyDescent="0.25">
      <c r="A617" s="4" t="str">
        <f>HYPERLINK("http://www.rosaceae.org/Prunus/Prunus_persica/p.persica_gdr_reftransV1_0041059","p.persica_gdr_reftransV1_0041059")</f>
        <v>p.persica_gdr_reftransV1_0041059</v>
      </c>
      <c r="B617" s="2">
        <v>3072</v>
      </c>
      <c r="C617" s="4" t="str">
        <f>HYPERLINK("http://www.uniprot.org/uniprot/A0A067H692","A0A067H692")</f>
        <v>A0A067H692</v>
      </c>
      <c r="D617" s="2" t="s">
        <v>607</v>
      </c>
      <c r="E617" s="3">
        <v>2.5899999999999998E-143</v>
      </c>
      <c r="F617" s="2">
        <v>1143</v>
      </c>
      <c r="G617" s="2">
        <v>85</v>
      </c>
      <c r="H617" s="2">
        <v>266</v>
      </c>
      <c r="I617" s="2">
        <v>480</v>
      </c>
      <c r="J617" s="2">
        <v>1277</v>
      </c>
      <c r="K617" s="2">
        <v>89</v>
      </c>
      <c r="L617" s="2">
        <v>353</v>
      </c>
    </row>
    <row r="618" spans="1:12" x14ac:dyDescent="0.25">
      <c r="A618" s="4" t="str">
        <f>HYPERLINK("http://www.rosaceae.org/Prunus/Prunus_persica/p.persica_gdr_reftransV1_0041759","p.persica_gdr_reftransV1_0041759")</f>
        <v>p.persica_gdr_reftransV1_0041759</v>
      </c>
      <c r="B618" s="2">
        <v>3566</v>
      </c>
      <c r="C618" s="4" t="str">
        <f>HYPERLINK("http://www.uniprot.org/uniprot/M5X9X5","M5X9X5")</f>
        <v>M5X9X5</v>
      </c>
      <c r="D618" s="2" t="s">
        <v>608</v>
      </c>
      <c r="E618" s="3">
        <v>0</v>
      </c>
      <c r="F618" s="2">
        <v>2259</v>
      </c>
      <c r="G618" s="2">
        <v>94</v>
      </c>
      <c r="H618" s="2">
        <v>482</v>
      </c>
      <c r="I618" s="2">
        <v>1952</v>
      </c>
      <c r="J618" s="2">
        <v>3397</v>
      </c>
      <c r="K618" s="2">
        <v>1</v>
      </c>
      <c r="L618" s="2">
        <v>464</v>
      </c>
    </row>
    <row r="619" spans="1:12" x14ac:dyDescent="0.25">
      <c r="A619" s="4" t="str">
        <f>HYPERLINK("http://www.rosaceae.org/Prunus/Prunus_persica/p.persica_gdr_reftransV1_0043159","p.persica_gdr_reftransV1_0043159")</f>
        <v>p.persica_gdr_reftransV1_0043159</v>
      </c>
      <c r="B619" s="2">
        <v>355</v>
      </c>
      <c r="C619" s="4" t="str">
        <f>HYPERLINK("http://www.uniprot.org/uniprot/M5WPS0","M5WPS0")</f>
        <v>M5WPS0</v>
      </c>
      <c r="D619" s="2" t="s">
        <v>501</v>
      </c>
      <c r="E619" s="3">
        <v>4.4599999999999998E-38</v>
      </c>
      <c r="F619" s="2">
        <v>368</v>
      </c>
      <c r="G619" s="2">
        <v>67</v>
      </c>
      <c r="H619" s="2">
        <v>118</v>
      </c>
      <c r="I619" s="2">
        <v>1</v>
      </c>
      <c r="J619" s="2">
        <v>354</v>
      </c>
      <c r="K619" s="2">
        <v>386</v>
      </c>
      <c r="L619" s="2">
        <v>464</v>
      </c>
    </row>
    <row r="620" spans="1:12" x14ac:dyDescent="0.25">
      <c r="A620" s="4" t="str">
        <f>HYPERLINK("http://www.rosaceae.org/Prunus/Prunus_persica/p.persica_gdr_reftransV1_0043509","p.persica_gdr_reftransV1_0043509")</f>
        <v>p.persica_gdr_reftransV1_0043509</v>
      </c>
      <c r="B620" s="2">
        <v>1855</v>
      </c>
      <c r="C620" s="4" t="str">
        <f>HYPERLINK("http://www.uniprot.org/uniprot/M5XPT6","M5XPT6")</f>
        <v>M5XPT6</v>
      </c>
      <c r="D620" s="2" t="s">
        <v>609</v>
      </c>
      <c r="E620" s="3">
        <v>0</v>
      </c>
      <c r="F620" s="2">
        <v>2322</v>
      </c>
      <c r="G620" s="2">
        <v>100</v>
      </c>
      <c r="H620" s="2">
        <v>485</v>
      </c>
      <c r="I620" s="2">
        <v>323</v>
      </c>
      <c r="J620" s="2">
        <v>1777</v>
      </c>
      <c r="K620" s="2">
        <v>7</v>
      </c>
      <c r="L620" s="2">
        <v>491</v>
      </c>
    </row>
    <row r="621" spans="1:12" x14ac:dyDescent="0.25">
      <c r="A621" s="4" t="str">
        <f>HYPERLINK("http://www.rosaceae.org/Prunus/Prunus_persica/p.persica_gdr_reftransV1_0044209","p.persica_gdr_reftransV1_0044209")</f>
        <v>p.persica_gdr_reftransV1_0044209</v>
      </c>
      <c r="B621" s="2">
        <v>535</v>
      </c>
      <c r="C621" s="4" t="str">
        <f>HYPERLINK("http://www.uniprot.org/uniprot/M5XWG4","M5XWG4")</f>
        <v>M5XWG4</v>
      </c>
      <c r="D621" s="2" t="s">
        <v>610</v>
      </c>
      <c r="E621" s="3">
        <v>2.18E-120</v>
      </c>
      <c r="F621" s="2">
        <v>962</v>
      </c>
      <c r="G621" s="2">
        <v>100</v>
      </c>
      <c r="H621" s="2">
        <v>177</v>
      </c>
      <c r="I621" s="2">
        <v>3</v>
      </c>
      <c r="J621" s="2">
        <v>533</v>
      </c>
      <c r="K621" s="2">
        <v>393</v>
      </c>
      <c r="L621" s="2">
        <v>569</v>
      </c>
    </row>
    <row r="622" spans="1:12" x14ac:dyDescent="0.25">
      <c r="A622" s="4" t="str">
        <f>HYPERLINK("http://www.rosaceae.org/Prunus/Prunus_persica/p.persica_gdr_reftransV1_0044559","p.persica_gdr_reftransV1_0044559")</f>
        <v>p.persica_gdr_reftransV1_0044559</v>
      </c>
      <c r="B622" s="2">
        <v>1124</v>
      </c>
      <c r="C622" s="4" t="str">
        <f>HYPERLINK("http://www.uniprot.org/uniprot/M5XD76","M5XD76")</f>
        <v>M5XD76</v>
      </c>
      <c r="D622" s="2" t="s">
        <v>611</v>
      </c>
      <c r="E622" s="3">
        <v>3.3300000000000001E-171</v>
      </c>
      <c r="F622" s="2">
        <v>1261</v>
      </c>
      <c r="G622" s="2">
        <v>96</v>
      </c>
      <c r="H622" s="2">
        <v>261</v>
      </c>
      <c r="I622" s="2">
        <v>44</v>
      </c>
      <c r="J622" s="2">
        <v>826</v>
      </c>
      <c r="K622" s="2">
        <v>1</v>
      </c>
      <c r="L622" s="2">
        <v>261</v>
      </c>
    </row>
    <row r="623" spans="1:12" x14ac:dyDescent="0.25">
      <c r="A623" s="4" t="str">
        <f>HYPERLINK("http://www.rosaceae.org/Prunus/Prunus_persica/p.persica_gdr_reftransV1_0044909","p.persica_gdr_reftransV1_0044909")</f>
        <v>p.persica_gdr_reftransV1_0044909</v>
      </c>
      <c r="B623" s="2">
        <v>419</v>
      </c>
      <c r="C623" s="4" t="str">
        <f>HYPERLINK("http://www.uniprot.org/uniprot/M5XWV4","M5XWV4")</f>
        <v>M5XWV4</v>
      </c>
      <c r="D623" s="2" t="s">
        <v>612</v>
      </c>
      <c r="E623" s="3">
        <v>2.17E-93</v>
      </c>
      <c r="F623" s="2">
        <v>744</v>
      </c>
      <c r="G623" s="2">
        <v>99</v>
      </c>
      <c r="H623" s="2">
        <v>139</v>
      </c>
      <c r="I623" s="2">
        <v>1</v>
      </c>
      <c r="J623" s="2">
        <v>417</v>
      </c>
      <c r="K623" s="2">
        <v>169</v>
      </c>
      <c r="L623" s="2">
        <v>307</v>
      </c>
    </row>
    <row r="624" spans="1:12" x14ac:dyDescent="0.25">
      <c r="A624" s="4" t="str">
        <f>HYPERLINK("http://www.rosaceae.org/Prunus/Prunus_persica/p.persica_gdr_reftransV1_0045259","p.persica_gdr_reftransV1_0045259")</f>
        <v>p.persica_gdr_reftransV1_0045259</v>
      </c>
      <c r="B624" s="2">
        <v>854</v>
      </c>
      <c r="C624" s="4" t="str">
        <f>HYPERLINK("http://www.uniprot.org/uniprot/M5XHQ8","M5XHQ8")</f>
        <v>M5XHQ8</v>
      </c>
      <c r="D624" s="2" t="s">
        <v>613</v>
      </c>
      <c r="E624" s="3">
        <v>3.15E-74</v>
      </c>
      <c r="F624" s="2">
        <v>601</v>
      </c>
      <c r="G624" s="2">
        <v>91</v>
      </c>
      <c r="H624" s="2">
        <v>155</v>
      </c>
      <c r="I624" s="2">
        <v>362</v>
      </c>
      <c r="J624" s="2">
        <v>826</v>
      </c>
      <c r="K624" s="2">
        <v>2</v>
      </c>
      <c r="L624" s="2">
        <v>156</v>
      </c>
    </row>
    <row r="625" spans="1:12" x14ac:dyDescent="0.25">
      <c r="A625" s="4" t="str">
        <f>HYPERLINK("http://www.rosaceae.org/Prunus/Prunus_persica/p.persica_gdr_reftransV1_0045609","p.persica_gdr_reftransV1_0045609")</f>
        <v>p.persica_gdr_reftransV1_0045609</v>
      </c>
      <c r="B625" s="2">
        <v>1079</v>
      </c>
      <c r="C625" s="4" t="str">
        <f>HYPERLINK("http://www.uniprot.org/uniprot/M5XG10","M5XG10")</f>
        <v>M5XG10</v>
      </c>
      <c r="D625" s="2" t="s">
        <v>614</v>
      </c>
      <c r="E625" s="3">
        <v>1.1900000000000001E-165</v>
      </c>
      <c r="F625" s="2">
        <v>1220</v>
      </c>
      <c r="G625" s="2">
        <v>100</v>
      </c>
      <c r="H625" s="2">
        <v>236</v>
      </c>
      <c r="I625" s="2">
        <v>103</v>
      </c>
      <c r="J625" s="2">
        <v>810</v>
      </c>
      <c r="K625" s="2">
        <v>1</v>
      </c>
      <c r="L625" s="2">
        <v>236</v>
      </c>
    </row>
    <row r="626" spans="1:12" x14ac:dyDescent="0.25">
      <c r="A626" s="4" t="str">
        <f>HYPERLINK("http://www.rosaceae.org/Prunus/Prunus_persica/p.persica_gdr_reftransV1_0045959","p.persica_gdr_reftransV1_0045959")</f>
        <v>p.persica_gdr_reftransV1_0045959</v>
      </c>
      <c r="B626" s="2">
        <v>1686</v>
      </c>
      <c r="C626" s="4" t="str">
        <f>HYPERLINK("http://www.uniprot.org/uniprot/M5XMB0","M5XMB0")</f>
        <v>M5XMB0</v>
      </c>
      <c r="D626" s="2" t="s">
        <v>615</v>
      </c>
      <c r="E626" s="3">
        <v>0</v>
      </c>
      <c r="F626" s="2">
        <v>2195</v>
      </c>
      <c r="G626" s="2">
        <v>94</v>
      </c>
      <c r="H626" s="2">
        <v>487</v>
      </c>
      <c r="I626" s="2">
        <v>1</v>
      </c>
      <c r="J626" s="2">
        <v>1380</v>
      </c>
      <c r="K626" s="2">
        <v>44</v>
      </c>
      <c r="L626" s="2">
        <v>530</v>
      </c>
    </row>
    <row r="627" spans="1:12" x14ac:dyDescent="0.25">
      <c r="A627" s="4" t="str">
        <f>HYPERLINK("http://www.rosaceae.org/Prunus/Prunus_persica/p.persica_gdr_reftransV1_0046309","p.persica_gdr_reftransV1_0046309")</f>
        <v>p.persica_gdr_reftransV1_0046309</v>
      </c>
      <c r="B627" s="2">
        <v>2839</v>
      </c>
      <c r="C627" s="4" t="str">
        <f>HYPERLINK("http://www.uniprot.org/uniprot/M5W1P6","M5W1P6")</f>
        <v>M5W1P6</v>
      </c>
      <c r="D627" s="2" t="s">
        <v>616</v>
      </c>
      <c r="E627" s="3">
        <v>0</v>
      </c>
      <c r="F627" s="2">
        <v>2362</v>
      </c>
      <c r="G627" s="2">
        <v>100</v>
      </c>
      <c r="H627" s="2">
        <v>500</v>
      </c>
      <c r="I627" s="2">
        <v>101</v>
      </c>
      <c r="J627" s="2">
        <v>1600</v>
      </c>
      <c r="K627" s="2">
        <v>1</v>
      </c>
      <c r="L627" s="2">
        <v>500</v>
      </c>
    </row>
    <row r="628" spans="1:12" x14ac:dyDescent="0.25">
      <c r="A628" s="4" t="str">
        <f>HYPERLINK("http://www.rosaceae.org/Prunus/Prunus_persica/p.persica_gdr_reftransV1_0046659","p.persica_gdr_reftransV1_0046659")</f>
        <v>p.persica_gdr_reftransV1_0046659</v>
      </c>
      <c r="B628" s="2">
        <v>568</v>
      </c>
      <c r="C628" s="4" t="str">
        <f>HYPERLINK("http://www.uniprot.org/uniprot/M5W8I0","M5W8I0")</f>
        <v>M5W8I0</v>
      </c>
      <c r="D628" s="2" t="s">
        <v>617</v>
      </c>
      <c r="E628" s="3">
        <v>2.3699999999999999E-117</v>
      </c>
      <c r="F628" s="2">
        <v>940</v>
      </c>
      <c r="G628" s="2">
        <v>100</v>
      </c>
      <c r="H628" s="2">
        <v>189</v>
      </c>
      <c r="I628" s="2">
        <v>2</v>
      </c>
      <c r="J628" s="2">
        <v>568</v>
      </c>
      <c r="K628" s="2">
        <v>137</v>
      </c>
      <c r="L628" s="2">
        <v>325</v>
      </c>
    </row>
    <row r="629" spans="1:12" x14ac:dyDescent="0.25">
      <c r="A629" s="4" t="str">
        <f>HYPERLINK("http://www.rosaceae.org/Prunus/Prunus_persica/p.persica_gdr_reftransV1_0047009","p.persica_gdr_reftransV1_0047009")</f>
        <v>p.persica_gdr_reftransV1_0047009</v>
      </c>
      <c r="B629" s="2">
        <v>1010</v>
      </c>
      <c r="C629" s="4" t="str">
        <f>HYPERLINK("http://www.uniprot.org/uniprot/M5Y6Q6","M5Y6Q6")</f>
        <v>M5Y6Q6</v>
      </c>
      <c r="D629" s="2" t="s">
        <v>618</v>
      </c>
      <c r="E629" s="3">
        <v>1.6900000000000001E-36</v>
      </c>
      <c r="F629" s="2">
        <v>345</v>
      </c>
      <c r="G629" s="2">
        <v>100</v>
      </c>
      <c r="H629" s="2">
        <v>85</v>
      </c>
      <c r="I629" s="2">
        <v>517</v>
      </c>
      <c r="J629" s="2">
        <v>771</v>
      </c>
      <c r="K629" s="2">
        <v>1</v>
      </c>
      <c r="L629" s="2">
        <v>85</v>
      </c>
    </row>
    <row r="630" spans="1:12" x14ac:dyDescent="0.25">
      <c r="A630" s="4" t="str">
        <f>HYPERLINK("http://www.rosaceae.org/Prunus/Prunus_persica/p.persica_gdr_reftransV1_0047709","p.persica_gdr_reftransV1_0047709")</f>
        <v>p.persica_gdr_reftransV1_0047709</v>
      </c>
      <c r="B630" s="2">
        <v>1509</v>
      </c>
      <c r="C630" s="4" t="str">
        <f>HYPERLINK("http://www.uniprot.org/uniprot/M5VX81","M5VX81")</f>
        <v>M5VX81</v>
      </c>
      <c r="D630" s="2" t="s">
        <v>619</v>
      </c>
      <c r="E630" s="3">
        <v>0</v>
      </c>
      <c r="F630" s="2">
        <v>1352</v>
      </c>
      <c r="G630" s="2">
        <v>100</v>
      </c>
      <c r="H630" s="2">
        <v>252</v>
      </c>
      <c r="I630" s="2">
        <v>589</v>
      </c>
      <c r="J630" s="2">
        <v>1344</v>
      </c>
      <c r="K630" s="2">
        <v>2</v>
      </c>
      <c r="L630" s="2">
        <v>253</v>
      </c>
    </row>
    <row r="631" spans="1:12" x14ac:dyDescent="0.25">
      <c r="A631" s="4" t="str">
        <f>HYPERLINK("http://www.rosaceae.org/Prunus/Prunus_persica/p.persica_gdr_reftransV1_0048059","p.persica_gdr_reftransV1_0048059")</f>
        <v>p.persica_gdr_reftransV1_0048059</v>
      </c>
      <c r="B631" s="2">
        <v>1352</v>
      </c>
      <c r="C631" s="4" t="str">
        <f>HYPERLINK("http://www.uniprot.org/uniprot/M5XEJ9","M5XEJ9")</f>
        <v>M5XEJ9</v>
      </c>
      <c r="D631" s="2" t="s">
        <v>620</v>
      </c>
      <c r="E631" s="3">
        <v>0</v>
      </c>
      <c r="F631" s="2">
        <v>1418</v>
      </c>
      <c r="G631" s="2">
        <v>100</v>
      </c>
      <c r="H631" s="2">
        <v>293</v>
      </c>
      <c r="I631" s="2">
        <v>91</v>
      </c>
      <c r="J631" s="2">
        <v>969</v>
      </c>
      <c r="K631" s="2">
        <v>1</v>
      </c>
      <c r="L631" s="2">
        <v>293</v>
      </c>
    </row>
    <row r="632" spans="1:12" x14ac:dyDescent="0.25">
      <c r="A632" s="4" t="str">
        <f>HYPERLINK("http://www.rosaceae.org/Prunus/Prunus_persica/p.persica_gdr_reftransV1_0048409","p.persica_gdr_reftransV1_0048409")</f>
        <v>p.persica_gdr_reftransV1_0048409</v>
      </c>
      <c r="B632" s="2">
        <v>701</v>
      </c>
      <c r="C632" s="4" t="str">
        <f>HYPERLINK("http://www.uniprot.org/uniprot/A5BQ77","A5BQ77")</f>
        <v>A5BQ77</v>
      </c>
      <c r="D632" s="2" t="s">
        <v>621</v>
      </c>
      <c r="E632" s="3">
        <v>2.6900000000000001E-123</v>
      </c>
      <c r="F632" s="2">
        <v>994</v>
      </c>
      <c r="G632" s="2">
        <v>77</v>
      </c>
      <c r="H632" s="2">
        <v>234</v>
      </c>
      <c r="I632" s="2">
        <v>2</v>
      </c>
      <c r="J632" s="2">
        <v>700</v>
      </c>
      <c r="K632" s="2">
        <v>766</v>
      </c>
      <c r="L632" s="2">
        <v>999</v>
      </c>
    </row>
    <row r="633" spans="1:12" x14ac:dyDescent="0.25">
      <c r="A633" s="4" t="str">
        <f>HYPERLINK("http://www.rosaceae.org/Prunus/Prunus_persica/p.persica_gdr_reftransV1_0048759","p.persica_gdr_reftransV1_0048759")</f>
        <v>p.persica_gdr_reftransV1_0048759</v>
      </c>
      <c r="B633" s="2">
        <v>1323</v>
      </c>
      <c r="C633" s="4" t="str">
        <f>HYPERLINK("http://www.uniprot.org/uniprot/M5X2G3","M5X2G3")</f>
        <v>M5X2G3</v>
      </c>
      <c r="D633" s="2" t="s">
        <v>622</v>
      </c>
      <c r="E633" s="3">
        <v>2.58E-123</v>
      </c>
      <c r="F633" s="2">
        <v>946</v>
      </c>
      <c r="G633" s="2">
        <v>100</v>
      </c>
      <c r="H633" s="2">
        <v>209</v>
      </c>
      <c r="I633" s="2">
        <v>293</v>
      </c>
      <c r="J633" s="2">
        <v>919</v>
      </c>
      <c r="K633" s="2">
        <v>1</v>
      </c>
      <c r="L633" s="2">
        <v>209</v>
      </c>
    </row>
    <row r="634" spans="1:12" x14ac:dyDescent="0.25">
      <c r="A634" s="4" t="str">
        <f>HYPERLINK("http://www.rosaceae.org/Prunus/Prunus_persica/p.persica_gdr_reftransV1_0049109","p.persica_gdr_reftransV1_0049109")</f>
        <v>p.persica_gdr_reftransV1_0049109</v>
      </c>
      <c r="B634" s="2">
        <v>890</v>
      </c>
      <c r="C634" s="4" t="str">
        <f>HYPERLINK("http://www.uniprot.org/uniprot/M5XRF9","M5XRF9")</f>
        <v>M5XRF9</v>
      </c>
      <c r="D634" s="2" t="s">
        <v>623</v>
      </c>
      <c r="E634" s="3">
        <v>1.0200000000000001E-157</v>
      </c>
      <c r="F634" s="2">
        <v>1161</v>
      </c>
      <c r="G634" s="2">
        <v>100</v>
      </c>
      <c r="H634" s="2">
        <v>221</v>
      </c>
      <c r="I634" s="2">
        <v>1</v>
      </c>
      <c r="J634" s="2">
        <v>663</v>
      </c>
      <c r="K634" s="2">
        <v>14</v>
      </c>
      <c r="L634" s="2">
        <v>234</v>
      </c>
    </row>
    <row r="635" spans="1:12" x14ac:dyDescent="0.25">
      <c r="A635" s="4" t="str">
        <f>HYPERLINK("http://www.rosaceae.org/Prunus/Prunus_persica/p.persica_gdr_reftransV1_0000460","p.persica_gdr_reftransV1_0000460")</f>
        <v>p.persica_gdr_reftransV1_0000460</v>
      </c>
      <c r="B635" s="2">
        <v>2098</v>
      </c>
      <c r="C635" s="4" t="str">
        <f>HYPERLINK("http://www.uniprot.org/uniprot/M5VY22","M5VY22")</f>
        <v>M5VY22</v>
      </c>
      <c r="D635" s="2" t="s">
        <v>624</v>
      </c>
      <c r="E635" s="3">
        <v>0</v>
      </c>
      <c r="F635" s="2">
        <v>2488</v>
      </c>
      <c r="G635" s="2">
        <v>100</v>
      </c>
      <c r="H635" s="2">
        <v>478</v>
      </c>
      <c r="I635" s="2">
        <v>413</v>
      </c>
      <c r="J635" s="2">
        <v>1846</v>
      </c>
      <c r="K635" s="2">
        <v>1</v>
      </c>
      <c r="L635" s="2">
        <v>478</v>
      </c>
    </row>
    <row r="636" spans="1:12" x14ac:dyDescent="0.25">
      <c r="A636" s="4" t="str">
        <f>HYPERLINK("http://www.rosaceae.org/Prunus/Prunus_persica/p.persica_gdr_reftransV1_0000810","p.persica_gdr_reftransV1_0000810")</f>
        <v>p.persica_gdr_reftransV1_0000810</v>
      </c>
      <c r="B636" s="2">
        <v>3690</v>
      </c>
      <c r="C636" s="4" t="str">
        <f>HYPERLINK("http://www.uniprot.org/uniprot/M5X015","M5X015")</f>
        <v>M5X015</v>
      </c>
      <c r="D636" s="2" t="s">
        <v>625</v>
      </c>
      <c r="E636" s="3">
        <v>0</v>
      </c>
      <c r="F636" s="2">
        <v>5502</v>
      </c>
      <c r="G636" s="2">
        <v>100</v>
      </c>
      <c r="H636" s="2">
        <v>1089</v>
      </c>
      <c r="I636" s="2">
        <v>175</v>
      </c>
      <c r="J636" s="2">
        <v>3441</v>
      </c>
      <c r="K636" s="2">
        <v>1</v>
      </c>
      <c r="L636" s="2">
        <v>1089</v>
      </c>
    </row>
    <row r="637" spans="1:12" x14ac:dyDescent="0.25">
      <c r="A637" s="4" t="str">
        <f>HYPERLINK("http://www.rosaceae.org/Prunus/Prunus_persica/p.persica_gdr_reftransV1_0001160","p.persica_gdr_reftransV1_0001160")</f>
        <v>p.persica_gdr_reftransV1_0001160</v>
      </c>
      <c r="B637" s="2">
        <v>920</v>
      </c>
      <c r="C637" s="4" t="str">
        <f>HYPERLINK("http://www.uniprot.org/uniprot/M5Y5Q6","M5Y5Q6")</f>
        <v>M5Y5Q6</v>
      </c>
      <c r="D637" s="2" t="s">
        <v>626</v>
      </c>
      <c r="E637" s="3">
        <v>8.8600000000000003E-92</v>
      </c>
      <c r="F637" s="2">
        <v>718</v>
      </c>
      <c r="G637" s="2">
        <v>96</v>
      </c>
      <c r="H637" s="2">
        <v>140</v>
      </c>
      <c r="I637" s="2">
        <v>42</v>
      </c>
      <c r="J637" s="2">
        <v>461</v>
      </c>
      <c r="K637" s="2">
        <v>1</v>
      </c>
      <c r="L637" s="2">
        <v>140</v>
      </c>
    </row>
    <row r="638" spans="1:12" x14ac:dyDescent="0.25">
      <c r="A638" s="4" t="str">
        <f>HYPERLINK("http://www.rosaceae.org/Prunus/Prunus_persica/p.persica_gdr_reftransV1_0001510","p.persica_gdr_reftransV1_0001510")</f>
        <v>p.persica_gdr_reftransV1_0001510</v>
      </c>
      <c r="B638" s="2">
        <v>316</v>
      </c>
      <c r="C638" s="4" t="str">
        <f>HYPERLINK("http://www.uniprot.org/uniprot/A0A0C4EBT7","A0A0C4EBT7")</f>
        <v>A0A0C4EBT7</v>
      </c>
      <c r="D638" s="2" t="s">
        <v>627</v>
      </c>
      <c r="E638" s="3">
        <v>3.3500000000000002E-34</v>
      </c>
      <c r="F638" s="2">
        <v>328</v>
      </c>
      <c r="G638" s="2">
        <v>84</v>
      </c>
      <c r="H638" s="2">
        <v>70</v>
      </c>
      <c r="I638" s="2">
        <v>1</v>
      </c>
      <c r="J638" s="2">
        <v>210</v>
      </c>
      <c r="K638" s="2">
        <v>5</v>
      </c>
      <c r="L638" s="2">
        <v>74</v>
      </c>
    </row>
    <row r="639" spans="1:12" x14ac:dyDescent="0.25">
      <c r="A639" s="4" t="str">
        <f>HYPERLINK("http://www.rosaceae.org/Prunus/Prunus_persica/p.persica_gdr_reftransV1_0001860","p.persica_gdr_reftransV1_0001860")</f>
        <v>p.persica_gdr_reftransV1_0001860</v>
      </c>
      <c r="B639" s="2">
        <v>1777</v>
      </c>
      <c r="C639" s="4" t="str">
        <f>HYPERLINK("http://www.uniprot.org/uniprot/M5WTW4","M5WTW4")</f>
        <v>M5WTW4</v>
      </c>
      <c r="D639" s="2" t="s">
        <v>628</v>
      </c>
      <c r="E639" s="3">
        <v>9.0300000000000002E-127</v>
      </c>
      <c r="F639" s="2">
        <v>985</v>
      </c>
      <c r="G639" s="2">
        <v>79</v>
      </c>
      <c r="H639" s="2">
        <v>244</v>
      </c>
      <c r="I639" s="2">
        <v>525</v>
      </c>
      <c r="J639" s="2">
        <v>1256</v>
      </c>
      <c r="K639" s="2">
        <v>21</v>
      </c>
      <c r="L639" s="2">
        <v>213</v>
      </c>
    </row>
    <row r="640" spans="1:12" x14ac:dyDescent="0.25">
      <c r="A640" s="4" t="str">
        <f>HYPERLINK("http://www.rosaceae.org/Prunus/Prunus_persica/p.persica_gdr_reftransV1_0002210","p.persica_gdr_reftransV1_0002210")</f>
        <v>p.persica_gdr_reftransV1_0002210</v>
      </c>
      <c r="B640" s="2">
        <v>2001</v>
      </c>
      <c r="C640" s="4" t="str">
        <f>HYPERLINK("http://www.uniprot.org/uniprot/M5WIF9","M5WIF9")</f>
        <v>M5WIF9</v>
      </c>
      <c r="D640" s="2" t="s">
        <v>629</v>
      </c>
      <c r="E640" s="3">
        <v>0</v>
      </c>
      <c r="F640" s="2">
        <v>1824</v>
      </c>
      <c r="G640" s="2">
        <v>91</v>
      </c>
      <c r="H640" s="2">
        <v>386</v>
      </c>
      <c r="I640" s="2">
        <v>588</v>
      </c>
      <c r="J640" s="2">
        <v>1745</v>
      </c>
      <c r="K640" s="2">
        <v>2</v>
      </c>
      <c r="L640" s="2">
        <v>368</v>
      </c>
    </row>
    <row r="641" spans="1:12" x14ac:dyDescent="0.25">
      <c r="A641" s="4" t="str">
        <f>HYPERLINK("http://www.rosaceae.org/Prunus/Prunus_persica/p.persica_gdr_reftransV1_0002560","p.persica_gdr_reftransV1_0002560")</f>
        <v>p.persica_gdr_reftransV1_0002560</v>
      </c>
      <c r="B641" s="2">
        <v>1479</v>
      </c>
      <c r="C641" s="4" t="str">
        <f>HYPERLINK("http://www.uniprot.org/uniprot/M5X3Y0","M5X3Y0")</f>
        <v>M5X3Y0</v>
      </c>
      <c r="D641" s="2" t="s">
        <v>630</v>
      </c>
      <c r="E641" s="3">
        <v>1.4899999999999999E-63</v>
      </c>
      <c r="F641" s="2">
        <v>551</v>
      </c>
      <c r="G641" s="2">
        <v>79</v>
      </c>
      <c r="H641" s="2">
        <v>203</v>
      </c>
      <c r="I641" s="2">
        <v>447</v>
      </c>
      <c r="J641" s="2">
        <v>1055</v>
      </c>
      <c r="K641" s="2">
        <v>41</v>
      </c>
      <c r="L641" s="2">
        <v>209</v>
      </c>
    </row>
    <row r="642" spans="1:12" x14ac:dyDescent="0.25">
      <c r="A642" s="4" t="str">
        <f>HYPERLINK("http://www.rosaceae.org/Prunus/Prunus_persica/p.persica_gdr_reftransV1_0003260","p.persica_gdr_reftransV1_0003260")</f>
        <v>p.persica_gdr_reftransV1_0003260</v>
      </c>
      <c r="B642" s="2">
        <v>1250</v>
      </c>
      <c r="C642" s="4" t="str">
        <f>HYPERLINK("http://www.uniprot.org/uniprot/M5WZ54","M5WZ54")</f>
        <v>M5WZ54</v>
      </c>
      <c r="D642" s="2" t="s">
        <v>631</v>
      </c>
      <c r="E642" s="3">
        <v>2.3699999999999999E-130</v>
      </c>
      <c r="F642" s="2">
        <v>1009</v>
      </c>
      <c r="G642" s="2">
        <v>96</v>
      </c>
      <c r="H642" s="2">
        <v>283</v>
      </c>
      <c r="I642" s="2">
        <v>66</v>
      </c>
      <c r="J642" s="2">
        <v>905</v>
      </c>
      <c r="K642" s="2">
        <v>1</v>
      </c>
      <c r="L642" s="2">
        <v>283</v>
      </c>
    </row>
    <row r="643" spans="1:12" x14ac:dyDescent="0.25">
      <c r="A643" s="4" t="str">
        <f>HYPERLINK("http://www.rosaceae.org/Prunus/Prunus_persica/p.persica_gdr_reftransV1_0003610","p.persica_gdr_reftransV1_0003610")</f>
        <v>p.persica_gdr_reftransV1_0003610</v>
      </c>
      <c r="B643" s="2">
        <v>461</v>
      </c>
      <c r="C643" s="4" t="str">
        <f>HYPERLINK("http://www.uniprot.org/uniprot/M5WXK2","M5WXK2")</f>
        <v>M5WXK2</v>
      </c>
      <c r="D643" s="2" t="s">
        <v>632</v>
      </c>
      <c r="E643" s="3">
        <v>1.6299999999999999E-58</v>
      </c>
      <c r="F643" s="2">
        <v>519</v>
      </c>
      <c r="G643" s="2">
        <v>100</v>
      </c>
      <c r="H643" s="2">
        <v>142</v>
      </c>
      <c r="I643" s="2">
        <v>1</v>
      </c>
      <c r="J643" s="2">
        <v>426</v>
      </c>
      <c r="K643" s="2">
        <v>1</v>
      </c>
      <c r="L643" s="2">
        <v>142</v>
      </c>
    </row>
    <row r="644" spans="1:12" x14ac:dyDescent="0.25">
      <c r="A644" s="4" t="str">
        <f>HYPERLINK("http://www.rosaceae.org/Prunus/Prunus_persica/p.persica_gdr_reftransV1_0003960","p.persica_gdr_reftransV1_0003960")</f>
        <v>p.persica_gdr_reftransV1_0003960</v>
      </c>
      <c r="B644" s="2">
        <v>1689</v>
      </c>
      <c r="C644" s="4" t="str">
        <f>HYPERLINK("http://www.uniprot.org/uniprot/M5W9M8","M5W9M8")</f>
        <v>M5W9M8</v>
      </c>
      <c r="D644" s="2" t="s">
        <v>633</v>
      </c>
      <c r="E644" s="3">
        <v>0</v>
      </c>
      <c r="F644" s="2">
        <v>1387</v>
      </c>
      <c r="G644" s="2">
        <v>100</v>
      </c>
      <c r="H644" s="2">
        <v>269</v>
      </c>
      <c r="I644" s="2">
        <v>470</v>
      </c>
      <c r="J644" s="2">
        <v>1276</v>
      </c>
      <c r="K644" s="2">
        <v>1</v>
      </c>
      <c r="L644" s="2">
        <v>269</v>
      </c>
    </row>
    <row r="645" spans="1:12" x14ac:dyDescent="0.25">
      <c r="A645" s="4" t="str">
        <f>HYPERLINK("http://www.rosaceae.org/Prunus/Prunus_persica/p.persica_gdr_reftransV1_0004310","p.persica_gdr_reftransV1_0004310")</f>
        <v>p.persica_gdr_reftransV1_0004310</v>
      </c>
      <c r="B645" s="2">
        <v>318</v>
      </c>
      <c r="C645" s="4" t="str">
        <f>HYPERLINK("http://www.uniprot.org/uniprot/V4TRS3","V4TRS3")</f>
        <v>V4TRS3</v>
      </c>
      <c r="D645" s="2" t="s">
        <v>634</v>
      </c>
      <c r="E645" s="3">
        <v>1.09E-32</v>
      </c>
      <c r="F645" s="2">
        <v>316</v>
      </c>
      <c r="G645" s="2">
        <v>66</v>
      </c>
      <c r="H645" s="2">
        <v>91</v>
      </c>
      <c r="I645" s="2">
        <v>3</v>
      </c>
      <c r="J645" s="2">
        <v>275</v>
      </c>
      <c r="K645" s="2">
        <v>30</v>
      </c>
      <c r="L645" s="2">
        <v>120</v>
      </c>
    </row>
    <row r="646" spans="1:12" x14ac:dyDescent="0.25">
      <c r="A646" s="4" t="str">
        <f>HYPERLINK("http://www.rosaceae.org/Prunus/Prunus_persica/p.persica_gdr_reftransV1_0005010","p.persica_gdr_reftransV1_0005010")</f>
        <v>p.persica_gdr_reftransV1_0005010</v>
      </c>
      <c r="B646" s="2">
        <v>947</v>
      </c>
      <c r="C646" s="4" t="str">
        <f>HYPERLINK("http://www.uniprot.org/uniprot/M5X250","M5X250")</f>
        <v>M5X250</v>
      </c>
      <c r="D646" s="2" t="s">
        <v>635</v>
      </c>
      <c r="E646" s="3">
        <v>7.1399999999999997E-118</v>
      </c>
      <c r="F646" s="2">
        <v>899</v>
      </c>
      <c r="G646" s="2">
        <v>100</v>
      </c>
      <c r="H646" s="2">
        <v>202</v>
      </c>
      <c r="I646" s="2">
        <v>202</v>
      </c>
      <c r="J646" s="2">
        <v>807</v>
      </c>
      <c r="K646" s="2">
        <v>22</v>
      </c>
      <c r="L646" s="2">
        <v>223</v>
      </c>
    </row>
    <row r="647" spans="1:12" x14ac:dyDescent="0.25">
      <c r="A647" s="4" t="str">
        <f>HYPERLINK("http://www.rosaceae.org/Prunus/Prunus_persica/p.persica_gdr_reftransV1_0005710","p.persica_gdr_reftransV1_0005710")</f>
        <v>p.persica_gdr_reftransV1_0005710</v>
      </c>
      <c r="B647" s="2">
        <v>1721</v>
      </c>
      <c r="C647" s="4" t="str">
        <f>HYPERLINK("http://www.uniprot.org/uniprot/M5X554","M5X554")</f>
        <v>M5X554</v>
      </c>
      <c r="D647" s="2" t="s">
        <v>636</v>
      </c>
      <c r="E647" s="3">
        <v>0</v>
      </c>
      <c r="F647" s="2">
        <v>2394</v>
      </c>
      <c r="G647" s="2">
        <v>100</v>
      </c>
      <c r="H647" s="2">
        <v>465</v>
      </c>
      <c r="I647" s="2">
        <v>287</v>
      </c>
      <c r="J647" s="2">
        <v>1681</v>
      </c>
      <c r="K647" s="2">
        <v>1</v>
      </c>
      <c r="L647" s="2">
        <v>465</v>
      </c>
    </row>
    <row r="648" spans="1:12" x14ac:dyDescent="0.25">
      <c r="A648" s="4" t="str">
        <f>HYPERLINK("http://www.rosaceae.org/Prunus/Prunus_persica/p.persica_gdr_reftransV1_0006410","p.persica_gdr_reftransV1_0006410")</f>
        <v>p.persica_gdr_reftransV1_0006410</v>
      </c>
      <c r="B648" s="2">
        <v>313</v>
      </c>
      <c r="C648" s="4" t="str">
        <f>HYPERLINK("http://www.uniprot.org/uniprot/M5WU13","M5WU13")</f>
        <v>M5WU13</v>
      </c>
      <c r="D648" s="2" t="s">
        <v>637</v>
      </c>
      <c r="E648" s="3">
        <v>9.3300000000000001E-49</v>
      </c>
      <c r="F648" s="2">
        <v>417</v>
      </c>
      <c r="G648" s="2">
        <v>100</v>
      </c>
      <c r="H648" s="2">
        <v>80</v>
      </c>
      <c r="I648" s="2">
        <v>72</v>
      </c>
      <c r="J648" s="2">
        <v>311</v>
      </c>
      <c r="K648" s="2">
        <v>1</v>
      </c>
      <c r="L648" s="2">
        <v>80</v>
      </c>
    </row>
    <row r="649" spans="1:12" x14ac:dyDescent="0.25">
      <c r="A649" s="4" t="str">
        <f>HYPERLINK("http://www.rosaceae.org/Prunus/Prunus_persica/p.persica_gdr_reftransV1_0007810","p.persica_gdr_reftransV1_0007810")</f>
        <v>p.persica_gdr_reftransV1_0007810</v>
      </c>
      <c r="B649" s="2">
        <v>1545</v>
      </c>
      <c r="C649" s="4" t="str">
        <f>HYPERLINK("http://www.uniprot.org/uniprot/M5XS80","M5XS80")</f>
        <v>M5XS80</v>
      </c>
      <c r="D649" s="2" t="s">
        <v>638</v>
      </c>
      <c r="E649" s="3">
        <v>1.9700000000000001E-173</v>
      </c>
      <c r="F649" s="2">
        <v>1291</v>
      </c>
      <c r="G649" s="2">
        <v>100</v>
      </c>
      <c r="H649" s="2">
        <v>253</v>
      </c>
      <c r="I649" s="2">
        <v>408</v>
      </c>
      <c r="J649" s="2">
        <v>1166</v>
      </c>
      <c r="K649" s="2">
        <v>18</v>
      </c>
      <c r="L649" s="2">
        <v>270</v>
      </c>
    </row>
    <row r="650" spans="1:12" x14ac:dyDescent="0.25">
      <c r="A650" s="4" t="str">
        <f>HYPERLINK("http://www.rosaceae.org/Prunus/Prunus_persica/p.persica_gdr_reftransV1_0008860","p.persica_gdr_reftransV1_0008860")</f>
        <v>p.persica_gdr_reftransV1_0008860</v>
      </c>
      <c r="B650" s="2">
        <v>2276</v>
      </c>
      <c r="C650" s="4" t="str">
        <f>HYPERLINK("http://www.uniprot.org/uniprot/M5WHM9","M5WHM9")</f>
        <v>M5WHM9</v>
      </c>
      <c r="D650" s="2" t="s">
        <v>639</v>
      </c>
      <c r="E650" s="3">
        <v>0</v>
      </c>
      <c r="F650" s="2">
        <v>2579</v>
      </c>
      <c r="G650" s="2">
        <v>100</v>
      </c>
      <c r="H650" s="2">
        <v>487</v>
      </c>
      <c r="I650" s="2">
        <v>222</v>
      </c>
      <c r="J650" s="2">
        <v>1682</v>
      </c>
      <c r="K650" s="2">
        <v>1</v>
      </c>
      <c r="L650" s="2">
        <v>487</v>
      </c>
    </row>
    <row r="651" spans="1:12" x14ac:dyDescent="0.25">
      <c r="A651" s="4" t="str">
        <f>HYPERLINK("http://www.rosaceae.org/Prunus/Prunus_persica/p.persica_gdr_reftransV1_0009560","p.persica_gdr_reftransV1_0009560")</f>
        <v>p.persica_gdr_reftransV1_0009560</v>
      </c>
      <c r="B651" s="2">
        <v>1907</v>
      </c>
      <c r="C651" s="4" t="str">
        <f>HYPERLINK("http://www.uniprot.org/uniprot/M5XRL9","M5XRL9")</f>
        <v>M5XRL9</v>
      </c>
      <c r="D651" s="2" t="s">
        <v>640</v>
      </c>
      <c r="E651" s="3">
        <v>0</v>
      </c>
      <c r="F651" s="2">
        <v>1611</v>
      </c>
      <c r="G651" s="2">
        <v>100</v>
      </c>
      <c r="H651" s="2">
        <v>365</v>
      </c>
      <c r="I651" s="2">
        <v>568</v>
      </c>
      <c r="J651" s="2">
        <v>1662</v>
      </c>
      <c r="K651" s="2">
        <v>1</v>
      </c>
      <c r="L651" s="2">
        <v>365</v>
      </c>
    </row>
    <row r="652" spans="1:12" x14ac:dyDescent="0.25">
      <c r="A652" s="4" t="str">
        <f>HYPERLINK("http://www.rosaceae.org/Prunus/Prunus_persica/p.persica_gdr_reftransV1_0010960","p.persica_gdr_reftransV1_0010960")</f>
        <v>p.persica_gdr_reftransV1_0010960</v>
      </c>
      <c r="B652" s="2">
        <v>866</v>
      </c>
      <c r="C652" s="4" t="str">
        <f>HYPERLINK("http://www.uniprot.org/uniprot/M5WF82","M5WF82")</f>
        <v>M5WF82</v>
      </c>
      <c r="D652" s="2" t="s">
        <v>641</v>
      </c>
      <c r="E652" s="3">
        <v>4.5799999999999997E-112</v>
      </c>
      <c r="F652" s="2">
        <v>854</v>
      </c>
      <c r="G652" s="2">
        <v>100</v>
      </c>
      <c r="H652" s="2">
        <v>181</v>
      </c>
      <c r="I652" s="2">
        <v>54</v>
      </c>
      <c r="J652" s="2">
        <v>596</v>
      </c>
      <c r="K652" s="2">
        <v>1</v>
      </c>
      <c r="L652" s="2">
        <v>181</v>
      </c>
    </row>
    <row r="653" spans="1:12" x14ac:dyDescent="0.25">
      <c r="A653" s="4" t="str">
        <f>HYPERLINK("http://www.rosaceae.org/Prunus/Prunus_persica/p.persica_gdr_reftransV1_0011310","p.persica_gdr_reftransV1_0011310")</f>
        <v>p.persica_gdr_reftransV1_0011310</v>
      </c>
      <c r="B653" s="2">
        <v>1379</v>
      </c>
      <c r="C653" s="4" t="str">
        <f>HYPERLINK("http://www.uniprot.org/uniprot/M5X1C7","M5X1C7")</f>
        <v>M5X1C7</v>
      </c>
      <c r="D653" s="2" t="s">
        <v>642</v>
      </c>
      <c r="E653" s="3">
        <v>3.9200000000000002E-110</v>
      </c>
      <c r="F653" s="2">
        <v>857</v>
      </c>
      <c r="G653" s="2">
        <v>100</v>
      </c>
      <c r="H653" s="2">
        <v>175</v>
      </c>
      <c r="I653" s="2">
        <v>787</v>
      </c>
      <c r="J653" s="2">
        <v>1311</v>
      </c>
      <c r="K653" s="2">
        <v>1</v>
      </c>
      <c r="L653" s="2">
        <v>175</v>
      </c>
    </row>
    <row r="654" spans="1:12" x14ac:dyDescent="0.25">
      <c r="A654" s="4" t="str">
        <f>HYPERLINK("http://www.rosaceae.org/Prunus/Prunus_persica/p.persica_gdr_reftransV1_0011660","p.persica_gdr_reftransV1_0011660")</f>
        <v>p.persica_gdr_reftransV1_0011660</v>
      </c>
      <c r="B654" s="2">
        <v>1208</v>
      </c>
      <c r="C654" s="4" t="str">
        <f>HYPERLINK("http://www.uniprot.org/uniprot/M5XGJ8","M5XGJ8")</f>
        <v>M5XGJ8</v>
      </c>
      <c r="D654" s="2" t="s">
        <v>643</v>
      </c>
      <c r="E654" s="3">
        <v>3.56E-150</v>
      </c>
      <c r="F654" s="2">
        <v>1126</v>
      </c>
      <c r="G654" s="2">
        <v>100</v>
      </c>
      <c r="H654" s="2">
        <v>268</v>
      </c>
      <c r="I654" s="2">
        <v>321</v>
      </c>
      <c r="J654" s="2">
        <v>1124</v>
      </c>
      <c r="K654" s="2">
        <v>1</v>
      </c>
      <c r="L654" s="2">
        <v>268</v>
      </c>
    </row>
    <row r="655" spans="1:12" x14ac:dyDescent="0.25">
      <c r="A655" s="4" t="str">
        <f>HYPERLINK("http://www.rosaceae.org/Prunus/Prunus_persica/p.persica_gdr_reftransV1_0012010","p.persica_gdr_reftransV1_0012010")</f>
        <v>p.persica_gdr_reftransV1_0012010</v>
      </c>
      <c r="B655" s="2">
        <v>3595</v>
      </c>
      <c r="C655" s="4" t="str">
        <f>HYPERLINK("http://www.uniprot.org/uniprot/M5VV68","M5VV68")</f>
        <v>M5VV68</v>
      </c>
      <c r="D655" s="2" t="s">
        <v>644</v>
      </c>
      <c r="E655" s="3">
        <v>0</v>
      </c>
      <c r="F655" s="2">
        <v>1722</v>
      </c>
      <c r="G655" s="2">
        <v>100</v>
      </c>
      <c r="H655" s="2">
        <v>338</v>
      </c>
      <c r="I655" s="2">
        <v>270</v>
      </c>
      <c r="J655" s="2">
        <v>1283</v>
      </c>
      <c r="K655" s="2">
        <v>4</v>
      </c>
      <c r="L655" s="2">
        <v>341</v>
      </c>
    </row>
    <row r="656" spans="1:12" x14ac:dyDescent="0.25">
      <c r="A656" s="4" t="str">
        <f>HYPERLINK("http://www.rosaceae.org/Prunus/Prunus_persica/p.persica_gdr_reftransV1_0012360","p.persica_gdr_reftransV1_0012360")</f>
        <v>p.persica_gdr_reftransV1_0012360</v>
      </c>
      <c r="B656" s="2">
        <v>917</v>
      </c>
      <c r="C656" s="4" t="str">
        <f>HYPERLINK("http://www.uniprot.org/uniprot/M5W7J2","M5W7J2")</f>
        <v>M5W7J2</v>
      </c>
      <c r="D656" s="2" t="s">
        <v>645</v>
      </c>
      <c r="E656" s="3">
        <v>6.5099999999999999E-72</v>
      </c>
      <c r="F656" s="2">
        <v>586</v>
      </c>
      <c r="G656" s="2">
        <v>99</v>
      </c>
      <c r="H656" s="2">
        <v>111</v>
      </c>
      <c r="I656" s="2">
        <v>319</v>
      </c>
      <c r="J656" s="2">
        <v>651</v>
      </c>
      <c r="K656" s="2">
        <v>8</v>
      </c>
      <c r="L656" s="2">
        <v>118</v>
      </c>
    </row>
    <row r="657" spans="1:12" x14ac:dyDescent="0.25">
      <c r="A657" s="4" t="str">
        <f>HYPERLINK("http://www.rosaceae.org/Prunus/Prunus_persica/p.persica_gdr_reftransV1_0012710","p.persica_gdr_reftransV1_0012710")</f>
        <v>p.persica_gdr_reftransV1_0012710</v>
      </c>
      <c r="B657" s="2">
        <v>1100</v>
      </c>
      <c r="C657" s="4" t="str">
        <f>HYPERLINK("http://www.uniprot.org/uniprot/M5W039","M5W039")</f>
        <v>M5W039</v>
      </c>
      <c r="D657" s="2" t="s">
        <v>646</v>
      </c>
      <c r="E657" s="3">
        <v>1.5900000000000001E-148</v>
      </c>
      <c r="F657" s="2">
        <v>1106</v>
      </c>
      <c r="G657" s="2">
        <v>88</v>
      </c>
      <c r="H657" s="2">
        <v>242</v>
      </c>
      <c r="I657" s="2">
        <v>188</v>
      </c>
      <c r="J657" s="2">
        <v>913</v>
      </c>
      <c r="K657" s="2">
        <v>1</v>
      </c>
      <c r="L657" s="2">
        <v>213</v>
      </c>
    </row>
    <row r="658" spans="1:12" x14ac:dyDescent="0.25">
      <c r="A658" s="4" t="str">
        <f>HYPERLINK("http://www.rosaceae.org/Prunus/Prunus_persica/p.persica_gdr_reftransV1_0013760","p.persica_gdr_reftransV1_0013760")</f>
        <v>p.persica_gdr_reftransV1_0013760</v>
      </c>
      <c r="B658" s="2">
        <v>2410</v>
      </c>
      <c r="C658" s="4" t="str">
        <f>HYPERLINK("http://www.uniprot.org/uniprot/M5WUD3","M5WUD3")</f>
        <v>M5WUD3</v>
      </c>
      <c r="D658" s="2" t="s">
        <v>647</v>
      </c>
      <c r="E658" s="3">
        <v>7.51E-108</v>
      </c>
      <c r="F658" s="2">
        <v>893</v>
      </c>
      <c r="G658" s="2">
        <v>100</v>
      </c>
      <c r="H658" s="2">
        <v>169</v>
      </c>
      <c r="I658" s="2">
        <v>230</v>
      </c>
      <c r="J658" s="2">
        <v>736</v>
      </c>
      <c r="K658" s="2">
        <v>243</v>
      </c>
      <c r="L658" s="2">
        <v>411</v>
      </c>
    </row>
    <row r="659" spans="1:12" x14ac:dyDescent="0.25">
      <c r="A659" s="4" t="str">
        <f>HYPERLINK("http://www.rosaceae.org/Prunus/Prunus_persica/p.persica_gdr_reftransV1_0014110","p.persica_gdr_reftransV1_0014110")</f>
        <v>p.persica_gdr_reftransV1_0014110</v>
      </c>
      <c r="B659" s="2">
        <v>2124</v>
      </c>
      <c r="C659" s="4" t="str">
        <f>HYPERLINK("http://www.uniprot.org/uniprot/M5WH65","M5WH65")</f>
        <v>M5WH65</v>
      </c>
      <c r="D659" s="2" t="s">
        <v>648</v>
      </c>
      <c r="E659" s="3">
        <v>2.8000000000000002E-159</v>
      </c>
      <c r="F659" s="2">
        <v>1230</v>
      </c>
      <c r="G659" s="2">
        <v>100</v>
      </c>
      <c r="H659" s="2">
        <v>229</v>
      </c>
      <c r="I659" s="2">
        <v>434</v>
      </c>
      <c r="J659" s="2">
        <v>1120</v>
      </c>
      <c r="K659" s="2">
        <v>1</v>
      </c>
      <c r="L659" s="2">
        <v>229</v>
      </c>
    </row>
    <row r="660" spans="1:12" x14ac:dyDescent="0.25">
      <c r="A660" s="4" t="str">
        <f>HYPERLINK("http://www.rosaceae.org/Prunus/Prunus_persica/p.persica_gdr_reftransV1_0014460","p.persica_gdr_reftransV1_0014460")</f>
        <v>p.persica_gdr_reftransV1_0014460</v>
      </c>
      <c r="B660" s="2">
        <v>1111</v>
      </c>
      <c r="C660" s="4" t="str">
        <f>HYPERLINK("http://www.uniprot.org/uniprot/M5WPV3","M5WPV3")</f>
        <v>M5WPV3</v>
      </c>
      <c r="D660" s="2" t="s">
        <v>649</v>
      </c>
      <c r="E660" s="3">
        <v>0</v>
      </c>
      <c r="F660" s="2">
        <v>1494</v>
      </c>
      <c r="G660" s="2">
        <v>87</v>
      </c>
      <c r="H660" s="2">
        <v>323</v>
      </c>
      <c r="I660" s="2">
        <v>2</v>
      </c>
      <c r="J660" s="2">
        <v>958</v>
      </c>
      <c r="K660" s="2">
        <v>1</v>
      </c>
      <c r="L660" s="2">
        <v>323</v>
      </c>
    </row>
    <row r="661" spans="1:12" x14ac:dyDescent="0.25">
      <c r="A661" s="4" t="str">
        <f>HYPERLINK("http://www.rosaceae.org/Prunus/Prunus_persica/p.persica_gdr_reftransV1_0015160","p.persica_gdr_reftransV1_0015160")</f>
        <v>p.persica_gdr_reftransV1_0015160</v>
      </c>
      <c r="B661" s="2">
        <v>3972</v>
      </c>
      <c r="C661" s="4" t="str">
        <f>HYPERLINK("http://www.uniprot.org/uniprot/M5WX86","M5WX86")</f>
        <v>M5WX86</v>
      </c>
      <c r="D661" s="2" t="s">
        <v>650</v>
      </c>
      <c r="E661" s="3">
        <v>0</v>
      </c>
      <c r="F661" s="2">
        <v>5188</v>
      </c>
      <c r="G661" s="2">
        <v>100</v>
      </c>
      <c r="H661" s="2">
        <v>1033</v>
      </c>
      <c r="I661" s="2">
        <v>228</v>
      </c>
      <c r="J661" s="2">
        <v>3326</v>
      </c>
      <c r="K661" s="2">
        <v>1</v>
      </c>
      <c r="L661" s="2">
        <v>1033</v>
      </c>
    </row>
    <row r="662" spans="1:12" x14ac:dyDescent="0.25">
      <c r="A662" s="4" t="str">
        <f>HYPERLINK("http://www.rosaceae.org/Prunus/Prunus_persica/p.persica_gdr_reftransV1_0015510","p.persica_gdr_reftransV1_0015510")</f>
        <v>p.persica_gdr_reftransV1_0015510</v>
      </c>
      <c r="B662" s="2">
        <v>2549</v>
      </c>
      <c r="C662" s="4" t="str">
        <f>HYPERLINK("http://www.uniprot.org/uniprot/M5Y7L2","M5Y7L2")</f>
        <v>M5Y7L2</v>
      </c>
      <c r="D662" s="2" t="s">
        <v>651</v>
      </c>
      <c r="E662" s="3">
        <v>0</v>
      </c>
      <c r="F662" s="2">
        <v>2142</v>
      </c>
      <c r="G662" s="2">
        <v>98</v>
      </c>
      <c r="H662" s="2">
        <v>550</v>
      </c>
      <c r="I662" s="2">
        <v>567</v>
      </c>
      <c r="J662" s="2">
        <v>2216</v>
      </c>
      <c r="K662" s="2">
        <v>1</v>
      </c>
      <c r="L662" s="2">
        <v>539</v>
      </c>
    </row>
    <row r="663" spans="1:12" x14ac:dyDescent="0.25">
      <c r="A663" s="4" t="str">
        <f>HYPERLINK("http://www.rosaceae.org/Prunus/Prunus_persica/p.persica_gdr_reftransV1_0016210","p.persica_gdr_reftransV1_0016210")</f>
        <v>p.persica_gdr_reftransV1_0016210</v>
      </c>
      <c r="B663" s="2">
        <v>3986</v>
      </c>
      <c r="C663" s="4" t="str">
        <f>HYPERLINK("http://www.uniprot.org/uniprot/M5XQQ9","M5XQQ9")</f>
        <v>M5XQQ9</v>
      </c>
      <c r="D663" s="2" t="s">
        <v>652</v>
      </c>
      <c r="E663" s="3">
        <v>0</v>
      </c>
      <c r="F663" s="2">
        <v>3764</v>
      </c>
      <c r="G663" s="2">
        <v>95</v>
      </c>
      <c r="H663" s="2">
        <v>744</v>
      </c>
      <c r="I663" s="2">
        <v>1581</v>
      </c>
      <c r="J663" s="2">
        <v>3812</v>
      </c>
      <c r="K663" s="2">
        <v>1</v>
      </c>
      <c r="L663" s="2">
        <v>709</v>
      </c>
    </row>
    <row r="664" spans="1:12" x14ac:dyDescent="0.25">
      <c r="A664" s="4" t="str">
        <f>HYPERLINK("http://www.rosaceae.org/Prunus/Prunus_persica/p.persica_gdr_reftransV1_0017260","p.persica_gdr_reftransV1_0017260")</f>
        <v>p.persica_gdr_reftransV1_0017260</v>
      </c>
      <c r="B664" s="2">
        <v>2517</v>
      </c>
      <c r="C664" s="4" t="str">
        <f>HYPERLINK("http://www.uniprot.org/uniprot/M5VKV2","M5VKV2")</f>
        <v>M5VKV2</v>
      </c>
      <c r="D664" s="2" t="s">
        <v>653</v>
      </c>
      <c r="E664" s="3">
        <v>4.1499999999999999E-158</v>
      </c>
      <c r="F664" s="2">
        <v>1220</v>
      </c>
      <c r="G664" s="2">
        <v>90</v>
      </c>
      <c r="H664" s="2">
        <v>282</v>
      </c>
      <c r="I664" s="2">
        <v>323</v>
      </c>
      <c r="J664" s="2">
        <v>1168</v>
      </c>
      <c r="K664" s="2">
        <v>1</v>
      </c>
      <c r="L664" s="2">
        <v>254</v>
      </c>
    </row>
    <row r="665" spans="1:12" x14ac:dyDescent="0.25">
      <c r="A665" s="4" t="str">
        <f>HYPERLINK("http://www.rosaceae.org/Prunus/Prunus_persica/p.persica_gdr_reftransV1_0017610","p.persica_gdr_reftransV1_0017610")</f>
        <v>p.persica_gdr_reftransV1_0017610</v>
      </c>
      <c r="B665" s="2">
        <v>712</v>
      </c>
      <c r="C665" s="4" t="str">
        <f>HYPERLINK("http://www.uniprot.org/uniprot/M5X3C8","M5X3C8")</f>
        <v>M5X3C8</v>
      </c>
      <c r="D665" s="2" t="s">
        <v>654</v>
      </c>
      <c r="E665" s="3">
        <v>8.8100000000000004E-83</v>
      </c>
      <c r="F665" s="2">
        <v>651</v>
      </c>
      <c r="G665" s="2">
        <v>99</v>
      </c>
      <c r="H665" s="2">
        <v>143</v>
      </c>
      <c r="I665" s="2">
        <v>110</v>
      </c>
      <c r="J665" s="2">
        <v>532</v>
      </c>
      <c r="K665" s="2">
        <v>1</v>
      </c>
      <c r="L665" s="2">
        <v>143</v>
      </c>
    </row>
    <row r="666" spans="1:12" x14ac:dyDescent="0.25">
      <c r="A666" s="4" t="str">
        <f>HYPERLINK("http://www.rosaceae.org/Prunus/Prunus_persica/p.persica_gdr_reftransV1_0020060","p.persica_gdr_reftransV1_0020060")</f>
        <v>p.persica_gdr_reftransV1_0020060</v>
      </c>
      <c r="B666" s="2">
        <v>2554</v>
      </c>
      <c r="C666" s="4" t="str">
        <f>HYPERLINK("http://www.uniprot.org/uniprot/Q8LLU3","Q8LLU3")</f>
        <v>Q8LLU3</v>
      </c>
      <c r="D666" s="2" t="s">
        <v>655</v>
      </c>
      <c r="E666" s="3">
        <v>0</v>
      </c>
      <c r="F666" s="2">
        <v>3015</v>
      </c>
      <c r="G666" s="2">
        <v>100</v>
      </c>
      <c r="H666" s="2">
        <v>644</v>
      </c>
      <c r="I666" s="2">
        <v>434</v>
      </c>
      <c r="J666" s="2">
        <v>2365</v>
      </c>
      <c r="K666" s="2">
        <v>1</v>
      </c>
      <c r="L666" s="2">
        <v>644</v>
      </c>
    </row>
    <row r="667" spans="1:12" x14ac:dyDescent="0.25">
      <c r="A667" s="4" t="str">
        <f>HYPERLINK("http://www.rosaceae.org/Prunus/Prunus_persica/p.persica_gdr_reftransV1_0020410","p.persica_gdr_reftransV1_0020410")</f>
        <v>p.persica_gdr_reftransV1_0020410</v>
      </c>
      <c r="B667" s="2">
        <v>2828</v>
      </c>
      <c r="C667" s="4" t="str">
        <f>HYPERLINK("http://www.uniprot.org/uniprot/M5XBG0","M5XBG0")</f>
        <v>M5XBG0</v>
      </c>
      <c r="D667" s="2" t="s">
        <v>656</v>
      </c>
      <c r="E667" s="3">
        <v>0</v>
      </c>
      <c r="F667" s="2">
        <v>2752</v>
      </c>
      <c r="G667" s="2">
        <v>100</v>
      </c>
      <c r="H667" s="2">
        <v>576</v>
      </c>
      <c r="I667" s="2">
        <v>324</v>
      </c>
      <c r="J667" s="2">
        <v>2051</v>
      </c>
      <c r="K667" s="2">
        <v>1</v>
      </c>
      <c r="L667" s="2">
        <v>576</v>
      </c>
    </row>
    <row r="668" spans="1:12" x14ac:dyDescent="0.25">
      <c r="A668" s="4" t="str">
        <f>HYPERLINK("http://www.rosaceae.org/Prunus/Prunus_persica/p.persica_gdr_reftransV1_0021110","p.persica_gdr_reftransV1_0021110")</f>
        <v>p.persica_gdr_reftransV1_0021110</v>
      </c>
      <c r="B668" s="2">
        <v>2336</v>
      </c>
      <c r="C668" s="4" t="str">
        <f>HYPERLINK("http://www.uniprot.org/uniprot/M5XBN5","M5XBN5")</f>
        <v>M5XBN5</v>
      </c>
      <c r="D668" s="2" t="s">
        <v>657</v>
      </c>
      <c r="E668" s="3">
        <v>0</v>
      </c>
      <c r="F668" s="2">
        <v>1816</v>
      </c>
      <c r="G668" s="2">
        <v>99</v>
      </c>
      <c r="H668" s="2">
        <v>352</v>
      </c>
      <c r="I668" s="2">
        <v>1004</v>
      </c>
      <c r="J668" s="2">
        <v>2059</v>
      </c>
      <c r="K668" s="2">
        <v>7</v>
      </c>
      <c r="L668" s="2">
        <v>358</v>
      </c>
    </row>
    <row r="669" spans="1:12" x14ac:dyDescent="0.25">
      <c r="A669" s="4" t="str">
        <f>HYPERLINK("http://www.rosaceae.org/Prunus/Prunus_persica/p.persica_gdr_reftransV1_0021810","p.persica_gdr_reftransV1_0021810")</f>
        <v>p.persica_gdr_reftransV1_0021810</v>
      </c>
      <c r="B669" s="2">
        <v>2568</v>
      </c>
      <c r="C669" s="4" t="str">
        <f>HYPERLINK("http://www.uniprot.org/uniprot/M5WAC8","M5WAC8")</f>
        <v>M5WAC8</v>
      </c>
      <c r="D669" s="2" t="s">
        <v>658</v>
      </c>
      <c r="E669" s="3">
        <v>1.0999999999999999E-92</v>
      </c>
      <c r="F669" s="2">
        <v>777</v>
      </c>
      <c r="G669" s="2">
        <v>99</v>
      </c>
      <c r="H669" s="2">
        <v>181</v>
      </c>
      <c r="I669" s="2">
        <v>146</v>
      </c>
      <c r="J669" s="2">
        <v>688</v>
      </c>
      <c r="K669" s="2">
        <v>1</v>
      </c>
      <c r="L669" s="2">
        <v>181</v>
      </c>
    </row>
    <row r="670" spans="1:12" x14ac:dyDescent="0.25">
      <c r="A670" s="4" t="str">
        <f>HYPERLINK("http://www.rosaceae.org/Prunus/Prunus_persica/p.persica_gdr_reftransV1_0022160","p.persica_gdr_reftransV1_0022160")</f>
        <v>p.persica_gdr_reftransV1_0022160</v>
      </c>
      <c r="B670" s="2">
        <v>5302</v>
      </c>
      <c r="C670" s="4" t="str">
        <f>HYPERLINK("http://www.uniprot.org/uniprot/M5XC26","M5XC26")</f>
        <v>M5XC26</v>
      </c>
      <c r="D670" s="2" t="s">
        <v>659</v>
      </c>
      <c r="E670" s="3">
        <v>5.6700000000000005E-66</v>
      </c>
      <c r="F670" s="2">
        <v>627</v>
      </c>
      <c r="G670" s="2">
        <v>100</v>
      </c>
      <c r="H670" s="2">
        <v>119</v>
      </c>
      <c r="I670" s="2">
        <v>4524</v>
      </c>
      <c r="J670" s="2">
        <v>4880</v>
      </c>
      <c r="K670" s="2">
        <v>421</v>
      </c>
      <c r="L670" s="2">
        <v>539</v>
      </c>
    </row>
    <row r="671" spans="1:12" x14ac:dyDescent="0.25">
      <c r="A671" s="4" t="str">
        <f>HYPERLINK("http://www.rosaceae.org/Prunus/Prunus_persica/p.persica_gdr_reftransV1_0023210","p.persica_gdr_reftransV1_0023210")</f>
        <v>p.persica_gdr_reftransV1_0023210</v>
      </c>
      <c r="B671" s="2">
        <v>1739</v>
      </c>
      <c r="C671" s="4" t="str">
        <f>HYPERLINK("http://www.uniprot.org/uniprot/M5XEB7","M5XEB7")</f>
        <v>M5XEB7</v>
      </c>
      <c r="D671" s="2" t="s">
        <v>660</v>
      </c>
      <c r="E671" s="3">
        <v>4.0500000000000003E-121</v>
      </c>
      <c r="F671" s="2">
        <v>953</v>
      </c>
      <c r="G671" s="2">
        <v>98</v>
      </c>
      <c r="H671" s="2">
        <v>220</v>
      </c>
      <c r="I671" s="2">
        <v>660</v>
      </c>
      <c r="J671" s="2">
        <v>1319</v>
      </c>
      <c r="K671" s="2">
        <v>75</v>
      </c>
      <c r="L671" s="2">
        <v>294</v>
      </c>
    </row>
    <row r="672" spans="1:12" x14ac:dyDescent="0.25">
      <c r="A672" s="4" t="str">
        <f>HYPERLINK("http://www.rosaceae.org/Prunus/Prunus_persica/p.persica_gdr_reftransV1_0024610","p.persica_gdr_reftransV1_0024610")</f>
        <v>p.persica_gdr_reftransV1_0024610</v>
      </c>
      <c r="B672" s="2">
        <v>1616</v>
      </c>
      <c r="C672" s="4" t="str">
        <f>HYPERLINK("http://www.uniprot.org/uniprot/M5WA37","M5WA37")</f>
        <v>M5WA37</v>
      </c>
      <c r="D672" s="2" t="s">
        <v>661</v>
      </c>
      <c r="E672" s="3">
        <v>6.61E-168</v>
      </c>
      <c r="F672" s="2">
        <v>1261</v>
      </c>
      <c r="G672" s="2">
        <v>100</v>
      </c>
      <c r="H672" s="2">
        <v>280</v>
      </c>
      <c r="I672" s="2">
        <v>469</v>
      </c>
      <c r="J672" s="2">
        <v>1308</v>
      </c>
      <c r="K672" s="2">
        <v>1</v>
      </c>
      <c r="L672" s="2">
        <v>280</v>
      </c>
    </row>
    <row r="673" spans="1:12" x14ac:dyDescent="0.25">
      <c r="A673" s="4" t="str">
        <f>HYPERLINK("http://www.rosaceae.org/Prunus/Prunus_persica/p.persica_gdr_reftransV1_0026360","p.persica_gdr_reftransV1_0026360")</f>
        <v>p.persica_gdr_reftransV1_0026360</v>
      </c>
      <c r="B673" s="2">
        <v>1916</v>
      </c>
      <c r="C673" s="4" t="str">
        <f>HYPERLINK("http://www.uniprot.org/uniprot/M5VRQ1","M5VRQ1")</f>
        <v>M5VRQ1</v>
      </c>
      <c r="D673" s="2" t="s">
        <v>662</v>
      </c>
      <c r="E673" s="3">
        <v>1.6300000000000001E-83</v>
      </c>
      <c r="F673" s="2">
        <v>496</v>
      </c>
      <c r="G673" s="2">
        <v>78</v>
      </c>
      <c r="H673" s="2">
        <v>148</v>
      </c>
      <c r="I673" s="2">
        <v>527</v>
      </c>
      <c r="J673" s="2">
        <v>970</v>
      </c>
      <c r="K673" s="2">
        <v>1</v>
      </c>
      <c r="L673" s="2">
        <v>116</v>
      </c>
    </row>
    <row r="674" spans="1:12" x14ac:dyDescent="0.25">
      <c r="A674" s="4" t="str">
        <f>HYPERLINK("http://www.rosaceae.org/Prunus/Prunus_persica/p.persica_gdr_reftransV1_0029160","p.persica_gdr_reftransV1_0029160")</f>
        <v>p.persica_gdr_reftransV1_0029160</v>
      </c>
      <c r="B674" s="2">
        <v>787</v>
      </c>
      <c r="C674" s="4" t="str">
        <f>HYPERLINK("http://www.uniprot.org/uniprot/M5WSJ2","M5WSJ2")</f>
        <v>M5WSJ2</v>
      </c>
      <c r="D674" s="2" t="s">
        <v>663</v>
      </c>
      <c r="E674" s="3">
        <v>0</v>
      </c>
      <c r="F674" s="2">
        <v>1380</v>
      </c>
      <c r="G674" s="2">
        <v>100</v>
      </c>
      <c r="H674" s="2">
        <v>262</v>
      </c>
      <c r="I674" s="2">
        <v>1</v>
      </c>
      <c r="J674" s="2">
        <v>786</v>
      </c>
      <c r="K674" s="2">
        <v>95</v>
      </c>
      <c r="L674" s="2">
        <v>356</v>
      </c>
    </row>
    <row r="675" spans="1:12" x14ac:dyDescent="0.25">
      <c r="A675" s="4" t="str">
        <f>HYPERLINK("http://www.rosaceae.org/Prunus/Prunus_persica/p.persica_gdr_reftransV1_0029510","p.persica_gdr_reftransV1_0029510")</f>
        <v>p.persica_gdr_reftransV1_0029510</v>
      </c>
      <c r="B675" s="2">
        <v>448</v>
      </c>
      <c r="C675" s="4" t="str">
        <f>HYPERLINK("http://www.uniprot.org/uniprot/M5XJC1","M5XJC1")</f>
        <v>M5XJC1</v>
      </c>
      <c r="D675" s="2" t="s">
        <v>664</v>
      </c>
      <c r="E675" s="3">
        <v>4.7300000000000002E-98</v>
      </c>
      <c r="F675" s="2">
        <v>781</v>
      </c>
      <c r="G675" s="2">
        <v>100</v>
      </c>
      <c r="H675" s="2">
        <v>149</v>
      </c>
      <c r="I675" s="2">
        <v>1</v>
      </c>
      <c r="J675" s="2">
        <v>447</v>
      </c>
      <c r="K675" s="2">
        <v>118</v>
      </c>
      <c r="L675" s="2">
        <v>266</v>
      </c>
    </row>
    <row r="676" spans="1:12" x14ac:dyDescent="0.25">
      <c r="A676" s="4" t="str">
        <f>HYPERLINK("http://www.rosaceae.org/Prunus/Prunus_persica/p.persica_gdr_reftransV1_0031260","p.persica_gdr_reftransV1_0031260")</f>
        <v>p.persica_gdr_reftransV1_0031260</v>
      </c>
      <c r="B676" s="2">
        <v>1601</v>
      </c>
      <c r="C676" s="4" t="str">
        <f>HYPERLINK("http://www.uniprot.org/uniprot/M5W275","M5W275")</f>
        <v>M5W275</v>
      </c>
      <c r="D676" s="2" t="s">
        <v>665</v>
      </c>
      <c r="E676" s="3">
        <v>0</v>
      </c>
      <c r="F676" s="2">
        <v>1524</v>
      </c>
      <c r="G676" s="2">
        <v>100</v>
      </c>
      <c r="H676" s="2">
        <v>308</v>
      </c>
      <c r="I676" s="2">
        <v>275</v>
      </c>
      <c r="J676" s="2">
        <v>1198</v>
      </c>
      <c r="K676" s="2">
        <v>1201</v>
      </c>
      <c r="L676" s="2">
        <v>1508</v>
      </c>
    </row>
    <row r="677" spans="1:12" x14ac:dyDescent="0.25">
      <c r="A677" s="4" t="str">
        <f>HYPERLINK("http://www.rosaceae.org/Prunus/Prunus_persica/p.persica_gdr_reftransV1_0031610","p.persica_gdr_reftransV1_0031610")</f>
        <v>p.persica_gdr_reftransV1_0031610</v>
      </c>
      <c r="B677" s="2">
        <v>1876</v>
      </c>
      <c r="C677" s="4" t="str">
        <f>HYPERLINK("http://www.uniprot.org/uniprot/M5WUC1","M5WUC1")</f>
        <v>M5WUC1</v>
      </c>
      <c r="D677" s="2" t="s">
        <v>666</v>
      </c>
      <c r="E677" s="3">
        <v>0</v>
      </c>
      <c r="F677" s="2">
        <v>1569</v>
      </c>
      <c r="G677" s="2">
        <v>100</v>
      </c>
      <c r="H677" s="2">
        <v>296</v>
      </c>
      <c r="I677" s="2">
        <v>801</v>
      </c>
      <c r="J677" s="2">
        <v>1688</v>
      </c>
      <c r="K677" s="2">
        <v>1</v>
      </c>
      <c r="L677" s="2">
        <v>296</v>
      </c>
    </row>
    <row r="678" spans="1:12" x14ac:dyDescent="0.25">
      <c r="A678" s="4" t="str">
        <f>HYPERLINK("http://www.rosaceae.org/Prunus/Prunus_persica/p.persica_gdr_reftransV1_0032310","p.persica_gdr_reftransV1_0032310")</f>
        <v>p.persica_gdr_reftransV1_0032310</v>
      </c>
      <c r="B678" s="2">
        <v>2498</v>
      </c>
      <c r="C678" s="4" t="str">
        <f>HYPERLINK("http://www.uniprot.org/uniprot/M5VQA5","M5VQA5")</f>
        <v>M5VQA5</v>
      </c>
      <c r="D678" s="2" t="s">
        <v>667</v>
      </c>
      <c r="E678" s="3">
        <v>0</v>
      </c>
      <c r="F678" s="2">
        <v>1531</v>
      </c>
      <c r="G678" s="2">
        <v>100</v>
      </c>
      <c r="H678" s="2">
        <v>326</v>
      </c>
      <c r="I678" s="2">
        <v>1301</v>
      </c>
      <c r="J678" s="2">
        <v>2278</v>
      </c>
      <c r="K678" s="2">
        <v>1</v>
      </c>
      <c r="L678" s="2">
        <v>326</v>
      </c>
    </row>
    <row r="679" spans="1:12" x14ac:dyDescent="0.25">
      <c r="A679" s="4" t="str">
        <f>HYPERLINK("http://www.rosaceae.org/Prunus/Prunus_persica/p.persica_gdr_reftransV1_0035110","p.persica_gdr_reftransV1_0035110")</f>
        <v>p.persica_gdr_reftransV1_0035110</v>
      </c>
      <c r="B679" s="2">
        <v>1491</v>
      </c>
      <c r="C679" s="4" t="str">
        <f>HYPERLINK("http://www.uniprot.org/uniprot/M5VRG9","M5VRG9")</f>
        <v>M5VRG9</v>
      </c>
      <c r="D679" s="2" t="s">
        <v>668</v>
      </c>
      <c r="E679" s="3">
        <v>5.4800000000000003E-91</v>
      </c>
      <c r="F679" s="2">
        <v>745</v>
      </c>
      <c r="G679" s="2">
        <v>100</v>
      </c>
      <c r="H679" s="2">
        <v>153</v>
      </c>
      <c r="I679" s="2">
        <v>311</v>
      </c>
      <c r="J679" s="2">
        <v>769</v>
      </c>
      <c r="K679" s="2">
        <v>1</v>
      </c>
      <c r="L679" s="2">
        <v>153</v>
      </c>
    </row>
    <row r="680" spans="1:12" x14ac:dyDescent="0.25">
      <c r="A680" s="4" t="str">
        <f>HYPERLINK("http://www.rosaceae.org/Prunus/Prunus_persica/p.persica_gdr_reftransV1_0036160","p.persica_gdr_reftransV1_0036160")</f>
        <v>p.persica_gdr_reftransV1_0036160</v>
      </c>
      <c r="B680" s="2">
        <v>2512</v>
      </c>
      <c r="C680" s="4" t="str">
        <f>HYPERLINK("http://www.uniprot.org/uniprot/M5WST2","M5WST2")</f>
        <v>M5WST2</v>
      </c>
      <c r="D680" s="2" t="s">
        <v>669</v>
      </c>
      <c r="E680" s="3">
        <v>0</v>
      </c>
      <c r="F680" s="2">
        <v>1836</v>
      </c>
      <c r="G680" s="2">
        <v>99</v>
      </c>
      <c r="H680" s="2">
        <v>342</v>
      </c>
      <c r="I680" s="2">
        <v>422</v>
      </c>
      <c r="J680" s="2">
        <v>1447</v>
      </c>
      <c r="K680" s="2">
        <v>196</v>
      </c>
      <c r="L680" s="2">
        <v>537</v>
      </c>
    </row>
    <row r="681" spans="1:12" x14ac:dyDescent="0.25">
      <c r="A681" s="4" t="str">
        <f>HYPERLINK("http://www.rosaceae.org/Prunus/Prunus_persica/p.persica_gdr_reftransV1_0037560","p.persica_gdr_reftransV1_0037560")</f>
        <v>p.persica_gdr_reftransV1_0037560</v>
      </c>
      <c r="B681" s="2">
        <v>1148</v>
      </c>
      <c r="C681" s="4" t="str">
        <f>HYPERLINK("http://www.uniprot.org/uniprot/M5X6C2","M5X6C2")</f>
        <v>M5X6C2</v>
      </c>
      <c r="D681" s="2" t="s">
        <v>670</v>
      </c>
      <c r="E681" s="3">
        <v>2.6199999999999999E-143</v>
      </c>
      <c r="F681" s="2">
        <v>1076</v>
      </c>
      <c r="G681" s="2">
        <v>100</v>
      </c>
      <c r="H681" s="2">
        <v>241</v>
      </c>
      <c r="I681" s="2">
        <v>241</v>
      </c>
      <c r="J681" s="2">
        <v>963</v>
      </c>
      <c r="K681" s="2">
        <v>1</v>
      </c>
      <c r="L681" s="2">
        <v>241</v>
      </c>
    </row>
    <row r="682" spans="1:12" x14ac:dyDescent="0.25">
      <c r="A682" s="4" t="str">
        <f>HYPERLINK("http://www.rosaceae.org/Prunus/Prunus_persica/p.persica_gdr_reftransV1_0038260","p.persica_gdr_reftransV1_0038260")</f>
        <v>p.persica_gdr_reftransV1_0038260</v>
      </c>
      <c r="B682" s="2">
        <v>5274</v>
      </c>
      <c r="C682" s="4" t="str">
        <f>HYPERLINK("http://www.uniprot.org/uniprot/M5XAN7","M5XAN7")</f>
        <v>M5XAN7</v>
      </c>
      <c r="D682" s="2" t="s">
        <v>671</v>
      </c>
      <c r="E682" s="3">
        <v>6.3800000000000002E-162</v>
      </c>
      <c r="F682" s="2">
        <v>1329</v>
      </c>
      <c r="G682" s="2">
        <v>100</v>
      </c>
      <c r="H682" s="2">
        <v>249</v>
      </c>
      <c r="I682" s="2">
        <v>2360</v>
      </c>
      <c r="J682" s="2">
        <v>3106</v>
      </c>
      <c r="K682" s="2">
        <v>142</v>
      </c>
      <c r="L682" s="2">
        <v>390</v>
      </c>
    </row>
    <row r="683" spans="1:12" x14ac:dyDescent="0.25">
      <c r="A683" s="4" t="str">
        <f>HYPERLINK("http://www.rosaceae.org/Prunus/Prunus_persica/p.persica_gdr_reftransV1_0038960","p.persica_gdr_reftransV1_0038960")</f>
        <v>p.persica_gdr_reftransV1_0038960</v>
      </c>
      <c r="B683" s="2">
        <v>1388</v>
      </c>
      <c r="C683" s="4" t="str">
        <f>HYPERLINK("http://www.uniprot.org/uniprot/M5XRI7","M5XRI7")</f>
        <v>M5XRI7</v>
      </c>
      <c r="D683" s="2" t="s">
        <v>672</v>
      </c>
      <c r="E683" s="3">
        <v>0</v>
      </c>
      <c r="F683" s="2">
        <v>1501</v>
      </c>
      <c r="G683" s="2">
        <v>100</v>
      </c>
      <c r="H683" s="2">
        <v>282</v>
      </c>
      <c r="I683" s="2">
        <v>1</v>
      </c>
      <c r="J683" s="2">
        <v>846</v>
      </c>
      <c r="K683" s="2">
        <v>363</v>
      </c>
      <c r="L683" s="2">
        <v>644</v>
      </c>
    </row>
    <row r="684" spans="1:12" x14ac:dyDescent="0.25">
      <c r="A684" s="4" t="str">
        <f>HYPERLINK("http://www.rosaceae.org/Prunus/Prunus_persica/p.persica_gdr_reftransV1_0039310","p.persica_gdr_reftransV1_0039310")</f>
        <v>p.persica_gdr_reftransV1_0039310</v>
      </c>
      <c r="B684" s="2">
        <v>5280</v>
      </c>
      <c r="C684" s="4" t="str">
        <f>HYPERLINK("http://www.uniprot.org/uniprot/M5X7N9","M5X7N9")</f>
        <v>M5X7N9</v>
      </c>
      <c r="D684" s="2" t="s">
        <v>673</v>
      </c>
      <c r="E684" s="3">
        <v>0</v>
      </c>
      <c r="F684" s="2">
        <v>5311</v>
      </c>
      <c r="G684" s="2">
        <v>92</v>
      </c>
      <c r="H684" s="2">
        <v>1243</v>
      </c>
      <c r="I684" s="2">
        <v>976</v>
      </c>
      <c r="J684" s="2">
        <v>4689</v>
      </c>
      <c r="K684" s="2">
        <v>1</v>
      </c>
      <c r="L684" s="2">
        <v>1234</v>
      </c>
    </row>
    <row r="685" spans="1:12" x14ac:dyDescent="0.25">
      <c r="A685" s="4" t="str">
        <f>HYPERLINK("http://www.rosaceae.org/Prunus/Prunus_persica/p.persica_gdr_reftransV1_0040710","p.persica_gdr_reftransV1_0040710")</f>
        <v>p.persica_gdr_reftransV1_0040710</v>
      </c>
      <c r="B685" s="2">
        <v>7423</v>
      </c>
      <c r="C685" s="4" t="str">
        <f>HYPERLINK("http://www.uniprot.org/uniprot/M5Y891","M5Y891")</f>
        <v>M5Y891</v>
      </c>
      <c r="D685" s="2" t="s">
        <v>674</v>
      </c>
      <c r="E685" s="3">
        <v>2.18E-154</v>
      </c>
      <c r="F685" s="2">
        <v>1333</v>
      </c>
      <c r="G685" s="2">
        <v>100</v>
      </c>
      <c r="H685" s="2">
        <v>263</v>
      </c>
      <c r="I685" s="2">
        <v>2404</v>
      </c>
      <c r="J685" s="2">
        <v>3192</v>
      </c>
      <c r="K685" s="2">
        <v>514</v>
      </c>
      <c r="L685" s="2">
        <v>776</v>
      </c>
    </row>
    <row r="686" spans="1:12" x14ac:dyDescent="0.25">
      <c r="A686" s="4" t="str">
        <f>HYPERLINK("http://www.rosaceae.org/Prunus/Prunus_persica/p.persica_gdr_reftransV1_0041410","p.persica_gdr_reftransV1_0041410")</f>
        <v>p.persica_gdr_reftransV1_0041410</v>
      </c>
      <c r="B686" s="2">
        <v>3814</v>
      </c>
      <c r="C686" s="4" t="str">
        <f>HYPERLINK("http://www.uniprot.org/uniprot/M5WJ89","M5WJ89")</f>
        <v>M5WJ89</v>
      </c>
      <c r="D686" s="2" t="s">
        <v>675</v>
      </c>
      <c r="E686" s="3">
        <v>0</v>
      </c>
      <c r="F686" s="2">
        <v>3214</v>
      </c>
      <c r="G686" s="2">
        <v>95</v>
      </c>
      <c r="H686" s="2">
        <v>636</v>
      </c>
      <c r="I686" s="2">
        <v>290</v>
      </c>
      <c r="J686" s="2">
        <v>2188</v>
      </c>
      <c r="K686" s="2">
        <v>1</v>
      </c>
      <c r="L686" s="2">
        <v>613</v>
      </c>
    </row>
    <row r="687" spans="1:12" x14ac:dyDescent="0.25">
      <c r="A687" s="4" t="str">
        <f>HYPERLINK("http://www.rosaceae.org/Prunus/Prunus_persica/p.persica_gdr_reftransV1_0042110","p.persica_gdr_reftransV1_0042110")</f>
        <v>p.persica_gdr_reftransV1_0042110</v>
      </c>
      <c r="B687" s="2">
        <v>2106</v>
      </c>
      <c r="C687" s="4" t="str">
        <f>HYPERLINK("http://www.uniprot.org/uniprot/V4RRP9","V4RRP9")</f>
        <v>V4RRP9</v>
      </c>
      <c r="D687" s="2" t="s">
        <v>676</v>
      </c>
      <c r="E687" s="3">
        <v>0</v>
      </c>
      <c r="F687" s="2">
        <v>1875</v>
      </c>
      <c r="G687" s="2">
        <v>87</v>
      </c>
      <c r="H687" s="2">
        <v>416</v>
      </c>
      <c r="I687" s="2">
        <v>108</v>
      </c>
      <c r="J687" s="2">
        <v>1355</v>
      </c>
      <c r="K687" s="2">
        <v>1</v>
      </c>
      <c r="L687" s="2">
        <v>416</v>
      </c>
    </row>
    <row r="688" spans="1:12" x14ac:dyDescent="0.25">
      <c r="A688" s="4" t="str">
        <f>HYPERLINK("http://www.rosaceae.org/Prunus/Prunus_persica/p.persica_gdr_reftransV1_0043160","p.persica_gdr_reftransV1_0043160")</f>
        <v>p.persica_gdr_reftransV1_0043160</v>
      </c>
      <c r="B688" s="2">
        <v>913</v>
      </c>
      <c r="C688" s="4" t="str">
        <f>HYPERLINK("http://www.uniprot.org/uniprot/M5WWU8","M5WWU8")</f>
        <v>M5WWU8</v>
      </c>
      <c r="D688" s="2" t="s">
        <v>677</v>
      </c>
      <c r="E688" s="3">
        <v>5.6399999999999999E-170</v>
      </c>
      <c r="F688" s="2">
        <v>1275</v>
      </c>
      <c r="G688" s="2">
        <v>99</v>
      </c>
      <c r="H688" s="2">
        <v>262</v>
      </c>
      <c r="I688" s="2">
        <v>3</v>
      </c>
      <c r="J688" s="2">
        <v>788</v>
      </c>
      <c r="K688" s="2">
        <v>304</v>
      </c>
      <c r="L688" s="2">
        <v>565</v>
      </c>
    </row>
    <row r="689" spans="1:12" x14ac:dyDescent="0.25">
      <c r="A689" s="4" t="str">
        <f>HYPERLINK("http://www.rosaceae.org/Prunus/Prunus_persica/p.persica_gdr_reftransV1_0043510","p.persica_gdr_reftransV1_0043510")</f>
        <v>p.persica_gdr_reftransV1_0043510</v>
      </c>
      <c r="B689" s="2">
        <v>1326</v>
      </c>
      <c r="C689" s="4" t="str">
        <f>HYPERLINK("http://www.uniprot.org/uniprot/M5VKR1","M5VKR1")</f>
        <v>M5VKR1</v>
      </c>
      <c r="D689" s="2" t="s">
        <v>678</v>
      </c>
      <c r="E689" s="3">
        <v>0</v>
      </c>
      <c r="F689" s="2">
        <v>1554</v>
      </c>
      <c r="G689" s="2">
        <v>100</v>
      </c>
      <c r="H689" s="2">
        <v>290</v>
      </c>
      <c r="I689" s="2">
        <v>308</v>
      </c>
      <c r="J689" s="2">
        <v>1177</v>
      </c>
      <c r="K689" s="2">
        <v>1</v>
      </c>
      <c r="L689" s="2">
        <v>290</v>
      </c>
    </row>
    <row r="690" spans="1:12" x14ac:dyDescent="0.25">
      <c r="A690" s="4" t="str">
        <f>HYPERLINK("http://www.rosaceae.org/Prunus/Prunus_persica/p.persica_gdr_reftransV1_0043860","p.persica_gdr_reftransV1_0043860")</f>
        <v>p.persica_gdr_reftransV1_0043860</v>
      </c>
      <c r="B690" s="2">
        <v>1228</v>
      </c>
      <c r="C690" s="4" t="str">
        <f>HYPERLINK("http://www.uniprot.org/uniprot/M5X1Y0","M5X1Y0")</f>
        <v>M5X1Y0</v>
      </c>
      <c r="D690" s="2" t="s">
        <v>679</v>
      </c>
      <c r="E690" s="3">
        <v>2.7600000000000001E-152</v>
      </c>
      <c r="F690" s="2">
        <v>1148</v>
      </c>
      <c r="G690" s="2">
        <v>100</v>
      </c>
      <c r="H690" s="2">
        <v>294</v>
      </c>
      <c r="I690" s="2">
        <v>345</v>
      </c>
      <c r="J690" s="2">
        <v>1226</v>
      </c>
      <c r="K690" s="2">
        <v>42</v>
      </c>
      <c r="L690" s="2">
        <v>335</v>
      </c>
    </row>
    <row r="691" spans="1:12" x14ac:dyDescent="0.25">
      <c r="A691" s="4" t="str">
        <f>HYPERLINK("http://www.rosaceae.org/Prunus/Prunus_persica/p.persica_gdr_reftransV1_0044210","p.persica_gdr_reftransV1_0044210")</f>
        <v>p.persica_gdr_reftransV1_0044210</v>
      </c>
      <c r="B691" s="2">
        <v>1552</v>
      </c>
      <c r="C691" s="4" t="str">
        <f>HYPERLINK("http://www.uniprot.org/uniprot/M5X0I6","M5X0I6")</f>
        <v>M5X0I6</v>
      </c>
      <c r="D691" s="2" t="s">
        <v>680</v>
      </c>
      <c r="E691" s="3">
        <v>0</v>
      </c>
      <c r="F691" s="2">
        <v>1907</v>
      </c>
      <c r="G691" s="2">
        <v>98</v>
      </c>
      <c r="H691" s="2">
        <v>384</v>
      </c>
      <c r="I691" s="2">
        <v>86</v>
      </c>
      <c r="J691" s="2">
        <v>1237</v>
      </c>
      <c r="K691" s="2">
        <v>1</v>
      </c>
      <c r="L691" s="2">
        <v>384</v>
      </c>
    </row>
    <row r="692" spans="1:12" x14ac:dyDescent="0.25">
      <c r="A692" s="4" t="str">
        <f>HYPERLINK("http://www.rosaceae.org/Prunus/Prunus_persica/p.persica_gdr_reftransV1_0044910","p.persica_gdr_reftransV1_0044910")</f>
        <v>p.persica_gdr_reftransV1_0044910</v>
      </c>
      <c r="B692" s="2">
        <v>1951</v>
      </c>
      <c r="C692" s="4" t="str">
        <f>HYPERLINK("http://www.uniprot.org/uniprot/M5VVK5","M5VVK5")</f>
        <v>M5VVK5</v>
      </c>
      <c r="D692" s="2" t="s">
        <v>681</v>
      </c>
      <c r="E692" s="3">
        <v>0</v>
      </c>
      <c r="F692" s="2">
        <v>2221</v>
      </c>
      <c r="G692" s="2">
        <v>100</v>
      </c>
      <c r="H692" s="2">
        <v>476</v>
      </c>
      <c r="I692" s="2">
        <v>477</v>
      </c>
      <c r="J692" s="2">
        <v>1904</v>
      </c>
      <c r="K692" s="2">
        <v>172</v>
      </c>
      <c r="L692" s="2">
        <v>647</v>
      </c>
    </row>
    <row r="693" spans="1:12" x14ac:dyDescent="0.25">
      <c r="A693" s="4" t="str">
        <f>HYPERLINK("http://www.rosaceae.org/Prunus/Prunus_persica/p.persica_gdr_reftransV1_0046310","p.persica_gdr_reftransV1_0046310")</f>
        <v>p.persica_gdr_reftransV1_0046310</v>
      </c>
      <c r="B693" s="2">
        <v>966</v>
      </c>
      <c r="C693" s="4" t="str">
        <f>HYPERLINK("http://www.uniprot.org/uniprot/M5XSK2","M5XSK2")</f>
        <v>M5XSK2</v>
      </c>
      <c r="D693" s="2" t="s">
        <v>682</v>
      </c>
      <c r="E693" s="3">
        <v>4.6799999999999998E-110</v>
      </c>
      <c r="F693" s="2">
        <v>854</v>
      </c>
      <c r="G693" s="2">
        <v>100</v>
      </c>
      <c r="H693" s="2">
        <v>181</v>
      </c>
      <c r="I693" s="2">
        <v>424</v>
      </c>
      <c r="J693" s="2">
        <v>966</v>
      </c>
      <c r="K693" s="2">
        <v>1</v>
      </c>
      <c r="L693" s="2">
        <v>181</v>
      </c>
    </row>
    <row r="694" spans="1:12" x14ac:dyDescent="0.25">
      <c r="A694" s="4" t="str">
        <f>HYPERLINK("http://www.rosaceae.org/Prunus/Prunus_persica/p.persica_gdr_reftransV1_0046660","p.persica_gdr_reftransV1_0046660")</f>
        <v>p.persica_gdr_reftransV1_0046660</v>
      </c>
      <c r="B694" s="2">
        <v>1024</v>
      </c>
      <c r="C694" s="4" t="str">
        <f>HYPERLINK("http://www.uniprot.org/uniprot/A0A061GBM4","A0A061GBM4")</f>
        <v>A0A061GBM4</v>
      </c>
      <c r="D694" s="2" t="s">
        <v>683</v>
      </c>
      <c r="E694" s="3">
        <v>1.7799999999999999E-98</v>
      </c>
      <c r="F694" s="2">
        <v>775</v>
      </c>
      <c r="G694" s="2">
        <v>74</v>
      </c>
      <c r="H694" s="2">
        <v>240</v>
      </c>
      <c r="I694" s="2">
        <v>109</v>
      </c>
      <c r="J694" s="2">
        <v>825</v>
      </c>
      <c r="K694" s="2">
        <v>1</v>
      </c>
      <c r="L694" s="2">
        <v>240</v>
      </c>
    </row>
    <row r="695" spans="1:12" x14ac:dyDescent="0.25">
      <c r="A695" s="4" t="str">
        <f>HYPERLINK("http://www.rosaceae.org/Prunus/Prunus_persica/p.persica_gdr_reftransV1_0047010","p.persica_gdr_reftransV1_0047010")</f>
        <v>p.persica_gdr_reftransV1_0047010</v>
      </c>
      <c r="B695" s="2">
        <v>376</v>
      </c>
      <c r="C695" s="4" t="str">
        <f>HYPERLINK("http://www.uniprot.org/uniprot/M5VMV8","M5VMV8")</f>
        <v>M5VMV8</v>
      </c>
      <c r="D695" s="2" t="s">
        <v>684</v>
      </c>
      <c r="E695" s="3">
        <v>5.5900000000000003E-50</v>
      </c>
      <c r="F695" s="2">
        <v>445</v>
      </c>
      <c r="G695" s="2">
        <v>100</v>
      </c>
      <c r="H695" s="2">
        <v>85</v>
      </c>
      <c r="I695" s="2">
        <v>3</v>
      </c>
      <c r="J695" s="2">
        <v>257</v>
      </c>
      <c r="K695" s="2">
        <v>1</v>
      </c>
      <c r="L695" s="2">
        <v>85</v>
      </c>
    </row>
    <row r="696" spans="1:12" x14ac:dyDescent="0.25">
      <c r="A696" s="4" t="str">
        <f>HYPERLINK("http://www.rosaceae.org/Prunus/Prunus_persica/p.persica_gdr_reftransV1_0047360","p.persica_gdr_reftransV1_0047360")</f>
        <v>p.persica_gdr_reftransV1_0047360</v>
      </c>
      <c r="B696" s="2">
        <v>536</v>
      </c>
      <c r="C696" s="4" t="str">
        <f>HYPERLINK("http://www.uniprot.org/uniprot/M5VQ40","M5VQ40")</f>
        <v>M5VQ40</v>
      </c>
      <c r="D696" s="2" t="s">
        <v>685</v>
      </c>
      <c r="E696" s="3">
        <v>1.24E-32</v>
      </c>
      <c r="F696" s="2">
        <v>322</v>
      </c>
      <c r="G696" s="2">
        <v>93</v>
      </c>
      <c r="H696" s="2">
        <v>69</v>
      </c>
      <c r="I696" s="2">
        <v>330</v>
      </c>
      <c r="J696" s="2">
        <v>536</v>
      </c>
      <c r="K696" s="2">
        <v>126</v>
      </c>
      <c r="L696" s="2">
        <v>194</v>
      </c>
    </row>
    <row r="697" spans="1:12" x14ac:dyDescent="0.25">
      <c r="A697" s="4" t="str">
        <f>HYPERLINK("http://www.rosaceae.org/Prunus/Prunus_persica/p.persica_gdr_reftransV1_0047710","p.persica_gdr_reftransV1_0047710")</f>
        <v>p.persica_gdr_reftransV1_0047710</v>
      </c>
      <c r="B697" s="2">
        <v>677</v>
      </c>
      <c r="C697" s="4" t="str">
        <f>HYPERLINK("http://www.uniprot.org/uniprot/M5X0S4","M5X0S4")</f>
        <v>M5X0S4</v>
      </c>
      <c r="D697" s="2" t="s">
        <v>686</v>
      </c>
      <c r="E697" s="3">
        <v>1.14E-55</v>
      </c>
      <c r="F697" s="2">
        <v>470</v>
      </c>
      <c r="G697" s="2">
        <v>100</v>
      </c>
      <c r="H697" s="2">
        <v>134</v>
      </c>
      <c r="I697" s="2">
        <v>188</v>
      </c>
      <c r="J697" s="2">
        <v>589</v>
      </c>
      <c r="K697" s="2">
        <v>5</v>
      </c>
      <c r="L697" s="2">
        <v>138</v>
      </c>
    </row>
    <row r="698" spans="1:12" x14ac:dyDescent="0.25">
      <c r="A698" s="4" t="str">
        <f>HYPERLINK("http://www.rosaceae.org/Prunus/Prunus_persica/p.persica_gdr_reftransV1_0048060","p.persica_gdr_reftransV1_0048060")</f>
        <v>p.persica_gdr_reftransV1_0048060</v>
      </c>
      <c r="B698" s="2">
        <v>1671</v>
      </c>
      <c r="C698" s="4" t="str">
        <f>HYPERLINK("http://www.uniprot.org/uniprot/M5X5A8","M5X5A8")</f>
        <v>M5X5A8</v>
      </c>
      <c r="D698" s="2" t="s">
        <v>687</v>
      </c>
      <c r="E698" s="3">
        <v>0</v>
      </c>
      <c r="F698" s="2">
        <v>1996</v>
      </c>
      <c r="G698" s="2">
        <v>100</v>
      </c>
      <c r="H698" s="2">
        <v>385</v>
      </c>
      <c r="I698" s="2">
        <v>294</v>
      </c>
      <c r="J698" s="2">
        <v>1448</v>
      </c>
      <c r="K698" s="2">
        <v>1</v>
      </c>
      <c r="L698" s="2">
        <v>385</v>
      </c>
    </row>
    <row r="699" spans="1:12" x14ac:dyDescent="0.25">
      <c r="A699" s="4" t="str">
        <f>HYPERLINK("http://www.rosaceae.org/Prunus/Prunus_persica/p.persica_gdr_reftransV1_0048410","p.persica_gdr_reftransV1_0048410")</f>
        <v>p.persica_gdr_reftransV1_0048410</v>
      </c>
      <c r="B699" s="2">
        <v>319</v>
      </c>
      <c r="C699" s="4" t="str">
        <f>HYPERLINK("http://www.uniprot.org/uniprot/M5X451","M5X451")</f>
        <v>M5X451</v>
      </c>
      <c r="D699" s="2" t="s">
        <v>688</v>
      </c>
      <c r="E699" s="3">
        <v>2.39E-70</v>
      </c>
      <c r="F699" s="2">
        <v>582</v>
      </c>
      <c r="G699" s="2">
        <v>100</v>
      </c>
      <c r="H699" s="2">
        <v>106</v>
      </c>
      <c r="I699" s="2">
        <v>1</v>
      </c>
      <c r="J699" s="2">
        <v>318</v>
      </c>
      <c r="K699" s="2">
        <v>343</v>
      </c>
      <c r="L699" s="2">
        <v>448</v>
      </c>
    </row>
    <row r="700" spans="1:12" x14ac:dyDescent="0.25">
      <c r="A700" s="4" t="str">
        <f>HYPERLINK("http://www.rosaceae.org/Prunus/Prunus_persica/p.persica_gdr_reftransV1_0000011","p.persica_gdr_reftransV1_0000011")</f>
        <v>p.persica_gdr_reftransV1_0000011</v>
      </c>
      <c r="B700" s="2">
        <v>2081</v>
      </c>
      <c r="C700" s="4" t="str">
        <f>HYPERLINK("http://www.uniprot.org/uniprot/M5VWK9","M5VWK9")</f>
        <v>M5VWK9</v>
      </c>
      <c r="D700" s="2" t="s">
        <v>689</v>
      </c>
      <c r="E700" s="3">
        <v>0</v>
      </c>
      <c r="F700" s="2">
        <v>2693</v>
      </c>
      <c r="G700" s="2">
        <v>100</v>
      </c>
      <c r="H700" s="2">
        <v>631</v>
      </c>
      <c r="I700" s="2">
        <v>85</v>
      </c>
      <c r="J700" s="2">
        <v>1977</v>
      </c>
      <c r="K700" s="2">
        <v>1</v>
      </c>
      <c r="L700" s="2">
        <v>631</v>
      </c>
    </row>
    <row r="701" spans="1:12" x14ac:dyDescent="0.25">
      <c r="A701" s="4" t="str">
        <f>HYPERLINK("http://www.rosaceae.org/Prunus/Prunus_persica/p.persica_gdr_reftransV1_0000361","p.persica_gdr_reftransV1_0000361")</f>
        <v>p.persica_gdr_reftransV1_0000361</v>
      </c>
      <c r="B701" s="2">
        <v>933</v>
      </c>
      <c r="C701" s="4" t="str">
        <f>HYPERLINK("http://www.uniprot.org/uniprot/M5X9A1","M5X9A1")</f>
        <v>M5X9A1</v>
      </c>
      <c r="D701" s="2" t="s">
        <v>690</v>
      </c>
      <c r="E701" s="3">
        <v>0</v>
      </c>
      <c r="F701" s="2">
        <v>1590</v>
      </c>
      <c r="G701" s="2">
        <v>100</v>
      </c>
      <c r="H701" s="2">
        <v>310</v>
      </c>
      <c r="I701" s="2">
        <v>2</v>
      </c>
      <c r="J701" s="2">
        <v>931</v>
      </c>
      <c r="K701" s="2">
        <v>21</v>
      </c>
      <c r="L701" s="2">
        <v>330</v>
      </c>
    </row>
    <row r="702" spans="1:12" x14ac:dyDescent="0.25">
      <c r="A702" s="4" t="str">
        <f>HYPERLINK("http://www.rosaceae.org/Prunus/Prunus_persica/p.persica_gdr_reftransV1_0000711","p.persica_gdr_reftransV1_0000711")</f>
        <v>p.persica_gdr_reftransV1_0000711</v>
      </c>
      <c r="B702" s="2">
        <v>692</v>
      </c>
      <c r="C702" s="4" t="str">
        <f>HYPERLINK("http://www.uniprot.org/uniprot/M5XDS5","M5XDS5")</f>
        <v>M5XDS5</v>
      </c>
      <c r="D702" s="2" t="s">
        <v>691</v>
      </c>
      <c r="E702" s="3">
        <v>1.2499999999999999E-149</v>
      </c>
      <c r="F702" s="2">
        <v>1128</v>
      </c>
      <c r="G702" s="2">
        <v>93</v>
      </c>
      <c r="H702" s="2">
        <v>230</v>
      </c>
      <c r="I702" s="2">
        <v>3</v>
      </c>
      <c r="J702" s="2">
        <v>692</v>
      </c>
      <c r="K702" s="2">
        <v>10</v>
      </c>
      <c r="L702" s="2">
        <v>235</v>
      </c>
    </row>
    <row r="703" spans="1:12" x14ac:dyDescent="0.25">
      <c r="A703" s="4" t="str">
        <f>HYPERLINK("http://www.rosaceae.org/Prunus/Prunus_persica/p.persica_gdr_reftransV1_0001061","p.persica_gdr_reftransV1_0001061")</f>
        <v>p.persica_gdr_reftransV1_0001061</v>
      </c>
      <c r="B703" s="2">
        <v>1436</v>
      </c>
      <c r="C703" s="4" t="str">
        <f>HYPERLINK("http://www.uniprot.org/uniprot/M5W438","M5W438")</f>
        <v>M5W438</v>
      </c>
      <c r="D703" s="2" t="s">
        <v>692</v>
      </c>
      <c r="E703" s="3">
        <v>0</v>
      </c>
      <c r="F703" s="2">
        <v>1765</v>
      </c>
      <c r="G703" s="2">
        <v>100</v>
      </c>
      <c r="H703" s="2">
        <v>344</v>
      </c>
      <c r="I703" s="2">
        <v>178</v>
      </c>
      <c r="J703" s="2">
        <v>1209</v>
      </c>
      <c r="K703" s="2">
        <v>1</v>
      </c>
      <c r="L703" s="2">
        <v>344</v>
      </c>
    </row>
    <row r="704" spans="1:12" x14ac:dyDescent="0.25">
      <c r="A704" s="4" t="str">
        <f>HYPERLINK("http://www.rosaceae.org/Prunus/Prunus_persica/p.persica_gdr_reftransV1_0001411","p.persica_gdr_reftransV1_0001411")</f>
        <v>p.persica_gdr_reftransV1_0001411</v>
      </c>
      <c r="B704" s="2">
        <v>1533</v>
      </c>
      <c r="C704" s="4" t="str">
        <f>HYPERLINK("http://www.uniprot.org/uniprot/M5W7K4","M5W7K4")</f>
        <v>M5W7K4</v>
      </c>
      <c r="D704" s="2" t="s">
        <v>693</v>
      </c>
      <c r="E704" s="3">
        <v>0</v>
      </c>
      <c r="F704" s="2">
        <v>2458</v>
      </c>
      <c r="G704" s="2">
        <v>100</v>
      </c>
      <c r="H704" s="2">
        <v>494</v>
      </c>
      <c r="I704" s="2">
        <v>50</v>
      </c>
      <c r="J704" s="2">
        <v>1531</v>
      </c>
      <c r="K704" s="2">
        <v>117</v>
      </c>
      <c r="L704" s="2">
        <v>610</v>
      </c>
    </row>
    <row r="705" spans="1:12" x14ac:dyDescent="0.25">
      <c r="A705" s="4" t="str">
        <f>HYPERLINK("http://www.rosaceae.org/Prunus/Prunus_persica/p.persica_gdr_reftransV1_0001761","p.persica_gdr_reftransV1_0001761")</f>
        <v>p.persica_gdr_reftransV1_0001761</v>
      </c>
      <c r="B705" s="2">
        <v>488</v>
      </c>
      <c r="C705" s="4" t="str">
        <f>HYPERLINK("http://www.uniprot.org/uniprot/M5W1M5","M5W1M5")</f>
        <v>M5W1M5</v>
      </c>
      <c r="D705" s="2" t="s">
        <v>694</v>
      </c>
      <c r="E705" s="3">
        <v>3.9700000000000002E-12</v>
      </c>
      <c r="F705" s="2">
        <v>170</v>
      </c>
      <c r="G705" s="2">
        <v>100</v>
      </c>
      <c r="H705" s="2">
        <v>33</v>
      </c>
      <c r="I705" s="2">
        <v>251</v>
      </c>
      <c r="J705" s="2">
        <v>349</v>
      </c>
      <c r="K705" s="2">
        <v>25</v>
      </c>
      <c r="L705" s="2">
        <v>57</v>
      </c>
    </row>
    <row r="706" spans="1:12" x14ac:dyDescent="0.25">
      <c r="A706" s="4" t="str">
        <f>HYPERLINK("http://www.rosaceae.org/Prunus/Prunus_persica/p.persica_gdr_reftransV1_0002111","p.persica_gdr_reftransV1_0002111")</f>
        <v>p.persica_gdr_reftransV1_0002111</v>
      </c>
      <c r="B706" s="2">
        <v>345</v>
      </c>
      <c r="C706" s="4" t="str">
        <f>HYPERLINK("http://www.uniprot.org/uniprot/M5VVF2","M5VVF2")</f>
        <v>M5VVF2</v>
      </c>
      <c r="D706" s="2" t="s">
        <v>695</v>
      </c>
      <c r="E706" s="3">
        <v>2.8099999999999999E-46</v>
      </c>
      <c r="F706" s="2">
        <v>429</v>
      </c>
      <c r="G706" s="2">
        <v>92</v>
      </c>
      <c r="H706" s="2">
        <v>95</v>
      </c>
      <c r="I706" s="2">
        <v>29</v>
      </c>
      <c r="J706" s="2">
        <v>313</v>
      </c>
      <c r="K706" s="2">
        <v>698</v>
      </c>
      <c r="L706" s="2">
        <v>792</v>
      </c>
    </row>
    <row r="707" spans="1:12" x14ac:dyDescent="0.25">
      <c r="A707" s="4" t="str">
        <f>HYPERLINK("http://www.rosaceae.org/Prunus/Prunus_persica/p.persica_gdr_reftransV1_0002461","p.persica_gdr_reftransV1_0002461")</f>
        <v>p.persica_gdr_reftransV1_0002461</v>
      </c>
      <c r="B707" s="2">
        <v>864</v>
      </c>
      <c r="C707" s="4" t="str">
        <f>HYPERLINK("http://www.uniprot.org/uniprot/M5VXB5","M5VXB5")</f>
        <v>M5VXB5</v>
      </c>
      <c r="D707" s="2" t="s">
        <v>583</v>
      </c>
      <c r="E707" s="3">
        <v>7.0399999999999999E-70</v>
      </c>
      <c r="F707" s="2">
        <v>573</v>
      </c>
      <c r="G707" s="2">
        <v>100</v>
      </c>
      <c r="H707" s="2">
        <v>152</v>
      </c>
      <c r="I707" s="2">
        <v>365</v>
      </c>
      <c r="J707" s="2">
        <v>820</v>
      </c>
      <c r="K707" s="2">
        <v>1</v>
      </c>
      <c r="L707" s="2">
        <v>152</v>
      </c>
    </row>
    <row r="708" spans="1:12" x14ac:dyDescent="0.25">
      <c r="A708" s="4" t="str">
        <f>HYPERLINK("http://www.rosaceae.org/Prunus/Prunus_persica/p.persica_gdr_reftransV1_0002811","p.persica_gdr_reftransV1_0002811")</f>
        <v>p.persica_gdr_reftransV1_0002811</v>
      </c>
      <c r="B708" s="2">
        <v>322</v>
      </c>
      <c r="C708" s="4" t="str">
        <f>HYPERLINK("http://www.uniprot.org/uniprot/M5XBT1","M5XBT1")</f>
        <v>M5XBT1</v>
      </c>
      <c r="D708" s="2" t="s">
        <v>696</v>
      </c>
      <c r="E708" s="3">
        <v>1.08E-47</v>
      </c>
      <c r="F708" s="2">
        <v>431</v>
      </c>
      <c r="G708" s="2">
        <v>98</v>
      </c>
      <c r="H708" s="2">
        <v>106</v>
      </c>
      <c r="I708" s="2">
        <v>3</v>
      </c>
      <c r="J708" s="2">
        <v>320</v>
      </c>
      <c r="K708" s="2">
        <v>326</v>
      </c>
      <c r="L708" s="2">
        <v>431</v>
      </c>
    </row>
    <row r="709" spans="1:12" x14ac:dyDescent="0.25">
      <c r="A709" s="4" t="str">
        <f>HYPERLINK("http://www.rosaceae.org/Prunus/Prunus_persica/p.persica_gdr_reftransV1_0003161","p.persica_gdr_reftransV1_0003161")</f>
        <v>p.persica_gdr_reftransV1_0003161</v>
      </c>
      <c r="B709" s="2">
        <v>1986</v>
      </c>
      <c r="C709" s="4" t="str">
        <f>HYPERLINK("http://www.uniprot.org/uniprot/M5WWB4","M5WWB4")</f>
        <v>M5WWB4</v>
      </c>
      <c r="D709" s="2" t="s">
        <v>697</v>
      </c>
      <c r="E709" s="3">
        <v>0</v>
      </c>
      <c r="F709" s="2">
        <v>2651</v>
      </c>
      <c r="G709" s="2">
        <v>100</v>
      </c>
      <c r="H709" s="2">
        <v>542</v>
      </c>
      <c r="I709" s="2">
        <v>124</v>
      </c>
      <c r="J709" s="2">
        <v>1749</v>
      </c>
      <c r="K709" s="2">
        <v>1</v>
      </c>
      <c r="L709" s="2">
        <v>542</v>
      </c>
    </row>
    <row r="710" spans="1:12" x14ac:dyDescent="0.25">
      <c r="A710" s="4" t="str">
        <f>HYPERLINK("http://www.rosaceae.org/Prunus/Prunus_persica/p.persica_gdr_reftransV1_0004211","p.persica_gdr_reftransV1_0004211")</f>
        <v>p.persica_gdr_reftransV1_0004211</v>
      </c>
      <c r="B710" s="2">
        <v>3298</v>
      </c>
      <c r="C710" s="4" t="str">
        <f>HYPERLINK("http://www.uniprot.org/uniprot/M5W2R7","M5W2R7")</f>
        <v>M5W2R7</v>
      </c>
      <c r="D710" s="2" t="s">
        <v>698</v>
      </c>
      <c r="E710" s="3">
        <v>0</v>
      </c>
      <c r="F710" s="2">
        <v>4354</v>
      </c>
      <c r="G710" s="2">
        <v>100</v>
      </c>
      <c r="H710" s="2">
        <v>882</v>
      </c>
      <c r="I710" s="2">
        <v>313</v>
      </c>
      <c r="J710" s="2">
        <v>2958</v>
      </c>
      <c r="K710" s="2">
        <v>1</v>
      </c>
      <c r="L710" s="2">
        <v>882</v>
      </c>
    </row>
    <row r="711" spans="1:12" x14ac:dyDescent="0.25">
      <c r="A711" s="4" t="str">
        <f>HYPERLINK("http://www.rosaceae.org/Prunus/Prunus_persica/p.persica_gdr_reftransV1_0005611","p.persica_gdr_reftransV1_0005611")</f>
        <v>p.persica_gdr_reftransV1_0005611</v>
      </c>
      <c r="B711" s="2">
        <v>1029</v>
      </c>
      <c r="C711" s="4" t="str">
        <f>HYPERLINK("http://www.uniprot.org/uniprot/M5XWL6","M5XWL6")</f>
        <v>M5XWL6</v>
      </c>
      <c r="D711" s="2" t="s">
        <v>699</v>
      </c>
      <c r="E711" s="3">
        <v>0</v>
      </c>
      <c r="F711" s="2">
        <v>1437</v>
      </c>
      <c r="G711" s="2">
        <v>100</v>
      </c>
      <c r="H711" s="2">
        <v>273</v>
      </c>
      <c r="I711" s="2">
        <v>209</v>
      </c>
      <c r="J711" s="2">
        <v>1027</v>
      </c>
      <c r="K711" s="2">
        <v>642</v>
      </c>
      <c r="L711" s="2">
        <v>914</v>
      </c>
    </row>
    <row r="712" spans="1:12" x14ac:dyDescent="0.25">
      <c r="A712" s="4" t="str">
        <f>HYPERLINK("http://www.rosaceae.org/Prunus/Prunus_persica/p.persica_gdr_reftransV1_0007361","p.persica_gdr_reftransV1_0007361")</f>
        <v>p.persica_gdr_reftransV1_0007361</v>
      </c>
      <c r="B712" s="2">
        <v>1635</v>
      </c>
      <c r="C712" s="4" t="str">
        <f>HYPERLINK("http://www.uniprot.org/uniprot/M5VN82","M5VN82")</f>
        <v>M5VN82</v>
      </c>
      <c r="D712" s="2" t="s">
        <v>700</v>
      </c>
      <c r="E712" s="3">
        <v>0</v>
      </c>
      <c r="F712" s="2">
        <v>1551</v>
      </c>
      <c r="G712" s="2">
        <v>100</v>
      </c>
      <c r="H712" s="2">
        <v>323</v>
      </c>
      <c r="I712" s="2">
        <v>453</v>
      </c>
      <c r="J712" s="2">
        <v>1421</v>
      </c>
      <c r="K712" s="2">
        <v>19</v>
      </c>
      <c r="L712" s="2">
        <v>341</v>
      </c>
    </row>
    <row r="713" spans="1:12" x14ac:dyDescent="0.25">
      <c r="A713" s="4" t="str">
        <f>HYPERLINK("http://www.rosaceae.org/Prunus/Prunus_persica/p.persica_gdr_reftransV1_0008061","p.persica_gdr_reftransV1_0008061")</f>
        <v>p.persica_gdr_reftransV1_0008061</v>
      </c>
      <c r="B713" s="2">
        <v>3721</v>
      </c>
      <c r="C713" s="4" t="str">
        <f>HYPERLINK("http://www.uniprot.org/uniprot/M5XAE9","M5XAE9")</f>
        <v>M5XAE9</v>
      </c>
      <c r="D713" s="2" t="s">
        <v>701</v>
      </c>
      <c r="E713" s="3">
        <v>0</v>
      </c>
      <c r="F713" s="2">
        <v>3591</v>
      </c>
      <c r="G713" s="2">
        <v>100</v>
      </c>
      <c r="H713" s="2">
        <v>736</v>
      </c>
      <c r="I713" s="2">
        <v>1125</v>
      </c>
      <c r="J713" s="2">
        <v>3332</v>
      </c>
      <c r="K713" s="2">
        <v>1</v>
      </c>
      <c r="L713" s="2">
        <v>736</v>
      </c>
    </row>
    <row r="714" spans="1:12" x14ac:dyDescent="0.25">
      <c r="A714" s="4" t="str">
        <f>HYPERLINK("http://www.rosaceae.org/Prunus/Prunus_persica/p.persica_gdr_reftransV1_0008411","p.persica_gdr_reftransV1_0008411")</f>
        <v>p.persica_gdr_reftransV1_0008411</v>
      </c>
      <c r="B714" s="2">
        <v>546</v>
      </c>
      <c r="C714" s="4" t="str">
        <f>HYPERLINK("http://www.uniprot.org/uniprot/M5XJN5","M5XJN5")</f>
        <v>M5XJN5</v>
      </c>
      <c r="D714" s="2" t="s">
        <v>702</v>
      </c>
      <c r="E714" s="3">
        <v>2.5600000000000001E-40</v>
      </c>
      <c r="F714" s="2">
        <v>375</v>
      </c>
      <c r="G714" s="2">
        <v>100</v>
      </c>
      <c r="H714" s="2">
        <v>82</v>
      </c>
      <c r="I714" s="2">
        <v>64</v>
      </c>
      <c r="J714" s="2">
        <v>309</v>
      </c>
      <c r="K714" s="2">
        <v>1</v>
      </c>
      <c r="L714" s="2">
        <v>82</v>
      </c>
    </row>
    <row r="715" spans="1:12" x14ac:dyDescent="0.25">
      <c r="A715" s="4" t="str">
        <f>HYPERLINK("http://www.rosaceae.org/Prunus/Prunus_persica/p.persica_gdr_reftransV1_0008761","p.persica_gdr_reftransV1_0008761")</f>
        <v>p.persica_gdr_reftransV1_0008761</v>
      </c>
      <c r="B715" s="2">
        <v>1664</v>
      </c>
      <c r="C715" s="4" t="str">
        <f>HYPERLINK("http://www.uniprot.org/uniprot/M5WFU9","M5WFU9")</f>
        <v>M5WFU9</v>
      </c>
      <c r="D715" s="2" t="s">
        <v>703</v>
      </c>
      <c r="E715" s="3">
        <v>0</v>
      </c>
      <c r="F715" s="2">
        <v>1664</v>
      </c>
      <c r="G715" s="2">
        <v>100</v>
      </c>
      <c r="H715" s="2">
        <v>335</v>
      </c>
      <c r="I715" s="2">
        <v>252</v>
      </c>
      <c r="J715" s="2">
        <v>1256</v>
      </c>
      <c r="K715" s="2">
        <v>30</v>
      </c>
      <c r="L715" s="2">
        <v>364</v>
      </c>
    </row>
    <row r="716" spans="1:12" x14ac:dyDescent="0.25">
      <c r="A716" s="4" t="str">
        <f>HYPERLINK("http://www.rosaceae.org/Prunus/Prunus_persica/p.persica_gdr_reftransV1_0009111","p.persica_gdr_reftransV1_0009111")</f>
        <v>p.persica_gdr_reftransV1_0009111</v>
      </c>
      <c r="B716" s="2">
        <v>972</v>
      </c>
      <c r="C716" s="4" t="str">
        <f>HYPERLINK("http://www.uniprot.org/uniprot/M5WGN2","M5WGN2")</f>
        <v>M5WGN2</v>
      </c>
      <c r="D716" s="2" t="s">
        <v>704</v>
      </c>
      <c r="E716" s="3">
        <v>5.1699999999999999E-82</v>
      </c>
      <c r="F716" s="2">
        <v>655</v>
      </c>
      <c r="G716" s="2">
        <v>100</v>
      </c>
      <c r="H716" s="2">
        <v>147</v>
      </c>
      <c r="I716" s="2">
        <v>279</v>
      </c>
      <c r="J716" s="2">
        <v>719</v>
      </c>
      <c r="K716" s="2">
        <v>1</v>
      </c>
      <c r="L716" s="2">
        <v>147</v>
      </c>
    </row>
    <row r="717" spans="1:12" x14ac:dyDescent="0.25">
      <c r="A717" s="4" t="str">
        <f>HYPERLINK("http://www.rosaceae.org/Prunus/Prunus_persica/p.persica_gdr_reftransV1_0009811","p.persica_gdr_reftransV1_0009811")</f>
        <v>p.persica_gdr_reftransV1_0009811</v>
      </c>
      <c r="B717" s="2">
        <v>1613</v>
      </c>
      <c r="C717" s="4" t="str">
        <f>HYPERLINK("http://www.uniprot.org/uniprot/M5XKF9","M5XKF9")</f>
        <v>M5XKF9</v>
      </c>
      <c r="D717" s="2" t="s">
        <v>705</v>
      </c>
      <c r="E717" s="3">
        <v>1.25E-120</v>
      </c>
      <c r="F717" s="2">
        <v>940</v>
      </c>
      <c r="G717" s="2">
        <v>93</v>
      </c>
      <c r="H717" s="2">
        <v>198</v>
      </c>
      <c r="I717" s="2">
        <v>477</v>
      </c>
      <c r="J717" s="2">
        <v>1070</v>
      </c>
      <c r="K717" s="2">
        <v>1</v>
      </c>
      <c r="L717" s="2">
        <v>186</v>
      </c>
    </row>
    <row r="718" spans="1:12" x14ac:dyDescent="0.25">
      <c r="A718" s="4" t="str">
        <f>HYPERLINK("http://www.rosaceae.org/Prunus/Prunus_persica/p.persica_gdr_reftransV1_0011211","p.persica_gdr_reftransV1_0011211")</f>
        <v>p.persica_gdr_reftransV1_0011211</v>
      </c>
      <c r="B718" s="2">
        <v>2639</v>
      </c>
      <c r="C718" s="4" t="str">
        <f>HYPERLINK("http://www.uniprot.org/uniprot/M5W6I5","M5W6I5")</f>
        <v>M5W6I5</v>
      </c>
      <c r="D718" s="2" t="s">
        <v>706</v>
      </c>
      <c r="E718" s="3">
        <v>0</v>
      </c>
      <c r="F718" s="2">
        <v>3569</v>
      </c>
      <c r="G718" s="2">
        <v>100</v>
      </c>
      <c r="H718" s="2">
        <v>767</v>
      </c>
      <c r="I718" s="2">
        <v>138</v>
      </c>
      <c r="J718" s="2">
        <v>2438</v>
      </c>
      <c r="K718" s="2">
        <v>1</v>
      </c>
      <c r="L718" s="2">
        <v>767</v>
      </c>
    </row>
    <row r="719" spans="1:12" x14ac:dyDescent="0.25">
      <c r="A719" s="4" t="str">
        <f>HYPERLINK("http://www.rosaceae.org/Prunus/Prunus_persica/p.persica_gdr_reftransV1_0011911","p.persica_gdr_reftransV1_0011911")</f>
        <v>p.persica_gdr_reftransV1_0011911</v>
      </c>
      <c r="B719" s="2">
        <v>736</v>
      </c>
      <c r="C719" s="4" t="str">
        <f>HYPERLINK("http://www.uniprot.org/uniprot/M5W8Q9","M5W8Q9")</f>
        <v>M5W8Q9</v>
      </c>
      <c r="D719" s="2" t="s">
        <v>707</v>
      </c>
      <c r="E719" s="3">
        <v>2.3099999999999999E-25</v>
      </c>
      <c r="F719" s="2">
        <v>273</v>
      </c>
      <c r="G719" s="2">
        <v>100</v>
      </c>
      <c r="H719" s="2">
        <v>51</v>
      </c>
      <c r="I719" s="2">
        <v>363</v>
      </c>
      <c r="J719" s="2">
        <v>515</v>
      </c>
      <c r="K719" s="2">
        <v>154</v>
      </c>
      <c r="L719" s="2">
        <v>204</v>
      </c>
    </row>
    <row r="720" spans="1:12" x14ac:dyDescent="0.25">
      <c r="A720" s="4" t="str">
        <f>HYPERLINK("http://www.rosaceae.org/Prunus/Prunus_persica/p.persica_gdr_reftransV1_0013311","p.persica_gdr_reftransV1_0013311")</f>
        <v>p.persica_gdr_reftransV1_0013311</v>
      </c>
      <c r="B720" s="2">
        <v>3579</v>
      </c>
      <c r="C720" s="4" t="str">
        <f>HYPERLINK("http://www.uniprot.org/uniprot/M5XCH8","M5XCH8")</f>
        <v>M5XCH8</v>
      </c>
      <c r="D720" s="2" t="s">
        <v>708</v>
      </c>
      <c r="E720" s="3">
        <v>0</v>
      </c>
      <c r="F720" s="2">
        <v>2981</v>
      </c>
      <c r="G720" s="2">
        <v>99</v>
      </c>
      <c r="H720" s="2">
        <v>584</v>
      </c>
      <c r="I720" s="2">
        <v>1442</v>
      </c>
      <c r="J720" s="2">
        <v>3193</v>
      </c>
      <c r="K720" s="2">
        <v>1</v>
      </c>
      <c r="L720" s="2">
        <v>584</v>
      </c>
    </row>
    <row r="721" spans="1:12" x14ac:dyDescent="0.25">
      <c r="A721" s="4" t="str">
        <f>HYPERLINK("http://www.rosaceae.org/Prunus/Prunus_persica/p.persica_gdr_reftransV1_0014011","p.persica_gdr_reftransV1_0014011")</f>
        <v>p.persica_gdr_reftransV1_0014011</v>
      </c>
      <c r="B721" s="2">
        <v>6893</v>
      </c>
      <c r="C721" s="4" t="str">
        <f>HYPERLINK("http://www.uniprot.org/uniprot/M5X1X8","M5X1X8")</f>
        <v>M5X1X8</v>
      </c>
      <c r="D721" s="2" t="s">
        <v>709</v>
      </c>
      <c r="E721" s="3">
        <v>0</v>
      </c>
      <c r="F721" s="2">
        <v>6102</v>
      </c>
      <c r="G721" s="2">
        <v>99</v>
      </c>
      <c r="H721" s="2">
        <v>1288</v>
      </c>
      <c r="I721" s="2">
        <v>2088</v>
      </c>
      <c r="J721" s="2">
        <v>5951</v>
      </c>
      <c r="K721" s="2">
        <v>1</v>
      </c>
      <c r="L721" s="2">
        <v>1277</v>
      </c>
    </row>
    <row r="722" spans="1:12" x14ac:dyDescent="0.25">
      <c r="A722" s="4" t="str">
        <f>HYPERLINK("http://www.rosaceae.org/Prunus/Prunus_persica/p.persica_gdr_reftransV1_0014361","p.persica_gdr_reftransV1_0014361")</f>
        <v>p.persica_gdr_reftransV1_0014361</v>
      </c>
      <c r="B722" s="2">
        <v>1940</v>
      </c>
      <c r="C722" s="4" t="str">
        <f>HYPERLINK("http://www.uniprot.org/uniprot/M5VVX8","M5VVX8")</f>
        <v>M5VVX8</v>
      </c>
      <c r="D722" s="2" t="s">
        <v>710</v>
      </c>
      <c r="E722" s="3">
        <v>0</v>
      </c>
      <c r="F722" s="2">
        <v>2146</v>
      </c>
      <c r="G722" s="2">
        <v>100</v>
      </c>
      <c r="H722" s="2">
        <v>412</v>
      </c>
      <c r="I722" s="2">
        <v>301</v>
      </c>
      <c r="J722" s="2">
        <v>1536</v>
      </c>
      <c r="K722" s="2">
        <v>1</v>
      </c>
      <c r="L722" s="2">
        <v>412</v>
      </c>
    </row>
    <row r="723" spans="1:12" x14ac:dyDescent="0.25">
      <c r="A723" s="4" t="str">
        <f>HYPERLINK("http://www.rosaceae.org/Prunus/Prunus_persica/p.persica_gdr_reftransV1_0014711","p.persica_gdr_reftransV1_0014711")</f>
        <v>p.persica_gdr_reftransV1_0014711</v>
      </c>
      <c r="B723" s="2">
        <v>1114</v>
      </c>
      <c r="C723" s="4" t="str">
        <f>HYPERLINK("http://www.uniprot.org/uniprot/A5BG18","A5BG18")</f>
        <v>A5BG18</v>
      </c>
      <c r="D723" s="2" t="s">
        <v>711</v>
      </c>
      <c r="E723" s="3">
        <v>4.9899999999999998E-134</v>
      </c>
      <c r="F723" s="2">
        <v>1061</v>
      </c>
      <c r="G723" s="2">
        <v>54</v>
      </c>
      <c r="H723" s="2">
        <v>368</v>
      </c>
      <c r="I723" s="2">
        <v>23</v>
      </c>
      <c r="J723" s="2">
        <v>1114</v>
      </c>
      <c r="K723" s="2">
        <v>97</v>
      </c>
      <c r="L723" s="2">
        <v>436</v>
      </c>
    </row>
    <row r="724" spans="1:12" x14ac:dyDescent="0.25">
      <c r="A724" s="4" t="str">
        <f>HYPERLINK("http://www.rosaceae.org/Prunus/Prunus_persica/p.persica_gdr_reftransV1_0015061","p.persica_gdr_reftransV1_0015061")</f>
        <v>p.persica_gdr_reftransV1_0015061</v>
      </c>
      <c r="B724" s="2">
        <v>1202</v>
      </c>
      <c r="C724" s="4" t="str">
        <f>HYPERLINK("http://www.uniprot.org/uniprot/M5XDC8","M5XDC8")</f>
        <v>M5XDC8</v>
      </c>
      <c r="D724" s="2" t="s">
        <v>712</v>
      </c>
      <c r="E724" s="3">
        <v>2.8700000000000002E-150</v>
      </c>
      <c r="F724" s="2">
        <v>1123</v>
      </c>
      <c r="G724" s="2">
        <v>100</v>
      </c>
      <c r="H724" s="2">
        <v>233</v>
      </c>
      <c r="I724" s="2">
        <v>112</v>
      </c>
      <c r="J724" s="2">
        <v>810</v>
      </c>
      <c r="K724" s="2">
        <v>1</v>
      </c>
      <c r="L724" s="2">
        <v>233</v>
      </c>
    </row>
    <row r="725" spans="1:12" x14ac:dyDescent="0.25">
      <c r="A725" s="4" t="str">
        <f>HYPERLINK("http://www.rosaceae.org/Prunus/Prunus_persica/p.persica_gdr_reftransV1_0015761","p.persica_gdr_reftransV1_0015761")</f>
        <v>p.persica_gdr_reftransV1_0015761</v>
      </c>
      <c r="B725" s="2">
        <v>2120</v>
      </c>
      <c r="C725" s="4" t="str">
        <f>HYPERLINK("http://www.uniprot.org/uniprot/M5VUL7","M5VUL7")</f>
        <v>M5VUL7</v>
      </c>
      <c r="D725" s="2" t="s">
        <v>713</v>
      </c>
      <c r="E725" s="3">
        <v>2.0199999999999998E-146</v>
      </c>
      <c r="F725" s="2">
        <v>1151</v>
      </c>
      <c r="G725" s="2">
        <v>100</v>
      </c>
      <c r="H725" s="2">
        <v>277</v>
      </c>
      <c r="I725" s="2">
        <v>106</v>
      </c>
      <c r="J725" s="2">
        <v>936</v>
      </c>
      <c r="K725" s="2">
        <v>1</v>
      </c>
      <c r="L725" s="2">
        <v>277</v>
      </c>
    </row>
    <row r="726" spans="1:12" x14ac:dyDescent="0.25">
      <c r="A726" s="4" t="str">
        <f>HYPERLINK("http://www.rosaceae.org/Prunus/Prunus_persica/p.persica_gdr_reftransV1_0016111","p.persica_gdr_reftransV1_0016111")</f>
        <v>p.persica_gdr_reftransV1_0016111</v>
      </c>
      <c r="B726" s="2">
        <v>3126</v>
      </c>
      <c r="C726" s="4" t="str">
        <f>HYPERLINK("http://www.uniprot.org/uniprot/M5XQY2","M5XQY2")</f>
        <v>M5XQY2</v>
      </c>
      <c r="D726" s="2" t="s">
        <v>714</v>
      </c>
      <c r="E726" s="3">
        <v>0</v>
      </c>
      <c r="F726" s="2">
        <v>2545</v>
      </c>
      <c r="G726" s="2">
        <v>100</v>
      </c>
      <c r="H726" s="2">
        <v>482</v>
      </c>
      <c r="I726" s="2">
        <v>1213</v>
      </c>
      <c r="J726" s="2">
        <v>2658</v>
      </c>
      <c r="K726" s="2">
        <v>1</v>
      </c>
      <c r="L726" s="2">
        <v>482</v>
      </c>
    </row>
    <row r="727" spans="1:12" x14ac:dyDescent="0.25">
      <c r="A727" s="4" t="str">
        <f>HYPERLINK("http://www.rosaceae.org/Prunus/Prunus_persica/p.persica_gdr_reftransV1_0017511","p.persica_gdr_reftransV1_0017511")</f>
        <v>p.persica_gdr_reftransV1_0017511</v>
      </c>
      <c r="B727" s="2">
        <v>2088</v>
      </c>
      <c r="C727" s="4" t="str">
        <f>HYPERLINK("http://www.uniprot.org/uniprot/M5WI17","M5WI17")</f>
        <v>M5WI17</v>
      </c>
      <c r="D727" s="2" t="s">
        <v>715</v>
      </c>
      <c r="E727" s="3">
        <v>0</v>
      </c>
      <c r="F727" s="2">
        <v>2148</v>
      </c>
      <c r="G727" s="2">
        <v>100</v>
      </c>
      <c r="H727" s="2">
        <v>433</v>
      </c>
      <c r="I727" s="2">
        <v>563</v>
      </c>
      <c r="J727" s="2">
        <v>1861</v>
      </c>
      <c r="K727" s="2">
        <v>1</v>
      </c>
      <c r="L727" s="2">
        <v>433</v>
      </c>
    </row>
    <row r="728" spans="1:12" x14ac:dyDescent="0.25">
      <c r="A728" s="4" t="str">
        <f>HYPERLINK("http://www.rosaceae.org/Prunus/Prunus_persica/p.persica_gdr_reftransV1_0017861","p.persica_gdr_reftransV1_0017861")</f>
        <v>p.persica_gdr_reftransV1_0017861</v>
      </c>
      <c r="B728" s="2">
        <v>3717</v>
      </c>
      <c r="C728" s="4" t="str">
        <f>HYPERLINK("http://www.uniprot.org/uniprot/M5XBV9","M5XBV9")</f>
        <v>M5XBV9</v>
      </c>
      <c r="D728" s="2" t="s">
        <v>716</v>
      </c>
      <c r="E728" s="3">
        <v>1.4400000000000001E-137</v>
      </c>
      <c r="F728" s="2">
        <v>1126</v>
      </c>
      <c r="G728" s="2">
        <v>100</v>
      </c>
      <c r="H728" s="2">
        <v>208</v>
      </c>
      <c r="I728" s="2">
        <v>279</v>
      </c>
      <c r="J728" s="2">
        <v>902</v>
      </c>
      <c r="K728" s="2">
        <v>1</v>
      </c>
      <c r="L728" s="2">
        <v>208</v>
      </c>
    </row>
    <row r="729" spans="1:12" x14ac:dyDescent="0.25">
      <c r="A729" s="4" t="str">
        <f>HYPERLINK("http://www.rosaceae.org/Prunus/Prunus_persica/p.persica_gdr_reftransV1_0018211","p.persica_gdr_reftransV1_0018211")</f>
        <v>p.persica_gdr_reftransV1_0018211</v>
      </c>
      <c r="B729" s="2">
        <v>5654</v>
      </c>
      <c r="C729" s="4" t="str">
        <f>HYPERLINK("http://www.uniprot.org/uniprot/M5XJZ8","M5XJZ8")</f>
        <v>M5XJZ8</v>
      </c>
      <c r="D729" s="2" t="s">
        <v>717</v>
      </c>
      <c r="E729" s="3">
        <v>0</v>
      </c>
      <c r="F729" s="2">
        <v>2486</v>
      </c>
      <c r="G729" s="2">
        <v>98</v>
      </c>
      <c r="H729" s="2">
        <v>477</v>
      </c>
      <c r="I729" s="2">
        <v>2967</v>
      </c>
      <c r="J729" s="2">
        <v>4397</v>
      </c>
      <c r="K729" s="2">
        <v>30</v>
      </c>
      <c r="L729" s="2">
        <v>506</v>
      </c>
    </row>
    <row r="730" spans="1:12" x14ac:dyDescent="0.25">
      <c r="A730" s="4" t="str">
        <f>HYPERLINK("http://www.rosaceae.org/Prunus/Prunus_persica/p.persica_gdr_reftransV1_0021711","p.persica_gdr_reftransV1_0021711")</f>
        <v>p.persica_gdr_reftransV1_0021711</v>
      </c>
      <c r="B730" s="2">
        <v>2558</v>
      </c>
      <c r="C730" s="4" t="str">
        <f>HYPERLINK("http://www.uniprot.org/uniprot/M5VGF5","M5VGF5")</f>
        <v>M5VGF5</v>
      </c>
      <c r="D730" s="2" t="s">
        <v>718</v>
      </c>
      <c r="E730" s="3">
        <v>4.6899999999999996E-174</v>
      </c>
      <c r="F730" s="2">
        <v>1326</v>
      </c>
      <c r="G730" s="2">
        <v>100</v>
      </c>
      <c r="H730" s="2">
        <v>247</v>
      </c>
      <c r="I730" s="2">
        <v>384</v>
      </c>
      <c r="J730" s="2">
        <v>1124</v>
      </c>
      <c r="K730" s="2">
        <v>1</v>
      </c>
      <c r="L730" s="2">
        <v>247</v>
      </c>
    </row>
    <row r="731" spans="1:12" x14ac:dyDescent="0.25">
      <c r="A731" s="4" t="str">
        <f>HYPERLINK("http://www.rosaceae.org/Prunus/Prunus_persica/p.persica_gdr_reftransV1_0022411","p.persica_gdr_reftransV1_0022411")</f>
        <v>p.persica_gdr_reftransV1_0022411</v>
      </c>
      <c r="B731" s="2">
        <v>2567</v>
      </c>
      <c r="C731" s="4" t="str">
        <f>HYPERLINK("http://www.uniprot.org/uniprot/M5XXE6","M5XXE6")</f>
        <v>M5XXE6</v>
      </c>
      <c r="D731" s="2" t="s">
        <v>719</v>
      </c>
      <c r="E731" s="3">
        <v>0</v>
      </c>
      <c r="F731" s="2">
        <v>2097</v>
      </c>
      <c r="G731" s="2">
        <v>100</v>
      </c>
      <c r="H731" s="2">
        <v>383</v>
      </c>
      <c r="I731" s="2">
        <v>1217</v>
      </c>
      <c r="J731" s="2">
        <v>2365</v>
      </c>
      <c r="K731" s="2">
        <v>348</v>
      </c>
      <c r="L731" s="2">
        <v>730</v>
      </c>
    </row>
    <row r="732" spans="1:12" x14ac:dyDescent="0.25">
      <c r="A732" s="4" t="str">
        <f>HYPERLINK("http://www.rosaceae.org/Prunus/Prunus_persica/p.persica_gdr_reftransV1_0022761","p.persica_gdr_reftransV1_0022761")</f>
        <v>p.persica_gdr_reftransV1_0022761</v>
      </c>
      <c r="B732" s="2">
        <v>2052</v>
      </c>
      <c r="C732" s="4" t="str">
        <f>HYPERLINK("http://www.uniprot.org/uniprot/A0A061GGA5","A0A061GGA5")</f>
        <v>A0A061GGA5</v>
      </c>
      <c r="D732" s="2" t="s">
        <v>720</v>
      </c>
      <c r="E732" s="3">
        <v>1.0599999999999999E-71</v>
      </c>
      <c r="F732" s="2">
        <v>622</v>
      </c>
      <c r="G732" s="2">
        <v>89</v>
      </c>
      <c r="H732" s="2">
        <v>134</v>
      </c>
      <c r="I732" s="2">
        <v>1208</v>
      </c>
      <c r="J732" s="2">
        <v>1609</v>
      </c>
      <c r="K732" s="2">
        <v>4</v>
      </c>
      <c r="L732" s="2">
        <v>137</v>
      </c>
    </row>
    <row r="733" spans="1:12" x14ac:dyDescent="0.25">
      <c r="A733" s="4" t="str">
        <f>HYPERLINK("http://www.rosaceae.org/Prunus/Prunus_persica/p.persica_gdr_reftransV1_0023111","p.persica_gdr_reftransV1_0023111")</f>
        <v>p.persica_gdr_reftransV1_0023111</v>
      </c>
      <c r="B733" s="2">
        <v>7862</v>
      </c>
      <c r="C733" s="4" t="str">
        <f>HYPERLINK("http://www.uniprot.org/uniprot/M5WD27","M5WD27")</f>
        <v>M5WD27</v>
      </c>
      <c r="D733" s="2" t="s">
        <v>721</v>
      </c>
      <c r="E733" s="3">
        <v>0</v>
      </c>
      <c r="F733" s="2">
        <v>7922</v>
      </c>
      <c r="G733" s="2">
        <v>99</v>
      </c>
      <c r="H733" s="2">
        <v>1617</v>
      </c>
      <c r="I733" s="2">
        <v>2535</v>
      </c>
      <c r="J733" s="2">
        <v>7385</v>
      </c>
      <c r="K733" s="2">
        <v>19</v>
      </c>
      <c r="L733" s="2">
        <v>1613</v>
      </c>
    </row>
    <row r="734" spans="1:12" x14ac:dyDescent="0.25">
      <c r="A734" s="4" t="str">
        <f>HYPERLINK("http://www.rosaceae.org/Prunus/Prunus_persica/p.persica_gdr_reftransV1_0024861","p.persica_gdr_reftransV1_0024861")</f>
        <v>p.persica_gdr_reftransV1_0024861</v>
      </c>
      <c r="B734" s="2">
        <v>1319</v>
      </c>
      <c r="C734" s="4" t="str">
        <f>HYPERLINK("http://www.uniprot.org/uniprot/M5XDL5","M5XDL5")</f>
        <v>M5XDL5</v>
      </c>
      <c r="D734" s="2" t="s">
        <v>722</v>
      </c>
      <c r="E734" s="3">
        <v>1.5900000000000001E-135</v>
      </c>
      <c r="F734" s="2">
        <v>1027</v>
      </c>
      <c r="G734" s="2">
        <v>100</v>
      </c>
      <c r="H734" s="2">
        <v>210</v>
      </c>
      <c r="I734" s="2">
        <v>275</v>
      </c>
      <c r="J734" s="2">
        <v>904</v>
      </c>
      <c r="K734" s="2">
        <v>1</v>
      </c>
      <c r="L734" s="2">
        <v>210</v>
      </c>
    </row>
    <row r="735" spans="1:12" x14ac:dyDescent="0.25">
      <c r="A735" s="4" t="str">
        <f>HYPERLINK("http://www.rosaceae.org/Prunus/Prunus_persica/p.persica_gdr_reftransV1_0025211","p.persica_gdr_reftransV1_0025211")</f>
        <v>p.persica_gdr_reftransV1_0025211</v>
      </c>
      <c r="B735" s="2">
        <v>1680</v>
      </c>
      <c r="C735" s="4" t="str">
        <f>HYPERLINK("http://www.uniprot.org/uniprot/M5WEQ2","M5WEQ2")</f>
        <v>M5WEQ2</v>
      </c>
      <c r="D735" s="2" t="s">
        <v>723</v>
      </c>
      <c r="E735" s="3">
        <v>0</v>
      </c>
      <c r="F735" s="2">
        <v>1762</v>
      </c>
      <c r="G735" s="2">
        <v>100</v>
      </c>
      <c r="H735" s="2">
        <v>333</v>
      </c>
      <c r="I735" s="2">
        <v>682</v>
      </c>
      <c r="J735" s="2">
        <v>1680</v>
      </c>
      <c r="K735" s="2">
        <v>112</v>
      </c>
      <c r="L735" s="2">
        <v>444</v>
      </c>
    </row>
    <row r="736" spans="1:12" x14ac:dyDescent="0.25">
      <c r="A736" s="4" t="str">
        <f>HYPERLINK("http://www.rosaceae.org/Prunus/Prunus_persica/p.persica_gdr_reftransV1_0025911","p.persica_gdr_reftransV1_0025911")</f>
        <v>p.persica_gdr_reftransV1_0025911</v>
      </c>
      <c r="B736" s="2">
        <v>849</v>
      </c>
      <c r="C736" s="4" t="str">
        <f>HYPERLINK("http://www.uniprot.org/uniprot/A0A0D3EDR4","A0A0D3EDR4")</f>
        <v>A0A0D3EDR4</v>
      </c>
      <c r="D736" s="2" t="s">
        <v>724</v>
      </c>
      <c r="E736" s="3">
        <v>1.6299999999999999E-46</v>
      </c>
      <c r="F736" s="2">
        <v>202</v>
      </c>
      <c r="G736" s="2">
        <v>53</v>
      </c>
      <c r="H736" s="2">
        <v>72</v>
      </c>
      <c r="I736" s="2">
        <v>633</v>
      </c>
      <c r="J736" s="2">
        <v>848</v>
      </c>
      <c r="K736" s="2">
        <v>445</v>
      </c>
      <c r="L736" s="2">
        <v>516</v>
      </c>
    </row>
    <row r="737" spans="1:12" x14ac:dyDescent="0.25">
      <c r="A737" s="4" t="str">
        <f>HYPERLINK("http://www.rosaceae.org/Prunus/Prunus_persica/p.persica_gdr_reftransV1_0027311","p.persica_gdr_reftransV1_0027311")</f>
        <v>p.persica_gdr_reftransV1_0027311</v>
      </c>
      <c r="B737" s="2">
        <v>2009</v>
      </c>
      <c r="C737" s="4" t="str">
        <f>HYPERLINK("http://www.uniprot.org/uniprot/A0A067DNJ4","A0A067DNJ4")</f>
        <v>A0A067DNJ4</v>
      </c>
      <c r="D737" s="2" t="s">
        <v>725</v>
      </c>
      <c r="E737" s="3">
        <v>0</v>
      </c>
      <c r="F737" s="2">
        <v>1795</v>
      </c>
      <c r="G737" s="2">
        <v>80</v>
      </c>
      <c r="H737" s="2">
        <v>412</v>
      </c>
      <c r="I737" s="2">
        <v>505</v>
      </c>
      <c r="J737" s="2">
        <v>1740</v>
      </c>
      <c r="K737" s="2">
        <v>1</v>
      </c>
      <c r="L737" s="2">
        <v>411</v>
      </c>
    </row>
    <row r="738" spans="1:12" x14ac:dyDescent="0.25">
      <c r="A738" s="4" t="str">
        <f>HYPERLINK("http://www.rosaceae.org/Prunus/Prunus_persica/p.persica_gdr_reftransV1_0029411","p.persica_gdr_reftransV1_0029411")</f>
        <v>p.persica_gdr_reftransV1_0029411</v>
      </c>
      <c r="B738" s="2">
        <v>1897</v>
      </c>
      <c r="C738" s="4" t="str">
        <f>HYPERLINK("http://www.uniprot.org/uniprot/A0A059BUE5","A0A059BUE5")</f>
        <v>A0A059BUE5</v>
      </c>
      <c r="D738" s="2" t="s">
        <v>726</v>
      </c>
      <c r="E738" s="3">
        <v>6.31E-170</v>
      </c>
      <c r="F738" s="2">
        <v>1293</v>
      </c>
      <c r="G738" s="2">
        <v>69</v>
      </c>
      <c r="H738" s="2">
        <v>341</v>
      </c>
      <c r="I738" s="2">
        <v>612</v>
      </c>
      <c r="J738" s="2">
        <v>1634</v>
      </c>
      <c r="K738" s="2">
        <v>30</v>
      </c>
      <c r="L738" s="2">
        <v>370</v>
      </c>
    </row>
    <row r="739" spans="1:12" x14ac:dyDescent="0.25">
      <c r="A739" s="4" t="str">
        <f>HYPERLINK("http://www.rosaceae.org/Prunus/Prunus_persica/p.persica_gdr_reftransV1_0029761","p.persica_gdr_reftransV1_0029761")</f>
        <v>p.persica_gdr_reftransV1_0029761</v>
      </c>
      <c r="B739" s="2">
        <v>2028</v>
      </c>
      <c r="C739" s="4" t="str">
        <f>HYPERLINK("http://www.uniprot.org/uniprot/M5X1M7","M5X1M7")</f>
        <v>M5X1M7</v>
      </c>
      <c r="D739" s="2" t="s">
        <v>727</v>
      </c>
      <c r="E739" s="3">
        <v>5.7100000000000002E-120</v>
      </c>
      <c r="F739" s="2">
        <v>960</v>
      </c>
      <c r="G739" s="2">
        <v>95</v>
      </c>
      <c r="H739" s="2">
        <v>231</v>
      </c>
      <c r="I739" s="2">
        <v>179</v>
      </c>
      <c r="J739" s="2">
        <v>871</v>
      </c>
      <c r="K739" s="2">
        <v>1</v>
      </c>
      <c r="L739" s="2">
        <v>227</v>
      </c>
    </row>
    <row r="740" spans="1:12" x14ac:dyDescent="0.25">
      <c r="A740" s="4" t="str">
        <f>HYPERLINK("http://www.rosaceae.org/Prunus/Prunus_persica/p.persica_gdr_reftransV1_0030111","p.persica_gdr_reftransV1_0030111")</f>
        <v>p.persica_gdr_reftransV1_0030111</v>
      </c>
      <c r="B740" s="2">
        <v>1741</v>
      </c>
      <c r="C740" s="4" t="str">
        <f>HYPERLINK("http://www.uniprot.org/uniprot/M5WH80","M5WH80")</f>
        <v>M5WH80</v>
      </c>
      <c r="D740" s="2" t="s">
        <v>728</v>
      </c>
      <c r="E740" s="3">
        <v>0</v>
      </c>
      <c r="F740" s="2">
        <v>1831</v>
      </c>
      <c r="G740" s="2">
        <v>100</v>
      </c>
      <c r="H740" s="2">
        <v>345</v>
      </c>
      <c r="I740" s="2">
        <v>383</v>
      </c>
      <c r="J740" s="2">
        <v>1417</v>
      </c>
      <c r="K740" s="2">
        <v>35</v>
      </c>
      <c r="L740" s="2">
        <v>379</v>
      </c>
    </row>
    <row r="741" spans="1:12" x14ac:dyDescent="0.25">
      <c r="A741" s="4" t="str">
        <f>HYPERLINK("http://www.rosaceae.org/Prunus/Prunus_persica/p.persica_gdr_reftransV1_0030461","p.persica_gdr_reftransV1_0030461")</f>
        <v>p.persica_gdr_reftransV1_0030461</v>
      </c>
      <c r="B741" s="2">
        <v>1029</v>
      </c>
      <c r="C741" s="4" t="str">
        <f>HYPERLINK("http://www.uniprot.org/uniprot/M5X892","M5X892")</f>
        <v>M5X892</v>
      </c>
      <c r="D741" s="2" t="s">
        <v>729</v>
      </c>
      <c r="E741" s="3">
        <v>2.0900000000000002E-176</v>
      </c>
      <c r="F741" s="2">
        <v>1358</v>
      </c>
      <c r="G741" s="2">
        <v>100</v>
      </c>
      <c r="H741" s="2">
        <v>310</v>
      </c>
      <c r="I741" s="2">
        <v>1</v>
      </c>
      <c r="J741" s="2">
        <v>930</v>
      </c>
      <c r="K741" s="2">
        <v>33</v>
      </c>
      <c r="L741" s="2">
        <v>342</v>
      </c>
    </row>
    <row r="742" spans="1:12" x14ac:dyDescent="0.25">
      <c r="A742" s="4" t="str">
        <f>HYPERLINK("http://www.rosaceae.org/Prunus/Prunus_persica/p.persica_gdr_reftransV1_0030811","p.persica_gdr_reftransV1_0030811")</f>
        <v>p.persica_gdr_reftransV1_0030811</v>
      </c>
      <c r="B742" s="2">
        <v>2502</v>
      </c>
      <c r="C742" s="4" t="str">
        <f>HYPERLINK("http://www.uniprot.org/uniprot/M5X4Q8","M5X4Q8")</f>
        <v>M5X4Q8</v>
      </c>
      <c r="D742" s="2" t="s">
        <v>730</v>
      </c>
      <c r="E742" s="3">
        <v>0</v>
      </c>
      <c r="F742" s="2">
        <v>1816</v>
      </c>
      <c r="G742" s="2">
        <v>96</v>
      </c>
      <c r="H742" s="2">
        <v>383</v>
      </c>
      <c r="I742" s="2">
        <v>951</v>
      </c>
      <c r="J742" s="2">
        <v>2099</v>
      </c>
      <c r="K742" s="2">
        <v>110</v>
      </c>
      <c r="L742" s="2">
        <v>478</v>
      </c>
    </row>
    <row r="743" spans="1:12" x14ac:dyDescent="0.25">
      <c r="A743" s="4" t="str">
        <f>HYPERLINK("http://www.rosaceae.org/Prunus/Prunus_persica/p.persica_gdr_reftransV1_0032211","p.persica_gdr_reftransV1_0032211")</f>
        <v>p.persica_gdr_reftransV1_0032211</v>
      </c>
      <c r="B743" s="2">
        <v>2869</v>
      </c>
      <c r="C743" s="4" t="str">
        <f>HYPERLINK("http://www.uniprot.org/uniprot/M5WGE6","M5WGE6")</f>
        <v>M5WGE6</v>
      </c>
      <c r="D743" s="2" t="s">
        <v>731</v>
      </c>
      <c r="E743" s="3">
        <v>3.5599999999999999E-102</v>
      </c>
      <c r="F743" s="2">
        <v>853</v>
      </c>
      <c r="G743" s="2">
        <v>100</v>
      </c>
      <c r="H743" s="2">
        <v>161</v>
      </c>
      <c r="I743" s="2">
        <v>2299</v>
      </c>
      <c r="J743" s="2">
        <v>2781</v>
      </c>
      <c r="K743" s="2">
        <v>1</v>
      </c>
      <c r="L743" s="2">
        <v>161</v>
      </c>
    </row>
    <row r="744" spans="1:12" x14ac:dyDescent="0.25">
      <c r="A744" s="4" t="str">
        <f>HYPERLINK("http://www.rosaceae.org/Prunus/Prunus_persica/p.persica_gdr_reftransV1_0033261","p.persica_gdr_reftransV1_0033261")</f>
        <v>p.persica_gdr_reftransV1_0033261</v>
      </c>
      <c r="B744" s="2">
        <v>856</v>
      </c>
      <c r="C744" s="4" t="str">
        <f>HYPERLINK("http://www.uniprot.org/uniprot/M5WVD9","M5WVD9")</f>
        <v>M5WVD9</v>
      </c>
      <c r="D744" s="2" t="s">
        <v>732</v>
      </c>
      <c r="E744" s="3">
        <v>8.0099999999999999E-91</v>
      </c>
      <c r="F744" s="2">
        <v>714</v>
      </c>
      <c r="G744" s="2">
        <v>100</v>
      </c>
      <c r="H744" s="2">
        <v>150</v>
      </c>
      <c r="I744" s="2">
        <v>258</v>
      </c>
      <c r="J744" s="2">
        <v>707</v>
      </c>
      <c r="K744" s="2">
        <v>42</v>
      </c>
      <c r="L744" s="2">
        <v>191</v>
      </c>
    </row>
    <row r="745" spans="1:12" x14ac:dyDescent="0.25">
      <c r="A745" s="4" t="str">
        <f>HYPERLINK("http://www.rosaceae.org/Prunus/Prunus_persica/p.persica_gdr_reftransV1_0035011","p.persica_gdr_reftransV1_0035011")</f>
        <v>p.persica_gdr_reftransV1_0035011</v>
      </c>
      <c r="B745" s="2">
        <v>1915</v>
      </c>
      <c r="C745" s="4" t="str">
        <f>HYPERLINK("http://www.uniprot.org/uniprot/M5XDY4","M5XDY4")</f>
        <v>M5XDY4</v>
      </c>
      <c r="D745" s="2" t="s">
        <v>733</v>
      </c>
      <c r="E745" s="3">
        <v>0</v>
      </c>
      <c r="F745" s="2">
        <v>1978</v>
      </c>
      <c r="G745" s="2">
        <v>100</v>
      </c>
      <c r="H745" s="2">
        <v>417</v>
      </c>
      <c r="I745" s="2">
        <v>258</v>
      </c>
      <c r="J745" s="2">
        <v>1508</v>
      </c>
      <c r="K745" s="2">
        <v>1</v>
      </c>
      <c r="L745" s="2">
        <v>417</v>
      </c>
    </row>
    <row r="746" spans="1:12" x14ac:dyDescent="0.25">
      <c r="A746" s="4" t="str">
        <f>HYPERLINK("http://www.rosaceae.org/Prunus/Prunus_persica/p.persica_gdr_reftransV1_0035711","p.persica_gdr_reftransV1_0035711")</f>
        <v>p.persica_gdr_reftransV1_0035711</v>
      </c>
      <c r="B746" s="2">
        <v>1169</v>
      </c>
      <c r="C746" s="4" t="str">
        <f>HYPERLINK("http://www.uniprot.org/uniprot/M5VI00","M5VI00")</f>
        <v>M5VI00</v>
      </c>
      <c r="D746" s="2" t="s">
        <v>734</v>
      </c>
      <c r="E746" s="3">
        <v>0</v>
      </c>
      <c r="F746" s="2">
        <v>1562</v>
      </c>
      <c r="G746" s="2">
        <v>100</v>
      </c>
      <c r="H746" s="2">
        <v>291</v>
      </c>
      <c r="I746" s="2">
        <v>2</v>
      </c>
      <c r="J746" s="2">
        <v>874</v>
      </c>
      <c r="K746" s="2">
        <v>18</v>
      </c>
      <c r="L746" s="2">
        <v>308</v>
      </c>
    </row>
    <row r="747" spans="1:12" x14ac:dyDescent="0.25">
      <c r="A747" s="4" t="str">
        <f>HYPERLINK("http://www.rosaceae.org/Prunus/Prunus_persica/p.persica_gdr_reftransV1_0036761","p.persica_gdr_reftransV1_0036761")</f>
        <v>p.persica_gdr_reftransV1_0036761</v>
      </c>
      <c r="B747" s="2">
        <v>2404</v>
      </c>
      <c r="C747" s="4" t="str">
        <f>HYPERLINK("http://www.uniprot.org/uniprot/M5WHT9","M5WHT9")</f>
        <v>M5WHT9</v>
      </c>
      <c r="D747" s="2" t="s">
        <v>735</v>
      </c>
      <c r="E747" s="3">
        <v>2.2499999999999999E-101</v>
      </c>
      <c r="F747" s="2">
        <v>824</v>
      </c>
      <c r="G747" s="2">
        <v>100</v>
      </c>
      <c r="H747" s="2">
        <v>160</v>
      </c>
      <c r="I747" s="2">
        <v>824</v>
      </c>
      <c r="J747" s="2">
        <v>1303</v>
      </c>
      <c r="K747" s="2">
        <v>1</v>
      </c>
      <c r="L747" s="2">
        <v>160</v>
      </c>
    </row>
    <row r="748" spans="1:12" x14ac:dyDescent="0.25">
      <c r="A748" s="4" t="str">
        <f>HYPERLINK("http://www.rosaceae.org/Prunus/Prunus_persica/p.persica_gdr_reftransV1_0037111","p.persica_gdr_reftransV1_0037111")</f>
        <v>p.persica_gdr_reftransV1_0037111</v>
      </c>
      <c r="B748" s="2">
        <v>3299</v>
      </c>
      <c r="C748" s="4" t="str">
        <f>HYPERLINK("http://www.uniprot.org/uniprot/M5VIG9","M5VIG9")</f>
        <v>M5VIG9</v>
      </c>
      <c r="D748" s="2" t="s">
        <v>736</v>
      </c>
      <c r="E748" s="3">
        <v>0</v>
      </c>
      <c r="F748" s="2">
        <v>3997</v>
      </c>
      <c r="G748" s="2">
        <v>93</v>
      </c>
      <c r="H748" s="2">
        <v>815</v>
      </c>
      <c r="I748" s="2">
        <v>281</v>
      </c>
      <c r="J748" s="2">
        <v>2725</v>
      </c>
      <c r="K748" s="2">
        <v>1</v>
      </c>
      <c r="L748" s="2">
        <v>771</v>
      </c>
    </row>
    <row r="749" spans="1:12" x14ac:dyDescent="0.25">
      <c r="A749" s="4" t="str">
        <f>HYPERLINK("http://www.rosaceae.org/Prunus/Prunus_persica/p.persica_gdr_reftransV1_0039911","p.persica_gdr_reftransV1_0039911")</f>
        <v>p.persica_gdr_reftransV1_0039911</v>
      </c>
      <c r="B749" s="2">
        <v>1461</v>
      </c>
      <c r="C749" s="4" t="str">
        <f>HYPERLINK("http://www.uniprot.org/uniprot/R4TIZ2","R4TIZ2")</f>
        <v>R4TIZ2</v>
      </c>
      <c r="D749" s="2" t="s">
        <v>737</v>
      </c>
      <c r="E749" s="3">
        <v>5.9199999999999994E-113</v>
      </c>
      <c r="F749" s="2">
        <v>888</v>
      </c>
      <c r="G749" s="2">
        <v>71</v>
      </c>
      <c r="H749" s="2">
        <v>283</v>
      </c>
      <c r="I749" s="2">
        <v>168</v>
      </c>
      <c r="J749" s="2">
        <v>1010</v>
      </c>
      <c r="K749" s="2">
        <v>16</v>
      </c>
      <c r="L749" s="2">
        <v>266</v>
      </c>
    </row>
    <row r="750" spans="1:12" x14ac:dyDescent="0.25">
      <c r="A750" s="4" t="str">
        <f>HYPERLINK("http://www.rosaceae.org/Prunus/Prunus_persica/p.persica_gdr_reftransV1_0040961","p.persica_gdr_reftransV1_0040961")</f>
        <v>p.persica_gdr_reftransV1_0040961</v>
      </c>
      <c r="B750" s="2">
        <v>702</v>
      </c>
      <c r="C750" s="4" t="str">
        <f>HYPERLINK("http://www.uniprot.org/uniprot/M5X8Q9","M5X8Q9")</f>
        <v>M5X8Q9</v>
      </c>
      <c r="D750" s="2" t="s">
        <v>738</v>
      </c>
      <c r="E750" s="3">
        <v>3.6000000000000002E-79</v>
      </c>
      <c r="F750" s="2">
        <v>645</v>
      </c>
      <c r="G750" s="2">
        <v>100</v>
      </c>
      <c r="H750" s="2">
        <v>184</v>
      </c>
      <c r="I750" s="2">
        <v>3</v>
      </c>
      <c r="J750" s="2">
        <v>554</v>
      </c>
      <c r="K750" s="2">
        <v>3</v>
      </c>
      <c r="L750" s="2">
        <v>186</v>
      </c>
    </row>
    <row r="751" spans="1:12" x14ac:dyDescent="0.25">
      <c r="A751" s="4" t="str">
        <f>HYPERLINK("http://www.rosaceae.org/Prunus/Prunus_persica/p.persica_gdr_reftransV1_0041311","p.persica_gdr_reftransV1_0041311")</f>
        <v>p.persica_gdr_reftransV1_0041311</v>
      </c>
      <c r="B751" s="2">
        <v>1102</v>
      </c>
      <c r="C751" s="4" t="str">
        <f>HYPERLINK("http://www.uniprot.org/uniprot/M5W3L9","M5W3L9")</f>
        <v>M5W3L9</v>
      </c>
      <c r="D751" s="2" t="s">
        <v>739</v>
      </c>
      <c r="E751" s="3">
        <v>7.0400000000000002E-87</v>
      </c>
      <c r="F751" s="2">
        <v>695</v>
      </c>
      <c r="G751" s="2">
        <v>100</v>
      </c>
      <c r="H751" s="2">
        <v>177</v>
      </c>
      <c r="I751" s="2">
        <v>238</v>
      </c>
      <c r="J751" s="2">
        <v>768</v>
      </c>
      <c r="K751" s="2">
        <v>1</v>
      </c>
      <c r="L751" s="2">
        <v>177</v>
      </c>
    </row>
    <row r="752" spans="1:12" x14ac:dyDescent="0.25">
      <c r="A752" s="4" t="str">
        <f>HYPERLINK("http://www.rosaceae.org/Prunus/Prunus_persica/p.persica_gdr_reftransV1_0042361","p.persica_gdr_reftransV1_0042361")</f>
        <v>p.persica_gdr_reftransV1_0042361</v>
      </c>
      <c r="B752" s="2">
        <v>2426</v>
      </c>
      <c r="C752" s="4" t="str">
        <f>HYPERLINK("http://www.uniprot.org/uniprot/M5XU94","M5XU94")</f>
        <v>M5XU94</v>
      </c>
      <c r="D752" s="2" t="s">
        <v>740</v>
      </c>
      <c r="E752" s="3">
        <v>0</v>
      </c>
      <c r="F752" s="2">
        <v>3231</v>
      </c>
      <c r="G752" s="2">
        <v>100</v>
      </c>
      <c r="H752" s="2">
        <v>695</v>
      </c>
      <c r="I752" s="2">
        <v>340</v>
      </c>
      <c r="J752" s="2">
        <v>2424</v>
      </c>
      <c r="K752" s="2">
        <v>594</v>
      </c>
      <c r="L752" s="2">
        <v>1288</v>
      </c>
    </row>
    <row r="753" spans="1:12" x14ac:dyDescent="0.25">
      <c r="A753" s="4" t="str">
        <f>HYPERLINK("http://www.rosaceae.org/Prunus/Prunus_persica/p.persica_gdr_reftransV1_0043061","p.persica_gdr_reftransV1_0043061")</f>
        <v>p.persica_gdr_reftransV1_0043061</v>
      </c>
      <c r="B753" s="2">
        <v>1058</v>
      </c>
      <c r="C753" s="4" t="str">
        <f>HYPERLINK("http://www.uniprot.org/uniprot/M5WAW8","M5WAW8")</f>
        <v>M5WAW8</v>
      </c>
      <c r="D753" s="2" t="s">
        <v>741</v>
      </c>
      <c r="E753" s="3">
        <v>3.4299999999999998E-117</v>
      </c>
      <c r="F753" s="2">
        <v>893</v>
      </c>
      <c r="G753" s="2">
        <v>100</v>
      </c>
      <c r="H753" s="2">
        <v>170</v>
      </c>
      <c r="I753" s="2">
        <v>161</v>
      </c>
      <c r="J753" s="2">
        <v>670</v>
      </c>
      <c r="K753" s="2">
        <v>1</v>
      </c>
      <c r="L753" s="2">
        <v>170</v>
      </c>
    </row>
    <row r="754" spans="1:12" x14ac:dyDescent="0.25">
      <c r="A754" s="4" t="str">
        <f>HYPERLINK("http://www.rosaceae.org/Prunus/Prunus_persica/p.persica_gdr_reftransV1_0043411","p.persica_gdr_reftransV1_0043411")</f>
        <v>p.persica_gdr_reftransV1_0043411</v>
      </c>
      <c r="B754" s="2">
        <v>502</v>
      </c>
      <c r="C754" s="4" t="str">
        <f>HYPERLINK("http://www.uniprot.org/uniprot/M5W628","M5W628")</f>
        <v>M5W628</v>
      </c>
      <c r="D754" s="2" t="s">
        <v>742</v>
      </c>
      <c r="E754" s="3">
        <v>3.1100000000000002E-45</v>
      </c>
      <c r="F754" s="2">
        <v>417</v>
      </c>
      <c r="G754" s="2">
        <v>90</v>
      </c>
      <c r="H754" s="2">
        <v>93</v>
      </c>
      <c r="I754" s="2">
        <v>188</v>
      </c>
      <c r="J754" s="2">
        <v>466</v>
      </c>
      <c r="K754" s="2">
        <v>323</v>
      </c>
      <c r="L754" s="2">
        <v>413</v>
      </c>
    </row>
    <row r="755" spans="1:12" x14ac:dyDescent="0.25">
      <c r="A755" s="4" t="str">
        <f>HYPERLINK("http://www.rosaceae.org/Prunus/Prunus_persica/p.persica_gdr_reftransV1_0043761","p.persica_gdr_reftransV1_0043761")</f>
        <v>p.persica_gdr_reftransV1_0043761</v>
      </c>
      <c r="B755" s="2">
        <v>662</v>
      </c>
      <c r="C755" s="4" t="str">
        <f>HYPERLINK("http://www.uniprot.org/uniprot/M5X2Y6","M5X2Y6")</f>
        <v>M5X2Y6</v>
      </c>
      <c r="D755" s="2" t="s">
        <v>743</v>
      </c>
      <c r="E755" s="3">
        <v>1.27E-83</v>
      </c>
      <c r="F755" s="2">
        <v>653</v>
      </c>
      <c r="G755" s="2">
        <v>100</v>
      </c>
      <c r="H755" s="2">
        <v>123</v>
      </c>
      <c r="I755" s="2">
        <v>136</v>
      </c>
      <c r="J755" s="2">
        <v>504</v>
      </c>
      <c r="K755" s="2">
        <v>1</v>
      </c>
      <c r="L755" s="2">
        <v>123</v>
      </c>
    </row>
    <row r="756" spans="1:12" x14ac:dyDescent="0.25">
      <c r="A756" s="4" t="str">
        <f>HYPERLINK("http://www.rosaceae.org/Prunus/Prunus_persica/p.persica_gdr_reftransV1_0044111","p.persica_gdr_reftransV1_0044111")</f>
        <v>p.persica_gdr_reftransV1_0044111</v>
      </c>
      <c r="B756" s="2">
        <v>1029</v>
      </c>
      <c r="C756" s="4" t="str">
        <f>HYPERLINK("http://www.uniprot.org/uniprot/M5VIJ1","M5VIJ1")</f>
        <v>M5VIJ1</v>
      </c>
      <c r="D756" s="2" t="s">
        <v>744</v>
      </c>
      <c r="E756" s="3">
        <v>0</v>
      </c>
      <c r="F756" s="2">
        <v>1470</v>
      </c>
      <c r="G756" s="2">
        <v>93</v>
      </c>
      <c r="H756" s="2">
        <v>306</v>
      </c>
      <c r="I756" s="2">
        <v>114</v>
      </c>
      <c r="J756" s="2">
        <v>1028</v>
      </c>
      <c r="K756" s="2">
        <v>1</v>
      </c>
      <c r="L756" s="2">
        <v>306</v>
      </c>
    </row>
    <row r="757" spans="1:12" x14ac:dyDescent="0.25">
      <c r="A757" s="4" t="str">
        <f>HYPERLINK("http://www.rosaceae.org/Prunus/Prunus_persica/p.persica_gdr_reftransV1_0044461","p.persica_gdr_reftransV1_0044461")</f>
        <v>p.persica_gdr_reftransV1_0044461</v>
      </c>
      <c r="B757" s="2">
        <v>1712</v>
      </c>
      <c r="C757" s="4" t="str">
        <f>HYPERLINK("http://www.uniprot.org/uniprot/M5XT46","M5XT46")</f>
        <v>M5XT46</v>
      </c>
      <c r="D757" s="2" t="s">
        <v>745</v>
      </c>
      <c r="E757" s="3">
        <v>0</v>
      </c>
      <c r="F757" s="2">
        <v>2368</v>
      </c>
      <c r="G757" s="2">
        <v>100</v>
      </c>
      <c r="H757" s="2">
        <v>475</v>
      </c>
      <c r="I757" s="2">
        <v>1</v>
      </c>
      <c r="J757" s="2">
        <v>1425</v>
      </c>
      <c r="K757" s="2">
        <v>206</v>
      </c>
      <c r="L757" s="2">
        <v>680</v>
      </c>
    </row>
    <row r="758" spans="1:12" x14ac:dyDescent="0.25">
      <c r="A758" s="4" t="str">
        <f>HYPERLINK("http://www.rosaceae.org/Prunus/Prunus_persica/p.persica_gdr_reftransV1_0044811","p.persica_gdr_reftransV1_0044811")</f>
        <v>p.persica_gdr_reftransV1_0044811</v>
      </c>
      <c r="B758" s="2">
        <v>1119</v>
      </c>
      <c r="C758" s="4" t="str">
        <f>HYPERLINK("http://www.uniprot.org/uniprot/M5WUL9","M5WUL9")</f>
        <v>M5WUL9</v>
      </c>
      <c r="D758" s="2" t="s">
        <v>746</v>
      </c>
      <c r="E758" s="3">
        <v>3.3300000000000003E-107</v>
      </c>
      <c r="F758" s="2">
        <v>832</v>
      </c>
      <c r="G758" s="2">
        <v>95</v>
      </c>
      <c r="H758" s="2">
        <v>195</v>
      </c>
      <c r="I758" s="2">
        <v>82</v>
      </c>
      <c r="J758" s="2">
        <v>666</v>
      </c>
      <c r="K758" s="2">
        <v>1</v>
      </c>
      <c r="L758" s="2">
        <v>186</v>
      </c>
    </row>
    <row r="759" spans="1:12" x14ac:dyDescent="0.25">
      <c r="A759" s="4" t="str">
        <f>HYPERLINK("http://www.rosaceae.org/Prunus/Prunus_persica/p.persica_gdr_reftransV1_0045161","p.persica_gdr_reftransV1_0045161")</f>
        <v>p.persica_gdr_reftransV1_0045161</v>
      </c>
      <c r="B759" s="2">
        <v>1534</v>
      </c>
      <c r="C759" s="4" t="str">
        <f>HYPERLINK("http://www.uniprot.org/uniprot/M5WGS9","M5WGS9")</f>
        <v>M5WGS9</v>
      </c>
      <c r="D759" s="2" t="s">
        <v>747</v>
      </c>
      <c r="E759" s="3">
        <v>0</v>
      </c>
      <c r="F759" s="2">
        <v>2434</v>
      </c>
      <c r="G759" s="2">
        <v>100</v>
      </c>
      <c r="H759" s="2">
        <v>510</v>
      </c>
      <c r="I759" s="2">
        <v>3</v>
      </c>
      <c r="J759" s="2">
        <v>1532</v>
      </c>
      <c r="K759" s="2">
        <v>43</v>
      </c>
      <c r="L759" s="2">
        <v>552</v>
      </c>
    </row>
    <row r="760" spans="1:12" x14ac:dyDescent="0.25">
      <c r="A760" s="4" t="str">
        <f>HYPERLINK("http://www.rosaceae.org/Prunus/Prunus_persica/p.persica_gdr_reftransV1_0045511","p.persica_gdr_reftransV1_0045511")</f>
        <v>p.persica_gdr_reftransV1_0045511</v>
      </c>
      <c r="B760" s="2">
        <v>1915</v>
      </c>
      <c r="C760" s="4" t="str">
        <f>HYPERLINK("http://www.uniprot.org/uniprot/M5XYW7","M5XYW7")</f>
        <v>M5XYW7</v>
      </c>
      <c r="D760" s="2" t="s">
        <v>748</v>
      </c>
      <c r="E760" s="3">
        <v>0</v>
      </c>
      <c r="F760" s="2">
        <v>2541</v>
      </c>
      <c r="G760" s="2">
        <v>100</v>
      </c>
      <c r="H760" s="2">
        <v>509</v>
      </c>
      <c r="I760" s="2">
        <v>267</v>
      </c>
      <c r="J760" s="2">
        <v>1793</v>
      </c>
      <c r="K760" s="2">
        <v>1</v>
      </c>
      <c r="L760" s="2">
        <v>509</v>
      </c>
    </row>
    <row r="761" spans="1:12" x14ac:dyDescent="0.25">
      <c r="A761" s="4" t="str">
        <f>HYPERLINK("http://www.rosaceae.org/Prunus/Prunus_persica/p.persica_gdr_reftransV1_0045861","p.persica_gdr_reftransV1_0045861")</f>
        <v>p.persica_gdr_reftransV1_0045861</v>
      </c>
      <c r="B761" s="2">
        <v>890</v>
      </c>
      <c r="C761" s="4" t="str">
        <f>HYPERLINK("http://www.uniprot.org/uniprot/M5W6R6","M5W6R6")</f>
        <v>M5W6R6</v>
      </c>
      <c r="D761" s="2" t="s">
        <v>749</v>
      </c>
      <c r="E761" s="3">
        <v>2.73E-60</v>
      </c>
      <c r="F761" s="2">
        <v>505</v>
      </c>
      <c r="G761" s="2">
        <v>86</v>
      </c>
      <c r="H761" s="2">
        <v>137</v>
      </c>
      <c r="I761" s="2">
        <v>202</v>
      </c>
      <c r="J761" s="2">
        <v>612</v>
      </c>
      <c r="K761" s="2">
        <v>1</v>
      </c>
      <c r="L761" s="2">
        <v>118</v>
      </c>
    </row>
    <row r="762" spans="1:12" x14ac:dyDescent="0.25">
      <c r="A762" s="4" t="str">
        <f>HYPERLINK("http://www.rosaceae.org/Prunus/Prunus_persica/p.persica_gdr_reftransV1_0046211","p.persica_gdr_reftransV1_0046211")</f>
        <v>p.persica_gdr_reftransV1_0046211</v>
      </c>
      <c r="B762" s="2">
        <v>871</v>
      </c>
      <c r="C762" s="4" t="str">
        <f>HYPERLINK("http://www.uniprot.org/uniprot/M5W6X0","M5W6X0")</f>
        <v>M5W6X0</v>
      </c>
      <c r="D762" s="2" t="s">
        <v>750</v>
      </c>
      <c r="E762" s="3">
        <v>1.8099999999999998E-111</v>
      </c>
      <c r="F762" s="2">
        <v>850</v>
      </c>
      <c r="G762" s="2">
        <v>100</v>
      </c>
      <c r="H762" s="2">
        <v>180</v>
      </c>
      <c r="I762" s="2">
        <v>276</v>
      </c>
      <c r="J762" s="2">
        <v>815</v>
      </c>
      <c r="K762" s="2">
        <v>1</v>
      </c>
      <c r="L762" s="2">
        <v>180</v>
      </c>
    </row>
    <row r="763" spans="1:12" x14ac:dyDescent="0.25">
      <c r="A763" s="4" t="str">
        <f>HYPERLINK("http://www.rosaceae.org/Prunus/Prunus_persica/p.persica_gdr_reftransV1_0046561","p.persica_gdr_reftransV1_0046561")</f>
        <v>p.persica_gdr_reftransV1_0046561</v>
      </c>
      <c r="B763" s="2">
        <v>2171</v>
      </c>
      <c r="C763" s="4" t="str">
        <f>HYPERLINK("http://www.uniprot.org/uniprot/M5Y3L9","M5Y3L9")</f>
        <v>M5Y3L9</v>
      </c>
      <c r="D763" s="2" t="s">
        <v>751</v>
      </c>
      <c r="E763" s="3">
        <v>0</v>
      </c>
      <c r="F763" s="2">
        <v>2333</v>
      </c>
      <c r="G763" s="2">
        <v>93</v>
      </c>
      <c r="H763" s="2">
        <v>547</v>
      </c>
      <c r="I763" s="2">
        <v>530</v>
      </c>
      <c r="J763" s="2">
        <v>2170</v>
      </c>
      <c r="K763" s="2">
        <v>152</v>
      </c>
      <c r="L763" s="2">
        <v>698</v>
      </c>
    </row>
    <row r="764" spans="1:12" x14ac:dyDescent="0.25">
      <c r="A764" s="4" t="str">
        <f>HYPERLINK("http://www.rosaceae.org/Prunus/Prunus_persica/p.persica_gdr_reftransV1_0047961","p.persica_gdr_reftransV1_0047961")</f>
        <v>p.persica_gdr_reftransV1_0047961</v>
      </c>
      <c r="B764" s="2">
        <v>624</v>
      </c>
      <c r="C764" s="4" t="str">
        <f>HYPERLINK("http://www.uniprot.org/uniprot/M5XVG6","M5XVG6")</f>
        <v>M5XVG6</v>
      </c>
      <c r="D764" s="2" t="s">
        <v>752</v>
      </c>
      <c r="E764" s="3">
        <v>2.32E-135</v>
      </c>
      <c r="F764" s="2">
        <v>1110</v>
      </c>
      <c r="G764" s="2">
        <v>100</v>
      </c>
      <c r="H764" s="2">
        <v>208</v>
      </c>
      <c r="I764" s="2">
        <v>1</v>
      </c>
      <c r="J764" s="2">
        <v>624</v>
      </c>
      <c r="K764" s="2">
        <v>350</v>
      </c>
      <c r="L764" s="2">
        <v>557</v>
      </c>
    </row>
    <row r="765" spans="1:12" x14ac:dyDescent="0.25">
      <c r="A765" s="4" t="str">
        <f>HYPERLINK("http://www.rosaceae.org/Prunus/Prunus_persica/p.persica_gdr_reftransV1_0048311","p.persica_gdr_reftransV1_0048311")</f>
        <v>p.persica_gdr_reftransV1_0048311</v>
      </c>
      <c r="B765" s="2">
        <v>478</v>
      </c>
      <c r="C765" s="4" t="str">
        <f>HYPERLINK("http://www.uniprot.org/uniprot/M5VKE9","M5VKE9")</f>
        <v>M5VKE9</v>
      </c>
      <c r="D765" s="2" t="s">
        <v>753</v>
      </c>
      <c r="E765" s="3">
        <v>3.9199999999999996E-102</v>
      </c>
      <c r="F765" s="2">
        <v>855</v>
      </c>
      <c r="G765" s="2">
        <v>100</v>
      </c>
      <c r="H765" s="2">
        <v>159</v>
      </c>
      <c r="I765" s="2">
        <v>2</v>
      </c>
      <c r="J765" s="2">
        <v>478</v>
      </c>
      <c r="K765" s="2">
        <v>1782</v>
      </c>
      <c r="L765" s="2">
        <v>1940</v>
      </c>
    </row>
    <row r="766" spans="1:12" x14ac:dyDescent="0.25">
      <c r="A766" s="4" t="str">
        <f>HYPERLINK("http://www.rosaceae.org/Prunus/Prunus_persica/p.persica_gdr_reftransV1_0048661","p.persica_gdr_reftransV1_0048661")</f>
        <v>p.persica_gdr_reftransV1_0048661</v>
      </c>
      <c r="B766" s="2">
        <v>1264</v>
      </c>
      <c r="C766" s="4" t="str">
        <f>HYPERLINK("http://www.uniprot.org/uniprot/M5WT89","M5WT89")</f>
        <v>M5WT89</v>
      </c>
      <c r="D766" s="2" t="s">
        <v>754</v>
      </c>
      <c r="E766" s="3">
        <v>0</v>
      </c>
      <c r="F766" s="2">
        <v>1367</v>
      </c>
      <c r="G766" s="2">
        <v>100</v>
      </c>
      <c r="H766" s="2">
        <v>257</v>
      </c>
      <c r="I766" s="2">
        <v>211</v>
      </c>
      <c r="J766" s="2">
        <v>981</v>
      </c>
      <c r="K766" s="2">
        <v>1</v>
      </c>
      <c r="L766" s="2">
        <v>257</v>
      </c>
    </row>
    <row r="767" spans="1:12" x14ac:dyDescent="0.25">
      <c r="A767" s="4" t="str">
        <f>HYPERLINK("http://www.rosaceae.org/Prunus/Prunus_persica/p.persica_gdr_reftransV1_0049011","p.persica_gdr_reftransV1_0049011")</f>
        <v>p.persica_gdr_reftransV1_0049011</v>
      </c>
      <c r="B767" s="2">
        <v>1176</v>
      </c>
      <c r="C767" s="4" t="str">
        <f>HYPERLINK("http://www.uniprot.org/uniprot/M5WKX0","M5WKX0")</f>
        <v>M5WKX0</v>
      </c>
      <c r="D767" s="2" t="s">
        <v>755</v>
      </c>
      <c r="E767" s="3">
        <v>0</v>
      </c>
      <c r="F767" s="2">
        <v>1495</v>
      </c>
      <c r="G767" s="2">
        <v>100</v>
      </c>
      <c r="H767" s="2">
        <v>322</v>
      </c>
      <c r="I767" s="2">
        <v>152</v>
      </c>
      <c r="J767" s="2">
        <v>1117</v>
      </c>
      <c r="K767" s="2">
        <v>1</v>
      </c>
      <c r="L767" s="2">
        <v>322</v>
      </c>
    </row>
    <row r="768" spans="1:12" x14ac:dyDescent="0.25">
      <c r="A768" s="4" t="str">
        <f>HYPERLINK("http://www.rosaceae.org/Prunus/Prunus_persica/p.persica_gdr_reftransV1_0000111","p.persica_gdr_reftransV1_0000111")</f>
        <v>p.persica_gdr_reftransV1_0000111</v>
      </c>
      <c r="B768" s="2">
        <v>303</v>
      </c>
      <c r="C768" s="4" t="str">
        <f>HYPERLINK("http://www.uniprot.org/uniprot/M5WBP0","M5WBP0")</f>
        <v>M5WBP0</v>
      </c>
      <c r="D768" s="2" t="s">
        <v>756</v>
      </c>
      <c r="E768" s="3">
        <v>3.7999999999999999E-40</v>
      </c>
      <c r="F768" s="2">
        <v>375</v>
      </c>
      <c r="G768" s="2">
        <v>100</v>
      </c>
      <c r="H768" s="2">
        <v>73</v>
      </c>
      <c r="I768" s="2">
        <v>3</v>
      </c>
      <c r="J768" s="2">
        <v>221</v>
      </c>
      <c r="K768" s="2">
        <v>1</v>
      </c>
      <c r="L768" s="2">
        <v>73</v>
      </c>
    </row>
    <row r="769" spans="1:12" x14ac:dyDescent="0.25">
      <c r="A769" s="4" t="str">
        <f>HYPERLINK("http://www.rosaceae.org/Prunus/Prunus_persica/p.persica_gdr_reftransV1_0000461","p.persica_gdr_reftransV1_0000461")</f>
        <v>p.persica_gdr_reftransV1_0000461</v>
      </c>
      <c r="B769" s="2">
        <v>959</v>
      </c>
      <c r="C769" s="4" t="str">
        <f>HYPERLINK("http://www.uniprot.org/uniprot/M5WB01","M5WB01")</f>
        <v>M5WB01</v>
      </c>
      <c r="D769" s="2" t="s">
        <v>757</v>
      </c>
      <c r="E769" s="3">
        <v>1.9200000000000002E-95</v>
      </c>
      <c r="F769" s="2">
        <v>746</v>
      </c>
      <c r="G769" s="2">
        <v>100</v>
      </c>
      <c r="H769" s="2">
        <v>151</v>
      </c>
      <c r="I769" s="2">
        <v>88</v>
      </c>
      <c r="J769" s="2">
        <v>540</v>
      </c>
      <c r="K769" s="2">
        <v>1</v>
      </c>
      <c r="L769" s="2">
        <v>151</v>
      </c>
    </row>
    <row r="770" spans="1:12" x14ac:dyDescent="0.25">
      <c r="A770" s="4" t="str">
        <f>HYPERLINK("http://www.rosaceae.org/Prunus/Prunus_persica/p.persica_gdr_reftransV1_0000811","p.persica_gdr_reftransV1_0000811")</f>
        <v>p.persica_gdr_reftransV1_0000811</v>
      </c>
      <c r="B770" s="2">
        <v>769</v>
      </c>
      <c r="C770" s="4" t="str">
        <f>HYPERLINK("http://www.uniprot.org/uniprot/M5X5S8","M5X5S8")</f>
        <v>M5X5S8</v>
      </c>
      <c r="D770" s="2" t="s">
        <v>758</v>
      </c>
      <c r="E770" s="3">
        <v>1.23E-170</v>
      </c>
      <c r="F770" s="2">
        <v>1284</v>
      </c>
      <c r="G770" s="2">
        <v>100</v>
      </c>
      <c r="H770" s="2">
        <v>255</v>
      </c>
      <c r="I770" s="2">
        <v>3</v>
      </c>
      <c r="J770" s="2">
        <v>767</v>
      </c>
      <c r="K770" s="2">
        <v>281</v>
      </c>
      <c r="L770" s="2">
        <v>535</v>
      </c>
    </row>
    <row r="771" spans="1:12" x14ac:dyDescent="0.25">
      <c r="A771" s="4" t="str">
        <f>HYPERLINK("http://www.rosaceae.org/Prunus/Prunus_persica/p.persica_gdr_reftransV1_0001161","p.persica_gdr_reftransV1_0001161")</f>
        <v>p.persica_gdr_reftransV1_0001161</v>
      </c>
      <c r="B771" s="2">
        <v>820</v>
      </c>
      <c r="C771" s="4" t="str">
        <f>HYPERLINK("http://www.uniprot.org/uniprot/M5W0S9","M5W0S9")</f>
        <v>M5W0S9</v>
      </c>
      <c r="D771" s="2" t="s">
        <v>759</v>
      </c>
      <c r="E771" s="3">
        <v>3.6000000000000001E-55</v>
      </c>
      <c r="F771" s="2">
        <v>470</v>
      </c>
      <c r="G771" s="2">
        <v>100</v>
      </c>
      <c r="H771" s="2">
        <v>123</v>
      </c>
      <c r="I771" s="2">
        <v>373</v>
      </c>
      <c r="J771" s="2">
        <v>741</v>
      </c>
      <c r="K771" s="2">
        <v>1</v>
      </c>
      <c r="L771" s="2">
        <v>123</v>
      </c>
    </row>
    <row r="772" spans="1:12" x14ac:dyDescent="0.25">
      <c r="A772" s="4" t="str">
        <f>HYPERLINK("http://www.rosaceae.org/Prunus/Prunus_persica/p.persica_gdr_reftransV1_0001511","p.persica_gdr_reftransV1_0001511")</f>
        <v>p.persica_gdr_reftransV1_0001511</v>
      </c>
      <c r="B772" s="2">
        <v>515</v>
      </c>
      <c r="C772" s="4" t="str">
        <f>HYPERLINK("http://www.uniprot.org/uniprot/M5WW44","M5WW44")</f>
        <v>M5WW44</v>
      </c>
      <c r="D772" s="2" t="s">
        <v>760</v>
      </c>
      <c r="E772" s="3">
        <v>5.8000000000000004E-85</v>
      </c>
      <c r="F772" s="2">
        <v>704</v>
      </c>
      <c r="G772" s="2">
        <v>96</v>
      </c>
      <c r="H772" s="2">
        <v>138</v>
      </c>
      <c r="I772" s="2">
        <v>55</v>
      </c>
      <c r="J772" s="2">
        <v>468</v>
      </c>
      <c r="K772" s="2">
        <v>1</v>
      </c>
      <c r="L772" s="2">
        <v>138</v>
      </c>
    </row>
    <row r="773" spans="1:12" x14ac:dyDescent="0.25">
      <c r="A773" s="4" t="str">
        <f>HYPERLINK("http://www.rosaceae.org/Prunus/Prunus_persica/p.persica_gdr_reftransV1_0002211","p.persica_gdr_reftransV1_0002211")</f>
        <v>p.persica_gdr_reftransV1_0002211</v>
      </c>
      <c r="B773" s="2">
        <v>942</v>
      </c>
      <c r="C773" s="4" t="str">
        <f>HYPERLINK("http://www.uniprot.org/uniprot/M5XFU8","M5XFU8")</f>
        <v>M5XFU8</v>
      </c>
      <c r="D773" s="2" t="s">
        <v>761</v>
      </c>
      <c r="E773" s="3">
        <v>1.8899999999999999E-90</v>
      </c>
      <c r="F773" s="2">
        <v>712</v>
      </c>
      <c r="G773" s="2">
        <v>100</v>
      </c>
      <c r="H773" s="2">
        <v>150</v>
      </c>
      <c r="I773" s="2">
        <v>117</v>
      </c>
      <c r="J773" s="2">
        <v>566</v>
      </c>
      <c r="K773" s="2">
        <v>13</v>
      </c>
      <c r="L773" s="2">
        <v>162</v>
      </c>
    </row>
    <row r="774" spans="1:12" x14ac:dyDescent="0.25">
      <c r="A774" s="4" t="str">
        <f>HYPERLINK("http://www.rosaceae.org/Prunus/Prunus_persica/p.persica_gdr_reftransV1_0002561","p.persica_gdr_reftransV1_0002561")</f>
        <v>p.persica_gdr_reftransV1_0002561</v>
      </c>
      <c r="B774" s="2">
        <v>1504</v>
      </c>
      <c r="C774" s="4" t="str">
        <f>HYPERLINK("http://www.uniprot.org/uniprot/M5XHL6","M5XHL6")</f>
        <v>M5XHL6</v>
      </c>
      <c r="D774" s="2" t="s">
        <v>762</v>
      </c>
      <c r="E774" s="3">
        <v>8.3999999999999997E-90</v>
      </c>
      <c r="F774" s="2">
        <v>722</v>
      </c>
      <c r="G774" s="2">
        <v>100</v>
      </c>
      <c r="H774" s="2">
        <v>138</v>
      </c>
      <c r="I774" s="2">
        <v>649</v>
      </c>
      <c r="J774" s="2">
        <v>1062</v>
      </c>
      <c r="K774" s="2">
        <v>1</v>
      </c>
      <c r="L774" s="2">
        <v>138</v>
      </c>
    </row>
    <row r="775" spans="1:12" x14ac:dyDescent="0.25">
      <c r="A775" s="4" t="str">
        <f>HYPERLINK("http://www.rosaceae.org/Prunus/Prunus_persica/p.persica_gdr_reftransV1_0002911","p.persica_gdr_reftransV1_0002911")</f>
        <v>p.persica_gdr_reftransV1_0002911</v>
      </c>
      <c r="B775" s="2">
        <v>1075</v>
      </c>
      <c r="C775" s="4" t="str">
        <f>HYPERLINK("http://www.uniprot.org/uniprot/M5VZU4","M5VZU4")</f>
        <v>M5VZU4</v>
      </c>
      <c r="D775" s="2" t="s">
        <v>763</v>
      </c>
      <c r="E775" s="3">
        <v>1.1299999999999999E-161</v>
      </c>
      <c r="F775" s="2">
        <v>1198</v>
      </c>
      <c r="G775" s="2">
        <v>100</v>
      </c>
      <c r="H775" s="2">
        <v>251</v>
      </c>
      <c r="I775" s="2">
        <v>322</v>
      </c>
      <c r="J775" s="2">
        <v>1074</v>
      </c>
      <c r="K775" s="2">
        <v>22</v>
      </c>
      <c r="L775" s="2">
        <v>272</v>
      </c>
    </row>
    <row r="776" spans="1:12" x14ac:dyDescent="0.25">
      <c r="A776" s="4" t="str">
        <f>HYPERLINK("http://www.rosaceae.org/Prunus/Prunus_persica/p.persica_gdr_reftransV1_0003961","p.persica_gdr_reftransV1_0003961")</f>
        <v>p.persica_gdr_reftransV1_0003961</v>
      </c>
      <c r="B776" s="2">
        <v>386</v>
      </c>
      <c r="C776" s="4" t="str">
        <f>HYPERLINK("http://www.uniprot.org/uniprot/M5WNM6","M5WNM6")</f>
        <v>M5WNM6</v>
      </c>
      <c r="D776" s="2" t="s">
        <v>764</v>
      </c>
      <c r="E776" s="3">
        <v>8.8700000000000008E-34</v>
      </c>
      <c r="F776" s="2">
        <v>315</v>
      </c>
      <c r="G776" s="2">
        <v>98</v>
      </c>
      <c r="H776" s="2">
        <v>63</v>
      </c>
      <c r="I776" s="2">
        <v>1</v>
      </c>
      <c r="J776" s="2">
        <v>189</v>
      </c>
      <c r="K776" s="2">
        <v>38</v>
      </c>
      <c r="L776" s="2">
        <v>100</v>
      </c>
    </row>
    <row r="777" spans="1:12" x14ac:dyDescent="0.25">
      <c r="A777" s="4" t="str">
        <f>HYPERLINK("http://www.rosaceae.org/Prunus/Prunus_persica/p.persica_gdr_reftransV1_0004311","p.persica_gdr_reftransV1_0004311")</f>
        <v>p.persica_gdr_reftransV1_0004311</v>
      </c>
      <c r="B777" s="2">
        <v>5471</v>
      </c>
      <c r="C777" s="4" t="str">
        <f>HYPERLINK("http://www.uniprot.org/uniprot/M5XM01","M5XM01")</f>
        <v>M5XM01</v>
      </c>
      <c r="D777" s="2" t="s">
        <v>765</v>
      </c>
      <c r="E777" s="3">
        <v>0</v>
      </c>
      <c r="F777" s="2">
        <v>8745</v>
      </c>
      <c r="G777" s="2">
        <v>92</v>
      </c>
      <c r="H777" s="2">
        <v>1852</v>
      </c>
      <c r="I777" s="2">
        <v>3</v>
      </c>
      <c r="J777" s="2">
        <v>5180</v>
      </c>
      <c r="K777" s="2">
        <v>4</v>
      </c>
      <c r="L777" s="2">
        <v>1855</v>
      </c>
    </row>
    <row r="778" spans="1:12" x14ac:dyDescent="0.25">
      <c r="A778" s="4" t="str">
        <f>HYPERLINK("http://www.rosaceae.org/Prunus/Prunus_persica/p.persica_gdr_reftransV1_0004661","p.persica_gdr_reftransV1_0004661")</f>
        <v>p.persica_gdr_reftransV1_0004661</v>
      </c>
      <c r="B778" s="2">
        <v>537</v>
      </c>
      <c r="C778" s="4" t="str">
        <f>HYPERLINK("http://www.uniprot.org/uniprot/W9RMP7","W9RMP7")</f>
        <v>W9RMP7</v>
      </c>
      <c r="D778" s="2" t="s">
        <v>766</v>
      </c>
      <c r="E778" s="3">
        <v>1.3900000000000002E-17</v>
      </c>
      <c r="F778" s="2">
        <v>224</v>
      </c>
      <c r="G778" s="2">
        <v>53</v>
      </c>
      <c r="H778" s="2">
        <v>95</v>
      </c>
      <c r="I778" s="2">
        <v>176</v>
      </c>
      <c r="J778" s="2">
        <v>457</v>
      </c>
      <c r="K778" s="2">
        <v>1241</v>
      </c>
      <c r="L778" s="2">
        <v>1332</v>
      </c>
    </row>
    <row r="779" spans="1:12" x14ac:dyDescent="0.25">
      <c r="A779" s="4" t="str">
        <f>HYPERLINK("http://www.rosaceae.org/Prunus/Prunus_persica/p.persica_gdr_reftransV1_0007111","p.persica_gdr_reftransV1_0007111")</f>
        <v>p.persica_gdr_reftransV1_0007111</v>
      </c>
      <c r="B779" s="2">
        <v>1346</v>
      </c>
      <c r="C779" s="4" t="str">
        <f>HYPERLINK("http://www.uniprot.org/uniprot/M5WK38","M5WK38")</f>
        <v>M5WK38</v>
      </c>
      <c r="D779" s="2" t="s">
        <v>767</v>
      </c>
      <c r="E779" s="3">
        <v>0</v>
      </c>
      <c r="F779" s="2">
        <v>1640</v>
      </c>
      <c r="G779" s="2">
        <v>96</v>
      </c>
      <c r="H779" s="2">
        <v>318</v>
      </c>
      <c r="I779" s="2">
        <v>66</v>
      </c>
      <c r="J779" s="2">
        <v>1013</v>
      </c>
      <c r="K779" s="2">
        <v>1</v>
      </c>
      <c r="L779" s="2">
        <v>318</v>
      </c>
    </row>
    <row r="780" spans="1:12" x14ac:dyDescent="0.25">
      <c r="A780" s="4" t="str">
        <f>HYPERLINK("http://www.rosaceae.org/Prunus/Prunus_persica/p.persica_gdr_reftransV1_0007461","p.persica_gdr_reftransV1_0007461")</f>
        <v>p.persica_gdr_reftransV1_0007461</v>
      </c>
      <c r="B780" s="2">
        <v>4784</v>
      </c>
      <c r="C780" s="4" t="str">
        <f>HYPERLINK("http://www.uniprot.org/uniprot/M5W797","M5W797")</f>
        <v>M5W797</v>
      </c>
      <c r="D780" s="2" t="s">
        <v>768</v>
      </c>
      <c r="E780" s="3">
        <v>0</v>
      </c>
      <c r="F780" s="2">
        <v>1556</v>
      </c>
      <c r="G780" s="2">
        <v>100</v>
      </c>
      <c r="H780" s="2">
        <v>299</v>
      </c>
      <c r="I780" s="2">
        <v>424</v>
      </c>
      <c r="J780" s="2">
        <v>1320</v>
      </c>
      <c r="K780" s="2">
        <v>681</v>
      </c>
      <c r="L780" s="2">
        <v>979</v>
      </c>
    </row>
    <row r="781" spans="1:12" x14ac:dyDescent="0.25">
      <c r="A781" s="4" t="str">
        <f>HYPERLINK("http://www.rosaceae.org/Prunus/Prunus_persica/p.persica_gdr_reftransV1_0008511","p.persica_gdr_reftransV1_0008511")</f>
        <v>p.persica_gdr_reftransV1_0008511</v>
      </c>
      <c r="B781" s="2">
        <v>2099</v>
      </c>
      <c r="C781" s="4" t="str">
        <f>HYPERLINK("http://www.uniprot.org/uniprot/M5WS02","M5WS02")</f>
        <v>M5WS02</v>
      </c>
      <c r="D781" s="2" t="s">
        <v>769</v>
      </c>
      <c r="E781" s="3">
        <v>0</v>
      </c>
      <c r="F781" s="2">
        <v>2057</v>
      </c>
      <c r="G781" s="2">
        <v>100</v>
      </c>
      <c r="H781" s="2">
        <v>443</v>
      </c>
      <c r="I781" s="2">
        <v>306</v>
      </c>
      <c r="J781" s="2">
        <v>1634</v>
      </c>
      <c r="K781" s="2">
        <v>1</v>
      </c>
      <c r="L781" s="2">
        <v>443</v>
      </c>
    </row>
    <row r="782" spans="1:12" x14ac:dyDescent="0.25">
      <c r="A782" s="4" t="str">
        <f>HYPERLINK("http://www.rosaceae.org/Prunus/Prunus_persica/p.persica_gdr_reftransV1_0009561","p.persica_gdr_reftransV1_0009561")</f>
        <v>p.persica_gdr_reftransV1_0009561</v>
      </c>
      <c r="B782" s="2">
        <v>1673</v>
      </c>
      <c r="C782" s="4" t="str">
        <f>HYPERLINK("http://www.uniprot.org/uniprot/M5W9I8","M5W9I8")</f>
        <v>M5W9I8</v>
      </c>
      <c r="D782" s="2" t="s">
        <v>770</v>
      </c>
      <c r="E782" s="3">
        <v>0</v>
      </c>
      <c r="F782" s="2">
        <v>1716</v>
      </c>
      <c r="G782" s="2">
        <v>100</v>
      </c>
      <c r="H782" s="2">
        <v>392</v>
      </c>
      <c r="I782" s="2">
        <v>282</v>
      </c>
      <c r="J782" s="2">
        <v>1457</v>
      </c>
      <c r="K782" s="2">
        <v>1</v>
      </c>
      <c r="L782" s="2">
        <v>392</v>
      </c>
    </row>
    <row r="783" spans="1:12" x14ac:dyDescent="0.25">
      <c r="A783" s="4" t="str">
        <f>HYPERLINK("http://www.rosaceae.org/Prunus/Prunus_persica/p.persica_gdr_reftransV1_0010261","p.persica_gdr_reftransV1_0010261")</f>
        <v>p.persica_gdr_reftransV1_0010261</v>
      </c>
      <c r="B783" s="2">
        <v>2628</v>
      </c>
      <c r="C783" s="4" t="str">
        <f>HYPERLINK("http://www.uniprot.org/uniprot/M5XZD6","M5XZD6")</f>
        <v>M5XZD6</v>
      </c>
      <c r="D783" s="2" t="s">
        <v>771</v>
      </c>
      <c r="E783" s="3">
        <v>3.9899999999999998E-50</v>
      </c>
      <c r="F783" s="2">
        <v>470</v>
      </c>
      <c r="G783" s="2">
        <v>97</v>
      </c>
      <c r="H783" s="2">
        <v>96</v>
      </c>
      <c r="I783" s="2">
        <v>2149</v>
      </c>
      <c r="J783" s="2">
        <v>2436</v>
      </c>
      <c r="K783" s="2">
        <v>1</v>
      </c>
      <c r="L783" s="2">
        <v>96</v>
      </c>
    </row>
    <row r="784" spans="1:12" x14ac:dyDescent="0.25">
      <c r="A784" s="4" t="str">
        <f>HYPERLINK("http://www.rosaceae.org/Prunus/Prunus_persica/p.persica_gdr_reftransV1_0010611","p.persica_gdr_reftransV1_0010611")</f>
        <v>p.persica_gdr_reftransV1_0010611</v>
      </c>
      <c r="B784" s="2">
        <v>1343</v>
      </c>
      <c r="C784" s="4" t="str">
        <f>HYPERLINK("http://www.uniprot.org/uniprot/M5X5G0","M5X5G0")</f>
        <v>M5X5G0</v>
      </c>
      <c r="D784" s="2" t="s">
        <v>772</v>
      </c>
      <c r="E784" s="3">
        <v>0</v>
      </c>
      <c r="F784" s="2">
        <v>1637</v>
      </c>
      <c r="G784" s="2">
        <v>100</v>
      </c>
      <c r="H784" s="2">
        <v>307</v>
      </c>
      <c r="I784" s="2">
        <v>245</v>
      </c>
      <c r="J784" s="2">
        <v>1165</v>
      </c>
      <c r="K784" s="2">
        <v>1</v>
      </c>
      <c r="L784" s="2">
        <v>307</v>
      </c>
    </row>
    <row r="785" spans="1:12" x14ac:dyDescent="0.25">
      <c r="A785" s="4" t="str">
        <f>HYPERLINK("http://www.rosaceae.org/Prunus/Prunus_persica/p.persica_gdr_reftransV1_0011311","p.persica_gdr_reftransV1_0011311")</f>
        <v>p.persica_gdr_reftransV1_0011311</v>
      </c>
      <c r="B785" s="2">
        <v>2616</v>
      </c>
      <c r="C785" s="4" t="str">
        <f>HYPERLINK("http://www.uniprot.org/uniprot/M5XKI2","M5XKI2")</f>
        <v>M5XKI2</v>
      </c>
      <c r="D785" s="2" t="s">
        <v>773</v>
      </c>
      <c r="E785" s="3">
        <v>0</v>
      </c>
      <c r="F785" s="2">
        <v>4104</v>
      </c>
      <c r="G785" s="2">
        <v>100</v>
      </c>
      <c r="H785" s="2">
        <v>779</v>
      </c>
      <c r="I785" s="2">
        <v>167</v>
      </c>
      <c r="J785" s="2">
        <v>2503</v>
      </c>
      <c r="K785" s="2">
        <v>1</v>
      </c>
      <c r="L785" s="2">
        <v>779</v>
      </c>
    </row>
    <row r="786" spans="1:12" x14ac:dyDescent="0.25">
      <c r="A786" s="4" t="str">
        <f>HYPERLINK("http://www.rosaceae.org/Prunus/Prunus_persica/p.persica_gdr_reftransV1_0011661","p.persica_gdr_reftransV1_0011661")</f>
        <v>p.persica_gdr_reftransV1_0011661</v>
      </c>
      <c r="B786" s="2">
        <v>2372</v>
      </c>
      <c r="C786" s="4" t="str">
        <f>HYPERLINK("http://www.uniprot.org/uniprot/M5VN21","M5VN21")</f>
        <v>M5VN21</v>
      </c>
      <c r="D786" s="2" t="s">
        <v>774</v>
      </c>
      <c r="E786" s="3">
        <v>0</v>
      </c>
      <c r="F786" s="2">
        <v>2617</v>
      </c>
      <c r="G786" s="2">
        <v>100</v>
      </c>
      <c r="H786" s="2">
        <v>617</v>
      </c>
      <c r="I786" s="2">
        <v>400</v>
      </c>
      <c r="J786" s="2">
        <v>2250</v>
      </c>
      <c r="K786" s="2">
        <v>1</v>
      </c>
      <c r="L786" s="2">
        <v>617</v>
      </c>
    </row>
    <row r="787" spans="1:12" x14ac:dyDescent="0.25">
      <c r="A787" s="4" t="str">
        <f>HYPERLINK("http://www.rosaceae.org/Prunus/Prunus_persica/p.persica_gdr_reftransV1_0012011","p.persica_gdr_reftransV1_0012011")</f>
        <v>p.persica_gdr_reftransV1_0012011</v>
      </c>
      <c r="B787" s="2">
        <v>3720</v>
      </c>
      <c r="C787" s="4" t="str">
        <f>HYPERLINK("http://www.uniprot.org/uniprot/M5XBW5","M5XBW5")</f>
        <v>M5XBW5</v>
      </c>
      <c r="D787" s="2" t="s">
        <v>775</v>
      </c>
      <c r="E787" s="3">
        <v>2.9499999999999998E-94</v>
      </c>
      <c r="F787" s="2">
        <v>813</v>
      </c>
      <c r="G787" s="2">
        <v>99</v>
      </c>
      <c r="H787" s="2">
        <v>175</v>
      </c>
      <c r="I787" s="2">
        <v>1522</v>
      </c>
      <c r="J787" s="2">
        <v>2046</v>
      </c>
      <c r="K787" s="2">
        <v>76</v>
      </c>
      <c r="L787" s="2">
        <v>250</v>
      </c>
    </row>
    <row r="788" spans="1:12" x14ac:dyDescent="0.25">
      <c r="A788" s="4" t="str">
        <f>HYPERLINK("http://www.rosaceae.org/Prunus/Prunus_persica/p.persica_gdr_reftransV1_0012361","p.persica_gdr_reftransV1_0012361")</f>
        <v>p.persica_gdr_reftransV1_0012361</v>
      </c>
      <c r="B788" s="2">
        <v>886</v>
      </c>
      <c r="C788" s="4" t="str">
        <f>HYPERLINK("http://www.uniprot.org/uniprot/M5WDP4","M5WDP4")</f>
        <v>M5WDP4</v>
      </c>
      <c r="D788" s="2" t="s">
        <v>776</v>
      </c>
      <c r="E788" s="3">
        <v>1.63E-111</v>
      </c>
      <c r="F788" s="2">
        <v>900</v>
      </c>
      <c r="G788" s="2">
        <v>100</v>
      </c>
      <c r="H788" s="2">
        <v>183</v>
      </c>
      <c r="I788" s="2">
        <v>3</v>
      </c>
      <c r="J788" s="2">
        <v>551</v>
      </c>
      <c r="K788" s="2">
        <v>1</v>
      </c>
      <c r="L788" s="2">
        <v>183</v>
      </c>
    </row>
    <row r="789" spans="1:12" x14ac:dyDescent="0.25">
      <c r="A789" s="4" t="str">
        <f>HYPERLINK("http://www.rosaceae.org/Prunus/Prunus_persica/p.persica_gdr_reftransV1_0013061","p.persica_gdr_reftransV1_0013061")</f>
        <v>p.persica_gdr_reftransV1_0013061</v>
      </c>
      <c r="B789" s="2">
        <v>3527</v>
      </c>
      <c r="C789" s="4" t="str">
        <f>HYPERLINK("http://www.uniprot.org/uniprot/M5XK97","M5XK97")</f>
        <v>M5XK97</v>
      </c>
      <c r="D789" s="2" t="s">
        <v>777</v>
      </c>
      <c r="E789" s="3">
        <v>0</v>
      </c>
      <c r="F789" s="2">
        <v>3011</v>
      </c>
      <c r="G789" s="2">
        <v>100</v>
      </c>
      <c r="H789" s="2">
        <v>691</v>
      </c>
      <c r="I789" s="2">
        <v>1166</v>
      </c>
      <c r="J789" s="2">
        <v>3238</v>
      </c>
      <c r="K789" s="2">
        <v>1</v>
      </c>
      <c r="L789" s="2">
        <v>691</v>
      </c>
    </row>
    <row r="790" spans="1:12" x14ac:dyDescent="0.25">
      <c r="A790" s="4" t="str">
        <f>HYPERLINK("http://www.rosaceae.org/Prunus/Prunus_persica/p.persica_gdr_reftransV1_0013411","p.persica_gdr_reftransV1_0013411")</f>
        <v>p.persica_gdr_reftransV1_0013411</v>
      </c>
      <c r="B790" s="2">
        <v>1370</v>
      </c>
      <c r="C790" s="4" t="str">
        <f>HYPERLINK("http://www.uniprot.org/uniprot/M5XY13","M5XY13")</f>
        <v>M5XY13</v>
      </c>
      <c r="D790" s="2" t="s">
        <v>778</v>
      </c>
      <c r="E790" s="3">
        <v>0</v>
      </c>
      <c r="F790" s="2">
        <v>1912</v>
      </c>
      <c r="G790" s="2">
        <v>100</v>
      </c>
      <c r="H790" s="2">
        <v>359</v>
      </c>
      <c r="I790" s="2">
        <v>110</v>
      </c>
      <c r="J790" s="2">
        <v>1186</v>
      </c>
      <c r="K790" s="2">
        <v>1</v>
      </c>
      <c r="L790" s="2">
        <v>359</v>
      </c>
    </row>
    <row r="791" spans="1:12" x14ac:dyDescent="0.25">
      <c r="A791" s="4" t="str">
        <f>HYPERLINK("http://www.rosaceae.org/Prunus/Prunus_persica/p.persica_gdr_reftransV1_0014811","p.persica_gdr_reftransV1_0014811")</f>
        <v>p.persica_gdr_reftransV1_0014811</v>
      </c>
      <c r="B791" s="2">
        <v>3137</v>
      </c>
      <c r="C791" s="4" t="str">
        <f>HYPERLINK("http://www.uniprot.org/uniprot/M5WQ89","M5WQ89")</f>
        <v>M5WQ89</v>
      </c>
      <c r="D791" s="2" t="s">
        <v>779</v>
      </c>
      <c r="E791" s="3">
        <v>0</v>
      </c>
      <c r="F791" s="2">
        <v>1490</v>
      </c>
      <c r="G791" s="2">
        <v>91</v>
      </c>
      <c r="H791" s="2">
        <v>319</v>
      </c>
      <c r="I791" s="2">
        <v>1235</v>
      </c>
      <c r="J791" s="2">
        <v>2185</v>
      </c>
      <c r="K791" s="2">
        <v>1</v>
      </c>
      <c r="L791" s="2">
        <v>302</v>
      </c>
    </row>
    <row r="792" spans="1:12" x14ac:dyDescent="0.25">
      <c r="A792" s="4" t="str">
        <f>HYPERLINK("http://www.rosaceae.org/Prunus/Prunus_persica/p.persica_gdr_reftransV1_0015161","p.persica_gdr_reftransV1_0015161")</f>
        <v>p.persica_gdr_reftransV1_0015161</v>
      </c>
      <c r="B792" s="2">
        <v>2649</v>
      </c>
      <c r="C792" s="4" t="str">
        <f>HYPERLINK("http://www.uniprot.org/uniprot/M5WD22","M5WD22")</f>
        <v>M5WD22</v>
      </c>
      <c r="D792" s="2" t="s">
        <v>780</v>
      </c>
      <c r="E792" s="3">
        <v>0</v>
      </c>
      <c r="F792" s="2">
        <v>2934</v>
      </c>
      <c r="G792" s="2">
        <v>93</v>
      </c>
      <c r="H792" s="2">
        <v>707</v>
      </c>
      <c r="I792" s="2">
        <v>3</v>
      </c>
      <c r="J792" s="2">
        <v>2123</v>
      </c>
      <c r="K792" s="2">
        <v>1</v>
      </c>
      <c r="L792" s="2">
        <v>660</v>
      </c>
    </row>
    <row r="793" spans="1:12" x14ac:dyDescent="0.25">
      <c r="A793" s="4" t="str">
        <f>HYPERLINK("http://www.rosaceae.org/Prunus/Prunus_persica/p.persica_gdr_reftransV1_0015861","p.persica_gdr_reftransV1_0015861")</f>
        <v>p.persica_gdr_reftransV1_0015861</v>
      </c>
      <c r="B793" s="2">
        <v>3497</v>
      </c>
      <c r="C793" s="4" t="str">
        <f>HYPERLINK("http://www.uniprot.org/uniprot/M5X8V6","M5X8V6")</f>
        <v>M5X8V6</v>
      </c>
      <c r="D793" s="2" t="s">
        <v>781</v>
      </c>
      <c r="E793" s="3">
        <v>0</v>
      </c>
      <c r="F793" s="2">
        <v>3153</v>
      </c>
      <c r="G793" s="2">
        <v>100</v>
      </c>
      <c r="H793" s="2">
        <v>729</v>
      </c>
      <c r="I793" s="2">
        <v>1179</v>
      </c>
      <c r="J793" s="2">
        <v>3365</v>
      </c>
      <c r="K793" s="2">
        <v>27</v>
      </c>
      <c r="L793" s="2">
        <v>755</v>
      </c>
    </row>
    <row r="794" spans="1:12" x14ac:dyDescent="0.25">
      <c r="A794" s="4" t="str">
        <f>HYPERLINK("http://www.rosaceae.org/Prunus/Prunus_persica/p.persica_gdr_reftransV1_0016911","p.persica_gdr_reftransV1_0016911")</f>
        <v>p.persica_gdr_reftransV1_0016911</v>
      </c>
      <c r="B794" s="2">
        <v>691</v>
      </c>
      <c r="C794" s="4" t="str">
        <f>HYPERLINK("http://www.uniprot.org/uniprot/M5X1S7","M5X1S7")</f>
        <v>M5X1S7</v>
      </c>
      <c r="D794" s="2" t="s">
        <v>782</v>
      </c>
      <c r="E794" s="3">
        <v>2.72E-69</v>
      </c>
      <c r="F794" s="2">
        <v>572</v>
      </c>
      <c r="G794" s="2">
        <v>100</v>
      </c>
      <c r="H794" s="2">
        <v>105</v>
      </c>
      <c r="I794" s="2">
        <v>377</v>
      </c>
      <c r="J794" s="2">
        <v>691</v>
      </c>
      <c r="K794" s="2">
        <v>158</v>
      </c>
      <c r="L794" s="2">
        <v>262</v>
      </c>
    </row>
    <row r="795" spans="1:12" x14ac:dyDescent="0.25">
      <c r="A795" s="4" t="str">
        <f>HYPERLINK("http://www.rosaceae.org/Prunus/Prunus_persica/p.persica_gdr_reftransV1_0017611","p.persica_gdr_reftransV1_0017611")</f>
        <v>p.persica_gdr_reftransV1_0017611</v>
      </c>
      <c r="B795" s="2">
        <v>2555</v>
      </c>
      <c r="C795" s="4" t="str">
        <f>HYPERLINK("http://www.uniprot.org/uniprot/M5WTB4","M5WTB4")</f>
        <v>M5WTB4</v>
      </c>
      <c r="D795" s="2" t="s">
        <v>783</v>
      </c>
      <c r="E795" s="3">
        <v>3.4999999999999998E-85</v>
      </c>
      <c r="F795" s="2">
        <v>724</v>
      </c>
      <c r="G795" s="2">
        <v>100</v>
      </c>
      <c r="H795" s="2">
        <v>141</v>
      </c>
      <c r="I795" s="2">
        <v>2032</v>
      </c>
      <c r="J795" s="2">
        <v>2454</v>
      </c>
      <c r="K795" s="2">
        <v>1</v>
      </c>
      <c r="L795" s="2">
        <v>141</v>
      </c>
    </row>
    <row r="796" spans="1:12" x14ac:dyDescent="0.25">
      <c r="A796" s="4" t="str">
        <f>HYPERLINK("http://www.rosaceae.org/Prunus/Prunus_persica/p.persica_gdr_reftransV1_0017961","p.persica_gdr_reftransV1_0017961")</f>
        <v>p.persica_gdr_reftransV1_0017961</v>
      </c>
      <c r="B796" s="2">
        <v>1588</v>
      </c>
      <c r="C796" s="4" t="str">
        <f>HYPERLINK("http://www.uniprot.org/uniprot/Q84UK5","Q84UK5")</f>
        <v>Q84UK5</v>
      </c>
      <c r="D796" s="2" t="s">
        <v>784</v>
      </c>
      <c r="E796" s="3">
        <v>3.5799999999999999E-138</v>
      </c>
      <c r="F796" s="2">
        <v>1058</v>
      </c>
      <c r="G796" s="2">
        <v>100</v>
      </c>
      <c r="H796" s="2">
        <v>251</v>
      </c>
      <c r="I796" s="2">
        <v>258</v>
      </c>
      <c r="J796" s="2">
        <v>1010</v>
      </c>
      <c r="K796" s="2">
        <v>2</v>
      </c>
      <c r="L796" s="2">
        <v>252</v>
      </c>
    </row>
    <row r="797" spans="1:12" x14ac:dyDescent="0.25">
      <c r="A797" s="4" t="str">
        <f>HYPERLINK("http://www.rosaceae.org/Prunus/Prunus_persica/p.persica_gdr_reftransV1_0018661","p.persica_gdr_reftransV1_0018661")</f>
        <v>p.persica_gdr_reftransV1_0018661</v>
      </c>
      <c r="B797" s="2">
        <v>2171</v>
      </c>
      <c r="C797" s="4" t="str">
        <f>HYPERLINK("http://www.uniprot.org/uniprot/M5VLY6","M5VLY6")</f>
        <v>M5VLY6</v>
      </c>
      <c r="D797" s="2" t="s">
        <v>785</v>
      </c>
      <c r="E797" s="3">
        <v>0</v>
      </c>
      <c r="F797" s="2">
        <v>1428</v>
      </c>
      <c r="G797" s="2">
        <v>100</v>
      </c>
      <c r="H797" s="2">
        <v>307</v>
      </c>
      <c r="I797" s="2">
        <v>512</v>
      </c>
      <c r="J797" s="2">
        <v>1432</v>
      </c>
      <c r="K797" s="2">
        <v>169</v>
      </c>
      <c r="L797" s="2">
        <v>475</v>
      </c>
    </row>
    <row r="798" spans="1:12" x14ac:dyDescent="0.25">
      <c r="A798" s="4" t="str">
        <f>HYPERLINK("http://www.rosaceae.org/Prunus/Prunus_persica/p.persica_gdr_reftransV1_0020411","p.persica_gdr_reftransV1_0020411")</f>
        <v>p.persica_gdr_reftransV1_0020411</v>
      </c>
      <c r="B798" s="2">
        <v>754</v>
      </c>
      <c r="C798" s="4" t="str">
        <f>HYPERLINK("http://www.uniprot.org/uniprot/M5WQI5","M5WQI5")</f>
        <v>M5WQI5</v>
      </c>
      <c r="D798" s="2" t="s">
        <v>786</v>
      </c>
      <c r="E798" s="3">
        <v>4.0899999999999997E-161</v>
      </c>
      <c r="F798" s="2">
        <v>1231</v>
      </c>
      <c r="G798" s="2">
        <v>100</v>
      </c>
      <c r="H798" s="2">
        <v>235</v>
      </c>
      <c r="I798" s="2">
        <v>48</v>
      </c>
      <c r="J798" s="2">
        <v>752</v>
      </c>
      <c r="K798" s="2">
        <v>1</v>
      </c>
      <c r="L798" s="2">
        <v>235</v>
      </c>
    </row>
    <row r="799" spans="1:12" x14ac:dyDescent="0.25">
      <c r="A799" s="4" t="str">
        <f>HYPERLINK("http://www.rosaceae.org/Prunus/Prunus_persica/p.persica_gdr_reftransV1_0021461","p.persica_gdr_reftransV1_0021461")</f>
        <v>p.persica_gdr_reftransV1_0021461</v>
      </c>
      <c r="B799" s="2">
        <v>2501</v>
      </c>
      <c r="C799" s="4" t="str">
        <f>HYPERLINK("http://www.uniprot.org/uniprot/M5X7G6","M5X7G6")</f>
        <v>M5X7G6</v>
      </c>
      <c r="D799" s="2" t="s">
        <v>787</v>
      </c>
      <c r="E799" s="3">
        <v>0</v>
      </c>
      <c r="F799" s="2">
        <v>1914</v>
      </c>
      <c r="G799" s="2">
        <v>100</v>
      </c>
      <c r="H799" s="2">
        <v>391</v>
      </c>
      <c r="I799" s="2">
        <v>200</v>
      </c>
      <c r="J799" s="2">
        <v>1372</v>
      </c>
      <c r="K799" s="2">
        <v>1</v>
      </c>
      <c r="L799" s="2">
        <v>391</v>
      </c>
    </row>
    <row r="800" spans="1:12" x14ac:dyDescent="0.25">
      <c r="A800" s="4" t="str">
        <f>HYPERLINK("http://www.rosaceae.org/Prunus/Prunus_persica/p.persica_gdr_reftransV1_0021811","p.persica_gdr_reftransV1_0021811")</f>
        <v>p.persica_gdr_reftransV1_0021811</v>
      </c>
      <c r="B800" s="2">
        <v>1128</v>
      </c>
      <c r="C800" s="4" t="str">
        <f>HYPERLINK("http://www.uniprot.org/uniprot/M5XJX2","M5XJX2")</f>
        <v>M5XJX2</v>
      </c>
      <c r="D800" s="2" t="s">
        <v>788</v>
      </c>
      <c r="E800" s="3">
        <v>0</v>
      </c>
      <c r="F800" s="2">
        <v>1777</v>
      </c>
      <c r="G800" s="2">
        <v>100</v>
      </c>
      <c r="H800" s="2">
        <v>332</v>
      </c>
      <c r="I800" s="2">
        <v>132</v>
      </c>
      <c r="J800" s="2">
        <v>1127</v>
      </c>
      <c r="K800" s="2">
        <v>1</v>
      </c>
      <c r="L800" s="2">
        <v>332</v>
      </c>
    </row>
    <row r="801" spans="1:12" x14ac:dyDescent="0.25">
      <c r="A801" s="4" t="str">
        <f>HYPERLINK("http://www.rosaceae.org/Prunus/Prunus_persica/p.persica_gdr_reftransV1_0024611","p.persica_gdr_reftransV1_0024611")</f>
        <v>p.persica_gdr_reftransV1_0024611</v>
      </c>
      <c r="B801" s="2">
        <v>2165</v>
      </c>
      <c r="C801" s="4" t="str">
        <f>HYPERLINK("http://www.uniprot.org/uniprot/M5XW04","M5XW04")</f>
        <v>M5XW04</v>
      </c>
      <c r="D801" s="2" t="s">
        <v>789</v>
      </c>
      <c r="E801" s="3">
        <v>7.2099999999999997E-118</v>
      </c>
      <c r="F801" s="2">
        <v>949</v>
      </c>
      <c r="G801" s="2">
        <v>95</v>
      </c>
      <c r="H801" s="2">
        <v>192</v>
      </c>
      <c r="I801" s="2">
        <v>1456</v>
      </c>
      <c r="J801" s="2">
        <v>2031</v>
      </c>
      <c r="K801" s="2">
        <v>18</v>
      </c>
      <c r="L801" s="2">
        <v>209</v>
      </c>
    </row>
    <row r="802" spans="1:12" x14ac:dyDescent="0.25">
      <c r="A802" s="4" t="str">
        <f>HYPERLINK("http://www.rosaceae.org/Prunus/Prunus_persica/p.persica_gdr_reftransV1_0026011","p.persica_gdr_reftransV1_0026011")</f>
        <v>p.persica_gdr_reftransV1_0026011</v>
      </c>
      <c r="B802" s="2">
        <v>773</v>
      </c>
      <c r="C802" s="4" t="str">
        <f>HYPERLINK("http://www.uniprot.org/uniprot/M5Y054","M5Y054")</f>
        <v>M5Y054</v>
      </c>
      <c r="D802" s="2" t="s">
        <v>790</v>
      </c>
      <c r="E802" s="3">
        <v>1.0699999999999999E-33</v>
      </c>
      <c r="F802" s="2">
        <v>325</v>
      </c>
      <c r="G802" s="2">
        <v>100</v>
      </c>
      <c r="H802" s="2">
        <v>138</v>
      </c>
      <c r="I802" s="2">
        <v>11</v>
      </c>
      <c r="J802" s="2">
        <v>424</v>
      </c>
      <c r="K802" s="2">
        <v>1</v>
      </c>
      <c r="L802" s="2">
        <v>138</v>
      </c>
    </row>
    <row r="803" spans="1:12" x14ac:dyDescent="0.25">
      <c r="A803" s="4" t="str">
        <f>HYPERLINK("http://www.rosaceae.org/Prunus/Prunus_persica/p.persica_gdr_reftransV1_0026711","p.persica_gdr_reftransV1_0026711")</f>
        <v>p.persica_gdr_reftransV1_0026711</v>
      </c>
      <c r="B803" s="2">
        <v>2245</v>
      </c>
      <c r="C803" s="4" t="str">
        <f>HYPERLINK("http://www.uniprot.org/uniprot/M5VWS1","M5VWS1")</f>
        <v>M5VWS1</v>
      </c>
      <c r="D803" s="2" t="s">
        <v>791</v>
      </c>
      <c r="E803" s="3">
        <v>0</v>
      </c>
      <c r="F803" s="2">
        <v>2908</v>
      </c>
      <c r="G803" s="2">
        <v>87</v>
      </c>
      <c r="H803" s="2">
        <v>657</v>
      </c>
      <c r="I803" s="2">
        <v>214</v>
      </c>
      <c r="J803" s="2">
        <v>2184</v>
      </c>
      <c r="K803" s="2">
        <v>1</v>
      </c>
      <c r="L803" s="2">
        <v>574</v>
      </c>
    </row>
    <row r="804" spans="1:12" x14ac:dyDescent="0.25">
      <c r="A804" s="4" t="str">
        <f>HYPERLINK("http://www.rosaceae.org/Prunus/Prunus_persica/p.persica_gdr_reftransV1_0028461","p.persica_gdr_reftransV1_0028461")</f>
        <v>p.persica_gdr_reftransV1_0028461</v>
      </c>
      <c r="B804" s="2">
        <v>2548</v>
      </c>
      <c r="C804" s="4" t="str">
        <f>HYPERLINK("http://www.uniprot.org/uniprot/M5WGN3","M5WGN3")</f>
        <v>M5WGN3</v>
      </c>
      <c r="D804" s="2" t="s">
        <v>792</v>
      </c>
      <c r="E804" s="3">
        <v>0</v>
      </c>
      <c r="F804" s="2">
        <v>2115</v>
      </c>
      <c r="G804" s="2">
        <v>100</v>
      </c>
      <c r="H804" s="2">
        <v>423</v>
      </c>
      <c r="I804" s="2">
        <v>1050</v>
      </c>
      <c r="J804" s="2">
        <v>2318</v>
      </c>
      <c r="K804" s="2">
        <v>1</v>
      </c>
      <c r="L804" s="2">
        <v>423</v>
      </c>
    </row>
    <row r="805" spans="1:12" x14ac:dyDescent="0.25">
      <c r="A805" s="4" t="str">
        <f>HYPERLINK("http://www.rosaceae.org/Prunus/Prunus_persica/p.persica_gdr_reftransV1_0029161","p.persica_gdr_reftransV1_0029161")</f>
        <v>p.persica_gdr_reftransV1_0029161</v>
      </c>
      <c r="B805" s="2">
        <v>3836</v>
      </c>
      <c r="C805" s="4" t="str">
        <f>HYPERLINK("http://www.uniprot.org/uniprot/M5W3N0","M5W3N0")</f>
        <v>M5W3N0</v>
      </c>
      <c r="D805" s="2" t="s">
        <v>793</v>
      </c>
      <c r="E805" s="3">
        <v>0</v>
      </c>
      <c r="F805" s="2">
        <v>5062</v>
      </c>
      <c r="G805" s="2">
        <v>100</v>
      </c>
      <c r="H805" s="2">
        <v>1071</v>
      </c>
      <c r="I805" s="2">
        <v>333</v>
      </c>
      <c r="J805" s="2">
        <v>3545</v>
      </c>
      <c r="K805" s="2">
        <v>1</v>
      </c>
      <c r="L805" s="2">
        <v>1071</v>
      </c>
    </row>
    <row r="806" spans="1:12" x14ac:dyDescent="0.25">
      <c r="A806" s="4" t="str">
        <f>HYPERLINK("http://www.rosaceae.org/Prunus/Prunus_persica/p.persica_gdr_reftransV1_0029511","p.persica_gdr_reftransV1_0029511")</f>
        <v>p.persica_gdr_reftransV1_0029511</v>
      </c>
      <c r="B806" s="2">
        <v>1919</v>
      </c>
      <c r="C806" s="4" t="str">
        <f>HYPERLINK("http://www.uniprot.org/uniprot/M5WSB9","M5WSB9")</f>
        <v>M5WSB9</v>
      </c>
      <c r="D806" s="2" t="s">
        <v>794</v>
      </c>
      <c r="E806" s="3">
        <v>0</v>
      </c>
      <c r="F806" s="2">
        <v>2185</v>
      </c>
      <c r="G806" s="2">
        <v>93</v>
      </c>
      <c r="H806" s="2">
        <v>463</v>
      </c>
      <c r="I806" s="2">
        <v>404</v>
      </c>
      <c r="J806" s="2">
        <v>1792</v>
      </c>
      <c r="K806" s="2">
        <v>1</v>
      </c>
      <c r="L806" s="2">
        <v>429</v>
      </c>
    </row>
    <row r="807" spans="1:12" x14ac:dyDescent="0.25">
      <c r="A807" s="4" t="str">
        <f>HYPERLINK("http://www.rosaceae.org/Prunus/Prunus_persica/p.persica_gdr_reftransV1_0031261","p.persica_gdr_reftransV1_0031261")</f>
        <v>p.persica_gdr_reftransV1_0031261</v>
      </c>
      <c r="B807" s="2">
        <v>3191</v>
      </c>
      <c r="C807" s="4" t="str">
        <f>HYPERLINK("http://www.uniprot.org/uniprot/M5WCK3","M5WCK3")</f>
        <v>M5WCK3</v>
      </c>
      <c r="D807" s="2" t="s">
        <v>795</v>
      </c>
      <c r="E807" s="3">
        <v>0</v>
      </c>
      <c r="F807" s="2">
        <v>3010</v>
      </c>
      <c r="G807" s="2">
        <v>100</v>
      </c>
      <c r="H807" s="2">
        <v>616</v>
      </c>
      <c r="I807" s="2">
        <v>411</v>
      </c>
      <c r="J807" s="2">
        <v>2258</v>
      </c>
      <c r="K807" s="2">
        <v>1</v>
      </c>
      <c r="L807" s="2">
        <v>616</v>
      </c>
    </row>
    <row r="808" spans="1:12" x14ac:dyDescent="0.25">
      <c r="A808" s="4" t="str">
        <f>HYPERLINK("http://www.rosaceae.org/Prunus/Prunus_persica/p.persica_gdr_reftransV1_0034061","p.persica_gdr_reftransV1_0034061")</f>
        <v>p.persica_gdr_reftransV1_0034061</v>
      </c>
      <c r="B808" s="2">
        <v>4321</v>
      </c>
      <c r="C808" s="4" t="str">
        <f>HYPERLINK("http://www.uniprot.org/uniprot/M5X3S2","M5X3S2")</f>
        <v>M5X3S2</v>
      </c>
      <c r="D808" s="2" t="s">
        <v>796</v>
      </c>
      <c r="E808" s="3">
        <v>0</v>
      </c>
      <c r="F808" s="2">
        <v>2257</v>
      </c>
      <c r="G808" s="2">
        <v>100</v>
      </c>
      <c r="H808" s="2">
        <v>423</v>
      </c>
      <c r="I808" s="2">
        <v>101</v>
      </c>
      <c r="J808" s="2">
        <v>1369</v>
      </c>
      <c r="K808" s="2">
        <v>1</v>
      </c>
      <c r="L808" s="2">
        <v>423</v>
      </c>
    </row>
    <row r="809" spans="1:12" x14ac:dyDescent="0.25">
      <c r="A809" s="4" t="str">
        <f>HYPERLINK("http://www.rosaceae.org/Prunus/Prunus_persica/p.persica_gdr_reftransV1_0035111","p.persica_gdr_reftransV1_0035111")</f>
        <v>p.persica_gdr_reftransV1_0035111</v>
      </c>
      <c r="B809" s="2">
        <v>2780</v>
      </c>
      <c r="C809" s="4" t="str">
        <f>HYPERLINK("http://www.uniprot.org/uniprot/M5W141","M5W141")</f>
        <v>M5W141</v>
      </c>
      <c r="D809" s="2" t="s">
        <v>797</v>
      </c>
      <c r="E809" s="3">
        <v>8.9600000000000003E-36</v>
      </c>
      <c r="F809" s="2">
        <v>368</v>
      </c>
      <c r="G809" s="2">
        <v>100</v>
      </c>
      <c r="H809" s="2">
        <v>71</v>
      </c>
      <c r="I809" s="2">
        <v>297</v>
      </c>
      <c r="J809" s="2">
        <v>509</v>
      </c>
      <c r="K809" s="2">
        <v>145</v>
      </c>
      <c r="L809" s="2">
        <v>215</v>
      </c>
    </row>
    <row r="810" spans="1:12" x14ac:dyDescent="0.25">
      <c r="A810" s="4" t="str">
        <f>HYPERLINK("http://www.rosaceae.org/Prunus/Prunus_persica/p.persica_gdr_reftransV1_0036861","p.persica_gdr_reftransV1_0036861")</f>
        <v>p.persica_gdr_reftransV1_0036861</v>
      </c>
      <c r="B810" s="2">
        <v>1895</v>
      </c>
      <c r="C810" s="4" t="str">
        <f>HYPERLINK("http://www.uniprot.org/uniprot/M5X245","M5X245")</f>
        <v>M5X245</v>
      </c>
      <c r="D810" s="2" t="s">
        <v>798</v>
      </c>
      <c r="E810" s="3">
        <v>2.3899999999999999E-35</v>
      </c>
      <c r="F810" s="2">
        <v>359</v>
      </c>
      <c r="G810" s="2">
        <v>64</v>
      </c>
      <c r="H810" s="2">
        <v>121</v>
      </c>
      <c r="I810" s="2">
        <v>251</v>
      </c>
      <c r="J810" s="2">
        <v>613</v>
      </c>
      <c r="K810" s="2">
        <v>150</v>
      </c>
      <c r="L810" s="2">
        <v>227</v>
      </c>
    </row>
    <row r="811" spans="1:12" x14ac:dyDescent="0.25">
      <c r="A811" s="4" t="str">
        <f>HYPERLINK("http://www.rosaceae.org/Prunus/Prunus_persica/p.persica_gdr_reftransV1_0037561","p.persica_gdr_reftransV1_0037561")</f>
        <v>p.persica_gdr_reftransV1_0037561</v>
      </c>
      <c r="B811" s="2">
        <v>897</v>
      </c>
      <c r="C811" s="4" t="str">
        <f>HYPERLINK("http://www.uniprot.org/uniprot/M5W0M0","M5W0M0")</f>
        <v>M5W0M0</v>
      </c>
      <c r="D811" s="2" t="s">
        <v>799</v>
      </c>
      <c r="E811" s="3">
        <v>5.3999999999999999E-96</v>
      </c>
      <c r="F811" s="2">
        <v>746</v>
      </c>
      <c r="G811" s="2">
        <v>100</v>
      </c>
      <c r="H811" s="2">
        <v>157</v>
      </c>
      <c r="I811" s="2">
        <v>110</v>
      </c>
      <c r="J811" s="2">
        <v>580</v>
      </c>
      <c r="K811" s="2">
        <v>1</v>
      </c>
      <c r="L811" s="2">
        <v>157</v>
      </c>
    </row>
    <row r="812" spans="1:12" x14ac:dyDescent="0.25">
      <c r="A812" s="4" t="str">
        <f>HYPERLINK("http://www.rosaceae.org/Prunus/Prunus_persica/p.persica_gdr_reftransV1_0037911","p.persica_gdr_reftransV1_0037911")</f>
        <v>p.persica_gdr_reftransV1_0037911</v>
      </c>
      <c r="B812" s="2">
        <v>3070</v>
      </c>
      <c r="C812" s="4" t="str">
        <f>HYPERLINK("http://www.uniprot.org/uniprot/M5XVI9","M5XVI9")</f>
        <v>M5XVI9</v>
      </c>
      <c r="D812" s="2" t="s">
        <v>800</v>
      </c>
      <c r="E812" s="3">
        <v>0</v>
      </c>
      <c r="F812" s="2">
        <v>2247</v>
      </c>
      <c r="G812" s="2">
        <v>100</v>
      </c>
      <c r="H812" s="2">
        <v>416</v>
      </c>
      <c r="I812" s="2">
        <v>1627</v>
      </c>
      <c r="J812" s="2">
        <v>2874</v>
      </c>
      <c r="K812" s="2">
        <v>1</v>
      </c>
      <c r="L812" s="2">
        <v>416</v>
      </c>
    </row>
    <row r="813" spans="1:12" x14ac:dyDescent="0.25">
      <c r="A813" s="4" t="str">
        <f>HYPERLINK("http://www.rosaceae.org/Prunus/Prunus_persica/p.persica_gdr_reftransV1_0043511","p.persica_gdr_reftransV1_0043511")</f>
        <v>p.persica_gdr_reftransV1_0043511</v>
      </c>
      <c r="B813" s="2">
        <v>800</v>
      </c>
      <c r="C813" s="4" t="str">
        <f>HYPERLINK("http://www.uniprot.org/uniprot/M5WGC8","M5WGC8")</f>
        <v>M5WGC8</v>
      </c>
      <c r="D813" s="2" t="s">
        <v>801</v>
      </c>
      <c r="E813" s="3">
        <v>3.3899999999999998E-84</v>
      </c>
      <c r="F813" s="2">
        <v>687</v>
      </c>
      <c r="G813" s="2">
        <v>100</v>
      </c>
      <c r="H813" s="2">
        <v>218</v>
      </c>
      <c r="I813" s="2">
        <v>146</v>
      </c>
      <c r="J813" s="2">
        <v>799</v>
      </c>
      <c r="K813" s="2">
        <v>182</v>
      </c>
      <c r="L813" s="2">
        <v>399</v>
      </c>
    </row>
    <row r="814" spans="1:12" x14ac:dyDescent="0.25">
      <c r="A814" s="4" t="str">
        <f>HYPERLINK("http://www.rosaceae.org/Prunus/Prunus_persica/p.persica_gdr_reftransV1_0043861","p.persica_gdr_reftransV1_0043861")</f>
        <v>p.persica_gdr_reftransV1_0043861</v>
      </c>
      <c r="B814" s="2">
        <v>668</v>
      </c>
      <c r="C814" s="4" t="str">
        <f>HYPERLINK("http://www.uniprot.org/uniprot/M5W0R8","M5W0R8")</f>
        <v>M5W0R8</v>
      </c>
      <c r="D814" s="2" t="s">
        <v>802</v>
      </c>
      <c r="E814" s="3">
        <v>2.24E-137</v>
      </c>
      <c r="F814" s="2">
        <v>1050</v>
      </c>
      <c r="G814" s="2">
        <v>100</v>
      </c>
      <c r="H814" s="2">
        <v>196</v>
      </c>
      <c r="I814" s="2">
        <v>80</v>
      </c>
      <c r="J814" s="2">
        <v>667</v>
      </c>
      <c r="K814" s="2">
        <v>365</v>
      </c>
      <c r="L814" s="2">
        <v>560</v>
      </c>
    </row>
    <row r="815" spans="1:12" x14ac:dyDescent="0.25">
      <c r="A815" s="4" t="str">
        <f>HYPERLINK("http://www.rosaceae.org/Prunus/Prunus_persica/p.persica_gdr_reftransV1_0044211","p.persica_gdr_reftransV1_0044211")</f>
        <v>p.persica_gdr_reftransV1_0044211</v>
      </c>
      <c r="B815" s="2">
        <v>1439</v>
      </c>
      <c r="C815" s="4" t="str">
        <f>HYPERLINK("http://www.uniprot.org/uniprot/M5XYG5","M5XYG5")</f>
        <v>M5XYG5</v>
      </c>
      <c r="D815" s="2" t="s">
        <v>803</v>
      </c>
      <c r="E815" s="3">
        <v>0</v>
      </c>
      <c r="F815" s="2">
        <v>1590</v>
      </c>
      <c r="G815" s="2">
        <v>100</v>
      </c>
      <c r="H815" s="2">
        <v>382</v>
      </c>
      <c r="I815" s="2">
        <v>71</v>
      </c>
      <c r="J815" s="2">
        <v>1216</v>
      </c>
      <c r="K815" s="2">
        <v>1</v>
      </c>
      <c r="L815" s="2">
        <v>382</v>
      </c>
    </row>
    <row r="816" spans="1:12" x14ac:dyDescent="0.25">
      <c r="A816" s="4" t="str">
        <f>HYPERLINK("http://www.rosaceae.org/Prunus/Prunus_persica/p.persica_gdr_reftransV1_0044561","p.persica_gdr_reftransV1_0044561")</f>
        <v>p.persica_gdr_reftransV1_0044561</v>
      </c>
      <c r="B816" s="2">
        <v>342</v>
      </c>
      <c r="C816" s="4" t="str">
        <f>HYPERLINK("http://www.uniprot.org/uniprot/M5VTA6","M5VTA6")</f>
        <v>M5VTA6</v>
      </c>
      <c r="D816" s="2" t="s">
        <v>804</v>
      </c>
      <c r="E816" s="3">
        <v>5.6800000000000003E-59</v>
      </c>
      <c r="F816" s="2">
        <v>517</v>
      </c>
      <c r="G816" s="2">
        <v>100</v>
      </c>
      <c r="H816" s="2">
        <v>96</v>
      </c>
      <c r="I816" s="2">
        <v>2</v>
      </c>
      <c r="J816" s="2">
        <v>289</v>
      </c>
      <c r="K816" s="2">
        <v>654</v>
      </c>
      <c r="L816" s="2">
        <v>749</v>
      </c>
    </row>
    <row r="817" spans="1:12" x14ac:dyDescent="0.25">
      <c r="A817" s="4" t="str">
        <f>HYPERLINK("http://www.rosaceae.org/Prunus/Prunus_persica/p.persica_gdr_reftransV1_0045611","p.persica_gdr_reftransV1_0045611")</f>
        <v>p.persica_gdr_reftransV1_0045611</v>
      </c>
      <c r="B817" s="2">
        <v>433</v>
      </c>
      <c r="C817" s="4" t="str">
        <f>HYPERLINK("http://www.uniprot.org/uniprot/M5XWK8","M5XWK8")</f>
        <v>M5XWK8</v>
      </c>
      <c r="D817" s="2" t="s">
        <v>805</v>
      </c>
      <c r="E817" s="3">
        <v>9.2300000000000005E-40</v>
      </c>
      <c r="F817" s="2">
        <v>378</v>
      </c>
      <c r="G817" s="2">
        <v>100</v>
      </c>
      <c r="H817" s="2">
        <v>116</v>
      </c>
      <c r="I817" s="2">
        <v>1</v>
      </c>
      <c r="J817" s="2">
        <v>348</v>
      </c>
      <c r="K817" s="2">
        <v>421</v>
      </c>
      <c r="L817" s="2">
        <v>536</v>
      </c>
    </row>
    <row r="818" spans="1:12" x14ac:dyDescent="0.25">
      <c r="A818" s="4" t="str">
        <f>HYPERLINK("http://www.rosaceae.org/Prunus/Prunus_persica/p.persica_gdr_reftransV1_0046311","p.persica_gdr_reftransV1_0046311")</f>
        <v>p.persica_gdr_reftransV1_0046311</v>
      </c>
      <c r="B818" s="2">
        <v>3012</v>
      </c>
      <c r="C818" s="4" t="str">
        <f>HYPERLINK("http://www.uniprot.org/uniprot/M5WPP7","M5WPP7")</f>
        <v>M5WPP7</v>
      </c>
      <c r="D818" s="2" t="s">
        <v>806</v>
      </c>
      <c r="E818" s="3">
        <v>0</v>
      </c>
      <c r="F818" s="2">
        <v>3983</v>
      </c>
      <c r="G818" s="2">
        <v>98</v>
      </c>
      <c r="H818" s="2">
        <v>821</v>
      </c>
      <c r="I818" s="2">
        <v>549</v>
      </c>
      <c r="J818" s="2">
        <v>3011</v>
      </c>
      <c r="K818" s="2">
        <v>138</v>
      </c>
      <c r="L818" s="2">
        <v>940</v>
      </c>
    </row>
    <row r="819" spans="1:12" x14ac:dyDescent="0.25">
      <c r="A819" s="4" t="str">
        <f>HYPERLINK("http://www.rosaceae.org/Prunus/Prunus_persica/p.persica_gdr_reftransV1_0046661","p.persica_gdr_reftransV1_0046661")</f>
        <v>p.persica_gdr_reftransV1_0046661</v>
      </c>
      <c r="B819" s="2">
        <v>920</v>
      </c>
      <c r="C819" s="4" t="str">
        <f>HYPERLINK("http://www.uniprot.org/uniprot/A0A067JRC4","A0A067JRC4")</f>
        <v>A0A067JRC4</v>
      </c>
      <c r="D819" s="2" t="s">
        <v>807</v>
      </c>
      <c r="E819" s="3">
        <v>1.79E-116</v>
      </c>
      <c r="F819" s="2">
        <v>750</v>
      </c>
      <c r="G819" s="2">
        <v>87</v>
      </c>
      <c r="H819" s="2">
        <v>151</v>
      </c>
      <c r="I819" s="2">
        <v>466</v>
      </c>
      <c r="J819" s="2">
        <v>918</v>
      </c>
      <c r="K819" s="2">
        <v>163</v>
      </c>
      <c r="L819" s="2">
        <v>313</v>
      </c>
    </row>
    <row r="820" spans="1:12" x14ac:dyDescent="0.25">
      <c r="A820" s="4" t="str">
        <f>HYPERLINK("http://www.rosaceae.org/Prunus/Prunus_persica/p.persica_gdr_reftransV1_0047711","p.persica_gdr_reftransV1_0047711")</f>
        <v>p.persica_gdr_reftransV1_0047711</v>
      </c>
      <c r="B820" s="2">
        <v>301</v>
      </c>
      <c r="C820" s="4" t="str">
        <f>HYPERLINK("http://www.uniprot.org/uniprot/M5WPW5","M5WPW5")</f>
        <v>M5WPW5</v>
      </c>
      <c r="D820" s="2" t="s">
        <v>808</v>
      </c>
      <c r="E820" s="3">
        <v>7.6600000000000006E-15</v>
      </c>
      <c r="F820" s="2">
        <v>192</v>
      </c>
      <c r="G820" s="2">
        <v>100</v>
      </c>
      <c r="H820" s="2">
        <v>35</v>
      </c>
      <c r="I820" s="2">
        <v>177</v>
      </c>
      <c r="J820" s="2">
        <v>281</v>
      </c>
      <c r="K820" s="2">
        <v>1</v>
      </c>
      <c r="L820" s="2">
        <v>35</v>
      </c>
    </row>
    <row r="821" spans="1:12" x14ac:dyDescent="0.25">
      <c r="A821" s="4" t="str">
        <f>HYPERLINK("http://www.rosaceae.org/Prunus/Prunus_persica/p.persica_gdr_reftransV1_0048061","p.persica_gdr_reftransV1_0048061")</f>
        <v>p.persica_gdr_reftransV1_0048061</v>
      </c>
      <c r="B821" s="2">
        <v>820</v>
      </c>
      <c r="C821" s="4" t="str">
        <f>HYPERLINK("http://www.uniprot.org/uniprot/M5VQ95","M5VQ95")</f>
        <v>M5VQ95</v>
      </c>
      <c r="D821" s="2" t="s">
        <v>809</v>
      </c>
      <c r="E821" s="3">
        <v>4.5000000000000003E-119</v>
      </c>
      <c r="F821" s="2">
        <v>951</v>
      </c>
      <c r="G821" s="2">
        <v>100</v>
      </c>
      <c r="H821" s="2">
        <v>229</v>
      </c>
      <c r="I821" s="2">
        <v>132</v>
      </c>
      <c r="J821" s="2">
        <v>818</v>
      </c>
      <c r="K821" s="2">
        <v>538</v>
      </c>
      <c r="L821" s="2">
        <v>766</v>
      </c>
    </row>
    <row r="822" spans="1:12" x14ac:dyDescent="0.25">
      <c r="A822" s="4" t="str">
        <f>HYPERLINK("http://www.rosaceae.org/Prunus/Prunus_persica/p.persica_gdr_reftransV1_0048411","p.persica_gdr_reftransV1_0048411")</f>
        <v>p.persica_gdr_reftransV1_0048411</v>
      </c>
      <c r="B822" s="2">
        <v>857</v>
      </c>
      <c r="C822" s="4" t="str">
        <f>HYPERLINK("http://www.uniprot.org/uniprot/M5WW24","M5WW24")</f>
        <v>M5WW24</v>
      </c>
      <c r="D822" s="2" t="s">
        <v>810</v>
      </c>
      <c r="E822" s="3">
        <v>0</v>
      </c>
      <c r="F822" s="2">
        <v>1542</v>
      </c>
      <c r="G822" s="2">
        <v>100</v>
      </c>
      <c r="H822" s="2">
        <v>285</v>
      </c>
      <c r="I822" s="2">
        <v>1</v>
      </c>
      <c r="J822" s="2">
        <v>855</v>
      </c>
      <c r="K822" s="2">
        <v>271</v>
      </c>
      <c r="L822" s="2">
        <v>555</v>
      </c>
    </row>
    <row r="823" spans="1:12" x14ac:dyDescent="0.25">
      <c r="A823" s="4" t="str">
        <f>HYPERLINK("http://www.rosaceae.org/Prunus/Prunus_persica/p.persica_gdr_reftransV1_0048761","p.persica_gdr_reftransV1_0048761")</f>
        <v>p.persica_gdr_reftransV1_0048761</v>
      </c>
      <c r="B823" s="2">
        <v>1193</v>
      </c>
      <c r="C823" s="4" t="str">
        <f>HYPERLINK("http://www.uniprot.org/uniprot/M5XG27","M5XG27")</f>
        <v>M5XG27</v>
      </c>
      <c r="D823" s="2" t="s">
        <v>811</v>
      </c>
      <c r="E823" s="3">
        <v>1.41E-166</v>
      </c>
      <c r="F823" s="2">
        <v>1232</v>
      </c>
      <c r="G823" s="2">
        <v>100</v>
      </c>
      <c r="H823" s="2">
        <v>251</v>
      </c>
      <c r="I823" s="2">
        <v>45</v>
      </c>
      <c r="J823" s="2">
        <v>797</v>
      </c>
      <c r="K823" s="2">
        <v>1</v>
      </c>
      <c r="L823" s="2">
        <v>251</v>
      </c>
    </row>
    <row r="824" spans="1:12" x14ac:dyDescent="0.25">
      <c r="A824" s="4" t="str">
        <f>HYPERLINK("http://www.rosaceae.org/Prunus/Prunus_persica/p.persica_gdr_reftransV1_0049111","p.persica_gdr_reftransV1_0049111")</f>
        <v>p.persica_gdr_reftransV1_0049111</v>
      </c>
      <c r="B824" s="2">
        <v>409</v>
      </c>
      <c r="C824" s="4" t="str">
        <f>HYPERLINK("http://www.uniprot.org/uniprot/M5WS99","M5WS99")</f>
        <v>M5WS99</v>
      </c>
      <c r="D824" s="2" t="s">
        <v>812</v>
      </c>
      <c r="E824" s="3">
        <v>5.5000000000000002E-92</v>
      </c>
      <c r="F824" s="2">
        <v>730</v>
      </c>
      <c r="G824" s="2">
        <v>100</v>
      </c>
      <c r="H824" s="2">
        <v>136</v>
      </c>
      <c r="I824" s="2">
        <v>1</v>
      </c>
      <c r="J824" s="2">
        <v>408</v>
      </c>
      <c r="K824" s="2">
        <v>37</v>
      </c>
      <c r="L824" s="2">
        <v>172</v>
      </c>
    </row>
    <row r="825" spans="1:12" x14ac:dyDescent="0.25">
      <c r="A825" s="4" t="str">
        <f>HYPERLINK("http://www.rosaceae.org/Prunus/Prunus_persica/p.persica_gdr_reftransV1_0000112","p.persica_gdr_reftransV1_0000112")</f>
        <v>p.persica_gdr_reftransV1_0000112</v>
      </c>
      <c r="B825" s="2">
        <v>1712</v>
      </c>
      <c r="C825" s="4" t="str">
        <f>HYPERLINK("http://www.uniprot.org/uniprot/M5WEL0","M5WEL0")</f>
        <v>M5WEL0</v>
      </c>
      <c r="D825" s="2" t="s">
        <v>813</v>
      </c>
      <c r="E825" s="3">
        <v>0</v>
      </c>
      <c r="F825" s="2">
        <v>1713</v>
      </c>
      <c r="G825" s="2">
        <v>97</v>
      </c>
      <c r="H825" s="2">
        <v>368</v>
      </c>
      <c r="I825" s="2">
        <v>184</v>
      </c>
      <c r="J825" s="2">
        <v>1287</v>
      </c>
      <c r="K825" s="2">
        <v>24</v>
      </c>
      <c r="L825" s="2">
        <v>380</v>
      </c>
    </row>
    <row r="826" spans="1:12" x14ac:dyDescent="0.25">
      <c r="A826" s="4" t="str">
        <f>HYPERLINK("http://www.rosaceae.org/Prunus/Prunus_persica/p.persica_gdr_reftransV1_0000462","p.persica_gdr_reftransV1_0000462")</f>
        <v>p.persica_gdr_reftransV1_0000462</v>
      </c>
      <c r="B826" s="2">
        <v>866</v>
      </c>
      <c r="C826" s="4" t="str">
        <f>HYPERLINK("http://www.uniprot.org/uniprot/Q2LAF3","Q2LAF3")</f>
        <v>Q2LAF3</v>
      </c>
      <c r="D826" s="2" t="s">
        <v>814</v>
      </c>
      <c r="E826" s="3">
        <v>5.9300000000000001E-95</v>
      </c>
      <c r="F826" s="2">
        <v>760</v>
      </c>
      <c r="G826" s="2">
        <v>98</v>
      </c>
      <c r="H826" s="2">
        <v>142</v>
      </c>
      <c r="I826" s="2">
        <v>179</v>
      </c>
      <c r="J826" s="2">
        <v>604</v>
      </c>
      <c r="K826" s="2">
        <v>252</v>
      </c>
      <c r="L826" s="2">
        <v>393</v>
      </c>
    </row>
    <row r="827" spans="1:12" x14ac:dyDescent="0.25">
      <c r="A827" s="4" t="str">
        <f>HYPERLINK("http://www.rosaceae.org/Prunus/Prunus_persica/p.persica_gdr_reftransV1_0002212","p.persica_gdr_reftransV1_0002212")</f>
        <v>p.persica_gdr_reftransV1_0002212</v>
      </c>
      <c r="B827" s="2">
        <v>374</v>
      </c>
      <c r="C827" s="4" t="str">
        <f>HYPERLINK("http://www.uniprot.org/uniprot/X0Cid9","X0Cid9")</f>
        <v>X0Cid9</v>
      </c>
      <c r="D827" s="2" t="s">
        <v>815</v>
      </c>
      <c r="E827" s="3">
        <v>1.3E-83</v>
      </c>
      <c r="F827" s="2">
        <v>664</v>
      </c>
      <c r="G827" s="2">
        <v>99</v>
      </c>
      <c r="H827" s="2">
        <v>124</v>
      </c>
      <c r="I827" s="2">
        <v>3</v>
      </c>
      <c r="J827" s="2">
        <v>374</v>
      </c>
      <c r="K827" s="2">
        <v>147</v>
      </c>
      <c r="L827" s="2">
        <v>270</v>
      </c>
    </row>
    <row r="828" spans="1:12" x14ac:dyDescent="0.25">
      <c r="A828" s="4" t="str">
        <f>HYPERLINK("http://www.rosaceae.org/Prunus/Prunus_persica/p.persica_gdr_reftransV1_0002562","p.persica_gdr_reftransV1_0002562")</f>
        <v>p.persica_gdr_reftransV1_0002562</v>
      </c>
      <c r="B828" s="2">
        <v>763</v>
      </c>
      <c r="C828" s="4" t="str">
        <f>HYPERLINK("http://www.uniprot.org/uniprot/M5W0B9","M5W0B9")</f>
        <v>M5W0B9</v>
      </c>
      <c r="D828" s="2" t="s">
        <v>816</v>
      </c>
      <c r="E828" s="3">
        <v>1.02E-120</v>
      </c>
      <c r="F828" s="2">
        <v>908</v>
      </c>
      <c r="G828" s="2">
        <v>100</v>
      </c>
      <c r="H828" s="2">
        <v>184</v>
      </c>
      <c r="I828" s="2">
        <v>3</v>
      </c>
      <c r="J828" s="2">
        <v>554</v>
      </c>
      <c r="K828" s="2">
        <v>3</v>
      </c>
      <c r="L828" s="2">
        <v>186</v>
      </c>
    </row>
    <row r="829" spans="1:12" x14ac:dyDescent="0.25">
      <c r="A829" s="4" t="str">
        <f>HYPERLINK("http://www.rosaceae.org/Prunus/Prunus_persica/p.persica_gdr_reftransV1_0002912","p.persica_gdr_reftransV1_0002912")</f>
        <v>p.persica_gdr_reftransV1_0002912</v>
      </c>
      <c r="B829" s="2">
        <v>1158</v>
      </c>
      <c r="C829" s="4" t="str">
        <f>HYPERLINK("http://www.uniprot.org/uniprot/M5XJP1","M5XJP1")</f>
        <v>M5XJP1</v>
      </c>
      <c r="D829" s="2" t="s">
        <v>817</v>
      </c>
      <c r="E829" s="3">
        <v>0</v>
      </c>
      <c r="F829" s="2">
        <v>1395</v>
      </c>
      <c r="G829" s="2">
        <v>100</v>
      </c>
      <c r="H829" s="2">
        <v>258</v>
      </c>
      <c r="I829" s="2">
        <v>350</v>
      </c>
      <c r="J829" s="2">
        <v>1123</v>
      </c>
      <c r="K829" s="2">
        <v>1</v>
      </c>
      <c r="L829" s="2">
        <v>258</v>
      </c>
    </row>
    <row r="830" spans="1:12" x14ac:dyDescent="0.25">
      <c r="A830" s="4" t="str">
        <f>HYPERLINK("http://www.rosaceae.org/Prunus/Prunus_persica/p.persica_gdr_reftransV1_0003612","p.persica_gdr_reftransV1_0003612")</f>
        <v>p.persica_gdr_reftransV1_0003612</v>
      </c>
      <c r="B830" s="2">
        <v>4312</v>
      </c>
      <c r="C830" s="4" t="str">
        <f>HYPERLINK("http://www.uniprot.org/uniprot/M5VVQ2","M5VVQ2")</f>
        <v>M5VVQ2</v>
      </c>
      <c r="D830" s="2" t="s">
        <v>818</v>
      </c>
      <c r="E830" s="3">
        <v>0</v>
      </c>
      <c r="F830" s="2">
        <v>4255</v>
      </c>
      <c r="G830" s="2">
        <v>100</v>
      </c>
      <c r="H830" s="2">
        <v>813</v>
      </c>
      <c r="I830" s="2">
        <v>1398</v>
      </c>
      <c r="J830" s="2">
        <v>3836</v>
      </c>
      <c r="K830" s="2">
        <v>1</v>
      </c>
      <c r="L830" s="2">
        <v>813</v>
      </c>
    </row>
    <row r="831" spans="1:12" x14ac:dyDescent="0.25">
      <c r="A831" s="4" t="str">
        <f>HYPERLINK("http://www.rosaceae.org/Prunus/Prunus_persica/p.persica_gdr_reftransV1_0003962","p.persica_gdr_reftransV1_0003962")</f>
        <v>p.persica_gdr_reftransV1_0003962</v>
      </c>
      <c r="B831" s="2">
        <v>882</v>
      </c>
      <c r="C831" s="4" t="str">
        <f>HYPERLINK("http://www.uniprot.org/uniprot/M5WVM5","M5WVM5")</f>
        <v>M5WVM5</v>
      </c>
      <c r="D831" s="2" t="s">
        <v>819</v>
      </c>
      <c r="E831" s="3">
        <v>5.2299999999999998E-83</v>
      </c>
      <c r="F831" s="2">
        <v>659</v>
      </c>
      <c r="G831" s="2">
        <v>100</v>
      </c>
      <c r="H831" s="2">
        <v>151</v>
      </c>
      <c r="I831" s="2">
        <v>75</v>
      </c>
      <c r="J831" s="2">
        <v>527</v>
      </c>
      <c r="K831" s="2">
        <v>1</v>
      </c>
      <c r="L831" s="2">
        <v>151</v>
      </c>
    </row>
    <row r="832" spans="1:12" x14ac:dyDescent="0.25">
      <c r="A832" s="4" t="str">
        <f>HYPERLINK("http://www.rosaceae.org/Prunus/Prunus_persica/p.persica_gdr_reftransV1_0004312","p.persica_gdr_reftransV1_0004312")</f>
        <v>p.persica_gdr_reftransV1_0004312</v>
      </c>
      <c r="B832" s="2">
        <v>2659</v>
      </c>
      <c r="C832" s="4" t="str">
        <f>HYPERLINK("http://www.uniprot.org/uniprot/M5W5P9","M5W5P9")</f>
        <v>M5W5P9</v>
      </c>
      <c r="D832" s="2" t="s">
        <v>820</v>
      </c>
      <c r="E832" s="3">
        <v>0</v>
      </c>
      <c r="F832" s="2">
        <v>3729</v>
      </c>
      <c r="G832" s="2">
        <v>98</v>
      </c>
      <c r="H832" s="2">
        <v>761</v>
      </c>
      <c r="I832" s="2">
        <v>377</v>
      </c>
      <c r="J832" s="2">
        <v>2659</v>
      </c>
      <c r="K832" s="2">
        <v>249</v>
      </c>
      <c r="L832" s="2">
        <v>997</v>
      </c>
    </row>
    <row r="833" spans="1:12" x14ac:dyDescent="0.25">
      <c r="A833" s="4" t="str">
        <f>HYPERLINK("http://www.rosaceae.org/Prunus/Prunus_persica/p.persica_gdr_reftransV1_0004662","p.persica_gdr_reftransV1_0004662")</f>
        <v>p.persica_gdr_reftransV1_0004662</v>
      </c>
      <c r="B833" s="2">
        <v>414</v>
      </c>
      <c r="C833" s="4" t="str">
        <f>HYPERLINK("http://www.uniprot.org/uniprot/M5Y4C4","M5Y4C4")</f>
        <v>M5Y4C4</v>
      </c>
      <c r="D833" s="2" t="s">
        <v>821</v>
      </c>
      <c r="E833" s="3">
        <v>3.67E-81</v>
      </c>
      <c r="F833" s="2">
        <v>692</v>
      </c>
      <c r="G833" s="2">
        <v>100</v>
      </c>
      <c r="H833" s="2">
        <v>138</v>
      </c>
      <c r="I833" s="2">
        <v>1</v>
      </c>
      <c r="J833" s="2">
        <v>414</v>
      </c>
      <c r="K833" s="2">
        <v>640</v>
      </c>
      <c r="L833" s="2">
        <v>777</v>
      </c>
    </row>
    <row r="834" spans="1:12" x14ac:dyDescent="0.25">
      <c r="A834" s="4" t="str">
        <f>HYPERLINK("http://www.rosaceae.org/Prunus/Prunus_persica/p.persica_gdr_reftransV1_0006762","p.persica_gdr_reftransV1_0006762")</f>
        <v>p.persica_gdr_reftransV1_0006762</v>
      </c>
      <c r="B834" s="2">
        <v>1470</v>
      </c>
      <c r="C834" s="4" t="str">
        <f>HYPERLINK("http://www.uniprot.org/uniprot/M5VL33","M5VL33")</f>
        <v>M5VL33</v>
      </c>
      <c r="D834" s="2" t="s">
        <v>822</v>
      </c>
      <c r="E834" s="3">
        <v>0</v>
      </c>
      <c r="F834" s="2">
        <v>1356</v>
      </c>
      <c r="G834" s="2">
        <v>100</v>
      </c>
      <c r="H834" s="2">
        <v>321</v>
      </c>
      <c r="I834" s="2">
        <v>53</v>
      </c>
      <c r="J834" s="2">
        <v>1015</v>
      </c>
      <c r="K834" s="2">
        <v>1</v>
      </c>
      <c r="L834" s="2">
        <v>321</v>
      </c>
    </row>
    <row r="835" spans="1:12" x14ac:dyDescent="0.25">
      <c r="A835" s="4" t="str">
        <f>HYPERLINK("http://www.rosaceae.org/Prunus/Prunus_persica/p.persica_gdr_reftransV1_0007812","p.persica_gdr_reftransV1_0007812")</f>
        <v>p.persica_gdr_reftransV1_0007812</v>
      </c>
      <c r="B835" s="2">
        <v>1165</v>
      </c>
      <c r="C835" s="4" t="str">
        <f>HYPERLINK("http://www.uniprot.org/uniprot/M5WWQ0","M5WWQ0")</f>
        <v>M5WWQ0</v>
      </c>
      <c r="D835" s="2" t="s">
        <v>823</v>
      </c>
      <c r="E835" s="3">
        <v>1.6000000000000001E-165</v>
      </c>
      <c r="F835" s="2">
        <v>1223</v>
      </c>
      <c r="G835" s="2">
        <v>100</v>
      </c>
      <c r="H835" s="2">
        <v>238</v>
      </c>
      <c r="I835" s="2">
        <v>215</v>
      </c>
      <c r="J835" s="2">
        <v>928</v>
      </c>
      <c r="K835" s="2">
        <v>1</v>
      </c>
      <c r="L835" s="2">
        <v>238</v>
      </c>
    </row>
    <row r="836" spans="1:12" x14ac:dyDescent="0.25">
      <c r="A836" s="4" t="str">
        <f>HYPERLINK("http://www.rosaceae.org/Prunus/Prunus_persica/p.persica_gdr_reftransV1_0008162","p.persica_gdr_reftransV1_0008162")</f>
        <v>p.persica_gdr_reftransV1_0008162</v>
      </c>
      <c r="B836" s="2">
        <v>2214</v>
      </c>
      <c r="C836" s="4" t="str">
        <f>HYPERLINK("http://www.uniprot.org/uniprot/M5WD91","M5WD91")</f>
        <v>M5WD91</v>
      </c>
      <c r="D836" s="2" t="s">
        <v>824</v>
      </c>
      <c r="E836" s="3">
        <v>0</v>
      </c>
      <c r="F836" s="2">
        <v>3281</v>
      </c>
      <c r="G836" s="2">
        <v>98</v>
      </c>
      <c r="H836" s="2">
        <v>624</v>
      </c>
      <c r="I836" s="2">
        <v>302</v>
      </c>
      <c r="J836" s="2">
        <v>2170</v>
      </c>
      <c r="K836" s="2">
        <v>23</v>
      </c>
      <c r="L836" s="2">
        <v>646</v>
      </c>
    </row>
    <row r="837" spans="1:12" x14ac:dyDescent="0.25">
      <c r="A837" s="4" t="str">
        <f>HYPERLINK("http://www.rosaceae.org/Prunus/Prunus_persica/p.persica_gdr_reftransV1_0008512","p.persica_gdr_reftransV1_0008512")</f>
        <v>p.persica_gdr_reftransV1_0008512</v>
      </c>
      <c r="B837" s="2">
        <v>3083</v>
      </c>
      <c r="C837" s="4" t="str">
        <f>HYPERLINK("http://www.uniprot.org/uniprot/A5B699","A5B699")</f>
        <v>A5B699</v>
      </c>
      <c r="D837" s="2" t="s">
        <v>825</v>
      </c>
      <c r="E837" s="3">
        <v>1.2700000000000001E-87</v>
      </c>
      <c r="F837" s="2">
        <v>620</v>
      </c>
      <c r="G837" s="2">
        <v>37</v>
      </c>
      <c r="H837" s="2">
        <v>394</v>
      </c>
      <c r="I837" s="2">
        <v>1607</v>
      </c>
      <c r="J837" s="2">
        <v>2782</v>
      </c>
      <c r="K837" s="2">
        <v>218</v>
      </c>
      <c r="L837" s="2">
        <v>560</v>
      </c>
    </row>
    <row r="838" spans="1:12" x14ac:dyDescent="0.25">
      <c r="A838" s="4" t="str">
        <f>HYPERLINK("http://www.rosaceae.org/Prunus/Prunus_persica/p.persica_gdr_reftransV1_0010612","p.persica_gdr_reftransV1_0010612")</f>
        <v>p.persica_gdr_reftransV1_0010612</v>
      </c>
      <c r="B838" s="2">
        <v>1932</v>
      </c>
      <c r="C838" s="4" t="str">
        <f>HYPERLINK("http://www.uniprot.org/uniprot/M5VLX9","M5VLX9")</f>
        <v>M5VLX9</v>
      </c>
      <c r="D838" s="2" t="s">
        <v>826</v>
      </c>
      <c r="E838" s="3">
        <v>0</v>
      </c>
      <c r="F838" s="2">
        <v>2268</v>
      </c>
      <c r="G838" s="2">
        <v>100</v>
      </c>
      <c r="H838" s="2">
        <v>485</v>
      </c>
      <c r="I838" s="2">
        <v>349</v>
      </c>
      <c r="J838" s="2">
        <v>1803</v>
      </c>
      <c r="K838" s="2">
        <v>26</v>
      </c>
      <c r="L838" s="2">
        <v>510</v>
      </c>
    </row>
    <row r="839" spans="1:12" x14ac:dyDescent="0.25">
      <c r="A839" s="4" t="str">
        <f>HYPERLINK("http://www.rosaceae.org/Prunus/Prunus_persica/p.persica_gdr_reftransV1_0010962","p.persica_gdr_reftransV1_0010962")</f>
        <v>p.persica_gdr_reftransV1_0010962</v>
      </c>
      <c r="B839" s="2">
        <v>1701</v>
      </c>
      <c r="C839" s="4" t="str">
        <f>HYPERLINK("http://www.uniprot.org/uniprot/M5WHT8","M5WHT8")</f>
        <v>M5WHT8</v>
      </c>
      <c r="D839" s="2" t="s">
        <v>827</v>
      </c>
      <c r="E839" s="3">
        <v>0</v>
      </c>
      <c r="F839" s="2">
        <v>2334</v>
      </c>
      <c r="G839" s="2">
        <v>99</v>
      </c>
      <c r="H839" s="2">
        <v>467</v>
      </c>
      <c r="I839" s="2">
        <v>51</v>
      </c>
      <c r="J839" s="2">
        <v>1451</v>
      </c>
      <c r="K839" s="2">
        <v>1</v>
      </c>
      <c r="L839" s="2">
        <v>467</v>
      </c>
    </row>
    <row r="840" spans="1:12" x14ac:dyDescent="0.25">
      <c r="A840" s="4" t="str">
        <f>HYPERLINK("http://www.rosaceae.org/Prunus/Prunus_persica/p.persica_gdr_reftransV1_0011312","p.persica_gdr_reftransV1_0011312")</f>
        <v>p.persica_gdr_reftransV1_0011312</v>
      </c>
      <c r="B840" s="2">
        <v>1637</v>
      </c>
      <c r="C840" s="4" t="str">
        <f>HYPERLINK("http://www.uniprot.org/uniprot/M5XPM4","M5XPM4")</f>
        <v>M5XPM4</v>
      </c>
      <c r="D840" s="2" t="s">
        <v>828</v>
      </c>
      <c r="E840" s="3">
        <v>0</v>
      </c>
      <c r="F840" s="2">
        <v>1768</v>
      </c>
      <c r="G840" s="2">
        <v>100</v>
      </c>
      <c r="H840" s="2">
        <v>349</v>
      </c>
      <c r="I840" s="2">
        <v>400</v>
      </c>
      <c r="J840" s="2">
        <v>1446</v>
      </c>
      <c r="K840" s="2">
        <v>1</v>
      </c>
      <c r="L840" s="2">
        <v>349</v>
      </c>
    </row>
    <row r="841" spans="1:12" x14ac:dyDescent="0.25">
      <c r="A841" s="4" t="str">
        <f>HYPERLINK("http://www.rosaceae.org/Prunus/Prunus_persica/p.persica_gdr_reftransV1_0011662","p.persica_gdr_reftransV1_0011662")</f>
        <v>p.persica_gdr_reftransV1_0011662</v>
      </c>
      <c r="B841" s="2">
        <v>1527</v>
      </c>
      <c r="C841" s="4" t="str">
        <f>HYPERLINK("http://www.uniprot.org/uniprot/M5XB50","M5XB50")</f>
        <v>M5XB50</v>
      </c>
      <c r="D841" s="2" t="s">
        <v>829</v>
      </c>
      <c r="E841" s="3">
        <v>7.8600000000000001E-127</v>
      </c>
      <c r="F841" s="2">
        <v>841</v>
      </c>
      <c r="G841" s="2">
        <v>100</v>
      </c>
      <c r="H841" s="2">
        <v>159</v>
      </c>
      <c r="I841" s="2">
        <v>570</v>
      </c>
      <c r="J841" s="2">
        <v>1046</v>
      </c>
      <c r="K841" s="2">
        <v>139</v>
      </c>
      <c r="L841" s="2">
        <v>297</v>
      </c>
    </row>
    <row r="842" spans="1:12" x14ac:dyDescent="0.25">
      <c r="A842" s="4" t="str">
        <f>HYPERLINK("http://www.rosaceae.org/Prunus/Prunus_persica/p.persica_gdr_reftransV1_0012712","p.persica_gdr_reftransV1_0012712")</f>
        <v>p.persica_gdr_reftransV1_0012712</v>
      </c>
      <c r="B842" s="2">
        <v>456</v>
      </c>
      <c r="C842" s="4" t="str">
        <f>HYPERLINK("http://www.uniprot.org/uniprot/A0A059CI09","A0A059CI09")</f>
        <v>A0A059CI09</v>
      </c>
      <c r="D842" s="2" t="s">
        <v>830</v>
      </c>
      <c r="E842" s="3">
        <v>1.5600000000000001E-51</v>
      </c>
      <c r="F842" s="2">
        <v>470</v>
      </c>
      <c r="G842" s="2">
        <v>61</v>
      </c>
      <c r="H842" s="2">
        <v>149</v>
      </c>
      <c r="I842" s="2">
        <v>9</v>
      </c>
      <c r="J842" s="2">
        <v>455</v>
      </c>
      <c r="K842" s="2">
        <v>90</v>
      </c>
      <c r="L842" s="2">
        <v>237</v>
      </c>
    </row>
    <row r="843" spans="1:12" x14ac:dyDescent="0.25">
      <c r="A843" s="4" t="str">
        <f>HYPERLINK("http://www.rosaceae.org/Prunus/Prunus_persica/p.persica_gdr_reftransV1_0013062","p.persica_gdr_reftransV1_0013062")</f>
        <v>p.persica_gdr_reftransV1_0013062</v>
      </c>
      <c r="B843" s="2">
        <v>967</v>
      </c>
      <c r="C843" s="4" t="str">
        <f>HYPERLINK("http://www.uniprot.org/uniprot/M5VKI9","M5VKI9")</f>
        <v>M5VKI9</v>
      </c>
      <c r="D843" s="2" t="s">
        <v>831</v>
      </c>
      <c r="E843" s="3">
        <v>9.7900000000000002E-156</v>
      </c>
      <c r="F843" s="2">
        <v>1149</v>
      </c>
      <c r="G843" s="2">
        <v>100</v>
      </c>
      <c r="H843" s="2">
        <v>217</v>
      </c>
      <c r="I843" s="2">
        <v>48</v>
      </c>
      <c r="J843" s="2">
        <v>698</v>
      </c>
      <c r="K843" s="2">
        <v>1</v>
      </c>
      <c r="L843" s="2">
        <v>217</v>
      </c>
    </row>
    <row r="844" spans="1:12" x14ac:dyDescent="0.25">
      <c r="A844" s="4" t="str">
        <f>HYPERLINK("http://www.rosaceae.org/Prunus/Prunus_persica/p.persica_gdr_reftransV1_0014112","p.persica_gdr_reftransV1_0014112")</f>
        <v>p.persica_gdr_reftransV1_0014112</v>
      </c>
      <c r="B844" s="2">
        <v>3054</v>
      </c>
      <c r="C844" s="4" t="str">
        <f>HYPERLINK("http://www.uniprot.org/uniprot/M5XAT5","M5XAT5")</f>
        <v>M5XAT5</v>
      </c>
      <c r="D844" s="2" t="s">
        <v>832</v>
      </c>
      <c r="E844" s="3">
        <v>0</v>
      </c>
      <c r="F844" s="2">
        <v>4123</v>
      </c>
      <c r="G844" s="2">
        <v>100</v>
      </c>
      <c r="H844" s="2">
        <v>813</v>
      </c>
      <c r="I844" s="2">
        <v>193</v>
      </c>
      <c r="J844" s="2">
        <v>2631</v>
      </c>
      <c r="K844" s="2">
        <v>1</v>
      </c>
      <c r="L844" s="2">
        <v>813</v>
      </c>
    </row>
    <row r="845" spans="1:12" x14ac:dyDescent="0.25">
      <c r="A845" s="4" t="str">
        <f>HYPERLINK("http://www.rosaceae.org/Prunus/Prunus_persica/p.persica_gdr_reftransV1_0014812","p.persica_gdr_reftransV1_0014812")</f>
        <v>p.persica_gdr_reftransV1_0014812</v>
      </c>
      <c r="B845" s="2">
        <v>4187</v>
      </c>
      <c r="C845" s="4" t="str">
        <f>HYPERLINK("http://www.uniprot.org/uniprot/M5VXP9","M5VXP9")</f>
        <v>M5VXP9</v>
      </c>
      <c r="D845" s="2" t="s">
        <v>833</v>
      </c>
      <c r="E845" s="3">
        <v>0</v>
      </c>
      <c r="F845" s="2">
        <v>5368</v>
      </c>
      <c r="G845" s="2">
        <v>100</v>
      </c>
      <c r="H845" s="2">
        <v>1145</v>
      </c>
      <c r="I845" s="2">
        <v>282</v>
      </c>
      <c r="J845" s="2">
        <v>3716</v>
      </c>
      <c r="K845" s="2">
        <v>1</v>
      </c>
      <c r="L845" s="2">
        <v>1145</v>
      </c>
    </row>
    <row r="846" spans="1:12" x14ac:dyDescent="0.25">
      <c r="A846" s="4" t="str">
        <f>HYPERLINK("http://www.rosaceae.org/Prunus/Prunus_persica/p.persica_gdr_reftransV1_0015162","p.persica_gdr_reftransV1_0015162")</f>
        <v>p.persica_gdr_reftransV1_0015162</v>
      </c>
      <c r="B846" s="2">
        <v>817</v>
      </c>
      <c r="C846" s="4" t="str">
        <f>HYPERLINK("http://www.uniprot.org/uniprot/M5XY20","M5XY20")</f>
        <v>M5XY20</v>
      </c>
      <c r="D846" s="2" t="s">
        <v>834</v>
      </c>
      <c r="E846" s="3">
        <v>1.6800000000000001E-63</v>
      </c>
      <c r="F846" s="2">
        <v>579</v>
      </c>
      <c r="G846" s="2">
        <v>100</v>
      </c>
      <c r="H846" s="2">
        <v>106</v>
      </c>
      <c r="I846" s="2">
        <v>3</v>
      </c>
      <c r="J846" s="2">
        <v>320</v>
      </c>
      <c r="K846" s="2">
        <v>13</v>
      </c>
      <c r="L846" s="2">
        <v>118</v>
      </c>
    </row>
    <row r="847" spans="1:12" x14ac:dyDescent="0.25">
      <c r="A847" s="4" t="str">
        <f>HYPERLINK("http://www.rosaceae.org/Prunus/Prunus_persica/p.persica_gdr_reftransV1_0015512","p.persica_gdr_reftransV1_0015512")</f>
        <v>p.persica_gdr_reftransV1_0015512</v>
      </c>
      <c r="B847" s="2">
        <v>1201</v>
      </c>
      <c r="C847" s="4" t="str">
        <f>HYPERLINK("http://www.uniprot.org/uniprot/M5XZK0","M5XZK0")</f>
        <v>M5XZK0</v>
      </c>
      <c r="D847" s="2" t="s">
        <v>835</v>
      </c>
      <c r="E847" s="3">
        <v>9.1000000000000008E-87</v>
      </c>
      <c r="F847" s="2">
        <v>701</v>
      </c>
      <c r="G847" s="2">
        <v>100</v>
      </c>
      <c r="H847" s="2">
        <v>131</v>
      </c>
      <c r="I847" s="2">
        <v>703</v>
      </c>
      <c r="J847" s="2">
        <v>1095</v>
      </c>
      <c r="K847" s="2">
        <v>83</v>
      </c>
      <c r="L847" s="2">
        <v>213</v>
      </c>
    </row>
    <row r="848" spans="1:12" x14ac:dyDescent="0.25">
      <c r="A848" s="4" t="str">
        <f>HYPERLINK("http://www.rosaceae.org/Prunus/Prunus_persica/p.persica_gdr_reftransV1_0015862","p.persica_gdr_reftransV1_0015862")</f>
        <v>p.persica_gdr_reftransV1_0015862</v>
      </c>
      <c r="B848" s="2">
        <v>1003</v>
      </c>
      <c r="C848" s="4" t="str">
        <f>HYPERLINK("http://www.uniprot.org/uniprot/M5XWV5","M5XWV5")</f>
        <v>M5XWV5</v>
      </c>
      <c r="D848" s="2" t="s">
        <v>836</v>
      </c>
      <c r="E848" s="3">
        <v>4.4300000000000003E-75</v>
      </c>
      <c r="F848" s="2">
        <v>607</v>
      </c>
      <c r="G848" s="2">
        <v>100</v>
      </c>
      <c r="H848" s="2">
        <v>117</v>
      </c>
      <c r="I848" s="2">
        <v>423</v>
      </c>
      <c r="J848" s="2">
        <v>773</v>
      </c>
      <c r="K848" s="2">
        <v>1</v>
      </c>
      <c r="L848" s="2">
        <v>117</v>
      </c>
    </row>
    <row r="849" spans="1:12" x14ac:dyDescent="0.25">
      <c r="A849" s="4" t="str">
        <f>HYPERLINK("http://www.rosaceae.org/Prunus/Prunus_persica/p.persica_gdr_reftransV1_0016912","p.persica_gdr_reftransV1_0016912")</f>
        <v>p.persica_gdr_reftransV1_0016912</v>
      </c>
      <c r="B849" s="2">
        <v>693</v>
      </c>
      <c r="C849" s="4" t="str">
        <f>HYPERLINK("http://www.uniprot.org/uniprot/M5X2T0","M5X2T0")</f>
        <v>M5X2T0</v>
      </c>
      <c r="D849" s="2" t="s">
        <v>837</v>
      </c>
      <c r="E849" s="3">
        <v>1.09E-107</v>
      </c>
      <c r="F849" s="2">
        <v>817</v>
      </c>
      <c r="G849" s="2">
        <v>100</v>
      </c>
      <c r="H849" s="2">
        <v>151</v>
      </c>
      <c r="I849" s="2">
        <v>69</v>
      </c>
      <c r="J849" s="2">
        <v>521</v>
      </c>
      <c r="K849" s="2">
        <v>1</v>
      </c>
      <c r="L849" s="2">
        <v>151</v>
      </c>
    </row>
    <row r="850" spans="1:12" x14ac:dyDescent="0.25">
      <c r="A850" s="4" t="str">
        <f>HYPERLINK("http://www.rosaceae.org/Prunus/Prunus_persica/p.persica_gdr_reftransV1_0017962","p.persica_gdr_reftransV1_0017962")</f>
        <v>p.persica_gdr_reftransV1_0017962</v>
      </c>
      <c r="B850" s="2">
        <v>1610</v>
      </c>
      <c r="C850" s="4" t="str">
        <f>HYPERLINK("http://www.uniprot.org/uniprot/M5VZ30","M5VZ30")</f>
        <v>M5VZ30</v>
      </c>
      <c r="D850" s="2" t="s">
        <v>838</v>
      </c>
      <c r="E850" s="3">
        <v>0</v>
      </c>
      <c r="F850" s="2">
        <v>1573</v>
      </c>
      <c r="G850" s="2">
        <v>100</v>
      </c>
      <c r="H850" s="2">
        <v>332</v>
      </c>
      <c r="I850" s="2">
        <v>124</v>
      </c>
      <c r="J850" s="2">
        <v>1119</v>
      </c>
      <c r="K850" s="2">
        <v>1</v>
      </c>
      <c r="L850" s="2">
        <v>332</v>
      </c>
    </row>
    <row r="851" spans="1:12" x14ac:dyDescent="0.25">
      <c r="A851" s="4" t="str">
        <f>HYPERLINK("http://www.rosaceae.org/Prunus/Prunus_persica/p.persica_gdr_reftransV1_0018662","p.persica_gdr_reftransV1_0018662")</f>
        <v>p.persica_gdr_reftransV1_0018662</v>
      </c>
      <c r="B851" s="2">
        <v>505</v>
      </c>
      <c r="C851" s="4" t="str">
        <f>HYPERLINK("http://www.uniprot.org/uniprot/M5VR31","M5VR31")</f>
        <v>M5VR31</v>
      </c>
      <c r="D851" s="2" t="s">
        <v>839</v>
      </c>
      <c r="E851" s="3">
        <v>9.1900000000000005E-68</v>
      </c>
      <c r="F851" s="2">
        <v>551</v>
      </c>
      <c r="G851" s="2">
        <v>100</v>
      </c>
      <c r="H851" s="2">
        <v>100</v>
      </c>
      <c r="I851" s="2">
        <v>1</v>
      </c>
      <c r="J851" s="2">
        <v>300</v>
      </c>
      <c r="K851" s="2">
        <v>22</v>
      </c>
      <c r="L851" s="2">
        <v>121</v>
      </c>
    </row>
    <row r="852" spans="1:12" x14ac:dyDescent="0.25">
      <c r="A852" s="4" t="str">
        <f>HYPERLINK("http://www.rosaceae.org/Prunus/Prunus_persica/p.persica_gdr_reftransV1_0019012","p.persica_gdr_reftransV1_0019012")</f>
        <v>p.persica_gdr_reftransV1_0019012</v>
      </c>
      <c r="B852" s="2">
        <v>3083</v>
      </c>
      <c r="C852" s="4" t="str">
        <f>HYPERLINK("http://www.uniprot.org/uniprot/M5VZG7","M5VZG7")</f>
        <v>M5VZG7</v>
      </c>
      <c r="D852" s="2" t="s">
        <v>840</v>
      </c>
      <c r="E852" s="3">
        <v>4.3599999999999999E-30</v>
      </c>
      <c r="F852" s="2">
        <v>343</v>
      </c>
      <c r="G852" s="2">
        <v>99</v>
      </c>
      <c r="H852" s="2">
        <v>67</v>
      </c>
      <c r="I852" s="2">
        <v>2251</v>
      </c>
      <c r="J852" s="2">
        <v>2451</v>
      </c>
      <c r="K852" s="2">
        <v>195</v>
      </c>
      <c r="L852" s="2">
        <v>261</v>
      </c>
    </row>
    <row r="853" spans="1:12" x14ac:dyDescent="0.25">
      <c r="A853" s="4" t="str">
        <f>HYPERLINK("http://www.rosaceae.org/Prunus/Prunus_persica/p.persica_gdr_reftransV1_0019362","p.persica_gdr_reftransV1_0019362")</f>
        <v>p.persica_gdr_reftransV1_0019362</v>
      </c>
      <c r="B853" s="2">
        <v>1979</v>
      </c>
      <c r="C853" s="4" t="str">
        <f>HYPERLINK("http://www.uniprot.org/uniprot/M5XPY0","M5XPY0")</f>
        <v>M5XPY0</v>
      </c>
      <c r="D853" s="2" t="s">
        <v>841</v>
      </c>
      <c r="E853" s="3">
        <v>0</v>
      </c>
      <c r="F853" s="2">
        <v>1645</v>
      </c>
      <c r="G853" s="2">
        <v>100</v>
      </c>
      <c r="H853" s="2">
        <v>344</v>
      </c>
      <c r="I853" s="2">
        <v>708</v>
      </c>
      <c r="J853" s="2">
        <v>1739</v>
      </c>
      <c r="K853" s="2">
        <v>1</v>
      </c>
      <c r="L853" s="2">
        <v>344</v>
      </c>
    </row>
    <row r="854" spans="1:12" x14ac:dyDescent="0.25">
      <c r="A854" s="4" t="str">
        <f>HYPERLINK("http://www.rosaceae.org/Prunus/Prunus_persica/p.persica_gdr_reftransV1_0020062","p.persica_gdr_reftransV1_0020062")</f>
        <v>p.persica_gdr_reftransV1_0020062</v>
      </c>
      <c r="B854" s="2">
        <v>2734</v>
      </c>
      <c r="C854" s="4" t="str">
        <f>HYPERLINK("http://www.uniprot.org/uniprot/M5X0Q8","M5X0Q8")</f>
        <v>M5X0Q8</v>
      </c>
      <c r="D854" s="2" t="s">
        <v>842</v>
      </c>
      <c r="E854" s="3">
        <v>5.4300000000000001E-48</v>
      </c>
      <c r="F854" s="2">
        <v>445</v>
      </c>
      <c r="G854" s="2">
        <v>100</v>
      </c>
      <c r="H854" s="2">
        <v>112</v>
      </c>
      <c r="I854" s="2">
        <v>1888</v>
      </c>
      <c r="J854" s="2">
        <v>2223</v>
      </c>
      <c r="K854" s="2">
        <v>272</v>
      </c>
      <c r="L854" s="2">
        <v>383</v>
      </c>
    </row>
    <row r="855" spans="1:12" x14ac:dyDescent="0.25">
      <c r="A855" s="4" t="str">
        <f>HYPERLINK("http://www.rosaceae.org/Prunus/Prunus_persica/p.persica_gdr_reftransV1_0020412","p.persica_gdr_reftransV1_0020412")</f>
        <v>p.persica_gdr_reftransV1_0020412</v>
      </c>
      <c r="B855" s="2">
        <v>2656</v>
      </c>
      <c r="C855" s="4" t="str">
        <f>HYPERLINK("http://www.uniprot.org/uniprot/S4UMV5","S4UMV5")</f>
        <v>S4UMV5</v>
      </c>
      <c r="D855" s="2" t="s">
        <v>843</v>
      </c>
      <c r="E855" s="3">
        <v>0</v>
      </c>
      <c r="F855" s="2">
        <v>1958</v>
      </c>
      <c r="G855" s="2">
        <v>100</v>
      </c>
      <c r="H855" s="2">
        <v>367</v>
      </c>
      <c r="I855" s="2">
        <v>1353</v>
      </c>
      <c r="J855" s="2">
        <v>2453</v>
      </c>
      <c r="K855" s="2">
        <v>231</v>
      </c>
      <c r="L855" s="2">
        <v>597</v>
      </c>
    </row>
    <row r="856" spans="1:12" x14ac:dyDescent="0.25">
      <c r="A856" s="4" t="str">
        <f>HYPERLINK("http://www.rosaceae.org/Prunus/Prunus_persica/p.persica_gdr_reftransV1_0021462","p.persica_gdr_reftransV1_0021462")</f>
        <v>p.persica_gdr_reftransV1_0021462</v>
      </c>
      <c r="B856" s="2">
        <v>2840</v>
      </c>
      <c r="C856" s="4" t="str">
        <f>HYPERLINK("http://www.uniprot.org/uniprot/A5BDR0","A5BDR0")</f>
        <v>A5BDR0</v>
      </c>
      <c r="D856" s="2" t="s">
        <v>844</v>
      </c>
      <c r="E856" s="3">
        <v>1.31E-161</v>
      </c>
      <c r="F856" s="2">
        <v>626</v>
      </c>
      <c r="G856" s="2">
        <v>56</v>
      </c>
      <c r="H856" s="2">
        <v>225</v>
      </c>
      <c r="I856" s="2">
        <v>4</v>
      </c>
      <c r="J856" s="2">
        <v>672</v>
      </c>
      <c r="K856" s="2">
        <v>387</v>
      </c>
      <c r="L856" s="2">
        <v>610</v>
      </c>
    </row>
    <row r="857" spans="1:12" x14ac:dyDescent="0.25">
      <c r="A857" s="4" t="str">
        <f>HYPERLINK("http://www.rosaceae.org/Prunus/Prunus_persica/p.persica_gdr_reftransV1_0022862","p.persica_gdr_reftransV1_0022862")</f>
        <v>p.persica_gdr_reftransV1_0022862</v>
      </c>
      <c r="B857" s="2">
        <v>950</v>
      </c>
      <c r="C857" s="4" t="str">
        <f>HYPERLINK("http://www.uniprot.org/uniprot/M5XH37","M5XH37")</f>
        <v>M5XH37</v>
      </c>
      <c r="D857" s="2" t="s">
        <v>845</v>
      </c>
      <c r="E857" s="3">
        <v>1.1100000000000001E-78</v>
      </c>
      <c r="F857" s="2">
        <v>634</v>
      </c>
      <c r="G857" s="2">
        <v>99</v>
      </c>
      <c r="H857" s="2">
        <v>168</v>
      </c>
      <c r="I857" s="2">
        <v>131</v>
      </c>
      <c r="J857" s="2">
        <v>634</v>
      </c>
      <c r="K857" s="2">
        <v>1</v>
      </c>
      <c r="L857" s="2">
        <v>168</v>
      </c>
    </row>
    <row r="858" spans="1:12" x14ac:dyDescent="0.25">
      <c r="A858" s="4" t="str">
        <f>HYPERLINK("http://www.rosaceae.org/Prunus/Prunus_persica/p.persica_gdr_reftransV1_0023212","p.persica_gdr_reftransV1_0023212")</f>
        <v>p.persica_gdr_reftransV1_0023212</v>
      </c>
      <c r="B858" s="2">
        <v>731</v>
      </c>
      <c r="C858" s="4" t="str">
        <f>HYPERLINK("http://www.uniprot.org/uniprot/M5VPJ1","M5VPJ1")</f>
        <v>M5VPJ1</v>
      </c>
      <c r="D858" s="2" t="s">
        <v>846</v>
      </c>
      <c r="E858" s="3">
        <v>3.4999999999999999E-109</v>
      </c>
      <c r="F858" s="2">
        <v>831</v>
      </c>
      <c r="G858" s="2">
        <v>100</v>
      </c>
      <c r="H858" s="2">
        <v>189</v>
      </c>
      <c r="I858" s="2">
        <v>129</v>
      </c>
      <c r="J858" s="2">
        <v>695</v>
      </c>
      <c r="K858" s="2">
        <v>1</v>
      </c>
      <c r="L858" s="2">
        <v>189</v>
      </c>
    </row>
    <row r="859" spans="1:12" x14ac:dyDescent="0.25">
      <c r="A859" s="4" t="str">
        <f>HYPERLINK("http://www.rosaceae.org/Prunus/Prunus_persica/p.persica_gdr_reftransV1_0023562","p.persica_gdr_reftransV1_0023562")</f>
        <v>p.persica_gdr_reftransV1_0023562</v>
      </c>
      <c r="B859" s="2">
        <v>3619</v>
      </c>
      <c r="C859" s="4" t="str">
        <f>HYPERLINK("http://www.uniprot.org/uniprot/M5WGQ0","M5WGQ0")</f>
        <v>M5WGQ0</v>
      </c>
      <c r="D859" s="2" t="s">
        <v>847</v>
      </c>
      <c r="E859" s="3">
        <v>6.6800000000000004E-152</v>
      </c>
      <c r="F859" s="2">
        <v>1207</v>
      </c>
      <c r="G859" s="2">
        <v>100</v>
      </c>
      <c r="H859" s="2">
        <v>260</v>
      </c>
      <c r="I859" s="2">
        <v>2289</v>
      </c>
      <c r="J859" s="2">
        <v>3068</v>
      </c>
      <c r="K859" s="2">
        <v>1</v>
      </c>
      <c r="L859" s="2">
        <v>260</v>
      </c>
    </row>
    <row r="860" spans="1:12" x14ac:dyDescent="0.25">
      <c r="A860" s="4" t="str">
        <f>HYPERLINK("http://www.rosaceae.org/Prunus/Prunus_persica/p.persica_gdr_reftransV1_0025662","p.persica_gdr_reftransV1_0025662")</f>
        <v>p.persica_gdr_reftransV1_0025662</v>
      </c>
      <c r="B860" s="2">
        <v>2227</v>
      </c>
      <c r="C860" s="4" t="str">
        <f>HYPERLINK("http://www.uniprot.org/uniprot/M5WTI2","M5WTI2")</f>
        <v>M5WTI2</v>
      </c>
      <c r="D860" s="2" t="s">
        <v>848</v>
      </c>
      <c r="E860" s="3">
        <v>0</v>
      </c>
      <c r="F860" s="2">
        <v>2540</v>
      </c>
      <c r="G860" s="2">
        <v>100</v>
      </c>
      <c r="H860" s="2">
        <v>469</v>
      </c>
      <c r="I860" s="2">
        <v>203</v>
      </c>
      <c r="J860" s="2">
        <v>1609</v>
      </c>
      <c r="K860" s="2">
        <v>1</v>
      </c>
      <c r="L860" s="2">
        <v>469</v>
      </c>
    </row>
    <row r="861" spans="1:12" x14ac:dyDescent="0.25">
      <c r="A861" s="4" t="str">
        <f>HYPERLINK("http://www.rosaceae.org/Prunus/Prunus_persica/p.persica_gdr_reftransV1_0027412","p.persica_gdr_reftransV1_0027412")</f>
        <v>p.persica_gdr_reftransV1_0027412</v>
      </c>
      <c r="B861" s="2">
        <v>3370</v>
      </c>
      <c r="C861" s="4" t="str">
        <f>HYPERLINK("http://www.uniprot.org/uniprot/M5WM50","M5WM50")</f>
        <v>M5WM50</v>
      </c>
      <c r="D861" s="2" t="s">
        <v>849</v>
      </c>
      <c r="E861" s="3">
        <v>0</v>
      </c>
      <c r="F861" s="2">
        <v>2274</v>
      </c>
      <c r="G861" s="2">
        <v>100</v>
      </c>
      <c r="H861" s="2">
        <v>476</v>
      </c>
      <c r="I861" s="2">
        <v>1111</v>
      </c>
      <c r="J861" s="2">
        <v>2538</v>
      </c>
      <c r="K861" s="2">
        <v>446</v>
      </c>
      <c r="L861" s="2">
        <v>921</v>
      </c>
    </row>
    <row r="862" spans="1:12" x14ac:dyDescent="0.25">
      <c r="A862" s="4" t="str">
        <f>HYPERLINK("http://www.rosaceae.org/Prunus/Prunus_persica/p.persica_gdr_reftransV1_0029162","p.persica_gdr_reftransV1_0029162")</f>
        <v>p.persica_gdr_reftransV1_0029162</v>
      </c>
      <c r="B862" s="2">
        <v>1081</v>
      </c>
      <c r="C862" s="4" t="str">
        <f>HYPERLINK("http://www.uniprot.org/uniprot/M5WHJ2","M5WHJ2")</f>
        <v>M5WHJ2</v>
      </c>
      <c r="D862" s="2" t="s">
        <v>121</v>
      </c>
      <c r="E862" s="3">
        <v>1.4300000000000001E-142</v>
      </c>
      <c r="F862" s="2">
        <v>1065</v>
      </c>
      <c r="G862" s="2">
        <v>100</v>
      </c>
      <c r="H862" s="2">
        <v>200</v>
      </c>
      <c r="I862" s="2">
        <v>184</v>
      </c>
      <c r="J862" s="2">
        <v>783</v>
      </c>
      <c r="K862" s="2">
        <v>1</v>
      </c>
      <c r="L862" s="2">
        <v>200</v>
      </c>
    </row>
    <row r="863" spans="1:12" x14ac:dyDescent="0.25">
      <c r="A863" s="4" t="str">
        <f>HYPERLINK("http://www.rosaceae.org/Prunus/Prunus_persica/p.persica_gdr_reftransV1_0030212","p.persica_gdr_reftransV1_0030212")</f>
        <v>p.persica_gdr_reftransV1_0030212</v>
      </c>
      <c r="B863" s="2">
        <v>2448</v>
      </c>
      <c r="C863" s="4" t="str">
        <f>HYPERLINK("http://www.uniprot.org/uniprot/M5Y8J3","M5Y8J3")</f>
        <v>M5Y8J3</v>
      </c>
      <c r="D863" s="2" t="s">
        <v>850</v>
      </c>
      <c r="E863" s="3">
        <v>1.68E-78</v>
      </c>
      <c r="F863" s="2">
        <v>680</v>
      </c>
      <c r="G863" s="2">
        <v>100</v>
      </c>
      <c r="H863" s="2">
        <v>147</v>
      </c>
      <c r="I863" s="2">
        <v>395</v>
      </c>
      <c r="J863" s="2">
        <v>835</v>
      </c>
      <c r="K863" s="2">
        <v>138</v>
      </c>
      <c r="L863" s="2">
        <v>284</v>
      </c>
    </row>
    <row r="864" spans="1:12" x14ac:dyDescent="0.25">
      <c r="A864" s="4" t="str">
        <f>HYPERLINK("http://www.rosaceae.org/Prunus/Prunus_persica/p.persica_gdr_reftransV1_0030912","p.persica_gdr_reftransV1_0030912")</f>
        <v>p.persica_gdr_reftransV1_0030912</v>
      </c>
      <c r="B864" s="2">
        <v>1638</v>
      </c>
      <c r="C864" s="4" t="str">
        <f>HYPERLINK("http://www.uniprot.org/uniprot/M5W3N8","M5W3N8")</f>
        <v>M5W3N8</v>
      </c>
      <c r="D864" s="2" t="s">
        <v>851</v>
      </c>
      <c r="E864" s="3">
        <v>0</v>
      </c>
      <c r="F864" s="2">
        <v>1739</v>
      </c>
      <c r="G864" s="2">
        <v>95</v>
      </c>
      <c r="H864" s="2">
        <v>423</v>
      </c>
      <c r="I864" s="2">
        <v>129</v>
      </c>
      <c r="J864" s="2">
        <v>1397</v>
      </c>
      <c r="K864" s="2">
        <v>1</v>
      </c>
      <c r="L864" s="2">
        <v>401</v>
      </c>
    </row>
    <row r="865" spans="1:12" x14ac:dyDescent="0.25">
      <c r="A865" s="4" t="str">
        <f>HYPERLINK("http://www.rosaceae.org/Prunus/Prunus_persica/p.persica_gdr_reftransV1_0031612","p.persica_gdr_reftransV1_0031612")</f>
        <v>p.persica_gdr_reftransV1_0031612</v>
      </c>
      <c r="B865" s="2">
        <v>1267</v>
      </c>
      <c r="C865" s="4" t="str">
        <f>HYPERLINK("http://www.uniprot.org/uniprot/M5XLW9","M5XLW9")</f>
        <v>M5XLW9</v>
      </c>
      <c r="D865" s="2" t="s">
        <v>852</v>
      </c>
      <c r="E865" s="3">
        <v>2.2999999999999999E-170</v>
      </c>
      <c r="F865" s="2">
        <v>1260</v>
      </c>
      <c r="G865" s="2">
        <v>100</v>
      </c>
      <c r="H865" s="2">
        <v>252</v>
      </c>
      <c r="I865" s="2">
        <v>289</v>
      </c>
      <c r="J865" s="2">
        <v>1044</v>
      </c>
      <c r="K865" s="2">
        <v>1</v>
      </c>
      <c r="L865" s="2">
        <v>252</v>
      </c>
    </row>
    <row r="866" spans="1:12" x14ac:dyDescent="0.25">
      <c r="A866" s="4" t="str">
        <f>HYPERLINK("http://www.rosaceae.org/Prunus/Prunus_persica/p.persica_gdr_reftransV1_0032312","p.persica_gdr_reftransV1_0032312")</f>
        <v>p.persica_gdr_reftransV1_0032312</v>
      </c>
      <c r="B866" s="2">
        <v>2767</v>
      </c>
      <c r="C866" s="4" t="str">
        <f>HYPERLINK("http://www.uniprot.org/uniprot/M5W2H9","M5W2H9")</f>
        <v>M5W2H9</v>
      </c>
      <c r="D866" s="2" t="s">
        <v>853</v>
      </c>
      <c r="E866" s="3">
        <v>0</v>
      </c>
      <c r="F866" s="2">
        <v>1444</v>
      </c>
      <c r="G866" s="2">
        <v>99</v>
      </c>
      <c r="H866" s="2">
        <v>275</v>
      </c>
      <c r="I866" s="2">
        <v>1514</v>
      </c>
      <c r="J866" s="2">
        <v>2338</v>
      </c>
      <c r="K866" s="2">
        <v>84</v>
      </c>
      <c r="L866" s="2">
        <v>358</v>
      </c>
    </row>
    <row r="867" spans="1:12" x14ac:dyDescent="0.25">
      <c r="A867" s="4" t="str">
        <f>HYPERLINK("http://www.rosaceae.org/Prunus/Prunus_persica/p.persica_gdr_reftransV1_0034062","p.persica_gdr_reftransV1_0034062")</f>
        <v>p.persica_gdr_reftransV1_0034062</v>
      </c>
      <c r="B867" s="2">
        <v>2317</v>
      </c>
      <c r="C867" s="4" t="str">
        <f>HYPERLINK("http://www.uniprot.org/uniprot/M5WAC4","M5WAC4")</f>
        <v>M5WAC4</v>
      </c>
      <c r="D867" s="2" t="s">
        <v>854</v>
      </c>
      <c r="E867" s="3">
        <v>0</v>
      </c>
      <c r="F867" s="2">
        <v>3123</v>
      </c>
      <c r="G867" s="2">
        <v>92</v>
      </c>
      <c r="H867" s="2">
        <v>668</v>
      </c>
      <c r="I867" s="2">
        <v>2</v>
      </c>
      <c r="J867" s="2">
        <v>2005</v>
      </c>
      <c r="K867" s="2">
        <v>174</v>
      </c>
      <c r="L867" s="2">
        <v>790</v>
      </c>
    </row>
    <row r="868" spans="1:12" x14ac:dyDescent="0.25">
      <c r="A868" s="4" t="str">
        <f>HYPERLINK("http://www.rosaceae.org/Prunus/Prunus_persica/p.persica_gdr_reftransV1_0034762","p.persica_gdr_reftransV1_0034762")</f>
        <v>p.persica_gdr_reftransV1_0034762</v>
      </c>
      <c r="B868" s="2">
        <v>2559</v>
      </c>
      <c r="C868" s="4" t="str">
        <f>HYPERLINK("http://www.uniprot.org/uniprot/M5VJ01","M5VJ01")</f>
        <v>M5VJ01</v>
      </c>
      <c r="D868" s="2" t="s">
        <v>855</v>
      </c>
      <c r="E868" s="3">
        <v>8.13E-119</v>
      </c>
      <c r="F868" s="2">
        <v>975</v>
      </c>
      <c r="G868" s="2">
        <v>84</v>
      </c>
      <c r="H868" s="2">
        <v>262</v>
      </c>
      <c r="I868" s="2">
        <v>257</v>
      </c>
      <c r="J868" s="2">
        <v>1042</v>
      </c>
      <c r="K868" s="2">
        <v>240</v>
      </c>
      <c r="L868" s="2">
        <v>459</v>
      </c>
    </row>
    <row r="869" spans="1:12" x14ac:dyDescent="0.25">
      <c r="A869" s="4" t="str">
        <f>HYPERLINK("http://www.rosaceae.org/Prunus/Prunus_persica/p.persica_gdr_reftransV1_0036162","p.persica_gdr_reftransV1_0036162")</f>
        <v>p.persica_gdr_reftransV1_0036162</v>
      </c>
      <c r="B869" s="2">
        <v>1064</v>
      </c>
      <c r="C869" s="4" t="str">
        <f>HYPERLINK("http://www.uniprot.org/uniprot/M5WVL5","M5WVL5")</f>
        <v>M5WVL5</v>
      </c>
      <c r="D869" s="2" t="s">
        <v>856</v>
      </c>
      <c r="E869" s="3">
        <v>4.4499999999999999E-90</v>
      </c>
      <c r="F869" s="2">
        <v>712</v>
      </c>
      <c r="G869" s="2">
        <v>100</v>
      </c>
      <c r="H869" s="2">
        <v>138</v>
      </c>
      <c r="I869" s="2">
        <v>279</v>
      </c>
      <c r="J869" s="2">
        <v>692</v>
      </c>
      <c r="K869" s="2">
        <v>17</v>
      </c>
      <c r="L869" s="2">
        <v>154</v>
      </c>
    </row>
    <row r="870" spans="1:12" x14ac:dyDescent="0.25">
      <c r="A870" s="4" t="str">
        <f>HYPERLINK("http://www.rosaceae.org/Prunus/Prunus_persica/p.persica_gdr_reftransV1_0039312","p.persica_gdr_reftransV1_0039312")</f>
        <v>p.persica_gdr_reftransV1_0039312</v>
      </c>
      <c r="B870" s="2">
        <v>1807</v>
      </c>
      <c r="C870" s="4" t="str">
        <f>HYPERLINK("http://www.uniprot.org/uniprot/M5VZW3","M5VZW3")</f>
        <v>M5VZW3</v>
      </c>
      <c r="D870" s="2" t="s">
        <v>857</v>
      </c>
      <c r="E870" s="3">
        <v>0</v>
      </c>
      <c r="F870" s="2">
        <v>1783</v>
      </c>
      <c r="G870" s="2">
        <v>100</v>
      </c>
      <c r="H870" s="2">
        <v>351</v>
      </c>
      <c r="I870" s="2">
        <v>623</v>
      </c>
      <c r="J870" s="2">
        <v>1675</v>
      </c>
      <c r="K870" s="2">
        <v>1</v>
      </c>
      <c r="L870" s="2">
        <v>351</v>
      </c>
    </row>
    <row r="871" spans="1:12" x14ac:dyDescent="0.25">
      <c r="A871" s="4" t="str">
        <f>HYPERLINK("http://www.rosaceae.org/Prunus/Prunus_persica/p.persica_gdr_reftransV1_0040362","p.persica_gdr_reftransV1_0040362")</f>
        <v>p.persica_gdr_reftransV1_0040362</v>
      </c>
      <c r="B871" s="2">
        <v>2228</v>
      </c>
      <c r="C871" s="4" t="str">
        <f>HYPERLINK("http://www.uniprot.org/uniprot/M5VRD9","M5VRD9")</f>
        <v>M5VRD9</v>
      </c>
      <c r="D871" s="2" t="s">
        <v>858</v>
      </c>
      <c r="E871" s="3">
        <v>2.2200000000000002E-170</v>
      </c>
      <c r="F871" s="2">
        <v>1296</v>
      </c>
      <c r="G871" s="2">
        <v>100</v>
      </c>
      <c r="H871" s="2">
        <v>303</v>
      </c>
      <c r="I871" s="2">
        <v>148</v>
      </c>
      <c r="J871" s="2">
        <v>1056</v>
      </c>
      <c r="K871" s="2">
        <v>1</v>
      </c>
      <c r="L871" s="2">
        <v>303</v>
      </c>
    </row>
    <row r="872" spans="1:12" x14ac:dyDescent="0.25">
      <c r="A872" s="4" t="str">
        <f>HYPERLINK("http://www.rosaceae.org/Prunus/Prunus_persica/p.persica_gdr_reftransV1_0042112","p.persica_gdr_reftransV1_0042112")</f>
        <v>p.persica_gdr_reftransV1_0042112</v>
      </c>
      <c r="B872" s="2">
        <v>2041</v>
      </c>
      <c r="C872" s="4" t="str">
        <f>HYPERLINK("http://www.uniprot.org/uniprot/M5X4P7","M5X4P7")</f>
        <v>M5X4P7</v>
      </c>
      <c r="D872" s="2" t="s">
        <v>859</v>
      </c>
      <c r="E872" s="3">
        <v>4.4200000000000001E-97</v>
      </c>
      <c r="F872" s="2">
        <v>808</v>
      </c>
      <c r="G872" s="2">
        <v>86</v>
      </c>
      <c r="H872" s="2">
        <v>180</v>
      </c>
      <c r="I872" s="2">
        <v>170</v>
      </c>
      <c r="J872" s="2">
        <v>709</v>
      </c>
      <c r="K872" s="2">
        <v>201</v>
      </c>
      <c r="L872" s="2">
        <v>380</v>
      </c>
    </row>
    <row r="873" spans="1:12" x14ac:dyDescent="0.25">
      <c r="A873" s="4" t="str">
        <f>HYPERLINK("http://www.rosaceae.org/Prunus/Prunus_persica/p.persica_gdr_reftransV1_0043512","p.persica_gdr_reftransV1_0043512")</f>
        <v>p.persica_gdr_reftransV1_0043512</v>
      </c>
      <c r="B873" s="2">
        <v>463</v>
      </c>
      <c r="C873" s="4" t="str">
        <f>HYPERLINK("http://www.uniprot.org/uniprot/M5XJF2","M5XJF2")</f>
        <v>M5XJF2</v>
      </c>
      <c r="D873" s="2" t="s">
        <v>427</v>
      </c>
      <c r="E873" s="3">
        <v>2.14E-106</v>
      </c>
      <c r="F873" s="2">
        <v>834</v>
      </c>
      <c r="G873" s="2">
        <v>100</v>
      </c>
      <c r="H873" s="2">
        <v>154</v>
      </c>
      <c r="I873" s="2">
        <v>1</v>
      </c>
      <c r="J873" s="2">
        <v>462</v>
      </c>
      <c r="K873" s="2">
        <v>51</v>
      </c>
      <c r="L873" s="2">
        <v>204</v>
      </c>
    </row>
    <row r="874" spans="1:12" x14ac:dyDescent="0.25">
      <c r="A874" s="4" t="str">
        <f>HYPERLINK("http://www.rosaceae.org/Prunus/Prunus_persica/p.persica_gdr_reftransV1_0043862","p.persica_gdr_reftransV1_0043862")</f>
        <v>p.persica_gdr_reftransV1_0043862</v>
      </c>
      <c r="B874" s="2">
        <v>1814</v>
      </c>
      <c r="C874" s="4" t="str">
        <f>HYPERLINK("http://www.uniprot.org/uniprot/A0A078G6Z6","A0A078G6Z6")</f>
        <v>A0A078G6Z6</v>
      </c>
      <c r="D874" s="2" t="s">
        <v>860</v>
      </c>
      <c r="E874" s="3">
        <v>1.2200000000000001E-118</v>
      </c>
      <c r="F874" s="2">
        <v>780</v>
      </c>
      <c r="G874" s="2">
        <v>96</v>
      </c>
      <c r="H874" s="2">
        <v>169</v>
      </c>
      <c r="I874" s="2">
        <v>328</v>
      </c>
      <c r="J874" s="2">
        <v>834</v>
      </c>
      <c r="K874" s="2">
        <v>19</v>
      </c>
      <c r="L874" s="2">
        <v>187</v>
      </c>
    </row>
    <row r="875" spans="1:12" x14ac:dyDescent="0.25">
      <c r="A875" s="4" t="str">
        <f>HYPERLINK("http://www.rosaceae.org/Prunus/Prunus_persica/p.persica_gdr_reftransV1_0044212","p.persica_gdr_reftransV1_0044212")</f>
        <v>p.persica_gdr_reftransV1_0044212</v>
      </c>
      <c r="B875" s="2">
        <v>1130</v>
      </c>
      <c r="C875" s="4" t="str">
        <f>HYPERLINK("http://www.uniprot.org/uniprot/M5W031","M5W031")</f>
        <v>M5W031</v>
      </c>
      <c r="D875" s="2" t="s">
        <v>861</v>
      </c>
      <c r="E875" s="3">
        <v>1.0100000000000001E-126</v>
      </c>
      <c r="F875" s="2">
        <v>960</v>
      </c>
      <c r="G875" s="2">
        <v>99</v>
      </c>
      <c r="H875" s="2">
        <v>180</v>
      </c>
      <c r="I875" s="2">
        <v>393</v>
      </c>
      <c r="J875" s="2">
        <v>932</v>
      </c>
      <c r="K875" s="2">
        <v>1</v>
      </c>
      <c r="L875" s="2">
        <v>180</v>
      </c>
    </row>
    <row r="876" spans="1:12" x14ac:dyDescent="0.25">
      <c r="A876" s="4" t="str">
        <f>HYPERLINK("http://www.rosaceae.org/Prunus/Prunus_persica/p.persica_gdr_reftransV1_0044562","p.persica_gdr_reftransV1_0044562")</f>
        <v>p.persica_gdr_reftransV1_0044562</v>
      </c>
      <c r="B876" s="2">
        <v>505</v>
      </c>
      <c r="C876" s="4" t="str">
        <f>HYPERLINK("http://www.uniprot.org/uniprot/M5VWJ3","M5VWJ3")</f>
        <v>M5VWJ3</v>
      </c>
      <c r="D876" s="2" t="s">
        <v>862</v>
      </c>
      <c r="E876" s="3">
        <v>2.0400000000000002E-74</v>
      </c>
      <c r="F876" s="2">
        <v>624</v>
      </c>
      <c r="G876" s="2">
        <v>100</v>
      </c>
      <c r="H876" s="2">
        <v>118</v>
      </c>
      <c r="I876" s="2">
        <v>2</v>
      </c>
      <c r="J876" s="2">
        <v>355</v>
      </c>
      <c r="K876" s="2">
        <v>467</v>
      </c>
      <c r="L876" s="2">
        <v>584</v>
      </c>
    </row>
    <row r="877" spans="1:12" x14ac:dyDescent="0.25">
      <c r="A877" s="4" t="str">
        <f>HYPERLINK("http://www.rosaceae.org/Prunus/Prunus_persica/p.persica_gdr_reftransV1_0044912","p.persica_gdr_reftransV1_0044912")</f>
        <v>p.persica_gdr_reftransV1_0044912</v>
      </c>
      <c r="B877" s="2">
        <v>729</v>
      </c>
      <c r="C877" s="4" t="str">
        <f>HYPERLINK("http://www.uniprot.org/uniprot/M5VVI9","M5VVI9")</f>
        <v>M5VVI9</v>
      </c>
      <c r="D877" s="2" t="s">
        <v>863</v>
      </c>
      <c r="E877" s="3">
        <v>7.3100000000000004E-84</v>
      </c>
      <c r="F877" s="2">
        <v>668</v>
      </c>
      <c r="G877" s="2">
        <v>93</v>
      </c>
      <c r="H877" s="2">
        <v>135</v>
      </c>
      <c r="I877" s="2">
        <v>267</v>
      </c>
      <c r="J877" s="2">
        <v>671</v>
      </c>
      <c r="K877" s="2">
        <v>107</v>
      </c>
      <c r="L877" s="2">
        <v>235</v>
      </c>
    </row>
    <row r="878" spans="1:12" x14ac:dyDescent="0.25">
      <c r="A878" s="4" t="str">
        <f>HYPERLINK("http://www.rosaceae.org/Prunus/Prunus_persica/p.persica_gdr_reftransV1_0045262","p.persica_gdr_reftransV1_0045262")</f>
        <v>p.persica_gdr_reftransV1_0045262</v>
      </c>
      <c r="B878" s="2">
        <v>701</v>
      </c>
      <c r="C878" s="4" t="str">
        <f>HYPERLINK("http://www.uniprot.org/uniprot/M5Y9T4","M5Y9T4")</f>
        <v>M5Y9T4</v>
      </c>
      <c r="D878" s="2" t="s">
        <v>864</v>
      </c>
      <c r="E878" s="3">
        <v>1.8999999999999999E-59</v>
      </c>
      <c r="F878" s="2">
        <v>493</v>
      </c>
      <c r="G878" s="2">
        <v>100</v>
      </c>
      <c r="H878" s="2">
        <v>95</v>
      </c>
      <c r="I878" s="2">
        <v>44</v>
      </c>
      <c r="J878" s="2">
        <v>328</v>
      </c>
      <c r="K878" s="2">
        <v>1</v>
      </c>
      <c r="L878" s="2">
        <v>95</v>
      </c>
    </row>
    <row r="879" spans="1:12" x14ac:dyDescent="0.25">
      <c r="A879" s="4" t="str">
        <f>HYPERLINK("http://www.rosaceae.org/Prunus/Prunus_persica/p.persica_gdr_reftransV1_0045612","p.persica_gdr_reftransV1_0045612")</f>
        <v>p.persica_gdr_reftransV1_0045612</v>
      </c>
      <c r="B879" s="2">
        <v>1629</v>
      </c>
      <c r="C879" s="4" t="str">
        <f>HYPERLINK("http://www.uniprot.org/uniprot/M5XBG4","M5XBG4")</f>
        <v>M5XBG4</v>
      </c>
      <c r="D879" s="2" t="s">
        <v>865</v>
      </c>
      <c r="E879" s="3">
        <v>0</v>
      </c>
      <c r="F879" s="2">
        <v>2833</v>
      </c>
      <c r="G879" s="2">
        <v>100</v>
      </c>
      <c r="H879" s="2">
        <v>533</v>
      </c>
      <c r="I879" s="2">
        <v>1</v>
      </c>
      <c r="J879" s="2">
        <v>1599</v>
      </c>
      <c r="K879" s="2">
        <v>719</v>
      </c>
      <c r="L879" s="2">
        <v>1251</v>
      </c>
    </row>
    <row r="880" spans="1:12" x14ac:dyDescent="0.25">
      <c r="A880" s="4" t="str">
        <f>HYPERLINK("http://www.rosaceae.org/Prunus/Prunus_persica/p.persica_gdr_reftransV1_0045962","p.persica_gdr_reftransV1_0045962")</f>
        <v>p.persica_gdr_reftransV1_0045962</v>
      </c>
      <c r="B880" s="2">
        <v>1344</v>
      </c>
      <c r="C880" s="4" t="str">
        <f>HYPERLINK("http://www.uniprot.org/uniprot/M5XFD9","M5XFD9")</f>
        <v>M5XFD9</v>
      </c>
      <c r="D880" s="2" t="s">
        <v>866</v>
      </c>
      <c r="E880" s="3">
        <v>7.7100000000000001E-102</v>
      </c>
      <c r="F880" s="2">
        <v>804</v>
      </c>
      <c r="G880" s="2">
        <v>99</v>
      </c>
      <c r="H880" s="2">
        <v>171</v>
      </c>
      <c r="I880" s="2">
        <v>76</v>
      </c>
      <c r="J880" s="2">
        <v>588</v>
      </c>
      <c r="K880" s="2">
        <v>9</v>
      </c>
      <c r="L880" s="2">
        <v>179</v>
      </c>
    </row>
    <row r="881" spans="1:12" x14ac:dyDescent="0.25">
      <c r="A881" s="4" t="str">
        <f>HYPERLINK("http://www.rosaceae.org/Prunus/Prunus_persica/p.persica_gdr_reftransV1_0046312","p.persica_gdr_reftransV1_0046312")</f>
        <v>p.persica_gdr_reftransV1_0046312</v>
      </c>
      <c r="B881" s="2">
        <v>1620</v>
      </c>
      <c r="C881" s="4" t="str">
        <f>HYPERLINK("http://www.uniprot.org/uniprot/M5VPY1","M5VPY1")</f>
        <v>M5VPY1</v>
      </c>
      <c r="D881" s="2" t="s">
        <v>867</v>
      </c>
      <c r="E881" s="3">
        <v>0</v>
      </c>
      <c r="F881" s="2">
        <v>1921</v>
      </c>
      <c r="G881" s="2">
        <v>100</v>
      </c>
      <c r="H881" s="2">
        <v>388</v>
      </c>
      <c r="I881" s="2">
        <v>374</v>
      </c>
      <c r="J881" s="2">
        <v>1537</v>
      </c>
      <c r="K881" s="2">
        <v>3</v>
      </c>
      <c r="L881" s="2">
        <v>390</v>
      </c>
    </row>
    <row r="882" spans="1:12" x14ac:dyDescent="0.25">
      <c r="A882" s="4" t="str">
        <f>HYPERLINK("http://www.rosaceae.org/Prunus/Prunus_persica/p.persica_gdr_reftransV1_0046662","p.persica_gdr_reftransV1_0046662")</f>
        <v>p.persica_gdr_reftransV1_0046662</v>
      </c>
      <c r="B882" s="2">
        <v>1440</v>
      </c>
      <c r="C882" s="4" t="str">
        <f>HYPERLINK("http://www.uniprot.org/uniprot/M5XY90","M5XY90")</f>
        <v>M5XY90</v>
      </c>
      <c r="D882" s="2" t="s">
        <v>868</v>
      </c>
      <c r="E882" s="3">
        <v>0</v>
      </c>
      <c r="F882" s="2">
        <v>1796</v>
      </c>
      <c r="G882" s="2">
        <v>100</v>
      </c>
      <c r="H882" s="2">
        <v>370</v>
      </c>
      <c r="I882" s="2">
        <v>206</v>
      </c>
      <c r="J882" s="2">
        <v>1315</v>
      </c>
      <c r="K882" s="2">
        <v>24</v>
      </c>
      <c r="L882" s="2">
        <v>393</v>
      </c>
    </row>
    <row r="883" spans="1:12" x14ac:dyDescent="0.25">
      <c r="A883" s="4" t="str">
        <f>HYPERLINK("http://www.rosaceae.org/Prunus/Prunus_persica/p.persica_gdr_reftransV1_0047012","p.persica_gdr_reftransV1_0047012")</f>
        <v>p.persica_gdr_reftransV1_0047012</v>
      </c>
      <c r="B883" s="2">
        <v>1357</v>
      </c>
      <c r="C883" s="4" t="str">
        <f>HYPERLINK("http://www.uniprot.org/uniprot/M5VKD2","M5VKD2")</f>
        <v>M5VKD2</v>
      </c>
      <c r="D883" s="2" t="s">
        <v>869</v>
      </c>
      <c r="E883" s="3">
        <v>5.8600000000000003E-173</v>
      </c>
      <c r="F883" s="2">
        <v>1279</v>
      </c>
      <c r="G883" s="2">
        <v>100</v>
      </c>
      <c r="H883" s="2">
        <v>241</v>
      </c>
      <c r="I883" s="2">
        <v>296</v>
      </c>
      <c r="J883" s="2">
        <v>1018</v>
      </c>
      <c r="K883" s="2">
        <v>5</v>
      </c>
      <c r="L883" s="2">
        <v>245</v>
      </c>
    </row>
    <row r="884" spans="1:12" x14ac:dyDescent="0.25">
      <c r="A884" s="4" t="str">
        <f>HYPERLINK("http://www.rosaceae.org/Prunus/Prunus_persica/p.persica_gdr_reftransV1_0047362","p.persica_gdr_reftransV1_0047362")</f>
        <v>p.persica_gdr_reftransV1_0047362</v>
      </c>
      <c r="B884" s="2">
        <v>565</v>
      </c>
      <c r="C884" s="4" t="str">
        <f>HYPERLINK("http://www.uniprot.org/uniprot/M5WYG3","M5WYG3")</f>
        <v>M5WYG3</v>
      </c>
      <c r="D884" s="2" t="s">
        <v>870</v>
      </c>
      <c r="E884" s="3">
        <v>2.5E-119</v>
      </c>
      <c r="F884" s="2">
        <v>950</v>
      </c>
      <c r="G884" s="2">
        <v>100</v>
      </c>
      <c r="H884" s="2">
        <v>188</v>
      </c>
      <c r="I884" s="2">
        <v>1</v>
      </c>
      <c r="J884" s="2">
        <v>564</v>
      </c>
      <c r="K884" s="2">
        <v>122</v>
      </c>
      <c r="L884" s="2">
        <v>309</v>
      </c>
    </row>
    <row r="885" spans="1:12" x14ac:dyDescent="0.25">
      <c r="A885" s="4" t="str">
        <f>HYPERLINK("http://www.rosaceae.org/Prunus/Prunus_persica/p.persica_gdr_reftransV1_0047712","p.persica_gdr_reftransV1_0047712")</f>
        <v>p.persica_gdr_reftransV1_0047712</v>
      </c>
      <c r="B885" s="2">
        <v>855</v>
      </c>
      <c r="C885" s="4" t="str">
        <f>HYPERLINK("http://www.uniprot.org/uniprot/M5WHN1","M5WHN1")</f>
        <v>M5WHN1</v>
      </c>
      <c r="D885" s="2" t="s">
        <v>871</v>
      </c>
      <c r="E885" s="3">
        <v>6.3000000000000001E-109</v>
      </c>
      <c r="F885" s="2">
        <v>833</v>
      </c>
      <c r="G885" s="2">
        <v>100</v>
      </c>
      <c r="H885" s="2">
        <v>160</v>
      </c>
      <c r="I885" s="2">
        <v>3</v>
      </c>
      <c r="J885" s="2">
        <v>482</v>
      </c>
      <c r="K885" s="2">
        <v>26</v>
      </c>
      <c r="L885" s="2">
        <v>185</v>
      </c>
    </row>
    <row r="886" spans="1:12" x14ac:dyDescent="0.25">
      <c r="A886" s="4" t="str">
        <f>HYPERLINK("http://www.rosaceae.org/Prunus/Prunus_persica/p.persica_gdr_reftransV1_0048062","p.persica_gdr_reftransV1_0048062")</f>
        <v>p.persica_gdr_reftransV1_0048062</v>
      </c>
      <c r="B886" s="2">
        <v>876</v>
      </c>
      <c r="C886" s="4" t="str">
        <f>HYPERLINK("http://www.uniprot.org/uniprot/M5VKW4","M5VKW4")</f>
        <v>M5VKW4</v>
      </c>
      <c r="D886" s="2" t="s">
        <v>872</v>
      </c>
      <c r="E886" s="3">
        <v>1.6799999999999999E-122</v>
      </c>
      <c r="F886" s="2">
        <v>924</v>
      </c>
      <c r="G886" s="2">
        <v>100</v>
      </c>
      <c r="H886" s="2">
        <v>191</v>
      </c>
      <c r="I886" s="2">
        <v>157</v>
      </c>
      <c r="J886" s="2">
        <v>729</v>
      </c>
      <c r="K886" s="2">
        <v>1</v>
      </c>
      <c r="L886" s="2">
        <v>191</v>
      </c>
    </row>
    <row r="887" spans="1:12" x14ac:dyDescent="0.25">
      <c r="A887" s="4" t="str">
        <f>HYPERLINK("http://www.rosaceae.org/Prunus/Prunus_persica/p.persica_gdr_reftransV1_0048762","p.persica_gdr_reftransV1_0048762")</f>
        <v>p.persica_gdr_reftransV1_0048762</v>
      </c>
      <c r="B887" s="2">
        <v>941</v>
      </c>
      <c r="C887" s="4" t="str">
        <f>HYPERLINK("http://www.uniprot.org/uniprot/M5WJ52","M5WJ52")</f>
        <v>M5WJ52</v>
      </c>
      <c r="D887" s="2" t="s">
        <v>873</v>
      </c>
      <c r="E887" s="3">
        <v>5.3600000000000001E-132</v>
      </c>
      <c r="F887" s="2">
        <v>989</v>
      </c>
      <c r="G887" s="2">
        <v>99</v>
      </c>
      <c r="H887" s="2">
        <v>189</v>
      </c>
      <c r="I887" s="2">
        <v>306</v>
      </c>
      <c r="J887" s="2">
        <v>872</v>
      </c>
      <c r="K887" s="2">
        <v>1</v>
      </c>
      <c r="L887" s="2">
        <v>189</v>
      </c>
    </row>
    <row r="888" spans="1:12" x14ac:dyDescent="0.25">
      <c r="A888" s="4" t="str">
        <f>HYPERLINK("http://www.rosaceae.org/Prunus/Prunus_persica/p.persica_gdr_reftransV1_0049112","p.persica_gdr_reftransV1_0049112")</f>
        <v>p.persica_gdr_reftransV1_0049112</v>
      </c>
      <c r="B888" s="2">
        <v>1972</v>
      </c>
      <c r="C888" s="4" t="str">
        <f>HYPERLINK("http://www.uniprot.org/uniprot/M5X9S7","M5X9S7")</f>
        <v>M5X9S7</v>
      </c>
      <c r="D888" s="2" t="s">
        <v>874</v>
      </c>
      <c r="E888" s="3">
        <v>3.0199999999999999E-93</v>
      </c>
      <c r="F888" s="2">
        <v>762</v>
      </c>
      <c r="G888" s="2">
        <v>100</v>
      </c>
      <c r="H888" s="2">
        <v>192</v>
      </c>
      <c r="I888" s="2">
        <v>112</v>
      </c>
      <c r="J888" s="2">
        <v>687</v>
      </c>
      <c r="K888" s="2">
        <v>1</v>
      </c>
      <c r="L888" s="2">
        <v>192</v>
      </c>
    </row>
    <row r="889" spans="1:12" x14ac:dyDescent="0.25">
      <c r="A889" s="4" t="str">
        <f>HYPERLINK("http://www.rosaceae.org/Prunus/Prunus_persica/p.persica_gdr_reftransV1_0000113","p.persica_gdr_reftransV1_0000113")</f>
        <v>p.persica_gdr_reftransV1_0000113</v>
      </c>
      <c r="B889" s="2">
        <v>832</v>
      </c>
      <c r="C889" s="4" t="str">
        <f>HYPERLINK("http://www.uniprot.org/uniprot/M5XQN0","M5XQN0")</f>
        <v>M5XQN0</v>
      </c>
      <c r="D889" s="2" t="s">
        <v>875</v>
      </c>
      <c r="E889" s="3">
        <v>4.4500000000000002E-129</v>
      </c>
      <c r="F889" s="2">
        <v>966</v>
      </c>
      <c r="G889" s="2">
        <v>90</v>
      </c>
      <c r="H889" s="2">
        <v>211</v>
      </c>
      <c r="I889" s="2">
        <v>65</v>
      </c>
      <c r="J889" s="2">
        <v>697</v>
      </c>
      <c r="K889" s="2">
        <v>1</v>
      </c>
      <c r="L889" s="2">
        <v>192</v>
      </c>
    </row>
    <row r="890" spans="1:12" x14ac:dyDescent="0.25">
      <c r="A890" s="4" t="str">
        <f>HYPERLINK("http://www.rosaceae.org/Prunus/Prunus_persica/p.persica_gdr_reftransV1_0000463","p.persica_gdr_reftransV1_0000463")</f>
        <v>p.persica_gdr_reftransV1_0000463</v>
      </c>
      <c r="B890" s="2">
        <v>849</v>
      </c>
      <c r="C890" s="4" t="str">
        <f>HYPERLINK("http://www.uniprot.org/uniprot/M5WPX3","M5WPX3")</f>
        <v>M5WPX3</v>
      </c>
      <c r="D890" s="2" t="s">
        <v>876</v>
      </c>
      <c r="E890" s="3">
        <v>6.4599999999999999E-175</v>
      </c>
      <c r="F890" s="2">
        <v>1309</v>
      </c>
      <c r="G890" s="2">
        <v>100</v>
      </c>
      <c r="H890" s="2">
        <v>245</v>
      </c>
      <c r="I890" s="2">
        <v>2</v>
      </c>
      <c r="J890" s="2">
        <v>736</v>
      </c>
      <c r="K890" s="2">
        <v>356</v>
      </c>
      <c r="L890" s="2">
        <v>600</v>
      </c>
    </row>
    <row r="891" spans="1:12" x14ac:dyDescent="0.25">
      <c r="A891" s="4" t="str">
        <f>HYPERLINK("http://www.rosaceae.org/Prunus/Prunus_persica/p.persica_gdr_reftransV1_0001163","p.persica_gdr_reftransV1_0001163")</f>
        <v>p.persica_gdr_reftransV1_0001163</v>
      </c>
      <c r="B891" s="2">
        <v>590</v>
      </c>
      <c r="C891" s="4" t="str">
        <f>HYPERLINK("http://www.uniprot.org/uniprot/M5XIX8","M5XIX8")</f>
        <v>M5XIX8</v>
      </c>
      <c r="D891" s="2" t="s">
        <v>877</v>
      </c>
      <c r="E891" s="3">
        <v>4.2699999999999998E-89</v>
      </c>
      <c r="F891" s="2">
        <v>698</v>
      </c>
      <c r="G891" s="2">
        <v>89</v>
      </c>
      <c r="H891" s="2">
        <v>196</v>
      </c>
      <c r="I891" s="2">
        <v>3</v>
      </c>
      <c r="J891" s="2">
        <v>590</v>
      </c>
      <c r="K891" s="2">
        <v>57</v>
      </c>
      <c r="L891" s="2">
        <v>230</v>
      </c>
    </row>
    <row r="892" spans="1:12" x14ac:dyDescent="0.25">
      <c r="A892" s="4" t="str">
        <f>HYPERLINK("http://www.rosaceae.org/Prunus/Prunus_persica/p.persica_gdr_reftransV1_0001513","p.persica_gdr_reftransV1_0001513")</f>
        <v>p.persica_gdr_reftransV1_0001513</v>
      </c>
      <c r="B892" s="2">
        <v>1448</v>
      </c>
      <c r="C892" s="4" t="str">
        <f>HYPERLINK("http://www.uniprot.org/uniprot/M5VQB4","M5VQB4")</f>
        <v>M5VQB4</v>
      </c>
      <c r="D892" s="2" t="s">
        <v>878</v>
      </c>
      <c r="E892" s="3">
        <v>0</v>
      </c>
      <c r="F892" s="2">
        <v>1565</v>
      </c>
      <c r="G892" s="2">
        <v>100</v>
      </c>
      <c r="H892" s="2">
        <v>309</v>
      </c>
      <c r="I892" s="2">
        <v>346</v>
      </c>
      <c r="J892" s="2">
        <v>1272</v>
      </c>
      <c r="K892" s="2">
        <v>1</v>
      </c>
      <c r="L892" s="2">
        <v>309</v>
      </c>
    </row>
    <row r="893" spans="1:12" x14ac:dyDescent="0.25">
      <c r="A893" s="4" t="str">
        <f>HYPERLINK("http://www.rosaceae.org/Prunus/Prunus_persica/p.persica_gdr_reftransV1_0002213","p.persica_gdr_reftransV1_0002213")</f>
        <v>p.persica_gdr_reftransV1_0002213</v>
      </c>
      <c r="B893" s="2">
        <v>321</v>
      </c>
      <c r="C893" s="4" t="str">
        <f>HYPERLINK("http://www.uniprot.org/uniprot/M5WC30","M5WC30")</f>
        <v>M5WC30</v>
      </c>
      <c r="D893" s="2" t="s">
        <v>879</v>
      </c>
      <c r="E893" s="3">
        <v>1.8199999999999998E-52</v>
      </c>
      <c r="F893" s="2">
        <v>461</v>
      </c>
      <c r="G893" s="2">
        <v>85</v>
      </c>
      <c r="H893" s="2">
        <v>106</v>
      </c>
      <c r="I893" s="2">
        <v>3</v>
      </c>
      <c r="J893" s="2">
        <v>320</v>
      </c>
      <c r="K893" s="2">
        <v>159</v>
      </c>
      <c r="L893" s="2">
        <v>264</v>
      </c>
    </row>
    <row r="894" spans="1:12" x14ac:dyDescent="0.25">
      <c r="A894" s="4" t="str">
        <f>HYPERLINK("http://www.rosaceae.org/Prunus/Prunus_persica/p.persica_gdr_reftransV1_0002563","p.persica_gdr_reftransV1_0002563")</f>
        <v>p.persica_gdr_reftransV1_0002563</v>
      </c>
      <c r="B894" s="2">
        <v>426</v>
      </c>
      <c r="C894" s="4" t="str">
        <f>HYPERLINK("http://www.uniprot.org/uniprot/M5X791","M5X791")</f>
        <v>M5X791</v>
      </c>
      <c r="D894" s="2" t="s">
        <v>880</v>
      </c>
      <c r="E894" s="3">
        <v>3.9100000000000003E-46</v>
      </c>
      <c r="F894" s="2">
        <v>397</v>
      </c>
      <c r="G894" s="2">
        <v>99</v>
      </c>
      <c r="H894" s="2">
        <v>75</v>
      </c>
      <c r="I894" s="2">
        <v>83</v>
      </c>
      <c r="J894" s="2">
        <v>307</v>
      </c>
      <c r="K894" s="2">
        <v>29</v>
      </c>
      <c r="L894" s="2">
        <v>103</v>
      </c>
    </row>
    <row r="895" spans="1:12" x14ac:dyDescent="0.25">
      <c r="A895" s="4" t="str">
        <f>HYPERLINK("http://www.rosaceae.org/Prunus/Prunus_persica/p.persica_gdr_reftransV1_0002913","p.persica_gdr_reftransV1_0002913")</f>
        <v>p.persica_gdr_reftransV1_0002913</v>
      </c>
      <c r="B895" s="2">
        <v>976</v>
      </c>
      <c r="C895" s="4" t="str">
        <f>HYPERLINK("http://www.uniprot.org/uniprot/M5WVI8","M5WVI8")</f>
        <v>M5WVI8</v>
      </c>
      <c r="D895" s="2" t="s">
        <v>881</v>
      </c>
      <c r="E895" s="3">
        <v>1.7899999999999999E-134</v>
      </c>
      <c r="F895" s="2">
        <v>1008</v>
      </c>
      <c r="G895" s="2">
        <v>100</v>
      </c>
      <c r="H895" s="2">
        <v>206</v>
      </c>
      <c r="I895" s="2">
        <v>351</v>
      </c>
      <c r="J895" s="2">
        <v>968</v>
      </c>
      <c r="K895" s="2">
        <v>4</v>
      </c>
      <c r="L895" s="2">
        <v>209</v>
      </c>
    </row>
    <row r="896" spans="1:12" x14ac:dyDescent="0.25">
      <c r="A896" s="4" t="str">
        <f>HYPERLINK("http://www.rosaceae.org/Prunus/Prunus_persica/p.persica_gdr_reftransV1_0003263","p.persica_gdr_reftransV1_0003263")</f>
        <v>p.persica_gdr_reftransV1_0003263</v>
      </c>
      <c r="B896" s="2">
        <v>4672</v>
      </c>
      <c r="C896" s="4" t="str">
        <f>HYPERLINK("http://www.uniprot.org/uniprot/M5WBX8","M5WBX8")</f>
        <v>M5WBX8</v>
      </c>
      <c r="D896" s="2" t="s">
        <v>882</v>
      </c>
      <c r="E896" s="3">
        <v>0</v>
      </c>
      <c r="F896" s="2">
        <v>7813</v>
      </c>
      <c r="G896" s="2">
        <v>100</v>
      </c>
      <c r="H896" s="2">
        <v>1457</v>
      </c>
      <c r="I896" s="2">
        <v>2</v>
      </c>
      <c r="J896" s="2">
        <v>4372</v>
      </c>
      <c r="K896" s="2">
        <v>250</v>
      </c>
      <c r="L896" s="2">
        <v>1706</v>
      </c>
    </row>
    <row r="897" spans="1:12" x14ac:dyDescent="0.25">
      <c r="A897" s="4" t="str">
        <f>HYPERLINK("http://www.rosaceae.org/Prunus/Prunus_persica/p.persica_gdr_reftransV1_0004663","p.persica_gdr_reftransV1_0004663")</f>
        <v>p.persica_gdr_reftransV1_0004663</v>
      </c>
      <c r="B897" s="2">
        <v>1471</v>
      </c>
      <c r="C897" s="4" t="str">
        <f>HYPERLINK("http://www.uniprot.org/uniprot/W9R5M7","W9R5M7")</f>
        <v>W9R5M7</v>
      </c>
      <c r="D897" s="2" t="s">
        <v>883</v>
      </c>
      <c r="E897" s="3">
        <v>0</v>
      </c>
      <c r="F897" s="2">
        <v>1429</v>
      </c>
      <c r="G897" s="2">
        <v>80</v>
      </c>
      <c r="H897" s="2">
        <v>334</v>
      </c>
      <c r="I897" s="2">
        <v>278</v>
      </c>
      <c r="J897" s="2">
        <v>1273</v>
      </c>
      <c r="K897" s="2">
        <v>37</v>
      </c>
      <c r="L897" s="2">
        <v>370</v>
      </c>
    </row>
    <row r="898" spans="1:12" x14ac:dyDescent="0.25">
      <c r="A898" s="4" t="str">
        <f>HYPERLINK("http://www.rosaceae.org/Prunus/Prunus_persica/p.persica_gdr_reftransV1_0006063","p.persica_gdr_reftransV1_0006063")</f>
        <v>p.persica_gdr_reftransV1_0006063</v>
      </c>
      <c r="B898" s="2">
        <v>374</v>
      </c>
      <c r="C898" s="4" t="str">
        <f>HYPERLINK("http://www.uniprot.org/uniprot/M5Xid4","M5Xid4")</f>
        <v>M5Xid4</v>
      </c>
      <c r="D898" s="2" t="s">
        <v>884</v>
      </c>
      <c r="E898" s="3">
        <v>3.42E-82</v>
      </c>
      <c r="F898" s="2">
        <v>667</v>
      </c>
      <c r="G898" s="2">
        <v>100</v>
      </c>
      <c r="H898" s="2">
        <v>124</v>
      </c>
      <c r="I898" s="2">
        <v>2</v>
      </c>
      <c r="J898" s="2">
        <v>373</v>
      </c>
      <c r="K898" s="2">
        <v>185</v>
      </c>
      <c r="L898" s="2">
        <v>308</v>
      </c>
    </row>
    <row r="899" spans="1:12" x14ac:dyDescent="0.25">
      <c r="A899" s="4" t="str">
        <f>HYPERLINK("http://www.rosaceae.org/Prunus/Prunus_persica/p.persica_gdr_reftransV1_0006413","p.persica_gdr_reftransV1_0006413")</f>
        <v>p.persica_gdr_reftransV1_0006413</v>
      </c>
      <c r="B899" s="2">
        <v>596</v>
      </c>
      <c r="C899" s="4" t="str">
        <f>HYPERLINK("http://www.uniprot.org/uniprot/M5WFN5","M5WFN5")</f>
        <v>M5WFN5</v>
      </c>
      <c r="D899" s="2" t="s">
        <v>885</v>
      </c>
      <c r="E899" s="3">
        <v>2.37E-116</v>
      </c>
      <c r="F899" s="2">
        <v>924</v>
      </c>
      <c r="G899" s="2">
        <v>100</v>
      </c>
      <c r="H899" s="2">
        <v>185</v>
      </c>
      <c r="I899" s="2">
        <v>41</v>
      </c>
      <c r="J899" s="2">
        <v>595</v>
      </c>
      <c r="K899" s="2">
        <v>260</v>
      </c>
      <c r="L899" s="2">
        <v>444</v>
      </c>
    </row>
    <row r="900" spans="1:12" x14ac:dyDescent="0.25">
      <c r="A900" s="4" t="str">
        <f>HYPERLINK("http://www.rosaceae.org/Prunus/Prunus_persica/p.persica_gdr_reftransV1_0006763","p.persica_gdr_reftransV1_0006763")</f>
        <v>p.persica_gdr_reftransV1_0006763</v>
      </c>
      <c r="B900" s="2">
        <v>634</v>
      </c>
      <c r="C900" s="4" t="str">
        <f>HYPERLINK("http://www.uniprot.org/uniprot/M5X567","M5X567")</f>
        <v>M5X567</v>
      </c>
      <c r="D900" s="2" t="s">
        <v>886</v>
      </c>
      <c r="E900" s="3">
        <v>4.5100000000000001E-93</v>
      </c>
      <c r="F900" s="2">
        <v>753</v>
      </c>
      <c r="G900" s="2">
        <v>93</v>
      </c>
      <c r="H900" s="2">
        <v>176</v>
      </c>
      <c r="I900" s="2">
        <v>1</v>
      </c>
      <c r="J900" s="2">
        <v>528</v>
      </c>
      <c r="K900" s="2">
        <v>386</v>
      </c>
      <c r="L900" s="2">
        <v>557</v>
      </c>
    </row>
    <row r="901" spans="1:12" x14ac:dyDescent="0.25">
      <c r="A901" s="4" t="str">
        <f>HYPERLINK("http://www.rosaceae.org/Prunus/Prunus_persica/p.persica_gdr_reftransV1_0007113","p.persica_gdr_reftransV1_0007113")</f>
        <v>p.persica_gdr_reftransV1_0007113</v>
      </c>
      <c r="B901" s="2">
        <v>1955</v>
      </c>
      <c r="C901" s="4" t="str">
        <f>HYPERLINK("http://www.uniprot.org/uniprot/M5X6Y0","M5X6Y0")</f>
        <v>M5X6Y0</v>
      </c>
      <c r="D901" s="2" t="s">
        <v>887</v>
      </c>
      <c r="E901" s="3">
        <v>0</v>
      </c>
      <c r="F901" s="2">
        <v>2846</v>
      </c>
      <c r="G901" s="2">
        <v>100</v>
      </c>
      <c r="H901" s="2">
        <v>543</v>
      </c>
      <c r="I901" s="2">
        <v>3</v>
      </c>
      <c r="J901" s="2">
        <v>1631</v>
      </c>
      <c r="K901" s="2">
        <v>204</v>
      </c>
      <c r="L901" s="2">
        <v>746</v>
      </c>
    </row>
    <row r="902" spans="1:12" x14ac:dyDescent="0.25">
      <c r="A902" s="4" t="str">
        <f>HYPERLINK("http://www.rosaceae.org/Prunus/Prunus_persica/p.persica_gdr_reftransV1_0007813","p.persica_gdr_reftransV1_0007813")</f>
        <v>p.persica_gdr_reftransV1_0007813</v>
      </c>
      <c r="B902" s="2">
        <v>1685</v>
      </c>
      <c r="C902" s="4" t="str">
        <f>HYPERLINK("http://www.uniprot.org/uniprot/M5XR31","M5XR31")</f>
        <v>M5XR31</v>
      </c>
      <c r="D902" s="2" t="s">
        <v>888</v>
      </c>
      <c r="E902" s="3">
        <v>0</v>
      </c>
      <c r="F902" s="2">
        <v>1989</v>
      </c>
      <c r="G902" s="2">
        <v>100</v>
      </c>
      <c r="H902" s="2">
        <v>401</v>
      </c>
      <c r="I902" s="2">
        <v>371</v>
      </c>
      <c r="J902" s="2">
        <v>1573</v>
      </c>
      <c r="K902" s="2">
        <v>1</v>
      </c>
      <c r="L902" s="2">
        <v>401</v>
      </c>
    </row>
    <row r="903" spans="1:12" x14ac:dyDescent="0.25">
      <c r="A903" s="4" t="str">
        <f>HYPERLINK("http://www.rosaceae.org/Prunus/Prunus_persica/p.persica_gdr_reftransV1_0008163","p.persica_gdr_reftransV1_0008163")</f>
        <v>p.persica_gdr_reftransV1_0008163</v>
      </c>
      <c r="B903" s="2">
        <v>617</v>
      </c>
      <c r="C903" s="4" t="str">
        <f>HYPERLINK("http://www.uniprot.org/uniprot/M5Y125","M5Y125")</f>
        <v>M5Y125</v>
      </c>
      <c r="D903" s="2" t="s">
        <v>889</v>
      </c>
      <c r="E903" s="3">
        <v>2.9300000000000002E-144</v>
      </c>
      <c r="F903" s="2">
        <v>1115</v>
      </c>
      <c r="G903" s="2">
        <v>100</v>
      </c>
      <c r="H903" s="2">
        <v>205</v>
      </c>
      <c r="I903" s="2">
        <v>1</v>
      </c>
      <c r="J903" s="2">
        <v>615</v>
      </c>
      <c r="K903" s="2">
        <v>165</v>
      </c>
      <c r="L903" s="2">
        <v>369</v>
      </c>
    </row>
    <row r="904" spans="1:12" x14ac:dyDescent="0.25">
      <c r="A904" s="4" t="str">
        <f>HYPERLINK("http://www.rosaceae.org/Prunus/Prunus_persica/p.persica_gdr_reftransV1_0008513","p.persica_gdr_reftransV1_0008513")</f>
        <v>p.persica_gdr_reftransV1_0008513</v>
      </c>
      <c r="B904" s="2">
        <v>1429</v>
      </c>
      <c r="C904" s="4" t="str">
        <f>HYPERLINK("http://www.uniprot.org/uniprot/M5WML4","M5WML4")</f>
        <v>M5WML4</v>
      </c>
      <c r="D904" s="2" t="s">
        <v>890</v>
      </c>
      <c r="E904" s="3">
        <v>0</v>
      </c>
      <c r="F904" s="2">
        <v>1373</v>
      </c>
      <c r="G904" s="2">
        <v>100</v>
      </c>
      <c r="H904" s="2">
        <v>255</v>
      </c>
      <c r="I904" s="2">
        <v>276</v>
      </c>
      <c r="J904" s="2">
        <v>1040</v>
      </c>
      <c r="K904" s="2">
        <v>1</v>
      </c>
      <c r="L904" s="2">
        <v>255</v>
      </c>
    </row>
    <row r="905" spans="1:12" x14ac:dyDescent="0.25">
      <c r="A905" s="4" t="str">
        <f>HYPERLINK("http://www.rosaceae.org/Prunus/Prunus_persica/p.persica_gdr_reftransV1_0008863","p.persica_gdr_reftransV1_0008863")</f>
        <v>p.persica_gdr_reftransV1_0008863</v>
      </c>
      <c r="B905" s="2">
        <v>954</v>
      </c>
      <c r="C905" s="4" t="str">
        <f>HYPERLINK("http://www.uniprot.org/uniprot/A0A0D2NSV5","A0A0D2NSV5")</f>
        <v>A0A0D2NSV5</v>
      </c>
      <c r="D905" s="2" t="s">
        <v>891</v>
      </c>
      <c r="E905" s="3">
        <v>4.7700000000000001E-76</v>
      </c>
      <c r="F905" s="2">
        <v>630</v>
      </c>
      <c r="G905" s="2">
        <v>55</v>
      </c>
      <c r="H905" s="2">
        <v>311</v>
      </c>
      <c r="I905" s="2">
        <v>22</v>
      </c>
      <c r="J905" s="2">
        <v>903</v>
      </c>
      <c r="K905" s="2">
        <v>7</v>
      </c>
      <c r="L905" s="2">
        <v>308</v>
      </c>
    </row>
    <row r="906" spans="1:12" x14ac:dyDescent="0.25">
      <c r="A906" s="4" t="str">
        <f>HYPERLINK("http://www.rosaceae.org/Prunus/Prunus_persica/p.persica_gdr_reftransV1_0009913","p.persica_gdr_reftransV1_0009913")</f>
        <v>p.persica_gdr_reftransV1_0009913</v>
      </c>
      <c r="B906" s="2">
        <v>1951</v>
      </c>
      <c r="C906" s="4" t="str">
        <f>HYPERLINK("http://www.uniprot.org/uniprot/M5VZI4","M5VZI4")</f>
        <v>M5VZI4</v>
      </c>
      <c r="D906" s="2" t="s">
        <v>892</v>
      </c>
      <c r="E906" s="3">
        <v>2.3300000000000002E-131</v>
      </c>
      <c r="F906" s="2">
        <v>909</v>
      </c>
      <c r="G906" s="2">
        <v>98</v>
      </c>
      <c r="H906" s="2">
        <v>175</v>
      </c>
      <c r="I906" s="2">
        <v>367</v>
      </c>
      <c r="J906" s="2">
        <v>891</v>
      </c>
      <c r="K906" s="2">
        <v>68</v>
      </c>
      <c r="L906" s="2">
        <v>242</v>
      </c>
    </row>
    <row r="907" spans="1:12" x14ac:dyDescent="0.25">
      <c r="A907" s="4" t="str">
        <f>HYPERLINK("http://www.rosaceae.org/Prunus/Prunus_persica/p.persica_gdr_reftransV1_0010613","p.persica_gdr_reftransV1_0010613")</f>
        <v>p.persica_gdr_reftransV1_0010613</v>
      </c>
      <c r="B907" s="2">
        <v>2535</v>
      </c>
      <c r="C907" s="4" t="str">
        <f>HYPERLINK("http://www.uniprot.org/uniprot/M5WCA1","M5WCA1")</f>
        <v>M5WCA1</v>
      </c>
      <c r="D907" s="2" t="s">
        <v>893</v>
      </c>
      <c r="E907" s="3">
        <v>0</v>
      </c>
      <c r="F907" s="2">
        <v>3231</v>
      </c>
      <c r="G907" s="2">
        <v>97</v>
      </c>
      <c r="H907" s="2">
        <v>658</v>
      </c>
      <c r="I907" s="2">
        <v>12</v>
      </c>
      <c r="J907" s="2">
        <v>1985</v>
      </c>
      <c r="K907" s="2">
        <v>1</v>
      </c>
      <c r="L907" s="2">
        <v>641</v>
      </c>
    </row>
    <row r="908" spans="1:12" x14ac:dyDescent="0.25">
      <c r="A908" s="4" t="str">
        <f>HYPERLINK("http://www.rosaceae.org/Prunus/Prunus_persica/p.persica_gdr_reftransV1_0011313","p.persica_gdr_reftransV1_0011313")</f>
        <v>p.persica_gdr_reftransV1_0011313</v>
      </c>
      <c r="B908" s="2">
        <v>1654</v>
      </c>
      <c r="C908" s="4" t="str">
        <f>HYPERLINK("http://www.uniprot.org/uniprot/M5XMG0","M5XMG0")</f>
        <v>M5XMG0</v>
      </c>
      <c r="D908" s="2" t="s">
        <v>894</v>
      </c>
      <c r="E908" s="3">
        <v>0</v>
      </c>
      <c r="F908" s="2">
        <v>2139</v>
      </c>
      <c r="G908" s="2">
        <v>100</v>
      </c>
      <c r="H908" s="2">
        <v>432</v>
      </c>
      <c r="I908" s="2">
        <v>357</v>
      </c>
      <c r="J908" s="2">
        <v>1652</v>
      </c>
      <c r="K908" s="2">
        <v>1364</v>
      </c>
      <c r="L908" s="2">
        <v>1795</v>
      </c>
    </row>
    <row r="909" spans="1:12" x14ac:dyDescent="0.25">
      <c r="A909" s="4" t="str">
        <f>HYPERLINK("http://www.rosaceae.org/Prunus/Prunus_persica/p.persica_gdr_reftransV1_0011663","p.persica_gdr_reftransV1_0011663")</f>
        <v>p.persica_gdr_reftransV1_0011663</v>
      </c>
      <c r="B909" s="2">
        <v>1002</v>
      </c>
      <c r="C909" s="4" t="str">
        <f>HYPERLINK("http://www.uniprot.org/uniprot/M5WH51","M5WH51")</f>
        <v>M5WH51</v>
      </c>
      <c r="D909" s="2" t="s">
        <v>895</v>
      </c>
      <c r="E909" s="3">
        <v>1.8700000000000001E-147</v>
      </c>
      <c r="F909" s="2">
        <v>1098</v>
      </c>
      <c r="G909" s="2">
        <v>100</v>
      </c>
      <c r="H909" s="2">
        <v>236</v>
      </c>
      <c r="I909" s="2">
        <v>214</v>
      </c>
      <c r="J909" s="2">
        <v>921</v>
      </c>
      <c r="K909" s="2">
        <v>1</v>
      </c>
      <c r="L909" s="2">
        <v>236</v>
      </c>
    </row>
    <row r="910" spans="1:12" x14ac:dyDescent="0.25">
      <c r="A910" s="4" t="str">
        <f>HYPERLINK("http://www.rosaceae.org/Prunus/Prunus_persica/p.persica_gdr_reftransV1_0013063","p.persica_gdr_reftransV1_0013063")</f>
        <v>p.persica_gdr_reftransV1_0013063</v>
      </c>
      <c r="B910" s="2">
        <v>4961</v>
      </c>
      <c r="C910" s="4" t="str">
        <f>HYPERLINK("http://www.uniprot.org/uniprot/M5VLW6","M5VLW6")</f>
        <v>M5VLW6</v>
      </c>
      <c r="D910" s="2" t="s">
        <v>896</v>
      </c>
      <c r="E910" s="3">
        <v>0</v>
      </c>
      <c r="F910" s="2">
        <v>7395</v>
      </c>
      <c r="G910" s="2">
        <v>100</v>
      </c>
      <c r="H910" s="2">
        <v>1444</v>
      </c>
      <c r="I910" s="2">
        <v>320</v>
      </c>
      <c r="J910" s="2">
        <v>4651</v>
      </c>
      <c r="K910" s="2">
        <v>1</v>
      </c>
      <c r="L910" s="2">
        <v>1444</v>
      </c>
    </row>
    <row r="911" spans="1:12" x14ac:dyDescent="0.25">
      <c r="A911" s="4" t="str">
        <f>HYPERLINK("http://www.rosaceae.org/Prunus/Prunus_persica/p.persica_gdr_reftransV1_0013763","p.persica_gdr_reftransV1_0013763")</f>
        <v>p.persica_gdr_reftransV1_0013763</v>
      </c>
      <c r="B911" s="2">
        <v>1018</v>
      </c>
      <c r="C911" s="4" t="str">
        <f>HYPERLINK("http://www.uniprot.org/uniprot/M5WTJ0","M5WTJ0")</f>
        <v>M5WTJ0</v>
      </c>
      <c r="D911" s="2" t="s">
        <v>897</v>
      </c>
      <c r="E911" s="3">
        <v>8.5899999999999999E-153</v>
      </c>
      <c r="F911" s="2">
        <v>1131</v>
      </c>
      <c r="G911" s="2">
        <v>100</v>
      </c>
      <c r="H911" s="2">
        <v>213</v>
      </c>
      <c r="I911" s="2">
        <v>104</v>
      </c>
      <c r="J911" s="2">
        <v>742</v>
      </c>
      <c r="K911" s="2">
        <v>1</v>
      </c>
      <c r="L911" s="2">
        <v>213</v>
      </c>
    </row>
    <row r="912" spans="1:12" x14ac:dyDescent="0.25">
      <c r="A912" s="4" t="str">
        <f>HYPERLINK("http://www.rosaceae.org/Prunus/Prunus_persica/p.persica_gdr_reftransV1_0014113","p.persica_gdr_reftransV1_0014113")</f>
        <v>p.persica_gdr_reftransV1_0014113</v>
      </c>
      <c r="B912" s="2">
        <v>1038</v>
      </c>
      <c r="C912" s="4" t="str">
        <f>HYPERLINK("http://www.uniprot.org/uniprot/M5X907","M5X907")</f>
        <v>M5X907</v>
      </c>
      <c r="D912" s="2" t="s">
        <v>898</v>
      </c>
      <c r="E912" s="3">
        <v>0</v>
      </c>
      <c r="F912" s="2">
        <v>1866</v>
      </c>
      <c r="G912" s="2">
        <v>100</v>
      </c>
      <c r="H912" s="2">
        <v>345</v>
      </c>
      <c r="I912" s="2">
        <v>3</v>
      </c>
      <c r="J912" s="2">
        <v>1037</v>
      </c>
      <c r="K912" s="2">
        <v>1140</v>
      </c>
      <c r="L912" s="2">
        <v>1484</v>
      </c>
    </row>
    <row r="913" spans="1:12" x14ac:dyDescent="0.25">
      <c r="A913" s="4" t="str">
        <f>HYPERLINK("http://www.rosaceae.org/Prunus/Prunus_persica/p.persica_gdr_reftransV1_0014813","p.persica_gdr_reftransV1_0014813")</f>
        <v>p.persica_gdr_reftransV1_0014813</v>
      </c>
      <c r="B913" s="2">
        <v>3474</v>
      </c>
      <c r="C913" s="4" t="str">
        <f>HYPERLINK("http://www.uniprot.org/uniprot/M5WW97","M5WW97")</f>
        <v>M5WW97</v>
      </c>
      <c r="D913" s="2" t="s">
        <v>899</v>
      </c>
      <c r="E913" s="3">
        <v>0</v>
      </c>
      <c r="F913" s="2">
        <v>4890</v>
      </c>
      <c r="G913" s="2">
        <v>99</v>
      </c>
      <c r="H913" s="2">
        <v>940</v>
      </c>
      <c r="I913" s="2">
        <v>359</v>
      </c>
      <c r="J913" s="2">
        <v>3178</v>
      </c>
      <c r="K913" s="2">
        <v>1</v>
      </c>
      <c r="L913" s="2">
        <v>940</v>
      </c>
    </row>
    <row r="914" spans="1:12" x14ac:dyDescent="0.25">
      <c r="A914" s="4" t="str">
        <f>HYPERLINK("http://www.rosaceae.org/Prunus/Prunus_persica/p.persica_gdr_reftransV1_0015163","p.persica_gdr_reftransV1_0015163")</f>
        <v>p.persica_gdr_reftransV1_0015163</v>
      </c>
      <c r="B914" s="2">
        <v>1975</v>
      </c>
      <c r="C914" s="4" t="str">
        <f>HYPERLINK("http://www.uniprot.org/uniprot/M5XI57","M5XI57")</f>
        <v>M5XI57</v>
      </c>
      <c r="D914" s="2" t="s">
        <v>900</v>
      </c>
      <c r="E914" s="3">
        <v>0</v>
      </c>
      <c r="F914" s="2">
        <v>1970</v>
      </c>
      <c r="G914" s="2">
        <v>100</v>
      </c>
      <c r="H914" s="2">
        <v>413</v>
      </c>
      <c r="I914" s="2">
        <v>605</v>
      </c>
      <c r="J914" s="2">
        <v>1843</v>
      </c>
      <c r="K914" s="2">
        <v>1</v>
      </c>
      <c r="L914" s="2">
        <v>413</v>
      </c>
    </row>
    <row r="915" spans="1:12" x14ac:dyDescent="0.25">
      <c r="A915" s="4" t="str">
        <f>HYPERLINK("http://www.rosaceae.org/Prunus/Prunus_persica/p.persica_gdr_reftransV1_0015513","p.persica_gdr_reftransV1_0015513")</f>
        <v>p.persica_gdr_reftransV1_0015513</v>
      </c>
      <c r="B915" s="2">
        <v>2680</v>
      </c>
      <c r="C915" s="4" t="str">
        <f>HYPERLINK("http://www.uniprot.org/uniprot/M5XIA9","M5XIA9")</f>
        <v>M5XIA9</v>
      </c>
      <c r="D915" s="2" t="s">
        <v>901</v>
      </c>
      <c r="E915" s="3">
        <v>0</v>
      </c>
      <c r="F915" s="2">
        <v>3284</v>
      </c>
      <c r="G915" s="2">
        <v>95</v>
      </c>
      <c r="H915" s="2">
        <v>694</v>
      </c>
      <c r="I915" s="2">
        <v>304</v>
      </c>
      <c r="J915" s="2">
        <v>2385</v>
      </c>
      <c r="K915" s="2">
        <v>1</v>
      </c>
      <c r="L915" s="2">
        <v>661</v>
      </c>
    </row>
    <row r="916" spans="1:12" x14ac:dyDescent="0.25">
      <c r="A916" s="4" t="str">
        <f>HYPERLINK("http://www.rosaceae.org/Prunus/Prunus_persica/p.persica_gdr_reftransV1_0015863","p.persica_gdr_reftransV1_0015863")</f>
        <v>p.persica_gdr_reftransV1_0015863</v>
      </c>
      <c r="B916" s="2">
        <v>1808</v>
      </c>
      <c r="C916" s="4" t="str">
        <f>HYPERLINK("http://www.uniprot.org/uniprot/M5VMK2","M5VMK2")</f>
        <v>M5VMK2</v>
      </c>
      <c r="D916" s="2" t="s">
        <v>902</v>
      </c>
      <c r="E916" s="3">
        <v>2.9999999999999998E-141</v>
      </c>
      <c r="F916" s="2">
        <v>1085</v>
      </c>
      <c r="G916" s="2">
        <v>100</v>
      </c>
      <c r="H916" s="2">
        <v>249</v>
      </c>
      <c r="I916" s="2">
        <v>682</v>
      </c>
      <c r="J916" s="2">
        <v>1428</v>
      </c>
      <c r="K916" s="2">
        <v>1</v>
      </c>
      <c r="L916" s="2">
        <v>249</v>
      </c>
    </row>
    <row r="917" spans="1:12" x14ac:dyDescent="0.25">
      <c r="A917" s="4" t="str">
        <f>HYPERLINK("http://www.rosaceae.org/Prunus/Prunus_persica/p.persica_gdr_reftransV1_0016563","p.persica_gdr_reftransV1_0016563")</f>
        <v>p.persica_gdr_reftransV1_0016563</v>
      </c>
      <c r="B917" s="2">
        <v>3761</v>
      </c>
      <c r="C917" s="4" t="str">
        <f>HYPERLINK("http://www.uniprot.org/uniprot/M5XZS9","M5XZS9")</f>
        <v>M5XZS9</v>
      </c>
      <c r="D917" s="2" t="s">
        <v>903</v>
      </c>
      <c r="E917" s="3">
        <v>0</v>
      </c>
      <c r="F917" s="2">
        <v>2435</v>
      </c>
      <c r="G917" s="2">
        <v>98</v>
      </c>
      <c r="H917" s="2">
        <v>498</v>
      </c>
      <c r="I917" s="2">
        <v>1643</v>
      </c>
      <c r="J917" s="2">
        <v>3133</v>
      </c>
      <c r="K917" s="2">
        <v>1</v>
      </c>
      <c r="L917" s="2">
        <v>498</v>
      </c>
    </row>
    <row r="918" spans="1:12" x14ac:dyDescent="0.25">
      <c r="A918" s="4" t="str">
        <f>HYPERLINK("http://www.rosaceae.org/Prunus/Prunus_persica/p.persica_gdr_reftransV1_0017263","p.persica_gdr_reftransV1_0017263")</f>
        <v>p.persica_gdr_reftransV1_0017263</v>
      </c>
      <c r="B918" s="2">
        <v>2863</v>
      </c>
      <c r="C918" s="4" t="str">
        <f>HYPERLINK("http://www.uniprot.org/uniprot/A0A059A5U0","A0A059A5U0")</f>
        <v>A0A059A5U0</v>
      </c>
      <c r="D918" s="2" t="s">
        <v>904</v>
      </c>
      <c r="E918" s="3">
        <v>0</v>
      </c>
      <c r="F918" s="2">
        <v>2712</v>
      </c>
      <c r="G918" s="2">
        <v>69</v>
      </c>
      <c r="H918" s="2">
        <v>766</v>
      </c>
      <c r="I918" s="2">
        <v>122</v>
      </c>
      <c r="J918" s="2">
        <v>2395</v>
      </c>
      <c r="K918" s="2">
        <v>15</v>
      </c>
      <c r="L918" s="2">
        <v>713</v>
      </c>
    </row>
    <row r="919" spans="1:12" x14ac:dyDescent="0.25">
      <c r="A919" s="4" t="str">
        <f>HYPERLINK("http://www.rosaceae.org/Prunus/Prunus_persica/p.persica_gdr_reftransV1_0017613","p.persica_gdr_reftransV1_0017613")</f>
        <v>p.persica_gdr_reftransV1_0017613</v>
      </c>
      <c r="B919" s="2">
        <v>3325</v>
      </c>
      <c r="C919" s="4" t="str">
        <f>HYPERLINK("http://www.uniprot.org/uniprot/W9SX75","W9SX75")</f>
        <v>W9SX75</v>
      </c>
      <c r="D919" s="2" t="s">
        <v>905</v>
      </c>
      <c r="E919" s="3">
        <v>0</v>
      </c>
      <c r="F919" s="2">
        <v>3607</v>
      </c>
      <c r="G919" s="2">
        <v>89</v>
      </c>
      <c r="H919" s="2">
        <v>775</v>
      </c>
      <c r="I919" s="2">
        <v>646</v>
      </c>
      <c r="J919" s="2">
        <v>2970</v>
      </c>
      <c r="K919" s="2">
        <v>1</v>
      </c>
      <c r="L919" s="2">
        <v>774</v>
      </c>
    </row>
    <row r="920" spans="1:12" x14ac:dyDescent="0.25">
      <c r="A920" s="4" t="str">
        <f>HYPERLINK("http://www.rosaceae.org/Prunus/Prunus_persica/p.persica_gdr_reftransV1_0018663","p.persica_gdr_reftransV1_0018663")</f>
        <v>p.persica_gdr_reftransV1_0018663</v>
      </c>
      <c r="B920" s="2">
        <v>1564</v>
      </c>
      <c r="C920" s="4" t="str">
        <f>HYPERLINK("http://www.uniprot.org/uniprot/B9SZ26","B9SZ26")</f>
        <v>B9SZ26</v>
      </c>
      <c r="D920" s="2" t="s">
        <v>906</v>
      </c>
      <c r="E920" s="3">
        <v>0</v>
      </c>
      <c r="F920" s="2">
        <v>1407</v>
      </c>
      <c r="G920" s="2">
        <v>80</v>
      </c>
      <c r="H920" s="2">
        <v>361</v>
      </c>
      <c r="I920" s="2">
        <v>212</v>
      </c>
      <c r="J920" s="2">
        <v>1294</v>
      </c>
      <c r="K920" s="2">
        <v>54</v>
      </c>
      <c r="L920" s="2">
        <v>404</v>
      </c>
    </row>
    <row r="921" spans="1:12" x14ac:dyDescent="0.25">
      <c r="A921" s="4" t="str">
        <f>HYPERLINK("http://www.rosaceae.org/Prunus/Prunus_persica/p.persica_gdr_reftransV1_0020063","p.persica_gdr_reftransV1_0020063")</f>
        <v>p.persica_gdr_reftransV1_0020063</v>
      </c>
      <c r="B921" s="2">
        <v>558</v>
      </c>
      <c r="C921" s="4" t="str">
        <f>HYPERLINK("http://www.uniprot.org/uniprot/M5X1T4","M5X1T4")</f>
        <v>M5X1T4</v>
      </c>
      <c r="D921" s="2" t="s">
        <v>907</v>
      </c>
      <c r="E921" s="3">
        <v>5.2700000000000003E-57</v>
      </c>
      <c r="F921" s="2">
        <v>492</v>
      </c>
      <c r="G921" s="2">
        <v>76</v>
      </c>
      <c r="H921" s="2">
        <v>136</v>
      </c>
      <c r="I921" s="2">
        <v>1</v>
      </c>
      <c r="J921" s="2">
        <v>408</v>
      </c>
      <c r="K921" s="2">
        <v>241</v>
      </c>
      <c r="L921" s="2">
        <v>343</v>
      </c>
    </row>
    <row r="922" spans="1:12" x14ac:dyDescent="0.25">
      <c r="A922" s="4" t="str">
        <f>HYPERLINK("http://www.rosaceae.org/Prunus/Prunus_persica/p.persica_gdr_reftransV1_0023213","p.persica_gdr_reftransV1_0023213")</f>
        <v>p.persica_gdr_reftransV1_0023213</v>
      </c>
      <c r="B922" s="2">
        <v>1445</v>
      </c>
      <c r="C922" s="4" t="str">
        <f>HYPERLINK("http://www.uniprot.org/uniprot/M5XXD7","M5XXD7")</f>
        <v>M5XXD7</v>
      </c>
      <c r="D922" s="2" t="s">
        <v>908</v>
      </c>
      <c r="E922" s="3">
        <v>0</v>
      </c>
      <c r="F922" s="2">
        <v>1694</v>
      </c>
      <c r="G922" s="2">
        <v>100</v>
      </c>
      <c r="H922" s="2">
        <v>312</v>
      </c>
      <c r="I922" s="2">
        <v>125</v>
      </c>
      <c r="J922" s="2">
        <v>1060</v>
      </c>
      <c r="K922" s="2">
        <v>1</v>
      </c>
      <c r="L922" s="2">
        <v>312</v>
      </c>
    </row>
    <row r="923" spans="1:12" x14ac:dyDescent="0.25">
      <c r="A923" s="4" t="str">
        <f>HYPERLINK("http://www.rosaceae.org/Prunus/Prunus_persica/p.persica_gdr_reftransV1_0024263","p.persica_gdr_reftransV1_0024263")</f>
        <v>p.persica_gdr_reftransV1_0024263</v>
      </c>
      <c r="B923" s="2">
        <v>2600</v>
      </c>
      <c r="C923" s="4" t="str">
        <f>HYPERLINK("http://www.uniprot.org/uniprot/M5VIP7","M5VIP7")</f>
        <v>M5VIP7</v>
      </c>
      <c r="D923" s="2" t="s">
        <v>909</v>
      </c>
      <c r="E923" s="3">
        <v>0</v>
      </c>
      <c r="F923" s="2">
        <v>2605</v>
      </c>
      <c r="G923" s="2">
        <v>95</v>
      </c>
      <c r="H923" s="2">
        <v>695</v>
      </c>
      <c r="I923" s="2">
        <v>366</v>
      </c>
      <c r="J923" s="2">
        <v>2342</v>
      </c>
      <c r="K923" s="2">
        <v>1</v>
      </c>
      <c r="L923" s="2">
        <v>695</v>
      </c>
    </row>
    <row r="924" spans="1:12" x14ac:dyDescent="0.25">
      <c r="A924" s="4" t="str">
        <f>HYPERLINK("http://www.rosaceae.org/Prunus/Prunus_persica/p.persica_gdr_reftransV1_0025663","p.persica_gdr_reftransV1_0025663")</f>
        <v>p.persica_gdr_reftransV1_0025663</v>
      </c>
      <c r="B924" s="2">
        <v>729</v>
      </c>
      <c r="C924" s="4" t="str">
        <f>HYPERLINK("http://www.uniprot.org/uniprot/M5W399","M5W399")</f>
        <v>M5W399</v>
      </c>
      <c r="D924" s="2" t="s">
        <v>910</v>
      </c>
      <c r="E924" s="3">
        <v>6.04E-105</v>
      </c>
      <c r="F924" s="2">
        <v>812</v>
      </c>
      <c r="G924" s="2">
        <v>100</v>
      </c>
      <c r="H924" s="2">
        <v>156</v>
      </c>
      <c r="I924" s="2">
        <v>1</v>
      </c>
      <c r="J924" s="2">
        <v>468</v>
      </c>
      <c r="K924" s="2">
        <v>1</v>
      </c>
      <c r="L924" s="2">
        <v>156</v>
      </c>
    </row>
    <row r="925" spans="1:12" x14ac:dyDescent="0.25">
      <c r="A925" s="4" t="str">
        <f>HYPERLINK("http://www.rosaceae.org/Prunus/Prunus_persica/p.persica_gdr_reftransV1_0026363","p.persica_gdr_reftransV1_0026363")</f>
        <v>p.persica_gdr_reftransV1_0026363</v>
      </c>
      <c r="B925" s="2">
        <v>2875</v>
      </c>
      <c r="C925" s="4" t="str">
        <f>HYPERLINK("http://www.uniprot.org/uniprot/M5X7S8","M5X7S8")</f>
        <v>M5X7S8</v>
      </c>
      <c r="D925" s="2" t="s">
        <v>911</v>
      </c>
      <c r="E925" s="3">
        <v>0</v>
      </c>
      <c r="F925" s="2">
        <v>1776</v>
      </c>
      <c r="G925" s="2">
        <v>100</v>
      </c>
      <c r="H925" s="2">
        <v>331</v>
      </c>
      <c r="I925" s="2">
        <v>1560</v>
      </c>
      <c r="J925" s="2">
        <v>2552</v>
      </c>
      <c r="K925" s="2">
        <v>21</v>
      </c>
      <c r="L925" s="2">
        <v>351</v>
      </c>
    </row>
    <row r="926" spans="1:12" x14ac:dyDescent="0.25">
      <c r="A926" s="4" t="str">
        <f>HYPERLINK("http://www.rosaceae.org/Prunus/Prunus_persica/p.persica_gdr_reftransV1_0027763","p.persica_gdr_reftransV1_0027763")</f>
        <v>p.persica_gdr_reftransV1_0027763</v>
      </c>
      <c r="B926" s="2">
        <v>4201</v>
      </c>
      <c r="C926" s="4" t="str">
        <f>HYPERLINK("http://www.uniprot.org/uniprot/M5XKH1","M5XKH1")</f>
        <v>M5XKH1</v>
      </c>
      <c r="D926" s="2" t="s">
        <v>912</v>
      </c>
      <c r="E926" s="3">
        <v>0</v>
      </c>
      <c r="F926" s="2">
        <v>2590</v>
      </c>
      <c r="G926" s="2">
        <v>100</v>
      </c>
      <c r="H926" s="2">
        <v>524</v>
      </c>
      <c r="I926" s="2">
        <v>306</v>
      </c>
      <c r="J926" s="2">
        <v>1877</v>
      </c>
      <c r="K926" s="2">
        <v>1</v>
      </c>
      <c r="L926" s="2">
        <v>524</v>
      </c>
    </row>
    <row r="927" spans="1:12" x14ac:dyDescent="0.25">
      <c r="A927" s="4" t="str">
        <f>HYPERLINK("http://www.rosaceae.org/Prunus/Prunus_persica/p.persica_gdr_reftransV1_0028113","p.persica_gdr_reftransV1_0028113")</f>
        <v>p.persica_gdr_reftransV1_0028113</v>
      </c>
      <c r="B927" s="2">
        <v>1221</v>
      </c>
      <c r="C927" s="4" t="str">
        <f>HYPERLINK("http://www.uniprot.org/uniprot/M5VI08","M5VI08")</f>
        <v>M5VI08</v>
      </c>
      <c r="D927" s="2" t="s">
        <v>913</v>
      </c>
      <c r="E927" s="3">
        <v>2.9500000000000001E-137</v>
      </c>
      <c r="F927" s="2">
        <v>1118</v>
      </c>
      <c r="G927" s="2">
        <v>100</v>
      </c>
      <c r="H927" s="2">
        <v>229</v>
      </c>
      <c r="I927" s="2">
        <v>1</v>
      </c>
      <c r="J927" s="2">
        <v>687</v>
      </c>
      <c r="K927" s="2">
        <v>1029</v>
      </c>
      <c r="L927" s="2">
        <v>1257</v>
      </c>
    </row>
    <row r="928" spans="1:12" x14ac:dyDescent="0.25">
      <c r="A928" s="4" t="str">
        <f>HYPERLINK("http://www.rosaceae.org/Prunus/Prunus_persica/p.persica_gdr_reftransV1_0030563","p.persica_gdr_reftransV1_0030563")</f>
        <v>p.persica_gdr_reftransV1_0030563</v>
      </c>
      <c r="B928" s="2">
        <v>1829</v>
      </c>
      <c r="C928" s="4" t="str">
        <f>HYPERLINK("http://www.uniprot.org/uniprot/M5WCJ4","M5WCJ4")</f>
        <v>M5WCJ4</v>
      </c>
      <c r="D928" s="2" t="s">
        <v>914</v>
      </c>
      <c r="E928" s="3">
        <v>0</v>
      </c>
      <c r="F928" s="2">
        <v>2660</v>
      </c>
      <c r="G928" s="2">
        <v>97</v>
      </c>
      <c r="H928" s="2">
        <v>519</v>
      </c>
      <c r="I928" s="2">
        <v>1</v>
      </c>
      <c r="J928" s="2">
        <v>1557</v>
      </c>
      <c r="K928" s="2">
        <v>102</v>
      </c>
      <c r="L928" s="2">
        <v>607</v>
      </c>
    </row>
    <row r="929" spans="1:12" x14ac:dyDescent="0.25">
      <c r="A929" s="4" t="str">
        <f>HYPERLINK("http://www.rosaceae.org/Prunus/Prunus_persica/p.persica_gdr_reftransV1_0031263","p.persica_gdr_reftransV1_0031263")</f>
        <v>p.persica_gdr_reftransV1_0031263</v>
      </c>
      <c r="B929" s="2">
        <v>1824</v>
      </c>
      <c r="C929" s="4" t="str">
        <f>HYPERLINK("http://www.uniprot.org/uniprot/M5WTQ0","M5WTQ0")</f>
        <v>M5WTQ0</v>
      </c>
      <c r="D929" s="2" t="s">
        <v>915</v>
      </c>
      <c r="E929" s="3">
        <v>5.7499999999999999E-83</v>
      </c>
      <c r="F929" s="2">
        <v>695</v>
      </c>
      <c r="G929" s="2">
        <v>100</v>
      </c>
      <c r="H929" s="2">
        <v>128</v>
      </c>
      <c r="I929" s="2">
        <v>1284</v>
      </c>
      <c r="J929" s="2">
        <v>1667</v>
      </c>
      <c r="K929" s="2">
        <v>20</v>
      </c>
      <c r="L929" s="2">
        <v>147</v>
      </c>
    </row>
    <row r="930" spans="1:12" x14ac:dyDescent="0.25">
      <c r="A930" s="4" t="str">
        <f>HYPERLINK("http://www.rosaceae.org/Prunus/Prunus_persica/p.persica_gdr_reftransV1_0033363","p.persica_gdr_reftransV1_0033363")</f>
        <v>p.persica_gdr_reftransV1_0033363</v>
      </c>
      <c r="B930" s="2">
        <v>1722</v>
      </c>
      <c r="C930" s="4" t="str">
        <f>HYPERLINK("http://www.uniprot.org/uniprot/A5C2Y8","A5C2Y8")</f>
        <v>A5C2Y8</v>
      </c>
      <c r="D930" s="2" t="s">
        <v>916</v>
      </c>
      <c r="E930" s="3">
        <v>3.52E-36</v>
      </c>
      <c r="F930" s="2">
        <v>368</v>
      </c>
      <c r="G930" s="2">
        <v>39</v>
      </c>
      <c r="H930" s="2">
        <v>193</v>
      </c>
      <c r="I930" s="2">
        <v>92</v>
      </c>
      <c r="J930" s="2">
        <v>667</v>
      </c>
      <c r="K930" s="2">
        <v>12</v>
      </c>
      <c r="L930" s="2">
        <v>204</v>
      </c>
    </row>
    <row r="931" spans="1:12" x14ac:dyDescent="0.25">
      <c r="A931" s="4" t="str">
        <f>HYPERLINK("http://www.rosaceae.org/Prunus/Prunus_persica/p.persica_gdr_reftransV1_0033713","p.persica_gdr_reftransV1_0033713")</f>
        <v>p.persica_gdr_reftransV1_0033713</v>
      </c>
      <c r="B931" s="2">
        <v>1742</v>
      </c>
      <c r="C931" s="4" t="str">
        <f>HYPERLINK("http://www.uniprot.org/uniprot/M5WSG0","M5WSG0")</f>
        <v>M5WSG0</v>
      </c>
      <c r="D931" s="2" t="s">
        <v>917</v>
      </c>
      <c r="E931" s="3">
        <v>0</v>
      </c>
      <c r="F931" s="2">
        <v>1720</v>
      </c>
      <c r="G931" s="2">
        <v>92</v>
      </c>
      <c r="H931" s="2">
        <v>398</v>
      </c>
      <c r="I931" s="2">
        <v>428</v>
      </c>
      <c r="J931" s="2">
        <v>1621</v>
      </c>
      <c r="K931" s="2">
        <v>1</v>
      </c>
      <c r="L931" s="2">
        <v>374</v>
      </c>
    </row>
    <row r="932" spans="1:12" x14ac:dyDescent="0.25">
      <c r="A932" s="4" t="str">
        <f>HYPERLINK("http://www.rosaceae.org/Prunus/Prunus_persica/p.persica_gdr_reftransV1_0036163","p.persica_gdr_reftransV1_0036163")</f>
        <v>p.persica_gdr_reftransV1_0036163</v>
      </c>
      <c r="B932" s="2">
        <v>2747</v>
      </c>
      <c r="C932" s="4" t="str">
        <f>HYPERLINK("http://www.uniprot.org/uniprot/M5WQF4","M5WQF4")</f>
        <v>M5WQF4</v>
      </c>
      <c r="D932" s="2" t="s">
        <v>918</v>
      </c>
      <c r="E932" s="3">
        <v>0</v>
      </c>
      <c r="F932" s="2">
        <v>3197</v>
      </c>
      <c r="G932" s="2">
        <v>100</v>
      </c>
      <c r="H932" s="2">
        <v>731</v>
      </c>
      <c r="I932" s="2">
        <v>220</v>
      </c>
      <c r="J932" s="2">
        <v>2412</v>
      </c>
      <c r="K932" s="2">
        <v>1</v>
      </c>
      <c r="L932" s="2">
        <v>731</v>
      </c>
    </row>
    <row r="933" spans="1:12" x14ac:dyDescent="0.25">
      <c r="A933" s="4" t="str">
        <f>HYPERLINK("http://www.rosaceae.org/Prunus/Prunus_persica/p.persica_gdr_reftransV1_0036513","p.persica_gdr_reftransV1_0036513")</f>
        <v>p.persica_gdr_reftransV1_0036513</v>
      </c>
      <c r="B933" s="2">
        <v>2735</v>
      </c>
      <c r="C933" s="4" t="str">
        <f>HYPERLINK("http://www.uniprot.org/uniprot/M5WSH5","M5WSH5")</f>
        <v>M5WSH5</v>
      </c>
      <c r="D933" s="2" t="s">
        <v>919</v>
      </c>
      <c r="E933" s="3">
        <v>3.6600000000000002E-136</v>
      </c>
      <c r="F933" s="2">
        <v>970</v>
      </c>
      <c r="G933" s="2">
        <v>99</v>
      </c>
      <c r="H933" s="2">
        <v>189</v>
      </c>
      <c r="I933" s="2">
        <v>1986</v>
      </c>
      <c r="J933" s="2">
        <v>2552</v>
      </c>
      <c r="K933" s="2">
        <v>8</v>
      </c>
      <c r="L933" s="2">
        <v>196</v>
      </c>
    </row>
    <row r="934" spans="1:12" x14ac:dyDescent="0.25">
      <c r="A934" s="4" t="str">
        <f>HYPERLINK("http://www.rosaceae.org/Prunus/Prunus_persica/p.persica_gdr_reftransV1_0037913","p.persica_gdr_reftransV1_0037913")</f>
        <v>p.persica_gdr_reftransV1_0037913</v>
      </c>
      <c r="B934" s="2">
        <v>1858</v>
      </c>
      <c r="C934" s="4" t="str">
        <f>HYPERLINK("http://www.uniprot.org/uniprot/M5XS64","M5XS64")</f>
        <v>M5XS64</v>
      </c>
      <c r="D934" s="2" t="s">
        <v>920</v>
      </c>
      <c r="E934" s="3">
        <v>0</v>
      </c>
      <c r="F934" s="2">
        <v>1443</v>
      </c>
      <c r="G934" s="2">
        <v>100</v>
      </c>
      <c r="H934" s="2">
        <v>268</v>
      </c>
      <c r="I934" s="2">
        <v>1053</v>
      </c>
      <c r="J934" s="2">
        <v>1856</v>
      </c>
      <c r="K934" s="2">
        <v>424</v>
      </c>
      <c r="L934" s="2">
        <v>691</v>
      </c>
    </row>
    <row r="935" spans="1:12" x14ac:dyDescent="0.25">
      <c r="A935" s="4" t="str">
        <f>HYPERLINK("http://www.rosaceae.org/Prunus/Prunus_persica/p.persica_gdr_reftransV1_0039313","p.persica_gdr_reftransV1_0039313")</f>
        <v>p.persica_gdr_reftransV1_0039313</v>
      </c>
      <c r="B935" s="2">
        <v>1823</v>
      </c>
      <c r="C935" s="4" t="str">
        <f>HYPERLINK("http://www.uniprot.org/uniprot/M5W0V5","M5W0V5")</f>
        <v>M5W0V5</v>
      </c>
      <c r="D935" s="2" t="s">
        <v>921</v>
      </c>
      <c r="E935" s="3">
        <v>0</v>
      </c>
      <c r="F935" s="2">
        <v>1848</v>
      </c>
      <c r="G935" s="2">
        <v>100</v>
      </c>
      <c r="H935" s="2">
        <v>345</v>
      </c>
      <c r="I935" s="2">
        <v>457</v>
      </c>
      <c r="J935" s="2">
        <v>1491</v>
      </c>
      <c r="K935" s="2">
        <v>1</v>
      </c>
      <c r="L935" s="2">
        <v>345</v>
      </c>
    </row>
    <row r="936" spans="1:12" x14ac:dyDescent="0.25">
      <c r="A936" s="4" t="str">
        <f>HYPERLINK("http://www.rosaceae.org/Prunus/Prunus_persica/p.persica_gdr_reftransV1_0040713","p.persica_gdr_reftransV1_0040713")</f>
        <v>p.persica_gdr_reftransV1_0040713</v>
      </c>
      <c r="B936" s="2">
        <v>3701</v>
      </c>
      <c r="C936" s="4" t="str">
        <f>HYPERLINK("http://www.uniprot.org/uniprot/M5XWD1","M5XWD1")</f>
        <v>M5XWD1</v>
      </c>
      <c r="D936" s="2" t="s">
        <v>922</v>
      </c>
      <c r="E936" s="3">
        <v>0</v>
      </c>
      <c r="F936" s="2">
        <v>1744</v>
      </c>
      <c r="G936" s="2">
        <v>100</v>
      </c>
      <c r="H936" s="2">
        <v>329</v>
      </c>
      <c r="I936" s="2">
        <v>160</v>
      </c>
      <c r="J936" s="2">
        <v>1146</v>
      </c>
      <c r="K936" s="2">
        <v>21</v>
      </c>
      <c r="L936" s="2">
        <v>349</v>
      </c>
    </row>
    <row r="937" spans="1:12" x14ac:dyDescent="0.25">
      <c r="A937" s="4" t="str">
        <f>HYPERLINK("http://www.rosaceae.org/Prunus/Prunus_persica/p.persica_gdr_reftransV1_0041763","p.persica_gdr_reftransV1_0041763")</f>
        <v>p.persica_gdr_reftransV1_0041763</v>
      </c>
      <c r="B937" s="2">
        <v>2859</v>
      </c>
      <c r="C937" s="4" t="str">
        <f>HYPERLINK("http://www.uniprot.org/uniprot/M5WW38","M5WW38")</f>
        <v>M5WW38</v>
      </c>
      <c r="D937" s="2" t="s">
        <v>923</v>
      </c>
      <c r="E937" s="3">
        <v>1.63E-41</v>
      </c>
      <c r="F937" s="2">
        <v>401</v>
      </c>
      <c r="G937" s="2">
        <v>100</v>
      </c>
      <c r="H937" s="2">
        <v>99</v>
      </c>
      <c r="I937" s="2">
        <v>529</v>
      </c>
      <c r="J937" s="2">
        <v>825</v>
      </c>
      <c r="K937" s="2">
        <v>1</v>
      </c>
      <c r="L937" s="2">
        <v>99</v>
      </c>
    </row>
    <row r="938" spans="1:12" x14ac:dyDescent="0.25">
      <c r="A938" s="4" t="str">
        <f>HYPERLINK("http://www.rosaceae.org/Prunus/Prunus_persica/p.persica_gdr_reftransV1_0043513","p.persica_gdr_reftransV1_0043513")</f>
        <v>p.persica_gdr_reftransV1_0043513</v>
      </c>
      <c r="B938" s="2">
        <v>1288</v>
      </c>
      <c r="C938" s="4" t="str">
        <f>HYPERLINK("http://www.uniprot.org/uniprot/M5XGX2","M5XGX2")</f>
        <v>M5XGX2</v>
      </c>
      <c r="D938" s="2" t="s">
        <v>924</v>
      </c>
      <c r="E938" s="3">
        <v>8.9600000000000007E-161</v>
      </c>
      <c r="F938" s="2">
        <v>1199</v>
      </c>
      <c r="G938" s="2">
        <v>100</v>
      </c>
      <c r="H938" s="2">
        <v>265</v>
      </c>
      <c r="I938" s="2">
        <v>148</v>
      </c>
      <c r="J938" s="2">
        <v>942</v>
      </c>
      <c r="K938" s="2">
        <v>1</v>
      </c>
      <c r="L938" s="2">
        <v>265</v>
      </c>
    </row>
    <row r="939" spans="1:12" x14ac:dyDescent="0.25">
      <c r="A939" s="4" t="str">
        <f>HYPERLINK("http://www.rosaceae.org/Prunus/Prunus_persica/p.persica_gdr_reftransV1_0043863","p.persica_gdr_reftransV1_0043863")</f>
        <v>p.persica_gdr_reftransV1_0043863</v>
      </c>
      <c r="B939" s="2">
        <v>944</v>
      </c>
      <c r="C939" s="4" t="str">
        <f>HYPERLINK("http://www.uniprot.org/uniprot/M5WB52","M5WB52")</f>
        <v>M5WB52</v>
      </c>
      <c r="D939" s="2" t="s">
        <v>925</v>
      </c>
      <c r="E939" s="3">
        <v>4.6700000000000002E-68</v>
      </c>
      <c r="F939" s="2">
        <v>560</v>
      </c>
      <c r="G939" s="2">
        <v>100</v>
      </c>
      <c r="H939" s="2">
        <v>129</v>
      </c>
      <c r="I939" s="2">
        <v>214</v>
      </c>
      <c r="J939" s="2">
        <v>600</v>
      </c>
      <c r="K939" s="2">
        <v>1</v>
      </c>
      <c r="L939" s="2">
        <v>129</v>
      </c>
    </row>
    <row r="940" spans="1:12" x14ac:dyDescent="0.25">
      <c r="A940" s="4" t="str">
        <f>HYPERLINK("http://www.rosaceae.org/Prunus/Prunus_persica/p.persica_gdr_reftransV1_0044213","p.persica_gdr_reftransV1_0044213")</f>
        <v>p.persica_gdr_reftransV1_0044213</v>
      </c>
      <c r="B940" s="2">
        <v>473</v>
      </c>
      <c r="C940" s="4" t="str">
        <f>HYPERLINK("http://www.uniprot.org/uniprot/M5XSB1","M5XSB1")</f>
        <v>M5XSB1</v>
      </c>
      <c r="D940" s="2" t="s">
        <v>926</v>
      </c>
      <c r="E940" s="3">
        <v>1.1E-77</v>
      </c>
      <c r="F940" s="2">
        <v>629</v>
      </c>
      <c r="G940" s="2">
        <v>100</v>
      </c>
      <c r="H940" s="2">
        <v>118</v>
      </c>
      <c r="I940" s="2">
        <v>3</v>
      </c>
      <c r="J940" s="2">
        <v>356</v>
      </c>
      <c r="K940" s="2">
        <v>1</v>
      </c>
      <c r="L940" s="2">
        <v>118</v>
      </c>
    </row>
    <row r="941" spans="1:12" x14ac:dyDescent="0.25">
      <c r="A941" s="4" t="str">
        <f>HYPERLINK("http://www.rosaceae.org/Prunus/Prunus_persica/p.persica_gdr_reftransV1_0044563","p.persica_gdr_reftransV1_0044563")</f>
        <v>p.persica_gdr_reftransV1_0044563</v>
      </c>
      <c r="B941" s="2">
        <v>793</v>
      </c>
      <c r="C941" s="4" t="str">
        <f>HYPERLINK("http://www.uniprot.org/uniprot/M5XJG3","M5XJG3")</f>
        <v>M5XJG3</v>
      </c>
      <c r="D941" s="2" t="s">
        <v>927</v>
      </c>
      <c r="E941" s="3">
        <v>7.2700000000000003E-102</v>
      </c>
      <c r="F941" s="2">
        <v>782</v>
      </c>
      <c r="G941" s="2">
        <v>99</v>
      </c>
      <c r="H941" s="2">
        <v>164</v>
      </c>
      <c r="I941" s="2">
        <v>216</v>
      </c>
      <c r="J941" s="2">
        <v>707</v>
      </c>
      <c r="K941" s="2">
        <v>1</v>
      </c>
      <c r="L941" s="2">
        <v>164</v>
      </c>
    </row>
    <row r="942" spans="1:12" x14ac:dyDescent="0.25">
      <c r="A942" s="4" t="str">
        <f>HYPERLINK("http://www.rosaceae.org/Prunus/Prunus_persica/p.persica_gdr_reftransV1_0044913","p.persica_gdr_reftransV1_0044913")</f>
        <v>p.persica_gdr_reftransV1_0044913</v>
      </c>
      <c r="B942" s="2">
        <v>1245</v>
      </c>
      <c r="C942" s="4" t="str">
        <f>HYPERLINK("http://www.uniprot.org/uniprot/M5XCW3","M5XCW3")</f>
        <v>M5XCW3</v>
      </c>
      <c r="D942" s="2" t="s">
        <v>928</v>
      </c>
      <c r="E942" s="3">
        <v>0</v>
      </c>
      <c r="F942" s="2">
        <v>1584</v>
      </c>
      <c r="G942" s="2">
        <v>100</v>
      </c>
      <c r="H942" s="2">
        <v>309</v>
      </c>
      <c r="I942" s="2">
        <v>97</v>
      </c>
      <c r="J942" s="2">
        <v>1023</v>
      </c>
      <c r="K942" s="2">
        <v>1</v>
      </c>
      <c r="L942" s="2">
        <v>309</v>
      </c>
    </row>
    <row r="943" spans="1:12" x14ac:dyDescent="0.25">
      <c r="A943" s="4" t="str">
        <f>HYPERLINK("http://www.rosaceae.org/Prunus/Prunus_persica/p.persica_gdr_reftransV1_0045263","p.persica_gdr_reftransV1_0045263")</f>
        <v>p.persica_gdr_reftransV1_0045263</v>
      </c>
      <c r="B943" s="2">
        <v>778</v>
      </c>
      <c r="C943" s="4" t="str">
        <f>HYPERLINK("http://www.uniprot.org/uniprot/M5VX99","M5VX99")</f>
        <v>M5VX99</v>
      </c>
      <c r="D943" s="2" t="s">
        <v>929</v>
      </c>
      <c r="E943" s="3">
        <v>1.3099999999999999E-118</v>
      </c>
      <c r="F943" s="2">
        <v>893</v>
      </c>
      <c r="G943" s="2">
        <v>100</v>
      </c>
      <c r="H943" s="2">
        <v>169</v>
      </c>
      <c r="I943" s="2">
        <v>67</v>
      </c>
      <c r="J943" s="2">
        <v>573</v>
      </c>
      <c r="K943" s="2">
        <v>1</v>
      </c>
      <c r="L943" s="2">
        <v>169</v>
      </c>
    </row>
    <row r="944" spans="1:12" x14ac:dyDescent="0.25">
      <c r="A944" s="4" t="str">
        <f>HYPERLINK("http://www.rosaceae.org/Prunus/Prunus_persica/p.persica_gdr_reftransV1_0045613","p.persica_gdr_reftransV1_0045613")</f>
        <v>p.persica_gdr_reftransV1_0045613</v>
      </c>
      <c r="B944" s="2">
        <v>1008</v>
      </c>
      <c r="C944" s="4" t="str">
        <f>HYPERLINK("http://www.uniprot.org/uniprot/M5WJL4","M5WJL4")</f>
        <v>M5WJL4</v>
      </c>
      <c r="D944" s="2" t="s">
        <v>930</v>
      </c>
      <c r="E944" s="3">
        <v>1.5099999999999999E-169</v>
      </c>
      <c r="F944" s="2">
        <v>1244</v>
      </c>
      <c r="G944" s="2">
        <v>100</v>
      </c>
      <c r="H944" s="2">
        <v>246</v>
      </c>
      <c r="I944" s="2">
        <v>156</v>
      </c>
      <c r="J944" s="2">
        <v>893</v>
      </c>
      <c r="K944" s="2">
        <v>1</v>
      </c>
      <c r="L944" s="2">
        <v>246</v>
      </c>
    </row>
    <row r="945" spans="1:12" x14ac:dyDescent="0.25">
      <c r="A945" s="4" t="str">
        <f>HYPERLINK("http://www.rosaceae.org/Prunus/Prunus_persica/p.persica_gdr_reftransV1_0045963","p.persica_gdr_reftransV1_0045963")</f>
        <v>p.persica_gdr_reftransV1_0045963</v>
      </c>
      <c r="B945" s="2">
        <v>1983</v>
      </c>
      <c r="C945" s="4" t="str">
        <f>HYPERLINK("http://www.uniprot.org/uniprot/M5VWC4","M5VWC4")</f>
        <v>M5VWC4</v>
      </c>
      <c r="D945" s="2" t="s">
        <v>931</v>
      </c>
      <c r="E945" s="3">
        <v>0</v>
      </c>
      <c r="F945" s="2">
        <v>2713</v>
      </c>
      <c r="G945" s="2">
        <v>100</v>
      </c>
      <c r="H945" s="2">
        <v>548</v>
      </c>
      <c r="I945" s="2">
        <v>289</v>
      </c>
      <c r="J945" s="2">
        <v>1932</v>
      </c>
      <c r="K945" s="2">
        <v>1</v>
      </c>
      <c r="L945" s="2">
        <v>548</v>
      </c>
    </row>
    <row r="946" spans="1:12" x14ac:dyDescent="0.25">
      <c r="A946" s="4" t="str">
        <f>HYPERLINK("http://www.rosaceae.org/Prunus/Prunus_persica/p.persica_gdr_reftransV1_0046313","p.persica_gdr_reftransV1_0046313")</f>
        <v>p.persica_gdr_reftransV1_0046313</v>
      </c>
      <c r="B946" s="2">
        <v>756</v>
      </c>
      <c r="C946" s="4" t="str">
        <f>HYPERLINK("http://www.uniprot.org/uniprot/M5XZ50","M5XZ50")</f>
        <v>M5XZ50</v>
      </c>
      <c r="D946" s="2" t="s">
        <v>932</v>
      </c>
      <c r="E946" s="3">
        <v>2.8599999999999999E-155</v>
      </c>
      <c r="F946" s="2">
        <v>1153</v>
      </c>
      <c r="G946" s="2">
        <v>100</v>
      </c>
      <c r="H946" s="2">
        <v>213</v>
      </c>
      <c r="I946" s="2">
        <v>34</v>
      </c>
      <c r="J946" s="2">
        <v>672</v>
      </c>
      <c r="K946" s="2">
        <v>155</v>
      </c>
      <c r="L946" s="2">
        <v>367</v>
      </c>
    </row>
    <row r="947" spans="1:12" x14ac:dyDescent="0.25">
      <c r="A947" s="4" t="str">
        <f>HYPERLINK("http://www.rosaceae.org/Prunus/Prunus_persica/p.persica_gdr_reftransV1_0047013","p.persica_gdr_reftransV1_0047013")</f>
        <v>p.persica_gdr_reftransV1_0047013</v>
      </c>
      <c r="B947" s="2">
        <v>993</v>
      </c>
      <c r="C947" s="4" t="str">
        <f>HYPERLINK("http://www.uniprot.org/uniprot/I3SIQ8","I3SIQ8")</f>
        <v>I3SIQ8</v>
      </c>
      <c r="D947" s="2" t="s">
        <v>933</v>
      </c>
      <c r="E947" s="3">
        <v>7.1900000000000001E-84</v>
      </c>
      <c r="F947" s="2">
        <v>571</v>
      </c>
      <c r="G947" s="2">
        <v>90</v>
      </c>
      <c r="H947" s="2">
        <v>158</v>
      </c>
      <c r="I947" s="2">
        <v>89</v>
      </c>
      <c r="J947" s="2">
        <v>562</v>
      </c>
      <c r="K947" s="2">
        <v>1</v>
      </c>
      <c r="L947" s="2">
        <v>156</v>
      </c>
    </row>
    <row r="948" spans="1:12" x14ac:dyDescent="0.25">
      <c r="A948" s="4" t="str">
        <f>HYPERLINK("http://www.rosaceae.org/Prunus/Prunus_persica/p.persica_gdr_reftransV1_0047363","p.persica_gdr_reftransV1_0047363")</f>
        <v>p.persica_gdr_reftransV1_0047363</v>
      </c>
      <c r="B948" s="2">
        <v>442</v>
      </c>
      <c r="C948" s="4" t="str">
        <f>HYPERLINK("http://www.uniprot.org/uniprot/M5WFY9","M5WFY9")</f>
        <v>M5WFY9</v>
      </c>
      <c r="D948" s="2" t="s">
        <v>934</v>
      </c>
      <c r="E948" s="3">
        <v>1.7E-99</v>
      </c>
      <c r="F948" s="2">
        <v>796</v>
      </c>
      <c r="G948" s="2">
        <v>100</v>
      </c>
      <c r="H948" s="2">
        <v>147</v>
      </c>
      <c r="I948" s="2">
        <v>2</v>
      </c>
      <c r="J948" s="2">
        <v>442</v>
      </c>
      <c r="K948" s="2">
        <v>500</v>
      </c>
      <c r="L948" s="2">
        <v>646</v>
      </c>
    </row>
    <row r="949" spans="1:12" x14ac:dyDescent="0.25">
      <c r="A949" s="4" t="str">
        <f>HYPERLINK("http://www.rosaceae.org/Prunus/Prunus_persica/p.persica_gdr_reftransV1_0047713","p.persica_gdr_reftransV1_0047713")</f>
        <v>p.persica_gdr_reftransV1_0047713</v>
      </c>
      <c r="B949" s="2">
        <v>900</v>
      </c>
      <c r="C949" s="4" t="str">
        <f>HYPERLINK("http://www.uniprot.org/uniprot/M5W7Q0","M5W7Q0")</f>
        <v>M5W7Q0</v>
      </c>
      <c r="D949" s="2" t="s">
        <v>935</v>
      </c>
      <c r="E949" s="3">
        <v>6.2700000000000002E-133</v>
      </c>
      <c r="F949" s="2">
        <v>993</v>
      </c>
      <c r="G949" s="2">
        <v>100</v>
      </c>
      <c r="H949" s="2">
        <v>182</v>
      </c>
      <c r="I949" s="2">
        <v>199</v>
      </c>
      <c r="J949" s="2">
        <v>744</v>
      </c>
      <c r="K949" s="2">
        <v>1</v>
      </c>
      <c r="L949" s="2">
        <v>182</v>
      </c>
    </row>
    <row r="950" spans="1:12" x14ac:dyDescent="0.25">
      <c r="A950" s="4" t="str">
        <f>HYPERLINK("http://www.rosaceae.org/Prunus/Prunus_persica/p.persica_gdr_reftransV1_0048063","p.persica_gdr_reftransV1_0048063")</f>
        <v>p.persica_gdr_reftransV1_0048063</v>
      </c>
      <c r="B950" s="2">
        <v>2066</v>
      </c>
      <c r="C950" s="4" t="str">
        <f>HYPERLINK("http://www.uniprot.org/uniprot/M5VIX3","M5VIX3")</f>
        <v>M5VIX3</v>
      </c>
      <c r="D950" s="2" t="s">
        <v>936</v>
      </c>
      <c r="E950" s="3">
        <v>0</v>
      </c>
      <c r="F950" s="2">
        <v>2533</v>
      </c>
      <c r="G950" s="2">
        <v>100</v>
      </c>
      <c r="H950" s="2">
        <v>536</v>
      </c>
      <c r="I950" s="2">
        <v>328</v>
      </c>
      <c r="J950" s="2">
        <v>1935</v>
      </c>
      <c r="K950" s="2">
        <v>1</v>
      </c>
      <c r="L950" s="2">
        <v>536</v>
      </c>
    </row>
    <row r="951" spans="1:12" x14ac:dyDescent="0.25">
      <c r="A951" s="4" t="str">
        <f>HYPERLINK("http://www.rosaceae.org/Prunus/Prunus_persica/p.persica_gdr_reftransV1_0048763","p.persica_gdr_reftransV1_0048763")</f>
        <v>p.persica_gdr_reftransV1_0048763</v>
      </c>
      <c r="B951" s="2">
        <v>601</v>
      </c>
      <c r="C951" s="4" t="str">
        <f>HYPERLINK("http://www.uniprot.org/uniprot/M5Y2Z1","M5Y2Z1")</f>
        <v>M5Y2Z1</v>
      </c>
      <c r="D951" s="2" t="s">
        <v>937</v>
      </c>
      <c r="E951" s="3">
        <v>2.8899999999999999E-107</v>
      </c>
      <c r="F951" s="2">
        <v>842</v>
      </c>
      <c r="G951" s="2">
        <v>92</v>
      </c>
      <c r="H951" s="2">
        <v>177</v>
      </c>
      <c r="I951" s="2">
        <v>76</v>
      </c>
      <c r="J951" s="2">
        <v>600</v>
      </c>
      <c r="K951" s="2">
        <v>267</v>
      </c>
      <c r="L951" s="2">
        <v>443</v>
      </c>
    </row>
    <row r="952" spans="1:12" x14ac:dyDescent="0.25">
      <c r="A952" s="4" t="str">
        <f>HYPERLINK("http://www.rosaceae.org/Prunus/Prunus_persica/p.persica_gdr_reftransV1_0000114","p.persica_gdr_reftransV1_0000114")</f>
        <v>p.persica_gdr_reftransV1_0000114</v>
      </c>
      <c r="B952" s="2">
        <v>2921</v>
      </c>
      <c r="C952" s="4" t="str">
        <f>HYPERLINK("http://www.uniprot.org/uniprot/M5WSW3","M5WSW3")</f>
        <v>M5WSW3</v>
      </c>
      <c r="D952" s="2" t="s">
        <v>938</v>
      </c>
      <c r="E952" s="3">
        <v>0</v>
      </c>
      <c r="F952" s="2">
        <v>2021</v>
      </c>
      <c r="G952" s="2">
        <v>96</v>
      </c>
      <c r="H952" s="2">
        <v>420</v>
      </c>
      <c r="I952" s="2">
        <v>210</v>
      </c>
      <c r="J952" s="2">
        <v>1469</v>
      </c>
      <c r="K952" s="2">
        <v>1</v>
      </c>
      <c r="L952" s="2">
        <v>402</v>
      </c>
    </row>
    <row r="953" spans="1:12" x14ac:dyDescent="0.25">
      <c r="A953" s="4" t="str">
        <f>HYPERLINK("http://www.rosaceae.org/Prunus/Prunus_persica/p.persica_gdr_reftransV1_0000464","p.persica_gdr_reftransV1_0000464")</f>
        <v>p.persica_gdr_reftransV1_0000464</v>
      </c>
      <c r="B953" s="2">
        <v>328</v>
      </c>
      <c r="C953" s="4" t="str">
        <f>HYPERLINK("http://www.uniprot.org/uniprot/M5WIG6","M5WIG6")</f>
        <v>M5WIG6</v>
      </c>
      <c r="D953" s="2" t="s">
        <v>939</v>
      </c>
      <c r="E953" s="3">
        <v>3.1500000000000002E-52</v>
      </c>
      <c r="F953" s="2">
        <v>451</v>
      </c>
      <c r="G953" s="2">
        <v>100</v>
      </c>
      <c r="H953" s="2">
        <v>109</v>
      </c>
      <c r="I953" s="2">
        <v>1</v>
      </c>
      <c r="J953" s="2">
        <v>327</v>
      </c>
      <c r="K953" s="2">
        <v>55</v>
      </c>
      <c r="L953" s="2">
        <v>163</v>
      </c>
    </row>
    <row r="954" spans="1:12" x14ac:dyDescent="0.25">
      <c r="A954" s="4" t="str">
        <f>HYPERLINK("http://www.rosaceae.org/Prunus/Prunus_persica/p.persica_gdr_reftransV1_0000814","p.persica_gdr_reftransV1_0000814")</f>
        <v>p.persica_gdr_reftransV1_0000814</v>
      </c>
      <c r="B954" s="2">
        <v>3340</v>
      </c>
      <c r="C954" s="4" t="str">
        <f>HYPERLINK("http://www.uniprot.org/uniprot/M5VNX9","M5VNX9")</f>
        <v>M5VNX9</v>
      </c>
      <c r="D954" s="2" t="s">
        <v>940</v>
      </c>
      <c r="E954" s="3">
        <v>0</v>
      </c>
      <c r="F954" s="2">
        <v>4922</v>
      </c>
      <c r="G954" s="2">
        <v>97</v>
      </c>
      <c r="H954" s="2">
        <v>975</v>
      </c>
      <c r="I954" s="2">
        <v>238</v>
      </c>
      <c r="J954" s="2">
        <v>3120</v>
      </c>
      <c r="K954" s="2">
        <v>1</v>
      </c>
      <c r="L954" s="2">
        <v>975</v>
      </c>
    </row>
    <row r="955" spans="1:12" x14ac:dyDescent="0.25">
      <c r="A955" s="4" t="str">
        <f>HYPERLINK("http://www.rosaceae.org/Prunus/Prunus_persica/p.persica_gdr_reftransV1_0001164","p.persica_gdr_reftransV1_0001164")</f>
        <v>p.persica_gdr_reftransV1_0001164</v>
      </c>
      <c r="B955" s="2">
        <v>1084</v>
      </c>
      <c r="C955" s="4" t="str">
        <f>HYPERLINK("http://www.uniprot.org/uniprot/M5XE86","M5XE86")</f>
        <v>M5XE86</v>
      </c>
      <c r="D955" s="2" t="s">
        <v>941</v>
      </c>
      <c r="E955" s="3">
        <v>0</v>
      </c>
      <c r="F955" s="2">
        <v>1496</v>
      </c>
      <c r="G955" s="2">
        <v>100</v>
      </c>
      <c r="H955" s="2">
        <v>293</v>
      </c>
      <c r="I955" s="2">
        <v>204</v>
      </c>
      <c r="J955" s="2">
        <v>1082</v>
      </c>
      <c r="K955" s="2">
        <v>1</v>
      </c>
      <c r="L955" s="2">
        <v>293</v>
      </c>
    </row>
    <row r="956" spans="1:12" x14ac:dyDescent="0.25">
      <c r="A956" s="4" t="str">
        <f>HYPERLINK("http://www.rosaceae.org/Prunus/Prunus_persica/p.persica_gdr_reftransV1_0001864","p.persica_gdr_reftransV1_0001864")</f>
        <v>p.persica_gdr_reftransV1_0001864</v>
      </c>
      <c r="B956" s="2">
        <v>1349</v>
      </c>
      <c r="C956" s="4" t="str">
        <f>HYPERLINK("http://www.uniprot.org/uniprot/M5VL85","M5VL85")</f>
        <v>M5VL85</v>
      </c>
      <c r="D956" s="2" t="s">
        <v>942</v>
      </c>
      <c r="E956" s="3">
        <v>2.1899999999999999E-174</v>
      </c>
      <c r="F956" s="2">
        <v>1315</v>
      </c>
      <c r="G956" s="2">
        <v>100</v>
      </c>
      <c r="H956" s="2">
        <v>331</v>
      </c>
      <c r="I956" s="2">
        <v>15</v>
      </c>
      <c r="J956" s="2">
        <v>1007</v>
      </c>
      <c r="K956" s="2">
        <v>181</v>
      </c>
      <c r="L956" s="2">
        <v>511</v>
      </c>
    </row>
    <row r="957" spans="1:12" x14ac:dyDescent="0.25">
      <c r="A957" s="4" t="str">
        <f>HYPERLINK("http://www.rosaceae.org/Prunus/Prunus_persica/p.persica_gdr_reftransV1_0002214","p.persica_gdr_reftransV1_0002214")</f>
        <v>p.persica_gdr_reftransV1_0002214</v>
      </c>
      <c r="B957" s="2">
        <v>910</v>
      </c>
      <c r="C957" s="4" t="str">
        <f>HYPERLINK("http://www.uniprot.org/uniprot/M5XSY3","M5XSY3")</f>
        <v>M5XSY3</v>
      </c>
      <c r="D957" s="2" t="s">
        <v>943</v>
      </c>
      <c r="E957" s="3">
        <v>1.41E-146</v>
      </c>
      <c r="F957" s="2">
        <v>1085</v>
      </c>
      <c r="G957" s="2">
        <v>100</v>
      </c>
      <c r="H957" s="2">
        <v>200</v>
      </c>
      <c r="I957" s="2">
        <v>127</v>
      </c>
      <c r="J957" s="2">
        <v>726</v>
      </c>
      <c r="K957" s="2">
        <v>1</v>
      </c>
      <c r="L957" s="2">
        <v>200</v>
      </c>
    </row>
    <row r="958" spans="1:12" x14ac:dyDescent="0.25">
      <c r="A958" s="4" t="str">
        <f>HYPERLINK("http://www.rosaceae.org/Prunus/Prunus_persica/p.persica_gdr_reftransV1_0002564","p.persica_gdr_reftransV1_0002564")</f>
        <v>p.persica_gdr_reftransV1_0002564</v>
      </c>
      <c r="B958" s="2">
        <v>1966</v>
      </c>
      <c r="C958" s="4" t="str">
        <f>HYPERLINK("http://www.uniprot.org/uniprot/M5XDU9","M5XDU9")</f>
        <v>M5XDU9</v>
      </c>
      <c r="D958" s="2" t="s">
        <v>944</v>
      </c>
      <c r="E958" s="3">
        <v>0</v>
      </c>
      <c r="F958" s="2">
        <v>1928</v>
      </c>
      <c r="G958" s="2">
        <v>100</v>
      </c>
      <c r="H958" s="2">
        <v>398</v>
      </c>
      <c r="I958" s="2">
        <v>635</v>
      </c>
      <c r="J958" s="2">
        <v>1828</v>
      </c>
      <c r="K958" s="2">
        <v>1</v>
      </c>
      <c r="L958" s="2">
        <v>398</v>
      </c>
    </row>
    <row r="959" spans="1:12" x14ac:dyDescent="0.25">
      <c r="A959" s="4" t="str">
        <f>HYPERLINK("http://www.rosaceae.org/Prunus/Prunus_persica/p.persica_gdr_reftransV1_0003264","p.persica_gdr_reftransV1_0003264")</f>
        <v>p.persica_gdr_reftransV1_0003264</v>
      </c>
      <c r="B959" s="2">
        <v>438</v>
      </c>
      <c r="C959" s="4" t="str">
        <f>HYPERLINK("http://www.uniprot.org/uniprot/G3JGG2","G3JGG2")</f>
        <v>G3JGG2</v>
      </c>
      <c r="D959" s="2" t="s">
        <v>945</v>
      </c>
      <c r="E959" s="3">
        <v>1.3199999999999999E-33</v>
      </c>
      <c r="F959" s="2">
        <v>328</v>
      </c>
      <c r="G959" s="2">
        <v>75</v>
      </c>
      <c r="H959" s="2">
        <v>93</v>
      </c>
      <c r="I959" s="2">
        <v>3</v>
      </c>
      <c r="J959" s="2">
        <v>263</v>
      </c>
      <c r="K959" s="2">
        <v>260</v>
      </c>
      <c r="L959" s="2">
        <v>346</v>
      </c>
    </row>
    <row r="960" spans="1:12" x14ac:dyDescent="0.25">
      <c r="A960" s="4" t="str">
        <f>HYPERLINK("http://www.rosaceae.org/Prunus/Prunus_persica/p.persica_gdr_reftransV1_0004314","p.persica_gdr_reftransV1_0004314")</f>
        <v>p.persica_gdr_reftransV1_0004314</v>
      </c>
      <c r="B960" s="2">
        <v>1870</v>
      </c>
      <c r="C960" s="4" t="str">
        <f>HYPERLINK("http://www.uniprot.org/uniprot/M5WPF4","M5WPF4")</f>
        <v>M5WPF4</v>
      </c>
      <c r="D960" s="2" t="s">
        <v>946</v>
      </c>
      <c r="E960" s="3">
        <v>0</v>
      </c>
      <c r="F960" s="2">
        <v>2064</v>
      </c>
      <c r="G960" s="2">
        <v>97</v>
      </c>
      <c r="H960" s="2">
        <v>449</v>
      </c>
      <c r="I960" s="2">
        <v>186</v>
      </c>
      <c r="J960" s="2">
        <v>1532</v>
      </c>
      <c r="K960" s="2">
        <v>67</v>
      </c>
      <c r="L960" s="2">
        <v>515</v>
      </c>
    </row>
    <row r="961" spans="1:12" x14ac:dyDescent="0.25">
      <c r="A961" s="4" t="str">
        <f>HYPERLINK("http://www.rosaceae.org/Prunus/Prunus_persica/p.persica_gdr_reftransV1_0004664","p.persica_gdr_reftransV1_0004664")</f>
        <v>p.persica_gdr_reftransV1_0004664</v>
      </c>
      <c r="B961" s="2">
        <v>1439</v>
      </c>
      <c r="C961" s="4" t="str">
        <f>HYPERLINK("http://www.uniprot.org/uniprot/M5W8L1","M5W8L1")</f>
        <v>M5W8L1</v>
      </c>
      <c r="D961" s="2" t="s">
        <v>947</v>
      </c>
      <c r="E961" s="3">
        <v>0</v>
      </c>
      <c r="F961" s="2">
        <v>2201</v>
      </c>
      <c r="G961" s="2">
        <v>100</v>
      </c>
      <c r="H961" s="2">
        <v>453</v>
      </c>
      <c r="I961" s="2">
        <v>80</v>
      </c>
      <c r="J961" s="2">
        <v>1438</v>
      </c>
      <c r="K961" s="2">
        <v>1</v>
      </c>
      <c r="L961" s="2">
        <v>453</v>
      </c>
    </row>
    <row r="962" spans="1:12" x14ac:dyDescent="0.25">
      <c r="A962" s="4" t="str">
        <f>HYPERLINK("http://www.rosaceae.org/Prunus/Prunus_persica/p.persica_gdr_reftransV1_0005014","p.persica_gdr_reftransV1_0005014")</f>
        <v>p.persica_gdr_reftransV1_0005014</v>
      </c>
      <c r="B962" s="2">
        <v>2879</v>
      </c>
      <c r="C962" s="4" t="str">
        <f>HYPERLINK("http://www.uniprot.org/uniprot/M5WP90","M5WP90")</f>
        <v>M5WP90</v>
      </c>
      <c r="D962" s="2" t="s">
        <v>948</v>
      </c>
      <c r="E962" s="3">
        <v>0</v>
      </c>
      <c r="F962" s="2">
        <v>2344</v>
      </c>
      <c r="G962" s="2">
        <v>100</v>
      </c>
      <c r="H962" s="2">
        <v>478</v>
      </c>
      <c r="I962" s="2">
        <v>1367</v>
      </c>
      <c r="J962" s="2">
        <v>2800</v>
      </c>
      <c r="K962" s="2">
        <v>1</v>
      </c>
      <c r="L962" s="2">
        <v>478</v>
      </c>
    </row>
    <row r="963" spans="1:12" x14ac:dyDescent="0.25">
      <c r="A963" s="4" t="str">
        <f>HYPERLINK("http://www.rosaceae.org/Prunus/Prunus_persica/p.persica_gdr_reftransV1_0005714","p.persica_gdr_reftransV1_0005714")</f>
        <v>p.persica_gdr_reftransV1_0005714</v>
      </c>
      <c r="B963" s="2">
        <v>387</v>
      </c>
      <c r="C963" s="4" t="str">
        <f>HYPERLINK("http://www.uniprot.org/uniprot/M5W154","M5W154")</f>
        <v>M5W154</v>
      </c>
      <c r="D963" s="2" t="s">
        <v>949</v>
      </c>
      <c r="E963" s="3">
        <v>1.5000000000000001E-73</v>
      </c>
      <c r="F963" s="2">
        <v>587</v>
      </c>
      <c r="G963" s="2">
        <v>100</v>
      </c>
      <c r="H963" s="2">
        <v>128</v>
      </c>
      <c r="I963" s="2">
        <v>3</v>
      </c>
      <c r="J963" s="2">
        <v>386</v>
      </c>
      <c r="K963" s="2">
        <v>40</v>
      </c>
      <c r="L963" s="2">
        <v>167</v>
      </c>
    </row>
    <row r="964" spans="1:12" x14ac:dyDescent="0.25">
      <c r="A964" s="4" t="str">
        <f>HYPERLINK("http://www.rosaceae.org/Prunus/Prunus_persica/p.persica_gdr_reftransV1_0006064","p.persica_gdr_reftransV1_0006064")</f>
        <v>p.persica_gdr_reftransV1_0006064</v>
      </c>
      <c r="B964" s="2">
        <v>302</v>
      </c>
      <c r="C964" s="4" t="str">
        <f>HYPERLINK("http://www.uniprot.org/uniprot/M5X5B2","M5X5B2")</f>
        <v>M5X5B2</v>
      </c>
      <c r="D964" s="2" t="s">
        <v>950</v>
      </c>
      <c r="E964" s="3">
        <v>1.4900000000000001E-51</v>
      </c>
      <c r="F964" s="2">
        <v>439</v>
      </c>
      <c r="G964" s="2">
        <v>100</v>
      </c>
      <c r="H964" s="2">
        <v>95</v>
      </c>
      <c r="I964" s="2">
        <v>18</v>
      </c>
      <c r="J964" s="2">
        <v>302</v>
      </c>
      <c r="K964" s="2">
        <v>1</v>
      </c>
      <c r="L964" s="2">
        <v>95</v>
      </c>
    </row>
    <row r="965" spans="1:12" x14ac:dyDescent="0.25">
      <c r="A965" s="4" t="str">
        <f>HYPERLINK("http://www.rosaceae.org/Prunus/Prunus_persica/p.persica_gdr_reftransV1_0006764","p.persica_gdr_reftransV1_0006764")</f>
        <v>p.persica_gdr_reftransV1_0006764</v>
      </c>
      <c r="B965" s="2">
        <v>714</v>
      </c>
      <c r="C965" s="4" t="str">
        <f>HYPERLINK("http://www.uniprot.org/uniprot/M5XYM1","M5XYM1")</f>
        <v>M5XYM1</v>
      </c>
      <c r="D965" s="2" t="s">
        <v>951</v>
      </c>
      <c r="E965" s="3">
        <v>3.8400000000000001E-109</v>
      </c>
      <c r="F965" s="2">
        <v>841</v>
      </c>
      <c r="G965" s="2">
        <v>100</v>
      </c>
      <c r="H965" s="2">
        <v>154</v>
      </c>
      <c r="I965" s="2">
        <v>252</v>
      </c>
      <c r="J965" s="2">
        <v>713</v>
      </c>
      <c r="K965" s="2">
        <v>148</v>
      </c>
      <c r="L965" s="2">
        <v>301</v>
      </c>
    </row>
    <row r="966" spans="1:12" x14ac:dyDescent="0.25">
      <c r="A966" s="4" t="str">
        <f>HYPERLINK("http://www.rosaceae.org/Prunus/Prunus_persica/p.persica_gdr_reftransV1_0007114","p.persica_gdr_reftransV1_0007114")</f>
        <v>p.persica_gdr_reftransV1_0007114</v>
      </c>
      <c r="B966" s="2">
        <v>574</v>
      </c>
      <c r="C966" s="4" t="str">
        <f>HYPERLINK("http://www.uniprot.org/uniprot/M5WKE6","M5WKE6")</f>
        <v>M5WKE6</v>
      </c>
      <c r="D966" s="2" t="s">
        <v>952</v>
      </c>
      <c r="E966" s="3">
        <v>4.6600000000000002E-74</v>
      </c>
      <c r="F966" s="2">
        <v>589</v>
      </c>
      <c r="G966" s="2">
        <v>100</v>
      </c>
      <c r="H966" s="2">
        <v>150</v>
      </c>
      <c r="I966" s="2">
        <v>108</v>
      </c>
      <c r="J966" s="2">
        <v>557</v>
      </c>
      <c r="K966" s="2">
        <v>1</v>
      </c>
      <c r="L966" s="2">
        <v>150</v>
      </c>
    </row>
    <row r="967" spans="1:12" x14ac:dyDescent="0.25">
      <c r="A967" s="4" t="str">
        <f>HYPERLINK("http://www.rosaceae.org/Prunus/Prunus_persica/p.persica_gdr_reftransV1_0007814","p.persica_gdr_reftransV1_0007814")</f>
        <v>p.persica_gdr_reftransV1_0007814</v>
      </c>
      <c r="B967" s="2">
        <v>1913</v>
      </c>
      <c r="C967" s="4" t="str">
        <f>HYPERLINK("http://www.uniprot.org/uniprot/M5VM86","M5VM86")</f>
        <v>M5VM86</v>
      </c>
      <c r="D967" s="2" t="s">
        <v>953</v>
      </c>
      <c r="E967" s="3">
        <v>0</v>
      </c>
      <c r="F967" s="2">
        <v>2344</v>
      </c>
      <c r="G967" s="2">
        <v>100</v>
      </c>
      <c r="H967" s="2">
        <v>489</v>
      </c>
      <c r="I967" s="2">
        <v>237</v>
      </c>
      <c r="J967" s="2">
        <v>1703</v>
      </c>
      <c r="K967" s="2">
        <v>46</v>
      </c>
      <c r="L967" s="2">
        <v>534</v>
      </c>
    </row>
    <row r="968" spans="1:12" x14ac:dyDescent="0.25">
      <c r="A968" s="4" t="str">
        <f>HYPERLINK("http://www.rosaceae.org/Prunus/Prunus_persica/p.persica_gdr_reftransV1_0008164","p.persica_gdr_reftransV1_0008164")</f>
        <v>p.persica_gdr_reftransV1_0008164</v>
      </c>
      <c r="B968" s="2">
        <v>520</v>
      </c>
      <c r="C968" s="4" t="str">
        <f>HYPERLINK("http://www.uniprot.org/uniprot/M5XFS5","M5XFS5")</f>
        <v>M5XFS5</v>
      </c>
      <c r="D968" s="2" t="s">
        <v>954</v>
      </c>
      <c r="E968" s="3">
        <v>3.48E-119</v>
      </c>
      <c r="F968" s="2">
        <v>935</v>
      </c>
      <c r="G968" s="2">
        <v>100</v>
      </c>
      <c r="H968" s="2">
        <v>173</v>
      </c>
      <c r="I968" s="2">
        <v>1</v>
      </c>
      <c r="J968" s="2">
        <v>519</v>
      </c>
      <c r="K968" s="2">
        <v>54</v>
      </c>
      <c r="L968" s="2">
        <v>226</v>
      </c>
    </row>
    <row r="969" spans="1:12" x14ac:dyDescent="0.25">
      <c r="A969" s="4" t="str">
        <f>HYPERLINK("http://www.rosaceae.org/Prunus/Prunus_persica/p.persica_gdr_reftransV1_0008514","p.persica_gdr_reftransV1_0008514")</f>
        <v>p.persica_gdr_reftransV1_0008514</v>
      </c>
      <c r="B969" s="2">
        <v>906</v>
      </c>
      <c r="C969" s="4" t="str">
        <f>HYPERLINK("http://www.uniprot.org/uniprot/M5X576","M5X576")</f>
        <v>M5X576</v>
      </c>
      <c r="D969" s="2" t="s">
        <v>955</v>
      </c>
      <c r="E969" s="3">
        <v>1.8299999999999999E-169</v>
      </c>
      <c r="F969" s="2">
        <v>1278</v>
      </c>
      <c r="G969" s="2">
        <v>100</v>
      </c>
      <c r="H969" s="2">
        <v>236</v>
      </c>
      <c r="I969" s="2">
        <v>198</v>
      </c>
      <c r="J969" s="2">
        <v>905</v>
      </c>
      <c r="K969" s="2">
        <v>394</v>
      </c>
      <c r="L969" s="2">
        <v>629</v>
      </c>
    </row>
    <row r="970" spans="1:12" x14ac:dyDescent="0.25">
      <c r="A970" s="4" t="str">
        <f>HYPERLINK("http://www.rosaceae.org/Prunus/Prunus_persica/p.persica_gdr_reftransV1_0008864","p.persica_gdr_reftransV1_0008864")</f>
        <v>p.persica_gdr_reftransV1_0008864</v>
      </c>
      <c r="B970" s="2">
        <v>986</v>
      </c>
      <c r="C970" s="4" t="str">
        <f>HYPERLINK("http://www.uniprot.org/uniprot/M5WI75","M5WI75")</f>
        <v>M5WI75</v>
      </c>
      <c r="D970" s="2" t="s">
        <v>956</v>
      </c>
      <c r="E970" s="3">
        <v>1.58E-52</v>
      </c>
      <c r="F970" s="2">
        <v>457</v>
      </c>
      <c r="G970" s="2">
        <v>100</v>
      </c>
      <c r="H970" s="2">
        <v>122</v>
      </c>
      <c r="I970" s="2">
        <v>506</v>
      </c>
      <c r="J970" s="2">
        <v>871</v>
      </c>
      <c r="K970" s="2">
        <v>1</v>
      </c>
      <c r="L970" s="2">
        <v>122</v>
      </c>
    </row>
    <row r="971" spans="1:12" x14ac:dyDescent="0.25">
      <c r="A971" s="4" t="str">
        <f>HYPERLINK("http://www.rosaceae.org/Prunus/Prunus_persica/p.persica_gdr_reftransV1_0009564","p.persica_gdr_reftransV1_0009564")</f>
        <v>p.persica_gdr_reftransV1_0009564</v>
      </c>
      <c r="B971" s="2">
        <v>2357</v>
      </c>
      <c r="C971" s="4" t="str">
        <f>HYPERLINK("http://www.uniprot.org/uniprot/M5XUG4","M5XUG4")</f>
        <v>M5XUG4</v>
      </c>
      <c r="D971" s="2" t="s">
        <v>957</v>
      </c>
      <c r="E971" s="3">
        <v>1.5399999999999999E-166</v>
      </c>
      <c r="F971" s="2">
        <v>1270</v>
      </c>
      <c r="G971" s="2">
        <v>100</v>
      </c>
      <c r="H971" s="2">
        <v>259</v>
      </c>
      <c r="I971" s="2">
        <v>1498</v>
      </c>
      <c r="J971" s="2">
        <v>2274</v>
      </c>
      <c r="K971" s="2">
        <v>1</v>
      </c>
      <c r="L971" s="2">
        <v>259</v>
      </c>
    </row>
    <row r="972" spans="1:12" x14ac:dyDescent="0.25">
      <c r="A972" s="4" t="str">
        <f>HYPERLINK("http://www.rosaceae.org/Prunus/Prunus_persica/p.persica_gdr_reftransV1_0010264","p.persica_gdr_reftransV1_0010264")</f>
        <v>p.persica_gdr_reftransV1_0010264</v>
      </c>
      <c r="B972" s="2">
        <v>874</v>
      </c>
      <c r="C972" s="4" t="str">
        <f>HYPERLINK("http://www.uniprot.org/uniprot/M5WAD6","M5WAD6")</f>
        <v>M5WAD6</v>
      </c>
      <c r="D972" s="2" t="s">
        <v>958</v>
      </c>
      <c r="E972" s="3">
        <v>4.9100000000000001E-97</v>
      </c>
      <c r="F972" s="2">
        <v>758</v>
      </c>
      <c r="G972" s="2">
        <v>100</v>
      </c>
      <c r="H972" s="2">
        <v>159</v>
      </c>
      <c r="I972" s="2">
        <v>397</v>
      </c>
      <c r="J972" s="2">
        <v>873</v>
      </c>
      <c r="K972" s="2">
        <v>45</v>
      </c>
      <c r="L972" s="2">
        <v>203</v>
      </c>
    </row>
    <row r="973" spans="1:12" x14ac:dyDescent="0.25">
      <c r="A973" s="4" t="str">
        <f>HYPERLINK("http://www.rosaceae.org/Prunus/Prunus_persica/p.persica_gdr_reftransV1_0010614","p.persica_gdr_reftransV1_0010614")</f>
        <v>p.persica_gdr_reftransV1_0010614</v>
      </c>
      <c r="B973" s="2">
        <v>1504</v>
      </c>
      <c r="C973" s="4" t="str">
        <f>HYPERLINK("http://www.uniprot.org/uniprot/M5XEQ0","M5XEQ0")</f>
        <v>M5XEQ0</v>
      </c>
      <c r="D973" s="2" t="s">
        <v>959</v>
      </c>
      <c r="E973" s="3">
        <v>3.36E-177</v>
      </c>
      <c r="F973" s="2">
        <v>1318</v>
      </c>
      <c r="G973" s="2">
        <v>100</v>
      </c>
      <c r="H973" s="2">
        <v>296</v>
      </c>
      <c r="I973" s="2">
        <v>374</v>
      </c>
      <c r="J973" s="2">
        <v>1261</v>
      </c>
      <c r="K973" s="2">
        <v>1</v>
      </c>
      <c r="L973" s="2">
        <v>296</v>
      </c>
    </row>
    <row r="974" spans="1:12" x14ac:dyDescent="0.25">
      <c r="A974" s="4" t="str">
        <f>HYPERLINK("http://www.rosaceae.org/Prunus/Prunus_persica/p.persica_gdr_reftransV1_0010964","p.persica_gdr_reftransV1_0010964")</f>
        <v>p.persica_gdr_reftransV1_0010964</v>
      </c>
      <c r="B974" s="2">
        <v>942</v>
      </c>
      <c r="C974" s="4" t="str">
        <f>HYPERLINK("http://www.uniprot.org/uniprot/M5X300","M5X300")</f>
        <v>M5X300</v>
      </c>
      <c r="D974" s="2" t="s">
        <v>960</v>
      </c>
      <c r="E974" s="3">
        <v>3.0800000000000002E-39</v>
      </c>
      <c r="F974" s="2">
        <v>365</v>
      </c>
      <c r="G974" s="2">
        <v>99</v>
      </c>
      <c r="H974" s="2">
        <v>71</v>
      </c>
      <c r="I974" s="2">
        <v>523</v>
      </c>
      <c r="J974" s="2">
        <v>735</v>
      </c>
      <c r="K974" s="2">
        <v>49</v>
      </c>
      <c r="L974" s="2">
        <v>119</v>
      </c>
    </row>
    <row r="975" spans="1:12" x14ac:dyDescent="0.25">
      <c r="A975" s="4" t="str">
        <f>HYPERLINK("http://www.rosaceae.org/Prunus/Prunus_persica/p.persica_gdr_reftransV1_0011314","p.persica_gdr_reftransV1_0011314")</f>
        <v>p.persica_gdr_reftransV1_0011314</v>
      </c>
      <c r="B975" s="2">
        <v>2189</v>
      </c>
      <c r="C975" s="4" t="str">
        <f>HYPERLINK("http://www.uniprot.org/uniprot/M5VP15","M5VP15")</f>
        <v>M5VP15</v>
      </c>
      <c r="D975" s="2" t="s">
        <v>961</v>
      </c>
      <c r="E975" s="3">
        <v>0</v>
      </c>
      <c r="F975" s="2">
        <v>2391</v>
      </c>
      <c r="G975" s="2">
        <v>100</v>
      </c>
      <c r="H975" s="2">
        <v>505</v>
      </c>
      <c r="I975" s="2">
        <v>379</v>
      </c>
      <c r="J975" s="2">
        <v>1893</v>
      </c>
      <c r="K975" s="2">
        <v>1</v>
      </c>
      <c r="L975" s="2">
        <v>505</v>
      </c>
    </row>
    <row r="976" spans="1:12" x14ac:dyDescent="0.25">
      <c r="A976" s="4" t="str">
        <f>HYPERLINK("http://www.rosaceae.org/Prunus/Prunus_persica/p.persica_gdr_reftransV1_0011664","p.persica_gdr_reftransV1_0011664")</f>
        <v>p.persica_gdr_reftransV1_0011664</v>
      </c>
      <c r="B976" s="2">
        <v>1447</v>
      </c>
      <c r="C976" s="4" t="str">
        <f>HYPERLINK("http://www.uniprot.org/uniprot/M5WCE5","M5WCE5")</f>
        <v>M5WCE5</v>
      </c>
      <c r="D976" s="2" t="s">
        <v>962</v>
      </c>
      <c r="E976" s="3">
        <v>0</v>
      </c>
      <c r="F976" s="2">
        <v>1531</v>
      </c>
      <c r="G976" s="2">
        <v>100</v>
      </c>
      <c r="H976" s="2">
        <v>323</v>
      </c>
      <c r="I976" s="2">
        <v>420</v>
      </c>
      <c r="J976" s="2">
        <v>1388</v>
      </c>
      <c r="K976" s="2">
        <v>1</v>
      </c>
      <c r="L976" s="2">
        <v>323</v>
      </c>
    </row>
    <row r="977" spans="1:12" x14ac:dyDescent="0.25">
      <c r="A977" s="4" t="str">
        <f>HYPERLINK("http://www.rosaceae.org/Prunus/Prunus_persica/p.persica_gdr_reftransV1_0013064","p.persica_gdr_reftransV1_0013064")</f>
        <v>p.persica_gdr_reftransV1_0013064</v>
      </c>
      <c r="B977" s="2">
        <v>2394</v>
      </c>
      <c r="C977" s="4" t="str">
        <f>HYPERLINK("http://www.uniprot.org/uniprot/M5WW74","M5WW74")</f>
        <v>M5WW74</v>
      </c>
      <c r="D977" s="2" t="s">
        <v>963</v>
      </c>
      <c r="E977" s="3">
        <v>1.43E-43</v>
      </c>
      <c r="F977" s="2">
        <v>411</v>
      </c>
      <c r="G977" s="2">
        <v>100</v>
      </c>
      <c r="H977" s="2">
        <v>77</v>
      </c>
      <c r="I977" s="2">
        <v>1045</v>
      </c>
      <c r="J977" s="2">
        <v>1275</v>
      </c>
      <c r="K977" s="2">
        <v>17</v>
      </c>
      <c r="L977" s="2">
        <v>93</v>
      </c>
    </row>
    <row r="978" spans="1:12" x14ac:dyDescent="0.25">
      <c r="A978" s="4" t="str">
        <f>HYPERLINK("http://www.rosaceae.org/Prunus/Prunus_persica/p.persica_gdr_reftransV1_0013764","p.persica_gdr_reftransV1_0013764")</f>
        <v>p.persica_gdr_reftransV1_0013764</v>
      </c>
      <c r="B978" s="2">
        <v>1631</v>
      </c>
      <c r="C978" s="4" t="str">
        <f>HYPERLINK("http://www.uniprot.org/uniprot/M5WA57","M5WA57")</f>
        <v>M5WA57</v>
      </c>
      <c r="D978" s="2" t="s">
        <v>964</v>
      </c>
      <c r="E978" s="3">
        <v>3.96E-165</v>
      </c>
      <c r="F978" s="2">
        <v>1242</v>
      </c>
      <c r="G978" s="2">
        <v>92</v>
      </c>
      <c r="H978" s="2">
        <v>289</v>
      </c>
      <c r="I978" s="2">
        <v>726</v>
      </c>
      <c r="J978" s="2">
        <v>1592</v>
      </c>
      <c r="K978" s="2">
        <v>1</v>
      </c>
      <c r="L978" s="2">
        <v>267</v>
      </c>
    </row>
    <row r="979" spans="1:12" x14ac:dyDescent="0.25">
      <c r="A979" s="4" t="str">
        <f>HYPERLINK("http://www.rosaceae.org/Prunus/Prunus_persica/p.persica_gdr_reftransV1_0014114","p.persica_gdr_reftransV1_0014114")</f>
        <v>p.persica_gdr_reftransV1_0014114</v>
      </c>
      <c r="B979" s="2">
        <v>6466</v>
      </c>
      <c r="C979" s="4" t="str">
        <f>HYPERLINK("http://www.uniprot.org/uniprot/M5VUV2","M5VUV2")</f>
        <v>M5VUV2</v>
      </c>
      <c r="D979" s="2" t="s">
        <v>965</v>
      </c>
      <c r="E979" s="3">
        <v>0</v>
      </c>
      <c r="F979" s="2">
        <v>10789</v>
      </c>
      <c r="G979" s="2">
        <v>100</v>
      </c>
      <c r="H979" s="2">
        <v>2138</v>
      </c>
      <c r="I979" s="2">
        <v>53</v>
      </c>
      <c r="J979" s="2">
        <v>6466</v>
      </c>
      <c r="K979" s="2">
        <v>206</v>
      </c>
      <c r="L979" s="2">
        <v>2343</v>
      </c>
    </row>
    <row r="980" spans="1:12" x14ac:dyDescent="0.25">
      <c r="A980" s="4" t="str">
        <f>HYPERLINK("http://www.rosaceae.org/Prunus/Prunus_persica/p.persica_gdr_reftransV1_0014464","p.persica_gdr_reftransV1_0014464")</f>
        <v>p.persica_gdr_reftransV1_0014464</v>
      </c>
      <c r="B980" s="2">
        <v>1486</v>
      </c>
      <c r="C980" s="4" t="str">
        <f>HYPERLINK("http://www.uniprot.org/uniprot/M5Y7G4","M5Y7G4")</f>
        <v>M5Y7G4</v>
      </c>
      <c r="D980" s="2" t="s">
        <v>966</v>
      </c>
      <c r="E980" s="3">
        <v>3.6799999999999998E-178</v>
      </c>
      <c r="F980" s="2">
        <v>879</v>
      </c>
      <c r="G980" s="2">
        <v>98</v>
      </c>
      <c r="H980" s="2">
        <v>166</v>
      </c>
      <c r="I980" s="2">
        <v>109</v>
      </c>
      <c r="J980" s="2">
        <v>606</v>
      </c>
      <c r="K980" s="2">
        <v>2</v>
      </c>
      <c r="L980" s="2">
        <v>167</v>
      </c>
    </row>
    <row r="981" spans="1:12" x14ac:dyDescent="0.25">
      <c r="A981" s="4" t="str">
        <f>HYPERLINK("http://www.rosaceae.org/Prunus/Prunus_persica/p.persica_gdr_reftransV1_0015164","p.persica_gdr_reftransV1_0015164")</f>
        <v>p.persica_gdr_reftransV1_0015164</v>
      </c>
      <c r="B981" s="2">
        <v>3235</v>
      </c>
      <c r="C981" s="4" t="str">
        <f>HYPERLINK("http://www.uniprot.org/uniprot/M5X9L0","M5X9L0")</f>
        <v>M5X9L0</v>
      </c>
      <c r="D981" s="2" t="s">
        <v>967</v>
      </c>
      <c r="E981" s="3">
        <v>0</v>
      </c>
      <c r="F981" s="2">
        <v>3528</v>
      </c>
      <c r="G981" s="2">
        <v>98</v>
      </c>
      <c r="H981" s="2">
        <v>689</v>
      </c>
      <c r="I981" s="2">
        <v>948</v>
      </c>
      <c r="J981" s="2">
        <v>3014</v>
      </c>
      <c r="K981" s="2">
        <v>4</v>
      </c>
      <c r="L981" s="2">
        <v>692</v>
      </c>
    </row>
    <row r="982" spans="1:12" x14ac:dyDescent="0.25">
      <c r="A982" s="4" t="str">
        <f>HYPERLINK("http://www.rosaceae.org/Prunus/Prunus_persica/p.persica_gdr_reftransV1_0015514","p.persica_gdr_reftransV1_0015514")</f>
        <v>p.persica_gdr_reftransV1_0015514</v>
      </c>
      <c r="B982" s="2">
        <v>2582</v>
      </c>
      <c r="C982" s="4" t="str">
        <f>HYPERLINK("http://www.uniprot.org/uniprot/M5WEC3","M5WEC3")</f>
        <v>M5WEC3</v>
      </c>
      <c r="D982" s="2" t="s">
        <v>968</v>
      </c>
      <c r="E982" s="3">
        <v>0</v>
      </c>
      <c r="F982" s="2">
        <v>1566</v>
      </c>
      <c r="G982" s="2">
        <v>100</v>
      </c>
      <c r="H982" s="2">
        <v>307</v>
      </c>
      <c r="I982" s="2">
        <v>94</v>
      </c>
      <c r="J982" s="2">
        <v>1014</v>
      </c>
      <c r="K982" s="2">
        <v>1</v>
      </c>
      <c r="L982" s="2">
        <v>307</v>
      </c>
    </row>
    <row r="983" spans="1:12" x14ac:dyDescent="0.25">
      <c r="A983" s="4" t="str">
        <f>HYPERLINK("http://www.rosaceae.org/Prunus/Prunus_persica/p.persica_gdr_reftransV1_0017614","p.persica_gdr_reftransV1_0017614")</f>
        <v>p.persica_gdr_reftransV1_0017614</v>
      </c>
      <c r="B983" s="2">
        <v>5954</v>
      </c>
      <c r="C983" s="4" t="str">
        <f>HYPERLINK("http://www.uniprot.org/uniprot/M5WRY0","M5WRY0")</f>
        <v>M5WRY0</v>
      </c>
      <c r="D983" s="2" t="s">
        <v>969</v>
      </c>
      <c r="E983" s="3">
        <v>0</v>
      </c>
      <c r="F983" s="2">
        <v>6143</v>
      </c>
      <c r="G983" s="2">
        <v>100</v>
      </c>
      <c r="H983" s="2">
        <v>1187</v>
      </c>
      <c r="I983" s="2">
        <v>312</v>
      </c>
      <c r="J983" s="2">
        <v>3872</v>
      </c>
      <c r="K983" s="2">
        <v>17</v>
      </c>
      <c r="L983" s="2">
        <v>1203</v>
      </c>
    </row>
    <row r="984" spans="1:12" x14ac:dyDescent="0.25">
      <c r="A984" s="4" t="str">
        <f>HYPERLINK("http://www.rosaceae.org/Prunus/Prunus_persica/p.persica_gdr_reftransV1_0017964","p.persica_gdr_reftransV1_0017964")</f>
        <v>p.persica_gdr_reftransV1_0017964</v>
      </c>
      <c r="B984" s="2">
        <v>3057</v>
      </c>
      <c r="C984" s="4" t="str">
        <f>HYPERLINK("http://www.uniprot.org/uniprot/M5WXJ6","M5WXJ6")</f>
        <v>M5WXJ6</v>
      </c>
      <c r="D984" s="2" t="s">
        <v>970</v>
      </c>
      <c r="E984" s="3">
        <v>0</v>
      </c>
      <c r="F984" s="2">
        <v>3057</v>
      </c>
      <c r="G984" s="2">
        <v>100</v>
      </c>
      <c r="H984" s="2">
        <v>723</v>
      </c>
      <c r="I984" s="2">
        <v>165</v>
      </c>
      <c r="J984" s="2">
        <v>2333</v>
      </c>
      <c r="K984" s="2">
        <v>1</v>
      </c>
      <c r="L984" s="2">
        <v>723</v>
      </c>
    </row>
    <row r="985" spans="1:12" x14ac:dyDescent="0.25">
      <c r="A985" s="4" t="str">
        <f>HYPERLINK("http://www.rosaceae.org/Prunus/Prunus_persica/p.persica_gdr_reftransV1_0019014","p.persica_gdr_reftransV1_0019014")</f>
        <v>p.persica_gdr_reftransV1_0019014</v>
      </c>
      <c r="B985" s="2">
        <v>6507</v>
      </c>
      <c r="C985" s="4" t="str">
        <f>HYPERLINK("http://www.uniprot.org/uniprot/M5WQZ5","M5WQZ5")</f>
        <v>M5WQZ5</v>
      </c>
      <c r="D985" s="2" t="s">
        <v>971</v>
      </c>
      <c r="E985" s="3">
        <v>0</v>
      </c>
      <c r="F985" s="2">
        <v>8246</v>
      </c>
      <c r="G985" s="2">
        <v>99</v>
      </c>
      <c r="H985" s="2">
        <v>1630</v>
      </c>
      <c r="I985" s="2">
        <v>1189</v>
      </c>
      <c r="J985" s="2">
        <v>6078</v>
      </c>
      <c r="K985" s="2">
        <v>7</v>
      </c>
      <c r="L985" s="2">
        <v>1622</v>
      </c>
    </row>
    <row r="986" spans="1:12" x14ac:dyDescent="0.25">
      <c r="A986" s="4" t="str">
        <f>HYPERLINK("http://www.rosaceae.org/Prunus/Prunus_persica/p.persica_gdr_reftransV1_0019714","p.persica_gdr_reftransV1_0019714")</f>
        <v>p.persica_gdr_reftransV1_0019714</v>
      </c>
      <c r="B986" s="2">
        <v>1690</v>
      </c>
      <c r="C986" s="4" t="str">
        <f>HYPERLINK("http://www.uniprot.org/uniprot/X2G9E7","X2G9E7")</f>
        <v>X2G9E7</v>
      </c>
      <c r="D986" s="2" t="s">
        <v>972</v>
      </c>
      <c r="E986" s="3">
        <v>0</v>
      </c>
      <c r="F986" s="2">
        <v>2025</v>
      </c>
      <c r="G986" s="2">
        <v>100</v>
      </c>
      <c r="H986" s="2">
        <v>399</v>
      </c>
      <c r="I986" s="2">
        <v>494</v>
      </c>
      <c r="J986" s="2">
        <v>1690</v>
      </c>
      <c r="K986" s="2">
        <v>146</v>
      </c>
      <c r="L986" s="2">
        <v>544</v>
      </c>
    </row>
    <row r="987" spans="1:12" x14ac:dyDescent="0.25">
      <c r="A987" s="4" t="str">
        <f>HYPERLINK("http://www.rosaceae.org/Prunus/Prunus_persica/p.persica_gdr_reftransV1_0020764","p.persica_gdr_reftransV1_0020764")</f>
        <v>p.persica_gdr_reftransV1_0020764</v>
      </c>
      <c r="B987" s="2">
        <v>4036</v>
      </c>
      <c r="C987" s="4" t="str">
        <f>HYPERLINK("http://www.uniprot.org/uniprot/M5WX24","M5WX24")</f>
        <v>M5WX24</v>
      </c>
      <c r="D987" s="2" t="s">
        <v>973</v>
      </c>
      <c r="E987" s="3">
        <v>0</v>
      </c>
      <c r="F987" s="2">
        <v>3407</v>
      </c>
      <c r="G987" s="2">
        <v>94</v>
      </c>
      <c r="H987" s="2">
        <v>744</v>
      </c>
      <c r="I987" s="2">
        <v>1233</v>
      </c>
      <c r="J987" s="2">
        <v>3464</v>
      </c>
      <c r="K987" s="2">
        <v>1</v>
      </c>
      <c r="L987" s="2">
        <v>703</v>
      </c>
    </row>
    <row r="988" spans="1:12" x14ac:dyDescent="0.25">
      <c r="A988" s="4" t="str">
        <f>HYPERLINK("http://www.rosaceae.org/Prunus/Prunus_persica/p.persica_gdr_reftransV1_0021114","p.persica_gdr_reftransV1_0021114")</f>
        <v>p.persica_gdr_reftransV1_0021114</v>
      </c>
      <c r="B988" s="2">
        <v>4086</v>
      </c>
      <c r="C988" s="4" t="str">
        <f>HYPERLINK("http://www.uniprot.org/uniprot/M5WH82","M5WH82")</f>
        <v>M5WH82</v>
      </c>
      <c r="D988" s="2" t="s">
        <v>974</v>
      </c>
      <c r="E988" s="3">
        <v>0</v>
      </c>
      <c r="F988" s="2">
        <v>2268</v>
      </c>
      <c r="G988" s="2">
        <v>100</v>
      </c>
      <c r="H988" s="2">
        <v>455</v>
      </c>
      <c r="I988" s="2">
        <v>283</v>
      </c>
      <c r="J988" s="2">
        <v>1647</v>
      </c>
      <c r="K988" s="2">
        <v>1</v>
      </c>
      <c r="L988" s="2">
        <v>455</v>
      </c>
    </row>
    <row r="989" spans="1:12" x14ac:dyDescent="0.25">
      <c r="A989" s="4" t="str">
        <f>HYPERLINK("http://www.rosaceae.org/Prunus/Prunus_persica/p.persica_gdr_reftransV1_0021464","p.persica_gdr_reftransV1_0021464")</f>
        <v>p.persica_gdr_reftransV1_0021464</v>
      </c>
      <c r="B989" s="2">
        <v>2604</v>
      </c>
      <c r="C989" s="4" t="str">
        <f>HYPERLINK("http://www.uniprot.org/uniprot/M5X2M9","M5X2M9")</f>
        <v>M5X2M9</v>
      </c>
      <c r="D989" s="2" t="s">
        <v>975</v>
      </c>
      <c r="E989" s="3">
        <v>0</v>
      </c>
      <c r="F989" s="2">
        <v>2575</v>
      </c>
      <c r="G989" s="2">
        <v>100</v>
      </c>
      <c r="H989" s="2">
        <v>537</v>
      </c>
      <c r="I989" s="2">
        <v>556</v>
      </c>
      <c r="J989" s="2">
        <v>2166</v>
      </c>
      <c r="K989" s="2">
        <v>1</v>
      </c>
      <c r="L989" s="2">
        <v>537</v>
      </c>
    </row>
    <row r="990" spans="1:12" x14ac:dyDescent="0.25">
      <c r="A990" s="4" t="str">
        <f>HYPERLINK("http://www.rosaceae.org/Prunus/Prunus_persica/p.persica_gdr_reftransV1_0023914","p.persica_gdr_reftransV1_0023914")</f>
        <v>p.persica_gdr_reftransV1_0023914</v>
      </c>
      <c r="B990" s="2">
        <v>1897</v>
      </c>
      <c r="C990" s="4" t="str">
        <f>HYPERLINK("http://www.uniprot.org/uniprot/M5VJ78","M5VJ78")</f>
        <v>M5VJ78</v>
      </c>
      <c r="D990" s="2" t="s">
        <v>976</v>
      </c>
      <c r="E990" s="3">
        <v>0</v>
      </c>
      <c r="F990" s="2">
        <v>2416</v>
      </c>
      <c r="G990" s="2">
        <v>93</v>
      </c>
      <c r="H990" s="2">
        <v>490</v>
      </c>
      <c r="I990" s="2">
        <v>200</v>
      </c>
      <c r="J990" s="2">
        <v>1567</v>
      </c>
      <c r="K990" s="2">
        <v>58</v>
      </c>
      <c r="L990" s="2">
        <v>547</v>
      </c>
    </row>
    <row r="991" spans="1:12" x14ac:dyDescent="0.25">
      <c r="A991" s="4" t="str">
        <f>HYPERLINK("http://www.rosaceae.org/Prunus/Prunus_persica/p.persica_gdr_reftransV1_0025664","p.persica_gdr_reftransV1_0025664")</f>
        <v>p.persica_gdr_reftransV1_0025664</v>
      </c>
      <c r="B991" s="2">
        <v>7562</v>
      </c>
      <c r="C991" s="4" t="str">
        <f>HYPERLINK("http://www.uniprot.org/uniprot/M5XBC6","M5XBC6")</f>
        <v>M5XBC6</v>
      </c>
      <c r="D991" s="2" t="s">
        <v>977</v>
      </c>
      <c r="E991" s="3">
        <v>0</v>
      </c>
      <c r="F991" s="2">
        <v>2983</v>
      </c>
      <c r="G991" s="2">
        <v>93</v>
      </c>
      <c r="H991" s="2">
        <v>668</v>
      </c>
      <c r="I991" s="2">
        <v>784</v>
      </c>
      <c r="J991" s="2">
        <v>2787</v>
      </c>
      <c r="K991" s="2">
        <v>1</v>
      </c>
      <c r="L991" s="2">
        <v>647</v>
      </c>
    </row>
    <row r="992" spans="1:12" x14ac:dyDescent="0.25">
      <c r="A992" s="4" t="str">
        <f>HYPERLINK("http://www.rosaceae.org/Prunus/Prunus_persica/p.persica_gdr_reftransV1_0026714","p.persica_gdr_reftransV1_0026714")</f>
        <v>p.persica_gdr_reftransV1_0026714</v>
      </c>
      <c r="B992" s="2">
        <v>670</v>
      </c>
      <c r="C992" s="4" t="str">
        <f>HYPERLINK("http://www.uniprot.org/uniprot/M5W8B9","M5W8B9")</f>
        <v>M5W8B9</v>
      </c>
      <c r="D992" s="2" t="s">
        <v>978</v>
      </c>
      <c r="E992" s="3">
        <v>7.1699999999999996E-135</v>
      </c>
      <c r="F992" s="2">
        <v>1065</v>
      </c>
      <c r="G992" s="2">
        <v>93</v>
      </c>
      <c r="H992" s="2">
        <v>237</v>
      </c>
      <c r="I992" s="2">
        <v>6</v>
      </c>
      <c r="J992" s="2">
        <v>668</v>
      </c>
      <c r="K992" s="2">
        <v>551</v>
      </c>
      <c r="L992" s="2">
        <v>787</v>
      </c>
    </row>
    <row r="993" spans="1:12" x14ac:dyDescent="0.25">
      <c r="A993" s="4" t="str">
        <f>HYPERLINK("http://www.rosaceae.org/Prunus/Prunus_persica/p.persica_gdr_reftransV1_0029514","p.persica_gdr_reftransV1_0029514")</f>
        <v>p.persica_gdr_reftransV1_0029514</v>
      </c>
      <c r="B993" s="2">
        <v>1949</v>
      </c>
      <c r="C993" s="4" t="str">
        <f>HYPERLINK("http://www.uniprot.org/uniprot/M5Y4W8","M5Y4W8")</f>
        <v>M5Y4W8</v>
      </c>
      <c r="D993" s="2" t="s">
        <v>979</v>
      </c>
      <c r="E993" s="3">
        <v>0</v>
      </c>
      <c r="F993" s="2">
        <v>1436</v>
      </c>
      <c r="G993" s="2">
        <v>95</v>
      </c>
      <c r="H993" s="2">
        <v>284</v>
      </c>
      <c r="I993" s="2">
        <v>136</v>
      </c>
      <c r="J993" s="2">
        <v>987</v>
      </c>
      <c r="K993" s="2">
        <v>1</v>
      </c>
      <c r="L993" s="2">
        <v>281</v>
      </c>
    </row>
    <row r="994" spans="1:12" x14ac:dyDescent="0.25">
      <c r="A994" s="4" t="str">
        <f>HYPERLINK("http://www.rosaceae.org/Prunus/Prunus_persica/p.persica_gdr_reftransV1_0029864","p.persica_gdr_reftransV1_0029864")</f>
        <v>p.persica_gdr_reftransV1_0029864</v>
      </c>
      <c r="B994" s="2">
        <v>2649</v>
      </c>
      <c r="C994" s="4" t="str">
        <f>HYPERLINK("http://www.uniprot.org/uniprot/M5WHD5","M5WHD5")</f>
        <v>M5WHD5</v>
      </c>
      <c r="D994" s="2" t="s">
        <v>980</v>
      </c>
      <c r="E994" s="3">
        <v>0</v>
      </c>
      <c r="F994" s="2">
        <v>1831</v>
      </c>
      <c r="G994" s="2">
        <v>99</v>
      </c>
      <c r="H994" s="2">
        <v>345</v>
      </c>
      <c r="I994" s="2">
        <v>1399</v>
      </c>
      <c r="J994" s="2">
        <v>2433</v>
      </c>
      <c r="K994" s="2">
        <v>136</v>
      </c>
      <c r="L994" s="2">
        <v>480</v>
      </c>
    </row>
    <row r="995" spans="1:12" x14ac:dyDescent="0.25">
      <c r="A995" s="4" t="str">
        <f>HYPERLINK("http://www.rosaceae.org/Prunus/Prunus_persica/p.persica_gdr_reftransV1_0031614","p.persica_gdr_reftransV1_0031614")</f>
        <v>p.persica_gdr_reftransV1_0031614</v>
      </c>
      <c r="B995" s="2">
        <v>1260</v>
      </c>
      <c r="C995" s="4" t="str">
        <f>HYPERLINK("http://www.uniprot.org/uniprot/M5XFW8","M5XFW8")</f>
        <v>M5XFW8</v>
      </c>
      <c r="D995" s="2" t="s">
        <v>981</v>
      </c>
      <c r="E995" s="3">
        <v>6.8899999999999999E-105</v>
      </c>
      <c r="F995" s="2">
        <v>817</v>
      </c>
      <c r="G995" s="2">
        <v>100</v>
      </c>
      <c r="H995" s="2">
        <v>158</v>
      </c>
      <c r="I995" s="2">
        <v>261</v>
      </c>
      <c r="J995" s="2">
        <v>734</v>
      </c>
      <c r="K995" s="2">
        <v>1</v>
      </c>
      <c r="L995" s="2">
        <v>158</v>
      </c>
    </row>
    <row r="996" spans="1:12" x14ac:dyDescent="0.25">
      <c r="A996" s="4" t="str">
        <f>HYPERLINK("http://www.rosaceae.org/Prunus/Prunus_persica/p.persica_gdr_reftransV1_0031964","p.persica_gdr_reftransV1_0031964")</f>
        <v>p.persica_gdr_reftransV1_0031964</v>
      </c>
      <c r="B996" s="2">
        <v>4741</v>
      </c>
      <c r="C996" s="4" t="str">
        <f>HYPERLINK("http://www.uniprot.org/uniprot/M5WXS7","M5WXS7")</f>
        <v>M5WXS7</v>
      </c>
      <c r="D996" s="2" t="s">
        <v>982</v>
      </c>
      <c r="E996" s="3">
        <v>0</v>
      </c>
      <c r="F996" s="2">
        <v>3296</v>
      </c>
      <c r="G996" s="2">
        <v>95</v>
      </c>
      <c r="H996" s="2">
        <v>679</v>
      </c>
      <c r="I996" s="2">
        <v>2711</v>
      </c>
      <c r="J996" s="2">
        <v>4654</v>
      </c>
      <c r="K996" s="2">
        <v>49</v>
      </c>
      <c r="L996" s="2">
        <v>727</v>
      </c>
    </row>
    <row r="997" spans="1:12" x14ac:dyDescent="0.25">
      <c r="A997" s="4" t="str">
        <f>HYPERLINK("http://www.rosaceae.org/Prunus/Prunus_persica/p.persica_gdr_reftransV1_0033364","p.persica_gdr_reftransV1_0033364")</f>
        <v>p.persica_gdr_reftransV1_0033364</v>
      </c>
      <c r="B997" s="2">
        <v>1518</v>
      </c>
      <c r="C997" s="4" t="str">
        <f>HYPERLINK("http://www.uniprot.org/uniprot/M5X3L8","M5X3L8")</f>
        <v>M5X3L8</v>
      </c>
      <c r="D997" s="2" t="s">
        <v>983</v>
      </c>
      <c r="E997" s="3">
        <v>0</v>
      </c>
      <c r="F997" s="2">
        <v>1706</v>
      </c>
      <c r="G997" s="2">
        <v>99</v>
      </c>
      <c r="H997" s="2">
        <v>316</v>
      </c>
      <c r="I997" s="2">
        <v>517</v>
      </c>
      <c r="J997" s="2">
        <v>1464</v>
      </c>
      <c r="K997" s="2">
        <v>704</v>
      </c>
      <c r="L997" s="2">
        <v>1019</v>
      </c>
    </row>
    <row r="998" spans="1:12" x14ac:dyDescent="0.25">
      <c r="A998" s="4" t="str">
        <f>HYPERLINK("http://www.rosaceae.org/Prunus/Prunus_persica/p.persica_gdr_reftransV1_0034414","p.persica_gdr_reftransV1_0034414")</f>
        <v>p.persica_gdr_reftransV1_0034414</v>
      </c>
      <c r="B998" s="2">
        <v>1905</v>
      </c>
      <c r="C998" s="4" t="str">
        <f>HYPERLINK("http://www.uniprot.org/uniprot/M5X6H5","M5X6H5")</f>
        <v>M5X6H5</v>
      </c>
      <c r="D998" s="2" t="s">
        <v>984</v>
      </c>
      <c r="E998" s="3">
        <v>0</v>
      </c>
      <c r="F998" s="2">
        <v>2066</v>
      </c>
      <c r="G998" s="2">
        <v>100</v>
      </c>
      <c r="H998" s="2">
        <v>454</v>
      </c>
      <c r="I998" s="2">
        <v>439</v>
      </c>
      <c r="J998" s="2">
        <v>1800</v>
      </c>
      <c r="K998" s="2">
        <v>1</v>
      </c>
      <c r="L998" s="2">
        <v>454</v>
      </c>
    </row>
    <row r="999" spans="1:12" x14ac:dyDescent="0.25">
      <c r="A999" s="4" t="str">
        <f>HYPERLINK("http://www.rosaceae.org/Prunus/Prunus_persica/p.persica_gdr_reftransV1_0034764","p.persica_gdr_reftransV1_0034764")</f>
        <v>p.persica_gdr_reftransV1_0034764</v>
      </c>
      <c r="B999" s="2">
        <v>675</v>
      </c>
      <c r="C999" s="4" t="str">
        <f>HYPERLINK("http://www.uniprot.org/uniprot/M5X2M1","M5X2M1")</f>
        <v>M5X2M1</v>
      </c>
      <c r="D999" s="2" t="s">
        <v>985</v>
      </c>
      <c r="E999" s="3">
        <v>1.8500000000000001E-76</v>
      </c>
      <c r="F999" s="2">
        <v>609</v>
      </c>
      <c r="G999" s="2">
        <v>100</v>
      </c>
      <c r="H999" s="2">
        <v>117</v>
      </c>
      <c r="I999" s="2">
        <v>324</v>
      </c>
      <c r="J999" s="2">
        <v>674</v>
      </c>
      <c r="K999" s="2">
        <v>1</v>
      </c>
      <c r="L999" s="2">
        <v>117</v>
      </c>
    </row>
    <row r="1000" spans="1:12" x14ac:dyDescent="0.25">
      <c r="A1000" s="4" t="str">
        <f>HYPERLINK("http://www.rosaceae.org/Prunus/Prunus_persica/p.persica_gdr_reftransV1_0037914","p.persica_gdr_reftransV1_0037914")</f>
        <v>p.persica_gdr_reftransV1_0037914</v>
      </c>
      <c r="B1000" s="2">
        <v>1807</v>
      </c>
      <c r="C1000" s="4" t="str">
        <f>HYPERLINK("http://www.uniprot.org/uniprot/M5WH55","M5WH55")</f>
        <v>M5WH55</v>
      </c>
      <c r="D1000" s="2" t="s">
        <v>986</v>
      </c>
      <c r="E1000" s="3">
        <v>0</v>
      </c>
      <c r="F1000" s="2">
        <v>1970</v>
      </c>
      <c r="G1000" s="2">
        <v>100</v>
      </c>
      <c r="H1000" s="2">
        <v>385</v>
      </c>
      <c r="I1000" s="2">
        <v>433</v>
      </c>
      <c r="J1000" s="2">
        <v>1587</v>
      </c>
      <c r="K1000" s="2">
        <v>1</v>
      </c>
      <c r="L1000" s="2">
        <v>385</v>
      </c>
    </row>
    <row r="1001" spans="1:12" x14ac:dyDescent="0.25">
      <c r="A1001" s="4" t="str">
        <f>HYPERLINK("http://www.rosaceae.org/Prunus/Prunus_persica/p.persica_gdr_reftransV1_0038264","p.persica_gdr_reftransV1_0038264")</f>
        <v>p.persica_gdr_reftransV1_0038264</v>
      </c>
      <c r="B1001" s="2">
        <v>999</v>
      </c>
      <c r="C1001" s="4" t="str">
        <f>HYPERLINK("http://www.uniprot.org/uniprot/M5W4R4","M5W4R4")</f>
        <v>M5W4R4</v>
      </c>
      <c r="D1001" s="2" t="s">
        <v>987</v>
      </c>
      <c r="E1001" s="3">
        <v>1.6199999999999999E-128</v>
      </c>
      <c r="F1001" s="2">
        <v>968</v>
      </c>
      <c r="G1001" s="2">
        <v>100</v>
      </c>
      <c r="H1001" s="2">
        <v>178</v>
      </c>
      <c r="I1001" s="2">
        <v>92</v>
      </c>
      <c r="J1001" s="2">
        <v>625</v>
      </c>
      <c r="K1001" s="2">
        <v>1</v>
      </c>
      <c r="L1001" s="2">
        <v>178</v>
      </c>
    </row>
    <row r="1002" spans="1:12" x14ac:dyDescent="0.25">
      <c r="A1002" s="4" t="str">
        <f>HYPERLINK("http://www.rosaceae.org/Prunus/Prunus_persica/p.persica_gdr_reftransV1_0043164","p.persica_gdr_reftransV1_0043164")</f>
        <v>p.persica_gdr_reftransV1_0043164</v>
      </c>
      <c r="B1002" s="2">
        <v>1177</v>
      </c>
      <c r="C1002" s="4" t="str">
        <f>HYPERLINK("http://www.uniprot.org/uniprot/M5WN54","M5WN54")</f>
        <v>M5WN54</v>
      </c>
      <c r="D1002" s="2" t="s">
        <v>988</v>
      </c>
      <c r="E1002" s="3">
        <v>2.05E-178</v>
      </c>
      <c r="F1002" s="2">
        <v>959</v>
      </c>
      <c r="G1002" s="2">
        <v>88</v>
      </c>
      <c r="H1002" s="2">
        <v>201</v>
      </c>
      <c r="I1002" s="2">
        <v>18</v>
      </c>
      <c r="J1002" s="2">
        <v>620</v>
      </c>
      <c r="K1002" s="2">
        <v>519</v>
      </c>
      <c r="L1002" s="2">
        <v>719</v>
      </c>
    </row>
    <row r="1003" spans="1:12" x14ac:dyDescent="0.25">
      <c r="A1003" s="4" t="str">
        <f>HYPERLINK("http://www.rosaceae.org/Prunus/Prunus_persica/p.persica_gdr_reftransV1_0043514","p.persica_gdr_reftransV1_0043514")</f>
        <v>p.persica_gdr_reftransV1_0043514</v>
      </c>
      <c r="B1003" s="2">
        <v>1309</v>
      </c>
      <c r="C1003" s="4" t="str">
        <f>HYPERLINK("http://www.uniprot.org/uniprot/M5VW22","M5VW22")</f>
        <v>M5VW22</v>
      </c>
      <c r="D1003" s="2" t="s">
        <v>989</v>
      </c>
      <c r="E1003" s="3">
        <v>0</v>
      </c>
      <c r="F1003" s="2">
        <v>2271</v>
      </c>
      <c r="G1003" s="2">
        <v>100</v>
      </c>
      <c r="H1003" s="2">
        <v>424</v>
      </c>
      <c r="I1003" s="2">
        <v>36</v>
      </c>
      <c r="J1003" s="2">
        <v>1307</v>
      </c>
      <c r="K1003" s="2">
        <v>15</v>
      </c>
      <c r="L1003" s="2">
        <v>438</v>
      </c>
    </row>
    <row r="1004" spans="1:12" x14ac:dyDescent="0.25">
      <c r="A1004" s="4" t="str">
        <f>HYPERLINK("http://www.rosaceae.org/Prunus/Prunus_persica/p.persica_gdr_reftransV1_0043864","p.persica_gdr_reftransV1_0043864")</f>
        <v>p.persica_gdr_reftransV1_0043864</v>
      </c>
      <c r="B1004" s="2">
        <v>860</v>
      </c>
      <c r="C1004" s="4" t="str">
        <f>HYPERLINK("http://www.uniprot.org/uniprot/A0A0E0JD74","A0A0E0JD74")</f>
        <v>A0A0E0JD74</v>
      </c>
      <c r="D1004" s="2" t="s">
        <v>990</v>
      </c>
      <c r="E1004" s="3">
        <v>2.2000000000000001E-7</v>
      </c>
      <c r="F1004" s="2">
        <v>148</v>
      </c>
      <c r="G1004" s="2">
        <v>46</v>
      </c>
      <c r="H1004" s="2">
        <v>69</v>
      </c>
      <c r="I1004" s="2">
        <v>278</v>
      </c>
      <c r="J1004" s="2">
        <v>484</v>
      </c>
      <c r="K1004" s="2">
        <v>472</v>
      </c>
      <c r="L1004" s="2">
        <v>540</v>
      </c>
    </row>
    <row r="1005" spans="1:12" x14ac:dyDescent="0.25">
      <c r="A1005" s="4" t="str">
        <f>HYPERLINK("http://www.rosaceae.org/Prunus/Prunus_persica/p.persica_gdr_reftransV1_0044214","p.persica_gdr_reftransV1_0044214")</f>
        <v>p.persica_gdr_reftransV1_0044214</v>
      </c>
      <c r="B1005" s="2">
        <v>857</v>
      </c>
      <c r="C1005" s="4" t="str">
        <f>HYPERLINK("http://www.uniprot.org/uniprot/M5WCC4","M5WCC4")</f>
        <v>M5WCC4</v>
      </c>
      <c r="D1005" s="2" t="s">
        <v>991</v>
      </c>
      <c r="E1005" s="3">
        <v>2.95E-93</v>
      </c>
      <c r="F1005" s="2">
        <v>725</v>
      </c>
      <c r="G1005" s="2">
        <v>99</v>
      </c>
      <c r="H1005" s="2">
        <v>141</v>
      </c>
      <c r="I1005" s="2">
        <v>260</v>
      </c>
      <c r="J1005" s="2">
        <v>682</v>
      </c>
      <c r="K1005" s="2">
        <v>1</v>
      </c>
      <c r="L1005" s="2">
        <v>140</v>
      </c>
    </row>
    <row r="1006" spans="1:12" x14ac:dyDescent="0.25">
      <c r="A1006" s="4" t="str">
        <f>HYPERLINK("http://www.rosaceae.org/Prunus/Prunus_persica/p.persica_gdr_reftransV1_0044564","p.persica_gdr_reftransV1_0044564")</f>
        <v>p.persica_gdr_reftransV1_0044564</v>
      </c>
      <c r="B1006" s="2">
        <v>1003</v>
      </c>
      <c r="C1006" s="4" t="str">
        <f>HYPERLINK("http://www.uniprot.org/uniprot/M5Y1E1","M5Y1E1")</f>
        <v>M5Y1E1</v>
      </c>
      <c r="D1006" s="2" t="s">
        <v>992</v>
      </c>
      <c r="E1006" s="3">
        <v>4.9500000000000002E-98</v>
      </c>
      <c r="F1006" s="2">
        <v>762</v>
      </c>
      <c r="G1006" s="2">
        <v>100</v>
      </c>
      <c r="H1006" s="2">
        <v>145</v>
      </c>
      <c r="I1006" s="2">
        <v>370</v>
      </c>
      <c r="J1006" s="2">
        <v>804</v>
      </c>
      <c r="K1006" s="2">
        <v>1</v>
      </c>
      <c r="L1006" s="2">
        <v>145</v>
      </c>
    </row>
    <row r="1007" spans="1:12" x14ac:dyDescent="0.25">
      <c r="A1007" s="4" t="str">
        <f>HYPERLINK("http://www.rosaceae.org/Prunus/Prunus_persica/p.persica_gdr_reftransV1_0044914","p.persica_gdr_reftransV1_0044914")</f>
        <v>p.persica_gdr_reftransV1_0044914</v>
      </c>
      <c r="B1007" s="2">
        <v>3381</v>
      </c>
      <c r="C1007" s="4" t="str">
        <f>HYPERLINK("http://www.uniprot.org/uniprot/M5XEN7","M5XEN7")</f>
        <v>M5XEN7</v>
      </c>
      <c r="D1007" s="2" t="s">
        <v>993</v>
      </c>
      <c r="E1007" s="3">
        <v>0</v>
      </c>
      <c r="F1007" s="2">
        <v>2544</v>
      </c>
      <c r="G1007" s="2">
        <v>100</v>
      </c>
      <c r="H1007" s="2">
        <v>495</v>
      </c>
      <c r="I1007" s="2">
        <v>1607</v>
      </c>
      <c r="J1007" s="2">
        <v>3091</v>
      </c>
      <c r="K1007" s="2">
        <v>1</v>
      </c>
      <c r="L1007" s="2">
        <v>495</v>
      </c>
    </row>
    <row r="1008" spans="1:12" x14ac:dyDescent="0.25">
      <c r="A1008" s="4" t="str">
        <f>HYPERLINK("http://www.rosaceae.org/Prunus/Prunus_persica/p.persica_gdr_reftransV1_0045264","p.persica_gdr_reftransV1_0045264")</f>
        <v>p.persica_gdr_reftransV1_0045264</v>
      </c>
      <c r="B1008" s="2">
        <v>1247</v>
      </c>
      <c r="C1008" s="4" t="str">
        <f>HYPERLINK("http://www.uniprot.org/uniprot/M5XQ02","M5XQ02")</f>
        <v>M5XQ02</v>
      </c>
      <c r="D1008" s="2" t="s">
        <v>994</v>
      </c>
      <c r="E1008" s="3">
        <v>0</v>
      </c>
      <c r="F1008" s="2">
        <v>1688</v>
      </c>
      <c r="G1008" s="2">
        <v>100</v>
      </c>
      <c r="H1008" s="2">
        <v>335</v>
      </c>
      <c r="I1008" s="2">
        <v>172</v>
      </c>
      <c r="J1008" s="2">
        <v>1176</v>
      </c>
      <c r="K1008" s="2">
        <v>1</v>
      </c>
      <c r="L1008" s="2">
        <v>335</v>
      </c>
    </row>
    <row r="1009" spans="1:12" x14ac:dyDescent="0.25">
      <c r="A1009" s="4" t="str">
        <f>HYPERLINK("http://www.rosaceae.org/Prunus/Prunus_persica/p.persica_gdr_reftransV1_0045614","p.persica_gdr_reftransV1_0045614")</f>
        <v>p.persica_gdr_reftransV1_0045614</v>
      </c>
      <c r="B1009" s="2">
        <v>1000</v>
      </c>
      <c r="C1009" s="4" t="str">
        <f>HYPERLINK("http://www.uniprot.org/uniprot/M5XZY7","M5XZY7")</f>
        <v>M5XZY7</v>
      </c>
      <c r="D1009" s="2" t="s">
        <v>995</v>
      </c>
      <c r="E1009" s="3">
        <v>1.09E-90</v>
      </c>
      <c r="F1009" s="2">
        <v>713</v>
      </c>
      <c r="G1009" s="2">
        <v>100</v>
      </c>
      <c r="H1009" s="2">
        <v>143</v>
      </c>
      <c r="I1009" s="2">
        <v>316</v>
      </c>
      <c r="J1009" s="2">
        <v>744</v>
      </c>
      <c r="K1009" s="2">
        <v>1</v>
      </c>
      <c r="L1009" s="2">
        <v>143</v>
      </c>
    </row>
    <row r="1010" spans="1:12" x14ac:dyDescent="0.25">
      <c r="A1010" s="4" t="str">
        <f>HYPERLINK("http://www.rosaceae.org/Prunus/Prunus_persica/p.persica_gdr_reftransV1_0046314","p.persica_gdr_reftransV1_0046314")</f>
        <v>p.persica_gdr_reftransV1_0046314</v>
      </c>
      <c r="B1010" s="2">
        <v>2537</v>
      </c>
      <c r="C1010" s="4" t="str">
        <f>HYPERLINK("http://www.uniprot.org/uniprot/M5WWP4","M5WWP4")</f>
        <v>M5WWP4</v>
      </c>
      <c r="D1010" s="2" t="s">
        <v>996</v>
      </c>
      <c r="E1010" s="3">
        <v>0</v>
      </c>
      <c r="F1010" s="2">
        <v>3009</v>
      </c>
      <c r="G1010" s="2">
        <v>97</v>
      </c>
      <c r="H1010" s="2">
        <v>742</v>
      </c>
      <c r="I1010" s="2">
        <v>27</v>
      </c>
      <c r="J1010" s="2">
        <v>2252</v>
      </c>
      <c r="K1010" s="2">
        <v>1</v>
      </c>
      <c r="L1010" s="2">
        <v>719</v>
      </c>
    </row>
    <row r="1011" spans="1:12" x14ac:dyDescent="0.25">
      <c r="A1011" s="4" t="str">
        <f>HYPERLINK("http://www.rosaceae.org/Prunus/Prunus_persica/p.persica_gdr_reftransV1_0046664","p.persica_gdr_reftransV1_0046664")</f>
        <v>p.persica_gdr_reftransV1_0046664</v>
      </c>
      <c r="B1011" s="2">
        <v>586</v>
      </c>
      <c r="C1011" s="4" t="str">
        <f>HYPERLINK("http://www.uniprot.org/uniprot/M5W2C7","M5W2C7")</f>
        <v>M5W2C7</v>
      </c>
      <c r="D1011" s="2" t="s">
        <v>997</v>
      </c>
      <c r="E1011" s="3">
        <v>1.01E-125</v>
      </c>
      <c r="F1011" s="2">
        <v>977</v>
      </c>
      <c r="G1011" s="2">
        <v>96</v>
      </c>
      <c r="H1011" s="2">
        <v>194</v>
      </c>
      <c r="I1011" s="2">
        <v>3</v>
      </c>
      <c r="J1011" s="2">
        <v>584</v>
      </c>
      <c r="K1011" s="2">
        <v>29</v>
      </c>
      <c r="L1011" s="2">
        <v>221</v>
      </c>
    </row>
    <row r="1012" spans="1:12" x14ac:dyDescent="0.25">
      <c r="A1012" s="4" t="str">
        <f>HYPERLINK("http://www.rosaceae.org/Prunus/Prunus_persica/p.persica_gdr_reftransV1_0047364","p.persica_gdr_reftransV1_0047364")</f>
        <v>p.persica_gdr_reftransV1_0047364</v>
      </c>
      <c r="B1012" s="2">
        <v>2194</v>
      </c>
      <c r="C1012" s="4" t="str">
        <f>HYPERLINK("http://www.uniprot.org/uniprot/M5WXF0","M5WXF0")</f>
        <v>M5WXF0</v>
      </c>
      <c r="D1012" s="2" t="s">
        <v>998</v>
      </c>
      <c r="E1012" s="3">
        <v>0</v>
      </c>
      <c r="F1012" s="2">
        <v>3015</v>
      </c>
      <c r="G1012" s="2">
        <v>100</v>
      </c>
      <c r="H1012" s="2">
        <v>613</v>
      </c>
      <c r="I1012" s="2">
        <v>118</v>
      </c>
      <c r="J1012" s="2">
        <v>1956</v>
      </c>
      <c r="K1012" s="2">
        <v>1</v>
      </c>
      <c r="L1012" s="2">
        <v>613</v>
      </c>
    </row>
    <row r="1013" spans="1:12" x14ac:dyDescent="0.25">
      <c r="A1013" s="4" t="str">
        <f>HYPERLINK("http://www.rosaceae.org/Prunus/Prunus_persica/p.persica_gdr_reftransV1_0047714","p.persica_gdr_reftransV1_0047714")</f>
        <v>p.persica_gdr_reftransV1_0047714</v>
      </c>
      <c r="B1013" s="2">
        <v>1074</v>
      </c>
      <c r="C1013" s="4" t="str">
        <f>HYPERLINK("http://www.uniprot.org/uniprot/M5XZI4","M5XZI4")</f>
        <v>M5XZI4</v>
      </c>
      <c r="D1013" s="2" t="s">
        <v>999</v>
      </c>
      <c r="E1013" s="3">
        <v>8.7799999999999998E-91</v>
      </c>
      <c r="F1013" s="2">
        <v>721</v>
      </c>
      <c r="G1013" s="2">
        <v>100</v>
      </c>
      <c r="H1013" s="2">
        <v>191</v>
      </c>
      <c r="I1013" s="2">
        <v>123</v>
      </c>
      <c r="J1013" s="2">
        <v>695</v>
      </c>
      <c r="K1013" s="2">
        <v>1</v>
      </c>
      <c r="L1013" s="2">
        <v>191</v>
      </c>
    </row>
    <row r="1014" spans="1:12" x14ac:dyDescent="0.25">
      <c r="A1014" s="4" t="str">
        <f>HYPERLINK("http://www.rosaceae.org/Prunus/Prunus_persica/p.persica_gdr_reftransV1_0048064","p.persica_gdr_reftransV1_0048064")</f>
        <v>p.persica_gdr_reftransV1_0048064</v>
      </c>
      <c r="B1014" s="2">
        <v>642</v>
      </c>
      <c r="C1014" s="4" t="str">
        <f>HYPERLINK("http://www.uniprot.org/uniprot/M5W3Q5","M5W3Q5")</f>
        <v>M5W3Q5</v>
      </c>
      <c r="D1014" s="2" t="s">
        <v>33</v>
      </c>
      <c r="E1014" s="3">
        <v>1.28E-62</v>
      </c>
      <c r="F1014" s="2">
        <v>558</v>
      </c>
      <c r="G1014" s="2">
        <v>100</v>
      </c>
      <c r="H1014" s="2">
        <v>124</v>
      </c>
      <c r="I1014" s="2">
        <v>269</v>
      </c>
      <c r="J1014" s="2">
        <v>640</v>
      </c>
      <c r="K1014" s="2">
        <v>1</v>
      </c>
      <c r="L1014" s="2">
        <v>124</v>
      </c>
    </row>
    <row r="1015" spans="1:12" x14ac:dyDescent="0.25">
      <c r="A1015" s="4" t="str">
        <f>HYPERLINK("http://www.rosaceae.org/Prunus/Prunus_persica/p.persica_gdr_reftransV1_0048414","p.persica_gdr_reftransV1_0048414")</f>
        <v>p.persica_gdr_reftransV1_0048414</v>
      </c>
      <c r="B1015" s="2">
        <v>5104</v>
      </c>
      <c r="C1015" s="4" t="str">
        <f>HYPERLINK("http://www.uniprot.org/uniprot/M5W171","M5W171")</f>
        <v>M5W171</v>
      </c>
      <c r="D1015" s="2" t="s">
        <v>1000</v>
      </c>
      <c r="E1015" s="3">
        <v>0</v>
      </c>
      <c r="F1015" s="2">
        <v>5816</v>
      </c>
      <c r="G1015" s="2">
        <v>100</v>
      </c>
      <c r="H1015" s="2">
        <v>1110</v>
      </c>
      <c r="I1015" s="2">
        <v>640</v>
      </c>
      <c r="J1015" s="2">
        <v>3969</v>
      </c>
      <c r="K1015" s="2">
        <v>4</v>
      </c>
      <c r="L1015" s="2">
        <v>1113</v>
      </c>
    </row>
    <row r="1016" spans="1:12" x14ac:dyDescent="0.25">
      <c r="A1016" s="4" t="str">
        <f>HYPERLINK("http://www.rosaceae.org/Prunus/Prunus_persica/p.persica_gdr_reftransV1_0048764","p.persica_gdr_reftransV1_0048764")</f>
        <v>p.persica_gdr_reftransV1_0048764</v>
      </c>
      <c r="B1016" s="2">
        <v>514</v>
      </c>
      <c r="C1016" s="4" t="str">
        <f>HYPERLINK("http://www.uniprot.org/uniprot/M5VVX9","M5VVX9")</f>
        <v>M5VVX9</v>
      </c>
      <c r="D1016" s="2" t="s">
        <v>1001</v>
      </c>
      <c r="E1016" s="3">
        <v>1.64E-102</v>
      </c>
      <c r="F1016" s="2">
        <v>821</v>
      </c>
      <c r="G1016" s="2">
        <v>100</v>
      </c>
      <c r="H1016" s="2">
        <v>171</v>
      </c>
      <c r="I1016" s="2">
        <v>2</v>
      </c>
      <c r="J1016" s="2">
        <v>514</v>
      </c>
      <c r="K1016" s="2">
        <v>91</v>
      </c>
      <c r="L1016" s="2">
        <v>261</v>
      </c>
    </row>
    <row r="1017" spans="1:12" x14ac:dyDescent="0.25">
      <c r="A1017" s="4" t="str">
        <f>HYPERLINK("http://www.rosaceae.org/Prunus/Prunus_persica/p.persica_gdr_reftransV1_0000115","p.persica_gdr_reftransV1_0000115")</f>
        <v>p.persica_gdr_reftransV1_0000115</v>
      </c>
      <c r="B1017" s="2">
        <v>992</v>
      </c>
      <c r="C1017" s="4" t="str">
        <f>HYPERLINK("http://www.uniprot.org/uniprot/M5WJP5","M5WJP5")</f>
        <v>M5WJP5</v>
      </c>
      <c r="D1017" s="2" t="s">
        <v>1002</v>
      </c>
      <c r="E1017" s="3">
        <v>3.08E-143</v>
      </c>
      <c r="F1017" s="2">
        <v>1069</v>
      </c>
      <c r="G1017" s="2">
        <v>100</v>
      </c>
      <c r="H1017" s="2">
        <v>233</v>
      </c>
      <c r="I1017" s="2">
        <v>226</v>
      </c>
      <c r="J1017" s="2">
        <v>924</v>
      </c>
      <c r="K1017" s="2">
        <v>1</v>
      </c>
      <c r="L1017" s="2">
        <v>233</v>
      </c>
    </row>
    <row r="1018" spans="1:12" x14ac:dyDescent="0.25">
      <c r="A1018" s="4" t="str">
        <f>HYPERLINK("http://www.rosaceae.org/Prunus/Prunus_persica/p.persica_gdr_reftransV1_0000465","p.persica_gdr_reftransV1_0000465")</f>
        <v>p.persica_gdr_reftransV1_0000465</v>
      </c>
      <c r="B1018" s="2">
        <v>1655</v>
      </c>
      <c r="C1018" s="4" t="str">
        <f>HYPERLINK("http://www.uniprot.org/uniprot/M5W9I6","M5W9I6")</f>
        <v>M5W9I6</v>
      </c>
      <c r="D1018" s="2" t="s">
        <v>1003</v>
      </c>
      <c r="E1018" s="3">
        <v>0</v>
      </c>
      <c r="F1018" s="2">
        <v>2068</v>
      </c>
      <c r="G1018" s="2">
        <v>100</v>
      </c>
      <c r="H1018" s="2">
        <v>412</v>
      </c>
      <c r="I1018" s="2">
        <v>269</v>
      </c>
      <c r="J1018" s="2">
        <v>1504</v>
      </c>
      <c r="K1018" s="2">
        <v>1</v>
      </c>
      <c r="L1018" s="2">
        <v>412</v>
      </c>
    </row>
    <row r="1019" spans="1:12" x14ac:dyDescent="0.25">
      <c r="A1019" s="4" t="str">
        <f>HYPERLINK("http://www.rosaceae.org/Prunus/Prunus_persica/p.persica_gdr_reftransV1_0000815","p.persica_gdr_reftransV1_0000815")</f>
        <v>p.persica_gdr_reftransV1_0000815</v>
      </c>
      <c r="B1019" s="2">
        <v>953</v>
      </c>
      <c r="C1019" s="4" t="str">
        <f>HYPERLINK("http://www.uniprot.org/uniprot/M5WI52","M5WI52")</f>
        <v>M5WI52</v>
      </c>
      <c r="D1019" s="2" t="s">
        <v>1004</v>
      </c>
      <c r="E1019" s="3">
        <v>3.4300000000000001E-69</v>
      </c>
      <c r="F1019" s="2">
        <v>569</v>
      </c>
      <c r="G1019" s="2">
        <v>100</v>
      </c>
      <c r="H1019" s="2">
        <v>125</v>
      </c>
      <c r="I1019" s="2">
        <v>558</v>
      </c>
      <c r="J1019" s="2">
        <v>932</v>
      </c>
      <c r="K1019" s="2">
        <v>15</v>
      </c>
      <c r="L1019" s="2">
        <v>139</v>
      </c>
    </row>
    <row r="1020" spans="1:12" x14ac:dyDescent="0.25">
      <c r="A1020" s="4" t="str">
        <f>HYPERLINK("http://www.rosaceae.org/Prunus/Prunus_persica/p.persica_gdr_reftransV1_0001165","p.persica_gdr_reftransV1_0001165")</f>
        <v>p.persica_gdr_reftransV1_0001165</v>
      </c>
      <c r="B1020" s="2">
        <v>719</v>
      </c>
      <c r="C1020" s="4" t="str">
        <f>HYPERLINK("http://www.uniprot.org/uniprot/M5XRE2","M5XRE2")</f>
        <v>M5XRE2</v>
      </c>
      <c r="D1020" s="2" t="s">
        <v>1005</v>
      </c>
      <c r="E1020" s="3">
        <v>1.09E-32</v>
      </c>
      <c r="F1020" s="2">
        <v>336</v>
      </c>
      <c r="G1020" s="2">
        <v>100</v>
      </c>
      <c r="H1020" s="2">
        <v>83</v>
      </c>
      <c r="I1020" s="2">
        <v>133</v>
      </c>
      <c r="J1020" s="2">
        <v>381</v>
      </c>
      <c r="K1020" s="2">
        <v>1</v>
      </c>
      <c r="L1020" s="2">
        <v>83</v>
      </c>
    </row>
    <row r="1021" spans="1:12" x14ac:dyDescent="0.25">
      <c r="A1021" s="4" t="str">
        <f>HYPERLINK("http://www.rosaceae.org/Prunus/Prunus_persica/p.persica_gdr_reftransV1_0001515","p.persica_gdr_reftransV1_0001515")</f>
        <v>p.persica_gdr_reftransV1_0001515</v>
      </c>
      <c r="B1021" s="2">
        <v>4291</v>
      </c>
      <c r="C1021" s="4" t="str">
        <f>HYPERLINK("http://www.uniprot.org/uniprot/M5W771","M5W771")</f>
        <v>M5W771</v>
      </c>
      <c r="D1021" s="2" t="s">
        <v>1006</v>
      </c>
      <c r="E1021" s="3">
        <v>0</v>
      </c>
      <c r="F1021" s="2">
        <v>6680</v>
      </c>
      <c r="G1021" s="2">
        <v>99</v>
      </c>
      <c r="H1021" s="2">
        <v>1295</v>
      </c>
      <c r="I1021" s="2">
        <v>304</v>
      </c>
      <c r="J1021" s="2">
        <v>4155</v>
      </c>
      <c r="K1021" s="2">
        <v>1</v>
      </c>
      <c r="L1021" s="2">
        <v>1292</v>
      </c>
    </row>
    <row r="1022" spans="1:12" x14ac:dyDescent="0.25">
      <c r="A1022" s="4" t="str">
        <f>HYPERLINK("http://www.rosaceae.org/Prunus/Prunus_persica/p.persica_gdr_reftransV1_0001865","p.persica_gdr_reftransV1_0001865")</f>
        <v>p.persica_gdr_reftransV1_0001865</v>
      </c>
      <c r="B1022" s="2">
        <v>1573</v>
      </c>
      <c r="C1022" s="4" t="str">
        <f>HYPERLINK("http://www.uniprot.org/uniprot/M5WVE9","M5WVE9")</f>
        <v>M5WVE9</v>
      </c>
      <c r="D1022" s="2" t="s">
        <v>1007</v>
      </c>
      <c r="E1022" s="3">
        <v>1.45E-87</v>
      </c>
      <c r="F1022" s="2">
        <v>714</v>
      </c>
      <c r="G1022" s="2">
        <v>99</v>
      </c>
      <c r="H1022" s="2">
        <v>187</v>
      </c>
      <c r="I1022" s="2">
        <v>701</v>
      </c>
      <c r="J1022" s="2">
        <v>1261</v>
      </c>
      <c r="K1022" s="2">
        <v>1</v>
      </c>
      <c r="L1022" s="2">
        <v>187</v>
      </c>
    </row>
    <row r="1023" spans="1:12" x14ac:dyDescent="0.25">
      <c r="A1023" s="4" t="str">
        <f>HYPERLINK("http://www.rosaceae.org/Prunus/Prunus_persica/p.persica_gdr_reftransV1_0002215","p.persica_gdr_reftransV1_0002215")</f>
        <v>p.persica_gdr_reftransV1_0002215</v>
      </c>
      <c r="B1023" s="2">
        <v>402</v>
      </c>
      <c r="C1023" s="4" t="str">
        <f>HYPERLINK("http://www.uniprot.org/uniprot/M5VNV7","M5VNV7")</f>
        <v>M5VNV7</v>
      </c>
      <c r="D1023" s="2" t="s">
        <v>1008</v>
      </c>
      <c r="E1023" s="3">
        <v>8.0199999999999997E-85</v>
      </c>
      <c r="F1023" s="2">
        <v>688</v>
      </c>
      <c r="G1023" s="2">
        <v>100</v>
      </c>
      <c r="H1023" s="2">
        <v>133</v>
      </c>
      <c r="I1023" s="2">
        <v>3</v>
      </c>
      <c r="J1023" s="2">
        <v>401</v>
      </c>
      <c r="K1023" s="2">
        <v>315</v>
      </c>
      <c r="L1023" s="2">
        <v>447</v>
      </c>
    </row>
    <row r="1024" spans="1:12" x14ac:dyDescent="0.25">
      <c r="A1024" s="4" t="str">
        <f>HYPERLINK("http://www.rosaceae.org/Prunus/Prunus_persica/p.persica_gdr_reftransV1_0002565","p.persica_gdr_reftransV1_0002565")</f>
        <v>p.persica_gdr_reftransV1_0002565</v>
      </c>
      <c r="B1024" s="2">
        <v>431</v>
      </c>
      <c r="C1024" s="4" t="str">
        <f>HYPERLINK("http://www.uniprot.org/uniprot/M5VTI4","M5VTI4")</f>
        <v>M5VTI4</v>
      </c>
      <c r="D1024" s="2" t="s">
        <v>1009</v>
      </c>
      <c r="E1024" s="3">
        <v>2.3900000000000002E-50</v>
      </c>
      <c r="F1024" s="2">
        <v>446</v>
      </c>
      <c r="G1024" s="2">
        <v>100</v>
      </c>
      <c r="H1024" s="2">
        <v>115</v>
      </c>
      <c r="I1024" s="2">
        <v>1</v>
      </c>
      <c r="J1024" s="2">
        <v>345</v>
      </c>
      <c r="K1024" s="2">
        <v>1</v>
      </c>
      <c r="L1024" s="2">
        <v>115</v>
      </c>
    </row>
    <row r="1025" spans="1:12" x14ac:dyDescent="0.25">
      <c r="A1025" s="4" t="str">
        <f>HYPERLINK("http://www.rosaceae.org/Prunus/Prunus_persica/p.persica_gdr_reftransV1_0002915","p.persica_gdr_reftransV1_0002915")</f>
        <v>p.persica_gdr_reftransV1_0002915</v>
      </c>
      <c r="B1025" s="2">
        <v>3421</v>
      </c>
      <c r="C1025" s="4" t="str">
        <f>HYPERLINK("http://www.uniprot.org/uniprot/M5WU67","M5WU67")</f>
        <v>M5WU67</v>
      </c>
      <c r="D1025" s="2" t="s">
        <v>1010</v>
      </c>
      <c r="E1025" s="3">
        <v>0</v>
      </c>
      <c r="F1025" s="2">
        <v>2248</v>
      </c>
      <c r="G1025" s="2">
        <v>95</v>
      </c>
      <c r="H1025" s="2">
        <v>460</v>
      </c>
      <c r="I1025" s="2">
        <v>301</v>
      </c>
      <c r="J1025" s="2">
        <v>1680</v>
      </c>
      <c r="K1025" s="2">
        <v>1</v>
      </c>
      <c r="L1025" s="2">
        <v>460</v>
      </c>
    </row>
    <row r="1026" spans="1:12" x14ac:dyDescent="0.25">
      <c r="A1026" s="4" t="str">
        <f>HYPERLINK("http://www.rosaceae.org/Prunus/Prunus_persica/p.persica_gdr_reftransV1_0003265","p.persica_gdr_reftransV1_0003265")</f>
        <v>p.persica_gdr_reftransV1_0003265</v>
      </c>
      <c r="B1026" s="2">
        <v>4427</v>
      </c>
      <c r="C1026" s="4" t="str">
        <f>HYPERLINK("http://www.uniprot.org/uniprot/M5XQT0","M5XQT0")</f>
        <v>M5XQT0</v>
      </c>
      <c r="D1026" s="2" t="s">
        <v>1011</v>
      </c>
      <c r="E1026" s="3">
        <v>0</v>
      </c>
      <c r="F1026" s="2">
        <v>6438</v>
      </c>
      <c r="G1026" s="2">
        <v>100</v>
      </c>
      <c r="H1026" s="2">
        <v>1235</v>
      </c>
      <c r="I1026" s="2">
        <v>310</v>
      </c>
      <c r="J1026" s="2">
        <v>4014</v>
      </c>
      <c r="K1026" s="2">
        <v>1</v>
      </c>
      <c r="L1026" s="2">
        <v>1235</v>
      </c>
    </row>
    <row r="1027" spans="1:12" x14ac:dyDescent="0.25">
      <c r="A1027" s="4" t="str">
        <f>HYPERLINK("http://www.rosaceae.org/Prunus/Prunus_persica/p.persica_gdr_reftransV1_0003615","p.persica_gdr_reftransV1_0003615")</f>
        <v>p.persica_gdr_reftransV1_0003615</v>
      </c>
      <c r="B1027" s="2">
        <v>1287</v>
      </c>
      <c r="C1027" s="4" t="str">
        <f>HYPERLINK("http://www.uniprot.org/uniprot/M5VV99","M5VV99")</f>
        <v>M5VV99</v>
      </c>
      <c r="D1027" s="2" t="s">
        <v>1012</v>
      </c>
      <c r="E1027" s="3">
        <v>0</v>
      </c>
      <c r="F1027" s="2">
        <v>1713</v>
      </c>
      <c r="G1027" s="2">
        <v>93</v>
      </c>
      <c r="H1027" s="2">
        <v>344</v>
      </c>
      <c r="I1027" s="2">
        <v>148</v>
      </c>
      <c r="J1027" s="2">
        <v>1176</v>
      </c>
      <c r="K1027" s="2">
        <v>7</v>
      </c>
      <c r="L1027" s="2">
        <v>349</v>
      </c>
    </row>
    <row r="1028" spans="1:12" x14ac:dyDescent="0.25">
      <c r="A1028" s="4" t="str">
        <f>HYPERLINK("http://www.rosaceae.org/Prunus/Prunus_persica/p.persica_gdr_reftransV1_0003965","p.persica_gdr_reftransV1_0003965")</f>
        <v>p.persica_gdr_reftransV1_0003965</v>
      </c>
      <c r="B1028" s="2">
        <v>2005</v>
      </c>
      <c r="C1028" s="4" t="str">
        <f>HYPERLINK("http://www.uniprot.org/uniprot/M5XT12","M5XT12")</f>
        <v>M5XT12</v>
      </c>
      <c r="D1028" s="2" t="s">
        <v>1013</v>
      </c>
      <c r="E1028" s="3">
        <v>4.7100000000000001E-108</v>
      </c>
      <c r="F1028" s="2">
        <v>863</v>
      </c>
      <c r="G1028" s="2">
        <v>100</v>
      </c>
      <c r="H1028" s="2">
        <v>192</v>
      </c>
      <c r="I1028" s="2">
        <v>39</v>
      </c>
      <c r="J1028" s="2">
        <v>614</v>
      </c>
      <c r="K1028" s="2">
        <v>1</v>
      </c>
      <c r="L1028" s="2">
        <v>192</v>
      </c>
    </row>
    <row r="1029" spans="1:12" x14ac:dyDescent="0.25">
      <c r="A1029" s="4" t="str">
        <f>HYPERLINK("http://www.rosaceae.org/Prunus/Prunus_persica/p.persica_gdr_reftransV1_0004315","p.persica_gdr_reftransV1_0004315")</f>
        <v>p.persica_gdr_reftransV1_0004315</v>
      </c>
      <c r="B1029" s="2">
        <v>2589</v>
      </c>
      <c r="C1029" s="4" t="str">
        <f>HYPERLINK("http://www.uniprot.org/uniprot/M5XXV9","M5XXV9")</f>
        <v>M5XXV9</v>
      </c>
      <c r="D1029" s="2" t="s">
        <v>1014</v>
      </c>
      <c r="E1029" s="3">
        <v>0</v>
      </c>
      <c r="F1029" s="2">
        <v>2567</v>
      </c>
      <c r="G1029" s="2">
        <v>100</v>
      </c>
      <c r="H1029" s="2">
        <v>520</v>
      </c>
      <c r="I1029" s="2">
        <v>323</v>
      </c>
      <c r="J1029" s="2">
        <v>1882</v>
      </c>
      <c r="K1029" s="2">
        <v>1</v>
      </c>
      <c r="L1029" s="2">
        <v>520</v>
      </c>
    </row>
    <row r="1030" spans="1:12" x14ac:dyDescent="0.25">
      <c r="A1030" s="4" t="str">
        <f>HYPERLINK("http://www.rosaceae.org/Prunus/Prunus_persica/p.persica_gdr_reftransV1_0004665","p.persica_gdr_reftransV1_0004665")</f>
        <v>p.persica_gdr_reftransV1_0004665</v>
      </c>
      <c r="B1030" s="2">
        <v>1494</v>
      </c>
      <c r="C1030" s="4" t="str">
        <f>HYPERLINK("http://www.uniprot.org/uniprot/A0A067KKL4","A0A067KKL4")</f>
        <v>A0A067KKL4</v>
      </c>
      <c r="D1030" s="2" t="s">
        <v>1015</v>
      </c>
      <c r="E1030" s="3">
        <v>0</v>
      </c>
      <c r="F1030" s="2">
        <v>1707</v>
      </c>
      <c r="G1030" s="2">
        <v>78</v>
      </c>
      <c r="H1030" s="2">
        <v>401</v>
      </c>
      <c r="I1030" s="2">
        <v>235</v>
      </c>
      <c r="J1030" s="2">
        <v>1437</v>
      </c>
      <c r="K1030" s="2">
        <v>87</v>
      </c>
      <c r="L1030" s="2">
        <v>466</v>
      </c>
    </row>
    <row r="1031" spans="1:12" x14ac:dyDescent="0.25">
      <c r="A1031" s="4" t="str">
        <f>HYPERLINK("http://www.rosaceae.org/Prunus/Prunus_persica/p.persica_gdr_reftransV1_0005715","p.persica_gdr_reftransV1_0005715")</f>
        <v>p.persica_gdr_reftransV1_0005715</v>
      </c>
      <c r="B1031" s="2">
        <v>1342</v>
      </c>
      <c r="C1031" s="4" t="str">
        <f>HYPERLINK("http://www.uniprot.org/uniprot/M5XBP5","M5XBP5")</f>
        <v>M5XBP5</v>
      </c>
      <c r="D1031" s="2" t="s">
        <v>1016</v>
      </c>
      <c r="E1031" s="3">
        <v>0</v>
      </c>
      <c r="F1031" s="2">
        <v>1601</v>
      </c>
      <c r="G1031" s="2">
        <v>100</v>
      </c>
      <c r="H1031" s="2">
        <v>327</v>
      </c>
      <c r="I1031" s="2">
        <v>2</v>
      </c>
      <c r="J1031" s="2">
        <v>982</v>
      </c>
      <c r="K1031" s="2">
        <v>2</v>
      </c>
      <c r="L1031" s="2">
        <v>328</v>
      </c>
    </row>
    <row r="1032" spans="1:12" x14ac:dyDescent="0.25">
      <c r="A1032" s="4" t="str">
        <f>HYPERLINK("http://www.rosaceae.org/Prunus/Prunus_persica/p.persica_gdr_reftransV1_0006065","p.persica_gdr_reftransV1_0006065")</f>
        <v>p.persica_gdr_reftransV1_0006065</v>
      </c>
      <c r="B1032" s="2">
        <v>912</v>
      </c>
      <c r="C1032" s="4" t="str">
        <f>HYPERLINK("http://www.uniprot.org/uniprot/M5Y2S7","M5Y2S7")</f>
        <v>M5Y2S7</v>
      </c>
      <c r="D1032" s="2" t="s">
        <v>1017</v>
      </c>
      <c r="E1032" s="3">
        <v>0</v>
      </c>
      <c r="F1032" s="2">
        <v>1444</v>
      </c>
      <c r="G1032" s="2">
        <v>100</v>
      </c>
      <c r="H1032" s="2">
        <v>279</v>
      </c>
      <c r="I1032" s="2">
        <v>5</v>
      </c>
      <c r="J1032" s="2">
        <v>841</v>
      </c>
      <c r="K1032" s="2">
        <v>1</v>
      </c>
      <c r="L1032" s="2">
        <v>279</v>
      </c>
    </row>
    <row r="1033" spans="1:12" x14ac:dyDescent="0.25">
      <c r="A1033" s="4" t="str">
        <f>HYPERLINK("http://www.rosaceae.org/Prunus/Prunus_persica/p.persica_gdr_reftransV1_0006415","p.persica_gdr_reftransV1_0006415")</f>
        <v>p.persica_gdr_reftransV1_0006415</v>
      </c>
      <c r="B1033" s="2">
        <v>617</v>
      </c>
      <c r="C1033" s="4" t="str">
        <f>HYPERLINK("http://www.uniprot.org/uniprot/M5W4X4","M5W4X4")</f>
        <v>M5W4X4</v>
      </c>
      <c r="D1033" s="2" t="s">
        <v>1018</v>
      </c>
      <c r="E1033" s="3">
        <v>2.4699999999999999E-100</v>
      </c>
      <c r="F1033" s="2">
        <v>800</v>
      </c>
      <c r="G1033" s="2">
        <v>100</v>
      </c>
      <c r="H1033" s="2">
        <v>172</v>
      </c>
      <c r="I1033" s="2">
        <v>3</v>
      </c>
      <c r="J1033" s="2">
        <v>518</v>
      </c>
      <c r="K1033" s="2">
        <v>1</v>
      </c>
      <c r="L1033" s="2">
        <v>172</v>
      </c>
    </row>
    <row r="1034" spans="1:12" x14ac:dyDescent="0.25">
      <c r="A1034" s="4" t="str">
        <f>HYPERLINK("http://www.rosaceae.org/Prunus/Prunus_persica/p.persica_gdr_reftransV1_0007815","p.persica_gdr_reftransV1_0007815")</f>
        <v>p.persica_gdr_reftransV1_0007815</v>
      </c>
      <c r="B1034" s="2">
        <v>1306</v>
      </c>
      <c r="C1034" s="4" t="str">
        <f>HYPERLINK("http://www.uniprot.org/uniprot/M5VXU7","M5VXU7")</f>
        <v>M5VXU7</v>
      </c>
      <c r="D1034" s="2" t="s">
        <v>1019</v>
      </c>
      <c r="E1034" s="3">
        <v>2.5600000000000001E-133</v>
      </c>
      <c r="F1034" s="2">
        <v>1017</v>
      </c>
      <c r="G1034" s="2">
        <v>100</v>
      </c>
      <c r="H1034" s="2">
        <v>254</v>
      </c>
      <c r="I1034" s="2">
        <v>89</v>
      </c>
      <c r="J1034" s="2">
        <v>850</v>
      </c>
      <c r="K1034" s="2">
        <v>1</v>
      </c>
      <c r="L1034" s="2">
        <v>254</v>
      </c>
    </row>
    <row r="1035" spans="1:12" x14ac:dyDescent="0.25">
      <c r="A1035" s="4" t="str">
        <f>HYPERLINK("http://www.rosaceae.org/Prunus/Prunus_persica/p.persica_gdr_reftransV1_0008165","p.persica_gdr_reftransV1_0008165")</f>
        <v>p.persica_gdr_reftransV1_0008165</v>
      </c>
      <c r="B1035" s="2">
        <v>2579</v>
      </c>
      <c r="C1035" s="4" t="str">
        <f>HYPERLINK("http://www.uniprot.org/uniprot/M5XW03","M5XW03")</f>
        <v>M5XW03</v>
      </c>
      <c r="D1035" s="2" t="s">
        <v>1020</v>
      </c>
      <c r="E1035" s="3">
        <v>0</v>
      </c>
      <c r="F1035" s="2">
        <v>3378</v>
      </c>
      <c r="G1035" s="2">
        <v>100</v>
      </c>
      <c r="H1035" s="2">
        <v>714</v>
      </c>
      <c r="I1035" s="2">
        <v>260</v>
      </c>
      <c r="J1035" s="2">
        <v>2401</v>
      </c>
      <c r="K1035" s="2">
        <v>1</v>
      </c>
      <c r="L1035" s="2">
        <v>714</v>
      </c>
    </row>
    <row r="1036" spans="1:12" x14ac:dyDescent="0.25">
      <c r="A1036" s="4" t="str">
        <f>HYPERLINK("http://www.rosaceae.org/Prunus/Prunus_persica/p.persica_gdr_reftransV1_0008515","p.persica_gdr_reftransV1_0008515")</f>
        <v>p.persica_gdr_reftransV1_0008515</v>
      </c>
      <c r="B1036" s="2">
        <v>994</v>
      </c>
      <c r="C1036" s="4" t="str">
        <f>HYPERLINK("http://www.uniprot.org/uniprot/M5WWN2","M5WWN2")</f>
        <v>M5WWN2</v>
      </c>
      <c r="D1036" s="2" t="s">
        <v>1021</v>
      </c>
      <c r="E1036" s="3">
        <v>6.5100000000000003E-113</v>
      </c>
      <c r="F1036" s="2">
        <v>862</v>
      </c>
      <c r="G1036" s="2">
        <v>100</v>
      </c>
      <c r="H1036" s="2">
        <v>166</v>
      </c>
      <c r="I1036" s="2">
        <v>76</v>
      </c>
      <c r="J1036" s="2">
        <v>573</v>
      </c>
      <c r="K1036" s="2">
        <v>1</v>
      </c>
      <c r="L1036" s="2">
        <v>166</v>
      </c>
    </row>
    <row r="1037" spans="1:12" x14ac:dyDescent="0.25">
      <c r="A1037" s="4" t="str">
        <f>HYPERLINK("http://www.rosaceae.org/Prunus/Prunus_persica/p.persica_gdr_reftransV1_0009215","p.persica_gdr_reftransV1_0009215")</f>
        <v>p.persica_gdr_reftransV1_0009215</v>
      </c>
      <c r="B1037" s="2">
        <v>2068</v>
      </c>
      <c r="C1037" s="4" t="str">
        <f>HYPERLINK("http://www.uniprot.org/uniprot/M5VX62","M5VX62")</f>
        <v>M5VX62</v>
      </c>
      <c r="D1037" s="2" t="s">
        <v>1022</v>
      </c>
      <c r="E1037" s="3">
        <v>3.1399999999999998E-167</v>
      </c>
      <c r="F1037" s="2">
        <v>1285</v>
      </c>
      <c r="G1037" s="2">
        <v>90</v>
      </c>
      <c r="H1037" s="2">
        <v>322</v>
      </c>
      <c r="I1037" s="2">
        <v>314</v>
      </c>
      <c r="J1037" s="2">
        <v>1279</v>
      </c>
      <c r="K1037" s="2">
        <v>150</v>
      </c>
      <c r="L1037" s="2">
        <v>445</v>
      </c>
    </row>
    <row r="1038" spans="1:12" x14ac:dyDescent="0.25">
      <c r="A1038" s="4" t="str">
        <f>HYPERLINK("http://www.rosaceae.org/Prunus/Prunus_persica/p.persica_gdr_reftransV1_0009915","p.persica_gdr_reftransV1_0009915")</f>
        <v>p.persica_gdr_reftransV1_0009915</v>
      </c>
      <c r="B1038" s="2">
        <v>5508</v>
      </c>
      <c r="C1038" s="4" t="str">
        <f>HYPERLINK("http://www.uniprot.org/uniprot/M5Y4G0","M5Y4G0")</f>
        <v>M5Y4G0</v>
      </c>
      <c r="D1038" s="2" t="s">
        <v>1023</v>
      </c>
      <c r="E1038" s="3">
        <v>0</v>
      </c>
      <c r="F1038" s="2">
        <v>4023</v>
      </c>
      <c r="G1038" s="2">
        <v>99</v>
      </c>
      <c r="H1038" s="2">
        <v>900</v>
      </c>
      <c r="I1038" s="2">
        <v>949</v>
      </c>
      <c r="J1038" s="2">
        <v>3648</v>
      </c>
      <c r="K1038" s="2">
        <v>402</v>
      </c>
      <c r="L1038" s="2">
        <v>1288</v>
      </c>
    </row>
    <row r="1039" spans="1:12" x14ac:dyDescent="0.25">
      <c r="A1039" s="4" t="str">
        <f>HYPERLINK("http://www.rosaceae.org/Prunus/Prunus_persica/p.persica_gdr_reftransV1_0010265","p.persica_gdr_reftransV1_0010265")</f>
        <v>p.persica_gdr_reftransV1_0010265</v>
      </c>
      <c r="B1039" s="2">
        <v>1229</v>
      </c>
      <c r="C1039" s="4" t="str">
        <f>HYPERLINK("http://www.uniprot.org/uniprot/M5VVS9","M5VVS9")</f>
        <v>M5VVS9</v>
      </c>
      <c r="D1039" s="2" t="s">
        <v>1024</v>
      </c>
      <c r="E1039" s="3">
        <v>2.7500000000000003E-113</v>
      </c>
      <c r="F1039" s="2">
        <v>927</v>
      </c>
      <c r="G1039" s="2">
        <v>100</v>
      </c>
      <c r="H1039" s="2">
        <v>175</v>
      </c>
      <c r="I1039" s="2">
        <v>454</v>
      </c>
      <c r="J1039" s="2">
        <v>978</v>
      </c>
      <c r="K1039" s="2">
        <v>50</v>
      </c>
      <c r="L1039" s="2">
        <v>224</v>
      </c>
    </row>
    <row r="1040" spans="1:12" x14ac:dyDescent="0.25">
      <c r="A1040" s="4" t="str">
        <f>HYPERLINK("http://www.rosaceae.org/Prunus/Prunus_persica/p.persica_gdr_reftransV1_0010615","p.persica_gdr_reftransV1_0010615")</f>
        <v>p.persica_gdr_reftransV1_0010615</v>
      </c>
      <c r="B1040" s="2">
        <v>577</v>
      </c>
      <c r="C1040" s="4" t="str">
        <f>HYPERLINK("http://www.uniprot.org/uniprot/M5VVE9","M5VVE9")</f>
        <v>M5VVE9</v>
      </c>
      <c r="D1040" s="2" t="s">
        <v>1025</v>
      </c>
      <c r="E1040" s="3">
        <v>3.1499999999999998E-82</v>
      </c>
      <c r="F1040" s="2">
        <v>682</v>
      </c>
      <c r="G1040" s="2">
        <v>100</v>
      </c>
      <c r="H1040" s="2">
        <v>125</v>
      </c>
      <c r="I1040" s="2">
        <v>1</v>
      </c>
      <c r="J1040" s="2">
        <v>375</v>
      </c>
      <c r="K1040" s="2">
        <v>507</v>
      </c>
      <c r="L1040" s="2">
        <v>631</v>
      </c>
    </row>
    <row r="1041" spans="1:12" x14ac:dyDescent="0.25">
      <c r="A1041" s="4" t="str">
        <f>HYPERLINK("http://www.rosaceae.org/Prunus/Prunus_persica/p.persica_gdr_reftransV1_0010965","p.persica_gdr_reftransV1_0010965")</f>
        <v>p.persica_gdr_reftransV1_0010965</v>
      </c>
      <c r="B1041" s="2">
        <v>3253</v>
      </c>
      <c r="C1041" s="4" t="str">
        <f>HYPERLINK("http://www.uniprot.org/uniprot/M5WV64","M5WV64")</f>
        <v>M5WV64</v>
      </c>
      <c r="D1041" s="2" t="s">
        <v>1026</v>
      </c>
      <c r="E1041" s="3">
        <v>3.5499999999999999E-121</v>
      </c>
      <c r="F1041" s="2">
        <v>983</v>
      </c>
      <c r="G1041" s="2">
        <v>100</v>
      </c>
      <c r="H1041" s="2">
        <v>226</v>
      </c>
      <c r="I1041" s="2">
        <v>807</v>
      </c>
      <c r="J1041" s="2">
        <v>1484</v>
      </c>
      <c r="K1041" s="2">
        <v>1</v>
      </c>
      <c r="L1041" s="2">
        <v>226</v>
      </c>
    </row>
    <row r="1042" spans="1:12" x14ac:dyDescent="0.25">
      <c r="A1042" s="4" t="str">
        <f>HYPERLINK("http://www.rosaceae.org/Prunus/Prunus_persica/p.persica_gdr_reftransV1_0011315","p.persica_gdr_reftransV1_0011315")</f>
        <v>p.persica_gdr_reftransV1_0011315</v>
      </c>
      <c r="B1042" s="2">
        <v>1267</v>
      </c>
      <c r="C1042" s="4" t="str">
        <f>HYPERLINK("http://www.uniprot.org/uniprot/M5XXX0","M5XXX0")</f>
        <v>M5XXX0</v>
      </c>
      <c r="D1042" s="2" t="s">
        <v>1027</v>
      </c>
      <c r="E1042" s="3">
        <v>1.9E-146</v>
      </c>
      <c r="F1042" s="2">
        <v>1104</v>
      </c>
      <c r="G1042" s="2">
        <v>100</v>
      </c>
      <c r="H1042" s="2">
        <v>269</v>
      </c>
      <c r="I1042" s="2">
        <v>237</v>
      </c>
      <c r="J1042" s="2">
        <v>1043</v>
      </c>
      <c r="K1042" s="2">
        <v>1</v>
      </c>
      <c r="L1042" s="2">
        <v>269</v>
      </c>
    </row>
    <row r="1043" spans="1:12" x14ac:dyDescent="0.25">
      <c r="A1043" s="4" t="str">
        <f>HYPERLINK("http://www.rosaceae.org/Prunus/Prunus_persica/p.persica_gdr_reftransV1_0012015","p.persica_gdr_reftransV1_0012015")</f>
        <v>p.persica_gdr_reftransV1_0012015</v>
      </c>
      <c r="B1043" s="2">
        <v>1945</v>
      </c>
      <c r="C1043" s="4" t="str">
        <f>HYPERLINK("http://www.uniprot.org/uniprot/M5XW13","M5XW13")</f>
        <v>M5XW13</v>
      </c>
      <c r="D1043" s="2" t="s">
        <v>1028</v>
      </c>
      <c r="E1043" s="3">
        <v>0</v>
      </c>
      <c r="F1043" s="2">
        <v>2179</v>
      </c>
      <c r="G1043" s="2">
        <v>100</v>
      </c>
      <c r="H1043" s="2">
        <v>429</v>
      </c>
      <c r="I1043" s="2">
        <v>367</v>
      </c>
      <c r="J1043" s="2">
        <v>1653</v>
      </c>
      <c r="K1043" s="2">
        <v>15</v>
      </c>
      <c r="L1043" s="2">
        <v>443</v>
      </c>
    </row>
    <row r="1044" spans="1:12" x14ac:dyDescent="0.25">
      <c r="A1044" s="4" t="str">
        <f>HYPERLINK("http://www.rosaceae.org/Prunus/Prunus_persica/p.persica_gdr_reftransV1_0012715","p.persica_gdr_reftransV1_0012715")</f>
        <v>p.persica_gdr_reftransV1_0012715</v>
      </c>
      <c r="B1044" s="2">
        <v>2140</v>
      </c>
      <c r="C1044" s="4" t="str">
        <f>HYPERLINK("http://www.uniprot.org/uniprot/M5XJ72","M5XJ72")</f>
        <v>M5XJ72</v>
      </c>
      <c r="D1044" s="2" t="s">
        <v>1029</v>
      </c>
      <c r="E1044" s="3">
        <v>0</v>
      </c>
      <c r="F1044" s="2">
        <v>2476</v>
      </c>
      <c r="G1044" s="2">
        <v>100</v>
      </c>
      <c r="H1044" s="2">
        <v>484</v>
      </c>
      <c r="I1044" s="2">
        <v>442</v>
      </c>
      <c r="J1044" s="2">
        <v>1893</v>
      </c>
      <c r="K1044" s="2">
        <v>30</v>
      </c>
      <c r="L1044" s="2">
        <v>513</v>
      </c>
    </row>
    <row r="1045" spans="1:12" x14ac:dyDescent="0.25">
      <c r="A1045" s="4" t="str">
        <f>HYPERLINK("http://www.rosaceae.org/Prunus/Prunus_persica/p.persica_gdr_reftransV1_0013765","p.persica_gdr_reftransV1_0013765")</f>
        <v>p.persica_gdr_reftransV1_0013765</v>
      </c>
      <c r="B1045" s="2">
        <v>2817</v>
      </c>
      <c r="C1045" s="4" t="str">
        <f>HYPERLINK("http://www.uniprot.org/uniprot/M5XRK2","M5XRK2")</f>
        <v>M5XRK2</v>
      </c>
      <c r="D1045" s="2" t="s">
        <v>1030</v>
      </c>
      <c r="E1045" s="3">
        <v>0</v>
      </c>
      <c r="F1045" s="2">
        <v>3367</v>
      </c>
      <c r="G1045" s="2">
        <v>100</v>
      </c>
      <c r="H1045" s="2">
        <v>672</v>
      </c>
      <c r="I1045" s="2">
        <v>181</v>
      </c>
      <c r="J1045" s="2">
        <v>2196</v>
      </c>
      <c r="K1045" s="2">
        <v>1</v>
      </c>
      <c r="L1045" s="2">
        <v>672</v>
      </c>
    </row>
    <row r="1046" spans="1:12" x14ac:dyDescent="0.25">
      <c r="A1046" s="4" t="str">
        <f>HYPERLINK("http://www.rosaceae.org/Prunus/Prunus_persica/p.persica_gdr_reftransV1_0014115","p.persica_gdr_reftransV1_0014115")</f>
        <v>p.persica_gdr_reftransV1_0014115</v>
      </c>
      <c r="B1046" s="2">
        <v>1475</v>
      </c>
      <c r="C1046" s="4" t="str">
        <f>HYPERLINK("http://www.uniprot.org/uniprot/M5WPT3","M5WPT3")</f>
        <v>M5WPT3</v>
      </c>
      <c r="D1046" s="2" t="s">
        <v>1031</v>
      </c>
      <c r="E1046" s="3">
        <v>0</v>
      </c>
      <c r="F1046" s="2">
        <v>1576</v>
      </c>
      <c r="G1046" s="2">
        <v>87</v>
      </c>
      <c r="H1046" s="2">
        <v>347</v>
      </c>
      <c r="I1046" s="2">
        <v>162</v>
      </c>
      <c r="J1046" s="2">
        <v>1202</v>
      </c>
      <c r="K1046" s="2">
        <v>1</v>
      </c>
      <c r="L1046" s="2">
        <v>345</v>
      </c>
    </row>
    <row r="1047" spans="1:12" x14ac:dyDescent="0.25">
      <c r="A1047" s="4" t="str">
        <f>HYPERLINK("http://www.rosaceae.org/Prunus/Prunus_persica/p.persica_gdr_reftransV1_0014815","p.persica_gdr_reftransV1_0014815")</f>
        <v>p.persica_gdr_reftransV1_0014815</v>
      </c>
      <c r="B1047" s="2">
        <v>2398</v>
      </c>
      <c r="C1047" s="4" t="str">
        <f>HYPERLINK("http://www.uniprot.org/uniprot/M5WRQ4","M5WRQ4")</f>
        <v>M5WRQ4</v>
      </c>
      <c r="D1047" s="2" t="s">
        <v>1032</v>
      </c>
      <c r="E1047" s="3">
        <v>0</v>
      </c>
      <c r="F1047" s="2">
        <v>2197</v>
      </c>
      <c r="G1047" s="2">
        <v>100</v>
      </c>
      <c r="H1047" s="2">
        <v>494</v>
      </c>
      <c r="I1047" s="2">
        <v>584</v>
      </c>
      <c r="J1047" s="2">
        <v>2065</v>
      </c>
      <c r="K1047" s="2">
        <v>1</v>
      </c>
      <c r="L1047" s="2">
        <v>494</v>
      </c>
    </row>
    <row r="1048" spans="1:12" x14ac:dyDescent="0.25">
      <c r="A1048" s="4" t="str">
        <f>HYPERLINK("http://www.rosaceae.org/Prunus/Prunus_persica/p.persica_gdr_reftransV1_0016915","p.persica_gdr_reftransV1_0016915")</f>
        <v>p.persica_gdr_reftransV1_0016915</v>
      </c>
      <c r="B1048" s="2">
        <v>2919</v>
      </c>
      <c r="C1048" s="4" t="str">
        <f>HYPERLINK("http://www.uniprot.org/uniprot/M5VVA0","M5VVA0")</f>
        <v>M5VVA0</v>
      </c>
      <c r="D1048" s="2" t="s">
        <v>1033</v>
      </c>
      <c r="E1048" s="3">
        <v>0</v>
      </c>
      <c r="F1048" s="2">
        <v>3358</v>
      </c>
      <c r="G1048" s="2">
        <v>100</v>
      </c>
      <c r="H1048" s="2">
        <v>763</v>
      </c>
      <c r="I1048" s="2">
        <v>339</v>
      </c>
      <c r="J1048" s="2">
        <v>2627</v>
      </c>
      <c r="K1048" s="2">
        <v>1</v>
      </c>
      <c r="L1048" s="2">
        <v>763</v>
      </c>
    </row>
    <row r="1049" spans="1:12" x14ac:dyDescent="0.25">
      <c r="A1049" s="4" t="str">
        <f>HYPERLINK("http://www.rosaceae.org/Prunus/Prunus_persica/p.persica_gdr_reftransV1_0017265","p.persica_gdr_reftransV1_0017265")</f>
        <v>p.persica_gdr_reftransV1_0017265</v>
      </c>
      <c r="B1049" s="2">
        <v>4061</v>
      </c>
      <c r="C1049" s="4" t="str">
        <f>HYPERLINK("http://www.uniprot.org/uniprot/M5VKA5","M5VKA5")</f>
        <v>M5VKA5</v>
      </c>
      <c r="D1049" s="2" t="s">
        <v>1034</v>
      </c>
      <c r="E1049" s="3">
        <v>0</v>
      </c>
      <c r="F1049" s="2">
        <v>2609</v>
      </c>
      <c r="G1049" s="2">
        <v>98</v>
      </c>
      <c r="H1049" s="2">
        <v>549</v>
      </c>
      <c r="I1049" s="2">
        <v>446</v>
      </c>
      <c r="J1049" s="2">
        <v>2092</v>
      </c>
      <c r="K1049" s="2">
        <v>601</v>
      </c>
      <c r="L1049" s="2">
        <v>1149</v>
      </c>
    </row>
    <row r="1050" spans="1:12" x14ac:dyDescent="0.25">
      <c r="A1050" s="4" t="str">
        <f>HYPERLINK("http://www.rosaceae.org/Prunus/Prunus_persica/p.persica_gdr_reftransV1_0017615","p.persica_gdr_reftransV1_0017615")</f>
        <v>p.persica_gdr_reftransV1_0017615</v>
      </c>
      <c r="B1050" s="2">
        <v>790</v>
      </c>
      <c r="C1050" s="4" t="str">
        <f>HYPERLINK("http://www.uniprot.org/uniprot/M5XI62","M5XI62")</f>
        <v>M5XI62</v>
      </c>
      <c r="D1050" s="2" t="s">
        <v>1035</v>
      </c>
      <c r="E1050" s="3">
        <v>6.2700000000000001E-116</v>
      </c>
      <c r="F1050" s="2">
        <v>875</v>
      </c>
      <c r="G1050" s="2">
        <v>99</v>
      </c>
      <c r="H1050" s="2">
        <v>170</v>
      </c>
      <c r="I1050" s="2">
        <v>204</v>
      </c>
      <c r="J1050" s="2">
        <v>713</v>
      </c>
      <c r="K1050" s="2">
        <v>1</v>
      </c>
      <c r="L1050" s="2">
        <v>170</v>
      </c>
    </row>
    <row r="1051" spans="1:12" x14ac:dyDescent="0.25">
      <c r="A1051" s="4" t="str">
        <f>HYPERLINK("http://www.rosaceae.org/Prunus/Prunus_persica/p.persica_gdr_reftransV1_0017965","p.persica_gdr_reftransV1_0017965")</f>
        <v>p.persica_gdr_reftransV1_0017965</v>
      </c>
      <c r="B1051" s="2">
        <v>2624</v>
      </c>
      <c r="C1051" s="4" t="str">
        <f>HYPERLINK("http://www.uniprot.org/uniprot/M5X633","M5X633")</f>
        <v>M5X633</v>
      </c>
      <c r="D1051" s="2" t="s">
        <v>1036</v>
      </c>
      <c r="E1051" s="3">
        <v>0</v>
      </c>
      <c r="F1051" s="2">
        <v>2025</v>
      </c>
      <c r="G1051" s="2">
        <v>98</v>
      </c>
      <c r="H1051" s="2">
        <v>422</v>
      </c>
      <c r="I1051" s="2">
        <v>1069</v>
      </c>
      <c r="J1051" s="2">
        <v>2322</v>
      </c>
      <c r="K1051" s="2">
        <v>271</v>
      </c>
      <c r="L1051" s="2">
        <v>692</v>
      </c>
    </row>
    <row r="1052" spans="1:12" x14ac:dyDescent="0.25">
      <c r="A1052" s="4" t="str">
        <f>HYPERLINK("http://www.rosaceae.org/Prunus/Prunus_persica/p.persica_gdr_reftransV1_0018315","p.persica_gdr_reftransV1_0018315")</f>
        <v>p.persica_gdr_reftransV1_0018315</v>
      </c>
      <c r="B1052" s="2">
        <v>1318</v>
      </c>
      <c r="C1052" s="4" t="str">
        <f>HYPERLINK("http://www.uniprot.org/uniprot/M5WN23","M5WN23")</f>
        <v>M5WN23</v>
      </c>
      <c r="D1052" s="2" t="s">
        <v>1037</v>
      </c>
      <c r="E1052" s="3">
        <v>1.4200000000000001E-174</v>
      </c>
      <c r="F1052" s="2">
        <v>1290</v>
      </c>
      <c r="G1052" s="2">
        <v>100</v>
      </c>
      <c r="H1052" s="2">
        <v>262</v>
      </c>
      <c r="I1052" s="2">
        <v>421</v>
      </c>
      <c r="J1052" s="2">
        <v>1206</v>
      </c>
      <c r="K1052" s="2">
        <v>1</v>
      </c>
      <c r="L1052" s="2">
        <v>262</v>
      </c>
    </row>
    <row r="1053" spans="1:12" x14ac:dyDescent="0.25">
      <c r="A1053" s="4" t="str">
        <f>HYPERLINK("http://www.rosaceae.org/Prunus/Prunus_persica/p.persica_gdr_reftransV1_0019015","p.persica_gdr_reftransV1_0019015")</f>
        <v>p.persica_gdr_reftransV1_0019015</v>
      </c>
      <c r="B1053" s="2">
        <v>1917</v>
      </c>
      <c r="C1053" s="4" t="str">
        <f>HYPERLINK("http://www.uniprot.org/uniprot/M5VPK7","M5VPK7")</f>
        <v>M5VPK7</v>
      </c>
      <c r="D1053" s="2" t="s">
        <v>1038</v>
      </c>
      <c r="E1053" s="3">
        <v>0</v>
      </c>
      <c r="F1053" s="2">
        <v>2566</v>
      </c>
      <c r="G1053" s="2">
        <v>100</v>
      </c>
      <c r="H1053" s="2">
        <v>479</v>
      </c>
      <c r="I1053" s="2">
        <v>139</v>
      </c>
      <c r="J1053" s="2">
        <v>1575</v>
      </c>
      <c r="K1053" s="2">
        <v>1</v>
      </c>
      <c r="L1053" s="2">
        <v>479</v>
      </c>
    </row>
    <row r="1054" spans="1:12" x14ac:dyDescent="0.25">
      <c r="A1054" s="4" t="str">
        <f>HYPERLINK("http://www.rosaceae.org/Prunus/Prunus_persica/p.persica_gdr_reftransV1_0019365","p.persica_gdr_reftransV1_0019365")</f>
        <v>p.persica_gdr_reftransV1_0019365</v>
      </c>
      <c r="B1054" s="2">
        <v>1718</v>
      </c>
      <c r="C1054" s="4" t="str">
        <f>HYPERLINK("http://www.uniprot.org/uniprot/M5WMG4","M5WMG4")</f>
        <v>M5WMG4</v>
      </c>
      <c r="D1054" s="2" t="s">
        <v>1039</v>
      </c>
      <c r="E1054" s="3">
        <v>0</v>
      </c>
      <c r="F1054" s="2">
        <v>1801</v>
      </c>
      <c r="G1054" s="2">
        <v>91</v>
      </c>
      <c r="H1054" s="2">
        <v>405</v>
      </c>
      <c r="I1054" s="2">
        <v>471</v>
      </c>
      <c r="J1054" s="2">
        <v>1685</v>
      </c>
      <c r="K1054" s="2">
        <v>1</v>
      </c>
      <c r="L1054" s="2">
        <v>369</v>
      </c>
    </row>
    <row r="1055" spans="1:12" x14ac:dyDescent="0.25">
      <c r="A1055" s="4" t="str">
        <f>HYPERLINK("http://www.rosaceae.org/Prunus/Prunus_persica/p.persica_gdr_reftransV1_0020415","p.persica_gdr_reftransV1_0020415")</f>
        <v>p.persica_gdr_reftransV1_0020415</v>
      </c>
      <c r="B1055" s="2">
        <v>896</v>
      </c>
      <c r="C1055" s="4" t="str">
        <f>HYPERLINK("http://www.uniprot.org/uniprot/M5X524","M5X524")</f>
        <v>M5X524</v>
      </c>
      <c r="D1055" s="2" t="s">
        <v>1040</v>
      </c>
      <c r="E1055" s="3">
        <v>4.72E-49</v>
      </c>
      <c r="F1055" s="2">
        <v>436</v>
      </c>
      <c r="G1055" s="2">
        <v>67</v>
      </c>
      <c r="H1055" s="2">
        <v>166</v>
      </c>
      <c r="I1055" s="2">
        <v>193</v>
      </c>
      <c r="J1055" s="2">
        <v>687</v>
      </c>
      <c r="K1055" s="2">
        <v>21</v>
      </c>
      <c r="L1055" s="2">
        <v>178</v>
      </c>
    </row>
    <row r="1056" spans="1:12" x14ac:dyDescent="0.25">
      <c r="A1056" s="4" t="str">
        <f>HYPERLINK("http://www.rosaceae.org/Prunus/Prunus_persica/p.persica_gdr_reftransV1_0021115","p.persica_gdr_reftransV1_0021115")</f>
        <v>p.persica_gdr_reftransV1_0021115</v>
      </c>
      <c r="B1056" s="2">
        <v>1673</v>
      </c>
      <c r="C1056" s="4" t="str">
        <f>HYPERLINK("http://www.uniprot.org/uniprot/M5W1Y5","M5W1Y5")</f>
        <v>M5W1Y5</v>
      </c>
      <c r="D1056" s="2" t="s">
        <v>1041</v>
      </c>
      <c r="E1056" s="3">
        <v>1.5600000000000001E-130</v>
      </c>
      <c r="F1056" s="2">
        <v>1030</v>
      </c>
      <c r="G1056" s="2">
        <v>97</v>
      </c>
      <c r="H1056" s="2">
        <v>200</v>
      </c>
      <c r="I1056" s="2">
        <v>1019</v>
      </c>
      <c r="J1056" s="2">
        <v>1618</v>
      </c>
      <c r="K1056" s="2">
        <v>147</v>
      </c>
      <c r="L1056" s="2">
        <v>346</v>
      </c>
    </row>
    <row r="1057" spans="1:12" x14ac:dyDescent="0.25">
      <c r="A1057" s="4" t="str">
        <f>HYPERLINK("http://www.rosaceae.org/Prunus/Prunus_persica/p.persica_gdr_reftransV1_0024265","p.persica_gdr_reftransV1_0024265")</f>
        <v>p.persica_gdr_reftransV1_0024265</v>
      </c>
      <c r="B1057" s="2">
        <v>1321</v>
      </c>
      <c r="C1057" s="4" t="str">
        <f>HYPERLINK("http://www.uniprot.org/uniprot/M5XXI5","M5XXI5")</f>
        <v>M5XXI5</v>
      </c>
      <c r="D1057" s="2" t="s">
        <v>1042</v>
      </c>
      <c r="E1057" s="3">
        <v>0</v>
      </c>
      <c r="F1057" s="2">
        <v>1806</v>
      </c>
      <c r="G1057" s="2">
        <v>100</v>
      </c>
      <c r="H1057" s="2">
        <v>357</v>
      </c>
      <c r="I1057" s="2">
        <v>251</v>
      </c>
      <c r="J1057" s="2">
        <v>1321</v>
      </c>
      <c r="K1057" s="2">
        <v>114</v>
      </c>
      <c r="L1057" s="2">
        <v>470</v>
      </c>
    </row>
    <row r="1058" spans="1:12" x14ac:dyDescent="0.25">
      <c r="A1058" s="4" t="str">
        <f>HYPERLINK("http://www.rosaceae.org/Prunus/Prunus_persica/p.persica_gdr_reftransV1_0025315","p.persica_gdr_reftransV1_0025315")</f>
        <v>p.persica_gdr_reftransV1_0025315</v>
      </c>
      <c r="B1058" s="2">
        <v>2617</v>
      </c>
      <c r="C1058" s="4" t="str">
        <f>HYPERLINK("http://www.uniprot.org/uniprot/M5XLZ3","M5XLZ3")</f>
        <v>M5XLZ3</v>
      </c>
      <c r="D1058" s="2" t="s">
        <v>1043</v>
      </c>
      <c r="E1058" s="3">
        <v>0</v>
      </c>
      <c r="F1058" s="2">
        <v>1860</v>
      </c>
      <c r="G1058" s="2">
        <v>100</v>
      </c>
      <c r="H1058" s="2">
        <v>383</v>
      </c>
      <c r="I1058" s="2">
        <v>138</v>
      </c>
      <c r="J1058" s="2">
        <v>1286</v>
      </c>
      <c r="K1058" s="2">
        <v>1</v>
      </c>
      <c r="L1058" s="2">
        <v>383</v>
      </c>
    </row>
    <row r="1059" spans="1:12" x14ac:dyDescent="0.25">
      <c r="A1059" s="4" t="str">
        <f>HYPERLINK("http://www.rosaceae.org/Prunus/Prunus_persica/p.persica_gdr_reftransV1_0027065","p.persica_gdr_reftransV1_0027065")</f>
        <v>p.persica_gdr_reftransV1_0027065</v>
      </c>
      <c r="B1059" s="2">
        <v>3515</v>
      </c>
      <c r="C1059" s="4" t="str">
        <f>HYPERLINK("http://www.uniprot.org/uniprot/M5W6C9","M5W6C9")</f>
        <v>M5W6C9</v>
      </c>
      <c r="D1059" s="2" t="s">
        <v>1044</v>
      </c>
      <c r="E1059" s="3">
        <v>0</v>
      </c>
      <c r="F1059" s="2">
        <v>3371</v>
      </c>
      <c r="G1059" s="2">
        <v>100</v>
      </c>
      <c r="H1059" s="2">
        <v>760</v>
      </c>
      <c r="I1059" s="2">
        <v>1096</v>
      </c>
      <c r="J1059" s="2">
        <v>3375</v>
      </c>
      <c r="K1059" s="2">
        <v>1</v>
      </c>
      <c r="L1059" s="2">
        <v>760</v>
      </c>
    </row>
    <row r="1060" spans="1:12" x14ac:dyDescent="0.25">
      <c r="A1060" s="4" t="str">
        <f>HYPERLINK("http://www.rosaceae.org/Prunus/Prunus_persica/p.persica_gdr_reftransV1_0027415","p.persica_gdr_reftransV1_0027415")</f>
        <v>p.persica_gdr_reftransV1_0027415</v>
      </c>
      <c r="B1060" s="2">
        <v>2730</v>
      </c>
      <c r="C1060" s="4" t="str">
        <f>HYPERLINK("http://www.uniprot.org/uniprot/M5VYI7","M5VYI7")</f>
        <v>M5VYI7</v>
      </c>
      <c r="D1060" s="2" t="s">
        <v>1045</v>
      </c>
      <c r="E1060" s="3">
        <v>0</v>
      </c>
      <c r="F1060" s="2">
        <v>1888</v>
      </c>
      <c r="G1060" s="2">
        <v>99</v>
      </c>
      <c r="H1060" s="2">
        <v>377</v>
      </c>
      <c r="I1060" s="2">
        <v>1193</v>
      </c>
      <c r="J1060" s="2">
        <v>2323</v>
      </c>
      <c r="K1060" s="2">
        <v>17</v>
      </c>
      <c r="L1060" s="2">
        <v>393</v>
      </c>
    </row>
    <row r="1061" spans="1:12" x14ac:dyDescent="0.25">
      <c r="A1061" s="4" t="str">
        <f>HYPERLINK("http://www.rosaceae.org/Prunus/Prunus_persica/p.persica_gdr_reftransV1_0028465","p.persica_gdr_reftransV1_0028465")</f>
        <v>p.persica_gdr_reftransV1_0028465</v>
      </c>
      <c r="B1061" s="2">
        <v>3248</v>
      </c>
      <c r="C1061" s="4" t="str">
        <f>HYPERLINK("http://www.uniprot.org/uniprot/M5XS57","M5XS57")</f>
        <v>M5XS57</v>
      </c>
      <c r="D1061" s="2" t="s">
        <v>1046</v>
      </c>
      <c r="E1061" s="3">
        <v>0</v>
      </c>
      <c r="F1061" s="2">
        <v>2322</v>
      </c>
      <c r="G1061" s="2">
        <v>79</v>
      </c>
      <c r="H1061" s="2">
        <v>601</v>
      </c>
      <c r="I1061" s="2">
        <v>922</v>
      </c>
      <c r="J1061" s="2">
        <v>2712</v>
      </c>
      <c r="K1061" s="2">
        <v>613</v>
      </c>
      <c r="L1061" s="2">
        <v>1142</v>
      </c>
    </row>
    <row r="1062" spans="1:12" x14ac:dyDescent="0.25">
      <c r="A1062" s="4" t="str">
        <f>HYPERLINK("http://www.rosaceae.org/Prunus/Prunus_persica/p.persica_gdr_reftransV1_0029165","p.persica_gdr_reftransV1_0029165")</f>
        <v>p.persica_gdr_reftransV1_0029165</v>
      </c>
      <c r="B1062" s="2">
        <v>1503</v>
      </c>
      <c r="C1062" s="4" t="str">
        <f>HYPERLINK("http://www.uniprot.org/uniprot/M5XWZ3","M5XWZ3")</f>
        <v>M5XWZ3</v>
      </c>
      <c r="D1062" s="2" t="s">
        <v>1047</v>
      </c>
      <c r="E1062" s="3">
        <v>5.3299999999999998E-127</v>
      </c>
      <c r="F1062" s="2">
        <v>983</v>
      </c>
      <c r="G1062" s="2">
        <v>99</v>
      </c>
      <c r="H1062" s="2">
        <v>182</v>
      </c>
      <c r="I1062" s="2">
        <v>109</v>
      </c>
      <c r="J1062" s="2">
        <v>654</v>
      </c>
      <c r="K1062" s="2">
        <v>1</v>
      </c>
      <c r="L1062" s="2">
        <v>182</v>
      </c>
    </row>
    <row r="1063" spans="1:12" x14ac:dyDescent="0.25">
      <c r="A1063" s="4" t="str">
        <f>HYPERLINK("http://www.rosaceae.org/Prunus/Prunus_persica/p.persica_gdr_reftransV1_0029515","p.persica_gdr_reftransV1_0029515")</f>
        <v>p.persica_gdr_reftransV1_0029515</v>
      </c>
      <c r="B1063" s="2">
        <v>2208</v>
      </c>
      <c r="C1063" s="4" t="str">
        <f>HYPERLINK("http://www.uniprot.org/uniprot/A0A067L3S5","A0A067L3S5")</f>
        <v>A0A067L3S5</v>
      </c>
      <c r="D1063" s="2" t="s">
        <v>1048</v>
      </c>
      <c r="E1063" s="3">
        <v>0</v>
      </c>
      <c r="F1063" s="2">
        <v>1496</v>
      </c>
      <c r="G1063" s="2">
        <v>58</v>
      </c>
      <c r="H1063" s="2">
        <v>513</v>
      </c>
      <c r="I1063" s="2">
        <v>189</v>
      </c>
      <c r="J1063" s="2">
        <v>1721</v>
      </c>
      <c r="K1063" s="2">
        <v>1</v>
      </c>
      <c r="L1063" s="2">
        <v>509</v>
      </c>
    </row>
    <row r="1064" spans="1:12" x14ac:dyDescent="0.25">
      <c r="A1064" s="4" t="str">
        <f>HYPERLINK("http://www.rosaceae.org/Prunus/Prunus_persica/p.persica_gdr_reftransV1_0031615","p.persica_gdr_reftransV1_0031615")</f>
        <v>p.persica_gdr_reftransV1_0031615</v>
      </c>
      <c r="B1064" s="2">
        <v>2843</v>
      </c>
      <c r="C1064" s="4" t="str">
        <f>HYPERLINK("http://www.uniprot.org/uniprot/M5VYH5","M5VYH5")</f>
        <v>M5VYH5</v>
      </c>
      <c r="D1064" s="2" t="s">
        <v>1049</v>
      </c>
      <c r="E1064" s="3">
        <v>0</v>
      </c>
      <c r="F1064" s="2">
        <v>3938</v>
      </c>
      <c r="G1064" s="2">
        <v>99</v>
      </c>
      <c r="H1064" s="2">
        <v>744</v>
      </c>
      <c r="I1064" s="2">
        <v>236</v>
      </c>
      <c r="J1064" s="2">
        <v>2467</v>
      </c>
      <c r="K1064" s="2">
        <v>1</v>
      </c>
      <c r="L1064" s="2">
        <v>734</v>
      </c>
    </row>
    <row r="1065" spans="1:12" x14ac:dyDescent="0.25">
      <c r="A1065" s="4" t="str">
        <f>HYPERLINK("http://www.rosaceae.org/Prunus/Prunus_persica/p.persica_gdr_reftransV1_0034065","p.persica_gdr_reftransV1_0034065")</f>
        <v>p.persica_gdr_reftransV1_0034065</v>
      </c>
      <c r="B1065" s="2">
        <v>4577</v>
      </c>
      <c r="C1065" s="4" t="str">
        <f>HYPERLINK("http://www.uniprot.org/uniprot/M5WXR8","M5WXR8")</f>
        <v>M5WXR8</v>
      </c>
      <c r="D1065" s="2" t="s">
        <v>1050</v>
      </c>
      <c r="E1065" s="3">
        <v>0</v>
      </c>
      <c r="F1065" s="2">
        <v>3724</v>
      </c>
      <c r="G1065" s="2">
        <v>100</v>
      </c>
      <c r="H1065" s="2">
        <v>746</v>
      </c>
      <c r="I1065" s="2">
        <v>1652</v>
      </c>
      <c r="J1065" s="2">
        <v>3889</v>
      </c>
      <c r="K1065" s="2">
        <v>352</v>
      </c>
      <c r="L1065" s="2">
        <v>1097</v>
      </c>
    </row>
    <row r="1066" spans="1:12" x14ac:dyDescent="0.25">
      <c r="A1066" s="4" t="str">
        <f>HYPERLINK("http://www.rosaceae.org/Prunus/Prunus_persica/p.persica_gdr_reftransV1_0035465","p.persica_gdr_reftransV1_0035465")</f>
        <v>p.persica_gdr_reftransV1_0035465</v>
      </c>
      <c r="B1066" s="2">
        <v>3282</v>
      </c>
      <c r="C1066" s="4" t="str">
        <f>HYPERLINK("http://www.uniprot.org/uniprot/M5W929","M5W929")</f>
        <v>M5W929</v>
      </c>
      <c r="D1066" s="2" t="s">
        <v>1051</v>
      </c>
      <c r="E1066" s="3">
        <v>0</v>
      </c>
      <c r="F1066" s="2">
        <v>2185</v>
      </c>
      <c r="G1066" s="2">
        <v>100</v>
      </c>
      <c r="H1066" s="2">
        <v>419</v>
      </c>
      <c r="I1066" s="2">
        <v>812</v>
      </c>
      <c r="J1066" s="2">
        <v>2068</v>
      </c>
      <c r="K1066" s="2">
        <v>79</v>
      </c>
      <c r="L1066" s="2">
        <v>497</v>
      </c>
    </row>
    <row r="1067" spans="1:12" x14ac:dyDescent="0.25">
      <c r="A1067" s="4" t="str">
        <f>HYPERLINK("http://www.rosaceae.org/Prunus/Prunus_persica/p.persica_gdr_reftransV1_0038265","p.persica_gdr_reftransV1_0038265")</f>
        <v>p.persica_gdr_reftransV1_0038265</v>
      </c>
      <c r="B1067" s="2">
        <v>2820</v>
      </c>
      <c r="C1067" s="4" t="str">
        <f>HYPERLINK("http://www.uniprot.org/uniprot/M5XD39","M5XD39")</f>
        <v>M5XD39</v>
      </c>
      <c r="D1067" s="2" t="s">
        <v>1052</v>
      </c>
      <c r="E1067" s="3">
        <v>0</v>
      </c>
      <c r="F1067" s="2">
        <v>2133</v>
      </c>
      <c r="G1067" s="2">
        <v>100</v>
      </c>
      <c r="H1067" s="2">
        <v>417</v>
      </c>
      <c r="I1067" s="2">
        <v>1021</v>
      </c>
      <c r="J1067" s="2">
        <v>2271</v>
      </c>
      <c r="K1067" s="2">
        <v>1</v>
      </c>
      <c r="L1067" s="2">
        <v>417</v>
      </c>
    </row>
    <row r="1068" spans="1:12" x14ac:dyDescent="0.25">
      <c r="A1068" s="4" t="str">
        <f>HYPERLINK("http://www.rosaceae.org/Prunus/Prunus_persica/p.persica_gdr_reftransV1_0039315","p.persica_gdr_reftransV1_0039315")</f>
        <v>p.persica_gdr_reftransV1_0039315</v>
      </c>
      <c r="B1068" s="2">
        <v>2500</v>
      </c>
      <c r="C1068" s="4" t="str">
        <f>HYPERLINK("http://www.uniprot.org/uniprot/M5W7D7","M5W7D7")</f>
        <v>M5W7D7</v>
      </c>
      <c r="D1068" s="2" t="s">
        <v>1053</v>
      </c>
      <c r="E1068" s="3">
        <v>0</v>
      </c>
      <c r="F1068" s="2">
        <v>2733</v>
      </c>
      <c r="G1068" s="2">
        <v>100</v>
      </c>
      <c r="H1068" s="2">
        <v>541</v>
      </c>
      <c r="I1068" s="2">
        <v>411</v>
      </c>
      <c r="J1068" s="2">
        <v>2033</v>
      </c>
      <c r="K1068" s="2">
        <v>1</v>
      </c>
      <c r="L1068" s="2">
        <v>541</v>
      </c>
    </row>
    <row r="1069" spans="1:12" x14ac:dyDescent="0.25">
      <c r="A1069" s="4" t="str">
        <f>HYPERLINK("http://www.rosaceae.org/Prunus/Prunus_persica/p.persica_gdr_reftransV1_0041415","p.persica_gdr_reftransV1_0041415")</f>
        <v>p.persica_gdr_reftransV1_0041415</v>
      </c>
      <c r="B1069" s="2">
        <v>2431</v>
      </c>
      <c r="C1069" s="4" t="str">
        <f>HYPERLINK("http://www.uniprot.org/uniprot/M5X291","M5X291")</f>
        <v>M5X291</v>
      </c>
      <c r="D1069" s="2" t="s">
        <v>1054</v>
      </c>
      <c r="E1069" s="3">
        <v>2.5099999999999999E-115</v>
      </c>
      <c r="F1069" s="2">
        <v>929</v>
      </c>
      <c r="G1069" s="2">
        <v>100</v>
      </c>
      <c r="H1069" s="2">
        <v>215</v>
      </c>
      <c r="I1069" s="2">
        <v>1385</v>
      </c>
      <c r="J1069" s="2">
        <v>2029</v>
      </c>
      <c r="K1069" s="2">
        <v>2</v>
      </c>
      <c r="L1069" s="2">
        <v>216</v>
      </c>
    </row>
    <row r="1070" spans="1:12" x14ac:dyDescent="0.25">
      <c r="A1070" s="4" t="str">
        <f>HYPERLINK("http://www.rosaceae.org/Prunus/Prunus_persica/p.persica_gdr_reftransV1_0043165","p.persica_gdr_reftransV1_0043165")</f>
        <v>p.persica_gdr_reftransV1_0043165</v>
      </c>
      <c r="B1070" s="2">
        <v>932</v>
      </c>
      <c r="C1070" s="4" t="str">
        <f>HYPERLINK("http://www.uniprot.org/uniprot/M5XF33","M5XF33")</f>
        <v>M5XF33</v>
      </c>
      <c r="D1070" s="2" t="s">
        <v>1055</v>
      </c>
      <c r="E1070" s="3">
        <v>1.62E-126</v>
      </c>
      <c r="F1070" s="2">
        <v>954</v>
      </c>
      <c r="G1070" s="2">
        <v>100</v>
      </c>
      <c r="H1070" s="2">
        <v>210</v>
      </c>
      <c r="I1070" s="2">
        <v>244</v>
      </c>
      <c r="J1070" s="2">
        <v>873</v>
      </c>
      <c r="K1070" s="2">
        <v>1</v>
      </c>
      <c r="L1070" s="2">
        <v>210</v>
      </c>
    </row>
    <row r="1071" spans="1:12" x14ac:dyDescent="0.25">
      <c r="A1071" s="4" t="str">
        <f>HYPERLINK("http://www.rosaceae.org/Prunus/Prunus_persica/p.persica_gdr_reftransV1_0043515","p.persica_gdr_reftransV1_0043515")</f>
        <v>p.persica_gdr_reftransV1_0043515</v>
      </c>
      <c r="B1071" s="2">
        <v>320</v>
      </c>
      <c r="C1071" s="4" t="str">
        <f>HYPERLINK("http://www.uniprot.org/uniprot/M5WZU0","M5WZU0")</f>
        <v>M5WZU0</v>
      </c>
      <c r="D1071" s="2" t="s">
        <v>98</v>
      </c>
      <c r="E1071" s="3">
        <v>8.9900000000000005E-66</v>
      </c>
      <c r="F1071" s="2">
        <v>565</v>
      </c>
      <c r="G1071" s="2">
        <v>100</v>
      </c>
      <c r="H1071" s="2">
        <v>106</v>
      </c>
      <c r="I1071" s="2">
        <v>2</v>
      </c>
      <c r="J1071" s="2">
        <v>319</v>
      </c>
      <c r="K1071" s="2">
        <v>275</v>
      </c>
      <c r="L1071" s="2">
        <v>380</v>
      </c>
    </row>
    <row r="1072" spans="1:12" x14ac:dyDescent="0.25">
      <c r="A1072" s="4" t="str">
        <f>HYPERLINK("http://www.rosaceae.org/Prunus/Prunus_persica/p.persica_gdr_reftransV1_0043865","p.persica_gdr_reftransV1_0043865")</f>
        <v>p.persica_gdr_reftransV1_0043865</v>
      </c>
      <c r="B1072" s="2">
        <v>810</v>
      </c>
      <c r="C1072" s="4" t="str">
        <f>HYPERLINK("http://www.uniprot.org/uniprot/M5WZU0","M5WZU0")</f>
        <v>M5WZU0</v>
      </c>
      <c r="D1072" s="2" t="s">
        <v>98</v>
      </c>
      <c r="E1072" s="3">
        <v>0</v>
      </c>
      <c r="F1072" s="2">
        <v>1409</v>
      </c>
      <c r="G1072" s="2">
        <v>100</v>
      </c>
      <c r="H1072" s="2">
        <v>270</v>
      </c>
      <c r="I1072" s="2">
        <v>1</v>
      </c>
      <c r="J1072" s="2">
        <v>810</v>
      </c>
      <c r="K1072" s="2">
        <v>422</v>
      </c>
      <c r="L1072" s="2">
        <v>691</v>
      </c>
    </row>
    <row r="1073" spans="1:12" x14ac:dyDescent="0.25">
      <c r="A1073" s="4" t="str">
        <f>HYPERLINK("http://www.rosaceae.org/Prunus/Prunus_persica/p.persica_gdr_reftransV1_0044215","p.persica_gdr_reftransV1_0044215")</f>
        <v>p.persica_gdr_reftransV1_0044215</v>
      </c>
      <c r="B1073" s="2">
        <v>1551</v>
      </c>
      <c r="C1073" s="4" t="str">
        <f>HYPERLINK("http://www.uniprot.org/uniprot/M5XVL7","M5XVL7")</f>
        <v>M5XVL7</v>
      </c>
      <c r="D1073" s="2" t="s">
        <v>1056</v>
      </c>
      <c r="E1073" s="3">
        <v>0</v>
      </c>
      <c r="F1073" s="2">
        <v>1558</v>
      </c>
      <c r="G1073" s="2">
        <v>100</v>
      </c>
      <c r="H1073" s="2">
        <v>321</v>
      </c>
      <c r="I1073" s="2">
        <v>2</v>
      </c>
      <c r="J1073" s="2">
        <v>964</v>
      </c>
      <c r="K1073" s="2">
        <v>267</v>
      </c>
      <c r="L1073" s="2">
        <v>587</v>
      </c>
    </row>
    <row r="1074" spans="1:12" x14ac:dyDescent="0.25">
      <c r="A1074" s="4" t="str">
        <f>HYPERLINK("http://www.rosaceae.org/Prunus/Prunus_persica/p.persica_gdr_reftransV1_0044565","p.persica_gdr_reftransV1_0044565")</f>
        <v>p.persica_gdr_reftransV1_0044565</v>
      </c>
      <c r="B1074" s="2">
        <v>2639</v>
      </c>
      <c r="C1074" s="4" t="str">
        <f>HYPERLINK("http://www.uniprot.org/uniprot/M5X644","M5X644")</f>
        <v>M5X644</v>
      </c>
      <c r="D1074" s="2" t="s">
        <v>1057</v>
      </c>
      <c r="E1074" s="3">
        <v>0</v>
      </c>
      <c r="F1074" s="2">
        <v>3312</v>
      </c>
      <c r="G1074" s="2">
        <v>100</v>
      </c>
      <c r="H1074" s="2">
        <v>705</v>
      </c>
      <c r="I1074" s="2">
        <v>307</v>
      </c>
      <c r="J1074" s="2">
        <v>2421</v>
      </c>
      <c r="K1074" s="2">
        <v>1</v>
      </c>
      <c r="L1074" s="2">
        <v>705</v>
      </c>
    </row>
    <row r="1075" spans="1:12" x14ac:dyDescent="0.25">
      <c r="A1075" s="4" t="str">
        <f>HYPERLINK("http://www.rosaceae.org/Prunus/Prunus_persica/p.persica_gdr_reftransV1_0044915","p.persica_gdr_reftransV1_0044915")</f>
        <v>p.persica_gdr_reftransV1_0044915</v>
      </c>
      <c r="B1075" s="2">
        <v>1109</v>
      </c>
      <c r="C1075" s="4" t="str">
        <f>HYPERLINK("http://www.uniprot.org/uniprot/M5WXF8","M5WXF8")</f>
        <v>M5WXF8</v>
      </c>
      <c r="D1075" s="2" t="s">
        <v>1058</v>
      </c>
      <c r="E1075" s="3">
        <v>2.6399999999999999E-146</v>
      </c>
      <c r="F1075" s="2">
        <v>1131</v>
      </c>
      <c r="G1075" s="2">
        <v>100</v>
      </c>
      <c r="H1075" s="2">
        <v>208</v>
      </c>
      <c r="I1075" s="2">
        <v>485</v>
      </c>
      <c r="J1075" s="2">
        <v>1108</v>
      </c>
      <c r="K1075" s="2">
        <v>410</v>
      </c>
      <c r="L1075" s="2">
        <v>617</v>
      </c>
    </row>
    <row r="1076" spans="1:12" x14ac:dyDescent="0.25">
      <c r="A1076" s="4" t="str">
        <f>HYPERLINK("http://www.rosaceae.org/Prunus/Prunus_persica/p.persica_gdr_reftransV1_0045615","p.persica_gdr_reftransV1_0045615")</f>
        <v>p.persica_gdr_reftransV1_0045615</v>
      </c>
      <c r="B1076" s="2">
        <v>2177</v>
      </c>
      <c r="C1076" s="4" t="str">
        <f>HYPERLINK("http://www.uniprot.org/uniprot/M5XAS1","M5XAS1")</f>
        <v>M5XAS1</v>
      </c>
      <c r="D1076" s="2" t="s">
        <v>1059</v>
      </c>
      <c r="E1076" s="3">
        <v>0</v>
      </c>
      <c r="F1076" s="2">
        <v>2947</v>
      </c>
      <c r="G1076" s="2">
        <v>100</v>
      </c>
      <c r="H1076" s="2">
        <v>600</v>
      </c>
      <c r="I1076" s="2">
        <v>318</v>
      </c>
      <c r="J1076" s="2">
        <v>2117</v>
      </c>
      <c r="K1076" s="2">
        <v>1</v>
      </c>
      <c r="L1076" s="2">
        <v>600</v>
      </c>
    </row>
    <row r="1077" spans="1:12" x14ac:dyDescent="0.25">
      <c r="A1077" s="4" t="str">
        <f>HYPERLINK("http://www.rosaceae.org/Prunus/Prunus_persica/p.persica_gdr_reftransV1_0045965","p.persica_gdr_reftransV1_0045965")</f>
        <v>p.persica_gdr_reftransV1_0045965</v>
      </c>
      <c r="B1077" s="2">
        <v>2221</v>
      </c>
      <c r="C1077" s="4" t="str">
        <f>HYPERLINK("http://www.uniprot.org/uniprot/M5WSK6","M5WSK6")</f>
        <v>M5WSK6</v>
      </c>
      <c r="D1077" s="2" t="s">
        <v>1060</v>
      </c>
      <c r="E1077" s="3">
        <v>0</v>
      </c>
      <c r="F1077" s="2">
        <v>2516</v>
      </c>
      <c r="G1077" s="2">
        <v>100</v>
      </c>
      <c r="H1077" s="2">
        <v>549</v>
      </c>
      <c r="I1077" s="2">
        <v>449</v>
      </c>
      <c r="J1077" s="2">
        <v>2095</v>
      </c>
      <c r="K1077" s="2">
        <v>4</v>
      </c>
      <c r="L1077" s="2">
        <v>552</v>
      </c>
    </row>
    <row r="1078" spans="1:12" x14ac:dyDescent="0.25">
      <c r="A1078" s="4" t="str">
        <f>HYPERLINK("http://www.rosaceae.org/Prunus/Prunus_persica/p.persica_gdr_reftransV1_0046315","p.persica_gdr_reftransV1_0046315")</f>
        <v>p.persica_gdr_reftransV1_0046315</v>
      </c>
      <c r="B1078" s="2">
        <v>1066</v>
      </c>
      <c r="C1078" s="4" t="str">
        <f>HYPERLINK("http://www.uniprot.org/uniprot/M5W075","M5W075")</f>
        <v>M5W075</v>
      </c>
      <c r="D1078" s="2" t="s">
        <v>1061</v>
      </c>
      <c r="E1078" s="3">
        <v>1.1799999999999999E-95</v>
      </c>
      <c r="F1078" s="2">
        <v>750</v>
      </c>
      <c r="G1078" s="2">
        <v>100</v>
      </c>
      <c r="H1078" s="2">
        <v>159</v>
      </c>
      <c r="I1078" s="2">
        <v>103</v>
      </c>
      <c r="J1078" s="2">
        <v>579</v>
      </c>
      <c r="K1078" s="2">
        <v>1</v>
      </c>
      <c r="L1078" s="2">
        <v>159</v>
      </c>
    </row>
    <row r="1079" spans="1:12" x14ac:dyDescent="0.25">
      <c r="A1079" s="4" t="str">
        <f>HYPERLINK("http://www.rosaceae.org/Prunus/Prunus_persica/p.persica_gdr_reftransV1_0046665","p.persica_gdr_reftransV1_0046665")</f>
        <v>p.persica_gdr_reftransV1_0046665</v>
      </c>
      <c r="B1079" s="2">
        <v>483</v>
      </c>
      <c r="C1079" s="4" t="str">
        <f>HYPERLINK("http://www.uniprot.org/uniprot/M5WS28","M5WS28")</f>
        <v>M5WS28</v>
      </c>
      <c r="D1079" s="2" t="s">
        <v>1062</v>
      </c>
      <c r="E1079" s="3">
        <v>5.8000000000000006E-48</v>
      </c>
      <c r="F1079" s="2">
        <v>433</v>
      </c>
      <c r="G1079" s="2">
        <v>82</v>
      </c>
      <c r="H1079" s="2">
        <v>158</v>
      </c>
      <c r="I1079" s="2">
        <v>10</v>
      </c>
      <c r="J1079" s="2">
        <v>483</v>
      </c>
      <c r="K1079" s="2">
        <v>81</v>
      </c>
      <c r="L1079" s="2">
        <v>209</v>
      </c>
    </row>
    <row r="1080" spans="1:12" x14ac:dyDescent="0.25">
      <c r="A1080" s="4" t="str">
        <f>HYPERLINK("http://www.rosaceae.org/Prunus/Prunus_persica/p.persica_gdr_reftransV1_0047015","p.persica_gdr_reftransV1_0047015")</f>
        <v>p.persica_gdr_reftransV1_0047015</v>
      </c>
      <c r="B1080" s="2">
        <v>2072</v>
      </c>
      <c r="C1080" s="4" t="str">
        <f>HYPERLINK("http://www.uniprot.org/uniprot/M5VW54","M5VW54")</f>
        <v>M5VW54</v>
      </c>
      <c r="D1080" s="2" t="s">
        <v>1063</v>
      </c>
      <c r="E1080" s="3">
        <v>0</v>
      </c>
      <c r="F1080" s="2">
        <v>2381</v>
      </c>
      <c r="G1080" s="2">
        <v>100</v>
      </c>
      <c r="H1080" s="2">
        <v>516</v>
      </c>
      <c r="I1080" s="2">
        <v>144</v>
      </c>
      <c r="J1080" s="2">
        <v>1691</v>
      </c>
      <c r="K1080" s="2">
        <v>1</v>
      </c>
      <c r="L1080" s="2">
        <v>516</v>
      </c>
    </row>
    <row r="1081" spans="1:12" x14ac:dyDescent="0.25">
      <c r="A1081" s="4" t="str">
        <f>HYPERLINK("http://www.rosaceae.org/Prunus/Prunus_persica/p.persica_gdr_reftransV1_0047365","p.persica_gdr_reftransV1_0047365")</f>
        <v>p.persica_gdr_reftransV1_0047365</v>
      </c>
      <c r="B1081" s="2">
        <v>1121</v>
      </c>
      <c r="C1081" s="4" t="str">
        <f>HYPERLINK("http://www.uniprot.org/uniprot/M5W4K0","M5W4K0")</f>
        <v>M5W4K0</v>
      </c>
      <c r="D1081" s="2" t="s">
        <v>1064</v>
      </c>
      <c r="E1081" s="3">
        <v>1.61E-130</v>
      </c>
      <c r="F1081" s="2">
        <v>774</v>
      </c>
      <c r="G1081" s="2">
        <v>97</v>
      </c>
      <c r="H1081" s="2">
        <v>182</v>
      </c>
      <c r="I1081" s="2">
        <v>512</v>
      </c>
      <c r="J1081" s="2">
        <v>1057</v>
      </c>
      <c r="K1081" s="2">
        <v>1</v>
      </c>
      <c r="L1081" s="2">
        <v>182</v>
      </c>
    </row>
    <row r="1082" spans="1:12" x14ac:dyDescent="0.25">
      <c r="A1082" s="4" t="str">
        <f>HYPERLINK("http://www.rosaceae.org/Prunus/Prunus_persica/p.persica_gdr_reftransV1_0048065","p.persica_gdr_reftransV1_0048065")</f>
        <v>p.persica_gdr_reftransV1_0048065</v>
      </c>
      <c r="B1082" s="2">
        <v>2907</v>
      </c>
      <c r="C1082" s="4" t="str">
        <f>HYPERLINK("http://www.uniprot.org/uniprot/M5WE96","M5WE96")</f>
        <v>M5WE96</v>
      </c>
      <c r="D1082" s="2" t="s">
        <v>1065</v>
      </c>
      <c r="E1082" s="3">
        <v>0</v>
      </c>
      <c r="F1082" s="2">
        <v>3280</v>
      </c>
      <c r="G1082" s="2">
        <v>100</v>
      </c>
      <c r="H1082" s="2">
        <v>644</v>
      </c>
      <c r="I1082" s="2">
        <v>902</v>
      </c>
      <c r="J1082" s="2">
        <v>2833</v>
      </c>
      <c r="K1082" s="2">
        <v>1</v>
      </c>
      <c r="L1082" s="2">
        <v>644</v>
      </c>
    </row>
    <row r="1083" spans="1:12" x14ac:dyDescent="0.25">
      <c r="A1083" s="4" t="str">
        <f>HYPERLINK("http://www.rosaceae.org/Prunus/Prunus_persica/p.persica_gdr_reftransV1_0048765","p.persica_gdr_reftransV1_0048765")</f>
        <v>p.persica_gdr_reftransV1_0048765</v>
      </c>
      <c r="B1083" s="2">
        <v>1764</v>
      </c>
      <c r="C1083" s="4" t="str">
        <f>HYPERLINK("http://www.uniprot.org/uniprot/M5XQN8","M5XQN8")</f>
        <v>M5XQN8</v>
      </c>
      <c r="D1083" s="2" t="s">
        <v>1066</v>
      </c>
      <c r="E1083" s="3">
        <v>0</v>
      </c>
      <c r="F1083" s="2">
        <v>2524</v>
      </c>
      <c r="G1083" s="2">
        <v>92</v>
      </c>
      <c r="H1083" s="2">
        <v>545</v>
      </c>
      <c r="I1083" s="2">
        <v>73</v>
      </c>
      <c r="J1083" s="2">
        <v>1707</v>
      </c>
      <c r="K1083" s="2">
        <v>1</v>
      </c>
      <c r="L1083" s="2">
        <v>537</v>
      </c>
    </row>
    <row r="1084" spans="1:12" x14ac:dyDescent="0.25">
      <c r="A1084" s="4" t="str">
        <f>HYPERLINK("http://www.rosaceae.org/Prunus/Prunus_persica/p.persica_gdr_reftransV1_0000116","p.persica_gdr_reftransV1_0000116")</f>
        <v>p.persica_gdr_reftransV1_0000116</v>
      </c>
      <c r="B1084" s="2">
        <v>1339</v>
      </c>
      <c r="C1084" s="4" t="str">
        <f>HYPERLINK("http://www.uniprot.org/uniprot/M5W8Z7","M5W8Z7")</f>
        <v>M5W8Z7</v>
      </c>
      <c r="D1084" s="2" t="s">
        <v>1067</v>
      </c>
      <c r="E1084" s="3">
        <v>3.3200000000000002E-174</v>
      </c>
      <c r="F1084" s="2">
        <v>1300</v>
      </c>
      <c r="G1084" s="2">
        <v>100</v>
      </c>
      <c r="H1084" s="2">
        <v>291</v>
      </c>
      <c r="I1084" s="2">
        <v>253</v>
      </c>
      <c r="J1084" s="2">
        <v>1125</v>
      </c>
      <c r="K1084" s="2">
        <v>79</v>
      </c>
      <c r="L1084" s="2">
        <v>369</v>
      </c>
    </row>
    <row r="1085" spans="1:12" x14ac:dyDescent="0.25">
      <c r="A1085" s="4" t="str">
        <f>HYPERLINK("http://www.rosaceae.org/Prunus/Prunus_persica/p.persica_gdr_reftransV1_0000466","p.persica_gdr_reftransV1_0000466")</f>
        <v>p.persica_gdr_reftransV1_0000466</v>
      </c>
      <c r="B1085" s="2">
        <v>321</v>
      </c>
      <c r="C1085" s="4" t="str">
        <f>HYPERLINK("http://www.uniprot.org/uniprot/M5WGV1","M5WGV1")</f>
        <v>M5WGV1</v>
      </c>
      <c r="D1085" s="2" t="s">
        <v>1068</v>
      </c>
      <c r="E1085" s="3">
        <v>6.44E-52</v>
      </c>
      <c r="F1085" s="2">
        <v>454</v>
      </c>
      <c r="G1085" s="2">
        <v>100</v>
      </c>
      <c r="H1085" s="2">
        <v>83</v>
      </c>
      <c r="I1085" s="2">
        <v>2</v>
      </c>
      <c r="J1085" s="2">
        <v>250</v>
      </c>
      <c r="K1085" s="2">
        <v>1</v>
      </c>
      <c r="L1085" s="2">
        <v>83</v>
      </c>
    </row>
    <row r="1086" spans="1:12" x14ac:dyDescent="0.25">
      <c r="A1086" s="4" t="str">
        <f>HYPERLINK("http://www.rosaceae.org/Prunus/Prunus_persica/p.persica_gdr_reftransV1_0000816","p.persica_gdr_reftransV1_0000816")</f>
        <v>p.persica_gdr_reftransV1_0000816</v>
      </c>
      <c r="B1086" s="2">
        <v>495</v>
      </c>
      <c r="C1086" s="4" t="str">
        <f>HYPERLINK("http://www.uniprot.org/uniprot/M5XTC5","M5XTC5")</f>
        <v>M5XTC5</v>
      </c>
      <c r="D1086" s="2" t="s">
        <v>122</v>
      </c>
      <c r="E1086" s="3">
        <v>3.5599999999999998E-45</v>
      </c>
      <c r="F1086" s="2">
        <v>427</v>
      </c>
      <c r="G1086" s="2">
        <v>84</v>
      </c>
      <c r="H1086" s="2">
        <v>137</v>
      </c>
      <c r="I1086" s="2">
        <v>149</v>
      </c>
      <c r="J1086" s="2">
        <v>493</v>
      </c>
      <c r="K1086" s="2">
        <v>1</v>
      </c>
      <c r="L1086" s="2">
        <v>137</v>
      </c>
    </row>
    <row r="1087" spans="1:12" x14ac:dyDescent="0.25">
      <c r="A1087" s="4" t="str">
        <f>HYPERLINK("http://www.rosaceae.org/Prunus/Prunus_persica/p.persica_gdr_reftransV1_0001166","p.persica_gdr_reftransV1_0001166")</f>
        <v>p.persica_gdr_reftransV1_0001166</v>
      </c>
      <c r="B1087" s="2">
        <v>3287</v>
      </c>
      <c r="C1087" s="4" t="str">
        <f>HYPERLINK("http://www.uniprot.org/uniprot/M5VWS5","M5VWS5")</f>
        <v>M5VWS5</v>
      </c>
      <c r="D1087" s="2" t="s">
        <v>1069</v>
      </c>
      <c r="E1087" s="3">
        <v>0</v>
      </c>
      <c r="F1087" s="2">
        <v>5038</v>
      </c>
      <c r="G1087" s="2">
        <v>100</v>
      </c>
      <c r="H1087" s="2">
        <v>998</v>
      </c>
      <c r="I1087" s="2">
        <v>292</v>
      </c>
      <c r="J1087" s="2">
        <v>3285</v>
      </c>
      <c r="K1087" s="2">
        <v>72</v>
      </c>
      <c r="L1087" s="2">
        <v>1069</v>
      </c>
    </row>
    <row r="1088" spans="1:12" x14ac:dyDescent="0.25">
      <c r="A1088" s="4" t="str">
        <f>HYPERLINK("http://www.rosaceae.org/Prunus/Prunus_persica/p.persica_gdr_reftransV1_0001516","p.persica_gdr_reftransV1_0001516")</f>
        <v>p.persica_gdr_reftransV1_0001516</v>
      </c>
      <c r="B1088" s="2">
        <v>626</v>
      </c>
      <c r="C1088" s="4" t="str">
        <f>HYPERLINK("http://www.uniprot.org/uniprot/M5WLH3","M5WLH3")</f>
        <v>M5WLH3</v>
      </c>
      <c r="D1088" s="2" t="s">
        <v>1070</v>
      </c>
      <c r="E1088" s="3">
        <v>2.86E-88</v>
      </c>
      <c r="F1088" s="2">
        <v>694</v>
      </c>
      <c r="G1088" s="2">
        <v>87</v>
      </c>
      <c r="H1088" s="2">
        <v>199</v>
      </c>
      <c r="I1088" s="2">
        <v>28</v>
      </c>
      <c r="J1088" s="2">
        <v>624</v>
      </c>
      <c r="K1088" s="2">
        <v>1</v>
      </c>
      <c r="L1088" s="2">
        <v>174</v>
      </c>
    </row>
    <row r="1089" spans="1:12" x14ac:dyDescent="0.25">
      <c r="A1089" s="4" t="str">
        <f>HYPERLINK("http://www.rosaceae.org/Prunus/Prunus_persica/p.persica_gdr_reftransV1_0001866","p.persica_gdr_reftransV1_0001866")</f>
        <v>p.persica_gdr_reftransV1_0001866</v>
      </c>
      <c r="B1089" s="2">
        <v>377</v>
      </c>
      <c r="C1089" s="4" t="str">
        <f>HYPERLINK("http://www.uniprot.org/uniprot/M5X3X9","M5X3X9")</f>
        <v>M5X3X9</v>
      </c>
      <c r="D1089" s="2" t="s">
        <v>1071</v>
      </c>
      <c r="E1089" s="3">
        <v>7.8499999999999997E-72</v>
      </c>
      <c r="F1089" s="2">
        <v>596</v>
      </c>
      <c r="G1089" s="2">
        <v>100</v>
      </c>
      <c r="H1089" s="2">
        <v>112</v>
      </c>
      <c r="I1089" s="2">
        <v>2</v>
      </c>
      <c r="J1089" s="2">
        <v>337</v>
      </c>
      <c r="K1089" s="2">
        <v>394</v>
      </c>
      <c r="L1089" s="2">
        <v>505</v>
      </c>
    </row>
    <row r="1090" spans="1:12" x14ac:dyDescent="0.25">
      <c r="A1090" s="4" t="str">
        <f>HYPERLINK("http://www.rosaceae.org/Prunus/Prunus_persica/p.persica_gdr_reftransV1_0002216","p.persica_gdr_reftransV1_0002216")</f>
        <v>p.persica_gdr_reftransV1_0002216</v>
      </c>
      <c r="B1090" s="2">
        <v>495</v>
      </c>
      <c r="C1090" s="4" t="str">
        <f>HYPERLINK("http://www.uniprot.org/uniprot/M5VZ19","M5VZ19")</f>
        <v>M5VZ19</v>
      </c>
      <c r="D1090" s="2" t="s">
        <v>1072</v>
      </c>
      <c r="E1090" s="3">
        <v>3.16E-115</v>
      </c>
      <c r="F1090" s="2">
        <v>884</v>
      </c>
      <c r="G1090" s="2">
        <v>100</v>
      </c>
      <c r="H1090" s="2">
        <v>165</v>
      </c>
      <c r="I1090" s="2">
        <v>1</v>
      </c>
      <c r="J1090" s="2">
        <v>495</v>
      </c>
      <c r="K1090" s="2">
        <v>154</v>
      </c>
      <c r="L1090" s="2">
        <v>318</v>
      </c>
    </row>
    <row r="1091" spans="1:12" x14ac:dyDescent="0.25">
      <c r="A1091" s="4" t="str">
        <f>HYPERLINK("http://www.rosaceae.org/Prunus/Prunus_persica/p.persica_gdr_reftransV1_0003266","p.persica_gdr_reftransV1_0003266")</f>
        <v>p.persica_gdr_reftransV1_0003266</v>
      </c>
      <c r="B1091" s="2">
        <v>1876</v>
      </c>
      <c r="C1091" s="4" t="str">
        <f>HYPERLINK("http://www.uniprot.org/uniprot/M5XCJ7","M5XCJ7")</f>
        <v>M5XCJ7</v>
      </c>
      <c r="D1091" s="2" t="s">
        <v>572</v>
      </c>
      <c r="E1091" s="3">
        <v>0</v>
      </c>
      <c r="F1091" s="2">
        <v>1690</v>
      </c>
      <c r="G1091" s="2">
        <v>100</v>
      </c>
      <c r="H1091" s="2">
        <v>318</v>
      </c>
      <c r="I1091" s="2">
        <v>460</v>
      </c>
      <c r="J1091" s="2">
        <v>1413</v>
      </c>
      <c r="K1091" s="2">
        <v>1</v>
      </c>
      <c r="L1091" s="2">
        <v>318</v>
      </c>
    </row>
    <row r="1092" spans="1:12" x14ac:dyDescent="0.25">
      <c r="A1092" s="4" t="str">
        <f>HYPERLINK("http://www.rosaceae.org/Prunus/Prunus_persica/p.persica_gdr_reftransV1_0003616","p.persica_gdr_reftransV1_0003616")</f>
        <v>p.persica_gdr_reftransV1_0003616</v>
      </c>
      <c r="B1092" s="2">
        <v>653</v>
      </c>
      <c r="C1092" s="4" t="str">
        <f>HYPERLINK("http://www.uniprot.org/uniprot/M5WAF0","M5WAF0")</f>
        <v>M5WAF0</v>
      </c>
      <c r="D1092" s="2" t="s">
        <v>1073</v>
      </c>
      <c r="E1092" s="3">
        <v>5.0600000000000003E-9</v>
      </c>
      <c r="F1092" s="2">
        <v>157</v>
      </c>
      <c r="G1092" s="2">
        <v>100</v>
      </c>
      <c r="H1092" s="2">
        <v>72</v>
      </c>
      <c r="I1092" s="2">
        <v>259</v>
      </c>
      <c r="J1092" s="2">
        <v>474</v>
      </c>
      <c r="K1092" s="2">
        <v>1</v>
      </c>
      <c r="L1092" s="2">
        <v>72</v>
      </c>
    </row>
    <row r="1093" spans="1:12" x14ac:dyDescent="0.25">
      <c r="A1093" s="4" t="str">
        <f>HYPERLINK("http://www.rosaceae.org/Prunus/Prunus_persica/p.persica_gdr_reftransV1_0004316","p.persica_gdr_reftransV1_0004316")</f>
        <v>p.persica_gdr_reftransV1_0004316</v>
      </c>
      <c r="B1093" s="2">
        <v>948</v>
      </c>
      <c r="C1093" s="4" t="str">
        <f>HYPERLINK("http://www.uniprot.org/uniprot/M5W248","M5W248")</f>
        <v>M5W248</v>
      </c>
      <c r="D1093" s="2" t="s">
        <v>1074</v>
      </c>
      <c r="E1093" s="3">
        <v>1E-107</v>
      </c>
      <c r="F1093" s="2">
        <v>859</v>
      </c>
      <c r="G1093" s="2">
        <v>100</v>
      </c>
      <c r="H1093" s="2">
        <v>160</v>
      </c>
      <c r="I1093" s="2">
        <v>356</v>
      </c>
      <c r="J1093" s="2">
        <v>835</v>
      </c>
      <c r="K1093" s="2">
        <v>354</v>
      </c>
      <c r="L1093" s="2">
        <v>513</v>
      </c>
    </row>
    <row r="1094" spans="1:12" x14ac:dyDescent="0.25">
      <c r="A1094" s="4" t="str">
        <f>HYPERLINK("http://www.rosaceae.org/Prunus/Prunus_persica/p.persica_gdr_reftransV1_0004666","p.persica_gdr_reftransV1_0004666")</f>
        <v>p.persica_gdr_reftransV1_0004666</v>
      </c>
      <c r="B1094" s="2">
        <v>3031</v>
      </c>
      <c r="C1094" s="4" t="str">
        <f>HYPERLINK("http://www.uniprot.org/uniprot/M5X4Q9","M5X4Q9")</f>
        <v>M5X4Q9</v>
      </c>
      <c r="D1094" s="2" t="s">
        <v>1075</v>
      </c>
      <c r="E1094" s="3">
        <v>0</v>
      </c>
      <c r="F1094" s="2">
        <v>4321</v>
      </c>
      <c r="G1094" s="2">
        <v>97</v>
      </c>
      <c r="H1094" s="2">
        <v>845</v>
      </c>
      <c r="I1094" s="2">
        <v>451</v>
      </c>
      <c r="J1094" s="2">
        <v>2904</v>
      </c>
      <c r="K1094" s="2">
        <v>1</v>
      </c>
      <c r="L1094" s="2">
        <v>845</v>
      </c>
    </row>
    <row r="1095" spans="1:12" x14ac:dyDescent="0.25">
      <c r="A1095" s="4" t="str">
        <f>HYPERLINK("http://www.rosaceae.org/Prunus/Prunus_persica/p.persica_gdr_reftransV1_0005716","p.persica_gdr_reftransV1_0005716")</f>
        <v>p.persica_gdr_reftransV1_0005716</v>
      </c>
      <c r="B1095" s="2">
        <v>1726</v>
      </c>
      <c r="C1095" s="4" t="str">
        <f>HYPERLINK("http://www.uniprot.org/uniprot/M5WPA2","M5WPA2")</f>
        <v>M5WPA2</v>
      </c>
      <c r="D1095" s="2" t="s">
        <v>1076</v>
      </c>
      <c r="E1095" s="3">
        <v>0</v>
      </c>
      <c r="F1095" s="2">
        <v>1901</v>
      </c>
      <c r="G1095" s="2">
        <v>98</v>
      </c>
      <c r="H1095" s="2">
        <v>398</v>
      </c>
      <c r="I1095" s="2">
        <v>533</v>
      </c>
      <c r="J1095" s="2">
        <v>1726</v>
      </c>
      <c r="K1095" s="2">
        <v>439</v>
      </c>
      <c r="L1095" s="2">
        <v>836</v>
      </c>
    </row>
    <row r="1096" spans="1:12" x14ac:dyDescent="0.25">
      <c r="A1096" s="4" t="str">
        <f>HYPERLINK("http://www.rosaceae.org/Prunus/Prunus_persica/p.persica_gdr_reftransV1_0006066","p.persica_gdr_reftransV1_0006066")</f>
        <v>p.persica_gdr_reftransV1_0006066</v>
      </c>
      <c r="B1096" s="2">
        <v>757</v>
      </c>
      <c r="C1096" s="4" t="str">
        <f>HYPERLINK("http://www.uniprot.org/uniprot/M5X4N2","M5X4N2")</f>
        <v>M5X4N2</v>
      </c>
      <c r="D1096" s="2" t="s">
        <v>1077</v>
      </c>
      <c r="E1096" s="3">
        <v>1.63E-125</v>
      </c>
      <c r="F1096" s="2">
        <v>938</v>
      </c>
      <c r="G1096" s="2">
        <v>100</v>
      </c>
      <c r="H1096" s="2">
        <v>173</v>
      </c>
      <c r="I1096" s="2">
        <v>97</v>
      </c>
      <c r="J1096" s="2">
        <v>615</v>
      </c>
      <c r="K1096" s="2">
        <v>4</v>
      </c>
      <c r="L1096" s="2">
        <v>176</v>
      </c>
    </row>
    <row r="1097" spans="1:12" x14ac:dyDescent="0.25">
      <c r="A1097" s="4" t="str">
        <f>HYPERLINK("http://www.rosaceae.org/Prunus/Prunus_persica/p.persica_gdr_reftransV1_0008166","p.persica_gdr_reftransV1_0008166")</f>
        <v>p.persica_gdr_reftransV1_0008166</v>
      </c>
      <c r="B1097" s="2">
        <v>1849</v>
      </c>
      <c r="C1097" s="4" t="str">
        <f>HYPERLINK("http://www.uniprot.org/uniprot/M5XBG2","M5XBG2")</f>
        <v>M5XBG2</v>
      </c>
      <c r="D1097" s="2" t="s">
        <v>1078</v>
      </c>
      <c r="E1097" s="3">
        <v>0</v>
      </c>
      <c r="F1097" s="2">
        <v>1889</v>
      </c>
      <c r="G1097" s="2">
        <v>100</v>
      </c>
      <c r="H1097" s="2">
        <v>364</v>
      </c>
      <c r="I1097" s="2">
        <v>356</v>
      </c>
      <c r="J1097" s="2">
        <v>1447</v>
      </c>
      <c r="K1097" s="2">
        <v>1</v>
      </c>
      <c r="L1097" s="2">
        <v>364</v>
      </c>
    </row>
    <row r="1098" spans="1:12" x14ac:dyDescent="0.25">
      <c r="A1098" s="4" t="str">
        <f>HYPERLINK("http://www.rosaceae.org/Prunus/Prunus_persica/p.persica_gdr_reftransV1_0008516","p.persica_gdr_reftransV1_0008516")</f>
        <v>p.persica_gdr_reftransV1_0008516</v>
      </c>
      <c r="B1098" s="2">
        <v>1733</v>
      </c>
      <c r="C1098" s="4" t="str">
        <f>HYPERLINK("http://www.uniprot.org/uniprot/M5VGQ2","M5VGQ2")</f>
        <v>M5VGQ2</v>
      </c>
      <c r="D1098" s="2" t="s">
        <v>1079</v>
      </c>
      <c r="E1098" s="3">
        <v>0</v>
      </c>
      <c r="F1098" s="2">
        <v>1565</v>
      </c>
      <c r="G1098" s="2">
        <v>99</v>
      </c>
      <c r="H1098" s="2">
        <v>293</v>
      </c>
      <c r="I1098" s="2">
        <v>854</v>
      </c>
      <c r="J1098" s="2">
        <v>1732</v>
      </c>
      <c r="K1098" s="2">
        <v>466</v>
      </c>
      <c r="L1098" s="2">
        <v>758</v>
      </c>
    </row>
    <row r="1099" spans="1:12" x14ac:dyDescent="0.25">
      <c r="A1099" s="4" t="str">
        <f>HYPERLINK("http://www.rosaceae.org/Prunus/Prunus_persica/p.persica_gdr_reftransV1_0008866","p.persica_gdr_reftransV1_0008866")</f>
        <v>p.persica_gdr_reftransV1_0008866</v>
      </c>
      <c r="B1099" s="2">
        <v>2550</v>
      </c>
      <c r="C1099" s="4" t="str">
        <f>HYPERLINK("http://www.uniprot.org/uniprot/M5XX74","M5XX74")</f>
        <v>M5XX74</v>
      </c>
      <c r="D1099" s="2" t="s">
        <v>1080</v>
      </c>
      <c r="E1099" s="3">
        <v>0</v>
      </c>
      <c r="F1099" s="2">
        <v>2354</v>
      </c>
      <c r="G1099" s="2">
        <v>100</v>
      </c>
      <c r="H1099" s="2">
        <v>531</v>
      </c>
      <c r="I1099" s="2">
        <v>192</v>
      </c>
      <c r="J1099" s="2">
        <v>1784</v>
      </c>
      <c r="K1099" s="2">
        <v>1</v>
      </c>
      <c r="L1099" s="2">
        <v>531</v>
      </c>
    </row>
    <row r="1100" spans="1:12" x14ac:dyDescent="0.25">
      <c r="A1100" s="4" t="str">
        <f>HYPERLINK("http://www.rosaceae.org/Prunus/Prunus_persica/p.persica_gdr_reftransV1_0009216","p.persica_gdr_reftransV1_0009216")</f>
        <v>p.persica_gdr_reftransV1_0009216</v>
      </c>
      <c r="B1100" s="2">
        <v>1555</v>
      </c>
      <c r="C1100" s="4" t="str">
        <f>HYPERLINK("http://www.uniprot.org/uniprot/M5VWC1","M5VWC1")</f>
        <v>M5VWC1</v>
      </c>
      <c r="D1100" s="2" t="s">
        <v>1081</v>
      </c>
      <c r="E1100" s="3">
        <v>0</v>
      </c>
      <c r="F1100" s="2">
        <v>2188</v>
      </c>
      <c r="G1100" s="2">
        <v>100</v>
      </c>
      <c r="H1100" s="2">
        <v>428</v>
      </c>
      <c r="I1100" s="2">
        <v>3</v>
      </c>
      <c r="J1100" s="2">
        <v>1286</v>
      </c>
      <c r="K1100" s="2">
        <v>1</v>
      </c>
      <c r="L1100" s="2">
        <v>428</v>
      </c>
    </row>
    <row r="1101" spans="1:12" x14ac:dyDescent="0.25">
      <c r="A1101" s="4" t="str">
        <f>HYPERLINK("http://www.rosaceae.org/Prunus/Prunus_persica/p.persica_gdr_reftransV1_0009916","p.persica_gdr_reftransV1_0009916")</f>
        <v>p.persica_gdr_reftransV1_0009916</v>
      </c>
      <c r="B1101" s="2">
        <v>2607</v>
      </c>
      <c r="C1101" s="4" t="str">
        <f>HYPERLINK("http://www.uniprot.org/uniprot/M5WPB5","M5WPB5")</f>
        <v>M5WPB5</v>
      </c>
      <c r="D1101" s="2" t="s">
        <v>1082</v>
      </c>
      <c r="E1101" s="3">
        <v>0</v>
      </c>
      <c r="F1101" s="2">
        <v>2375</v>
      </c>
      <c r="G1101" s="2">
        <v>100</v>
      </c>
      <c r="H1101" s="2">
        <v>492</v>
      </c>
      <c r="I1101" s="2">
        <v>665</v>
      </c>
      <c r="J1101" s="2">
        <v>2140</v>
      </c>
      <c r="K1101" s="2">
        <v>1</v>
      </c>
      <c r="L1101" s="2">
        <v>492</v>
      </c>
    </row>
    <row r="1102" spans="1:12" x14ac:dyDescent="0.25">
      <c r="A1102" s="4" t="str">
        <f>HYPERLINK("http://www.rosaceae.org/Prunus/Prunus_persica/p.persica_gdr_reftransV1_0010966","p.persica_gdr_reftransV1_0010966")</f>
        <v>p.persica_gdr_reftransV1_0010966</v>
      </c>
      <c r="B1102" s="2">
        <v>1711</v>
      </c>
      <c r="C1102" s="4" t="str">
        <f>HYPERLINK("http://www.uniprot.org/uniprot/A0A061GLU8","A0A061GLU8")</f>
        <v>A0A061GLU8</v>
      </c>
      <c r="D1102" s="2" t="s">
        <v>1083</v>
      </c>
      <c r="E1102" s="3">
        <v>0</v>
      </c>
      <c r="F1102" s="2">
        <v>1704</v>
      </c>
      <c r="G1102" s="2">
        <v>85</v>
      </c>
      <c r="H1102" s="2">
        <v>372</v>
      </c>
      <c r="I1102" s="2">
        <v>484</v>
      </c>
      <c r="J1102" s="2">
        <v>1599</v>
      </c>
      <c r="K1102" s="2">
        <v>29</v>
      </c>
      <c r="L1102" s="2">
        <v>400</v>
      </c>
    </row>
    <row r="1103" spans="1:12" x14ac:dyDescent="0.25">
      <c r="A1103" s="4" t="str">
        <f>HYPERLINK("http://www.rosaceae.org/Prunus/Prunus_persica/p.persica_gdr_reftransV1_0012016","p.persica_gdr_reftransV1_0012016")</f>
        <v>p.persica_gdr_reftransV1_0012016</v>
      </c>
      <c r="B1103" s="2">
        <v>652</v>
      </c>
      <c r="C1103" s="4" t="str">
        <f>HYPERLINK("http://www.uniprot.org/uniprot/M5WML5","M5WML5")</f>
        <v>M5WML5</v>
      </c>
      <c r="D1103" s="2" t="s">
        <v>1084</v>
      </c>
      <c r="E1103" s="3">
        <v>1.8800000000000001E-145</v>
      </c>
      <c r="F1103" s="2">
        <v>1175</v>
      </c>
      <c r="G1103" s="2">
        <v>100</v>
      </c>
      <c r="H1103" s="2">
        <v>217</v>
      </c>
      <c r="I1103" s="2">
        <v>1</v>
      </c>
      <c r="J1103" s="2">
        <v>651</v>
      </c>
      <c r="K1103" s="2">
        <v>23</v>
      </c>
      <c r="L1103" s="2">
        <v>239</v>
      </c>
    </row>
    <row r="1104" spans="1:12" x14ac:dyDescent="0.25">
      <c r="A1104" s="4" t="str">
        <f>HYPERLINK("http://www.rosaceae.org/Prunus/Prunus_persica/p.persica_gdr_reftransV1_0012366","p.persica_gdr_reftransV1_0012366")</f>
        <v>p.persica_gdr_reftransV1_0012366</v>
      </c>
      <c r="B1104" s="2">
        <v>739</v>
      </c>
      <c r="C1104" s="4" t="str">
        <f>HYPERLINK("http://www.uniprot.org/uniprot/M5W499","M5W499")</f>
        <v>M5W499</v>
      </c>
      <c r="D1104" s="2" t="s">
        <v>1085</v>
      </c>
      <c r="E1104" s="3">
        <v>4.2800000000000002E-88</v>
      </c>
      <c r="F1104" s="2">
        <v>707</v>
      </c>
      <c r="G1104" s="2">
        <v>100</v>
      </c>
      <c r="H1104" s="2">
        <v>135</v>
      </c>
      <c r="I1104" s="2">
        <v>334</v>
      </c>
      <c r="J1104" s="2">
        <v>738</v>
      </c>
      <c r="K1104" s="2">
        <v>222</v>
      </c>
      <c r="L1104" s="2">
        <v>356</v>
      </c>
    </row>
    <row r="1105" spans="1:12" x14ac:dyDescent="0.25">
      <c r="A1105" s="4" t="str">
        <f>HYPERLINK("http://www.rosaceae.org/Prunus/Prunus_persica/p.persica_gdr_reftransV1_0012716","p.persica_gdr_reftransV1_0012716")</f>
        <v>p.persica_gdr_reftransV1_0012716</v>
      </c>
      <c r="B1105" s="2">
        <v>1523</v>
      </c>
      <c r="C1105" s="4" t="str">
        <f>HYPERLINK("http://www.uniprot.org/uniprot/M5X005","M5X005")</f>
        <v>M5X005</v>
      </c>
      <c r="D1105" s="2" t="s">
        <v>1086</v>
      </c>
      <c r="E1105" s="3">
        <v>0</v>
      </c>
      <c r="F1105" s="2">
        <v>1912</v>
      </c>
      <c r="G1105" s="2">
        <v>100</v>
      </c>
      <c r="H1105" s="2">
        <v>359</v>
      </c>
      <c r="I1105" s="2">
        <v>209</v>
      </c>
      <c r="J1105" s="2">
        <v>1285</v>
      </c>
      <c r="K1105" s="2">
        <v>1</v>
      </c>
      <c r="L1105" s="2">
        <v>359</v>
      </c>
    </row>
    <row r="1106" spans="1:12" x14ac:dyDescent="0.25">
      <c r="A1106" s="4" t="str">
        <f>HYPERLINK("http://www.rosaceae.org/Prunus/Prunus_persica/p.persica_gdr_reftransV1_0013066","p.persica_gdr_reftransV1_0013066")</f>
        <v>p.persica_gdr_reftransV1_0013066</v>
      </c>
      <c r="B1106" s="2">
        <v>1147</v>
      </c>
      <c r="C1106" s="4" t="str">
        <f>HYPERLINK("http://www.uniprot.org/uniprot/M5XBQ6","M5XBQ6")</f>
        <v>M5XBQ6</v>
      </c>
      <c r="D1106" s="2" t="s">
        <v>1087</v>
      </c>
      <c r="E1106" s="3">
        <v>1.8300000000000001E-148</v>
      </c>
      <c r="F1106" s="2">
        <v>1110</v>
      </c>
      <c r="G1106" s="2">
        <v>100</v>
      </c>
      <c r="H1106" s="2">
        <v>243</v>
      </c>
      <c r="I1106" s="2">
        <v>350</v>
      </c>
      <c r="J1106" s="2">
        <v>1078</v>
      </c>
      <c r="K1106" s="2">
        <v>1</v>
      </c>
      <c r="L1106" s="2">
        <v>243</v>
      </c>
    </row>
    <row r="1107" spans="1:12" x14ac:dyDescent="0.25">
      <c r="A1107" s="4" t="str">
        <f>HYPERLINK("http://www.rosaceae.org/Prunus/Prunus_persica/p.persica_gdr_reftransV1_0014466","p.persica_gdr_reftransV1_0014466")</f>
        <v>p.persica_gdr_reftransV1_0014466</v>
      </c>
      <c r="B1107" s="2">
        <v>1198</v>
      </c>
      <c r="C1107" s="4" t="str">
        <f>HYPERLINK("http://www.uniprot.org/uniprot/M5WBM1","M5WBM1")</f>
        <v>M5WBM1</v>
      </c>
      <c r="D1107" s="2" t="s">
        <v>1088</v>
      </c>
      <c r="E1107" s="3">
        <v>9.98E-169</v>
      </c>
      <c r="F1107" s="2">
        <v>1246</v>
      </c>
      <c r="G1107" s="2">
        <v>100</v>
      </c>
      <c r="H1107" s="2">
        <v>251</v>
      </c>
      <c r="I1107" s="2">
        <v>273</v>
      </c>
      <c r="J1107" s="2">
        <v>1025</v>
      </c>
      <c r="K1107" s="2">
        <v>1</v>
      </c>
      <c r="L1107" s="2">
        <v>251</v>
      </c>
    </row>
    <row r="1108" spans="1:12" x14ac:dyDescent="0.25">
      <c r="A1108" s="4" t="str">
        <f>HYPERLINK("http://www.rosaceae.org/Prunus/Prunus_persica/p.persica_gdr_reftransV1_0014816","p.persica_gdr_reftransV1_0014816")</f>
        <v>p.persica_gdr_reftransV1_0014816</v>
      </c>
      <c r="B1108" s="2">
        <v>5028</v>
      </c>
      <c r="C1108" s="4" t="str">
        <f>HYPERLINK("http://www.uniprot.org/uniprot/M5VWU0","M5VWU0")</f>
        <v>M5VWU0</v>
      </c>
      <c r="D1108" s="2" t="s">
        <v>1089</v>
      </c>
      <c r="E1108" s="3">
        <v>0</v>
      </c>
      <c r="F1108" s="2">
        <v>6985</v>
      </c>
      <c r="G1108" s="2">
        <v>96</v>
      </c>
      <c r="H1108" s="2">
        <v>1453</v>
      </c>
      <c r="I1108" s="2">
        <v>399</v>
      </c>
      <c r="J1108" s="2">
        <v>4751</v>
      </c>
      <c r="K1108" s="2">
        <v>9</v>
      </c>
      <c r="L1108" s="2">
        <v>1412</v>
      </c>
    </row>
    <row r="1109" spans="1:12" x14ac:dyDescent="0.25">
      <c r="A1109" s="4" t="str">
        <f>HYPERLINK("http://www.rosaceae.org/Prunus/Prunus_persica/p.persica_gdr_reftransV1_0015166","p.persica_gdr_reftransV1_0015166")</f>
        <v>p.persica_gdr_reftransV1_0015166</v>
      </c>
      <c r="B1109" s="2">
        <v>2644</v>
      </c>
      <c r="C1109" s="4" t="str">
        <f>HYPERLINK("http://www.uniprot.org/uniprot/M5XCS7","M5XCS7")</f>
        <v>M5XCS7</v>
      </c>
      <c r="D1109" s="2" t="s">
        <v>1090</v>
      </c>
      <c r="E1109" s="3">
        <v>0</v>
      </c>
      <c r="F1109" s="2">
        <v>3260</v>
      </c>
      <c r="G1109" s="2">
        <v>100</v>
      </c>
      <c r="H1109" s="2">
        <v>605</v>
      </c>
      <c r="I1109" s="2">
        <v>87</v>
      </c>
      <c r="J1109" s="2">
        <v>1901</v>
      </c>
      <c r="K1109" s="2">
        <v>1</v>
      </c>
      <c r="L1109" s="2">
        <v>605</v>
      </c>
    </row>
    <row r="1110" spans="1:12" x14ac:dyDescent="0.25">
      <c r="A1110" s="4" t="str">
        <f>HYPERLINK("http://www.rosaceae.org/Prunus/Prunus_persica/p.persica_gdr_reftransV1_0016566","p.persica_gdr_reftransV1_0016566")</f>
        <v>p.persica_gdr_reftransV1_0016566</v>
      </c>
      <c r="B1110" s="2">
        <v>643</v>
      </c>
      <c r="C1110" s="4" t="str">
        <f>HYPERLINK("http://www.uniprot.org/uniprot/M5XSQ3","M5XSQ3")</f>
        <v>M5XSQ3</v>
      </c>
      <c r="D1110" s="2" t="s">
        <v>1091</v>
      </c>
      <c r="E1110" s="3">
        <v>2.5299999999999998E-41</v>
      </c>
      <c r="F1110" s="2">
        <v>370</v>
      </c>
      <c r="G1110" s="2">
        <v>100</v>
      </c>
      <c r="H1110" s="2">
        <v>98</v>
      </c>
      <c r="I1110" s="2">
        <v>87</v>
      </c>
      <c r="J1110" s="2">
        <v>380</v>
      </c>
      <c r="K1110" s="2">
        <v>1</v>
      </c>
      <c r="L1110" s="2">
        <v>98</v>
      </c>
    </row>
    <row r="1111" spans="1:12" x14ac:dyDescent="0.25">
      <c r="A1111" s="4" t="str">
        <f>HYPERLINK("http://www.rosaceae.org/Prunus/Prunus_persica/p.persica_gdr_reftransV1_0016916","p.persica_gdr_reftransV1_0016916")</f>
        <v>p.persica_gdr_reftransV1_0016916</v>
      </c>
      <c r="B1111" s="2">
        <v>831</v>
      </c>
      <c r="C1111" s="4" t="str">
        <f>HYPERLINK("http://www.uniprot.org/uniprot/G8IFS6","G8IFS6")</f>
        <v>G8IFS6</v>
      </c>
      <c r="D1111" s="2" t="s">
        <v>1092</v>
      </c>
      <c r="E1111" s="3">
        <v>2.5900000000000001E-42</v>
      </c>
      <c r="F1111" s="2">
        <v>389</v>
      </c>
      <c r="G1111" s="2">
        <v>73</v>
      </c>
      <c r="H1111" s="2">
        <v>119</v>
      </c>
      <c r="I1111" s="2">
        <v>403</v>
      </c>
      <c r="J1111" s="2">
        <v>756</v>
      </c>
      <c r="K1111" s="2">
        <v>77</v>
      </c>
      <c r="L1111" s="2">
        <v>180</v>
      </c>
    </row>
    <row r="1112" spans="1:12" x14ac:dyDescent="0.25">
      <c r="A1112" s="4" t="str">
        <f>HYPERLINK("http://www.rosaceae.org/Prunus/Prunus_persica/p.persica_gdr_reftransV1_0017616","p.persica_gdr_reftransV1_0017616")</f>
        <v>p.persica_gdr_reftransV1_0017616</v>
      </c>
      <c r="B1112" s="2">
        <v>1855</v>
      </c>
      <c r="C1112" s="4" t="str">
        <f>HYPERLINK("http://www.uniprot.org/uniprot/M5VYL1","M5VYL1")</f>
        <v>M5VYL1</v>
      </c>
      <c r="D1112" s="2" t="s">
        <v>1093</v>
      </c>
      <c r="E1112" s="3">
        <v>0</v>
      </c>
      <c r="F1112" s="2">
        <v>1857</v>
      </c>
      <c r="G1112" s="2">
        <v>100</v>
      </c>
      <c r="H1112" s="2">
        <v>370</v>
      </c>
      <c r="I1112" s="2">
        <v>515</v>
      </c>
      <c r="J1112" s="2">
        <v>1624</v>
      </c>
      <c r="K1112" s="2">
        <v>16</v>
      </c>
      <c r="L1112" s="2">
        <v>385</v>
      </c>
    </row>
    <row r="1113" spans="1:12" x14ac:dyDescent="0.25">
      <c r="A1113" s="4" t="str">
        <f>HYPERLINK("http://www.rosaceae.org/Prunus/Prunus_persica/p.persica_gdr_reftransV1_0017966","p.persica_gdr_reftransV1_0017966")</f>
        <v>p.persica_gdr_reftransV1_0017966</v>
      </c>
      <c r="B1113" s="2">
        <v>1991</v>
      </c>
      <c r="C1113" s="4" t="str">
        <f>HYPERLINK("http://www.uniprot.org/uniprot/M5XKC6","M5XKC6")</f>
        <v>M5XKC6</v>
      </c>
      <c r="D1113" s="2" t="s">
        <v>1094</v>
      </c>
      <c r="E1113" s="3">
        <v>0</v>
      </c>
      <c r="F1113" s="2">
        <v>2195</v>
      </c>
      <c r="G1113" s="2">
        <v>97</v>
      </c>
      <c r="H1113" s="2">
        <v>599</v>
      </c>
      <c r="I1113" s="2">
        <v>193</v>
      </c>
      <c r="J1113" s="2">
        <v>1989</v>
      </c>
      <c r="K1113" s="2">
        <v>25</v>
      </c>
      <c r="L1113" s="2">
        <v>612</v>
      </c>
    </row>
    <row r="1114" spans="1:12" x14ac:dyDescent="0.25">
      <c r="A1114" s="4" t="str">
        <f>HYPERLINK("http://www.rosaceae.org/Prunus/Prunus_persica/p.persica_gdr_reftransV1_0019016","p.persica_gdr_reftransV1_0019016")</f>
        <v>p.persica_gdr_reftransV1_0019016</v>
      </c>
      <c r="B1114" s="2">
        <v>616</v>
      </c>
      <c r="C1114" s="4" t="str">
        <f>HYPERLINK("http://www.uniprot.org/uniprot/M5W3E7","M5W3E7")</f>
        <v>M5W3E7</v>
      </c>
      <c r="D1114" s="2" t="s">
        <v>64</v>
      </c>
      <c r="E1114" s="3">
        <v>3.0899999999999999E-35</v>
      </c>
      <c r="F1114" s="2">
        <v>344</v>
      </c>
      <c r="G1114" s="2">
        <v>100</v>
      </c>
      <c r="H1114" s="2">
        <v>102</v>
      </c>
      <c r="I1114" s="2">
        <v>310</v>
      </c>
      <c r="J1114" s="2">
        <v>615</v>
      </c>
      <c r="K1114" s="2">
        <v>205</v>
      </c>
      <c r="L1114" s="2">
        <v>306</v>
      </c>
    </row>
    <row r="1115" spans="1:12" x14ac:dyDescent="0.25">
      <c r="A1115" s="4" t="str">
        <f>HYPERLINK("http://www.rosaceae.org/Prunus/Prunus_persica/p.persica_gdr_reftransV1_0020066","p.persica_gdr_reftransV1_0020066")</f>
        <v>p.persica_gdr_reftransV1_0020066</v>
      </c>
      <c r="B1115" s="2">
        <v>1625</v>
      </c>
      <c r="C1115" s="4" t="str">
        <f>HYPERLINK("http://www.uniprot.org/uniprot/M5W2V0","M5W2V0")</f>
        <v>M5W2V0</v>
      </c>
      <c r="D1115" s="2" t="s">
        <v>1095</v>
      </c>
      <c r="E1115" s="3">
        <v>0</v>
      </c>
      <c r="F1115" s="2">
        <v>1836</v>
      </c>
      <c r="G1115" s="2">
        <v>100</v>
      </c>
      <c r="H1115" s="2">
        <v>375</v>
      </c>
      <c r="I1115" s="2">
        <v>348</v>
      </c>
      <c r="J1115" s="2">
        <v>1472</v>
      </c>
      <c r="K1115" s="2">
        <v>1</v>
      </c>
      <c r="L1115" s="2">
        <v>375</v>
      </c>
    </row>
    <row r="1116" spans="1:12" x14ac:dyDescent="0.25">
      <c r="A1116" s="4" t="str">
        <f>HYPERLINK("http://www.rosaceae.org/Prunus/Prunus_persica/p.persica_gdr_reftransV1_0021816","p.persica_gdr_reftransV1_0021816")</f>
        <v>p.persica_gdr_reftransV1_0021816</v>
      </c>
      <c r="B1116" s="2">
        <v>2537</v>
      </c>
      <c r="C1116" s="4" t="str">
        <f>HYPERLINK("http://www.uniprot.org/uniprot/M5W495","M5W495")</f>
        <v>M5W495</v>
      </c>
      <c r="D1116" s="2" t="s">
        <v>1096</v>
      </c>
      <c r="E1116" s="3">
        <v>0</v>
      </c>
      <c r="F1116" s="2">
        <v>1508</v>
      </c>
      <c r="G1116" s="2">
        <v>98</v>
      </c>
      <c r="H1116" s="2">
        <v>289</v>
      </c>
      <c r="I1116" s="2">
        <v>387</v>
      </c>
      <c r="J1116" s="2">
        <v>1253</v>
      </c>
      <c r="K1116" s="2">
        <v>227</v>
      </c>
      <c r="L1116" s="2">
        <v>508</v>
      </c>
    </row>
    <row r="1117" spans="1:12" x14ac:dyDescent="0.25">
      <c r="A1117" s="4" t="str">
        <f>HYPERLINK("http://www.rosaceae.org/Prunus/Prunus_persica/p.persica_gdr_reftransV1_0022166","p.persica_gdr_reftransV1_0022166")</f>
        <v>p.persica_gdr_reftransV1_0022166</v>
      </c>
      <c r="B1117" s="2">
        <v>2123</v>
      </c>
      <c r="C1117" s="4" t="str">
        <f>HYPERLINK("http://www.uniprot.org/uniprot/M5XZ16","M5XZ16")</f>
        <v>M5XZ16</v>
      </c>
      <c r="D1117" s="2" t="s">
        <v>1097</v>
      </c>
      <c r="E1117" s="3">
        <v>0</v>
      </c>
      <c r="F1117" s="2">
        <v>2267</v>
      </c>
      <c r="G1117" s="2">
        <v>100</v>
      </c>
      <c r="H1117" s="2">
        <v>504</v>
      </c>
      <c r="I1117" s="2">
        <v>274</v>
      </c>
      <c r="J1117" s="2">
        <v>1785</v>
      </c>
      <c r="K1117" s="2">
        <v>1</v>
      </c>
      <c r="L1117" s="2">
        <v>504</v>
      </c>
    </row>
    <row r="1118" spans="1:12" x14ac:dyDescent="0.25">
      <c r="A1118" s="4" t="str">
        <f>HYPERLINK("http://www.rosaceae.org/Prunus/Prunus_persica/p.persica_gdr_reftransV1_0022516","p.persica_gdr_reftransV1_0022516")</f>
        <v>p.persica_gdr_reftransV1_0022516</v>
      </c>
      <c r="B1118" s="2">
        <v>2162</v>
      </c>
      <c r="C1118" s="4" t="str">
        <f>HYPERLINK("http://www.uniprot.org/uniprot/M5XN82","M5XN82")</f>
        <v>M5XN82</v>
      </c>
      <c r="D1118" s="2" t="s">
        <v>1098</v>
      </c>
      <c r="E1118" s="3">
        <v>2.97E-120</v>
      </c>
      <c r="F1118" s="2">
        <v>968</v>
      </c>
      <c r="G1118" s="2">
        <v>95</v>
      </c>
      <c r="H1118" s="2">
        <v>193</v>
      </c>
      <c r="I1118" s="2">
        <v>890</v>
      </c>
      <c r="J1118" s="2">
        <v>1468</v>
      </c>
      <c r="K1118" s="2">
        <v>80</v>
      </c>
      <c r="L1118" s="2">
        <v>269</v>
      </c>
    </row>
    <row r="1119" spans="1:12" x14ac:dyDescent="0.25">
      <c r="A1119" s="4" t="str">
        <f>HYPERLINK("http://www.rosaceae.org/Prunus/Prunus_persica/p.persica_gdr_reftransV1_0023216","p.persica_gdr_reftransV1_0023216")</f>
        <v>p.persica_gdr_reftransV1_0023216</v>
      </c>
      <c r="B1119" s="2">
        <v>2064</v>
      </c>
      <c r="C1119" s="4" t="str">
        <f>HYPERLINK("http://www.uniprot.org/uniprot/K9P2Y9","K9P2Y9")</f>
        <v>K9P2Y9</v>
      </c>
      <c r="D1119" s="2" t="s">
        <v>1099</v>
      </c>
      <c r="E1119" s="3">
        <v>1.2500000000000001E-174</v>
      </c>
      <c r="F1119" s="2">
        <v>1331</v>
      </c>
      <c r="G1119" s="2">
        <v>78</v>
      </c>
      <c r="H1119" s="2">
        <v>396</v>
      </c>
      <c r="I1119" s="2">
        <v>124</v>
      </c>
      <c r="J1119" s="2">
        <v>1311</v>
      </c>
      <c r="K1119" s="2">
        <v>1</v>
      </c>
      <c r="L1119" s="2">
        <v>353</v>
      </c>
    </row>
    <row r="1120" spans="1:12" x14ac:dyDescent="0.25">
      <c r="A1120" s="4" t="str">
        <f>HYPERLINK("http://www.rosaceae.org/Prunus/Prunus_persica/p.persica_gdr_reftransV1_0025316","p.persica_gdr_reftransV1_0025316")</f>
        <v>p.persica_gdr_reftransV1_0025316</v>
      </c>
      <c r="B1120" s="2">
        <v>1839</v>
      </c>
      <c r="C1120" s="4" t="str">
        <f>HYPERLINK("http://www.uniprot.org/uniprot/M5WMM9","M5WMM9")</f>
        <v>M5WMM9</v>
      </c>
      <c r="D1120" s="2" t="s">
        <v>1100</v>
      </c>
      <c r="E1120" s="3">
        <v>0</v>
      </c>
      <c r="F1120" s="2">
        <v>1749</v>
      </c>
      <c r="G1120" s="2">
        <v>100</v>
      </c>
      <c r="H1120" s="2">
        <v>332</v>
      </c>
      <c r="I1120" s="2">
        <v>259</v>
      </c>
      <c r="J1120" s="2">
        <v>1254</v>
      </c>
      <c r="K1120" s="2">
        <v>1</v>
      </c>
      <c r="L1120" s="2">
        <v>332</v>
      </c>
    </row>
    <row r="1121" spans="1:12" x14ac:dyDescent="0.25">
      <c r="A1121" s="4" t="str">
        <f>HYPERLINK("http://www.rosaceae.org/Prunus/Prunus_persica/p.persica_gdr_reftransV1_0026016","p.persica_gdr_reftransV1_0026016")</f>
        <v>p.persica_gdr_reftransV1_0026016</v>
      </c>
      <c r="B1121" s="2">
        <v>3152</v>
      </c>
      <c r="C1121" s="4" t="str">
        <f>HYPERLINK("http://www.uniprot.org/uniprot/M5WV80","M5WV80")</f>
        <v>M5WV80</v>
      </c>
      <c r="D1121" s="2" t="s">
        <v>1101</v>
      </c>
      <c r="E1121" s="3">
        <v>0</v>
      </c>
      <c r="F1121" s="2">
        <v>2352</v>
      </c>
      <c r="G1121" s="2">
        <v>79</v>
      </c>
      <c r="H1121" s="2">
        <v>600</v>
      </c>
      <c r="I1121" s="2">
        <v>1034</v>
      </c>
      <c r="J1121" s="2">
        <v>2833</v>
      </c>
      <c r="K1121" s="2">
        <v>201</v>
      </c>
      <c r="L1121" s="2">
        <v>733</v>
      </c>
    </row>
    <row r="1122" spans="1:12" x14ac:dyDescent="0.25">
      <c r="A1122" s="4" t="str">
        <f>HYPERLINK("http://www.rosaceae.org/Prunus/Prunus_persica/p.persica_gdr_reftransV1_0026366","p.persica_gdr_reftransV1_0026366")</f>
        <v>p.persica_gdr_reftransV1_0026366</v>
      </c>
      <c r="B1122" s="2">
        <v>2224</v>
      </c>
      <c r="C1122" s="4" t="str">
        <f>HYPERLINK("http://www.uniprot.org/uniprot/M5VLC3","M5VLC3")</f>
        <v>M5VLC3</v>
      </c>
      <c r="D1122" s="2" t="s">
        <v>1102</v>
      </c>
      <c r="E1122" s="3">
        <v>9.76E-34</v>
      </c>
      <c r="F1122" s="2">
        <v>357</v>
      </c>
      <c r="G1122" s="2">
        <v>100</v>
      </c>
      <c r="H1122" s="2">
        <v>65</v>
      </c>
      <c r="I1122" s="2">
        <v>1</v>
      </c>
      <c r="J1122" s="2">
        <v>195</v>
      </c>
      <c r="K1122" s="2">
        <v>125</v>
      </c>
      <c r="L1122" s="2">
        <v>189</v>
      </c>
    </row>
    <row r="1123" spans="1:12" x14ac:dyDescent="0.25">
      <c r="A1123" s="4" t="str">
        <f>HYPERLINK("http://www.rosaceae.org/Prunus/Prunus_persica/p.persica_gdr_reftransV1_0026716","p.persica_gdr_reftransV1_0026716")</f>
        <v>p.persica_gdr_reftransV1_0026716</v>
      </c>
      <c r="B1123" s="2">
        <v>1862</v>
      </c>
      <c r="C1123" s="4" t="str">
        <f>HYPERLINK("http://www.uniprot.org/uniprot/M5WFI0","M5WFI0")</f>
        <v>M5WFI0</v>
      </c>
      <c r="D1123" s="2" t="s">
        <v>1103</v>
      </c>
      <c r="E1123" s="3">
        <v>3.3599999999999999E-56</v>
      </c>
      <c r="F1123" s="2">
        <v>524</v>
      </c>
      <c r="G1123" s="2">
        <v>99</v>
      </c>
      <c r="H1123" s="2">
        <v>101</v>
      </c>
      <c r="I1123" s="2">
        <v>494</v>
      </c>
      <c r="J1123" s="2">
        <v>796</v>
      </c>
      <c r="K1123" s="2">
        <v>300</v>
      </c>
      <c r="L1123" s="2">
        <v>400</v>
      </c>
    </row>
    <row r="1124" spans="1:12" x14ac:dyDescent="0.25">
      <c r="A1124" s="4" t="str">
        <f>HYPERLINK("http://www.rosaceae.org/Prunus/Prunus_persica/p.persica_gdr_reftransV1_0027066","p.persica_gdr_reftransV1_0027066")</f>
        <v>p.persica_gdr_reftransV1_0027066</v>
      </c>
      <c r="B1124" s="2">
        <v>1373</v>
      </c>
      <c r="C1124" s="4" t="str">
        <f>HYPERLINK("http://www.uniprot.org/uniprot/M5W1J7","M5W1J7")</f>
        <v>M5W1J7</v>
      </c>
      <c r="D1124" s="2" t="s">
        <v>1104</v>
      </c>
      <c r="E1124" s="3">
        <v>6.4900000000000003E-156</v>
      </c>
      <c r="F1124" s="2">
        <v>1168</v>
      </c>
      <c r="G1124" s="2">
        <v>92</v>
      </c>
      <c r="H1124" s="2">
        <v>278</v>
      </c>
      <c r="I1124" s="2">
        <v>289</v>
      </c>
      <c r="J1124" s="2">
        <v>1122</v>
      </c>
      <c r="K1124" s="2">
        <v>1</v>
      </c>
      <c r="L1124" s="2">
        <v>256</v>
      </c>
    </row>
    <row r="1125" spans="1:12" x14ac:dyDescent="0.25">
      <c r="A1125" s="4" t="str">
        <f>HYPERLINK("http://www.rosaceae.org/Prunus/Prunus_persica/p.persica_gdr_reftransV1_0027416","p.persica_gdr_reftransV1_0027416")</f>
        <v>p.persica_gdr_reftransV1_0027416</v>
      </c>
      <c r="B1125" s="2">
        <v>1902</v>
      </c>
      <c r="C1125" s="4" t="str">
        <f>HYPERLINK("http://www.uniprot.org/uniprot/M5X5Z8","M5X5Z8")</f>
        <v>M5X5Z8</v>
      </c>
      <c r="D1125" s="2" t="s">
        <v>1105</v>
      </c>
      <c r="E1125" s="3">
        <v>0</v>
      </c>
      <c r="F1125" s="2">
        <v>1641</v>
      </c>
      <c r="G1125" s="2">
        <v>88</v>
      </c>
      <c r="H1125" s="2">
        <v>458</v>
      </c>
      <c r="I1125" s="2">
        <v>179</v>
      </c>
      <c r="J1125" s="2">
        <v>1552</v>
      </c>
      <c r="K1125" s="2">
        <v>1</v>
      </c>
      <c r="L1125" s="2">
        <v>428</v>
      </c>
    </row>
    <row r="1126" spans="1:12" x14ac:dyDescent="0.25">
      <c r="A1126" s="4" t="str">
        <f>HYPERLINK("http://www.rosaceae.org/Prunus/Prunus_persica/p.persica_gdr_reftransV1_0028116","p.persica_gdr_reftransV1_0028116")</f>
        <v>p.persica_gdr_reftransV1_0028116</v>
      </c>
      <c r="B1126" s="2">
        <v>2159</v>
      </c>
      <c r="C1126" s="4" t="str">
        <f>HYPERLINK("http://www.uniprot.org/uniprot/M5X176","M5X176")</f>
        <v>M5X176</v>
      </c>
      <c r="D1126" s="2" t="s">
        <v>1106</v>
      </c>
      <c r="E1126" s="3">
        <v>0</v>
      </c>
      <c r="F1126" s="2">
        <v>2280</v>
      </c>
      <c r="G1126" s="2">
        <v>94</v>
      </c>
      <c r="H1126" s="2">
        <v>463</v>
      </c>
      <c r="I1126" s="2">
        <v>237</v>
      </c>
      <c r="J1126" s="2">
        <v>1625</v>
      </c>
      <c r="K1126" s="2">
        <v>1</v>
      </c>
      <c r="L1126" s="2">
        <v>433</v>
      </c>
    </row>
    <row r="1127" spans="1:12" x14ac:dyDescent="0.25">
      <c r="A1127" s="4" t="str">
        <f>HYPERLINK("http://www.rosaceae.org/Prunus/Prunus_persica/p.persica_gdr_reftransV1_0029166","p.persica_gdr_reftransV1_0029166")</f>
        <v>p.persica_gdr_reftransV1_0029166</v>
      </c>
      <c r="B1127" s="2">
        <v>1921</v>
      </c>
      <c r="C1127" s="4" t="str">
        <f>HYPERLINK("http://www.uniprot.org/uniprot/M5WJD2","M5WJD2")</f>
        <v>M5WJD2</v>
      </c>
      <c r="D1127" s="2" t="s">
        <v>1107</v>
      </c>
      <c r="E1127" s="3">
        <v>0</v>
      </c>
      <c r="F1127" s="2">
        <v>2257</v>
      </c>
      <c r="G1127" s="2">
        <v>100</v>
      </c>
      <c r="H1127" s="2">
        <v>522</v>
      </c>
      <c r="I1127" s="2">
        <v>89</v>
      </c>
      <c r="J1127" s="2">
        <v>1654</v>
      </c>
      <c r="K1127" s="2">
        <v>31</v>
      </c>
      <c r="L1127" s="2">
        <v>552</v>
      </c>
    </row>
    <row r="1128" spans="1:12" x14ac:dyDescent="0.25">
      <c r="A1128" s="4" t="str">
        <f>HYPERLINK("http://www.rosaceae.org/Prunus/Prunus_persica/p.persica_gdr_reftransV1_0029516","p.persica_gdr_reftransV1_0029516")</f>
        <v>p.persica_gdr_reftransV1_0029516</v>
      </c>
      <c r="B1128" s="2">
        <v>1670</v>
      </c>
      <c r="C1128" s="4" t="str">
        <f>HYPERLINK("http://www.uniprot.org/uniprot/M5W9E0","M5W9E0")</f>
        <v>M5W9E0</v>
      </c>
      <c r="D1128" s="2" t="s">
        <v>1108</v>
      </c>
      <c r="E1128" s="3">
        <v>0</v>
      </c>
      <c r="F1128" s="2">
        <v>2132</v>
      </c>
      <c r="G1128" s="2">
        <v>100</v>
      </c>
      <c r="H1128" s="2">
        <v>432</v>
      </c>
      <c r="I1128" s="2">
        <v>90</v>
      </c>
      <c r="J1128" s="2">
        <v>1385</v>
      </c>
      <c r="K1128" s="2">
        <v>1</v>
      </c>
      <c r="L1128" s="2">
        <v>432</v>
      </c>
    </row>
    <row r="1129" spans="1:12" x14ac:dyDescent="0.25">
      <c r="A1129" s="4" t="str">
        <f>HYPERLINK("http://www.rosaceae.org/Prunus/Prunus_persica/p.persica_gdr_reftransV1_0029866","p.persica_gdr_reftransV1_0029866")</f>
        <v>p.persica_gdr_reftransV1_0029866</v>
      </c>
      <c r="B1129" s="2">
        <v>1926</v>
      </c>
      <c r="C1129" s="4" t="str">
        <f>HYPERLINK("http://www.uniprot.org/uniprot/M5XRX0","M5XRX0")</f>
        <v>M5XRX0</v>
      </c>
      <c r="D1129" s="2" t="s">
        <v>1109</v>
      </c>
      <c r="E1129" s="3">
        <v>0</v>
      </c>
      <c r="F1129" s="2">
        <v>1764</v>
      </c>
      <c r="G1129" s="2">
        <v>100</v>
      </c>
      <c r="H1129" s="2">
        <v>383</v>
      </c>
      <c r="I1129" s="2">
        <v>596</v>
      </c>
      <c r="J1129" s="2">
        <v>1744</v>
      </c>
      <c r="K1129" s="2">
        <v>1</v>
      </c>
      <c r="L1129" s="2">
        <v>383</v>
      </c>
    </row>
    <row r="1130" spans="1:12" x14ac:dyDescent="0.25">
      <c r="A1130" s="4" t="str">
        <f>HYPERLINK("http://www.rosaceae.org/Prunus/Prunus_persica/p.persica_gdr_reftransV1_0032666","p.persica_gdr_reftransV1_0032666")</f>
        <v>p.persica_gdr_reftransV1_0032666</v>
      </c>
      <c r="B1130" s="2">
        <v>3955</v>
      </c>
      <c r="C1130" s="4" t="str">
        <f>HYPERLINK("http://www.uniprot.org/uniprot/M5XT17","M5XT17")</f>
        <v>M5XT17</v>
      </c>
      <c r="D1130" s="2" t="s">
        <v>1110</v>
      </c>
      <c r="E1130" s="3">
        <v>2.1099999999999999E-147</v>
      </c>
      <c r="F1130" s="2">
        <v>1199</v>
      </c>
      <c r="G1130" s="2">
        <v>100</v>
      </c>
      <c r="H1130" s="2">
        <v>253</v>
      </c>
      <c r="I1130" s="2">
        <v>1641</v>
      </c>
      <c r="J1130" s="2">
        <v>2399</v>
      </c>
      <c r="K1130" s="2">
        <v>1</v>
      </c>
      <c r="L1130" s="2">
        <v>253</v>
      </c>
    </row>
    <row r="1131" spans="1:12" x14ac:dyDescent="0.25">
      <c r="A1131" s="4" t="str">
        <f>HYPERLINK("http://www.rosaceae.org/Prunus/Prunus_persica/p.persica_gdr_reftransV1_0033366","p.persica_gdr_reftransV1_0033366")</f>
        <v>p.persica_gdr_reftransV1_0033366</v>
      </c>
      <c r="B1131" s="2">
        <v>2676</v>
      </c>
      <c r="C1131" s="4" t="str">
        <f>HYPERLINK("http://www.uniprot.org/uniprot/M5VS58","M5VS58")</f>
        <v>M5VS58</v>
      </c>
      <c r="D1131" s="2" t="s">
        <v>1111</v>
      </c>
      <c r="E1131" s="3">
        <v>9.64E-88</v>
      </c>
      <c r="F1131" s="2">
        <v>737</v>
      </c>
      <c r="G1131" s="2">
        <v>100</v>
      </c>
      <c r="H1131" s="2">
        <v>172</v>
      </c>
      <c r="I1131" s="2">
        <v>412</v>
      </c>
      <c r="J1131" s="2">
        <v>927</v>
      </c>
      <c r="K1131" s="2">
        <v>1</v>
      </c>
      <c r="L1131" s="2">
        <v>172</v>
      </c>
    </row>
    <row r="1132" spans="1:12" x14ac:dyDescent="0.25">
      <c r="A1132" s="4" t="str">
        <f>HYPERLINK("http://www.rosaceae.org/Prunus/Prunus_persica/p.persica_gdr_reftransV1_0034766","p.persica_gdr_reftransV1_0034766")</f>
        <v>p.persica_gdr_reftransV1_0034766</v>
      </c>
      <c r="B1132" s="2">
        <v>4271</v>
      </c>
      <c r="C1132" s="4" t="str">
        <f>HYPERLINK("http://www.uniprot.org/uniprot/M5WHP2","M5WHP2")</f>
        <v>M5WHP2</v>
      </c>
      <c r="D1132" s="2" t="s">
        <v>1112</v>
      </c>
      <c r="E1132" s="3">
        <v>0</v>
      </c>
      <c r="F1132" s="2">
        <v>1594</v>
      </c>
      <c r="G1132" s="2">
        <v>100</v>
      </c>
      <c r="H1132" s="2">
        <v>498</v>
      </c>
      <c r="I1132" s="2">
        <v>149</v>
      </c>
      <c r="J1132" s="2">
        <v>1642</v>
      </c>
      <c r="K1132" s="2">
        <v>1</v>
      </c>
      <c r="L1132" s="2">
        <v>498</v>
      </c>
    </row>
    <row r="1133" spans="1:12" x14ac:dyDescent="0.25">
      <c r="A1133" s="4" t="str">
        <f>HYPERLINK("http://www.rosaceae.org/Prunus/Prunus_persica/p.persica_gdr_reftransV1_0035816","p.persica_gdr_reftransV1_0035816")</f>
        <v>p.persica_gdr_reftransV1_0035816</v>
      </c>
      <c r="B1133" s="2">
        <v>2615</v>
      </c>
      <c r="C1133" s="4" t="str">
        <f>HYPERLINK("http://www.uniprot.org/uniprot/M5XVL4","M5XVL4")</f>
        <v>M5XVL4</v>
      </c>
      <c r="D1133" s="2" t="s">
        <v>1113</v>
      </c>
      <c r="E1133" s="3">
        <v>0</v>
      </c>
      <c r="F1133" s="2">
        <v>3249</v>
      </c>
      <c r="G1133" s="2">
        <v>100</v>
      </c>
      <c r="H1133" s="2">
        <v>625</v>
      </c>
      <c r="I1133" s="2">
        <v>398</v>
      </c>
      <c r="J1133" s="2">
        <v>2272</v>
      </c>
      <c r="K1133" s="2">
        <v>1</v>
      </c>
      <c r="L1133" s="2">
        <v>625</v>
      </c>
    </row>
    <row r="1134" spans="1:12" x14ac:dyDescent="0.25">
      <c r="A1134" s="4" t="str">
        <f>HYPERLINK("http://www.rosaceae.org/Prunus/Prunus_persica/p.persica_gdr_reftransV1_0036166","p.persica_gdr_reftransV1_0036166")</f>
        <v>p.persica_gdr_reftransV1_0036166</v>
      </c>
      <c r="B1134" s="2">
        <v>3217</v>
      </c>
      <c r="C1134" s="4" t="str">
        <f>HYPERLINK("http://www.uniprot.org/uniprot/M5X6U5","M5X6U5")</f>
        <v>M5X6U5</v>
      </c>
      <c r="D1134" s="2" t="s">
        <v>1114</v>
      </c>
      <c r="E1134" s="3">
        <v>0</v>
      </c>
      <c r="F1134" s="2">
        <v>4138</v>
      </c>
      <c r="G1134" s="2">
        <v>98</v>
      </c>
      <c r="H1134" s="2">
        <v>802</v>
      </c>
      <c r="I1134" s="2">
        <v>812</v>
      </c>
      <c r="J1134" s="2">
        <v>3217</v>
      </c>
      <c r="K1134" s="2">
        <v>950</v>
      </c>
      <c r="L1134" s="2">
        <v>1750</v>
      </c>
    </row>
    <row r="1135" spans="1:12" x14ac:dyDescent="0.25">
      <c r="A1135" s="4" t="str">
        <f>HYPERLINK("http://www.rosaceae.org/Prunus/Prunus_persica/p.persica_gdr_reftransV1_0038266","p.persica_gdr_reftransV1_0038266")</f>
        <v>p.persica_gdr_reftransV1_0038266</v>
      </c>
      <c r="B1135" s="2">
        <v>3195</v>
      </c>
      <c r="C1135" s="4" t="str">
        <f>HYPERLINK("http://www.uniprot.org/uniprot/M5W607","M5W607")</f>
        <v>M5W607</v>
      </c>
      <c r="D1135" s="2" t="s">
        <v>1115</v>
      </c>
      <c r="E1135" s="3">
        <v>4.16E-148</v>
      </c>
      <c r="F1135" s="2">
        <v>1185</v>
      </c>
      <c r="G1135" s="2">
        <v>99</v>
      </c>
      <c r="H1135" s="2">
        <v>227</v>
      </c>
      <c r="I1135" s="2">
        <v>1040</v>
      </c>
      <c r="J1135" s="2">
        <v>1720</v>
      </c>
      <c r="K1135" s="2">
        <v>200</v>
      </c>
      <c r="L1135" s="2">
        <v>426</v>
      </c>
    </row>
    <row r="1136" spans="1:12" x14ac:dyDescent="0.25">
      <c r="A1136" s="4" t="str">
        <f>HYPERLINK("http://www.rosaceae.org/Prunus/Prunus_persica/p.persica_gdr_reftransV1_0038616","p.persica_gdr_reftransV1_0038616")</f>
        <v>p.persica_gdr_reftransV1_0038616</v>
      </c>
      <c r="B1136" s="2">
        <v>2800</v>
      </c>
      <c r="C1136" s="4" t="str">
        <f>HYPERLINK("http://www.uniprot.org/uniprot/M5XT60","M5XT60")</f>
        <v>M5XT60</v>
      </c>
      <c r="D1136" s="2" t="s">
        <v>1116</v>
      </c>
      <c r="E1136" s="3">
        <v>1.94E-44</v>
      </c>
      <c r="F1136" s="2">
        <v>428</v>
      </c>
      <c r="G1136" s="2">
        <v>100</v>
      </c>
      <c r="H1136" s="2">
        <v>81</v>
      </c>
      <c r="I1136" s="2">
        <v>150</v>
      </c>
      <c r="J1136" s="2">
        <v>392</v>
      </c>
      <c r="K1136" s="2">
        <v>1</v>
      </c>
      <c r="L1136" s="2">
        <v>81</v>
      </c>
    </row>
    <row r="1137" spans="1:12" x14ac:dyDescent="0.25">
      <c r="A1137" s="4" t="str">
        <f>HYPERLINK("http://www.rosaceae.org/Prunus/Prunus_persica/p.persica_gdr_reftransV1_0039316","p.persica_gdr_reftransV1_0039316")</f>
        <v>p.persica_gdr_reftransV1_0039316</v>
      </c>
      <c r="B1137" s="2">
        <v>1712</v>
      </c>
      <c r="C1137" s="4" t="str">
        <f>HYPERLINK("http://www.uniprot.org/uniprot/M5WDL7","M5WDL7")</f>
        <v>M5WDL7</v>
      </c>
      <c r="D1137" s="2" t="s">
        <v>1117</v>
      </c>
      <c r="E1137" s="3">
        <v>0</v>
      </c>
      <c r="F1137" s="2">
        <v>1706</v>
      </c>
      <c r="G1137" s="2">
        <v>95</v>
      </c>
      <c r="H1137" s="2">
        <v>419</v>
      </c>
      <c r="I1137" s="2">
        <v>267</v>
      </c>
      <c r="J1137" s="2">
        <v>1463</v>
      </c>
      <c r="K1137" s="2">
        <v>1</v>
      </c>
      <c r="L1137" s="2">
        <v>419</v>
      </c>
    </row>
    <row r="1138" spans="1:12" x14ac:dyDescent="0.25">
      <c r="A1138" s="4" t="str">
        <f>HYPERLINK("http://www.rosaceae.org/Prunus/Prunus_persica/p.persica_gdr_reftransV1_0042466","p.persica_gdr_reftransV1_0042466")</f>
        <v>p.persica_gdr_reftransV1_0042466</v>
      </c>
      <c r="B1138" s="2">
        <v>3132</v>
      </c>
      <c r="C1138" s="4" t="str">
        <f>HYPERLINK("http://www.uniprot.org/uniprot/M5WFC3","M5WFC3")</f>
        <v>M5WFC3</v>
      </c>
      <c r="D1138" s="2" t="s">
        <v>1118</v>
      </c>
      <c r="E1138" s="3">
        <v>0</v>
      </c>
      <c r="F1138" s="2">
        <v>3428</v>
      </c>
      <c r="G1138" s="2">
        <v>98</v>
      </c>
      <c r="H1138" s="2">
        <v>776</v>
      </c>
      <c r="I1138" s="2">
        <v>397</v>
      </c>
      <c r="J1138" s="2">
        <v>2724</v>
      </c>
      <c r="K1138" s="2">
        <v>1</v>
      </c>
      <c r="L1138" s="2">
        <v>772</v>
      </c>
    </row>
    <row r="1139" spans="1:12" x14ac:dyDescent="0.25">
      <c r="A1139" s="4" t="str">
        <f>HYPERLINK("http://www.rosaceae.org/Prunus/Prunus_persica/p.persica_gdr_reftransV1_0043166","p.persica_gdr_reftransV1_0043166")</f>
        <v>p.persica_gdr_reftransV1_0043166</v>
      </c>
      <c r="B1139" s="2">
        <v>353</v>
      </c>
      <c r="C1139" s="4" t="str">
        <f>HYPERLINK("http://www.uniprot.org/uniprot/M5XNM5","M5XNM5")</f>
        <v>M5XNM5</v>
      </c>
      <c r="D1139" s="2" t="s">
        <v>1119</v>
      </c>
      <c r="E1139" s="3">
        <v>2.3300000000000001E-54</v>
      </c>
      <c r="F1139" s="2">
        <v>484</v>
      </c>
      <c r="G1139" s="2">
        <v>100</v>
      </c>
      <c r="H1139" s="2">
        <v>90</v>
      </c>
      <c r="I1139" s="2">
        <v>83</v>
      </c>
      <c r="J1139" s="2">
        <v>352</v>
      </c>
      <c r="K1139" s="2">
        <v>9</v>
      </c>
      <c r="L1139" s="2">
        <v>98</v>
      </c>
    </row>
    <row r="1140" spans="1:12" x14ac:dyDescent="0.25">
      <c r="A1140" s="4" t="str">
        <f>HYPERLINK("http://www.rosaceae.org/Prunus/Prunus_persica/p.persica_gdr_reftransV1_0043516","p.persica_gdr_reftransV1_0043516")</f>
        <v>p.persica_gdr_reftransV1_0043516</v>
      </c>
      <c r="B1140" s="2">
        <v>1770</v>
      </c>
      <c r="C1140" s="4" t="str">
        <f>HYPERLINK("http://www.uniprot.org/uniprot/M5XC91","M5XC91")</f>
        <v>M5XC91</v>
      </c>
      <c r="D1140" s="2" t="s">
        <v>1120</v>
      </c>
      <c r="E1140" s="3">
        <v>0</v>
      </c>
      <c r="F1140" s="2">
        <v>2448</v>
      </c>
      <c r="G1140" s="2">
        <v>100</v>
      </c>
      <c r="H1140" s="2">
        <v>492</v>
      </c>
      <c r="I1140" s="2">
        <v>120</v>
      </c>
      <c r="J1140" s="2">
        <v>1595</v>
      </c>
      <c r="K1140" s="2">
        <v>1</v>
      </c>
      <c r="L1140" s="2">
        <v>492</v>
      </c>
    </row>
    <row r="1141" spans="1:12" x14ac:dyDescent="0.25">
      <c r="A1141" s="4" t="str">
        <f>HYPERLINK("http://www.rosaceae.org/Prunus/Prunus_persica/p.persica_gdr_reftransV1_0043866","p.persica_gdr_reftransV1_0043866")</f>
        <v>p.persica_gdr_reftransV1_0043866</v>
      </c>
      <c r="B1141" s="2">
        <v>351</v>
      </c>
      <c r="C1141" s="4" t="str">
        <f>HYPERLINK("http://www.uniprot.org/uniprot/M5VVV3","M5VVV3")</f>
        <v>M5VVV3</v>
      </c>
      <c r="D1141" s="2" t="s">
        <v>1121</v>
      </c>
      <c r="E1141" s="3">
        <v>1.1500000000000001E-64</v>
      </c>
      <c r="F1141" s="2">
        <v>534</v>
      </c>
      <c r="G1141" s="2">
        <v>100</v>
      </c>
      <c r="H1141" s="2">
        <v>116</v>
      </c>
      <c r="I1141" s="2">
        <v>2</v>
      </c>
      <c r="J1141" s="2">
        <v>349</v>
      </c>
      <c r="K1141" s="2">
        <v>127</v>
      </c>
      <c r="L1141" s="2">
        <v>242</v>
      </c>
    </row>
    <row r="1142" spans="1:12" x14ac:dyDescent="0.25">
      <c r="A1142" s="4" t="str">
        <f>HYPERLINK("http://www.rosaceae.org/Prunus/Prunus_persica/p.persica_gdr_reftransV1_0044216","p.persica_gdr_reftransV1_0044216")</f>
        <v>p.persica_gdr_reftransV1_0044216</v>
      </c>
      <c r="B1142" s="2">
        <v>1414</v>
      </c>
      <c r="C1142" s="4" t="str">
        <f>HYPERLINK("http://www.uniprot.org/uniprot/M5VU64","M5VU64")</f>
        <v>M5VU64</v>
      </c>
      <c r="D1142" s="2" t="s">
        <v>1122</v>
      </c>
      <c r="E1142" s="3">
        <v>0</v>
      </c>
      <c r="F1142" s="2">
        <v>1829</v>
      </c>
      <c r="G1142" s="2">
        <v>95</v>
      </c>
      <c r="H1142" s="2">
        <v>394</v>
      </c>
      <c r="I1142" s="2">
        <v>1</v>
      </c>
      <c r="J1142" s="2">
        <v>1182</v>
      </c>
      <c r="K1142" s="2">
        <v>464</v>
      </c>
      <c r="L1142" s="2">
        <v>839</v>
      </c>
    </row>
    <row r="1143" spans="1:12" x14ac:dyDescent="0.25">
      <c r="A1143" s="4" t="str">
        <f>HYPERLINK("http://www.rosaceae.org/Prunus/Prunus_persica/p.persica_gdr_reftransV1_0044566","p.persica_gdr_reftransV1_0044566")</f>
        <v>p.persica_gdr_reftransV1_0044566</v>
      </c>
      <c r="B1143" s="2">
        <v>1106</v>
      </c>
      <c r="C1143" s="4" t="str">
        <f>HYPERLINK("http://www.uniprot.org/uniprot/W9QU16","W9QU16")</f>
        <v>W9QU16</v>
      </c>
      <c r="D1143" s="2" t="s">
        <v>1123</v>
      </c>
      <c r="E1143" s="3">
        <v>3.4800000000000002E-70</v>
      </c>
      <c r="F1143" s="2">
        <v>579</v>
      </c>
      <c r="G1143" s="2">
        <v>81</v>
      </c>
      <c r="H1143" s="2">
        <v>136</v>
      </c>
      <c r="I1143" s="2">
        <v>485</v>
      </c>
      <c r="J1143" s="2">
        <v>889</v>
      </c>
      <c r="K1143" s="2">
        <v>1</v>
      </c>
      <c r="L1143" s="2">
        <v>136</v>
      </c>
    </row>
    <row r="1144" spans="1:12" x14ac:dyDescent="0.25">
      <c r="A1144" s="4" t="str">
        <f>HYPERLINK("http://www.rosaceae.org/Prunus/Prunus_persica/p.persica_gdr_reftransV1_0044916","p.persica_gdr_reftransV1_0044916")</f>
        <v>p.persica_gdr_reftransV1_0044916</v>
      </c>
      <c r="B1144" s="2">
        <v>1342</v>
      </c>
      <c r="C1144" s="4" t="str">
        <f>HYPERLINK("http://www.uniprot.org/uniprot/M5X7W9","M5X7W9")</f>
        <v>M5X7W9</v>
      </c>
      <c r="D1144" s="2" t="s">
        <v>1124</v>
      </c>
      <c r="E1144" s="3">
        <v>0</v>
      </c>
      <c r="F1144" s="2">
        <v>1683</v>
      </c>
      <c r="G1144" s="2">
        <v>100</v>
      </c>
      <c r="H1144" s="2">
        <v>385</v>
      </c>
      <c r="I1144" s="2">
        <v>2</v>
      </c>
      <c r="J1144" s="2">
        <v>1156</v>
      </c>
      <c r="K1144" s="2">
        <v>3</v>
      </c>
      <c r="L1144" s="2">
        <v>387</v>
      </c>
    </row>
    <row r="1145" spans="1:12" x14ac:dyDescent="0.25">
      <c r="A1145" s="4" t="str">
        <f>HYPERLINK("http://www.rosaceae.org/Prunus/Prunus_persica/p.persica_gdr_reftransV1_0045266","p.persica_gdr_reftransV1_0045266")</f>
        <v>p.persica_gdr_reftransV1_0045266</v>
      </c>
      <c r="B1145" s="2">
        <v>636</v>
      </c>
      <c r="C1145" s="4" t="str">
        <f>HYPERLINK("http://www.uniprot.org/uniprot/M5Y5F6","M5Y5F6")</f>
        <v>M5Y5F6</v>
      </c>
      <c r="D1145" s="2" t="s">
        <v>1125</v>
      </c>
      <c r="E1145" s="3">
        <v>1.7799999999999999E-68</v>
      </c>
      <c r="F1145" s="2">
        <v>551</v>
      </c>
      <c r="G1145" s="2">
        <v>100</v>
      </c>
      <c r="H1145" s="2">
        <v>106</v>
      </c>
      <c r="I1145" s="2">
        <v>71</v>
      </c>
      <c r="J1145" s="2">
        <v>388</v>
      </c>
      <c r="K1145" s="2">
        <v>4</v>
      </c>
      <c r="L1145" s="2">
        <v>109</v>
      </c>
    </row>
    <row r="1146" spans="1:12" x14ac:dyDescent="0.25">
      <c r="A1146" s="4" t="str">
        <f>HYPERLINK("http://www.rosaceae.org/Prunus/Prunus_persica/p.persica_gdr_reftransV1_0045616","p.persica_gdr_reftransV1_0045616")</f>
        <v>p.persica_gdr_reftransV1_0045616</v>
      </c>
      <c r="B1146" s="2">
        <v>2163</v>
      </c>
      <c r="C1146" s="4" t="str">
        <f>HYPERLINK("http://www.uniprot.org/uniprot/M5VXS4","M5VXS4")</f>
        <v>M5VXS4</v>
      </c>
      <c r="D1146" s="2" t="s">
        <v>1126</v>
      </c>
      <c r="E1146" s="3">
        <v>0</v>
      </c>
      <c r="F1146" s="2">
        <v>2621</v>
      </c>
      <c r="G1146" s="2">
        <v>100</v>
      </c>
      <c r="H1146" s="2">
        <v>504</v>
      </c>
      <c r="I1146" s="2">
        <v>424</v>
      </c>
      <c r="J1146" s="2">
        <v>1935</v>
      </c>
      <c r="K1146" s="2">
        <v>14</v>
      </c>
      <c r="L1146" s="2">
        <v>517</v>
      </c>
    </row>
    <row r="1147" spans="1:12" x14ac:dyDescent="0.25">
      <c r="A1147" s="4" t="str">
        <f>HYPERLINK("http://www.rosaceae.org/Prunus/Prunus_persica/p.persica_gdr_reftransV1_0046316","p.persica_gdr_reftransV1_0046316")</f>
        <v>p.persica_gdr_reftransV1_0046316</v>
      </c>
      <c r="B1147" s="2">
        <v>1492</v>
      </c>
      <c r="C1147" s="4" t="str">
        <f>HYPERLINK("http://www.uniprot.org/uniprot/M5WR40","M5WR40")</f>
        <v>M5WR40</v>
      </c>
      <c r="D1147" s="2" t="s">
        <v>1127</v>
      </c>
      <c r="E1147" s="3">
        <v>0</v>
      </c>
      <c r="F1147" s="2">
        <v>2292</v>
      </c>
      <c r="G1147" s="2">
        <v>100</v>
      </c>
      <c r="H1147" s="2">
        <v>428</v>
      </c>
      <c r="I1147" s="2">
        <v>2</v>
      </c>
      <c r="J1147" s="2">
        <v>1285</v>
      </c>
      <c r="K1147" s="2">
        <v>431</v>
      </c>
      <c r="L1147" s="2">
        <v>858</v>
      </c>
    </row>
    <row r="1148" spans="1:12" x14ac:dyDescent="0.25">
      <c r="A1148" s="4" t="str">
        <f>HYPERLINK("http://www.rosaceae.org/Prunus/Prunus_persica/p.persica_gdr_reftransV1_0046666","p.persica_gdr_reftransV1_0046666")</f>
        <v>p.persica_gdr_reftransV1_0046666</v>
      </c>
      <c r="B1148" s="2">
        <v>820</v>
      </c>
      <c r="C1148" s="4" t="str">
        <f>HYPERLINK("http://www.uniprot.org/uniprot/M5VR09","M5VR09")</f>
        <v>M5VR09</v>
      </c>
      <c r="D1148" s="2" t="s">
        <v>1128</v>
      </c>
      <c r="E1148" s="3">
        <v>1.7200000000000001E-102</v>
      </c>
      <c r="F1148" s="2">
        <v>803</v>
      </c>
      <c r="G1148" s="2">
        <v>89</v>
      </c>
      <c r="H1148" s="2">
        <v>175</v>
      </c>
      <c r="I1148" s="2">
        <v>352</v>
      </c>
      <c r="J1148" s="2">
        <v>819</v>
      </c>
      <c r="K1148" s="2">
        <v>150</v>
      </c>
      <c r="L1148" s="2">
        <v>324</v>
      </c>
    </row>
    <row r="1149" spans="1:12" x14ac:dyDescent="0.25">
      <c r="A1149" s="4" t="str">
        <f>HYPERLINK("http://www.rosaceae.org/Prunus/Prunus_persica/p.persica_gdr_reftransV1_0047366","p.persica_gdr_reftransV1_0047366")</f>
        <v>p.persica_gdr_reftransV1_0047366</v>
      </c>
      <c r="B1149" s="2">
        <v>693</v>
      </c>
      <c r="C1149" s="4" t="str">
        <f>HYPERLINK("http://www.uniprot.org/uniprot/M5WM48","M5WM48")</f>
        <v>M5WM48</v>
      </c>
      <c r="D1149" s="2" t="s">
        <v>1129</v>
      </c>
      <c r="E1149" s="3">
        <v>3.7799999999999999E-153</v>
      </c>
      <c r="F1149" s="2">
        <v>1123</v>
      </c>
      <c r="G1149" s="2">
        <v>100</v>
      </c>
      <c r="H1149" s="2">
        <v>226</v>
      </c>
      <c r="I1149" s="2">
        <v>9</v>
      </c>
      <c r="J1149" s="2">
        <v>686</v>
      </c>
      <c r="K1149" s="2">
        <v>1</v>
      </c>
      <c r="L1149" s="2">
        <v>226</v>
      </c>
    </row>
    <row r="1150" spans="1:12" x14ac:dyDescent="0.25">
      <c r="A1150" s="4" t="str">
        <f>HYPERLINK("http://www.rosaceae.org/Prunus/Prunus_persica/p.persica_gdr_reftransV1_0047716","p.persica_gdr_reftransV1_0047716")</f>
        <v>p.persica_gdr_reftransV1_0047716</v>
      </c>
      <c r="B1150" s="2">
        <v>2063</v>
      </c>
      <c r="C1150" s="4" t="str">
        <f>HYPERLINK("http://www.uniprot.org/uniprot/M5XBC3","M5XBC3")</f>
        <v>M5XBC3</v>
      </c>
      <c r="D1150" s="2" t="s">
        <v>1130</v>
      </c>
      <c r="E1150" s="3">
        <v>4.4100000000000001E-135</v>
      </c>
      <c r="F1150" s="2">
        <v>1062</v>
      </c>
      <c r="G1150" s="2">
        <v>100</v>
      </c>
      <c r="H1150" s="2">
        <v>246</v>
      </c>
      <c r="I1150" s="2">
        <v>115</v>
      </c>
      <c r="J1150" s="2">
        <v>852</v>
      </c>
      <c r="K1150" s="2">
        <v>32</v>
      </c>
      <c r="L1150" s="2">
        <v>277</v>
      </c>
    </row>
    <row r="1151" spans="1:12" x14ac:dyDescent="0.25">
      <c r="A1151" s="4" t="str">
        <f>HYPERLINK("http://www.rosaceae.org/Prunus/Prunus_persica/p.persica_gdr_reftransV1_0048416","p.persica_gdr_reftransV1_0048416")</f>
        <v>p.persica_gdr_reftransV1_0048416</v>
      </c>
      <c r="B1151" s="2">
        <v>1232</v>
      </c>
      <c r="C1151" s="4" t="str">
        <f>HYPERLINK("http://www.uniprot.org/uniprot/M5VYE7","M5VYE7")</f>
        <v>M5VYE7</v>
      </c>
      <c r="D1151" s="2" t="s">
        <v>1131</v>
      </c>
      <c r="E1151" s="3">
        <v>0</v>
      </c>
      <c r="F1151" s="2">
        <v>1987</v>
      </c>
      <c r="G1151" s="2">
        <v>97</v>
      </c>
      <c r="H1151" s="2">
        <v>392</v>
      </c>
      <c r="I1151" s="2">
        <v>3</v>
      </c>
      <c r="J1151" s="2">
        <v>1178</v>
      </c>
      <c r="K1151" s="2">
        <v>1</v>
      </c>
      <c r="L1151" s="2">
        <v>383</v>
      </c>
    </row>
    <row r="1152" spans="1:12" x14ac:dyDescent="0.25">
      <c r="A1152" s="4" t="str">
        <f>HYPERLINK("http://www.rosaceae.org/Prunus/Prunus_persica/p.persica_gdr_reftransV1_0048766","p.persica_gdr_reftransV1_0048766")</f>
        <v>p.persica_gdr_reftransV1_0048766</v>
      </c>
      <c r="B1152" s="2">
        <v>1210</v>
      </c>
      <c r="C1152" s="4" t="str">
        <f>HYPERLINK("http://www.uniprot.org/uniprot/M5XFB8","M5XFB8")</f>
        <v>M5XFB8</v>
      </c>
      <c r="D1152" s="2" t="s">
        <v>1132</v>
      </c>
      <c r="E1152" s="3">
        <v>6.3700000000000005E-129</v>
      </c>
      <c r="F1152" s="2">
        <v>1005</v>
      </c>
      <c r="G1152" s="2">
        <v>82</v>
      </c>
      <c r="H1152" s="2">
        <v>270</v>
      </c>
      <c r="I1152" s="2">
        <v>233</v>
      </c>
      <c r="J1152" s="2">
        <v>1042</v>
      </c>
      <c r="K1152" s="2">
        <v>246</v>
      </c>
      <c r="L1152" s="2">
        <v>467</v>
      </c>
    </row>
    <row r="1153" spans="1:12" x14ac:dyDescent="0.25">
      <c r="A1153" s="4" t="str">
        <f>HYPERLINK("http://www.rosaceae.org/Prunus/Prunus_persica/p.persica_gdr_reftransV1_0049116","p.persica_gdr_reftransV1_0049116")</f>
        <v>p.persica_gdr_reftransV1_0049116</v>
      </c>
      <c r="B1153" s="2">
        <v>4663</v>
      </c>
      <c r="C1153" s="4" t="str">
        <f>HYPERLINK("http://www.uniprot.org/uniprot/M5WXG4","M5WXG4")</f>
        <v>M5WXG4</v>
      </c>
      <c r="D1153" s="2" t="s">
        <v>1133</v>
      </c>
      <c r="E1153" s="3">
        <v>0</v>
      </c>
      <c r="F1153" s="2">
        <v>6380</v>
      </c>
      <c r="G1153" s="2">
        <v>96</v>
      </c>
      <c r="H1153" s="2">
        <v>1432</v>
      </c>
      <c r="I1153" s="2">
        <v>346</v>
      </c>
      <c r="J1153" s="2">
        <v>4530</v>
      </c>
      <c r="K1153" s="2">
        <v>1</v>
      </c>
      <c r="L1153" s="2">
        <v>1413</v>
      </c>
    </row>
    <row r="1154" spans="1:12" x14ac:dyDescent="0.25">
      <c r="A1154" s="4" t="str">
        <f>HYPERLINK("http://www.rosaceae.org/Prunus/Prunus_persica/p.persica_gdr_reftransV1_0000117","p.persica_gdr_reftransV1_0000117")</f>
        <v>p.persica_gdr_reftransV1_0000117</v>
      </c>
      <c r="B1154" s="2">
        <v>403</v>
      </c>
      <c r="C1154" s="4" t="str">
        <f>HYPERLINK("http://www.uniprot.org/uniprot/M5WWT2","M5WWT2")</f>
        <v>M5WWT2</v>
      </c>
      <c r="D1154" s="2" t="s">
        <v>1134</v>
      </c>
      <c r="E1154" s="3">
        <v>1.18E-81</v>
      </c>
      <c r="F1154" s="2">
        <v>690</v>
      </c>
      <c r="G1154" s="2">
        <v>100</v>
      </c>
      <c r="H1154" s="2">
        <v>133</v>
      </c>
      <c r="I1154" s="2">
        <v>3</v>
      </c>
      <c r="J1154" s="2">
        <v>401</v>
      </c>
      <c r="K1154" s="2">
        <v>32</v>
      </c>
      <c r="L1154" s="2">
        <v>164</v>
      </c>
    </row>
    <row r="1155" spans="1:12" x14ac:dyDescent="0.25">
      <c r="A1155" s="4" t="str">
        <f>HYPERLINK("http://www.rosaceae.org/Prunus/Prunus_persica/p.persica_gdr_reftransV1_0000467","p.persica_gdr_reftransV1_0000467")</f>
        <v>p.persica_gdr_reftransV1_0000467</v>
      </c>
      <c r="B1155" s="2">
        <v>909</v>
      </c>
      <c r="C1155" s="4" t="str">
        <f>HYPERLINK("http://www.uniprot.org/uniprot/M5VNN2","M5VNN2")</f>
        <v>M5VNN2</v>
      </c>
      <c r="D1155" s="2" t="s">
        <v>1135</v>
      </c>
      <c r="E1155" s="3">
        <v>3.1299999999999999E-142</v>
      </c>
      <c r="F1155" s="2">
        <v>1132</v>
      </c>
      <c r="G1155" s="2">
        <v>98</v>
      </c>
      <c r="H1155" s="2">
        <v>210</v>
      </c>
      <c r="I1155" s="2">
        <v>254</v>
      </c>
      <c r="J1155" s="2">
        <v>883</v>
      </c>
      <c r="K1155" s="2">
        <v>896</v>
      </c>
      <c r="L1155" s="2">
        <v>1105</v>
      </c>
    </row>
    <row r="1156" spans="1:12" x14ac:dyDescent="0.25">
      <c r="A1156" s="4" t="str">
        <f>HYPERLINK("http://www.rosaceae.org/Prunus/Prunus_persica/p.persica_gdr_reftransV1_0000817","p.persica_gdr_reftransV1_0000817")</f>
        <v>p.persica_gdr_reftransV1_0000817</v>
      </c>
      <c r="B1156" s="2">
        <v>2822</v>
      </c>
      <c r="C1156" s="4" t="str">
        <f>HYPERLINK("http://www.uniprot.org/uniprot/M5X9I7","M5X9I7")</f>
        <v>M5X9I7</v>
      </c>
      <c r="D1156" s="2" t="s">
        <v>1136</v>
      </c>
      <c r="E1156" s="3">
        <v>0</v>
      </c>
      <c r="F1156" s="2">
        <v>3162</v>
      </c>
      <c r="G1156" s="2">
        <v>100</v>
      </c>
      <c r="H1156" s="2">
        <v>618</v>
      </c>
      <c r="I1156" s="2">
        <v>379</v>
      </c>
      <c r="J1156" s="2">
        <v>2232</v>
      </c>
      <c r="K1156" s="2">
        <v>1</v>
      </c>
      <c r="L1156" s="2">
        <v>618</v>
      </c>
    </row>
    <row r="1157" spans="1:12" x14ac:dyDescent="0.25">
      <c r="A1157" s="4" t="str">
        <f>HYPERLINK("http://www.rosaceae.org/Prunus/Prunus_persica/p.persica_gdr_reftransV1_0001167","p.persica_gdr_reftransV1_0001167")</f>
        <v>p.persica_gdr_reftransV1_0001167</v>
      </c>
      <c r="B1157" s="2">
        <v>4805</v>
      </c>
      <c r="C1157" s="4" t="str">
        <f>HYPERLINK("http://www.uniprot.org/uniprot/M5X752","M5X752")</f>
        <v>M5X752</v>
      </c>
      <c r="D1157" s="2" t="s">
        <v>1137</v>
      </c>
      <c r="E1157" s="3">
        <v>0</v>
      </c>
      <c r="F1157" s="2">
        <v>7609</v>
      </c>
      <c r="G1157" s="2">
        <v>100</v>
      </c>
      <c r="H1157" s="2">
        <v>1464</v>
      </c>
      <c r="I1157" s="2">
        <v>2</v>
      </c>
      <c r="J1157" s="2">
        <v>4393</v>
      </c>
      <c r="K1157" s="2">
        <v>158</v>
      </c>
      <c r="L1157" s="2">
        <v>1621</v>
      </c>
    </row>
    <row r="1158" spans="1:12" x14ac:dyDescent="0.25">
      <c r="A1158" s="4" t="str">
        <f>HYPERLINK("http://www.rosaceae.org/Prunus/Prunus_persica/p.persica_gdr_reftransV1_0001517","p.persica_gdr_reftransV1_0001517")</f>
        <v>p.persica_gdr_reftransV1_0001517</v>
      </c>
      <c r="B1158" s="2">
        <v>737</v>
      </c>
      <c r="C1158" s="4" t="str">
        <f>HYPERLINK("http://www.uniprot.org/uniprot/M5VKB1","M5VKB1")</f>
        <v>M5VKB1</v>
      </c>
      <c r="D1158" s="2" t="s">
        <v>1138</v>
      </c>
      <c r="E1158" s="3">
        <v>9.7200000000000006E-111</v>
      </c>
      <c r="F1158" s="2">
        <v>840</v>
      </c>
      <c r="G1158" s="2">
        <v>100</v>
      </c>
      <c r="H1158" s="2">
        <v>172</v>
      </c>
      <c r="I1158" s="2">
        <v>27</v>
      </c>
      <c r="J1158" s="2">
        <v>542</v>
      </c>
      <c r="K1158" s="2">
        <v>1</v>
      </c>
      <c r="L1158" s="2">
        <v>172</v>
      </c>
    </row>
    <row r="1159" spans="1:12" x14ac:dyDescent="0.25">
      <c r="A1159" s="4" t="str">
        <f>HYPERLINK("http://www.rosaceae.org/Prunus/Prunus_persica/p.persica_gdr_reftransV1_0002217","p.persica_gdr_reftransV1_0002217")</f>
        <v>p.persica_gdr_reftransV1_0002217</v>
      </c>
      <c r="B1159" s="2">
        <v>456</v>
      </c>
      <c r="C1159" s="4" t="str">
        <f>HYPERLINK("http://www.uniprot.org/uniprot/J9Y0G8","J9Y0G8")</f>
        <v>J9Y0G8</v>
      </c>
      <c r="D1159" s="2" t="s">
        <v>1139</v>
      </c>
      <c r="E1159" s="3">
        <v>7.6500000000000002E-104</v>
      </c>
      <c r="F1159" s="2">
        <v>804</v>
      </c>
      <c r="G1159" s="2">
        <v>99</v>
      </c>
      <c r="H1159" s="2">
        <v>152</v>
      </c>
      <c r="I1159" s="2">
        <v>1</v>
      </c>
      <c r="J1159" s="2">
        <v>456</v>
      </c>
      <c r="K1159" s="2">
        <v>75</v>
      </c>
      <c r="L1159" s="2">
        <v>226</v>
      </c>
    </row>
    <row r="1160" spans="1:12" x14ac:dyDescent="0.25">
      <c r="A1160" s="4" t="str">
        <f>HYPERLINK("http://www.rosaceae.org/Prunus/Prunus_persica/p.persica_gdr_reftransV1_0002567","p.persica_gdr_reftransV1_0002567")</f>
        <v>p.persica_gdr_reftransV1_0002567</v>
      </c>
      <c r="B1160" s="2">
        <v>1207</v>
      </c>
      <c r="C1160" s="4" t="str">
        <f>HYPERLINK("http://www.uniprot.org/uniprot/M5XKS5","M5XKS5")</f>
        <v>M5XKS5</v>
      </c>
      <c r="D1160" s="2" t="s">
        <v>1140</v>
      </c>
      <c r="E1160" s="3">
        <v>9.0100000000000002E-65</v>
      </c>
      <c r="F1160" s="2">
        <v>552</v>
      </c>
      <c r="G1160" s="2">
        <v>91</v>
      </c>
      <c r="H1160" s="2">
        <v>111</v>
      </c>
      <c r="I1160" s="2">
        <v>738</v>
      </c>
      <c r="J1160" s="2">
        <v>1070</v>
      </c>
      <c r="K1160" s="2">
        <v>1</v>
      </c>
      <c r="L1160" s="2">
        <v>111</v>
      </c>
    </row>
    <row r="1161" spans="1:12" x14ac:dyDescent="0.25">
      <c r="A1161" s="4" t="str">
        <f>HYPERLINK("http://www.rosaceae.org/Prunus/Prunus_persica/p.persica_gdr_reftransV1_0002917","p.persica_gdr_reftransV1_0002917")</f>
        <v>p.persica_gdr_reftransV1_0002917</v>
      </c>
      <c r="B1161" s="2">
        <v>509</v>
      </c>
      <c r="C1161" s="4" t="str">
        <f>HYPERLINK("http://www.uniprot.org/uniprot/M5X9Y7","M5X9Y7")</f>
        <v>M5X9Y7</v>
      </c>
      <c r="D1161" s="2" t="s">
        <v>1141</v>
      </c>
      <c r="E1161" s="3">
        <v>1.8499999999999999E-96</v>
      </c>
      <c r="F1161" s="2">
        <v>748</v>
      </c>
      <c r="G1161" s="2">
        <v>86</v>
      </c>
      <c r="H1161" s="2">
        <v>195</v>
      </c>
      <c r="I1161" s="2">
        <v>3</v>
      </c>
      <c r="J1161" s="2">
        <v>509</v>
      </c>
      <c r="K1161" s="2">
        <v>28</v>
      </c>
      <c r="L1161" s="2">
        <v>222</v>
      </c>
    </row>
    <row r="1162" spans="1:12" x14ac:dyDescent="0.25">
      <c r="A1162" s="4" t="str">
        <f>HYPERLINK("http://www.rosaceae.org/Prunus/Prunus_persica/p.persica_gdr_reftransV1_0003267","p.persica_gdr_reftransV1_0003267")</f>
        <v>p.persica_gdr_reftransV1_0003267</v>
      </c>
      <c r="B1162" s="2">
        <v>1400</v>
      </c>
      <c r="C1162" s="4" t="str">
        <f>HYPERLINK("http://www.uniprot.org/uniprot/M5W2S8","M5W2S8")</f>
        <v>M5W2S8</v>
      </c>
      <c r="D1162" s="2" t="s">
        <v>1142</v>
      </c>
      <c r="E1162" s="3">
        <v>0</v>
      </c>
      <c r="F1162" s="2">
        <v>2129</v>
      </c>
      <c r="G1162" s="2">
        <v>90</v>
      </c>
      <c r="H1162" s="2">
        <v>466</v>
      </c>
      <c r="I1162" s="2">
        <v>1</v>
      </c>
      <c r="J1162" s="2">
        <v>1398</v>
      </c>
      <c r="K1162" s="2">
        <v>28</v>
      </c>
      <c r="L1162" s="2">
        <v>491</v>
      </c>
    </row>
    <row r="1163" spans="1:12" x14ac:dyDescent="0.25">
      <c r="A1163" s="4" t="str">
        <f>HYPERLINK("http://www.rosaceae.org/Prunus/Prunus_persica/p.persica_gdr_reftransV1_0003617","p.persica_gdr_reftransV1_0003617")</f>
        <v>p.persica_gdr_reftransV1_0003617</v>
      </c>
      <c r="B1163" s="2">
        <v>433</v>
      </c>
      <c r="C1163" s="4" t="str">
        <f>HYPERLINK("http://www.uniprot.org/uniprot/M5X2R5","M5X2R5")</f>
        <v>M5X2R5</v>
      </c>
      <c r="D1163" s="2" t="s">
        <v>1143</v>
      </c>
      <c r="E1163" s="3">
        <v>6.1800000000000003E-94</v>
      </c>
      <c r="F1163" s="2">
        <v>748</v>
      </c>
      <c r="G1163" s="2">
        <v>100</v>
      </c>
      <c r="H1163" s="2">
        <v>141</v>
      </c>
      <c r="I1163" s="2">
        <v>11</v>
      </c>
      <c r="J1163" s="2">
        <v>433</v>
      </c>
      <c r="K1163" s="2">
        <v>374</v>
      </c>
      <c r="L1163" s="2">
        <v>514</v>
      </c>
    </row>
    <row r="1164" spans="1:12" x14ac:dyDescent="0.25">
      <c r="A1164" s="4" t="str">
        <f>HYPERLINK("http://www.rosaceae.org/Prunus/Prunus_persica/p.persica_gdr_reftransV1_0003967","p.persica_gdr_reftransV1_0003967")</f>
        <v>p.persica_gdr_reftransV1_0003967</v>
      </c>
      <c r="B1164" s="2">
        <v>513</v>
      </c>
      <c r="C1164" s="4" t="str">
        <f>HYPERLINK("http://www.uniprot.org/uniprot/F6HJ69","F6HJ69")</f>
        <v>F6HJ69</v>
      </c>
      <c r="D1164" s="2" t="s">
        <v>1144</v>
      </c>
      <c r="E1164" s="3">
        <v>3.1700000000000002E-50</v>
      </c>
      <c r="F1164" s="2">
        <v>461</v>
      </c>
      <c r="G1164" s="2">
        <v>55</v>
      </c>
      <c r="H1164" s="2">
        <v>165</v>
      </c>
      <c r="I1164" s="2">
        <v>1</v>
      </c>
      <c r="J1164" s="2">
        <v>495</v>
      </c>
      <c r="K1164" s="2">
        <v>488</v>
      </c>
      <c r="L1164" s="2">
        <v>648</v>
      </c>
    </row>
    <row r="1165" spans="1:12" x14ac:dyDescent="0.25">
      <c r="A1165" s="4" t="str">
        <f>HYPERLINK("http://www.rosaceae.org/Prunus/Prunus_persica/p.persica_gdr_reftransV1_0004317","p.persica_gdr_reftransV1_0004317")</f>
        <v>p.persica_gdr_reftransV1_0004317</v>
      </c>
      <c r="B1165" s="2">
        <v>1246</v>
      </c>
      <c r="C1165" s="4" t="str">
        <f>HYPERLINK("http://www.uniprot.org/uniprot/M5XHC5","M5XHC5")</f>
        <v>M5XHC5</v>
      </c>
      <c r="D1165" s="2" t="s">
        <v>1145</v>
      </c>
      <c r="E1165" s="3">
        <v>3.23E-171</v>
      </c>
      <c r="F1165" s="2">
        <v>1266</v>
      </c>
      <c r="G1165" s="2">
        <v>100</v>
      </c>
      <c r="H1165" s="2">
        <v>267</v>
      </c>
      <c r="I1165" s="2">
        <v>230</v>
      </c>
      <c r="J1165" s="2">
        <v>1030</v>
      </c>
      <c r="K1165" s="2">
        <v>1</v>
      </c>
      <c r="L1165" s="2">
        <v>267</v>
      </c>
    </row>
    <row r="1166" spans="1:12" x14ac:dyDescent="0.25">
      <c r="A1166" s="4" t="str">
        <f>HYPERLINK("http://www.rosaceae.org/Prunus/Prunus_persica/p.persica_gdr_reftransV1_0004667","p.persica_gdr_reftransV1_0004667")</f>
        <v>p.persica_gdr_reftransV1_0004667</v>
      </c>
      <c r="B1166" s="2">
        <v>2487</v>
      </c>
      <c r="C1166" s="4" t="str">
        <f>HYPERLINK("http://www.uniprot.org/uniprot/M5W268","M5W268")</f>
        <v>M5W268</v>
      </c>
      <c r="D1166" s="2" t="s">
        <v>1146</v>
      </c>
      <c r="E1166" s="3">
        <v>0</v>
      </c>
      <c r="F1166" s="2">
        <v>3499</v>
      </c>
      <c r="G1166" s="2">
        <v>100</v>
      </c>
      <c r="H1166" s="2">
        <v>706</v>
      </c>
      <c r="I1166" s="2">
        <v>17</v>
      </c>
      <c r="J1166" s="2">
        <v>2134</v>
      </c>
      <c r="K1166" s="2">
        <v>253</v>
      </c>
      <c r="L1166" s="2">
        <v>958</v>
      </c>
    </row>
    <row r="1167" spans="1:12" x14ac:dyDescent="0.25">
      <c r="A1167" s="4" t="str">
        <f>HYPERLINK("http://www.rosaceae.org/Prunus/Prunus_persica/p.persica_gdr_reftransV1_0005017","p.persica_gdr_reftransV1_0005017")</f>
        <v>p.persica_gdr_reftransV1_0005017</v>
      </c>
      <c r="B1167" s="2">
        <v>2746</v>
      </c>
      <c r="C1167" s="4" t="str">
        <f>HYPERLINK("http://www.uniprot.org/uniprot/M5X257","M5X257")</f>
        <v>M5X257</v>
      </c>
      <c r="D1167" s="2" t="s">
        <v>1147</v>
      </c>
      <c r="E1167" s="3">
        <v>0</v>
      </c>
      <c r="F1167" s="2">
        <v>2433</v>
      </c>
      <c r="G1167" s="2">
        <v>100</v>
      </c>
      <c r="H1167" s="2">
        <v>531</v>
      </c>
      <c r="I1167" s="2">
        <v>885</v>
      </c>
      <c r="J1167" s="2">
        <v>2477</v>
      </c>
      <c r="K1167" s="2">
        <v>11</v>
      </c>
      <c r="L1167" s="2">
        <v>541</v>
      </c>
    </row>
    <row r="1168" spans="1:12" x14ac:dyDescent="0.25">
      <c r="A1168" s="4" t="str">
        <f>HYPERLINK("http://www.rosaceae.org/Prunus/Prunus_persica/p.persica_gdr_reftransV1_0005717","p.persica_gdr_reftransV1_0005717")</f>
        <v>p.persica_gdr_reftransV1_0005717</v>
      </c>
      <c r="B1168" s="2">
        <v>462</v>
      </c>
      <c r="C1168" s="4" t="str">
        <f>HYPERLINK("http://www.uniprot.org/uniprot/M5WHU7","M5WHU7")</f>
        <v>M5WHU7</v>
      </c>
      <c r="D1168" s="2" t="s">
        <v>1148</v>
      </c>
      <c r="E1168" s="3">
        <v>2.35E-93</v>
      </c>
      <c r="F1168" s="2">
        <v>741</v>
      </c>
      <c r="G1168" s="2">
        <v>99</v>
      </c>
      <c r="H1168" s="2">
        <v>154</v>
      </c>
      <c r="I1168" s="2">
        <v>1</v>
      </c>
      <c r="J1168" s="2">
        <v>462</v>
      </c>
      <c r="K1168" s="2">
        <v>1</v>
      </c>
      <c r="L1168" s="2">
        <v>154</v>
      </c>
    </row>
    <row r="1169" spans="1:12" x14ac:dyDescent="0.25">
      <c r="A1169" s="4" t="str">
        <f>HYPERLINK("http://www.rosaceae.org/Prunus/Prunus_persica/p.persica_gdr_reftransV1_0006067","p.persica_gdr_reftransV1_0006067")</f>
        <v>p.persica_gdr_reftransV1_0006067</v>
      </c>
      <c r="B1169" s="2">
        <v>1022</v>
      </c>
      <c r="C1169" s="4" t="str">
        <f>HYPERLINK("http://www.uniprot.org/uniprot/B9T016","B9T016")</f>
        <v>B9T016</v>
      </c>
      <c r="D1169" s="2" t="s">
        <v>1149</v>
      </c>
      <c r="E1169" s="3">
        <v>2.4E-133</v>
      </c>
      <c r="F1169" s="2">
        <v>1010</v>
      </c>
      <c r="G1169" s="2">
        <v>70</v>
      </c>
      <c r="H1169" s="2">
        <v>263</v>
      </c>
      <c r="I1169" s="2">
        <v>210</v>
      </c>
      <c r="J1169" s="2">
        <v>998</v>
      </c>
      <c r="K1169" s="2">
        <v>7</v>
      </c>
      <c r="L1169" s="2">
        <v>268</v>
      </c>
    </row>
    <row r="1170" spans="1:12" x14ac:dyDescent="0.25">
      <c r="A1170" s="4" t="str">
        <f>HYPERLINK("http://www.rosaceae.org/Prunus/Prunus_persica/p.persica_gdr_reftransV1_0006417","p.persica_gdr_reftransV1_0006417")</f>
        <v>p.persica_gdr_reftransV1_0006417</v>
      </c>
      <c r="B1170" s="2">
        <v>569</v>
      </c>
      <c r="C1170" s="4" t="str">
        <f>HYPERLINK("http://www.uniprot.org/uniprot/M5XJ15","M5XJ15")</f>
        <v>M5XJ15</v>
      </c>
      <c r="D1170" s="2" t="s">
        <v>1150</v>
      </c>
      <c r="E1170" s="3">
        <v>2.1299999999999999E-29</v>
      </c>
      <c r="F1170" s="2">
        <v>285</v>
      </c>
      <c r="G1170" s="2">
        <v>100</v>
      </c>
      <c r="H1170" s="2">
        <v>69</v>
      </c>
      <c r="I1170" s="2">
        <v>57</v>
      </c>
      <c r="J1170" s="2">
        <v>263</v>
      </c>
      <c r="K1170" s="2">
        <v>1</v>
      </c>
      <c r="L1170" s="2">
        <v>69</v>
      </c>
    </row>
    <row r="1171" spans="1:12" x14ac:dyDescent="0.25">
      <c r="A1171" s="4" t="str">
        <f>HYPERLINK("http://www.rosaceae.org/Prunus/Prunus_persica/p.persica_gdr_reftransV1_0007117","p.persica_gdr_reftransV1_0007117")</f>
        <v>p.persica_gdr_reftransV1_0007117</v>
      </c>
      <c r="B1171" s="2">
        <v>1227</v>
      </c>
      <c r="C1171" s="4" t="str">
        <f>HYPERLINK("http://www.uniprot.org/uniprot/M5WIZ8","M5WIZ8")</f>
        <v>M5WIZ8</v>
      </c>
      <c r="D1171" s="2" t="s">
        <v>1151</v>
      </c>
      <c r="E1171" s="3">
        <v>0</v>
      </c>
      <c r="F1171" s="2">
        <v>1582</v>
      </c>
      <c r="G1171" s="2">
        <v>100</v>
      </c>
      <c r="H1171" s="2">
        <v>316</v>
      </c>
      <c r="I1171" s="2">
        <v>173</v>
      </c>
      <c r="J1171" s="2">
        <v>1120</v>
      </c>
      <c r="K1171" s="2">
        <v>1</v>
      </c>
      <c r="L1171" s="2">
        <v>316</v>
      </c>
    </row>
    <row r="1172" spans="1:12" x14ac:dyDescent="0.25">
      <c r="A1172" s="4" t="str">
        <f>HYPERLINK("http://www.rosaceae.org/Prunus/Prunus_persica/p.persica_gdr_reftransV1_0008167","p.persica_gdr_reftransV1_0008167")</f>
        <v>p.persica_gdr_reftransV1_0008167</v>
      </c>
      <c r="B1172" s="2">
        <v>1072</v>
      </c>
      <c r="C1172" s="4" t="str">
        <f>HYPERLINK("http://www.uniprot.org/uniprot/M5W221","M5W221")</f>
        <v>M5W221</v>
      </c>
      <c r="D1172" s="2" t="s">
        <v>1152</v>
      </c>
      <c r="E1172" s="3">
        <v>1.0999999999999999E-92</v>
      </c>
      <c r="F1172" s="2">
        <v>758</v>
      </c>
      <c r="G1172" s="2">
        <v>97</v>
      </c>
      <c r="H1172" s="2">
        <v>146</v>
      </c>
      <c r="I1172" s="2">
        <v>500</v>
      </c>
      <c r="J1172" s="2">
        <v>937</v>
      </c>
      <c r="K1172" s="2">
        <v>272</v>
      </c>
      <c r="L1172" s="2">
        <v>417</v>
      </c>
    </row>
    <row r="1173" spans="1:12" x14ac:dyDescent="0.25">
      <c r="A1173" s="4" t="str">
        <f>HYPERLINK("http://www.rosaceae.org/Prunus/Prunus_persica/p.persica_gdr_reftransV1_0008867","p.persica_gdr_reftransV1_0008867")</f>
        <v>p.persica_gdr_reftransV1_0008867</v>
      </c>
      <c r="B1173" s="2">
        <v>984</v>
      </c>
      <c r="C1173" s="4" t="str">
        <f>HYPERLINK("http://www.uniprot.org/uniprot/M5WDF9","M5WDF9")</f>
        <v>M5WDF9</v>
      </c>
      <c r="D1173" s="2" t="s">
        <v>1153</v>
      </c>
      <c r="E1173" s="3">
        <v>1.08E-75</v>
      </c>
      <c r="F1173" s="2">
        <v>613</v>
      </c>
      <c r="G1173" s="2">
        <v>100</v>
      </c>
      <c r="H1173" s="2">
        <v>140</v>
      </c>
      <c r="I1173" s="2">
        <v>350</v>
      </c>
      <c r="J1173" s="2">
        <v>769</v>
      </c>
      <c r="K1173" s="2">
        <v>1</v>
      </c>
      <c r="L1173" s="2">
        <v>140</v>
      </c>
    </row>
    <row r="1174" spans="1:12" x14ac:dyDescent="0.25">
      <c r="A1174" s="4" t="str">
        <f>HYPERLINK("http://www.rosaceae.org/Prunus/Prunus_persica/p.persica_gdr_reftransV1_0009217","p.persica_gdr_reftransV1_0009217")</f>
        <v>p.persica_gdr_reftransV1_0009217</v>
      </c>
      <c r="B1174" s="2">
        <v>741</v>
      </c>
      <c r="C1174" s="4" t="str">
        <f>HYPERLINK("http://www.uniprot.org/uniprot/M5XZX5","M5XZX5")</f>
        <v>M5XZX5</v>
      </c>
      <c r="D1174" s="2" t="s">
        <v>1154</v>
      </c>
      <c r="E1174" s="3">
        <v>1.3100000000000001E-144</v>
      </c>
      <c r="F1174" s="2">
        <v>1066</v>
      </c>
      <c r="G1174" s="2">
        <v>100</v>
      </c>
      <c r="H1174" s="2">
        <v>203</v>
      </c>
      <c r="I1174" s="2">
        <v>129</v>
      </c>
      <c r="J1174" s="2">
        <v>737</v>
      </c>
      <c r="K1174" s="2">
        <v>1</v>
      </c>
      <c r="L1174" s="2">
        <v>203</v>
      </c>
    </row>
    <row r="1175" spans="1:12" x14ac:dyDescent="0.25">
      <c r="A1175" s="4" t="str">
        <f>HYPERLINK("http://www.rosaceae.org/Prunus/Prunus_persica/p.persica_gdr_reftransV1_0010267","p.persica_gdr_reftransV1_0010267")</f>
        <v>p.persica_gdr_reftransV1_0010267</v>
      </c>
      <c r="B1175" s="2">
        <v>2016</v>
      </c>
      <c r="C1175" s="4" t="str">
        <f>HYPERLINK("http://www.uniprot.org/uniprot/M5WVK5","M5WVK5")</f>
        <v>M5WVK5</v>
      </c>
      <c r="D1175" s="2" t="s">
        <v>1155</v>
      </c>
      <c r="E1175" s="3">
        <v>8.6199999999999999E-87</v>
      </c>
      <c r="F1175" s="2">
        <v>717</v>
      </c>
      <c r="G1175" s="2">
        <v>100</v>
      </c>
      <c r="H1175" s="2">
        <v>135</v>
      </c>
      <c r="I1175" s="2">
        <v>1450</v>
      </c>
      <c r="J1175" s="2">
        <v>1854</v>
      </c>
      <c r="K1175" s="2">
        <v>26</v>
      </c>
      <c r="L1175" s="2">
        <v>160</v>
      </c>
    </row>
    <row r="1176" spans="1:12" x14ac:dyDescent="0.25">
      <c r="A1176" s="4" t="str">
        <f>HYPERLINK("http://www.rosaceae.org/Prunus/Prunus_persica/p.persica_gdr_reftransV1_0011317","p.persica_gdr_reftransV1_0011317")</f>
        <v>p.persica_gdr_reftransV1_0011317</v>
      </c>
      <c r="B1176" s="2">
        <v>2729</v>
      </c>
      <c r="C1176" s="4" t="str">
        <f>HYPERLINK("http://www.uniprot.org/uniprot/M5VPF6","M5VPF6")</f>
        <v>M5VPF6</v>
      </c>
      <c r="D1176" s="2" t="s">
        <v>1156</v>
      </c>
      <c r="E1176" s="3">
        <v>0</v>
      </c>
      <c r="F1176" s="2">
        <v>2076</v>
      </c>
      <c r="G1176" s="2">
        <v>92</v>
      </c>
      <c r="H1176" s="2">
        <v>539</v>
      </c>
      <c r="I1176" s="2">
        <v>416</v>
      </c>
      <c r="J1176" s="2">
        <v>2032</v>
      </c>
      <c r="K1176" s="2">
        <v>1</v>
      </c>
      <c r="L1176" s="2">
        <v>497</v>
      </c>
    </row>
    <row r="1177" spans="1:12" x14ac:dyDescent="0.25">
      <c r="A1177" s="4" t="str">
        <f>HYPERLINK("http://www.rosaceae.org/Prunus/Prunus_persica/p.persica_gdr_reftransV1_0011667","p.persica_gdr_reftransV1_0011667")</f>
        <v>p.persica_gdr_reftransV1_0011667</v>
      </c>
      <c r="B1177" s="2">
        <v>2758</v>
      </c>
      <c r="C1177" s="4" t="str">
        <f>HYPERLINK("http://www.uniprot.org/uniprot/M5VXK2","M5VXK2")</f>
        <v>M5VXK2</v>
      </c>
      <c r="D1177" s="2" t="s">
        <v>1157</v>
      </c>
      <c r="E1177" s="3">
        <v>0</v>
      </c>
      <c r="F1177" s="2">
        <v>2236</v>
      </c>
      <c r="G1177" s="2">
        <v>100</v>
      </c>
      <c r="H1177" s="2">
        <v>462</v>
      </c>
      <c r="I1177" s="2">
        <v>1136</v>
      </c>
      <c r="J1177" s="2">
        <v>2518</v>
      </c>
      <c r="K1177" s="2">
        <v>1</v>
      </c>
      <c r="L1177" s="2">
        <v>462</v>
      </c>
    </row>
    <row r="1178" spans="1:12" x14ac:dyDescent="0.25">
      <c r="A1178" s="4" t="str">
        <f>HYPERLINK("http://www.rosaceae.org/Prunus/Prunus_persica/p.persica_gdr_reftransV1_0012017","p.persica_gdr_reftransV1_0012017")</f>
        <v>p.persica_gdr_reftransV1_0012017</v>
      </c>
      <c r="B1178" s="2">
        <v>1512</v>
      </c>
      <c r="C1178" s="4" t="str">
        <f>HYPERLINK("http://www.uniprot.org/uniprot/M5VZ63","M5VZ63")</f>
        <v>M5VZ63</v>
      </c>
      <c r="D1178" s="2" t="s">
        <v>1158</v>
      </c>
      <c r="E1178" s="3">
        <v>2.3600000000000002E-159</v>
      </c>
      <c r="F1178" s="2">
        <v>1203</v>
      </c>
      <c r="G1178" s="2">
        <v>73</v>
      </c>
      <c r="H1178" s="2">
        <v>358</v>
      </c>
      <c r="I1178" s="2">
        <v>94</v>
      </c>
      <c r="J1178" s="2">
        <v>1167</v>
      </c>
      <c r="K1178" s="2">
        <v>27</v>
      </c>
      <c r="L1178" s="2">
        <v>325</v>
      </c>
    </row>
    <row r="1179" spans="1:12" x14ac:dyDescent="0.25">
      <c r="A1179" s="4" t="str">
        <f>HYPERLINK("http://www.rosaceae.org/Prunus/Prunus_persica/p.persica_gdr_reftransV1_0013067","p.persica_gdr_reftransV1_0013067")</f>
        <v>p.persica_gdr_reftransV1_0013067</v>
      </c>
      <c r="B1179" s="2">
        <v>651</v>
      </c>
      <c r="C1179" s="4" t="str">
        <f>HYPERLINK("http://www.uniprot.org/uniprot/M5W875","M5W875")</f>
        <v>M5W875</v>
      </c>
      <c r="D1179" s="2" t="s">
        <v>1159</v>
      </c>
      <c r="E1179" s="3">
        <v>2.6799999999999999E-151</v>
      </c>
      <c r="F1179" s="2">
        <v>1155</v>
      </c>
      <c r="G1179" s="2">
        <v>100</v>
      </c>
      <c r="H1179" s="2">
        <v>217</v>
      </c>
      <c r="I1179" s="2">
        <v>1</v>
      </c>
      <c r="J1179" s="2">
        <v>651</v>
      </c>
      <c r="K1179" s="2">
        <v>272</v>
      </c>
      <c r="L1179" s="2">
        <v>488</v>
      </c>
    </row>
    <row r="1180" spans="1:12" x14ac:dyDescent="0.25">
      <c r="A1180" s="4" t="str">
        <f>HYPERLINK("http://www.rosaceae.org/Prunus/Prunus_persica/p.persica_gdr_reftransV1_0013767","p.persica_gdr_reftransV1_0013767")</f>
        <v>p.persica_gdr_reftransV1_0013767</v>
      </c>
      <c r="B1180" s="2">
        <v>1210</v>
      </c>
      <c r="C1180" s="4" t="str">
        <f>HYPERLINK("http://www.uniprot.org/uniprot/M5XA52","M5XA52")</f>
        <v>M5XA52</v>
      </c>
      <c r="D1180" s="2" t="s">
        <v>1160</v>
      </c>
      <c r="E1180" s="3">
        <v>3.7E-165</v>
      </c>
      <c r="F1180" s="2">
        <v>1228</v>
      </c>
      <c r="G1180" s="2">
        <v>100</v>
      </c>
      <c r="H1180" s="2">
        <v>292</v>
      </c>
      <c r="I1180" s="2">
        <v>167</v>
      </c>
      <c r="J1180" s="2">
        <v>1042</v>
      </c>
      <c r="K1180" s="2">
        <v>1</v>
      </c>
      <c r="L1180" s="2">
        <v>292</v>
      </c>
    </row>
    <row r="1181" spans="1:12" x14ac:dyDescent="0.25">
      <c r="A1181" s="4" t="str">
        <f>HYPERLINK("http://www.rosaceae.org/Prunus/Prunus_persica/p.persica_gdr_reftransV1_0014467","p.persica_gdr_reftransV1_0014467")</f>
        <v>p.persica_gdr_reftransV1_0014467</v>
      </c>
      <c r="B1181" s="2">
        <v>3431</v>
      </c>
      <c r="C1181" s="4" t="str">
        <f>HYPERLINK("http://www.uniprot.org/uniprot/M5VYK3","M5VYK3")</f>
        <v>M5VYK3</v>
      </c>
      <c r="D1181" s="2" t="s">
        <v>1161</v>
      </c>
      <c r="E1181" s="3">
        <v>0</v>
      </c>
      <c r="F1181" s="2">
        <v>2009</v>
      </c>
      <c r="G1181" s="2">
        <v>100</v>
      </c>
      <c r="H1181" s="2">
        <v>388</v>
      </c>
      <c r="I1181" s="2">
        <v>255</v>
      </c>
      <c r="J1181" s="2">
        <v>1418</v>
      </c>
      <c r="K1181" s="2">
        <v>1</v>
      </c>
      <c r="L1181" s="2">
        <v>388</v>
      </c>
    </row>
    <row r="1182" spans="1:12" x14ac:dyDescent="0.25">
      <c r="A1182" s="4" t="str">
        <f>HYPERLINK("http://www.rosaceae.org/Prunus/Prunus_persica/p.persica_gdr_reftransV1_0015167","p.persica_gdr_reftransV1_0015167")</f>
        <v>p.persica_gdr_reftransV1_0015167</v>
      </c>
      <c r="B1182" s="2">
        <v>4039</v>
      </c>
      <c r="C1182" s="4" t="str">
        <f>HYPERLINK("http://www.uniprot.org/uniprot/M5XCA9","M5XCA9")</f>
        <v>M5XCA9</v>
      </c>
      <c r="D1182" s="2" t="s">
        <v>1162</v>
      </c>
      <c r="E1182" s="3">
        <v>0</v>
      </c>
      <c r="F1182" s="2">
        <v>5449</v>
      </c>
      <c r="G1182" s="2">
        <v>100</v>
      </c>
      <c r="H1182" s="2">
        <v>1146</v>
      </c>
      <c r="I1182" s="2">
        <v>499</v>
      </c>
      <c r="J1182" s="2">
        <v>3936</v>
      </c>
      <c r="K1182" s="2">
        <v>1</v>
      </c>
      <c r="L1182" s="2">
        <v>1146</v>
      </c>
    </row>
    <row r="1183" spans="1:12" x14ac:dyDescent="0.25">
      <c r="A1183" s="4" t="str">
        <f>HYPERLINK("http://www.rosaceae.org/Prunus/Prunus_persica/p.persica_gdr_reftransV1_0016567","p.persica_gdr_reftransV1_0016567")</f>
        <v>p.persica_gdr_reftransV1_0016567</v>
      </c>
      <c r="B1183" s="2">
        <v>1588</v>
      </c>
      <c r="C1183" s="4" t="str">
        <f>HYPERLINK("http://www.uniprot.org/uniprot/M5X1C8","M5X1C8")</f>
        <v>M5X1C8</v>
      </c>
      <c r="D1183" s="2" t="s">
        <v>1163</v>
      </c>
      <c r="E1183" s="3">
        <v>2.5199999999999998E-146</v>
      </c>
      <c r="F1183" s="2">
        <v>1119</v>
      </c>
      <c r="G1183" s="2">
        <v>100</v>
      </c>
      <c r="H1183" s="2">
        <v>215</v>
      </c>
      <c r="I1183" s="2">
        <v>907</v>
      </c>
      <c r="J1183" s="2">
        <v>1551</v>
      </c>
      <c r="K1183" s="2">
        <v>1</v>
      </c>
      <c r="L1183" s="2">
        <v>215</v>
      </c>
    </row>
    <row r="1184" spans="1:12" x14ac:dyDescent="0.25">
      <c r="A1184" s="4" t="str">
        <f>HYPERLINK("http://www.rosaceae.org/Prunus/Prunus_persica/p.persica_gdr_reftransV1_0016917","p.persica_gdr_reftransV1_0016917")</f>
        <v>p.persica_gdr_reftransV1_0016917</v>
      </c>
      <c r="B1184" s="2">
        <v>1115</v>
      </c>
      <c r="C1184" s="4" t="str">
        <f>HYPERLINK("http://www.uniprot.org/uniprot/M5VUY8","M5VUY8")</f>
        <v>M5VUY8</v>
      </c>
      <c r="D1184" s="2" t="s">
        <v>1164</v>
      </c>
      <c r="E1184" s="3">
        <v>3.6300000000000002E-176</v>
      </c>
      <c r="F1184" s="2">
        <v>1353</v>
      </c>
      <c r="G1184" s="2">
        <v>100</v>
      </c>
      <c r="H1184" s="2">
        <v>326</v>
      </c>
      <c r="I1184" s="2">
        <v>2</v>
      </c>
      <c r="J1184" s="2">
        <v>979</v>
      </c>
      <c r="K1184" s="2">
        <v>1</v>
      </c>
      <c r="L1184" s="2">
        <v>326</v>
      </c>
    </row>
    <row r="1185" spans="1:12" x14ac:dyDescent="0.25">
      <c r="A1185" s="4" t="str">
        <f>HYPERLINK("http://www.rosaceae.org/Prunus/Prunus_persica/p.persica_gdr_reftransV1_0017267","p.persica_gdr_reftransV1_0017267")</f>
        <v>p.persica_gdr_reftransV1_0017267</v>
      </c>
      <c r="B1185" s="2">
        <v>2895</v>
      </c>
      <c r="C1185" s="4" t="str">
        <f>HYPERLINK("http://www.uniprot.org/uniprot/M5VXP7","M5VXP7")</f>
        <v>M5VXP7</v>
      </c>
      <c r="D1185" s="2" t="s">
        <v>1165</v>
      </c>
      <c r="E1185" s="3">
        <v>0</v>
      </c>
      <c r="F1185" s="2">
        <v>2320</v>
      </c>
      <c r="G1185" s="2">
        <v>93</v>
      </c>
      <c r="H1185" s="2">
        <v>579</v>
      </c>
      <c r="I1185" s="2">
        <v>617</v>
      </c>
      <c r="J1185" s="2">
        <v>2353</v>
      </c>
      <c r="K1185" s="2">
        <v>1</v>
      </c>
      <c r="L1185" s="2">
        <v>540</v>
      </c>
    </row>
    <row r="1186" spans="1:12" x14ac:dyDescent="0.25">
      <c r="A1186" s="4" t="str">
        <f>HYPERLINK("http://www.rosaceae.org/Prunus/Prunus_persica/p.persica_gdr_reftransV1_0017967","p.persica_gdr_reftransV1_0017967")</f>
        <v>p.persica_gdr_reftransV1_0017967</v>
      </c>
      <c r="B1186" s="2">
        <v>1331</v>
      </c>
      <c r="C1186" s="4" t="str">
        <f>HYPERLINK("http://www.uniprot.org/uniprot/M5W730","M5W730")</f>
        <v>M5W730</v>
      </c>
      <c r="D1186" s="2" t="s">
        <v>1166</v>
      </c>
      <c r="E1186" s="3">
        <v>0</v>
      </c>
      <c r="F1186" s="2">
        <v>1363</v>
      </c>
      <c r="G1186" s="2">
        <v>100</v>
      </c>
      <c r="H1186" s="2">
        <v>288</v>
      </c>
      <c r="I1186" s="2">
        <v>328</v>
      </c>
      <c r="J1186" s="2">
        <v>1191</v>
      </c>
      <c r="K1186" s="2">
        <v>1</v>
      </c>
      <c r="L1186" s="2">
        <v>288</v>
      </c>
    </row>
    <row r="1187" spans="1:12" x14ac:dyDescent="0.25">
      <c r="A1187" s="4" t="str">
        <f>HYPERLINK("http://www.rosaceae.org/Prunus/Prunus_persica/p.persica_gdr_reftransV1_0018317","p.persica_gdr_reftransV1_0018317")</f>
        <v>p.persica_gdr_reftransV1_0018317</v>
      </c>
      <c r="B1187" s="2">
        <v>1118</v>
      </c>
      <c r="C1187" s="4" t="str">
        <f>HYPERLINK("http://www.uniprot.org/uniprot/M5Y7E0","M5Y7E0")</f>
        <v>M5Y7E0</v>
      </c>
      <c r="D1187" s="2" t="s">
        <v>1167</v>
      </c>
      <c r="E1187" s="3">
        <v>7.6099999999999998E-73</v>
      </c>
      <c r="F1187" s="2">
        <v>596</v>
      </c>
      <c r="G1187" s="2">
        <v>100</v>
      </c>
      <c r="H1187" s="2">
        <v>118</v>
      </c>
      <c r="I1187" s="2">
        <v>653</v>
      </c>
      <c r="J1187" s="2">
        <v>1006</v>
      </c>
      <c r="K1187" s="2">
        <v>1</v>
      </c>
      <c r="L1187" s="2">
        <v>118</v>
      </c>
    </row>
    <row r="1188" spans="1:12" x14ac:dyDescent="0.25">
      <c r="A1188" s="4" t="str">
        <f>HYPERLINK("http://www.rosaceae.org/Prunus/Prunus_persica/p.persica_gdr_reftransV1_0019017","p.persica_gdr_reftransV1_0019017")</f>
        <v>p.persica_gdr_reftransV1_0019017</v>
      </c>
      <c r="B1188" s="2">
        <v>1022</v>
      </c>
      <c r="C1188" s="4" t="str">
        <f>HYPERLINK("http://www.uniprot.org/uniprot/K4C2G1","K4C2G1")</f>
        <v>K4C2G1</v>
      </c>
      <c r="D1188" s="2" t="s">
        <v>1168</v>
      </c>
      <c r="E1188" s="3">
        <v>1.7799999999999999E-45</v>
      </c>
      <c r="F1188" s="2">
        <v>415</v>
      </c>
      <c r="G1188" s="2">
        <v>44</v>
      </c>
      <c r="H1188" s="2">
        <v>215</v>
      </c>
      <c r="I1188" s="2">
        <v>67</v>
      </c>
      <c r="J1188" s="2">
        <v>684</v>
      </c>
      <c r="K1188" s="2">
        <v>1</v>
      </c>
      <c r="L1188" s="2">
        <v>182</v>
      </c>
    </row>
    <row r="1189" spans="1:12" x14ac:dyDescent="0.25">
      <c r="A1189" s="4" t="str">
        <f>HYPERLINK("http://www.rosaceae.org/Prunus/Prunus_persica/p.persica_gdr_reftransV1_0020067","p.persica_gdr_reftransV1_0020067")</f>
        <v>p.persica_gdr_reftransV1_0020067</v>
      </c>
      <c r="B1189" s="2">
        <v>2006</v>
      </c>
      <c r="C1189" s="4" t="str">
        <f>HYPERLINK("http://www.uniprot.org/uniprot/M5X1D0","M5X1D0")</f>
        <v>M5X1D0</v>
      </c>
      <c r="D1189" s="2" t="s">
        <v>1169</v>
      </c>
      <c r="E1189" s="3">
        <v>0</v>
      </c>
      <c r="F1189" s="2">
        <v>1486</v>
      </c>
      <c r="G1189" s="2">
        <v>100</v>
      </c>
      <c r="H1189" s="2">
        <v>308</v>
      </c>
      <c r="I1189" s="2">
        <v>657</v>
      </c>
      <c r="J1189" s="2">
        <v>1580</v>
      </c>
      <c r="K1189" s="2">
        <v>1</v>
      </c>
      <c r="L1189" s="2">
        <v>308</v>
      </c>
    </row>
    <row r="1190" spans="1:12" x14ac:dyDescent="0.25">
      <c r="A1190" s="4" t="str">
        <f>HYPERLINK("http://www.rosaceae.org/Prunus/Prunus_persica/p.persica_gdr_reftransV1_0020767","p.persica_gdr_reftransV1_0020767")</f>
        <v>p.persica_gdr_reftransV1_0020767</v>
      </c>
      <c r="B1190" s="2">
        <v>850</v>
      </c>
      <c r="C1190" s="4" t="str">
        <f>HYPERLINK("http://www.uniprot.org/uniprot/M5XES4","M5XES4")</f>
        <v>M5XES4</v>
      </c>
      <c r="D1190" s="2" t="s">
        <v>1170</v>
      </c>
      <c r="E1190" s="3">
        <v>1.76E-124</v>
      </c>
      <c r="F1190" s="2">
        <v>945</v>
      </c>
      <c r="G1190" s="2">
        <v>100</v>
      </c>
      <c r="H1190" s="2">
        <v>239</v>
      </c>
      <c r="I1190" s="2">
        <v>100</v>
      </c>
      <c r="J1190" s="2">
        <v>816</v>
      </c>
      <c r="K1190" s="2">
        <v>38</v>
      </c>
      <c r="L1190" s="2">
        <v>276</v>
      </c>
    </row>
    <row r="1191" spans="1:12" x14ac:dyDescent="0.25">
      <c r="A1191" s="4" t="str">
        <f>HYPERLINK("http://www.rosaceae.org/Prunus/Prunus_persica/p.persica_gdr_reftransV1_0021117","p.persica_gdr_reftransV1_0021117")</f>
        <v>p.persica_gdr_reftransV1_0021117</v>
      </c>
      <c r="B1191" s="2">
        <v>797</v>
      </c>
      <c r="C1191" s="4" t="str">
        <f>HYPERLINK("http://www.uniprot.org/uniprot/M5WL64","M5WL64")</f>
        <v>M5WL64</v>
      </c>
      <c r="D1191" s="2" t="s">
        <v>1171</v>
      </c>
      <c r="E1191" s="3">
        <v>2.1299999999999999E-90</v>
      </c>
      <c r="F1191" s="2">
        <v>712</v>
      </c>
      <c r="G1191" s="2">
        <v>100</v>
      </c>
      <c r="H1191" s="2">
        <v>156</v>
      </c>
      <c r="I1191" s="2">
        <v>51</v>
      </c>
      <c r="J1191" s="2">
        <v>518</v>
      </c>
      <c r="K1191" s="2">
        <v>1</v>
      </c>
      <c r="L1191" s="2">
        <v>156</v>
      </c>
    </row>
    <row r="1192" spans="1:12" x14ac:dyDescent="0.25">
      <c r="A1192" s="4" t="str">
        <f>HYPERLINK("http://www.rosaceae.org/Prunus/Prunus_persica/p.persica_gdr_reftransV1_0021467","p.persica_gdr_reftransV1_0021467")</f>
        <v>p.persica_gdr_reftransV1_0021467</v>
      </c>
      <c r="B1192" s="2">
        <v>1274</v>
      </c>
      <c r="C1192" s="4" t="str">
        <f>HYPERLINK("http://www.uniprot.org/uniprot/M5WU70","M5WU70")</f>
        <v>M5WU70</v>
      </c>
      <c r="D1192" s="2" t="s">
        <v>1172</v>
      </c>
      <c r="E1192" s="3">
        <v>3.1000000000000003E-172</v>
      </c>
      <c r="F1192" s="2">
        <v>1278</v>
      </c>
      <c r="G1192" s="2">
        <v>100</v>
      </c>
      <c r="H1192" s="2">
        <v>310</v>
      </c>
      <c r="I1192" s="2">
        <v>303</v>
      </c>
      <c r="J1192" s="2">
        <v>1232</v>
      </c>
      <c r="K1192" s="2">
        <v>1</v>
      </c>
      <c r="L1192" s="2">
        <v>310</v>
      </c>
    </row>
    <row r="1193" spans="1:12" x14ac:dyDescent="0.25">
      <c r="A1193" s="4" t="str">
        <f>HYPERLINK("http://www.rosaceae.org/Prunus/Prunus_persica/p.persica_gdr_reftransV1_0022167","p.persica_gdr_reftransV1_0022167")</f>
        <v>p.persica_gdr_reftransV1_0022167</v>
      </c>
      <c r="B1193" s="2">
        <v>2048</v>
      </c>
      <c r="C1193" s="4" t="str">
        <f>HYPERLINK("http://www.uniprot.org/uniprot/M5XDX2","M5XDX2")</f>
        <v>M5XDX2</v>
      </c>
      <c r="D1193" s="2" t="s">
        <v>1173</v>
      </c>
      <c r="E1193" s="3">
        <v>0</v>
      </c>
      <c r="F1193" s="2">
        <v>2515</v>
      </c>
      <c r="G1193" s="2">
        <v>100</v>
      </c>
      <c r="H1193" s="2">
        <v>555</v>
      </c>
      <c r="I1193" s="2">
        <v>123</v>
      </c>
      <c r="J1193" s="2">
        <v>1787</v>
      </c>
      <c r="K1193" s="2">
        <v>1</v>
      </c>
      <c r="L1193" s="2">
        <v>555</v>
      </c>
    </row>
    <row r="1194" spans="1:12" x14ac:dyDescent="0.25">
      <c r="A1194" s="4" t="str">
        <f>HYPERLINK("http://www.rosaceae.org/Prunus/Prunus_persica/p.persica_gdr_reftransV1_0023567","p.persica_gdr_reftransV1_0023567")</f>
        <v>p.persica_gdr_reftransV1_0023567</v>
      </c>
      <c r="B1194" s="2">
        <v>4627</v>
      </c>
      <c r="C1194" s="4" t="str">
        <f>HYPERLINK("http://www.uniprot.org/uniprot/M5W8B7","M5W8B7")</f>
        <v>M5W8B7</v>
      </c>
      <c r="D1194" s="2" t="s">
        <v>1174</v>
      </c>
      <c r="E1194" s="3">
        <v>0</v>
      </c>
      <c r="F1194" s="2">
        <v>3559</v>
      </c>
      <c r="G1194" s="2">
        <v>100</v>
      </c>
      <c r="H1194" s="2">
        <v>706</v>
      </c>
      <c r="I1194" s="2">
        <v>542</v>
      </c>
      <c r="J1194" s="2">
        <v>2659</v>
      </c>
      <c r="K1194" s="2">
        <v>673</v>
      </c>
      <c r="L1194" s="2">
        <v>1378</v>
      </c>
    </row>
    <row r="1195" spans="1:12" x14ac:dyDescent="0.25">
      <c r="A1195" s="4" t="str">
        <f>HYPERLINK("http://www.rosaceae.org/Prunus/Prunus_persica/p.persica_gdr_reftransV1_0023917","p.persica_gdr_reftransV1_0023917")</f>
        <v>p.persica_gdr_reftransV1_0023917</v>
      </c>
      <c r="B1195" s="2">
        <v>2582</v>
      </c>
      <c r="C1195" s="4" t="str">
        <f>HYPERLINK("http://www.uniprot.org/uniprot/M5XRU1","M5XRU1")</f>
        <v>M5XRU1</v>
      </c>
      <c r="D1195" s="2" t="s">
        <v>1175</v>
      </c>
      <c r="E1195" s="3">
        <v>0</v>
      </c>
      <c r="F1195" s="2">
        <v>2820</v>
      </c>
      <c r="G1195" s="2">
        <v>100</v>
      </c>
      <c r="H1195" s="2">
        <v>523</v>
      </c>
      <c r="I1195" s="2">
        <v>353</v>
      </c>
      <c r="J1195" s="2">
        <v>1921</v>
      </c>
      <c r="K1195" s="2">
        <v>20</v>
      </c>
      <c r="L1195" s="2">
        <v>542</v>
      </c>
    </row>
    <row r="1196" spans="1:12" x14ac:dyDescent="0.25">
      <c r="A1196" s="4" t="str">
        <f>HYPERLINK("http://www.rosaceae.org/Prunus/Prunus_persica/p.persica_gdr_reftransV1_0025317","p.persica_gdr_reftransV1_0025317")</f>
        <v>p.persica_gdr_reftransV1_0025317</v>
      </c>
      <c r="B1196" s="2">
        <v>1103</v>
      </c>
      <c r="C1196" s="4" t="str">
        <f>HYPERLINK("http://www.uniprot.org/uniprot/M5XP13","M5XP13")</f>
        <v>M5XP13</v>
      </c>
      <c r="D1196" s="2" t="s">
        <v>1176</v>
      </c>
      <c r="E1196" s="3">
        <v>1.8100000000000001E-178</v>
      </c>
      <c r="F1196" s="2">
        <v>1307</v>
      </c>
      <c r="G1196" s="2">
        <v>100</v>
      </c>
      <c r="H1196" s="2">
        <v>243</v>
      </c>
      <c r="I1196" s="2">
        <v>317</v>
      </c>
      <c r="J1196" s="2">
        <v>1045</v>
      </c>
      <c r="K1196" s="2">
        <v>4</v>
      </c>
      <c r="L1196" s="2">
        <v>246</v>
      </c>
    </row>
    <row r="1197" spans="1:12" x14ac:dyDescent="0.25">
      <c r="A1197" s="4" t="str">
        <f>HYPERLINK("http://www.rosaceae.org/Prunus/Prunus_persica/p.persica_gdr_reftransV1_0027067","p.persica_gdr_reftransV1_0027067")</f>
        <v>p.persica_gdr_reftransV1_0027067</v>
      </c>
      <c r="B1197" s="2">
        <v>1914</v>
      </c>
      <c r="C1197" s="4" t="str">
        <f>HYPERLINK("http://www.uniprot.org/uniprot/M5WA62","M5WA62")</f>
        <v>M5WA62</v>
      </c>
      <c r="D1197" s="2" t="s">
        <v>1177</v>
      </c>
      <c r="E1197" s="3">
        <v>9.9300000000000004E-86</v>
      </c>
      <c r="F1197" s="2">
        <v>720</v>
      </c>
      <c r="G1197" s="2">
        <v>95</v>
      </c>
      <c r="H1197" s="2">
        <v>168</v>
      </c>
      <c r="I1197" s="2">
        <v>1299</v>
      </c>
      <c r="J1197" s="2">
        <v>1802</v>
      </c>
      <c r="K1197" s="2">
        <v>1</v>
      </c>
      <c r="L1197" s="2">
        <v>167</v>
      </c>
    </row>
    <row r="1198" spans="1:12" x14ac:dyDescent="0.25">
      <c r="A1198" s="4" t="str">
        <f>HYPERLINK("http://www.rosaceae.org/Prunus/Prunus_persica/p.persica_gdr_reftransV1_0030217","p.persica_gdr_reftransV1_0030217")</f>
        <v>p.persica_gdr_reftransV1_0030217</v>
      </c>
      <c r="B1198" s="2">
        <v>2418</v>
      </c>
      <c r="C1198" s="4" t="str">
        <f>HYPERLINK("http://www.uniprot.org/uniprot/M5WCM5","M5WCM5")</f>
        <v>M5WCM5</v>
      </c>
      <c r="D1198" s="2" t="s">
        <v>1178</v>
      </c>
      <c r="E1198" s="3">
        <v>0</v>
      </c>
      <c r="F1198" s="2">
        <v>2696</v>
      </c>
      <c r="G1198" s="2">
        <v>100</v>
      </c>
      <c r="H1198" s="2">
        <v>610</v>
      </c>
      <c r="I1198" s="2">
        <v>365</v>
      </c>
      <c r="J1198" s="2">
        <v>2194</v>
      </c>
      <c r="K1198" s="2">
        <v>1</v>
      </c>
      <c r="L1198" s="2">
        <v>610</v>
      </c>
    </row>
    <row r="1199" spans="1:12" x14ac:dyDescent="0.25">
      <c r="A1199" s="4" t="str">
        <f>HYPERLINK("http://www.rosaceae.org/Prunus/Prunus_persica/p.persica_gdr_reftransV1_0030917","p.persica_gdr_reftransV1_0030917")</f>
        <v>p.persica_gdr_reftransV1_0030917</v>
      </c>
      <c r="B1199" s="2">
        <v>3150</v>
      </c>
      <c r="C1199" s="4" t="str">
        <f>HYPERLINK("http://www.uniprot.org/uniprot/M5X5U5","M5X5U5")</f>
        <v>M5X5U5</v>
      </c>
      <c r="D1199" s="2" t="s">
        <v>1179</v>
      </c>
      <c r="E1199" s="3">
        <v>0</v>
      </c>
      <c r="F1199" s="2">
        <v>1634</v>
      </c>
      <c r="G1199" s="2">
        <v>100</v>
      </c>
      <c r="H1199" s="2">
        <v>306</v>
      </c>
      <c r="I1199" s="2">
        <v>416</v>
      </c>
      <c r="J1199" s="2">
        <v>1333</v>
      </c>
      <c r="K1199" s="2">
        <v>9</v>
      </c>
      <c r="L1199" s="2">
        <v>314</v>
      </c>
    </row>
    <row r="1200" spans="1:12" x14ac:dyDescent="0.25">
      <c r="A1200" s="4" t="str">
        <f>HYPERLINK("http://www.rosaceae.org/Prunus/Prunus_persica/p.persica_gdr_reftransV1_0031617","p.persica_gdr_reftransV1_0031617")</f>
        <v>p.persica_gdr_reftransV1_0031617</v>
      </c>
      <c r="B1200" s="2">
        <v>1892</v>
      </c>
      <c r="C1200" s="4" t="str">
        <f>HYPERLINK("http://www.uniprot.org/uniprot/M5WJT3","M5WJT3")</f>
        <v>M5WJT3</v>
      </c>
      <c r="D1200" s="2" t="s">
        <v>1180</v>
      </c>
      <c r="E1200" s="3">
        <v>3.0900000000000001E-152</v>
      </c>
      <c r="F1200" s="2">
        <v>883</v>
      </c>
      <c r="G1200" s="2">
        <v>79</v>
      </c>
      <c r="H1200" s="2">
        <v>211</v>
      </c>
      <c r="I1200" s="2">
        <v>428</v>
      </c>
      <c r="J1200" s="2">
        <v>1060</v>
      </c>
      <c r="K1200" s="2">
        <v>1</v>
      </c>
      <c r="L1200" s="2">
        <v>211</v>
      </c>
    </row>
    <row r="1201" spans="1:12" x14ac:dyDescent="0.25">
      <c r="A1201" s="4" t="str">
        <f>HYPERLINK("http://www.rosaceae.org/Prunus/Prunus_persica/p.persica_gdr_reftransV1_0032317","p.persica_gdr_reftransV1_0032317")</f>
        <v>p.persica_gdr_reftransV1_0032317</v>
      </c>
      <c r="B1201" s="2">
        <v>4848</v>
      </c>
      <c r="C1201" s="4" t="str">
        <f>HYPERLINK("http://www.uniprot.org/uniprot/M5WLZ1","M5WLZ1")</f>
        <v>M5WLZ1</v>
      </c>
      <c r="D1201" s="2" t="s">
        <v>1181</v>
      </c>
      <c r="E1201" s="3">
        <v>0</v>
      </c>
      <c r="F1201" s="2">
        <v>1668</v>
      </c>
      <c r="G1201" s="2">
        <v>100</v>
      </c>
      <c r="H1201" s="2">
        <v>355</v>
      </c>
      <c r="I1201" s="2">
        <v>1187</v>
      </c>
      <c r="J1201" s="2">
        <v>2251</v>
      </c>
      <c r="K1201" s="2">
        <v>164</v>
      </c>
      <c r="L1201" s="2">
        <v>518</v>
      </c>
    </row>
    <row r="1202" spans="1:12" x14ac:dyDescent="0.25">
      <c r="A1202" s="4" t="str">
        <f>HYPERLINK("http://www.rosaceae.org/Prunus/Prunus_persica/p.persica_gdr_reftransV1_0033367","p.persica_gdr_reftransV1_0033367")</f>
        <v>p.persica_gdr_reftransV1_0033367</v>
      </c>
      <c r="B1202" s="2">
        <v>2271</v>
      </c>
      <c r="C1202" s="4" t="str">
        <f>HYPERLINK("http://www.uniprot.org/uniprot/M5WAY3","M5WAY3")</f>
        <v>M5WAY3</v>
      </c>
      <c r="D1202" s="2" t="s">
        <v>1182</v>
      </c>
      <c r="E1202" s="3">
        <v>9.01E-127</v>
      </c>
      <c r="F1202" s="2">
        <v>1013</v>
      </c>
      <c r="G1202" s="2">
        <v>100</v>
      </c>
      <c r="H1202" s="2">
        <v>294</v>
      </c>
      <c r="I1202" s="2">
        <v>1166</v>
      </c>
      <c r="J1202" s="2">
        <v>2047</v>
      </c>
      <c r="K1202" s="2">
        <v>14</v>
      </c>
      <c r="L1202" s="2">
        <v>307</v>
      </c>
    </row>
    <row r="1203" spans="1:12" x14ac:dyDescent="0.25">
      <c r="A1203" s="4" t="str">
        <f>HYPERLINK("http://www.rosaceae.org/Prunus/Prunus_persica/p.persica_gdr_reftransV1_0035117","p.persica_gdr_reftransV1_0035117")</f>
        <v>p.persica_gdr_reftransV1_0035117</v>
      </c>
      <c r="B1203" s="2">
        <v>1870</v>
      </c>
      <c r="C1203" s="4" t="str">
        <f>HYPERLINK("http://www.uniprot.org/uniprot/M5XWS7","M5XWS7")</f>
        <v>M5XWS7</v>
      </c>
      <c r="D1203" s="2" t="s">
        <v>1183</v>
      </c>
      <c r="E1203" s="3">
        <v>3.18E-63</v>
      </c>
      <c r="F1203" s="2">
        <v>557</v>
      </c>
      <c r="G1203" s="2">
        <v>96</v>
      </c>
      <c r="H1203" s="2">
        <v>110</v>
      </c>
      <c r="I1203" s="2">
        <v>1055</v>
      </c>
      <c r="J1203" s="2">
        <v>1384</v>
      </c>
      <c r="K1203" s="2">
        <v>98</v>
      </c>
      <c r="L1203" s="2">
        <v>207</v>
      </c>
    </row>
    <row r="1204" spans="1:12" x14ac:dyDescent="0.25">
      <c r="A1204" s="4" t="str">
        <f>HYPERLINK("http://www.rosaceae.org/Prunus/Prunus_persica/p.persica_gdr_reftransV1_0035817","p.persica_gdr_reftransV1_0035817")</f>
        <v>p.persica_gdr_reftransV1_0035817</v>
      </c>
      <c r="B1204" s="2">
        <v>5210</v>
      </c>
      <c r="C1204" s="4" t="str">
        <f>HYPERLINK("http://www.uniprot.org/uniprot/M5VWM2","M5VWM2")</f>
        <v>M5VWM2</v>
      </c>
      <c r="D1204" s="2" t="s">
        <v>1184</v>
      </c>
      <c r="E1204" s="3">
        <v>0</v>
      </c>
      <c r="F1204" s="2">
        <v>3638</v>
      </c>
      <c r="G1204" s="2">
        <v>100</v>
      </c>
      <c r="H1204" s="2">
        <v>683</v>
      </c>
      <c r="I1204" s="2">
        <v>2550</v>
      </c>
      <c r="J1204" s="2">
        <v>4598</v>
      </c>
      <c r="K1204" s="2">
        <v>1</v>
      </c>
      <c r="L1204" s="2">
        <v>683</v>
      </c>
    </row>
    <row r="1205" spans="1:12" x14ac:dyDescent="0.25">
      <c r="A1205" s="4" t="str">
        <f>HYPERLINK("http://www.rosaceae.org/Prunus/Prunus_persica/p.persica_gdr_reftransV1_0041417","p.persica_gdr_reftransV1_0041417")</f>
        <v>p.persica_gdr_reftransV1_0041417</v>
      </c>
      <c r="B1205" s="2">
        <v>1364</v>
      </c>
      <c r="C1205" s="4" t="str">
        <f>HYPERLINK("http://www.uniprot.org/uniprot/M5W0D3","M5W0D3")</f>
        <v>M5W0D3</v>
      </c>
      <c r="D1205" s="2" t="s">
        <v>1185</v>
      </c>
      <c r="E1205" s="3">
        <v>2.6099999999999999E-88</v>
      </c>
      <c r="F1205" s="2">
        <v>712</v>
      </c>
      <c r="G1205" s="2">
        <v>100</v>
      </c>
      <c r="H1205" s="2">
        <v>151</v>
      </c>
      <c r="I1205" s="2">
        <v>61</v>
      </c>
      <c r="J1205" s="2">
        <v>513</v>
      </c>
      <c r="K1205" s="2">
        <v>1</v>
      </c>
      <c r="L1205" s="2">
        <v>151</v>
      </c>
    </row>
    <row r="1206" spans="1:12" x14ac:dyDescent="0.25">
      <c r="A1206" s="4" t="str">
        <f>HYPERLINK("http://www.rosaceae.org/Prunus/Prunus_persica/p.persica_gdr_reftransV1_0042117","p.persica_gdr_reftransV1_0042117")</f>
        <v>p.persica_gdr_reftransV1_0042117</v>
      </c>
      <c r="B1206" s="2">
        <v>2639</v>
      </c>
      <c r="C1206" s="4" t="str">
        <f>HYPERLINK("http://www.uniprot.org/uniprot/M5VGJ4","M5VGJ4")</f>
        <v>M5VGJ4</v>
      </c>
      <c r="D1206" s="2" t="s">
        <v>1186</v>
      </c>
      <c r="E1206" s="3">
        <v>8.2700000000000003E-69</v>
      </c>
      <c r="F1206" s="2">
        <v>614</v>
      </c>
      <c r="G1206" s="2">
        <v>100</v>
      </c>
      <c r="H1206" s="2">
        <v>133</v>
      </c>
      <c r="I1206" s="2">
        <v>173</v>
      </c>
      <c r="J1206" s="2">
        <v>571</v>
      </c>
      <c r="K1206" s="2">
        <v>1</v>
      </c>
      <c r="L1206" s="2">
        <v>133</v>
      </c>
    </row>
    <row r="1207" spans="1:12" x14ac:dyDescent="0.25">
      <c r="A1207" s="4" t="str">
        <f>HYPERLINK("http://www.rosaceae.org/Prunus/Prunus_persica/p.persica_gdr_reftransV1_0042817","p.persica_gdr_reftransV1_0042817")</f>
        <v>p.persica_gdr_reftransV1_0042817</v>
      </c>
      <c r="B1207" s="2">
        <v>1341</v>
      </c>
      <c r="C1207" s="4" t="str">
        <f>HYPERLINK("http://www.uniprot.org/uniprot/M5WT82","M5WT82")</f>
        <v>M5WT82</v>
      </c>
      <c r="D1207" s="2" t="s">
        <v>1187</v>
      </c>
      <c r="E1207" s="3">
        <v>3.2099999999999998E-70</v>
      </c>
      <c r="F1207" s="2">
        <v>632</v>
      </c>
      <c r="G1207" s="2">
        <v>95</v>
      </c>
      <c r="H1207" s="2">
        <v>167</v>
      </c>
      <c r="I1207" s="2">
        <v>841</v>
      </c>
      <c r="J1207" s="2">
        <v>1341</v>
      </c>
      <c r="K1207" s="2">
        <v>568</v>
      </c>
      <c r="L1207" s="2">
        <v>734</v>
      </c>
    </row>
    <row r="1208" spans="1:12" x14ac:dyDescent="0.25">
      <c r="A1208" s="4" t="str">
        <f>HYPERLINK("http://www.rosaceae.org/Prunus/Prunus_persica/p.persica_gdr_reftransV1_0043167","p.persica_gdr_reftransV1_0043167")</f>
        <v>p.persica_gdr_reftransV1_0043167</v>
      </c>
      <c r="B1208" s="2">
        <v>1139</v>
      </c>
      <c r="C1208" s="4" t="str">
        <f>HYPERLINK("http://www.uniprot.org/uniprot/M5XEW1","M5XEW1")</f>
        <v>M5XEW1</v>
      </c>
      <c r="D1208" s="2" t="s">
        <v>1188</v>
      </c>
      <c r="E1208" s="3">
        <v>1.9399999999999999E-154</v>
      </c>
      <c r="F1208" s="2">
        <v>1150</v>
      </c>
      <c r="G1208" s="2">
        <v>100</v>
      </c>
      <c r="H1208" s="2">
        <v>253</v>
      </c>
      <c r="I1208" s="2">
        <v>228</v>
      </c>
      <c r="J1208" s="2">
        <v>986</v>
      </c>
      <c r="K1208" s="2">
        <v>1</v>
      </c>
      <c r="L1208" s="2">
        <v>253</v>
      </c>
    </row>
    <row r="1209" spans="1:12" x14ac:dyDescent="0.25">
      <c r="A1209" s="4" t="str">
        <f>HYPERLINK("http://www.rosaceae.org/Prunus/Prunus_persica/p.persica_gdr_reftransV1_0043517","p.persica_gdr_reftransV1_0043517")</f>
        <v>p.persica_gdr_reftransV1_0043517</v>
      </c>
      <c r="B1209" s="2">
        <v>549</v>
      </c>
      <c r="C1209" s="4" t="str">
        <f>HYPERLINK("http://www.uniprot.org/uniprot/M5WHB6","M5WHB6")</f>
        <v>M5WHB6</v>
      </c>
      <c r="D1209" s="2" t="s">
        <v>1189</v>
      </c>
      <c r="E1209" s="3">
        <v>1.2499999999999999E-103</v>
      </c>
      <c r="F1209" s="2">
        <v>812</v>
      </c>
      <c r="G1209" s="2">
        <v>100</v>
      </c>
      <c r="H1209" s="2">
        <v>154</v>
      </c>
      <c r="I1209" s="2">
        <v>3</v>
      </c>
      <c r="J1209" s="2">
        <v>464</v>
      </c>
      <c r="K1209" s="2">
        <v>1</v>
      </c>
      <c r="L1209" s="2">
        <v>154</v>
      </c>
    </row>
    <row r="1210" spans="1:12" x14ac:dyDescent="0.25">
      <c r="A1210" s="4" t="str">
        <f>HYPERLINK("http://www.rosaceae.org/Prunus/Prunus_persica/p.persica_gdr_reftransV1_0043867","p.persica_gdr_reftransV1_0043867")</f>
        <v>p.persica_gdr_reftransV1_0043867</v>
      </c>
      <c r="B1210" s="2">
        <v>2128</v>
      </c>
      <c r="C1210" s="4" t="str">
        <f>HYPERLINK("http://www.uniprot.org/uniprot/M5W4F3","M5W4F3")</f>
        <v>M5W4F3</v>
      </c>
      <c r="D1210" s="2" t="s">
        <v>1190</v>
      </c>
      <c r="E1210" s="3">
        <v>0</v>
      </c>
      <c r="F1210" s="2">
        <v>2755</v>
      </c>
      <c r="G1210" s="2">
        <v>100</v>
      </c>
      <c r="H1210" s="2">
        <v>515</v>
      </c>
      <c r="I1210" s="2">
        <v>127</v>
      </c>
      <c r="J1210" s="2">
        <v>1671</v>
      </c>
      <c r="K1210" s="2">
        <v>1</v>
      </c>
      <c r="L1210" s="2">
        <v>515</v>
      </c>
    </row>
    <row r="1211" spans="1:12" x14ac:dyDescent="0.25">
      <c r="A1211" s="4" t="str">
        <f>HYPERLINK("http://www.rosaceae.org/Prunus/Prunus_persica/p.persica_gdr_reftransV1_0044217","p.persica_gdr_reftransV1_0044217")</f>
        <v>p.persica_gdr_reftransV1_0044217</v>
      </c>
      <c r="B1211" s="2">
        <v>525</v>
      </c>
      <c r="C1211" s="4" t="str">
        <f>HYPERLINK("http://www.uniprot.org/uniprot/B9S8S3","B9S8S3")</f>
        <v>B9S8S3</v>
      </c>
      <c r="D1211" s="2" t="s">
        <v>1191</v>
      </c>
      <c r="E1211" s="3">
        <v>5.5099999999999998E-43</v>
      </c>
      <c r="F1211" s="2">
        <v>406</v>
      </c>
      <c r="G1211" s="2">
        <v>68</v>
      </c>
      <c r="H1211" s="2">
        <v>120</v>
      </c>
      <c r="I1211" s="2">
        <v>165</v>
      </c>
      <c r="J1211" s="2">
        <v>524</v>
      </c>
      <c r="K1211" s="2">
        <v>1</v>
      </c>
      <c r="L1211" s="2">
        <v>120</v>
      </c>
    </row>
    <row r="1212" spans="1:12" x14ac:dyDescent="0.25">
      <c r="A1212" s="4" t="str">
        <f>HYPERLINK("http://www.rosaceae.org/Prunus/Prunus_persica/p.persica_gdr_reftransV1_0044567","p.persica_gdr_reftransV1_0044567")</f>
        <v>p.persica_gdr_reftransV1_0044567</v>
      </c>
      <c r="B1212" s="2">
        <v>2301</v>
      </c>
      <c r="C1212" s="4" t="str">
        <f>HYPERLINK("http://www.uniprot.org/uniprot/M5WFL4","M5WFL4")</f>
        <v>M5WFL4</v>
      </c>
      <c r="D1212" s="2" t="s">
        <v>1192</v>
      </c>
      <c r="E1212" s="3">
        <v>0</v>
      </c>
      <c r="F1212" s="2">
        <v>2888</v>
      </c>
      <c r="G1212" s="2">
        <v>99</v>
      </c>
      <c r="H1212" s="2">
        <v>546</v>
      </c>
      <c r="I1212" s="2">
        <v>333</v>
      </c>
      <c r="J1212" s="2">
        <v>1970</v>
      </c>
      <c r="K1212" s="2">
        <v>61</v>
      </c>
      <c r="L1212" s="2">
        <v>606</v>
      </c>
    </row>
    <row r="1213" spans="1:12" x14ac:dyDescent="0.25">
      <c r="A1213" s="4" t="str">
        <f>HYPERLINK("http://www.rosaceae.org/Prunus/Prunus_persica/p.persica_gdr_reftransV1_0044917","p.persica_gdr_reftransV1_0044917")</f>
        <v>p.persica_gdr_reftransV1_0044917</v>
      </c>
      <c r="B1213" s="2">
        <v>1783</v>
      </c>
      <c r="C1213" s="4" t="str">
        <f>HYPERLINK("http://www.uniprot.org/uniprot/M5X9M8","M5X9M8")</f>
        <v>M5X9M8</v>
      </c>
      <c r="D1213" s="2" t="s">
        <v>1193</v>
      </c>
      <c r="E1213" s="3">
        <v>0</v>
      </c>
      <c r="F1213" s="2">
        <v>2593</v>
      </c>
      <c r="G1213" s="2">
        <v>98</v>
      </c>
      <c r="H1213" s="2">
        <v>525</v>
      </c>
      <c r="I1213" s="2">
        <v>209</v>
      </c>
      <c r="J1213" s="2">
        <v>1780</v>
      </c>
      <c r="K1213" s="2">
        <v>206</v>
      </c>
      <c r="L1213" s="2">
        <v>730</v>
      </c>
    </row>
    <row r="1214" spans="1:12" x14ac:dyDescent="0.25">
      <c r="A1214" s="4" t="str">
        <f>HYPERLINK("http://www.rosaceae.org/Prunus/Prunus_persica/p.persica_gdr_reftransV1_0045267","p.persica_gdr_reftransV1_0045267")</f>
        <v>p.persica_gdr_reftransV1_0045267</v>
      </c>
      <c r="B1214" s="2">
        <v>2067</v>
      </c>
      <c r="C1214" s="4" t="str">
        <f>HYPERLINK("http://www.uniprot.org/uniprot/M5W4X1","M5W4X1")</f>
        <v>M5W4X1</v>
      </c>
      <c r="D1214" s="2" t="s">
        <v>1194</v>
      </c>
      <c r="E1214" s="3">
        <v>0</v>
      </c>
      <c r="F1214" s="2">
        <v>2703</v>
      </c>
      <c r="G1214" s="2">
        <v>97</v>
      </c>
      <c r="H1214" s="2">
        <v>557</v>
      </c>
      <c r="I1214" s="2">
        <v>127</v>
      </c>
      <c r="J1214" s="2">
        <v>1797</v>
      </c>
      <c r="K1214" s="2">
        <v>1</v>
      </c>
      <c r="L1214" s="2">
        <v>546</v>
      </c>
    </row>
    <row r="1215" spans="1:12" x14ac:dyDescent="0.25">
      <c r="A1215" s="4" t="str">
        <f>HYPERLINK("http://www.rosaceae.org/Prunus/Prunus_persica/p.persica_gdr_reftransV1_0045617","p.persica_gdr_reftransV1_0045617")</f>
        <v>p.persica_gdr_reftransV1_0045617</v>
      </c>
      <c r="B1215" s="2">
        <v>2805</v>
      </c>
      <c r="C1215" s="4" t="str">
        <f>HYPERLINK("http://www.uniprot.org/uniprot/M5W2W1","M5W2W1")</f>
        <v>M5W2W1</v>
      </c>
      <c r="D1215" s="2" t="s">
        <v>1195</v>
      </c>
      <c r="E1215" s="3">
        <v>0</v>
      </c>
      <c r="F1215" s="2">
        <v>1426</v>
      </c>
      <c r="G1215" s="2">
        <v>100</v>
      </c>
      <c r="H1215" s="2">
        <v>293</v>
      </c>
      <c r="I1215" s="2">
        <v>1294</v>
      </c>
      <c r="J1215" s="2">
        <v>2172</v>
      </c>
      <c r="K1215" s="2">
        <v>1</v>
      </c>
      <c r="L1215" s="2">
        <v>293</v>
      </c>
    </row>
    <row r="1216" spans="1:12" x14ac:dyDescent="0.25">
      <c r="A1216" s="4" t="str">
        <f>HYPERLINK("http://www.rosaceae.org/Prunus/Prunus_persica/p.persica_gdr_reftransV1_0045967","p.persica_gdr_reftransV1_0045967")</f>
        <v>p.persica_gdr_reftransV1_0045967</v>
      </c>
      <c r="B1216" s="2">
        <v>2404</v>
      </c>
      <c r="C1216" s="4" t="str">
        <f>HYPERLINK("http://www.uniprot.org/uniprot/M5W9Z7","M5W9Z7")</f>
        <v>M5W9Z7</v>
      </c>
      <c r="D1216" s="2" t="s">
        <v>1196</v>
      </c>
      <c r="E1216" s="3">
        <v>0</v>
      </c>
      <c r="F1216" s="2">
        <v>1689</v>
      </c>
      <c r="G1216" s="2">
        <v>100</v>
      </c>
      <c r="H1216" s="2">
        <v>315</v>
      </c>
      <c r="I1216" s="2">
        <v>819</v>
      </c>
      <c r="J1216" s="2">
        <v>1763</v>
      </c>
      <c r="K1216" s="2">
        <v>1</v>
      </c>
      <c r="L1216" s="2">
        <v>315</v>
      </c>
    </row>
    <row r="1217" spans="1:12" x14ac:dyDescent="0.25">
      <c r="A1217" s="4" t="str">
        <f>HYPERLINK("http://www.rosaceae.org/Prunus/Prunus_persica/p.persica_gdr_reftransV1_0046317","p.persica_gdr_reftransV1_0046317")</f>
        <v>p.persica_gdr_reftransV1_0046317</v>
      </c>
      <c r="B1217" s="2">
        <v>922</v>
      </c>
      <c r="C1217" s="4" t="str">
        <f>HYPERLINK("http://www.uniprot.org/uniprot/M5WHF5","M5WHF5")</f>
        <v>M5WHF5</v>
      </c>
      <c r="D1217" s="2" t="s">
        <v>1197</v>
      </c>
      <c r="E1217" s="3">
        <v>1.19E-72</v>
      </c>
      <c r="F1217" s="2">
        <v>590</v>
      </c>
      <c r="G1217" s="2">
        <v>100</v>
      </c>
      <c r="H1217" s="2">
        <v>114</v>
      </c>
      <c r="I1217" s="2">
        <v>182</v>
      </c>
      <c r="J1217" s="2">
        <v>523</v>
      </c>
      <c r="K1217" s="2">
        <v>1</v>
      </c>
      <c r="L1217" s="2">
        <v>114</v>
      </c>
    </row>
    <row r="1218" spans="1:12" x14ac:dyDescent="0.25">
      <c r="A1218" s="4" t="str">
        <f>HYPERLINK("http://www.rosaceae.org/Prunus/Prunus_persica/p.persica_gdr_reftransV1_0046667","p.persica_gdr_reftransV1_0046667")</f>
        <v>p.persica_gdr_reftransV1_0046667</v>
      </c>
      <c r="B1218" s="2">
        <v>2242</v>
      </c>
      <c r="C1218" s="4" t="str">
        <f>HYPERLINK("http://www.uniprot.org/uniprot/M5X5I2","M5X5I2")</f>
        <v>M5X5I2</v>
      </c>
      <c r="D1218" s="2" t="s">
        <v>1198</v>
      </c>
      <c r="E1218" s="3">
        <v>0</v>
      </c>
      <c r="F1218" s="2">
        <v>1979</v>
      </c>
      <c r="G1218" s="2">
        <v>100</v>
      </c>
      <c r="H1218" s="2">
        <v>360</v>
      </c>
      <c r="I1218" s="2">
        <v>153</v>
      </c>
      <c r="J1218" s="2">
        <v>1232</v>
      </c>
      <c r="K1218" s="2">
        <v>1</v>
      </c>
      <c r="L1218" s="2">
        <v>360</v>
      </c>
    </row>
    <row r="1219" spans="1:12" x14ac:dyDescent="0.25">
      <c r="A1219" s="4" t="str">
        <f>HYPERLINK("http://www.rosaceae.org/Prunus/Prunus_persica/p.persica_gdr_reftransV1_0047367","p.persica_gdr_reftransV1_0047367")</f>
        <v>p.persica_gdr_reftransV1_0047367</v>
      </c>
      <c r="B1219" s="2">
        <v>469</v>
      </c>
      <c r="C1219" s="4" t="str">
        <f>HYPERLINK("http://www.uniprot.org/uniprot/M5Y489","M5Y489")</f>
        <v>M5Y489</v>
      </c>
      <c r="D1219" s="2" t="s">
        <v>1199</v>
      </c>
      <c r="E1219" s="3">
        <v>4.9200000000000002E-83</v>
      </c>
      <c r="F1219" s="2">
        <v>702</v>
      </c>
      <c r="G1219" s="2">
        <v>100</v>
      </c>
      <c r="H1219" s="2">
        <v>145</v>
      </c>
      <c r="I1219" s="2">
        <v>33</v>
      </c>
      <c r="J1219" s="2">
        <v>467</v>
      </c>
      <c r="K1219" s="2">
        <v>765</v>
      </c>
      <c r="L1219" s="2">
        <v>909</v>
      </c>
    </row>
    <row r="1220" spans="1:12" x14ac:dyDescent="0.25">
      <c r="A1220" s="4" t="str">
        <f>HYPERLINK("http://www.rosaceae.org/Prunus/Prunus_persica/p.persica_gdr_reftransV1_0047717","p.persica_gdr_reftransV1_0047717")</f>
        <v>p.persica_gdr_reftransV1_0047717</v>
      </c>
      <c r="B1220" s="2">
        <v>1368</v>
      </c>
      <c r="C1220" s="4" t="str">
        <f>HYPERLINK("http://www.uniprot.org/uniprot/M5W4Y9","M5W4Y9")</f>
        <v>M5W4Y9</v>
      </c>
      <c r="D1220" s="2" t="s">
        <v>1200</v>
      </c>
      <c r="E1220" s="3">
        <v>1.3900000000000001E-61</v>
      </c>
      <c r="F1220" s="2">
        <v>555</v>
      </c>
      <c r="G1220" s="2">
        <v>99</v>
      </c>
      <c r="H1220" s="2">
        <v>124</v>
      </c>
      <c r="I1220" s="2">
        <v>18</v>
      </c>
      <c r="J1220" s="2">
        <v>389</v>
      </c>
      <c r="K1220" s="2">
        <v>3</v>
      </c>
      <c r="L1220" s="2">
        <v>126</v>
      </c>
    </row>
    <row r="1221" spans="1:12" x14ac:dyDescent="0.25">
      <c r="A1221" s="4" t="str">
        <f>HYPERLINK("http://www.rosaceae.org/Prunus/Prunus_persica/p.persica_gdr_reftransV1_0048067","p.persica_gdr_reftransV1_0048067")</f>
        <v>p.persica_gdr_reftransV1_0048067</v>
      </c>
      <c r="B1221" s="2">
        <v>687</v>
      </c>
      <c r="C1221" s="4" t="str">
        <f>HYPERLINK("http://www.uniprot.org/uniprot/B9RJS3","B9RJS3")</f>
        <v>B9RJS3</v>
      </c>
      <c r="D1221" s="2" t="s">
        <v>1201</v>
      </c>
      <c r="E1221" s="3">
        <v>4.2699999999999999E-11</v>
      </c>
      <c r="F1221" s="2">
        <v>170</v>
      </c>
      <c r="G1221" s="2">
        <v>82</v>
      </c>
      <c r="H1221" s="2">
        <v>67</v>
      </c>
      <c r="I1221" s="2">
        <v>67</v>
      </c>
      <c r="J1221" s="2">
        <v>261</v>
      </c>
      <c r="K1221" s="2">
        <v>166</v>
      </c>
      <c r="L1221" s="2">
        <v>232</v>
      </c>
    </row>
    <row r="1222" spans="1:12" x14ac:dyDescent="0.25">
      <c r="A1222" s="4" t="str">
        <f>HYPERLINK("http://www.rosaceae.org/Prunus/Prunus_persica/p.persica_gdr_reftransV1_0048417","p.persica_gdr_reftransV1_0048417")</f>
        <v>p.persica_gdr_reftransV1_0048417</v>
      </c>
      <c r="B1222" s="2">
        <v>343</v>
      </c>
      <c r="C1222" s="4" t="str">
        <f>HYPERLINK("http://www.uniprot.org/uniprot/M5XPD2","M5XPD2")</f>
        <v>M5XPD2</v>
      </c>
      <c r="D1222" s="2" t="s">
        <v>1202</v>
      </c>
      <c r="E1222" s="3">
        <v>2.9100000000000001E-77</v>
      </c>
      <c r="F1222" s="2">
        <v>620</v>
      </c>
      <c r="G1222" s="2">
        <v>100</v>
      </c>
      <c r="H1222" s="2">
        <v>114</v>
      </c>
      <c r="I1222" s="2">
        <v>1</v>
      </c>
      <c r="J1222" s="2">
        <v>342</v>
      </c>
      <c r="K1222" s="2">
        <v>133</v>
      </c>
      <c r="L1222" s="2">
        <v>246</v>
      </c>
    </row>
    <row r="1223" spans="1:12" x14ac:dyDescent="0.25">
      <c r="A1223" s="4" t="str">
        <f>HYPERLINK("http://www.rosaceae.org/Prunus/Prunus_persica/p.persica_gdr_reftransV1_0048767","p.persica_gdr_reftransV1_0048767")</f>
        <v>p.persica_gdr_reftransV1_0048767</v>
      </c>
      <c r="B1223" s="2">
        <v>500</v>
      </c>
      <c r="C1223" s="4" t="str">
        <f>HYPERLINK("http://www.uniprot.org/uniprot/M5X984","M5X984")</f>
        <v>M5X984</v>
      </c>
      <c r="D1223" s="2" t="s">
        <v>1203</v>
      </c>
      <c r="E1223" s="3">
        <v>1.9999999999999999E-74</v>
      </c>
      <c r="F1223" s="2">
        <v>623</v>
      </c>
      <c r="G1223" s="2">
        <v>100</v>
      </c>
      <c r="H1223" s="2">
        <v>130</v>
      </c>
      <c r="I1223" s="2">
        <v>91</v>
      </c>
      <c r="J1223" s="2">
        <v>480</v>
      </c>
      <c r="K1223" s="2">
        <v>1</v>
      </c>
      <c r="L1223" s="2">
        <v>130</v>
      </c>
    </row>
    <row r="1224" spans="1:12" x14ac:dyDescent="0.25">
      <c r="A1224" s="4" t="str">
        <f>HYPERLINK("http://www.rosaceae.org/Prunus/Prunus_persica/p.persica_gdr_reftransV1_0000468","p.persica_gdr_reftransV1_0000468")</f>
        <v>p.persica_gdr_reftransV1_0000468</v>
      </c>
      <c r="B1224" s="2">
        <v>363</v>
      </c>
      <c r="C1224" s="4" t="str">
        <f>HYPERLINK("http://www.uniprot.org/uniprot/M5XG26","M5XG26")</f>
        <v>M5XG26</v>
      </c>
      <c r="D1224" s="2" t="s">
        <v>1204</v>
      </c>
      <c r="E1224" s="3">
        <v>1.9399999999999999E-35</v>
      </c>
      <c r="F1224" s="2">
        <v>334</v>
      </c>
      <c r="G1224" s="2">
        <v>94</v>
      </c>
      <c r="H1224" s="2">
        <v>67</v>
      </c>
      <c r="I1224" s="2">
        <v>161</v>
      </c>
      <c r="J1224" s="2">
        <v>361</v>
      </c>
      <c r="K1224" s="2">
        <v>107</v>
      </c>
      <c r="L1224" s="2">
        <v>173</v>
      </c>
    </row>
    <row r="1225" spans="1:12" x14ac:dyDescent="0.25">
      <c r="A1225" s="4" t="str">
        <f>HYPERLINK("http://www.rosaceae.org/Prunus/Prunus_persica/p.persica_gdr_reftransV1_0000818","p.persica_gdr_reftransV1_0000818")</f>
        <v>p.persica_gdr_reftransV1_0000818</v>
      </c>
      <c r="B1225" s="2">
        <v>501</v>
      </c>
      <c r="C1225" s="4" t="str">
        <f>HYPERLINK("http://www.uniprot.org/uniprot/M5WQ13","M5WQ13")</f>
        <v>M5WQ13</v>
      </c>
      <c r="D1225" s="2" t="s">
        <v>1205</v>
      </c>
      <c r="E1225" s="3">
        <v>4.9399999999999997E-91</v>
      </c>
      <c r="F1225" s="2">
        <v>720</v>
      </c>
      <c r="G1225" s="2">
        <v>100</v>
      </c>
      <c r="H1225" s="2">
        <v>158</v>
      </c>
      <c r="I1225" s="2">
        <v>2</v>
      </c>
      <c r="J1225" s="2">
        <v>475</v>
      </c>
      <c r="K1225" s="2">
        <v>1</v>
      </c>
      <c r="L1225" s="2">
        <v>158</v>
      </c>
    </row>
    <row r="1226" spans="1:12" x14ac:dyDescent="0.25">
      <c r="A1226" s="4" t="str">
        <f>HYPERLINK("http://www.rosaceae.org/Prunus/Prunus_persica/p.persica_gdr_reftransV1_0001168","p.persica_gdr_reftransV1_0001168")</f>
        <v>p.persica_gdr_reftransV1_0001168</v>
      </c>
      <c r="B1226" s="2">
        <v>2427</v>
      </c>
      <c r="C1226" s="4" t="str">
        <f>HYPERLINK("http://www.uniprot.org/uniprot/M5VGC3","M5VGC3")</f>
        <v>M5VGC3</v>
      </c>
      <c r="D1226" s="2" t="s">
        <v>1206</v>
      </c>
      <c r="E1226" s="3">
        <v>0</v>
      </c>
      <c r="F1226" s="2">
        <v>2294</v>
      </c>
      <c r="G1226" s="2">
        <v>100</v>
      </c>
      <c r="H1226" s="2">
        <v>529</v>
      </c>
      <c r="I1226" s="2">
        <v>683</v>
      </c>
      <c r="J1226" s="2">
        <v>2269</v>
      </c>
      <c r="K1226" s="2">
        <v>1</v>
      </c>
      <c r="L1226" s="2">
        <v>529</v>
      </c>
    </row>
    <row r="1227" spans="1:12" x14ac:dyDescent="0.25">
      <c r="A1227" s="4" t="str">
        <f>HYPERLINK("http://www.rosaceae.org/Prunus/Prunus_persica/p.persica_gdr_reftransV1_0001518","p.persica_gdr_reftransV1_0001518")</f>
        <v>p.persica_gdr_reftransV1_0001518</v>
      </c>
      <c r="B1227" s="2">
        <v>502</v>
      </c>
      <c r="C1227" s="4" t="str">
        <f>HYPERLINK("http://www.uniprot.org/uniprot/M5X502","M5X502")</f>
        <v>M5X502</v>
      </c>
      <c r="D1227" s="2" t="s">
        <v>39</v>
      </c>
      <c r="E1227" s="3">
        <v>5.6299999999999996E-109</v>
      </c>
      <c r="F1227" s="2">
        <v>857</v>
      </c>
      <c r="G1227" s="2">
        <v>96</v>
      </c>
      <c r="H1227" s="2">
        <v>167</v>
      </c>
      <c r="I1227" s="2">
        <v>1</v>
      </c>
      <c r="J1227" s="2">
        <v>501</v>
      </c>
      <c r="K1227" s="2">
        <v>167</v>
      </c>
      <c r="L1227" s="2">
        <v>333</v>
      </c>
    </row>
    <row r="1228" spans="1:12" x14ac:dyDescent="0.25">
      <c r="A1228" s="4" t="str">
        <f>HYPERLINK("http://www.rosaceae.org/Prunus/Prunus_persica/p.persica_gdr_reftransV1_0001868","p.persica_gdr_reftransV1_0001868")</f>
        <v>p.persica_gdr_reftransV1_0001868</v>
      </c>
      <c r="B1228" s="2">
        <v>388</v>
      </c>
      <c r="C1228" s="4" t="str">
        <f>HYPERLINK("http://www.uniprot.org/uniprot/M5XRA5","M5XRA5")</f>
        <v>M5XRA5</v>
      </c>
      <c r="D1228" s="2" t="s">
        <v>1207</v>
      </c>
      <c r="E1228" s="3">
        <v>6.2100000000000001E-42</v>
      </c>
      <c r="F1228" s="2">
        <v>401</v>
      </c>
      <c r="G1228" s="2">
        <v>99</v>
      </c>
      <c r="H1228" s="2">
        <v>77</v>
      </c>
      <c r="I1228" s="2">
        <v>2</v>
      </c>
      <c r="J1228" s="2">
        <v>232</v>
      </c>
      <c r="K1228" s="2">
        <v>166</v>
      </c>
      <c r="L1228" s="2">
        <v>242</v>
      </c>
    </row>
    <row r="1229" spans="1:12" x14ac:dyDescent="0.25">
      <c r="A1229" s="4" t="str">
        <f>HYPERLINK("http://www.rosaceae.org/Prunus/Prunus_persica/p.persica_gdr_reftransV1_0002218","p.persica_gdr_reftransV1_0002218")</f>
        <v>p.persica_gdr_reftransV1_0002218</v>
      </c>
      <c r="B1229" s="2">
        <v>533</v>
      </c>
      <c r="C1229" s="4" t="str">
        <f>HYPERLINK("http://www.uniprot.org/uniprot/M5X907","M5X907")</f>
        <v>M5X907</v>
      </c>
      <c r="D1229" s="2" t="s">
        <v>898</v>
      </c>
      <c r="E1229" s="3">
        <v>1.43E-106</v>
      </c>
      <c r="F1229" s="2">
        <v>887</v>
      </c>
      <c r="G1229" s="2">
        <v>95</v>
      </c>
      <c r="H1229" s="2">
        <v>179</v>
      </c>
      <c r="I1229" s="2">
        <v>1</v>
      </c>
      <c r="J1229" s="2">
        <v>531</v>
      </c>
      <c r="K1229" s="2">
        <v>768</v>
      </c>
      <c r="L1229" s="2">
        <v>946</v>
      </c>
    </row>
    <row r="1230" spans="1:12" x14ac:dyDescent="0.25">
      <c r="A1230" s="4" t="str">
        <f>HYPERLINK("http://www.rosaceae.org/Prunus/Prunus_persica/p.persica_gdr_reftransV1_0002918","p.persica_gdr_reftransV1_0002918")</f>
        <v>p.persica_gdr_reftransV1_0002918</v>
      </c>
      <c r="B1230" s="2">
        <v>666</v>
      </c>
      <c r="C1230" s="4" t="str">
        <f>HYPERLINK("http://www.uniprot.org/uniprot/M5WD68","M5WD68")</f>
        <v>M5WD68</v>
      </c>
      <c r="D1230" s="2" t="s">
        <v>1208</v>
      </c>
      <c r="E1230" s="3">
        <v>2.1900000000000002E-115</v>
      </c>
      <c r="F1230" s="2">
        <v>867</v>
      </c>
      <c r="G1230" s="2">
        <v>100</v>
      </c>
      <c r="H1230" s="2">
        <v>167</v>
      </c>
      <c r="I1230" s="2">
        <v>65</v>
      </c>
      <c r="J1230" s="2">
        <v>565</v>
      </c>
      <c r="K1230" s="2">
        <v>1</v>
      </c>
      <c r="L1230" s="2">
        <v>167</v>
      </c>
    </row>
    <row r="1231" spans="1:12" x14ac:dyDescent="0.25">
      <c r="A1231" s="4" t="str">
        <f>HYPERLINK("http://www.rosaceae.org/Prunus/Prunus_persica/p.persica_gdr_reftransV1_0003618","p.persica_gdr_reftransV1_0003618")</f>
        <v>p.persica_gdr_reftransV1_0003618</v>
      </c>
      <c r="B1231" s="2">
        <v>1304</v>
      </c>
      <c r="C1231" s="4" t="str">
        <f>HYPERLINK("http://www.uniprot.org/uniprot/M5WT37","M5WT37")</f>
        <v>M5WT37</v>
      </c>
      <c r="D1231" s="2" t="s">
        <v>1209</v>
      </c>
      <c r="E1231" s="3">
        <v>8.0499999999999994E-176</v>
      </c>
      <c r="F1231" s="2">
        <v>1300</v>
      </c>
      <c r="G1231" s="2">
        <v>100</v>
      </c>
      <c r="H1231" s="2">
        <v>278</v>
      </c>
      <c r="I1231" s="2">
        <v>392</v>
      </c>
      <c r="J1231" s="2">
        <v>1225</v>
      </c>
      <c r="K1231" s="2">
        <v>1</v>
      </c>
      <c r="L1231" s="2">
        <v>278</v>
      </c>
    </row>
    <row r="1232" spans="1:12" x14ac:dyDescent="0.25">
      <c r="A1232" s="4" t="str">
        <f>HYPERLINK("http://www.rosaceae.org/Prunus/Prunus_persica/p.persica_gdr_reftransV1_0003968","p.persica_gdr_reftransV1_0003968")</f>
        <v>p.persica_gdr_reftransV1_0003968</v>
      </c>
      <c r="B1232" s="2">
        <v>493</v>
      </c>
      <c r="C1232" s="4" t="str">
        <f>HYPERLINK("http://www.uniprot.org/uniprot/K3VTQ7","K3VTQ7")</f>
        <v>K3VTQ7</v>
      </c>
      <c r="D1232" s="2" t="s">
        <v>1210</v>
      </c>
      <c r="E1232" s="3">
        <v>1.74E-59</v>
      </c>
      <c r="F1232" s="2">
        <v>518</v>
      </c>
      <c r="G1232" s="2">
        <v>95</v>
      </c>
      <c r="H1232" s="2">
        <v>102</v>
      </c>
      <c r="I1232" s="2">
        <v>187</v>
      </c>
      <c r="J1232" s="2">
        <v>492</v>
      </c>
      <c r="K1232" s="2">
        <v>430</v>
      </c>
      <c r="L1232" s="2">
        <v>531</v>
      </c>
    </row>
    <row r="1233" spans="1:12" x14ac:dyDescent="0.25">
      <c r="A1233" s="4" t="str">
        <f>HYPERLINK("http://www.rosaceae.org/Prunus/Prunus_persica/p.persica_gdr_reftransV1_0004318","p.persica_gdr_reftransV1_0004318")</f>
        <v>p.persica_gdr_reftransV1_0004318</v>
      </c>
      <c r="B1233" s="2">
        <v>1638</v>
      </c>
      <c r="C1233" s="4" t="str">
        <f>HYPERLINK("http://www.uniprot.org/uniprot/M5WSM8","M5WSM8")</f>
        <v>M5WSM8</v>
      </c>
      <c r="D1233" s="2" t="s">
        <v>1211</v>
      </c>
      <c r="E1233" s="3">
        <v>0</v>
      </c>
      <c r="F1233" s="2">
        <v>1707</v>
      </c>
      <c r="G1233" s="2">
        <v>100</v>
      </c>
      <c r="H1233" s="2">
        <v>350</v>
      </c>
      <c r="I1233" s="2">
        <v>520</v>
      </c>
      <c r="J1233" s="2">
        <v>1569</v>
      </c>
      <c r="K1233" s="2">
        <v>1</v>
      </c>
      <c r="L1233" s="2">
        <v>350</v>
      </c>
    </row>
    <row r="1234" spans="1:12" x14ac:dyDescent="0.25">
      <c r="A1234" s="4" t="str">
        <f>HYPERLINK("http://www.rosaceae.org/Prunus/Prunus_persica/p.persica_gdr_reftransV1_0004668","p.persica_gdr_reftransV1_0004668")</f>
        <v>p.persica_gdr_reftransV1_0004668</v>
      </c>
      <c r="B1234" s="2">
        <v>784</v>
      </c>
      <c r="C1234" s="4" t="str">
        <f>HYPERLINK("http://www.uniprot.org/uniprot/M5WDX4","M5WDX4")</f>
        <v>M5WDX4</v>
      </c>
      <c r="D1234" s="2" t="s">
        <v>1212</v>
      </c>
      <c r="E1234" s="3">
        <v>5.8600000000000002E-102</v>
      </c>
      <c r="F1234" s="2">
        <v>806</v>
      </c>
      <c r="G1234" s="2">
        <v>99</v>
      </c>
      <c r="H1234" s="2">
        <v>153</v>
      </c>
      <c r="I1234" s="2">
        <v>307</v>
      </c>
      <c r="J1234" s="2">
        <v>765</v>
      </c>
      <c r="K1234" s="2">
        <v>25</v>
      </c>
      <c r="L1234" s="2">
        <v>177</v>
      </c>
    </row>
    <row r="1235" spans="1:12" x14ac:dyDescent="0.25">
      <c r="A1235" s="4" t="str">
        <f>HYPERLINK("http://www.rosaceae.org/Prunus/Prunus_persica/p.persica_gdr_reftransV1_0005368","p.persica_gdr_reftransV1_0005368")</f>
        <v>p.persica_gdr_reftransV1_0005368</v>
      </c>
      <c r="B1235" s="2">
        <v>2873</v>
      </c>
      <c r="C1235" s="4" t="str">
        <f>HYPERLINK("http://www.uniprot.org/uniprot/M5WPB6","M5WPB6")</f>
        <v>M5WPB6</v>
      </c>
      <c r="D1235" s="2" t="s">
        <v>1213</v>
      </c>
      <c r="E1235" s="3">
        <v>2E-179</v>
      </c>
      <c r="F1235" s="2">
        <v>1389</v>
      </c>
      <c r="G1235" s="2">
        <v>100</v>
      </c>
      <c r="H1235" s="2">
        <v>257</v>
      </c>
      <c r="I1235" s="2">
        <v>1025</v>
      </c>
      <c r="J1235" s="2">
        <v>1795</v>
      </c>
      <c r="K1235" s="2">
        <v>77</v>
      </c>
      <c r="L1235" s="2">
        <v>333</v>
      </c>
    </row>
    <row r="1236" spans="1:12" x14ac:dyDescent="0.25">
      <c r="A1236" s="4" t="str">
        <f>HYPERLINK("http://www.rosaceae.org/Prunus/Prunus_persica/p.persica_gdr_reftransV1_0005718","p.persica_gdr_reftransV1_0005718")</f>
        <v>p.persica_gdr_reftransV1_0005718</v>
      </c>
      <c r="B1236" s="2">
        <v>895</v>
      </c>
      <c r="C1236" s="4" t="str">
        <f>HYPERLINK("http://www.uniprot.org/uniprot/M5XPU7","M5XPU7")</f>
        <v>M5XPU7</v>
      </c>
      <c r="D1236" s="2" t="s">
        <v>1214</v>
      </c>
      <c r="E1236" s="3">
        <v>1.5499999999999999E-104</v>
      </c>
      <c r="F1236" s="2">
        <v>831</v>
      </c>
      <c r="G1236" s="2">
        <v>100</v>
      </c>
      <c r="H1236" s="2">
        <v>156</v>
      </c>
      <c r="I1236" s="2">
        <v>1</v>
      </c>
      <c r="J1236" s="2">
        <v>468</v>
      </c>
      <c r="K1236" s="2">
        <v>305</v>
      </c>
      <c r="L1236" s="2">
        <v>460</v>
      </c>
    </row>
    <row r="1237" spans="1:12" x14ac:dyDescent="0.25">
      <c r="A1237" s="4" t="str">
        <f>HYPERLINK("http://www.rosaceae.org/Prunus/Prunus_persica/p.persica_gdr_reftransV1_0006068","p.persica_gdr_reftransV1_0006068")</f>
        <v>p.persica_gdr_reftransV1_0006068</v>
      </c>
      <c r="B1237" s="2">
        <v>827</v>
      </c>
      <c r="C1237" s="4" t="str">
        <f>HYPERLINK("http://www.uniprot.org/uniprot/M5VR92","M5VR92")</f>
        <v>M5VR92</v>
      </c>
      <c r="D1237" s="2" t="s">
        <v>1215</v>
      </c>
      <c r="E1237" s="3">
        <v>1.3899999999999999E-104</v>
      </c>
      <c r="F1237" s="2">
        <v>804</v>
      </c>
      <c r="G1237" s="2">
        <v>87</v>
      </c>
      <c r="H1237" s="2">
        <v>191</v>
      </c>
      <c r="I1237" s="2">
        <v>4</v>
      </c>
      <c r="J1237" s="2">
        <v>576</v>
      </c>
      <c r="K1237" s="2">
        <v>4</v>
      </c>
      <c r="L1237" s="2">
        <v>187</v>
      </c>
    </row>
    <row r="1238" spans="1:12" x14ac:dyDescent="0.25">
      <c r="A1238" s="4" t="str">
        <f>HYPERLINK("http://www.rosaceae.org/Prunus/Prunus_persica/p.persica_gdr_reftransV1_0006418","p.persica_gdr_reftransV1_0006418")</f>
        <v>p.persica_gdr_reftransV1_0006418</v>
      </c>
      <c r="B1238" s="2">
        <v>813</v>
      </c>
      <c r="C1238" s="4" t="str">
        <f>HYPERLINK("http://www.uniprot.org/uniprot/M5WN14","M5WN14")</f>
        <v>M5WN14</v>
      </c>
      <c r="D1238" s="2" t="s">
        <v>1216</v>
      </c>
      <c r="E1238" s="3">
        <v>1.1200000000000001E-134</v>
      </c>
      <c r="F1238" s="2">
        <v>1002</v>
      </c>
      <c r="G1238" s="2">
        <v>100</v>
      </c>
      <c r="H1238" s="2">
        <v>186</v>
      </c>
      <c r="I1238" s="2">
        <v>196</v>
      </c>
      <c r="J1238" s="2">
        <v>753</v>
      </c>
      <c r="K1238" s="2">
        <v>1</v>
      </c>
      <c r="L1238" s="2">
        <v>186</v>
      </c>
    </row>
    <row r="1239" spans="1:12" x14ac:dyDescent="0.25">
      <c r="A1239" s="4" t="str">
        <f>HYPERLINK("http://www.rosaceae.org/Prunus/Prunus_persica/p.persica_gdr_reftransV1_0006768","p.persica_gdr_reftransV1_0006768")</f>
        <v>p.persica_gdr_reftransV1_0006768</v>
      </c>
      <c r="B1239" s="2">
        <v>1730</v>
      </c>
      <c r="C1239" s="4" t="str">
        <f>HYPERLINK("http://www.uniprot.org/uniprot/M5X6U1","M5X6U1")</f>
        <v>M5X6U1</v>
      </c>
      <c r="D1239" s="2" t="s">
        <v>1217</v>
      </c>
      <c r="E1239" s="3">
        <v>0</v>
      </c>
      <c r="F1239" s="2">
        <v>2102</v>
      </c>
      <c r="G1239" s="2">
        <v>94</v>
      </c>
      <c r="H1239" s="2">
        <v>455</v>
      </c>
      <c r="I1239" s="2">
        <v>87</v>
      </c>
      <c r="J1239" s="2">
        <v>1451</v>
      </c>
      <c r="K1239" s="2">
        <v>1</v>
      </c>
      <c r="L1239" s="2">
        <v>455</v>
      </c>
    </row>
    <row r="1240" spans="1:12" x14ac:dyDescent="0.25">
      <c r="A1240" s="4" t="str">
        <f>HYPERLINK("http://www.rosaceae.org/Prunus/Prunus_persica/p.persica_gdr_reftransV1_0007118","p.persica_gdr_reftransV1_0007118")</f>
        <v>p.persica_gdr_reftransV1_0007118</v>
      </c>
      <c r="B1240" s="2">
        <v>689</v>
      </c>
      <c r="C1240" s="4" t="str">
        <f>HYPERLINK("http://www.uniprot.org/uniprot/M5X6X9","M5X6X9")</f>
        <v>M5X6X9</v>
      </c>
      <c r="D1240" s="2" t="s">
        <v>1218</v>
      </c>
      <c r="E1240" s="3">
        <v>9.2900000000000003E-55</v>
      </c>
      <c r="F1240" s="2">
        <v>459</v>
      </c>
      <c r="G1240" s="2">
        <v>100</v>
      </c>
      <c r="H1240" s="2">
        <v>84</v>
      </c>
      <c r="I1240" s="2">
        <v>91</v>
      </c>
      <c r="J1240" s="2">
        <v>342</v>
      </c>
      <c r="K1240" s="2">
        <v>1</v>
      </c>
      <c r="L1240" s="2">
        <v>84</v>
      </c>
    </row>
    <row r="1241" spans="1:12" x14ac:dyDescent="0.25">
      <c r="A1241" s="4" t="str">
        <f>HYPERLINK("http://www.rosaceae.org/Prunus/Prunus_persica/p.persica_gdr_reftransV1_0007468","p.persica_gdr_reftransV1_0007468")</f>
        <v>p.persica_gdr_reftransV1_0007468</v>
      </c>
      <c r="B1241" s="2">
        <v>529</v>
      </c>
      <c r="C1241" s="4" t="str">
        <f>HYPERLINK("http://www.uniprot.org/uniprot/M5X372","M5X372")</f>
        <v>M5X372</v>
      </c>
      <c r="D1241" s="2" t="s">
        <v>1219</v>
      </c>
      <c r="E1241" s="3">
        <v>6.1600000000000003E-76</v>
      </c>
      <c r="F1241" s="2">
        <v>614</v>
      </c>
      <c r="G1241" s="2">
        <v>80</v>
      </c>
      <c r="H1241" s="2">
        <v>144</v>
      </c>
      <c r="I1241" s="2">
        <v>98</v>
      </c>
      <c r="J1241" s="2">
        <v>529</v>
      </c>
      <c r="K1241" s="2">
        <v>154</v>
      </c>
      <c r="L1241" s="2">
        <v>297</v>
      </c>
    </row>
    <row r="1242" spans="1:12" x14ac:dyDescent="0.25">
      <c r="A1242" s="4" t="str">
        <f>HYPERLINK("http://www.rosaceae.org/Prunus/Prunus_persica/p.persica_gdr_reftransV1_0008518","p.persica_gdr_reftransV1_0008518")</f>
        <v>p.persica_gdr_reftransV1_0008518</v>
      </c>
      <c r="B1242" s="2">
        <v>879</v>
      </c>
      <c r="C1242" s="4" t="str">
        <f>HYPERLINK("http://www.uniprot.org/uniprot/A0A0B2R674","A0A0B2R674")</f>
        <v>A0A0B2R674</v>
      </c>
      <c r="D1242" s="2" t="s">
        <v>1220</v>
      </c>
      <c r="E1242" s="3">
        <v>1.04E-30</v>
      </c>
      <c r="F1242" s="2">
        <v>329</v>
      </c>
      <c r="G1242" s="2">
        <v>50</v>
      </c>
      <c r="H1242" s="2">
        <v>144</v>
      </c>
      <c r="I1242" s="2">
        <v>59</v>
      </c>
      <c r="J1242" s="2">
        <v>484</v>
      </c>
      <c r="K1242" s="2">
        <v>1</v>
      </c>
      <c r="L1242" s="2">
        <v>144</v>
      </c>
    </row>
    <row r="1243" spans="1:12" x14ac:dyDescent="0.25">
      <c r="A1243" s="4" t="str">
        <f>HYPERLINK("http://www.rosaceae.org/Prunus/Prunus_persica/p.persica_gdr_reftransV1_0008868","p.persica_gdr_reftransV1_0008868")</f>
        <v>p.persica_gdr_reftransV1_0008868</v>
      </c>
      <c r="B1243" s="2">
        <v>2876</v>
      </c>
      <c r="C1243" s="4" t="str">
        <f>HYPERLINK("http://www.uniprot.org/uniprot/M5Y864","M5Y864")</f>
        <v>M5Y864</v>
      </c>
      <c r="D1243" s="2" t="s">
        <v>1221</v>
      </c>
      <c r="E1243" s="3">
        <v>0</v>
      </c>
      <c r="F1243" s="2">
        <v>3799</v>
      </c>
      <c r="G1243" s="2">
        <v>100</v>
      </c>
      <c r="H1243" s="2">
        <v>741</v>
      </c>
      <c r="I1243" s="2">
        <v>182</v>
      </c>
      <c r="J1243" s="2">
        <v>2404</v>
      </c>
      <c r="K1243" s="2">
        <v>1</v>
      </c>
      <c r="L1243" s="2">
        <v>741</v>
      </c>
    </row>
    <row r="1244" spans="1:12" x14ac:dyDescent="0.25">
      <c r="A1244" s="4" t="str">
        <f>HYPERLINK("http://www.rosaceae.org/Prunus/Prunus_persica/p.persica_gdr_reftransV1_0009218","p.persica_gdr_reftransV1_0009218")</f>
        <v>p.persica_gdr_reftransV1_0009218</v>
      </c>
      <c r="B1244" s="2">
        <v>2072</v>
      </c>
      <c r="C1244" s="4" t="str">
        <f>HYPERLINK("http://www.uniprot.org/uniprot/M5VWI6","M5VWI6")</f>
        <v>M5VWI6</v>
      </c>
      <c r="D1244" s="2" t="s">
        <v>1222</v>
      </c>
      <c r="E1244" s="3">
        <v>0</v>
      </c>
      <c r="F1244" s="2">
        <v>2616</v>
      </c>
      <c r="G1244" s="2">
        <v>100</v>
      </c>
      <c r="H1244" s="2">
        <v>556</v>
      </c>
      <c r="I1244" s="2">
        <v>343</v>
      </c>
      <c r="J1244" s="2">
        <v>2010</v>
      </c>
      <c r="K1244" s="2">
        <v>1</v>
      </c>
      <c r="L1244" s="2">
        <v>556</v>
      </c>
    </row>
    <row r="1245" spans="1:12" x14ac:dyDescent="0.25">
      <c r="A1245" s="4" t="str">
        <f>HYPERLINK("http://www.rosaceae.org/Prunus/Prunus_persica/p.persica_gdr_reftransV1_0009568","p.persica_gdr_reftransV1_0009568")</f>
        <v>p.persica_gdr_reftransV1_0009568</v>
      </c>
      <c r="B1245" s="2">
        <v>857</v>
      </c>
      <c r="C1245" s="4" t="str">
        <f>HYPERLINK("http://www.uniprot.org/uniprot/M5VHE9","M5VHE9")</f>
        <v>M5VHE9</v>
      </c>
      <c r="D1245" s="2" t="s">
        <v>1223</v>
      </c>
      <c r="E1245" s="3">
        <v>0</v>
      </c>
      <c r="F1245" s="2">
        <v>1420</v>
      </c>
      <c r="G1245" s="2">
        <v>100</v>
      </c>
      <c r="H1245" s="2">
        <v>275</v>
      </c>
      <c r="I1245" s="2">
        <v>1</v>
      </c>
      <c r="J1245" s="2">
        <v>825</v>
      </c>
      <c r="K1245" s="2">
        <v>1</v>
      </c>
      <c r="L1245" s="2">
        <v>275</v>
      </c>
    </row>
    <row r="1246" spans="1:12" x14ac:dyDescent="0.25">
      <c r="A1246" s="4" t="str">
        <f>HYPERLINK("http://www.rosaceae.org/Prunus/Prunus_persica/p.persica_gdr_reftransV1_0010268","p.persica_gdr_reftransV1_0010268")</f>
        <v>p.persica_gdr_reftransV1_0010268</v>
      </c>
      <c r="B1246" s="2">
        <v>2072</v>
      </c>
      <c r="C1246" s="4" t="str">
        <f>HYPERLINK("http://www.uniprot.org/uniprot/M5WWG6","M5WWG6")</f>
        <v>M5WWG6</v>
      </c>
      <c r="D1246" s="2" t="s">
        <v>1224</v>
      </c>
      <c r="E1246" s="3">
        <v>0</v>
      </c>
      <c r="F1246" s="2">
        <v>2547</v>
      </c>
      <c r="G1246" s="2">
        <v>100</v>
      </c>
      <c r="H1246" s="2">
        <v>496</v>
      </c>
      <c r="I1246" s="2">
        <v>285</v>
      </c>
      <c r="J1246" s="2">
        <v>1772</v>
      </c>
      <c r="K1246" s="2">
        <v>1</v>
      </c>
      <c r="L1246" s="2">
        <v>496</v>
      </c>
    </row>
    <row r="1247" spans="1:12" x14ac:dyDescent="0.25">
      <c r="A1247" s="4" t="str">
        <f>HYPERLINK("http://www.rosaceae.org/Prunus/Prunus_persica/p.persica_gdr_reftransV1_0010618","p.persica_gdr_reftransV1_0010618")</f>
        <v>p.persica_gdr_reftransV1_0010618</v>
      </c>
      <c r="B1247" s="2">
        <v>2707</v>
      </c>
      <c r="C1247" s="4" t="str">
        <f>HYPERLINK("http://www.uniprot.org/uniprot/M5VWG0","M5VWG0")</f>
        <v>M5VWG0</v>
      </c>
      <c r="D1247" s="2" t="s">
        <v>1225</v>
      </c>
      <c r="E1247" s="3">
        <v>0</v>
      </c>
      <c r="F1247" s="2">
        <v>2216</v>
      </c>
      <c r="G1247" s="2">
        <v>99</v>
      </c>
      <c r="H1247" s="2">
        <v>477</v>
      </c>
      <c r="I1247" s="2">
        <v>543</v>
      </c>
      <c r="J1247" s="2">
        <v>1973</v>
      </c>
      <c r="K1247" s="2">
        <v>162</v>
      </c>
      <c r="L1247" s="2">
        <v>638</v>
      </c>
    </row>
    <row r="1248" spans="1:12" x14ac:dyDescent="0.25">
      <c r="A1248" s="4" t="str">
        <f>HYPERLINK("http://www.rosaceae.org/Prunus/Prunus_persica/p.persica_gdr_reftransV1_0010968","p.persica_gdr_reftransV1_0010968")</f>
        <v>p.persica_gdr_reftransV1_0010968</v>
      </c>
      <c r="B1248" s="2">
        <v>2657</v>
      </c>
      <c r="C1248" s="4" t="str">
        <f>HYPERLINK("http://www.uniprot.org/uniprot/M5VXI8","M5VXI8")</f>
        <v>M5VXI8</v>
      </c>
      <c r="D1248" s="2" t="s">
        <v>1226</v>
      </c>
      <c r="E1248" s="3">
        <v>0</v>
      </c>
      <c r="F1248" s="2">
        <v>3176</v>
      </c>
      <c r="G1248" s="2">
        <v>99</v>
      </c>
      <c r="H1248" s="2">
        <v>592</v>
      </c>
      <c r="I1248" s="2">
        <v>810</v>
      </c>
      <c r="J1248" s="2">
        <v>2585</v>
      </c>
      <c r="K1248" s="2">
        <v>1</v>
      </c>
      <c r="L1248" s="2">
        <v>592</v>
      </c>
    </row>
    <row r="1249" spans="1:12" x14ac:dyDescent="0.25">
      <c r="A1249" s="4" t="str">
        <f>HYPERLINK("http://www.rosaceae.org/Prunus/Prunus_persica/p.persica_gdr_reftransV1_0011668","p.persica_gdr_reftransV1_0011668")</f>
        <v>p.persica_gdr_reftransV1_0011668</v>
      </c>
      <c r="B1249" s="2">
        <v>1028</v>
      </c>
      <c r="C1249" s="4" t="str">
        <f>HYPERLINK("http://www.uniprot.org/uniprot/B0FNC6","B0FNC6")</f>
        <v>B0FNC6</v>
      </c>
      <c r="D1249" s="2" t="s">
        <v>1227</v>
      </c>
      <c r="E1249" s="3">
        <v>4.3499999999999999E-51</v>
      </c>
      <c r="F1249" s="2">
        <v>459</v>
      </c>
      <c r="G1249" s="2">
        <v>100</v>
      </c>
      <c r="H1249" s="2">
        <v>89</v>
      </c>
      <c r="I1249" s="2">
        <v>460</v>
      </c>
      <c r="J1249" s="2">
        <v>726</v>
      </c>
      <c r="K1249" s="2">
        <v>153</v>
      </c>
      <c r="L1249" s="2">
        <v>241</v>
      </c>
    </row>
    <row r="1250" spans="1:12" x14ac:dyDescent="0.25">
      <c r="A1250" s="4" t="str">
        <f>HYPERLINK("http://www.rosaceae.org/Prunus/Prunus_persica/p.persica_gdr_reftransV1_0013068","p.persica_gdr_reftransV1_0013068")</f>
        <v>p.persica_gdr_reftransV1_0013068</v>
      </c>
      <c r="B1250" s="2">
        <v>2903</v>
      </c>
      <c r="C1250" s="4" t="str">
        <f>HYPERLINK("http://www.uniprot.org/uniprot/M5X0D3","M5X0D3")</f>
        <v>M5X0D3</v>
      </c>
      <c r="D1250" s="2" t="s">
        <v>1228</v>
      </c>
      <c r="E1250" s="3">
        <v>0</v>
      </c>
      <c r="F1250" s="2">
        <v>3687</v>
      </c>
      <c r="G1250" s="2">
        <v>100</v>
      </c>
      <c r="H1250" s="2">
        <v>767</v>
      </c>
      <c r="I1250" s="2">
        <v>547</v>
      </c>
      <c r="J1250" s="2">
        <v>2847</v>
      </c>
      <c r="K1250" s="2">
        <v>1</v>
      </c>
      <c r="L1250" s="2">
        <v>767</v>
      </c>
    </row>
    <row r="1251" spans="1:12" x14ac:dyDescent="0.25">
      <c r="A1251" s="4" t="str">
        <f>HYPERLINK("http://www.rosaceae.org/Prunus/Prunus_persica/p.persica_gdr_reftransV1_0013768","p.persica_gdr_reftransV1_0013768")</f>
        <v>p.persica_gdr_reftransV1_0013768</v>
      </c>
      <c r="B1251" s="2">
        <v>943</v>
      </c>
      <c r="C1251" s="4" t="str">
        <f>HYPERLINK("http://www.uniprot.org/uniprot/M5XKB3","M5XKB3")</f>
        <v>M5XKB3</v>
      </c>
      <c r="D1251" s="2" t="s">
        <v>1229</v>
      </c>
      <c r="E1251" s="3">
        <v>9.9999999999999996E-165</v>
      </c>
      <c r="F1251" s="2">
        <v>1255</v>
      </c>
      <c r="G1251" s="2">
        <v>100</v>
      </c>
      <c r="H1251" s="2">
        <v>256</v>
      </c>
      <c r="I1251" s="2">
        <v>3</v>
      </c>
      <c r="J1251" s="2">
        <v>770</v>
      </c>
      <c r="K1251" s="2">
        <v>22</v>
      </c>
      <c r="L1251" s="2">
        <v>277</v>
      </c>
    </row>
    <row r="1252" spans="1:12" x14ac:dyDescent="0.25">
      <c r="A1252" s="4" t="str">
        <f>HYPERLINK("http://www.rosaceae.org/Prunus/Prunus_persica/p.persica_gdr_reftransV1_0014118","p.persica_gdr_reftransV1_0014118")</f>
        <v>p.persica_gdr_reftransV1_0014118</v>
      </c>
      <c r="B1252" s="2">
        <v>3793</v>
      </c>
      <c r="C1252" s="4" t="str">
        <f>HYPERLINK("http://www.uniprot.org/uniprot/M5XGU2","M5XGU2")</f>
        <v>M5XGU2</v>
      </c>
      <c r="D1252" s="2" t="s">
        <v>1230</v>
      </c>
      <c r="E1252" s="3">
        <v>0</v>
      </c>
      <c r="F1252" s="2">
        <v>5604</v>
      </c>
      <c r="G1252" s="2">
        <v>99</v>
      </c>
      <c r="H1252" s="2">
        <v>1076</v>
      </c>
      <c r="I1252" s="2">
        <v>391</v>
      </c>
      <c r="J1252" s="2">
        <v>3609</v>
      </c>
      <c r="K1252" s="2">
        <v>1</v>
      </c>
      <c r="L1252" s="2">
        <v>1076</v>
      </c>
    </row>
    <row r="1253" spans="1:12" x14ac:dyDescent="0.25">
      <c r="A1253" s="4" t="str">
        <f>HYPERLINK("http://www.rosaceae.org/Prunus/Prunus_persica/p.persica_gdr_reftransV1_0014468","p.persica_gdr_reftransV1_0014468")</f>
        <v>p.persica_gdr_reftransV1_0014468</v>
      </c>
      <c r="B1253" s="2">
        <v>2121</v>
      </c>
      <c r="C1253" s="4" t="str">
        <f>HYPERLINK("http://www.uniprot.org/uniprot/M5X7J9","M5X7J9")</f>
        <v>M5X7J9</v>
      </c>
      <c r="D1253" s="2" t="s">
        <v>1231</v>
      </c>
      <c r="E1253" s="3">
        <v>0</v>
      </c>
      <c r="F1253" s="2">
        <v>2121</v>
      </c>
      <c r="G1253" s="2">
        <v>95</v>
      </c>
      <c r="H1253" s="2">
        <v>430</v>
      </c>
      <c r="I1253" s="2">
        <v>168</v>
      </c>
      <c r="J1253" s="2">
        <v>1457</v>
      </c>
      <c r="K1253" s="2">
        <v>476</v>
      </c>
      <c r="L1253" s="2">
        <v>883</v>
      </c>
    </row>
    <row r="1254" spans="1:12" x14ac:dyDescent="0.25">
      <c r="A1254" s="4" t="str">
        <f>HYPERLINK("http://www.rosaceae.org/Prunus/Prunus_persica/p.persica_gdr_reftransV1_0015168","p.persica_gdr_reftransV1_0015168")</f>
        <v>p.persica_gdr_reftransV1_0015168</v>
      </c>
      <c r="B1254" s="2">
        <v>1273</v>
      </c>
      <c r="C1254" s="4" t="str">
        <f>HYPERLINK("http://www.uniprot.org/uniprot/A0A0D2V9V5","A0A0D2V9V5")</f>
        <v>A0A0D2V9V5</v>
      </c>
      <c r="D1254" s="2" t="s">
        <v>1232</v>
      </c>
      <c r="E1254" s="3">
        <v>1.5199999999999999E-58</v>
      </c>
      <c r="F1254" s="2">
        <v>503</v>
      </c>
      <c r="G1254" s="2">
        <v>96</v>
      </c>
      <c r="H1254" s="2">
        <v>98</v>
      </c>
      <c r="I1254" s="2">
        <v>140</v>
      </c>
      <c r="J1254" s="2">
        <v>433</v>
      </c>
      <c r="K1254" s="2">
        <v>1</v>
      </c>
      <c r="L1254" s="2">
        <v>98</v>
      </c>
    </row>
    <row r="1255" spans="1:12" x14ac:dyDescent="0.25">
      <c r="A1255" s="4" t="str">
        <f>HYPERLINK("http://www.rosaceae.org/Prunus/Prunus_persica/p.persica_gdr_reftransV1_0015868","p.persica_gdr_reftransV1_0015868")</f>
        <v>p.persica_gdr_reftransV1_0015868</v>
      </c>
      <c r="B1255" s="2">
        <v>3853</v>
      </c>
      <c r="C1255" s="4" t="str">
        <f>HYPERLINK("http://www.uniprot.org/uniprot/M5WLX5","M5WLX5")</f>
        <v>M5WLX5</v>
      </c>
      <c r="D1255" s="2" t="s">
        <v>1233</v>
      </c>
      <c r="E1255" s="3">
        <v>0</v>
      </c>
      <c r="F1255" s="2">
        <v>3130</v>
      </c>
      <c r="G1255" s="2">
        <v>100</v>
      </c>
      <c r="H1255" s="2">
        <v>602</v>
      </c>
      <c r="I1255" s="2">
        <v>1391</v>
      </c>
      <c r="J1255" s="2">
        <v>3196</v>
      </c>
      <c r="K1255" s="2">
        <v>37</v>
      </c>
      <c r="L1255" s="2">
        <v>638</v>
      </c>
    </row>
    <row r="1256" spans="1:12" x14ac:dyDescent="0.25">
      <c r="A1256" s="4" t="str">
        <f>HYPERLINK("http://www.rosaceae.org/Prunus/Prunus_persica/p.persica_gdr_reftransV1_0016568","p.persica_gdr_reftransV1_0016568")</f>
        <v>p.persica_gdr_reftransV1_0016568</v>
      </c>
      <c r="B1256" s="2">
        <v>1012</v>
      </c>
      <c r="C1256" s="4" t="str">
        <f>HYPERLINK("http://www.uniprot.org/uniprot/M5VYH3","M5VYH3")</f>
        <v>M5VYH3</v>
      </c>
      <c r="D1256" s="2" t="s">
        <v>399</v>
      </c>
      <c r="E1256" s="3">
        <v>1.34E-50</v>
      </c>
      <c r="F1256" s="2">
        <v>466</v>
      </c>
      <c r="G1256" s="2">
        <v>100</v>
      </c>
      <c r="H1256" s="2">
        <v>84</v>
      </c>
      <c r="I1256" s="2">
        <v>69</v>
      </c>
      <c r="J1256" s="2">
        <v>320</v>
      </c>
      <c r="K1256" s="2">
        <v>47</v>
      </c>
      <c r="L1256" s="2">
        <v>130</v>
      </c>
    </row>
    <row r="1257" spans="1:12" x14ac:dyDescent="0.25">
      <c r="A1257" s="4" t="str">
        <f>HYPERLINK("http://www.rosaceae.org/Prunus/Prunus_persica/p.persica_gdr_reftransV1_0017268","p.persica_gdr_reftransV1_0017268")</f>
        <v>p.persica_gdr_reftransV1_0017268</v>
      </c>
      <c r="B1257" s="2">
        <v>3585</v>
      </c>
      <c r="C1257" s="4" t="str">
        <f>HYPERLINK("http://www.uniprot.org/uniprot/M5VNZ9","M5VNZ9")</f>
        <v>M5VNZ9</v>
      </c>
      <c r="D1257" s="2" t="s">
        <v>1234</v>
      </c>
      <c r="E1257" s="3">
        <v>0</v>
      </c>
      <c r="F1257" s="2">
        <v>5439</v>
      </c>
      <c r="G1257" s="2">
        <v>100</v>
      </c>
      <c r="H1257" s="2">
        <v>1054</v>
      </c>
      <c r="I1257" s="2">
        <v>1</v>
      </c>
      <c r="J1257" s="2">
        <v>3162</v>
      </c>
      <c r="K1257" s="2">
        <v>458</v>
      </c>
      <c r="L1257" s="2">
        <v>1511</v>
      </c>
    </row>
    <row r="1258" spans="1:12" x14ac:dyDescent="0.25">
      <c r="A1258" s="4" t="str">
        <f>HYPERLINK("http://www.rosaceae.org/Prunus/Prunus_persica/p.persica_gdr_reftransV1_0017968","p.persica_gdr_reftransV1_0017968")</f>
        <v>p.persica_gdr_reftransV1_0017968</v>
      </c>
      <c r="B1258" s="2">
        <v>1131</v>
      </c>
      <c r="C1258" s="4" t="str">
        <f>HYPERLINK("http://www.uniprot.org/uniprot/M5XC06","M5XC06")</f>
        <v>M5XC06</v>
      </c>
      <c r="D1258" s="2" t="s">
        <v>596</v>
      </c>
      <c r="E1258" s="3">
        <v>0</v>
      </c>
      <c r="F1258" s="2">
        <v>1486</v>
      </c>
      <c r="G1258" s="2">
        <v>91</v>
      </c>
      <c r="H1258" s="2">
        <v>339</v>
      </c>
      <c r="I1258" s="2">
        <v>3</v>
      </c>
      <c r="J1258" s="2">
        <v>965</v>
      </c>
      <c r="K1258" s="2">
        <v>113</v>
      </c>
      <c r="L1258" s="2">
        <v>437</v>
      </c>
    </row>
    <row r="1259" spans="1:12" x14ac:dyDescent="0.25">
      <c r="A1259" s="4" t="str">
        <f>HYPERLINK("http://www.rosaceae.org/Prunus/Prunus_persica/p.persica_gdr_reftransV1_0020068","p.persica_gdr_reftransV1_0020068")</f>
        <v>p.persica_gdr_reftransV1_0020068</v>
      </c>
      <c r="B1259" s="2">
        <v>2256</v>
      </c>
      <c r="C1259" s="4" t="str">
        <f>HYPERLINK("http://www.uniprot.org/uniprot/M5X3W7","M5X3W7")</f>
        <v>M5X3W7</v>
      </c>
      <c r="D1259" s="2" t="s">
        <v>1235</v>
      </c>
      <c r="E1259" s="3">
        <v>0</v>
      </c>
      <c r="F1259" s="2">
        <v>3057</v>
      </c>
      <c r="G1259" s="2">
        <v>100</v>
      </c>
      <c r="H1259" s="2">
        <v>589</v>
      </c>
      <c r="I1259" s="2">
        <v>407</v>
      </c>
      <c r="J1259" s="2">
        <v>2173</v>
      </c>
      <c r="K1259" s="2">
        <v>1</v>
      </c>
      <c r="L1259" s="2">
        <v>589</v>
      </c>
    </row>
    <row r="1260" spans="1:12" x14ac:dyDescent="0.25">
      <c r="A1260" s="4" t="str">
        <f>HYPERLINK("http://www.rosaceae.org/Prunus/Prunus_persica/p.persica_gdr_reftransV1_0020768","p.persica_gdr_reftransV1_0020768")</f>
        <v>p.persica_gdr_reftransV1_0020768</v>
      </c>
      <c r="B1260" s="2">
        <v>2009</v>
      </c>
      <c r="C1260" s="4" t="str">
        <f>HYPERLINK("http://www.uniprot.org/uniprot/M5XFR4","M5XFR4")</f>
        <v>M5XFR4</v>
      </c>
      <c r="D1260" s="2" t="s">
        <v>1236</v>
      </c>
      <c r="E1260" s="3">
        <v>0</v>
      </c>
      <c r="F1260" s="2">
        <v>2299</v>
      </c>
      <c r="G1260" s="2">
        <v>100</v>
      </c>
      <c r="H1260" s="2">
        <v>463</v>
      </c>
      <c r="I1260" s="2">
        <v>484</v>
      </c>
      <c r="J1260" s="2">
        <v>1872</v>
      </c>
      <c r="K1260" s="2">
        <v>1</v>
      </c>
      <c r="L1260" s="2">
        <v>463</v>
      </c>
    </row>
    <row r="1261" spans="1:12" x14ac:dyDescent="0.25">
      <c r="A1261" s="4" t="str">
        <f>HYPERLINK("http://www.rosaceae.org/Prunus/Prunus_persica/p.persica_gdr_reftransV1_0021468","p.persica_gdr_reftransV1_0021468")</f>
        <v>p.persica_gdr_reftransV1_0021468</v>
      </c>
      <c r="B1261" s="2">
        <v>908</v>
      </c>
      <c r="C1261" s="4" t="str">
        <f>HYPERLINK("http://www.uniprot.org/uniprot/M5XFE0","M5XFE0")</f>
        <v>M5XFE0</v>
      </c>
      <c r="D1261" s="2" t="s">
        <v>1237</v>
      </c>
      <c r="E1261" s="3">
        <v>1.7500000000000001E-98</v>
      </c>
      <c r="F1261" s="2">
        <v>763</v>
      </c>
      <c r="G1261" s="2">
        <v>100</v>
      </c>
      <c r="H1261" s="2">
        <v>159</v>
      </c>
      <c r="I1261" s="2">
        <v>319</v>
      </c>
      <c r="J1261" s="2">
        <v>795</v>
      </c>
      <c r="K1261" s="2">
        <v>1</v>
      </c>
      <c r="L1261" s="2">
        <v>159</v>
      </c>
    </row>
    <row r="1262" spans="1:12" x14ac:dyDescent="0.25">
      <c r="A1262" s="4" t="str">
        <f>HYPERLINK("http://www.rosaceae.org/Prunus/Prunus_persica/p.persica_gdr_reftransV1_0023918","p.persica_gdr_reftransV1_0023918")</f>
        <v>p.persica_gdr_reftransV1_0023918</v>
      </c>
      <c r="B1262" s="2">
        <v>2154</v>
      </c>
      <c r="C1262" s="4" t="str">
        <f>HYPERLINK("http://www.uniprot.org/uniprot/M5XC98","M5XC98")</f>
        <v>M5XC98</v>
      </c>
      <c r="D1262" s="2" t="s">
        <v>1238</v>
      </c>
      <c r="E1262" s="3">
        <v>0</v>
      </c>
      <c r="F1262" s="2">
        <v>1849</v>
      </c>
      <c r="G1262" s="2">
        <v>100</v>
      </c>
      <c r="H1262" s="2">
        <v>387</v>
      </c>
      <c r="I1262" s="2">
        <v>893</v>
      </c>
      <c r="J1262" s="2">
        <v>2053</v>
      </c>
      <c r="K1262" s="2">
        <v>6</v>
      </c>
      <c r="L1262" s="2">
        <v>392</v>
      </c>
    </row>
    <row r="1263" spans="1:12" x14ac:dyDescent="0.25">
      <c r="A1263" s="4" t="str">
        <f>HYPERLINK("http://www.rosaceae.org/Prunus/Prunus_persica/p.persica_gdr_reftransV1_0024268","p.persica_gdr_reftransV1_0024268")</f>
        <v>p.persica_gdr_reftransV1_0024268</v>
      </c>
      <c r="B1263" s="2">
        <v>2952</v>
      </c>
      <c r="C1263" s="4" t="str">
        <f>HYPERLINK("http://www.uniprot.org/uniprot/M5X7W3","M5X7W3")</f>
        <v>M5X7W3</v>
      </c>
      <c r="D1263" s="2" t="s">
        <v>1239</v>
      </c>
      <c r="E1263" s="3">
        <v>0</v>
      </c>
      <c r="F1263" s="2">
        <v>2916</v>
      </c>
      <c r="G1263" s="2">
        <v>95</v>
      </c>
      <c r="H1263" s="2">
        <v>615</v>
      </c>
      <c r="I1263" s="2">
        <v>236</v>
      </c>
      <c r="J1263" s="2">
        <v>2071</v>
      </c>
      <c r="K1263" s="2">
        <v>1</v>
      </c>
      <c r="L1263" s="2">
        <v>592</v>
      </c>
    </row>
    <row r="1264" spans="1:12" x14ac:dyDescent="0.25">
      <c r="A1264" s="4" t="str">
        <f>HYPERLINK("http://www.rosaceae.org/Prunus/Prunus_persica/p.persica_gdr_reftransV1_0025318","p.persica_gdr_reftransV1_0025318")</f>
        <v>p.persica_gdr_reftransV1_0025318</v>
      </c>
      <c r="B1264" s="2">
        <v>3285</v>
      </c>
      <c r="C1264" s="4" t="str">
        <f>HYPERLINK("http://www.uniprot.org/uniprot/M5WL76","M5WL76")</f>
        <v>M5WL76</v>
      </c>
      <c r="D1264" s="2" t="s">
        <v>1240</v>
      </c>
      <c r="E1264" s="3">
        <v>0</v>
      </c>
      <c r="F1264" s="2">
        <v>2894</v>
      </c>
      <c r="G1264" s="2">
        <v>100</v>
      </c>
      <c r="H1264" s="2">
        <v>649</v>
      </c>
      <c r="I1264" s="2">
        <v>742</v>
      </c>
      <c r="J1264" s="2">
        <v>2688</v>
      </c>
      <c r="K1264" s="2">
        <v>1</v>
      </c>
      <c r="L1264" s="2">
        <v>649</v>
      </c>
    </row>
    <row r="1265" spans="1:12" x14ac:dyDescent="0.25">
      <c r="A1265" s="4" t="str">
        <f>HYPERLINK("http://www.rosaceae.org/Prunus/Prunus_persica/p.persica_gdr_reftransV1_0026018","p.persica_gdr_reftransV1_0026018")</f>
        <v>p.persica_gdr_reftransV1_0026018</v>
      </c>
      <c r="B1265" s="2">
        <v>2388</v>
      </c>
      <c r="C1265" s="4" t="str">
        <f>HYPERLINK("http://www.uniprot.org/uniprot/M5XDP5","M5XDP5")</f>
        <v>M5XDP5</v>
      </c>
      <c r="D1265" s="2" t="s">
        <v>1241</v>
      </c>
      <c r="E1265" s="3">
        <v>0</v>
      </c>
      <c r="F1265" s="2">
        <v>2511</v>
      </c>
      <c r="G1265" s="2">
        <v>90</v>
      </c>
      <c r="H1265" s="2">
        <v>528</v>
      </c>
      <c r="I1265" s="2">
        <v>358</v>
      </c>
      <c r="J1265" s="2">
        <v>1827</v>
      </c>
      <c r="K1265" s="2">
        <v>53</v>
      </c>
      <c r="L1265" s="2">
        <v>577</v>
      </c>
    </row>
    <row r="1266" spans="1:12" x14ac:dyDescent="0.25">
      <c r="A1266" s="4" t="str">
        <f>HYPERLINK("http://www.rosaceae.org/Prunus/Prunus_persica/p.persica_gdr_reftransV1_0028468","p.persica_gdr_reftransV1_0028468")</f>
        <v>p.persica_gdr_reftransV1_0028468</v>
      </c>
      <c r="B1266" s="2">
        <v>2898</v>
      </c>
      <c r="C1266" s="4" t="str">
        <f>HYPERLINK("http://www.uniprot.org/uniprot/M5XJU8","M5XJU8")</f>
        <v>M5XJU8</v>
      </c>
      <c r="D1266" s="2" t="s">
        <v>1242</v>
      </c>
      <c r="E1266" s="3">
        <v>0</v>
      </c>
      <c r="F1266" s="2">
        <v>1920</v>
      </c>
      <c r="G1266" s="2">
        <v>96</v>
      </c>
      <c r="H1266" s="2">
        <v>466</v>
      </c>
      <c r="I1266" s="2">
        <v>313</v>
      </c>
      <c r="J1266" s="2">
        <v>1698</v>
      </c>
      <c r="K1266" s="2">
        <v>114</v>
      </c>
      <c r="L1266" s="2">
        <v>579</v>
      </c>
    </row>
    <row r="1267" spans="1:12" x14ac:dyDescent="0.25">
      <c r="A1267" s="4" t="str">
        <f>HYPERLINK("http://www.rosaceae.org/Prunus/Prunus_persica/p.persica_gdr_reftransV1_0028818","p.persica_gdr_reftransV1_0028818")</f>
        <v>p.persica_gdr_reftransV1_0028818</v>
      </c>
      <c r="B1267" s="2">
        <v>3738</v>
      </c>
      <c r="C1267" s="4" t="str">
        <f>HYPERLINK("http://www.uniprot.org/uniprot/M5X6Z8","M5X6Z8")</f>
        <v>M5X6Z8</v>
      </c>
      <c r="D1267" s="2" t="s">
        <v>1243</v>
      </c>
      <c r="E1267" s="3">
        <v>4.0200000000000002E-151</v>
      </c>
      <c r="F1267" s="2">
        <v>1232</v>
      </c>
      <c r="G1267" s="2">
        <v>98</v>
      </c>
      <c r="H1267" s="2">
        <v>295</v>
      </c>
      <c r="I1267" s="2">
        <v>186</v>
      </c>
      <c r="J1267" s="2">
        <v>1070</v>
      </c>
      <c r="K1267" s="2">
        <v>1</v>
      </c>
      <c r="L1267" s="2">
        <v>295</v>
      </c>
    </row>
    <row r="1268" spans="1:12" x14ac:dyDescent="0.25">
      <c r="A1268" s="4" t="str">
        <f>HYPERLINK("http://www.rosaceae.org/Prunus/Prunus_persica/p.persica_gdr_reftransV1_0029168","p.persica_gdr_reftransV1_0029168")</f>
        <v>p.persica_gdr_reftransV1_0029168</v>
      </c>
      <c r="B1268" s="2">
        <v>1855</v>
      </c>
      <c r="C1268" s="4" t="str">
        <f>HYPERLINK("http://www.uniprot.org/uniprot/M5XJV2","M5XJV2")</f>
        <v>M5XJV2</v>
      </c>
      <c r="D1268" s="2" t="s">
        <v>1244</v>
      </c>
      <c r="E1268" s="3">
        <v>0</v>
      </c>
      <c r="F1268" s="2">
        <v>2035</v>
      </c>
      <c r="G1268" s="2">
        <v>99</v>
      </c>
      <c r="H1268" s="2">
        <v>387</v>
      </c>
      <c r="I1268" s="2">
        <v>654</v>
      </c>
      <c r="J1268" s="2">
        <v>1814</v>
      </c>
      <c r="K1268" s="2">
        <v>1</v>
      </c>
      <c r="L1268" s="2">
        <v>387</v>
      </c>
    </row>
    <row r="1269" spans="1:12" x14ac:dyDescent="0.25">
      <c r="A1269" s="4" t="str">
        <f>HYPERLINK("http://www.rosaceae.org/Prunus/Prunus_persica/p.persica_gdr_reftransV1_0030218","p.persica_gdr_reftransV1_0030218")</f>
        <v>p.persica_gdr_reftransV1_0030218</v>
      </c>
      <c r="B1269" s="2">
        <v>1693</v>
      </c>
      <c r="C1269" s="4" t="str">
        <f>HYPERLINK("http://www.uniprot.org/uniprot/M5VX43","M5VX43")</f>
        <v>M5VX43</v>
      </c>
      <c r="D1269" s="2" t="s">
        <v>1245</v>
      </c>
      <c r="E1269" s="3">
        <v>0</v>
      </c>
      <c r="F1269" s="2">
        <v>2188</v>
      </c>
      <c r="G1269" s="2">
        <v>100</v>
      </c>
      <c r="H1269" s="2">
        <v>436</v>
      </c>
      <c r="I1269" s="2">
        <v>2</v>
      </c>
      <c r="J1269" s="2">
        <v>1309</v>
      </c>
      <c r="K1269" s="2">
        <v>84</v>
      </c>
      <c r="L1269" s="2">
        <v>519</v>
      </c>
    </row>
    <row r="1270" spans="1:12" x14ac:dyDescent="0.25">
      <c r="A1270" s="4" t="str">
        <f>HYPERLINK("http://www.rosaceae.org/Prunus/Prunus_persica/p.persica_gdr_reftransV1_0030918","p.persica_gdr_reftransV1_0030918")</f>
        <v>p.persica_gdr_reftransV1_0030918</v>
      </c>
      <c r="B1270" s="2">
        <v>726</v>
      </c>
      <c r="C1270" s="4" t="str">
        <f>HYPERLINK("http://www.uniprot.org/uniprot/M5W2N0","M5W2N0")</f>
        <v>M5W2N0</v>
      </c>
      <c r="D1270" s="2" t="s">
        <v>1246</v>
      </c>
      <c r="E1270" s="3">
        <v>4.2700000000000004E-143</v>
      </c>
      <c r="F1270" s="2">
        <v>1105</v>
      </c>
      <c r="G1270" s="2">
        <v>100</v>
      </c>
      <c r="H1270" s="2">
        <v>205</v>
      </c>
      <c r="I1270" s="2">
        <v>112</v>
      </c>
      <c r="J1270" s="2">
        <v>726</v>
      </c>
      <c r="K1270" s="2">
        <v>536</v>
      </c>
      <c r="L1270" s="2">
        <v>740</v>
      </c>
    </row>
    <row r="1271" spans="1:12" x14ac:dyDescent="0.25">
      <c r="A1271" s="4" t="str">
        <f>HYPERLINK("http://www.rosaceae.org/Prunus/Prunus_persica/p.persica_gdr_reftransV1_0031268","p.persica_gdr_reftransV1_0031268")</f>
        <v>p.persica_gdr_reftransV1_0031268</v>
      </c>
      <c r="B1271" s="2">
        <v>2154</v>
      </c>
      <c r="C1271" s="4" t="str">
        <f>HYPERLINK("http://www.uniprot.org/uniprot/F6HEA6","F6HEA6")</f>
        <v>F6HEA6</v>
      </c>
      <c r="D1271" s="2" t="s">
        <v>1247</v>
      </c>
      <c r="E1271" s="3">
        <v>2.94E-120</v>
      </c>
      <c r="F1271" s="2">
        <v>967</v>
      </c>
      <c r="G1271" s="2">
        <v>86</v>
      </c>
      <c r="H1271" s="2">
        <v>215</v>
      </c>
      <c r="I1271" s="2">
        <v>651</v>
      </c>
      <c r="J1271" s="2">
        <v>1286</v>
      </c>
      <c r="K1271" s="2">
        <v>167</v>
      </c>
      <c r="L1271" s="2">
        <v>381</v>
      </c>
    </row>
    <row r="1272" spans="1:12" x14ac:dyDescent="0.25">
      <c r="A1272" s="4" t="str">
        <f>HYPERLINK("http://www.rosaceae.org/Prunus/Prunus_persica/p.persica_gdr_reftransV1_0033368","p.persica_gdr_reftransV1_0033368")</f>
        <v>p.persica_gdr_reftransV1_0033368</v>
      </c>
      <c r="B1272" s="2">
        <v>3453</v>
      </c>
      <c r="C1272" s="4" t="str">
        <f>HYPERLINK("http://www.uniprot.org/uniprot/M5XAH9","M5XAH9")</f>
        <v>M5XAH9</v>
      </c>
      <c r="D1272" s="2" t="s">
        <v>1248</v>
      </c>
      <c r="E1272" s="3">
        <v>0</v>
      </c>
      <c r="F1272" s="2">
        <v>3279</v>
      </c>
      <c r="G1272" s="2">
        <v>100</v>
      </c>
      <c r="H1272" s="2">
        <v>630</v>
      </c>
      <c r="I1272" s="2">
        <v>1363</v>
      </c>
      <c r="J1272" s="2">
        <v>3252</v>
      </c>
      <c r="K1272" s="2">
        <v>116</v>
      </c>
      <c r="L1272" s="2">
        <v>745</v>
      </c>
    </row>
    <row r="1273" spans="1:12" x14ac:dyDescent="0.25">
      <c r="A1273" s="4" t="str">
        <f>HYPERLINK("http://www.rosaceae.org/Prunus/Prunus_persica/p.persica_gdr_reftransV1_0034068","p.persica_gdr_reftransV1_0034068")</f>
        <v>p.persica_gdr_reftransV1_0034068</v>
      </c>
      <c r="B1273" s="2">
        <v>5262</v>
      </c>
      <c r="C1273" s="4" t="str">
        <f>HYPERLINK("http://www.uniprot.org/uniprot/M5WM94","M5WM94")</f>
        <v>M5WM94</v>
      </c>
      <c r="D1273" s="2" t="s">
        <v>1249</v>
      </c>
      <c r="E1273" s="3">
        <v>0</v>
      </c>
      <c r="F1273" s="2">
        <v>4519</v>
      </c>
      <c r="G1273" s="2">
        <v>98</v>
      </c>
      <c r="H1273" s="2">
        <v>958</v>
      </c>
      <c r="I1273" s="2">
        <v>395</v>
      </c>
      <c r="J1273" s="2">
        <v>3250</v>
      </c>
      <c r="K1273" s="2">
        <v>1</v>
      </c>
      <c r="L1273" s="2">
        <v>957</v>
      </c>
    </row>
    <row r="1274" spans="1:12" x14ac:dyDescent="0.25">
      <c r="A1274" s="4" t="str">
        <f>HYPERLINK("http://www.rosaceae.org/Prunus/Prunus_persica/p.persica_gdr_reftransV1_0034768","p.persica_gdr_reftransV1_0034768")</f>
        <v>p.persica_gdr_reftransV1_0034768</v>
      </c>
      <c r="B1274" s="2">
        <v>1624</v>
      </c>
      <c r="C1274" s="4" t="str">
        <f>HYPERLINK("http://www.uniprot.org/uniprot/M5WKN4","M5WKN4")</f>
        <v>M5WKN4</v>
      </c>
      <c r="D1274" s="2" t="s">
        <v>1250</v>
      </c>
      <c r="E1274" s="3">
        <v>1.2E-79</v>
      </c>
      <c r="F1274" s="2">
        <v>677</v>
      </c>
      <c r="G1274" s="2">
        <v>100</v>
      </c>
      <c r="H1274" s="2">
        <v>144</v>
      </c>
      <c r="I1274" s="2">
        <v>998</v>
      </c>
      <c r="J1274" s="2">
        <v>1429</v>
      </c>
      <c r="K1274" s="2">
        <v>209</v>
      </c>
      <c r="L1274" s="2">
        <v>352</v>
      </c>
    </row>
    <row r="1275" spans="1:12" x14ac:dyDescent="0.25">
      <c r="A1275" s="4" t="str">
        <f>HYPERLINK("http://www.rosaceae.org/Prunus/Prunus_persica/p.persica_gdr_reftransV1_0035468","p.persica_gdr_reftransV1_0035468")</f>
        <v>p.persica_gdr_reftransV1_0035468</v>
      </c>
      <c r="B1275" s="2">
        <v>2139</v>
      </c>
      <c r="C1275" s="4" t="str">
        <f>HYPERLINK("http://www.uniprot.org/uniprot/M5WSP8","M5WSP8")</f>
        <v>M5WSP8</v>
      </c>
      <c r="D1275" s="2" t="s">
        <v>1251</v>
      </c>
      <c r="E1275" s="3">
        <v>9.3999999999999999E-101</v>
      </c>
      <c r="F1275" s="2">
        <v>836</v>
      </c>
      <c r="G1275" s="2">
        <v>99</v>
      </c>
      <c r="H1275" s="2">
        <v>194</v>
      </c>
      <c r="I1275" s="2">
        <v>1424</v>
      </c>
      <c r="J1275" s="2">
        <v>2005</v>
      </c>
      <c r="K1275" s="2">
        <v>1</v>
      </c>
      <c r="L1275" s="2">
        <v>194</v>
      </c>
    </row>
    <row r="1276" spans="1:12" x14ac:dyDescent="0.25">
      <c r="A1276" s="4" t="str">
        <f>HYPERLINK("http://www.rosaceae.org/Prunus/Prunus_persica/p.persica_gdr_reftransV1_0036168","p.persica_gdr_reftransV1_0036168")</f>
        <v>p.persica_gdr_reftransV1_0036168</v>
      </c>
      <c r="B1276" s="2">
        <v>2451</v>
      </c>
      <c r="C1276" s="4" t="str">
        <f>HYPERLINK("http://www.uniprot.org/uniprot/M5VMF4","M5VMF4")</f>
        <v>M5VMF4</v>
      </c>
      <c r="D1276" s="2" t="s">
        <v>1252</v>
      </c>
      <c r="E1276" s="3">
        <v>0</v>
      </c>
      <c r="F1276" s="2">
        <v>2970</v>
      </c>
      <c r="G1276" s="2">
        <v>100</v>
      </c>
      <c r="H1276" s="2">
        <v>588</v>
      </c>
      <c r="I1276" s="2">
        <v>368</v>
      </c>
      <c r="J1276" s="2">
        <v>2131</v>
      </c>
      <c r="K1276" s="2">
        <v>1</v>
      </c>
      <c r="L1276" s="2">
        <v>588</v>
      </c>
    </row>
    <row r="1277" spans="1:12" x14ac:dyDescent="0.25">
      <c r="A1277" s="4" t="str">
        <f>HYPERLINK("http://www.rosaceae.org/Prunus/Prunus_persica/p.persica_gdr_reftransV1_0036518","p.persica_gdr_reftransV1_0036518")</f>
        <v>p.persica_gdr_reftransV1_0036518</v>
      </c>
      <c r="B1277" s="2">
        <v>3991</v>
      </c>
      <c r="C1277" s="4" t="str">
        <f>HYPERLINK("http://www.uniprot.org/uniprot/M5VMP2","M5VMP2")</f>
        <v>M5VMP2</v>
      </c>
      <c r="D1277" s="2" t="s">
        <v>1253</v>
      </c>
      <c r="E1277" s="3">
        <v>0</v>
      </c>
      <c r="F1277" s="2">
        <v>2096</v>
      </c>
      <c r="G1277" s="2">
        <v>98</v>
      </c>
      <c r="H1277" s="2">
        <v>409</v>
      </c>
      <c r="I1277" s="2">
        <v>1558</v>
      </c>
      <c r="J1277" s="2">
        <v>2784</v>
      </c>
      <c r="K1277" s="2">
        <v>119</v>
      </c>
      <c r="L1277" s="2">
        <v>524</v>
      </c>
    </row>
    <row r="1278" spans="1:12" x14ac:dyDescent="0.25">
      <c r="A1278" s="4" t="str">
        <f>HYPERLINK("http://www.rosaceae.org/Prunus/Prunus_persica/p.persica_gdr_reftransV1_0038968","p.persica_gdr_reftransV1_0038968")</f>
        <v>p.persica_gdr_reftransV1_0038968</v>
      </c>
      <c r="B1278" s="2">
        <v>2522</v>
      </c>
      <c r="C1278" s="4" t="str">
        <f>HYPERLINK("http://www.uniprot.org/uniprot/M5XF49","M5XF49")</f>
        <v>M5XF49</v>
      </c>
      <c r="D1278" s="2" t="s">
        <v>1254</v>
      </c>
      <c r="E1278" s="3">
        <v>5.13E-130</v>
      </c>
      <c r="F1278" s="2">
        <v>793</v>
      </c>
      <c r="G1278" s="2">
        <v>77</v>
      </c>
      <c r="H1278" s="2">
        <v>212</v>
      </c>
      <c r="I1278" s="2">
        <v>1231</v>
      </c>
      <c r="J1278" s="2">
        <v>1866</v>
      </c>
      <c r="K1278" s="2">
        <v>331</v>
      </c>
      <c r="L1278" s="2">
        <v>500</v>
      </c>
    </row>
    <row r="1279" spans="1:12" x14ac:dyDescent="0.25">
      <c r="A1279" s="4" t="str">
        <f>HYPERLINK("http://www.rosaceae.org/Prunus/Prunus_persica/p.persica_gdr_reftransV1_0039318","p.persica_gdr_reftransV1_0039318")</f>
        <v>p.persica_gdr_reftransV1_0039318</v>
      </c>
      <c r="B1279" s="2">
        <v>591</v>
      </c>
      <c r="C1279" s="4" t="str">
        <f>HYPERLINK("http://www.uniprot.org/uniprot/M5Y7X9","M5Y7X9")</f>
        <v>M5Y7X9</v>
      </c>
      <c r="D1279" s="2" t="s">
        <v>1255</v>
      </c>
      <c r="E1279" s="3">
        <v>2.0900000000000001E-59</v>
      </c>
      <c r="F1279" s="2">
        <v>491</v>
      </c>
      <c r="G1279" s="2">
        <v>100</v>
      </c>
      <c r="H1279" s="2">
        <v>128</v>
      </c>
      <c r="I1279" s="2">
        <v>173</v>
      </c>
      <c r="J1279" s="2">
        <v>556</v>
      </c>
      <c r="K1279" s="2">
        <v>1</v>
      </c>
      <c r="L1279" s="2">
        <v>128</v>
      </c>
    </row>
    <row r="1280" spans="1:12" x14ac:dyDescent="0.25">
      <c r="A1280" s="4" t="str">
        <f>HYPERLINK("http://www.rosaceae.org/Prunus/Prunus_persica/p.persica_gdr_reftransV1_0040018","p.persica_gdr_reftransV1_0040018")</f>
        <v>p.persica_gdr_reftransV1_0040018</v>
      </c>
      <c r="B1280" s="2">
        <v>3099</v>
      </c>
      <c r="C1280" s="4" t="str">
        <f>HYPERLINK("http://www.uniprot.org/uniprot/M5XRL4","M5XRL4")</f>
        <v>M5XRL4</v>
      </c>
      <c r="D1280" s="2" t="s">
        <v>1256</v>
      </c>
      <c r="E1280" s="3">
        <v>0</v>
      </c>
      <c r="F1280" s="2">
        <v>1929</v>
      </c>
      <c r="G1280" s="2">
        <v>99</v>
      </c>
      <c r="H1280" s="2">
        <v>364</v>
      </c>
      <c r="I1280" s="2">
        <v>1804</v>
      </c>
      <c r="J1280" s="2">
        <v>2895</v>
      </c>
      <c r="K1280" s="2">
        <v>1</v>
      </c>
      <c r="L1280" s="2">
        <v>364</v>
      </c>
    </row>
    <row r="1281" spans="1:12" x14ac:dyDescent="0.25">
      <c r="A1281" s="4" t="str">
        <f>HYPERLINK("http://www.rosaceae.org/Prunus/Prunus_persica/p.persica_gdr_reftransV1_0042468","p.persica_gdr_reftransV1_0042468")</f>
        <v>p.persica_gdr_reftransV1_0042468</v>
      </c>
      <c r="B1281" s="2">
        <v>1130</v>
      </c>
      <c r="C1281" s="4" t="str">
        <f>HYPERLINK("http://www.uniprot.org/uniprot/M5WEC4","M5WEC4")</f>
        <v>M5WEC4</v>
      </c>
      <c r="D1281" s="2" t="s">
        <v>1257</v>
      </c>
      <c r="E1281" s="3">
        <v>5.6199999999999999E-94</v>
      </c>
      <c r="F1281" s="2">
        <v>743</v>
      </c>
      <c r="G1281" s="2">
        <v>88</v>
      </c>
      <c r="H1281" s="2">
        <v>211</v>
      </c>
      <c r="I1281" s="2">
        <v>170</v>
      </c>
      <c r="J1281" s="2">
        <v>802</v>
      </c>
      <c r="K1281" s="2">
        <v>1</v>
      </c>
      <c r="L1281" s="2">
        <v>186</v>
      </c>
    </row>
    <row r="1282" spans="1:12" x14ac:dyDescent="0.25">
      <c r="A1282" s="4" t="str">
        <f>HYPERLINK("http://www.rosaceae.org/Prunus/Prunus_persica/p.persica_gdr_reftransV1_0043168","p.persica_gdr_reftransV1_0043168")</f>
        <v>p.persica_gdr_reftransV1_0043168</v>
      </c>
      <c r="B1282" s="2">
        <v>426</v>
      </c>
      <c r="C1282" s="4" t="str">
        <f>HYPERLINK("http://www.uniprot.org/uniprot/M5WW44","M5WW44")</f>
        <v>M5WW44</v>
      </c>
      <c r="D1282" s="2" t="s">
        <v>760</v>
      </c>
      <c r="E1282" s="3">
        <v>9.9199999999999992E-56</v>
      </c>
      <c r="F1282" s="2">
        <v>496</v>
      </c>
      <c r="G1282" s="2">
        <v>100</v>
      </c>
      <c r="H1282" s="2">
        <v>95</v>
      </c>
      <c r="I1282" s="2">
        <v>1</v>
      </c>
      <c r="J1282" s="2">
        <v>285</v>
      </c>
      <c r="K1282" s="2">
        <v>139</v>
      </c>
      <c r="L1282" s="2">
        <v>233</v>
      </c>
    </row>
    <row r="1283" spans="1:12" x14ac:dyDescent="0.25">
      <c r="A1283" s="4" t="str">
        <f>HYPERLINK("http://www.rosaceae.org/Prunus/Prunus_persica/p.persica_gdr_reftransV1_0043518","p.persica_gdr_reftransV1_0043518")</f>
        <v>p.persica_gdr_reftransV1_0043518</v>
      </c>
      <c r="B1283" s="2">
        <v>3956</v>
      </c>
      <c r="C1283" s="4" t="str">
        <f>HYPERLINK("http://www.uniprot.org/uniprot/M5VXL5","M5VXL5")</f>
        <v>M5VXL5</v>
      </c>
      <c r="D1283" s="2" t="s">
        <v>1258</v>
      </c>
      <c r="E1283" s="3">
        <v>0</v>
      </c>
      <c r="F1283" s="2">
        <v>5021</v>
      </c>
      <c r="G1283" s="2">
        <v>100</v>
      </c>
      <c r="H1283" s="2">
        <v>998</v>
      </c>
      <c r="I1283" s="2">
        <v>791</v>
      </c>
      <c r="J1283" s="2">
        <v>3784</v>
      </c>
      <c r="K1283" s="2">
        <v>1</v>
      </c>
      <c r="L1283" s="2">
        <v>998</v>
      </c>
    </row>
    <row r="1284" spans="1:12" x14ac:dyDescent="0.25">
      <c r="A1284" s="4" t="str">
        <f>HYPERLINK("http://www.rosaceae.org/Prunus/Prunus_persica/p.persica_gdr_reftransV1_0043868","p.persica_gdr_reftransV1_0043868")</f>
        <v>p.persica_gdr_reftransV1_0043868</v>
      </c>
      <c r="B1284" s="2">
        <v>1894</v>
      </c>
      <c r="C1284" s="4" t="str">
        <f>HYPERLINK("http://www.uniprot.org/uniprot/M5WBK5","M5WBK5")</f>
        <v>M5WBK5</v>
      </c>
      <c r="D1284" s="2" t="s">
        <v>1259</v>
      </c>
      <c r="E1284" s="3">
        <v>0</v>
      </c>
      <c r="F1284" s="2">
        <v>2538</v>
      </c>
      <c r="G1284" s="2">
        <v>100</v>
      </c>
      <c r="H1284" s="2">
        <v>494</v>
      </c>
      <c r="I1284" s="2">
        <v>397</v>
      </c>
      <c r="J1284" s="2">
        <v>1878</v>
      </c>
      <c r="K1284" s="2">
        <v>1</v>
      </c>
      <c r="L1284" s="2">
        <v>494</v>
      </c>
    </row>
    <row r="1285" spans="1:12" x14ac:dyDescent="0.25">
      <c r="A1285" s="4" t="str">
        <f>HYPERLINK("http://www.rosaceae.org/Prunus/Prunus_persica/p.persica_gdr_reftransV1_0044218","p.persica_gdr_reftransV1_0044218")</f>
        <v>p.persica_gdr_reftransV1_0044218</v>
      </c>
      <c r="B1285" s="2">
        <v>788</v>
      </c>
      <c r="C1285" s="4" t="str">
        <f>HYPERLINK("http://www.uniprot.org/uniprot/M5WH56","M5WH56")</f>
        <v>M5WH56</v>
      </c>
      <c r="D1285" s="2" t="s">
        <v>1260</v>
      </c>
      <c r="E1285" s="3">
        <v>4.4000000000000002E-157</v>
      </c>
      <c r="F1285" s="2">
        <v>1153</v>
      </c>
      <c r="G1285" s="2">
        <v>98</v>
      </c>
      <c r="H1285" s="2">
        <v>235</v>
      </c>
      <c r="I1285" s="2">
        <v>81</v>
      </c>
      <c r="J1285" s="2">
        <v>785</v>
      </c>
      <c r="K1285" s="2">
        <v>1</v>
      </c>
      <c r="L1285" s="2">
        <v>234</v>
      </c>
    </row>
    <row r="1286" spans="1:12" x14ac:dyDescent="0.25">
      <c r="A1286" s="4" t="str">
        <f>HYPERLINK("http://www.rosaceae.org/Prunus/Prunus_persica/p.persica_gdr_reftransV1_0044568","p.persica_gdr_reftransV1_0044568")</f>
        <v>p.persica_gdr_reftransV1_0044568</v>
      </c>
      <c r="B1286" s="2">
        <v>619</v>
      </c>
      <c r="C1286" s="4" t="str">
        <f>HYPERLINK("http://www.uniprot.org/uniprot/M5WRC7","M5WRC7")</f>
        <v>M5WRC7</v>
      </c>
      <c r="D1286" s="2" t="s">
        <v>1261</v>
      </c>
      <c r="E1286" s="3">
        <v>1.7599999999999999E-81</v>
      </c>
      <c r="F1286" s="2">
        <v>637</v>
      </c>
      <c r="G1286" s="2">
        <v>99</v>
      </c>
      <c r="H1286" s="2">
        <v>121</v>
      </c>
      <c r="I1286" s="2">
        <v>102</v>
      </c>
      <c r="J1286" s="2">
        <v>464</v>
      </c>
      <c r="K1286" s="2">
        <v>1</v>
      </c>
      <c r="L1286" s="2">
        <v>121</v>
      </c>
    </row>
    <row r="1287" spans="1:12" x14ac:dyDescent="0.25">
      <c r="A1287" s="4" t="str">
        <f>HYPERLINK("http://www.rosaceae.org/Prunus/Prunus_persica/p.persica_gdr_reftransV1_0044918","p.persica_gdr_reftransV1_0044918")</f>
        <v>p.persica_gdr_reftransV1_0044918</v>
      </c>
      <c r="B1287" s="2">
        <v>357</v>
      </c>
      <c r="C1287" s="4" t="str">
        <f>HYPERLINK("http://www.uniprot.org/uniprot/M5WCB9","M5WCB9")</f>
        <v>M5WCB9</v>
      </c>
      <c r="D1287" s="2" t="s">
        <v>1262</v>
      </c>
      <c r="E1287" s="3">
        <v>1.05E-43</v>
      </c>
      <c r="F1287" s="2">
        <v>380</v>
      </c>
      <c r="G1287" s="2">
        <v>85</v>
      </c>
      <c r="H1287" s="2">
        <v>107</v>
      </c>
      <c r="I1287" s="2">
        <v>45</v>
      </c>
      <c r="J1287" s="2">
        <v>353</v>
      </c>
      <c r="K1287" s="2">
        <v>1</v>
      </c>
      <c r="L1287" s="2">
        <v>107</v>
      </c>
    </row>
    <row r="1288" spans="1:12" x14ac:dyDescent="0.25">
      <c r="A1288" s="4" t="str">
        <f>HYPERLINK("http://www.rosaceae.org/Prunus/Prunus_persica/p.persica_gdr_reftransV1_0045618","p.persica_gdr_reftransV1_0045618")</f>
        <v>p.persica_gdr_reftransV1_0045618</v>
      </c>
      <c r="B1288" s="2">
        <v>929</v>
      </c>
      <c r="C1288" s="4" t="str">
        <f>HYPERLINK("http://www.uniprot.org/uniprot/M5WFC6","M5WFC6")</f>
        <v>M5WFC6</v>
      </c>
      <c r="D1288" s="2" t="s">
        <v>1263</v>
      </c>
      <c r="E1288" s="3">
        <v>4.4699999999999999E-95</v>
      </c>
      <c r="F1288" s="2">
        <v>774</v>
      </c>
      <c r="G1288" s="2">
        <v>73</v>
      </c>
      <c r="H1288" s="2">
        <v>208</v>
      </c>
      <c r="I1288" s="2">
        <v>248</v>
      </c>
      <c r="J1288" s="2">
        <v>871</v>
      </c>
      <c r="K1288" s="2">
        <v>313</v>
      </c>
      <c r="L1288" s="2">
        <v>519</v>
      </c>
    </row>
    <row r="1289" spans="1:12" x14ac:dyDescent="0.25">
      <c r="A1289" s="4" t="str">
        <f>HYPERLINK("http://www.rosaceae.org/Prunus/Prunus_persica/p.persica_gdr_reftransV1_0046318","p.persica_gdr_reftransV1_0046318")</f>
        <v>p.persica_gdr_reftransV1_0046318</v>
      </c>
      <c r="B1289" s="2">
        <v>1035</v>
      </c>
      <c r="C1289" s="4" t="str">
        <f>HYPERLINK("http://www.uniprot.org/uniprot/M5XDI0","M5XDI0")</f>
        <v>M5XDI0</v>
      </c>
      <c r="D1289" s="2" t="s">
        <v>1264</v>
      </c>
      <c r="E1289" s="3">
        <v>0</v>
      </c>
      <c r="F1289" s="2">
        <v>1454</v>
      </c>
      <c r="G1289" s="2">
        <v>100</v>
      </c>
      <c r="H1289" s="2">
        <v>279</v>
      </c>
      <c r="I1289" s="2">
        <v>163</v>
      </c>
      <c r="J1289" s="2">
        <v>999</v>
      </c>
      <c r="K1289" s="2">
        <v>1</v>
      </c>
      <c r="L1289" s="2">
        <v>279</v>
      </c>
    </row>
    <row r="1290" spans="1:12" x14ac:dyDescent="0.25">
      <c r="A1290" s="4" t="str">
        <f>HYPERLINK("http://www.rosaceae.org/Prunus/Prunus_persica/p.persica_gdr_reftransV1_0046668","p.persica_gdr_reftransV1_0046668")</f>
        <v>p.persica_gdr_reftransV1_0046668</v>
      </c>
      <c r="B1290" s="2">
        <v>1325</v>
      </c>
      <c r="C1290" s="4" t="str">
        <f>HYPERLINK("http://www.uniprot.org/uniprot/M5WT59","M5WT59")</f>
        <v>M5WT59</v>
      </c>
      <c r="D1290" s="2" t="s">
        <v>1265</v>
      </c>
      <c r="E1290" s="3">
        <v>1.24E-166</v>
      </c>
      <c r="F1290" s="2">
        <v>1244</v>
      </c>
      <c r="G1290" s="2">
        <v>100</v>
      </c>
      <c r="H1290" s="2">
        <v>321</v>
      </c>
      <c r="I1290" s="2">
        <v>134</v>
      </c>
      <c r="J1290" s="2">
        <v>1096</v>
      </c>
      <c r="K1290" s="2">
        <v>1</v>
      </c>
      <c r="L1290" s="2">
        <v>321</v>
      </c>
    </row>
    <row r="1291" spans="1:12" x14ac:dyDescent="0.25">
      <c r="A1291" s="4" t="str">
        <f>HYPERLINK("http://www.rosaceae.org/Prunus/Prunus_persica/p.persica_gdr_reftransV1_0047018","p.persica_gdr_reftransV1_0047018")</f>
        <v>p.persica_gdr_reftransV1_0047018</v>
      </c>
      <c r="B1291" s="2">
        <v>1693</v>
      </c>
      <c r="C1291" s="4" t="str">
        <f>HYPERLINK("http://www.uniprot.org/uniprot/M5VGG3","M5VGG3")</f>
        <v>M5VGG3</v>
      </c>
      <c r="D1291" s="2" t="s">
        <v>1266</v>
      </c>
      <c r="E1291" s="3">
        <v>0</v>
      </c>
      <c r="F1291" s="2">
        <v>1403</v>
      </c>
      <c r="G1291" s="2">
        <v>90</v>
      </c>
      <c r="H1291" s="2">
        <v>451</v>
      </c>
      <c r="I1291" s="2">
        <v>142</v>
      </c>
      <c r="J1291" s="2">
        <v>1485</v>
      </c>
      <c r="K1291" s="2">
        <v>1</v>
      </c>
      <c r="L1291" s="2">
        <v>438</v>
      </c>
    </row>
    <row r="1292" spans="1:12" x14ac:dyDescent="0.25">
      <c r="A1292" s="4" t="str">
        <f>HYPERLINK("http://www.rosaceae.org/Prunus/Prunus_persica/p.persica_gdr_reftransV1_0047368","p.persica_gdr_reftransV1_0047368")</f>
        <v>p.persica_gdr_reftransV1_0047368</v>
      </c>
      <c r="B1292" s="2">
        <v>988</v>
      </c>
      <c r="C1292" s="4" t="str">
        <f>HYPERLINK("http://www.uniprot.org/uniprot/M5W787","M5W787")</f>
        <v>M5W787</v>
      </c>
      <c r="D1292" s="2" t="s">
        <v>1267</v>
      </c>
      <c r="E1292" s="3">
        <v>2.7299999999999998E-112</v>
      </c>
      <c r="F1292" s="2">
        <v>918</v>
      </c>
      <c r="G1292" s="2">
        <v>99</v>
      </c>
      <c r="H1292" s="2">
        <v>203</v>
      </c>
      <c r="I1292" s="2">
        <v>55</v>
      </c>
      <c r="J1292" s="2">
        <v>663</v>
      </c>
      <c r="K1292" s="2">
        <v>696</v>
      </c>
      <c r="L1292" s="2">
        <v>897</v>
      </c>
    </row>
    <row r="1293" spans="1:12" x14ac:dyDescent="0.25">
      <c r="A1293" s="4" t="str">
        <f>HYPERLINK("http://www.rosaceae.org/Prunus/Prunus_persica/p.persica_gdr_reftransV1_0047718","p.persica_gdr_reftransV1_0047718")</f>
        <v>p.persica_gdr_reftransV1_0047718</v>
      </c>
      <c r="B1293" s="2">
        <v>467</v>
      </c>
      <c r="C1293" s="4" t="str">
        <f>HYPERLINK("http://www.uniprot.org/uniprot/M5X045","M5X045")</f>
        <v>M5X045</v>
      </c>
      <c r="D1293" s="2" t="s">
        <v>594</v>
      </c>
      <c r="E1293" s="3">
        <v>7.0500000000000003E-95</v>
      </c>
      <c r="F1293" s="2">
        <v>747</v>
      </c>
      <c r="G1293" s="2">
        <v>99</v>
      </c>
      <c r="H1293" s="2">
        <v>137</v>
      </c>
      <c r="I1293" s="2">
        <v>3</v>
      </c>
      <c r="J1293" s="2">
        <v>413</v>
      </c>
      <c r="K1293" s="2">
        <v>269</v>
      </c>
      <c r="L1293" s="2">
        <v>405</v>
      </c>
    </row>
    <row r="1294" spans="1:12" x14ac:dyDescent="0.25">
      <c r="A1294" s="4" t="str">
        <f>HYPERLINK("http://www.rosaceae.org/Prunus/Prunus_persica/p.persica_gdr_reftransV1_0048068","p.persica_gdr_reftransV1_0048068")</f>
        <v>p.persica_gdr_reftransV1_0048068</v>
      </c>
      <c r="B1294" s="2">
        <v>1291</v>
      </c>
      <c r="C1294" s="4" t="str">
        <f>HYPERLINK("http://www.uniprot.org/uniprot/M5WND7","M5WND7")</f>
        <v>M5WND7</v>
      </c>
      <c r="D1294" s="2" t="s">
        <v>1268</v>
      </c>
      <c r="E1294" s="3">
        <v>7.6400000000000004E-151</v>
      </c>
      <c r="F1294" s="2">
        <v>1155</v>
      </c>
      <c r="G1294" s="2">
        <v>100</v>
      </c>
      <c r="H1294" s="2">
        <v>373</v>
      </c>
      <c r="I1294" s="2">
        <v>126</v>
      </c>
      <c r="J1294" s="2">
        <v>1244</v>
      </c>
      <c r="K1294" s="2">
        <v>121</v>
      </c>
      <c r="L1294" s="2">
        <v>493</v>
      </c>
    </row>
    <row r="1295" spans="1:12" x14ac:dyDescent="0.25">
      <c r="A1295" s="4" t="str">
        <f>HYPERLINK("http://www.rosaceae.org/Prunus/Prunus_persica/p.persica_gdr_reftransV1_0048418","p.persica_gdr_reftransV1_0048418")</f>
        <v>p.persica_gdr_reftransV1_0048418</v>
      </c>
      <c r="B1295" s="2">
        <v>1032</v>
      </c>
      <c r="C1295" s="4" t="str">
        <f>HYPERLINK("http://www.uniprot.org/uniprot/M5WPT3","M5WPT3")</f>
        <v>M5WPT3</v>
      </c>
      <c r="D1295" s="2" t="s">
        <v>1031</v>
      </c>
      <c r="E1295" s="3">
        <v>3.26E-136</v>
      </c>
      <c r="F1295" s="2">
        <v>1035</v>
      </c>
      <c r="G1295" s="2">
        <v>81</v>
      </c>
      <c r="H1295" s="2">
        <v>262</v>
      </c>
      <c r="I1295" s="2">
        <v>3</v>
      </c>
      <c r="J1295" s="2">
        <v>770</v>
      </c>
      <c r="K1295" s="2">
        <v>4</v>
      </c>
      <c r="L1295" s="2">
        <v>265</v>
      </c>
    </row>
    <row r="1296" spans="1:12" x14ac:dyDescent="0.25">
      <c r="A1296" s="4" t="str">
        <f>HYPERLINK("http://www.rosaceae.org/Prunus/Prunus_persica/p.persica_gdr_reftransV1_0048768","p.persica_gdr_reftransV1_0048768")</f>
        <v>p.persica_gdr_reftransV1_0048768</v>
      </c>
      <c r="B1296" s="2">
        <v>951</v>
      </c>
      <c r="C1296" s="4" t="str">
        <f>HYPERLINK("http://www.uniprot.org/uniprot/M5W0U0","M5W0U0")</f>
        <v>M5W0U0</v>
      </c>
      <c r="D1296" s="2" t="s">
        <v>1269</v>
      </c>
      <c r="E1296" s="3">
        <v>4.5000000000000003E-160</v>
      </c>
      <c r="F1296" s="2">
        <v>1230</v>
      </c>
      <c r="G1296" s="2">
        <v>100</v>
      </c>
      <c r="H1296" s="2">
        <v>231</v>
      </c>
      <c r="I1296" s="2">
        <v>2</v>
      </c>
      <c r="J1296" s="2">
        <v>694</v>
      </c>
      <c r="K1296" s="2">
        <v>557</v>
      </c>
      <c r="L1296" s="2">
        <v>787</v>
      </c>
    </row>
    <row r="1297" spans="1:12" x14ac:dyDescent="0.25">
      <c r="A1297" s="4" t="str">
        <f>HYPERLINK("http://www.rosaceae.org/Prunus/Prunus_persica/p.persica_gdr_reftransV1_0049118","p.persica_gdr_reftransV1_0049118")</f>
        <v>p.persica_gdr_reftransV1_0049118</v>
      </c>
      <c r="B1297" s="2">
        <v>1371</v>
      </c>
      <c r="C1297" s="4" t="str">
        <f>HYPERLINK("http://www.uniprot.org/uniprot/M5VX72","M5VX72")</f>
        <v>M5VX72</v>
      </c>
      <c r="D1297" s="2" t="s">
        <v>1270</v>
      </c>
      <c r="E1297" s="3">
        <v>4.6600000000000002E-103</v>
      </c>
      <c r="F1297" s="2">
        <v>817</v>
      </c>
      <c r="G1297" s="2">
        <v>100</v>
      </c>
      <c r="H1297" s="2">
        <v>173</v>
      </c>
      <c r="I1297" s="2">
        <v>259</v>
      </c>
      <c r="J1297" s="2">
        <v>777</v>
      </c>
      <c r="K1297" s="2">
        <v>1</v>
      </c>
      <c r="L1297" s="2">
        <v>173</v>
      </c>
    </row>
    <row r="1298" spans="1:12" x14ac:dyDescent="0.25">
      <c r="A1298" s="4" t="str">
        <f>HYPERLINK("http://www.rosaceae.org/Prunus/Prunus_persica/p.persica_gdr_reftransV1_0000119","p.persica_gdr_reftransV1_0000119")</f>
        <v>p.persica_gdr_reftransV1_0000119</v>
      </c>
      <c r="B1298" s="2">
        <v>2169</v>
      </c>
      <c r="C1298" s="4" t="str">
        <f>HYPERLINK("http://www.uniprot.org/uniprot/M5VMS5","M5VMS5")</f>
        <v>M5VMS5</v>
      </c>
      <c r="D1298" s="2" t="s">
        <v>756</v>
      </c>
      <c r="E1298" s="3">
        <v>0</v>
      </c>
      <c r="F1298" s="2">
        <v>2598</v>
      </c>
      <c r="G1298" s="2">
        <v>100</v>
      </c>
      <c r="H1298" s="2">
        <v>493</v>
      </c>
      <c r="I1298" s="2">
        <v>274</v>
      </c>
      <c r="J1298" s="2">
        <v>1752</v>
      </c>
      <c r="K1298" s="2">
        <v>1</v>
      </c>
      <c r="L1298" s="2">
        <v>493</v>
      </c>
    </row>
    <row r="1299" spans="1:12" x14ac:dyDescent="0.25">
      <c r="A1299" s="4" t="str">
        <f>HYPERLINK("http://www.rosaceae.org/Prunus/Prunus_persica/p.persica_gdr_reftransV1_0000469","p.persica_gdr_reftransV1_0000469")</f>
        <v>p.persica_gdr_reftransV1_0000469</v>
      </c>
      <c r="B1299" s="2">
        <v>503</v>
      </c>
      <c r="C1299" s="4" t="str">
        <f>HYPERLINK("http://www.uniprot.org/uniprot/M5W4W2","M5W4W2")</f>
        <v>M5W4W2</v>
      </c>
      <c r="D1299" s="2" t="s">
        <v>1271</v>
      </c>
      <c r="E1299" s="3">
        <v>4.2599999999999999E-111</v>
      </c>
      <c r="F1299" s="2">
        <v>908</v>
      </c>
      <c r="G1299" s="2">
        <v>100</v>
      </c>
      <c r="H1299" s="2">
        <v>167</v>
      </c>
      <c r="I1299" s="2">
        <v>1</v>
      </c>
      <c r="J1299" s="2">
        <v>501</v>
      </c>
      <c r="K1299" s="2">
        <v>43</v>
      </c>
      <c r="L1299" s="2">
        <v>209</v>
      </c>
    </row>
    <row r="1300" spans="1:12" x14ac:dyDescent="0.25">
      <c r="A1300" s="4" t="str">
        <f>HYPERLINK("http://www.rosaceae.org/Prunus/Prunus_persica/p.persica_gdr_reftransV1_0000819","p.persica_gdr_reftransV1_0000819")</f>
        <v>p.persica_gdr_reftransV1_0000819</v>
      </c>
      <c r="B1300" s="2">
        <v>1500</v>
      </c>
      <c r="C1300" s="4" t="str">
        <f>HYPERLINK("http://www.uniprot.org/uniprot/M5WV59","M5WV59")</f>
        <v>M5WV59</v>
      </c>
      <c r="D1300" s="2" t="s">
        <v>1272</v>
      </c>
      <c r="E1300" s="3">
        <v>2.2899999999999998E-142</v>
      </c>
      <c r="F1300" s="2">
        <v>1080</v>
      </c>
      <c r="G1300" s="2">
        <v>100</v>
      </c>
      <c r="H1300" s="2">
        <v>220</v>
      </c>
      <c r="I1300" s="2">
        <v>459</v>
      </c>
      <c r="J1300" s="2">
        <v>1118</v>
      </c>
      <c r="K1300" s="2">
        <v>9</v>
      </c>
      <c r="L1300" s="2">
        <v>228</v>
      </c>
    </row>
    <row r="1301" spans="1:12" x14ac:dyDescent="0.25">
      <c r="A1301" s="4" t="str">
        <f>HYPERLINK("http://www.rosaceae.org/Prunus/Prunus_persica/p.persica_gdr_reftransV1_0001169","p.persica_gdr_reftransV1_0001169")</f>
        <v>p.persica_gdr_reftransV1_0001169</v>
      </c>
      <c r="B1301" s="2">
        <v>1087</v>
      </c>
      <c r="C1301" s="4" t="str">
        <f>HYPERLINK("http://www.uniprot.org/uniprot/M5W3B4","M5W3B4")</f>
        <v>M5W3B4</v>
      </c>
      <c r="D1301" s="2" t="s">
        <v>1273</v>
      </c>
      <c r="E1301" s="3">
        <v>4.4499999999999996E-115</v>
      </c>
      <c r="F1301" s="2">
        <v>885</v>
      </c>
      <c r="G1301" s="2">
        <v>95</v>
      </c>
      <c r="H1301" s="2">
        <v>200</v>
      </c>
      <c r="I1301" s="2">
        <v>188</v>
      </c>
      <c r="J1301" s="2">
        <v>787</v>
      </c>
      <c r="K1301" s="2">
        <v>15</v>
      </c>
      <c r="L1301" s="2">
        <v>204</v>
      </c>
    </row>
    <row r="1302" spans="1:12" x14ac:dyDescent="0.25">
      <c r="A1302" s="4" t="str">
        <f>HYPERLINK("http://www.rosaceae.org/Prunus/Prunus_persica/p.persica_gdr_reftransV1_0001519","p.persica_gdr_reftransV1_0001519")</f>
        <v>p.persica_gdr_reftransV1_0001519</v>
      </c>
      <c r="B1302" s="2">
        <v>391</v>
      </c>
      <c r="C1302" s="4" t="str">
        <f>HYPERLINK("http://www.uniprot.org/uniprot/M5WGL7","M5WGL7")</f>
        <v>M5WGL7</v>
      </c>
      <c r="D1302" s="2" t="s">
        <v>1274</v>
      </c>
      <c r="E1302" s="3">
        <v>1.8E-82</v>
      </c>
      <c r="F1302" s="2">
        <v>678</v>
      </c>
      <c r="G1302" s="2">
        <v>100</v>
      </c>
      <c r="H1302" s="2">
        <v>129</v>
      </c>
      <c r="I1302" s="2">
        <v>3</v>
      </c>
      <c r="J1302" s="2">
        <v>389</v>
      </c>
      <c r="K1302" s="2">
        <v>53</v>
      </c>
      <c r="L1302" s="2">
        <v>181</v>
      </c>
    </row>
    <row r="1303" spans="1:12" x14ac:dyDescent="0.25">
      <c r="A1303" s="4" t="str">
        <f>HYPERLINK("http://www.rosaceae.org/Prunus/Prunus_persica/p.persica_gdr_reftransV1_0001869","p.persica_gdr_reftransV1_0001869")</f>
        <v>p.persica_gdr_reftransV1_0001869</v>
      </c>
      <c r="B1303" s="2">
        <v>2857</v>
      </c>
      <c r="C1303" s="4" t="str">
        <f>HYPERLINK("http://www.uniprot.org/uniprot/M5WD87","M5WD87")</f>
        <v>M5WD87</v>
      </c>
      <c r="D1303" s="2" t="s">
        <v>1275</v>
      </c>
      <c r="E1303" s="3">
        <v>0</v>
      </c>
      <c r="F1303" s="2">
        <v>4364</v>
      </c>
      <c r="G1303" s="2">
        <v>98</v>
      </c>
      <c r="H1303" s="2">
        <v>846</v>
      </c>
      <c r="I1303" s="2">
        <v>319</v>
      </c>
      <c r="J1303" s="2">
        <v>2856</v>
      </c>
      <c r="K1303" s="2">
        <v>78</v>
      </c>
      <c r="L1303" s="2">
        <v>923</v>
      </c>
    </row>
    <row r="1304" spans="1:12" x14ac:dyDescent="0.25">
      <c r="A1304" s="4" t="str">
        <f>HYPERLINK("http://www.rosaceae.org/Prunus/Prunus_persica/p.persica_gdr_reftransV1_0002219","p.persica_gdr_reftransV1_0002219")</f>
        <v>p.persica_gdr_reftransV1_0002219</v>
      </c>
      <c r="B1304" s="2">
        <v>1637</v>
      </c>
      <c r="C1304" s="4" t="str">
        <f>HYPERLINK("http://www.uniprot.org/uniprot/M5X194","M5X194")</f>
        <v>M5X194</v>
      </c>
      <c r="D1304" s="2" t="s">
        <v>1276</v>
      </c>
      <c r="E1304" s="3">
        <v>0</v>
      </c>
      <c r="F1304" s="2">
        <v>1642</v>
      </c>
      <c r="G1304" s="2">
        <v>100</v>
      </c>
      <c r="H1304" s="2">
        <v>394</v>
      </c>
      <c r="I1304" s="2">
        <v>342</v>
      </c>
      <c r="J1304" s="2">
        <v>1523</v>
      </c>
      <c r="K1304" s="2">
        <v>24</v>
      </c>
      <c r="L1304" s="2">
        <v>417</v>
      </c>
    </row>
    <row r="1305" spans="1:12" x14ac:dyDescent="0.25">
      <c r="A1305" s="4" t="str">
        <f>HYPERLINK("http://www.rosaceae.org/Prunus/Prunus_persica/p.persica_gdr_reftransV1_0002569","p.persica_gdr_reftransV1_0002569")</f>
        <v>p.persica_gdr_reftransV1_0002569</v>
      </c>
      <c r="B1305" s="2">
        <v>1543</v>
      </c>
      <c r="C1305" s="4" t="str">
        <f>HYPERLINK("http://www.uniprot.org/uniprot/M5WE11","M5WE11")</f>
        <v>M5WE11</v>
      </c>
      <c r="D1305" s="2" t="s">
        <v>1277</v>
      </c>
      <c r="E1305" s="3">
        <v>0</v>
      </c>
      <c r="F1305" s="2">
        <v>1705</v>
      </c>
      <c r="G1305" s="2">
        <v>99</v>
      </c>
      <c r="H1305" s="2">
        <v>452</v>
      </c>
      <c r="I1305" s="2">
        <v>67</v>
      </c>
      <c r="J1305" s="2">
        <v>1422</v>
      </c>
      <c r="K1305" s="2">
        <v>1</v>
      </c>
      <c r="L1305" s="2">
        <v>452</v>
      </c>
    </row>
    <row r="1306" spans="1:12" x14ac:dyDescent="0.25">
      <c r="A1306" s="4" t="str">
        <f>HYPERLINK("http://www.rosaceae.org/Prunus/Prunus_persica/p.persica_gdr_reftransV1_0002919","p.persica_gdr_reftransV1_0002919")</f>
        <v>p.persica_gdr_reftransV1_0002919</v>
      </c>
      <c r="B1306" s="2">
        <v>2509</v>
      </c>
      <c r="C1306" s="4" t="str">
        <f>HYPERLINK("http://www.uniprot.org/uniprot/M5WCK7","M5WCK7")</f>
        <v>M5WCK7</v>
      </c>
      <c r="D1306" s="2" t="s">
        <v>1278</v>
      </c>
      <c r="E1306" s="3">
        <v>0</v>
      </c>
      <c r="F1306" s="2">
        <v>3321</v>
      </c>
      <c r="G1306" s="2">
        <v>100</v>
      </c>
      <c r="H1306" s="2">
        <v>636</v>
      </c>
      <c r="I1306" s="2">
        <v>91</v>
      </c>
      <c r="J1306" s="2">
        <v>1998</v>
      </c>
      <c r="K1306" s="2">
        <v>1</v>
      </c>
      <c r="L1306" s="2">
        <v>636</v>
      </c>
    </row>
    <row r="1307" spans="1:12" x14ac:dyDescent="0.25">
      <c r="A1307" s="4" t="str">
        <f>HYPERLINK("http://www.rosaceae.org/Prunus/Prunus_persica/p.persica_gdr_reftransV1_0003619","p.persica_gdr_reftransV1_0003619")</f>
        <v>p.persica_gdr_reftransV1_0003619</v>
      </c>
      <c r="B1307" s="2">
        <v>1576</v>
      </c>
      <c r="C1307" s="4" t="str">
        <f>HYPERLINK("http://www.uniprot.org/uniprot/M5VPB6","M5VPB6")</f>
        <v>M5VPB6</v>
      </c>
      <c r="D1307" s="2" t="s">
        <v>1279</v>
      </c>
      <c r="E1307" s="3">
        <v>2.9899999999999998E-97</v>
      </c>
      <c r="F1307" s="2">
        <v>788</v>
      </c>
      <c r="G1307" s="2">
        <v>99</v>
      </c>
      <c r="H1307" s="2">
        <v>150</v>
      </c>
      <c r="I1307" s="2">
        <v>250</v>
      </c>
      <c r="J1307" s="2">
        <v>699</v>
      </c>
      <c r="K1307" s="2">
        <v>130</v>
      </c>
      <c r="L1307" s="2">
        <v>279</v>
      </c>
    </row>
    <row r="1308" spans="1:12" x14ac:dyDescent="0.25">
      <c r="A1308" s="4" t="str">
        <f>HYPERLINK("http://www.rosaceae.org/Prunus/Prunus_persica/p.persica_gdr_reftransV1_0003969","p.persica_gdr_reftransV1_0003969")</f>
        <v>p.persica_gdr_reftransV1_0003969</v>
      </c>
      <c r="B1308" s="2">
        <v>2322</v>
      </c>
      <c r="C1308" s="4" t="str">
        <f>HYPERLINK("http://www.uniprot.org/uniprot/M5WYJ1","M5WYJ1")</f>
        <v>M5WYJ1</v>
      </c>
      <c r="D1308" s="2" t="s">
        <v>1280</v>
      </c>
      <c r="E1308" s="3">
        <v>0</v>
      </c>
      <c r="F1308" s="2">
        <v>2460</v>
      </c>
      <c r="G1308" s="2">
        <v>98</v>
      </c>
      <c r="H1308" s="2">
        <v>638</v>
      </c>
      <c r="I1308" s="2">
        <v>52</v>
      </c>
      <c r="J1308" s="2">
        <v>1965</v>
      </c>
      <c r="K1308" s="2">
        <v>72</v>
      </c>
      <c r="L1308" s="2">
        <v>709</v>
      </c>
    </row>
    <row r="1309" spans="1:12" x14ac:dyDescent="0.25">
      <c r="A1309" s="4" t="str">
        <f>HYPERLINK("http://www.rosaceae.org/Prunus/Prunus_persica/p.persica_gdr_reftransV1_0005019","p.persica_gdr_reftransV1_0005019")</f>
        <v>p.persica_gdr_reftransV1_0005019</v>
      </c>
      <c r="B1309" s="2">
        <v>1921</v>
      </c>
      <c r="C1309" s="4" t="str">
        <f>HYPERLINK("http://www.uniprot.org/uniprot/M5XYC7","M5XYC7")</f>
        <v>M5XYC7</v>
      </c>
      <c r="D1309" s="2" t="s">
        <v>1281</v>
      </c>
      <c r="E1309" s="3">
        <v>2.0000000000000001E-89</v>
      </c>
      <c r="F1309" s="2">
        <v>754</v>
      </c>
      <c r="G1309" s="2">
        <v>99</v>
      </c>
      <c r="H1309" s="2">
        <v>142</v>
      </c>
      <c r="I1309" s="2">
        <v>1297</v>
      </c>
      <c r="J1309" s="2">
        <v>1722</v>
      </c>
      <c r="K1309" s="2">
        <v>246</v>
      </c>
      <c r="L1309" s="2">
        <v>387</v>
      </c>
    </row>
    <row r="1310" spans="1:12" x14ac:dyDescent="0.25">
      <c r="A1310" s="4" t="str">
        <f>HYPERLINK("http://www.rosaceae.org/Prunus/Prunus_persica/p.persica_gdr_reftransV1_0006069","p.persica_gdr_reftransV1_0006069")</f>
        <v>p.persica_gdr_reftransV1_0006069</v>
      </c>
      <c r="B1310" s="2">
        <v>1210</v>
      </c>
      <c r="C1310" s="4" t="str">
        <f>HYPERLINK("http://www.uniprot.org/uniprot/M5Y2S9","M5Y2S9")</f>
        <v>M5Y2S9</v>
      </c>
      <c r="D1310" s="2" t="s">
        <v>1282</v>
      </c>
      <c r="E1310" s="3">
        <v>0</v>
      </c>
      <c r="F1310" s="2">
        <v>1639</v>
      </c>
      <c r="G1310" s="2">
        <v>91</v>
      </c>
      <c r="H1310" s="2">
        <v>354</v>
      </c>
      <c r="I1310" s="2">
        <v>1</v>
      </c>
      <c r="J1310" s="2">
        <v>1062</v>
      </c>
      <c r="K1310" s="2">
        <v>278</v>
      </c>
      <c r="L1310" s="2">
        <v>631</v>
      </c>
    </row>
    <row r="1311" spans="1:12" x14ac:dyDescent="0.25">
      <c r="A1311" s="4" t="str">
        <f>HYPERLINK("http://www.rosaceae.org/Prunus/Prunus_persica/p.persica_gdr_reftransV1_0006419","p.persica_gdr_reftransV1_0006419")</f>
        <v>p.persica_gdr_reftransV1_0006419</v>
      </c>
      <c r="B1311" s="2">
        <v>1345</v>
      </c>
      <c r="C1311" s="4" t="str">
        <f>HYPERLINK("http://www.uniprot.org/uniprot/A0A061EDH4","A0A061EDH4")</f>
        <v>A0A061EDH4</v>
      </c>
      <c r="D1311" s="2" t="s">
        <v>1283</v>
      </c>
      <c r="E1311" s="3">
        <v>9.0300000000000006E-157</v>
      </c>
      <c r="F1311" s="2">
        <v>1189</v>
      </c>
      <c r="G1311" s="2">
        <v>59</v>
      </c>
      <c r="H1311" s="2">
        <v>391</v>
      </c>
      <c r="I1311" s="2">
        <v>78</v>
      </c>
      <c r="J1311" s="2">
        <v>1241</v>
      </c>
      <c r="K1311" s="2">
        <v>36</v>
      </c>
      <c r="L1311" s="2">
        <v>413</v>
      </c>
    </row>
    <row r="1312" spans="1:12" x14ac:dyDescent="0.25">
      <c r="A1312" s="4" t="str">
        <f>HYPERLINK("http://www.rosaceae.org/Prunus/Prunus_persica/p.persica_gdr_reftransV1_0007119","p.persica_gdr_reftransV1_0007119")</f>
        <v>p.persica_gdr_reftransV1_0007119</v>
      </c>
      <c r="B1312" s="2">
        <v>457</v>
      </c>
      <c r="C1312" s="4" t="str">
        <f>HYPERLINK("http://www.uniprot.org/uniprot/M5WZG8","M5WZG8")</f>
        <v>M5WZG8</v>
      </c>
      <c r="D1312" s="2" t="s">
        <v>1284</v>
      </c>
      <c r="E1312" s="3">
        <v>6.7300000000000001E-101</v>
      </c>
      <c r="F1312" s="2">
        <v>792</v>
      </c>
      <c r="G1312" s="2">
        <v>100</v>
      </c>
      <c r="H1312" s="2">
        <v>152</v>
      </c>
      <c r="I1312" s="2">
        <v>2</v>
      </c>
      <c r="J1312" s="2">
        <v>457</v>
      </c>
      <c r="K1312" s="2">
        <v>6</v>
      </c>
      <c r="L1312" s="2">
        <v>157</v>
      </c>
    </row>
    <row r="1313" spans="1:12" x14ac:dyDescent="0.25">
      <c r="A1313" s="4" t="str">
        <f>HYPERLINK("http://www.rosaceae.org/Prunus/Prunus_persica/p.persica_gdr_reftransV1_0007469","p.persica_gdr_reftransV1_0007469")</f>
        <v>p.persica_gdr_reftransV1_0007469</v>
      </c>
      <c r="B1313" s="2">
        <v>1549</v>
      </c>
      <c r="C1313" s="4" t="str">
        <f>HYPERLINK("http://www.uniprot.org/uniprot/A0A067JY09","A0A067JY09")</f>
        <v>A0A067JY09</v>
      </c>
      <c r="D1313" s="2" t="s">
        <v>1285</v>
      </c>
      <c r="E1313" s="3">
        <v>2.8100000000000001E-67</v>
      </c>
      <c r="F1313" s="2">
        <v>584</v>
      </c>
      <c r="G1313" s="2">
        <v>74</v>
      </c>
      <c r="H1313" s="2">
        <v>257</v>
      </c>
      <c r="I1313" s="2">
        <v>686</v>
      </c>
      <c r="J1313" s="2">
        <v>1453</v>
      </c>
      <c r="K1313" s="2">
        <v>20</v>
      </c>
      <c r="L1313" s="2">
        <v>274</v>
      </c>
    </row>
    <row r="1314" spans="1:12" x14ac:dyDescent="0.25">
      <c r="A1314" s="4" t="str">
        <f>HYPERLINK("http://www.rosaceae.org/Prunus/Prunus_persica/p.persica_gdr_reftransV1_0007819","p.persica_gdr_reftransV1_0007819")</f>
        <v>p.persica_gdr_reftransV1_0007819</v>
      </c>
      <c r="B1314" s="2">
        <v>1217</v>
      </c>
      <c r="C1314" s="4" t="str">
        <f>HYPERLINK("http://www.uniprot.org/uniprot/M5WTW1","M5WTW1")</f>
        <v>M5WTW1</v>
      </c>
      <c r="D1314" s="2" t="s">
        <v>1286</v>
      </c>
      <c r="E1314" s="3">
        <v>3.9599999999999998E-78</v>
      </c>
      <c r="F1314" s="2">
        <v>637</v>
      </c>
      <c r="G1314" s="2">
        <v>100</v>
      </c>
      <c r="H1314" s="2">
        <v>146</v>
      </c>
      <c r="I1314" s="2">
        <v>584</v>
      </c>
      <c r="J1314" s="2">
        <v>1021</v>
      </c>
      <c r="K1314" s="2">
        <v>1</v>
      </c>
      <c r="L1314" s="2">
        <v>146</v>
      </c>
    </row>
    <row r="1315" spans="1:12" x14ac:dyDescent="0.25">
      <c r="A1315" s="4" t="str">
        <f>HYPERLINK("http://www.rosaceae.org/Prunus/Prunus_persica/p.persica_gdr_reftransV1_0008169","p.persica_gdr_reftransV1_0008169")</f>
        <v>p.persica_gdr_reftransV1_0008169</v>
      </c>
      <c r="B1315" s="2">
        <v>1802</v>
      </c>
      <c r="C1315" s="4" t="str">
        <f>HYPERLINK("http://www.uniprot.org/uniprot/M5XEE6","M5XEE6")</f>
        <v>M5XEE6</v>
      </c>
      <c r="D1315" s="2" t="s">
        <v>1287</v>
      </c>
      <c r="E1315" s="3">
        <v>0</v>
      </c>
      <c r="F1315" s="2">
        <v>1576</v>
      </c>
      <c r="G1315" s="2">
        <v>100</v>
      </c>
      <c r="H1315" s="2">
        <v>327</v>
      </c>
      <c r="I1315" s="2">
        <v>336</v>
      </c>
      <c r="J1315" s="2">
        <v>1316</v>
      </c>
      <c r="K1315" s="2">
        <v>1</v>
      </c>
      <c r="L1315" s="2">
        <v>327</v>
      </c>
    </row>
    <row r="1316" spans="1:12" x14ac:dyDescent="0.25">
      <c r="A1316" s="4" t="str">
        <f>HYPERLINK("http://www.rosaceae.org/Prunus/Prunus_persica/p.persica_gdr_reftransV1_0008519","p.persica_gdr_reftransV1_0008519")</f>
        <v>p.persica_gdr_reftransV1_0008519</v>
      </c>
      <c r="B1316" s="2">
        <v>2307</v>
      </c>
      <c r="C1316" s="4" t="str">
        <f>HYPERLINK("http://www.uniprot.org/uniprot/M5X0B8","M5X0B8")</f>
        <v>M5X0B8</v>
      </c>
      <c r="D1316" s="2" t="s">
        <v>1288</v>
      </c>
      <c r="E1316" s="3">
        <v>0</v>
      </c>
      <c r="F1316" s="2">
        <v>1640</v>
      </c>
      <c r="G1316" s="2">
        <v>90</v>
      </c>
      <c r="H1316" s="2">
        <v>363</v>
      </c>
      <c r="I1316" s="2">
        <v>526</v>
      </c>
      <c r="J1316" s="2">
        <v>1548</v>
      </c>
      <c r="K1316" s="2">
        <v>1</v>
      </c>
      <c r="L1316" s="2">
        <v>363</v>
      </c>
    </row>
    <row r="1317" spans="1:12" x14ac:dyDescent="0.25">
      <c r="A1317" s="4" t="str">
        <f>HYPERLINK("http://www.rosaceae.org/Prunus/Prunus_persica/p.persica_gdr_reftransV1_0009569","p.persica_gdr_reftransV1_0009569")</f>
        <v>p.persica_gdr_reftransV1_0009569</v>
      </c>
      <c r="B1317" s="2">
        <v>1206</v>
      </c>
      <c r="C1317" s="4" t="str">
        <f>HYPERLINK("http://www.uniprot.org/uniprot/M5XS87","M5XS87")</f>
        <v>M5XS87</v>
      </c>
      <c r="D1317" s="2" t="s">
        <v>1289</v>
      </c>
      <c r="E1317" s="3">
        <v>0</v>
      </c>
      <c r="F1317" s="2">
        <v>1383</v>
      </c>
      <c r="G1317" s="2">
        <v>100</v>
      </c>
      <c r="H1317" s="2">
        <v>296</v>
      </c>
      <c r="I1317" s="2">
        <v>166</v>
      </c>
      <c r="J1317" s="2">
        <v>1053</v>
      </c>
      <c r="K1317" s="2">
        <v>1</v>
      </c>
      <c r="L1317" s="2">
        <v>296</v>
      </c>
    </row>
    <row r="1318" spans="1:12" x14ac:dyDescent="0.25">
      <c r="A1318" s="4" t="str">
        <f>HYPERLINK("http://www.rosaceae.org/Prunus/Prunus_persica/p.persica_gdr_reftransV1_0010269","p.persica_gdr_reftransV1_0010269")</f>
        <v>p.persica_gdr_reftransV1_0010269</v>
      </c>
      <c r="B1318" s="2">
        <v>6507</v>
      </c>
      <c r="C1318" s="4" t="str">
        <f>HYPERLINK("http://www.uniprot.org/uniprot/M5XBH4","M5XBH4")</f>
        <v>M5XBH4</v>
      </c>
      <c r="D1318" s="2" t="s">
        <v>1290</v>
      </c>
      <c r="E1318" s="3">
        <v>0</v>
      </c>
      <c r="F1318" s="2">
        <v>10228</v>
      </c>
      <c r="G1318" s="2">
        <v>99</v>
      </c>
      <c r="H1318" s="2">
        <v>2000</v>
      </c>
      <c r="I1318" s="2">
        <v>507</v>
      </c>
      <c r="J1318" s="2">
        <v>6506</v>
      </c>
      <c r="K1318" s="2">
        <v>605</v>
      </c>
      <c r="L1318" s="2">
        <v>2588</v>
      </c>
    </row>
    <row r="1319" spans="1:12" x14ac:dyDescent="0.25">
      <c r="A1319" s="4" t="str">
        <f>HYPERLINK("http://www.rosaceae.org/Prunus/Prunus_persica/p.persica_gdr_reftransV1_0010969","p.persica_gdr_reftransV1_0010969")</f>
        <v>p.persica_gdr_reftransV1_0010969</v>
      </c>
      <c r="B1319" s="2">
        <v>1457</v>
      </c>
      <c r="C1319" s="4" t="str">
        <f>HYPERLINK("http://www.uniprot.org/uniprot/M5WMW4","M5WMW4")</f>
        <v>M5WMW4</v>
      </c>
      <c r="D1319" s="2" t="s">
        <v>1291</v>
      </c>
      <c r="E1319" s="3">
        <v>3.8899999999999998E-152</v>
      </c>
      <c r="F1319" s="2">
        <v>1150</v>
      </c>
      <c r="G1319" s="2">
        <v>100</v>
      </c>
      <c r="H1319" s="2">
        <v>214</v>
      </c>
      <c r="I1319" s="2">
        <v>737</v>
      </c>
      <c r="J1319" s="2">
        <v>1378</v>
      </c>
      <c r="K1319" s="2">
        <v>1</v>
      </c>
      <c r="L1319" s="2">
        <v>214</v>
      </c>
    </row>
    <row r="1320" spans="1:12" x14ac:dyDescent="0.25">
      <c r="A1320" s="4" t="str">
        <f>HYPERLINK("http://www.rosaceae.org/Prunus/Prunus_persica/p.persica_gdr_reftransV1_0011669","p.persica_gdr_reftransV1_0011669")</f>
        <v>p.persica_gdr_reftransV1_0011669</v>
      </c>
      <c r="B1320" s="2">
        <v>1160</v>
      </c>
      <c r="C1320" s="4" t="str">
        <f>HYPERLINK("http://www.uniprot.org/uniprot/M5W555","M5W555")</f>
        <v>M5W555</v>
      </c>
      <c r="D1320" s="2" t="s">
        <v>1292</v>
      </c>
      <c r="E1320" s="3">
        <v>3.2300000000000002E-170</v>
      </c>
      <c r="F1320" s="2">
        <v>1283</v>
      </c>
      <c r="G1320" s="2">
        <v>100</v>
      </c>
      <c r="H1320" s="2">
        <v>240</v>
      </c>
      <c r="I1320" s="2">
        <v>2</v>
      </c>
      <c r="J1320" s="2">
        <v>721</v>
      </c>
      <c r="K1320" s="2">
        <v>290</v>
      </c>
      <c r="L1320" s="2">
        <v>529</v>
      </c>
    </row>
    <row r="1321" spans="1:12" x14ac:dyDescent="0.25">
      <c r="A1321" s="4" t="str">
        <f>HYPERLINK("http://www.rosaceae.org/Prunus/Prunus_persica/p.persica_gdr_reftransV1_0014469","p.persica_gdr_reftransV1_0014469")</f>
        <v>p.persica_gdr_reftransV1_0014469</v>
      </c>
      <c r="B1321" s="2">
        <v>813</v>
      </c>
      <c r="C1321" s="4" t="str">
        <f>HYPERLINK("http://www.uniprot.org/uniprot/M5XDG7","M5XDG7")</f>
        <v>M5XDG7</v>
      </c>
      <c r="D1321" s="2" t="s">
        <v>1293</v>
      </c>
      <c r="E1321" s="3">
        <v>1.5499999999999999E-104</v>
      </c>
      <c r="F1321" s="2">
        <v>806</v>
      </c>
      <c r="G1321" s="2">
        <v>100</v>
      </c>
      <c r="H1321" s="2">
        <v>169</v>
      </c>
      <c r="I1321" s="2">
        <v>297</v>
      </c>
      <c r="J1321" s="2">
        <v>803</v>
      </c>
      <c r="K1321" s="2">
        <v>52</v>
      </c>
      <c r="L1321" s="2">
        <v>220</v>
      </c>
    </row>
    <row r="1322" spans="1:12" x14ac:dyDescent="0.25">
      <c r="A1322" s="4" t="str">
        <f>HYPERLINK("http://www.rosaceae.org/Prunus/Prunus_persica/p.persica_gdr_reftransV1_0014819","p.persica_gdr_reftransV1_0014819")</f>
        <v>p.persica_gdr_reftransV1_0014819</v>
      </c>
      <c r="B1322" s="2">
        <v>5314</v>
      </c>
      <c r="C1322" s="4" t="str">
        <f>HYPERLINK("http://www.uniprot.org/uniprot/M5XGT3","M5XGT3")</f>
        <v>M5XGT3</v>
      </c>
      <c r="D1322" s="2" t="s">
        <v>1294</v>
      </c>
      <c r="E1322" s="3">
        <v>0</v>
      </c>
      <c r="F1322" s="2">
        <v>4502</v>
      </c>
      <c r="G1322" s="2">
        <v>100</v>
      </c>
      <c r="H1322" s="2">
        <v>941</v>
      </c>
      <c r="I1322" s="2">
        <v>1301</v>
      </c>
      <c r="J1322" s="2">
        <v>4123</v>
      </c>
      <c r="K1322" s="2">
        <v>1</v>
      </c>
      <c r="L1322" s="2">
        <v>941</v>
      </c>
    </row>
    <row r="1323" spans="1:12" x14ac:dyDescent="0.25">
      <c r="A1323" s="4" t="str">
        <f>HYPERLINK("http://www.rosaceae.org/Prunus/Prunus_persica/p.persica_gdr_reftransV1_0016569","p.persica_gdr_reftransV1_0016569")</f>
        <v>p.persica_gdr_reftransV1_0016569</v>
      </c>
      <c r="B1323" s="2">
        <v>1098</v>
      </c>
      <c r="C1323" s="4" t="str">
        <f>HYPERLINK("http://www.uniprot.org/uniprot/M5VT25","M5VT25")</f>
        <v>M5VT25</v>
      </c>
      <c r="D1323" s="2" t="s">
        <v>1295</v>
      </c>
      <c r="E1323" s="3">
        <v>5.2300000000000002E-122</v>
      </c>
      <c r="F1323" s="2">
        <v>947</v>
      </c>
      <c r="G1323" s="2">
        <v>100</v>
      </c>
      <c r="H1323" s="2">
        <v>227</v>
      </c>
      <c r="I1323" s="2">
        <v>264</v>
      </c>
      <c r="J1323" s="2">
        <v>944</v>
      </c>
      <c r="K1323" s="2">
        <v>156</v>
      </c>
      <c r="L1323" s="2">
        <v>382</v>
      </c>
    </row>
    <row r="1324" spans="1:12" x14ac:dyDescent="0.25">
      <c r="A1324" s="4" t="str">
        <f>HYPERLINK("http://www.rosaceae.org/Prunus/Prunus_persica/p.persica_gdr_reftransV1_0016919","p.persica_gdr_reftransV1_0016919")</f>
        <v>p.persica_gdr_reftransV1_0016919</v>
      </c>
      <c r="B1324" s="2">
        <v>1431</v>
      </c>
      <c r="C1324" s="4" t="str">
        <f>HYPERLINK("http://www.uniprot.org/uniprot/M5WMU9","M5WMU9")</f>
        <v>M5WMU9</v>
      </c>
      <c r="D1324" s="2" t="s">
        <v>1296</v>
      </c>
      <c r="E1324" s="3">
        <v>0</v>
      </c>
      <c r="F1324" s="2">
        <v>1577</v>
      </c>
      <c r="G1324" s="2">
        <v>100</v>
      </c>
      <c r="H1324" s="2">
        <v>290</v>
      </c>
      <c r="I1324" s="2">
        <v>256</v>
      </c>
      <c r="J1324" s="2">
        <v>1125</v>
      </c>
      <c r="K1324" s="2">
        <v>1</v>
      </c>
      <c r="L1324" s="2">
        <v>290</v>
      </c>
    </row>
    <row r="1325" spans="1:12" x14ac:dyDescent="0.25">
      <c r="A1325" s="4" t="str">
        <f>HYPERLINK("http://www.rosaceae.org/Prunus/Prunus_persica/p.persica_gdr_reftransV1_0017269","p.persica_gdr_reftransV1_0017269")</f>
        <v>p.persica_gdr_reftransV1_0017269</v>
      </c>
      <c r="B1325" s="2">
        <v>794</v>
      </c>
      <c r="C1325" s="4" t="str">
        <f>HYPERLINK("http://www.uniprot.org/uniprot/M5XHT0","M5XHT0")</f>
        <v>M5XHT0</v>
      </c>
      <c r="D1325" s="2" t="s">
        <v>1297</v>
      </c>
      <c r="E1325" s="3">
        <v>4.7900000000000002E-73</v>
      </c>
      <c r="F1325" s="2">
        <v>595</v>
      </c>
      <c r="G1325" s="2">
        <v>100</v>
      </c>
      <c r="H1325" s="2">
        <v>157</v>
      </c>
      <c r="I1325" s="2">
        <v>1</v>
      </c>
      <c r="J1325" s="2">
        <v>471</v>
      </c>
      <c r="K1325" s="2">
        <v>43</v>
      </c>
      <c r="L1325" s="2">
        <v>199</v>
      </c>
    </row>
    <row r="1326" spans="1:12" x14ac:dyDescent="0.25">
      <c r="A1326" s="4" t="str">
        <f>HYPERLINK("http://www.rosaceae.org/Prunus/Prunus_persica/p.persica_gdr_reftransV1_0017619","p.persica_gdr_reftransV1_0017619")</f>
        <v>p.persica_gdr_reftransV1_0017619</v>
      </c>
      <c r="B1326" s="2">
        <v>2188</v>
      </c>
      <c r="C1326" s="4" t="str">
        <f>HYPERLINK("http://www.uniprot.org/uniprot/M5X551","M5X551")</f>
        <v>M5X551</v>
      </c>
      <c r="D1326" s="2" t="s">
        <v>1298</v>
      </c>
      <c r="E1326" s="3">
        <v>0</v>
      </c>
      <c r="F1326" s="2">
        <v>3108</v>
      </c>
      <c r="G1326" s="2">
        <v>97</v>
      </c>
      <c r="H1326" s="2">
        <v>623</v>
      </c>
      <c r="I1326" s="2">
        <v>136</v>
      </c>
      <c r="J1326" s="2">
        <v>2004</v>
      </c>
      <c r="K1326" s="2">
        <v>18</v>
      </c>
      <c r="L1326" s="2">
        <v>623</v>
      </c>
    </row>
    <row r="1327" spans="1:12" x14ac:dyDescent="0.25">
      <c r="A1327" s="4" t="str">
        <f>HYPERLINK("http://www.rosaceae.org/Prunus/Prunus_persica/p.persica_gdr_reftransV1_0018319","p.persica_gdr_reftransV1_0018319")</f>
        <v>p.persica_gdr_reftransV1_0018319</v>
      </c>
      <c r="B1327" s="2">
        <v>2888</v>
      </c>
      <c r="C1327" s="4" t="str">
        <f>HYPERLINK("http://www.uniprot.org/uniprot/D7SJG2","D7SJG2")</f>
        <v>D7SJG2</v>
      </c>
      <c r="D1327" s="2" t="s">
        <v>1299</v>
      </c>
      <c r="E1327" s="3">
        <v>0</v>
      </c>
      <c r="F1327" s="2">
        <v>3107</v>
      </c>
      <c r="G1327" s="2">
        <v>73</v>
      </c>
      <c r="H1327" s="2">
        <v>808</v>
      </c>
      <c r="I1327" s="2">
        <v>208</v>
      </c>
      <c r="J1327" s="2">
        <v>2631</v>
      </c>
      <c r="K1327" s="2">
        <v>1</v>
      </c>
      <c r="L1327" s="2">
        <v>722</v>
      </c>
    </row>
    <row r="1328" spans="1:12" x14ac:dyDescent="0.25">
      <c r="A1328" s="4" t="str">
        <f>HYPERLINK("http://www.rosaceae.org/Prunus/Prunus_persica/p.persica_gdr_reftransV1_0019019","p.persica_gdr_reftransV1_0019019")</f>
        <v>p.persica_gdr_reftransV1_0019019</v>
      </c>
      <c r="B1328" s="2">
        <v>1674</v>
      </c>
      <c r="C1328" s="4" t="str">
        <f>HYPERLINK("http://www.uniprot.org/uniprot/M5XCW4","M5XCW4")</f>
        <v>M5XCW4</v>
      </c>
      <c r="D1328" s="2" t="s">
        <v>1300</v>
      </c>
      <c r="E1328" s="3">
        <v>0</v>
      </c>
      <c r="F1328" s="2">
        <v>1869</v>
      </c>
      <c r="G1328" s="2">
        <v>100</v>
      </c>
      <c r="H1328" s="2">
        <v>363</v>
      </c>
      <c r="I1328" s="2">
        <v>475</v>
      </c>
      <c r="J1328" s="2">
        <v>1563</v>
      </c>
      <c r="K1328" s="2">
        <v>1</v>
      </c>
      <c r="L1328" s="2">
        <v>363</v>
      </c>
    </row>
    <row r="1329" spans="1:12" x14ac:dyDescent="0.25">
      <c r="A1329" s="4" t="str">
        <f>HYPERLINK("http://www.rosaceae.org/Prunus/Prunus_persica/p.persica_gdr_reftransV1_0019369","p.persica_gdr_reftransV1_0019369")</f>
        <v>p.persica_gdr_reftransV1_0019369</v>
      </c>
      <c r="B1329" s="2">
        <v>666</v>
      </c>
      <c r="C1329" s="4" t="str">
        <f>HYPERLINK("http://www.uniprot.org/uniprot/M5VT19","M5VT19")</f>
        <v>M5VT19</v>
      </c>
      <c r="D1329" s="2" t="s">
        <v>1301</v>
      </c>
      <c r="E1329" s="3">
        <v>6.5699999999999999E-145</v>
      </c>
      <c r="F1329" s="2">
        <v>1099</v>
      </c>
      <c r="G1329" s="2">
        <v>100</v>
      </c>
      <c r="H1329" s="2">
        <v>203</v>
      </c>
      <c r="I1329" s="2">
        <v>3</v>
      </c>
      <c r="J1329" s="2">
        <v>611</v>
      </c>
      <c r="K1329" s="2">
        <v>352</v>
      </c>
      <c r="L1329" s="2">
        <v>554</v>
      </c>
    </row>
    <row r="1330" spans="1:12" x14ac:dyDescent="0.25">
      <c r="A1330" s="4" t="str">
        <f>HYPERLINK("http://www.rosaceae.org/Prunus/Prunus_persica/p.persica_gdr_reftransV1_0019719","p.persica_gdr_reftransV1_0019719")</f>
        <v>p.persica_gdr_reftransV1_0019719</v>
      </c>
      <c r="B1330" s="2">
        <v>1231</v>
      </c>
      <c r="C1330" s="4" t="str">
        <f>HYPERLINK("http://www.uniprot.org/uniprot/M5XRN8","M5XRN8")</f>
        <v>M5XRN8</v>
      </c>
      <c r="D1330" s="2" t="s">
        <v>1302</v>
      </c>
      <c r="E1330" s="3">
        <v>3.6600000000000001E-51</v>
      </c>
      <c r="F1330" s="2">
        <v>452</v>
      </c>
      <c r="G1330" s="2">
        <v>100</v>
      </c>
      <c r="H1330" s="2">
        <v>105</v>
      </c>
      <c r="I1330" s="2">
        <v>221</v>
      </c>
      <c r="J1330" s="2">
        <v>535</v>
      </c>
      <c r="K1330" s="2">
        <v>1</v>
      </c>
      <c r="L1330" s="2">
        <v>105</v>
      </c>
    </row>
    <row r="1331" spans="1:12" x14ac:dyDescent="0.25">
      <c r="A1331" s="4" t="str">
        <f>HYPERLINK("http://www.rosaceae.org/Prunus/Prunus_persica/p.persica_gdr_reftransV1_0020069","p.persica_gdr_reftransV1_0020069")</f>
        <v>p.persica_gdr_reftransV1_0020069</v>
      </c>
      <c r="B1331" s="2">
        <v>2469</v>
      </c>
      <c r="C1331" s="4" t="str">
        <f>HYPERLINK("http://www.uniprot.org/uniprot/M5WWJ0","M5WWJ0")</f>
        <v>M5WWJ0</v>
      </c>
      <c r="D1331" s="2" t="s">
        <v>1303</v>
      </c>
      <c r="E1331" s="3">
        <v>0</v>
      </c>
      <c r="F1331" s="2">
        <v>3215</v>
      </c>
      <c r="G1331" s="2">
        <v>100</v>
      </c>
      <c r="H1331" s="2">
        <v>609</v>
      </c>
      <c r="I1331" s="2">
        <v>318</v>
      </c>
      <c r="J1331" s="2">
        <v>2144</v>
      </c>
      <c r="K1331" s="2">
        <v>1</v>
      </c>
      <c r="L1331" s="2">
        <v>609</v>
      </c>
    </row>
    <row r="1332" spans="1:12" x14ac:dyDescent="0.25">
      <c r="A1332" s="4" t="str">
        <f>HYPERLINK("http://www.rosaceae.org/Prunus/Prunus_persica/p.persica_gdr_reftransV1_0020769","p.persica_gdr_reftransV1_0020769")</f>
        <v>p.persica_gdr_reftransV1_0020769</v>
      </c>
      <c r="B1332" s="2">
        <v>1780</v>
      </c>
      <c r="C1332" s="4" t="str">
        <f>HYPERLINK("http://www.uniprot.org/uniprot/M5XAU4","M5XAU4")</f>
        <v>M5XAU4</v>
      </c>
      <c r="D1332" s="2" t="s">
        <v>1304</v>
      </c>
      <c r="E1332" s="3">
        <v>0</v>
      </c>
      <c r="F1332" s="2">
        <v>2211</v>
      </c>
      <c r="G1332" s="2">
        <v>95</v>
      </c>
      <c r="H1332" s="2">
        <v>437</v>
      </c>
      <c r="I1332" s="2">
        <v>2</v>
      </c>
      <c r="J1332" s="2">
        <v>1312</v>
      </c>
      <c r="K1332" s="2">
        <v>348</v>
      </c>
      <c r="L1332" s="2">
        <v>762</v>
      </c>
    </row>
    <row r="1333" spans="1:12" x14ac:dyDescent="0.25">
      <c r="A1333" s="4" t="str">
        <f>HYPERLINK("http://www.rosaceae.org/Prunus/Prunus_persica/p.persica_gdr_reftransV1_0022519","p.persica_gdr_reftransV1_0022519")</f>
        <v>p.persica_gdr_reftransV1_0022519</v>
      </c>
      <c r="B1333" s="2">
        <v>2634</v>
      </c>
      <c r="C1333" s="4" t="str">
        <f>HYPERLINK("http://www.uniprot.org/uniprot/M5WX03","M5WX03")</f>
        <v>M5WX03</v>
      </c>
      <c r="D1333" s="2" t="s">
        <v>1305</v>
      </c>
      <c r="E1333" s="3">
        <v>0</v>
      </c>
      <c r="F1333" s="2">
        <v>3439</v>
      </c>
      <c r="G1333" s="2">
        <v>100</v>
      </c>
      <c r="H1333" s="2">
        <v>641</v>
      </c>
      <c r="I1333" s="2">
        <v>408</v>
      </c>
      <c r="J1333" s="2">
        <v>2330</v>
      </c>
      <c r="K1333" s="2">
        <v>1</v>
      </c>
      <c r="L1333" s="2">
        <v>641</v>
      </c>
    </row>
    <row r="1334" spans="1:12" x14ac:dyDescent="0.25">
      <c r="A1334" s="4" t="str">
        <f>HYPERLINK("http://www.rosaceae.org/Prunus/Prunus_persica/p.persica_gdr_reftransV1_0022869","p.persica_gdr_reftransV1_0022869")</f>
        <v>p.persica_gdr_reftransV1_0022869</v>
      </c>
      <c r="B1334" s="2">
        <v>5043</v>
      </c>
      <c r="C1334" s="4" t="str">
        <f>HYPERLINK("http://www.uniprot.org/uniprot/M5X4N0","M5X4N0")</f>
        <v>M5X4N0</v>
      </c>
      <c r="D1334" s="2" t="s">
        <v>1306</v>
      </c>
      <c r="E1334" s="3">
        <v>0</v>
      </c>
      <c r="F1334" s="2">
        <v>2534</v>
      </c>
      <c r="G1334" s="2">
        <v>100</v>
      </c>
      <c r="H1334" s="2">
        <v>503</v>
      </c>
      <c r="I1334" s="2">
        <v>3409</v>
      </c>
      <c r="J1334" s="2">
        <v>4917</v>
      </c>
      <c r="K1334" s="2">
        <v>1</v>
      </c>
      <c r="L1334" s="2">
        <v>503</v>
      </c>
    </row>
    <row r="1335" spans="1:12" x14ac:dyDescent="0.25">
      <c r="A1335" s="4" t="str">
        <f>HYPERLINK("http://www.rosaceae.org/Prunus/Prunus_persica/p.persica_gdr_reftransV1_0025319","p.persica_gdr_reftransV1_0025319")</f>
        <v>p.persica_gdr_reftransV1_0025319</v>
      </c>
      <c r="B1335" s="2">
        <v>3493</v>
      </c>
      <c r="C1335" s="4" t="str">
        <f>HYPERLINK("http://www.uniprot.org/uniprot/M5XM10","M5XM10")</f>
        <v>M5XM10</v>
      </c>
      <c r="D1335" s="2" t="s">
        <v>1307</v>
      </c>
      <c r="E1335" s="3">
        <v>0</v>
      </c>
      <c r="F1335" s="2">
        <v>4892</v>
      </c>
      <c r="G1335" s="2">
        <v>100</v>
      </c>
      <c r="H1335" s="2">
        <v>913</v>
      </c>
      <c r="I1335" s="2">
        <v>149</v>
      </c>
      <c r="J1335" s="2">
        <v>2887</v>
      </c>
      <c r="K1335" s="2">
        <v>1</v>
      </c>
      <c r="L1335" s="2">
        <v>913</v>
      </c>
    </row>
    <row r="1336" spans="1:12" x14ac:dyDescent="0.25">
      <c r="A1336" s="4" t="str">
        <f>HYPERLINK("http://www.rosaceae.org/Prunus/Prunus_persica/p.persica_gdr_reftransV1_0026019","p.persica_gdr_reftransV1_0026019")</f>
        <v>p.persica_gdr_reftransV1_0026019</v>
      </c>
      <c r="B1336" s="2">
        <v>4777</v>
      </c>
      <c r="C1336" s="4" t="str">
        <f>HYPERLINK("http://www.uniprot.org/uniprot/M5Y4B6","M5Y4B6")</f>
        <v>M5Y4B6</v>
      </c>
      <c r="D1336" s="2" t="s">
        <v>1308</v>
      </c>
      <c r="E1336" s="3">
        <v>0</v>
      </c>
      <c r="F1336" s="2">
        <v>5847</v>
      </c>
      <c r="G1336" s="2">
        <v>99</v>
      </c>
      <c r="H1336" s="2">
        <v>1272</v>
      </c>
      <c r="I1336" s="2">
        <v>667</v>
      </c>
      <c r="J1336" s="2">
        <v>4482</v>
      </c>
      <c r="K1336" s="2">
        <v>1</v>
      </c>
      <c r="L1336" s="2">
        <v>1268</v>
      </c>
    </row>
    <row r="1337" spans="1:12" x14ac:dyDescent="0.25">
      <c r="A1337" s="4" t="str">
        <f>HYPERLINK("http://www.rosaceae.org/Prunus/Prunus_persica/p.persica_gdr_reftransV1_0027769","p.persica_gdr_reftransV1_0027769")</f>
        <v>p.persica_gdr_reftransV1_0027769</v>
      </c>
      <c r="B1337" s="2">
        <v>2915</v>
      </c>
      <c r="C1337" s="4" t="str">
        <f>HYPERLINK("http://www.uniprot.org/uniprot/M5WSQ7","M5WSQ7")</f>
        <v>M5WSQ7</v>
      </c>
      <c r="D1337" s="2" t="s">
        <v>1309</v>
      </c>
      <c r="E1337" s="3">
        <v>1.1800000000000001E-100</v>
      </c>
      <c r="F1337" s="2">
        <v>851</v>
      </c>
      <c r="G1337" s="2">
        <v>100</v>
      </c>
      <c r="H1337" s="2">
        <v>188</v>
      </c>
      <c r="I1337" s="2">
        <v>464</v>
      </c>
      <c r="J1337" s="2">
        <v>1027</v>
      </c>
      <c r="K1337" s="2">
        <v>1</v>
      </c>
      <c r="L1337" s="2">
        <v>188</v>
      </c>
    </row>
    <row r="1338" spans="1:12" x14ac:dyDescent="0.25">
      <c r="A1338" s="4" t="str">
        <f>HYPERLINK("http://www.rosaceae.org/Prunus/Prunus_persica/p.persica_gdr_reftransV1_0028119","p.persica_gdr_reftransV1_0028119")</f>
        <v>p.persica_gdr_reftransV1_0028119</v>
      </c>
      <c r="B1338" s="2">
        <v>1357</v>
      </c>
      <c r="C1338" s="4" t="str">
        <f>HYPERLINK("http://www.uniprot.org/uniprot/M5XIV2","M5XIV2")</f>
        <v>M5XIV2</v>
      </c>
      <c r="D1338" s="2" t="s">
        <v>1310</v>
      </c>
      <c r="E1338" s="3">
        <v>4.8899999999999998E-123</v>
      </c>
      <c r="F1338" s="2">
        <v>945</v>
      </c>
      <c r="G1338" s="2">
        <v>99</v>
      </c>
      <c r="H1338" s="2">
        <v>194</v>
      </c>
      <c r="I1338" s="2">
        <v>514</v>
      </c>
      <c r="J1338" s="2">
        <v>1095</v>
      </c>
      <c r="K1338" s="2">
        <v>1</v>
      </c>
      <c r="L1338" s="2">
        <v>194</v>
      </c>
    </row>
    <row r="1339" spans="1:12" x14ac:dyDescent="0.25">
      <c r="A1339" s="4" t="str">
        <f>HYPERLINK("http://www.rosaceae.org/Prunus/Prunus_persica/p.persica_gdr_reftransV1_0029519","p.persica_gdr_reftransV1_0029519")</f>
        <v>p.persica_gdr_reftransV1_0029519</v>
      </c>
      <c r="B1339" s="2">
        <v>2340</v>
      </c>
      <c r="C1339" s="4" t="str">
        <f>HYPERLINK("http://www.uniprot.org/uniprot/M5X598","M5X598")</f>
        <v>M5X598</v>
      </c>
      <c r="D1339" s="2" t="s">
        <v>1311</v>
      </c>
      <c r="E1339" s="3">
        <v>1.6299999999999999E-174</v>
      </c>
      <c r="F1339" s="2">
        <v>1336</v>
      </c>
      <c r="G1339" s="2">
        <v>100</v>
      </c>
      <c r="H1339" s="2">
        <v>319</v>
      </c>
      <c r="I1339" s="2">
        <v>1267</v>
      </c>
      <c r="J1339" s="2">
        <v>2223</v>
      </c>
      <c r="K1339" s="2">
        <v>11</v>
      </c>
      <c r="L1339" s="2">
        <v>329</v>
      </c>
    </row>
    <row r="1340" spans="1:12" x14ac:dyDescent="0.25">
      <c r="A1340" s="4" t="str">
        <f>HYPERLINK("http://www.rosaceae.org/Prunus/Prunus_persica/p.persica_gdr_reftransV1_0029869","p.persica_gdr_reftransV1_0029869")</f>
        <v>p.persica_gdr_reftransV1_0029869</v>
      </c>
      <c r="B1340" s="2">
        <v>2289</v>
      </c>
      <c r="C1340" s="4" t="str">
        <f>HYPERLINK("http://www.uniprot.org/uniprot/M5XF59","M5XF59")</f>
        <v>M5XF59</v>
      </c>
      <c r="D1340" s="2" t="s">
        <v>1312</v>
      </c>
      <c r="E1340" s="3">
        <v>0</v>
      </c>
      <c r="F1340" s="2">
        <v>1725</v>
      </c>
      <c r="G1340" s="2">
        <v>100</v>
      </c>
      <c r="H1340" s="2">
        <v>397</v>
      </c>
      <c r="I1340" s="2">
        <v>739</v>
      </c>
      <c r="J1340" s="2">
        <v>1929</v>
      </c>
      <c r="K1340" s="2">
        <v>1</v>
      </c>
      <c r="L1340" s="2">
        <v>397</v>
      </c>
    </row>
    <row r="1341" spans="1:12" x14ac:dyDescent="0.25">
      <c r="A1341" s="4" t="str">
        <f>HYPERLINK("http://www.rosaceae.org/Prunus/Prunus_persica/p.persica_gdr_reftransV1_0030219","p.persica_gdr_reftransV1_0030219")</f>
        <v>p.persica_gdr_reftransV1_0030219</v>
      </c>
      <c r="B1341" s="2">
        <v>1010</v>
      </c>
      <c r="C1341" s="4" t="str">
        <f>HYPERLINK("http://www.uniprot.org/uniprot/M5VP96","M5VP96")</f>
        <v>M5VP96</v>
      </c>
      <c r="D1341" s="2" t="s">
        <v>1313</v>
      </c>
      <c r="E1341" s="3">
        <v>2.5799999999999999E-98</v>
      </c>
      <c r="F1341" s="2">
        <v>769</v>
      </c>
      <c r="G1341" s="2">
        <v>100</v>
      </c>
      <c r="H1341" s="2">
        <v>198</v>
      </c>
      <c r="I1341" s="2">
        <v>145</v>
      </c>
      <c r="J1341" s="2">
        <v>738</v>
      </c>
      <c r="K1341" s="2">
        <v>1</v>
      </c>
      <c r="L1341" s="2">
        <v>198</v>
      </c>
    </row>
    <row r="1342" spans="1:12" x14ac:dyDescent="0.25">
      <c r="A1342" s="4" t="str">
        <f>HYPERLINK("http://www.rosaceae.org/Prunus/Prunus_persica/p.persica_gdr_reftransV1_0030919","p.persica_gdr_reftransV1_0030919")</f>
        <v>p.persica_gdr_reftransV1_0030919</v>
      </c>
      <c r="B1342" s="2">
        <v>1668</v>
      </c>
      <c r="C1342" s="4" t="str">
        <f>HYPERLINK("http://www.uniprot.org/uniprot/M5WUE1","M5WUE1")</f>
        <v>M5WUE1</v>
      </c>
      <c r="D1342" s="2" t="s">
        <v>1314</v>
      </c>
      <c r="E1342" s="3">
        <v>0</v>
      </c>
      <c r="F1342" s="2">
        <v>2067</v>
      </c>
      <c r="G1342" s="2">
        <v>100</v>
      </c>
      <c r="H1342" s="2">
        <v>422</v>
      </c>
      <c r="I1342" s="2">
        <v>103</v>
      </c>
      <c r="J1342" s="2">
        <v>1368</v>
      </c>
      <c r="K1342" s="2">
        <v>1</v>
      </c>
      <c r="L1342" s="2">
        <v>422</v>
      </c>
    </row>
    <row r="1343" spans="1:12" x14ac:dyDescent="0.25">
      <c r="A1343" s="4" t="str">
        <f>HYPERLINK("http://www.rosaceae.org/Prunus/Prunus_persica/p.persica_gdr_reftransV1_0031269","p.persica_gdr_reftransV1_0031269")</f>
        <v>p.persica_gdr_reftransV1_0031269</v>
      </c>
      <c r="B1343" s="2">
        <v>3140</v>
      </c>
      <c r="C1343" s="4" t="str">
        <f>HYPERLINK("http://www.uniprot.org/uniprot/M5WR07","M5WR07")</f>
        <v>M5WR07</v>
      </c>
      <c r="D1343" s="2" t="s">
        <v>1315</v>
      </c>
      <c r="E1343" s="3">
        <v>0</v>
      </c>
      <c r="F1343" s="2">
        <v>3786</v>
      </c>
      <c r="G1343" s="2">
        <v>100</v>
      </c>
      <c r="H1343" s="2">
        <v>759</v>
      </c>
      <c r="I1343" s="2">
        <v>639</v>
      </c>
      <c r="J1343" s="2">
        <v>2915</v>
      </c>
      <c r="K1343" s="2">
        <v>1</v>
      </c>
      <c r="L1343" s="2">
        <v>759</v>
      </c>
    </row>
    <row r="1344" spans="1:12" x14ac:dyDescent="0.25">
      <c r="A1344" s="4" t="str">
        <f>HYPERLINK("http://www.rosaceae.org/Prunus/Prunus_persica/p.persica_gdr_reftransV1_0035119","p.persica_gdr_reftransV1_0035119")</f>
        <v>p.persica_gdr_reftransV1_0035119</v>
      </c>
      <c r="B1344" s="2">
        <v>1987</v>
      </c>
      <c r="C1344" s="4" t="str">
        <f>HYPERLINK("http://www.uniprot.org/uniprot/H9EBJ3","H9EBJ3")</f>
        <v>H9EBJ3</v>
      </c>
      <c r="D1344" s="2" t="s">
        <v>1316</v>
      </c>
      <c r="E1344" s="3">
        <v>0</v>
      </c>
      <c r="F1344" s="2">
        <v>2499</v>
      </c>
      <c r="G1344" s="2">
        <v>100</v>
      </c>
      <c r="H1344" s="2">
        <v>510</v>
      </c>
      <c r="I1344" s="2">
        <v>307</v>
      </c>
      <c r="J1344" s="2">
        <v>1836</v>
      </c>
      <c r="K1344" s="2">
        <v>1</v>
      </c>
      <c r="L1344" s="2">
        <v>510</v>
      </c>
    </row>
    <row r="1345" spans="1:12" x14ac:dyDescent="0.25">
      <c r="A1345" s="4" t="str">
        <f>HYPERLINK("http://www.rosaceae.org/Prunus/Prunus_persica/p.persica_gdr_reftransV1_0035469","p.persica_gdr_reftransV1_0035469")</f>
        <v>p.persica_gdr_reftransV1_0035469</v>
      </c>
      <c r="B1345" s="2">
        <v>1321</v>
      </c>
      <c r="C1345" s="4" t="str">
        <f>HYPERLINK("http://www.uniprot.org/uniprot/M5XDT5","M5XDT5")</f>
        <v>M5XDT5</v>
      </c>
      <c r="D1345" s="2" t="s">
        <v>1317</v>
      </c>
      <c r="E1345" s="3">
        <v>4.76E-71</v>
      </c>
      <c r="F1345" s="2">
        <v>596</v>
      </c>
      <c r="G1345" s="2">
        <v>99</v>
      </c>
      <c r="H1345" s="2">
        <v>117</v>
      </c>
      <c r="I1345" s="2">
        <v>292</v>
      </c>
      <c r="J1345" s="2">
        <v>642</v>
      </c>
      <c r="K1345" s="2">
        <v>72</v>
      </c>
      <c r="L1345" s="2">
        <v>188</v>
      </c>
    </row>
    <row r="1346" spans="1:12" x14ac:dyDescent="0.25">
      <c r="A1346" s="4" t="str">
        <f>HYPERLINK("http://www.rosaceae.org/Prunus/Prunus_persica/p.persica_gdr_reftransV1_0036169","p.persica_gdr_reftransV1_0036169")</f>
        <v>p.persica_gdr_reftransV1_0036169</v>
      </c>
      <c r="B1346" s="2">
        <v>1992</v>
      </c>
      <c r="C1346" s="4" t="str">
        <f>HYPERLINK("http://www.uniprot.org/uniprot/M5XZ25","M5XZ25")</f>
        <v>M5XZ25</v>
      </c>
      <c r="D1346" s="2" t="s">
        <v>1318</v>
      </c>
      <c r="E1346" s="3">
        <v>5.8300000000000003E-108</v>
      </c>
      <c r="F1346" s="2">
        <v>880</v>
      </c>
      <c r="G1346" s="2">
        <v>97</v>
      </c>
      <c r="H1346" s="2">
        <v>212</v>
      </c>
      <c r="I1346" s="2">
        <v>551</v>
      </c>
      <c r="J1346" s="2">
        <v>1174</v>
      </c>
      <c r="K1346" s="2">
        <v>1</v>
      </c>
      <c r="L1346" s="2">
        <v>212</v>
      </c>
    </row>
    <row r="1347" spans="1:12" x14ac:dyDescent="0.25">
      <c r="A1347" s="4" t="str">
        <f>HYPERLINK("http://www.rosaceae.org/Prunus/Prunus_persica/p.persica_gdr_reftransV1_0037919","p.persica_gdr_reftransV1_0037919")</f>
        <v>p.persica_gdr_reftransV1_0037919</v>
      </c>
      <c r="B1347" s="2">
        <v>1363</v>
      </c>
      <c r="C1347" s="4" t="str">
        <f>HYPERLINK("http://www.uniprot.org/uniprot/M5XEY8","M5XEY8")</f>
        <v>M5XEY8</v>
      </c>
      <c r="D1347" s="2" t="s">
        <v>1319</v>
      </c>
      <c r="E1347" s="3">
        <v>6.0600000000000002E-28</v>
      </c>
      <c r="F1347" s="2">
        <v>216</v>
      </c>
      <c r="G1347" s="2">
        <v>93</v>
      </c>
      <c r="H1347" s="2">
        <v>43</v>
      </c>
      <c r="I1347" s="2">
        <v>788</v>
      </c>
      <c r="J1347" s="2">
        <v>916</v>
      </c>
      <c r="K1347" s="2">
        <v>50</v>
      </c>
      <c r="L1347" s="2">
        <v>92</v>
      </c>
    </row>
    <row r="1348" spans="1:12" x14ac:dyDescent="0.25">
      <c r="A1348" s="4" t="str">
        <f>HYPERLINK("http://www.rosaceae.org/Prunus/Prunus_persica/p.persica_gdr_reftransV1_0038969","p.persica_gdr_reftransV1_0038969")</f>
        <v>p.persica_gdr_reftransV1_0038969</v>
      </c>
      <c r="B1348" s="2">
        <v>4004</v>
      </c>
      <c r="C1348" s="4" t="str">
        <f>HYPERLINK("http://www.uniprot.org/uniprot/M5XQC5","M5XQC5")</f>
        <v>M5XQC5</v>
      </c>
      <c r="D1348" s="2" t="s">
        <v>1320</v>
      </c>
      <c r="E1348" s="3">
        <v>5.9399999999999995E-132</v>
      </c>
      <c r="F1348" s="2">
        <v>1081</v>
      </c>
      <c r="G1348" s="2">
        <v>100</v>
      </c>
      <c r="H1348" s="2">
        <v>246</v>
      </c>
      <c r="I1348" s="2">
        <v>2532</v>
      </c>
      <c r="J1348" s="2">
        <v>3269</v>
      </c>
      <c r="K1348" s="2">
        <v>91</v>
      </c>
      <c r="L1348" s="2">
        <v>336</v>
      </c>
    </row>
    <row r="1349" spans="1:12" x14ac:dyDescent="0.25">
      <c r="A1349" s="4" t="str">
        <f>HYPERLINK("http://www.rosaceae.org/Prunus/Prunus_persica/p.persica_gdr_reftransV1_0039319","p.persica_gdr_reftransV1_0039319")</f>
        <v>p.persica_gdr_reftransV1_0039319</v>
      </c>
      <c r="B1349" s="2">
        <v>1937</v>
      </c>
      <c r="C1349" s="4" t="str">
        <f>HYPERLINK("http://www.uniprot.org/uniprot/M5X1T9","M5X1T9")</f>
        <v>M5X1T9</v>
      </c>
      <c r="D1349" s="2" t="s">
        <v>1321</v>
      </c>
      <c r="E1349" s="3">
        <v>0</v>
      </c>
      <c r="F1349" s="2">
        <v>1512</v>
      </c>
      <c r="G1349" s="2">
        <v>96</v>
      </c>
      <c r="H1349" s="2">
        <v>311</v>
      </c>
      <c r="I1349" s="2">
        <v>172</v>
      </c>
      <c r="J1349" s="2">
        <v>1104</v>
      </c>
      <c r="K1349" s="2">
        <v>1</v>
      </c>
      <c r="L1349" s="2">
        <v>311</v>
      </c>
    </row>
    <row r="1350" spans="1:12" x14ac:dyDescent="0.25">
      <c r="A1350" s="4" t="str">
        <f>HYPERLINK("http://www.rosaceae.org/Prunus/Prunus_persica/p.persica_gdr_reftransV1_0041419","p.persica_gdr_reftransV1_0041419")</f>
        <v>p.persica_gdr_reftransV1_0041419</v>
      </c>
      <c r="B1350" s="2">
        <v>6528</v>
      </c>
      <c r="C1350" s="4" t="str">
        <f>HYPERLINK("http://www.uniprot.org/uniprot/A5B9T7","A5B9T7")</f>
        <v>A5B9T7</v>
      </c>
      <c r="D1350" s="2" t="s">
        <v>1322</v>
      </c>
      <c r="E1350" s="3">
        <v>0</v>
      </c>
      <c r="F1350" s="2">
        <v>4179</v>
      </c>
      <c r="G1350" s="2">
        <v>49</v>
      </c>
      <c r="H1350" s="2">
        <v>1720</v>
      </c>
      <c r="I1350" s="2">
        <v>1025</v>
      </c>
      <c r="J1350" s="2">
        <v>5866</v>
      </c>
      <c r="K1350" s="2">
        <v>133</v>
      </c>
      <c r="L1350" s="2">
        <v>1814</v>
      </c>
    </row>
    <row r="1351" spans="1:12" x14ac:dyDescent="0.25">
      <c r="A1351" s="4" t="str">
        <f>HYPERLINK("http://www.rosaceae.org/Prunus/Prunus_persica/p.persica_gdr_reftransV1_0043169","p.persica_gdr_reftransV1_0043169")</f>
        <v>p.persica_gdr_reftransV1_0043169</v>
      </c>
      <c r="B1351" s="2">
        <v>528</v>
      </c>
      <c r="C1351" s="4" t="str">
        <f>HYPERLINK("http://www.uniprot.org/uniprot/A0A059ANA5","A0A059ANA5")</f>
        <v>A0A059ANA5</v>
      </c>
      <c r="D1351" s="2" t="s">
        <v>1323</v>
      </c>
      <c r="E1351" s="3">
        <v>4.25E-22</v>
      </c>
      <c r="F1351" s="2">
        <v>239</v>
      </c>
      <c r="G1351" s="2">
        <v>94</v>
      </c>
      <c r="H1351" s="2">
        <v>51</v>
      </c>
      <c r="I1351" s="2">
        <v>154</v>
      </c>
      <c r="J1351" s="2">
        <v>306</v>
      </c>
      <c r="K1351" s="2">
        <v>1</v>
      </c>
      <c r="L1351" s="2">
        <v>51</v>
      </c>
    </row>
    <row r="1352" spans="1:12" x14ac:dyDescent="0.25">
      <c r="A1352" s="4" t="str">
        <f>HYPERLINK("http://www.rosaceae.org/Prunus/Prunus_persica/p.persica_gdr_reftransV1_0043519","p.persica_gdr_reftransV1_0043519")</f>
        <v>p.persica_gdr_reftransV1_0043519</v>
      </c>
      <c r="B1352" s="2">
        <v>445</v>
      </c>
      <c r="C1352" s="4" t="str">
        <f>HYPERLINK("http://www.uniprot.org/uniprot/M5WZU0","M5WZU0")</f>
        <v>M5WZU0</v>
      </c>
      <c r="D1352" s="2" t="s">
        <v>98</v>
      </c>
      <c r="E1352" s="3">
        <v>1.24E-92</v>
      </c>
      <c r="F1352" s="2">
        <v>757</v>
      </c>
      <c r="G1352" s="2">
        <v>100</v>
      </c>
      <c r="H1352" s="2">
        <v>134</v>
      </c>
      <c r="I1352" s="2">
        <v>1</v>
      </c>
      <c r="J1352" s="2">
        <v>402</v>
      </c>
      <c r="K1352" s="2">
        <v>178</v>
      </c>
      <c r="L1352" s="2">
        <v>311</v>
      </c>
    </row>
    <row r="1353" spans="1:12" x14ac:dyDescent="0.25">
      <c r="A1353" s="4" t="str">
        <f>HYPERLINK("http://www.rosaceae.org/Prunus/Prunus_persica/p.persica_gdr_reftransV1_0043869","p.persica_gdr_reftransV1_0043869")</f>
        <v>p.persica_gdr_reftransV1_0043869</v>
      </c>
      <c r="B1353" s="2">
        <v>384</v>
      </c>
      <c r="C1353" s="4" t="str">
        <f>HYPERLINK("http://www.uniprot.org/uniprot/M5VP08","M5VP08")</f>
        <v>M5VP08</v>
      </c>
      <c r="D1353" s="2" t="s">
        <v>1324</v>
      </c>
      <c r="E1353" s="3">
        <v>3.67E-85</v>
      </c>
      <c r="F1353" s="2">
        <v>686</v>
      </c>
      <c r="G1353" s="2">
        <v>100</v>
      </c>
      <c r="H1353" s="2">
        <v>127</v>
      </c>
      <c r="I1353" s="2">
        <v>4</v>
      </c>
      <c r="J1353" s="2">
        <v>384</v>
      </c>
      <c r="K1353" s="2">
        <v>1</v>
      </c>
      <c r="L1353" s="2">
        <v>127</v>
      </c>
    </row>
    <row r="1354" spans="1:12" x14ac:dyDescent="0.25">
      <c r="A1354" s="4" t="str">
        <f>HYPERLINK("http://www.rosaceae.org/Prunus/Prunus_persica/p.persica_gdr_reftransV1_0044219","p.persica_gdr_reftransV1_0044219")</f>
        <v>p.persica_gdr_reftransV1_0044219</v>
      </c>
      <c r="B1354" s="2">
        <v>1341</v>
      </c>
      <c r="C1354" s="4" t="str">
        <f>HYPERLINK("http://www.uniprot.org/uniprot/M5XA52","M5XA52")</f>
        <v>M5XA52</v>
      </c>
      <c r="D1354" s="2" t="s">
        <v>1160</v>
      </c>
      <c r="E1354" s="3">
        <v>1.7800000000000001E-164</v>
      </c>
      <c r="F1354" s="2">
        <v>1228</v>
      </c>
      <c r="G1354" s="2">
        <v>100</v>
      </c>
      <c r="H1354" s="2">
        <v>292</v>
      </c>
      <c r="I1354" s="2">
        <v>83</v>
      </c>
      <c r="J1354" s="2">
        <v>958</v>
      </c>
      <c r="K1354" s="2">
        <v>1</v>
      </c>
      <c r="L1354" s="2">
        <v>292</v>
      </c>
    </row>
    <row r="1355" spans="1:12" x14ac:dyDescent="0.25">
      <c r="A1355" s="4" t="str">
        <f>HYPERLINK("http://www.rosaceae.org/Prunus/Prunus_persica/p.persica_gdr_reftransV1_0044569","p.persica_gdr_reftransV1_0044569")</f>
        <v>p.persica_gdr_reftransV1_0044569</v>
      </c>
      <c r="B1355" s="2">
        <v>531</v>
      </c>
      <c r="C1355" s="4" t="str">
        <f>HYPERLINK("http://www.uniprot.org/uniprot/M5X853","M5X853")</f>
        <v>M5X853</v>
      </c>
      <c r="D1355" s="2" t="s">
        <v>1325</v>
      </c>
      <c r="E1355" s="3">
        <v>2.3599999999999998E-59</v>
      </c>
      <c r="F1355" s="2">
        <v>495</v>
      </c>
      <c r="G1355" s="2">
        <v>100</v>
      </c>
      <c r="H1355" s="2">
        <v>129</v>
      </c>
      <c r="I1355" s="2">
        <v>27</v>
      </c>
      <c r="J1355" s="2">
        <v>413</v>
      </c>
      <c r="K1355" s="2">
        <v>1</v>
      </c>
      <c r="L1355" s="2">
        <v>129</v>
      </c>
    </row>
    <row r="1356" spans="1:12" x14ac:dyDescent="0.25">
      <c r="A1356" s="4" t="str">
        <f>HYPERLINK("http://www.rosaceae.org/Prunus/Prunus_persica/p.persica_gdr_reftransV1_0044919","p.persica_gdr_reftransV1_0044919")</f>
        <v>p.persica_gdr_reftransV1_0044919</v>
      </c>
      <c r="B1356" s="2">
        <v>998</v>
      </c>
      <c r="C1356" s="4" t="str">
        <f>HYPERLINK("http://www.uniprot.org/uniprot/M5WBI4","M5WBI4")</f>
        <v>M5WBI4</v>
      </c>
      <c r="D1356" s="2" t="s">
        <v>1326</v>
      </c>
      <c r="E1356" s="3">
        <v>6.5200000000000002E-158</v>
      </c>
      <c r="F1356" s="2">
        <v>1170</v>
      </c>
      <c r="G1356" s="2">
        <v>100</v>
      </c>
      <c r="H1356" s="2">
        <v>267</v>
      </c>
      <c r="I1356" s="2">
        <v>146</v>
      </c>
      <c r="J1356" s="2">
        <v>946</v>
      </c>
      <c r="K1356" s="2">
        <v>1</v>
      </c>
      <c r="L1356" s="2">
        <v>267</v>
      </c>
    </row>
    <row r="1357" spans="1:12" x14ac:dyDescent="0.25">
      <c r="A1357" s="4" t="str">
        <f>HYPERLINK("http://www.rosaceae.org/Prunus/Prunus_persica/p.persica_gdr_reftransV1_0045619","p.persica_gdr_reftransV1_0045619")</f>
        <v>p.persica_gdr_reftransV1_0045619</v>
      </c>
      <c r="B1357" s="2">
        <v>1744</v>
      </c>
      <c r="C1357" s="4" t="str">
        <f>HYPERLINK("http://www.uniprot.org/uniprot/M5WTX8","M5WTX8")</f>
        <v>M5WTX8</v>
      </c>
      <c r="D1357" s="2" t="s">
        <v>1327</v>
      </c>
      <c r="E1357" s="3">
        <v>0</v>
      </c>
      <c r="F1357" s="2">
        <v>1978</v>
      </c>
      <c r="G1357" s="2">
        <v>100</v>
      </c>
      <c r="H1357" s="2">
        <v>399</v>
      </c>
      <c r="I1357" s="2">
        <v>428</v>
      </c>
      <c r="J1357" s="2">
        <v>1624</v>
      </c>
      <c r="K1357" s="2">
        <v>1</v>
      </c>
      <c r="L1357" s="2">
        <v>399</v>
      </c>
    </row>
    <row r="1358" spans="1:12" x14ac:dyDescent="0.25">
      <c r="A1358" s="4" t="str">
        <f>HYPERLINK("http://www.rosaceae.org/Prunus/Prunus_persica/p.persica_gdr_reftransV1_0046319","p.persica_gdr_reftransV1_0046319")</f>
        <v>p.persica_gdr_reftransV1_0046319</v>
      </c>
      <c r="B1358" s="2">
        <v>1071</v>
      </c>
      <c r="C1358" s="4" t="str">
        <f>HYPERLINK("http://www.uniprot.org/uniprot/W9SIV3","W9SIV3")</f>
        <v>W9SIV3</v>
      </c>
      <c r="D1358" s="2" t="s">
        <v>1328</v>
      </c>
      <c r="E1358" s="3">
        <v>4.8300000000000002E-12</v>
      </c>
      <c r="F1358" s="2">
        <v>178</v>
      </c>
      <c r="G1358" s="2">
        <v>63</v>
      </c>
      <c r="H1358" s="2">
        <v>64</v>
      </c>
      <c r="I1358" s="2">
        <v>584</v>
      </c>
      <c r="J1358" s="2">
        <v>775</v>
      </c>
      <c r="K1358" s="2">
        <v>13</v>
      </c>
      <c r="L1358" s="2">
        <v>76</v>
      </c>
    </row>
    <row r="1359" spans="1:12" x14ac:dyDescent="0.25">
      <c r="A1359" s="4" t="str">
        <f>HYPERLINK("http://www.rosaceae.org/Prunus/Prunus_persica/p.persica_gdr_reftransV1_0046669","p.persica_gdr_reftransV1_0046669")</f>
        <v>p.persica_gdr_reftransV1_0046669</v>
      </c>
      <c r="B1359" s="2">
        <v>638</v>
      </c>
      <c r="C1359" s="4" t="str">
        <f>HYPERLINK("http://www.uniprot.org/uniprot/M5XJK6","M5XJK6")</f>
        <v>M5XJK6</v>
      </c>
      <c r="D1359" s="2" t="s">
        <v>1329</v>
      </c>
      <c r="E1359" s="3">
        <v>4.4799999999999997E-42</v>
      </c>
      <c r="F1359" s="2">
        <v>373</v>
      </c>
      <c r="G1359" s="2">
        <v>100</v>
      </c>
      <c r="H1359" s="2">
        <v>69</v>
      </c>
      <c r="I1359" s="2">
        <v>262</v>
      </c>
      <c r="J1359" s="2">
        <v>468</v>
      </c>
      <c r="K1359" s="2">
        <v>16</v>
      </c>
      <c r="L1359" s="2">
        <v>84</v>
      </c>
    </row>
    <row r="1360" spans="1:12" x14ac:dyDescent="0.25">
      <c r="A1360" s="4" t="str">
        <f>HYPERLINK("http://www.rosaceae.org/Prunus/Prunus_persica/p.persica_gdr_reftransV1_0047019","p.persica_gdr_reftransV1_0047019")</f>
        <v>p.persica_gdr_reftransV1_0047019</v>
      </c>
      <c r="B1360" s="2">
        <v>673</v>
      </c>
      <c r="C1360" s="4" t="str">
        <f>HYPERLINK("http://www.uniprot.org/uniprot/M5XSC3","M5XSC3")</f>
        <v>M5XSC3</v>
      </c>
      <c r="D1360" s="2" t="s">
        <v>1330</v>
      </c>
      <c r="E1360" s="3">
        <v>6.2499999999999999E-142</v>
      </c>
      <c r="F1360" s="2">
        <v>1126</v>
      </c>
      <c r="G1360" s="2">
        <v>100</v>
      </c>
      <c r="H1360" s="2">
        <v>224</v>
      </c>
      <c r="I1360" s="2">
        <v>2</v>
      </c>
      <c r="J1360" s="2">
        <v>673</v>
      </c>
      <c r="K1360" s="2">
        <v>432</v>
      </c>
      <c r="L1360" s="2">
        <v>655</v>
      </c>
    </row>
    <row r="1361" spans="1:12" x14ac:dyDescent="0.25">
      <c r="A1361" s="4" t="str">
        <f>HYPERLINK("http://www.rosaceae.org/Prunus/Prunus_persica/p.persica_gdr_reftransV1_0047719","p.persica_gdr_reftransV1_0047719")</f>
        <v>p.persica_gdr_reftransV1_0047719</v>
      </c>
      <c r="B1361" s="2">
        <v>1624</v>
      </c>
      <c r="C1361" s="4" t="str">
        <f>HYPERLINK("http://www.uniprot.org/uniprot/M5X9Y5","M5X9Y5")</f>
        <v>M5X9Y5</v>
      </c>
      <c r="D1361" s="2" t="s">
        <v>1331</v>
      </c>
      <c r="E1361" s="3">
        <v>0</v>
      </c>
      <c r="F1361" s="2">
        <v>2697</v>
      </c>
      <c r="G1361" s="2">
        <v>100</v>
      </c>
      <c r="H1361" s="2">
        <v>502</v>
      </c>
      <c r="I1361" s="2">
        <v>115</v>
      </c>
      <c r="J1361" s="2">
        <v>1620</v>
      </c>
      <c r="K1361" s="2">
        <v>79</v>
      </c>
      <c r="L1361" s="2">
        <v>580</v>
      </c>
    </row>
    <row r="1362" spans="1:12" x14ac:dyDescent="0.25">
      <c r="A1362" s="4" t="str">
        <f>HYPERLINK("http://www.rosaceae.org/Prunus/Prunus_persica/p.persica_gdr_reftransV1_0048069","p.persica_gdr_reftransV1_0048069")</f>
        <v>p.persica_gdr_reftransV1_0048069</v>
      </c>
      <c r="B1362" s="2">
        <v>1150</v>
      </c>
      <c r="C1362" s="4" t="str">
        <f>HYPERLINK("http://www.uniprot.org/uniprot/M5VQS3","M5VQS3")</f>
        <v>M5VQS3</v>
      </c>
      <c r="D1362" s="2" t="s">
        <v>1332</v>
      </c>
      <c r="E1362" s="3">
        <v>1.3200000000000001E-172</v>
      </c>
      <c r="F1362" s="2">
        <v>1273</v>
      </c>
      <c r="G1362" s="2">
        <v>95</v>
      </c>
      <c r="H1362" s="2">
        <v>275</v>
      </c>
      <c r="I1362" s="2">
        <v>118</v>
      </c>
      <c r="J1362" s="2">
        <v>942</v>
      </c>
      <c r="K1362" s="2">
        <v>9</v>
      </c>
      <c r="L1362" s="2">
        <v>280</v>
      </c>
    </row>
    <row r="1363" spans="1:12" x14ac:dyDescent="0.25">
      <c r="A1363" s="4" t="str">
        <f>HYPERLINK("http://www.rosaceae.org/Prunus/Prunus_persica/p.persica_gdr_reftransV1_0048769","p.persica_gdr_reftransV1_0048769")</f>
        <v>p.persica_gdr_reftransV1_0048769</v>
      </c>
      <c r="B1363" s="2">
        <v>1328</v>
      </c>
      <c r="C1363" s="4" t="str">
        <f>HYPERLINK("http://www.uniprot.org/uniprot/M5WAF8","M5WAF8")</f>
        <v>M5WAF8</v>
      </c>
      <c r="D1363" s="2" t="s">
        <v>1333</v>
      </c>
      <c r="E1363" s="3">
        <v>1.69E-149</v>
      </c>
      <c r="F1363" s="2">
        <v>1123</v>
      </c>
      <c r="G1363" s="2">
        <v>100</v>
      </c>
      <c r="H1363" s="2">
        <v>218</v>
      </c>
      <c r="I1363" s="2">
        <v>349</v>
      </c>
      <c r="J1363" s="2">
        <v>1002</v>
      </c>
      <c r="K1363" s="2">
        <v>21</v>
      </c>
      <c r="L1363" s="2">
        <v>238</v>
      </c>
    </row>
    <row r="1364" spans="1:12" x14ac:dyDescent="0.25">
      <c r="A1364" s="4" t="str">
        <f>HYPERLINK("http://www.rosaceae.org/Prunus/Prunus_persica/p.persica_gdr_reftransV1_0049119","p.persica_gdr_reftransV1_0049119")</f>
        <v>p.persica_gdr_reftransV1_0049119</v>
      </c>
      <c r="B1364" s="2">
        <v>306</v>
      </c>
      <c r="C1364" s="4" t="str">
        <f>HYPERLINK("http://www.uniprot.org/uniprot/M5WN57","M5WN57")</f>
        <v>M5WN57</v>
      </c>
      <c r="D1364" s="2" t="s">
        <v>1334</v>
      </c>
      <c r="E1364" s="3">
        <v>4.13E-33</v>
      </c>
      <c r="F1364" s="2">
        <v>331</v>
      </c>
      <c r="G1364" s="2">
        <v>98</v>
      </c>
      <c r="H1364" s="2">
        <v>63</v>
      </c>
      <c r="I1364" s="2">
        <v>117</v>
      </c>
      <c r="J1364" s="2">
        <v>305</v>
      </c>
      <c r="K1364" s="2">
        <v>13</v>
      </c>
      <c r="L1364" s="2">
        <v>75</v>
      </c>
    </row>
    <row r="1365" spans="1:12" x14ac:dyDescent="0.25">
      <c r="A1365" s="4" t="str">
        <f>HYPERLINK("http://www.rosaceae.org/Prunus/Prunus_persica/p.persica_gdr_reftransV1_0000120","p.persica_gdr_reftransV1_0000120")</f>
        <v>p.persica_gdr_reftransV1_0000120</v>
      </c>
      <c r="B1365" s="2">
        <v>553</v>
      </c>
      <c r="C1365" s="4" t="str">
        <f>HYPERLINK("http://www.uniprot.org/uniprot/W0EX17","W0EX17")</f>
        <v>W0EX17</v>
      </c>
      <c r="D1365" s="2" t="s">
        <v>1335</v>
      </c>
      <c r="E1365" s="3">
        <v>3.1499999999999998E-8</v>
      </c>
      <c r="F1365" s="2">
        <v>139</v>
      </c>
      <c r="G1365" s="2">
        <v>41</v>
      </c>
      <c r="H1365" s="2">
        <v>80</v>
      </c>
      <c r="I1365" s="2">
        <v>2</v>
      </c>
      <c r="J1365" s="2">
        <v>241</v>
      </c>
      <c r="K1365" s="2">
        <v>7</v>
      </c>
      <c r="L1365" s="2">
        <v>86</v>
      </c>
    </row>
    <row r="1366" spans="1:12" x14ac:dyDescent="0.25">
      <c r="A1366" s="4" t="str">
        <f>HYPERLINK("http://www.rosaceae.org/Prunus/Prunus_persica/p.persica_gdr_reftransV1_0000470","p.persica_gdr_reftransV1_0000470")</f>
        <v>p.persica_gdr_reftransV1_0000470</v>
      </c>
      <c r="B1366" s="2">
        <v>1166</v>
      </c>
      <c r="C1366" s="4" t="str">
        <f>HYPERLINK("http://www.uniprot.org/uniprot/M5W9T7","M5W9T7")</f>
        <v>M5W9T7</v>
      </c>
      <c r="D1366" s="2" t="s">
        <v>1336</v>
      </c>
      <c r="E1366" s="3">
        <v>0</v>
      </c>
      <c r="F1366" s="2">
        <v>1357</v>
      </c>
      <c r="G1366" s="2">
        <v>100</v>
      </c>
      <c r="H1366" s="2">
        <v>253</v>
      </c>
      <c r="I1366" s="2">
        <v>395</v>
      </c>
      <c r="J1366" s="2">
        <v>1153</v>
      </c>
      <c r="K1366" s="2">
        <v>29</v>
      </c>
      <c r="L1366" s="2">
        <v>281</v>
      </c>
    </row>
    <row r="1367" spans="1:12" x14ac:dyDescent="0.25">
      <c r="A1367" s="4" t="str">
        <f>HYPERLINK("http://www.rosaceae.org/Prunus/Prunus_persica/p.persica_gdr_reftransV1_0000820","p.persica_gdr_reftransV1_0000820")</f>
        <v>p.persica_gdr_reftransV1_0000820</v>
      </c>
      <c r="B1367" s="2">
        <v>2211</v>
      </c>
      <c r="C1367" s="4" t="str">
        <f>HYPERLINK("http://www.uniprot.org/uniprot/M5WQF5","M5WQF5")</f>
        <v>M5WQF5</v>
      </c>
      <c r="D1367" s="2" t="s">
        <v>1337</v>
      </c>
      <c r="E1367" s="3">
        <v>0</v>
      </c>
      <c r="F1367" s="2">
        <v>2667</v>
      </c>
      <c r="G1367" s="2">
        <v>100</v>
      </c>
      <c r="H1367" s="2">
        <v>541</v>
      </c>
      <c r="I1367" s="2">
        <v>416</v>
      </c>
      <c r="J1367" s="2">
        <v>2038</v>
      </c>
      <c r="K1367" s="2">
        <v>1</v>
      </c>
      <c r="L1367" s="2">
        <v>541</v>
      </c>
    </row>
    <row r="1368" spans="1:12" x14ac:dyDescent="0.25">
      <c r="A1368" s="4" t="str">
        <f>HYPERLINK("http://www.rosaceae.org/Prunus/Prunus_persica/p.persica_gdr_reftransV1_0001170","p.persica_gdr_reftransV1_0001170")</f>
        <v>p.persica_gdr_reftransV1_0001170</v>
      </c>
      <c r="B1368" s="2">
        <v>929</v>
      </c>
      <c r="C1368" s="4" t="str">
        <f>HYPERLINK("http://www.uniprot.org/uniprot/M5XJ88","M5XJ88")</f>
        <v>M5XJ88</v>
      </c>
      <c r="D1368" s="2" t="s">
        <v>1338</v>
      </c>
      <c r="E1368" s="3">
        <v>6.4200000000000004E-157</v>
      </c>
      <c r="F1368" s="2">
        <v>1231</v>
      </c>
      <c r="G1368" s="2">
        <v>100</v>
      </c>
      <c r="H1368" s="2">
        <v>226</v>
      </c>
      <c r="I1368" s="2">
        <v>70</v>
      </c>
      <c r="J1368" s="2">
        <v>747</v>
      </c>
      <c r="K1368" s="2">
        <v>864</v>
      </c>
      <c r="L1368" s="2">
        <v>1089</v>
      </c>
    </row>
    <row r="1369" spans="1:12" x14ac:dyDescent="0.25">
      <c r="A1369" s="4" t="str">
        <f>HYPERLINK("http://www.rosaceae.org/Prunus/Prunus_persica/p.persica_gdr_reftransV1_0001520","p.persica_gdr_reftransV1_0001520")</f>
        <v>p.persica_gdr_reftransV1_0001520</v>
      </c>
      <c r="B1369" s="2">
        <v>740</v>
      </c>
      <c r="C1369" s="4" t="str">
        <f>HYPERLINK("http://www.uniprot.org/uniprot/M5XVK2","M5XVK2")</f>
        <v>M5XVK2</v>
      </c>
      <c r="D1369" s="2" t="s">
        <v>1339</v>
      </c>
      <c r="E1369" s="3">
        <v>1.9499999999999999E-161</v>
      </c>
      <c r="F1369" s="2">
        <v>1223</v>
      </c>
      <c r="G1369" s="2">
        <v>100</v>
      </c>
      <c r="H1369" s="2">
        <v>246</v>
      </c>
      <c r="I1369" s="2">
        <v>3</v>
      </c>
      <c r="J1369" s="2">
        <v>740</v>
      </c>
      <c r="K1369" s="2">
        <v>170</v>
      </c>
      <c r="L1369" s="2">
        <v>415</v>
      </c>
    </row>
    <row r="1370" spans="1:12" x14ac:dyDescent="0.25">
      <c r="A1370" s="4" t="str">
        <f>HYPERLINK("http://www.rosaceae.org/Prunus/Prunus_persica/p.persica_gdr_reftransV1_0002220","p.persica_gdr_reftransV1_0002220")</f>
        <v>p.persica_gdr_reftransV1_0002220</v>
      </c>
      <c r="B1370" s="2">
        <v>1493</v>
      </c>
      <c r="C1370" s="4" t="str">
        <f>HYPERLINK("http://www.uniprot.org/uniprot/M5XR25","M5XR25")</f>
        <v>M5XR25</v>
      </c>
      <c r="D1370" s="2" t="s">
        <v>1340</v>
      </c>
      <c r="E1370" s="3">
        <v>0</v>
      </c>
      <c r="F1370" s="2">
        <v>1823</v>
      </c>
      <c r="G1370" s="2">
        <v>100</v>
      </c>
      <c r="H1370" s="2">
        <v>355</v>
      </c>
      <c r="I1370" s="2">
        <v>170</v>
      </c>
      <c r="J1370" s="2">
        <v>1234</v>
      </c>
      <c r="K1370" s="2">
        <v>1</v>
      </c>
      <c r="L1370" s="2">
        <v>355</v>
      </c>
    </row>
    <row r="1371" spans="1:12" x14ac:dyDescent="0.25">
      <c r="A1371" s="4" t="str">
        <f>HYPERLINK("http://www.rosaceae.org/Prunus/Prunus_persica/p.persica_gdr_reftransV1_0002570","p.persica_gdr_reftransV1_0002570")</f>
        <v>p.persica_gdr_reftransV1_0002570</v>
      </c>
      <c r="B1371" s="2">
        <v>679</v>
      </c>
      <c r="C1371" s="4" t="str">
        <f>HYPERLINK("http://www.uniprot.org/uniprot/M5WZM9","M5WZM9")</f>
        <v>M5WZM9</v>
      </c>
      <c r="D1371" s="2" t="s">
        <v>1341</v>
      </c>
      <c r="E1371" s="3">
        <v>6.2800000000000001E-142</v>
      </c>
      <c r="F1371" s="2">
        <v>1059</v>
      </c>
      <c r="G1371" s="2">
        <v>100</v>
      </c>
      <c r="H1371" s="2">
        <v>200</v>
      </c>
      <c r="I1371" s="2">
        <v>78</v>
      </c>
      <c r="J1371" s="2">
        <v>677</v>
      </c>
      <c r="K1371" s="2">
        <v>134</v>
      </c>
      <c r="L1371" s="2">
        <v>333</v>
      </c>
    </row>
    <row r="1372" spans="1:12" x14ac:dyDescent="0.25">
      <c r="A1372" s="4" t="str">
        <f>HYPERLINK("http://www.rosaceae.org/Prunus/Prunus_persica/p.persica_gdr_reftransV1_0002920","p.persica_gdr_reftransV1_0002920")</f>
        <v>p.persica_gdr_reftransV1_0002920</v>
      </c>
      <c r="B1372" s="2">
        <v>3722</v>
      </c>
      <c r="C1372" s="4" t="str">
        <f>HYPERLINK("http://www.uniprot.org/uniprot/M5XRN0","M5XRN0")</f>
        <v>M5XRN0</v>
      </c>
      <c r="D1372" s="2" t="s">
        <v>1342</v>
      </c>
      <c r="E1372" s="3">
        <v>0</v>
      </c>
      <c r="F1372" s="2">
        <v>4453</v>
      </c>
      <c r="G1372" s="2">
        <v>100</v>
      </c>
      <c r="H1372" s="2">
        <v>1046</v>
      </c>
      <c r="I1372" s="2">
        <v>119</v>
      </c>
      <c r="J1372" s="2">
        <v>3256</v>
      </c>
      <c r="K1372" s="2">
        <v>1</v>
      </c>
      <c r="L1372" s="2">
        <v>1046</v>
      </c>
    </row>
    <row r="1373" spans="1:12" x14ac:dyDescent="0.25">
      <c r="A1373" s="4" t="str">
        <f>HYPERLINK("http://www.rosaceae.org/Prunus/Prunus_persica/p.persica_gdr_reftransV1_0003270","p.persica_gdr_reftransV1_0003270")</f>
        <v>p.persica_gdr_reftransV1_0003270</v>
      </c>
      <c r="B1373" s="2">
        <v>479</v>
      </c>
      <c r="C1373" s="4" t="str">
        <f>HYPERLINK("http://www.uniprot.org/uniprot/M5XRX5","M5XRX5")</f>
        <v>M5XRX5</v>
      </c>
      <c r="D1373" s="2" t="s">
        <v>1343</v>
      </c>
      <c r="E1373" s="3">
        <v>1.4699999999999998E-98</v>
      </c>
      <c r="F1373" s="2">
        <v>769</v>
      </c>
      <c r="G1373" s="2">
        <v>100</v>
      </c>
      <c r="H1373" s="2">
        <v>159</v>
      </c>
      <c r="I1373" s="2">
        <v>2</v>
      </c>
      <c r="J1373" s="2">
        <v>478</v>
      </c>
      <c r="K1373" s="2">
        <v>101</v>
      </c>
      <c r="L1373" s="2">
        <v>259</v>
      </c>
    </row>
    <row r="1374" spans="1:12" x14ac:dyDescent="0.25">
      <c r="A1374" s="4" t="str">
        <f>HYPERLINK("http://www.rosaceae.org/Prunus/Prunus_persica/p.persica_gdr_reftransV1_0003620","p.persica_gdr_reftransV1_0003620")</f>
        <v>p.persica_gdr_reftransV1_0003620</v>
      </c>
      <c r="B1374" s="2">
        <v>1714</v>
      </c>
      <c r="C1374" s="4" t="str">
        <f>HYPERLINK("http://www.uniprot.org/uniprot/M5VZ81","M5VZ81")</f>
        <v>M5VZ81</v>
      </c>
      <c r="D1374" s="2" t="s">
        <v>1344</v>
      </c>
      <c r="E1374" s="3">
        <v>0</v>
      </c>
      <c r="F1374" s="2">
        <v>1106</v>
      </c>
      <c r="G1374" s="2">
        <v>100</v>
      </c>
      <c r="H1374" s="2">
        <v>248</v>
      </c>
      <c r="I1374" s="2">
        <v>126</v>
      </c>
      <c r="J1374" s="2">
        <v>869</v>
      </c>
      <c r="K1374" s="2">
        <v>1</v>
      </c>
      <c r="L1374" s="2">
        <v>248</v>
      </c>
    </row>
    <row r="1375" spans="1:12" x14ac:dyDescent="0.25">
      <c r="A1375" s="4" t="str">
        <f>HYPERLINK("http://www.rosaceae.org/Prunus/Prunus_persica/p.persica_gdr_reftransV1_0003970","p.persica_gdr_reftransV1_0003970")</f>
        <v>p.persica_gdr_reftransV1_0003970</v>
      </c>
      <c r="B1375" s="2">
        <v>821</v>
      </c>
      <c r="C1375" s="4" t="str">
        <f>HYPERLINK("http://www.uniprot.org/uniprot/M5WXB0","M5WXB0")</f>
        <v>M5WXB0</v>
      </c>
      <c r="D1375" s="2" t="s">
        <v>1345</v>
      </c>
      <c r="E1375" s="3">
        <v>8.2399999999999996E-22</v>
      </c>
      <c r="F1375" s="2">
        <v>261</v>
      </c>
      <c r="G1375" s="2">
        <v>81</v>
      </c>
      <c r="H1375" s="2">
        <v>62</v>
      </c>
      <c r="I1375" s="2">
        <v>110</v>
      </c>
      <c r="J1375" s="2">
        <v>295</v>
      </c>
      <c r="K1375" s="2">
        <v>634</v>
      </c>
      <c r="L1375" s="2">
        <v>695</v>
      </c>
    </row>
    <row r="1376" spans="1:12" x14ac:dyDescent="0.25">
      <c r="A1376" s="4" t="str">
        <f>HYPERLINK("http://www.rosaceae.org/Prunus/Prunus_persica/p.persica_gdr_reftransV1_0004320","p.persica_gdr_reftransV1_0004320")</f>
        <v>p.persica_gdr_reftransV1_0004320</v>
      </c>
      <c r="B1376" s="2">
        <v>402</v>
      </c>
      <c r="C1376" s="4" t="str">
        <f>HYPERLINK("http://www.uniprot.org/uniprot/M5VMU8","M5VMU8")</f>
        <v>M5VMU8</v>
      </c>
      <c r="D1376" s="2" t="s">
        <v>1346</v>
      </c>
      <c r="E1376" s="3">
        <v>1.1000000000000001E-66</v>
      </c>
      <c r="F1376" s="2">
        <v>552</v>
      </c>
      <c r="G1376" s="2">
        <v>100</v>
      </c>
      <c r="H1376" s="2">
        <v>117</v>
      </c>
      <c r="I1376" s="2">
        <v>2</v>
      </c>
      <c r="J1376" s="2">
        <v>352</v>
      </c>
      <c r="K1376" s="2">
        <v>15</v>
      </c>
      <c r="L1376" s="2">
        <v>131</v>
      </c>
    </row>
    <row r="1377" spans="1:12" x14ac:dyDescent="0.25">
      <c r="A1377" s="4" t="str">
        <f>HYPERLINK("http://www.rosaceae.org/Prunus/Prunus_persica/p.persica_gdr_reftransV1_0005020","p.persica_gdr_reftransV1_0005020")</f>
        <v>p.persica_gdr_reftransV1_0005020</v>
      </c>
      <c r="B1377" s="2">
        <v>1713</v>
      </c>
      <c r="C1377" s="4" t="str">
        <f>HYPERLINK("http://www.uniprot.org/uniprot/M5WCN2","M5WCN2")</f>
        <v>M5WCN2</v>
      </c>
      <c r="D1377" s="2" t="s">
        <v>1347</v>
      </c>
      <c r="E1377" s="3">
        <v>0</v>
      </c>
      <c r="F1377" s="2">
        <v>2958</v>
      </c>
      <c r="G1377" s="2">
        <v>100</v>
      </c>
      <c r="H1377" s="2">
        <v>571</v>
      </c>
      <c r="I1377" s="2">
        <v>1</v>
      </c>
      <c r="J1377" s="2">
        <v>1713</v>
      </c>
      <c r="K1377" s="2">
        <v>135</v>
      </c>
      <c r="L1377" s="2">
        <v>705</v>
      </c>
    </row>
    <row r="1378" spans="1:12" x14ac:dyDescent="0.25">
      <c r="A1378" s="4" t="str">
        <f>HYPERLINK("http://www.rosaceae.org/Prunus/Prunus_persica/p.persica_gdr_reftransV1_0005370","p.persica_gdr_reftransV1_0005370")</f>
        <v>p.persica_gdr_reftransV1_0005370</v>
      </c>
      <c r="B1378" s="2">
        <v>579</v>
      </c>
      <c r="C1378" s="4" t="str">
        <f>HYPERLINK("http://www.uniprot.org/uniprot/M5WHZ8","M5WHZ8")</f>
        <v>M5WHZ8</v>
      </c>
      <c r="D1378" s="2" t="s">
        <v>1348</v>
      </c>
      <c r="E1378" s="3">
        <v>4.6599999999999998E-139</v>
      </c>
      <c r="F1378" s="2">
        <v>1047</v>
      </c>
      <c r="G1378" s="2">
        <v>100</v>
      </c>
      <c r="H1378" s="2">
        <v>192</v>
      </c>
      <c r="I1378" s="2">
        <v>3</v>
      </c>
      <c r="J1378" s="2">
        <v>578</v>
      </c>
      <c r="K1378" s="2">
        <v>246</v>
      </c>
      <c r="L1378" s="2">
        <v>437</v>
      </c>
    </row>
    <row r="1379" spans="1:12" x14ac:dyDescent="0.25">
      <c r="A1379" s="4" t="str">
        <f>HYPERLINK("http://www.rosaceae.org/Prunus/Prunus_persica/p.persica_gdr_reftransV1_0005720","p.persica_gdr_reftransV1_0005720")</f>
        <v>p.persica_gdr_reftransV1_0005720</v>
      </c>
      <c r="B1379" s="2">
        <v>319</v>
      </c>
      <c r="C1379" s="4" t="str">
        <f>HYPERLINK("http://www.uniprot.org/uniprot/M5XW88","M5XW88")</f>
        <v>M5XW88</v>
      </c>
      <c r="D1379" s="2" t="s">
        <v>1349</v>
      </c>
      <c r="E1379" s="3">
        <v>3.58E-71</v>
      </c>
      <c r="F1379" s="2">
        <v>568</v>
      </c>
      <c r="G1379" s="2">
        <v>100</v>
      </c>
      <c r="H1379" s="2">
        <v>106</v>
      </c>
      <c r="I1379" s="2">
        <v>1</v>
      </c>
      <c r="J1379" s="2">
        <v>318</v>
      </c>
      <c r="K1379" s="2">
        <v>98</v>
      </c>
      <c r="L1379" s="2">
        <v>203</v>
      </c>
    </row>
    <row r="1380" spans="1:12" x14ac:dyDescent="0.25">
      <c r="A1380" s="4" t="str">
        <f>HYPERLINK("http://www.rosaceae.org/Prunus/Prunus_persica/p.persica_gdr_reftransV1_0006070","p.persica_gdr_reftransV1_0006070")</f>
        <v>p.persica_gdr_reftransV1_0006070</v>
      </c>
      <c r="B1380" s="2">
        <v>820</v>
      </c>
      <c r="C1380" s="4" t="str">
        <f>HYPERLINK("http://www.uniprot.org/uniprot/Q2QXM6","Q2QXM6")</f>
        <v>Q2QXM6</v>
      </c>
      <c r="D1380" s="2" t="s">
        <v>1350</v>
      </c>
      <c r="E1380" s="3">
        <v>1.9599999999999999E-85</v>
      </c>
      <c r="F1380" s="2">
        <v>734</v>
      </c>
      <c r="G1380" s="2">
        <v>72</v>
      </c>
      <c r="H1380" s="2">
        <v>183</v>
      </c>
      <c r="I1380" s="2">
        <v>271</v>
      </c>
      <c r="J1380" s="2">
        <v>819</v>
      </c>
      <c r="K1380" s="2">
        <v>629</v>
      </c>
      <c r="L1380" s="2">
        <v>811</v>
      </c>
    </row>
    <row r="1381" spans="1:12" x14ac:dyDescent="0.25">
      <c r="A1381" s="4" t="str">
        <f>HYPERLINK("http://www.rosaceae.org/Prunus/Prunus_persica/p.persica_gdr_reftransV1_0006420","p.persica_gdr_reftransV1_0006420")</f>
        <v>p.persica_gdr_reftransV1_0006420</v>
      </c>
      <c r="B1381" s="2">
        <v>836</v>
      </c>
      <c r="C1381" s="4" t="str">
        <f>HYPERLINK("http://www.uniprot.org/uniprot/M5XN73","M5XN73")</f>
        <v>M5XN73</v>
      </c>
      <c r="D1381" s="2" t="s">
        <v>1351</v>
      </c>
      <c r="E1381" s="3">
        <v>8.5600000000000002E-137</v>
      </c>
      <c r="F1381" s="2">
        <v>926</v>
      </c>
      <c r="G1381" s="2">
        <v>90</v>
      </c>
      <c r="H1381" s="2">
        <v>186</v>
      </c>
      <c r="I1381" s="2">
        <v>4</v>
      </c>
      <c r="J1381" s="2">
        <v>561</v>
      </c>
      <c r="K1381" s="2">
        <v>395</v>
      </c>
      <c r="L1381" s="2">
        <v>580</v>
      </c>
    </row>
    <row r="1382" spans="1:12" x14ac:dyDescent="0.25">
      <c r="A1382" s="4" t="str">
        <f>HYPERLINK("http://www.rosaceae.org/Prunus/Prunus_persica/p.persica_gdr_reftransV1_0006770","p.persica_gdr_reftransV1_0006770")</f>
        <v>p.persica_gdr_reftransV1_0006770</v>
      </c>
      <c r="B1382" s="2">
        <v>542</v>
      </c>
      <c r="C1382" s="4" t="str">
        <f>HYPERLINK("http://www.uniprot.org/uniprot/M5W0K6","M5W0K6")</f>
        <v>M5W0K6</v>
      </c>
      <c r="D1382" s="2" t="s">
        <v>1352</v>
      </c>
      <c r="E1382" s="3">
        <v>5.9700000000000001E-62</v>
      </c>
      <c r="F1382" s="2">
        <v>554</v>
      </c>
      <c r="G1382" s="2">
        <v>62</v>
      </c>
      <c r="H1382" s="2">
        <v>170</v>
      </c>
      <c r="I1382" s="2">
        <v>13</v>
      </c>
      <c r="J1382" s="2">
        <v>522</v>
      </c>
      <c r="K1382" s="2">
        <v>295</v>
      </c>
      <c r="L1382" s="2">
        <v>464</v>
      </c>
    </row>
    <row r="1383" spans="1:12" x14ac:dyDescent="0.25">
      <c r="A1383" s="4" t="str">
        <f>HYPERLINK("http://www.rosaceae.org/Prunus/Prunus_persica/p.persica_gdr_reftransV1_0007120","p.persica_gdr_reftransV1_0007120")</f>
        <v>p.persica_gdr_reftransV1_0007120</v>
      </c>
      <c r="B1383" s="2">
        <v>759</v>
      </c>
      <c r="C1383" s="4" t="str">
        <f>HYPERLINK("http://www.uniprot.org/uniprot/M5XRJ0","M5XRJ0")</f>
        <v>M5XRJ0</v>
      </c>
      <c r="D1383" s="2" t="s">
        <v>1353</v>
      </c>
      <c r="E1383" s="3">
        <v>1.12E-47</v>
      </c>
      <c r="F1383" s="2">
        <v>418</v>
      </c>
      <c r="G1383" s="2">
        <v>100</v>
      </c>
      <c r="H1383" s="2">
        <v>123</v>
      </c>
      <c r="I1383" s="2">
        <v>200</v>
      </c>
      <c r="J1383" s="2">
        <v>568</v>
      </c>
      <c r="K1383" s="2">
        <v>1</v>
      </c>
      <c r="L1383" s="2">
        <v>123</v>
      </c>
    </row>
    <row r="1384" spans="1:12" x14ac:dyDescent="0.25">
      <c r="A1384" s="4" t="str">
        <f>HYPERLINK("http://www.rosaceae.org/Prunus/Prunus_persica/p.persica_gdr_reftransV1_0007820","p.persica_gdr_reftransV1_0007820")</f>
        <v>p.persica_gdr_reftransV1_0007820</v>
      </c>
      <c r="B1384" s="2">
        <v>2631</v>
      </c>
      <c r="C1384" s="4" t="str">
        <f>HYPERLINK("http://www.uniprot.org/uniprot/M5X5U4","M5X5U4")</f>
        <v>M5X5U4</v>
      </c>
      <c r="D1384" s="2" t="s">
        <v>1354</v>
      </c>
      <c r="E1384" s="3">
        <v>0</v>
      </c>
      <c r="F1384" s="2">
        <v>2052</v>
      </c>
      <c r="G1384" s="2">
        <v>100</v>
      </c>
      <c r="H1384" s="2">
        <v>387</v>
      </c>
      <c r="I1384" s="2">
        <v>1332</v>
      </c>
      <c r="J1384" s="2">
        <v>2492</v>
      </c>
      <c r="K1384" s="2">
        <v>326</v>
      </c>
      <c r="L1384" s="2">
        <v>712</v>
      </c>
    </row>
    <row r="1385" spans="1:12" x14ac:dyDescent="0.25">
      <c r="A1385" s="4" t="str">
        <f>HYPERLINK("http://www.rosaceae.org/Prunus/Prunus_persica/p.persica_gdr_reftransV1_0008520","p.persica_gdr_reftransV1_0008520")</f>
        <v>p.persica_gdr_reftransV1_0008520</v>
      </c>
      <c r="B1385" s="2">
        <v>4528</v>
      </c>
      <c r="C1385" s="4" t="str">
        <f>HYPERLINK("http://www.uniprot.org/uniprot/M5WQK7","M5WQK7")</f>
        <v>M5WQK7</v>
      </c>
      <c r="D1385" s="2" t="s">
        <v>1355</v>
      </c>
      <c r="E1385" s="3">
        <v>1.2299999999999999E-147</v>
      </c>
      <c r="F1385" s="2">
        <v>1259</v>
      </c>
      <c r="G1385" s="2">
        <v>100</v>
      </c>
      <c r="H1385" s="2">
        <v>221</v>
      </c>
      <c r="I1385" s="2">
        <v>447</v>
      </c>
      <c r="J1385" s="2">
        <v>1109</v>
      </c>
      <c r="K1385" s="2">
        <v>777</v>
      </c>
      <c r="L1385" s="2">
        <v>997</v>
      </c>
    </row>
    <row r="1386" spans="1:12" x14ac:dyDescent="0.25">
      <c r="A1386" s="4" t="str">
        <f>HYPERLINK("http://www.rosaceae.org/Prunus/Prunus_persica/p.persica_gdr_reftransV1_0008870","p.persica_gdr_reftransV1_0008870")</f>
        <v>p.persica_gdr_reftransV1_0008870</v>
      </c>
      <c r="B1386" s="2">
        <v>1045</v>
      </c>
      <c r="C1386" s="4" t="str">
        <f>HYPERLINK("http://www.uniprot.org/uniprot/M5WVE4","M5WVE4")</f>
        <v>M5WVE4</v>
      </c>
      <c r="D1386" s="2" t="s">
        <v>1356</v>
      </c>
      <c r="E1386" s="3">
        <v>3.4300000000000001E-132</v>
      </c>
      <c r="F1386" s="2">
        <v>994</v>
      </c>
      <c r="G1386" s="2">
        <v>100</v>
      </c>
      <c r="H1386" s="2">
        <v>189</v>
      </c>
      <c r="I1386" s="2">
        <v>149</v>
      </c>
      <c r="J1386" s="2">
        <v>715</v>
      </c>
      <c r="K1386" s="2">
        <v>1</v>
      </c>
      <c r="L1386" s="2">
        <v>189</v>
      </c>
    </row>
    <row r="1387" spans="1:12" x14ac:dyDescent="0.25">
      <c r="A1387" s="4" t="str">
        <f>HYPERLINK("http://www.rosaceae.org/Prunus/Prunus_persica/p.persica_gdr_reftransV1_0009570","p.persica_gdr_reftransV1_0009570")</f>
        <v>p.persica_gdr_reftransV1_0009570</v>
      </c>
      <c r="B1387" s="2">
        <v>657</v>
      </c>
      <c r="C1387" s="4" t="str">
        <f>HYPERLINK("http://www.uniprot.org/uniprot/M5XRN9","M5XRN9")</f>
        <v>M5XRN9</v>
      </c>
      <c r="D1387" s="2" t="s">
        <v>1357</v>
      </c>
      <c r="E1387" s="3">
        <v>1.0899999999999999E-114</v>
      </c>
      <c r="F1387" s="2">
        <v>896</v>
      </c>
      <c r="G1387" s="2">
        <v>100</v>
      </c>
      <c r="H1387" s="2">
        <v>181</v>
      </c>
      <c r="I1387" s="2">
        <v>114</v>
      </c>
      <c r="J1387" s="2">
        <v>656</v>
      </c>
      <c r="K1387" s="2">
        <v>1</v>
      </c>
      <c r="L1387" s="2">
        <v>181</v>
      </c>
    </row>
    <row r="1388" spans="1:12" x14ac:dyDescent="0.25">
      <c r="A1388" s="4" t="str">
        <f>HYPERLINK("http://www.rosaceae.org/Prunus/Prunus_persica/p.persica_gdr_reftransV1_0010270","p.persica_gdr_reftransV1_0010270")</f>
        <v>p.persica_gdr_reftransV1_0010270</v>
      </c>
      <c r="B1388" s="2">
        <v>1032</v>
      </c>
      <c r="C1388" s="4" t="str">
        <f>HYPERLINK("http://www.uniprot.org/uniprot/A0A0B0MLM9","A0A0B0MLM9")</f>
        <v>A0A0B0MLM9</v>
      </c>
      <c r="D1388" s="2" t="s">
        <v>1358</v>
      </c>
      <c r="E1388" s="3">
        <v>7.6200000000000005E-101</v>
      </c>
      <c r="F1388" s="2">
        <v>782</v>
      </c>
      <c r="G1388" s="2">
        <v>99</v>
      </c>
      <c r="H1388" s="2">
        <v>152</v>
      </c>
      <c r="I1388" s="2">
        <v>146</v>
      </c>
      <c r="J1388" s="2">
        <v>601</v>
      </c>
      <c r="K1388" s="2">
        <v>1</v>
      </c>
      <c r="L1388" s="2">
        <v>152</v>
      </c>
    </row>
    <row r="1389" spans="1:12" x14ac:dyDescent="0.25">
      <c r="A1389" s="4" t="str">
        <f>HYPERLINK("http://www.rosaceae.org/Prunus/Prunus_persica/p.persica_gdr_reftransV1_0010620","p.persica_gdr_reftransV1_0010620")</f>
        <v>p.persica_gdr_reftransV1_0010620</v>
      </c>
      <c r="B1389" s="2">
        <v>431</v>
      </c>
      <c r="C1389" s="4" t="str">
        <f>HYPERLINK("http://www.uniprot.org/uniprot/M5WBX7","M5WBX7")</f>
        <v>M5WBX7</v>
      </c>
      <c r="D1389" s="2" t="s">
        <v>1359</v>
      </c>
      <c r="E1389" s="3">
        <v>4.2200000000000001E-87</v>
      </c>
      <c r="F1389" s="2">
        <v>707</v>
      </c>
      <c r="G1389" s="2">
        <v>100</v>
      </c>
      <c r="H1389" s="2">
        <v>139</v>
      </c>
      <c r="I1389" s="2">
        <v>13</v>
      </c>
      <c r="J1389" s="2">
        <v>429</v>
      </c>
      <c r="K1389" s="2">
        <v>1</v>
      </c>
      <c r="L1389" s="2">
        <v>139</v>
      </c>
    </row>
    <row r="1390" spans="1:12" x14ac:dyDescent="0.25">
      <c r="A1390" s="4" t="str">
        <f>HYPERLINK("http://www.rosaceae.org/Prunus/Prunus_persica/p.persica_gdr_reftransV1_0011670","p.persica_gdr_reftransV1_0011670")</f>
        <v>p.persica_gdr_reftransV1_0011670</v>
      </c>
      <c r="B1390" s="2">
        <v>1128</v>
      </c>
      <c r="C1390" s="4" t="str">
        <f>HYPERLINK("http://www.uniprot.org/uniprot/M5X2L8","M5X2L8")</f>
        <v>M5X2L8</v>
      </c>
      <c r="D1390" s="2" t="s">
        <v>1360</v>
      </c>
      <c r="E1390" s="3">
        <v>2.2399999999999999E-132</v>
      </c>
      <c r="F1390" s="2">
        <v>998</v>
      </c>
      <c r="G1390" s="2">
        <v>99</v>
      </c>
      <c r="H1390" s="2">
        <v>190</v>
      </c>
      <c r="I1390" s="2">
        <v>456</v>
      </c>
      <c r="J1390" s="2">
        <v>1025</v>
      </c>
      <c r="K1390" s="2">
        <v>1</v>
      </c>
      <c r="L1390" s="2">
        <v>190</v>
      </c>
    </row>
    <row r="1391" spans="1:12" x14ac:dyDescent="0.25">
      <c r="A1391" s="4" t="str">
        <f>HYPERLINK("http://www.rosaceae.org/Prunus/Prunus_persica/p.persica_gdr_reftransV1_0013070","p.persica_gdr_reftransV1_0013070")</f>
        <v>p.persica_gdr_reftransV1_0013070</v>
      </c>
      <c r="B1391" s="2">
        <v>3050</v>
      </c>
      <c r="C1391" s="4" t="str">
        <f>HYPERLINK("http://www.uniprot.org/uniprot/M5WS06","M5WS06")</f>
        <v>M5WS06</v>
      </c>
      <c r="D1391" s="2" t="s">
        <v>1361</v>
      </c>
      <c r="E1391" s="3">
        <v>0</v>
      </c>
      <c r="F1391" s="2">
        <v>1869</v>
      </c>
      <c r="G1391" s="2">
        <v>98</v>
      </c>
      <c r="H1391" s="2">
        <v>387</v>
      </c>
      <c r="I1391" s="2">
        <v>448</v>
      </c>
      <c r="J1391" s="2">
        <v>1608</v>
      </c>
      <c r="K1391" s="2">
        <v>1</v>
      </c>
      <c r="L1391" s="2">
        <v>387</v>
      </c>
    </row>
    <row r="1392" spans="1:12" x14ac:dyDescent="0.25">
      <c r="A1392" s="4" t="str">
        <f>HYPERLINK("http://www.rosaceae.org/Prunus/Prunus_persica/p.persica_gdr_reftransV1_0013770","p.persica_gdr_reftransV1_0013770")</f>
        <v>p.persica_gdr_reftransV1_0013770</v>
      </c>
      <c r="B1392" s="2">
        <v>1798</v>
      </c>
      <c r="C1392" s="4" t="str">
        <f>HYPERLINK("http://www.uniprot.org/uniprot/M5VJ47","M5VJ47")</f>
        <v>M5VJ47</v>
      </c>
      <c r="D1392" s="2" t="s">
        <v>1362</v>
      </c>
      <c r="E1392" s="3">
        <v>4.4399999999999999E-92</v>
      </c>
      <c r="F1392" s="2">
        <v>768</v>
      </c>
      <c r="G1392" s="2">
        <v>100</v>
      </c>
      <c r="H1392" s="2">
        <v>152</v>
      </c>
      <c r="I1392" s="2">
        <v>1</v>
      </c>
      <c r="J1392" s="2">
        <v>456</v>
      </c>
      <c r="K1392" s="2">
        <v>210</v>
      </c>
      <c r="L1392" s="2">
        <v>361</v>
      </c>
    </row>
    <row r="1393" spans="1:12" x14ac:dyDescent="0.25">
      <c r="A1393" s="4" t="str">
        <f>HYPERLINK("http://www.rosaceae.org/Prunus/Prunus_persica/p.persica_gdr_reftransV1_0014470","p.persica_gdr_reftransV1_0014470")</f>
        <v>p.persica_gdr_reftransV1_0014470</v>
      </c>
      <c r="B1393" s="2">
        <v>2139</v>
      </c>
      <c r="C1393" s="4" t="str">
        <f>HYPERLINK("http://www.uniprot.org/uniprot/M5WSA5","M5WSA5")</f>
        <v>M5WSA5</v>
      </c>
      <c r="D1393" s="2" t="s">
        <v>1363</v>
      </c>
      <c r="E1393" s="3">
        <v>0</v>
      </c>
      <c r="F1393" s="2">
        <v>2948</v>
      </c>
      <c r="G1393" s="2">
        <v>99</v>
      </c>
      <c r="H1393" s="2">
        <v>566</v>
      </c>
      <c r="I1393" s="2">
        <v>222</v>
      </c>
      <c r="J1393" s="2">
        <v>1919</v>
      </c>
      <c r="K1393" s="2">
        <v>12</v>
      </c>
      <c r="L1393" s="2">
        <v>577</v>
      </c>
    </row>
    <row r="1394" spans="1:12" x14ac:dyDescent="0.25">
      <c r="A1394" s="4" t="str">
        <f>HYPERLINK("http://www.rosaceae.org/Prunus/Prunus_persica/p.persica_gdr_reftransV1_0016920","p.persica_gdr_reftransV1_0016920")</f>
        <v>p.persica_gdr_reftransV1_0016920</v>
      </c>
      <c r="B1394" s="2">
        <v>1952</v>
      </c>
      <c r="C1394" s="4" t="str">
        <f>HYPERLINK("http://www.uniprot.org/uniprot/M5XDB8","M5XDB8")</f>
        <v>M5XDB8</v>
      </c>
      <c r="D1394" s="2" t="s">
        <v>1364</v>
      </c>
      <c r="E1394" s="3">
        <v>0</v>
      </c>
      <c r="F1394" s="2">
        <v>1782</v>
      </c>
      <c r="G1394" s="2">
        <v>100</v>
      </c>
      <c r="H1394" s="2">
        <v>348</v>
      </c>
      <c r="I1394" s="2">
        <v>744</v>
      </c>
      <c r="J1394" s="2">
        <v>1787</v>
      </c>
      <c r="K1394" s="2">
        <v>62</v>
      </c>
      <c r="L1394" s="2">
        <v>409</v>
      </c>
    </row>
    <row r="1395" spans="1:12" x14ac:dyDescent="0.25">
      <c r="A1395" s="4" t="str">
        <f>HYPERLINK("http://www.rosaceae.org/Prunus/Prunus_persica/p.persica_gdr_reftransV1_0019370","p.persica_gdr_reftransV1_0019370")</f>
        <v>p.persica_gdr_reftransV1_0019370</v>
      </c>
      <c r="B1395" s="2">
        <v>2065</v>
      </c>
      <c r="C1395" s="4" t="str">
        <f>HYPERLINK("http://www.uniprot.org/uniprot/K7M8X1","K7M8X1")</f>
        <v>K7M8X1</v>
      </c>
      <c r="D1395" s="2" t="s">
        <v>575</v>
      </c>
      <c r="E1395" s="3">
        <v>1.11E-145</v>
      </c>
      <c r="F1395" s="2">
        <v>720</v>
      </c>
      <c r="G1395" s="2">
        <v>65</v>
      </c>
      <c r="H1395" s="2">
        <v>271</v>
      </c>
      <c r="I1395" s="2">
        <v>931</v>
      </c>
      <c r="J1395" s="2">
        <v>1743</v>
      </c>
      <c r="K1395" s="2">
        <v>1</v>
      </c>
      <c r="L1395" s="2">
        <v>270</v>
      </c>
    </row>
    <row r="1396" spans="1:12" x14ac:dyDescent="0.25">
      <c r="A1396" s="4" t="str">
        <f>HYPERLINK("http://www.rosaceae.org/Prunus/Prunus_persica/p.persica_gdr_reftransV1_0020070","p.persica_gdr_reftransV1_0020070")</f>
        <v>p.persica_gdr_reftransV1_0020070</v>
      </c>
      <c r="B1396" s="2">
        <v>5124</v>
      </c>
      <c r="C1396" s="4" t="str">
        <f>HYPERLINK("http://www.uniprot.org/uniprot/M5WEE2","M5WEE2")</f>
        <v>M5WEE2</v>
      </c>
      <c r="D1396" s="2" t="s">
        <v>1365</v>
      </c>
      <c r="E1396" s="3">
        <v>0</v>
      </c>
      <c r="F1396" s="2">
        <v>2466</v>
      </c>
      <c r="G1396" s="2">
        <v>100</v>
      </c>
      <c r="H1396" s="2">
        <v>473</v>
      </c>
      <c r="I1396" s="2">
        <v>265</v>
      </c>
      <c r="J1396" s="2">
        <v>1683</v>
      </c>
      <c r="K1396" s="2">
        <v>1</v>
      </c>
      <c r="L1396" s="2">
        <v>473</v>
      </c>
    </row>
    <row r="1397" spans="1:12" x14ac:dyDescent="0.25">
      <c r="A1397" s="4" t="str">
        <f>HYPERLINK("http://www.rosaceae.org/Prunus/Prunus_persica/p.persica_gdr_reftransV1_0020420","p.persica_gdr_reftransV1_0020420")</f>
        <v>p.persica_gdr_reftransV1_0020420</v>
      </c>
      <c r="B1397" s="2">
        <v>2757</v>
      </c>
      <c r="C1397" s="4" t="str">
        <f>HYPERLINK("http://www.uniprot.org/uniprot/M5WMX2","M5WMX2")</f>
        <v>M5WMX2</v>
      </c>
      <c r="D1397" s="2" t="s">
        <v>1366</v>
      </c>
      <c r="E1397" s="3">
        <v>0</v>
      </c>
      <c r="F1397" s="2">
        <v>2521</v>
      </c>
      <c r="G1397" s="2">
        <v>93</v>
      </c>
      <c r="H1397" s="2">
        <v>595</v>
      </c>
      <c r="I1397" s="2">
        <v>792</v>
      </c>
      <c r="J1397" s="2">
        <v>2576</v>
      </c>
      <c r="K1397" s="2">
        <v>1</v>
      </c>
      <c r="L1397" s="2">
        <v>553</v>
      </c>
    </row>
    <row r="1398" spans="1:12" x14ac:dyDescent="0.25">
      <c r="A1398" s="4" t="str">
        <f>HYPERLINK("http://www.rosaceae.org/Prunus/Prunus_persica/p.persica_gdr_reftransV1_0021120","p.persica_gdr_reftransV1_0021120")</f>
        <v>p.persica_gdr_reftransV1_0021120</v>
      </c>
      <c r="B1398" s="2">
        <v>2473</v>
      </c>
      <c r="C1398" s="4" t="str">
        <f>HYPERLINK("http://www.uniprot.org/uniprot/M5X0B9","M5X0B9")</f>
        <v>M5X0B9</v>
      </c>
      <c r="D1398" s="2" t="s">
        <v>1367</v>
      </c>
      <c r="E1398" s="3">
        <v>3.0100000000000001E-16</v>
      </c>
      <c r="F1398" s="2">
        <v>220</v>
      </c>
      <c r="G1398" s="2">
        <v>100</v>
      </c>
      <c r="H1398" s="2">
        <v>37</v>
      </c>
      <c r="I1398" s="2">
        <v>175</v>
      </c>
      <c r="J1398" s="2">
        <v>285</v>
      </c>
      <c r="K1398" s="2">
        <v>1</v>
      </c>
      <c r="L1398" s="2">
        <v>37</v>
      </c>
    </row>
    <row r="1399" spans="1:12" x14ac:dyDescent="0.25">
      <c r="A1399" s="4" t="str">
        <f>HYPERLINK("http://www.rosaceae.org/Prunus/Prunus_persica/p.persica_gdr_reftransV1_0021470","p.persica_gdr_reftransV1_0021470")</f>
        <v>p.persica_gdr_reftransV1_0021470</v>
      </c>
      <c r="B1399" s="2">
        <v>982</v>
      </c>
      <c r="C1399" s="4" t="str">
        <f>HYPERLINK("http://www.uniprot.org/uniprot/M5WY19","M5WY19")</f>
        <v>M5WY19</v>
      </c>
      <c r="D1399" s="2" t="s">
        <v>1368</v>
      </c>
      <c r="E1399" s="3">
        <v>6.3499999999999996E-72</v>
      </c>
      <c r="F1399" s="2">
        <v>616</v>
      </c>
      <c r="G1399" s="2">
        <v>98</v>
      </c>
      <c r="H1399" s="2">
        <v>117</v>
      </c>
      <c r="I1399" s="2">
        <v>191</v>
      </c>
      <c r="J1399" s="2">
        <v>541</v>
      </c>
      <c r="K1399" s="2">
        <v>1</v>
      </c>
      <c r="L1399" s="2">
        <v>117</v>
      </c>
    </row>
    <row r="1400" spans="1:12" x14ac:dyDescent="0.25">
      <c r="A1400" s="4" t="str">
        <f>HYPERLINK("http://www.rosaceae.org/Prunus/Prunus_persica/p.persica_gdr_reftransV1_0022170","p.persica_gdr_reftransV1_0022170")</f>
        <v>p.persica_gdr_reftransV1_0022170</v>
      </c>
      <c r="B1400" s="2">
        <v>2213</v>
      </c>
      <c r="C1400" s="4" t="str">
        <f>HYPERLINK("http://www.uniprot.org/uniprot/M5XPC2","M5XPC2")</f>
        <v>M5XPC2</v>
      </c>
      <c r="D1400" s="2" t="s">
        <v>1369</v>
      </c>
      <c r="E1400" s="3">
        <v>0</v>
      </c>
      <c r="F1400" s="2">
        <v>1394</v>
      </c>
      <c r="G1400" s="2">
        <v>100</v>
      </c>
      <c r="H1400" s="2">
        <v>290</v>
      </c>
      <c r="I1400" s="2">
        <v>1082</v>
      </c>
      <c r="J1400" s="2">
        <v>1951</v>
      </c>
      <c r="K1400" s="2">
        <v>1</v>
      </c>
      <c r="L1400" s="2">
        <v>290</v>
      </c>
    </row>
    <row r="1401" spans="1:12" x14ac:dyDescent="0.25">
      <c r="A1401" s="4" t="str">
        <f>HYPERLINK("http://www.rosaceae.org/Prunus/Prunus_persica/p.persica_gdr_reftransV1_0022520","p.persica_gdr_reftransV1_0022520")</f>
        <v>p.persica_gdr_reftransV1_0022520</v>
      </c>
      <c r="B1401" s="2">
        <v>827</v>
      </c>
      <c r="C1401" s="4" t="str">
        <f>HYPERLINK("http://www.uniprot.org/uniprot/M5XB29","M5XB29")</f>
        <v>M5XB29</v>
      </c>
      <c r="D1401" s="2" t="s">
        <v>1370</v>
      </c>
      <c r="E1401" s="3">
        <v>7.2799999999999997E-122</v>
      </c>
      <c r="F1401" s="2">
        <v>916</v>
      </c>
      <c r="G1401" s="2">
        <v>100</v>
      </c>
      <c r="H1401" s="2">
        <v>174</v>
      </c>
      <c r="I1401" s="2">
        <v>182</v>
      </c>
      <c r="J1401" s="2">
        <v>703</v>
      </c>
      <c r="K1401" s="2">
        <v>1</v>
      </c>
      <c r="L1401" s="2">
        <v>174</v>
      </c>
    </row>
    <row r="1402" spans="1:12" x14ac:dyDescent="0.25">
      <c r="A1402" s="4" t="str">
        <f>HYPERLINK("http://www.rosaceae.org/Prunus/Prunus_persica/p.persica_gdr_reftransV1_0023920","p.persica_gdr_reftransV1_0023920")</f>
        <v>p.persica_gdr_reftransV1_0023920</v>
      </c>
      <c r="B1402" s="2">
        <v>1556</v>
      </c>
      <c r="C1402" s="4" t="str">
        <f>HYPERLINK("http://www.uniprot.org/uniprot/M5X0Q5","M5X0Q5")</f>
        <v>M5X0Q5</v>
      </c>
      <c r="D1402" s="2" t="s">
        <v>1371</v>
      </c>
      <c r="E1402" s="3">
        <v>0</v>
      </c>
      <c r="F1402" s="2">
        <v>1908</v>
      </c>
      <c r="G1402" s="2">
        <v>100</v>
      </c>
      <c r="H1402" s="2">
        <v>378</v>
      </c>
      <c r="I1402" s="2">
        <v>64</v>
      </c>
      <c r="J1402" s="2">
        <v>1197</v>
      </c>
      <c r="K1402" s="2">
        <v>1</v>
      </c>
      <c r="L1402" s="2">
        <v>378</v>
      </c>
    </row>
    <row r="1403" spans="1:12" x14ac:dyDescent="0.25">
      <c r="A1403" s="4" t="str">
        <f>HYPERLINK("http://www.rosaceae.org/Prunus/Prunus_persica/p.persica_gdr_reftransV1_0024270","p.persica_gdr_reftransV1_0024270")</f>
        <v>p.persica_gdr_reftransV1_0024270</v>
      </c>
      <c r="B1403" s="2">
        <v>993</v>
      </c>
      <c r="C1403" s="4" t="str">
        <f>HYPERLINK("http://www.uniprot.org/uniprot/M5XT39","M5XT39")</f>
        <v>M5XT39</v>
      </c>
      <c r="D1403" s="2" t="s">
        <v>1372</v>
      </c>
      <c r="E1403" s="3">
        <v>1.29E-129</v>
      </c>
      <c r="F1403" s="2">
        <v>974</v>
      </c>
      <c r="G1403" s="2">
        <v>100</v>
      </c>
      <c r="H1403" s="2">
        <v>183</v>
      </c>
      <c r="I1403" s="2">
        <v>373</v>
      </c>
      <c r="J1403" s="2">
        <v>921</v>
      </c>
      <c r="K1403" s="2">
        <v>1</v>
      </c>
      <c r="L1403" s="2">
        <v>183</v>
      </c>
    </row>
    <row r="1404" spans="1:12" x14ac:dyDescent="0.25">
      <c r="A1404" s="4" t="str">
        <f>HYPERLINK("http://www.rosaceae.org/Prunus/Prunus_persica/p.persica_gdr_reftransV1_0026370","p.persica_gdr_reftransV1_0026370")</f>
        <v>p.persica_gdr_reftransV1_0026370</v>
      </c>
      <c r="B1404" s="2">
        <v>3097</v>
      </c>
      <c r="C1404" s="4" t="str">
        <f>HYPERLINK("http://www.uniprot.org/uniprot/M5XIE7","M5XIE7")</f>
        <v>M5XIE7</v>
      </c>
      <c r="D1404" s="2" t="s">
        <v>1373</v>
      </c>
      <c r="E1404" s="3">
        <v>0</v>
      </c>
      <c r="F1404" s="2">
        <v>5276</v>
      </c>
      <c r="G1404" s="2">
        <v>100</v>
      </c>
      <c r="H1404" s="2">
        <v>994</v>
      </c>
      <c r="I1404" s="2">
        <v>117</v>
      </c>
      <c r="J1404" s="2">
        <v>3095</v>
      </c>
      <c r="K1404" s="2">
        <v>44</v>
      </c>
      <c r="L1404" s="2">
        <v>1037</v>
      </c>
    </row>
    <row r="1405" spans="1:12" x14ac:dyDescent="0.25">
      <c r="A1405" s="4" t="str">
        <f>HYPERLINK("http://www.rosaceae.org/Prunus/Prunus_persica/p.persica_gdr_reftransV1_0029870","p.persica_gdr_reftransV1_0029870")</f>
        <v>p.persica_gdr_reftransV1_0029870</v>
      </c>
      <c r="B1405" s="2">
        <v>1024</v>
      </c>
      <c r="C1405" s="4" t="str">
        <f>HYPERLINK("http://www.uniprot.org/uniprot/M5W542","M5W542")</f>
        <v>M5W542</v>
      </c>
      <c r="D1405" s="2" t="s">
        <v>1374</v>
      </c>
      <c r="E1405" s="3">
        <v>1.26E-23</v>
      </c>
      <c r="F1405" s="2">
        <v>261</v>
      </c>
      <c r="G1405" s="2">
        <v>41</v>
      </c>
      <c r="H1405" s="2">
        <v>171</v>
      </c>
      <c r="I1405" s="2">
        <v>117</v>
      </c>
      <c r="J1405" s="2">
        <v>617</v>
      </c>
      <c r="K1405" s="2">
        <v>1</v>
      </c>
      <c r="L1405" s="2">
        <v>159</v>
      </c>
    </row>
    <row r="1406" spans="1:12" x14ac:dyDescent="0.25">
      <c r="A1406" s="4" t="str">
        <f>HYPERLINK("http://www.rosaceae.org/Prunus/Prunus_persica/p.persica_gdr_reftransV1_0030220","p.persica_gdr_reftransV1_0030220")</f>
        <v>p.persica_gdr_reftransV1_0030220</v>
      </c>
      <c r="B1406" s="2">
        <v>1588</v>
      </c>
      <c r="C1406" s="4" t="str">
        <f>HYPERLINK("http://www.uniprot.org/uniprot/M5XDA1","M5XDA1")</f>
        <v>M5XDA1</v>
      </c>
      <c r="D1406" s="2" t="s">
        <v>1375</v>
      </c>
      <c r="E1406" s="3">
        <v>0</v>
      </c>
      <c r="F1406" s="2">
        <v>1737</v>
      </c>
      <c r="G1406" s="2">
        <v>89</v>
      </c>
      <c r="H1406" s="2">
        <v>379</v>
      </c>
      <c r="I1406" s="2">
        <v>99</v>
      </c>
      <c r="J1406" s="2">
        <v>1235</v>
      </c>
      <c r="K1406" s="2">
        <v>1</v>
      </c>
      <c r="L1406" s="2">
        <v>337</v>
      </c>
    </row>
    <row r="1407" spans="1:12" x14ac:dyDescent="0.25">
      <c r="A1407" s="4" t="str">
        <f>HYPERLINK("http://www.rosaceae.org/Prunus/Prunus_persica/p.persica_gdr_reftransV1_0031270","p.persica_gdr_reftransV1_0031270")</f>
        <v>p.persica_gdr_reftransV1_0031270</v>
      </c>
      <c r="B1407" s="2">
        <v>3141</v>
      </c>
      <c r="C1407" s="4" t="str">
        <f>HYPERLINK("http://www.uniprot.org/uniprot/M5XSH3","M5XSH3")</f>
        <v>M5XSH3</v>
      </c>
      <c r="D1407" s="2" t="s">
        <v>1376</v>
      </c>
      <c r="E1407" s="3">
        <v>0</v>
      </c>
      <c r="F1407" s="2">
        <v>1758</v>
      </c>
      <c r="G1407" s="2">
        <v>99</v>
      </c>
      <c r="H1407" s="2">
        <v>340</v>
      </c>
      <c r="I1407" s="2">
        <v>1308</v>
      </c>
      <c r="J1407" s="2">
        <v>2327</v>
      </c>
      <c r="K1407" s="2">
        <v>209</v>
      </c>
      <c r="L1407" s="2">
        <v>547</v>
      </c>
    </row>
    <row r="1408" spans="1:12" x14ac:dyDescent="0.25">
      <c r="A1408" s="4" t="str">
        <f>HYPERLINK("http://www.rosaceae.org/Prunus/Prunus_persica/p.persica_gdr_reftransV1_0034070","p.persica_gdr_reftransV1_0034070")</f>
        <v>p.persica_gdr_reftransV1_0034070</v>
      </c>
      <c r="B1408" s="2">
        <v>2437</v>
      </c>
      <c r="C1408" s="4" t="str">
        <f>HYPERLINK("http://www.uniprot.org/uniprot/M5XA06","M5XA06")</f>
        <v>M5XA06</v>
      </c>
      <c r="D1408" s="2" t="s">
        <v>1377</v>
      </c>
      <c r="E1408" s="3">
        <v>0</v>
      </c>
      <c r="F1408" s="2">
        <v>1797</v>
      </c>
      <c r="G1408" s="2">
        <v>100</v>
      </c>
      <c r="H1408" s="2">
        <v>381</v>
      </c>
      <c r="I1408" s="2">
        <v>967</v>
      </c>
      <c r="J1408" s="2">
        <v>2109</v>
      </c>
      <c r="K1408" s="2">
        <v>204</v>
      </c>
      <c r="L1408" s="2">
        <v>584</v>
      </c>
    </row>
    <row r="1409" spans="1:12" x14ac:dyDescent="0.25">
      <c r="A1409" s="4" t="str">
        <f>HYPERLINK("http://www.rosaceae.org/Prunus/Prunus_persica/p.persica_gdr_reftransV1_0037220","p.persica_gdr_reftransV1_0037220")</f>
        <v>p.persica_gdr_reftransV1_0037220</v>
      </c>
      <c r="B1409" s="2">
        <v>2715</v>
      </c>
      <c r="C1409" s="4" t="str">
        <f>HYPERLINK("http://www.uniprot.org/uniprot/M5W0I8","M5W0I8")</f>
        <v>M5W0I8</v>
      </c>
      <c r="D1409" s="2" t="s">
        <v>1378</v>
      </c>
      <c r="E1409" s="3">
        <v>2.6300000000000001E-73</v>
      </c>
      <c r="F1409" s="2">
        <v>647</v>
      </c>
      <c r="G1409" s="2">
        <v>98</v>
      </c>
      <c r="H1409" s="2">
        <v>125</v>
      </c>
      <c r="I1409" s="2">
        <v>762</v>
      </c>
      <c r="J1409" s="2">
        <v>1136</v>
      </c>
      <c r="K1409" s="2">
        <v>52</v>
      </c>
      <c r="L1409" s="2">
        <v>176</v>
      </c>
    </row>
    <row r="1410" spans="1:12" x14ac:dyDescent="0.25">
      <c r="A1410" s="4" t="str">
        <f>HYPERLINK("http://www.rosaceae.org/Prunus/Prunus_persica/p.persica_gdr_reftransV1_0038620","p.persica_gdr_reftransV1_0038620")</f>
        <v>p.persica_gdr_reftransV1_0038620</v>
      </c>
      <c r="B1410" s="2">
        <v>3566</v>
      </c>
      <c r="C1410" s="4" t="str">
        <f>HYPERLINK("http://www.uniprot.org/uniprot/M5X3X7","M5X3X7")</f>
        <v>M5X3X7</v>
      </c>
      <c r="D1410" s="2" t="s">
        <v>1379</v>
      </c>
      <c r="E1410" s="3">
        <v>6.1599999999999999E-132</v>
      </c>
      <c r="F1410" s="2">
        <v>1118</v>
      </c>
      <c r="G1410" s="2">
        <v>100</v>
      </c>
      <c r="H1410" s="2">
        <v>210</v>
      </c>
      <c r="I1410" s="2">
        <v>1437</v>
      </c>
      <c r="J1410" s="2">
        <v>2066</v>
      </c>
      <c r="K1410" s="2">
        <v>282</v>
      </c>
      <c r="L1410" s="2">
        <v>491</v>
      </c>
    </row>
    <row r="1411" spans="1:12" x14ac:dyDescent="0.25">
      <c r="A1411" s="4" t="str">
        <f>HYPERLINK("http://www.rosaceae.org/Prunus/Prunus_persica/p.persica_gdr_reftransV1_0041770","p.persica_gdr_reftransV1_0041770")</f>
        <v>p.persica_gdr_reftransV1_0041770</v>
      </c>
      <c r="B1411" s="2">
        <v>1594</v>
      </c>
      <c r="C1411" s="4" t="str">
        <f>HYPERLINK("http://www.uniprot.org/uniprot/M5W2I5","M5W2I5")</f>
        <v>M5W2I5</v>
      </c>
      <c r="D1411" s="2" t="s">
        <v>1380</v>
      </c>
      <c r="E1411" s="3">
        <v>4.2799999999999997E-160</v>
      </c>
      <c r="F1411" s="2">
        <v>798</v>
      </c>
      <c r="G1411" s="2">
        <v>84</v>
      </c>
      <c r="H1411" s="2">
        <v>185</v>
      </c>
      <c r="I1411" s="2">
        <v>66</v>
      </c>
      <c r="J1411" s="2">
        <v>620</v>
      </c>
      <c r="K1411" s="2">
        <v>1</v>
      </c>
      <c r="L1411" s="2">
        <v>157</v>
      </c>
    </row>
    <row r="1412" spans="1:12" x14ac:dyDescent="0.25">
      <c r="A1412" s="4" t="str">
        <f>HYPERLINK("http://www.rosaceae.org/Prunus/Prunus_persica/p.persica_gdr_reftransV1_0043170","p.persica_gdr_reftransV1_0043170")</f>
        <v>p.persica_gdr_reftransV1_0043170</v>
      </c>
      <c r="B1412" s="2">
        <v>1677</v>
      </c>
      <c r="C1412" s="4" t="str">
        <f>HYPERLINK("http://www.uniprot.org/uniprot/M5WH84","M5WH84")</f>
        <v>M5WH84</v>
      </c>
      <c r="D1412" s="2" t="s">
        <v>1381</v>
      </c>
      <c r="E1412" s="3">
        <v>0</v>
      </c>
      <c r="F1412" s="2">
        <v>1785</v>
      </c>
      <c r="G1412" s="2">
        <v>100</v>
      </c>
      <c r="H1412" s="2">
        <v>378</v>
      </c>
      <c r="I1412" s="2">
        <v>471</v>
      </c>
      <c r="J1412" s="2">
        <v>1604</v>
      </c>
      <c r="K1412" s="2">
        <v>1</v>
      </c>
      <c r="L1412" s="2">
        <v>378</v>
      </c>
    </row>
    <row r="1413" spans="1:12" x14ac:dyDescent="0.25">
      <c r="A1413" s="4" t="str">
        <f>HYPERLINK("http://www.rosaceae.org/Prunus/Prunus_persica/p.persica_gdr_reftransV1_0043520","p.persica_gdr_reftransV1_0043520")</f>
        <v>p.persica_gdr_reftransV1_0043520</v>
      </c>
      <c r="B1413" s="2">
        <v>1134</v>
      </c>
      <c r="C1413" s="4" t="str">
        <f>HYPERLINK("http://www.uniprot.org/uniprot/M5XKF2","M5XKF2")</f>
        <v>M5XKF2</v>
      </c>
      <c r="D1413" s="2" t="s">
        <v>1382</v>
      </c>
      <c r="E1413" s="3">
        <v>5.6199999999999999E-121</v>
      </c>
      <c r="F1413" s="2">
        <v>928</v>
      </c>
      <c r="G1413" s="2">
        <v>100</v>
      </c>
      <c r="H1413" s="2">
        <v>246</v>
      </c>
      <c r="I1413" s="2">
        <v>267</v>
      </c>
      <c r="J1413" s="2">
        <v>1004</v>
      </c>
      <c r="K1413" s="2">
        <v>1</v>
      </c>
      <c r="L1413" s="2">
        <v>246</v>
      </c>
    </row>
    <row r="1414" spans="1:12" x14ac:dyDescent="0.25">
      <c r="A1414" s="4" t="str">
        <f>HYPERLINK("http://www.rosaceae.org/Prunus/Prunus_persica/p.persica_gdr_reftransV1_0043870","p.persica_gdr_reftransV1_0043870")</f>
        <v>p.persica_gdr_reftransV1_0043870</v>
      </c>
      <c r="B1414" s="2">
        <v>1397</v>
      </c>
      <c r="C1414" s="4" t="str">
        <f>HYPERLINK("http://www.uniprot.org/uniprot/M5X5Q7","M5X5Q7")</f>
        <v>M5X5Q7</v>
      </c>
      <c r="D1414" s="2" t="s">
        <v>1383</v>
      </c>
      <c r="E1414" s="3">
        <v>0</v>
      </c>
      <c r="F1414" s="2">
        <v>1764</v>
      </c>
      <c r="G1414" s="2">
        <v>100</v>
      </c>
      <c r="H1414" s="2">
        <v>329</v>
      </c>
      <c r="I1414" s="2">
        <v>162</v>
      </c>
      <c r="J1414" s="2">
        <v>1148</v>
      </c>
      <c r="K1414" s="2">
        <v>1</v>
      </c>
      <c r="L1414" s="2">
        <v>329</v>
      </c>
    </row>
    <row r="1415" spans="1:12" x14ac:dyDescent="0.25">
      <c r="A1415" s="4" t="str">
        <f>HYPERLINK("http://www.rosaceae.org/Prunus/Prunus_persica/p.persica_gdr_reftransV1_0044220","p.persica_gdr_reftransV1_0044220")</f>
        <v>p.persica_gdr_reftransV1_0044220</v>
      </c>
      <c r="B1415" s="2">
        <v>323</v>
      </c>
      <c r="C1415" s="4" t="str">
        <f>HYPERLINK("http://www.uniprot.org/uniprot/B5STZ6","B5STZ6")</f>
        <v>B5STZ6</v>
      </c>
      <c r="D1415" s="2" t="s">
        <v>1384</v>
      </c>
      <c r="E1415" s="3">
        <v>2.8999999999999997E-63</v>
      </c>
      <c r="F1415" s="2">
        <v>515</v>
      </c>
      <c r="G1415" s="2">
        <v>100</v>
      </c>
      <c r="H1415" s="2">
        <v>97</v>
      </c>
      <c r="I1415" s="2">
        <v>1</v>
      </c>
      <c r="J1415" s="2">
        <v>291</v>
      </c>
      <c r="K1415" s="2">
        <v>1</v>
      </c>
      <c r="L1415" s="2">
        <v>97</v>
      </c>
    </row>
    <row r="1416" spans="1:12" x14ac:dyDescent="0.25">
      <c r="A1416" s="4" t="str">
        <f>HYPERLINK("http://www.rosaceae.org/Prunus/Prunus_persica/p.persica_gdr_reftransV1_0044570","p.persica_gdr_reftransV1_0044570")</f>
        <v>p.persica_gdr_reftransV1_0044570</v>
      </c>
      <c r="B1416" s="2">
        <v>1602</v>
      </c>
      <c r="C1416" s="4" t="str">
        <f>HYPERLINK("http://www.uniprot.org/uniprot/M5WTL1","M5WTL1")</f>
        <v>M5WTL1</v>
      </c>
      <c r="D1416" s="2" t="s">
        <v>1385</v>
      </c>
      <c r="E1416" s="3">
        <v>0</v>
      </c>
      <c r="F1416" s="2">
        <v>1805</v>
      </c>
      <c r="G1416" s="2">
        <v>100</v>
      </c>
      <c r="H1416" s="2">
        <v>395</v>
      </c>
      <c r="I1416" s="2">
        <v>250</v>
      </c>
      <c r="J1416" s="2">
        <v>1434</v>
      </c>
      <c r="K1416" s="2">
        <v>1</v>
      </c>
      <c r="L1416" s="2">
        <v>395</v>
      </c>
    </row>
    <row r="1417" spans="1:12" x14ac:dyDescent="0.25">
      <c r="A1417" s="4" t="str">
        <f>HYPERLINK("http://www.rosaceae.org/Prunus/Prunus_persica/p.persica_gdr_reftransV1_0044920","p.persica_gdr_reftransV1_0044920")</f>
        <v>p.persica_gdr_reftransV1_0044920</v>
      </c>
      <c r="B1417" s="2">
        <v>1039</v>
      </c>
      <c r="C1417" s="4" t="str">
        <f>HYPERLINK("http://www.uniprot.org/uniprot/M5VJ19","M5VJ19")</f>
        <v>M5VJ19</v>
      </c>
      <c r="D1417" s="2" t="s">
        <v>1386</v>
      </c>
      <c r="E1417" s="3">
        <v>0</v>
      </c>
      <c r="F1417" s="2">
        <v>1565</v>
      </c>
      <c r="G1417" s="2">
        <v>93</v>
      </c>
      <c r="H1417" s="2">
        <v>336</v>
      </c>
      <c r="I1417" s="2">
        <v>60</v>
      </c>
      <c r="J1417" s="2">
        <v>1034</v>
      </c>
      <c r="K1417" s="2">
        <v>22</v>
      </c>
      <c r="L1417" s="2">
        <v>357</v>
      </c>
    </row>
    <row r="1418" spans="1:12" x14ac:dyDescent="0.25">
      <c r="A1418" s="4" t="str">
        <f>HYPERLINK("http://www.rosaceae.org/Prunus/Prunus_persica/p.persica_gdr_reftransV1_0045270","p.persica_gdr_reftransV1_0045270")</f>
        <v>p.persica_gdr_reftransV1_0045270</v>
      </c>
      <c r="B1418" s="2">
        <v>305</v>
      </c>
      <c r="C1418" s="4" t="str">
        <f>HYPERLINK("http://www.uniprot.org/uniprot/M5WWT2","M5WWT2")</f>
        <v>M5WWT2</v>
      </c>
      <c r="D1418" s="2" t="s">
        <v>1134</v>
      </c>
      <c r="E1418" s="3">
        <v>6.1100000000000007E-64</v>
      </c>
      <c r="F1418" s="2">
        <v>558</v>
      </c>
      <c r="G1418" s="2">
        <v>100</v>
      </c>
      <c r="H1418" s="2">
        <v>101</v>
      </c>
      <c r="I1418" s="2">
        <v>3</v>
      </c>
      <c r="J1418" s="2">
        <v>305</v>
      </c>
      <c r="K1418" s="2">
        <v>834</v>
      </c>
      <c r="L1418" s="2">
        <v>934</v>
      </c>
    </row>
    <row r="1419" spans="1:12" x14ac:dyDescent="0.25">
      <c r="A1419" s="4" t="str">
        <f>HYPERLINK("http://www.rosaceae.org/Prunus/Prunus_persica/p.persica_gdr_reftransV1_0045620","p.persica_gdr_reftransV1_0045620")</f>
        <v>p.persica_gdr_reftransV1_0045620</v>
      </c>
      <c r="B1419" s="2">
        <v>931</v>
      </c>
      <c r="C1419" s="4" t="str">
        <f>HYPERLINK("http://www.uniprot.org/uniprot/M5WVI7","M5WVI7")</f>
        <v>M5WVI7</v>
      </c>
      <c r="D1419" s="2" t="s">
        <v>1387</v>
      </c>
      <c r="E1419" s="3">
        <v>4.28E-98</v>
      </c>
      <c r="F1419" s="2">
        <v>763</v>
      </c>
      <c r="G1419" s="2">
        <v>100</v>
      </c>
      <c r="H1419" s="2">
        <v>172</v>
      </c>
      <c r="I1419" s="2">
        <v>156</v>
      </c>
      <c r="J1419" s="2">
        <v>671</v>
      </c>
      <c r="K1419" s="2">
        <v>1</v>
      </c>
      <c r="L1419" s="2">
        <v>172</v>
      </c>
    </row>
    <row r="1420" spans="1:12" x14ac:dyDescent="0.25">
      <c r="A1420" s="4" t="str">
        <f>HYPERLINK("http://www.rosaceae.org/Prunus/Prunus_persica/p.persica_gdr_reftransV1_0045970","p.persica_gdr_reftransV1_0045970")</f>
        <v>p.persica_gdr_reftransV1_0045970</v>
      </c>
      <c r="B1420" s="2">
        <v>2746</v>
      </c>
      <c r="C1420" s="4" t="str">
        <f>HYPERLINK("http://www.uniprot.org/uniprot/M5XIS4","M5XIS4")</f>
        <v>M5XIS4</v>
      </c>
      <c r="D1420" s="2" t="s">
        <v>1388</v>
      </c>
      <c r="E1420" s="3">
        <v>0</v>
      </c>
      <c r="F1420" s="2">
        <v>1714</v>
      </c>
      <c r="G1420" s="2">
        <v>96</v>
      </c>
      <c r="H1420" s="2">
        <v>357</v>
      </c>
      <c r="I1420" s="2">
        <v>1353</v>
      </c>
      <c r="J1420" s="2">
        <v>2423</v>
      </c>
      <c r="K1420" s="2">
        <v>35</v>
      </c>
      <c r="L1420" s="2">
        <v>378</v>
      </c>
    </row>
    <row r="1421" spans="1:12" x14ac:dyDescent="0.25">
      <c r="A1421" s="4" t="str">
        <f>HYPERLINK("http://www.rosaceae.org/Prunus/Prunus_persica/p.persica_gdr_reftransV1_0046320","p.persica_gdr_reftransV1_0046320")</f>
        <v>p.persica_gdr_reftransV1_0046320</v>
      </c>
      <c r="B1421" s="2">
        <v>373</v>
      </c>
      <c r="C1421" s="4" t="str">
        <f>HYPERLINK("http://www.uniprot.org/uniprot/M5VX15","M5VX15")</f>
        <v>M5VX15</v>
      </c>
      <c r="D1421" s="2" t="s">
        <v>1389</v>
      </c>
      <c r="E1421" s="3">
        <v>5.7499999999999999E-69</v>
      </c>
      <c r="F1421" s="2">
        <v>571</v>
      </c>
      <c r="G1421" s="2">
        <v>100</v>
      </c>
      <c r="H1421" s="2">
        <v>108</v>
      </c>
      <c r="I1421" s="2">
        <v>4</v>
      </c>
      <c r="J1421" s="2">
        <v>327</v>
      </c>
      <c r="K1421" s="2">
        <v>1</v>
      </c>
      <c r="L1421" s="2">
        <v>108</v>
      </c>
    </row>
    <row r="1422" spans="1:12" x14ac:dyDescent="0.25">
      <c r="A1422" s="4" t="str">
        <f>HYPERLINK("http://www.rosaceae.org/Prunus/Prunus_persica/p.persica_gdr_reftransV1_0046670","p.persica_gdr_reftransV1_0046670")</f>
        <v>p.persica_gdr_reftransV1_0046670</v>
      </c>
      <c r="B1422" s="2">
        <v>1935</v>
      </c>
      <c r="C1422" s="4" t="str">
        <f>HYPERLINK("http://www.uniprot.org/uniprot/M5X0S6","M5X0S6")</f>
        <v>M5X0S6</v>
      </c>
      <c r="D1422" s="2" t="s">
        <v>1390</v>
      </c>
      <c r="E1422" s="3">
        <v>0</v>
      </c>
      <c r="F1422" s="2">
        <v>2495</v>
      </c>
      <c r="G1422" s="2">
        <v>100</v>
      </c>
      <c r="H1422" s="2">
        <v>478</v>
      </c>
      <c r="I1422" s="2">
        <v>228</v>
      </c>
      <c r="J1422" s="2">
        <v>1661</v>
      </c>
      <c r="K1422" s="2">
        <v>1</v>
      </c>
      <c r="L1422" s="2">
        <v>478</v>
      </c>
    </row>
    <row r="1423" spans="1:12" x14ac:dyDescent="0.25">
      <c r="A1423" s="4" t="str">
        <f>HYPERLINK("http://www.rosaceae.org/Prunus/Prunus_persica/p.persica_gdr_reftransV1_0047370","p.persica_gdr_reftransV1_0047370")</f>
        <v>p.persica_gdr_reftransV1_0047370</v>
      </c>
      <c r="B1423" s="2">
        <v>1076</v>
      </c>
      <c r="C1423" s="4" t="str">
        <f>HYPERLINK("http://www.uniprot.org/uniprot/M5WK88","M5WK88")</f>
        <v>M5WK88</v>
      </c>
      <c r="D1423" s="2" t="s">
        <v>1391</v>
      </c>
      <c r="E1423" s="3">
        <v>6.9499999999999996E-178</v>
      </c>
      <c r="F1423" s="2">
        <v>1313</v>
      </c>
      <c r="G1423" s="2">
        <v>91</v>
      </c>
      <c r="H1423" s="2">
        <v>290</v>
      </c>
      <c r="I1423" s="2">
        <v>3</v>
      </c>
      <c r="J1423" s="2">
        <v>863</v>
      </c>
      <c r="K1423" s="2">
        <v>1</v>
      </c>
      <c r="L1423" s="2">
        <v>283</v>
      </c>
    </row>
    <row r="1424" spans="1:12" x14ac:dyDescent="0.25">
      <c r="A1424" s="4" t="str">
        <f>HYPERLINK("http://www.rosaceae.org/Prunus/Prunus_persica/p.persica_gdr_reftransV1_0047720","p.persica_gdr_reftransV1_0047720")</f>
        <v>p.persica_gdr_reftransV1_0047720</v>
      </c>
      <c r="B1424" s="2">
        <v>431</v>
      </c>
      <c r="C1424" s="4" t="str">
        <f>HYPERLINK("http://www.uniprot.org/uniprot/M5WNJ6","M5WNJ6")</f>
        <v>M5WNJ6</v>
      </c>
      <c r="D1424" s="2" t="s">
        <v>1392</v>
      </c>
      <c r="E1424" s="3">
        <v>1.04E-84</v>
      </c>
      <c r="F1424" s="2">
        <v>699</v>
      </c>
      <c r="G1424" s="2">
        <v>100</v>
      </c>
      <c r="H1424" s="2">
        <v>130</v>
      </c>
      <c r="I1424" s="2">
        <v>42</v>
      </c>
      <c r="J1424" s="2">
        <v>431</v>
      </c>
      <c r="K1424" s="2">
        <v>63</v>
      </c>
      <c r="L1424" s="2">
        <v>192</v>
      </c>
    </row>
    <row r="1425" spans="1:12" x14ac:dyDescent="0.25">
      <c r="A1425" s="4" t="str">
        <f>HYPERLINK("http://www.rosaceae.org/Prunus/Prunus_persica/p.persica_gdr_reftransV1_0048070","p.persica_gdr_reftransV1_0048070")</f>
        <v>p.persica_gdr_reftransV1_0048070</v>
      </c>
      <c r="B1425" s="2">
        <v>784</v>
      </c>
      <c r="C1425" s="4" t="str">
        <f>HYPERLINK("http://www.uniprot.org/uniprot/M5Y7D4","M5Y7D4")</f>
        <v>M5Y7D4</v>
      </c>
      <c r="D1425" s="2" t="s">
        <v>1393</v>
      </c>
      <c r="E1425" s="3">
        <v>3.8800000000000001E-177</v>
      </c>
      <c r="F1425" s="2">
        <v>1414</v>
      </c>
      <c r="G1425" s="2">
        <v>100</v>
      </c>
      <c r="H1425" s="2">
        <v>261</v>
      </c>
      <c r="I1425" s="2">
        <v>2</v>
      </c>
      <c r="J1425" s="2">
        <v>784</v>
      </c>
      <c r="K1425" s="2">
        <v>982</v>
      </c>
      <c r="L1425" s="2">
        <v>1242</v>
      </c>
    </row>
    <row r="1426" spans="1:12" x14ac:dyDescent="0.25">
      <c r="A1426" s="4" t="str">
        <f>HYPERLINK("http://www.rosaceae.org/Prunus/Prunus_persica/p.persica_gdr_reftransV1_0048420","p.persica_gdr_reftransV1_0048420")</f>
        <v>p.persica_gdr_reftransV1_0048420</v>
      </c>
      <c r="B1426" s="2">
        <v>778</v>
      </c>
      <c r="C1426" s="4" t="str">
        <f>HYPERLINK("http://www.uniprot.org/uniprot/A0A067KYI0","A0A067KYI0")</f>
        <v>A0A067KYI0</v>
      </c>
      <c r="D1426" s="2" t="s">
        <v>1394</v>
      </c>
      <c r="E1426" s="3">
        <v>5.0699999999999996E-16</v>
      </c>
      <c r="F1426" s="2">
        <v>205</v>
      </c>
      <c r="G1426" s="2">
        <v>36</v>
      </c>
      <c r="H1426" s="2">
        <v>172</v>
      </c>
      <c r="I1426" s="2">
        <v>145</v>
      </c>
      <c r="J1426" s="2">
        <v>636</v>
      </c>
      <c r="K1426" s="2">
        <v>20</v>
      </c>
      <c r="L1426" s="2">
        <v>179</v>
      </c>
    </row>
    <row r="1427" spans="1:12" x14ac:dyDescent="0.25">
      <c r="A1427" s="4" t="str">
        <f>HYPERLINK("http://www.rosaceae.org/Prunus/Prunus_persica/p.persica_gdr_reftransV1_0048770","p.persica_gdr_reftransV1_0048770")</f>
        <v>p.persica_gdr_reftransV1_0048770</v>
      </c>
      <c r="B1427" s="2">
        <v>1306</v>
      </c>
      <c r="C1427" s="4" t="str">
        <f>HYPERLINK("http://www.uniprot.org/uniprot/M5XA66","M5XA66")</f>
        <v>M5XA66</v>
      </c>
      <c r="D1427" s="2" t="s">
        <v>1395</v>
      </c>
      <c r="E1427" s="3">
        <v>3.3999999999999999E-149</v>
      </c>
      <c r="F1427" s="2">
        <v>1145</v>
      </c>
      <c r="G1427" s="2">
        <v>97</v>
      </c>
      <c r="H1427" s="2">
        <v>221</v>
      </c>
      <c r="I1427" s="2">
        <v>217</v>
      </c>
      <c r="J1427" s="2">
        <v>864</v>
      </c>
      <c r="K1427" s="2">
        <v>1</v>
      </c>
      <c r="L1427" s="2">
        <v>221</v>
      </c>
    </row>
    <row r="1428" spans="1:12" x14ac:dyDescent="0.25">
      <c r="A1428" s="4" t="str">
        <f>HYPERLINK("http://www.rosaceae.org/Prunus/Prunus_persica/p.persica_gdr_reftransV1_0049120","p.persica_gdr_reftransV1_0049120")</f>
        <v>p.persica_gdr_reftransV1_0049120</v>
      </c>
      <c r="B1428" s="2">
        <v>2641</v>
      </c>
      <c r="C1428" s="4" t="str">
        <f>HYPERLINK("http://www.uniprot.org/uniprot/M5W7E9","M5W7E9")</f>
        <v>M5W7E9</v>
      </c>
      <c r="D1428" s="2" t="s">
        <v>569</v>
      </c>
      <c r="E1428" s="3">
        <v>0</v>
      </c>
      <c r="F1428" s="2">
        <v>3866</v>
      </c>
      <c r="G1428" s="2">
        <v>100</v>
      </c>
      <c r="H1428" s="2">
        <v>741</v>
      </c>
      <c r="I1428" s="2">
        <v>1</v>
      </c>
      <c r="J1428" s="2">
        <v>2223</v>
      </c>
      <c r="K1428" s="2">
        <v>3</v>
      </c>
      <c r="L1428" s="2">
        <v>743</v>
      </c>
    </row>
    <row r="1429" spans="1:12" x14ac:dyDescent="0.25">
      <c r="A1429" s="4" t="str">
        <f>HYPERLINK("http://www.rosaceae.org/Prunus/Prunus_persica/p.persica_gdr_reftransV1_0000012","p.persica_gdr_reftransV1_0000012")</f>
        <v>p.persica_gdr_reftransV1_0000012</v>
      </c>
      <c r="B1429" s="2">
        <v>491</v>
      </c>
      <c r="C1429" s="4" t="str">
        <f>HYPERLINK("http://www.uniprot.org/uniprot/M5XK00","M5XK00")</f>
        <v>M5XK00</v>
      </c>
      <c r="D1429" s="2" t="s">
        <v>1396</v>
      </c>
      <c r="E1429" s="3">
        <v>1.3299999999999999E-57</v>
      </c>
      <c r="F1429" s="2">
        <v>474</v>
      </c>
      <c r="G1429" s="2">
        <v>100</v>
      </c>
      <c r="H1429" s="2">
        <v>111</v>
      </c>
      <c r="I1429" s="2">
        <v>109</v>
      </c>
      <c r="J1429" s="2">
        <v>441</v>
      </c>
      <c r="K1429" s="2">
        <v>1</v>
      </c>
      <c r="L1429" s="2">
        <v>111</v>
      </c>
    </row>
    <row r="1430" spans="1:12" x14ac:dyDescent="0.25">
      <c r="A1430" s="4" t="str">
        <f>HYPERLINK("http://www.rosaceae.org/Prunus/Prunus_persica/p.persica_gdr_reftransV1_0000362","p.persica_gdr_reftransV1_0000362")</f>
        <v>p.persica_gdr_reftransV1_0000362</v>
      </c>
      <c r="B1430" s="2">
        <v>747</v>
      </c>
      <c r="C1430" s="4" t="str">
        <f>HYPERLINK("http://www.uniprot.org/uniprot/Q6YSM7","Q6YSM7")</f>
        <v>Q6YSM7</v>
      </c>
      <c r="D1430" s="2" t="s">
        <v>1397</v>
      </c>
      <c r="E1430" s="3">
        <v>2.0999999999999999E-116</v>
      </c>
      <c r="F1430" s="2">
        <v>880</v>
      </c>
      <c r="G1430" s="2">
        <v>98</v>
      </c>
      <c r="H1430" s="2">
        <v>181</v>
      </c>
      <c r="I1430" s="2">
        <v>3</v>
      </c>
      <c r="J1430" s="2">
        <v>545</v>
      </c>
      <c r="K1430" s="2">
        <v>19</v>
      </c>
      <c r="L1430" s="2">
        <v>199</v>
      </c>
    </row>
    <row r="1431" spans="1:12" x14ac:dyDescent="0.25">
      <c r="A1431" s="4" t="str">
        <f>HYPERLINK("http://www.rosaceae.org/Prunus/Prunus_persica/p.persica_gdr_reftransV1_0000712","p.persica_gdr_reftransV1_0000712")</f>
        <v>p.persica_gdr_reftransV1_0000712</v>
      </c>
      <c r="B1431" s="2">
        <v>841</v>
      </c>
      <c r="C1431" s="4" t="str">
        <f>HYPERLINK("http://www.uniprot.org/uniprot/M5XF66","M5XF66")</f>
        <v>M5XF66</v>
      </c>
      <c r="D1431" s="2" t="s">
        <v>1398</v>
      </c>
      <c r="E1431" s="3">
        <v>6.6000000000000005E-58</v>
      </c>
      <c r="F1431" s="2">
        <v>487</v>
      </c>
      <c r="G1431" s="2">
        <v>100</v>
      </c>
      <c r="H1431" s="2">
        <v>93</v>
      </c>
      <c r="I1431" s="2">
        <v>253</v>
      </c>
      <c r="J1431" s="2">
        <v>531</v>
      </c>
      <c r="K1431" s="2">
        <v>14</v>
      </c>
      <c r="L1431" s="2">
        <v>106</v>
      </c>
    </row>
    <row r="1432" spans="1:12" x14ac:dyDescent="0.25">
      <c r="A1432" s="4" t="str">
        <f>HYPERLINK("http://www.rosaceae.org/Prunus/Prunus_persica/p.persica_gdr_reftransV1_0001062","p.persica_gdr_reftransV1_0001062")</f>
        <v>p.persica_gdr_reftransV1_0001062</v>
      </c>
      <c r="B1432" s="2">
        <v>475</v>
      </c>
      <c r="C1432" s="4" t="str">
        <f>HYPERLINK("http://www.uniprot.org/uniprot/M5XA14","M5XA14")</f>
        <v>M5XA14</v>
      </c>
      <c r="D1432" s="2" t="s">
        <v>1399</v>
      </c>
      <c r="E1432" s="3">
        <v>1.9800000000000001E-93</v>
      </c>
      <c r="F1432" s="2">
        <v>765</v>
      </c>
      <c r="G1432" s="2">
        <v>100</v>
      </c>
      <c r="H1432" s="2">
        <v>157</v>
      </c>
      <c r="I1432" s="2">
        <v>3</v>
      </c>
      <c r="J1432" s="2">
        <v>473</v>
      </c>
      <c r="K1432" s="2">
        <v>107</v>
      </c>
      <c r="L1432" s="2">
        <v>263</v>
      </c>
    </row>
    <row r="1433" spans="1:12" x14ac:dyDescent="0.25">
      <c r="A1433" s="4" t="str">
        <f>HYPERLINK("http://www.rosaceae.org/Prunus/Prunus_persica/p.persica_gdr_reftransV1_0002112","p.persica_gdr_reftransV1_0002112")</f>
        <v>p.persica_gdr_reftransV1_0002112</v>
      </c>
      <c r="B1433" s="2">
        <v>3744</v>
      </c>
      <c r="C1433" s="4" t="str">
        <f>HYPERLINK("http://www.uniprot.org/uniprot/M5XVG9","M5XVG9")</f>
        <v>M5XVG9</v>
      </c>
      <c r="D1433" s="2" t="s">
        <v>1400</v>
      </c>
      <c r="E1433" s="3">
        <v>0</v>
      </c>
      <c r="F1433" s="2">
        <v>5845</v>
      </c>
      <c r="G1433" s="2">
        <v>100</v>
      </c>
      <c r="H1433" s="2">
        <v>1090</v>
      </c>
      <c r="I1433" s="2">
        <v>1</v>
      </c>
      <c r="J1433" s="2">
        <v>3270</v>
      </c>
      <c r="K1433" s="2">
        <v>6</v>
      </c>
      <c r="L1433" s="2">
        <v>1095</v>
      </c>
    </row>
    <row r="1434" spans="1:12" x14ac:dyDescent="0.25">
      <c r="A1434" s="4" t="str">
        <f>HYPERLINK("http://www.rosaceae.org/Prunus/Prunus_persica/p.persica_gdr_reftransV1_0002462","p.persica_gdr_reftransV1_0002462")</f>
        <v>p.persica_gdr_reftransV1_0002462</v>
      </c>
      <c r="B1434" s="2">
        <v>460</v>
      </c>
      <c r="C1434" s="4" t="str">
        <f>HYPERLINK("http://www.uniprot.org/uniprot/M5XUW9","M5XUW9")</f>
        <v>M5XUW9</v>
      </c>
      <c r="D1434" s="2" t="s">
        <v>1401</v>
      </c>
      <c r="E1434" s="3">
        <v>5.9399999999999999E-103</v>
      </c>
      <c r="F1434" s="2">
        <v>829</v>
      </c>
      <c r="G1434" s="2">
        <v>100</v>
      </c>
      <c r="H1434" s="2">
        <v>153</v>
      </c>
      <c r="I1434" s="2">
        <v>1</v>
      </c>
      <c r="J1434" s="2">
        <v>459</v>
      </c>
      <c r="K1434" s="2">
        <v>26</v>
      </c>
      <c r="L1434" s="2">
        <v>178</v>
      </c>
    </row>
    <row r="1435" spans="1:12" x14ac:dyDescent="0.25">
      <c r="A1435" s="4" t="str">
        <f>HYPERLINK("http://www.rosaceae.org/Prunus/Prunus_persica/p.persica_gdr_reftransV1_0002812","p.persica_gdr_reftransV1_0002812")</f>
        <v>p.persica_gdr_reftransV1_0002812</v>
      </c>
      <c r="B1435" s="2">
        <v>1447</v>
      </c>
      <c r="C1435" s="4" t="str">
        <f>HYPERLINK("http://www.uniprot.org/uniprot/M5XDQ6","M5XDQ6")</f>
        <v>M5XDQ6</v>
      </c>
      <c r="D1435" s="2" t="s">
        <v>1402</v>
      </c>
      <c r="E1435" s="3">
        <v>0</v>
      </c>
      <c r="F1435" s="2">
        <v>1724</v>
      </c>
      <c r="G1435" s="2">
        <v>99</v>
      </c>
      <c r="H1435" s="2">
        <v>348</v>
      </c>
      <c r="I1435" s="2">
        <v>399</v>
      </c>
      <c r="J1435" s="2">
        <v>1442</v>
      </c>
      <c r="K1435" s="2">
        <v>1</v>
      </c>
      <c r="L1435" s="2">
        <v>348</v>
      </c>
    </row>
    <row r="1436" spans="1:12" x14ac:dyDescent="0.25">
      <c r="A1436" s="4" t="str">
        <f>HYPERLINK("http://www.rosaceae.org/Prunus/Prunus_persica/p.persica_gdr_reftransV1_0003162","p.persica_gdr_reftransV1_0003162")</f>
        <v>p.persica_gdr_reftransV1_0003162</v>
      </c>
      <c r="B1436" s="2">
        <v>367</v>
      </c>
      <c r="C1436" s="4" t="str">
        <f>HYPERLINK("http://www.uniprot.org/uniprot/M5VUY5","M5VUY5")</f>
        <v>M5VUY5</v>
      </c>
      <c r="D1436" s="2" t="s">
        <v>1403</v>
      </c>
      <c r="E1436" s="3">
        <v>2.8100000000000001E-82</v>
      </c>
      <c r="F1436" s="2">
        <v>640</v>
      </c>
      <c r="G1436" s="2">
        <v>100</v>
      </c>
      <c r="H1436" s="2">
        <v>122</v>
      </c>
      <c r="I1436" s="2">
        <v>1</v>
      </c>
      <c r="J1436" s="2">
        <v>366</v>
      </c>
      <c r="K1436" s="2">
        <v>44</v>
      </c>
      <c r="L1436" s="2">
        <v>165</v>
      </c>
    </row>
    <row r="1437" spans="1:12" x14ac:dyDescent="0.25">
      <c r="A1437" s="4" t="str">
        <f>HYPERLINK("http://www.rosaceae.org/Prunus/Prunus_persica/p.persica_gdr_reftransV1_0003512","p.persica_gdr_reftransV1_0003512")</f>
        <v>p.persica_gdr_reftransV1_0003512</v>
      </c>
      <c r="B1437" s="2">
        <v>1724</v>
      </c>
      <c r="C1437" s="4" t="str">
        <f>HYPERLINK("http://www.uniprot.org/uniprot/M5X4Z8","M5X4Z8")</f>
        <v>M5X4Z8</v>
      </c>
      <c r="D1437" s="2" t="s">
        <v>1404</v>
      </c>
      <c r="E1437" s="3">
        <v>0</v>
      </c>
      <c r="F1437" s="2">
        <v>1454</v>
      </c>
      <c r="G1437" s="2">
        <v>99</v>
      </c>
      <c r="H1437" s="2">
        <v>370</v>
      </c>
      <c r="I1437" s="2">
        <v>46</v>
      </c>
      <c r="J1437" s="2">
        <v>1155</v>
      </c>
      <c r="K1437" s="2">
        <v>1</v>
      </c>
      <c r="L1437" s="2">
        <v>370</v>
      </c>
    </row>
    <row r="1438" spans="1:12" x14ac:dyDescent="0.25">
      <c r="A1438" s="4" t="str">
        <f>HYPERLINK("http://www.rosaceae.org/Prunus/Prunus_persica/p.persica_gdr_reftransV1_0004212","p.persica_gdr_reftransV1_0004212")</f>
        <v>p.persica_gdr_reftransV1_0004212</v>
      </c>
      <c r="B1438" s="2">
        <v>1346</v>
      </c>
      <c r="C1438" s="4" t="str">
        <f>HYPERLINK("http://www.uniprot.org/uniprot/M5WMK2","M5WMK2")</f>
        <v>M5WMK2</v>
      </c>
      <c r="D1438" s="2" t="s">
        <v>1405</v>
      </c>
      <c r="E1438" s="3">
        <v>1.3999999999999999E-177</v>
      </c>
      <c r="F1438" s="2">
        <v>1320</v>
      </c>
      <c r="G1438" s="2">
        <v>100</v>
      </c>
      <c r="H1438" s="2">
        <v>353</v>
      </c>
      <c r="I1438" s="2">
        <v>198</v>
      </c>
      <c r="J1438" s="2">
        <v>1256</v>
      </c>
      <c r="K1438" s="2">
        <v>1</v>
      </c>
      <c r="L1438" s="2">
        <v>353</v>
      </c>
    </row>
    <row r="1439" spans="1:12" x14ac:dyDescent="0.25">
      <c r="A1439" s="4" t="str">
        <f>HYPERLINK("http://www.rosaceae.org/Prunus/Prunus_persica/p.persica_gdr_reftransV1_0005612","p.persica_gdr_reftransV1_0005612")</f>
        <v>p.persica_gdr_reftransV1_0005612</v>
      </c>
      <c r="B1439" s="2">
        <v>421</v>
      </c>
      <c r="C1439" s="4" t="str">
        <f>HYPERLINK("http://www.uniprot.org/uniprot/M5X2S0","M5X2S0")</f>
        <v>M5X2S0</v>
      </c>
      <c r="D1439" s="2" t="s">
        <v>1406</v>
      </c>
      <c r="E1439" s="3">
        <v>2.4899999999999999E-29</v>
      </c>
      <c r="F1439" s="2">
        <v>301</v>
      </c>
      <c r="G1439" s="2">
        <v>44</v>
      </c>
      <c r="H1439" s="2">
        <v>137</v>
      </c>
      <c r="I1439" s="2">
        <v>1</v>
      </c>
      <c r="J1439" s="2">
        <v>399</v>
      </c>
      <c r="K1439" s="2">
        <v>59</v>
      </c>
      <c r="L1439" s="2">
        <v>192</v>
      </c>
    </row>
    <row r="1440" spans="1:12" x14ac:dyDescent="0.25">
      <c r="A1440" s="4" t="str">
        <f>HYPERLINK("http://www.rosaceae.org/Prunus/Prunus_persica/p.persica_gdr_reftransV1_0005962","p.persica_gdr_reftransV1_0005962")</f>
        <v>p.persica_gdr_reftransV1_0005962</v>
      </c>
      <c r="B1440" s="2">
        <v>1118</v>
      </c>
      <c r="C1440" s="4" t="str">
        <f>HYPERLINK("http://www.uniprot.org/uniprot/A0A0B7P435","A0A0B7P435")</f>
        <v>A0A0B7P435</v>
      </c>
      <c r="D1440" s="2" t="s">
        <v>1407</v>
      </c>
      <c r="E1440" s="3">
        <v>6.6700000000000003E-134</v>
      </c>
      <c r="F1440" s="2">
        <v>1010</v>
      </c>
      <c r="G1440" s="2">
        <v>99</v>
      </c>
      <c r="H1440" s="2">
        <v>214</v>
      </c>
      <c r="I1440" s="2">
        <v>99</v>
      </c>
      <c r="J1440" s="2">
        <v>740</v>
      </c>
      <c r="K1440" s="2">
        <v>1</v>
      </c>
      <c r="L1440" s="2">
        <v>214</v>
      </c>
    </row>
    <row r="1441" spans="1:12" x14ac:dyDescent="0.25">
      <c r="A1441" s="4" t="str">
        <f>HYPERLINK("http://www.rosaceae.org/Prunus/Prunus_persica/p.persica_gdr_reftransV1_0006312","p.persica_gdr_reftransV1_0006312")</f>
        <v>p.persica_gdr_reftransV1_0006312</v>
      </c>
      <c r="B1441" s="2">
        <v>495</v>
      </c>
      <c r="C1441" s="4" t="str">
        <f>HYPERLINK("http://www.uniprot.org/uniprot/M5VNU1","M5VNU1")</f>
        <v>M5VNU1</v>
      </c>
      <c r="D1441" s="2" t="s">
        <v>1408</v>
      </c>
      <c r="E1441" s="3">
        <v>7.6300000000000004E-104</v>
      </c>
      <c r="F1441" s="2">
        <v>821</v>
      </c>
      <c r="G1441" s="2">
        <v>100</v>
      </c>
      <c r="H1441" s="2">
        <v>149</v>
      </c>
      <c r="I1441" s="2">
        <v>47</v>
      </c>
      <c r="J1441" s="2">
        <v>493</v>
      </c>
      <c r="K1441" s="2">
        <v>1</v>
      </c>
      <c r="L1441" s="2">
        <v>149</v>
      </c>
    </row>
    <row r="1442" spans="1:12" x14ac:dyDescent="0.25">
      <c r="A1442" s="4" t="str">
        <f>HYPERLINK("http://www.rosaceae.org/Prunus/Prunus_persica/p.persica_gdr_reftransV1_0006662","p.persica_gdr_reftransV1_0006662")</f>
        <v>p.persica_gdr_reftransV1_0006662</v>
      </c>
      <c r="B1442" s="2">
        <v>1305</v>
      </c>
      <c r="C1442" s="4" t="str">
        <f>HYPERLINK("http://www.uniprot.org/uniprot/A0A097SRT1","A0A097SRT1")</f>
        <v>A0A097SRT1</v>
      </c>
      <c r="D1442" s="2" t="s">
        <v>1409</v>
      </c>
      <c r="E1442" s="3">
        <v>9.0000000000000002E-97</v>
      </c>
      <c r="F1442" s="2">
        <v>770</v>
      </c>
      <c r="G1442" s="2">
        <v>89</v>
      </c>
      <c r="H1442" s="2">
        <v>236</v>
      </c>
      <c r="I1442" s="2">
        <v>262</v>
      </c>
      <c r="J1442" s="2">
        <v>969</v>
      </c>
      <c r="K1442" s="2">
        <v>1</v>
      </c>
      <c r="L1442" s="2">
        <v>215</v>
      </c>
    </row>
    <row r="1443" spans="1:12" x14ac:dyDescent="0.25">
      <c r="A1443" s="4" t="str">
        <f>HYPERLINK("http://www.rosaceae.org/Prunus/Prunus_persica/p.persica_gdr_reftransV1_0007012","p.persica_gdr_reftransV1_0007012")</f>
        <v>p.persica_gdr_reftransV1_0007012</v>
      </c>
      <c r="B1443" s="2">
        <v>596</v>
      </c>
      <c r="C1443" s="4" t="str">
        <f>HYPERLINK("http://www.uniprot.org/uniprot/M5WVF2","M5WVF2")</f>
        <v>M5WVF2</v>
      </c>
      <c r="D1443" s="2" t="s">
        <v>1410</v>
      </c>
      <c r="E1443" s="3">
        <v>3.8700000000000001E-52</v>
      </c>
      <c r="F1443" s="2">
        <v>449</v>
      </c>
      <c r="G1443" s="2">
        <v>93</v>
      </c>
      <c r="H1443" s="2">
        <v>91</v>
      </c>
      <c r="I1443" s="2">
        <v>53</v>
      </c>
      <c r="J1443" s="2">
        <v>325</v>
      </c>
      <c r="K1443" s="2">
        <v>1</v>
      </c>
      <c r="L1443" s="2">
        <v>91</v>
      </c>
    </row>
    <row r="1444" spans="1:12" x14ac:dyDescent="0.25">
      <c r="A1444" s="4" t="str">
        <f>HYPERLINK("http://www.rosaceae.org/Prunus/Prunus_persica/p.persica_gdr_reftransV1_0007712","p.persica_gdr_reftransV1_0007712")</f>
        <v>p.persica_gdr_reftransV1_0007712</v>
      </c>
      <c r="B1444" s="2">
        <v>4382</v>
      </c>
      <c r="C1444" s="4" t="str">
        <f>HYPERLINK("http://www.uniprot.org/uniprot/M5XCE7","M5XCE7")</f>
        <v>M5XCE7</v>
      </c>
      <c r="D1444" s="2" t="s">
        <v>1411</v>
      </c>
      <c r="E1444" s="3">
        <v>0</v>
      </c>
      <c r="F1444" s="2">
        <v>2197</v>
      </c>
      <c r="G1444" s="2">
        <v>97</v>
      </c>
      <c r="H1444" s="2">
        <v>470</v>
      </c>
      <c r="I1444" s="2">
        <v>564</v>
      </c>
      <c r="J1444" s="2">
        <v>1973</v>
      </c>
      <c r="K1444" s="2">
        <v>1</v>
      </c>
      <c r="L1444" s="2">
        <v>454</v>
      </c>
    </row>
    <row r="1445" spans="1:12" x14ac:dyDescent="0.25">
      <c r="A1445" s="4" t="str">
        <f>HYPERLINK("http://www.rosaceae.org/Prunus/Prunus_persica/p.persica_gdr_reftransV1_0008062","p.persica_gdr_reftransV1_0008062")</f>
        <v>p.persica_gdr_reftransV1_0008062</v>
      </c>
      <c r="B1445" s="2">
        <v>1040</v>
      </c>
      <c r="C1445" s="4" t="str">
        <f>HYPERLINK("http://www.uniprot.org/uniprot/M5XBL1","M5XBL1")</f>
        <v>M5XBL1</v>
      </c>
      <c r="D1445" s="2" t="s">
        <v>1412</v>
      </c>
      <c r="E1445" s="3">
        <v>0</v>
      </c>
      <c r="F1445" s="2">
        <v>1456</v>
      </c>
      <c r="G1445" s="2">
        <v>100</v>
      </c>
      <c r="H1445" s="2">
        <v>292</v>
      </c>
      <c r="I1445" s="2">
        <v>163</v>
      </c>
      <c r="J1445" s="2">
        <v>1038</v>
      </c>
      <c r="K1445" s="2">
        <v>156</v>
      </c>
      <c r="L1445" s="2">
        <v>447</v>
      </c>
    </row>
    <row r="1446" spans="1:12" x14ac:dyDescent="0.25">
      <c r="A1446" s="4" t="str">
        <f>HYPERLINK("http://www.rosaceae.org/Prunus/Prunus_persica/p.persica_gdr_reftransV1_0008412","p.persica_gdr_reftransV1_0008412")</f>
        <v>p.persica_gdr_reftransV1_0008412</v>
      </c>
      <c r="B1446" s="2">
        <v>859</v>
      </c>
      <c r="C1446" s="4" t="str">
        <f>HYPERLINK("http://www.uniprot.org/uniprot/M5WI28","M5WI28")</f>
        <v>M5WI28</v>
      </c>
      <c r="D1446" s="2" t="s">
        <v>1413</v>
      </c>
      <c r="E1446" s="3">
        <v>1.41E-55</v>
      </c>
      <c r="F1446" s="2">
        <v>477</v>
      </c>
      <c r="G1446" s="2">
        <v>100</v>
      </c>
      <c r="H1446" s="2">
        <v>160</v>
      </c>
      <c r="I1446" s="2">
        <v>168</v>
      </c>
      <c r="J1446" s="2">
        <v>647</v>
      </c>
      <c r="K1446" s="2">
        <v>1</v>
      </c>
      <c r="L1446" s="2">
        <v>160</v>
      </c>
    </row>
    <row r="1447" spans="1:12" x14ac:dyDescent="0.25">
      <c r="A1447" s="4" t="str">
        <f>HYPERLINK("http://www.rosaceae.org/Prunus/Prunus_persica/p.persica_gdr_reftransV1_0008762","p.persica_gdr_reftransV1_0008762")</f>
        <v>p.persica_gdr_reftransV1_0008762</v>
      </c>
      <c r="B1447" s="2">
        <v>1357</v>
      </c>
      <c r="C1447" s="4" t="str">
        <f>HYPERLINK("http://www.uniprot.org/uniprot/M5WUU1","M5WUU1")</f>
        <v>M5WUU1</v>
      </c>
      <c r="D1447" s="2" t="s">
        <v>1414</v>
      </c>
      <c r="E1447" s="3">
        <v>2.44E-179</v>
      </c>
      <c r="F1447" s="2">
        <v>1324</v>
      </c>
      <c r="G1447" s="2">
        <v>98</v>
      </c>
      <c r="H1447" s="2">
        <v>275</v>
      </c>
      <c r="I1447" s="2">
        <v>312</v>
      </c>
      <c r="J1447" s="2">
        <v>1136</v>
      </c>
      <c r="K1447" s="2">
        <v>1</v>
      </c>
      <c r="L1447" s="2">
        <v>275</v>
      </c>
    </row>
    <row r="1448" spans="1:12" x14ac:dyDescent="0.25">
      <c r="A1448" s="4" t="str">
        <f>HYPERLINK("http://www.rosaceae.org/Prunus/Prunus_persica/p.persica_gdr_reftransV1_0010862","p.persica_gdr_reftransV1_0010862")</f>
        <v>p.persica_gdr_reftransV1_0010862</v>
      </c>
      <c r="B1448" s="2">
        <v>1160</v>
      </c>
      <c r="C1448" s="4" t="str">
        <f>HYPERLINK("http://www.uniprot.org/uniprot/A0A0F6Q0G3","A0A0F6Q0G3")</f>
        <v>A0A0F6Q0G3</v>
      </c>
      <c r="D1448" s="2" t="s">
        <v>1415</v>
      </c>
      <c r="E1448" s="3">
        <v>3.51E-128</v>
      </c>
      <c r="F1448" s="2">
        <v>975</v>
      </c>
      <c r="G1448" s="2">
        <v>100</v>
      </c>
      <c r="H1448" s="2">
        <v>182</v>
      </c>
      <c r="I1448" s="2">
        <v>3</v>
      </c>
      <c r="J1448" s="2">
        <v>548</v>
      </c>
      <c r="K1448" s="2">
        <v>45</v>
      </c>
      <c r="L1448" s="2">
        <v>226</v>
      </c>
    </row>
    <row r="1449" spans="1:12" x14ac:dyDescent="0.25">
      <c r="A1449" s="4" t="str">
        <f>HYPERLINK("http://www.rosaceae.org/Prunus/Prunus_persica/p.persica_gdr_reftransV1_0011912","p.persica_gdr_reftransV1_0011912")</f>
        <v>p.persica_gdr_reftransV1_0011912</v>
      </c>
      <c r="B1449" s="2">
        <v>782</v>
      </c>
      <c r="C1449" s="4" t="str">
        <f>HYPERLINK("http://www.uniprot.org/uniprot/B9HTB1","B9HTB1")</f>
        <v>B9HTB1</v>
      </c>
      <c r="D1449" s="2" t="s">
        <v>1416</v>
      </c>
      <c r="E1449" s="3">
        <v>1.12E-48</v>
      </c>
      <c r="F1449" s="2">
        <v>449</v>
      </c>
      <c r="G1449" s="2">
        <v>46</v>
      </c>
      <c r="H1449" s="2">
        <v>202</v>
      </c>
      <c r="I1449" s="2">
        <v>141</v>
      </c>
      <c r="J1449" s="2">
        <v>731</v>
      </c>
      <c r="K1449" s="2">
        <v>242</v>
      </c>
      <c r="L1449" s="2">
        <v>439</v>
      </c>
    </row>
    <row r="1450" spans="1:12" x14ac:dyDescent="0.25">
      <c r="A1450" s="4" t="str">
        <f>HYPERLINK("http://www.rosaceae.org/Prunus/Prunus_persica/p.persica_gdr_reftransV1_0012612","p.persica_gdr_reftransV1_0012612")</f>
        <v>p.persica_gdr_reftransV1_0012612</v>
      </c>
      <c r="B1450" s="2">
        <v>1418</v>
      </c>
      <c r="C1450" s="4" t="str">
        <f>HYPERLINK("http://www.uniprot.org/uniprot/M5W4Z9","M5W4Z9")</f>
        <v>M5W4Z9</v>
      </c>
      <c r="D1450" s="2" t="s">
        <v>1417</v>
      </c>
      <c r="E1450" s="3">
        <v>1.0999999999999999E-100</v>
      </c>
      <c r="F1450" s="2">
        <v>844</v>
      </c>
      <c r="G1450" s="2">
        <v>84</v>
      </c>
      <c r="H1450" s="2">
        <v>251</v>
      </c>
      <c r="I1450" s="2">
        <v>603</v>
      </c>
      <c r="J1450" s="2">
        <v>1232</v>
      </c>
      <c r="K1450" s="2">
        <v>1</v>
      </c>
      <c r="L1450" s="2">
        <v>251</v>
      </c>
    </row>
    <row r="1451" spans="1:12" x14ac:dyDescent="0.25">
      <c r="A1451" s="4" t="str">
        <f>HYPERLINK("http://www.rosaceae.org/Prunus/Prunus_persica/p.persica_gdr_reftransV1_0012962","p.persica_gdr_reftransV1_0012962")</f>
        <v>p.persica_gdr_reftransV1_0012962</v>
      </c>
      <c r="B1451" s="2">
        <v>3999</v>
      </c>
      <c r="C1451" s="4" t="str">
        <f>HYPERLINK("http://www.uniprot.org/uniprot/M5XE96","M5XE96")</f>
        <v>M5XE96</v>
      </c>
      <c r="D1451" s="2" t="s">
        <v>1418</v>
      </c>
      <c r="E1451" s="3">
        <v>7.1400000000000001E-157</v>
      </c>
      <c r="F1451" s="2">
        <v>1274</v>
      </c>
      <c r="G1451" s="2">
        <v>100</v>
      </c>
      <c r="H1451" s="2">
        <v>236</v>
      </c>
      <c r="I1451" s="2">
        <v>3035</v>
      </c>
      <c r="J1451" s="2">
        <v>3742</v>
      </c>
      <c r="K1451" s="2">
        <v>1</v>
      </c>
      <c r="L1451" s="2">
        <v>236</v>
      </c>
    </row>
    <row r="1452" spans="1:12" x14ac:dyDescent="0.25">
      <c r="A1452" s="4" t="str">
        <f>HYPERLINK("http://www.rosaceae.org/Prunus/Prunus_persica/p.persica_gdr_reftransV1_0014362","p.persica_gdr_reftransV1_0014362")</f>
        <v>p.persica_gdr_reftransV1_0014362</v>
      </c>
      <c r="B1452" s="2">
        <v>1336</v>
      </c>
      <c r="C1452" s="4" t="str">
        <f>HYPERLINK("http://www.uniprot.org/uniprot/M5X3D7","M5X3D7")</f>
        <v>M5X3D7</v>
      </c>
      <c r="D1452" s="2" t="s">
        <v>1419</v>
      </c>
      <c r="E1452" s="3">
        <v>0</v>
      </c>
      <c r="F1452" s="2">
        <v>1897</v>
      </c>
      <c r="G1452" s="2">
        <v>96</v>
      </c>
      <c r="H1452" s="2">
        <v>375</v>
      </c>
      <c r="I1452" s="2">
        <v>33</v>
      </c>
      <c r="J1452" s="2">
        <v>1157</v>
      </c>
      <c r="K1452" s="2">
        <v>1</v>
      </c>
      <c r="L1452" s="2">
        <v>359</v>
      </c>
    </row>
    <row r="1453" spans="1:12" x14ac:dyDescent="0.25">
      <c r="A1453" s="4" t="str">
        <f>HYPERLINK("http://www.rosaceae.org/Prunus/Prunus_persica/p.persica_gdr_reftransV1_0014712","p.persica_gdr_reftransV1_0014712")</f>
        <v>p.persica_gdr_reftransV1_0014712</v>
      </c>
      <c r="B1453" s="2">
        <v>1782</v>
      </c>
      <c r="C1453" s="4" t="str">
        <f>HYPERLINK("http://www.uniprot.org/uniprot/M5VT21","M5VT21")</f>
        <v>M5VT21</v>
      </c>
      <c r="D1453" s="2" t="s">
        <v>1420</v>
      </c>
      <c r="E1453" s="3">
        <v>0</v>
      </c>
      <c r="F1453" s="2">
        <v>2291</v>
      </c>
      <c r="G1453" s="2">
        <v>100</v>
      </c>
      <c r="H1453" s="2">
        <v>446</v>
      </c>
      <c r="I1453" s="2">
        <v>318</v>
      </c>
      <c r="J1453" s="2">
        <v>1655</v>
      </c>
      <c r="K1453" s="2">
        <v>1</v>
      </c>
      <c r="L1453" s="2">
        <v>446</v>
      </c>
    </row>
    <row r="1454" spans="1:12" x14ac:dyDescent="0.25">
      <c r="A1454" s="4" t="str">
        <f>HYPERLINK("http://www.rosaceae.org/Prunus/Prunus_persica/p.persica_gdr_reftransV1_0015062","p.persica_gdr_reftransV1_0015062")</f>
        <v>p.persica_gdr_reftransV1_0015062</v>
      </c>
      <c r="B1454" s="2">
        <v>1295</v>
      </c>
      <c r="C1454" s="4" t="str">
        <f>HYPERLINK("http://www.uniprot.org/uniprot/M5XII2","M5XII2")</f>
        <v>M5XII2</v>
      </c>
      <c r="D1454" s="2" t="s">
        <v>1421</v>
      </c>
      <c r="E1454" s="3">
        <v>5.1599999999999997E-163</v>
      </c>
      <c r="F1454" s="2">
        <v>1229</v>
      </c>
      <c r="G1454" s="2">
        <v>100</v>
      </c>
      <c r="H1454" s="2">
        <v>375</v>
      </c>
      <c r="I1454" s="2">
        <v>20</v>
      </c>
      <c r="J1454" s="2">
        <v>1144</v>
      </c>
      <c r="K1454" s="2">
        <v>33</v>
      </c>
      <c r="L1454" s="2">
        <v>407</v>
      </c>
    </row>
    <row r="1455" spans="1:12" x14ac:dyDescent="0.25">
      <c r="A1455" s="4" t="str">
        <f>HYPERLINK("http://www.rosaceae.org/Prunus/Prunus_persica/p.persica_gdr_reftransV1_0015412","p.persica_gdr_reftransV1_0015412")</f>
        <v>p.persica_gdr_reftransV1_0015412</v>
      </c>
      <c r="B1455" s="2">
        <v>5115</v>
      </c>
      <c r="C1455" s="4" t="str">
        <f>HYPERLINK("http://www.uniprot.org/uniprot/M5X624","M5X624")</f>
        <v>M5X624</v>
      </c>
      <c r="D1455" s="2" t="s">
        <v>1422</v>
      </c>
      <c r="E1455" s="3">
        <v>0</v>
      </c>
      <c r="F1455" s="2">
        <v>5324</v>
      </c>
      <c r="G1455" s="2">
        <v>86</v>
      </c>
      <c r="H1455" s="2">
        <v>1222</v>
      </c>
      <c r="I1455" s="2">
        <v>1255</v>
      </c>
      <c r="J1455" s="2">
        <v>4917</v>
      </c>
      <c r="K1455" s="2">
        <v>1</v>
      </c>
      <c r="L1455" s="2">
        <v>1146</v>
      </c>
    </row>
    <row r="1456" spans="1:12" x14ac:dyDescent="0.25">
      <c r="A1456" s="4" t="str">
        <f>HYPERLINK("http://www.rosaceae.org/Prunus/Prunus_persica/p.persica_gdr_reftransV1_0016112","p.persica_gdr_reftransV1_0016112")</f>
        <v>p.persica_gdr_reftransV1_0016112</v>
      </c>
      <c r="B1456" s="2">
        <v>2279</v>
      </c>
      <c r="C1456" s="4" t="str">
        <f>HYPERLINK("http://www.uniprot.org/uniprot/M5WIC1","M5WIC1")</f>
        <v>M5WIC1</v>
      </c>
      <c r="D1456" s="2" t="s">
        <v>1423</v>
      </c>
      <c r="E1456" s="3">
        <v>0</v>
      </c>
      <c r="F1456" s="2">
        <v>1785</v>
      </c>
      <c r="G1456" s="2">
        <v>100</v>
      </c>
      <c r="H1456" s="2">
        <v>401</v>
      </c>
      <c r="I1456" s="2">
        <v>433</v>
      </c>
      <c r="J1456" s="2">
        <v>1635</v>
      </c>
      <c r="K1456" s="2">
        <v>1</v>
      </c>
      <c r="L1456" s="2">
        <v>401</v>
      </c>
    </row>
    <row r="1457" spans="1:12" x14ac:dyDescent="0.25">
      <c r="A1457" s="4" t="str">
        <f>HYPERLINK("http://www.rosaceae.org/Prunus/Prunus_persica/p.persica_gdr_reftransV1_0016462","p.persica_gdr_reftransV1_0016462")</f>
        <v>p.persica_gdr_reftransV1_0016462</v>
      </c>
      <c r="B1457" s="2">
        <v>1687</v>
      </c>
      <c r="C1457" s="4" t="str">
        <f>HYPERLINK("http://www.uniprot.org/uniprot/M5XAT1","M5XAT1")</f>
        <v>M5XAT1</v>
      </c>
      <c r="D1457" s="2" t="s">
        <v>1424</v>
      </c>
      <c r="E1457" s="3">
        <v>4.5299999999999998E-44</v>
      </c>
      <c r="F1457" s="2">
        <v>411</v>
      </c>
      <c r="G1457" s="2">
        <v>100</v>
      </c>
      <c r="H1457" s="2">
        <v>74</v>
      </c>
      <c r="I1457" s="2">
        <v>341</v>
      </c>
      <c r="J1457" s="2">
        <v>562</v>
      </c>
      <c r="K1457" s="2">
        <v>44</v>
      </c>
      <c r="L1457" s="2">
        <v>117</v>
      </c>
    </row>
    <row r="1458" spans="1:12" x14ac:dyDescent="0.25">
      <c r="A1458" s="4" t="str">
        <f>HYPERLINK("http://www.rosaceae.org/Prunus/Prunus_persica/p.persica_gdr_reftransV1_0017512","p.persica_gdr_reftransV1_0017512")</f>
        <v>p.persica_gdr_reftransV1_0017512</v>
      </c>
      <c r="B1458" s="2">
        <v>738</v>
      </c>
      <c r="C1458" s="4" t="str">
        <f>HYPERLINK("http://www.uniprot.org/uniprot/M5X374","M5X374")</f>
        <v>M5X374</v>
      </c>
      <c r="D1458" s="2" t="s">
        <v>1425</v>
      </c>
      <c r="E1458" s="3">
        <v>4.3100000000000003E-118</v>
      </c>
      <c r="F1458" s="2">
        <v>903</v>
      </c>
      <c r="G1458" s="2">
        <v>97</v>
      </c>
      <c r="H1458" s="2">
        <v>189</v>
      </c>
      <c r="I1458" s="2">
        <v>19</v>
      </c>
      <c r="J1458" s="2">
        <v>585</v>
      </c>
      <c r="K1458" s="2">
        <v>138</v>
      </c>
      <c r="L1458" s="2">
        <v>324</v>
      </c>
    </row>
    <row r="1459" spans="1:12" x14ac:dyDescent="0.25">
      <c r="A1459" s="4" t="str">
        <f>HYPERLINK("http://www.rosaceae.org/Prunus/Prunus_persica/p.persica_gdr_reftransV1_0018562","p.persica_gdr_reftransV1_0018562")</f>
        <v>p.persica_gdr_reftransV1_0018562</v>
      </c>
      <c r="B1459" s="2">
        <v>3537</v>
      </c>
      <c r="C1459" s="4" t="str">
        <f>HYPERLINK("http://www.uniprot.org/uniprot/M5WN47","M5WN47")</f>
        <v>M5WN47</v>
      </c>
      <c r="D1459" s="2" t="s">
        <v>1426</v>
      </c>
      <c r="E1459" s="3">
        <v>0</v>
      </c>
      <c r="F1459" s="2">
        <v>2545</v>
      </c>
      <c r="G1459" s="2">
        <v>100</v>
      </c>
      <c r="H1459" s="2">
        <v>515</v>
      </c>
      <c r="I1459" s="2">
        <v>1587</v>
      </c>
      <c r="J1459" s="2">
        <v>3131</v>
      </c>
      <c r="K1459" s="2">
        <v>1</v>
      </c>
      <c r="L1459" s="2">
        <v>515</v>
      </c>
    </row>
    <row r="1460" spans="1:12" x14ac:dyDescent="0.25">
      <c r="A1460" s="4" t="str">
        <f>HYPERLINK("http://www.rosaceae.org/Prunus/Prunus_persica/p.persica_gdr_reftransV1_0018912","p.persica_gdr_reftransV1_0018912")</f>
        <v>p.persica_gdr_reftransV1_0018912</v>
      </c>
      <c r="B1460" s="2">
        <v>2071</v>
      </c>
      <c r="C1460" s="4" t="str">
        <f>HYPERLINK("http://www.uniprot.org/uniprot/M5W5C5","M5W5C5")</f>
        <v>M5W5C5</v>
      </c>
      <c r="D1460" s="2" t="s">
        <v>1427</v>
      </c>
      <c r="E1460" s="3">
        <v>0</v>
      </c>
      <c r="F1460" s="2">
        <v>1907</v>
      </c>
      <c r="G1460" s="2">
        <v>90</v>
      </c>
      <c r="H1460" s="2">
        <v>433</v>
      </c>
      <c r="I1460" s="2">
        <v>392</v>
      </c>
      <c r="J1460" s="2">
        <v>1690</v>
      </c>
      <c r="K1460" s="2">
        <v>1</v>
      </c>
      <c r="L1460" s="2">
        <v>432</v>
      </c>
    </row>
    <row r="1461" spans="1:12" x14ac:dyDescent="0.25">
      <c r="A1461" s="4" t="str">
        <f>HYPERLINK("http://www.rosaceae.org/Prunus/Prunus_persica/p.persica_gdr_reftransV1_0019612","p.persica_gdr_reftransV1_0019612")</f>
        <v>p.persica_gdr_reftransV1_0019612</v>
      </c>
      <c r="B1461" s="2">
        <v>897</v>
      </c>
      <c r="C1461" s="4" t="str">
        <f>HYPERLINK("http://www.uniprot.org/uniprot/M5WEV4","M5WEV4")</f>
        <v>M5WEV4</v>
      </c>
      <c r="D1461" s="2" t="s">
        <v>1428</v>
      </c>
      <c r="E1461" s="3">
        <v>2.46E-57</v>
      </c>
      <c r="F1461" s="2">
        <v>490</v>
      </c>
      <c r="G1461" s="2">
        <v>99</v>
      </c>
      <c r="H1461" s="2">
        <v>141</v>
      </c>
      <c r="I1461" s="2">
        <v>405</v>
      </c>
      <c r="J1461" s="2">
        <v>827</v>
      </c>
      <c r="K1461" s="2">
        <v>1</v>
      </c>
      <c r="L1461" s="2">
        <v>141</v>
      </c>
    </row>
    <row r="1462" spans="1:12" x14ac:dyDescent="0.25">
      <c r="A1462" s="4" t="str">
        <f>HYPERLINK("http://www.rosaceae.org/Prunus/Prunus_persica/p.persica_gdr_reftransV1_0023112","p.persica_gdr_reftransV1_0023112")</f>
        <v>p.persica_gdr_reftransV1_0023112</v>
      </c>
      <c r="B1462" s="2">
        <v>1436</v>
      </c>
      <c r="C1462" s="4" t="str">
        <f>HYPERLINK("http://www.uniprot.org/uniprot/M5X235","M5X235")</f>
        <v>M5X235</v>
      </c>
      <c r="D1462" s="2" t="s">
        <v>1429</v>
      </c>
      <c r="E1462" s="3">
        <v>1.5700000000000001E-102</v>
      </c>
      <c r="F1462" s="2">
        <v>820</v>
      </c>
      <c r="G1462" s="2">
        <v>100</v>
      </c>
      <c r="H1462" s="2">
        <v>277</v>
      </c>
      <c r="I1462" s="2">
        <v>232</v>
      </c>
      <c r="J1462" s="2">
        <v>1062</v>
      </c>
      <c r="K1462" s="2">
        <v>1</v>
      </c>
      <c r="L1462" s="2">
        <v>277</v>
      </c>
    </row>
    <row r="1463" spans="1:12" x14ac:dyDescent="0.25">
      <c r="A1463" s="4" t="str">
        <f>HYPERLINK("http://www.rosaceae.org/Prunus/Prunus_persica/p.persica_gdr_reftransV1_0023462","p.persica_gdr_reftransV1_0023462")</f>
        <v>p.persica_gdr_reftransV1_0023462</v>
      </c>
      <c r="B1463" s="2">
        <v>1267</v>
      </c>
      <c r="C1463" s="4" t="str">
        <f>HYPERLINK("http://www.uniprot.org/uniprot/M5W9Q5","M5W9Q5")</f>
        <v>M5W9Q5</v>
      </c>
      <c r="D1463" s="2" t="s">
        <v>1430</v>
      </c>
      <c r="E1463" s="3">
        <v>1.19E-60</v>
      </c>
      <c r="F1463" s="2">
        <v>524</v>
      </c>
      <c r="G1463" s="2">
        <v>68</v>
      </c>
      <c r="H1463" s="2">
        <v>214</v>
      </c>
      <c r="I1463" s="2">
        <v>400</v>
      </c>
      <c r="J1463" s="2">
        <v>1041</v>
      </c>
      <c r="K1463" s="2">
        <v>21</v>
      </c>
      <c r="L1463" s="2">
        <v>185</v>
      </c>
    </row>
    <row r="1464" spans="1:12" x14ac:dyDescent="0.25">
      <c r="A1464" s="4" t="str">
        <f>HYPERLINK("http://www.rosaceae.org/Prunus/Prunus_persica/p.persica_gdr_reftransV1_0024162","p.persica_gdr_reftransV1_0024162")</f>
        <v>p.persica_gdr_reftransV1_0024162</v>
      </c>
      <c r="B1464" s="2">
        <v>1586</v>
      </c>
      <c r="C1464" s="4" t="str">
        <f>HYPERLINK("http://www.uniprot.org/uniprot/M5W9D6","M5W9D6")</f>
        <v>M5W9D6</v>
      </c>
      <c r="D1464" s="2" t="s">
        <v>1431</v>
      </c>
      <c r="E1464" s="3">
        <v>0</v>
      </c>
      <c r="F1464" s="2">
        <v>2288</v>
      </c>
      <c r="G1464" s="2">
        <v>100</v>
      </c>
      <c r="H1464" s="2">
        <v>437</v>
      </c>
      <c r="I1464" s="2">
        <v>203</v>
      </c>
      <c r="J1464" s="2">
        <v>1513</v>
      </c>
      <c r="K1464" s="2">
        <v>1</v>
      </c>
      <c r="L1464" s="2">
        <v>437</v>
      </c>
    </row>
    <row r="1465" spans="1:12" x14ac:dyDescent="0.25">
      <c r="A1465" s="4" t="str">
        <f>HYPERLINK("http://www.rosaceae.org/Prunus/Prunus_persica/p.persica_gdr_reftransV1_0026262","p.persica_gdr_reftransV1_0026262")</f>
        <v>p.persica_gdr_reftransV1_0026262</v>
      </c>
      <c r="B1465" s="2">
        <v>2669</v>
      </c>
      <c r="C1465" s="4" t="str">
        <f>HYPERLINK("http://www.uniprot.org/uniprot/M5XCE2","M5XCE2")</f>
        <v>M5XCE2</v>
      </c>
      <c r="D1465" s="2" t="s">
        <v>324</v>
      </c>
      <c r="E1465" s="3">
        <v>0</v>
      </c>
      <c r="F1465" s="2">
        <v>1620</v>
      </c>
      <c r="G1465" s="2">
        <v>100</v>
      </c>
      <c r="H1465" s="2">
        <v>309</v>
      </c>
      <c r="I1465" s="2">
        <v>1231</v>
      </c>
      <c r="J1465" s="2">
        <v>2157</v>
      </c>
      <c r="K1465" s="2">
        <v>99</v>
      </c>
      <c r="L1465" s="2">
        <v>407</v>
      </c>
    </row>
    <row r="1466" spans="1:12" x14ac:dyDescent="0.25">
      <c r="A1466" s="4" t="str">
        <f>HYPERLINK("http://www.rosaceae.org/Prunus/Prunus_persica/p.persica_gdr_reftransV1_0027662","p.persica_gdr_reftransV1_0027662")</f>
        <v>p.persica_gdr_reftransV1_0027662</v>
      </c>
      <c r="B1466" s="2">
        <v>2500</v>
      </c>
      <c r="C1466" s="4" t="str">
        <f>HYPERLINK("http://www.uniprot.org/uniprot/M5WHG8","M5WHG8")</f>
        <v>M5WHG8</v>
      </c>
      <c r="D1466" s="2" t="s">
        <v>1432</v>
      </c>
      <c r="E1466" s="3">
        <v>0</v>
      </c>
      <c r="F1466" s="2">
        <v>1431</v>
      </c>
      <c r="G1466" s="2">
        <v>87</v>
      </c>
      <c r="H1466" s="2">
        <v>321</v>
      </c>
      <c r="I1466" s="2">
        <v>955</v>
      </c>
      <c r="J1466" s="2">
        <v>1917</v>
      </c>
      <c r="K1466" s="2">
        <v>155</v>
      </c>
      <c r="L1466" s="2">
        <v>435</v>
      </c>
    </row>
    <row r="1467" spans="1:12" x14ac:dyDescent="0.25">
      <c r="A1467" s="4" t="str">
        <f>HYPERLINK("http://www.rosaceae.org/Prunus/Prunus_persica/p.persica_gdr_reftransV1_0029062","p.persica_gdr_reftransV1_0029062")</f>
        <v>p.persica_gdr_reftransV1_0029062</v>
      </c>
      <c r="B1467" s="2">
        <v>4386</v>
      </c>
      <c r="C1467" s="4" t="str">
        <f>HYPERLINK("http://www.uniprot.org/uniprot/M5WJY3","M5WJY3")</f>
        <v>M5WJY3</v>
      </c>
      <c r="D1467" s="2" t="s">
        <v>1433</v>
      </c>
      <c r="E1467" s="3">
        <v>0</v>
      </c>
      <c r="F1467" s="2">
        <v>3593</v>
      </c>
      <c r="G1467" s="2">
        <v>99</v>
      </c>
      <c r="H1467" s="2">
        <v>723</v>
      </c>
      <c r="I1467" s="2">
        <v>203</v>
      </c>
      <c r="J1467" s="2">
        <v>2371</v>
      </c>
      <c r="K1467" s="2">
        <v>3</v>
      </c>
      <c r="L1467" s="2">
        <v>725</v>
      </c>
    </row>
    <row r="1468" spans="1:12" x14ac:dyDescent="0.25">
      <c r="A1468" s="4" t="str">
        <f>HYPERLINK("http://www.rosaceae.org/Prunus/Prunus_persica/p.persica_gdr_reftransV1_0029412","p.persica_gdr_reftransV1_0029412")</f>
        <v>p.persica_gdr_reftransV1_0029412</v>
      </c>
      <c r="B1468" s="2">
        <v>465</v>
      </c>
      <c r="C1468" s="4" t="str">
        <f>HYPERLINK("http://www.uniprot.org/uniprot/M5WCI7","M5WCI7")</f>
        <v>M5WCI7</v>
      </c>
      <c r="D1468" s="2" t="s">
        <v>1434</v>
      </c>
      <c r="E1468" s="3">
        <v>2.9899999999999998E-107</v>
      </c>
      <c r="F1468" s="2">
        <v>813</v>
      </c>
      <c r="G1468" s="2">
        <v>100</v>
      </c>
      <c r="H1468" s="2">
        <v>154</v>
      </c>
      <c r="I1468" s="2">
        <v>2</v>
      </c>
      <c r="J1468" s="2">
        <v>463</v>
      </c>
      <c r="K1468" s="2">
        <v>36</v>
      </c>
      <c r="L1468" s="2">
        <v>189</v>
      </c>
    </row>
    <row r="1469" spans="1:12" x14ac:dyDescent="0.25">
      <c r="A1469" s="4" t="str">
        <f>HYPERLINK("http://www.rosaceae.org/Prunus/Prunus_persica/p.persica_gdr_reftransV1_0030112","p.persica_gdr_reftransV1_0030112")</f>
        <v>p.persica_gdr_reftransV1_0030112</v>
      </c>
      <c r="B1469" s="2">
        <v>1385</v>
      </c>
      <c r="C1469" s="4" t="str">
        <f>HYPERLINK("http://www.uniprot.org/uniprot/M5VLG7","M5VLG7")</f>
        <v>M5VLG7</v>
      </c>
      <c r="D1469" s="2" t="s">
        <v>1435</v>
      </c>
      <c r="E1469" s="3">
        <v>1.39E-180</v>
      </c>
      <c r="F1469" s="2">
        <v>1335</v>
      </c>
      <c r="G1469" s="2">
        <v>100</v>
      </c>
      <c r="H1469" s="2">
        <v>276</v>
      </c>
      <c r="I1469" s="2">
        <v>428</v>
      </c>
      <c r="J1469" s="2">
        <v>1255</v>
      </c>
      <c r="K1469" s="2">
        <v>1</v>
      </c>
      <c r="L1469" s="2">
        <v>276</v>
      </c>
    </row>
    <row r="1470" spans="1:12" x14ac:dyDescent="0.25">
      <c r="A1470" s="4" t="str">
        <f>HYPERLINK("http://www.rosaceae.org/Prunus/Prunus_persica/p.persica_gdr_reftransV1_0030462","p.persica_gdr_reftransV1_0030462")</f>
        <v>p.persica_gdr_reftransV1_0030462</v>
      </c>
      <c r="B1470" s="2">
        <v>787</v>
      </c>
      <c r="C1470" s="4" t="str">
        <f>HYPERLINK("http://www.uniprot.org/uniprot/M5WAT9","M5WAT9")</f>
        <v>M5WAT9</v>
      </c>
      <c r="D1470" s="2" t="s">
        <v>1436</v>
      </c>
      <c r="E1470" s="3">
        <v>6.9699999999999998E-90</v>
      </c>
      <c r="F1470" s="2">
        <v>704</v>
      </c>
      <c r="G1470" s="2">
        <v>100</v>
      </c>
      <c r="H1470" s="2">
        <v>181</v>
      </c>
      <c r="I1470" s="2">
        <v>95</v>
      </c>
      <c r="J1470" s="2">
        <v>637</v>
      </c>
      <c r="K1470" s="2">
        <v>1</v>
      </c>
      <c r="L1470" s="2">
        <v>181</v>
      </c>
    </row>
    <row r="1471" spans="1:12" x14ac:dyDescent="0.25">
      <c r="A1471" s="4" t="str">
        <f>HYPERLINK("http://www.rosaceae.org/Prunus/Prunus_persica/p.persica_gdr_reftransV1_0031162","p.persica_gdr_reftransV1_0031162")</f>
        <v>p.persica_gdr_reftransV1_0031162</v>
      </c>
      <c r="B1471" s="2">
        <v>2925</v>
      </c>
      <c r="C1471" s="4" t="str">
        <f>HYPERLINK("http://www.uniprot.org/uniprot/M5XDG4","M5XDG4")</f>
        <v>M5XDG4</v>
      </c>
      <c r="D1471" s="2" t="s">
        <v>584</v>
      </c>
      <c r="E1471" s="3">
        <v>8.5099999999999998E-161</v>
      </c>
      <c r="F1471" s="2">
        <v>1257</v>
      </c>
      <c r="G1471" s="2">
        <v>100</v>
      </c>
      <c r="H1471" s="2">
        <v>265</v>
      </c>
      <c r="I1471" s="2">
        <v>661</v>
      </c>
      <c r="J1471" s="2">
        <v>1455</v>
      </c>
      <c r="K1471" s="2">
        <v>1</v>
      </c>
      <c r="L1471" s="2">
        <v>265</v>
      </c>
    </row>
    <row r="1472" spans="1:12" x14ac:dyDescent="0.25">
      <c r="A1472" s="4" t="str">
        <f>HYPERLINK("http://www.rosaceae.org/Prunus/Prunus_persica/p.persica_gdr_reftransV1_0031512","p.persica_gdr_reftransV1_0031512")</f>
        <v>p.persica_gdr_reftransV1_0031512</v>
      </c>
      <c r="B1472" s="2">
        <v>2292</v>
      </c>
      <c r="C1472" s="4" t="str">
        <f>HYPERLINK("http://www.uniprot.org/uniprot/M5WH45","M5WH45")</f>
        <v>M5WH45</v>
      </c>
      <c r="D1472" s="2" t="s">
        <v>1437</v>
      </c>
      <c r="E1472" s="3">
        <v>2.2700000000000001E-178</v>
      </c>
      <c r="F1472" s="2">
        <v>1369</v>
      </c>
      <c r="G1472" s="2">
        <v>99</v>
      </c>
      <c r="H1472" s="2">
        <v>257</v>
      </c>
      <c r="I1472" s="2">
        <v>234</v>
      </c>
      <c r="J1472" s="2">
        <v>1004</v>
      </c>
      <c r="K1472" s="2">
        <v>1</v>
      </c>
      <c r="L1472" s="2">
        <v>257</v>
      </c>
    </row>
    <row r="1473" spans="1:12" x14ac:dyDescent="0.25">
      <c r="A1473" s="4" t="str">
        <f>HYPERLINK("http://www.rosaceae.org/Prunus/Prunus_persica/p.persica_gdr_reftransV1_0033262","p.persica_gdr_reftransV1_0033262")</f>
        <v>p.persica_gdr_reftransV1_0033262</v>
      </c>
      <c r="B1473" s="2">
        <v>1258</v>
      </c>
      <c r="C1473" s="4" t="str">
        <f>HYPERLINK("http://www.uniprot.org/uniprot/M5WHF6","M5WHF6")</f>
        <v>M5WHF6</v>
      </c>
      <c r="D1473" s="2" t="s">
        <v>1438</v>
      </c>
      <c r="E1473" s="3">
        <v>8.9500000000000001E-167</v>
      </c>
      <c r="F1473" s="2">
        <v>1234</v>
      </c>
      <c r="G1473" s="2">
        <v>100</v>
      </c>
      <c r="H1473" s="2">
        <v>235</v>
      </c>
      <c r="I1473" s="2">
        <v>144</v>
      </c>
      <c r="J1473" s="2">
        <v>848</v>
      </c>
      <c r="K1473" s="2">
        <v>1</v>
      </c>
      <c r="L1473" s="2">
        <v>235</v>
      </c>
    </row>
    <row r="1474" spans="1:12" x14ac:dyDescent="0.25">
      <c r="A1474" s="4" t="str">
        <f>HYPERLINK("http://www.rosaceae.org/Prunus/Prunus_persica/p.persica_gdr_reftransV1_0034662","p.persica_gdr_reftransV1_0034662")</f>
        <v>p.persica_gdr_reftransV1_0034662</v>
      </c>
      <c r="B1474" s="2">
        <v>3069</v>
      </c>
      <c r="C1474" s="4" t="str">
        <f>HYPERLINK("http://www.uniprot.org/uniprot/M5XPA7","M5XPA7")</f>
        <v>M5XPA7</v>
      </c>
      <c r="D1474" s="2" t="s">
        <v>1439</v>
      </c>
      <c r="E1474" s="3">
        <v>0</v>
      </c>
      <c r="F1474" s="2">
        <v>1559</v>
      </c>
      <c r="G1474" s="2">
        <v>100</v>
      </c>
      <c r="H1474" s="2">
        <v>309</v>
      </c>
      <c r="I1474" s="2">
        <v>81</v>
      </c>
      <c r="J1474" s="2">
        <v>1007</v>
      </c>
      <c r="K1474" s="2">
        <v>1</v>
      </c>
      <c r="L1474" s="2">
        <v>309</v>
      </c>
    </row>
    <row r="1475" spans="1:12" x14ac:dyDescent="0.25">
      <c r="A1475" s="4" t="str">
        <f>HYPERLINK("http://www.rosaceae.org/Prunus/Prunus_persica/p.persica_gdr_reftransV1_0035012","p.persica_gdr_reftransV1_0035012")</f>
        <v>p.persica_gdr_reftransV1_0035012</v>
      </c>
      <c r="B1475" s="2">
        <v>4501</v>
      </c>
      <c r="C1475" s="4" t="str">
        <f>HYPERLINK("http://www.uniprot.org/uniprot/M5W7R8","M5W7R8")</f>
        <v>M5W7R8</v>
      </c>
      <c r="D1475" s="2" t="s">
        <v>1440</v>
      </c>
      <c r="E1475" s="3">
        <v>0</v>
      </c>
      <c r="F1475" s="2">
        <v>2534</v>
      </c>
      <c r="G1475" s="2">
        <v>100</v>
      </c>
      <c r="H1475" s="2">
        <v>523</v>
      </c>
      <c r="I1475" s="2">
        <v>2742</v>
      </c>
      <c r="J1475" s="2">
        <v>4310</v>
      </c>
      <c r="K1475" s="2">
        <v>1</v>
      </c>
      <c r="L1475" s="2">
        <v>523</v>
      </c>
    </row>
    <row r="1476" spans="1:12" x14ac:dyDescent="0.25">
      <c r="A1476" s="4" t="str">
        <f>HYPERLINK("http://www.rosaceae.org/Prunus/Prunus_persica/p.persica_gdr_reftransV1_0037112","p.persica_gdr_reftransV1_0037112")</f>
        <v>p.persica_gdr_reftransV1_0037112</v>
      </c>
      <c r="B1476" s="2">
        <v>352</v>
      </c>
      <c r="C1476" s="4" t="str">
        <f>HYPERLINK("http://www.uniprot.org/uniprot/M5XPM1","M5XPM1")</f>
        <v>M5XPM1</v>
      </c>
      <c r="D1476" s="2" t="s">
        <v>1441</v>
      </c>
      <c r="E1476" s="3">
        <v>1.08E-48</v>
      </c>
      <c r="F1476" s="2">
        <v>429</v>
      </c>
      <c r="G1476" s="2">
        <v>100</v>
      </c>
      <c r="H1476" s="2">
        <v>81</v>
      </c>
      <c r="I1476" s="2">
        <v>109</v>
      </c>
      <c r="J1476" s="2">
        <v>351</v>
      </c>
      <c r="K1476" s="2">
        <v>17</v>
      </c>
      <c r="L1476" s="2">
        <v>97</v>
      </c>
    </row>
    <row r="1477" spans="1:12" x14ac:dyDescent="0.25">
      <c r="A1477" s="4" t="str">
        <f>HYPERLINK("http://www.rosaceae.org/Prunus/Prunus_persica/p.persica_gdr_reftransV1_0038512","p.persica_gdr_reftransV1_0038512")</f>
        <v>p.persica_gdr_reftransV1_0038512</v>
      </c>
      <c r="B1477" s="2">
        <v>1132</v>
      </c>
      <c r="C1477" s="4" t="str">
        <f>HYPERLINK("http://www.uniprot.org/uniprot/M5XEU5","M5XEU5")</f>
        <v>M5XEU5</v>
      </c>
      <c r="D1477" s="2" t="s">
        <v>1442</v>
      </c>
      <c r="E1477" s="3">
        <v>1.06E-156</v>
      </c>
      <c r="F1477" s="2">
        <v>1170</v>
      </c>
      <c r="G1477" s="2">
        <v>100</v>
      </c>
      <c r="H1477" s="2">
        <v>276</v>
      </c>
      <c r="I1477" s="2">
        <v>303</v>
      </c>
      <c r="J1477" s="2">
        <v>1130</v>
      </c>
      <c r="K1477" s="2">
        <v>2</v>
      </c>
      <c r="L1477" s="2">
        <v>277</v>
      </c>
    </row>
    <row r="1478" spans="1:12" x14ac:dyDescent="0.25">
      <c r="A1478" s="4" t="str">
        <f>HYPERLINK("http://www.rosaceae.org/Prunus/Prunus_persica/p.persica_gdr_reftransV1_0039212","p.persica_gdr_reftransV1_0039212")</f>
        <v>p.persica_gdr_reftransV1_0039212</v>
      </c>
      <c r="B1478" s="2">
        <v>3108</v>
      </c>
      <c r="C1478" s="4" t="str">
        <f>HYPERLINK("http://www.uniprot.org/uniprot/M5XJ71","M5XJ71")</f>
        <v>M5XJ71</v>
      </c>
      <c r="D1478" s="2" t="s">
        <v>1443</v>
      </c>
      <c r="E1478" s="3">
        <v>0</v>
      </c>
      <c r="F1478" s="2">
        <v>1444</v>
      </c>
      <c r="G1478" s="2">
        <v>88</v>
      </c>
      <c r="H1478" s="2">
        <v>328</v>
      </c>
      <c r="I1478" s="2">
        <v>1870</v>
      </c>
      <c r="J1478" s="2">
        <v>2814</v>
      </c>
      <c r="K1478" s="2">
        <v>1</v>
      </c>
      <c r="L1478" s="2">
        <v>326</v>
      </c>
    </row>
    <row r="1479" spans="1:12" x14ac:dyDescent="0.25">
      <c r="A1479" s="4" t="str">
        <f>HYPERLINK("http://www.rosaceae.org/Prunus/Prunus_persica/p.persica_gdr_reftransV1_0039912","p.persica_gdr_reftransV1_0039912")</f>
        <v>p.persica_gdr_reftransV1_0039912</v>
      </c>
      <c r="B1479" s="2">
        <v>1846</v>
      </c>
      <c r="C1479" s="4" t="str">
        <f>HYPERLINK("http://www.uniprot.org/uniprot/M5X5A1","M5X5A1")</f>
        <v>M5X5A1</v>
      </c>
      <c r="D1479" s="2" t="s">
        <v>1444</v>
      </c>
      <c r="E1479" s="3">
        <v>0</v>
      </c>
      <c r="F1479" s="2">
        <v>2155</v>
      </c>
      <c r="G1479" s="2">
        <v>100</v>
      </c>
      <c r="H1479" s="2">
        <v>440</v>
      </c>
      <c r="I1479" s="2">
        <v>192</v>
      </c>
      <c r="J1479" s="2">
        <v>1511</v>
      </c>
      <c r="K1479" s="2">
        <v>7</v>
      </c>
      <c r="L1479" s="2">
        <v>446</v>
      </c>
    </row>
    <row r="1480" spans="1:12" x14ac:dyDescent="0.25">
      <c r="A1480" s="4" t="str">
        <f>HYPERLINK("http://www.rosaceae.org/Prunus/Prunus_persica/p.persica_gdr_reftransV1_0041312","p.persica_gdr_reftransV1_0041312")</f>
        <v>p.persica_gdr_reftransV1_0041312</v>
      </c>
      <c r="B1480" s="2">
        <v>1454</v>
      </c>
      <c r="C1480" s="4" t="str">
        <f>HYPERLINK("http://www.uniprot.org/uniprot/M5XDJ4","M5XDJ4")</f>
        <v>M5XDJ4</v>
      </c>
      <c r="D1480" s="2" t="s">
        <v>1445</v>
      </c>
      <c r="E1480" s="3">
        <v>0</v>
      </c>
      <c r="F1480" s="2">
        <v>1576</v>
      </c>
      <c r="G1480" s="2">
        <v>100</v>
      </c>
      <c r="H1480" s="2">
        <v>348</v>
      </c>
      <c r="I1480" s="2">
        <v>278</v>
      </c>
      <c r="J1480" s="2">
        <v>1321</v>
      </c>
      <c r="K1480" s="2">
        <v>1</v>
      </c>
      <c r="L1480" s="2">
        <v>348</v>
      </c>
    </row>
    <row r="1481" spans="1:12" x14ac:dyDescent="0.25">
      <c r="A1481" s="4" t="str">
        <f>HYPERLINK("http://www.rosaceae.org/Prunus/Prunus_persica/p.persica_gdr_reftransV1_0041662","p.persica_gdr_reftransV1_0041662")</f>
        <v>p.persica_gdr_reftransV1_0041662</v>
      </c>
      <c r="B1481" s="2">
        <v>2602</v>
      </c>
      <c r="C1481" s="4" t="str">
        <f>HYPERLINK("http://www.uniprot.org/uniprot/M5VYJ9","M5VYJ9")</f>
        <v>M5VYJ9</v>
      </c>
      <c r="D1481" s="2" t="s">
        <v>1446</v>
      </c>
      <c r="E1481" s="3">
        <v>0</v>
      </c>
      <c r="F1481" s="2">
        <v>1585</v>
      </c>
      <c r="G1481" s="2">
        <v>100</v>
      </c>
      <c r="H1481" s="2">
        <v>348</v>
      </c>
      <c r="I1481" s="2">
        <v>1312</v>
      </c>
      <c r="J1481" s="2">
        <v>2355</v>
      </c>
      <c r="K1481" s="2">
        <v>1</v>
      </c>
      <c r="L1481" s="2">
        <v>348</v>
      </c>
    </row>
    <row r="1482" spans="1:12" x14ac:dyDescent="0.25">
      <c r="A1482" s="4" t="str">
        <f>HYPERLINK("http://www.rosaceae.org/Prunus/Prunus_persica/p.persica_gdr_reftransV1_0043062","p.persica_gdr_reftransV1_0043062")</f>
        <v>p.persica_gdr_reftransV1_0043062</v>
      </c>
      <c r="B1482" s="2">
        <v>530</v>
      </c>
      <c r="C1482" s="4" t="str">
        <f>HYPERLINK("http://www.uniprot.org/uniprot/M5X0E5","M5X0E5")</f>
        <v>M5X0E5</v>
      </c>
      <c r="D1482" s="2" t="s">
        <v>1447</v>
      </c>
      <c r="E1482" s="3">
        <v>1.42E-92</v>
      </c>
      <c r="F1482" s="2">
        <v>779</v>
      </c>
      <c r="G1482" s="2">
        <v>98</v>
      </c>
      <c r="H1482" s="2">
        <v>148</v>
      </c>
      <c r="I1482" s="2">
        <v>87</v>
      </c>
      <c r="J1482" s="2">
        <v>530</v>
      </c>
      <c r="K1482" s="2">
        <v>1337</v>
      </c>
      <c r="L1482" s="2">
        <v>1484</v>
      </c>
    </row>
    <row r="1483" spans="1:12" x14ac:dyDescent="0.25">
      <c r="A1483" s="4" t="str">
        <f>HYPERLINK("http://www.rosaceae.org/Prunus/Prunus_persica/p.persica_gdr_reftransV1_0043412","p.persica_gdr_reftransV1_0043412")</f>
        <v>p.persica_gdr_reftransV1_0043412</v>
      </c>
      <c r="B1483" s="2">
        <v>337</v>
      </c>
      <c r="C1483" s="4" t="str">
        <f>HYPERLINK("http://www.uniprot.org/uniprot/L8IG28","L8IG28")</f>
        <v>L8IG28</v>
      </c>
      <c r="D1483" s="2" t="s">
        <v>1448</v>
      </c>
      <c r="E1483" s="3">
        <v>5.4600000000000003E-70</v>
      </c>
      <c r="F1483" s="2">
        <v>555</v>
      </c>
      <c r="G1483" s="2">
        <v>98</v>
      </c>
      <c r="H1483" s="2">
        <v>109</v>
      </c>
      <c r="I1483" s="2">
        <v>8</v>
      </c>
      <c r="J1483" s="2">
        <v>334</v>
      </c>
      <c r="K1483" s="2">
        <v>57</v>
      </c>
      <c r="L1483" s="2">
        <v>165</v>
      </c>
    </row>
    <row r="1484" spans="1:12" x14ac:dyDescent="0.25">
      <c r="A1484" s="4" t="str">
        <f>HYPERLINK("http://www.rosaceae.org/Prunus/Prunus_persica/p.persica_gdr_reftransV1_0043762","p.persica_gdr_reftransV1_0043762")</f>
        <v>p.persica_gdr_reftransV1_0043762</v>
      </c>
      <c r="B1484" s="2">
        <v>494</v>
      </c>
      <c r="C1484" s="4" t="str">
        <f>HYPERLINK("http://www.uniprot.org/uniprot/M5WSJ2","M5WSJ2")</f>
        <v>M5WSJ2</v>
      </c>
      <c r="D1484" s="2" t="s">
        <v>663</v>
      </c>
      <c r="E1484" s="3">
        <v>4.3600000000000002E-68</v>
      </c>
      <c r="F1484" s="2">
        <v>588</v>
      </c>
      <c r="G1484" s="2">
        <v>100</v>
      </c>
      <c r="H1484" s="2">
        <v>114</v>
      </c>
      <c r="I1484" s="2">
        <v>3</v>
      </c>
      <c r="J1484" s="2">
        <v>344</v>
      </c>
      <c r="K1484" s="2">
        <v>1</v>
      </c>
      <c r="L1484" s="2">
        <v>114</v>
      </c>
    </row>
    <row r="1485" spans="1:12" x14ac:dyDescent="0.25">
      <c r="A1485" s="4" t="str">
        <f>HYPERLINK("http://www.rosaceae.org/Prunus/Prunus_persica/p.persica_gdr_reftransV1_0044112","p.persica_gdr_reftransV1_0044112")</f>
        <v>p.persica_gdr_reftransV1_0044112</v>
      </c>
      <c r="B1485" s="2">
        <v>1311</v>
      </c>
      <c r="C1485" s="4" t="str">
        <f>HYPERLINK("http://www.uniprot.org/uniprot/M5VNQ3","M5VNQ3")</f>
        <v>M5VNQ3</v>
      </c>
      <c r="D1485" s="2" t="s">
        <v>1449</v>
      </c>
      <c r="E1485" s="3">
        <v>0</v>
      </c>
      <c r="F1485" s="2">
        <v>1954</v>
      </c>
      <c r="G1485" s="2">
        <v>100</v>
      </c>
      <c r="H1485" s="2">
        <v>366</v>
      </c>
      <c r="I1485" s="2">
        <v>35</v>
      </c>
      <c r="J1485" s="2">
        <v>1132</v>
      </c>
      <c r="K1485" s="2">
        <v>1</v>
      </c>
      <c r="L1485" s="2">
        <v>366</v>
      </c>
    </row>
    <row r="1486" spans="1:12" x14ac:dyDescent="0.25">
      <c r="A1486" s="4" t="str">
        <f>HYPERLINK("http://www.rosaceae.org/Prunus/Prunus_persica/p.persica_gdr_reftransV1_0044462","p.persica_gdr_reftransV1_0044462")</f>
        <v>p.persica_gdr_reftransV1_0044462</v>
      </c>
      <c r="B1486" s="2">
        <v>3343</v>
      </c>
      <c r="C1486" s="4" t="str">
        <f>HYPERLINK("http://www.uniprot.org/uniprot/M5XAN6","M5XAN6")</f>
        <v>M5XAN6</v>
      </c>
      <c r="D1486" s="2" t="s">
        <v>1450</v>
      </c>
      <c r="E1486" s="3">
        <v>0</v>
      </c>
      <c r="F1486" s="2">
        <v>4805</v>
      </c>
      <c r="G1486" s="2">
        <v>100</v>
      </c>
      <c r="H1486" s="2">
        <v>1026</v>
      </c>
      <c r="I1486" s="2">
        <v>29</v>
      </c>
      <c r="J1486" s="2">
        <v>3106</v>
      </c>
      <c r="K1486" s="2">
        <v>1</v>
      </c>
      <c r="L1486" s="2">
        <v>1026</v>
      </c>
    </row>
    <row r="1487" spans="1:12" x14ac:dyDescent="0.25">
      <c r="A1487" s="4" t="str">
        <f>HYPERLINK("http://www.rosaceae.org/Prunus/Prunus_persica/p.persica_gdr_reftransV1_0045162","p.persica_gdr_reftransV1_0045162")</f>
        <v>p.persica_gdr_reftransV1_0045162</v>
      </c>
      <c r="B1487" s="2">
        <v>682</v>
      </c>
      <c r="C1487" s="4" t="str">
        <f>HYPERLINK("http://www.uniprot.org/uniprot/M5WIR6","M5WIR6")</f>
        <v>M5WIR6</v>
      </c>
      <c r="D1487" s="2" t="s">
        <v>1451</v>
      </c>
      <c r="E1487" s="3">
        <v>3.2099999999999999E-41</v>
      </c>
      <c r="F1487" s="2">
        <v>389</v>
      </c>
      <c r="G1487" s="2">
        <v>100</v>
      </c>
      <c r="H1487" s="2">
        <v>120</v>
      </c>
      <c r="I1487" s="2">
        <v>166</v>
      </c>
      <c r="J1487" s="2">
        <v>525</v>
      </c>
      <c r="K1487" s="2">
        <v>19</v>
      </c>
      <c r="L1487" s="2">
        <v>138</v>
      </c>
    </row>
    <row r="1488" spans="1:12" x14ac:dyDescent="0.25">
      <c r="A1488" s="4" t="str">
        <f>HYPERLINK("http://www.rosaceae.org/Prunus/Prunus_persica/p.persica_gdr_reftransV1_0045512","p.persica_gdr_reftransV1_0045512")</f>
        <v>p.persica_gdr_reftransV1_0045512</v>
      </c>
      <c r="B1488" s="2">
        <v>333</v>
      </c>
      <c r="C1488" s="4" t="str">
        <f>HYPERLINK("http://www.uniprot.org/uniprot/A5C1C7","A5C1C7")</f>
        <v>A5C1C7</v>
      </c>
      <c r="D1488" s="2" t="s">
        <v>1452</v>
      </c>
      <c r="E1488" s="3">
        <v>1.7900000000000001E-60</v>
      </c>
      <c r="F1488" s="2">
        <v>538</v>
      </c>
      <c r="G1488" s="2">
        <v>88</v>
      </c>
      <c r="H1488" s="2">
        <v>98</v>
      </c>
      <c r="I1488" s="2">
        <v>40</v>
      </c>
      <c r="J1488" s="2">
        <v>333</v>
      </c>
      <c r="K1488" s="2">
        <v>1629</v>
      </c>
      <c r="L1488" s="2">
        <v>1726</v>
      </c>
    </row>
    <row r="1489" spans="1:12" x14ac:dyDescent="0.25">
      <c r="A1489" s="4" t="str">
        <f>HYPERLINK("http://www.rosaceae.org/Prunus/Prunus_persica/p.persica_gdr_reftransV1_0045862","p.persica_gdr_reftransV1_0045862")</f>
        <v>p.persica_gdr_reftransV1_0045862</v>
      </c>
      <c r="B1489" s="2">
        <v>825</v>
      </c>
      <c r="C1489" s="4" t="str">
        <f>HYPERLINK("http://www.uniprot.org/uniprot/M5WBY4","M5WBY4")</f>
        <v>M5WBY4</v>
      </c>
      <c r="D1489" s="2" t="s">
        <v>1453</v>
      </c>
      <c r="E1489" s="3">
        <v>9.7199999999999997E-121</v>
      </c>
      <c r="F1489" s="2">
        <v>912</v>
      </c>
      <c r="G1489" s="2">
        <v>100</v>
      </c>
      <c r="H1489" s="2">
        <v>171</v>
      </c>
      <c r="I1489" s="2">
        <v>311</v>
      </c>
      <c r="J1489" s="2">
        <v>823</v>
      </c>
      <c r="K1489" s="2">
        <v>1</v>
      </c>
      <c r="L1489" s="2">
        <v>171</v>
      </c>
    </row>
    <row r="1490" spans="1:12" x14ac:dyDescent="0.25">
      <c r="A1490" s="4" t="str">
        <f>HYPERLINK("http://www.rosaceae.org/Prunus/Prunus_persica/p.persica_gdr_reftransV1_0046212","p.persica_gdr_reftransV1_0046212")</f>
        <v>p.persica_gdr_reftransV1_0046212</v>
      </c>
      <c r="B1490" s="2">
        <v>343</v>
      </c>
      <c r="C1490" s="4" t="str">
        <f>HYPERLINK("http://www.uniprot.org/uniprot/A0A067DTG6","A0A067DTG6")</f>
        <v>A0A067DTG6</v>
      </c>
      <c r="D1490" s="2" t="s">
        <v>1454</v>
      </c>
      <c r="E1490" s="3">
        <v>1.41E-64</v>
      </c>
      <c r="F1490" s="2">
        <v>522</v>
      </c>
      <c r="G1490" s="2">
        <v>96</v>
      </c>
      <c r="H1490" s="2">
        <v>100</v>
      </c>
      <c r="I1490" s="2">
        <v>1</v>
      </c>
      <c r="J1490" s="2">
        <v>300</v>
      </c>
      <c r="K1490" s="2">
        <v>61</v>
      </c>
      <c r="L1490" s="2">
        <v>160</v>
      </c>
    </row>
    <row r="1491" spans="1:12" x14ac:dyDescent="0.25">
      <c r="A1491" s="4" t="str">
        <f>HYPERLINK("http://www.rosaceae.org/Prunus/Prunus_persica/p.persica_gdr_reftransV1_0046562","p.persica_gdr_reftransV1_0046562")</f>
        <v>p.persica_gdr_reftransV1_0046562</v>
      </c>
      <c r="B1491" s="2">
        <v>2227</v>
      </c>
      <c r="C1491" s="4" t="str">
        <f>HYPERLINK("http://www.uniprot.org/uniprot/M5XWT8","M5XWT8")</f>
        <v>M5XWT8</v>
      </c>
      <c r="D1491" s="2" t="s">
        <v>1455</v>
      </c>
      <c r="E1491" s="3">
        <v>0</v>
      </c>
      <c r="F1491" s="2">
        <v>2738</v>
      </c>
      <c r="G1491" s="2">
        <v>100</v>
      </c>
      <c r="H1491" s="2">
        <v>556</v>
      </c>
      <c r="I1491" s="2">
        <v>268</v>
      </c>
      <c r="J1491" s="2">
        <v>1935</v>
      </c>
      <c r="K1491" s="2">
        <v>1</v>
      </c>
      <c r="L1491" s="2">
        <v>556</v>
      </c>
    </row>
    <row r="1492" spans="1:12" x14ac:dyDescent="0.25">
      <c r="A1492" s="4" t="str">
        <f>HYPERLINK("http://www.rosaceae.org/Prunus/Prunus_persica/p.persica_gdr_reftransV1_0046912","p.persica_gdr_reftransV1_0046912")</f>
        <v>p.persica_gdr_reftransV1_0046912</v>
      </c>
      <c r="B1492" s="2">
        <v>1621</v>
      </c>
      <c r="C1492" s="4" t="str">
        <f>HYPERLINK("http://www.uniprot.org/uniprot/A0A072UPV9","A0A072UPV9")</f>
        <v>A0A072UPV9</v>
      </c>
      <c r="D1492" s="2" t="s">
        <v>1456</v>
      </c>
      <c r="E1492" s="3">
        <v>1.2999999999999999E-172</v>
      </c>
      <c r="F1492" s="2">
        <v>953</v>
      </c>
      <c r="G1492" s="2">
        <v>77</v>
      </c>
      <c r="H1492" s="2">
        <v>242</v>
      </c>
      <c r="I1492" s="2">
        <v>269</v>
      </c>
      <c r="J1492" s="2">
        <v>994</v>
      </c>
      <c r="K1492" s="2">
        <v>147</v>
      </c>
      <c r="L1492" s="2">
        <v>385</v>
      </c>
    </row>
    <row r="1493" spans="1:12" x14ac:dyDescent="0.25">
      <c r="A1493" s="4" t="str">
        <f>HYPERLINK("http://www.rosaceae.org/Prunus/Prunus_persica/p.persica_gdr_reftransV1_0047962","p.persica_gdr_reftransV1_0047962")</f>
        <v>p.persica_gdr_reftransV1_0047962</v>
      </c>
      <c r="B1493" s="2">
        <v>2186</v>
      </c>
      <c r="C1493" s="4" t="str">
        <f>HYPERLINK("http://www.uniprot.org/uniprot/M5X7M5","M5X7M5")</f>
        <v>M5X7M5</v>
      </c>
      <c r="D1493" s="2" t="s">
        <v>1457</v>
      </c>
      <c r="E1493" s="3">
        <v>0</v>
      </c>
      <c r="F1493" s="2">
        <v>2822</v>
      </c>
      <c r="G1493" s="2">
        <v>100</v>
      </c>
      <c r="H1493" s="2">
        <v>638</v>
      </c>
      <c r="I1493" s="2">
        <v>247</v>
      </c>
      <c r="J1493" s="2">
        <v>2160</v>
      </c>
      <c r="K1493" s="2">
        <v>1</v>
      </c>
      <c r="L1493" s="2">
        <v>638</v>
      </c>
    </row>
    <row r="1494" spans="1:12" x14ac:dyDescent="0.25">
      <c r="A1494" s="4" t="str">
        <f>HYPERLINK("http://www.rosaceae.org/Prunus/Prunus_persica/p.persica_gdr_reftransV1_0048312","p.persica_gdr_reftransV1_0048312")</f>
        <v>p.persica_gdr_reftransV1_0048312</v>
      </c>
      <c r="B1494" s="2">
        <v>686</v>
      </c>
      <c r="C1494" s="4" t="str">
        <f>HYPERLINK("http://www.uniprot.org/uniprot/M5WVV9","M5WVV9")</f>
        <v>M5WVV9</v>
      </c>
      <c r="D1494" s="2" t="s">
        <v>1458</v>
      </c>
      <c r="E1494" s="3">
        <v>6.63E-152</v>
      </c>
      <c r="F1494" s="2">
        <v>1210</v>
      </c>
      <c r="G1494" s="2">
        <v>100</v>
      </c>
      <c r="H1494" s="2">
        <v>228</v>
      </c>
      <c r="I1494" s="2">
        <v>2</v>
      </c>
      <c r="J1494" s="2">
        <v>685</v>
      </c>
      <c r="K1494" s="2">
        <v>526</v>
      </c>
      <c r="L1494" s="2">
        <v>753</v>
      </c>
    </row>
    <row r="1495" spans="1:12" x14ac:dyDescent="0.25">
      <c r="A1495" s="4" t="str">
        <f>HYPERLINK("http://www.rosaceae.org/Prunus/Prunus_persica/p.persica_gdr_reftransV1_0048662","p.persica_gdr_reftransV1_0048662")</f>
        <v>p.persica_gdr_reftransV1_0048662</v>
      </c>
      <c r="B1495" s="2">
        <v>859</v>
      </c>
      <c r="C1495" s="4" t="str">
        <f>HYPERLINK("http://www.uniprot.org/uniprot/M5WR54","M5WR54")</f>
        <v>M5WR54</v>
      </c>
      <c r="D1495" s="2" t="s">
        <v>1459</v>
      </c>
      <c r="E1495" s="3">
        <v>1.21E-167</v>
      </c>
      <c r="F1495" s="2">
        <v>1233</v>
      </c>
      <c r="G1495" s="2">
        <v>100</v>
      </c>
      <c r="H1495" s="2">
        <v>233</v>
      </c>
      <c r="I1495" s="2">
        <v>161</v>
      </c>
      <c r="J1495" s="2">
        <v>859</v>
      </c>
      <c r="K1495" s="2">
        <v>83</v>
      </c>
      <c r="L1495" s="2">
        <v>315</v>
      </c>
    </row>
    <row r="1496" spans="1:12" x14ac:dyDescent="0.25">
      <c r="A1496" s="4" t="str">
        <f>HYPERLINK("http://www.rosaceae.org/Prunus/Prunus_persica/p.persica_gdr_reftransV1_0000121","p.persica_gdr_reftransV1_0000121")</f>
        <v>p.persica_gdr_reftransV1_0000121</v>
      </c>
      <c r="B1496" s="2">
        <v>3914</v>
      </c>
      <c r="C1496" s="4" t="str">
        <f>HYPERLINK("http://www.uniprot.org/uniprot/M5WQL5","M5WQL5")</f>
        <v>M5WQL5</v>
      </c>
      <c r="D1496" s="2" t="s">
        <v>1460</v>
      </c>
      <c r="E1496" s="3">
        <v>0</v>
      </c>
      <c r="F1496" s="2">
        <v>5114</v>
      </c>
      <c r="G1496" s="2">
        <v>98</v>
      </c>
      <c r="H1496" s="2">
        <v>1103</v>
      </c>
      <c r="I1496" s="2">
        <v>264</v>
      </c>
      <c r="J1496" s="2">
        <v>3554</v>
      </c>
      <c r="K1496" s="2">
        <v>1</v>
      </c>
      <c r="L1496" s="2">
        <v>1103</v>
      </c>
    </row>
    <row r="1497" spans="1:12" x14ac:dyDescent="0.25">
      <c r="A1497" s="4" t="str">
        <f>HYPERLINK("http://www.rosaceae.org/Prunus/Prunus_persica/p.persica_gdr_reftransV1_0000471","p.persica_gdr_reftransV1_0000471")</f>
        <v>p.persica_gdr_reftransV1_0000471</v>
      </c>
      <c r="B1497" s="2">
        <v>1770</v>
      </c>
      <c r="C1497" s="4" t="str">
        <f>HYPERLINK("http://www.uniprot.org/uniprot/M5X508","M5X508")</f>
        <v>M5X508</v>
      </c>
      <c r="D1497" s="2" t="s">
        <v>1461</v>
      </c>
      <c r="E1497" s="3">
        <v>0</v>
      </c>
      <c r="F1497" s="2">
        <v>2156</v>
      </c>
      <c r="G1497" s="2">
        <v>100</v>
      </c>
      <c r="H1497" s="2">
        <v>432</v>
      </c>
      <c r="I1497" s="2">
        <v>98</v>
      </c>
      <c r="J1497" s="2">
        <v>1393</v>
      </c>
      <c r="K1497" s="2">
        <v>1</v>
      </c>
      <c r="L1497" s="2">
        <v>432</v>
      </c>
    </row>
    <row r="1498" spans="1:12" x14ac:dyDescent="0.25">
      <c r="A1498" s="4" t="str">
        <f>HYPERLINK("http://www.rosaceae.org/Prunus/Prunus_persica/p.persica_gdr_reftransV1_0001171","p.persica_gdr_reftransV1_0001171")</f>
        <v>p.persica_gdr_reftransV1_0001171</v>
      </c>
      <c r="B1498" s="2">
        <v>3315</v>
      </c>
      <c r="C1498" s="4" t="str">
        <f>HYPERLINK("http://www.uniprot.org/uniprot/M5W5U1","M5W5U1")</f>
        <v>M5W5U1</v>
      </c>
      <c r="D1498" s="2" t="s">
        <v>1462</v>
      </c>
      <c r="E1498" s="3">
        <v>0</v>
      </c>
      <c r="F1498" s="2">
        <v>3393</v>
      </c>
      <c r="G1498" s="2">
        <v>100</v>
      </c>
      <c r="H1498" s="2">
        <v>781</v>
      </c>
      <c r="I1498" s="2">
        <v>581</v>
      </c>
      <c r="J1498" s="2">
        <v>2923</v>
      </c>
      <c r="K1498" s="2">
        <v>13</v>
      </c>
      <c r="L1498" s="2">
        <v>793</v>
      </c>
    </row>
    <row r="1499" spans="1:12" x14ac:dyDescent="0.25">
      <c r="A1499" s="4" t="str">
        <f>HYPERLINK("http://www.rosaceae.org/Prunus/Prunus_persica/p.persica_gdr_reftransV1_0001521","p.persica_gdr_reftransV1_0001521")</f>
        <v>p.persica_gdr_reftransV1_0001521</v>
      </c>
      <c r="B1499" s="2">
        <v>531</v>
      </c>
      <c r="C1499" s="4" t="str">
        <f>HYPERLINK("http://www.uniprot.org/uniprot/M5X940","M5X940")</f>
        <v>M5X940</v>
      </c>
      <c r="D1499" s="2" t="s">
        <v>1463</v>
      </c>
      <c r="E1499" s="3">
        <v>3.9900000000000002E-128</v>
      </c>
      <c r="F1499" s="2">
        <v>961</v>
      </c>
      <c r="G1499" s="2">
        <v>100</v>
      </c>
      <c r="H1499" s="2">
        <v>176</v>
      </c>
      <c r="I1499" s="2">
        <v>3</v>
      </c>
      <c r="J1499" s="2">
        <v>530</v>
      </c>
      <c r="K1499" s="2">
        <v>115</v>
      </c>
      <c r="L1499" s="2">
        <v>290</v>
      </c>
    </row>
    <row r="1500" spans="1:12" x14ac:dyDescent="0.25">
      <c r="A1500" s="4" t="str">
        <f>HYPERLINK("http://www.rosaceae.org/Prunus/Prunus_persica/p.persica_gdr_reftransV1_0001871","p.persica_gdr_reftransV1_0001871")</f>
        <v>p.persica_gdr_reftransV1_0001871</v>
      </c>
      <c r="B1500" s="2">
        <v>1549</v>
      </c>
      <c r="C1500" s="4" t="str">
        <f>HYPERLINK("http://www.uniprot.org/uniprot/M5WJ04","M5WJ04")</f>
        <v>M5WJ04</v>
      </c>
      <c r="D1500" s="2" t="s">
        <v>1464</v>
      </c>
      <c r="E1500" s="3">
        <v>0</v>
      </c>
      <c r="F1500" s="2">
        <v>1480</v>
      </c>
      <c r="G1500" s="2">
        <v>100</v>
      </c>
      <c r="H1500" s="2">
        <v>316</v>
      </c>
      <c r="I1500" s="2">
        <v>374</v>
      </c>
      <c r="J1500" s="2">
        <v>1321</v>
      </c>
      <c r="K1500" s="2">
        <v>1</v>
      </c>
      <c r="L1500" s="2">
        <v>316</v>
      </c>
    </row>
    <row r="1501" spans="1:12" x14ac:dyDescent="0.25">
      <c r="A1501" s="4" t="str">
        <f>HYPERLINK("http://www.rosaceae.org/Prunus/Prunus_persica/p.persica_gdr_reftransV1_0002221","p.persica_gdr_reftransV1_0002221")</f>
        <v>p.persica_gdr_reftransV1_0002221</v>
      </c>
      <c r="B1501" s="2">
        <v>1298</v>
      </c>
      <c r="C1501" s="4" t="str">
        <f>HYPERLINK("http://www.uniprot.org/uniprot/W9QKQ9","W9QKQ9")</f>
        <v>W9QKQ9</v>
      </c>
      <c r="D1501" s="2" t="s">
        <v>1465</v>
      </c>
      <c r="E1501" s="3">
        <v>6.2899999999999998E-65</v>
      </c>
      <c r="F1501" s="2">
        <v>567</v>
      </c>
      <c r="G1501" s="2">
        <v>42</v>
      </c>
      <c r="H1501" s="2">
        <v>339</v>
      </c>
      <c r="I1501" s="2">
        <v>199</v>
      </c>
      <c r="J1501" s="2">
        <v>1023</v>
      </c>
      <c r="K1501" s="2">
        <v>1</v>
      </c>
      <c r="L1501" s="2">
        <v>328</v>
      </c>
    </row>
    <row r="1502" spans="1:12" x14ac:dyDescent="0.25">
      <c r="A1502" s="4" t="str">
        <f>HYPERLINK("http://www.rosaceae.org/Prunus/Prunus_persica/p.persica_gdr_reftransV1_0002571","p.persica_gdr_reftransV1_0002571")</f>
        <v>p.persica_gdr_reftransV1_0002571</v>
      </c>
      <c r="B1502" s="2">
        <v>379</v>
      </c>
      <c r="C1502" s="4" t="str">
        <f>HYPERLINK("http://www.uniprot.org/uniprot/M5XL08","M5XL08")</f>
        <v>M5XL08</v>
      </c>
      <c r="D1502" s="2" t="s">
        <v>1466</v>
      </c>
      <c r="E1502" s="3">
        <v>1.52E-61</v>
      </c>
      <c r="F1502" s="2">
        <v>495</v>
      </c>
      <c r="G1502" s="2">
        <v>100</v>
      </c>
      <c r="H1502" s="2">
        <v>93</v>
      </c>
      <c r="I1502" s="2">
        <v>16</v>
      </c>
      <c r="J1502" s="2">
        <v>294</v>
      </c>
      <c r="K1502" s="2">
        <v>7</v>
      </c>
      <c r="L1502" s="2">
        <v>99</v>
      </c>
    </row>
    <row r="1503" spans="1:12" x14ac:dyDescent="0.25">
      <c r="A1503" s="4" t="str">
        <f>HYPERLINK("http://www.rosaceae.org/Prunus/Prunus_persica/p.persica_gdr_reftransV1_0002921","p.persica_gdr_reftransV1_0002921")</f>
        <v>p.persica_gdr_reftransV1_0002921</v>
      </c>
      <c r="B1503" s="2">
        <v>3241</v>
      </c>
      <c r="C1503" s="4" t="str">
        <f>HYPERLINK("http://www.uniprot.org/uniprot/M5WE85","M5WE85")</f>
        <v>M5WE85</v>
      </c>
      <c r="D1503" s="2" t="s">
        <v>1467</v>
      </c>
      <c r="E1503" s="3">
        <v>0</v>
      </c>
      <c r="F1503" s="2">
        <v>3697</v>
      </c>
      <c r="G1503" s="2">
        <v>100</v>
      </c>
      <c r="H1503" s="2">
        <v>719</v>
      </c>
      <c r="I1503" s="2">
        <v>1085</v>
      </c>
      <c r="J1503" s="2">
        <v>3241</v>
      </c>
      <c r="K1503" s="2">
        <v>389</v>
      </c>
      <c r="L1503" s="2">
        <v>1107</v>
      </c>
    </row>
    <row r="1504" spans="1:12" x14ac:dyDescent="0.25">
      <c r="A1504" s="4" t="str">
        <f>HYPERLINK("http://www.rosaceae.org/Prunus/Prunus_persica/p.persica_gdr_reftransV1_0003271","p.persica_gdr_reftransV1_0003271")</f>
        <v>p.persica_gdr_reftransV1_0003271</v>
      </c>
      <c r="B1504" s="2">
        <v>1209</v>
      </c>
      <c r="C1504" s="4" t="str">
        <f>HYPERLINK("http://www.uniprot.org/uniprot/M5XCF2","M5XCF2")</f>
        <v>M5XCF2</v>
      </c>
      <c r="D1504" s="2" t="s">
        <v>1468</v>
      </c>
      <c r="E1504" s="3">
        <v>0</v>
      </c>
      <c r="F1504" s="2">
        <v>1449</v>
      </c>
      <c r="G1504" s="2">
        <v>100</v>
      </c>
      <c r="H1504" s="2">
        <v>276</v>
      </c>
      <c r="I1504" s="2">
        <v>211</v>
      </c>
      <c r="J1504" s="2">
        <v>1038</v>
      </c>
      <c r="K1504" s="2">
        <v>175</v>
      </c>
      <c r="L1504" s="2">
        <v>450</v>
      </c>
    </row>
    <row r="1505" spans="1:12" x14ac:dyDescent="0.25">
      <c r="A1505" s="4" t="str">
        <f>HYPERLINK("http://www.rosaceae.org/Prunus/Prunus_persica/p.persica_gdr_reftransV1_0003621","p.persica_gdr_reftransV1_0003621")</f>
        <v>p.persica_gdr_reftransV1_0003621</v>
      </c>
      <c r="B1505" s="2">
        <v>685</v>
      </c>
      <c r="C1505" s="4" t="str">
        <f>HYPERLINK("http://www.uniprot.org/uniprot/M5XJK6","M5XJK6")</f>
        <v>M5XJK6</v>
      </c>
      <c r="D1505" s="2" t="s">
        <v>1329</v>
      </c>
      <c r="E1505" s="3">
        <v>7.1100000000000006E-42</v>
      </c>
      <c r="F1505" s="2">
        <v>373</v>
      </c>
      <c r="G1505" s="2">
        <v>100</v>
      </c>
      <c r="H1505" s="2">
        <v>69</v>
      </c>
      <c r="I1505" s="2">
        <v>267</v>
      </c>
      <c r="J1505" s="2">
        <v>473</v>
      </c>
      <c r="K1505" s="2">
        <v>16</v>
      </c>
      <c r="L1505" s="2">
        <v>84</v>
      </c>
    </row>
    <row r="1506" spans="1:12" x14ac:dyDescent="0.25">
      <c r="A1506" s="4" t="str">
        <f>HYPERLINK("http://www.rosaceae.org/Prunus/Prunus_persica/p.persica_gdr_reftransV1_0003971","p.persica_gdr_reftransV1_0003971")</f>
        <v>p.persica_gdr_reftransV1_0003971</v>
      </c>
      <c r="B1506" s="2">
        <v>502</v>
      </c>
      <c r="C1506" s="4" t="str">
        <f>HYPERLINK("http://www.uniprot.org/uniprot/M5VI24","M5VI24")</f>
        <v>M5VI24</v>
      </c>
      <c r="D1506" s="2" t="s">
        <v>1469</v>
      </c>
      <c r="E1506" s="3">
        <v>1.63E-105</v>
      </c>
      <c r="F1506" s="2">
        <v>816</v>
      </c>
      <c r="G1506" s="2">
        <v>95</v>
      </c>
      <c r="H1506" s="2">
        <v>167</v>
      </c>
      <c r="I1506" s="2">
        <v>1</v>
      </c>
      <c r="J1506" s="2">
        <v>501</v>
      </c>
      <c r="K1506" s="2">
        <v>147</v>
      </c>
      <c r="L1506" s="2">
        <v>313</v>
      </c>
    </row>
    <row r="1507" spans="1:12" x14ac:dyDescent="0.25">
      <c r="A1507" s="4" t="str">
        <f>HYPERLINK("http://www.rosaceae.org/Prunus/Prunus_persica/p.persica_gdr_reftransV1_0004321","p.persica_gdr_reftransV1_0004321")</f>
        <v>p.persica_gdr_reftransV1_0004321</v>
      </c>
      <c r="B1507" s="2">
        <v>1445</v>
      </c>
      <c r="C1507" s="4" t="str">
        <f>HYPERLINK("http://www.uniprot.org/uniprot/M5X666","M5X666")</f>
        <v>M5X666</v>
      </c>
      <c r="D1507" s="2" t="s">
        <v>1470</v>
      </c>
      <c r="E1507" s="3">
        <v>2.3599999999999998E-168</v>
      </c>
      <c r="F1507" s="2">
        <v>1254</v>
      </c>
      <c r="G1507" s="2">
        <v>83</v>
      </c>
      <c r="H1507" s="2">
        <v>294</v>
      </c>
      <c r="I1507" s="2">
        <v>554</v>
      </c>
      <c r="J1507" s="2">
        <v>1435</v>
      </c>
      <c r="K1507" s="2">
        <v>1</v>
      </c>
      <c r="L1507" s="2">
        <v>262</v>
      </c>
    </row>
    <row r="1508" spans="1:12" x14ac:dyDescent="0.25">
      <c r="A1508" s="4" t="str">
        <f>HYPERLINK("http://www.rosaceae.org/Prunus/Prunus_persica/p.persica_gdr_reftransV1_0004671","p.persica_gdr_reftransV1_0004671")</f>
        <v>p.persica_gdr_reftransV1_0004671</v>
      </c>
      <c r="B1508" s="2">
        <v>2969</v>
      </c>
      <c r="C1508" s="4" t="str">
        <f>HYPERLINK("http://www.uniprot.org/uniprot/M5Y4U7","M5Y4U7")</f>
        <v>M5Y4U7</v>
      </c>
      <c r="D1508" s="2" t="s">
        <v>1471</v>
      </c>
      <c r="E1508" s="3">
        <v>0</v>
      </c>
      <c r="F1508" s="2">
        <v>2002</v>
      </c>
      <c r="G1508" s="2">
        <v>100</v>
      </c>
      <c r="H1508" s="2">
        <v>385</v>
      </c>
      <c r="I1508" s="2">
        <v>1651</v>
      </c>
      <c r="J1508" s="2">
        <v>2805</v>
      </c>
      <c r="K1508" s="2">
        <v>1</v>
      </c>
      <c r="L1508" s="2">
        <v>385</v>
      </c>
    </row>
    <row r="1509" spans="1:12" x14ac:dyDescent="0.25">
      <c r="A1509" s="4" t="str">
        <f>HYPERLINK("http://www.rosaceae.org/Prunus/Prunus_persica/p.persica_gdr_reftransV1_0005371","p.persica_gdr_reftransV1_0005371")</f>
        <v>p.persica_gdr_reftransV1_0005371</v>
      </c>
      <c r="B1509" s="2">
        <v>1272</v>
      </c>
      <c r="C1509" s="4" t="str">
        <f>HYPERLINK("http://www.uniprot.org/uniprot/M5XQN2","M5XQN2")</f>
        <v>M5XQN2</v>
      </c>
      <c r="D1509" s="2" t="s">
        <v>1472</v>
      </c>
      <c r="E1509" s="3">
        <v>0</v>
      </c>
      <c r="F1509" s="2">
        <v>1545</v>
      </c>
      <c r="G1509" s="2">
        <v>91</v>
      </c>
      <c r="H1509" s="2">
        <v>327</v>
      </c>
      <c r="I1509" s="2">
        <v>76</v>
      </c>
      <c r="J1509" s="2">
        <v>1056</v>
      </c>
      <c r="K1509" s="2">
        <v>1</v>
      </c>
      <c r="L1509" s="2">
        <v>327</v>
      </c>
    </row>
    <row r="1510" spans="1:12" x14ac:dyDescent="0.25">
      <c r="A1510" s="4" t="str">
        <f>HYPERLINK("http://www.rosaceae.org/Prunus/Prunus_persica/p.persica_gdr_reftransV1_0005721","p.persica_gdr_reftransV1_0005721")</f>
        <v>p.persica_gdr_reftransV1_0005721</v>
      </c>
      <c r="B1510" s="2">
        <v>1506</v>
      </c>
      <c r="C1510" s="4" t="str">
        <f>HYPERLINK("http://www.uniprot.org/uniprot/M5X5A6","M5X5A6")</f>
        <v>M5X5A6</v>
      </c>
      <c r="D1510" s="2" t="s">
        <v>1473</v>
      </c>
      <c r="E1510" s="3">
        <v>0</v>
      </c>
      <c r="F1510" s="2">
        <v>2377</v>
      </c>
      <c r="G1510" s="2">
        <v>100</v>
      </c>
      <c r="H1510" s="2">
        <v>452</v>
      </c>
      <c r="I1510" s="2">
        <v>2</v>
      </c>
      <c r="J1510" s="2">
        <v>1357</v>
      </c>
      <c r="K1510" s="2">
        <v>13</v>
      </c>
      <c r="L1510" s="2">
        <v>464</v>
      </c>
    </row>
    <row r="1511" spans="1:12" x14ac:dyDescent="0.25">
      <c r="A1511" s="4" t="str">
        <f>HYPERLINK("http://www.rosaceae.org/Prunus/Prunus_persica/p.persica_gdr_reftransV1_0006771","p.persica_gdr_reftransV1_0006771")</f>
        <v>p.persica_gdr_reftransV1_0006771</v>
      </c>
      <c r="B1511" s="2">
        <v>822</v>
      </c>
      <c r="C1511" s="4" t="str">
        <f>HYPERLINK("http://www.uniprot.org/uniprot/M5XRC8","M5XRC8")</f>
        <v>M5XRC8</v>
      </c>
      <c r="D1511" s="2" t="s">
        <v>1474</v>
      </c>
      <c r="E1511" s="3">
        <v>1.8899999999999999E-102</v>
      </c>
      <c r="F1511" s="2">
        <v>807</v>
      </c>
      <c r="G1511" s="2">
        <v>100</v>
      </c>
      <c r="H1511" s="2">
        <v>187</v>
      </c>
      <c r="I1511" s="2">
        <v>109</v>
      </c>
      <c r="J1511" s="2">
        <v>669</v>
      </c>
      <c r="K1511" s="2">
        <v>1</v>
      </c>
      <c r="L1511" s="2">
        <v>187</v>
      </c>
    </row>
    <row r="1512" spans="1:12" x14ac:dyDescent="0.25">
      <c r="A1512" s="4" t="str">
        <f>HYPERLINK("http://www.rosaceae.org/Prunus/Prunus_persica/p.persica_gdr_reftransV1_0007121","p.persica_gdr_reftransV1_0007121")</f>
        <v>p.persica_gdr_reftransV1_0007121</v>
      </c>
      <c r="B1512" s="2">
        <v>1134</v>
      </c>
      <c r="C1512" s="4" t="str">
        <f>HYPERLINK("http://www.uniprot.org/uniprot/M5X5Y3","M5X5Y3")</f>
        <v>M5X5Y3</v>
      </c>
      <c r="D1512" s="2" t="s">
        <v>1475</v>
      </c>
      <c r="E1512" s="3">
        <v>1.4200000000000001E-164</v>
      </c>
      <c r="F1512" s="2">
        <v>1250</v>
      </c>
      <c r="G1512" s="2">
        <v>94</v>
      </c>
      <c r="H1512" s="2">
        <v>269</v>
      </c>
      <c r="I1512" s="2">
        <v>1</v>
      </c>
      <c r="J1512" s="2">
        <v>807</v>
      </c>
      <c r="K1512" s="2">
        <v>316</v>
      </c>
      <c r="L1512" s="2">
        <v>584</v>
      </c>
    </row>
    <row r="1513" spans="1:12" x14ac:dyDescent="0.25">
      <c r="A1513" s="4" t="str">
        <f>HYPERLINK("http://www.rosaceae.org/Prunus/Prunus_persica/p.persica_gdr_reftransV1_0007821","p.persica_gdr_reftransV1_0007821")</f>
        <v>p.persica_gdr_reftransV1_0007821</v>
      </c>
      <c r="B1513" s="2">
        <v>1339</v>
      </c>
      <c r="C1513" s="4" t="str">
        <f>HYPERLINK("http://www.uniprot.org/uniprot/M5VMM6","M5VMM6")</f>
        <v>M5VMM6</v>
      </c>
      <c r="D1513" s="2" t="s">
        <v>1476</v>
      </c>
      <c r="E1513" s="3">
        <v>0</v>
      </c>
      <c r="F1513" s="2">
        <v>1728</v>
      </c>
      <c r="G1513" s="2">
        <v>90</v>
      </c>
      <c r="H1513" s="2">
        <v>374</v>
      </c>
      <c r="I1513" s="2">
        <v>189</v>
      </c>
      <c r="J1513" s="2">
        <v>1310</v>
      </c>
      <c r="K1513" s="2">
        <v>1</v>
      </c>
      <c r="L1513" s="2">
        <v>335</v>
      </c>
    </row>
    <row r="1514" spans="1:12" x14ac:dyDescent="0.25">
      <c r="A1514" s="4" t="str">
        <f>HYPERLINK("http://www.rosaceae.org/Prunus/Prunus_persica/p.persica_gdr_reftransV1_0008171","p.persica_gdr_reftransV1_0008171")</f>
        <v>p.persica_gdr_reftransV1_0008171</v>
      </c>
      <c r="B1514" s="2">
        <v>4118</v>
      </c>
      <c r="C1514" s="4" t="str">
        <f>HYPERLINK("http://www.uniprot.org/uniprot/M5WPG3","M5WPG3")</f>
        <v>M5WPG3</v>
      </c>
      <c r="D1514" s="2" t="s">
        <v>1477</v>
      </c>
      <c r="E1514" s="3">
        <v>0</v>
      </c>
      <c r="F1514" s="2">
        <v>1734</v>
      </c>
      <c r="G1514" s="2">
        <v>100</v>
      </c>
      <c r="H1514" s="2">
        <v>345</v>
      </c>
      <c r="I1514" s="2">
        <v>384</v>
      </c>
      <c r="J1514" s="2">
        <v>1418</v>
      </c>
      <c r="K1514" s="2">
        <v>127</v>
      </c>
      <c r="L1514" s="2">
        <v>471</v>
      </c>
    </row>
    <row r="1515" spans="1:12" x14ac:dyDescent="0.25">
      <c r="A1515" s="4" t="str">
        <f>HYPERLINK("http://www.rosaceae.org/Prunus/Prunus_persica/p.persica_gdr_reftransV1_0008871","p.persica_gdr_reftransV1_0008871")</f>
        <v>p.persica_gdr_reftransV1_0008871</v>
      </c>
      <c r="B1515" s="2">
        <v>2016</v>
      </c>
      <c r="C1515" s="4" t="str">
        <f>HYPERLINK("http://www.uniprot.org/uniprot/M5X4D1","M5X4D1")</f>
        <v>M5X4D1</v>
      </c>
      <c r="D1515" s="2" t="s">
        <v>1478</v>
      </c>
      <c r="E1515" s="3">
        <v>0</v>
      </c>
      <c r="F1515" s="2">
        <v>2008</v>
      </c>
      <c r="G1515" s="2">
        <v>100</v>
      </c>
      <c r="H1515" s="2">
        <v>373</v>
      </c>
      <c r="I1515" s="2">
        <v>2</v>
      </c>
      <c r="J1515" s="2">
        <v>1120</v>
      </c>
      <c r="K1515" s="2">
        <v>25</v>
      </c>
      <c r="L1515" s="2">
        <v>397</v>
      </c>
    </row>
    <row r="1516" spans="1:12" x14ac:dyDescent="0.25">
      <c r="A1516" s="4" t="str">
        <f>HYPERLINK("http://www.rosaceae.org/Prunus/Prunus_persica/p.persica_gdr_reftransV1_0009921","p.persica_gdr_reftransV1_0009921")</f>
        <v>p.persica_gdr_reftransV1_0009921</v>
      </c>
      <c r="B1516" s="2">
        <v>3855</v>
      </c>
      <c r="C1516" s="4" t="str">
        <f>HYPERLINK("http://www.uniprot.org/uniprot/M5WJ93","M5WJ93")</f>
        <v>M5WJ93</v>
      </c>
      <c r="D1516" s="2" t="s">
        <v>1479</v>
      </c>
      <c r="E1516" s="3">
        <v>0</v>
      </c>
      <c r="F1516" s="2">
        <v>4118</v>
      </c>
      <c r="G1516" s="2">
        <v>98</v>
      </c>
      <c r="H1516" s="2">
        <v>875</v>
      </c>
      <c r="I1516" s="2">
        <v>980</v>
      </c>
      <c r="J1516" s="2">
        <v>3604</v>
      </c>
      <c r="K1516" s="2">
        <v>73</v>
      </c>
      <c r="L1516" s="2">
        <v>930</v>
      </c>
    </row>
    <row r="1517" spans="1:12" x14ac:dyDescent="0.25">
      <c r="A1517" s="4" t="str">
        <f>HYPERLINK("http://www.rosaceae.org/Prunus/Prunus_persica/p.persica_gdr_reftransV1_0013071","p.persica_gdr_reftransV1_0013071")</f>
        <v>p.persica_gdr_reftransV1_0013071</v>
      </c>
      <c r="B1517" s="2">
        <v>4458</v>
      </c>
      <c r="C1517" s="4" t="str">
        <f>HYPERLINK("http://www.uniprot.org/uniprot/M5WQZ2","M5WQZ2")</f>
        <v>M5WQZ2</v>
      </c>
      <c r="D1517" s="2" t="s">
        <v>1480</v>
      </c>
      <c r="E1517" s="3">
        <v>0</v>
      </c>
      <c r="F1517" s="2">
        <v>4576</v>
      </c>
      <c r="G1517" s="2">
        <v>95</v>
      </c>
      <c r="H1517" s="2">
        <v>975</v>
      </c>
      <c r="I1517" s="2">
        <v>1532</v>
      </c>
      <c r="J1517" s="2">
        <v>4456</v>
      </c>
      <c r="K1517" s="2">
        <v>511</v>
      </c>
      <c r="L1517" s="2">
        <v>1442</v>
      </c>
    </row>
    <row r="1518" spans="1:12" x14ac:dyDescent="0.25">
      <c r="A1518" s="4" t="str">
        <f>HYPERLINK("http://www.rosaceae.org/Prunus/Prunus_persica/p.persica_gdr_reftransV1_0013771","p.persica_gdr_reftransV1_0013771")</f>
        <v>p.persica_gdr_reftransV1_0013771</v>
      </c>
      <c r="B1518" s="2">
        <v>1261</v>
      </c>
      <c r="C1518" s="4" t="str">
        <f>HYPERLINK("http://www.uniprot.org/uniprot/M5XD87","M5XD87")</f>
        <v>M5XD87</v>
      </c>
      <c r="D1518" s="2" t="s">
        <v>1481</v>
      </c>
      <c r="E1518" s="3">
        <v>0</v>
      </c>
      <c r="F1518" s="2">
        <v>1471</v>
      </c>
      <c r="G1518" s="2">
        <v>100</v>
      </c>
      <c r="H1518" s="2">
        <v>311</v>
      </c>
      <c r="I1518" s="2">
        <v>329</v>
      </c>
      <c r="J1518" s="2">
        <v>1261</v>
      </c>
      <c r="K1518" s="2">
        <v>32</v>
      </c>
      <c r="L1518" s="2">
        <v>342</v>
      </c>
    </row>
    <row r="1519" spans="1:12" x14ac:dyDescent="0.25">
      <c r="A1519" s="4" t="str">
        <f>HYPERLINK("http://www.rosaceae.org/Prunus/Prunus_persica/p.persica_gdr_reftransV1_0014471","p.persica_gdr_reftransV1_0014471")</f>
        <v>p.persica_gdr_reftransV1_0014471</v>
      </c>
      <c r="B1519" s="2">
        <v>912</v>
      </c>
      <c r="C1519" s="4" t="str">
        <f>HYPERLINK("http://www.uniprot.org/uniprot/M5WPR3","M5WPR3")</f>
        <v>M5WPR3</v>
      </c>
      <c r="D1519" s="2" t="s">
        <v>1482</v>
      </c>
      <c r="E1519" s="3">
        <v>2.1699999999999999E-121</v>
      </c>
      <c r="F1519" s="2">
        <v>918</v>
      </c>
      <c r="G1519" s="2">
        <v>100</v>
      </c>
      <c r="H1519" s="2">
        <v>172</v>
      </c>
      <c r="I1519" s="2">
        <v>183</v>
      </c>
      <c r="J1519" s="2">
        <v>698</v>
      </c>
      <c r="K1519" s="2">
        <v>21</v>
      </c>
      <c r="L1519" s="2">
        <v>192</v>
      </c>
    </row>
    <row r="1520" spans="1:12" x14ac:dyDescent="0.25">
      <c r="A1520" s="4" t="str">
        <f>HYPERLINK("http://www.rosaceae.org/Prunus/Prunus_persica/p.persica_gdr_reftransV1_0014821","p.persica_gdr_reftransV1_0014821")</f>
        <v>p.persica_gdr_reftransV1_0014821</v>
      </c>
      <c r="B1520" s="2">
        <v>2139</v>
      </c>
      <c r="C1520" s="4" t="str">
        <f>HYPERLINK("http://www.uniprot.org/uniprot/M5XJE6","M5XJE6")</f>
        <v>M5XJE6</v>
      </c>
      <c r="D1520" s="2" t="s">
        <v>1483</v>
      </c>
      <c r="E1520" s="3">
        <v>0</v>
      </c>
      <c r="F1520" s="2">
        <v>2487</v>
      </c>
      <c r="G1520" s="2">
        <v>100</v>
      </c>
      <c r="H1520" s="2">
        <v>471</v>
      </c>
      <c r="I1520" s="2">
        <v>610</v>
      </c>
      <c r="J1520" s="2">
        <v>2022</v>
      </c>
      <c r="K1520" s="2">
        <v>1</v>
      </c>
      <c r="L1520" s="2">
        <v>471</v>
      </c>
    </row>
    <row r="1521" spans="1:12" x14ac:dyDescent="0.25">
      <c r="A1521" s="4" t="str">
        <f>HYPERLINK("http://www.rosaceae.org/Prunus/Prunus_persica/p.persica_gdr_reftransV1_0015521","p.persica_gdr_reftransV1_0015521")</f>
        <v>p.persica_gdr_reftransV1_0015521</v>
      </c>
      <c r="B1521" s="2">
        <v>1308</v>
      </c>
      <c r="C1521" s="4" t="str">
        <f>HYPERLINK("http://www.uniprot.org/uniprot/M5XMR4","M5XMR4")</f>
        <v>M5XMR4</v>
      </c>
      <c r="D1521" s="2" t="s">
        <v>1484</v>
      </c>
      <c r="E1521" s="3">
        <v>8.3399999999999996E-179</v>
      </c>
      <c r="F1521" s="2">
        <v>1318</v>
      </c>
      <c r="G1521" s="2">
        <v>86</v>
      </c>
      <c r="H1521" s="2">
        <v>304</v>
      </c>
      <c r="I1521" s="2">
        <v>116</v>
      </c>
      <c r="J1521" s="2">
        <v>1027</v>
      </c>
      <c r="K1521" s="2">
        <v>1</v>
      </c>
      <c r="L1521" s="2">
        <v>262</v>
      </c>
    </row>
    <row r="1522" spans="1:12" x14ac:dyDescent="0.25">
      <c r="A1522" s="4" t="str">
        <f>HYPERLINK("http://www.rosaceae.org/Prunus/Prunus_persica/p.persica_gdr_reftransV1_0016921","p.persica_gdr_reftransV1_0016921")</f>
        <v>p.persica_gdr_reftransV1_0016921</v>
      </c>
      <c r="B1522" s="2">
        <v>1825</v>
      </c>
      <c r="C1522" s="4" t="str">
        <f>HYPERLINK("http://www.uniprot.org/uniprot/M5XZJ2","M5XZJ2")</f>
        <v>M5XZJ2</v>
      </c>
      <c r="D1522" s="2" t="s">
        <v>1485</v>
      </c>
      <c r="E1522" s="3">
        <v>8.5399999999999996E-104</v>
      </c>
      <c r="F1522" s="2">
        <v>829</v>
      </c>
      <c r="G1522" s="2">
        <v>100</v>
      </c>
      <c r="H1522" s="2">
        <v>185</v>
      </c>
      <c r="I1522" s="2">
        <v>957</v>
      </c>
      <c r="J1522" s="2">
        <v>1511</v>
      </c>
      <c r="K1522" s="2">
        <v>1</v>
      </c>
      <c r="L1522" s="2">
        <v>185</v>
      </c>
    </row>
    <row r="1523" spans="1:12" x14ac:dyDescent="0.25">
      <c r="A1523" s="4" t="str">
        <f>HYPERLINK("http://www.rosaceae.org/Prunus/Prunus_persica/p.persica_gdr_reftransV1_0017271","p.persica_gdr_reftransV1_0017271")</f>
        <v>p.persica_gdr_reftransV1_0017271</v>
      </c>
      <c r="B1523" s="2">
        <v>2703</v>
      </c>
      <c r="C1523" s="4" t="str">
        <f>HYPERLINK("http://www.uniprot.org/uniprot/M5VMY9","M5VMY9")</f>
        <v>M5VMY9</v>
      </c>
      <c r="D1523" s="2" t="s">
        <v>1486</v>
      </c>
      <c r="E1523" s="3">
        <v>4.14E-53</v>
      </c>
      <c r="F1523" s="2">
        <v>497</v>
      </c>
      <c r="G1523" s="2">
        <v>100</v>
      </c>
      <c r="H1523" s="2">
        <v>96</v>
      </c>
      <c r="I1523" s="2">
        <v>1090</v>
      </c>
      <c r="J1523" s="2">
        <v>1377</v>
      </c>
      <c r="K1523" s="2">
        <v>75</v>
      </c>
      <c r="L1523" s="2">
        <v>170</v>
      </c>
    </row>
    <row r="1524" spans="1:12" x14ac:dyDescent="0.25">
      <c r="A1524" s="4" t="str">
        <f>HYPERLINK("http://www.rosaceae.org/Prunus/Prunus_persica/p.persica_gdr_reftransV1_0017621","p.persica_gdr_reftransV1_0017621")</f>
        <v>p.persica_gdr_reftransV1_0017621</v>
      </c>
      <c r="B1524" s="2">
        <v>2553</v>
      </c>
      <c r="C1524" s="4" t="str">
        <f>HYPERLINK("http://www.uniprot.org/uniprot/M5WNH7","M5WNH7")</f>
        <v>M5WNH7</v>
      </c>
      <c r="D1524" s="2" t="s">
        <v>1487</v>
      </c>
      <c r="E1524" s="3">
        <v>0</v>
      </c>
      <c r="F1524" s="2">
        <v>2458</v>
      </c>
      <c r="G1524" s="2">
        <v>100</v>
      </c>
      <c r="H1524" s="2">
        <v>516</v>
      </c>
      <c r="I1524" s="2">
        <v>103</v>
      </c>
      <c r="J1524" s="2">
        <v>1650</v>
      </c>
      <c r="K1524" s="2">
        <v>1</v>
      </c>
      <c r="L1524" s="2">
        <v>516</v>
      </c>
    </row>
    <row r="1525" spans="1:12" x14ac:dyDescent="0.25">
      <c r="A1525" s="4" t="str">
        <f>HYPERLINK("http://www.rosaceae.org/Prunus/Prunus_persica/p.persica_gdr_reftransV1_0018321","p.persica_gdr_reftransV1_0018321")</f>
        <v>p.persica_gdr_reftransV1_0018321</v>
      </c>
      <c r="B1525" s="2">
        <v>725</v>
      </c>
      <c r="C1525" s="4" t="str">
        <f>HYPERLINK("http://www.uniprot.org/uniprot/M5XNF1","M5XNF1")</f>
        <v>M5XNF1</v>
      </c>
      <c r="D1525" s="2" t="s">
        <v>1488</v>
      </c>
      <c r="E1525" s="3">
        <v>1.0099999999999999E-31</v>
      </c>
      <c r="F1525" s="2">
        <v>314</v>
      </c>
      <c r="G1525" s="2">
        <v>100</v>
      </c>
      <c r="H1525" s="2">
        <v>90</v>
      </c>
      <c r="I1525" s="2">
        <v>171</v>
      </c>
      <c r="J1525" s="2">
        <v>440</v>
      </c>
      <c r="K1525" s="2">
        <v>1</v>
      </c>
      <c r="L1525" s="2">
        <v>90</v>
      </c>
    </row>
    <row r="1526" spans="1:12" x14ac:dyDescent="0.25">
      <c r="A1526" s="4" t="str">
        <f>HYPERLINK("http://www.rosaceae.org/Prunus/Prunus_persica/p.persica_gdr_reftransV1_0019021","p.persica_gdr_reftransV1_0019021")</f>
        <v>p.persica_gdr_reftransV1_0019021</v>
      </c>
      <c r="B1526" s="2">
        <v>446</v>
      </c>
      <c r="C1526" s="4" t="str">
        <f>HYPERLINK("http://www.uniprot.org/uniprot/M5XJA8","M5XJA8")</f>
        <v>M5XJA8</v>
      </c>
      <c r="D1526" s="2" t="s">
        <v>1489</v>
      </c>
      <c r="E1526" s="3">
        <v>2.7799999999999999E-97</v>
      </c>
      <c r="F1526" s="2">
        <v>767</v>
      </c>
      <c r="G1526" s="2">
        <v>100</v>
      </c>
      <c r="H1526" s="2">
        <v>145</v>
      </c>
      <c r="I1526" s="2">
        <v>12</v>
      </c>
      <c r="J1526" s="2">
        <v>446</v>
      </c>
      <c r="K1526" s="2">
        <v>25</v>
      </c>
      <c r="L1526" s="2">
        <v>169</v>
      </c>
    </row>
    <row r="1527" spans="1:12" x14ac:dyDescent="0.25">
      <c r="A1527" s="4" t="str">
        <f>HYPERLINK("http://www.rosaceae.org/Prunus/Prunus_persica/p.persica_gdr_reftransV1_0021821","p.persica_gdr_reftransV1_0021821")</f>
        <v>p.persica_gdr_reftransV1_0021821</v>
      </c>
      <c r="B1527" s="2">
        <v>1952</v>
      </c>
      <c r="C1527" s="4" t="str">
        <f>HYPERLINK("http://www.uniprot.org/uniprot/M5X187","M5X187")</f>
        <v>M5X187</v>
      </c>
      <c r="D1527" s="2" t="s">
        <v>1490</v>
      </c>
      <c r="E1527" s="3">
        <v>2.1199999999999999E-86</v>
      </c>
      <c r="F1527" s="2">
        <v>715</v>
      </c>
      <c r="G1527" s="2">
        <v>99</v>
      </c>
      <c r="H1527" s="2">
        <v>137</v>
      </c>
      <c r="I1527" s="2">
        <v>1256</v>
      </c>
      <c r="J1527" s="2">
        <v>1666</v>
      </c>
      <c r="K1527" s="2">
        <v>51</v>
      </c>
      <c r="L1527" s="2">
        <v>187</v>
      </c>
    </row>
    <row r="1528" spans="1:12" x14ac:dyDescent="0.25">
      <c r="A1528" s="4" t="str">
        <f>HYPERLINK("http://www.rosaceae.org/Prunus/Prunus_persica/p.persica_gdr_reftransV1_0024271","p.persica_gdr_reftransV1_0024271")</f>
        <v>p.persica_gdr_reftransV1_0024271</v>
      </c>
      <c r="B1528" s="2">
        <v>2783</v>
      </c>
      <c r="C1528" s="4" t="str">
        <f>HYPERLINK("http://www.uniprot.org/uniprot/M5WGE0","M5WGE0")</f>
        <v>M5WGE0</v>
      </c>
      <c r="D1528" s="2" t="s">
        <v>1491</v>
      </c>
      <c r="E1528" s="3">
        <v>0</v>
      </c>
      <c r="F1528" s="2">
        <v>3712</v>
      </c>
      <c r="G1528" s="2">
        <v>100</v>
      </c>
      <c r="H1528" s="2">
        <v>804</v>
      </c>
      <c r="I1528" s="2">
        <v>254</v>
      </c>
      <c r="J1528" s="2">
        <v>2665</v>
      </c>
      <c r="K1528" s="2">
        <v>1</v>
      </c>
      <c r="L1528" s="2">
        <v>804</v>
      </c>
    </row>
    <row r="1529" spans="1:12" x14ac:dyDescent="0.25">
      <c r="A1529" s="4" t="str">
        <f>HYPERLINK("http://www.rosaceae.org/Prunus/Prunus_persica/p.persica_gdr_reftransV1_0027421","p.persica_gdr_reftransV1_0027421")</f>
        <v>p.persica_gdr_reftransV1_0027421</v>
      </c>
      <c r="B1529" s="2">
        <v>3836</v>
      </c>
      <c r="C1529" s="4" t="str">
        <f>HYPERLINK("http://www.uniprot.org/uniprot/M5VL10","M5VL10")</f>
        <v>M5VL10</v>
      </c>
      <c r="D1529" s="2" t="s">
        <v>1492</v>
      </c>
      <c r="E1529" s="3">
        <v>0</v>
      </c>
      <c r="F1529" s="2">
        <v>4299</v>
      </c>
      <c r="G1529" s="2">
        <v>100</v>
      </c>
      <c r="H1529" s="2">
        <v>859</v>
      </c>
      <c r="I1529" s="2">
        <v>1258</v>
      </c>
      <c r="J1529" s="2">
        <v>3834</v>
      </c>
      <c r="K1529" s="2">
        <v>4</v>
      </c>
      <c r="L1529" s="2">
        <v>862</v>
      </c>
    </row>
    <row r="1530" spans="1:12" x14ac:dyDescent="0.25">
      <c r="A1530" s="4" t="str">
        <f>HYPERLINK("http://www.rosaceae.org/Prunus/Prunus_persica/p.persica_gdr_reftransV1_0027771","p.persica_gdr_reftransV1_0027771")</f>
        <v>p.persica_gdr_reftransV1_0027771</v>
      </c>
      <c r="B1530" s="2">
        <v>2581</v>
      </c>
      <c r="C1530" s="4" t="str">
        <f>HYPERLINK("http://www.uniprot.org/uniprot/M5WTG3","M5WTG3")</f>
        <v>M5WTG3</v>
      </c>
      <c r="D1530" s="2" t="s">
        <v>1493</v>
      </c>
      <c r="E1530" s="3">
        <v>0</v>
      </c>
      <c r="F1530" s="2">
        <v>2024</v>
      </c>
      <c r="G1530" s="2">
        <v>100</v>
      </c>
      <c r="H1530" s="2">
        <v>564</v>
      </c>
      <c r="I1530" s="2">
        <v>803</v>
      </c>
      <c r="J1530" s="2">
        <v>2494</v>
      </c>
      <c r="K1530" s="2">
        <v>1</v>
      </c>
      <c r="L1530" s="2">
        <v>564</v>
      </c>
    </row>
    <row r="1531" spans="1:12" x14ac:dyDescent="0.25">
      <c r="A1531" s="4" t="str">
        <f>HYPERLINK("http://www.rosaceae.org/Prunus/Prunus_persica/p.persica_gdr_reftransV1_0028121","p.persica_gdr_reftransV1_0028121")</f>
        <v>p.persica_gdr_reftransV1_0028121</v>
      </c>
      <c r="B1531" s="2">
        <v>1709</v>
      </c>
      <c r="C1531" s="4" t="str">
        <f>HYPERLINK("http://www.uniprot.org/uniprot/M5X2T7","M5X2T7")</f>
        <v>M5X2T7</v>
      </c>
      <c r="D1531" s="2" t="s">
        <v>1494</v>
      </c>
      <c r="E1531" s="3">
        <v>0</v>
      </c>
      <c r="F1531" s="2">
        <v>1441</v>
      </c>
      <c r="G1531" s="2">
        <v>100</v>
      </c>
      <c r="H1531" s="2">
        <v>311</v>
      </c>
      <c r="I1531" s="2">
        <v>540</v>
      </c>
      <c r="J1531" s="2">
        <v>1472</v>
      </c>
      <c r="K1531" s="2">
        <v>339</v>
      </c>
      <c r="L1531" s="2">
        <v>649</v>
      </c>
    </row>
    <row r="1532" spans="1:12" x14ac:dyDescent="0.25">
      <c r="A1532" s="4" t="str">
        <f>HYPERLINK("http://www.rosaceae.org/Prunus/Prunus_persica/p.persica_gdr_reftransV1_0029171","p.persica_gdr_reftransV1_0029171")</f>
        <v>p.persica_gdr_reftransV1_0029171</v>
      </c>
      <c r="B1532" s="2">
        <v>2422</v>
      </c>
      <c r="C1532" s="4" t="str">
        <f>HYPERLINK("http://www.uniprot.org/uniprot/M5VMA7","M5VMA7")</f>
        <v>M5VMA7</v>
      </c>
      <c r="D1532" s="2" t="s">
        <v>1495</v>
      </c>
      <c r="E1532" s="3">
        <v>0</v>
      </c>
      <c r="F1532" s="2">
        <v>2248</v>
      </c>
      <c r="G1532" s="2">
        <v>100</v>
      </c>
      <c r="H1532" s="2">
        <v>476</v>
      </c>
      <c r="I1532" s="2">
        <v>57</v>
      </c>
      <c r="J1532" s="2">
        <v>1484</v>
      </c>
      <c r="K1532" s="2">
        <v>1</v>
      </c>
      <c r="L1532" s="2">
        <v>476</v>
      </c>
    </row>
    <row r="1533" spans="1:12" x14ac:dyDescent="0.25">
      <c r="A1533" s="4" t="str">
        <f>HYPERLINK("http://www.rosaceae.org/Prunus/Prunus_persica/p.persica_gdr_reftransV1_0029521","p.persica_gdr_reftransV1_0029521")</f>
        <v>p.persica_gdr_reftransV1_0029521</v>
      </c>
      <c r="B1533" s="2">
        <v>1121</v>
      </c>
      <c r="C1533" s="4" t="str">
        <f>HYPERLINK("http://www.uniprot.org/uniprot/Q9TL48","Q9TL48")</f>
        <v>Q9TL48</v>
      </c>
      <c r="D1533" s="2" t="s">
        <v>1496</v>
      </c>
      <c r="E1533" s="3">
        <v>1.37E-156</v>
      </c>
      <c r="F1533" s="2">
        <v>915</v>
      </c>
      <c r="G1533" s="2">
        <v>88</v>
      </c>
      <c r="H1533" s="2">
        <v>197</v>
      </c>
      <c r="I1533" s="2">
        <v>484</v>
      </c>
      <c r="J1533" s="2">
        <v>1074</v>
      </c>
      <c r="K1533" s="2">
        <v>303</v>
      </c>
      <c r="L1533" s="2">
        <v>499</v>
      </c>
    </row>
    <row r="1534" spans="1:12" x14ac:dyDescent="0.25">
      <c r="A1534" s="4" t="str">
        <f>HYPERLINK("http://www.rosaceae.org/Prunus/Prunus_persica/p.persica_gdr_reftransV1_0030571","p.persica_gdr_reftransV1_0030571")</f>
        <v>p.persica_gdr_reftransV1_0030571</v>
      </c>
      <c r="B1534" s="2">
        <v>3392</v>
      </c>
      <c r="C1534" s="4" t="str">
        <f>HYPERLINK("http://www.uniprot.org/uniprot/M5XES0","M5XES0")</f>
        <v>M5XES0</v>
      </c>
      <c r="D1534" s="2" t="s">
        <v>1497</v>
      </c>
      <c r="E1534" s="3">
        <v>0</v>
      </c>
      <c r="F1534" s="2">
        <v>1453</v>
      </c>
      <c r="G1534" s="2">
        <v>100</v>
      </c>
      <c r="H1534" s="2">
        <v>290</v>
      </c>
      <c r="I1534" s="2">
        <v>2063</v>
      </c>
      <c r="J1534" s="2">
        <v>2932</v>
      </c>
      <c r="K1534" s="2">
        <v>1</v>
      </c>
      <c r="L1534" s="2">
        <v>290</v>
      </c>
    </row>
    <row r="1535" spans="1:12" x14ac:dyDescent="0.25">
      <c r="A1535" s="4" t="str">
        <f>HYPERLINK("http://www.rosaceae.org/Prunus/Prunus_persica/p.persica_gdr_reftransV1_0030921","p.persica_gdr_reftransV1_0030921")</f>
        <v>p.persica_gdr_reftransV1_0030921</v>
      </c>
      <c r="B1535" s="2">
        <v>1443</v>
      </c>
      <c r="C1535" s="4" t="str">
        <f>HYPERLINK("http://www.uniprot.org/uniprot/M5VKW3","M5VKW3")</f>
        <v>M5VKW3</v>
      </c>
      <c r="D1535" s="2" t="s">
        <v>1498</v>
      </c>
      <c r="E1535" s="3">
        <v>4.2499999999999998E-66</v>
      </c>
      <c r="F1535" s="2">
        <v>561</v>
      </c>
      <c r="G1535" s="2">
        <v>100</v>
      </c>
      <c r="H1535" s="2">
        <v>110</v>
      </c>
      <c r="I1535" s="2">
        <v>672</v>
      </c>
      <c r="J1535" s="2">
        <v>1001</v>
      </c>
      <c r="K1535" s="2">
        <v>29</v>
      </c>
      <c r="L1535" s="2">
        <v>138</v>
      </c>
    </row>
    <row r="1536" spans="1:12" x14ac:dyDescent="0.25">
      <c r="A1536" s="4" t="str">
        <f>HYPERLINK("http://www.rosaceae.org/Prunus/Prunus_persica/p.persica_gdr_reftransV1_0032671","p.persica_gdr_reftransV1_0032671")</f>
        <v>p.persica_gdr_reftransV1_0032671</v>
      </c>
      <c r="B1536" s="2">
        <v>1412</v>
      </c>
      <c r="C1536" s="4" t="str">
        <f>HYPERLINK("http://www.uniprot.org/uniprot/D7T4C9","D7T4C9")</f>
        <v>D7T4C9</v>
      </c>
      <c r="D1536" s="2" t="s">
        <v>1499</v>
      </c>
      <c r="E1536" s="3">
        <v>9.7199999999999996E-86</v>
      </c>
      <c r="F1536" s="2">
        <v>697</v>
      </c>
      <c r="G1536" s="2">
        <v>81</v>
      </c>
      <c r="H1536" s="2">
        <v>154</v>
      </c>
      <c r="I1536" s="2">
        <v>291</v>
      </c>
      <c r="J1536" s="2">
        <v>752</v>
      </c>
      <c r="K1536" s="2">
        <v>36</v>
      </c>
      <c r="L1536" s="2">
        <v>189</v>
      </c>
    </row>
    <row r="1537" spans="1:12" x14ac:dyDescent="0.25">
      <c r="A1537" s="4" t="str">
        <f>HYPERLINK("http://www.rosaceae.org/Prunus/Prunus_persica/p.persica_gdr_reftransV1_0033371","p.persica_gdr_reftransV1_0033371")</f>
        <v>p.persica_gdr_reftransV1_0033371</v>
      </c>
      <c r="B1537" s="2">
        <v>2783</v>
      </c>
      <c r="C1537" s="4" t="str">
        <f>HYPERLINK("http://www.uniprot.org/uniprot/M5VVP9","M5VVP9")</f>
        <v>M5VVP9</v>
      </c>
      <c r="D1537" s="2" t="s">
        <v>1500</v>
      </c>
      <c r="E1537" s="3">
        <v>0</v>
      </c>
      <c r="F1537" s="2">
        <v>2152</v>
      </c>
      <c r="G1537" s="2">
        <v>93</v>
      </c>
      <c r="H1537" s="2">
        <v>441</v>
      </c>
      <c r="I1537" s="2">
        <v>310</v>
      </c>
      <c r="J1537" s="2">
        <v>1632</v>
      </c>
      <c r="K1537" s="2">
        <v>353</v>
      </c>
      <c r="L1537" s="2">
        <v>763</v>
      </c>
    </row>
    <row r="1538" spans="1:12" x14ac:dyDescent="0.25">
      <c r="A1538" s="4" t="str">
        <f>HYPERLINK("http://www.rosaceae.org/Prunus/Prunus_persica/p.persica_gdr_reftransV1_0033721","p.persica_gdr_reftransV1_0033721")</f>
        <v>p.persica_gdr_reftransV1_0033721</v>
      </c>
      <c r="B1538" s="2">
        <v>3408</v>
      </c>
      <c r="C1538" s="4" t="str">
        <f>HYPERLINK("http://www.uniprot.org/uniprot/M5XBB5","M5XBB5")</f>
        <v>M5XBB5</v>
      </c>
      <c r="D1538" s="2" t="s">
        <v>1501</v>
      </c>
      <c r="E1538" s="3">
        <v>0</v>
      </c>
      <c r="F1538" s="2">
        <v>1769</v>
      </c>
      <c r="G1538" s="2">
        <v>100</v>
      </c>
      <c r="H1538" s="2">
        <v>338</v>
      </c>
      <c r="I1538" s="2">
        <v>1954</v>
      </c>
      <c r="J1538" s="2">
        <v>2967</v>
      </c>
      <c r="K1538" s="2">
        <v>272</v>
      </c>
      <c r="L1538" s="2">
        <v>609</v>
      </c>
    </row>
    <row r="1539" spans="1:12" x14ac:dyDescent="0.25">
      <c r="A1539" s="4" t="str">
        <f>HYPERLINK("http://www.rosaceae.org/Prunus/Prunus_persica/p.persica_gdr_reftransV1_0034071","p.persica_gdr_reftransV1_0034071")</f>
        <v>p.persica_gdr_reftransV1_0034071</v>
      </c>
      <c r="B1539" s="2">
        <v>2679</v>
      </c>
      <c r="C1539" s="4" t="str">
        <f>HYPERLINK("http://www.uniprot.org/uniprot/M5XRG9","M5XRG9")</f>
        <v>M5XRG9</v>
      </c>
      <c r="D1539" s="2" t="s">
        <v>1502</v>
      </c>
      <c r="E1539" s="3">
        <v>2.1500000000000002E-115</v>
      </c>
      <c r="F1539" s="2">
        <v>943</v>
      </c>
      <c r="G1539" s="2">
        <v>99</v>
      </c>
      <c r="H1539" s="2">
        <v>202</v>
      </c>
      <c r="I1539" s="2">
        <v>112</v>
      </c>
      <c r="J1539" s="2">
        <v>717</v>
      </c>
      <c r="K1539" s="2">
        <v>1</v>
      </c>
      <c r="L1539" s="2">
        <v>202</v>
      </c>
    </row>
    <row r="1540" spans="1:12" x14ac:dyDescent="0.25">
      <c r="A1540" s="4" t="str">
        <f>HYPERLINK("http://www.rosaceae.org/Prunus/Prunus_persica/p.persica_gdr_reftransV1_0034771","p.persica_gdr_reftransV1_0034771")</f>
        <v>p.persica_gdr_reftransV1_0034771</v>
      </c>
      <c r="B1540" s="2">
        <v>1655</v>
      </c>
      <c r="C1540" s="4" t="str">
        <f>HYPERLINK("http://www.uniprot.org/uniprot/M5XVB3","M5XVB3")</f>
        <v>M5XVB3</v>
      </c>
      <c r="D1540" s="2" t="s">
        <v>1503</v>
      </c>
      <c r="E1540" s="3">
        <v>0</v>
      </c>
      <c r="F1540" s="2">
        <v>2376</v>
      </c>
      <c r="G1540" s="2">
        <v>100</v>
      </c>
      <c r="H1540" s="2">
        <v>439</v>
      </c>
      <c r="I1540" s="2">
        <v>337</v>
      </c>
      <c r="J1540" s="2">
        <v>1653</v>
      </c>
      <c r="K1540" s="2">
        <v>1</v>
      </c>
      <c r="L1540" s="2">
        <v>439</v>
      </c>
    </row>
    <row r="1541" spans="1:12" x14ac:dyDescent="0.25">
      <c r="A1541" s="4" t="str">
        <f>HYPERLINK("http://www.rosaceae.org/Prunus/Prunus_persica/p.persica_gdr_reftransV1_0035471","p.persica_gdr_reftransV1_0035471")</f>
        <v>p.persica_gdr_reftransV1_0035471</v>
      </c>
      <c r="B1541" s="2">
        <v>734</v>
      </c>
      <c r="C1541" s="4" t="str">
        <f>HYPERLINK("http://www.uniprot.org/uniprot/M5VJE3","M5VJE3")</f>
        <v>M5VJE3</v>
      </c>
      <c r="D1541" s="2" t="s">
        <v>1504</v>
      </c>
      <c r="E1541" s="3">
        <v>6.2799999999999997E-50</v>
      </c>
      <c r="F1541" s="2">
        <v>431</v>
      </c>
      <c r="G1541" s="2">
        <v>95</v>
      </c>
      <c r="H1541" s="2">
        <v>103</v>
      </c>
      <c r="I1541" s="2">
        <v>334</v>
      </c>
      <c r="J1541" s="2">
        <v>642</v>
      </c>
      <c r="K1541" s="2">
        <v>1</v>
      </c>
      <c r="L1541" s="2">
        <v>103</v>
      </c>
    </row>
    <row r="1542" spans="1:12" x14ac:dyDescent="0.25">
      <c r="A1542" s="4" t="str">
        <f>HYPERLINK("http://www.rosaceae.org/Prunus/Prunus_persica/p.persica_gdr_reftransV1_0037921","p.persica_gdr_reftransV1_0037921")</f>
        <v>p.persica_gdr_reftransV1_0037921</v>
      </c>
      <c r="B1542" s="2">
        <v>2127</v>
      </c>
      <c r="C1542" s="4" t="str">
        <f>HYPERLINK("http://www.uniprot.org/uniprot/M5XJ12","M5XJ12")</f>
        <v>M5XJ12</v>
      </c>
      <c r="D1542" s="2" t="s">
        <v>1505</v>
      </c>
      <c r="E1542" s="3">
        <v>0</v>
      </c>
      <c r="F1542" s="2">
        <v>2372</v>
      </c>
      <c r="G1542" s="2">
        <v>100</v>
      </c>
      <c r="H1542" s="2">
        <v>465</v>
      </c>
      <c r="I1542" s="2">
        <v>655</v>
      </c>
      <c r="J1542" s="2">
        <v>2049</v>
      </c>
      <c r="K1542" s="2">
        <v>21</v>
      </c>
      <c r="L1542" s="2">
        <v>485</v>
      </c>
    </row>
    <row r="1543" spans="1:12" x14ac:dyDescent="0.25">
      <c r="A1543" s="4" t="str">
        <f>HYPERLINK("http://www.rosaceae.org/Prunus/Prunus_persica/p.persica_gdr_reftransV1_0038271","p.persica_gdr_reftransV1_0038271")</f>
        <v>p.persica_gdr_reftransV1_0038271</v>
      </c>
      <c r="B1543" s="2">
        <v>2161</v>
      </c>
      <c r="C1543" s="4" t="str">
        <f>HYPERLINK("http://www.uniprot.org/uniprot/M5WG60","M5WG60")</f>
        <v>M5WG60</v>
      </c>
      <c r="D1543" s="2" t="s">
        <v>1506</v>
      </c>
      <c r="E1543" s="3">
        <v>0</v>
      </c>
      <c r="F1543" s="2">
        <v>2224</v>
      </c>
      <c r="G1543" s="2">
        <v>98</v>
      </c>
      <c r="H1543" s="2">
        <v>535</v>
      </c>
      <c r="I1543" s="2">
        <v>256</v>
      </c>
      <c r="J1543" s="2">
        <v>1857</v>
      </c>
      <c r="K1543" s="2">
        <v>1</v>
      </c>
      <c r="L1543" s="2">
        <v>535</v>
      </c>
    </row>
    <row r="1544" spans="1:12" x14ac:dyDescent="0.25">
      <c r="A1544" s="4" t="str">
        <f>HYPERLINK("http://www.rosaceae.org/Prunus/Prunus_persica/p.persica_gdr_reftransV1_0039671","p.persica_gdr_reftransV1_0039671")</f>
        <v>p.persica_gdr_reftransV1_0039671</v>
      </c>
      <c r="B1544" s="2">
        <v>3022</v>
      </c>
      <c r="C1544" s="4" t="str">
        <f>HYPERLINK("http://www.uniprot.org/uniprot/M5VYU3","M5VYU3")</f>
        <v>M5VYU3</v>
      </c>
      <c r="D1544" s="2" t="s">
        <v>1507</v>
      </c>
      <c r="E1544" s="3">
        <v>1.57E-113</v>
      </c>
      <c r="F1544" s="2">
        <v>940</v>
      </c>
      <c r="G1544" s="2">
        <v>99</v>
      </c>
      <c r="H1544" s="2">
        <v>184</v>
      </c>
      <c r="I1544" s="2">
        <v>53</v>
      </c>
      <c r="J1544" s="2">
        <v>604</v>
      </c>
      <c r="K1544" s="2">
        <v>1</v>
      </c>
      <c r="L1544" s="2">
        <v>184</v>
      </c>
    </row>
    <row r="1545" spans="1:12" x14ac:dyDescent="0.25">
      <c r="A1545" s="4" t="str">
        <f>HYPERLINK("http://www.rosaceae.org/Prunus/Prunus_persica/p.persica_gdr_reftransV1_0040371","p.persica_gdr_reftransV1_0040371")</f>
        <v>p.persica_gdr_reftransV1_0040371</v>
      </c>
      <c r="B1545" s="2">
        <v>3488</v>
      </c>
      <c r="C1545" s="4" t="str">
        <f>HYPERLINK("http://www.uniprot.org/uniprot/M5X7B4","M5X7B4")</f>
        <v>M5X7B4</v>
      </c>
      <c r="D1545" s="2" t="s">
        <v>1508</v>
      </c>
      <c r="E1545" s="3">
        <v>0</v>
      </c>
      <c r="F1545" s="2">
        <v>2049</v>
      </c>
      <c r="G1545" s="2">
        <v>100</v>
      </c>
      <c r="H1545" s="2">
        <v>444</v>
      </c>
      <c r="I1545" s="2">
        <v>637</v>
      </c>
      <c r="J1545" s="2">
        <v>1968</v>
      </c>
      <c r="K1545" s="2">
        <v>109</v>
      </c>
      <c r="L1545" s="2">
        <v>552</v>
      </c>
    </row>
    <row r="1546" spans="1:12" x14ac:dyDescent="0.25">
      <c r="A1546" s="4" t="str">
        <f>HYPERLINK("http://www.rosaceae.org/Prunus/Prunus_persica/p.persica_gdr_reftransV1_0041421","p.persica_gdr_reftransV1_0041421")</f>
        <v>p.persica_gdr_reftransV1_0041421</v>
      </c>
      <c r="B1546" s="2">
        <v>899</v>
      </c>
      <c r="C1546" s="4" t="str">
        <f>HYPERLINK("http://www.uniprot.org/uniprot/M5XW09","M5XW09")</f>
        <v>M5XW09</v>
      </c>
      <c r="D1546" s="2" t="s">
        <v>1509</v>
      </c>
      <c r="E1546" s="3">
        <v>4.4800000000000002E-17</v>
      </c>
      <c r="F1546" s="2">
        <v>222</v>
      </c>
      <c r="G1546" s="2">
        <v>99</v>
      </c>
      <c r="H1546" s="2">
        <v>112</v>
      </c>
      <c r="I1546" s="2">
        <v>480</v>
      </c>
      <c r="J1546" s="2">
        <v>815</v>
      </c>
      <c r="K1546" s="2">
        <v>334</v>
      </c>
      <c r="L1546" s="2">
        <v>445</v>
      </c>
    </row>
    <row r="1547" spans="1:12" x14ac:dyDescent="0.25">
      <c r="A1547" s="4" t="str">
        <f>HYPERLINK("http://www.rosaceae.org/Prunus/Prunus_persica/p.persica_gdr_reftransV1_0043171","p.persica_gdr_reftransV1_0043171")</f>
        <v>p.persica_gdr_reftransV1_0043171</v>
      </c>
      <c r="B1547" s="2">
        <v>359</v>
      </c>
      <c r="C1547" s="4" t="str">
        <f>HYPERLINK("http://www.uniprot.org/uniprot/M5WBD6","M5WBD6")</f>
        <v>M5WBD6</v>
      </c>
      <c r="D1547" s="2" t="s">
        <v>1510</v>
      </c>
      <c r="E1547" s="3">
        <v>9.2899999999999996E-35</v>
      </c>
      <c r="F1547" s="2">
        <v>314</v>
      </c>
      <c r="G1547" s="2">
        <v>100</v>
      </c>
      <c r="H1547" s="2">
        <v>62</v>
      </c>
      <c r="I1547" s="2">
        <v>159</v>
      </c>
      <c r="J1547" s="2">
        <v>344</v>
      </c>
      <c r="K1547" s="2">
        <v>1</v>
      </c>
      <c r="L1547" s="2">
        <v>62</v>
      </c>
    </row>
    <row r="1548" spans="1:12" x14ac:dyDescent="0.25">
      <c r="A1548" s="4" t="str">
        <f>HYPERLINK("http://www.rosaceae.org/Prunus/Prunus_persica/p.persica_gdr_reftransV1_0043521","p.persica_gdr_reftransV1_0043521")</f>
        <v>p.persica_gdr_reftransV1_0043521</v>
      </c>
      <c r="B1548" s="2">
        <v>597</v>
      </c>
      <c r="C1548" s="4" t="str">
        <f>HYPERLINK("http://www.uniprot.org/uniprot/M5XMT6","M5XMT6")</f>
        <v>M5XMT6</v>
      </c>
      <c r="D1548" s="2" t="s">
        <v>1511</v>
      </c>
      <c r="E1548" s="3">
        <v>8.6300000000000007E-52</v>
      </c>
      <c r="F1548" s="2">
        <v>438</v>
      </c>
      <c r="G1548" s="2">
        <v>100</v>
      </c>
      <c r="H1548" s="2">
        <v>96</v>
      </c>
      <c r="I1548" s="2">
        <v>255</v>
      </c>
      <c r="J1548" s="2">
        <v>542</v>
      </c>
      <c r="K1548" s="2">
        <v>1</v>
      </c>
      <c r="L1548" s="2">
        <v>96</v>
      </c>
    </row>
    <row r="1549" spans="1:12" x14ac:dyDescent="0.25">
      <c r="A1549" s="4" t="str">
        <f>HYPERLINK("http://www.rosaceae.org/Prunus/Prunus_persica/p.persica_gdr_reftransV1_0043871","p.persica_gdr_reftransV1_0043871")</f>
        <v>p.persica_gdr_reftransV1_0043871</v>
      </c>
      <c r="B1549" s="2">
        <v>1331</v>
      </c>
      <c r="C1549" s="4" t="str">
        <f>HYPERLINK("http://www.uniprot.org/uniprot/M5W431","M5W431")</f>
        <v>M5W431</v>
      </c>
      <c r="D1549" s="2" t="s">
        <v>1512</v>
      </c>
      <c r="E1549" s="3">
        <v>2.07E-68</v>
      </c>
      <c r="F1549" s="2">
        <v>586</v>
      </c>
      <c r="G1549" s="2">
        <v>98</v>
      </c>
      <c r="H1549" s="2">
        <v>176</v>
      </c>
      <c r="I1549" s="2">
        <v>120</v>
      </c>
      <c r="J1549" s="2">
        <v>647</v>
      </c>
      <c r="K1549" s="2">
        <v>1</v>
      </c>
      <c r="L1549" s="2">
        <v>175</v>
      </c>
    </row>
    <row r="1550" spans="1:12" x14ac:dyDescent="0.25">
      <c r="A1550" s="4" t="str">
        <f>HYPERLINK("http://www.rosaceae.org/Prunus/Prunus_persica/p.persica_gdr_reftransV1_0044221","p.persica_gdr_reftransV1_0044221")</f>
        <v>p.persica_gdr_reftransV1_0044221</v>
      </c>
      <c r="B1550" s="2">
        <v>962</v>
      </c>
      <c r="C1550" s="4" t="str">
        <f>HYPERLINK("http://www.uniprot.org/uniprot/M5XVV3","M5XVV3")</f>
        <v>M5XVV3</v>
      </c>
      <c r="D1550" s="2" t="s">
        <v>1513</v>
      </c>
      <c r="E1550" s="3">
        <v>1.7400000000000001E-138</v>
      </c>
      <c r="F1550" s="2">
        <v>1033</v>
      </c>
      <c r="G1550" s="2">
        <v>99</v>
      </c>
      <c r="H1550" s="2">
        <v>195</v>
      </c>
      <c r="I1550" s="2">
        <v>248</v>
      </c>
      <c r="J1550" s="2">
        <v>832</v>
      </c>
      <c r="K1550" s="2">
        <v>1</v>
      </c>
      <c r="L1550" s="2">
        <v>195</v>
      </c>
    </row>
    <row r="1551" spans="1:12" x14ac:dyDescent="0.25">
      <c r="A1551" s="4" t="str">
        <f>HYPERLINK("http://www.rosaceae.org/Prunus/Prunus_persica/p.persica_gdr_reftransV1_0044571","p.persica_gdr_reftransV1_0044571")</f>
        <v>p.persica_gdr_reftransV1_0044571</v>
      </c>
      <c r="B1551" s="2">
        <v>512</v>
      </c>
      <c r="C1551" s="4" t="str">
        <f>HYPERLINK("http://www.uniprot.org/uniprot/M5WS22","M5WS22")</f>
        <v>M5WS22</v>
      </c>
      <c r="D1551" s="2" t="s">
        <v>1514</v>
      </c>
      <c r="E1551" s="3">
        <v>3.0800000000000001E-100</v>
      </c>
      <c r="F1551" s="2">
        <v>790</v>
      </c>
      <c r="G1551" s="2">
        <v>92</v>
      </c>
      <c r="H1551" s="2">
        <v>168</v>
      </c>
      <c r="I1551" s="2">
        <v>7</v>
      </c>
      <c r="J1551" s="2">
        <v>510</v>
      </c>
      <c r="K1551" s="2">
        <v>311</v>
      </c>
      <c r="L1551" s="2">
        <v>478</v>
      </c>
    </row>
    <row r="1552" spans="1:12" x14ac:dyDescent="0.25">
      <c r="A1552" s="4" t="str">
        <f>HYPERLINK("http://www.rosaceae.org/Prunus/Prunus_persica/p.persica_gdr_reftransV1_0044921","p.persica_gdr_reftransV1_0044921")</f>
        <v>p.persica_gdr_reftransV1_0044921</v>
      </c>
      <c r="B1552" s="2">
        <v>1945</v>
      </c>
      <c r="C1552" s="4" t="str">
        <f>HYPERLINK("http://www.uniprot.org/uniprot/M5Y4B1","M5Y4B1")</f>
        <v>M5Y4B1</v>
      </c>
      <c r="D1552" s="2" t="s">
        <v>1515</v>
      </c>
      <c r="E1552" s="3">
        <v>0</v>
      </c>
      <c r="F1552" s="2">
        <v>2400</v>
      </c>
      <c r="G1552" s="2">
        <v>100</v>
      </c>
      <c r="H1552" s="2">
        <v>541</v>
      </c>
      <c r="I1552" s="2">
        <v>1</v>
      </c>
      <c r="J1552" s="2">
        <v>1623</v>
      </c>
      <c r="K1552" s="2">
        <v>748</v>
      </c>
      <c r="L1552" s="2">
        <v>1288</v>
      </c>
    </row>
    <row r="1553" spans="1:12" x14ac:dyDescent="0.25">
      <c r="A1553" s="4" t="str">
        <f>HYPERLINK("http://www.rosaceae.org/Prunus/Prunus_persica/p.persica_gdr_reftransV1_0045271","p.persica_gdr_reftransV1_0045271")</f>
        <v>p.persica_gdr_reftransV1_0045271</v>
      </c>
      <c r="B1553" s="2">
        <v>393</v>
      </c>
      <c r="C1553" s="4" t="str">
        <f>HYPERLINK("http://www.uniprot.org/uniprot/W9RH16","W9RH16")</f>
        <v>W9RH16</v>
      </c>
      <c r="D1553" s="2" t="s">
        <v>1516</v>
      </c>
      <c r="E1553" s="3">
        <v>5.1799999999999998E-48</v>
      </c>
      <c r="F1553" s="2">
        <v>422</v>
      </c>
      <c r="G1553" s="2">
        <v>75</v>
      </c>
      <c r="H1553" s="2">
        <v>99</v>
      </c>
      <c r="I1553" s="2">
        <v>2</v>
      </c>
      <c r="J1553" s="2">
        <v>298</v>
      </c>
      <c r="K1553" s="2">
        <v>38</v>
      </c>
      <c r="L1553" s="2">
        <v>136</v>
      </c>
    </row>
    <row r="1554" spans="1:12" x14ac:dyDescent="0.25">
      <c r="A1554" s="4" t="str">
        <f>HYPERLINK("http://www.rosaceae.org/Prunus/Prunus_persica/p.persica_gdr_reftransV1_0045621","p.persica_gdr_reftransV1_0045621")</f>
        <v>p.persica_gdr_reftransV1_0045621</v>
      </c>
      <c r="B1554" s="2">
        <v>1924</v>
      </c>
      <c r="C1554" s="4" t="str">
        <f>HYPERLINK("http://www.uniprot.org/uniprot/M5W959","M5W959")</f>
        <v>M5W959</v>
      </c>
      <c r="D1554" s="2" t="s">
        <v>1517</v>
      </c>
      <c r="E1554" s="3">
        <v>0</v>
      </c>
      <c r="F1554" s="2">
        <v>1933</v>
      </c>
      <c r="G1554" s="2">
        <v>100</v>
      </c>
      <c r="H1554" s="2">
        <v>389</v>
      </c>
      <c r="I1554" s="2">
        <v>399</v>
      </c>
      <c r="J1554" s="2">
        <v>1565</v>
      </c>
      <c r="K1554" s="2">
        <v>1</v>
      </c>
      <c r="L1554" s="2">
        <v>389</v>
      </c>
    </row>
    <row r="1555" spans="1:12" x14ac:dyDescent="0.25">
      <c r="A1555" s="4" t="str">
        <f>HYPERLINK("http://www.rosaceae.org/Prunus/Prunus_persica/p.persica_gdr_reftransV1_0046321","p.persica_gdr_reftransV1_0046321")</f>
        <v>p.persica_gdr_reftransV1_0046321</v>
      </c>
      <c r="B1555" s="2">
        <v>1521</v>
      </c>
      <c r="C1555" s="4" t="str">
        <f>HYPERLINK("http://www.uniprot.org/uniprot/M5X2U3","M5X2U3")</f>
        <v>M5X2U3</v>
      </c>
      <c r="D1555" s="2" t="s">
        <v>1518</v>
      </c>
      <c r="E1555" s="3">
        <v>0</v>
      </c>
      <c r="F1555" s="2">
        <v>2325</v>
      </c>
      <c r="G1555" s="2">
        <v>100</v>
      </c>
      <c r="H1555" s="2">
        <v>432</v>
      </c>
      <c r="I1555" s="2">
        <v>95</v>
      </c>
      <c r="J1555" s="2">
        <v>1390</v>
      </c>
      <c r="K1555" s="2">
        <v>64</v>
      </c>
      <c r="L1555" s="2">
        <v>495</v>
      </c>
    </row>
    <row r="1556" spans="1:12" x14ac:dyDescent="0.25">
      <c r="A1556" s="4" t="str">
        <f>HYPERLINK("http://www.rosaceae.org/Prunus/Prunus_persica/p.persica_gdr_reftransV1_0046671","p.persica_gdr_reftransV1_0046671")</f>
        <v>p.persica_gdr_reftransV1_0046671</v>
      </c>
      <c r="B1556" s="2">
        <v>846</v>
      </c>
      <c r="C1556" s="4" t="str">
        <f>HYPERLINK("http://www.uniprot.org/uniprot/M5X7C4","M5X7C4")</f>
        <v>M5X7C4</v>
      </c>
      <c r="D1556" s="2" t="s">
        <v>1519</v>
      </c>
      <c r="E1556" s="3">
        <v>2.9200000000000001E-143</v>
      </c>
      <c r="F1556" s="2">
        <v>1109</v>
      </c>
      <c r="G1556" s="2">
        <v>100</v>
      </c>
      <c r="H1556" s="2">
        <v>205</v>
      </c>
      <c r="I1556" s="2">
        <v>231</v>
      </c>
      <c r="J1556" s="2">
        <v>845</v>
      </c>
      <c r="K1556" s="2">
        <v>513</v>
      </c>
      <c r="L1556" s="2">
        <v>717</v>
      </c>
    </row>
    <row r="1557" spans="1:12" x14ac:dyDescent="0.25">
      <c r="A1557" s="4" t="str">
        <f>HYPERLINK("http://www.rosaceae.org/Prunus/Prunus_persica/p.persica_gdr_reftransV1_0047721","p.persica_gdr_reftransV1_0047721")</f>
        <v>p.persica_gdr_reftransV1_0047721</v>
      </c>
      <c r="B1557" s="2">
        <v>683</v>
      </c>
      <c r="C1557" s="4" t="str">
        <f>HYPERLINK("http://www.uniprot.org/uniprot/M5X3S0","M5X3S0")</f>
        <v>M5X3S0</v>
      </c>
      <c r="D1557" s="2" t="s">
        <v>1520</v>
      </c>
      <c r="E1557" s="3">
        <v>3.4399999999999999E-31</v>
      </c>
      <c r="F1557" s="2">
        <v>313</v>
      </c>
      <c r="G1557" s="2">
        <v>94</v>
      </c>
      <c r="H1557" s="2">
        <v>71</v>
      </c>
      <c r="I1557" s="2">
        <v>65</v>
      </c>
      <c r="J1557" s="2">
        <v>277</v>
      </c>
      <c r="K1557" s="2">
        <v>1</v>
      </c>
      <c r="L1557" s="2">
        <v>71</v>
      </c>
    </row>
    <row r="1558" spans="1:12" x14ac:dyDescent="0.25">
      <c r="A1558" s="4" t="str">
        <f>HYPERLINK("http://www.rosaceae.org/Prunus/Prunus_persica/p.persica_gdr_reftransV1_0048071","p.persica_gdr_reftransV1_0048071")</f>
        <v>p.persica_gdr_reftransV1_0048071</v>
      </c>
      <c r="B1558" s="2">
        <v>1439</v>
      </c>
      <c r="C1558" s="4" t="str">
        <f>HYPERLINK("http://www.uniprot.org/uniprot/M5VQ42","M5VQ42")</f>
        <v>M5VQ42</v>
      </c>
      <c r="D1558" s="2" t="s">
        <v>1521</v>
      </c>
      <c r="E1558" s="3">
        <v>4.7200000000000001E-139</v>
      </c>
      <c r="F1558" s="2">
        <v>1067</v>
      </c>
      <c r="G1558" s="2">
        <v>93</v>
      </c>
      <c r="H1558" s="2">
        <v>272</v>
      </c>
      <c r="I1558" s="2">
        <v>624</v>
      </c>
      <c r="J1558" s="2">
        <v>1439</v>
      </c>
      <c r="K1558" s="2">
        <v>70</v>
      </c>
      <c r="L1558" s="2">
        <v>322</v>
      </c>
    </row>
    <row r="1559" spans="1:12" x14ac:dyDescent="0.25">
      <c r="A1559" s="4" t="str">
        <f>HYPERLINK("http://www.rosaceae.org/Prunus/Prunus_persica/p.persica_gdr_reftransV1_0048421","p.persica_gdr_reftransV1_0048421")</f>
        <v>p.persica_gdr_reftransV1_0048421</v>
      </c>
      <c r="B1559" s="2">
        <v>1205</v>
      </c>
      <c r="C1559" s="4" t="str">
        <f>HYPERLINK("http://www.uniprot.org/uniprot/M5W728","M5W728")</f>
        <v>M5W728</v>
      </c>
      <c r="D1559" s="2" t="s">
        <v>586</v>
      </c>
      <c r="E1559" s="3">
        <v>0</v>
      </c>
      <c r="F1559" s="2">
        <v>1951</v>
      </c>
      <c r="G1559" s="2">
        <v>100</v>
      </c>
      <c r="H1559" s="2">
        <v>399</v>
      </c>
      <c r="I1559" s="2">
        <v>7</v>
      </c>
      <c r="J1559" s="2">
        <v>1203</v>
      </c>
      <c r="K1559" s="2">
        <v>487</v>
      </c>
      <c r="L1559" s="2">
        <v>885</v>
      </c>
    </row>
    <row r="1560" spans="1:12" x14ac:dyDescent="0.25">
      <c r="A1560" s="4" t="str">
        <f>HYPERLINK("http://www.rosaceae.org/Prunus/Prunus_persica/p.persica_gdr_reftransV1_0048771","p.persica_gdr_reftransV1_0048771")</f>
        <v>p.persica_gdr_reftransV1_0048771</v>
      </c>
      <c r="B1560" s="2">
        <v>1763</v>
      </c>
      <c r="C1560" s="4" t="str">
        <f>HYPERLINK("http://www.uniprot.org/uniprot/M5XS42","M5XS42")</f>
        <v>M5XS42</v>
      </c>
      <c r="D1560" s="2" t="s">
        <v>1522</v>
      </c>
      <c r="E1560" s="3">
        <v>6.6300000000000003E-53</v>
      </c>
      <c r="F1560" s="2">
        <v>487</v>
      </c>
      <c r="G1560" s="2">
        <v>100</v>
      </c>
      <c r="H1560" s="2">
        <v>90</v>
      </c>
      <c r="I1560" s="2">
        <v>290</v>
      </c>
      <c r="J1560" s="2">
        <v>559</v>
      </c>
      <c r="K1560" s="2">
        <v>47</v>
      </c>
      <c r="L1560" s="2">
        <v>136</v>
      </c>
    </row>
    <row r="1561" spans="1:12" x14ac:dyDescent="0.25">
      <c r="A1561" s="4" t="str">
        <f>HYPERLINK("http://www.rosaceae.org/Prunus/Prunus_persica/p.persica_gdr_reftransV1_0049121","p.persica_gdr_reftransV1_0049121")</f>
        <v>p.persica_gdr_reftransV1_0049121</v>
      </c>
      <c r="B1561" s="2">
        <v>2692</v>
      </c>
      <c r="C1561" s="4" t="str">
        <f>HYPERLINK("http://www.uniprot.org/uniprot/M5WXM5","M5WXM5")</f>
        <v>M5WXM5</v>
      </c>
      <c r="D1561" s="2" t="s">
        <v>1523</v>
      </c>
      <c r="E1561" s="3">
        <v>0</v>
      </c>
      <c r="F1561" s="2">
        <v>3956</v>
      </c>
      <c r="G1561" s="2">
        <v>100</v>
      </c>
      <c r="H1561" s="2">
        <v>799</v>
      </c>
      <c r="I1561" s="2">
        <v>164</v>
      </c>
      <c r="J1561" s="2">
        <v>2560</v>
      </c>
      <c r="K1561" s="2">
        <v>1</v>
      </c>
      <c r="L1561" s="2">
        <v>799</v>
      </c>
    </row>
    <row r="1562" spans="1:12" x14ac:dyDescent="0.25">
      <c r="A1562" s="4" t="str">
        <f>HYPERLINK("http://www.rosaceae.org/Prunus/Prunus_persica/p.persica_gdr_reftransV1_0000122","p.persica_gdr_reftransV1_0000122")</f>
        <v>p.persica_gdr_reftransV1_0000122</v>
      </c>
      <c r="B1562" s="2">
        <v>2488</v>
      </c>
      <c r="C1562" s="4" t="str">
        <f>HYPERLINK("http://www.uniprot.org/uniprot/M5XXE6","M5XXE6")</f>
        <v>M5XXE6</v>
      </c>
      <c r="D1562" s="2" t="s">
        <v>719</v>
      </c>
      <c r="E1562" s="3">
        <v>0</v>
      </c>
      <c r="F1562" s="2">
        <v>3825</v>
      </c>
      <c r="G1562" s="2">
        <v>98</v>
      </c>
      <c r="H1562" s="2">
        <v>743</v>
      </c>
      <c r="I1562" s="2">
        <v>53</v>
      </c>
      <c r="J1562" s="2">
        <v>2281</v>
      </c>
      <c r="K1562" s="2">
        <v>1</v>
      </c>
      <c r="L1562" s="2">
        <v>730</v>
      </c>
    </row>
    <row r="1563" spans="1:12" x14ac:dyDescent="0.25">
      <c r="A1563" s="4" t="str">
        <f>HYPERLINK("http://www.rosaceae.org/Prunus/Prunus_persica/p.persica_gdr_reftransV1_0000472","p.persica_gdr_reftransV1_0000472")</f>
        <v>p.persica_gdr_reftransV1_0000472</v>
      </c>
      <c r="B1563" s="2">
        <v>1281</v>
      </c>
      <c r="C1563" s="4" t="str">
        <f>HYPERLINK("http://www.uniprot.org/uniprot/M5WBB7","M5WBB7")</f>
        <v>M5WBB7</v>
      </c>
      <c r="D1563" s="2" t="s">
        <v>1524</v>
      </c>
      <c r="E1563" s="3">
        <v>0</v>
      </c>
      <c r="F1563" s="2">
        <v>1597</v>
      </c>
      <c r="G1563" s="2">
        <v>100</v>
      </c>
      <c r="H1563" s="2">
        <v>299</v>
      </c>
      <c r="I1563" s="2">
        <v>313</v>
      </c>
      <c r="J1563" s="2">
        <v>1209</v>
      </c>
      <c r="K1563" s="2">
        <v>1</v>
      </c>
      <c r="L1563" s="2">
        <v>299</v>
      </c>
    </row>
    <row r="1564" spans="1:12" x14ac:dyDescent="0.25">
      <c r="A1564" s="4" t="str">
        <f>HYPERLINK("http://www.rosaceae.org/Prunus/Prunus_persica/p.persica_gdr_reftransV1_0000822","p.persica_gdr_reftransV1_0000822")</f>
        <v>p.persica_gdr_reftransV1_0000822</v>
      </c>
      <c r="B1564" s="2">
        <v>1759</v>
      </c>
      <c r="C1564" s="4" t="str">
        <f>HYPERLINK("http://www.uniprot.org/uniprot/M5VQS5","M5VQS5")</f>
        <v>M5VQS5</v>
      </c>
      <c r="D1564" s="2" t="s">
        <v>1525</v>
      </c>
      <c r="E1564" s="3">
        <v>0</v>
      </c>
      <c r="F1564" s="2">
        <v>1607</v>
      </c>
      <c r="G1564" s="2">
        <v>100</v>
      </c>
      <c r="H1564" s="2">
        <v>302</v>
      </c>
      <c r="I1564" s="2">
        <v>67</v>
      </c>
      <c r="J1564" s="2">
        <v>972</v>
      </c>
      <c r="K1564" s="2">
        <v>1</v>
      </c>
      <c r="L1564" s="2">
        <v>302</v>
      </c>
    </row>
    <row r="1565" spans="1:12" x14ac:dyDescent="0.25">
      <c r="A1565" s="4" t="str">
        <f>HYPERLINK("http://www.rosaceae.org/Prunus/Prunus_persica/p.persica_gdr_reftransV1_0001172","p.persica_gdr_reftransV1_0001172")</f>
        <v>p.persica_gdr_reftransV1_0001172</v>
      </c>
      <c r="B1565" s="2">
        <v>837</v>
      </c>
      <c r="C1565" s="4" t="str">
        <f>HYPERLINK("http://www.uniprot.org/uniprot/M5VZS3","M5VZS3")</f>
        <v>M5VZS3</v>
      </c>
      <c r="D1565" s="2" t="s">
        <v>1526</v>
      </c>
      <c r="E1565" s="3">
        <v>1.0899999999999999E-97</v>
      </c>
      <c r="F1565" s="2">
        <v>756</v>
      </c>
      <c r="G1565" s="2">
        <v>100</v>
      </c>
      <c r="H1565" s="2">
        <v>162</v>
      </c>
      <c r="I1565" s="2">
        <v>302</v>
      </c>
      <c r="J1565" s="2">
        <v>787</v>
      </c>
      <c r="K1565" s="2">
        <v>1</v>
      </c>
      <c r="L1565" s="2">
        <v>162</v>
      </c>
    </row>
    <row r="1566" spans="1:12" x14ac:dyDescent="0.25">
      <c r="A1566" s="4" t="str">
        <f>HYPERLINK("http://www.rosaceae.org/Prunus/Prunus_persica/p.persica_gdr_reftransV1_0001522","p.persica_gdr_reftransV1_0001522")</f>
        <v>p.persica_gdr_reftransV1_0001522</v>
      </c>
      <c r="B1566" s="2">
        <v>573</v>
      </c>
      <c r="C1566" s="4" t="str">
        <f>HYPERLINK("http://www.uniprot.org/uniprot/M5WUK7","M5WUK7")</f>
        <v>M5WUK7</v>
      </c>
      <c r="D1566" s="2" t="s">
        <v>1527</v>
      </c>
      <c r="E1566" s="3">
        <v>1.1700000000000001E-93</v>
      </c>
      <c r="F1566" s="2">
        <v>762</v>
      </c>
      <c r="G1566" s="2">
        <v>91</v>
      </c>
      <c r="H1566" s="2">
        <v>158</v>
      </c>
      <c r="I1566" s="2">
        <v>3</v>
      </c>
      <c r="J1566" s="2">
        <v>476</v>
      </c>
      <c r="K1566" s="2">
        <v>8</v>
      </c>
      <c r="L1566" s="2">
        <v>165</v>
      </c>
    </row>
    <row r="1567" spans="1:12" x14ac:dyDescent="0.25">
      <c r="A1567" s="4" t="str">
        <f>HYPERLINK("http://www.rosaceae.org/Prunus/Prunus_persica/p.persica_gdr_reftransV1_0002222","p.persica_gdr_reftransV1_0002222")</f>
        <v>p.persica_gdr_reftransV1_0002222</v>
      </c>
      <c r="B1567" s="2">
        <v>690</v>
      </c>
      <c r="C1567" s="4" t="str">
        <f>HYPERLINK("http://www.uniprot.org/uniprot/M5XGK4","M5XGK4")</f>
        <v>M5XGK4</v>
      </c>
      <c r="D1567" s="2" t="s">
        <v>1528</v>
      </c>
      <c r="E1567" s="3">
        <v>9.1400000000000002E-74</v>
      </c>
      <c r="F1567" s="2">
        <v>630</v>
      </c>
      <c r="G1567" s="2">
        <v>100</v>
      </c>
      <c r="H1567" s="2">
        <v>167</v>
      </c>
      <c r="I1567" s="2">
        <v>188</v>
      </c>
      <c r="J1567" s="2">
        <v>688</v>
      </c>
      <c r="K1567" s="2">
        <v>488</v>
      </c>
      <c r="L1567" s="2">
        <v>654</v>
      </c>
    </row>
    <row r="1568" spans="1:12" x14ac:dyDescent="0.25">
      <c r="A1568" s="4" t="str">
        <f>HYPERLINK("http://www.rosaceae.org/Prunus/Prunus_persica/p.persica_gdr_reftransV1_0002572","p.persica_gdr_reftransV1_0002572")</f>
        <v>p.persica_gdr_reftransV1_0002572</v>
      </c>
      <c r="B1568" s="2">
        <v>913</v>
      </c>
      <c r="C1568" s="4" t="str">
        <f>HYPERLINK("http://www.uniprot.org/uniprot/M5VNV3","M5VNV3")</f>
        <v>M5VNV3</v>
      </c>
      <c r="D1568" s="2" t="s">
        <v>1529</v>
      </c>
      <c r="E1568" s="3">
        <v>0</v>
      </c>
      <c r="F1568" s="2">
        <v>1520</v>
      </c>
      <c r="G1568" s="2">
        <v>100</v>
      </c>
      <c r="H1568" s="2">
        <v>304</v>
      </c>
      <c r="I1568" s="2">
        <v>2</v>
      </c>
      <c r="J1568" s="2">
        <v>913</v>
      </c>
      <c r="K1568" s="2">
        <v>60</v>
      </c>
      <c r="L1568" s="2">
        <v>363</v>
      </c>
    </row>
    <row r="1569" spans="1:12" x14ac:dyDescent="0.25">
      <c r="A1569" s="4" t="str">
        <f>HYPERLINK("http://www.rosaceae.org/Prunus/Prunus_persica/p.persica_gdr_reftransV1_0002922","p.persica_gdr_reftransV1_0002922")</f>
        <v>p.persica_gdr_reftransV1_0002922</v>
      </c>
      <c r="B1569" s="2">
        <v>1829</v>
      </c>
      <c r="C1569" s="4" t="str">
        <f>HYPERLINK("http://www.uniprot.org/uniprot/B6ZL92","B6ZL92")</f>
        <v>B6ZL92</v>
      </c>
      <c r="D1569" s="2" t="s">
        <v>1530</v>
      </c>
      <c r="E1569" s="3">
        <v>0</v>
      </c>
      <c r="F1569" s="2">
        <v>2042</v>
      </c>
      <c r="G1569" s="2">
        <v>100</v>
      </c>
      <c r="H1569" s="2">
        <v>376</v>
      </c>
      <c r="I1569" s="2">
        <v>503</v>
      </c>
      <c r="J1569" s="2">
        <v>1630</v>
      </c>
      <c r="K1569" s="2">
        <v>1</v>
      </c>
      <c r="L1569" s="2">
        <v>376</v>
      </c>
    </row>
    <row r="1570" spans="1:12" x14ac:dyDescent="0.25">
      <c r="A1570" s="4" t="str">
        <f>HYPERLINK("http://www.rosaceae.org/Prunus/Prunus_persica/p.persica_gdr_reftransV1_0003272","p.persica_gdr_reftransV1_0003272")</f>
        <v>p.persica_gdr_reftransV1_0003272</v>
      </c>
      <c r="B1570" s="2">
        <v>1587</v>
      </c>
      <c r="C1570" s="4" t="str">
        <f>HYPERLINK("http://www.uniprot.org/uniprot/M5WH07","M5WH07")</f>
        <v>M5WH07</v>
      </c>
      <c r="D1570" s="2" t="s">
        <v>1531</v>
      </c>
      <c r="E1570" s="3">
        <v>0</v>
      </c>
      <c r="F1570" s="2">
        <v>1358</v>
      </c>
      <c r="G1570" s="2">
        <v>100</v>
      </c>
      <c r="H1570" s="2">
        <v>253</v>
      </c>
      <c r="I1570" s="2">
        <v>516</v>
      </c>
      <c r="J1570" s="2">
        <v>1274</v>
      </c>
      <c r="K1570" s="2">
        <v>1</v>
      </c>
      <c r="L1570" s="2">
        <v>253</v>
      </c>
    </row>
    <row r="1571" spans="1:12" x14ac:dyDescent="0.25">
      <c r="A1571" s="4" t="str">
        <f>HYPERLINK("http://www.rosaceae.org/Prunus/Prunus_persica/p.persica_gdr_reftransV1_0003622","p.persica_gdr_reftransV1_0003622")</f>
        <v>p.persica_gdr_reftransV1_0003622</v>
      </c>
      <c r="B1571" s="2">
        <v>1914</v>
      </c>
      <c r="C1571" s="4" t="str">
        <f>HYPERLINK("http://www.uniprot.org/uniprot/M5WUM7","M5WUM7")</f>
        <v>M5WUM7</v>
      </c>
      <c r="D1571" s="2" t="s">
        <v>1532</v>
      </c>
      <c r="E1571" s="3">
        <v>0</v>
      </c>
      <c r="F1571" s="2">
        <v>2424</v>
      </c>
      <c r="G1571" s="2">
        <v>100</v>
      </c>
      <c r="H1571" s="2">
        <v>503</v>
      </c>
      <c r="I1571" s="2">
        <v>70</v>
      </c>
      <c r="J1571" s="2">
        <v>1578</v>
      </c>
      <c r="K1571" s="2">
        <v>1</v>
      </c>
      <c r="L1571" s="2">
        <v>503</v>
      </c>
    </row>
    <row r="1572" spans="1:12" x14ac:dyDescent="0.25">
      <c r="A1572" s="4" t="str">
        <f>HYPERLINK("http://www.rosaceae.org/Prunus/Prunus_persica/p.persica_gdr_reftransV1_0003972","p.persica_gdr_reftransV1_0003972")</f>
        <v>p.persica_gdr_reftransV1_0003972</v>
      </c>
      <c r="B1572" s="2">
        <v>1075</v>
      </c>
      <c r="C1572" s="4" t="str">
        <f>HYPERLINK("http://www.uniprot.org/uniprot/M5VQW1","M5VQW1")</f>
        <v>M5VQW1</v>
      </c>
      <c r="D1572" s="2" t="s">
        <v>1533</v>
      </c>
      <c r="E1572" s="3">
        <v>1.5699999999999999E-158</v>
      </c>
      <c r="F1572" s="2">
        <v>1173</v>
      </c>
      <c r="G1572" s="2">
        <v>95</v>
      </c>
      <c r="H1572" s="2">
        <v>235</v>
      </c>
      <c r="I1572" s="2">
        <v>143</v>
      </c>
      <c r="J1572" s="2">
        <v>847</v>
      </c>
      <c r="K1572" s="2">
        <v>6</v>
      </c>
      <c r="L1572" s="2">
        <v>237</v>
      </c>
    </row>
    <row r="1573" spans="1:12" x14ac:dyDescent="0.25">
      <c r="A1573" s="4" t="str">
        <f>HYPERLINK("http://www.rosaceae.org/Prunus/Prunus_persica/p.persica_gdr_reftransV1_0004322","p.persica_gdr_reftransV1_0004322")</f>
        <v>p.persica_gdr_reftransV1_0004322</v>
      </c>
      <c r="B1573" s="2">
        <v>759</v>
      </c>
      <c r="C1573" s="4" t="str">
        <f>HYPERLINK("http://www.uniprot.org/uniprot/W9S872","W9S872")</f>
        <v>W9S872</v>
      </c>
      <c r="D1573" s="2" t="s">
        <v>1534</v>
      </c>
      <c r="E1573" s="3">
        <v>6.4500000000000004E-40</v>
      </c>
      <c r="F1573" s="2">
        <v>378</v>
      </c>
      <c r="G1573" s="2">
        <v>62</v>
      </c>
      <c r="H1573" s="2">
        <v>133</v>
      </c>
      <c r="I1573" s="2">
        <v>248</v>
      </c>
      <c r="J1573" s="2">
        <v>646</v>
      </c>
      <c r="K1573" s="2">
        <v>1</v>
      </c>
      <c r="L1573" s="2">
        <v>133</v>
      </c>
    </row>
    <row r="1574" spans="1:12" x14ac:dyDescent="0.25">
      <c r="A1574" s="4" t="str">
        <f>HYPERLINK("http://www.rosaceae.org/Prunus/Prunus_persica/p.persica_gdr_reftransV1_0005022","p.persica_gdr_reftransV1_0005022")</f>
        <v>p.persica_gdr_reftransV1_0005022</v>
      </c>
      <c r="B1574" s="2">
        <v>1894</v>
      </c>
      <c r="C1574" s="4" t="str">
        <f>HYPERLINK("http://www.uniprot.org/uniprot/M5WMZ3","M5WMZ3")</f>
        <v>M5WMZ3</v>
      </c>
      <c r="D1574" s="2" t="s">
        <v>1535</v>
      </c>
      <c r="E1574" s="3">
        <v>0</v>
      </c>
      <c r="F1574" s="2">
        <v>2438</v>
      </c>
      <c r="G1574" s="2">
        <v>98</v>
      </c>
      <c r="H1574" s="2">
        <v>482</v>
      </c>
      <c r="I1574" s="2">
        <v>348</v>
      </c>
      <c r="J1574" s="2">
        <v>1793</v>
      </c>
      <c r="K1574" s="2">
        <v>1</v>
      </c>
      <c r="L1574" s="2">
        <v>482</v>
      </c>
    </row>
    <row r="1575" spans="1:12" x14ac:dyDescent="0.25">
      <c r="A1575" s="4" t="str">
        <f>HYPERLINK("http://www.rosaceae.org/Prunus/Prunus_persica/p.persica_gdr_reftransV1_0005372","p.persica_gdr_reftransV1_0005372")</f>
        <v>p.persica_gdr_reftransV1_0005372</v>
      </c>
      <c r="B1575" s="2">
        <v>742</v>
      </c>
      <c r="C1575" s="4" t="str">
        <f>HYPERLINK("http://www.uniprot.org/uniprot/M5Y320","M5Y320")</f>
        <v>M5Y320</v>
      </c>
      <c r="D1575" s="2" t="s">
        <v>1536</v>
      </c>
      <c r="E1575" s="3">
        <v>7.0400000000000003E-60</v>
      </c>
      <c r="F1575" s="2">
        <v>498</v>
      </c>
      <c r="G1575" s="2">
        <v>100</v>
      </c>
      <c r="H1575" s="2">
        <v>96</v>
      </c>
      <c r="I1575" s="2">
        <v>64</v>
      </c>
      <c r="J1575" s="2">
        <v>351</v>
      </c>
      <c r="K1575" s="2">
        <v>1</v>
      </c>
      <c r="L1575" s="2">
        <v>96</v>
      </c>
    </row>
    <row r="1576" spans="1:12" x14ac:dyDescent="0.25">
      <c r="A1576" s="4" t="str">
        <f>HYPERLINK("http://www.rosaceae.org/Prunus/Prunus_persica/p.persica_gdr_reftransV1_0005722","p.persica_gdr_reftransV1_0005722")</f>
        <v>p.persica_gdr_reftransV1_0005722</v>
      </c>
      <c r="B1576" s="2">
        <v>449</v>
      </c>
      <c r="C1576" s="4" t="str">
        <f>HYPERLINK("http://www.uniprot.org/uniprot/M5W1V7","M5W1V7")</f>
        <v>M5W1V7</v>
      </c>
      <c r="D1576" s="2" t="s">
        <v>1537</v>
      </c>
      <c r="E1576" s="3">
        <v>1.82E-82</v>
      </c>
      <c r="F1576" s="2">
        <v>691</v>
      </c>
      <c r="G1576" s="2">
        <v>97</v>
      </c>
      <c r="H1576" s="2">
        <v>149</v>
      </c>
      <c r="I1576" s="2">
        <v>3</v>
      </c>
      <c r="J1576" s="2">
        <v>449</v>
      </c>
      <c r="K1576" s="2">
        <v>91</v>
      </c>
      <c r="L1576" s="2">
        <v>235</v>
      </c>
    </row>
    <row r="1577" spans="1:12" x14ac:dyDescent="0.25">
      <c r="A1577" s="4" t="str">
        <f>HYPERLINK("http://www.rosaceae.org/Prunus/Prunus_persica/p.persica_gdr_reftransV1_0006072","p.persica_gdr_reftransV1_0006072")</f>
        <v>p.persica_gdr_reftransV1_0006072</v>
      </c>
      <c r="B1577" s="2">
        <v>1153</v>
      </c>
      <c r="C1577" s="4" t="str">
        <f>HYPERLINK("http://www.uniprot.org/uniprot/M5X5B2","M5X5B2")</f>
        <v>M5X5B2</v>
      </c>
      <c r="D1577" s="2" t="s">
        <v>950</v>
      </c>
      <c r="E1577" s="3">
        <v>6.31E-117</v>
      </c>
      <c r="F1577" s="2">
        <v>903</v>
      </c>
      <c r="G1577" s="2">
        <v>100</v>
      </c>
      <c r="H1577" s="2">
        <v>184</v>
      </c>
      <c r="I1577" s="2">
        <v>2</v>
      </c>
      <c r="J1577" s="2">
        <v>553</v>
      </c>
      <c r="K1577" s="2">
        <v>66</v>
      </c>
      <c r="L1577" s="2">
        <v>249</v>
      </c>
    </row>
    <row r="1578" spans="1:12" x14ac:dyDescent="0.25">
      <c r="A1578" s="4" t="str">
        <f>HYPERLINK("http://www.rosaceae.org/Prunus/Prunus_persica/p.persica_gdr_reftransV1_0006422","p.persica_gdr_reftransV1_0006422")</f>
        <v>p.persica_gdr_reftransV1_0006422</v>
      </c>
      <c r="B1578" s="2">
        <v>556</v>
      </c>
      <c r="C1578" s="4" t="str">
        <f>HYPERLINK("http://www.uniprot.org/uniprot/M5X539","M5X539")</f>
        <v>M5X539</v>
      </c>
      <c r="D1578" s="2" t="s">
        <v>1538</v>
      </c>
      <c r="E1578" s="3">
        <v>1.08E-121</v>
      </c>
      <c r="F1578" s="2">
        <v>980</v>
      </c>
      <c r="G1578" s="2">
        <v>100</v>
      </c>
      <c r="H1578" s="2">
        <v>184</v>
      </c>
      <c r="I1578" s="2">
        <v>3</v>
      </c>
      <c r="J1578" s="2">
        <v>554</v>
      </c>
      <c r="K1578" s="2">
        <v>948</v>
      </c>
      <c r="L1578" s="2">
        <v>1131</v>
      </c>
    </row>
    <row r="1579" spans="1:12" x14ac:dyDescent="0.25">
      <c r="A1579" s="4" t="str">
        <f>HYPERLINK("http://www.rosaceae.org/Prunus/Prunus_persica/p.persica_gdr_reftransV1_0006772","p.persica_gdr_reftransV1_0006772")</f>
        <v>p.persica_gdr_reftransV1_0006772</v>
      </c>
      <c r="B1579" s="2">
        <v>1278</v>
      </c>
      <c r="C1579" s="4" t="str">
        <f>HYPERLINK("http://www.uniprot.org/uniprot/M5XIY3","M5XIY3")</f>
        <v>M5XIY3</v>
      </c>
      <c r="D1579" s="2" t="s">
        <v>1539</v>
      </c>
      <c r="E1579" s="3">
        <v>2.7400000000000001E-114</v>
      </c>
      <c r="F1579" s="2">
        <v>893</v>
      </c>
      <c r="G1579" s="2">
        <v>100</v>
      </c>
      <c r="H1579" s="2">
        <v>272</v>
      </c>
      <c r="I1579" s="2">
        <v>240</v>
      </c>
      <c r="J1579" s="2">
        <v>1055</v>
      </c>
      <c r="K1579" s="2">
        <v>1</v>
      </c>
      <c r="L1579" s="2">
        <v>272</v>
      </c>
    </row>
    <row r="1580" spans="1:12" x14ac:dyDescent="0.25">
      <c r="A1580" s="4" t="str">
        <f>HYPERLINK("http://www.rosaceae.org/Prunus/Prunus_persica/p.persica_gdr_reftransV1_0007122","p.persica_gdr_reftransV1_0007122")</f>
        <v>p.persica_gdr_reftransV1_0007122</v>
      </c>
      <c r="B1580" s="2">
        <v>699</v>
      </c>
      <c r="C1580" s="4" t="str">
        <f>HYPERLINK("http://www.uniprot.org/uniprot/M5WZH0","M5WZH0")</f>
        <v>M5WZH0</v>
      </c>
      <c r="D1580" s="2" t="s">
        <v>1540</v>
      </c>
      <c r="E1580" s="3">
        <v>1.62E-114</v>
      </c>
      <c r="F1580" s="2">
        <v>864</v>
      </c>
      <c r="G1580" s="2">
        <v>99</v>
      </c>
      <c r="H1580" s="2">
        <v>181</v>
      </c>
      <c r="I1580" s="2">
        <v>126</v>
      </c>
      <c r="J1580" s="2">
        <v>668</v>
      </c>
      <c r="K1580" s="2">
        <v>1</v>
      </c>
      <c r="L1580" s="2">
        <v>181</v>
      </c>
    </row>
    <row r="1581" spans="1:12" x14ac:dyDescent="0.25">
      <c r="A1581" s="4" t="str">
        <f>HYPERLINK("http://www.rosaceae.org/Prunus/Prunus_persica/p.persica_gdr_reftransV1_0008872","p.persica_gdr_reftransV1_0008872")</f>
        <v>p.persica_gdr_reftransV1_0008872</v>
      </c>
      <c r="B1581" s="2">
        <v>2939</v>
      </c>
      <c r="C1581" s="4" t="str">
        <f>HYPERLINK("http://www.uniprot.org/uniprot/M5WH13","M5WH13")</f>
        <v>M5WH13</v>
      </c>
      <c r="D1581" s="2" t="s">
        <v>1541</v>
      </c>
      <c r="E1581" s="3">
        <v>0</v>
      </c>
      <c r="F1581" s="2">
        <v>3966</v>
      </c>
      <c r="G1581" s="2">
        <v>100</v>
      </c>
      <c r="H1581" s="2">
        <v>752</v>
      </c>
      <c r="I1581" s="2">
        <v>436</v>
      </c>
      <c r="J1581" s="2">
        <v>2691</v>
      </c>
      <c r="K1581" s="2">
        <v>1</v>
      </c>
      <c r="L1581" s="2">
        <v>752</v>
      </c>
    </row>
    <row r="1582" spans="1:12" x14ac:dyDescent="0.25">
      <c r="A1582" s="4" t="str">
        <f>HYPERLINK("http://www.rosaceae.org/Prunus/Prunus_persica/p.persica_gdr_reftransV1_0009922","p.persica_gdr_reftransV1_0009922")</f>
        <v>p.persica_gdr_reftransV1_0009922</v>
      </c>
      <c r="B1582" s="2">
        <v>2225</v>
      </c>
      <c r="C1582" s="4" t="str">
        <f>HYPERLINK("http://www.uniprot.org/uniprot/M5WCP9","M5WCP9")</f>
        <v>M5WCP9</v>
      </c>
      <c r="D1582" s="2" t="s">
        <v>1542</v>
      </c>
      <c r="E1582" s="3">
        <v>0</v>
      </c>
      <c r="F1582" s="2">
        <v>2672</v>
      </c>
      <c r="G1582" s="2">
        <v>100</v>
      </c>
      <c r="H1582" s="2">
        <v>541</v>
      </c>
      <c r="I1582" s="2">
        <v>349</v>
      </c>
      <c r="J1582" s="2">
        <v>1971</v>
      </c>
      <c r="K1582" s="2">
        <v>1</v>
      </c>
      <c r="L1582" s="2">
        <v>541</v>
      </c>
    </row>
    <row r="1583" spans="1:12" x14ac:dyDescent="0.25">
      <c r="A1583" s="4" t="str">
        <f>HYPERLINK("http://www.rosaceae.org/Prunus/Prunus_persica/p.persica_gdr_reftransV1_0010622","p.persica_gdr_reftransV1_0010622")</f>
        <v>p.persica_gdr_reftransV1_0010622</v>
      </c>
      <c r="B1583" s="2">
        <v>2138</v>
      </c>
      <c r="C1583" s="4" t="str">
        <f>HYPERLINK("http://www.uniprot.org/uniprot/M5W267","M5W267")</f>
        <v>M5W267</v>
      </c>
      <c r="D1583" s="2" t="s">
        <v>1543</v>
      </c>
      <c r="E1583" s="3">
        <v>0</v>
      </c>
      <c r="F1583" s="2">
        <v>2226</v>
      </c>
      <c r="G1583" s="2">
        <v>92</v>
      </c>
      <c r="H1583" s="2">
        <v>461</v>
      </c>
      <c r="I1583" s="2">
        <v>219</v>
      </c>
      <c r="J1583" s="2">
        <v>1601</v>
      </c>
      <c r="K1583" s="2">
        <v>1</v>
      </c>
      <c r="L1583" s="2">
        <v>426</v>
      </c>
    </row>
    <row r="1584" spans="1:12" x14ac:dyDescent="0.25">
      <c r="A1584" s="4" t="str">
        <f>HYPERLINK("http://www.rosaceae.org/Prunus/Prunus_persica/p.persica_gdr_reftransV1_0011672","p.persica_gdr_reftransV1_0011672")</f>
        <v>p.persica_gdr_reftransV1_0011672</v>
      </c>
      <c r="B1584" s="2">
        <v>522</v>
      </c>
      <c r="C1584" s="4" t="str">
        <f>HYPERLINK("http://www.uniprot.org/uniprot/M5Y6P7","M5Y6P7")</f>
        <v>M5Y6P7</v>
      </c>
      <c r="D1584" s="2" t="s">
        <v>1544</v>
      </c>
      <c r="E1584" s="3">
        <v>1.63E-53</v>
      </c>
      <c r="F1584" s="2">
        <v>470</v>
      </c>
      <c r="G1584" s="2">
        <v>100</v>
      </c>
      <c r="H1584" s="2">
        <v>111</v>
      </c>
      <c r="I1584" s="2">
        <v>1</v>
      </c>
      <c r="J1584" s="2">
        <v>333</v>
      </c>
      <c r="K1584" s="2">
        <v>269</v>
      </c>
      <c r="L1584" s="2">
        <v>379</v>
      </c>
    </row>
    <row r="1585" spans="1:12" x14ac:dyDescent="0.25">
      <c r="A1585" s="4" t="str">
        <f>HYPERLINK("http://www.rosaceae.org/Prunus/Prunus_persica/p.persica_gdr_reftransV1_0012372","p.persica_gdr_reftransV1_0012372")</f>
        <v>p.persica_gdr_reftransV1_0012372</v>
      </c>
      <c r="B1585" s="2">
        <v>1699</v>
      </c>
      <c r="C1585" s="4" t="str">
        <f>HYPERLINK("http://www.uniprot.org/uniprot/M5WYY6","M5WYY6")</f>
        <v>M5WYY6</v>
      </c>
      <c r="D1585" s="2" t="s">
        <v>1545</v>
      </c>
      <c r="E1585" s="3">
        <v>0</v>
      </c>
      <c r="F1585" s="2">
        <v>1557</v>
      </c>
      <c r="G1585" s="2">
        <v>100</v>
      </c>
      <c r="H1585" s="2">
        <v>369</v>
      </c>
      <c r="I1585" s="2">
        <v>151</v>
      </c>
      <c r="J1585" s="2">
        <v>1254</v>
      </c>
      <c r="K1585" s="2">
        <v>1</v>
      </c>
      <c r="L1585" s="2">
        <v>369</v>
      </c>
    </row>
    <row r="1586" spans="1:12" x14ac:dyDescent="0.25">
      <c r="A1586" s="4" t="str">
        <f>HYPERLINK("http://www.rosaceae.org/Prunus/Prunus_persica/p.persica_gdr_reftransV1_0013072","p.persica_gdr_reftransV1_0013072")</f>
        <v>p.persica_gdr_reftransV1_0013072</v>
      </c>
      <c r="B1586" s="2">
        <v>865</v>
      </c>
      <c r="C1586" s="4" t="str">
        <f>HYPERLINK("http://www.uniprot.org/uniprot/M5WKE1","M5WKE1")</f>
        <v>M5WKE1</v>
      </c>
      <c r="D1586" s="2" t="s">
        <v>1546</v>
      </c>
      <c r="E1586" s="3">
        <v>1.11E-83</v>
      </c>
      <c r="F1586" s="2">
        <v>663</v>
      </c>
      <c r="G1586" s="2">
        <v>100</v>
      </c>
      <c r="H1586" s="2">
        <v>151</v>
      </c>
      <c r="I1586" s="2">
        <v>362</v>
      </c>
      <c r="J1586" s="2">
        <v>814</v>
      </c>
      <c r="K1586" s="2">
        <v>1</v>
      </c>
      <c r="L1586" s="2">
        <v>151</v>
      </c>
    </row>
    <row r="1587" spans="1:12" x14ac:dyDescent="0.25">
      <c r="A1587" s="4" t="str">
        <f>HYPERLINK("http://www.rosaceae.org/Prunus/Prunus_persica/p.persica_gdr_reftransV1_0013772","p.persica_gdr_reftransV1_0013772")</f>
        <v>p.persica_gdr_reftransV1_0013772</v>
      </c>
      <c r="B1587" s="2">
        <v>1973</v>
      </c>
      <c r="C1587" s="4" t="str">
        <f>HYPERLINK("http://www.uniprot.org/uniprot/M5XF77","M5XF77")</f>
        <v>M5XF77</v>
      </c>
      <c r="D1587" s="2" t="s">
        <v>1547</v>
      </c>
      <c r="E1587" s="3">
        <v>0</v>
      </c>
      <c r="F1587" s="2">
        <v>2449</v>
      </c>
      <c r="G1587" s="2">
        <v>100</v>
      </c>
      <c r="H1587" s="2">
        <v>523</v>
      </c>
      <c r="I1587" s="2">
        <v>222</v>
      </c>
      <c r="J1587" s="2">
        <v>1790</v>
      </c>
      <c r="K1587" s="2">
        <v>38</v>
      </c>
      <c r="L1587" s="2">
        <v>560</v>
      </c>
    </row>
    <row r="1588" spans="1:12" x14ac:dyDescent="0.25">
      <c r="A1588" s="4" t="str">
        <f>HYPERLINK("http://www.rosaceae.org/Prunus/Prunus_persica/p.persica_gdr_reftransV1_0014472","p.persica_gdr_reftransV1_0014472")</f>
        <v>p.persica_gdr_reftransV1_0014472</v>
      </c>
      <c r="B1588" s="2">
        <v>2785</v>
      </c>
      <c r="C1588" s="4" t="str">
        <f>HYPERLINK("http://www.uniprot.org/uniprot/M5WM07","M5WM07")</f>
        <v>M5WM07</v>
      </c>
      <c r="D1588" s="2" t="s">
        <v>1548</v>
      </c>
      <c r="E1588" s="3">
        <v>0</v>
      </c>
      <c r="F1588" s="2">
        <v>3492</v>
      </c>
      <c r="G1588" s="2">
        <v>100</v>
      </c>
      <c r="H1588" s="2">
        <v>718</v>
      </c>
      <c r="I1588" s="2">
        <v>55</v>
      </c>
      <c r="J1588" s="2">
        <v>2208</v>
      </c>
      <c r="K1588" s="2">
        <v>1</v>
      </c>
      <c r="L1588" s="2">
        <v>716</v>
      </c>
    </row>
    <row r="1589" spans="1:12" x14ac:dyDescent="0.25">
      <c r="A1589" s="4" t="str">
        <f>HYPERLINK("http://www.rosaceae.org/Prunus/Prunus_persica/p.persica_gdr_reftransV1_0015872","p.persica_gdr_reftransV1_0015872")</f>
        <v>p.persica_gdr_reftransV1_0015872</v>
      </c>
      <c r="B1589" s="2">
        <v>1366</v>
      </c>
      <c r="C1589" s="4" t="str">
        <f>HYPERLINK("http://www.uniprot.org/uniprot/M5XL89","M5XL89")</f>
        <v>M5XL89</v>
      </c>
      <c r="D1589" s="2" t="s">
        <v>1549</v>
      </c>
      <c r="E1589" s="3">
        <v>1.8100000000000001E-43</v>
      </c>
      <c r="F1589" s="2">
        <v>403</v>
      </c>
      <c r="G1589" s="2">
        <v>98</v>
      </c>
      <c r="H1589" s="2">
        <v>119</v>
      </c>
      <c r="I1589" s="2">
        <v>195</v>
      </c>
      <c r="J1589" s="2">
        <v>551</v>
      </c>
      <c r="K1589" s="2">
        <v>1</v>
      </c>
      <c r="L1589" s="2">
        <v>119</v>
      </c>
    </row>
    <row r="1590" spans="1:12" x14ac:dyDescent="0.25">
      <c r="A1590" s="4" t="str">
        <f>HYPERLINK("http://www.rosaceae.org/Prunus/Prunus_persica/p.persica_gdr_reftransV1_0016572","p.persica_gdr_reftransV1_0016572")</f>
        <v>p.persica_gdr_reftransV1_0016572</v>
      </c>
      <c r="B1590" s="2">
        <v>1229</v>
      </c>
      <c r="C1590" s="4" t="str">
        <f>HYPERLINK("http://www.uniprot.org/uniprot/M5XFU2","M5XFU2")</f>
        <v>M5XFU2</v>
      </c>
      <c r="D1590" s="2" t="s">
        <v>1550</v>
      </c>
      <c r="E1590" s="3">
        <v>1.68E-84</v>
      </c>
      <c r="F1590" s="2">
        <v>679</v>
      </c>
      <c r="G1590" s="2">
        <v>99</v>
      </c>
      <c r="H1590" s="2">
        <v>130</v>
      </c>
      <c r="I1590" s="2">
        <v>628</v>
      </c>
      <c r="J1590" s="2">
        <v>1017</v>
      </c>
      <c r="K1590" s="2">
        <v>7</v>
      </c>
      <c r="L1590" s="2">
        <v>136</v>
      </c>
    </row>
    <row r="1591" spans="1:12" x14ac:dyDescent="0.25">
      <c r="A1591" s="4" t="str">
        <f>HYPERLINK("http://www.rosaceae.org/Prunus/Prunus_persica/p.persica_gdr_reftransV1_0016922","p.persica_gdr_reftransV1_0016922")</f>
        <v>p.persica_gdr_reftransV1_0016922</v>
      </c>
      <c r="B1591" s="2">
        <v>7449</v>
      </c>
      <c r="C1591" s="4" t="str">
        <f>HYPERLINK("http://www.uniprot.org/uniprot/M5WJ58","M5WJ58")</f>
        <v>M5WJ58</v>
      </c>
      <c r="D1591" s="2" t="s">
        <v>1551</v>
      </c>
      <c r="E1591" s="3">
        <v>0</v>
      </c>
      <c r="F1591" s="2">
        <v>2438</v>
      </c>
      <c r="G1591" s="2">
        <v>100</v>
      </c>
      <c r="H1591" s="2">
        <v>541</v>
      </c>
      <c r="I1591" s="2">
        <v>1341</v>
      </c>
      <c r="J1591" s="2">
        <v>2963</v>
      </c>
      <c r="K1591" s="2">
        <v>1</v>
      </c>
      <c r="L1591" s="2">
        <v>541</v>
      </c>
    </row>
    <row r="1592" spans="1:12" x14ac:dyDescent="0.25">
      <c r="A1592" s="4" t="str">
        <f>HYPERLINK("http://www.rosaceae.org/Prunus/Prunus_persica/p.persica_gdr_reftransV1_0018322","p.persica_gdr_reftransV1_0018322")</f>
        <v>p.persica_gdr_reftransV1_0018322</v>
      </c>
      <c r="B1592" s="2">
        <v>1285</v>
      </c>
      <c r="C1592" s="4" t="str">
        <f>HYPERLINK("http://www.uniprot.org/uniprot/M5WK40","M5WK40")</f>
        <v>M5WK40</v>
      </c>
      <c r="D1592" s="2" t="s">
        <v>1552</v>
      </c>
      <c r="E1592" s="3">
        <v>2.5999999999999998E-128</v>
      </c>
      <c r="F1592" s="2">
        <v>976</v>
      </c>
      <c r="G1592" s="2">
        <v>100</v>
      </c>
      <c r="H1592" s="2">
        <v>183</v>
      </c>
      <c r="I1592" s="2">
        <v>233</v>
      </c>
      <c r="J1592" s="2">
        <v>781</v>
      </c>
      <c r="K1592" s="2">
        <v>1</v>
      </c>
      <c r="L1592" s="2">
        <v>183</v>
      </c>
    </row>
    <row r="1593" spans="1:12" x14ac:dyDescent="0.25">
      <c r="A1593" s="4" t="str">
        <f>HYPERLINK("http://www.rosaceae.org/Prunus/Prunus_persica/p.persica_gdr_reftransV1_0021472","p.persica_gdr_reftransV1_0021472")</f>
        <v>p.persica_gdr_reftransV1_0021472</v>
      </c>
      <c r="B1593" s="2">
        <v>957</v>
      </c>
      <c r="C1593" s="4" t="str">
        <f>HYPERLINK("http://www.uniprot.org/uniprot/M5W8Z4","M5W8Z4")</f>
        <v>M5W8Z4</v>
      </c>
      <c r="D1593" s="2" t="s">
        <v>1553</v>
      </c>
      <c r="E1593" s="3">
        <v>0</v>
      </c>
      <c r="F1593" s="2">
        <v>1355</v>
      </c>
      <c r="G1593" s="2">
        <v>100</v>
      </c>
      <c r="H1593" s="2">
        <v>262</v>
      </c>
      <c r="I1593" s="2">
        <v>171</v>
      </c>
      <c r="J1593" s="2">
        <v>956</v>
      </c>
      <c r="K1593" s="2">
        <v>214</v>
      </c>
      <c r="L1593" s="2">
        <v>475</v>
      </c>
    </row>
    <row r="1594" spans="1:12" x14ac:dyDescent="0.25">
      <c r="A1594" s="4" t="str">
        <f>HYPERLINK("http://www.rosaceae.org/Prunus/Prunus_persica/p.persica_gdr_reftransV1_0023222","p.persica_gdr_reftransV1_0023222")</f>
        <v>p.persica_gdr_reftransV1_0023222</v>
      </c>
      <c r="B1594" s="2">
        <v>1926</v>
      </c>
      <c r="C1594" s="4" t="str">
        <f>HYPERLINK("http://www.uniprot.org/uniprot/M5VMZ1","M5VMZ1")</f>
        <v>M5VMZ1</v>
      </c>
      <c r="D1594" s="2" t="s">
        <v>1554</v>
      </c>
      <c r="E1594" s="3">
        <v>0</v>
      </c>
      <c r="F1594" s="2">
        <v>1891</v>
      </c>
      <c r="G1594" s="2">
        <v>100</v>
      </c>
      <c r="H1594" s="2">
        <v>401</v>
      </c>
      <c r="I1594" s="2">
        <v>316</v>
      </c>
      <c r="J1594" s="2">
        <v>1518</v>
      </c>
      <c r="K1594" s="2">
        <v>1</v>
      </c>
      <c r="L1594" s="2">
        <v>401</v>
      </c>
    </row>
    <row r="1595" spans="1:12" x14ac:dyDescent="0.25">
      <c r="A1595" s="4" t="str">
        <f>HYPERLINK("http://www.rosaceae.org/Prunus/Prunus_persica/p.persica_gdr_reftransV1_0023572","p.persica_gdr_reftransV1_0023572")</f>
        <v>p.persica_gdr_reftransV1_0023572</v>
      </c>
      <c r="B1595" s="2">
        <v>2121</v>
      </c>
      <c r="C1595" s="4" t="str">
        <f>HYPERLINK("http://www.uniprot.org/uniprot/M5WAE3","M5WAE3")</f>
        <v>M5WAE3</v>
      </c>
      <c r="D1595" s="2" t="s">
        <v>1555</v>
      </c>
      <c r="E1595" s="3">
        <v>5.2100000000000003E-135</v>
      </c>
      <c r="F1595" s="2">
        <v>1052</v>
      </c>
      <c r="G1595" s="2">
        <v>98</v>
      </c>
      <c r="H1595" s="2">
        <v>207</v>
      </c>
      <c r="I1595" s="2">
        <v>680</v>
      </c>
      <c r="J1595" s="2">
        <v>1300</v>
      </c>
      <c r="K1595" s="2">
        <v>24</v>
      </c>
      <c r="L1595" s="2">
        <v>230</v>
      </c>
    </row>
    <row r="1596" spans="1:12" x14ac:dyDescent="0.25">
      <c r="A1596" s="4" t="str">
        <f>HYPERLINK("http://www.rosaceae.org/Prunus/Prunus_persica/p.persica_gdr_reftransV1_0023922","p.persica_gdr_reftransV1_0023922")</f>
        <v>p.persica_gdr_reftransV1_0023922</v>
      </c>
      <c r="B1596" s="2">
        <v>695</v>
      </c>
      <c r="C1596" s="4" t="str">
        <f>HYPERLINK("http://www.uniprot.org/uniprot/M5VIL0","M5VIL0")</f>
        <v>M5VIL0</v>
      </c>
      <c r="D1596" s="2" t="s">
        <v>1556</v>
      </c>
      <c r="E1596" s="3">
        <v>4.9300000000000002E-13</v>
      </c>
      <c r="F1596" s="2">
        <v>191</v>
      </c>
      <c r="G1596" s="2">
        <v>100</v>
      </c>
      <c r="H1596" s="2">
        <v>69</v>
      </c>
      <c r="I1596" s="2">
        <v>402</v>
      </c>
      <c r="J1596" s="2">
        <v>608</v>
      </c>
      <c r="K1596" s="2">
        <v>1</v>
      </c>
      <c r="L1596" s="2">
        <v>69</v>
      </c>
    </row>
    <row r="1597" spans="1:12" x14ac:dyDescent="0.25">
      <c r="A1597" s="4" t="str">
        <f>HYPERLINK("http://www.rosaceae.org/Prunus/Prunus_persica/p.persica_gdr_reftransV1_0024272","p.persica_gdr_reftransV1_0024272")</f>
        <v>p.persica_gdr_reftransV1_0024272</v>
      </c>
      <c r="B1597" s="2">
        <v>1416</v>
      </c>
      <c r="C1597" s="4" t="str">
        <f>HYPERLINK("http://www.uniprot.org/uniprot/M5VVK0","M5VVK0")</f>
        <v>M5VVK0</v>
      </c>
      <c r="D1597" s="2" t="s">
        <v>1557</v>
      </c>
      <c r="E1597" s="3">
        <v>0</v>
      </c>
      <c r="F1597" s="2">
        <v>2069</v>
      </c>
      <c r="G1597" s="2">
        <v>100</v>
      </c>
      <c r="H1597" s="2">
        <v>390</v>
      </c>
      <c r="I1597" s="2">
        <v>2</v>
      </c>
      <c r="J1597" s="2">
        <v>1171</v>
      </c>
      <c r="K1597" s="2">
        <v>232</v>
      </c>
      <c r="L1597" s="2">
        <v>621</v>
      </c>
    </row>
    <row r="1598" spans="1:12" x14ac:dyDescent="0.25">
      <c r="A1598" s="4" t="str">
        <f>HYPERLINK("http://www.rosaceae.org/Prunus/Prunus_persica/p.persica_gdr_reftransV1_0024972","p.persica_gdr_reftransV1_0024972")</f>
        <v>p.persica_gdr_reftransV1_0024972</v>
      </c>
      <c r="B1598" s="2">
        <v>5152</v>
      </c>
      <c r="C1598" s="4" t="str">
        <f>HYPERLINK("http://www.uniprot.org/uniprot/M5VVT3","M5VVT3")</f>
        <v>M5VVT3</v>
      </c>
      <c r="D1598" s="2" t="s">
        <v>1558</v>
      </c>
      <c r="E1598" s="3">
        <v>0</v>
      </c>
      <c r="F1598" s="2">
        <v>4146</v>
      </c>
      <c r="G1598" s="2">
        <v>95</v>
      </c>
      <c r="H1598" s="2">
        <v>1093</v>
      </c>
      <c r="I1598" s="2">
        <v>1496</v>
      </c>
      <c r="J1598" s="2">
        <v>4762</v>
      </c>
      <c r="K1598" s="2">
        <v>1</v>
      </c>
      <c r="L1598" s="2">
        <v>1076</v>
      </c>
    </row>
    <row r="1599" spans="1:12" x14ac:dyDescent="0.25">
      <c r="A1599" s="4" t="str">
        <f>HYPERLINK("http://www.rosaceae.org/Prunus/Prunus_persica/p.persica_gdr_reftransV1_0026022","p.persica_gdr_reftransV1_0026022")</f>
        <v>p.persica_gdr_reftransV1_0026022</v>
      </c>
      <c r="B1599" s="2">
        <v>1500</v>
      </c>
      <c r="C1599" s="4" t="str">
        <f>HYPERLINK("http://www.uniprot.org/uniprot/M5Y2R7","M5Y2R7")</f>
        <v>M5Y2R7</v>
      </c>
      <c r="D1599" s="2" t="s">
        <v>1559</v>
      </c>
      <c r="E1599" s="3">
        <v>0</v>
      </c>
      <c r="F1599" s="2">
        <v>1781</v>
      </c>
      <c r="G1599" s="2">
        <v>98</v>
      </c>
      <c r="H1599" s="2">
        <v>400</v>
      </c>
      <c r="I1599" s="2">
        <v>235</v>
      </c>
      <c r="J1599" s="2">
        <v>1434</v>
      </c>
      <c r="K1599" s="2">
        <v>1</v>
      </c>
      <c r="L1599" s="2">
        <v>391</v>
      </c>
    </row>
    <row r="1600" spans="1:12" x14ac:dyDescent="0.25">
      <c r="A1600" s="4" t="str">
        <f>HYPERLINK("http://www.rosaceae.org/Prunus/Prunus_persica/p.persica_gdr_reftransV1_0026372","p.persica_gdr_reftransV1_0026372")</f>
        <v>p.persica_gdr_reftransV1_0026372</v>
      </c>
      <c r="B1600" s="2">
        <v>1096</v>
      </c>
      <c r="C1600" s="4" t="str">
        <f>HYPERLINK("http://www.uniprot.org/uniprot/M5VXX0","M5VXX0")</f>
        <v>M5VXX0</v>
      </c>
      <c r="D1600" s="2" t="s">
        <v>1560</v>
      </c>
      <c r="E1600" s="3">
        <v>4.2700000000000003E-148</v>
      </c>
      <c r="F1600" s="2">
        <v>1102</v>
      </c>
      <c r="G1600" s="2">
        <v>100</v>
      </c>
      <c r="H1600" s="2">
        <v>208</v>
      </c>
      <c r="I1600" s="2">
        <v>266</v>
      </c>
      <c r="J1600" s="2">
        <v>889</v>
      </c>
      <c r="K1600" s="2">
        <v>1</v>
      </c>
      <c r="L1600" s="2">
        <v>208</v>
      </c>
    </row>
    <row r="1601" spans="1:12" x14ac:dyDescent="0.25">
      <c r="A1601" s="4" t="str">
        <f>HYPERLINK("http://www.rosaceae.org/Prunus/Prunus_persica/p.persica_gdr_reftransV1_0028122","p.persica_gdr_reftransV1_0028122")</f>
        <v>p.persica_gdr_reftransV1_0028122</v>
      </c>
      <c r="B1601" s="2">
        <v>1375</v>
      </c>
      <c r="C1601" s="4" t="str">
        <f>HYPERLINK("http://www.uniprot.org/uniprot/M5WEH9","M5WEH9")</f>
        <v>M5WEH9</v>
      </c>
      <c r="D1601" s="2" t="s">
        <v>1561</v>
      </c>
      <c r="E1601" s="3">
        <v>6.1100000000000002E-91</v>
      </c>
      <c r="F1601" s="2">
        <v>806</v>
      </c>
      <c r="G1601" s="2">
        <v>100</v>
      </c>
      <c r="H1601" s="2">
        <v>208</v>
      </c>
      <c r="I1601" s="2">
        <v>155</v>
      </c>
      <c r="J1601" s="2">
        <v>778</v>
      </c>
      <c r="K1601" s="2">
        <v>2247</v>
      </c>
      <c r="L1601" s="2">
        <v>2454</v>
      </c>
    </row>
    <row r="1602" spans="1:12" x14ac:dyDescent="0.25">
      <c r="A1602" s="4" t="str">
        <f>HYPERLINK("http://www.rosaceae.org/Prunus/Prunus_persica/p.persica_gdr_reftransV1_0030922","p.persica_gdr_reftransV1_0030922")</f>
        <v>p.persica_gdr_reftransV1_0030922</v>
      </c>
      <c r="B1602" s="2">
        <v>4554</v>
      </c>
      <c r="C1602" s="4" t="str">
        <f>HYPERLINK("http://www.uniprot.org/uniprot/M5XJP9","M5XJP9")</f>
        <v>M5XJP9</v>
      </c>
      <c r="D1602" s="2" t="s">
        <v>1562</v>
      </c>
      <c r="E1602" s="3">
        <v>0</v>
      </c>
      <c r="F1602" s="2">
        <v>1880</v>
      </c>
      <c r="G1602" s="2">
        <v>99</v>
      </c>
      <c r="H1602" s="2">
        <v>393</v>
      </c>
      <c r="I1602" s="2">
        <v>194</v>
      </c>
      <c r="J1602" s="2">
        <v>1369</v>
      </c>
      <c r="K1602" s="2">
        <v>1</v>
      </c>
      <c r="L1602" s="2">
        <v>393</v>
      </c>
    </row>
    <row r="1603" spans="1:12" x14ac:dyDescent="0.25">
      <c r="A1603" s="4" t="str">
        <f>HYPERLINK("http://www.rosaceae.org/Prunus/Prunus_persica/p.persica_gdr_reftransV1_0031972","p.persica_gdr_reftransV1_0031972")</f>
        <v>p.persica_gdr_reftransV1_0031972</v>
      </c>
      <c r="B1603" s="2">
        <v>1517</v>
      </c>
      <c r="C1603" s="4" t="str">
        <f>HYPERLINK("http://www.uniprot.org/uniprot/M5X1R8","M5X1R8")</f>
        <v>M5X1R8</v>
      </c>
      <c r="D1603" s="2" t="s">
        <v>1563</v>
      </c>
      <c r="E1603" s="3">
        <v>4.87E-179</v>
      </c>
      <c r="F1603" s="2">
        <v>1327</v>
      </c>
      <c r="G1603" s="2">
        <v>100</v>
      </c>
      <c r="H1603" s="2">
        <v>248</v>
      </c>
      <c r="I1603" s="2">
        <v>326</v>
      </c>
      <c r="J1603" s="2">
        <v>1069</v>
      </c>
      <c r="K1603" s="2">
        <v>19</v>
      </c>
      <c r="L1603" s="2">
        <v>266</v>
      </c>
    </row>
    <row r="1604" spans="1:12" x14ac:dyDescent="0.25">
      <c r="A1604" s="4" t="str">
        <f>HYPERLINK("http://www.rosaceae.org/Prunus/Prunus_persica/p.persica_gdr_reftransV1_0033022","p.persica_gdr_reftransV1_0033022")</f>
        <v>p.persica_gdr_reftransV1_0033022</v>
      </c>
      <c r="B1604" s="2">
        <v>3350</v>
      </c>
      <c r="C1604" s="4" t="str">
        <f>HYPERLINK("http://www.uniprot.org/uniprot/M5VQ36","M5VQ36")</f>
        <v>M5VQ36</v>
      </c>
      <c r="D1604" s="2" t="s">
        <v>1564</v>
      </c>
      <c r="E1604" s="3">
        <v>0</v>
      </c>
      <c r="F1604" s="2">
        <v>1887</v>
      </c>
      <c r="G1604" s="2">
        <v>90</v>
      </c>
      <c r="H1604" s="2">
        <v>414</v>
      </c>
      <c r="I1604" s="2">
        <v>1911</v>
      </c>
      <c r="J1604" s="2">
        <v>3152</v>
      </c>
      <c r="K1604" s="2">
        <v>1</v>
      </c>
      <c r="L1604" s="2">
        <v>380</v>
      </c>
    </row>
    <row r="1605" spans="1:12" x14ac:dyDescent="0.25">
      <c r="A1605" s="4" t="str">
        <f>HYPERLINK("http://www.rosaceae.org/Prunus/Prunus_persica/p.persica_gdr_reftransV1_0034772","p.persica_gdr_reftransV1_0034772")</f>
        <v>p.persica_gdr_reftransV1_0034772</v>
      </c>
      <c r="B1605" s="2">
        <v>1432</v>
      </c>
      <c r="C1605" s="4" t="str">
        <f>HYPERLINK("http://www.uniprot.org/uniprot/M5W0X7","M5W0X7")</f>
        <v>M5W0X7</v>
      </c>
      <c r="D1605" s="2" t="s">
        <v>1565</v>
      </c>
      <c r="E1605" s="3">
        <v>7.6700000000000004E-16</v>
      </c>
      <c r="F1605" s="2">
        <v>213</v>
      </c>
      <c r="G1605" s="2">
        <v>100</v>
      </c>
      <c r="H1605" s="2">
        <v>39</v>
      </c>
      <c r="I1605" s="2">
        <v>1068</v>
      </c>
      <c r="J1605" s="2">
        <v>1184</v>
      </c>
      <c r="K1605" s="2">
        <v>1</v>
      </c>
      <c r="L1605" s="2">
        <v>39</v>
      </c>
    </row>
    <row r="1606" spans="1:12" x14ac:dyDescent="0.25">
      <c r="A1606" s="4" t="str">
        <f>HYPERLINK("http://www.rosaceae.org/Prunus/Prunus_persica/p.persica_gdr_reftransV1_0036872","p.persica_gdr_reftransV1_0036872")</f>
        <v>p.persica_gdr_reftransV1_0036872</v>
      </c>
      <c r="B1606" s="2">
        <v>1406</v>
      </c>
      <c r="C1606" s="4" t="str">
        <f>HYPERLINK("http://www.uniprot.org/uniprot/W9R5K4","W9R5K4")</f>
        <v>W9R5K4</v>
      </c>
      <c r="D1606" s="2" t="s">
        <v>1566</v>
      </c>
      <c r="E1606" s="3">
        <v>7.9700000000000002E-50</v>
      </c>
      <c r="F1606" s="2">
        <v>458</v>
      </c>
      <c r="G1606" s="2">
        <v>52</v>
      </c>
      <c r="H1606" s="2">
        <v>228</v>
      </c>
      <c r="I1606" s="2">
        <v>319</v>
      </c>
      <c r="J1606" s="2">
        <v>978</v>
      </c>
      <c r="K1606" s="2">
        <v>1</v>
      </c>
      <c r="L1606" s="2">
        <v>222</v>
      </c>
    </row>
    <row r="1607" spans="1:12" x14ac:dyDescent="0.25">
      <c r="A1607" s="4" t="str">
        <f>HYPERLINK("http://www.rosaceae.org/Prunus/Prunus_persica/p.persica_gdr_reftransV1_0037572","p.persica_gdr_reftransV1_0037572")</f>
        <v>p.persica_gdr_reftransV1_0037572</v>
      </c>
      <c r="B1607" s="2">
        <v>2117</v>
      </c>
      <c r="C1607" s="4" t="str">
        <f>HYPERLINK("http://www.uniprot.org/uniprot/M5XFT6","M5XFT6")</f>
        <v>M5XFT6</v>
      </c>
      <c r="D1607" s="2" t="s">
        <v>1567</v>
      </c>
      <c r="E1607" s="3">
        <v>6.2099999999999996E-101</v>
      </c>
      <c r="F1607" s="2">
        <v>815</v>
      </c>
      <c r="G1607" s="2">
        <v>100</v>
      </c>
      <c r="H1607" s="2">
        <v>152</v>
      </c>
      <c r="I1607" s="2">
        <v>381</v>
      </c>
      <c r="J1607" s="2">
        <v>836</v>
      </c>
      <c r="K1607" s="2">
        <v>15</v>
      </c>
      <c r="L1607" s="2">
        <v>166</v>
      </c>
    </row>
    <row r="1608" spans="1:12" x14ac:dyDescent="0.25">
      <c r="A1608" s="4" t="str">
        <f>HYPERLINK("http://www.rosaceae.org/Prunus/Prunus_persica/p.persica_gdr_reftransV1_0039322","p.persica_gdr_reftransV1_0039322")</f>
        <v>p.persica_gdr_reftransV1_0039322</v>
      </c>
      <c r="B1608" s="2">
        <v>1935</v>
      </c>
      <c r="C1608" s="4" t="str">
        <f>HYPERLINK("http://www.uniprot.org/uniprot/M5VY94","M5VY94")</f>
        <v>M5VY94</v>
      </c>
      <c r="D1608" s="2" t="s">
        <v>1568</v>
      </c>
      <c r="E1608" s="3">
        <v>0</v>
      </c>
      <c r="F1608" s="2">
        <v>1519</v>
      </c>
      <c r="G1608" s="2">
        <v>81</v>
      </c>
      <c r="H1608" s="2">
        <v>407</v>
      </c>
      <c r="I1608" s="2">
        <v>227</v>
      </c>
      <c r="J1608" s="2">
        <v>1411</v>
      </c>
      <c r="K1608" s="2">
        <v>26</v>
      </c>
      <c r="L1608" s="2">
        <v>432</v>
      </c>
    </row>
    <row r="1609" spans="1:12" x14ac:dyDescent="0.25">
      <c r="A1609" s="4" t="str">
        <f>HYPERLINK("http://www.rosaceae.org/Prunus/Prunus_persica/p.persica_gdr_reftransV1_0042822","p.persica_gdr_reftransV1_0042822")</f>
        <v>p.persica_gdr_reftransV1_0042822</v>
      </c>
      <c r="B1609" s="2">
        <v>2442</v>
      </c>
      <c r="C1609" s="4" t="str">
        <f>HYPERLINK("http://www.uniprot.org/uniprot/M5XC43","M5XC43")</f>
        <v>M5XC43</v>
      </c>
      <c r="D1609" s="2" t="s">
        <v>1569</v>
      </c>
      <c r="E1609" s="3">
        <v>1.9799999999999999E-155</v>
      </c>
      <c r="F1609" s="2">
        <v>1207</v>
      </c>
      <c r="G1609" s="2">
        <v>100</v>
      </c>
      <c r="H1609" s="2">
        <v>269</v>
      </c>
      <c r="I1609" s="2">
        <v>849</v>
      </c>
      <c r="J1609" s="2">
        <v>1655</v>
      </c>
      <c r="K1609" s="2">
        <v>1</v>
      </c>
      <c r="L1609" s="2">
        <v>269</v>
      </c>
    </row>
    <row r="1610" spans="1:12" x14ac:dyDescent="0.25">
      <c r="A1610" s="4" t="str">
        <f>HYPERLINK("http://www.rosaceae.org/Prunus/Prunus_persica/p.persica_gdr_reftransV1_0043172","p.persica_gdr_reftransV1_0043172")</f>
        <v>p.persica_gdr_reftransV1_0043172</v>
      </c>
      <c r="B1610" s="2">
        <v>1742</v>
      </c>
      <c r="C1610" s="4" t="str">
        <f>HYPERLINK("http://www.uniprot.org/uniprot/M5WGY4","M5WGY4")</f>
        <v>M5WGY4</v>
      </c>
      <c r="D1610" s="2" t="s">
        <v>1570</v>
      </c>
      <c r="E1610" s="3">
        <v>0</v>
      </c>
      <c r="F1610" s="2">
        <v>2738</v>
      </c>
      <c r="G1610" s="2">
        <v>100</v>
      </c>
      <c r="H1610" s="2">
        <v>529</v>
      </c>
      <c r="I1610" s="2">
        <v>2</v>
      </c>
      <c r="J1610" s="2">
        <v>1588</v>
      </c>
      <c r="K1610" s="2">
        <v>329</v>
      </c>
      <c r="L1610" s="2">
        <v>857</v>
      </c>
    </row>
    <row r="1611" spans="1:12" x14ac:dyDescent="0.25">
      <c r="A1611" s="4" t="str">
        <f>HYPERLINK("http://www.rosaceae.org/Prunus/Prunus_persica/p.persica_gdr_reftransV1_0043522","p.persica_gdr_reftransV1_0043522")</f>
        <v>p.persica_gdr_reftransV1_0043522</v>
      </c>
      <c r="B1611" s="2">
        <v>2214</v>
      </c>
      <c r="C1611" s="4" t="str">
        <f>HYPERLINK("http://www.uniprot.org/uniprot/M5XB84","M5XB84")</f>
        <v>M5XB84</v>
      </c>
      <c r="D1611" s="2" t="s">
        <v>1571</v>
      </c>
      <c r="E1611" s="3">
        <v>0</v>
      </c>
      <c r="F1611" s="2">
        <v>1702</v>
      </c>
      <c r="G1611" s="2">
        <v>100</v>
      </c>
      <c r="H1611" s="2">
        <v>392</v>
      </c>
      <c r="I1611" s="2">
        <v>718</v>
      </c>
      <c r="J1611" s="2">
        <v>1893</v>
      </c>
      <c r="K1611" s="2">
        <v>232</v>
      </c>
      <c r="L1611" s="2">
        <v>623</v>
      </c>
    </row>
    <row r="1612" spans="1:12" x14ac:dyDescent="0.25">
      <c r="A1612" s="4" t="str">
        <f>HYPERLINK("http://www.rosaceae.org/Prunus/Prunus_persica/p.persica_gdr_reftransV1_0043872","p.persica_gdr_reftransV1_0043872")</f>
        <v>p.persica_gdr_reftransV1_0043872</v>
      </c>
      <c r="B1612" s="2">
        <v>365</v>
      </c>
      <c r="C1612" s="4" t="str">
        <f>HYPERLINK("http://www.uniprot.org/uniprot/M5WJ98","M5WJ98")</f>
        <v>M5WJ98</v>
      </c>
      <c r="D1612" s="2" t="s">
        <v>1572</v>
      </c>
      <c r="E1612" s="3">
        <v>3.69E-42</v>
      </c>
      <c r="F1612" s="2">
        <v>400</v>
      </c>
      <c r="G1612" s="2">
        <v>87</v>
      </c>
      <c r="H1612" s="2">
        <v>93</v>
      </c>
      <c r="I1612" s="2">
        <v>85</v>
      </c>
      <c r="J1612" s="2">
        <v>363</v>
      </c>
      <c r="K1612" s="2">
        <v>177</v>
      </c>
      <c r="L1612" s="2">
        <v>269</v>
      </c>
    </row>
    <row r="1613" spans="1:12" x14ac:dyDescent="0.25">
      <c r="A1613" s="4" t="str">
        <f>HYPERLINK("http://www.rosaceae.org/Prunus/Prunus_persica/p.persica_gdr_reftransV1_0044222","p.persica_gdr_reftransV1_0044222")</f>
        <v>p.persica_gdr_reftransV1_0044222</v>
      </c>
      <c r="B1613" s="2">
        <v>1146</v>
      </c>
      <c r="C1613" s="4" t="str">
        <f>HYPERLINK("http://www.uniprot.org/uniprot/M5XC49","M5XC49")</f>
        <v>M5XC49</v>
      </c>
      <c r="D1613" s="2" t="s">
        <v>1573</v>
      </c>
      <c r="E1613" s="3">
        <v>0</v>
      </c>
      <c r="F1613" s="2">
        <v>1801</v>
      </c>
      <c r="G1613" s="2">
        <v>100</v>
      </c>
      <c r="H1613" s="2">
        <v>336</v>
      </c>
      <c r="I1613" s="2">
        <v>1</v>
      </c>
      <c r="J1613" s="2">
        <v>1008</v>
      </c>
      <c r="K1613" s="2">
        <v>1</v>
      </c>
      <c r="L1613" s="2">
        <v>336</v>
      </c>
    </row>
    <row r="1614" spans="1:12" x14ac:dyDescent="0.25">
      <c r="A1614" s="4" t="str">
        <f>HYPERLINK("http://www.rosaceae.org/Prunus/Prunus_persica/p.persica_gdr_reftransV1_0044922","p.persica_gdr_reftransV1_0044922")</f>
        <v>p.persica_gdr_reftransV1_0044922</v>
      </c>
      <c r="B1614" s="2">
        <v>338</v>
      </c>
      <c r="C1614" s="4" t="str">
        <f>HYPERLINK("http://www.uniprot.org/uniprot/M5WC17","M5WC17")</f>
        <v>M5WC17</v>
      </c>
      <c r="D1614" s="2" t="s">
        <v>1574</v>
      </c>
      <c r="E1614" s="3">
        <v>2.2E-64</v>
      </c>
      <c r="F1614" s="2">
        <v>530</v>
      </c>
      <c r="G1614" s="2">
        <v>100</v>
      </c>
      <c r="H1614" s="2">
        <v>100</v>
      </c>
      <c r="I1614" s="2">
        <v>37</v>
      </c>
      <c r="J1614" s="2">
        <v>336</v>
      </c>
      <c r="K1614" s="2">
        <v>1</v>
      </c>
      <c r="L1614" s="2">
        <v>100</v>
      </c>
    </row>
    <row r="1615" spans="1:12" x14ac:dyDescent="0.25">
      <c r="A1615" s="4" t="str">
        <f>HYPERLINK("http://www.rosaceae.org/Prunus/Prunus_persica/p.persica_gdr_reftransV1_0045272","p.persica_gdr_reftransV1_0045272")</f>
        <v>p.persica_gdr_reftransV1_0045272</v>
      </c>
      <c r="B1615" s="2">
        <v>2303</v>
      </c>
      <c r="C1615" s="4" t="str">
        <f>HYPERLINK("http://www.uniprot.org/uniprot/M5W4Y4","M5W4Y4")</f>
        <v>M5W4Y4</v>
      </c>
      <c r="D1615" s="2" t="s">
        <v>1575</v>
      </c>
      <c r="E1615" s="3">
        <v>0</v>
      </c>
      <c r="F1615" s="2">
        <v>2303</v>
      </c>
      <c r="G1615" s="2">
        <v>100</v>
      </c>
      <c r="H1615" s="2">
        <v>442</v>
      </c>
      <c r="I1615" s="2">
        <v>703</v>
      </c>
      <c r="J1615" s="2">
        <v>2028</v>
      </c>
      <c r="K1615" s="2">
        <v>1</v>
      </c>
      <c r="L1615" s="2">
        <v>442</v>
      </c>
    </row>
    <row r="1616" spans="1:12" x14ac:dyDescent="0.25">
      <c r="A1616" s="4" t="str">
        <f>HYPERLINK("http://www.rosaceae.org/Prunus/Prunus_persica/p.persica_gdr_reftransV1_0045972","p.persica_gdr_reftransV1_0045972")</f>
        <v>p.persica_gdr_reftransV1_0045972</v>
      </c>
      <c r="B1616" s="2">
        <v>663</v>
      </c>
      <c r="C1616" s="4" t="str">
        <f>HYPERLINK("http://www.uniprot.org/uniprot/M5W4X0","M5W4X0")</f>
        <v>M5W4X0</v>
      </c>
      <c r="D1616" s="2" t="s">
        <v>1576</v>
      </c>
      <c r="E1616" s="3">
        <v>5.1500000000000002E-60</v>
      </c>
      <c r="F1616" s="2">
        <v>495</v>
      </c>
      <c r="G1616" s="2">
        <v>100</v>
      </c>
      <c r="H1616" s="2">
        <v>97</v>
      </c>
      <c r="I1616" s="2">
        <v>107</v>
      </c>
      <c r="J1616" s="2">
        <v>397</v>
      </c>
      <c r="K1616" s="2">
        <v>1</v>
      </c>
      <c r="L1616" s="2">
        <v>97</v>
      </c>
    </row>
    <row r="1617" spans="1:12" x14ac:dyDescent="0.25">
      <c r="A1617" s="4" t="str">
        <f>HYPERLINK("http://www.rosaceae.org/Prunus/Prunus_persica/p.persica_gdr_reftransV1_0046322","p.persica_gdr_reftransV1_0046322")</f>
        <v>p.persica_gdr_reftransV1_0046322</v>
      </c>
      <c r="B1617" s="2">
        <v>412</v>
      </c>
      <c r="C1617" s="4" t="str">
        <f>HYPERLINK("http://www.uniprot.org/uniprot/M5WWS7","M5WWS7")</f>
        <v>M5WWS7</v>
      </c>
      <c r="D1617" s="2" t="s">
        <v>1577</v>
      </c>
      <c r="E1617" s="3">
        <v>1.72E-55</v>
      </c>
      <c r="F1617" s="2">
        <v>460</v>
      </c>
      <c r="G1617" s="2">
        <v>100</v>
      </c>
      <c r="H1617" s="2">
        <v>85</v>
      </c>
      <c r="I1617" s="2">
        <v>53</v>
      </c>
      <c r="J1617" s="2">
        <v>307</v>
      </c>
      <c r="K1617" s="2">
        <v>22</v>
      </c>
      <c r="L1617" s="2">
        <v>106</v>
      </c>
    </row>
    <row r="1618" spans="1:12" x14ac:dyDescent="0.25">
      <c r="A1618" s="4" t="str">
        <f>HYPERLINK("http://www.rosaceae.org/Prunus/Prunus_persica/p.persica_gdr_reftransV1_0046672","p.persica_gdr_reftransV1_0046672")</f>
        <v>p.persica_gdr_reftransV1_0046672</v>
      </c>
      <c r="B1618" s="2">
        <v>1563</v>
      </c>
      <c r="C1618" s="4" t="str">
        <f>HYPERLINK("http://www.uniprot.org/uniprot/M5XF89","M5XF89")</f>
        <v>M5XF89</v>
      </c>
      <c r="D1618" s="2" t="s">
        <v>1578</v>
      </c>
      <c r="E1618" s="3">
        <v>0</v>
      </c>
      <c r="F1618" s="2">
        <v>1994</v>
      </c>
      <c r="G1618" s="2">
        <v>97</v>
      </c>
      <c r="H1618" s="2">
        <v>450</v>
      </c>
      <c r="I1618" s="2">
        <v>212</v>
      </c>
      <c r="J1618" s="2">
        <v>1561</v>
      </c>
      <c r="K1618" s="2">
        <v>19</v>
      </c>
      <c r="L1618" s="2">
        <v>468</v>
      </c>
    </row>
    <row r="1619" spans="1:12" x14ac:dyDescent="0.25">
      <c r="A1619" s="4" t="str">
        <f>HYPERLINK("http://www.rosaceae.org/Prunus/Prunus_persica/p.persica_gdr_reftransV1_0047372","p.persica_gdr_reftransV1_0047372")</f>
        <v>p.persica_gdr_reftransV1_0047372</v>
      </c>
      <c r="B1619" s="2">
        <v>1236</v>
      </c>
      <c r="C1619" s="4" t="str">
        <f>HYPERLINK("http://www.uniprot.org/uniprot/M5W8A8","M5W8A8")</f>
        <v>M5W8A8</v>
      </c>
      <c r="D1619" s="2" t="s">
        <v>1579</v>
      </c>
      <c r="E1619" s="3">
        <v>0</v>
      </c>
      <c r="F1619" s="2">
        <v>1438</v>
      </c>
      <c r="G1619" s="2">
        <v>100</v>
      </c>
      <c r="H1619" s="2">
        <v>358</v>
      </c>
      <c r="I1619" s="2">
        <v>72</v>
      </c>
      <c r="J1619" s="2">
        <v>1145</v>
      </c>
      <c r="K1619" s="2">
        <v>31</v>
      </c>
      <c r="L1619" s="2">
        <v>388</v>
      </c>
    </row>
    <row r="1620" spans="1:12" x14ac:dyDescent="0.25">
      <c r="A1620" s="4" t="str">
        <f>HYPERLINK("http://www.rosaceae.org/Prunus/Prunus_persica/p.persica_gdr_reftransV1_0047722","p.persica_gdr_reftransV1_0047722")</f>
        <v>p.persica_gdr_reftransV1_0047722</v>
      </c>
      <c r="B1620" s="2">
        <v>729</v>
      </c>
      <c r="C1620" s="4" t="str">
        <f>HYPERLINK("http://www.uniprot.org/uniprot/M5VR69","M5VR69")</f>
        <v>M5VR69</v>
      </c>
      <c r="D1620" s="2" t="s">
        <v>1580</v>
      </c>
      <c r="E1620" s="3">
        <v>2.83E-121</v>
      </c>
      <c r="F1620" s="2">
        <v>910</v>
      </c>
      <c r="G1620" s="2">
        <v>100</v>
      </c>
      <c r="H1620" s="2">
        <v>183</v>
      </c>
      <c r="I1620" s="2">
        <v>60</v>
      </c>
      <c r="J1620" s="2">
        <v>608</v>
      </c>
      <c r="K1620" s="2">
        <v>1</v>
      </c>
      <c r="L1620" s="2">
        <v>183</v>
      </c>
    </row>
    <row r="1621" spans="1:12" x14ac:dyDescent="0.25">
      <c r="A1621" s="4" t="str">
        <f>HYPERLINK("http://www.rosaceae.org/Prunus/Prunus_persica/p.persica_gdr_reftransV1_0048422","p.persica_gdr_reftransV1_0048422")</f>
        <v>p.persica_gdr_reftransV1_0048422</v>
      </c>
      <c r="B1621" s="2">
        <v>2593</v>
      </c>
      <c r="C1621" s="4" t="str">
        <f>HYPERLINK("http://www.uniprot.org/uniprot/M5VPL0","M5VPL0")</f>
        <v>M5VPL0</v>
      </c>
      <c r="D1621" s="2" t="s">
        <v>1581</v>
      </c>
      <c r="E1621" s="3">
        <v>0</v>
      </c>
      <c r="F1621" s="2">
        <v>2539</v>
      </c>
      <c r="G1621" s="2">
        <v>100</v>
      </c>
      <c r="H1621" s="2">
        <v>475</v>
      </c>
      <c r="I1621" s="2">
        <v>487</v>
      </c>
      <c r="J1621" s="2">
        <v>1911</v>
      </c>
      <c r="K1621" s="2">
        <v>1</v>
      </c>
      <c r="L1621" s="2">
        <v>475</v>
      </c>
    </row>
    <row r="1622" spans="1:12" x14ac:dyDescent="0.25">
      <c r="A1622" s="4" t="str">
        <f>HYPERLINK("http://www.rosaceae.org/Prunus/Prunus_persica/p.persica_gdr_reftransV1_0049122","p.persica_gdr_reftransV1_0049122")</f>
        <v>p.persica_gdr_reftransV1_0049122</v>
      </c>
      <c r="B1622" s="2">
        <v>366</v>
      </c>
      <c r="C1622" s="4" t="str">
        <f>HYPERLINK("http://www.uniprot.org/uniprot/M5W9W1","M5W9W1")</f>
        <v>M5W9W1</v>
      </c>
      <c r="D1622" s="2" t="s">
        <v>1582</v>
      </c>
      <c r="E1622" s="3">
        <v>5.3299999999999995E-66</v>
      </c>
      <c r="F1622" s="2">
        <v>558</v>
      </c>
      <c r="G1622" s="2">
        <v>100</v>
      </c>
      <c r="H1622" s="2">
        <v>107</v>
      </c>
      <c r="I1622" s="2">
        <v>44</v>
      </c>
      <c r="J1622" s="2">
        <v>364</v>
      </c>
      <c r="K1622" s="2">
        <v>420</v>
      </c>
      <c r="L1622" s="2">
        <v>526</v>
      </c>
    </row>
    <row r="1623" spans="1:12" x14ac:dyDescent="0.25">
      <c r="A1623" s="4" t="str">
        <f>HYPERLINK("http://www.rosaceae.org/Prunus/Prunus_persica/p.persica_gdr_reftransV1_0000123","p.persica_gdr_reftransV1_0000123")</f>
        <v>p.persica_gdr_reftransV1_0000123</v>
      </c>
      <c r="B1623" s="2">
        <v>783</v>
      </c>
      <c r="C1623" s="4" t="str">
        <f>HYPERLINK("http://www.uniprot.org/uniprot/M5WGQ3","M5WGQ3")</f>
        <v>M5WGQ3</v>
      </c>
      <c r="D1623" s="2" t="s">
        <v>1583</v>
      </c>
      <c r="E1623" s="3">
        <v>3.4999999999999999E-90</v>
      </c>
      <c r="F1623" s="2">
        <v>702</v>
      </c>
      <c r="G1623" s="2">
        <v>100</v>
      </c>
      <c r="H1623" s="2">
        <v>132</v>
      </c>
      <c r="I1623" s="2">
        <v>236</v>
      </c>
      <c r="J1623" s="2">
        <v>631</v>
      </c>
      <c r="K1623" s="2">
        <v>1</v>
      </c>
      <c r="L1623" s="2">
        <v>132</v>
      </c>
    </row>
    <row r="1624" spans="1:12" x14ac:dyDescent="0.25">
      <c r="A1624" s="4" t="str">
        <f>HYPERLINK("http://www.rosaceae.org/Prunus/Prunus_persica/p.persica_gdr_reftransV1_0000473","p.persica_gdr_reftransV1_0000473")</f>
        <v>p.persica_gdr_reftransV1_0000473</v>
      </c>
      <c r="B1624" s="2">
        <v>1229</v>
      </c>
      <c r="C1624" s="4" t="str">
        <f>HYPERLINK("http://www.uniprot.org/uniprot/K7K5V1","K7K5V1")</f>
        <v>K7K5V1</v>
      </c>
      <c r="D1624" s="2" t="s">
        <v>1584</v>
      </c>
      <c r="E1624" s="3">
        <v>3.2999999999999999E-129</v>
      </c>
      <c r="F1624" s="2">
        <v>981</v>
      </c>
      <c r="G1624" s="2">
        <v>93</v>
      </c>
      <c r="H1624" s="2">
        <v>199</v>
      </c>
      <c r="I1624" s="2">
        <v>399</v>
      </c>
      <c r="J1624" s="2">
        <v>989</v>
      </c>
      <c r="K1624" s="2">
        <v>2</v>
      </c>
      <c r="L1624" s="2">
        <v>200</v>
      </c>
    </row>
    <row r="1625" spans="1:12" x14ac:dyDescent="0.25">
      <c r="A1625" s="4" t="str">
        <f>HYPERLINK("http://www.rosaceae.org/Prunus/Prunus_persica/p.persica_gdr_reftransV1_0001173","p.persica_gdr_reftransV1_0001173")</f>
        <v>p.persica_gdr_reftransV1_0001173</v>
      </c>
      <c r="B1625" s="2">
        <v>1132</v>
      </c>
      <c r="C1625" s="4" t="str">
        <f>HYPERLINK("http://www.uniprot.org/uniprot/W9SE76","W9SE76")</f>
        <v>W9SE76</v>
      </c>
      <c r="D1625" s="2" t="s">
        <v>1585</v>
      </c>
      <c r="E1625" s="3">
        <v>3.2300000000000001E-18</v>
      </c>
      <c r="F1625" s="2">
        <v>227</v>
      </c>
      <c r="G1625" s="2">
        <v>49</v>
      </c>
      <c r="H1625" s="2">
        <v>95</v>
      </c>
      <c r="I1625" s="2">
        <v>598</v>
      </c>
      <c r="J1625" s="2">
        <v>879</v>
      </c>
      <c r="K1625" s="2">
        <v>51</v>
      </c>
      <c r="L1625" s="2">
        <v>144</v>
      </c>
    </row>
    <row r="1626" spans="1:12" x14ac:dyDescent="0.25">
      <c r="A1626" s="4" t="str">
        <f>HYPERLINK("http://www.rosaceae.org/Prunus/Prunus_persica/p.persica_gdr_reftransV1_0001523","p.persica_gdr_reftransV1_0001523")</f>
        <v>p.persica_gdr_reftransV1_0001523</v>
      </c>
      <c r="B1626" s="2">
        <v>466</v>
      </c>
      <c r="C1626" s="4" t="str">
        <f>HYPERLINK("http://www.uniprot.org/uniprot/M5Y4A9","M5Y4A9")</f>
        <v>M5Y4A9</v>
      </c>
      <c r="D1626" s="2" t="s">
        <v>1586</v>
      </c>
      <c r="E1626" s="3">
        <v>8.7399999999999996E-98</v>
      </c>
      <c r="F1626" s="2">
        <v>811</v>
      </c>
      <c r="G1626" s="2">
        <v>100</v>
      </c>
      <c r="H1626" s="2">
        <v>155</v>
      </c>
      <c r="I1626" s="2">
        <v>2</v>
      </c>
      <c r="J1626" s="2">
        <v>466</v>
      </c>
      <c r="K1626" s="2">
        <v>571</v>
      </c>
      <c r="L1626" s="2">
        <v>725</v>
      </c>
    </row>
    <row r="1627" spans="1:12" x14ac:dyDescent="0.25">
      <c r="A1627" s="4" t="str">
        <f>HYPERLINK("http://www.rosaceae.org/Prunus/Prunus_persica/p.persica_gdr_reftransV1_0001873","p.persica_gdr_reftransV1_0001873")</f>
        <v>p.persica_gdr_reftransV1_0001873</v>
      </c>
      <c r="B1627" s="2">
        <v>1834</v>
      </c>
      <c r="C1627" s="4" t="str">
        <f>HYPERLINK("http://www.uniprot.org/uniprot/M5WG57","M5WG57")</f>
        <v>M5WG57</v>
      </c>
      <c r="D1627" s="2" t="s">
        <v>1587</v>
      </c>
      <c r="E1627" s="3">
        <v>2.8900000000000001E-173</v>
      </c>
      <c r="F1627" s="2">
        <v>1308</v>
      </c>
      <c r="G1627" s="2">
        <v>100</v>
      </c>
      <c r="H1627" s="2">
        <v>246</v>
      </c>
      <c r="I1627" s="2">
        <v>869</v>
      </c>
      <c r="J1627" s="2">
        <v>1606</v>
      </c>
      <c r="K1627" s="2">
        <v>106</v>
      </c>
      <c r="L1627" s="2">
        <v>351</v>
      </c>
    </row>
    <row r="1628" spans="1:12" x14ac:dyDescent="0.25">
      <c r="A1628" s="4" t="str">
        <f>HYPERLINK("http://www.rosaceae.org/Prunus/Prunus_persica/p.persica_gdr_reftransV1_0002223","p.persica_gdr_reftransV1_0002223")</f>
        <v>p.persica_gdr_reftransV1_0002223</v>
      </c>
      <c r="B1628" s="2">
        <v>311</v>
      </c>
      <c r="C1628" s="4" t="str">
        <f>HYPERLINK("http://www.uniprot.org/uniprot/Q5M9U2","Q5M9U2")</f>
        <v>Q5M9U2</v>
      </c>
      <c r="D1628" s="2" t="s">
        <v>1588</v>
      </c>
      <c r="E1628" s="3">
        <v>1.6100000000000001E-30</v>
      </c>
      <c r="F1628" s="2">
        <v>304</v>
      </c>
      <c r="G1628" s="2">
        <v>90</v>
      </c>
      <c r="H1628" s="2">
        <v>103</v>
      </c>
      <c r="I1628" s="2">
        <v>2</v>
      </c>
      <c r="J1628" s="2">
        <v>310</v>
      </c>
      <c r="K1628" s="2">
        <v>82</v>
      </c>
      <c r="L1628" s="2">
        <v>184</v>
      </c>
    </row>
    <row r="1629" spans="1:12" x14ac:dyDescent="0.25">
      <c r="A1629" s="4" t="str">
        <f>HYPERLINK("http://www.rosaceae.org/Prunus/Prunus_persica/p.persica_gdr_reftransV1_0002573","p.persica_gdr_reftransV1_0002573")</f>
        <v>p.persica_gdr_reftransV1_0002573</v>
      </c>
      <c r="B1629" s="2">
        <v>4817</v>
      </c>
      <c r="C1629" s="4" t="str">
        <f>HYPERLINK("http://www.uniprot.org/uniprot/M5VLU3","M5VLU3")</f>
        <v>M5VLU3</v>
      </c>
      <c r="D1629" s="2" t="s">
        <v>1589</v>
      </c>
      <c r="E1629" s="3">
        <v>0</v>
      </c>
      <c r="F1629" s="2">
        <v>7197</v>
      </c>
      <c r="G1629" s="2">
        <v>98</v>
      </c>
      <c r="H1629" s="2">
        <v>1592</v>
      </c>
      <c r="I1629" s="2">
        <v>1</v>
      </c>
      <c r="J1629" s="2">
        <v>4776</v>
      </c>
      <c r="K1629" s="2">
        <v>1355</v>
      </c>
      <c r="L1629" s="2">
        <v>2918</v>
      </c>
    </row>
    <row r="1630" spans="1:12" x14ac:dyDescent="0.25">
      <c r="A1630" s="4" t="str">
        <f>HYPERLINK("http://www.rosaceae.org/Prunus/Prunus_persica/p.persica_gdr_reftransV1_0002923","p.persica_gdr_reftransV1_0002923")</f>
        <v>p.persica_gdr_reftransV1_0002923</v>
      </c>
      <c r="B1630" s="2">
        <v>366</v>
      </c>
      <c r="C1630" s="4" t="str">
        <f>HYPERLINK("http://www.uniprot.org/uniprot/M5WT03","M5WT03")</f>
        <v>M5WT03</v>
      </c>
      <c r="D1630" s="2" t="s">
        <v>1590</v>
      </c>
      <c r="E1630" s="3">
        <v>4.6100000000000001E-70</v>
      </c>
      <c r="F1630" s="2">
        <v>573</v>
      </c>
      <c r="G1630" s="2">
        <v>100</v>
      </c>
      <c r="H1630" s="2">
        <v>108</v>
      </c>
      <c r="I1630" s="2">
        <v>1</v>
      </c>
      <c r="J1630" s="2">
        <v>324</v>
      </c>
      <c r="K1630" s="2">
        <v>1</v>
      </c>
      <c r="L1630" s="2">
        <v>108</v>
      </c>
    </row>
    <row r="1631" spans="1:12" x14ac:dyDescent="0.25">
      <c r="A1631" s="4" t="str">
        <f>HYPERLINK("http://www.rosaceae.org/Prunus/Prunus_persica/p.persica_gdr_reftransV1_0003273","p.persica_gdr_reftransV1_0003273")</f>
        <v>p.persica_gdr_reftransV1_0003273</v>
      </c>
      <c r="B1631" s="2">
        <v>553</v>
      </c>
      <c r="C1631" s="4" t="str">
        <f>HYPERLINK("http://www.uniprot.org/uniprot/M5XIN3","M5XIN3")</f>
        <v>M5XIN3</v>
      </c>
      <c r="D1631" s="2" t="s">
        <v>1591</v>
      </c>
      <c r="E1631" s="3">
        <v>1.89E-115</v>
      </c>
      <c r="F1631" s="2">
        <v>881</v>
      </c>
      <c r="G1631" s="2">
        <v>99</v>
      </c>
      <c r="H1631" s="2">
        <v>162</v>
      </c>
      <c r="I1631" s="2">
        <v>3</v>
      </c>
      <c r="J1631" s="2">
        <v>488</v>
      </c>
      <c r="K1631" s="2">
        <v>115</v>
      </c>
      <c r="L1631" s="2">
        <v>276</v>
      </c>
    </row>
    <row r="1632" spans="1:12" x14ac:dyDescent="0.25">
      <c r="A1632" s="4" t="str">
        <f>HYPERLINK("http://www.rosaceae.org/Prunus/Prunus_persica/p.persica_gdr_reftransV1_0003623","p.persica_gdr_reftransV1_0003623")</f>
        <v>p.persica_gdr_reftransV1_0003623</v>
      </c>
      <c r="B1632" s="2">
        <v>3340</v>
      </c>
      <c r="C1632" s="4" t="str">
        <f>HYPERLINK("http://www.uniprot.org/uniprot/M5XF42","M5XF42")</f>
        <v>M5XF42</v>
      </c>
      <c r="D1632" s="2" t="s">
        <v>1592</v>
      </c>
      <c r="E1632" s="3">
        <v>0</v>
      </c>
      <c r="F1632" s="2">
        <v>3594</v>
      </c>
      <c r="G1632" s="2">
        <v>100</v>
      </c>
      <c r="H1632" s="2">
        <v>768</v>
      </c>
      <c r="I1632" s="2">
        <v>735</v>
      </c>
      <c r="J1632" s="2">
        <v>3038</v>
      </c>
      <c r="K1632" s="2">
        <v>1</v>
      </c>
      <c r="L1632" s="2">
        <v>768</v>
      </c>
    </row>
    <row r="1633" spans="1:12" x14ac:dyDescent="0.25">
      <c r="A1633" s="4" t="str">
        <f>HYPERLINK("http://www.rosaceae.org/Prunus/Prunus_persica/p.persica_gdr_reftransV1_0003973","p.persica_gdr_reftransV1_0003973")</f>
        <v>p.persica_gdr_reftransV1_0003973</v>
      </c>
      <c r="B1633" s="2">
        <v>568</v>
      </c>
      <c r="C1633" s="4" t="str">
        <f>HYPERLINK("http://www.uniprot.org/uniprot/M5WYQ5","M5WYQ5")</f>
        <v>M5WYQ5</v>
      </c>
      <c r="D1633" s="2" t="s">
        <v>1593</v>
      </c>
      <c r="E1633" s="3">
        <v>3.5400000000000002E-77</v>
      </c>
      <c r="F1633" s="2">
        <v>631</v>
      </c>
      <c r="G1633" s="2">
        <v>100</v>
      </c>
      <c r="H1633" s="2">
        <v>114</v>
      </c>
      <c r="I1633" s="2">
        <v>225</v>
      </c>
      <c r="J1633" s="2">
        <v>566</v>
      </c>
      <c r="K1633" s="2">
        <v>1</v>
      </c>
      <c r="L1633" s="2">
        <v>114</v>
      </c>
    </row>
    <row r="1634" spans="1:12" x14ac:dyDescent="0.25">
      <c r="A1634" s="4" t="str">
        <f>HYPERLINK("http://www.rosaceae.org/Prunus/Prunus_persica/p.persica_gdr_reftransV1_0004323","p.persica_gdr_reftransV1_0004323")</f>
        <v>p.persica_gdr_reftransV1_0004323</v>
      </c>
      <c r="B1634" s="2">
        <v>3187</v>
      </c>
      <c r="C1634" s="4" t="str">
        <f>HYPERLINK("http://www.uniprot.org/uniprot/M5XAN1","M5XAN1")</f>
        <v>M5XAN1</v>
      </c>
      <c r="D1634" s="2" t="s">
        <v>1594</v>
      </c>
      <c r="E1634" s="3">
        <v>0</v>
      </c>
      <c r="F1634" s="2">
        <v>5268</v>
      </c>
      <c r="G1634" s="2">
        <v>100</v>
      </c>
      <c r="H1634" s="2">
        <v>1013</v>
      </c>
      <c r="I1634" s="2">
        <v>1</v>
      </c>
      <c r="J1634" s="2">
        <v>3039</v>
      </c>
      <c r="K1634" s="2">
        <v>55</v>
      </c>
      <c r="L1634" s="2">
        <v>1067</v>
      </c>
    </row>
    <row r="1635" spans="1:12" x14ac:dyDescent="0.25">
      <c r="A1635" s="4" t="str">
        <f>HYPERLINK("http://www.rosaceae.org/Prunus/Prunus_persica/p.persica_gdr_reftransV1_0004673","p.persica_gdr_reftransV1_0004673")</f>
        <v>p.persica_gdr_reftransV1_0004673</v>
      </c>
      <c r="B1635" s="2">
        <v>486</v>
      </c>
      <c r="C1635" s="4" t="str">
        <f>HYPERLINK("http://www.uniprot.org/uniprot/M5XLV3","M5XLV3")</f>
        <v>M5XLV3</v>
      </c>
      <c r="D1635" s="2" t="s">
        <v>1595</v>
      </c>
      <c r="E1635" s="3">
        <v>6.95E-74</v>
      </c>
      <c r="F1635" s="2">
        <v>597</v>
      </c>
      <c r="G1635" s="2">
        <v>100</v>
      </c>
      <c r="H1635" s="2">
        <v>108</v>
      </c>
      <c r="I1635" s="2">
        <v>2</v>
      </c>
      <c r="J1635" s="2">
        <v>325</v>
      </c>
      <c r="K1635" s="2">
        <v>170</v>
      </c>
      <c r="L1635" s="2">
        <v>277</v>
      </c>
    </row>
    <row r="1636" spans="1:12" x14ac:dyDescent="0.25">
      <c r="A1636" s="4" t="str">
        <f>HYPERLINK("http://www.rosaceae.org/Prunus/Prunus_persica/p.persica_gdr_reftransV1_0005023","p.persica_gdr_reftransV1_0005023")</f>
        <v>p.persica_gdr_reftransV1_0005023</v>
      </c>
      <c r="B1636" s="2">
        <v>1234</v>
      </c>
      <c r="C1636" s="4" t="str">
        <f>HYPERLINK("http://www.uniprot.org/uniprot/M5VZN5","M5VZN5")</f>
        <v>M5VZN5</v>
      </c>
      <c r="D1636" s="2" t="s">
        <v>1596</v>
      </c>
      <c r="E1636" s="3">
        <v>5.5799999999999998E-159</v>
      </c>
      <c r="F1636" s="2">
        <v>1185</v>
      </c>
      <c r="G1636" s="2">
        <v>100</v>
      </c>
      <c r="H1636" s="2">
        <v>265</v>
      </c>
      <c r="I1636" s="2">
        <v>217</v>
      </c>
      <c r="J1636" s="2">
        <v>1011</v>
      </c>
      <c r="K1636" s="2">
        <v>1</v>
      </c>
      <c r="L1636" s="2">
        <v>265</v>
      </c>
    </row>
    <row r="1637" spans="1:12" x14ac:dyDescent="0.25">
      <c r="A1637" s="4" t="str">
        <f>HYPERLINK("http://www.rosaceae.org/Prunus/Prunus_persica/p.persica_gdr_reftransV1_0005723","p.persica_gdr_reftransV1_0005723")</f>
        <v>p.persica_gdr_reftransV1_0005723</v>
      </c>
      <c r="B1637" s="2">
        <v>343</v>
      </c>
      <c r="C1637" s="4" t="str">
        <f>HYPERLINK("http://www.uniprot.org/uniprot/M5VT67","M5VT67")</f>
        <v>M5VT67</v>
      </c>
      <c r="D1637" s="2" t="s">
        <v>1597</v>
      </c>
      <c r="E1637" s="3">
        <v>2.89E-61</v>
      </c>
      <c r="F1637" s="2">
        <v>532</v>
      </c>
      <c r="G1637" s="2">
        <v>100</v>
      </c>
      <c r="H1637" s="2">
        <v>114</v>
      </c>
      <c r="I1637" s="2">
        <v>1</v>
      </c>
      <c r="J1637" s="2">
        <v>342</v>
      </c>
      <c r="K1637" s="2">
        <v>556</v>
      </c>
      <c r="L1637" s="2">
        <v>669</v>
      </c>
    </row>
    <row r="1638" spans="1:12" x14ac:dyDescent="0.25">
      <c r="A1638" s="4" t="str">
        <f>HYPERLINK("http://www.rosaceae.org/Prunus/Prunus_persica/p.persica_gdr_reftransV1_0006073","p.persica_gdr_reftransV1_0006073")</f>
        <v>p.persica_gdr_reftransV1_0006073</v>
      </c>
      <c r="B1638" s="2">
        <v>732</v>
      </c>
      <c r="C1638" s="4" t="str">
        <f>HYPERLINK("http://www.uniprot.org/uniprot/M5X0Y0","M5X0Y0")</f>
        <v>M5X0Y0</v>
      </c>
      <c r="D1638" s="2" t="s">
        <v>1598</v>
      </c>
      <c r="E1638" s="3">
        <v>4.7799999999999999E-64</v>
      </c>
      <c r="F1638" s="2">
        <v>535</v>
      </c>
      <c r="G1638" s="2">
        <v>92</v>
      </c>
      <c r="H1638" s="2">
        <v>114</v>
      </c>
      <c r="I1638" s="2">
        <v>251</v>
      </c>
      <c r="J1638" s="2">
        <v>586</v>
      </c>
      <c r="K1638" s="2">
        <v>1</v>
      </c>
      <c r="L1638" s="2">
        <v>114</v>
      </c>
    </row>
    <row r="1639" spans="1:12" x14ac:dyDescent="0.25">
      <c r="A1639" s="4" t="str">
        <f>HYPERLINK("http://www.rosaceae.org/Prunus/Prunus_persica/p.persica_gdr_reftransV1_0006423","p.persica_gdr_reftransV1_0006423")</f>
        <v>p.persica_gdr_reftransV1_0006423</v>
      </c>
      <c r="B1639" s="2">
        <v>822</v>
      </c>
      <c r="C1639" s="4" t="str">
        <f>HYPERLINK("http://www.uniprot.org/uniprot/A0A0B2QI09","A0A0B2QI09")</f>
        <v>A0A0B2QI09</v>
      </c>
      <c r="D1639" s="2" t="s">
        <v>1599</v>
      </c>
      <c r="E1639" s="3">
        <v>2.85E-24</v>
      </c>
      <c r="F1639" s="2">
        <v>273</v>
      </c>
      <c r="G1639" s="2">
        <v>42</v>
      </c>
      <c r="H1639" s="2">
        <v>139</v>
      </c>
      <c r="I1639" s="2">
        <v>2</v>
      </c>
      <c r="J1639" s="2">
        <v>406</v>
      </c>
      <c r="K1639" s="2">
        <v>199</v>
      </c>
      <c r="L1639" s="2">
        <v>334</v>
      </c>
    </row>
    <row r="1640" spans="1:12" x14ac:dyDescent="0.25">
      <c r="A1640" s="4" t="str">
        <f>HYPERLINK("http://www.rosaceae.org/Prunus/Prunus_persica/p.persica_gdr_reftransV1_0007123","p.persica_gdr_reftransV1_0007123")</f>
        <v>p.persica_gdr_reftransV1_0007123</v>
      </c>
      <c r="B1640" s="2">
        <v>835</v>
      </c>
      <c r="C1640" s="4" t="str">
        <f>HYPERLINK("http://www.uniprot.org/uniprot/M5WQG3","M5WQG3")</f>
        <v>M5WQG3</v>
      </c>
      <c r="D1640" s="2" t="s">
        <v>1600</v>
      </c>
      <c r="E1640" s="3">
        <v>3.0000000000000001E-99</v>
      </c>
      <c r="F1640" s="2">
        <v>769</v>
      </c>
      <c r="G1640" s="2">
        <v>100</v>
      </c>
      <c r="H1640" s="2">
        <v>179</v>
      </c>
      <c r="I1640" s="2">
        <v>232</v>
      </c>
      <c r="J1640" s="2">
        <v>768</v>
      </c>
      <c r="K1640" s="2">
        <v>10</v>
      </c>
      <c r="L1640" s="2">
        <v>188</v>
      </c>
    </row>
    <row r="1641" spans="1:12" x14ac:dyDescent="0.25">
      <c r="A1641" s="4" t="str">
        <f>HYPERLINK("http://www.rosaceae.org/Prunus/Prunus_persica/p.persica_gdr_reftransV1_0007823","p.persica_gdr_reftransV1_0007823")</f>
        <v>p.persica_gdr_reftransV1_0007823</v>
      </c>
      <c r="B1641" s="2">
        <v>1640</v>
      </c>
      <c r="C1641" s="4" t="str">
        <f>HYPERLINK("http://www.uniprot.org/uniprot/A0A067JQ40","A0A067JQ40")</f>
        <v>A0A067JQ40</v>
      </c>
      <c r="D1641" s="2" t="s">
        <v>1601</v>
      </c>
      <c r="E1641" s="3">
        <v>7.1299999999999998E-174</v>
      </c>
      <c r="F1641" s="2">
        <v>1311</v>
      </c>
      <c r="G1641" s="2">
        <v>83</v>
      </c>
      <c r="H1641" s="2">
        <v>292</v>
      </c>
      <c r="I1641" s="2">
        <v>483</v>
      </c>
      <c r="J1641" s="2">
        <v>1358</v>
      </c>
      <c r="K1641" s="2">
        <v>107</v>
      </c>
      <c r="L1641" s="2">
        <v>398</v>
      </c>
    </row>
    <row r="1642" spans="1:12" x14ac:dyDescent="0.25">
      <c r="A1642" s="4" t="str">
        <f>HYPERLINK("http://www.rosaceae.org/Prunus/Prunus_persica/p.persica_gdr_reftransV1_0008873","p.persica_gdr_reftransV1_0008873")</f>
        <v>p.persica_gdr_reftransV1_0008873</v>
      </c>
      <c r="B1642" s="2">
        <v>836</v>
      </c>
      <c r="C1642" s="4" t="str">
        <f>HYPERLINK("http://www.uniprot.org/uniprot/M5W3V6","M5W3V6")</f>
        <v>M5W3V6</v>
      </c>
      <c r="D1642" s="2" t="s">
        <v>1602</v>
      </c>
      <c r="E1642" s="3">
        <v>8.89E-97</v>
      </c>
      <c r="F1642" s="2">
        <v>766</v>
      </c>
      <c r="G1642" s="2">
        <v>78</v>
      </c>
      <c r="H1642" s="2">
        <v>221</v>
      </c>
      <c r="I1642" s="2">
        <v>173</v>
      </c>
      <c r="J1642" s="2">
        <v>835</v>
      </c>
      <c r="K1642" s="2">
        <v>27</v>
      </c>
      <c r="L1642" s="2">
        <v>229</v>
      </c>
    </row>
    <row r="1643" spans="1:12" x14ac:dyDescent="0.25">
      <c r="A1643" s="4" t="str">
        <f>HYPERLINK("http://www.rosaceae.org/Prunus/Prunus_persica/p.persica_gdr_reftransV1_0009223","p.persica_gdr_reftransV1_0009223")</f>
        <v>p.persica_gdr_reftransV1_0009223</v>
      </c>
      <c r="B1643" s="2">
        <v>2951</v>
      </c>
      <c r="C1643" s="4" t="str">
        <f>HYPERLINK("http://www.uniprot.org/uniprot/M5W6C4","M5W6C4")</f>
        <v>M5W6C4</v>
      </c>
      <c r="D1643" s="2" t="s">
        <v>1603</v>
      </c>
      <c r="E1643" s="3">
        <v>0</v>
      </c>
      <c r="F1643" s="2">
        <v>2493</v>
      </c>
      <c r="G1643" s="2">
        <v>100</v>
      </c>
      <c r="H1643" s="2">
        <v>494</v>
      </c>
      <c r="I1643" s="2">
        <v>311</v>
      </c>
      <c r="J1643" s="2">
        <v>1792</v>
      </c>
      <c r="K1643" s="2">
        <v>241</v>
      </c>
      <c r="L1643" s="2">
        <v>734</v>
      </c>
    </row>
    <row r="1644" spans="1:12" x14ac:dyDescent="0.25">
      <c r="A1644" s="4" t="str">
        <f>HYPERLINK("http://www.rosaceae.org/Prunus/Prunus_persica/p.persica_gdr_reftransV1_0009573","p.persica_gdr_reftransV1_0009573")</f>
        <v>p.persica_gdr_reftransV1_0009573</v>
      </c>
      <c r="B1644" s="2">
        <v>1969</v>
      </c>
      <c r="C1644" s="4" t="str">
        <f>HYPERLINK("http://www.uniprot.org/uniprot/M5XCB9","M5XCB9")</f>
        <v>M5XCB9</v>
      </c>
      <c r="D1644" s="2" t="s">
        <v>1604</v>
      </c>
      <c r="E1644" s="3">
        <v>3.5099999999999999E-122</v>
      </c>
      <c r="F1644" s="2">
        <v>975</v>
      </c>
      <c r="G1644" s="2">
        <v>100</v>
      </c>
      <c r="H1644" s="2">
        <v>184</v>
      </c>
      <c r="I1644" s="2">
        <v>427</v>
      </c>
      <c r="J1644" s="2">
        <v>978</v>
      </c>
      <c r="K1644" s="2">
        <v>45</v>
      </c>
      <c r="L1644" s="2">
        <v>228</v>
      </c>
    </row>
    <row r="1645" spans="1:12" x14ac:dyDescent="0.25">
      <c r="A1645" s="4" t="str">
        <f>HYPERLINK("http://www.rosaceae.org/Prunus/Prunus_persica/p.persica_gdr_reftransV1_0010973","p.persica_gdr_reftransV1_0010973")</f>
        <v>p.persica_gdr_reftransV1_0010973</v>
      </c>
      <c r="B1645" s="2">
        <v>3151</v>
      </c>
      <c r="C1645" s="4" t="str">
        <f>HYPERLINK("http://www.uniprot.org/uniprot/M5WH84","M5WH84")</f>
        <v>M5WH84</v>
      </c>
      <c r="D1645" s="2" t="s">
        <v>1381</v>
      </c>
      <c r="E1645" s="3">
        <v>0</v>
      </c>
      <c r="F1645" s="2">
        <v>1434</v>
      </c>
      <c r="G1645" s="2">
        <v>100</v>
      </c>
      <c r="H1645" s="2">
        <v>310</v>
      </c>
      <c r="I1645" s="2">
        <v>74</v>
      </c>
      <c r="J1645" s="2">
        <v>1003</v>
      </c>
      <c r="K1645" s="2">
        <v>1</v>
      </c>
      <c r="L1645" s="2">
        <v>310</v>
      </c>
    </row>
    <row r="1646" spans="1:12" x14ac:dyDescent="0.25">
      <c r="A1646" s="4" t="str">
        <f>HYPERLINK("http://www.rosaceae.org/Prunus/Prunus_persica/p.persica_gdr_reftransV1_0011673","p.persica_gdr_reftransV1_0011673")</f>
        <v>p.persica_gdr_reftransV1_0011673</v>
      </c>
      <c r="B1646" s="2">
        <v>2093</v>
      </c>
      <c r="C1646" s="4" t="str">
        <f>HYPERLINK("http://www.uniprot.org/uniprot/M5VIV9","M5VIV9")</f>
        <v>M5VIV9</v>
      </c>
      <c r="D1646" s="2" t="s">
        <v>1605</v>
      </c>
      <c r="E1646" s="3">
        <v>0</v>
      </c>
      <c r="F1646" s="2">
        <v>2597</v>
      </c>
      <c r="G1646" s="2">
        <v>100</v>
      </c>
      <c r="H1646" s="2">
        <v>490</v>
      </c>
      <c r="I1646" s="2">
        <v>123</v>
      </c>
      <c r="J1646" s="2">
        <v>1592</v>
      </c>
      <c r="K1646" s="2">
        <v>1</v>
      </c>
      <c r="L1646" s="2">
        <v>490</v>
      </c>
    </row>
    <row r="1647" spans="1:12" x14ac:dyDescent="0.25">
      <c r="A1647" s="4" t="str">
        <f>HYPERLINK("http://www.rosaceae.org/Prunus/Prunus_persica/p.persica_gdr_reftransV1_0012023","p.persica_gdr_reftransV1_0012023")</f>
        <v>p.persica_gdr_reftransV1_0012023</v>
      </c>
      <c r="B1647" s="2">
        <v>4049</v>
      </c>
      <c r="C1647" s="4" t="str">
        <f>HYPERLINK("http://www.uniprot.org/uniprot/M5WZ64","M5WZ64")</f>
        <v>M5WZ64</v>
      </c>
      <c r="D1647" s="2" t="s">
        <v>1606</v>
      </c>
      <c r="E1647" s="3">
        <v>0</v>
      </c>
      <c r="F1647" s="2">
        <v>3026</v>
      </c>
      <c r="G1647" s="2">
        <v>91</v>
      </c>
      <c r="H1647" s="2">
        <v>627</v>
      </c>
      <c r="I1647" s="2">
        <v>367</v>
      </c>
      <c r="J1647" s="2">
        <v>2223</v>
      </c>
      <c r="K1647" s="2">
        <v>456</v>
      </c>
      <c r="L1647" s="2">
        <v>1077</v>
      </c>
    </row>
    <row r="1648" spans="1:12" x14ac:dyDescent="0.25">
      <c r="A1648" s="4" t="str">
        <f>HYPERLINK("http://www.rosaceae.org/Prunus/Prunus_persica/p.persica_gdr_reftransV1_0012373","p.persica_gdr_reftransV1_0012373")</f>
        <v>p.persica_gdr_reftransV1_0012373</v>
      </c>
      <c r="B1648" s="2">
        <v>1202</v>
      </c>
      <c r="C1648" s="4" t="str">
        <f>HYPERLINK("http://www.uniprot.org/uniprot/M5VVB6","M5VVB6")</f>
        <v>M5VVB6</v>
      </c>
      <c r="D1648" s="2" t="s">
        <v>1607</v>
      </c>
      <c r="E1648" s="3">
        <v>0</v>
      </c>
      <c r="F1648" s="2">
        <v>1914</v>
      </c>
      <c r="G1648" s="2">
        <v>100</v>
      </c>
      <c r="H1648" s="2">
        <v>363</v>
      </c>
      <c r="I1648" s="2">
        <v>113</v>
      </c>
      <c r="J1648" s="2">
        <v>1201</v>
      </c>
      <c r="K1648" s="2">
        <v>69</v>
      </c>
      <c r="L1648" s="2">
        <v>431</v>
      </c>
    </row>
    <row r="1649" spans="1:12" x14ac:dyDescent="0.25">
      <c r="A1649" s="4" t="str">
        <f>HYPERLINK("http://www.rosaceae.org/Prunus/Prunus_persica/p.persica_gdr_reftransV1_0012723","p.persica_gdr_reftransV1_0012723")</f>
        <v>p.persica_gdr_reftransV1_0012723</v>
      </c>
      <c r="B1649" s="2">
        <v>2109</v>
      </c>
      <c r="C1649" s="4" t="str">
        <f>HYPERLINK("http://www.uniprot.org/uniprot/M5WJN7","M5WJN7")</f>
        <v>M5WJN7</v>
      </c>
      <c r="D1649" s="2" t="s">
        <v>1608</v>
      </c>
      <c r="E1649" s="3">
        <v>2.78E-121</v>
      </c>
      <c r="F1649" s="2">
        <v>959</v>
      </c>
      <c r="G1649" s="2">
        <v>97</v>
      </c>
      <c r="H1649" s="2">
        <v>187</v>
      </c>
      <c r="I1649" s="2">
        <v>1459</v>
      </c>
      <c r="J1649" s="2">
        <v>2019</v>
      </c>
      <c r="K1649" s="2">
        <v>1</v>
      </c>
      <c r="L1649" s="2">
        <v>187</v>
      </c>
    </row>
    <row r="1650" spans="1:12" x14ac:dyDescent="0.25">
      <c r="A1650" s="4" t="str">
        <f>HYPERLINK("http://www.rosaceae.org/Prunus/Prunus_persica/p.persica_gdr_reftransV1_0013773","p.persica_gdr_reftransV1_0013773")</f>
        <v>p.persica_gdr_reftransV1_0013773</v>
      </c>
      <c r="B1650" s="2">
        <v>827</v>
      </c>
      <c r="C1650" s="4" t="str">
        <f>HYPERLINK("http://www.uniprot.org/uniprot/M5X2T1","M5X2T1")</f>
        <v>M5X2T1</v>
      </c>
      <c r="D1650" s="2" t="s">
        <v>1609</v>
      </c>
      <c r="E1650" s="3">
        <v>8.0699999999999996E-72</v>
      </c>
      <c r="F1650" s="2">
        <v>581</v>
      </c>
      <c r="G1650" s="2">
        <v>100</v>
      </c>
      <c r="H1650" s="2">
        <v>128</v>
      </c>
      <c r="I1650" s="2">
        <v>318</v>
      </c>
      <c r="J1650" s="2">
        <v>701</v>
      </c>
      <c r="K1650" s="2">
        <v>1</v>
      </c>
      <c r="L1650" s="2">
        <v>128</v>
      </c>
    </row>
    <row r="1651" spans="1:12" x14ac:dyDescent="0.25">
      <c r="A1651" s="4" t="str">
        <f>HYPERLINK("http://www.rosaceae.org/Prunus/Prunus_persica/p.persica_gdr_reftransV1_0015173","p.persica_gdr_reftransV1_0015173")</f>
        <v>p.persica_gdr_reftransV1_0015173</v>
      </c>
      <c r="B1651" s="2">
        <v>2551</v>
      </c>
      <c r="C1651" s="4" t="str">
        <f>HYPERLINK("http://www.uniprot.org/uniprot/M5XCT6","M5XCT6")</f>
        <v>M5XCT6</v>
      </c>
      <c r="D1651" s="2" t="s">
        <v>1610</v>
      </c>
      <c r="E1651" s="3">
        <v>0</v>
      </c>
      <c r="F1651" s="2">
        <v>2459</v>
      </c>
      <c r="G1651" s="2">
        <v>100</v>
      </c>
      <c r="H1651" s="2">
        <v>453</v>
      </c>
      <c r="I1651" s="2">
        <v>942</v>
      </c>
      <c r="J1651" s="2">
        <v>2300</v>
      </c>
      <c r="K1651" s="2">
        <v>145</v>
      </c>
      <c r="L1651" s="2">
        <v>597</v>
      </c>
    </row>
    <row r="1652" spans="1:12" x14ac:dyDescent="0.25">
      <c r="A1652" s="4" t="str">
        <f>HYPERLINK("http://www.rosaceae.org/Prunus/Prunus_persica/p.persica_gdr_reftransV1_0015873","p.persica_gdr_reftransV1_0015873")</f>
        <v>p.persica_gdr_reftransV1_0015873</v>
      </c>
      <c r="B1652" s="2">
        <v>2253</v>
      </c>
      <c r="C1652" s="4" t="str">
        <f>HYPERLINK("http://www.uniprot.org/uniprot/M5XK29","M5XK29")</f>
        <v>M5XK29</v>
      </c>
      <c r="D1652" s="2" t="s">
        <v>1611</v>
      </c>
      <c r="E1652" s="3">
        <v>0</v>
      </c>
      <c r="F1652" s="2">
        <v>3045</v>
      </c>
      <c r="G1652" s="2">
        <v>92</v>
      </c>
      <c r="H1652" s="2">
        <v>639</v>
      </c>
      <c r="I1652" s="2">
        <v>1</v>
      </c>
      <c r="J1652" s="2">
        <v>1917</v>
      </c>
      <c r="K1652" s="2">
        <v>148</v>
      </c>
      <c r="L1652" s="2">
        <v>743</v>
      </c>
    </row>
    <row r="1653" spans="1:12" x14ac:dyDescent="0.25">
      <c r="A1653" s="4" t="str">
        <f>HYPERLINK("http://www.rosaceae.org/Prunus/Prunus_persica/p.persica_gdr_reftransV1_0016223","p.persica_gdr_reftransV1_0016223")</f>
        <v>p.persica_gdr_reftransV1_0016223</v>
      </c>
      <c r="B1653" s="2">
        <v>1873</v>
      </c>
      <c r="C1653" s="4" t="str">
        <f>HYPERLINK("http://www.uniprot.org/uniprot/M5W9K2","M5W9K2")</f>
        <v>M5W9K2</v>
      </c>
      <c r="D1653" s="2" t="s">
        <v>1612</v>
      </c>
      <c r="E1653" s="3">
        <v>0</v>
      </c>
      <c r="F1653" s="2">
        <v>2323</v>
      </c>
      <c r="G1653" s="2">
        <v>97</v>
      </c>
      <c r="H1653" s="2">
        <v>448</v>
      </c>
      <c r="I1653" s="2">
        <v>425</v>
      </c>
      <c r="J1653" s="2">
        <v>1768</v>
      </c>
      <c r="K1653" s="2">
        <v>1</v>
      </c>
      <c r="L1653" s="2">
        <v>439</v>
      </c>
    </row>
    <row r="1654" spans="1:12" x14ac:dyDescent="0.25">
      <c r="A1654" s="4" t="str">
        <f>HYPERLINK("http://www.rosaceae.org/Prunus/Prunus_persica/p.persica_gdr_reftransV1_0016573","p.persica_gdr_reftransV1_0016573")</f>
        <v>p.persica_gdr_reftransV1_0016573</v>
      </c>
      <c r="B1654" s="2">
        <v>900</v>
      </c>
      <c r="C1654" s="4" t="str">
        <f>HYPERLINK("http://www.uniprot.org/uniprot/I7K8K8","I7K8K8")</f>
        <v>I7K8K8</v>
      </c>
      <c r="D1654" s="2" t="s">
        <v>1613</v>
      </c>
      <c r="E1654" s="3">
        <v>4.7700000000000003E-28</v>
      </c>
      <c r="F1654" s="2">
        <v>314</v>
      </c>
      <c r="G1654" s="2">
        <v>37</v>
      </c>
      <c r="H1654" s="2">
        <v>199</v>
      </c>
      <c r="I1654" s="2">
        <v>314</v>
      </c>
      <c r="J1654" s="2">
        <v>898</v>
      </c>
      <c r="K1654" s="2">
        <v>269</v>
      </c>
      <c r="L1654" s="2">
        <v>467</v>
      </c>
    </row>
    <row r="1655" spans="1:12" x14ac:dyDescent="0.25">
      <c r="A1655" s="4" t="str">
        <f>HYPERLINK("http://www.rosaceae.org/Prunus/Prunus_persica/p.persica_gdr_reftransV1_0017973","p.persica_gdr_reftransV1_0017973")</f>
        <v>p.persica_gdr_reftransV1_0017973</v>
      </c>
      <c r="B1655" s="2">
        <v>3364</v>
      </c>
      <c r="C1655" s="4" t="str">
        <f>HYPERLINK("http://www.uniprot.org/uniprot/M5WDW8","M5WDW8")</f>
        <v>M5WDW8</v>
      </c>
      <c r="D1655" s="2" t="s">
        <v>1614</v>
      </c>
      <c r="E1655" s="3">
        <v>0</v>
      </c>
      <c r="F1655" s="2">
        <v>2099</v>
      </c>
      <c r="G1655" s="2">
        <v>100</v>
      </c>
      <c r="H1655" s="2">
        <v>528</v>
      </c>
      <c r="I1655" s="2">
        <v>274</v>
      </c>
      <c r="J1655" s="2">
        <v>1857</v>
      </c>
      <c r="K1655" s="2">
        <v>1</v>
      </c>
      <c r="L1655" s="2">
        <v>528</v>
      </c>
    </row>
    <row r="1656" spans="1:12" x14ac:dyDescent="0.25">
      <c r="A1656" s="4" t="str">
        <f>HYPERLINK("http://www.rosaceae.org/Prunus/Prunus_persica/p.persica_gdr_reftransV1_0018323","p.persica_gdr_reftransV1_0018323")</f>
        <v>p.persica_gdr_reftransV1_0018323</v>
      </c>
      <c r="B1656" s="2">
        <v>1264</v>
      </c>
      <c r="C1656" s="4" t="str">
        <f>HYPERLINK("http://www.uniprot.org/uniprot/M5XWM2","M5XWM2")</f>
        <v>M5XWM2</v>
      </c>
      <c r="D1656" s="2" t="s">
        <v>1615</v>
      </c>
      <c r="E1656" s="3">
        <v>0</v>
      </c>
      <c r="F1656" s="2">
        <v>1736</v>
      </c>
      <c r="G1656" s="2">
        <v>100</v>
      </c>
      <c r="H1656" s="2">
        <v>320</v>
      </c>
      <c r="I1656" s="2">
        <v>172</v>
      </c>
      <c r="J1656" s="2">
        <v>1131</v>
      </c>
      <c r="K1656" s="2">
        <v>1</v>
      </c>
      <c r="L1656" s="2">
        <v>320</v>
      </c>
    </row>
    <row r="1657" spans="1:12" x14ac:dyDescent="0.25">
      <c r="A1657" s="4" t="str">
        <f>HYPERLINK("http://www.rosaceae.org/Prunus/Prunus_persica/p.persica_gdr_reftransV1_0018673","p.persica_gdr_reftransV1_0018673")</f>
        <v>p.persica_gdr_reftransV1_0018673</v>
      </c>
      <c r="B1657" s="2">
        <v>2229</v>
      </c>
      <c r="C1657" s="4" t="str">
        <f>HYPERLINK("http://www.uniprot.org/uniprot/M5VVX2","M5VVX2")</f>
        <v>M5VVX2</v>
      </c>
      <c r="D1657" s="2" t="s">
        <v>1616</v>
      </c>
      <c r="E1657" s="3">
        <v>0</v>
      </c>
      <c r="F1657" s="2">
        <v>2695</v>
      </c>
      <c r="G1657" s="2">
        <v>100</v>
      </c>
      <c r="H1657" s="2">
        <v>516</v>
      </c>
      <c r="I1657" s="2">
        <v>379</v>
      </c>
      <c r="J1657" s="2">
        <v>1926</v>
      </c>
      <c r="K1657" s="2">
        <v>1</v>
      </c>
      <c r="L1657" s="2">
        <v>516</v>
      </c>
    </row>
    <row r="1658" spans="1:12" x14ac:dyDescent="0.25">
      <c r="A1658" s="4" t="str">
        <f>HYPERLINK("http://www.rosaceae.org/Prunus/Prunus_persica/p.persica_gdr_reftransV1_0019723","p.persica_gdr_reftransV1_0019723")</f>
        <v>p.persica_gdr_reftransV1_0019723</v>
      </c>
      <c r="B1658" s="2">
        <v>2458</v>
      </c>
      <c r="C1658" s="4" t="str">
        <f>HYPERLINK("http://www.uniprot.org/uniprot/M5WMF5","M5WMF5")</f>
        <v>M5WMF5</v>
      </c>
      <c r="D1658" s="2" t="s">
        <v>1617</v>
      </c>
      <c r="E1658" s="3">
        <v>1.3E-79</v>
      </c>
      <c r="F1658" s="2">
        <v>696</v>
      </c>
      <c r="G1658" s="2">
        <v>97</v>
      </c>
      <c r="H1658" s="2">
        <v>254</v>
      </c>
      <c r="I1658" s="2">
        <v>1331</v>
      </c>
      <c r="J1658" s="2">
        <v>2089</v>
      </c>
      <c r="K1658" s="2">
        <v>1</v>
      </c>
      <c r="L1658" s="2">
        <v>254</v>
      </c>
    </row>
    <row r="1659" spans="1:12" x14ac:dyDescent="0.25">
      <c r="A1659" s="4" t="str">
        <f>HYPERLINK("http://www.rosaceae.org/Prunus/Prunus_persica/p.persica_gdr_reftransV1_0020073","p.persica_gdr_reftransV1_0020073")</f>
        <v>p.persica_gdr_reftransV1_0020073</v>
      </c>
      <c r="B1659" s="2">
        <v>1753</v>
      </c>
      <c r="C1659" s="4" t="str">
        <f>HYPERLINK("http://www.uniprot.org/uniprot/M5WZY9","M5WZY9")</f>
        <v>M5WZY9</v>
      </c>
      <c r="D1659" s="2" t="s">
        <v>1618</v>
      </c>
      <c r="E1659" s="3">
        <v>0</v>
      </c>
      <c r="F1659" s="2">
        <v>1771</v>
      </c>
      <c r="G1659" s="2">
        <v>100</v>
      </c>
      <c r="H1659" s="2">
        <v>364</v>
      </c>
      <c r="I1659" s="2">
        <v>96</v>
      </c>
      <c r="J1659" s="2">
        <v>1187</v>
      </c>
      <c r="K1659" s="2">
        <v>1</v>
      </c>
      <c r="L1659" s="2">
        <v>364</v>
      </c>
    </row>
    <row r="1660" spans="1:12" x14ac:dyDescent="0.25">
      <c r="A1660" s="4" t="str">
        <f>HYPERLINK("http://www.rosaceae.org/Prunus/Prunus_persica/p.persica_gdr_reftransV1_0021473","p.persica_gdr_reftransV1_0021473")</f>
        <v>p.persica_gdr_reftransV1_0021473</v>
      </c>
      <c r="B1660" s="2">
        <v>2208</v>
      </c>
      <c r="C1660" s="4" t="str">
        <f>HYPERLINK("http://www.uniprot.org/uniprot/M5XWR6","M5XWR6")</f>
        <v>M5XWR6</v>
      </c>
      <c r="D1660" s="2" t="s">
        <v>1619</v>
      </c>
      <c r="E1660" s="3">
        <v>0</v>
      </c>
      <c r="F1660" s="2">
        <v>2253</v>
      </c>
      <c r="G1660" s="2">
        <v>100</v>
      </c>
      <c r="H1660" s="2">
        <v>426</v>
      </c>
      <c r="I1660" s="2">
        <v>470</v>
      </c>
      <c r="J1660" s="2">
        <v>1747</v>
      </c>
      <c r="K1660" s="2">
        <v>1</v>
      </c>
      <c r="L1660" s="2">
        <v>426</v>
      </c>
    </row>
    <row r="1661" spans="1:12" x14ac:dyDescent="0.25">
      <c r="A1661" s="4" t="str">
        <f>HYPERLINK("http://www.rosaceae.org/Prunus/Prunus_persica/p.persica_gdr_reftransV1_0021823","p.persica_gdr_reftransV1_0021823")</f>
        <v>p.persica_gdr_reftransV1_0021823</v>
      </c>
      <c r="B1661" s="2">
        <v>2897</v>
      </c>
      <c r="C1661" s="4" t="str">
        <f>HYPERLINK("http://www.uniprot.org/uniprot/M5X1V3","M5X1V3")</f>
        <v>M5X1V3</v>
      </c>
      <c r="D1661" s="2" t="s">
        <v>1620</v>
      </c>
      <c r="E1661" s="3">
        <v>0</v>
      </c>
      <c r="F1661" s="2">
        <v>1811</v>
      </c>
      <c r="G1661" s="2">
        <v>100</v>
      </c>
      <c r="H1661" s="2">
        <v>339</v>
      </c>
      <c r="I1661" s="2">
        <v>1722</v>
      </c>
      <c r="J1661" s="2">
        <v>2738</v>
      </c>
      <c r="K1661" s="2">
        <v>4</v>
      </c>
      <c r="L1661" s="2">
        <v>342</v>
      </c>
    </row>
    <row r="1662" spans="1:12" x14ac:dyDescent="0.25">
      <c r="A1662" s="4" t="str">
        <f>HYPERLINK("http://www.rosaceae.org/Prunus/Prunus_persica/p.persica_gdr_reftransV1_0022523","p.persica_gdr_reftransV1_0022523")</f>
        <v>p.persica_gdr_reftransV1_0022523</v>
      </c>
      <c r="B1662" s="2">
        <v>2160</v>
      </c>
      <c r="C1662" s="4" t="str">
        <f>HYPERLINK("http://www.uniprot.org/uniprot/M5W4M8","M5W4M8")</f>
        <v>M5W4M8</v>
      </c>
      <c r="D1662" s="2" t="s">
        <v>1621</v>
      </c>
      <c r="E1662" s="3">
        <v>1.6700000000000001E-45</v>
      </c>
      <c r="F1662" s="2">
        <v>423</v>
      </c>
      <c r="G1662" s="2">
        <v>100</v>
      </c>
      <c r="H1662" s="2">
        <v>76</v>
      </c>
      <c r="I1662" s="2">
        <v>193</v>
      </c>
      <c r="J1662" s="2">
        <v>420</v>
      </c>
      <c r="K1662" s="2">
        <v>12</v>
      </c>
      <c r="L1662" s="2">
        <v>87</v>
      </c>
    </row>
    <row r="1663" spans="1:12" x14ac:dyDescent="0.25">
      <c r="A1663" s="4" t="str">
        <f>HYPERLINK("http://www.rosaceae.org/Prunus/Prunus_persica/p.persica_gdr_reftransV1_0023223","p.persica_gdr_reftransV1_0023223")</f>
        <v>p.persica_gdr_reftransV1_0023223</v>
      </c>
      <c r="B1663" s="2">
        <v>1514</v>
      </c>
      <c r="C1663" s="4" t="str">
        <f>HYPERLINK("http://www.uniprot.org/uniprot/M5XGB0","M5XGB0")</f>
        <v>M5XGB0</v>
      </c>
      <c r="D1663" s="2" t="s">
        <v>1622</v>
      </c>
      <c r="E1663" s="3">
        <v>1.89E-171</v>
      </c>
      <c r="F1663" s="2">
        <v>1279</v>
      </c>
      <c r="G1663" s="2">
        <v>100</v>
      </c>
      <c r="H1663" s="2">
        <v>252</v>
      </c>
      <c r="I1663" s="2">
        <v>696</v>
      </c>
      <c r="J1663" s="2">
        <v>1451</v>
      </c>
      <c r="K1663" s="2">
        <v>1</v>
      </c>
      <c r="L1663" s="2">
        <v>252</v>
      </c>
    </row>
    <row r="1664" spans="1:12" x14ac:dyDescent="0.25">
      <c r="A1664" s="4" t="str">
        <f>HYPERLINK("http://www.rosaceae.org/Prunus/Prunus_persica/p.persica_gdr_reftransV1_0024273","p.persica_gdr_reftransV1_0024273")</f>
        <v>p.persica_gdr_reftransV1_0024273</v>
      </c>
      <c r="B1664" s="2">
        <v>3861</v>
      </c>
      <c r="C1664" s="4" t="str">
        <f>HYPERLINK("http://www.uniprot.org/uniprot/M5XDM4","M5XDM4")</f>
        <v>M5XDM4</v>
      </c>
      <c r="D1664" s="2" t="s">
        <v>1623</v>
      </c>
      <c r="E1664" s="3">
        <v>0</v>
      </c>
      <c r="F1664" s="2">
        <v>2114</v>
      </c>
      <c r="G1664" s="2">
        <v>100</v>
      </c>
      <c r="H1664" s="2">
        <v>392</v>
      </c>
      <c r="I1664" s="2">
        <v>471</v>
      </c>
      <c r="J1664" s="2">
        <v>1646</v>
      </c>
      <c r="K1664" s="2">
        <v>1</v>
      </c>
      <c r="L1664" s="2">
        <v>392</v>
      </c>
    </row>
    <row r="1665" spans="1:12" x14ac:dyDescent="0.25">
      <c r="A1665" s="4" t="str">
        <f>HYPERLINK("http://www.rosaceae.org/Prunus/Prunus_persica/p.persica_gdr_reftransV1_0024973","p.persica_gdr_reftransV1_0024973")</f>
        <v>p.persica_gdr_reftransV1_0024973</v>
      </c>
      <c r="B1665" s="2">
        <v>727</v>
      </c>
      <c r="C1665" s="4" t="str">
        <f>HYPERLINK("http://www.uniprot.org/uniprot/M5XLJ7","M5XLJ7")</f>
        <v>M5XLJ7</v>
      </c>
      <c r="D1665" s="2" t="s">
        <v>1624</v>
      </c>
      <c r="E1665" s="3">
        <v>4.3499999999999999E-124</v>
      </c>
      <c r="F1665" s="2">
        <v>1006</v>
      </c>
      <c r="G1665" s="2">
        <v>98</v>
      </c>
      <c r="H1665" s="2">
        <v>231</v>
      </c>
      <c r="I1665" s="2">
        <v>35</v>
      </c>
      <c r="J1665" s="2">
        <v>727</v>
      </c>
      <c r="K1665" s="2">
        <v>1</v>
      </c>
      <c r="L1665" s="2">
        <v>229</v>
      </c>
    </row>
    <row r="1666" spans="1:12" x14ac:dyDescent="0.25">
      <c r="A1666" s="4" t="str">
        <f>HYPERLINK("http://www.rosaceae.org/Prunus/Prunus_persica/p.persica_gdr_reftransV1_0025673","p.persica_gdr_reftransV1_0025673")</f>
        <v>p.persica_gdr_reftransV1_0025673</v>
      </c>
      <c r="B1666" s="2">
        <v>1521</v>
      </c>
      <c r="C1666" s="4" t="str">
        <f>HYPERLINK("http://www.uniprot.org/uniprot/M5WUM0","M5WUM0")</f>
        <v>M5WUM0</v>
      </c>
      <c r="D1666" s="2" t="s">
        <v>1625</v>
      </c>
      <c r="E1666" s="3">
        <v>0</v>
      </c>
      <c r="F1666" s="2">
        <v>1454</v>
      </c>
      <c r="G1666" s="2">
        <v>87</v>
      </c>
      <c r="H1666" s="2">
        <v>347</v>
      </c>
      <c r="I1666" s="2">
        <v>116</v>
      </c>
      <c r="J1666" s="2">
        <v>1156</v>
      </c>
      <c r="K1666" s="2">
        <v>1</v>
      </c>
      <c r="L1666" s="2">
        <v>303</v>
      </c>
    </row>
    <row r="1667" spans="1:12" x14ac:dyDescent="0.25">
      <c r="A1667" s="4" t="str">
        <f>HYPERLINK("http://www.rosaceae.org/Prunus/Prunus_persica/p.persica_gdr_reftransV1_0026023","p.persica_gdr_reftransV1_0026023")</f>
        <v>p.persica_gdr_reftransV1_0026023</v>
      </c>
      <c r="B1667" s="2">
        <v>1057</v>
      </c>
      <c r="C1667" s="4" t="str">
        <f>HYPERLINK("http://www.uniprot.org/uniprot/M5XGM1","M5XGM1")</f>
        <v>M5XGM1</v>
      </c>
      <c r="D1667" s="2" t="s">
        <v>1626</v>
      </c>
      <c r="E1667" s="3">
        <v>7.7300000000000004E-115</v>
      </c>
      <c r="F1667" s="2">
        <v>882</v>
      </c>
      <c r="G1667" s="2">
        <v>87</v>
      </c>
      <c r="H1667" s="2">
        <v>220</v>
      </c>
      <c r="I1667" s="2">
        <v>250</v>
      </c>
      <c r="J1667" s="2">
        <v>909</v>
      </c>
      <c r="K1667" s="2">
        <v>1</v>
      </c>
      <c r="L1667" s="2">
        <v>215</v>
      </c>
    </row>
    <row r="1668" spans="1:12" x14ac:dyDescent="0.25">
      <c r="A1668" s="4" t="str">
        <f>HYPERLINK("http://www.rosaceae.org/Prunus/Prunus_persica/p.persica_gdr_reftransV1_0027773","p.persica_gdr_reftransV1_0027773")</f>
        <v>p.persica_gdr_reftransV1_0027773</v>
      </c>
      <c r="B1668" s="2">
        <v>1297</v>
      </c>
      <c r="C1668" s="4" t="str">
        <f>HYPERLINK("http://www.uniprot.org/uniprot/M5WA39","M5WA39")</f>
        <v>M5WA39</v>
      </c>
      <c r="D1668" s="2" t="s">
        <v>1627</v>
      </c>
      <c r="E1668" s="3">
        <v>1.0699999999999999E-160</v>
      </c>
      <c r="F1668" s="2">
        <v>1201</v>
      </c>
      <c r="G1668" s="2">
        <v>100</v>
      </c>
      <c r="H1668" s="2">
        <v>295</v>
      </c>
      <c r="I1668" s="2">
        <v>52</v>
      </c>
      <c r="J1668" s="2">
        <v>936</v>
      </c>
      <c r="K1668" s="2">
        <v>1</v>
      </c>
      <c r="L1668" s="2">
        <v>295</v>
      </c>
    </row>
    <row r="1669" spans="1:12" x14ac:dyDescent="0.25">
      <c r="A1669" s="4" t="str">
        <f>HYPERLINK("http://www.rosaceae.org/Prunus/Prunus_persica/p.persica_gdr_reftransV1_0028823","p.persica_gdr_reftransV1_0028823")</f>
        <v>p.persica_gdr_reftransV1_0028823</v>
      </c>
      <c r="B1669" s="2">
        <v>2714</v>
      </c>
      <c r="C1669" s="4" t="str">
        <f>HYPERLINK("http://www.uniprot.org/uniprot/M5X2U4","M5X2U4")</f>
        <v>M5X2U4</v>
      </c>
      <c r="D1669" s="2" t="s">
        <v>1628</v>
      </c>
      <c r="E1669" s="3">
        <v>1.9900000000000001E-19</v>
      </c>
      <c r="F1669" s="2">
        <v>240</v>
      </c>
      <c r="G1669" s="2">
        <v>98</v>
      </c>
      <c r="H1669" s="2">
        <v>46</v>
      </c>
      <c r="I1669" s="2">
        <v>372</v>
      </c>
      <c r="J1669" s="2">
        <v>509</v>
      </c>
      <c r="K1669" s="2">
        <v>108</v>
      </c>
      <c r="L1669" s="2">
        <v>153</v>
      </c>
    </row>
    <row r="1670" spans="1:12" x14ac:dyDescent="0.25">
      <c r="A1670" s="4" t="str">
        <f>HYPERLINK("http://www.rosaceae.org/Prunus/Prunus_persica/p.persica_gdr_reftransV1_0029173","p.persica_gdr_reftransV1_0029173")</f>
        <v>p.persica_gdr_reftransV1_0029173</v>
      </c>
      <c r="B1670" s="2">
        <v>1461</v>
      </c>
      <c r="C1670" s="4" t="str">
        <f>HYPERLINK("http://www.uniprot.org/uniprot/M5WIP7","M5WIP7")</f>
        <v>M5WIP7</v>
      </c>
      <c r="D1670" s="2" t="s">
        <v>1629</v>
      </c>
      <c r="E1670" s="3">
        <v>0</v>
      </c>
      <c r="F1670" s="2">
        <v>1237</v>
      </c>
      <c r="G1670" s="2">
        <v>100</v>
      </c>
      <c r="H1670" s="2">
        <v>234</v>
      </c>
      <c r="I1670" s="2">
        <v>744</v>
      </c>
      <c r="J1670" s="2">
        <v>1445</v>
      </c>
      <c r="K1670" s="2">
        <v>1</v>
      </c>
      <c r="L1670" s="2">
        <v>234</v>
      </c>
    </row>
    <row r="1671" spans="1:12" x14ac:dyDescent="0.25">
      <c r="A1671" s="4" t="str">
        <f>HYPERLINK("http://www.rosaceae.org/Prunus/Prunus_persica/p.persica_gdr_reftransV1_0030923","p.persica_gdr_reftransV1_0030923")</f>
        <v>p.persica_gdr_reftransV1_0030923</v>
      </c>
      <c r="B1671" s="2">
        <v>3617</v>
      </c>
      <c r="C1671" s="4" t="str">
        <f>HYPERLINK("http://www.uniprot.org/uniprot/M5XFJ1","M5XFJ1")</f>
        <v>M5XFJ1</v>
      </c>
      <c r="D1671" s="2" t="s">
        <v>1630</v>
      </c>
      <c r="E1671" s="3">
        <v>0</v>
      </c>
      <c r="F1671" s="2">
        <v>2470</v>
      </c>
      <c r="G1671" s="2">
        <v>100</v>
      </c>
      <c r="H1671" s="2">
        <v>464</v>
      </c>
      <c r="I1671" s="2">
        <v>50</v>
      </c>
      <c r="J1671" s="2">
        <v>1441</v>
      </c>
      <c r="K1671" s="2">
        <v>1</v>
      </c>
      <c r="L1671" s="2">
        <v>464</v>
      </c>
    </row>
    <row r="1672" spans="1:12" x14ac:dyDescent="0.25">
      <c r="A1672" s="4" t="str">
        <f>HYPERLINK("http://www.rosaceae.org/Prunus/Prunus_persica/p.persica_gdr_reftransV1_0034073","p.persica_gdr_reftransV1_0034073")</f>
        <v>p.persica_gdr_reftransV1_0034073</v>
      </c>
      <c r="B1672" s="2">
        <v>784</v>
      </c>
      <c r="C1672" s="4" t="str">
        <f>HYPERLINK("http://www.uniprot.org/uniprot/M5XZ20","M5XZ20")</f>
        <v>M5XZ20</v>
      </c>
      <c r="D1672" s="2" t="s">
        <v>1631</v>
      </c>
      <c r="E1672" s="3">
        <v>2.12E-55</v>
      </c>
      <c r="F1672" s="2">
        <v>475</v>
      </c>
      <c r="G1672" s="2">
        <v>100</v>
      </c>
      <c r="H1672" s="2">
        <v>91</v>
      </c>
      <c r="I1672" s="2">
        <v>17</v>
      </c>
      <c r="J1672" s="2">
        <v>289</v>
      </c>
      <c r="K1672" s="2">
        <v>37</v>
      </c>
      <c r="L1672" s="2">
        <v>127</v>
      </c>
    </row>
    <row r="1673" spans="1:12" x14ac:dyDescent="0.25">
      <c r="A1673" s="4" t="str">
        <f>HYPERLINK("http://www.rosaceae.org/Prunus/Prunus_persica/p.persica_gdr_reftransV1_0035473","p.persica_gdr_reftransV1_0035473")</f>
        <v>p.persica_gdr_reftransV1_0035473</v>
      </c>
      <c r="B1673" s="2">
        <v>1173</v>
      </c>
      <c r="C1673" s="4" t="str">
        <f>HYPERLINK("http://www.uniprot.org/uniprot/M5WHI4","M5WHI4")</f>
        <v>M5WHI4</v>
      </c>
      <c r="D1673" s="2" t="s">
        <v>1632</v>
      </c>
      <c r="E1673" s="3">
        <v>9.7699999999999998E-126</v>
      </c>
      <c r="F1673" s="2">
        <v>960</v>
      </c>
      <c r="G1673" s="2">
        <v>99</v>
      </c>
      <c r="H1673" s="2">
        <v>201</v>
      </c>
      <c r="I1673" s="2">
        <v>437</v>
      </c>
      <c r="J1673" s="2">
        <v>1039</v>
      </c>
      <c r="K1673" s="2">
        <v>1</v>
      </c>
      <c r="L1673" s="2">
        <v>201</v>
      </c>
    </row>
    <row r="1674" spans="1:12" x14ac:dyDescent="0.25">
      <c r="A1674" s="4" t="str">
        <f>HYPERLINK("http://www.rosaceae.org/Prunus/Prunus_persica/p.persica_gdr_reftransV1_0038273","p.persica_gdr_reftransV1_0038273")</f>
        <v>p.persica_gdr_reftransV1_0038273</v>
      </c>
      <c r="B1674" s="2">
        <v>2689</v>
      </c>
      <c r="C1674" s="4" t="str">
        <f>HYPERLINK("http://www.uniprot.org/uniprot/M5WWU0","M5WWU0")</f>
        <v>M5WWU0</v>
      </c>
      <c r="D1674" s="2" t="s">
        <v>191</v>
      </c>
      <c r="E1674" s="3">
        <v>0</v>
      </c>
      <c r="F1674" s="2">
        <v>4305</v>
      </c>
      <c r="G1674" s="2">
        <v>100</v>
      </c>
      <c r="H1674" s="2">
        <v>836</v>
      </c>
      <c r="I1674" s="2">
        <v>182</v>
      </c>
      <c r="J1674" s="2">
        <v>2689</v>
      </c>
      <c r="K1674" s="2">
        <v>132</v>
      </c>
      <c r="L1674" s="2">
        <v>967</v>
      </c>
    </row>
    <row r="1675" spans="1:12" x14ac:dyDescent="0.25">
      <c r="A1675" s="4" t="str">
        <f>HYPERLINK("http://www.rosaceae.org/Prunus/Prunus_persica/p.persica_gdr_reftransV1_0038973","p.persica_gdr_reftransV1_0038973")</f>
        <v>p.persica_gdr_reftransV1_0038973</v>
      </c>
      <c r="B1675" s="2">
        <v>1791</v>
      </c>
      <c r="C1675" s="4" t="str">
        <f>HYPERLINK("http://www.uniprot.org/uniprot/M5WFG1","M5WFG1")</f>
        <v>M5WFG1</v>
      </c>
      <c r="D1675" s="2" t="s">
        <v>1633</v>
      </c>
      <c r="E1675" s="3">
        <v>0</v>
      </c>
      <c r="F1675" s="2">
        <v>1197</v>
      </c>
      <c r="G1675" s="2">
        <v>100</v>
      </c>
      <c r="H1675" s="2">
        <v>224</v>
      </c>
      <c r="I1675" s="2">
        <v>851</v>
      </c>
      <c r="J1675" s="2">
        <v>1522</v>
      </c>
      <c r="K1675" s="2">
        <v>31</v>
      </c>
      <c r="L1675" s="2">
        <v>254</v>
      </c>
    </row>
    <row r="1676" spans="1:12" x14ac:dyDescent="0.25">
      <c r="A1676" s="4" t="str">
        <f>HYPERLINK("http://www.rosaceae.org/Prunus/Prunus_persica/p.persica_gdr_reftransV1_0040373","p.persica_gdr_reftransV1_0040373")</f>
        <v>p.persica_gdr_reftransV1_0040373</v>
      </c>
      <c r="B1676" s="2">
        <v>1158</v>
      </c>
      <c r="C1676" s="4" t="str">
        <f>HYPERLINK("http://www.uniprot.org/uniprot/M5VR48","M5VR48")</f>
        <v>M5VR48</v>
      </c>
      <c r="D1676" s="2" t="s">
        <v>1634</v>
      </c>
      <c r="E1676" s="3">
        <v>1.5500000000000001E-103</v>
      </c>
      <c r="F1676" s="2">
        <v>810</v>
      </c>
      <c r="G1676" s="2">
        <v>100</v>
      </c>
      <c r="H1676" s="2">
        <v>194</v>
      </c>
      <c r="I1676" s="2">
        <v>46</v>
      </c>
      <c r="J1676" s="2">
        <v>627</v>
      </c>
      <c r="K1676" s="2">
        <v>1</v>
      </c>
      <c r="L1676" s="2">
        <v>194</v>
      </c>
    </row>
    <row r="1677" spans="1:12" x14ac:dyDescent="0.25">
      <c r="A1677" s="4" t="str">
        <f>HYPERLINK("http://www.rosaceae.org/Prunus/Prunus_persica/p.persica_gdr_reftransV1_0042823","p.persica_gdr_reftransV1_0042823")</f>
        <v>p.persica_gdr_reftransV1_0042823</v>
      </c>
      <c r="B1677" s="2">
        <v>957</v>
      </c>
      <c r="C1677" s="4" t="str">
        <f>HYPERLINK("http://www.uniprot.org/uniprot/M5WT45","M5WT45")</f>
        <v>M5WT45</v>
      </c>
      <c r="D1677" s="2" t="s">
        <v>1635</v>
      </c>
      <c r="E1677" s="3">
        <v>4.38E-127</v>
      </c>
      <c r="F1677" s="2">
        <v>970</v>
      </c>
      <c r="G1677" s="2">
        <v>99</v>
      </c>
      <c r="H1677" s="2">
        <v>196</v>
      </c>
      <c r="I1677" s="2">
        <v>239</v>
      </c>
      <c r="J1677" s="2">
        <v>826</v>
      </c>
      <c r="K1677" s="2">
        <v>128</v>
      </c>
      <c r="L1677" s="2">
        <v>323</v>
      </c>
    </row>
    <row r="1678" spans="1:12" x14ac:dyDescent="0.25">
      <c r="A1678" s="4" t="str">
        <f>HYPERLINK("http://www.rosaceae.org/Prunus/Prunus_persica/p.persica_gdr_reftransV1_0043173","p.persica_gdr_reftransV1_0043173")</f>
        <v>p.persica_gdr_reftransV1_0043173</v>
      </c>
      <c r="B1678" s="2">
        <v>1092</v>
      </c>
      <c r="C1678" s="4" t="str">
        <f>HYPERLINK("http://www.uniprot.org/uniprot/M5Y6N9","M5Y6N9")</f>
        <v>M5Y6N9</v>
      </c>
      <c r="D1678" s="2" t="s">
        <v>1636</v>
      </c>
      <c r="E1678" s="3">
        <v>3.4200000000000001E-96</v>
      </c>
      <c r="F1678" s="2">
        <v>755</v>
      </c>
      <c r="G1678" s="2">
        <v>100</v>
      </c>
      <c r="H1678" s="2">
        <v>167</v>
      </c>
      <c r="I1678" s="2">
        <v>370</v>
      </c>
      <c r="J1678" s="2">
        <v>870</v>
      </c>
      <c r="K1678" s="2">
        <v>1</v>
      </c>
      <c r="L1678" s="2">
        <v>167</v>
      </c>
    </row>
    <row r="1679" spans="1:12" x14ac:dyDescent="0.25">
      <c r="A1679" s="4" t="str">
        <f>HYPERLINK("http://www.rosaceae.org/Prunus/Prunus_persica/p.persica_gdr_reftransV1_0043523","p.persica_gdr_reftransV1_0043523")</f>
        <v>p.persica_gdr_reftransV1_0043523</v>
      </c>
      <c r="B1679" s="2">
        <v>1195</v>
      </c>
      <c r="C1679" s="4" t="str">
        <f>HYPERLINK("http://www.uniprot.org/uniprot/M5VLN1","M5VLN1")</f>
        <v>M5VLN1</v>
      </c>
      <c r="D1679" s="2" t="s">
        <v>1637</v>
      </c>
      <c r="E1679" s="3">
        <v>0</v>
      </c>
      <c r="F1679" s="2">
        <v>1531</v>
      </c>
      <c r="G1679" s="2">
        <v>100</v>
      </c>
      <c r="H1679" s="2">
        <v>345</v>
      </c>
      <c r="I1679" s="2">
        <v>159</v>
      </c>
      <c r="J1679" s="2">
        <v>1193</v>
      </c>
      <c r="K1679" s="2">
        <v>13</v>
      </c>
      <c r="L1679" s="2">
        <v>357</v>
      </c>
    </row>
    <row r="1680" spans="1:12" x14ac:dyDescent="0.25">
      <c r="A1680" s="4" t="str">
        <f>HYPERLINK("http://www.rosaceae.org/Prunus/Prunus_persica/p.persica_gdr_reftransV1_0043873","p.persica_gdr_reftransV1_0043873")</f>
        <v>p.persica_gdr_reftransV1_0043873</v>
      </c>
      <c r="B1680" s="2">
        <v>470</v>
      </c>
      <c r="C1680" s="4" t="str">
        <f>HYPERLINK("http://www.uniprot.org/uniprot/M5WVU1","M5WVU1")</f>
        <v>M5WVU1</v>
      </c>
      <c r="D1680" s="2" t="s">
        <v>1638</v>
      </c>
      <c r="E1680" s="3">
        <v>1.5499999999999999E-51</v>
      </c>
      <c r="F1680" s="2">
        <v>431</v>
      </c>
      <c r="G1680" s="2">
        <v>100</v>
      </c>
      <c r="H1680" s="2">
        <v>84</v>
      </c>
      <c r="I1680" s="2">
        <v>149</v>
      </c>
      <c r="J1680" s="2">
        <v>400</v>
      </c>
      <c r="K1680" s="2">
        <v>1</v>
      </c>
      <c r="L1680" s="2">
        <v>84</v>
      </c>
    </row>
    <row r="1681" spans="1:12" x14ac:dyDescent="0.25">
      <c r="A1681" s="4" t="str">
        <f>HYPERLINK("http://www.rosaceae.org/Prunus/Prunus_persica/p.persica_gdr_reftransV1_0044223","p.persica_gdr_reftransV1_0044223")</f>
        <v>p.persica_gdr_reftransV1_0044223</v>
      </c>
      <c r="B1681" s="2">
        <v>1738</v>
      </c>
      <c r="C1681" s="4" t="str">
        <f>HYPERLINK("http://www.uniprot.org/uniprot/M5WQH6","M5WQH6")</f>
        <v>M5WQH6</v>
      </c>
      <c r="D1681" s="2" t="s">
        <v>1639</v>
      </c>
      <c r="E1681" s="3">
        <v>0</v>
      </c>
      <c r="F1681" s="2">
        <v>2481</v>
      </c>
      <c r="G1681" s="2">
        <v>100</v>
      </c>
      <c r="H1681" s="2">
        <v>500</v>
      </c>
      <c r="I1681" s="2">
        <v>3</v>
      </c>
      <c r="J1681" s="2">
        <v>1502</v>
      </c>
      <c r="K1681" s="2">
        <v>312</v>
      </c>
      <c r="L1681" s="2">
        <v>811</v>
      </c>
    </row>
    <row r="1682" spans="1:12" x14ac:dyDescent="0.25">
      <c r="A1682" s="4" t="str">
        <f>HYPERLINK("http://www.rosaceae.org/Prunus/Prunus_persica/p.persica_gdr_reftransV1_0044923","p.persica_gdr_reftransV1_0044923")</f>
        <v>p.persica_gdr_reftransV1_0044923</v>
      </c>
      <c r="B1682" s="2">
        <v>1745</v>
      </c>
      <c r="C1682" s="4" t="str">
        <f>HYPERLINK("http://www.uniprot.org/uniprot/M5XQS1","M5XQS1")</f>
        <v>M5XQS1</v>
      </c>
      <c r="D1682" s="2" t="s">
        <v>1640</v>
      </c>
      <c r="E1682" s="3">
        <v>0</v>
      </c>
      <c r="F1682" s="2">
        <v>2270</v>
      </c>
      <c r="G1682" s="2">
        <v>100</v>
      </c>
      <c r="H1682" s="2">
        <v>417</v>
      </c>
      <c r="I1682" s="2">
        <v>289</v>
      </c>
      <c r="J1682" s="2">
        <v>1539</v>
      </c>
      <c r="K1682" s="2">
        <v>1</v>
      </c>
      <c r="L1682" s="2">
        <v>417</v>
      </c>
    </row>
    <row r="1683" spans="1:12" x14ac:dyDescent="0.25">
      <c r="A1683" s="4" t="str">
        <f>HYPERLINK("http://www.rosaceae.org/Prunus/Prunus_persica/p.persica_gdr_reftransV1_0045273","p.persica_gdr_reftransV1_0045273")</f>
        <v>p.persica_gdr_reftransV1_0045273</v>
      </c>
      <c r="B1683" s="2">
        <v>759</v>
      </c>
      <c r="C1683" s="4" t="str">
        <f>HYPERLINK("http://www.uniprot.org/uniprot/M5VRA8","M5VRA8")</f>
        <v>M5VRA8</v>
      </c>
      <c r="D1683" s="2" t="s">
        <v>1641</v>
      </c>
      <c r="E1683" s="3">
        <v>1.4799999999999999E-80</v>
      </c>
      <c r="F1683" s="2">
        <v>641</v>
      </c>
      <c r="G1683" s="2">
        <v>100</v>
      </c>
      <c r="H1683" s="2">
        <v>147</v>
      </c>
      <c r="I1683" s="2">
        <v>125</v>
      </c>
      <c r="J1683" s="2">
        <v>565</v>
      </c>
      <c r="K1683" s="2">
        <v>32</v>
      </c>
      <c r="L1683" s="2">
        <v>178</v>
      </c>
    </row>
    <row r="1684" spans="1:12" x14ac:dyDescent="0.25">
      <c r="A1684" s="4" t="str">
        <f>HYPERLINK("http://www.rosaceae.org/Prunus/Prunus_persica/p.persica_gdr_reftransV1_0045973","p.persica_gdr_reftransV1_0045973")</f>
        <v>p.persica_gdr_reftransV1_0045973</v>
      </c>
      <c r="B1684" s="2">
        <v>895</v>
      </c>
      <c r="C1684" s="4" t="str">
        <f>HYPERLINK("http://www.uniprot.org/uniprot/M5WZC7","M5WZC7")</f>
        <v>M5WZC7</v>
      </c>
      <c r="D1684" s="2" t="s">
        <v>1642</v>
      </c>
      <c r="E1684" s="3">
        <v>1.06E-78</v>
      </c>
      <c r="F1684" s="2">
        <v>632</v>
      </c>
      <c r="G1684" s="2">
        <v>100</v>
      </c>
      <c r="H1684" s="2">
        <v>162</v>
      </c>
      <c r="I1684" s="2">
        <v>286</v>
      </c>
      <c r="J1684" s="2">
        <v>771</v>
      </c>
      <c r="K1684" s="2">
        <v>1</v>
      </c>
      <c r="L1684" s="2">
        <v>162</v>
      </c>
    </row>
    <row r="1685" spans="1:12" x14ac:dyDescent="0.25">
      <c r="A1685" s="4" t="str">
        <f>HYPERLINK("http://www.rosaceae.org/Prunus/Prunus_persica/p.persica_gdr_reftransV1_0046323","p.persica_gdr_reftransV1_0046323")</f>
        <v>p.persica_gdr_reftransV1_0046323</v>
      </c>
      <c r="B1685" s="2">
        <v>2592</v>
      </c>
      <c r="C1685" s="4" t="str">
        <f>HYPERLINK("http://www.uniprot.org/uniprot/M5WYH5","M5WYH5")</f>
        <v>M5WYH5</v>
      </c>
      <c r="D1685" s="2" t="s">
        <v>1643</v>
      </c>
      <c r="E1685" s="3">
        <v>0</v>
      </c>
      <c r="F1685" s="2">
        <v>2637</v>
      </c>
      <c r="G1685" s="2">
        <v>100</v>
      </c>
      <c r="H1685" s="2">
        <v>652</v>
      </c>
      <c r="I1685" s="2">
        <v>372</v>
      </c>
      <c r="J1685" s="2">
        <v>2327</v>
      </c>
      <c r="K1685" s="2">
        <v>332</v>
      </c>
      <c r="L1685" s="2">
        <v>983</v>
      </c>
    </row>
    <row r="1686" spans="1:12" x14ac:dyDescent="0.25">
      <c r="A1686" s="4" t="str">
        <f>HYPERLINK("http://www.rosaceae.org/Prunus/Prunus_persica/p.persica_gdr_reftransV1_0046673","p.persica_gdr_reftransV1_0046673")</f>
        <v>p.persica_gdr_reftransV1_0046673</v>
      </c>
      <c r="B1686" s="2">
        <v>309</v>
      </c>
      <c r="C1686" s="4" t="str">
        <f>HYPERLINK("http://www.uniprot.org/uniprot/M5XCB4","M5XCB4")</f>
        <v>M5XCB4</v>
      </c>
      <c r="D1686" s="2" t="s">
        <v>1644</v>
      </c>
      <c r="E1686" s="3">
        <v>3.0000000000000001E-45</v>
      </c>
      <c r="F1686" s="2">
        <v>405</v>
      </c>
      <c r="G1686" s="2">
        <v>100</v>
      </c>
      <c r="H1686" s="2">
        <v>103</v>
      </c>
      <c r="I1686" s="2">
        <v>1</v>
      </c>
      <c r="J1686" s="2">
        <v>309</v>
      </c>
      <c r="K1686" s="2">
        <v>35</v>
      </c>
      <c r="L1686" s="2">
        <v>137</v>
      </c>
    </row>
    <row r="1687" spans="1:12" x14ac:dyDescent="0.25">
      <c r="A1687" s="4" t="str">
        <f>HYPERLINK("http://www.rosaceae.org/Prunus/Prunus_persica/p.persica_gdr_reftransV1_0047373","p.persica_gdr_reftransV1_0047373")</f>
        <v>p.persica_gdr_reftransV1_0047373</v>
      </c>
      <c r="B1687" s="2">
        <v>2624</v>
      </c>
      <c r="C1687" s="4" t="str">
        <f>HYPERLINK("http://www.uniprot.org/uniprot/M5XCA3","M5XCA3")</f>
        <v>M5XCA3</v>
      </c>
      <c r="D1687" s="2" t="s">
        <v>1645</v>
      </c>
      <c r="E1687" s="3">
        <v>0</v>
      </c>
      <c r="F1687" s="2">
        <v>2179</v>
      </c>
      <c r="G1687" s="2">
        <v>100</v>
      </c>
      <c r="H1687" s="2">
        <v>504</v>
      </c>
      <c r="I1687" s="2">
        <v>77</v>
      </c>
      <c r="J1687" s="2">
        <v>1588</v>
      </c>
      <c r="K1687" s="2">
        <v>1</v>
      </c>
      <c r="L1687" s="2">
        <v>504</v>
      </c>
    </row>
    <row r="1688" spans="1:12" x14ac:dyDescent="0.25">
      <c r="A1688" s="4" t="str">
        <f>HYPERLINK("http://www.rosaceae.org/Prunus/Prunus_persica/p.persica_gdr_reftransV1_0047723","p.persica_gdr_reftransV1_0047723")</f>
        <v>p.persica_gdr_reftransV1_0047723</v>
      </c>
      <c r="B1688" s="2">
        <v>532</v>
      </c>
      <c r="C1688" s="4" t="str">
        <f>HYPERLINK("http://www.uniprot.org/uniprot/M5XZ26","M5XZ26")</f>
        <v>M5XZ26</v>
      </c>
      <c r="D1688" s="2" t="s">
        <v>1646</v>
      </c>
      <c r="E1688" s="3">
        <v>2.4900000000000001E-70</v>
      </c>
      <c r="F1688" s="2">
        <v>559</v>
      </c>
      <c r="G1688" s="2">
        <v>100</v>
      </c>
      <c r="H1688" s="2">
        <v>105</v>
      </c>
      <c r="I1688" s="2">
        <v>31</v>
      </c>
      <c r="J1688" s="2">
        <v>345</v>
      </c>
      <c r="K1688" s="2">
        <v>1</v>
      </c>
      <c r="L1688" s="2">
        <v>105</v>
      </c>
    </row>
    <row r="1689" spans="1:12" x14ac:dyDescent="0.25">
      <c r="A1689" s="4" t="str">
        <f>HYPERLINK("http://www.rosaceae.org/Prunus/Prunus_persica/p.persica_gdr_reftransV1_0048073","p.persica_gdr_reftransV1_0048073")</f>
        <v>p.persica_gdr_reftransV1_0048073</v>
      </c>
      <c r="B1689" s="2">
        <v>3304</v>
      </c>
      <c r="C1689" s="4" t="str">
        <f>HYPERLINK("http://www.uniprot.org/uniprot/M5W8A7","M5W8A7")</f>
        <v>M5W8A7</v>
      </c>
      <c r="D1689" s="2" t="s">
        <v>1647</v>
      </c>
      <c r="E1689" s="3">
        <v>0</v>
      </c>
      <c r="F1689" s="2">
        <v>4590</v>
      </c>
      <c r="G1689" s="2">
        <v>96</v>
      </c>
      <c r="H1689" s="2">
        <v>906</v>
      </c>
      <c r="I1689" s="2">
        <v>391</v>
      </c>
      <c r="J1689" s="2">
        <v>3108</v>
      </c>
      <c r="K1689" s="2">
        <v>1</v>
      </c>
      <c r="L1689" s="2">
        <v>875</v>
      </c>
    </row>
    <row r="1690" spans="1:12" x14ac:dyDescent="0.25">
      <c r="A1690" s="4" t="str">
        <f>HYPERLINK("http://www.rosaceae.org/Prunus/Prunus_persica/p.persica_gdr_reftransV1_0048773","p.persica_gdr_reftransV1_0048773")</f>
        <v>p.persica_gdr_reftransV1_0048773</v>
      </c>
      <c r="B1690" s="2">
        <v>860</v>
      </c>
      <c r="C1690" s="4" t="str">
        <f>HYPERLINK("http://www.uniprot.org/uniprot/M5WEP4","M5WEP4")</f>
        <v>M5WEP4</v>
      </c>
      <c r="D1690" s="2" t="s">
        <v>1648</v>
      </c>
      <c r="E1690" s="3">
        <v>1.8299999999999999E-122</v>
      </c>
      <c r="F1690" s="2">
        <v>938</v>
      </c>
      <c r="G1690" s="2">
        <v>100</v>
      </c>
      <c r="H1690" s="2">
        <v>221</v>
      </c>
      <c r="I1690" s="2">
        <v>3</v>
      </c>
      <c r="J1690" s="2">
        <v>665</v>
      </c>
      <c r="K1690" s="2">
        <v>116</v>
      </c>
      <c r="L1690" s="2">
        <v>336</v>
      </c>
    </row>
    <row r="1691" spans="1:12" x14ac:dyDescent="0.25">
      <c r="A1691" s="4" t="str">
        <f>HYPERLINK("http://www.rosaceae.org/Prunus/Prunus_persica/p.persica_gdr_reftransV1_0049123","p.persica_gdr_reftransV1_0049123")</f>
        <v>p.persica_gdr_reftransV1_0049123</v>
      </c>
      <c r="B1691" s="2">
        <v>1075</v>
      </c>
      <c r="C1691" s="4" t="str">
        <f>HYPERLINK("http://www.uniprot.org/uniprot/M5VYU2","M5VYU2")</f>
        <v>M5VYU2</v>
      </c>
      <c r="D1691" s="2" t="s">
        <v>1649</v>
      </c>
      <c r="E1691" s="3">
        <v>2.1500000000000002E-81</v>
      </c>
      <c r="F1691" s="2">
        <v>674</v>
      </c>
      <c r="G1691" s="2">
        <v>97</v>
      </c>
      <c r="H1691" s="2">
        <v>134</v>
      </c>
      <c r="I1691" s="2">
        <v>378</v>
      </c>
      <c r="J1691" s="2">
        <v>779</v>
      </c>
      <c r="K1691" s="2">
        <v>226</v>
      </c>
      <c r="L1691" s="2">
        <v>359</v>
      </c>
    </row>
    <row r="1692" spans="1:12" x14ac:dyDescent="0.25">
      <c r="A1692" s="4" t="str">
        <f>HYPERLINK("http://www.rosaceae.org/Prunus/Prunus_persica/p.persica_gdr_reftransV1_0000124","p.persica_gdr_reftransV1_0000124")</f>
        <v>p.persica_gdr_reftransV1_0000124</v>
      </c>
      <c r="B1692" s="2">
        <v>1378</v>
      </c>
      <c r="C1692" s="4" t="str">
        <f>HYPERLINK("http://www.uniprot.org/uniprot/M5XQW5","M5XQW5")</f>
        <v>M5XQW5</v>
      </c>
      <c r="D1692" s="2" t="s">
        <v>1650</v>
      </c>
      <c r="E1692" s="3">
        <v>1.0300000000000001E-121</v>
      </c>
      <c r="F1692" s="2">
        <v>947</v>
      </c>
      <c r="G1692" s="2">
        <v>100</v>
      </c>
      <c r="H1692" s="2">
        <v>302</v>
      </c>
      <c r="I1692" s="2">
        <v>292</v>
      </c>
      <c r="J1692" s="2">
        <v>1197</v>
      </c>
      <c r="K1692" s="2">
        <v>1</v>
      </c>
      <c r="L1692" s="2">
        <v>302</v>
      </c>
    </row>
    <row r="1693" spans="1:12" x14ac:dyDescent="0.25">
      <c r="A1693" s="4" t="str">
        <f>HYPERLINK("http://www.rosaceae.org/Prunus/Prunus_persica/p.persica_gdr_reftransV1_0000824","p.persica_gdr_reftransV1_0000824")</f>
        <v>p.persica_gdr_reftransV1_0000824</v>
      </c>
      <c r="B1693" s="2">
        <v>6728</v>
      </c>
      <c r="C1693" s="4" t="str">
        <f>HYPERLINK("http://www.uniprot.org/uniprot/Q5M9V4","Q5M9V4")</f>
        <v>Q5M9V4</v>
      </c>
      <c r="D1693" s="2" t="s">
        <v>1651</v>
      </c>
      <c r="E1693" s="3">
        <v>0</v>
      </c>
      <c r="F1693" s="2">
        <v>2621</v>
      </c>
      <c r="G1693" s="2">
        <v>99</v>
      </c>
      <c r="H1693" s="2">
        <v>506</v>
      </c>
      <c r="I1693" s="2">
        <v>3635</v>
      </c>
      <c r="J1693" s="2">
        <v>5152</v>
      </c>
      <c r="K1693" s="2">
        <v>1</v>
      </c>
      <c r="L1693" s="2">
        <v>506</v>
      </c>
    </row>
    <row r="1694" spans="1:12" x14ac:dyDescent="0.25">
      <c r="A1694" s="4" t="str">
        <f>HYPERLINK("http://www.rosaceae.org/Prunus/Prunus_persica/p.persica_gdr_reftransV1_0001174","p.persica_gdr_reftransV1_0001174")</f>
        <v>p.persica_gdr_reftransV1_0001174</v>
      </c>
      <c r="B1694" s="2">
        <v>963</v>
      </c>
      <c r="C1694" s="4" t="str">
        <f>HYPERLINK("http://www.uniprot.org/uniprot/M5X412","M5X412")</f>
        <v>M5X412</v>
      </c>
      <c r="D1694" s="2" t="s">
        <v>1652</v>
      </c>
      <c r="E1694" s="3">
        <v>6.55E-36</v>
      </c>
      <c r="F1694" s="2">
        <v>348</v>
      </c>
      <c r="G1694" s="2">
        <v>96</v>
      </c>
      <c r="H1694" s="2">
        <v>109</v>
      </c>
      <c r="I1694" s="2">
        <v>281</v>
      </c>
      <c r="J1694" s="2">
        <v>607</v>
      </c>
      <c r="K1694" s="2">
        <v>67</v>
      </c>
      <c r="L1694" s="2">
        <v>175</v>
      </c>
    </row>
    <row r="1695" spans="1:12" x14ac:dyDescent="0.25">
      <c r="A1695" s="4" t="str">
        <f>HYPERLINK("http://www.rosaceae.org/Prunus/Prunus_persica/p.persica_gdr_reftransV1_0001524","p.persica_gdr_reftransV1_0001524")</f>
        <v>p.persica_gdr_reftransV1_0001524</v>
      </c>
      <c r="B1695" s="2">
        <v>2755</v>
      </c>
      <c r="C1695" s="4" t="str">
        <f>HYPERLINK("http://www.uniprot.org/uniprot/M5VWP5","M5VWP5")</f>
        <v>M5VWP5</v>
      </c>
      <c r="D1695" s="2" t="s">
        <v>1653</v>
      </c>
      <c r="E1695" s="3">
        <v>0</v>
      </c>
      <c r="F1695" s="2">
        <v>2241</v>
      </c>
      <c r="G1695" s="2">
        <v>84</v>
      </c>
      <c r="H1695" s="2">
        <v>557</v>
      </c>
      <c r="I1695" s="2">
        <v>834</v>
      </c>
      <c r="J1695" s="2">
        <v>2441</v>
      </c>
      <c r="K1695" s="2">
        <v>222</v>
      </c>
      <c r="L1695" s="2">
        <v>761</v>
      </c>
    </row>
    <row r="1696" spans="1:12" x14ac:dyDescent="0.25">
      <c r="A1696" s="4" t="str">
        <f>HYPERLINK("http://www.rosaceae.org/Prunus/Prunus_persica/p.persica_gdr_reftransV1_0002224","p.persica_gdr_reftransV1_0002224")</f>
        <v>p.persica_gdr_reftransV1_0002224</v>
      </c>
      <c r="B1696" s="2">
        <v>1265</v>
      </c>
      <c r="C1696" s="4" t="str">
        <f>HYPERLINK("http://www.uniprot.org/uniprot/M5X212","M5X212")</f>
        <v>M5X212</v>
      </c>
      <c r="D1696" s="2" t="s">
        <v>1654</v>
      </c>
      <c r="E1696" s="3">
        <v>3.6399999999999999E-178</v>
      </c>
      <c r="F1696" s="2">
        <v>1315</v>
      </c>
      <c r="G1696" s="2">
        <v>100</v>
      </c>
      <c r="H1696" s="2">
        <v>291</v>
      </c>
      <c r="I1696" s="2">
        <v>72</v>
      </c>
      <c r="J1696" s="2">
        <v>944</v>
      </c>
      <c r="K1696" s="2">
        <v>1</v>
      </c>
      <c r="L1696" s="2">
        <v>291</v>
      </c>
    </row>
    <row r="1697" spans="1:12" x14ac:dyDescent="0.25">
      <c r="A1697" s="4" t="str">
        <f>HYPERLINK("http://www.rosaceae.org/Prunus/Prunus_persica/p.persica_gdr_reftransV1_0002574","p.persica_gdr_reftransV1_0002574")</f>
        <v>p.persica_gdr_reftransV1_0002574</v>
      </c>
      <c r="B1697" s="2">
        <v>741</v>
      </c>
      <c r="C1697" s="4" t="str">
        <f>HYPERLINK("http://www.uniprot.org/uniprot/M5WY81","M5WY81")</f>
        <v>M5WY81</v>
      </c>
      <c r="D1697" s="2" t="s">
        <v>1655</v>
      </c>
      <c r="E1697" s="3">
        <v>3.0799999999999999E-127</v>
      </c>
      <c r="F1697" s="2">
        <v>949</v>
      </c>
      <c r="G1697" s="2">
        <v>99</v>
      </c>
      <c r="H1697" s="2">
        <v>179</v>
      </c>
      <c r="I1697" s="2">
        <v>148</v>
      </c>
      <c r="J1697" s="2">
        <v>684</v>
      </c>
      <c r="K1697" s="2">
        <v>1</v>
      </c>
      <c r="L1697" s="2">
        <v>179</v>
      </c>
    </row>
    <row r="1698" spans="1:12" x14ac:dyDescent="0.25">
      <c r="A1698" s="4" t="str">
        <f>HYPERLINK("http://www.rosaceae.org/Prunus/Prunus_persica/p.persica_gdr_reftransV1_0003274","p.persica_gdr_reftransV1_0003274")</f>
        <v>p.persica_gdr_reftransV1_0003274</v>
      </c>
      <c r="B1698" s="2">
        <v>1977</v>
      </c>
      <c r="C1698" s="4" t="str">
        <f>HYPERLINK("http://www.uniprot.org/uniprot/M5XMU8","M5XMU8")</f>
        <v>M5XMU8</v>
      </c>
      <c r="D1698" s="2" t="s">
        <v>1656</v>
      </c>
      <c r="E1698" s="3">
        <v>0</v>
      </c>
      <c r="F1698" s="2">
        <v>2912</v>
      </c>
      <c r="G1698" s="2">
        <v>100</v>
      </c>
      <c r="H1698" s="2">
        <v>583</v>
      </c>
      <c r="I1698" s="2">
        <v>3</v>
      </c>
      <c r="J1698" s="2">
        <v>1751</v>
      </c>
      <c r="K1698" s="2">
        <v>7</v>
      </c>
      <c r="L1698" s="2">
        <v>589</v>
      </c>
    </row>
    <row r="1699" spans="1:12" x14ac:dyDescent="0.25">
      <c r="A1699" s="4" t="str">
        <f>HYPERLINK("http://www.rosaceae.org/Prunus/Prunus_persica/p.persica_gdr_reftransV1_0003974","p.persica_gdr_reftransV1_0003974")</f>
        <v>p.persica_gdr_reftransV1_0003974</v>
      </c>
      <c r="B1699" s="2">
        <v>2847</v>
      </c>
      <c r="C1699" s="4" t="str">
        <f>HYPERLINK("http://www.uniprot.org/uniprot/M5WWJ6","M5WWJ6")</f>
        <v>M5WWJ6</v>
      </c>
      <c r="D1699" s="2" t="s">
        <v>1657</v>
      </c>
      <c r="E1699" s="3">
        <v>0</v>
      </c>
      <c r="F1699" s="2">
        <v>2998</v>
      </c>
      <c r="G1699" s="2">
        <v>100</v>
      </c>
      <c r="H1699" s="2">
        <v>614</v>
      </c>
      <c r="I1699" s="2">
        <v>796</v>
      </c>
      <c r="J1699" s="2">
        <v>2637</v>
      </c>
      <c r="K1699" s="2">
        <v>1</v>
      </c>
      <c r="L1699" s="2">
        <v>614</v>
      </c>
    </row>
    <row r="1700" spans="1:12" x14ac:dyDescent="0.25">
      <c r="A1700" s="4" t="str">
        <f>HYPERLINK("http://www.rosaceae.org/Prunus/Prunus_persica/p.persica_gdr_reftransV1_0004324","p.persica_gdr_reftransV1_0004324")</f>
        <v>p.persica_gdr_reftransV1_0004324</v>
      </c>
      <c r="B1700" s="2">
        <v>316</v>
      </c>
      <c r="C1700" s="4" t="str">
        <f>HYPERLINK("http://www.uniprot.org/uniprot/M5XQ62","M5XQ62")</f>
        <v>M5XQ62</v>
      </c>
      <c r="D1700" s="2" t="s">
        <v>1658</v>
      </c>
      <c r="E1700" s="3">
        <v>3.8399999999999997E-61</v>
      </c>
      <c r="F1700" s="2">
        <v>536</v>
      </c>
      <c r="G1700" s="2">
        <v>100</v>
      </c>
      <c r="H1700" s="2">
        <v>105</v>
      </c>
      <c r="I1700" s="2">
        <v>1</v>
      </c>
      <c r="J1700" s="2">
        <v>315</v>
      </c>
      <c r="K1700" s="2">
        <v>163</v>
      </c>
      <c r="L1700" s="2">
        <v>267</v>
      </c>
    </row>
    <row r="1701" spans="1:12" x14ac:dyDescent="0.25">
      <c r="A1701" s="4" t="str">
        <f>HYPERLINK("http://www.rosaceae.org/Prunus/Prunus_persica/p.persica_gdr_reftransV1_0004674","p.persica_gdr_reftransV1_0004674")</f>
        <v>p.persica_gdr_reftransV1_0004674</v>
      </c>
      <c r="B1701" s="2">
        <v>1026</v>
      </c>
      <c r="C1701" s="4" t="str">
        <f>HYPERLINK("http://www.uniprot.org/uniprot/M5WJN6","M5WJN6")</f>
        <v>M5WJN6</v>
      </c>
      <c r="D1701" s="2" t="s">
        <v>1659</v>
      </c>
      <c r="E1701" s="3">
        <v>0</v>
      </c>
      <c r="F1701" s="2">
        <v>1820</v>
      </c>
      <c r="G1701" s="2">
        <v>100</v>
      </c>
      <c r="H1701" s="2">
        <v>342</v>
      </c>
      <c r="I1701" s="2">
        <v>1</v>
      </c>
      <c r="J1701" s="2">
        <v>1026</v>
      </c>
      <c r="K1701" s="2">
        <v>35</v>
      </c>
      <c r="L1701" s="2">
        <v>376</v>
      </c>
    </row>
    <row r="1702" spans="1:12" x14ac:dyDescent="0.25">
      <c r="A1702" s="4" t="str">
        <f>HYPERLINK("http://www.rosaceae.org/Prunus/Prunus_persica/p.persica_gdr_reftransV1_0005024","p.persica_gdr_reftransV1_0005024")</f>
        <v>p.persica_gdr_reftransV1_0005024</v>
      </c>
      <c r="B1702" s="2">
        <v>674</v>
      </c>
      <c r="C1702" s="4" t="str">
        <f>HYPERLINK("http://www.uniprot.org/uniprot/M5XIE1","M5XIE1")</f>
        <v>M5XIE1</v>
      </c>
      <c r="D1702" s="2" t="s">
        <v>1660</v>
      </c>
      <c r="E1702" s="3">
        <v>6.5500000000000003E-69</v>
      </c>
      <c r="F1702" s="2">
        <v>597</v>
      </c>
      <c r="G1702" s="2">
        <v>100</v>
      </c>
      <c r="H1702" s="2">
        <v>129</v>
      </c>
      <c r="I1702" s="2">
        <v>102</v>
      </c>
      <c r="J1702" s="2">
        <v>488</v>
      </c>
      <c r="K1702" s="2">
        <v>548</v>
      </c>
      <c r="L1702" s="2">
        <v>676</v>
      </c>
    </row>
    <row r="1703" spans="1:12" x14ac:dyDescent="0.25">
      <c r="A1703" s="4" t="str">
        <f>HYPERLINK("http://www.rosaceae.org/Prunus/Prunus_persica/p.persica_gdr_reftransV1_0006424","p.persica_gdr_reftransV1_0006424")</f>
        <v>p.persica_gdr_reftransV1_0006424</v>
      </c>
      <c r="B1703" s="2">
        <v>350</v>
      </c>
      <c r="C1703" s="4" t="str">
        <f>HYPERLINK("http://www.uniprot.org/uniprot/M5VHR3","M5VHR3")</f>
        <v>M5VHR3</v>
      </c>
      <c r="D1703" s="2" t="s">
        <v>1661</v>
      </c>
      <c r="E1703" s="3">
        <v>9.4199999999999997E-34</v>
      </c>
      <c r="F1703" s="2">
        <v>339</v>
      </c>
      <c r="G1703" s="2">
        <v>100</v>
      </c>
      <c r="H1703" s="2">
        <v>116</v>
      </c>
      <c r="I1703" s="2">
        <v>2</v>
      </c>
      <c r="J1703" s="2">
        <v>349</v>
      </c>
      <c r="K1703" s="2">
        <v>691</v>
      </c>
      <c r="L1703" s="2">
        <v>806</v>
      </c>
    </row>
    <row r="1704" spans="1:12" x14ac:dyDescent="0.25">
      <c r="A1704" s="4" t="str">
        <f>HYPERLINK("http://www.rosaceae.org/Prunus/Prunus_persica/p.persica_gdr_reftransV1_0007124","p.persica_gdr_reftransV1_0007124")</f>
        <v>p.persica_gdr_reftransV1_0007124</v>
      </c>
      <c r="B1704" s="2">
        <v>361</v>
      </c>
      <c r="C1704" s="4" t="str">
        <f>HYPERLINK("http://www.uniprot.org/uniprot/M5WLT5","M5WLT5")</f>
        <v>M5WLT5</v>
      </c>
      <c r="D1704" s="2" t="s">
        <v>1662</v>
      </c>
      <c r="E1704" s="3">
        <v>3.0899999999999999E-67</v>
      </c>
      <c r="F1704" s="2">
        <v>560</v>
      </c>
      <c r="G1704" s="2">
        <v>100</v>
      </c>
      <c r="H1704" s="2">
        <v>120</v>
      </c>
      <c r="I1704" s="2">
        <v>2</v>
      </c>
      <c r="J1704" s="2">
        <v>361</v>
      </c>
      <c r="K1704" s="2">
        <v>150</v>
      </c>
      <c r="L1704" s="2">
        <v>269</v>
      </c>
    </row>
    <row r="1705" spans="1:12" x14ac:dyDescent="0.25">
      <c r="A1705" s="4" t="str">
        <f>HYPERLINK("http://www.rosaceae.org/Prunus/Prunus_persica/p.persica_gdr_reftransV1_0007824","p.persica_gdr_reftransV1_0007824")</f>
        <v>p.persica_gdr_reftransV1_0007824</v>
      </c>
      <c r="B1705" s="2">
        <v>1108</v>
      </c>
      <c r="C1705" s="4" t="str">
        <f>HYPERLINK("http://www.uniprot.org/uniprot/M5W6A6","M5W6A6")</f>
        <v>M5W6A6</v>
      </c>
      <c r="D1705" s="2" t="s">
        <v>1663</v>
      </c>
      <c r="E1705" s="3">
        <v>2.87E-175</v>
      </c>
      <c r="F1705" s="2">
        <v>1324</v>
      </c>
      <c r="G1705" s="2">
        <v>100</v>
      </c>
      <c r="H1705" s="2">
        <v>249</v>
      </c>
      <c r="I1705" s="2">
        <v>362</v>
      </c>
      <c r="J1705" s="2">
        <v>1108</v>
      </c>
      <c r="K1705" s="2">
        <v>386</v>
      </c>
      <c r="L1705" s="2">
        <v>634</v>
      </c>
    </row>
    <row r="1706" spans="1:12" x14ac:dyDescent="0.25">
      <c r="A1706" s="4" t="str">
        <f>HYPERLINK("http://www.rosaceae.org/Prunus/Prunus_persica/p.persica_gdr_reftransV1_0009924","p.persica_gdr_reftransV1_0009924")</f>
        <v>p.persica_gdr_reftransV1_0009924</v>
      </c>
      <c r="B1706" s="2">
        <v>2348</v>
      </c>
      <c r="C1706" s="4" t="str">
        <f>HYPERLINK("http://www.uniprot.org/uniprot/M5XP60","M5XP60")</f>
        <v>M5XP60</v>
      </c>
      <c r="D1706" s="2" t="s">
        <v>1664</v>
      </c>
      <c r="E1706" s="3">
        <v>3.8700000000000003E-179</v>
      </c>
      <c r="F1706" s="2">
        <v>1356</v>
      </c>
      <c r="G1706" s="2">
        <v>100</v>
      </c>
      <c r="H1706" s="2">
        <v>285</v>
      </c>
      <c r="I1706" s="2">
        <v>1424</v>
      </c>
      <c r="J1706" s="2">
        <v>2278</v>
      </c>
      <c r="K1706" s="2">
        <v>1</v>
      </c>
      <c r="L1706" s="2">
        <v>285</v>
      </c>
    </row>
    <row r="1707" spans="1:12" x14ac:dyDescent="0.25">
      <c r="A1707" s="4" t="str">
        <f>HYPERLINK("http://www.rosaceae.org/Prunus/Prunus_persica/p.persica_gdr_reftransV1_0010274","p.persica_gdr_reftransV1_0010274")</f>
        <v>p.persica_gdr_reftransV1_0010274</v>
      </c>
      <c r="B1707" s="2">
        <v>1913</v>
      </c>
      <c r="C1707" s="4" t="str">
        <f>HYPERLINK("http://www.uniprot.org/uniprot/M5WLV2","M5WLV2")</f>
        <v>M5WLV2</v>
      </c>
      <c r="D1707" s="2" t="s">
        <v>1665</v>
      </c>
      <c r="E1707" s="3">
        <v>5.6799999999999998E-120</v>
      </c>
      <c r="F1707" s="2">
        <v>943</v>
      </c>
      <c r="G1707" s="2">
        <v>92</v>
      </c>
      <c r="H1707" s="2">
        <v>216</v>
      </c>
      <c r="I1707" s="2">
        <v>310</v>
      </c>
      <c r="J1707" s="2">
        <v>957</v>
      </c>
      <c r="K1707" s="2">
        <v>24</v>
      </c>
      <c r="L1707" s="2">
        <v>224</v>
      </c>
    </row>
    <row r="1708" spans="1:12" x14ac:dyDescent="0.25">
      <c r="A1708" s="4" t="str">
        <f>HYPERLINK("http://www.rosaceae.org/Prunus/Prunus_persica/p.persica_gdr_reftransV1_0011324","p.persica_gdr_reftransV1_0011324")</f>
        <v>p.persica_gdr_reftransV1_0011324</v>
      </c>
      <c r="B1708" s="2">
        <v>2622</v>
      </c>
      <c r="C1708" s="4" t="str">
        <f>HYPERLINK("http://www.uniprot.org/uniprot/M5VIH0","M5VIH0")</f>
        <v>M5VIH0</v>
      </c>
      <c r="D1708" s="2" t="s">
        <v>1666</v>
      </c>
      <c r="E1708" s="3">
        <v>0</v>
      </c>
      <c r="F1708" s="2">
        <v>2789</v>
      </c>
      <c r="G1708" s="2">
        <v>100</v>
      </c>
      <c r="H1708" s="2">
        <v>605</v>
      </c>
      <c r="I1708" s="2">
        <v>288</v>
      </c>
      <c r="J1708" s="2">
        <v>2102</v>
      </c>
      <c r="K1708" s="2">
        <v>11</v>
      </c>
      <c r="L1708" s="2">
        <v>615</v>
      </c>
    </row>
    <row r="1709" spans="1:12" x14ac:dyDescent="0.25">
      <c r="A1709" s="4" t="str">
        <f>HYPERLINK("http://www.rosaceae.org/Prunus/Prunus_persica/p.persica_gdr_reftransV1_0011674","p.persica_gdr_reftransV1_0011674")</f>
        <v>p.persica_gdr_reftransV1_0011674</v>
      </c>
      <c r="B1709" s="2">
        <v>1311</v>
      </c>
      <c r="C1709" s="4" t="str">
        <f>HYPERLINK("http://www.uniprot.org/uniprot/M5X1U2","M5X1U2")</f>
        <v>M5X1U2</v>
      </c>
      <c r="D1709" s="2" t="s">
        <v>1667</v>
      </c>
      <c r="E1709" s="3">
        <v>0</v>
      </c>
      <c r="F1709" s="2">
        <v>1648</v>
      </c>
      <c r="G1709" s="2">
        <v>100</v>
      </c>
      <c r="H1709" s="2">
        <v>314</v>
      </c>
      <c r="I1709" s="2">
        <v>101</v>
      </c>
      <c r="J1709" s="2">
        <v>1042</v>
      </c>
      <c r="K1709" s="2">
        <v>1</v>
      </c>
      <c r="L1709" s="2">
        <v>314</v>
      </c>
    </row>
    <row r="1710" spans="1:12" x14ac:dyDescent="0.25">
      <c r="A1710" s="4" t="str">
        <f>HYPERLINK("http://www.rosaceae.org/Prunus/Prunus_persica/p.persica_gdr_reftransV1_0012024","p.persica_gdr_reftransV1_0012024")</f>
        <v>p.persica_gdr_reftransV1_0012024</v>
      </c>
      <c r="B1710" s="2">
        <v>1032</v>
      </c>
      <c r="C1710" s="4" t="str">
        <f>HYPERLINK("http://www.uniprot.org/uniprot/M5W3K8","M5W3K8")</f>
        <v>M5W3K8</v>
      </c>
      <c r="D1710" s="2" t="s">
        <v>1668</v>
      </c>
      <c r="E1710" s="3">
        <v>0</v>
      </c>
      <c r="F1710" s="2">
        <v>1746</v>
      </c>
      <c r="G1710" s="2">
        <v>100</v>
      </c>
      <c r="H1710" s="2">
        <v>330</v>
      </c>
      <c r="I1710" s="2">
        <v>41</v>
      </c>
      <c r="J1710" s="2">
        <v>1030</v>
      </c>
      <c r="K1710" s="2">
        <v>206</v>
      </c>
      <c r="L1710" s="2">
        <v>535</v>
      </c>
    </row>
    <row r="1711" spans="1:12" x14ac:dyDescent="0.25">
      <c r="A1711" s="4" t="str">
        <f>HYPERLINK("http://www.rosaceae.org/Prunus/Prunus_persica/p.persica_gdr_reftransV1_0014474","p.persica_gdr_reftransV1_0014474")</f>
        <v>p.persica_gdr_reftransV1_0014474</v>
      </c>
      <c r="B1711" s="2">
        <v>1806</v>
      </c>
      <c r="C1711" s="4" t="str">
        <f>HYPERLINK("http://www.uniprot.org/uniprot/M5Y0E6","M5Y0E6")</f>
        <v>M5Y0E6</v>
      </c>
      <c r="D1711" s="2" t="s">
        <v>1669</v>
      </c>
      <c r="E1711" s="3">
        <v>3.8099999999999999E-140</v>
      </c>
      <c r="F1711" s="2">
        <v>1075</v>
      </c>
      <c r="G1711" s="2">
        <v>100</v>
      </c>
      <c r="H1711" s="2">
        <v>229</v>
      </c>
      <c r="I1711" s="2">
        <v>672</v>
      </c>
      <c r="J1711" s="2">
        <v>1358</v>
      </c>
      <c r="K1711" s="2">
        <v>1</v>
      </c>
      <c r="L1711" s="2">
        <v>229</v>
      </c>
    </row>
    <row r="1712" spans="1:12" x14ac:dyDescent="0.25">
      <c r="A1712" s="4" t="str">
        <f>HYPERLINK("http://www.rosaceae.org/Prunus/Prunus_persica/p.persica_gdr_reftransV1_0014824","p.persica_gdr_reftransV1_0014824")</f>
        <v>p.persica_gdr_reftransV1_0014824</v>
      </c>
      <c r="B1712" s="2">
        <v>1415</v>
      </c>
      <c r="C1712" s="4" t="str">
        <f>HYPERLINK("http://www.uniprot.org/uniprot/M5XKL8","M5XKL8")</f>
        <v>M5XKL8</v>
      </c>
      <c r="D1712" s="2" t="s">
        <v>550</v>
      </c>
      <c r="E1712" s="3">
        <v>4.3799999999999999E-107</v>
      </c>
      <c r="F1712" s="2">
        <v>859</v>
      </c>
      <c r="G1712" s="2">
        <v>100</v>
      </c>
      <c r="H1712" s="2">
        <v>263</v>
      </c>
      <c r="I1712" s="2">
        <v>518</v>
      </c>
      <c r="J1712" s="2">
        <v>1306</v>
      </c>
      <c r="K1712" s="2">
        <v>129</v>
      </c>
      <c r="L1712" s="2">
        <v>391</v>
      </c>
    </row>
    <row r="1713" spans="1:12" x14ac:dyDescent="0.25">
      <c r="A1713" s="4" t="str">
        <f>HYPERLINK("http://www.rosaceae.org/Prunus/Prunus_persica/p.persica_gdr_reftransV1_0015524","p.persica_gdr_reftransV1_0015524")</f>
        <v>p.persica_gdr_reftransV1_0015524</v>
      </c>
      <c r="B1713" s="2">
        <v>2012</v>
      </c>
      <c r="C1713" s="4" t="str">
        <f>HYPERLINK("http://www.uniprot.org/uniprot/M5XMU8","M5XMU8")</f>
        <v>M5XMU8</v>
      </c>
      <c r="D1713" s="2" t="s">
        <v>1656</v>
      </c>
      <c r="E1713" s="3">
        <v>0</v>
      </c>
      <c r="F1713" s="2">
        <v>1944</v>
      </c>
      <c r="G1713" s="2">
        <v>100</v>
      </c>
      <c r="H1713" s="2">
        <v>388</v>
      </c>
      <c r="I1713" s="2">
        <v>771</v>
      </c>
      <c r="J1713" s="2">
        <v>1934</v>
      </c>
      <c r="K1713" s="2">
        <v>1</v>
      </c>
      <c r="L1713" s="2">
        <v>388</v>
      </c>
    </row>
    <row r="1714" spans="1:12" x14ac:dyDescent="0.25">
      <c r="A1714" s="4" t="str">
        <f>HYPERLINK("http://www.rosaceae.org/Prunus/Prunus_persica/p.persica_gdr_reftransV1_0016224","p.persica_gdr_reftransV1_0016224")</f>
        <v>p.persica_gdr_reftransV1_0016224</v>
      </c>
      <c r="B1714" s="2">
        <v>955</v>
      </c>
      <c r="C1714" s="4" t="str">
        <f>HYPERLINK("http://www.uniprot.org/uniprot/M5VHL1","M5VHL1")</f>
        <v>M5VHL1</v>
      </c>
      <c r="D1714" s="2" t="s">
        <v>1670</v>
      </c>
      <c r="E1714" s="3">
        <v>1.1599999999999999E-170</v>
      </c>
      <c r="F1714" s="2">
        <v>1270</v>
      </c>
      <c r="G1714" s="2">
        <v>100</v>
      </c>
      <c r="H1714" s="2">
        <v>265</v>
      </c>
      <c r="I1714" s="2">
        <v>159</v>
      </c>
      <c r="J1714" s="2">
        <v>953</v>
      </c>
      <c r="K1714" s="2">
        <v>184</v>
      </c>
      <c r="L1714" s="2">
        <v>448</v>
      </c>
    </row>
    <row r="1715" spans="1:12" x14ac:dyDescent="0.25">
      <c r="A1715" s="4" t="str">
        <f>HYPERLINK("http://www.rosaceae.org/Prunus/Prunus_persica/p.persica_gdr_reftransV1_0016574","p.persica_gdr_reftransV1_0016574")</f>
        <v>p.persica_gdr_reftransV1_0016574</v>
      </c>
      <c r="B1715" s="2">
        <v>867</v>
      </c>
      <c r="C1715" s="4" t="str">
        <f>HYPERLINK("http://www.uniprot.org/uniprot/M5X424","M5X424")</f>
        <v>M5X424</v>
      </c>
      <c r="D1715" s="2" t="s">
        <v>1671</v>
      </c>
      <c r="E1715" s="3">
        <v>2.1500000000000001E-86</v>
      </c>
      <c r="F1715" s="2">
        <v>683</v>
      </c>
      <c r="G1715" s="2">
        <v>100</v>
      </c>
      <c r="H1715" s="2">
        <v>139</v>
      </c>
      <c r="I1715" s="2">
        <v>276</v>
      </c>
      <c r="J1715" s="2">
        <v>692</v>
      </c>
      <c r="K1715" s="2">
        <v>32</v>
      </c>
      <c r="L1715" s="2">
        <v>170</v>
      </c>
    </row>
    <row r="1716" spans="1:12" x14ac:dyDescent="0.25">
      <c r="A1716" s="4" t="str">
        <f>HYPERLINK("http://www.rosaceae.org/Prunus/Prunus_persica/p.persica_gdr_reftransV1_0017624","p.persica_gdr_reftransV1_0017624")</f>
        <v>p.persica_gdr_reftransV1_0017624</v>
      </c>
      <c r="B1716" s="2">
        <v>1586</v>
      </c>
      <c r="C1716" s="4" t="str">
        <f>HYPERLINK("http://www.uniprot.org/uniprot/M5VX07","M5VX07")</f>
        <v>M5VX07</v>
      </c>
      <c r="D1716" s="2" t="s">
        <v>1672</v>
      </c>
      <c r="E1716" s="3">
        <v>0</v>
      </c>
      <c r="F1716" s="2">
        <v>2284</v>
      </c>
      <c r="G1716" s="2">
        <v>100</v>
      </c>
      <c r="H1716" s="2">
        <v>463</v>
      </c>
      <c r="I1716" s="2">
        <v>3</v>
      </c>
      <c r="J1716" s="2">
        <v>1391</v>
      </c>
      <c r="K1716" s="2">
        <v>336</v>
      </c>
      <c r="L1716" s="2">
        <v>798</v>
      </c>
    </row>
    <row r="1717" spans="1:12" x14ac:dyDescent="0.25">
      <c r="A1717" s="4" t="str">
        <f>HYPERLINK("http://www.rosaceae.org/Prunus/Prunus_persica/p.persica_gdr_reftransV1_0018674","p.persica_gdr_reftransV1_0018674")</f>
        <v>p.persica_gdr_reftransV1_0018674</v>
      </c>
      <c r="B1717" s="2">
        <v>850</v>
      </c>
      <c r="C1717" s="4" t="str">
        <f>HYPERLINK("http://www.uniprot.org/uniprot/M5XE75","M5XE75")</f>
        <v>M5XE75</v>
      </c>
      <c r="D1717" s="2" t="s">
        <v>1673</v>
      </c>
      <c r="E1717" s="3">
        <v>3.84E-66</v>
      </c>
      <c r="F1717" s="2">
        <v>543</v>
      </c>
      <c r="G1717" s="2">
        <v>100</v>
      </c>
      <c r="H1717" s="2">
        <v>119</v>
      </c>
      <c r="I1717" s="2">
        <v>395</v>
      </c>
      <c r="J1717" s="2">
        <v>751</v>
      </c>
      <c r="K1717" s="2">
        <v>1</v>
      </c>
      <c r="L1717" s="2">
        <v>119</v>
      </c>
    </row>
    <row r="1718" spans="1:12" x14ac:dyDescent="0.25">
      <c r="A1718" s="4" t="str">
        <f>HYPERLINK("http://www.rosaceae.org/Prunus/Prunus_persica/p.persica_gdr_reftransV1_0019024","p.persica_gdr_reftransV1_0019024")</f>
        <v>p.persica_gdr_reftransV1_0019024</v>
      </c>
      <c r="B1718" s="2">
        <v>3318</v>
      </c>
      <c r="C1718" s="4" t="str">
        <f>HYPERLINK("http://www.uniprot.org/uniprot/M5WYI0","M5WYI0")</f>
        <v>M5WYI0</v>
      </c>
      <c r="D1718" s="2" t="s">
        <v>1674</v>
      </c>
      <c r="E1718" s="3">
        <v>4.8100000000000002E-128</v>
      </c>
      <c r="F1718" s="2">
        <v>1105</v>
      </c>
      <c r="G1718" s="2">
        <v>100</v>
      </c>
      <c r="H1718" s="2">
        <v>209</v>
      </c>
      <c r="I1718" s="2">
        <v>2693</v>
      </c>
      <c r="J1718" s="2">
        <v>3316</v>
      </c>
      <c r="K1718" s="2">
        <v>492</v>
      </c>
      <c r="L1718" s="2">
        <v>700</v>
      </c>
    </row>
    <row r="1719" spans="1:12" x14ac:dyDescent="0.25">
      <c r="A1719" s="4" t="str">
        <f>HYPERLINK("http://www.rosaceae.org/Prunus/Prunus_persica/p.persica_gdr_reftransV1_0020074","p.persica_gdr_reftransV1_0020074")</f>
        <v>p.persica_gdr_reftransV1_0020074</v>
      </c>
      <c r="B1719" s="2">
        <v>2123</v>
      </c>
      <c r="C1719" s="4" t="str">
        <f>HYPERLINK("http://www.uniprot.org/uniprot/M5W203","M5W203")</f>
        <v>M5W203</v>
      </c>
      <c r="D1719" s="2" t="s">
        <v>1675</v>
      </c>
      <c r="E1719" s="3">
        <v>0</v>
      </c>
      <c r="F1719" s="2">
        <v>1563</v>
      </c>
      <c r="G1719" s="2">
        <v>100</v>
      </c>
      <c r="H1719" s="2">
        <v>352</v>
      </c>
      <c r="I1719" s="2">
        <v>895</v>
      </c>
      <c r="J1719" s="2">
        <v>1950</v>
      </c>
      <c r="K1719" s="2">
        <v>15</v>
      </c>
      <c r="L1719" s="2">
        <v>366</v>
      </c>
    </row>
    <row r="1720" spans="1:12" x14ac:dyDescent="0.25">
      <c r="A1720" s="4" t="str">
        <f>HYPERLINK("http://www.rosaceae.org/Prunus/Prunus_persica/p.persica_gdr_reftransV1_0020424","p.persica_gdr_reftransV1_0020424")</f>
        <v>p.persica_gdr_reftransV1_0020424</v>
      </c>
      <c r="B1720" s="2">
        <v>1984</v>
      </c>
      <c r="C1720" s="4" t="str">
        <f>HYPERLINK("http://www.uniprot.org/uniprot/M5XAQ6","M5XAQ6")</f>
        <v>M5XAQ6</v>
      </c>
      <c r="D1720" s="2" t="s">
        <v>1676</v>
      </c>
      <c r="E1720" s="3">
        <v>0</v>
      </c>
      <c r="F1720" s="2">
        <v>1213</v>
      </c>
      <c r="G1720" s="2">
        <v>100</v>
      </c>
      <c r="H1720" s="2">
        <v>233</v>
      </c>
      <c r="I1720" s="2">
        <v>1231</v>
      </c>
      <c r="J1720" s="2">
        <v>1929</v>
      </c>
      <c r="K1720" s="2">
        <v>1</v>
      </c>
      <c r="L1720" s="2">
        <v>233</v>
      </c>
    </row>
    <row r="1721" spans="1:12" x14ac:dyDescent="0.25">
      <c r="A1721" s="4" t="str">
        <f>HYPERLINK("http://www.rosaceae.org/Prunus/Prunus_persica/p.persica_gdr_reftransV1_0022524","p.persica_gdr_reftransV1_0022524")</f>
        <v>p.persica_gdr_reftransV1_0022524</v>
      </c>
      <c r="B1721" s="2">
        <v>459</v>
      </c>
      <c r="C1721" s="4" t="str">
        <f>HYPERLINK("http://www.uniprot.org/uniprot/M5X157","M5X157")</f>
        <v>M5X157</v>
      </c>
      <c r="D1721" s="2" t="s">
        <v>1677</v>
      </c>
      <c r="E1721" s="3">
        <v>1.1400000000000001E-85</v>
      </c>
      <c r="F1721" s="2">
        <v>666</v>
      </c>
      <c r="G1721" s="2">
        <v>100</v>
      </c>
      <c r="H1721" s="2">
        <v>131</v>
      </c>
      <c r="I1721" s="2">
        <v>2</v>
      </c>
      <c r="J1721" s="2">
        <v>394</v>
      </c>
      <c r="K1721" s="2">
        <v>1</v>
      </c>
      <c r="L1721" s="2">
        <v>131</v>
      </c>
    </row>
    <row r="1722" spans="1:12" x14ac:dyDescent="0.25">
      <c r="A1722" s="4" t="str">
        <f>HYPERLINK("http://www.rosaceae.org/Prunus/Prunus_persica/p.persica_gdr_reftransV1_0023574","p.persica_gdr_reftransV1_0023574")</f>
        <v>p.persica_gdr_reftransV1_0023574</v>
      </c>
      <c r="B1722" s="2">
        <v>1497</v>
      </c>
      <c r="C1722" s="4" t="str">
        <f>HYPERLINK("http://www.uniprot.org/uniprot/M5WF98","M5WF98")</f>
        <v>M5WF98</v>
      </c>
      <c r="D1722" s="2" t="s">
        <v>1678</v>
      </c>
      <c r="E1722" s="3">
        <v>3.8999999999999999E-122</v>
      </c>
      <c r="F1722" s="2">
        <v>955</v>
      </c>
      <c r="G1722" s="2">
        <v>86</v>
      </c>
      <c r="H1722" s="2">
        <v>313</v>
      </c>
      <c r="I1722" s="2">
        <v>379</v>
      </c>
      <c r="J1722" s="2">
        <v>1287</v>
      </c>
      <c r="K1722" s="2">
        <v>8</v>
      </c>
      <c r="L1722" s="2">
        <v>319</v>
      </c>
    </row>
    <row r="1723" spans="1:12" x14ac:dyDescent="0.25">
      <c r="A1723" s="4" t="str">
        <f>HYPERLINK("http://www.rosaceae.org/Prunus/Prunus_persica/p.persica_gdr_reftransV1_0024274","p.persica_gdr_reftransV1_0024274")</f>
        <v>p.persica_gdr_reftransV1_0024274</v>
      </c>
      <c r="B1723" s="2">
        <v>1508</v>
      </c>
      <c r="C1723" s="4" t="str">
        <f>HYPERLINK("http://www.uniprot.org/uniprot/M5VNR0","M5VNR0")</f>
        <v>M5VNR0</v>
      </c>
      <c r="D1723" s="2" t="s">
        <v>1679</v>
      </c>
      <c r="E1723" s="3">
        <v>0</v>
      </c>
      <c r="F1723" s="2">
        <v>1977</v>
      </c>
      <c r="G1723" s="2">
        <v>96</v>
      </c>
      <c r="H1723" s="2">
        <v>399</v>
      </c>
      <c r="I1723" s="2">
        <v>74</v>
      </c>
      <c r="J1723" s="2">
        <v>1270</v>
      </c>
      <c r="K1723" s="2">
        <v>1</v>
      </c>
      <c r="L1723" s="2">
        <v>383</v>
      </c>
    </row>
    <row r="1724" spans="1:12" x14ac:dyDescent="0.25">
      <c r="A1724" s="4" t="str">
        <f>HYPERLINK("http://www.rosaceae.org/Prunus/Prunus_persica/p.persica_gdr_reftransV1_0025324","p.persica_gdr_reftransV1_0025324")</f>
        <v>p.persica_gdr_reftransV1_0025324</v>
      </c>
      <c r="B1724" s="2">
        <v>2683</v>
      </c>
      <c r="C1724" s="4" t="str">
        <f>HYPERLINK("http://www.uniprot.org/uniprot/M5W6B1","M5W6B1")</f>
        <v>M5W6B1</v>
      </c>
      <c r="D1724" s="2" t="s">
        <v>1680</v>
      </c>
      <c r="E1724" s="3">
        <v>1.79E-57</v>
      </c>
      <c r="F1724" s="2">
        <v>557</v>
      </c>
      <c r="G1724" s="2">
        <v>99</v>
      </c>
      <c r="H1724" s="2">
        <v>108</v>
      </c>
      <c r="I1724" s="2">
        <v>743</v>
      </c>
      <c r="J1724" s="2">
        <v>1066</v>
      </c>
      <c r="K1724" s="2">
        <v>545</v>
      </c>
      <c r="L1724" s="2">
        <v>652</v>
      </c>
    </row>
    <row r="1725" spans="1:12" x14ac:dyDescent="0.25">
      <c r="A1725" s="4" t="str">
        <f>HYPERLINK("http://www.rosaceae.org/Prunus/Prunus_persica/p.persica_gdr_reftransV1_0027074","p.persica_gdr_reftransV1_0027074")</f>
        <v>p.persica_gdr_reftransV1_0027074</v>
      </c>
      <c r="B1725" s="2">
        <v>1304</v>
      </c>
      <c r="C1725" s="4" t="str">
        <f>HYPERLINK("http://www.uniprot.org/uniprot/M5X223","M5X223")</f>
        <v>M5X223</v>
      </c>
      <c r="D1725" s="2" t="s">
        <v>440</v>
      </c>
      <c r="E1725" s="3">
        <v>4.3099999999999998E-125</v>
      </c>
      <c r="F1725" s="2">
        <v>824</v>
      </c>
      <c r="G1725" s="2">
        <v>100</v>
      </c>
      <c r="H1725" s="2">
        <v>173</v>
      </c>
      <c r="I1725" s="2">
        <v>141</v>
      </c>
      <c r="J1725" s="2">
        <v>659</v>
      </c>
      <c r="K1725" s="2">
        <v>1</v>
      </c>
      <c r="L1725" s="2">
        <v>173</v>
      </c>
    </row>
    <row r="1726" spans="1:12" x14ac:dyDescent="0.25">
      <c r="A1726" s="4" t="str">
        <f>HYPERLINK("http://www.rosaceae.org/Prunus/Prunus_persica/p.persica_gdr_reftransV1_0027424","p.persica_gdr_reftransV1_0027424")</f>
        <v>p.persica_gdr_reftransV1_0027424</v>
      </c>
      <c r="B1726" s="2">
        <v>1762</v>
      </c>
      <c r="C1726" s="4" t="str">
        <f>HYPERLINK("http://www.uniprot.org/uniprot/M5X139","M5X139")</f>
        <v>M5X139</v>
      </c>
      <c r="D1726" s="2" t="s">
        <v>1681</v>
      </c>
      <c r="E1726" s="3">
        <v>0</v>
      </c>
      <c r="F1726" s="2">
        <v>1508</v>
      </c>
      <c r="G1726" s="2">
        <v>100</v>
      </c>
      <c r="H1726" s="2">
        <v>329</v>
      </c>
      <c r="I1726" s="2">
        <v>515</v>
      </c>
      <c r="J1726" s="2">
        <v>1501</v>
      </c>
      <c r="K1726" s="2">
        <v>1</v>
      </c>
      <c r="L1726" s="2">
        <v>329</v>
      </c>
    </row>
    <row r="1727" spans="1:12" x14ac:dyDescent="0.25">
      <c r="A1727" s="4" t="str">
        <f>HYPERLINK("http://www.rosaceae.org/Prunus/Prunus_persica/p.persica_gdr_reftransV1_0029524","p.persica_gdr_reftransV1_0029524")</f>
        <v>p.persica_gdr_reftransV1_0029524</v>
      </c>
      <c r="B1727" s="2">
        <v>4011</v>
      </c>
      <c r="C1727" s="4" t="str">
        <f>HYPERLINK("http://www.uniprot.org/uniprot/M5Vid3","M5Vid3")</f>
        <v>M5Vid3</v>
      </c>
      <c r="D1727" s="2" t="s">
        <v>1682</v>
      </c>
      <c r="E1727" s="3">
        <v>0</v>
      </c>
      <c r="F1727" s="2">
        <v>5393</v>
      </c>
      <c r="G1727" s="2">
        <v>98</v>
      </c>
      <c r="H1727" s="2">
        <v>1208</v>
      </c>
      <c r="I1727" s="2">
        <v>13</v>
      </c>
      <c r="J1727" s="2">
        <v>3612</v>
      </c>
      <c r="K1727" s="2">
        <v>1</v>
      </c>
      <c r="L1727" s="2">
        <v>1208</v>
      </c>
    </row>
    <row r="1728" spans="1:12" x14ac:dyDescent="0.25">
      <c r="A1728" s="4" t="str">
        <f>HYPERLINK("http://www.rosaceae.org/Prunus/Prunus_persica/p.persica_gdr_reftransV1_0029874","p.persica_gdr_reftransV1_0029874")</f>
        <v>p.persica_gdr_reftransV1_0029874</v>
      </c>
      <c r="B1728" s="2">
        <v>2958</v>
      </c>
      <c r="C1728" s="4" t="str">
        <f>HYPERLINK("http://www.uniprot.org/uniprot/M5WWE6","M5WWE6")</f>
        <v>M5WWE6</v>
      </c>
      <c r="D1728" s="2" t="s">
        <v>1683</v>
      </c>
      <c r="E1728" s="3">
        <v>0</v>
      </c>
      <c r="F1728" s="2">
        <v>2602</v>
      </c>
      <c r="G1728" s="2">
        <v>100</v>
      </c>
      <c r="H1728" s="2">
        <v>500</v>
      </c>
      <c r="I1728" s="2">
        <v>1039</v>
      </c>
      <c r="J1728" s="2">
        <v>2538</v>
      </c>
      <c r="K1728" s="2">
        <v>12</v>
      </c>
      <c r="L1728" s="2">
        <v>511</v>
      </c>
    </row>
    <row r="1729" spans="1:12" x14ac:dyDescent="0.25">
      <c r="A1729" s="4" t="str">
        <f>HYPERLINK("http://www.rosaceae.org/Prunus/Prunus_persica/p.persica_gdr_reftransV1_0030574","p.persica_gdr_reftransV1_0030574")</f>
        <v>p.persica_gdr_reftransV1_0030574</v>
      </c>
      <c r="B1729" s="2">
        <v>1920</v>
      </c>
      <c r="C1729" s="4" t="str">
        <f>HYPERLINK("http://www.uniprot.org/uniprot/M5WFR6","M5WFR6")</f>
        <v>M5WFR6</v>
      </c>
      <c r="D1729" s="2" t="s">
        <v>1684</v>
      </c>
      <c r="E1729" s="3">
        <v>4.6599999999999999E-96</v>
      </c>
      <c r="F1729" s="2">
        <v>796</v>
      </c>
      <c r="G1729" s="2">
        <v>99</v>
      </c>
      <c r="H1729" s="2">
        <v>162</v>
      </c>
      <c r="I1729" s="2">
        <v>1193</v>
      </c>
      <c r="J1729" s="2">
        <v>1678</v>
      </c>
      <c r="K1729" s="2">
        <v>1</v>
      </c>
      <c r="L1729" s="2">
        <v>162</v>
      </c>
    </row>
    <row r="1730" spans="1:12" x14ac:dyDescent="0.25">
      <c r="A1730" s="4" t="str">
        <f>HYPERLINK("http://www.rosaceae.org/Prunus/Prunus_persica/p.persica_gdr_reftransV1_0031274","p.persica_gdr_reftransV1_0031274")</f>
        <v>p.persica_gdr_reftransV1_0031274</v>
      </c>
      <c r="B1730" s="2">
        <v>1128</v>
      </c>
      <c r="C1730" s="4" t="str">
        <f>HYPERLINK("http://www.uniprot.org/uniprot/M5WVE6","M5WVE6")</f>
        <v>M5WVE6</v>
      </c>
      <c r="D1730" s="2" t="s">
        <v>1685</v>
      </c>
      <c r="E1730" s="3">
        <v>1.9899999999999999E-100</v>
      </c>
      <c r="F1730" s="2">
        <v>790</v>
      </c>
      <c r="G1730" s="2">
        <v>85</v>
      </c>
      <c r="H1730" s="2">
        <v>206</v>
      </c>
      <c r="I1730" s="2">
        <v>224</v>
      </c>
      <c r="J1730" s="2">
        <v>841</v>
      </c>
      <c r="K1730" s="2">
        <v>54</v>
      </c>
      <c r="L1730" s="2">
        <v>228</v>
      </c>
    </row>
    <row r="1731" spans="1:12" x14ac:dyDescent="0.25">
      <c r="A1731" s="4" t="str">
        <f>HYPERLINK("http://www.rosaceae.org/Prunus/Prunus_persica/p.persica_gdr_reftransV1_0033374","p.persica_gdr_reftransV1_0033374")</f>
        <v>p.persica_gdr_reftransV1_0033374</v>
      </c>
      <c r="B1731" s="2">
        <v>1867</v>
      </c>
      <c r="C1731" s="4" t="str">
        <f>HYPERLINK("http://www.uniprot.org/uniprot/M5W033","M5W033")</f>
        <v>M5W033</v>
      </c>
      <c r="D1731" s="2" t="s">
        <v>1686</v>
      </c>
      <c r="E1731" s="3">
        <v>1.2800000000000001E-140</v>
      </c>
      <c r="F1731" s="2">
        <v>1079</v>
      </c>
      <c r="G1731" s="2">
        <v>100</v>
      </c>
      <c r="H1731" s="2">
        <v>219</v>
      </c>
      <c r="I1731" s="2">
        <v>751</v>
      </c>
      <c r="J1731" s="2">
        <v>1407</v>
      </c>
      <c r="K1731" s="2">
        <v>1</v>
      </c>
      <c r="L1731" s="2">
        <v>219</v>
      </c>
    </row>
    <row r="1732" spans="1:12" x14ac:dyDescent="0.25">
      <c r="A1732" s="4" t="str">
        <f>HYPERLINK("http://www.rosaceae.org/Prunus/Prunus_persica/p.persica_gdr_reftransV1_0036874","p.persica_gdr_reftransV1_0036874")</f>
        <v>p.persica_gdr_reftransV1_0036874</v>
      </c>
      <c r="B1732" s="2">
        <v>1998</v>
      </c>
      <c r="C1732" s="4" t="str">
        <f>HYPERLINK("http://www.uniprot.org/uniprot/M5WRU4","M5WRU4")</f>
        <v>M5WRU4</v>
      </c>
      <c r="D1732" s="2" t="s">
        <v>1687</v>
      </c>
      <c r="E1732" s="3">
        <v>0</v>
      </c>
      <c r="F1732" s="2">
        <v>2350</v>
      </c>
      <c r="G1732" s="2">
        <v>94</v>
      </c>
      <c r="H1732" s="2">
        <v>499</v>
      </c>
      <c r="I1732" s="2">
        <v>365</v>
      </c>
      <c r="J1732" s="2">
        <v>1861</v>
      </c>
      <c r="K1732" s="2">
        <v>1</v>
      </c>
      <c r="L1732" s="2">
        <v>473</v>
      </c>
    </row>
    <row r="1733" spans="1:12" x14ac:dyDescent="0.25">
      <c r="A1733" s="4" t="str">
        <f>HYPERLINK("http://www.rosaceae.org/Prunus/Prunus_persica/p.persica_gdr_reftransV1_0037924","p.persica_gdr_reftransV1_0037924")</f>
        <v>p.persica_gdr_reftransV1_0037924</v>
      </c>
      <c r="B1733" s="2">
        <v>3838</v>
      </c>
      <c r="C1733" s="4" t="str">
        <f>HYPERLINK("http://www.uniprot.org/uniprot/M5WZQ3","M5WZQ3")</f>
        <v>M5WZQ3</v>
      </c>
      <c r="D1733" s="2" t="s">
        <v>1688</v>
      </c>
      <c r="E1733" s="3">
        <v>0</v>
      </c>
      <c r="F1733" s="2">
        <v>3138</v>
      </c>
      <c r="G1733" s="2">
        <v>98</v>
      </c>
      <c r="H1733" s="2">
        <v>629</v>
      </c>
      <c r="I1733" s="2">
        <v>591</v>
      </c>
      <c r="J1733" s="2">
        <v>2477</v>
      </c>
      <c r="K1733" s="2">
        <v>59</v>
      </c>
      <c r="L1733" s="2">
        <v>687</v>
      </c>
    </row>
    <row r="1734" spans="1:12" x14ac:dyDescent="0.25">
      <c r="A1734" s="4" t="str">
        <f>HYPERLINK("http://www.rosaceae.org/Prunus/Prunus_persica/p.persica_gdr_reftransV1_0039324","p.persica_gdr_reftransV1_0039324")</f>
        <v>p.persica_gdr_reftransV1_0039324</v>
      </c>
      <c r="B1734" s="2">
        <v>1458</v>
      </c>
      <c r="C1734" s="4" t="str">
        <f>HYPERLINK("http://www.uniprot.org/uniprot/M5WU97","M5WU97")</f>
        <v>M5WU97</v>
      </c>
      <c r="D1734" s="2" t="s">
        <v>1689</v>
      </c>
      <c r="E1734" s="3">
        <v>0</v>
      </c>
      <c r="F1734" s="2">
        <v>1697</v>
      </c>
      <c r="G1734" s="2">
        <v>100</v>
      </c>
      <c r="H1734" s="2">
        <v>333</v>
      </c>
      <c r="I1734" s="2">
        <v>245</v>
      </c>
      <c r="J1734" s="2">
        <v>1243</v>
      </c>
      <c r="K1734" s="2">
        <v>1</v>
      </c>
      <c r="L1734" s="2">
        <v>333</v>
      </c>
    </row>
    <row r="1735" spans="1:12" x14ac:dyDescent="0.25">
      <c r="A1735" s="4" t="str">
        <f>HYPERLINK("http://www.rosaceae.org/Prunus/Prunus_persica/p.persica_gdr_reftransV1_0041074","p.persica_gdr_reftransV1_0041074")</f>
        <v>p.persica_gdr_reftransV1_0041074</v>
      </c>
      <c r="B1735" s="2">
        <v>5109</v>
      </c>
      <c r="C1735" s="4" t="str">
        <f>HYPERLINK("http://www.uniprot.org/uniprot/M5XL60","M5XL60")</f>
        <v>M5XL60</v>
      </c>
      <c r="D1735" s="2" t="s">
        <v>1690</v>
      </c>
      <c r="E1735" s="3">
        <v>0</v>
      </c>
      <c r="F1735" s="2">
        <v>4777</v>
      </c>
      <c r="G1735" s="2">
        <v>99</v>
      </c>
      <c r="H1735" s="2">
        <v>974</v>
      </c>
      <c r="I1735" s="2">
        <v>369</v>
      </c>
      <c r="J1735" s="2">
        <v>3290</v>
      </c>
      <c r="K1735" s="2">
        <v>466</v>
      </c>
      <c r="L1735" s="2">
        <v>1432</v>
      </c>
    </row>
    <row r="1736" spans="1:12" x14ac:dyDescent="0.25">
      <c r="A1736" s="4" t="str">
        <f>HYPERLINK("http://www.rosaceae.org/Prunus/Prunus_persica/p.persica_gdr_reftransV1_0041424","p.persica_gdr_reftransV1_0041424")</f>
        <v>p.persica_gdr_reftransV1_0041424</v>
      </c>
      <c r="B1736" s="2">
        <v>1848</v>
      </c>
      <c r="C1736" s="4" t="str">
        <f>HYPERLINK("http://www.uniprot.org/uniprot/M5XG49","M5XG49")</f>
        <v>M5XG49</v>
      </c>
      <c r="D1736" s="2" t="s">
        <v>1691</v>
      </c>
      <c r="E1736" s="3">
        <v>7.4500000000000002E-69</v>
      </c>
      <c r="F1736" s="2">
        <v>599</v>
      </c>
      <c r="G1736" s="2">
        <v>100</v>
      </c>
      <c r="H1736" s="2">
        <v>118</v>
      </c>
      <c r="I1736" s="2">
        <v>1050</v>
      </c>
      <c r="J1736" s="2">
        <v>1403</v>
      </c>
      <c r="K1736" s="2">
        <v>98</v>
      </c>
      <c r="L1736" s="2">
        <v>215</v>
      </c>
    </row>
    <row r="1737" spans="1:12" x14ac:dyDescent="0.25">
      <c r="A1737" s="4" t="str">
        <f>HYPERLINK("http://www.rosaceae.org/Prunus/Prunus_persica/p.persica_gdr_reftransV1_0042824","p.persica_gdr_reftransV1_0042824")</f>
        <v>p.persica_gdr_reftransV1_0042824</v>
      </c>
      <c r="B1737" s="2">
        <v>378</v>
      </c>
      <c r="C1737" s="4" t="str">
        <f>HYPERLINK("http://www.uniprot.org/uniprot/A0A061GU92","A0A061GU92")</f>
        <v>A0A061GU92</v>
      </c>
      <c r="D1737" s="2" t="s">
        <v>1692</v>
      </c>
      <c r="E1737" s="3">
        <v>8.0800000000000002E-28</v>
      </c>
      <c r="F1737" s="2">
        <v>272</v>
      </c>
      <c r="G1737" s="2">
        <v>60</v>
      </c>
      <c r="H1737" s="2">
        <v>85</v>
      </c>
      <c r="I1737" s="2">
        <v>25</v>
      </c>
      <c r="J1737" s="2">
        <v>279</v>
      </c>
      <c r="K1737" s="2">
        <v>17</v>
      </c>
      <c r="L1737" s="2">
        <v>100</v>
      </c>
    </row>
    <row r="1738" spans="1:12" x14ac:dyDescent="0.25">
      <c r="A1738" s="4" t="str">
        <f>HYPERLINK("http://www.rosaceae.org/Prunus/Prunus_persica/p.persica_gdr_reftransV1_0043174","p.persica_gdr_reftransV1_0043174")</f>
        <v>p.persica_gdr_reftransV1_0043174</v>
      </c>
      <c r="B1738" s="2">
        <v>2448</v>
      </c>
      <c r="C1738" s="4" t="str">
        <f>HYPERLINK("http://www.uniprot.org/uniprot/M5WWV0","M5WWV0")</f>
        <v>M5WWV0</v>
      </c>
      <c r="D1738" s="2" t="s">
        <v>1693</v>
      </c>
      <c r="E1738" s="3">
        <v>0</v>
      </c>
      <c r="F1738" s="2">
        <v>3951</v>
      </c>
      <c r="G1738" s="2">
        <v>100</v>
      </c>
      <c r="H1738" s="2">
        <v>806</v>
      </c>
      <c r="I1738" s="2">
        <v>1</v>
      </c>
      <c r="J1738" s="2">
        <v>2418</v>
      </c>
      <c r="K1738" s="2">
        <v>9</v>
      </c>
      <c r="L1738" s="2">
        <v>814</v>
      </c>
    </row>
    <row r="1739" spans="1:12" x14ac:dyDescent="0.25">
      <c r="A1739" s="4" t="str">
        <f>HYPERLINK("http://www.rosaceae.org/Prunus/Prunus_persica/p.persica_gdr_reftransV1_0043524","p.persica_gdr_reftransV1_0043524")</f>
        <v>p.persica_gdr_reftransV1_0043524</v>
      </c>
      <c r="B1739" s="2">
        <v>1353</v>
      </c>
      <c r="C1739" s="4" t="str">
        <f>HYPERLINK("http://www.uniprot.org/uniprot/M5VP75","M5VP75")</f>
        <v>M5VP75</v>
      </c>
      <c r="D1739" s="2" t="s">
        <v>1694</v>
      </c>
      <c r="E1739" s="3">
        <v>0</v>
      </c>
      <c r="F1739" s="2">
        <v>1555</v>
      </c>
      <c r="G1739" s="2">
        <v>98</v>
      </c>
      <c r="H1739" s="2">
        <v>300</v>
      </c>
      <c r="I1739" s="2">
        <v>270</v>
      </c>
      <c r="J1739" s="2">
        <v>1169</v>
      </c>
      <c r="K1739" s="2">
        <v>1</v>
      </c>
      <c r="L1739" s="2">
        <v>300</v>
      </c>
    </row>
    <row r="1740" spans="1:12" x14ac:dyDescent="0.25">
      <c r="A1740" s="4" t="str">
        <f>HYPERLINK("http://www.rosaceae.org/Prunus/Prunus_persica/p.persica_gdr_reftransV1_0043874","p.persica_gdr_reftransV1_0043874")</f>
        <v>p.persica_gdr_reftransV1_0043874</v>
      </c>
      <c r="B1740" s="2">
        <v>712</v>
      </c>
      <c r="C1740" s="4" t="str">
        <f>HYPERLINK("http://www.uniprot.org/uniprot/M5WST1","M5WST1")</f>
        <v>M5WST1</v>
      </c>
      <c r="D1740" s="2" t="s">
        <v>1695</v>
      </c>
      <c r="E1740" s="3">
        <v>1.34E-39</v>
      </c>
      <c r="F1740" s="2">
        <v>358</v>
      </c>
      <c r="G1740" s="2">
        <v>100</v>
      </c>
      <c r="H1740" s="2">
        <v>71</v>
      </c>
      <c r="I1740" s="2">
        <v>356</v>
      </c>
      <c r="J1740" s="2">
        <v>568</v>
      </c>
      <c r="K1740" s="2">
        <v>1</v>
      </c>
      <c r="L1740" s="2">
        <v>71</v>
      </c>
    </row>
    <row r="1741" spans="1:12" x14ac:dyDescent="0.25">
      <c r="A1741" s="4" t="str">
        <f>HYPERLINK("http://www.rosaceae.org/Prunus/Prunus_persica/p.persica_gdr_reftransV1_0044224","p.persica_gdr_reftransV1_0044224")</f>
        <v>p.persica_gdr_reftransV1_0044224</v>
      </c>
      <c r="B1741" s="2">
        <v>882</v>
      </c>
      <c r="C1741" s="4" t="str">
        <f>HYPERLINK("http://www.uniprot.org/uniprot/M5W7K4","M5W7K4")</f>
        <v>M5W7K4</v>
      </c>
      <c r="D1741" s="2" t="s">
        <v>693</v>
      </c>
      <c r="E1741" s="3">
        <v>0</v>
      </c>
      <c r="F1741" s="2">
        <v>1402</v>
      </c>
      <c r="G1741" s="2">
        <v>100</v>
      </c>
      <c r="H1741" s="2">
        <v>261</v>
      </c>
      <c r="I1741" s="2">
        <v>99</v>
      </c>
      <c r="J1741" s="2">
        <v>881</v>
      </c>
      <c r="K1741" s="2">
        <v>350</v>
      </c>
      <c r="L1741" s="2">
        <v>610</v>
      </c>
    </row>
    <row r="1742" spans="1:12" x14ac:dyDescent="0.25">
      <c r="A1742" s="4" t="str">
        <f>HYPERLINK("http://www.rosaceae.org/Prunus/Prunus_persica/p.persica_gdr_reftransV1_0045274","p.persica_gdr_reftransV1_0045274")</f>
        <v>p.persica_gdr_reftransV1_0045274</v>
      </c>
      <c r="B1742" s="2">
        <v>1345</v>
      </c>
      <c r="C1742" s="4" t="str">
        <f>HYPERLINK("http://www.uniprot.org/uniprot/M5VZ56","M5VZ56")</f>
        <v>M5VZ56</v>
      </c>
      <c r="D1742" s="2" t="s">
        <v>1696</v>
      </c>
      <c r="E1742" s="3">
        <v>0</v>
      </c>
      <c r="F1742" s="2">
        <v>1346</v>
      </c>
      <c r="G1742" s="2">
        <v>90</v>
      </c>
      <c r="H1742" s="2">
        <v>308</v>
      </c>
      <c r="I1742" s="2">
        <v>182</v>
      </c>
      <c r="J1742" s="2">
        <v>1012</v>
      </c>
      <c r="K1742" s="2">
        <v>22</v>
      </c>
      <c r="L1742" s="2">
        <v>329</v>
      </c>
    </row>
    <row r="1743" spans="1:12" x14ac:dyDescent="0.25">
      <c r="A1743" s="4" t="str">
        <f>HYPERLINK("http://www.rosaceae.org/Prunus/Prunus_persica/p.persica_gdr_reftransV1_0045974","p.persica_gdr_reftransV1_0045974")</f>
        <v>p.persica_gdr_reftransV1_0045974</v>
      </c>
      <c r="B1743" s="2">
        <v>4460</v>
      </c>
      <c r="C1743" s="4" t="str">
        <f>HYPERLINK("http://www.uniprot.org/uniprot/M5XM57","M5XM57")</f>
        <v>M5XM57</v>
      </c>
      <c r="D1743" s="2" t="s">
        <v>1697</v>
      </c>
      <c r="E1743" s="3">
        <v>0</v>
      </c>
      <c r="F1743" s="2">
        <v>3320</v>
      </c>
      <c r="G1743" s="2">
        <v>100</v>
      </c>
      <c r="H1743" s="2">
        <v>676</v>
      </c>
      <c r="I1743" s="2">
        <v>2222</v>
      </c>
      <c r="J1743" s="2">
        <v>4249</v>
      </c>
      <c r="K1743" s="2">
        <v>1</v>
      </c>
      <c r="L1743" s="2">
        <v>676</v>
      </c>
    </row>
    <row r="1744" spans="1:12" x14ac:dyDescent="0.25">
      <c r="A1744" s="4" t="str">
        <f>HYPERLINK("http://www.rosaceae.org/Prunus/Prunus_persica/p.persica_gdr_reftransV1_0046324","p.persica_gdr_reftransV1_0046324")</f>
        <v>p.persica_gdr_reftransV1_0046324</v>
      </c>
      <c r="B1744" s="2">
        <v>1725</v>
      </c>
      <c r="C1744" s="4" t="str">
        <f>HYPERLINK("http://www.uniprot.org/uniprot/M5WPH2","M5WPH2")</f>
        <v>M5WPH2</v>
      </c>
      <c r="D1744" s="2" t="s">
        <v>1698</v>
      </c>
      <c r="E1744" s="3">
        <v>0</v>
      </c>
      <c r="F1744" s="2">
        <v>2315</v>
      </c>
      <c r="G1744" s="2">
        <v>100</v>
      </c>
      <c r="H1744" s="2">
        <v>465</v>
      </c>
      <c r="I1744" s="2">
        <v>205</v>
      </c>
      <c r="J1744" s="2">
        <v>1599</v>
      </c>
      <c r="K1744" s="2">
        <v>20</v>
      </c>
      <c r="L1744" s="2">
        <v>484</v>
      </c>
    </row>
    <row r="1745" spans="1:12" x14ac:dyDescent="0.25">
      <c r="A1745" s="4" t="str">
        <f>HYPERLINK("http://www.rosaceae.org/Prunus/Prunus_persica/p.persica_gdr_reftransV1_0046674","p.persica_gdr_reftransV1_0046674")</f>
        <v>p.persica_gdr_reftransV1_0046674</v>
      </c>
      <c r="B1745" s="2">
        <v>2476</v>
      </c>
      <c r="C1745" s="4" t="str">
        <f>HYPERLINK("http://www.uniprot.org/uniprot/M5XVJ8","M5XVJ8")</f>
        <v>M5XVJ8</v>
      </c>
      <c r="D1745" s="2" t="s">
        <v>1699</v>
      </c>
      <c r="E1745" s="3">
        <v>0</v>
      </c>
      <c r="F1745" s="2">
        <v>2717</v>
      </c>
      <c r="G1745" s="2">
        <v>96</v>
      </c>
      <c r="H1745" s="2">
        <v>638</v>
      </c>
      <c r="I1745" s="2">
        <v>317</v>
      </c>
      <c r="J1745" s="2">
        <v>2230</v>
      </c>
      <c r="K1745" s="2">
        <v>1</v>
      </c>
      <c r="L1745" s="2">
        <v>638</v>
      </c>
    </row>
    <row r="1746" spans="1:12" x14ac:dyDescent="0.25">
      <c r="A1746" s="4" t="str">
        <f>HYPERLINK("http://www.rosaceae.org/Prunus/Prunus_persica/p.persica_gdr_reftransV1_0047024","p.persica_gdr_reftransV1_0047024")</f>
        <v>p.persica_gdr_reftransV1_0047024</v>
      </c>
      <c r="B1746" s="2">
        <v>1625</v>
      </c>
      <c r="C1746" s="4" t="str">
        <f>HYPERLINK("http://www.uniprot.org/uniprot/M5XXH7","M5XXH7")</f>
        <v>M5XXH7</v>
      </c>
      <c r="D1746" s="2" t="s">
        <v>1700</v>
      </c>
      <c r="E1746" s="3">
        <v>0</v>
      </c>
      <c r="F1746" s="2">
        <v>1500</v>
      </c>
      <c r="G1746" s="2">
        <v>99</v>
      </c>
      <c r="H1746" s="2">
        <v>407</v>
      </c>
      <c r="I1746" s="2">
        <v>365</v>
      </c>
      <c r="J1746" s="2">
        <v>1585</v>
      </c>
      <c r="K1746" s="2">
        <v>1</v>
      </c>
      <c r="L1746" s="2">
        <v>407</v>
      </c>
    </row>
    <row r="1747" spans="1:12" x14ac:dyDescent="0.25">
      <c r="A1747" s="4" t="str">
        <f>HYPERLINK("http://www.rosaceae.org/Prunus/Prunus_persica/p.persica_gdr_reftransV1_0047724","p.persica_gdr_reftransV1_0047724")</f>
        <v>p.persica_gdr_reftransV1_0047724</v>
      </c>
      <c r="B1747" s="2">
        <v>764</v>
      </c>
      <c r="C1747" s="4" t="str">
        <f>HYPERLINK("http://www.uniprot.org/uniprot/M5XKQ1","M5XKQ1")</f>
        <v>M5XKQ1</v>
      </c>
      <c r="D1747" s="2" t="s">
        <v>1701</v>
      </c>
      <c r="E1747" s="3">
        <v>5.8699999999999998E-135</v>
      </c>
      <c r="F1747" s="2">
        <v>1078</v>
      </c>
      <c r="G1747" s="2">
        <v>100</v>
      </c>
      <c r="H1747" s="2">
        <v>239</v>
      </c>
      <c r="I1747" s="2">
        <v>2</v>
      </c>
      <c r="J1747" s="2">
        <v>718</v>
      </c>
      <c r="K1747" s="2">
        <v>1</v>
      </c>
      <c r="L1747" s="2">
        <v>239</v>
      </c>
    </row>
    <row r="1748" spans="1:12" x14ac:dyDescent="0.25">
      <c r="A1748" s="4" t="str">
        <f>HYPERLINK("http://www.rosaceae.org/Prunus/Prunus_persica/p.persica_gdr_reftransV1_0048074","p.persica_gdr_reftransV1_0048074")</f>
        <v>p.persica_gdr_reftransV1_0048074</v>
      </c>
      <c r="B1748" s="2">
        <v>2280</v>
      </c>
      <c r="C1748" s="4" t="str">
        <f>HYPERLINK("http://www.uniprot.org/uniprot/M5WRY3","M5WRY3")</f>
        <v>M5WRY3</v>
      </c>
      <c r="D1748" s="2" t="s">
        <v>1702</v>
      </c>
      <c r="E1748" s="3">
        <v>0</v>
      </c>
      <c r="F1748" s="2">
        <v>3111</v>
      </c>
      <c r="G1748" s="2">
        <v>100</v>
      </c>
      <c r="H1748" s="2">
        <v>609</v>
      </c>
      <c r="I1748" s="2">
        <v>356</v>
      </c>
      <c r="J1748" s="2">
        <v>2182</v>
      </c>
      <c r="K1748" s="2">
        <v>1</v>
      </c>
      <c r="L1748" s="2">
        <v>609</v>
      </c>
    </row>
    <row r="1749" spans="1:12" x14ac:dyDescent="0.25">
      <c r="A1749" s="4" t="str">
        <f>HYPERLINK("http://www.rosaceae.org/Prunus/Prunus_persica/p.persica_gdr_reftransV1_0048774","p.persica_gdr_reftransV1_0048774")</f>
        <v>p.persica_gdr_reftransV1_0048774</v>
      </c>
      <c r="B1749" s="2">
        <v>3119</v>
      </c>
      <c r="C1749" s="4" t="str">
        <f>HYPERLINK("http://www.uniprot.org/uniprot/M5VUD8","M5VUD8")</f>
        <v>M5VUD8</v>
      </c>
      <c r="D1749" s="2" t="s">
        <v>89</v>
      </c>
      <c r="E1749" s="3">
        <v>0</v>
      </c>
      <c r="F1749" s="2">
        <v>2884</v>
      </c>
      <c r="G1749" s="2">
        <v>73</v>
      </c>
      <c r="H1749" s="2">
        <v>837</v>
      </c>
      <c r="I1749" s="2">
        <v>751</v>
      </c>
      <c r="J1749" s="2">
        <v>3117</v>
      </c>
      <c r="K1749" s="2">
        <v>499</v>
      </c>
      <c r="L1749" s="2">
        <v>1303</v>
      </c>
    </row>
    <row r="1750" spans="1:12" x14ac:dyDescent="0.25">
      <c r="A1750" s="4" t="str">
        <f>HYPERLINK("http://www.rosaceae.org/Prunus/Prunus_persica/p.persica_gdr_reftransV1_0049124","p.persica_gdr_reftransV1_0049124")</f>
        <v>p.persica_gdr_reftransV1_0049124</v>
      </c>
      <c r="B1750" s="2">
        <v>1233</v>
      </c>
      <c r="C1750" s="4" t="str">
        <f>HYPERLINK("http://www.uniprot.org/uniprot/M5VYF9","M5VYF9")</f>
        <v>M5VYF9</v>
      </c>
      <c r="D1750" s="2" t="s">
        <v>14</v>
      </c>
      <c r="E1750" s="3">
        <v>0</v>
      </c>
      <c r="F1750" s="2">
        <v>1806</v>
      </c>
      <c r="G1750" s="2">
        <v>100</v>
      </c>
      <c r="H1750" s="2">
        <v>392</v>
      </c>
      <c r="I1750" s="2">
        <v>58</v>
      </c>
      <c r="J1750" s="2">
        <v>1233</v>
      </c>
      <c r="K1750" s="2">
        <v>1</v>
      </c>
      <c r="L1750" s="2">
        <v>392</v>
      </c>
    </row>
    <row r="1751" spans="1:12" x14ac:dyDescent="0.25">
      <c r="A1751" s="4" t="str">
        <f>HYPERLINK("http://www.rosaceae.org/Prunus/Prunus_persica/p.persica_gdr_reftransV1_0000125","p.persica_gdr_reftransV1_0000125")</f>
        <v>p.persica_gdr_reftransV1_0000125</v>
      </c>
      <c r="B1751" s="2">
        <v>1006</v>
      </c>
      <c r="C1751" s="4" t="str">
        <f>HYPERLINK("http://www.uniprot.org/uniprot/M5WRS7","M5WRS7")</f>
        <v>M5WRS7</v>
      </c>
      <c r="D1751" s="2" t="s">
        <v>1703</v>
      </c>
      <c r="E1751" s="3">
        <v>2.0400000000000002E-49</v>
      </c>
      <c r="F1751" s="2">
        <v>434</v>
      </c>
      <c r="G1751" s="2">
        <v>100</v>
      </c>
      <c r="H1751" s="2">
        <v>94</v>
      </c>
      <c r="I1751" s="2">
        <v>67</v>
      </c>
      <c r="J1751" s="2">
        <v>348</v>
      </c>
      <c r="K1751" s="2">
        <v>1</v>
      </c>
      <c r="L1751" s="2">
        <v>94</v>
      </c>
    </row>
    <row r="1752" spans="1:12" x14ac:dyDescent="0.25">
      <c r="A1752" s="4" t="str">
        <f>HYPERLINK("http://www.rosaceae.org/Prunus/Prunus_persica/p.persica_gdr_reftransV1_0001175","p.persica_gdr_reftransV1_0001175")</f>
        <v>p.persica_gdr_reftransV1_0001175</v>
      </c>
      <c r="B1752" s="2">
        <v>2269</v>
      </c>
      <c r="C1752" s="4" t="str">
        <f>HYPERLINK("http://www.uniprot.org/uniprot/M5W9D8","M5W9D8")</f>
        <v>M5W9D8</v>
      </c>
      <c r="D1752" s="2" t="s">
        <v>1704</v>
      </c>
      <c r="E1752" s="3">
        <v>0</v>
      </c>
      <c r="F1752" s="2">
        <v>3376</v>
      </c>
      <c r="G1752" s="2">
        <v>100</v>
      </c>
      <c r="H1752" s="2">
        <v>623</v>
      </c>
      <c r="I1752" s="2">
        <v>3</v>
      </c>
      <c r="J1752" s="2">
        <v>1871</v>
      </c>
      <c r="K1752" s="2">
        <v>545</v>
      </c>
      <c r="L1752" s="2">
        <v>1167</v>
      </c>
    </row>
    <row r="1753" spans="1:12" x14ac:dyDescent="0.25">
      <c r="A1753" s="4" t="str">
        <f>HYPERLINK("http://www.rosaceae.org/Prunus/Prunus_persica/p.persica_gdr_reftransV1_0001525","p.persica_gdr_reftransV1_0001525")</f>
        <v>p.persica_gdr_reftransV1_0001525</v>
      </c>
      <c r="B1753" s="2">
        <v>392</v>
      </c>
      <c r="C1753" s="4" t="str">
        <f>HYPERLINK("http://www.uniprot.org/uniprot/M5Y4T9","M5Y4T9")</f>
        <v>M5Y4T9</v>
      </c>
      <c r="D1753" s="2" t="s">
        <v>1705</v>
      </c>
      <c r="E1753" s="3">
        <v>3.0299999999999998E-79</v>
      </c>
      <c r="F1753" s="2">
        <v>680</v>
      </c>
      <c r="G1753" s="2">
        <v>100</v>
      </c>
      <c r="H1753" s="2">
        <v>130</v>
      </c>
      <c r="I1753" s="2">
        <v>2</v>
      </c>
      <c r="J1753" s="2">
        <v>391</v>
      </c>
      <c r="K1753" s="2">
        <v>712</v>
      </c>
      <c r="L1753" s="2">
        <v>841</v>
      </c>
    </row>
    <row r="1754" spans="1:12" x14ac:dyDescent="0.25">
      <c r="A1754" s="4" t="str">
        <f>HYPERLINK("http://www.rosaceae.org/Prunus/Prunus_persica/p.persica_gdr_reftransV1_0001875","p.persica_gdr_reftransV1_0001875")</f>
        <v>p.persica_gdr_reftransV1_0001875</v>
      </c>
      <c r="B1754" s="2">
        <v>357</v>
      </c>
      <c r="C1754" s="4" t="str">
        <f>HYPERLINK("http://www.uniprot.org/uniprot/M5WKU3","M5WKU3")</f>
        <v>M5WKU3</v>
      </c>
      <c r="D1754" s="2" t="s">
        <v>1706</v>
      </c>
      <c r="E1754" s="3">
        <v>1.8199999999999999E-9</v>
      </c>
      <c r="F1754" s="2">
        <v>148</v>
      </c>
      <c r="G1754" s="2">
        <v>60</v>
      </c>
      <c r="H1754" s="2">
        <v>50</v>
      </c>
      <c r="I1754" s="2">
        <v>100</v>
      </c>
      <c r="J1754" s="2">
        <v>246</v>
      </c>
      <c r="K1754" s="2">
        <v>119</v>
      </c>
      <c r="L1754" s="2">
        <v>168</v>
      </c>
    </row>
    <row r="1755" spans="1:12" x14ac:dyDescent="0.25">
      <c r="A1755" s="4" t="str">
        <f>HYPERLINK("http://www.rosaceae.org/Prunus/Prunus_persica/p.persica_gdr_reftransV1_0002225","p.persica_gdr_reftransV1_0002225")</f>
        <v>p.persica_gdr_reftransV1_0002225</v>
      </c>
      <c r="B1755" s="2">
        <v>944</v>
      </c>
      <c r="C1755" s="4" t="str">
        <f>HYPERLINK("http://www.uniprot.org/uniprot/B9I1P0","B9I1P0")</f>
        <v>B9I1P0</v>
      </c>
      <c r="D1755" s="2" t="s">
        <v>1707</v>
      </c>
      <c r="E1755" s="3">
        <v>3.0699999999999999E-134</v>
      </c>
      <c r="F1755" s="2">
        <v>1009</v>
      </c>
      <c r="G1755" s="2">
        <v>76</v>
      </c>
      <c r="H1755" s="2">
        <v>238</v>
      </c>
      <c r="I1755" s="2">
        <v>196</v>
      </c>
      <c r="J1755" s="2">
        <v>909</v>
      </c>
      <c r="K1755" s="2">
        <v>1</v>
      </c>
      <c r="L1755" s="2">
        <v>238</v>
      </c>
    </row>
    <row r="1756" spans="1:12" x14ac:dyDescent="0.25">
      <c r="A1756" s="4" t="str">
        <f>HYPERLINK("http://www.rosaceae.org/Prunus/Prunus_persica/p.persica_gdr_reftransV1_0002575","p.persica_gdr_reftransV1_0002575")</f>
        <v>p.persica_gdr_reftransV1_0002575</v>
      </c>
      <c r="B1756" s="2">
        <v>922</v>
      </c>
      <c r="C1756" s="4" t="str">
        <f>HYPERLINK("http://www.uniprot.org/uniprot/M5XJL3","M5XJL3")</f>
        <v>M5XJL3</v>
      </c>
      <c r="D1756" s="2" t="s">
        <v>1708</v>
      </c>
      <c r="E1756" s="3">
        <v>1.4199999999999999E-130</v>
      </c>
      <c r="F1756" s="2">
        <v>1003</v>
      </c>
      <c r="G1756" s="2">
        <v>100</v>
      </c>
      <c r="H1756" s="2">
        <v>196</v>
      </c>
      <c r="I1756" s="2">
        <v>106</v>
      </c>
      <c r="J1756" s="2">
        <v>693</v>
      </c>
      <c r="K1756" s="2">
        <v>239</v>
      </c>
      <c r="L1756" s="2">
        <v>434</v>
      </c>
    </row>
    <row r="1757" spans="1:12" x14ac:dyDescent="0.25">
      <c r="A1757" s="4" t="str">
        <f>HYPERLINK("http://www.rosaceae.org/Prunus/Prunus_persica/p.persica_gdr_reftransV1_0003275","p.persica_gdr_reftransV1_0003275")</f>
        <v>p.persica_gdr_reftransV1_0003275</v>
      </c>
      <c r="B1757" s="2">
        <v>315</v>
      </c>
      <c r="C1757" s="4" t="str">
        <f>HYPERLINK("http://www.uniprot.org/uniprot/T5AF29","T5AF29")</f>
        <v>T5AF29</v>
      </c>
      <c r="D1757" s="2" t="s">
        <v>1709</v>
      </c>
      <c r="E1757" s="3">
        <v>4.7599999999999998E-70</v>
      </c>
      <c r="F1757" s="2">
        <v>557</v>
      </c>
      <c r="G1757" s="2">
        <v>100</v>
      </c>
      <c r="H1757" s="2">
        <v>104</v>
      </c>
      <c r="I1757" s="2">
        <v>2</v>
      </c>
      <c r="J1757" s="2">
        <v>313</v>
      </c>
      <c r="K1757" s="2">
        <v>76</v>
      </c>
      <c r="L1757" s="2">
        <v>179</v>
      </c>
    </row>
    <row r="1758" spans="1:12" x14ac:dyDescent="0.25">
      <c r="A1758" s="4" t="str">
        <f>HYPERLINK("http://www.rosaceae.org/Prunus/Prunus_persica/p.persica_gdr_reftransV1_0004325","p.persica_gdr_reftransV1_0004325")</f>
        <v>p.persica_gdr_reftransV1_0004325</v>
      </c>
      <c r="B1758" s="2">
        <v>448</v>
      </c>
      <c r="C1758" s="4" t="str">
        <f>HYPERLINK("http://www.uniprot.org/uniprot/M5Y1Z6","M5Y1Z6")</f>
        <v>M5Y1Z6</v>
      </c>
      <c r="D1758" s="2" t="s">
        <v>1710</v>
      </c>
      <c r="E1758" s="3">
        <v>8.4000000000000003E-42</v>
      </c>
      <c r="F1758" s="2">
        <v>364</v>
      </c>
      <c r="G1758" s="2">
        <v>100</v>
      </c>
      <c r="H1758" s="2">
        <v>70</v>
      </c>
      <c r="I1758" s="2">
        <v>146</v>
      </c>
      <c r="J1758" s="2">
        <v>355</v>
      </c>
      <c r="K1758" s="2">
        <v>1</v>
      </c>
      <c r="L1758" s="2">
        <v>70</v>
      </c>
    </row>
    <row r="1759" spans="1:12" x14ac:dyDescent="0.25">
      <c r="A1759" s="4" t="str">
        <f>HYPERLINK("http://www.rosaceae.org/Prunus/Prunus_persica/p.persica_gdr_reftransV1_0004675","p.persica_gdr_reftransV1_0004675")</f>
        <v>p.persica_gdr_reftransV1_0004675</v>
      </c>
      <c r="B1759" s="2">
        <v>1198</v>
      </c>
      <c r="C1759" s="4" t="str">
        <f>HYPERLINK("http://www.uniprot.org/uniprot/F6I687","F6I687")</f>
        <v>F6I687</v>
      </c>
      <c r="D1759" s="2" t="s">
        <v>1711</v>
      </c>
      <c r="E1759" s="3">
        <v>3.8900000000000002E-102</v>
      </c>
      <c r="F1759" s="2">
        <v>542</v>
      </c>
      <c r="G1759" s="2">
        <v>68</v>
      </c>
      <c r="H1759" s="2">
        <v>152</v>
      </c>
      <c r="I1759" s="2">
        <v>174</v>
      </c>
      <c r="J1759" s="2">
        <v>626</v>
      </c>
      <c r="K1759" s="2">
        <v>262</v>
      </c>
      <c r="L1759" s="2">
        <v>413</v>
      </c>
    </row>
    <row r="1760" spans="1:12" x14ac:dyDescent="0.25">
      <c r="A1760" s="4" t="str">
        <f>HYPERLINK("http://www.rosaceae.org/Prunus/Prunus_persica/p.persica_gdr_reftransV1_0005025","p.persica_gdr_reftransV1_0005025")</f>
        <v>p.persica_gdr_reftransV1_0005025</v>
      </c>
      <c r="B1760" s="2">
        <v>713</v>
      </c>
      <c r="C1760" s="4" t="str">
        <f>HYPERLINK("http://www.uniprot.org/uniprot/M5XZ31","M5XZ31")</f>
        <v>M5XZ31</v>
      </c>
      <c r="D1760" s="2" t="s">
        <v>1712</v>
      </c>
      <c r="E1760" s="3">
        <v>3.6100000000000001E-46</v>
      </c>
      <c r="F1760" s="2">
        <v>405</v>
      </c>
      <c r="G1760" s="2">
        <v>98</v>
      </c>
      <c r="H1760" s="2">
        <v>104</v>
      </c>
      <c r="I1760" s="2">
        <v>24</v>
      </c>
      <c r="J1760" s="2">
        <v>335</v>
      </c>
      <c r="K1760" s="2">
        <v>1</v>
      </c>
      <c r="L1760" s="2">
        <v>104</v>
      </c>
    </row>
    <row r="1761" spans="1:12" x14ac:dyDescent="0.25">
      <c r="A1761" s="4" t="str">
        <f>HYPERLINK("http://www.rosaceae.org/Prunus/Prunus_persica/p.persica_gdr_reftransV1_0005375","p.persica_gdr_reftransV1_0005375")</f>
        <v>p.persica_gdr_reftransV1_0005375</v>
      </c>
      <c r="B1761" s="2">
        <v>2442</v>
      </c>
      <c r="C1761" s="4" t="str">
        <f>HYPERLINK("http://www.uniprot.org/uniprot/M5WQ35","M5WQ35")</f>
        <v>M5WQ35</v>
      </c>
      <c r="D1761" s="2" t="s">
        <v>1713</v>
      </c>
      <c r="E1761" s="3">
        <v>0</v>
      </c>
      <c r="F1761" s="2">
        <v>2954</v>
      </c>
      <c r="G1761" s="2">
        <v>79</v>
      </c>
      <c r="H1761" s="2">
        <v>727</v>
      </c>
      <c r="I1761" s="2">
        <v>11</v>
      </c>
      <c r="J1761" s="2">
        <v>2167</v>
      </c>
      <c r="K1761" s="2">
        <v>1</v>
      </c>
      <c r="L1761" s="2">
        <v>681</v>
      </c>
    </row>
    <row r="1762" spans="1:12" x14ac:dyDescent="0.25">
      <c r="A1762" s="4" t="str">
        <f>HYPERLINK("http://www.rosaceae.org/Prunus/Prunus_persica/p.persica_gdr_reftransV1_0005725","p.persica_gdr_reftransV1_0005725")</f>
        <v>p.persica_gdr_reftransV1_0005725</v>
      </c>
      <c r="B1762" s="2">
        <v>414</v>
      </c>
      <c r="C1762" s="4" t="str">
        <f>HYPERLINK("http://www.uniprot.org/uniprot/W9SVK5","W9SVK5")</f>
        <v>W9SVK5</v>
      </c>
      <c r="D1762" s="2" t="s">
        <v>1714</v>
      </c>
      <c r="E1762" s="3">
        <v>2.9199999999999998E-14</v>
      </c>
      <c r="F1762" s="2">
        <v>184</v>
      </c>
      <c r="G1762" s="2">
        <v>67</v>
      </c>
      <c r="H1762" s="2">
        <v>49</v>
      </c>
      <c r="I1762" s="2">
        <v>266</v>
      </c>
      <c r="J1762" s="2">
        <v>412</v>
      </c>
      <c r="K1762" s="2">
        <v>12</v>
      </c>
      <c r="L1762" s="2">
        <v>60</v>
      </c>
    </row>
    <row r="1763" spans="1:12" x14ac:dyDescent="0.25">
      <c r="A1763" s="4" t="str">
        <f>HYPERLINK("http://www.rosaceae.org/Prunus/Prunus_persica/p.persica_gdr_reftransV1_0006775","p.persica_gdr_reftransV1_0006775")</f>
        <v>p.persica_gdr_reftransV1_0006775</v>
      </c>
      <c r="B1763" s="2">
        <v>523</v>
      </c>
      <c r="C1763" s="4" t="str">
        <f>HYPERLINK("http://www.uniprot.org/uniprot/M4DMN8","M4DMN8")</f>
        <v>M4DMN8</v>
      </c>
      <c r="D1763" s="2" t="s">
        <v>1715</v>
      </c>
      <c r="E1763" s="3">
        <v>9.8499999999999997E-14</v>
      </c>
      <c r="F1763" s="2">
        <v>193</v>
      </c>
      <c r="G1763" s="2">
        <v>38</v>
      </c>
      <c r="H1763" s="2">
        <v>92</v>
      </c>
      <c r="I1763" s="2">
        <v>116</v>
      </c>
      <c r="J1763" s="2">
        <v>370</v>
      </c>
      <c r="K1763" s="2">
        <v>78</v>
      </c>
      <c r="L1763" s="2">
        <v>169</v>
      </c>
    </row>
    <row r="1764" spans="1:12" x14ac:dyDescent="0.25">
      <c r="A1764" s="4" t="str">
        <f>HYPERLINK("http://www.rosaceae.org/Prunus/Prunus_persica/p.persica_gdr_reftransV1_0007825","p.persica_gdr_reftransV1_0007825")</f>
        <v>p.persica_gdr_reftransV1_0007825</v>
      </c>
      <c r="B1764" s="2">
        <v>1089</v>
      </c>
      <c r="C1764" s="4" t="str">
        <f>HYPERLINK("http://www.uniprot.org/uniprot/M5XC44","M5XC44")</f>
        <v>M5XC44</v>
      </c>
      <c r="D1764" s="2" t="s">
        <v>1716</v>
      </c>
      <c r="E1764" s="3">
        <v>9.7499999999999998E-118</v>
      </c>
      <c r="F1764" s="2">
        <v>904</v>
      </c>
      <c r="G1764" s="2">
        <v>98</v>
      </c>
      <c r="H1764" s="2">
        <v>210</v>
      </c>
      <c r="I1764" s="2">
        <v>358</v>
      </c>
      <c r="J1764" s="2">
        <v>987</v>
      </c>
      <c r="K1764" s="2">
        <v>1</v>
      </c>
      <c r="L1764" s="2">
        <v>210</v>
      </c>
    </row>
    <row r="1765" spans="1:12" x14ac:dyDescent="0.25">
      <c r="A1765" s="4" t="str">
        <f>HYPERLINK("http://www.rosaceae.org/Prunus/Prunus_persica/p.persica_gdr_reftransV1_0008875","p.persica_gdr_reftransV1_0008875")</f>
        <v>p.persica_gdr_reftransV1_0008875</v>
      </c>
      <c r="B1765" s="2">
        <v>603</v>
      </c>
      <c r="C1765" s="4" t="str">
        <f>HYPERLINK("http://www.uniprot.org/uniprot/M5VGH8","M5VGH8")</f>
        <v>M5VGH8</v>
      </c>
      <c r="D1765" s="2" t="s">
        <v>1717</v>
      </c>
      <c r="E1765" s="3">
        <v>7.4700000000000002E-62</v>
      </c>
      <c r="F1765" s="2">
        <v>446</v>
      </c>
      <c r="G1765" s="2">
        <v>94</v>
      </c>
      <c r="H1765" s="2">
        <v>88</v>
      </c>
      <c r="I1765" s="2">
        <v>178</v>
      </c>
      <c r="J1765" s="2">
        <v>441</v>
      </c>
      <c r="K1765" s="2">
        <v>318</v>
      </c>
      <c r="L1765" s="2">
        <v>405</v>
      </c>
    </row>
    <row r="1766" spans="1:12" x14ac:dyDescent="0.25">
      <c r="A1766" s="4" t="str">
        <f>HYPERLINK("http://www.rosaceae.org/Prunus/Prunus_persica/p.persica_gdr_reftransV1_0009925","p.persica_gdr_reftransV1_0009925")</f>
        <v>p.persica_gdr_reftransV1_0009925</v>
      </c>
      <c r="B1766" s="2">
        <v>789</v>
      </c>
      <c r="C1766" s="4" t="str">
        <f>HYPERLINK("http://www.uniprot.org/uniprot/A0A061F627","A0A061F627")</f>
        <v>A0A061F627</v>
      </c>
      <c r="D1766" s="2" t="s">
        <v>1718</v>
      </c>
      <c r="E1766" s="3">
        <v>7.7499999999999995E-35</v>
      </c>
      <c r="F1766" s="2">
        <v>330</v>
      </c>
      <c r="G1766" s="2">
        <v>69</v>
      </c>
      <c r="H1766" s="2">
        <v>94</v>
      </c>
      <c r="I1766" s="2">
        <v>67</v>
      </c>
      <c r="J1766" s="2">
        <v>348</v>
      </c>
      <c r="K1766" s="2">
        <v>2</v>
      </c>
      <c r="L1766" s="2">
        <v>94</v>
      </c>
    </row>
    <row r="1767" spans="1:12" x14ac:dyDescent="0.25">
      <c r="A1767" s="4" t="str">
        <f>HYPERLINK("http://www.rosaceae.org/Prunus/Prunus_persica/p.persica_gdr_reftransV1_0011675","p.persica_gdr_reftransV1_0011675")</f>
        <v>p.persica_gdr_reftransV1_0011675</v>
      </c>
      <c r="B1767" s="2">
        <v>2262</v>
      </c>
      <c r="C1767" s="4" t="str">
        <f>HYPERLINK("http://www.uniprot.org/uniprot/L7RAE0","L7RAE0")</f>
        <v>L7RAE0</v>
      </c>
      <c r="D1767" s="2" t="s">
        <v>1719</v>
      </c>
      <c r="E1767" s="3">
        <v>0</v>
      </c>
      <c r="F1767" s="2">
        <v>2786</v>
      </c>
      <c r="G1767" s="2">
        <v>99</v>
      </c>
      <c r="H1767" s="2">
        <v>593</v>
      </c>
      <c r="I1767" s="2">
        <v>190</v>
      </c>
      <c r="J1767" s="2">
        <v>1968</v>
      </c>
      <c r="K1767" s="2">
        <v>1</v>
      </c>
      <c r="L1767" s="2">
        <v>593</v>
      </c>
    </row>
    <row r="1768" spans="1:12" x14ac:dyDescent="0.25">
      <c r="A1768" s="4" t="str">
        <f>HYPERLINK("http://www.rosaceae.org/Prunus/Prunus_persica/p.persica_gdr_reftransV1_0012025","p.persica_gdr_reftransV1_0012025")</f>
        <v>p.persica_gdr_reftransV1_0012025</v>
      </c>
      <c r="B1768" s="2">
        <v>2836</v>
      </c>
      <c r="C1768" s="4" t="str">
        <f>HYPERLINK("http://www.uniprot.org/uniprot/M5XT06","M5XT06")</f>
        <v>M5XT06</v>
      </c>
      <c r="D1768" s="2" t="s">
        <v>1720</v>
      </c>
      <c r="E1768" s="3">
        <v>0</v>
      </c>
      <c r="F1768" s="2">
        <v>1969</v>
      </c>
      <c r="G1768" s="2">
        <v>100</v>
      </c>
      <c r="H1768" s="2">
        <v>428</v>
      </c>
      <c r="I1768" s="2">
        <v>143</v>
      </c>
      <c r="J1768" s="2">
        <v>1426</v>
      </c>
      <c r="K1768" s="2">
        <v>1</v>
      </c>
      <c r="L1768" s="2">
        <v>428</v>
      </c>
    </row>
    <row r="1769" spans="1:12" x14ac:dyDescent="0.25">
      <c r="A1769" s="4" t="str">
        <f>HYPERLINK("http://www.rosaceae.org/Prunus/Prunus_persica/p.persica_gdr_reftransV1_0012375","p.persica_gdr_reftransV1_0012375")</f>
        <v>p.persica_gdr_reftransV1_0012375</v>
      </c>
      <c r="B1769" s="2">
        <v>563</v>
      </c>
      <c r="C1769" s="4" t="str">
        <f>HYPERLINK("http://www.uniprot.org/uniprot/M5VH10","M5VH10")</f>
        <v>M5VH10</v>
      </c>
      <c r="D1769" s="2" t="s">
        <v>1721</v>
      </c>
      <c r="E1769" s="3">
        <v>1.1199999999999999E-115</v>
      </c>
      <c r="F1769" s="2">
        <v>874</v>
      </c>
      <c r="G1769" s="2">
        <v>100</v>
      </c>
      <c r="H1769" s="2">
        <v>167</v>
      </c>
      <c r="I1769" s="2">
        <v>43</v>
      </c>
      <c r="J1769" s="2">
        <v>543</v>
      </c>
      <c r="K1769" s="2">
        <v>1</v>
      </c>
      <c r="L1769" s="2">
        <v>167</v>
      </c>
    </row>
    <row r="1770" spans="1:12" x14ac:dyDescent="0.25">
      <c r="A1770" s="4" t="str">
        <f>HYPERLINK("http://www.rosaceae.org/Prunus/Prunus_persica/p.persica_gdr_reftransV1_0013075","p.persica_gdr_reftransV1_0013075")</f>
        <v>p.persica_gdr_reftransV1_0013075</v>
      </c>
      <c r="B1770" s="2">
        <v>424</v>
      </c>
      <c r="C1770" s="4" t="str">
        <f>HYPERLINK("http://www.uniprot.org/uniprot/M5X2V6","M5X2V6")</f>
        <v>M5X2V6</v>
      </c>
      <c r="D1770" s="2" t="s">
        <v>1722</v>
      </c>
      <c r="E1770" s="3">
        <v>2.2099999999999998E-93</v>
      </c>
      <c r="F1770" s="2">
        <v>733</v>
      </c>
      <c r="G1770" s="2">
        <v>100</v>
      </c>
      <c r="H1770" s="2">
        <v>141</v>
      </c>
      <c r="I1770" s="2">
        <v>2</v>
      </c>
      <c r="J1770" s="2">
        <v>424</v>
      </c>
      <c r="K1770" s="2">
        <v>114</v>
      </c>
      <c r="L1770" s="2">
        <v>254</v>
      </c>
    </row>
    <row r="1771" spans="1:12" x14ac:dyDescent="0.25">
      <c r="A1771" s="4" t="str">
        <f>HYPERLINK("http://www.rosaceae.org/Prunus/Prunus_persica/p.persica_gdr_reftransV1_0013425","p.persica_gdr_reftransV1_0013425")</f>
        <v>p.persica_gdr_reftransV1_0013425</v>
      </c>
      <c r="B1771" s="2">
        <v>427</v>
      </c>
      <c r="C1771" s="4" t="str">
        <f>HYPERLINK("http://www.uniprot.org/uniprot/M5VRB7","M5VRB7")</f>
        <v>M5VRB7</v>
      </c>
      <c r="D1771" s="2" t="s">
        <v>1723</v>
      </c>
      <c r="E1771" s="3">
        <v>2.1900000000000001E-71</v>
      </c>
      <c r="F1771" s="2">
        <v>583</v>
      </c>
      <c r="G1771" s="2">
        <v>100</v>
      </c>
      <c r="H1771" s="2">
        <v>107</v>
      </c>
      <c r="I1771" s="2">
        <v>3</v>
      </c>
      <c r="J1771" s="2">
        <v>323</v>
      </c>
      <c r="K1771" s="2">
        <v>1</v>
      </c>
      <c r="L1771" s="2">
        <v>107</v>
      </c>
    </row>
    <row r="1772" spans="1:12" x14ac:dyDescent="0.25">
      <c r="A1772" s="4" t="str">
        <f>HYPERLINK("http://www.rosaceae.org/Prunus/Prunus_persica/p.persica_gdr_reftransV1_0014825","p.persica_gdr_reftransV1_0014825")</f>
        <v>p.persica_gdr_reftransV1_0014825</v>
      </c>
      <c r="B1772" s="2">
        <v>1135</v>
      </c>
      <c r="C1772" s="4" t="str">
        <f>HYPERLINK("http://www.uniprot.org/uniprot/M5XDF8","M5XDF8")</f>
        <v>M5XDF8</v>
      </c>
      <c r="D1772" s="2" t="s">
        <v>1724</v>
      </c>
      <c r="E1772" s="3">
        <v>4.3399999999999998E-161</v>
      </c>
      <c r="F1772" s="2">
        <v>1191</v>
      </c>
      <c r="G1772" s="2">
        <v>100</v>
      </c>
      <c r="H1772" s="2">
        <v>225</v>
      </c>
      <c r="I1772" s="2">
        <v>362</v>
      </c>
      <c r="J1772" s="2">
        <v>1036</v>
      </c>
      <c r="K1772" s="2">
        <v>1</v>
      </c>
      <c r="L1772" s="2">
        <v>225</v>
      </c>
    </row>
    <row r="1773" spans="1:12" x14ac:dyDescent="0.25">
      <c r="A1773" s="4" t="str">
        <f>HYPERLINK("http://www.rosaceae.org/Prunus/Prunus_persica/p.persica_gdr_reftransV1_0015875","p.persica_gdr_reftransV1_0015875")</f>
        <v>p.persica_gdr_reftransV1_0015875</v>
      </c>
      <c r="B1773" s="2">
        <v>1815</v>
      </c>
      <c r="C1773" s="4" t="str">
        <f>HYPERLINK("http://www.uniprot.org/uniprot/M5VSV0","M5VSV0")</f>
        <v>M5VSV0</v>
      </c>
      <c r="D1773" s="2" t="s">
        <v>1725</v>
      </c>
      <c r="E1773" s="3">
        <v>0</v>
      </c>
      <c r="F1773" s="2">
        <v>2025</v>
      </c>
      <c r="G1773" s="2">
        <v>100</v>
      </c>
      <c r="H1773" s="2">
        <v>376</v>
      </c>
      <c r="I1773" s="2">
        <v>182</v>
      </c>
      <c r="J1773" s="2">
        <v>1309</v>
      </c>
      <c r="K1773" s="2">
        <v>644</v>
      </c>
      <c r="L1773" s="2">
        <v>1019</v>
      </c>
    </row>
    <row r="1774" spans="1:12" x14ac:dyDescent="0.25">
      <c r="A1774" s="4" t="str">
        <f>HYPERLINK("http://www.rosaceae.org/Prunus/Prunus_persica/p.persica_gdr_reftransV1_0016225","p.persica_gdr_reftransV1_0016225")</f>
        <v>p.persica_gdr_reftransV1_0016225</v>
      </c>
      <c r="B1774" s="2">
        <v>2920</v>
      </c>
      <c r="C1774" s="4" t="str">
        <f>HYPERLINK("http://www.uniprot.org/uniprot/M5VYV9","M5VYV9")</f>
        <v>M5VYV9</v>
      </c>
      <c r="D1774" s="2" t="s">
        <v>1726</v>
      </c>
      <c r="E1774" s="3">
        <v>0</v>
      </c>
      <c r="F1774" s="2">
        <v>1788</v>
      </c>
      <c r="G1774" s="2">
        <v>100</v>
      </c>
      <c r="H1774" s="2">
        <v>329</v>
      </c>
      <c r="I1774" s="2">
        <v>1933</v>
      </c>
      <c r="J1774" s="2">
        <v>2919</v>
      </c>
      <c r="K1774" s="2">
        <v>198</v>
      </c>
      <c r="L1774" s="2">
        <v>526</v>
      </c>
    </row>
    <row r="1775" spans="1:12" x14ac:dyDescent="0.25">
      <c r="A1775" s="4" t="str">
        <f>HYPERLINK("http://www.rosaceae.org/Prunus/Prunus_persica/p.persica_gdr_reftransV1_0016575","p.persica_gdr_reftransV1_0016575")</f>
        <v>p.persica_gdr_reftransV1_0016575</v>
      </c>
      <c r="B1775" s="2">
        <v>1166</v>
      </c>
      <c r="C1775" s="4" t="str">
        <f>HYPERLINK("http://www.uniprot.org/uniprot/M5Y7V4","M5Y7V4")</f>
        <v>M5Y7V4</v>
      </c>
      <c r="D1775" s="2" t="s">
        <v>1727</v>
      </c>
      <c r="E1775" s="3">
        <v>0</v>
      </c>
      <c r="F1775" s="2">
        <v>1407</v>
      </c>
      <c r="G1775" s="2">
        <v>100</v>
      </c>
      <c r="H1775" s="2">
        <v>265</v>
      </c>
      <c r="I1775" s="2">
        <v>326</v>
      </c>
      <c r="J1775" s="2">
        <v>1120</v>
      </c>
      <c r="K1775" s="2">
        <v>1</v>
      </c>
      <c r="L1775" s="2">
        <v>265</v>
      </c>
    </row>
    <row r="1776" spans="1:12" x14ac:dyDescent="0.25">
      <c r="A1776" s="4" t="str">
        <f>HYPERLINK("http://www.rosaceae.org/Prunus/Prunus_persica/p.persica_gdr_reftransV1_0018325","p.persica_gdr_reftransV1_0018325")</f>
        <v>p.persica_gdr_reftransV1_0018325</v>
      </c>
      <c r="B1776" s="2">
        <v>3631</v>
      </c>
      <c r="C1776" s="4" t="str">
        <f>HYPERLINK("http://www.uniprot.org/uniprot/M5XM69","M5XM69")</f>
        <v>M5XM69</v>
      </c>
      <c r="D1776" s="2" t="s">
        <v>1728</v>
      </c>
      <c r="E1776" s="3">
        <v>0</v>
      </c>
      <c r="F1776" s="2">
        <v>5388</v>
      </c>
      <c r="G1776" s="2">
        <v>100</v>
      </c>
      <c r="H1776" s="2">
        <v>1038</v>
      </c>
      <c r="I1776" s="2">
        <v>206</v>
      </c>
      <c r="J1776" s="2">
        <v>3319</v>
      </c>
      <c r="K1776" s="2">
        <v>1</v>
      </c>
      <c r="L1776" s="2">
        <v>1038</v>
      </c>
    </row>
    <row r="1777" spans="1:12" x14ac:dyDescent="0.25">
      <c r="A1777" s="4" t="str">
        <f>HYPERLINK("http://www.rosaceae.org/Prunus/Prunus_persica/p.persica_gdr_reftransV1_0021475","p.persica_gdr_reftransV1_0021475")</f>
        <v>p.persica_gdr_reftransV1_0021475</v>
      </c>
      <c r="B1777" s="2">
        <v>1472</v>
      </c>
      <c r="C1777" s="4" t="str">
        <f>HYPERLINK("http://www.uniprot.org/uniprot/M5WIW9","M5WIW9")</f>
        <v>M5WIW9</v>
      </c>
      <c r="D1777" s="2" t="s">
        <v>1729</v>
      </c>
      <c r="E1777" s="3">
        <v>2.4799999999999999E-169</v>
      </c>
      <c r="F1777" s="2">
        <v>1133</v>
      </c>
      <c r="G1777" s="2">
        <v>100</v>
      </c>
      <c r="H1777" s="2">
        <v>236</v>
      </c>
      <c r="I1777" s="2">
        <v>523</v>
      </c>
      <c r="J1777" s="2">
        <v>1230</v>
      </c>
      <c r="K1777" s="2">
        <v>1</v>
      </c>
      <c r="L1777" s="2">
        <v>236</v>
      </c>
    </row>
    <row r="1778" spans="1:12" x14ac:dyDescent="0.25">
      <c r="A1778" s="4" t="str">
        <f>HYPERLINK("http://www.rosaceae.org/Prunus/Prunus_persica/p.persica_gdr_reftransV1_0021825","p.persica_gdr_reftransV1_0021825")</f>
        <v>p.persica_gdr_reftransV1_0021825</v>
      </c>
      <c r="B1778" s="2">
        <v>625</v>
      </c>
      <c r="C1778" s="4" t="str">
        <f>HYPERLINK("http://www.uniprot.org/uniprot/M5Y0I7","M5Y0I7")</f>
        <v>M5Y0I7</v>
      </c>
      <c r="D1778" s="2" t="s">
        <v>1730</v>
      </c>
      <c r="E1778" s="3">
        <v>4.1200000000000001E-77</v>
      </c>
      <c r="F1778" s="2">
        <v>618</v>
      </c>
      <c r="G1778" s="2">
        <v>79</v>
      </c>
      <c r="H1778" s="2">
        <v>191</v>
      </c>
      <c r="I1778" s="2">
        <v>14</v>
      </c>
      <c r="J1778" s="2">
        <v>586</v>
      </c>
      <c r="K1778" s="2">
        <v>1</v>
      </c>
      <c r="L1778" s="2">
        <v>151</v>
      </c>
    </row>
    <row r="1779" spans="1:12" x14ac:dyDescent="0.25">
      <c r="A1779" s="4" t="str">
        <f>HYPERLINK("http://www.rosaceae.org/Prunus/Prunus_persica/p.persica_gdr_reftransV1_0022525","p.persica_gdr_reftransV1_0022525")</f>
        <v>p.persica_gdr_reftransV1_0022525</v>
      </c>
      <c r="B1779" s="2">
        <v>1147</v>
      </c>
      <c r="C1779" s="4" t="str">
        <f>HYPERLINK("http://www.uniprot.org/uniprot/M5WAG8","M5WAG8")</f>
        <v>M5WAG8</v>
      </c>
      <c r="D1779" s="2" t="s">
        <v>1731</v>
      </c>
      <c r="E1779" s="3">
        <v>1.99E-140</v>
      </c>
      <c r="F1779" s="2">
        <v>1056</v>
      </c>
      <c r="G1779" s="2">
        <v>100</v>
      </c>
      <c r="H1779" s="2">
        <v>235</v>
      </c>
      <c r="I1779" s="2">
        <v>101</v>
      </c>
      <c r="J1779" s="2">
        <v>805</v>
      </c>
      <c r="K1779" s="2">
        <v>1</v>
      </c>
      <c r="L1779" s="2">
        <v>235</v>
      </c>
    </row>
    <row r="1780" spans="1:12" x14ac:dyDescent="0.25">
      <c r="A1780" s="4" t="str">
        <f>HYPERLINK("http://www.rosaceae.org/Prunus/Prunus_persica/p.persica_gdr_reftransV1_0022875","p.persica_gdr_reftransV1_0022875")</f>
        <v>p.persica_gdr_reftransV1_0022875</v>
      </c>
      <c r="B1780" s="2">
        <v>1769</v>
      </c>
      <c r="C1780" s="4" t="str">
        <f>HYPERLINK("http://www.uniprot.org/uniprot/M5Y7H4","M5Y7H4")</f>
        <v>M5Y7H4</v>
      </c>
      <c r="D1780" s="2" t="s">
        <v>1732</v>
      </c>
      <c r="E1780" s="3">
        <v>0</v>
      </c>
      <c r="F1780" s="2">
        <v>2237</v>
      </c>
      <c r="G1780" s="2">
        <v>100</v>
      </c>
      <c r="H1780" s="2">
        <v>448</v>
      </c>
      <c r="I1780" s="2">
        <v>297</v>
      </c>
      <c r="J1780" s="2">
        <v>1640</v>
      </c>
      <c r="K1780" s="2">
        <v>1</v>
      </c>
      <c r="L1780" s="2">
        <v>448</v>
      </c>
    </row>
    <row r="1781" spans="1:12" x14ac:dyDescent="0.25">
      <c r="A1781" s="4" t="str">
        <f>HYPERLINK("http://www.rosaceae.org/Prunus/Prunus_persica/p.persica_gdr_reftransV1_0024625","p.persica_gdr_reftransV1_0024625")</f>
        <v>p.persica_gdr_reftransV1_0024625</v>
      </c>
      <c r="B1781" s="2">
        <v>3978</v>
      </c>
      <c r="C1781" s="4" t="str">
        <f>HYPERLINK("http://www.uniprot.org/uniprot/M5XSS4","M5XSS4")</f>
        <v>M5XSS4</v>
      </c>
      <c r="D1781" s="2" t="s">
        <v>1733</v>
      </c>
      <c r="E1781" s="3">
        <v>2.4E-123</v>
      </c>
      <c r="F1781" s="2">
        <v>1013</v>
      </c>
      <c r="G1781" s="2">
        <v>83</v>
      </c>
      <c r="H1781" s="2">
        <v>255</v>
      </c>
      <c r="I1781" s="2">
        <v>2851</v>
      </c>
      <c r="J1781" s="2">
        <v>3615</v>
      </c>
      <c r="K1781" s="2">
        <v>50</v>
      </c>
      <c r="L1781" s="2">
        <v>261</v>
      </c>
    </row>
    <row r="1782" spans="1:12" x14ac:dyDescent="0.25">
      <c r="A1782" s="4" t="str">
        <f>HYPERLINK("http://www.rosaceae.org/Prunus/Prunus_persica/p.persica_gdr_reftransV1_0025675","p.persica_gdr_reftransV1_0025675")</f>
        <v>p.persica_gdr_reftransV1_0025675</v>
      </c>
      <c r="B1782" s="2">
        <v>1987</v>
      </c>
      <c r="C1782" s="4" t="str">
        <f>HYPERLINK("http://www.uniprot.org/uniprot/M5WAH1","M5WAH1")</f>
        <v>M5WAH1</v>
      </c>
      <c r="D1782" s="2" t="s">
        <v>1734</v>
      </c>
      <c r="E1782" s="3">
        <v>0</v>
      </c>
      <c r="F1782" s="2">
        <v>1072</v>
      </c>
      <c r="G1782" s="2">
        <v>99</v>
      </c>
      <c r="H1782" s="2">
        <v>200</v>
      </c>
      <c r="I1782" s="2">
        <v>719</v>
      </c>
      <c r="J1782" s="2">
        <v>1318</v>
      </c>
      <c r="K1782" s="2">
        <v>102</v>
      </c>
      <c r="L1782" s="2">
        <v>301</v>
      </c>
    </row>
    <row r="1783" spans="1:12" x14ac:dyDescent="0.25">
      <c r="A1783" s="4" t="str">
        <f>HYPERLINK("http://www.rosaceae.org/Prunus/Prunus_persica/p.persica_gdr_reftransV1_0026025","p.persica_gdr_reftransV1_0026025")</f>
        <v>p.persica_gdr_reftransV1_0026025</v>
      </c>
      <c r="B1783" s="2">
        <v>2383</v>
      </c>
      <c r="C1783" s="4" t="str">
        <f>HYPERLINK("http://www.uniprot.org/uniprot/M5WGH8","M5WGH8")</f>
        <v>M5WGH8</v>
      </c>
      <c r="D1783" s="2" t="s">
        <v>1735</v>
      </c>
      <c r="E1783" s="3">
        <v>8.5100000000000006E-52</v>
      </c>
      <c r="F1783" s="2">
        <v>494</v>
      </c>
      <c r="G1783" s="2">
        <v>98</v>
      </c>
      <c r="H1783" s="2">
        <v>110</v>
      </c>
      <c r="I1783" s="2">
        <v>269</v>
      </c>
      <c r="J1783" s="2">
        <v>598</v>
      </c>
      <c r="K1783" s="2">
        <v>246</v>
      </c>
      <c r="L1783" s="2">
        <v>355</v>
      </c>
    </row>
    <row r="1784" spans="1:12" x14ac:dyDescent="0.25">
      <c r="A1784" s="4" t="str">
        <f>HYPERLINK("http://www.rosaceae.org/Prunus/Prunus_persica/p.persica_gdr_reftransV1_0026725","p.persica_gdr_reftransV1_0026725")</f>
        <v>p.persica_gdr_reftransV1_0026725</v>
      </c>
      <c r="B1784" s="2">
        <v>1398</v>
      </c>
      <c r="C1784" s="4" t="str">
        <f>HYPERLINK("http://www.uniprot.org/uniprot/M5W4Y5","M5W4Y5")</f>
        <v>M5W4Y5</v>
      </c>
      <c r="D1784" s="2" t="s">
        <v>1736</v>
      </c>
      <c r="E1784" s="3">
        <v>1.05E-145</v>
      </c>
      <c r="F1784" s="2">
        <v>1098</v>
      </c>
      <c r="G1784" s="2">
        <v>93</v>
      </c>
      <c r="H1784" s="2">
        <v>227</v>
      </c>
      <c r="I1784" s="2">
        <v>610</v>
      </c>
      <c r="J1784" s="2">
        <v>1290</v>
      </c>
      <c r="K1784" s="2">
        <v>1</v>
      </c>
      <c r="L1784" s="2">
        <v>211</v>
      </c>
    </row>
    <row r="1785" spans="1:12" x14ac:dyDescent="0.25">
      <c r="A1785" s="4" t="str">
        <f>HYPERLINK("http://www.rosaceae.org/Prunus/Prunus_persica/p.persica_gdr_reftransV1_0027425","p.persica_gdr_reftransV1_0027425")</f>
        <v>p.persica_gdr_reftransV1_0027425</v>
      </c>
      <c r="B1785" s="2">
        <v>1323</v>
      </c>
      <c r="C1785" s="4" t="str">
        <f>HYPERLINK("http://www.uniprot.org/uniprot/M5VJY8","M5VJY8")</f>
        <v>M5VJY8</v>
      </c>
      <c r="D1785" s="2" t="s">
        <v>1737</v>
      </c>
      <c r="E1785" s="3">
        <v>0</v>
      </c>
      <c r="F1785" s="2">
        <v>1893</v>
      </c>
      <c r="G1785" s="2">
        <v>100</v>
      </c>
      <c r="H1785" s="2">
        <v>380</v>
      </c>
      <c r="I1785" s="2">
        <v>182</v>
      </c>
      <c r="J1785" s="2">
        <v>1321</v>
      </c>
      <c r="K1785" s="2">
        <v>149</v>
      </c>
      <c r="L1785" s="2">
        <v>528</v>
      </c>
    </row>
    <row r="1786" spans="1:12" x14ac:dyDescent="0.25">
      <c r="A1786" s="4" t="str">
        <f>HYPERLINK("http://www.rosaceae.org/Prunus/Prunus_persica/p.persica_gdr_reftransV1_0028125","p.persica_gdr_reftransV1_0028125")</f>
        <v>p.persica_gdr_reftransV1_0028125</v>
      </c>
      <c r="B1786" s="2">
        <v>2076</v>
      </c>
      <c r="C1786" s="4" t="str">
        <f>HYPERLINK("http://www.uniprot.org/uniprot/M5X8R6","M5X8R6")</f>
        <v>M5X8R6</v>
      </c>
      <c r="D1786" s="2" t="s">
        <v>1738</v>
      </c>
      <c r="E1786" s="3">
        <v>0</v>
      </c>
      <c r="F1786" s="2">
        <v>2554</v>
      </c>
      <c r="G1786" s="2">
        <v>100</v>
      </c>
      <c r="H1786" s="2">
        <v>499</v>
      </c>
      <c r="I1786" s="2">
        <v>352</v>
      </c>
      <c r="J1786" s="2">
        <v>1848</v>
      </c>
      <c r="K1786" s="2">
        <v>1</v>
      </c>
      <c r="L1786" s="2">
        <v>499</v>
      </c>
    </row>
    <row r="1787" spans="1:12" x14ac:dyDescent="0.25">
      <c r="A1787" s="4" t="str">
        <f>HYPERLINK("http://www.rosaceae.org/Prunus/Prunus_persica/p.persica_gdr_reftransV1_0029875","p.persica_gdr_reftransV1_0029875")</f>
        <v>p.persica_gdr_reftransV1_0029875</v>
      </c>
      <c r="B1787" s="2">
        <v>2336</v>
      </c>
      <c r="C1787" s="4" t="str">
        <f>HYPERLINK("http://www.uniprot.org/uniprot/M5XQC4","M5XQC4")</f>
        <v>M5XQC4</v>
      </c>
      <c r="D1787" s="2" t="s">
        <v>1739</v>
      </c>
      <c r="E1787" s="3">
        <v>0</v>
      </c>
      <c r="F1787" s="2">
        <v>3047</v>
      </c>
      <c r="G1787" s="2">
        <v>100</v>
      </c>
      <c r="H1787" s="2">
        <v>593</v>
      </c>
      <c r="I1787" s="2">
        <v>105</v>
      </c>
      <c r="J1787" s="2">
        <v>1883</v>
      </c>
      <c r="K1787" s="2">
        <v>1</v>
      </c>
      <c r="L1787" s="2">
        <v>593</v>
      </c>
    </row>
    <row r="1788" spans="1:12" x14ac:dyDescent="0.25">
      <c r="A1788" s="4" t="str">
        <f>HYPERLINK("http://www.rosaceae.org/Prunus/Prunus_persica/p.persica_gdr_reftransV1_0031275","p.persica_gdr_reftransV1_0031275")</f>
        <v>p.persica_gdr_reftransV1_0031275</v>
      </c>
      <c r="B1788" s="2">
        <v>1344</v>
      </c>
      <c r="C1788" s="4" t="str">
        <f>HYPERLINK("http://www.uniprot.org/uniprot/M5VU18","M5VU18")</f>
        <v>M5VU18</v>
      </c>
      <c r="D1788" s="2" t="s">
        <v>1740</v>
      </c>
      <c r="E1788" s="3">
        <v>5.4000000000000001E-108</v>
      </c>
      <c r="F1788" s="2">
        <v>843</v>
      </c>
      <c r="G1788" s="2">
        <v>96</v>
      </c>
      <c r="H1788" s="2">
        <v>181</v>
      </c>
      <c r="I1788" s="2">
        <v>545</v>
      </c>
      <c r="J1788" s="2">
        <v>1087</v>
      </c>
      <c r="K1788" s="2">
        <v>1</v>
      </c>
      <c r="L1788" s="2">
        <v>181</v>
      </c>
    </row>
    <row r="1789" spans="1:12" x14ac:dyDescent="0.25">
      <c r="A1789" s="4" t="str">
        <f>HYPERLINK("http://www.rosaceae.org/Prunus/Prunus_persica/p.persica_gdr_reftransV1_0031975","p.persica_gdr_reftransV1_0031975")</f>
        <v>p.persica_gdr_reftransV1_0031975</v>
      </c>
      <c r="B1789" s="2">
        <v>2994</v>
      </c>
      <c r="C1789" s="4" t="str">
        <f>HYPERLINK("http://www.uniprot.org/uniprot/W9QLE3","W9QLE3")</f>
        <v>W9QLE3</v>
      </c>
      <c r="D1789" s="2" t="s">
        <v>1741</v>
      </c>
      <c r="E1789" s="3">
        <v>1.02E-55</v>
      </c>
      <c r="F1789" s="2">
        <v>518</v>
      </c>
      <c r="G1789" s="2">
        <v>60</v>
      </c>
      <c r="H1789" s="2">
        <v>203</v>
      </c>
      <c r="I1789" s="2">
        <v>732</v>
      </c>
      <c r="J1789" s="2">
        <v>1325</v>
      </c>
      <c r="K1789" s="2">
        <v>62</v>
      </c>
      <c r="L1789" s="2">
        <v>257</v>
      </c>
    </row>
    <row r="1790" spans="1:12" x14ac:dyDescent="0.25">
      <c r="A1790" s="4" t="str">
        <f>HYPERLINK("http://www.rosaceae.org/Prunus/Prunus_persica/p.persica_gdr_reftransV1_0034425","p.persica_gdr_reftransV1_0034425")</f>
        <v>p.persica_gdr_reftransV1_0034425</v>
      </c>
      <c r="B1790" s="2">
        <v>2613</v>
      </c>
      <c r="C1790" s="4" t="str">
        <f>HYPERLINK("http://www.uniprot.org/uniprot/A0A067LDK6","A0A067LDK6")</f>
        <v>A0A067LDK6</v>
      </c>
      <c r="D1790" s="2" t="s">
        <v>1742</v>
      </c>
      <c r="E1790" s="3">
        <v>7.4399999999999995E-111</v>
      </c>
      <c r="F1790" s="2">
        <v>925</v>
      </c>
      <c r="G1790" s="2">
        <v>55</v>
      </c>
      <c r="H1790" s="2">
        <v>325</v>
      </c>
      <c r="I1790" s="2">
        <v>1347</v>
      </c>
      <c r="J1790" s="2">
        <v>2321</v>
      </c>
      <c r="K1790" s="2">
        <v>229</v>
      </c>
      <c r="L1790" s="2">
        <v>493</v>
      </c>
    </row>
    <row r="1791" spans="1:12" x14ac:dyDescent="0.25">
      <c r="A1791" s="4" t="str">
        <f>HYPERLINK("http://www.rosaceae.org/Prunus/Prunus_persica/p.persica_gdr_reftransV1_0035825","p.persica_gdr_reftransV1_0035825")</f>
        <v>p.persica_gdr_reftransV1_0035825</v>
      </c>
      <c r="B1791" s="2">
        <v>1506</v>
      </c>
      <c r="C1791" s="4" t="str">
        <f>HYPERLINK("http://www.uniprot.org/uniprot/M5W6R2","M5W6R2")</f>
        <v>M5W6R2</v>
      </c>
      <c r="D1791" s="2" t="s">
        <v>1743</v>
      </c>
      <c r="E1791" s="3">
        <v>9.6099999999999991E-125</v>
      </c>
      <c r="F1791" s="2">
        <v>904</v>
      </c>
      <c r="G1791" s="2">
        <v>100</v>
      </c>
      <c r="H1791" s="2">
        <v>171</v>
      </c>
      <c r="I1791" s="2">
        <v>122</v>
      </c>
      <c r="J1791" s="2">
        <v>634</v>
      </c>
      <c r="K1791" s="2">
        <v>1</v>
      </c>
      <c r="L1791" s="2">
        <v>171</v>
      </c>
    </row>
    <row r="1792" spans="1:12" x14ac:dyDescent="0.25">
      <c r="A1792" s="4" t="str">
        <f>HYPERLINK("http://www.rosaceae.org/Prunus/Prunus_persica/p.persica_gdr_reftransV1_0036525","p.persica_gdr_reftransV1_0036525")</f>
        <v>p.persica_gdr_reftransV1_0036525</v>
      </c>
      <c r="B1792" s="2">
        <v>1421</v>
      </c>
      <c r="C1792" s="4" t="str">
        <f>HYPERLINK("http://www.uniprot.org/uniprot/M5XKA4","M5XKA4")</f>
        <v>M5XKA4</v>
      </c>
      <c r="D1792" s="2" t="s">
        <v>1744</v>
      </c>
      <c r="E1792" s="3">
        <v>0</v>
      </c>
      <c r="F1792" s="2">
        <v>1871</v>
      </c>
      <c r="G1792" s="2">
        <v>93</v>
      </c>
      <c r="H1792" s="2">
        <v>392</v>
      </c>
      <c r="I1792" s="2">
        <v>6</v>
      </c>
      <c r="J1792" s="2">
        <v>1181</v>
      </c>
      <c r="K1792" s="2">
        <v>1</v>
      </c>
      <c r="L1792" s="2">
        <v>364</v>
      </c>
    </row>
    <row r="1793" spans="1:12" x14ac:dyDescent="0.25">
      <c r="A1793" s="4" t="str">
        <f>HYPERLINK("http://www.rosaceae.org/Prunus/Prunus_persica/p.persica_gdr_reftransV1_0037925","p.persica_gdr_reftransV1_0037925")</f>
        <v>p.persica_gdr_reftransV1_0037925</v>
      </c>
      <c r="B1793" s="2">
        <v>6740</v>
      </c>
      <c r="C1793" s="4" t="str">
        <f>HYPERLINK("http://www.uniprot.org/uniprot/M5VYU6","M5VYU6")</f>
        <v>M5VYU6</v>
      </c>
      <c r="D1793" s="2" t="s">
        <v>1745</v>
      </c>
      <c r="E1793" s="3">
        <v>0</v>
      </c>
      <c r="F1793" s="2">
        <v>10350</v>
      </c>
      <c r="G1793" s="2">
        <v>100</v>
      </c>
      <c r="H1793" s="2">
        <v>2031</v>
      </c>
      <c r="I1793" s="2">
        <v>286</v>
      </c>
      <c r="J1793" s="2">
        <v>6378</v>
      </c>
      <c r="K1793" s="2">
        <v>1</v>
      </c>
      <c r="L1793" s="2">
        <v>2031</v>
      </c>
    </row>
    <row r="1794" spans="1:12" x14ac:dyDescent="0.25">
      <c r="A1794" s="4" t="str">
        <f>HYPERLINK("http://www.rosaceae.org/Prunus/Prunus_persica/p.persica_gdr_reftransV1_0039325","p.persica_gdr_reftransV1_0039325")</f>
        <v>p.persica_gdr_reftransV1_0039325</v>
      </c>
      <c r="B1794" s="2">
        <v>2841</v>
      </c>
      <c r="C1794" s="4" t="str">
        <f>HYPERLINK("http://www.uniprot.org/uniprot/M5WU57","M5WU57")</f>
        <v>M5WU57</v>
      </c>
      <c r="D1794" s="2" t="s">
        <v>1746</v>
      </c>
      <c r="E1794" s="3">
        <v>0</v>
      </c>
      <c r="F1794" s="2">
        <v>1956</v>
      </c>
      <c r="G1794" s="2">
        <v>100</v>
      </c>
      <c r="H1794" s="2">
        <v>467</v>
      </c>
      <c r="I1794" s="2">
        <v>1009</v>
      </c>
      <c r="J1794" s="2">
        <v>2409</v>
      </c>
      <c r="K1794" s="2">
        <v>1</v>
      </c>
      <c r="L1794" s="2">
        <v>465</v>
      </c>
    </row>
    <row r="1795" spans="1:12" x14ac:dyDescent="0.25">
      <c r="A1795" s="4" t="str">
        <f>HYPERLINK("http://www.rosaceae.org/Prunus/Prunus_persica/p.persica_gdr_reftransV1_0041425","p.persica_gdr_reftransV1_0041425")</f>
        <v>p.persica_gdr_reftransV1_0041425</v>
      </c>
      <c r="B1795" s="2">
        <v>5662</v>
      </c>
      <c r="C1795" s="4" t="str">
        <f>HYPERLINK("http://www.uniprot.org/uniprot/B9TEE1","B9TEE1")</f>
        <v>B9TEE1</v>
      </c>
      <c r="D1795" s="2" t="s">
        <v>1747</v>
      </c>
      <c r="E1795" s="3">
        <v>4.2399999999999999E-108</v>
      </c>
      <c r="F1795" s="2">
        <v>906</v>
      </c>
      <c r="G1795" s="2">
        <v>97</v>
      </c>
      <c r="H1795" s="2">
        <v>184</v>
      </c>
      <c r="I1795" s="2">
        <v>2907</v>
      </c>
      <c r="J1795" s="2">
        <v>3458</v>
      </c>
      <c r="K1795" s="2">
        <v>1</v>
      </c>
      <c r="L1795" s="2">
        <v>184</v>
      </c>
    </row>
    <row r="1796" spans="1:12" x14ac:dyDescent="0.25">
      <c r="A1796" s="4" t="str">
        <f>HYPERLINK("http://www.rosaceae.org/Prunus/Prunus_persica/p.persica_gdr_reftransV1_0042125","p.persica_gdr_reftransV1_0042125")</f>
        <v>p.persica_gdr_reftransV1_0042125</v>
      </c>
      <c r="B1796" s="2">
        <v>4277</v>
      </c>
      <c r="C1796" s="4" t="str">
        <f>HYPERLINK("http://www.uniprot.org/uniprot/M5XH02","M5XH02")</f>
        <v>M5XH02</v>
      </c>
      <c r="D1796" s="2" t="s">
        <v>1748</v>
      </c>
      <c r="E1796" s="3">
        <v>0</v>
      </c>
      <c r="F1796" s="2">
        <v>3833</v>
      </c>
      <c r="G1796" s="2">
        <v>95</v>
      </c>
      <c r="H1796" s="2">
        <v>844</v>
      </c>
      <c r="I1796" s="2">
        <v>359</v>
      </c>
      <c r="J1796" s="2">
        <v>2890</v>
      </c>
      <c r="K1796" s="2">
        <v>1</v>
      </c>
      <c r="L1796" s="2">
        <v>800</v>
      </c>
    </row>
    <row r="1797" spans="1:12" x14ac:dyDescent="0.25">
      <c r="A1797" s="4" t="str">
        <f>HYPERLINK("http://www.rosaceae.org/Prunus/Prunus_persica/p.persica_gdr_reftransV1_0042825","p.persica_gdr_reftransV1_0042825")</f>
        <v>p.persica_gdr_reftransV1_0042825</v>
      </c>
      <c r="B1797" s="2">
        <v>422</v>
      </c>
      <c r="C1797" s="4" t="str">
        <f>HYPERLINK("http://www.uniprot.org/uniprot/M5WGV6","M5WGV6")</f>
        <v>M5WGV6</v>
      </c>
      <c r="D1797" s="2" t="s">
        <v>1749</v>
      </c>
      <c r="E1797" s="3">
        <v>9.5400000000000001E-91</v>
      </c>
      <c r="F1797" s="2">
        <v>727</v>
      </c>
      <c r="G1797" s="2">
        <v>100</v>
      </c>
      <c r="H1797" s="2">
        <v>140</v>
      </c>
      <c r="I1797" s="2">
        <v>2</v>
      </c>
      <c r="J1797" s="2">
        <v>421</v>
      </c>
      <c r="K1797" s="2">
        <v>138</v>
      </c>
      <c r="L1797" s="2">
        <v>277</v>
      </c>
    </row>
    <row r="1798" spans="1:12" x14ac:dyDescent="0.25">
      <c r="A1798" s="4" t="str">
        <f>HYPERLINK("http://www.rosaceae.org/Prunus/Prunus_persica/p.persica_gdr_reftransV1_0043175","p.persica_gdr_reftransV1_0043175")</f>
        <v>p.persica_gdr_reftransV1_0043175</v>
      </c>
      <c r="B1798" s="2">
        <v>996</v>
      </c>
      <c r="C1798" s="4" t="str">
        <f>HYPERLINK("http://www.uniprot.org/uniprot/M5XL55","M5XL55")</f>
        <v>M5XL55</v>
      </c>
      <c r="D1798" s="2" t="s">
        <v>1750</v>
      </c>
      <c r="E1798" s="3">
        <v>0</v>
      </c>
      <c r="F1798" s="2">
        <v>1659</v>
      </c>
      <c r="G1798" s="2">
        <v>100</v>
      </c>
      <c r="H1798" s="2">
        <v>332</v>
      </c>
      <c r="I1798" s="2">
        <v>1</v>
      </c>
      <c r="J1798" s="2">
        <v>996</v>
      </c>
      <c r="K1798" s="2">
        <v>507</v>
      </c>
      <c r="L1798" s="2">
        <v>838</v>
      </c>
    </row>
    <row r="1799" spans="1:12" x14ac:dyDescent="0.25">
      <c r="A1799" s="4" t="str">
        <f>HYPERLINK("http://www.rosaceae.org/Prunus/Prunus_persica/p.persica_gdr_reftransV1_0043525","p.persica_gdr_reftransV1_0043525")</f>
        <v>p.persica_gdr_reftransV1_0043525</v>
      </c>
      <c r="B1799" s="2">
        <v>1280</v>
      </c>
      <c r="C1799" s="4" t="str">
        <f>HYPERLINK("http://www.uniprot.org/uniprot/M5X729","M5X729")</f>
        <v>M5X729</v>
      </c>
      <c r="D1799" s="2" t="s">
        <v>1751</v>
      </c>
      <c r="E1799" s="3">
        <v>0</v>
      </c>
      <c r="F1799" s="2">
        <v>1839</v>
      </c>
      <c r="G1799" s="2">
        <v>100</v>
      </c>
      <c r="H1799" s="2">
        <v>338</v>
      </c>
      <c r="I1799" s="2">
        <v>245</v>
      </c>
      <c r="J1799" s="2">
        <v>1258</v>
      </c>
      <c r="K1799" s="2">
        <v>5</v>
      </c>
      <c r="L1799" s="2">
        <v>342</v>
      </c>
    </row>
    <row r="1800" spans="1:12" x14ac:dyDescent="0.25">
      <c r="A1800" s="4" t="str">
        <f>HYPERLINK("http://www.rosaceae.org/Prunus/Prunus_persica/p.persica_gdr_reftransV1_0043875","p.persica_gdr_reftransV1_0043875")</f>
        <v>p.persica_gdr_reftransV1_0043875</v>
      </c>
      <c r="B1800" s="2">
        <v>847</v>
      </c>
      <c r="C1800" s="4" t="str">
        <f>HYPERLINK("http://www.uniprot.org/uniprot/M5Y092","M5Y092")</f>
        <v>M5Y092</v>
      </c>
      <c r="D1800" s="2" t="s">
        <v>1752</v>
      </c>
      <c r="E1800" s="3">
        <v>1.2500000000000001E-157</v>
      </c>
      <c r="F1800" s="2">
        <v>1159</v>
      </c>
      <c r="G1800" s="2">
        <v>100</v>
      </c>
      <c r="H1800" s="2">
        <v>231</v>
      </c>
      <c r="I1800" s="2">
        <v>34</v>
      </c>
      <c r="J1800" s="2">
        <v>726</v>
      </c>
      <c r="K1800" s="2">
        <v>8</v>
      </c>
      <c r="L1800" s="2">
        <v>238</v>
      </c>
    </row>
    <row r="1801" spans="1:12" x14ac:dyDescent="0.25">
      <c r="A1801" s="4" t="str">
        <f>HYPERLINK("http://www.rosaceae.org/Prunus/Prunus_persica/p.persica_gdr_reftransV1_0044225","p.persica_gdr_reftransV1_0044225")</f>
        <v>p.persica_gdr_reftransV1_0044225</v>
      </c>
      <c r="B1801" s="2">
        <v>656</v>
      </c>
      <c r="C1801" s="4" t="str">
        <f>HYPERLINK("http://www.uniprot.org/uniprot/M5WW24","M5WW24")</f>
        <v>M5WW24</v>
      </c>
      <c r="D1801" s="2" t="s">
        <v>810</v>
      </c>
      <c r="E1801" s="3">
        <v>7.7500000000000004E-134</v>
      </c>
      <c r="F1801" s="2">
        <v>1041</v>
      </c>
      <c r="G1801" s="2">
        <v>100</v>
      </c>
      <c r="H1801" s="2">
        <v>195</v>
      </c>
      <c r="I1801" s="2">
        <v>3</v>
      </c>
      <c r="J1801" s="2">
        <v>587</v>
      </c>
      <c r="K1801" s="2">
        <v>541</v>
      </c>
      <c r="L1801" s="2">
        <v>735</v>
      </c>
    </row>
    <row r="1802" spans="1:12" x14ac:dyDescent="0.25">
      <c r="A1802" s="4" t="str">
        <f>HYPERLINK("http://www.rosaceae.org/Prunus/Prunus_persica/p.persica_gdr_reftransV1_0044575","p.persica_gdr_reftransV1_0044575")</f>
        <v>p.persica_gdr_reftransV1_0044575</v>
      </c>
      <c r="B1802" s="2">
        <v>1417</v>
      </c>
      <c r="C1802" s="4" t="str">
        <f>HYPERLINK("http://www.uniprot.org/uniprot/M5WS22","M5WS22")</f>
        <v>M5WS22</v>
      </c>
      <c r="D1802" s="2" t="s">
        <v>1514</v>
      </c>
      <c r="E1802" s="3">
        <v>0</v>
      </c>
      <c r="F1802" s="2">
        <v>1687</v>
      </c>
      <c r="G1802" s="2">
        <v>80</v>
      </c>
      <c r="H1802" s="2">
        <v>436</v>
      </c>
      <c r="I1802" s="2">
        <v>121</v>
      </c>
      <c r="J1802" s="2">
        <v>1416</v>
      </c>
      <c r="K1802" s="2">
        <v>58</v>
      </c>
      <c r="L1802" s="2">
        <v>478</v>
      </c>
    </row>
    <row r="1803" spans="1:12" x14ac:dyDescent="0.25">
      <c r="A1803" s="4" t="str">
        <f>HYPERLINK("http://www.rosaceae.org/Prunus/Prunus_persica/p.persica_gdr_reftransV1_0044925","p.persica_gdr_reftransV1_0044925")</f>
        <v>p.persica_gdr_reftransV1_0044925</v>
      </c>
      <c r="B1803" s="2">
        <v>1663</v>
      </c>
      <c r="C1803" s="4" t="str">
        <f>HYPERLINK("http://www.uniprot.org/uniprot/M5W248","M5W248")</f>
        <v>M5W248</v>
      </c>
      <c r="D1803" s="2" t="s">
        <v>1074</v>
      </c>
      <c r="E1803" s="3">
        <v>0</v>
      </c>
      <c r="F1803" s="2">
        <v>2163</v>
      </c>
      <c r="G1803" s="2">
        <v>100</v>
      </c>
      <c r="H1803" s="2">
        <v>420</v>
      </c>
      <c r="I1803" s="2">
        <v>402</v>
      </c>
      <c r="J1803" s="2">
        <v>1661</v>
      </c>
      <c r="K1803" s="2">
        <v>94</v>
      </c>
      <c r="L1803" s="2">
        <v>513</v>
      </c>
    </row>
    <row r="1804" spans="1:12" x14ac:dyDescent="0.25">
      <c r="A1804" s="4" t="str">
        <f>HYPERLINK("http://www.rosaceae.org/Prunus/Prunus_persica/p.persica_gdr_reftransV1_0045625","p.persica_gdr_reftransV1_0045625")</f>
        <v>p.persica_gdr_reftransV1_0045625</v>
      </c>
      <c r="B1804" s="2">
        <v>980</v>
      </c>
      <c r="C1804" s="4" t="str">
        <f>HYPERLINK("http://www.uniprot.org/uniprot/M5WXH7","M5WXH7")</f>
        <v>M5WXH7</v>
      </c>
      <c r="D1804" s="2" t="s">
        <v>1753</v>
      </c>
      <c r="E1804" s="3">
        <v>2.9699999999999999E-123</v>
      </c>
      <c r="F1804" s="2">
        <v>932</v>
      </c>
      <c r="G1804" s="2">
        <v>100</v>
      </c>
      <c r="H1804" s="2">
        <v>180</v>
      </c>
      <c r="I1804" s="2">
        <v>143</v>
      </c>
      <c r="J1804" s="2">
        <v>682</v>
      </c>
      <c r="K1804" s="2">
        <v>1</v>
      </c>
      <c r="L1804" s="2">
        <v>180</v>
      </c>
    </row>
    <row r="1805" spans="1:12" x14ac:dyDescent="0.25">
      <c r="A1805" s="4" t="str">
        <f>HYPERLINK("http://www.rosaceae.org/Prunus/Prunus_persica/p.persica_gdr_reftransV1_0045975","p.persica_gdr_reftransV1_0045975")</f>
        <v>p.persica_gdr_reftransV1_0045975</v>
      </c>
      <c r="B1805" s="2">
        <v>1073</v>
      </c>
      <c r="C1805" s="4" t="str">
        <f>HYPERLINK("http://www.uniprot.org/uniprot/M5XPY4","M5XPY4")</f>
        <v>M5XPY4</v>
      </c>
      <c r="D1805" s="2" t="s">
        <v>1754</v>
      </c>
      <c r="E1805" s="3">
        <v>2.5599999999999998E-127</v>
      </c>
      <c r="F1805" s="2">
        <v>966</v>
      </c>
      <c r="G1805" s="2">
        <v>100</v>
      </c>
      <c r="H1805" s="2">
        <v>220</v>
      </c>
      <c r="I1805" s="2">
        <v>194</v>
      </c>
      <c r="J1805" s="2">
        <v>853</v>
      </c>
      <c r="K1805" s="2">
        <v>1</v>
      </c>
      <c r="L1805" s="2">
        <v>220</v>
      </c>
    </row>
    <row r="1806" spans="1:12" x14ac:dyDescent="0.25">
      <c r="A1806" s="4" t="str">
        <f>HYPERLINK("http://www.rosaceae.org/Prunus/Prunus_persica/p.persica_gdr_reftransV1_0046325","p.persica_gdr_reftransV1_0046325")</f>
        <v>p.persica_gdr_reftransV1_0046325</v>
      </c>
      <c r="B1806" s="2">
        <v>1358</v>
      </c>
      <c r="C1806" s="4" t="str">
        <f>HYPERLINK("http://www.uniprot.org/uniprot/M5WYJ5","M5WYJ5")</f>
        <v>M5WYJ5</v>
      </c>
      <c r="D1806" s="2" t="s">
        <v>1755</v>
      </c>
      <c r="E1806" s="3">
        <v>0</v>
      </c>
      <c r="F1806" s="2">
        <v>2034</v>
      </c>
      <c r="G1806" s="2">
        <v>100</v>
      </c>
      <c r="H1806" s="2">
        <v>428</v>
      </c>
      <c r="I1806" s="2">
        <v>27</v>
      </c>
      <c r="J1806" s="2">
        <v>1310</v>
      </c>
      <c r="K1806" s="2">
        <v>1</v>
      </c>
      <c r="L1806" s="2">
        <v>428</v>
      </c>
    </row>
    <row r="1807" spans="1:12" x14ac:dyDescent="0.25">
      <c r="A1807" s="4" t="str">
        <f>HYPERLINK("http://www.rosaceae.org/Prunus/Prunus_persica/p.persica_gdr_reftransV1_0046675","p.persica_gdr_reftransV1_0046675")</f>
        <v>p.persica_gdr_reftransV1_0046675</v>
      </c>
      <c r="B1807" s="2">
        <v>877</v>
      </c>
      <c r="C1807" s="4" t="str">
        <f>HYPERLINK("http://www.uniprot.org/uniprot/Q93WZ3","Q93WZ3")</f>
        <v>Q93WZ3</v>
      </c>
      <c r="D1807" s="2" t="s">
        <v>1756</v>
      </c>
      <c r="E1807" s="3">
        <v>2.26E-73</v>
      </c>
      <c r="F1807" s="2">
        <v>594</v>
      </c>
      <c r="G1807" s="2">
        <v>100</v>
      </c>
      <c r="H1807" s="2">
        <v>112</v>
      </c>
      <c r="I1807" s="2">
        <v>94</v>
      </c>
      <c r="J1807" s="2">
        <v>429</v>
      </c>
      <c r="K1807" s="2">
        <v>1</v>
      </c>
      <c r="L1807" s="2">
        <v>112</v>
      </c>
    </row>
    <row r="1808" spans="1:12" x14ac:dyDescent="0.25">
      <c r="A1808" s="4" t="str">
        <f>HYPERLINK("http://www.rosaceae.org/Prunus/Prunus_persica/p.persica_gdr_reftransV1_0047375","p.persica_gdr_reftransV1_0047375")</f>
        <v>p.persica_gdr_reftransV1_0047375</v>
      </c>
      <c r="B1808" s="2">
        <v>936</v>
      </c>
      <c r="C1808" s="4" t="str">
        <f>HYPERLINK("http://www.uniprot.org/uniprot/M5W0R1","M5W0R1")</f>
        <v>M5W0R1</v>
      </c>
      <c r="D1808" s="2" t="s">
        <v>1757</v>
      </c>
      <c r="E1808" s="3">
        <v>7.5900000000000003E-78</v>
      </c>
      <c r="F1808" s="2">
        <v>626</v>
      </c>
      <c r="G1808" s="2">
        <v>100</v>
      </c>
      <c r="H1808" s="2">
        <v>121</v>
      </c>
      <c r="I1808" s="2">
        <v>163</v>
      </c>
      <c r="J1808" s="2">
        <v>525</v>
      </c>
      <c r="K1808" s="2">
        <v>1</v>
      </c>
      <c r="L1808" s="2">
        <v>121</v>
      </c>
    </row>
    <row r="1809" spans="1:12" x14ac:dyDescent="0.25">
      <c r="A1809" s="4" t="str">
        <f>HYPERLINK("http://www.rosaceae.org/Prunus/Prunus_persica/p.persica_gdr_reftransV1_0047725","p.persica_gdr_reftransV1_0047725")</f>
        <v>p.persica_gdr_reftransV1_0047725</v>
      </c>
      <c r="B1809" s="2">
        <v>990</v>
      </c>
      <c r="C1809" s="4" t="str">
        <f>HYPERLINK("http://www.uniprot.org/uniprot/M5WF32","M5WF32")</f>
        <v>M5WF32</v>
      </c>
      <c r="D1809" s="2" t="s">
        <v>1758</v>
      </c>
      <c r="E1809" s="3">
        <v>0</v>
      </c>
      <c r="F1809" s="2">
        <v>1529</v>
      </c>
      <c r="G1809" s="2">
        <v>93</v>
      </c>
      <c r="H1809" s="2">
        <v>329</v>
      </c>
      <c r="I1809" s="2">
        <v>3</v>
      </c>
      <c r="J1809" s="2">
        <v>989</v>
      </c>
      <c r="K1809" s="2">
        <v>24</v>
      </c>
      <c r="L1809" s="2">
        <v>328</v>
      </c>
    </row>
    <row r="1810" spans="1:12" x14ac:dyDescent="0.25">
      <c r="A1810" s="4" t="str">
        <f>HYPERLINK("http://www.rosaceae.org/Prunus/Prunus_persica/p.persica_gdr_reftransV1_0048075","p.persica_gdr_reftransV1_0048075")</f>
        <v>p.persica_gdr_reftransV1_0048075</v>
      </c>
      <c r="B1810" s="2">
        <v>834</v>
      </c>
      <c r="C1810" s="4" t="str">
        <f>HYPERLINK("http://www.uniprot.org/uniprot/M5XB91","M5XB91")</f>
        <v>M5XB91</v>
      </c>
      <c r="D1810" s="2" t="s">
        <v>1759</v>
      </c>
      <c r="E1810" s="3">
        <v>1.33E-53</v>
      </c>
      <c r="F1810" s="2">
        <v>461</v>
      </c>
      <c r="G1810" s="2">
        <v>91</v>
      </c>
      <c r="H1810" s="2">
        <v>156</v>
      </c>
      <c r="I1810" s="2">
        <v>103</v>
      </c>
      <c r="J1810" s="2">
        <v>570</v>
      </c>
      <c r="K1810" s="2">
        <v>1</v>
      </c>
      <c r="L1810" s="2">
        <v>142</v>
      </c>
    </row>
    <row r="1811" spans="1:12" x14ac:dyDescent="0.25">
      <c r="A1811" s="4" t="str">
        <f>HYPERLINK("http://www.rosaceae.org/Prunus/Prunus_persica/p.persica_gdr_reftransV1_0048775","p.persica_gdr_reftransV1_0048775")</f>
        <v>p.persica_gdr_reftransV1_0048775</v>
      </c>
      <c r="B1811" s="2">
        <v>324</v>
      </c>
      <c r="C1811" s="4" t="str">
        <f>HYPERLINK("http://www.uniprot.org/uniprot/M5VWP7","M5VWP7")</f>
        <v>M5VWP7</v>
      </c>
      <c r="D1811" s="2" t="s">
        <v>1760</v>
      </c>
      <c r="E1811" s="3">
        <v>3.4000000000000001E-67</v>
      </c>
      <c r="F1811" s="2">
        <v>575</v>
      </c>
      <c r="G1811" s="2">
        <v>100</v>
      </c>
      <c r="H1811" s="2">
        <v>108</v>
      </c>
      <c r="I1811" s="2">
        <v>1</v>
      </c>
      <c r="J1811" s="2">
        <v>324</v>
      </c>
      <c r="K1811" s="2">
        <v>429</v>
      </c>
      <c r="L1811" s="2">
        <v>536</v>
      </c>
    </row>
    <row r="1812" spans="1:12" x14ac:dyDescent="0.25">
      <c r="A1812" s="4" t="str">
        <f>HYPERLINK("http://www.rosaceae.org/Prunus/Prunus_persica/p.persica_gdr_reftransV1_0049125","p.persica_gdr_reftransV1_0049125")</f>
        <v>p.persica_gdr_reftransV1_0049125</v>
      </c>
      <c r="B1812" s="2">
        <v>372</v>
      </c>
      <c r="C1812" s="4" t="str">
        <f>HYPERLINK("http://www.uniprot.org/uniprot/M5W3J3","M5W3J3")</f>
        <v>M5W3J3</v>
      </c>
      <c r="D1812" s="2" t="s">
        <v>1761</v>
      </c>
      <c r="E1812" s="3">
        <v>1.88E-64</v>
      </c>
      <c r="F1812" s="2">
        <v>568</v>
      </c>
      <c r="G1812" s="2">
        <v>86</v>
      </c>
      <c r="H1812" s="2">
        <v>132</v>
      </c>
      <c r="I1812" s="2">
        <v>2</v>
      </c>
      <c r="J1812" s="2">
        <v>370</v>
      </c>
      <c r="K1812" s="2">
        <v>4</v>
      </c>
      <c r="L1812" s="2">
        <v>135</v>
      </c>
    </row>
    <row r="1813" spans="1:12" x14ac:dyDescent="0.25">
      <c r="A1813" s="4" t="str">
        <f>HYPERLINK("http://www.rosaceae.org/Prunus/Prunus_persica/p.persica_gdr_reftransV1_0000126","p.persica_gdr_reftransV1_0000126")</f>
        <v>p.persica_gdr_reftransV1_0000126</v>
      </c>
      <c r="B1813" s="2">
        <v>882</v>
      </c>
      <c r="C1813" s="4" t="str">
        <f>HYPERLINK("http://www.uniprot.org/uniprot/M5Y586","M5Y586")</f>
        <v>M5Y586</v>
      </c>
      <c r="D1813" s="2" t="s">
        <v>1762</v>
      </c>
      <c r="E1813" s="3">
        <v>1.4200000000000001E-82</v>
      </c>
      <c r="F1813" s="2">
        <v>661</v>
      </c>
      <c r="G1813" s="2">
        <v>100</v>
      </c>
      <c r="H1813" s="2">
        <v>175</v>
      </c>
      <c r="I1813" s="2">
        <v>185</v>
      </c>
      <c r="J1813" s="2">
        <v>709</v>
      </c>
      <c r="K1813" s="2">
        <v>30</v>
      </c>
      <c r="L1813" s="2">
        <v>204</v>
      </c>
    </row>
    <row r="1814" spans="1:12" x14ac:dyDescent="0.25">
      <c r="A1814" s="4" t="str">
        <f>HYPERLINK("http://www.rosaceae.org/Prunus/Prunus_persica/p.persica_gdr_reftransV1_0000826","p.persica_gdr_reftransV1_0000826")</f>
        <v>p.persica_gdr_reftransV1_0000826</v>
      </c>
      <c r="B1814" s="2">
        <v>747</v>
      </c>
      <c r="C1814" s="4" t="str">
        <f>HYPERLINK("http://www.uniprot.org/uniprot/M5XGP6","M5XGP6")</f>
        <v>M5XGP6</v>
      </c>
      <c r="D1814" s="2" t="s">
        <v>1763</v>
      </c>
      <c r="E1814" s="3">
        <v>2.14E-118</v>
      </c>
      <c r="F1814" s="2">
        <v>896</v>
      </c>
      <c r="G1814" s="2">
        <v>95</v>
      </c>
      <c r="H1814" s="2">
        <v>182</v>
      </c>
      <c r="I1814" s="2">
        <v>5</v>
      </c>
      <c r="J1814" s="2">
        <v>550</v>
      </c>
      <c r="K1814" s="2">
        <v>45</v>
      </c>
      <c r="L1814" s="2">
        <v>226</v>
      </c>
    </row>
    <row r="1815" spans="1:12" x14ac:dyDescent="0.25">
      <c r="A1815" s="4" t="str">
        <f>HYPERLINK("http://www.rosaceae.org/Prunus/Prunus_persica/p.persica_gdr_reftransV1_0001176","p.persica_gdr_reftransV1_0001176")</f>
        <v>p.persica_gdr_reftransV1_0001176</v>
      </c>
      <c r="B1815" s="2">
        <v>621</v>
      </c>
      <c r="C1815" s="4" t="str">
        <f>HYPERLINK("http://www.uniprot.org/uniprot/M5XQF7","M5XQF7")</f>
        <v>M5XQF7</v>
      </c>
      <c r="D1815" s="2" t="s">
        <v>1764</v>
      </c>
      <c r="E1815" s="3">
        <v>8.57E-72</v>
      </c>
      <c r="F1815" s="2">
        <v>588</v>
      </c>
      <c r="G1815" s="2">
        <v>100</v>
      </c>
      <c r="H1815" s="2">
        <v>111</v>
      </c>
      <c r="I1815" s="2">
        <v>287</v>
      </c>
      <c r="J1815" s="2">
        <v>619</v>
      </c>
      <c r="K1815" s="2">
        <v>14</v>
      </c>
      <c r="L1815" s="2">
        <v>124</v>
      </c>
    </row>
    <row r="1816" spans="1:12" x14ac:dyDescent="0.25">
      <c r="A1816" s="4" t="str">
        <f>HYPERLINK("http://www.rosaceae.org/Prunus/Prunus_persica/p.persica_gdr_reftransV1_0001526","p.persica_gdr_reftransV1_0001526")</f>
        <v>p.persica_gdr_reftransV1_0001526</v>
      </c>
      <c r="B1816" s="2">
        <v>1611</v>
      </c>
      <c r="C1816" s="4" t="str">
        <f>HYPERLINK("http://www.uniprot.org/uniprot/M5VQS9","M5VQS9")</f>
        <v>M5VQS9</v>
      </c>
      <c r="D1816" s="2" t="s">
        <v>1765</v>
      </c>
      <c r="E1816" s="3">
        <v>0</v>
      </c>
      <c r="F1816" s="2">
        <v>1286</v>
      </c>
      <c r="G1816" s="2">
        <v>99</v>
      </c>
      <c r="H1816" s="2">
        <v>240</v>
      </c>
      <c r="I1816" s="2">
        <v>324</v>
      </c>
      <c r="J1816" s="2">
        <v>1043</v>
      </c>
      <c r="K1816" s="2">
        <v>145</v>
      </c>
      <c r="L1816" s="2">
        <v>384</v>
      </c>
    </row>
    <row r="1817" spans="1:12" x14ac:dyDescent="0.25">
      <c r="A1817" s="4" t="str">
        <f>HYPERLINK("http://www.rosaceae.org/Prunus/Prunus_persica/p.persica_gdr_reftransV1_0001876","p.persica_gdr_reftransV1_0001876")</f>
        <v>p.persica_gdr_reftransV1_0001876</v>
      </c>
      <c r="B1817" s="2">
        <v>2021</v>
      </c>
      <c r="C1817" s="4" t="str">
        <f>HYPERLINK("http://www.uniprot.org/uniprot/A0A061GGA5","A0A061GGA5")</f>
        <v>A0A061GGA5</v>
      </c>
      <c r="D1817" s="2" t="s">
        <v>720</v>
      </c>
      <c r="E1817" s="3">
        <v>8.8299999999999999E-72</v>
      </c>
      <c r="F1817" s="2">
        <v>622</v>
      </c>
      <c r="G1817" s="2">
        <v>89</v>
      </c>
      <c r="H1817" s="2">
        <v>134</v>
      </c>
      <c r="I1817" s="2">
        <v>1145</v>
      </c>
      <c r="J1817" s="2">
        <v>1546</v>
      </c>
      <c r="K1817" s="2">
        <v>4</v>
      </c>
      <c r="L1817" s="2">
        <v>137</v>
      </c>
    </row>
    <row r="1818" spans="1:12" x14ac:dyDescent="0.25">
      <c r="A1818" s="4" t="str">
        <f>HYPERLINK("http://www.rosaceae.org/Prunus/Prunus_persica/p.persica_gdr_reftransV1_0002226","p.persica_gdr_reftransV1_0002226")</f>
        <v>p.persica_gdr_reftransV1_0002226</v>
      </c>
      <c r="B1818" s="2">
        <v>1640</v>
      </c>
      <c r="C1818" s="4" t="str">
        <f>HYPERLINK("http://www.uniprot.org/uniprot/M5WTX3","M5WTX3")</f>
        <v>M5WTX3</v>
      </c>
      <c r="D1818" s="2" t="s">
        <v>1766</v>
      </c>
      <c r="E1818" s="3">
        <v>0</v>
      </c>
      <c r="F1818" s="2">
        <v>1957</v>
      </c>
      <c r="G1818" s="2">
        <v>100</v>
      </c>
      <c r="H1818" s="2">
        <v>402</v>
      </c>
      <c r="I1818" s="2">
        <v>271</v>
      </c>
      <c r="J1818" s="2">
        <v>1476</v>
      </c>
      <c r="K1818" s="2">
        <v>1</v>
      </c>
      <c r="L1818" s="2">
        <v>402</v>
      </c>
    </row>
    <row r="1819" spans="1:12" x14ac:dyDescent="0.25">
      <c r="A1819" s="4" t="str">
        <f>HYPERLINK("http://www.rosaceae.org/Prunus/Prunus_persica/p.persica_gdr_reftransV1_0002576","p.persica_gdr_reftransV1_0002576")</f>
        <v>p.persica_gdr_reftransV1_0002576</v>
      </c>
      <c r="B1819" s="2">
        <v>2380</v>
      </c>
      <c r="C1819" s="4" t="str">
        <f>HYPERLINK("http://www.uniprot.org/uniprot/M5VTU6","M5VTU6")</f>
        <v>M5VTU6</v>
      </c>
      <c r="D1819" s="2" t="s">
        <v>240</v>
      </c>
      <c r="E1819" s="3">
        <v>0</v>
      </c>
      <c r="F1819" s="2">
        <v>3477</v>
      </c>
      <c r="G1819" s="2">
        <v>100</v>
      </c>
      <c r="H1819" s="2">
        <v>696</v>
      </c>
      <c r="I1819" s="2">
        <v>179</v>
      </c>
      <c r="J1819" s="2">
        <v>2266</v>
      </c>
      <c r="K1819" s="2">
        <v>1</v>
      </c>
      <c r="L1819" s="2">
        <v>696</v>
      </c>
    </row>
    <row r="1820" spans="1:12" x14ac:dyDescent="0.25">
      <c r="A1820" s="4" t="str">
        <f>HYPERLINK("http://www.rosaceae.org/Prunus/Prunus_persica/p.persica_gdr_reftransV1_0002926","p.persica_gdr_reftransV1_0002926")</f>
        <v>p.persica_gdr_reftransV1_0002926</v>
      </c>
      <c r="B1820" s="2">
        <v>1387</v>
      </c>
      <c r="C1820" s="4" t="str">
        <f>HYPERLINK("http://www.uniprot.org/uniprot/M5X1Q9","M5X1Q9")</f>
        <v>M5X1Q9</v>
      </c>
      <c r="D1820" s="2" t="s">
        <v>1767</v>
      </c>
      <c r="E1820" s="3">
        <v>4.48E-145</v>
      </c>
      <c r="F1820" s="2">
        <v>1107</v>
      </c>
      <c r="G1820" s="2">
        <v>61</v>
      </c>
      <c r="H1820" s="2">
        <v>389</v>
      </c>
      <c r="I1820" s="2">
        <v>253</v>
      </c>
      <c r="J1820" s="2">
        <v>1269</v>
      </c>
      <c r="K1820" s="2">
        <v>1</v>
      </c>
      <c r="L1820" s="2">
        <v>349</v>
      </c>
    </row>
    <row r="1821" spans="1:12" x14ac:dyDescent="0.25">
      <c r="A1821" s="4" t="str">
        <f>HYPERLINK("http://www.rosaceae.org/Prunus/Prunus_persica/p.persica_gdr_reftransV1_0003626","p.persica_gdr_reftransV1_0003626")</f>
        <v>p.persica_gdr_reftransV1_0003626</v>
      </c>
      <c r="B1821" s="2">
        <v>382</v>
      </c>
      <c r="C1821" s="4" t="str">
        <f>HYPERLINK("http://www.uniprot.org/uniprot/M5X391","M5X391")</f>
        <v>M5X391</v>
      </c>
      <c r="D1821" s="2" t="s">
        <v>1768</v>
      </c>
      <c r="E1821" s="3">
        <v>7.9300000000000002E-76</v>
      </c>
      <c r="F1821" s="2">
        <v>642</v>
      </c>
      <c r="G1821" s="2">
        <v>97</v>
      </c>
      <c r="H1821" s="2">
        <v>127</v>
      </c>
      <c r="I1821" s="2">
        <v>2</v>
      </c>
      <c r="J1821" s="2">
        <v>382</v>
      </c>
      <c r="K1821" s="2">
        <v>584</v>
      </c>
      <c r="L1821" s="2">
        <v>710</v>
      </c>
    </row>
    <row r="1822" spans="1:12" x14ac:dyDescent="0.25">
      <c r="A1822" s="4" t="str">
        <f>HYPERLINK("http://www.rosaceae.org/Prunus/Prunus_persica/p.persica_gdr_reftransV1_0003976","p.persica_gdr_reftransV1_0003976")</f>
        <v>p.persica_gdr_reftransV1_0003976</v>
      </c>
      <c r="B1822" s="2">
        <v>1046</v>
      </c>
      <c r="C1822" s="4" t="str">
        <f>HYPERLINK("http://www.uniprot.org/uniprot/M5X1R3","M5X1R3")</f>
        <v>M5X1R3</v>
      </c>
      <c r="D1822" s="2" t="s">
        <v>1769</v>
      </c>
      <c r="E1822" s="3">
        <v>0</v>
      </c>
      <c r="F1822" s="2">
        <v>1337</v>
      </c>
      <c r="G1822" s="2">
        <v>100</v>
      </c>
      <c r="H1822" s="2">
        <v>251</v>
      </c>
      <c r="I1822" s="2">
        <v>145</v>
      </c>
      <c r="J1822" s="2">
        <v>897</v>
      </c>
      <c r="K1822" s="2">
        <v>1</v>
      </c>
      <c r="L1822" s="2">
        <v>251</v>
      </c>
    </row>
    <row r="1823" spans="1:12" x14ac:dyDescent="0.25">
      <c r="A1823" s="4" t="str">
        <f>HYPERLINK("http://www.rosaceae.org/Prunus/Prunus_persica/p.persica_gdr_reftransV1_0004326","p.persica_gdr_reftransV1_0004326")</f>
        <v>p.persica_gdr_reftransV1_0004326</v>
      </c>
      <c r="B1823" s="2">
        <v>687</v>
      </c>
      <c r="C1823" s="4" t="str">
        <f>HYPERLINK("http://www.uniprot.org/uniprot/M5VVQ9","M5VVQ9")</f>
        <v>M5VVQ9</v>
      </c>
      <c r="D1823" s="2" t="s">
        <v>1770</v>
      </c>
      <c r="E1823" s="3">
        <v>2.9900000000000001E-36</v>
      </c>
      <c r="F1823" s="2">
        <v>370</v>
      </c>
      <c r="G1823" s="2">
        <v>100</v>
      </c>
      <c r="H1823" s="2">
        <v>81</v>
      </c>
      <c r="I1823" s="2">
        <v>444</v>
      </c>
      <c r="J1823" s="2">
        <v>686</v>
      </c>
      <c r="K1823" s="2">
        <v>31</v>
      </c>
      <c r="L1823" s="2">
        <v>111</v>
      </c>
    </row>
    <row r="1824" spans="1:12" x14ac:dyDescent="0.25">
      <c r="A1824" s="4" t="str">
        <f>HYPERLINK("http://www.rosaceae.org/Prunus/Prunus_persica/p.persica_gdr_reftransV1_0004676","p.persica_gdr_reftransV1_0004676")</f>
        <v>p.persica_gdr_reftransV1_0004676</v>
      </c>
      <c r="B1824" s="2">
        <v>388</v>
      </c>
      <c r="C1824" s="4" t="str">
        <f>HYPERLINK("http://www.uniprot.org/uniprot/M5W4D9","M5W4D9")</f>
        <v>M5W4D9</v>
      </c>
      <c r="D1824" s="2" t="s">
        <v>1771</v>
      </c>
      <c r="E1824" s="3">
        <v>3.2900000000000002E-44</v>
      </c>
      <c r="F1824" s="2">
        <v>385</v>
      </c>
      <c r="G1824" s="2">
        <v>97</v>
      </c>
      <c r="H1824" s="2">
        <v>118</v>
      </c>
      <c r="I1824" s="2">
        <v>34</v>
      </c>
      <c r="J1824" s="2">
        <v>387</v>
      </c>
      <c r="K1824" s="2">
        <v>1</v>
      </c>
      <c r="L1824" s="2">
        <v>118</v>
      </c>
    </row>
    <row r="1825" spans="1:12" x14ac:dyDescent="0.25">
      <c r="A1825" s="4" t="str">
        <f>HYPERLINK("http://www.rosaceae.org/Prunus/Prunus_persica/p.persica_gdr_reftransV1_0005026","p.persica_gdr_reftransV1_0005026")</f>
        <v>p.persica_gdr_reftransV1_0005026</v>
      </c>
      <c r="B1825" s="2">
        <v>966</v>
      </c>
      <c r="C1825" s="4" t="str">
        <f>HYPERLINK("http://www.uniprot.org/uniprot/M5WSE8","M5WSE8")</f>
        <v>M5WSE8</v>
      </c>
      <c r="D1825" s="2" t="s">
        <v>1772</v>
      </c>
      <c r="E1825" s="3">
        <v>0</v>
      </c>
      <c r="F1825" s="2">
        <v>1511</v>
      </c>
      <c r="G1825" s="2">
        <v>100</v>
      </c>
      <c r="H1825" s="2">
        <v>300</v>
      </c>
      <c r="I1825" s="2">
        <v>3</v>
      </c>
      <c r="J1825" s="2">
        <v>899</v>
      </c>
      <c r="K1825" s="2">
        <v>1</v>
      </c>
      <c r="L1825" s="2">
        <v>300</v>
      </c>
    </row>
    <row r="1826" spans="1:12" x14ac:dyDescent="0.25">
      <c r="A1826" s="4" t="str">
        <f>HYPERLINK("http://www.rosaceae.org/Prunus/Prunus_persica/p.persica_gdr_reftransV1_0005376","p.persica_gdr_reftransV1_0005376")</f>
        <v>p.persica_gdr_reftransV1_0005376</v>
      </c>
      <c r="B1826" s="2">
        <v>1603</v>
      </c>
      <c r="C1826" s="4" t="str">
        <f>HYPERLINK("http://www.uniprot.org/uniprot/M5W0C3","M5W0C3")</f>
        <v>M5W0C3</v>
      </c>
      <c r="D1826" s="2" t="s">
        <v>1773</v>
      </c>
      <c r="E1826" s="3">
        <v>0</v>
      </c>
      <c r="F1826" s="2">
        <v>1415</v>
      </c>
      <c r="G1826" s="2">
        <v>100</v>
      </c>
      <c r="H1826" s="2">
        <v>306</v>
      </c>
      <c r="I1826" s="2">
        <v>388</v>
      </c>
      <c r="J1826" s="2">
        <v>1305</v>
      </c>
      <c r="K1826" s="2">
        <v>1</v>
      </c>
      <c r="L1826" s="2">
        <v>306</v>
      </c>
    </row>
    <row r="1827" spans="1:12" x14ac:dyDescent="0.25">
      <c r="A1827" s="4" t="str">
        <f>HYPERLINK("http://www.rosaceae.org/Prunus/Prunus_persica/p.persica_gdr_reftransV1_0005726","p.persica_gdr_reftransV1_0005726")</f>
        <v>p.persica_gdr_reftransV1_0005726</v>
      </c>
      <c r="B1827" s="2">
        <v>413</v>
      </c>
      <c r="C1827" s="4" t="str">
        <f>HYPERLINK("http://www.uniprot.org/uniprot/M5XNG1","M5XNG1")</f>
        <v>M5XNG1</v>
      </c>
      <c r="D1827" s="2" t="s">
        <v>1774</v>
      </c>
      <c r="E1827" s="3">
        <v>7.6100000000000001E-67</v>
      </c>
      <c r="F1827" s="2">
        <v>544</v>
      </c>
      <c r="G1827" s="2">
        <v>100</v>
      </c>
      <c r="H1827" s="2">
        <v>102</v>
      </c>
      <c r="I1827" s="2">
        <v>3</v>
      </c>
      <c r="J1827" s="2">
        <v>308</v>
      </c>
      <c r="K1827" s="2">
        <v>1</v>
      </c>
      <c r="L1827" s="2">
        <v>102</v>
      </c>
    </row>
    <row r="1828" spans="1:12" x14ac:dyDescent="0.25">
      <c r="A1828" s="4" t="str">
        <f>HYPERLINK("http://www.rosaceae.org/Prunus/Prunus_persica/p.persica_gdr_reftransV1_0006776","p.persica_gdr_reftransV1_0006776")</f>
        <v>p.persica_gdr_reftransV1_0006776</v>
      </c>
      <c r="B1828" s="2">
        <v>873</v>
      </c>
      <c r="C1828" s="4" t="str">
        <f>HYPERLINK("http://www.uniprot.org/uniprot/M5WSR8","M5WSR8")</f>
        <v>M5WSR8</v>
      </c>
      <c r="D1828" s="2" t="s">
        <v>1775</v>
      </c>
      <c r="E1828" s="3">
        <v>3.6200000000000003E-101</v>
      </c>
      <c r="F1828" s="2">
        <v>796</v>
      </c>
      <c r="G1828" s="2">
        <v>100</v>
      </c>
      <c r="H1828" s="2">
        <v>154</v>
      </c>
      <c r="I1828" s="2">
        <v>3</v>
      </c>
      <c r="J1828" s="2">
        <v>464</v>
      </c>
      <c r="K1828" s="2">
        <v>176</v>
      </c>
      <c r="L1828" s="2">
        <v>329</v>
      </c>
    </row>
    <row r="1829" spans="1:12" x14ac:dyDescent="0.25">
      <c r="A1829" s="4" t="str">
        <f>HYPERLINK("http://www.rosaceae.org/Prunus/Prunus_persica/p.persica_gdr_reftransV1_0007476","p.persica_gdr_reftransV1_0007476")</f>
        <v>p.persica_gdr_reftransV1_0007476</v>
      </c>
      <c r="B1829" s="2">
        <v>1412</v>
      </c>
      <c r="C1829" s="4" t="str">
        <f>HYPERLINK("http://www.uniprot.org/uniprot/M5WME7","M5WME7")</f>
        <v>M5WME7</v>
      </c>
      <c r="D1829" s="2" t="s">
        <v>1776</v>
      </c>
      <c r="E1829" s="3">
        <v>0</v>
      </c>
      <c r="F1829" s="2">
        <v>1573</v>
      </c>
      <c r="G1829" s="2">
        <v>100</v>
      </c>
      <c r="H1829" s="2">
        <v>290</v>
      </c>
      <c r="I1829" s="2">
        <v>1</v>
      </c>
      <c r="J1829" s="2">
        <v>870</v>
      </c>
      <c r="K1829" s="2">
        <v>171</v>
      </c>
      <c r="L1829" s="2">
        <v>460</v>
      </c>
    </row>
    <row r="1830" spans="1:12" x14ac:dyDescent="0.25">
      <c r="A1830" s="4" t="str">
        <f>HYPERLINK("http://www.rosaceae.org/Prunus/Prunus_persica/p.persica_gdr_reftransV1_0007826","p.persica_gdr_reftransV1_0007826")</f>
        <v>p.persica_gdr_reftransV1_0007826</v>
      </c>
      <c r="B1830" s="2">
        <v>953</v>
      </c>
      <c r="C1830" s="4" t="str">
        <f>HYPERLINK("http://www.uniprot.org/uniprot/M5WYE1","M5WYE1")</f>
        <v>M5WYE1</v>
      </c>
      <c r="D1830" s="2" t="s">
        <v>1777</v>
      </c>
      <c r="E1830" s="3">
        <v>3.7799999999999997E-74</v>
      </c>
      <c r="F1830" s="2">
        <v>610</v>
      </c>
      <c r="G1830" s="2">
        <v>86</v>
      </c>
      <c r="H1830" s="2">
        <v>140</v>
      </c>
      <c r="I1830" s="2">
        <v>421</v>
      </c>
      <c r="J1830" s="2">
        <v>792</v>
      </c>
      <c r="K1830" s="2">
        <v>92</v>
      </c>
      <c r="L1830" s="2">
        <v>231</v>
      </c>
    </row>
    <row r="1831" spans="1:12" x14ac:dyDescent="0.25">
      <c r="A1831" s="4" t="str">
        <f>HYPERLINK("http://www.rosaceae.org/Prunus/Prunus_persica/p.persica_gdr_reftransV1_0008876","p.persica_gdr_reftransV1_0008876")</f>
        <v>p.persica_gdr_reftransV1_0008876</v>
      </c>
      <c r="B1831" s="2">
        <v>1813</v>
      </c>
      <c r="C1831" s="4" t="str">
        <f>HYPERLINK("http://www.uniprot.org/uniprot/M5XYZ4","M5XYZ4")</f>
        <v>M5XYZ4</v>
      </c>
      <c r="D1831" s="2" t="s">
        <v>1778</v>
      </c>
      <c r="E1831" s="3">
        <v>0</v>
      </c>
      <c r="F1831" s="2">
        <v>1918</v>
      </c>
      <c r="G1831" s="2">
        <v>100</v>
      </c>
      <c r="H1831" s="2">
        <v>364</v>
      </c>
      <c r="I1831" s="2">
        <v>236</v>
      </c>
      <c r="J1831" s="2">
        <v>1327</v>
      </c>
      <c r="K1831" s="2">
        <v>1</v>
      </c>
      <c r="L1831" s="2">
        <v>364</v>
      </c>
    </row>
    <row r="1832" spans="1:12" x14ac:dyDescent="0.25">
      <c r="A1832" s="4" t="str">
        <f>HYPERLINK("http://www.rosaceae.org/Prunus/Prunus_persica/p.persica_gdr_reftransV1_0009226","p.persica_gdr_reftransV1_0009226")</f>
        <v>p.persica_gdr_reftransV1_0009226</v>
      </c>
      <c r="B1832" s="2">
        <v>2834</v>
      </c>
      <c r="C1832" s="4" t="str">
        <f>HYPERLINK("http://www.uniprot.org/uniprot/M5WQC5","M5WQC5")</f>
        <v>M5WQC5</v>
      </c>
      <c r="D1832" s="2" t="s">
        <v>1779</v>
      </c>
      <c r="E1832" s="3">
        <v>0</v>
      </c>
      <c r="F1832" s="2">
        <v>2177</v>
      </c>
      <c r="G1832" s="2">
        <v>100</v>
      </c>
      <c r="H1832" s="2">
        <v>473</v>
      </c>
      <c r="I1832" s="2">
        <v>1337</v>
      </c>
      <c r="J1832" s="2">
        <v>2755</v>
      </c>
      <c r="K1832" s="2">
        <v>1</v>
      </c>
      <c r="L1832" s="2">
        <v>473</v>
      </c>
    </row>
    <row r="1833" spans="1:12" x14ac:dyDescent="0.25">
      <c r="A1833" s="4" t="str">
        <f>HYPERLINK("http://www.rosaceae.org/Prunus/Prunus_persica/p.persica_gdr_reftransV1_0009926","p.persica_gdr_reftransV1_0009926")</f>
        <v>p.persica_gdr_reftransV1_0009926</v>
      </c>
      <c r="B1833" s="2">
        <v>1006</v>
      </c>
      <c r="C1833" s="4" t="str">
        <f>HYPERLINK("http://www.uniprot.org/uniprot/M5X5B5","M5X5B5")</f>
        <v>M5X5B5</v>
      </c>
      <c r="D1833" s="2" t="s">
        <v>1780</v>
      </c>
      <c r="E1833" s="3">
        <v>6.7699999999999999E-134</v>
      </c>
      <c r="F1833" s="2">
        <v>1022</v>
      </c>
      <c r="G1833" s="2">
        <v>100</v>
      </c>
      <c r="H1833" s="2">
        <v>194</v>
      </c>
      <c r="I1833" s="2">
        <v>424</v>
      </c>
      <c r="J1833" s="2">
        <v>1005</v>
      </c>
      <c r="K1833" s="2">
        <v>178</v>
      </c>
      <c r="L1833" s="2">
        <v>371</v>
      </c>
    </row>
    <row r="1834" spans="1:12" x14ac:dyDescent="0.25">
      <c r="A1834" s="4" t="str">
        <f>HYPERLINK("http://www.rosaceae.org/Prunus/Prunus_persica/p.persica_gdr_reftransV1_0010276","p.persica_gdr_reftransV1_0010276")</f>
        <v>p.persica_gdr_reftransV1_0010276</v>
      </c>
      <c r="B1834" s="2">
        <v>1202</v>
      </c>
      <c r="C1834" s="4" t="str">
        <f>HYPERLINK("http://www.uniprot.org/uniprot/M5W6U4","M5W6U4")</f>
        <v>M5W6U4</v>
      </c>
      <c r="D1834" s="2" t="s">
        <v>1781</v>
      </c>
      <c r="E1834" s="3">
        <v>0</v>
      </c>
      <c r="F1834" s="2">
        <v>2104</v>
      </c>
      <c r="G1834" s="2">
        <v>100</v>
      </c>
      <c r="H1834" s="2">
        <v>400</v>
      </c>
      <c r="I1834" s="2">
        <v>1</v>
      </c>
      <c r="J1834" s="2">
        <v>1200</v>
      </c>
      <c r="K1834" s="2">
        <v>26</v>
      </c>
      <c r="L1834" s="2">
        <v>425</v>
      </c>
    </row>
    <row r="1835" spans="1:12" x14ac:dyDescent="0.25">
      <c r="A1835" s="4" t="str">
        <f>HYPERLINK("http://www.rosaceae.org/Prunus/Prunus_persica/p.persica_gdr_reftransV1_0011676","p.persica_gdr_reftransV1_0011676")</f>
        <v>p.persica_gdr_reftransV1_0011676</v>
      </c>
      <c r="B1835" s="2">
        <v>2318</v>
      </c>
      <c r="C1835" s="4" t="str">
        <f>HYPERLINK("http://www.uniprot.org/uniprot/M5WQ00","M5WQ00")</f>
        <v>M5WQ00</v>
      </c>
      <c r="D1835" s="2" t="s">
        <v>1782</v>
      </c>
      <c r="E1835" s="3">
        <v>0</v>
      </c>
      <c r="F1835" s="2">
        <v>2679</v>
      </c>
      <c r="G1835" s="2">
        <v>92</v>
      </c>
      <c r="H1835" s="2">
        <v>626</v>
      </c>
      <c r="I1835" s="2">
        <v>40</v>
      </c>
      <c r="J1835" s="2">
        <v>1917</v>
      </c>
      <c r="K1835" s="2">
        <v>6</v>
      </c>
      <c r="L1835" s="2">
        <v>584</v>
      </c>
    </row>
    <row r="1836" spans="1:12" x14ac:dyDescent="0.25">
      <c r="A1836" s="4" t="str">
        <f>HYPERLINK("http://www.rosaceae.org/Prunus/Prunus_persica/p.persica_gdr_reftransV1_0012026","p.persica_gdr_reftransV1_0012026")</f>
        <v>p.persica_gdr_reftransV1_0012026</v>
      </c>
      <c r="B1836" s="2">
        <v>809</v>
      </c>
      <c r="C1836" s="4" t="str">
        <f>HYPERLINK("http://www.uniprot.org/uniprot/M5Y5Y2","M5Y5Y2")</f>
        <v>M5Y5Y2</v>
      </c>
      <c r="D1836" s="2" t="s">
        <v>1783</v>
      </c>
      <c r="E1836" s="3">
        <v>9.8400000000000004E-65</v>
      </c>
      <c r="F1836" s="2">
        <v>534</v>
      </c>
      <c r="G1836" s="2">
        <v>100</v>
      </c>
      <c r="H1836" s="2">
        <v>122</v>
      </c>
      <c r="I1836" s="2">
        <v>71</v>
      </c>
      <c r="J1836" s="2">
        <v>436</v>
      </c>
      <c r="K1836" s="2">
        <v>1</v>
      </c>
      <c r="L1836" s="2">
        <v>122</v>
      </c>
    </row>
    <row r="1837" spans="1:12" x14ac:dyDescent="0.25">
      <c r="A1837" s="4" t="str">
        <f>HYPERLINK("http://www.rosaceae.org/Prunus/Prunus_persica/p.persica_gdr_reftransV1_0012376","p.persica_gdr_reftransV1_0012376")</f>
        <v>p.persica_gdr_reftransV1_0012376</v>
      </c>
      <c r="B1837" s="2">
        <v>707</v>
      </c>
      <c r="C1837" s="4" t="str">
        <f>HYPERLINK("http://www.uniprot.org/uniprot/M5VLR2","M5VLR2")</f>
        <v>M5VLR2</v>
      </c>
      <c r="D1837" s="2" t="s">
        <v>1784</v>
      </c>
      <c r="E1837" s="3">
        <v>1.09E-116</v>
      </c>
      <c r="F1837" s="2">
        <v>930</v>
      </c>
      <c r="G1837" s="2">
        <v>100</v>
      </c>
      <c r="H1837" s="2">
        <v>173</v>
      </c>
      <c r="I1837" s="2">
        <v>187</v>
      </c>
      <c r="J1837" s="2">
        <v>705</v>
      </c>
      <c r="K1837" s="2">
        <v>1</v>
      </c>
      <c r="L1837" s="2">
        <v>173</v>
      </c>
    </row>
    <row r="1838" spans="1:12" x14ac:dyDescent="0.25">
      <c r="A1838" s="4" t="str">
        <f>HYPERLINK("http://www.rosaceae.org/Prunus/Prunus_persica/p.persica_gdr_reftransV1_0013076","p.persica_gdr_reftransV1_0013076")</f>
        <v>p.persica_gdr_reftransV1_0013076</v>
      </c>
      <c r="B1838" s="2">
        <v>3420</v>
      </c>
      <c r="C1838" s="4" t="str">
        <f>HYPERLINK("http://www.uniprot.org/uniprot/M5W5Y8","M5W5Y8")</f>
        <v>M5W5Y8</v>
      </c>
      <c r="D1838" s="2" t="s">
        <v>1785</v>
      </c>
      <c r="E1838" s="3">
        <v>0</v>
      </c>
      <c r="F1838" s="2">
        <v>2038</v>
      </c>
      <c r="G1838" s="2">
        <v>100</v>
      </c>
      <c r="H1838" s="2">
        <v>395</v>
      </c>
      <c r="I1838" s="2">
        <v>1833</v>
      </c>
      <c r="J1838" s="2">
        <v>3017</v>
      </c>
      <c r="K1838" s="2">
        <v>73</v>
      </c>
      <c r="L1838" s="2">
        <v>467</v>
      </c>
    </row>
    <row r="1839" spans="1:12" x14ac:dyDescent="0.25">
      <c r="A1839" s="4" t="str">
        <f>HYPERLINK("http://www.rosaceae.org/Prunus/Prunus_persica/p.persica_gdr_reftransV1_0013426","p.persica_gdr_reftransV1_0013426")</f>
        <v>p.persica_gdr_reftransV1_0013426</v>
      </c>
      <c r="B1839" s="2">
        <v>3487</v>
      </c>
      <c r="C1839" s="4" t="str">
        <f>HYPERLINK("http://www.uniprot.org/uniprot/M5WTI1","M5WTI1")</f>
        <v>M5WTI1</v>
      </c>
      <c r="D1839" s="2" t="s">
        <v>1786</v>
      </c>
      <c r="E1839" s="3">
        <v>2.9599999999999999E-176</v>
      </c>
      <c r="F1839" s="2">
        <v>1367</v>
      </c>
      <c r="G1839" s="2">
        <v>100</v>
      </c>
      <c r="H1839" s="2">
        <v>277</v>
      </c>
      <c r="I1839" s="2">
        <v>2262</v>
      </c>
      <c r="J1839" s="2">
        <v>3092</v>
      </c>
      <c r="K1839" s="2">
        <v>1</v>
      </c>
      <c r="L1839" s="2">
        <v>277</v>
      </c>
    </row>
    <row r="1840" spans="1:12" x14ac:dyDescent="0.25">
      <c r="A1840" s="4" t="str">
        <f>HYPERLINK("http://www.rosaceae.org/Prunus/Prunus_persica/p.persica_gdr_reftransV1_0014126","p.persica_gdr_reftransV1_0014126")</f>
        <v>p.persica_gdr_reftransV1_0014126</v>
      </c>
      <c r="B1840" s="2">
        <v>5008</v>
      </c>
      <c r="C1840" s="4" t="str">
        <f>HYPERLINK("http://www.uniprot.org/uniprot/M5W6G3","M5W6G3")</f>
        <v>M5W6G3</v>
      </c>
      <c r="D1840" s="2" t="s">
        <v>1787</v>
      </c>
      <c r="E1840" s="3">
        <v>0</v>
      </c>
      <c r="F1840" s="2">
        <v>4448</v>
      </c>
      <c r="G1840" s="2">
        <v>100</v>
      </c>
      <c r="H1840" s="2">
        <v>834</v>
      </c>
      <c r="I1840" s="2">
        <v>2165</v>
      </c>
      <c r="J1840" s="2">
        <v>4666</v>
      </c>
      <c r="K1840" s="2">
        <v>1</v>
      </c>
      <c r="L1840" s="2">
        <v>834</v>
      </c>
    </row>
    <row r="1841" spans="1:12" x14ac:dyDescent="0.25">
      <c r="A1841" s="4" t="str">
        <f>HYPERLINK("http://www.rosaceae.org/Prunus/Prunus_persica/p.persica_gdr_reftransV1_0014476","p.persica_gdr_reftransV1_0014476")</f>
        <v>p.persica_gdr_reftransV1_0014476</v>
      </c>
      <c r="B1841" s="2">
        <v>1367</v>
      </c>
      <c r="C1841" s="4" t="str">
        <f>HYPERLINK("http://www.uniprot.org/uniprot/M5WMP2","M5WMP2")</f>
        <v>M5WMP2</v>
      </c>
      <c r="D1841" s="2" t="s">
        <v>1788</v>
      </c>
      <c r="E1841" s="3">
        <v>0</v>
      </c>
      <c r="F1841" s="2">
        <v>1723</v>
      </c>
      <c r="G1841" s="2">
        <v>100</v>
      </c>
      <c r="H1841" s="2">
        <v>327</v>
      </c>
      <c r="I1841" s="2">
        <v>203</v>
      </c>
      <c r="J1841" s="2">
        <v>1183</v>
      </c>
      <c r="K1841" s="2">
        <v>1</v>
      </c>
      <c r="L1841" s="2">
        <v>327</v>
      </c>
    </row>
    <row r="1842" spans="1:12" x14ac:dyDescent="0.25">
      <c r="A1842" s="4" t="str">
        <f>HYPERLINK("http://www.rosaceae.org/Prunus/Prunus_persica/p.persica_gdr_reftransV1_0014826","p.persica_gdr_reftransV1_0014826")</f>
        <v>p.persica_gdr_reftransV1_0014826</v>
      </c>
      <c r="B1842" s="2">
        <v>2198</v>
      </c>
      <c r="C1842" s="4" t="str">
        <f>HYPERLINK("http://www.uniprot.org/uniprot/M5VWF7","M5VWF7")</f>
        <v>M5VWF7</v>
      </c>
      <c r="D1842" s="2" t="s">
        <v>1789</v>
      </c>
      <c r="E1842" s="3">
        <v>0</v>
      </c>
      <c r="F1842" s="2">
        <v>2366</v>
      </c>
      <c r="G1842" s="2">
        <v>99</v>
      </c>
      <c r="H1842" s="2">
        <v>527</v>
      </c>
      <c r="I1842" s="2">
        <v>131</v>
      </c>
      <c r="J1842" s="2">
        <v>1711</v>
      </c>
      <c r="K1842" s="2">
        <v>1</v>
      </c>
      <c r="L1842" s="2">
        <v>527</v>
      </c>
    </row>
    <row r="1843" spans="1:12" x14ac:dyDescent="0.25">
      <c r="A1843" s="4" t="str">
        <f>HYPERLINK("http://www.rosaceae.org/Prunus/Prunus_persica/p.persica_gdr_reftransV1_0015176","p.persica_gdr_reftransV1_0015176")</f>
        <v>p.persica_gdr_reftransV1_0015176</v>
      </c>
      <c r="B1843" s="2">
        <v>920</v>
      </c>
      <c r="C1843" s="4" t="str">
        <f>HYPERLINK("http://www.uniprot.org/uniprot/M5VQI3","M5VQI3")</f>
        <v>M5VQI3</v>
      </c>
      <c r="D1843" s="2" t="s">
        <v>272</v>
      </c>
      <c r="E1843" s="3">
        <v>1.2900000000000001E-70</v>
      </c>
      <c r="F1843" s="2">
        <v>596</v>
      </c>
      <c r="G1843" s="2">
        <v>100</v>
      </c>
      <c r="H1843" s="2">
        <v>162</v>
      </c>
      <c r="I1843" s="2">
        <v>2</v>
      </c>
      <c r="J1843" s="2">
        <v>487</v>
      </c>
      <c r="K1843" s="2">
        <v>185</v>
      </c>
      <c r="L1843" s="2">
        <v>346</v>
      </c>
    </row>
    <row r="1844" spans="1:12" x14ac:dyDescent="0.25">
      <c r="A1844" s="4" t="str">
        <f>HYPERLINK("http://www.rosaceae.org/Prunus/Prunus_persica/p.persica_gdr_reftransV1_0015876","p.persica_gdr_reftransV1_0015876")</f>
        <v>p.persica_gdr_reftransV1_0015876</v>
      </c>
      <c r="B1844" s="2">
        <v>3651</v>
      </c>
      <c r="C1844" s="4" t="str">
        <f>HYPERLINK("http://www.uniprot.org/uniprot/M5VHB9","M5VHB9")</f>
        <v>M5VHB9</v>
      </c>
      <c r="D1844" s="2" t="s">
        <v>1790</v>
      </c>
      <c r="E1844" s="3">
        <v>0</v>
      </c>
      <c r="F1844" s="2">
        <v>1700</v>
      </c>
      <c r="G1844" s="2">
        <v>100</v>
      </c>
      <c r="H1844" s="2">
        <v>318</v>
      </c>
      <c r="I1844" s="2">
        <v>2179</v>
      </c>
      <c r="J1844" s="2">
        <v>3132</v>
      </c>
      <c r="K1844" s="2">
        <v>1</v>
      </c>
      <c r="L1844" s="2">
        <v>318</v>
      </c>
    </row>
    <row r="1845" spans="1:12" x14ac:dyDescent="0.25">
      <c r="A1845" s="4" t="str">
        <f>HYPERLINK("http://www.rosaceae.org/Prunus/Prunus_persica/p.persica_gdr_reftransV1_0016926","p.persica_gdr_reftransV1_0016926")</f>
        <v>p.persica_gdr_reftransV1_0016926</v>
      </c>
      <c r="B1845" s="2">
        <v>2534</v>
      </c>
      <c r="C1845" s="4" t="str">
        <f>HYPERLINK("http://www.uniprot.org/uniprot/M5WQL4","M5WQL4")</f>
        <v>M5WQL4</v>
      </c>
      <c r="D1845" s="2" t="s">
        <v>1791</v>
      </c>
      <c r="E1845" s="3">
        <v>0</v>
      </c>
      <c r="F1845" s="2">
        <v>3091</v>
      </c>
      <c r="G1845" s="2">
        <v>100</v>
      </c>
      <c r="H1845" s="2">
        <v>618</v>
      </c>
      <c r="I1845" s="2">
        <v>107</v>
      </c>
      <c r="J1845" s="2">
        <v>1960</v>
      </c>
      <c r="K1845" s="2">
        <v>1</v>
      </c>
      <c r="L1845" s="2">
        <v>618</v>
      </c>
    </row>
    <row r="1846" spans="1:12" x14ac:dyDescent="0.25">
      <c r="A1846" s="4" t="str">
        <f>HYPERLINK("http://www.rosaceae.org/Prunus/Prunus_persica/p.persica_gdr_reftransV1_0017276","p.persica_gdr_reftransV1_0017276")</f>
        <v>p.persica_gdr_reftransV1_0017276</v>
      </c>
      <c r="B1846" s="2">
        <v>1829</v>
      </c>
      <c r="C1846" s="4" t="str">
        <f>HYPERLINK("http://www.uniprot.org/uniprot/M5VPY1","M5VPY1")</f>
        <v>M5VPY1</v>
      </c>
      <c r="D1846" s="2" t="s">
        <v>867</v>
      </c>
      <c r="E1846" s="3">
        <v>0</v>
      </c>
      <c r="F1846" s="2">
        <v>1670</v>
      </c>
      <c r="G1846" s="2">
        <v>84</v>
      </c>
      <c r="H1846" s="2">
        <v>431</v>
      </c>
      <c r="I1846" s="2">
        <v>533</v>
      </c>
      <c r="J1846" s="2">
        <v>1825</v>
      </c>
      <c r="K1846" s="2">
        <v>3</v>
      </c>
      <c r="L1846" s="2">
        <v>379</v>
      </c>
    </row>
    <row r="1847" spans="1:12" x14ac:dyDescent="0.25">
      <c r="A1847" s="4" t="str">
        <f>HYPERLINK("http://www.rosaceae.org/Prunus/Prunus_persica/p.persica_gdr_reftransV1_0018326","p.persica_gdr_reftransV1_0018326")</f>
        <v>p.persica_gdr_reftransV1_0018326</v>
      </c>
      <c r="B1847" s="2">
        <v>729</v>
      </c>
      <c r="C1847" s="4" t="str">
        <f>HYPERLINK("http://www.uniprot.org/uniprot/M5VMN6","M5VMN6")</f>
        <v>M5VMN6</v>
      </c>
      <c r="D1847" s="2" t="s">
        <v>1792</v>
      </c>
      <c r="E1847" s="3">
        <v>1.0200000000000001E-71</v>
      </c>
      <c r="F1847" s="2">
        <v>587</v>
      </c>
      <c r="G1847" s="2">
        <v>99</v>
      </c>
      <c r="H1847" s="2">
        <v>135</v>
      </c>
      <c r="I1847" s="2">
        <v>69</v>
      </c>
      <c r="J1847" s="2">
        <v>473</v>
      </c>
      <c r="K1847" s="2">
        <v>1</v>
      </c>
      <c r="L1847" s="2">
        <v>135</v>
      </c>
    </row>
    <row r="1848" spans="1:12" x14ac:dyDescent="0.25">
      <c r="A1848" s="4" t="str">
        <f>HYPERLINK("http://www.rosaceae.org/Prunus/Prunus_persica/p.persica_gdr_reftransV1_0019726","p.persica_gdr_reftransV1_0019726")</f>
        <v>p.persica_gdr_reftransV1_0019726</v>
      </c>
      <c r="B1848" s="2">
        <v>3432</v>
      </c>
      <c r="C1848" s="4" t="str">
        <f>HYPERLINK("http://www.uniprot.org/uniprot/M5XIU6","M5XIU6")</f>
        <v>M5XIU6</v>
      </c>
      <c r="D1848" s="2" t="s">
        <v>1793</v>
      </c>
      <c r="E1848" s="3">
        <v>0</v>
      </c>
      <c r="F1848" s="2">
        <v>3681</v>
      </c>
      <c r="G1848" s="2">
        <v>100</v>
      </c>
      <c r="H1848" s="2">
        <v>715</v>
      </c>
      <c r="I1848" s="2">
        <v>1190</v>
      </c>
      <c r="J1848" s="2">
        <v>3334</v>
      </c>
      <c r="K1848" s="2">
        <v>1</v>
      </c>
      <c r="L1848" s="2">
        <v>715</v>
      </c>
    </row>
    <row r="1849" spans="1:12" x14ac:dyDescent="0.25">
      <c r="A1849" s="4" t="str">
        <f>HYPERLINK("http://www.rosaceae.org/Prunus/Prunus_persica/p.persica_gdr_reftransV1_0020426","p.persica_gdr_reftransV1_0020426")</f>
        <v>p.persica_gdr_reftransV1_0020426</v>
      </c>
      <c r="B1849" s="2">
        <v>2096</v>
      </c>
      <c r="C1849" s="4" t="str">
        <f>HYPERLINK("http://www.uniprot.org/uniprot/M5VME1","M5VME1")</f>
        <v>M5VME1</v>
      </c>
      <c r="D1849" s="2" t="s">
        <v>1794</v>
      </c>
      <c r="E1849" s="3">
        <v>0</v>
      </c>
      <c r="F1849" s="2">
        <v>2786</v>
      </c>
      <c r="G1849" s="2">
        <v>95</v>
      </c>
      <c r="H1849" s="2">
        <v>561</v>
      </c>
      <c r="I1849" s="2">
        <v>3</v>
      </c>
      <c r="J1849" s="2">
        <v>1685</v>
      </c>
      <c r="K1849" s="2">
        <v>274</v>
      </c>
      <c r="L1849" s="2">
        <v>809</v>
      </c>
    </row>
    <row r="1850" spans="1:12" x14ac:dyDescent="0.25">
      <c r="A1850" s="4" t="str">
        <f>HYPERLINK("http://www.rosaceae.org/Prunus/Prunus_persica/p.persica_gdr_reftransV1_0021826","p.persica_gdr_reftransV1_0021826")</f>
        <v>p.persica_gdr_reftransV1_0021826</v>
      </c>
      <c r="B1850" s="2">
        <v>2127</v>
      </c>
      <c r="C1850" s="4" t="str">
        <f>HYPERLINK("http://www.uniprot.org/uniprot/M5XDV8","M5XDV8")</f>
        <v>M5XDV8</v>
      </c>
      <c r="D1850" s="2" t="s">
        <v>1795</v>
      </c>
      <c r="E1850" s="3">
        <v>0</v>
      </c>
      <c r="F1850" s="2">
        <v>2740</v>
      </c>
      <c r="G1850" s="2">
        <v>100</v>
      </c>
      <c r="H1850" s="2">
        <v>562</v>
      </c>
      <c r="I1850" s="2">
        <v>355</v>
      </c>
      <c r="J1850" s="2">
        <v>2040</v>
      </c>
      <c r="K1850" s="2">
        <v>1</v>
      </c>
      <c r="L1850" s="2">
        <v>562</v>
      </c>
    </row>
    <row r="1851" spans="1:12" x14ac:dyDescent="0.25">
      <c r="A1851" s="4" t="str">
        <f>HYPERLINK("http://www.rosaceae.org/Prunus/Prunus_persica/p.persica_gdr_reftransV1_0022526","p.persica_gdr_reftransV1_0022526")</f>
        <v>p.persica_gdr_reftransV1_0022526</v>
      </c>
      <c r="B1851" s="2">
        <v>1428</v>
      </c>
      <c r="C1851" s="4" t="str">
        <f>HYPERLINK("http://www.uniprot.org/uniprot/M5XNW3","M5XNW3")</f>
        <v>M5XNW3</v>
      </c>
      <c r="D1851" s="2" t="s">
        <v>1796</v>
      </c>
      <c r="E1851" s="3">
        <v>3.7099999999999999E-158</v>
      </c>
      <c r="F1851" s="2">
        <v>1185</v>
      </c>
      <c r="G1851" s="2">
        <v>100</v>
      </c>
      <c r="H1851" s="2">
        <v>238</v>
      </c>
      <c r="I1851" s="2">
        <v>499</v>
      </c>
      <c r="J1851" s="2">
        <v>1212</v>
      </c>
      <c r="K1851" s="2">
        <v>1</v>
      </c>
      <c r="L1851" s="2">
        <v>238</v>
      </c>
    </row>
    <row r="1852" spans="1:12" x14ac:dyDescent="0.25">
      <c r="A1852" s="4" t="str">
        <f>HYPERLINK("http://www.rosaceae.org/Prunus/Prunus_persica/p.persica_gdr_reftransV1_0026376","p.persica_gdr_reftransV1_0026376")</f>
        <v>p.persica_gdr_reftransV1_0026376</v>
      </c>
      <c r="B1852" s="2">
        <v>3807</v>
      </c>
      <c r="C1852" s="4" t="str">
        <f>HYPERLINK("http://www.uniprot.org/uniprot/M5VIG1","M5VIG1")</f>
        <v>M5VIG1</v>
      </c>
      <c r="D1852" s="2" t="s">
        <v>1797</v>
      </c>
      <c r="E1852" s="3">
        <v>0</v>
      </c>
      <c r="F1852" s="2">
        <v>3940</v>
      </c>
      <c r="G1852" s="2">
        <v>100</v>
      </c>
      <c r="H1852" s="2">
        <v>801</v>
      </c>
      <c r="I1852" s="2">
        <v>1109</v>
      </c>
      <c r="J1852" s="2">
        <v>3511</v>
      </c>
      <c r="K1852" s="2">
        <v>1</v>
      </c>
      <c r="L1852" s="2">
        <v>801</v>
      </c>
    </row>
    <row r="1853" spans="1:12" x14ac:dyDescent="0.25">
      <c r="A1853" s="4" t="str">
        <f>HYPERLINK("http://www.rosaceae.org/Prunus/Prunus_persica/p.persica_gdr_reftransV1_0027776","p.persica_gdr_reftransV1_0027776")</f>
        <v>p.persica_gdr_reftransV1_0027776</v>
      </c>
      <c r="B1853" s="2">
        <v>1511</v>
      </c>
      <c r="C1853" s="4" t="str">
        <f>HYPERLINK("http://www.uniprot.org/uniprot/M5WS59","M5WS59")</f>
        <v>M5WS59</v>
      </c>
      <c r="D1853" s="2" t="s">
        <v>1798</v>
      </c>
      <c r="E1853" s="3">
        <v>6.8399999999999998E-161</v>
      </c>
      <c r="F1853" s="2">
        <v>1208</v>
      </c>
      <c r="G1853" s="2">
        <v>98</v>
      </c>
      <c r="H1853" s="2">
        <v>228</v>
      </c>
      <c r="I1853" s="2">
        <v>317</v>
      </c>
      <c r="J1853" s="2">
        <v>1000</v>
      </c>
      <c r="K1853" s="2">
        <v>46</v>
      </c>
      <c r="L1853" s="2">
        <v>273</v>
      </c>
    </row>
    <row r="1854" spans="1:12" x14ac:dyDescent="0.25">
      <c r="A1854" s="4" t="str">
        <f>HYPERLINK("http://www.rosaceae.org/Prunus/Prunus_persica/p.persica_gdr_reftransV1_0028476","p.persica_gdr_reftransV1_0028476")</f>
        <v>p.persica_gdr_reftransV1_0028476</v>
      </c>
      <c r="B1854" s="2">
        <v>1979</v>
      </c>
      <c r="C1854" s="4" t="str">
        <f>HYPERLINK("http://www.uniprot.org/uniprot/M5Y7Q1","M5Y7Q1")</f>
        <v>M5Y7Q1</v>
      </c>
      <c r="D1854" s="2" t="s">
        <v>1799</v>
      </c>
      <c r="E1854" s="3">
        <v>0</v>
      </c>
      <c r="F1854" s="2">
        <v>2293</v>
      </c>
      <c r="G1854" s="2">
        <v>100</v>
      </c>
      <c r="H1854" s="2">
        <v>432</v>
      </c>
      <c r="I1854" s="2">
        <v>1</v>
      </c>
      <c r="J1854" s="2">
        <v>1296</v>
      </c>
      <c r="K1854" s="2">
        <v>509</v>
      </c>
      <c r="L1854" s="2">
        <v>940</v>
      </c>
    </row>
    <row r="1855" spans="1:12" x14ac:dyDescent="0.25">
      <c r="A1855" s="4" t="str">
        <f>HYPERLINK("http://www.rosaceae.org/Prunus/Prunus_persica/p.persica_gdr_reftransV1_0028826","p.persica_gdr_reftransV1_0028826")</f>
        <v>p.persica_gdr_reftransV1_0028826</v>
      </c>
      <c r="B1855" s="2">
        <v>2214</v>
      </c>
      <c r="C1855" s="4" t="str">
        <f>HYPERLINK("http://www.uniprot.org/uniprot/M5WAL1","M5WAL1")</f>
        <v>M5WAL1</v>
      </c>
      <c r="D1855" s="2" t="s">
        <v>1800</v>
      </c>
      <c r="E1855" s="3">
        <v>0</v>
      </c>
      <c r="F1855" s="2">
        <v>1780</v>
      </c>
      <c r="G1855" s="2">
        <v>95</v>
      </c>
      <c r="H1855" s="2">
        <v>351</v>
      </c>
      <c r="I1855" s="2">
        <v>614</v>
      </c>
      <c r="J1855" s="2">
        <v>1666</v>
      </c>
      <c r="K1855" s="2">
        <v>92</v>
      </c>
      <c r="L1855" s="2">
        <v>437</v>
      </c>
    </row>
    <row r="1856" spans="1:12" x14ac:dyDescent="0.25">
      <c r="A1856" s="4" t="str">
        <f>HYPERLINK("http://www.rosaceae.org/Prunus/Prunus_persica/p.persica_gdr_reftransV1_0029526","p.persica_gdr_reftransV1_0029526")</f>
        <v>p.persica_gdr_reftransV1_0029526</v>
      </c>
      <c r="B1856" s="2">
        <v>1724</v>
      </c>
      <c r="C1856" s="4" t="str">
        <f>HYPERLINK("http://www.uniprot.org/uniprot/M5VZJ2","M5VZJ2")</f>
        <v>M5VZJ2</v>
      </c>
      <c r="D1856" s="2" t="s">
        <v>1801</v>
      </c>
      <c r="E1856" s="3">
        <v>0</v>
      </c>
      <c r="F1856" s="2">
        <v>2060</v>
      </c>
      <c r="G1856" s="2">
        <v>100</v>
      </c>
      <c r="H1856" s="2">
        <v>381</v>
      </c>
      <c r="I1856" s="2">
        <v>469</v>
      </c>
      <c r="J1856" s="2">
        <v>1611</v>
      </c>
      <c r="K1856" s="2">
        <v>1</v>
      </c>
      <c r="L1856" s="2">
        <v>381</v>
      </c>
    </row>
    <row r="1857" spans="1:12" x14ac:dyDescent="0.25">
      <c r="A1857" s="4" t="str">
        <f>HYPERLINK("http://www.rosaceae.org/Prunus/Prunus_persica/p.persica_gdr_reftransV1_0031276","p.persica_gdr_reftransV1_0031276")</f>
        <v>p.persica_gdr_reftransV1_0031276</v>
      </c>
      <c r="B1857" s="2">
        <v>2150</v>
      </c>
      <c r="C1857" s="4" t="str">
        <f>HYPERLINK("http://www.uniprot.org/uniprot/M5XQV2","M5XQV2")</f>
        <v>M5XQV2</v>
      </c>
      <c r="D1857" s="2" t="s">
        <v>1802</v>
      </c>
      <c r="E1857" s="3">
        <v>3.8500000000000001E-149</v>
      </c>
      <c r="F1857" s="2">
        <v>1152</v>
      </c>
      <c r="G1857" s="2">
        <v>88</v>
      </c>
      <c r="H1857" s="2">
        <v>284</v>
      </c>
      <c r="I1857" s="2">
        <v>816</v>
      </c>
      <c r="J1857" s="2">
        <v>1667</v>
      </c>
      <c r="K1857" s="2">
        <v>1</v>
      </c>
      <c r="L1857" s="2">
        <v>251</v>
      </c>
    </row>
    <row r="1858" spans="1:12" x14ac:dyDescent="0.25">
      <c r="A1858" s="4" t="str">
        <f>HYPERLINK("http://www.rosaceae.org/Prunus/Prunus_persica/p.persica_gdr_reftransV1_0032326","p.persica_gdr_reftransV1_0032326")</f>
        <v>p.persica_gdr_reftransV1_0032326</v>
      </c>
      <c r="B1858" s="2">
        <v>1215</v>
      </c>
      <c r="C1858" s="4" t="str">
        <f>HYPERLINK("http://www.uniprot.org/uniprot/M5WIV3","M5WIV3")</f>
        <v>M5WIV3</v>
      </c>
      <c r="D1858" s="2" t="s">
        <v>1803</v>
      </c>
      <c r="E1858" s="3">
        <v>2.9700000000000002E-141</v>
      </c>
      <c r="F1858" s="2">
        <v>1063</v>
      </c>
      <c r="G1858" s="2">
        <v>100</v>
      </c>
      <c r="H1858" s="2">
        <v>222</v>
      </c>
      <c r="I1858" s="2">
        <v>243</v>
      </c>
      <c r="J1858" s="2">
        <v>908</v>
      </c>
      <c r="K1858" s="2">
        <v>1</v>
      </c>
      <c r="L1858" s="2">
        <v>222</v>
      </c>
    </row>
    <row r="1859" spans="1:12" x14ac:dyDescent="0.25">
      <c r="A1859" s="4" t="str">
        <f>HYPERLINK("http://www.rosaceae.org/Prunus/Prunus_persica/p.persica_gdr_reftransV1_0033376","p.persica_gdr_reftransV1_0033376")</f>
        <v>p.persica_gdr_reftransV1_0033376</v>
      </c>
      <c r="B1859" s="2">
        <v>1342</v>
      </c>
      <c r="C1859" s="4" t="str">
        <f>HYPERLINK("http://www.uniprot.org/uniprot/M5WIN3","M5WIN3")</f>
        <v>M5WIN3</v>
      </c>
      <c r="D1859" s="2" t="s">
        <v>1804</v>
      </c>
      <c r="E1859" s="3">
        <v>3.3999999999999998E-114</v>
      </c>
      <c r="F1859" s="2">
        <v>889</v>
      </c>
      <c r="G1859" s="2">
        <v>99</v>
      </c>
      <c r="H1859" s="2">
        <v>172</v>
      </c>
      <c r="I1859" s="2">
        <v>604</v>
      </c>
      <c r="J1859" s="2">
        <v>1119</v>
      </c>
      <c r="K1859" s="2">
        <v>67</v>
      </c>
      <c r="L1859" s="2">
        <v>238</v>
      </c>
    </row>
    <row r="1860" spans="1:12" x14ac:dyDescent="0.25">
      <c r="A1860" s="4" t="str">
        <f>HYPERLINK("http://www.rosaceae.org/Prunus/Prunus_persica/p.persica_gdr_reftransV1_0035126","p.persica_gdr_reftransV1_0035126")</f>
        <v>p.persica_gdr_reftransV1_0035126</v>
      </c>
      <c r="B1860" s="2">
        <v>2675</v>
      </c>
      <c r="C1860" s="4" t="str">
        <f>HYPERLINK("http://www.uniprot.org/uniprot/M5WSC4","M5WSC4")</f>
        <v>M5WSC4</v>
      </c>
      <c r="D1860" s="2" t="s">
        <v>1805</v>
      </c>
      <c r="E1860" s="3">
        <v>0</v>
      </c>
      <c r="F1860" s="2">
        <v>1745</v>
      </c>
      <c r="G1860" s="2">
        <v>100</v>
      </c>
      <c r="H1860" s="2">
        <v>330</v>
      </c>
      <c r="I1860" s="2">
        <v>782</v>
      </c>
      <c r="J1860" s="2">
        <v>1771</v>
      </c>
      <c r="K1860" s="2">
        <v>1</v>
      </c>
      <c r="L1860" s="2">
        <v>330</v>
      </c>
    </row>
    <row r="1861" spans="1:12" x14ac:dyDescent="0.25">
      <c r="A1861" s="4" t="str">
        <f>HYPERLINK("http://www.rosaceae.org/Prunus/Prunus_persica/p.persica_gdr_reftransV1_0035476","p.persica_gdr_reftransV1_0035476")</f>
        <v>p.persica_gdr_reftransV1_0035476</v>
      </c>
      <c r="B1861" s="2">
        <v>2557</v>
      </c>
      <c r="C1861" s="4" t="str">
        <f>HYPERLINK("http://www.uniprot.org/uniprot/M5VQB4","M5VQB4")</f>
        <v>M5VQB4</v>
      </c>
      <c r="D1861" s="2" t="s">
        <v>878</v>
      </c>
      <c r="E1861" s="3">
        <v>7.0199999999999999E-166</v>
      </c>
      <c r="F1861" s="2">
        <v>1281</v>
      </c>
      <c r="G1861" s="2">
        <v>100</v>
      </c>
      <c r="H1861" s="2">
        <v>255</v>
      </c>
      <c r="I1861" s="2">
        <v>1097</v>
      </c>
      <c r="J1861" s="2">
        <v>1861</v>
      </c>
      <c r="K1861" s="2">
        <v>55</v>
      </c>
      <c r="L1861" s="2">
        <v>309</v>
      </c>
    </row>
    <row r="1862" spans="1:12" x14ac:dyDescent="0.25">
      <c r="A1862" s="4" t="str">
        <f>HYPERLINK("http://www.rosaceae.org/Prunus/Prunus_persica/p.persica_gdr_reftransV1_0035826","p.persica_gdr_reftransV1_0035826")</f>
        <v>p.persica_gdr_reftransV1_0035826</v>
      </c>
      <c r="B1862" s="2">
        <v>3309</v>
      </c>
      <c r="C1862" s="4" t="str">
        <f>HYPERLINK("http://www.uniprot.org/uniprot/M5WR13","M5WR13")</f>
        <v>M5WR13</v>
      </c>
      <c r="D1862" s="2" t="s">
        <v>1806</v>
      </c>
      <c r="E1862" s="3">
        <v>0</v>
      </c>
      <c r="F1862" s="2">
        <v>4005</v>
      </c>
      <c r="G1862" s="2">
        <v>100</v>
      </c>
      <c r="H1862" s="2">
        <v>995</v>
      </c>
      <c r="I1862" s="2">
        <v>301</v>
      </c>
      <c r="J1862" s="2">
        <v>3285</v>
      </c>
      <c r="K1862" s="2">
        <v>1</v>
      </c>
      <c r="L1862" s="2">
        <v>995</v>
      </c>
    </row>
    <row r="1863" spans="1:12" x14ac:dyDescent="0.25">
      <c r="A1863" s="4" t="str">
        <f>HYPERLINK("http://www.rosaceae.org/Prunus/Prunus_persica/p.persica_gdr_reftransV1_0036526","p.persica_gdr_reftransV1_0036526")</f>
        <v>p.persica_gdr_reftransV1_0036526</v>
      </c>
      <c r="B1863" s="2">
        <v>1806</v>
      </c>
      <c r="C1863" s="4" t="str">
        <f>HYPERLINK("http://www.uniprot.org/uniprot/M5WCL5","M5WCL5")</f>
        <v>M5WCL5</v>
      </c>
      <c r="D1863" s="2" t="s">
        <v>1807</v>
      </c>
      <c r="E1863" s="3">
        <v>6.5699999999999997E-150</v>
      </c>
      <c r="F1863" s="2">
        <v>1181</v>
      </c>
      <c r="G1863" s="2">
        <v>100</v>
      </c>
      <c r="H1863" s="2">
        <v>253</v>
      </c>
      <c r="I1863" s="2">
        <v>1046</v>
      </c>
      <c r="J1863" s="2">
        <v>1804</v>
      </c>
      <c r="K1863" s="2">
        <v>408</v>
      </c>
      <c r="L1863" s="2">
        <v>660</v>
      </c>
    </row>
    <row r="1864" spans="1:12" x14ac:dyDescent="0.25">
      <c r="A1864" s="4" t="str">
        <f>HYPERLINK("http://www.rosaceae.org/Prunus/Prunus_persica/p.persica_gdr_reftransV1_0036876","p.persica_gdr_reftransV1_0036876")</f>
        <v>p.persica_gdr_reftransV1_0036876</v>
      </c>
      <c r="B1864" s="2">
        <v>2819</v>
      </c>
      <c r="C1864" s="4" t="str">
        <f>HYPERLINK("http://www.uniprot.org/uniprot/M5XJW3","M5XJW3")</f>
        <v>M5XJW3</v>
      </c>
      <c r="D1864" s="2" t="s">
        <v>1808</v>
      </c>
      <c r="E1864" s="3">
        <v>0</v>
      </c>
      <c r="F1864" s="2">
        <v>3396</v>
      </c>
      <c r="G1864" s="2">
        <v>100</v>
      </c>
      <c r="H1864" s="2">
        <v>764</v>
      </c>
      <c r="I1864" s="2">
        <v>242</v>
      </c>
      <c r="J1864" s="2">
        <v>2533</v>
      </c>
      <c r="K1864" s="2">
        <v>24</v>
      </c>
      <c r="L1864" s="2">
        <v>787</v>
      </c>
    </row>
    <row r="1865" spans="1:12" x14ac:dyDescent="0.25">
      <c r="A1865" s="4" t="str">
        <f>HYPERLINK("http://www.rosaceae.org/Prunus/Prunus_persica/p.persica_gdr_reftransV1_0040026","p.persica_gdr_reftransV1_0040026")</f>
        <v>p.persica_gdr_reftransV1_0040026</v>
      </c>
      <c r="B1865" s="2">
        <v>2280</v>
      </c>
      <c r="C1865" s="4" t="str">
        <f>HYPERLINK("http://www.uniprot.org/uniprot/M5VZF3","M5VZF3")</f>
        <v>M5VZF3</v>
      </c>
      <c r="D1865" s="2" t="s">
        <v>1809</v>
      </c>
      <c r="E1865" s="3">
        <v>0</v>
      </c>
      <c r="F1865" s="2">
        <v>2893</v>
      </c>
      <c r="G1865" s="2">
        <v>100</v>
      </c>
      <c r="H1865" s="2">
        <v>562</v>
      </c>
      <c r="I1865" s="2">
        <v>495</v>
      </c>
      <c r="J1865" s="2">
        <v>2180</v>
      </c>
      <c r="K1865" s="2">
        <v>1</v>
      </c>
      <c r="L1865" s="2">
        <v>562</v>
      </c>
    </row>
    <row r="1866" spans="1:12" x14ac:dyDescent="0.25">
      <c r="A1866" s="4" t="str">
        <f>HYPERLINK("http://www.rosaceae.org/Prunus/Prunus_persica/p.persica_gdr_reftransV1_0040726","p.persica_gdr_reftransV1_0040726")</f>
        <v>p.persica_gdr_reftransV1_0040726</v>
      </c>
      <c r="B1866" s="2">
        <v>2322</v>
      </c>
      <c r="C1866" s="4" t="str">
        <f>HYPERLINK("http://www.uniprot.org/uniprot/M5XY26","M5XY26")</f>
        <v>M5XY26</v>
      </c>
      <c r="D1866" s="2" t="s">
        <v>1810</v>
      </c>
      <c r="E1866" s="3">
        <v>4.1199999999999997E-158</v>
      </c>
      <c r="F1866" s="2">
        <v>1234</v>
      </c>
      <c r="G1866" s="2">
        <v>100</v>
      </c>
      <c r="H1866" s="2">
        <v>230</v>
      </c>
      <c r="I1866" s="2">
        <v>1566</v>
      </c>
      <c r="J1866" s="2">
        <v>2255</v>
      </c>
      <c r="K1866" s="2">
        <v>35</v>
      </c>
      <c r="L1866" s="2">
        <v>264</v>
      </c>
    </row>
    <row r="1867" spans="1:12" x14ac:dyDescent="0.25">
      <c r="A1867" s="4" t="str">
        <f>HYPERLINK("http://www.rosaceae.org/Prunus/Prunus_persica/p.persica_gdr_reftransV1_0042826","p.persica_gdr_reftransV1_0042826")</f>
        <v>p.persica_gdr_reftransV1_0042826</v>
      </c>
      <c r="B1867" s="2">
        <v>799</v>
      </c>
      <c r="C1867" s="4" t="str">
        <f>HYPERLINK("http://www.uniprot.org/uniprot/A0A0B0MEN2","A0A0B0MEN2")</f>
        <v>A0A0B0MEN2</v>
      </c>
      <c r="D1867" s="2" t="s">
        <v>1811</v>
      </c>
      <c r="E1867" s="3">
        <v>1.3500000000000001E-31</v>
      </c>
      <c r="F1867" s="2">
        <v>311</v>
      </c>
      <c r="G1867" s="2">
        <v>65</v>
      </c>
      <c r="H1867" s="2">
        <v>101</v>
      </c>
      <c r="I1867" s="2">
        <v>294</v>
      </c>
      <c r="J1867" s="2">
        <v>596</v>
      </c>
      <c r="K1867" s="2">
        <v>20</v>
      </c>
      <c r="L1867" s="2">
        <v>118</v>
      </c>
    </row>
    <row r="1868" spans="1:12" x14ac:dyDescent="0.25">
      <c r="A1868" s="4" t="str">
        <f>HYPERLINK("http://www.rosaceae.org/Prunus/Prunus_persica/p.persica_gdr_reftransV1_0043176","p.persica_gdr_reftransV1_0043176")</f>
        <v>p.persica_gdr_reftransV1_0043176</v>
      </c>
      <c r="B1868" s="2">
        <v>335</v>
      </c>
      <c r="C1868" s="4" t="str">
        <f>HYPERLINK("http://www.uniprot.org/uniprot/M5WZW1","M5WZW1")</f>
        <v>M5WZW1</v>
      </c>
      <c r="D1868" s="2" t="s">
        <v>1812</v>
      </c>
      <c r="E1868" s="3">
        <v>6.7599999999999997E-42</v>
      </c>
      <c r="F1868" s="2">
        <v>396</v>
      </c>
      <c r="G1868" s="2">
        <v>71</v>
      </c>
      <c r="H1868" s="2">
        <v>108</v>
      </c>
      <c r="I1868" s="2">
        <v>2</v>
      </c>
      <c r="J1868" s="2">
        <v>325</v>
      </c>
      <c r="K1868" s="2">
        <v>521</v>
      </c>
      <c r="L1868" s="2">
        <v>628</v>
      </c>
    </row>
    <row r="1869" spans="1:12" x14ac:dyDescent="0.25">
      <c r="A1869" s="4" t="str">
        <f>HYPERLINK("http://www.rosaceae.org/Prunus/Prunus_persica/p.persica_gdr_reftransV1_0043526","p.persica_gdr_reftransV1_0043526")</f>
        <v>p.persica_gdr_reftransV1_0043526</v>
      </c>
      <c r="B1869" s="2">
        <v>981</v>
      </c>
      <c r="C1869" s="4" t="str">
        <f>HYPERLINK("http://www.uniprot.org/uniprot/M5VU19","M5VU19")</f>
        <v>M5VU19</v>
      </c>
      <c r="D1869" s="2" t="s">
        <v>1813</v>
      </c>
      <c r="E1869" s="3">
        <v>2.49E-74</v>
      </c>
      <c r="F1869" s="2">
        <v>611</v>
      </c>
      <c r="G1869" s="2">
        <v>100</v>
      </c>
      <c r="H1869" s="2">
        <v>222</v>
      </c>
      <c r="I1869" s="2">
        <v>238</v>
      </c>
      <c r="J1869" s="2">
        <v>903</v>
      </c>
      <c r="K1869" s="2">
        <v>1</v>
      </c>
      <c r="L1869" s="2">
        <v>222</v>
      </c>
    </row>
    <row r="1870" spans="1:12" x14ac:dyDescent="0.25">
      <c r="A1870" s="4" t="str">
        <f>HYPERLINK("http://www.rosaceae.org/Prunus/Prunus_persica/p.persica_gdr_reftransV1_0043876","p.persica_gdr_reftransV1_0043876")</f>
        <v>p.persica_gdr_reftransV1_0043876</v>
      </c>
      <c r="B1870" s="2">
        <v>1165</v>
      </c>
      <c r="C1870" s="4" t="str">
        <f>HYPERLINK("http://www.uniprot.org/uniprot/M5VS25","M5VS25")</f>
        <v>M5VS25</v>
      </c>
      <c r="D1870" s="2" t="s">
        <v>1814</v>
      </c>
      <c r="E1870" s="3">
        <v>2.3599999999999999E-130</v>
      </c>
      <c r="F1870" s="2">
        <v>986</v>
      </c>
      <c r="G1870" s="2">
        <v>100</v>
      </c>
      <c r="H1870" s="2">
        <v>184</v>
      </c>
      <c r="I1870" s="2">
        <v>464</v>
      </c>
      <c r="J1870" s="2">
        <v>1015</v>
      </c>
      <c r="K1870" s="2">
        <v>5</v>
      </c>
      <c r="L1870" s="2">
        <v>188</v>
      </c>
    </row>
    <row r="1871" spans="1:12" x14ac:dyDescent="0.25">
      <c r="A1871" s="4" t="str">
        <f>HYPERLINK("http://www.rosaceae.org/Prunus/Prunus_persica/p.persica_gdr_reftransV1_0044226","p.persica_gdr_reftransV1_0044226")</f>
        <v>p.persica_gdr_reftransV1_0044226</v>
      </c>
      <c r="B1871" s="2">
        <v>769</v>
      </c>
      <c r="C1871" s="4" t="str">
        <f>HYPERLINK("http://www.uniprot.org/uniprot/M5X0D7","M5X0D7")</f>
        <v>M5X0D7</v>
      </c>
      <c r="D1871" s="2" t="s">
        <v>1815</v>
      </c>
      <c r="E1871" s="3">
        <v>4.12E-128</v>
      </c>
      <c r="F1871" s="2">
        <v>979</v>
      </c>
      <c r="G1871" s="2">
        <v>100</v>
      </c>
      <c r="H1871" s="2">
        <v>185</v>
      </c>
      <c r="I1871" s="2">
        <v>27</v>
      </c>
      <c r="J1871" s="2">
        <v>581</v>
      </c>
      <c r="K1871" s="2">
        <v>233</v>
      </c>
      <c r="L1871" s="2">
        <v>417</v>
      </c>
    </row>
    <row r="1872" spans="1:12" x14ac:dyDescent="0.25">
      <c r="A1872" s="4" t="str">
        <f>HYPERLINK("http://www.rosaceae.org/Prunus/Prunus_persica/p.persica_gdr_reftransV1_0044926","p.persica_gdr_reftransV1_0044926")</f>
        <v>p.persica_gdr_reftransV1_0044926</v>
      </c>
      <c r="B1872" s="2">
        <v>991</v>
      </c>
      <c r="C1872" s="4" t="str">
        <f>HYPERLINK("http://www.uniprot.org/uniprot/J7H0M9","J7H0M9")</f>
        <v>J7H0M9</v>
      </c>
      <c r="D1872" s="2" t="s">
        <v>1816</v>
      </c>
      <c r="E1872" s="3">
        <v>5.5499999999999996E-99</v>
      </c>
      <c r="F1872" s="2">
        <v>769</v>
      </c>
      <c r="G1872" s="2">
        <v>100</v>
      </c>
      <c r="H1872" s="2">
        <v>152</v>
      </c>
      <c r="I1872" s="2">
        <v>204</v>
      </c>
      <c r="J1872" s="2">
        <v>659</v>
      </c>
      <c r="K1872" s="2">
        <v>1</v>
      </c>
      <c r="L1872" s="2">
        <v>152</v>
      </c>
    </row>
    <row r="1873" spans="1:12" x14ac:dyDescent="0.25">
      <c r="A1873" s="4" t="str">
        <f>HYPERLINK("http://www.rosaceae.org/Prunus/Prunus_persica/p.persica_gdr_reftransV1_0045276","p.persica_gdr_reftransV1_0045276")</f>
        <v>p.persica_gdr_reftransV1_0045276</v>
      </c>
      <c r="B1873" s="2">
        <v>1404</v>
      </c>
      <c r="C1873" s="4" t="str">
        <f>HYPERLINK("http://www.uniprot.org/uniprot/M5WJT3","M5WJT3")</f>
        <v>M5WJT3</v>
      </c>
      <c r="D1873" s="2" t="s">
        <v>1180</v>
      </c>
      <c r="E1873" s="3">
        <v>0</v>
      </c>
      <c r="F1873" s="2">
        <v>1934</v>
      </c>
      <c r="G1873" s="2">
        <v>97</v>
      </c>
      <c r="H1873" s="2">
        <v>393</v>
      </c>
      <c r="I1873" s="2">
        <v>199</v>
      </c>
      <c r="J1873" s="2">
        <v>1338</v>
      </c>
      <c r="K1873" s="2">
        <v>1</v>
      </c>
      <c r="L1873" s="2">
        <v>393</v>
      </c>
    </row>
    <row r="1874" spans="1:12" x14ac:dyDescent="0.25">
      <c r="A1874" s="4" t="str">
        <f>HYPERLINK("http://www.rosaceae.org/Prunus/Prunus_persica/p.persica_gdr_reftransV1_0045626","p.persica_gdr_reftransV1_0045626")</f>
        <v>p.persica_gdr_reftransV1_0045626</v>
      </c>
      <c r="B1874" s="2">
        <v>1480</v>
      </c>
      <c r="C1874" s="4" t="str">
        <f>HYPERLINK("http://www.uniprot.org/uniprot/M5XG52","M5XG52")</f>
        <v>M5XG52</v>
      </c>
      <c r="D1874" s="2" t="s">
        <v>1817</v>
      </c>
      <c r="E1874" s="3">
        <v>0</v>
      </c>
      <c r="F1874" s="2">
        <v>1779</v>
      </c>
      <c r="G1874" s="2">
        <v>100</v>
      </c>
      <c r="H1874" s="2">
        <v>377</v>
      </c>
      <c r="I1874" s="2">
        <v>168</v>
      </c>
      <c r="J1874" s="2">
        <v>1298</v>
      </c>
      <c r="K1874" s="2">
        <v>1</v>
      </c>
      <c r="L1874" s="2">
        <v>377</v>
      </c>
    </row>
    <row r="1875" spans="1:12" x14ac:dyDescent="0.25">
      <c r="A1875" s="4" t="str">
        <f>HYPERLINK("http://www.rosaceae.org/Prunus/Prunus_persica/p.persica_gdr_reftransV1_0047376","p.persica_gdr_reftransV1_0047376")</f>
        <v>p.persica_gdr_reftransV1_0047376</v>
      </c>
      <c r="B1875" s="2">
        <v>803</v>
      </c>
      <c r="C1875" s="4" t="str">
        <f>HYPERLINK("http://www.uniprot.org/uniprot/M5VMW4","M5VMW4")</f>
        <v>M5VMW4</v>
      </c>
      <c r="D1875" s="2" t="s">
        <v>1818</v>
      </c>
      <c r="E1875" s="3">
        <v>1.8000000000000001E-80</v>
      </c>
      <c r="F1875" s="2">
        <v>639</v>
      </c>
      <c r="G1875" s="2">
        <v>100</v>
      </c>
      <c r="H1875" s="2">
        <v>123</v>
      </c>
      <c r="I1875" s="2">
        <v>353</v>
      </c>
      <c r="J1875" s="2">
        <v>721</v>
      </c>
      <c r="K1875" s="2">
        <v>1</v>
      </c>
      <c r="L1875" s="2">
        <v>123</v>
      </c>
    </row>
    <row r="1876" spans="1:12" x14ac:dyDescent="0.25">
      <c r="A1876" s="4" t="str">
        <f>HYPERLINK("http://www.rosaceae.org/Prunus/Prunus_persica/p.persica_gdr_reftransV1_0047726","p.persica_gdr_reftransV1_0047726")</f>
        <v>p.persica_gdr_reftransV1_0047726</v>
      </c>
      <c r="B1876" s="2">
        <v>2107</v>
      </c>
      <c r="C1876" s="4" t="str">
        <f>HYPERLINK("http://www.uniprot.org/uniprot/M5WN44","M5WN44")</f>
        <v>M5WN44</v>
      </c>
      <c r="D1876" s="2" t="s">
        <v>596</v>
      </c>
      <c r="E1876" s="3">
        <v>0</v>
      </c>
      <c r="F1876" s="2">
        <v>2662</v>
      </c>
      <c r="G1876" s="2">
        <v>100</v>
      </c>
      <c r="H1876" s="2">
        <v>543</v>
      </c>
      <c r="I1876" s="2">
        <v>230</v>
      </c>
      <c r="J1876" s="2">
        <v>1858</v>
      </c>
      <c r="K1876" s="2">
        <v>1</v>
      </c>
      <c r="L1876" s="2">
        <v>543</v>
      </c>
    </row>
    <row r="1877" spans="1:12" x14ac:dyDescent="0.25">
      <c r="A1877" s="4" t="str">
        <f>HYPERLINK("http://www.rosaceae.org/Prunus/Prunus_persica/p.persica_gdr_reftransV1_0048076","p.persica_gdr_reftransV1_0048076")</f>
        <v>p.persica_gdr_reftransV1_0048076</v>
      </c>
      <c r="B1877" s="2">
        <v>592</v>
      </c>
      <c r="C1877" s="4" t="str">
        <f>HYPERLINK("http://www.uniprot.org/uniprot/M5Y8A6","M5Y8A6")</f>
        <v>M5Y8A6</v>
      </c>
      <c r="D1877" s="2" t="s">
        <v>1819</v>
      </c>
      <c r="E1877" s="3">
        <v>5.3399999999999997E-117</v>
      </c>
      <c r="F1877" s="2">
        <v>932</v>
      </c>
      <c r="G1877" s="2">
        <v>87</v>
      </c>
      <c r="H1877" s="2">
        <v>197</v>
      </c>
      <c r="I1877" s="2">
        <v>1</v>
      </c>
      <c r="J1877" s="2">
        <v>591</v>
      </c>
      <c r="K1877" s="2">
        <v>6</v>
      </c>
      <c r="L1877" s="2">
        <v>177</v>
      </c>
    </row>
    <row r="1878" spans="1:12" x14ac:dyDescent="0.25">
      <c r="A1878" s="4" t="str">
        <f>HYPERLINK("http://www.rosaceae.org/Prunus/Prunus_persica/p.persica_gdr_reftransV1_0048426","p.persica_gdr_reftransV1_0048426")</f>
        <v>p.persica_gdr_reftransV1_0048426</v>
      </c>
      <c r="B1878" s="2">
        <v>1774</v>
      </c>
      <c r="C1878" s="4" t="str">
        <f>HYPERLINK("http://www.uniprot.org/uniprot/M5XCT4","M5XCT4")</f>
        <v>M5XCT4</v>
      </c>
      <c r="D1878" s="2" t="s">
        <v>1820</v>
      </c>
      <c r="E1878" s="3">
        <v>0</v>
      </c>
      <c r="F1878" s="2">
        <v>1601</v>
      </c>
      <c r="G1878" s="2">
        <v>99</v>
      </c>
      <c r="H1878" s="2">
        <v>322</v>
      </c>
      <c r="I1878" s="2">
        <v>274</v>
      </c>
      <c r="J1878" s="2">
        <v>1239</v>
      </c>
      <c r="K1878" s="2">
        <v>1</v>
      </c>
      <c r="L1878" s="2">
        <v>322</v>
      </c>
    </row>
    <row r="1879" spans="1:12" x14ac:dyDescent="0.25">
      <c r="A1879" s="4" t="str">
        <f>HYPERLINK("http://www.rosaceae.org/Prunus/Prunus_persica/p.persica_gdr_reftransV1_0048776","p.persica_gdr_reftransV1_0048776")</f>
        <v>p.persica_gdr_reftransV1_0048776</v>
      </c>
      <c r="B1879" s="2">
        <v>515</v>
      </c>
      <c r="C1879" s="4" t="str">
        <f>HYPERLINK("http://www.uniprot.org/uniprot/M5VNX1","M5VNX1")</f>
        <v>M5VNX1</v>
      </c>
      <c r="D1879" s="2" t="s">
        <v>1821</v>
      </c>
      <c r="E1879" s="3">
        <v>3.24E-76</v>
      </c>
      <c r="F1879" s="2">
        <v>650</v>
      </c>
      <c r="G1879" s="2">
        <v>100</v>
      </c>
      <c r="H1879" s="2">
        <v>120</v>
      </c>
      <c r="I1879" s="2">
        <v>3</v>
      </c>
      <c r="J1879" s="2">
        <v>362</v>
      </c>
      <c r="K1879" s="2">
        <v>738</v>
      </c>
      <c r="L1879" s="2">
        <v>857</v>
      </c>
    </row>
    <row r="1880" spans="1:12" x14ac:dyDescent="0.25">
      <c r="A1880" s="4" t="str">
        <f>HYPERLINK("http://www.rosaceae.org/Prunus/Prunus_persica/p.persica_gdr_reftransV1_0049126","p.persica_gdr_reftransV1_0049126")</f>
        <v>p.persica_gdr_reftransV1_0049126</v>
      </c>
      <c r="B1880" s="2">
        <v>491</v>
      </c>
      <c r="C1880" s="4" t="str">
        <f>HYPERLINK("http://www.uniprot.org/uniprot/M5W565","M5W565")</f>
        <v>M5W565</v>
      </c>
      <c r="D1880" s="2" t="s">
        <v>1822</v>
      </c>
      <c r="E1880" s="3">
        <v>5.2100000000000003E-60</v>
      </c>
      <c r="F1880" s="2">
        <v>540</v>
      </c>
      <c r="G1880" s="2">
        <v>100</v>
      </c>
      <c r="H1880" s="2">
        <v>103</v>
      </c>
      <c r="I1880" s="2">
        <v>181</v>
      </c>
      <c r="J1880" s="2">
        <v>489</v>
      </c>
      <c r="K1880" s="2">
        <v>1</v>
      </c>
      <c r="L1880" s="2">
        <v>103</v>
      </c>
    </row>
    <row r="1881" spans="1:12" x14ac:dyDescent="0.25">
      <c r="A1881" s="4" t="str">
        <f>HYPERLINK("http://www.rosaceae.org/Prunus/Prunus_persica/p.persica_gdr_reftransV1_0000127","p.persica_gdr_reftransV1_0000127")</f>
        <v>p.persica_gdr_reftransV1_0000127</v>
      </c>
      <c r="B1881" s="2">
        <v>1574</v>
      </c>
      <c r="C1881" s="4" t="str">
        <f>HYPERLINK("http://www.uniprot.org/uniprot/M5W036","M5W036")</f>
        <v>M5W036</v>
      </c>
      <c r="D1881" s="2" t="s">
        <v>1823</v>
      </c>
      <c r="E1881" s="3">
        <v>0</v>
      </c>
      <c r="F1881" s="2">
        <v>1548</v>
      </c>
      <c r="G1881" s="2">
        <v>100</v>
      </c>
      <c r="H1881" s="2">
        <v>327</v>
      </c>
      <c r="I1881" s="2">
        <v>359</v>
      </c>
      <c r="J1881" s="2">
        <v>1339</v>
      </c>
      <c r="K1881" s="2">
        <v>1</v>
      </c>
      <c r="L1881" s="2">
        <v>327</v>
      </c>
    </row>
    <row r="1882" spans="1:12" x14ac:dyDescent="0.25">
      <c r="A1882" s="4" t="str">
        <f>HYPERLINK("http://www.rosaceae.org/Prunus/Prunus_persica/p.persica_gdr_reftransV1_0000827","p.persica_gdr_reftransV1_0000827")</f>
        <v>p.persica_gdr_reftransV1_0000827</v>
      </c>
      <c r="B1882" s="2">
        <v>391</v>
      </c>
      <c r="C1882" s="4" t="str">
        <f>HYPERLINK("http://www.uniprot.org/uniprot/M5XXS3","M5XXS3")</f>
        <v>M5XXS3</v>
      </c>
      <c r="D1882" s="2" t="s">
        <v>1824</v>
      </c>
      <c r="E1882" s="3">
        <v>1.7499999999999999E-81</v>
      </c>
      <c r="F1882" s="2">
        <v>684</v>
      </c>
      <c r="G1882" s="2">
        <v>100</v>
      </c>
      <c r="H1882" s="2">
        <v>129</v>
      </c>
      <c r="I1882" s="2">
        <v>3</v>
      </c>
      <c r="J1882" s="2">
        <v>389</v>
      </c>
      <c r="K1882" s="2">
        <v>387</v>
      </c>
      <c r="L1882" s="2">
        <v>515</v>
      </c>
    </row>
    <row r="1883" spans="1:12" x14ac:dyDescent="0.25">
      <c r="A1883" s="4" t="str">
        <f>HYPERLINK("http://www.rosaceae.org/Prunus/Prunus_persica/p.persica_gdr_reftransV1_0001177","p.persica_gdr_reftransV1_0001177")</f>
        <v>p.persica_gdr_reftransV1_0001177</v>
      </c>
      <c r="B1883" s="2">
        <v>554</v>
      </c>
      <c r="C1883" s="4" t="str">
        <f>HYPERLINK("http://www.uniprot.org/uniprot/M5WPZ2","M5WPZ2")</f>
        <v>M5WPZ2</v>
      </c>
      <c r="D1883" s="2" t="s">
        <v>439</v>
      </c>
      <c r="E1883" s="3">
        <v>7.7399999999999993E-124</v>
      </c>
      <c r="F1883" s="2">
        <v>990</v>
      </c>
      <c r="G1883" s="2">
        <v>100</v>
      </c>
      <c r="H1883" s="2">
        <v>184</v>
      </c>
      <c r="I1883" s="2">
        <v>1</v>
      </c>
      <c r="J1883" s="2">
        <v>552</v>
      </c>
      <c r="K1883" s="2">
        <v>746</v>
      </c>
      <c r="L1883" s="2">
        <v>929</v>
      </c>
    </row>
    <row r="1884" spans="1:12" x14ac:dyDescent="0.25">
      <c r="A1884" s="4" t="str">
        <f>HYPERLINK("http://www.rosaceae.org/Prunus/Prunus_persica/p.persica_gdr_reftransV1_0001877","p.persica_gdr_reftransV1_0001877")</f>
        <v>p.persica_gdr_reftransV1_0001877</v>
      </c>
      <c r="B1884" s="2">
        <v>484</v>
      </c>
      <c r="C1884" s="4" t="str">
        <f>HYPERLINK("http://www.uniprot.org/uniprot/M5XJP2","M5XJP2")</f>
        <v>M5XJP2</v>
      </c>
      <c r="D1884" s="2" t="s">
        <v>1825</v>
      </c>
      <c r="E1884" s="3">
        <v>3.7000000000000003E-108</v>
      </c>
      <c r="F1884" s="2">
        <v>840</v>
      </c>
      <c r="G1884" s="2">
        <v>100</v>
      </c>
      <c r="H1884" s="2">
        <v>161</v>
      </c>
      <c r="I1884" s="2">
        <v>2</v>
      </c>
      <c r="J1884" s="2">
        <v>484</v>
      </c>
      <c r="K1884" s="2">
        <v>180</v>
      </c>
      <c r="L1884" s="2">
        <v>340</v>
      </c>
    </row>
    <row r="1885" spans="1:12" x14ac:dyDescent="0.25">
      <c r="A1885" s="4" t="str">
        <f>HYPERLINK("http://www.rosaceae.org/Prunus/Prunus_persica/p.persica_gdr_reftransV1_0002227","p.persica_gdr_reftransV1_0002227")</f>
        <v>p.persica_gdr_reftransV1_0002227</v>
      </c>
      <c r="B1885" s="2">
        <v>667</v>
      </c>
      <c r="C1885" s="4" t="str">
        <f>HYPERLINK("http://www.uniprot.org/uniprot/M5Y261","M5Y261")</f>
        <v>M5Y261</v>
      </c>
      <c r="D1885" s="2" t="s">
        <v>1826</v>
      </c>
      <c r="E1885" s="3">
        <v>1.5600000000000001E-67</v>
      </c>
      <c r="F1885" s="2">
        <v>547</v>
      </c>
      <c r="G1885" s="2">
        <v>100</v>
      </c>
      <c r="H1885" s="2">
        <v>120</v>
      </c>
      <c r="I1885" s="2">
        <v>216</v>
      </c>
      <c r="J1885" s="2">
        <v>575</v>
      </c>
      <c r="K1885" s="2">
        <v>1</v>
      </c>
      <c r="L1885" s="2">
        <v>120</v>
      </c>
    </row>
    <row r="1886" spans="1:12" x14ac:dyDescent="0.25">
      <c r="A1886" s="4" t="str">
        <f>HYPERLINK("http://www.rosaceae.org/Prunus/Prunus_persica/p.persica_gdr_reftransV1_0002577","p.persica_gdr_reftransV1_0002577")</f>
        <v>p.persica_gdr_reftransV1_0002577</v>
      </c>
      <c r="B1886" s="2">
        <v>1758</v>
      </c>
      <c r="C1886" s="4" t="str">
        <f>HYPERLINK("http://www.uniprot.org/uniprot/M5XXA6","M5XXA6")</f>
        <v>M5XXA6</v>
      </c>
      <c r="D1886" s="2" t="s">
        <v>1827</v>
      </c>
      <c r="E1886" s="3">
        <v>0</v>
      </c>
      <c r="F1886" s="2">
        <v>2268</v>
      </c>
      <c r="G1886" s="2">
        <v>100</v>
      </c>
      <c r="H1886" s="2">
        <v>417</v>
      </c>
      <c r="I1886" s="2">
        <v>247</v>
      </c>
      <c r="J1886" s="2">
        <v>1497</v>
      </c>
      <c r="K1886" s="2">
        <v>1</v>
      </c>
      <c r="L1886" s="2">
        <v>417</v>
      </c>
    </row>
    <row r="1887" spans="1:12" x14ac:dyDescent="0.25">
      <c r="A1887" s="4" t="str">
        <f>HYPERLINK("http://www.rosaceae.org/Prunus/Prunus_persica/p.persica_gdr_reftransV1_0003627","p.persica_gdr_reftransV1_0003627")</f>
        <v>p.persica_gdr_reftransV1_0003627</v>
      </c>
      <c r="B1887" s="2">
        <v>876</v>
      </c>
      <c r="C1887" s="4" t="str">
        <f>HYPERLINK("http://www.uniprot.org/uniprot/M5VVC5","M5VVC5")</f>
        <v>M5VVC5</v>
      </c>
      <c r="D1887" s="2" t="s">
        <v>1828</v>
      </c>
      <c r="E1887" s="3">
        <v>0</v>
      </c>
      <c r="F1887" s="2">
        <v>1593</v>
      </c>
      <c r="G1887" s="2">
        <v>100</v>
      </c>
      <c r="H1887" s="2">
        <v>291</v>
      </c>
      <c r="I1887" s="2">
        <v>2</v>
      </c>
      <c r="J1887" s="2">
        <v>874</v>
      </c>
      <c r="K1887" s="2">
        <v>695</v>
      </c>
      <c r="L1887" s="2">
        <v>985</v>
      </c>
    </row>
    <row r="1888" spans="1:12" x14ac:dyDescent="0.25">
      <c r="A1888" s="4" t="str">
        <f>HYPERLINK("http://www.rosaceae.org/Prunus/Prunus_persica/p.persica_gdr_reftransV1_0003977","p.persica_gdr_reftransV1_0003977")</f>
        <v>p.persica_gdr_reftransV1_0003977</v>
      </c>
      <c r="B1888" s="2">
        <v>427</v>
      </c>
      <c r="C1888" s="4" t="str">
        <f>HYPERLINK("http://www.uniprot.org/uniprot/M5VV74","M5VV74")</f>
        <v>M5VV74</v>
      </c>
      <c r="D1888" s="2" t="s">
        <v>1829</v>
      </c>
      <c r="E1888" s="3">
        <v>3.4300000000000002E-55</v>
      </c>
      <c r="F1888" s="2">
        <v>485</v>
      </c>
      <c r="G1888" s="2">
        <v>100</v>
      </c>
      <c r="H1888" s="2">
        <v>90</v>
      </c>
      <c r="I1888" s="2">
        <v>2</v>
      </c>
      <c r="J1888" s="2">
        <v>271</v>
      </c>
      <c r="K1888" s="2">
        <v>1</v>
      </c>
      <c r="L1888" s="2">
        <v>90</v>
      </c>
    </row>
    <row r="1889" spans="1:12" x14ac:dyDescent="0.25">
      <c r="A1889" s="4" t="str">
        <f>HYPERLINK("http://www.rosaceae.org/Prunus/Prunus_persica/p.persica_gdr_reftransV1_0004327","p.persica_gdr_reftransV1_0004327")</f>
        <v>p.persica_gdr_reftransV1_0004327</v>
      </c>
      <c r="B1889" s="2">
        <v>1754</v>
      </c>
      <c r="C1889" s="4" t="str">
        <f>HYPERLINK("http://www.uniprot.org/uniprot/M5W2S3","M5W2S3")</f>
        <v>M5W2S3</v>
      </c>
      <c r="D1889" s="2" t="s">
        <v>1830</v>
      </c>
      <c r="E1889" s="3">
        <v>1.96E-178</v>
      </c>
      <c r="F1889" s="2">
        <v>1347</v>
      </c>
      <c r="G1889" s="2">
        <v>100</v>
      </c>
      <c r="H1889" s="2">
        <v>253</v>
      </c>
      <c r="I1889" s="2">
        <v>880</v>
      </c>
      <c r="J1889" s="2">
        <v>1638</v>
      </c>
      <c r="K1889" s="2">
        <v>139</v>
      </c>
      <c r="L1889" s="2">
        <v>391</v>
      </c>
    </row>
    <row r="1890" spans="1:12" x14ac:dyDescent="0.25">
      <c r="A1890" s="4" t="str">
        <f>HYPERLINK("http://www.rosaceae.org/Prunus/Prunus_persica/p.persica_gdr_reftransV1_0004677","p.persica_gdr_reftransV1_0004677")</f>
        <v>p.persica_gdr_reftransV1_0004677</v>
      </c>
      <c r="B1890" s="2">
        <v>3286</v>
      </c>
      <c r="C1890" s="4" t="str">
        <f>HYPERLINK("http://www.uniprot.org/uniprot/M5W4M2","M5W4M2")</f>
        <v>M5W4M2</v>
      </c>
      <c r="D1890" s="2" t="s">
        <v>1831</v>
      </c>
      <c r="E1890" s="3">
        <v>0</v>
      </c>
      <c r="F1890" s="2">
        <v>2399</v>
      </c>
      <c r="G1890" s="2">
        <v>100</v>
      </c>
      <c r="H1890" s="2">
        <v>471</v>
      </c>
      <c r="I1890" s="2">
        <v>356</v>
      </c>
      <c r="J1890" s="2">
        <v>1768</v>
      </c>
      <c r="K1890" s="2">
        <v>1</v>
      </c>
      <c r="L1890" s="2">
        <v>471</v>
      </c>
    </row>
    <row r="1891" spans="1:12" x14ac:dyDescent="0.25">
      <c r="A1891" s="4" t="str">
        <f>HYPERLINK("http://www.rosaceae.org/Prunus/Prunus_persica/p.persica_gdr_reftransV1_0005027","p.persica_gdr_reftransV1_0005027")</f>
        <v>p.persica_gdr_reftransV1_0005027</v>
      </c>
      <c r="B1891" s="2">
        <v>754</v>
      </c>
      <c r="C1891" s="4" t="str">
        <f>HYPERLINK("http://www.uniprot.org/uniprot/M5X145","M5X145")</f>
        <v>M5X145</v>
      </c>
      <c r="D1891" s="2" t="s">
        <v>1832</v>
      </c>
      <c r="E1891" s="3">
        <v>2.3700000000000001E-83</v>
      </c>
      <c r="F1891" s="2">
        <v>655</v>
      </c>
      <c r="G1891" s="2">
        <v>100</v>
      </c>
      <c r="H1891" s="2">
        <v>125</v>
      </c>
      <c r="I1891" s="2">
        <v>299</v>
      </c>
      <c r="J1891" s="2">
        <v>673</v>
      </c>
      <c r="K1891" s="2">
        <v>1</v>
      </c>
      <c r="L1891" s="2">
        <v>125</v>
      </c>
    </row>
    <row r="1892" spans="1:12" x14ac:dyDescent="0.25">
      <c r="A1892" s="4" t="str">
        <f>HYPERLINK("http://www.rosaceae.org/Prunus/Prunus_persica/p.persica_gdr_reftransV1_0005727","p.persica_gdr_reftransV1_0005727")</f>
        <v>p.persica_gdr_reftransV1_0005727</v>
      </c>
      <c r="B1892" s="2">
        <v>773</v>
      </c>
      <c r="C1892" s="4" t="str">
        <f>HYPERLINK("http://www.uniprot.org/uniprot/M5VZ99","M5VZ99")</f>
        <v>M5VZ99</v>
      </c>
      <c r="D1892" s="2" t="s">
        <v>1833</v>
      </c>
      <c r="E1892" s="3">
        <v>9.9799999999999999E-82</v>
      </c>
      <c r="F1892" s="2">
        <v>652</v>
      </c>
      <c r="G1892" s="2">
        <v>70</v>
      </c>
      <c r="H1892" s="2">
        <v>198</v>
      </c>
      <c r="I1892" s="2">
        <v>94</v>
      </c>
      <c r="J1892" s="2">
        <v>681</v>
      </c>
      <c r="K1892" s="2">
        <v>14</v>
      </c>
      <c r="L1892" s="2">
        <v>202</v>
      </c>
    </row>
    <row r="1893" spans="1:12" x14ac:dyDescent="0.25">
      <c r="A1893" s="4" t="str">
        <f>HYPERLINK("http://www.rosaceae.org/Prunus/Prunus_persica/p.persica_gdr_reftransV1_0006427","p.persica_gdr_reftransV1_0006427")</f>
        <v>p.persica_gdr_reftransV1_0006427</v>
      </c>
      <c r="B1893" s="2">
        <v>784</v>
      </c>
      <c r="C1893" s="4" t="str">
        <f>HYPERLINK("http://www.uniprot.org/uniprot/M5WPP2","M5WPP2")</f>
        <v>M5WPP2</v>
      </c>
      <c r="D1893" s="2" t="s">
        <v>1834</v>
      </c>
      <c r="E1893" s="3">
        <v>5.51E-171</v>
      </c>
      <c r="F1893" s="2">
        <v>1295</v>
      </c>
      <c r="G1893" s="2">
        <v>89</v>
      </c>
      <c r="H1893" s="2">
        <v>261</v>
      </c>
      <c r="I1893" s="2">
        <v>2</v>
      </c>
      <c r="J1893" s="2">
        <v>784</v>
      </c>
      <c r="K1893" s="2">
        <v>138</v>
      </c>
      <c r="L1893" s="2">
        <v>398</v>
      </c>
    </row>
    <row r="1894" spans="1:12" x14ac:dyDescent="0.25">
      <c r="A1894" s="4" t="str">
        <f>HYPERLINK("http://www.rosaceae.org/Prunus/Prunus_persica/p.persica_gdr_reftransV1_0006777","p.persica_gdr_reftransV1_0006777")</f>
        <v>p.persica_gdr_reftransV1_0006777</v>
      </c>
      <c r="B1894" s="2">
        <v>806</v>
      </c>
      <c r="C1894" s="4" t="str">
        <f>HYPERLINK("http://www.uniprot.org/uniprot/M5WXM5","M5WXM5")</f>
        <v>M5WXM5</v>
      </c>
      <c r="D1894" s="2" t="s">
        <v>1523</v>
      </c>
      <c r="E1894" s="3">
        <v>1.5399999999999999E-97</v>
      </c>
      <c r="F1894" s="2">
        <v>806</v>
      </c>
      <c r="G1894" s="2">
        <v>100</v>
      </c>
      <c r="H1894" s="2">
        <v>182</v>
      </c>
      <c r="I1894" s="2">
        <v>260</v>
      </c>
      <c r="J1894" s="2">
        <v>805</v>
      </c>
      <c r="K1894" s="2">
        <v>1</v>
      </c>
      <c r="L1894" s="2">
        <v>182</v>
      </c>
    </row>
    <row r="1895" spans="1:12" x14ac:dyDescent="0.25">
      <c r="A1895" s="4" t="str">
        <f>HYPERLINK("http://www.rosaceae.org/Prunus/Prunus_persica/p.persica_gdr_reftransV1_0007127","p.persica_gdr_reftransV1_0007127")</f>
        <v>p.persica_gdr_reftransV1_0007127</v>
      </c>
      <c r="B1895" s="2">
        <v>599</v>
      </c>
      <c r="C1895" s="4" t="str">
        <f>HYPERLINK("http://www.uniprot.org/uniprot/M5XVG6","M5XVG6")</f>
        <v>M5XVG6</v>
      </c>
      <c r="D1895" s="2" t="s">
        <v>752</v>
      </c>
      <c r="E1895" s="3">
        <v>5.68E-129</v>
      </c>
      <c r="F1895" s="2">
        <v>1062</v>
      </c>
      <c r="G1895" s="2">
        <v>100</v>
      </c>
      <c r="H1895" s="2">
        <v>199</v>
      </c>
      <c r="I1895" s="2">
        <v>3</v>
      </c>
      <c r="J1895" s="2">
        <v>599</v>
      </c>
      <c r="K1895" s="2">
        <v>797</v>
      </c>
      <c r="L1895" s="2">
        <v>995</v>
      </c>
    </row>
    <row r="1896" spans="1:12" x14ac:dyDescent="0.25">
      <c r="A1896" s="4" t="str">
        <f>HYPERLINK("http://www.rosaceae.org/Prunus/Prunus_persica/p.persica_gdr_reftransV1_0007477","p.persica_gdr_reftransV1_0007477")</f>
        <v>p.persica_gdr_reftransV1_0007477</v>
      </c>
      <c r="B1896" s="2">
        <v>1293</v>
      </c>
      <c r="C1896" s="4" t="str">
        <f>HYPERLINK("http://www.uniprot.org/uniprot/M5X4L7","M5X4L7")</f>
        <v>M5X4L7</v>
      </c>
      <c r="D1896" s="2" t="s">
        <v>1835</v>
      </c>
      <c r="E1896" s="3">
        <v>0</v>
      </c>
      <c r="F1896" s="2">
        <v>2094</v>
      </c>
      <c r="G1896" s="2">
        <v>100</v>
      </c>
      <c r="H1896" s="2">
        <v>390</v>
      </c>
      <c r="I1896" s="2">
        <v>122</v>
      </c>
      <c r="J1896" s="2">
        <v>1291</v>
      </c>
      <c r="K1896" s="2">
        <v>132</v>
      </c>
      <c r="L1896" s="2">
        <v>521</v>
      </c>
    </row>
    <row r="1897" spans="1:12" x14ac:dyDescent="0.25">
      <c r="A1897" s="4" t="str">
        <f>HYPERLINK("http://www.rosaceae.org/Prunus/Prunus_persica/p.persica_gdr_reftransV1_0008877","p.persica_gdr_reftransV1_0008877")</f>
        <v>p.persica_gdr_reftransV1_0008877</v>
      </c>
      <c r="B1897" s="2">
        <v>2890</v>
      </c>
      <c r="C1897" s="4" t="str">
        <f>HYPERLINK("http://www.uniprot.org/uniprot/M5XM84","M5XM84")</f>
        <v>M5XM84</v>
      </c>
      <c r="D1897" s="2" t="s">
        <v>1836</v>
      </c>
      <c r="E1897" s="3">
        <v>0</v>
      </c>
      <c r="F1897" s="2">
        <v>3392</v>
      </c>
      <c r="G1897" s="2">
        <v>100</v>
      </c>
      <c r="H1897" s="2">
        <v>697</v>
      </c>
      <c r="I1897" s="2">
        <v>800</v>
      </c>
      <c r="J1897" s="2">
        <v>2890</v>
      </c>
      <c r="K1897" s="2">
        <v>389</v>
      </c>
      <c r="L1897" s="2">
        <v>1085</v>
      </c>
    </row>
    <row r="1898" spans="1:12" x14ac:dyDescent="0.25">
      <c r="A1898" s="4" t="str">
        <f>HYPERLINK("http://www.rosaceae.org/Prunus/Prunus_persica/p.persica_gdr_reftransV1_0010277","p.persica_gdr_reftransV1_0010277")</f>
        <v>p.persica_gdr_reftransV1_0010277</v>
      </c>
      <c r="B1898" s="2">
        <v>694</v>
      </c>
      <c r="C1898" s="4" t="str">
        <f>HYPERLINK("http://www.uniprot.org/uniprot/M5WXF9","M5WXF9")</f>
        <v>M5WXF9</v>
      </c>
      <c r="D1898" s="2" t="s">
        <v>1837</v>
      </c>
      <c r="E1898" s="3">
        <v>2.6900000000000002E-102</v>
      </c>
      <c r="F1898" s="2">
        <v>784</v>
      </c>
      <c r="G1898" s="2">
        <v>99</v>
      </c>
      <c r="H1898" s="2">
        <v>189</v>
      </c>
      <c r="I1898" s="2">
        <v>68</v>
      </c>
      <c r="J1898" s="2">
        <v>634</v>
      </c>
      <c r="K1898" s="2">
        <v>1</v>
      </c>
      <c r="L1898" s="2">
        <v>189</v>
      </c>
    </row>
    <row r="1899" spans="1:12" x14ac:dyDescent="0.25">
      <c r="A1899" s="4" t="str">
        <f>HYPERLINK("http://www.rosaceae.org/Prunus/Prunus_persica/p.persica_gdr_reftransV1_0010977","p.persica_gdr_reftransV1_0010977")</f>
        <v>p.persica_gdr_reftransV1_0010977</v>
      </c>
      <c r="B1899" s="2">
        <v>3516</v>
      </c>
      <c r="C1899" s="4" t="str">
        <f>HYPERLINK("http://www.uniprot.org/uniprot/M5WXQ4","M5WXQ4")</f>
        <v>M5WXQ4</v>
      </c>
      <c r="D1899" s="2" t="s">
        <v>1838</v>
      </c>
      <c r="E1899" s="3">
        <v>0</v>
      </c>
      <c r="F1899" s="2">
        <v>4779</v>
      </c>
      <c r="G1899" s="2">
        <v>100</v>
      </c>
      <c r="H1899" s="2">
        <v>974</v>
      </c>
      <c r="I1899" s="2">
        <v>301</v>
      </c>
      <c r="J1899" s="2">
        <v>3222</v>
      </c>
      <c r="K1899" s="2">
        <v>1</v>
      </c>
      <c r="L1899" s="2">
        <v>974</v>
      </c>
    </row>
    <row r="1900" spans="1:12" x14ac:dyDescent="0.25">
      <c r="A1900" s="4" t="str">
        <f>HYPERLINK("http://www.rosaceae.org/Prunus/Prunus_persica/p.persica_gdr_reftransV1_0012027","p.persica_gdr_reftransV1_0012027")</f>
        <v>p.persica_gdr_reftransV1_0012027</v>
      </c>
      <c r="B1900" s="2">
        <v>3818</v>
      </c>
      <c r="C1900" s="4" t="str">
        <f>HYPERLINK("http://www.uniprot.org/uniprot/M5VW75","M5VW75")</f>
        <v>M5VW75</v>
      </c>
      <c r="D1900" s="2" t="s">
        <v>1839</v>
      </c>
      <c r="E1900" s="3">
        <v>0</v>
      </c>
      <c r="F1900" s="2">
        <v>4220</v>
      </c>
      <c r="G1900" s="2">
        <v>100</v>
      </c>
      <c r="H1900" s="2">
        <v>826</v>
      </c>
      <c r="I1900" s="2">
        <v>1297</v>
      </c>
      <c r="J1900" s="2">
        <v>3774</v>
      </c>
      <c r="K1900" s="2">
        <v>1</v>
      </c>
      <c r="L1900" s="2">
        <v>826</v>
      </c>
    </row>
    <row r="1901" spans="1:12" x14ac:dyDescent="0.25">
      <c r="A1901" s="4" t="str">
        <f>HYPERLINK("http://www.rosaceae.org/Prunus/Prunus_persica/p.persica_gdr_reftransV1_0012377","p.persica_gdr_reftransV1_0012377")</f>
        <v>p.persica_gdr_reftransV1_0012377</v>
      </c>
      <c r="B1901" s="2">
        <v>3018</v>
      </c>
      <c r="C1901" s="4" t="str">
        <f>HYPERLINK("http://www.uniprot.org/uniprot/M5WQU7","M5WQU7")</f>
        <v>M5WQU7</v>
      </c>
      <c r="D1901" s="2" t="s">
        <v>1840</v>
      </c>
      <c r="E1901" s="3">
        <v>0</v>
      </c>
      <c r="F1901" s="2">
        <v>4097</v>
      </c>
      <c r="G1901" s="2">
        <v>100</v>
      </c>
      <c r="H1901" s="2">
        <v>773</v>
      </c>
      <c r="I1901" s="2">
        <v>471</v>
      </c>
      <c r="J1901" s="2">
        <v>2789</v>
      </c>
      <c r="K1901" s="2">
        <v>1</v>
      </c>
      <c r="L1901" s="2">
        <v>773</v>
      </c>
    </row>
    <row r="1902" spans="1:12" x14ac:dyDescent="0.25">
      <c r="A1902" s="4" t="str">
        <f>HYPERLINK("http://www.rosaceae.org/Prunus/Prunus_persica/p.persica_gdr_reftransV1_0013777","p.persica_gdr_reftransV1_0013777")</f>
        <v>p.persica_gdr_reftransV1_0013777</v>
      </c>
      <c r="B1902" s="2">
        <v>1755</v>
      </c>
      <c r="C1902" s="4" t="str">
        <f>HYPERLINK("http://www.uniprot.org/uniprot/M5X7H0","M5X7H0")</f>
        <v>M5X7H0</v>
      </c>
      <c r="D1902" s="2" t="s">
        <v>1841</v>
      </c>
      <c r="E1902" s="3">
        <v>0</v>
      </c>
      <c r="F1902" s="2">
        <v>2015</v>
      </c>
      <c r="G1902" s="2">
        <v>96</v>
      </c>
      <c r="H1902" s="2">
        <v>396</v>
      </c>
      <c r="I1902" s="2">
        <v>153</v>
      </c>
      <c r="J1902" s="2">
        <v>1340</v>
      </c>
      <c r="K1902" s="2">
        <v>1</v>
      </c>
      <c r="L1902" s="2">
        <v>381</v>
      </c>
    </row>
    <row r="1903" spans="1:12" x14ac:dyDescent="0.25">
      <c r="A1903" s="4" t="str">
        <f>HYPERLINK("http://www.rosaceae.org/Prunus/Prunus_persica/p.persica_gdr_reftransV1_0014127","p.persica_gdr_reftransV1_0014127")</f>
        <v>p.persica_gdr_reftransV1_0014127</v>
      </c>
      <c r="B1903" s="2">
        <v>609</v>
      </c>
      <c r="C1903" s="4" t="str">
        <f>HYPERLINK("http://www.uniprot.org/uniprot/M5W0W3","M5W0W3")</f>
        <v>M5W0W3</v>
      </c>
      <c r="D1903" s="2" t="s">
        <v>1842</v>
      </c>
      <c r="E1903" s="3">
        <v>6.7600000000000002E-18</v>
      </c>
      <c r="F1903" s="2">
        <v>209</v>
      </c>
      <c r="G1903" s="2">
        <v>81</v>
      </c>
      <c r="H1903" s="2">
        <v>68</v>
      </c>
      <c r="I1903" s="2">
        <v>262</v>
      </c>
      <c r="J1903" s="2">
        <v>465</v>
      </c>
      <c r="K1903" s="2">
        <v>29</v>
      </c>
      <c r="L1903" s="2">
        <v>93</v>
      </c>
    </row>
    <row r="1904" spans="1:12" x14ac:dyDescent="0.25">
      <c r="A1904" s="4" t="str">
        <f>HYPERLINK("http://www.rosaceae.org/Prunus/Prunus_persica/p.persica_gdr_reftransV1_0014477","p.persica_gdr_reftransV1_0014477")</f>
        <v>p.persica_gdr_reftransV1_0014477</v>
      </c>
      <c r="B1904" s="2">
        <v>649</v>
      </c>
      <c r="C1904" s="4" t="str">
        <f>HYPERLINK("http://www.uniprot.org/uniprot/M5VTP2","M5VTP2")</f>
        <v>M5VTP2</v>
      </c>
      <c r="D1904" s="2" t="s">
        <v>260</v>
      </c>
      <c r="E1904" s="3">
        <v>1.3899999999999999E-104</v>
      </c>
      <c r="F1904" s="2">
        <v>804</v>
      </c>
      <c r="G1904" s="2">
        <v>100</v>
      </c>
      <c r="H1904" s="2">
        <v>155</v>
      </c>
      <c r="I1904" s="2">
        <v>185</v>
      </c>
      <c r="J1904" s="2">
        <v>649</v>
      </c>
      <c r="K1904" s="2">
        <v>1</v>
      </c>
      <c r="L1904" s="2">
        <v>155</v>
      </c>
    </row>
    <row r="1905" spans="1:12" x14ac:dyDescent="0.25">
      <c r="A1905" s="4" t="str">
        <f>HYPERLINK("http://www.rosaceae.org/Prunus/Prunus_persica/p.persica_gdr_reftransV1_0014827","p.persica_gdr_reftransV1_0014827")</f>
        <v>p.persica_gdr_reftransV1_0014827</v>
      </c>
      <c r="B1905" s="2">
        <v>2489</v>
      </c>
      <c r="C1905" s="4" t="str">
        <f>HYPERLINK("http://www.uniprot.org/uniprot/M5W9G9","M5W9G9")</f>
        <v>M5W9G9</v>
      </c>
      <c r="D1905" s="2" t="s">
        <v>1843</v>
      </c>
      <c r="E1905" s="3">
        <v>0</v>
      </c>
      <c r="F1905" s="2">
        <v>1473</v>
      </c>
      <c r="G1905" s="2">
        <v>100</v>
      </c>
      <c r="H1905" s="2">
        <v>377</v>
      </c>
      <c r="I1905" s="2">
        <v>502</v>
      </c>
      <c r="J1905" s="2">
        <v>1632</v>
      </c>
      <c r="K1905" s="2">
        <v>47</v>
      </c>
      <c r="L1905" s="2">
        <v>423</v>
      </c>
    </row>
    <row r="1906" spans="1:12" x14ac:dyDescent="0.25">
      <c r="A1906" s="4" t="str">
        <f>HYPERLINK("http://www.rosaceae.org/Prunus/Prunus_persica/p.persica_gdr_reftransV1_0015177","p.persica_gdr_reftransV1_0015177")</f>
        <v>p.persica_gdr_reftransV1_0015177</v>
      </c>
      <c r="B1906" s="2">
        <v>1866</v>
      </c>
      <c r="C1906" s="4" t="str">
        <f>HYPERLINK("http://www.uniprot.org/uniprot/M5X051","M5X051")</f>
        <v>M5X051</v>
      </c>
      <c r="D1906" s="2" t="s">
        <v>1844</v>
      </c>
      <c r="E1906" s="3">
        <v>0</v>
      </c>
      <c r="F1906" s="2">
        <v>2527</v>
      </c>
      <c r="G1906" s="2">
        <v>89</v>
      </c>
      <c r="H1906" s="2">
        <v>548</v>
      </c>
      <c r="I1906" s="2">
        <v>111</v>
      </c>
      <c r="J1906" s="2">
        <v>1754</v>
      </c>
      <c r="K1906" s="2">
        <v>33</v>
      </c>
      <c r="L1906" s="2">
        <v>521</v>
      </c>
    </row>
    <row r="1907" spans="1:12" x14ac:dyDescent="0.25">
      <c r="A1907" s="4" t="str">
        <f>HYPERLINK("http://www.rosaceae.org/Prunus/Prunus_persica/p.persica_gdr_reftransV1_0016227","p.persica_gdr_reftransV1_0016227")</f>
        <v>p.persica_gdr_reftransV1_0016227</v>
      </c>
      <c r="B1907" s="2">
        <v>2426</v>
      </c>
      <c r="C1907" s="4" t="str">
        <f>HYPERLINK("http://www.uniprot.org/uniprot/M5XEJ1","M5XEJ1")</f>
        <v>M5XEJ1</v>
      </c>
      <c r="D1907" s="2" t="s">
        <v>1845</v>
      </c>
      <c r="E1907" s="3">
        <v>1.04E-176</v>
      </c>
      <c r="F1907" s="2">
        <v>1345</v>
      </c>
      <c r="G1907" s="2">
        <v>100</v>
      </c>
      <c r="H1907" s="2">
        <v>259</v>
      </c>
      <c r="I1907" s="2">
        <v>436</v>
      </c>
      <c r="J1907" s="2">
        <v>1212</v>
      </c>
      <c r="K1907" s="2">
        <v>1</v>
      </c>
      <c r="L1907" s="2">
        <v>259</v>
      </c>
    </row>
    <row r="1908" spans="1:12" x14ac:dyDescent="0.25">
      <c r="A1908" s="4" t="str">
        <f>HYPERLINK("http://www.rosaceae.org/Prunus/Prunus_persica/p.persica_gdr_reftransV1_0018677","p.persica_gdr_reftransV1_0018677")</f>
        <v>p.persica_gdr_reftransV1_0018677</v>
      </c>
      <c r="B1908" s="2">
        <v>2871</v>
      </c>
      <c r="C1908" s="4" t="str">
        <f>HYPERLINK("http://www.uniprot.org/uniprot/M5XV83","M5XV83")</f>
        <v>M5XV83</v>
      </c>
      <c r="D1908" s="2" t="s">
        <v>1846</v>
      </c>
      <c r="E1908" s="3">
        <v>0</v>
      </c>
      <c r="F1908" s="2">
        <v>1809</v>
      </c>
      <c r="G1908" s="2">
        <v>100</v>
      </c>
      <c r="H1908" s="2">
        <v>397</v>
      </c>
      <c r="I1908" s="2">
        <v>882</v>
      </c>
      <c r="J1908" s="2">
        <v>2072</v>
      </c>
      <c r="K1908" s="2">
        <v>84</v>
      </c>
      <c r="L1908" s="2">
        <v>480</v>
      </c>
    </row>
    <row r="1909" spans="1:12" x14ac:dyDescent="0.25">
      <c r="A1909" s="4" t="str">
        <f>HYPERLINK("http://www.rosaceae.org/Prunus/Prunus_persica/p.persica_gdr_reftransV1_0019027","p.persica_gdr_reftransV1_0019027")</f>
        <v>p.persica_gdr_reftransV1_0019027</v>
      </c>
      <c r="B1909" s="2">
        <v>823</v>
      </c>
      <c r="C1909" s="4" t="str">
        <f>HYPERLINK("http://www.uniprot.org/uniprot/M5VTA8","M5VTA8")</f>
        <v>M5VTA8</v>
      </c>
      <c r="D1909" s="2" t="s">
        <v>1847</v>
      </c>
      <c r="E1909" s="3">
        <v>7.0500000000000004E-85</v>
      </c>
      <c r="F1909" s="2">
        <v>679</v>
      </c>
      <c r="G1909" s="2">
        <v>97</v>
      </c>
      <c r="H1909" s="2">
        <v>146</v>
      </c>
      <c r="I1909" s="2">
        <v>77</v>
      </c>
      <c r="J1909" s="2">
        <v>514</v>
      </c>
      <c r="K1909" s="2">
        <v>101</v>
      </c>
      <c r="L1909" s="2">
        <v>246</v>
      </c>
    </row>
    <row r="1910" spans="1:12" x14ac:dyDescent="0.25">
      <c r="A1910" s="4" t="str">
        <f>HYPERLINK("http://www.rosaceae.org/Prunus/Prunus_persica/p.persica_gdr_reftransV1_0019727","p.persica_gdr_reftransV1_0019727")</f>
        <v>p.persica_gdr_reftransV1_0019727</v>
      </c>
      <c r="B1910" s="2">
        <v>1755</v>
      </c>
      <c r="C1910" s="4" t="str">
        <f>HYPERLINK("http://www.uniprot.org/uniprot/M5WE97","M5WE97")</f>
        <v>M5WE97</v>
      </c>
      <c r="D1910" s="2" t="s">
        <v>1848</v>
      </c>
      <c r="E1910" s="3">
        <v>0</v>
      </c>
      <c r="F1910" s="2">
        <v>2454</v>
      </c>
      <c r="G1910" s="2">
        <v>100</v>
      </c>
      <c r="H1910" s="2">
        <v>468</v>
      </c>
      <c r="I1910" s="2">
        <v>91</v>
      </c>
      <c r="J1910" s="2">
        <v>1494</v>
      </c>
      <c r="K1910" s="2">
        <v>1</v>
      </c>
      <c r="L1910" s="2">
        <v>468</v>
      </c>
    </row>
    <row r="1911" spans="1:12" x14ac:dyDescent="0.25">
      <c r="A1911" s="4" t="str">
        <f>HYPERLINK("http://www.rosaceae.org/Prunus/Prunus_persica/p.persica_gdr_reftransV1_0020077","p.persica_gdr_reftransV1_0020077")</f>
        <v>p.persica_gdr_reftransV1_0020077</v>
      </c>
      <c r="B1911" s="2">
        <v>2967</v>
      </c>
      <c r="C1911" s="4" t="str">
        <f>HYPERLINK("http://www.uniprot.org/uniprot/M5WUJ9","M5WUJ9")</f>
        <v>M5WUJ9</v>
      </c>
      <c r="D1911" s="2" t="s">
        <v>1849</v>
      </c>
      <c r="E1911" s="3">
        <v>0</v>
      </c>
      <c r="F1911" s="2">
        <v>3174</v>
      </c>
      <c r="G1911" s="2">
        <v>100</v>
      </c>
      <c r="H1911" s="2">
        <v>591</v>
      </c>
      <c r="I1911" s="2">
        <v>1000</v>
      </c>
      <c r="J1911" s="2">
        <v>2772</v>
      </c>
      <c r="K1911" s="2">
        <v>11</v>
      </c>
      <c r="L1911" s="2">
        <v>601</v>
      </c>
    </row>
    <row r="1912" spans="1:12" x14ac:dyDescent="0.25">
      <c r="A1912" s="4" t="str">
        <f>HYPERLINK("http://www.rosaceae.org/Prunus/Prunus_persica/p.persica_gdr_reftransV1_0021477","p.persica_gdr_reftransV1_0021477")</f>
        <v>p.persica_gdr_reftransV1_0021477</v>
      </c>
      <c r="B1912" s="2">
        <v>3558</v>
      </c>
      <c r="C1912" s="4" t="str">
        <f>HYPERLINK("http://www.uniprot.org/uniprot/M5VNY0","M5VNY0")</f>
        <v>M5VNY0</v>
      </c>
      <c r="D1912" s="2" t="s">
        <v>1850</v>
      </c>
      <c r="E1912" s="3">
        <v>0</v>
      </c>
      <c r="F1912" s="2">
        <v>2674</v>
      </c>
      <c r="G1912" s="2">
        <v>83</v>
      </c>
      <c r="H1912" s="2">
        <v>761</v>
      </c>
      <c r="I1912" s="2">
        <v>234</v>
      </c>
      <c r="J1912" s="2">
        <v>2516</v>
      </c>
      <c r="K1912" s="2">
        <v>2</v>
      </c>
      <c r="L1912" s="2">
        <v>697</v>
      </c>
    </row>
    <row r="1913" spans="1:12" x14ac:dyDescent="0.25">
      <c r="A1913" s="4" t="str">
        <f>HYPERLINK("http://www.rosaceae.org/Prunus/Prunus_persica/p.persica_gdr_reftransV1_0021827","p.persica_gdr_reftransV1_0021827")</f>
        <v>p.persica_gdr_reftransV1_0021827</v>
      </c>
      <c r="B1913" s="2">
        <v>3951</v>
      </c>
      <c r="C1913" s="4" t="str">
        <f>HYPERLINK("http://www.uniprot.org/uniprot/M5X9T0","M5X9T0")</f>
        <v>M5X9T0</v>
      </c>
      <c r="D1913" s="2" t="s">
        <v>1851</v>
      </c>
      <c r="E1913" s="3">
        <v>0</v>
      </c>
      <c r="F1913" s="2">
        <v>3467</v>
      </c>
      <c r="G1913" s="2">
        <v>100</v>
      </c>
      <c r="H1913" s="2">
        <v>721</v>
      </c>
      <c r="I1913" s="2">
        <v>1417</v>
      </c>
      <c r="J1913" s="2">
        <v>3579</v>
      </c>
      <c r="K1913" s="2">
        <v>177</v>
      </c>
      <c r="L1913" s="2">
        <v>897</v>
      </c>
    </row>
    <row r="1914" spans="1:12" x14ac:dyDescent="0.25">
      <c r="A1914" s="4" t="str">
        <f>HYPERLINK("http://www.rosaceae.org/Prunus/Prunus_persica/p.persica_gdr_reftransV1_0022527","p.persica_gdr_reftransV1_0022527")</f>
        <v>p.persica_gdr_reftransV1_0022527</v>
      </c>
      <c r="B1914" s="2">
        <v>2506</v>
      </c>
      <c r="C1914" s="4" t="str">
        <f>HYPERLINK("http://www.uniprot.org/uniprot/M5VZT0","M5VZT0")</f>
        <v>M5VZT0</v>
      </c>
      <c r="D1914" s="2" t="s">
        <v>1852</v>
      </c>
      <c r="E1914" s="3">
        <v>0</v>
      </c>
      <c r="F1914" s="2">
        <v>1485</v>
      </c>
      <c r="G1914" s="2">
        <v>95</v>
      </c>
      <c r="H1914" s="2">
        <v>342</v>
      </c>
      <c r="I1914" s="2">
        <v>1079</v>
      </c>
      <c r="J1914" s="2">
        <v>2104</v>
      </c>
      <c r="K1914" s="2">
        <v>1</v>
      </c>
      <c r="L1914" s="2">
        <v>325</v>
      </c>
    </row>
    <row r="1915" spans="1:12" x14ac:dyDescent="0.25">
      <c r="A1915" s="4" t="str">
        <f>HYPERLINK("http://www.rosaceae.org/Prunus/Prunus_persica/p.persica_gdr_reftransV1_0022877","p.persica_gdr_reftransV1_0022877")</f>
        <v>p.persica_gdr_reftransV1_0022877</v>
      </c>
      <c r="B1915" s="2">
        <v>1331</v>
      </c>
      <c r="C1915" s="4" t="str">
        <f>HYPERLINK("http://www.uniprot.org/uniprot/M5WXX1","M5WXX1")</f>
        <v>M5WXX1</v>
      </c>
      <c r="D1915" s="2" t="s">
        <v>1853</v>
      </c>
      <c r="E1915" s="3">
        <v>8.9999999999999998E-89</v>
      </c>
      <c r="F1915" s="2">
        <v>729</v>
      </c>
      <c r="G1915" s="2">
        <v>63</v>
      </c>
      <c r="H1915" s="2">
        <v>251</v>
      </c>
      <c r="I1915" s="2">
        <v>178</v>
      </c>
      <c r="J1915" s="2">
        <v>906</v>
      </c>
      <c r="K1915" s="2">
        <v>21</v>
      </c>
      <c r="L1915" s="2">
        <v>270</v>
      </c>
    </row>
    <row r="1916" spans="1:12" x14ac:dyDescent="0.25">
      <c r="A1916" s="4" t="str">
        <f>HYPERLINK("http://www.rosaceae.org/Prunus/Prunus_persica/p.persica_gdr_reftransV1_0023927","p.persica_gdr_reftransV1_0023927")</f>
        <v>p.persica_gdr_reftransV1_0023927</v>
      </c>
      <c r="B1916" s="2">
        <v>2971</v>
      </c>
      <c r="C1916" s="4" t="str">
        <f>HYPERLINK("http://www.uniprot.org/uniprot/M5XX17","M5XX17")</f>
        <v>M5XX17</v>
      </c>
      <c r="D1916" s="2" t="s">
        <v>1854</v>
      </c>
      <c r="E1916" s="3">
        <v>5.9000000000000002E-161</v>
      </c>
      <c r="F1916" s="2">
        <v>1257</v>
      </c>
      <c r="G1916" s="2">
        <v>91</v>
      </c>
      <c r="H1916" s="2">
        <v>263</v>
      </c>
      <c r="I1916" s="2">
        <v>2039</v>
      </c>
      <c r="J1916" s="2">
        <v>2827</v>
      </c>
      <c r="K1916" s="2">
        <v>1</v>
      </c>
      <c r="L1916" s="2">
        <v>239</v>
      </c>
    </row>
    <row r="1917" spans="1:12" x14ac:dyDescent="0.25">
      <c r="A1917" s="4" t="str">
        <f>HYPERLINK("http://www.rosaceae.org/Prunus/Prunus_persica/p.persica_gdr_reftransV1_0024277","p.persica_gdr_reftransV1_0024277")</f>
        <v>p.persica_gdr_reftransV1_0024277</v>
      </c>
      <c r="B1917" s="2">
        <v>1281</v>
      </c>
      <c r="C1917" s="4" t="str">
        <f>HYPERLINK("http://www.uniprot.org/uniprot/A0A061F511","A0A061F511")</f>
        <v>A0A061F511</v>
      </c>
      <c r="D1917" s="2" t="s">
        <v>1855</v>
      </c>
      <c r="E1917" s="3">
        <v>1.1700000000000001E-109</v>
      </c>
      <c r="F1917" s="2">
        <v>549</v>
      </c>
      <c r="G1917" s="2">
        <v>59</v>
      </c>
      <c r="H1917" s="2">
        <v>181</v>
      </c>
      <c r="I1917" s="2">
        <v>7</v>
      </c>
      <c r="J1917" s="2">
        <v>546</v>
      </c>
      <c r="K1917" s="2">
        <v>9</v>
      </c>
      <c r="L1917" s="2">
        <v>187</v>
      </c>
    </row>
    <row r="1918" spans="1:12" x14ac:dyDescent="0.25">
      <c r="A1918" s="4" t="str">
        <f>HYPERLINK("http://www.rosaceae.org/Prunus/Prunus_persica/p.persica_gdr_reftransV1_0026727","p.persica_gdr_reftransV1_0026727")</f>
        <v>p.persica_gdr_reftransV1_0026727</v>
      </c>
      <c r="B1918" s="2">
        <v>384</v>
      </c>
      <c r="C1918" s="4" t="str">
        <f>HYPERLINK("http://www.uniprot.org/uniprot/M5WIZ1","M5WIZ1")</f>
        <v>M5WIZ1</v>
      </c>
      <c r="D1918" s="2" t="s">
        <v>1856</v>
      </c>
      <c r="E1918" s="3">
        <v>1.0999999999999999E-82</v>
      </c>
      <c r="F1918" s="2">
        <v>668</v>
      </c>
      <c r="G1918" s="2">
        <v>100</v>
      </c>
      <c r="H1918" s="2">
        <v>127</v>
      </c>
      <c r="I1918" s="2">
        <v>3</v>
      </c>
      <c r="J1918" s="2">
        <v>383</v>
      </c>
      <c r="K1918" s="2">
        <v>222</v>
      </c>
      <c r="L1918" s="2">
        <v>348</v>
      </c>
    </row>
    <row r="1919" spans="1:12" x14ac:dyDescent="0.25">
      <c r="A1919" s="4" t="str">
        <f>HYPERLINK("http://www.rosaceae.org/Prunus/Prunus_persica/p.persica_gdr_reftransV1_0027077","p.persica_gdr_reftransV1_0027077")</f>
        <v>p.persica_gdr_reftransV1_0027077</v>
      </c>
      <c r="B1919" s="2">
        <v>2209</v>
      </c>
      <c r="C1919" s="4" t="str">
        <f>HYPERLINK("http://www.uniprot.org/uniprot/M5X0Y6","M5X0Y6")</f>
        <v>M5X0Y6</v>
      </c>
      <c r="D1919" s="2" t="s">
        <v>1857</v>
      </c>
      <c r="E1919" s="3">
        <v>0</v>
      </c>
      <c r="F1919" s="2">
        <v>2267</v>
      </c>
      <c r="G1919" s="2">
        <v>100</v>
      </c>
      <c r="H1919" s="2">
        <v>481</v>
      </c>
      <c r="I1919" s="2">
        <v>528</v>
      </c>
      <c r="J1919" s="2">
        <v>1970</v>
      </c>
      <c r="K1919" s="2">
        <v>1</v>
      </c>
      <c r="L1919" s="2">
        <v>481</v>
      </c>
    </row>
    <row r="1920" spans="1:12" x14ac:dyDescent="0.25">
      <c r="A1920" s="4" t="str">
        <f>HYPERLINK("http://www.rosaceae.org/Prunus/Prunus_persica/p.persica_gdr_reftransV1_0027427","p.persica_gdr_reftransV1_0027427")</f>
        <v>p.persica_gdr_reftransV1_0027427</v>
      </c>
      <c r="B1920" s="2">
        <v>3029</v>
      </c>
      <c r="C1920" s="4" t="str">
        <f>HYPERLINK("http://www.uniprot.org/uniprot/M5W6B8","M5W6B8")</f>
        <v>M5W6B8</v>
      </c>
      <c r="D1920" s="2" t="s">
        <v>1858</v>
      </c>
      <c r="E1920" s="3">
        <v>0</v>
      </c>
      <c r="F1920" s="2">
        <v>2372</v>
      </c>
      <c r="G1920" s="2">
        <v>100</v>
      </c>
      <c r="H1920" s="2">
        <v>543</v>
      </c>
      <c r="I1920" s="2">
        <v>416</v>
      </c>
      <c r="J1920" s="2">
        <v>2044</v>
      </c>
      <c r="K1920" s="2">
        <v>306</v>
      </c>
      <c r="L1920" s="2">
        <v>848</v>
      </c>
    </row>
    <row r="1921" spans="1:12" x14ac:dyDescent="0.25">
      <c r="A1921" s="4" t="str">
        <f>HYPERLINK("http://www.rosaceae.org/Prunus/Prunus_persica/p.persica_gdr_reftransV1_0029527","p.persica_gdr_reftransV1_0029527")</f>
        <v>p.persica_gdr_reftransV1_0029527</v>
      </c>
      <c r="B1921" s="2">
        <v>510</v>
      </c>
      <c r="C1921" s="4" t="str">
        <f>HYPERLINK("http://www.uniprot.org/uniprot/M5W6F4","M5W6F4")</f>
        <v>M5W6F4</v>
      </c>
      <c r="D1921" s="2" t="s">
        <v>1859</v>
      </c>
      <c r="E1921" s="3">
        <v>2.72E-65</v>
      </c>
      <c r="F1921" s="2">
        <v>571</v>
      </c>
      <c r="G1921" s="2">
        <v>100</v>
      </c>
      <c r="H1921" s="2">
        <v>105</v>
      </c>
      <c r="I1921" s="2">
        <v>1</v>
      </c>
      <c r="J1921" s="2">
        <v>315</v>
      </c>
      <c r="K1921" s="2">
        <v>738</v>
      </c>
      <c r="L1921" s="2">
        <v>842</v>
      </c>
    </row>
    <row r="1922" spans="1:12" x14ac:dyDescent="0.25">
      <c r="A1922" s="4" t="str">
        <f>HYPERLINK("http://www.rosaceae.org/Prunus/Prunus_persica/p.persica_gdr_reftransV1_0030227","p.persica_gdr_reftransV1_0030227")</f>
        <v>p.persica_gdr_reftransV1_0030227</v>
      </c>
      <c r="B1922" s="2">
        <v>3453</v>
      </c>
      <c r="C1922" s="4" t="str">
        <f>HYPERLINK("http://www.uniprot.org/uniprot/M5WNL9","M5WNL9")</f>
        <v>M5WNL9</v>
      </c>
      <c r="D1922" s="2" t="s">
        <v>1860</v>
      </c>
      <c r="E1922" s="3">
        <v>0</v>
      </c>
      <c r="F1922" s="2">
        <v>3718</v>
      </c>
      <c r="G1922" s="2">
        <v>100</v>
      </c>
      <c r="H1922" s="2">
        <v>721</v>
      </c>
      <c r="I1922" s="2">
        <v>318</v>
      </c>
      <c r="J1922" s="2">
        <v>2480</v>
      </c>
      <c r="K1922" s="2">
        <v>1</v>
      </c>
      <c r="L1922" s="2">
        <v>721</v>
      </c>
    </row>
    <row r="1923" spans="1:12" x14ac:dyDescent="0.25">
      <c r="A1923" s="4" t="str">
        <f>HYPERLINK("http://www.rosaceae.org/Prunus/Prunus_persica/p.persica_gdr_reftransV1_0030577","p.persica_gdr_reftransV1_0030577")</f>
        <v>p.persica_gdr_reftransV1_0030577</v>
      </c>
      <c r="B1923" s="2">
        <v>1173</v>
      </c>
      <c r="C1923" s="4" t="str">
        <f>HYPERLINK("http://www.uniprot.org/uniprot/A0A0A0L132","A0A0A0L132")</f>
        <v>A0A0A0L132</v>
      </c>
      <c r="D1923" s="2" t="s">
        <v>1861</v>
      </c>
      <c r="E1923" s="3">
        <v>2.84E-151</v>
      </c>
      <c r="F1923" s="2">
        <v>1221</v>
      </c>
      <c r="G1923" s="2">
        <v>91</v>
      </c>
      <c r="H1923" s="2">
        <v>236</v>
      </c>
      <c r="I1923" s="2">
        <v>3</v>
      </c>
      <c r="J1923" s="2">
        <v>710</v>
      </c>
      <c r="K1923" s="2">
        <v>1</v>
      </c>
      <c r="L1923" s="2">
        <v>236</v>
      </c>
    </row>
    <row r="1924" spans="1:12" x14ac:dyDescent="0.25">
      <c r="A1924" s="4" t="str">
        <f>HYPERLINK("http://www.rosaceae.org/Prunus/Prunus_persica/p.persica_gdr_reftransV1_0031277","p.persica_gdr_reftransV1_0031277")</f>
        <v>p.persica_gdr_reftransV1_0031277</v>
      </c>
      <c r="B1924" s="2">
        <v>1316</v>
      </c>
      <c r="C1924" s="4" t="str">
        <f>HYPERLINK("http://www.uniprot.org/uniprot/M5W0L3","M5W0L3")</f>
        <v>M5W0L3</v>
      </c>
      <c r="D1924" s="2" t="s">
        <v>1862</v>
      </c>
      <c r="E1924" s="3">
        <v>0</v>
      </c>
      <c r="F1924" s="2">
        <v>1420</v>
      </c>
      <c r="G1924" s="2">
        <v>100</v>
      </c>
      <c r="H1924" s="2">
        <v>276</v>
      </c>
      <c r="I1924" s="2">
        <v>395</v>
      </c>
      <c r="J1924" s="2">
        <v>1222</v>
      </c>
      <c r="K1924" s="2">
        <v>1</v>
      </c>
      <c r="L1924" s="2">
        <v>276</v>
      </c>
    </row>
    <row r="1925" spans="1:12" x14ac:dyDescent="0.25">
      <c r="A1925" s="4" t="str">
        <f>HYPERLINK("http://www.rosaceae.org/Prunus/Prunus_persica/p.persica_gdr_reftransV1_0033377","p.persica_gdr_reftransV1_0033377")</f>
        <v>p.persica_gdr_reftransV1_0033377</v>
      </c>
      <c r="B1925" s="2">
        <v>2702</v>
      </c>
      <c r="C1925" s="4" t="str">
        <f>HYPERLINK("http://www.uniprot.org/uniprot/M5X7G4","M5X7G4")</f>
        <v>M5X7G4</v>
      </c>
      <c r="D1925" s="2" t="s">
        <v>1863</v>
      </c>
      <c r="E1925" s="3">
        <v>0</v>
      </c>
      <c r="F1925" s="2">
        <v>1881</v>
      </c>
      <c r="G1925" s="2">
        <v>100</v>
      </c>
      <c r="H1925" s="2">
        <v>355</v>
      </c>
      <c r="I1925" s="2">
        <v>305</v>
      </c>
      <c r="J1925" s="2">
        <v>1369</v>
      </c>
      <c r="K1925" s="2">
        <v>1</v>
      </c>
      <c r="L1925" s="2">
        <v>355</v>
      </c>
    </row>
    <row r="1926" spans="1:12" x14ac:dyDescent="0.25">
      <c r="A1926" s="4" t="str">
        <f>HYPERLINK("http://www.rosaceae.org/Prunus/Prunus_persica/p.persica_gdr_reftransV1_0033727","p.persica_gdr_reftransV1_0033727")</f>
        <v>p.persica_gdr_reftransV1_0033727</v>
      </c>
      <c r="B1926" s="2">
        <v>1836</v>
      </c>
      <c r="C1926" s="4" t="str">
        <f>HYPERLINK("http://www.uniprot.org/uniprot/W9QKQ9","W9QKQ9")</f>
        <v>W9QKQ9</v>
      </c>
      <c r="D1926" s="2" t="s">
        <v>1465</v>
      </c>
      <c r="E1926" s="3">
        <v>2.67E-38</v>
      </c>
      <c r="F1926" s="2">
        <v>388</v>
      </c>
      <c r="G1926" s="2">
        <v>66</v>
      </c>
      <c r="H1926" s="2">
        <v>114</v>
      </c>
      <c r="I1926" s="2">
        <v>1188</v>
      </c>
      <c r="J1926" s="2">
        <v>1529</v>
      </c>
      <c r="K1926" s="2">
        <v>214</v>
      </c>
      <c r="L1926" s="2">
        <v>327</v>
      </c>
    </row>
    <row r="1927" spans="1:12" x14ac:dyDescent="0.25">
      <c r="A1927" s="4" t="str">
        <f>HYPERLINK("http://www.rosaceae.org/Prunus/Prunus_persica/p.persica_gdr_reftransV1_0034427","p.persica_gdr_reftransV1_0034427")</f>
        <v>p.persica_gdr_reftransV1_0034427</v>
      </c>
      <c r="B1927" s="2">
        <v>3166</v>
      </c>
      <c r="C1927" s="4" t="str">
        <f>HYPERLINK("http://www.uniprot.org/uniprot/M5WR63","M5WR63")</f>
        <v>M5WR63</v>
      </c>
      <c r="D1927" s="2" t="s">
        <v>1864</v>
      </c>
      <c r="E1927" s="3">
        <v>0</v>
      </c>
      <c r="F1927" s="2">
        <v>3131</v>
      </c>
      <c r="G1927" s="2">
        <v>100</v>
      </c>
      <c r="H1927" s="2">
        <v>767</v>
      </c>
      <c r="I1927" s="2">
        <v>501</v>
      </c>
      <c r="J1927" s="2">
        <v>2801</v>
      </c>
      <c r="K1927" s="2">
        <v>1</v>
      </c>
      <c r="L1927" s="2">
        <v>767</v>
      </c>
    </row>
    <row r="1928" spans="1:12" x14ac:dyDescent="0.25">
      <c r="A1928" s="4" t="str">
        <f>HYPERLINK("http://www.rosaceae.org/Prunus/Prunus_persica/p.persica_gdr_reftransV1_0034777","p.persica_gdr_reftransV1_0034777")</f>
        <v>p.persica_gdr_reftransV1_0034777</v>
      </c>
      <c r="B1928" s="2">
        <v>2716</v>
      </c>
      <c r="C1928" s="4" t="str">
        <f>HYPERLINK("http://www.uniprot.org/uniprot/M5W8S9","M5W8S9")</f>
        <v>M5W8S9</v>
      </c>
      <c r="D1928" s="2" t="s">
        <v>1865</v>
      </c>
      <c r="E1928" s="3">
        <v>0</v>
      </c>
      <c r="F1928" s="2">
        <v>1877</v>
      </c>
      <c r="G1928" s="2">
        <v>99</v>
      </c>
      <c r="H1928" s="2">
        <v>370</v>
      </c>
      <c r="I1928" s="2">
        <v>1605</v>
      </c>
      <c r="J1928" s="2">
        <v>2714</v>
      </c>
      <c r="K1928" s="2">
        <v>115</v>
      </c>
      <c r="L1928" s="2">
        <v>484</v>
      </c>
    </row>
    <row r="1929" spans="1:12" x14ac:dyDescent="0.25">
      <c r="A1929" s="4" t="str">
        <f>HYPERLINK("http://www.rosaceae.org/Prunus/Prunus_persica/p.persica_gdr_reftransV1_0036527","p.persica_gdr_reftransV1_0036527")</f>
        <v>p.persica_gdr_reftransV1_0036527</v>
      </c>
      <c r="B1929" s="2">
        <v>2867</v>
      </c>
      <c r="C1929" s="4" t="str">
        <f>HYPERLINK("http://www.uniprot.org/uniprot/M5Y3T7","M5Y3T7")</f>
        <v>M5Y3T7</v>
      </c>
      <c r="D1929" s="2" t="s">
        <v>1866</v>
      </c>
      <c r="E1929" s="3">
        <v>0</v>
      </c>
      <c r="F1929" s="2">
        <v>3898</v>
      </c>
      <c r="G1929" s="2">
        <v>100</v>
      </c>
      <c r="H1929" s="2">
        <v>779</v>
      </c>
      <c r="I1929" s="2">
        <v>450</v>
      </c>
      <c r="J1929" s="2">
        <v>2786</v>
      </c>
      <c r="K1929" s="2">
        <v>1</v>
      </c>
      <c r="L1929" s="2">
        <v>779</v>
      </c>
    </row>
    <row r="1930" spans="1:12" x14ac:dyDescent="0.25">
      <c r="A1930" s="4" t="str">
        <f>HYPERLINK("http://www.rosaceae.org/Prunus/Prunus_persica/p.persica_gdr_reftransV1_0036877","p.persica_gdr_reftransV1_0036877")</f>
        <v>p.persica_gdr_reftransV1_0036877</v>
      </c>
      <c r="B1930" s="2">
        <v>648</v>
      </c>
      <c r="C1930" s="4" t="str">
        <f>HYPERLINK("http://www.uniprot.org/uniprot/M5X676","M5X676")</f>
        <v>M5X676</v>
      </c>
      <c r="D1930" s="2" t="s">
        <v>1867</v>
      </c>
      <c r="E1930" s="3">
        <v>4.7600000000000001E-123</v>
      </c>
      <c r="F1930" s="2">
        <v>926</v>
      </c>
      <c r="G1930" s="2">
        <v>100</v>
      </c>
      <c r="H1930" s="2">
        <v>211</v>
      </c>
      <c r="I1930" s="2">
        <v>3</v>
      </c>
      <c r="J1930" s="2">
        <v>635</v>
      </c>
      <c r="K1930" s="2">
        <v>45</v>
      </c>
      <c r="L1930" s="2">
        <v>255</v>
      </c>
    </row>
    <row r="1931" spans="1:12" x14ac:dyDescent="0.25">
      <c r="A1931" s="4" t="str">
        <f>HYPERLINK("http://www.rosaceae.org/Prunus/Prunus_persica/p.persica_gdr_reftransV1_0037927","p.persica_gdr_reftransV1_0037927")</f>
        <v>p.persica_gdr_reftransV1_0037927</v>
      </c>
      <c r="B1931" s="2">
        <v>793</v>
      </c>
      <c r="C1931" s="4" t="str">
        <f>HYPERLINK("http://www.uniprot.org/uniprot/M5WLR9","M5WLR9")</f>
        <v>M5WLR9</v>
      </c>
      <c r="D1931" s="2" t="s">
        <v>1868</v>
      </c>
      <c r="E1931" s="3">
        <v>7.7299999999999993E-71</v>
      </c>
      <c r="F1931" s="2">
        <v>572</v>
      </c>
      <c r="G1931" s="2">
        <v>100</v>
      </c>
      <c r="H1931" s="2">
        <v>107</v>
      </c>
      <c r="I1931" s="2">
        <v>252</v>
      </c>
      <c r="J1931" s="2">
        <v>572</v>
      </c>
      <c r="K1931" s="2">
        <v>1</v>
      </c>
      <c r="L1931" s="2">
        <v>107</v>
      </c>
    </row>
    <row r="1932" spans="1:12" x14ac:dyDescent="0.25">
      <c r="A1932" s="4" t="str">
        <f>HYPERLINK("http://www.rosaceae.org/Prunus/Prunus_persica/p.persica_gdr_reftransV1_0038277","p.persica_gdr_reftransV1_0038277")</f>
        <v>p.persica_gdr_reftransV1_0038277</v>
      </c>
      <c r="B1932" s="2">
        <v>2704</v>
      </c>
      <c r="C1932" s="4" t="str">
        <f>HYPERLINK("http://www.uniprot.org/uniprot/B9IP74","B9IP74")</f>
        <v>B9IP74</v>
      </c>
      <c r="D1932" s="2" t="s">
        <v>1869</v>
      </c>
      <c r="E1932" s="3">
        <v>0</v>
      </c>
      <c r="F1932" s="2">
        <v>2745</v>
      </c>
      <c r="G1932" s="2">
        <v>74</v>
      </c>
      <c r="H1932" s="2">
        <v>732</v>
      </c>
      <c r="I1932" s="2">
        <v>66</v>
      </c>
      <c r="J1932" s="2">
        <v>2207</v>
      </c>
      <c r="K1932" s="2">
        <v>11</v>
      </c>
      <c r="L1932" s="2">
        <v>701</v>
      </c>
    </row>
    <row r="1933" spans="1:12" x14ac:dyDescent="0.25">
      <c r="A1933" s="4" t="str">
        <f>HYPERLINK("http://www.rosaceae.org/Prunus/Prunus_persica/p.persica_gdr_reftransV1_0041077","p.persica_gdr_reftransV1_0041077")</f>
        <v>p.persica_gdr_reftransV1_0041077</v>
      </c>
      <c r="B1933" s="2">
        <v>2907</v>
      </c>
      <c r="C1933" s="4" t="str">
        <f>HYPERLINK("http://www.uniprot.org/uniprot/M5XAN6","M5XAN6")</f>
        <v>M5XAN6</v>
      </c>
      <c r="D1933" s="2" t="s">
        <v>1450</v>
      </c>
      <c r="E1933" s="3">
        <v>0</v>
      </c>
      <c r="F1933" s="2">
        <v>3909</v>
      </c>
      <c r="G1933" s="2">
        <v>95</v>
      </c>
      <c r="H1933" s="2">
        <v>902</v>
      </c>
      <c r="I1933" s="2">
        <v>2</v>
      </c>
      <c r="J1933" s="2">
        <v>2707</v>
      </c>
      <c r="K1933" s="2">
        <v>1</v>
      </c>
      <c r="L1933" s="2">
        <v>901</v>
      </c>
    </row>
    <row r="1934" spans="1:12" x14ac:dyDescent="0.25">
      <c r="A1934" s="4" t="str">
        <f>HYPERLINK("http://www.rosaceae.org/Prunus/Prunus_persica/p.persica_gdr_reftransV1_0042477","p.persica_gdr_reftransV1_0042477")</f>
        <v>p.persica_gdr_reftransV1_0042477</v>
      </c>
      <c r="B1934" s="2">
        <v>3666</v>
      </c>
      <c r="C1934" s="4" t="str">
        <f>HYPERLINK("http://www.uniprot.org/uniprot/M5XSC1","M5XSC1")</f>
        <v>M5XSC1</v>
      </c>
      <c r="D1934" s="2" t="s">
        <v>1870</v>
      </c>
      <c r="E1934" s="3">
        <v>1.9399999999999999E-101</v>
      </c>
      <c r="F1934" s="2">
        <v>867</v>
      </c>
      <c r="G1934" s="2">
        <v>83</v>
      </c>
      <c r="H1934" s="2">
        <v>211</v>
      </c>
      <c r="I1934" s="2">
        <v>2719</v>
      </c>
      <c r="J1934" s="2">
        <v>3351</v>
      </c>
      <c r="K1934" s="2">
        <v>1</v>
      </c>
      <c r="L1934" s="2">
        <v>176</v>
      </c>
    </row>
    <row r="1935" spans="1:12" x14ac:dyDescent="0.25">
      <c r="A1935" s="4" t="str">
        <f>HYPERLINK("http://www.rosaceae.org/Prunus/Prunus_persica/p.persica_gdr_reftransV1_0043177","p.persica_gdr_reftransV1_0043177")</f>
        <v>p.persica_gdr_reftransV1_0043177</v>
      </c>
      <c r="B1935" s="2">
        <v>435</v>
      </c>
      <c r="C1935" s="4" t="str">
        <f>HYPERLINK("http://www.uniprot.org/uniprot/M5Y2P7","M5Y2P7")</f>
        <v>M5Y2P7</v>
      </c>
      <c r="D1935" s="2" t="s">
        <v>1871</v>
      </c>
      <c r="E1935" s="3">
        <v>2.8099999999999999E-49</v>
      </c>
      <c r="F1935" s="2">
        <v>414</v>
      </c>
      <c r="G1935" s="2">
        <v>100</v>
      </c>
      <c r="H1935" s="2">
        <v>78</v>
      </c>
      <c r="I1935" s="2">
        <v>48</v>
      </c>
      <c r="J1935" s="2">
        <v>281</v>
      </c>
      <c r="K1935" s="2">
        <v>1</v>
      </c>
      <c r="L1935" s="2">
        <v>78</v>
      </c>
    </row>
    <row r="1936" spans="1:12" x14ac:dyDescent="0.25">
      <c r="A1936" s="4" t="str">
        <f>HYPERLINK("http://www.rosaceae.org/Prunus/Prunus_persica/p.persica_gdr_reftransV1_0043527","p.persica_gdr_reftransV1_0043527")</f>
        <v>p.persica_gdr_reftransV1_0043527</v>
      </c>
      <c r="B1936" s="2">
        <v>790</v>
      </c>
      <c r="C1936" s="4" t="str">
        <f>HYPERLINK("http://www.uniprot.org/uniprot/M5W5V7","M5W5V7")</f>
        <v>M5W5V7</v>
      </c>
      <c r="D1936" s="2" t="s">
        <v>1872</v>
      </c>
      <c r="E1936" s="3">
        <v>1.32E-44</v>
      </c>
      <c r="F1936" s="2">
        <v>395</v>
      </c>
      <c r="G1936" s="2">
        <v>100</v>
      </c>
      <c r="H1936" s="2">
        <v>87</v>
      </c>
      <c r="I1936" s="2">
        <v>335</v>
      </c>
      <c r="J1936" s="2">
        <v>595</v>
      </c>
      <c r="K1936" s="2">
        <v>1</v>
      </c>
      <c r="L1936" s="2">
        <v>87</v>
      </c>
    </row>
    <row r="1937" spans="1:12" x14ac:dyDescent="0.25">
      <c r="A1937" s="4" t="str">
        <f>HYPERLINK("http://www.rosaceae.org/Prunus/Prunus_persica/p.persica_gdr_reftransV1_0043877","p.persica_gdr_reftransV1_0043877")</f>
        <v>p.persica_gdr_reftransV1_0043877</v>
      </c>
      <c r="B1937" s="2">
        <v>708</v>
      </c>
      <c r="C1937" s="4" t="str">
        <f>HYPERLINK("http://www.uniprot.org/uniprot/M5WHD4","M5WHD4")</f>
        <v>M5WHD4</v>
      </c>
      <c r="D1937" s="2" t="s">
        <v>1873</v>
      </c>
      <c r="E1937" s="3">
        <v>4.1199999999999998E-94</v>
      </c>
      <c r="F1937" s="2">
        <v>763</v>
      </c>
      <c r="G1937" s="2">
        <v>100</v>
      </c>
      <c r="H1937" s="2">
        <v>173</v>
      </c>
      <c r="I1937" s="2">
        <v>188</v>
      </c>
      <c r="J1937" s="2">
        <v>706</v>
      </c>
      <c r="K1937" s="2">
        <v>398</v>
      </c>
      <c r="L1937" s="2">
        <v>570</v>
      </c>
    </row>
    <row r="1938" spans="1:12" x14ac:dyDescent="0.25">
      <c r="A1938" s="4" t="str">
        <f>HYPERLINK("http://www.rosaceae.org/Prunus/Prunus_persica/p.persica_gdr_reftransV1_0044227","p.persica_gdr_reftransV1_0044227")</f>
        <v>p.persica_gdr_reftransV1_0044227</v>
      </c>
      <c r="B1938" s="2">
        <v>2077</v>
      </c>
      <c r="C1938" s="4" t="str">
        <f>HYPERLINK("http://www.uniprot.org/uniprot/M5X1U3","M5X1U3")</f>
        <v>M5X1U3</v>
      </c>
      <c r="D1938" s="2" t="s">
        <v>1874</v>
      </c>
      <c r="E1938" s="3">
        <v>0</v>
      </c>
      <c r="F1938" s="2">
        <v>2215</v>
      </c>
      <c r="G1938" s="2">
        <v>100</v>
      </c>
      <c r="H1938" s="2">
        <v>468</v>
      </c>
      <c r="I1938" s="2">
        <v>189</v>
      </c>
      <c r="J1938" s="2">
        <v>1592</v>
      </c>
      <c r="K1938" s="2">
        <v>41</v>
      </c>
      <c r="L1938" s="2">
        <v>508</v>
      </c>
    </row>
    <row r="1939" spans="1:12" x14ac:dyDescent="0.25">
      <c r="A1939" s="4" t="str">
        <f>HYPERLINK("http://www.rosaceae.org/Prunus/Prunus_persica/p.persica_gdr_reftransV1_0044927","p.persica_gdr_reftransV1_0044927")</f>
        <v>p.persica_gdr_reftransV1_0044927</v>
      </c>
      <c r="B1939" s="2">
        <v>615</v>
      </c>
      <c r="C1939" s="4" t="str">
        <f>HYPERLINK("http://www.uniprot.org/uniprot/M5WA66","M5WA66")</f>
        <v>M5WA66</v>
      </c>
      <c r="D1939" s="2" t="s">
        <v>1875</v>
      </c>
      <c r="E1939" s="3">
        <v>5.1600000000000002E-134</v>
      </c>
      <c r="F1939" s="2">
        <v>1023</v>
      </c>
      <c r="G1939" s="2">
        <v>100</v>
      </c>
      <c r="H1939" s="2">
        <v>194</v>
      </c>
      <c r="I1939" s="2">
        <v>2</v>
      </c>
      <c r="J1939" s="2">
        <v>583</v>
      </c>
      <c r="K1939" s="2">
        <v>340</v>
      </c>
      <c r="L1939" s="2">
        <v>533</v>
      </c>
    </row>
    <row r="1940" spans="1:12" x14ac:dyDescent="0.25">
      <c r="A1940" s="4" t="str">
        <f>HYPERLINK("http://www.rosaceae.org/Prunus/Prunus_persica/p.persica_gdr_reftransV1_0045277","p.persica_gdr_reftransV1_0045277")</f>
        <v>p.persica_gdr_reftransV1_0045277</v>
      </c>
      <c r="B1940" s="2">
        <v>702</v>
      </c>
      <c r="C1940" s="4" t="str">
        <f>HYPERLINK("http://www.uniprot.org/uniprot/M5XKP5","M5XKP5")</f>
        <v>M5XKP5</v>
      </c>
      <c r="D1940" s="2" t="s">
        <v>1876</v>
      </c>
      <c r="E1940" s="3">
        <v>5.7899999999999996E-162</v>
      </c>
      <c r="F1940" s="2">
        <v>1237</v>
      </c>
      <c r="G1940" s="2">
        <v>100</v>
      </c>
      <c r="H1940" s="2">
        <v>234</v>
      </c>
      <c r="I1940" s="2">
        <v>1</v>
      </c>
      <c r="J1940" s="2">
        <v>702</v>
      </c>
      <c r="K1940" s="2">
        <v>96</v>
      </c>
      <c r="L1940" s="2">
        <v>329</v>
      </c>
    </row>
    <row r="1941" spans="1:12" x14ac:dyDescent="0.25">
      <c r="A1941" s="4" t="str">
        <f>HYPERLINK("http://www.rosaceae.org/Prunus/Prunus_persica/p.persica_gdr_reftransV1_0046677","p.persica_gdr_reftransV1_0046677")</f>
        <v>p.persica_gdr_reftransV1_0046677</v>
      </c>
      <c r="B1941" s="2">
        <v>2594</v>
      </c>
      <c r="C1941" s="4" t="str">
        <f>HYPERLINK("http://www.uniprot.org/uniprot/M5WM33","M5WM33")</f>
        <v>M5WM33</v>
      </c>
      <c r="D1941" s="2" t="s">
        <v>1877</v>
      </c>
      <c r="E1941" s="3">
        <v>0</v>
      </c>
      <c r="F1941" s="2">
        <v>3516</v>
      </c>
      <c r="G1941" s="2">
        <v>100</v>
      </c>
      <c r="H1941" s="2">
        <v>750</v>
      </c>
      <c r="I1941" s="2">
        <v>3</v>
      </c>
      <c r="J1941" s="2">
        <v>2252</v>
      </c>
      <c r="K1941" s="2">
        <v>20</v>
      </c>
      <c r="L1941" s="2">
        <v>769</v>
      </c>
    </row>
    <row r="1942" spans="1:12" x14ac:dyDescent="0.25">
      <c r="A1942" s="4" t="str">
        <f>HYPERLINK("http://www.rosaceae.org/Prunus/Prunus_persica/p.persica_gdr_reftransV1_0047377","p.persica_gdr_reftransV1_0047377")</f>
        <v>p.persica_gdr_reftransV1_0047377</v>
      </c>
      <c r="B1942" s="2">
        <v>2256</v>
      </c>
      <c r="C1942" s="4" t="str">
        <f>HYPERLINK("http://www.uniprot.org/uniprot/M5X5G1","M5X5G1")</f>
        <v>M5X5G1</v>
      </c>
      <c r="D1942" s="2" t="s">
        <v>1878</v>
      </c>
      <c r="E1942" s="3">
        <v>0</v>
      </c>
      <c r="F1942" s="2">
        <v>2107</v>
      </c>
      <c r="G1942" s="2">
        <v>100</v>
      </c>
      <c r="H1942" s="2">
        <v>442</v>
      </c>
      <c r="I1942" s="2">
        <v>302</v>
      </c>
      <c r="J1942" s="2">
        <v>1627</v>
      </c>
      <c r="K1942" s="2">
        <v>1</v>
      </c>
      <c r="L1942" s="2">
        <v>442</v>
      </c>
    </row>
    <row r="1943" spans="1:12" x14ac:dyDescent="0.25">
      <c r="A1943" s="4" t="str">
        <f>HYPERLINK("http://www.rosaceae.org/Prunus/Prunus_persica/p.persica_gdr_reftransV1_0047727","p.persica_gdr_reftransV1_0047727")</f>
        <v>p.persica_gdr_reftransV1_0047727</v>
      </c>
      <c r="B1943" s="2">
        <v>1334</v>
      </c>
      <c r="C1943" s="4" t="str">
        <f>HYPERLINK("http://www.uniprot.org/uniprot/M5VL99","M5VL99")</f>
        <v>M5VL99</v>
      </c>
      <c r="D1943" s="2" t="s">
        <v>128</v>
      </c>
      <c r="E1943" s="3">
        <v>4.4700000000000003E-140</v>
      </c>
      <c r="F1943" s="2">
        <v>1059</v>
      </c>
      <c r="G1943" s="2">
        <v>100</v>
      </c>
      <c r="H1943" s="2">
        <v>219</v>
      </c>
      <c r="I1943" s="2">
        <v>130</v>
      </c>
      <c r="J1943" s="2">
        <v>786</v>
      </c>
      <c r="K1943" s="2">
        <v>1</v>
      </c>
      <c r="L1943" s="2">
        <v>219</v>
      </c>
    </row>
    <row r="1944" spans="1:12" x14ac:dyDescent="0.25">
      <c r="A1944" s="4" t="str">
        <f>HYPERLINK("http://www.rosaceae.org/Prunus/Prunus_persica/p.persica_gdr_reftransV1_0048077","p.persica_gdr_reftransV1_0048077")</f>
        <v>p.persica_gdr_reftransV1_0048077</v>
      </c>
      <c r="B1944" s="2">
        <v>2391</v>
      </c>
      <c r="C1944" s="4" t="str">
        <f>HYPERLINK("http://www.uniprot.org/uniprot/M5XAA5","M5XAA5")</f>
        <v>M5XAA5</v>
      </c>
      <c r="D1944" s="2" t="s">
        <v>1879</v>
      </c>
      <c r="E1944" s="3">
        <v>0</v>
      </c>
      <c r="F1944" s="2">
        <v>2786</v>
      </c>
      <c r="G1944" s="2">
        <v>100</v>
      </c>
      <c r="H1944" s="2">
        <v>567</v>
      </c>
      <c r="I1944" s="2">
        <v>324</v>
      </c>
      <c r="J1944" s="2">
        <v>2024</v>
      </c>
      <c r="K1944" s="2">
        <v>1</v>
      </c>
      <c r="L1944" s="2">
        <v>567</v>
      </c>
    </row>
    <row r="1945" spans="1:12" x14ac:dyDescent="0.25">
      <c r="A1945" s="4" t="str">
        <f>HYPERLINK("http://www.rosaceae.org/Prunus/Prunus_persica/p.persica_gdr_reftransV1_0048427","p.persica_gdr_reftransV1_0048427")</f>
        <v>p.persica_gdr_reftransV1_0048427</v>
      </c>
      <c r="B1945" s="2">
        <v>1598</v>
      </c>
      <c r="C1945" s="4" t="str">
        <f>HYPERLINK("http://www.uniprot.org/uniprot/M5VPU3","M5VPU3")</f>
        <v>M5VPU3</v>
      </c>
      <c r="D1945" s="2" t="s">
        <v>1880</v>
      </c>
      <c r="E1945" s="3">
        <v>0</v>
      </c>
      <c r="F1945" s="2">
        <v>1995</v>
      </c>
      <c r="G1945" s="2">
        <v>100</v>
      </c>
      <c r="H1945" s="2">
        <v>390</v>
      </c>
      <c r="I1945" s="2">
        <v>59</v>
      </c>
      <c r="J1945" s="2">
        <v>1228</v>
      </c>
      <c r="K1945" s="2">
        <v>1</v>
      </c>
      <c r="L1945" s="2">
        <v>390</v>
      </c>
    </row>
    <row r="1946" spans="1:12" x14ac:dyDescent="0.25">
      <c r="A1946" s="4" t="str">
        <f>HYPERLINK("http://www.rosaceae.org/Prunus/Prunus_persica/p.persica_gdr_reftransV1_0048777","p.persica_gdr_reftransV1_0048777")</f>
        <v>p.persica_gdr_reftransV1_0048777</v>
      </c>
      <c r="B1946" s="2">
        <v>1825</v>
      </c>
      <c r="C1946" s="4" t="str">
        <f>HYPERLINK("http://www.uniprot.org/uniprot/M5X7V6","M5X7V6")</f>
        <v>M5X7V6</v>
      </c>
      <c r="D1946" s="2" t="s">
        <v>1881</v>
      </c>
      <c r="E1946" s="3">
        <v>0</v>
      </c>
      <c r="F1946" s="2">
        <v>2048</v>
      </c>
      <c r="G1946" s="2">
        <v>98</v>
      </c>
      <c r="H1946" s="2">
        <v>534</v>
      </c>
      <c r="I1946" s="2">
        <v>162</v>
      </c>
      <c r="J1946" s="2">
        <v>1763</v>
      </c>
      <c r="K1946" s="2">
        <v>1</v>
      </c>
      <c r="L1946" s="2">
        <v>525</v>
      </c>
    </row>
    <row r="1947" spans="1:12" x14ac:dyDescent="0.25">
      <c r="A1947" s="4" t="str">
        <f>HYPERLINK("http://www.rosaceae.org/Prunus/Prunus_persica/p.persica_gdr_reftransV1_0000128","p.persica_gdr_reftransV1_0000128")</f>
        <v>p.persica_gdr_reftransV1_0000128</v>
      </c>
      <c r="B1947" s="2">
        <v>3086</v>
      </c>
      <c r="C1947" s="4" t="str">
        <f>HYPERLINK("http://www.uniprot.org/uniprot/M5WSE0","M5WSE0")</f>
        <v>M5WSE0</v>
      </c>
      <c r="D1947" s="2" t="s">
        <v>1882</v>
      </c>
      <c r="E1947" s="3">
        <v>0</v>
      </c>
      <c r="F1947" s="2">
        <v>3051</v>
      </c>
      <c r="G1947" s="2">
        <v>94</v>
      </c>
      <c r="H1947" s="2">
        <v>640</v>
      </c>
      <c r="I1947" s="2">
        <v>1262</v>
      </c>
      <c r="J1947" s="2">
        <v>3067</v>
      </c>
      <c r="K1947" s="2">
        <v>1</v>
      </c>
      <c r="L1947" s="2">
        <v>640</v>
      </c>
    </row>
    <row r="1948" spans="1:12" x14ac:dyDescent="0.25">
      <c r="A1948" s="4" t="str">
        <f>HYPERLINK("http://www.rosaceae.org/Prunus/Prunus_persica/p.persica_gdr_reftransV1_0000478","p.persica_gdr_reftransV1_0000478")</f>
        <v>p.persica_gdr_reftransV1_0000478</v>
      </c>
      <c r="B1948" s="2">
        <v>3561</v>
      </c>
      <c r="C1948" s="4" t="str">
        <f>HYPERLINK("http://www.uniprot.org/uniprot/M5WT49","M5WT49")</f>
        <v>M5WT49</v>
      </c>
      <c r="D1948" s="2" t="s">
        <v>1883</v>
      </c>
      <c r="E1948" s="3">
        <v>0</v>
      </c>
      <c r="F1948" s="2">
        <v>2490</v>
      </c>
      <c r="G1948" s="2">
        <v>100</v>
      </c>
      <c r="H1948" s="2">
        <v>526</v>
      </c>
      <c r="I1948" s="2">
        <v>311</v>
      </c>
      <c r="J1948" s="2">
        <v>1888</v>
      </c>
      <c r="K1948" s="2">
        <v>8</v>
      </c>
      <c r="L1948" s="2">
        <v>533</v>
      </c>
    </row>
    <row r="1949" spans="1:12" x14ac:dyDescent="0.25">
      <c r="A1949" s="4" t="str">
        <f>HYPERLINK("http://www.rosaceae.org/Prunus/Prunus_persica/p.persica_gdr_reftransV1_0001178","p.persica_gdr_reftransV1_0001178")</f>
        <v>p.persica_gdr_reftransV1_0001178</v>
      </c>
      <c r="B1949" s="2">
        <v>862</v>
      </c>
      <c r="C1949" s="4" t="str">
        <f>HYPERLINK("http://www.uniprot.org/uniprot/M5XZA7","M5XZA7")</f>
        <v>M5XZA7</v>
      </c>
      <c r="D1949" s="2" t="s">
        <v>1884</v>
      </c>
      <c r="E1949" s="3">
        <v>1.31E-72</v>
      </c>
      <c r="F1949" s="2">
        <v>587</v>
      </c>
      <c r="G1949" s="2">
        <v>100</v>
      </c>
      <c r="H1949" s="2">
        <v>124</v>
      </c>
      <c r="I1949" s="2">
        <v>354</v>
      </c>
      <c r="J1949" s="2">
        <v>725</v>
      </c>
      <c r="K1949" s="2">
        <v>1</v>
      </c>
      <c r="L1949" s="2">
        <v>124</v>
      </c>
    </row>
    <row r="1950" spans="1:12" x14ac:dyDescent="0.25">
      <c r="A1950" s="4" t="str">
        <f>HYPERLINK("http://www.rosaceae.org/Prunus/Prunus_persica/p.persica_gdr_reftransV1_0001528","p.persica_gdr_reftransV1_0001528")</f>
        <v>p.persica_gdr_reftransV1_0001528</v>
      </c>
      <c r="B1950" s="2">
        <v>1496</v>
      </c>
      <c r="C1950" s="4" t="str">
        <f>HYPERLINK("http://www.uniprot.org/uniprot/M5XPB0","M5XPB0")</f>
        <v>M5XPB0</v>
      </c>
      <c r="D1950" s="2" t="s">
        <v>1885</v>
      </c>
      <c r="E1950" s="3">
        <v>5.5599999999999997E-129</v>
      </c>
      <c r="F1950" s="2">
        <v>997</v>
      </c>
      <c r="G1950" s="2">
        <v>100</v>
      </c>
      <c r="H1950" s="2">
        <v>285</v>
      </c>
      <c r="I1950" s="2">
        <v>291</v>
      </c>
      <c r="J1950" s="2">
        <v>1145</v>
      </c>
      <c r="K1950" s="2">
        <v>1</v>
      </c>
      <c r="L1950" s="2">
        <v>285</v>
      </c>
    </row>
    <row r="1951" spans="1:12" x14ac:dyDescent="0.25">
      <c r="A1951" s="4" t="str">
        <f>HYPERLINK("http://www.rosaceae.org/Prunus/Prunus_persica/p.persica_gdr_reftransV1_0001878","p.persica_gdr_reftransV1_0001878")</f>
        <v>p.persica_gdr_reftransV1_0001878</v>
      </c>
      <c r="B1951" s="2">
        <v>545</v>
      </c>
      <c r="C1951" s="4" t="str">
        <f>HYPERLINK("http://www.uniprot.org/uniprot/M5XH32","M5XH32")</f>
        <v>M5XH32</v>
      </c>
      <c r="D1951" s="2" t="s">
        <v>1886</v>
      </c>
      <c r="E1951" s="3">
        <v>3.3399999999999998E-94</v>
      </c>
      <c r="F1951" s="2">
        <v>723</v>
      </c>
      <c r="G1951" s="2">
        <v>95</v>
      </c>
      <c r="H1951" s="2">
        <v>146</v>
      </c>
      <c r="I1951" s="2">
        <v>76</v>
      </c>
      <c r="J1951" s="2">
        <v>513</v>
      </c>
      <c r="K1951" s="2">
        <v>23</v>
      </c>
      <c r="L1951" s="2">
        <v>168</v>
      </c>
    </row>
    <row r="1952" spans="1:12" x14ac:dyDescent="0.25">
      <c r="A1952" s="4" t="str">
        <f>HYPERLINK("http://www.rosaceae.org/Prunus/Prunus_persica/p.persica_gdr_reftransV1_0002228","p.persica_gdr_reftransV1_0002228")</f>
        <v>p.persica_gdr_reftransV1_0002228</v>
      </c>
      <c r="B1952" s="2">
        <v>329</v>
      </c>
      <c r="C1952" s="4" t="str">
        <f>HYPERLINK("http://www.uniprot.org/uniprot/M5X6H0","M5X6H0")</f>
        <v>M5X6H0</v>
      </c>
      <c r="D1952" s="2" t="s">
        <v>1887</v>
      </c>
      <c r="E1952" s="3">
        <v>1.1899999999999999E-56</v>
      </c>
      <c r="F1952" s="2">
        <v>489</v>
      </c>
      <c r="G1952" s="2">
        <v>100</v>
      </c>
      <c r="H1952" s="2">
        <v>92</v>
      </c>
      <c r="I1952" s="2">
        <v>53</v>
      </c>
      <c r="J1952" s="2">
        <v>328</v>
      </c>
      <c r="K1952" s="2">
        <v>85</v>
      </c>
      <c r="L1952" s="2">
        <v>176</v>
      </c>
    </row>
    <row r="1953" spans="1:12" x14ac:dyDescent="0.25">
      <c r="A1953" s="4" t="str">
        <f>HYPERLINK("http://www.rosaceae.org/Prunus/Prunus_persica/p.persica_gdr_reftransV1_0002928","p.persica_gdr_reftransV1_0002928")</f>
        <v>p.persica_gdr_reftransV1_0002928</v>
      </c>
      <c r="B1953" s="2">
        <v>592</v>
      </c>
      <c r="C1953" s="4" t="str">
        <f>HYPERLINK("http://www.uniprot.org/uniprot/M5WQ67","M5WQ67")</f>
        <v>M5WQ67</v>
      </c>
      <c r="D1953" s="2" t="s">
        <v>1888</v>
      </c>
      <c r="E1953" s="3">
        <v>1.49E-101</v>
      </c>
      <c r="F1953" s="2">
        <v>775</v>
      </c>
      <c r="G1953" s="2">
        <v>100</v>
      </c>
      <c r="H1953" s="2">
        <v>148</v>
      </c>
      <c r="I1953" s="2">
        <v>3</v>
      </c>
      <c r="J1953" s="2">
        <v>446</v>
      </c>
      <c r="K1953" s="2">
        <v>18</v>
      </c>
      <c r="L1953" s="2">
        <v>165</v>
      </c>
    </row>
    <row r="1954" spans="1:12" x14ac:dyDescent="0.25">
      <c r="A1954" s="4" t="str">
        <f>HYPERLINK("http://www.rosaceae.org/Prunus/Prunus_persica/p.persica_gdr_reftransV1_0003278","p.persica_gdr_reftransV1_0003278")</f>
        <v>p.persica_gdr_reftransV1_0003278</v>
      </c>
      <c r="B1954" s="2">
        <v>1063</v>
      </c>
      <c r="C1954" s="4" t="str">
        <f>HYPERLINK("http://www.uniprot.org/uniprot/M5WIS2","M5WIS2")</f>
        <v>M5WIS2</v>
      </c>
      <c r="D1954" s="2" t="s">
        <v>1889</v>
      </c>
      <c r="E1954" s="3">
        <v>7.5299999999999995E-113</v>
      </c>
      <c r="F1954" s="2">
        <v>871</v>
      </c>
      <c r="G1954" s="2">
        <v>84</v>
      </c>
      <c r="H1954" s="2">
        <v>231</v>
      </c>
      <c r="I1954" s="2">
        <v>128</v>
      </c>
      <c r="J1954" s="2">
        <v>793</v>
      </c>
      <c r="K1954" s="2">
        <v>1</v>
      </c>
      <c r="L1954" s="2">
        <v>231</v>
      </c>
    </row>
    <row r="1955" spans="1:12" x14ac:dyDescent="0.25">
      <c r="A1955" s="4" t="str">
        <f>HYPERLINK("http://www.rosaceae.org/Prunus/Prunus_persica/p.persica_gdr_reftransV1_0004328","p.persica_gdr_reftransV1_0004328")</f>
        <v>p.persica_gdr_reftransV1_0004328</v>
      </c>
      <c r="B1955" s="2">
        <v>2152</v>
      </c>
      <c r="C1955" s="4" t="str">
        <f>HYPERLINK("http://www.uniprot.org/uniprot/M5WE24","M5WE24")</f>
        <v>M5WE24</v>
      </c>
      <c r="D1955" s="2" t="s">
        <v>1890</v>
      </c>
      <c r="E1955" s="3">
        <v>0</v>
      </c>
      <c r="F1955" s="2">
        <v>3217</v>
      </c>
      <c r="G1955" s="2">
        <v>99</v>
      </c>
      <c r="H1955" s="2">
        <v>691</v>
      </c>
      <c r="I1955" s="2">
        <v>2</v>
      </c>
      <c r="J1955" s="2">
        <v>2065</v>
      </c>
      <c r="K1955" s="2">
        <v>558</v>
      </c>
      <c r="L1955" s="2">
        <v>1248</v>
      </c>
    </row>
    <row r="1956" spans="1:12" x14ac:dyDescent="0.25">
      <c r="A1956" s="4" t="str">
        <f>HYPERLINK("http://www.rosaceae.org/Prunus/Prunus_persica/p.persica_gdr_reftransV1_0005378","p.persica_gdr_reftransV1_0005378")</f>
        <v>p.persica_gdr_reftransV1_0005378</v>
      </c>
      <c r="B1956" s="2">
        <v>780</v>
      </c>
      <c r="C1956" s="4" t="str">
        <f>HYPERLINK("http://www.uniprot.org/uniprot/M5W3W3","M5W3W3")</f>
        <v>M5W3W3</v>
      </c>
      <c r="D1956" s="2" t="s">
        <v>1891</v>
      </c>
      <c r="E1956" s="3">
        <v>4.3499999999999999E-87</v>
      </c>
      <c r="F1956" s="2">
        <v>681</v>
      </c>
      <c r="G1956" s="2">
        <v>100</v>
      </c>
      <c r="H1956" s="2">
        <v>131</v>
      </c>
      <c r="I1956" s="2">
        <v>110</v>
      </c>
      <c r="J1956" s="2">
        <v>502</v>
      </c>
      <c r="K1956" s="2">
        <v>1</v>
      </c>
      <c r="L1956" s="2">
        <v>131</v>
      </c>
    </row>
    <row r="1957" spans="1:12" x14ac:dyDescent="0.25">
      <c r="A1957" s="4" t="str">
        <f>HYPERLINK("http://www.rosaceae.org/Prunus/Prunus_persica/p.persica_gdr_reftransV1_0006078","p.persica_gdr_reftransV1_0006078")</f>
        <v>p.persica_gdr_reftransV1_0006078</v>
      </c>
      <c r="B1957" s="2">
        <v>1704</v>
      </c>
      <c r="C1957" s="4" t="str">
        <f>HYPERLINK("http://www.uniprot.org/uniprot/A0A067JMZ4","A0A067JMZ4")</f>
        <v>A0A067JMZ4</v>
      </c>
      <c r="D1957" s="2" t="s">
        <v>1892</v>
      </c>
      <c r="E1957" s="3">
        <v>1.08E-144</v>
      </c>
      <c r="F1957" s="2">
        <v>1119</v>
      </c>
      <c r="G1957" s="2">
        <v>73</v>
      </c>
      <c r="H1957" s="2">
        <v>346</v>
      </c>
      <c r="I1957" s="2">
        <v>448</v>
      </c>
      <c r="J1957" s="2">
        <v>1482</v>
      </c>
      <c r="K1957" s="2">
        <v>51</v>
      </c>
      <c r="L1957" s="2">
        <v>393</v>
      </c>
    </row>
    <row r="1958" spans="1:12" x14ac:dyDescent="0.25">
      <c r="A1958" s="4" t="str">
        <f>HYPERLINK("http://www.rosaceae.org/Prunus/Prunus_persica/p.persica_gdr_reftransV1_0006428","p.persica_gdr_reftransV1_0006428")</f>
        <v>p.persica_gdr_reftransV1_0006428</v>
      </c>
      <c r="B1958" s="2">
        <v>1433</v>
      </c>
      <c r="C1958" s="4" t="str">
        <f>HYPERLINK("http://www.uniprot.org/uniprot/M5WER5","M5WER5")</f>
        <v>M5WER5</v>
      </c>
      <c r="D1958" s="2" t="s">
        <v>1893</v>
      </c>
      <c r="E1958" s="3">
        <v>6.04E-105</v>
      </c>
      <c r="F1958" s="2">
        <v>824</v>
      </c>
      <c r="G1958" s="2">
        <v>100</v>
      </c>
      <c r="H1958" s="2">
        <v>167</v>
      </c>
      <c r="I1958" s="2">
        <v>850</v>
      </c>
      <c r="J1958" s="2">
        <v>1350</v>
      </c>
      <c r="K1958" s="2">
        <v>1</v>
      </c>
      <c r="L1958" s="2">
        <v>167</v>
      </c>
    </row>
    <row r="1959" spans="1:12" x14ac:dyDescent="0.25">
      <c r="A1959" s="4" t="str">
        <f>HYPERLINK("http://www.rosaceae.org/Prunus/Prunus_persica/p.persica_gdr_reftransV1_0006778","p.persica_gdr_reftransV1_0006778")</f>
        <v>p.persica_gdr_reftransV1_0006778</v>
      </c>
      <c r="B1959" s="2">
        <v>498</v>
      </c>
      <c r="C1959" s="4" t="str">
        <f>HYPERLINK("http://www.uniprot.org/uniprot/M5W3Y4","M5W3Y4")</f>
        <v>M5W3Y4</v>
      </c>
      <c r="D1959" s="2" t="s">
        <v>1894</v>
      </c>
      <c r="E1959" s="3">
        <v>2.2299999999999999E-15</v>
      </c>
      <c r="F1959" s="2">
        <v>188</v>
      </c>
      <c r="G1959" s="2">
        <v>100</v>
      </c>
      <c r="H1959" s="2">
        <v>75</v>
      </c>
      <c r="I1959" s="2">
        <v>170</v>
      </c>
      <c r="J1959" s="2">
        <v>394</v>
      </c>
      <c r="K1959" s="2">
        <v>1</v>
      </c>
      <c r="L1959" s="2">
        <v>75</v>
      </c>
    </row>
    <row r="1960" spans="1:12" x14ac:dyDescent="0.25">
      <c r="A1960" s="4" t="str">
        <f>HYPERLINK("http://www.rosaceae.org/Prunus/Prunus_persica/p.persica_gdr_reftransV1_0007128","p.persica_gdr_reftransV1_0007128")</f>
        <v>p.persica_gdr_reftransV1_0007128</v>
      </c>
      <c r="B1960" s="2">
        <v>438</v>
      </c>
      <c r="C1960" s="4" t="str">
        <f>HYPERLINK("http://www.uniprot.org/uniprot/M5WZC5","M5WZC5")</f>
        <v>M5WZC5</v>
      </c>
      <c r="D1960" s="2" t="s">
        <v>1895</v>
      </c>
      <c r="E1960" s="3">
        <v>1.2E-64</v>
      </c>
      <c r="F1960" s="2">
        <v>568</v>
      </c>
      <c r="G1960" s="2">
        <v>100</v>
      </c>
      <c r="H1960" s="2">
        <v>107</v>
      </c>
      <c r="I1960" s="2">
        <v>2</v>
      </c>
      <c r="J1960" s="2">
        <v>322</v>
      </c>
      <c r="K1960" s="2">
        <v>264</v>
      </c>
      <c r="L1960" s="2">
        <v>370</v>
      </c>
    </row>
    <row r="1961" spans="1:12" x14ac:dyDescent="0.25">
      <c r="A1961" s="4" t="str">
        <f>HYPERLINK("http://www.rosaceae.org/Prunus/Prunus_persica/p.persica_gdr_reftransV1_0007478","p.persica_gdr_reftransV1_0007478")</f>
        <v>p.persica_gdr_reftransV1_0007478</v>
      </c>
      <c r="B1961" s="2">
        <v>1706</v>
      </c>
      <c r="C1961" s="4" t="str">
        <f>HYPERLINK("http://www.uniprot.org/uniprot/M5X522","M5X522")</f>
        <v>M5X522</v>
      </c>
      <c r="D1961" s="2" t="s">
        <v>1896</v>
      </c>
      <c r="E1961" s="3">
        <v>1.0300000000000001E-172</v>
      </c>
      <c r="F1961" s="2">
        <v>1300</v>
      </c>
      <c r="G1961" s="2">
        <v>96</v>
      </c>
      <c r="H1961" s="2">
        <v>349</v>
      </c>
      <c r="I1961" s="2">
        <v>183</v>
      </c>
      <c r="J1961" s="2">
        <v>1229</v>
      </c>
      <c r="K1961" s="2">
        <v>1</v>
      </c>
      <c r="L1961" s="2">
        <v>336</v>
      </c>
    </row>
    <row r="1962" spans="1:12" x14ac:dyDescent="0.25">
      <c r="A1962" s="4" t="str">
        <f>HYPERLINK("http://www.rosaceae.org/Prunus/Prunus_persica/p.persica_gdr_reftransV1_0008878","p.persica_gdr_reftransV1_0008878")</f>
        <v>p.persica_gdr_reftransV1_0008878</v>
      </c>
      <c r="B1962" s="2">
        <v>2922</v>
      </c>
      <c r="C1962" s="4" t="str">
        <f>HYPERLINK("http://www.uniprot.org/uniprot/M5XAY4","M5XAY4")</f>
        <v>M5XAY4</v>
      </c>
      <c r="D1962" s="2" t="s">
        <v>1897</v>
      </c>
      <c r="E1962" s="3">
        <v>0</v>
      </c>
      <c r="F1962" s="2">
        <v>3396</v>
      </c>
      <c r="G1962" s="2">
        <v>100</v>
      </c>
      <c r="H1962" s="2">
        <v>703</v>
      </c>
      <c r="I1962" s="2">
        <v>351</v>
      </c>
      <c r="J1962" s="2">
        <v>2459</v>
      </c>
      <c r="K1962" s="2">
        <v>15</v>
      </c>
      <c r="L1962" s="2">
        <v>717</v>
      </c>
    </row>
    <row r="1963" spans="1:12" x14ac:dyDescent="0.25">
      <c r="A1963" s="4" t="str">
        <f>HYPERLINK("http://www.rosaceae.org/Prunus/Prunus_persica/p.persica_gdr_reftransV1_0009228","p.persica_gdr_reftransV1_0009228")</f>
        <v>p.persica_gdr_reftransV1_0009228</v>
      </c>
      <c r="B1963" s="2">
        <v>1161</v>
      </c>
      <c r="C1963" s="4" t="str">
        <f>HYPERLINK("http://www.uniprot.org/uniprot/M5X016","M5X016")</f>
        <v>M5X016</v>
      </c>
      <c r="D1963" s="2" t="s">
        <v>1898</v>
      </c>
      <c r="E1963" s="3">
        <v>5.82E-144</v>
      </c>
      <c r="F1963" s="2">
        <v>1096</v>
      </c>
      <c r="G1963" s="2">
        <v>100</v>
      </c>
      <c r="H1963" s="2">
        <v>220</v>
      </c>
      <c r="I1963" s="2">
        <v>353</v>
      </c>
      <c r="J1963" s="2">
        <v>1012</v>
      </c>
      <c r="K1963" s="2">
        <v>175</v>
      </c>
      <c r="L1963" s="2">
        <v>394</v>
      </c>
    </row>
    <row r="1964" spans="1:12" x14ac:dyDescent="0.25">
      <c r="A1964" s="4" t="str">
        <f>HYPERLINK("http://www.rosaceae.org/Prunus/Prunus_persica/p.persica_gdr_reftransV1_0010978","p.persica_gdr_reftransV1_0010978")</f>
        <v>p.persica_gdr_reftransV1_0010978</v>
      </c>
      <c r="B1964" s="2">
        <v>1025</v>
      </c>
      <c r="C1964" s="4" t="str">
        <f>HYPERLINK("http://www.uniprot.org/uniprot/A4UR73","A4UR73")</f>
        <v>A4UR73</v>
      </c>
      <c r="D1964" s="2" t="s">
        <v>1899</v>
      </c>
      <c r="E1964" s="3">
        <v>6.3600000000000003E-142</v>
      </c>
      <c r="F1964" s="2">
        <v>1066</v>
      </c>
      <c r="G1964" s="2">
        <v>100</v>
      </c>
      <c r="H1964" s="2">
        <v>208</v>
      </c>
      <c r="I1964" s="2">
        <v>1</v>
      </c>
      <c r="J1964" s="2">
        <v>624</v>
      </c>
      <c r="K1964" s="2">
        <v>74</v>
      </c>
      <c r="L1964" s="2">
        <v>281</v>
      </c>
    </row>
    <row r="1965" spans="1:12" x14ac:dyDescent="0.25">
      <c r="A1965" s="4" t="str">
        <f>HYPERLINK("http://www.rosaceae.org/Prunus/Prunus_persica/p.persica_gdr_reftransV1_0012378","p.persica_gdr_reftransV1_0012378")</f>
        <v>p.persica_gdr_reftransV1_0012378</v>
      </c>
      <c r="B1965" s="2">
        <v>1135</v>
      </c>
      <c r="C1965" s="4" t="str">
        <f>HYPERLINK("http://www.uniprot.org/uniprot/M5VRI6","M5VRI6")</f>
        <v>M5VRI6</v>
      </c>
      <c r="D1965" s="2" t="s">
        <v>1900</v>
      </c>
      <c r="E1965" s="3">
        <v>2.09E-66</v>
      </c>
      <c r="F1965" s="2">
        <v>556</v>
      </c>
      <c r="G1965" s="2">
        <v>74</v>
      </c>
      <c r="H1965" s="2">
        <v>204</v>
      </c>
      <c r="I1965" s="2">
        <v>282</v>
      </c>
      <c r="J1965" s="2">
        <v>893</v>
      </c>
      <c r="K1965" s="2">
        <v>1</v>
      </c>
      <c r="L1965" s="2">
        <v>152</v>
      </c>
    </row>
    <row r="1966" spans="1:12" x14ac:dyDescent="0.25">
      <c r="A1966" s="4" t="str">
        <f>HYPERLINK("http://www.rosaceae.org/Prunus/Prunus_persica/p.persica_gdr_reftransV1_0013078","p.persica_gdr_reftransV1_0013078")</f>
        <v>p.persica_gdr_reftransV1_0013078</v>
      </c>
      <c r="B1966" s="2">
        <v>1926</v>
      </c>
      <c r="C1966" s="4" t="str">
        <f>HYPERLINK("http://www.uniprot.org/uniprot/M5WU36","M5WU36")</f>
        <v>M5WU36</v>
      </c>
      <c r="D1966" s="2" t="s">
        <v>1901</v>
      </c>
      <c r="E1966" s="3">
        <v>0</v>
      </c>
      <c r="F1966" s="2">
        <v>2764</v>
      </c>
      <c r="G1966" s="2">
        <v>100</v>
      </c>
      <c r="H1966" s="2">
        <v>515</v>
      </c>
      <c r="I1966" s="2">
        <v>299</v>
      </c>
      <c r="J1966" s="2">
        <v>1843</v>
      </c>
      <c r="K1966" s="2">
        <v>10</v>
      </c>
      <c r="L1966" s="2">
        <v>524</v>
      </c>
    </row>
    <row r="1967" spans="1:12" x14ac:dyDescent="0.25">
      <c r="A1967" s="4" t="str">
        <f>HYPERLINK("http://www.rosaceae.org/Prunus/Prunus_persica/p.persica_gdr_reftransV1_0014478","p.persica_gdr_reftransV1_0014478")</f>
        <v>p.persica_gdr_reftransV1_0014478</v>
      </c>
      <c r="B1967" s="2">
        <v>1819</v>
      </c>
      <c r="C1967" s="4" t="str">
        <f>HYPERLINK("http://www.uniprot.org/uniprot/M5XAW6","M5XAW6")</f>
        <v>M5XAW6</v>
      </c>
      <c r="D1967" s="2" t="s">
        <v>1902</v>
      </c>
      <c r="E1967" s="3">
        <v>0</v>
      </c>
      <c r="F1967" s="2">
        <v>2884</v>
      </c>
      <c r="G1967" s="2">
        <v>99</v>
      </c>
      <c r="H1967" s="2">
        <v>549</v>
      </c>
      <c r="I1967" s="2">
        <v>2</v>
      </c>
      <c r="J1967" s="2">
        <v>1648</v>
      </c>
      <c r="K1967" s="2">
        <v>134</v>
      </c>
      <c r="L1967" s="2">
        <v>678</v>
      </c>
    </row>
    <row r="1968" spans="1:12" x14ac:dyDescent="0.25">
      <c r="A1968" s="4" t="str">
        <f>HYPERLINK("http://www.rosaceae.org/Prunus/Prunus_persica/p.persica_gdr_reftransV1_0016928","p.persica_gdr_reftransV1_0016928")</f>
        <v>p.persica_gdr_reftransV1_0016928</v>
      </c>
      <c r="B1968" s="2">
        <v>1477</v>
      </c>
      <c r="C1968" s="4" t="str">
        <f>HYPERLINK("http://www.uniprot.org/uniprot/D7TFR6","D7TFR6")</f>
        <v>D7TFR6</v>
      </c>
      <c r="D1968" s="2" t="s">
        <v>1903</v>
      </c>
      <c r="E1968" s="3">
        <v>2.7400000000000002E-140</v>
      </c>
      <c r="F1968" s="2">
        <v>1069</v>
      </c>
      <c r="G1968" s="2">
        <v>89</v>
      </c>
      <c r="H1968" s="2">
        <v>256</v>
      </c>
      <c r="I1968" s="2">
        <v>319</v>
      </c>
      <c r="J1968" s="2">
        <v>1086</v>
      </c>
      <c r="K1968" s="2">
        <v>1</v>
      </c>
      <c r="L1968" s="2">
        <v>256</v>
      </c>
    </row>
    <row r="1969" spans="1:12" x14ac:dyDescent="0.25">
      <c r="A1969" s="4" t="str">
        <f>HYPERLINK("http://www.rosaceae.org/Prunus/Prunus_persica/p.persica_gdr_reftransV1_0018328","p.persica_gdr_reftransV1_0018328")</f>
        <v>p.persica_gdr_reftransV1_0018328</v>
      </c>
      <c r="B1969" s="2">
        <v>999</v>
      </c>
      <c r="C1969" s="4" t="str">
        <f>HYPERLINK("http://www.uniprot.org/uniprot/M5VRK6","M5VRK6")</f>
        <v>M5VRK6</v>
      </c>
      <c r="D1969" s="2" t="s">
        <v>1904</v>
      </c>
      <c r="E1969" s="3">
        <v>0</v>
      </c>
      <c r="F1969" s="2">
        <v>1369</v>
      </c>
      <c r="G1969" s="2">
        <v>99</v>
      </c>
      <c r="H1969" s="2">
        <v>271</v>
      </c>
      <c r="I1969" s="2">
        <v>20</v>
      </c>
      <c r="J1969" s="2">
        <v>832</v>
      </c>
      <c r="K1969" s="2">
        <v>1</v>
      </c>
      <c r="L1969" s="2">
        <v>271</v>
      </c>
    </row>
    <row r="1970" spans="1:12" x14ac:dyDescent="0.25">
      <c r="A1970" s="4" t="str">
        <f>HYPERLINK("http://www.rosaceae.org/Prunus/Prunus_persica/p.persica_gdr_reftransV1_0019028","p.persica_gdr_reftransV1_0019028")</f>
        <v>p.persica_gdr_reftransV1_0019028</v>
      </c>
      <c r="B1970" s="2">
        <v>1508</v>
      </c>
      <c r="C1970" s="4" t="str">
        <f>HYPERLINK("http://www.uniprot.org/uniprot/M5WU36","M5WU36")</f>
        <v>M5WU36</v>
      </c>
      <c r="D1970" s="2" t="s">
        <v>1901</v>
      </c>
      <c r="E1970" s="3">
        <v>0</v>
      </c>
      <c r="F1970" s="2">
        <v>1790</v>
      </c>
      <c r="G1970" s="2">
        <v>94</v>
      </c>
      <c r="H1970" s="2">
        <v>360</v>
      </c>
      <c r="I1970" s="2">
        <v>337</v>
      </c>
      <c r="J1970" s="2">
        <v>1392</v>
      </c>
      <c r="K1970" s="2">
        <v>10</v>
      </c>
      <c r="L1970" s="2">
        <v>369</v>
      </c>
    </row>
    <row r="1971" spans="1:12" x14ac:dyDescent="0.25">
      <c r="A1971" s="4" t="str">
        <f>HYPERLINK("http://www.rosaceae.org/Prunus/Prunus_persica/p.persica_gdr_reftransV1_0019378","p.persica_gdr_reftransV1_0019378")</f>
        <v>p.persica_gdr_reftransV1_0019378</v>
      </c>
      <c r="B1971" s="2">
        <v>2881</v>
      </c>
      <c r="C1971" s="4" t="str">
        <f>HYPERLINK("http://www.uniprot.org/uniprot/M5WZJ9","M5WZJ9")</f>
        <v>M5WZJ9</v>
      </c>
      <c r="D1971" s="2" t="s">
        <v>1905</v>
      </c>
      <c r="E1971" s="3">
        <v>0</v>
      </c>
      <c r="F1971" s="2">
        <v>1659</v>
      </c>
      <c r="G1971" s="2">
        <v>100</v>
      </c>
      <c r="H1971" s="2">
        <v>329</v>
      </c>
      <c r="I1971" s="2">
        <v>1824</v>
      </c>
      <c r="J1971" s="2">
        <v>2810</v>
      </c>
      <c r="K1971" s="2">
        <v>1</v>
      </c>
      <c r="L1971" s="2">
        <v>329</v>
      </c>
    </row>
    <row r="1972" spans="1:12" x14ac:dyDescent="0.25">
      <c r="A1972" s="4" t="str">
        <f>HYPERLINK("http://www.rosaceae.org/Prunus/Prunus_persica/p.persica_gdr_reftransV1_0019728","p.persica_gdr_reftransV1_0019728")</f>
        <v>p.persica_gdr_reftransV1_0019728</v>
      </c>
      <c r="B1972" s="2">
        <v>1648</v>
      </c>
      <c r="C1972" s="4" t="str">
        <f>HYPERLINK("http://www.uniprot.org/uniprot/M5WTG2","M5WTG2")</f>
        <v>M5WTG2</v>
      </c>
      <c r="D1972" s="2" t="s">
        <v>1906</v>
      </c>
      <c r="E1972" s="3">
        <v>0</v>
      </c>
      <c r="F1972" s="2">
        <v>2072</v>
      </c>
      <c r="G1972" s="2">
        <v>100</v>
      </c>
      <c r="H1972" s="2">
        <v>389</v>
      </c>
      <c r="I1972" s="2">
        <v>301</v>
      </c>
      <c r="J1972" s="2">
        <v>1467</v>
      </c>
      <c r="K1972" s="2">
        <v>1</v>
      </c>
      <c r="L1972" s="2">
        <v>389</v>
      </c>
    </row>
    <row r="1973" spans="1:12" x14ac:dyDescent="0.25">
      <c r="A1973" s="4" t="str">
        <f>HYPERLINK("http://www.rosaceae.org/Prunus/Prunus_persica/p.persica_gdr_reftransV1_0020428","p.persica_gdr_reftransV1_0020428")</f>
        <v>p.persica_gdr_reftransV1_0020428</v>
      </c>
      <c r="B1973" s="2">
        <v>2585</v>
      </c>
      <c r="C1973" s="4" t="str">
        <f>HYPERLINK("http://www.uniprot.org/uniprot/M5W4H5","M5W4H5")</f>
        <v>M5W4H5</v>
      </c>
      <c r="D1973" s="2" t="s">
        <v>1907</v>
      </c>
      <c r="E1973" s="3">
        <v>0</v>
      </c>
      <c r="F1973" s="2">
        <v>2100</v>
      </c>
      <c r="G1973" s="2">
        <v>100</v>
      </c>
      <c r="H1973" s="2">
        <v>456</v>
      </c>
      <c r="I1973" s="2">
        <v>455</v>
      </c>
      <c r="J1973" s="2">
        <v>1822</v>
      </c>
      <c r="K1973" s="2">
        <v>1</v>
      </c>
      <c r="L1973" s="2">
        <v>456</v>
      </c>
    </row>
    <row r="1974" spans="1:12" x14ac:dyDescent="0.25">
      <c r="A1974" s="4" t="str">
        <f>HYPERLINK("http://www.rosaceae.org/Prunus/Prunus_persica/p.persica_gdr_reftransV1_0020778","p.persica_gdr_reftransV1_0020778")</f>
        <v>p.persica_gdr_reftransV1_0020778</v>
      </c>
      <c r="B1974" s="2">
        <v>1843</v>
      </c>
      <c r="C1974" s="4" t="str">
        <f>HYPERLINK("http://www.uniprot.org/uniprot/M5WTM2","M5WTM2")</f>
        <v>M5WTM2</v>
      </c>
      <c r="D1974" s="2" t="s">
        <v>1908</v>
      </c>
      <c r="E1974" s="3">
        <v>0</v>
      </c>
      <c r="F1974" s="2">
        <v>2337</v>
      </c>
      <c r="G1974" s="2">
        <v>100</v>
      </c>
      <c r="H1974" s="2">
        <v>450</v>
      </c>
      <c r="I1974" s="2">
        <v>315</v>
      </c>
      <c r="J1974" s="2">
        <v>1664</v>
      </c>
      <c r="K1974" s="2">
        <v>1</v>
      </c>
      <c r="L1974" s="2">
        <v>450</v>
      </c>
    </row>
    <row r="1975" spans="1:12" x14ac:dyDescent="0.25">
      <c r="A1975" s="4" t="str">
        <f>HYPERLINK("http://www.rosaceae.org/Prunus/Prunus_persica/p.persica_gdr_reftransV1_0021478","p.persica_gdr_reftransV1_0021478")</f>
        <v>p.persica_gdr_reftransV1_0021478</v>
      </c>
      <c r="B1975" s="2">
        <v>3093</v>
      </c>
      <c r="C1975" s="4" t="str">
        <f>HYPERLINK("http://www.uniprot.org/uniprot/I1W1T9","I1W1T9")</f>
        <v>I1W1T9</v>
      </c>
      <c r="D1975" s="2" t="s">
        <v>1909</v>
      </c>
      <c r="E1975" s="3">
        <v>0</v>
      </c>
      <c r="F1975" s="2">
        <v>2539</v>
      </c>
      <c r="G1975" s="2">
        <v>91</v>
      </c>
      <c r="H1975" s="2">
        <v>556</v>
      </c>
      <c r="I1975" s="2">
        <v>325</v>
      </c>
      <c r="J1975" s="2">
        <v>1992</v>
      </c>
      <c r="K1975" s="2">
        <v>1</v>
      </c>
      <c r="L1975" s="2">
        <v>504</v>
      </c>
    </row>
    <row r="1976" spans="1:12" x14ac:dyDescent="0.25">
      <c r="A1976" s="4" t="str">
        <f>HYPERLINK("http://www.rosaceae.org/Prunus/Prunus_persica/p.persica_gdr_reftransV1_0023228","p.persica_gdr_reftransV1_0023228")</f>
        <v>p.persica_gdr_reftransV1_0023228</v>
      </c>
      <c r="B1976" s="2">
        <v>3895</v>
      </c>
      <c r="C1976" s="4" t="str">
        <f>HYPERLINK("http://www.uniprot.org/uniprot/M5VVQ6","M5VVQ6")</f>
        <v>M5VVQ6</v>
      </c>
      <c r="D1976" s="2" t="s">
        <v>1910</v>
      </c>
      <c r="E1976" s="3">
        <v>0</v>
      </c>
      <c r="F1976" s="2">
        <v>2871</v>
      </c>
      <c r="G1976" s="2">
        <v>100</v>
      </c>
      <c r="H1976" s="2">
        <v>540</v>
      </c>
      <c r="I1976" s="2">
        <v>343</v>
      </c>
      <c r="J1976" s="2">
        <v>1962</v>
      </c>
      <c r="K1976" s="2">
        <v>316</v>
      </c>
      <c r="L1976" s="2">
        <v>855</v>
      </c>
    </row>
    <row r="1977" spans="1:12" x14ac:dyDescent="0.25">
      <c r="A1977" s="4" t="str">
        <f>HYPERLINK("http://www.rosaceae.org/Prunus/Prunus_persica/p.persica_gdr_reftransV1_0024628","p.persica_gdr_reftransV1_0024628")</f>
        <v>p.persica_gdr_reftransV1_0024628</v>
      </c>
      <c r="B1977" s="2">
        <v>2429</v>
      </c>
      <c r="C1977" s="4" t="str">
        <f>HYPERLINK("http://www.uniprot.org/uniprot/M5XLS5","M5XLS5")</f>
        <v>M5XLS5</v>
      </c>
      <c r="D1977" s="2" t="s">
        <v>1911</v>
      </c>
      <c r="E1977" s="3">
        <v>5.5299999999999998E-149</v>
      </c>
      <c r="F1977" s="2">
        <v>1171</v>
      </c>
      <c r="G1977" s="2">
        <v>100</v>
      </c>
      <c r="H1977" s="2">
        <v>216</v>
      </c>
      <c r="I1977" s="2">
        <v>1181</v>
      </c>
      <c r="J1977" s="2">
        <v>1828</v>
      </c>
      <c r="K1977" s="2">
        <v>198</v>
      </c>
      <c r="L1977" s="2">
        <v>413</v>
      </c>
    </row>
    <row r="1978" spans="1:12" x14ac:dyDescent="0.25">
      <c r="A1978" s="4" t="str">
        <f>HYPERLINK("http://www.rosaceae.org/Prunus/Prunus_persica/p.persica_gdr_reftransV1_0024978","p.persica_gdr_reftransV1_0024978")</f>
        <v>p.persica_gdr_reftransV1_0024978</v>
      </c>
      <c r="B1978" s="2">
        <v>1864</v>
      </c>
      <c r="C1978" s="4" t="str">
        <f>HYPERLINK("http://www.uniprot.org/uniprot/M5VXT4","M5VXT4")</f>
        <v>M5VXT4</v>
      </c>
      <c r="D1978" s="2" t="s">
        <v>1912</v>
      </c>
      <c r="E1978" s="3">
        <v>2.7900000000000001E-71</v>
      </c>
      <c r="F1978" s="2">
        <v>611</v>
      </c>
      <c r="G1978" s="2">
        <v>93</v>
      </c>
      <c r="H1978" s="2">
        <v>193</v>
      </c>
      <c r="I1978" s="2">
        <v>165</v>
      </c>
      <c r="J1978" s="2">
        <v>740</v>
      </c>
      <c r="K1978" s="2">
        <v>1</v>
      </c>
      <c r="L1978" s="2">
        <v>193</v>
      </c>
    </row>
    <row r="1979" spans="1:12" x14ac:dyDescent="0.25">
      <c r="A1979" s="4" t="str">
        <f>HYPERLINK("http://www.rosaceae.org/Prunus/Prunus_persica/p.persica_gdr_reftransV1_0025328","p.persica_gdr_reftransV1_0025328")</f>
        <v>p.persica_gdr_reftransV1_0025328</v>
      </c>
      <c r="B1979" s="2">
        <v>2778</v>
      </c>
      <c r="C1979" s="4" t="str">
        <f>HYPERLINK("http://www.uniprot.org/uniprot/M5X725","M5X725")</f>
        <v>M5X725</v>
      </c>
      <c r="D1979" s="2" t="s">
        <v>1913</v>
      </c>
      <c r="E1979" s="3">
        <v>0</v>
      </c>
      <c r="F1979" s="2">
        <v>2298</v>
      </c>
      <c r="G1979" s="2">
        <v>95</v>
      </c>
      <c r="H1979" s="2">
        <v>470</v>
      </c>
      <c r="I1979" s="2">
        <v>1213</v>
      </c>
      <c r="J1979" s="2">
        <v>2619</v>
      </c>
      <c r="K1979" s="2">
        <v>1</v>
      </c>
      <c r="L1979" s="2">
        <v>460</v>
      </c>
    </row>
    <row r="1980" spans="1:12" x14ac:dyDescent="0.25">
      <c r="A1980" s="4" t="str">
        <f>HYPERLINK("http://www.rosaceae.org/Prunus/Prunus_persica/p.persica_gdr_reftransV1_0029878","p.persica_gdr_reftransV1_0029878")</f>
        <v>p.persica_gdr_reftransV1_0029878</v>
      </c>
      <c r="B1980" s="2">
        <v>1628</v>
      </c>
      <c r="C1980" s="4" t="str">
        <f>HYPERLINK("http://www.uniprot.org/uniprot/M5VR52","M5VR52")</f>
        <v>M5VR52</v>
      </c>
      <c r="D1980" s="2" t="s">
        <v>1914</v>
      </c>
      <c r="E1980" s="3">
        <v>2.7299999999999999E-178</v>
      </c>
      <c r="F1980" s="2">
        <v>1335</v>
      </c>
      <c r="G1980" s="2">
        <v>89</v>
      </c>
      <c r="H1980" s="2">
        <v>289</v>
      </c>
      <c r="I1980" s="2">
        <v>611</v>
      </c>
      <c r="J1980" s="2">
        <v>1477</v>
      </c>
      <c r="K1980" s="2">
        <v>97</v>
      </c>
      <c r="L1980" s="2">
        <v>356</v>
      </c>
    </row>
    <row r="1981" spans="1:12" x14ac:dyDescent="0.25">
      <c r="A1981" s="4" t="str">
        <f>HYPERLINK("http://www.rosaceae.org/Prunus/Prunus_persica/p.persica_gdr_reftransV1_0032678","p.persica_gdr_reftransV1_0032678")</f>
        <v>p.persica_gdr_reftransV1_0032678</v>
      </c>
      <c r="B1981" s="2">
        <v>2376</v>
      </c>
      <c r="C1981" s="4" t="str">
        <f>HYPERLINK("http://www.uniprot.org/uniprot/M5VZG1","M5VZG1")</f>
        <v>M5VZG1</v>
      </c>
      <c r="D1981" s="2" t="s">
        <v>1915</v>
      </c>
      <c r="E1981" s="3">
        <v>3.1200000000000001E-74</v>
      </c>
      <c r="F1981" s="2">
        <v>650</v>
      </c>
      <c r="G1981" s="2">
        <v>100</v>
      </c>
      <c r="H1981" s="2">
        <v>130</v>
      </c>
      <c r="I1981" s="2">
        <v>364</v>
      </c>
      <c r="J1981" s="2">
        <v>753</v>
      </c>
      <c r="K1981" s="2">
        <v>1</v>
      </c>
      <c r="L1981" s="2">
        <v>130</v>
      </c>
    </row>
    <row r="1982" spans="1:12" x14ac:dyDescent="0.25">
      <c r="A1982" s="4" t="str">
        <f>HYPERLINK("http://www.rosaceae.org/Prunus/Prunus_persica/p.persica_gdr_reftransV1_0035128","p.persica_gdr_reftransV1_0035128")</f>
        <v>p.persica_gdr_reftransV1_0035128</v>
      </c>
      <c r="B1982" s="2">
        <v>859</v>
      </c>
      <c r="C1982" s="4" t="str">
        <f>HYPERLINK("http://www.uniprot.org/uniprot/A0A067JQJ3","A0A067JQJ3")</f>
        <v>A0A067JQJ3</v>
      </c>
      <c r="D1982" s="2" t="s">
        <v>1916</v>
      </c>
      <c r="E1982" s="3">
        <v>6.5199999999999997E-73</v>
      </c>
      <c r="F1982" s="2">
        <v>649</v>
      </c>
      <c r="G1982" s="2">
        <v>68</v>
      </c>
      <c r="H1982" s="2">
        <v>196</v>
      </c>
      <c r="I1982" s="2">
        <v>279</v>
      </c>
      <c r="J1982" s="2">
        <v>857</v>
      </c>
      <c r="K1982" s="2">
        <v>48</v>
      </c>
      <c r="L1982" s="2">
        <v>236</v>
      </c>
    </row>
    <row r="1983" spans="1:12" x14ac:dyDescent="0.25">
      <c r="A1983" s="4" t="str">
        <f>HYPERLINK("http://www.rosaceae.org/Prunus/Prunus_persica/p.persica_gdr_reftransV1_0035828","p.persica_gdr_reftransV1_0035828")</f>
        <v>p.persica_gdr_reftransV1_0035828</v>
      </c>
      <c r="B1983" s="2">
        <v>2429</v>
      </c>
      <c r="C1983" s="4" t="str">
        <f>HYPERLINK("http://www.uniprot.org/uniprot/M5WQW1","M5WQW1")</f>
        <v>M5WQW1</v>
      </c>
      <c r="D1983" s="2" t="s">
        <v>1917</v>
      </c>
      <c r="E1983" s="3">
        <v>0</v>
      </c>
      <c r="F1983" s="2">
        <v>3083</v>
      </c>
      <c r="G1983" s="2">
        <v>96</v>
      </c>
      <c r="H1983" s="2">
        <v>630</v>
      </c>
      <c r="I1983" s="2">
        <v>193</v>
      </c>
      <c r="J1983" s="2">
        <v>2082</v>
      </c>
      <c r="K1983" s="2">
        <v>1</v>
      </c>
      <c r="L1983" s="2">
        <v>605</v>
      </c>
    </row>
    <row r="1984" spans="1:12" x14ac:dyDescent="0.25">
      <c r="A1984" s="4" t="str">
        <f>HYPERLINK("http://www.rosaceae.org/Prunus/Prunus_persica/p.persica_gdr_reftransV1_0036178","p.persica_gdr_reftransV1_0036178")</f>
        <v>p.persica_gdr_reftransV1_0036178</v>
      </c>
      <c r="B1984" s="2">
        <v>4122</v>
      </c>
      <c r="C1984" s="4" t="str">
        <f>HYPERLINK("http://www.uniprot.org/uniprot/M5VWM6","M5VWM6")</f>
        <v>M5VWM6</v>
      </c>
      <c r="D1984" s="2" t="s">
        <v>1918</v>
      </c>
      <c r="E1984" s="3">
        <v>0</v>
      </c>
      <c r="F1984" s="2">
        <v>2600</v>
      </c>
      <c r="G1984" s="2">
        <v>100</v>
      </c>
      <c r="H1984" s="2">
        <v>481</v>
      </c>
      <c r="I1984" s="2">
        <v>1643</v>
      </c>
      <c r="J1984" s="2">
        <v>3085</v>
      </c>
      <c r="K1984" s="2">
        <v>148</v>
      </c>
      <c r="L1984" s="2">
        <v>628</v>
      </c>
    </row>
    <row r="1985" spans="1:12" x14ac:dyDescent="0.25">
      <c r="A1985" s="4" t="str">
        <f>HYPERLINK("http://www.rosaceae.org/Prunus/Prunus_persica/p.persica_gdr_reftransV1_0036528","p.persica_gdr_reftransV1_0036528")</f>
        <v>p.persica_gdr_reftransV1_0036528</v>
      </c>
      <c r="B1985" s="2">
        <v>584</v>
      </c>
      <c r="C1985" s="4" t="str">
        <f>HYPERLINK("http://www.uniprot.org/uniprot/M5VSG6","M5VSG6")</f>
        <v>M5VSG6</v>
      </c>
      <c r="D1985" s="2" t="s">
        <v>1919</v>
      </c>
      <c r="E1985" s="3">
        <v>1.28E-68</v>
      </c>
      <c r="F1985" s="2">
        <v>588</v>
      </c>
      <c r="G1985" s="2">
        <v>100</v>
      </c>
      <c r="H1985" s="2">
        <v>113</v>
      </c>
      <c r="I1985" s="2">
        <v>244</v>
      </c>
      <c r="J1985" s="2">
        <v>582</v>
      </c>
      <c r="K1985" s="2">
        <v>1</v>
      </c>
      <c r="L1985" s="2">
        <v>113</v>
      </c>
    </row>
    <row r="1986" spans="1:12" x14ac:dyDescent="0.25">
      <c r="A1986" s="4" t="str">
        <f>HYPERLINK("http://www.rosaceae.org/Prunus/Prunus_persica/p.persica_gdr_reftransV1_0037228","p.persica_gdr_reftransV1_0037228")</f>
        <v>p.persica_gdr_reftransV1_0037228</v>
      </c>
      <c r="B1986" s="2">
        <v>3393</v>
      </c>
      <c r="C1986" s="4" t="str">
        <f>HYPERLINK("http://www.uniprot.org/uniprot/M5WTW5","M5WTW5")</f>
        <v>M5WTW5</v>
      </c>
      <c r="D1986" s="2" t="s">
        <v>1920</v>
      </c>
      <c r="E1986" s="3">
        <v>0</v>
      </c>
      <c r="F1986" s="2">
        <v>2196</v>
      </c>
      <c r="G1986" s="2">
        <v>100</v>
      </c>
      <c r="H1986" s="2">
        <v>406</v>
      </c>
      <c r="I1986" s="2">
        <v>135</v>
      </c>
      <c r="J1986" s="2">
        <v>1352</v>
      </c>
      <c r="K1986" s="2">
        <v>1</v>
      </c>
      <c r="L1986" s="2">
        <v>406</v>
      </c>
    </row>
    <row r="1987" spans="1:12" x14ac:dyDescent="0.25">
      <c r="A1987" s="4" t="str">
        <f>HYPERLINK("http://www.rosaceae.org/Prunus/Prunus_persica/p.persica_gdr_reftransV1_0037578","p.persica_gdr_reftransV1_0037578")</f>
        <v>p.persica_gdr_reftransV1_0037578</v>
      </c>
      <c r="B1987" s="2">
        <v>2105</v>
      </c>
      <c r="C1987" s="4" t="str">
        <f>HYPERLINK("http://www.uniprot.org/uniprot/B9RUC6","B9RUC6")</f>
        <v>B9RUC6</v>
      </c>
      <c r="D1987" s="2" t="s">
        <v>1921</v>
      </c>
      <c r="E1987" s="3">
        <v>4.9599999999999998E-99</v>
      </c>
      <c r="F1987" s="2">
        <v>758</v>
      </c>
      <c r="G1987" s="2">
        <v>63</v>
      </c>
      <c r="H1987" s="2">
        <v>262</v>
      </c>
      <c r="I1987" s="2">
        <v>1040</v>
      </c>
      <c r="J1987" s="2">
        <v>1825</v>
      </c>
      <c r="K1987" s="2">
        <v>85</v>
      </c>
      <c r="L1987" s="2">
        <v>337</v>
      </c>
    </row>
    <row r="1988" spans="1:12" x14ac:dyDescent="0.25">
      <c r="A1988" s="4" t="str">
        <f>HYPERLINK("http://www.rosaceae.org/Prunus/Prunus_persica/p.persica_gdr_reftransV1_0037928","p.persica_gdr_reftransV1_0037928")</f>
        <v>p.persica_gdr_reftransV1_0037928</v>
      </c>
      <c r="B1988" s="2">
        <v>1781</v>
      </c>
      <c r="C1988" s="4" t="str">
        <f>HYPERLINK("http://www.uniprot.org/uniprot/M5W0B7","M5W0B7")</f>
        <v>M5W0B7</v>
      </c>
      <c r="D1988" s="2" t="s">
        <v>1922</v>
      </c>
      <c r="E1988" s="3">
        <v>1.5599999999999999E-97</v>
      </c>
      <c r="F1988" s="2">
        <v>786</v>
      </c>
      <c r="G1988" s="2">
        <v>100</v>
      </c>
      <c r="H1988" s="2">
        <v>178</v>
      </c>
      <c r="I1988" s="2">
        <v>929</v>
      </c>
      <c r="J1988" s="2">
        <v>1462</v>
      </c>
      <c r="K1988" s="2">
        <v>6</v>
      </c>
      <c r="L1988" s="2">
        <v>183</v>
      </c>
    </row>
    <row r="1989" spans="1:12" x14ac:dyDescent="0.25">
      <c r="A1989" s="4" t="str">
        <f>HYPERLINK("http://www.rosaceae.org/Prunus/Prunus_persica/p.persica_gdr_reftransV1_0038628","p.persica_gdr_reftransV1_0038628")</f>
        <v>p.persica_gdr_reftransV1_0038628</v>
      </c>
      <c r="B1989" s="2">
        <v>2666</v>
      </c>
      <c r="C1989" s="4" t="str">
        <f>HYPERLINK("http://www.uniprot.org/uniprot/M5WDZ1","M5WDZ1")</f>
        <v>M5WDZ1</v>
      </c>
      <c r="D1989" s="2" t="s">
        <v>1923</v>
      </c>
      <c r="E1989" s="3">
        <v>0</v>
      </c>
      <c r="F1989" s="2">
        <v>3533</v>
      </c>
      <c r="G1989" s="2">
        <v>100</v>
      </c>
      <c r="H1989" s="2">
        <v>681</v>
      </c>
      <c r="I1989" s="2">
        <v>188</v>
      </c>
      <c r="J1989" s="2">
        <v>2230</v>
      </c>
      <c r="K1989" s="2">
        <v>18</v>
      </c>
      <c r="L1989" s="2">
        <v>698</v>
      </c>
    </row>
    <row r="1990" spans="1:12" x14ac:dyDescent="0.25">
      <c r="A1990" s="4" t="str">
        <f>HYPERLINK("http://www.rosaceae.org/Prunus/Prunus_persica/p.persica_gdr_reftransV1_0039678","p.persica_gdr_reftransV1_0039678")</f>
        <v>p.persica_gdr_reftransV1_0039678</v>
      </c>
      <c r="B1990" s="2">
        <v>767</v>
      </c>
      <c r="C1990" s="4" t="str">
        <f>HYPERLINK("http://www.uniprot.org/uniprot/M5XM13","M5XM13")</f>
        <v>M5XM13</v>
      </c>
      <c r="D1990" s="2" t="s">
        <v>1924</v>
      </c>
      <c r="E1990" s="3">
        <v>1.89E-177</v>
      </c>
      <c r="F1990" s="2">
        <v>1371</v>
      </c>
      <c r="G1990" s="2">
        <v>100</v>
      </c>
      <c r="H1990" s="2">
        <v>255</v>
      </c>
      <c r="I1990" s="2">
        <v>3</v>
      </c>
      <c r="J1990" s="2">
        <v>767</v>
      </c>
      <c r="K1990" s="2">
        <v>423</v>
      </c>
      <c r="L1990" s="2">
        <v>677</v>
      </c>
    </row>
    <row r="1991" spans="1:12" x14ac:dyDescent="0.25">
      <c r="A1991" s="4" t="str">
        <f>HYPERLINK("http://www.rosaceae.org/Prunus/Prunus_persica/p.persica_gdr_reftransV1_0043178","p.persica_gdr_reftransV1_0043178")</f>
        <v>p.persica_gdr_reftransV1_0043178</v>
      </c>
      <c r="B1991" s="2">
        <v>3113</v>
      </c>
      <c r="C1991" s="4" t="str">
        <f>HYPERLINK("http://www.uniprot.org/uniprot/M5XKE8","M5XKE8")</f>
        <v>M5XKE8</v>
      </c>
      <c r="D1991" s="2" t="s">
        <v>1925</v>
      </c>
      <c r="E1991" s="3">
        <v>0</v>
      </c>
      <c r="F1991" s="2">
        <v>3817</v>
      </c>
      <c r="G1991" s="2">
        <v>100</v>
      </c>
      <c r="H1991" s="2">
        <v>732</v>
      </c>
      <c r="I1991" s="2">
        <v>633</v>
      </c>
      <c r="J1991" s="2">
        <v>2828</v>
      </c>
      <c r="K1991" s="2">
        <v>1</v>
      </c>
      <c r="L1991" s="2">
        <v>732</v>
      </c>
    </row>
    <row r="1992" spans="1:12" x14ac:dyDescent="0.25">
      <c r="A1992" s="4" t="str">
        <f>HYPERLINK("http://www.rosaceae.org/Prunus/Prunus_persica/p.persica_gdr_reftransV1_0043528","p.persica_gdr_reftransV1_0043528")</f>
        <v>p.persica_gdr_reftransV1_0043528</v>
      </c>
      <c r="B1992" s="2">
        <v>369</v>
      </c>
      <c r="C1992" s="4" t="str">
        <f>HYPERLINK("http://www.uniprot.org/uniprot/M5XNQ0","M5XNQ0")</f>
        <v>M5XNQ0</v>
      </c>
      <c r="D1992" s="2" t="s">
        <v>1926</v>
      </c>
      <c r="E1992" s="3">
        <v>3.8200000000000003E-77</v>
      </c>
      <c r="F1992" s="2">
        <v>642</v>
      </c>
      <c r="G1992" s="2">
        <v>100</v>
      </c>
      <c r="H1992" s="2">
        <v>122</v>
      </c>
      <c r="I1992" s="2">
        <v>2</v>
      </c>
      <c r="J1992" s="2">
        <v>367</v>
      </c>
      <c r="K1992" s="2">
        <v>311</v>
      </c>
      <c r="L1992" s="2">
        <v>432</v>
      </c>
    </row>
    <row r="1993" spans="1:12" x14ac:dyDescent="0.25">
      <c r="A1993" s="4" t="str">
        <f>HYPERLINK("http://www.rosaceae.org/Prunus/Prunus_persica/p.persica_gdr_reftransV1_0043878","p.persica_gdr_reftransV1_0043878")</f>
        <v>p.persica_gdr_reftransV1_0043878</v>
      </c>
      <c r="B1993" s="2">
        <v>2007</v>
      </c>
      <c r="C1993" s="4" t="str">
        <f>HYPERLINK("http://www.uniprot.org/uniprot/M5WTE2","M5WTE2")</f>
        <v>M5WTE2</v>
      </c>
      <c r="D1993" s="2" t="s">
        <v>1927</v>
      </c>
      <c r="E1993" s="3">
        <v>0</v>
      </c>
      <c r="F1993" s="2">
        <v>2524</v>
      </c>
      <c r="G1993" s="2">
        <v>100</v>
      </c>
      <c r="H1993" s="2">
        <v>484</v>
      </c>
      <c r="I1993" s="2">
        <v>179</v>
      </c>
      <c r="J1993" s="2">
        <v>1630</v>
      </c>
      <c r="K1993" s="2">
        <v>1</v>
      </c>
      <c r="L1993" s="2">
        <v>484</v>
      </c>
    </row>
    <row r="1994" spans="1:12" x14ac:dyDescent="0.25">
      <c r="A1994" s="4" t="str">
        <f>HYPERLINK("http://www.rosaceae.org/Prunus/Prunus_persica/p.persica_gdr_reftransV1_0044228","p.persica_gdr_reftransV1_0044228")</f>
        <v>p.persica_gdr_reftransV1_0044228</v>
      </c>
      <c r="B1994" s="2">
        <v>3437</v>
      </c>
      <c r="C1994" s="4" t="str">
        <f>HYPERLINK("http://www.uniprot.org/uniprot/M5XAP1","M5XAP1")</f>
        <v>M5XAP1</v>
      </c>
      <c r="D1994" s="2" t="s">
        <v>1928</v>
      </c>
      <c r="E1994" s="3">
        <v>0</v>
      </c>
      <c r="F1994" s="2">
        <v>4861</v>
      </c>
      <c r="G1994" s="2">
        <v>100</v>
      </c>
      <c r="H1994" s="2">
        <v>951</v>
      </c>
      <c r="I1994" s="2">
        <v>131</v>
      </c>
      <c r="J1994" s="2">
        <v>2983</v>
      </c>
      <c r="K1994" s="2">
        <v>1</v>
      </c>
      <c r="L1994" s="2">
        <v>951</v>
      </c>
    </row>
    <row r="1995" spans="1:12" x14ac:dyDescent="0.25">
      <c r="A1995" s="4" t="str">
        <f>HYPERLINK("http://www.rosaceae.org/Prunus/Prunus_persica/p.persica_gdr_reftransV1_0044928","p.persica_gdr_reftransV1_0044928")</f>
        <v>p.persica_gdr_reftransV1_0044928</v>
      </c>
      <c r="B1995" s="2">
        <v>4251</v>
      </c>
      <c r="C1995" s="4" t="str">
        <f>HYPERLINK("http://www.uniprot.org/uniprot/M5WKS4","M5WKS4")</f>
        <v>M5WKS4</v>
      </c>
      <c r="D1995" s="2" t="s">
        <v>1929</v>
      </c>
      <c r="E1995" s="3">
        <v>0</v>
      </c>
      <c r="F1995" s="2">
        <v>4981</v>
      </c>
      <c r="G1995" s="2">
        <v>99</v>
      </c>
      <c r="H1995" s="2">
        <v>949</v>
      </c>
      <c r="I1995" s="2">
        <v>65</v>
      </c>
      <c r="J1995" s="2">
        <v>2911</v>
      </c>
      <c r="K1995" s="2">
        <v>1</v>
      </c>
      <c r="L1995" s="2">
        <v>940</v>
      </c>
    </row>
    <row r="1996" spans="1:12" x14ac:dyDescent="0.25">
      <c r="A1996" s="4" t="str">
        <f>HYPERLINK("http://www.rosaceae.org/Prunus/Prunus_persica/p.persica_gdr_reftransV1_0045628","p.persica_gdr_reftransV1_0045628")</f>
        <v>p.persica_gdr_reftransV1_0045628</v>
      </c>
      <c r="B1996" s="2">
        <v>1312</v>
      </c>
      <c r="C1996" s="4" t="str">
        <f>HYPERLINK("http://www.uniprot.org/uniprot/M5WCS6","M5WCS6")</f>
        <v>M5WCS6</v>
      </c>
      <c r="D1996" s="2" t="s">
        <v>1930</v>
      </c>
      <c r="E1996" s="3">
        <v>2.6999999999999997E-91</v>
      </c>
      <c r="F1996" s="2">
        <v>734</v>
      </c>
      <c r="G1996" s="2">
        <v>100</v>
      </c>
      <c r="H1996" s="2">
        <v>203</v>
      </c>
      <c r="I1996" s="2">
        <v>265</v>
      </c>
      <c r="J1996" s="2">
        <v>873</v>
      </c>
      <c r="K1996" s="2">
        <v>13</v>
      </c>
      <c r="L1996" s="2">
        <v>215</v>
      </c>
    </row>
    <row r="1997" spans="1:12" x14ac:dyDescent="0.25">
      <c r="A1997" s="4" t="str">
        <f>HYPERLINK("http://www.rosaceae.org/Prunus/Prunus_persica/p.persica_gdr_reftransV1_0045978","p.persica_gdr_reftransV1_0045978")</f>
        <v>p.persica_gdr_reftransV1_0045978</v>
      </c>
      <c r="B1997" s="2">
        <v>1275</v>
      </c>
      <c r="C1997" s="4" t="str">
        <f>HYPERLINK("http://www.uniprot.org/uniprot/M5XZC3","M5XZC3")</f>
        <v>M5XZC3</v>
      </c>
      <c r="D1997" s="2" t="s">
        <v>1931</v>
      </c>
      <c r="E1997" s="3">
        <v>1.16E-65</v>
      </c>
      <c r="F1997" s="2">
        <v>554</v>
      </c>
      <c r="G1997" s="2">
        <v>100</v>
      </c>
      <c r="H1997" s="2">
        <v>120</v>
      </c>
      <c r="I1997" s="2">
        <v>611</v>
      </c>
      <c r="J1997" s="2">
        <v>970</v>
      </c>
      <c r="K1997" s="2">
        <v>16</v>
      </c>
      <c r="L1997" s="2">
        <v>135</v>
      </c>
    </row>
    <row r="1998" spans="1:12" x14ac:dyDescent="0.25">
      <c r="A1998" s="4" t="str">
        <f>HYPERLINK("http://www.rosaceae.org/Prunus/Prunus_persica/p.persica_gdr_reftransV1_0046328","p.persica_gdr_reftransV1_0046328")</f>
        <v>p.persica_gdr_reftransV1_0046328</v>
      </c>
      <c r="B1998" s="2">
        <v>3347</v>
      </c>
      <c r="C1998" s="4" t="str">
        <f>HYPERLINK("http://www.uniprot.org/uniprot/M5X5C4","M5X5C4")</f>
        <v>M5X5C4</v>
      </c>
      <c r="D1998" s="2" t="s">
        <v>1932</v>
      </c>
      <c r="E1998" s="3">
        <v>0</v>
      </c>
      <c r="F1998" s="2">
        <v>3825</v>
      </c>
      <c r="G1998" s="2">
        <v>97</v>
      </c>
      <c r="H1998" s="2">
        <v>786</v>
      </c>
      <c r="I1998" s="2">
        <v>375</v>
      </c>
      <c r="J1998" s="2">
        <v>2732</v>
      </c>
      <c r="K1998" s="2">
        <v>1</v>
      </c>
      <c r="L1998" s="2">
        <v>772</v>
      </c>
    </row>
    <row r="1999" spans="1:12" x14ac:dyDescent="0.25">
      <c r="A1999" s="4" t="str">
        <f>HYPERLINK("http://www.rosaceae.org/Prunus/Prunus_persica/p.persica_gdr_reftransV1_0047028","p.persica_gdr_reftransV1_0047028")</f>
        <v>p.persica_gdr_reftransV1_0047028</v>
      </c>
      <c r="B1999" s="2">
        <v>962</v>
      </c>
      <c r="C1999" s="4" t="str">
        <f>HYPERLINK("http://www.uniprot.org/uniprot/M5X2G2","M5X2G2")</f>
        <v>M5X2G2</v>
      </c>
      <c r="D1999" s="2" t="s">
        <v>1933</v>
      </c>
      <c r="E1999" s="3">
        <v>3.2499999999999999E-113</v>
      </c>
      <c r="F1999" s="2">
        <v>865</v>
      </c>
      <c r="G1999" s="2">
        <v>98</v>
      </c>
      <c r="H1999" s="2">
        <v>167</v>
      </c>
      <c r="I1999" s="2">
        <v>303</v>
      </c>
      <c r="J1999" s="2">
        <v>803</v>
      </c>
      <c r="K1999" s="2">
        <v>1</v>
      </c>
      <c r="L1999" s="2">
        <v>167</v>
      </c>
    </row>
    <row r="2000" spans="1:12" x14ac:dyDescent="0.25">
      <c r="A2000" s="4" t="str">
        <f>HYPERLINK("http://www.rosaceae.org/Prunus/Prunus_persica/p.persica_gdr_reftransV1_0047378","p.persica_gdr_reftransV1_0047378")</f>
        <v>p.persica_gdr_reftransV1_0047378</v>
      </c>
      <c r="B2000" s="2">
        <v>1106</v>
      </c>
      <c r="C2000" s="4" t="str">
        <f>HYPERLINK("http://www.uniprot.org/uniprot/M5X205","M5X205")</f>
        <v>M5X205</v>
      </c>
      <c r="D2000" s="2" t="s">
        <v>1934</v>
      </c>
      <c r="E2000" s="3">
        <v>0</v>
      </c>
      <c r="F2000" s="2">
        <v>1374</v>
      </c>
      <c r="G2000" s="2">
        <v>100</v>
      </c>
      <c r="H2000" s="2">
        <v>254</v>
      </c>
      <c r="I2000" s="2">
        <v>90</v>
      </c>
      <c r="J2000" s="2">
        <v>851</v>
      </c>
      <c r="K2000" s="2">
        <v>1</v>
      </c>
      <c r="L2000" s="2">
        <v>254</v>
      </c>
    </row>
    <row r="2001" spans="1:12" x14ac:dyDescent="0.25">
      <c r="A2001" s="4" t="str">
        <f>HYPERLINK("http://www.rosaceae.org/Prunus/Prunus_persica/p.persica_gdr_reftransV1_0047728","p.persica_gdr_reftransV1_0047728")</f>
        <v>p.persica_gdr_reftransV1_0047728</v>
      </c>
      <c r="B2001" s="2">
        <v>1045</v>
      </c>
      <c r="C2001" s="4" t="str">
        <f>HYPERLINK("http://www.uniprot.org/uniprot/M5XTG7","M5XTG7")</f>
        <v>M5XTG7</v>
      </c>
      <c r="D2001" s="2" t="s">
        <v>1935</v>
      </c>
      <c r="E2001" s="3">
        <v>0</v>
      </c>
      <c r="F2001" s="2">
        <v>1465</v>
      </c>
      <c r="G2001" s="2">
        <v>97</v>
      </c>
      <c r="H2001" s="2">
        <v>295</v>
      </c>
      <c r="I2001" s="2">
        <v>58</v>
      </c>
      <c r="J2001" s="2">
        <v>942</v>
      </c>
      <c r="K2001" s="2">
        <v>71</v>
      </c>
      <c r="L2001" s="2">
        <v>365</v>
      </c>
    </row>
    <row r="2002" spans="1:12" x14ac:dyDescent="0.25">
      <c r="A2002" s="4" t="str">
        <f>HYPERLINK("http://www.rosaceae.org/Prunus/Prunus_persica/p.persica_gdr_reftransV1_0048078","p.persica_gdr_reftransV1_0048078")</f>
        <v>p.persica_gdr_reftransV1_0048078</v>
      </c>
      <c r="B2002" s="2">
        <v>536</v>
      </c>
      <c r="C2002" s="4" t="str">
        <f>HYPERLINK("http://www.uniprot.org/uniprot/M5X9X4","M5X9X4")</f>
        <v>M5X9X4</v>
      </c>
      <c r="D2002" s="2" t="s">
        <v>1936</v>
      </c>
      <c r="E2002" s="3">
        <v>4.2900000000000001E-105</v>
      </c>
      <c r="F2002" s="2">
        <v>849</v>
      </c>
      <c r="G2002" s="2">
        <v>100</v>
      </c>
      <c r="H2002" s="2">
        <v>178</v>
      </c>
      <c r="I2002" s="2">
        <v>1</v>
      </c>
      <c r="J2002" s="2">
        <v>534</v>
      </c>
      <c r="K2002" s="2">
        <v>4</v>
      </c>
      <c r="L2002" s="2">
        <v>181</v>
      </c>
    </row>
    <row r="2003" spans="1:12" x14ac:dyDescent="0.25">
      <c r="A2003" s="4" t="str">
        <f>HYPERLINK("http://www.rosaceae.org/Prunus/Prunus_persica/p.persica_gdr_reftransV1_0048428","p.persica_gdr_reftransV1_0048428")</f>
        <v>p.persica_gdr_reftransV1_0048428</v>
      </c>
      <c r="B2003" s="2">
        <v>918</v>
      </c>
      <c r="C2003" s="4" t="str">
        <f>HYPERLINK("http://www.uniprot.org/uniprot/M5WP87","M5WP87")</f>
        <v>M5WP87</v>
      </c>
      <c r="D2003" s="2" t="s">
        <v>1937</v>
      </c>
      <c r="E2003" s="3">
        <v>1.86E-103</v>
      </c>
      <c r="F2003" s="2">
        <v>823</v>
      </c>
      <c r="G2003" s="2">
        <v>100</v>
      </c>
      <c r="H2003" s="2">
        <v>155</v>
      </c>
      <c r="I2003" s="2">
        <v>2</v>
      </c>
      <c r="J2003" s="2">
        <v>466</v>
      </c>
      <c r="K2003" s="2">
        <v>283</v>
      </c>
      <c r="L2003" s="2">
        <v>437</v>
      </c>
    </row>
    <row r="2004" spans="1:12" x14ac:dyDescent="0.25">
      <c r="A2004" s="4" t="str">
        <f>HYPERLINK("http://www.rosaceae.org/Prunus/Prunus_persica/p.persica_gdr_reftransV1_0048778","p.persica_gdr_reftransV1_0048778")</f>
        <v>p.persica_gdr_reftransV1_0048778</v>
      </c>
      <c r="B2004" s="2">
        <v>466</v>
      </c>
      <c r="C2004" s="4" t="str">
        <f>HYPERLINK("http://www.uniprot.org/uniprot/M5Y437","M5Y437")</f>
        <v>M5Y437</v>
      </c>
      <c r="D2004" s="2" t="s">
        <v>1938</v>
      </c>
      <c r="E2004" s="3">
        <v>2.0499999999999999E-98</v>
      </c>
      <c r="F2004" s="2">
        <v>807</v>
      </c>
      <c r="G2004" s="2">
        <v>100</v>
      </c>
      <c r="H2004" s="2">
        <v>155</v>
      </c>
      <c r="I2004" s="2">
        <v>2</v>
      </c>
      <c r="J2004" s="2">
        <v>466</v>
      </c>
      <c r="K2004" s="2">
        <v>56</v>
      </c>
      <c r="L2004" s="2">
        <v>210</v>
      </c>
    </row>
    <row r="2005" spans="1:12" x14ac:dyDescent="0.25">
      <c r="A2005" s="4" t="str">
        <f>HYPERLINK("http://www.rosaceae.org/Prunus/Prunus_persica/p.persica_gdr_reftransV1_0049128","p.persica_gdr_reftransV1_0049128")</f>
        <v>p.persica_gdr_reftransV1_0049128</v>
      </c>
      <c r="B2005" s="2">
        <v>657</v>
      </c>
      <c r="C2005" s="4" t="str">
        <f>HYPERLINK("http://www.uniprot.org/uniprot/M5XZ87","M5XZ87")</f>
        <v>M5XZ87</v>
      </c>
      <c r="D2005" s="2" t="s">
        <v>1939</v>
      </c>
      <c r="E2005" s="3">
        <v>1.53E-78</v>
      </c>
      <c r="F2005" s="2">
        <v>628</v>
      </c>
      <c r="G2005" s="2">
        <v>100</v>
      </c>
      <c r="H2005" s="2">
        <v>132</v>
      </c>
      <c r="I2005" s="2">
        <v>262</v>
      </c>
      <c r="J2005" s="2">
        <v>657</v>
      </c>
      <c r="K2005" s="2">
        <v>87</v>
      </c>
      <c r="L2005" s="2">
        <v>218</v>
      </c>
    </row>
    <row r="2006" spans="1:12" x14ac:dyDescent="0.25">
      <c r="A2006" s="4" t="str">
        <f>HYPERLINK("http://www.rosaceae.org/Prunus/Prunus_persica/p.persica_gdr_reftransV1_0000129","p.persica_gdr_reftransV1_0000129")</f>
        <v>p.persica_gdr_reftransV1_0000129</v>
      </c>
      <c r="B2006" s="2">
        <v>1507</v>
      </c>
      <c r="C2006" s="4" t="str">
        <f>HYPERLINK("http://www.uniprot.org/uniprot/M5W7E7","M5W7E7")</f>
        <v>M5W7E7</v>
      </c>
      <c r="D2006" s="2" t="s">
        <v>1940</v>
      </c>
      <c r="E2006" s="3">
        <v>0</v>
      </c>
      <c r="F2006" s="2">
        <v>1405</v>
      </c>
      <c r="G2006" s="2">
        <v>99</v>
      </c>
      <c r="H2006" s="2">
        <v>260</v>
      </c>
      <c r="I2006" s="2">
        <v>317</v>
      </c>
      <c r="J2006" s="2">
        <v>1096</v>
      </c>
      <c r="K2006" s="2">
        <v>272</v>
      </c>
      <c r="L2006" s="2">
        <v>531</v>
      </c>
    </row>
    <row r="2007" spans="1:12" x14ac:dyDescent="0.25">
      <c r="A2007" s="4" t="str">
        <f>HYPERLINK("http://www.rosaceae.org/Prunus/Prunus_persica/p.persica_gdr_reftransV1_0001179","p.persica_gdr_reftransV1_0001179")</f>
        <v>p.persica_gdr_reftransV1_0001179</v>
      </c>
      <c r="B2007" s="2">
        <v>422</v>
      </c>
      <c r="C2007" s="4" t="str">
        <f>HYPERLINK("http://www.uniprot.org/uniprot/M5Y2R9","M5Y2R9")</f>
        <v>M5Y2R9</v>
      </c>
      <c r="D2007" s="2" t="s">
        <v>1941</v>
      </c>
      <c r="E2007" s="3">
        <v>9.0000000000000006E-80</v>
      </c>
      <c r="F2007" s="2">
        <v>659</v>
      </c>
      <c r="G2007" s="2">
        <v>100</v>
      </c>
      <c r="H2007" s="2">
        <v>140</v>
      </c>
      <c r="I2007" s="2">
        <v>1</v>
      </c>
      <c r="J2007" s="2">
        <v>420</v>
      </c>
      <c r="K2007" s="2">
        <v>120</v>
      </c>
      <c r="L2007" s="2">
        <v>259</v>
      </c>
    </row>
    <row r="2008" spans="1:12" x14ac:dyDescent="0.25">
      <c r="A2008" s="4" t="str">
        <f>HYPERLINK("http://www.rosaceae.org/Prunus/Prunus_persica/p.persica_gdr_reftransV1_0001529","p.persica_gdr_reftransV1_0001529")</f>
        <v>p.persica_gdr_reftransV1_0001529</v>
      </c>
      <c r="B2008" s="2">
        <v>353</v>
      </c>
      <c r="C2008" s="4" t="str">
        <f>HYPERLINK("http://www.uniprot.org/uniprot/M5VIJ8","M5VIJ8")</f>
        <v>M5VIJ8</v>
      </c>
      <c r="D2008" s="2" t="s">
        <v>1942</v>
      </c>
      <c r="E2008" s="3">
        <v>3E-49</v>
      </c>
      <c r="F2008" s="2">
        <v>453</v>
      </c>
      <c r="G2008" s="2">
        <v>80</v>
      </c>
      <c r="H2008" s="2">
        <v>117</v>
      </c>
      <c r="I2008" s="2">
        <v>1</v>
      </c>
      <c r="J2008" s="2">
        <v>351</v>
      </c>
      <c r="K2008" s="2">
        <v>840</v>
      </c>
      <c r="L2008" s="2">
        <v>933</v>
      </c>
    </row>
    <row r="2009" spans="1:12" x14ac:dyDescent="0.25">
      <c r="A2009" s="4" t="str">
        <f>HYPERLINK("http://www.rosaceae.org/Prunus/Prunus_persica/p.persica_gdr_reftransV1_0001879","p.persica_gdr_reftransV1_0001879")</f>
        <v>p.persica_gdr_reftransV1_0001879</v>
      </c>
      <c r="B2009" s="2">
        <v>463</v>
      </c>
      <c r="C2009" s="4" t="str">
        <f>HYPERLINK("http://www.uniprot.org/uniprot/M5XGV7","M5XGV7")</f>
        <v>M5XGV7</v>
      </c>
      <c r="D2009" s="2" t="s">
        <v>1943</v>
      </c>
      <c r="E2009" s="3">
        <v>7.6299999999999996E-69</v>
      </c>
      <c r="F2009" s="2">
        <v>607</v>
      </c>
      <c r="G2009" s="2">
        <v>80</v>
      </c>
      <c r="H2009" s="2">
        <v>153</v>
      </c>
      <c r="I2009" s="2">
        <v>3</v>
      </c>
      <c r="J2009" s="2">
        <v>461</v>
      </c>
      <c r="K2009" s="2">
        <v>1293</v>
      </c>
      <c r="L2009" s="2">
        <v>1414</v>
      </c>
    </row>
    <row r="2010" spans="1:12" x14ac:dyDescent="0.25">
      <c r="A2010" s="4" t="str">
        <f>HYPERLINK("http://www.rosaceae.org/Prunus/Prunus_persica/p.persica_gdr_reftransV1_0002229","p.persica_gdr_reftransV1_0002229")</f>
        <v>p.persica_gdr_reftransV1_0002229</v>
      </c>
      <c r="B2010" s="2">
        <v>2097</v>
      </c>
      <c r="C2010" s="4" t="str">
        <f>HYPERLINK("http://www.uniprot.org/uniprot/M5VPJ6","M5VPJ6")</f>
        <v>M5VPJ6</v>
      </c>
      <c r="D2010" s="2" t="s">
        <v>1944</v>
      </c>
      <c r="E2010" s="3">
        <v>0</v>
      </c>
      <c r="F2010" s="2">
        <v>1902</v>
      </c>
      <c r="G2010" s="2">
        <v>91</v>
      </c>
      <c r="H2010" s="2">
        <v>497</v>
      </c>
      <c r="I2010" s="2">
        <v>508</v>
      </c>
      <c r="J2010" s="2">
        <v>1986</v>
      </c>
      <c r="K2010" s="2">
        <v>19</v>
      </c>
      <c r="L2010" s="2">
        <v>479</v>
      </c>
    </row>
    <row r="2011" spans="1:12" x14ac:dyDescent="0.25">
      <c r="A2011" s="4" t="str">
        <f>HYPERLINK("http://www.rosaceae.org/Prunus/Prunus_persica/p.persica_gdr_reftransV1_0002579","p.persica_gdr_reftransV1_0002579")</f>
        <v>p.persica_gdr_reftransV1_0002579</v>
      </c>
      <c r="B2011" s="2">
        <v>392</v>
      </c>
      <c r="C2011" s="4" t="str">
        <f>HYPERLINK("http://www.uniprot.org/uniprot/A0A0D2Y4Y2","A0A0D2Y4Y2")</f>
        <v>A0A0D2Y4Y2</v>
      </c>
      <c r="D2011" s="2" t="s">
        <v>1945</v>
      </c>
      <c r="E2011" s="3">
        <v>9.0700000000000004E-46</v>
      </c>
      <c r="F2011" s="2">
        <v>392</v>
      </c>
      <c r="G2011" s="2">
        <v>100</v>
      </c>
      <c r="H2011" s="2">
        <v>74</v>
      </c>
      <c r="I2011" s="2">
        <v>2</v>
      </c>
      <c r="J2011" s="2">
        <v>223</v>
      </c>
      <c r="K2011" s="2">
        <v>1</v>
      </c>
      <c r="L2011" s="2">
        <v>74</v>
      </c>
    </row>
    <row r="2012" spans="1:12" x14ac:dyDescent="0.25">
      <c r="A2012" s="4" t="str">
        <f>HYPERLINK("http://www.rosaceae.org/Prunus/Prunus_persica/p.persica_gdr_reftransV1_0002929","p.persica_gdr_reftransV1_0002929")</f>
        <v>p.persica_gdr_reftransV1_0002929</v>
      </c>
      <c r="B2012" s="2">
        <v>931</v>
      </c>
      <c r="C2012" s="4" t="str">
        <f>HYPERLINK("http://www.uniprot.org/uniprot/M5WXU8","M5WXU8")</f>
        <v>M5WXU8</v>
      </c>
      <c r="D2012" s="2" t="s">
        <v>1946</v>
      </c>
      <c r="E2012" s="3">
        <v>6.6999999999999997E-160</v>
      </c>
      <c r="F2012" s="2">
        <v>1186</v>
      </c>
      <c r="G2012" s="2">
        <v>100</v>
      </c>
      <c r="H2012" s="2">
        <v>273</v>
      </c>
      <c r="I2012" s="2">
        <v>112</v>
      </c>
      <c r="J2012" s="2">
        <v>930</v>
      </c>
      <c r="K2012" s="2">
        <v>51</v>
      </c>
      <c r="L2012" s="2">
        <v>323</v>
      </c>
    </row>
    <row r="2013" spans="1:12" x14ac:dyDescent="0.25">
      <c r="A2013" s="4" t="str">
        <f>HYPERLINK("http://www.rosaceae.org/Prunus/Prunus_persica/p.persica_gdr_reftransV1_0003279","p.persica_gdr_reftransV1_0003279")</f>
        <v>p.persica_gdr_reftransV1_0003279</v>
      </c>
      <c r="B2013" s="2">
        <v>1533</v>
      </c>
      <c r="C2013" s="4" t="str">
        <f>HYPERLINK("http://www.uniprot.org/uniprot/M5XXE7","M5XXE7")</f>
        <v>M5XXE7</v>
      </c>
      <c r="D2013" s="2" t="s">
        <v>1947</v>
      </c>
      <c r="E2013" s="3">
        <v>0</v>
      </c>
      <c r="F2013" s="2">
        <v>2113</v>
      </c>
      <c r="G2013" s="2">
        <v>100</v>
      </c>
      <c r="H2013" s="2">
        <v>414</v>
      </c>
      <c r="I2013" s="2">
        <v>156</v>
      </c>
      <c r="J2013" s="2">
        <v>1397</v>
      </c>
      <c r="K2013" s="2">
        <v>1</v>
      </c>
      <c r="L2013" s="2">
        <v>414</v>
      </c>
    </row>
    <row r="2014" spans="1:12" x14ac:dyDescent="0.25">
      <c r="A2014" s="4" t="str">
        <f>HYPERLINK("http://www.rosaceae.org/Prunus/Prunus_persica/p.persica_gdr_reftransV1_0003629","p.persica_gdr_reftransV1_0003629")</f>
        <v>p.persica_gdr_reftransV1_0003629</v>
      </c>
      <c r="B2014" s="2">
        <v>1015</v>
      </c>
      <c r="C2014" s="4" t="str">
        <f>HYPERLINK("http://www.uniprot.org/uniprot/M5WV66","M5WV66")</f>
        <v>M5WV66</v>
      </c>
      <c r="D2014" s="2" t="s">
        <v>1948</v>
      </c>
      <c r="E2014" s="3">
        <v>1.9800000000000001E-156</v>
      </c>
      <c r="F2014" s="2">
        <v>1160</v>
      </c>
      <c r="G2014" s="2">
        <v>99</v>
      </c>
      <c r="H2014" s="2">
        <v>236</v>
      </c>
      <c r="I2014" s="2">
        <v>301</v>
      </c>
      <c r="J2014" s="2">
        <v>1008</v>
      </c>
      <c r="K2014" s="2">
        <v>1</v>
      </c>
      <c r="L2014" s="2">
        <v>236</v>
      </c>
    </row>
    <row r="2015" spans="1:12" x14ac:dyDescent="0.25">
      <c r="A2015" s="4" t="str">
        <f>HYPERLINK("http://www.rosaceae.org/Prunus/Prunus_persica/p.persica_gdr_reftransV1_0003979","p.persica_gdr_reftransV1_0003979")</f>
        <v>p.persica_gdr_reftransV1_0003979</v>
      </c>
      <c r="B2015" s="2">
        <v>2307</v>
      </c>
      <c r="C2015" s="4" t="str">
        <f>HYPERLINK("http://www.uniprot.org/uniprot/M5Y964","M5Y964")</f>
        <v>M5Y964</v>
      </c>
      <c r="D2015" s="2" t="s">
        <v>1949</v>
      </c>
      <c r="E2015" s="3">
        <v>0</v>
      </c>
      <c r="F2015" s="2">
        <v>2387</v>
      </c>
      <c r="G2015" s="2">
        <v>100</v>
      </c>
      <c r="H2015" s="2">
        <v>484</v>
      </c>
      <c r="I2015" s="2">
        <v>446</v>
      </c>
      <c r="J2015" s="2">
        <v>1897</v>
      </c>
      <c r="K2015" s="2">
        <v>1</v>
      </c>
      <c r="L2015" s="2">
        <v>484</v>
      </c>
    </row>
    <row r="2016" spans="1:12" x14ac:dyDescent="0.25">
      <c r="A2016" s="4" t="str">
        <f>HYPERLINK("http://www.rosaceae.org/Prunus/Prunus_persica/p.persica_gdr_reftransV1_0004329","p.persica_gdr_reftransV1_0004329")</f>
        <v>p.persica_gdr_reftransV1_0004329</v>
      </c>
      <c r="B2016" s="2">
        <v>735</v>
      </c>
      <c r="C2016" s="4" t="str">
        <f>HYPERLINK("http://www.uniprot.org/uniprot/M5WUA6","M5WUA6")</f>
        <v>M5WUA6</v>
      </c>
      <c r="D2016" s="2" t="s">
        <v>1950</v>
      </c>
      <c r="E2016" s="3">
        <v>1.3699999999999999E-124</v>
      </c>
      <c r="F2016" s="2">
        <v>956</v>
      </c>
      <c r="G2016" s="2">
        <v>100</v>
      </c>
      <c r="H2016" s="2">
        <v>179</v>
      </c>
      <c r="I2016" s="2">
        <v>197</v>
      </c>
      <c r="J2016" s="2">
        <v>733</v>
      </c>
      <c r="K2016" s="2">
        <v>1</v>
      </c>
      <c r="L2016" s="2">
        <v>179</v>
      </c>
    </row>
    <row r="2017" spans="1:12" x14ac:dyDescent="0.25">
      <c r="A2017" s="4" t="str">
        <f>HYPERLINK("http://www.rosaceae.org/Prunus/Prunus_persica/p.persica_gdr_reftransV1_0004679","p.persica_gdr_reftransV1_0004679")</f>
        <v>p.persica_gdr_reftransV1_0004679</v>
      </c>
      <c r="B2017" s="2">
        <v>574</v>
      </c>
      <c r="C2017" s="4" t="str">
        <f>HYPERLINK("http://www.uniprot.org/uniprot/M5X4A0","M5X4A0")</f>
        <v>M5X4A0</v>
      </c>
      <c r="D2017" s="2" t="s">
        <v>1951</v>
      </c>
      <c r="E2017" s="3">
        <v>5.7400000000000003E-89</v>
      </c>
      <c r="F2017" s="2">
        <v>735</v>
      </c>
      <c r="G2017" s="2">
        <v>100</v>
      </c>
      <c r="H2017" s="2">
        <v>146</v>
      </c>
      <c r="I2017" s="2">
        <v>135</v>
      </c>
      <c r="J2017" s="2">
        <v>572</v>
      </c>
      <c r="K2017" s="2">
        <v>1</v>
      </c>
      <c r="L2017" s="2">
        <v>146</v>
      </c>
    </row>
    <row r="2018" spans="1:12" x14ac:dyDescent="0.25">
      <c r="A2018" s="4" t="str">
        <f>HYPERLINK("http://www.rosaceae.org/Prunus/Prunus_persica/p.persica_gdr_reftransV1_0005379","p.persica_gdr_reftransV1_0005379")</f>
        <v>p.persica_gdr_reftransV1_0005379</v>
      </c>
      <c r="B2018" s="2">
        <v>1688</v>
      </c>
      <c r="C2018" s="4" t="str">
        <f>HYPERLINK("http://www.uniprot.org/uniprot/F6GT81","F6GT81")</f>
        <v>F6GT81</v>
      </c>
      <c r="D2018" s="2" t="s">
        <v>1952</v>
      </c>
      <c r="E2018" s="3">
        <v>1.6699999999999999E-149</v>
      </c>
      <c r="F2018" s="2">
        <v>879</v>
      </c>
      <c r="G2018" s="2">
        <v>82</v>
      </c>
      <c r="H2018" s="2">
        <v>215</v>
      </c>
      <c r="I2018" s="2">
        <v>193</v>
      </c>
      <c r="J2018" s="2">
        <v>831</v>
      </c>
      <c r="K2018" s="2">
        <v>157</v>
      </c>
      <c r="L2018" s="2">
        <v>370</v>
      </c>
    </row>
    <row r="2019" spans="1:12" x14ac:dyDescent="0.25">
      <c r="A2019" s="4" t="str">
        <f>HYPERLINK("http://www.rosaceae.org/Prunus/Prunus_persica/p.persica_gdr_reftransV1_0005729","p.persica_gdr_reftransV1_0005729")</f>
        <v>p.persica_gdr_reftransV1_0005729</v>
      </c>
      <c r="B2019" s="2">
        <v>1412</v>
      </c>
      <c r="C2019" s="4" t="str">
        <f>HYPERLINK("http://www.uniprot.org/uniprot/A0A068B251","A0A068B251")</f>
        <v>A0A068B251</v>
      </c>
      <c r="D2019" s="2" t="s">
        <v>1953</v>
      </c>
      <c r="E2019" s="3">
        <v>0</v>
      </c>
      <c r="F2019" s="2">
        <v>1401</v>
      </c>
      <c r="G2019" s="2">
        <v>74</v>
      </c>
      <c r="H2019" s="2">
        <v>370</v>
      </c>
      <c r="I2019" s="2">
        <v>3</v>
      </c>
      <c r="J2019" s="2">
        <v>1100</v>
      </c>
      <c r="K2019" s="2">
        <v>5</v>
      </c>
      <c r="L2019" s="2">
        <v>371</v>
      </c>
    </row>
    <row r="2020" spans="1:12" x14ac:dyDescent="0.25">
      <c r="A2020" s="4" t="str">
        <f>HYPERLINK("http://www.rosaceae.org/Prunus/Prunus_persica/p.persica_gdr_reftransV1_0006079","p.persica_gdr_reftransV1_0006079")</f>
        <v>p.persica_gdr_reftransV1_0006079</v>
      </c>
      <c r="B2020" s="2">
        <v>805</v>
      </c>
      <c r="C2020" s="4" t="str">
        <f>HYPERLINK("http://www.uniprot.org/uniprot/G2YIJ4","G2YIJ4")</f>
        <v>G2YIJ4</v>
      </c>
      <c r="D2020" s="2" t="s">
        <v>1954</v>
      </c>
      <c r="E2020" s="3">
        <v>5.8399999999999996E-81</v>
      </c>
      <c r="F2020" s="2">
        <v>644</v>
      </c>
      <c r="G2020" s="2">
        <v>99</v>
      </c>
      <c r="H2020" s="2">
        <v>155</v>
      </c>
      <c r="I2020" s="2">
        <v>263</v>
      </c>
      <c r="J2020" s="2">
        <v>727</v>
      </c>
      <c r="K2020" s="2">
        <v>1</v>
      </c>
      <c r="L2020" s="2">
        <v>155</v>
      </c>
    </row>
    <row r="2021" spans="1:12" x14ac:dyDescent="0.25">
      <c r="A2021" s="4" t="str">
        <f>HYPERLINK("http://www.rosaceae.org/Prunus/Prunus_persica/p.persica_gdr_reftransV1_0006429","p.persica_gdr_reftransV1_0006429")</f>
        <v>p.persica_gdr_reftransV1_0006429</v>
      </c>
      <c r="B2021" s="2">
        <v>781</v>
      </c>
      <c r="C2021" s="4" t="str">
        <f>HYPERLINK("http://www.uniprot.org/uniprot/M5WHM1","M5WHM1")</f>
        <v>M5WHM1</v>
      </c>
      <c r="D2021" s="2" t="s">
        <v>1955</v>
      </c>
      <c r="E2021" s="3">
        <v>2.3899999999999999E-126</v>
      </c>
      <c r="F2021" s="2">
        <v>962</v>
      </c>
      <c r="G2021" s="2">
        <v>92</v>
      </c>
      <c r="H2021" s="2">
        <v>200</v>
      </c>
      <c r="I2021" s="2">
        <v>180</v>
      </c>
      <c r="J2021" s="2">
        <v>779</v>
      </c>
      <c r="K2021" s="2">
        <v>170</v>
      </c>
      <c r="L2021" s="2">
        <v>354</v>
      </c>
    </row>
    <row r="2022" spans="1:12" x14ac:dyDescent="0.25">
      <c r="A2022" s="4" t="str">
        <f>HYPERLINK("http://www.rosaceae.org/Prunus/Prunus_persica/p.persica_gdr_reftransV1_0006779","p.persica_gdr_reftransV1_0006779")</f>
        <v>p.persica_gdr_reftransV1_0006779</v>
      </c>
      <c r="B2022" s="2">
        <v>948</v>
      </c>
      <c r="C2022" s="4" t="str">
        <f>HYPERLINK("http://www.uniprot.org/uniprot/M5X5R2","M5X5R2")</f>
        <v>M5X5R2</v>
      </c>
      <c r="D2022" s="2" t="s">
        <v>1956</v>
      </c>
      <c r="E2022" s="3">
        <v>3.27E-80</v>
      </c>
      <c r="F2022" s="2">
        <v>680</v>
      </c>
      <c r="G2022" s="2">
        <v>97</v>
      </c>
      <c r="H2022" s="2">
        <v>135</v>
      </c>
      <c r="I2022" s="2">
        <v>88</v>
      </c>
      <c r="J2022" s="2">
        <v>492</v>
      </c>
      <c r="K2022" s="2">
        <v>1</v>
      </c>
      <c r="L2022" s="2">
        <v>135</v>
      </c>
    </row>
    <row r="2023" spans="1:12" x14ac:dyDescent="0.25">
      <c r="A2023" s="4" t="str">
        <f>HYPERLINK("http://www.rosaceae.org/Prunus/Prunus_persica/p.persica_gdr_reftransV1_0007129","p.persica_gdr_reftransV1_0007129")</f>
        <v>p.persica_gdr_reftransV1_0007129</v>
      </c>
      <c r="B2023" s="2">
        <v>561</v>
      </c>
      <c r="C2023" s="4" t="str">
        <f>HYPERLINK("http://www.uniprot.org/uniprot/M5WER7","M5WER7")</f>
        <v>M5WER7</v>
      </c>
      <c r="D2023" s="2" t="s">
        <v>1957</v>
      </c>
      <c r="E2023" s="3">
        <v>1.25E-98</v>
      </c>
      <c r="F2023" s="2">
        <v>758</v>
      </c>
      <c r="G2023" s="2">
        <v>99</v>
      </c>
      <c r="H2023" s="2">
        <v>148</v>
      </c>
      <c r="I2023" s="2">
        <v>2</v>
      </c>
      <c r="J2023" s="2">
        <v>445</v>
      </c>
      <c r="K2023" s="2">
        <v>80</v>
      </c>
      <c r="L2023" s="2">
        <v>227</v>
      </c>
    </row>
    <row r="2024" spans="1:12" x14ac:dyDescent="0.25">
      <c r="A2024" s="4" t="str">
        <f>HYPERLINK("http://www.rosaceae.org/Prunus/Prunus_persica/p.persica_gdr_reftransV1_0007479","p.persica_gdr_reftransV1_0007479")</f>
        <v>p.persica_gdr_reftransV1_0007479</v>
      </c>
      <c r="B2024" s="2">
        <v>2559</v>
      </c>
      <c r="C2024" s="4" t="str">
        <f>HYPERLINK("http://www.uniprot.org/uniprot/M5W545","M5W545")</f>
        <v>M5W545</v>
      </c>
      <c r="D2024" s="2" t="s">
        <v>1958</v>
      </c>
      <c r="E2024" s="3">
        <v>0</v>
      </c>
      <c r="F2024" s="2">
        <v>4048</v>
      </c>
      <c r="G2024" s="2">
        <v>100</v>
      </c>
      <c r="H2024" s="2">
        <v>755</v>
      </c>
      <c r="I2024" s="2">
        <v>2</v>
      </c>
      <c r="J2024" s="2">
        <v>2266</v>
      </c>
      <c r="K2024" s="2">
        <v>11</v>
      </c>
      <c r="L2024" s="2">
        <v>765</v>
      </c>
    </row>
    <row r="2025" spans="1:12" x14ac:dyDescent="0.25">
      <c r="A2025" s="4" t="str">
        <f>HYPERLINK("http://www.rosaceae.org/Prunus/Prunus_persica/p.persica_gdr_reftransV1_0007829","p.persica_gdr_reftransV1_0007829")</f>
        <v>p.persica_gdr_reftransV1_0007829</v>
      </c>
      <c r="B2025" s="2">
        <v>921</v>
      </c>
      <c r="C2025" s="4" t="str">
        <f>HYPERLINK("http://www.uniprot.org/uniprot/M5VKV7","M5VKV7")</f>
        <v>M5VKV7</v>
      </c>
      <c r="D2025" s="2" t="s">
        <v>1959</v>
      </c>
      <c r="E2025" s="3">
        <v>1.57E-87</v>
      </c>
      <c r="F2025" s="2">
        <v>690</v>
      </c>
      <c r="G2025" s="2">
        <v>100</v>
      </c>
      <c r="H2025" s="2">
        <v>131</v>
      </c>
      <c r="I2025" s="2">
        <v>177</v>
      </c>
      <c r="J2025" s="2">
        <v>569</v>
      </c>
      <c r="K2025" s="2">
        <v>13</v>
      </c>
      <c r="L2025" s="2">
        <v>143</v>
      </c>
    </row>
    <row r="2026" spans="1:12" x14ac:dyDescent="0.25">
      <c r="A2026" s="4" t="str">
        <f>HYPERLINK("http://www.rosaceae.org/Prunus/Prunus_persica/p.persica_gdr_reftransV1_0008879","p.persica_gdr_reftransV1_0008879")</f>
        <v>p.persica_gdr_reftransV1_0008879</v>
      </c>
      <c r="B2026" s="2">
        <v>1028</v>
      </c>
      <c r="C2026" s="4" t="str">
        <f>HYPERLINK("http://www.uniprot.org/uniprot/M5X152","M5X152")</f>
        <v>M5X152</v>
      </c>
      <c r="D2026" s="2" t="s">
        <v>1960</v>
      </c>
      <c r="E2026" s="3">
        <v>1.2499999999999999E-127</v>
      </c>
      <c r="F2026" s="2">
        <v>964</v>
      </c>
      <c r="G2026" s="2">
        <v>100</v>
      </c>
      <c r="H2026" s="2">
        <v>200</v>
      </c>
      <c r="I2026" s="2">
        <v>81</v>
      </c>
      <c r="J2026" s="2">
        <v>680</v>
      </c>
      <c r="K2026" s="2">
        <v>1</v>
      </c>
      <c r="L2026" s="2">
        <v>200</v>
      </c>
    </row>
    <row r="2027" spans="1:12" x14ac:dyDescent="0.25">
      <c r="A2027" s="4" t="str">
        <f>HYPERLINK("http://www.rosaceae.org/Prunus/Prunus_persica/p.persica_gdr_reftransV1_0009579","p.persica_gdr_reftransV1_0009579")</f>
        <v>p.persica_gdr_reftransV1_0009579</v>
      </c>
      <c r="B2027" s="2">
        <v>3709</v>
      </c>
      <c r="C2027" s="4" t="str">
        <f>HYPERLINK("http://www.uniprot.org/uniprot/M5VWN5","M5VWN5")</f>
        <v>M5VWN5</v>
      </c>
      <c r="D2027" s="2" t="s">
        <v>1961</v>
      </c>
      <c r="E2027" s="3">
        <v>0</v>
      </c>
      <c r="F2027" s="2">
        <v>2109</v>
      </c>
      <c r="G2027" s="2">
        <v>100</v>
      </c>
      <c r="H2027" s="2">
        <v>428</v>
      </c>
      <c r="I2027" s="2">
        <v>409</v>
      </c>
      <c r="J2027" s="2">
        <v>1692</v>
      </c>
      <c r="K2027" s="2">
        <v>298</v>
      </c>
      <c r="L2027" s="2">
        <v>725</v>
      </c>
    </row>
    <row r="2028" spans="1:12" x14ac:dyDescent="0.25">
      <c r="A2028" s="4" t="str">
        <f>HYPERLINK("http://www.rosaceae.org/Prunus/Prunus_persica/p.persica_gdr_reftransV1_0010629","p.persica_gdr_reftransV1_0010629")</f>
        <v>p.persica_gdr_reftransV1_0010629</v>
      </c>
      <c r="B2028" s="2">
        <v>2059</v>
      </c>
      <c r="C2028" s="4" t="str">
        <f>HYPERLINK("http://www.uniprot.org/uniprot/M5WGA7","M5WGA7")</f>
        <v>M5WGA7</v>
      </c>
      <c r="D2028" s="2" t="s">
        <v>1962</v>
      </c>
      <c r="E2028" s="3">
        <v>0</v>
      </c>
      <c r="F2028" s="2">
        <v>2714</v>
      </c>
      <c r="G2028" s="2">
        <v>100</v>
      </c>
      <c r="H2028" s="2">
        <v>577</v>
      </c>
      <c r="I2028" s="2">
        <v>3</v>
      </c>
      <c r="J2028" s="2">
        <v>1733</v>
      </c>
      <c r="K2028" s="2">
        <v>1</v>
      </c>
      <c r="L2028" s="2">
        <v>577</v>
      </c>
    </row>
    <row r="2029" spans="1:12" x14ac:dyDescent="0.25">
      <c r="A2029" s="4" t="str">
        <f>HYPERLINK("http://www.rosaceae.org/Prunus/Prunus_persica/p.persica_gdr_reftransV1_0012029","p.persica_gdr_reftransV1_0012029")</f>
        <v>p.persica_gdr_reftransV1_0012029</v>
      </c>
      <c r="B2029" s="2">
        <v>1501</v>
      </c>
      <c r="C2029" s="4" t="str">
        <f>HYPERLINK("http://www.uniprot.org/uniprot/M5WKX3","M5WKX3")</f>
        <v>M5WKX3</v>
      </c>
      <c r="D2029" s="2" t="s">
        <v>1963</v>
      </c>
      <c r="E2029" s="3">
        <v>0</v>
      </c>
      <c r="F2029" s="2">
        <v>1356</v>
      </c>
      <c r="G2029" s="2">
        <v>100</v>
      </c>
      <c r="H2029" s="2">
        <v>365</v>
      </c>
      <c r="I2029" s="2">
        <v>164</v>
      </c>
      <c r="J2029" s="2">
        <v>1258</v>
      </c>
      <c r="K2029" s="2">
        <v>1</v>
      </c>
      <c r="L2029" s="2">
        <v>365</v>
      </c>
    </row>
    <row r="2030" spans="1:12" x14ac:dyDescent="0.25">
      <c r="A2030" s="4" t="str">
        <f>HYPERLINK("http://www.rosaceae.org/Prunus/Prunus_persica/p.persica_gdr_reftransV1_0013079","p.persica_gdr_reftransV1_0013079")</f>
        <v>p.persica_gdr_reftransV1_0013079</v>
      </c>
      <c r="B2030" s="2">
        <v>2366</v>
      </c>
      <c r="C2030" s="4" t="str">
        <f>HYPERLINK("http://www.uniprot.org/uniprot/M5VNT7","M5VNT7")</f>
        <v>M5VNT7</v>
      </c>
      <c r="D2030" s="2" t="s">
        <v>1964</v>
      </c>
      <c r="E2030" s="3">
        <v>0</v>
      </c>
      <c r="F2030" s="2">
        <v>2887</v>
      </c>
      <c r="G2030" s="2">
        <v>100</v>
      </c>
      <c r="H2030" s="2">
        <v>541</v>
      </c>
      <c r="I2030" s="2">
        <v>605</v>
      </c>
      <c r="J2030" s="2">
        <v>2227</v>
      </c>
      <c r="K2030" s="2">
        <v>1</v>
      </c>
      <c r="L2030" s="2">
        <v>541</v>
      </c>
    </row>
    <row r="2031" spans="1:12" x14ac:dyDescent="0.25">
      <c r="A2031" s="4" t="str">
        <f>HYPERLINK("http://www.rosaceae.org/Prunus/Prunus_persica/p.persica_gdr_reftransV1_0014479","p.persica_gdr_reftransV1_0014479")</f>
        <v>p.persica_gdr_reftransV1_0014479</v>
      </c>
      <c r="B2031" s="2">
        <v>947</v>
      </c>
      <c r="C2031" s="4" t="str">
        <f>HYPERLINK("http://www.uniprot.org/uniprot/M5W1M7","M5W1M7")</f>
        <v>M5W1M7</v>
      </c>
      <c r="D2031" s="2" t="s">
        <v>1965</v>
      </c>
      <c r="E2031" s="3">
        <v>0</v>
      </c>
      <c r="F2031" s="2">
        <v>1564</v>
      </c>
      <c r="G2031" s="2">
        <v>100</v>
      </c>
      <c r="H2031" s="2">
        <v>315</v>
      </c>
      <c r="I2031" s="2">
        <v>2</v>
      </c>
      <c r="J2031" s="2">
        <v>946</v>
      </c>
      <c r="K2031" s="2">
        <v>939</v>
      </c>
      <c r="L2031" s="2">
        <v>1253</v>
      </c>
    </row>
    <row r="2032" spans="1:12" x14ac:dyDescent="0.25">
      <c r="A2032" s="4" t="str">
        <f>HYPERLINK("http://www.rosaceae.org/Prunus/Prunus_persica/p.persica_gdr_reftransV1_0014829","p.persica_gdr_reftransV1_0014829")</f>
        <v>p.persica_gdr_reftransV1_0014829</v>
      </c>
      <c r="B2032" s="2">
        <v>2588</v>
      </c>
      <c r="C2032" s="4" t="str">
        <f>HYPERLINK("http://www.uniprot.org/uniprot/M5XJN2","M5XJN2")</f>
        <v>M5XJN2</v>
      </c>
      <c r="D2032" s="2" t="s">
        <v>1966</v>
      </c>
      <c r="E2032" s="3">
        <v>0</v>
      </c>
      <c r="F2032" s="2">
        <v>2306</v>
      </c>
      <c r="G2032" s="2">
        <v>100</v>
      </c>
      <c r="H2032" s="2">
        <v>492</v>
      </c>
      <c r="I2032" s="2">
        <v>42</v>
      </c>
      <c r="J2032" s="2">
        <v>1517</v>
      </c>
      <c r="K2032" s="2">
        <v>1</v>
      </c>
      <c r="L2032" s="2">
        <v>492</v>
      </c>
    </row>
    <row r="2033" spans="1:12" x14ac:dyDescent="0.25">
      <c r="A2033" s="4" t="str">
        <f>HYPERLINK("http://www.rosaceae.org/Prunus/Prunus_persica/p.persica_gdr_reftransV1_0015179","p.persica_gdr_reftransV1_0015179")</f>
        <v>p.persica_gdr_reftransV1_0015179</v>
      </c>
      <c r="B2033" s="2">
        <v>2135</v>
      </c>
      <c r="C2033" s="4" t="str">
        <f>HYPERLINK("http://www.uniprot.org/uniprot/M5XWK4","M5XWK4")</f>
        <v>M5XWK4</v>
      </c>
      <c r="D2033" s="2" t="s">
        <v>1967</v>
      </c>
      <c r="E2033" s="3">
        <v>0</v>
      </c>
      <c r="F2033" s="2">
        <v>2524</v>
      </c>
      <c r="G2033" s="2">
        <v>100</v>
      </c>
      <c r="H2033" s="2">
        <v>572</v>
      </c>
      <c r="I2033" s="2">
        <v>57</v>
      </c>
      <c r="J2033" s="2">
        <v>1772</v>
      </c>
      <c r="K2033" s="2">
        <v>6</v>
      </c>
      <c r="L2033" s="2">
        <v>577</v>
      </c>
    </row>
    <row r="2034" spans="1:12" x14ac:dyDescent="0.25">
      <c r="A2034" s="4" t="str">
        <f>HYPERLINK("http://www.rosaceae.org/Prunus/Prunus_persica/p.persica_gdr_reftransV1_0015879","p.persica_gdr_reftransV1_0015879")</f>
        <v>p.persica_gdr_reftransV1_0015879</v>
      </c>
      <c r="B2034" s="2">
        <v>325</v>
      </c>
      <c r="C2034" s="4" t="str">
        <f>HYPERLINK("http://www.uniprot.org/uniprot/M5XSS9","M5XSS9")</f>
        <v>M5XSS9</v>
      </c>
      <c r="D2034" s="2" t="s">
        <v>1968</v>
      </c>
      <c r="E2034" s="3">
        <v>3.0600000000000001E-49</v>
      </c>
      <c r="F2034" s="2">
        <v>421</v>
      </c>
      <c r="G2034" s="2">
        <v>100</v>
      </c>
      <c r="H2034" s="2">
        <v>93</v>
      </c>
      <c r="I2034" s="2">
        <v>45</v>
      </c>
      <c r="J2034" s="2">
        <v>323</v>
      </c>
      <c r="K2034" s="2">
        <v>1</v>
      </c>
      <c r="L2034" s="2">
        <v>93</v>
      </c>
    </row>
    <row r="2035" spans="1:12" x14ac:dyDescent="0.25">
      <c r="A2035" s="4" t="str">
        <f>HYPERLINK("http://www.rosaceae.org/Prunus/Prunus_persica/p.persica_gdr_reftransV1_0016579","p.persica_gdr_reftransV1_0016579")</f>
        <v>p.persica_gdr_reftransV1_0016579</v>
      </c>
      <c r="B2035" s="2">
        <v>1722</v>
      </c>
      <c r="C2035" s="4" t="str">
        <f>HYPERLINK("http://www.uniprot.org/uniprot/M5Y3L2","M5Y3L2")</f>
        <v>M5Y3L2</v>
      </c>
      <c r="D2035" s="2" t="s">
        <v>1969</v>
      </c>
      <c r="E2035" s="3">
        <v>0</v>
      </c>
      <c r="F2035" s="2">
        <v>1912</v>
      </c>
      <c r="G2035" s="2">
        <v>100</v>
      </c>
      <c r="H2035" s="2">
        <v>376</v>
      </c>
      <c r="I2035" s="2">
        <v>246</v>
      </c>
      <c r="J2035" s="2">
        <v>1373</v>
      </c>
      <c r="K2035" s="2">
        <v>1</v>
      </c>
      <c r="L2035" s="2">
        <v>376</v>
      </c>
    </row>
    <row r="2036" spans="1:12" x14ac:dyDescent="0.25">
      <c r="A2036" s="4" t="str">
        <f>HYPERLINK("http://www.rosaceae.org/Prunus/Prunus_persica/p.persica_gdr_reftransV1_0017979","p.persica_gdr_reftransV1_0017979")</f>
        <v>p.persica_gdr_reftransV1_0017979</v>
      </c>
      <c r="B2036" s="2">
        <v>1275</v>
      </c>
      <c r="C2036" s="4" t="str">
        <f>HYPERLINK("http://www.uniprot.org/uniprot/M5X267","M5X267")</f>
        <v>M5X267</v>
      </c>
      <c r="D2036" s="2" t="s">
        <v>1970</v>
      </c>
      <c r="E2036" s="3">
        <v>0</v>
      </c>
      <c r="F2036" s="2">
        <v>1447</v>
      </c>
      <c r="G2036" s="2">
        <v>100</v>
      </c>
      <c r="H2036" s="2">
        <v>272</v>
      </c>
      <c r="I2036" s="2">
        <v>253</v>
      </c>
      <c r="J2036" s="2">
        <v>1068</v>
      </c>
      <c r="K2036" s="2">
        <v>1</v>
      </c>
      <c r="L2036" s="2">
        <v>272</v>
      </c>
    </row>
    <row r="2037" spans="1:12" x14ac:dyDescent="0.25">
      <c r="A2037" s="4" t="str">
        <f>HYPERLINK("http://www.rosaceae.org/Prunus/Prunus_persica/p.persica_gdr_reftransV1_0018329","p.persica_gdr_reftransV1_0018329")</f>
        <v>p.persica_gdr_reftransV1_0018329</v>
      </c>
      <c r="B2037" s="2">
        <v>1954</v>
      </c>
      <c r="C2037" s="4" t="str">
        <f>HYPERLINK("http://www.uniprot.org/uniprot/M5VYL8","M5VYL8")</f>
        <v>M5VYL8</v>
      </c>
      <c r="D2037" s="2" t="s">
        <v>1971</v>
      </c>
      <c r="E2037" s="3">
        <v>0</v>
      </c>
      <c r="F2037" s="2">
        <v>2572</v>
      </c>
      <c r="G2037" s="2">
        <v>100</v>
      </c>
      <c r="H2037" s="2">
        <v>549</v>
      </c>
      <c r="I2037" s="2">
        <v>233</v>
      </c>
      <c r="J2037" s="2">
        <v>1879</v>
      </c>
      <c r="K2037" s="2">
        <v>13</v>
      </c>
      <c r="L2037" s="2">
        <v>561</v>
      </c>
    </row>
    <row r="2038" spans="1:12" x14ac:dyDescent="0.25">
      <c r="A2038" s="4" t="str">
        <f>HYPERLINK("http://www.rosaceae.org/Prunus/Prunus_persica/p.persica_gdr_reftransV1_0019729","p.persica_gdr_reftransV1_0019729")</f>
        <v>p.persica_gdr_reftransV1_0019729</v>
      </c>
      <c r="B2038" s="2">
        <v>1190</v>
      </c>
      <c r="C2038" s="4" t="str">
        <f>HYPERLINK("http://www.uniprot.org/uniprot/W9SNT3","W9SNT3")</f>
        <v>W9SNT3</v>
      </c>
      <c r="D2038" s="2" t="s">
        <v>1972</v>
      </c>
      <c r="E2038" s="3">
        <v>0</v>
      </c>
      <c r="F2038" s="2">
        <v>1399</v>
      </c>
      <c r="G2038" s="2">
        <v>66</v>
      </c>
      <c r="H2038" s="2">
        <v>378</v>
      </c>
      <c r="I2038" s="2">
        <v>3</v>
      </c>
      <c r="J2038" s="2">
        <v>1136</v>
      </c>
      <c r="K2038" s="2">
        <v>64</v>
      </c>
      <c r="L2038" s="2">
        <v>441</v>
      </c>
    </row>
    <row r="2039" spans="1:12" x14ac:dyDescent="0.25">
      <c r="A2039" s="4" t="str">
        <f>HYPERLINK("http://www.rosaceae.org/Prunus/Prunus_persica/p.persica_gdr_reftransV1_0020079","p.persica_gdr_reftransV1_0020079")</f>
        <v>p.persica_gdr_reftransV1_0020079</v>
      </c>
      <c r="B2039" s="2">
        <v>3217</v>
      </c>
      <c r="C2039" s="4" t="str">
        <f>HYPERLINK("http://www.uniprot.org/uniprot/M5W9X4","M5W9X4")</f>
        <v>M5W9X4</v>
      </c>
      <c r="D2039" s="2" t="s">
        <v>1973</v>
      </c>
      <c r="E2039" s="3">
        <v>9.3399999999999999E-153</v>
      </c>
      <c r="F2039" s="2">
        <v>1209</v>
      </c>
      <c r="G2039" s="2">
        <v>83</v>
      </c>
      <c r="H2039" s="2">
        <v>312</v>
      </c>
      <c r="I2039" s="2">
        <v>594</v>
      </c>
      <c r="J2039" s="2">
        <v>1508</v>
      </c>
      <c r="K2039" s="2">
        <v>45</v>
      </c>
      <c r="L2039" s="2">
        <v>349</v>
      </c>
    </row>
    <row r="2040" spans="1:12" x14ac:dyDescent="0.25">
      <c r="A2040" s="4" t="str">
        <f>HYPERLINK("http://www.rosaceae.org/Prunus/Prunus_persica/p.persica_gdr_reftransV1_0023929","p.persica_gdr_reftransV1_0023929")</f>
        <v>p.persica_gdr_reftransV1_0023929</v>
      </c>
      <c r="B2040" s="2">
        <v>3788</v>
      </c>
      <c r="C2040" s="4" t="str">
        <f>HYPERLINK("http://www.uniprot.org/uniprot/M5X670","M5X670")</f>
        <v>M5X670</v>
      </c>
      <c r="D2040" s="2" t="s">
        <v>1974</v>
      </c>
      <c r="E2040" s="3">
        <v>0</v>
      </c>
      <c r="F2040" s="2">
        <v>1993</v>
      </c>
      <c r="G2040" s="2">
        <v>100</v>
      </c>
      <c r="H2040" s="2">
        <v>379</v>
      </c>
      <c r="I2040" s="2">
        <v>313</v>
      </c>
      <c r="J2040" s="2">
        <v>1449</v>
      </c>
      <c r="K2040" s="2">
        <v>1</v>
      </c>
      <c r="L2040" s="2">
        <v>379</v>
      </c>
    </row>
    <row r="2041" spans="1:12" x14ac:dyDescent="0.25">
      <c r="A2041" s="4" t="str">
        <f>HYPERLINK("http://www.rosaceae.org/Prunus/Prunus_persica/p.persica_gdr_reftransV1_0024279","p.persica_gdr_reftransV1_0024279")</f>
        <v>p.persica_gdr_reftransV1_0024279</v>
      </c>
      <c r="B2041" s="2">
        <v>3353</v>
      </c>
      <c r="C2041" s="4" t="str">
        <f>HYPERLINK("http://www.uniprot.org/uniprot/M5WX82","M5WX82")</f>
        <v>M5WX82</v>
      </c>
      <c r="D2041" s="2" t="s">
        <v>1975</v>
      </c>
      <c r="E2041" s="3">
        <v>0</v>
      </c>
      <c r="F2041" s="2">
        <v>5171</v>
      </c>
      <c r="G2041" s="2">
        <v>100</v>
      </c>
      <c r="H2041" s="2">
        <v>981</v>
      </c>
      <c r="I2041" s="2">
        <v>148</v>
      </c>
      <c r="J2041" s="2">
        <v>3090</v>
      </c>
      <c r="K2041" s="2">
        <v>1</v>
      </c>
      <c r="L2041" s="2">
        <v>981</v>
      </c>
    </row>
    <row r="2042" spans="1:12" x14ac:dyDescent="0.25">
      <c r="A2042" s="4" t="str">
        <f>HYPERLINK("http://www.rosaceae.org/Prunus/Prunus_persica/p.persica_gdr_reftransV1_0024629","p.persica_gdr_reftransV1_0024629")</f>
        <v>p.persica_gdr_reftransV1_0024629</v>
      </c>
      <c r="B2042" s="2">
        <v>1115</v>
      </c>
      <c r="C2042" s="4" t="str">
        <f>HYPERLINK("http://www.uniprot.org/uniprot/M5WVY6","M5WVY6")</f>
        <v>M5WVY6</v>
      </c>
      <c r="D2042" s="2" t="s">
        <v>1976</v>
      </c>
      <c r="E2042" s="3">
        <v>1.41E-80</v>
      </c>
      <c r="F2042" s="2">
        <v>649</v>
      </c>
      <c r="G2042" s="2">
        <v>100</v>
      </c>
      <c r="H2042" s="2">
        <v>140</v>
      </c>
      <c r="I2042" s="2">
        <v>380</v>
      </c>
      <c r="J2042" s="2">
        <v>799</v>
      </c>
      <c r="K2042" s="2">
        <v>1</v>
      </c>
      <c r="L2042" s="2">
        <v>140</v>
      </c>
    </row>
    <row r="2043" spans="1:12" x14ac:dyDescent="0.25">
      <c r="A2043" s="4" t="str">
        <f>HYPERLINK("http://www.rosaceae.org/Prunus/Prunus_persica/p.persica_gdr_reftransV1_0026379","p.persica_gdr_reftransV1_0026379")</f>
        <v>p.persica_gdr_reftransV1_0026379</v>
      </c>
      <c r="B2043" s="2">
        <v>1904</v>
      </c>
      <c r="C2043" s="4" t="str">
        <f>HYPERLINK("http://www.uniprot.org/uniprot/M5W4R0","M5W4R0")</f>
        <v>M5W4R0</v>
      </c>
      <c r="D2043" s="2" t="s">
        <v>1977</v>
      </c>
      <c r="E2043" s="3">
        <v>7.8599999999999997E-41</v>
      </c>
      <c r="F2043" s="2">
        <v>393</v>
      </c>
      <c r="G2043" s="2">
        <v>100</v>
      </c>
      <c r="H2043" s="2">
        <v>72</v>
      </c>
      <c r="I2043" s="2">
        <v>1080</v>
      </c>
      <c r="J2043" s="2">
        <v>1295</v>
      </c>
      <c r="K2043" s="2">
        <v>82</v>
      </c>
      <c r="L2043" s="2">
        <v>153</v>
      </c>
    </row>
    <row r="2044" spans="1:12" x14ac:dyDescent="0.25">
      <c r="A2044" s="4" t="str">
        <f>HYPERLINK("http://www.rosaceae.org/Prunus/Prunus_persica/p.persica_gdr_reftransV1_0026729","p.persica_gdr_reftransV1_0026729")</f>
        <v>p.persica_gdr_reftransV1_0026729</v>
      </c>
      <c r="B2044" s="2">
        <v>1498</v>
      </c>
      <c r="C2044" s="4" t="str">
        <f>HYPERLINK("http://www.uniprot.org/uniprot/M5WUD0","M5WUD0")</f>
        <v>M5WUD0</v>
      </c>
      <c r="D2044" s="2" t="s">
        <v>1978</v>
      </c>
      <c r="E2044" s="3">
        <v>4.9899999999999999E-174</v>
      </c>
      <c r="F2044" s="2">
        <v>1110</v>
      </c>
      <c r="G2044" s="2">
        <v>100</v>
      </c>
      <c r="H2044" s="2">
        <v>227</v>
      </c>
      <c r="I2044" s="2">
        <v>186</v>
      </c>
      <c r="J2044" s="2">
        <v>866</v>
      </c>
      <c r="K2044" s="2">
        <v>1</v>
      </c>
      <c r="L2044" s="2">
        <v>227</v>
      </c>
    </row>
    <row r="2045" spans="1:12" x14ac:dyDescent="0.25">
      <c r="A2045" s="4" t="str">
        <f>HYPERLINK("http://www.rosaceae.org/Prunus/Prunus_persica/p.persica_gdr_reftransV1_0027779","p.persica_gdr_reftransV1_0027779")</f>
        <v>p.persica_gdr_reftransV1_0027779</v>
      </c>
      <c r="B2045" s="2">
        <v>2404</v>
      </c>
      <c r="C2045" s="4" t="str">
        <f>HYPERLINK("http://www.uniprot.org/uniprot/M5WM58","M5WM58")</f>
        <v>M5WM58</v>
      </c>
      <c r="D2045" s="2" t="s">
        <v>1979</v>
      </c>
      <c r="E2045" s="3">
        <v>0</v>
      </c>
      <c r="F2045" s="2">
        <v>2451</v>
      </c>
      <c r="G2045" s="2">
        <v>100</v>
      </c>
      <c r="H2045" s="2">
        <v>472</v>
      </c>
      <c r="I2045" s="2">
        <v>113</v>
      </c>
      <c r="J2045" s="2">
        <v>1528</v>
      </c>
      <c r="K2045" s="2">
        <v>137</v>
      </c>
      <c r="L2045" s="2">
        <v>608</v>
      </c>
    </row>
    <row r="2046" spans="1:12" x14ac:dyDescent="0.25">
      <c r="A2046" s="4" t="str">
        <f>HYPERLINK("http://www.rosaceae.org/Prunus/Prunus_persica/p.persica_gdr_reftransV1_0028829","p.persica_gdr_reftransV1_0028829")</f>
        <v>p.persica_gdr_reftransV1_0028829</v>
      </c>
      <c r="B2046" s="2">
        <v>1355</v>
      </c>
      <c r="C2046" s="4" t="str">
        <f>HYPERLINK("http://www.uniprot.org/uniprot/M5XSY8","M5XSY8")</f>
        <v>M5XSY8</v>
      </c>
      <c r="D2046" s="2" t="s">
        <v>1980</v>
      </c>
      <c r="E2046" s="3">
        <v>1.3700000000000001E-138</v>
      </c>
      <c r="F2046" s="2">
        <v>944</v>
      </c>
      <c r="G2046" s="2">
        <v>100</v>
      </c>
      <c r="H2046" s="2">
        <v>182</v>
      </c>
      <c r="I2046" s="2">
        <v>640</v>
      </c>
      <c r="J2046" s="2">
        <v>1185</v>
      </c>
      <c r="K2046" s="2">
        <v>78</v>
      </c>
      <c r="L2046" s="2">
        <v>259</v>
      </c>
    </row>
    <row r="2047" spans="1:12" x14ac:dyDescent="0.25">
      <c r="A2047" s="4" t="str">
        <f>HYPERLINK("http://www.rosaceae.org/Prunus/Prunus_persica/p.persica_gdr_reftransV1_0029529","p.persica_gdr_reftransV1_0029529")</f>
        <v>p.persica_gdr_reftransV1_0029529</v>
      </c>
      <c r="B2047" s="2">
        <v>4097</v>
      </c>
      <c r="C2047" s="4" t="str">
        <f>HYPERLINK("http://www.uniprot.org/uniprot/M5X9U1","M5X9U1")</f>
        <v>M5X9U1</v>
      </c>
      <c r="D2047" s="2" t="s">
        <v>1981</v>
      </c>
      <c r="E2047" s="3">
        <v>0</v>
      </c>
      <c r="F2047" s="2">
        <v>3026</v>
      </c>
      <c r="G2047" s="2">
        <v>100</v>
      </c>
      <c r="H2047" s="2">
        <v>610</v>
      </c>
      <c r="I2047" s="2">
        <v>858</v>
      </c>
      <c r="J2047" s="2">
        <v>2687</v>
      </c>
      <c r="K2047" s="2">
        <v>208</v>
      </c>
      <c r="L2047" s="2">
        <v>817</v>
      </c>
    </row>
    <row r="2048" spans="1:12" x14ac:dyDescent="0.25">
      <c r="A2048" s="4" t="str">
        <f>HYPERLINK("http://www.rosaceae.org/Prunus/Prunus_persica/p.persica_gdr_reftransV1_0031279","p.persica_gdr_reftransV1_0031279")</f>
        <v>p.persica_gdr_reftransV1_0031279</v>
      </c>
      <c r="B2048" s="2">
        <v>1713</v>
      </c>
      <c r="C2048" s="4" t="str">
        <f>HYPERLINK("http://www.uniprot.org/uniprot/F6GZX4","F6GZX4")</f>
        <v>F6GZX4</v>
      </c>
      <c r="D2048" s="2" t="s">
        <v>1982</v>
      </c>
      <c r="E2048" s="3">
        <v>5.4500000000000004E-27</v>
      </c>
      <c r="F2048" s="2">
        <v>307</v>
      </c>
      <c r="G2048" s="2">
        <v>33</v>
      </c>
      <c r="H2048" s="2">
        <v>256</v>
      </c>
      <c r="I2048" s="2">
        <v>676</v>
      </c>
      <c r="J2048" s="2">
        <v>1422</v>
      </c>
      <c r="K2048" s="2">
        <v>190</v>
      </c>
      <c r="L2048" s="2">
        <v>429</v>
      </c>
    </row>
    <row r="2049" spans="1:12" x14ac:dyDescent="0.25">
      <c r="A2049" s="4" t="str">
        <f>HYPERLINK("http://www.rosaceae.org/Prunus/Prunus_persica/p.persica_gdr_reftransV1_0033029","p.persica_gdr_reftransV1_0033029")</f>
        <v>p.persica_gdr_reftransV1_0033029</v>
      </c>
      <c r="B2049" s="2">
        <v>2331</v>
      </c>
      <c r="C2049" s="4" t="str">
        <f>HYPERLINK("http://www.uniprot.org/uniprot/M5XE29","M5XE29")</f>
        <v>M5XE29</v>
      </c>
      <c r="D2049" s="2" t="s">
        <v>1983</v>
      </c>
      <c r="E2049" s="3">
        <v>0</v>
      </c>
      <c r="F2049" s="2">
        <v>1596</v>
      </c>
      <c r="G2049" s="2">
        <v>100</v>
      </c>
      <c r="H2049" s="2">
        <v>307</v>
      </c>
      <c r="I2049" s="2">
        <v>1207</v>
      </c>
      <c r="J2049" s="2">
        <v>2127</v>
      </c>
      <c r="K2049" s="2">
        <v>1</v>
      </c>
      <c r="L2049" s="2">
        <v>307</v>
      </c>
    </row>
    <row r="2050" spans="1:12" x14ac:dyDescent="0.25">
      <c r="A2050" s="4" t="str">
        <f>HYPERLINK("http://www.rosaceae.org/Prunus/Prunus_persica/p.persica_gdr_reftransV1_0033379","p.persica_gdr_reftransV1_0033379")</f>
        <v>p.persica_gdr_reftransV1_0033379</v>
      </c>
      <c r="B2050" s="2">
        <v>4079</v>
      </c>
      <c r="C2050" s="4" t="str">
        <f>HYPERLINK("http://www.uniprot.org/uniprot/M5XKJ0","M5XKJ0")</f>
        <v>M5XKJ0</v>
      </c>
      <c r="D2050" s="2" t="s">
        <v>1984</v>
      </c>
      <c r="E2050" s="3">
        <v>0</v>
      </c>
      <c r="F2050" s="2">
        <v>4965</v>
      </c>
      <c r="G2050" s="2">
        <v>100</v>
      </c>
      <c r="H2050" s="2">
        <v>1060</v>
      </c>
      <c r="I2050" s="2">
        <v>601</v>
      </c>
      <c r="J2050" s="2">
        <v>3780</v>
      </c>
      <c r="K2050" s="2">
        <v>1</v>
      </c>
      <c r="L2050" s="2">
        <v>1060</v>
      </c>
    </row>
    <row r="2051" spans="1:12" x14ac:dyDescent="0.25">
      <c r="A2051" s="4" t="str">
        <f>HYPERLINK("http://www.rosaceae.org/Prunus/Prunus_persica/p.persica_gdr_reftransV1_0034429","p.persica_gdr_reftransV1_0034429")</f>
        <v>p.persica_gdr_reftransV1_0034429</v>
      </c>
      <c r="B2051" s="2">
        <v>3869</v>
      </c>
      <c r="C2051" s="4" t="str">
        <f>HYPERLINK("http://www.uniprot.org/uniprot/M5X9P3","M5X9P3")</f>
        <v>M5X9P3</v>
      </c>
      <c r="D2051" s="2" t="s">
        <v>1985</v>
      </c>
      <c r="E2051" s="3">
        <v>0</v>
      </c>
      <c r="F2051" s="2">
        <v>3018</v>
      </c>
      <c r="G2051" s="2">
        <v>95</v>
      </c>
      <c r="H2051" s="2">
        <v>640</v>
      </c>
      <c r="I2051" s="2">
        <v>1558</v>
      </c>
      <c r="J2051" s="2">
        <v>3477</v>
      </c>
      <c r="K2051" s="2">
        <v>177</v>
      </c>
      <c r="L2051" s="2">
        <v>786</v>
      </c>
    </row>
    <row r="2052" spans="1:12" x14ac:dyDescent="0.25">
      <c r="A2052" s="4" t="str">
        <f>HYPERLINK("http://www.rosaceae.org/Prunus/Prunus_persica/p.persica_gdr_reftransV1_0035829","p.persica_gdr_reftransV1_0035829")</f>
        <v>p.persica_gdr_reftransV1_0035829</v>
      </c>
      <c r="B2052" s="2">
        <v>2029</v>
      </c>
      <c r="C2052" s="4" t="str">
        <f>HYPERLINK("http://www.uniprot.org/uniprot/M5WJ30","M5WJ30")</f>
        <v>M5WJ30</v>
      </c>
      <c r="D2052" s="2" t="s">
        <v>1986</v>
      </c>
      <c r="E2052" s="3">
        <v>0</v>
      </c>
      <c r="F2052" s="2">
        <v>1491</v>
      </c>
      <c r="G2052" s="2">
        <v>100</v>
      </c>
      <c r="H2052" s="2">
        <v>306</v>
      </c>
      <c r="I2052" s="2">
        <v>387</v>
      </c>
      <c r="J2052" s="2">
        <v>1304</v>
      </c>
      <c r="K2052" s="2">
        <v>1</v>
      </c>
      <c r="L2052" s="2">
        <v>306</v>
      </c>
    </row>
    <row r="2053" spans="1:12" x14ac:dyDescent="0.25">
      <c r="A2053" s="4" t="str">
        <f>HYPERLINK("http://www.rosaceae.org/Prunus/Prunus_persica/p.persica_gdr_reftransV1_0036529","p.persica_gdr_reftransV1_0036529")</f>
        <v>p.persica_gdr_reftransV1_0036529</v>
      </c>
      <c r="B2053" s="2">
        <v>2723</v>
      </c>
      <c r="C2053" s="4" t="str">
        <f>HYPERLINK("http://www.uniprot.org/uniprot/M5WLB9","M5WLB9")</f>
        <v>M5WLB9</v>
      </c>
      <c r="D2053" s="2" t="s">
        <v>1987</v>
      </c>
      <c r="E2053" s="3">
        <v>0</v>
      </c>
      <c r="F2053" s="2">
        <v>3587</v>
      </c>
      <c r="G2053" s="2">
        <v>100</v>
      </c>
      <c r="H2053" s="2">
        <v>720</v>
      </c>
      <c r="I2053" s="2">
        <v>187</v>
      </c>
      <c r="J2053" s="2">
        <v>2346</v>
      </c>
      <c r="K2053" s="2">
        <v>1</v>
      </c>
      <c r="L2053" s="2">
        <v>720</v>
      </c>
    </row>
    <row r="2054" spans="1:12" x14ac:dyDescent="0.25">
      <c r="A2054" s="4" t="str">
        <f>HYPERLINK("http://www.rosaceae.org/Prunus/Prunus_persica/p.persica_gdr_reftransV1_0037929","p.persica_gdr_reftransV1_0037929")</f>
        <v>p.persica_gdr_reftransV1_0037929</v>
      </c>
      <c r="B2054" s="2">
        <v>1686</v>
      </c>
      <c r="C2054" s="4" t="str">
        <f>HYPERLINK("http://www.uniprot.org/uniprot/M5XY30","M5XY30")</f>
        <v>M5XY30</v>
      </c>
      <c r="D2054" s="2" t="s">
        <v>1988</v>
      </c>
      <c r="E2054" s="3">
        <v>0</v>
      </c>
      <c r="F2054" s="2">
        <v>1623</v>
      </c>
      <c r="G2054" s="2">
        <v>100</v>
      </c>
      <c r="H2054" s="2">
        <v>317</v>
      </c>
      <c r="I2054" s="2">
        <v>268</v>
      </c>
      <c r="J2054" s="2">
        <v>1218</v>
      </c>
      <c r="K2054" s="2">
        <v>1</v>
      </c>
      <c r="L2054" s="2">
        <v>317</v>
      </c>
    </row>
    <row r="2055" spans="1:12" x14ac:dyDescent="0.25">
      <c r="A2055" s="4" t="str">
        <f>HYPERLINK("http://www.rosaceae.org/Prunus/Prunus_persica/p.persica_gdr_reftransV1_0041779","p.persica_gdr_reftransV1_0041779")</f>
        <v>p.persica_gdr_reftransV1_0041779</v>
      </c>
      <c r="B2055" s="2">
        <v>3242</v>
      </c>
      <c r="C2055" s="4" t="str">
        <f>HYPERLINK("http://www.uniprot.org/uniprot/M5XBA7","M5XBA7")</f>
        <v>M5XBA7</v>
      </c>
      <c r="D2055" s="2" t="s">
        <v>1989</v>
      </c>
      <c r="E2055" s="3">
        <v>0</v>
      </c>
      <c r="F2055" s="2">
        <v>1736</v>
      </c>
      <c r="G2055" s="2">
        <v>100</v>
      </c>
      <c r="H2055" s="2">
        <v>346</v>
      </c>
      <c r="I2055" s="2">
        <v>1493</v>
      </c>
      <c r="J2055" s="2">
        <v>2530</v>
      </c>
      <c r="K2055" s="2">
        <v>71</v>
      </c>
      <c r="L2055" s="2">
        <v>416</v>
      </c>
    </row>
    <row r="2056" spans="1:12" x14ac:dyDescent="0.25">
      <c r="A2056" s="4" t="str">
        <f>HYPERLINK("http://www.rosaceae.org/Prunus/Prunus_persica/p.persica_gdr_reftransV1_0042129","p.persica_gdr_reftransV1_0042129")</f>
        <v>p.persica_gdr_reftransV1_0042129</v>
      </c>
      <c r="B2056" s="2">
        <v>7359</v>
      </c>
      <c r="C2056" s="4" t="str">
        <f>HYPERLINK("http://www.uniprot.org/uniprot/M5XVG2","M5XVG2")</f>
        <v>M5XVG2</v>
      </c>
      <c r="D2056" s="2" t="s">
        <v>1990</v>
      </c>
      <c r="E2056" s="3">
        <v>0</v>
      </c>
      <c r="F2056" s="2">
        <v>8625</v>
      </c>
      <c r="G2056" s="2">
        <v>100</v>
      </c>
      <c r="H2056" s="2">
        <v>1692</v>
      </c>
      <c r="I2056" s="2">
        <v>370</v>
      </c>
      <c r="J2056" s="2">
        <v>5445</v>
      </c>
      <c r="K2056" s="2">
        <v>90</v>
      </c>
      <c r="L2056" s="2">
        <v>1781</v>
      </c>
    </row>
    <row r="2057" spans="1:12" x14ac:dyDescent="0.25">
      <c r="A2057" s="4" t="str">
        <f>HYPERLINK("http://www.rosaceae.org/Prunus/Prunus_persica/p.persica_gdr_reftransV1_0042829","p.persica_gdr_reftransV1_0042829")</f>
        <v>p.persica_gdr_reftransV1_0042829</v>
      </c>
      <c r="B2057" s="2">
        <v>3169</v>
      </c>
      <c r="C2057" s="4" t="str">
        <f>HYPERLINK("http://www.uniprot.org/uniprot/M5WS40","M5WS40")</f>
        <v>M5WS40</v>
      </c>
      <c r="D2057" s="2" t="s">
        <v>1991</v>
      </c>
      <c r="E2057" s="3">
        <v>0</v>
      </c>
      <c r="F2057" s="2">
        <v>2043</v>
      </c>
      <c r="G2057" s="2">
        <v>100</v>
      </c>
      <c r="H2057" s="2">
        <v>391</v>
      </c>
      <c r="I2057" s="2">
        <v>200</v>
      </c>
      <c r="J2057" s="2">
        <v>1372</v>
      </c>
      <c r="K2057" s="2">
        <v>24</v>
      </c>
      <c r="L2057" s="2">
        <v>414</v>
      </c>
    </row>
    <row r="2058" spans="1:12" x14ac:dyDescent="0.25">
      <c r="A2058" s="4" t="str">
        <f>HYPERLINK("http://www.rosaceae.org/Prunus/Prunus_persica/p.persica_gdr_reftransV1_0043179","p.persica_gdr_reftransV1_0043179")</f>
        <v>p.persica_gdr_reftransV1_0043179</v>
      </c>
      <c r="B2058" s="2">
        <v>1010</v>
      </c>
      <c r="C2058" s="4" t="str">
        <f>HYPERLINK("http://www.uniprot.org/uniprot/M5WNI2","M5WNI2")</f>
        <v>M5WNI2</v>
      </c>
      <c r="D2058" s="2" t="s">
        <v>1992</v>
      </c>
      <c r="E2058" s="3">
        <v>6.1899999999999996E-134</v>
      </c>
      <c r="F2058" s="2">
        <v>1004</v>
      </c>
      <c r="G2058" s="2">
        <v>100</v>
      </c>
      <c r="H2058" s="2">
        <v>190</v>
      </c>
      <c r="I2058" s="2">
        <v>274</v>
      </c>
      <c r="J2058" s="2">
        <v>843</v>
      </c>
      <c r="K2058" s="2">
        <v>1</v>
      </c>
      <c r="L2058" s="2">
        <v>190</v>
      </c>
    </row>
    <row r="2059" spans="1:12" x14ac:dyDescent="0.25">
      <c r="A2059" s="4" t="str">
        <f>HYPERLINK("http://www.rosaceae.org/Prunus/Prunus_persica/p.persica_gdr_reftransV1_0043529","p.persica_gdr_reftransV1_0043529")</f>
        <v>p.persica_gdr_reftransV1_0043529</v>
      </c>
      <c r="B2059" s="2">
        <v>1832</v>
      </c>
      <c r="C2059" s="4" t="str">
        <f>HYPERLINK("http://www.uniprot.org/uniprot/M5W9M8","M5W9M8")</f>
        <v>M5W9M8</v>
      </c>
      <c r="D2059" s="2" t="s">
        <v>633</v>
      </c>
      <c r="E2059" s="3">
        <v>0</v>
      </c>
      <c r="F2059" s="2">
        <v>1950</v>
      </c>
      <c r="G2059" s="2">
        <v>100</v>
      </c>
      <c r="H2059" s="2">
        <v>373</v>
      </c>
      <c r="I2059" s="2">
        <v>448</v>
      </c>
      <c r="J2059" s="2">
        <v>1566</v>
      </c>
      <c r="K2059" s="2">
        <v>1</v>
      </c>
      <c r="L2059" s="2">
        <v>373</v>
      </c>
    </row>
    <row r="2060" spans="1:12" x14ac:dyDescent="0.25">
      <c r="A2060" s="4" t="str">
        <f>HYPERLINK("http://www.rosaceae.org/Prunus/Prunus_persica/p.persica_gdr_reftransV1_0043879","p.persica_gdr_reftransV1_0043879")</f>
        <v>p.persica_gdr_reftransV1_0043879</v>
      </c>
      <c r="B2060" s="2">
        <v>1118</v>
      </c>
      <c r="C2060" s="4" t="str">
        <f>HYPERLINK("http://www.uniprot.org/uniprot/M5Y7X6","M5Y7X6")</f>
        <v>M5Y7X6</v>
      </c>
      <c r="D2060" s="2" t="s">
        <v>1993</v>
      </c>
      <c r="E2060" s="3">
        <v>0</v>
      </c>
      <c r="F2060" s="2">
        <v>1396</v>
      </c>
      <c r="G2060" s="2">
        <v>87</v>
      </c>
      <c r="H2060" s="2">
        <v>324</v>
      </c>
      <c r="I2060" s="2">
        <v>146</v>
      </c>
      <c r="J2060" s="2">
        <v>1117</v>
      </c>
      <c r="K2060" s="2">
        <v>166</v>
      </c>
      <c r="L2060" s="2">
        <v>474</v>
      </c>
    </row>
    <row r="2061" spans="1:12" x14ac:dyDescent="0.25">
      <c r="A2061" s="4" t="str">
        <f>HYPERLINK("http://www.rosaceae.org/Prunus/Prunus_persica/p.persica_gdr_reftransV1_0044229","p.persica_gdr_reftransV1_0044229")</f>
        <v>p.persica_gdr_reftransV1_0044229</v>
      </c>
      <c r="B2061" s="2">
        <v>1304</v>
      </c>
      <c r="C2061" s="4" t="str">
        <f>HYPERLINK("http://www.uniprot.org/uniprot/M5VP87","M5VP87")</f>
        <v>M5VP87</v>
      </c>
      <c r="D2061" s="2" t="s">
        <v>1994</v>
      </c>
      <c r="E2061" s="3">
        <v>6.6299999999999996E-147</v>
      </c>
      <c r="F2061" s="2">
        <v>1101</v>
      </c>
      <c r="G2061" s="2">
        <v>100</v>
      </c>
      <c r="H2061" s="2">
        <v>205</v>
      </c>
      <c r="I2061" s="2">
        <v>167</v>
      </c>
      <c r="J2061" s="2">
        <v>781</v>
      </c>
      <c r="K2061" s="2">
        <v>1</v>
      </c>
      <c r="L2061" s="2">
        <v>205</v>
      </c>
    </row>
    <row r="2062" spans="1:12" x14ac:dyDescent="0.25">
      <c r="A2062" s="4" t="str">
        <f>HYPERLINK("http://www.rosaceae.org/Prunus/Prunus_persica/p.persica_gdr_reftransV1_0044579","p.persica_gdr_reftransV1_0044579")</f>
        <v>p.persica_gdr_reftransV1_0044579</v>
      </c>
      <c r="B2062" s="2">
        <v>1346</v>
      </c>
      <c r="C2062" s="4" t="str">
        <f>HYPERLINK("http://www.uniprot.org/uniprot/M5VKS0","M5VKS0")</f>
        <v>M5VKS0</v>
      </c>
      <c r="D2062" s="2" t="s">
        <v>1995</v>
      </c>
      <c r="E2062" s="3">
        <v>0</v>
      </c>
      <c r="F2062" s="2">
        <v>1440</v>
      </c>
      <c r="G2062" s="2">
        <v>100</v>
      </c>
      <c r="H2062" s="2">
        <v>287</v>
      </c>
      <c r="I2062" s="2">
        <v>224</v>
      </c>
      <c r="J2062" s="2">
        <v>1084</v>
      </c>
      <c r="K2062" s="2">
        <v>1</v>
      </c>
      <c r="L2062" s="2">
        <v>287</v>
      </c>
    </row>
    <row r="2063" spans="1:12" x14ac:dyDescent="0.25">
      <c r="A2063" s="4" t="str">
        <f>HYPERLINK("http://www.rosaceae.org/Prunus/Prunus_persica/p.persica_gdr_reftransV1_0044929","p.persica_gdr_reftransV1_0044929")</f>
        <v>p.persica_gdr_reftransV1_0044929</v>
      </c>
      <c r="B2063" s="2">
        <v>1262</v>
      </c>
      <c r="C2063" s="4" t="str">
        <f>HYPERLINK("http://www.uniprot.org/uniprot/M5VST3","M5VST3")</f>
        <v>M5VST3</v>
      </c>
      <c r="D2063" s="2" t="s">
        <v>1996</v>
      </c>
      <c r="E2063" s="3">
        <v>1E-22</v>
      </c>
      <c r="F2063" s="2">
        <v>258</v>
      </c>
      <c r="G2063" s="2">
        <v>98</v>
      </c>
      <c r="H2063" s="2">
        <v>50</v>
      </c>
      <c r="I2063" s="2">
        <v>519</v>
      </c>
      <c r="J2063" s="2">
        <v>668</v>
      </c>
      <c r="K2063" s="2">
        <v>75</v>
      </c>
      <c r="L2063" s="2">
        <v>124</v>
      </c>
    </row>
    <row r="2064" spans="1:12" x14ac:dyDescent="0.25">
      <c r="A2064" s="4" t="str">
        <f>HYPERLINK("http://www.rosaceae.org/Prunus/Prunus_persica/p.persica_gdr_reftransV1_0045629","p.persica_gdr_reftransV1_0045629")</f>
        <v>p.persica_gdr_reftransV1_0045629</v>
      </c>
      <c r="B2064" s="2">
        <v>1216</v>
      </c>
      <c r="C2064" s="4" t="str">
        <f>HYPERLINK("http://www.uniprot.org/uniprot/M5W9W7","M5W9W7")</f>
        <v>M5W9W7</v>
      </c>
      <c r="D2064" s="2" t="s">
        <v>1997</v>
      </c>
      <c r="E2064" s="3">
        <v>0</v>
      </c>
      <c r="F2064" s="2">
        <v>1731</v>
      </c>
      <c r="G2064" s="2">
        <v>100</v>
      </c>
      <c r="H2064" s="2">
        <v>327</v>
      </c>
      <c r="I2064" s="2">
        <v>103</v>
      </c>
      <c r="J2064" s="2">
        <v>1083</v>
      </c>
      <c r="K2064" s="2">
        <v>1</v>
      </c>
      <c r="L2064" s="2">
        <v>327</v>
      </c>
    </row>
    <row r="2065" spans="1:12" x14ac:dyDescent="0.25">
      <c r="A2065" s="4" t="str">
        <f>HYPERLINK("http://www.rosaceae.org/Prunus/Prunus_persica/p.persica_gdr_reftransV1_0046329","p.persica_gdr_reftransV1_0046329")</f>
        <v>p.persica_gdr_reftransV1_0046329</v>
      </c>
      <c r="B2065" s="2">
        <v>1910</v>
      </c>
      <c r="C2065" s="4" t="str">
        <f>HYPERLINK("http://www.uniprot.org/uniprot/M5VJ69","M5VJ69")</f>
        <v>M5VJ69</v>
      </c>
      <c r="D2065" s="2" t="s">
        <v>1998</v>
      </c>
      <c r="E2065" s="3">
        <v>0</v>
      </c>
      <c r="F2065" s="2">
        <v>1737</v>
      </c>
      <c r="G2065" s="2">
        <v>96</v>
      </c>
      <c r="H2065" s="2">
        <v>381</v>
      </c>
      <c r="I2065" s="2">
        <v>662</v>
      </c>
      <c r="J2065" s="2">
        <v>1804</v>
      </c>
      <c r="K2065" s="2">
        <v>1</v>
      </c>
      <c r="L2065" s="2">
        <v>377</v>
      </c>
    </row>
    <row r="2066" spans="1:12" x14ac:dyDescent="0.25">
      <c r="A2066" s="4" t="str">
        <f>HYPERLINK("http://www.rosaceae.org/Prunus/Prunus_persica/p.persica_gdr_reftransV1_0046679","p.persica_gdr_reftransV1_0046679")</f>
        <v>p.persica_gdr_reftransV1_0046679</v>
      </c>
      <c r="B2066" s="2">
        <v>315</v>
      </c>
      <c r="C2066" s="4" t="str">
        <f>HYPERLINK("http://www.uniprot.org/uniprot/M5WTZ6","M5WTZ6")</f>
        <v>M5WTZ6</v>
      </c>
      <c r="D2066" s="2" t="s">
        <v>1999</v>
      </c>
      <c r="E2066" s="3">
        <v>2.1599999999999999E-43</v>
      </c>
      <c r="F2066" s="2">
        <v>407</v>
      </c>
      <c r="G2066" s="2">
        <v>96</v>
      </c>
      <c r="H2066" s="2">
        <v>104</v>
      </c>
      <c r="I2066" s="2">
        <v>2</v>
      </c>
      <c r="J2066" s="2">
        <v>313</v>
      </c>
      <c r="K2066" s="2">
        <v>481</v>
      </c>
      <c r="L2066" s="2">
        <v>584</v>
      </c>
    </row>
    <row r="2067" spans="1:12" x14ac:dyDescent="0.25">
      <c r="A2067" s="4" t="str">
        <f>HYPERLINK("http://www.rosaceae.org/Prunus/Prunus_persica/p.persica_gdr_reftransV1_0047379","p.persica_gdr_reftransV1_0047379")</f>
        <v>p.persica_gdr_reftransV1_0047379</v>
      </c>
      <c r="B2067" s="2">
        <v>1756</v>
      </c>
      <c r="C2067" s="4" t="str">
        <f>HYPERLINK("http://www.uniprot.org/uniprot/V4RRP9","V4RRP9")</f>
        <v>V4RRP9</v>
      </c>
      <c r="D2067" s="2" t="s">
        <v>676</v>
      </c>
      <c r="E2067" s="3">
        <v>0</v>
      </c>
      <c r="F2067" s="2">
        <v>1887</v>
      </c>
      <c r="G2067" s="2">
        <v>87</v>
      </c>
      <c r="H2067" s="2">
        <v>416</v>
      </c>
      <c r="I2067" s="2">
        <v>419</v>
      </c>
      <c r="J2067" s="2">
        <v>1666</v>
      </c>
      <c r="K2067" s="2">
        <v>1</v>
      </c>
      <c r="L2067" s="2">
        <v>416</v>
      </c>
    </row>
    <row r="2068" spans="1:12" x14ac:dyDescent="0.25">
      <c r="A2068" s="4" t="str">
        <f>HYPERLINK("http://www.rosaceae.org/Prunus/Prunus_persica/p.persica_gdr_reftransV1_0047729","p.persica_gdr_reftransV1_0047729")</f>
        <v>p.persica_gdr_reftransV1_0047729</v>
      </c>
      <c r="B2068" s="2">
        <v>1479</v>
      </c>
      <c r="C2068" s="4" t="str">
        <f>HYPERLINK("http://www.uniprot.org/uniprot/M5Y2Y3","M5Y2Y3")</f>
        <v>M5Y2Y3</v>
      </c>
      <c r="D2068" s="2" t="s">
        <v>2000</v>
      </c>
      <c r="E2068" s="3">
        <v>0</v>
      </c>
      <c r="F2068" s="2">
        <v>2034</v>
      </c>
      <c r="G2068" s="2">
        <v>100</v>
      </c>
      <c r="H2068" s="2">
        <v>395</v>
      </c>
      <c r="I2068" s="2">
        <v>167</v>
      </c>
      <c r="J2068" s="2">
        <v>1351</v>
      </c>
      <c r="K2068" s="2">
        <v>6</v>
      </c>
      <c r="L2068" s="2">
        <v>400</v>
      </c>
    </row>
    <row r="2069" spans="1:12" x14ac:dyDescent="0.25">
      <c r="A2069" s="4" t="str">
        <f>HYPERLINK("http://www.rosaceae.org/Prunus/Prunus_persica/p.persica_gdr_reftransV1_0048079","p.persica_gdr_reftransV1_0048079")</f>
        <v>p.persica_gdr_reftransV1_0048079</v>
      </c>
      <c r="B2069" s="2">
        <v>925</v>
      </c>
      <c r="C2069" s="4" t="str">
        <f>HYPERLINK("http://www.uniprot.org/uniprot/M5WEZ3","M5WEZ3")</f>
        <v>M5WEZ3</v>
      </c>
      <c r="D2069" s="2" t="s">
        <v>2001</v>
      </c>
      <c r="E2069" s="3">
        <v>4.3599999999999997E-143</v>
      </c>
      <c r="F2069" s="2">
        <v>802</v>
      </c>
      <c r="G2069" s="2">
        <v>100</v>
      </c>
      <c r="H2069" s="2">
        <v>173</v>
      </c>
      <c r="I2069" s="2">
        <v>320</v>
      </c>
      <c r="J2069" s="2">
        <v>838</v>
      </c>
      <c r="K2069" s="2">
        <v>1</v>
      </c>
      <c r="L2069" s="2">
        <v>173</v>
      </c>
    </row>
    <row r="2070" spans="1:12" x14ac:dyDescent="0.25">
      <c r="A2070" s="4" t="str">
        <f>HYPERLINK("http://www.rosaceae.org/Prunus/Prunus_persica/p.persica_gdr_reftransV1_0048429","p.persica_gdr_reftransV1_0048429")</f>
        <v>p.persica_gdr_reftransV1_0048429</v>
      </c>
      <c r="B2070" s="2">
        <v>363</v>
      </c>
      <c r="C2070" s="4" t="str">
        <f>HYPERLINK("http://www.uniprot.org/uniprot/M5WLR4","M5WLR4")</f>
        <v>M5WLR4</v>
      </c>
      <c r="D2070" s="2" t="s">
        <v>2002</v>
      </c>
      <c r="E2070" s="3">
        <v>1.0800000000000001E-78</v>
      </c>
      <c r="F2070" s="2">
        <v>637</v>
      </c>
      <c r="G2070" s="2">
        <v>100</v>
      </c>
      <c r="H2070" s="2">
        <v>120</v>
      </c>
      <c r="I2070" s="2">
        <v>3</v>
      </c>
      <c r="J2070" s="2">
        <v>362</v>
      </c>
      <c r="K2070" s="2">
        <v>65</v>
      </c>
      <c r="L2070" s="2">
        <v>184</v>
      </c>
    </row>
    <row r="2071" spans="1:12" x14ac:dyDescent="0.25">
      <c r="A2071" s="4" t="str">
        <f>HYPERLINK("http://www.rosaceae.org/Prunus/Prunus_persica/p.persica_gdr_reftransV1_0048779","p.persica_gdr_reftransV1_0048779")</f>
        <v>p.persica_gdr_reftransV1_0048779</v>
      </c>
      <c r="B2071" s="2">
        <v>1561</v>
      </c>
      <c r="C2071" s="4" t="str">
        <f>HYPERLINK("http://www.uniprot.org/uniprot/M5VYZ3","M5VYZ3")</f>
        <v>M5VYZ3</v>
      </c>
      <c r="D2071" s="2" t="s">
        <v>2003</v>
      </c>
      <c r="E2071" s="3">
        <v>0</v>
      </c>
      <c r="F2071" s="2">
        <v>1824</v>
      </c>
      <c r="G2071" s="2">
        <v>100</v>
      </c>
      <c r="H2071" s="2">
        <v>345</v>
      </c>
      <c r="I2071" s="2">
        <v>369</v>
      </c>
      <c r="J2071" s="2">
        <v>1403</v>
      </c>
      <c r="K2071" s="2">
        <v>1</v>
      </c>
      <c r="L2071" s="2">
        <v>345</v>
      </c>
    </row>
    <row r="2072" spans="1:12" x14ac:dyDescent="0.25">
      <c r="A2072" s="4" t="str">
        <f>HYPERLINK("http://www.rosaceae.org/Prunus/Prunus_persica/p.persica_gdr_reftransV1_0049129","p.persica_gdr_reftransV1_0049129")</f>
        <v>p.persica_gdr_reftransV1_0049129</v>
      </c>
      <c r="B2072" s="2">
        <v>608</v>
      </c>
      <c r="C2072" s="4" t="str">
        <f>HYPERLINK("http://www.uniprot.org/uniprot/M5W0A3","M5W0A3")</f>
        <v>M5W0A3</v>
      </c>
      <c r="D2072" s="2" t="s">
        <v>2004</v>
      </c>
      <c r="E2072" s="3">
        <v>1.5299999999999999E-142</v>
      </c>
      <c r="F2072" s="2">
        <v>1103</v>
      </c>
      <c r="G2072" s="2">
        <v>100</v>
      </c>
      <c r="H2072" s="2">
        <v>202</v>
      </c>
      <c r="I2072" s="2">
        <v>1</v>
      </c>
      <c r="J2072" s="2">
        <v>606</v>
      </c>
      <c r="K2072" s="2">
        <v>171</v>
      </c>
      <c r="L2072" s="2">
        <v>372</v>
      </c>
    </row>
    <row r="2073" spans="1:12" x14ac:dyDescent="0.25">
      <c r="A2073" s="4" t="str">
        <f>HYPERLINK("http://www.rosaceae.org/Prunus/Prunus_persica/p.persica_gdr_reftransV1_0001180","p.persica_gdr_reftransV1_0001180")</f>
        <v>p.persica_gdr_reftransV1_0001180</v>
      </c>
      <c r="B2073" s="2">
        <v>1927</v>
      </c>
      <c r="C2073" s="4" t="str">
        <f>HYPERLINK("http://www.uniprot.org/uniprot/M5VQW6","M5VQW6")</f>
        <v>M5VQW6</v>
      </c>
      <c r="D2073" s="2" t="s">
        <v>2005</v>
      </c>
      <c r="E2073" s="3">
        <v>4.0400000000000001E-165</v>
      </c>
      <c r="F2073" s="2">
        <v>1245</v>
      </c>
      <c r="G2073" s="2">
        <v>100</v>
      </c>
      <c r="H2073" s="2">
        <v>232</v>
      </c>
      <c r="I2073" s="2">
        <v>265</v>
      </c>
      <c r="J2073" s="2">
        <v>960</v>
      </c>
      <c r="K2073" s="2">
        <v>1</v>
      </c>
      <c r="L2073" s="2">
        <v>232</v>
      </c>
    </row>
    <row r="2074" spans="1:12" x14ac:dyDescent="0.25">
      <c r="A2074" s="4" t="str">
        <f>HYPERLINK("http://www.rosaceae.org/Prunus/Prunus_persica/p.persica_gdr_reftransV1_0001530","p.persica_gdr_reftransV1_0001530")</f>
        <v>p.persica_gdr_reftransV1_0001530</v>
      </c>
      <c r="B2074" s="2">
        <v>2485</v>
      </c>
      <c r="C2074" s="4" t="str">
        <f>HYPERLINK("http://www.uniprot.org/uniprot/M5XS25","M5XS25")</f>
        <v>M5XS25</v>
      </c>
      <c r="D2074" s="2" t="s">
        <v>2006</v>
      </c>
      <c r="E2074" s="3">
        <v>0</v>
      </c>
      <c r="F2074" s="2">
        <v>1482</v>
      </c>
      <c r="G2074" s="2">
        <v>100</v>
      </c>
      <c r="H2074" s="2">
        <v>279</v>
      </c>
      <c r="I2074" s="2">
        <v>1379</v>
      </c>
      <c r="J2074" s="2">
        <v>2215</v>
      </c>
      <c r="K2074" s="2">
        <v>1</v>
      </c>
      <c r="L2074" s="2">
        <v>279</v>
      </c>
    </row>
    <row r="2075" spans="1:12" x14ac:dyDescent="0.25">
      <c r="A2075" s="4" t="str">
        <f>HYPERLINK("http://www.rosaceae.org/Prunus/Prunus_persica/p.persica_gdr_reftransV1_0001880","p.persica_gdr_reftransV1_0001880")</f>
        <v>p.persica_gdr_reftransV1_0001880</v>
      </c>
      <c r="B2075" s="2">
        <v>1078</v>
      </c>
      <c r="C2075" s="4" t="str">
        <f>HYPERLINK("http://www.uniprot.org/uniprot/M5X8L2","M5X8L2")</f>
        <v>M5X8L2</v>
      </c>
      <c r="D2075" s="2" t="s">
        <v>2007</v>
      </c>
      <c r="E2075" s="3">
        <v>5.7500000000000002E-106</v>
      </c>
      <c r="F2075" s="2">
        <v>856</v>
      </c>
      <c r="G2075" s="2">
        <v>84</v>
      </c>
      <c r="H2075" s="2">
        <v>211</v>
      </c>
      <c r="I2075" s="2">
        <v>537</v>
      </c>
      <c r="J2075" s="2">
        <v>1076</v>
      </c>
      <c r="K2075" s="2">
        <v>87</v>
      </c>
      <c r="L2075" s="2">
        <v>297</v>
      </c>
    </row>
    <row r="2076" spans="1:12" x14ac:dyDescent="0.25">
      <c r="A2076" s="4" t="str">
        <f>HYPERLINK("http://www.rosaceae.org/Prunus/Prunus_persica/p.persica_gdr_reftransV1_0002230","p.persica_gdr_reftransV1_0002230")</f>
        <v>p.persica_gdr_reftransV1_0002230</v>
      </c>
      <c r="B2076" s="2">
        <v>399</v>
      </c>
      <c r="C2076" s="4" t="str">
        <f>HYPERLINK("http://www.uniprot.org/uniprot/A0A063CAK5","A0A063CAK5")</f>
        <v>A0A063CAK5</v>
      </c>
      <c r="D2076" s="2" t="s">
        <v>2008</v>
      </c>
      <c r="E2076" s="3">
        <v>2.4899999999999997E-66</v>
      </c>
      <c r="F2076" s="2">
        <v>534</v>
      </c>
      <c r="G2076" s="2">
        <v>98</v>
      </c>
      <c r="H2076" s="2">
        <v>99</v>
      </c>
      <c r="I2076" s="2">
        <v>61</v>
      </c>
      <c r="J2076" s="2">
        <v>357</v>
      </c>
      <c r="K2076" s="2">
        <v>1</v>
      </c>
      <c r="L2076" s="2">
        <v>99</v>
      </c>
    </row>
    <row r="2077" spans="1:12" x14ac:dyDescent="0.25">
      <c r="A2077" s="4" t="str">
        <f>HYPERLINK("http://www.rosaceae.org/Prunus/Prunus_persica/p.persica_gdr_reftransV1_0002580","p.persica_gdr_reftransV1_0002580")</f>
        <v>p.persica_gdr_reftransV1_0002580</v>
      </c>
      <c r="B2077" s="2">
        <v>450</v>
      </c>
      <c r="C2077" s="4" t="str">
        <f>HYPERLINK("http://www.uniprot.org/uniprot/A0A0D2XDB8","A0A0D2XDB8")</f>
        <v>A0A0D2XDB8</v>
      </c>
      <c r="D2077" s="2" t="s">
        <v>2009</v>
      </c>
      <c r="E2077" s="3">
        <v>8.8399999999999999E-82</v>
      </c>
      <c r="F2077" s="2">
        <v>642</v>
      </c>
      <c r="G2077" s="2">
        <v>99</v>
      </c>
      <c r="H2077" s="2">
        <v>138</v>
      </c>
      <c r="I2077" s="2">
        <v>37</v>
      </c>
      <c r="J2077" s="2">
        <v>450</v>
      </c>
      <c r="K2077" s="2">
        <v>1</v>
      </c>
      <c r="L2077" s="2">
        <v>138</v>
      </c>
    </row>
    <row r="2078" spans="1:12" x14ac:dyDescent="0.25">
      <c r="A2078" s="4" t="str">
        <f>HYPERLINK("http://www.rosaceae.org/Prunus/Prunus_persica/p.persica_gdr_reftransV1_0002930","p.persica_gdr_reftransV1_0002930")</f>
        <v>p.persica_gdr_reftransV1_0002930</v>
      </c>
      <c r="B2078" s="2">
        <v>950</v>
      </c>
      <c r="C2078" s="4" t="str">
        <f>HYPERLINK("http://www.uniprot.org/uniprot/M5W999","M5W999")</f>
        <v>M5W999</v>
      </c>
      <c r="D2078" s="2" t="s">
        <v>2010</v>
      </c>
      <c r="E2078" s="3">
        <v>0</v>
      </c>
      <c r="F2078" s="2">
        <v>1544</v>
      </c>
      <c r="G2078" s="2">
        <v>100</v>
      </c>
      <c r="H2078" s="2">
        <v>288</v>
      </c>
      <c r="I2078" s="2">
        <v>2</v>
      </c>
      <c r="J2078" s="2">
        <v>865</v>
      </c>
      <c r="K2078" s="2">
        <v>176</v>
      </c>
      <c r="L2078" s="2">
        <v>463</v>
      </c>
    </row>
    <row r="2079" spans="1:12" x14ac:dyDescent="0.25">
      <c r="A2079" s="4" t="str">
        <f>HYPERLINK("http://www.rosaceae.org/Prunus/Prunus_persica/p.persica_gdr_reftransV1_0004330","p.persica_gdr_reftransV1_0004330")</f>
        <v>p.persica_gdr_reftransV1_0004330</v>
      </c>
      <c r="B2079" s="2">
        <v>1683</v>
      </c>
      <c r="C2079" s="4" t="str">
        <f>HYPERLINK("http://www.uniprot.org/uniprot/M5X0Y2","M5X0Y2")</f>
        <v>M5X0Y2</v>
      </c>
      <c r="D2079" s="2" t="s">
        <v>2011</v>
      </c>
      <c r="E2079" s="3">
        <v>0</v>
      </c>
      <c r="F2079" s="2">
        <v>1029</v>
      </c>
      <c r="G2079" s="2">
        <v>87</v>
      </c>
      <c r="H2079" s="2">
        <v>248</v>
      </c>
      <c r="I2079" s="2">
        <v>317</v>
      </c>
      <c r="J2079" s="2">
        <v>1060</v>
      </c>
      <c r="K2079" s="2">
        <v>188</v>
      </c>
      <c r="L2079" s="2">
        <v>410</v>
      </c>
    </row>
    <row r="2080" spans="1:12" x14ac:dyDescent="0.25">
      <c r="A2080" s="4" t="str">
        <f>HYPERLINK("http://www.rosaceae.org/Prunus/Prunus_persica/p.persica_gdr_reftransV1_0005380","p.persica_gdr_reftransV1_0005380")</f>
        <v>p.persica_gdr_reftransV1_0005380</v>
      </c>
      <c r="B2080" s="2">
        <v>381</v>
      </c>
      <c r="C2080" s="4" t="str">
        <f>HYPERLINK("http://www.uniprot.org/uniprot/M5WCB5","M5WCB5")</f>
        <v>M5WCB5</v>
      </c>
      <c r="D2080" s="2" t="s">
        <v>2012</v>
      </c>
      <c r="E2080" s="3">
        <v>4.9099999999999998E-76</v>
      </c>
      <c r="F2080" s="2">
        <v>653</v>
      </c>
      <c r="G2080" s="2">
        <v>100</v>
      </c>
      <c r="H2080" s="2">
        <v>126</v>
      </c>
      <c r="I2080" s="2">
        <v>2</v>
      </c>
      <c r="J2080" s="2">
        <v>379</v>
      </c>
      <c r="K2080" s="2">
        <v>133</v>
      </c>
      <c r="L2080" s="2">
        <v>258</v>
      </c>
    </row>
    <row r="2081" spans="1:12" x14ac:dyDescent="0.25">
      <c r="A2081" s="4" t="str">
        <f>HYPERLINK("http://www.rosaceae.org/Prunus/Prunus_persica/p.persica_gdr_reftransV1_0006080","p.persica_gdr_reftransV1_0006080")</f>
        <v>p.persica_gdr_reftransV1_0006080</v>
      </c>
      <c r="B2081" s="2">
        <v>397</v>
      </c>
      <c r="C2081" s="4" t="str">
        <f>HYPERLINK("http://www.uniprot.org/uniprot/M5WE36","M5WE36")</f>
        <v>M5WE36</v>
      </c>
      <c r="D2081" s="2" t="s">
        <v>2013</v>
      </c>
      <c r="E2081" s="3">
        <v>3.8600000000000002E-86</v>
      </c>
      <c r="F2081" s="2">
        <v>703</v>
      </c>
      <c r="G2081" s="2">
        <v>100</v>
      </c>
      <c r="H2081" s="2">
        <v>132</v>
      </c>
      <c r="I2081" s="2">
        <v>1</v>
      </c>
      <c r="J2081" s="2">
        <v>396</v>
      </c>
      <c r="K2081" s="2">
        <v>259</v>
      </c>
      <c r="L2081" s="2">
        <v>390</v>
      </c>
    </row>
    <row r="2082" spans="1:12" x14ac:dyDescent="0.25">
      <c r="A2082" s="4" t="str">
        <f>HYPERLINK("http://www.rosaceae.org/Prunus/Prunus_persica/p.persica_gdr_reftransV1_0007130","p.persica_gdr_reftransV1_0007130")</f>
        <v>p.persica_gdr_reftransV1_0007130</v>
      </c>
      <c r="B2082" s="2">
        <v>761</v>
      </c>
      <c r="C2082" s="4" t="str">
        <f>HYPERLINK("http://www.uniprot.org/uniprot/M5WF28","M5WF28")</f>
        <v>M5WF28</v>
      </c>
      <c r="D2082" s="2" t="s">
        <v>2014</v>
      </c>
      <c r="E2082" s="3">
        <v>1.5200000000000001E-46</v>
      </c>
      <c r="F2082" s="2">
        <v>410</v>
      </c>
      <c r="G2082" s="2">
        <v>72</v>
      </c>
      <c r="H2082" s="2">
        <v>121</v>
      </c>
      <c r="I2082" s="2">
        <v>359</v>
      </c>
      <c r="J2082" s="2">
        <v>688</v>
      </c>
      <c r="K2082" s="2">
        <v>1</v>
      </c>
      <c r="L2082" s="2">
        <v>121</v>
      </c>
    </row>
    <row r="2083" spans="1:12" x14ac:dyDescent="0.25">
      <c r="A2083" s="4" t="str">
        <f>HYPERLINK("http://www.rosaceae.org/Prunus/Prunus_persica/p.persica_gdr_reftransV1_0007480","p.persica_gdr_reftransV1_0007480")</f>
        <v>p.persica_gdr_reftransV1_0007480</v>
      </c>
      <c r="B2083" s="2">
        <v>1331</v>
      </c>
      <c r="C2083" s="4" t="str">
        <f>HYPERLINK("http://www.uniprot.org/uniprot/M5XG50","M5XG50")</f>
        <v>M5XG50</v>
      </c>
      <c r="D2083" s="2" t="s">
        <v>2015</v>
      </c>
      <c r="E2083" s="3">
        <v>0</v>
      </c>
      <c r="F2083" s="2">
        <v>1566</v>
      </c>
      <c r="G2083" s="2">
        <v>100</v>
      </c>
      <c r="H2083" s="2">
        <v>343</v>
      </c>
      <c r="I2083" s="2">
        <v>36</v>
      </c>
      <c r="J2083" s="2">
        <v>1064</v>
      </c>
      <c r="K2083" s="2">
        <v>1</v>
      </c>
      <c r="L2083" s="2">
        <v>343</v>
      </c>
    </row>
    <row r="2084" spans="1:12" x14ac:dyDescent="0.25">
      <c r="A2084" s="4" t="str">
        <f>HYPERLINK("http://www.rosaceae.org/Prunus/Prunus_persica/p.persica_gdr_reftransV1_0007830","p.persica_gdr_reftransV1_0007830")</f>
        <v>p.persica_gdr_reftransV1_0007830</v>
      </c>
      <c r="B2084" s="2">
        <v>765</v>
      </c>
      <c r="C2084" s="4" t="str">
        <f>HYPERLINK("http://www.uniprot.org/uniprot/M5VVL2","M5VVL2")</f>
        <v>M5VVL2</v>
      </c>
      <c r="D2084" s="2" t="s">
        <v>2016</v>
      </c>
      <c r="E2084" s="3">
        <v>1.6E-154</v>
      </c>
      <c r="F2084" s="2">
        <v>1177</v>
      </c>
      <c r="G2084" s="2">
        <v>100</v>
      </c>
      <c r="H2084" s="2">
        <v>219</v>
      </c>
      <c r="I2084" s="2">
        <v>108</v>
      </c>
      <c r="J2084" s="2">
        <v>764</v>
      </c>
      <c r="K2084" s="2">
        <v>1</v>
      </c>
      <c r="L2084" s="2">
        <v>219</v>
      </c>
    </row>
    <row r="2085" spans="1:12" x14ac:dyDescent="0.25">
      <c r="A2085" s="4" t="str">
        <f>HYPERLINK("http://www.rosaceae.org/Prunus/Prunus_persica/p.persica_gdr_reftransV1_0008530","p.persica_gdr_reftransV1_0008530")</f>
        <v>p.persica_gdr_reftransV1_0008530</v>
      </c>
      <c r="B2085" s="2">
        <v>1723</v>
      </c>
      <c r="C2085" s="4" t="str">
        <f>HYPERLINK("http://www.uniprot.org/uniprot/M5WGT6","M5WGT6")</f>
        <v>M5WGT6</v>
      </c>
      <c r="D2085" s="2" t="s">
        <v>2017</v>
      </c>
      <c r="E2085" s="3">
        <v>0</v>
      </c>
      <c r="F2085" s="2">
        <v>2511</v>
      </c>
      <c r="G2085" s="2">
        <v>100</v>
      </c>
      <c r="H2085" s="2">
        <v>497</v>
      </c>
      <c r="I2085" s="2">
        <v>1</v>
      </c>
      <c r="J2085" s="2">
        <v>1491</v>
      </c>
      <c r="K2085" s="2">
        <v>119</v>
      </c>
      <c r="L2085" s="2">
        <v>615</v>
      </c>
    </row>
    <row r="2086" spans="1:12" x14ac:dyDescent="0.25">
      <c r="A2086" s="4" t="str">
        <f>HYPERLINK("http://www.rosaceae.org/Prunus/Prunus_persica/p.persica_gdr_reftransV1_0008880","p.persica_gdr_reftransV1_0008880")</f>
        <v>p.persica_gdr_reftransV1_0008880</v>
      </c>
      <c r="B2086" s="2">
        <v>444</v>
      </c>
      <c r="C2086" s="4" t="str">
        <f>HYPERLINK("http://www.uniprot.org/uniprot/M5WWJ4","M5WWJ4")</f>
        <v>M5WWJ4</v>
      </c>
      <c r="D2086" s="2" t="s">
        <v>2018</v>
      </c>
      <c r="E2086" s="3">
        <v>6.9700000000000002E-72</v>
      </c>
      <c r="F2086" s="2">
        <v>573</v>
      </c>
      <c r="G2086" s="2">
        <v>100</v>
      </c>
      <c r="H2086" s="2">
        <v>110</v>
      </c>
      <c r="I2086" s="2">
        <v>114</v>
      </c>
      <c r="J2086" s="2">
        <v>443</v>
      </c>
      <c r="K2086" s="2">
        <v>68</v>
      </c>
      <c r="L2086" s="2">
        <v>177</v>
      </c>
    </row>
    <row r="2087" spans="1:12" x14ac:dyDescent="0.25">
      <c r="A2087" s="4" t="str">
        <f>HYPERLINK("http://www.rosaceae.org/Prunus/Prunus_persica/p.persica_gdr_reftransV1_0009230","p.persica_gdr_reftransV1_0009230")</f>
        <v>p.persica_gdr_reftransV1_0009230</v>
      </c>
      <c r="B2087" s="2">
        <v>2305</v>
      </c>
      <c r="C2087" s="4" t="str">
        <f>HYPERLINK("http://www.uniprot.org/uniprot/A0A061GZH5","A0A061GZH5")</f>
        <v>A0A061GZH5</v>
      </c>
      <c r="D2087" s="2" t="s">
        <v>2019</v>
      </c>
      <c r="E2087" s="3">
        <v>0</v>
      </c>
      <c r="F2087" s="2">
        <v>1997</v>
      </c>
      <c r="G2087" s="2">
        <v>76</v>
      </c>
      <c r="H2087" s="2">
        <v>489</v>
      </c>
      <c r="I2087" s="2">
        <v>520</v>
      </c>
      <c r="J2087" s="2">
        <v>1986</v>
      </c>
      <c r="K2087" s="2">
        <v>26</v>
      </c>
      <c r="L2087" s="2">
        <v>514</v>
      </c>
    </row>
    <row r="2088" spans="1:12" x14ac:dyDescent="0.25">
      <c r="A2088" s="4" t="str">
        <f>HYPERLINK("http://www.rosaceae.org/Prunus/Prunus_persica/p.persica_gdr_reftransV1_0009930","p.persica_gdr_reftransV1_0009930")</f>
        <v>p.persica_gdr_reftransV1_0009930</v>
      </c>
      <c r="B2088" s="2">
        <v>1684</v>
      </c>
      <c r="C2088" s="4" t="str">
        <f>HYPERLINK("http://www.uniprot.org/uniprot/M5WB01","M5WB01")</f>
        <v>M5WB01</v>
      </c>
      <c r="D2088" s="2" t="s">
        <v>757</v>
      </c>
      <c r="E2088" s="3">
        <v>1.03E-89</v>
      </c>
      <c r="F2088" s="2">
        <v>729</v>
      </c>
      <c r="G2088" s="2">
        <v>99</v>
      </c>
      <c r="H2088" s="2">
        <v>151</v>
      </c>
      <c r="I2088" s="2">
        <v>321</v>
      </c>
      <c r="J2088" s="2">
        <v>773</v>
      </c>
      <c r="K2088" s="2">
        <v>1</v>
      </c>
      <c r="L2088" s="2">
        <v>151</v>
      </c>
    </row>
    <row r="2089" spans="1:12" x14ac:dyDescent="0.25">
      <c r="A2089" s="4" t="str">
        <f>HYPERLINK("http://www.rosaceae.org/Prunus/Prunus_persica/p.persica_gdr_reftransV1_0010630","p.persica_gdr_reftransV1_0010630")</f>
        <v>p.persica_gdr_reftransV1_0010630</v>
      </c>
      <c r="B2089" s="2">
        <v>1920</v>
      </c>
      <c r="C2089" s="4" t="str">
        <f>HYPERLINK("http://www.uniprot.org/uniprot/M5WAR8","M5WAR8")</f>
        <v>M5WAR8</v>
      </c>
      <c r="D2089" s="2" t="s">
        <v>2020</v>
      </c>
      <c r="E2089" s="3">
        <v>0</v>
      </c>
      <c r="F2089" s="2">
        <v>2503</v>
      </c>
      <c r="G2089" s="2">
        <v>100</v>
      </c>
      <c r="H2089" s="2">
        <v>466</v>
      </c>
      <c r="I2089" s="2">
        <v>305</v>
      </c>
      <c r="J2089" s="2">
        <v>1702</v>
      </c>
      <c r="K2089" s="2">
        <v>1</v>
      </c>
      <c r="L2089" s="2">
        <v>466</v>
      </c>
    </row>
    <row r="2090" spans="1:12" x14ac:dyDescent="0.25">
      <c r="A2090" s="4" t="str">
        <f>HYPERLINK("http://www.rosaceae.org/Prunus/Prunus_persica/p.persica_gdr_reftransV1_0010980","p.persica_gdr_reftransV1_0010980")</f>
        <v>p.persica_gdr_reftransV1_0010980</v>
      </c>
      <c r="B2090" s="2">
        <v>645</v>
      </c>
      <c r="C2090" s="4" t="str">
        <f>HYPERLINK("http://www.uniprot.org/uniprot/M5X354","M5X354")</f>
        <v>M5X354</v>
      </c>
      <c r="D2090" s="2" t="s">
        <v>2021</v>
      </c>
      <c r="E2090" s="3">
        <v>1.3999999999999999E-81</v>
      </c>
      <c r="F2090" s="2">
        <v>661</v>
      </c>
      <c r="G2090" s="2">
        <v>100</v>
      </c>
      <c r="H2090" s="2">
        <v>185</v>
      </c>
      <c r="I2090" s="2">
        <v>23</v>
      </c>
      <c r="J2090" s="2">
        <v>577</v>
      </c>
      <c r="K2090" s="2">
        <v>138</v>
      </c>
      <c r="L2090" s="2">
        <v>322</v>
      </c>
    </row>
    <row r="2091" spans="1:12" x14ac:dyDescent="0.25">
      <c r="A2091" s="4" t="str">
        <f>HYPERLINK("http://www.rosaceae.org/Prunus/Prunus_persica/p.persica_gdr_reftransV1_0011330","p.persica_gdr_reftransV1_0011330")</f>
        <v>p.persica_gdr_reftransV1_0011330</v>
      </c>
      <c r="B2091" s="2">
        <v>892</v>
      </c>
      <c r="C2091" s="4" t="str">
        <f>HYPERLINK("http://www.uniprot.org/uniprot/M5Y1J6","M5Y1J6")</f>
        <v>M5Y1J6</v>
      </c>
      <c r="D2091" s="2" t="s">
        <v>2022</v>
      </c>
      <c r="E2091" s="3">
        <v>1.4099999999999999E-177</v>
      </c>
      <c r="F2091" s="2">
        <v>1306</v>
      </c>
      <c r="G2091" s="2">
        <v>100</v>
      </c>
      <c r="H2091" s="2">
        <v>243</v>
      </c>
      <c r="I2091" s="2">
        <v>2</v>
      </c>
      <c r="J2091" s="2">
        <v>730</v>
      </c>
      <c r="K2091" s="2">
        <v>134</v>
      </c>
      <c r="L2091" s="2">
        <v>376</v>
      </c>
    </row>
    <row r="2092" spans="1:12" x14ac:dyDescent="0.25">
      <c r="A2092" s="4" t="str">
        <f>HYPERLINK("http://www.rosaceae.org/Prunus/Prunus_persica/p.persica_gdr_reftransV1_0012030","p.persica_gdr_reftransV1_0012030")</f>
        <v>p.persica_gdr_reftransV1_0012030</v>
      </c>
      <c r="B2092" s="2">
        <v>2879</v>
      </c>
      <c r="C2092" s="4" t="str">
        <f>HYPERLINK("http://www.uniprot.org/uniprot/M5Y6N0","M5Y6N0")</f>
        <v>M5Y6N0</v>
      </c>
      <c r="D2092" s="2" t="s">
        <v>2023</v>
      </c>
      <c r="E2092" s="3">
        <v>0</v>
      </c>
      <c r="F2092" s="2">
        <v>3340</v>
      </c>
      <c r="G2092" s="2">
        <v>93</v>
      </c>
      <c r="H2092" s="2">
        <v>709</v>
      </c>
      <c r="I2092" s="2">
        <v>172</v>
      </c>
      <c r="J2092" s="2">
        <v>2175</v>
      </c>
      <c r="K2092" s="2">
        <v>1</v>
      </c>
      <c r="L2092" s="2">
        <v>709</v>
      </c>
    </row>
    <row r="2093" spans="1:12" x14ac:dyDescent="0.25">
      <c r="A2093" s="4" t="str">
        <f>HYPERLINK("http://www.rosaceae.org/Prunus/Prunus_persica/p.persica_gdr_reftransV1_0013080","p.persica_gdr_reftransV1_0013080")</f>
        <v>p.persica_gdr_reftransV1_0013080</v>
      </c>
      <c r="B2093" s="2">
        <v>3263</v>
      </c>
      <c r="C2093" s="4" t="str">
        <f>HYPERLINK("http://www.uniprot.org/uniprot/M5Y8V3","M5Y8V3")</f>
        <v>M5Y8V3</v>
      </c>
      <c r="D2093" s="2" t="s">
        <v>2024</v>
      </c>
      <c r="E2093" s="3">
        <v>0</v>
      </c>
      <c r="F2093" s="2">
        <v>4986</v>
      </c>
      <c r="G2093" s="2">
        <v>100</v>
      </c>
      <c r="H2093" s="2">
        <v>1008</v>
      </c>
      <c r="I2093" s="2">
        <v>81</v>
      </c>
      <c r="J2093" s="2">
        <v>3104</v>
      </c>
      <c r="K2093" s="2">
        <v>10</v>
      </c>
      <c r="L2093" s="2">
        <v>1013</v>
      </c>
    </row>
    <row r="2094" spans="1:12" x14ac:dyDescent="0.25">
      <c r="A2094" s="4" t="str">
        <f>HYPERLINK("http://www.rosaceae.org/Prunus/Prunus_persica/p.persica_gdr_reftransV1_0013430","p.persica_gdr_reftransV1_0013430")</f>
        <v>p.persica_gdr_reftransV1_0013430</v>
      </c>
      <c r="B2094" s="2">
        <v>685</v>
      </c>
      <c r="C2094" s="4" t="str">
        <f>HYPERLINK("http://www.uniprot.org/uniprot/A0A061FTM5","A0A061FTM5")</f>
        <v>A0A061FTM5</v>
      </c>
      <c r="D2094" s="2" t="s">
        <v>2025</v>
      </c>
      <c r="E2094" s="3">
        <v>2.1199999999999999E-110</v>
      </c>
      <c r="F2094" s="2">
        <v>926</v>
      </c>
      <c r="G2094" s="2">
        <v>82</v>
      </c>
      <c r="H2094" s="2">
        <v>227</v>
      </c>
      <c r="I2094" s="2">
        <v>5</v>
      </c>
      <c r="J2094" s="2">
        <v>685</v>
      </c>
      <c r="K2094" s="2">
        <v>1322</v>
      </c>
      <c r="L2094" s="2">
        <v>1548</v>
      </c>
    </row>
    <row r="2095" spans="1:12" x14ac:dyDescent="0.25">
      <c r="A2095" s="4" t="str">
        <f>HYPERLINK("http://www.rosaceae.org/Prunus/Prunus_persica/p.persica_gdr_reftransV1_0013780","p.persica_gdr_reftransV1_0013780")</f>
        <v>p.persica_gdr_reftransV1_0013780</v>
      </c>
      <c r="B2095" s="2">
        <v>1707</v>
      </c>
      <c r="C2095" s="4" t="str">
        <f>HYPERLINK("http://www.uniprot.org/uniprot/M5WUS2","M5WUS2")</f>
        <v>M5WUS2</v>
      </c>
      <c r="D2095" s="2" t="s">
        <v>2026</v>
      </c>
      <c r="E2095" s="3">
        <v>0</v>
      </c>
      <c r="F2095" s="2">
        <v>1468</v>
      </c>
      <c r="G2095" s="2">
        <v>100</v>
      </c>
      <c r="H2095" s="2">
        <v>286</v>
      </c>
      <c r="I2095" s="2">
        <v>460</v>
      </c>
      <c r="J2095" s="2">
        <v>1317</v>
      </c>
      <c r="K2095" s="2">
        <v>1</v>
      </c>
      <c r="L2095" s="2">
        <v>286</v>
      </c>
    </row>
    <row r="2096" spans="1:12" x14ac:dyDescent="0.25">
      <c r="A2096" s="4" t="str">
        <f>HYPERLINK("http://www.rosaceae.org/Prunus/Prunus_persica/p.persica_gdr_reftransV1_0015880","p.persica_gdr_reftransV1_0015880")</f>
        <v>p.persica_gdr_reftransV1_0015880</v>
      </c>
      <c r="B2096" s="2">
        <v>2071</v>
      </c>
      <c r="C2096" s="4" t="str">
        <f>HYPERLINK("http://www.uniprot.org/uniprot/M5WIR4","M5WIR4")</f>
        <v>M5WIR4</v>
      </c>
      <c r="D2096" s="2" t="s">
        <v>2027</v>
      </c>
      <c r="E2096" s="3">
        <v>0</v>
      </c>
      <c r="F2096" s="2">
        <v>2167</v>
      </c>
      <c r="G2096" s="2">
        <v>100</v>
      </c>
      <c r="H2096" s="2">
        <v>404</v>
      </c>
      <c r="I2096" s="2">
        <v>449</v>
      </c>
      <c r="J2096" s="2">
        <v>1660</v>
      </c>
      <c r="K2096" s="2">
        <v>1</v>
      </c>
      <c r="L2096" s="2">
        <v>404</v>
      </c>
    </row>
    <row r="2097" spans="1:12" x14ac:dyDescent="0.25">
      <c r="A2097" s="4" t="str">
        <f>HYPERLINK("http://www.rosaceae.org/Prunus/Prunus_persica/p.persica_gdr_reftransV1_0016580","p.persica_gdr_reftransV1_0016580")</f>
        <v>p.persica_gdr_reftransV1_0016580</v>
      </c>
      <c r="B2097" s="2">
        <v>2708</v>
      </c>
      <c r="C2097" s="4" t="str">
        <f>HYPERLINK("http://www.uniprot.org/uniprot/M5XE00","M5XE00")</f>
        <v>M5XE00</v>
      </c>
      <c r="D2097" s="2" t="s">
        <v>2028</v>
      </c>
      <c r="E2097" s="3">
        <v>0</v>
      </c>
      <c r="F2097" s="2">
        <v>2661</v>
      </c>
      <c r="G2097" s="2">
        <v>100</v>
      </c>
      <c r="H2097" s="2">
        <v>493</v>
      </c>
      <c r="I2097" s="2">
        <v>1093</v>
      </c>
      <c r="J2097" s="2">
        <v>2571</v>
      </c>
      <c r="K2097" s="2">
        <v>1</v>
      </c>
      <c r="L2097" s="2">
        <v>493</v>
      </c>
    </row>
    <row r="2098" spans="1:12" x14ac:dyDescent="0.25">
      <c r="A2098" s="4" t="str">
        <f>HYPERLINK("http://www.rosaceae.org/Prunus/Prunus_persica/p.persica_gdr_reftransV1_0016930","p.persica_gdr_reftransV1_0016930")</f>
        <v>p.persica_gdr_reftransV1_0016930</v>
      </c>
      <c r="B2098" s="2">
        <v>1896</v>
      </c>
      <c r="C2098" s="4" t="str">
        <f>HYPERLINK("http://www.uniprot.org/uniprot/M5WR84","M5WR84")</f>
        <v>M5WR84</v>
      </c>
      <c r="D2098" s="2" t="s">
        <v>2029</v>
      </c>
      <c r="E2098" s="3">
        <v>2.02E-76</v>
      </c>
      <c r="F2098" s="2">
        <v>545</v>
      </c>
      <c r="G2098" s="2">
        <v>99</v>
      </c>
      <c r="H2098" s="2">
        <v>104</v>
      </c>
      <c r="I2098" s="2">
        <v>660</v>
      </c>
      <c r="J2098" s="2">
        <v>971</v>
      </c>
      <c r="K2098" s="2">
        <v>1</v>
      </c>
      <c r="L2098" s="2">
        <v>104</v>
      </c>
    </row>
    <row r="2099" spans="1:12" x14ac:dyDescent="0.25">
      <c r="A2099" s="4" t="str">
        <f>HYPERLINK("http://www.rosaceae.org/Prunus/Prunus_persica/p.persica_gdr_reftransV1_0017980","p.persica_gdr_reftransV1_0017980")</f>
        <v>p.persica_gdr_reftransV1_0017980</v>
      </c>
      <c r="B2099" s="2">
        <v>1227</v>
      </c>
      <c r="C2099" s="4" t="str">
        <f>HYPERLINK("http://www.uniprot.org/uniprot/M5VKW0","M5VKW0")</f>
        <v>M5VKW0</v>
      </c>
      <c r="D2099" s="2" t="s">
        <v>2030</v>
      </c>
      <c r="E2099" s="3">
        <v>6.7300000000000003E-123</v>
      </c>
      <c r="F2099" s="2">
        <v>939</v>
      </c>
      <c r="G2099" s="2">
        <v>100</v>
      </c>
      <c r="H2099" s="2">
        <v>189</v>
      </c>
      <c r="I2099" s="2">
        <v>228</v>
      </c>
      <c r="J2099" s="2">
        <v>794</v>
      </c>
      <c r="K2099" s="2">
        <v>1</v>
      </c>
      <c r="L2099" s="2">
        <v>189</v>
      </c>
    </row>
    <row r="2100" spans="1:12" x14ac:dyDescent="0.25">
      <c r="A2100" s="4" t="str">
        <f>HYPERLINK("http://www.rosaceae.org/Prunus/Prunus_persica/p.persica_gdr_reftransV1_0018330","p.persica_gdr_reftransV1_0018330")</f>
        <v>p.persica_gdr_reftransV1_0018330</v>
      </c>
      <c r="B2100" s="2">
        <v>2007</v>
      </c>
      <c r="C2100" s="4" t="str">
        <f>HYPERLINK("http://www.uniprot.org/uniprot/M5W5X4","M5W5X4")</f>
        <v>M5W5X4</v>
      </c>
      <c r="D2100" s="2" t="s">
        <v>2031</v>
      </c>
      <c r="E2100" s="3">
        <v>0</v>
      </c>
      <c r="F2100" s="2">
        <v>2264</v>
      </c>
      <c r="G2100" s="2">
        <v>97</v>
      </c>
      <c r="H2100" s="2">
        <v>497</v>
      </c>
      <c r="I2100" s="2">
        <v>101</v>
      </c>
      <c r="J2100" s="2">
        <v>1591</v>
      </c>
      <c r="K2100" s="2">
        <v>1</v>
      </c>
      <c r="L2100" s="2">
        <v>481</v>
      </c>
    </row>
    <row r="2101" spans="1:12" x14ac:dyDescent="0.25">
      <c r="A2101" s="4" t="str">
        <f>HYPERLINK("http://www.rosaceae.org/Prunus/Prunus_persica/p.persica_gdr_reftransV1_0020430","p.persica_gdr_reftransV1_0020430")</f>
        <v>p.persica_gdr_reftransV1_0020430</v>
      </c>
      <c r="B2101" s="2">
        <v>1538</v>
      </c>
      <c r="C2101" s="4" t="str">
        <f>HYPERLINK("http://www.uniprot.org/uniprot/M5XQE9","M5XQE9")</f>
        <v>M5XQE9</v>
      </c>
      <c r="D2101" s="2" t="s">
        <v>2032</v>
      </c>
      <c r="E2101" s="3">
        <v>0</v>
      </c>
      <c r="F2101" s="2">
        <v>1485</v>
      </c>
      <c r="G2101" s="2">
        <v>100</v>
      </c>
      <c r="H2101" s="2">
        <v>316</v>
      </c>
      <c r="I2101" s="2">
        <v>141</v>
      </c>
      <c r="J2101" s="2">
        <v>1088</v>
      </c>
      <c r="K2101" s="2">
        <v>1</v>
      </c>
      <c r="L2101" s="2">
        <v>316</v>
      </c>
    </row>
    <row r="2102" spans="1:12" x14ac:dyDescent="0.25">
      <c r="A2102" s="4" t="str">
        <f>HYPERLINK("http://www.rosaceae.org/Prunus/Prunus_persica/p.persica_gdr_reftransV1_0020780","p.persica_gdr_reftransV1_0020780")</f>
        <v>p.persica_gdr_reftransV1_0020780</v>
      </c>
      <c r="B2102" s="2">
        <v>3467</v>
      </c>
      <c r="C2102" s="4" t="str">
        <f>HYPERLINK("http://www.uniprot.org/uniprot/M5W7N2","M5W7N2")</f>
        <v>M5W7N2</v>
      </c>
      <c r="D2102" s="2" t="s">
        <v>2033</v>
      </c>
      <c r="E2102" s="3">
        <v>0</v>
      </c>
      <c r="F2102" s="2">
        <v>4067</v>
      </c>
      <c r="G2102" s="2">
        <v>89</v>
      </c>
      <c r="H2102" s="2">
        <v>992</v>
      </c>
      <c r="I2102" s="2">
        <v>1</v>
      </c>
      <c r="J2102" s="2">
        <v>2976</v>
      </c>
      <c r="K2102" s="2">
        <v>219</v>
      </c>
      <c r="L2102" s="2">
        <v>1100</v>
      </c>
    </row>
    <row r="2103" spans="1:12" x14ac:dyDescent="0.25">
      <c r="A2103" s="4" t="str">
        <f>HYPERLINK("http://www.rosaceae.org/Prunus/Prunus_persica/p.persica_gdr_reftransV1_0021830","p.persica_gdr_reftransV1_0021830")</f>
        <v>p.persica_gdr_reftransV1_0021830</v>
      </c>
      <c r="B2103" s="2">
        <v>2355</v>
      </c>
      <c r="C2103" s="4" t="str">
        <f>HYPERLINK("http://www.uniprot.org/uniprot/M5VQ06","M5VQ06")</f>
        <v>M5VQ06</v>
      </c>
      <c r="D2103" s="2" t="s">
        <v>2034</v>
      </c>
      <c r="E2103" s="3">
        <v>0</v>
      </c>
      <c r="F2103" s="2">
        <v>2533</v>
      </c>
      <c r="G2103" s="2">
        <v>99</v>
      </c>
      <c r="H2103" s="2">
        <v>543</v>
      </c>
      <c r="I2103" s="2">
        <v>192</v>
      </c>
      <c r="J2103" s="2">
        <v>1820</v>
      </c>
      <c r="K2103" s="2">
        <v>1</v>
      </c>
      <c r="L2103" s="2">
        <v>543</v>
      </c>
    </row>
    <row r="2104" spans="1:12" x14ac:dyDescent="0.25">
      <c r="A2104" s="4" t="str">
        <f>HYPERLINK("http://www.rosaceae.org/Prunus/Prunus_persica/p.persica_gdr_reftransV1_0022530","p.persica_gdr_reftransV1_0022530")</f>
        <v>p.persica_gdr_reftransV1_0022530</v>
      </c>
      <c r="B2104" s="2">
        <v>1782</v>
      </c>
      <c r="C2104" s="4" t="str">
        <f>HYPERLINK("http://www.uniprot.org/uniprot/M5W0W8","M5W0W8")</f>
        <v>M5W0W8</v>
      </c>
      <c r="D2104" s="2" t="s">
        <v>2035</v>
      </c>
      <c r="E2104" s="3">
        <v>7.6400000000000002E-131</v>
      </c>
      <c r="F2104" s="2">
        <v>1014</v>
      </c>
      <c r="G2104" s="2">
        <v>82</v>
      </c>
      <c r="H2104" s="2">
        <v>262</v>
      </c>
      <c r="I2104" s="2">
        <v>858</v>
      </c>
      <c r="J2104" s="2">
        <v>1643</v>
      </c>
      <c r="K2104" s="2">
        <v>1</v>
      </c>
      <c r="L2104" s="2">
        <v>215</v>
      </c>
    </row>
    <row r="2105" spans="1:12" x14ac:dyDescent="0.25">
      <c r="A2105" s="4" t="str">
        <f>HYPERLINK("http://www.rosaceae.org/Prunus/Prunus_persica/p.persica_gdr_reftransV1_0022880","p.persica_gdr_reftransV1_0022880")</f>
        <v>p.persica_gdr_reftransV1_0022880</v>
      </c>
      <c r="B2105" s="2">
        <v>3773</v>
      </c>
      <c r="C2105" s="4" t="str">
        <f>HYPERLINK("http://www.uniprot.org/uniprot/M5W145","M5W145")</f>
        <v>M5W145</v>
      </c>
      <c r="D2105" s="2" t="s">
        <v>2036</v>
      </c>
      <c r="E2105" s="3">
        <v>0</v>
      </c>
      <c r="F2105" s="2">
        <v>3735</v>
      </c>
      <c r="G2105" s="2">
        <v>99</v>
      </c>
      <c r="H2105" s="2">
        <v>728</v>
      </c>
      <c r="I2105" s="2">
        <v>1238</v>
      </c>
      <c r="J2105" s="2">
        <v>3421</v>
      </c>
      <c r="K2105" s="2">
        <v>1</v>
      </c>
      <c r="L2105" s="2">
        <v>728</v>
      </c>
    </row>
    <row r="2106" spans="1:12" x14ac:dyDescent="0.25">
      <c r="A2106" s="4" t="str">
        <f>HYPERLINK("http://www.rosaceae.org/Prunus/Prunus_persica/p.persica_gdr_reftransV1_0023580","p.persica_gdr_reftransV1_0023580")</f>
        <v>p.persica_gdr_reftransV1_0023580</v>
      </c>
      <c r="B2106" s="2">
        <v>2750</v>
      </c>
      <c r="C2106" s="4" t="str">
        <f>HYPERLINK("http://www.uniprot.org/uniprot/M5VZV2","M5VZV2")</f>
        <v>M5VZV2</v>
      </c>
      <c r="D2106" s="2" t="s">
        <v>2037</v>
      </c>
      <c r="E2106" s="3">
        <v>1.01E-114</v>
      </c>
      <c r="F2106" s="2">
        <v>793</v>
      </c>
      <c r="G2106" s="2">
        <v>87</v>
      </c>
      <c r="H2106" s="2">
        <v>200</v>
      </c>
      <c r="I2106" s="2">
        <v>647</v>
      </c>
      <c r="J2106" s="2">
        <v>1246</v>
      </c>
      <c r="K2106" s="2">
        <v>74</v>
      </c>
      <c r="L2106" s="2">
        <v>246</v>
      </c>
    </row>
    <row r="2107" spans="1:12" x14ac:dyDescent="0.25">
      <c r="A2107" s="4" t="str">
        <f>HYPERLINK("http://www.rosaceae.org/Prunus/Prunus_persica/p.persica_gdr_reftransV1_0024280","p.persica_gdr_reftransV1_0024280")</f>
        <v>p.persica_gdr_reftransV1_0024280</v>
      </c>
      <c r="B2107" s="2">
        <v>2023</v>
      </c>
      <c r="C2107" s="4" t="str">
        <f>HYPERLINK("http://www.uniprot.org/uniprot/M5XCD0","M5XCD0")</f>
        <v>M5XCD0</v>
      </c>
      <c r="D2107" s="2" t="s">
        <v>2038</v>
      </c>
      <c r="E2107" s="3">
        <v>0</v>
      </c>
      <c r="F2107" s="2">
        <v>1537</v>
      </c>
      <c r="G2107" s="2">
        <v>100</v>
      </c>
      <c r="H2107" s="2">
        <v>354</v>
      </c>
      <c r="I2107" s="2">
        <v>793</v>
      </c>
      <c r="J2107" s="2">
        <v>1854</v>
      </c>
      <c r="K2107" s="2">
        <v>1</v>
      </c>
      <c r="L2107" s="2">
        <v>354</v>
      </c>
    </row>
    <row r="2108" spans="1:12" x14ac:dyDescent="0.25">
      <c r="A2108" s="4" t="str">
        <f>HYPERLINK("http://www.rosaceae.org/Prunus/Prunus_persica/p.persica_gdr_reftransV1_0024630","p.persica_gdr_reftransV1_0024630")</f>
        <v>p.persica_gdr_reftransV1_0024630</v>
      </c>
      <c r="B2108" s="2">
        <v>404</v>
      </c>
      <c r="C2108" s="4" t="str">
        <f>HYPERLINK("http://www.uniprot.org/uniprot/A0A0D2NH23","A0A0D2NH23")</f>
        <v>A0A0D2NH23</v>
      </c>
      <c r="D2108" s="2" t="s">
        <v>2039</v>
      </c>
      <c r="E2108" s="3">
        <v>4.1900000000000003E-24</v>
      </c>
      <c r="F2108" s="2">
        <v>265</v>
      </c>
      <c r="G2108" s="2">
        <v>61</v>
      </c>
      <c r="H2108" s="2">
        <v>100</v>
      </c>
      <c r="I2108" s="2">
        <v>104</v>
      </c>
      <c r="J2108" s="2">
        <v>403</v>
      </c>
      <c r="K2108" s="2">
        <v>1</v>
      </c>
      <c r="L2108" s="2">
        <v>97</v>
      </c>
    </row>
    <row r="2109" spans="1:12" x14ac:dyDescent="0.25">
      <c r="A2109" s="4" t="str">
        <f>HYPERLINK("http://www.rosaceae.org/Prunus/Prunus_persica/p.persica_gdr_reftransV1_0024980","p.persica_gdr_reftransV1_0024980")</f>
        <v>p.persica_gdr_reftransV1_0024980</v>
      </c>
      <c r="B2109" s="2">
        <v>381</v>
      </c>
      <c r="C2109" s="4" t="str">
        <f>HYPERLINK("http://www.uniprot.org/uniprot/M5X5S9","M5X5S9")</f>
        <v>M5X5S9</v>
      </c>
      <c r="D2109" s="2" t="s">
        <v>2040</v>
      </c>
      <c r="E2109" s="3">
        <v>2.09E-50</v>
      </c>
      <c r="F2109" s="2">
        <v>442</v>
      </c>
      <c r="G2109" s="2">
        <v>100</v>
      </c>
      <c r="H2109" s="2">
        <v>86</v>
      </c>
      <c r="I2109" s="2">
        <v>3</v>
      </c>
      <c r="J2109" s="2">
        <v>260</v>
      </c>
      <c r="K2109" s="2">
        <v>1</v>
      </c>
      <c r="L2109" s="2">
        <v>86</v>
      </c>
    </row>
    <row r="2110" spans="1:12" x14ac:dyDescent="0.25">
      <c r="A2110" s="4" t="str">
        <f>HYPERLINK("http://www.rosaceae.org/Prunus/Prunus_persica/p.persica_gdr_reftransV1_0026030","p.persica_gdr_reftransV1_0026030")</f>
        <v>p.persica_gdr_reftransV1_0026030</v>
      </c>
      <c r="B2110" s="2">
        <v>4495</v>
      </c>
      <c r="C2110" s="4" t="str">
        <f>HYPERLINK("http://www.uniprot.org/uniprot/M5WZQ0","M5WZQ0")</f>
        <v>M5WZQ0</v>
      </c>
      <c r="D2110" s="2" t="s">
        <v>2041</v>
      </c>
      <c r="E2110" s="3">
        <v>0</v>
      </c>
      <c r="F2110" s="2">
        <v>4028</v>
      </c>
      <c r="G2110" s="2">
        <v>100</v>
      </c>
      <c r="H2110" s="2">
        <v>966</v>
      </c>
      <c r="I2110" s="2">
        <v>954</v>
      </c>
      <c r="J2110" s="2">
        <v>3851</v>
      </c>
      <c r="K2110" s="2">
        <v>194</v>
      </c>
      <c r="L2110" s="2">
        <v>1159</v>
      </c>
    </row>
    <row r="2111" spans="1:12" x14ac:dyDescent="0.25">
      <c r="A2111" s="4" t="str">
        <f>HYPERLINK("http://www.rosaceae.org/Prunus/Prunus_persica/p.persica_gdr_reftransV1_0026730","p.persica_gdr_reftransV1_0026730")</f>
        <v>p.persica_gdr_reftransV1_0026730</v>
      </c>
      <c r="B2111" s="2">
        <v>1801</v>
      </c>
      <c r="C2111" s="4" t="str">
        <f>HYPERLINK("http://www.uniprot.org/uniprot/M5W969","M5W969")</f>
        <v>M5W969</v>
      </c>
      <c r="D2111" s="2" t="s">
        <v>55</v>
      </c>
      <c r="E2111" s="3">
        <v>0</v>
      </c>
      <c r="F2111" s="2">
        <v>1944</v>
      </c>
      <c r="G2111" s="2">
        <v>100</v>
      </c>
      <c r="H2111" s="2">
        <v>382</v>
      </c>
      <c r="I2111" s="2">
        <v>409</v>
      </c>
      <c r="J2111" s="2">
        <v>1554</v>
      </c>
      <c r="K2111" s="2">
        <v>1</v>
      </c>
      <c r="L2111" s="2">
        <v>382</v>
      </c>
    </row>
    <row r="2112" spans="1:12" x14ac:dyDescent="0.25">
      <c r="A2112" s="4" t="str">
        <f>HYPERLINK("http://www.rosaceae.org/Prunus/Prunus_persica/p.persica_gdr_reftransV1_0027080","p.persica_gdr_reftransV1_0027080")</f>
        <v>p.persica_gdr_reftransV1_0027080</v>
      </c>
      <c r="B2112" s="2">
        <v>3810</v>
      </c>
      <c r="C2112" s="4" t="str">
        <f>HYPERLINK("http://www.uniprot.org/uniprot/M5XQ51","M5XQ51")</f>
        <v>M5XQ51</v>
      </c>
      <c r="D2112" s="2" t="s">
        <v>2042</v>
      </c>
      <c r="E2112" s="3">
        <v>0</v>
      </c>
      <c r="F2112" s="2">
        <v>2772</v>
      </c>
      <c r="G2112" s="2">
        <v>97</v>
      </c>
      <c r="H2112" s="2">
        <v>551</v>
      </c>
      <c r="I2112" s="2">
        <v>228</v>
      </c>
      <c r="J2112" s="2">
        <v>1880</v>
      </c>
      <c r="K2112" s="2">
        <v>364</v>
      </c>
      <c r="L2112" s="2">
        <v>897</v>
      </c>
    </row>
    <row r="2113" spans="1:12" x14ac:dyDescent="0.25">
      <c r="A2113" s="4" t="str">
        <f>HYPERLINK("http://www.rosaceae.org/Prunus/Prunus_persica/p.persica_gdr_reftransV1_0028830","p.persica_gdr_reftransV1_0028830")</f>
        <v>p.persica_gdr_reftransV1_0028830</v>
      </c>
      <c r="B2113" s="2">
        <v>2076</v>
      </c>
      <c r="C2113" s="4" t="str">
        <f>HYPERLINK("http://www.uniprot.org/uniprot/M5X2F4","M5X2F4")</f>
        <v>M5X2F4</v>
      </c>
      <c r="D2113" s="2" t="s">
        <v>2043</v>
      </c>
      <c r="E2113" s="3">
        <v>4.4299999999999998E-60</v>
      </c>
      <c r="F2113" s="2">
        <v>536</v>
      </c>
      <c r="G2113" s="2">
        <v>98</v>
      </c>
      <c r="H2113" s="2">
        <v>104</v>
      </c>
      <c r="I2113" s="2">
        <v>1421</v>
      </c>
      <c r="J2113" s="2">
        <v>1732</v>
      </c>
      <c r="K2113" s="2">
        <v>18</v>
      </c>
      <c r="L2113" s="2">
        <v>121</v>
      </c>
    </row>
    <row r="2114" spans="1:12" x14ac:dyDescent="0.25">
      <c r="A2114" s="4" t="str">
        <f>HYPERLINK("http://www.rosaceae.org/Prunus/Prunus_persica/p.persica_gdr_reftransV1_0029180","p.persica_gdr_reftransV1_0029180")</f>
        <v>p.persica_gdr_reftransV1_0029180</v>
      </c>
      <c r="B2114" s="2">
        <v>2879</v>
      </c>
      <c r="C2114" s="4" t="str">
        <f>HYPERLINK("http://www.uniprot.org/uniprot/M5X8G4","M5X8G4")</f>
        <v>M5X8G4</v>
      </c>
      <c r="D2114" s="2" t="s">
        <v>2044</v>
      </c>
      <c r="E2114" s="3">
        <v>0</v>
      </c>
      <c r="F2114" s="2">
        <v>1521</v>
      </c>
      <c r="G2114" s="2">
        <v>99</v>
      </c>
      <c r="H2114" s="2">
        <v>288</v>
      </c>
      <c r="I2114" s="2">
        <v>987</v>
      </c>
      <c r="J2114" s="2">
        <v>1850</v>
      </c>
      <c r="K2114" s="2">
        <v>300</v>
      </c>
      <c r="L2114" s="2">
        <v>587</v>
      </c>
    </row>
    <row r="2115" spans="1:12" x14ac:dyDescent="0.25">
      <c r="A2115" s="4" t="str">
        <f>HYPERLINK("http://www.rosaceae.org/Prunus/Prunus_persica/p.persica_gdr_reftransV1_0029880","p.persica_gdr_reftransV1_0029880")</f>
        <v>p.persica_gdr_reftransV1_0029880</v>
      </c>
      <c r="B2115" s="2">
        <v>485</v>
      </c>
      <c r="C2115" s="4" t="str">
        <f>HYPERLINK("http://www.uniprot.org/uniprot/M5XAF2","M5XAF2")</f>
        <v>M5XAF2</v>
      </c>
      <c r="D2115" s="2" t="s">
        <v>2045</v>
      </c>
      <c r="E2115" s="3">
        <v>2.4299999999999998E-52</v>
      </c>
      <c r="F2115" s="2">
        <v>446</v>
      </c>
      <c r="G2115" s="2">
        <v>63</v>
      </c>
      <c r="H2115" s="2">
        <v>141</v>
      </c>
      <c r="I2115" s="2">
        <v>61</v>
      </c>
      <c r="J2115" s="2">
        <v>483</v>
      </c>
      <c r="K2115" s="2">
        <v>1</v>
      </c>
      <c r="L2115" s="2">
        <v>132</v>
      </c>
    </row>
    <row r="2116" spans="1:12" x14ac:dyDescent="0.25">
      <c r="A2116" s="4" t="str">
        <f>HYPERLINK("http://www.rosaceae.org/Prunus/Prunus_persica/p.persica_gdr_reftransV1_0031630","p.persica_gdr_reftransV1_0031630")</f>
        <v>p.persica_gdr_reftransV1_0031630</v>
      </c>
      <c r="B2116" s="2">
        <v>2848</v>
      </c>
      <c r="C2116" s="4" t="str">
        <f>HYPERLINK("http://www.uniprot.org/uniprot/M5VY58","M5VY58")</f>
        <v>M5VY58</v>
      </c>
      <c r="D2116" s="2" t="s">
        <v>2046</v>
      </c>
      <c r="E2116" s="3">
        <v>2.3799999999999999E-117</v>
      </c>
      <c r="F2116" s="2">
        <v>971</v>
      </c>
      <c r="G2116" s="2">
        <v>98</v>
      </c>
      <c r="H2116" s="2">
        <v>188</v>
      </c>
      <c r="I2116" s="2">
        <v>2</v>
      </c>
      <c r="J2116" s="2">
        <v>562</v>
      </c>
      <c r="K2116" s="2">
        <v>45</v>
      </c>
      <c r="L2116" s="2">
        <v>232</v>
      </c>
    </row>
    <row r="2117" spans="1:12" x14ac:dyDescent="0.25">
      <c r="A2117" s="4" t="str">
        <f>HYPERLINK("http://www.rosaceae.org/Prunus/Prunus_persica/p.persica_gdr_reftransV1_0034080","p.persica_gdr_reftransV1_0034080")</f>
        <v>p.persica_gdr_reftransV1_0034080</v>
      </c>
      <c r="B2117" s="2">
        <v>1554</v>
      </c>
      <c r="C2117" s="4" t="str">
        <f>HYPERLINK("http://www.uniprot.org/uniprot/M5VI85","M5VI85")</f>
        <v>M5VI85</v>
      </c>
      <c r="D2117" s="2" t="s">
        <v>2047</v>
      </c>
      <c r="E2117" s="3">
        <v>2.3299999999999999E-92</v>
      </c>
      <c r="F2117" s="2">
        <v>751</v>
      </c>
      <c r="G2117" s="2">
        <v>97</v>
      </c>
      <c r="H2117" s="2">
        <v>177</v>
      </c>
      <c r="I2117" s="2">
        <v>173</v>
      </c>
      <c r="J2117" s="2">
        <v>703</v>
      </c>
      <c r="K2117" s="2">
        <v>1</v>
      </c>
      <c r="L2117" s="2">
        <v>177</v>
      </c>
    </row>
    <row r="2118" spans="1:12" x14ac:dyDescent="0.25">
      <c r="A2118" s="4" t="str">
        <f>HYPERLINK("http://www.rosaceae.org/Prunus/Prunus_persica/p.persica_gdr_reftransV1_0035480","p.persica_gdr_reftransV1_0035480")</f>
        <v>p.persica_gdr_reftransV1_0035480</v>
      </c>
      <c r="B2118" s="2">
        <v>2812</v>
      </c>
      <c r="C2118" s="4" t="str">
        <f>HYPERLINK("http://www.uniprot.org/uniprot/M5W772","M5W772")</f>
        <v>M5W772</v>
      </c>
      <c r="D2118" s="2" t="s">
        <v>2048</v>
      </c>
      <c r="E2118" s="3">
        <v>0</v>
      </c>
      <c r="F2118" s="2">
        <v>2105</v>
      </c>
      <c r="G2118" s="2">
        <v>100</v>
      </c>
      <c r="H2118" s="2">
        <v>390</v>
      </c>
      <c r="I2118" s="2">
        <v>1555</v>
      </c>
      <c r="J2118" s="2">
        <v>2724</v>
      </c>
      <c r="K2118" s="2">
        <v>1</v>
      </c>
      <c r="L2118" s="2">
        <v>390</v>
      </c>
    </row>
    <row r="2119" spans="1:12" x14ac:dyDescent="0.25">
      <c r="A2119" s="4" t="str">
        <f>HYPERLINK("http://www.rosaceae.org/Prunus/Prunus_persica/p.persica_gdr_reftransV1_0035830","p.persica_gdr_reftransV1_0035830")</f>
        <v>p.persica_gdr_reftransV1_0035830</v>
      </c>
      <c r="B2119" s="2">
        <v>1961</v>
      </c>
      <c r="C2119" s="4" t="str">
        <f>HYPERLINK("http://www.uniprot.org/uniprot/M5WZI9","M5WZI9")</f>
        <v>M5WZI9</v>
      </c>
      <c r="D2119" s="2" t="s">
        <v>2049</v>
      </c>
      <c r="E2119" s="3">
        <v>0</v>
      </c>
      <c r="F2119" s="2">
        <v>2255</v>
      </c>
      <c r="G2119" s="2">
        <v>100</v>
      </c>
      <c r="H2119" s="2">
        <v>436</v>
      </c>
      <c r="I2119" s="2">
        <v>385</v>
      </c>
      <c r="J2119" s="2">
        <v>1692</v>
      </c>
      <c r="K2119" s="2">
        <v>1</v>
      </c>
      <c r="L2119" s="2">
        <v>436</v>
      </c>
    </row>
    <row r="2120" spans="1:12" x14ac:dyDescent="0.25">
      <c r="A2120" s="4" t="str">
        <f>HYPERLINK("http://www.rosaceae.org/Prunus/Prunus_persica/p.persica_gdr_reftransV1_0036880","p.persica_gdr_reftransV1_0036880")</f>
        <v>p.persica_gdr_reftransV1_0036880</v>
      </c>
      <c r="B2120" s="2">
        <v>1486</v>
      </c>
      <c r="C2120" s="4" t="str">
        <f>HYPERLINK("http://www.uniprot.org/uniprot/M5X1V6","M5X1V6")</f>
        <v>M5X1V6</v>
      </c>
      <c r="D2120" s="2" t="s">
        <v>2050</v>
      </c>
      <c r="E2120" s="3">
        <v>1.1799999999999999E-121</v>
      </c>
      <c r="F2120" s="2">
        <v>950</v>
      </c>
      <c r="G2120" s="2">
        <v>100</v>
      </c>
      <c r="H2120" s="2">
        <v>183</v>
      </c>
      <c r="I2120" s="2">
        <v>541</v>
      </c>
      <c r="J2120" s="2">
        <v>1089</v>
      </c>
      <c r="K2120" s="2">
        <v>126</v>
      </c>
      <c r="L2120" s="2">
        <v>308</v>
      </c>
    </row>
    <row r="2121" spans="1:12" x14ac:dyDescent="0.25">
      <c r="A2121" s="4" t="str">
        <f>HYPERLINK("http://www.rosaceae.org/Prunus/Prunus_persica/p.persica_gdr_reftransV1_0037580","p.persica_gdr_reftransV1_0037580")</f>
        <v>p.persica_gdr_reftransV1_0037580</v>
      </c>
      <c r="B2121" s="2">
        <v>2450</v>
      </c>
      <c r="C2121" s="4" t="str">
        <f>HYPERLINK("http://www.uniprot.org/uniprot/M5WH86","M5WH86")</f>
        <v>M5WH86</v>
      </c>
      <c r="D2121" s="2" t="s">
        <v>2051</v>
      </c>
      <c r="E2121" s="3">
        <v>1.3E-118</v>
      </c>
      <c r="F2121" s="2">
        <v>949</v>
      </c>
      <c r="G2121" s="2">
        <v>87</v>
      </c>
      <c r="H2121" s="2">
        <v>219</v>
      </c>
      <c r="I2121" s="2">
        <v>1456</v>
      </c>
      <c r="J2121" s="2">
        <v>2109</v>
      </c>
      <c r="K2121" s="2">
        <v>8</v>
      </c>
      <c r="L2121" s="2">
        <v>216</v>
      </c>
    </row>
    <row r="2122" spans="1:12" x14ac:dyDescent="0.25">
      <c r="A2122" s="4" t="str">
        <f>HYPERLINK("http://www.rosaceae.org/Prunus/Prunus_persica/p.persica_gdr_reftransV1_0038630","p.persica_gdr_reftransV1_0038630")</f>
        <v>p.persica_gdr_reftransV1_0038630</v>
      </c>
      <c r="B2122" s="2">
        <v>3085</v>
      </c>
      <c r="C2122" s="4" t="str">
        <f>HYPERLINK("http://www.uniprot.org/uniprot/M5WYD5","M5WYD5")</f>
        <v>M5WYD5</v>
      </c>
      <c r="D2122" s="2" t="s">
        <v>2052</v>
      </c>
      <c r="E2122" s="3">
        <v>0</v>
      </c>
      <c r="F2122" s="2">
        <v>3965</v>
      </c>
      <c r="G2122" s="2">
        <v>100</v>
      </c>
      <c r="H2122" s="2">
        <v>788</v>
      </c>
      <c r="I2122" s="2">
        <v>649</v>
      </c>
      <c r="J2122" s="2">
        <v>3012</v>
      </c>
      <c r="K2122" s="2">
        <v>1</v>
      </c>
      <c r="L2122" s="2">
        <v>788</v>
      </c>
    </row>
    <row r="2123" spans="1:12" x14ac:dyDescent="0.25">
      <c r="A2123" s="4" t="str">
        <f>HYPERLINK("http://www.rosaceae.org/Prunus/Prunus_persica/p.persica_gdr_reftransV1_0040730","p.persica_gdr_reftransV1_0040730")</f>
        <v>p.persica_gdr_reftransV1_0040730</v>
      </c>
      <c r="B2123" s="2">
        <v>2705</v>
      </c>
      <c r="C2123" s="4" t="str">
        <f>HYPERLINK("http://www.uniprot.org/uniprot/M5W3Z6","M5W3Z6")</f>
        <v>M5W3Z6</v>
      </c>
      <c r="D2123" s="2" t="s">
        <v>2053</v>
      </c>
      <c r="E2123" s="3">
        <v>0</v>
      </c>
      <c r="F2123" s="2">
        <v>3080</v>
      </c>
      <c r="G2123" s="2">
        <v>100</v>
      </c>
      <c r="H2123" s="2">
        <v>588</v>
      </c>
      <c r="I2123" s="2">
        <v>261</v>
      </c>
      <c r="J2123" s="2">
        <v>2024</v>
      </c>
      <c r="K2123" s="2">
        <v>1</v>
      </c>
      <c r="L2123" s="2">
        <v>588</v>
      </c>
    </row>
    <row r="2124" spans="1:12" x14ac:dyDescent="0.25">
      <c r="A2124" s="4" t="str">
        <f>HYPERLINK("http://www.rosaceae.org/Prunus/Prunus_persica/p.persica_gdr_reftransV1_0041080","p.persica_gdr_reftransV1_0041080")</f>
        <v>p.persica_gdr_reftransV1_0041080</v>
      </c>
      <c r="B2124" s="2">
        <v>354</v>
      </c>
      <c r="C2124" s="4" t="str">
        <f>HYPERLINK("http://www.uniprot.org/uniprot/M5VUX9","M5VUX9")</f>
        <v>M5VUX9</v>
      </c>
      <c r="D2124" s="2" t="s">
        <v>2054</v>
      </c>
      <c r="E2124" s="3">
        <v>2.3899999999999999E-74</v>
      </c>
      <c r="F2124" s="2">
        <v>613</v>
      </c>
      <c r="G2124" s="2">
        <v>99</v>
      </c>
      <c r="H2124" s="2">
        <v>118</v>
      </c>
      <c r="I2124" s="2">
        <v>1</v>
      </c>
      <c r="J2124" s="2">
        <v>354</v>
      </c>
      <c r="K2124" s="2">
        <v>35</v>
      </c>
      <c r="L2124" s="2">
        <v>152</v>
      </c>
    </row>
    <row r="2125" spans="1:12" x14ac:dyDescent="0.25">
      <c r="A2125" s="4" t="str">
        <f>HYPERLINK("http://www.rosaceae.org/Prunus/Prunus_persica/p.persica_gdr_reftransV1_0042130","p.persica_gdr_reftransV1_0042130")</f>
        <v>p.persica_gdr_reftransV1_0042130</v>
      </c>
      <c r="B2125" s="2">
        <v>2975</v>
      </c>
      <c r="C2125" s="4" t="str">
        <f>HYPERLINK("http://www.uniprot.org/uniprot/M5VX95","M5VX95")</f>
        <v>M5VX95</v>
      </c>
      <c r="D2125" s="2" t="s">
        <v>2055</v>
      </c>
      <c r="E2125" s="3">
        <v>1.58E-152</v>
      </c>
      <c r="F2125" s="2">
        <v>1201</v>
      </c>
      <c r="G2125" s="2">
        <v>100</v>
      </c>
      <c r="H2125" s="2">
        <v>248</v>
      </c>
      <c r="I2125" s="2">
        <v>312</v>
      </c>
      <c r="J2125" s="2">
        <v>1055</v>
      </c>
      <c r="K2125" s="2">
        <v>1</v>
      </c>
      <c r="L2125" s="2">
        <v>248</v>
      </c>
    </row>
    <row r="2126" spans="1:12" x14ac:dyDescent="0.25">
      <c r="A2126" s="4" t="str">
        <f>HYPERLINK("http://www.rosaceae.org/Prunus/Prunus_persica/p.persica_gdr_reftransV1_0042480","p.persica_gdr_reftransV1_0042480")</f>
        <v>p.persica_gdr_reftransV1_0042480</v>
      </c>
      <c r="B2126" s="2">
        <v>1965</v>
      </c>
      <c r="C2126" s="4" t="str">
        <f>HYPERLINK("http://www.uniprot.org/uniprot/M5XD74","M5XD74")</f>
        <v>M5XD74</v>
      </c>
      <c r="D2126" s="2" t="s">
        <v>2056</v>
      </c>
      <c r="E2126" s="3">
        <v>0</v>
      </c>
      <c r="F2126" s="2">
        <v>1543</v>
      </c>
      <c r="G2126" s="2">
        <v>100</v>
      </c>
      <c r="H2126" s="2">
        <v>323</v>
      </c>
      <c r="I2126" s="2">
        <v>663</v>
      </c>
      <c r="J2126" s="2">
        <v>1631</v>
      </c>
      <c r="K2126" s="2">
        <v>1</v>
      </c>
      <c r="L2126" s="2">
        <v>323</v>
      </c>
    </row>
    <row r="2127" spans="1:12" x14ac:dyDescent="0.25">
      <c r="A2127" s="4" t="str">
        <f>HYPERLINK("http://www.rosaceae.org/Prunus/Prunus_persica/p.persica_gdr_reftransV1_0043180","p.persica_gdr_reftransV1_0043180")</f>
        <v>p.persica_gdr_reftransV1_0043180</v>
      </c>
      <c r="B2127" s="2">
        <v>1653</v>
      </c>
      <c r="C2127" s="4" t="str">
        <f>HYPERLINK("http://www.uniprot.org/uniprot/M5X4F3","M5X4F3")</f>
        <v>M5X4F3</v>
      </c>
      <c r="D2127" s="2" t="s">
        <v>2057</v>
      </c>
      <c r="E2127" s="3">
        <v>0</v>
      </c>
      <c r="F2127" s="2">
        <v>2232</v>
      </c>
      <c r="G2127" s="2">
        <v>99</v>
      </c>
      <c r="H2127" s="2">
        <v>429</v>
      </c>
      <c r="I2127" s="2">
        <v>236</v>
      </c>
      <c r="J2127" s="2">
        <v>1522</v>
      </c>
      <c r="K2127" s="2">
        <v>1</v>
      </c>
      <c r="L2127" s="2">
        <v>429</v>
      </c>
    </row>
    <row r="2128" spans="1:12" x14ac:dyDescent="0.25">
      <c r="A2128" s="4" t="str">
        <f>HYPERLINK("http://www.rosaceae.org/Prunus/Prunus_persica/p.persica_gdr_reftransV1_0043530","p.persica_gdr_reftransV1_0043530")</f>
        <v>p.persica_gdr_reftransV1_0043530</v>
      </c>
      <c r="B2128" s="2">
        <v>304</v>
      </c>
      <c r="C2128" s="4" t="str">
        <f>HYPERLINK("http://www.uniprot.org/uniprot/M5XDE4","M5XDE4")</f>
        <v>M5XDE4</v>
      </c>
      <c r="D2128" s="2" t="s">
        <v>2058</v>
      </c>
      <c r="E2128" s="3">
        <v>4.8100000000000003E-64</v>
      </c>
      <c r="F2128" s="2">
        <v>538</v>
      </c>
      <c r="G2128" s="2">
        <v>100</v>
      </c>
      <c r="H2128" s="2">
        <v>100</v>
      </c>
      <c r="I2128" s="2">
        <v>3</v>
      </c>
      <c r="J2128" s="2">
        <v>302</v>
      </c>
      <c r="K2128" s="2">
        <v>107</v>
      </c>
      <c r="L2128" s="2">
        <v>206</v>
      </c>
    </row>
    <row r="2129" spans="1:12" x14ac:dyDescent="0.25">
      <c r="A2129" s="4" t="str">
        <f>HYPERLINK("http://www.rosaceae.org/Prunus/Prunus_persica/p.persica_gdr_reftransV1_0043880","p.persica_gdr_reftransV1_0043880")</f>
        <v>p.persica_gdr_reftransV1_0043880</v>
      </c>
      <c r="B2129" s="2">
        <v>529</v>
      </c>
      <c r="C2129" s="4" t="str">
        <f>HYPERLINK("http://www.uniprot.org/uniprot/M5XTJ9","M5XTJ9")</f>
        <v>M5XTJ9</v>
      </c>
      <c r="D2129" s="2" t="s">
        <v>2059</v>
      </c>
      <c r="E2129" s="3">
        <v>2.3000000000000001E-48</v>
      </c>
      <c r="F2129" s="2">
        <v>450</v>
      </c>
      <c r="G2129" s="2">
        <v>100</v>
      </c>
      <c r="H2129" s="2">
        <v>143</v>
      </c>
      <c r="I2129" s="2">
        <v>62</v>
      </c>
      <c r="J2129" s="2">
        <v>490</v>
      </c>
      <c r="K2129" s="2">
        <v>1</v>
      </c>
      <c r="L2129" s="2">
        <v>143</v>
      </c>
    </row>
    <row r="2130" spans="1:12" x14ac:dyDescent="0.25">
      <c r="A2130" s="4" t="str">
        <f>HYPERLINK("http://www.rosaceae.org/Prunus/Prunus_persica/p.persica_gdr_reftransV1_0044930","p.persica_gdr_reftransV1_0044930")</f>
        <v>p.persica_gdr_reftransV1_0044930</v>
      </c>
      <c r="B2130" s="2">
        <v>673</v>
      </c>
      <c r="C2130" s="4" t="str">
        <f>HYPERLINK("http://www.uniprot.org/uniprot/M5W502","M5W502")</f>
        <v>M5W502</v>
      </c>
      <c r="D2130" s="2" t="s">
        <v>2060</v>
      </c>
      <c r="E2130" s="3">
        <v>4.7699999999999999E-104</v>
      </c>
      <c r="F2130" s="2">
        <v>803</v>
      </c>
      <c r="G2130" s="2">
        <v>82</v>
      </c>
      <c r="H2130" s="2">
        <v>203</v>
      </c>
      <c r="I2130" s="2">
        <v>2</v>
      </c>
      <c r="J2130" s="2">
        <v>502</v>
      </c>
      <c r="K2130" s="2">
        <v>69</v>
      </c>
      <c r="L2130" s="2">
        <v>271</v>
      </c>
    </row>
    <row r="2131" spans="1:12" x14ac:dyDescent="0.25">
      <c r="A2131" s="4" t="str">
        <f>HYPERLINK("http://www.rosaceae.org/Prunus/Prunus_persica/p.persica_gdr_reftransV1_0045980","p.persica_gdr_reftransV1_0045980")</f>
        <v>p.persica_gdr_reftransV1_0045980</v>
      </c>
      <c r="B2131" s="2">
        <v>1147</v>
      </c>
      <c r="C2131" s="4" t="str">
        <f>HYPERLINK("http://www.uniprot.org/uniprot/M5VKA9","M5VKA9")</f>
        <v>M5VKA9</v>
      </c>
      <c r="D2131" s="2" t="s">
        <v>2061</v>
      </c>
      <c r="E2131" s="3">
        <v>2.0999999999999999E-165</v>
      </c>
      <c r="F2131" s="2">
        <v>1223</v>
      </c>
      <c r="G2131" s="2">
        <v>100</v>
      </c>
      <c r="H2131" s="2">
        <v>244</v>
      </c>
      <c r="I2131" s="2">
        <v>299</v>
      </c>
      <c r="J2131" s="2">
        <v>1030</v>
      </c>
      <c r="K2131" s="2">
        <v>1</v>
      </c>
      <c r="L2131" s="2">
        <v>244</v>
      </c>
    </row>
    <row r="2132" spans="1:12" x14ac:dyDescent="0.25">
      <c r="A2132" s="4" t="str">
        <f>HYPERLINK("http://www.rosaceae.org/Prunus/Prunus_persica/p.persica_gdr_reftransV1_0046330","p.persica_gdr_reftransV1_0046330")</f>
        <v>p.persica_gdr_reftransV1_0046330</v>
      </c>
      <c r="B2132" s="2">
        <v>1968</v>
      </c>
      <c r="C2132" s="4" t="str">
        <f>HYPERLINK("http://www.uniprot.org/uniprot/M5WDJ5","M5WDJ5")</f>
        <v>M5WDJ5</v>
      </c>
      <c r="D2132" s="2" t="s">
        <v>2062</v>
      </c>
      <c r="E2132" s="3">
        <v>0</v>
      </c>
      <c r="F2132" s="2">
        <v>2195</v>
      </c>
      <c r="G2132" s="2">
        <v>100</v>
      </c>
      <c r="H2132" s="2">
        <v>443</v>
      </c>
      <c r="I2132" s="2">
        <v>231</v>
      </c>
      <c r="J2132" s="2">
        <v>1559</v>
      </c>
      <c r="K2132" s="2">
        <v>88</v>
      </c>
      <c r="L2132" s="2">
        <v>530</v>
      </c>
    </row>
    <row r="2133" spans="1:12" x14ac:dyDescent="0.25">
      <c r="A2133" s="4" t="str">
        <f>HYPERLINK("http://www.rosaceae.org/Prunus/Prunus_persica/p.persica_gdr_reftransV1_0046680","p.persica_gdr_reftransV1_0046680")</f>
        <v>p.persica_gdr_reftransV1_0046680</v>
      </c>
      <c r="B2133" s="2">
        <v>312</v>
      </c>
      <c r="C2133" s="4" t="str">
        <f>HYPERLINK("http://www.uniprot.org/uniprot/M5WSL2","M5WSL2")</f>
        <v>M5WSL2</v>
      </c>
      <c r="D2133" s="2" t="s">
        <v>2063</v>
      </c>
      <c r="E2133" s="3">
        <v>2.0899999999999999E-61</v>
      </c>
      <c r="F2133" s="2">
        <v>535</v>
      </c>
      <c r="G2133" s="2">
        <v>99</v>
      </c>
      <c r="H2133" s="2">
        <v>100</v>
      </c>
      <c r="I2133" s="2">
        <v>13</v>
      </c>
      <c r="J2133" s="2">
        <v>312</v>
      </c>
      <c r="K2133" s="2">
        <v>395</v>
      </c>
      <c r="L2133" s="2">
        <v>494</v>
      </c>
    </row>
    <row r="2134" spans="1:12" x14ac:dyDescent="0.25">
      <c r="A2134" s="4" t="str">
        <f>HYPERLINK("http://www.rosaceae.org/Prunus/Prunus_persica/p.persica_gdr_reftransV1_0047030","p.persica_gdr_reftransV1_0047030")</f>
        <v>p.persica_gdr_reftransV1_0047030</v>
      </c>
      <c r="B2134" s="2">
        <v>308</v>
      </c>
      <c r="C2134" s="4" t="str">
        <f>HYPERLINK("http://www.uniprot.org/uniprot/M5WHR2","M5WHR2")</f>
        <v>M5WHR2</v>
      </c>
      <c r="D2134" s="2" t="s">
        <v>2064</v>
      </c>
      <c r="E2134" s="3">
        <v>5.1399999999999997E-44</v>
      </c>
      <c r="F2134" s="2">
        <v>402</v>
      </c>
      <c r="G2134" s="2">
        <v>98</v>
      </c>
      <c r="H2134" s="2">
        <v>94</v>
      </c>
      <c r="I2134" s="2">
        <v>17</v>
      </c>
      <c r="J2134" s="2">
        <v>298</v>
      </c>
      <c r="K2134" s="2">
        <v>386</v>
      </c>
      <c r="L2134" s="2">
        <v>479</v>
      </c>
    </row>
    <row r="2135" spans="1:12" x14ac:dyDescent="0.25">
      <c r="A2135" s="4" t="str">
        <f>HYPERLINK("http://www.rosaceae.org/Prunus/Prunus_persica/p.persica_gdr_reftransV1_0047730","p.persica_gdr_reftransV1_0047730")</f>
        <v>p.persica_gdr_reftransV1_0047730</v>
      </c>
      <c r="B2135" s="2">
        <v>834</v>
      </c>
      <c r="C2135" s="4" t="str">
        <f>HYPERLINK("http://www.uniprot.org/uniprot/M5WB44","M5WB44")</f>
        <v>M5WB44</v>
      </c>
      <c r="D2135" s="2" t="s">
        <v>2065</v>
      </c>
      <c r="E2135" s="3">
        <v>5.3199999999999999E-68</v>
      </c>
      <c r="F2135" s="2">
        <v>555</v>
      </c>
      <c r="G2135" s="2">
        <v>100</v>
      </c>
      <c r="H2135" s="2">
        <v>122</v>
      </c>
      <c r="I2135" s="2">
        <v>121</v>
      </c>
      <c r="J2135" s="2">
        <v>486</v>
      </c>
      <c r="K2135" s="2">
        <v>1</v>
      </c>
      <c r="L2135" s="2">
        <v>122</v>
      </c>
    </row>
    <row r="2136" spans="1:12" x14ac:dyDescent="0.25">
      <c r="A2136" s="4" t="str">
        <f>HYPERLINK("http://www.rosaceae.org/Prunus/Prunus_persica/p.persica_gdr_reftransV1_0048080","p.persica_gdr_reftransV1_0048080")</f>
        <v>p.persica_gdr_reftransV1_0048080</v>
      </c>
      <c r="B2136" s="2">
        <v>314</v>
      </c>
      <c r="C2136" s="4" t="str">
        <f>HYPERLINK("http://www.uniprot.org/uniprot/M5W9D1","M5W9D1")</f>
        <v>M5W9D1</v>
      </c>
      <c r="D2136" s="2" t="s">
        <v>2066</v>
      </c>
      <c r="E2136" s="3">
        <v>9.0900000000000006E-68</v>
      </c>
      <c r="F2136" s="2">
        <v>562</v>
      </c>
      <c r="G2136" s="2">
        <v>100</v>
      </c>
      <c r="H2136" s="2">
        <v>104</v>
      </c>
      <c r="I2136" s="2">
        <v>1</v>
      </c>
      <c r="J2136" s="2">
        <v>312</v>
      </c>
      <c r="K2136" s="2">
        <v>241</v>
      </c>
      <c r="L2136" s="2">
        <v>344</v>
      </c>
    </row>
    <row r="2137" spans="1:12" x14ac:dyDescent="0.25">
      <c r="A2137" s="4" t="str">
        <f>HYPERLINK("http://www.rosaceae.org/Prunus/Prunus_persica/p.persica_gdr_reftransV1_0048430","p.persica_gdr_reftransV1_0048430")</f>
        <v>p.persica_gdr_reftransV1_0048430</v>
      </c>
      <c r="B2137" s="2">
        <v>1073</v>
      </c>
      <c r="C2137" s="4" t="str">
        <f>HYPERLINK("http://www.uniprot.org/uniprot/M5VP39","M5VP39")</f>
        <v>M5VP39</v>
      </c>
      <c r="D2137" s="2" t="s">
        <v>2067</v>
      </c>
      <c r="E2137" s="3">
        <v>5.0600000000000002E-77</v>
      </c>
      <c r="F2137" s="2">
        <v>633</v>
      </c>
      <c r="G2137" s="2">
        <v>100</v>
      </c>
      <c r="H2137" s="2">
        <v>227</v>
      </c>
      <c r="I2137" s="2">
        <v>353</v>
      </c>
      <c r="J2137" s="2">
        <v>1033</v>
      </c>
      <c r="K2137" s="2">
        <v>2</v>
      </c>
      <c r="L2137" s="2">
        <v>228</v>
      </c>
    </row>
    <row r="2138" spans="1:12" x14ac:dyDescent="0.25">
      <c r="A2138" s="4" t="str">
        <f>HYPERLINK("http://www.rosaceae.org/Prunus/Prunus_persica/p.persica_gdr_reftransV1_0048780","p.persica_gdr_reftransV1_0048780")</f>
        <v>p.persica_gdr_reftransV1_0048780</v>
      </c>
      <c r="B2138" s="2">
        <v>924</v>
      </c>
      <c r="C2138" s="4" t="str">
        <f>HYPERLINK("http://www.uniprot.org/uniprot/M5XB86","M5XB86")</f>
        <v>M5XB86</v>
      </c>
      <c r="D2138" s="2" t="s">
        <v>2068</v>
      </c>
      <c r="E2138" s="3">
        <v>9.9100000000000002E-76</v>
      </c>
      <c r="F2138" s="2">
        <v>612</v>
      </c>
      <c r="G2138" s="2">
        <v>100</v>
      </c>
      <c r="H2138" s="2">
        <v>145</v>
      </c>
      <c r="I2138" s="2">
        <v>89</v>
      </c>
      <c r="J2138" s="2">
        <v>523</v>
      </c>
      <c r="K2138" s="2">
        <v>1</v>
      </c>
      <c r="L2138" s="2">
        <v>145</v>
      </c>
    </row>
    <row r="2139" spans="1:12" x14ac:dyDescent="0.25">
      <c r="A2139" s="4" t="str">
        <f>HYPERLINK("http://www.rosaceae.org/Prunus/Prunus_persica/p.persica_gdr_reftransV1_0049130","p.persica_gdr_reftransV1_0049130")</f>
        <v>p.persica_gdr_reftransV1_0049130</v>
      </c>
      <c r="B2139" s="2">
        <v>2707</v>
      </c>
      <c r="C2139" s="4" t="str">
        <f>HYPERLINK("http://www.uniprot.org/uniprot/M5XD36","M5XD36")</f>
        <v>M5XD36</v>
      </c>
      <c r="D2139" s="2" t="s">
        <v>2069</v>
      </c>
      <c r="E2139" s="3">
        <v>0</v>
      </c>
      <c r="F2139" s="2">
        <v>1722</v>
      </c>
      <c r="G2139" s="2">
        <v>100</v>
      </c>
      <c r="H2139" s="2">
        <v>351</v>
      </c>
      <c r="I2139" s="2">
        <v>493</v>
      </c>
      <c r="J2139" s="2">
        <v>1545</v>
      </c>
      <c r="K2139" s="2">
        <v>1</v>
      </c>
      <c r="L2139" s="2">
        <v>351</v>
      </c>
    </row>
    <row r="2140" spans="1:12" x14ac:dyDescent="0.25">
      <c r="A2140" s="4" t="str">
        <f>HYPERLINK("http://www.rosaceae.org/Prunus/Prunus_persica/p.persica_gdr_reftransV1_0000013","p.persica_gdr_reftransV1_0000013")</f>
        <v>p.persica_gdr_reftransV1_0000013</v>
      </c>
      <c r="B2140" s="2">
        <v>1587</v>
      </c>
      <c r="C2140" s="4" t="str">
        <f>HYPERLINK("http://www.uniprot.org/uniprot/M5W9Y4","M5W9Y4")</f>
        <v>M5W9Y4</v>
      </c>
      <c r="D2140" s="2" t="s">
        <v>2070</v>
      </c>
      <c r="E2140" s="3">
        <v>0</v>
      </c>
      <c r="F2140" s="2">
        <v>1386</v>
      </c>
      <c r="G2140" s="2">
        <v>100</v>
      </c>
      <c r="H2140" s="2">
        <v>337</v>
      </c>
      <c r="I2140" s="2">
        <v>170</v>
      </c>
      <c r="J2140" s="2">
        <v>1180</v>
      </c>
      <c r="K2140" s="2">
        <v>1</v>
      </c>
      <c r="L2140" s="2">
        <v>337</v>
      </c>
    </row>
    <row r="2141" spans="1:12" x14ac:dyDescent="0.25">
      <c r="A2141" s="4" t="str">
        <f>HYPERLINK("http://www.rosaceae.org/Prunus/Prunus_persica/p.persica_gdr_reftransV1_0000363","p.persica_gdr_reftransV1_0000363")</f>
        <v>p.persica_gdr_reftransV1_0000363</v>
      </c>
      <c r="B2141" s="2">
        <v>752</v>
      </c>
      <c r="C2141" s="4" t="str">
        <f>HYPERLINK("http://www.uniprot.org/uniprot/M5WK21","M5WK21")</f>
        <v>M5WK21</v>
      </c>
      <c r="D2141" s="2" t="s">
        <v>2071</v>
      </c>
      <c r="E2141" s="3">
        <v>3.9800000000000002E-171</v>
      </c>
      <c r="F2141" s="2">
        <v>1280</v>
      </c>
      <c r="G2141" s="2">
        <v>100</v>
      </c>
      <c r="H2141" s="2">
        <v>250</v>
      </c>
      <c r="I2141" s="2">
        <v>2</v>
      </c>
      <c r="J2141" s="2">
        <v>751</v>
      </c>
      <c r="K2141" s="2">
        <v>351</v>
      </c>
      <c r="L2141" s="2">
        <v>600</v>
      </c>
    </row>
    <row r="2142" spans="1:12" x14ac:dyDescent="0.25">
      <c r="A2142" s="4" t="str">
        <f>HYPERLINK("http://www.rosaceae.org/Prunus/Prunus_persica/p.persica_gdr_reftransV1_0001763","p.persica_gdr_reftransV1_0001763")</f>
        <v>p.persica_gdr_reftransV1_0001763</v>
      </c>
      <c r="B2142" s="2">
        <v>2223</v>
      </c>
      <c r="C2142" s="4" t="str">
        <f>HYPERLINK("http://www.uniprot.org/uniprot/M5W4E3","M5W4E3")</f>
        <v>M5W4E3</v>
      </c>
      <c r="D2142" s="2" t="s">
        <v>2072</v>
      </c>
      <c r="E2142" s="3">
        <v>0</v>
      </c>
      <c r="F2142" s="2">
        <v>2364</v>
      </c>
      <c r="G2142" s="2">
        <v>95</v>
      </c>
      <c r="H2142" s="2">
        <v>503</v>
      </c>
      <c r="I2142" s="2">
        <v>180</v>
      </c>
      <c r="J2142" s="2">
        <v>1688</v>
      </c>
      <c r="K2142" s="2">
        <v>1</v>
      </c>
      <c r="L2142" s="2">
        <v>503</v>
      </c>
    </row>
    <row r="2143" spans="1:12" x14ac:dyDescent="0.25">
      <c r="A2143" s="4" t="str">
        <f>HYPERLINK("http://www.rosaceae.org/Prunus/Prunus_persica/p.persica_gdr_reftransV1_0002113","p.persica_gdr_reftransV1_0002113")</f>
        <v>p.persica_gdr_reftransV1_0002113</v>
      </c>
      <c r="B2143" s="2">
        <v>3509</v>
      </c>
      <c r="C2143" s="4" t="str">
        <f>HYPERLINK("http://www.uniprot.org/uniprot/M5XAP1","M5XAP1")</f>
        <v>M5XAP1</v>
      </c>
      <c r="D2143" s="2" t="s">
        <v>1928</v>
      </c>
      <c r="E2143" s="3">
        <v>0</v>
      </c>
      <c r="F2143" s="2">
        <v>4860</v>
      </c>
      <c r="G2143" s="2">
        <v>100</v>
      </c>
      <c r="H2143" s="2">
        <v>951</v>
      </c>
      <c r="I2143" s="2">
        <v>335</v>
      </c>
      <c r="J2143" s="2">
        <v>3187</v>
      </c>
      <c r="K2143" s="2">
        <v>1</v>
      </c>
      <c r="L2143" s="2">
        <v>951</v>
      </c>
    </row>
    <row r="2144" spans="1:12" x14ac:dyDescent="0.25">
      <c r="A2144" s="4" t="str">
        <f>HYPERLINK("http://www.rosaceae.org/Prunus/Prunus_persica/p.persica_gdr_reftransV1_0002463","p.persica_gdr_reftransV1_0002463")</f>
        <v>p.persica_gdr_reftransV1_0002463</v>
      </c>
      <c r="B2144" s="2">
        <v>2317</v>
      </c>
      <c r="C2144" s="4" t="str">
        <f>HYPERLINK("http://www.uniprot.org/uniprot/M5W6Z9","M5W6Z9")</f>
        <v>M5W6Z9</v>
      </c>
      <c r="D2144" s="2" t="s">
        <v>2073</v>
      </c>
      <c r="E2144" s="3">
        <v>0</v>
      </c>
      <c r="F2144" s="2">
        <v>2899</v>
      </c>
      <c r="G2144" s="2">
        <v>91</v>
      </c>
      <c r="H2144" s="2">
        <v>615</v>
      </c>
      <c r="I2144" s="2">
        <v>155</v>
      </c>
      <c r="J2144" s="2">
        <v>1999</v>
      </c>
      <c r="K2144" s="2">
        <v>1</v>
      </c>
      <c r="L2144" s="2">
        <v>609</v>
      </c>
    </row>
    <row r="2145" spans="1:12" x14ac:dyDescent="0.25">
      <c r="A2145" s="4" t="str">
        <f>HYPERLINK("http://www.rosaceae.org/Prunus/Prunus_persica/p.persica_gdr_reftransV1_0002813","p.persica_gdr_reftransV1_0002813")</f>
        <v>p.persica_gdr_reftransV1_0002813</v>
      </c>
      <c r="B2145" s="2">
        <v>1563</v>
      </c>
      <c r="C2145" s="4" t="str">
        <f>HYPERLINK("http://www.uniprot.org/uniprot/M5XC92","M5XC92")</f>
        <v>M5XC92</v>
      </c>
      <c r="D2145" s="2" t="s">
        <v>2074</v>
      </c>
      <c r="E2145" s="3">
        <v>0</v>
      </c>
      <c r="F2145" s="2">
        <v>2048</v>
      </c>
      <c r="G2145" s="2">
        <v>100</v>
      </c>
      <c r="H2145" s="2">
        <v>386</v>
      </c>
      <c r="I2145" s="2">
        <v>265</v>
      </c>
      <c r="J2145" s="2">
        <v>1422</v>
      </c>
      <c r="K2145" s="2">
        <v>1</v>
      </c>
      <c r="L2145" s="2">
        <v>386</v>
      </c>
    </row>
    <row r="2146" spans="1:12" x14ac:dyDescent="0.25">
      <c r="A2146" s="4" t="str">
        <f>HYPERLINK("http://www.rosaceae.org/Prunus/Prunus_persica/p.persica_gdr_reftransV1_0003163","p.persica_gdr_reftransV1_0003163")</f>
        <v>p.persica_gdr_reftransV1_0003163</v>
      </c>
      <c r="B2146" s="2">
        <v>1950</v>
      </c>
      <c r="C2146" s="4" t="str">
        <f>HYPERLINK("http://www.uniprot.org/uniprot/B9HJ05","B9HJ05")</f>
        <v>B9HJ05</v>
      </c>
      <c r="D2146" s="2" t="s">
        <v>2075</v>
      </c>
      <c r="E2146" s="3">
        <v>0</v>
      </c>
      <c r="F2146" s="2">
        <v>1031</v>
      </c>
      <c r="G2146" s="2">
        <v>89</v>
      </c>
      <c r="H2146" s="2">
        <v>257</v>
      </c>
      <c r="I2146" s="2">
        <v>332</v>
      </c>
      <c r="J2146" s="2">
        <v>1099</v>
      </c>
      <c r="K2146" s="2">
        <v>244</v>
      </c>
      <c r="L2146" s="2">
        <v>500</v>
      </c>
    </row>
    <row r="2147" spans="1:12" x14ac:dyDescent="0.25">
      <c r="A2147" s="4" t="str">
        <f>HYPERLINK("http://www.rosaceae.org/Prunus/Prunus_persica/p.persica_gdr_reftransV1_0003863","p.persica_gdr_reftransV1_0003863")</f>
        <v>p.persica_gdr_reftransV1_0003863</v>
      </c>
      <c r="B2147" s="2">
        <v>641</v>
      </c>
      <c r="C2147" s="4" t="str">
        <f>HYPERLINK("http://www.uniprot.org/uniprot/M5XY16","M5XY16")</f>
        <v>M5XY16</v>
      </c>
      <c r="D2147" s="2" t="s">
        <v>2076</v>
      </c>
      <c r="E2147" s="3">
        <v>1.0600000000000001E-101</v>
      </c>
      <c r="F2147" s="2">
        <v>850</v>
      </c>
      <c r="G2147" s="2">
        <v>99</v>
      </c>
      <c r="H2147" s="2">
        <v>176</v>
      </c>
      <c r="I2147" s="2">
        <v>2</v>
      </c>
      <c r="J2147" s="2">
        <v>529</v>
      </c>
      <c r="K2147" s="2">
        <v>1100</v>
      </c>
      <c r="L2147" s="2">
        <v>1275</v>
      </c>
    </row>
    <row r="2148" spans="1:12" x14ac:dyDescent="0.25">
      <c r="A2148" s="4" t="str">
        <f>HYPERLINK("http://www.rosaceae.org/Prunus/Prunus_persica/p.persica_gdr_reftransV1_0004213","p.persica_gdr_reftransV1_0004213")</f>
        <v>p.persica_gdr_reftransV1_0004213</v>
      </c>
      <c r="B2148" s="2">
        <v>2093</v>
      </c>
      <c r="C2148" s="4" t="str">
        <f>HYPERLINK("http://www.uniprot.org/uniprot/M5WIS0","M5WIS0")</f>
        <v>M5WIS0</v>
      </c>
      <c r="D2148" s="2" t="s">
        <v>2077</v>
      </c>
      <c r="E2148" s="3">
        <v>0</v>
      </c>
      <c r="F2148" s="2">
        <v>3491</v>
      </c>
      <c r="G2148" s="2">
        <v>100</v>
      </c>
      <c r="H2148" s="2">
        <v>679</v>
      </c>
      <c r="I2148" s="2">
        <v>1</v>
      </c>
      <c r="J2148" s="2">
        <v>2037</v>
      </c>
      <c r="K2148" s="2">
        <v>1</v>
      </c>
      <c r="L2148" s="2">
        <v>679</v>
      </c>
    </row>
    <row r="2149" spans="1:12" x14ac:dyDescent="0.25">
      <c r="A2149" s="4" t="str">
        <f>HYPERLINK("http://www.rosaceae.org/Prunus/Prunus_persica/p.persica_gdr_reftransV1_0005263","p.persica_gdr_reftransV1_0005263")</f>
        <v>p.persica_gdr_reftransV1_0005263</v>
      </c>
      <c r="B2149" s="2">
        <v>1467</v>
      </c>
      <c r="C2149" s="4" t="str">
        <f>HYPERLINK("http://www.uniprot.org/uniprot/M5WHN5","M5WHN5")</f>
        <v>M5WHN5</v>
      </c>
      <c r="D2149" s="2" t="s">
        <v>2078</v>
      </c>
      <c r="E2149" s="3">
        <v>0</v>
      </c>
      <c r="F2149" s="2">
        <v>1725</v>
      </c>
      <c r="G2149" s="2">
        <v>100</v>
      </c>
      <c r="H2149" s="2">
        <v>325</v>
      </c>
      <c r="I2149" s="2">
        <v>150</v>
      </c>
      <c r="J2149" s="2">
        <v>1124</v>
      </c>
      <c r="K2149" s="2">
        <v>1</v>
      </c>
      <c r="L2149" s="2">
        <v>325</v>
      </c>
    </row>
    <row r="2150" spans="1:12" x14ac:dyDescent="0.25">
      <c r="A2150" s="4" t="str">
        <f>HYPERLINK("http://www.rosaceae.org/Prunus/Prunus_persica/p.persica_gdr_reftransV1_0005613","p.persica_gdr_reftransV1_0005613")</f>
        <v>p.persica_gdr_reftransV1_0005613</v>
      </c>
      <c r="B2150" s="2">
        <v>398</v>
      </c>
      <c r="C2150" s="4" t="str">
        <f>HYPERLINK("http://www.uniprot.org/uniprot/M5Y449","M5Y449")</f>
        <v>M5Y449</v>
      </c>
      <c r="D2150" s="2" t="s">
        <v>2079</v>
      </c>
      <c r="E2150" s="3">
        <v>3.4599999999999998E-83</v>
      </c>
      <c r="F2150" s="2">
        <v>698</v>
      </c>
      <c r="G2150" s="2">
        <v>100</v>
      </c>
      <c r="H2150" s="2">
        <v>132</v>
      </c>
      <c r="I2150" s="2">
        <v>2</v>
      </c>
      <c r="J2150" s="2">
        <v>397</v>
      </c>
      <c r="K2150" s="2">
        <v>631</v>
      </c>
      <c r="L2150" s="2">
        <v>762</v>
      </c>
    </row>
    <row r="2151" spans="1:12" x14ac:dyDescent="0.25">
      <c r="A2151" s="4" t="str">
        <f>HYPERLINK("http://www.rosaceae.org/Prunus/Prunus_persica/p.persica_gdr_reftransV1_0005963","p.persica_gdr_reftransV1_0005963")</f>
        <v>p.persica_gdr_reftransV1_0005963</v>
      </c>
      <c r="B2151" s="2">
        <v>1860</v>
      </c>
      <c r="C2151" s="4" t="str">
        <f>HYPERLINK("http://www.uniprot.org/uniprot/M5VZX7","M5VZX7")</f>
        <v>M5VZX7</v>
      </c>
      <c r="D2151" s="2" t="s">
        <v>2080</v>
      </c>
      <c r="E2151" s="3">
        <v>0</v>
      </c>
      <c r="F2151" s="2">
        <v>2622</v>
      </c>
      <c r="G2151" s="2">
        <v>100</v>
      </c>
      <c r="H2151" s="2">
        <v>491</v>
      </c>
      <c r="I2151" s="2">
        <v>66</v>
      </c>
      <c r="J2151" s="2">
        <v>1538</v>
      </c>
      <c r="K2151" s="2">
        <v>1</v>
      </c>
      <c r="L2151" s="2">
        <v>491</v>
      </c>
    </row>
    <row r="2152" spans="1:12" x14ac:dyDescent="0.25">
      <c r="A2152" s="4" t="str">
        <f>HYPERLINK("http://www.rosaceae.org/Prunus/Prunus_persica/p.persica_gdr_reftransV1_0006313","p.persica_gdr_reftransV1_0006313")</f>
        <v>p.persica_gdr_reftransV1_0006313</v>
      </c>
      <c r="B2152" s="2">
        <v>561</v>
      </c>
      <c r="C2152" s="4" t="str">
        <f>HYPERLINK("http://www.uniprot.org/uniprot/M5XVK2","M5XVK2")</f>
        <v>M5XVK2</v>
      </c>
      <c r="D2152" s="2" t="s">
        <v>1339</v>
      </c>
      <c r="E2152" s="3">
        <v>6.8600000000000003E-86</v>
      </c>
      <c r="F2152" s="2">
        <v>710</v>
      </c>
      <c r="G2152" s="2">
        <v>100</v>
      </c>
      <c r="H2152" s="2">
        <v>154</v>
      </c>
      <c r="I2152" s="2">
        <v>1</v>
      </c>
      <c r="J2152" s="2">
        <v>462</v>
      </c>
      <c r="K2152" s="2">
        <v>529</v>
      </c>
      <c r="L2152" s="2">
        <v>682</v>
      </c>
    </row>
    <row r="2153" spans="1:12" x14ac:dyDescent="0.25">
      <c r="A2153" s="4" t="str">
        <f>HYPERLINK("http://www.rosaceae.org/Prunus/Prunus_persica/p.persica_gdr_reftransV1_0006663","p.persica_gdr_reftransV1_0006663")</f>
        <v>p.persica_gdr_reftransV1_0006663</v>
      </c>
      <c r="B2153" s="2">
        <v>542</v>
      </c>
      <c r="C2153" s="4" t="str">
        <f>HYPERLINK("http://www.uniprot.org/uniprot/M5W505","M5W505")</f>
        <v>M5W505</v>
      </c>
      <c r="D2153" s="2" t="s">
        <v>2081</v>
      </c>
      <c r="E2153" s="3">
        <v>3.2499999999999999E-68</v>
      </c>
      <c r="F2153" s="2">
        <v>575</v>
      </c>
      <c r="G2153" s="2">
        <v>100</v>
      </c>
      <c r="H2153" s="2">
        <v>105</v>
      </c>
      <c r="I2153" s="2">
        <v>3</v>
      </c>
      <c r="J2153" s="2">
        <v>317</v>
      </c>
      <c r="K2153" s="2">
        <v>358</v>
      </c>
      <c r="L2153" s="2">
        <v>462</v>
      </c>
    </row>
    <row r="2154" spans="1:12" x14ac:dyDescent="0.25">
      <c r="A2154" s="4" t="str">
        <f>HYPERLINK("http://www.rosaceae.org/Prunus/Prunus_persica/p.persica_gdr_reftransV1_0007013","p.persica_gdr_reftransV1_0007013")</f>
        <v>p.persica_gdr_reftransV1_0007013</v>
      </c>
      <c r="B2154" s="2">
        <v>1528</v>
      </c>
      <c r="C2154" s="4" t="str">
        <f>HYPERLINK("http://www.uniprot.org/uniprot/M5XZ09","M5XZ09")</f>
        <v>M5XZ09</v>
      </c>
      <c r="D2154" s="2" t="s">
        <v>2082</v>
      </c>
      <c r="E2154" s="3">
        <v>0</v>
      </c>
      <c r="F2154" s="2">
        <v>1740</v>
      </c>
      <c r="G2154" s="2">
        <v>100</v>
      </c>
      <c r="H2154" s="2">
        <v>326</v>
      </c>
      <c r="I2154" s="2">
        <v>424</v>
      </c>
      <c r="J2154" s="2">
        <v>1401</v>
      </c>
      <c r="K2154" s="2">
        <v>50</v>
      </c>
      <c r="L2154" s="2">
        <v>375</v>
      </c>
    </row>
    <row r="2155" spans="1:12" x14ac:dyDescent="0.25">
      <c r="A2155" s="4" t="str">
        <f>HYPERLINK("http://www.rosaceae.org/Prunus/Prunus_persica/p.persica_gdr_reftransV1_0007363","p.persica_gdr_reftransV1_0007363")</f>
        <v>p.persica_gdr_reftransV1_0007363</v>
      </c>
      <c r="B2155" s="2">
        <v>1114</v>
      </c>
      <c r="C2155" s="4" t="str">
        <f>HYPERLINK("http://www.uniprot.org/uniprot/M5Y238","M5Y238")</f>
        <v>M5Y238</v>
      </c>
      <c r="D2155" s="2" t="s">
        <v>2083</v>
      </c>
      <c r="E2155" s="3">
        <v>0</v>
      </c>
      <c r="F2155" s="2">
        <v>1393</v>
      </c>
      <c r="G2155" s="2">
        <v>79</v>
      </c>
      <c r="H2155" s="2">
        <v>337</v>
      </c>
      <c r="I2155" s="2">
        <v>102</v>
      </c>
      <c r="J2155" s="2">
        <v>1112</v>
      </c>
      <c r="K2155" s="2">
        <v>1</v>
      </c>
      <c r="L2155" s="2">
        <v>323</v>
      </c>
    </row>
    <row r="2156" spans="1:12" x14ac:dyDescent="0.25">
      <c r="A2156" s="4" t="str">
        <f>HYPERLINK("http://www.rosaceae.org/Prunus/Prunus_persica/p.persica_gdr_reftransV1_0008063","p.persica_gdr_reftransV1_0008063")</f>
        <v>p.persica_gdr_reftransV1_0008063</v>
      </c>
      <c r="B2156" s="2">
        <v>892</v>
      </c>
      <c r="C2156" s="4" t="str">
        <f>HYPERLINK("http://www.uniprot.org/uniprot/M5VZK1","M5VZK1")</f>
        <v>M5VZK1</v>
      </c>
      <c r="D2156" s="2" t="s">
        <v>2084</v>
      </c>
      <c r="E2156" s="3">
        <v>7.9000000000000002E-64</v>
      </c>
      <c r="F2156" s="2">
        <v>543</v>
      </c>
      <c r="G2156" s="2">
        <v>99</v>
      </c>
      <c r="H2156" s="2">
        <v>118</v>
      </c>
      <c r="I2156" s="2">
        <v>194</v>
      </c>
      <c r="J2156" s="2">
        <v>547</v>
      </c>
      <c r="K2156" s="2">
        <v>155</v>
      </c>
      <c r="L2156" s="2">
        <v>272</v>
      </c>
    </row>
    <row r="2157" spans="1:12" x14ac:dyDescent="0.25">
      <c r="A2157" s="4" t="str">
        <f>HYPERLINK("http://www.rosaceae.org/Prunus/Prunus_persica/p.persica_gdr_reftransV1_0008763","p.persica_gdr_reftransV1_0008763")</f>
        <v>p.persica_gdr_reftransV1_0008763</v>
      </c>
      <c r="B2157" s="2">
        <v>1503</v>
      </c>
      <c r="C2157" s="4" t="str">
        <f>HYPERLINK("http://www.uniprot.org/uniprot/M5WPG9","M5WPG9")</f>
        <v>M5WPG9</v>
      </c>
      <c r="D2157" s="2" t="s">
        <v>2085</v>
      </c>
      <c r="E2157" s="3">
        <v>1.0599999999999999E-172</v>
      </c>
      <c r="F2157" s="2">
        <v>1315</v>
      </c>
      <c r="G2157" s="2">
        <v>93</v>
      </c>
      <c r="H2157" s="2">
        <v>329</v>
      </c>
      <c r="I2157" s="2">
        <v>515</v>
      </c>
      <c r="J2157" s="2">
        <v>1501</v>
      </c>
      <c r="K2157" s="2">
        <v>82</v>
      </c>
      <c r="L2157" s="2">
        <v>388</v>
      </c>
    </row>
    <row r="2158" spans="1:12" x14ac:dyDescent="0.25">
      <c r="A2158" s="4" t="str">
        <f>HYPERLINK("http://www.rosaceae.org/Prunus/Prunus_persica/p.persica_gdr_reftransV1_0009113","p.persica_gdr_reftransV1_0009113")</f>
        <v>p.persica_gdr_reftransV1_0009113</v>
      </c>
      <c r="B2158" s="2">
        <v>4009</v>
      </c>
      <c r="C2158" s="4" t="str">
        <f>HYPERLINK("http://www.uniprot.org/uniprot/M5Y457","M5Y457")</f>
        <v>M5Y457</v>
      </c>
      <c r="D2158" s="2" t="s">
        <v>2086</v>
      </c>
      <c r="E2158" s="3">
        <v>0</v>
      </c>
      <c r="F2158" s="2">
        <v>5176</v>
      </c>
      <c r="G2158" s="2">
        <v>100</v>
      </c>
      <c r="H2158" s="2">
        <v>1011</v>
      </c>
      <c r="I2158" s="2">
        <v>845</v>
      </c>
      <c r="J2158" s="2">
        <v>3877</v>
      </c>
      <c r="K2158" s="2">
        <v>1</v>
      </c>
      <c r="L2158" s="2">
        <v>1011</v>
      </c>
    </row>
    <row r="2159" spans="1:12" x14ac:dyDescent="0.25">
      <c r="A2159" s="4" t="str">
        <f>HYPERLINK("http://www.rosaceae.org/Prunus/Prunus_persica/p.persica_gdr_reftransV1_0009463","p.persica_gdr_reftransV1_0009463")</f>
        <v>p.persica_gdr_reftransV1_0009463</v>
      </c>
      <c r="B2159" s="2">
        <v>1397</v>
      </c>
      <c r="C2159" s="4" t="str">
        <f>HYPERLINK("http://www.uniprot.org/uniprot/M5WKA8","M5WKA8")</f>
        <v>M5WKA8</v>
      </c>
      <c r="D2159" s="2" t="s">
        <v>2087</v>
      </c>
      <c r="E2159" s="3">
        <v>2.0800000000000001E-73</v>
      </c>
      <c r="F2159" s="2">
        <v>611</v>
      </c>
      <c r="G2159" s="2">
        <v>100</v>
      </c>
      <c r="H2159" s="2">
        <v>158</v>
      </c>
      <c r="I2159" s="2">
        <v>481</v>
      </c>
      <c r="J2159" s="2">
        <v>954</v>
      </c>
      <c r="K2159" s="2">
        <v>5</v>
      </c>
      <c r="L2159" s="2">
        <v>162</v>
      </c>
    </row>
    <row r="2160" spans="1:12" x14ac:dyDescent="0.25">
      <c r="A2160" s="4" t="str">
        <f>HYPERLINK("http://www.rosaceae.org/Prunus/Prunus_persica/p.persica_gdr_reftransV1_0009813","p.persica_gdr_reftransV1_0009813")</f>
        <v>p.persica_gdr_reftransV1_0009813</v>
      </c>
      <c r="B2160" s="2">
        <v>631</v>
      </c>
      <c r="C2160" s="4" t="str">
        <f>HYPERLINK("http://www.uniprot.org/uniprot/M5W699","M5W699")</f>
        <v>M5W699</v>
      </c>
      <c r="D2160" s="2" t="s">
        <v>2088</v>
      </c>
      <c r="E2160" s="3">
        <v>6.4099999999999994E-58</v>
      </c>
      <c r="F2160" s="2">
        <v>479</v>
      </c>
      <c r="G2160" s="2">
        <v>100</v>
      </c>
      <c r="H2160" s="2">
        <v>92</v>
      </c>
      <c r="I2160" s="2">
        <v>243</v>
      </c>
      <c r="J2160" s="2">
        <v>518</v>
      </c>
      <c r="K2160" s="2">
        <v>1</v>
      </c>
      <c r="L2160" s="2">
        <v>92</v>
      </c>
    </row>
    <row r="2161" spans="1:12" x14ac:dyDescent="0.25">
      <c r="A2161" s="4" t="str">
        <f>HYPERLINK("http://www.rosaceae.org/Prunus/Prunus_persica/p.persica_gdr_reftransV1_0011213","p.persica_gdr_reftransV1_0011213")</f>
        <v>p.persica_gdr_reftransV1_0011213</v>
      </c>
      <c r="B2161" s="2">
        <v>1348</v>
      </c>
      <c r="C2161" s="4" t="str">
        <f>HYPERLINK("http://www.uniprot.org/uniprot/M5WGL7","M5WGL7")</f>
        <v>M5WGL7</v>
      </c>
      <c r="D2161" s="2" t="s">
        <v>1274</v>
      </c>
      <c r="E2161" s="3">
        <v>0</v>
      </c>
      <c r="F2161" s="2">
        <v>2239</v>
      </c>
      <c r="G2161" s="2">
        <v>100</v>
      </c>
      <c r="H2161" s="2">
        <v>449</v>
      </c>
      <c r="I2161" s="2">
        <v>1</v>
      </c>
      <c r="J2161" s="2">
        <v>1347</v>
      </c>
      <c r="K2161" s="2">
        <v>60</v>
      </c>
      <c r="L2161" s="2">
        <v>508</v>
      </c>
    </row>
    <row r="2162" spans="1:12" x14ac:dyDescent="0.25">
      <c r="A2162" s="4" t="str">
        <f>HYPERLINK("http://www.rosaceae.org/Prunus/Prunus_persica/p.persica_gdr_reftransV1_0011913","p.persica_gdr_reftransV1_0011913")</f>
        <v>p.persica_gdr_reftransV1_0011913</v>
      </c>
      <c r="B2162" s="2">
        <v>1074</v>
      </c>
      <c r="C2162" s="4" t="str">
        <f>HYPERLINK("http://www.uniprot.org/uniprot/M5W6Z5","M5W6Z5")</f>
        <v>M5W6Z5</v>
      </c>
      <c r="D2162" s="2" t="s">
        <v>2089</v>
      </c>
      <c r="E2162" s="3">
        <v>2.9699999999999998E-72</v>
      </c>
      <c r="F2162" s="2">
        <v>594</v>
      </c>
      <c r="G2162" s="2">
        <v>100</v>
      </c>
      <c r="H2162" s="2">
        <v>153</v>
      </c>
      <c r="I2162" s="2">
        <v>616</v>
      </c>
      <c r="J2162" s="2">
        <v>1074</v>
      </c>
      <c r="K2162" s="2">
        <v>4</v>
      </c>
      <c r="L2162" s="2">
        <v>156</v>
      </c>
    </row>
    <row r="2163" spans="1:12" x14ac:dyDescent="0.25">
      <c r="A2163" s="4" t="str">
        <f>HYPERLINK("http://www.rosaceae.org/Prunus/Prunus_persica/p.persica_gdr_reftransV1_0012613","p.persica_gdr_reftransV1_0012613")</f>
        <v>p.persica_gdr_reftransV1_0012613</v>
      </c>
      <c r="B2163" s="2">
        <v>1358</v>
      </c>
      <c r="C2163" s="4" t="str">
        <f>HYPERLINK("http://www.uniprot.org/uniprot/M5VR29","M5VR29")</f>
        <v>M5VR29</v>
      </c>
      <c r="D2163" s="2" t="s">
        <v>2090</v>
      </c>
      <c r="E2163" s="3">
        <v>0</v>
      </c>
      <c r="F2163" s="2">
        <v>1457</v>
      </c>
      <c r="G2163" s="2">
        <v>100</v>
      </c>
      <c r="H2163" s="2">
        <v>271</v>
      </c>
      <c r="I2163" s="2">
        <v>265</v>
      </c>
      <c r="J2163" s="2">
        <v>1077</v>
      </c>
      <c r="K2163" s="2">
        <v>49</v>
      </c>
      <c r="L2163" s="2">
        <v>319</v>
      </c>
    </row>
    <row r="2164" spans="1:12" x14ac:dyDescent="0.25">
      <c r="A2164" s="4" t="str">
        <f>HYPERLINK("http://www.rosaceae.org/Prunus/Prunus_persica/p.persica_gdr_reftransV1_0012963","p.persica_gdr_reftransV1_0012963")</f>
        <v>p.persica_gdr_reftransV1_0012963</v>
      </c>
      <c r="B2164" s="2">
        <v>936</v>
      </c>
      <c r="C2164" s="4" t="str">
        <f>HYPERLINK("http://www.uniprot.org/uniprot/M5W815","M5W815")</f>
        <v>M5W815</v>
      </c>
      <c r="D2164" s="2" t="s">
        <v>2091</v>
      </c>
      <c r="E2164" s="3">
        <v>4.3800000000000004E-139</v>
      </c>
      <c r="F2164" s="2">
        <v>1037</v>
      </c>
      <c r="G2164" s="2">
        <v>100</v>
      </c>
      <c r="H2164" s="2">
        <v>209</v>
      </c>
      <c r="I2164" s="2">
        <v>298</v>
      </c>
      <c r="J2164" s="2">
        <v>924</v>
      </c>
      <c r="K2164" s="2">
        <v>1</v>
      </c>
      <c r="L2164" s="2">
        <v>209</v>
      </c>
    </row>
    <row r="2165" spans="1:12" x14ac:dyDescent="0.25">
      <c r="A2165" s="4" t="str">
        <f>HYPERLINK("http://www.rosaceae.org/Prunus/Prunus_persica/p.persica_gdr_reftransV1_0013313","p.persica_gdr_reftransV1_0013313")</f>
        <v>p.persica_gdr_reftransV1_0013313</v>
      </c>
      <c r="B2165" s="2">
        <v>1179</v>
      </c>
      <c r="C2165" s="4" t="str">
        <f>HYPERLINK("http://www.uniprot.org/uniprot/M5VS14","M5VS14")</f>
        <v>M5VS14</v>
      </c>
      <c r="D2165" s="2" t="s">
        <v>2092</v>
      </c>
      <c r="E2165" s="3">
        <v>3.7799999999999998E-95</v>
      </c>
      <c r="F2165" s="2">
        <v>636</v>
      </c>
      <c r="G2165" s="2">
        <v>99</v>
      </c>
      <c r="H2165" s="2">
        <v>133</v>
      </c>
      <c r="I2165" s="2">
        <v>270</v>
      </c>
      <c r="J2165" s="2">
        <v>668</v>
      </c>
      <c r="K2165" s="2">
        <v>60</v>
      </c>
      <c r="L2165" s="2">
        <v>192</v>
      </c>
    </row>
    <row r="2166" spans="1:12" x14ac:dyDescent="0.25">
      <c r="A2166" s="4" t="str">
        <f>HYPERLINK("http://www.rosaceae.org/Prunus/Prunus_persica/p.persica_gdr_reftransV1_0014713","p.persica_gdr_reftransV1_0014713")</f>
        <v>p.persica_gdr_reftransV1_0014713</v>
      </c>
      <c r="B2166" s="2">
        <v>2798</v>
      </c>
      <c r="C2166" s="4" t="str">
        <f>HYPERLINK("http://www.uniprot.org/uniprot/M5XXC6","M5XXC6")</f>
        <v>M5XXC6</v>
      </c>
      <c r="D2166" s="2" t="s">
        <v>2093</v>
      </c>
      <c r="E2166" s="3">
        <v>0</v>
      </c>
      <c r="F2166" s="2">
        <v>3604</v>
      </c>
      <c r="G2166" s="2">
        <v>100</v>
      </c>
      <c r="H2166" s="2">
        <v>707</v>
      </c>
      <c r="I2166" s="2">
        <v>388</v>
      </c>
      <c r="J2166" s="2">
        <v>2508</v>
      </c>
      <c r="K2166" s="2">
        <v>1</v>
      </c>
      <c r="L2166" s="2">
        <v>707</v>
      </c>
    </row>
    <row r="2167" spans="1:12" x14ac:dyDescent="0.25">
      <c r="A2167" s="4" t="str">
        <f>HYPERLINK("http://www.rosaceae.org/Prunus/Prunus_persica/p.persica_gdr_reftransV1_0015063","p.persica_gdr_reftransV1_0015063")</f>
        <v>p.persica_gdr_reftransV1_0015063</v>
      </c>
      <c r="B2167" s="2">
        <v>1023</v>
      </c>
      <c r="C2167" s="4" t="str">
        <f>HYPERLINK("http://www.uniprot.org/uniprot/M5X284","M5X284")</f>
        <v>M5X284</v>
      </c>
      <c r="D2167" s="2" t="s">
        <v>2094</v>
      </c>
      <c r="E2167" s="3">
        <v>1.23E-136</v>
      </c>
      <c r="F2167" s="2">
        <v>1025</v>
      </c>
      <c r="G2167" s="2">
        <v>99</v>
      </c>
      <c r="H2167" s="2">
        <v>192</v>
      </c>
      <c r="I2167" s="2">
        <v>344</v>
      </c>
      <c r="J2167" s="2">
        <v>919</v>
      </c>
      <c r="K2167" s="2">
        <v>22</v>
      </c>
      <c r="L2167" s="2">
        <v>213</v>
      </c>
    </row>
    <row r="2168" spans="1:12" x14ac:dyDescent="0.25">
      <c r="A2168" s="4" t="str">
        <f>HYPERLINK("http://www.rosaceae.org/Prunus/Prunus_persica/p.persica_gdr_reftransV1_0016113","p.persica_gdr_reftransV1_0016113")</f>
        <v>p.persica_gdr_reftransV1_0016113</v>
      </c>
      <c r="B2168" s="2">
        <v>1102</v>
      </c>
      <c r="C2168" s="4" t="str">
        <f>HYPERLINK("http://www.uniprot.org/uniprot/M5X0D0","M5X0D0")</f>
        <v>M5X0D0</v>
      </c>
      <c r="D2168" s="2" t="s">
        <v>2095</v>
      </c>
      <c r="E2168" s="3">
        <v>9.98E-148</v>
      </c>
      <c r="F2168" s="2">
        <v>1105</v>
      </c>
      <c r="G2168" s="2">
        <v>100</v>
      </c>
      <c r="H2168" s="2">
        <v>241</v>
      </c>
      <c r="I2168" s="2">
        <v>300</v>
      </c>
      <c r="J2168" s="2">
        <v>1022</v>
      </c>
      <c r="K2168" s="2">
        <v>12</v>
      </c>
      <c r="L2168" s="2">
        <v>252</v>
      </c>
    </row>
    <row r="2169" spans="1:12" x14ac:dyDescent="0.25">
      <c r="A2169" s="4" t="str">
        <f>HYPERLINK("http://www.rosaceae.org/Prunus/Prunus_persica/p.persica_gdr_reftransV1_0016463","p.persica_gdr_reftransV1_0016463")</f>
        <v>p.persica_gdr_reftransV1_0016463</v>
      </c>
      <c r="B2169" s="2">
        <v>3008</v>
      </c>
      <c r="C2169" s="4" t="str">
        <f>HYPERLINK("http://www.uniprot.org/uniprot/M5XIR8","M5XIR8")</f>
        <v>M5XIR8</v>
      </c>
      <c r="D2169" s="2" t="s">
        <v>2096</v>
      </c>
      <c r="E2169" s="3">
        <v>0</v>
      </c>
      <c r="F2169" s="2">
        <v>3715</v>
      </c>
      <c r="G2169" s="2">
        <v>100</v>
      </c>
      <c r="H2169" s="2">
        <v>688</v>
      </c>
      <c r="I2169" s="2">
        <v>141</v>
      </c>
      <c r="J2169" s="2">
        <v>2204</v>
      </c>
      <c r="K2169" s="2">
        <v>1</v>
      </c>
      <c r="L2169" s="2">
        <v>688</v>
      </c>
    </row>
    <row r="2170" spans="1:12" x14ac:dyDescent="0.25">
      <c r="A2170" s="4" t="str">
        <f>HYPERLINK("http://www.rosaceae.org/Prunus/Prunus_persica/p.persica_gdr_reftransV1_0017513","p.persica_gdr_reftransV1_0017513")</f>
        <v>p.persica_gdr_reftransV1_0017513</v>
      </c>
      <c r="B2170" s="2">
        <v>2481</v>
      </c>
      <c r="C2170" s="4" t="str">
        <f>HYPERLINK("http://www.uniprot.org/uniprot/M5VZ95","M5VZ95")</f>
        <v>M5VZ95</v>
      </c>
      <c r="D2170" s="2" t="s">
        <v>2097</v>
      </c>
      <c r="E2170" s="3">
        <v>0</v>
      </c>
      <c r="F2170" s="2">
        <v>1930</v>
      </c>
      <c r="G2170" s="2">
        <v>99</v>
      </c>
      <c r="H2170" s="2">
        <v>431</v>
      </c>
      <c r="I2170" s="2">
        <v>725</v>
      </c>
      <c r="J2170" s="2">
        <v>2017</v>
      </c>
      <c r="K2170" s="2">
        <v>1</v>
      </c>
      <c r="L2170" s="2">
        <v>430</v>
      </c>
    </row>
    <row r="2171" spans="1:12" x14ac:dyDescent="0.25">
      <c r="A2171" s="4" t="str">
        <f>HYPERLINK("http://www.rosaceae.org/Prunus/Prunus_persica/p.persica_gdr_reftransV1_0018213","p.persica_gdr_reftransV1_0018213")</f>
        <v>p.persica_gdr_reftransV1_0018213</v>
      </c>
      <c r="B2171" s="2">
        <v>2193</v>
      </c>
      <c r="C2171" s="4" t="str">
        <f>HYPERLINK("http://www.uniprot.org/uniprot/M5WDJ0","M5WDJ0")</f>
        <v>M5WDJ0</v>
      </c>
      <c r="D2171" s="2" t="s">
        <v>2098</v>
      </c>
      <c r="E2171" s="3">
        <v>0</v>
      </c>
      <c r="F2171" s="2">
        <v>2559</v>
      </c>
      <c r="G2171" s="2">
        <v>100</v>
      </c>
      <c r="H2171" s="2">
        <v>537</v>
      </c>
      <c r="I2171" s="2">
        <v>169</v>
      </c>
      <c r="J2171" s="2">
        <v>1779</v>
      </c>
      <c r="K2171" s="2">
        <v>1</v>
      </c>
      <c r="L2171" s="2">
        <v>537</v>
      </c>
    </row>
    <row r="2172" spans="1:12" x14ac:dyDescent="0.25">
      <c r="A2172" s="4" t="str">
        <f>HYPERLINK("http://www.rosaceae.org/Prunus/Prunus_persica/p.persica_gdr_reftransV1_0018913","p.persica_gdr_reftransV1_0018913")</f>
        <v>p.persica_gdr_reftransV1_0018913</v>
      </c>
      <c r="B2172" s="2">
        <v>889</v>
      </c>
      <c r="C2172" s="4" t="str">
        <f>HYPERLINK("http://www.uniprot.org/uniprot/M5Y263","M5Y263")</f>
        <v>M5Y263</v>
      </c>
      <c r="D2172" s="2" t="s">
        <v>2099</v>
      </c>
      <c r="E2172" s="3">
        <v>9.7400000000000008E-37</v>
      </c>
      <c r="F2172" s="2">
        <v>367</v>
      </c>
      <c r="G2172" s="2">
        <v>100</v>
      </c>
      <c r="H2172" s="2">
        <v>115</v>
      </c>
      <c r="I2172" s="2">
        <v>533</v>
      </c>
      <c r="J2172" s="2">
        <v>877</v>
      </c>
      <c r="K2172" s="2">
        <v>291</v>
      </c>
      <c r="L2172" s="2">
        <v>405</v>
      </c>
    </row>
    <row r="2173" spans="1:12" x14ac:dyDescent="0.25">
      <c r="A2173" s="4" t="str">
        <f>HYPERLINK("http://www.rosaceae.org/Prunus/Prunus_persica/p.persica_gdr_reftransV1_0019613","p.persica_gdr_reftransV1_0019613")</f>
        <v>p.persica_gdr_reftransV1_0019613</v>
      </c>
      <c r="B2173" s="2">
        <v>1282</v>
      </c>
      <c r="C2173" s="4" t="str">
        <f>HYPERLINK("http://www.uniprot.org/uniprot/M5WV12","M5WV12")</f>
        <v>M5WV12</v>
      </c>
      <c r="D2173" s="2" t="s">
        <v>2100</v>
      </c>
      <c r="E2173" s="3">
        <v>9.8300000000000008E-168</v>
      </c>
      <c r="F2173" s="2">
        <v>1242</v>
      </c>
      <c r="G2173" s="2">
        <v>84</v>
      </c>
      <c r="H2173" s="2">
        <v>291</v>
      </c>
      <c r="I2173" s="2">
        <v>308</v>
      </c>
      <c r="J2173" s="2">
        <v>1180</v>
      </c>
      <c r="K2173" s="2">
        <v>1</v>
      </c>
      <c r="L2173" s="2">
        <v>246</v>
      </c>
    </row>
    <row r="2174" spans="1:12" x14ac:dyDescent="0.25">
      <c r="A2174" s="4" t="str">
        <f>HYPERLINK("http://www.rosaceae.org/Prunus/Prunus_persica/p.persica_gdr_reftransV1_0019963","p.persica_gdr_reftransV1_0019963")</f>
        <v>p.persica_gdr_reftransV1_0019963</v>
      </c>
      <c r="B2174" s="2">
        <v>1065</v>
      </c>
      <c r="C2174" s="4" t="str">
        <f>HYPERLINK("http://www.uniprot.org/uniprot/M5Y204","M5Y204")</f>
        <v>M5Y204</v>
      </c>
      <c r="D2174" s="2" t="s">
        <v>2101</v>
      </c>
      <c r="E2174" s="3">
        <v>1.22E-143</v>
      </c>
      <c r="F2174" s="2">
        <v>1080</v>
      </c>
      <c r="G2174" s="2">
        <v>100</v>
      </c>
      <c r="H2174" s="2">
        <v>250</v>
      </c>
      <c r="I2174" s="2">
        <v>77</v>
      </c>
      <c r="J2174" s="2">
        <v>826</v>
      </c>
      <c r="K2174" s="2">
        <v>37</v>
      </c>
      <c r="L2174" s="2">
        <v>286</v>
      </c>
    </row>
    <row r="2175" spans="1:12" x14ac:dyDescent="0.25">
      <c r="A2175" s="4" t="str">
        <f>HYPERLINK("http://www.rosaceae.org/Prunus/Prunus_persica/p.persica_gdr_reftransV1_0020313","p.persica_gdr_reftransV1_0020313")</f>
        <v>p.persica_gdr_reftransV1_0020313</v>
      </c>
      <c r="B2175" s="2">
        <v>1348</v>
      </c>
      <c r="C2175" s="4" t="str">
        <f>HYPERLINK("http://www.uniprot.org/uniprot/D7SXT9","D7SXT9")</f>
        <v>D7SXT9</v>
      </c>
      <c r="D2175" s="2" t="s">
        <v>2102</v>
      </c>
      <c r="E2175" s="3">
        <v>2.0700000000000001E-71</v>
      </c>
      <c r="F2175" s="2">
        <v>594</v>
      </c>
      <c r="G2175" s="2">
        <v>73</v>
      </c>
      <c r="H2175" s="2">
        <v>162</v>
      </c>
      <c r="I2175" s="2">
        <v>162</v>
      </c>
      <c r="J2175" s="2">
        <v>647</v>
      </c>
      <c r="K2175" s="2">
        <v>1</v>
      </c>
      <c r="L2175" s="2">
        <v>132</v>
      </c>
    </row>
    <row r="2176" spans="1:12" x14ac:dyDescent="0.25">
      <c r="A2176" s="4" t="str">
        <f>HYPERLINK("http://www.rosaceae.org/Prunus/Prunus_persica/p.persica_gdr_reftransV1_0021363","p.persica_gdr_reftransV1_0021363")</f>
        <v>p.persica_gdr_reftransV1_0021363</v>
      </c>
      <c r="B2176" s="2">
        <v>5024</v>
      </c>
      <c r="C2176" s="4" t="str">
        <f>HYPERLINK("http://www.uniprot.org/uniprot/M5XKQ9","M5XKQ9")</f>
        <v>M5XKQ9</v>
      </c>
      <c r="D2176" s="2" t="s">
        <v>2103</v>
      </c>
      <c r="E2176" s="3">
        <v>0</v>
      </c>
      <c r="F2176" s="2">
        <v>6848</v>
      </c>
      <c r="G2176" s="2">
        <v>95</v>
      </c>
      <c r="H2176" s="2">
        <v>1428</v>
      </c>
      <c r="I2176" s="2">
        <v>45</v>
      </c>
      <c r="J2176" s="2">
        <v>4328</v>
      </c>
      <c r="K2176" s="2">
        <v>244</v>
      </c>
      <c r="L2176" s="2">
        <v>1607</v>
      </c>
    </row>
    <row r="2177" spans="1:12" x14ac:dyDescent="0.25">
      <c r="A2177" s="4" t="str">
        <f>HYPERLINK("http://www.rosaceae.org/Prunus/Prunus_persica/p.persica_gdr_reftransV1_0023113","p.persica_gdr_reftransV1_0023113")</f>
        <v>p.persica_gdr_reftransV1_0023113</v>
      </c>
      <c r="B2177" s="2">
        <v>3414</v>
      </c>
      <c r="C2177" s="4" t="str">
        <f>HYPERLINK("http://www.uniprot.org/uniprot/M5W828","M5W828")</f>
        <v>M5W828</v>
      </c>
      <c r="D2177" s="2" t="s">
        <v>2104</v>
      </c>
      <c r="E2177" s="3">
        <v>0</v>
      </c>
      <c r="F2177" s="2">
        <v>2899</v>
      </c>
      <c r="G2177" s="2">
        <v>97</v>
      </c>
      <c r="H2177" s="2">
        <v>630</v>
      </c>
      <c r="I2177" s="2">
        <v>1269</v>
      </c>
      <c r="J2177" s="2">
        <v>3158</v>
      </c>
      <c r="K2177" s="2">
        <v>1</v>
      </c>
      <c r="L2177" s="2">
        <v>612</v>
      </c>
    </row>
    <row r="2178" spans="1:12" x14ac:dyDescent="0.25">
      <c r="A2178" s="4" t="str">
        <f>HYPERLINK("http://www.rosaceae.org/Prunus/Prunus_persica/p.persica_gdr_reftransV1_0028713","p.persica_gdr_reftransV1_0028713")</f>
        <v>p.persica_gdr_reftransV1_0028713</v>
      </c>
      <c r="B2178" s="2">
        <v>1690</v>
      </c>
      <c r="C2178" s="4" t="str">
        <f>HYPERLINK("http://www.uniprot.org/uniprot/M5VXT1","M5VXT1")</f>
        <v>M5VXT1</v>
      </c>
      <c r="D2178" s="2" t="s">
        <v>2105</v>
      </c>
      <c r="E2178" s="3">
        <v>1.11E-124</v>
      </c>
      <c r="F2178" s="2">
        <v>974</v>
      </c>
      <c r="G2178" s="2">
        <v>100</v>
      </c>
      <c r="H2178" s="2">
        <v>196</v>
      </c>
      <c r="I2178" s="2">
        <v>825</v>
      </c>
      <c r="J2178" s="2">
        <v>1412</v>
      </c>
      <c r="K2178" s="2">
        <v>1</v>
      </c>
      <c r="L2178" s="2">
        <v>196</v>
      </c>
    </row>
    <row r="2179" spans="1:12" x14ac:dyDescent="0.25">
      <c r="A2179" s="4" t="str">
        <f>HYPERLINK("http://www.rosaceae.org/Prunus/Prunus_persica/p.persica_gdr_reftransV1_0029063","p.persica_gdr_reftransV1_0029063")</f>
        <v>p.persica_gdr_reftransV1_0029063</v>
      </c>
      <c r="B2179" s="2">
        <v>1154</v>
      </c>
      <c r="C2179" s="4" t="str">
        <f>HYPERLINK("http://www.uniprot.org/uniprot/M5XFP1","M5XFP1")</f>
        <v>M5XFP1</v>
      </c>
      <c r="D2179" s="2" t="s">
        <v>2106</v>
      </c>
      <c r="E2179" s="3">
        <v>1.6299999999999999E-137</v>
      </c>
      <c r="F2179" s="2">
        <v>1040</v>
      </c>
      <c r="G2179" s="2">
        <v>100</v>
      </c>
      <c r="H2179" s="2">
        <v>225</v>
      </c>
      <c r="I2179" s="2">
        <v>138</v>
      </c>
      <c r="J2179" s="2">
        <v>812</v>
      </c>
      <c r="K2179" s="2">
        <v>22</v>
      </c>
      <c r="L2179" s="2">
        <v>246</v>
      </c>
    </row>
    <row r="2180" spans="1:12" x14ac:dyDescent="0.25">
      <c r="A2180" s="4" t="str">
        <f>HYPERLINK("http://www.rosaceae.org/Prunus/Prunus_persica/p.persica_gdr_reftransV1_0029413","p.persica_gdr_reftransV1_0029413")</f>
        <v>p.persica_gdr_reftransV1_0029413</v>
      </c>
      <c r="B2180" s="2">
        <v>1687</v>
      </c>
      <c r="C2180" s="4" t="str">
        <f>HYPERLINK("http://www.uniprot.org/uniprot/M5XY22","M5XY22")</f>
        <v>M5XY22</v>
      </c>
      <c r="D2180" s="2" t="s">
        <v>2107</v>
      </c>
      <c r="E2180" s="3">
        <v>0</v>
      </c>
      <c r="F2180" s="2">
        <v>2417</v>
      </c>
      <c r="G2180" s="2">
        <v>100</v>
      </c>
      <c r="H2180" s="2">
        <v>469</v>
      </c>
      <c r="I2180" s="2">
        <v>220</v>
      </c>
      <c r="J2180" s="2">
        <v>1626</v>
      </c>
      <c r="K2180" s="2">
        <v>1</v>
      </c>
      <c r="L2180" s="2">
        <v>469</v>
      </c>
    </row>
    <row r="2181" spans="1:12" x14ac:dyDescent="0.25">
      <c r="A2181" s="4" t="str">
        <f>HYPERLINK("http://www.rosaceae.org/Prunus/Prunus_persica/p.persica_gdr_reftransV1_0029763","p.persica_gdr_reftransV1_0029763")</f>
        <v>p.persica_gdr_reftransV1_0029763</v>
      </c>
      <c r="B2181" s="2">
        <v>5621</v>
      </c>
      <c r="C2181" s="4" t="str">
        <f>HYPERLINK("http://www.uniprot.org/uniprot/M5Y1V6","M5Y1V6")</f>
        <v>M5Y1V6</v>
      </c>
      <c r="D2181" s="2" t="s">
        <v>2108</v>
      </c>
      <c r="E2181" s="3">
        <v>0</v>
      </c>
      <c r="F2181" s="2">
        <v>3668</v>
      </c>
      <c r="G2181" s="2">
        <v>100</v>
      </c>
      <c r="H2181" s="2">
        <v>694</v>
      </c>
      <c r="I2181" s="2">
        <v>352</v>
      </c>
      <c r="J2181" s="2">
        <v>2433</v>
      </c>
      <c r="K2181" s="2">
        <v>325</v>
      </c>
      <c r="L2181" s="2">
        <v>1018</v>
      </c>
    </row>
    <row r="2182" spans="1:12" x14ac:dyDescent="0.25">
      <c r="A2182" s="4" t="str">
        <f>HYPERLINK("http://www.rosaceae.org/Prunus/Prunus_persica/p.persica_gdr_reftransV1_0030463","p.persica_gdr_reftransV1_0030463")</f>
        <v>p.persica_gdr_reftransV1_0030463</v>
      </c>
      <c r="B2182" s="2">
        <v>649</v>
      </c>
      <c r="C2182" s="4" t="str">
        <f>HYPERLINK("http://www.uniprot.org/uniprot/M5W1D8","M5W1D8")</f>
        <v>M5W1D8</v>
      </c>
      <c r="D2182" s="2" t="s">
        <v>2109</v>
      </c>
      <c r="E2182" s="3">
        <v>3.4899999999999998E-79</v>
      </c>
      <c r="F2182" s="2">
        <v>639</v>
      </c>
      <c r="G2182" s="2">
        <v>95</v>
      </c>
      <c r="H2182" s="2">
        <v>143</v>
      </c>
      <c r="I2182" s="2">
        <v>162</v>
      </c>
      <c r="J2182" s="2">
        <v>590</v>
      </c>
      <c r="K2182" s="2">
        <v>5</v>
      </c>
      <c r="L2182" s="2">
        <v>147</v>
      </c>
    </row>
    <row r="2183" spans="1:12" x14ac:dyDescent="0.25">
      <c r="A2183" s="4" t="str">
        <f>HYPERLINK("http://www.rosaceae.org/Prunus/Prunus_persica/p.persica_gdr_reftransV1_0031863","p.persica_gdr_reftransV1_0031863")</f>
        <v>p.persica_gdr_reftransV1_0031863</v>
      </c>
      <c r="B2183" s="2">
        <v>3111</v>
      </c>
      <c r="C2183" s="4" t="str">
        <f>HYPERLINK("http://www.uniprot.org/uniprot/U7DZZ8","U7DZZ8")</f>
        <v>U7DZZ8</v>
      </c>
      <c r="D2183" s="2" t="s">
        <v>2110</v>
      </c>
      <c r="E2183" s="3">
        <v>1.9299999999999999E-160</v>
      </c>
      <c r="F2183" s="2">
        <v>1258</v>
      </c>
      <c r="G2183" s="2">
        <v>67</v>
      </c>
      <c r="H2183" s="2">
        <v>374</v>
      </c>
      <c r="I2183" s="2">
        <v>738</v>
      </c>
      <c r="J2183" s="2">
        <v>1856</v>
      </c>
      <c r="K2183" s="2">
        <v>1</v>
      </c>
      <c r="L2183" s="2">
        <v>318</v>
      </c>
    </row>
    <row r="2184" spans="1:12" x14ac:dyDescent="0.25">
      <c r="A2184" s="4" t="str">
        <f>HYPERLINK("http://www.rosaceae.org/Prunus/Prunus_persica/p.persica_gdr_reftransV1_0033263","p.persica_gdr_reftransV1_0033263")</f>
        <v>p.persica_gdr_reftransV1_0033263</v>
      </c>
      <c r="B2184" s="2">
        <v>701</v>
      </c>
      <c r="C2184" s="4" t="str">
        <f>HYPERLINK("http://www.uniprot.org/uniprot/M5XKC1","M5XKC1")</f>
        <v>M5XKC1</v>
      </c>
      <c r="D2184" s="2" t="s">
        <v>2111</v>
      </c>
      <c r="E2184" s="3">
        <v>9.6099999999999997E-159</v>
      </c>
      <c r="F2184" s="2">
        <v>1234</v>
      </c>
      <c r="G2184" s="2">
        <v>100</v>
      </c>
      <c r="H2184" s="2">
        <v>233</v>
      </c>
      <c r="I2184" s="2">
        <v>1</v>
      </c>
      <c r="J2184" s="2">
        <v>699</v>
      </c>
      <c r="K2184" s="2">
        <v>464</v>
      </c>
      <c r="L2184" s="2">
        <v>696</v>
      </c>
    </row>
    <row r="2185" spans="1:12" x14ac:dyDescent="0.25">
      <c r="A2185" s="4" t="str">
        <f>HYPERLINK("http://www.rosaceae.org/Prunus/Prunus_persica/p.persica_gdr_reftransV1_0035713","p.persica_gdr_reftransV1_0035713")</f>
        <v>p.persica_gdr_reftransV1_0035713</v>
      </c>
      <c r="B2185" s="2">
        <v>3754</v>
      </c>
      <c r="C2185" s="4" t="str">
        <f>HYPERLINK("http://www.uniprot.org/uniprot/M5VTP4","M5VTP4")</f>
        <v>M5VTP4</v>
      </c>
      <c r="D2185" s="2" t="s">
        <v>2112</v>
      </c>
      <c r="E2185" s="3">
        <v>0</v>
      </c>
      <c r="F2185" s="2">
        <v>4588</v>
      </c>
      <c r="G2185" s="2">
        <v>100</v>
      </c>
      <c r="H2185" s="2">
        <v>951</v>
      </c>
      <c r="I2185" s="2">
        <v>484</v>
      </c>
      <c r="J2185" s="2">
        <v>3336</v>
      </c>
      <c r="K2185" s="2">
        <v>1</v>
      </c>
      <c r="L2185" s="2">
        <v>951</v>
      </c>
    </row>
    <row r="2186" spans="1:12" x14ac:dyDescent="0.25">
      <c r="A2186" s="4" t="str">
        <f>HYPERLINK("http://www.rosaceae.org/Prunus/Prunus_persica/p.persica_gdr_reftransV1_0037113","p.persica_gdr_reftransV1_0037113")</f>
        <v>p.persica_gdr_reftransV1_0037113</v>
      </c>
      <c r="B2186" s="2">
        <v>993</v>
      </c>
      <c r="C2186" s="4" t="str">
        <f>HYPERLINK("http://www.uniprot.org/uniprot/M5WHV9","M5WHV9")</f>
        <v>M5WHV9</v>
      </c>
      <c r="D2186" s="2" t="s">
        <v>2113</v>
      </c>
      <c r="E2186" s="3">
        <v>4.2100000000000003E-127</v>
      </c>
      <c r="F2186" s="2">
        <v>959</v>
      </c>
      <c r="G2186" s="2">
        <v>99</v>
      </c>
      <c r="H2186" s="2">
        <v>194</v>
      </c>
      <c r="I2186" s="2">
        <v>90</v>
      </c>
      <c r="J2186" s="2">
        <v>671</v>
      </c>
      <c r="K2186" s="2">
        <v>1</v>
      </c>
      <c r="L2186" s="2">
        <v>194</v>
      </c>
    </row>
    <row r="2187" spans="1:12" x14ac:dyDescent="0.25">
      <c r="A2187" s="4" t="str">
        <f>HYPERLINK("http://www.rosaceae.org/Prunus/Prunus_persica/p.persica_gdr_reftransV1_0038163","p.persica_gdr_reftransV1_0038163")</f>
        <v>p.persica_gdr_reftransV1_0038163</v>
      </c>
      <c r="B2187" s="2">
        <v>3842</v>
      </c>
      <c r="C2187" s="4" t="str">
        <f>HYPERLINK("http://www.uniprot.org/uniprot/M5WAZ3","M5WAZ3")</f>
        <v>M5WAZ3</v>
      </c>
      <c r="D2187" s="2" t="s">
        <v>2114</v>
      </c>
      <c r="E2187" s="3">
        <v>0</v>
      </c>
      <c r="F2187" s="2">
        <v>1737</v>
      </c>
      <c r="G2187" s="2">
        <v>98</v>
      </c>
      <c r="H2187" s="2">
        <v>334</v>
      </c>
      <c r="I2187" s="2">
        <v>2674</v>
      </c>
      <c r="J2187" s="2">
        <v>3675</v>
      </c>
      <c r="K2187" s="2">
        <v>1</v>
      </c>
      <c r="L2187" s="2">
        <v>333</v>
      </c>
    </row>
    <row r="2188" spans="1:12" x14ac:dyDescent="0.25">
      <c r="A2188" s="4" t="str">
        <f>HYPERLINK("http://www.rosaceae.org/Prunus/Prunus_persica/p.persica_gdr_reftransV1_0038513","p.persica_gdr_reftransV1_0038513")</f>
        <v>p.persica_gdr_reftransV1_0038513</v>
      </c>
      <c r="B2188" s="2">
        <v>949</v>
      </c>
      <c r="C2188" s="4" t="str">
        <f>HYPERLINK("http://www.uniprot.org/uniprot/M5X3C3","M5X3C3")</f>
        <v>M5X3C3</v>
      </c>
      <c r="D2188" s="2" t="s">
        <v>2115</v>
      </c>
      <c r="E2188" s="3">
        <v>0</v>
      </c>
      <c r="F2188" s="2">
        <v>1600</v>
      </c>
      <c r="G2188" s="2">
        <v>97</v>
      </c>
      <c r="H2188" s="2">
        <v>316</v>
      </c>
      <c r="I2188" s="2">
        <v>2</v>
      </c>
      <c r="J2188" s="2">
        <v>949</v>
      </c>
      <c r="K2188" s="2">
        <v>223</v>
      </c>
      <c r="L2188" s="2">
        <v>533</v>
      </c>
    </row>
    <row r="2189" spans="1:12" x14ac:dyDescent="0.25">
      <c r="A2189" s="4" t="str">
        <f>HYPERLINK("http://www.rosaceae.org/Prunus/Prunus_persica/p.persica_gdr_reftransV1_0043063","p.persica_gdr_reftransV1_0043063")</f>
        <v>p.persica_gdr_reftransV1_0043063</v>
      </c>
      <c r="B2189" s="2">
        <v>455</v>
      </c>
      <c r="C2189" s="4" t="str">
        <f>HYPERLINK("http://www.uniprot.org/uniprot/M5XP49","M5XP49")</f>
        <v>M5XP49</v>
      </c>
      <c r="D2189" s="2" t="s">
        <v>323</v>
      </c>
      <c r="E2189" s="3">
        <v>2.4099999999999999E-82</v>
      </c>
      <c r="F2189" s="2">
        <v>659</v>
      </c>
      <c r="G2189" s="2">
        <v>100</v>
      </c>
      <c r="H2189" s="2">
        <v>120</v>
      </c>
      <c r="I2189" s="2">
        <v>14</v>
      </c>
      <c r="J2189" s="2">
        <v>373</v>
      </c>
      <c r="K2189" s="2">
        <v>1</v>
      </c>
      <c r="L2189" s="2">
        <v>120</v>
      </c>
    </row>
    <row r="2190" spans="1:12" x14ac:dyDescent="0.25">
      <c r="A2190" s="4" t="str">
        <f>HYPERLINK("http://www.rosaceae.org/Prunus/Prunus_persica/p.persica_gdr_reftransV1_0043413","p.persica_gdr_reftransV1_0043413")</f>
        <v>p.persica_gdr_reftransV1_0043413</v>
      </c>
      <c r="B2190" s="2">
        <v>767</v>
      </c>
      <c r="C2190" s="4" t="str">
        <f>HYPERLINK("http://www.uniprot.org/uniprot/M5XMG6","M5XMG6")</f>
        <v>M5XMG6</v>
      </c>
      <c r="D2190" s="2" t="s">
        <v>2116</v>
      </c>
      <c r="E2190" s="3">
        <v>1.5000000000000001E-70</v>
      </c>
      <c r="F2190" s="2">
        <v>569</v>
      </c>
      <c r="G2190" s="2">
        <v>100</v>
      </c>
      <c r="H2190" s="2">
        <v>111</v>
      </c>
      <c r="I2190" s="2">
        <v>256</v>
      </c>
      <c r="J2190" s="2">
        <v>588</v>
      </c>
      <c r="K2190" s="2">
        <v>1</v>
      </c>
      <c r="L2190" s="2">
        <v>111</v>
      </c>
    </row>
    <row r="2191" spans="1:12" x14ac:dyDescent="0.25">
      <c r="A2191" s="4" t="str">
        <f>HYPERLINK("http://www.rosaceae.org/Prunus/Prunus_persica/p.persica_gdr_reftransV1_0043763","p.persica_gdr_reftransV1_0043763")</f>
        <v>p.persica_gdr_reftransV1_0043763</v>
      </c>
      <c r="B2191" s="2">
        <v>506</v>
      </c>
      <c r="C2191" s="4" t="str">
        <f>HYPERLINK("http://www.uniprot.org/uniprot/M5X0E5","M5X0E5")</f>
        <v>M5X0E5</v>
      </c>
      <c r="D2191" s="2" t="s">
        <v>1447</v>
      </c>
      <c r="E2191" s="3">
        <v>1.94E-108</v>
      </c>
      <c r="F2191" s="2">
        <v>894</v>
      </c>
      <c r="G2191" s="2">
        <v>100</v>
      </c>
      <c r="H2191" s="2">
        <v>168</v>
      </c>
      <c r="I2191" s="2">
        <v>2</v>
      </c>
      <c r="J2191" s="2">
        <v>505</v>
      </c>
      <c r="K2191" s="2">
        <v>660</v>
      </c>
      <c r="L2191" s="2">
        <v>827</v>
      </c>
    </row>
    <row r="2192" spans="1:12" x14ac:dyDescent="0.25">
      <c r="A2192" s="4" t="str">
        <f>HYPERLINK("http://www.rosaceae.org/Prunus/Prunus_persica/p.persica_gdr_reftransV1_0044113","p.persica_gdr_reftransV1_0044113")</f>
        <v>p.persica_gdr_reftransV1_0044113</v>
      </c>
      <c r="B2192" s="2">
        <v>1092</v>
      </c>
      <c r="C2192" s="4" t="str">
        <f>HYPERLINK("http://www.uniprot.org/uniprot/M5Y1G8","M5Y1G8")</f>
        <v>M5Y1G8</v>
      </c>
      <c r="D2192" s="2" t="s">
        <v>2117</v>
      </c>
      <c r="E2192" s="3">
        <v>0</v>
      </c>
      <c r="F2192" s="2">
        <v>1439</v>
      </c>
      <c r="G2192" s="2">
        <v>100</v>
      </c>
      <c r="H2192" s="2">
        <v>293</v>
      </c>
      <c r="I2192" s="2">
        <v>166</v>
      </c>
      <c r="J2192" s="2">
        <v>1044</v>
      </c>
      <c r="K2192" s="2">
        <v>1</v>
      </c>
      <c r="L2192" s="2">
        <v>293</v>
      </c>
    </row>
    <row r="2193" spans="1:12" x14ac:dyDescent="0.25">
      <c r="A2193" s="4" t="str">
        <f>HYPERLINK("http://www.rosaceae.org/Prunus/Prunus_persica/p.persica_gdr_reftransV1_0044813","p.persica_gdr_reftransV1_0044813")</f>
        <v>p.persica_gdr_reftransV1_0044813</v>
      </c>
      <c r="B2193" s="2">
        <v>956</v>
      </c>
      <c r="C2193" s="4" t="str">
        <f>HYPERLINK("http://www.uniprot.org/uniprot/M5WAY2","M5WAY2")</f>
        <v>M5WAY2</v>
      </c>
      <c r="D2193" s="2" t="s">
        <v>2118</v>
      </c>
      <c r="E2193" s="3">
        <v>2.43E-114</v>
      </c>
      <c r="F2193" s="2">
        <v>871</v>
      </c>
      <c r="G2193" s="2">
        <v>100</v>
      </c>
      <c r="H2193" s="2">
        <v>163</v>
      </c>
      <c r="I2193" s="2">
        <v>182</v>
      </c>
      <c r="J2193" s="2">
        <v>670</v>
      </c>
      <c r="K2193" s="2">
        <v>11</v>
      </c>
      <c r="L2193" s="2">
        <v>173</v>
      </c>
    </row>
    <row r="2194" spans="1:12" x14ac:dyDescent="0.25">
      <c r="A2194" s="4" t="str">
        <f>HYPERLINK("http://www.rosaceae.org/Prunus/Prunus_persica/p.persica_gdr_reftransV1_0045163","p.persica_gdr_reftransV1_0045163")</f>
        <v>p.persica_gdr_reftransV1_0045163</v>
      </c>
      <c r="B2194" s="2">
        <v>1378</v>
      </c>
      <c r="C2194" s="4" t="str">
        <f>HYPERLINK("http://www.uniprot.org/uniprot/M5WSY0","M5WSY0")</f>
        <v>M5WSY0</v>
      </c>
      <c r="D2194" s="2" t="s">
        <v>2119</v>
      </c>
      <c r="E2194" s="3">
        <v>0</v>
      </c>
      <c r="F2194" s="2">
        <v>1620</v>
      </c>
      <c r="G2194" s="2">
        <v>100</v>
      </c>
      <c r="H2194" s="2">
        <v>308</v>
      </c>
      <c r="I2194" s="2">
        <v>206</v>
      </c>
      <c r="J2194" s="2">
        <v>1129</v>
      </c>
      <c r="K2194" s="2">
        <v>1</v>
      </c>
      <c r="L2194" s="2">
        <v>308</v>
      </c>
    </row>
    <row r="2195" spans="1:12" x14ac:dyDescent="0.25">
      <c r="A2195" s="4" t="str">
        <f>HYPERLINK("http://www.rosaceae.org/Prunus/Prunus_persica/p.persica_gdr_reftransV1_0045513","p.persica_gdr_reftransV1_0045513")</f>
        <v>p.persica_gdr_reftransV1_0045513</v>
      </c>
      <c r="B2195" s="2">
        <v>408</v>
      </c>
      <c r="C2195" s="4" t="str">
        <f>HYPERLINK("http://www.uniprot.org/uniprot/M5VI77","M5VI77")</f>
        <v>M5VI77</v>
      </c>
      <c r="D2195" s="2" t="s">
        <v>2120</v>
      </c>
      <c r="E2195" s="3">
        <v>2.1099999999999999E-85</v>
      </c>
      <c r="F2195" s="2">
        <v>661</v>
      </c>
      <c r="G2195" s="2">
        <v>100</v>
      </c>
      <c r="H2195" s="2">
        <v>123</v>
      </c>
      <c r="I2195" s="2">
        <v>38</v>
      </c>
      <c r="J2195" s="2">
        <v>406</v>
      </c>
      <c r="K2195" s="2">
        <v>51</v>
      </c>
      <c r="L2195" s="2">
        <v>173</v>
      </c>
    </row>
    <row r="2196" spans="1:12" x14ac:dyDescent="0.25">
      <c r="A2196" s="4" t="str">
        <f>HYPERLINK("http://www.rosaceae.org/Prunus/Prunus_persica/p.persica_gdr_reftransV1_0045863","p.persica_gdr_reftransV1_0045863")</f>
        <v>p.persica_gdr_reftransV1_0045863</v>
      </c>
      <c r="B2196" s="2">
        <v>550</v>
      </c>
      <c r="C2196" s="4" t="str">
        <f>HYPERLINK("http://www.uniprot.org/uniprot/M5XEV9","M5XEV9")</f>
        <v>M5XEV9</v>
      </c>
      <c r="D2196" s="2" t="s">
        <v>2121</v>
      </c>
      <c r="E2196" s="3">
        <v>2.08E-93</v>
      </c>
      <c r="F2196" s="2">
        <v>739</v>
      </c>
      <c r="G2196" s="2">
        <v>99</v>
      </c>
      <c r="H2196" s="2">
        <v>141</v>
      </c>
      <c r="I2196" s="2">
        <v>40</v>
      </c>
      <c r="J2196" s="2">
        <v>462</v>
      </c>
      <c r="K2196" s="2">
        <v>261</v>
      </c>
      <c r="L2196" s="2">
        <v>401</v>
      </c>
    </row>
    <row r="2197" spans="1:12" x14ac:dyDescent="0.25">
      <c r="A2197" s="4" t="str">
        <f>HYPERLINK("http://www.rosaceae.org/Prunus/Prunus_persica/p.persica_gdr_reftransV1_0046563","p.persica_gdr_reftransV1_0046563")</f>
        <v>p.persica_gdr_reftransV1_0046563</v>
      </c>
      <c r="B2197" s="2">
        <v>853</v>
      </c>
      <c r="C2197" s="4" t="str">
        <f>HYPERLINK("http://www.uniprot.org/uniprot/M5WGF3","M5WGF3")</f>
        <v>M5WGF3</v>
      </c>
      <c r="D2197" s="2" t="s">
        <v>2122</v>
      </c>
      <c r="E2197" s="3">
        <v>7.4000000000000001E-143</v>
      </c>
      <c r="F2197" s="2">
        <v>1128</v>
      </c>
      <c r="G2197" s="2">
        <v>100</v>
      </c>
      <c r="H2197" s="2">
        <v>236</v>
      </c>
      <c r="I2197" s="2">
        <v>146</v>
      </c>
      <c r="J2197" s="2">
        <v>853</v>
      </c>
      <c r="K2197" s="2">
        <v>772</v>
      </c>
      <c r="L2197" s="2">
        <v>1007</v>
      </c>
    </row>
    <row r="2198" spans="1:12" x14ac:dyDescent="0.25">
      <c r="A2198" s="4" t="str">
        <f>HYPERLINK("http://www.rosaceae.org/Prunus/Prunus_persica/p.persica_gdr_reftransV1_0046913","p.persica_gdr_reftransV1_0046913")</f>
        <v>p.persica_gdr_reftransV1_0046913</v>
      </c>
      <c r="B2198" s="2">
        <v>979</v>
      </c>
      <c r="C2198" s="4" t="str">
        <f>HYPERLINK("http://www.uniprot.org/uniprot/M5XSF4","M5XSF4")</f>
        <v>M5XSF4</v>
      </c>
      <c r="D2198" s="2" t="s">
        <v>2123</v>
      </c>
      <c r="E2198" s="3">
        <v>0</v>
      </c>
      <c r="F2198" s="2">
        <v>1356</v>
      </c>
      <c r="G2198" s="2">
        <v>93</v>
      </c>
      <c r="H2198" s="2">
        <v>290</v>
      </c>
      <c r="I2198" s="2">
        <v>108</v>
      </c>
      <c r="J2198" s="2">
        <v>977</v>
      </c>
      <c r="K2198" s="2">
        <v>92</v>
      </c>
      <c r="L2198" s="2">
        <v>381</v>
      </c>
    </row>
    <row r="2199" spans="1:12" x14ac:dyDescent="0.25">
      <c r="A2199" s="4" t="str">
        <f>HYPERLINK("http://www.rosaceae.org/Prunus/Prunus_persica/p.persica_gdr_reftransV1_0047613","p.persica_gdr_reftransV1_0047613")</f>
        <v>p.persica_gdr_reftransV1_0047613</v>
      </c>
      <c r="B2199" s="2">
        <v>2016</v>
      </c>
      <c r="C2199" s="4" t="str">
        <f>HYPERLINK("http://www.uniprot.org/uniprot/M5WGN5","M5WGN5")</f>
        <v>M5WGN5</v>
      </c>
      <c r="D2199" s="2" t="s">
        <v>235</v>
      </c>
      <c r="E2199" s="3">
        <v>0</v>
      </c>
      <c r="F2199" s="2">
        <v>1494</v>
      </c>
      <c r="G2199" s="2">
        <v>100</v>
      </c>
      <c r="H2199" s="2">
        <v>290</v>
      </c>
      <c r="I2199" s="2">
        <v>331</v>
      </c>
      <c r="J2199" s="2">
        <v>1200</v>
      </c>
      <c r="K2199" s="2">
        <v>1</v>
      </c>
      <c r="L2199" s="2">
        <v>290</v>
      </c>
    </row>
    <row r="2200" spans="1:12" x14ac:dyDescent="0.25">
      <c r="A2200" s="4" t="str">
        <f>HYPERLINK("http://www.rosaceae.org/Prunus/Prunus_persica/p.persica_gdr_reftransV1_0047963","p.persica_gdr_reftransV1_0047963")</f>
        <v>p.persica_gdr_reftransV1_0047963</v>
      </c>
      <c r="B2200" s="2">
        <v>481</v>
      </c>
      <c r="C2200" s="4" t="str">
        <f>HYPERLINK("http://www.uniprot.org/uniprot/M5X3M4","M5X3M4")</f>
        <v>M5X3M4</v>
      </c>
      <c r="D2200" s="2" t="s">
        <v>2124</v>
      </c>
      <c r="E2200" s="3">
        <v>2.79E-106</v>
      </c>
      <c r="F2200" s="2">
        <v>869</v>
      </c>
      <c r="G2200" s="2">
        <v>100</v>
      </c>
      <c r="H2200" s="2">
        <v>160</v>
      </c>
      <c r="I2200" s="2">
        <v>1</v>
      </c>
      <c r="J2200" s="2">
        <v>480</v>
      </c>
      <c r="K2200" s="2">
        <v>326</v>
      </c>
      <c r="L2200" s="2">
        <v>485</v>
      </c>
    </row>
    <row r="2201" spans="1:12" x14ac:dyDescent="0.25">
      <c r="A2201" s="4" t="str">
        <f>HYPERLINK("http://www.rosaceae.org/Prunus/Prunus_persica/p.persica_gdr_reftransV1_0048313","p.persica_gdr_reftransV1_0048313")</f>
        <v>p.persica_gdr_reftransV1_0048313</v>
      </c>
      <c r="B2201" s="2">
        <v>1221</v>
      </c>
      <c r="C2201" s="4" t="str">
        <f>HYPERLINK("http://www.uniprot.org/uniprot/M5VQQ5","M5VQQ5")</f>
        <v>M5VQQ5</v>
      </c>
      <c r="D2201" s="2" t="s">
        <v>2125</v>
      </c>
      <c r="E2201" s="3">
        <v>0</v>
      </c>
      <c r="F2201" s="2">
        <v>1527</v>
      </c>
      <c r="G2201" s="2">
        <v>100</v>
      </c>
      <c r="H2201" s="2">
        <v>291</v>
      </c>
      <c r="I2201" s="2">
        <v>112</v>
      </c>
      <c r="J2201" s="2">
        <v>984</v>
      </c>
      <c r="K2201" s="2">
        <v>1</v>
      </c>
      <c r="L2201" s="2">
        <v>291</v>
      </c>
    </row>
    <row r="2202" spans="1:12" x14ac:dyDescent="0.25">
      <c r="A2202" s="4" t="str">
        <f>HYPERLINK("http://www.rosaceae.org/Prunus/Prunus_persica/p.persica_gdr_reftransV1_0048663","p.persica_gdr_reftransV1_0048663")</f>
        <v>p.persica_gdr_reftransV1_0048663</v>
      </c>
      <c r="B2202" s="2">
        <v>756</v>
      </c>
      <c r="C2202" s="4" t="str">
        <f>HYPERLINK("http://www.uniprot.org/uniprot/M5XKZ8","M5XKZ8")</f>
        <v>M5XKZ8</v>
      </c>
      <c r="D2202" s="2" t="s">
        <v>2126</v>
      </c>
      <c r="E2202" s="3">
        <v>9.3399999999999997E-145</v>
      </c>
      <c r="F2202" s="2">
        <v>1139</v>
      </c>
      <c r="G2202" s="2">
        <v>95</v>
      </c>
      <c r="H2202" s="2">
        <v>223</v>
      </c>
      <c r="I2202" s="2">
        <v>86</v>
      </c>
      <c r="J2202" s="2">
        <v>754</v>
      </c>
      <c r="K2202" s="2">
        <v>621</v>
      </c>
      <c r="L2202" s="2">
        <v>843</v>
      </c>
    </row>
    <row r="2203" spans="1:12" x14ac:dyDescent="0.25">
      <c r="A2203" s="4" t="str">
        <f>HYPERLINK("http://www.rosaceae.org/Prunus/Prunus_persica/p.persica_gdr_reftransV1_0000131","p.persica_gdr_reftransV1_0000131")</f>
        <v>p.persica_gdr_reftransV1_0000131</v>
      </c>
      <c r="B2203" s="2">
        <v>3752</v>
      </c>
      <c r="C2203" s="4" t="str">
        <f>HYPERLINK("http://www.uniprot.org/uniprot/M5WXW3","M5WXW3")</f>
        <v>M5WXW3</v>
      </c>
      <c r="D2203" s="2" t="s">
        <v>2127</v>
      </c>
      <c r="E2203" s="3">
        <v>0</v>
      </c>
      <c r="F2203" s="2">
        <v>5734</v>
      </c>
      <c r="G2203" s="2">
        <v>97</v>
      </c>
      <c r="H2203" s="2">
        <v>1128</v>
      </c>
      <c r="I2203" s="2">
        <v>316</v>
      </c>
      <c r="J2203" s="2">
        <v>3633</v>
      </c>
      <c r="K2203" s="2">
        <v>1</v>
      </c>
      <c r="L2203" s="2">
        <v>1117</v>
      </c>
    </row>
    <row r="2204" spans="1:12" x14ac:dyDescent="0.25">
      <c r="A2204" s="4" t="str">
        <f>HYPERLINK("http://www.rosaceae.org/Prunus/Prunus_persica/p.persica_gdr_reftransV1_0000831","p.persica_gdr_reftransV1_0000831")</f>
        <v>p.persica_gdr_reftransV1_0000831</v>
      </c>
      <c r="B2204" s="2">
        <v>1731</v>
      </c>
      <c r="C2204" s="4" t="str">
        <f>HYPERLINK("http://www.uniprot.org/uniprot/M5WWL4","M5WWL4")</f>
        <v>M5WWL4</v>
      </c>
      <c r="D2204" s="2" t="s">
        <v>2128</v>
      </c>
      <c r="E2204" s="3">
        <v>0</v>
      </c>
      <c r="F2204" s="2">
        <v>1397</v>
      </c>
      <c r="G2204" s="2">
        <v>90</v>
      </c>
      <c r="H2204" s="2">
        <v>326</v>
      </c>
      <c r="I2204" s="2">
        <v>198</v>
      </c>
      <c r="J2204" s="2">
        <v>1175</v>
      </c>
      <c r="K2204" s="2">
        <v>27</v>
      </c>
      <c r="L2204" s="2">
        <v>319</v>
      </c>
    </row>
    <row r="2205" spans="1:12" x14ac:dyDescent="0.25">
      <c r="A2205" s="4" t="str">
        <f>HYPERLINK("http://www.rosaceae.org/Prunus/Prunus_persica/p.persica_gdr_reftransV1_0001181","p.persica_gdr_reftransV1_0001181")</f>
        <v>p.persica_gdr_reftransV1_0001181</v>
      </c>
      <c r="B2205" s="2">
        <v>4797</v>
      </c>
      <c r="C2205" s="4" t="str">
        <f>HYPERLINK("http://www.uniprot.org/uniprot/M5XU34","M5XU34")</f>
        <v>M5XU34</v>
      </c>
      <c r="D2205" s="2" t="s">
        <v>2129</v>
      </c>
      <c r="E2205" s="3">
        <v>0</v>
      </c>
      <c r="F2205" s="2">
        <v>6832</v>
      </c>
      <c r="G2205" s="2">
        <v>100</v>
      </c>
      <c r="H2205" s="2">
        <v>1340</v>
      </c>
      <c r="I2205" s="2">
        <v>560</v>
      </c>
      <c r="J2205" s="2">
        <v>4579</v>
      </c>
      <c r="K2205" s="2">
        <v>1</v>
      </c>
      <c r="L2205" s="2">
        <v>1335</v>
      </c>
    </row>
    <row r="2206" spans="1:12" x14ac:dyDescent="0.25">
      <c r="A2206" s="4" t="str">
        <f>HYPERLINK("http://www.rosaceae.org/Prunus/Prunus_persica/p.persica_gdr_reftransV1_0001881","p.persica_gdr_reftransV1_0001881")</f>
        <v>p.persica_gdr_reftransV1_0001881</v>
      </c>
      <c r="B2206" s="2">
        <v>372</v>
      </c>
      <c r="C2206" s="4" t="str">
        <f>HYPERLINK("http://www.uniprot.org/uniprot/M5VVB4","M5VVB4")</f>
        <v>M5VVB4</v>
      </c>
      <c r="D2206" s="2" t="s">
        <v>2130</v>
      </c>
      <c r="E2206" s="3">
        <v>2.54E-51</v>
      </c>
      <c r="F2206" s="2">
        <v>437</v>
      </c>
      <c r="G2206" s="2">
        <v>100</v>
      </c>
      <c r="H2206" s="2">
        <v>84</v>
      </c>
      <c r="I2206" s="2">
        <v>121</v>
      </c>
      <c r="J2206" s="2">
        <v>372</v>
      </c>
      <c r="K2206" s="2">
        <v>24</v>
      </c>
      <c r="L2206" s="2">
        <v>107</v>
      </c>
    </row>
    <row r="2207" spans="1:12" x14ac:dyDescent="0.25">
      <c r="A2207" s="4" t="str">
        <f>HYPERLINK("http://www.rosaceae.org/Prunus/Prunus_persica/p.persica_gdr_reftransV1_0002231","p.persica_gdr_reftransV1_0002231")</f>
        <v>p.persica_gdr_reftransV1_0002231</v>
      </c>
      <c r="B2207" s="2">
        <v>1840</v>
      </c>
      <c r="C2207" s="4" t="str">
        <f>HYPERLINK("http://www.uniprot.org/uniprot/M5XRY1","M5XRY1")</f>
        <v>M5XRY1</v>
      </c>
      <c r="D2207" s="2" t="s">
        <v>2131</v>
      </c>
      <c r="E2207" s="3">
        <v>1.06E-141</v>
      </c>
      <c r="F2207" s="2">
        <v>1097</v>
      </c>
      <c r="G2207" s="2">
        <v>100</v>
      </c>
      <c r="H2207" s="2">
        <v>242</v>
      </c>
      <c r="I2207" s="2">
        <v>320</v>
      </c>
      <c r="J2207" s="2">
        <v>1045</v>
      </c>
      <c r="K2207" s="2">
        <v>1</v>
      </c>
      <c r="L2207" s="2">
        <v>242</v>
      </c>
    </row>
    <row r="2208" spans="1:12" x14ac:dyDescent="0.25">
      <c r="A2208" s="4" t="str">
        <f>HYPERLINK("http://www.rosaceae.org/Prunus/Prunus_persica/p.persica_gdr_reftransV1_0002581","p.persica_gdr_reftransV1_0002581")</f>
        <v>p.persica_gdr_reftransV1_0002581</v>
      </c>
      <c r="B2208" s="2">
        <v>807</v>
      </c>
      <c r="C2208" s="4" t="str">
        <f>HYPERLINK("http://www.uniprot.org/uniprot/M5X0Q8","M5X0Q8")</f>
        <v>M5X0Q8</v>
      </c>
      <c r="D2208" s="2" t="s">
        <v>842</v>
      </c>
      <c r="E2208" s="3">
        <v>3.1799999999999998E-116</v>
      </c>
      <c r="F2208" s="2">
        <v>901</v>
      </c>
      <c r="G2208" s="2">
        <v>100</v>
      </c>
      <c r="H2208" s="2">
        <v>169</v>
      </c>
      <c r="I2208" s="2">
        <v>1</v>
      </c>
      <c r="J2208" s="2">
        <v>507</v>
      </c>
      <c r="K2208" s="2">
        <v>56</v>
      </c>
      <c r="L2208" s="2">
        <v>224</v>
      </c>
    </row>
    <row r="2209" spans="1:12" x14ac:dyDescent="0.25">
      <c r="A2209" s="4" t="str">
        <f>HYPERLINK("http://www.rosaceae.org/Prunus/Prunus_persica/p.persica_gdr_reftransV1_0002931","p.persica_gdr_reftransV1_0002931")</f>
        <v>p.persica_gdr_reftransV1_0002931</v>
      </c>
      <c r="B2209" s="2">
        <v>369</v>
      </c>
      <c r="C2209" s="4" t="str">
        <f>HYPERLINK("http://www.uniprot.org/uniprot/M5X8B7","M5X8B7")</f>
        <v>M5X8B7</v>
      </c>
      <c r="D2209" s="2" t="s">
        <v>2132</v>
      </c>
      <c r="E2209" s="3">
        <v>1.0699999999999999E-69</v>
      </c>
      <c r="F2209" s="2">
        <v>588</v>
      </c>
      <c r="G2209" s="2">
        <v>100</v>
      </c>
      <c r="H2209" s="2">
        <v>113</v>
      </c>
      <c r="I2209" s="2">
        <v>30</v>
      </c>
      <c r="J2209" s="2">
        <v>368</v>
      </c>
      <c r="K2209" s="2">
        <v>1</v>
      </c>
      <c r="L2209" s="2">
        <v>113</v>
      </c>
    </row>
    <row r="2210" spans="1:12" x14ac:dyDescent="0.25">
      <c r="A2210" s="4" t="str">
        <f>HYPERLINK("http://www.rosaceae.org/Prunus/Prunus_persica/p.persica_gdr_reftransV1_0003281","p.persica_gdr_reftransV1_0003281")</f>
        <v>p.persica_gdr_reftransV1_0003281</v>
      </c>
      <c r="B2210" s="2">
        <v>815</v>
      </c>
      <c r="C2210" s="4" t="str">
        <f>HYPERLINK("http://www.uniprot.org/uniprot/V7BTZ9","V7BTZ9")</f>
        <v>V7BTZ9</v>
      </c>
      <c r="D2210" s="2" t="s">
        <v>2133</v>
      </c>
      <c r="E2210" s="3">
        <v>1.05E-22</v>
      </c>
      <c r="F2210" s="2">
        <v>259</v>
      </c>
      <c r="G2210" s="2">
        <v>61</v>
      </c>
      <c r="H2210" s="2">
        <v>125</v>
      </c>
      <c r="I2210" s="2">
        <v>3</v>
      </c>
      <c r="J2210" s="2">
        <v>368</v>
      </c>
      <c r="K2210" s="2">
        <v>157</v>
      </c>
      <c r="L2210" s="2">
        <v>281</v>
      </c>
    </row>
    <row r="2211" spans="1:12" x14ac:dyDescent="0.25">
      <c r="A2211" s="4" t="str">
        <f>HYPERLINK("http://www.rosaceae.org/Prunus/Prunus_persica/p.persica_gdr_reftransV1_0003631","p.persica_gdr_reftransV1_0003631")</f>
        <v>p.persica_gdr_reftransV1_0003631</v>
      </c>
      <c r="B2211" s="2">
        <v>545</v>
      </c>
      <c r="C2211" s="4" t="str">
        <f>HYPERLINK("http://www.uniprot.org/uniprot/M5XBT7","M5XBT7")</f>
        <v>M5XBT7</v>
      </c>
      <c r="D2211" s="2" t="s">
        <v>2134</v>
      </c>
      <c r="E2211" s="3">
        <v>1.5499999999999999E-51</v>
      </c>
      <c r="F2211" s="2">
        <v>436</v>
      </c>
      <c r="G2211" s="2">
        <v>100</v>
      </c>
      <c r="H2211" s="2">
        <v>120</v>
      </c>
      <c r="I2211" s="2">
        <v>125</v>
      </c>
      <c r="J2211" s="2">
        <v>484</v>
      </c>
      <c r="K2211" s="2">
        <v>1</v>
      </c>
      <c r="L2211" s="2">
        <v>120</v>
      </c>
    </row>
    <row r="2212" spans="1:12" x14ac:dyDescent="0.25">
      <c r="A2212" s="4" t="str">
        <f>HYPERLINK("http://www.rosaceae.org/Prunus/Prunus_persica/p.persica_gdr_reftransV1_0003981","p.persica_gdr_reftransV1_0003981")</f>
        <v>p.persica_gdr_reftransV1_0003981</v>
      </c>
      <c r="B2212" s="2">
        <v>1351</v>
      </c>
      <c r="C2212" s="4" t="str">
        <f>HYPERLINK("http://www.uniprot.org/uniprot/M5VMS3","M5VMS3")</f>
        <v>M5VMS3</v>
      </c>
      <c r="D2212" s="2" t="s">
        <v>2135</v>
      </c>
      <c r="E2212" s="3">
        <v>2.9100000000000001E-166</v>
      </c>
      <c r="F2212" s="2">
        <v>1243</v>
      </c>
      <c r="G2212" s="2">
        <v>93</v>
      </c>
      <c r="H2212" s="2">
        <v>293</v>
      </c>
      <c r="I2212" s="2">
        <v>347</v>
      </c>
      <c r="J2212" s="2">
        <v>1210</v>
      </c>
      <c r="K2212" s="2">
        <v>29</v>
      </c>
      <c r="L2212" s="2">
        <v>321</v>
      </c>
    </row>
    <row r="2213" spans="1:12" x14ac:dyDescent="0.25">
      <c r="A2213" s="4" t="str">
        <f>HYPERLINK("http://www.rosaceae.org/Prunus/Prunus_persica/p.persica_gdr_reftransV1_0004331","p.persica_gdr_reftransV1_0004331")</f>
        <v>p.persica_gdr_reftransV1_0004331</v>
      </c>
      <c r="B2213" s="2">
        <v>1011</v>
      </c>
      <c r="C2213" s="4" t="str">
        <f>HYPERLINK("http://www.uniprot.org/uniprot/M5X0D5","M5X0D5")</f>
        <v>M5X0D5</v>
      </c>
      <c r="D2213" s="2" t="s">
        <v>2136</v>
      </c>
      <c r="E2213" s="3">
        <v>1.1799999999999999E-105</v>
      </c>
      <c r="F2213" s="2">
        <v>611</v>
      </c>
      <c r="G2213" s="2">
        <v>99</v>
      </c>
      <c r="H2213" s="2">
        <v>124</v>
      </c>
      <c r="I2213" s="2">
        <v>379</v>
      </c>
      <c r="J2213" s="2">
        <v>750</v>
      </c>
      <c r="K2213" s="2">
        <v>1</v>
      </c>
      <c r="L2213" s="2">
        <v>124</v>
      </c>
    </row>
    <row r="2214" spans="1:12" x14ac:dyDescent="0.25">
      <c r="A2214" s="4" t="str">
        <f>HYPERLINK("http://www.rosaceae.org/Prunus/Prunus_persica/p.persica_gdr_reftransV1_0005031","p.persica_gdr_reftransV1_0005031")</f>
        <v>p.persica_gdr_reftransV1_0005031</v>
      </c>
      <c r="B2214" s="2">
        <v>2016</v>
      </c>
      <c r="C2214" s="4" t="str">
        <f>HYPERLINK("http://www.uniprot.org/uniprot/M5XJU0","M5XJU0")</f>
        <v>M5XJU0</v>
      </c>
      <c r="D2214" s="2" t="s">
        <v>2137</v>
      </c>
      <c r="E2214" s="3">
        <v>3.4399999999999999E-57</v>
      </c>
      <c r="F2214" s="2">
        <v>562</v>
      </c>
      <c r="G2214" s="2">
        <v>99</v>
      </c>
      <c r="H2214" s="2">
        <v>109</v>
      </c>
      <c r="I2214" s="2">
        <v>2</v>
      </c>
      <c r="J2214" s="2">
        <v>328</v>
      </c>
      <c r="K2214" s="2">
        <v>73</v>
      </c>
      <c r="L2214" s="2">
        <v>181</v>
      </c>
    </row>
    <row r="2215" spans="1:12" x14ac:dyDescent="0.25">
      <c r="A2215" s="4" t="str">
        <f>HYPERLINK("http://www.rosaceae.org/Prunus/Prunus_persica/p.persica_gdr_reftransV1_0005381","p.persica_gdr_reftransV1_0005381")</f>
        <v>p.persica_gdr_reftransV1_0005381</v>
      </c>
      <c r="B2215" s="2">
        <v>807</v>
      </c>
      <c r="C2215" s="4" t="str">
        <f>HYPERLINK("http://www.uniprot.org/uniprot/M5VSH2","M5VSH2")</f>
        <v>M5VSH2</v>
      </c>
      <c r="D2215" s="2" t="s">
        <v>2138</v>
      </c>
      <c r="E2215" s="3">
        <v>1.7099999999999999E-170</v>
      </c>
      <c r="F2215" s="2">
        <v>1328</v>
      </c>
      <c r="G2215" s="2">
        <v>95</v>
      </c>
      <c r="H2215" s="2">
        <v>269</v>
      </c>
      <c r="I2215" s="2">
        <v>1</v>
      </c>
      <c r="J2215" s="2">
        <v>807</v>
      </c>
      <c r="K2215" s="2">
        <v>926</v>
      </c>
      <c r="L2215" s="2">
        <v>1181</v>
      </c>
    </row>
    <row r="2216" spans="1:12" x14ac:dyDescent="0.25">
      <c r="A2216" s="4" t="str">
        <f>HYPERLINK("http://www.rosaceae.org/Prunus/Prunus_persica/p.persica_gdr_reftransV1_0005731","p.persica_gdr_reftransV1_0005731")</f>
        <v>p.persica_gdr_reftransV1_0005731</v>
      </c>
      <c r="B2216" s="2">
        <v>593</v>
      </c>
      <c r="C2216" s="4" t="str">
        <f>HYPERLINK("http://www.uniprot.org/uniprot/M5XAU5","M5XAU5")</f>
        <v>M5XAU5</v>
      </c>
      <c r="D2216" s="2" t="s">
        <v>2139</v>
      </c>
      <c r="E2216" s="3">
        <v>7.9999999999999999E-132</v>
      </c>
      <c r="F2216" s="2">
        <v>1066</v>
      </c>
      <c r="G2216" s="2">
        <v>100</v>
      </c>
      <c r="H2216" s="2">
        <v>197</v>
      </c>
      <c r="I2216" s="2">
        <v>3</v>
      </c>
      <c r="J2216" s="2">
        <v>593</v>
      </c>
      <c r="K2216" s="2">
        <v>344</v>
      </c>
      <c r="L2216" s="2">
        <v>540</v>
      </c>
    </row>
    <row r="2217" spans="1:12" x14ac:dyDescent="0.25">
      <c r="A2217" s="4" t="str">
        <f>HYPERLINK("http://www.rosaceae.org/Prunus/Prunus_persica/p.persica_gdr_reftransV1_0006081","p.persica_gdr_reftransV1_0006081")</f>
        <v>p.persica_gdr_reftransV1_0006081</v>
      </c>
      <c r="B2217" s="2">
        <v>530</v>
      </c>
      <c r="C2217" s="4" t="str">
        <f>HYPERLINK("http://www.uniprot.org/uniprot/M5W6R1","M5W6R1")</f>
        <v>M5W6R1</v>
      </c>
      <c r="D2217" s="2" t="s">
        <v>2140</v>
      </c>
      <c r="E2217" s="3">
        <v>1.4599999999999999E-102</v>
      </c>
      <c r="F2217" s="2">
        <v>847</v>
      </c>
      <c r="G2217" s="2">
        <v>99</v>
      </c>
      <c r="H2217" s="2">
        <v>176</v>
      </c>
      <c r="I2217" s="2">
        <v>1</v>
      </c>
      <c r="J2217" s="2">
        <v>528</v>
      </c>
      <c r="K2217" s="2">
        <v>738</v>
      </c>
      <c r="L2217" s="2">
        <v>913</v>
      </c>
    </row>
    <row r="2218" spans="1:12" x14ac:dyDescent="0.25">
      <c r="A2218" s="4" t="str">
        <f>HYPERLINK("http://www.rosaceae.org/Prunus/Prunus_persica/p.persica_gdr_reftransV1_0006431","p.persica_gdr_reftransV1_0006431")</f>
        <v>p.persica_gdr_reftransV1_0006431</v>
      </c>
      <c r="B2218" s="2">
        <v>683</v>
      </c>
      <c r="C2218" s="4" t="str">
        <f>HYPERLINK("http://www.uniprot.org/uniprot/M5W1Z5","M5W1Z5")</f>
        <v>M5W1Z5</v>
      </c>
      <c r="D2218" s="2" t="s">
        <v>2141</v>
      </c>
      <c r="E2218" s="3">
        <v>1.2599999999999999E-24</v>
      </c>
      <c r="F2218" s="2">
        <v>281</v>
      </c>
      <c r="G2218" s="2">
        <v>64</v>
      </c>
      <c r="H2218" s="2">
        <v>80</v>
      </c>
      <c r="I2218" s="2">
        <v>1</v>
      </c>
      <c r="J2218" s="2">
        <v>240</v>
      </c>
      <c r="K2218" s="2">
        <v>388</v>
      </c>
      <c r="L2218" s="2">
        <v>467</v>
      </c>
    </row>
    <row r="2219" spans="1:12" x14ac:dyDescent="0.25">
      <c r="A2219" s="4" t="str">
        <f>HYPERLINK("http://www.rosaceae.org/Prunus/Prunus_persica/p.persica_gdr_reftransV1_0007131","p.persica_gdr_reftransV1_0007131")</f>
        <v>p.persica_gdr_reftransV1_0007131</v>
      </c>
      <c r="B2219" s="2">
        <v>1193</v>
      </c>
      <c r="C2219" s="4" t="str">
        <f>HYPERLINK("http://www.uniprot.org/uniprot/M5WHQ7","M5WHQ7")</f>
        <v>M5WHQ7</v>
      </c>
      <c r="D2219" s="2" t="s">
        <v>2142</v>
      </c>
      <c r="E2219" s="3">
        <v>0</v>
      </c>
      <c r="F2219" s="2">
        <v>1549</v>
      </c>
      <c r="G2219" s="2">
        <v>100</v>
      </c>
      <c r="H2219" s="2">
        <v>307</v>
      </c>
      <c r="I2219" s="2">
        <v>2</v>
      </c>
      <c r="J2219" s="2">
        <v>922</v>
      </c>
      <c r="K2219" s="2">
        <v>184</v>
      </c>
      <c r="L2219" s="2">
        <v>490</v>
      </c>
    </row>
    <row r="2220" spans="1:12" x14ac:dyDescent="0.25">
      <c r="A2220" s="4" t="str">
        <f>HYPERLINK("http://www.rosaceae.org/Prunus/Prunus_persica/p.persica_gdr_reftransV1_0007481","p.persica_gdr_reftransV1_0007481")</f>
        <v>p.persica_gdr_reftransV1_0007481</v>
      </c>
      <c r="B2220" s="2">
        <v>724</v>
      </c>
      <c r="C2220" s="4" t="str">
        <f>HYPERLINK("http://www.uniprot.org/uniprot/M5XFW5","M5XFW5")</f>
        <v>M5XFW5</v>
      </c>
      <c r="D2220" s="2" t="s">
        <v>2143</v>
      </c>
      <c r="E2220" s="3">
        <v>7.1600000000000004E-50</v>
      </c>
      <c r="F2220" s="2">
        <v>464</v>
      </c>
      <c r="G2220" s="2">
        <v>100</v>
      </c>
      <c r="H2220" s="2">
        <v>102</v>
      </c>
      <c r="I2220" s="2">
        <v>1</v>
      </c>
      <c r="J2220" s="2">
        <v>306</v>
      </c>
      <c r="K2220" s="2">
        <v>554</v>
      </c>
      <c r="L2220" s="2">
        <v>655</v>
      </c>
    </row>
    <row r="2221" spans="1:12" x14ac:dyDescent="0.25">
      <c r="A2221" s="4" t="str">
        <f>HYPERLINK("http://www.rosaceae.org/Prunus/Prunus_persica/p.persica_gdr_reftransV1_0007831","p.persica_gdr_reftransV1_0007831")</f>
        <v>p.persica_gdr_reftransV1_0007831</v>
      </c>
      <c r="B2221" s="2">
        <v>722</v>
      </c>
      <c r="C2221" s="4" t="str">
        <f>HYPERLINK("http://www.uniprot.org/uniprot/M5W2G0","M5W2G0")</f>
        <v>M5W2G0</v>
      </c>
      <c r="D2221" s="2" t="s">
        <v>2144</v>
      </c>
      <c r="E2221" s="3">
        <v>2.2600000000000001E-109</v>
      </c>
      <c r="F2221" s="2">
        <v>850</v>
      </c>
      <c r="G2221" s="2">
        <v>99</v>
      </c>
      <c r="H2221" s="2">
        <v>160</v>
      </c>
      <c r="I2221" s="2">
        <v>2</v>
      </c>
      <c r="J2221" s="2">
        <v>481</v>
      </c>
      <c r="K2221" s="2">
        <v>1</v>
      </c>
      <c r="L2221" s="2">
        <v>160</v>
      </c>
    </row>
    <row r="2222" spans="1:12" x14ac:dyDescent="0.25">
      <c r="A2222" s="4" t="str">
        <f>HYPERLINK("http://www.rosaceae.org/Prunus/Prunus_persica/p.persica_gdr_reftransV1_0008531","p.persica_gdr_reftransV1_0008531")</f>
        <v>p.persica_gdr_reftransV1_0008531</v>
      </c>
      <c r="B2222" s="2">
        <v>836</v>
      </c>
      <c r="C2222" s="4" t="str">
        <f>HYPERLINK("http://www.uniprot.org/uniprot/M5WAN5","M5WAN5")</f>
        <v>M5WAN5</v>
      </c>
      <c r="D2222" s="2" t="s">
        <v>2145</v>
      </c>
      <c r="E2222" s="3">
        <v>7.1699999999999996E-138</v>
      </c>
      <c r="F2222" s="2">
        <v>1046</v>
      </c>
      <c r="G2222" s="2">
        <v>100</v>
      </c>
      <c r="H2222" s="2">
        <v>211</v>
      </c>
      <c r="I2222" s="2">
        <v>2</v>
      </c>
      <c r="J2222" s="2">
        <v>634</v>
      </c>
      <c r="K2222" s="2">
        <v>198</v>
      </c>
      <c r="L2222" s="2">
        <v>408</v>
      </c>
    </row>
    <row r="2223" spans="1:12" x14ac:dyDescent="0.25">
      <c r="A2223" s="4" t="str">
        <f>HYPERLINK("http://www.rosaceae.org/Prunus/Prunus_persica/p.persica_gdr_reftransV1_0008881","p.persica_gdr_reftransV1_0008881")</f>
        <v>p.persica_gdr_reftransV1_0008881</v>
      </c>
      <c r="B2223" s="2">
        <v>1071</v>
      </c>
      <c r="C2223" s="4" t="str">
        <f>HYPERLINK("http://www.uniprot.org/uniprot/M5XG74","M5XG74")</f>
        <v>M5XG74</v>
      </c>
      <c r="D2223" s="2" t="s">
        <v>2146</v>
      </c>
      <c r="E2223" s="3">
        <v>1.99E-35</v>
      </c>
      <c r="F2223" s="2">
        <v>338</v>
      </c>
      <c r="G2223" s="2">
        <v>100</v>
      </c>
      <c r="H2223" s="2">
        <v>77</v>
      </c>
      <c r="I2223" s="2">
        <v>224</v>
      </c>
      <c r="J2223" s="2">
        <v>454</v>
      </c>
      <c r="K2223" s="2">
        <v>1</v>
      </c>
      <c r="L2223" s="2">
        <v>77</v>
      </c>
    </row>
    <row r="2224" spans="1:12" x14ac:dyDescent="0.25">
      <c r="A2224" s="4" t="str">
        <f>HYPERLINK("http://www.rosaceae.org/Prunus/Prunus_persica/p.persica_gdr_reftransV1_0009231","p.persica_gdr_reftransV1_0009231")</f>
        <v>p.persica_gdr_reftransV1_0009231</v>
      </c>
      <c r="B2224" s="2">
        <v>586</v>
      </c>
      <c r="C2224" s="4" t="str">
        <f>HYPERLINK("http://www.uniprot.org/uniprot/M5WRA0","M5WRA0")</f>
        <v>M5WRA0</v>
      </c>
      <c r="D2224" s="2" t="s">
        <v>2147</v>
      </c>
      <c r="E2224" s="3">
        <v>4.6800000000000003E-136</v>
      </c>
      <c r="F2224" s="2">
        <v>1051</v>
      </c>
      <c r="G2224" s="2">
        <v>100</v>
      </c>
      <c r="H2224" s="2">
        <v>195</v>
      </c>
      <c r="I2224" s="2">
        <v>1</v>
      </c>
      <c r="J2224" s="2">
        <v>585</v>
      </c>
      <c r="K2224" s="2">
        <v>326</v>
      </c>
      <c r="L2224" s="2">
        <v>520</v>
      </c>
    </row>
    <row r="2225" spans="1:12" x14ac:dyDescent="0.25">
      <c r="A2225" s="4" t="str">
        <f>HYPERLINK("http://www.rosaceae.org/Prunus/Prunus_persica/p.persica_gdr_reftransV1_0010281","p.persica_gdr_reftransV1_0010281")</f>
        <v>p.persica_gdr_reftransV1_0010281</v>
      </c>
      <c r="B2225" s="2">
        <v>6131</v>
      </c>
      <c r="C2225" s="4" t="str">
        <f>HYPERLINK("http://www.uniprot.org/uniprot/M5X7R7","M5X7R7")</f>
        <v>M5X7R7</v>
      </c>
      <c r="D2225" s="2" t="s">
        <v>2148</v>
      </c>
      <c r="E2225" s="3">
        <v>0</v>
      </c>
      <c r="F2225" s="2">
        <v>7637</v>
      </c>
      <c r="G2225" s="2">
        <v>98</v>
      </c>
      <c r="H2225" s="2">
        <v>1478</v>
      </c>
      <c r="I2225" s="2">
        <v>1530</v>
      </c>
      <c r="J2225" s="2">
        <v>5867</v>
      </c>
      <c r="K2225" s="2">
        <v>1</v>
      </c>
      <c r="L2225" s="2">
        <v>1478</v>
      </c>
    </row>
    <row r="2226" spans="1:12" x14ac:dyDescent="0.25">
      <c r="A2226" s="4" t="str">
        <f>HYPERLINK("http://www.rosaceae.org/Prunus/Prunus_persica/p.persica_gdr_reftransV1_0010631","p.persica_gdr_reftransV1_0010631")</f>
        <v>p.persica_gdr_reftransV1_0010631</v>
      </c>
      <c r="B2226" s="2">
        <v>942</v>
      </c>
      <c r="C2226" s="4" t="str">
        <f>HYPERLINK("http://www.uniprot.org/uniprot/M5WUE2","M5WUE2")</f>
        <v>M5WUE2</v>
      </c>
      <c r="D2226" s="2" t="s">
        <v>2149</v>
      </c>
      <c r="E2226" s="3">
        <v>1.36E-130</v>
      </c>
      <c r="F2226" s="2">
        <v>1001</v>
      </c>
      <c r="G2226" s="2">
        <v>100</v>
      </c>
      <c r="H2226" s="2">
        <v>189</v>
      </c>
      <c r="I2226" s="2">
        <v>375</v>
      </c>
      <c r="J2226" s="2">
        <v>941</v>
      </c>
      <c r="K2226" s="2">
        <v>222</v>
      </c>
      <c r="L2226" s="2">
        <v>410</v>
      </c>
    </row>
    <row r="2227" spans="1:12" x14ac:dyDescent="0.25">
      <c r="A2227" s="4" t="str">
        <f>HYPERLINK("http://www.rosaceae.org/Prunus/Prunus_persica/p.persica_gdr_reftransV1_0010981","p.persica_gdr_reftransV1_0010981")</f>
        <v>p.persica_gdr_reftransV1_0010981</v>
      </c>
      <c r="B2227" s="2">
        <v>624</v>
      </c>
      <c r="C2227" s="4" t="str">
        <f>HYPERLINK("http://www.uniprot.org/uniprot/M5XUC9","M5XUC9")</f>
        <v>M5XUC9</v>
      </c>
      <c r="D2227" s="2" t="s">
        <v>2150</v>
      </c>
      <c r="E2227" s="3">
        <v>9.3400000000000007E-93</v>
      </c>
      <c r="F2227" s="2">
        <v>718</v>
      </c>
      <c r="G2227" s="2">
        <v>100</v>
      </c>
      <c r="H2227" s="2">
        <v>159</v>
      </c>
      <c r="I2227" s="2">
        <v>22</v>
      </c>
      <c r="J2227" s="2">
        <v>498</v>
      </c>
      <c r="K2227" s="2">
        <v>27</v>
      </c>
      <c r="L2227" s="2">
        <v>185</v>
      </c>
    </row>
    <row r="2228" spans="1:12" x14ac:dyDescent="0.25">
      <c r="A2228" s="4" t="str">
        <f>HYPERLINK("http://www.rosaceae.org/Prunus/Prunus_persica/p.persica_gdr_reftransV1_0011331","p.persica_gdr_reftransV1_0011331")</f>
        <v>p.persica_gdr_reftransV1_0011331</v>
      </c>
      <c r="B2228" s="2">
        <v>1440</v>
      </c>
      <c r="C2228" s="4" t="str">
        <f>HYPERLINK("http://www.uniprot.org/uniprot/M5X3J7","M5X3J7")</f>
        <v>M5X3J7</v>
      </c>
      <c r="D2228" s="2" t="s">
        <v>2151</v>
      </c>
      <c r="E2228" s="3">
        <v>8.7199999999999992E-155</v>
      </c>
      <c r="F2228" s="2">
        <v>1196</v>
      </c>
      <c r="G2228" s="2">
        <v>100</v>
      </c>
      <c r="H2228" s="2">
        <v>221</v>
      </c>
      <c r="I2228" s="2">
        <v>200</v>
      </c>
      <c r="J2228" s="2">
        <v>862</v>
      </c>
      <c r="K2228" s="2">
        <v>1</v>
      </c>
      <c r="L2228" s="2">
        <v>221</v>
      </c>
    </row>
    <row r="2229" spans="1:12" x14ac:dyDescent="0.25">
      <c r="A2229" s="4" t="str">
        <f>HYPERLINK("http://www.rosaceae.org/Prunus/Prunus_persica/p.persica_gdr_reftransV1_0013081","p.persica_gdr_reftransV1_0013081")</f>
        <v>p.persica_gdr_reftransV1_0013081</v>
      </c>
      <c r="B2229" s="2">
        <v>5490</v>
      </c>
      <c r="C2229" s="4" t="str">
        <f>HYPERLINK("http://www.uniprot.org/uniprot/M5VZI5","M5VZI5")</f>
        <v>M5VZI5</v>
      </c>
      <c r="D2229" s="2" t="s">
        <v>2152</v>
      </c>
      <c r="E2229" s="3">
        <v>0</v>
      </c>
      <c r="F2229" s="2">
        <v>3526</v>
      </c>
      <c r="G2229" s="2">
        <v>100</v>
      </c>
      <c r="H2229" s="2">
        <v>725</v>
      </c>
      <c r="I2229" s="2">
        <v>398</v>
      </c>
      <c r="J2229" s="2">
        <v>2572</v>
      </c>
      <c r="K2229" s="2">
        <v>1</v>
      </c>
      <c r="L2229" s="2">
        <v>725</v>
      </c>
    </row>
    <row r="2230" spans="1:12" x14ac:dyDescent="0.25">
      <c r="A2230" s="4" t="str">
        <f>HYPERLINK("http://www.rosaceae.org/Prunus/Prunus_persica/p.persica_gdr_reftransV1_0013431","p.persica_gdr_reftransV1_0013431")</f>
        <v>p.persica_gdr_reftransV1_0013431</v>
      </c>
      <c r="B2230" s="2">
        <v>1202</v>
      </c>
      <c r="C2230" s="4" t="str">
        <f>HYPERLINK("http://www.uniprot.org/uniprot/M5XDN0","M5XDN0")</f>
        <v>M5XDN0</v>
      </c>
      <c r="D2230" s="2" t="s">
        <v>2153</v>
      </c>
      <c r="E2230" s="3">
        <v>1.8399999999999999E-146</v>
      </c>
      <c r="F2230" s="2">
        <v>1095</v>
      </c>
      <c r="G2230" s="2">
        <v>100</v>
      </c>
      <c r="H2230" s="2">
        <v>206</v>
      </c>
      <c r="I2230" s="2">
        <v>256</v>
      </c>
      <c r="J2230" s="2">
        <v>873</v>
      </c>
      <c r="K2230" s="2">
        <v>1</v>
      </c>
      <c r="L2230" s="2">
        <v>206</v>
      </c>
    </row>
    <row r="2231" spans="1:12" x14ac:dyDescent="0.25">
      <c r="A2231" s="4" t="str">
        <f>HYPERLINK("http://www.rosaceae.org/Prunus/Prunus_persica/p.persica_gdr_reftransV1_0013781","p.persica_gdr_reftransV1_0013781")</f>
        <v>p.persica_gdr_reftransV1_0013781</v>
      </c>
      <c r="B2231" s="2">
        <v>726</v>
      </c>
      <c r="C2231" s="4" t="str">
        <f>HYPERLINK("http://www.uniprot.org/uniprot/M5VVL3","M5VVL3")</f>
        <v>M5VVL3</v>
      </c>
      <c r="D2231" s="2" t="s">
        <v>2154</v>
      </c>
      <c r="E2231" s="3">
        <v>2.3199999999999999E-86</v>
      </c>
      <c r="F2231" s="2">
        <v>718</v>
      </c>
      <c r="G2231" s="2">
        <v>100</v>
      </c>
      <c r="H2231" s="2">
        <v>138</v>
      </c>
      <c r="I2231" s="2">
        <v>3</v>
      </c>
      <c r="J2231" s="2">
        <v>416</v>
      </c>
      <c r="K2231" s="2">
        <v>30</v>
      </c>
      <c r="L2231" s="2">
        <v>167</v>
      </c>
    </row>
    <row r="2232" spans="1:12" x14ac:dyDescent="0.25">
      <c r="A2232" s="4" t="str">
        <f>HYPERLINK("http://www.rosaceae.org/Prunus/Prunus_persica/p.persica_gdr_reftransV1_0014131","p.persica_gdr_reftransV1_0014131")</f>
        <v>p.persica_gdr_reftransV1_0014131</v>
      </c>
      <c r="B2232" s="2">
        <v>2174</v>
      </c>
      <c r="C2232" s="4" t="str">
        <f>HYPERLINK("http://www.uniprot.org/uniprot/M5VL29","M5VL29")</f>
        <v>M5VL29</v>
      </c>
      <c r="D2232" s="2" t="s">
        <v>2155</v>
      </c>
      <c r="E2232" s="3">
        <v>0</v>
      </c>
      <c r="F2232" s="2">
        <v>1783</v>
      </c>
      <c r="G2232" s="2">
        <v>100</v>
      </c>
      <c r="H2232" s="2">
        <v>344</v>
      </c>
      <c r="I2232" s="2">
        <v>476</v>
      </c>
      <c r="J2232" s="2">
        <v>1507</v>
      </c>
      <c r="K2232" s="2">
        <v>1</v>
      </c>
      <c r="L2232" s="2">
        <v>344</v>
      </c>
    </row>
    <row r="2233" spans="1:12" x14ac:dyDescent="0.25">
      <c r="A2233" s="4" t="str">
        <f>HYPERLINK("http://www.rosaceae.org/Prunus/Prunus_persica/p.persica_gdr_reftransV1_0014481","p.persica_gdr_reftransV1_0014481")</f>
        <v>p.persica_gdr_reftransV1_0014481</v>
      </c>
      <c r="B2233" s="2">
        <v>1055</v>
      </c>
      <c r="C2233" s="4" t="str">
        <f>HYPERLINK("http://www.uniprot.org/uniprot/M5XC36","M5XC36")</f>
        <v>M5XC36</v>
      </c>
      <c r="D2233" s="2" t="s">
        <v>2156</v>
      </c>
      <c r="E2233" s="3">
        <v>3.2499999999999997E-61</v>
      </c>
      <c r="F2233" s="2">
        <v>540</v>
      </c>
      <c r="G2233" s="2">
        <v>100</v>
      </c>
      <c r="H2233" s="2">
        <v>170</v>
      </c>
      <c r="I2233" s="2">
        <v>259</v>
      </c>
      <c r="J2233" s="2">
        <v>768</v>
      </c>
      <c r="K2233" s="2">
        <v>222</v>
      </c>
      <c r="L2233" s="2">
        <v>391</v>
      </c>
    </row>
    <row r="2234" spans="1:12" x14ac:dyDescent="0.25">
      <c r="A2234" s="4" t="str">
        <f>HYPERLINK("http://www.rosaceae.org/Prunus/Prunus_persica/p.persica_gdr_reftransV1_0015181","p.persica_gdr_reftransV1_0015181")</f>
        <v>p.persica_gdr_reftransV1_0015181</v>
      </c>
      <c r="B2234" s="2">
        <v>1540</v>
      </c>
      <c r="C2234" s="4" t="str">
        <f>HYPERLINK("http://www.uniprot.org/uniprot/M5WQ48","M5WQ48")</f>
        <v>M5WQ48</v>
      </c>
      <c r="D2234" s="2" t="s">
        <v>2157</v>
      </c>
      <c r="E2234" s="3">
        <v>0</v>
      </c>
      <c r="F2234" s="2">
        <v>2101</v>
      </c>
      <c r="G2234" s="2">
        <v>100</v>
      </c>
      <c r="H2234" s="2">
        <v>401</v>
      </c>
      <c r="I2234" s="2">
        <v>164</v>
      </c>
      <c r="J2234" s="2">
        <v>1366</v>
      </c>
      <c r="K2234" s="2">
        <v>1</v>
      </c>
      <c r="L2234" s="2">
        <v>401</v>
      </c>
    </row>
    <row r="2235" spans="1:12" x14ac:dyDescent="0.25">
      <c r="A2235" s="4" t="str">
        <f>HYPERLINK("http://www.rosaceae.org/Prunus/Prunus_persica/p.persica_gdr_reftransV1_0015531","p.persica_gdr_reftransV1_0015531")</f>
        <v>p.persica_gdr_reftransV1_0015531</v>
      </c>
      <c r="B2235" s="2">
        <v>754</v>
      </c>
      <c r="C2235" s="4" t="str">
        <f>HYPERLINK("http://www.uniprot.org/uniprot/K7KY59","K7KY59")</f>
        <v>K7KY59</v>
      </c>
      <c r="D2235" s="2" t="s">
        <v>575</v>
      </c>
      <c r="E2235" s="3">
        <v>4.1999999999999998E-13</v>
      </c>
      <c r="F2235" s="2">
        <v>174</v>
      </c>
      <c r="G2235" s="2">
        <v>67</v>
      </c>
      <c r="H2235" s="2">
        <v>54</v>
      </c>
      <c r="I2235" s="2">
        <v>421</v>
      </c>
      <c r="J2235" s="2">
        <v>582</v>
      </c>
      <c r="K2235" s="2">
        <v>1</v>
      </c>
      <c r="L2235" s="2">
        <v>49</v>
      </c>
    </row>
    <row r="2236" spans="1:12" x14ac:dyDescent="0.25">
      <c r="A2236" s="4" t="str">
        <f>HYPERLINK("http://www.rosaceae.org/Prunus/Prunus_persica/p.persica_gdr_reftransV1_0015881","p.persica_gdr_reftransV1_0015881")</f>
        <v>p.persica_gdr_reftransV1_0015881</v>
      </c>
      <c r="B2236" s="2">
        <v>866</v>
      </c>
      <c r="C2236" s="4" t="str">
        <f>HYPERLINK("http://www.uniprot.org/uniprot/A5C0A9","A5C0A9")</f>
        <v>A5C0A9</v>
      </c>
      <c r="D2236" s="2" t="s">
        <v>2158</v>
      </c>
      <c r="E2236" s="3">
        <v>4.8100000000000003E-31</v>
      </c>
      <c r="F2236" s="2">
        <v>336</v>
      </c>
      <c r="G2236" s="2">
        <v>67</v>
      </c>
      <c r="H2236" s="2">
        <v>118</v>
      </c>
      <c r="I2236" s="2">
        <v>517</v>
      </c>
      <c r="J2236" s="2">
        <v>864</v>
      </c>
      <c r="K2236" s="2">
        <v>88</v>
      </c>
      <c r="L2236" s="2">
        <v>205</v>
      </c>
    </row>
    <row r="2237" spans="1:12" x14ac:dyDescent="0.25">
      <c r="A2237" s="4" t="str">
        <f>HYPERLINK("http://www.rosaceae.org/Prunus/Prunus_persica/p.persica_gdr_reftransV1_0016931","p.persica_gdr_reftransV1_0016931")</f>
        <v>p.persica_gdr_reftransV1_0016931</v>
      </c>
      <c r="B2237" s="2">
        <v>1998</v>
      </c>
      <c r="C2237" s="4" t="str">
        <f>HYPERLINK("http://www.uniprot.org/uniprot/M5XHC8","M5XHC8")</f>
        <v>M5XHC8</v>
      </c>
      <c r="D2237" s="2" t="s">
        <v>2159</v>
      </c>
      <c r="E2237" s="3">
        <v>0</v>
      </c>
      <c r="F2237" s="2">
        <v>2768</v>
      </c>
      <c r="G2237" s="2">
        <v>100</v>
      </c>
      <c r="H2237" s="2">
        <v>550</v>
      </c>
      <c r="I2237" s="2">
        <v>36</v>
      </c>
      <c r="J2237" s="2">
        <v>1685</v>
      </c>
      <c r="K2237" s="2">
        <v>1</v>
      </c>
      <c r="L2237" s="2">
        <v>550</v>
      </c>
    </row>
    <row r="2238" spans="1:12" x14ac:dyDescent="0.25">
      <c r="A2238" s="4" t="str">
        <f>HYPERLINK("http://www.rosaceae.org/Prunus/Prunus_persica/p.persica_gdr_reftransV1_0017631","p.persica_gdr_reftransV1_0017631")</f>
        <v>p.persica_gdr_reftransV1_0017631</v>
      </c>
      <c r="B2238" s="2">
        <v>2347</v>
      </c>
      <c r="C2238" s="4" t="str">
        <f>HYPERLINK("http://www.uniprot.org/uniprot/M5XPJ2","M5XPJ2")</f>
        <v>M5XPJ2</v>
      </c>
      <c r="D2238" s="2" t="s">
        <v>2160</v>
      </c>
      <c r="E2238" s="3">
        <v>0</v>
      </c>
      <c r="F2238" s="2">
        <v>2461</v>
      </c>
      <c r="G2238" s="2">
        <v>99</v>
      </c>
      <c r="H2238" s="2">
        <v>474</v>
      </c>
      <c r="I2238" s="2">
        <v>531</v>
      </c>
      <c r="J2238" s="2">
        <v>1952</v>
      </c>
      <c r="K2238" s="2">
        <v>53</v>
      </c>
      <c r="L2238" s="2">
        <v>526</v>
      </c>
    </row>
    <row r="2239" spans="1:12" x14ac:dyDescent="0.25">
      <c r="A2239" s="4" t="str">
        <f>HYPERLINK("http://www.rosaceae.org/Prunus/Prunus_persica/p.persica_gdr_reftransV1_0018331","p.persica_gdr_reftransV1_0018331")</f>
        <v>p.persica_gdr_reftransV1_0018331</v>
      </c>
      <c r="B2239" s="2">
        <v>1322</v>
      </c>
      <c r="C2239" s="4" t="str">
        <f>HYPERLINK("http://www.uniprot.org/uniprot/M5X7K4","M5X7K4")</f>
        <v>M5X7K4</v>
      </c>
      <c r="D2239" s="2" t="s">
        <v>2161</v>
      </c>
      <c r="E2239" s="3">
        <v>8.16E-101</v>
      </c>
      <c r="F2239" s="2">
        <v>813</v>
      </c>
      <c r="G2239" s="2">
        <v>99</v>
      </c>
      <c r="H2239" s="2">
        <v>173</v>
      </c>
      <c r="I2239" s="2">
        <v>2</v>
      </c>
      <c r="J2239" s="2">
        <v>520</v>
      </c>
      <c r="K2239" s="2">
        <v>206</v>
      </c>
      <c r="L2239" s="2">
        <v>378</v>
      </c>
    </row>
    <row r="2240" spans="1:12" x14ac:dyDescent="0.25">
      <c r="A2240" s="4" t="str">
        <f>HYPERLINK("http://www.rosaceae.org/Prunus/Prunus_persica/p.persica_gdr_reftransV1_0019031","p.persica_gdr_reftransV1_0019031")</f>
        <v>p.persica_gdr_reftransV1_0019031</v>
      </c>
      <c r="B2240" s="2">
        <v>3661</v>
      </c>
      <c r="C2240" s="4" t="str">
        <f>HYPERLINK("http://www.uniprot.org/uniprot/M5XGR2","M5XGR2")</f>
        <v>M5XGR2</v>
      </c>
      <c r="D2240" s="2" t="s">
        <v>2162</v>
      </c>
      <c r="E2240" s="3">
        <v>0</v>
      </c>
      <c r="F2240" s="2">
        <v>3991</v>
      </c>
      <c r="G2240" s="2">
        <v>100</v>
      </c>
      <c r="H2240" s="2">
        <v>820</v>
      </c>
      <c r="I2240" s="2">
        <v>816</v>
      </c>
      <c r="J2240" s="2">
        <v>3275</v>
      </c>
      <c r="K2240" s="2">
        <v>1</v>
      </c>
      <c r="L2240" s="2">
        <v>820</v>
      </c>
    </row>
    <row r="2241" spans="1:12" x14ac:dyDescent="0.25">
      <c r="A2241" s="4" t="str">
        <f>HYPERLINK("http://www.rosaceae.org/Prunus/Prunus_persica/p.persica_gdr_reftransV1_0019731","p.persica_gdr_reftransV1_0019731")</f>
        <v>p.persica_gdr_reftransV1_0019731</v>
      </c>
      <c r="B2241" s="2">
        <v>1573</v>
      </c>
      <c r="C2241" s="4" t="str">
        <f>HYPERLINK("http://www.uniprot.org/uniprot/M5XWY0","M5XWY0")</f>
        <v>M5XWY0</v>
      </c>
      <c r="D2241" s="2" t="s">
        <v>2163</v>
      </c>
      <c r="E2241" s="3">
        <v>4.7700000000000002E-45</v>
      </c>
      <c r="F2241" s="2">
        <v>423</v>
      </c>
      <c r="G2241" s="2">
        <v>99</v>
      </c>
      <c r="H2241" s="2">
        <v>117</v>
      </c>
      <c r="I2241" s="2">
        <v>937</v>
      </c>
      <c r="J2241" s="2">
        <v>1287</v>
      </c>
      <c r="K2241" s="2">
        <v>67</v>
      </c>
      <c r="L2241" s="2">
        <v>183</v>
      </c>
    </row>
    <row r="2242" spans="1:12" x14ac:dyDescent="0.25">
      <c r="A2242" s="4" t="str">
        <f>HYPERLINK("http://www.rosaceae.org/Prunus/Prunus_persica/p.persica_gdr_reftransV1_0020431","p.persica_gdr_reftransV1_0020431")</f>
        <v>p.persica_gdr_reftransV1_0020431</v>
      </c>
      <c r="B2242" s="2">
        <v>832</v>
      </c>
      <c r="C2242" s="4" t="str">
        <f>HYPERLINK("http://www.uniprot.org/uniprot/M5VV44","M5VV44")</f>
        <v>M5VV44</v>
      </c>
      <c r="D2242" s="2" t="s">
        <v>2164</v>
      </c>
      <c r="E2242" s="3">
        <v>3.3099999999999997E-89</v>
      </c>
      <c r="F2242" s="2">
        <v>700</v>
      </c>
      <c r="G2242" s="2">
        <v>100</v>
      </c>
      <c r="H2242" s="2">
        <v>169</v>
      </c>
      <c r="I2242" s="2">
        <v>144</v>
      </c>
      <c r="J2242" s="2">
        <v>650</v>
      </c>
      <c r="K2242" s="2">
        <v>1</v>
      </c>
      <c r="L2242" s="2">
        <v>169</v>
      </c>
    </row>
    <row r="2243" spans="1:12" x14ac:dyDescent="0.25">
      <c r="A2243" s="4" t="str">
        <f>HYPERLINK("http://www.rosaceae.org/Prunus/Prunus_persica/p.persica_gdr_reftransV1_0020781","p.persica_gdr_reftransV1_0020781")</f>
        <v>p.persica_gdr_reftransV1_0020781</v>
      </c>
      <c r="B2243" s="2">
        <v>1643</v>
      </c>
      <c r="C2243" s="4" t="str">
        <f>HYPERLINK("http://www.uniprot.org/uniprot/M5XP86","M5XP86")</f>
        <v>M5XP86</v>
      </c>
      <c r="D2243" s="2" t="s">
        <v>2165</v>
      </c>
      <c r="E2243" s="3">
        <v>0</v>
      </c>
      <c r="F2243" s="2">
        <v>1800</v>
      </c>
      <c r="G2243" s="2">
        <v>100</v>
      </c>
      <c r="H2243" s="2">
        <v>376</v>
      </c>
      <c r="I2243" s="2">
        <v>225</v>
      </c>
      <c r="J2243" s="2">
        <v>1352</v>
      </c>
      <c r="K2243" s="2">
        <v>1</v>
      </c>
      <c r="L2243" s="2">
        <v>376</v>
      </c>
    </row>
    <row r="2244" spans="1:12" x14ac:dyDescent="0.25">
      <c r="A2244" s="4" t="str">
        <f>HYPERLINK("http://www.rosaceae.org/Prunus/Prunus_persica/p.persica_gdr_reftransV1_0021481","p.persica_gdr_reftransV1_0021481")</f>
        <v>p.persica_gdr_reftransV1_0021481</v>
      </c>
      <c r="B2244" s="2">
        <v>2673</v>
      </c>
      <c r="C2244" s="4" t="str">
        <f>HYPERLINK("http://www.uniprot.org/uniprot/M5WJ49","M5WJ49")</f>
        <v>M5WJ49</v>
      </c>
      <c r="D2244" s="2" t="s">
        <v>2166</v>
      </c>
      <c r="E2244" s="3">
        <v>8.0000000000000001E-155</v>
      </c>
      <c r="F2244" s="2">
        <v>1205</v>
      </c>
      <c r="G2244" s="2">
        <v>100</v>
      </c>
      <c r="H2244" s="2">
        <v>301</v>
      </c>
      <c r="I2244" s="2">
        <v>319</v>
      </c>
      <c r="J2244" s="2">
        <v>1221</v>
      </c>
      <c r="K2244" s="2">
        <v>1</v>
      </c>
      <c r="L2244" s="2">
        <v>301</v>
      </c>
    </row>
    <row r="2245" spans="1:12" x14ac:dyDescent="0.25">
      <c r="A2245" s="4" t="str">
        <f>HYPERLINK("http://www.rosaceae.org/Prunus/Prunus_persica/p.persica_gdr_reftransV1_0021831","p.persica_gdr_reftransV1_0021831")</f>
        <v>p.persica_gdr_reftransV1_0021831</v>
      </c>
      <c r="B2245" s="2">
        <v>1159</v>
      </c>
      <c r="C2245" s="4" t="str">
        <f>HYPERLINK("http://www.uniprot.org/uniprot/M5XEE9","M5XEE9")</f>
        <v>M5XEE9</v>
      </c>
      <c r="D2245" s="2" t="s">
        <v>2167</v>
      </c>
      <c r="E2245" s="3">
        <v>5.7399999999999999E-128</v>
      </c>
      <c r="F2245" s="2">
        <v>983</v>
      </c>
      <c r="G2245" s="2">
        <v>100</v>
      </c>
      <c r="H2245" s="2">
        <v>200</v>
      </c>
      <c r="I2245" s="2">
        <v>153</v>
      </c>
      <c r="J2245" s="2">
        <v>752</v>
      </c>
      <c r="K2245" s="2">
        <v>128</v>
      </c>
      <c r="L2245" s="2">
        <v>327</v>
      </c>
    </row>
    <row r="2246" spans="1:12" x14ac:dyDescent="0.25">
      <c r="A2246" s="4" t="str">
        <f>HYPERLINK("http://www.rosaceae.org/Prunus/Prunus_persica/p.persica_gdr_reftransV1_0022181","p.persica_gdr_reftransV1_0022181")</f>
        <v>p.persica_gdr_reftransV1_0022181</v>
      </c>
      <c r="B2246" s="2">
        <v>973</v>
      </c>
      <c r="C2246" s="4" t="str">
        <f>HYPERLINK("http://www.uniprot.org/uniprot/M5XCT2","M5XCT2")</f>
        <v>M5XCT2</v>
      </c>
      <c r="D2246" s="2" t="s">
        <v>2168</v>
      </c>
      <c r="E2246" s="3">
        <v>1.31E-114</v>
      </c>
      <c r="F2246" s="2">
        <v>907</v>
      </c>
      <c r="G2246" s="2">
        <v>100</v>
      </c>
      <c r="H2246" s="2">
        <v>185</v>
      </c>
      <c r="I2246" s="2">
        <v>2</v>
      </c>
      <c r="J2246" s="2">
        <v>556</v>
      </c>
      <c r="K2246" s="2">
        <v>348</v>
      </c>
      <c r="L2246" s="2">
        <v>532</v>
      </c>
    </row>
    <row r="2247" spans="1:12" x14ac:dyDescent="0.25">
      <c r="A2247" s="4" t="str">
        <f>HYPERLINK("http://www.rosaceae.org/Prunus/Prunus_persica/p.persica_gdr_reftransV1_0023231","p.persica_gdr_reftransV1_0023231")</f>
        <v>p.persica_gdr_reftransV1_0023231</v>
      </c>
      <c r="B2247" s="2">
        <v>2801</v>
      </c>
      <c r="C2247" s="4" t="str">
        <f>HYPERLINK("http://www.uniprot.org/uniprot/M5WYF4","M5WYF4")</f>
        <v>M5WYF4</v>
      </c>
      <c r="D2247" s="2" t="s">
        <v>2169</v>
      </c>
      <c r="E2247" s="3">
        <v>0</v>
      </c>
      <c r="F2247" s="2">
        <v>4008</v>
      </c>
      <c r="G2247" s="2">
        <v>88</v>
      </c>
      <c r="H2247" s="2">
        <v>857</v>
      </c>
      <c r="I2247" s="2">
        <v>294</v>
      </c>
      <c r="J2247" s="2">
        <v>2801</v>
      </c>
      <c r="K2247" s="2">
        <v>29</v>
      </c>
      <c r="L2247" s="2">
        <v>885</v>
      </c>
    </row>
    <row r="2248" spans="1:12" x14ac:dyDescent="0.25">
      <c r="A2248" s="4" t="str">
        <f>HYPERLINK("http://www.rosaceae.org/Prunus/Prunus_persica/p.persica_gdr_reftransV1_0024281","p.persica_gdr_reftransV1_0024281")</f>
        <v>p.persica_gdr_reftransV1_0024281</v>
      </c>
      <c r="B2248" s="2">
        <v>2883</v>
      </c>
      <c r="C2248" s="4" t="str">
        <f>HYPERLINK("http://www.uniprot.org/uniprot/M5XS82","M5XS82")</f>
        <v>M5XS82</v>
      </c>
      <c r="D2248" s="2" t="s">
        <v>2170</v>
      </c>
      <c r="E2248" s="3">
        <v>5.6299999999999999E-175</v>
      </c>
      <c r="F2248" s="2">
        <v>1345</v>
      </c>
      <c r="G2248" s="2">
        <v>89</v>
      </c>
      <c r="H2248" s="2">
        <v>332</v>
      </c>
      <c r="I2248" s="2">
        <v>1209</v>
      </c>
      <c r="J2248" s="2">
        <v>2204</v>
      </c>
      <c r="K2248" s="2">
        <v>1</v>
      </c>
      <c r="L2248" s="2">
        <v>296</v>
      </c>
    </row>
    <row r="2249" spans="1:12" x14ac:dyDescent="0.25">
      <c r="A2249" s="4" t="str">
        <f>HYPERLINK("http://www.rosaceae.org/Prunus/Prunus_persica/p.persica_gdr_reftransV1_0024631","p.persica_gdr_reftransV1_0024631")</f>
        <v>p.persica_gdr_reftransV1_0024631</v>
      </c>
      <c r="B2249" s="2">
        <v>1290</v>
      </c>
      <c r="C2249" s="4" t="str">
        <f>HYPERLINK("http://www.uniprot.org/uniprot/M5XPY5","M5XPY5")</f>
        <v>M5XPY5</v>
      </c>
      <c r="D2249" s="2" t="s">
        <v>2171</v>
      </c>
      <c r="E2249" s="3">
        <v>2.4900000000000001E-79</v>
      </c>
      <c r="F2249" s="2">
        <v>652</v>
      </c>
      <c r="G2249" s="2">
        <v>100</v>
      </c>
      <c r="H2249" s="2">
        <v>164</v>
      </c>
      <c r="I2249" s="2">
        <v>605</v>
      </c>
      <c r="J2249" s="2">
        <v>1096</v>
      </c>
      <c r="K2249" s="2">
        <v>20</v>
      </c>
      <c r="L2249" s="2">
        <v>183</v>
      </c>
    </row>
    <row r="2250" spans="1:12" x14ac:dyDescent="0.25">
      <c r="A2250" s="4" t="str">
        <f>HYPERLINK("http://www.rosaceae.org/Prunus/Prunus_persica/p.persica_gdr_reftransV1_0026381","p.persica_gdr_reftransV1_0026381")</f>
        <v>p.persica_gdr_reftransV1_0026381</v>
      </c>
      <c r="B2250" s="2">
        <v>755</v>
      </c>
      <c r="C2250" s="4" t="str">
        <f>HYPERLINK("http://www.uniprot.org/uniprot/M5W6J8","M5W6J8")</f>
        <v>M5W6J8</v>
      </c>
      <c r="D2250" s="2" t="s">
        <v>2172</v>
      </c>
      <c r="E2250" s="3">
        <v>3.3699999999999998E-50</v>
      </c>
      <c r="F2250" s="2">
        <v>450</v>
      </c>
      <c r="G2250" s="2">
        <v>100</v>
      </c>
      <c r="H2250" s="2">
        <v>131</v>
      </c>
      <c r="I2250" s="2">
        <v>362</v>
      </c>
      <c r="J2250" s="2">
        <v>754</v>
      </c>
      <c r="K2250" s="2">
        <v>182</v>
      </c>
      <c r="L2250" s="2">
        <v>312</v>
      </c>
    </row>
    <row r="2251" spans="1:12" x14ac:dyDescent="0.25">
      <c r="A2251" s="4" t="str">
        <f>HYPERLINK("http://www.rosaceae.org/Prunus/Prunus_persica/p.persica_gdr_reftransV1_0027781","p.persica_gdr_reftransV1_0027781")</f>
        <v>p.persica_gdr_reftransV1_0027781</v>
      </c>
      <c r="B2251" s="2">
        <v>573</v>
      </c>
      <c r="C2251" s="4" t="str">
        <f>HYPERLINK("http://www.uniprot.org/uniprot/M5WIZ1","M5WIZ1")</f>
        <v>M5WIZ1</v>
      </c>
      <c r="D2251" s="2" t="s">
        <v>1856</v>
      </c>
      <c r="E2251" s="3">
        <v>8.1900000000000004E-71</v>
      </c>
      <c r="F2251" s="2">
        <v>596</v>
      </c>
      <c r="G2251" s="2">
        <v>99</v>
      </c>
      <c r="H2251" s="2">
        <v>111</v>
      </c>
      <c r="I2251" s="2">
        <v>2</v>
      </c>
      <c r="J2251" s="2">
        <v>334</v>
      </c>
      <c r="K2251" s="2">
        <v>380</v>
      </c>
      <c r="L2251" s="2">
        <v>490</v>
      </c>
    </row>
    <row r="2252" spans="1:12" x14ac:dyDescent="0.25">
      <c r="A2252" s="4" t="str">
        <f>HYPERLINK("http://www.rosaceae.org/Prunus/Prunus_persica/p.persica_gdr_reftransV1_0028481","p.persica_gdr_reftransV1_0028481")</f>
        <v>p.persica_gdr_reftransV1_0028481</v>
      </c>
      <c r="B2252" s="2">
        <v>3025</v>
      </c>
      <c r="C2252" s="4" t="str">
        <f>HYPERLINK("http://www.uniprot.org/uniprot/M5VWF4","M5VWF4")</f>
        <v>M5VWF4</v>
      </c>
      <c r="D2252" s="2" t="s">
        <v>2173</v>
      </c>
      <c r="E2252" s="3">
        <v>0</v>
      </c>
      <c r="F2252" s="2">
        <v>1459</v>
      </c>
      <c r="G2252" s="2">
        <v>100</v>
      </c>
      <c r="H2252" s="2">
        <v>343</v>
      </c>
      <c r="I2252" s="2">
        <v>1672</v>
      </c>
      <c r="J2252" s="2">
        <v>2700</v>
      </c>
      <c r="K2252" s="2">
        <v>279</v>
      </c>
      <c r="L2252" s="2">
        <v>621</v>
      </c>
    </row>
    <row r="2253" spans="1:12" x14ac:dyDescent="0.25">
      <c r="A2253" s="4" t="str">
        <f>HYPERLINK("http://www.rosaceae.org/Prunus/Prunus_persica/p.persica_gdr_reftransV1_0029881","p.persica_gdr_reftransV1_0029881")</f>
        <v>p.persica_gdr_reftransV1_0029881</v>
      </c>
      <c r="B2253" s="2">
        <v>961</v>
      </c>
      <c r="C2253" s="4" t="str">
        <f>HYPERLINK("http://www.uniprot.org/uniprot/M5XJ48","M5XJ48")</f>
        <v>M5XJ48</v>
      </c>
      <c r="D2253" s="2" t="s">
        <v>188</v>
      </c>
      <c r="E2253" s="3">
        <v>1.2400000000000001E-107</v>
      </c>
      <c r="F2253" s="2">
        <v>827</v>
      </c>
      <c r="G2253" s="2">
        <v>100</v>
      </c>
      <c r="H2253" s="2">
        <v>174</v>
      </c>
      <c r="I2253" s="2">
        <v>324</v>
      </c>
      <c r="J2253" s="2">
        <v>845</v>
      </c>
      <c r="K2253" s="2">
        <v>1</v>
      </c>
      <c r="L2253" s="2">
        <v>174</v>
      </c>
    </row>
    <row r="2254" spans="1:12" x14ac:dyDescent="0.25">
      <c r="A2254" s="4" t="str">
        <f>HYPERLINK("http://www.rosaceae.org/Prunus/Prunus_persica/p.persica_gdr_reftransV1_0030581","p.persica_gdr_reftransV1_0030581")</f>
        <v>p.persica_gdr_reftransV1_0030581</v>
      </c>
      <c r="B2254" s="2">
        <v>1725</v>
      </c>
      <c r="C2254" s="4" t="str">
        <f>HYPERLINK("http://www.uniprot.org/uniprot/M5WGE8","M5WGE8")</f>
        <v>M5WGE8</v>
      </c>
      <c r="D2254" s="2" t="s">
        <v>2174</v>
      </c>
      <c r="E2254" s="3">
        <v>0</v>
      </c>
      <c r="F2254" s="2">
        <v>2683</v>
      </c>
      <c r="G2254" s="2">
        <v>100</v>
      </c>
      <c r="H2254" s="2">
        <v>528</v>
      </c>
      <c r="I2254" s="2">
        <v>76</v>
      </c>
      <c r="J2254" s="2">
        <v>1659</v>
      </c>
      <c r="K2254" s="2">
        <v>1</v>
      </c>
      <c r="L2254" s="2">
        <v>528</v>
      </c>
    </row>
    <row r="2255" spans="1:12" x14ac:dyDescent="0.25">
      <c r="A2255" s="4" t="str">
        <f>HYPERLINK("http://www.rosaceae.org/Prunus/Prunus_persica/p.persica_gdr_reftransV1_0031281","p.persica_gdr_reftransV1_0031281")</f>
        <v>p.persica_gdr_reftransV1_0031281</v>
      </c>
      <c r="B2255" s="2">
        <v>1189</v>
      </c>
      <c r="C2255" s="4" t="str">
        <f>HYPERLINK("http://www.uniprot.org/uniprot/M5WB78","M5WB78")</f>
        <v>M5WB78</v>
      </c>
      <c r="D2255" s="2" t="s">
        <v>2175</v>
      </c>
      <c r="E2255" s="3">
        <v>2.7200000000000001E-123</v>
      </c>
      <c r="F2255" s="2">
        <v>942</v>
      </c>
      <c r="G2255" s="2">
        <v>100</v>
      </c>
      <c r="H2255" s="2">
        <v>213</v>
      </c>
      <c r="I2255" s="2">
        <v>286</v>
      </c>
      <c r="J2255" s="2">
        <v>924</v>
      </c>
      <c r="K2255" s="2">
        <v>1</v>
      </c>
      <c r="L2255" s="2">
        <v>213</v>
      </c>
    </row>
    <row r="2256" spans="1:12" x14ac:dyDescent="0.25">
      <c r="A2256" s="4" t="str">
        <f>HYPERLINK("http://www.rosaceae.org/Prunus/Prunus_persica/p.persica_gdr_reftransV1_0031981","p.persica_gdr_reftransV1_0031981")</f>
        <v>p.persica_gdr_reftransV1_0031981</v>
      </c>
      <c r="B2256" s="2">
        <v>2351</v>
      </c>
      <c r="C2256" s="4" t="str">
        <f>HYPERLINK("http://www.uniprot.org/uniprot/M5X0M3","M5X0M3")</f>
        <v>M5X0M3</v>
      </c>
      <c r="D2256" s="2" t="s">
        <v>2176</v>
      </c>
      <c r="E2256" s="3">
        <v>9.2299999999999995E-174</v>
      </c>
      <c r="F2256" s="2">
        <v>1332</v>
      </c>
      <c r="G2256" s="2">
        <v>97</v>
      </c>
      <c r="H2256" s="2">
        <v>269</v>
      </c>
      <c r="I2256" s="2">
        <v>904</v>
      </c>
      <c r="J2256" s="2">
        <v>1710</v>
      </c>
      <c r="K2256" s="2">
        <v>123</v>
      </c>
      <c r="L2256" s="2">
        <v>391</v>
      </c>
    </row>
    <row r="2257" spans="1:12" x14ac:dyDescent="0.25">
      <c r="A2257" s="4" t="str">
        <f>HYPERLINK("http://www.rosaceae.org/Prunus/Prunus_persica/p.persica_gdr_reftransV1_0033731","p.persica_gdr_reftransV1_0033731")</f>
        <v>p.persica_gdr_reftransV1_0033731</v>
      </c>
      <c r="B2257" s="2">
        <v>3175</v>
      </c>
      <c r="C2257" s="4" t="str">
        <f>HYPERLINK("http://www.uniprot.org/uniprot/M5WBL9","M5WBL9")</f>
        <v>M5WBL9</v>
      </c>
      <c r="D2257" s="2" t="s">
        <v>2177</v>
      </c>
      <c r="E2257" s="3">
        <v>0</v>
      </c>
      <c r="F2257" s="2">
        <v>2357</v>
      </c>
      <c r="G2257" s="2">
        <v>96</v>
      </c>
      <c r="H2257" s="2">
        <v>510</v>
      </c>
      <c r="I2257" s="2">
        <v>304</v>
      </c>
      <c r="J2257" s="2">
        <v>1833</v>
      </c>
      <c r="K2257" s="2">
        <v>1</v>
      </c>
      <c r="L2257" s="2">
        <v>490</v>
      </c>
    </row>
    <row r="2258" spans="1:12" x14ac:dyDescent="0.25">
      <c r="A2258" s="4" t="str">
        <f>HYPERLINK("http://www.rosaceae.org/Prunus/Prunus_persica/p.persica_gdr_reftransV1_0035481","p.persica_gdr_reftransV1_0035481")</f>
        <v>p.persica_gdr_reftransV1_0035481</v>
      </c>
      <c r="B2258" s="2">
        <v>828</v>
      </c>
      <c r="C2258" s="4" t="str">
        <f>HYPERLINK("http://www.uniprot.org/uniprot/M5WHM4","M5WHM4")</f>
        <v>M5WHM4</v>
      </c>
      <c r="D2258" s="2" t="s">
        <v>2178</v>
      </c>
      <c r="E2258" s="3">
        <v>9.1399999999999997E-79</v>
      </c>
      <c r="F2258" s="2">
        <v>657</v>
      </c>
      <c r="G2258" s="2">
        <v>100</v>
      </c>
      <c r="H2258" s="2">
        <v>123</v>
      </c>
      <c r="I2258" s="2">
        <v>458</v>
      </c>
      <c r="J2258" s="2">
        <v>826</v>
      </c>
      <c r="K2258" s="2">
        <v>1</v>
      </c>
      <c r="L2258" s="2">
        <v>123</v>
      </c>
    </row>
    <row r="2259" spans="1:12" x14ac:dyDescent="0.25">
      <c r="A2259" s="4" t="str">
        <f>HYPERLINK("http://www.rosaceae.org/Prunus/Prunus_persica/p.persica_gdr_reftransV1_0035831","p.persica_gdr_reftransV1_0035831")</f>
        <v>p.persica_gdr_reftransV1_0035831</v>
      </c>
      <c r="B2259" s="2">
        <v>2733</v>
      </c>
      <c r="C2259" s="4" t="str">
        <f>HYPERLINK("http://www.uniprot.org/uniprot/M5WH03","M5WH03")</f>
        <v>M5WH03</v>
      </c>
      <c r="D2259" s="2" t="s">
        <v>2179</v>
      </c>
      <c r="E2259" s="3">
        <v>0</v>
      </c>
      <c r="F2259" s="2">
        <v>3196</v>
      </c>
      <c r="G2259" s="2">
        <v>100</v>
      </c>
      <c r="H2259" s="2">
        <v>681</v>
      </c>
      <c r="I2259" s="2">
        <v>433</v>
      </c>
      <c r="J2259" s="2">
        <v>2475</v>
      </c>
      <c r="K2259" s="2">
        <v>1</v>
      </c>
      <c r="L2259" s="2">
        <v>681</v>
      </c>
    </row>
    <row r="2260" spans="1:12" x14ac:dyDescent="0.25">
      <c r="A2260" s="4" t="str">
        <f>HYPERLINK("http://www.rosaceae.org/Prunus/Prunus_persica/p.persica_gdr_reftransV1_0037231","p.persica_gdr_reftransV1_0037231")</f>
        <v>p.persica_gdr_reftransV1_0037231</v>
      </c>
      <c r="B2260" s="2">
        <v>3058</v>
      </c>
      <c r="C2260" s="4" t="str">
        <f>HYPERLINK("http://www.uniprot.org/uniprot/D4NXR8","D4NXR8")</f>
        <v>D4NXR8</v>
      </c>
      <c r="D2260" s="2" t="s">
        <v>2180</v>
      </c>
      <c r="E2260" s="3">
        <v>0</v>
      </c>
      <c r="F2260" s="2">
        <v>2004</v>
      </c>
      <c r="G2260" s="2">
        <v>92</v>
      </c>
      <c r="H2260" s="2">
        <v>430</v>
      </c>
      <c r="I2260" s="2">
        <v>810</v>
      </c>
      <c r="J2260" s="2">
        <v>2099</v>
      </c>
      <c r="K2260" s="2">
        <v>52</v>
      </c>
      <c r="L2260" s="2">
        <v>445</v>
      </c>
    </row>
    <row r="2261" spans="1:12" x14ac:dyDescent="0.25">
      <c r="A2261" s="4" t="str">
        <f>HYPERLINK("http://www.rosaceae.org/Prunus/Prunus_persica/p.persica_gdr_reftransV1_0038631","p.persica_gdr_reftransV1_0038631")</f>
        <v>p.persica_gdr_reftransV1_0038631</v>
      </c>
      <c r="B2261" s="2">
        <v>2625</v>
      </c>
      <c r="C2261" s="4" t="str">
        <f>HYPERLINK("http://www.uniprot.org/uniprot/M5WYS5","M5WYS5")</f>
        <v>M5WYS5</v>
      </c>
      <c r="D2261" s="2" t="s">
        <v>2181</v>
      </c>
      <c r="E2261" s="3">
        <v>0</v>
      </c>
      <c r="F2261" s="2">
        <v>3433</v>
      </c>
      <c r="G2261" s="2">
        <v>89</v>
      </c>
      <c r="H2261" s="2">
        <v>739</v>
      </c>
      <c r="I2261" s="2">
        <v>249</v>
      </c>
      <c r="J2261" s="2">
        <v>2375</v>
      </c>
      <c r="K2261" s="2">
        <v>1</v>
      </c>
      <c r="L2261" s="2">
        <v>695</v>
      </c>
    </row>
    <row r="2262" spans="1:12" x14ac:dyDescent="0.25">
      <c r="A2262" s="4" t="str">
        <f>HYPERLINK("http://www.rosaceae.org/Prunus/Prunus_persica/p.persica_gdr_reftransV1_0041781","p.persica_gdr_reftransV1_0041781")</f>
        <v>p.persica_gdr_reftransV1_0041781</v>
      </c>
      <c r="B2262" s="2">
        <v>3376</v>
      </c>
      <c r="C2262" s="4" t="str">
        <f>HYPERLINK("http://www.uniprot.org/uniprot/M5W4L3","M5W4L3")</f>
        <v>M5W4L3</v>
      </c>
      <c r="D2262" s="2" t="s">
        <v>2182</v>
      </c>
      <c r="E2262" s="3">
        <v>2.2999999999999999E-97</v>
      </c>
      <c r="F2262" s="2">
        <v>844</v>
      </c>
      <c r="G2262" s="2">
        <v>88</v>
      </c>
      <c r="H2262" s="2">
        <v>180</v>
      </c>
      <c r="I2262" s="2">
        <v>1892</v>
      </c>
      <c r="J2262" s="2">
        <v>2431</v>
      </c>
      <c r="K2262" s="2">
        <v>249</v>
      </c>
      <c r="L2262" s="2">
        <v>428</v>
      </c>
    </row>
    <row r="2263" spans="1:12" x14ac:dyDescent="0.25">
      <c r="A2263" s="4" t="str">
        <f>HYPERLINK("http://www.rosaceae.org/Prunus/Prunus_persica/p.persica_gdr_reftransV1_0043531","p.persica_gdr_reftransV1_0043531")</f>
        <v>p.persica_gdr_reftransV1_0043531</v>
      </c>
      <c r="B2263" s="2">
        <v>2196</v>
      </c>
      <c r="C2263" s="4" t="str">
        <f>HYPERLINK("http://www.uniprot.org/uniprot/M5WE72","M5WE72")</f>
        <v>M5WE72</v>
      </c>
      <c r="D2263" s="2" t="s">
        <v>2183</v>
      </c>
      <c r="E2263" s="3">
        <v>0</v>
      </c>
      <c r="F2263" s="2">
        <v>3222</v>
      </c>
      <c r="G2263" s="2">
        <v>100</v>
      </c>
      <c r="H2263" s="2">
        <v>603</v>
      </c>
      <c r="I2263" s="2">
        <v>129</v>
      </c>
      <c r="J2263" s="2">
        <v>1937</v>
      </c>
      <c r="K2263" s="2">
        <v>1</v>
      </c>
      <c r="L2263" s="2">
        <v>603</v>
      </c>
    </row>
    <row r="2264" spans="1:12" x14ac:dyDescent="0.25">
      <c r="A2264" s="4" t="str">
        <f>HYPERLINK("http://www.rosaceae.org/Prunus/Prunus_persica/p.persica_gdr_reftransV1_0043881","p.persica_gdr_reftransV1_0043881")</f>
        <v>p.persica_gdr_reftransV1_0043881</v>
      </c>
      <c r="B2264" s="2">
        <v>989</v>
      </c>
      <c r="C2264" s="4" t="str">
        <f>HYPERLINK("http://www.uniprot.org/uniprot/M5WHL7","M5WHL7")</f>
        <v>M5WHL7</v>
      </c>
      <c r="D2264" s="2" t="s">
        <v>2184</v>
      </c>
      <c r="E2264" s="3">
        <v>0</v>
      </c>
      <c r="F2264" s="2">
        <v>1765</v>
      </c>
      <c r="G2264" s="2">
        <v>99</v>
      </c>
      <c r="H2264" s="2">
        <v>329</v>
      </c>
      <c r="I2264" s="2">
        <v>1</v>
      </c>
      <c r="J2264" s="2">
        <v>987</v>
      </c>
      <c r="K2264" s="2">
        <v>5</v>
      </c>
      <c r="L2264" s="2">
        <v>333</v>
      </c>
    </row>
    <row r="2265" spans="1:12" x14ac:dyDescent="0.25">
      <c r="A2265" s="4" t="str">
        <f>HYPERLINK("http://www.rosaceae.org/Prunus/Prunus_persica/p.persica_gdr_reftransV1_0044231","p.persica_gdr_reftransV1_0044231")</f>
        <v>p.persica_gdr_reftransV1_0044231</v>
      </c>
      <c r="B2265" s="2">
        <v>1369</v>
      </c>
      <c r="C2265" s="4" t="str">
        <f>HYPERLINK("http://www.uniprot.org/uniprot/M5X4M6","M5X4M6")</f>
        <v>M5X4M6</v>
      </c>
      <c r="D2265" s="2" t="s">
        <v>2185</v>
      </c>
      <c r="E2265" s="3">
        <v>0</v>
      </c>
      <c r="F2265" s="2">
        <v>1715</v>
      </c>
      <c r="G2265" s="2">
        <v>100</v>
      </c>
      <c r="H2265" s="2">
        <v>363</v>
      </c>
      <c r="I2265" s="2">
        <v>207</v>
      </c>
      <c r="J2265" s="2">
        <v>1295</v>
      </c>
      <c r="K2265" s="2">
        <v>14</v>
      </c>
      <c r="L2265" s="2">
        <v>376</v>
      </c>
    </row>
    <row r="2266" spans="1:12" x14ac:dyDescent="0.25">
      <c r="A2266" s="4" t="str">
        <f>HYPERLINK("http://www.rosaceae.org/Prunus/Prunus_persica/p.persica_gdr_reftransV1_0044581","p.persica_gdr_reftransV1_0044581")</f>
        <v>p.persica_gdr_reftransV1_0044581</v>
      </c>
      <c r="B2266" s="2">
        <v>1623</v>
      </c>
      <c r="C2266" s="4" t="str">
        <f>HYPERLINK("http://www.uniprot.org/uniprot/M5XFS7","M5XFS7")</f>
        <v>M5XFS7</v>
      </c>
      <c r="D2266" s="2" t="s">
        <v>2186</v>
      </c>
      <c r="E2266" s="3">
        <v>0</v>
      </c>
      <c r="F2266" s="2">
        <v>1622</v>
      </c>
      <c r="G2266" s="2">
        <v>100</v>
      </c>
      <c r="H2266" s="2">
        <v>333</v>
      </c>
      <c r="I2266" s="2">
        <v>250</v>
      </c>
      <c r="J2266" s="2">
        <v>1248</v>
      </c>
      <c r="K2266" s="2">
        <v>48</v>
      </c>
      <c r="L2266" s="2">
        <v>380</v>
      </c>
    </row>
    <row r="2267" spans="1:12" x14ac:dyDescent="0.25">
      <c r="A2267" s="4" t="str">
        <f>HYPERLINK("http://www.rosaceae.org/Prunus/Prunus_persica/p.persica_gdr_reftransV1_0044931","p.persica_gdr_reftransV1_0044931")</f>
        <v>p.persica_gdr_reftransV1_0044931</v>
      </c>
      <c r="B2267" s="2">
        <v>2035</v>
      </c>
      <c r="C2267" s="4" t="str">
        <f>HYPERLINK("http://www.uniprot.org/uniprot/M5VUQ7","M5VUQ7")</f>
        <v>M5VUQ7</v>
      </c>
      <c r="D2267" s="2" t="s">
        <v>2187</v>
      </c>
      <c r="E2267" s="3">
        <v>0</v>
      </c>
      <c r="F2267" s="2">
        <v>2325</v>
      </c>
      <c r="G2267" s="2">
        <v>97</v>
      </c>
      <c r="H2267" s="2">
        <v>541</v>
      </c>
      <c r="I2267" s="2">
        <v>104</v>
      </c>
      <c r="J2267" s="2">
        <v>1726</v>
      </c>
      <c r="K2267" s="2">
        <v>1</v>
      </c>
      <c r="L2267" s="2">
        <v>524</v>
      </c>
    </row>
    <row r="2268" spans="1:12" x14ac:dyDescent="0.25">
      <c r="A2268" s="4" t="str">
        <f>HYPERLINK("http://www.rosaceae.org/Prunus/Prunus_persica/p.persica_gdr_reftransV1_0045631","p.persica_gdr_reftransV1_0045631")</f>
        <v>p.persica_gdr_reftransV1_0045631</v>
      </c>
      <c r="B2268" s="2">
        <v>1720</v>
      </c>
      <c r="C2268" s="4" t="str">
        <f>HYPERLINK("http://www.uniprot.org/uniprot/D2X5K2","D2X5K2")</f>
        <v>D2X5K2</v>
      </c>
      <c r="D2268" s="2" t="s">
        <v>2188</v>
      </c>
      <c r="E2268" s="3">
        <v>0</v>
      </c>
      <c r="F2268" s="2">
        <v>2141</v>
      </c>
      <c r="G2268" s="2">
        <v>99</v>
      </c>
      <c r="H2268" s="2">
        <v>406</v>
      </c>
      <c r="I2268" s="2">
        <v>167</v>
      </c>
      <c r="J2268" s="2">
        <v>1384</v>
      </c>
      <c r="K2268" s="2">
        <v>5</v>
      </c>
      <c r="L2268" s="2">
        <v>410</v>
      </c>
    </row>
    <row r="2269" spans="1:12" x14ac:dyDescent="0.25">
      <c r="A2269" s="4" t="str">
        <f>HYPERLINK("http://www.rosaceae.org/Prunus/Prunus_persica/p.persica_gdr_reftransV1_0045981","p.persica_gdr_reftransV1_0045981")</f>
        <v>p.persica_gdr_reftransV1_0045981</v>
      </c>
      <c r="B2269" s="2">
        <v>805</v>
      </c>
      <c r="C2269" s="4" t="str">
        <f>HYPERLINK("http://www.uniprot.org/uniprot/M5XPI9","M5XPI9")</f>
        <v>M5XPI9</v>
      </c>
      <c r="D2269" s="2" t="s">
        <v>2189</v>
      </c>
      <c r="E2269" s="3">
        <v>1.13E-140</v>
      </c>
      <c r="F2269" s="2">
        <v>1067</v>
      </c>
      <c r="G2269" s="2">
        <v>94</v>
      </c>
      <c r="H2269" s="2">
        <v>240</v>
      </c>
      <c r="I2269" s="2">
        <v>12</v>
      </c>
      <c r="J2269" s="2">
        <v>719</v>
      </c>
      <c r="K2269" s="2">
        <v>169</v>
      </c>
      <c r="L2269" s="2">
        <v>408</v>
      </c>
    </row>
    <row r="2270" spans="1:12" x14ac:dyDescent="0.25">
      <c r="A2270" s="4" t="str">
        <f>HYPERLINK("http://www.rosaceae.org/Prunus/Prunus_persica/p.persica_gdr_reftransV1_0046681","p.persica_gdr_reftransV1_0046681")</f>
        <v>p.persica_gdr_reftransV1_0046681</v>
      </c>
      <c r="B2270" s="2">
        <v>1677</v>
      </c>
      <c r="C2270" s="4" t="str">
        <f>HYPERLINK("http://www.uniprot.org/uniprot/M5WAY3","M5WAY3")</f>
        <v>M5WAY3</v>
      </c>
      <c r="D2270" s="2" t="s">
        <v>1182</v>
      </c>
      <c r="E2270" s="3">
        <v>1.3599999999999999E-165</v>
      </c>
      <c r="F2270" s="2">
        <v>1254</v>
      </c>
      <c r="G2270" s="2">
        <v>99</v>
      </c>
      <c r="H2270" s="2">
        <v>358</v>
      </c>
      <c r="I2270" s="2">
        <v>376</v>
      </c>
      <c r="J2270" s="2">
        <v>1449</v>
      </c>
      <c r="K2270" s="2">
        <v>14</v>
      </c>
      <c r="L2270" s="2">
        <v>371</v>
      </c>
    </row>
    <row r="2271" spans="1:12" x14ac:dyDescent="0.25">
      <c r="A2271" s="4" t="str">
        <f>HYPERLINK("http://www.rosaceae.org/Prunus/Prunus_persica/p.persica_gdr_reftransV1_0047031","p.persica_gdr_reftransV1_0047031")</f>
        <v>p.persica_gdr_reftransV1_0047031</v>
      </c>
      <c r="B2271" s="2">
        <v>850</v>
      </c>
      <c r="C2271" s="4" t="str">
        <f>HYPERLINK("http://www.uniprot.org/uniprot/E0Y463","E0Y463")</f>
        <v>E0Y463</v>
      </c>
      <c r="D2271" s="2" t="s">
        <v>2190</v>
      </c>
      <c r="E2271" s="3">
        <v>1.3400000000000001E-117</v>
      </c>
      <c r="F2271" s="2">
        <v>889</v>
      </c>
      <c r="G2271" s="2">
        <v>100</v>
      </c>
      <c r="H2271" s="2">
        <v>167</v>
      </c>
      <c r="I2271" s="2">
        <v>259</v>
      </c>
      <c r="J2271" s="2">
        <v>759</v>
      </c>
      <c r="K2271" s="2">
        <v>1</v>
      </c>
      <c r="L2271" s="2">
        <v>167</v>
      </c>
    </row>
    <row r="2272" spans="1:12" x14ac:dyDescent="0.25">
      <c r="A2272" s="4" t="str">
        <f>HYPERLINK("http://www.rosaceae.org/Prunus/Prunus_persica/p.persica_gdr_reftransV1_0047381","p.persica_gdr_reftransV1_0047381")</f>
        <v>p.persica_gdr_reftransV1_0047381</v>
      </c>
      <c r="B2272" s="2">
        <v>1495</v>
      </c>
      <c r="C2272" s="4" t="str">
        <f>HYPERLINK("http://www.uniprot.org/uniprot/M5X1R1","M5X1R1")</f>
        <v>M5X1R1</v>
      </c>
      <c r="D2272" s="2" t="s">
        <v>2191</v>
      </c>
      <c r="E2272" s="3">
        <v>0</v>
      </c>
      <c r="F2272" s="2">
        <v>1503</v>
      </c>
      <c r="G2272" s="2">
        <v>100</v>
      </c>
      <c r="H2272" s="2">
        <v>278</v>
      </c>
      <c r="I2272" s="2">
        <v>661</v>
      </c>
      <c r="J2272" s="2">
        <v>1494</v>
      </c>
      <c r="K2272" s="2">
        <v>746</v>
      </c>
      <c r="L2272" s="2">
        <v>1023</v>
      </c>
    </row>
    <row r="2273" spans="1:12" x14ac:dyDescent="0.25">
      <c r="A2273" s="4" t="str">
        <f>HYPERLINK("http://www.rosaceae.org/Prunus/Prunus_persica/p.persica_gdr_reftransV1_0048081","p.persica_gdr_reftransV1_0048081")</f>
        <v>p.persica_gdr_reftransV1_0048081</v>
      </c>
      <c r="B2273" s="2">
        <v>916</v>
      </c>
      <c r="C2273" s="4" t="str">
        <f>HYPERLINK("http://www.uniprot.org/uniprot/M0SMQ5","M0SMQ5")</f>
        <v>M0SMQ5</v>
      </c>
      <c r="D2273" s="2" t="s">
        <v>2192</v>
      </c>
      <c r="E2273" s="3">
        <v>4.53E-104</v>
      </c>
      <c r="F2273" s="2">
        <v>802</v>
      </c>
      <c r="G2273" s="2">
        <v>97</v>
      </c>
      <c r="H2273" s="2">
        <v>155</v>
      </c>
      <c r="I2273" s="2">
        <v>285</v>
      </c>
      <c r="J2273" s="2">
        <v>746</v>
      </c>
      <c r="K2273" s="2">
        <v>17</v>
      </c>
      <c r="L2273" s="2">
        <v>171</v>
      </c>
    </row>
    <row r="2274" spans="1:12" x14ac:dyDescent="0.25">
      <c r="A2274" s="4" t="str">
        <f>HYPERLINK("http://www.rosaceae.org/Prunus/Prunus_persica/p.persica_gdr_reftransV1_0048431","p.persica_gdr_reftransV1_0048431")</f>
        <v>p.persica_gdr_reftransV1_0048431</v>
      </c>
      <c r="B2274" s="2">
        <v>2113</v>
      </c>
      <c r="C2274" s="4" t="str">
        <f>HYPERLINK("http://www.uniprot.org/uniprot/M5XMX7","M5XMX7")</f>
        <v>M5XMX7</v>
      </c>
      <c r="D2274" s="2" t="s">
        <v>2193</v>
      </c>
      <c r="E2274" s="3">
        <v>0</v>
      </c>
      <c r="F2274" s="2">
        <v>3007</v>
      </c>
      <c r="G2274" s="2">
        <v>100</v>
      </c>
      <c r="H2274" s="2">
        <v>567</v>
      </c>
      <c r="I2274" s="2">
        <v>256</v>
      </c>
      <c r="J2274" s="2">
        <v>1956</v>
      </c>
      <c r="K2274" s="2">
        <v>3</v>
      </c>
      <c r="L2274" s="2">
        <v>569</v>
      </c>
    </row>
    <row r="2275" spans="1:12" x14ac:dyDescent="0.25">
      <c r="A2275" s="4" t="str">
        <f>HYPERLINK("http://www.rosaceae.org/Prunus/Prunus_persica/p.persica_gdr_reftransV1_0048781","p.persica_gdr_reftransV1_0048781")</f>
        <v>p.persica_gdr_reftransV1_0048781</v>
      </c>
      <c r="B2275" s="2">
        <v>1023</v>
      </c>
      <c r="C2275" s="4" t="str">
        <f>HYPERLINK("http://www.uniprot.org/uniprot/M5W039","M5W039")</f>
        <v>M5W039</v>
      </c>
      <c r="D2275" s="2" t="s">
        <v>646</v>
      </c>
      <c r="E2275" s="3">
        <v>5.2400000000000002E-154</v>
      </c>
      <c r="F2275" s="2">
        <v>1139</v>
      </c>
      <c r="G2275" s="2">
        <v>100</v>
      </c>
      <c r="H2275" s="2">
        <v>213</v>
      </c>
      <c r="I2275" s="2">
        <v>118</v>
      </c>
      <c r="J2275" s="2">
        <v>756</v>
      </c>
      <c r="K2275" s="2">
        <v>1</v>
      </c>
      <c r="L2275" s="2">
        <v>213</v>
      </c>
    </row>
    <row r="2276" spans="1:12" x14ac:dyDescent="0.25">
      <c r="A2276" s="4" t="str">
        <f>HYPERLINK("http://www.rosaceae.org/Prunus/Prunus_persica/p.persica_gdr_reftransV1_0049131","p.persica_gdr_reftransV1_0049131")</f>
        <v>p.persica_gdr_reftransV1_0049131</v>
      </c>
      <c r="B2276" s="2">
        <v>423</v>
      </c>
      <c r="C2276" s="4" t="str">
        <f>HYPERLINK("http://www.uniprot.org/uniprot/M5XM13","M5XM13")</f>
        <v>M5XM13</v>
      </c>
      <c r="D2276" s="2" t="s">
        <v>1924</v>
      </c>
      <c r="E2276" s="3">
        <v>2.2299999999999999E-88</v>
      </c>
      <c r="F2276" s="2">
        <v>740</v>
      </c>
      <c r="G2276" s="2">
        <v>100</v>
      </c>
      <c r="H2276" s="2">
        <v>140</v>
      </c>
      <c r="I2276" s="2">
        <v>2</v>
      </c>
      <c r="J2276" s="2">
        <v>421</v>
      </c>
      <c r="K2276" s="2">
        <v>546</v>
      </c>
      <c r="L2276" s="2">
        <v>685</v>
      </c>
    </row>
    <row r="2277" spans="1:12" x14ac:dyDescent="0.25">
      <c r="A2277" s="4" t="str">
        <f>HYPERLINK("http://www.rosaceae.org/Prunus/Prunus_persica/p.persica_gdr_reftransV1_0000132","p.persica_gdr_reftransV1_0000132")</f>
        <v>p.persica_gdr_reftransV1_0000132</v>
      </c>
      <c r="B2277" s="2">
        <v>1959</v>
      </c>
      <c r="C2277" s="4" t="str">
        <f>HYPERLINK("http://www.uniprot.org/uniprot/M5WDK0","M5WDK0")</f>
        <v>M5WDK0</v>
      </c>
      <c r="D2277" s="2" t="s">
        <v>2194</v>
      </c>
      <c r="E2277" s="3">
        <v>0</v>
      </c>
      <c r="F2277" s="2">
        <v>2478</v>
      </c>
      <c r="G2277" s="2">
        <v>100</v>
      </c>
      <c r="H2277" s="2">
        <v>486</v>
      </c>
      <c r="I2277" s="2">
        <v>446</v>
      </c>
      <c r="J2277" s="2">
        <v>1903</v>
      </c>
      <c r="K2277" s="2">
        <v>40</v>
      </c>
      <c r="L2277" s="2">
        <v>525</v>
      </c>
    </row>
    <row r="2278" spans="1:12" x14ac:dyDescent="0.25">
      <c r="A2278" s="4" t="str">
        <f>HYPERLINK("http://www.rosaceae.org/Prunus/Prunus_persica/p.persica_gdr_reftransV1_0001182","p.persica_gdr_reftransV1_0001182")</f>
        <v>p.persica_gdr_reftransV1_0001182</v>
      </c>
      <c r="B2278" s="2">
        <v>585</v>
      </c>
      <c r="C2278" s="4" t="str">
        <f>HYPERLINK("http://www.uniprot.org/uniprot/M5VJG1","M5VJG1")</f>
        <v>M5VJG1</v>
      </c>
      <c r="D2278" s="2" t="s">
        <v>2195</v>
      </c>
      <c r="E2278" s="3">
        <v>1.5299999999999999E-74</v>
      </c>
      <c r="F2278" s="2">
        <v>591</v>
      </c>
      <c r="G2278" s="2">
        <v>100</v>
      </c>
      <c r="H2278" s="2">
        <v>127</v>
      </c>
      <c r="I2278" s="2">
        <v>107</v>
      </c>
      <c r="J2278" s="2">
        <v>487</v>
      </c>
      <c r="K2278" s="2">
        <v>1</v>
      </c>
      <c r="L2278" s="2">
        <v>127</v>
      </c>
    </row>
    <row r="2279" spans="1:12" x14ac:dyDescent="0.25">
      <c r="A2279" s="4" t="str">
        <f>HYPERLINK("http://www.rosaceae.org/Prunus/Prunus_persica/p.persica_gdr_reftransV1_0001532","p.persica_gdr_reftransV1_0001532")</f>
        <v>p.persica_gdr_reftransV1_0001532</v>
      </c>
      <c r="B2279" s="2">
        <v>2068</v>
      </c>
      <c r="C2279" s="4" t="str">
        <f>HYPERLINK("http://www.uniprot.org/uniprot/M5WWA9","M5WWA9")</f>
        <v>M5WWA9</v>
      </c>
      <c r="D2279" s="2" t="s">
        <v>2196</v>
      </c>
      <c r="E2279" s="3">
        <v>0</v>
      </c>
      <c r="F2279" s="2">
        <v>1284</v>
      </c>
      <c r="G2279" s="2">
        <v>100</v>
      </c>
      <c r="H2279" s="2">
        <v>259</v>
      </c>
      <c r="I2279" s="2">
        <v>993</v>
      </c>
      <c r="J2279" s="2">
        <v>1769</v>
      </c>
      <c r="K2279" s="2">
        <v>35</v>
      </c>
      <c r="L2279" s="2">
        <v>293</v>
      </c>
    </row>
    <row r="2280" spans="1:12" x14ac:dyDescent="0.25">
      <c r="A2280" s="4" t="str">
        <f>HYPERLINK("http://www.rosaceae.org/Prunus/Prunus_persica/p.persica_gdr_reftransV1_0001882","p.persica_gdr_reftransV1_0001882")</f>
        <v>p.persica_gdr_reftransV1_0001882</v>
      </c>
      <c r="B2280" s="2">
        <v>585</v>
      </c>
      <c r="C2280" s="4" t="str">
        <f>HYPERLINK("http://www.uniprot.org/uniprot/M5XTC0","M5XTC0")</f>
        <v>M5XTC0</v>
      </c>
      <c r="D2280" s="2" t="s">
        <v>2197</v>
      </c>
      <c r="E2280" s="3">
        <v>1.1E-128</v>
      </c>
      <c r="F2280" s="2">
        <v>1047</v>
      </c>
      <c r="G2280" s="2">
        <v>100</v>
      </c>
      <c r="H2280" s="2">
        <v>194</v>
      </c>
      <c r="I2280" s="2">
        <v>3</v>
      </c>
      <c r="J2280" s="2">
        <v>584</v>
      </c>
      <c r="K2280" s="2">
        <v>618</v>
      </c>
      <c r="L2280" s="2">
        <v>811</v>
      </c>
    </row>
    <row r="2281" spans="1:12" x14ac:dyDescent="0.25">
      <c r="A2281" s="4" t="str">
        <f>HYPERLINK("http://www.rosaceae.org/Prunus/Prunus_persica/p.persica_gdr_reftransV1_0002232","p.persica_gdr_reftransV1_0002232")</f>
        <v>p.persica_gdr_reftransV1_0002232</v>
      </c>
      <c r="B2281" s="2">
        <v>3660</v>
      </c>
      <c r="C2281" s="4" t="str">
        <f>HYPERLINK("http://www.uniprot.org/uniprot/M5X756","M5X756")</f>
        <v>M5X756</v>
      </c>
      <c r="D2281" s="2" t="s">
        <v>2198</v>
      </c>
      <c r="E2281" s="3">
        <v>0</v>
      </c>
      <c r="F2281" s="2">
        <v>5180</v>
      </c>
      <c r="G2281" s="2">
        <v>98</v>
      </c>
      <c r="H2281" s="2">
        <v>1051</v>
      </c>
      <c r="I2281" s="2">
        <v>113</v>
      </c>
      <c r="J2281" s="2">
        <v>3265</v>
      </c>
      <c r="K2281" s="2">
        <v>17</v>
      </c>
      <c r="L2281" s="2">
        <v>1050</v>
      </c>
    </row>
    <row r="2282" spans="1:12" x14ac:dyDescent="0.25">
      <c r="A2282" s="4" t="str">
        <f>HYPERLINK("http://www.rosaceae.org/Prunus/Prunus_persica/p.persica_gdr_reftransV1_0002582","p.persica_gdr_reftransV1_0002582")</f>
        <v>p.persica_gdr_reftransV1_0002582</v>
      </c>
      <c r="B2282" s="2">
        <v>1544</v>
      </c>
      <c r="C2282" s="4" t="str">
        <f>HYPERLINK("http://www.uniprot.org/uniprot/M5W9R2","M5W9R2")</f>
        <v>M5W9R2</v>
      </c>
      <c r="D2282" s="2" t="s">
        <v>2199</v>
      </c>
      <c r="E2282" s="3">
        <v>0</v>
      </c>
      <c r="F2282" s="2">
        <v>1003</v>
      </c>
      <c r="G2282" s="2">
        <v>100</v>
      </c>
      <c r="H2282" s="2">
        <v>191</v>
      </c>
      <c r="I2282" s="2">
        <v>853</v>
      </c>
      <c r="J2282" s="2">
        <v>1425</v>
      </c>
      <c r="K2282" s="2">
        <v>1</v>
      </c>
      <c r="L2282" s="2">
        <v>191</v>
      </c>
    </row>
    <row r="2283" spans="1:12" x14ac:dyDescent="0.25">
      <c r="A2283" s="4" t="str">
        <f>HYPERLINK("http://www.rosaceae.org/Prunus/Prunus_persica/p.persica_gdr_reftransV1_0003282","p.persica_gdr_reftransV1_0003282")</f>
        <v>p.persica_gdr_reftransV1_0003282</v>
      </c>
      <c r="B2283" s="2">
        <v>389</v>
      </c>
      <c r="C2283" s="4" t="str">
        <f>HYPERLINK("http://www.uniprot.org/uniprot/M5WN57","M5WN57")</f>
        <v>M5WN57</v>
      </c>
      <c r="D2283" s="2" t="s">
        <v>1334</v>
      </c>
      <c r="E2283" s="3">
        <v>9.6699999999999998E-79</v>
      </c>
      <c r="F2283" s="2">
        <v>666</v>
      </c>
      <c r="G2283" s="2">
        <v>100</v>
      </c>
      <c r="H2283" s="2">
        <v>129</v>
      </c>
      <c r="I2283" s="2">
        <v>1</v>
      </c>
      <c r="J2283" s="2">
        <v>387</v>
      </c>
      <c r="K2283" s="2">
        <v>506</v>
      </c>
      <c r="L2283" s="2">
        <v>634</v>
      </c>
    </row>
    <row r="2284" spans="1:12" x14ac:dyDescent="0.25">
      <c r="A2284" s="4" t="str">
        <f>HYPERLINK("http://www.rosaceae.org/Prunus/Prunus_persica/p.persica_gdr_reftransV1_0003632","p.persica_gdr_reftransV1_0003632")</f>
        <v>p.persica_gdr_reftransV1_0003632</v>
      </c>
      <c r="B2284" s="2">
        <v>510</v>
      </c>
      <c r="C2284" s="4" t="str">
        <f>HYPERLINK("http://www.uniprot.org/uniprot/A0A0D2T8Q5","A0A0D2T8Q5")</f>
        <v>A0A0D2T8Q5</v>
      </c>
      <c r="D2284" s="2" t="s">
        <v>2200</v>
      </c>
      <c r="E2284" s="3">
        <v>2.0799999999999999E-88</v>
      </c>
      <c r="F2284" s="2">
        <v>729</v>
      </c>
      <c r="G2284" s="2">
        <v>79</v>
      </c>
      <c r="H2284" s="2">
        <v>168</v>
      </c>
      <c r="I2284" s="2">
        <v>6</v>
      </c>
      <c r="J2284" s="2">
        <v>509</v>
      </c>
      <c r="K2284" s="2">
        <v>381</v>
      </c>
      <c r="L2284" s="2">
        <v>548</v>
      </c>
    </row>
    <row r="2285" spans="1:12" x14ac:dyDescent="0.25">
      <c r="A2285" s="4" t="str">
        <f>HYPERLINK("http://www.rosaceae.org/Prunus/Prunus_persica/p.persica_gdr_reftransV1_0004332","p.persica_gdr_reftransV1_0004332")</f>
        <v>p.persica_gdr_reftransV1_0004332</v>
      </c>
      <c r="B2285" s="2">
        <v>888</v>
      </c>
      <c r="C2285" s="4" t="str">
        <f>HYPERLINK("http://www.uniprot.org/uniprot/M5XD46","M5XD46")</f>
        <v>M5XD46</v>
      </c>
      <c r="D2285" s="2" t="s">
        <v>2201</v>
      </c>
      <c r="E2285" s="3">
        <v>0</v>
      </c>
      <c r="F2285" s="2">
        <v>1372</v>
      </c>
      <c r="G2285" s="2">
        <v>100</v>
      </c>
      <c r="H2285" s="2">
        <v>287</v>
      </c>
      <c r="I2285" s="2">
        <v>2</v>
      </c>
      <c r="J2285" s="2">
        <v>862</v>
      </c>
      <c r="K2285" s="2">
        <v>191</v>
      </c>
      <c r="L2285" s="2">
        <v>477</v>
      </c>
    </row>
    <row r="2286" spans="1:12" x14ac:dyDescent="0.25">
      <c r="A2286" s="4" t="str">
        <f>HYPERLINK("http://www.rosaceae.org/Prunus/Prunus_persica/p.persica_gdr_reftransV1_0004682","p.persica_gdr_reftransV1_0004682")</f>
        <v>p.persica_gdr_reftransV1_0004682</v>
      </c>
      <c r="B2286" s="2">
        <v>1469</v>
      </c>
      <c r="C2286" s="4" t="str">
        <f>HYPERLINK("http://www.uniprot.org/uniprot/M5WSZ0","M5WSZ0")</f>
        <v>M5WSZ0</v>
      </c>
      <c r="D2286" s="2" t="s">
        <v>2202</v>
      </c>
      <c r="E2286" s="3">
        <v>0</v>
      </c>
      <c r="F2286" s="2">
        <v>1606</v>
      </c>
      <c r="G2286" s="2">
        <v>97</v>
      </c>
      <c r="H2286" s="2">
        <v>316</v>
      </c>
      <c r="I2286" s="2">
        <v>250</v>
      </c>
      <c r="J2286" s="2">
        <v>1197</v>
      </c>
      <c r="K2286" s="2">
        <v>1</v>
      </c>
      <c r="L2286" s="2">
        <v>306</v>
      </c>
    </row>
    <row r="2287" spans="1:12" x14ac:dyDescent="0.25">
      <c r="A2287" s="4" t="str">
        <f>HYPERLINK("http://www.rosaceae.org/Prunus/Prunus_persica/p.persica_gdr_reftransV1_0005382","p.persica_gdr_reftransV1_0005382")</f>
        <v>p.persica_gdr_reftransV1_0005382</v>
      </c>
      <c r="B2287" s="2">
        <v>664</v>
      </c>
      <c r="C2287" s="4" t="str">
        <f>HYPERLINK("http://www.uniprot.org/uniprot/M5W8A6","M5W8A6")</f>
        <v>M5W8A6</v>
      </c>
      <c r="D2287" s="2" t="s">
        <v>2203</v>
      </c>
      <c r="E2287" s="3">
        <v>1.3900000000000001E-40</v>
      </c>
      <c r="F2287" s="2">
        <v>398</v>
      </c>
      <c r="G2287" s="2">
        <v>100</v>
      </c>
      <c r="H2287" s="2">
        <v>103</v>
      </c>
      <c r="I2287" s="2">
        <v>354</v>
      </c>
      <c r="J2287" s="2">
        <v>662</v>
      </c>
      <c r="K2287" s="2">
        <v>45</v>
      </c>
      <c r="L2287" s="2">
        <v>147</v>
      </c>
    </row>
    <row r="2288" spans="1:12" x14ac:dyDescent="0.25">
      <c r="A2288" s="4" t="str">
        <f>HYPERLINK("http://www.rosaceae.org/Prunus/Prunus_persica/p.persica_gdr_reftransV1_0006082","p.persica_gdr_reftransV1_0006082")</f>
        <v>p.persica_gdr_reftransV1_0006082</v>
      </c>
      <c r="B2288" s="2">
        <v>879</v>
      </c>
      <c r="C2288" s="4" t="str">
        <f>HYPERLINK("http://www.uniprot.org/uniprot/A5BLB0","A5BLB0")</f>
        <v>A5BLB0</v>
      </c>
      <c r="D2288" s="2" t="s">
        <v>2204</v>
      </c>
      <c r="E2288" s="3">
        <v>2.2000000000000001E-75</v>
      </c>
      <c r="F2288" s="2">
        <v>668</v>
      </c>
      <c r="G2288" s="2">
        <v>61</v>
      </c>
      <c r="H2288" s="2">
        <v>202</v>
      </c>
      <c r="I2288" s="2">
        <v>274</v>
      </c>
      <c r="J2288" s="2">
        <v>879</v>
      </c>
      <c r="K2288" s="2">
        <v>1213</v>
      </c>
      <c r="L2288" s="2">
        <v>1414</v>
      </c>
    </row>
    <row r="2289" spans="1:12" x14ac:dyDescent="0.25">
      <c r="A2289" s="4" t="str">
        <f>HYPERLINK("http://www.rosaceae.org/Prunus/Prunus_persica/p.persica_gdr_reftransV1_0006432","p.persica_gdr_reftransV1_0006432")</f>
        <v>p.persica_gdr_reftransV1_0006432</v>
      </c>
      <c r="B2289" s="2">
        <v>846</v>
      </c>
      <c r="C2289" s="4" t="str">
        <f>HYPERLINK("http://www.uniprot.org/uniprot/M5VNK9","M5VNK9")</f>
        <v>M5VNK9</v>
      </c>
      <c r="D2289" s="2" t="s">
        <v>2205</v>
      </c>
      <c r="E2289" s="3">
        <v>1.37E-116</v>
      </c>
      <c r="F2289" s="2">
        <v>882</v>
      </c>
      <c r="G2289" s="2">
        <v>92</v>
      </c>
      <c r="H2289" s="2">
        <v>185</v>
      </c>
      <c r="I2289" s="2">
        <v>220</v>
      </c>
      <c r="J2289" s="2">
        <v>774</v>
      </c>
      <c r="K2289" s="2">
        <v>1</v>
      </c>
      <c r="L2289" s="2">
        <v>170</v>
      </c>
    </row>
    <row r="2290" spans="1:12" x14ac:dyDescent="0.25">
      <c r="A2290" s="4" t="str">
        <f>HYPERLINK("http://www.rosaceae.org/Prunus/Prunus_persica/p.persica_gdr_reftransV1_0007132","p.persica_gdr_reftransV1_0007132")</f>
        <v>p.persica_gdr_reftransV1_0007132</v>
      </c>
      <c r="B2290" s="2">
        <v>789</v>
      </c>
      <c r="C2290" s="4" t="str">
        <f>HYPERLINK("http://www.uniprot.org/uniprot/M5VVK6","M5VVK6")</f>
        <v>M5VVK6</v>
      </c>
      <c r="D2290" s="2" t="s">
        <v>2206</v>
      </c>
      <c r="E2290" s="3">
        <v>4.2599999999999999E-156</v>
      </c>
      <c r="F2290" s="2">
        <v>1256</v>
      </c>
      <c r="G2290" s="2">
        <v>97</v>
      </c>
      <c r="H2290" s="2">
        <v>263</v>
      </c>
      <c r="I2290" s="2">
        <v>1</v>
      </c>
      <c r="J2290" s="2">
        <v>789</v>
      </c>
      <c r="K2290" s="2">
        <v>693</v>
      </c>
      <c r="L2290" s="2">
        <v>948</v>
      </c>
    </row>
    <row r="2291" spans="1:12" x14ac:dyDescent="0.25">
      <c r="A2291" s="4" t="str">
        <f>HYPERLINK("http://www.rosaceae.org/Prunus/Prunus_persica/p.persica_gdr_reftransV1_0007482","p.persica_gdr_reftransV1_0007482")</f>
        <v>p.persica_gdr_reftransV1_0007482</v>
      </c>
      <c r="B2291" s="2">
        <v>1060</v>
      </c>
      <c r="C2291" s="4" t="str">
        <f>HYPERLINK("http://www.uniprot.org/uniprot/M5WB24","M5WB24")</f>
        <v>M5WB24</v>
      </c>
      <c r="D2291" s="2" t="s">
        <v>2207</v>
      </c>
      <c r="E2291" s="3">
        <v>4.2599999999999998E-149</v>
      </c>
      <c r="F2291" s="2">
        <v>1122</v>
      </c>
      <c r="G2291" s="2">
        <v>100</v>
      </c>
      <c r="H2291" s="2">
        <v>210</v>
      </c>
      <c r="I2291" s="2">
        <v>431</v>
      </c>
      <c r="J2291" s="2">
        <v>1060</v>
      </c>
      <c r="K2291" s="2">
        <v>1</v>
      </c>
      <c r="L2291" s="2">
        <v>210</v>
      </c>
    </row>
    <row r="2292" spans="1:12" x14ac:dyDescent="0.25">
      <c r="A2292" s="4" t="str">
        <f>HYPERLINK("http://www.rosaceae.org/Prunus/Prunus_persica/p.persica_gdr_reftransV1_0007832","p.persica_gdr_reftransV1_0007832")</f>
        <v>p.persica_gdr_reftransV1_0007832</v>
      </c>
      <c r="B2292" s="2">
        <v>1385</v>
      </c>
      <c r="C2292" s="4" t="str">
        <f>HYPERLINK("http://www.uniprot.org/uniprot/M5XIS0","M5XIS0")</f>
        <v>M5XIS0</v>
      </c>
      <c r="D2292" s="2" t="s">
        <v>2208</v>
      </c>
      <c r="E2292" s="3">
        <v>0</v>
      </c>
      <c r="F2292" s="2">
        <v>1589</v>
      </c>
      <c r="G2292" s="2">
        <v>100</v>
      </c>
      <c r="H2292" s="2">
        <v>317</v>
      </c>
      <c r="I2292" s="2">
        <v>79</v>
      </c>
      <c r="J2292" s="2">
        <v>1029</v>
      </c>
      <c r="K2292" s="2">
        <v>104</v>
      </c>
      <c r="L2292" s="2">
        <v>420</v>
      </c>
    </row>
    <row r="2293" spans="1:12" x14ac:dyDescent="0.25">
      <c r="A2293" s="4" t="str">
        <f>HYPERLINK("http://www.rosaceae.org/Prunus/Prunus_persica/p.persica_gdr_reftransV1_0008532","p.persica_gdr_reftransV1_0008532")</f>
        <v>p.persica_gdr_reftransV1_0008532</v>
      </c>
      <c r="B2293" s="2">
        <v>721</v>
      </c>
      <c r="C2293" s="4" t="str">
        <f>HYPERLINK("http://www.uniprot.org/uniprot/M5WMX6","M5WMX6")</f>
        <v>M5WMX6</v>
      </c>
      <c r="D2293" s="2" t="s">
        <v>2209</v>
      </c>
      <c r="E2293" s="3">
        <v>8.5999999999999998E-72</v>
      </c>
      <c r="F2293" s="2">
        <v>576</v>
      </c>
      <c r="G2293" s="2">
        <v>100</v>
      </c>
      <c r="H2293" s="2">
        <v>108</v>
      </c>
      <c r="I2293" s="2">
        <v>274</v>
      </c>
      <c r="J2293" s="2">
        <v>597</v>
      </c>
      <c r="K2293" s="2">
        <v>1</v>
      </c>
      <c r="L2293" s="2">
        <v>108</v>
      </c>
    </row>
    <row r="2294" spans="1:12" x14ac:dyDescent="0.25">
      <c r="A2294" s="4" t="str">
        <f>HYPERLINK("http://www.rosaceae.org/Prunus/Prunus_persica/p.persica_gdr_reftransV1_0008882","p.persica_gdr_reftransV1_0008882")</f>
        <v>p.persica_gdr_reftransV1_0008882</v>
      </c>
      <c r="B2294" s="2">
        <v>1754</v>
      </c>
      <c r="C2294" s="4" t="str">
        <f>HYPERLINK("http://www.uniprot.org/uniprot/M5WRY9","M5WRY9")</f>
        <v>M5WRY9</v>
      </c>
      <c r="D2294" s="2" t="s">
        <v>2210</v>
      </c>
      <c r="E2294" s="3">
        <v>0</v>
      </c>
      <c r="F2294" s="2">
        <v>1844</v>
      </c>
      <c r="G2294" s="2">
        <v>100</v>
      </c>
      <c r="H2294" s="2">
        <v>340</v>
      </c>
      <c r="I2294" s="2">
        <v>1</v>
      </c>
      <c r="J2294" s="2">
        <v>1020</v>
      </c>
      <c r="K2294" s="2">
        <v>1293</v>
      </c>
      <c r="L2294" s="2">
        <v>1632</v>
      </c>
    </row>
    <row r="2295" spans="1:12" x14ac:dyDescent="0.25">
      <c r="A2295" s="4" t="str">
        <f>HYPERLINK("http://www.rosaceae.org/Prunus/Prunus_persica/p.persica_gdr_reftransV1_0009232","p.persica_gdr_reftransV1_0009232")</f>
        <v>p.persica_gdr_reftransV1_0009232</v>
      </c>
      <c r="B2295" s="2">
        <v>1930</v>
      </c>
      <c r="C2295" s="4" t="str">
        <f>HYPERLINK("http://www.uniprot.org/uniprot/M5WRB8","M5WRB8")</f>
        <v>M5WRB8</v>
      </c>
      <c r="D2295" s="2" t="s">
        <v>2211</v>
      </c>
      <c r="E2295" s="3">
        <v>0</v>
      </c>
      <c r="F2295" s="2">
        <v>2551</v>
      </c>
      <c r="G2295" s="2">
        <v>100</v>
      </c>
      <c r="H2295" s="2">
        <v>477</v>
      </c>
      <c r="I2295" s="2">
        <v>2</v>
      </c>
      <c r="J2295" s="2">
        <v>1432</v>
      </c>
      <c r="K2295" s="2">
        <v>510</v>
      </c>
      <c r="L2295" s="2">
        <v>986</v>
      </c>
    </row>
    <row r="2296" spans="1:12" x14ac:dyDescent="0.25">
      <c r="A2296" s="4" t="str">
        <f>HYPERLINK("http://www.rosaceae.org/Prunus/Prunus_persica/p.persica_gdr_reftransV1_0009582","p.persica_gdr_reftransV1_0009582")</f>
        <v>p.persica_gdr_reftransV1_0009582</v>
      </c>
      <c r="B2296" s="2">
        <v>3356</v>
      </c>
      <c r="C2296" s="4" t="str">
        <f>HYPERLINK("http://www.uniprot.org/uniprot/M5VU64","M5VU64")</f>
        <v>M5VU64</v>
      </c>
      <c r="D2296" s="2" t="s">
        <v>1122</v>
      </c>
      <c r="E2296" s="3">
        <v>0</v>
      </c>
      <c r="F2296" s="2">
        <v>4101</v>
      </c>
      <c r="G2296" s="2">
        <v>98</v>
      </c>
      <c r="H2296" s="2">
        <v>841</v>
      </c>
      <c r="I2296" s="2">
        <v>782</v>
      </c>
      <c r="J2296" s="2">
        <v>3304</v>
      </c>
      <c r="K2296" s="2">
        <v>17</v>
      </c>
      <c r="L2296" s="2">
        <v>839</v>
      </c>
    </row>
    <row r="2297" spans="1:12" x14ac:dyDescent="0.25">
      <c r="A2297" s="4" t="str">
        <f>HYPERLINK("http://www.rosaceae.org/Prunus/Prunus_persica/p.persica_gdr_reftransV1_0010632","p.persica_gdr_reftransV1_0010632")</f>
        <v>p.persica_gdr_reftransV1_0010632</v>
      </c>
      <c r="B2297" s="2">
        <v>544</v>
      </c>
      <c r="C2297" s="4" t="str">
        <f>HYPERLINK("http://www.uniprot.org/uniprot/B6CQS2","B6CQS2")</f>
        <v>B6CQS2</v>
      </c>
      <c r="D2297" s="2" t="s">
        <v>2212</v>
      </c>
      <c r="E2297" s="3">
        <v>3.1600000000000001E-79</v>
      </c>
      <c r="F2297" s="2">
        <v>623</v>
      </c>
      <c r="G2297" s="2">
        <v>100</v>
      </c>
      <c r="H2297" s="2">
        <v>122</v>
      </c>
      <c r="I2297" s="2">
        <v>179</v>
      </c>
      <c r="J2297" s="2">
        <v>544</v>
      </c>
      <c r="K2297" s="2">
        <v>1</v>
      </c>
      <c r="L2297" s="2">
        <v>122</v>
      </c>
    </row>
    <row r="2298" spans="1:12" x14ac:dyDescent="0.25">
      <c r="A2298" s="4" t="str">
        <f>HYPERLINK("http://www.rosaceae.org/Prunus/Prunus_persica/p.persica_gdr_reftransV1_0010982","p.persica_gdr_reftransV1_0010982")</f>
        <v>p.persica_gdr_reftransV1_0010982</v>
      </c>
      <c r="B2298" s="2">
        <v>1478</v>
      </c>
      <c r="C2298" s="4" t="str">
        <f>HYPERLINK("http://www.uniprot.org/uniprot/A5BLB0","A5BLB0")</f>
        <v>A5BLB0</v>
      </c>
      <c r="D2298" s="2" t="s">
        <v>2204</v>
      </c>
      <c r="E2298" s="3">
        <v>5.3400000000000003E-147</v>
      </c>
      <c r="F2298" s="2">
        <v>991</v>
      </c>
      <c r="G2298" s="2">
        <v>51</v>
      </c>
      <c r="H2298" s="2">
        <v>401</v>
      </c>
      <c r="I2298" s="2">
        <v>4</v>
      </c>
      <c r="J2298" s="2">
        <v>1128</v>
      </c>
      <c r="K2298" s="2">
        <v>795</v>
      </c>
      <c r="L2298" s="2">
        <v>1184</v>
      </c>
    </row>
    <row r="2299" spans="1:12" x14ac:dyDescent="0.25">
      <c r="A2299" s="4" t="str">
        <f>HYPERLINK("http://www.rosaceae.org/Prunus/Prunus_persica/p.persica_gdr_reftransV1_0012382","p.persica_gdr_reftransV1_0012382")</f>
        <v>p.persica_gdr_reftransV1_0012382</v>
      </c>
      <c r="B2299" s="2">
        <v>2125</v>
      </c>
      <c r="C2299" s="4" t="str">
        <f>HYPERLINK("http://www.uniprot.org/uniprot/M5X0C6","M5X0C6")</f>
        <v>M5X0C6</v>
      </c>
      <c r="D2299" s="2" t="s">
        <v>2213</v>
      </c>
      <c r="E2299" s="3">
        <v>0</v>
      </c>
      <c r="F2299" s="2">
        <v>1940</v>
      </c>
      <c r="G2299" s="2">
        <v>100</v>
      </c>
      <c r="H2299" s="2">
        <v>361</v>
      </c>
      <c r="I2299" s="2">
        <v>877</v>
      </c>
      <c r="J2299" s="2">
        <v>1959</v>
      </c>
      <c r="K2299" s="2">
        <v>1</v>
      </c>
      <c r="L2299" s="2">
        <v>361</v>
      </c>
    </row>
    <row r="2300" spans="1:12" x14ac:dyDescent="0.25">
      <c r="A2300" s="4" t="str">
        <f>HYPERLINK("http://www.rosaceae.org/Prunus/Prunus_persica/p.persica_gdr_reftransV1_0012732","p.persica_gdr_reftransV1_0012732")</f>
        <v>p.persica_gdr_reftransV1_0012732</v>
      </c>
      <c r="B2300" s="2">
        <v>2286</v>
      </c>
      <c r="C2300" s="4" t="str">
        <f>HYPERLINK("http://www.uniprot.org/uniprot/M5X2W2","M5X2W2")</f>
        <v>M5X2W2</v>
      </c>
      <c r="D2300" s="2" t="s">
        <v>2214</v>
      </c>
      <c r="E2300" s="3">
        <v>0</v>
      </c>
      <c r="F2300" s="2">
        <v>3124</v>
      </c>
      <c r="G2300" s="2">
        <v>100</v>
      </c>
      <c r="H2300" s="2">
        <v>586</v>
      </c>
      <c r="I2300" s="2">
        <v>332</v>
      </c>
      <c r="J2300" s="2">
        <v>2089</v>
      </c>
      <c r="K2300" s="2">
        <v>1</v>
      </c>
      <c r="L2300" s="2">
        <v>586</v>
      </c>
    </row>
    <row r="2301" spans="1:12" x14ac:dyDescent="0.25">
      <c r="A2301" s="4" t="str">
        <f>HYPERLINK("http://www.rosaceae.org/Prunus/Prunus_persica/p.persica_gdr_reftransV1_0013782","p.persica_gdr_reftransV1_0013782")</f>
        <v>p.persica_gdr_reftransV1_0013782</v>
      </c>
      <c r="B2301" s="2">
        <v>2830</v>
      </c>
      <c r="C2301" s="4" t="str">
        <f>HYPERLINK("http://www.uniprot.org/uniprot/A0A061GXL8","A0A061GXL8")</f>
        <v>A0A061GXL8</v>
      </c>
      <c r="D2301" s="2" t="s">
        <v>2215</v>
      </c>
      <c r="E2301" s="3">
        <v>0</v>
      </c>
      <c r="F2301" s="2">
        <v>2708</v>
      </c>
      <c r="G2301" s="2">
        <v>92</v>
      </c>
      <c r="H2301" s="2">
        <v>644</v>
      </c>
      <c r="I2301" s="2">
        <v>515</v>
      </c>
      <c r="J2301" s="2">
        <v>2440</v>
      </c>
      <c r="K2301" s="2">
        <v>24</v>
      </c>
      <c r="L2301" s="2">
        <v>664</v>
      </c>
    </row>
    <row r="2302" spans="1:12" x14ac:dyDescent="0.25">
      <c r="A2302" s="4" t="str">
        <f>HYPERLINK("http://www.rosaceae.org/Prunus/Prunus_persica/p.persica_gdr_reftransV1_0014482","p.persica_gdr_reftransV1_0014482")</f>
        <v>p.persica_gdr_reftransV1_0014482</v>
      </c>
      <c r="B2302" s="2">
        <v>2137</v>
      </c>
      <c r="C2302" s="4" t="str">
        <f>HYPERLINK("http://www.uniprot.org/uniprot/M5VX34","M5VX34")</f>
        <v>M5VX34</v>
      </c>
      <c r="D2302" s="2" t="s">
        <v>2216</v>
      </c>
      <c r="E2302" s="3">
        <v>0</v>
      </c>
      <c r="F2302" s="2">
        <v>2089</v>
      </c>
      <c r="G2302" s="2">
        <v>99</v>
      </c>
      <c r="H2302" s="2">
        <v>481</v>
      </c>
      <c r="I2302" s="2">
        <v>561</v>
      </c>
      <c r="J2302" s="2">
        <v>2003</v>
      </c>
      <c r="K2302" s="2">
        <v>1</v>
      </c>
      <c r="L2302" s="2">
        <v>481</v>
      </c>
    </row>
    <row r="2303" spans="1:12" x14ac:dyDescent="0.25">
      <c r="A2303" s="4" t="str">
        <f>HYPERLINK("http://www.rosaceae.org/Prunus/Prunus_persica/p.persica_gdr_reftransV1_0014832","p.persica_gdr_reftransV1_0014832")</f>
        <v>p.persica_gdr_reftransV1_0014832</v>
      </c>
      <c r="B2303" s="2">
        <v>1534</v>
      </c>
      <c r="C2303" s="4" t="str">
        <f>HYPERLINK("http://www.uniprot.org/uniprot/M5X4X3","M5X4X3")</f>
        <v>M5X4X3</v>
      </c>
      <c r="D2303" s="2" t="s">
        <v>2217</v>
      </c>
      <c r="E2303" s="3">
        <v>3.2200000000000002E-109</v>
      </c>
      <c r="F2303" s="2">
        <v>856</v>
      </c>
      <c r="G2303" s="2">
        <v>100</v>
      </c>
      <c r="H2303" s="2">
        <v>175</v>
      </c>
      <c r="I2303" s="2">
        <v>505</v>
      </c>
      <c r="J2303" s="2">
        <v>1029</v>
      </c>
      <c r="K2303" s="2">
        <v>1</v>
      </c>
      <c r="L2303" s="2">
        <v>175</v>
      </c>
    </row>
    <row r="2304" spans="1:12" x14ac:dyDescent="0.25">
      <c r="A2304" s="4" t="str">
        <f>HYPERLINK("http://www.rosaceae.org/Prunus/Prunus_persica/p.persica_gdr_reftransV1_0015182","p.persica_gdr_reftransV1_0015182")</f>
        <v>p.persica_gdr_reftransV1_0015182</v>
      </c>
      <c r="B2304" s="2">
        <v>1620</v>
      </c>
      <c r="C2304" s="4" t="str">
        <f>HYPERLINK("http://www.uniprot.org/uniprot/M5VXV8","M5VXV8")</f>
        <v>M5VXV8</v>
      </c>
      <c r="D2304" s="2" t="s">
        <v>2218</v>
      </c>
      <c r="E2304" s="3">
        <v>1.85E-74</v>
      </c>
      <c r="F2304" s="2">
        <v>629</v>
      </c>
      <c r="G2304" s="2">
        <v>100</v>
      </c>
      <c r="H2304" s="2">
        <v>119</v>
      </c>
      <c r="I2304" s="2">
        <v>304</v>
      </c>
      <c r="J2304" s="2">
        <v>660</v>
      </c>
      <c r="K2304" s="2">
        <v>15</v>
      </c>
      <c r="L2304" s="2">
        <v>133</v>
      </c>
    </row>
    <row r="2305" spans="1:12" x14ac:dyDescent="0.25">
      <c r="A2305" s="4" t="str">
        <f>HYPERLINK("http://www.rosaceae.org/Prunus/Prunus_persica/p.persica_gdr_reftransV1_0015532","p.persica_gdr_reftransV1_0015532")</f>
        <v>p.persica_gdr_reftransV1_0015532</v>
      </c>
      <c r="B2305" s="2">
        <v>3032</v>
      </c>
      <c r="C2305" s="4" t="str">
        <f>HYPERLINK("http://www.uniprot.org/uniprot/M5WRW1","M5WRW1")</f>
        <v>M5WRW1</v>
      </c>
      <c r="D2305" s="2" t="s">
        <v>2219</v>
      </c>
      <c r="E2305" s="3">
        <v>0</v>
      </c>
      <c r="F2305" s="2">
        <v>2794</v>
      </c>
      <c r="G2305" s="2">
        <v>99</v>
      </c>
      <c r="H2305" s="2">
        <v>548</v>
      </c>
      <c r="I2305" s="2">
        <v>1076</v>
      </c>
      <c r="J2305" s="2">
        <v>2713</v>
      </c>
      <c r="K2305" s="2">
        <v>307</v>
      </c>
      <c r="L2305" s="2">
        <v>854</v>
      </c>
    </row>
    <row r="2306" spans="1:12" x14ac:dyDescent="0.25">
      <c r="A2306" s="4" t="str">
        <f>HYPERLINK("http://www.rosaceae.org/Prunus/Prunus_persica/p.persica_gdr_reftransV1_0015882","p.persica_gdr_reftransV1_0015882")</f>
        <v>p.persica_gdr_reftransV1_0015882</v>
      </c>
      <c r="B2306" s="2">
        <v>762</v>
      </c>
      <c r="C2306" s="4" t="str">
        <f>HYPERLINK("http://www.uniprot.org/uniprot/M5WWH0","M5WWH0")</f>
        <v>M5WWH0</v>
      </c>
      <c r="D2306" s="2" t="s">
        <v>2220</v>
      </c>
      <c r="E2306" s="3">
        <v>2.5200000000000001E-38</v>
      </c>
      <c r="F2306" s="2">
        <v>351</v>
      </c>
      <c r="G2306" s="2">
        <v>100</v>
      </c>
      <c r="H2306" s="2">
        <v>68</v>
      </c>
      <c r="I2306" s="2">
        <v>463</v>
      </c>
      <c r="J2306" s="2">
        <v>666</v>
      </c>
      <c r="K2306" s="2">
        <v>1</v>
      </c>
      <c r="L2306" s="2">
        <v>68</v>
      </c>
    </row>
    <row r="2307" spans="1:12" x14ac:dyDescent="0.25">
      <c r="A2307" s="4" t="str">
        <f>HYPERLINK("http://www.rosaceae.org/Prunus/Prunus_persica/p.persica_gdr_reftransV1_0016932","p.persica_gdr_reftransV1_0016932")</f>
        <v>p.persica_gdr_reftransV1_0016932</v>
      </c>
      <c r="B2307" s="2">
        <v>1146</v>
      </c>
      <c r="C2307" s="4" t="str">
        <f>HYPERLINK("http://www.uniprot.org/uniprot/M5WVI3","M5WVI3")</f>
        <v>M5WVI3</v>
      </c>
      <c r="D2307" s="2" t="s">
        <v>2221</v>
      </c>
      <c r="E2307" s="3">
        <v>1.99E-140</v>
      </c>
      <c r="F2307" s="2">
        <v>1054</v>
      </c>
      <c r="G2307" s="2">
        <v>100</v>
      </c>
      <c r="H2307" s="2">
        <v>198</v>
      </c>
      <c r="I2307" s="2">
        <v>238</v>
      </c>
      <c r="J2307" s="2">
        <v>831</v>
      </c>
      <c r="K2307" s="2">
        <v>14</v>
      </c>
      <c r="L2307" s="2">
        <v>211</v>
      </c>
    </row>
    <row r="2308" spans="1:12" x14ac:dyDescent="0.25">
      <c r="A2308" s="4" t="str">
        <f>HYPERLINK("http://www.rosaceae.org/Prunus/Prunus_persica/p.persica_gdr_reftransV1_0017982","p.persica_gdr_reftransV1_0017982")</f>
        <v>p.persica_gdr_reftransV1_0017982</v>
      </c>
      <c r="B2308" s="2">
        <v>2076</v>
      </c>
      <c r="C2308" s="4" t="str">
        <f>HYPERLINK("http://www.uniprot.org/uniprot/M5W107","M5W107")</f>
        <v>M5W107</v>
      </c>
      <c r="D2308" s="2" t="s">
        <v>2222</v>
      </c>
      <c r="E2308" s="3">
        <v>3.5600000000000001E-128</v>
      </c>
      <c r="F2308" s="2">
        <v>1003</v>
      </c>
      <c r="G2308" s="2">
        <v>94</v>
      </c>
      <c r="H2308" s="2">
        <v>236</v>
      </c>
      <c r="I2308" s="2">
        <v>1090</v>
      </c>
      <c r="J2308" s="2">
        <v>1797</v>
      </c>
      <c r="K2308" s="2">
        <v>1</v>
      </c>
      <c r="L2308" s="2">
        <v>225</v>
      </c>
    </row>
    <row r="2309" spans="1:12" x14ac:dyDescent="0.25">
      <c r="A2309" s="4" t="str">
        <f>HYPERLINK("http://www.rosaceae.org/Prunus/Prunus_persica/p.persica_gdr_reftransV1_0018332","p.persica_gdr_reftransV1_0018332")</f>
        <v>p.persica_gdr_reftransV1_0018332</v>
      </c>
      <c r="B2309" s="2">
        <v>4215</v>
      </c>
      <c r="C2309" s="4" t="str">
        <f>HYPERLINK("http://www.uniprot.org/uniprot/M5WZP9","M5WZP9")</f>
        <v>M5WZP9</v>
      </c>
      <c r="D2309" s="2" t="s">
        <v>2223</v>
      </c>
      <c r="E2309" s="3">
        <v>0</v>
      </c>
      <c r="F2309" s="2">
        <v>3377</v>
      </c>
      <c r="G2309" s="2">
        <v>100</v>
      </c>
      <c r="H2309" s="2">
        <v>671</v>
      </c>
      <c r="I2309" s="2">
        <v>1229</v>
      </c>
      <c r="J2309" s="2">
        <v>3241</v>
      </c>
      <c r="K2309" s="2">
        <v>1</v>
      </c>
      <c r="L2309" s="2">
        <v>671</v>
      </c>
    </row>
    <row r="2310" spans="1:12" x14ac:dyDescent="0.25">
      <c r="A2310" s="4" t="str">
        <f>HYPERLINK("http://www.rosaceae.org/Prunus/Prunus_persica/p.persica_gdr_reftransV1_0020432","p.persica_gdr_reftransV1_0020432")</f>
        <v>p.persica_gdr_reftransV1_0020432</v>
      </c>
      <c r="B2310" s="2">
        <v>797</v>
      </c>
      <c r="C2310" s="4" t="str">
        <f>HYPERLINK("http://www.uniprot.org/uniprot/M5WIM4","M5WIM4")</f>
        <v>M5WIM4</v>
      </c>
      <c r="D2310" s="2" t="s">
        <v>2224</v>
      </c>
      <c r="E2310" s="3">
        <v>1.72E-71</v>
      </c>
      <c r="F2310" s="2">
        <v>580</v>
      </c>
      <c r="G2310" s="2">
        <v>100</v>
      </c>
      <c r="H2310" s="2">
        <v>136</v>
      </c>
      <c r="I2310" s="2">
        <v>388</v>
      </c>
      <c r="J2310" s="2">
        <v>795</v>
      </c>
      <c r="K2310" s="2">
        <v>17</v>
      </c>
      <c r="L2310" s="2">
        <v>152</v>
      </c>
    </row>
    <row r="2311" spans="1:12" x14ac:dyDescent="0.25">
      <c r="A2311" s="4" t="str">
        <f>HYPERLINK("http://www.rosaceae.org/Prunus/Prunus_persica/p.persica_gdr_reftransV1_0021832","p.persica_gdr_reftransV1_0021832")</f>
        <v>p.persica_gdr_reftransV1_0021832</v>
      </c>
      <c r="B2311" s="2">
        <v>477</v>
      </c>
      <c r="C2311" s="4" t="str">
        <f>HYPERLINK("http://www.uniprot.org/uniprot/M5W718","M5W718")</f>
        <v>M5W718</v>
      </c>
      <c r="D2311" s="2" t="s">
        <v>2225</v>
      </c>
      <c r="E2311" s="3">
        <v>4.8499999999999997E-44</v>
      </c>
      <c r="F2311" s="2">
        <v>413</v>
      </c>
      <c r="G2311" s="2">
        <v>100</v>
      </c>
      <c r="H2311" s="2">
        <v>100</v>
      </c>
      <c r="I2311" s="2">
        <v>1</v>
      </c>
      <c r="J2311" s="2">
        <v>300</v>
      </c>
      <c r="K2311" s="2">
        <v>601</v>
      </c>
      <c r="L2311" s="2">
        <v>700</v>
      </c>
    </row>
    <row r="2312" spans="1:12" x14ac:dyDescent="0.25">
      <c r="A2312" s="4" t="str">
        <f>HYPERLINK("http://www.rosaceae.org/Prunus/Prunus_persica/p.persica_gdr_reftransV1_0022182","p.persica_gdr_reftransV1_0022182")</f>
        <v>p.persica_gdr_reftransV1_0022182</v>
      </c>
      <c r="B2312" s="2">
        <v>1454</v>
      </c>
      <c r="C2312" s="4" t="str">
        <f>HYPERLINK("http://www.uniprot.org/uniprot/M5X013","M5X013")</f>
        <v>M5X013</v>
      </c>
      <c r="D2312" s="2" t="s">
        <v>2226</v>
      </c>
      <c r="E2312" s="3">
        <v>6.01E-38</v>
      </c>
      <c r="F2312" s="2">
        <v>381</v>
      </c>
      <c r="G2312" s="2">
        <v>99</v>
      </c>
      <c r="H2312" s="2">
        <v>101</v>
      </c>
      <c r="I2312" s="2">
        <v>3</v>
      </c>
      <c r="J2312" s="2">
        <v>305</v>
      </c>
      <c r="K2312" s="2">
        <v>218</v>
      </c>
      <c r="L2312" s="2">
        <v>317</v>
      </c>
    </row>
    <row r="2313" spans="1:12" x14ac:dyDescent="0.25">
      <c r="A2313" s="4" t="str">
        <f>HYPERLINK("http://www.rosaceae.org/Prunus/Prunus_persica/p.persica_gdr_reftransV1_0024982","p.persica_gdr_reftransV1_0024982")</f>
        <v>p.persica_gdr_reftransV1_0024982</v>
      </c>
      <c r="B2313" s="2">
        <v>2355</v>
      </c>
      <c r="C2313" s="4" t="str">
        <f>HYPERLINK("http://www.uniprot.org/uniprot/M5XCD6","M5XCD6")</f>
        <v>M5XCD6</v>
      </c>
      <c r="D2313" s="2" t="s">
        <v>2227</v>
      </c>
      <c r="E2313" s="3">
        <v>3.3600000000000001E-170</v>
      </c>
      <c r="F2313" s="2">
        <v>1311</v>
      </c>
      <c r="G2313" s="2">
        <v>77</v>
      </c>
      <c r="H2313" s="2">
        <v>334</v>
      </c>
      <c r="I2313" s="2">
        <v>1122</v>
      </c>
      <c r="J2313" s="2">
        <v>2096</v>
      </c>
      <c r="K2313" s="2">
        <v>132</v>
      </c>
      <c r="L2313" s="2">
        <v>420</v>
      </c>
    </row>
    <row r="2314" spans="1:12" x14ac:dyDescent="0.25">
      <c r="A2314" s="4" t="str">
        <f>HYPERLINK("http://www.rosaceae.org/Prunus/Prunus_persica/p.persica_gdr_reftransV1_0026732","p.persica_gdr_reftransV1_0026732")</f>
        <v>p.persica_gdr_reftransV1_0026732</v>
      </c>
      <c r="B2314" s="2">
        <v>845</v>
      </c>
      <c r="C2314" s="4" t="str">
        <f>HYPERLINK("http://www.uniprot.org/uniprot/M5WPC1","M5WPC1")</f>
        <v>M5WPC1</v>
      </c>
      <c r="D2314" s="2" t="s">
        <v>2228</v>
      </c>
      <c r="E2314" s="3">
        <v>1.04E-84</v>
      </c>
      <c r="F2314" s="2">
        <v>695</v>
      </c>
      <c r="G2314" s="2">
        <v>98</v>
      </c>
      <c r="H2314" s="2">
        <v>171</v>
      </c>
      <c r="I2314" s="2">
        <v>120</v>
      </c>
      <c r="J2314" s="2">
        <v>632</v>
      </c>
      <c r="K2314" s="2">
        <v>1</v>
      </c>
      <c r="L2314" s="2">
        <v>171</v>
      </c>
    </row>
    <row r="2315" spans="1:12" x14ac:dyDescent="0.25">
      <c r="A2315" s="4" t="str">
        <f>HYPERLINK("http://www.rosaceae.org/Prunus/Prunus_persica/p.persica_gdr_reftransV1_0029882","p.persica_gdr_reftransV1_0029882")</f>
        <v>p.persica_gdr_reftransV1_0029882</v>
      </c>
      <c r="B2315" s="2">
        <v>1665</v>
      </c>
      <c r="C2315" s="4" t="str">
        <f>HYPERLINK("http://www.uniprot.org/uniprot/M5W9E2","M5W9E2")</f>
        <v>M5W9E2</v>
      </c>
      <c r="D2315" s="2" t="s">
        <v>2229</v>
      </c>
      <c r="E2315" s="3">
        <v>0</v>
      </c>
      <c r="F2315" s="2">
        <v>1667</v>
      </c>
      <c r="G2315" s="2">
        <v>100</v>
      </c>
      <c r="H2315" s="2">
        <v>443</v>
      </c>
      <c r="I2315" s="2">
        <v>183</v>
      </c>
      <c r="J2315" s="2">
        <v>1511</v>
      </c>
      <c r="K2315" s="2">
        <v>1</v>
      </c>
      <c r="L2315" s="2">
        <v>443</v>
      </c>
    </row>
    <row r="2316" spans="1:12" x14ac:dyDescent="0.25">
      <c r="A2316" s="4" t="str">
        <f>HYPERLINK("http://www.rosaceae.org/Prunus/Prunus_persica/p.persica_gdr_reftransV1_0030232","p.persica_gdr_reftransV1_0030232")</f>
        <v>p.persica_gdr_reftransV1_0030232</v>
      </c>
      <c r="B2316" s="2">
        <v>2167</v>
      </c>
      <c r="C2316" s="4" t="str">
        <f>HYPERLINK("http://www.uniprot.org/uniprot/M5WUL6","M5WUL6")</f>
        <v>M5WUL6</v>
      </c>
      <c r="D2316" s="2" t="s">
        <v>2230</v>
      </c>
      <c r="E2316" s="3">
        <v>8.3699999999999999E-78</v>
      </c>
      <c r="F2316" s="2">
        <v>690</v>
      </c>
      <c r="G2316" s="2">
        <v>99</v>
      </c>
      <c r="H2316" s="2">
        <v>125</v>
      </c>
      <c r="I2316" s="2">
        <v>3</v>
      </c>
      <c r="J2316" s="2">
        <v>377</v>
      </c>
      <c r="K2316" s="2">
        <v>283</v>
      </c>
      <c r="L2316" s="2">
        <v>407</v>
      </c>
    </row>
    <row r="2317" spans="1:12" x14ac:dyDescent="0.25">
      <c r="A2317" s="4" t="str">
        <f>HYPERLINK("http://www.rosaceae.org/Prunus/Prunus_persica/p.persica_gdr_reftransV1_0030582","p.persica_gdr_reftransV1_0030582")</f>
        <v>p.persica_gdr_reftransV1_0030582</v>
      </c>
      <c r="B2317" s="2">
        <v>982</v>
      </c>
      <c r="C2317" s="4" t="str">
        <f>HYPERLINK("http://www.uniprot.org/uniprot/M5XKY9","M5XKY9")</f>
        <v>M5XKY9</v>
      </c>
      <c r="D2317" s="2" t="s">
        <v>2231</v>
      </c>
      <c r="E2317" s="3">
        <v>0</v>
      </c>
      <c r="F2317" s="2">
        <v>1590</v>
      </c>
      <c r="G2317" s="2">
        <v>100</v>
      </c>
      <c r="H2317" s="2">
        <v>327</v>
      </c>
      <c r="I2317" s="2">
        <v>1</v>
      </c>
      <c r="J2317" s="2">
        <v>981</v>
      </c>
      <c r="K2317" s="2">
        <v>375</v>
      </c>
      <c r="L2317" s="2">
        <v>701</v>
      </c>
    </row>
    <row r="2318" spans="1:12" x14ac:dyDescent="0.25">
      <c r="A2318" s="4" t="str">
        <f>HYPERLINK("http://www.rosaceae.org/Prunus/Prunus_persica/p.persica_gdr_reftransV1_0033382","p.persica_gdr_reftransV1_0033382")</f>
        <v>p.persica_gdr_reftransV1_0033382</v>
      </c>
      <c r="B2318" s="2">
        <v>2510</v>
      </c>
      <c r="C2318" s="4" t="str">
        <f>HYPERLINK("http://www.uniprot.org/uniprot/M5WS26","M5WS26")</f>
        <v>M5WS26</v>
      </c>
      <c r="D2318" s="2" t="s">
        <v>2232</v>
      </c>
      <c r="E2318" s="3">
        <v>0</v>
      </c>
      <c r="F2318" s="2">
        <v>1394</v>
      </c>
      <c r="G2318" s="2">
        <v>79</v>
      </c>
      <c r="H2318" s="2">
        <v>345</v>
      </c>
      <c r="I2318" s="2">
        <v>742</v>
      </c>
      <c r="J2318" s="2">
        <v>1776</v>
      </c>
      <c r="K2318" s="2">
        <v>241</v>
      </c>
      <c r="L2318" s="2">
        <v>512</v>
      </c>
    </row>
    <row r="2319" spans="1:12" x14ac:dyDescent="0.25">
      <c r="A2319" s="4" t="str">
        <f>HYPERLINK("http://www.rosaceae.org/Prunus/Prunus_persica/p.persica_gdr_reftransV1_0034782","p.persica_gdr_reftransV1_0034782")</f>
        <v>p.persica_gdr_reftransV1_0034782</v>
      </c>
      <c r="B2319" s="2">
        <v>754</v>
      </c>
      <c r="C2319" s="4" t="str">
        <f>HYPERLINK("http://www.uniprot.org/uniprot/M5W3U5","M5W3U5")</f>
        <v>M5W3U5</v>
      </c>
      <c r="D2319" s="2" t="s">
        <v>2233</v>
      </c>
      <c r="E2319" s="3">
        <v>3.4600000000000002E-73</v>
      </c>
      <c r="F2319" s="2">
        <v>640</v>
      </c>
      <c r="G2319" s="2">
        <v>100</v>
      </c>
      <c r="H2319" s="2">
        <v>132</v>
      </c>
      <c r="I2319" s="2">
        <v>2</v>
      </c>
      <c r="J2319" s="2">
        <v>397</v>
      </c>
      <c r="K2319" s="2">
        <v>813</v>
      </c>
      <c r="L2319" s="2">
        <v>944</v>
      </c>
    </row>
    <row r="2320" spans="1:12" x14ac:dyDescent="0.25">
      <c r="A2320" s="4" t="str">
        <f>HYPERLINK("http://www.rosaceae.org/Prunus/Prunus_persica/p.persica_gdr_reftransV1_0035132","p.persica_gdr_reftransV1_0035132")</f>
        <v>p.persica_gdr_reftransV1_0035132</v>
      </c>
      <c r="B2320" s="2">
        <v>2612</v>
      </c>
      <c r="C2320" s="4" t="str">
        <f>HYPERLINK("http://www.uniprot.org/uniprot/M5XW96","M5XW96")</f>
        <v>M5XW96</v>
      </c>
      <c r="D2320" s="2" t="s">
        <v>2234</v>
      </c>
      <c r="E2320" s="3">
        <v>1.61E-163</v>
      </c>
      <c r="F2320" s="2">
        <v>1257</v>
      </c>
      <c r="G2320" s="2">
        <v>98</v>
      </c>
      <c r="H2320" s="2">
        <v>236</v>
      </c>
      <c r="I2320" s="2">
        <v>1576</v>
      </c>
      <c r="J2320" s="2">
        <v>2283</v>
      </c>
      <c r="K2320" s="2">
        <v>20</v>
      </c>
      <c r="L2320" s="2">
        <v>255</v>
      </c>
    </row>
    <row r="2321" spans="1:12" x14ac:dyDescent="0.25">
      <c r="A2321" s="4" t="str">
        <f>HYPERLINK("http://www.rosaceae.org/Prunus/Prunus_persica/p.persica_gdr_reftransV1_0035832","p.persica_gdr_reftransV1_0035832")</f>
        <v>p.persica_gdr_reftransV1_0035832</v>
      </c>
      <c r="B2321" s="2">
        <v>3949</v>
      </c>
      <c r="C2321" s="4" t="str">
        <f>HYPERLINK("http://www.uniprot.org/uniprot/M5XKI0","M5XKI0")</f>
        <v>M5XKI0</v>
      </c>
      <c r="D2321" s="2" t="s">
        <v>2235</v>
      </c>
      <c r="E2321" s="3">
        <v>0</v>
      </c>
      <c r="F2321" s="2">
        <v>4950</v>
      </c>
      <c r="G2321" s="2">
        <v>99</v>
      </c>
      <c r="H2321" s="2">
        <v>1016</v>
      </c>
      <c r="I2321" s="2">
        <v>598</v>
      </c>
      <c r="J2321" s="2">
        <v>3645</v>
      </c>
      <c r="K2321" s="2">
        <v>1</v>
      </c>
      <c r="L2321" s="2">
        <v>1016</v>
      </c>
    </row>
    <row r="2322" spans="1:12" x14ac:dyDescent="0.25">
      <c r="A2322" s="4" t="str">
        <f>HYPERLINK("http://www.rosaceae.org/Prunus/Prunus_persica/p.persica_gdr_reftransV1_0042832","p.persica_gdr_reftransV1_0042832")</f>
        <v>p.persica_gdr_reftransV1_0042832</v>
      </c>
      <c r="B2322" s="2">
        <v>2831</v>
      </c>
      <c r="C2322" s="4" t="str">
        <f>HYPERLINK("http://www.uniprot.org/uniprot/M5VJP4","M5VJP4")</f>
        <v>M5VJP4</v>
      </c>
      <c r="D2322" s="2" t="s">
        <v>2236</v>
      </c>
      <c r="E2322" s="3">
        <v>0</v>
      </c>
      <c r="F2322" s="2">
        <v>2361</v>
      </c>
      <c r="G2322" s="2">
        <v>100</v>
      </c>
      <c r="H2322" s="2">
        <v>472</v>
      </c>
      <c r="I2322" s="2">
        <v>205</v>
      </c>
      <c r="J2322" s="2">
        <v>1620</v>
      </c>
      <c r="K2322" s="2">
        <v>1</v>
      </c>
      <c r="L2322" s="2">
        <v>472</v>
      </c>
    </row>
    <row r="2323" spans="1:12" x14ac:dyDescent="0.25">
      <c r="A2323" s="4" t="str">
        <f>HYPERLINK("http://www.rosaceae.org/Prunus/Prunus_persica/p.persica_gdr_reftransV1_0043182","p.persica_gdr_reftransV1_0043182")</f>
        <v>p.persica_gdr_reftransV1_0043182</v>
      </c>
      <c r="B2323" s="2">
        <v>561</v>
      </c>
      <c r="C2323" s="4" t="str">
        <f>HYPERLINK("http://www.uniprot.org/uniprot/M5X8L8","M5X8L8")</f>
        <v>M5X8L8</v>
      </c>
      <c r="D2323" s="2" t="s">
        <v>2237</v>
      </c>
      <c r="E2323" s="3">
        <v>1.5099999999999999E-81</v>
      </c>
      <c r="F2323" s="2">
        <v>484</v>
      </c>
      <c r="G2323" s="2">
        <v>94</v>
      </c>
      <c r="H2323" s="2">
        <v>96</v>
      </c>
      <c r="I2323" s="2">
        <v>76</v>
      </c>
      <c r="J2323" s="2">
        <v>363</v>
      </c>
      <c r="K2323" s="2">
        <v>190</v>
      </c>
      <c r="L2323" s="2">
        <v>285</v>
      </c>
    </row>
    <row r="2324" spans="1:12" x14ac:dyDescent="0.25">
      <c r="A2324" s="4" t="str">
        <f>HYPERLINK("http://www.rosaceae.org/Prunus/Prunus_persica/p.persica_gdr_reftransV1_0043532","p.persica_gdr_reftransV1_0043532")</f>
        <v>p.persica_gdr_reftransV1_0043532</v>
      </c>
      <c r="B2324" s="2">
        <v>1886</v>
      </c>
      <c r="C2324" s="4" t="str">
        <f>HYPERLINK("http://www.uniprot.org/uniprot/M5W270","M5W270")</f>
        <v>M5W270</v>
      </c>
      <c r="D2324" s="2" t="s">
        <v>2238</v>
      </c>
      <c r="E2324" s="3">
        <v>0</v>
      </c>
      <c r="F2324" s="2">
        <v>2387</v>
      </c>
      <c r="G2324" s="2">
        <v>100</v>
      </c>
      <c r="H2324" s="2">
        <v>503</v>
      </c>
      <c r="I2324" s="2">
        <v>377</v>
      </c>
      <c r="J2324" s="2">
        <v>1885</v>
      </c>
      <c r="K2324" s="2">
        <v>1481</v>
      </c>
      <c r="L2324" s="2">
        <v>1983</v>
      </c>
    </row>
    <row r="2325" spans="1:12" x14ac:dyDescent="0.25">
      <c r="A2325" s="4" t="str">
        <f>HYPERLINK("http://www.rosaceae.org/Prunus/Prunus_persica/p.persica_gdr_reftransV1_0044232","p.persica_gdr_reftransV1_0044232")</f>
        <v>p.persica_gdr_reftransV1_0044232</v>
      </c>
      <c r="B2325" s="2">
        <v>2563</v>
      </c>
      <c r="C2325" s="4" t="str">
        <f>HYPERLINK("http://www.uniprot.org/uniprot/M5VVC9","M5VVC9")</f>
        <v>M5VVC9</v>
      </c>
      <c r="D2325" s="2" t="s">
        <v>2239</v>
      </c>
      <c r="E2325" s="3">
        <v>0</v>
      </c>
      <c r="F2325" s="2">
        <v>3771</v>
      </c>
      <c r="G2325" s="2">
        <v>94</v>
      </c>
      <c r="H2325" s="2">
        <v>829</v>
      </c>
      <c r="I2325" s="2">
        <v>172</v>
      </c>
      <c r="J2325" s="2">
        <v>2562</v>
      </c>
      <c r="K2325" s="2">
        <v>986</v>
      </c>
      <c r="L2325" s="2">
        <v>1814</v>
      </c>
    </row>
    <row r="2326" spans="1:12" x14ac:dyDescent="0.25">
      <c r="A2326" s="4" t="str">
        <f>HYPERLINK("http://www.rosaceae.org/Prunus/Prunus_persica/p.persica_gdr_reftransV1_0044582","p.persica_gdr_reftransV1_0044582")</f>
        <v>p.persica_gdr_reftransV1_0044582</v>
      </c>
      <c r="B2326" s="2">
        <v>1256</v>
      </c>
      <c r="C2326" s="4" t="str">
        <f>HYPERLINK("http://www.uniprot.org/uniprot/M5X3H8","M5X3H8")</f>
        <v>M5X3H8</v>
      </c>
      <c r="D2326" s="2" t="s">
        <v>2240</v>
      </c>
      <c r="E2326" s="3">
        <v>3.2299999999999999E-151</v>
      </c>
      <c r="F2326" s="2">
        <v>1133</v>
      </c>
      <c r="G2326" s="2">
        <v>100</v>
      </c>
      <c r="H2326" s="2">
        <v>251</v>
      </c>
      <c r="I2326" s="2">
        <v>401</v>
      </c>
      <c r="J2326" s="2">
        <v>1153</v>
      </c>
      <c r="K2326" s="2">
        <v>1</v>
      </c>
      <c r="L2326" s="2">
        <v>251</v>
      </c>
    </row>
    <row r="2327" spans="1:12" x14ac:dyDescent="0.25">
      <c r="A2327" s="4" t="str">
        <f>HYPERLINK("http://www.rosaceae.org/Prunus/Prunus_persica/p.persica_gdr_reftransV1_0044932","p.persica_gdr_reftransV1_0044932")</f>
        <v>p.persica_gdr_reftransV1_0044932</v>
      </c>
      <c r="B2327" s="2">
        <v>527</v>
      </c>
      <c r="C2327" s="4" t="str">
        <f>HYPERLINK("http://www.uniprot.org/uniprot/M5XZ01","M5XZ01")</f>
        <v>M5XZ01</v>
      </c>
      <c r="D2327" s="2" t="s">
        <v>2241</v>
      </c>
      <c r="E2327" s="3">
        <v>1.22E-95</v>
      </c>
      <c r="F2327" s="2">
        <v>758</v>
      </c>
      <c r="G2327" s="2">
        <v>89</v>
      </c>
      <c r="H2327" s="2">
        <v>166</v>
      </c>
      <c r="I2327" s="2">
        <v>28</v>
      </c>
      <c r="J2327" s="2">
        <v>525</v>
      </c>
      <c r="K2327" s="2">
        <v>309</v>
      </c>
      <c r="L2327" s="2">
        <v>455</v>
      </c>
    </row>
    <row r="2328" spans="1:12" x14ac:dyDescent="0.25">
      <c r="A2328" s="4" t="str">
        <f>HYPERLINK("http://www.rosaceae.org/Prunus/Prunus_persica/p.persica_gdr_reftransV1_0045982","p.persica_gdr_reftransV1_0045982")</f>
        <v>p.persica_gdr_reftransV1_0045982</v>
      </c>
      <c r="B2328" s="2">
        <v>2172</v>
      </c>
      <c r="C2328" s="4" t="str">
        <f>HYPERLINK("http://www.uniprot.org/uniprot/M5WF73","M5WF73")</f>
        <v>M5WF73</v>
      </c>
      <c r="D2328" s="2" t="s">
        <v>2242</v>
      </c>
      <c r="E2328" s="3">
        <v>0</v>
      </c>
      <c r="F2328" s="2">
        <v>3020</v>
      </c>
      <c r="G2328" s="2">
        <v>100</v>
      </c>
      <c r="H2328" s="2">
        <v>605</v>
      </c>
      <c r="I2328" s="2">
        <v>300</v>
      </c>
      <c r="J2328" s="2">
        <v>2114</v>
      </c>
      <c r="K2328" s="2">
        <v>1</v>
      </c>
      <c r="L2328" s="2">
        <v>605</v>
      </c>
    </row>
    <row r="2329" spans="1:12" x14ac:dyDescent="0.25">
      <c r="A2329" s="4" t="str">
        <f>HYPERLINK("http://www.rosaceae.org/Prunus/Prunus_persica/p.persica_gdr_reftransV1_0046332","p.persica_gdr_reftransV1_0046332")</f>
        <v>p.persica_gdr_reftransV1_0046332</v>
      </c>
      <c r="B2329" s="2">
        <v>1106</v>
      </c>
      <c r="C2329" s="4" t="str">
        <f>HYPERLINK("http://www.uniprot.org/uniprot/M5WUL6","M5WUL6")</f>
        <v>M5WUL6</v>
      </c>
      <c r="D2329" s="2" t="s">
        <v>2230</v>
      </c>
      <c r="E2329" s="3">
        <v>0</v>
      </c>
      <c r="F2329" s="2">
        <v>1602</v>
      </c>
      <c r="G2329" s="2">
        <v>100</v>
      </c>
      <c r="H2329" s="2">
        <v>292</v>
      </c>
      <c r="I2329" s="2">
        <v>230</v>
      </c>
      <c r="J2329" s="2">
        <v>1105</v>
      </c>
      <c r="K2329" s="2">
        <v>230</v>
      </c>
      <c r="L2329" s="2">
        <v>521</v>
      </c>
    </row>
    <row r="2330" spans="1:12" x14ac:dyDescent="0.25">
      <c r="A2330" s="4" t="str">
        <f>HYPERLINK("http://www.rosaceae.org/Prunus/Prunus_persica/p.persica_gdr_reftransV1_0046682","p.persica_gdr_reftransV1_0046682")</f>
        <v>p.persica_gdr_reftransV1_0046682</v>
      </c>
      <c r="B2330" s="2">
        <v>3619</v>
      </c>
      <c r="C2330" s="4" t="str">
        <f>HYPERLINK("http://www.uniprot.org/uniprot/M5XJR1","M5XJR1")</f>
        <v>M5XJR1</v>
      </c>
      <c r="D2330" s="2" t="s">
        <v>2243</v>
      </c>
      <c r="E2330" s="3">
        <v>0</v>
      </c>
      <c r="F2330" s="2">
        <v>2298</v>
      </c>
      <c r="G2330" s="2">
        <v>98</v>
      </c>
      <c r="H2330" s="2">
        <v>440</v>
      </c>
      <c r="I2330" s="2">
        <v>176</v>
      </c>
      <c r="J2330" s="2">
        <v>1495</v>
      </c>
      <c r="K2330" s="2">
        <v>1</v>
      </c>
      <c r="L2330" s="2">
        <v>440</v>
      </c>
    </row>
    <row r="2331" spans="1:12" x14ac:dyDescent="0.25">
      <c r="A2331" s="4" t="str">
        <f>HYPERLINK("http://www.rosaceae.org/Prunus/Prunus_persica/p.persica_gdr_reftransV1_0047032","p.persica_gdr_reftransV1_0047032")</f>
        <v>p.persica_gdr_reftransV1_0047032</v>
      </c>
      <c r="B2331" s="2">
        <v>1531</v>
      </c>
      <c r="C2331" s="4" t="str">
        <f>HYPERLINK("http://www.uniprot.org/uniprot/M5XKZ5","M5XKZ5")</f>
        <v>M5XKZ5</v>
      </c>
      <c r="D2331" s="2" t="s">
        <v>2244</v>
      </c>
      <c r="E2331" s="3">
        <v>0</v>
      </c>
      <c r="F2331" s="2">
        <v>1918</v>
      </c>
      <c r="G2331" s="2">
        <v>91</v>
      </c>
      <c r="H2331" s="2">
        <v>405</v>
      </c>
      <c r="I2331" s="2">
        <v>241</v>
      </c>
      <c r="J2331" s="2">
        <v>1455</v>
      </c>
      <c r="K2331" s="2">
        <v>1</v>
      </c>
      <c r="L2331" s="2">
        <v>403</v>
      </c>
    </row>
    <row r="2332" spans="1:12" x14ac:dyDescent="0.25">
      <c r="A2332" s="4" t="str">
        <f>HYPERLINK("http://www.rosaceae.org/Prunus/Prunus_persica/p.persica_gdr_reftransV1_0047382","p.persica_gdr_reftransV1_0047382")</f>
        <v>p.persica_gdr_reftransV1_0047382</v>
      </c>
      <c r="B2332" s="2">
        <v>2144</v>
      </c>
      <c r="C2332" s="4" t="str">
        <f>HYPERLINK("http://www.uniprot.org/uniprot/M5WCD8","M5WCD8")</f>
        <v>M5WCD8</v>
      </c>
      <c r="D2332" s="2" t="s">
        <v>2245</v>
      </c>
      <c r="E2332" s="3">
        <v>0</v>
      </c>
      <c r="F2332" s="2">
        <v>2924</v>
      </c>
      <c r="G2332" s="2">
        <v>94</v>
      </c>
      <c r="H2332" s="2">
        <v>589</v>
      </c>
      <c r="I2332" s="2">
        <v>2</v>
      </c>
      <c r="J2332" s="2">
        <v>1768</v>
      </c>
      <c r="K2332" s="2">
        <v>368</v>
      </c>
      <c r="L2332" s="2">
        <v>955</v>
      </c>
    </row>
    <row r="2333" spans="1:12" x14ac:dyDescent="0.25">
      <c r="A2333" s="4" t="str">
        <f>HYPERLINK("http://www.rosaceae.org/Prunus/Prunus_persica/p.persica_gdr_reftransV1_0047732","p.persica_gdr_reftransV1_0047732")</f>
        <v>p.persica_gdr_reftransV1_0047732</v>
      </c>
      <c r="B2333" s="2">
        <v>4551</v>
      </c>
      <c r="C2333" s="4" t="str">
        <f>HYPERLINK("http://www.uniprot.org/uniprot/M5WQS6","M5WQS6")</f>
        <v>M5WQS6</v>
      </c>
      <c r="D2333" s="2" t="s">
        <v>2246</v>
      </c>
      <c r="E2333" s="3">
        <v>0</v>
      </c>
      <c r="F2333" s="2">
        <v>4434</v>
      </c>
      <c r="G2333" s="2">
        <v>100</v>
      </c>
      <c r="H2333" s="2">
        <v>956</v>
      </c>
      <c r="I2333" s="2">
        <v>215</v>
      </c>
      <c r="J2333" s="2">
        <v>3082</v>
      </c>
      <c r="K2333" s="2">
        <v>1</v>
      </c>
      <c r="L2333" s="2">
        <v>956</v>
      </c>
    </row>
    <row r="2334" spans="1:12" x14ac:dyDescent="0.25">
      <c r="A2334" s="4" t="str">
        <f>HYPERLINK("http://www.rosaceae.org/Prunus/Prunus_persica/p.persica_gdr_reftransV1_0048082","p.persica_gdr_reftransV1_0048082")</f>
        <v>p.persica_gdr_reftransV1_0048082</v>
      </c>
      <c r="B2334" s="2">
        <v>654</v>
      </c>
      <c r="C2334" s="4" t="str">
        <f>HYPERLINK("http://www.uniprot.org/uniprot/M5Y5I2","M5Y5I2")</f>
        <v>M5Y5I2</v>
      </c>
      <c r="D2334" s="2" t="s">
        <v>2247</v>
      </c>
      <c r="E2334" s="3">
        <v>9.3500000000000005E-85</v>
      </c>
      <c r="F2334" s="2">
        <v>665</v>
      </c>
      <c r="G2334" s="2">
        <v>99</v>
      </c>
      <c r="H2334" s="2">
        <v>151</v>
      </c>
      <c r="I2334" s="2">
        <v>131</v>
      </c>
      <c r="J2334" s="2">
        <v>583</v>
      </c>
      <c r="K2334" s="2">
        <v>23</v>
      </c>
      <c r="L2334" s="2">
        <v>173</v>
      </c>
    </row>
    <row r="2335" spans="1:12" x14ac:dyDescent="0.25">
      <c r="A2335" s="4" t="str">
        <f>HYPERLINK("http://www.rosaceae.org/Prunus/Prunus_persica/p.persica_gdr_reftransV1_0048432","p.persica_gdr_reftransV1_0048432")</f>
        <v>p.persica_gdr_reftransV1_0048432</v>
      </c>
      <c r="B2335" s="2">
        <v>4340</v>
      </c>
      <c r="C2335" s="4" t="str">
        <f>HYPERLINK("http://www.uniprot.org/uniprot/M5X627","M5X627")</f>
        <v>M5X627</v>
      </c>
      <c r="D2335" s="2" t="s">
        <v>2248</v>
      </c>
      <c r="E2335" s="3">
        <v>0</v>
      </c>
      <c r="F2335" s="2">
        <v>6470</v>
      </c>
      <c r="G2335" s="2">
        <v>100</v>
      </c>
      <c r="H2335" s="2">
        <v>1302</v>
      </c>
      <c r="I2335" s="2">
        <v>150</v>
      </c>
      <c r="J2335" s="2">
        <v>4055</v>
      </c>
      <c r="K2335" s="2">
        <v>1</v>
      </c>
      <c r="L2335" s="2">
        <v>1302</v>
      </c>
    </row>
    <row r="2336" spans="1:12" x14ac:dyDescent="0.25">
      <c r="A2336" s="4" t="str">
        <f>HYPERLINK("http://www.rosaceae.org/Prunus/Prunus_persica/p.persica_gdr_reftransV1_0049132","p.persica_gdr_reftransV1_0049132")</f>
        <v>p.persica_gdr_reftransV1_0049132</v>
      </c>
      <c r="B2336" s="2">
        <v>2673</v>
      </c>
      <c r="C2336" s="4" t="str">
        <f>HYPERLINK("http://www.uniprot.org/uniprot/M5XX50","M5XX50")</f>
        <v>M5XX50</v>
      </c>
      <c r="D2336" s="2" t="s">
        <v>2249</v>
      </c>
      <c r="E2336" s="3">
        <v>0</v>
      </c>
      <c r="F2336" s="2">
        <v>3357</v>
      </c>
      <c r="G2336" s="2">
        <v>100</v>
      </c>
      <c r="H2336" s="2">
        <v>639</v>
      </c>
      <c r="I2336" s="2">
        <v>344</v>
      </c>
      <c r="J2336" s="2">
        <v>2260</v>
      </c>
      <c r="K2336" s="2">
        <v>1</v>
      </c>
      <c r="L2336" s="2">
        <v>639</v>
      </c>
    </row>
    <row r="2337" spans="1:12" x14ac:dyDescent="0.25">
      <c r="A2337" s="4" t="str">
        <f>HYPERLINK("http://www.rosaceae.org/Prunus/Prunus_persica/p.persica_gdr_reftransV1_0000133","p.persica_gdr_reftransV1_0000133")</f>
        <v>p.persica_gdr_reftransV1_0000133</v>
      </c>
      <c r="B2337" s="2">
        <v>1203</v>
      </c>
      <c r="C2337" s="4" t="str">
        <f>HYPERLINK("http://www.uniprot.org/uniprot/M5VZV0","M5VZV0")</f>
        <v>M5VZV0</v>
      </c>
      <c r="D2337" s="2" t="s">
        <v>2250</v>
      </c>
      <c r="E2337" s="3">
        <v>1.01E-147</v>
      </c>
      <c r="F2337" s="2">
        <v>1107</v>
      </c>
      <c r="G2337" s="2">
        <v>100</v>
      </c>
      <c r="H2337" s="2">
        <v>240</v>
      </c>
      <c r="I2337" s="2">
        <v>94</v>
      </c>
      <c r="J2337" s="2">
        <v>813</v>
      </c>
      <c r="K2337" s="2">
        <v>1</v>
      </c>
      <c r="L2337" s="2">
        <v>240</v>
      </c>
    </row>
    <row r="2338" spans="1:12" x14ac:dyDescent="0.25">
      <c r="A2338" s="4" t="str">
        <f>HYPERLINK("http://www.rosaceae.org/Prunus/Prunus_persica/p.persica_gdr_reftransV1_0000833","p.persica_gdr_reftransV1_0000833")</f>
        <v>p.persica_gdr_reftransV1_0000833</v>
      </c>
      <c r="B2338" s="2">
        <v>994</v>
      </c>
      <c r="C2338" s="4" t="str">
        <f>HYPERLINK("http://www.uniprot.org/uniprot/M5W9W0","M5W9W0")</f>
        <v>M5W9W0</v>
      </c>
      <c r="D2338" s="2" t="s">
        <v>2251</v>
      </c>
      <c r="E2338" s="3">
        <v>1.4799999999999999E-84</v>
      </c>
      <c r="F2338" s="2">
        <v>671</v>
      </c>
      <c r="G2338" s="2">
        <v>100</v>
      </c>
      <c r="H2338" s="2">
        <v>125</v>
      </c>
      <c r="I2338" s="2">
        <v>451</v>
      </c>
      <c r="J2338" s="2">
        <v>825</v>
      </c>
      <c r="K2338" s="2">
        <v>1</v>
      </c>
      <c r="L2338" s="2">
        <v>125</v>
      </c>
    </row>
    <row r="2339" spans="1:12" x14ac:dyDescent="0.25">
      <c r="A2339" s="4" t="str">
        <f>HYPERLINK("http://www.rosaceae.org/Prunus/Prunus_persica/p.persica_gdr_reftransV1_0001183","p.persica_gdr_reftransV1_0001183")</f>
        <v>p.persica_gdr_reftransV1_0001183</v>
      </c>
      <c r="B2339" s="2">
        <v>448</v>
      </c>
      <c r="C2339" s="4" t="str">
        <f>HYPERLINK("http://www.uniprot.org/uniprot/M5X0E5","M5X0E5")</f>
        <v>M5X0E5</v>
      </c>
      <c r="D2339" s="2" t="s">
        <v>1447</v>
      </c>
      <c r="E2339" s="3">
        <v>1.6200000000000001E-90</v>
      </c>
      <c r="F2339" s="2">
        <v>761</v>
      </c>
      <c r="G2339" s="2">
        <v>100</v>
      </c>
      <c r="H2339" s="2">
        <v>148</v>
      </c>
      <c r="I2339" s="2">
        <v>3</v>
      </c>
      <c r="J2339" s="2">
        <v>446</v>
      </c>
      <c r="K2339" s="2">
        <v>963</v>
      </c>
      <c r="L2339" s="2">
        <v>1110</v>
      </c>
    </row>
    <row r="2340" spans="1:12" x14ac:dyDescent="0.25">
      <c r="A2340" s="4" t="str">
        <f>HYPERLINK("http://www.rosaceae.org/Prunus/Prunus_persica/p.persica_gdr_reftransV1_0001533","p.persica_gdr_reftransV1_0001533")</f>
        <v>p.persica_gdr_reftransV1_0001533</v>
      </c>
      <c r="B2340" s="2">
        <v>703</v>
      </c>
      <c r="C2340" s="4" t="str">
        <f>HYPERLINK("http://www.uniprot.org/uniprot/M5WH36","M5WH36")</f>
        <v>M5WH36</v>
      </c>
      <c r="D2340" s="2" t="s">
        <v>2252</v>
      </c>
      <c r="E2340" s="3">
        <v>1.8199999999999999E-112</v>
      </c>
      <c r="F2340" s="2">
        <v>880</v>
      </c>
      <c r="G2340" s="2">
        <v>83</v>
      </c>
      <c r="H2340" s="2">
        <v>213</v>
      </c>
      <c r="I2340" s="2">
        <v>68</v>
      </c>
      <c r="J2340" s="2">
        <v>703</v>
      </c>
      <c r="K2340" s="2">
        <v>77</v>
      </c>
      <c r="L2340" s="2">
        <v>266</v>
      </c>
    </row>
    <row r="2341" spans="1:12" x14ac:dyDescent="0.25">
      <c r="A2341" s="4" t="str">
        <f>HYPERLINK("http://www.rosaceae.org/Prunus/Prunus_persica/p.persica_gdr_reftransV1_0001883","p.persica_gdr_reftransV1_0001883")</f>
        <v>p.persica_gdr_reftransV1_0001883</v>
      </c>
      <c r="B2341" s="2">
        <v>2605</v>
      </c>
      <c r="C2341" s="4" t="str">
        <f>HYPERLINK("http://www.uniprot.org/uniprot/M5WIE6","M5WIE6")</f>
        <v>M5WIE6</v>
      </c>
      <c r="D2341" s="2" t="s">
        <v>2253</v>
      </c>
      <c r="E2341" s="3">
        <v>0</v>
      </c>
      <c r="F2341" s="2">
        <v>2713</v>
      </c>
      <c r="G2341" s="2">
        <v>100</v>
      </c>
      <c r="H2341" s="2">
        <v>523</v>
      </c>
      <c r="I2341" s="2">
        <v>109</v>
      </c>
      <c r="J2341" s="2">
        <v>1677</v>
      </c>
      <c r="K2341" s="2">
        <v>1</v>
      </c>
      <c r="L2341" s="2">
        <v>523</v>
      </c>
    </row>
    <row r="2342" spans="1:12" x14ac:dyDescent="0.25">
      <c r="A2342" s="4" t="str">
        <f>HYPERLINK("http://www.rosaceae.org/Prunus/Prunus_persica/p.persica_gdr_reftransV1_0002233","p.persica_gdr_reftransV1_0002233")</f>
        <v>p.persica_gdr_reftransV1_0002233</v>
      </c>
      <c r="B2342" s="2">
        <v>481</v>
      </c>
      <c r="C2342" s="4" t="str">
        <f>HYPERLINK("http://www.uniprot.org/uniprot/M5W5S6","M5W5S6")</f>
        <v>M5W5S6</v>
      </c>
      <c r="D2342" s="2" t="s">
        <v>2254</v>
      </c>
      <c r="E2342" s="3">
        <v>3.7300000000000003E-108</v>
      </c>
      <c r="F2342" s="2">
        <v>844</v>
      </c>
      <c r="G2342" s="2">
        <v>100</v>
      </c>
      <c r="H2342" s="2">
        <v>160</v>
      </c>
      <c r="I2342" s="2">
        <v>1</v>
      </c>
      <c r="J2342" s="2">
        <v>480</v>
      </c>
      <c r="K2342" s="2">
        <v>285</v>
      </c>
      <c r="L2342" s="2">
        <v>444</v>
      </c>
    </row>
    <row r="2343" spans="1:12" x14ac:dyDescent="0.25">
      <c r="A2343" s="4" t="str">
        <f>HYPERLINK("http://www.rosaceae.org/Prunus/Prunus_persica/p.persica_gdr_reftransV1_0002933","p.persica_gdr_reftransV1_0002933")</f>
        <v>p.persica_gdr_reftransV1_0002933</v>
      </c>
      <c r="B2343" s="2">
        <v>1163</v>
      </c>
      <c r="C2343" s="4" t="str">
        <f>HYPERLINK("http://www.uniprot.org/uniprot/M5XAX9","M5XAX9")</f>
        <v>M5XAX9</v>
      </c>
      <c r="D2343" s="2" t="s">
        <v>2255</v>
      </c>
      <c r="E2343" s="3">
        <v>4.1599999999999998E-156</v>
      </c>
      <c r="F2343" s="2">
        <v>1202</v>
      </c>
      <c r="G2343" s="2">
        <v>79</v>
      </c>
      <c r="H2343" s="2">
        <v>374</v>
      </c>
      <c r="I2343" s="2">
        <v>2</v>
      </c>
      <c r="J2343" s="2">
        <v>1123</v>
      </c>
      <c r="K2343" s="2">
        <v>115</v>
      </c>
      <c r="L2343" s="2">
        <v>439</v>
      </c>
    </row>
    <row r="2344" spans="1:12" x14ac:dyDescent="0.25">
      <c r="A2344" s="4" t="str">
        <f>HYPERLINK("http://www.rosaceae.org/Prunus/Prunus_persica/p.persica_gdr_reftransV1_0003283","p.persica_gdr_reftransV1_0003283")</f>
        <v>p.persica_gdr_reftransV1_0003283</v>
      </c>
      <c r="B2344" s="2">
        <v>374</v>
      </c>
      <c r="C2344" s="4" t="str">
        <f>HYPERLINK("http://www.uniprot.org/uniprot/M5XN99","M5XN99")</f>
        <v>M5XN99</v>
      </c>
      <c r="D2344" s="2" t="s">
        <v>2256</v>
      </c>
      <c r="E2344" s="3">
        <v>8.2100000000000003E-72</v>
      </c>
      <c r="F2344" s="2">
        <v>583</v>
      </c>
      <c r="G2344" s="2">
        <v>100</v>
      </c>
      <c r="H2344" s="2">
        <v>110</v>
      </c>
      <c r="I2344" s="2">
        <v>1</v>
      </c>
      <c r="J2344" s="2">
        <v>330</v>
      </c>
      <c r="K2344" s="2">
        <v>1</v>
      </c>
      <c r="L2344" s="2">
        <v>110</v>
      </c>
    </row>
    <row r="2345" spans="1:12" x14ac:dyDescent="0.25">
      <c r="A2345" s="4" t="str">
        <f>HYPERLINK("http://www.rosaceae.org/Prunus/Prunus_persica/p.persica_gdr_reftransV1_0003633","p.persica_gdr_reftransV1_0003633")</f>
        <v>p.persica_gdr_reftransV1_0003633</v>
      </c>
      <c r="B2345" s="2">
        <v>700</v>
      </c>
      <c r="C2345" s="4" t="str">
        <f>HYPERLINK("http://www.uniprot.org/uniprot/M5WKL3","M5WKL3")</f>
        <v>M5WKL3</v>
      </c>
      <c r="D2345" s="2" t="s">
        <v>2257</v>
      </c>
      <c r="E2345" s="3">
        <v>6.9000000000000005E-76</v>
      </c>
      <c r="F2345" s="2">
        <v>603</v>
      </c>
      <c r="G2345" s="2">
        <v>100</v>
      </c>
      <c r="H2345" s="2">
        <v>118</v>
      </c>
      <c r="I2345" s="2">
        <v>155</v>
      </c>
      <c r="J2345" s="2">
        <v>508</v>
      </c>
      <c r="K2345" s="2">
        <v>1</v>
      </c>
      <c r="L2345" s="2">
        <v>118</v>
      </c>
    </row>
    <row r="2346" spans="1:12" x14ac:dyDescent="0.25">
      <c r="A2346" s="4" t="str">
        <f>HYPERLINK("http://www.rosaceae.org/Prunus/Prunus_persica/p.persica_gdr_reftransV1_0003983","p.persica_gdr_reftransV1_0003983")</f>
        <v>p.persica_gdr_reftransV1_0003983</v>
      </c>
      <c r="B2346" s="2">
        <v>610</v>
      </c>
      <c r="C2346" s="4" t="str">
        <f>HYPERLINK("http://www.uniprot.org/uniprot/W7MSH8","W7MSH8")</f>
        <v>W7MSH8</v>
      </c>
      <c r="D2346" s="2" t="s">
        <v>2258</v>
      </c>
      <c r="E2346" s="3">
        <v>4.1100000000000003E-115</v>
      </c>
      <c r="F2346" s="2">
        <v>900</v>
      </c>
      <c r="G2346" s="2">
        <v>90</v>
      </c>
      <c r="H2346" s="2">
        <v>203</v>
      </c>
      <c r="I2346" s="2">
        <v>1</v>
      </c>
      <c r="J2346" s="2">
        <v>609</v>
      </c>
      <c r="K2346" s="2">
        <v>61</v>
      </c>
      <c r="L2346" s="2">
        <v>263</v>
      </c>
    </row>
    <row r="2347" spans="1:12" x14ac:dyDescent="0.25">
      <c r="A2347" s="4" t="str">
        <f>HYPERLINK("http://www.rosaceae.org/Prunus/Prunus_persica/p.persica_gdr_reftransV1_0004333","p.persica_gdr_reftransV1_0004333")</f>
        <v>p.persica_gdr_reftransV1_0004333</v>
      </c>
      <c r="B2347" s="2">
        <v>897</v>
      </c>
      <c r="C2347" s="4" t="str">
        <f>HYPERLINK("http://www.uniprot.org/uniprot/M5WE81","M5WE81")</f>
        <v>M5WE81</v>
      </c>
      <c r="D2347" s="2" t="s">
        <v>2259</v>
      </c>
      <c r="E2347" s="3">
        <v>2.0000000000000001E-122</v>
      </c>
      <c r="F2347" s="2">
        <v>964</v>
      </c>
      <c r="G2347" s="2">
        <v>100</v>
      </c>
      <c r="H2347" s="2">
        <v>228</v>
      </c>
      <c r="I2347" s="2">
        <v>2</v>
      </c>
      <c r="J2347" s="2">
        <v>685</v>
      </c>
      <c r="K2347" s="2">
        <v>1</v>
      </c>
      <c r="L2347" s="2">
        <v>228</v>
      </c>
    </row>
    <row r="2348" spans="1:12" x14ac:dyDescent="0.25">
      <c r="A2348" s="4" t="str">
        <f>HYPERLINK("http://www.rosaceae.org/Prunus/Prunus_persica/p.persica_gdr_reftransV1_0004683","p.persica_gdr_reftransV1_0004683")</f>
        <v>p.persica_gdr_reftransV1_0004683</v>
      </c>
      <c r="B2348" s="2">
        <v>3429</v>
      </c>
      <c r="C2348" s="4" t="str">
        <f>HYPERLINK("http://www.uniprot.org/uniprot/M5WPQ6","M5WPQ6")</f>
        <v>M5WPQ6</v>
      </c>
      <c r="D2348" s="2" t="s">
        <v>2260</v>
      </c>
      <c r="E2348" s="3">
        <v>0</v>
      </c>
      <c r="F2348" s="2">
        <v>5269</v>
      </c>
      <c r="G2348" s="2">
        <v>96</v>
      </c>
      <c r="H2348" s="2">
        <v>1060</v>
      </c>
      <c r="I2348" s="2">
        <v>137</v>
      </c>
      <c r="J2348" s="2">
        <v>3316</v>
      </c>
      <c r="K2348" s="2">
        <v>1</v>
      </c>
      <c r="L2348" s="2">
        <v>1017</v>
      </c>
    </row>
    <row r="2349" spans="1:12" x14ac:dyDescent="0.25">
      <c r="A2349" s="4" t="str">
        <f>HYPERLINK("http://www.rosaceae.org/Prunus/Prunus_persica/p.persica_gdr_reftransV1_0005383","p.persica_gdr_reftransV1_0005383")</f>
        <v>p.persica_gdr_reftransV1_0005383</v>
      </c>
      <c r="B2349" s="2">
        <v>1620</v>
      </c>
      <c r="C2349" s="4" t="str">
        <f>HYPERLINK("http://www.uniprot.org/uniprot/M5WAW1","M5WAW1")</f>
        <v>M5WAW1</v>
      </c>
      <c r="D2349" s="2" t="s">
        <v>2261</v>
      </c>
      <c r="E2349" s="3">
        <v>0</v>
      </c>
      <c r="F2349" s="2">
        <v>2096</v>
      </c>
      <c r="G2349" s="2">
        <v>100</v>
      </c>
      <c r="H2349" s="2">
        <v>448</v>
      </c>
      <c r="I2349" s="2">
        <v>181</v>
      </c>
      <c r="J2349" s="2">
        <v>1524</v>
      </c>
      <c r="K2349" s="2">
        <v>1</v>
      </c>
      <c r="L2349" s="2">
        <v>448</v>
      </c>
    </row>
    <row r="2350" spans="1:12" x14ac:dyDescent="0.25">
      <c r="A2350" s="4" t="str">
        <f>HYPERLINK("http://www.rosaceae.org/Prunus/Prunus_persica/p.persica_gdr_reftransV1_0005733","p.persica_gdr_reftransV1_0005733")</f>
        <v>p.persica_gdr_reftransV1_0005733</v>
      </c>
      <c r="B2350" s="2">
        <v>504</v>
      </c>
      <c r="C2350" s="4" t="str">
        <f>HYPERLINK("http://www.uniprot.org/uniprot/M5VW66","M5VW66")</f>
        <v>M5VW66</v>
      </c>
      <c r="D2350" s="2" t="s">
        <v>2262</v>
      </c>
      <c r="E2350" s="3">
        <v>4.0999999999999998E-39</v>
      </c>
      <c r="F2350" s="2">
        <v>374</v>
      </c>
      <c r="G2350" s="2">
        <v>61</v>
      </c>
      <c r="H2350" s="2">
        <v>154</v>
      </c>
      <c r="I2350" s="2">
        <v>14</v>
      </c>
      <c r="J2350" s="2">
        <v>472</v>
      </c>
      <c r="K2350" s="2">
        <v>140</v>
      </c>
      <c r="L2350" s="2">
        <v>293</v>
      </c>
    </row>
    <row r="2351" spans="1:12" x14ac:dyDescent="0.25">
      <c r="A2351" s="4" t="str">
        <f>HYPERLINK("http://www.rosaceae.org/Prunus/Prunus_persica/p.persica_gdr_reftransV1_0006083","p.persica_gdr_reftransV1_0006083")</f>
        <v>p.persica_gdr_reftransV1_0006083</v>
      </c>
      <c r="B2351" s="2">
        <v>677</v>
      </c>
      <c r="C2351" s="4" t="str">
        <f>HYPERLINK("http://www.uniprot.org/uniprot/M5WJV6","M5WJV6")</f>
        <v>M5WJV6</v>
      </c>
      <c r="D2351" s="2" t="s">
        <v>2263</v>
      </c>
      <c r="E2351" s="3">
        <v>6.15E-99</v>
      </c>
      <c r="F2351" s="2">
        <v>764</v>
      </c>
      <c r="G2351" s="2">
        <v>99</v>
      </c>
      <c r="H2351" s="2">
        <v>143</v>
      </c>
      <c r="I2351" s="2">
        <v>36</v>
      </c>
      <c r="J2351" s="2">
        <v>464</v>
      </c>
      <c r="K2351" s="2">
        <v>1</v>
      </c>
      <c r="L2351" s="2">
        <v>143</v>
      </c>
    </row>
    <row r="2352" spans="1:12" x14ac:dyDescent="0.25">
      <c r="A2352" s="4" t="str">
        <f>HYPERLINK("http://www.rosaceae.org/Prunus/Prunus_persica/p.persica_gdr_reftransV1_0006433","p.persica_gdr_reftransV1_0006433")</f>
        <v>p.persica_gdr_reftransV1_0006433</v>
      </c>
      <c r="B2352" s="2">
        <v>858</v>
      </c>
      <c r="C2352" s="4" t="str">
        <f>HYPERLINK("http://www.uniprot.org/uniprot/A6XN05","A6XN05")</f>
        <v>A6XN05</v>
      </c>
      <c r="D2352" s="2" t="s">
        <v>2264</v>
      </c>
      <c r="E2352" s="3">
        <v>2.45E-133</v>
      </c>
      <c r="F2352" s="2">
        <v>1021</v>
      </c>
      <c r="G2352" s="2">
        <v>83</v>
      </c>
      <c r="H2352" s="2">
        <v>238</v>
      </c>
      <c r="I2352" s="2">
        <v>144</v>
      </c>
      <c r="J2352" s="2">
        <v>857</v>
      </c>
      <c r="K2352" s="2">
        <v>216</v>
      </c>
      <c r="L2352" s="2">
        <v>453</v>
      </c>
    </row>
    <row r="2353" spans="1:12" x14ac:dyDescent="0.25">
      <c r="A2353" s="4" t="str">
        <f>HYPERLINK("http://www.rosaceae.org/Prunus/Prunus_persica/p.persica_gdr_reftransV1_0006783","p.persica_gdr_reftransV1_0006783")</f>
        <v>p.persica_gdr_reftransV1_0006783</v>
      </c>
      <c r="B2353" s="2">
        <v>2442</v>
      </c>
      <c r="C2353" s="4" t="str">
        <f>HYPERLINK("http://www.uniprot.org/uniprot/M5WKN3","M5WKN3")</f>
        <v>M5WKN3</v>
      </c>
      <c r="D2353" s="2" t="s">
        <v>2265</v>
      </c>
      <c r="E2353" s="3">
        <v>0</v>
      </c>
      <c r="F2353" s="2">
        <v>2856</v>
      </c>
      <c r="G2353" s="2">
        <v>93</v>
      </c>
      <c r="H2353" s="2">
        <v>622</v>
      </c>
      <c r="I2353" s="2">
        <v>149</v>
      </c>
      <c r="J2353" s="2">
        <v>2014</v>
      </c>
      <c r="K2353" s="2">
        <v>116</v>
      </c>
      <c r="L2353" s="2">
        <v>693</v>
      </c>
    </row>
    <row r="2354" spans="1:12" x14ac:dyDescent="0.25">
      <c r="A2354" s="4" t="str">
        <f>HYPERLINK("http://www.rosaceae.org/Prunus/Prunus_persica/p.persica_gdr_reftransV1_0007133","p.persica_gdr_reftransV1_0007133")</f>
        <v>p.persica_gdr_reftransV1_0007133</v>
      </c>
      <c r="B2354" s="2">
        <v>410</v>
      </c>
      <c r="C2354" s="4" t="str">
        <f>HYPERLINK("http://www.uniprot.org/uniprot/M5VI63","M5VI63")</f>
        <v>M5VI63</v>
      </c>
      <c r="D2354" s="2" t="s">
        <v>2266</v>
      </c>
      <c r="E2354" s="3">
        <v>1.99E-65</v>
      </c>
      <c r="F2354" s="2">
        <v>555</v>
      </c>
      <c r="G2354" s="2">
        <v>100</v>
      </c>
      <c r="H2354" s="2">
        <v>104</v>
      </c>
      <c r="I2354" s="2">
        <v>1</v>
      </c>
      <c r="J2354" s="2">
        <v>312</v>
      </c>
      <c r="K2354" s="2">
        <v>1</v>
      </c>
      <c r="L2354" s="2">
        <v>104</v>
      </c>
    </row>
    <row r="2355" spans="1:12" x14ac:dyDescent="0.25">
      <c r="A2355" s="4" t="str">
        <f>HYPERLINK("http://www.rosaceae.org/Prunus/Prunus_persica/p.persica_gdr_reftransV1_0007483","p.persica_gdr_reftransV1_0007483")</f>
        <v>p.persica_gdr_reftransV1_0007483</v>
      </c>
      <c r="B2355" s="2">
        <v>2317</v>
      </c>
      <c r="C2355" s="4" t="str">
        <f>HYPERLINK("http://www.uniprot.org/uniprot/M5WQX3","M5WQX3")</f>
        <v>M5WQX3</v>
      </c>
      <c r="D2355" s="2" t="s">
        <v>2267</v>
      </c>
      <c r="E2355" s="3">
        <v>0</v>
      </c>
      <c r="F2355" s="2">
        <v>2279</v>
      </c>
      <c r="G2355" s="2">
        <v>99</v>
      </c>
      <c r="H2355" s="2">
        <v>549</v>
      </c>
      <c r="I2355" s="2">
        <v>270</v>
      </c>
      <c r="J2355" s="2">
        <v>1916</v>
      </c>
      <c r="K2355" s="2">
        <v>75</v>
      </c>
      <c r="L2355" s="2">
        <v>623</v>
      </c>
    </row>
    <row r="2356" spans="1:12" x14ac:dyDescent="0.25">
      <c r="A2356" s="4" t="str">
        <f>HYPERLINK("http://www.rosaceae.org/Prunus/Prunus_persica/p.persica_gdr_reftransV1_0007833","p.persica_gdr_reftransV1_0007833")</f>
        <v>p.persica_gdr_reftransV1_0007833</v>
      </c>
      <c r="B2356" s="2">
        <v>1244</v>
      </c>
      <c r="C2356" s="4" t="str">
        <f>HYPERLINK("http://www.uniprot.org/uniprot/M5W1Y7","M5W1Y7")</f>
        <v>M5W1Y7</v>
      </c>
      <c r="D2356" s="2" t="s">
        <v>2268</v>
      </c>
      <c r="E2356" s="3">
        <v>0</v>
      </c>
      <c r="F2356" s="2">
        <v>1496</v>
      </c>
      <c r="G2356" s="2">
        <v>100</v>
      </c>
      <c r="H2356" s="2">
        <v>331</v>
      </c>
      <c r="I2356" s="2">
        <v>70</v>
      </c>
      <c r="J2356" s="2">
        <v>1062</v>
      </c>
      <c r="K2356" s="2">
        <v>1</v>
      </c>
      <c r="L2356" s="2">
        <v>331</v>
      </c>
    </row>
    <row r="2357" spans="1:12" x14ac:dyDescent="0.25">
      <c r="A2357" s="4" t="str">
        <f>HYPERLINK("http://www.rosaceae.org/Prunus/Prunus_persica/p.persica_gdr_reftransV1_0008183","p.persica_gdr_reftransV1_0008183")</f>
        <v>p.persica_gdr_reftransV1_0008183</v>
      </c>
      <c r="B2357" s="2">
        <v>1842</v>
      </c>
      <c r="C2357" s="4" t="str">
        <f>HYPERLINK("http://www.uniprot.org/uniprot/M5XNV1","M5XNV1")</f>
        <v>M5XNV1</v>
      </c>
      <c r="D2357" s="2" t="s">
        <v>2269</v>
      </c>
      <c r="E2357" s="3">
        <v>1.47E-58</v>
      </c>
      <c r="F2357" s="2">
        <v>514</v>
      </c>
      <c r="G2357" s="2">
        <v>100</v>
      </c>
      <c r="H2357" s="2">
        <v>100</v>
      </c>
      <c r="I2357" s="2">
        <v>1016</v>
      </c>
      <c r="J2357" s="2">
        <v>1315</v>
      </c>
      <c r="K2357" s="2">
        <v>1</v>
      </c>
      <c r="L2357" s="2">
        <v>100</v>
      </c>
    </row>
    <row r="2358" spans="1:12" x14ac:dyDescent="0.25">
      <c r="A2358" s="4" t="str">
        <f>HYPERLINK("http://www.rosaceae.org/Prunus/Prunus_persica/p.persica_gdr_reftransV1_0008533","p.persica_gdr_reftransV1_0008533")</f>
        <v>p.persica_gdr_reftransV1_0008533</v>
      </c>
      <c r="B2358" s="2">
        <v>2231</v>
      </c>
      <c r="C2358" s="4" t="str">
        <f>HYPERLINK("http://www.uniprot.org/uniprot/M5Y3I6","M5Y3I6")</f>
        <v>M5Y3I6</v>
      </c>
      <c r="D2358" s="2" t="s">
        <v>2270</v>
      </c>
      <c r="E2358" s="3">
        <v>0</v>
      </c>
      <c r="F2358" s="2">
        <v>3527</v>
      </c>
      <c r="G2358" s="2">
        <v>100</v>
      </c>
      <c r="H2358" s="2">
        <v>668</v>
      </c>
      <c r="I2358" s="2">
        <v>125</v>
      </c>
      <c r="J2358" s="2">
        <v>2128</v>
      </c>
      <c r="K2358" s="2">
        <v>1</v>
      </c>
      <c r="L2358" s="2">
        <v>668</v>
      </c>
    </row>
    <row r="2359" spans="1:12" x14ac:dyDescent="0.25">
      <c r="A2359" s="4" t="str">
        <f>HYPERLINK("http://www.rosaceae.org/Prunus/Prunus_persica/p.persica_gdr_reftransV1_0008883","p.persica_gdr_reftransV1_0008883")</f>
        <v>p.persica_gdr_reftransV1_0008883</v>
      </c>
      <c r="B2359" s="2">
        <v>1148</v>
      </c>
      <c r="C2359" s="4" t="str">
        <f>HYPERLINK("http://www.uniprot.org/uniprot/M5W6Y2","M5W6Y2")</f>
        <v>M5W6Y2</v>
      </c>
      <c r="D2359" s="2" t="s">
        <v>2271</v>
      </c>
      <c r="E2359" s="3">
        <v>7.5399999999999996E-174</v>
      </c>
      <c r="F2359" s="2">
        <v>1279</v>
      </c>
      <c r="G2359" s="2">
        <v>100</v>
      </c>
      <c r="H2359" s="2">
        <v>257</v>
      </c>
      <c r="I2359" s="2">
        <v>110</v>
      </c>
      <c r="J2359" s="2">
        <v>880</v>
      </c>
      <c r="K2359" s="2">
        <v>1</v>
      </c>
      <c r="L2359" s="2">
        <v>257</v>
      </c>
    </row>
    <row r="2360" spans="1:12" x14ac:dyDescent="0.25">
      <c r="A2360" s="4" t="str">
        <f>HYPERLINK("http://www.rosaceae.org/Prunus/Prunus_persica/p.persica_gdr_reftransV1_0009233","p.persica_gdr_reftransV1_0009233")</f>
        <v>p.persica_gdr_reftransV1_0009233</v>
      </c>
      <c r="B2360" s="2">
        <v>1212</v>
      </c>
      <c r="C2360" s="4" t="str">
        <f>HYPERLINK("http://www.uniprot.org/uniprot/M5WWV0","M5WWV0")</f>
        <v>M5WWV0</v>
      </c>
      <c r="D2360" s="2" t="s">
        <v>1693</v>
      </c>
      <c r="E2360" s="3">
        <v>0</v>
      </c>
      <c r="F2360" s="2">
        <v>1930</v>
      </c>
      <c r="G2360" s="2">
        <v>100</v>
      </c>
      <c r="H2360" s="2">
        <v>391</v>
      </c>
      <c r="I2360" s="2">
        <v>40</v>
      </c>
      <c r="J2360" s="2">
        <v>1212</v>
      </c>
      <c r="K2360" s="2">
        <v>1</v>
      </c>
      <c r="L2360" s="2">
        <v>391</v>
      </c>
    </row>
    <row r="2361" spans="1:12" x14ac:dyDescent="0.25">
      <c r="A2361" s="4" t="str">
        <f>HYPERLINK("http://www.rosaceae.org/Prunus/Prunus_persica/p.persica_gdr_reftransV1_0010633","p.persica_gdr_reftransV1_0010633")</f>
        <v>p.persica_gdr_reftransV1_0010633</v>
      </c>
      <c r="B2361" s="2">
        <v>964</v>
      </c>
      <c r="C2361" s="4" t="str">
        <f>HYPERLINK("http://www.uniprot.org/uniprot/M5WCT0","M5WCT0")</f>
        <v>M5WCT0</v>
      </c>
      <c r="D2361" s="2" t="s">
        <v>2272</v>
      </c>
      <c r="E2361" s="3">
        <v>2.6699999999999999E-146</v>
      </c>
      <c r="F2361" s="2">
        <v>1116</v>
      </c>
      <c r="G2361" s="2">
        <v>100</v>
      </c>
      <c r="H2361" s="2">
        <v>241</v>
      </c>
      <c r="I2361" s="2">
        <v>3</v>
      </c>
      <c r="J2361" s="2">
        <v>725</v>
      </c>
      <c r="K2361" s="2">
        <v>276</v>
      </c>
      <c r="L2361" s="2">
        <v>516</v>
      </c>
    </row>
    <row r="2362" spans="1:12" x14ac:dyDescent="0.25">
      <c r="A2362" s="4" t="str">
        <f>HYPERLINK("http://www.rosaceae.org/Prunus/Prunus_persica/p.persica_gdr_reftransV1_0012033","p.persica_gdr_reftransV1_0012033")</f>
        <v>p.persica_gdr_reftransV1_0012033</v>
      </c>
      <c r="B2362" s="2">
        <v>1403</v>
      </c>
      <c r="C2362" s="4" t="str">
        <f>HYPERLINK("http://www.uniprot.org/uniprot/M5WCZ3","M5WCZ3")</f>
        <v>M5WCZ3</v>
      </c>
      <c r="D2362" s="2" t="s">
        <v>2273</v>
      </c>
      <c r="E2362" s="3">
        <v>1.32E-95</v>
      </c>
      <c r="F2362" s="2">
        <v>763</v>
      </c>
      <c r="G2362" s="2">
        <v>100</v>
      </c>
      <c r="H2362" s="2">
        <v>192</v>
      </c>
      <c r="I2362" s="2">
        <v>363</v>
      </c>
      <c r="J2362" s="2">
        <v>938</v>
      </c>
      <c r="K2362" s="2">
        <v>1</v>
      </c>
      <c r="L2362" s="2">
        <v>192</v>
      </c>
    </row>
    <row r="2363" spans="1:12" x14ac:dyDescent="0.25">
      <c r="A2363" s="4" t="str">
        <f>HYPERLINK("http://www.rosaceae.org/Prunus/Prunus_persica/p.persica_gdr_reftransV1_0012733","p.persica_gdr_reftransV1_0012733")</f>
        <v>p.persica_gdr_reftransV1_0012733</v>
      </c>
      <c r="B2363" s="2">
        <v>1842</v>
      </c>
      <c r="C2363" s="4" t="str">
        <f>HYPERLINK("http://www.uniprot.org/uniprot/M5W068","M5W068")</f>
        <v>M5W068</v>
      </c>
      <c r="D2363" s="2" t="s">
        <v>2274</v>
      </c>
      <c r="E2363" s="3">
        <v>9.1800000000000003E-128</v>
      </c>
      <c r="F2363" s="2">
        <v>991</v>
      </c>
      <c r="G2363" s="2">
        <v>100</v>
      </c>
      <c r="H2363" s="2">
        <v>202</v>
      </c>
      <c r="I2363" s="2">
        <v>262</v>
      </c>
      <c r="J2363" s="2">
        <v>867</v>
      </c>
      <c r="K2363" s="2">
        <v>1</v>
      </c>
      <c r="L2363" s="2">
        <v>202</v>
      </c>
    </row>
    <row r="2364" spans="1:12" x14ac:dyDescent="0.25">
      <c r="A2364" s="4" t="str">
        <f>HYPERLINK("http://www.rosaceae.org/Prunus/Prunus_persica/p.persica_gdr_reftransV1_0013433","p.persica_gdr_reftransV1_0013433")</f>
        <v>p.persica_gdr_reftransV1_0013433</v>
      </c>
      <c r="B2364" s="2">
        <v>792</v>
      </c>
      <c r="C2364" s="4" t="str">
        <f>HYPERLINK("http://www.uniprot.org/uniprot/M5VRE3","M5VRE3")</f>
        <v>M5VRE3</v>
      </c>
      <c r="D2364" s="2" t="s">
        <v>2275</v>
      </c>
      <c r="E2364" s="3">
        <v>2.3599999999999999E-82</v>
      </c>
      <c r="F2364" s="2">
        <v>652</v>
      </c>
      <c r="G2364" s="2">
        <v>100</v>
      </c>
      <c r="H2364" s="2">
        <v>139</v>
      </c>
      <c r="I2364" s="2">
        <v>299</v>
      </c>
      <c r="J2364" s="2">
        <v>715</v>
      </c>
      <c r="K2364" s="2">
        <v>1</v>
      </c>
      <c r="L2364" s="2">
        <v>139</v>
      </c>
    </row>
    <row r="2365" spans="1:12" x14ac:dyDescent="0.25">
      <c r="A2365" s="4" t="str">
        <f>HYPERLINK("http://www.rosaceae.org/Prunus/Prunus_persica/p.persica_gdr_reftransV1_0013783","p.persica_gdr_reftransV1_0013783")</f>
        <v>p.persica_gdr_reftransV1_0013783</v>
      </c>
      <c r="B2365" s="2">
        <v>1661</v>
      </c>
      <c r="C2365" s="4" t="str">
        <f>HYPERLINK("http://www.uniprot.org/uniprot/M5WYT3","M5WYT3")</f>
        <v>M5WYT3</v>
      </c>
      <c r="D2365" s="2" t="s">
        <v>2276</v>
      </c>
      <c r="E2365" s="3">
        <v>6.7099999999999995E-57</v>
      </c>
      <c r="F2365" s="2">
        <v>501</v>
      </c>
      <c r="G2365" s="2">
        <v>98</v>
      </c>
      <c r="H2365" s="2">
        <v>110</v>
      </c>
      <c r="I2365" s="2">
        <v>100</v>
      </c>
      <c r="J2365" s="2">
        <v>429</v>
      </c>
      <c r="K2365" s="2">
        <v>1</v>
      </c>
      <c r="L2365" s="2">
        <v>110</v>
      </c>
    </row>
    <row r="2366" spans="1:12" x14ac:dyDescent="0.25">
      <c r="A2366" s="4" t="str">
        <f>HYPERLINK("http://www.rosaceae.org/Prunus/Prunus_persica/p.persica_gdr_reftransV1_0014133","p.persica_gdr_reftransV1_0014133")</f>
        <v>p.persica_gdr_reftransV1_0014133</v>
      </c>
      <c r="B2366" s="2">
        <v>1419</v>
      </c>
      <c r="C2366" s="4" t="str">
        <f>HYPERLINK("http://www.uniprot.org/uniprot/M5XYJ1","M5XYJ1")</f>
        <v>M5XYJ1</v>
      </c>
      <c r="D2366" s="2" t="s">
        <v>2277</v>
      </c>
      <c r="E2366" s="3">
        <v>1.72E-98</v>
      </c>
      <c r="F2366" s="2">
        <v>819</v>
      </c>
      <c r="G2366" s="2">
        <v>100</v>
      </c>
      <c r="H2366" s="2">
        <v>167</v>
      </c>
      <c r="I2366" s="2">
        <v>917</v>
      </c>
      <c r="J2366" s="2">
        <v>1417</v>
      </c>
      <c r="K2366" s="2">
        <v>434</v>
      </c>
      <c r="L2366" s="2">
        <v>600</v>
      </c>
    </row>
    <row r="2367" spans="1:12" x14ac:dyDescent="0.25">
      <c r="A2367" s="4" t="str">
        <f>HYPERLINK("http://www.rosaceae.org/Prunus/Prunus_persica/p.persica_gdr_reftransV1_0014483","p.persica_gdr_reftransV1_0014483")</f>
        <v>p.persica_gdr_reftransV1_0014483</v>
      </c>
      <c r="B2367" s="2">
        <v>2841</v>
      </c>
      <c r="C2367" s="4" t="str">
        <f>HYPERLINK("http://www.uniprot.org/uniprot/M5WBG3","M5WBG3")</f>
        <v>M5WBG3</v>
      </c>
      <c r="D2367" s="2" t="s">
        <v>2278</v>
      </c>
      <c r="E2367" s="3">
        <v>2.3600000000000001E-162</v>
      </c>
      <c r="F2367" s="2">
        <v>1258</v>
      </c>
      <c r="G2367" s="2">
        <v>100</v>
      </c>
      <c r="H2367" s="2">
        <v>281</v>
      </c>
      <c r="I2367" s="2">
        <v>1443</v>
      </c>
      <c r="J2367" s="2">
        <v>2285</v>
      </c>
      <c r="K2367" s="2">
        <v>1</v>
      </c>
      <c r="L2367" s="2">
        <v>281</v>
      </c>
    </row>
    <row r="2368" spans="1:12" x14ac:dyDescent="0.25">
      <c r="A2368" s="4" t="str">
        <f>HYPERLINK("http://www.rosaceae.org/Prunus/Prunus_persica/p.persica_gdr_reftransV1_0015883","p.persica_gdr_reftransV1_0015883")</f>
        <v>p.persica_gdr_reftransV1_0015883</v>
      </c>
      <c r="B2368" s="2">
        <v>1128</v>
      </c>
      <c r="C2368" s="4" t="str">
        <f>HYPERLINK("http://www.uniprot.org/uniprot/M5VW48","M5VW48")</f>
        <v>M5VW48</v>
      </c>
      <c r="D2368" s="2" t="s">
        <v>2279</v>
      </c>
      <c r="E2368" s="3">
        <v>0</v>
      </c>
      <c r="F2368" s="2">
        <v>1797</v>
      </c>
      <c r="G2368" s="2">
        <v>100</v>
      </c>
      <c r="H2368" s="2">
        <v>334</v>
      </c>
      <c r="I2368" s="2">
        <v>2</v>
      </c>
      <c r="J2368" s="2">
        <v>1003</v>
      </c>
      <c r="K2368" s="2">
        <v>164</v>
      </c>
      <c r="L2368" s="2">
        <v>497</v>
      </c>
    </row>
    <row r="2369" spans="1:12" x14ac:dyDescent="0.25">
      <c r="A2369" s="4" t="str">
        <f>HYPERLINK("http://www.rosaceae.org/Prunus/Prunus_persica/p.persica_gdr_reftransV1_0016583","p.persica_gdr_reftransV1_0016583")</f>
        <v>p.persica_gdr_reftransV1_0016583</v>
      </c>
      <c r="B2369" s="2">
        <v>1963</v>
      </c>
      <c r="C2369" s="4" t="str">
        <f>HYPERLINK("http://www.uniprot.org/uniprot/M5WFU4","M5WFU4")</f>
        <v>M5WFU4</v>
      </c>
      <c r="D2369" s="2" t="s">
        <v>2280</v>
      </c>
      <c r="E2369" s="3">
        <v>0</v>
      </c>
      <c r="F2369" s="2">
        <v>1657</v>
      </c>
      <c r="G2369" s="2">
        <v>99</v>
      </c>
      <c r="H2369" s="2">
        <v>365</v>
      </c>
      <c r="I2369" s="2">
        <v>831</v>
      </c>
      <c r="J2369" s="2">
        <v>1925</v>
      </c>
      <c r="K2369" s="2">
        <v>1</v>
      </c>
      <c r="L2369" s="2">
        <v>365</v>
      </c>
    </row>
    <row r="2370" spans="1:12" x14ac:dyDescent="0.25">
      <c r="A2370" s="4" t="str">
        <f>HYPERLINK("http://www.rosaceae.org/Prunus/Prunus_persica/p.persica_gdr_reftransV1_0016933","p.persica_gdr_reftransV1_0016933")</f>
        <v>p.persica_gdr_reftransV1_0016933</v>
      </c>
      <c r="B2370" s="2">
        <v>1398</v>
      </c>
      <c r="C2370" s="4" t="str">
        <f>HYPERLINK("http://www.uniprot.org/uniprot/M5WL45","M5WL45")</f>
        <v>M5WL45</v>
      </c>
      <c r="D2370" s="2" t="s">
        <v>2281</v>
      </c>
      <c r="E2370" s="3">
        <v>1.15E-113</v>
      </c>
      <c r="F2370" s="2">
        <v>905</v>
      </c>
      <c r="G2370" s="2">
        <v>86</v>
      </c>
      <c r="H2370" s="2">
        <v>203</v>
      </c>
      <c r="I2370" s="2">
        <v>2</v>
      </c>
      <c r="J2370" s="2">
        <v>610</v>
      </c>
      <c r="K2370" s="2">
        <v>214</v>
      </c>
      <c r="L2370" s="2">
        <v>388</v>
      </c>
    </row>
    <row r="2371" spans="1:12" x14ac:dyDescent="0.25">
      <c r="A2371" s="4" t="str">
        <f>HYPERLINK("http://www.rosaceae.org/Prunus/Prunus_persica/p.persica_gdr_reftransV1_0017283","p.persica_gdr_reftransV1_0017283")</f>
        <v>p.persica_gdr_reftransV1_0017283</v>
      </c>
      <c r="B2371" s="2">
        <v>1587</v>
      </c>
      <c r="C2371" s="4" t="str">
        <f>HYPERLINK("http://www.uniprot.org/uniprot/M5VY57","M5VY57")</f>
        <v>M5VY57</v>
      </c>
      <c r="D2371" s="2" t="s">
        <v>2282</v>
      </c>
      <c r="E2371" s="3">
        <v>0</v>
      </c>
      <c r="F2371" s="2">
        <v>2449</v>
      </c>
      <c r="G2371" s="2">
        <v>100</v>
      </c>
      <c r="H2371" s="2">
        <v>459</v>
      </c>
      <c r="I2371" s="2">
        <v>21</v>
      </c>
      <c r="J2371" s="2">
        <v>1397</v>
      </c>
      <c r="K2371" s="2">
        <v>1</v>
      </c>
      <c r="L2371" s="2">
        <v>459</v>
      </c>
    </row>
    <row r="2372" spans="1:12" x14ac:dyDescent="0.25">
      <c r="A2372" s="4" t="str">
        <f>HYPERLINK("http://www.rosaceae.org/Prunus/Prunus_persica/p.persica_gdr_reftransV1_0017633","p.persica_gdr_reftransV1_0017633")</f>
        <v>p.persica_gdr_reftransV1_0017633</v>
      </c>
      <c r="B2372" s="2">
        <v>2784</v>
      </c>
      <c r="C2372" s="4" t="str">
        <f>HYPERLINK("http://www.uniprot.org/uniprot/M5XQY0","M5XQY0")</f>
        <v>M5XQY0</v>
      </c>
      <c r="D2372" s="2" t="s">
        <v>2283</v>
      </c>
      <c r="E2372" s="3">
        <v>0</v>
      </c>
      <c r="F2372" s="2">
        <v>3639</v>
      </c>
      <c r="G2372" s="2">
        <v>97</v>
      </c>
      <c r="H2372" s="2">
        <v>763</v>
      </c>
      <c r="I2372" s="2">
        <v>286</v>
      </c>
      <c r="J2372" s="2">
        <v>2574</v>
      </c>
      <c r="K2372" s="2">
        <v>1</v>
      </c>
      <c r="L2372" s="2">
        <v>750</v>
      </c>
    </row>
    <row r="2373" spans="1:12" x14ac:dyDescent="0.25">
      <c r="A2373" s="4" t="str">
        <f>HYPERLINK("http://www.rosaceae.org/Prunus/Prunus_persica/p.persica_gdr_reftransV1_0018333","p.persica_gdr_reftransV1_0018333")</f>
        <v>p.persica_gdr_reftransV1_0018333</v>
      </c>
      <c r="B2373" s="2">
        <v>923</v>
      </c>
      <c r="C2373" s="4" t="str">
        <f>HYPERLINK("http://www.uniprot.org/uniprot/M1B3Z5","M1B3Z5")</f>
        <v>M1B3Z5</v>
      </c>
      <c r="D2373" s="2" t="s">
        <v>2284</v>
      </c>
      <c r="E2373" s="3">
        <v>4.5900000000000003E-117</v>
      </c>
      <c r="F2373" s="2">
        <v>901</v>
      </c>
      <c r="G2373" s="2">
        <v>97</v>
      </c>
      <c r="H2373" s="2">
        <v>179</v>
      </c>
      <c r="I2373" s="2">
        <v>211</v>
      </c>
      <c r="J2373" s="2">
        <v>747</v>
      </c>
      <c r="K2373" s="2">
        <v>53</v>
      </c>
      <c r="L2373" s="2">
        <v>231</v>
      </c>
    </row>
    <row r="2374" spans="1:12" x14ac:dyDescent="0.25">
      <c r="A2374" s="4" t="str">
        <f>HYPERLINK("http://www.rosaceae.org/Prunus/Prunus_persica/p.persica_gdr_reftransV1_0022883","p.persica_gdr_reftransV1_0022883")</f>
        <v>p.persica_gdr_reftransV1_0022883</v>
      </c>
      <c r="B2374" s="2">
        <v>523</v>
      </c>
      <c r="C2374" s="4" t="str">
        <f>HYPERLINK("http://www.uniprot.org/uniprot/A0A067FK50","A0A067FK50")</f>
        <v>A0A067FK50</v>
      </c>
      <c r="D2374" s="2" t="s">
        <v>2285</v>
      </c>
      <c r="E2374" s="3">
        <v>8.5199999999999995E-54</v>
      </c>
      <c r="F2374" s="2">
        <v>477</v>
      </c>
      <c r="G2374" s="2">
        <v>73</v>
      </c>
      <c r="H2374" s="2">
        <v>114</v>
      </c>
      <c r="I2374" s="2">
        <v>180</v>
      </c>
      <c r="J2374" s="2">
        <v>521</v>
      </c>
      <c r="K2374" s="2">
        <v>46</v>
      </c>
      <c r="L2374" s="2">
        <v>159</v>
      </c>
    </row>
    <row r="2375" spans="1:12" x14ac:dyDescent="0.25">
      <c r="A2375" s="4" t="str">
        <f>HYPERLINK("http://www.rosaceae.org/Prunus/Prunus_persica/p.persica_gdr_reftransV1_0024633","p.persica_gdr_reftransV1_0024633")</f>
        <v>p.persica_gdr_reftransV1_0024633</v>
      </c>
      <c r="B2375" s="2">
        <v>3859</v>
      </c>
      <c r="C2375" s="4" t="str">
        <f>HYPERLINK("http://www.uniprot.org/uniprot/L7RZF3","L7RZF3")</f>
        <v>L7RZF3</v>
      </c>
      <c r="D2375" s="2" t="s">
        <v>2286</v>
      </c>
      <c r="E2375" s="3">
        <v>0</v>
      </c>
      <c r="F2375" s="2">
        <v>4929</v>
      </c>
      <c r="G2375" s="2">
        <v>100</v>
      </c>
      <c r="H2375" s="2">
        <v>927</v>
      </c>
      <c r="I2375" s="2">
        <v>296</v>
      </c>
      <c r="J2375" s="2">
        <v>3076</v>
      </c>
      <c r="K2375" s="2">
        <v>1</v>
      </c>
      <c r="L2375" s="2">
        <v>927</v>
      </c>
    </row>
    <row r="2376" spans="1:12" x14ac:dyDescent="0.25">
      <c r="A2376" s="4" t="str">
        <f>HYPERLINK("http://www.rosaceae.org/Prunus/Prunus_persica/p.persica_gdr_reftransV1_0028133","p.persica_gdr_reftransV1_0028133")</f>
        <v>p.persica_gdr_reftransV1_0028133</v>
      </c>
      <c r="B2376" s="2">
        <v>3420</v>
      </c>
      <c r="C2376" s="4" t="str">
        <f>HYPERLINK("http://www.uniprot.org/uniprot/M5XGP2","M5XGP2")</f>
        <v>M5XGP2</v>
      </c>
      <c r="D2376" s="2" t="s">
        <v>2287</v>
      </c>
      <c r="E2376" s="3">
        <v>0</v>
      </c>
      <c r="F2376" s="2">
        <v>2057</v>
      </c>
      <c r="G2376" s="2">
        <v>100</v>
      </c>
      <c r="H2376" s="2">
        <v>425</v>
      </c>
      <c r="I2376" s="2">
        <v>282</v>
      </c>
      <c r="J2376" s="2">
        <v>1556</v>
      </c>
      <c r="K2376" s="2">
        <v>1</v>
      </c>
      <c r="L2376" s="2">
        <v>425</v>
      </c>
    </row>
    <row r="2377" spans="1:12" x14ac:dyDescent="0.25">
      <c r="A2377" s="4" t="str">
        <f>HYPERLINK("http://www.rosaceae.org/Prunus/Prunus_persica/p.persica_gdr_reftransV1_0029183","p.persica_gdr_reftransV1_0029183")</f>
        <v>p.persica_gdr_reftransV1_0029183</v>
      </c>
      <c r="B2377" s="2">
        <v>2413</v>
      </c>
      <c r="C2377" s="4" t="str">
        <f>HYPERLINK("http://www.uniprot.org/uniprot/M5W9B0","M5W9B0")</f>
        <v>M5W9B0</v>
      </c>
      <c r="D2377" s="2" t="s">
        <v>2288</v>
      </c>
      <c r="E2377" s="3">
        <v>0</v>
      </c>
      <c r="F2377" s="2">
        <v>1893</v>
      </c>
      <c r="G2377" s="2">
        <v>100</v>
      </c>
      <c r="H2377" s="2">
        <v>370</v>
      </c>
      <c r="I2377" s="2">
        <v>409</v>
      </c>
      <c r="J2377" s="2">
        <v>1518</v>
      </c>
      <c r="K2377" s="2">
        <v>98</v>
      </c>
      <c r="L2377" s="2">
        <v>467</v>
      </c>
    </row>
    <row r="2378" spans="1:12" x14ac:dyDescent="0.25">
      <c r="A2378" s="4" t="str">
        <f>HYPERLINK("http://www.rosaceae.org/Prunus/Prunus_persica/p.persica_gdr_reftransV1_0030583","p.persica_gdr_reftransV1_0030583")</f>
        <v>p.persica_gdr_reftransV1_0030583</v>
      </c>
      <c r="B2378" s="2">
        <v>2816</v>
      </c>
      <c r="C2378" s="4" t="str">
        <f>HYPERLINK("http://www.uniprot.org/uniprot/M5XIA5","M5XIA5")</f>
        <v>M5XIA5</v>
      </c>
      <c r="D2378" s="2" t="s">
        <v>2289</v>
      </c>
      <c r="E2378" s="3">
        <v>0</v>
      </c>
      <c r="F2378" s="2">
        <v>2672</v>
      </c>
      <c r="G2378" s="2">
        <v>100</v>
      </c>
      <c r="H2378" s="2">
        <v>542</v>
      </c>
      <c r="I2378" s="2">
        <v>278</v>
      </c>
      <c r="J2378" s="2">
        <v>1903</v>
      </c>
      <c r="K2378" s="2">
        <v>1</v>
      </c>
      <c r="L2378" s="2">
        <v>542</v>
      </c>
    </row>
    <row r="2379" spans="1:12" x14ac:dyDescent="0.25">
      <c r="A2379" s="4" t="str">
        <f>HYPERLINK("http://www.rosaceae.org/Prunus/Prunus_persica/p.persica_gdr_reftransV1_0031633","p.persica_gdr_reftransV1_0031633")</f>
        <v>p.persica_gdr_reftransV1_0031633</v>
      </c>
      <c r="B2379" s="2">
        <v>1683</v>
      </c>
      <c r="C2379" s="4" t="str">
        <f>HYPERLINK("http://www.uniprot.org/uniprot/M5VQR7","M5VQR7")</f>
        <v>M5VQR7</v>
      </c>
      <c r="D2379" s="2" t="s">
        <v>2290</v>
      </c>
      <c r="E2379" s="3">
        <v>9.1999999999999998E-117</v>
      </c>
      <c r="F2379" s="2">
        <v>919</v>
      </c>
      <c r="G2379" s="2">
        <v>100</v>
      </c>
      <c r="H2379" s="2">
        <v>176</v>
      </c>
      <c r="I2379" s="2">
        <v>356</v>
      </c>
      <c r="J2379" s="2">
        <v>883</v>
      </c>
      <c r="K2379" s="2">
        <v>1</v>
      </c>
      <c r="L2379" s="2">
        <v>176</v>
      </c>
    </row>
    <row r="2380" spans="1:12" x14ac:dyDescent="0.25">
      <c r="A2380" s="4" t="str">
        <f>HYPERLINK("http://www.rosaceae.org/Prunus/Prunus_persica/p.persica_gdr_reftransV1_0031983","p.persica_gdr_reftransV1_0031983")</f>
        <v>p.persica_gdr_reftransV1_0031983</v>
      </c>
      <c r="B2380" s="2">
        <v>2203</v>
      </c>
      <c r="C2380" s="4" t="str">
        <f>HYPERLINK("http://www.uniprot.org/uniprot/M5XEP7","M5XEP7")</f>
        <v>M5XEP7</v>
      </c>
      <c r="D2380" s="2" t="s">
        <v>2291</v>
      </c>
      <c r="E2380" s="3">
        <v>8.3400000000000003E-153</v>
      </c>
      <c r="F2380" s="2">
        <v>1189</v>
      </c>
      <c r="G2380" s="2">
        <v>100</v>
      </c>
      <c r="H2380" s="2">
        <v>251</v>
      </c>
      <c r="I2380" s="2">
        <v>1093</v>
      </c>
      <c r="J2380" s="2">
        <v>1845</v>
      </c>
      <c r="K2380" s="2">
        <v>1</v>
      </c>
      <c r="L2380" s="2">
        <v>251</v>
      </c>
    </row>
    <row r="2381" spans="1:12" x14ac:dyDescent="0.25">
      <c r="A2381" s="4" t="str">
        <f>HYPERLINK("http://www.rosaceae.org/Prunus/Prunus_persica/p.persica_gdr_reftransV1_0034083","p.persica_gdr_reftransV1_0034083")</f>
        <v>p.persica_gdr_reftransV1_0034083</v>
      </c>
      <c r="B2381" s="2">
        <v>883</v>
      </c>
      <c r="C2381" s="4" t="str">
        <f>HYPERLINK("http://www.uniprot.org/uniprot/M5Y7L7","M5Y7L7")</f>
        <v>M5Y7L7</v>
      </c>
      <c r="D2381" s="2" t="s">
        <v>2292</v>
      </c>
      <c r="E2381" s="3">
        <v>5.9900000000000002E-118</v>
      </c>
      <c r="F2381" s="2">
        <v>916</v>
      </c>
      <c r="G2381" s="2">
        <v>100</v>
      </c>
      <c r="H2381" s="2">
        <v>190</v>
      </c>
      <c r="I2381" s="2">
        <v>3</v>
      </c>
      <c r="J2381" s="2">
        <v>572</v>
      </c>
      <c r="K2381" s="2">
        <v>228</v>
      </c>
      <c r="L2381" s="2">
        <v>417</v>
      </c>
    </row>
    <row r="2382" spans="1:12" x14ac:dyDescent="0.25">
      <c r="A2382" s="4" t="str">
        <f>HYPERLINK("http://www.rosaceae.org/Prunus/Prunus_persica/p.persica_gdr_reftransV1_0034433","p.persica_gdr_reftransV1_0034433")</f>
        <v>p.persica_gdr_reftransV1_0034433</v>
      </c>
      <c r="B2382" s="2">
        <v>905</v>
      </c>
      <c r="C2382" s="4" t="str">
        <f>HYPERLINK("http://www.uniprot.org/uniprot/M5WIF9","M5WIF9")</f>
        <v>M5WIF9</v>
      </c>
      <c r="D2382" s="2" t="s">
        <v>629</v>
      </c>
      <c r="E2382" s="3">
        <v>2.5200000000000001E-113</v>
      </c>
      <c r="F2382" s="2">
        <v>882</v>
      </c>
      <c r="G2382" s="2">
        <v>84</v>
      </c>
      <c r="H2382" s="2">
        <v>216</v>
      </c>
      <c r="I2382" s="2">
        <v>258</v>
      </c>
      <c r="J2382" s="2">
        <v>905</v>
      </c>
      <c r="K2382" s="2">
        <v>2</v>
      </c>
      <c r="L2382" s="2">
        <v>198</v>
      </c>
    </row>
    <row r="2383" spans="1:12" x14ac:dyDescent="0.25">
      <c r="A2383" s="4" t="str">
        <f>HYPERLINK("http://www.rosaceae.org/Prunus/Prunus_persica/p.persica_gdr_reftransV1_0034783","p.persica_gdr_reftransV1_0034783")</f>
        <v>p.persica_gdr_reftransV1_0034783</v>
      </c>
      <c r="B2383" s="2">
        <v>2823</v>
      </c>
      <c r="C2383" s="4" t="str">
        <f>HYPERLINK("http://www.uniprot.org/uniprot/M5WZW1","M5WZW1")</f>
        <v>M5WZW1</v>
      </c>
      <c r="D2383" s="2" t="s">
        <v>1812</v>
      </c>
      <c r="E2383" s="3">
        <v>0</v>
      </c>
      <c r="F2383" s="2">
        <v>4534</v>
      </c>
      <c r="G2383" s="2">
        <v>100</v>
      </c>
      <c r="H2383" s="2">
        <v>868</v>
      </c>
      <c r="I2383" s="2">
        <v>2</v>
      </c>
      <c r="J2383" s="2">
        <v>2605</v>
      </c>
      <c r="K2383" s="2">
        <v>41</v>
      </c>
      <c r="L2383" s="2">
        <v>908</v>
      </c>
    </row>
    <row r="2384" spans="1:12" x14ac:dyDescent="0.25">
      <c r="A2384" s="4" t="str">
        <f>HYPERLINK("http://www.rosaceae.org/Prunus/Prunus_persica/p.persica_gdr_reftransV1_0036533","p.persica_gdr_reftransV1_0036533")</f>
        <v>p.persica_gdr_reftransV1_0036533</v>
      </c>
      <c r="B2384" s="2">
        <v>1723</v>
      </c>
      <c r="C2384" s="4" t="str">
        <f>HYPERLINK("http://www.uniprot.org/uniprot/M5VST3","M5VST3")</f>
        <v>M5VST3</v>
      </c>
      <c r="D2384" s="2" t="s">
        <v>1996</v>
      </c>
      <c r="E2384" s="3">
        <v>4.19E-22</v>
      </c>
      <c r="F2384" s="2">
        <v>258</v>
      </c>
      <c r="G2384" s="2">
        <v>100</v>
      </c>
      <c r="H2384" s="2">
        <v>48</v>
      </c>
      <c r="I2384" s="2">
        <v>624</v>
      </c>
      <c r="J2384" s="2">
        <v>767</v>
      </c>
      <c r="K2384" s="2">
        <v>77</v>
      </c>
      <c r="L2384" s="2">
        <v>124</v>
      </c>
    </row>
    <row r="2385" spans="1:12" x14ac:dyDescent="0.25">
      <c r="A2385" s="4" t="str">
        <f>HYPERLINK("http://www.rosaceae.org/Prunus/Prunus_persica/p.persica_gdr_reftransV1_0039333","p.persica_gdr_reftransV1_0039333")</f>
        <v>p.persica_gdr_reftransV1_0039333</v>
      </c>
      <c r="B2385" s="2">
        <v>4277</v>
      </c>
      <c r="C2385" s="4" t="str">
        <f>HYPERLINK("http://www.uniprot.org/uniprot/M5VR23","M5VR23")</f>
        <v>M5VR23</v>
      </c>
      <c r="D2385" s="2" t="s">
        <v>2293</v>
      </c>
      <c r="E2385" s="3">
        <v>0</v>
      </c>
      <c r="F2385" s="2">
        <v>1602</v>
      </c>
      <c r="G2385" s="2">
        <v>96</v>
      </c>
      <c r="H2385" s="2">
        <v>332</v>
      </c>
      <c r="I2385" s="2">
        <v>2473</v>
      </c>
      <c r="J2385" s="2">
        <v>3468</v>
      </c>
      <c r="K2385" s="2">
        <v>1</v>
      </c>
      <c r="L2385" s="2">
        <v>320</v>
      </c>
    </row>
    <row r="2386" spans="1:12" x14ac:dyDescent="0.25">
      <c r="A2386" s="4" t="str">
        <f>HYPERLINK("http://www.rosaceae.org/Prunus/Prunus_persica/p.persica_gdr_reftransV1_0040383","p.persica_gdr_reftransV1_0040383")</f>
        <v>p.persica_gdr_reftransV1_0040383</v>
      </c>
      <c r="B2386" s="2">
        <v>3305</v>
      </c>
      <c r="C2386" s="4" t="str">
        <f>HYPERLINK("http://www.uniprot.org/uniprot/A0A067JZZ4","A0A067JZZ4")</f>
        <v>A0A067JZZ4</v>
      </c>
      <c r="D2386" s="2" t="s">
        <v>2294</v>
      </c>
      <c r="E2386" s="3">
        <v>6.66E-136</v>
      </c>
      <c r="F2386" s="2">
        <v>868</v>
      </c>
      <c r="G2386" s="2">
        <v>83</v>
      </c>
      <c r="H2386" s="2">
        <v>223</v>
      </c>
      <c r="I2386" s="2">
        <v>2394</v>
      </c>
      <c r="J2386" s="2">
        <v>3062</v>
      </c>
      <c r="K2386" s="2">
        <v>120</v>
      </c>
      <c r="L2386" s="2">
        <v>342</v>
      </c>
    </row>
    <row r="2387" spans="1:12" x14ac:dyDescent="0.25">
      <c r="A2387" s="4" t="str">
        <f>HYPERLINK("http://www.rosaceae.org/Prunus/Prunus_persica/p.persica_gdr_reftransV1_0042483","p.persica_gdr_reftransV1_0042483")</f>
        <v>p.persica_gdr_reftransV1_0042483</v>
      </c>
      <c r="B2387" s="2">
        <v>2726</v>
      </c>
      <c r="C2387" s="4" t="str">
        <f>HYPERLINK("http://www.uniprot.org/uniprot/M5WY75","M5WY75")</f>
        <v>M5WY75</v>
      </c>
      <c r="D2387" s="2" t="s">
        <v>2295</v>
      </c>
      <c r="E2387" s="3">
        <v>0</v>
      </c>
      <c r="F2387" s="2">
        <v>1913</v>
      </c>
      <c r="G2387" s="2">
        <v>97</v>
      </c>
      <c r="H2387" s="2">
        <v>363</v>
      </c>
      <c r="I2387" s="2">
        <v>437</v>
      </c>
      <c r="J2387" s="2">
        <v>1525</v>
      </c>
      <c r="K2387" s="2">
        <v>130</v>
      </c>
      <c r="L2387" s="2">
        <v>492</v>
      </c>
    </row>
    <row r="2388" spans="1:12" x14ac:dyDescent="0.25">
      <c r="A2388" s="4" t="str">
        <f>HYPERLINK("http://www.rosaceae.org/Prunus/Prunus_persica/p.persica_gdr_reftransV1_0042833","p.persica_gdr_reftransV1_0042833")</f>
        <v>p.persica_gdr_reftransV1_0042833</v>
      </c>
      <c r="B2388" s="2">
        <v>473</v>
      </c>
      <c r="C2388" s="4" t="str">
        <f>HYPERLINK("http://www.uniprot.org/uniprot/M5WYA5","M5WYA5")</f>
        <v>M5WYA5</v>
      </c>
      <c r="D2388" s="2" t="s">
        <v>2296</v>
      </c>
      <c r="E2388" s="3">
        <v>8.9099999999999998E-106</v>
      </c>
      <c r="F2388" s="2">
        <v>840</v>
      </c>
      <c r="G2388" s="2">
        <v>100</v>
      </c>
      <c r="H2388" s="2">
        <v>157</v>
      </c>
      <c r="I2388" s="2">
        <v>3</v>
      </c>
      <c r="J2388" s="2">
        <v>473</v>
      </c>
      <c r="K2388" s="2">
        <v>182</v>
      </c>
      <c r="L2388" s="2">
        <v>338</v>
      </c>
    </row>
    <row r="2389" spans="1:12" x14ac:dyDescent="0.25">
      <c r="A2389" s="4" t="str">
        <f>HYPERLINK("http://www.rosaceae.org/Prunus/Prunus_persica/p.persica_gdr_reftransV1_0043183","p.persica_gdr_reftransV1_0043183")</f>
        <v>p.persica_gdr_reftransV1_0043183</v>
      </c>
      <c r="B2389" s="2">
        <v>2565</v>
      </c>
      <c r="C2389" s="4" t="str">
        <f>HYPERLINK("http://www.uniprot.org/uniprot/M5XS88","M5XS88")</f>
        <v>M5XS88</v>
      </c>
      <c r="D2389" s="2" t="s">
        <v>2297</v>
      </c>
      <c r="E2389" s="3">
        <v>0</v>
      </c>
      <c r="F2389" s="2">
        <v>3486</v>
      </c>
      <c r="G2389" s="2">
        <v>96</v>
      </c>
      <c r="H2389" s="2">
        <v>708</v>
      </c>
      <c r="I2389" s="2">
        <v>1</v>
      </c>
      <c r="J2389" s="2">
        <v>2124</v>
      </c>
      <c r="K2389" s="2">
        <v>376</v>
      </c>
      <c r="L2389" s="2">
        <v>1056</v>
      </c>
    </row>
    <row r="2390" spans="1:12" x14ac:dyDescent="0.25">
      <c r="A2390" s="4" t="str">
        <f>HYPERLINK("http://www.rosaceae.org/Prunus/Prunus_persica/p.persica_gdr_reftransV1_0043533","p.persica_gdr_reftransV1_0043533")</f>
        <v>p.persica_gdr_reftransV1_0043533</v>
      </c>
      <c r="B2390" s="2">
        <v>823</v>
      </c>
      <c r="C2390" s="4" t="str">
        <f>HYPERLINK("http://www.uniprot.org/uniprot/M5WVP2","M5WVP2")</f>
        <v>M5WVP2</v>
      </c>
      <c r="D2390" s="2" t="s">
        <v>2298</v>
      </c>
      <c r="E2390" s="3">
        <v>7.4199999999999996E-81</v>
      </c>
      <c r="F2390" s="2">
        <v>642</v>
      </c>
      <c r="G2390" s="2">
        <v>100</v>
      </c>
      <c r="H2390" s="2">
        <v>139</v>
      </c>
      <c r="I2390" s="2">
        <v>88</v>
      </c>
      <c r="J2390" s="2">
        <v>504</v>
      </c>
      <c r="K2390" s="2">
        <v>1</v>
      </c>
      <c r="L2390" s="2">
        <v>139</v>
      </c>
    </row>
    <row r="2391" spans="1:12" x14ac:dyDescent="0.25">
      <c r="A2391" s="4" t="str">
        <f>HYPERLINK("http://www.rosaceae.org/Prunus/Prunus_persica/p.persica_gdr_reftransV1_0043883","p.persica_gdr_reftransV1_0043883")</f>
        <v>p.persica_gdr_reftransV1_0043883</v>
      </c>
      <c r="B2391" s="2">
        <v>3086</v>
      </c>
      <c r="C2391" s="4" t="str">
        <f>HYPERLINK("http://www.uniprot.org/uniprot/M5WFE7","M5WFE7")</f>
        <v>M5WFE7</v>
      </c>
      <c r="D2391" s="2" t="s">
        <v>2299</v>
      </c>
      <c r="E2391" s="3">
        <v>0</v>
      </c>
      <c r="F2391" s="2">
        <v>4423</v>
      </c>
      <c r="G2391" s="2">
        <v>98</v>
      </c>
      <c r="H2391" s="2">
        <v>856</v>
      </c>
      <c r="I2391" s="2">
        <v>1</v>
      </c>
      <c r="J2391" s="2">
        <v>2517</v>
      </c>
      <c r="K2391" s="2">
        <v>560</v>
      </c>
      <c r="L2391" s="2">
        <v>1415</v>
      </c>
    </row>
    <row r="2392" spans="1:12" x14ac:dyDescent="0.25">
      <c r="A2392" s="4" t="str">
        <f>HYPERLINK("http://www.rosaceae.org/Prunus/Prunus_persica/p.persica_gdr_reftransV1_0044233","p.persica_gdr_reftransV1_0044233")</f>
        <v>p.persica_gdr_reftransV1_0044233</v>
      </c>
      <c r="B2392" s="2">
        <v>874</v>
      </c>
      <c r="C2392" s="4" t="str">
        <f>HYPERLINK("http://www.uniprot.org/uniprot/M5WRX8","M5WRX8")</f>
        <v>M5WRX8</v>
      </c>
      <c r="D2392" s="2" t="s">
        <v>2300</v>
      </c>
      <c r="E2392" s="3">
        <v>0</v>
      </c>
      <c r="F2392" s="2">
        <v>1569</v>
      </c>
      <c r="G2392" s="2">
        <v>100</v>
      </c>
      <c r="H2392" s="2">
        <v>288</v>
      </c>
      <c r="I2392" s="2">
        <v>10</v>
      </c>
      <c r="J2392" s="2">
        <v>873</v>
      </c>
      <c r="K2392" s="2">
        <v>315</v>
      </c>
      <c r="L2392" s="2">
        <v>602</v>
      </c>
    </row>
    <row r="2393" spans="1:12" x14ac:dyDescent="0.25">
      <c r="A2393" s="4" t="str">
        <f>HYPERLINK("http://www.rosaceae.org/Prunus/Prunus_persica/p.persica_gdr_reftransV1_0044583","p.persica_gdr_reftransV1_0044583")</f>
        <v>p.persica_gdr_reftransV1_0044583</v>
      </c>
      <c r="B2393" s="2">
        <v>1989</v>
      </c>
      <c r="C2393" s="4" t="str">
        <f>HYPERLINK("http://www.uniprot.org/uniprot/M5WHF4","M5WHF4")</f>
        <v>M5WHF4</v>
      </c>
      <c r="D2393" s="2" t="s">
        <v>2301</v>
      </c>
      <c r="E2393" s="3">
        <v>0</v>
      </c>
      <c r="F2393" s="2">
        <v>1691</v>
      </c>
      <c r="G2393" s="2">
        <v>96</v>
      </c>
      <c r="H2393" s="2">
        <v>327</v>
      </c>
      <c r="I2393" s="2">
        <v>941</v>
      </c>
      <c r="J2393" s="2">
        <v>1921</v>
      </c>
      <c r="K2393" s="2">
        <v>24</v>
      </c>
      <c r="L2393" s="2">
        <v>350</v>
      </c>
    </row>
    <row r="2394" spans="1:12" x14ac:dyDescent="0.25">
      <c r="A2394" s="4" t="str">
        <f>HYPERLINK("http://www.rosaceae.org/Prunus/Prunus_persica/p.persica_gdr_reftransV1_0044933","p.persica_gdr_reftransV1_0044933")</f>
        <v>p.persica_gdr_reftransV1_0044933</v>
      </c>
      <c r="B2394" s="2">
        <v>859</v>
      </c>
      <c r="C2394" s="4" t="str">
        <f>HYPERLINK("http://www.uniprot.org/uniprot/M5WB44","M5WB44")</f>
        <v>M5WB44</v>
      </c>
      <c r="D2394" s="2" t="s">
        <v>2065</v>
      </c>
      <c r="E2394" s="3">
        <v>6.9199999999999998E-68</v>
      </c>
      <c r="F2394" s="2">
        <v>555</v>
      </c>
      <c r="G2394" s="2">
        <v>100</v>
      </c>
      <c r="H2394" s="2">
        <v>122</v>
      </c>
      <c r="I2394" s="2">
        <v>175</v>
      </c>
      <c r="J2394" s="2">
        <v>540</v>
      </c>
      <c r="K2394" s="2">
        <v>1</v>
      </c>
      <c r="L2394" s="2">
        <v>122</v>
      </c>
    </row>
    <row r="2395" spans="1:12" x14ac:dyDescent="0.25">
      <c r="A2395" s="4" t="str">
        <f>HYPERLINK("http://www.rosaceae.org/Prunus/Prunus_persica/p.persica_gdr_reftransV1_0045283","p.persica_gdr_reftransV1_0045283")</f>
        <v>p.persica_gdr_reftransV1_0045283</v>
      </c>
      <c r="B2395" s="2">
        <v>1415</v>
      </c>
      <c r="C2395" s="4" t="str">
        <f>HYPERLINK("http://www.uniprot.org/uniprot/M5XRL4","M5XRL4")</f>
        <v>M5XRL4</v>
      </c>
      <c r="D2395" s="2" t="s">
        <v>1256</v>
      </c>
      <c r="E2395" s="3">
        <v>0</v>
      </c>
      <c r="F2395" s="2">
        <v>2136</v>
      </c>
      <c r="G2395" s="2">
        <v>100</v>
      </c>
      <c r="H2395" s="2">
        <v>400</v>
      </c>
      <c r="I2395" s="2">
        <v>1</v>
      </c>
      <c r="J2395" s="2">
        <v>1200</v>
      </c>
      <c r="K2395" s="2">
        <v>47</v>
      </c>
      <c r="L2395" s="2">
        <v>446</v>
      </c>
    </row>
    <row r="2396" spans="1:12" x14ac:dyDescent="0.25">
      <c r="A2396" s="4" t="str">
        <f>HYPERLINK("http://www.rosaceae.org/Prunus/Prunus_persica/p.persica_gdr_reftransV1_0045633","p.persica_gdr_reftransV1_0045633")</f>
        <v>p.persica_gdr_reftransV1_0045633</v>
      </c>
      <c r="B2396" s="2">
        <v>440</v>
      </c>
      <c r="C2396" s="4" t="str">
        <f>HYPERLINK("http://www.uniprot.org/uniprot/M5XQK6","M5XQK6")</f>
        <v>M5XQK6</v>
      </c>
      <c r="D2396" s="2" t="s">
        <v>2302</v>
      </c>
      <c r="E2396" s="3">
        <v>4.7999999999999999E-47</v>
      </c>
      <c r="F2396" s="2">
        <v>419</v>
      </c>
      <c r="G2396" s="2">
        <v>100</v>
      </c>
      <c r="H2396" s="2">
        <v>108</v>
      </c>
      <c r="I2396" s="2">
        <v>2</v>
      </c>
      <c r="J2396" s="2">
        <v>325</v>
      </c>
      <c r="K2396" s="2">
        <v>20</v>
      </c>
      <c r="L2396" s="2">
        <v>127</v>
      </c>
    </row>
    <row r="2397" spans="1:12" x14ac:dyDescent="0.25">
      <c r="A2397" s="4" t="str">
        <f>HYPERLINK("http://www.rosaceae.org/Prunus/Prunus_persica/p.persica_gdr_reftransV1_0045983","p.persica_gdr_reftransV1_0045983")</f>
        <v>p.persica_gdr_reftransV1_0045983</v>
      </c>
      <c r="B2397" s="2">
        <v>1534</v>
      </c>
      <c r="C2397" s="4" t="str">
        <f>HYPERLINK("http://www.uniprot.org/uniprot/M5Y2X6","M5Y2X6")</f>
        <v>M5Y2X6</v>
      </c>
      <c r="D2397" s="2" t="s">
        <v>2303</v>
      </c>
      <c r="E2397" s="3">
        <v>0</v>
      </c>
      <c r="F2397" s="2">
        <v>1529</v>
      </c>
      <c r="G2397" s="2">
        <v>100</v>
      </c>
      <c r="H2397" s="2">
        <v>340</v>
      </c>
      <c r="I2397" s="2">
        <v>232</v>
      </c>
      <c r="J2397" s="2">
        <v>1251</v>
      </c>
      <c r="K2397" s="2">
        <v>1</v>
      </c>
      <c r="L2397" s="2">
        <v>340</v>
      </c>
    </row>
    <row r="2398" spans="1:12" x14ac:dyDescent="0.25">
      <c r="A2398" s="4" t="str">
        <f>HYPERLINK("http://www.rosaceae.org/Prunus/Prunus_persica/p.persica_gdr_reftransV1_0046333","p.persica_gdr_reftransV1_0046333")</f>
        <v>p.persica_gdr_reftransV1_0046333</v>
      </c>
      <c r="B2398" s="2">
        <v>2236</v>
      </c>
      <c r="C2398" s="4" t="str">
        <f>HYPERLINK("http://www.uniprot.org/uniprot/M5XXQ4","M5XXQ4")</f>
        <v>M5XXQ4</v>
      </c>
      <c r="D2398" s="2" t="s">
        <v>2304</v>
      </c>
      <c r="E2398" s="3">
        <v>0</v>
      </c>
      <c r="F2398" s="2">
        <v>2983</v>
      </c>
      <c r="G2398" s="2">
        <v>100</v>
      </c>
      <c r="H2398" s="2">
        <v>566</v>
      </c>
      <c r="I2398" s="2">
        <v>365</v>
      </c>
      <c r="J2398" s="2">
        <v>2062</v>
      </c>
      <c r="K2398" s="2">
        <v>1</v>
      </c>
      <c r="L2398" s="2">
        <v>566</v>
      </c>
    </row>
    <row r="2399" spans="1:12" x14ac:dyDescent="0.25">
      <c r="A2399" s="4" t="str">
        <f>HYPERLINK("http://www.rosaceae.org/Prunus/Prunus_persica/p.persica_gdr_reftransV1_0047033","p.persica_gdr_reftransV1_0047033")</f>
        <v>p.persica_gdr_reftransV1_0047033</v>
      </c>
      <c r="B2399" s="2">
        <v>1204</v>
      </c>
      <c r="C2399" s="4" t="str">
        <f>HYPERLINK("http://www.uniprot.org/uniprot/M5XEG5","M5XEG5")</f>
        <v>M5XEG5</v>
      </c>
      <c r="D2399" s="2" t="s">
        <v>2305</v>
      </c>
      <c r="E2399" s="3">
        <v>0</v>
      </c>
      <c r="F2399" s="2">
        <v>1481</v>
      </c>
      <c r="G2399" s="2">
        <v>100</v>
      </c>
      <c r="H2399" s="2">
        <v>300</v>
      </c>
      <c r="I2399" s="2">
        <v>219</v>
      </c>
      <c r="J2399" s="2">
        <v>1118</v>
      </c>
      <c r="K2399" s="2">
        <v>1</v>
      </c>
      <c r="L2399" s="2">
        <v>300</v>
      </c>
    </row>
    <row r="2400" spans="1:12" x14ac:dyDescent="0.25">
      <c r="A2400" s="4" t="str">
        <f>HYPERLINK("http://www.rosaceae.org/Prunus/Prunus_persica/p.persica_gdr_reftransV1_0047383","p.persica_gdr_reftransV1_0047383")</f>
        <v>p.persica_gdr_reftransV1_0047383</v>
      </c>
      <c r="B2400" s="2">
        <v>484</v>
      </c>
      <c r="C2400" s="4" t="str">
        <f>HYPERLINK("http://www.uniprot.org/uniprot/A0A067JMJ6","A0A067JMJ6")</f>
        <v>A0A067JMJ6</v>
      </c>
      <c r="D2400" s="2" t="s">
        <v>2306</v>
      </c>
      <c r="E2400" s="3">
        <v>8.6599999999999997E-24</v>
      </c>
      <c r="F2400" s="2">
        <v>256</v>
      </c>
      <c r="G2400" s="2">
        <v>47</v>
      </c>
      <c r="H2400" s="2">
        <v>171</v>
      </c>
      <c r="I2400" s="2">
        <v>2</v>
      </c>
      <c r="J2400" s="2">
        <v>484</v>
      </c>
      <c r="K2400" s="2">
        <v>2</v>
      </c>
      <c r="L2400" s="2">
        <v>161</v>
      </c>
    </row>
    <row r="2401" spans="1:12" x14ac:dyDescent="0.25">
      <c r="A2401" s="4" t="str">
        <f>HYPERLINK("http://www.rosaceae.org/Prunus/Prunus_persica/p.persica_gdr_reftransV1_0047733","p.persica_gdr_reftransV1_0047733")</f>
        <v>p.persica_gdr_reftransV1_0047733</v>
      </c>
      <c r="B2401" s="2">
        <v>356</v>
      </c>
      <c r="C2401" s="4" t="str">
        <f>HYPERLINK("http://www.uniprot.org/uniprot/M5WXV6","M5WXV6")</f>
        <v>M5WXV6</v>
      </c>
      <c r="D2401" s="2" t="s">
        <v>2307</v>
      </c>
      <c r="E2401" s="3">
        <v>1.2E-77</v>
      </c>
      <c r="F2401" s="2">
        <v>648</v>
      </c>
      <c r="G2401" s="2">
        <v>100</v>
      </c>
      <c r="H2401" s="2">
        <v>118</v>
      </c>
      <c r="I2401" s="2">
        <v>1</v>
      </c>
      <c r="J2401" s="2">
        <v>354</v>
      </c>
      <c r="K2401" s="2">
        <v>14</v>
      </c>
      <c r="L2401" s="2">
        <v>131</v>
      </c>
    </row>
    <row r="2402" spans="1:12" x14ac:dyDescent="0.25">
      <c r="A2402" s="4" t="str">
        <f>HYPERLINK("http://www.rosaceae.org/Prunus/Prunus_persica/p.persica_gdr_reftransV1_0048083","p.persica_gdr_reftransV1_0048083")</f>
        <v>p.persica_gdr_reftransV1_0048083</v>
      </c>
      <c r="B2402" s="2">
        <v>1088</v>
      </c>
      <c r="C2402" s="4" t="str">
        <f>HYPERLINK("http://www.uniprot.org/uniprot/M5XD64","M5XD64")</f>
        <v>M5XD64</v>
      </c>
      <c r="D2402" s="2" t="s">
        <v>2308</v>
      </c>
      <c r="E2402" s="3">
        <v>0</v>
      </c>
      <c r="F2402" s="2">
        <v>1394</v>
      </c>
      <c r="G2402" s="2">
        <v>100</v>
      </c>
      <c r="H2402" s="2">
        <v>267</v>
      </c>
      <c r="I2402" s="2">
        <v>69</v>
      </c>
      <c r="J2402" s="2">
        <v>869</v>
      </c>
      <c r="K2402" s="2">
        <v>1</v>
      </c>
      <c r="L2402" s="2">
        <v>267</v>
      </c>
    </row>
    <row r="2403" spans="1:12" x14ac:dyDescent="0.25">
      <c r="A2403" s="4" t="str">
        <f>HYPERLINK("http://www.rosaceae.org/Prunus/Prunus_persica/p.persica_gdr_reftransV1_0048433","p.persica_gdr_reftransV1_0048433")</f>
        <v>p.persica_gdr_reftransV1_0048433</v>
      </c>
      <c r="B2403" s="2">
        <v>346</v>
      </c>
      <c r="C2403" s="4" t="str">
        <f>HYPERLINK("http://www.uniprot.org/uniprot/M5WPS9","M5WPS9")</f>
        <v>M5WPS9</v>
      </c>
      <c r="D2403" s="2" t="s">
        <v>2309</v>
      </c>
      <c r="E2403" s="3">
        <v>1.6500000000000001E-72</v>
      </c>
      <c r="F2403" s="2">
        <v>612</v>
      </c>
      <c r="G2403" s="2">
        <v>100</v>
      </c>
      <c r="H2403" s="2">
        <v>115</v>
      </c>
      <c r="I2403" s="2">
        <v>1</v>
      </c>
      <c r="J2403" s="2">
        <v>345</v>
      </c>
      <c r="K2403" s="2">
        <v>53</v>
      </c>
      <c r="L2403" s="2">
        <v>167</v>
      </c>
    </row>
    <row r="2404" spans="1:12" x14ac:dyDescent="0.25">
      <c r="A2404" s="4" t="str">
        <f>HYPERLINK("http://www.rosaceae.org/Prunus/Prunus_persica/p.persica_gdr_reftransV1_0048783","p.persica_gdr_reftransV1_0048783")</f>
        <v>p.persica_gdr_reftransV1_0048783</v>
      </c>
      <c r="B2404" s="2">
        <v>597</v>
      </c>
      <c r="C2404" s="4" t="str">
        <f>HYPERLINK("http://www.uniprot.org/uniprot/A0A0A7G0N6","A0A0A7G0N6")</f>
        <v>A0A0A7G0N6</v>
      </c>
      <c r="D2404" s="2" t="s">
        <v>2310</v>
      </c>
      <c r="E2404" s="3">
        <v>6.53E-60</v>
      </c>
      <c r="F2404" s="2">
        <v>498</v>
      </c>
      <c r="G2404" s="2">
        <v>100</v>
      </c>
      <c r="H2404" s="2">
        <v>135</v>
      </c>
      <c r="I2404" s="2">
        <v>152</v>
      </c>
      <c r="J2404" s="2">
        <v>556</v>
      </c>
      <c r="K2404" s="2">
        <v>1</v>
      </c>
      <c r="L2404" s="2">
        <v>135</v>
      </c>
    </row>
    <row r="2405" spans="1:12" x14ac:dyDescent="0.25">
      <c r="A2405" s="4" t="str">
        <f>HYPERLINK("http://www.rosaceae.org/Prunus/Prunus_persica/p.persica_gdr_reftransV1_0000134","p.persica_gdr_reftransV1_0000134")</f>
        <v>p.persica_gdr_reftransV1_0000134</v>
      </c>
      <c r="B2405" s="2">
        <v>496</v>
      </c>
      <c r="C2405" s="4" t="str">
        <f>HYPERLINK("http://www.uniprot.org/uniprot/M5W6U4","M5W6U4")</f>
        <v>M5W6U4</v>
      </c>
      <c r="D2405" s="2" t="s">
        <v>1781</v>
      </c>
      <c r="E2405" s="3">
        <v>1.8199999999999999E-100</v>
      </c>
      <c r="F2405" s="2">
        <v>795</v>
      </c>
      <c r="G2405" s="2">
        <v>100</v>
      </c>
      <c r="H2405" s="2">
        <v>149</v>
      </c>
      <c r="I2405" s="2">
        <v>48</v>
      </c>
      <c r="J2405" s="2">
        <v>494</v>
      </c>
      <c r="K2405" s="2">
        <v>384</v>
      </c>
      <c r="L2405" s="2">
        <v>532</v>
      </c>
    </row>
    <row r="2406" spans="1:12" x14ac:dyDescent="0.25">
      <c r="A2406" s="4" t="str">
        <f>HYPERLINK("http://www.rosaceae.org/Prunus/Prunus_persica/p.persica_gdr_reftransV1_0000834","p.persica_gdr_reftransV1_0000834")</f>
        <v>p.persica_gdr_reftransV1_0000834</v>
      </c>
      <c r="B2406" s="2">
        <v>322</v>
      </c>
      <c r="C2406" s="4" t="str">
        <f>HYPERLINK("http://www.uniprot.org/uniprot/X2G9K0","X2G9K0")</f>
        <v>X2G9K0</v>
      </c>
      <c r="D2406" s="2" t="s">
        <v>2311</v>
      </c>
      <c r="E2406" s="3">
        <v>1.3300000000000001E-64</v>
      </c>
      <c r="F2406" s="2">
        <v>556</v>
      </c>
      <c r="G2406" s="2">
        <v>100</v>
      </c>
      <c r="H2406" s="2">
        <v>107</v>
      </c>
      <c r="I2406" s="2">
        <v>2</v>
      </c>
      <c r="J2406" s="2">
        <v>322</v>
      </c>
      <c r="K2406" s="2">
        <v>10</v>
      </c>
      <c r="L2406" s="2">
        <v>116</v>
      </c>
    </row>
    <row r="2407" spans="1:12" x14ac:dyDescent="0.25">
      <c r="A2407" s="4" t="str">
        <f>HYPERLINK("http://www.rosaceae.org/Prunus/Prunus_persica/p.persica_gdr_reftransV1_0001184","p.persica_gdr_reftransV1_0001184")</f>
        <v>p.persica_gdr_reftransV1_0001184</v>
      </c>
      <c r="B2407" s="2">
        <v>395</v>
      </c>
      <c r="C2407" s="4" t="str">
        <f>HYPERLINK("http://www.uniprot.org/uniprot/M5WQN5","M5WQN5")</f>
        <v>M5WQN5</v>
      </c>
      <c r="D2407" s="2" t="s">
        <v>2312</v>
      </c>
      <c r="E2407" s="3">
        <v>1.54E-25</v>
      </c>
      <c r="F2407" s="2">
        <v>271</v>
      </c>
      <c r="G2407" s="2">
        <v>56</v>
      </c>
      <c r="H2407" s="2">
        <v>87</v>
      </c>
      <c r="I2407" s="2">
        <v>127</v>
      </c>
      <c r="J2407" s="2">
        <v>387</v>
      </c>
      <c r="K2407" s="2">
        <v>8</v>
      </c>
      <c r="L2407" s="2">
        <v>94</v>
      </c>
    </row>
    <row r="2408" spans="1:12" x14ac:dyDescent="0.25">
      <c r="A2408" s="4" t="str">
        <f>HYPERLINK("http://www.rosaceae.org/Prunus/Prunus_persica/p.persica_gdr_reftransV1_0001534","p.persica_gdr_reftransV1_0001534")</f>
        <v>p.persica_gdr_reftransV1_0001534</v>
      </c>
      <c r="B2408" s="2">
        <v>710</v>
      </c>
      <c r="C2408" s="4" t="str">
        <f>HYPERLINK("http://www.uniprot.org/uniprot/M5XRX5","M5XRX5")</f>
        <v>M5XRX5</v>
      </c>
      <c r="D2408" s="2" t="s">
        <v>1343</v>
      </c>
      <c r="E2408" s="3">
        <v>1.45E-80</v>
      </c>
      <c r="F2408" s="2">
        <v>658</v>
      </c>
      <c r="G2408" s="2">
        <v>100</v>
      </c>
      <c r="H2408" s="2">
        <v>143</v>
      </c>
      <c r="I2408" s="2">
        <v>281</v>
      </c>
      <c r="J2408" s="2">
        <v>709</v>
      </c>
      <c r="K2408" s="2">
        <v>239</v>
      </c>
      <c r="L2408" s="2">
        <v>381</v>
      </c>
    </row>
    <row r="2409" spans="1:12" x14ac:dyDescent="0.25">
      <c r="A2409" s="4" t="str">
        <f>HYPERLINK("http://www.rosaceae.org/Prunus/Prunus_persica/p.persica_gdr_reftransV1_0001884","p.persica_gdr_reftransV1_0001884")</f>
        <v>p.persica_gdr_reftransV1_0001884</v>
      </c>
      <c r="B2409" s="2">
        <v>821</v>
      </c>
      <c r="C2409" s="4" t="str">
        <f>HYPERLINK("http://www.uniprot.org/uniprot/M5X0T6","M5X0T6")</f>
        <v>M5X0T6</v>
      </c>
      <c r="D2409" s="2" t="s">
        <v>2313</v>
      </c>
      <c r="E2409" s="3">
        <v>1.54E-129</v>
      </c>
      <c r="F2409" s="2">
        <v>967</v>
      </c>
      <c r="G2409" s="2">
        <v>100</v>
      </c>
      <c r="H2409" s="2">
        <v>181</v>
      </c>
      <c r="I2409" s="2">
        <v>241</v>
      </c>
      <c r="J2409" s="2">
        <v>783</v>
      </c>
      <c r="K2409" s="2">
        <v>1</v>
      </c>
      <c r="L2409" s="2">
        <v>181</v>
      </c>
    </row>
    <row r="2410" spans="1:12" x14ac:dyDescent="0.25">
      <c r="A2410" s="4" t="str">
        <f>HYPERLINK("http://www.rosaceae.org/Prunus/Prunus_persica/p.persica_gdr_reftransV1_0002234","p.persica_gdr_reftransV1_0002234")</f>
        <v>p.persica_gdr_reftransV1_0002234</v>
      </c>
      <c r="B2410" s="2">
        <v>664</v>
      </c>
      <c r="C2410" s="4" t="str">
        <f>HYPERLINK("http://www.uniprot.org/uniprot/B9SFI7","B9SFI7")</f>
        <v>B9SFI7</v>
      </c>
      <c r="D2410" s="2" t="s">
        <v>2314</v>
      </c>
      <c r="E2410" s="3">
        <v>1.87E-33</v>
      </c>
      <c r="F2410" s="2">
        <v>326</v>
      </c>
      <c r="G2410" s="2">
        <v>56</v>
      </c>
      <c r="H2410" s="2">
        <v>211</v>
      </c>
      <c r="I2410" s="2">
        <v>35</v>
      </c>
      <c r="J2410" s="2">
        <v>619</v>
      </c>
      <c r="K2410" s="2">
        <v>1</v>
      </c>
      <c r="L2410" s="2">
        <v>207</v>
      </c>
    </row>
    <row r="2411" spans="1:12" x14ac:dyDescent="0.25">
      <c r="A2411" s="4" t="str">
        <f>HYPERLINK("http://www.rosaceae.org/Prunus/Prunus_persica/p.persica_gdr_reftransV1_0002934","p.persica_gdr_reftransV1_0002934")</f>
        <v>p.persica_gdr_reftransV1_0002934</v>
      </c>
      <c r="B2411" s="2">
        <v>629</v>
      </c>
      <c r="C2411" s="4" t="str">
        <f>HYPERLINK("http://www.uniprot.org/uniprot/M5W0X2","M5W0X2")</f>
        <v>M5W0X2</v>
      </c>
      <c r="D2411" s="2" t="s">
        <v>2315</v>
      </c>
      <c r="E2411" s="3">
        <v>2.9399999999999998E-39</v>
      </c>
      <c r="F2411" s="2">
        <v>367</v>
      </c>
      <c r="G2411" s="2">
        <v>100</v>
      </c>
      <c r="H2411" s="2">
        <v>83</v>
      </c>
      <c r="I2411" s="2">
        <v>276</v>
      </c>
      <c r="J2411" s="2">
        <v>524</v>
      </c>
      <c r="K2411" s="2">
        <v>1</v>
      </c>
      <c r="L2411" s="2">
        <v>83</v>
      </c>
    </row>
    <row r="2412" spans="1:12" x14ac:dyDescent="0.25">
      <c r="A2412" s="4" t="str">
        <f>HYPERLINK("http://www.rosaceae.org/Prunus/Prunus_persica/p.persica_gdr_reftransV1_0003284","p.persica_gdr_reftransV1_0003284")</f>
        <v>p.persica_gdr_reftransV1_0003284</v>
      </c>
      <c r="B2412" s="2">
        <v>1953</v>
      </c>
      <c r="C2412" s="4" t="str">
        <f>HYPERLINK("http://www.uniprot.org/uniprot/A0A061GKP1","A0A061GKP1")</f>
        <v>A0A061GKP1</v>
      </c>
      <c r="D2412" s="2" t="s">
        <v>2316</v>
      </c>
      <c r="E2412" s="3">
        <v>0</v>
      </c>
      <c r="F2412" s="2">
        <v>1820</v>
      </c>
      <c r="G2412" s="2">
        <v>73</v>
      </c>
      <c r="H2412" s="2">
        <v>458</v>
      </c>
      <c r="I2412" s="2">
        <v>525</v>
      </c>
      <c r="J2412" s="2">
        <v>1790</v>
      </c>
      <c r="K2412" s="2">
        <v>6</v>
      </c>
      <c r="L2412" s="2">
        <v>463</v>
      </c>
    </row>
    <row r="2413" spans="1:12" x14ac:dyDescent="0.25">
      <c r="A2413" s="4" t="str">
        <f>HYPERLINK("http://www.rosaceae.org/Prunus/Prunus_persica/p.persica_gdr_reftransV1_0005034","p.persica_gdr_reftransV1_0005034")</f>
        <v>p.persica_gdr_reftransV1_0005034</v>
      </c>
      <c r="B2413" s="2">
        <v>3741</v>
      </c>
      <c r="C2413" s="4" t="str">
        <f>HYPERLINK("http://www.uniprot.org/uniprot/M5X3N4","M5X3N4")</f>
        <v>M5X3N4</v>
      </c>
      <c r="D2413" s="2" t="s">
        <v>2317</v>
      </c>
      <c r="E2413" s="3">
        <v>0</v>
      </c>
      <c r="F2413" s="2">
        <v>5523</v>
      </c>
      <c r="G2413" s="2">
        <v>100</v>
      </c>
      <c r="H2413" s="2">
        <v>1051</v>
      </c>
      <c r="I2413" s="2">
        <v>225</v>
      </c>
      <c r="J2413" s="2">
        <v>3377</v>
      </c>
      <c r="K2413" s="2">
        <v>1</v>
      </c>
      <c r="L2413" s="2">
        <v>1051</v>
      </c>
    </row>
    <row r="2414" spans="1:12" x14ac:dyDescent="0.25">
      <c r="A2414" s="4" t="str">
        <f>HYPERLINK("http://www.rosaceae.org/Prunus/Prunus_persica/p.persica_gdr_reftransV1_0005734","p.persica_gdr_reftransV1_0005734")</f>
        <v>p.persica_gdr_reftransV1_0005734</v>
      </c>
      <c r="B2414" s="2">
        <v>501</v>
      </c>
      <c r="C2414" s="4" t="str">
        <f>HYPERLINK("http://www.uniprot.org/uniprot/M5XPF3","M5XPF3")</f>
        <v>M5XPF3</v>
      </c>
      <c r="D2414" s="2" t="s">
        <v>2318</v>
      </c>
      <c r="E2414" s="3">
        <v>5.9099999999999999E-116</v>
      </c>
      <c r="F2414" s="2">
        <v>887</v>
      </c>
      <c r="G2414" s="2">
        <v>100</v>
      </c>
      <c r="H2414" s="2">
        <v>166</v>
      </c>
      <c r="I2414" s="2">
        <v>3</v>
      </c>
      <c r="J2414" s="2">
        <v>500</v>
      </c>
      <c r="K2414" s="2">
        <v>130</v>
      </c>
      <c r="L2414" s="2">
        <v>295</v>
      </c>
    </row>
    <row r="2415" spans="1:12" x14ac:dyDescent="0.25">
      <c r="A2415" s="4" t="str">
        <f>HYPERLINK("http://www.rosaceae.org/Prunus/Prunus_persica/p.persica_gdr_reftransV1_0006084","p.persica_gdr_reftransV1_0006084")</f>
        <v>p.persica_gdr_reftransV1_0006084</v>
      </c>
      <c r="B2415" s="2">
        <v>433</v>
      </c>
      <c r="C2415" s="4" t="str">
        <f>HYPERLINK("http://www.uniprot.org/uniprot/G2XQJ9","G2XQJ9")</f>
        <v>G2XQJ9</v>
      </c>
      <c r="D2415" s="2" t="s">
        <v>2319</v>
      </c>
      <c r="E2415" s="3">
        <v>3.9900000000000001E-68</v>
      </c>
      <c r="F2415" s="2">
        <v>541</v>
      </c>
      <c r="G2415" s="2">
        <v>100</v>
      </c>
      <c r="H2415" s="2">
        <v>106</v>
      </c>
      <c r="I2415" s="2">
        <v>54</v>
      </c>
      <c r="J2415" s="2">
        <v>371</v>
      </c>
      <c r="K2415" s="2">
        <v>1</v>
      </c>
      <c r="L2415" s="2">
        <v>106</v>
      </c>
    </row>
    <row r="2416" spans="1:12" x14ac:dyDescent="0.25">
      <c r="A2416" s="4" t="str">
        <f>HYPERLINK("http://www.rosaceae.org/Prunus/Prunus_persica/p.persica_gdr_reftransV1_0006434","p.persica_gdr_reftransV1_0006434")</f>
        <v>p.persica_gdr_reftransV1_0006434</v>
      </c>
      <c r="B2416" s="2">
        <v>469</v>
      </c>
      <c r="C2416" s="4" t="str">
        <f>HYPERLINK("http://www.uniprot.org/uniprot/A0A067JQH9","A0A067JQH9")</f>
        <v>A0A067JQH9</v>
      </c>
      <c r="D2416" s="2" t="s">
        <v>2320</v>
      </c>
      <c r="E2416" s="3">
        <v>1.9300000000000001E-17</v>
      </c>
      <c r="F2416" s="2">
        <v>212</v>
      </c>
      <c r="G2416" s="2">
        <v>44</v>
      </c>
      <c r="H2416" s="2">
        <v>119</v>
      </c>
      <c r="I2416" s="2">
        <v>125</v>
      </c>
      <c r="J2416" s="2">
        <v>469</v>
      </c>
      <c r="K2416" s="2">
        <v>7</v>
      </c>
      <c r="L2416" s="2">
        <v>124</v>
      </c>
    </row>
    <row r="2417" spans="1:12" x14ac:dyDescent="0.25">
      <c r="A2417" s="4" t="str">
        <f>HYPERLINK("http://www.rosaceae.org/Prunus/Prunus_persica/p.persica_gdr_reftransV1_0006784","p.persica_gdr_reftransV1_0006784")</f>
        <v>p.persica_gdr_reftransV1_0006784</v>
      </c>
      <c r="B2417" s="2">
        <v>606</v>
      </c>
      <c r="C2417" s="4" t="str">
        <f>HYPERLINK("http://www.uniprot.org/uniprot/M5WYG6","M5WYG6")</f>
        <v>M5WYG6</v>
      </c>
      <c r="D2417" s="2" t="s">
        <v>2321</v>
      </c>
      <c r="E2417" s="3">
        <v>1.51E-130</v>
      </c>
      <c r="F2417" s="2">
        <v>1006</v>
      </c>
      <c r="G2417" s="2">
        <v>100</v>
      </c>
      <c r="H2417" s="2">
        <v>201</v>
      </c>
      <c r="I2417" s="2">
        <v>3</v>
      </c>
      <c r="J2417" s="2">
        <v>605</v>
      </c>
      <c r="K2417" s="2">
        <v>113</v>
      </c>
      <c r="L2417" s="2">
        <v>313</v>
      </c>
    </row>
    <row r="2418" spans="1:12" x14ac:dyDescent="0.25">
      <c r="A2418" s="4" t="str">
        <f>HYPERLINK("http://www.rosaceae.org/Prunus/Prunus_persica/p.persica_gdr_reftransV1_0007834","p.persica_gdr_reftransV1_0007834")</f>
        <v>p.persica_gdr_reftransV1_0007834</v>
      </c>
      <c r="B2418" s="2">
        <v>1724</v>
      </c>
      <c r="C2418" s="4" t="str">
        <f>HYPERLINK("http://www.uniprot.org/uniprot/M5WHB7","M5WHB7")</f>
        <v>M5WHB7</v>
      </c>
      <c r="D2418" s="2" t="s">
        <v>2322</v>
      </c>
      <c r="E2418" s="3">
        <v>1.0100000000000001E-132</v>
      </c>
      <c r="F2418" s="2">
        <v>1037</v>
      </c>
      <c r="G2418" s="2">
        <v>100</v>
      </c>
      <c r="H2418" s="2">
        <v>208</v>
      </c>
      <c r="I2418" s="2">
        <v>1071</v>
      </c>
      <c r="J2418" s="2">
        <v>1694</v>
      </c>
      <c r="K2418" s="2">
        <v>141</v>
      </c>
      <c r="L2418" s="2">
        <v>348</v>
      </c>
    </row>
    <row r="2419" spans="1:12" x14ac:dyDescent="0.25">
      <c r="A2419" s="4" t="str">
        <f>HYPERLINK("http://www.rosaceae.org/Prunus/Prunus_persica/p.persica_gdr_reftransV1_0008184","p.persica_gdr_reftransV1_0008184")</f>
        <v>p.persica_gdr_reftransV1_0008184</v>
      </c>
      <c r="B2419" s="2">
        <v>1372</v>
      </c>
      <c r="C2419" s="4" t="str">
        <f>HYPERLINK("http://www.uniprot.org/uniprot/M5WS75","M5WS75")</f>
        <v>M5WS75</v>
      </c>
      <c r="D2419" s="2" t="s">
        <v>2323</v>
      </c>
      <c r="E2419" s="3">
        <v>0</v>
      </c>
      <c r="F2419" s="2">
        <v>1565</v>
      </c>
      <c r="G2419" s="2">
        <v>91</v>
      </c>
      <c r="H2419" s="2">
        <v>356</v>
      </c>
      <c r="I2419" s="2">
        <v>1</v>
      </c>
      <c r="J2419" s="2">
        <v>981</v>
      </c>
      <c r="K2419" s="2">
        <v>8</v>
      </c>
      <c r="L2419" s="2">
        <v>363</v>
      </c>
    </row>
    <row r="2420" spans="1:12" x14ac:dyDescent="0.25">
      <c r="A2420" s="4" t="str">
        <f>HYPERLINK("http://www.rosaceae.org/Prunus/Prunus_persica/p.persica_gdr_reftransV1_0008534","p.persica_gdr_reftransV1_0008534")</f>
        <v>p.persica_gdr_reftransV1_0008534</v>
      </c>
      <c r="B2420" s="2">
        <v>1451</v>
      </c>
      <c r="C2420" s="4" t="str">
        <f>HYPERLINK("http://www.uniprot.org/uniprot/M5VZZ5","M5VZZ5")</f>
        <v>M5VZZ5</v>
      </c>
      <c r="D2420" s="2" t="s">
        <v>2324</v>
      </c>
      <c r="E2420" s="3">
        <v>5.3400000000000001E-156</v>
      </c>
      <c r="F2420" s="2">
        <v>1169</v>
      </c>
      <c r="G2420" s="2">
        <v>100</v>
      </c>
      <c r="H2420" s="2">
        <v>227</v>
      </c>
      <c r="I2420" s="2">
        <v>540</v>
      </c>
      <c r="J2420" s="2">
        <v>1220</v>
      </c>
      <c r="K2420" s="2">
        <v>1</v>
      </c>
      <c r="L2420" s="2">
        <v>227</v>
      </c>
    </row>
    <row r="2421" spans="1:12" x14ac:dyDescent="0.25">
      <c r="A2421" s="4" t="str">
        <f>HYPERLINK("http://www.rosaceae.org/Prunus/Prunus_persica/p.persica_gdr_reftransV1_0009234","p.persica_gdr_reftransV1_0009234")</f>
        <v>p.persica_gdr_reftransV1_0009234</v>
      </c>
      <c r="B2421" s="2">
        <v>1268</v>
      </c>
      <c r="C2421" s="4" t="str">
        <f>HYPERLINK("http://www.uniprot.org/uniprot/M5XLS4","M5XLS4")</f>
        <v>M5XLS4</v>
      </c>
      <c r="D2421" s="2" t="s">
        <v>2325</v>
      </c>
      <c r="E2421" s="3">
        <v>2.3199999999999999E-147</v>
      </c>
      <c r="F2421" s="2">
        <v>1111</v>
      </c>
      <c r="G2421" s="2">
        <v>100</v>
      </c>
      <c r="H2421" s="2">
        <v>224</v>
      </c>
      <c r="I2421" s="2">
        <v>570</v>
      </c>
      <c r="J2421" s="2">
        <v>1241</v>
      </c>
      <c r="K2421" s="2">
        <v>52</v>
      </c>
      <c r="L2421" s="2">
        <v>275</v>
      </c>
    </row>
    <row r="2422" spans="1:12" x14ac:dyDescent="0.25">
      <c r="A2422" s="4" t="str">
        <f>HYPERLINK("http://www.rosaceae.org/Prunus/Prunus_persica/p.persica_gdr_reftransV1_0009584","p.persica_gdr_reftransV1_0009584")</f>
        <v>p.persica_gdr_reftransV1_0009584</v>
      </c>
      <c r="B2422" s="2">
        <v>2564</v>
      </c>
      <c r="C2422" s="4" t="str">
        <f>HYPERLINK("http://www.uniprot.org/uniprot/M5Y1J9","M5Y1J9")</f>
        <v>M5Y1J9</v>
      </c>
      <c r="D2422" s="2" t="s">
        <v>2326</v>
      </c>
      <c r="E2422" s="3">
        <v>0</v>
      </c>
      <c r="F2422" s="2">
        <v>1890</v>
      </c>
      <c r="G2422" s="2">
        <v>94</v>
      </c>
      <c r="H2422" s="2">
        <v>710</v>
      </c>
      <c r="I2422" s="2">
        <v>435</v>
      </c>
      <c r="J2422" s="2">
        <v>2564</v>
      </c>
      <c r="K2422" s="2">
        <v>1</v>
      </c>
      <c r="L2422" s="2">
        <v>690</v>
      </c>
    </row>
    <row r="2423" spans="1:12" x14ac:dyDescent="0.25">
      <c r="A2423" s="4" t="str">
        <f>HYPERLINK("http://www.rosaceae.org/Prunus/Prunus_persica/p.persica_gdr_reftransV1_0010634","p.persica_gdr_reftransV1_0010634")</f>
        <v>p.persica_gdr_reftransV1_0010634</v>
      </c>
      <c r="B2423" s="2">
        <v>808</v>
      </c>
      <c r="C2423" s="4" t="str">
        <f>HYPERLINK("http://www.uniprot.org/uniprot/A6XN05","A6XN05")</f>
        <v>A6XN05</v>
      </c>
      <c r="D2423" s="2" t="s">
        <v>2264</v>
      </c>
      <c r="E2423" s="3">
        <v>1.16E-66</v>
      </c>
      <c r="F2423" s="2">
        <v>431</v>
      </c>
      <c r="G2423" s="2">
        <v>68</v>
      </c>
      <c r="H2423" s="2">
        <v>133</v>
      </c>
      <c r="I2423" s="2">
        <v>235</v>
      </c>
      <c r="J2423" s="2">
        <v>633</v>
      </c>
      <c r="K2423" s="2">
        <v>30</v>
      </c>
      <c r="L2423" s="2">
        <v>161</v>
      </c>
    </row>
    <row r="2424" spans="1:12" x14ac:dyDescent="0.25">
      <c r="A2424" s="4" t="str">
        <f>HYPERLINK("http://www.rosaceae.org/Prunus/Prunus_persica/p.persica_gdr_reftransV1_0011684","p.persica_gdr_reftransV1_0011684")</f>
        <v>p.persica_gdr_reftransV1_0011684</v>
      </c>
      <c r="B2424" s="2">
        <v>2663</v>
      </c>
      <c r="C2424" s="4" t="str">
        <f>HYPERLINK("http://www.uniprot.org/uniprot/M5W2V5","M5W2V5")</f>
        <v>M5W2V5</v>
      </c>
      <c r="D2424" s="2" t="s">
        <v>2327</v>
      </c>
      <c r="E2424" s="3">
        <v>0</v>
      </c>
      <c r="F2424" s="2">
        <v>1750</v>
      </c>
      <c r="G2424" s="2">
        <v>90</v>
      </c>
      <c r="H2424" s="2">
        <v>438</v>
      </c>
      <c r="I2424" s="2">
        <v>763</v>
      </c>
      <c r="J2424" s="2">
        <v>2076</v>
      </c>
      <c r="K2424" s="2">
        <v>1</v>
      </c>
      <c r="L2424" s="2">
        <v>395</v>
      </c>
    </row>
    <row r="2425" spans="1:12" x14ac:dyDescent="0.25">
      <c r="A2425" s="4" t="str">
        <f>HYPERLINK("http://www.rosaceae.org/Prunus/Prunus_persica/p.persica_gdr_reftransV1_0012034","p.persica_gdr_reftransV1_0012034")</f>
        <v>p.persica_gdr_reftransV1_0012034</v>
      </c>
      <c r="B2425" s="2">
        <v>706</v>
      </c>
      <c r="C2425" s="4" t="str">
        <f>HYPERLINK("http://www.uniprot.org/uniprot/M5W0V0","M5W0V0")</f>
        <v>M5W0V0</v>
      </c>
      <c r="D2425" s="2" t="s">
        <v>2328</v>
      </c>
      <c r="E2425" s="3">
        <v>3.11E-86</v>
      </c>
      <c r="F2425" s="2">
        <v>690</v>
      </c>
      <c r="G2425" s="2">
        <v>96</v>
      </c>
      <c r="H2425" s="2">
        <v>141</v>
      </c>
      <c r="I2425" s="2">
        <v>290</v>
      </c>
      <c r="J2425" s="2">
        <v>706</v>
      </c>
      <c r="K2425" s="2">
        <v>176</v>
      </c>
      <c r="L2425" s="2">
        <v>316</v>
      </c>
    </row>
    <row r="2426" spans="1:12" x14ac:dyDescent="0.25">
      <c r="A2426" s="4" t="str">
        <f>HYPERLINK("http://www.rosaceae.org/Prunus/Prunus_persica/p.persica_gdr_reftransV1_0012384","p.persica_gdr_reftransV1_0012384")</f>
        <v>p.persica_gdr_reftransV1_0012384</v>
      </c>
      <c r="B2426" s="2">
        <v>1592</v>
      </c>
      <c r="C2426" s="4" t="str">
        <f>HYPERLINK("http://www.uniprot.org/uniprot/M5XHP3","M5XHP3")</f>
        <v>M5XHP3</v>
      </c>
      <c r="D2426" s="2" t="s">
        <v>2329</v>
      </c>
      <c r="E2426" s="3">
        <v>4.46E-28</v>
      </c>
      <c r="F2426" s="2">
        <v>245</v>
      </c>
      <c r="G2426" s="2">
        <v>95</v>
      </c>
      <c r="H2426" s="2">
        <v>63</v>
      </c>
      <c r="I2426" s="2">
        <v>2</v>
      </c>
      <c r="J2426" s="2">
        <v>190</v>
      </c>
      <c r="K2426" s="2">
        <v>76</v>
      </c>
      <c r="L2426" s="2">
        <v>138</v>
      </c>
    </row>
    <row r="2427" spans="1:12" x14ac:dyDescent="0.25">
      <c r="A2427" s="4" t="str">
        <f>HYPERLINK("http://www.rosaceae.org/Prunus/Prunus_persica/p.persica_gdr_reftransV1_0012734","p.persica_gdr_reftransV1_0012734")</f>
        <v>p.persica_gdr_reftransV1_0012734</v>
      </c>
      <c r="B2427" s="2">
        <v>4345</v>
      </c>
      <c r="C2427" s="4" t="str">
        <f>HYPERLINK("http://www.uniprot.org/uniprot/M5X3Y3","M5X3Y3")</f>
        <v>M5X3Y3</v>
      </c>
      <c r="D2427" s="2" t="s">
        <v>2330</v>
      </c>
      <c r="E2427" s="3">
        <v>0</v>
      </c>
      <c r="F2427" s="2">
        <v>4102</v>
      </c>
      <c r="G2427" s="2">
        <v>100</v>
      </c>
      <c r="H2427" s="2">
        <v>878</v>
      </c>
      <c r="I2427" s="2">
        <v>799</v>
      </c>
      <c r="J2427" s="2">
        <v>3432</v>
      </c>
      <c r="K2427" s="2">
        <v>22</v>
      </c>
      <c r="L2427" s="2">
        <v>899</v>
      </c>
    </row>
    <row r="2428" spans="1:12" x14ac:dyDescent="0.25">
      <c r="A2428" s="4" t="str">
        <f>HYPERLINK("http://www.rosaceae.org/Prunus/Prunus_persica/p.persica_gdr_reftransV1_0013434","p.persica_gdr_reftransV1_0013434")</f>
        <v>p.persica_gdr_reftransV1_0013434</v>
      </c>
      <c r="B2428" s="2">
        <v>2504</v>
      </c>
      <c r="C2428" s="4" t="str">
        <f>HYPERLINK("http://www.uniprot.org/uniprot/M5VWM7","M5VWM7")</f>
        <v>M5VWM7</v>
      </c>
      <c r="D2428" s="2" t="s">
        <v>2331</v>
      </c>
      <c r="E2428" s="3">
        <v>0</v>
      </c>
      <c r="F2428" s="2">
        <v>3353</v>
      </c>
      <c r="G2428" s="2">
        <v>100</v>
      </c>
      <c r="H2428" s="2">
        <v>682</v>
      </c>
      <c r="I2428" s="2">
        <v>369</v>
      </c>
      <c r="J2428" s="2">
        <v>2414</v>
      </c>
      <c r="K2428" s="2">
        <v>5</v>
      </c>
      <c r="L2428" s="2">
        <v>686</v>
      </c>
    </row>
    <row r="2429" spans="1:12" x14ac:dyDescent="0.25">
      <c r="A2429" s="4" t="str">
        <f>HYPERLINK("http://www.rosaceae.org/Prunus/Prunus_persica/p.persica_gdr_reftransV1_0014834","p.persica_gdr_reftransV1_0014834")</f>
        <v>p.persica_gdr_reftransV1_0014834</v>
      </c>
      <c r="B2429" s="2">
        <v>1282</v>
      </c>
      <c r="C2429" s="4" t="str">
        <f>HYPERLINK("http://www.uniprot.org/uniprot/M5X1Y7","M5X1Y7")</f>
        <v>M5X1Y7</v>
      </c>
      <c r="D2429" s="2" t="s">
        <v>2332</v>
      </c>
      <c r="E2429" s="3">
        <v>2.4099999999999998E-162</v>
      </c>
      <c r="F2429" s="2">
        <v>1208</v>
      </c>
      <c r="G2429" s="2">
        <v>100</v>
      </c>
      <c r="H2429" s="2">
        <v>258</v>
      </c>
      <c r="I2429" s="2">
        <v>98</v>
      </c>
      <c r="J2429" s="2">
        <v>871</v>
      </c>
      <c r="K2429" s="2">
        <v>4</v>
      </c>
      <c r="L2429" s="2">
        <v>261</v>
      </c>
    </row>
    <row r="2430" spans="1:12" x14ac:dyDescent="0.25">
      <c r="A2430" s="4" t="str">
        <f>HYPERLINK("http://www.rosaceae.org/Prunus/Prunus_persica/p.persica_gdr_reftransV1_0015184","p.persica_gdr_reftransV1_0015184")</f>
        <v>p.persica_gdr_reftransV1_0015184</v>
      </c>
      <c r="B2430" s="2">
        <v>3591</v>
      </c>
      <c r="C2430" s="4" t="str">
        <f>HYPERLINK("http://www.uniprot.org/uniprot/M5X0A1","M5X0A1")</f>
        <v>M5X0A1</v>
      </c>
      <c r="D2430" s="2" t="s">
        <v>2333</v>
      </c>
      <c r="E2430" s="3">
        <v>0</v>
      </c>
      <c r="F2430" s="2">
        <v>1562</v>
      </c>
      <c r="G2430" s="2">
        <v>100</v>
      </c>
      <c r="H2430" s="2">
        <v>330</v>
      </c>
      <c r="I2430" s="2">
        <v>2247</v>
      </c>
      <c r="J2430" s="2">
        <v>3236</v>
      </c>
      <c r="K2430" s="2">
        <v>117</v>
      </c>
      <c r="L2430" s="2">
        <v>446</v>
      </c>
    </row>
    <row r="2431" spans="1:12" x14ac:dyDescent="0.25">
      <c r="A2431" s="4" t="str">
        <f>HYPERLINK("http://www.rosaceae.org/Prunus/Prunus_persica/p.persica_gdr_reftransV1_0015884","p.persica_gdr_reftransV1_0015884")</f>
        <v>p.persica_gdr_reftransV1_0015884</v>
      </c>
      <c r="B2431" s="2">
        <v>677</v>
      </c>
      <c r="C2431" s="4" t="str">
        <f>HYPERLINK("http://www.uniprot.org/uniprot/M5Y2Q5","M5Y2Q5")</f>
        <v>M5Y2Q5</v>
      </c>
      <c r="D2431" s="2" t="s">
        <v>2334</v>
      </c>
      <c r="E2431" s="3">
        <v>3.1100000000000002E-17</v>
      </c>
      <c r="F2431" s="2">
        <v>222</v>
      </c>
      <c r="G2431" s="2">
        <v>100</v>
      </c>
      <c r="H2431" s="2">
        <v>45</v>
      </c>
      <c r="I2431" s="2">
        <v>289</v>
      </c>
      <c r="J2431" s="2">
        <v>423</v>
      </c>
      <c r="K2431" s="2">
        <v>33</v>
      </c>
      <c r="L2431" s="2">
        <v>77</v>
      </c>
    </row>
    <row r="2432" spans="1:12" x14ac:dyDescent="0.25">
      <c r="A2432" s="4" t="str">
        <f>HYPERLINK("http://www.rosaceae.org/Prunus/Prunus_persica/p.persica_gdr_reftransV1_0016584","p.persica_gdr_reftransV1_0016584")</f>
        <v>p.persica_gdr_reftransV1_0016584</v>
      </c>
      <c r="B2432" s="2">
        <v>3738</v>
      </c>
      <c r="C2432" s="4" t="str">
        <f>HYPERLINK("http://www.uniprot.org/uniprot/M5XSV1","M5XSV1")</f>
        <v>M5XSV1</v>
      </c>
      <c r="D2432" s="2" t="s">
        <v>2335</v>
      </c>
      <c r="E2432" s="3">
        <v>0</v>
      </c>
      <c r="F2432" s="2">
        <v>5029</v>
      </c>
      <c r="G2432" s="2">
        <v>100</v>
      </c>
      <c r="H2432" s="2">
        <v>1048</v>
      </c>
      <c r="I2432" s="2">
        <v>463</v>
      </c>
      <c r="J2432" s="2">
        <v>3606</v>
      </c>
      <c r="K2432" s="2">
        <v>1</v>
      </c>
      <c r="L2432" s="2">
        <v>1048</v>
      </c>
    </row>
    <row r="2433" spans="1:12" x14ac:dyDescent="0.25">
      <c r="A2433" s="4" t="str">
        <f>HYPERLINK("http://www.rosaceae.org/Prunus/Prunus_persica/p.persica_gdr_reftransV1_0017284","p.persica_gdr_reftransV1_0017284")</f>
        <v>p.persica_gdr_reftransV1_0017284</v>
      </c>
      <c r="B2433" s="2">
        <v>884</v>
      </c>
      <c r="C2433" s="4" t="str">
        <f>HYPERLINK("http://www.uniprot.org/uniprot/M5WWN4","M5WWN4")</f>
        <v>M5WWN4</v>
      </c>
      <c r="D2433" s="2" t="s">
        <v>2336</v>
      </c>
      <c r="E2433" s="3">
        <v>7.2200000000000002E-109</v>
      </c>
      <c r="F2433" s="2">
        <v>835</v>
      </c>
      <c r="G2433" s="2">
        <v>100</v>
      </c>
      <c r="H2433" s="2">
        <v>198</v>
      </c>
      <c r="I2433" s="2">
        <v>163</v>
      </c>
      <c r="J2433" s="2">
        <v>756</v>
      </c>
      <c r="K2433" s="2">
        <v>1</v>
      </c>
      <c r="L2433" s="2">
        <v>198</v>
      </c>
    </row>
    <row r="2434" spans="1:12" x14ac:dyDescent="0.25">
      <c r="A2434" s="4" t="str">
        <f>HYPERLINK("http://www.rosaceae.org/Prunus/Prunus_persica/p.persica_gdr_reftransV1_0017634","p.persica_gdr_reftransV1_0017634")</f>
        <v>p.persica_gdr_reftransV1_0017634</v>
      </c>
      <c r="B2434" s="2">
        <v>3152</v>
      </c>
      <c r="C2434" s="4" t="str">
        <f>HYPERLINK("http://www.uniprot.org/uniprot/A0A067K8K8","A0A067K8K8")</f>
        <v>A0A067K8K8</v>
      </c>
      <c r="D2434" s="2" t="s">
        <v>2337</v>
      </c>
      <c r="E2434" s="3">
        <v>0</v>
      </c>
      <c r="F2434" s="2">
        <v>1471</v>
      </c>
      <c r="G2434" s="2">
        <v>60</v>
      </c>
      <c r="H2434" s="2">
        <v>631</v>
      </c>
      <c r="I2434" s="2">
        <v>81</v>
      </c>
      <c r="J2434" s="2">
        <v>1889</v>
      </c>
      <c r="K2434" s="2">
        <v>2</v>
      </c>
      <c r="L2434" s="2">
        <v>611</v>
      </c>
    </row>
    <row r="2435" spans="1:12" x14ac:dyDescent="0.25">
      <c r="A2435" s="4" t="str">
        <f>HYPERLINK("http://www.rosaceae.org/Prunus/Prunus_persica/p.persica_gdr_reftransV1_0017984","p.persica_gdr_reftransV1_0017984")</f>
        <v>p.persica_gdr_reftransV1_0017984</v>
      </c>
      <c r="B2435" s="2">
        <v>4687</v>
      </c>
      <c r="C2435" s="4" t="str">
        <f>HYPERLINK("http://www.uniprot.org/uniprot/M5WFP5","M5WFP5")</f>
        <v>M5WFP5</v>
      </c>
      <c r="D2435" s="2" t="s">
        <v>2338</v>
      </c>
      <c r="E2435" s="3">
        <v>0</v>
      </c>
      <c r="F2435" s="2">
        <v>5138</v>
      </c>
      <c r="G2435" s="2">
        <v>100</v>
      </c>
      <c r="H2435" s="2">
        <v>1078</v>
      </c>
      <c r="I2435" s="2">
        <v>1219</v>
      </c>
      <c r="J2435" s="2">
        <v>4452</v>
      </c>
      <c r="K2435" s="2">
        <v>1</v>
      </c>
      <c r="L2435" s="2">
        <v>1078</v>
      </c>
    </row>
    <row r="2436" spans="1:12" x14ac:dyDescent="0.25">
      <c r="A2436" s="4" t="str">
        <f>HYPERLINK("http://www.rosaceae.org/Prunus/Prunus_persica/p.persica_gdr_reftransV1_0018684","p.persica_gdr_reftransV1_0018684")</f>
        <v>p.persica_gdr_reftransV1_0018684</v>
      </c>
      <c r="B2436" s="2">
        <v>1920</v>
      </c>
      <c r="C2436" s="4" t="str">
        <f>HYPERLINK("http://www.uniprot.org/uniprot/M5XYF3","M5XYF3")</f>
        <v>M5XYF3</v>
      </c>
      <c r="D2436" s="2" t="s">
        <v>2339</v>
      </c>
      <c r="E2436" s="3">
        <v>0</v>
      </c>
      <c r="F2436" s="2">
        <v>2084</v>
      </c>
      <c r="G2436" s="2">
        <v>100</v>
      </c>
      <c r="H2436" s="2">
        <v>386</v>
      </c>
      <c r="I2436" s="2">
        <v>374</v>
      </c>
      <c r="J2436" s="2">
        <v>1531</v>
      </c>
      <c r="K2436" s="2">
        <v>1</v>
      </c>
      <c r="L2436" s="2">
        <v>386</v>
      </c>
    </row>
    <row r="2437" spans="1:12" x14ac:dyDescent="0.25">
      <c r="A2437" s="4" t="str">
        <f>HYPERLINK("http://www.rosaceae.org/Prunus/Prunus_persica/p.persica_gdr_reftransV1_0019384","p.persica_gdr_reftransV1_0019384")</f>
        <v>p.persica_gdr_reftransV1_0019384</v>
      </c>
      <c r="B2437" s="2">
        <v>970</v>
      </c>
      <c r="C2437" s="4" t="str">
        <f>HYPERLINK("http://www.uniprot.org/uniprot/M5XB95","M5XB95")</f>
        <v>M5XB95</v>
      </c>
      <c r="D2437" s="2" t="s">
        <v>2340</v>
      </c>
      <c r="E2437" s="3">
        <v>2.4900000000000001E-68</v>
      </c>
      <c r="F2437" s="2">
        <v>563</v>
      </c>
      <c r="G2437" s="2">
        <v>100</v>
      </c>
      <c r="H2437" s="2">
        <v>136</v>
      </c>
      <c r="I2437" s="2">
        <v>200</v>
      </c>
      <c r="J2437" s="2">
        <v>607</v>
      </c>
      <c r="K2437" s="2">
        <v>1</v>
      </c>
      <c r="L2437" s="2">
        <v>136</v>
      </c>
    </row>
    <row r="2438" spans="1:12" x14ac:dyDescent="0.25">
      <c r="A2438" s="4" t="str">
        <f>HYPERLINK("http://www.rosaceae.org/Prunus/Prunus_persica/p.persica_gdr_reftransV1_0020784","p.persica_gdr_reftransV1_0020784")</f>
        <v>p.persica_gdr_reftransV1_0020784</v>
      </c>
      <c r="B2438" s="2">
        <v>937</v>
      </c>
      <c r="C2438" s="4" t="str">
        <f>HYPERLINK("http://www.uniprot.org/uniprot/M5X699","M5X699")</f>
        <v>M5X699</v>
      </c>
      <c r="D2438" s="2" t="s">
        <v>2341</v>
      </c>
      <c r="E2438" s="3">
        <v>2.7499999999999998E-153</v>
      </c>
      <c r="F2438" s="2">
        <v>1131</v>
      </c>
      <c r="G2438" s="2">
        <v>100</v>
      </c>
      <c r="H2438" s="2">
        <v>211</v>
      </c>
      <c r="I2438" s="2">
        <v>305</v>
      </c>
      <c r="J2438" s="2">
        <v>937</v>
      </c>
      <c r="K2438" s="2">
        <v>2</v>
      </c>
      <c r="L2438" s="2">
        <v>212</v>
      </c>
    </row>
    <row r="2439" spans="1:12" x14ac:dyDescent="0.25">
      <c r="A2439" s="4" t="str">
        <f>HYPERLINK("http://www.rosaceae.org/Prunus/Prunus_persica/p.persica_gdr_reftransV1_0021834","p.persica_gdr_reftransV1_0021834")</f>
        <v>p.persica_gdr_reftransV1_0021834</v>
      </c>
      <c r="B2439" s="2">
        <v>1477</v>
      </c>
      <c r="C2439" s="4" t="str">
        <f>HYPERLINK("http://www.uniprot.org/uniprot/M5WY11","M5WY11")</f>
        <v>M5WY11</v>
      </c>
      <c r="D2439" s="2" t="s">
        <v>2342</v>
      </c>
      <c r="E2439" s="3">
        <v>0</v>
      </c>
      <c r="F2439" s="2">
        <v>2219</v>
      </c>
      <c r="G2439" s="2">
        <v>100</v>
      </c>
      <c r="H2439" s="2">
        <v>414</v>
      </c>
      <c r="I2439" s="2">
        <v>147</v>
      </c>
      <c r="J2439" s="2">
        <v>1388</v>
      </c>
      <c r="K2439" s="2">
        <v>1</v>
      </c>
      <c r="L2439" s="2">
        <v>414</v>
      </c>
    </row>
    <row r="2440" spans="1:12" x14ac:dyDescent="0.25">
      <c r="A2440" s="4" t="str">
        <f>HYPERLINK("http://www.rosaceae.org/Prunus/Prunus_persica/p.persica_gdr_reftransV1_0022884","p.persica_gdr_reftransV1_0022884")</f>
        <v>p.persica_gdr_reftransV1_0022884</v>
      </c>
      <c r="B2440" s="2">
        <v>1592</v>
      </c>
      <c r="C2440" s="4" t="str">
        <f>HYPERLINK("http://www.uniprot.org/uniprot/M5XNX9","M5XNX9")</f>
        <v>M5XNX9</v>
      </c>
      <c r="D2440" s="2" t="s">
        <v>2343</v>
      </c>
      <c r="E2440" s="3">
        <v>0</v>
      </c>
      <c r="F2440" s="2">
        <v>2351</v>
      </c>
      <c r="G2440" s="2">
        <v>99</v>
      </c>
      <c r="H2440" s="2">
        <v>437</v>
      </c>
      <c r="I2440" s="2">
        <v>280</v>
      </c>
      <c r="J2440" s="2">
        <v>1590</v>
      </c>
      <c r="K2440" s="2">
        <v>182</v>
      </c>
      <c r="L2440" s="2">
        <v>618</v>
      </c>
    </row>
    <row r="2441" spans="1:12" x14ac:dyDescent="0.25">
      <c r="A2441" s="4" t="str">
        <f>HYPERLINK("http://www.rosaceae.org/Prunus/Prunus_persica/p.persica_gdr_reftransV1_0024634","p.persica_gdr_reftransV1_0024634")</f>
        <v>p.persica_gdr_reftransV1_0024634</v>
      </c>
      <c r="B2441" s="2">
        <v>2169</v>
      </c>
      <c r="C2441" s="4" t="str">
        <f>HYPERLINK("http://www.uniprot.org/uniprot/M5XBR1","M5XBR1")</f>
        <v>M5XBR1</v>
      </c>
      <c r="D2441" s="2" t="s">
        <v>2344</v>
      </c>
      <c r="E2441" s="3">
        <v>0</v>
      </c>
      <c r="F2441" s="2">
        <v>2364</v>
      </c>
      <c r="G2441" s="2">
        <v>100</v>
      </c>
      <c r="H2441" s="2">
        <v>478</v>
      </c>
      <c r="I2441" s="2">
        <v>584</v>
      </c>
      <c r="J2441" s="2">
        <v>2017</v>
      </c>
      <c r="K2441" s="2">
        <v>1</v>
      </c>
      <c r="L2441" s="2">
        <v>478</v>
      </c>
    </row>
    <row r="2442" spans="1:12" x14ac:dyDescent="0.25">
      <c r="A2442" s="4" t="str">
        <f>HYPERLINK("http://www.rosaceae.org/Prunus/Prunus_persica/p.persica_gdr_reftransV1_0025684","p.persica_gdr_reftransV1_0025684")</f>
        <v>p.persica_gdr_reftransV1_0025684</v>
      </c>
      <c r="B2442" s="2">
        <v>3608</v>
      </c>
      <c r="C2442" s="4" t="str">
        <f>HYPERLINK("http://www.uniprot.org/uniprot/M5WGD5","M5WGD5")</f>
        <v>M5WGD5</v>
      </c>
      <c r="D2442" s="2" t="s">
        <v>2345</v>
      </c>
      <c r="E2442" s="3">
        <v>0</v>
      </c>
      <c r="F2442" s="2">
        <v>3309</v>
      </c>
      <c r="G2442" s="2">
        <v>100</v>
      </c>
      <c r="H2442" s="2">
        <v>725</v>
      </c>
      <c r="I2442" s="2">
        <v>89</v>
      </c>
      <c r="J2442" s="2">
        <v>2263</v>
      </c>
      <c r="K2442" s="2">
        <v>68</v>
      </c>
      <c r="L2442" s="2">
        <v>792</v>
      </c>
    </row>
    <row r="2443" spans="1:12" x14ac:dyDescent="0.25">
      <c r="A2443" s="4" t="str">
        <f>HYPERLINK("http://www.rosaceae.org/Prunus/Prunus_persica/p.persica_gdr_reftransV1_0026734","p.persica_gdr_reftransV1_0026734")</f>
        <v>p.persica_gdr_reftransV1_0026734</v>
      </c>
      <c r="B2443" s="2">
        <v>1632</v>
      </c>
      <c r="C2443" s="4" t="str">
        <f>HYPERLINK("http://www.uniprot.org/uniprot/M5X5T7","M5X5T7")</f>
        <v>M5X5T7</v>
      </c>
      <c r="D2443" s="2" t="s">
        <v>2346</v>
      </c>
      <c r="E2443" s="3">
        <v>0</v>
      </c>
      <c r="F2443" s="2">
        <v>1692</v>
      </c>
      <c r="G2443" s="2">
        <v>100</v>
      </c>
      <c r="H2443" s="2">
        <v>319</v>
      </c>
      <c r="I2443" s="2">
        <v>234</v>
      </c>
      <c r="J2443" s="2">
        <v>1190</v>
      </c>
      <c r="K2443" s="2">
        <v>1</v>
      </c>
      <c r="L2443" s="2">
        <v>319</v>
      </c>
    </row>
    <row r="2444" spans="1:12" x14ac:dyDescent="0.25">
      <c r="A2444" s="4" t="str">
        <f>HYPERLINK("http://www.rosaceae.org/Prunus/Prunus_persica/p.persica_gdr_reftransV1_0027434","p.persica_gdr_reftransV1_0027434")</f>
        <v>p.persica_gdr_reftransV1_0027434</v>
      </c>
      <c r="B2444" s="2">
        <v>2776</v>
      </c>
      <c r="C2444" s="4" t="str">
        <f>HYPERLINK("http://www.uniprot.org/uniprot/M5VMR7","M5VMR7")</f>
        <v>M5VMR7</v>
      </c>
      <c r="D2444" s="2" t="s">
        <v>2347</v>
      </c>
      <c r="E2444" s="3">
        <v>2.4599999999999998E-145</v>
      </c>
      <c r="F2444" s="2">
        <v>1141</v>
      </c>
      <c r="G2444" s="2">
        <v>100</v>
      </c>
      <c r="H2444" s="2">
        <v>242</v>
      </c>
      <c r="I2444" s="2">
        <v>1298</v>
      </c>
      <c r="J2444" s="2">
        <v>2023</v>
      </c>
      <c r="K2444" s="2">
        <v>1</v>
      </c>
      <c r="L2444" s="2">
        <v>242</v>
      </c>
    </row>
    <row r="2445" spans="1:12" x14ac:dyDescent="0.25">
      <c r="A2445" s="4" t="str">
        <f>HYPERLINK("http://www.rosaceae.org/Prunus/Prunus_persica/p.persica_gdr_reftransV1_0028484","p.persica_gdr_reftransV1_0028484")</f>
        <v>p.persica_gdr_reftransV1_0028484</v>
      </c>
      <c r="B2445" s="2">
        <v>896</v>
      </c>
      <c r="C2445" s="4" t="str">
        <f>HYPERLINK("http://www.uniprot.org/uniprot/M5X726","M5X726")</f>
        <v>M5X726</v>
      </c>
      <c r="D2445" s="2" t="s">
        <v>2348</v>
      </c>
      <c r="E2445" s="3">
        <v>2E-41</v>
      </c>
      <c r="F2445" s="2">
        <v>377</v>
      </c>
      <c r="G2445" s="2">
        <v>100</v>
      </c>
      <c r="H2445" s="2">
        <v>91</v>
      </c>
      <c r="I2445" s="2">
        <v>525</v>
      </c>
      <c r="J2445" s="2">
        <v>797</v>
      </c>
      <c r="K2445" s="2">
        <v>1</v>
      </c>
      <c r="L2445" s="2">
        <v>91</v>
      </c>
    </row>
    <row r="2446" spans="1:12" x14ac:dyDescent="0.25">
      <c r="A2446" s="4" t="str">
        <f>HYPERLINK("http://www.rosaceae.org/Prunus/Prunus_persica/p.persica_gdr_reftransV1_0029534","p.persica_gdr_reftransV1_0029534")</f>
        <v>p.persica_gdr_reftransV1_0029534</v>
      </c>
      <c r="B2446" s="2">
        <v>2612</v>
      </c>
      <c r="C2446" s="4" t="str">
        <f>HYPERLINK("http://www.uniprot.org/uniprot/M5WYH5","M5WYH5")</f>
        <v>M5WYH5</v>
      </c>
      <c r="D2446" s="2" t="s">
        <v>1643</v>
      </c>
      <c r="E2446" s="3">
        <v>0</v>
      </c>
      <c r="F2446" s="2">
        <v>2634</v>
      </c>
      <c r="G2446" s="2">
        <v>100</v>
      </c>
      <c r="H2446" s="2">
        <v>652</v>
      </c>
      <c r="I2446" s="2">
        <v>321</v>
      </c>
      <c r="J2446" s="2">
        <v>2276</v>
      </c>
      <c r="K2446" s="2">
        <v>332</v>
      </c>
      <c r="L2446" s="2">
        <v>983</v>
      </c>
    </row>
    <row r="2447" spans="1:12" x14ac:dyDescent="0.25">
      <c r="A2447" s="4" t="str">
        <f>HYPERLINK("http://www.rosaceae.org/Prunus/Prunus_persica/p.persica_gdr_reftransV1_0032334","p.persica_gdr_reftransV1_0032334")</f>
        <v>p.persica_gdr_reftransV1_0032334</v>
      </c>
      <c r="B2447" s="2">
        <v>1001</v>
      </c>
      <c r="C2447" s="4" t="str">
        <f>HYPERLINK("http://www.uniprot.org/uniprot/M5WI62","M5WI62")</f>
        <v>M5WI62</v>
      </c>
      <c r="D2447" s="2" t="s">
        <v>2349</v>
      </c>
      <c r="E2447" s="3">
        <v>1.7700000000000001E-61</v>
      </c>
      <c r="F2447" s="2">
        <v>515</v>
      </c>
      <c r="G2447" s="2">
        <v>100</v>
      </c>
      <c r="H2447" s="2">
        <v>100</v>
      </c>
      <c r="I2447" s="2">
        <v>268</v>
      </c>
      <c r="J2447" s="2">
        <v>567</v>
      </c>
      <c r="K2447" s="2">
        <v>1</v>
      </c>
      <c r="L2447" s="2">
        <v>100</v>
      </c>
    </row>
    <row r="2448" spans="1:12" x14ac:dyDescent="0.25">
      <c r="A2448" s="4" t="str">
        <f>HYPERLINK("http://www.rosaceae.org/Prunus/Prunus_persica/p.persica_gdr_reftransV1_0034084","p.persica_gdr_reftransV1_0034084")</f>
        <v>p.persica_gdr_reftransV1_0034084</v>
      </c>
      <c r="B2448" s="2">
        <v>5489</v>
      </c>
      <c r="C2448" s="4" t="str">
        <f>HYPERLINK("http://www.uniprot.org/uniprot/M5Y8E3","M5Y8E3")</f>
        <v>M5Y8E3</v>
      </c>
      <c r="D2448" s="2" t="s">
        <v>2350</v>
      </c>
      <c r="E2448" s="3">
        <v>0</v>
      </c>
      <c r="F2448" s="2">
        <v>6173</v>
      </c>
      <c r="G2448" s="2">
        <v>99</v>
      </c>
      <c r="H2448" s="2">
        <v>1304</v>
      </c>
      <c r="I2448" s="2">
        <v>393</v>
      </c>
      <c r="J2448" s="2">
        <v>4304</v>
      </c>
      <c r="K2448" s="2">
        <v>1</v>
      </c>
      <c r="L2448" s="2">
        <v>1298</v>
      </c>
    </row>
    <row r="2449" spans="1:12" x14ac:dyDescent="0.25">
      <c r="A2449" s="4" t="str">
        <f>HYPERLINK("http://www.rosaceae.org/Prunus/Prunus_persica/p.persica_gdr_reftransV1_0034434","p.persica_gdr_reftransV1_0034434")</f>
        <v>p.persica_gdr_reftransV1_0034434</v>
      </c>
      <c r="B2449" s="2">
        <v>1097</v>
      </c>
      <c r="C2449" s="4" t="str">
        <f>HYPERLINK("http://www.uniprot.org/uniprot/Q4F8B3","Q4F8B3")</f>
        <v>Q4F8B3</v>
      </c>
      <c r="D2449" s="2" t="s">
        <v>2351</v>
      </c>
      <c r="E2449" s="3">
        <v>0</v>
      </c>
      <c r="F2449" s="2">
        <v>1342</v>
      </c>
      <c r="G2449" s="2">
        <v>100</v>
      </c>
      <c r="H2449" s="2">
        <v>251</v>
      </c>
      <c r="I2449" s="2">
        <v>123</v>
      </c>
      <c r="J2449" s="2">
        <v>875</v>
      </c>
      <c r="K2449" s="2">
        <v>1</v>
      </c>
      <c r="L2449" s="2">
        <v>251</v>
      </c>
    </row>
    <row r="2450" spans="1:12" x14ac:dyDescent="0.25">
      <c r="A2450" s="4" t="str">
        <f>HYPERLINK("http://www.rosaceae.org/Prunus/Prunus_persica/p.persica_gdr_reftransV1_0035484","p.persica_gdr_reftransV1_0035484")</f>
        <v>p.persica_gdr_reftransV1_0035484</v>
      </c>
      <c r="B2450" s="2">
        <v>1189</v>
      </c>
      <c r="C2450" s="4" t="str">
        <f>HYPERLINK("http://www.uniprot.org/uniprot/M5WAC2","M5WAC2")</f>
        <v>M5WAC2</v>
      </c>
      <c r="D2450" s="2" t="s">
        <v>2352</v>
      </c>
      <c r="E2450" s="3">
        <v>1.0599999999999999E-173</v>
      </c>
      <c r="F2450" s="2">
        <v>1279</v>
      </c>
      <c r="G2450" s="2">
        <v>99</v>
      </c>
      <c r="H2450" s="2">
        <v>243</v>
      </c>
      <c r="I2450" s="2">
        <v>171</v>
      </c>
      <c r="J2450" s="2">
        <v>899</v>
      </c>
      <c r="K2450" s="2">
        <v>1</v>
      </c>
      <c r="L2450" s="2">
        <v>243</v>
      </c>
    </row>
    <row r="2451" spans="1:12" x14ac:dyDescent="0.25">
      <c r="A2451" s="4" t="str">
        <f>HYPERLINK("http://www.rosaceae.org/Prunus/Prunus_persica/p.persica_gdr_reftransV1_0035834","p.persica_gdr_reftransV1_0035834")</f>
        <v>p.persica_gdr_reftransV1_0035834</v>
      </c>
      <c r="B2451" s="2">
        <v>1107</v>
      </c>
      <c r="C2451" s="4" t="str">
        <f>HYPERLINK("http://www.uniprot.org/uniprot/M5VHE8","M5VHE8")</f>
        <v>M5VHE8</v>
      </c>
      <c r="D2451" s="2" t="s">
        <v>2353</v>
      </c>
      <c r="E2451" s="3">
        <v>4.6799999999999997E-50</v>
      </c>
      <c r="F2451" s="2">
        <v>307</v>
      </c>
      <c r="G2451" s="2">
        <v>100</v>
      </c>
      <c r="H2451" s="2">
        <v>59</v>
      </c>
      <c r="I2451" s="2">
        <v>3</v>
      </c>
      <c r="J2451" s="2">
        <v>179</v>
      </c>
      <c r="K2451" s="2">
        <v>35</v>
      </c>
      <c r="L2451" s="2">
        <v>93</v>
      </c>
    </row>
    <row r="2452" spans="1:12" x14ac:dyDescent="0.25">
      <c r="A2452" s="4" t="str">
        <f>HYPERLINK("http://www.rosaceae.org/Prunus/Prunus_persica/p.persica_gdr_reftransV1_0037234","p.persica_gdr_reftransV1_0037234")</f>
        <v>p.persica_gdr_reftransV1_0037234</v>
      </c>
      <c r="B2452" s="2">
        <v>2388</v>
      </c>
      <c r="C2452" s="4" t="str">
        <f>HYPERLINK("http://www.uniprot.org/uniprot/M5X0K4","M5X0K4")</f>
        <v>M5X0K4</v>
      </c>
      <c r="D2452" s="2" t="s">
        <v>2354</v>
      </c>
      <c r="E2452" s="3">
        <v>0</v>
      </c>
      <c r="F2452" s="2">
        <v>3042</v>
      </c>
      <c r="G2452" s="2">
        <v>100</v>
      </c>
      <c r="H2452" s="2">
        <v>588</v>
      </c>
      <c r="I2452" s="2">
        <v>346</v>
      </c>
      <c r="J2452" s="2">
        <v>2109</v>
      </c>
      <c r="K2452" s="2">
        <v>19</v>
      </c>
      <c r="L2452" s="2">
        <v>606</v>
      </c>
    </row>
    <row r="2453" spans="1:12" x14ac:dyDescent="0.25">
      <c r="A2453" s="4" t="str">
        <f>HYPERLINK("http://www.rosaceae.org/Prunus/Prunus_persica/p.persica_gdr_reftransV1_0038984","p.persica_gdr_reftransV1_0038984")</f>
        <v>p.persica_gdr_reftransV1_0038984</v>
      </c>
      <c r="B2453" s="2">
        <v>4771</v>
      </c>
      <c r="C2453" s="4" t="str">
        <f>HYPERLINK("http://www.uniprot.org/uniprot/M5XLD0","M5XLD0")</f>
        <v>M5XLD0</v>
      </c>
      <c r="D2453" s="2" t="s">
        <v>2355</v>
      </c>
      <c r="E2453" s="3">
        <v>0</v>
      </c>
      <c r="F2453" s="2">
        <v>1592</v>
      </c>
      <c r="G2453" s="2">
        <v>100</v>
      </c>
      <c r="H2453" s="2">
        <v>338</v>
      </c>
      <c r="I2453" s="2">
        <v>2427</v>
      </c>
      <c r="J2453" s="2">
        <v>3440</v>
      </c>
      <c r="K2453" s="2">
        <v>1</v>
      </c>
      <c r="L2453" s="2">
        <v>338</v>
      </c>
    </row>
    <row r="2454" spans="1:12" x14ac:dyDescent="0.25">
      <c r="A2454" s="4" t="str">
        <f>HYPERLINK("http://www.rosaceae.org/Prunus/Prunus_persica/p.persica_gdr_reftransV1_0042834","p.persica_gdr_reftransV1_0042834")</f>
        <v>p.persica_gdr_reftransV1_0042834</v>
      </c>
      <c r="B2454" s="2">
        <v>635</v>
      </c>
      <c r="C2454" s="4" t="str">
        <f>HYPERLINK("http://www.uniprot.org/uniprot/M5W5H6","M5W5H6")</f>
        <v>M5W5H6</v>
      </c>
      <c r="D2454" s="2" t="s">
        <v>2356</v>
      </c>
      <c r="E2454" s="3">
        <v>2.0800000000000001E-49</v>
      </c>
      <c r="F2454" s="2">
        <v>422</v>
      </c>
      <c r="G2454" s="2">
        <v>100</v>
      </c>
      <c r="H2454" s="2">
        <v>80</v>
      </c>
      <c r="I2454" s="2">
        <v>111</v>
      </c>
      <c r="J2454" s="2">
        <v>350</v>
      </c>
      <c r="K2454" s="2">
        <v>1</v>
      </c>
      <c r="L2454" s="2">
        <v>80</v>
      </c>
    </row>
    <row r="2455" spans="1:12" x14ac:dyDescent="0.25">
      <c r="A2455" s="4" t="str">
        <f>HYPERLINK("http://www.rosaceae.org/Prunus/Prunus_persica/p.persica_gdr_reftransV1_0043184","p.persica_gdr_reftransV1_0043184")</f>
        <v>p.persica_gdr_reftransV1_0043184</v>
      </c>
      <c r="B2455" s="2">
        <v>2030</v>
      </c>
      <c r="C2455" s="4" t="str">
        <f>HYPERLINK("http://www.uniprot.org/uniprot/M5WYW3","M5WYW3")</f>
        <v>M5WYW3</v>
      </c>
      <c r="D2455" s="2" t="s">
        <v>2357</v>
      </c>
      <c r="E2455" s="3">
        <v>0</v>
      </c>
      <c r="F2455" s="2">
        <v>2980</v>
      </c>
      <c r="G2455" s="2">
        <v>100</v>
      </c>
      <c r="H2455" s="2">
        <v>564</v>
      </c>
      <c r="I2455" s="2">
        <v>151</v>
      </c>
      <c r="J2455" s="2">
        <v>1842</v>
      </c>
      <c r="K2455" s="2">
        <v>1</v>
      </c>
      <c r="L2455" s="2">
        <v>564</v>
      </c>
    </row>
    <row r="2456" spans="1:12" x14ac:dyDescent="0.25">
      <c r="A2456" s="4" t="str">
        <f>HYPERLINK("http://www.rosaceae.org/Prunus/Prunus_persica/p.persica_gdr_reftransV1_0043534","p.persica_gdr_reftransV1_0043534")</f>
        <v>p.persica_gdr_reftransV1_0043534</v>
      </c>
      <c r="B2456" s="2">
        <v>901</v>
      </c>
      <c r="C2456" s="4" t="str">
        <f>HYPERLINK("http://www.uniprot.org/uniprot/M5VWS3","M5VWS3")</f>
        <v>M5VWS3</v>
      </c>
      <c r="D2456" s="2" t="s">
        <v>2358</v>
      </c>
      <c r="E2456" s="3">
        <v>0</v>
      </c>
      <c r="F2456" s="2">
        <v>1521</v>
      </c>
      <c r="G2456" s="2">
        <v>100</v>
      </c>
      <c r="H2456" s="2">
        <v>299</v>
      </c>
      <c r="I2456" s="2">
        <v>2</v>
      </c>
      <c r="J2456" s="2">
        <v>898</v>
      </c>
      <c r="K2456" s="2">
        <v>78</v>
      </c>
      <c r="L2456" s="2">
        <v>376</v>
      </c>
    </row>
    <row r="2457" spans="1:12" x14ac:dyDescent="0.25">
      <c r="A2457" s="4" t="str">
        <f>HYPERLINK("http://www.rosaceae.org/Prunus/Prunus_persica/p.persica_gdr_reftransV1_0043884","p.persica_gdr_reftransV1_0043884")</f>
        <v>p.persica_gdr_reftransV1_0043884</v>
      </c>
      <c r="B2457" s="2">
        <v>1716</v>
      </c>
      <c r="C2457" s="4" t="str">
        <f>HYPERLINK("http://www.uniprot.org/uniprot/M5XKX5","M5XKX5")</f>
        <v>M5XKX5</v>
      </c>
      <c r="D2457" s="2" t="s">
        <v>2359</v>
      </c>
      <c r="E2457" s="3">
        <v>0</v>
      </c>
      <c r="F2457" s="2">
        <v>2146</v>
      </c>
      <c r="G2457" s="2">
        <v>100</v>
      </c>
      <c r="H2457" s="2">
        <v>480</v>
      </c>
      <c r="I2457" s="2">
        <v>3</v>
      </c>
      <c r="J2457" s="2">
        <v>1442</v>
      </c>
      <c r="K2457" s="2">
        <v>1</v>
      </c>
      <c r="L2457" s="2">
        <v>480</v>
      </c>
    </row>
    <row r="2458" spans="1:12" x14ac:dyDescent="0.25">
      <c r="A2458" s="4" t="str">
        <f>HYPERLINK("http://www.rosaceae.org/Prunus/Prunus_persica/p.persica_gdr_reftransV1_0044234","p.persica_gdr_reftransV1_0044234")</f>
        <v>p.persica_gdr_reftransV1_0044234</v>
      </c>
      <c r="B2458" s="2">
        <v>1688</v>
      </c>
      <c r="C2458" s="4" t="str">
        <f>HYPERLINK("http://www.uniprot.org/uniprot/M5WU02","M5WU02")</f>
        <v>M5WU02</v>
      </c>
      <c r="D2458" s="2" t="s">
        <v>2360</v>
      </c>
      <c r="E2458" s="3">
        <v>0</v>
      </c>
      <c r="F2458" s="2">
        <v>2359</v>
      </c>
      <c r="G2458" s="2">
        <v>100</v>
      </c>
      <c r="H2458" s="2">
        <v>475</v>
      </c>
      <c r="I2458" s="2">
        <v>1</v>
      </c>
      <c r="J2458" s="2">
        <v>1425</v>
      </c>
      <c r="K2458" s="2">
        <v>214</v>
      </c>
      <c r="L2458" s="2">
        <v>688</v>
      </c>
    </row>
    <row r="2459" spans="1:12" x14ac:dyDescent="0.25">
      <c r="A2459" s="4" t="str">
        <f>HYPERLINK("http://www.rosaceae.org/Prunus/Prunus_persica/p.persica_gdr_reftransV1_0044934","p.persica_gdr_reftransV1_0044934")</f>
        <v>p.persica_gdr_reftransV1_0044934</v>
      </c>
      <c r="B2459" s="2">
        <v>2256</v>
      </c>
      <c r="C2459" s="4" t="str">
        <f>HYPERLINK("http://www.uniprot.org/uniprot/M5X185","M5X185")</f>
        <v>M5X185</v>
      </c>
      <c r="D2459" s="2" t="s">
        <v>2361</v>
      </c>
      <c r="E2459" s="3">
        <v>0</v>
      </c>
      <c r="F2459" s="2">
        <v>1606</v>
      </c>
      <c r="G2459" s="2">
        <v>100</v>
      </c>
      <c r="H2459" s="2">
        <v>298</v>
      </c>
      <c r="I2459" s="2">
        <v>965</v>
      </c>
      <c r="J2459" s="2">
        <v>1858</v>
      </c>
      <c r="K2459" s="2">
        <v>1</v>
      </c>
      <c r="L2459" s="2">
        <v>298</v>
      </c>
    </row>
    <row r="2460" spans="1:12" x14ac:dyDescent="0.25">
      <c r="A2460" s="4" t="str">
        <f>HYPERLINK("http://www.rosaceae.org/Prunus/Prunus_persica/p.persica_gdr_reftransV1_0045284","p.persica_gdr_reftransV1_0045284")</f>
        <v>p.persica_gdr_reftransV1_0045284</v>
      </c>
      <c r="B2460" s="2">
        <v>2099</v>
      </c>
      <c r="C2460" s="4" t="str">
        <f>HYPERLINK("http://www.uniprot.org/uniprot/M5XBN2","M5XBN2")</f>
        <v>M5XBN2</v>
      </c>
      <c r="D2460" s="2" t="s">
        <v>2362</v>
      </c>
      <c r="E2460" s="3">
        <v>0</v>
      </c>
      <c r="F2460" s="2">
        <v>1872</v>
      </c>
      <c r="G2460" s="2">
        <v>99</v>
      </c>
      <c r="H2460" s="2">
        <v>467</v>
      </c>
      <c r="I2460" s="2">
        <v>233</v>
      </c>
      <c r="J2460" s="2">
        <v>1633</v>
      </c>
      <c r="K2460" s="2">
        <v>31</v>
      </c>
      <c r="L2460" s="2">
        <v>496</v>
      </c>
    </row>
    <row r="2461" spans="1:12" x14ac:dyDescent="0.25">
      <c r="A2461" s="4" t="str">
        <f>HYPERLINK("http://www.rosaceae.org/Prunus/Prunus_persica/p.persica_gdr_reftransV1_0045634","p.persica_gdr_reftransV1_0045634")</f>
        <v>p.persica_gdr_reftransV1_0045634</v>
      </c>
      <c r="B2461" s="2">
        <v>391</v>
      </c>
      <c r="C2461" s="4" t="str">
        <f>HYPERLINK("http://www.uniprot.org/uniprot/M5X1X7","M5X1X7")</f>
        <v>M5X1X7</v>
      </c>
      <c r="D2461" s="2" t="s">
        <v>2363</v>
      </c>
      <c r="E2461" s="3">
        <v>8.3699999999999999E-79</v>
      </c>
      <c r="F2461" s="2">
        <v>628</v>
      </c>
      <c r="G2461" s="2">
        <v>100</v>
      </c>
      <c r="H2461" s="2">
        <v>115</v>
      </c>
      <c r="I2461" s="2">
        <v>3</v>
      </c>
      <c r="J2461" s="2">
        <v>347</v>
      </c>
      <c r="K2461" s="2">
        <v>1</v>
      </c>
      <c r="L2461" s="2">
        <v>115</v>
      </c>
    </row>
    <row r="2462" spans="1:12" x14ac:dyDescent="0.25">
      <c r="A2462" s="4" t="str">
        <f>HYPERLINK("http://www.rosaceae.org/Prunus/Prunus_persica/p.persica_gdr_reftransV1_0046684","p.persica_gdr_reftransV1_0046684")</f>
        <v>p.persica_gdr_reftransV1_0046684</v>
      </c>
      <c r="B2462" s="2">
        <v>512</v>
      </c>
      <c r="C2462" s="4" t="str">
        <f>HYPERLINK("http://www.uniprot.org/uniprot/M5VME7","M5VME7")</f>
        <v>M5VME7</v>
      </c>
      <c r="D2462" s="2" t="s">
        <v>2364</v>
      </c>
      <c r="E2462" s="3">
        <v>2.1000000000000001E-78</v>
      </c>
      <c r="F2462" s="2">
        <v>647</v>
      </c>
      <c r="G2462" s="2">
        <v>100</v>
      </c>
      <c r="H2462" s="2">
        <v>122</v>
      </c>
      <c r="I2462" s="2">
        <v>3</v>
      </c>
      <c r="J2462" s="2">
        <v>368</v>
      </c>
      <c r="K2462" s="2">
        <v>1</v>
      </c>
      <c r="L2462" s="2">
        <v>122</v>
      </c>
    </row>
    <row r="2463" spans="1:12" x14ac:dyDescent="0.25">
      <c r="A2463" s="4" t="str">
        <f>HYPERLINK("http://www.rosaceae.org/Prunus/Prunus_persica/p.persica_gdr_reftransV1_0047034","p.persica_gdr_reftransV1_0047034")</f>
        <v>p.persica_gdr_reftransV1_0047034</v>
      </c>
      <c r="B2463" s="2">
        <v>304</v>
      </c>
      <c r="C2463" s="4" t="str">
        <f>HYPERLINK("http://www.uniprot.org/uniprot/M5X503","M5X503")</f>
        <v>M5X503</v>
      </c>
      <c r="D2463" s="2" t="s">
        <v>2365</v>
      </c>
      <c r="E2463" s="3">
        <v>2.6200000000000001E-52</v>
      </c>
      <c r="F2463" s="2">
        <v>457</v>
      </c>
      <c r="G2463" s="2">
        <v>100</v>
      </c>
      <c r="H2463" s="2">
        <v>100</v>
      </c>
      <c r="I2463" s="2">
        <v>3</v>
      </c>
      <c r="J2463" s="2">
        <v>302</v>
      </c>
      <c r="K2463" s="2">
        <v>255</v>
      </c>
      <c r="L2463" s="2">
        <v>354</v>
      </c>
    </row>
    <row r="2464" spans="1:12" x14ac:dyDescent="0.25">
      <c r="A2464" s="4" t="str">
        <f>HYPERLINK("http://www.rosaceae.org/Prunus/Prunus_persica/p.persica_gdr_reftransV1_0047384","p.persica_gdr_reftransV1_0047384")</f>
        <v>p.persica_gdr_reftransV1_0047384</v>
      </c>
      <c r="B2464" s="2">
        <v>661</v>
      </c>
      <c r="C2464" s="4" t="str">
        <f>HYPERLINK("http://www.uniprot.org/uniprot/M5VY85","M5VY85")</f>
        <v>M5VY85</v>
      </c>
      <c r="D2464" s="2" t="s">
        <v>2366</v>
      </c>
      <c r="E2464" s="3">
        <v>1.53E-96</v>
      </c>
      <c r="F2464" s="2">
        <v>783</v>
      </c>
      <c r="G2464" s="2">
        <v>94</v>
      </c>
      <c r="H2464" s="2">
        <v>201</v>
      </c>
      <c r="I2464" s="2">
        <v>2</v>
      </c>
      <c r="J2464" s="2">
        <v>574</v>
      </c>
      <c r="K2464" s="2">
        <v>437</v>
      </c>
      <c r="L2464" s="2">
        <v>637</v>
      </c>
    </row>
    <row r="2465" spans="1:12" x14ac:dyDescent="0.25">
      <c r="A2465" s="4" t="str">
        <f>HYPERLINK("http://www.rosaceae.org/Prunus/Prunus_persica/p.persica_gdr_reftransV1_0047734","p.persica_gdr_reftransV1_0047734")</f>
        <v>p.persica_gdr_reftransV1_0047734</v>
      </c>
      <c r="B2465" s="2">
        <v>1374</v>
      </c>
      <c r="C2465" s="4" t="str">
        <f>HYPERLINK("http://www.uniprot.org/uniprot/M5VMX0","M5VMX0")</f>
        <v>M5VMX0</v>
      </c>
      <c r="D2465" s="2" t="s">
        <v>2367</v>
      </c>
      <c r="E2465" s="3">
        <v>2.2399999999999999E-138</v>
      </c>
      <c r="F2465" s="2">
        <v>1053</v>
      </c>
      <c r="G2465" s="2">
        <v>100</v>
      </c>
      <c r="H2465" s="2">
        <v>251</v>
      </c>
      <c r="I2465" s="2">
        <v>101</v>
      </c>
      <c r="J2465" s="2">
        <v>853</v>
      </c>
      <c r="K2465" s="2">
        <v>1</v>
      </c>
      <c r="L2465" s="2">
        <v>251</v>
      </c>
    </row>
    <row r="2466" spans="1:12" x14ac:dyDescent="0.25">
      <c r="A2466" s="4" t="str">
        <f>HYPERLINK("http://www.rosaceae.org/Prunus/Prunus_persica/p.persica_gdr_reftransV1_0048084","p.persica_gdr_reftransV1_0048084")</f>
        <v>p.persica_gdr_reftransV1_0048084</v>
      </c>
      <c r="B2466" s="2">
        <v>330</v>
      </c>
      <c r="C2466" s="4" t="str">
        <f>HYPERLINK("http://www.uniprot.org/uniprot/M5Y545","M5Y545")</f>
        <v>M5Y545</v>
      </c>
      <c r="D2466" s="2" t="s">
        <v>2368</v>
      </c>
      <c r="E2466" s="3">
        <v>2.8999999999999997E-70</v>
      </c>
      <c r="F2466" s="2">
        <v>584</v>
      </c>
      <c r="G2466" s="2">
        <v>100</v>
      </c>
      <c r="H2466" s="2">
        <v>110</v>
      </c>
      <c r="I2466" s="2">
        <v>1</v>
      </c>
      <c r="J2466" s="2">
        <v>330</v>
      </c>
      <c r="K2466" s="2">
        <v>186</v>
      </c>
      <c r="L2466" s="2">
        <v>295</v>
      </c>
    </row>
    <row r="2467" spans="1:12" x14ac:dyDescent="0.25">
      <c r="A2467" s="4" t="str">
        <f>HYPERLINK("http://www.rosaceae.org/Prunus/Prunus_persica/p.persica_gdr_reftransV1_0048434","p.persica_gdr_reftransV1_0048434")</f>
        <v>p.persica_gdr_reftransV1_0048434</v>
      </c>
      <c r="B2467" s="2">
        <v>577</v>
      </c>
      <c r="C2467" s="4" t="str">
        <f>HYPERLINK("http://www.uniprot.org/uniprot/M5WFN8","M5WFN8")</f>
        <v>M5WFN8</v>
      </c>
      <c r="D2467" s="2" t="s">
        <v>2369</v>
      </c>
      <c r="E2467" s="3">
        <v>2.24E-70</v>
      </c>
      <c r="F2467" s="2">
        <v>586</v>
      </c>
      <c r="G2467" s="2">
        <v>100</v>
      </c>
      <c r="H2467" s="2">
        <v>128</v>
      </c>
      <c r="I2467" s="2">
        <v>192</v>
      </c>
      <c r="J2467" s="2">
        <v>575</v>
      </c>
      <c r="K2467" s="2">
        <v>1</v>
      </c>
      <c r="L2467" s="2">
        <v>128</v>
      </c>
    </row>
    <row r="2468" spans="1:12" x14ac:dyDescent="0.25">
      <c r="A2468" s="4" t="str">
        <f>HYPERLINK("http://www.rosaceae.org/Prunus/Prunus_persica/p.persica_gdr_reftransV1_0048784","p.persica_gdr_reftransV1_0048784")</f>
        <v>p.persica_gdr_reftransV1_0048784</v>
      </c>
      <c r="B2468" s="2">
        <v>2979</v>
      </c>
      <c r="C2468" s="4" t="str">
        <f>HYPERLINK("http://www.uniprot.org/uniprot/M5Y436","M5Y436")</f>
        <v>M5Y436</v>
      </c>
      <c r="D2468" s="2" t="s">
        <v>2370</v>
      </c>
      <c r="E2468" s="3">
        <v>0</v>
      </c>
      <c r="F2468" s="2">
        <v>4160</v>
      </c>
      <c r="G2468" s="2">
        <v>100</v>
      </c>
      <c r="H2468" s="2">
        <v>849</v>
      </c>
      <c r="I2468" s="2">
        <v>432</v>
      </c>
      <c r="J2468" s="2">
        <v>2978</v>
      </c>
      <c r="K2468" s="2">
        <v>106</v>
      </c>
      <c r="L2468" s="2">
        <v>954</v>
      </c>
    </row>
    <row r="2469" spans="1:12" x14ac:dyDescent="0.25">
      <c r="A2469" s="4" t="str">
        <f>HYPERLINK("http://www.rosaceae.org/Prunus/Prunus_persica/p.persica_gdr_reftransV1_0049134","p.persica_gdr_reftransV1_0049134")</f>
        <v>p.persica_gdr_reftransV1_0049134</v>
      </c>
      <c r="B2469" s="2">
        <v>1983</v>
      </c>
      <c r="C2469" s="4" t="str">
        <f>HYPERLINK("http://www.uniprot.org/uniprot/M5WHG8","M5WHG8")</f>
        <v>M5WHG8</v>
      </c>
      <c r="D2469" s="2" t="s">
        <v>1432</v>
      </c>
      <c r="E2469" s="3">
        <v>0</v>
      </c>
      <c r="F2469" s="2">
        <v>1860</v>
      </c>
      <c r="G2469" s="2">
        <v>100</v>
      </c>
      <c r="H2469" s="2">
        <v>365</v>
      </c>
      <c r="I2469" s="2">
        <v>304</v>
      </c>
      <c r="J2469" s="2">
        <v>1398</v>
      </c>
      <c r="K2469" s="2">
        <v>155</v>
      </c>
      <c r="L2469" s="2">
        <v>519</v>
      </c>
    </row>
    <row r="2470" spans="1:12" x14ac:dyDescent="0.25">
      <c r="A2470" s="4" t="str">
        <f>HYPERLINK("http://www.rosaceae.org/Prunus/Prunus_persica/p.persica_gdr_reftransV1_0000485","p.persica_gdr_reftransV1_0000485")</f>
        <v>p.persica_gdr_reftransV1_0000485</v>
      </c>
      <c r="B2470" s="2">
        <v>1459</v>
      </c>
      <c r="C2470" s="4" t="str">
        <f>HYPERLINK("http://www.uniprot.org/uniprot/M5XW77","M5XW77")</f>
        <v>M5XW77</v>
      </c>
      <c r="D2470" s="2" t="s">
        <v>2371</v>
      </c>
      <c r="E2470" s="3">
        <v>0</v>
      </c>
      <c r="F2470" s="2">
        <v>1288</v>
      </c>
      <c r="G2470" s="2">
        <v>98</v>
      </c>
      <c r="H2470" s="2">
        <v>248</v>
      </c>
      <c r="I2470" s="2">
        <v>526</v>
      </c>
      <c r="J2470" s="2">
        <v>1269</v>
      </c>
      <c r="K2470" s="2">
        <v>1</v>
      </c>
      <c r="L2470" s="2">
        <v>248</v>
      </c>
    </row>
    <row r="2471" spans="1:12" x14ac:dyDescent="0.25">
      <c r="A2471" s="4" t="str">
        <f>HYPERLINK("http://www.rosaceae.org/Prunus/Prunus_persica/p.persica_gdr_reftransV1_0000835","p.persica_gdr_reftransV1_0000835")</f>
        <v>p.persica_gdr_reftransV1_0000835</v>
      </c>
      <c r="B2471" s="2">
        <v>2217</v>
      </c>
      <c r="C2471" s="4" t="str">
        <f>HYPERLINK("http://www.uniprot.org/uniprot/M5WGX1","M5WGX1")</f>
        <v>M5WGX1</v>
      </c>
      <c r="D2471" s="2" t="s">
        <v>2372</v>
      </c>
      <c r="E2471" s="3">
        <v>0</v>
      </c>
      <c r="F2471" s="2">
        <v>2516</v>
      </c>
      <c r="G2471" s="2">
        <v>100</v>
      </c>
      <c r="H2471" s="2">
        <v>497</v>
      </c>
      <c r="I2471" s="2">
        <v>254</v>
      </c>
      <c r="J2471" s="2">
        <v>1744</v>
      </c>
      <c r="K2471" s="2">
        <v>1</v>
      </c>
      <c r="L2471" s="2">
        <v>497</v>
      </c>
    </row>
    <row r="2472" spans="1:12" x14ac:dyDescent="0.25">
      <c r="A2472" s="4" t="str">
        <f>HYPERLINK("http://www.rosaceae.org/Prunus/Prunus_persica/p.persica_gdr_reftransV1_0001185","p.persica_gdr_reftransV1_0001185")</f>
        <v>p.persica_gdr_reftransV1_0001185</v>
      </c>
      <c r="B2472" s="2">
        <v>670</v>
      </c>
      <c r="C2472" s="4" t="str">
        <f>HYPERLINK("http://www.uniprot.org/uniprot/M5VPG7","M5VPG7")</f>
        <v>M5VPG7</v>
      </c>
      <c r="D2472" s="2" t="s">
        <v>2373</v>
      </c>
      <c r="E2472" s="3">
        <v>6.1800000000000002E-86</v>
      </c>
      <c r="F2472" s="2">
        <v>670</v>
      </c>
      <c r="G2472" s="2">
        <v>96</v>
      </c>
      <c r="H2472" s="2">
        <v>133</v>
      </c>
      <c r="I2472" s="2">
        <v>143</v>
      </c>
      <c r="J2472" s="2">
        <v>541</v>
      </c>
      <c r="K2472" s="2">
        <v>1</v>
      </c>
      <c r="L2472" s="2">
        <v>133</v>
      </c>
    </row>
    <row r="2473" spans="1:12" x14ac:dyDescent="0.25">
      <c r="A2473" s="4" t="str">
        <f>HYPERLINK("http://www.rosaceae.org/Prunus/Prunus_persica/p.persica_gdr_reftransV1_0001535","p.persica_gdr_reftransV1_0001535")</f>
        <v>p.persica_gdr_reftransV1_0001535</v>
      </c>
      <c r="B2473" s="2">
        <v>2466</v>
      </c>
      <c r="C2473" s="4" t="str">
        <f>HYPERLINK("http://www.uniprot.org/uniprot/M5VIS0","M5VIS0")</f>
        <v>M5VIS0</v>
      </c>
      <c r="D2473" s="2" t="s">
        <v>2374</v>
      </c>
      <c r="E2473" s="3">
        <v>0</v>
      </c>
      <c r="F2473" s="2">
        <v>2132</v>
      </c>
      <c r="G2473" s="2">
        <v>100</v>
      </c>
      <c r="H2473" s="2">
        <v>398</v>
      </c>
      <c r="I2473" s="2">
        <v>33</v>
      </c>
      <c r="J2473" s="2">
        <v>1226</v>
      </c>
      <c r="K2473" s="2">
        <v>23</v>
      </c>
      <c r="L2473" s="2">
        <v>420</v>
      </c>
    </row>
    <row r="2474" spans="1:12" x14ac:dyDescent="0.25">
      <c r="A2474" s="4" t="str">
        <f>HYPERLINK("http://www.rosaceae.org/Prunus/Prunus_persica/p.persica_gdr_reftransV1_0001885","p.persica_gdr_reftransV1_0001885")</f>
        <v>p.persica_gdr_reftransV1_0001885</v>
      </c>
      <c r="B2474" s="2">
        <v>1184</v>
      </c>
      <c r="C2474" s="4" t="str">
        <f>HYPERLINK("http://www.uniprot.org/uniprot/M5WDG9","M5WDG9")</f>
        <v>M5WDG9</v>
      </c>
      <c r="D2474" s="2" t="s">
        <v>231</v>
      </c>
      <c r="E2474" s="3">
        <v>1.63E-72</v>
      </c>
      <c r="F2474" s="2">
        <v>597</v>
      </c>
      <c r="G2474" s="2">
        <v>100</v>
      </c>
      <c r="H2474" s="2">
        <v>137</v>
      </c>
      <c r="I2474" s="2">
        <v>297</v>
      </c>
      <c r="J2474" s="2">
        <v>707</v>
      </c>
      <c r="K2474" s="2">
        <v>1</v>
      </c>
      <c r="L2474" s="2">
        <v>137</v>
      </c>
    </row>
    <row r="2475" spans="1:12" x14ac:dyDescent="0.25">
      <c r="A2475" s="4" t="str">
        <f>HYPERLINK("http://www.rosaceae.org/Prunus/Prunus_persica/p.persica_gdr_reftransV1_0002235","p.persica_gdr_reftransV1_0002235")</f>
        <v>p.persica_gdr_reftransV1_0002235</v>
      </c>
      <c r="B2475" s="2">
        <v>2509</v>
      </c>
      <c r="C2475" s="4" t="str">
        <f>HYPERLINK("http://www.uniprot.org/uniprot/M5X2I8","M5X2I8")</f>
        <v>M5X2I8</v>
      </c>
      <c r="D2475" s="2" t="s">
        <v>2375</v>
      </c>
      <c r="E2475" s="3">
        <v>0</v>
      </c>
      <c r="F2475" s="2">
        <v>2134</v>
      </c>
      <c r="G2475" s="2">
        <v>100</v>
      </c>
      <c r="H2475" s="2">
        <v>454</v>
      </c>
      <c r="I2475" s="2">
        <v>269</v>
      </c>
      <c r="J2475" s="2">
        <v>1630</v>
      </c>
      <c r="K2475" s="2">
        <v>142</v>
      </c>
      <c r="L2475" s="2">
        <v>595</v>
      </c>
    </row>
    <row r="2476" spans="1:12" x14ac:dyDescent="0.25">
      <c r="A2476" s="4" t="str">
        <f>HYPERLINK("http://www.rosaceae.org/Prunus/Prunus_persica/p.persica_gdr_reftransV1_0002585","p.persica_gdr_reftransV1_0002585")</f>
        <v>p.persica_gdr_reftransV1_0002585</v>
      </c>
      <c r="B2476" s="2">
        <v>3304</v>
      </c>
      <c r="C2476" s="4" t="str">
        <f>HYPERLINK("http://www.uniprot.org/uniprot/M5X3W8","M5X3W8")</f>
        <v>M5X3W8</v>
      </c>
      <c r="D2476" s="2" t="s">
        <v>2376</v>
      </c>
      <c r="E2476" s="3">
        <v>0</v>
      </c>
      <c r="F2476" s="2">
        <v>2405</v>
      </c>
      <c r="G2476" s="2">
        <v>100</v>
      </c>
      <c r="H2476" s="2">
        <v>524</v>
      </c>
      <c r="I2476" s="2">
        <v>33</v>
      </c>
      <c r="J2476" s="2">
        <v>1604</v>
      </c>
      <c r="K2476" s="2">
        <v>1</v>
      </c>
      <c r="L2476" s="2">
        <v>524</v>
      </c>
    </row>
    <row r="2477" spans="1:12" x14ac:dyDescent="0.25">
      <c r="A2477" s="4" t="str">
        <f>HYPERLINK("http://www.rosaceae.org/Prunus/Prunus_persica/p.persica_gdr_reftransV1_0003285","p.persica_gdr_reftransV1_0003285")</f>
        <v>p.persica_gdr_reftransV1_0003285</v>
      </c>
      <c r="B2477" s="2">
        <v>401</v>
      </c>
      <c r="C2477" s="4" t="str">
        <f>HYPERLINK("http://www.uniprot.org/uniprot/M5VTK2","M5VTK2")</f>
        <v>M5VTK2</v>
      </c>
      <c r="D2477" s="2" t="s">
        <v>2377</v>
      </c>
      <c r="E2477" s="3">
        <v>2.1799999999999998E-50</v>
      </c>
      <c r="F2477" s="2">
        <v>463</v>
      </c>
      <c r="G2477" s="2">
        <v>79</v>
      </c>
      <c r="H2477" s="2">
        <v>134</v>
      </c>
      <c r="I2477" s="2">
        <v>1</v>
      </c>
      <c r="J2477" s="2">
        <v>399</v>
      </c>
      <c r="K2477" s="2">
        <v>754</v>
      </c>
      <c r="L2477" s="2">
        <v>887</v>
      </c>
    </row>
    <row r="2478" spans="1:12" x14ac:dyDescent="0.25">
      <c r="A2478" s="4" t="str">
        <f>HYPERLINK("http://www.rosaceae.org/Prunus/Prunus_persica/p.persica_gdr_reftransV1_0003635","p.persica_gdr_reftransV1_0003635")</f>
        <v>p.persica_gdr_reftransV1_0003635</v>
      </c>
      <c r="B2478" s="2">
        <v>3094</v>
      </c>
      <c r="C2478" s="4" t="str">
        <f>HYPERLINK("http://www.uniprot.org/uniprot/M5WE13","M5WE13")</f>
        <v>M5WE13</v>
      </c>
      <c r="D2478" s="2" t="s">
        <v>2378</v>
      </c>
      <c r="E2478" s="3">
        <v>0</v>
      </c>
      <c r="F2478" s="2">
        <v>3762</v>
      </c>
      <c r="G2478" s="2">
        <v>99</v>
      </c>
      <c r="H2478" s="2">
        <v>745</v>
      </c>
      <c r="I2478" s="2">
        <v>304</v>
      </c>
      <c r="J2478" s="2">
        <v>2538</v>
      </c>
      <c r="K2478" s="2">
        <v>1</v>
      </c>
      <c r="L2478" s="2">
        <v>745</v>
      </c>
    </row>
    <row r="2479" spans="1:12" x14ac:dyDescent="0.25">
      <c r="A2479" s="4" t="str">
        <f>HYPERLINK("http://www.rosaceae.org/Prunus/Prunus_persica/p.persica_gdr_reftransV1_0004685","p.persica_gdr_reftransV1_0004685")</f>
        <v>p.persica_gdr_reftransV1_0004685</v>
      </c>
      <c r="B2479" s="2">
        <v>355</v>
      </c>
      <c r="C2479" s="4" t="str">
        <f>HYPERLINK("http://www.uniprot.org/uniprot/M5XK39","M5XK39")</f>
        <v>M5XK39</v>
      </c>
      <c r="D2479" s="2" t="s">
        <v>2379</v>
      </c>
      <c r="E2479" s="3">
        <v>7.63E-78</v>
      </c>
      <c r="F2479" s="2">
        <v>651</v>
      </c>
      <c r="G2479" s="2">
        <v>100</v>
      </c>
      <c r="H2479" s="2">
        <v>118</v>
      </c>
      <c r="I2479" s="2">
        <v>2</v>
      </c>
      <c r="J2479" s="2">
        <v>355</v>
      </c>
      <c r="K2479" s="2">
        <v>259</v>
      </c>
      <c r="L2479" s="2">
        <v>376</v>
      </c>
    </row>
    <row r="2480" spans="1:12" x14ac:dyDescent="0.25">
      <c r="A2480" s="4" t="str">
        <f>HYPERLINK("http://www.rosaceae.org/Prunus/Prunus_persica/p.persica_gdr_reftransV1_0005385","p.persica_gdr_reftransV1_0005385")</f>
        <v>p.persica_gdr_reftransV1_0005385</v>
      </c>
      <c r="B2480" s="2">
        <v>6097</v>
      </c>
      <c r="C2480" s="4" t="str">
        <f>HYPERLINK("http://www.uniprot.org/uniprot/M5XAM1","M5XAM1")</f>
        <v>M5XAM1</v>
      </c>
      <c r="D2480" s="2" t="s">
        <v>2380</v>
      </c>
      <c r="E2480" s="3">
        <v>0</v>
      </c>
      <c r="F2480" s="2">
        <v>4583</v>
      </c>
      <c r="G2480" s="2">
        <v>97</v>
      </c>
      <c r="H2480" s="2">
        <v>938</v>
      </c>
      <c r="I2480" s="2">
        <v>2907</v>
      </c>
      <c r="J2480" s="2">
        <v>5642</v>
      </c>
      <c r="K2480" s="2">
        <v>1</v>
      </c>
      <c r="L2480" s="2">
        <v>938</v>
      </c>
    </row>
    <row r="2481" spans="1:12" x14ac:dyDescent="0.25">
      <c r="A2481" s="4" t="str">
        <f>HYPERLINK("http://www.rosaceae.org/Prunus/Prunus_persica/p.persica_gdr_reftransV1_0005735","p.persica_gdr_reftransV1_0005735")</f>
        <v>p.persica_gdr_reftransV1_0005735</v>
      </c>
      <c r="B2481" s="2">
        <v>527</v>
      </c>
      <c r="C2481" s="4" t="str">
        <f>HYPERLINK("http://www.uniprot.org/uniprot/M5WYH0","M5WYH0")</f>
        <v>M5WYH0</v>
      </c>
      <c r="D2481" s="2" t="s">
        <v>2381</v>
      </c>
      <c r="E2481" s="3">
        <v>4.3199999999999999E-48</v>
      </c>
      <c r="F2481" s="2">
        <v>436</v>
      </c>
      <c r="G2481" s="2">
        <v>94</v>
      </c>
      <c r="H2481" s="2">
        <v>102</v>
      </c>
      <c r="I2481" s="2">
        <v>221</v>
      </c>
      <c r="J2481" s="2">
        <v>526</v>
      </c>
      <c r="K2481" s="2">
        <v>339</v>
      </c>
      <c r="L2481" s="2">
        <v>440</v>
      </c>
    </row>
    <row r="2482" spans="1:12" x14ac:dyDescent="0.25">
      <c r="A2482" s="4" t="str">
        <f>HYPERLINK("http://www.rosaceae.org/Prunus/Prunus_persica/p.persica_gdr_reftransV1_0006085","p.persica_gdr_reftransV1_0006085")</f>
        <v>p.persica_gdr_reftransV1_0006085</v>
      </c>
      <c r="B2482" s="2">
        <v>578</v>
      </c>
      <c r="C2482" s="4" t="str">
        <f>HYPERLINK("http://www.uniprot.org/uniprot/G2YRQ2","G2YRQ2")</f>
        <v>G2YRQ2</v>
      </c>
      <c r="D2482" s="2" t="s">
        <v>2382</v>
      </c>
      <c r="E2482" s="3">
        <v>5.6400000000000002E-75</v>
      </c>
      <c r="F2482" s="2">
        <v>595</v>
      </c>
      <c r="G2482" s="2">
        <v>100</v>
      </c>
      <c r="H2482" s="2">
        <v>149</v>
      </c>
      <c r="I2482" s="2">
        <v>76</v>
      </c>
      <c r="J2482" s="2">
        <v>522</v>
      </c>
      <c r="K2482" s="2">
        <v>1</v>
      </c>
      <c r="L2482" s="2">
        <v>149</v>
      </c>
    </row>
    <row r="2483" spans="1:12" x14ac:dyDescent="0.25">
      <c r="A2483" s="4" t="str">
        <f>HYPERLINK("http://www.rosaceae.org/Prunus/Prunus_persica/p.persica_gdr_reftransV1_0006785","p.persica_gdr_reftransV1_0006785")</f>
        <v>p.persica_gdr_reftransV1_0006785</v>
      </c>
      <c r="B2483" s="2">
        <v>957</v>
      </c>
      <c r="C2483" s="4" t="str">
        <f>HYPERLINK("http://www.uniprot.org/uniprot/M5W6P9","M5W6P9")</f>
        <v>M5W6P9</v>
      </c>
      <c r="D2483" s="2" t="s">
        <v>2383</v>
      </c>
      <c r="E2483" s="3">
        <v>0</v>
      </c>
      <c r="F2483" s="2">
        <v>1402</v>
      </c>
      <c r="G2483" s="2">
        <v>100</v>
      </c>
      <c r="H2483" s="2">
        <v>288</v>
      </c>
      <c r="I2483" s="2">
        <v>92</v>
      </c>
      <c r="J2483" s="2">
        <v>955</v>
      </c>
      <c r="K2483" s="2">
        <v>74</v>
      </c>
      <c r="L2483" s="2">
        <v>361</v>
      </c>
    </row>
    <row r="2484" spans="1:12" x14ac:dyDescent="0.25">
      <c r="A2484" s="4" t="str">
        <f>HYPERLINK("http://www.rosaceae.org/Prunus/Prunus_persica/p.persica_gdr_reftransV1_0007135","p.persica_gdr_reftransV1_0007135")</f>
        <v>p.persica_gdr_reftransV1_0007135</v>
      </c>
      <c r="B2484" s="2">
        <v>1023</v>
      </c>
      <c r="C2484" s="4" t="str">
        <f>HYPERLINK("http://www.uniprot.org/uniprot/M5WV82","M5WV82")</f>
        <v>M5WV82</v>
      </c>
      <c r="D2484" s="2" t="s">
        <v>2384</v>
      </c>
      <c r="E2484" s="3">
        <v>5.9299999999999995E-150</v>
      </c>
      <c r="F2484" s="2">
        <v>1112</v>
      </c>
      <c r="G2484" s="2">
        <v>100</v>
      </c>
      <c r="H2484" s="2">
        <v>210</v>
      </c>
      <c r="I2484" s="2">
        <v>321</v>
      </c>
      <c r="J2484" s="2">
        <v>950</v>
      </c>
      <c r="K2484" s="2">
        <v>1</v>
      </c>
      <c r="L2484" s="2">
        <v>210</v>
      </c>
    </row>
    <row r="2485" spans="1:12" x14ac:dyDescent="0.25">
      <c r="A2485" s="4" t="str">
        <f>HYPERLINK("http://www.rosaceae.org/Prunus/Prunus_persica/p.persica_gdr_reftransV1_0007485","p.persica_gdr_reftransV1_0007485")</f>
        <v>p.persica_gdr_reftransV1_0007485</v>
      </c>
      <c r="B2485" s="2">
        <v>1725</v>
      </c>
      <c r="C2485" s="4" t="str">
        <f>HYPERLINK("http://www.uniprot.org/uniprot/M5X7X5","M5X7X5")</f>
        <v>M5X7X5</v>
      </c>
      <c r="D2485" s="2" t="s">
        <v>2385</v>
      </c>
      <c r="E2485" s="3">
        <v>0</v>
      </c>
      <c r="F2485" s="2">
        <v>2062</v>
      </c>
      <c r="G2485" s="2">
        <v>100</v>
      </c>
      <c r="H2485" s="2">
        <v>400</v>
      </c>
      <c r="I2485" s="2">
        <v>506</v>
      </c>
      <c r="J2485" s="2">
        <v>1705</v>
      </c>
      <c r="K2485" s="2">
        <v>1</v>
      </c>
      <c r="L2485" s="2">
        <v>400</v>
      </c>
    </row>
    <row r="2486" spans="1:12" x14ac:dyDescent="0.25">
      <c r="A2486" s="4" t="str">
        <f>HYPERLINK("http://www.rosaceae.org/Prunus/Prunus_persica/p.persica_gdr_reftransV1_0008185","p.persica_gdr_reftransV1_0008185")</f>
        <v>p.persica_gdr_reftransV1_0008185</v>
      </c>
      <c r="B2486" s="2">
        <v>1064</v>
      </c>
      <c r="C2486" s="4" t="str">
        <f>HYPERLINK("http://www.uniprot.org/uniprot/M5X419","M5X419")</f>
        <v>M5X419</v>
      </c>
      <c r="D2486" s="2" t="s">
        <v>2386</v>
      </c>
      <c r="E2486" s="3">
        <v>7.3400000000000001E-117</v>
      </c>
      <c r="F2486" s="2">
        <v>891</v>
      </c>
      <c r="G2486" s="2">
        <v>100</v>
      </c>
      <c r="H2486" s="2">
        <v>172</v>
      </c>
      <c r="I2486" s="2">
        <v>511</v>
      </c>
      <c r="J2486" s="2">
        <v>1026</v>
      </c>
      <c r="K2486" s="2">
        <v>1</v>
      </c>
      <c r="L2486" s="2">
        <v>172</v>
      </c>
    </row>
    <row r="2487" spans="1:12" x14ac:dyDescent="0.25">
      <c r="A2487" s="4" t="str">
        <f>HYPERLINK("http://www.rosaceae.org/Prunus/Prunus_persica/p.persica_gdr_reftransV1_0008535","p.persica_gdr_reftransV1_0008535")</f>
        <v>p.persica_gdr_reftransV1_0008535</v>
      </c>
      <c r="B2487" s="2">
        <v>1241</v>
      </c>
      <c r="C2487" s="4" t="str">
        <f>HYPERLINK("http://www.uniprot.org/uniprot/M5W936","M5W936")</f>
        <v>M5W936</v>
      </c>
      <c r="D2487" s="2" t="s">
        <v>2387</v>
      </c>
      <c r="E2487" s="3">
        <v>0</v>
      </c>
      <c r="F2487" s="2">
        <v>1579</v>
      </c>
      <c r="G2487" s="2">
        <v>100</v>
      </c>
      <c r="H2487" s="2">
        <v>308</v>
      </c>
      <c r="I2487" s="2">
        <v>1</v>
      </c>
      <c r="J2487" s="2">
        <v>924</v>
      </c>
      <c r="K2487" s="2">
        <v>349</v>
      </c>
      <c r="L2487" s="2">
        <v>656</v>
      </c>
    </row>
    <row r="2488" spans="1:12" x14ac:dyDescent="0.25">
      <c r="A2488" s="4" t="str">
        <f>HYPERLINK("http://www.rosaceae.org/Prunus/Prunus_persica/p.persica_gdr_reftransV1_0008885","p.persica_gdr_reftransV1_0008885")</f>
        <v>p.persica_gdr_reftransV1_0008885</v>
      </c>
      <c r="B2488" s="2">
        <v>566</v>
      </c>
      <c r="C2488" s="4" t="str">
        <f>HYPERLINK("http://www.uniprot.org/uniprot/M5WAK1","M5WAK1")</f>
        <v>M5WAK1</v>
      </c>
      <c r="D2488" s="2" t="s">
        <v>2388</v>
      </c>
      <c r="E2488" s="3">
        <v>2.5699999999999999E-97</v>
      </c>
      <c r="F2488" s="2">
        <v>751</v>
      </c>
      <c r="G2488" s="2">
        <v>99</v>
      </c>
      <c r="H2488" s="2">
        <v>158</v>
      </c>
      <c r="I2488" s="2">
        <v>3</v>
      </c>
      <c r="J2488" s="2">
        <v>476</v>
      </c>
      <c r="K2488" s="2">
        <v>1</v>
      </c>
      <c r="L2488" s="2">
        <v>158</v>
      </c>
    </row>
    <row r="2489" spans="1:12" x14ac:dyDescent="0.25">
      <c r="A2489" s="4" t="str">
        <f>HYPERLINK("http://www.rosaceae.org/Prunus/Prunus_persica/p.persica_gdr_reftransV1_0009235","p.persica_gdr_reftransV1_0009235")</f>
        <v>p.persica_gdr_reftransV1_0009235</v>
      </c>
      <c r="B2489" s="2">
        <v>1477</v>
      </c>
      <c r="C2489" s="4" t="str">
        <f>HYPERLINK("http://www.uniprot.org/uniprot/M5X0D2","M5X0D2")</f>
        <v>M5X0D2</v>
      </c>
      <c r="D2489" s="2" t="s">
        <v>2389</v>
      </c>
      <c r="E2489" s="3">
        <v>0</v>
      </c>
      <c r="F2489" s="2">
        <v>1693</v>
      </c>
      <c r="G2489" s="2">
        <v>96</v>
      </c>
      <c r="H2489" s="2">
        <v>373</v>
      </c>
      <c r="I2489" s="2">
        <v>256</v>
      </c>
      <c r="J2489" s="2">
        <v>1374</v>
      </c>
      <c r="K2489" s="2">
        <v>1</v>
      </c>
      <c r="L2489" s="2">
        <v>359</v>
      </c>
    </row>
    <row r="2490" spans="1:12" x14ac:dyDescent="0.25">
      <c r="A2490" s="4" t="str">
        <f>HYPERLINK("http://www.rosaceae.org/Prunus/Prunus_persica/p.persica_gdr_reftransV1_0010285","p.persica_gdr_reftransV1_0010285")</f>
        <v>p.persica_gdr_reftransV1_0010285</v>
      </c>
      <c r="B2490" s="2">
        <v>2397</v>
      </c>
      <c r="C2490" s="4" t="str">
        <f>HYPERLINK("http://www.uniprot.org/uniprot/M5W5D1","M5W5D1")</f>
        <v>M5W5D1</v>
      </c>
      <c r="D2490" s="2" t="s">
        <v>2390</v>
      </c>
      <c r="E2490" s="3">
        <v>0</v>
      </c>
      <c r="F2490" s="2">
        <v>1798</v>
      </c>
      <c r="G2490" s="2">
        <v>100</v>
      </c>
      <c r="H2490" s="2">
        <v>349</v>
      </c>
      <c r="I2490" s="2">
        <v>361</v>
      </c>
      <c r="J2490" s="2">
        <v>1407</v>
      </c>
      <c r="K2490" s="2">
        <v>1</v>
      </c>
      <c r="L2490" s="2">
        <v>349</v>
      </c>
    </row>
    <row r="2491" spans="1:12" x14ac:dyDescent="0.25">
      <c r="A2491" s="4" t="str">
        <f>HYPERLINK("http://www.rosaceae.org/Prunus/Prunus_persica/p.persica_gdr_reftransV1_0010635","p.persica_gdr_reftransV1_0010635")</f>
        <v>p.persica_gdr_reftransV1_0010635</v>
      </c>
      <c r="B2491" s="2">
        <v>1082</v>
      </c>
      <c r="C2491" s="4" t="str">
        <f>HYPERLINK("http://www.uniprot.org/uniprot/M5XP35","M5XP35")</f>
        <v>M5XP35</v>
      </c>
      <c r="D2491" s="2" t="s">
        <v>2391</v>
      </c>
      <c r="E2491" s="3">
        <v>6.8399999999999998E-161</v>
      </c>
      <c r="F2491" s="2">
        <v>1210</v>
      </c>
      <c r="G2491" s="2">
        <v>80</v>
      </c>
      <c r="H2491" s="2">
        <v>302</v>
      </c>
      <c r="I2491" s="2">
        <v>177</v>
      </c>
      <c r="J2491" s="2">
        <v>1082</v>
      </c>
      <c r="K2491" s="2">
        <v>9</v>
      </c>
      <c r="L2491" s="2">
        <v>250</v>
      </c>
    </row>
    <row r="2492" spans="1:12" x14ac:dyDescent="0.25">
      <c r="A2492" s="4" t="str">
        <f>HYPERLINK("http://www.rosaceae.org/Prunus/Prunus_persica/p.persica_gdr_reftransV1_0010985","p.persica_gdr_reftransV1_0010985")</f>
        <v>p.persica_gdr_reftransV1_0010985</v>
      </c>
      <c r="B2492" s="2">
        <v>3152</v>
      </c>
      <c r="C2492" s="4" t="str">
        <f>HYPERLINK("http://www.uniprot.org/uniprot/M5WLZ5","M5WLZ5")</f>
        <v>M5WLZ5</v>
      </c>
      <c r="D2492" s="2" t="s">
        <v>2392</v>
      </c>
      <c r="E2492" s="3">
        <v>9.7900000000000008E-146</v>
      </c>
      <c r="F2492" s="2">
        <v>1171</v>
      </c>
      <c r="G2492" s="2">
        <v>97</v>
      </c>
      <c r="H2492" s="2">
        <v>245</v>
      </c>
      <c r="I2492" s="2">
        <v>2417</v>
      </c>
      <c r="J2492" s="2">
        <v>3151</v>
      </c>
      <c r="K2492" s="2">
        <v>211</v>
      </c>
      <c r="L2492" s="2">
        <v>450</v>
      </c>
    </row>
    <row r="2493" spans="1:12" x14ac:dyDescent="0.25">
      <c r="A2493" s="4" t="str">
        <f>HYPERLINK("http://www.rosaceae.org/Prunus/Prunus_persica/p.persica_gdr_reftransV1_0012385","p.persica_gdr_reftransV1_0012385")</f>
        <v>p.persica_gdr_reftransV1_0012385</v>
      </c>
      <c r="B2493" s="2">
        <v>896</v>
      </c>
      <c r="C2493" s="4" t="str">
        <f>HYPERLINK("http://www.uniprot.org/uniprot/M5W095","M5W095")</f>
        <v>M5W095</v>
      </c>
      <c r="D2493" s="2" t="s">
        <v>2393</v>
      </c>
      <c r="E2493" s="3">
        <v>2.3800000000000001E-61</v>
      </c>
      <c r="F2493" s="2">
        <v>520</v>
      </c>
      <c r="G2493" s="2">
        <v>100</v>
      </c>
      <c r="H2493" s="2">
        <v>199</v>
      </c>
      <c r="I2493" s="2">
        <v>81</v>
      </c>
      <c r="J2493" s="2">
        <v>677</v>
      </c>
      <c r="K2493" s="2">
        <v>1</v>
      </c>
      <c r="L2493" s="2">
        <v>199</v>
      </c>
    </row>
    <row r="2494" spans="1:12" x14ac:dyDescent="0.25">
      <c r="A2494" s="4" t="str">
        <f>HYPERLINK("http://www.rosaceae.org/Prunus/Prunus_persica/p.persica_gdr_reftransV1_0012735","p.persica_gdr_reftransV1_0012735")</f>
        <v>p.persica_gdr_reftransV1_0012735</v>
      </c>
      <c r="B2494" s="2">
        <v>879</v>
      </c>
      <c r="C2494" s="4" t="str">
        <f>HYPERLINK("http://www.uniprot.org/uniprot/J7G0P5","J7G0P5")</f>
        <v>J7G0P5</v>
      </c>
      <c r="D2494" s="2" t="s">
        <v>2394</v>
      </c>
      <c r="E2494" s="3">
        <v>1.09E-79</v>
      </c>
      <c r="F2494" s="2">
        <v>698</v>
      </c>
      <c r="G2494" s="2">
        <v>65</v>
      </c>
      <c r="H2494" s="2">
        <v>214</v>
      </c>
      <c r="I2494" s="2">
        <v>6</v>
      </c>
      <c r="J2494" s="2">
        <v>647</v>
      </c>
      <c r="K2494" s="2">
        <v>872</v>
      </c>
      <c r="L2494" s="2">
        <v>1085</v>
      </c>
    </row>
    <row r="2495" spans="1:12" x14ac:dyDescent="0.25">
      <c r="A2495" s="4" t="str">
        <f>HYPERLINK("http://www.rosaceae.org/Prunus/Prunus_persica/p.persica_gdr_reftransV1_0013435","p.persica_gdr_reftransV1_0013435")</f>
        <v>p.persica_gdr_reftransV1_0013435</v>
      </c>
      <c r="B2495" s="2">
        <v>2161</v>
      </c>
      <c r="C2495" s="4" t="str">
        <f>HYPERLINK("http://www.uniprot.org/uniprot/M5W922","M5W922")</f>
        <v>M5W922</v>
      </c>
      <c r="D2495" s="2" t="s">
        <v>2395</v>
      </c>
      <c r="E2495" s="3">
        <v>0</v>
      </c>
      <c r="F2495" s="2">
        <v>1837</v>
      </c>
      <c r="G2495" s="2">
        <v>100</v>
      </c>
      <c r="H2495" s="2">
        <v>361</v>
      </c>
      <c r="I2495" s="2">
        <v>709</v>
      </c>
      <c r="J2495" s="2">
        <v>1791</v>
      </c>
      <c r="K2495" s="2">
        <v>1</v>
      </c>
      <c r="L2495" s="2">
        <v>361</v>
      </c>
    </row>
    <row r="2496" spans="1:12" x14ac:dyDescent="0.25">
      <c r="A2496" s="4" t="str">
        <f>HYPERLINK("http://www.rosaceae.org/Prunus/Prunus_persica/p.persica_gdr_reftransV1_0013785","p.persica_gdr_reftransV1_0013785")</f>
        <v>p.persica_gdr_reftransV1_0013785</v>
      </c>
      <c r="B2496" s="2">
        <v>1406</v>
      </c>
      <c r="C2496" s="4" t="str">
        <f>HYPERLINK("http://www.uniprot.org/uniprot/M5XKW6","M5XKW6")</f>
        <v>M5XKW6</v>
      </c>
      <c r="D2496" s="2" t="s">
        <v>2396</v>
      </c>
      <c r="E2496" s="3">
        <v>0</v>
      </c>
      <c r="F2496" s="2">
        <v>1444</v>
      </c>
      <c r="G2496" s="2">
        <v>100</v>
      </c>
      <c r="H2496" s="2">
        <v>284</v>
      </c>
      <c r="I2496" s="2">
        <v>3</v>
      </c>
      <c r="J2496" s="2">
        <v>854</v>
      </c>
      <c r="K2496" s="2">
        <v>365</v>
      </c>
      <c r="L2496" s="2">
        <v>648</v>
      </c>
    </row>
    <row r="2497" spans="1:12" x14ac:dyDescent="0.25">
      <c r="A2497" s="4" t="str">
        <f>HYPERLINK("http://www.rosaceae.org/Prunus/Prunus_persica/p.persica_gdr_reftransV1_0015885","p.persica_gdr_reftransV1_0015885")</f>
        <v>p.persica_gdr_reftransV1_0015885</v>
      </c>
      <c r="B2497" s="2">
        <v>3661</v>
      </c>
      <c r="C2497" s="4" t="str">
        <f>HYPERLINK("http://www.uniprot.org/uniprot/A0A067G5X5","A0A067G5X5")</f>
        <v>A0A067G5X5</v>
      </c>
      <c r="D2497" s="2" t="s">
        <v>2397</v>
      </c>
      <c r="E2497" s="3">
        <v>0</v>
      </c>
      <c r="F2497" s="2">
        <v>2574</v>
      </c>
      <c r="G2497" s="2">
        <v>56</v>
      </c>
      <c r="H2497" s="2">
        <v>1006</v>
      </c>
      <c r="I2497" s="2">
        <v>483</v>
      </c>
      <c r="J2497" s="2">
        <v>3338</v>
      </c>
      <c r="K2497" s="2">
        <v>1</v>
      </c>
      <c r="L2497" s="2">
        <v>998</v>
      </c>
    </row>
    <row r="2498" spans="1:12" x14ac:dyDescent="0.25">
      <c r="A2498" s="4" t="str">
        <f>HYPERLINK("http://www.rosaceae.org/Prunus/Prunus_persica/p.persica_gdr_reftransV1_0016585","p.persica_gdr_reftransV1_0016585")</f>
        <v>p.persica_gdr_reftransV1_0016585</v>
      </c>
      <c r="B2498" s="2">
        <v>840</v>
      </c>
      <c r="C2498" s="4" t="str">
        <f>HYPERLINK("http://www.uniprot.org/uniprot/M5VJ45","M5VJ45")</f>
        <v>M5VJ45</v>
      </c>
      <c r="D2498" s="2" t="s">
        <v>2398</v>
      </c>
      <c r="E2498" s="3">
        <v>1.9300000000000001E-117</v>
      </c>
      <c r="F2498" s="2">
        <v>909</v>
      </c>
      <c r="G2498" s="2">
        <v>100</v>
      </c>
      <c r="H2498" s="2">
        <v>218</v>
      </c>
      <c r="I2498" s="2">
        <v>1</v>
      </c>
      <c r="J2498" s="2">
        <v>654</v>
      </c>
      <c r="K2498" s="2">
        <v>1</v>
      </c>
      <c r="L2498" s="2">
        <v>218</v>
      </c>
    </row>
    <row r="2499" spans="1:12" x14ac:dyDescent="0.25">
      <c r="A2499" s="4" t="str">
        <f>HYPERLINK("http://www.rosaceae.org/Prunus/Prunus_persica/p.persica_gdr_reftransV1_0016935","p.persica_gdr_reftransV1_0016935")</f>
        <v>p.persica_gdr_reftransV1_0016935</v>
      </c>
      <c r="B2499" s="2">
        <v>2131</v>
      </c>
      <c r="C2499" s="4" t="str">
        <f>HYPERLINK("http://www.uniprot.org/uniprot/M5XQQ4","M5XQQ4")</f>
        <v>M5XQQ4</v>
      </c>
      <c r="D2499" s="2" t="s">
        <v>2399</v>
      </c>
      <c r="E2499" s="3">
        <v>0</v>
      </c>
      <c r="F2499" s="2">
        <v>1664</v>
      </c>
      <c r="G2499" s="2">
        <v>100</v>
      </c>
      <c r="H2499" s="2">
        <v>517</v>
      </c>
      <c r="I2499" s="2">
        <v>512</v>
      </c>
      <c r="J2499" s="2">
        <v>2062</v>
      </c>
      <c r="K2499" s="2">
        <v>1</v>
      </c>
      <c r="L2499" s="2">
        <v>517</v>
      </c>
    </row>
    <row r="2500" spans="1:12" x14ac:dyDescent="0.25">
      <c r="A2500" s="4" t="str">
        <f>HYPERLINK("http://www.rosaceae.org/Prunus/Prunus_persica/p.persica_gdr_reftransV1_0017985","p.persica_gdr_reftransV1_0017985")</f>
        <v>p.persica_gdr_reftransV1_0017985</v>
      </c>
      <c r="B2500" s="2">
        <v>331</v>
      </c>
      <c r="C2500" s="4" t="str">
        <f>HYPERLINK("http://www.uniprot.org/uniprot/M5XKG6","M5XKG6")</f>
        <v>M5XKG6</v>
      </c>
      <c r="D2500" s="2" t="s">
        <v>2400</v>
      </c>
      <c r="E2500" s="3">
        <v>5.3599999999999998E-53</v>
      </c>
      <c r="F2500" s="2">
        <v>478</v>
      </c>
      <c r="G2500" s="2">
        <v>100</v>
      </c>
      <c r="H2500" s="2">
        <v>110</v>
      </c>
      <c r="I2500" s="2">
        <v>2</v>
      </c>
      <c r="J2500" s="2">
        <v>331</v>
      </c>
      <c r="K2500" s="2">
        <v>373</v>
      </c>
      <c r="L2500" s="2">
        <v>482</v>
      </c>
    </row>
    <row r="2501" spans="1:12" x14ac:dyDescent="0.25">
      <c r="A2501" s="4" t="str">
        <f>HYPERLINK("http://www.rosaceae.org/Prunus/Prunus_persica/p.persica_gdr_reftransV1_0018685","p.persica_gdr_reftransV1_0018685")</f>
        <v>p.persica_gdr_reftransV1_0018685</v>
      </c>
      <c r="B2501" s="2">
        <v>490</v>
      </c>
      <c r="C2501" s="4" t="str">
        <f>HYPERLINK("http://www.uniprot.org/uniprot/M5WQ02","M5WQ02")</f>
        <v>M5WQ02</v>
      </c>
      <c r="D2501" s="2" t="s">
        <v>2401</v>
      </c>
      <c r="E2501" s="3">
        <v>3.1500000000000001E-19</v>
      </c>
      <c r="F2501" s="2">
        <v>229</v>
      </c>
      <c r="G2501" s="2">
        <v>47</v>
      </c>
      <c r="H2501" s="2">
        <v>137</v>
      </c>
      <c r="I2501" s="2">
        <v>77</v>
      </c>
      <c r="J2501" s="2">
        <v>487</v>
      </c>
      <c r="K2501" s="2">
        <v>40</v>
      </c>
      <c r="L2501" s="2">
        <v>142</v>
      </c>
    </row>
    <row r="2502" spans="1:12" x14ac:dyDescent="0.25">
      <c r="A2502" s="4" t="str">
        <f>HYPERLINK("http://www.rosaceae.org/Prunus/Prunus_persica/p.persica_gdr_reftransV1_0019385","p.persica_gdr_reftransV1_0019385")</f>
        <v>p.persica_gdr_reftransV1_0019385</v>
      </c>
      <c r="B2502" s="2">
        <v>588</v>
      </c>
      <c r="C2502" s="4" t="str">
        <f>HYPERLINK("http://www.uniprot.org/uniprot/M5W1U7","M5W1U7")</f>
        <v>M5W1U7</v>
      </c>
      <c r="D2502" s="2" t="s">
        <v>2402</v>
      </c>
      <c r="E2502" s="3">
        <v>1.22E-109</v>
      </c>
      <c r="F2502" s="2">
        <v>862</v>
      </c>
      <c r="G2502" s="2">
        <v>100</v>
      </c>
      <c r="H2502" s="2">
        <v>163</v>
      </c>
      <c r="I2502" s="2">
        <v>1</v>
      </c>
      <c r="J2502" s="2">
        <v>489</v>
      </c>
      <c r="K2502" s="2">
        <v>392</v>
      </c>
      <c r="L2502" s="2">
        <v>554</v>
      </c>
    </row>
    <row r="2503" spans="1:12" x14ac:dyDescent="0.25">
      <c r="A2503" s="4" t="str">
        <f>HYPERLINK("http://www.rosaceae.org/Prunus/Prunus_persica/p.persica_gdr_reftransV1_0020785","p.persica_gdr_reftransV1_0020785")</f>
        <v>p.persica_gdr_reftransV1_0020785</v>
      </c>
      <c r="B2503" s="2">
        <v>1356</v>
      </c>
      <c r="C2503" s="4" t="str">
        <f>HYPERLINK("http://www.uniprot.org/uniprot/M5WAA2","M5WAA2")</f>
        <v>M5WAA2</v>
      </c>
      <c r="D2503" s="2" t="s">
        <v>2403</v>
      </c>
      <c r="E2503" s="3">
        <v>4.9600000000000001E-91</v>
      </c>
      <c r="F2503" s="2">
        <v>738</v>
      </c>
      <c r="G2503" s="2">
        <v>100</v>
      </c>
      <c r="H2503" s="2">
        <v>241</v>
      </c>
      <c r="I2503" s="2">
        <v>279</v>
      </c>
      <c r="J2503" s="2">
        <v>1001</v>
      </c>
      <c r="K2503" s="2">
        <v>1</v>
      </c>
      <c r="L2503" s="2">
        <v>241</v>
      </c>
    </row>
    <row r="2504" spans="1:12" x14ac:dyDescent="0.25">
      <c r="A2504" s="4" t="str">
        <f>HYPERLINK("http://www.rosaceae.org/Prunus/Prunus_persica/p.persica_gdr_reftransV1_0022185","p.persica_gdr_reftransV1_0022185")</f>
        <v>p.persica_gdr_reftransV1_0022185</v>
      </c>
      <c r="B2504" s="2">
        <v>791</v>
      </c>
      <c r="C2504" s="4" t="str">
        <f>HYPERLINK("http://www.uniprot.org/uniprot/M5WHR3","M5WHR3")</f>
        <v>M5WHR3</v>
      </c>
      <c r="D2504" s="2" t="s">
        <v>2404</v>
      </c>
      <c r="E2504" s="3">
        <v>1.09E-69</v>
      </c>
      <c r="F2504" s="2">
        <v>570</v>
      </c>
      <c r="G2504" s="2">
        <v>99</v>
      </c>
      <c r="H2504" s="2">
        <v>146</v>
      </c>
      <c r="I2504" s="2">
        <v>95</v>
      </c>
      <c r="J2504" s="2">
        <v>532</v>
      </c>
      <c r="K2504" s="2">
        <v>1</v>
      </c>
      <c r="L2504" s="2">
        <v>146</v>
      </c>
    </row>
    <row r="2505" spans="1:12" x14ac:dyDescent="0.25">
      <c r="A2505" s="4" t="str">
        <f>HYPERLINK("http://www.rosaceae.org/Prunus/Prunus_persica/p.persica_gdr_reftransV1_0022535","p.persica_gdr_reftransV1_0022535")</f>
        <v>p.persica_gdr_reftransV1_0022535</v>
      </c>
      <c r="B2505" s="2">
        <v>2271</v>
      </c>
      <c r="C2505" s="4" t="str">
        <f>HYPERLINK("http://www.uniprot.org/uniprot/M5VRI8","M5VRI8")</f>
        <v>M5VRI8</v>
      </c>
      <c r="D2505" s="2" t="s">
        <v>2405</v>
      </c>
      <c r="E2505" s="3">
        <v>1.7499999999999999E-92</v>
      </c>
      <c r="F2505" s="2">
        <v>773</v>
      </c>
      <c r="G2505" s="2">
        <v>100</v>
      </c>
      <c r="H2505" s="2">
        <v>148</v>
      </c>
      <c r="I2505" s="2">
        <v>876</v>
      </c>
      <c r="J2505" s="2">
        <v>1319</v>
      </c>
      <c r="K2505" s="2">
        <v>85</v>
      </c>
      <c r="L2505" s="2">
        <v>232</v>
      </c>
    </row>
    <row r="2506" spans="1:12" x14ac:dyDescent="0.25">
      <c r="A2506" s="4" t="str">
        <f>HYPERLINK("http://www.rosaceae.org/Prunus/Prunus_persica/p.persica_gdr_reftransV1_0022885","p.persica_gdr_reftransV1_0022885")</f>
        <v>p.persica_gdr_reftransV1_0022885</v>
      </c>
      <c r="B2506" s="2">
        <v>2044</v>
      </c>
      <c r="C2506" s="4" t="str">
        <f>HYPERLINK("http://www.uniprot.org/uniprot/M5WQQ6","M5WQQ6")</f>
        <v>M5WQQ6</v>
      </c>
      <c r="D2506" s="2" t="s">
        <v>2406</v>
      </c>
      <c r="E2506" s="3">
        <v>0</v>
      </c>
      <c r="F2506" s="2">
        <v>2300</v>
      </c>
      <c r="G2506" s="2">
        <v>95</v>
      </c>
      <c r="H2506" s="2">
        <v>507</v>
      </c>
      <c r="I2506" s="2">
        <v>409</v>
      </c>
      <c r="J2506" s="2">
        <v>1929</v>
      </c>
      <c r="K2506" s="2">
        <v>1</v>
      </c>
      <c r="L2506" s="2">
        <v>482</v>
      </c>
    </row>
    <row r="2507" spans="1:12" x14ac:dyDescent="0.25">
      <c r="A2507" s="4" t="str">
        <f>HYPERLINK("http://www.rosaceae.org/Prunus/Prunus_persica/p.persica_gdr_reftransV1_0023585","p.persica_gdr_reftransV1_0023585")</f>
        <v>p.persica_gdr_reftransV1_0023585</v>
      </c>
      <c r="B2507" s="2">
        <v>1731</v>
      </c>
      <c r="C2507" s="4" t="str">
        <f>HYPERLINK("http://www.uniprot.org/uniprot/M5VIZ1","M5VIZ1")</f>
        <v>M5VIZ1</v>
      </c>
      <c r="D2507" s="2" t="s">
        <v>2407</v>
      </c>
      <c r="E2507" s="3">
        <v>0</v>
      </c>
      <c r="F2507" s="2">
        <v>2065</v>
      </c>
      <c r="G2507" s="2">
        <v>100</v>
      </c>
      <c r="H2507" s="2">
        <v>425</v>
      </c>
      <c r="I2507" s="2">
        <v>124</v>
      </c>
      <c r="J2507" s="2">
        <v>1398</v>
      </c>
      <c r="K2507" s="2">
        <v>1</v>
      </c>
      <c r="L2507" s="2">
        <v>425</v>
      </c>
    </row>
    <row r="2508" spans="1:12" x14ac:dyDescent="0.25">
      <c r="A2508" s="4" t="str">
        <f>HYPERLINK("http://www.rosaceae.org/Prunus/Prunus_persica/p.persica_gdr_reftransV1_0023935","p.persica_gdr_reftransV1_0023935")</f>
        <v>p.persica_gdr_reftransV1_0023935</v>
      </c>
      <c r="B2508" s="2">
        <v>1619</v>
      </c>
      <c r="C2508" s="4" t="str">
        <f>HYPERLINK("http://www.uniprot.org/uniprot/M5XNC3","M5XNC3")</f>
        <v>M5XNC3</v>
      </c>
      <c r="D2508" s="2" t="s">
        <v>2408</v>
      </c>
      <c r="E2508" s="3">
        <v>4.81E-79</v>
      </c>
      <c r="F2508" s="2">
        <v>661</v>
      </c>
      <c r="G2508" s="2">
        <v>100</v>
      </c>
      <c r="H2508" s="2">
        <v>126</v>
      </c>
      <c r="I2508" s="2">
        <v>991</v>
      </c>
      <c r="J2508" s="2">
        <v>1368</v>
      </c>
      <c r="K2508" s="2">
        <v>1</v>
      </c>
      <c r="L2508" s="2">
        <v>126</v>
      </c>
    </row>
    <row r="2509" spans="1:12" x14ac:dyDescent="0.25">
      <c r="A2509" s="4" t="str">
        <f>HYPERLINK("http://www.rosaceae.org/Prunus/Prunus_persica/p.persica_gdr_reftransV1_0024285","p.persica_gdr_reftransV1_0024285")</f>
        <v>p.persica_gdr_reftransV1_0024285</v>
      </c>
      <c r="B2509" s="2">
        <v>880</v>
      </c>
      <c r="C2509" s="4" t="str">
        <f>HYPERLINK("http://www.uniprot.org/uniprot/M5XJ26","M5XJ26")</f>
        <v>M5XJ26</v>
      </c>
      <c r="D2509" s="2" t="s">
        <v>2409</v>
      </c>
      <c r="E2509" s="3">
        <v>1.6100000000000001E-122</v>
      </c>
      <c r="F2509" s="2">
        <v>942</v>
      </c>
      <c r="G2509" s="2">
        <v>82</v>
      </c>
      <c r="H2509" s="2">
        <v>238</v>
      </c>
      <c r="I2509" s="2">
        <v>2</v>
      </c>
      <c r="J2509" s="2">
        <v>715</v>
      </c>
      <c r="K2509" s="2">
        <v>217</v>
      </c>
      <c r="L2509" s="2">
        <v>454</v>
      </c>
    </row>
    <row r="2510" spans="1:12" x14ac:dyDescent="0.25">
      <c r="A2510" s="4" t="str">
        <f>HYPERLINK("http://www.rosaceae.org/Prunus/Prunus_persica/p.persica_gdr_reftransV1_0025335","p.persica_gdr_reftransV1_0025335")</f>
        <v>p.persica_gdr_reftransV1_0025335</v>
      </c>
      <c r="B2510" s="2">
        <v>2173</v>
      </c>
      <c r="C2510" s="4" t="str">
        <f>HYPERLINK("http://www.uniprot.org/uniprot/M5WCA0","M5WCA0")</f>
        <v>M5WCA0</v>
      </c>
      <c r="D2510" s="2" t="s">
        <v>2410</v>
      </c>
      <c r="E2510" s="3">
        <v>8.7599999999999998E-56</v>
      </c>
      <c r="F2510" s="2">
        <v>503</v>
      </c>
      <c r="G2510" s="2">
        <v>100</v>
      </c>
      <c r="H2510" s="2">
        <v>95</v>
      </c>
      <c r="I2510" s="2">
        <v>1590</v>
      </c>
      <c r="J2510" s="2">
        <v>1874</v>
      </c>
      <c r="K2510" s="2">
        <v>60</v>
      </c>
      <c r="L2510" s="2">
        <v>154</v>
      </c>
    </row>
    <row r="2511" spans="1:12" x14ac:dyDescent="0.25">
      <c r="A2511" s="4" t="str">
        <f>HYPERLINK("http://www.rosaceae.org/Prunus/Prunus_persica/p.persica_gdr_reftransV1_0026735","p.persica_gdr_reftransV1_0026735")</f>
        <v>p.persica_gdr_reftransV1_0026735</v>
      </c>
      <c r="B2511" s="2">
        <v>2273</v>
      </c>
      <c r="C2511" s="4" t="str">
        <f>HYPERLINK("http://www.uniprot.org/uniprot/M5XDZ6","M5XDZ6")</f>
        <v>M5XDZ6</v>
      </c>
      <c r="D2511" s="2" t="s">
        <v>2411</v>
      </c>
      <c r="E2511" s="3">
        <v>1.0500000000000001E-77</v>
      </c>
      <c r="F2511" s="2">
        <v>671</v>
      </c>
      <c r="G2511" s="2">
        <v>79</v>
      </c>
      <c r="H2511" s="2">
        <v>189</v>
      </c>
      <c r="I2511" s="2">
        <v>217</v>
      </c>
      <c r="J2511" s="2">
        <v>774</v>
      </c>
      <c r="K2511" s="2">
        <v>1</v>
      </c>
      <c r="L2511" s="2">
        <v>187</v>
      </c>
    </row>
    <row r="2512" spans="1:12" x14ac:dyDescent="0.25">
      <c r="A2512" s="4" t="str">
        <f>HYPERLINK("http://www.rosaceae.org/Prunus/Prunus_persica/p.persica_gdr_reftransV1_0027435","p.persica_gdr_reftransV1_0027435")</f>
        <v>p.persica_gdr_reftransV1_0027435</v>
      </c>
      <c r="B2512" s="2">
        <v>3683</v>
      </c>
      <c r="C2512" s="4" t="str">
        <f>HYPERLINK("http://www.uniprot.org/uniprot/M5VVP3","M5VVP3")</f>
        <v>M5VVP3</v>
      </c>
      <c r="D2512" s="2" t="s">
        <v>2412</v>
      </c>
      <c r="E2512" s="3">
        <v>0</v>
      </c>
      <c r="F2512" s="2">
        <v>2049</v>
      </c>
      <c r="G2512" s="2">
        <v>99</v>
      </c>
      <c r="H2512" s="2">
        <v>450</v>
      </c>
      <c r="I2512" s="2">
        <v>1816</v>
      </c>
      <c r="J2512" s="2">
        <v>3165</v>
      </c>
      <c r="K2512" s="2">
        <v>104</v>
      </c>
      <c r="L2512" s="2">
        <v>553</v>
      </c>
    </row>
    <row r="2513" spans="1:12" x14ac:dyDescent="0.25">
      <c r="A2513" s="4" t="str">
        <f>HYPERLINK("http://www.rosaceae.org/Prunus/Prunus_persica/p.persica_gdr_reftransV1_0028485","p.persica_gdr_reftransV1_0028485")</f>
        <v>p.persica_gdr_reftransV1_0028485</v>
      </c>
      <c r="B2513" s="2">
        <v>1915</v>
      </c>
      <c r="C2513" s="4" t="str">
        <f>HYPERLINK("http://www.uniprot.org/uniprot/M5XBQ2","M5XBQ2")</f>
        <v>M5XBQ2</v>
      </c>
      <c r="D2513" s="2" t="s">
        <v>554</v>
      </c>
      <c r="E2513" s="3">
        <v>0</v>
      </c>
      <c r="F2513" s="2">
        <v>2384</v>
      </c>
      <c r="G2513" s="2">
        <v>100</v>
      </c>
      <c r="H2513" s="2">
        <v>536</v>
      </c>
      <c r="I2513" s="2">
        <v>209</v>
      </c>
      <c r="J2513" s="2">
        <v>1816</v>
      </c>
      <c r="K2513" s="2">
        <v>1</v>
      </c>
      <c r="L2513" s="2">
        <v>536</v>
      </c>
    </row>
    <row r="2514" spans="1:12" x14ac:dyDescent="0.25">
      <c r="A2514" s="4" t="str">
        <f>HYPERLINK("http://www.rosaceae.org/Prunus/Prunus_persica/p.persica_gdr_reftransV1_0030235","p.persica_gdr_reftransV1_0030235")</f>
        <v>p.persica_gdr_reftransV1_0030235</v>
      </c>
      <c r="B2514" s="2">
        <v>3332</v>
      </c>
      <c r="C2514" s="4" t="str">
        <f>HYPERLINK("http://www.uniprot.org/uniprot/M5XXQ7","M5XXQ7")</f>
        <v>M5XXQ7</v>
      </c>
      <c r="D2514" s="2" t="s">
        <v>2413</v>
      </c>
      <c r="E2514" s="3">
        <v>0</v>
      </c>
      <c r="F2514" s="2">
        <v>1874</v>
      </c>
      <c r="G2514" s="2">
        <v>99</v>
      </c>
      <c r="H2514" s="2">
        <v>376</v>
      </c>
      <c r="I2514" s="2">
        <v>1195</v>
      </c>
      <c r="J2514" s="2">
        <v>2322</v>
      </c>
      <c r="K2514" s="2">
        <v>106</v>
      </c>
      <c r="L2514" s="2">
        <v>481</v>
      </c>
    </row>
    <row r="2515" spans="1:12" x14ac:dyDescent="0.25">
      <c r="A2515" s="4" t="str">
        <f>HYPERLINK("http://www.rosaceae.org/Prunus/Prunus_persica/p.persica_gdr_reftransV1_0037935","p.persica_gdr_reftransV1_0037935")</f>
        <v>p.persica_gdr_reftransV1_0037935</v>
      </c>
      <c r="B2515" s="2">
        <v>2256</v>
      </c>
      <c r="C2515" s="4" t="str">
        <f>HYPERLINK("http://www.uniprot.org/uniprot/M5VIS3","M5VIS3")</f>
        <v>M5VIS3</v>
      </c>
      <c r="D2515" s="2" t="s">
        <v>2414</v>
      </c>
      <c r="E2515" s="3">
        <v>3.1900000000000002E-54</v>
      </c>
      <c r="F2515" s="2">
        <v>498</v>
      </c>
      <c r="G2515" s="2">
        <v>100</v>
      </c>
      <c r="H2515" s="2">
        <v>95</v>
      </c>
      <c r="I2515" s="2">
        <v>214</v>
      </c>
      <c r="J2515" s="2">
        <v>498</v>
      </c>
      <c r="K2515" s="2">
        <v>1</v>
      </c>
      <c r="L2515" s="2">
        <v>95</v>
      </c>
    </row>
    <row r="2516" spans="1:12" x14ac:dyDescent="0.25">
      <c r="A2516" s="4" t="str">
        <f>HYPERLINK("http://www.rosaceae.org/Prunus/Prunus_persica/p.persica_gdr_reftransV1_0038635","p.persica_gdr_reftransV1_0038635")</f>
        <v>p.persica_gdr_reftransV1_0038635</v>
      </c>
      <c r="B2516" s="2">
        <v>2239</v>
      </c>
      <c r="C2516" s="4" t="str">
        <f>HYPERLINK("http://www.uniprot.org/uniprot/M5X1F2","M5X1F2")</f>
        <v>M5X1F2</v>
      </c>
      <c r="D2516" s="2" t="s">
        <v>2415</v>
      </c>
      <c r="E2516" s="3">
        <v>0</v>
      </c>
      <c r="F2516" s="2">
        <v>1767</v>
      </c>
      <c r="G2516" s="2">
        <v>100</v>
      </c>
      <c r="H2516" s="2">
        <v>331</v>
      </c>
      <c r="I2516" s="2">
        <v>1134</v>
      </c>
      <c r="J2516" s="2">
        <v>2126</v>
      </c>
      <c r="K2516" s="2">
        <v>1</v>
      </c>
      <c r="L2516" s="2">
        <v>331</v>
      </c>
    </row>
    <row r="2517" spans="1:12" x14ac:dyDescent="0.25">
      <c r="A2517" s="4" t="str">
        <f>HYPERLINK("http://www.rosaceae.org/Prunus/Prunus_persica/p.persica_gdr_reftransV1_0040385","p.persica_gdr_reftransV1_0040385")</f>
        <v>p.persica_gdr_reftransV1_0040385</v>
      </c>
      <c r="B2517" s="2">
        <v>3168</v>
      </c>
      <c r="C2517" s="4" t="str">
        <f>HYPERLINK("http://www.uniprot.org/uniprot/M5XFI6","M5XFI6")</f>
        <v>M5XFI6</v>
      </c>
      <c r="D2517" s="2" t="s">
        <v>2416</v>
      </c>
      <c r="E2517" s="3">
        <v>1.85E-170</v>
      </c>
      <c r="F2517" s="2">
        <v>1090</v>
      </c>
      <c r="G2517" s="2">
        <v>100</v>
      </c>
      <c r="H2517" s="2">
        <v>205</v>
      </c>
      <c r="I2517" s="2">
        <v>1599</v>
      </c>
      <c r="J2517" s="2">
        <v>2213</v>
      </c>
      <c r="K2517" s="2">
        <v>100</v>
      </c>
      <c r="L2517" s="2">
        <v>304</v>
      </c>
    </row>
    <row r="2518" spans="1:12" x14ac:dyDescent="0.25">
      <c r="A2518" s="4" t="str">
        <f>HYPERLINK("http://www.rosaceae.org/Prunus/Prunus_persica/p.persica_gdr_reftransV1_0042135","p.persica_gdr_reftransV1_0042135")</f>
        <v>p.persica_gdr_reftransV1_0042135</v>
      </c>
      <c r="B2518" s="2">
        <v>2164</v>
      </c>
      <c r="C2518" s="4" t="str">
        <f>HYPERLINK("http://www.uniprot.org/uniprot/M5VNV9","M5VNV9")</f>
        <v>M5VNV9</v>
      </c>
      <c r="D2518" s="2" t="s">
        <v>2417</v>
      </c>
      <c r="E2518" s="3">
        <v>0</v>
      </c>
      <c r="F2518" s="2">
        <v>1368</v>
      </c>
      <c r="G2518" s="2">
        <v>100</v>
      </c>
      <c r="H2518" s="2">
        <v>255</v>
      </c>
      <c r="I2518" s="2">
        <v>921</v>
      </c>
      <c r="J2518" s="2">
        <v>1685</v>
      </c>
      <c r="K2518" s="2">
        <v>1</v>
      </c>
      <c r="L2518" s="2">
        <v>255</v>
      </c>
    </row>
    <row r="2519" spans="1:12" x14ac:dyDescent="0.25">
      <c r="A2519" s="4" t="str">
        <f>HYPERLINK("http://www.rosaceae.org/Prunus/Prunus_persica/p.persica_gdr_reftransV1_0042835","p.persica_gdr_reftransV1_0042835")</f>
        <v>p.persica_gdr_reftransV1_0042835</v>
      </c>
      <c r="B2519" s="2">
        <v>2662</v>
      </c>
      <c r="C2519" s="4" t="str">
        <f>HYPERLINK("http://www.uniprot.org/uniprot/M5XSF9","M5XSF9")</f>
        <v>M5XSF9</v>
      </c>
      <c r="D2519" s="2" t="s">
        <v>2418</v>
      </c>
      <c r="E2519" s="3">
        <v>0</v>
      </c>
      <c r="F2519" s="2">
        <v>2767</v>
      </c>
      <c r="G2519" s="2">
        <v>100</v>
      </c>
      <c r="H2519" s="2">
        <v>546</v>
      </c>
      <c r="I2519" s="2">
        <v>547</v>
      </c>
      <c r="J2519" s="2">
        <v>2184</v>
      </c>
      <c r="K2519" s="2">
        <v>2</v>
      </c>
      <c r="L2519" s="2">
        <v>547</v>
      </c>
    </row>
    <row r="2520" spans="1:12" x14ac:dyDescent="0.25">
      <c r="A2520" s="4" t="str">
        <f>HYPERLINK("http://www.rosaceae.org/Prunus/Prunus_persica/p.persica_gdr_reftransV1_0043185","p.persica_gdr_reftransV1_0043185")</f>
        <v>p.persica_gdr_reftransV1_0043185</v>
      </c>
      <c r="B2520" s="2">
        <v>795</v>
      </c>
      <c r="C2520" s="4" t="str">
        <f>HYPERLINK("http://www.uniprot.org/uniprot/M5X631","M5X631")</f>
        <v>M5X631</v>
      </c>
      <c r="D2520" s="2" t="s">
        <v>2419</v>
      </c>
      <c r="E2520" s="3">
        <v>8.3499999999999995E-143</v>
      </c>
      <c r="F2520" s="2">
        <v>1064</v>
      </c>
      <c r="G2520" s="2">
        <v>100</v>
      </c>
      <c r="H2520" s="2">
        <v>235</v>
      </c>
      <c r="I2520" s="2">
        <v>91</v>
      </c>
      <c r="J2520" s="2">
        <v>795</v>
      </c>
      <c r="K2520" s="2">
        <v>47</v>
      </c>
      <c r="L2520" s="2">
        <v>281</v>
      </c>
    </row>
    <row r="2521" spans="1:12" x14ac:dyDescent="0.25">
      <c r="A2521" s="4" t="str">
        <f>HYPERLINK("http://www.rosaceae.org/Prunus/Prunus_persica/p.persica_gdr_reftransV1_0043535","p.persica_gdr_reftransV1_0043535")</f>
        <v>p.persica_gdr_reftransV1_0043535</v>
      </c>
      <c r="B2521" s="2">
        <v>1282</v>
      </c>
      <c r="C2521" s="4" t="str">
        <f>HYPERLINK("http://www.uniprot.org/uniprot/M5X1F1","M5X1F1")</f>
        <v>M5X1F1</v>
      </c>
      <c r="D2521" s="2" t="s">
        <v>2420</v>
      </c>
      <c r="E2521" s="3">
        <v>0</v>
      </c>
      <c r="F2521" s="2">
        <v>1677</v>
      </c>
      <c r="G2521" s="2">
        <v>100</v>
      </c>
      <c r="H2521" s="2">
        <v>314</v>
      </c>
      <c r="I2521" s="2">
        <v>300</v>
      </c>
      <c r="J2521" s="2">
        <v>1241</v>
      </c>
      <c r="K2521" s="2">
        <v>1</v>
      </c>
      <c r="L2521" s="2">
        <v>314</v>
      </c>
    </row>
    <row r="2522" spans="1:12" x14ac:dyDescent="0.25">
      <c r="A2522" s="4" t="str">
        <f>HYPERLINK("http://www.rosaceae.org/Prunus/Prunus_persica/p.persica_gdr_reftransV1_0043885","p.persica_gdr_reftransV1_0043885")</f>
        <v>p.persica_gdr_reftransV1_0043885</v>
      </c>
      <c r="B2522" s="2">
        <v>1579</v>
      </c>
      <c r="C2522" s="4" t="str">
        <f>HYPERLINK("http://www.uniprot.org/uniprot/M5XB50","M5XB50")</f>
        <v>M5XB50</v>
      </c>
      <c r="D2522" s="2" t="s">
        <v>829</v>
      </c>
      <c r="E2522" s="3">
        <v>1.1600000000000001E-168</v>
      </c>
      <c r="F2522" s="2">
        <v>1265</v>
      </c>
      <c r="G2522" s="2">
        <v>100</v>
      </c>
      <c r="H2522" s="2">
        <v>286</v>
      </c>
      <c r="I2522" s="2">
        <v>507</v>
      </c>
      <c r="J2522" s="2">
        <v>1364</v>
      </c>
      <c r="K2522" s="2">
        <v>12</v>
      </c>
      <c r="L2522" s="2">
        <v>297</v>
      </c>
    </row>
    <row r="2523" spans="1:12" x14ac:dyDescent="0.25">
      <c r="A2523" s="4" t="str">
        <f>HYPERLINK("http://www.rosaceae.org/Prunus/Prunus_persica/p.persica_gdr_reftransV1_0044235","p.persica_gdr_reftransV1_0044235")</f>
        <v>p.persica_gdr_reftransV1_0044235</v>
      </c>
      <c r="B2523" s="2">
        <v>331</v>
      </c>
      <c r="C2523" s="4" t="str">
        <f>HYPERLINK("http://www.uniprot.org/uniprot/G2ABF5","G2ABF5")</f>
        <v>G2ABF5</v>
      </c>
      <c r="D2523" s="2" t="s">
        <v>2421</v>
      </c>
      <c r="E2523" s="3">
        <v>1.9699999999999999E-72</v>
      </c>
      <c r="F2523" s="2">
        <v>571</v>
      </c>
      <c r="G2523" s="2">
        <v>99</v>
      </c>
      <c r="H2523" s="2">
        <v>110</v>
      </c>
      <c r="I2523" s="2">
        <v>2</v>
      </c>
      <c r="J2523" s="2">
        <v>331</v>
      </c>
      <c r="K2523" s="2">
        <v>11</v>
      </c>
      <c r="L2523" s="2">
        <v>120</v>
      </c>
    </row>
    <row r="2524" spans="1:12" x14ac:dyDescent="0.25">
      <c r="A2524" s="4" t="str">
        <f>HYPERLINK("http://www.rosaceae.org/Prunus/Prunus_persica/p.persica_gdr_reftransV1_0044585","p.persica_gdr_reftransV1_0044585")</f>
        <v>p.persica_gdr_reftransV1_0044585</v>
      </c>
      <c r="B2524" s="2">
        <v>694</v>
      </c>
      <c r="C2524" s="4" t="str">
        <f>HYPERLINK("http://www.uniprot.org/uniprot/A0A0A0V5L5","A0A0A0V5L5")</f>
        <v>A0A0A0V5L5</v>
      </c>
      <c r="D2524" s="2" t="s">
        <v>2422</v>
      </c>
      <c r="E2524" s="3">
        <v>4.9699999999999998E-91</v>
      </c>
      <c r="F2524" s="2">
        <v>729</v>
      </c>
      <c r="G2524" s="2">
        <v>93</v>
      </c>
      <c r="H2524" s="2">
        <v>201</v>
      </c>
      <c r="I2524" s="2">
        <v>1</v>
      </c>
      <c r="J2524" s="2">
        <v>594</v>
      </c>
      <c r="K2524" s="2">
        <v>184</v>
      </c>
      <c r="L2524" s="2">
        <v>384</v>
      </c>
    </row>
    <row r="2525" spans="1:12" x14ac:dyDescent="0.25">
      <c r="A2525" s="4" t="str">
        <f>HYPERLINK("http://www.rosaceae.org/Prunus/Prunus_persica/p.persica_gdr_reftransV1_0045635","p.persica_gdr_reftransV1_0045635")</f>
        <v>p.persica_gdr_reftransV1_0045635</v>
      </c>
      <c r="B2525" s="2">
        <v>1819</v>
      </c>
      <c r="C2525" s="4" t="str">
        <f>HYPERLINK("http://www.uniprot.org/uniprot/M5XBP7","M5XBP7")</f>
        <v>M5XBP7</v>
      </c>
      <c r="D2525" s="2" t="s">
        <v>2423</v>
      </c>
      <c r="E2525" s="3">
        <v>0</v>
      </c>
      <c r="F2525" s="2">
        <v>2076</v>
      </c>
      <c r="G2525" s="2">
        <v>100</v>
      </c>
      <c r="H2525" s="2">
        <v>435</v>
      </c>
      <c r="I2525" s="2">
        <v>203</v>
      </c>
      <c r="J2525" s="2">
        <v>1507</v>
      </c>
      <c r="K2525" s="2">
        <v>1</v>
      </c>
      <c r="L2525" s="2">
        <v>435</v>
      </c>
    </row>
    <row r="2526" spans="1:12" x14ac:dyDescent="0.25">
      <c r="A2526" s="4" t="str">
        <f>HYPERLINK("http://www.rosaceae.org/Prunus/Prunus_persica/p.persica_gdr_reftransV1_0045985","p.persica_gdr_reftransV1_0045985")</f>
        <v>p.persica_gdr_reftransV1_0045985</v>
      </c>
      <c r="B2526" s="2">
        <v>498</v>
      </c>
      <c r="C2526" s="4" t="str">
        <f>HYPERLINK("http://www.uniprot.org/uniprot/A0A022QP73","A0A022QP73")</f>
        <v>A0A022QP73</v>
      </c>
      <c r="D2526" s="2" t="s">
        <v>2424</v>
      </c>
      <c r="E2526" s="3">
        <v>1.4E-21</v>
      </c>
      <c r="F2526" s="2">
        <v>248</v>
      </c>
      <c r="G2526" s="2">
        <v>42</v>
      </c>
      <c r="H2526" s="2">
        <v>140</v>
      </c>
      <c r="I2526" s="2">
        <v>1</v>
      </c>
      <c r="J2526" s="2">
        <v>417</v>
      </c>
      <c r="K2526" s="2">
        <v>156</v>
      </c>
      <c r="L2526" s="2">
        <v>282</v>
      </c>
    </row>
    <row r="2527" spans="1:12" x14ac:dyDescent="0.25">
      <c r="A2527" s="4" t="str">
        <f>HYPERLINK("http://www.rosaceae.org/Prunus/Prunus_persica/p.persica_gdr_reftransV1_0046335","p.persica_gdr_reftransV1_0046335")</f>
        <v>p.persica_gdr_reftransV1_0046335</v>
      </c>
      <c r="B2527" s="2">
        <v>723</v>
      </c>
      <c r="C2527" s="4" t="str">
        <f>HYPERLINK("http://www.uniprot.org/uniprot/M5XV98","M5XV98")</f>
        <v>M5XV98</v>
      </c>
      <c r="D2527" s="2" t="s">
        <v>2425</v>
      </c>
      <c r="E2527" s="3">
        <v>1.46E-43</v>
      </c>
      <c r="F2527" s="2">
        <v>385</v>
      </c>
      <c r="G2527" s="2">
        <v>100</v>
      </c>
      <c r="H2527" s="2">
        <v>74</v>
      </c>
      <c r="I2527" s="2">
        <v>277</v>
      </c>
      <c r="J2527" s="2">
        <v>498</v>
      </c>
      <c r="K2527" s="2">
        <v>1</v>
      </c>
      <c r="L2527" s="2">
        <v>74</v>
      </c>
    </row>
    <row r="2528" spans="1:12" x14ac:dyDescent="0.25">
      <c r="A2528" s="4" t="str">
        <f>HYPERLINK("http://www.rosaceae.org/Prunus/Prunus_persica/p.persica_gdr_reftransV1_0046685","p.persica_gdr_reftransV1_0046685")</f>
        <v>p.persica_gdr_reftransV1_0046685</v>
      </c>
      <c r="B2528" s="2">
        <v>1259</v>
      </c>
      <c r="C2528" s="4" t="str">
        <f>HYPERLINK("http://www.uniprot.org/uniprot/M5Y728","M5Y728")</f>
        <v>M5Y728</v>
      </c>
      <c r="D2528" s="2" t="s">
        <v>2426</v>
      </c>
      <c r="E2528" s="3">
        <v>0</v>
      </c>
      <c r="F2528" s="2">
        <v>2072</v>
      </c>
      <c r="G2528" s="2">
        <v>100</v>
      </c>
      <c r="H2528" s="2">
        <v>387</v>
      </c>
      <c r="I2528" s="2">
        <v>3</v>
      </c>
      <c r="J2528" s="2">
        <v>1163</v>
      </c>
      <c r="K2528" s="2">
        <v>156</v>
      </c>
      <c r="L2528" s="2">
        <v>542</v>
      </c>
    </row>
    <row r="2529" spans="1:12" x14ac:dyDescent="0.25">
      <c r="A2529" s="4" t="str">
        <f>HYPERLINK("http://www.rosaceae.org/Prunus/Prunus_persica/p.persica_gdr_reftransV1_0047035","p.persica_gdr_reftransV1_0047035")</f>
        <v>p.persica_gdr_reftransV1_0047035</v>
      </c>
      <c r="B2529" s="2">
        <v>1926</v>
      </c>
      <c r="C2529" s="4" t="str">
        <f>HYPERLINK("http://www.uniprot.org/uniprot/A0A067K720","A0A067K720")</f>
        <v>A0A067K720</v>
      </c>
      <c r="D2529" s="2" t="s">
        <v>2427</v>
      </c>
      <c r="E2529" s="3">
        <v>0</v>
      </c>
      <c r="F2529" s="2">
        <v>2468</v>
      </c>
      <c r="G2529" s="2">
        <v>92</v>
      </c>
      <c r="H2529" s="2">
        <v>520</v>
      </c>
      <c r="I2529" s="2">
        <v>279</v>
      </c>
      <c r="J2529" s="2">
        <v>1838</v>
      </c>
      <c r="K2529" s="2">
        <v>3</v>
      </c>
      <c r="L2529" s="2">
        <v>522</v>
      </c>
    </row>
    <row r="2530" spans="1:12" x14ac:dyDescent="0.25">
      <c r="A2530" s="4" t="str">
        <f>HYPERLINK("http://www.rosaceae.org/Prunus/Prunus_persica/p.persica_gdr_reftransV1_0047735","p.persica_gdr_reftransV1_0047735")</f>
        <v>p.persica_gdr_reftransV1_0047735</v>
      </c>
      <c r="B2530" s="2">
        <v>2185</v>
      </c>
      <c r="C2530" s="4" t="str">
        <f>HYPERLINK("http://www.uniprot.org/uniprot/M5WY71","M5WY71")</f>
        <v>M5WY71</v>
      </c>
      <c r="D2530" s="2" t="s">
        <v>2428</v>
      </c>
      <c r="E2530" s="3">
        <v>0</v>
      </c>
      <c r="F2530" s="2">
        <v>2518</v>
      </c>
      <c r="G2530" s="2">
        <v>100</v>
      </c>
      <c r="H2530" s="2">
        <v>485</v>
      </c>
      <c r="I2530" s="2">
        <v>497</v>
      </c>
      <c r="J2530" s="2">
        <v>1951</v>
      </c>
      <c r="K2530" s="2">
        <v>1</v>
      </c>
      <c r="L2530" s="2">
        <v>485</v>
      </c>
    </row>
    <row r="2531" spans="1:12" x14ac:dyDescent="0.25">
      <c r="A2531" s="4" t="str">
        <f>HYPERLINK("http://www.rosaceae.org/Prunus/Prunus_persica/p.persica_gdr_reftransV1_0048085","p.persica_gdr_reftransV1_0048085")</f>
        <v>p.persica_gdr_reftransV1_0048085</v>
      </c>
      <c r="B2531" s="2">
        <v>3446</v>
      </c>
      <c r="C2531" s="4" t="str">
        <f>HYPERLINK("http://www.uniprot.org/uniprot/M5XJ04","M5XJ04")</f>
        <v>M5XJ04</v>
      </c>
      <c r="D2531" s="2" t="s">
        <v>2429</v>
      </c>
      <c r="E2531" s="3">
        <v>0</v>
      </c>
      <c r="F2531" s="2">
        <v>5011</v>
      </c>
      <c r="G2531" s="2">
        <v>100</v>
      </c>
      <c r="H2531" s="2">
        <v>1009</v>
      </c>
      <c r="I2531" s="2">
        <v>314</v>
      </c>
      <c r="J2531" s="2">
        <v>3340</v>
      </c>
      <c r="K2531" s="2">
        <v>29</v>
      </c>
      <c r="L2531" s="2">
        <v>1037</v>
      </c>
    </row>
    <row r="2532" spans="1:12" x14ac:dyDescent="0.25">
      <c r="A2532" s="4" t="str">
        <f>HYPERLINK("http://www.rosaceae.org/Prunus/Prunus_persica/p.persica_gdr_reftransV1_0048435","p.persica_gdr_reftransV1_0048435")</f>
        <v>p.persica_gdr_reftransV1_0048435</v>
      </c>
      <c r="B2532" s="2">
        <v>1956</v>
      </c>
      <c r="C2532" s="4" t="str">
        <f>HYPERLINK("http://www.uniprot.org/uniprot/M5XMA0","M5XMA0")</f>
        <v>M5XMA0</v>
      </c>
      <c r="D2532" s="2" t="s">
        <v>2430</v>
      </c>
      <c r="E2532" s="3">
        <v>0</v>
      </c>
      <c r="F2532" s="2">
        <v>2733</v>
      </c>
      <c r="G2532" s="2">
        <v>100</v>
      </c>
      <c r="H2532" s="2">
        <v>536</v>
      </c>
      <c r="I2532" s="2">
        <v>259</v>
      </c>
      <c r="J2532" s="2">
        <v>1866</v>
      </c>
      <c r="K2532" s="2">
        <v>1</v>
      </c>
      <c r="L2532" s="2">
        <v>536</v>
      </c>
    </row>
    <row r="2533" spans="1:12" x14ac:dyDescent="0.25">
      <c r="A2533" s="4" t="str">
        <f>HYPERLINK("http://www.rosaceae.org/Prunus/Prunus_persica/p.persica_gdr_reftransV1_0048785","p.persica_gdr_reftransV1_0048785")</f>
        <v>p.persica_gdr_reftransV1_0048785</v>
      </c>
      <c r="B2533" s="2">
        <v>2890</v>
      </c>
      <c r="C2533" s="4" t="str">
        <f>HYPERLINK("http://www.uniprot.org/uniprot/M5X9N8","M5X9N8")</f>
        <v>M5X9N8</v>
      </c>
      <c r="D2533" s="2" t="s">
        <v>2431</v>
      </c>
      <c r="E2533" s="3">
        <v>0</v>
      </c>
      <c r="F2533" s="2">
        <v>4058</v>
      </c>
      <c r="G2533" s="2">
        <v>100</v>
      </c>
      <c r="H2533" s="2">
        <v>784</v>
      </c>
      <c r="I2533" s="2">
        <v>379</v>
      </c>
      <c r="J2533" s="2">
        <v>2730</v>
      </c>
      <c r="K2533" s="2">
        <v>1</v>
      </c>
      <c r="L2533" s="2">
        <v>784</v>
      </c>
    </row>
    <row r="2534" spans="1:12" x14ac:dyDescent="0.25">
      <c r="A2534" s="4" t="str">
        <f>HYPERLINK("http://www.rosaceae.org/Prunus/Prunus_persica/p.persica_gdr_reftransV1_0049135","p.persica_gdr_reftransV1_0049135")</f>
        <v>p.persica_gdr_reftransV1_0049135</v>
      </c>
      <c r="B2534" s="2">
        <v>395</v>
      </c>
      <c r="C2534" s="4" t="str">
        <f>HYPERLINK("http://www.uniprot.org/uniprot/M5WCJ8","M5WCJ8")</f>
        <v>M5WCJ8</v>
      </c>
      <c r="D2534" s="2" t="s">
        <v>2432</v>
      </c>
      <c r="E2534" s="3">
        <v>4.4799999999999999E-69</v>
      </c>
      <c r="F2534" s="2">
        <v>585</v>
      </c>
      <c r="G2534" s="2">
        <v>93</v>
      </c>
      <c r="H2534" s="2">
        <v>125</v>
      </c>
      <c r="I2534" s="2">
        <v>2</v>
      </c>
      <c r="J2534" s="2">
        <v>349</v>
      </c>
      <c r="K2534" s="2">
        <v>1</v>
      </c>
      <c r="L2534" s="2">
        <v>125</v>
      </c>
    </row>
    <row r="2535" spans="1:12" x14ac:dyDescent="0.25">
      <c r="A2535" s="4" t="str">
        <f>HYPERLINK("http://www.rosaceae.org/Prunus/Prunus_persica/p.persica_gdr_reftransV1_0000136","p.persica_gdr_reftransV1_0000136")</f>
        <v>p.persica_gdr_reftransV1_0000136</v>
      </c>
      <c r="B2535" s="2">
        <v>625</v>
      </c>
      <c r="C2535" s="4" t="str">
        <f>HYPERLINK("http://www.uniprot.org/uniprot/M5XPI9","M5XPI9")</f>
        <v>M5XPI9</v>
      </c>
      <c r="D2535" s="2" t="s">
        <v>2189</v>
      </c>
      <c r="E2535" s="3">
        <v>1.4399999999999999E-53</v>
      </c>
      <c r="F2535" s="2">
        <v>478</v>
      </c>
      <c r="G2535" s="2">
        <v>93</v>
      </c>
      <c r="H2535" s="2">
        <v>192</v>
      </c>
      <c r="I2535" s="2">
        <v>69</v>
      </c>
      <c r="J2535" s="2">
        <v>623</v>
      </c>
      <c r="K2535" s="2">
        <v>1</v>
      </c>
      <c r="L2535" s="2">
        <v>192</v>
      </c>
    </row>
    <row r="2536" spans="1:12" x14ac:dyDescent="0.25">
      <c r="A2536" s="4" t="str">
        <f>HYPERLINK("http://www.rosaceae.org/Prunus/Prunus_persica/p.persica_gdr_reftransV1_0001536","p.persica_gdr_reftransV1_0001536")</f>
        <v>p.persica_gdr_reftransV1_0001536</v>
      </c>
      <c r="B2536" s="2">
        <v>1222</v>
      </c>
      <c r="C2536" s="4" t="str">
        <f>HYPERLINK("http://www.uniprot.org/uniprot/M5XAQ3","M5XAQ3")</f>
        <v>M5XAQ3</v>
      </c>
      <c r="D2536" s="2" t="s">
        <v>2433</v>
      </c>
      <c r="E2536" s="3">
        <v>3.4799999999999998E-95</v>
      </c>
      <c r="F2536" s="2">
        <v>786</v>
      </c>
      <c r="G2536" s="2">
        <v>100</v>
      </c>
      <c r="H2536" s="2">
        <v>191</v>
      </c>
      <c r="I2536" s="2">
        <v>23</v>
      </c>
      <c r="J2536" s="2">
        <v>595</v>
      </c>
      <c r="K2536" s="2">
        <v>124</v>
      </c>
      <c r="L2536" s="2">
        <v>314</v>
      </c>
    </row>
    <row r="2537" spans="1:12" x14ac:dyDescent="0.25">
      <c r="A2537" s="4" t="str">
        <f>HYPERLINK("http://www.rosaceae.org/Prunus/Prunus_persica/p.persica_gdr_reftransV1_0001886","p.persica_gdr_reftransV1_0001886")</f>
        <v>p.persica_gdr_reftransV1_0001886</v>
      </c>
      <c r="B2537" s="2">
        <v>399</v>
      </c>
      <c r="C2537" s="4" t="str">
        <f>HYPERLINK("http://www.uniprot.org/uniprot/M5XNX2","M5XNX2")</f>
        <v>M5XNX2</v>
      </c>
      <c r="D2537" s="2" t="s">
        <v>2434</v>
      </c>
      <c r="E2537" s="3">
        <v>1.7599999999999999E-77</v>
      </c>
      <c r="F2537" s="2">
        <v>629</v>
      </c>
      <c r="G2537" s="2">
        <v>100</v>
      </c>
      <c r="H2537" s="2">
        <v>125</v>
      </c>
      <c r="I2537" s="2">
        <v>23</v>
      </c>
      <c r="J2537" s="2">
        <v>397</v>
      </c>
      <c r="K2537" s="2">
        <v>286</v>
      </c>
      <c r="L2537" s="2">
        <v>410</v>
      </c>
    </row>
    <row r="2538" spans="1:12" x14ac:dyDescent="0.25">
      <c r="A2538" s="4" t="str">
        <f>HYPERLINK("http://www.rosaceae.org/Prunus/Prunus_persica/p.persica_gdr_reftransV1_0002236","p.persica_gdr_reftransV1_0002236")</f>
        <v>p.persica_gdr_reftransV1_0002236</v>
      </c>
      <c r="B2538" s="2">
        <v>375</v>
      </c>
      <c r="C2538" s="4" t="str">
        <f>HYPERLINK("http://www.uniprot.org/uniprot/A0A090N5V7","A0A090N5V7")</f>
        <v>A0A090N5V7</v>
      </c>
      <c r="D2538" s="2" t="s">
        <v>2435</v>
      </c>
      <c r="E2538" s="3">
        <v>2.55E-82</v>
      </c>
      <c r="F2538" s="2">
        <v>667</v>
      </c>
      <c r="G2538" s="2">
        <v>100</v>
      </c>
      <c r="H2538" s="2">
        <v>125</v>
      </c>
      <c r="I2538" s="2">
        <v>1</v>
      </c>
      <c r="J2538" s="2">
        <v>375</v>
      </c>
      <c r="K2538" s="2">
        <v>299</v>
      </c>
      <c r="L2538" s="2">
        <v>423</v>
      </c>
    </row>
    <row r="2539" spans="1:12" x14ac:dyDescent="0.25">
      <c r="A2539" s="4" t="str">
        <f>HYPERLINK("http://www.rosaceae.org/Prunus/Prunus_persica/p.persica_gdr_reftransV1_0002586","p.persica_gdr_reftransV1_0002586")</f>
        <v>p.persica_gdr_reftransV1_0002586</v>
      </c>
      <c r="B2539" s="2">
        <v>967</v>
      </c>
      <c r="C2539" s="4" t="str">
        <f>HYPERLINK("http://www.uniprot.org/uniprot/M5VIK0","M5VIK0")</f>
        <v>M5VIK0</v>
      </c>
      <c r="D2539" s="2" t="s">
        <v>2436</v>
      </c>
      <c r="E2539" s="3">
        <v>0</v>
      </c>
      <c r="F2539" s="2">
        <v>1602</v>
      </c>
      <c r="G2539" s="2">
        <v>96</v>
      </c>
      <c r="H2539" s="2">
        <v>309</v>
      </c>
      <c r="I2539" s="2">
        <v>43</v>
      </c>
      <c r="J2539" s="2">
        <v>966</v>
      </c>
      <c r="K2539" s="2">
        <v>2</v>
      </c>
      <c r="L2539" s="2">
        <v>310</v>
      </c>
    </row>
    <row r="2540" spans="1:12" x14ac:dyDescent="0.25">
      <c r="A2540" s="4" t="str">
        <f>HYPERLINK("http://www.rosaceae.org/Prunus/Prunus_persica/p.persica_gdr_reftransV1_0003286","p.persica_gdr_reftransV1_0003286")</f>
        <v>p.persica_gdr_reftransV1_0003286</v>
      </c>
      <c r="B2540" s="2">
        <v>2056</v>
      </c>
      <c r="C2540" s="4" t="str">
        <f>HYPERLINK("http://www.uniprot.org/uniprot/M5WGR7","M5WGR7")</f>
        <v>M5WGR7</v>
      </c>
      <c r="D2540" s="2" t="s">
        <v>2437</v>
      </c>
      <c r="E2540" s="3">
        <v>0</v>
      </c>
      <c r="F2540" s="2">
        <v>1931</v>
      </c>
      <c r="G2540" s="2">
        <v>96</v>
      </c>
      <c r="H2540" s="2">
        <v>472</v>
      </c>
      <c r="I2540" s="2">
        <v>343</v>
      </c>
      <c r="J2540" s="2">
        <v>1758</v>
      </c>
      <c r="K2540" s="2">
        <v>1</v>
      </c>
      <c r="L2540" s="2">
        <v>455</v>
      </c>
    </row>
    <row r="2541" spans="1:12" x14ac:dyDescent="0.25">
      <c r="A2541" s="4" t="str">
        <f>HYPERLINK("http://www.rosaceae.org/Prunus/Prunus_persica/p.persica_gdr_reftransV1_0003636","p.persica_gdr_reftransV1_0003636")</f>
        <v>p.persica_gdr_reftransV1_0003636</v>
      </c>
      <c r="B2541" s="2">
        <v>559</v>
      </c>
      <c r="C2541" s="4" t="str">
        <f>HYPERLINK("http://www.uniprot.org/uniprot/M5WBN1","M5WBN1")</f>
        <v>M5WBN1</v>
      </c>
      <c r="D2541" s="2" t="s">
        <v>2438</v>
      </c>
      <c r="E2541" s="3">
        <v>1.1000000000000001E-120</v>
      </c>
      <c r="F2541" s="2">
        <v>906</v>
      </c>
      <c r="G2541" s="2">
        <v>100</v>
      </c>
      <c r="H2541" s="2">
        <v>186</v>
      </c>
      <c r="I2541" s="2">
        <v>2</v>
      </c>
      <c r="J2541" s="2">
        <v>559</v>
      </c>
      <c r="K2541" s="2">
        <v>33</v>
      </c>
      <c r="L2541" s="2">
        <v>218</v>
      </c>
    </row>
    <row r="2542" spans="1:12" x14ac:dyDescent="0.25">
      <c r="A2542" s="4" t="str">
        <f>HYPERLINK("http://www.rosaceae.org/Prunus/Prunus_persica/p.persica_gdr_reftransV1_0004336","p.persica_gdr_reftransV1_0004336")</f>
        <v>p.persica_gdr_reftransV1_0004336</v>
      </c>
      <c r="B2542" s="2">
        <v>2283</v>
      </c>
      <c r="C2542" s="4" t="str">
        <f>HYPERLINK("http://www.uniprot.org/uniprot/M5XNE3","M5XNE3")</f>
        <v>M5XNE3</v>
      </c>
      <c r="D2542" s="2" t="s">
        <v>2439</v>
      </c>
      <c r="E2542" s="3">
        <v>0</v>
      </c>
      <c r="F2542" s="2">
        <v>2962</v>
      </c>
      <c r="G2542" s="2">
        <v>100</v>
      </c>
      <c r="H2542" s="2">
        <v>595</v>
      </c>
      <c r="I2542" s="2">
        <v>322</v>
      </c>
      <c r="J2542" s="2">
        <v>2106</v>
      </c>
      <c r="K2542" s="2">
        <v>1</v>
      </c>
      <c r="L2542" s="2">
        <v>595</v>
      </c>
    </row>
    <row r="2543" spans="1:12" x14ac:dyDescent="0.25">
      <c r="A2543" s="4" t="str">
        <f>HYPERLINK("http://www.rosaceae.org/Prunus/Prunus_persica/p.persica_gdr_reftransV1_0004686","p.persica_gdr_reftransV1_0004686")</f>
        <v>p.persica_gdr_reftransV1_0004686</v>
      </c>
      <c r="B2543" s="2">
        <v>1502</v>
      </c>
      <c r="C2543" s="4" t="str">
        <f>HYPERLINK("http://www.uniprot.org/uniprot/M5XG64","M5XG64")</f>
        <v>M5XG64</v>
      </c>
      <c r="D2543" s="2" t="s">
        <v>2440</v>
      </c>
      <c r="E2543" s="3">
        <v>0</v>
      </c>
      <c r="F2543" s="2">
        <v>1866</v>
      </c>
      <c r="G2543" s="2">
        <v>100</v>
      </c>
      <c r="H2543" s="2">
        <v>376</v>
      </c>
      <c r="I2543" s="2">
        <v>218</v>
      </c>
      <c r="J2543" s="2">
        <v>1345</v>
      </c>
      <c r="K2543" s="2">
        <v>1</v>
      </c>
      <c r="L2543" s="2">
        <v>376</v>
      </c>
    </row>
    <row r="2544" spans="1:12" x14ac:dyDescent="0.25">
      <c r="A2544" s="4" t="str">
        <f>HYPERLINK("http://www.rosaceae.org/Prunus/Prunus_persica/p.persica_gdr_reftransV1_0005386","p.persica_gdr_reftransV1_0005386")</f>
        <v>p.persica_gdr_reftransV1_0005386</v>
      </c>
      <c r="B2544" s="2">
        <v>1645</v>
      </c>
      <c r="C2544" s="4" t="str">
        <f>HYPERLINK("http://www.uniprot.org/uniprot/Q01LI0","Q01LI0")</f>
        <v>Q01LI0</v>
      </c>
      <c r="D2544" s="2" t="s">
        <v>2441</v>
      </c>
      <c r="E2544" s="3">
        <v>1.4100000000000001E-149</v>
      </c>
      <c r="F2544" s="2">
        <v>1221</v>
      </c>
      <c r="G2544" s="2">
        <v>44</v>
      </c>
      <c r="H2544" s="2">
        <v>563</v>
      </c>
      <c r="I2544" s="2">
        <v>2</v>
      </c>
      <c r="J2544" s="2">
        <v>1645</v>
      </c>
      <c r="K2544" s="2">
        <v>134</v>
      </c>
      <c r="L2544" s="2">
        <v>690</v>
      </c>
    </row>
    <row r="2545" spans="1:12" x14ac:dyDescent="0.25">
      <c r="A2545" s="4" t="str">
        <f>HYPERLINK("http://www.rosaceae.org/Prunus/Prunus_persica/p.persica_gdr_reftransV1_0006086","p.persica_gdr_reftransV1_0006086")</f>
        <v>p.persica_gdr_reftransV1_0006086</v>
      </c>
      <c r="B2545" s="2">
        <v>441</v>
      </c>
      <c r="C2545" s="4" t="str">
        <f>HYPERLINK("http://www.uniprot.org/uniprot/A5BLB0","A5BLB0")</f>
        <v>A5BLB0</v>
      </c>
      <c r="D2545" s="2" t="s">
        <v>2204</v>
      </c>
      <c r="E2545" s="3">
        <v>8.3200000000000005E-26</v>
      </c>
      <c r="F2545" s="2">
        <v>283</v>
      </c>
      <c r="G2545" s="2">
        <v>39</v>
      </c>
      <c r="H2545" s="2">
        <v>148</v>
      </c>
      <c r="I2545" s="2">
        <v>4</v>
      </c>
      <c r="J2545" s="2">
        <v>441</v>
      </c>
      <c r="K2545" s="2">
        <v>782</v>
      </c>
      <c r="L2545" s="2">
        <v>926</v>
      </c>
    </row>
    <row r="2546" spans="1:12" x14ac:dyDescent="0.25">
      <c r="A2546" s="4" t="str">
        <f>HYPERLINK("http://www.rosaceae.org/Prunus/Prunus_persica/p.persica_gdr_reftransV1_0006436","p.persica_gdr_reftransV1_0006436")</f>
        <v>p.persica_gdr_reftransV1_0006436</v>
      </c>
      <c r="B2546" s="2">
        <v>947</v>
      </c>
      <c r="C2546" s="4" t="str">
        <f>HYPERLINK("http://www.uniprot.org/uniprot/M5Y2H3","M5Y2H3")</f>
        <v>M5Y2H3</v>
      </c>
      <c r="D2546" s="2" t="s">
        <v>2442</v>
      </c>
      <c r="E2546" s="3">
        <v>7.0399999999999997E-139</v>
      </c>
      <c r="F2546" s="2">
        <v>1039</v>
      </c>
      <c r="G2546" s="2">
        <v>100</v>
      </c>
      <c r="H2546" s="2">
        <v>192</v>
      </c>
      <c r="I2546" s="2">
        <v>123</v>
      </c>
      <c r="J2546" s="2">
        <v>698</v>
      </c>
      <c r="K2546" s="2">
        <v>49</v>
      </c>
      <c r="L2546" s="2">
        <v>240</v>
      </c>
    </row>
    <row r="2547" spans="1:12" x14ac:dyDescent="0.25">
      <c r="A2547" s="4" t="str">
        <f>HYPERLINK("http://www.rosaceae.org/Prunus/Prunus_persica/p.persica_gdr_reftransV1_0006786","p.persica_gdr_reftransV1_0006786")</f>
        <v>p.persica_gdr_reftransV1_0006786</v>
      </c>
      <c r="B2547" s="2">
        <v>708</v>
      </c>
      <c r="C2547" s="4" t="str">
        <f>HYPERLINK("http://www.uniprot.org/uniprot/M5WML8","M5WML8")</f>
        <v>M5WML8</v>
      </c>
      <c r="D2547" s="2" t="s">
        <v>2443</v>
      </c>
      <c r="E2547" s="3">
        <v>6.7599999999999999E-121</v>
      </c>
      <c r="F2547" s="2">
        <v>911</v>
      </c>
      <c r="G2547" s="2">
        <v>100</v>
      </c>
      <c r="H2547" s="2">
        <v>186</v>
      </c>
      <c r="I2547" s="2">
        <v>2</v>
      </c>
      <c r="J2547" s="2">
        <v>559</v>
      </c>
      <c r="K2547" s="2">
        <v>48</v>
      </c>
      <c r="L2547" s="2">
        <v>233</v>
      </c>
    </row>
    <row r="2548" spans="1:12" x14ac:dyDescent="0.25">
      <c r="A2548" s="4" t="str">
        <f>HYPERLINK("http://www.rosaceae.org/Prunus/Prunus_persica/p.persica_gdr_reftransV1_0007136","p.persica_gdr_reftransV1_0007136")</f>
        <v>p.persica_gdr_reftransV1_0007136</v>
      </c>
      <c r="B2548" s="2">
        <v>821</v>
      </c>
      <c r="C2548" s="4" t="str">
        <f>HYPERLINK("http://www.uniprot.org/uniprot/M5WYC1","M5WYC1")</f>
        <v>M5WYC1</v>
      </c>
      <c r="D2548" s="2" t="s">
        <v>2444</v>
      </c>
      <c r="E2548" s="3">
        <v>1.07E-92</v>
      </c>
      <c r="F2548" s="2">
        <v>720</v>
      </c>
      <c r="G2548" s="2">
        <v>100</v>
      </c>
      <c r="H2548" s="2">
        <v>139</v>
      </c>
      <c r="I2548" s="2">
        <v>329</v>
      </c>
      <c r="J2548" s="2">
        <v>745</v>
      </c>
      <c r="K2548" s="2">
        <v>3</v>
      </c>
      <c r="L2548" s="2">
        <v>141</v>
      </c>
    </row>
    <row r="2549" spans="1:12" x14ac:dyDescent="0.25">
      <c r="A2549" s="4" t="str">
        <f>HYPERLINK("http://www.rosaceae.org/Prunus/Prunus_persica/p.persica_gdr_reftransV1_0007486","p.persica_gdr_reftransV1_0007486")</f>
        <v>p.persica_gdr_reftransV1_0007486</v>
      </c>
      <c r="B2549" s="2">
        <v>1915</v>
      </c>
      <c r="C2549" s="4" t="str">
        <f>HYPERLINK("http://www.uniprot.org/uniprot/M5XF43","M5XF43")</f>
        <v>M5XF43</v>
      </c>
      <c r="D2549" s="2" t="s">
        <v>2445</v>
      </c>
      <c r="E2549" s="3">
        <v>0</v>
      </c>
      <c r="F2549" s="2">
        <v>2122</v>
      </c>
      <c r="G2549" s="2">
        <v>100</v>
      </c>
      <c r="H2549" s="2">
        <v>468</v>
      </c>
      <c r="I2549" s="2">
        <v>407</v>
      </c>
      <c r="J2549" s="2">
        <v>1810</v>
      </c>
      <c r="K2549" s="2">
        <v>1</v>
      </c>
      <c r="L2549" s="2">
        <v>468</v>
      </c>
    </row>
    <row r="2550" spans="1:12" x14ac:dyDescent="0.25">
      <c r="A2550" s="4" t="str">
        <f>HYPERLINK("http://www.rosaceae.org/Prunus/Prunus_persica/p.persica_gdr_reftransV1_0007836","p.persica_gdr_reftransV1_0007836")</f>
        <v>p.persica_gdr_reftransV1_0007836</v>
      </c>
      <c r="B2550" s="2">
        <v>1196</v>
      </c>
      <c r="C2550" s="4" t="str">
        <f>HYPERLINK("http://www.uniprot.org/uniprot/M5WSM6","M5WSM6")</f>
        <v>M5WSM6</v>
      </c>
      <c r="D2550" s="2" t="s">
        <v>2446</v>
      </c>
      <c r="E2550" s="3">
        <v>8.8699999999999998E-127</v>
      </c>
      <c r="F2550" s="2">
        <v>963</v>
      </c>
      <c r="G2550" s="2">
        <v>100</v>
      </c>
      <c r="H2550" s="2">
        <v>179</v>
      </c>
      <c r="I2550" s="2">
        <v>288</v>
      </c>
      <c r="J2550" s="2">
        <v>824</v>
      </c>
      <c r="K2550" s="2">
        <v>1</v>
      </c>
      <c r="L2550" s="2">
        <v>179</v>
      </c>
    </row>
    <row r="2551" spans="1:12" x14ac:dyDescent="0.25">
      <c r="A2551" s="4" t="str">
        <f>HYPERLINK("http://www.rosaceae.org/Prunus/Prunus_persica/p.persica_gdr_reftransV1_0008886","p.persica_gdr_reftransV1_0008886")</f>
        <v>p.persica_gdr_reftransV1_0008886</v>
      </c>
      <c r="B2551" s="2">
        <v>538</v>
      </c>
      <c r="C2551" s="4" t="str">
        <f>HYPERLINK("http://www.uniprot.org/uniprot/M5VT80","M5VT80")</f>
        <v>M5VT80</v>
      </c>
      <c r="D2551" s="2" t="s">
        <v>2447</v>
      </c>
      <c r="E2551" s="3">
        <v>2.3400000000000002E-46</v>
      </c>
      <c r="F2551" s="2">
        <v>417</v>
      </c>
      <c r="G2551" s="2">
        <v>100</v>
      </c>
      <c r="H2551" s="2">
        <v>80</v>
      </c>
      <c r="I2551" s="2">
        <v>297</v>
      </c>
      <c r="J2551" s="2">
        <v>536</v>
      </c>
      <c r="K2551" s="2">
        <v>210</v>
      </c>
      <c r="L2551" s="2">
        <v>289</v>
      </c>
    </row>
    <row r="2552" spans="1:12" x14ac:dyDescent="0.25">
      <c r="A2552" s="4" t="str">
        <f>HYPERLINK("http://www.rosaceae.org/Prunus/Prunus_persica/p.persica_gdr_reftransV1_0009236","p.persica_gdr_reftransV1_0009236")</f>
        <v>p.persica_gdr_reftransV1_0009236</v>
      </c>
      <c r="B2552" s="2">
        <v>1266</v>
      </c>
      <c r="C2552" s="4" t="str">
        <f>HYPERLINK("http://www.uniprot.org/uniprot/M5WXE5","M5WXE5")</f>
        <v>M5WXE5</v>
      </c>
      <c r="D2552" s="2" t="s">
        <v>2448</v>
      </c>
      <c r="E2552" s="3">
        <v>1.1399999999999999E-99</v>
      </c>
      <c r="F2552" s="2">
        <v>784</v>
      </c>
      <c r="G2552" s="2">
        <v>100</v>
      </c>
      <c r="H2552" s="2">
        <v>169</v>
      </c>
      <c r="I2552" s="2">
        <v>180</v>
      </c>
      <c r="J2552" s="2">
        <v>686</v>
      </c>
      <c r="K2552" s="2">
        <v>1</v>
      </c>
      <c r="L2552" s="2">
        <v>169</v>
      </c>
    </row>
    <row r="2553" spans="1:12" x14ac:dyDescent="0.25">
      <c r="A2553" s="4" t="str">
        <f>HYPERLINK("http://www.rosaceae.org/Prunus/Prunus_persica/p.persica_gdr_reftransV1_0009586","p.persica_gdr_reftransV1_0009586")</f>
        <v>p.persica_gdr_reftransV1_0009586</v>
      </c>
      <c r="B2553" s="2">
        <v>1257</v>
      </c>
      <c r="C2553" s="4" t="str">
        <f>HYPERLINK("http://www.uniprot.org/uniprot/M5W3I6","M5W3I6")</f>
        <v>M5W3I6</v>
      </c>
      <c r="D2553" s="2" t="s">
        <v>2449</v>
      </c>
      <c r="E2553" s="3">
        <v>3.2600000000000002E-34</v>
      </c>
      <c r="F2553" s="2">
        <v>342</v>
      </c>
      <c r="G2553" s="2">
        <v>100</v>
      </c>
      <c r="H2553" s="2">
        <v>67</v>
      </c>
      <c r="I2553" s="2">
        <v>305</v>
      </c>
      <c r="J2553" s="2">
        <v>505</v>
      </c>
      <c r="K2553" s="2">
        <v>59</v>
      </c>
      <c r="L2553" s="2">
        <v>125</v>
      </c>
    </row>
    <row r="2554" spans="1:12" x14ac:dyDescent="0.25">
      <c r="A2554" s="4" t="str">
        <f>HYPERLINK("http://www.rosaceae.org/Prunus/Prunus_persica/p.persica_gdr_reftransV1_0009936","p.persica_gdr_reftransV1_0009936")</f>
        <v>p.persica_gdr_reftransV1_0009936</v>
      </c>
      <c r="B2554" s="2">
        <v>1960</v>
      </c>
      <c r="C2554" s="4" t="str">
        <f>HYPERLINK("http://www.uniprot.org/uniprot/M5VI72","M5VI72")</f>
        <v>M5VI72</v>
      </c>
      <c r="D2554" s="2" t="s">
        <v>2450</v>
      </c>
      <c r="E2554" s="3">
        <v>0</v>
      </c>
      <c r="F2554" s="2">
        <v>1877</v>
      </c>
      <c r="G2554" s="2">
        <v>100</v>
      </c>
      <c r="H2554" s="2">
        <v>505</v>
      </c>
      <c r="I2554" s="2">
        <v>90</v>
      </c>
      <c r="J2554" s="2">
        <v>1604</v>
      </c>
      <c r="K2554" s="2">
        <v>1</v>
      </c>
      <c r="L2554" s="2">
        <v>505</v>
      </c>
    </row>
    <row r="2555" spans="1:12" x14ac:dyDescent="0.25">
      <c r="A2555" s="4" t="str">
        <f>HYPERLINK("http://www.rosaceae.org/Prunus/Prunus_persica/p.persica_gdr_reftransV1_0011686","p.persica_gdr_reftransV1_0011686")</f>
        <v>p.persica_gdr_reftransV1_0011686</v>
      </c>
      <c r="B2555" s="2">
        <v>3921</v>
      </c>
      <c r="C2555" s="4" t="str">
        <f>HYPERLINK("http://www.uniprot.org/uniprot/M5WEA9","M5WEA9")</f>
        <v>M5WEA9</v>
      </c>
      <c r="D2555" s="2" t="s">
        <v>2451</v>
      </c>
      <c r="E2555" s="3">
        <v>0</v>
      </c>
      <c r="F2555" s="2">
        <v>5344</v>
      </c>
      <c r="G2555" s="2">
        <v>100</v>
      </c>
      <c r="H2555" s="2">
        <v>1105</v>
      </c>
      <c r="I2555" s="2">
        <v>335</v>
      </c>
      <c r="J2555" s="2">
        <v>3649</v>
      </c>
      <c r="K2555" s="2">
        <v>1</v>
      </c>
      <c r="L2555" s="2">
        <v>1105</v>
      </c>
    </row>
    <row r="2556" spans="1:12" x14ac:dyDescent="0.25">
      <c r="A2556" s="4" t="str">
        <f>HYPERLINK("http://www.rosaceae.org/Prunus/Prunus_persica/p.persica_gdr_reftransV1_0012386","p.persica_gdr_reftransV1_0012386")</f>
        <v>p.persica_gdr_reftransV1_0012386</v>
      </c>
      <c r="B2556" s="2">
        <v>1516</v>
      </c>
      <c r="C2556" s="4" t="str">
        <f>HYPERLINK("http://www.uniprot.org/uniprot/M5WH42","M5WH42")</f>
        <v>M5WH42</v>
      </c>
      <c r="D2556" s="2" t="s">
        <v>2452</v>
      </c>
      <c r="E2556" s="3">
        <v>3.8199999999999998E-29</v>
      </c>
      <c r="F2556" s="2">
        <v>311</v>
      </c>
      <c r="G2556" s="2">
        <v>100</v>
      </c>
      <c r="H2556" s="2">
        <v>96</v>
      </c>
      <c r="I2556" s="2">
        <v>167</v>
      </c>
      <c r="J2556" s="2">
        <v>454</v>
      </c>
      <c r="K2556" s="2">
        <v>145</v>
      </c>
      <c r="L2556" s="2">
        <v>240</v>
      </c>
    </row>
    <row r="2557" spans="1:12" x14ac:dyDescent="0.25">
      <c r="A2557" s="4" t="str">
        <f>HYPERLINK("http://www.rosaceae.org/Prunus/Prunus_persica/p.persica_gdr_reftransV1_0012736","p.persica_gdr_reftransV1_0012736")</f>
        <v>p.persica_gdr_reftransV1_0012736</v>
      </c>
      <c r="B2557" s="2">
        <v>1068</v>
      </c>
      <c r="C2557" s="4" t="str">
        <f>HYPERLINK("http://www.uniprot.org/uniprot/M5W9J1","M5W9J1")</f>
        <v>M5W9J1</v>
      </c>
      <c r="D2557" s="2" t="s">
        <v>2453</v>
      </c>
      <c r="E2557" s="3">
        <v>1.4599999999999999E-103</v>
      </c>
      <c r="F2557" s="2">
        <v>805</v>
      </c>
      <c r="G2557" s="2">
        <v>96</v>
      </c>
      <c r="H2557" s="2">
        <v>191</v>
      </c>
      <c r="I2557" s="2">
        <v>365</v>
      </c>
      <c r="J2557" s="2">
        <v>937</v>
      </c>
      <c r="K2557" s="2">
        <v>1</v>
      </c>
      <c r="L2557" s="2">
        <v>191</v>
      </c>
    </row>
    <row r="2558" spans="1:12" x14ac:dyDescent="0.25">
      <c r="A2558" s="4" t="str">
        <f>HYPERLINK("http://www.rosaceae.org/Prunus/Prunus_persica/p.persica_gdr_reftransV1_0016586","p.persica_gdr_reftransV1_0016586")</f>
        <v>p.persica_gdr_reftransV1_0016586</v>
      </c>
      <c r="B2558" s="2">
        <v>1088</v>
      </c>
      <c r="C2558" s="4" t="str">
        <f>HYPERLINK("http://www.uniprot.org/uniprot/M5XKJ9","M5XKJ9")</f>
        <v>M5XKJ9</v>
      </c>
      <c r="D2558" s="2" t="s">
        <v>2454</v>
      </c>
      <c r="E2558" s="3">
        <v>1.55E-45</v>
      </c>
      <c r="F2558" s="2">
        <v>450</v>
      </c>
      <c r="G2558" s="2">
        <v>95</v>
      </c>
      <c r="H2558" s="2">
        <v>88</v>
      </c>
      <c r="I2558" s="2">
        <v>412</v>
      </c>
      <c r="J2558" s="2">
        <v>675</v>
      </c>
      <c r="K2558" s="2">
        <v>1005</v>
      </c>
      <c r="L2558" s="2">
        <v>1091</v>
      </c>
    </row>
    <row r="2559" spans="1:12" x14ac:dyDescent="0.25">
      <c r="A2559" s="4" t="str">
        <f>HYPERLINK("http://www.rosaceae.org/Prunus/Prunus_persica/p.persica_gdr_reftransV1_0017286","p.persica_gdr_reftransV1_0017286")</f>
        <v>p.persica_gdr_reftransV1_0017286</v>
      </c>
      <c r="B2559" s="2">
        <v>1459</v>
      </c>
      <c r="C2559" s="4" t="str">
        <f>HYPERLINK("http://www.uniprot.org/uniprot/M5XB59","M5XB59")</f>
        <v>M5XB59</v>
      </c>
      <c r="D2559" s="2" t="s">
        <v>2455</v>
      </c>
      <c r="E2559" s="3">
        <v>3.1800000000000001E-99</v>
      </c>
      <c r="F2559" s="2">
        <v>827</v>
      </c>
      <c r="G2559" s="2">
        <v>100</v>
      </c>
      <c r="H2559" s="2">
        <v>157</v>
      </c>
      <c r="I2559" s="2">
        <v>989</v>
      </c>
      <c r="J2559" s="2">
        <v>1459</v>
      </c>
      <c r="K2559" s="2">
        <v>467</v>
      </c>
      <c r="L2559" s="2">
        <v>623</v>
      </c>
    </row>
    <row r="2560" spans="1:12" x14ac:dyDescent="0.25">
      <c r="A2560" s="4" t="str">
        <f>HYPERLINK("http://www.rosaceae.org/Prunus/Prunus_persica/p.persica_gdr_reftransV1_0017986","p.persica_gdr_reftransV1_0017986")</f>
        <v>p.persica_gdr_reftransV1_0017986</v>
      </c>
      <c r="B2560" s="2">
        <v>3548</v>
      </c>
      <c r="C2560" s="4" t="str">
        <f>HYPERLINK("http://www.uniprot.org/uniprot/M5WQ92","M5WQ92")</f>
        <v>M5WQ92</v>
      </c>
      <c r="D2560" s="2" t="s">
        <v>2456</v>
      </c>
      <c r="E2560" s="3">
        <v>0</v>
      </c>
      <c r="F2560" s="2">
        <v>1877</v>
      </c>
      <c r="G2560" s="2">
        <v>100</v>
      </c>
      <c r="H2560" s="2">
        <v>351</v>
      </c>
      <c r="I2560" s="2">
        <v>642</v>
      </c>
      <c r="J2560" s="2">
        <v>1694</v>
      </c>
      <c r="K2560" s="2">
        <v>235</v>
      </c>
      <c r="L2560" s="2">
        <v>585</v>
      </c>
    </row>
    <row r="2561" spans="1:12" x14ac:dyDescent="0.25">
      <c r="A2561" s="4" t="str">
        <f>HYPERLINK("http://www.rosaceae.org/Prunus/Prunus_persica/p.persica_gdr_reftransV1_0019036","p.persica_gdr_reftransV1_0019036")</f>
        <v>p.persica_gdr_reftransV1_0019036</v>
      </c>
      <c r="B2561" s="2">
        <v>2301</v>
      </c>
      <c r="C2561" s="4" t="str">
        <f>HYPERLINK("http://www.uniprot.org/uniprot/M5XGT6","M5XGT6")</f>
        <v>M5XGT6</v>
      </c>
      <c r="D2561" s="2" t="s">
        <v>2457</v>
      </c>
      <c r="E2561" s="3">
        <v>0</v>
      </c>
      <c r="F2561" s="2">
        <v>2462</v>
      </c>
      <c r="G2561" s="2">
        <v>100</v>
      </c>
      <c r="H2561" s="2">
        <v>496</v>
      </c>
      <c r="I2561" s="2">
        <v>187</v>
      </c>
      <c r="J2561" s="2">
        <v>1674</v>
      </c>
      <c r="K2561" s="2">
        <v>1</v>
      </c>
      <c r="L2561" s="2">
        <v>496</v>
      </c>
    </row>
    <row r="2562" spans="1:12" x14ac:dyDescent="0.25">
      <c r="A2562" s="4" t="str">
        <f>HYPERLINK("http://www.rosaceae.org/Prunus/Prunus_persica/p.persica_gdr_reftransV1_0020786","p.persica_gdr_reftransV1_0020786")</f>
        <v>p.persica_gdr_reftransV1_0020786</v>
      </c>
      <c r="B2562" s="2">
        <v>1333</v>
      </c>
      <c r="C2562" s="4" t="str">
        <f>HYPERLINK("http://www.uniprot.org/uniprot/M5VK93","M5VK93")</f>
        <v>M5VK93</v>
      </c>
      <c r="D2562" s="2" t="s">
        <v>2458</v>
      </c>
      <c r="E2562" s="3">
        <v>0</v>
      </c>
      <c r="F2562" s="2">
        <v>1745</v>
      </c>
      <c r="G2562" s="2">
        <v>100</v>
      </c>
      <c r="H2562" s="2">
        <v>344</v>
      </c>
      <c r="I2562" s="2">
        <v>88</v>
      </c>
      <c r="J2562" s="2">
        <v>1119</v>
      </c>
      <c r="K2562" s="2">
        <v>1</v>
      </c>
      <c r="L2562" s="2">
        <v>344</v>
      </c>
    </row>
    <row r="2563" spans="1:12" x14ac:dyDescent="0.25">
      <c r="A2563" s="4" t="str">
        <f>HYPERLINK("http://www.rosaceae.org/Prunus/Prunus_persica/p.persica_gdr_reftransV1_0021836","p.persica_gdr_reftransV1_0021836")</f>
        <v>p.persica_gdr_reftransV1_0021836</v>
      </c>
      <c r="B2563" s="2">
        <v>850</v>
      </c>
      <c r="C2563" s="4" t="str">
        <f>HYPERLINK("http://www.uniprot.org/uniprot/M5WGZ2","M5WGZ2")</f>
        <v>M5WGZ2</v>
      </c>
      <c r="D2563" s="2" t="s">
        <v>2459</v>
      </c>
      <c r="E2563" s="3">
        <v>1.67E-51</v>
      </c>
      <c r="F2563" s="2">
        <v>460</v>
      </c>
      <c r="G2563" s="2">
        <v>74</v>
      </c>
      <c r="H2563" s="2">
        <v>200</v>
      </c>
      <c r="I2563" s="2">
        <v>202</v>
      </c>
      <c r="J2563" s="2">
        <v>801</v>
      </c>
      <c r="K2563" s="2">
        <v>1</v>
      </c>
      <c r="L2563" s="2">
        <v>148</v>
      </c>
    </row>
    <row r="2564" spans="1:12" x14ac:dyDescent="0.25">
      <c r="A2564" s="4" t="str">
        <f>HYPERLINK("http://www.rosaceae.org/Prunus/Prunus_persica/p.persica_gdr_reftransV1_0022186","p.persica_gdr_reftransV1_0022186")</f>
        <v>p.persica_gdr_reftransV1_0022186</v>
      </c>
      <c r="B2564" s="2">
        <v>1410</v>
      </c>
      <c r="C2564" s="4" t="str">
        <f>HYPERLINK("http://www.uniprot.org/uniprot/M5X663","M5X663")</f>
        <v>M5X663</v>
      </c>
      <c r="D2564" s="2" t="s">
        <v>2460</v>
      </c>
      <c r="E2564" s="3">
        <v>1.0700000000000001E-152</v>
      </c>
      <c r="F2564" s="2">
        <v>1149</v>
      </c>
      <c r="G2564" s="2">
        <v>90</v>
      </c>
      <c r="H2564" s="2">
        <v>277</v>
      </c>
      <c r="I2564" s="2">
        <v>163</v>
      </c>
      <c r="J2564" s="2">
        <v>993</v>
      </c>
      <c r="K2564" s="2">
        <v>1</v>
      </c>
      <c r="L2564" s="2">
        <v>251</v>
      </c>
    </row>
    <row r="2565" spans="1:12" x14ac:dyDescent="0.25">
      <c r="A2565" s="4" t="str">
        <f>HYPERLINK("http://www.rosaceae.org/Prunus/Prunus_persica/p.persica_gdr_reftransV1_0023586","p.persica_gdr_reftransV1_0023586")</f>
        <v>p.persica_gdr_reftransV1_0023586</v>
      </c>
      <c r="B2565" s="2">
        <v>1754</v>
      </c>
      <c r="C2565" s="4" t="str">
        <f>HYPERLINK("http://www.uniprot.org/uniprot/M5WZN4","M5WZN4")</f>
        <v>M5WZN4</v>
      </c>
      <c r="D2565" s="2" t="s">
        <v>2461</v>
      </c>
      <c r="E2565" s="3">
        <v>0</v>
      </c>
      <c r="F2565" s="2">
        <v>1868</v>
      </c>
      <c r="G2565" s="2">
        <v>100</v>
      </c>
      <c r="H2565" s="2">
        <v>420</v>
      </c>
      <c r="I2565" s="2">
        <v>156</v>
      </c>
      <c r="J2565" s="2">
        <v>1415</v>
      </c>
      <c r="K2565" s="2">
        <v>1</v>
      </c>
      <c r="L2565" s="2">
        <v>420</v>
      </c>
    </row>
    <row r="2566" spans="1:12" x14ac:dyDescent="0.25">
      <c r="A2566" s="4" t="str">
        <f>HYPERLINK("http://www.rosaceae.org/Prunus/Prunus_persica/p.persica_gdr_reftransV1_0024286","p.persica_gdr_reftransV1_0024286")</f>
        <v>p.persica_gdr_reftransV1_0024286</v>
      </c>
      <c r="B2566" s="2">
        <v>824</v>
      </c>
      <c r="C2566" s="4" t="str">
        <f>HYPERLINK("http://www.uniprot.org/uniprot/M5W5D4","M5W5D4")</f>
        <v>M5W5D4</v>
      </c>
      <c r="D2566" s="2" t="s">
        <v>2462</v>
      </c>
      <c r="E2566" s="3">
        <v>4.5200000000000002E-55</v>
      </c>
      <c r="F2566" s="2">
        <v>472</v>
      </c>
      <c r="G2566" s="2">
        <v>100</v>
      </c>
      <c r="H2566" s="2">
        <v>87</v>
      </c>
      <c r="I2566" s="2">
        <v>392</v>
      </c>
      <c r="J2566" s="2">
        <v>652</v>
      </c>
      <c r="K2566" s="2">
        <v>48</v>
      </c>
      <c r="L2566" s="2">
        <v>134</v>
      </c>
    </row>
    <row r="2567" spans="1:12" x14ac:dyDescent="0.25">
      <c r="A2567" s="4" t="str">
        <f>HYPERLINK("http://www.rosaceae.org/Prunus/Prunus_persica/p.persica_gdr_reftransV1_0024636","p.persica_gdr_reftransV1_0024636")</f>
        <v>p.persica_gdr_reftransV1_0024636</v>
      </c>
      <c r="B2567" s="2">
        <v>2028</v>
      </c>
      <c r="C2567" s="4" t="str">
        <f>HYPERLINK("http://www.uniprot.org/uniprot/M5XFM9","M5XFM9")</f>
        <v>M5XFM9</v>
      </c>
      <c r="D2567" s="2" t="s">
        <v>2463</v>
      </c>
      <c r="E2567" s="3">
        <v>0</v>
      </c>
      <c r="F2567" s="2">
        <v>1507</v>
      </c>
      <c r="G2567" s="2">
        <v>100</v>
      </c>
      <c r="H2567" s="2">
        <v>297</v>
      </c>
      <c r="I2567" s="2">
        <v>112</v>
      </c>
      <c r="J2567" s="2">
        <v>1002</v>
      </c>
      <c r="K2567" s="2">
        <v>256</v>
      </c>
      <c r="L2567" s="2">
        <v>552</v>
      </c>
    </row>
    <row r="2568" spans="1:12" x14ac:dyDescent="0.25">
      <c r="A2568" s="4" t="str">
        <f>HYPERLINK("http://www.rosaceae.org/Prunus/Prunus_persica/p.persica_gdr_reftransV1_0026036","p.persica_gdr_reftransV1_0026036")</f>
        <v>p.persica_gdr_reftransV1_0026036</v>
      </c>
      <c r="B2568" s="2">
        <v>4154</v>
      </c>
      <c r="C2568" s="4" t="str">
        <f>HYPERLINK("http://www.uniprot.org/uniprot/M5WBP4","M5WBP4")</f>
        <v>M5WBP4</v>
      </c>
      <c r="D2568" s="2" t="s">
        <v>2464</v>
      </c>
      <c r="E2568" s="3">
        <v>1.51E-140</v>
      </c>
      <c r="F2568" s="2">
        <v>1158</v>
      </c>
      <c r="G2568" s="2">
        <v>100</v>
      </c>
      <c r="H2568" s="2">
        <v>217</v>
      </c>
      <c r="I2568" s="2">
        <v>681</v>
      </c>
      <c r="J2568" s="2">
        <v>1331</v>
      </c>
      <c r="K2568" s="2">
        <v>263</v>
      </c>
      <c r="L2568" s="2">
        <v>479</v>
      </c>
    </row>
    <row r="2569" spans="1:12" x14ac:dyDescent="0.25">
      <c r="A2569" s="4" t="str">
        <f>HYPERLINK("http://www.rosaceae.org/Prunus/Prunus_persica/p.persica_gdr_reftransV1_0026386","p.persica_gdr_reftransV1_0026386")</f>
        <v>p.persica_gdr_reftransV1_0026386</v>
      </c>
      <c r="B2569" s="2">
        <v>2592</v>
      </c>
      <c r="C2569" s="4" t="str">
        <f>HYPERLINK("http://www.uniprot.org/uniprot/M5WED3","M5WED3")</f>
        <v>M5WED3</v>
      </c>
      <c r="D2569" s="2" t="s">
        <v>2465</v>
      </c>
      <c r="E2569" s="3">
        <v>0</v>
      </c>
      <c r="F2569" s="2">
        <v>2923</v>
      </c>
      <c r="G2569" s="2">
        <v>100</v>
      </c>
      <c r="H2569" s="2">
        <v>619</v>
      </c>
      <c r="I2569" s="2">
        <v>83</v>
      </c>
      <c r="J2569" s="2">
        <v>1939</v>
      </c>
      <c r="K2569" s="2">
        <v>1</v>
      </c>
      <c r="L2569" s="2">
        <v>619</v>
      </c>
    </row>
    <row r="2570" spans="1:12" x14ac:dyDescent="0.25">
      <c r="A2570" s="4" t="str">
        <f>HYPERLINK("http://www.rosaceae.org/Prunus/Prunus_persica/p.persica_gdr_reftransV1_0030586","p.persica_gdr_reftransV1_0030586")</f>
        <v>p.persica_gdr_reftransV1_0030586</v>
      </c>
      <c r="B2570" s="2">
        <v>1474</v>
      </c>
      <c r="C2570" s="4" t="str">
        <f>HYPERLINK("http://www.uniprot.org/uniprot/M5WHM5","M5WHM5")</f>
        <v>M5WHM5</v>
      </c>
      <c r="D2570" s="2" t="s">
        <v>2466</v>
      </c>
      <c r="E2570" s="3">
        <v>1.6399999999999999E-110</v>
      </c>
      <c r="F2570" s="2">
        <v>853</v>
      </c>
      <c r="G2570" s="2">
        <v>99</v>
      </c>
      <c r="H2570" s="2">
        <v>162</v>
      </c>
      <c r="I2570" s="2">
        <v>824</v>
      </c>
      <c r="J2570" s="2">
        <v>1309</v>
      </c>
      <c r="K2570" s="2">
        <v>11</v>
      </c>
      <c r="L2570" s="2">
        <v>172</v>
      </c>
    </row>
    <row r="2571" spans="1:12" x14ac:dyDescent="0.25">
      <c r="A2571" s="4" t="str">
        <f>HYPERLINK("http://www.rosaceae.org/Prunus/Prunus_persica/p.persica_gdr_reftransV1_0031636","p.persica_gdr_reftransV1_0031636")</f>
        <v>p.persica_gdr_reftransV1_0031636</v>
      </c>
      <c r="B2571" s="2">
        <v>950</v>
      </c>
      <c r="C2571" s="4" t="str">
        <f>HYPERLINK("http://www.uniprot.org/uniprot/M5WVX8","M5WVX8")</f>
        <v>M5WVX8</v>
      </c>
      <c r="D2571" s="2" t="s">
        <v>2467</v>
      </c>
      <c r="E2571" s="3">
        <v>2.6400000000000001E-45</v>
      </c>
      <c r="F2571" s="2">
        <v>405</v>
      </c>
      <c r="G2571" s="2">
        <v>100</v>
      </c>
      <c r="H2571" s="2">
        <v>98</v>
      </c>
      <c r="I2571" s="2">
        <v>599</v>
      </c>
      <c r="J2571" s="2">
        <v>892</v>
      </c>
      <c r="K2571" s="2">
        <v>1</v>
      </c>
      <c r="L2571" s="2">
        <v>98</v>
      </c>
    </row>
    <row r="2572" spans="1:12" x14ac:dyDescent="0.25">
      <c r="A2572" s="4" t="str">
        <f>HYPERLINK("http://www.rosaceae.org/Prunus/Prunus_persica/p.persica_gdr_reftransV1_0034436","p.persica_gdr_reftransV1_0034436")</f>
        <v>p.persica_gdr_reftransV1_0034436</v>
      </c>
      <c r="B2572" s="2">
        <v>2112</v>
      </c>
      <c r="C2572" s="4" t="str">
        <f>HYPERLINK("http://www.uniprot.org/uniprot/M5XEM2","M5XEM2")</f>
        <v>M5XEM2</v>
      </c>
      <c r="D2572" s="2" t="s">
        <v>2468</v>
      </c>
      <c r="E2572" s="3">
        <v>4.0600000000000002E-115</v>
      </c>
      <c r="F2572" s="2">
        <v>926</v>
      </c>
      <c r="G2572" s="2">
        <v>100</v>
      </c>
      <c r="H2572" s="2">
        <v>182</v>
      </c>
      <c r="I2572" s="2">
        <v>1257</v>
      </c>
      <c r="J2572" s="2">
        <v>1802</v>
      </c>
      <c r="K2572" s="2">
        <v>1</v>
      </c>
      <c r="L2572" s="2">
        <v>182</v>
      </c>
    </row>
    <row r="2573" spans="1:12" x14ac:dyDescent="0.25">
      <c r="A2573" s="4" t="str">
        <f>HYPERLINK("http://www.rosaceae.org/Prunus/Prunus_persica/p.persica_gdr_reftransV1_0035836","p.persica_gdr_reftransV1_0035836")</f>
        <v>p.persica_gdr_reftransV1_0035836</v>
      </c>
      <c r="B2573" s="2">
        <v>1637</v>
      </c>
      <c r="C2573" s="4" t="str">
        <f>HYPERLINK("http://www.uniprot.org/uniprot/M5XYP3","M5XYP3")</f>
        <v>M5XYP3</v>
      </c>
      <c r="D2573" s="2" t="s">
        <v>2469</v>
      </c>
      <c r="E2573" s="3">
        <v>1.89E-115</v>
      </c>
      <c r="F2573" s="2">
        <v>785</v>
      </c>
      <c r="G2573" s="2">
        <v>99</v>
      </c>
      <c r="H2573" s="2">
        <v>183</v>
      </c>
      <c r="I2573" s="2">
        <v>357</v>
      </c>
      <c r="J2573" s="2">
        <v>905</v>
      </c>
      <c r="K2573" s="2">
        <v>35</v>
      </c>
      <c r="L2573" s="2">
        <v>217</v>
      </c>
    </row>
    <row r="2574" spans="1:12" x14ac:dyDescent="0.25">
      <c r="A2574" s="4" t="str">
        <f>HYPERLINK("http://www.rosaceae.org/Prunus/Prunus_persica/p.persica_gdr_reftransV1_0036886","p.persica_gdr_reftransV1_0036886")</f>
        <v>p.persica_gdr_reftransV1_0036886</v>
      </c>
      <c r="B2574" s="2">
        <v>3838</v>
      </c>
      <c r="C2574" s="4" t="str">
        <f>HYPERLINK("http://www.uniprot.org/uniprot/M5VYN0","M5VYN0")</f>
        <v>M5VYN0</v>
      </c>
      <c r="D2574" s="2" t="s">
        <v>2470</v>
      </c>
      <c r="E2574" s="3">
        <v>3.2099999999999999E-124</v>
      </c>
      <c r="F2574" s="2">
        <v>1030</v>
      </c>
      <c r="G2574" s="2">
        <v>100</v>
      </c>
      <c r="H2574" s="2">
        <v>195</v>
      </c>
      <c r="I2574" s="2">
        <v>2231</v>
      </c>
      <c r="J2574" s="2">
        <v>2815</v>
      </c>
      <c r="K2574" s="2">
        <v>192</v>
      </c>
      <c r="L2574" s="2">
        <v>386</v>
      </c>
    </row>
    <row r="2575" spans="1:12" x14ac:dyDescent="0.25">
      <c r="A2575" s="4" t="str">
        <f>HYPERLINK("http://www.rosaceae.org/Prunus/Prunus_persica/p.persica_gdr_reftransV1_0038986","p.persica_gdr_reftransV1_0038986")</f>
        <v>p.persica_gdr_reftransV1_0038986</v>
      </c>
      <c r="B2575" s="2">
        <v>1769</v>
      </c>
      <c r="C2575" s="4" t="str">
        <f>HYPERLINK("http://www.uniprot.org/uniprot/M5WXJ3","M5WXJ3")</f>
        <v>M5WXJ3</v>
      </c>
      <c r="D2575" s="2" t="s">
        <v>2471</v>
      </c>
      <c r="E2575" s="3">
        <v>2.8500000000000001E-35</v>
      </c>
      <c r="F2575" s="2">
        <v>348</v>
      </c>
      <c r="G2575" s="2">
        <v>94</v>
      </c>
      <c r="H2575" s="2">
        <v>112</v>
      </c>
      <c r="I2575" s="2">
        <v>1177</v>
      </c>
      <c r="J2575" s="2">
        <v>1509</v>
      </c>
      <c r="K2575" s="2">
        <v>1</v>
      </c>
      <c r="L2575" s="2">
        <v>112</v>
      </c>
    </row>
    <row r="2576" spans="1:12" x14ac:dyDescent="0.25">
      <c r="A2576" s="4" t="str">
        <f>HYPERLINK("http://www.rosaceae.org/Prunus/Prunus_persica/p.persica_gdr_reftransV1_0040036","p.persica_gdr_reftransV1_0040036")</f>
        <v>p.persica_gdr_reftransV1_0040036</v>
      </c>
      <c r="B2576" s="2">
        <v>2163</v>
      </c>
      <c r="C2576" s="4" t="str">
        <f>HYPERLINK("http://www.uniprot.org/uniprot/M5WIP8","M5WIP8")</f>
        <v>M5WIP8</v>
      </c>
      <c r="D2576" s="2" t="s">
        <v>2472</v>
      </c>
      <c r="E2576" s="3">
        <v>2.2299999999999999E-147</v>
      </c>
      <c r="F2576" s="2">
        <v>802</v>
      </c>
      <c r="G2576" s="2">
        <v>98</v>
      </c>
      <c r="H2576" s="2">
        <v>201</v>
      </c>
      <c r="I2576" s="2">
        <v>863</v>
      </c>
      <c r="J2576" s="2">
        <v>1465</v>
      </c>
      <c r="K2576" s="2">
        <v>112</v>
      </c>
      <c r="L2576" s="2">
        <v>312</v>
      </c>
    </row>
    <row r="2577" spans="1:12" x14ac:dyDescent="0.25">
      <c r="A2577" s="4" t="str">
        <f>HYPERLINK("http://www.rosaceae.org/Prunus/Prunus_persica/p.persica_gdr_reftransV1_0041086","p.persica_gdr_reftransV1_0041086")</f>
        <v>p.persica_gdr_reftransV1_0041086</v>
      </c>
      <c r="B2577" s="2">
        <v>1790</v>
      </c>
      <c r="C2577" s="4" t="str">
        <f>HYPERLINK("http://www.uniprot.org/uniprot/M5WUW7","M5WUW7")</f>
        <v>M5WUW7</v>
      </c>
      <c r="D2577" s="2" t="s">
        <v>2473</v>
      </c>
      <c r="E2577" s="3">
        <v>4.0900000000000002E-98</v>
      </c>
      <c r="F2577" s="2">
        <v>795</v>
      </c>
      <c r="G2577" s="2">
        <v>100</v>
      </c>
      <c r="H2577" s="2">
        <v>149</v>
      </c>
      <c r="I2577" s="2">
        <v>964</v>
      </c>
      <c r="J2577" s="2">
        <v>1410</v>
      </c>
      <c r="K2577" s="2">
        <v>1</v>
      </c>
      <c r="L2577" s="2">
        <v>149</v>
      </c>
    </row>
    <row r="2578" spans="1:12" x14ac:dyDescent="0.25">
      <c r="A2578" s="4" t="str">
        <f>HYPERLINK("http://www.rosaceae.org/Prunus/Prunus_persica/p.persica_gdr_reftransV1_0043186","p.persica_gdr_reftransV1_0043186")</f>
        <v>p.persica_gdr_reftransV1_0043186</v>
      </c>
      <c r="B2578" s="2">
        <v>1372</v>
      </c>
      <c r="C2578" s="4" t="str">
        <f>HYPERLINK("http://www.uniprot.org/uniprot/M5XSC0","M5XSC0")</f>
        <v>M5XSC0</v>
      </c>
      <c r="D2578" s="2" t="s">
        <v>2474</v>
      </c>
      <c r="E2578" s="3">
        <v>0</v>
      </c>
      <c r="F2578" s="2">
        <v>1180</v>
      </c>
      <c r="G2578" s="2">
        <v>96</v>
      </c>
      <c r="H2578" s="2">
        <v>270</v>
      </c>
      <c r="I2578" s="2">
        <v>42</v>
      </c>
      <c r="J2578" s="2">
        <v>851</v>
      </c>
      <c r="K2578" s="2">
        <v>384</v>
      </c>
      <c r="L2578" s="2">
        <v>644</v>
      </c>
    </row>
    <row r="2579" spans="1:12" x14ac:dyDescent="0.25">
      <c r="A2579" s="4" t="str">
        <f>HYPERLINK("http://www.rosaceae.org/Prunus/Prunus_persica/p.persica_gdr_reftransV1_0043536","p.persica_gdr_reftransV1_0043536")</f>
        <v>p.persica_gdr_reftransV1_0043536</v>
      </c>
      <c r="B2579" s="2">
        <v>608</v>
      </c>
      <c r="C2579" s="4" t="str">
        <f>HYPERLINK("http://www.uniprot.org/uniprot/M5X024","M5X024")</f>
        <v>M5X024</v>
      </c>
      <c r="D2579" s="2" t="s">
        <v>2475</v>
      </c>
      <c r="E2579" s="3">
        <v>2.0599999999999999E-130</v>
      </c>
      <c r="F2579" s="2">
        <v>968</v>
      </c>
      <c r="G2579" s="2">
        <v>100</v>
      </c>
      <c r="H2579" s="2">
        <v>185</v>
      </c>
      <c r="I2579" s="2">
        <v>2</v>
      </c>
      <c r="J2579" s="2">
        <v>556</v>
      </c>
      <c r="K2579" s="2">
        <v>24</v>
      </c>
      <c r="L2579" s="2">
        <v>208</v>
      </c>
    </row>
    <row r="2580" spans="1:12" x14ac:dyDescent="0.25">
      <c r="A2580" s="4" t="str">
        <f>HYPERLINK("http://www.rosaceae.org/Prunus/Prunus_persica/p.persica_gdr_reftransV1_0043886","p.persica_gdr_reftransV1_0043886")</f>
        <v>p.persica_gdr_reftransV1_0043886</v>
      </c>
      <c r="B2580" s="2">
        <v>603</v>
      </c>
      <c r="C2580" s="4" t="str">
        <f>HYPERLINK("http://www.uniprot.org/uniprot/M5WX74","M5WX74")</f>
        <v>M5WX74</v>
      </c>
      <c r="D2580" s="2" t="s">
        <v>2476</v>
      </c>
      <c r="E2580" s="3">
        <v>9.0600000000000008E-47</v>
      </c>
      <c r="F2580" s="2">
        <v>405</v>
      </c>
      <c r="G2580" s="2">
        <v>100</v>
      </c>
      <c r="H2580" s="2">
        <v>94</v>
      </c>
      <c r="I2580" s="2">
        <v>22</v>
      </c>
      <c r="J2580" s="2">
        <v>303</v>
      </c>
      <c r="K2580" s="2">
        <v>1</v>
      </c>
      <c r="L2580" s="2">
        <v>94</v>
      </c>
    </row>
    <row r="2581" spans="1:12" x14ac:dyDescent="0.25">
      <c r="A2581" s="4" t="str">
        <f>HYPERLINK("http://www.rosaceae.org/Prunus/Prunus_persica/p.persica_gdr_reftransV1_0044236","p.persica_gdr_reftransV1_0044236")</f>
        <v>p.persica_gdr_reftransV1_0044236</v>
      </c>
      <c r="B2581" s="2">
        <v>888</v>
      </c>
      <c r="C2581" s="4" t="str">
        <f>HYPERLINK("http://www.uniprot.org/uniprot/M5WVW4","M5WVW4")</f>
        <v>M5WVW4</v>
      </c>
      <c r="D2581" s="2" t="s">
        <v>2477</v>
      </c>
      <c r="E2581" s="3">
        <v>9.91E-105</v>
      </c>
      <c r="F2581" s="2">
        <v>803</v>
      </c>
      <c r="G2581" s="2">
        <v>100</v>
      </c>
      <c r="H2581" s="2">
        <v>153</v>
      </c>
      <c r="I2581" s="2">
        <v>190</v>
      </c>
      <c r="J2581" s="2">
        <v>648</v>
      </c>
      <c r="K2581" s="2">
        <v>1</v>
      </c>
      <c r="L2581" s="2">
        <v>153</v>
      </c>
    </row>
    <row r="2582" spans="1:12" x14ac:dyDescent="0.25">
      <c r="A2582" s="4" t="str">
        <f>HYPERLINK("http://www.rosaceae.org/Prunus/Prunus_persica/p.persica_gdr_reftransV1_0044586","p.persica_gdr_reftransV1_0044586")</f>
        <v>p.persica_gdr_reftransV1_0044586</v>
      </c>
      <c r="B2582" s="2">
        <v>1090</v>
      </c>
      <c r="C2582" s="4" t="str">
        <f>HYPERLINK("http://www.uniprot.org/uniprot/M5WA80","M5WA80")</f>
        <v>M5WA80</v>
      </c>
      <c r="D2582" s="2" t="s">
        <v>2478</v>
      </c>
      <c r="E2582" s="3">
        <v>4.0900000000000002E-77</v>
      </c>
      <c r="F2582" s="2">
        <v>635</v>
      </c>
      <c r="G2582" s="2">
        <v>100</v>
      </c>
      <c r="H2582" s="2">
        <v>237</v>
      </c>
      <c r="I2582" s="2">
        <v>312</v>
      </c>
      <c r="J2582" s="2">
        <v>1022</v>
      </c>
      <c r="K2582" s="2">
        <v>1</v>
      </c>
      <c r="L2582" s="2">
        <v>237</v>
      </c>
    </row>
    <row r="2583" spans="1:12" x14ac:dyDescent="0.25">
      <c r="A2583" s="4" t="str">
        <f>HYPERLINK("http://www.rosaceae.org/Prunus/Prunus_persica/p.persica_gdr_reftransV1_0045286","p.persica_gdr_reftransV1_0045286")</f>
        <v>p.persica_gdr_reftransV1_0045286</v>
      </c>
      <c r="B2583" s="2">
        <v>2783</v>
      </c>
      <c r="C2583" s="4" t="str">
        <f>HYPERLINK("http://www.uniprot.org/uniprot/M5XA16","M5XA16")</f>
        <v>M5XA16</v>
      </c>
      <c r="D2583" s="2" t="s">
        <v>2479</v>
      </c>
      <c r="E2583" s="3">
        <v>0</v>
      </c>
      <c r="F2583" s="2">
        <v>3863</v>
      </c>
      <c r="G2583" s="2">
        <v>100</v>
      </c>
      <c r="H2583" s="2">
        <v>759</v>
      </c>
      <c r="I2583" s="2">
        <v>377</v>
      </c>
      <c r="J2583" s="2">
        <v>2653</v>
      </c>
      <c r="K2583" s="2">
        <v>1</v>
      </c>
      <c r="L2583" s="2">
        <v>759</v>
      </c>
    </row>
    <row r="2584" spans="1:12" x14ac:dyDescent="0.25">
      <c r="A2584" s="4" t="str">
        <f>HYPERLINK("http://www.rosaceae.org/Prunus/Prunus_persica/p.persica_gdr_reftransV1_0045636","p.persica_gdr_reftransV1_0045636")</f>
        <v>p.persica_gdr_reftransV1_0045636</v>
      </c>
      <c r="B2584" s="2">
        <v>2846</v>
      </c>
      <c r="C2584" s="4" t="str">
        <f>HYPERLINK("http://www.uniprot.org/uniprot/M5XVT2","M5XVT2")</f>
        <v>M5XVT2</v>
      </c>
      <c r="D2584" s="2" t="s">
        <v>2480</v>
      </c>
      <c r="E2584" s="3">
        <v>0</v>
      </c>
      <c r="F2584" s="2">
        <v>1973</v>
      </c>
      <c r="G2584" s="2">
        <v>100</v>
      </c>
      <c r="H2584" s="2">
        <v>365</v>
      </c>
      <c r="I2584" s="2">
        <v>1231</v>
      </c>
      <c r="J2584" s="2">
        <v>2325</v>
      </c>
      <c r="K2584" s="2">
        <v>1</v>
      </c>
      <c r="L2584" s="2">
        <v>365</v>
      </c>
    </row>
    <row r="2585" spans="1:12" x14ac:dyDescent="0.25">
      <c r="A2585" s="4" t="str">
        <f>HYPERLINK("http://www.rosaceae.org/Prunus/Prunus_persica/p.persica_gdr_reftransV1_0045986","p.persica_gdr_reftransV1_0045986")</f>
        <v>p.persica_gdr_reftransV1_0045986</v>
      </c>
      <c r="B2585" s="2">
        <v>1199</v>
      </c>
      <c r="C2585" s="4" t="str">
        <f>HYPERLINK("http://www.uniprot.org/uniprot/M5WN18","M5WN18")</f>
        <v>M5WN18</v>
      </c>
      <c r="D2585" s="2" t="s">
        <v>2481</v>
      </c>
      <c r="E2585" s="3">
        <v>6.3200000000000003E-112</v>
      </c>
      <c r="F2585" s="2">
        <v>872</v>
      </c>
      <c r="G2585" s="2">
        <v>94</v>
      </c>
      <c r="H2585" s="2">
        <v>196</v>
      </c>
      <c r="I2585" s="2">
        <v>328</v>
      </c>
      <c r="J2585" s="2">
        <v>912</v>
      </c>
      <c r="K2585" s="2">
        <v>69</v>
      </c>
      <c r="L2585" s="2">
        <v>264</v>
      </c>
    </row>
    <row r="2586" spans="1:12" x14ac:dyDescent="0.25">
      <c r="A2586" s="4" t="str">
        <f>HYPERLINK("http://www.rosaceae.org/Prunus/Prunus_persica/p.persica_gdr_reftransV1_0046336","p.persica_gdr_reftransV1_0046336")</f>
        <v>p.persica_gdr_reftransV1_0046336</v>
      </c>
      <c r="B2586" s="2">
        <v>1540</v>
      </c>
      <c r="C2586" s="4" t="str">
        <f>HYPERLINK("http://www.uniprot.org/uniprot/M5VK49","M5VK49")</f>
        <v>M5VK49</v>
      </c>
      <c r="D2586" s="2" t="s">
        <v>2482</v>
      </c>
      <c r="E2586" s="3">
        <v>0</v>
      </c>
      <c r="F2586" s="2">
        <v>2315</v>
      </c>
      <c r="G2586" s="2">
        <v>100</v>
      </c>
      <c r="H2586" s="2">
        <v>431</v>
      </c>
      <c r="I2586" s="2">
        <v>1</v>
      </c>
      <c r="J2586" s="2">
        <v>1293</v>
      </c>
      <c r="K2586" s="2">
        <v>91</v>
      </c>
      <c r="L2586" s="2">
        <v>521</v>
      </c>
    </row>
    <row r="2587" spans="1:12" x14ac:dyDescent="0.25">
      <c r="A2587" s="4" t="str">
        <f>HYPERLINK("http://www.rosaceae.org/Prunus/Prunus_persica/p.persica_gdr_reftransV1_0046686","p.persica_gdr_reftransV1_0046686")</f>
        <v>p.persica_gdr_reftransV1_0046686</v>
      </c>
      <c r="B2587" s="2">
        <v>2012</v>
      </c>
      <c r="C2587" s="4" t="str">
        <f>HYPERLINK("http://www.uniprot.org/uniprot/F6HR01","F6HR01")</f>
        <v>F6HR01</v>
      </c>
      <c r="D2587" s="2" t="s">
        <v>2483</v>
      </c>
      <c r="E2587" s="3">
        <v>0</v>
      </c>
      <c r="F2587" s="2">
        <v>2189</v>
      </c>
      <c r="G2587" s="2">
        <v>80</v>
      </c>
      <c r="H2587" s="2">
        <v>537</v>
      </c>
      <c r="I2587" s="2">
        <v>98</v>
      </c>
      <c r="J2587" s="2">
        <v>1708</v>
      </c>
      <c r="K2587" s="2">
        <v>1</v>
      </c>
      <c r="L2587" s="2">
        <v>524</v>
      </c>
    </row>
    <row r="2588" spans="1:12" x14ac:dyDescent="0.25">
      <c r="A2588" s="4" t="str">
        <f>HYPERLINK("http://www.rosaceae.org/Prunus/Prunus_persica/p.persica_gdr_reftransV1_0047036","p.persica_gdr_reftransV1_0047036")</f>
        <v>p.persica_gdr_reftransV1_0047036</v>
      </c>
      <c r="B2588" s="2">
        <v>318</v>
      </c>
      <c r="C2588" s="4" t="str">
        <f>HYPERLINK("http://www.uniprot.org/uniprot/M5W822","M5W822")</f>
        <v>M5W822</v>
      </c>
      <c r="D2588" s="2" t="s">
        <v>2484</v>
      </c>
      <c r="E2588" s="3">
        <v>1.8600000000000001E-65</v>
      </c>
      <c r="F2588" s="2">
        <v>565</v>
      </c>
      <c r="G2588" s="2">
        <v>100</v>
      </c>
      <c r="H2588" s="2">
        <v>106</v>
      </c>
      <c r="I2588" s="2">
        <v>1</v>
      </c>
      <c r="J2588" s="2">
        <v>318</v>
      </c>
      <c r="K2588" s="2">
        <v>10</v>
      </c>
      <c r="L2588" s="2">
        <v>115</v>
      </c>
    </row>
    <row r="2589" spans="1:12" x14ac:dyDescent="0.25">
      <c r="A2589" s="4" t="str">
        <f>HYPERLINK("http://www.rosaceae.org/Prunus/Prunus_persica/p.persica_gdr_reftransV1_0047386","p.persica_gdr_reftransV1_0047386")</f>
        <v>p.persica_gdr_reftransV1_0047386</v>
      </c>
      <c r="B2589" s="2">
        <v>1069</v>
      </c>
      <c r="C2589" s="4" t="str">
        <f>HYPERLINK("http://www.uniprot.org/uniprot/M5WVU9","M5WVU9")</f>
        <v>M5WVU9</v>
      </c>
      <c r="D2589" s="2" t="s">
        <v>2485</v>
      </c>
      <c r="E2589" s="3">
        <v>2.1200000000000001E-153</v>
      </c>
      <c r="F2589" s="2">
        <v>1137</v>
      </c>
      <c r="G2589" s="2">
        <v>100</v>
      </c>
      <c r="H2589" s="2">
        <v>214</v>
      </c>
      <c r="I2589" s="2">
        <v>268</v>
      </c>
      <c r="J2589" s="2">
        <v>909</v>
      </c>
      <c r="K2589" s="2">
        <v>1</v>
      </c>
      <c r="L2589" s="2">
        <v>214</v>
      </c>
    </row>
    <row r="2590" spans="1:12" x14ac:dyDescent="0.25">
      <c r="A2590" s="4" t="str">
        <f>HYPERLINK("http://www.rosaceae.org/Prunus/Prunus_persica/p.persica_gdr_reftransV1_0047736","p.persica_gdr_reftransV1_0047736")</f>
        <v>p.persica_gdr_reftransV1_0047736</v>
      </c>
      <c r="B2590" s="2">
        <v>1074</v>
      </c>
      <c r="C2590" s="4" t="str">
        <f>HYPERLINK("http://www.uniprot.org/uniprot/M5VMS7","M5VMS7")</f>
        <v>M5VMS7</v>
      </c>
      <c r="D2590" s="2" t="s">
        <v>2486</v>
      </c>
      <c r="E2590" s="3">
        <v>3.1399999999999999E-158</v>
      </c>
      <c r="F2590" s="2">
        <v>1175</v>
      </c>
      <c r="G2590" s="2">
        <v>98</v>
      </c>
      <c r="H2590" s="2">
        <v>272</v>
      </c>
      <c r="I2590" s="2">
        <v>165</v>
      </c>
      <c r="J2590" s="2">
        <v>980</v>
      </c>
      <c r="K2590" s="2">
        <v>1</v>
      </c>
      <c r="L2590" s="2">
        <v>272</v>
      </c>
    </row>
    <row r="2591" spans="1:12" x14ac:dyDescent="0.25">
      <c r="A2591" s="4" t="str">
        <f>HYPERLINK("http://www.rosaceae.org/Prunus/Prunus_persica/p.persica_gdr_reftransV1_0048436","p.persica_gdr_reftransV1_0048436")</f>
        <v>p.persica_gdr_reftransV1_0048436</v>
      </c>
      <c r="B2591" s="2">
        <v>319</v>
      </c>
      <c r="C2591" s="4" t="str">
        <f>HYPERLINK("http://www.uniprot.org/uniprot/M5VTI7","M5VTI7")</f>
        <v>M5VTI7</v>
      </c>
      <c r="D2591" s="2" t="s">
        <v>2487</v>
      </c>
      <c r="E2591" s="3">
        <v>3.9900000000000002E-26</v>
      </c>
      <c r="F2591" s="2">
        <v>274</v>
      </c>
      <c r="G2591" s="2">
        <v>100</v>
      </c>
      <c r="H2591" s="2">
        <v>77</v>
      </c>
      <c r="I2591" s="2">
        <v>89</v>
      </c>
      <c r="J2591" s="2">
        <v>319</v>
      </c>
      <c r="K2591" s="2">
        <v>1</v>
      </c>
      <c r="L2591" s="2">
        <v>77</v>
      </c>
    </row>
    <row r="2592" spans="1:12" x14ac:dyDescent="0.25">
      <c r="A2592" s="4" t="str">
        <f>HYPERLINK("http://www.rosaceae.org/Prunus/Prunus_persica/p.persica_gdr_reftransV1_0048786","p.persica_gdr_reftransV1_0048786")</f>
        <v>p.persica_gdr_reftransV1_0048786</v>
      </c>
      <c r="B2592" s="2">
        <v>1468</v>
      </c>
      <c r="C2592" s="4" t="str">
        <f>HYPERLINK("http://www.uniprot.org/uniprot/M5VVY7","M5VVY7")</f>
        <v>M5VVY7</v>
      </c>
      <c r="D2592" s="2" t="s">
        <v>2488</v>
      </c>
      <c r="E2592" s="3">
        <v>0</v>
      </c>
      <c r="F2592" s="2">
        <v>1878</v>
      </c>
      <c r="G2592" s="2">
        <v>100</v>
      </c>
      <c r="H2592" s="2">
        <v>351</v>
      </c>
      <c r="I2592" s="2">
        <v>161</v>
      </c>
      <c r="J2592" s="2">
        <v>1213</v>
      </c>
      <c r="K2592" s="2">
        <v>53</v>
      </c>
      <c r="L2592" s="2">
        <v>403</v>
      </c>
    </row>
    <row r="2593" spans="1:12" x14ac:dyDescent="0.25">
      <c r="A2593" s="4" t="str">
        <f>HYPERLINK("http://www.rosaceae.org/Prunus/Prunus_persica/p.persica_gdr_reftransV1_0049136","p.persica_gdr_reftransV1_0049136")</f>
        <v>p.persica_gdr_reftransV1_0049136</v>
      </c>
      <c r="B2593" s="2">
        <v>1590</v>
      </c>
      <c r="C2593" s="4" t="str">
        <f>HYPERLINK("http://www.uniprot.org/uniprot/M5XWA9","M5XWA9")</f>
        <v>M5XWA9</v>
      </c>
      <c r="D2593" s="2" t="s">
        <v>2489</v>
      </c>
      <c r="E2593" s="3">
        <v>0</v>
      </c>
      <c r="F2593" s="2">
        <v>1627</v>
      </c>
      <c r="G2593" s="2">
        <v>74</v>
      </c>
      <c r="H2593" s="2">
        <v>422</v>
      </c>
      <c r="I2593" s="2">
        <v>108</v>
      </c>
      <c r="J2593" s="2">
        <v>1370</v>
      </c>
      <c r="K2593" s="2">
        <v>71</v>
      </c>
      <c r="L2593" s="2">
        <v>448</v>
      </c>
    </row>
    <row r="2594" spans="1:12" x14ac:dyDescent="0.25">
      <c r="A2594" s="4" t="str">
        <f>HYPERLINK("http://www.rosaceae.org/Prunus/Prunus_persica/p.persica_gdr_reftransV1_0000137","p.persica_gdr_reftransV1_0000137")</f>
        <v>p.persica_gdr_reftransV1_0000137</v>
      </c>
      <c r="B2594" s="2">
        <v>969</v>
      </c>
      <c r="C2594" s="4" t="str">
        <f>HYPERLINK("http://www.uniprot.org/uniprot/M5XB27","M5XB27")</f>
        <v>M5XB27</v>
      </c>
      <c r="D2594" s="2" t="s">
        <v>2490</v>
      </c>
      <c r="E2594" s="3">
        <v>2.0699999999999998E-180</v>
      </c>
      <c r="F2594" s="2">
        <v>1316</v>
      </c>
      <c r="G2594" s="2">
        <v>100</v>
      </c>
      <c r="H2594" s="2">
        <v>245</v>
      </c>
      <c r="I2594" s="2">
        <v>233</v>
      </c>
      <c r="J2594" s="2">
        <v>967</v>
      </c>
      <c r="K2594" s="2">
        <v>20</v>
      </c>
      <c r="L2594" s="2">
        <v>264</v>
      </c>
    </row>
    <row r="2595" spans="1:12" x14ac:dyDescent="0.25">
      <c r="A2595" s="4" t="str">
        <f>HYPERLINK("http://www.rosaceae.org/Prunus/Prunus_persica/p.persica_gdr_reftransV1_0000837","p.persica_gdr_reftransV1_0000837")</f>
        <v>p.persica_gdr_reftransV1_0000837</v>
      </c>
      <c r="B2595" s="2">
        <v>321</v>
      </c>
      <c r="C2595" s="4" t="str">
        <f>HYPERLINK("http://www.uniprot.org/uniprot/M5X584","M5X584")</f>
        <v>M5X584</v>
      </c>
      <c r="D2595" s="2" t="s">
        <v>2491</v>
      </c>
      <c r="E2595" s="3">
        <v>1.2E-63</v>
      </c>
      <c r="F2595" s="2">
        <v>531</v>
      </c>
      <c r="G2595" s="2">
        <v>100</v>
      </c>
      <c r="H2595" s="2">
        <v>100</v>
      </c>
      <c r="I2595" s="2">
        <v>20</v>
      </c>
      <c r="J2595" s="2">
        <v>319</v>
      </c>
      <c r="K2595" s="2">
        <v>1</v>
      </c>
      <c r="L2595" s="2">
        <v>100</v>
      </c>
    </row>
    <row r="2596" spans="1:12" x14ac:dyDescent="0.25">
      <c r="A2596" s="4" t="str">
        <f>HYPERLINK("http://www.rosaceae.org/Prunus/Prunus_persica/p.persica_gdr_reftransV1_0001187","p.persica_gdr_reftransV1_0001187")</f>
        <v>p.persica_gdr_reftransV1_0001187</v>
      </c>
      <c r="B2596" s="2">
        <v>1843</v>
      </c>
      <c r="C2596" s="4" t="str">
        <f>HYPERLINK("http://www.uniprot.org/uniprot/M5X4P6","M5X4P6")</f>
        <v>M5X4P6</v>
      </c>
      <c r="D2596" s="2" t="s">
        <v>2492</v>
      </c>
      <c r="E2596" s="3">
        <v>0</v>
      </c>
      <c r="F2596" s="2">
        <v>1738</v>
      </c>
      <c r="G2596" s="2">
        <v>88</v>
      </c>
      <c r="H2596" s="2">
        <v>380</v>
      </c>
      <c r="I2596" s="2">
        <v>469</v>
      </c>
      <c r="J2596" s="2">
        <v>1608</v>
      </c>
      <c r="K2596" s="2">
        <v>21</v>
      </c>
      <c r="L2596" s="2">
        <v>399</v>
      </c>
    </row>
    <row r="2597" spans="1:12" x14ac:dyDescent="0.25">
      <c r="A2597" s="4" t="str">
        <f>HYPERLINK("http://www.rosaceae.org/Prunus/Prunus_persica/p.persica_gdr_reftransV1_0001537","p.persica_gdr_reftransV1_0001537")</f>
        <v>p.persica_gdr_reftransV1_0001537</v>
      </c>
      <c r="B2597" s="2">
        <v>884</v>
      </c>
      <c r="C2597" s="4" t="str">
        <f>HYPERLINK("http://www.uniprot.org/uniprot/A0A0D3AQT1","A0A0D3AQT1")</f>
        <v>A0A0D3AQT1</v>
      </c>
      <c r="D2597" s="2" t="s">
        <v>2493</v>
      </c>
      <c r="E2597" s="3">
        <v>6.7300000000000005E-91</v>
      </c>
      <c r="F2597" s="2">
        <v>714</v>
      </c>
      <c r="G2597" s="2">
        <v>93</v>
      </c>
      <c r="H2597" s="2">
        <v>153</v>
      </c>
      <c r="I2597" s="2">
        <v>100</v>
      </c>
      <c r="J2597" s="2">
        <v>558</v>
      </c>
      <c r="K2597" s="2">
        <v>24</v>
      </c>
      <c r="L2597" s="2">
        <v>171</v>
      </c>
    </row>
    <row r="2598" spans="1:12" x14ac:dyDescent="0.25">
      <c r="A2598" s="4" t="str">
        <f>HYPERLINK("http://www.rosaceae.org/Prunus/Prunus_persica/p.persica_gdr_reftransV1_0001887","p.persica_gdr_reftransV1_0001887")</f>
        <v>p.persica_gdr_reftransV1_0001887</v>
      </c>
      <c r="B2598" s="2">
        <v>1773</v>
      </c>
      <c r="C2598" s="4" t="str">
        <f>HYPERLINK("http://www.uniprot.org/uniprot/M5WGY2","M5WGY2")</f>
        <v>M5WGY2</v>
      </c>
      <c r="D2598" s="2" t="s">
        <v>2494</v>
      </c>
      <c r="E2598" s="3">
        <v>0</v>
      </c>
      <c r="F2598" s="2">
        <v>1667</v>
      </c>
      <c r="G2598" s="2">
        <v>94</v>
      </c>
      <c r="H2598" s="2">
        <v>353</v>
      </c>
      <c r="I2598" s="2">
        <v>690</v>
      </c>
      <c r="J2598" s="2">
        <v>1694</v>
      </c>
      <c r="K2598" s="2">
        <v>1</v>
      </c>
      <c r="L2598" s="2">
        <v>353</v>
      </c>
    </row>
    <row r="2599" spans="1:12" x14ac:dyDescent="0.25">
      <c r="A2599" s="4" t="str">
        <f>HYPERLINK("http://www.rosaceae.org/Prunus/Prunus_persica/p.persica_gdr_reftransV1_0002237","p.persica_gdr_reftransV1_0002237")</f>
        <v>p.persica_gdr_reftransV1_0002237</v>
      </c>
      <c r="B2599" s="2">
        <v>1177</v>
      </c>
      <c r="C2599" s="4" t="str">
        <f>HYPERLINK("http://www.uniprot.org/uniprot/M5W7L2","M5W7L2")</f>
        <v>M5W7L2</v>
      </c>
      <c r="D2599" s="2" t="s">
        <v>2495</v>
      </c>
      <c r="E2599" s="3">
        <v>2.4899999999999998E-146</v>
      </c>
      <c r="F2599" s="2">
        <v>1104</v>
      </c>
      <c r="G2599" s="2">
        <v>97</v>
      </c>
      <c r="H2599" s="2">
        <v>220</v>
      </c>
      <c r="I2599" s="2">
        <v>516</v>
      </c>
      <c r="J2599" s="2">
        <v>1175</v>
      </c>
      <c r="K2599" s="2">
        <v>1</v>
      </c>
      <c r="L2599" s="2">
        <v>215</v>
      </c>
    </row>
    <row r="2600" spans="1:12" x14ac:dyDescent="0.25">
      <c r="A2600" s="4" t="str">
        <f>HYPERLINK("http://www.rosaceae.org/Prunus/Prunus_persica/p.persica_gdr_reftransV1_0002587","p.persica_gdr_reftransV1_0002587")</f>
        <v>p.persica_gdr_reftransV1_0002587</v>
      </c>
      <c r="B2600" s="2">
        <v>2803</v>
      </c>
      <c r="C2600" s="4" t="str">
        <f>HYPERLINK("http://www.uniprot.org/uniprot/M5WRV7","M5WRV7")</f>
        <v>M5WRV7</v>
      </c>
      <c r="D2600" s="2" t="s">
        <v>2496</v>
      </c>
      <c r="E2600" s="3">
        <v>0</v>
      </c>
      <c r="F2600" s="2">
        <v>3583</v>
      </c>
      <c r="G2600" s="2">
        <v>100</v>
      </c>
      <c r="H2600" s="2">
        <v>778</v>
      </c>
      <c r="I2600" s="2">
        <v>334</v>
      </c>
      <c r="J2600" s="2">
        <v>2667</v>
      </c>
      <c r="K2600" s="2">
        <v>1</v>
      </c>
      <c r="L2600" s="2">
        <v>778</v>
      </c>
    </row>
    <row r="2601" spans="1:12" x14ac:dyDescent="0.25">
      <c r="A2601" s="4" t="str">
        <f>HYPERLINK("http://www.rosaceae.org/Prunus/Prunus_persica/p.persica_gdr_reftransV1_0003287","p.persica_gdr_reftransV1_0003287")</f>
        <v>p.persica_gdr_reftransV1_0003287</v>
      </c>
      <c r="B2601" s="2">
        <v>554</v>
      </c>
      <c r="C2601" s="4" t="str">
        <f>HYPERLINK("http://www.uniprot.org/uniprot/B9RC12","B9RC12")</f>
        <v>B9RC12</v>
      </c>
      <c r="D2601" s="2" t="s">
        <v>2497</v>
      </c>
      <c r="E2601" s="3">
        <v>4.4299999999999999E-67</v>
      </c>
      <c r="F2601" s="2">
        <v>594</v>
      </c>
      <c r="G2601" s="2">
        <v>73</v>
      </c>
      <c r="H2601" s="2">
        <v>184</v>
      </c>
      <c r="I2601" s="2">
        <v>2</v>
      </c>
      <c r="J2601" s="2">
        <v>553</v>
      </c>
      <c r="K2601" s="2">
        <v>463</v>
      </c>
      <c r="L2601" s="2">
        <v>646</v>
      </c>
    </row>
    <row r="2602" spans="1:12" x14ac:dyDescent="0.25">
      <c r="A2602" s="4" t="str">
        <f>HYPERLINK("http://www.rosaceae.org/Prunus/Prunus_persica/p.persica_gdr_reftransV1_0003987","p.persica_gdr_reftransV1_0003987")</f>
        <v>p.persica_gdr_reftransV1_0003987</v>
      </c>
      <c r="B2602" s="2">
        <v>2013</v>
      </c>
      <c r="C2602" s="4" t="str">
        <f>HYPERLINK("http://www.uniprot.org/uniprot/M5XS11","M5XS11")</f>
        <v>M5XS11</v>
      </c>
      <c r="D2602" s="2" t="s">
        <v>2498</v>
      </c>
      <c r="E2602" s="3">
        <v>2.5300000000000001E-46</v>
      </c>
      <c r="F2602" s="2">
        <v>439</v>
      </c>
      <c r="G2602" s="2">
        <v>76</v>
      </c>
      <c r="H2602" s="2">
        <v>119</v>
      </c>
      <c r="I2602" s="2">
        <v>370</v>
      </c>
      <c r="J2602" s="2">
        <v>726</v>
      </c>
      <c r="K2602" s="2">
        <v>1</v>
      </c>
      <c r="L2602" s="2">
        <v>90</v>
      </c>
    </row>
    <row r="2603" spans="1:12" x14ac:dyDescent="0.25">
      <c r="A2603" s="4" t="str">
        <f>HYPERLINK("http://www.rosaceae.org/Prunus/Prunus_persica/p.persica_gdr_reftransV1_0004337","p.persica_gdr_reftransV1_0004337")</f>
        <v>p.persica_gdr_reftransV1_0004337</v>
      </c>
      <c r="B2603" s="2">
        <v>1063</v>
      </c>
      <c r="C2603" s="4" t="str">
        <f>HYPERLINK("http://www.uniprot.org/uniprot/M5VWU2","M5VWU2")</f>
        <v>M5VWU2</v>
      </c>
      <c r="D2603" s="2" t="s">
        <v>2499</v>
      </c>
      <c r="E2603" s="3">
        <v>2.54E-177</v>
      </c>
      <c r="F2603" s="2">
        <v>1308</v>
      </c>
      <c r="G2603" s="2">
        <v>100</v>
      </c>
      <c r="H2603" s="2">
        <v>259</v>
      </c>
      <c r="I2603" s="2">
        <v>285</v>
      </c>
      <c r="J2603" s="2">
        <v>1061</v>
      </c>
      <c r="K2603" s="2">
        <v>91</v>
      </c>
      <c r="L2603" s="2">
        <v>349</v>
      </c>
    </row>
    <row r="2604" spans="1:12" x14ac:dyDescent="0.25">
      <c r="A2604" s="4" t="str">
        <f>HYPERLINK("http://www.rosaceae.org/Prunus/Prunus_persica/p.persica_gdr_reftransV1_0004687","p.persica_gdr_reftransV1_0004687")</f>
        <v>p.persica_gdr_reftransV1_0004687</v>
      </c>
      <c r="B2604" s="2">
        <v>679</v>
      </c>
      <c r="C2604" s="4" t="str">
        <f>HYPERLINK("http://www.uniprot.org/uniprot/M5X9W0","M5X9W0")</f>
        <v>M5X9W0</v>
      </c>
      <c r="D2604" s="2" t="s">
        <v>2500</v>
      </c>
      <c r="E2604" s="3">
        <v>4.2800000000000001E-78</v>
      </c>
      <c r="F2604" s="2">
        <v>620</v>
      </c>
      <c r="G2604" s="2">
        <v>100</v>
      </c>
      <c r="H2604" s="2">
        <v>151</v>
      </c>
      <c r="I2604" s="2">
        <v>210</v>
      </c>
      <c r="J2604" s="2">
        <v>662</v>
      </c>
      <c r="K2604" s="2">
        <v>1</v>
      </c>
      <c r="L2604" s="2">
        <v>151</v>
      </c>
    </row>
    <row r="2605" spans="1:12" x14ac:dyDescent="0.25">
      <c r="A2605" s="4" t="str">
        <f>HYPERLINK("http://www.rosaceae.org/Prunus/Prunus_persica/p.persica_gdr_reftransV1_0005037","p.persica_gdr_reftransV1_0005037")</f>
        <v>p.persica_gdr_reftransV1_0005037</v>
      </c>
      <c r="B2605" s="2">
        <v>1189</v>
      </c>
      <c r="C2605" s="4" t="str">
        <f>HYPERLINK("http://www.uniprot.org/uniprot/M5XIN0","M5XIN0")</f>
        <v>M5XIN0</v>
      </c>
      <c r="D2605" s="2" t="s">
        <v>2501</v>
      </c>
      <c r="E2605" s="3">
        <v>0</v>
      </c>
      <c r="F2605" s="2">
        <v>1674</v>
      </c>
      <c r="G2605" s="2">
        <v>100</v>
      </c>
      <c r="H2605" s="2">
        <v>336</v>
      </c>
      <c r="I2605" s="2">
        <v>39</v>
      </c>
      <c r="J2605" s="2">
        <v>1046</v>
      </c>
      <c r="K2605" s="2">
        <v>526</v>
      </c>
      <c r="L2605" s="2">
        <v>861</v>
      </c>
    </row>
    <row r="2606" spans="1:12" x14ac:dyDescent="0.25">
      <c r="A2606" s="4" t="str">
        <f>HYPERLINK("http://www.rosaceae.org/Prunus/Prunus_persica/p.persica_gdr_reftransV1_0005387","p.persica_gdr_reftransV1_0005387")</f>
        <v>p.persica_gdr_reftransV1_0005387</v>
      </c>
      <c r="B2606" s="2">
        <v>1908</v>
      </c>
      <c r="C2606" s="4" t="str">
        <f>HYPERLINK("http://www.uniprot.org/uniprot/M5XWF2","M5XWF2")</f>
        <v>M5XWF2</v>
      </c>
      <c r="D2606" s="2" t="s">
        <v>2502</v>
      </c>
      <c r="E2606" s="3">
        <v>0</v>
      </c>
      <c r="F2606" s="2">
        <v>2615</v>
      </c>
      <c r="G2606" s="2">
        <v>100</v>
      </c>
      <c r="H2606" s="2">
        <v>503</v>
      </c>
      <c r="I2606" s="2">
        <v>223</v>
      </c>
      <c r="J2606" s="2">
        <v>1731</v>
      </c>
      <c r="K2606" s="2">
        <v>1</v>
      </c>
      <c r="L2606" s="2">
        <v>503</v>
      </c>
    </row>
    <row r="2607" spans="1:12" x14ac:dyDescent="0.25">
      <c r="A2607" s="4" t="str">
        <f>HYPERLINK("http://www.rosaceae.org/Prunus/Prunus_persica/p.persica_gdr_reftransV1_0006087","p.persica_gdr_reftransV1_0006087")</f>
        <v>p.persica_gdr_reftransV1_0006087</v>
      </c>
      <c r="B2607" s="2">
        <v>824</v>
      </c>
      <c r="C2607" s="4" t="str">
        <f>HYPERLINK("http://www.uniprot.org/uniprot/M5WLJ8","M5WLJ8")</f>
        <v>M5WLJ8</v>
      </c>
      <c r="D2607" s="2" t="s">
        <v>2503</v>
      </c>
      <c r="E2607" s="3">
        <v>6.1799999999999998E-138</v>
      </c>
      <c r="F2607" s="2">
        <v>1045</v>
      </c>
      <c r="G2607" s="2">
        <v>96</v>
      </c>
      <c r="H2607" s="2">
        <v>227</v>
      </c>
      <c r="I2607" s="2">
        <v>3</v>
      </c>
      <c r="J2607" s="2">
        <v>683</v>
      </c>
      <c r="K2607" s="2">
        <v>190</v>
      </c>
      <c r="L2607" s="2">
        <v>407</v>
      </c>
    </row>
    <row r="2608" spans="1:12" x14ac:dyDescent="0.25">
      <c r="A2608" s="4" t="str">
        <f>HYPERLINK("http://www.rosaceae.org/Prunus/Prunus_persica/p.persica_gdr_reftransV1_0006437","p.persica_gdr_reftransV1_0006437")</f>
        <v>p.persica_gdr_reftransV1_0006437</v>
      </c>
      <c r="B2608" s="2">
        <v>844</v>
      </c>
      <c r="C2608" s="4" t="str">
        <f>HYPERLINK("http://www.uniprot.org/uniprot/M5XZ08","M5XZ08")</f>
        <v>M5XZ08</v>
      </c>
      <c r="D2608" s="2" t="s">
        <v>2504</v>
      </c>
      <c r="E2608" s="3">
        <v>6.1799999999999997E-47</v>
      </c>
      <c r="F2608" s="2">
        <v>414</v>
      </c>
      <c r="G2608" s="2">
        <v>100</v>
      </c>
      <c r="H2608" s="2">
        <v>82</v>
      </c>
      <c r="I2608" s="2">
        <v>168</v>
      </c>
      <c r="J2608" s="2">
        <v>413</v>
      </c>
      <c r="K2608" s="2">
        <v>1</v>
      </c>
      <c r="L2608" s="2">
        <v>82</v>
      </c>
    </row>
    <row r="2609" spans="1:12" x14ac:dyDescent="0.25">
      <c r="A2609" s="4" t="str">
        <f>HYPERLINK("http://www.rosaceae.org/Prunus/Prunus_persica/p.persica_gdr_reftransV1_0006787","p.persica_gdr_reftransV1_0006787")</f>
        <v>p.persica_gdr_reftransV1_0006787</v>
      </c>
      <c r="B2609" s="2">
        <v>1517</v>
      </c>
      <c r="C2609" s="4" t="str">
        <f>HYPERLINK("http://www.uniprot.org/uniprot/M5XP63","M5XP63")</f>
        <v>M5XP63</v>
      </c>
      <c r="D2609" s="2" t="s">
        <v>2505</v>
      </c>
      <c r="E2609" s="3">
        <v>1.4900000000000001E-109</v>
      </c>
      <c r="F2609" s="2">
        <v>863</v>
      </c>
      <c r="G2609" s="2">
        <v>100</v>
      </c>
      <c r="H2609" s="2">
        <v>229</v>
      </c>
      <c r="I2609" s="2">
        <v>380</v>
      </c>
      <c r="J2609" s="2">
        <v>1066</v>
      </c>
      <c r="K2609" s="2">
        <v>1</v>
      </c>
      <c r="L2609" s="2">
        <v>229</v>
      </c>
    </row>
    <row r="2610" spans="1:12" x14ac:dyDescent="0.25">
      <c r="A2610" s="4" t="str">
        <f>HYPERLINK("http://www.rosaceae.org/Prunus/Prunus_persica/p.persica_gdr_reftransV1_0007137","p.persica_gdr_reftransV1_0007137")</f>
        <v>p.persica_gdr_reftransV1_0007137</v>
      </c>
      <c r="B2610" s="2">
        <v>890</v>
      </c>
      <c r="C2610" s="4" t="str">
        <f>HYPERLINK("http://www.uniprot.org/uniprot/M5W5Y4","M5W5Y4")</f>
        <v>M5W5Y4</v>
      </c>
      <c r="D2610" s="2" t="s">
        <v>2506</v>
      </c>
      <c r="E2610" s="3">
        <v>5.5000000000000004E-127</v>
      </c>
      <c r="F2610" s="2">
        <v>957</v>
      </c>
      <c r="G2610" s="2">
        <v>100</v>
      </c>
      <c r="H2610" s="2">
        <v>194</v>
      </c>
      <c r="I2610" s="2">
        <v>212</v>
      </c>
      <c r="J2610" s="2">
        <v>793</v>
      </c>
      <c r="K2610" s="2">
        <v>27</v>
      </c>
      <c r="L2610" s="2">
        <v>220</v>
      </c>
    </row>
    <row r="2611" spans="1:12" x14ac:dyDescent="0.25">
      <c r="A2611" s="4" t="str">
        <f>HYPERLINK("http://www.rosaceae.org/Prunus/Prunus_persica/p.persica_gdr_reftransV1_0007487","p.persica_gdr_reftransV1_0007487")</f>
        <v>p.persica_gdr_reftransV1_0007487</v>
      </c>
      <c r="B2611" s="2">
        <v>722</v>
      </c>
      <c r="C2611" s="4" t="str">
        <f>HYPERLINK("http://www.uniprot.org/uniprot/M5WTL7","M5WTL7")</f>
        <v>M5WTL7</v>
      </c>
      <c r="D2611" s="2" t="s">
        <v>2507</v>
      </c>
      <c r="E2611" s="3">
        <v>1.5399999999999999E-126</v>
      </c>
      <c r="F2611" s="2">
        <v>970</v>
      </c>
      <c r="G2611" s="2">
        <v>100</v>
      </c>
      <c r="H2611" s="2">
        <v>218</v>
      </c>
      <c r="I2611" s="2">
        <v>3</v>
      </c>
      <c r="J2611" s="2">
        <v>656</v>
      </c>
      <c r="K2611" s="2">
        <v>1</v>
      </c>
      <c r="L2611" s="2">
        <v>218</v>
      </c>
    </row>
    <row r="2612" spans="1:12" x14ac:dyDescent="0.25">
      <c r="A2612" s="4" t="str">
        <f>HYPERLINK("http://www.rosaceae.org/Prunus/Prunus_persica/p.persica_gdr_reftransV1_0007837","p.persica_gdr_reftransV1_0007837")</f>
        <v>p.persica_gdr_reftransV1_0007837</v>
      </c>
      <c r="B2612" s="2">
        <v>459</v>
      </c>
      <c r="C2612" s="4" t="str">
        <f>HYPERLINK("http://www.uniprot.org/uniprot/M5XKY0","M5XKY0")</f>
        <v>M5XKY0</v>
      </c>
      <c r="D2612" s="2" t="s">
        <v>2508</v>
      </c>
      <c r="E2612" s="3">
        <v>3.5600000000000002E-90</v>
      </c>
      <c r="F2612" s="2">
        <v>734</v>
      </c>
      <c r="G2612" s="2">
        <v>99</v>
      </c>
      <c r="H2612" s="2">
        <v>152</v>
      </c>
      <c r="I2612" s="2">
        <v>2</v>
      </c>
      <c r="J2612" s="2">
        <v>457</v>
      </c>
      <c r="K2612" s="2">
        <v>378</v>
      </c>
      <c r="L2612" s="2">
        <v>529</v>
      </c>
    </row>
    <row r="2613" spans="1:12" x14ac:dyDescent="0.25">
      <c r="A2613" s="4" t="str">
        <f>HYPERLINK("http://www.rosaceae.org/Prunus/Prunus_persica/p.persica_gdr_reftransV1_0008187","p.persica_gdr_reftransV1_0008187")</f>
        <v>p.persica_gdr_reftransV1_0008187</v>
      </c>
      <c r="B2613" s="2">
        <v>1828</v>
      </c>
      <c r="C2613" s="4" t="str">
        <f>HYPERLINK("http://www.uniprot.org/uniprot/M5W539","M5W539")</f>
        <v>M5W539</v>
      </c>
      <c r="D2613" s="2" t="s">
        <v>2509</v>
      </c>
      <c r="E2613" s="3">
        <v>0</v>
      </c>
      <c r="F2613" s="2">
        <v>1697</v>
      </c>
      <c r="G2613" s="2">
        <v>99</v>
      </c>
      <c r="H2613" s="2">
        <v>408</v>
      </c>
      <c r="I2613" s="2">
        <v>318</v>
      </c>
      <c r="J2613" s="2">
        <v>1541</v>
      </c>
      <c r="K2613" s="2">
        <v>19</v>
      </c>
      <c r="L2613" s="2">
        <v>426</v>
      </c>
    </row>
    <row r="2614" spans="1:12" x14ac:dyDescent="0.25">
      <c r="A2614" s="4" t="str">
        <f>HYPERLINK("http://www.rosaceae.org/Prunus/Prunus_persica/p.persica_gdr_reftransV1_0008887","p.persica_gdr_reftransV1_0008887")</f>
        <v>p.persica_gdr_reftransV1_0008887</v>
      </c>
      <c r="B2614" s="2">
        <v>605</v>
      </c>
      <c r="C2614" s="4" t="str">
        <f>HYPERLINK("http://www.uniprot.org/uniprot/M5WTI3","M5WTI3")</f>
        <v>M5WTI3</v>
      </c>
      <c r="D2614" s="2" t="s">
        <v>2510</v>
      </c>
      <c r="E2614" s="3">
        <v>1.4000000000000001E-141</v>
      </c>
      <c r="F2614" s="2">
        <v>1059</v>
      </c>
      <c r="G2614" s="2">
        <v>100</v>
      </c>
      <c r="H2614" s="2">
        <v>201</v>
      </c>
      <c r="I2614" s="2">
        <v>1</v>
      </c>
      <c r="J2614" s="2">
        <v>603</v>
      </c>
      <c r="K2614" s="2">
        <v>19</v>
      </c>
      <c r="L2614" s="2">
        <v>219</v>
      </c>
    </row>
    <row r="2615" spans="1:12" x14ac:dyDescent="0.25">
      <c r="A2615" s="4" t="str">
        <f>HYPERLINK("http://www.rosaceae.org/Prunus/Prunus_persica/p.persica_gdr_reftransV1_0009237","p.persica_gdr_reftransV1_0009237")</f>
        <v>p.persica_gdr_reftransV1_0009237</v>
      </c>
      <c r="B2615" s="2">
        <v>4072</v>
      </c>
      <c r="C2615" s="4" t="str">
        <f>HYPERLINK("http://www.uniprot.org/uniprot/M5XMQ8","M5XMQ8")</f>
        <v>M5XMQ8</v>
      </c>
      <c r="D2615" s="2" t="s">
        <v>2511</v>
      </c>
      <c r="E2615" s="3">
        <v>0</v>
      </c>
      <c r="F2615" s="2">
        <v>5067</v>
      </c>
      <c r="G2615" s="2">
        <v>100</v>
      </c>
      <c r="H2615" s="2">
        <v>1033</v>
      </c>
      <c r="I2615" s="2">
        <v>178</v>
      </c>
      <c r="J2615" s="2">
        <v>3276</v>
      </c>
      <c r="K2615" s="2">
        <v>1</v>
      </c>
      <c r="L2615" s="2">
        <v>1033</v>
      </c>
    </row>
    <row r="2616" spans="1:12" x14ac:dyDescent="0.25">
      <c r="A2616" s="4" t="str">
        <f>HYPERLINK("http://www.rosaceae.org/Prunus/Prunus_persica/p.persica_gdr_reftransV1_0009587","p.persica_gdr_reftransV1_0009587")</f>
        <v>p.persica_gdr_reftransV1_0009587</v>
      </c>
      <c r="B2616" s="2">
        <v>3085</v>
      </c>
      <c r="C2616" s="4" t="str">
        <f>HYPERLINK("http://www.uniprot.org/uniprot/M5XRN7","M5XRN7")</f>
        <v>M5XRN7</v>
      </c>
      <c r="D2616" s="2" t="s">
        <v>2512</v>
      </c>
      <c r="E2616" s="3">
        <v>0</v>
      </c>
      <c r="F2616" s="2">
        <v>4053</v>
      </c>
      <c r="G2616" s="2">
        <v>100</v>
      </c>
      <c r="H2616" s="2">
        <v>826</v>
      </c>
      <c r="I2616" s="2">
        <v>272</v>
      </c>
      <c r="J2616" s="2">
        <v>2749</v>
      </c>
      <c r="K2616" s="2">
        <v>18</v>
      </c>
      <c r="L2616" s="2">
        <v>843</v>
      </c>
    </row>
    <row r="2617" spans="1:12" x14ac:dyDescent="0.25">
      <c r="A2617" s="4" t="str">
        <f>HYPERLINK("http://www.rosaceae.org/Prunus/Prunus_persica/p.persica_gdr_reftransV1_0009937","p.persica_gdr_reftransV1_0009937")</f>
        <v>p.persica_gdr_reftransV1_0009937</v>
      </c>
      <c r="B2617" s="2">
        <v>572</v>
      </c>
      <c r="C2617" s="4" t="str">
        <f>HYPERLINK("http://www.uniprot.org/uniprot/M5VRL2","M5VRL2")</f>
        <v>M5VRL2</v>
      </c>
      <c r="D2617" s="2" t="s">
        <v>2513</v>
      </c>
      <c r="E2617" s="3">
        <v>9.9900000000000003E-53</v>
      </c>
      <c r="F2617" s="2">
        <v>446</v>
      </c>
      <c r="G2617" s="2">
        <v>100</v>
      </c>
      <c r="H2617" s="2">
        <v>114</v>
      </c>
      <c r="I2617" s="2">
        <v>201</v>
      </c>
      <c r="J2617" s="2">
        <v>542</v>
      </c>
      <c r="K2617" s="2">
        <v>1</v>
      </c>
      <c r="L2617" s="2">
        <v>114</v>
      </c>
    </row>
    <row r="2618" spans="1:12" x14ac:dyDescent="0.25">
      <c r="A2618" s="4" t="str">
        <f>HYPERLINK("http://www.rosaceae.org/Prunus/Prunus_persica/p.persica_gdr_reftransV1_0010287","p.persica_gdr_reftransV1_0010287")</f>
        <v>p.persica_gdr_reftransV1_0010287</v>
      </c>
      <c r="B2618" s="2">
        <v>5245</v>
      </c>
      <c r="C2618" s="4" t="str">
        <f>HYPERLINK("http://www.uniprot.org/uniprot/M5XQP9","M5XQP9")</f>
        <v>M5XQP9</v>
      </c>
      <c r="D2618" s="2" t="s">
        <v>2514</v>
      </c>
      <c r="E2618" s="3">
        <v>0</v>
      </c>
      <c r="F2618" s="2">
        <v>7342</v>
      </c>
      <c r="G2618" s="2">
        <v>100</v>
      </c>
      <c r="H2618" s="2">
        <v>1490</v>
      </c>
      <c r="I2618" s="2">
        <v>181</v>
      </c>
      <c r="J2618" s="2">
        <v>4650</v>
      </c>
      <c r="K2618" s="2">
        <v>1</v>
      </c>
      <c r="L2618" s="2">
        <v>1490</v>
      </c>
    </row>
    <row r="2619" spans="1:12" x14ac:dyDescent="0.25">
      <c r="A2619" s="4" t="str">
        <f>HYPERLINK("http://www.rosaceae.org/Prunus/Prunus_persica/p.persica_gdr_reftransV1_0010637","p.persica_gdr_reftransV1_0010637")</f>
        <v>p.persica_gdr_reftransV1_0010637</v>
      </c>
      <c r="B2619" s="2">
        <v>2165</v>
      </c>
      <c r="C2619" s="4" t="str">
        <f>HYPERLINK("http://www.uniprot.org/uniprot/M5W196","M5W196")</f>
        <v>M5W196</v>
      </c>
      <c r="D2619" s="2" t="s">
        <v>2515</v>
      </c>
      <c r="E2619" s="3">
        <v>1.6E-164</v>
      </c>
      <c r="F2619" s="2">
        <v>1264</v>
      </c>
      <c r="G2619" s="2">
        <v>100</v>
      </c>
      <c r="H2619" s="2">
        <v>279</v>
      </c>
      <c r="I2619" s="2">
        <v>1014</v>
      </c>
      <c r="J2619" s="2">
        <v>1850</v>
      </c>
      <c r="K2619" s="2">
        <v>107</v>
      </c>
      <c r="L2619" s="2">
        <v>385</v>
      </c>
    </row>
    <row r="2620" spans="1:12" x14ac:dyDescent="0.25">
      <c r="A2620" s="4" t="str">
        <f>HYPERLINK("http://www.rosaceae.org/Prunus/Prunus_persica/p.persica_gdr_reftransV1_0011337","p.persica_gdr_reftransV1_0011337")</f>
        <v>p.persica_gdr_reftransV1_0011337</v>
      </c>
      <c r="B2620" s="2">
        <v>4596</v>
      </c>
      <c r="C2620" s="4" t="str">
        <f>HYPERLINK("http://www.uniprot.org/uniprot/M5WM37","M5WM37")</f>
        <v>M5WM37</v>
      </c>
      <c r="D2620" s="2" t="s">
        <v>2516</v>
      </c>
      <c r="E2620" s="3">
        <v>0</v>
      </c>
      <c r="F2620" s="2">
        <v>3309</v>
      </c>
      <c r="G2620" s="2">
        <v>100</v>
      </c>
      <c r="H2620" s="2">
        <v>761</v>
      </c>
      <c r="I2620" s="2">
        <v>265</v>
      </c>
      <c r="J2620" s="2">
        <v>2547</v>
      </c>
      <c r="K2620" s="2">
        <v>148</v>
      </c>
      <c r="L2620" s="2">
        <v>908</v>
      </c>
    </row>
    <row r="2621" spans="1:12" x14ac:dyDescent="0.25">
      <c r="A2621" s="4" t="str">
        <f>HYPERLINK("http://www.rosaceae.org/Prunus/Prunus_persica/p.persica_gdr_reftransV1_0013437","p.persica_gdr_reftransV1_0013437")</f>
        <v>p.persica_gdr_reftransV1_0013437</v>
      </c>
      <c r="B2621" s="2">
        <v>1658</v>
      </c>
      <c r="C2621" s="4" t="str">
        <f>HYPERLINK("http://www.uniprot.org/uniprot/M5WUU5","M5WUU5")</f>
        <v>M5WUU5</v>
      </c>
      <c r="D2621" s="2" t="s">
        <v>2517</v>
      </c>
      <c r="E2621" s="3">
        <v>0</v>
      </c>
      <c r="F2621" s="2">
        <v>1391</v>
      </c>
      <c r="G2621" s="2">
        <v>99</v>
      </c>
      <c r="H2621" s="2">
        <v>274</v>
      </c>
      <c r="I2621" s="2">
        <v>227</v>
      </c>
      <c r="J2621" s="2">
        <v>1048</v>
      </c>
      <c r="K2621" s="2">
        <v>1</v>
      </c>
      <c r="L2621" s="2">
        <v>274</v>
      </c>
    </row>
    <row r="2622" spans="1:12" x14ac:dyDescent="0.25">
      <c r="A2622" s="4" t="str">
        <f>HYPERLINK("http://www.rosaceae.org/Prunus/Prunus_persica/p.persica_gdr_reftransV1_0015887","p.persica_gdr_reftransV1_0015887")</f>
        <v>p.persica_gdr_reftransV1_0015887</v>
      </c>
      <c r="B2622" s="2">
        <v>1689</v>
      </c>
      <c r="C2622" s="4" t="str">
        <f>HYPERLINK("http://www.uniprot.org/uniprot/M5W317","M5W317")</f>
        <v>M5W317</v>
      </c>
      <c r="D2622" s="2" t="s">
        <v>2518</v>
      </c>
      <c r="E2622" s="3">
        <v>0</v>
      </c>
      <c r="F2622" s="2">
        <v>1406</v>
      </c>
      <c r="G2622" s="2">
        <v>97</v>
      </c>
      <c r="H2622" s="2">
        <v>366</v>
      </c>
      <c r="I2622" s="2">
        <v>379</v>
      </c>
      <c r="J2622" s="2">
        <v>1476</v>
      </c>
      <c r="K2622" s="2">
        <v>8</v>
      </c>
      <c r="L2622" s="2">
        <v>362</v>
      </c>
    </row>
    <row r="2623" spans="1:12" x14ac:dyDescent="0.25">
      <c r="A2623" s="4" t="str">
        <f>HYPERLINK("http://www.rosaceae.org/Prunus/Prunus_persica/p.persica_gdr_reftransV1_0016237","p.persica_gdr_reftransV1_0016237")</f>
        <v>p.persica_gdr_reftransV1_0016237</v>
      </c>
      <c r="B2623" s="2">
        <v>1519</v>
      </c>
      <c r="C2623" s="4" t="str">
        <f>HYPERLINK("http://www.uniprot.org/uniprot/M5XEU1","M5XEU1")</f>
        <v>M5XEU1</v>
      </c>
      <c r="D2623" s="2" t="s">
        <v>2519</v>
      </c>
      <c r="E2623" s="3">
        <v>0</v>
      </c>
      <c r="F2623" s="2">
        <v>1388</v>
      </c>
      <c r="G2623" s="2">
        <v>100</v>
      </c>
      <c r="H2623" s="2">
        <v>295</v>
      </c>
      <c r="I2623" s="2">
        <v>594</v>
      </c>
      <c r="J2623" s="2">
        <v>1478</v>
      </c>
      <c r="K2623" s="2">
        <v>1</v>
      </c>
      <c r="L2623" s="2">
        <v>295</v>
      </c>
    </row>
    <row r="2624" spans="1:12" x14ac:dyDescent="0.25">
      <c r="A2624" s="4" t="str">
        <f>HYPERLINK("http://www.rosaceae.org/Prunus/Prunus_persica/p.persica_gdr_reftransV1_0016937","p.persica_gdr_reftransV1_0016937")</f>
        <v>p.persica_gdr_reftransV1_0016937</v>
      </c>
      <c r="B2624" s="2">
        <v>1808</v>
      </c>
      <c r="C2624" s="4" t="str">
        <f>HYPERLINK("http://www.uniprot.org/uniprot/M5VM03","M5VM03")</f>
        <v>M5VM03</v>
      </c>
      <c r="D2624" s="2" t="s">
        <v>2520</v>
      </c>
      <c r="E2624" s="3">
        <v>0</v>
      </c>
      <c r="F2624" s="2">
        <v>2432</v>
      </c>
      <c r="G2624" s="2">
        <v>100</v>
      </c>
      <c r="H2624" s="2">
        <v>479</v>
      </c>
      <c r="I2624" s="2">
        <v>37</v>
      </c>
      <c r="J2624" s="2">
        <v>1473</v>
      </c>
      <c r="K2624" s="2">
        <v>1</v>
      </c>
      <c r="L2624" s="2">
        <v>479</v>
      </c>
    </row>
    <row r="2625" spans="1:12" x14ac:dyDescent="0.25">
      <c r="A2625" s="4" t="str">
        <f>HYPERLINK("http://www.rosaceae.org/Prunus/Prunus_persica/p.persica_gdr_reftransV1_0018687","p.persica_gdr_reftransV1_0018687")</f>
        <v>p.persica_gdr_reftransV1_0018687</v>
      </c>
      <c r="B2625" s="2">
        <v>688</v>
      </c>
      <c r="C2625" s="4" t="str">
        <f>HYPERLINK("http://www.uniprot.org/uniprot/M5VT69","M5VT69")</f>
        <v>M5VT69</v>
      </c>
      <c r="D2625" s="2" t="s">
        <v>2521</v>
      </c>
      <c r="E2625" s="3">
        <v>4.1499999999999998E-91</v>
      </c>
      <c r="F2625" s="2">
        <v>728</v>
      </c>
      <c r="G2625" s="2">
        <v>100</v>
      </c>
      <c r="H2625" s="2">
        <v>137</v>
      </c>
      <c r="I2625" s="2">
        <v>90</v>
      </c>
      <c r="J2625" s="2">
        <v>500</v>
      </c>
      <c r="K2625" s="2">
        <v>73</v>
      </c>
      <c r="L2625" s="2">
        <v>209</v>
      </c>
    </row>
    <row r="2626" spans="1:12" x14ac:dyDescent="0.25">
      <c r="A2626" s="4" t="str">
        <f>HYPERLINK("http://www.rosaceae.org/Prunus/Prunus_persica/p.persica_gdr_reftransV1_0019037","p.persica_gdr_reftransV1_0019037")</f>
        <v>p.persica_gdr_reftransV1_0019037</v>
      </c>
      <c r="B2626" s="2">
        <v>2588</v>
      </c>
      <c r="C2626" s="4" t="str">
        <f>HYPERLINK("http://www.uniprot.org/uniprot/M5VWL4","M5VWL4")</f>
        <v>M5VWL4</v>
      </c>
      <c r="D2626" s="2" t="s">
        <v>2522</v>
      </c>
      <c r="E2626" s="3">
        <v>0</v>
      </c>
      <c r="F2626" s="2">
        <v>3391</v>
      </c>
      <c r="G2626" s="2">
        <v>100</v>
      </c>
      <c r="H2626" s="2">
        <v>649</v>
      </c>
      <c r="I2626" s="2">
        <v>159</v>
      </c>
      <c r="J2626" s="2">
        <v>2105</v>
      </c>
      <c r="K2626" s="2">
        <v>1</v>
      </c>
      <c r="L2626" s="2">
        <v>649</v>
      </c>
    </row>
    <row r="2627" spans="1:12" x14ac:dyDescent="0.25">
      <c r="A2627" s="4" t="str">
        <f>HYPERLINK("http://www.rosaceae.org/Prunus/Prunus_persica/p.persica_gdr_reftransV1_0019737","p.persica_gdr_reftransV1_0019737")</f>
        <v>p.persica_gdr_reftransV1_0019737</v>
      </c>
      <c r="B2627" s="2">
        <v>1356</v>
      </c>
      <c r="C2627" s="4" t="str">
        <f>HYPERLINK("http://www.uniprot.org/uniprot/M5WFY3","M5WFY3")</f>
        <v>M5WFY3</v>
      </c>
      <c r="D2627" s="2" t="s">
        <v>2523</v>
      </c>
      <c r="E2627" s="3">
        <v>0</v>
      </c>
      <c r="F2627" s="2">
        <v>1733</v>
      </c>
      <c r="G2627" s="2">
        <v>100</v>
      </c>
      <c r="H2627" s="2">
        <v>382</v>
      </c>
      <c r="I2627" s="2">
        <v>103</v>
      </c>
      <c r="J2627" s="2">
        <v>1248</v>
      </c>
      <c r="K2627" s="2">
        <v>1</v>
      </c>
      <c r="L2627" s="2">
        <v>382</v>
      </c>
    </row>
    <row r="2628" spans="1:12" x14ac:dyDescent="0.25">
      <c r="A2628" s="4" t="str">
        <f>HYPERLINK("http://www.rosaceae.org/Prunus/Prunus_persica/p.persica_gdr_reftransV1_0020437","p.persica_gdr_reftransV1_0020437")</f>
        <v>p.persica_gdr_reftransV1_0020437</v>
      </c>
      <c r="B2628" s="2">
        <v>3254</v>
      </c>
      <c r="C2628" s="4" t="str">
        <f>HYPERLINK("http://www.uniprot.org/uniprot/M5WFE4","M5WFE4")</f>
        <v>M5WFE4</v>
      </c>
      <c r="D2628" s="2" t="s">
        <v>2524</v>
      </c>
      <c r="E2628" s="3">
        <v>0</v>
      </c>
      <c r="F2628" s="2">
        <v>3832</v>
      </c>
      <c r="G2628" s="2">
        <v>100</v>
      </c>
      <c r="H2628" s="2">
        <v>803</v>
      </c>
      <c r="I2628" s="2">
        <v>167</v>
      </c>
      <c r="J2628" s="2">
        <v>2575</v>
      </c>
      <c r="K2628" s="2">
        <v>1</v>
      </c>
      <c r="L2628" s="2">
        <v>803</v>
      </c>
    </row>
    <row r="2629" spans="1:12" x14ac:dyDescent="0.25">
      <c r="A2629" s="4" t="str">
        <f>HYPERLINK("http://www.rosaceae.org/Prunus/Prunus_persica/p.persica_gdr_reftransV1_0021137","p.persica_gdr_reftransV1_0021137")</f>
        <v>p.persica_gdr_reftransV1_0021137</v>
      </c>
      <c r="B2629" s="2">
        <v>1459</v>
      </c>
      <c r="C2629" s="4" t="str">
        <f>HYPERLINK("http://www.uniprot.org/uniprot/M5XFP6","M5XFP6")</f>
        <v>M5XFP6</v>
      </c>
      <c r="D2629" s="2" t="s">
        <v>2525</v>
      </c>
      <c r="E2629" s="3">
        <v>6.06E-82</v>
      </c>
      <c r="F2629" s="2">
        <v>679</v>
      </c>
      <c r="G2629" s="2">
        <v>100</v>
      </c>
      <c r="H2629" s="2">
        <v>129</v>
      </c>
      <c r="I2629" s="2">
        <v>559</v>
      </c>
      <c r="J2629" s="2">
        <v>945</v>
      </c>
      <c r="K2629" s="2">
        <v>112</v>
      </c>
      <c r="L2629" s="2">
        <v>240</v>
      </c>
    </row>
    <row r="2630" spans="1:12" x14ac:dyDescent="0.25">
      <c r="A2630" s="4" t="str">
        <f>HYPERLINK("http://www.rosaceae.org/Prunus/Prunus_persica/p.persica_gdr_reftransV1_0022187","p.persica_gdr_reftransV1_0022187")</f>
        <v>p.persica_gdr_reftransV1_0022187</v>
      </c>
      <c r="B2630" s="2">
        <v>3150</v>
      </c>
      <c r="C2630" s="4" t="str">
        <f>HYPERLINK("http://www.uniprot.org/uniprot/M5X3P9","M5X3P9")</f>
        <v>M5X3P9</v>
      </c>
      <c r="D2630" s="2" t="s">
        <v>2526</v>
      </c>
      <c r="E2630" s="3">
        <v>0</v>
      </c>
      <c r="F2630" s="2">
        <v>4410</v>
      </c>
      <c r="G2630" s="2">
        <v>100</v>
      </c>
      <c r="H2630" s="2">
        <v>954</v>
      </c>
      <c r="I2630" s="2">
        <v>73</v>
      </c>
      <c r="J2630" s="2">
        <v>2934</v>
      </c>
      <c r="K2630" s="2">
        <v>1</v>
      </c>
      <c r="L2630" s="2">
        <v>954</v>
      </c>
    </row>
    <row r="2631" spans="1:12" x14ac:dyDescent="0.25">
      <c r="A2631" s="4" t="str">
        <f>HYPERLINK("http://www.rosaceae.org/Prunus/Prunus_persica/p.persica_gdr_reftransV1_0023237","p.persica_gdr_reftransV1_0023237")</f>
        <v>p.persica_gdr_reftransV1_0023237</v>
      </c>
      <c r="B2631" s="2">
        <v>2812</v>
      </c>
      <c r="C2631" s="4" t="str">
        <f>HYPERLINK("http://www.uniprot.org/uniprot/M5WS53","M5WS53")</f>
        <v>M5WS53</v>
      </c>
      <c r="D2631" s="2" t="s">
        <v>2527</v>
      </c>
      <c r="E2631" s="3">
        <v>0</v>
      </c>
      <c r="F2631" s="2">
        <v>1427</v>
      </c>
      <c r="G2631" s="2">
        <v>87</v>
      </c>
      <c r="H2631" s="2">
        <v>308</v>
      </c>
      <c r="I2631" s="2">
        <v>906</v>
      </c>
      <c r="J2631" s="2">
        <v>1829</v>
      </c>
      <c r="K2631" s="2">
        <v>172</v>
      </c>
      <c r="L2631" s="2">
        <v>479</v>
      </c>
    </row>
    <row r="2632" spans="1:12" x14ac:dyDescent="0.25">
      <c r="A2632" s="4" t="str">
        <f>HYPERLINK("http://www.rosaceae.org/Prunus/Prunus_persica/p.persica_gdr_reftransV1_0023587","p.persica_gdr_reftransV1_0023587")</f>
        <v>p.persica_gdr_reftransV1_0023587</v>
      </c>
      <c r="B2632" s="2">
        <v>3973</v>
      </c>
      <c r="C2632" s="4" t="str">
        <f>HYPERLINK("http://www.uniprot.org/uniprot/M5W5Q0","M5W5Q0")</f>
        <v>M5W5Q0</v>
      </c>
      <c r="D2632" s="2" t="s">
        <v>2528</v>
      </c>
      <c r="E2632" s="3">
        <v>0</v>
      </c>
      <c r="F2632" s="2">
        <v>1856</v>
      </c>
      <c r="G2632" s="2">
        <v>100</v>
      </c>
      <c r="H2632" s="2">
        <v>362</v>
      </c>
      <c r="I2632" s="2">
        <v>1851</v>
      </c>
      <c r="J2632" s="2">
        <v>2936</v>
      </c>
      <c r="K2632" s="2">
        <v>72</v>
      </c>
      <c r="L2632" s="2">
        <v>433</v>
      </c>
    </row>
    <row r="2633" spans="1:12" x14ac:dyDescent="0.25">
      <c r="A2633" s="4" t="str">
        <f>HYPERLINK("http://www.rosaceae.org/Prunus/Prunus_persica/p.persica_gdr_reftransV1_0024287","p.persica_gdr_reftransV1_0024287")</f>
        <v>p.persica_gdr_reftransV1_0024287</v>
      </c>
      <c r="B2633" s="2">
        <v>535</v>
      </c>
      <c r="C2633" s="4" t="str">
        <f>HYPERLINK("http://www.uniprot.org/uniprot/M5WCE4","M5WCE4")</f>
        <v>M5WCE4</v>
      </c>
      <c r="D2633" s="2" t="s">
        <v>2529</v>
      </c>
      <c r="E2633" s="3">
        <v>4.1599999999999998E-109</v>
      </c>
      <c r="F2633" s="2">
        <v>845</v>
      </c>
      <c r="G2633" s="2">
        <v>100</v>
      </c>
      <c r="H2633" s="2">
        <v>177</v>
      </c>
      <c r="I2633" s="2">
        <v>3</v>
      </c>
      <c r="J2633" s="2">
        <v>533</v>
      </c>
      <c r="K2633" s="2">
        <v>91</v>
      </c>
      <c r="L2633" s="2">
        <v>267</v>
      </c>
    </row>
    <row r="2634" spans="1:12" x14ac:dyDescent="0.25">
      <c r="A2634" s="4" t="str">
        <f>HYPERLINK("http://www.rosaceae.org/Prunus/Prunus_persica/p.persica_gdr_reftransV1_0024987","p.persica_gdr_reftransV1_0024987")</f>
        <v>p.persica_gdr_reftransV1_0024987</v>
      </c>
      <c r="B2634" s="2">
        <v>1856</v>
      </c>
      <c r="C2634" s="4" t="str">
        <f>HYPERLINK("http://www.uniprot.org/uniprot/M5X0P4","M5X0P4")</f>
        <v>M5X0P4</v>
      </c>
      <c r="D2634" s="2" t="s">
        <v>2530</v>
      </c>
      <c r="E2634" s="3">
        <v>0</v>
      </c>
      <c r="F2634" s="2">
        <v>2055</v>
      </c>
      <c r="G2634" s="2">
        <v>100</v>
      </c>
      <c r="H2634" s="2">
        <v>381</v>
      </c>
      <c r="I2634" s="2">
        <v>416</v>
      </c>
      <c r="J2634" s="2">
        <v>1558</v>
      </c>
      <c r="K2634" s="2">
        <v>1</v>
      </c>
      <c r="L2634" s="2">
        <v>381</v>
      </c>
    </row>
    <row r="2635" spans="1:12" x14ac:dyDescent="0.25">
      <c r="A2635" s="4" t="str">
        <f>HYPERLINK("http://www.rosaceae.org/Prunus/Prunus_persica/p.persica_gdr_reftransV1_0025337","p.persica_gdr_reftransV1_0025337")</f>
        <v>p.persica_gdr_reftransV1_0025337</v>
      </c>
      <c r="B2635" s="2">
        <v>2009</v>
      </c>
      <c r="C2635" s="4" t="str">
        <f>HYPERLINK("http://www.uniprot.org/uniprot/M5VKH1","M5VKH1")</f>
        <v>M5VKH1</v>
      </c>
      <c r="D2635" s="2" t="s">
        <v>2531</v>
      </c>
      <c r="E2635" s="3">
        <v>0</v>
      </c>
      <c r="F2635" s="2">
        <v>1466</v>
      </c>
      <c r="G2635" s="2">
        <v>100</v>
      </c>
      <c r="H2635" s="2">
        <v>317</v>
      </c>
      <c r="I2635" s="2">
        <v>891</v>
      </c>
      <c r="J2635" s="2">
        <v>1841</v>
      </c>
      <c r="K2635" s="2">
        <v>1</v>
      </c>
      <c r="L2635" s="2">
        <v>317</v>
      </c>
    </row>
    <row r="2636" spans="1:12" x14ac:dyDescent="0.25">
      <c r="A2636" s="4" t="str">
        <f>HYPERLINK("http://www.rosaceae.org/Prunus/Prunus_persica/p.persica_gdr_reftransV1_0025687","p.persica_gdr_reftransV1_0025687")</f>
        <v>p.persica_gdr_reftransV1_0025687</v>
      </c>
      <c r="B2636" s="2">
        <v>3126</v>
      </c>
      <c r="C2636" s="4" t="str">
        <f>HYPERLINK("http://www.uniprot.org/uniprot/M5X0R6","M5X0R6")</f>
        <v>M5X0R6</v>
      </c>
      <c r="D2636" s="2" t="s">
        <v>2532</v>
      </c>
      <c r="E2636" s="3">
        <v>2.24E-92</v>
      </c>
      <c r="F2636" s="2">
        <v>795</v>
      </c>
      <c r="G2636" s="2">
        <v>100</v>
      </c>
      <c r="H2636" s="2">
        <v>169</v>
      </c>
      <c r="I2636" s="2">
        <v>2463</v>
      </c>
      <c r="J2636" s="2">
        <v>2969</v>
      </c>
      <c r="K2636" s="2">
        <v>1</v>
      </c>
      <c r="L2636" s="2">
        <v>169</v>
      </c>
    </row>
    <row r="2637" spans="1:12" x14ac:dyDescent="0.25">
      <c r="A2637" s="4" t="str">
        <f>HYPERLINK("http://www.rosaceae.org/Prunus/Prunus_persica/p.persica_gdr_reftransV1_0028137","p.persica_gdr_reftransV1_0028137")</f>
        <v>p.persica_gdr_reftransV1_0028137</v>
      </c>
      <c r="B2637" s="2">
        <v>3563</v>
      </c>
      <c r="C2637" s="4" t="str">
        <f>HYPERLINK("http://www.uniprot.org/uniprot/M5WE41","M5WE41")</f>
        <v>M5WE41</v>
      </c>
      <c r="D2637" s="2" t="s">
        <v>2533</v>
      </c>
      <c r="E2637" s="3">
        <v>0</v>
      </c>
      <c r="F2637" s="2">
        <v>4233</v>
      </c>
      <c r="G2637" s="2">
        <v>100</v>
      </c>
      <c r="H2637" s="2">
        <v>861</v>
      </c>
      <c r="I2637" s="2">
        <v>714</v>
      </c>
      <c r="J2637" s="2">
        <v>3296</v>
      </c>
      <c r="K2637" s="2">
        <v>1</v>
      </c>
      <c r="L2637" s="2">
        <v>861</v>
      </c>
    </row>
    <row r="2638" spans="1:12" x14ac:dyDescent="0.25">
      <c r="A2638" s="4" t="str">
        <f>HYPERLINK("http://www.rosaceae.org/Prunus/Prunus_persica/p.persica_gdr_reftransV1_0029537","p.persica_gdr_reftransV1_0029537")</f>
        <v>p.persica_gdr_reftransV1_0029537</v>
      </c>
      <c r="B2638" s="2">
        <v>1878</v>
      </c>
      <c r="C2638" s="4" t="str">
        <f>HYPERLINK("http://www.uniprot.org/uniprot/M5WV86","M5WV86")</f>
        <v>M5WV86</v>
      </c>
      <c r="D2638" s="2" t="s">
        <v>2534</v>
      </c>
      <c r="E2638" s="3">
        <v>1.0400000000000001E-152</v>
      </c>
      <c r="F2638" s="2">
        <v>1163</v>
      </c>
      <c r="G2638" s="2">
        <v>100</v>
      </c>
      <c r="H2638" s="2">
        <v>254</v>
      </c>
      <c r="I2638" s="2">
        <v>160</v>
      </c>
      <c r="J2638" s="2">
        <v>921</v>
      </c>
      <c r="K2638" s="2">
        <v>1</v>
      </c>
      <c r="L2638" s="2">
        <v>254</v>
      </c>
    </row>
    <row r="2639" spans="1:12" x14ac:dyDescent="0.25">
      <c r="A2639" s="4" t="str">
        <f>HYPERLINK("http://www.rosaceae.org/Prunus/Prunus_persica/p.persica_gdr_reftransV1_0030237","p.persica_gdr_reftransV1_0030237")</f>
        <v>p.persica_gdr_reftransV1_0030237</v>
      </c>
      <c r="B2639" s="2">
        <v>3007</v>
      </c>
      <c r="C2639" s="4" t="str">
        <f>HYPERLINK("http://www.uniprot.org/uniprot/M5XLV5","M5XLV5")</f>
        <v>M5XLV5</v>
      </c>
      <c r="D2639" s="2" t="s">
        <v>2535</v>
      </c>
      <c r="E2639" s="3">
        <v>0</v>
      </c>
      <c r="F2639" s="2">
        <v>2370</v>
      </c>
      <c r="G2639" s="2">
        <v>100</v>
      </c>
      <c r="H2639" s="2">
        <v>458</v>
      </c>
      <c r="I2639" s="2">
        <v>89</v>
      </c>
      <c r="J2639" s="2">
        <v>1462</v>
      </c>
      <c r="K2639" s="2">
        <v>1</v>
      </c>
      <c r="L2639" s="2">
        <v>458</v>
      </c>
    </row>
    <row r="2640" spans="1:12" x14ac:dyDescent="0.25">
      <c r="A2640" s="4" t="str">
        <f>HYPERLINK("http://www.rosaceae.org/Prunus/Prunus_persica/p.persica_gdr_reftransV1_0030587","p.persica_gdr_reftransV1_0030587")</f>
        <v>p.persica_gdr_reftransV1_0030587</v>
      </c>
      <c r="B2640" s="2">
        <v>1006</v>
      </c>
      <c r="C2640" s="4" t="str">
        <f>HYPERLINK("http://www.uniprot.org/uniprot/M5WHL9","M5WHL9")</f>
        <v>M5WHL9</v>
      </c>
      <c r="D2640" s="2" t="s">
        <v>2536</v>
      </c>
      <c r="E2640" s="3">
        <v>6.1899999999999995E-128</v>
      </c>
      <c r="F2640" s="2">
        <v>967</v>
      </c>
      <c r="G2640" s="2">
        <v>100</v>
      </c>
      <c r="H2640" s="2">
        <v>220</v>
      </c>
      <c r="I2640" s="2">
        <v>163</v>
      </c>
      <c r="J2640" s="2">
        <v>822</v>
      </c>
      <c r="K2640" s="2">
        <v>1</v>
      </c>
      <c r="L2640" s="2">
        <v>220</v>
      </c>
    </row>
    <row r="2641" spans="1:12" x14ac:dyDescent="0.25">
      <c r="A2641" s="4" t="str">
        <f>HYPERLINK("http://www.rosaceae.org/Prunus/Prunus_persica/p.persica_gdr_reftransV1_0031287","p.persica_gdr_reftransV1_0031287")</f>
        <v>p.persica_gdr_reftransV1_0031287</v>
      </c>
      <c r="B2641" s="2">
        <v>4263</v>
      </c>
      <c r="C2641" s="4" t="str">
        <f>HYPERLINK("http://www.uniprot.org/uniprot/M5XAV8","M5XAV8")</f>
        <v>M5XAV8</v>
      </c>
      <c r="D2641" s="2" t="s">
        <v>2537</v>
      </c>
      <c r="E2641" s="3">
        <v>0</v>
      </c>
      <c r="F2641" s="2">
        <v>1724</v>
      </c>
      <c r="G2641" s="2">
        <v>99</v>
      </c>
      <c r="H2641" s="2">
        <v>339</v>
      </c>
      <c r="I2641" s="2">
        <v>274</v>
      </c>
      <c r="J2641" s="2">
        <v>1290</v>
      </c>
      <c r="K2641" s="2">
        <v>1</v>
      </c>
      <c r="L2641" s="2">
        <v>339</v>
      </c>
    </row>
    <row r="2642" spans="1:12" x14ac:dyDescent="0.25">
      <c r="A2642" s="4" t="str">
        <f>HYPERLINK("http://www.rosaceae.org/Prunus/Prunus_persica/p.persica_gdr_reftransV1_0034437","p.persica_gdr_reftransV1_0034437")</f>
        <v>p.persica_gdr_reftransV1_0034437</v>
      </c>
      <c r="B2642" s="2">
        <v>2952</v>
      </c>
      <c r="C2642" s="4" t="str">
        <f>HYPERLINK("http://www.uniprot.org/uniprot/M5WA46","M5WA46")</f>
        <v>M5WA46</v>
      </c>
      <c r="D2642" s="2" t="s">
        <v>2538</v>
      </c>
      <c r="E2642" s="3">
        <v>1.0900000000000001E-85</v>
      </c>
      <c r="F2642" s="2">
        <v>735</v>
      </c>
      <c r="G2642" s="2">
        <v>100</v>
      </c>
      <c r="H2642" s="2">
        <v>191</v>
      </c>
      <c r="I2642" s="2">
        <v>86</v>
      </c>
      <c r="J2642" s="2">
        <v>658</v>
      </c>
      <c r="K2642" s="2">
        <v>13</v>
      </c>
      <c r="L2642" s="2">
        <v>203</v>
      </c>
    </row>
    <row r="2643" spans="1:12" x14ac:dyDescent="0.25">
      <c r="A2643" s="4" t="str">
        <f>HYPERLINK("http://www.rosaceae.org/Prunus/Prunus_persica/p.persica_gdr_reftransV1_0035487","p.persica_gdr_reftransV1_0035487")</f>
        <v>p.persica_gdr_reftransV1_0035487</v>
      </c>
      <c r="B2643" s="2">
        <v>4567</v>
      </c>
      <c r="C2643" s="4" t="str">
        <f>HYPERLINK("http://www.uniprot.org/uniprot/M5WHB3","M5WHB3")</f>
        <v>M5WHB3</v>
      </c>
      <c r="D2643" s="2" t="s">
        <v>2539</v>
      </c>
      <c r="E2643" s="3">
        <v>0</v>
      </c>
      <c r="F2643" s="2">
        <v>2082</v>
      </c>
      <c r="G2643" s="2">
        <v>100</v>
      </c>
      <c r="H2643" s="2">
        <v>399</v>
      </c>
      <c r="I2643" s="2">
        <v>3098</v>
      </c>
      <c r="J2643" s="2">
        <v>4294</v>
      </c>
      <c r="K2643" s="2">
        <v>276</v>
      </c>
      <c r="L2643" s="2">
        <v>674</v>
      </c>
    </row>
    <row r="2644" spans="1:12" x14ac:dyDescent="0.25">
      <c r="A2644" s="4" t="str">
        <f>HYPERLINK("http://www.rosaceae.org/Prunus/Prunus_persica/p.persica_gdr_reftransV1_0037937","p.persica_gdr_reftransV1_0037937")</f>
        <v>p.persica_gdr_reftransV1_0037937</v>
      </c>
      <c r="B2644" s="2">
        <v>1716</v>
      </c>
      <c r="C2644" s="4" t="str">
        <f>HYPERLINK("http://www.uniprot.org/uniprot/M5VYJ3","M5VYJ3")</f>
        <v>M5VYJ3</v>
      </c>
      <c r="D2644" s="2" t="s">
        <v>2540</v>
      </c>
      <c r="E2644" s="3">
        <v>0</v>
      </c>
      <c r="F2644" s="2">
        <v>1378</v>
      </c>
      <c r="G2644" s="2">
        <v>100</v>
      </c>
      <c r="H2644" s="2">
        <v>384</v>
      </c>
      <c r="I2644" s="2">
        <v>322</v>
      </c>
      <c r="J2644" s="2">
        <v>1473</v>
      </c>
      <c r="K2644" s="2">
        <v>16</v>
      </c>
      <c r="L2644" s="2">
        <v>399</v>
      </c>
    </row>
    <row r="2645" spans="1:12" x14ac:dyDescent="0.25">
      <c r="A2645" s="4" t="str">
        <f>HYPERLINK("http://www.rosaceae.org/Prunus/Prunus_persica/p.persica_gdr_reftransV1_0038637","p.persica_gdr_reftransV1_0038637")</f>
        <v>p.persica_gdr_reftransV1_0038637</v>
      </c>
      <c r="B2645" s="2">
        <v>4236</v>
      </c>
      <c r="C2645" s="4" t="str">
        <f>HYPERLINK("http://www.uniprot.org/uniprot/M5XQZ7","M5XQZ7")</f>
        <v>M5XQZ7</v>
      </c>
      <c r="D2645" s="2" t="s">
        <v>2541</v>
      </c>
      <c r="E2645" s="3">
        <v>0</v>
      </c>
      <c r="F2645" s="2">
        <v>3313</v>
      </c>
      <c r="G2645" s="2">
        <v>99</v>
      </c>
      <c r="H2645" s="2">
        <v>698</v>
      </c>
      <c r="I2645" s="2">
        <v>1458</v>
      </c>
      <c r="J2645" s="2">
        <v>3551</v>
      </c>
      <c r="K2645" s="2">
        <v>8</v>
      </c>
      <c r="L2645" s="2">
        <v>705</v>
      </c>
    </row>
    <row r="2646" spans="1:12" x14ac:dyDescent="0.25">
      <c r="A2646" s="4" t="str">
        <f>HYPERLINK("http://www.rosaceae.org/Prunus/Prunus_persica/p.persica_gdr_reftransV1_0039337","p.persica_gdr_reftransV1_0039337")</f>
        <v>p.persica_gdr_reftransV1_0039337</v>
      </c>
      <c r="B2646" s="2">
        <v>3418</v>
      </c>
      <c r="C2646" s="4" t="str">
        <f>HYPERLINK("http://www.uniprot.org/uniprot/M5WRA9","M5WRA9")</f>
        <v>M5WRA9</v>
      </c>
      <c r="D2646" s="2" t="s">
        <v>2542</v>
      </c>
      <c r="E2646" s="3">
        <v>0</v>
      </c>
      <c r="F2646" s="2">
        <v>5044</v>
      </c>
      <c r="G2646" s="2">
        <v>97</v>
      </c>
      <c r="H2646" s="2">
        <v>971</v>
      </c>
      <c r="I2646" s="2">
        <v>506</v>
      </c>
      <c r="J2646" s="2">
        <v>3418</v>
      </c>
      <c r="K2646" s="2">
        <v>184</v>
      </c>
      <c r="L2646" s="2">
        <v>1123</v>
      </c>
    </row>
    <row r="2647" spans="1:12" x14ac:dyDescent="0.25">
      <c r="A2647" s="4" t="str">
        <f>HYPERLINK("http://www.rosaceae.org/Prunus/Prunus_persica/p.persica_gdr_reftransV1_0039687","p.persica_gdr_reftransV1_0039687")</f>
        <v>p.persica_gdr_reftransV1_0039687</v>
      </c>
      <c r="B2647" s="2">
        <v>1998</v>
      </c>
      <c r="C2647" s="4" t="str">
        <f>HYPERLINK("http://www.uniprot.org/uniprot/M5VJM8","M5VJM8")</f>
        <v>M5VJM8</v>
      </c>
      <c r="D2647" s="2" t="s">
        <v>2543</v>
      </c>
      <c r="E2647" s="3">
        <v>0</v>
      </c>
      <c r="F2647" s="2">
        <v>1284</v>
      </c>
      <c r="G2647" s="2">
        <v>85</v>
      </c>
      <c r="H2647" s="2">
        <v>309</v>
      </c>
      <c r="I2647" s="2">
        <v>772</v>
      </c>
      <c r="J2647" s="2">
        <v>1698</v>
      </c>
      <c r="K2647" s="2">
        <v>237</v>
      </c>
      <c r="L2647" s="2">
        <v>501</v>
      </c>
    </row>
    <row r="2648" spans="1:12" x14ac:dyDescent="0.25">
      <c r="A2648" s="4" t="str">
        <f>HYPERLINK("http://www.rosaceae.org/Prunus/Prunus_persica/p.persica_gdr_reftransV1_0041087","p.persica_gdr_reftransV1_0041087")</f>
        <v>p.persica_gdr_reftransV1_0041087</v>
      </c>
      <c r="B2648" s="2">
        <v>3006</v>
      </c>
      <c r="C2648" s="4" t="str">
        <f>HYPERLINK("http://www.uniprot.org/uniprot/M5WFK3","M5WFK3")</f>
        <v>M5WFK3</v>
      </c>
      <c r="D2648" s="2" t="s">
        <v>2544</v>
      </c>
      <c r="E2648" s="3">
        <v>0</v>
      </c>
      <c r="F2648" s="2">
        <v>3282</v>
      </c>
      <c r="G2648" s="2">
        <v>100</v>
      </c>
      <c r="H2648" s="2">
        <v>631</v>
      </c>
      <c r="I2648" s="2">
        <v>831</v>
      </c>
      <c r="J2648" s="2">
        <v>2723</v>
      </c>
      <c r="K2648" s="2">
        <v>101</v>
      </c>
      <c r="L2648" s="2">
        <v>731</v>
      </c>
    </row>
    <row r="2649" spans="1:12" x14ac:dyDescent="0.25">
      <c r="A2649" s="4" t="str">
        <f>HYPERLINK("http://www.rosaceae.org/Prunus/Prunus_persica/p.persica_gdr_reftransV1_0043187","p.persica_gdr_reftransV1_0043187")</f>
        <v>p.persica_gdr_reftransV1_0043187</v>
      </c>
      <c r="B2649" s="2">
        <v>980</v>
      </c>
      <c r="C2649" s="4" t="str">
        <f>HYPERLINK("http://www.uniprot.org/uniprot/M5X7K8","M5X7K8")</f>
        <v>M5X7K8</v>
      </c>
      <c r="D2649" s="2" t="s">
        <v>2545</v>
      </c>
      <c r="E2649" s="3">
        <v>6.79E-141</v>
      </c>
      <c r="F2649" s="2">
        <v>1054</v>
      </c>
      <c r="G2649" s="2">
        <v>100</v>
      </c>
      <c r="H2649" s="2">
        <v>239</v>
      </c>
      <c r="I2649" s="2">
        <v>73</v>
      </c>
      <c r="J2649" s="2">
        <v>789</v>
      </c>
      <c r="K2649" s="2">
        <v>1</v>
      </c>
      <c r="L2649" s="2">
        <v>239</v>
      </c>
    </row>
    <row r="2650" spans="1:12" x14ac:dyDescent="0.25">
      <c r="A2650" s="4" t="str">
        <f>HYPERLINK("http://www.rosaceae.org/Prunus/Prunus_persica/p.persica_gdr_reftransV1_0043537","p.persica_gdr_reftransV1_0043537")</f>
        <v>p.persica_gdr_reftransV1_0043537</v>
      </c>
      <c r="B2650" s="2">
        <v>404</v>
      </c>
      <c r="C2650" s="4" t="str">
        <f>HYPERLINK("http://www.uniprot.org/uniprot/M5WFK8","M5WFK8")</f>
        <v>M5WFK8</v>
      </c>
      <c r="D2650" s="2" t="s">
        <v>2546</v>
      </c>
      <c r="E2650" s="3">
        <v>1.0699999999999999E-75</v>
      </c>
      <c r="F2650" s="2">
        <v>637</v>
      </c>
      <c r="G2650" s="2">
        <v>100</v>
      </c>
      <c r="H2650" s="2">
        <v>134</v>
      </c>
      <c r="I2650" s="2">
        <v>1</v>
      </c>
      <c r="J2650" s="2">
        <v>402</v>
      </c>
      <c r="K2650" s="2">
        <v>51</v>
      </c>
      <c r="L2650" s="2">
        <v>184</v>
      </c>
    </row>
    <row r="2651" spans="1:12" x14ac:dyDescent="0.25">
      <c r="A2651" s="4" t="str">
        <f>HYPERLINK("http://www.rosaceae.org/Prunus/Prunus_persica/p.persica_gdr_reftransV1_0043887","p.persica_gdr_reftransV1_0043887")</f>
        <v>p.persica_gdr_reftransV1_0043887</v>
      </c>
      <c r="B2651" s="2">
        <v>841</v>
      </c>
      <c r="C2651" s="4" t="str">
        <f>HYPERLINK("http://www.uniprot.org/uniprot/M5WI47","M5WI47")</f>
        <v>M5WI47</v>
      </c>
      <c r="D2651" s="2" t="s">
        <v>2547</v>
      </c>
      <c r="E2651" s="3">
        <v>3.47E-102</v>
      </c>
      <c r="F2651" s="2">
        <v>784</v>
      </c>
      <c r="G2651" s="2">
        <v>100</v>
      </c>
      <c r="H2651" s="2">
        <v>147</v>
      </c>
      <c r="I2651" s="2">
        <v>213</v>
      </c>
      <c r="J2651" s="2">
        <v>653</v>
      </c>
      <c r="K2651" s="2">
        <v>1</v>
      </c>
      <c r="L2651" s="2">
        <v>147</v>
      </c>
    </row>
    <row r="2652" spans="1:12" x14ac:dyDescent="0.25">
      <c r="A2652" s="4" t="str">
        <f>HYPERLINK("http://www.rosaceae.org/Prunus/Prunus_persica/p.persica_gdr_reftransV1_0044237","p.persica_gdr_reftransV1_0044237")</f>
        <v>p.persica_gdr_reftransV1_0044237</v>
      </c>
      <c r="B2652" s="2">
        <v>2492</v>
      </c>
      <c r="C2652" s="4" t="str">
        <f>HYPERLINK("http://www.uniprot.org/uniprot/M5XRL8","M5XRL8")</f>
        <v>M5XRL8</v>
      </c>
      <c r="D2652" s="2" t="s">
        <v>2548</v>
      </c>
      <c r="E2652" s="3">
        <v>0</v>
      </c>
      <c r="F2652" s="2">
        <v>1904</v>
      </c>
      <c r="G2652" s="2">
        <v>100</v>
      </c>
      <c r="H2652" s="2">
        <v>392</v>
      </c>
      <c r="I2652" s="2">
        <v>1251</v>
      </c>
      <c r="J2652" s="2">
        <v>2426</v>
      </c>
      <c r="K2652" s="2">
        <v>1</v>
      </c>
      <c r="L2652" s="2">
        <v>392</v>
      </c>
    </row>
    <row r="2653" spans="1:12" x14ac:dyDescent="0.25">
      <c r="A2653" s="4" t="str">
        <f>HYPERLINK("http://www.rosaceae.org/Prunus/Prunus_persica/p.persica_gdr_reftransV1_0044937","p.persica_gdr_reftransV1_0044937")</f>
        <v>p.persica_gdr_reftransV1_0044937</v>
      </c>
      <c r="B2653" s="2">
        <v>719</v>
      </c>
      <c r="C2653" s="4" t="str">
        <f>HYPERLINK("http://www.uniprot.org/uniprot/M5Y5E6","M5Y5E6")</f>
        <v>M5Y5E6</v>
      </c>
      <c r="D2653" s="2" t="s">
        <v>2549</v>
      </c>
      <c r="E2653" s="3">
        <v>1.0299999999999999E-71</v>
      </c>
      <c r="F2653" s="2">
        <v>575</v>
      </c>
      <c r="G2653" s="2">
        <v>98</v>
      </c>
      <c r="H2653" s="2">
        <v>112</v>
      </c>
      <c r="I2653" s="2">
        <v>88</v>
      </c>
      <c r="J2653" s="2">
        <v>423</v>
      </c>
      <c r="K2653" s="2">
        <v>1</v>
      </c>
      <c r="L2653" s="2">
        <v>112</v>
      </c>
    </row>
    <row r="2654" spans="1:12" x14ac:dyDescent="0.25">
      <c r="A2654" s="4" t="str">
        <f>HYPERLINK("http://www.rosaceae.org/Prunus/Prunus_persica/p.persica_gdr_reftransV1_0045287","p.persica_gdr_reftransV1_0045287")</f>
        <v>p.persica_gdr_reftransV1_0045287</v>
      </c>
      <c r="B2654" s="2">
        <v>2834</v>
      </c>
      <c r="C2654" s="4" t="str">
        <f>HYPERLINK("http://www.uniprot.org/uniprot/M5XA51","M5XA51")</f>
        <v>M5XA51</v>
      </c>
      <c r="D2654" s="2" t="s">
        <v>2550</v>
      </c>
      <c r="E2654" s="3">
        <v>0</v>
      </c>
      <c r="F2654" s="2">
        <v>1984</v>
      </c>
      <c r="G2654" s="2">
        <v>91</v>
      </c>
      <c r="H2654" s="2">
        <v>421</v>
      </c>
      <c r="I2654" s="2">
        <v>18</v>
      </c>
      <c r="J2654" s="2">
        <v>1280</v>
      </c>
      <c r="K2654" s="2">
        <v>1</v>
      </c>
      <c r="L2654" s="2">
        <v>421</v>
      </c>
    </row>
    <row r="2655" spans="1:12" x14ac:dyDescent="0.25">
      <c r="A2655" s="4" t="str">
        <f>HYPERLINK("http://www.rosaceae.org/Prunus/Prunus_persica/p.persica_gdr_reftransV1_0046687","p.persica_gdr_reftransV1_0046687")</f>
        <v>p.persica_gdr_reftransV1_0046687</v>
      </c>
      <c r="B2655" s="2">
        <v>1519</v>
      </c>
      <c r="C2655" s="4" t="str">
        <f>HYPERLINK("http://www.uniprot.org/uniprot/M5W731","M5W731")</f>
        <v>M5W731</v>
      </c>
      <c r="D2655" s="2" t="s">
        <v>2551</v>
      </c>
      <c r="E2655" s="3">
        <v>0</v>
      </c>
      <c r="F2655" s="2">
        <v>2240</v>
      </c>
      <c r="G2655" s="2">
        <v>98</v>
      </c>
      <c r="H2655" s="2">
        <v>427</v>
      </c>
      <c r="I2655" s="2">
        <v>1</v>
      </c>
      <c r="J2655" s="2">
        <v>1281</v>
      </c>
      <c r="K2655" s="2">
        <v>342</v>
      </c>
      <c r="L2655" s="2">
        <v>760</v>
      </c>
    </row>
    <row r="2656" spans="1:12" x14ac:dyDescent="0.25">
      <c r="A2656" s="4" t="str">
        <f>HYPERLINK("http://www.rosaceae.org/Prunus/Prunus_persica/p.persica_gdr_reftransV1_0047037","p.persica_gdr_reftransV1_0047037")</f>
        <v>p.persica_gdr_reftransV1_0047037</v>
      </c>
      <c r="B2656" s="2">
        <v>793</v>
      </c>
      <c r="C2656" s="4" t="str">
        <f>HYPERLINK("http://www.uniprot.org/uniprot/M5WUI9","M5WUI9")</f>
        <v>M5WUI9</v>
      </c>
      <c r="D2656" s="2" t="s">
        <v>2552</v>
      </c>
      <c r="E2656" s="3">
        <v>7.6100000000000004E-155</v>
      </c>
      <c r="F2656" s="2">
        <v>1140</v>
      </c>
      <c r="G2656" s="2">
        <v>97</v>
      </c>
      <c r="H2656" s="2">
        <v>251</v>
      </c>
      <c r="I2656" s="2">
        <v>44</v>
      </c>
      <c r="J2656" s="2">
        <v>790</v>
      </c>
      <c r="K2656" s="2">
        <v>1</v>
      </c>
      <c r="L2656" s="2">
        <v>247</v>
      </c>
    </row>
    <row r="2657" spans="1:12" x14ac:dyDescent="0.25">
      <c r="A2657" s="4" t="str">
        <f>HYPERLINK("http://www.rosaceae.org/Prunus/Prunus_persica/p.persica_gdr_reftransV1_0047387","p.persica_gdr_reftransV1_0047387")</f>
        <v>p.persica_gdr_reftransV1_0047387</v>
      </c>
      <c r="B2657" s="2">
        <v>1257</v>
      </c>
      <c r="C2657" s="4" t="str">
        <f>HYPERLINK("http://www.uniprot.org/uniprot/M5VRJ8","M5VRJ8")</f>
        <v>M5VRJ8</v>
      </c>
      <c r="D2657" s="2" t="s">
        <v>2553</v>
      </c>
      <c r="E2657" s="3">
        <v>2.1900000000000001E-176</v>
      </c>
      <c r="F2657" s="2">
        <v>1301</v>
      </c>
      <c r="G2657" s="2">
        <v>100</v>
      </c>
      <c r="H2657" s="2">
        <v>272</v>
      </c>
      <c r="I2657" s="2">
        <v>146</v>
      </c>
      <c r="J2657" s="2">
        <v>961</v>
      </c>
      <c r="K2657" s="2">
        <v>1</v>
      </c>
      <c r="L2657" s="2">
        <v>272</v>
      </c>
    </row>
    <row r="2658" spans="1:12" x14ac:dyDescent="0.25">
      <c r="A2658" s="4" t="str">
        <f>HYPERLINK("http://www.rosaceae.org/Prunus/Prunus_persica/p.persica_gdr_reftransV1_0047737","p.persica_gdr_reftransV1_0047737")</f>
        <v>p.persica_gdr_reftransV1_0047737</v>
      </c>
      <c r="B2658" s="2">
        <v>686</v>
      </c>
      <c r="C2658" s="4" t="str">
        <f>HYPERLINK("http://www.uniprot.org/uniprot/M5VXA4","M5VXA4")</f>
        <v>M5VXA4</v>
      </c>
      <c r="D2658" s="2" t="s">
        <v>2554</v>
      </c>
      <c r="E2658" s="3">
        <v>2E-73</v>
      </c>
      <c r="F2658" s="2">
        <v>606</v>
      </c>
      <c r="G2658" s="2">
        <v>100</v>
      </c>
      <c r="H2658" s="2">
        <v>155</v>
      </c>
      <c r="I2658" s="2">
        <v>3</v>
      </c>
      <c r="J2658" s="2">
        <v>467</v>
      </c>
      <c r="K2658" s="2">
        <v>172</v>
      </c>
      <c r="L2658" s="2">
        <v>326</v>
      </c>
    </row>
    <row r="2659" spans="1:12" x14ac:dyDescent="0.25">
      <c r="A2659" s="4" t="str">
        <f>HYPERLINK("http://www.rosaceae.org/Prunus/Prunus_persica/p.persica_gdr_reftransV1_0048787","p.persica_gdr_reftransV1_0048787")</f>
        <v>p.persica_gdr_reftransV1_0048787</v>
      </c>
      <c r="B2659" s="2">
        <v>1756</v>
      </c>
      <c r="C2659" s="4" t="str">
        <f>HYPERLINK("http://www.uniprot.org/uniprot/M5Y8N9","M5Y8N9")</f>
        <v>M5Y8N9</v>
      </c>
      <c r="D2659" s="2" t="s">
        <v>2555</v>
      </c>
      <c r="E2659" s="3">
        <v>0</v>
      </c>
      <c r="F2659" s="2">
        <v>2515</v>
      </c>
      <c r="G2659" s="2">
        <v>98</v>
      </c>
      <c r="H2659" s="2">
        <v>523</v>
      </c>
      <c r="I2659" s="2">
        <v>86</v>
      </c>
      <c r="J2659" s="2">
        <v>1654</v>
      </c>
      <c r="K2659" s="2">
        <v>1</v>
      </c>
      <c r="L2659" s="2">
        <v>523</v>
      </c>
    </row>
    <row r="2660" spans="1:12" x14ac:dyDescent="0.25">
      <c r="A2660" s="4" t="str">
        <f>HYPERLINK("http://www.rosaceae.org/Prunus/Prunus_persica/p.persica_gdr_reftransV1_0000138","p.persica_gdr_reftransV1_0000138")</f>
        <v>p.persica_gdr_reftransV1_0000138</v>
      </c>
      <c r="B2660" s="2">
        <v>1230</v>
      </c>
      <c r="C2660" s="4" t="str">
        <f>HYPERLINK("http://www.uniprot.org/uniprot/F6I0H7","F6I0H7")</f>
        <v>F6I0H7</v>
      </c>
      <c r="D2660" s="2" t="s">
        <v>2556</v>
      </c>
      <c r="E2660" s="3">
        <v>1.05E-93</v>
      </c>
      <c r="F2660" s="2">
        <v>793</v>
      </c>
      <c r="G2660" s="2">
        <v>46</v>
      </c>
      <c r="H2660" s="2">
        <v>422</v>
      </c>
      <c r="I2660" s="2">
        <v>2</v>
      </c>
      <c r="J2660" s="2">
        <v>1228</v>
      </c>
      <c r="K2660" s="2">
        <v>48</v>
      </c>
      <c r="L2660" s="2">
        <v>457</v>
      </c>
    </row>
    <row r="2661" spans="1:12" x14ac:dyDescent="0.25">
      <c r="A2661" s="4" t="str">
        <f>HYPERLINK("http://www.rosaceae.org/Prunus/Prunus_persica/p.persica_gdr_reftransV1_0000488","p.persica_gdr_reftransV1_0000488")</f>
        <v>p.persica_gdr_reftransV1_0000488</v>
      </c>
      <c r="B2661" s="2">
        <v>2251</v>
      </c>
      <c r="C2661" s="4" t="str">
        <f>HYPERLINK("http://www.uniprot.org/uniprot/M5XEE5","M5XEE5")</f>
        <v>M5XEE5</v>
      </c>
      <c r="D2661" s="2" t="s">
        <v>2557</v>
      </c>
      <c r="E2661" s="3">
        <v>0</v>
      </c>
      <c r="F2661" s="2">
        <v>2623</v>
      </c>
      <c r="G2661" s="2">
        <v>100</v>
      </c>
      <c r="H2661" s="2">
        <v>549</v>
      </c>
      <c r="I2661" s="2">
        <v>446</v>
      </c>
      <c r="J2661" s="2">
        <v>2092</v>
      </c>
      <c r="K2661" s="2">
        <v>1</v>
      </c>
      <c r="L2661" s="2">
        <v>549</v>
      </c>
    </row>
    <row r="2662" spans="1:12" x14ac:dyDescent="0.25">
      <c r="A2662" s="4" t="str">
        <f>HYPERLINK("http://www.rosaceae.org/Prunus/Prunus_persica/p.persica_gdr_reftransV1_0000838","p.persica_gdr_reftransV1_0000838")</f>
        <v>p.persica_gdr_reftransV1_0000838</v>
      </c>
      <c r="B2662" s="2">
        <v>1156</v>
      </c>
      <c r="C2662" s="4" t="str">
        <f>HYPERLINK("http://www.uniprot.org/uniprot/M5W0E4","M5W0E4")</f>
        <v>M5W0E4</v>
      </c>
      <c r="D2662" s="2" t="s">
        <v>2558</v>
      </c>
      <c r="E2662" s="3">
        <v>0</v>
      </c>
      <c r="F2662" s="2">
        <v>1438</v>
      </c>
      <c r="G2662" s="2">
        <v>100</v>
      </c>
      <c r="H2662" s="2">
        <v>301</v>
      </c>
      <c r="I2662" s="2">
        <v>162</v>
      </c>
      <c r="J2662" s="2">
        <v>1064</v>
      </c>
      <c r="K2662" s="2">
        <v>1</v>
      </c>
      <c r="L2662" s="2">
        <v>301</v>
      </c>
    </row>
    <row r="2663" spans="1:12" x14ac:dyDescent="0.25">
      <c r="A2663" s="4" t="str">
        <f>HYPERLINK("http://www.rosaceae.org/Prunus/Prunus_persica/p.persica_gdr_reftransV1_0001538","p.persica_gdr_reftransV1_0001538")</f>
        <v>p.persica_gdr_reftransV1_0001538</v>
      </c>
      <c r="B2663" s="2">
        <v>2774</v>
      </c>
      <c r="C2663" s="4" t="str">
        <f>HYPERLINK("http://www.uniprot.org/uniprot/M5XQI1","M5XQI1")</f>
        <v>M5XQI1</v>
      </c>
      <c r="D2663" s="2" t="s">
        <v>2559</v>
      </c>
      <c r="E2663" s="3">
        <v>0</v>
      </c>
      <c r="F2663" s="2">
        <v>3056</v>
      </c>
      <c r="G2663" s="2">
        <v>100</v>
      </c>
      <c r="H2663" s="2">
        <v>634</v>
      </c>
      <c r="I2663" s="2">
        <v>189</v>
      </c>
      <c r="J2663" s="2">
        <v>2090</v>
      </c>
      <c r="K2663" s="2">
        <v>1</v>
      </c>
      <c r="L2663" s="2">
        <v>634</v>
      </c>
    </row>
    <row r="2664" spans="1:12" x14ac:dyDescent="0.25">
      <c r="A2664" s="4" t="str">
        <f>HYPERLINK("http://www.rosaceae.org/Prunus/Prunus_persica/p.persica_gdr_reftransV1_0001888","p.persica_gdr_reftransV1_0001888")</f>
        <v>p.persica_gdr_reftransV1_0001888</v>
      </c>
      <c r="B2664" s="2">
        <v>2946</v>
      </c>
      <c r="C2664" s="4" t="str">
        <f>HYPERLINK("http://www.uniprot.org/uniprot/W9QY71","W9QY71")</f>
        <v>W9QY71</v>
      </c>
      <c r="D2664" s="2" t="s">
        <v>2560</v>
      </c>
      <c r="E2664" s="3">
        <v>0</v>
      </c>
      <c r="F2664" s="2">
        <v>2029</v>
      </c>
      <c r="G2664" s="2">
        <v>75</v>
      </c>
      <c r="H2664" s="2">
        <v>537</v>
      </c>
      <c r="I2664" s="2">
        <v>3</v>
      </c>
      <c r="J2664" s="2">
        <v>1595</v>
      </c>
      <c r="K2664" s="2">
        <v>175</v>
      </c>
      <c r="L2664" s="2">
        <v>707</v>
      </c>
    </row>
    <row r="2665" spans="1:12" x14ac:dyDescent="0.25">
      <c r="A2665" s="4" t="str">
        <f>HYPERLINK("http://www.rosaceae.org/Prunus/Prunus_persica/p.persica_gdr_reftransV1_0003288","p.persica_gdr_reftransV1_0003288")</f>
        <v>p.persica_gdr_reftransV1_0003288</v>
      </c>
      <c r="B2665" s="2">
        <v>3062</v>
      </c>
      <c r="C2665" s="4" t="str">
        <f>HYPERLINK("http://www.uniprot.org/uniprot/M5XXJ1","M5XXJ1")</f>
        <v>M5XXJ1</v>
      </c>
      <c r="D2665" s="2" t="s">
        <v>2561</v>
      </c>
      <c r="E2665" s="3">
        <v>0</v>
      </c>
      <c r="F2665" s="2">
        <v>3809</v>
      </c>
      <c r="G2665" s="2">
        <v>100</v>
      </c>
      <c r="H2665" s="2">
        <v>797</v>
      </c>
      <c r="I2665" s="2">
        <v>323</v>
      </c>
      <c r="J2665" s="2">
        <v>2713</v>
      </c>
      <c r="K2665" s="2">
        <v>1</v>
      </c>
      <c r="L2665" s="2">
        <v>797</v>
      </c>
    </row>
    <row r="2666" spans="1:12" x14ac:dyDescent="0.25">
      <c r="A2666" s="4" t="str">
        <f>HYPERLINK("http://www.rosaceae.org/Prunus/Prunus_persica/p.persica_gdr_reftransV1_0003638","p.persica_gdr_reftransV1_0003638")</f>
        <v>p.persica_gdr_reftransV1_0003638</v>
      </c>
      <c r="B2666" s="2">
        <v>1638</v>
      </c>
      <c r="C2666" s="4" t="str">
        <f>HYPERLINK("http://www.uniprot.org/uniprot/M5W4H8","M5W4H8")</f>
        <v>M5W4H8</v>
      </c>
      <c r="D2666" s="2" t="s">
        <v>2562</v>
      </c>
      <c r="E2666" s="3">
        <v>0</v>
      </c>
      <c r="F2666" s="2">
        <v>1447</v>
      </c>
      <c r="G2666" s="2">
        <v>88</v>
      </c>
      <c r="H2666" s="2">
        <v>343</v>
      </c>
      <c r="I2666" s="2">
        <v>45</v>
      </c>
      <c r="J2666" s="2">
        <v>1073</v>
      </c>
      <c r="K2666" s="2">
        <v>1</v>
      </c>
      <c r="L2666" s="2">
        <v>301</v>
      </c>
    </row>
    <row r="2667" spans="1:12" x14ac:dyDescent="0.25">
      <c r="A2667" s="4" t="str">
        <f>HYPERLINK("http://www.rosaceae.org/Prunus/Prunus_persica/p.persica_gdr_reftransV1_0003988","p.persica_gdr_reftransV1_0003988")</f>
        <v>p.persica_gdr_reftransV1_0003988</v>
      </c>
      <c r="B2667" s="2">
        <v>825</v>
      </c>
      <c r="C2667" s="4" t="str">
        <f>HYPERLINK("http://www.uniprot.org/uniprot/M5XE27","M5XE27")</f>
        <v>M5XE27</v>
      </c>
      <c r="D2667" s="2" t="s">
        <v>2563</v>
      </c>
      <c r="E2667" s="3">
        <v>0</v>
      </c>
      <c r="F2667" s="2">
        <v>1381</v>
      </c>
      <c r="G2667" s="2">
        <v>96</v>
      </c>
      <c r="H2667" s="2">
        <v>273</v>
      </c>
      <c r="I2667" s="2">
        <v>6</v>
      </c>
      <c r="J2667" s="2">
        <v>824</v>
      </c>
      <c r="K2667" s="2">
        <v>44</v>
      </c>
      <c r="L2667" s="2">
        <v>316</v>
      </c>
    </row>
    <row r="2668" spans="1:12" x14ac:dyDescent="0.25">
      <c r="A2668" s="4" t="str">
        <f>HYPERLINK("http://www.rosaceae.org/Prunus/Prunus_persica/p.persica_gdr_reftransV1_0004338","p.persica_gdr_reftransV1_0004338")</f>
        <v>p.persica_gdr_reftransV1_0004338</v>
      </c>
      <c r="B2668" s="2">
        <v>1387</v>
      </c>
      <c r="C2668" s="4" t="str">
        <f>HYPERLINK("http://www.uniprot.org/uniprot/M5VZE2","M5VZE2")</f>
        <v>M5VZE2</v>
      </c>
      <c r="D2668" s="2" t="s">
        <v>2564</v>
      </c>
      <c r="E2668" s="3">
        <v>0</v>
      </c>
      <c r="F2668" s="2">
        <v>1451</v>
      </c>
      <c r="G2668" s="2">
        <v>100</v>
      </c>
      <c r="H2668" s="2">
        <v>286</v>
      </c>
      <c r="I2668" s="2">
        <v>149</v>
      </c>
      <c r="J2668" s="2">
        <v>1006</v>
      </c>
      <c r="K2668" s="2">
        <v>1</v>
      </c>
      <c r="L2668" s="2">
        <v>286</v>
      </c>
    </row>
    <row r="2669" spans="1:12" x14ac:dyDescent="0.25">
      <c r="A2669" s="4" t="str">
        <f>HYPERLINK("http://www.rosaceae.org/Prunus/Prunus_persica/p.persica_gdr_reftransV1_0004688","p.persica_gdr_reftransV1_0004688")</f>
        <v>p.persica_gdr_reftransV1_0004688</v>
      </c>
      <c r="B2669" s="2">
        <v>1784</v>
      </c>
      <c r="C2669" s="4" t="str">
        <f>HYPERLINK("http://www.uniprot.org/uniprot/M5XBE4","M5XBE4")</f>
        <v>M5XBE4</v>
      </c>
      <c r="D2669" s="2" t="s">
        <v>2565</v>
      </c>
      <c r="E2669" s="3">
        <v>0</v>
      </c>
      <c r="F2669" s="2">
        <v>1632</v>
      </c>
      <c r="G2669" s="2">
        <v>99</v>
      </c>
      <c r="H2669" s="2">
        <v>335</v>
      </c>
      <c r="I2669" s="2">
        <v>499</v>
      </c>
      <c r="J2669" s="2">
        <v>1503</v>
      </c>
      <c r="K2669" s="2">
        <v>19</v>
      </c>
      <c r="L2669" s="2">
        <v>353</v>
      </c>
    </row>
    <row r="2670" spans="1:12" x14ac:dyDescent="0.25">
      <c r="A2670" s="4" t="str">
        <f>HYPERLINK("http://www.rosaceae.org/Prunus/Prunus_persica/p.persica_gdr_reftransV1_0005038","p.persica_gdr_reftransV1_0005038")</f>
        <v>p.persica_gdr_reftransV1_0005038</v>
      </c>
      <c r="B2670" s="2">
        <v>1376</v>
      </c>
      <c r="C2670" s="4" t="str">
        <f>HYPERLINK("http://www.uniprot.org/uniprot/M5VLU9","M5VLU9")</f>
        <v>M5VLU9</v>
      </c>
      <c r="D2670" s="2" t="s">
        <v>2566</v>
      </c>
      <c r="E2670" s="3">
        <v>0</v>
      </c>
      <c r="F2670" s="2">
        <v>2340</v>
      </c>
      <c r="G2670" s="2">
        <v>100</v>
      </c>
      <c r="H2670" s="2">
        <v>458</v>
      </c>
      <c r="I2670" s="2">
        <v>2</v>
      </c>
      <c r="J2670" s="2">
        <v>1375</v>
      </c>
      <c r="K2670" s="2">
        <v>51</v>
      </c>
      <c r="L2670" s="2">
        <v>508</v>
      </c>
    </row>
    <row r="2671" spans="1:12" x14ac:dyDescent="0.25">
      <c r="A2671" s="4" t="str">
        <f>HYPERLINK("http://www.rosaceae.org/Prunus/Prunus_persica/p.persica_gdr_reftransV1_0005388","p.persica_gdr_reftransV1_0005388")</f>
        <v>p.persica_gdr_reftransV1_0005388</v>
      </c>
      <c r="B2671" s="2">
        <v>978</v>
      </c>
      <c r="C2671" s="4" t="str">
        <f>HYPERLINK("http://www.uniprot.org/uniprot/M5WNU6","M5WNU6")</f>
        <v>M5WNU6</v>
      </c>
      <c r="D2671" s="2" t="s">
        <v>2567</v>
      </c>
      <c r="E2671" s="3">
        <v>0</v>
      </c>
      <c r="F2671" s="2">
        <v>1496</v>
      </c>
      <c r="G2671" s="2">
        <v>100</v>
      </c>
      <c r="H2671" s="2">
        <v>279</v>
      </c>
      <c r="I2671" s="2">
        <v>2</v>
      </c>
      <c r="J2671" s="2">
        <v>838</v>
      </c>
      <c r="K2671" s="2">
        <v>25</v>
      </c>
      <c r="L2671" s="2">
        <v>303</v>
      </c>
    </row>
    <row r="2672" spans="1:12" x14ac:dyDescent="0.25">
      <c r="A2672" s="4" t="str">
        <f>HYPERLINK("http://www.rosaceae.org/Prunus/Prunus_persica/p.persica_gdr_reftransV1_0005738","p.persica_gdr_reftransV1_0005738")</f>
        <v>p.persica_gdr_reftransV1_0005738</v>
      </c>
      <c r="B2672" s="2">
        <v>514</v>
      </c>
      <c r="C2672" s="4" t="str">
        <f>HYPERLINK("http://www.uniprot.org/uniprot/M5W5J3","M5W5J3")</f>
        <v>M5W5J3</v>
      </c>
      <c r="D2672" s="2" t="s">
        <v>2568</v>
      </c>
      <c r="E2672" s="3">
        <v>7.4500000000000003E-99</v>
      </c>
      <c r="F2672" s="2">
        <v>779</v>
      </c>
      <c r="G2672" s="2">
        <v>100</v>
      </c>
      <c r="H2672" s="2">
        <v>146</v>
      </c>
      <c r="I2672" s="2">
        <v>1</v>
      </c>
      <c r="J2672" s="2">
        <v>438</v>
      </c>
      <c r="K2672" s="2">
        <v>307</v>
      </c>
      <c r="L2672" s="2">
        <v>452</v>
      </c>
    </row>
    <row r="2673" spans="1:12" x14ac:dyDescent="0.25">
      <c r="A2673" s="4" t="str">
        <f>HYPERLINK("http://www.rosaceae.org/Prunus/Prunus_persica/p.persica_gdr_reftransV1_0006088","p.persica_gdr_reftransV1_0006088")</f>
        <v>p.persica_gdr_reftransV1_0006088</v>
      </c>
      <c r="B2673" s="2">
        <v>520</v>
      </c>
      <c r="C2673" s="4" t="str">
        <f>HYPERLINK("http://www.uniprot.org/uniprot/M5XLE5","M5XLE5")</f>
        <v>M5XLE5</v>
      </c>
      <c r="D2673" s="2" t="s">
        <v>2569</v>
      </c>
      <c r="E2673" s="3">
        <v>4.0700000000000001E-95</v>
      </c>
      <c r="F2673" s="2">
        <v>769</v>
      </c>
      <c r="G2673" s="2">
        <v>100</v>
      </c>
      <c r="H2673" s="2">
        <v>145</v>
      </c>
      <c r="I2673" s="2">
        <v>2</v>
      </c>
      <c r="J2673" s="2">
        <v>436</v>
      </c>
      <c r="K2673" s="2">
        <v>516</v>
      </c>
      <c r="L2673" s="2">
        <v>660</v>
      </c>
    </row>
    <row r="2674" spans="1:12" x14ac:dyDescent="0.25">
      <c r="A2674" s="4" t="str">
        <f>HYPERLINK("http://www.rosaceae.org/Prunus/Prunus_persica/p.persica_gdr_reftransV1_0006788","p.persica_gdr_reftransV1_0006788")</f>
        <v>p.persica_gdr_reftransV1_0006788</v>
      </c>
      <c r="B2674" s="2">
        <v>5186</v>
      </c>
      <c r="C2674" s="4" t="str">
        <f>HYPERLINK("http://www.uniprot.org/uniprot/M5WWW0","M5WWW0")</f>
        <v>M5WWW0</v>
      </c>
      <c r="D2674" s="2" t="s">
        <v>2570</v>
      </c>
      <c r="E2674" s="3">
        <v>0</v>
      </c>
      <c r="F2674" s="2">
        <v>5042</v>
      </c>
      <c r="G2674" s="2">
        <v>98</v>
      </c>
      <c r="H2674" s="2">
        <v>1006</v>
      </c>
      <c r="I2674" s="2">
        <v>1894</v>
      </c>
      <c r="J2674" s="2">
        <v>4911</v>
      </c>
      <c r="K2674" s="2">
        <v>1</v>
      </c>
      <c r="L2674" s="2">
        <v>988</v>
      </c>
    </row>
    <row r="2675" spans="1:12" x14ac:dyDescent="0.25">
      <c r="A2675" s="4" t="str">
        <f>HYPERLINK("http://www.rosaceae.org/Prunus/Prunus_persica/p.persica_gdr_reftransV1_0007488","p.persica_gdr_reftransV1_0007488")</f>
        <v>p.persica_gdr_reftransV1_0007488</v>
      </c>
      <c r="B2675" s="2">
        <v>2939</v>
      </c>
      <c r="C2675" s="4" t="str">
        <f>HYPERLINK("http://www.uniprot.org/uniprot/M5WJ53","M5WJ53")</f>
        <v>M5WJ53</v>
      </c>
      <c r="D2675" s="2" t="s">
        <v>2571</v>
      </c>
      <c r="E2675" s="3">
        <v>0</v>
      </c>
      <c r="F2675" s="2">
        <v>3590</v>
      </c>
      <c r="G2675" s="2">
        <v>100</v>
      </c>
      <c r="H2675" s="2">
        <v>753</v>
      </c>
      <c r="I2675" s="2">
        <v>373</v>
      </c>
      <c r="J2675" s="2">
        <v>2631</v>
      </c>
      <c r="K2675" s="2">
        <v>1</v>
      </c>
      <c r="L2675" s="2">
        <v>753</v>
      </c>
    </row>
    <row r="2676" spans="1:12" x14ac:dyDescent="0.25">
      <c r="A2676" s="4" t="str">
        <f>HYPERLINK("http://www.rosaceae.org/Prunus/Prunus_persica/p.persica_gdr_reftransV1_0007838","p.persica_gdr_reftransV1_0007838")</f>
        <v>p.persica_gdr_reftransV1_0007838</v>
      </c>
      <c r="B2676" s="2">
        <v>1263</v>
      </c>
      <c r="C2676" s="4" t="str">
        <f>HYPERLINK("http://www.uniprot.org/uniprot/M5WC88","M5WC88")</f>
        <v>M5WC88</v>
      </c>
      <c r="D2676" s="2" t="s">
        <v>2572</v>
      </c>
      <c r="E2676" s="3">
        <v>1.1599999999999999E-50</v>
      </c>
      <c r="F2676" s="2">
        <v>459</v>
      </c>
      <c r="G2676" s="2">
        <v>100</v>
      </c>
      <c r="H2676" s="2">
        <v>85</v>
      </c>
      <c r="I2676" s="2">
        <v>921</v>
      </c>
      <c r="J2676" s="2">
        <v>1175</v>
      </c>
      <c r="K2676" s="2">
        <v>135</v>
      </c>
      <c r="L2676" s="2">
        <v>219</v>
      </c>
    </row>
    <row r="2677" spans="1:12" x14ac:dyDescent="0.25">
      <c r="A2677" s="4" t="str">
        <f>HYPERLINK("http://www.rosaceae.org/Prunus/Prunus_persica/p.persica_gdr_reftransV1_0008188","p.persica_gdr_reftransV1_0008188")</f>
        <v>p.persica_gdr_reftransV1_0008188</v>
      </c>
      <c r="B2677" s="2">
        <v>1742</v>
      </c>
      <c r="C2677" s="4" t="str">
        <f>HYPERLINK("http://www.uniprot.org/uniprot/M5WB74","M5WB74")</f>
        <v>M5WB74</v>
      </c>
      <c r="D2677" s="2" t="s">
        <v>2573</v>
      </c>
      <c r="E2677" s="3">
        <v>0</v>
      </c>
      <c r="F2677" s="2">
        <v>1964</v>
      </c>
      <c r="G2677" s="2">
        <v>100</v>
      </c>
      <c r="H2677" s="2">
        <v>391</v>
      </c>
      <c r="I2677" s="2">
        <v>248</v>
      </c>
      <c r="J2677" s="2">
        <v>1420</v>
      </c>
      <c r="K2677" s="2">
        <v>1</v>
      </c>
      <c r="L2677" s="2">
        <v>391</v>
      </c>
    </row>
    <row r="2678" spans="1:12" x14ac:dyDescent="0.25">
      <c r="A2678" s="4" t="str">
        <f>HYPERLINK("http://www.rosaceae.org/Prunus/Prunus_persica/p.persica_gdr_reftransV1_0008888","p.persica_gdr_reftransV1_0008888")</f>
        <v>p.persica_gdr_reftransV1_0008888</v>
      </c>
      <c r="B2678" s="2">
        <v>2560</v>
      </c>
      <c r="C2678" s="4" t="str">
        <f>HYPERLINK("http://www.uniprot.org/uniprot/M5WFI8","M5WFI8")</f>
        <v>M5WFI8</v>
      </c>
      <c r="D2678" s="2" t="s">
        <v>2574</v>
      </c>
      <c r="E2678" s="3">
        <v>0</v>
      </c>
      <c r="F2678" s="2">
        <v>2951</v>
      </c>
      <c r="G2678" s="2">
        <v>100</v>
      </c>
      <c r="H2678" s="2">
        <v>590</v>
      </c>
      <c r="I2678" s="2">
        <v>658</v>
      </c>
      <c r="J2678" s="2">
        <v>2427</v>
      </c>
      <c r="K2678" s="2">
        <v>1</v>
      </c>
      <c r="L2678" s="2">
        <v>590</v>
      </c>
    </row>
    <row r="2679" spans="1:12" x14ac:dyDescent="0.25">
      <c r="A2679" s="4" t="str">
        <f>HYPERLINK("http://www.rosaceae.org/Prunus/Prunus_persica/p.persica_gdr_reftransV1_0009238","p.persica_gdr_reftransV1_0009238")</f>
        <v>p.persica_gdr_reftransV1_0009238</v>
      </c>
      <c r="B2679" s="2">
        <v>1600</v>
      </c>
      <c r="C2679" s="4" t="str">
        <f>HYPERLINK("http://www.uniprot.org/uniprot/M5WZH1","M5WZH1")</f>
        <v>M5WZH1</v>
      </c>
      <c r="D2679" s="2" t="s">
        <v>2575</v>
      </c>
      <c r="E2679" s="3">
        <v>0</v>
      </c>
      <c r="F2679" s="2">
        <v>1830</v>
      </c>
      <c r="G2679" s="2">
        <v>100</v>
      </c>
      <c r="H2679" s="2">
        <v>376</v>
      </c>
      <c r="I2679" s="2">
        <v>224</v>
      </c>
      <c r="J2679" s="2">
        <v>1351</v>
      </c>
      <c r="K2679" s="2">
        <v>1</v>
      </c>
      <c r="L2679" s="2">
        <v>376</v>
      </c>
    </row>
    <row r="2680" spans="1:12" x14ac:dyDescent="0.25">
      <c r="A2680" s="4" t="str">
        <f>HYPERLINK("http://www.rosaceae.org/Prunus/Prunus_persica/p.persica_gdr_reftransV1_0009588","p.persica_gdr_reftransV1_0009588")</f>
        <v>p.persica_gdr_reftransV1_0009588</v>
      </c>
      <c r="B2680" s="2">
        <v>837</v>
      </c>
      <c r="C2680" s="4" t="str">
        <f>HYPERLINK("http://www.uniprot.org/uniprot/V4UV10","V4UV10")</f>
        <v>V4UV10</v>
      </c>
      <c r="D2680" s="2" t="s">
        <v>2576</v>
      </c>
      <c r="E2680" s="3">
        <v>1.1999999999999999E-14</v>
      </c>
      <c r="F2680" s="2">
        <v>193</v>
      </c>
      <c r="G2680" s="2">
        <v>37</v>
      </c>
      <c r="H2680" s="2">
        <v>153</v>
      </c>
      <c r="I2680" s="2">
        <v>260</v>
      </c>
      <c r="J2680" s="2">
        <v>700</v>
      </c>
      <c r="K2680" s="2">
        <v>12</v>
      </c>
      <c r="L2680" s="2">
        <v>146</v>
      </c>
    </row>
    <row r="2681" spans="1:12" x14ac:dyDescent="0.25">
      <c r="A2681" s="4" t="str">
        <f>HYPERLINK("http://www.rosaceae.org/Prunus/Prunus_persica/p.persica_gdr_reftransV1_0009938","p.persica_gdr_reftransV1_0009938")</f>
        <v>p.persica_gdr_reftransV1_0009938</v>
      </c>
      <c r="B2681" s="2">
        <v>2383</v>
      </c>
      <c r="C2681" s="4" t="str">
        <f>HYPERLINK("http://www.uniprot.org/uniprot/M5WQ10","M5WQ10")</f>
        <v>M5WQ10</v>
      </c>
      <c r="D2681" s="2" t="s">
        <v>2577</v>
      </c>
      <c r="E2681" s="3">
        <v>0</v>
      </c>
      <c r="F2681" s="2">
        <v>1728</v>
      </c>
      <c r="G2681" s="2">
        <v>100</v>
      </c>
      <c r="H2681" s="2">
        <v>340</v>
      </c>
      <c r="I2681" s="2">
        <v>1309</v>
      </c>
      <c r="J2681" s="2">
        <v>2328</v>
      </c>
      <c r="K2681" s="2">
        <v>4</v>
      </c>
      <c r="L2681" s="2">
        <v>343</v>
      </c>
    </row>
    <row r="2682" spans="1:12" x14ac:dyDescent="0.25">
      <c r="A2682" s="4" t="str">
        <f>HYPERLINK("http://www.rosaceae.org/Prunus/Prunus_persica/p.persica_gdr_reftransV1_0010638","p.persica_gdr_reftransV1_0010638")</f>
        <v>p.persica_gdr_reftransV1_0010638</v>
      </c>
      <c r="B2682" s="2">
        <v>1455</v>
      </c>
      <c r="C2682" s="4" t="str">
        <f>HYPERLINK("http://www.uniprot.org/uniprot/D7SV49","D7SV49")</f>
        <v>D7SV49</v>
      </c>
      <c r="D2682" s="2" t="s">
        <v>2578</v>
      </c>
      <c r="E2682" s="3">
        <v>6.6300000000000002E-18</v>
      </c>
      <c r="F2682" s="2">
        <v>225</v>
      </c>
      <c r="G2682" s="2">
        <v>47</v>
      </c>
      <c r="H2682" s="2">
        <v>171</v>
      </c>
      <c r="I2682" s="2">
        <v>255</v>
      </c>
      <c r="J2682" s="2">
        <v>701</v>
      </c>
      <c r="K2682" s="2">
        <v>1</v>
      </c>
      <c r="L2682" s="2">
        <v>170</v>
      </c>
    </row>
    <row r="2683" spans="1:12" x14ac:dyDescent="0.25">
      <c r="A2683" s="4" t="str">
        <f>HYPERLINK("http://www.rosaceae.org/Prunus/Prunus_persica/p.persica_gdr_reftransV1_0011338","p.persica_gdr_reftransV1_0011338")</f>
        <v>p.persica_gdr_reftransV1_0011338</v>
      </c>
      <c r="B2683" s="2">
        <v>1876</v>
      </c>
      <c r="C2683" s="4" t="str">
        <f>HYPERLINK("http://www.uniprot.org/uniprot/F4NCH2","F4NCH2")</f>
        <v>F4NCH2</v>
      </c>
      <c r="D2683" s="2" t="s">
        <v>2579</v>
      </c>
      <c r="E2683" s="3">
        <v>1.95E-117</v>
      </c>
      <c r="F2683" s="2">
        <v>654</v>
      </c>
      <c r="G2683" s="2">
        <v>41</v>
      </c>
      <c r="H2683" s="2">
        <v>298</v>
      </c>
      <c r="I2683" s="2">
        <v>985</v>
      </c>
      <c r="J2683" s="2">
        <v>1875</v>
      </c>
      <c r="K2683" s="2">
        <v>320</v>
      </c>
      <c r="L2683" s="2">
        <v>617</v>
      </c>
    </row>
    <row r="2684" spans="1:12" x14ac:dyDescent="0.25">
      <c r="A2684" s="4" t="str">
        <f>HYPERLINK("http://www.rosaceae.org/Prunus/Prunus_persica/p.persica_gdr_reftransV1_0011688","p.persica_gdr_reftransV1_0011688")</f>
        <v>p.persica_gdr_reftransV1_0011688</v>
      </c>
      <c r="B2684" s="2">
        <v>1453</v>
      </c>
      <c r="C2684" s="4" t="str">
        <f>HYPERLINK("http://www.uniprot.org/uniprot/M5VYW8","M5VYW8")</f>
        <v>M5VYW8</v>
      </c>
      <c r="D2684" s="2" t="s">
        <v>2580</v>
      </c>
      <c r="E2684" s="3">
        <v>9.1400000000000006E-158</v>
      </c>
      <c r="F2684" s="2">
        <v>1208</v>
      </c>
      <c r="G2684" s="2">
        <v>98</v>
      </c>
      <c r="H2684" s="2">
        <v>222</v>
      </c>
      <c r="I2684" s="2">
        <v>267</v>
      </c>
      <c r="J2684" s="2">
        <v>932</v>
      </c>
      <c r="K2684" s="2">
        <v>6</v>
      </c>
      <c r="L2684" s="2">
        <v>227</v>
      </c>
    </row>
    <row r="2685" spans="1:12" x14ac:dyDescent="0.25">
      <c r="A2685" s="4" t="str">
        <f>HYPERLINK("http://www.rosaceae.org/Prunus/Prunus_persica/p.persica_gdr_reftransV1_0012038","p.persica_gdr_reftransV1_0012038")</f>
        <v>p.persica_gdr_reftransV1_0012038</v>
      </c>
      <c r="B2685" s="2">
        <v>3029</v>
      </c>
      <c r="C2685" s="4" t="str">
        <f>HYPERLINK("http://www.uniprot.org/uniprot/M5VQ89","M5VQ89")</f>
        <v>M5VQ89</v>
      </c>
      <c r="D2685" s="2" t="s">
        <v>2581</v>
      </c>
      <c r="E2685" s="3">
        <v>0</v>
      </c>
      <c r="F2685" s="2">
        <v>1782</v>
      </c>
      <c r="G2685" s="2">
        <v>100</v>
      </c>
      <c r="H2685" s="2">
        <v>327</v>
      </c>
      <c r="I2685" s="2">
        <v>164</v>
      </c>
      <c r="J2685" s="2">
        <v>1144</v>
      </c>
      <c r="K2685" s="2">
        <v>554</v>
      </c>
      <c r="L2685" s="2">
        <v>880</v>
      </c>
    </row>
    <row r="2686" spans="1:12" x14ac:dyDescent="0.25">
      <c r="A2686" s="4" t="str">
        <f>HYPERLINK("http://www.rosaceae.org/Prunus/Prunus_persica/p.persica_gdr_reftransV1_0012388","p.persica_gdr_reftransV1_0012388")</f>
        <v>p.persica_gdr_reftransV1_0012388</v>
      </c>
      <c r="B2686" s="2">
        <v>3675</v>
      </c>
      <c r="C2686" s="4" t="str">
        <f>HYPERLINK("http://www.uniprot.org/uniprot/M5WMD8","M5WMD8")</f>
        <v>M5WMD8</v>
      </c>
      <c r="D2686" s="2" t="s">
        <v>2582</v>
      </c>
      <c r="E2686" s="3">
        <v>0</v>
      </c>
      <c r="F2686" s="2">
        <v>4607</v>
      </c>
      <c r="G2686" s="2">
        <v>100</v>
      </c>
      <c r="H2686" s="2">
        <v>928</v>
      </c>
      <c r="I2686" s="2">
        <v>294</v>
      </c>
      <c r="J2686" s="2">
        <v>3077</v>
      </c>
      <c r="K2686" s="2">
        <v>1</v>
      </c>
      <c r="L2686" s="2">
        <v>928</v>
      </c>
    </row>
    <row r="2687" spans="1:12" x14ac:dyDescent="0.25">
      <c r="A2687" s="4" t="str">
        <f>HYPERLINK("http://www.rosaceae.org/Prunus/Prunus_persica/p.persica_gdr_reftransV1_0013438","p.persica_gdr_reftransV1_0013438")</f>
        <v>p.persica_gdr_reftransV1_0013438</v>
      </c>
      <c r="B2687" s="2">
        <v>1610</v>
      </c>
      <c r="C2687" s="4" t="str">
        <f>HYPERLINK("http://www.uniprot.org/uniprot/M5XGJ0","M5XGJ0")</f>
        <v>M5XGJ0</v>
      </c>
      <c r="D2687" s="2" t="s">
        <v>2583</v>
      </c>
      <c r="E2687" s="3">
        <v>0</v>
      </c>
      <c r="F2687" s="2">
        <v>1879</v>
      </c>
      <c r="G2687" s="2">
        <v>100</v>
      </c>
      <c r="H2687" s="2">
        <v>349</v>
      </c>
      <c r="I2687" s="2">
        <v>1</v>
      </c>
      <c r="J2687" s="2">
        <v>1047</v>
      </c>
      <c r="K2687" s="2">
        <v>1</v>
      </c>
      <c r="L2687" s="2">
        <v>349</v>
      </c>
    </row>
    <row r="2688" spans="1:12" x14ac:dyDescent="0.25">
      <c r="A2688" s="4" t="str">
        <f>HYPERLINK("http://www.rosaceae.org/Prunus/Prunus_persica/p.persica_gdr_reftransV1_0014138","p.persica_gdr_reftransV1_0014138")</f>
        <v>p.persica_gdr_reftransV1_0014138</v>
      </c>
      <c r="B2688" s="2">
        <v>3285</v>
      </c>
      <c r="C2688" s="4" t="str">
        <f>HYPERLINK("http://www.uniprot.org/uniprot/M5VQJ5","M5VQJ5")</f>
        <v>M5VQJ5</v>
      </c>
      <c r="D2688" s="2" t="s">
        <v>2584</v>
      </c>
      <c r="E2688" s="3">
        <v>4.3600000000000001E-164</v>
      </c>
      <c r="F2688" s="2">
        <v>1283</v>
      </c>
      <c r="G2688" s="2">
        <v>100</v>
      </c>
      <c r="H2688" s="2">
        <v>259</v>
      </c>
      <c r="I2688" s="2">
        <v>1281</v>
      </c>
      <c r="J2688" s="2">
        <v>2057</v>
      </c>
      <c r="K2688" s="2">
        <v>46</v>
      </c>
      <c r="L2688" s="2">
        <v>304</v>
      </c>
    </row>
    <row r="2689" spans="1:12" x14ac:dyDescent="0.25">
      <c r="A2689" s="4" t="str">
        <f>HYPERLINK("http://www.rosaceae.org/Prunus/Prunus_persica/p.persica_gdr_reftransV1_0014838","p.persica_gdr_reftransV1_0014838")</f>
        <v>p.persica_gdr_reftransV1_0014838</v>
      </c>
      <c r="B2689" s="2">
        <v>1513</v>
      </c>
      <c r="C2689" s="4" t="str">
        <f>HYPERLINK("http://www.uniprot.org/uniprot/A0A0D2W749","A0A0D2W749")</f>
        <v>A0A0D2W749</v>
      </c>
      <c r="D2689" s="2" t="s">
        <v>2585</v>
      </c>
      <c r="E2689" s="3">
        <v>6.2599999999999999E-113</v>
      </c>
      <c r="F2689" s="2">
        <v>458</v>
      </c>
      <c r="G2689" s="2">
        <v>74</v>
      </c>
      <c r="H2689" s="2">
        <v>129</v>
      </c>
      <c r="I2689" s="2">
        <v>321</v>
      </c>
      <c r="J2689" s="2">
        <v>707</v>
      </c>
      <c r="K2689" s="2">
        <v>121</v>
      </c>
      <c r="L2689" s="2">
        <v>249</v>
      </c>
    </row>
    <row r="2690" spans="1:12" x14ac:dyDescent="0.25">
      <c r="A2690" s="4" t="str">
        <f>HYPERLINK("http://www.rosaceae.org/Prunus/Prunus_persica/p.persica_gdr_reftransV1_0015888","p.persica_gdr_reftransV1_0015888")</f>
        <v>p.persica_gdr_reftransV1_0015888</v>
      </c>
      <c r="B2690" s="2">
        <v>2801</v>
      </c>
      <c r="C2690" s="4" t="str">
        <f>HYPERLINK("http://www.uniprot.org/uniprot/M5Y1T1","M5Y1T1")</f>
        <v>M5Y1T1</v>
      </c>
      <c r="D2690" s="2" t="s">
        <v>2586</v>
      </c>
      <c r="E2690" s="3">
        <v>0</v>
      </c>
      <c r="F2690" s="2">
        <v>3229</v>
      </c>
      <c r="G2690" s="2">
        <v>84</v>
      </c>
      <c r="H2690" s="2">
        <v>845</v>
      </c>
      <c r="I2690" s="2">
        <v>3</v>
      </c>
      <c r="J2690" s="2">
        <v>2531</v>
      </c>
      <c r="K2690" s="2">
        <v>1</v>
      </c>
      <c r="L2690" s="2">
        <v>789</v>
      </c>
    </row>
    <row r="2691" spans="1:12" x14ac:dyDescent="0.25">
      <c r="A2691" s="4" t="str">
        <f>HYPERLINK("http://www.rosaceae.org/Prunus/Prunus_persica/p.persica_gdr_reftransV1_0016238","p.persica_gdr_reftransV1_0016238")</f>
        <v>p.persica_gdr_reftransV1_0016238</v>
      </c>
      <c r="B2691" s="2">
        <v>4799</v>
      </c>
      <c r="C2691" s="4" t="str">
        <f>HYPERLINK("http://www.uniprot.org/uniprot/M5W6J1","M5W6J1")</f>
        <v>M5W6J1</v>
      </c>
      <c r="D2691" s="2" t="s">
        <v>2587</v>
      </c>
      <c r="E2691" s="3">
        <v>0</v>
      </c>
      <c r="F2691" s="2">
        <v>6447</v>
      </c>
      <c r="G2691" s="2">
        <v>98</v>
      </c>
      <c r="H2691" s="2">
        <v>1227</v>
      </c>
      <c r="I2691" s="2">
        <v>370</v>
      </c>
      <c r="J2691" s="2">
        <v>4050</v>
      </c>
      <c r="K2691" s="2">
        <v>1</v>
      </c>
      <c r="L2691" s="2">
        <v>1206</v>
      </c>
    </row>
    <row r="2692" spans="1:12" x14ac:dyDescent="0.25">
      <c r="A2692" s="4" t="str">
        <f>HYPERLINK("http://www.rosaceae.org/Prunus/Prunus_persica/p.persica_gdr_reftransV1_0017288","p.persica_gdr_reftransV1_0017288")</f>
        <v>p.persica_gdr_reftransV1_0017288</v>
      </c>
      <c r="B2692" s="2">
        <v>1382</v>
      </c>
      <c r="C2692" s="4" t="str">
        <f>HYPERLINK("http://www.uniprot.org/uniprot/M5XDU8","M5XDU8")</f>
        <v>M5XDU8</v>
      </c>
      <c r="D2692" s="2" t="s">
        <v>2588</v>
      </c>
      <c r="E2692" s="3">
        <v>0</v>
      </c>
      <c r="F2692" s="2">
        <v>1452</v>
      </c>
      <c r="G2692" s="2">
        <v>100</v>
      </c>
      <c r="H2692" s="2">
        <v>385</v>
      </c>
      <c r="I2692" s="2">
        <v>184</v>
      </c>
      <c r="J2692" s="2">
        <v>1338</v>
      </c>
      <c r="K2692" s="2">
        <v>1</v>
      </c>
      <c r="L2692" s="2">
        <v>385</v>
      </c>
    </row>
    <row r="2693" spans="1:12" x14ac:dyDescent="0.25">
      <c r="A2693" s="4" t="str">
        <f>HYPERLINK("http://www.rosaceae.org/Prunus/Prunus_persica/p.persica_gdr_reftransV1_0017988","p.persica_gdr_reftransV1_0017988")</f>
        <v>p.persica_gdr_reftransV1_0017988</v>
      </c>
      <c r="B2693" s="2">
        <v>1120</v>
      </c>
      <c r="C2693" s="4" t="str">
        <f>HYPERLINK("http://www.uniprot.org/uniprot/M5XCB1","M5XCB1")</f>
        <v>M5XCB1</v>
      </c>
      <c r="D2693" s="2" t="s">
        <v>2589</v>
      </c>
      <c r="E2693" s="3">
        <v>2.38E-121</v>
      </c>
      <c r="F2693" s="2">
        <v>940</v>
      </c>
      <c r="G2693" s="2">
        <v>99</v>
      </c>
      <c r="H2693" s="2">
        <v>175</v>
      </c>
      <c r="I2693" s="2">
        <v>123</v>
      </c>
      <c r="J2693" s="2">
        <v>647</v>
      </c>
      <c r="K2693" s="2">
        <v>171</v>
      </c>
      <c r="L2693" s="2">
        <v>345</v>
      </c>
    </row>
    <row r="2694" spans="1:12" x14ac:dyDescent="0.25">
      <c r="A2694" s="4" t="str">
        <f>HYPERLINK("http://www.rosaceae.org/Prunus/Prunus_persica/p.persica_gdr_reftransV1_0019738","p.persica_gdr_reftransV1_0019738")</f>
        <v>p.persica_gdr_reftransV1_0019738</v>
      </c>
      <c r="B2694" s="2">
        <v>2077</v>
      </c>
      <c r="C2694" s="4" t="str">
        <f>HYPERLINK("http://www.uniprot.org/uniprot/M5VPN9","M5VPN9")</f>
        <v>M5VPN9</v>
      </c>
      <c r="D2694" s="2" t="s">
        <v>2590</v>
      </c>
      <c r="E2694" s="3">
        <v>6.5399999999999996E-129</v>
      </c>
      <c r="F2694" s="2">
        <v>1037</v>
      </c>
      <c r="G2694" s="2">
        <v>100</v>
      </c>
      <c r="H2694" s="2">
        <v>214</v>
      </c>
      <c r="I2694" s="2">
        <v>214</v>
      </c>
      <c r="J2694" s="2">
        <v>855</v>
      </c>
      <c r="K2694" s="2">
        <v>318</v>
      </c>
      <c r="L2694" s="2">
        <v>531</v>
      </c>
    </row>
    <row r="2695" spans="1:12" x14ac:dyDescent="0.25">
      <c r="A2695" s="4" t="str">
        <f>HYPERLINK("http://www.rosaceae.org/Prunus/Prunus_persica/p.persica_gdr_reftransV1_0020438","p.persica_gdr_reftransV1_0020438")</f>
        <v>p.persica_gdr_reftransV1_0020438</v>
      </c>
      <c r="B2695" s="2">
        <v>1237</v>
      </c>
      <c r="C2695" s="4" t="str">
        <f>HYPERLINK("http://www.uniprot.org/uniprot/M5WEP9","M5WEP9")</f>
        <v>M5WEP9</v>
      </c>
      <c r="D2695" s="2" t="s">
        <v>2591</v>
      </c>
      <c r="E2695" s="3">
        <v>5.1399999999999996E-143</v>
      </c>
      <c r="F2695" s="2">
        <v>1075</v>
      </c>
      <c r="G2695" s="2">
        <v>100</v>
      </c>
      <c r="H2695" s="2">
        <v>224</v>
      </c>
      <c r="I2695" s="2">
        <v>256</v>
      </c>
      <c r="J2695" s="2">
        <v>927</v>
      </c>
      <c r="K2695" s="2">
        <v>1</v>
      </c>
      <c r="L2695" s="2">
        <v>224</v>
      </c>
    </row>
    <row r="2696" spans="1:12" x14ac:dyDescent="0.25">
      <c r="A2696" s="4" t="str">
        <f>HYPERLINK("http://www.rosaceae.org/Prunus/Prunus_persica/p.persica_gdr_reftransV1_0021138","p.persica_gdr_reftransV1_0021138")</f>
        <v>p.persica_gdr_reftransV1_0021138</v>
      </c>
      <c r="B2696" s="2">
        <v>1171</v>
      </c>
      <c r="C2696" s="4" t="str">
        <f>HYPERLINK("http://www.uniprot.org/uniprot/M5WZ32","M5WZ32")</f>
        <v>M5WZ32</v>
      </c>
      <c r="D2696" s="2" t="s">
        <v>2592</v>
      </c>
      <c r="E2696" s="3">
        <v>1.3000000000000001E-91</v>
      </c>
      <c r="F2696" s="2">
        <v>729</v>
      </c>
      <c r="G2696" s="2">
        <v>100</v>
      </c>
      <c r="H2696" s="2">
        <v>148</v>
      </c>
      <c r="I2696" s="2">
        <v>409</v>
      </c>
      <c r="J2696" s="2">
        <v>852</v>
      </c>
      <c r="K2696" s="2">
        <v>43</v>
      </c>
      <c r="L2696" s="2">
        <v>190</v>
      </c>
    </row>
    <row r="2697" spans="1:12" x14ac:dyDescent="0.25">
      <c r="A2697" s="4" t="str">
        <f>HYPERLINK("http://www.rosaceae.org/Prunus/Prunus_persica/p.persica_gdr_reftransV1_0021838","p.persica_gdr_reftransV1_0021838")</f>
        <v>p.persica_gdr_reftransV1_0021838</v>
      </c>
      <c r="B2697" s="2">
        <v>2429</v>
      </c>
      <c r="C2697" s="4" t="str">
        <f>HYPERLINK("http://www.uniprot.org/uniprot/M5WP58","M5WP58")</f>
        <v>M5WP58</v>
      </c>
      <c r="D2697" s="2" t="s">
        <v>2593</v>
      </c>
      <c r="E2697" s="3">
        <v>0</v>
      </c>
      <c r="F2697" s="2">
        <v>2628</v>
      </c>
      <c r="G2697" s="2">
        <v>100</v>
      </c>
      <c r="H2697" s="2">
        <v>523</v>
      </c>
      <c r="I2697" s="2">
        <v>245</v>
      </c>
      <c r="J2697" s="2">
        <v>1813</v>
      </c>
      <c r="K2697" s="2">
        <v>12</v>
      </c>
      <c r="L2697" s="2">
        <v>534</v>
      </c>
    </row>
    <row r="2698" spans="1:12" x14ac:dyDescent="0.25">
      <c r="A2698" s="4" t="str">
        <f>HYPERLINK("http://www.rosaceae.org/Prunus/Prunus_persica/p.persica_gdr_reftransV1_0022538","p.persica_gdr_reftransV1_0022538")</f>
        <v>p.persica_gdr_reftransV1_0022538</v>
      </c>
      <c r="B2698" s="2">
        <v>1968</v>
      </c>
      <c r="C2698" s="4" t="str">
        <f>HYPERLINK("http://www.uniprot.org/uniprot/M5XJV9","M5XJV9")</f>
        <v>M5XJV9</v>
      </c>
      <c r="D2698" s="2" t="s">
        <v>2594</v>
      </c>
      <c r="E2698" s="3">
        <v>0</v>
      </c>
      <c r="F2698" s="2">
        <v>2396</v>
      </c>
      <c r="G2698" s="2">
        <v>93</v>
      </c>
      <c r="H2698" s="2">
        <v>511</v>
      </c>
      <c r="I2698" s="2">
        <v>439</v>
      </c>
      <c r="J2698" s="2">
        <v>1968</v>
      </c>
      <c r="K2698" s="2">
        <v>372</v>
      </c>
      <c r="L2698" s="2">
        <v>845</v>
      </c>
    </row>
    <row r="2699" spans="1:12" x14ac:dyDescent="0.25">
      <c r="A2699" s="4" t="str">
        <f>HYPERLINK("http://www.rosaceae.org/Prunus/Prunus_persica/p.persica_gdr_reftransV1_0023238","p.persica_gdr_reftransV1_0023238")</f>
        <v>p.persica_gdr_reftransV1_0023238</v>
      </c>
      <c r="B2699" s="2">
        <v>1938</v>
      </c>
      <c r="C2699" s="4" t="str">
        <f>HYPERLINK("http://www.uniprot.org/uniprot/M5W409","M5W409")</f>
        <v>M5W409</v>
      </c>
      <c r="D2699" s="2" t="s">
        <v>2595</v>
      </c>
      <c r="E2699" s="3">
        <v>0</v>
      </c>
      <c r="F2699" s="2">
        <v>2256</v>
      </c>
      <c r="G2699" s="2">
        <v>100</v>
      </c>
      <c r="H2699" s="2">
        <v>458</v>
      </c>
      <c r="I2699" s="2">
        <v>476</v>
      </c>
      <c r="J2699" s="2">
        <v>1849</v>
      </c>
      <c r="K2699" s="2">
        <v>1</v>
      </c>
      <c r="L2699" s="2">
        <v>458</v>
      </c>
    </row>
    <row r="2700" spans="1:12" x14ac:dyDescent="0.25">
      <c r="A2700" s="4" t="str">
        <f>HYPERLINK("http://www.rosaceae.org/Prunus/Prunus_persica/p.persica_gdr_reftransV1_0023588","p.persica_gdr_reftransV1_0023588")</f>
        <v>p.persica_gdr_reftransV1_0023588</v>
      </c>
      <c r="B2700" s="2">
        <v>1217</v>
      </c>
      <c r="C2700" s="4" t="str">
        <f>HYPERLINK("http://www.uniprot.org/uniprot/M5W8Y9","M5W8Y9")</f>
        <v>M5W8Y9</v>
      </c>
      <c r="D2700" s="2" t="s">
        <v>2596</v>
      </c>
      <c r="E2700" s="3">
        <v>0</v>
      </c>
      <c r="F2700" s="2">
        <v>1338</v>
      </c>
      <c r="G2700" s="2">
        <v>100</v>
      </c>
      <c r="H2700" s="2">
        <v>281</v>
      </c>
      <c r="I2700" s="2">
        <v>258</v>
      </c>
      <c r="J2700" s="2">
        <v>1100</v>
      </c>
      <c r="K2700" s="2">
        <v>1</v>
      </c>
      <c r="L2700" s="2">
        <v>281</v>
      </c>
    </row>
    <row r="2701" spans="1:12" x14ac:dyDescent="0.25">
      <c r="A2701" s="4" t="str">
        <f>HYPERLINK("http://www.rosaceae.org/Prunus/Prunus_persica/p.persica_gdr_reftransV1_0023938","p.persica_gdr_reftransV1_0023938")</f>
        <v>p.persica_gdr_reftransV1_0023938</v>
      </c>
      <c r="B2701" s="2">
        <v>2721</v>
      </c>
      <c r="C2701" s="4" t="str">
        <f>HYPERLINK("http://www.uniprot.org/uniprot/M5XKS1","M5XKS1")</f>
        <v>M5XKS1</v>
      </c>
      <c r="D2701" s="2" t="s">
        <v>2597</v>
      </c>
      <c r="E2701" s="3">
        <v>0</v>
      </c>
      <c r="F2701" s="2">
        <v>3791</v>
      </c>
      <c r="G2701" s="2">
        <v>100</v>
      </c>
      <c r="H2701" s="2">
        <v>776</v>
      </c>
      <c r="I2701" s="2">
        <v>177</v>
      </c>
      <c r="J2701" s="2">
        <v>2504</v>
      </c>
      <c r="K2701" s="2">
        <v>1</v>
      </c>
      <c r="L2701" s="2">
        <v>776</v>
      </c>
    </row>
    <row r="2702" spans="1:12" x14ac:dyDescent="0.25">
      <c r="A2702" s="4" t="str">
        <f>HYPERLINK("http://www.rosaceae.org/Prunus/Prunus_persica/p.persica_gdr_reftransV1_0024638","p.persica_gdr_reftransV1_0024638")</f>
        <v>p.persica_gdr_reftransV1_0024638</v>
      </c>
      <c r="B2702" s="2">
        <v>2392</v>
      </c>
      <c r="C2702" s="4" t="str">
        <f>HYPERLINK("http://www.uniprot.org/uniprot/M5XWU3","M5XWU3")</f>
        <v>M5XWU3</v>
      </c>
      <c r="D2702" s="2" t="s">
        <v>2598</v>
      </c>
      <c r="E2702" s="3">
        <v>6.2599999999999998E-171</v>
      </c>
      <c r="F2702" s="2">
        <v>1309</v>
      </c>
      <c r="G2702" s="2">
        <v>99</v>
      </c>
      <c r="H2702" s="2">
        <v>247</v>
      </c>
      <c r="I2702" s="2">
        <v>239</v>
      </c>
      <c r="J2702" s="2">
        <v>979</v>
      </c>
      <c r="K2702" s="2">
        <v>2</v>
      </c>
      <c r="L2702" s="2">
        <v>248</v>
      </c>
    </row>
    <row r="2703" spans="1:12" x14ac:dyDescent="0.25">
      <c r="A2703" s="4" t="str">
        <f>HYPERLINK("http://www.rosaceae.org/Prunus/Prunus_persica/p.persica_gdr_reftransV1_0024988","p.persica_gdr_reftransV1_0024988")</f>
        <v>p.persica_gdr_reftransV1_0024988</v>
      </c>
      <c r="B2703" s="2">
        <v>3517</v>
      </c>
      <c r="C2703" s="4" t="str">
        <f>HYPERLINK("http://www.uniprot.org/uniprot/M5X6B0","M5X6B0")</f>
        <v>M5X6B0</v>
      </c>
      <c r="D2703" s="2" t="s">
        <v>2599</v>
      </c>
      <c r="E2703" s="3">
        <v>0</v>
      </c>
      <c r="F2703" s="2">
        <v>3965</v>
      </c>
      <c r="G2703" s="2">
        <v>98</v>
      </c>
      <c r="H2703" s="2">
        <v>801</v>
      </c>
      <c r="I2703" s="2">
        <v>461</v>
      </c>
      <c r="J2703" s="2">
        <v>2863</v>
      </c>
      <c r="K2703" s="2">
        <v>118</v>
      </c>
      <c r="L2703" s="2">
        <v>911</v>
      </c>
    </row>
    <row r="2704" spans="1:12" x14ac:dyDescent="0.25">
      <c r="A2704" s="4" t="str">
        <f>HYPERLINK("http://www.rosaceae.org/Prunus/Prunus_persica/p.persica_gdr_reftransV1_0026388","p.persica_gdr_reftransV1_0026388")</f>
        <v>p.persica_gdr_reftransV1_0026388</v>
      </c>
      <c r="B2704" s="2">
        <v>2089</v>
      </c>
      <c r="C2704" s="4" t="str">
        <f>HYPERLINK("http://www.uniprot.org/uniprot/M5WYI0","M5WYI0")</f>
        <v>M5WYI0</v>
      </c>
      <c r="D2704" s="2" t="s">
        <v>1674</v>
      </c>
      <c r="E2704" s="3">
        <v>0</v>
      </c>
      <c r="F2704" s="2">
        <v>1641</v>
      </c>
      <c r="G2704" s="2">
        <v>99</v>
      </c>
      <c r="H2704" s="2">
        <v>373</v>
      </c>
      <c r="I2704" s="2">
        <v>2</v>
      </c>
      <c r="J2704" s="2">
        <v>1120</v>
      </c>
      <c r="K2704" s="2">
        <v>150</v>
      </c>
      <c r="L2704" s="2">
        <v>522</v>
      </c>
    </row>
    <row r="2705" spans="1:12" x14ac:dyDescent="0.25">
      <c r="A2705" s="4" t="str">
        <f>HYPERLINK("http://www.rosaceae.org/Prunus/Prunus_persica/p.persica_gdr_reftransV1_0027088","p.persica_gdr_reftransV1_0027088")</f>
        <v>p.persica_gdr_reftransV1_0027088</v>
      </c>
      <c r="B2705" s="2">
        <v>1192</v>
      </c>
      <c r="C2705" s="4" t="str">
        <f>HYPERLINK("http://www.uniprot.org/uniprot/I1KAD4","I1KAD4")</f>
        <v>I1KAD4</v>
      </c>
      <c r="D2705" s="2" t="s">
        <v>1584</v>
      </c>
      <c r="E2705" s="3">
        <v>1.16E-82</v>
      </c>
      <c r="F2705" s="2">
        <v>671</v>
      </c>
      <c r="G2705" s="2">
        <v>65</v>
      </c>
      <c r="H2705" s="2">
        <v>227</v>
      </c>
      <c r="I2705" s="2">
        <v>291</v>
      </c>
      <c r="J2705" s="2">
        <v>971</v>
      </c>
      <c r="K2705" s="2">
        <v>1</v>
      </c>
      <c r="L2705" s="2">
        <v>193</v>
      </c>
    </row>
    <row r="2706" spans="1:12" x14ac:dyDescent="0.25">
      <c r="A2706" s="4" t="str">
        <f>HYPERLINK("http://www.rosaceae.org/Prunus/Prunus_persica/p.persica_gdr_reftransV1_0027438","p.persica_gdr_reftransV1_0027438")</f>
        <v>p.persica_gdr_reftransV1_0027438</v>
      </c>
      <c r="B2706" s="2">
        <v>1015</v>
      </c>
      <c r="C2706" s="4" t="str">
        <f>HYPERLINK("http://www.uniprot.org/uniprot/B6CQU3","B6CQU3")</f>
        <v>B6CQU3</v>
      </c>
      <c r="D2706" s="2" t="s">
        <v>2600</v>
      </c>
      <c r="E2706" s="3">
        <v>3.5500000000000003E-70</v>
      </c>
      <c r="F2706" s="2">
        <v>575</v>
      </c>
      <c r="G2706" s="2">
        <v>100</v>
      </c>
      <c r="H2706" s="2">
        <v>115</v>
      </c>
      <c r="I2706" s="2">
        <v>72</v>
      </c>
      <c r="J2706" s="2">
        <v>416</v>
      </c>
      <c r="K2706" s="2">
        <v>1</v>
      </c>
      <c r="L2706" s="2">
        <v>115</v>
      </c>
    </row>
    <row r="2707" spans="1:12" x14ac:dyDescent="0.25">
      <c r="A2707" s="4" t="str">
        <f>HYPERLINK("http://www.rosaceae.org/Prunus/Prunus_persica/p.persica_gdr_reftransV1_0028838","p.persica_gdr_reftransV1_0028838")</f>
        <v>p.persica_gdr_reftransV1_0028838</v>
      </c>
      <c r="B2707" s="2">
        <v>5014</v>
      </c>
      <c r="C2707" s="4" t="str">
        <f>HYPERLINK("http://www.uniprot.org/uniprot/M5WSD3","M5WSD3")</f>
        <v>M5WSD3</v>
      </c>
      <c r="D2707" s="2" t="s">
        <v>2601</v>
      </c>
      <c r="E2707" s="3">
        <v>2.51E-166</v>
      </c>
      <c r="F2707" s="2">
        <v>1020</v>
      </c>
      <c r="G2707" s="2">
        <v>98</v>
      </c>
      <c r="H2707" s="2">
        <v>198</v>
      </c>
      <c r="I2707" s="2">
        <v>1536</v>
      </c>
      <c r="J2707" s="2">
        <v>2129</v>
      </c>
      <c r="K2707" s="2">
        <v>55</v>
      </c>
      <c r="L2707" s="2">
        <v>252</v>
      </c>
    </row>
    <row r="2708" spans="1:12" x14ac:dyDescent="0.25">
      <c r="A2708" s="4" t="str">
        <f>HYPERLINK("http://www.rosaceae.org/Prunus/Prunus_persica/p.persica_gdr_reftransV1_0029888","p.persica_gdr_reftransV1_0029888")</f>
        <v>p.persica_gdr_reftransV1_0029888</v>
      </c>
      <c r="B2708" s="2">
        <v>2785</v>
      </c>
      <c r="C2708" s="4" t="str">
        <f>HYPERLINK("http://www.uniprot.org/uniprot/M5WJW0","M5WJW0")</f>
        <v>M5WJW0</v>
      </c>
      <c r="D2708" s="2" t="s">
        <v>2602</v>
      </c>
      <c r="E2708" s="3">
        <v>0</v>
      </c>
      <c r="F2708" s="2">
        <v>1161</v>
      </c>
      <c r="G2708" s="2">
        <v>82</v>
      </c>
      <c r="H2708" s="2">
        <v>282</v>
      </c>
      <c r="I2708" s="2">
        <v>979</v>
      </c>
      <c r="J2708" s="2">
        <v>1824</v>
      </c>
      <c r="K2708" s="2">
        <v>190</v>
      </c>
      <c r="L2708" s="2">
        <v>424</v>
      </c>
    </row>
    <row r="2709" spans="1:12" x14ac:dyDescent="0.25">
      <c r="A2709" s="4" t="str">
        <f>HYPERLINK("http://www.rosaceae.org/Prunus/Prunus_persica/p.persica_gdr_reftransV1_0030588","p.persica_gdr_reftransV1_0030588")</f>
        <v>p.persica_gdr_reftransV1_0030588</v>
      </c>
      <c r="B2709" s="2">
        <v>2040</v>
      </c>
      <c r="C2709" s="4" t="str">
        <f>HYPERLINK("http://www.uniprot.org/uniprot/M5WN82","M5WN82")</f>
        <v>M5WN82</v>
      </c>
      <c r="D2709" s="2" t="s">
        <v>2603</v>
      </c>
      <c r="E2709" s="3">
        <v>0</v>
      </c>
      <c r="F2709" s="2">
        <v>2284</v>
      </c>
      <c r="G2709" s="2">
        <v>100</v>
      </c>
      <c r="H2709" s="2">
        <v>448</v>
      </c>
      <c r="I2709" s="2">
        <v>376</v>
      </c>
      <c r="J2709" s="2">
        <v>1719</v>
      </c>
      <c r="K2709" s="2">
        <v>33</v>
      </c>
      <c r="L2709" s="2">
        <v>480</v>
      </c>
    </row>
    <row r="2710" spans="1:12" x14ac:dyDescent="0.25">
      <c r="A2710" s="4" t="str">
        <f>HYPERLINK("http://www.rosaceae.org/Prunus/Prunus_persica/p.persica_gdr_reftransV1_0032688","p.persica_gdr_reftransV1_0032688")</f>
        <v>p.persica_gdr_reftransV1_0032688</v>
      </c>
      <c r="B2710" s="2">
        <v>1430</v>
      </c>
      <c r="C2710" s="4" t="str">
        <f>HYPERLINK("http://www.uniprot.org/uniprot/H6SV48","H6SV48")</f>
        <v>H6SV48</v>
      </c>
      <c r="D2710" s="2" t="s">
        <v>2604</v>
      </c>
      <c r="E2710" s="3">
        <v>0</v>
      </c>
      <c r="F2710" s="2">
        <v>1758</v>
      </c>
      <c r="G2710" s="2">
        <v>100</v>
      </c>
      <c r="H2710" s="2">
        <v>361</v>
      </c>
      <c r="I2710" s="2">
        <v>222</v>
      </c>
      <c r="J2710" s="2">
        <v>1304</v>
      </c>
      <c r="K2710" s="2">
        <v>1</v>
      </c>
      <c r="L2710" s="2">
        <v>361</v>
      </c>
    </row>
    <row r="2711" spans="1:12" x14ac:dyDescent="0.25">
      <c r="A2711" s="4" t="str">
        <f>HYPERLINK("http://www.rosaceae.org/Prunus/Prunus_persica/p.persica_gdr_reftransV1_0033738","p.persica_gdr_reftransV1_0033738")</f>
        <v>p.persica_gdr_reftransV1_0033738</v>
      </c>
      <c r="B2711" s="2">
        <v>1533</v>
      </c>
      <c r="C2711" s="4" t="str">
        <f>HYPERLINK("http://www.uniprot.org/uniprot/M5WWG3","M5WWG3")</f>
        <v>M5WWG3</v>
      </c>
      <c r="D2711" s="2" t="s">
        <v>2605</v>
      </c>
      <c r="E2711" s="3">
        <v>4.1800000000000003E-172</v>
      </c>
      <c r="F2711" s="2">
        <v>1270</v>
      </c>
      <c r="G2711" s="2">
        <v>100</v>
      </c>
      <c r="H2711" s="2">
        <v>238</v>
      </c>
      <c r="I2711" s="2">
        <v>819</v>
      </c>
      <c r="J2711" s="2">
        <v>1532</v>
      </c>
      <c r="K2711" s="2">
        <v>225</v>
      </c>
      <c r="L2711" s="2">
        <v>462</v>
      </c>
    </row>
    <row r="2712" spans="1:12" x14ac:dyDescent="0.25">
      <c r="A2712" s="4" t="str">
        <f>HYPERLINK("http://www.rosaceae.org/Prunus/Prunus_persica/p.persica_gdr_reftransV1_0034088","p.persica_gdr_reftransV1_0034088")</f>
        <v>p.persica_gdr_reftransV1_0034088</v>
      </c>
      <c r="B2712" s="2">
        <v>4642</v>
      </c>
      <c r="C2712" s="4" t="str">
        <f>HYPERLINK("http://www.uniprot.org/uniprot/M5VK65","M5VK65")</f>
        <v>M5VK65</v>
      </c>
      <c r="D2712" s="2" t="s">
        <v>2606</v>
      </c>
      <c r="E2712" s="3">
        <v>0</v>
      </c>
      <c r="F2712" s="2">
        <v>2351</v>
      </c>
      <c r="G2712" s="2">
        <v>97</v>
      </c>
      <c r="H2712" s="2">
        <v>485</v>
      </c>
      <c r="I2712" s="2">
        <v>532</v>
      </c>
      <c r="J2712" s="2">
        <v>1986</v>
      </c>
      <c r="K2712" s="2">
        <v>1</v>
      </c>
      <c r="L2712" s="2">
        <v>485</v>
      </c>
    </row>
    <row r="2713" spans="1:12" x14ac:dyDescent="0.25">
      <c r="A2713" s="4" t="str">
        <f>HYPERLINK("http://www.rosaceae.org/Prunus/Prunus_persica/p.persica_gdr_reftransV1_0034788","p.persica_gdr_reftransV1_0034788")</f>
        <v>p.persica_gdr_reftransV1_0034788</v>
      </c>
      <c r="B2713" s="2">
        <v>1868</v>
      </c>
      <c r="C2713" s="4" t="str">
        <f>HYPERLINK("http://www.uniprot.org/uniprot/M5W8B8","M5W8B8")</f>
        <v>M5W8B8</v>
      </c>
      <c r="D2713" s="2" t="s">
        <v>2607</v>
      </c>
      <c r="E2713" s="3">
        <v>2.3E-70</v>
      </c>
      <c r="F2713" s="2">
        <v>593</v>
      </c>
      <c r="G2713" s="2">
        <v>99</v>
      </c>
      <c r="H2713" s="2">
        <v>147</v>
      </c>
      <c r="I2713" s="2">
        <v>1151</v>
      </c>
      <c r="J2713" s="2">
        <v>1591</v>
      </c>
      <c r="K2713" s="2">
        <v>14</v>
      </c>
      <c r="L2713" s="2">
        <v>160</v>
      </c>
    </row>
    <row r="2714" spans="1:12" x14ac:dyDescent="0.25">
      <c r="A2714" s="4" t="str">
        <f>HYPERLINK("http://www.rosaceae.org/Prunus/Prunus_persica/p.persica_gdr_reftransV1_0035838","p.persica_gdr_reftransV1_0035838")</f>
        <v>p.persica_gdr_reftransV1_0035838</v>
      </c>
      <c r="B2714" s="2">
        <v>3975</v>
      </c>
      <c r="C2714" s="4" t="str">
        <f>HYPERLINK("http://www.uniprot.org/uniprot/M5W171","M5W171")</f>
        <v>M5W171</v>
      </c>
      <c r="D2714" s="2" t="s">
        <v>1000</v>
      </c>
      <c r="E2714" s="3">
        <v>0</v>
      </c>
      <c r="F2714" s="2">
        <v>5591</v>
      </c>
      <c r="G2714" s="2">
        <v>100</v>
      </c>
      <c r="H2714" s="2">
        <v>1071</v>
      </c>
      <c r="I2714" s="2">
        <v>78</v>
      </c>
      <c r="J2714" s="2">
        <v>3290</v>
      </c>
      <c r="K2714" s="2">
        <v>43</v>
      </c>
      <c r="L2714" s="2">
        <v>1113</v>
      </c>
    </row>
    <row r="2715" spans="1:12" x14ac:dyDescent="0.25">
      <c r="A2715" s="4" t="str">
        <f>HYPERLINK("http://www.rosaceae.org/Prunus/Prunus_persica/p.persica_gdr_reftransV1_0037238","p.persica_gdr_reftransV1_0037238")</f>
        <v>p.persica_gdr_reftransV1_0037238</v>
      </c>
      <c r="B2715" s="2">
        <v>2425</v>
      </c>
      <c r="C2715" s="4" t="str">
        <f>HYPERLINK("http://www.uniprot.org/uniprot/M5WIR5","M5WIR5")</f>
        <v>M5WIR5</v>
      </c>
      <c r="D2715" s="2" t="s">
        <v>2608</v>
      </c>
      <c r="E2715" s="3">
        <v>1.61E-176</v>
      </c>
      <c r="F2715" s="2">
        <v>1352</v>
      </c>
      <c r="G2715" s="2">
        <v>98</v>
      </c>
      <c r="H2715" s="2">
        <v>253</v>
      </c>
      <c r="I2715" s="2">
        <v>1000</v>
      </c>
      <c r="J2715" s="2">
        <v>1758</v>
      </c>
      <c r="K2715" s="2">
        <v>137</v>
      </c>
      <c r="L2715" s="2">
        <v>389</v>
      </c>
    </row>
    <row r="2716" spans="1:12" x14ac:dyDescent="0.25">
      <c r="A2716" s="4" t="str">
        <f>HYPERLINK("http://www.rosaceae.org/Prunus/Prunus_persica/p.persica_gdr_reftransV1_0037938","p.persica_gdr_reftransV1_0037938")</f>
        <v>p.persica_gdr_reftransV1_0037938</v>
      </c>
      <c r="B2716" s="2">
        <v>1341</v>
      </c>
      <c r="C2716" s="4" t="str">
        <f>HYPERLINK("http://www.uniprot.org/uniprot/M5XKY6","M5XKY6")</f>
        <v>M5XKY6</v>
      </c>
      <c r="D2716" s="2" t="s">
        <v>144</v>
      </c>
      <c r="E2716" s="3">
        <v>0</v>
      </c>
      <c r="F2716" s="2">
        <v>1645</v>
      </c>
      <c r="G2716" s="2">
        <v>88</v>
      </c>
      <c r="H2716" s="2">
        <v>391</v>
      </c>
      <c r="I2716" s="2">
        <v>183</v>
      </c>
      <c r="J2716" s="2">
        <v>1340</v>
      </c>
      <c r="K2716" s="2">
        <v>1</v>
      </c>
      <c r="L2716" s="2">
        <v>390</v>
      </c>
    </row>
    <row r="2717" spans="1:12" x14ac:dyDescent="0.25">
      <c r="A2717" s="4" t="str">
        <f>HYPERLINK("http://www.rosaceae.org/Prunus/Prunus_persica/p.persica_gdr_reftransV1_0038288","p.persica_gdr_reftransV1_0038288")</f>
        <v>p.persica_gdr_reftransV1_0038288</v>
      </c>
      <c r="B2717" s="2">
        <v>2015</v>
      </c>
      <c r="C2717" s="4" t="str">
        <f>HYPERLINK("http://www.uniprot.org/uniprot/M5XAK7","M5XAK7")</f>
        <v>M5XAK7</v>
      </c>
      <c r="D2717" s="2" t="s">
        <v>2609</v>
      </c>
      <c r="E2717" s="3">
        <v>0</v>
      </c>
      <c r="F2717" s="2">
        <v>2813</v>
      </c>
      <c r="G2717" s="2">
        <v>100</v>
      </c>
      <c r="H2717" s="2">
        <v>619</v>
      </c>
      <c r="I2717" s="2">
        <v>152</v>
      </c>
      <c r="J2717" s="2">
        <v>2008</v>
      </c>
      <c r="K2717" s="2">
        <v>204</v>
      </c>
      <c r="L2717" s="2">
        <v>822</v>
      </c>
    </row>
    <row r="2718" spans="1:12" x14ac:dyDescent="0.25">
      <c r="A2718" s="4" t="str">
        <f>HYPERLINK("http://www.rosaceae.org/Prunus/Prunus_persica/p.persica_gdr_reftransV1_0038988","p.persica_gdr_reftransV1_0038988")</f>
        <v>p.persica_gdr_reftransV1_0038988</v>
      </c>
      <c r="B2718" s="2">
        <v>2623</v>
      </c>
      <c r="C2718" s="4" t="str">
        <f>HYPERLINK("http://www.uniprot.org/uniprot/M5VWP4","M5VWP4")</f>
        <v>M5VWP4</v>
      </c>
      <c r="D2718" s="2" t="s">
        <v>2610</v>
      </c>
      <c r="E2718" s="3">
        <v>0</v>
      </c>
      <c r="F2718" s="2">
        <v>2696</v>
      </c>
      <c r="G2718" s="2">
        <v>100</v>
      </c>
      <c r="H2718" s="2">
        <v>541</v>
      </c>
      <c r="I2718" s="2">
        <v>867</v>
      </c>
      <c r="J2718" s="2">
        <v>2489</v>
      </c>
      <c r="K2718" s="2">
        <v>1</v>
      </c>
      <c r="L2718" s="2">
        <v>541</v>
      </c>
    </row>
    <row r="2719" spans="1:12" x14ac:dyDescent="0.25">
      <c r="A2719" s="4" t="str">
        <f>HYPERLINK("http://www.rosaceae.org/Prunus/Prunus_persica/p.persica_gdr_reftransV1_0040738","p.persica_gdr_reftransV1_0040738")</f>
        <v>p.persica_gdr_reftransV1_0040738</v>
      </c>
      <c r="B2719" s="2">
        <v>1731</v>
      </c>
      <c r="C2719" s="4" t="str">
        <f>HYPERLINK("http://www.uniprot.org/uniprot/M5WYR8","M5WYR8")</f>
        <v>M5WYR8</v>
      </c>
      <c r="D2719" s="2" t="s">
        <v>2611</v>
      </c>
      <c r="E2719" s="3">
        <v>1.28E-62</v>
      </c>
      <c r="F2719" s="2">
        <v>508</v>
      </c>
      <c r="G2719" s="2">
        <v>98</v>
      </c>
      <c r="H2719" s="2">
        <v>96</v>
      </c>
      <c r="I2719" s="2">
        <v>1096</v>
      </c>
      <c r="J2719" s="2">
        <v>1383</v>
      </c>
      <c r="K2719" s="2">
        <v>72</v>
      </c>
      <c r="L2719" s="2">
        <v>167</v>
      </c>
    </row>
    <row r="2720" spans="1:12" x14ac:dyDescent="0.25">
      <c r="A2720" s="4" t="str">
        <f>HYPERLINK("http://www.rosaceae.org/Prunus/Prunus_persica/p.persica_gdr_reftransV1_0041438","p.persica_gdr_reftransV1_0041438")</f>
        <v>p.persica_gdr_reftransV1_0041438</v>
      </c>
      <c r="B2720" s="2">
        <v>10488</v>
      </c>
      <c r="C2720" s="4" t="str">
        <f>HYPERLINK("http://www.uniprot.org/uniprot/M5XL73","M5XL73")</f>
        <v>M5XL73</v>
      </c>
      <c r="D2720" s="2" t="s">
        <v>2612</v>
      </c>
      <c r="E2720" s="3">
        <v>0</v>
      </c>
      <c r="F2720" s="2">
        <v>8851</v>
      </c>
      <c r="G2720" s="2">
        <v>96</v>
      </c>
      <c r="H2720" s="2">
        <v>1804</v>
      </c>
      <c r="I2720" s="2">
        <v>341</v>
      </c>
      <c r="J2720" s="2">
        <v>5752</v>
      </c>
      <c r="K2720" s="2">
        <v>1</v>
      </c>
      <c r="L2720" s="2">
        <v>1735</v>
      </c>
    </row>
    <row r="2721" spans="1:12" x14ac:dyDescent="0.25">
      <c r="A2721" s="4" t="str">
        <f>HYPERLINK("http://www.rosaceae.org/Prunus/Prunus_persica/p.persica_gdr_reftransV1_0043188","p.persica_gdr_reftransV1_0043188")</f>
        <v>p.persica_gdr_reftransV1_0043188</v>
      </c>
      <c r="B2721" s="2">
        <v>2680</v>
      </c>
      <c r="C2721" s="4" t="str">
        <f>HYPERLINK("http://www.uniprot.org/uniprot/M5W877","M5W877")</f>
        <v>M5W877</v>
      </c>
      <c r="D2721" s="2" t="s">
        <v>2613</v>
      </c>
      <c r="E2721" s="3">
        <v>0</v>
      </c>
      <c r="F2721" s="2">
        <v>3434</v>
      </c>
      <c r="G2721" s="2">
        <v>100</v>
      </c>
      <c r="H2721" s="2">
        <v>684</v>
      </c>
      <c r="I2721" s="2">
        <v>257</v>
      </c>
      <c r="J2721" s="2">
        <v>2308</v>
      </c>
      <c r="K2721" s="2">
        <v>55</v>
      </c>
      <c r="L2721" s="2">
        <v>738</v>
      </c>
    </row>
    <row r="2722" spans="1:12" x14ac:dyDescent="0.25">
      <c r="A2722" s="4" t="str">
        <f>HYPERLINK("http://www.rosaceae.org/Prunus/Prunus_persica/p.persica_gdr_reftransV1_0043538","p.persica_gdr_reftransV1_0043538")</f>
        <v>p.persica_gdr_reftransV1_0043538</v>
      </c>
      <c r="B2722" s="2">
        <v>671</v>
      </c>
      <c r="C2722" s="4" t="str">
        <f>HYPERLINK("http://www.uniprot.org/uniprot/M5XEI9","M5XEI9")</f>
        <v>M5XEI9</v>
      </c>
      <c r="D2722" s="2" t="s">
        <v>2614</v>
      </c>
      <c r="E2722" s="3">
        <v>2.3499999999999998E-134</v>
      </c>
      <c r="F2722" s="2">
        <v>1013</v>
      </c>
      <c r="G2722" s="2">
        <v>100</v>
      </c>
      <c r="H2722" s="2">
        <v>223</v>
      </c>
      <c r="I2722" s="2">
        <v>2</v>
      </c>
      <c r="J2722" s="2">
        <v>670</v>
      </c>
      <c r="K2722" s="2">
        <v>132</v>
      </c>
      <c r="L2722" s="2">
        <v>354</v>
      </c>
    </row>
    <row r="2723" spans="1:12" x14ac:dyDescent="0.25">
      <c r="A2723" s="4" t="str">
        <f>HYPERLINK("http://www.rosaceae.org/Prunus/Prunus_persica/p.persica_gdr_reftransV1_0043888","p.persica_gdr_reftransV1_0043888")</f>
        <v>p.persica_gdr_reftransV1_0043888</v>
      </c>
      <c r="B2723" s="2">
        <v>583</v>
      </c>
      <c r="C2723" s="4" t="str">
        <f>HYPERLINK("http://www.uniprot.org/uniprot/M5XF00","M5XF00")</f>
        <v>M5XF00</v>
      </c>
      <c r="D2723" s="2" t="s">
        <v>2615</v>
      </c>
      <c r="E2723" s="3">
        <v>1.15E-65</v>
      </c>
      <c r="F2723" s="2">
        <v>560</v>
      </c>
      <c r="G2723" s="2">
        <v>100</v>
      </c>
      <c r="H2723" s="2">
        <v>107</v>
      </c>
      <c r="I2723" s="2">
        <v>1</v>
      </c>
      <c r="J2723" s="2">
        <v>321</v>
      </c>
      <c r="K2723" s="2">
        <v>1</v>
      </c>
      <c r="L2723" s="2">
        <v>107</v>
      </c>
    </row>
    <row r="2724" spans="1:12" x14ac:dyDescent="0.25">
      <c r="A2724" s="4" t="str">
        <f>HYPERLINK("http://www.rosaceae.org/Prunus/Prunus_persica/p.persica_gdr_reftransV1_0044238","p.persica_gdr_reftransV1_0044238")</f>
        <v>p.persica_gdr_reftransV1_0044238</v>
      </c>
      <c r="B2724" s="2">
        <v>1346</v>
      </c>
      <c r="C2724" s="4" t="str">
        <f>HYPERLINK("http://www.uniprot.org/uniprot/M5XSM5","M5XSM5")</f>
        <v>M5XSM5</v>
      </c>
      <c r="D2724" s="2" t="s">
        <v>2616</v>
      </c>
      <c r="E2724" s="3">
        <v>0</v>
      </c>
      <c r="F2724" s="2">
        <v>1714</v>
      </c>
      <c r="G2724" s="2">
        <v>92</v>
      </c>
      <c r="H2724" s="2">
        <v>366</v>
      </c>
      <c r="I2724" s="2">
        <v>212</v>
      </c>
      <c r="J2724" s="2">
        <v>1309</v>
      </c>
      <c r="K2724" s="2">
        <v>1</v>
      </c>
      <c r="L2724" s="2">
        <v>366</v>
      </c>
    </row>
    <row r="2725" spans="1:12" x14ac:dyDescent="0.25">
      <c r="A2725" s="4" t="str">
        <f>HYPERLINK("http://www.rosaceae.org/Prunus/Prunus_persica/p.persica_gdr_reftransV1_0044588","p.persica_gdr_reftransV1_0044588")</f>
        <v>p.persica_gdr_reftransV1_0044588</v>
      </c>
      <c r="B2725" s="2">
        <v>1926</v>
      </c>
      <c r="C2725" s="4" t="str">
        <f>HYPERLINK("http://www.uniprot.org/uniprot/M5XB82","M5XB82")</f>
        <v>M5XB82</v>
      </c>
      <c r="D2725" s="2" t="s">
        <v>2617</v>
      </c>
      <c r="E2725" s="3">
        <v>6.0300000000000006E-113</v>
      </c>
      <c r="F2725" s="2">
        <v>976</v>
      </c>
      <c r="G2725" s="2">
        <v>69</v>
      </c>
      <c r="H2725" s="2">
        <v>293</v>
      </c>
      <c r="I2725" s="2">
        <v>883</v>
      </c>
      <c r="J2725" s="2">
        <v>1740</v>
      </c>
      <c r="K2725" s="2">
        <v>668</v>
      </c>
      <c r="L2725" s="2">
        <v>918</v>
      </c>
    </row>
    <row r="2726" spans="1:12" x14ac:dyDescent="0.25">
      <c r="A2726" s="4" t="str">
        <f>HYPERLINK("http://www.rosaceae.org/Prunus/Prunus_persica/p.persica_gdr_reftransV1_0044938","p.persica_gdr_reftransV1_0044938")</f>
        <v>p.persica_gdr_reftransV1_0044938</v>
      </c>
      <c r="B2726" s="2">
        <v>545</v>
      </c>
      <c r="C2726" s="4" t="str">
        <f>HYPERLINK("http://www.uniprot.org/uniprot/M5WK06","M5WK06")</f>
        <v>M5WK06</v>
      </c>
      <c r="D2726" s="2" t="s">
        <v>2618</v>
      </c>
      <c r="E2726" s="3">
        <v>4.5099999999999998E-95</v>
      </c>
      <c r="F2726" s="2">
        <v>757</v>
      </c>
      <c r="G2726" s="2">
        <v>99</v>
      </c>
      <c r="H2726" s="2">
        <v>181</v>
      </c>
      <c r="I2726" s="2">
        <v>2</v>
      </c>
      <c r="J2726" s="2">
        <v>544</v>
      </c>
      <c r="K2726" s="2">
        <v>14</v>
      </c>
      <c r="L2726" s="2">
        <v>194</v>
      </c>
    </row>
    <row r="2727" spans="1:12" x14ac:dyDescent="0.25">
      <c r="A2727" s="4" t="str">
        <f>HYPERLINK("http://www.rosaceae.org/Prunus/Prunus_persica/p.persica_gdr_reftransV1_0045638","p.persica_gdr_reftransV1_0045638")</f>
        <v>p.persica_gdr_reftransV1_0045638</v>
      </c>
      <c r="B2727" s="2">
        <v>338</v>
      </c>
      <c r="C2727" s="4" t="str">
        <f>HYPERLINK("http://www.uniprot.org/uniprot/M5WL17","M5WL17")</f>
        <v>M5WL17</v>
      </c>
      <c r="D2727" s="2" t="s">
        <v>2619</v>
      </c>
      <c r="E2727" s="3">
        <v>8.54E-13</v>
      </c>
      <c r="F2727" s="2">
        <v>171</v>
      </c>
      <c r="G2727" s="2">
        <v>100</v>
      </c>
      <c r="H2727" s="2">
        <v>35</v>
      </c>
      <c r="I2727" s="2">
        <v>234</v>
      </c>
      <c r="J2727" s="2">
        <v>338</v>
      </c>
      <c r="K2727" s="2">
        <v>86</v>
      </c>
      <c r="L2727" s="2">
        <v>120</v>
      </c>
    </row>
    <row r="2728" spans="1:12" x14ac:dyDescent="0.25">
      <c r="A2728" s="4" t="str">
        <f>HYPERLINK("http://www.rosaceae.org/Prunus/Prunus_persica/p.persica_gdr_reftransV1_0046338","p.persica_gdr_reftransV1_0046338")</f>
        <v>p.persica_gdr_reftransV1_0046338</v>
      </c>
      <c r="B2728" s="2">
        <v>2282</v>
      </c>
      <c r="C2728" s="4" t="str">
        <f>HYPERLINK("http://www.uniprot.org/uniprot/M5Y540","M5Y540")</f>
        <v>M5Y540</v>
      </c>
      <c r="D2728" s="2" t="s">
        <v>2620</v>
      </c>
      <c r="E2728" s="3">
        <v>1.04E-162</v>
      </c>
      <c r="F2728" s="2">
        <v>1103</v>
      </c>
      <c r="G2728" s="2">
        <v>100</v>
      </c>
      <c r="H2728" s="2">
        <v>207</v>
      </c>
      <c r="I2728" s="2">
        <v>810</v>
      </c>
      <c r="J2728" s="2">
        <v>1430</v>
      </c>
      <c r="K2728" s="2">
        <v>83</v>
      </c>
      <c r="L2728" s="2">
        <v>289</v>
      </c>
    </row>
    <row r="2729" spans="1:12" x14ac:dyDescent="0.25">
      <c r="A2729" s="4" t="str">
        <f>HYPERLINK("http://www.rosaceae.org/Prunus/Prunus_persica/p.persica_gdr_reftransV1_0046688","p.persica_gdr_reftransV1_0046688")</f>
        <v>p.persica_gdr_reftransV1_0046688</v>
      </c>
      <c r="B2729" s="2">
        <v>595</v>
      </c>
      <c r="C2729" s="4" t="str">
        <f>HYPERLINK("http://www.uniprot.org/uniprot/M5X0E5","M5X0E5")</f>
        <v>M5X0E5</v>
      </c>
      <c r="D2729" s="2" t="s">
        <v>1447</v>
      </c>
      <c r="E2729" s="3">
        <v>1.4700000000000001E-127</v>
      </c>
      <c r="F2729" s="2">
        <v>1035</v>
      </c>
      <c r="G2729" s="2">
        <v>100</v>
      </c>
      <c r="H2729" s="2">
        <v>192</v>
      </c>
      <c r="I2729" s="2">
        <v>3</v>
      </c>
      <c r="J2729" s="2">
        <v>578</v>
      </c>
      <c r="K2729" s="2">
        <v>1294</v>
      </c>
      <c r="L2729" s="2">
        <v>1485</v>
      </c>
    </row>
    <row r="2730" spans="1:12" x14ac:dyDescent="0.25">
      <c r="A2730" s="4" t="str">
        <f>HYPERLINK("http://www.rosaceae.org/Prunus/Prunus_persica/p.persica_gdr_reftransV1_0047038","p.persica_gdr_reftransV1_0047038")</f>
        <v>p.persica_gdr_reftransV1_0047038</v>
      </c>
      <c r="B2730" s="2">
        <v>2474</v>
      </c>
      <c r="C2730" s="4" t="str">
        <f>HYPERLINK("http://www.uniprot.org/uniprot/M5XQX1","M5XQX1")</f>
        <v>M5XQX1</v>
      </c>
      <c r="D2730" s="2" t="s">
        <v>2621</v>
      </c>
      <c r="E2730" s="3">
        <v>0</v>
      </c>
      <c r="F2730" s="2">
        <v>3745</v>
      </c>
      <c r="G2730" s="2">
        <v>100</v>
      </c>
      <c r="H2730" s="2">
        <v>727</v>
      </c>
      <c r="I2730" s="2">
        <v>161</v>
      </c>
      <c r="J2730" s="2">
        <v>2341</v>
      </c>
      <c r="K2730" s="2">
        <v>1</v>
      </c>
      <c r="L2730" s="2">
        <v>727</v>
      </c>
    </row>
    <row r="2731" spans="1:12" x14ac:dyDescent="0.25">
      <c r="A2731" s="4" t="str">
        <f>HYPERLINK("http://www.rosaceae.org/Prunus/Prunus_persica/p.persica_gdr_reftransV1_0047388","p.persica_gdr_reftransV1_0047388")</f>
        <v>p.persica_gdr_reftransV1_0047388</v>
      </c>
      <c r="B2731" s="2">
        <v>2329</v>
      </c>
      <c r="C2731" s="4" t="str">
        <f>HYPERLINK("http://www.uniprot.org/uniprot/M5VWS3","M5VWS3")</f>
        <v>M5VWS3</v>
      </c>
      <c r="D2731" s="2" t="s">
        <v>2358</v>
      </c>
      <c r="E2731" s="3">
        <v>0</v>
      </c>
      <c r="F2731" s="2">
        <v>3507</v>
      </c>
      <c r="G2731" s="2">
        <v>100</v>
      </c>
      <c r="H2731" s="2">
        <v>761</v>
      </c>
      <c r="I2731" s="2">
        <v>2</v>
      </c>
      <c r="J2731" s="2">
        <v>2284</v>
      </c>
      <c r="K2731" s="2">
        <v>375</v>
      </c>
      <c r="L2731" s="2">
        <v>1135</v>
      </c>
    </row>
    <row r="2732" spans="1:12" x14ac:dyDescent="0.25">
      <c r="A2732" s="4" t="str">
        <f>HYPERLINK("http://www.rosaceae.org/Prunus/Prunus_persica/p.persica_gdr_reftransV1_0047738","p.persica_gdr_reftransV1_0047738")</f>
        <v>p.persica_gdr_reftransV1_0047738</v>
      </c>
      <c r="B2732" s="2">
        <v>394</v>
      </c>
      <c r="C2732" s="4" t="str">
        <f>HYPERLINK("http://www.uniprot.org/uniprot/M5XJV4","M5XJV4")</f>
        <v>M5XJV4</v>
      </c>
      <c r="D2732" s="2" t="s">
        <v>2622</v>
      </c>
      <c r="E2732" s="3">
        <v>2.8400000000000002E-69</v>
      </c>
      <c r="F2732" s="2">
        <v>595</v>
      </c>
      <c r="G2732" s="2">
        <v>100</v>
      </c>
      <c r="H2732" s="2">
        <v>130</v>
      </c>
      <c r="I2732" s="2">
        <v>3</v>
      </c>
      <c r="J2732" s="2">
        <v>392</v>
      </c>
      <c r="K2732" s="2">
        <v>148</v>
      </c>
      <c r="L2732" s="2">
        <v>277</v>
      </c>
    </row>
    <row r="2733" spans="1:12" x14ac:dyDescent="0.25">
      <c r="A2733" s="4" t="str">
        <f>HYPERLINK("http://www.rosaceae.org/Prunus/Prunus_persica/p.persica_gdr_reftransV1_0048088","p.persica_gdr_reftransV1_0048088")</f>
        <v>p.persica_gdr_reftransV1_0048088</v>
      </c>
      <c r="B2733" s="2">
        <v>1597</v>
      </c>
      <c r="C2733" s="4" t="str">
        <f>HYPERLINK("http://www.uniprot.org/uniprot/M5W0E8","M5W0E8")</f>
        <v>M5W0E8</v>
      </c>
      <c r="D2733" s="2" t="s">
        <v>2623</v>
      </c>
      <c r="E2733" s="3">
        <v>8.7300000000000004E-123</v>
      </c>
      <c r="F2733" s="2">
        <v>948</v>
      </c>
      <c r="G2733" s="2">
        <v>100</v>
      </c>
      <c r="H2733" s="2">
        <v>179</v>
      </c>
      <c r="I2733" s="2">
        <v>138</v>
      </c>
      <c r="J2733" s="2">
        <v>674</v>
      </c>
      <c r="K2733" s="2">
        <v>1</v>
      </c>
      <c r="L2733" s="2">
        <v>179</v>
      </c>
    </row>
    <row r="2734" spans="1:12" x14ac:dyDescent="0.25">
      <c r="A2734" s="4" t="str">
        <f>HYPERLINK("http://www.rosaceae.org/Prunus/Prunus_persica/p.persica_gdr_reftransV1_0048438","p.persica_gdr_reftransV1_0048438")</f>
        <v>p.persica_gdr_reftransV1_0048438</v>
      </c>
      <c r="B2734" s="2">
        <v>2283</v>
      </c>
      <c r="C2734" s="4" t="str">
        <f>HYPERLINK("http://www.uniprot.org/uniprot/M5WP98","M5WP98")</f>
        <v>M5WP98</v>
      </c>
      <c r="D2734" s="2" t="s">
        <v>2624</v>
      </c>
      <c r="E2734" s="3">
        <v>0</v>
      </c>
      <c r="F2734" s="2">
        <v>2618</v>
      </c>
      <c r="G2734" s="2">
        <v>100</v>
      </c>
      <c r="H2734" s="2">
        <v>505</v>
      </c>
      <c r="I2734" s="2">
        <v>309</v>
      </c>
      <c r="J2734" s="2">
        <v>1823</v>
      </c>
      <c r="K2734" s="2">
        <v>1</v>
      </c>
      <c r="L2734" s="2">
        <v>505</v>
      </c>
    </row>
    <row r="2735" spans="1:12" x14ac:dyDescent="0.25">
      <c r="A2735" s="4" t="str">
        <f>HYPERLINK("http://www.rosaceae.org/Prunus/Prunus_persica/p.persica_gdr_reftransV1_0048788","p.persica_gdr_reftransV1_0048788")</f>
        <v>p.persica_gdr_reftransV1_0048788</v>
      </c>
      <c r="B2735" s="2">
        <v>1820</v>
      </c>
      <c r="C2735" s="4" t="str">
        <f>HYPERLINK("http://www.uniprot.org/uniprot/M5WP93","M5WP93")</f>
        <v>M5WP93</v>
      </c>
      <c r="D2735" s="2" t="s">
        <v>2625</v>
      </c>
      <c r="E2735" s="3">
        <v>0</v>
      </c>
      <c r="F2735" s="2">
        <v>2284</v>
      </c>
      <c r="G2735" s="2">
        <v>100</v>
      </c>
      <c r="H2735" s="2">
        <v>505</v>
      </c>
      <c r="I2735" s="2">
        <v>56</v>
      </c>
      <c r="J2735" s="2">
        <v>1570</v>
      </c>
      <c r="K2735" s="2">
        <v>4</v>
      </c>
      <c r="L2735" s="2">
        <v>508</v>
      </c>
    </row>
    <row r="2736" spans="1:12" x14ac:dyDescent="0.25">
      <c r="A2736" s="4" t="str">
        <f>HYPERLINK("http://www.rosaceae.org/Prunus/Prunus_persica/p.persica_gdr_reftransV1_0049138","p.persica_gdr_reftransV1_0049138")</f>
        <v>p.persica_gdr_reftransV1_0049138</v>
      </c>
      <c r="B2736" s="2">
        <v>1402</v>
      </c>
      <c r="C2736" s="4" t="str">
        <f>HYPERLINK("http://www.uniprot.org/uniprot/M5WTX1","M5WTX1")</f>
        <v>M5WTX1</v>
      </c>
      <c r="D2736" s="2" t="s">
        <v>2626</v>
      </c>
      <c r="E2736" s="3">
        <v>0</v>
      </c>
      <c r="F2736" s="2">
        <v>1770</v>
      </c>
      <c r="G2736" s="2">
        <v>99</v>
      </c>
      <c r="H2736" s="2">
        <v>337</v>
      </c>
      <c r="I2736" s="2">
        <v>157</v>
      </c>
      <c r="J2736" s="2">
        <v>1167</v>
      </c>
      <c r="K2736" s="2">
        <v>1</v>
      </c>
      <c r="L2736" s="2">
        <v>337</v>
      </c>
    </row>
    <row r="2737" spans="1:12" x14ac:dyDescent="0.25">
      <c r="A2737" s="4" t="str">
        <f>HYPERLINK("http://www.rosaceae.org/Prunus/Prunus_persica/p.persica_gdr_reftransV1_0000139","p.persica_gdr_reftransV1_0000139")</f>
        <v>p.persica_gdr_reftransV1_0000139</v>
      </c>
      <c r="B2737" s="2">
        <v>1490</v>
      </c>
      <c r="C2737" s="4" t="str">
        <f>HYPERLINK("http://www.uniprot.org/uniprot/M5XEZ4","M5XEZ4")</f>
        <v>M5XEZ4</v>
      </c>
      <c r="D2737" s="2" t="s">
        <v>2627</v>
      </c>
      <c r="E2737" s="3">
        <v>0</v>
      </c>
      <c r="F2737" s="2">
        <v>2017</v>
      </c>
      <c r="G2737" s="2">
        <v>92</v>
      </c>
      <c r="H2737" s="2">
        <v>455</v>
      </c>
      <c r="I2737" s="2">
        <v>8</v>
      </c>
      <c r="J2737" s="2">
        <v>1285</v>
      </c>
      <c r="K2737" s="2">
        <v>2</v>
      </c>
      <c r="L2737" s="2">
        <v>456</v>
      </c>
    </row>
    <row r="2738" spans="1:12" x14ac:dyDescent="0.25">
      <c r="A2738" s="4" t="str">
        <f>HYPERLINK("http://www.rosaceae.org/Prunus/Prunus_persica/p.persica_gdr_reftransV1_0000489","p.persica_gdr_reftransV1_0000489")</f>
        <v>p.persica_gdr_reftransV1_0000489</v>
      </c>
      <c r="B2738" s="2">
        <v>1368</v>
      </c>
      <c r="C2738" s="4" t="str">
        <f>HYPERLINK("http://www.uniprot.org/uniprot/M5XNX8","M5XNX8")</f>
        <v>M5XNX8</v>
      </c>
      <c r="D2738" s="2" t="s">
        <v>2628</v>
      </c>
      <c r="E2738" s="3">
        <v>1.2500000000000001E-111</v>
      </c>
      <c r="F2738" s="2">
        <v>874</v>
      </c>
      <c r="G2738" s="2">
        <v>100</v>
      </c>
      <c r="H2738" s="2">
        <v>187</v>
      </c>
      <c r="I2738" s="2">
        <v>290</v>
      </c>
      <c r="J2738" s="2">
        <v>850</v>
      </c>
      <c r="K2738" s="2">
        <v>65</v>
      </c>
      <c r="L2738" s="2">
        <v>251</v>
      </c>
    </row>
    <row r="2739" spans="1:12" x14ac:dyDescent="0.25">
      <c r="A2739" s="4" t="str">
        <f>HYPERLINK("http://www.rosaceae.org/Prunus/Prunus_persica/p.persica_gdr_reftransV1_0000839","p.persica_gdr_reftransV1_0000839")</f>
        <v>p.persica_gdr_reftransV1_0000839</v>
      </c>
      <c r="B2739" s="2">
        <v>301</v>
      </c>
      <c r="C2739" s="4" t="str">
        <f>HYPERLINK("http://www.uniprot.org/uniprot/M5WWL2","M5WWL2")</f>
        <v>M5WWL2</v>
      </c>
      <c r="D2739" s="2" t="s">
        <v>2629</v>
      </c>
      <c r="E2739" s="3">
        <v>4.7800000000000003E-42</v>
      </c>
      <c r="F2739" s="2">
        <v>394</v>
      </c>
      <c r="G2739" s="2">
        <v>81</v>
      </c>
      <c r="H2739" s="2">
        <v>99</v>
      </c>
      <c r="I2739" s="2">
        <v>3</v>
      </c>
      <c r="J2739" s="2">
        <v>299</v>
      </c>
      <c r="K2739" s="2">
        <v>161</v>
      </c>
      <c r="L2739" s="2">
        <v>240</v>
      </c>
    </row>
    <row r="2740" spans="1:12" x14ac:dyDescent="0.25">
      <c r="A2740" s="4" t="str">
        <f>HYPERLINK("http://www.rosaceae.org/Prunus/Prunus_persica/p.persica_gdr_reftransV1_0001189","p.persica_gdr_reftransV1_0001189")</f>
        <v>p.persica_gdr_reftransV1_0001189</v>
      </c>
      <c r="B2740" s="2">
        <v>1228</v>
      </c>
      <c r="C2740" s="4" t="str">
        <f>HYPERLINK("http://www.uniprot.org/uniprot/M5XKZ2","M5XKZ2")</f>
        <v>M5XKZ2</v>
      </c>
      <c r="D2740" s="2" t="s">
        <v>2630</v>
      </c>
      <c r="E2740" s="3">
        <v>3.22E-65</v>
      </c>
      <c r="F2740" s="2">
        <v>553</v>
      </c>
      <c r="G2740" s="2">
        <v>92</v>
      </c>
      <c r="H2740" s="2">
        <v>119</v>
      </c>
      <c r="I2740" s="2">
        <v>163</v>
      </c>
      <c r="J2740" s="2">
        <v>516</v>
      </c>
      <c r="K2740" s="2">
        <v>1</v>
      </c>
      <c r="L2740" s="2">
        <v>119</v>
      </c>
    </row>
    <row r="2741" spans="1:12" x14ac:dyDescent="0.25">
      <c r="A2741" s="4" t="str">
        <f>HYPERLINK("http://www.rosaceae.org/Prunus/Prunus_persica/p.persica_gdr_reftransV1_0001539","p.persica_gdr_reftransV1_0001539")</f>
        <v>p.persica_gdr_reftransV1_0001539</v>
      </c>
      <c r="B2741" s="2">
        <v>315</v>
      </c>
      <c r="C2741" s="4" t="str">
        <f>HYPERLINK("http://www.uniprot.org/uniprot/K3VQJ4","K3VQJ4")</f>
        <v>K3VQJ4</v>
      </c>
      <c r="D2741" s="2" t="s">
        <v>2631</v>
      </c>
      <c r="E2741" s="3">
        <v>8.6200000000000006E-27</v>
      </c>
      <c r="F2741" s="2">
        <v>260</v>
      </c>
      <c r="G2741" s="2">
        <v>90</v>
      </c>
      <c r="H2741" s="2">
        <v>67</v>
      </c>
      <c r="I2741" s="2">
        <v>51</v>
      </c>
      <c r="J2741" s="2">
        <v>251</v>
      </c>
      <c r="K2741" s="2">
        <v>1</v>
      </c>
      <c r="L2741" s="2">
        <v>67</v>
      </c>
    </row>
    <row r="2742" spans="1:12" x14ac:dyDescent="0.25">
      <c r="A2742" s="4" t="str">
        <f>HYPERLINK("http://www.rosaceae.org/Prunus/Prunus_persica/p.persica_gdr_reftransV1_0001889","p.persica_gdr_reftransV1_0001889")</f>
        <v>p.persica_gdr_reftransV1_0001889</v>
      </c>
      <c r="B2742" s="2">
        <v>1621</v>
      </c>
      <c r="C2742" s="4" t="str">
        <f>HYPERLINK("http://www.uniprot.org/uniprot/M5XRH9","M5XRH9")</f>
        <v>M5XRH9</v>
      </c>
      <c r="D2742" s="2" t="s">
        <v>2632</v>
      </c>
      <c r="E2742" s="3">
        <v>0</v>
      </c>
      <c r="F2742" s="2">
        <v>1624</v>
      </c>
      <c r="G2742" s="2">
        <v>100</v>
      </c>
      <c r="H2742" s="2">
        <v>318</v>
      </c>
      <c r="I2742" s="2">
        <v>287</v>
      </c>
      <c r="J2742" s="2">
        <v>1240</v>
      </c>
      <c r="K2742" s="2">
        <v>1</v>
      </c>
      <c r="L2742" s="2">
        <v>318</v>
      </c>
    </row>
    <row r="2743" spans="1:12" x14ac:dyDescent="0.25">
      <c r="A2743" s="4" t="str">
        <f>HYPERLINK("http://www.rosaceae.org/Prunus/Prunus_persica/p.persica_gdr_reftransV1_0002239","p.persica_gdr_reftransV1_0002239")</f>
        <v>p.persica_gdr_reftransV1_0002239</v>
      </c>
      <c r="B2743" s="2">
        <v>2019</v>
      </c>
      <c r="C2743" s="4" t="str">
        <f>HYPERLINK("http://www.uniprot.org/uniprot/M5W2T0","M5W2T0")</f>
        <v>M5W2T0</v>
      </c>
      <c r="D2743" s="2" t="s">
        <v>2633</v>
      </c>
      <c r="E2743" s="3">
        <v>0</v>
      </c>
      <c r="F2743" s="2">
        <v>1105</v>
      </c>
      <c r="G2743" s="2">
        <v>100</v>
      </c>
      <c r="H2743" s="2">
        <v>237</v>
      </c>
      <c r="I2743" s="2">
        <v>184</v>
      </c>
      <c r="J2743" s="2">
        <v>894</v>
      </c>
      <c r="K2743" s="2">
        <v>1</v>
      </c>
      <c r="L2743" s="2">
        <v>237</v>
      </c>
    </row>
    <row r="2744" spans="1:12" x14ac:dyDescent="0.25">
      <c r="A2744" s="4" t="str">
        <f>HYPERLINK("http://www.rosaceae.org/Prunus/Prunus_persica/p.persica_gdr_reftransV1_0002589","p.persica_gdr_reftransV1_0002589")</f>
        <v>p.persica_gdr_reftransV1_0002589</v>
      </c>
      <c r="B2744" s="2">
        <v>752</v>
      </c>
      <c r="C2744" s="4" t="str">
        <f>HYPERLINK("http://www.uniprot.org/uniprot/M5XKG9","M5XKG9")</f>
        <v>M5XKG9</v>
      </c>
      <c r="D2744" s="2" t="s">
        <v>2634</v>
      </c>
      <c r="E2744" s="3">
        <v>1.13E-94</v>
      </c>
      <c r="F2744" s="2">
        <v>781</v>
      </c>
      <c r="G2744" s="2">
        <v>100</v>
      </c>
      <c r="H2744" s="2">
        <v>143</v>
      </c>
      <c r="I2744" s="2">
        <v>1</v>
      </c>
      <c r="J2744" s="2">
        <v>429</v>
      </c>
      <c r="K2744" s="2">
        <v>615</v>
      </c>
      <c r="L2744" s="2">
        <v>757</v>
      </c>
    </row>
    <row r="2745" spans="1:12" x14ac:dyDescent="0.25">
      <c r="A2745" s="4" t="str">
        <f>HYPERLINK("http://www.rosaceae.org/Prunus/Prunus_persica/p.persica_gdr_reftransV1_0002939","p.persica_gdr_reftransV1_0002939")</f>
        <v>p.persica_gdr_reftransV1_0002939</v>
      </c>
      <c r="B2745" s="2">
        <v>1768</v>
      </c>
      <c r="C2745" s="4" t="str">
        <f>HYPERLINK("http://www.uniprot.org/uniprot/M5Y3N3","M5Y3N3")</f>
        <v>M5Y3N3</v>
      </c>
      <c r="D2745" s="2" t="s">
        <v>2635</v>
      </c>
      <c r="E2745" s="3">
        <v>0</v>
      </c>
      <c r="F2745" s="2">
        <v>2288</v>
      </c>
      <c r="G2745" s="2">
        <v>100</v>
      </c>
      <c r="H2745" s="2">
        <v>453</v>
      </c>
      <c r="I2745" s="2">
        <v>114</v>
      </c>
      <c r="J2745" s="2">
        <v>1472</v>
      </c>
      <c r="K2745" s="2">
        <v>259</v>
      </c>
      <c r="L2745" s="2">
        <v>711</v>
      </c>
    </row>
    <row r="2746" spans="1:12" x14ac:dyDescent="0.25">
      <c r="A2746" s="4" t="str">
        <f>HYPERLINK("http://www.rosaceae.org/Prunus/Prunus_persica/p.persica_gdr_reftransV1_0003289","p.persica_gdr_reftransV1_0003289")</f>
        <v>p.persica_gdr_reftransV1_0003289</v>
      </c>
      <c r="B2746" s="2">
        <v>1950</v>
      </c>
      <c r="C2746" s="4" t="str">
        <f>HYPERLINK("http://www.uniprot.org/uniprot/M5VJM8","M5VJM8")</f>
        <v>M5VJM8</v>
      </c>
      <c r="D2746" s="2" t="s">
        <v>2543</v>
      </c>
      <c r="E2746" s="3">
        <v>0</v>
      </c>
      <c r="F2746" s="2">
        <v>2277</v>
      </c>
      <c r="G2746" s="2">
        <v>91</v>
      </c>
      <c r="H2746" s="2">
        <v>505</v>
      </c>
      <c r="I2746" s="2">
        <v>434</v>
      </c>
      <c r="J2746" s="2">
        <v>1948</v>
      </c>
      <c r="K2746" s="2">
        <v>7</v>
      </c>
      <c r="L2746" s="2">
        <v>467</v>
      </c>
    </row>
    <row r="2747" spans="1:12" x14ac:dyDescent="0.25">
      <c r="A2747" s="4" t="str">
        <f>HYPERLINK("http://www.rosaceae.org/Prunus/Prunus_persica/p.persica_gdr_reftransV1_0003639","p.persica_gdr_reftransV1_0003639")</f>
        <v>p.persica_gdr_reftransV1_0003639</v>
      </c>
      <c r="B2747" s="2">
        <v>871</v>
      </c>
      <c r="C2747" s="4" t="str">
        <f>HYPERLINK("http://www.uniprot.org/uniprot/M5XLP1","M5XLP1")</f>
        <v>M5XLP1</v>
      </c>
      <c r="D2747" s="2" t="s">
        <v>2636</v>
      </c>
      <c r="E2747" s="3">
        <v>4.5699999999999999E-63</v>
      </c>
      <c r="F2747" s="2">
        <v>524</v>
      </c>
      <c r="G2747" s="2">
        <v>94</v>
      </c>
      <c r="H2747" s="2">
        <v>124</v>
      </c>
      <c r="I2747" s="2">
        <v>400</v>
      </c>
      <c r="J2747" s="2">
        <v>771</v>
      </c>
      <c r="K2747" s="2">
        <v>5</v>
      </c>
      <c r="L2747" s="2">
        <v>128</v>
      </c>
    </row>
    <row r="2748" spans="1:12" x14ac:dyDescent="0.25">
      <c r="A2748" s="4" t="str">
        <f>HYPERLINK("http://www.rosaceae.org/Prunus/Prunus_persica/p.persica_gdr_reftransV1_0003989","p.persica_gdr_reftransV1_0003989")</f>
        <v>p.persica_gdr_reftransV1_0003989</v>
      </c>
      <c r="B2748" s="2">
        <v>2250</v>
      </c>
      <c r="C2748" s="4" t="str">
        <f>HYPERLINK("http://www.uniprot.org/uniprot/M5XSH9","M5XSH9")</f>
        <v>M5XSH9</v>
      </c>
      <c r="D2748" s="2" t="s">
        <v>2637</v>
      </c>
      <c r="E2748" s="3">
        <v>0</v>
      </c>
      <c r="F2748" s="2">
        <v>1961</v>
      </c>
      <c r="G2748" s="2">
        <v>100</v>
      </c>
      <c r="H2748" s="2">
        <v>372</v>
      </c>
      <c r="I2748" s="2">
        <v>390</v>
      </c>
      <c r="J2748" s="2">
        <v>1505</v>
      </c>
      <c r="K2748" s="2">
        <v>1</v>
      </c>
      <c r="L2748" s="2">
        <v>372</v>
      </c>
    </row>
    <row r="2749" spans="1:12" x14ac:dyDescent="0.25">
      <c r="A2749" s="4" t="str">
        <f>HYPERLINK("http://www.rosaceae.org/Prunus/Prunus_persica/p.persica_gdr_reftransV1_0004339","p.persica_gdr_reftransV1_0004339")</f>
        <v>p.persica_gdr_reftransV1_0004339</v>
      </c>
      <c r="B2749" s="2">
        <v>2276</v>
      </c>
      <c r="C2749" s="4" t="str">
        <f>HYPERLINK("http://www.uniprot.org/uniprot/M5XD62","M5XD62")</f>
        <v>M5XD62</v>
      </c>
      <c r="D2749" s="2" t="s">
        <v>2638</v>
      </c>
      <c r="E2749" s="3">
        <v>0</v>
      </c>
      <c r="F2749" s="2">
        <v>1762</v>
      </c>
      <c r="G2749" s="2">
        <v>100</v>
      </c>
      <c r="H2749" s="2">
        <v>325</v>
      </c>
      <c r="I2749" s="2">
        <v>1050</v>
      </c>
      <c r="J2749" s="2">
        <v>2024</v>
      </c>
      <c r="K2749" s="2">
        <v>1</v>
      </c>
      <c r="L2749" s="2">
        <v>325</v>
      </c>
    </row>
    <row r="2750" spans="1:12" x14ac:dyDescent="0.25">
      <c r="A2750" s="4" t="str">
        <f>HYPERLINK("http://www.rosaceae.org/Prunus/Prunus_persica/p.persica_gdr_reftransV1_0004689","p.persica_gdr_reftransV1_0004689")</f>
        <v>p.persica_gdr_reftransV1_0004689</v>
      </c>
      <c r="B2750" s="2">
        <v>2098</v>
      </c>
      <c r="C2750" s="4" t="str">
        <f>HYPERLINK("http://www.uniprot.org/uniprot/M5XL55","M5XL55")</f>
        <v>M5XL55</v>
      </c>
      <c r="D2750" s="2" t="s">
        <v>1750</v>
      </c>
      <c r="E2750" s="3">
        <v>0</v>
      </c>
      <c r="F2750" s="2">
        <v>3640</v>
      </c>
      <c r="G2750" s="2">
        <v>100</v>
      </c>
      <c r="H2750" s="2">
        <v>674</v>
      </c>
      <c r="I2750" s="2">
        <v>76</v>
      </c>
      <c r="J2750" s="2">
        <v>2097</v>
      </c>
      <c r="K2750" s="2">
        <v>1</v>
      </c>
      <c r="L2750" s="2">
        <v>674</v>
      </c>
    </row>
    <row r="2751" spans="1:12" x14ac:dyDescent="0.25">
      <c r="A2751" s="4" t="str">
        <f>HYPERLINK("http://www.rosaceae.org/Prunus/Prunus_persica/p.persica_gdr_reftransV1_0005039","p.persica_gdr_reftransV1_0005039")</f>
        <v>p.persica_gdr_reftransV1_0005039</v>
      </c>
      <c r="B2751" s="2">
        <v>1700</v>
      </c>
      <c r="C2751" s="4" t="str">
        <f>HYPERLINK("http://www.uniprot.org/uniprot/M5XGD1","M5XGD1")</f>
        <v>M5XGD1</v>
      </c>
      <c r="D2751" s="2" t="s">
        <v>2639</v>
      </c>
      <c r="E2751" s="3">
        <v>4.1600000000000002E-84</v>
      </c>
      <c r="F2751" s="2">
        <v>689</v>
      </c>
      <c r="G2751" s="2">
        <v>100</v>
      </c>
      <c r="H2751" s="2">
        <v>129</v>
      </c>
      <c r="I2751" s="2">
        <v>188</v>
      </c>
      <c r="J2751" s="2">
        <v>574</v>
      </c>
      <c r="K2751" s="2">
        <v>1</v>
      </c>
      <c r="L2751" s="2">
        <v>129</v>
      </c>
    </row>
    <row r="2752" spans="1:12" x14ac:dyDescent="0.25">
      <c r="A2752" s="4" t="str">
        <f>HYPERLINK("http://www.rosaceae.org/Prunus/Prunus_persica/p.persica_gdr_reftransV1_0005389","p.persica_gdr_reftransV1_0005389")</f>
        <v>p.persica_gdr_reftransV1_0005389</v>
      </c>
      <c r="B2752" s="2">
        <v>2497</v>
      </c>
      <c r="C2752" s="4" t="str">
        <f>HYPERLINK("http://www.uniprot.org/uniprot/M5WYH3","M5WYH3")</f>
        <v>M5WYH3</v>
      </c>
      <c r="D2752" s="2" t="s">
        <v>2640</v>
      </c>
      <c r="E2752" s="3">
        <v>0</v>
      </c>
      <c r="F2752" s="2">
        <v>3113</v>
      </c>
      <c r="G2752" s="2">
        <v>86</v>
      </c>
      <c r="H2752" s="2">
        <v>757</v>
      </c>
      <c r="I2752" s="2">
        <v>152</v>
      </c>
      <c r="J2752" s="2">
        <v>2395</v>
      </c>
      <c r="K2752" s="2">
        <v>1</v>
      </c>
      <c r="L2752" s="2">
        <v>757</v>
      </c>
    </row>
    <row r="2753" spans="1:12" x14ac:dyDescent="0.25">
      <c r="A2753" s="4" t="str">
        <f>HYPERLINK("http://www.rosaceae.org/Prunus/Prunus_persica/p.persica_gdr_reftransV1_0005739","p.persica_gdr_reftransV1_0005739")</f>
        <v>p.persica_gdr_reftransV1_0005739</v>
      </c>
      <c r="B2753" s="2">
        <v>822</v>
      </c>
      <c r="C2753" s="4" t="str">
        <f>HYPERLINK("http://www.uniprot.org/uniprot/M5VKL3","M5VKL3")</f>
        <v>M5VKL3</v>
      </c>
      <c r="D2753" s="2" t="s">
        <v>2641</v>
      </c>
      <c r="E2753" s="3">
        <v>3.1200000000000001E-100</v>
      </c>
      <c r="F2753" s="2">
        <v>775</v>
      </c>
      <c r="G2753" s="2">
        <v>99</v>
      </c>
      <c r="H2753" s="2">
        <v>186</v>
      </c>
      <c r="I2753" s="2">
        <v>212</v>
      </c>
      <c r="J2753" s="2">
        <v>769</v>
      </c>
      <c r="K2753" s="2">
        <v>1</v>
      </c>
      <c r="L2753" s="2">
        <v>186</v>
      </c>
    </row>
    <row r="2754" spans="1:12" x14ac:dyDescent="0.25">
      <c r="A2754" s="4" t="str">
        <f>HYPERLINK("http://www.rosaceae.org/Prunus/Prunus_persica/p.persica_gdr_reftransV1_0006089","p.persica_gdr_reftransV1_0006089")</f>
        <v>p.persica_gdr_reftransV1_0006089</v>
      </c>
      <c r="B2754" s="2">
        <v>513</v>
      </c>
      <c r="C2754" s="4" t="str">
        <f>HYPERLINK("http://www.uniprot.org/uniprot/G2YFN8","G2YFN8")</f>
        <v>G2YFN8</v>
      </c>
      <c r="D2754" s="2" t="s">
        <v>2642</v>
      </c>
      <c r="E2754" s="3">
        <v>6.1699999999999995E-85</v>
      </c>
      <c r="F2754" s="2">
        <v>663</v>
      </c>
      <c r="G2754" s="2">
        <v>100</v>
      </c>
      <c r="H2754" s="2">
        <v>141</v>
      </c>
      <c r="I2754" s="2">
        <v>91</v>
      </c>
      <c r="J2754" s="2">
        <v>513</v>
      </c>
      <c r="K2754" s="2">
        <v>1</v>
      </c>
      <c r="L2754" s="2">
        <v>141</v>
      </c>
    </row>
    <row r="2755" spans="1:12" x14ac:dyDescent="0.25">
      <c r="A2755" s="4" t="str">
        <f>HYPERLINK("http://www.rosaceae.org/Prunus/Prunus_persica/p.persica_gdr_reftransV1_0007139","p.persica_gdr_reftransV1_0007139")</f>
        <v>p.persica_gdr_reftransV1_0007139</v>
      </c>
      <c r="B2755" s="2">
        <v>3096</v>
      </c>
      <c r="C2755" s="4" t="str">
        <f>HYPERLINK("http://www.uniprot.org/uniprot/M5WCQ0","M5WCQ0")</f>
        <v>M5WCQ0</v>
      </c>
      <c r="D2755" s="2" t="s">
        <v>2643</v>
      </c>
      <c r="E2755" s="3">
        <v>0</v>
      </c>
      <c r="F2755" s="2">
        <v>1333</v>
      </c>
      <c r="G2755" s="2">
        <v>100</v>
      </c>
      <c r="H2755" s="2">
        <v>265</v>
      </c>
      <c r="I2755" s="2">
        <v>2150</v>
      </c>
      <c r="J2755" s="2">
        <v>2944</v>
      </c>
      <c r="K2755" s="2">
        <v>1</v>
      </c>
      <c r="L2755" s="2">
        <v>265</v>
      </c>
    </row>
    <row r="2756" spans="1:12" x14ac:dyDescent="0.25">
      <c r="A2756" s="4" t="str">
        <f>HYPERLINK("http://www.rosaceae.org/Prunus/Prunus_persica/p.persica_gdr_reftransV1_0007839","p.persica_gdr_reftransV1_0007839")</f>
        <v>p.persica_gdr_reftransV1_0007839</v>
      </c>
      <c r="B2756" s="2">
        <v>641</v>
      </c>
      <c r="C2756" s="4" t="str">
        <f>HYPERLINK("http://www.uniprot.org/uniprot/M5XJ03","M5XJ03")</f>
        <v>M5XJ03</v>
      </c>
      <c r="D2756" s="2" t="s">
        <v>2644</v>
      </c>
      <c r="E2756" s="3">
        <v>6.6299999999999999E-78</v>
      </c>
      <c r="F2756" s="2">
        <v>615</v>
      </c>
      <c r="G2756" s="2">
        <v>100</v>
      </c>
      <c r="H2756" s="2">
        <v>118</v>
      </c>
      <c r="I2756" s="2">
        <v>64</v>
      </c>
      <c r="J2756" s="2">
        <v>417</v>
      </c>
      <c r="K2756" s="2">
        <v>1</v>
      </c>
      <c r="L2756" s="2">
        <v>118</v>
      </c>
    </row>
    <row r="2757" spans="1:12" x14ac:dyDescent="0.25">
      <c r="A2757" s="4" t="str">
        <f>HYPERLINK("http://www.rosaceae.org/Prunus/Prunus_persica/p.persica_gdr_reftransV1_0008189","p.persica_gdr_reftransV1_0008189")</f>
        <v>p.persica_gdr_reftransV1_0008189</v>
      </c>
      <c r="B2757" s="2">
        <v>301</v>
      </c>
      <c r="C2757" s="4" t="str">
        <f>HYPERLINK("http://www.uniprot.org/uniprot/M5WZK8","M5WZK8")</f>
        <v>M5WZK8</v>
      </c>
      <c r="D2757" s="2" t="s">
        <v>2645</v>
      </c>
      <c r="E2757" s="3">
        <v>1.08E-43</v>
      </c>
      <c r="F2757" s="2">
        <v>409</v>
      </c>
      <c r="G2757" s="2">
        <v>83</v>
      </c>
      <c r="H2757" s="2">
        <v>100</v>
      </c>
      <c r="I2757" s="2">
        <v>2</v>
      </c>
      <c r="J2757" s="2">
        <v>301</v>
      </c>
      <c r="K2757" s="2">
        <v>852</v>
      </c>
      <c r="L2757" s="2">
        <v>951</v>
      </c>
    </row>
    <row r="2758" spans="1:12" x14ac:dyDescent="0.25">
      <c r="A2758" s="4" t="str">
        <f>HYPERLINK("http://www.rosaceae.org/Prunus/Prunus_persica/p.persica_gdr_reftransV1_0008539","p.persica_gdr_reftransV1_0008539")</f>
        <v>p.persica_gdr_reftransV1_0008539</v>
      </c>
      <c r="B2758" s="2">
        <v>2617</v>
      </c>
      <c r="C2758" s="4" t="str">
        <f>HYPERLINK("http://www.uniprot.org/uniprot/M5WG69","M5WG69")</f>
        <v>M5WG69</v>
      </c>
      <c r="D2758" s="2" t="s">
        <v>2646</v>
      </c>
      <c r="E2758" s="3">
        <v>0</v>
      </c>
      <c r="F2758" s="2">
        <v>1593</v>
      </c>
      <c r="G2758" s="2">
        <v>100</v>
      </c>
      <c r="H2758" s="2">
        <v>296</v>
      </c>
      <c r="I2758" s="2">
        <v>321</v>
      </c>
      <c r="J2758" s="2">
        <v>1208</v>
      </c>
      <c r="K2758" s="2">
        <v>265</v>
      </c>
      <c r="L2758" s="2">
        <v>560</v>
      </c>
    </row>
    <row r="2759" spans="1:12" x14ac:dyDescent="0.25">
      <c r="A2759" s="4" t="str">
        <f>HYPERLINK("http://www.rosaceae.org/Prunus/Prunus_persica/p.persica_gdr_reftransV1_0008889","p.persica_gdr_reftransV1_0008889")</f>
        <v>p.persica_gdr_reftransV1_0008889</v>
      </c>
      <c r="B2759" s="2">
        <v>3118</v>
      </c>
      <c r="C2759" s="4" t="str">
        <f>HYPERLINK("http://www.uniprot.org/uniprot/M5W697","M5W697")</f>
        <v>M5W697</v>
      </c>
      <c r="D2759" s="2" t="s">
        <v>2647</v>
      </c>
      <c r="E2759" s="3">
        <v>0</v>
      </c>
      <c r="F2759" s="2">
        <v>4062</v>
      </c>
      <c r="G2759" s="2">
        <v>100</v>
      </c>
      <c r="H2759" s="2">
        <v>772</v>
      </c>
      <c r="I2759" s="2">
        <v>445</v>
      </c>
      <c r="J2759" s="2">
        <v>2760</v>
      </c>
      <c r="K2759" s="2">
        <v>1</v>
      </c>
      <c r="L2759" s="2">
        <v>772</v>
      </c>
    </row>
    <row r="2760" spans="1:12" x14ac:dyDescent="0.25">
      <c r="A2760" s="4" t="str">
        <f>HYPERLINK("http://www.rosaceae.org/Prunus/Prunus_persica/p.persica_gdr_reftransV1_0009239","p.persica_gdr_reftransV1_0009239")</f>
        <v>p.persica_gdr_reftransV1_0009239</v>
      </c>
      <c r="B2760" s="2">
        <v>2648</v>
      </c>
      <c r="C2760" s="4" t="str">
        <f>HYPERLINK("http://www.uniprot.org/uniprot/M5VYP6","M5VYP6")</f>
        <v>M5VYP6</v>
      </c>
      <c r="D2760" s="2" t="s">
        <v>2648</v>
      </c>
      <c r="E2760" s="3">
        <v>0</v>
      </c>
      <c r="F2760" s="2">
        <v>2813</v>
      </c>
      <c r="G2760" s="2">
        <v>100</v>
      </c>
      <c r="H2760" s="2">
        <v>530</v>
      </c>
      <c r="I2760" s="2">
        <v>145</v>
      </c>
      <c r="J2760" s="2">
        <v>1734</v>
      </c>
      <c r="K2760" s="2">
        <v>1</v>
      </c>
      <c r="L2760" s="2">
        <v>530</v>
      </c>
    </row>
    <row r="2761" spans="1:12" x14ac:dyDescent="0.25">
      <c r="A2761" s="4" t="str">
        <f>HYPERLINK("http://www.rosaceae.org/Prunus/Prunus_persica/p.persica_gdr_reftransV1_0010639","p.persica_gdr_reftransV1_0010639")</f>
        <v>p.persica_gdr_reftransV1_0010639</v>
      </c>
      <c r="B2761" s="2">
        <v>1604</v>
      </c>
      <c r="C2761" s="4" t="str">
        <f>HYPERLINK("http://www.uniprot.org/uniprot/M5VW18","M5VW18")</f>
        <v>M5VW18</v>
      </c>
      <c r="D2761" s="2" t="s">
        <v>2649</v>
      </c>
      <c r="E2761" s="3">
        <v>0</v>
      </c>
      <c r="F2761" s="2">
        <v>1423</v>
      </c>
      <c r="G2761" s="2">
        <v>100</v>
      </c>
      <c r="H2761" s="2">
        <v>279</v>
      </c>
      <c r="I2761" s="2">
        <v>240</v>
      </c>
      <c r="J2761" s="2">
        <v>1076</v>
      </c>
      <c r="K2761" s="2">
        <v>140</v>
      </c>
      <c r="L2761" s="2">
        <v>418</v>
      </c>
    </row>
    <row r="2762" spans="1:12" x14ac:dyDescent="0.25">
      <c r="A2762" s="4" t="str">
        <f>HYPERLINK("http://www.rosaceae.org/Prunus/Prunus_persica/p.persica_gdr_reftransV1_0012039","p.persica_gdr_reftransV1_0012039")</f>
        <v>p.persica_gdr_reftransV1_0012039</v>
      </c>
      <c r="B2762" s="2">
        <v>12202</v>
      </c>
      <c r="C2762" s="4" t="str">
        <f>HYPERLINK("http://www.uniprot.org/uniprot/M5W790","M5W790")</f>
        <v>M5W790</v>
      </c>
      <c r="D2762" s="2" t="s">
        <v>2650</v>
      </c>
      <c r="E2762" s="3">
        <v>0</v>
      </c>
      <c r="F2762" s="2">
        <v>18047</v>
      </c>
      <c r="G2762" s="2">
        <v>100</v>
      </c>
      <c r="H2762" s="2">
        <v>3766</v>
      </c>
      <c r="I2762" s="2">
        <v>309</v>
      </c>
      <c r="J2762" s="2">
        <v>11606</v>
      </c>
      <c r="K2762" s="2">
        <v>1</v>
      </c>
      <c r="L2762" s="2">
        <v>3766</v>
      </c>
    </row>
    <row r="2763" spans="1:12" x14ac:dyDescent="0.25">
      <c r="A2763" s="4" t="str">
        <f>HYPERLINK("http://www.rosaceae.org/Prunus/Prunus_persica/p.persica_gdr_reftransV1_0012389","p.persica_gdr_reftransV1_0012389")</f>
        <v>p.persica_gdr_reftransV1_0012389</v>
      </c>
      <c r="B2763" s="2">
        <v>3267</v>
      </c>
      <c r="C2763" s="4" t="str">
        <f>HYPERLINK("http://www.uniprot.org/uniprot/M5XJC8","M5XJC8")</f>
        <v>M5XJC8</v>
      </c>
      <c r="D2763" s="2" t="s">
        <v>2651</v>
      </c>
      <c r="E2763" s="3">
        <v>0</v>
      </c>
      <c r="F2763" s="2">
        <v>4170</v>
      </c>
      <c r="G2763" s="2">
        <v>100</v>
      </c>
      <c r="H2763" s="2">
        <v>905</v>
      </c>
      <c r="I2763" s="2">
        <v>552</v>
      </c>
      <c r="J2763" s="2">
        <v>3266</v>
      </c>
      <c r="K2763" s="2">
        <v>96</v>
      </c>
      <c r="L2763" s="2">
        <v>1000</v>
      </c>
    </row>
    <row r="2764" spans="1:12" x14ac:dyDescent="0.25">
      <c r="A2764" s="4" t="str">
        <f>HYPERLINK("http://www.rosaceae.org/Prunus/Prunus_persica/p.persica_gdr_reftransV1_0012739","p.persica_gdr_reftransV1_0012739")</f>
        <v>p.persica_gdr_reftransV1_0012739</v>
      </c>
      <c r="B2764" s="2">
        <v>2246</v>
      </c>
      <c r="C2764" s="4" t="str">
        <f>HYPERLINK("http://www.uniprot.org/uniprot/M5WXE6","M5WXE6")</f>
        <v>M5WXE6</v>
      </c>
      <c r="D2764" s="2" t="s">
        <v>2652</v>
      </c>
      <c r="E2764" s="3">
        <v>2.2500000000000001E-131</v>
      </c>
      <c r="F2764" s="2">
        <v>1032</v>
      </c>
      <c r="G2764" s="2">
        <v>100</v>
      </c>
      <c r="H2764" s="2">
        <v>254</v>
      </c>
      <c r="I2764" s="2">
        <v>282</v>
      </c>
      <c r="J2764" s="2">
        <v>1043</v>
      </c>
      <c r="K2764" s="2">
        <v>1</v>
      </c>
      <c r="L2764" s="2">
        <v>254</v>
      </c>
    </row>
    <row r="2765" spans="1:12" x14ac:dyDescent="0.25">
      <c r="A2765" s="4" t="str">
        <f>HYPERLINK("http://www.rosaceae.org/Prunus/Prunus_persica/p.persica_gdr_reftransV1_0013439","p.persica_gdr_reftransV1_0013439")</f>
        <v>p.persica_gdr_reftransV1_0013439</v>
      </c>
      <c r="B2765" s="2">
        <v>890</v>
      </c>
      <c r="C2765" s="4" t="str">
        <f>HYPERLINK("http://www.uniprot.org/uniprot/M5XVG6","M5XVG6")</f>
        <v>M5XVG6</v>
      </c>
      <c r="D2765" s="2" t="s">
        <v>752</v>
      </c>
      <c r="E2765" s="3">
        <v>0</v>
      </c>
      <c r="F2765" s="2">
        <v>1599</v>
      </c>
      <c r="G2765" s="2">
        <v>100</v>
      </c>
      <c r="H2765" s="2">
        <v>296</v>
      </c>
      <c r="I2765" s="2">
        <v>2</v>
      </c>
      <c r="J2765" s="2">
        <v>889</v>
      </c>
      <c r="K2765" s="2">
        <v>1504</v>
      </c>
      <c r="L2765" s="2">
        <v>1799</v>
      </c>
    </row>
    <row r="2766" spans="1:12" x14ac:dyDescent="0.25">
      <c r="A2766" s="4" t="str">
        <f>HYPERLINK("http://www.rosaceae.org/Prunus/Prunus_persica/p.persica_gdr_reftransV1_0013789","p.persica_gdr_reftransV1_0013789")</f>
        <v>p.persica_gdr_reftransV1_0013789</v>
      </c>
      <c r="B2766" s="2">
        <v>2061</v>
      </c>
      <c r="C2766" s="4" t="str">
        <f>HYPERLINK("http://www.uniprot.org/uniprot/M5XD06","M5XD06")</f>
        <v>M5XD06</v>
      </c>
      <c r="D2766" s="2" t="s">
        <v>2653</v>
      </c>
      <c r="E2766" s="3">
        <v>0</v>
      </c>
      <c r="F2766" s="2">
        <v>2265</v>
      </c>
      <c r="G2766" s="2">
        <v>100</v>
      </c>
      <c r="H2766" s="2">
        <v>447</v>
      </c>
      <c r="I2766" s="2">
        <v>193</v>
      </c>
      <c r="J2766" s="2">
        <v>1533</v>
      </c>
      <c r="K2766" s="2">
        <v>1</v>
      </c>
      <c r="L2766" s="2">
        <v>447</v>
      </c>
    </row>
    <row r="2767" spans="1:12" x14ac:dyDescent="0.25">
      <c r="A2767" s="4" t="str">
        <f>HYPERLINK("http://www.rosaceae.org/Prunus/Prunus_persica/p.persica_gdr_reftransV1_0014139","p.persica_gdr_reftransV1_0014139")</f>
        <v>p.persica_gdr_reftransV1_0014139</v>
      </c>
      <c r="B2767" s="2">
        <v>2295</v>
      </c>
      <c r="C2767" s="4" t="str">
        <f>HYPERLINK("http://www.uniprot.org/uniprot/M5W8L1","M5W8L1")</f>
        <v>M5W8L1</v>
      </c>
      <c r="D2767" s="2" t="s">
        <v>947</v>
      </c>
      <c r="E2767" s="3">
        <v>0</v>
      </c>
      <c r="F2767" s="2">
        <v>2454</v>
      </c>
      <c r="G2767" s="2">
        <v>91</v>
      </c>
      <c r="H2767" s="2">
        <v>550</v>
      </c>
      <c r="I2767" s="2">
        <v>226</v>
      </c>
      <c r="J2767" s="2">
        <v>1872</v>
      </c>
      <c r="K2767" s="2">
        <v>1</v>
      </c>
      <c r="L2767" s="2">
        <v>503</v>
      </c>
    </row>
    <row r="2768" spans="1:12" x14ac:dyDescent="0.25">
      <c r="A2768" s="4" t="str">
        <f>HYPERLINK("http://www.rosaceae.org/Prunus/Prunus_persica/p.persica_gdr_reftransV1_0015189","p.persica_gdr_reftransV1_0015189")</f>
        <v>p.persica_gdr_reftransV1_0015189</v>
      </c>
      <c r="B2768" s="2">
        <v>2310</v>
      </c>
      <c r="C2768" s="4" t="str">
        <f>HYPERLINK("http://www.uniprot.org/uniprot/M5WN11","M5WN11")</f>
        <v>M5WN11</v>
      </c>
      <c r="D2768" s="2" t="s">
        <v>2654</v>
      </c>
      <c r="E2768" s="3">
        <v>0</v>
      </c>
      <c r="F2768" s="2">
        <v>2453</v>
      </c>
      <c r="G2768" s="2">
        <v>100</v>
      </c>
      <c r="H2768" s="2">
        <v>474</v>
      </c>
      <c r="I2768" s="2">
        <v>282</v>
      </c>
      <c r="J2768" s="2">
        <v>1703</v>
      </c>
      <c r="K2768" s="2">
        <v>1</v>
      </c>
      <c r="L2768" s="2">
        <v>474</v>
      </c>
    </row>
    <row r="2769" spans="1:12" x14ac:dyDescent="0.25">
      <c r="A2769" s="4" t="str">
        <f>HYPERLINK("http://www.rosaceae.org/Prunus/Prunus_persica/p.persica_gdr_reftransV1_0015889","p.persica_gdr_reftransV1_0015889")</f>
        <v>p.persica_gdr_reftransV1_0015889</v>
      </c>
      <c r="B2769" s="2">
        <v>1524</v>
      </c>
      <c r="C2769" s="4" t="str">
        <f>HYPERLINK("http://www.uniprot.org/uniprot/M5XSN4","M5XSN4")</f>
        <v>M5XSN4</v>
      </c>
      <c r="D2769" s="2" t="s">
        <v>2655</v>
      </c>
      <c r="E2769" s="3">
        <v>0</v>
      </c>
      <c r="F2769" s="2">
        <v>1662</v>
      </c>
      <c r="G2769" s="2">
        <v>89</v>
      </c>
      <c r="H2769" s="2">
        <v>385</v>
      </c>
      <c r="I2769" s="2">
        <v>370</v>
      </c>
      <c r="J2769" s="2">
        <v>1524</v>
      </c>
      <c r="K2769" s="2">
        <v>132</v>
      </c>
      <c r="L2769" s="2">
        <v>475</v>
      </c>
    </row>
    <row r="2770" spans="1:12" x14ac:dyDescent="0.25">
      <c r="A2770" s="4" t="str">
        <f>HYPERLINK("http://www.rosaceae.org/Prunus/Prunus_persica/p.persica_gdr_reftransV1_0016239","p.persica_gdr_reftransV1_0016239")</f>
        <v>p.persica_gdr_reftransV1_0016239</v>
      </c>
      <c r="B2770" s="2">
        <v>1748</v>
      </c>
      <c r="C2770" s="4" t="str">
        <f>HYPERLINK("http://www.uniprot.org/uniprot/M5XW00","M5XW00")</f>
        <v>M5XW00</v>
      </c>
      <c r="D2770" s="2" t="s">
        <v>2656</v>
      </c>
      <c r="E2770" s="3">
        <v>0</v>
      </c>
      <c r="F2770" s="2">
        <v>2315</v>
      </c>
      <c r="G2770" s="2">
        <v>100</v>
      </c>
      <c r="H2770" s="2">
        <v>445</v>
      </c>
      <c r="I2770" s="2">
        <v>400</v>
      </c>
      <c r="J2770" s="2">
        <v>1734</v>
      </c>
      <c r="K2770" s="2">
        <v>1</v>
      </c>
      <c r="L2770" s="2">
        <v>445</v>
      </c>
    </row>
    <row r="2771" spans="1:12" x14ac:dyDescent="0.25">
      <c r="A2771" s="4" t="str">
        <f>HYPERLINK("http://www.rosaceae.org/Prunus/Prunus_persica/p.persica_gdr_reftransV1_0017639","p.persica_gdr_reftransV1_0017639")</f>
        <v>p.persica_gdr_reftransV1_0017639</v>
      </c>
      <c r="B2771" s="2">
        <v>1889</v>
      </c>
      <c r="C2771" s="4" t="str">
        <f>HYPERLINK("http://www.uniprot.org/uniprot/M5W4K8","M5W4K8")</f>
        <v>M5W4K8</v>
      </c>
      <c r="D2771" s="2" t="s">
        <v>2657</v>
      </c>
      <c r="E2771" s="3">
        <v>0</v>
      </c>
      <c r="F2771" s="2">
        <v>2517</v>
      </c>
      <c r="G2771" s="2">
        <v>100</v>
      </c>
      <c r="H2771" s="2">
        <v>480</v>
      </c>
      <c r="I2771" s="2">
        <v>270</v>
      </c>
      <c r="J2771" s="2">
        <v>1709</v>
      </c>
      <c r="K2771" s="2">
        <v>1</v>
      </c>
      <c r="L2771" s="2">
        <v>480</v>
      </c>
    </row>
    <row r="2772" spans="1:12" x14ac:dyDescent="0.25">
      <c r="A2772" s="4" t="str">
        <f>HYPERLINK("http://www.rosaceae.org/Prunus/Prunus_persica/p.persica_gdr_reftransV1_0017989","p.persica_gdr_reftransV1_0017989")</f>
        <v>p.persica_gdr_reftransV1_0017989</v>
      </c>
      <c r="B2772" s="2">
        <v>2895</v>
      </c>
      <c r="C2772" s="4" t="str">
        <f>HYPERLINK("http://www.uniprot.org/uniprot/M5VMS2","M5VMS2")</f>
        <v>M5VMS2</v>
      </c>
      <c r="D2772" s="2" t="s">
        <v>2658</v>
      </c>
      <c r="E2772" s="3">
        <v>9.55E-170</v>
      </c>
      <c r="F2772" s="2">
        <v>1331</v>
      </c>
      <c r="G2772" s="2">
        <v>100</v>
      </c>
      <c r="H2772" s="2">
        <v>361</v>
      </c>
      <c r="I2772" s="2">
        <v>1812</v>
      </c>
      <c r="J2772" s="2">
        <v>2894</v>
      </c>
      <c r="K2772" s="2">
        <v>137</v>
      </c>
      <c r="L2772" s="2">
        <v>497</v>
      </c>
    </row>
    <row r="2773" spans="1:12" x14ac:dyDescent="0.25">
      <c r="A2773" s="4" t="str">
        <f>HYPERLINK("http://www.rosaceae.org/Prunus/Prunus_persica/p.persica_gdr_reftransV1_0018339","p.persica_gdr_reftransV1_0018339")</f>
        <v>p.persica_gdr_reftransV1_0018339</v>
      </c>
      <c r="B2773" s="2">
        <v>4085</v>
      </c>
      <c r="C2773" s="4" t="str">
        <f>HYPERLINK("http://www.uniprot.org/uniprot/M5X1V9","M5X1V9")</f>
        <v>M5X1V9</v>
      </c>
      <c r="D2773" s="2" t="s">
        <v>2659</v>
      </c>
      <c r="E2773" s="3">
        <v>2.0800000000000001E-147</v>
      </c>
      <c r="F2773" s="2">
        <v>1206</v>
      </c>
      <c r="G2773" s="2">
        <v>95</v>
      </c>
      <c r="H2773" s="2">
        <v>255</v>
      </c>
      <c r="I2773" s="2">
        <v>2954</v>
      </c>
      <c r="J2773" s="2">
        <v>3718</v>
      </c>
      <c r="K2773" s="2">
        <v>238</v>
      </c>
      <c r="L2773" s="2">
        <v>492</v>
      </c>
    </row>
    <row r="2774" spans="1:12" x14ac:dyDescent="0.25">
      <c r="A2774" s="4" t="str">
        <f>HYPERLINK("http://www.rosaceae.org/Prunus/Prunus_persica/p.persica_gdr_reftransV1_0018689","p.persica_gdr_reftransV1_0018689")</f>
        <v>p.persica_gdr_reftransV1_0018689</v>
      </c>
      <c r="B2774" s="2">
        <v>2544</v>
      </c>
      <c r="C2774" s="4" t="str">
        <f>HYPERLINK("http://www.uniprot.org/uniprot/M5VVQ7","M5VVQ7")</f>
        <v>M5VVQ7</v>
      </c>
      <c r="D2774" s="2" t="s">
        <v>2660</v>
      </c>
      <c r="E2774" s="3">
        <v>1.06E-106</v>
      </c>
      <c r="F2774" s="2">
        <v>896</v>
      </c>
      <c r="G2774" s="2">
        <v>100</v>
      </c>
      <c r="H2774" s="2">
        <v>167</v>
      </c>
      <c r="I2774" s="2">
        <v>3</v>
      </c>
      <c r="J2774" s="2">
        <v>503</v>
      </c>
      <c r="K2774" s="2">
        <v>157</v>
      </c>
      <c r="L2774" s="2">
        <v>323</v>
      </c>
    </row>
    <row r="2775" spans="1:12" x14ac:dyDescent="0.25">
      <c r="A2775" s="4" t="str">
        <f>HYPERLINK("http://www.rosaceae.org/Prunus/Prunus_persica/p.persica_gdr_reftransV1_0019389","p.persica_gdr_reftransV1_0019389")</f>
        <v>p.persica_gdr_reftransV1_0019389</v>
      </c>
      <c r="B2775" s="2">
        <v>2081</v>
      </c>
      <c r="C2775" s="4" t="str">
        <f>HYPERLINK("http://www.uniprot.org/uniprot/A0A061F7K7","A0A061F7K7")</f>
        <v>A0A061F7K7</v>
      </c>
      <c r="D2775" s="2" t="s">
        <v>2661</v>
      </c>
      <c r="E2775" s="3">
        <v>1.6399999999999999E-125</v>
      </c>
      <c r="F2775" s="2">
        <v>851</v>
      </c>
      <c r="G2775" s="2">
        <v>83</v>
      </c>
      <c r="H2775" s="2">
        <v>183</v>
      </c>
      <c r="I2775" s="2">
        <v>508</v>
      </c>
      <c r="J2775" s="2">
        <v>1056</v>
      </c>
      <c r="K2775" s="2">
        <v>114</v>
      </c>
      <c r="L2775" s="2">
        <v>296</v>
      </c>
    </row>
    <row r="2776" spans="1:12" x14ac:dyDescent="0.25">
      <c r="A2776" s="4" t="str">
        <f>HYPERLINK("http://www.rosaceae.org/Prunus/Prunus_persica/p.persica_gdr_reftransV1_0019739","p.persica_gdr_reftransV1_0019739")</f>
        <v>p.persica_gdr_reftransV1_0019739</v>
      </c>
      <c r="B2776" s="2">
        <v>1403</v>
      </c>
      <c r="C2776" s="4" t="str">
        <f>HYPERLINK("http://www.uniprot.org/uniprot/M5XZ98","M5XZ98")</f>
        <v>M5XZ98</v>
      </c>
      <c r="D2776" s="2" t="s">
        <v>2662</v>
      </c>
      <c r="E2776" s="3">
        <v>4.0700000000000004E-115</v>
      </c>
      <c r="F2776" s="2">
        <v>900</v>
      </c>
      <c r="G2776" s="2">
        <v>100</v>
      </c>
      <c r="H2776" s="2">
        <v>180</v>
      </c>
      <c r="I2776" s="2">
        <v>152</v>
      </c>
      <c r="J2776" s="2">
        <v>691</v>
      </c>
      <c r="K2776" s="2">
        <v>1</v>
      </c>
      <c r="L2776" s="2">
        <v>180</v>
      </c>
    </row>
    <row r="2777" spans="1:12" x14ac:dyDescent="0.25">
      <c r="A2777" s="4" t="str">
        <f>HYPERLINK("http://www.rosaceae.org/Prunus/Prunus_persica/p.persica_gdr_reftransV1_0020439","p.persica_gdr_reftransV1_0020439")</f>
        <v>p.persica_gdr_reftransV1_0020439</v>
      </c>
      <c r="B2777" s="2">
        <v>1039</v>
      </c>
      <c r="C2777" s="4" t="str">
        <f>HYPERLINK("http://www.uniprot.org/uniprot/A0A0B0NC74","A0A0B0NC74")</f>
        <v>A0A0B0NC74</v>
      </c>
      <c r="D2777" s="2" t="s">
        <v>2663</v>
      </c>
      <c r="E2777" s="3">
        <v>1.71E-83</v>
      </c>
      <c r="F2777" s="2">
        <v>672</v>
      </c>
      <c r="G2777" s="2">
        <v>76</v>
      </c>
      <c r="H2777" s="2">
        <v>175</v>
      </c>
      <c r="I2777" s="2">
        <v>15</v>
      </c>
      <c r="J2777" s="2">
        <v>539</v>
      </c>
      <c r="K2777" s="2">
        <v>17</v>
      </c>
      <c r="L2777" s="2">
        <v>184</v>
      </c>
    </row>
    <row r="2778" spans="1:12" x14ac:dyDescent="0.25">
      <c r="A2778" s="4" t="str">
        <f>HYPERLINK("http://www.rosaceae.org/Prunus/Prunus_persica/p.persica_gdr_reftransV1_0020789","p.persica_gdr_reftransV1_0020789")</f>
        <v>p.persica_gdr_reftransV1_0020789</v>
      </c>
      <c r="B2778" s="2">
        <v>5043</v>
      </c>
      <c r="C2778" s="4" t="str">
        <f>HYPERLINK("http://www.uniprot.org/uniprot/M5WGH3","M5WGH3")</f>
        <v>M5WGH3</v>
      </c>
      <c r="D2778" s="2" t="s">
        <v>2664</v>
      </c>
      <c r="E2778" s="3">
        <v>0</v>
      </c>
      <c r="F2778" s="2">
        <v>7753</v>
      </c>
      <c r="G2778" s="2">
        <v>100</v>
      </c>
      <c r="H2778" s="2">
        <v>1537</v>
      </c>
      <c r="I2778" s="2">
        <v>275</v>
      </c>
      <c r="J2778" s="2">
        <v>4885</v>
      </c>
      <c r="K2778" s="2">
        <v>1</v>
      </c>
      <c r="L2778" s="2">
        <v>1537</v>
      </c>
    </row>
    <row r="2779" spans="1:12" x14ac:dyDescent="0.25">
      <c r="A2779" s="4" t="str">
        <f>HYPERLINK("http://www.rosaceae.org/Prunus/Prunus_persica/p.persica_gdr_reftransV1_0021139","p.persica_gdr_reftransV1_0021139")</f>
        <v>p.persica_gdr_reftransV1_0021139</v>
      </c>
      <c r="B2779" s="2">
        <v>1357</v>
      </c>
      <c r="C2779" s="4" t="str">
        <f>HYPERLINK("http://www.uniprot.org/uniprot/M5WBX7","M5WBX7")</f>
        <v>M5WBX7</v>
      </c>
      <c r="D2779" s="2" t="s">
        <v>1359</v>
      </c>
      <c r="E2779" s="3">
        <v>6.6100000000000003E-86</v>
      </c>
      <c r="F2779" s="2">
        <v>731</v>
      </c>
      <c r="G2779" s="2">
        <v>99</v>
      </c>
      <c r="H2779" s="2">
        <v>137</v>
      </c>
      <c r="I2779" s="2">
        <v>538</v>
      </c>
      <c r="J2779" s="2">
        <v>948</v>
      </c>
      <c r="K2779" s="2">
        <v>452</v>
      </c>
      <c r="L2779" s="2">
        <v>588</v>
      </c>
    </row>
    <row r="2780" spans="1:12" x14ac:dyDescent="0.25">
      <c r="A2780" s="4" t="str">
        <f>HYPERLINK("http://www.rosaceae.org/Prunus/Prunus_persica/p.persica_gdr_reftransV1_0021489","p.persica_gdr_reftransV1_0021489")</f>
        <v>p.persica_gdr_reftransV1_0021489</v>
      </c>
      <c r="B2780" s="2">
        <v>3937</v>
      </c>
      <c r="C2780" s="4" t="str">
        <f>HYPERLINK("http://www.uniprot.org/uniprot/M5XJI9","M5XJI9")</f>
        <v>M5XJI9</v>
      </c>
      <c r="D2780" s="2" t="s">
        <v>2665</v>
      </c>
      <c r="E2780" s="3">
        <v>2.28E-107</v>
      </c>
      <c r="F2780" s="2">
        <v>890</v>
      </c>
      <c r="G2780" s="2">
        <v>100</v>
      </c>
      <c r="H2780" s="2">
        <v>175</v>
      </c>
      <c r="I2780" s="2">
        <v>3358</v>
      </c>
      <c r="J2780" s="2">
        <v>3882</v>
      </c>
      <c r="K2780" s="2">
        <v>1</v>
      </c>
      <c r="L2780" s="2">
        <v>175</v>
      </c>
    </row>
    <row r="2781" spans="1:12" x14ac:dyDescent="0.25">
      <c r="A2781" s="4" t="str">
        <f>HYPERLINK("http://www.rosaceae.org/Prunus/Prunus_persica/p.persica_gdr_reftransV1_0022189","p.persica_gdr_reftransV1_0022189")</f>
        <v>p.persica_gdr_reftransV1_0022189</v>
      </c>
      <c r="B2781" s="2">
        <v>1009</v>
      </c>
      <c r="C2781" s="4" t="str">
        <f>HYPERLINK("http://www.uniprot.org/uniprot/M5VP55","M5VP55")</f>
        <v>M5VP55</v>
      </c>
      <c r="D2781" s="2" t="s">
        <v>2666</v>
      </c>
      <c r="E2781" s="3">
        <v>6.0200000000000001E-55</v>
      </c>
      <c r="F2781" s="2">
        <v>382</v>
      </c>
      <c r="G2781" s="2">
        <v>72</v>
      </c>
      <c r="H2781" s="2">
        <v>110</v>
      </c>
      <c r="I2781" s="2">
        <v>572</v>
      </c>
      <c r="J2781" s="2">
        <v>901</v>
      </c>
      <c r="K2781" s="2">
        <v>728</v>
      </c>
      <c r="L2781" s="2">
        <v>837</v>
      </c>
    </row>
    <row r="2782" spans="1:12" x14ac:dyDescent="0.25">
      <c r="A2782" s="4" t="str">
        <f>HYPERLINK("http://www.rosaceae.org/Prunus/Prunus_persica/p.persica_gdr_reftransV1_0022539","p.persica_gdr_reftransV1_0022539")</f>
        <v>p.persica_gdr_reftransV1_0022539</v>
      </c>
      <c r="B2782" s="2">
        <v>1707</v>
      </c>
      <c r="C2782" s="4" t="str">
        <f>HYPERLINK("http://www.uniprot.org/uniprot/M5WUU6","M5WUU6")</f>
        <v>M5WUU6</v>
      </c>
      <c r="D2782" s="2" t="s">
        <v>2667</v>
      </c>
      <c r="E2782" s="3">
        <v>3.32E-98</v>
      </c>
      <c r="F2782" s="2">
        <v>795</v>
      </c>
      <c r="G2782" s="2">
        <v>100</v>
      </c>
      <c r="H2782" s="2">
        <v>147</v>
      </c>
      <c r="I2782" s="2">
        <v>1120</v>
      </c>
      <c r="J2782" s="2">
        <v>1560</v>
      </c>
      <c r="K2782" s="2">
        <v>1</v>
      </c>
      <c r="L2782" s="2">
        <v>147</v>
      </c>
    </row>
    <row r="2783" spans="1:12" x14ac:dyDescent="0.25">
      <c r="A2783" s="4" t="str">
        <f>HYPERLINK("http://www.rosaceae.org/Prunus/Prunus_persica/p.persica_gdr_reftransV1_0023239","p.persica_gdr_reftransV1_0023239")</f>
        <v>p.persica_gdr_reftransV1_0023239</v>
      </c>
      <c r="B2783" s="2">
        <v>2613</v>
      </c>
      <c r="C2783" s="4" t="str">
        <f>HYPERLINK("http://www.uniprot.org/uniprot/M5VXL3","M5VXL3")</f>
        <v>M5VXL3</v>
      </c>
      <c r="D2783" s="2" t="s">
        <v>2668</v>
      </c>
      <c r="E2783" s="3">
        <v>0</v>
      </c>
      <c r="F2783" s="2">
        <v>3708</v>
      </c>
      <c r="G2783" s="2">
        <v>100</v>
      </c>
      <c r="H2783" s="2">
        <v>749</v>
      </c>
      <c r="I2783" s="2">
        <v>359</v>
      </c>
      <c r="J2783" s="2">
        <v>2605</v>
      </c>
      <c r="K2783" s="2">
        <v>1</v>
      </c>
      <c r="L2783" s="2">
        <v>748</v>
      </c>
    </row>
    <row r="2784" spans="1:12" x14ac:dyDescent="0.25">
      <c r="A2784" s="4" t="str">
        <f>HYPERLINK("http://www.rosaceae.org/Prunus/Prunus_persica/p.persica_gdr_reftransV1_0023939","p.persica_gdr_reftransV1_0023939")</f>
        <v>p.persica_gdr_reftransV1_0023939</v>
      </c>
      <c r="B2784" s="2">
        <v>891</v>
      </c>
      <c r="C2784" s="4" t="str">
        <f>HYPERLINK("http://www.uniprot.org/uniprot/M5WF44","M5WF44")</f>
        <v>M5WF44</v>
      </c>
      <c r="D2784" s="2" t="s">
        <v>2669</v>
      </c>
      <c r="E2784" s="3">
        <v>1.62E-130</v>
      </c>
      <c r="F2784" s="2">
        <v>977</v>
      </c>
      <c r="G2784" s="2">
        <v>100</v>
      </c>
      <c r="H2784" s="2">
        <v>183</v>
      </c>
      <c r="I2784" s="2">
        <v>91</v>
      </c>
      <c r="J2784" s="2">
        <v>639</v>
      </c>
      <c r="K2784" s="2">
        <v>1</v>
      </c>
      <c r="L2784" s="2">
        <v>183</v>
      </c>
    </row>
    <row r="2785" spans="1:12" x14ac:dyDescent="0.25">
      <c r="A2785" s="4" t="str">
        <f>HYPERLINK("http://www.rosaceae.org/Prunus/Prunus_persica/p.persica_gdr_reftransV1_0025689","p.persica_gdr_reftransV1_0025689")</f>
        <v>p.persica_gdr_reftransV1_0025689</v>
      </c>
      <c r="B2785" s="2">
        <v>1947</v>
      </c>
      <c r="C2785" s="4" t="str">
        <f>HYPERLINK("http://www.uniprot.org/uniprot/M5X8H1","M5X8H1")</f>
        <v>M5X8H1</v>
      </c>
      <c r="D2785" s="2" t="s">
        <v>2670</v>
      </c>
      <c r="E2785" s="3">
        <v>0</v>
      </c>
      <c r="F2785" s="2">
        <v>1941</v>
      </c>
      <c r="G2785" s="2">
        <v>98</v>
      </c>
      <c r="H2785" s="2">
        <v>370</v>
      </c>
      <c r="I2785" s="2">
        <v>154</v>
      </c>
      <c r="J2785" s="2">
        <v>1263</v>
      </c>
      <c r="K2785" s="2">
        <v>1</v>
      </c>
      <c r="L2785" s="2">
        <v>370</v>
      </c>
    </row>
    <row r="2786" spans="1:12" x14ac:dyDescent="0.25">
      <c r="A2786" s="4" t="str">
        <f>HYPERLINK("http://www.rosaceae.org/Prunus/Prunus_persica/p.persica_gdr_reftransV1_0026039","p.persica_gdr_reftransV1_0026039")</f>
        <v>p.persica_gdr_reftransV1_0026039</v>
      </c>
      <c r="B2786" s="2">
        <v>2758</v>
      </c>
      <c r="C2786" s="4" t="str">
        <f>HYPERLINK("http://www.uniprot.org/uniprot/M5XVP8","M5XVP8")</f>
        <v>M5XVP8</v>
      </c>
      <c r="D2786" s="2" t="s">
        <v>2671</v>
      </c>
      <c r="E2786" s="3">
        <v>0</v>
      </c>
      <c r="F2786" s="2">
        <v>2021</v>
      </c>
      <c r="G2786" s="2">
        <v>85</v>
      </c>
      <c r="H2786" s="2">
        <v>451</v>
      </c>
      <c r="I2786" s="2">
        <v>230</v>
      </c>
      <c r="J2786" s="2">
        <v>1582</v>
      </c>
      <c r="K2786" s="2">
        <v>219</v>
      </c>
      <c r="L2786" s="2">
        <v>610</v>
      </c>
    </row>
    <row r="2787" spans="1:12" x14ac:dyDescent="0.25">
      <c r="A2787" s="4" t="str">
        <f>HYPERLINK("http://www.rosaceae.org/Prunus/Prunus_persica/p.persica_gdr_reftransV1_0028139","p.persica_gdr_reftransV1_0028139")</f>
        <v>p.persica_gdr_reftransV1_0028139</v>
      </c>
      <c r="B2787" s="2">
        <v>1433</v>
      </c>
      <c r="C2787" s="4" t="str">
        <f>HYPERLINK("http://www.uniprot.org/uniprot/M5WK18","M5WK18")</f>
        <v>M5WK18</v>
      </c>
      <c r="D2787" s="2" t="s">
        <v>337</v>
      </c>
      <c r="E2787" s="3">
        <v>0</v>
      </c>
      <c r="F2787" s="2">
        <v>1885</v>
      </c>
      <c r="G2787" s="2">
        <v>100</v>
      </c>
      <c r="H2787" s="2">
        <v>380</v>
      </c>
      <c r="I2787" s="2">
        <v>292</v>
      </c>
      <c r="J2787" s="2">
        <v>1431</v>
      </c>
      <c r="K2787" s="2">
        <v>722</v>
      </c>
      <c r="L2787" s="2">
        <v>1101</v>
      </c>
    </row>
    <row r="2788" spans="1:12" x14ac:dyDescent="0.25">
      <c r="A2788" s="4" t="str">
        <f>HYPERLINK("http://www.rosaceae.org/Prunus/Prunus_persica/p.persica_gdr_reftransV1_0030939","p.persica_gdr_reftransV1_0030939")</f>
        <v>p.persica_gdr_reftransV1_0030939</v>
      </c>
      <c r="B2788" s="2">
        <v>3891</v>
      </c>
      <c r="C2788" s="4" t="str">
        <f>HYPERLINK("http://www.uniprot.org/uniprot/W1PXE6","W1PXE6")</f>
        <v>W1PXE6</v>
      </c>
      <c r="D2788" s="2" t="s">
        <v>2672</v>
      </c>
      <c r="E2788" s="3">
        <v>0</v>
      </c>
      <c r="F2788" s="2">
        <v>3477</v>
      </c>
      <c r="G2788" s="2">
        <v>88</v>
      </c>
      <c r="H2788" s="2">
        <v>836</v>
      </c>
      <c r="I2788" s="2">
        <v>1040</v>
      </c>
      <c r="J2788" s="2">
        <v>3541</v>
      </c>
      <c r="K2788" s="2">
        <v>18</v>
      </c>
      <c r="L2788" s="2">
        <v>853</v>
      </c>
    </row>
    <row r="2789" spans="1:12" x14ac:dyDescent="0.25">
      <c r="A2789" s="4" t="str">
        <f>HYPERLINK("http://www.rosaceae.org/Prunus/Prunus_persica/p.persica_gdr_reftransV1_0031989","p.persica_gdr_reftransV1_0031989")</f>
        <v>p.persica_gdr_reftransV1_0031989</v>
      </c>
      <c r="B2789" s="2">
        <v>1966</v>
      </c>
      <c r="C2789" s="4" t="str">
        <f>HYPERLINK("http://www.uniprot.org/uniprot/M5WWQ9","M5WWQ9")</f>
        <v>M5WWQ9</v>
      </c>
      <c r="D2789" s="2" t="s">
        <v>2673</v>
      </c>
      <c r="E2789" s="3">
        <v>0</v>
      </c>
      <c r="F2789" s="2">
        <v>1527</v>
      </c>
      <c r="G2789" s="2">
        <v>100</v>
      </c>
      <c r="H2789" s="2">
        <v>365</v>
      </c>
      <c r="I2789" s="2">
        <v>563</v>
      </c>
      <c r="J2789" s="2">
        <v>1657</v>
      </c>
      <c r="K2789" s="2">
        <v>5</v>
      </c>
      <c r="L2789" s="2">
        <v>369</v>
      </c>
    </row>
    <row r="2790" spans="1:12" x14ac:dyDescent="0.25">
      <c r="A2790" s="4" t="str">
        <f>HYPERLINK("http://www.rosaceae.org/Prunus/Prunus_persica/p.persica_gdr_reftransV1_0032339","p.persica_gdr_reftransV1_0032339")</f>
        <v>p.persica_gdr_reftransV1_0032339</v>
      </c>
      <c r="B2790" s="2">
        <v>3084</v>
      </c>
      <c r="C2790" s="4" t="str">
        <f>HYPERLINK("http://www.uniprot.org/uniprot/M5WXP6","M5WXP6")</f>
        <v>M5WXP6</v>
      </c>
      <c r="D2790" s="2" t="s">
        <v>2674</v>
      </c>
      <c r="E2790" s="3">
        <v>0</v>
      </c>
      <c r="F2790" s="2">
        <v>2124</v>
      </c>
      <c r="G2790" s="2">
        <v>95</v>
      </c>
      <c r="H2790" s="2">
        <v>417</v>
      </c>
      <c r="I2790" s="2">
        <v>162</v>
      </c>
      <c r="J2790" s="2">
        <v>1412</v>
      </c>
      <c r="K2790" s="2">
        <v>72</v>
      </c>
      <c r="L2790" s="2">
        <v>477</v>
      </c>
    </row>
    <row r="2791" spans="1:12" x14ac:dyDescent="0.25">
      <c r="A2791" s="4" t="str">
        <f>HYPERLINK("http://www.rosaceae.org/Prunus/Prunus_persica/p.persica_gdr_reftransV1_0033739","p.persica_gdr_reftransV1_0033739")</f>
        <v>p.persica_gdr_reftransV1_0033739</v>
      </c>
      <c r="B2791" s="2">
        <v>1763</v>
      </c>
      <c r="C2791" s="4" t="str">
        <f>HYPERLINK("http://www.uniprot.org/uniprot/M5WAG7","M5WAG7")</f>
        <v>M5WAG7</v>
      </c>
      <c r="D2791" s="2" t="s">
        <v>2675</v>
      </c>
      <c r="E2791" s="3">
        <v>0</v>
      </c>
      <c r="F2791" s="2">
        <v>2407</v>
      </c>
      <c r="G2791" s="2">
        <v>100</v>
      </c>
      <c r="H2791" s="2">
        <v>466</v>
      </c>
      <c r="I2791" s="2">
        <v>188</v>
      </c>
      <c r="J2791" s="2">
        <v>1585</v>
      </c>
      <c r="K2791" s="2">
        <v>1</v>
      </c>
      <c r="L2791" s="2">
        <v>466</v>
      </c>
    </row>
    <row r="2792" spans="1:12" x14ac:dyDescent="0.25">
      <c r="A2792" s="4" t="str">
        <f>HYPERLINK("http://www.rosaceae.org/Prunus/Prunus_persica/p.persica_gdr_reftransV1_0036539","p.persica_gdr_reftransV1_0036539")</f>
        <v>p.persica_gdr_reftransV1_0036539</v>
      </c>
      <c r="B2792" s="2">
        <v>1944</v>
      </c>
      <c r="C2792" s="4" t="str">
        <f>HYPERLINK("http://www.uniprot.org/uniprot/M5XRK0","M5XRK0")</f>
        <v>M5XRK0</v>
      </c>
      <c r="D2792" s="2" t="s">
        <v>2676</v>
      </c>
      <c r="E2792" s="3">
        <v>1.41E-120</v>
      </c>
      <c r="F2792" s="2">
        <v>948</v>
      </c>
      <c r="G2792" s="2">
        <v>100</v>
      </c>
      <c r="H2792" s="2">
        <v>217</v>
      </c>
      <c r="I2792" s="2">
        <v>235</v>
      </c>
      <c r="J2792" s="2">
        <v>885</v>
      </c>
      <c r="K2792" s="2">
        <v>1</v>
      </c>
      <c r="L2792" s="2">
        <v>217</v>
      </c>
    </row>
    <row r="2793" spans="1:12" x14ac:dyDescent="0.25">
      <c r="A2793" s="4" t="str">
        <f>HYPERLINK("http://www.rosaceae.org/Prunus/Prunus_persica/p.persica_gdr_reftransV1_0038289","p.persica_gdr_reftransV1_0038289")</f>
        <v>p.persica_gdr_reftransV1_0038289</v>
      </c>
      <c r="B2793" s="2">
        <v>848</v>
      </c>
      <c r="C2793" s="4" t="str">
        <f>HYPERLINK("http://www.uniprot.org/uniprot/M5W7A7","M5W7A7")</f>
        <v>M5W7A7</v>
      </c>
      <c r="D2793" s="2" t="s">
        <v>2677</v>
      </c>
      <c r="E2793" s="3">
        <v>1.43E-162</v>
      </c>
      <c r="F2793" s="2">
        <v>1214</v>
      </c>
      <c r="G2793" s="2">
        <v>100</v>
      </c>
      <c r="H2793" s="2">
        <v>229</v>
      </c>
      <c r="I2793" s="2">
        <v>161</v>
      </c>
      <c r="J2793" s="2">
        <v>847</v>
      </c>
      <c r="K2793" s="2">
        <v>1</v>
      </c>
      <c r="L2793" s="2">
        <v>229</v>
      </c>
    </row>
    <row r="2794" spans="1:12" x14ac:dyDescent="0.25">
      <c r="A2794" s="4" t="str">
        <f>HYPERLINK("http://www.rosaceae.org/Prunus/Prunus_persica/p.persica_gdr_reftransV1_0038639","p.persica_gdr_reftransV1_0038639")</f>
        <v>p.persica_gdr_reftransV1_0038639</v>
      </c>
      <c r="B2794" s="2">
        <v>1508</v>
      </c>
      <c r="C2794" s="4" t="str">
        <f>HYPERLINK("http://www.uniprot.org/uniprot/M5Y8Z2","M5Y8Z2")</f>
        <v>M5Y8Z2</v>
      </c>
      <c r="D2794" s="2" t="s">
        <v>2678</v>
      </c>
      <c r="E2794" s="3">
        <v>0</v>
      </c>
      <c r="F2794" s="2">
        <v>1489</v>
      </c>
      <c r="G2794" s="2">
        <v>100</v>
      </c>
      <c r="H2794" s="2">
        <v>282</v>
      </c>
      <c r="I2794" s="2">
        <v>171</v>
      </c>
      <c r="J2794" s="2">
        <v>1016</v>
      </c>
      <c r="K2794" s="2">
        <v>1</v>
      </c>
      <c r="L2794" s="2">
        <v>282</v>
      </c>
    </row>
    <row r="2795" spans="1:12" x14ac:dyDescent="0.25">
      <c r="A2795" s="4" t="str">
        <f>HYPERLINK("http://www.rosaceae.org/Prunus/Prunus_persica/p.persica_gdr_reftransV1_0039339","p.persica_gdr_reftransV1_0039339")</f>
        <v>p.persica_gdr_reftransV1_0039339</v>
      </c>
      <c r="B2795" s="2">
        <v>1419</v>
      </c>
      <c r="C2795" s="4" t="str">
        <f>HYPERLINK("http://www.uniprot.org/uniprot/M5X7W6","M5X7W6")</f>
        <v>M5X7W6</v>
      </c>
      <c r="D2795" s="2" t="s">
        <v>2679</v>
      </c>
      <c r="E2795" s="3">
        <v>0</v>
      </c>
      <c r="F2795" s="2">
        <v>1486</v>
      </c>
      <c r="G2795" s="2">
        <v>100</v>
      </c>
      <c r="H2795" s="2">
        <v>278</v>
      </c>
      <c r="I2795" s="2">
        <v>365</v>
      </c>
      <c r="J2795" s="2">
        <v>1198</v>
      </c>
      <c r="K2795" s="2">
        <v>1</v>
      </c>
      <c r="L2795" s="2">
        <v>278</v>
      </c>
    </row>
    <row r="2796" spans="1:12" x14ac:dyDescent="0.25">
      <c r="A2796" s="4" t="str">
        <f>HYPERLINK("http://www.rosaceae.org/Prunus/Prunus_persica/p.persica_gdr_reftransV1_0043189","p.persica_gdr_reftransV1_0043189")</f>
        <v>p.persica_gdr_reftransV1_0043189</v>
      </c>
      <c r="B2796" s="2">
        <v>1294</v>
      </c>
      <c r="C2796" s="4" t="str">
        <f>HYPERLINK("http://www.uniprot.org/uniprot/M5XET6","M5XET6")</f>
        <v>M5XET6</v>
      </c>
      <c r="D2796" s="2" t="s">
        <v>2680</v>
      </c>
      <c r="E2796" s="3">
        <v>5.5199999999999999E-153</v>
      </c>
      <c r="F2796" s="2">
        <v>1146</v>
      </c>
      <c r="G2796" s="2">
        <v>99</v>
      </c>
      <c r="H2796" s="2">
        <v>251</v>
      </c>
      <c r="I2796" s="2">
        <v>105</v>
      </c>
      <c r="J2796" s="2">
        <v>857</v>
      </c>
      <c r="K2796" s="2">
        <v>1</v>
      </c>
      <c r="L2796" s="2">
        <v>251</v>
      </c>
    </row>
    <row r="2797" spans="1:12" x14ac:dyDescent="0.25">
      <c r="A2797" s="4" t="str">
        <f>HYPERLINK("http://www.rosaceae.org/Prunus/Prunus_persica/p.persica_gdr_reftransV1_0043539","p.persica_gdr_reftransV1_0043539")</f>
        <v>p.persica_gdr_reftransV1_0043539</v>
      </c>
      <c r="B2797" s="2">
        <v>1187</v>
      </c>
      <c r="C2797" s="4" t="str">
        <f>HYPERLINK("http://www.uniprot.org/uniprot/M5WX48","M5WX48")</f>
        <v>M5WX48</v>
      </c>
      <c r="D2797" s="2" t="s">
        <v>2681</v>
      </c>
      <c r="E2797" s="3">
        <v>0</v>
      </c>
      <c r="F2797" s="2">
        <v>1994</v>
      </c>
      <c r="G2797" s="2">
        <v>100</v>
      </c>
      <c r="H2797" s="2">
        <v>374</v>
      </c>
      <c r="I2797" s="2">
        <v>2</v>
      </c>
      <c r="J2797" s="2">
        <v>1123</v>
      </c>
      <c r="K2797" s="2">
        <v>132</v>
      </c>
      <c r="L2797" s="2">
        <v>505</v>
      </c>
    </row>
    <row r="2798" spans="1:12" x14ac:dyDescent="0.25">
      <c r="A2798" s="4" t="str">
        <f>HYPERLINK("http://www.rosaceae.org/Prunus/Prunus_persica/p.persica_gdr_reftransV1_0043889","p.persica_gdr_reftransV1_0043889")</f>
        <v>p.persica_gdr_reftransV1_0043889</v>
      </c>
      <c r="B2798" s="2">
        <v>412</v>
      </c>
      <c r="C2798" s="4" t="str">
        <f>HYPERLINK("http://www.uniprot.org/uniprot/M5W446","M5W446")</f>
        <v>M5W446</v>
      </c>
      <c r="D2798" s="2" t="s">
        <v>2682</v>
      </c>
      <c r="E2798" s="3">
        <v>4.3700000000000002E-33</v>
      </c>
      <c r="F2798" s="2">
        <v>306</v>
      </c>
      <c r="G2798" s="2">
        <v>100</v>
      </c>
      <c r="H2798" s="2">
        <v>84</v>
      </c>
      <c r="I2798" s="2">
        <v>1</v>
      </c>
      <c r="J2798" s="2">
        <v>252</v>
      </c>
      <c r="K2798" s="2">
        <v>1</v>
      </c>
      <c r="L2798" s="2">
        <v>84</v>
      </c>
    </row>
    <row r="2799" spans="1:12" x14ac:dyDescent="0.25">
      <c r="A2799" s="4" t="str">
        <f>HYPERLINK("http://www.rosaceae.org/Prunus/Prunus_persica/p.persica_gdr_reftransV1_0044239","p.persica_gdr_reftransV1_0044239")</f>
        <v>p.persica_gdr_reftransV1_0044239</v>
      </c>
      <c r="B2799" s="2">
        <v>894</v>
      </c>
      <c r="C2799" s="4" t="str">
        <f>HYPERLINK("http://www.uniprot.org/uniprot/M5XCP2","M5XCP2")</f>
        <v>M5XCP2</v>
      </c>
      <c r="D2799" s="2" t="s">
        <v>2683</v>
      </c>
      <c r="E2799" s="3">
        <v>1.8200000000000002E-170</v>
      </c>
      <c r="F2799" s="2">
        <v>1263</v>
      </c>
      <c r="G2799" s="2">
        <v>99</v>
      </c>
      <c r="H2799" s="2">
        <v>255</v>
      </c>
      <c r="I2799" s="2">
        <v>129</v>
      </c>
      <c r="J2799" s="2">
        <v>893</v>
      </c>
      <c r="K2799" s="2">
        <v>162</v>
      </c>
      <c r="L2799" s="2">
        <v>416</v>
      </c>
    </row>
    <row r="2800" spans="1:12" x14ac:dyDescent="0.25">
      <c r="A2800" s="4" t="str">
        <f>HYPERLINK("http://www.rosaceae.org/Prunus/Prunus_persica/p.persica_gdr_reftransV1_0044589","p.persica_gdr_reftransV1_0044589")</f>
        <v>p.persica_gdr_reftransV1_0044589</v>
      </c>
      <c r="B2800" s="2">
        <v>767</v>
      </c>
      <c r="C2800" s="4" t="str">
        <f>HYPERLINK("http://www.uniprot.org/uniprot/M5Y9G7","M5Y9G7")</f>
        <v>M5Y9G7</v>
      </c>
      <c r="D2800" s="2" t="s">
        <v>2684</v>
      </c>
      <c r="E2800" s="3">
        <v>2.1200000000000001E-98</v>
      </c>
      <c r="F2800" s="2">
        <v>760</v>
      </c>
      <c r="G2800" s="2">
        <v>99</v>
      </c>
      <c r="H2800" s="2">
        <v>176</v>
      </c>
      <c r="I2800" s="2">
        <v>133</v>
      </c>
      <c r="J2800" s="2">
        <v>660</v>
      </c>
      <c r="K2800" s="2">
        <v>1</v>
      </c>
      <c r="L2800" s="2">
        <v>176</v>
      </c>
    </row>
    <row r="2801" spans="1:12" x14ac:dyDescent="0.25">
      <c r="A2801" s="4" t="str">
        <f>HYPERLINK("http://www.rosaceae.org/Prunus/Prunus_persica/p.persica_gdr_reftransV1_0044939","p.persica_gdr_reftransV1_0044939")</f>
        <v>p.persica_gdr_reftransV1_0044939</v>
      </c>
      <c r="B2801" s="2">
        <v>333</v>
      </c>
      <c r="C2801" s="4" t="str">
        <f>HYPERLINK("http://www.uniprot.org/uniprot/M5XWK4","M5XWK4")</f>
        <v>M5XWK4</v>
      </c>
      <c r="D2801" s="2" t="s">
        <v>1967</v>
      </c>
      <c r="E2801" s="3">
        <v>4.8699999999999998E-35</v>
      </c>
      <c r="F2801" s="2">
        <v>340</v>
      </c>
      <c r="G2801" s="2">
        <v>92</v>
      </c>
      <c r="H2801" s="2">
        <v>88</v>
      </c>
      <c r="I2801" s="2">
        <v>69</v>
      </c>
      <c r="J2801" s="2">
        <v>332</v>
      </c>
      <c r="K2801" s="2">
        <v>1</v>
      </c>
      <c r="L2801" s="2">
        <v>86</v>
      </c>
    </row>
    <row r="2802" spans="1:12" x14ac:dyDescent="0.25">
      <c r="A2802" s="4" t="str">
        <f>HYPERLINK("http://www.rosaceae.org/Prunus/Prunus_persica/p.persica_gdr_reftransV1_0045289","p.persica_gdr_reftransV1_0045289")</f>
        <v>p.persica_gdr_reftransV1_0045289</v>
      </c>
      <c r="B2802" s="2">
        <v>932</v>
      </c>
      <c r="C2802" s="4" t="str">
        <f>HYPERLINK("http://www.uniprot.org/uniprot/M5W5V6","M5W5V6")</f>
        <v>M5W5V6</v>
      </c>
      <c r="D2802" s="2" t="s">
        <v>2685</v>
      </c>
      <c r="E2802" s="3">
        <v>1.1399999999999999E-154</v>
      </c>
      <c r="F2802" s="2">
        <v>1169</v>
      </c>
      <c r="G2802" s="2">
        <v>99</v>
      </c>
      <c r="H2802" s="2">
        <v>265</v>
      </c>
      <c r="I2802" s="2">
        <v>60</v>
      </c>
      <c r="J2802" s="2">
        <v>854</v>
      </c>
      <c r="K2802" s="2">
        <v>1</v>
      </c>
      <c r="L2802" s="2">
        <v>265</v>
      </c>
    </row>
    <row r="2803" spans="1:12" x14ac:dyDescent="0.25">
      <c r="A2803" s="4" t="str">
        <f>HYPERLINK("http://www.rosaceae.org/Prunus/Prunus_persica/p.persica_gdr_reftransV1_0045639","p.persica_gdr_reftransV1_0045639")</f>
        <v>p.persica_gdr_reftransV1_0045639</v>
      </c>
      <c r="B2803" s="2">
        <v>388</v>
      </c>
      <c r="C2803" s="4" t="str">
        <f>HYPERLINK("http://www.uniprot.org/uniprot/M5W8Q2","M5W8Q2")</f>
        <v>M5W8Q2</v>
      </c>
      <c r="D2803" s="2" t="s">
        <v>2686</v>
      </c>
      <c r="E2803" s="3">
        <v>2.2400000000000002E-53</v>
      </c>
      <c r="F2803" s="2">
        <v>473</v>
      </c>
      <c r="G2803" s="2">
        <v>99</v>
      </c>
      <c r="H2803" s="2">
        <v>87</v>
      </c>
      <c r="I2803" s="2">
        <v>4</v>
      </c>
      <c r="J2803" s="2">
        <v>264</v>
      </c>
      <c r="K2803" s="2">
        <v>1</v>
      </c>
      <c r="L2803" s="2">
        <v>87</v>
      </c>
    </row>
    <row r="2804" spans="1:12" x14ac:dyDescent="0.25">
      <c r="A2804" s="4" t="str">
        <f>HYPERLINK("http://www.rosaceae.org/Prunus/Prunus_persica/p.persica_gdr_reftransV1_0045989","p.persica_gdr_reftransV1_0045989")</f>
        <v>p.persica_gdr_reftransV1_0045989</v>
      </c>
      <c r="B2804" s="2">
        <v>546</v>
      </c>
      <c r="C2804" s="4" t="str">
        <f>HYPERLINK("http://www.uniprot.org/uniprot/M5X794","M5X794")</f>
        <v>M5X794</v>
      </c>
      <c r="D2804" s="2" t="s">
        <v>2687</v>
      </c>
      <c r="E2804" s="3">
        <v>4.3199999999999999E-77</v>
      </c>
      <c r="F2804" s="2">
        <v>650</v>
      </c>
      <c r="G2804" s="2">
        <v>99</v>
      </c>
      <c r="H2804" s="2">
        <v>121</v>
      </c>
      <c r="I2804" s="2">
        <v>1</v>
      </c>
      <c r="J2804" s="2">
        <v>363</v>
      </c>
      <c r="K2804" s="2">
        <v>2</v>
      </c>
      <c r="L2804" s="2">
        <v>122</v>
      </c>
    </row>
    <row r="2805" spans="1:12" x14ac:dyDescent="0.25">
      <c r="A2805" s="4" t="str">
        <f>HYPERLINK("http://www.rosaceae.org/Prunus/Prunus_persica/p.persica_gdr_reftransV1_0046339","p.persica_gdr_reftransV1_0046339")</f>
        <v>p.persica_gdr_reftransV1_0046339</v>
      </c>
      <c r="B2805" s="2">
        <v>1813</v>
      </c>
      <c r="C2805" s="4" t="str">
        <f>HYPERLINK("http://www.uniprot.org/uniprot/M5WU67","M5WU67")</f>
        <v>M5WU67</v>
      </c>
      <c r="D2805" s="2" t="s">
        <v>1010</v>
      </c>
      <c r="E2805" s="3">
        <v>0</v>
      </c>
      <c r="F2805" s="2">
        <v>2370</v>
      </c>
      <c r="G2805" s="2">
        <v>100</v>
      </c>
      <c r="H2805" s="2">
        <v>460</v>
      </c>
      <c r="I2805" s="2">
        <v>281</v>
      </c>
      <c r="J2805" s="2">
        <v>1660</v>
      </c>
      <c r="K2805" s="2">
        <v>1</v>
      </c>
      <c r="L2805" s="2">
        <v>460</v>
      </c>
    </row>
    <row r="2806" spans="1:12" x14ac:dyDescent="0.25">
      <c r="A2806" s="4" t="str">
        <f>HYPERLINK("http://www.rosaceae.org/Prunus/Prunus_persica/p.persica_gdr_reftransV1_0046689","p.persica_gdr_reftransV1_0046689")</f>
        <v>p.persica_gdr_reftransV1_0046689</v>
      </c>
      <c r="B2806" s="2">
        <v>571</v>
      </c>
      <c r="C2806" s="4" t="str">
        <f>HYPERLINK("http://www.uniprot.org/uniprot/M5VHW8","M5VHW8")</f>
        <v>M5VHW8</v>
      </c>
      <c r="D2806" s="2" t="s">
        <v>2688</v>
      </c>
      <c r="E2806" s="3">
        <v>1.1499999999999999E-71</v>
      </c>
      <c r="F2806" s="2">
        <v>592</v>
      </c>
      <c r="G2806" s="2">
        <v>100</v>
      </c>
      <c r="H2806" s="2">
        <v>111</v>
      </c>
      <c r="I2806" s="2">
        <v>2</v>
      </c>
      <c r="J2806" s="2">
        <v>334</v>
      </c>
      <c r="K2806" s="2">
        <v>1</v>
      </c>
      <c r="L2806" s="2">
        <v>111</v>
      </c>
    </row>
    <row r="2807" spans="1:12" x14ac:dyDescent="0.25">
      <c r="A2807" s="4" t="str">
        <f>HYPERLINK("http://www.rosaceae.org/Prunus/Prunus_persica/p.persica_gdr_reftransV1_0047039","p.persica_gdr_reftransV1_0047039")</f>
        <v>p.persica_gdr_reftransV1_0047039</v>
      </c>
      <c r="B2807" s="2">
        <v>2134</v>
      </c>
      <c r="C2807" s="4" t="str">
        <f>HYPERLINK("http://www.uniprot.org/uniprot/M5X809","M5X809")</f>
        <v>M5X809</v>
      </c>
      <c r="D2807" s="2" t="s">
        <v>2689</v>
      </c>
      <c r="E2807" s="3">
        <v>1.5E-177</v>
      </c>
      <c r="F2807" s="2">
        <v>1358</v>
      </c>
      <c r="G2807" s="2">
        <v>100</v>
      </c>
      <c r="H2807" s="2">
        <v>335</v>
      </c>
      <c r="I2807" s="2">
        <v>373</v>
      </c>
      <c r="J2807" s="2">
        <v>1377</v>
      </c>
      <c r="K2807" s="2">
        <v>111</v>
      </c>
      <c r="L2807" s="2">
        <v>445</v>
      </c>
    </row>
    <row r="2808" spans="1:12" x14ac:dyDescent="0.25">
      <c r="A2808" s="4" t="str">
        <f>HYPERLINK("http://www.rosaceae.org/Prunus/Prunus_persica/p.persica_gdr_reftransV1_0047389","p.persica_gdr_reftransV1_0047389")</f>
        <v>p.persica_gdr_reftransV1_0047389</v>
      </c>
      <c r="B2808" s="2">
        <v>852</v>
      </c>
      <c r="C2808" s="4" t="str">
        <f>HYPERLINK("http://www.uniprot.org/uniprot/M5XRA9","M5XRA9")</f>
        <v>M5XRA9</v>
      </c>
      <c r="D2808" s="2" t="s">
        <v>2690</v>
      </c>
      <c r="E2808" s="3">
        <v>1.0300000000000001E-138</v>
      </c>
      <c r="F2808" s="2">
        <v>1060</v>
      </c>
      <c r="G2808" s="2">
        <v>100</v>
      </c>
      <c r="H2808" s="2">
        <v>196</v>
      </c>
      <c r="I2808" s="2">
        <v>264</v>
      </c>
      <c r="J2808" s="2">
        <v>851</v>
      </c>
      <c r="K2808" s="2">
        <v>301</v>
      </c>
      <c r="L2808" s="2">
        <v>496</v>
      </c>
    </row>
    <row r="2809" spans="1:12" x14ac:dyDescent="0.25">
      <c r="A2809" s="4" t="str">
        <f>HYPERLINK("http://www.rosaceae.org/Prunus/Prunus_persica/p.persica_gdr_reftransV1_0047739","p.persica_gdr_reftransV1_0047739")</f>
        <v>p.persica_gdr_reftransV1_0047739</v>
      </c>
      <c r="B2809" s="2">
        <v>953</v>
      </c>
      <c r="C2809" s="4" t="str">
        <f>HYPERLINK("http://www.uniprot.org/uniprot/M5XB14","M5XB14")</f>
        <v>M5XB14</v>
      </c>
      <c r="D2809" s="2" t="s">
        <v>2691</v>
      </c>
      <c r="E2809" s="3">
        <v>1.28E-119</v>
      </c>
      <c r="F2809" s="2">
        <v>907</v>
      </c>
      <c r="G2809" s="2">
        <v>100</v>
      </c>
      <c r="H2809" s="2">
        <v>183</v>
      </c>
      <c r="I2809" s="2">
        <v>66</v>
      </c>
      <c r="J2809" s="2">
        <v>614</v>
      </c>
      <c r="K2809" s="2">
        <v>1</v>
      </c>
      <c r="L2809" s="2">
        <v>183</v>
      </c>
    </row>
    <row r="2810" spans="1:12" x14ac:dyDescent="0.25">
      <c r="A2810" s="4" t="str">
        <f>HYPERLINK("http://www.rosaceae.org/Prunus/Prunus_persica/p.persica_gdr_reftransV1_0048439","p.persica_gdr_reftransV1_0048439")</f>
        <v>p.persica_gdr_reftransV1_0048439</v>
      </c>
      <c r="B2810" s="2">
        <v>429</v>
      </c>
      <c r="C2810" s="4" t="str">
        <f>HYPERLINK("http://www.uniprot.org/uniprot/M5WW57","M5WW57")</f>
        <v>M5WW57</v>
      </c>
      <c r="D2810" s="2" t="s">
        <v>2692</v>
      </c>
      <c r="E2810" s="3">
        <v>4.2700000000000001E-38</v>
      </c>
      <c r="F2810" s="2">
        <v>340</v>
      </c>
      <c r="G2810" s="2">
        <v>100</v>
      </c>
      <c r="H2810" s="2">
        <v>68</v>
      </c>
      <c r="I2810" s="2">
        <v>76</v>
      </c>
      <c r="J2810" s="2">
        <v>279</v>
      </c>
      <c r="K2810" s="2">
        <v>1</v>
      </c>
      <c r="L2810" s="2">
        <v>68</v>
      </c>
    </row>
    <row r="2811" spans="1:12" x14ac:dyDescent="0.25">
      <c r="A2811" s="4" t="str">
        <f>HYPERLINK("http://www.rosaceae.org/Prunus/Prunus_persica/p.persica_gdr_reftransV1_0048789","p.persica_gdr_reftransV1_0048789")</f>
        <v>p.persica_gdr_reftransV1_0048789</v>
      </c>
      <c r="B2811" s="2">
        <v>1500</v>
      </c>
      <c r="C2811" s="4" t="str">
        <f>HYPERLINK("http://www.uniprot.org/uniprot/M5XCM8","M5XCM8")</f>
        <v>M5XCM8</v>
      </c>
      <c r="D2811" s="2" t="s">
        <v>2693</v>
      </c>
      <c r="E2811" s="3">
        <v>0</v>
      </c>
      <c r="F2811" s="2">
        <v>1750</v>
      </c>
      <c r="G2811" s="2">
        <v>100</v>
      </c>
      <c r="H2811" s="2">
        <v>326</v>
      </c>
      <c r="I2811" s="2">
        <v>321</v>
      </c>
      <c r="J2811" s="2">
        <v>1298</v>
      </c>
      <c r="K2811" s="2">
        <v>1</v>
      </c>
      <c r="L2811" s="2">
        <v>326</v>
      </c>
    </row>
    <row r="2812" spans="1:12" x14ac:dyDescent="0.25">
      <c r="A2812" s="4" t="str">
        <f>HYPERLINK("http://www.rosaceae.org/Prunus/Prunus_persica/p.persica_gdr_reftransV1_0049139","p.persica_gdr_reftransV1_0049139")</f>
        <v>p.persica_gdr_reftransV1_0049139</v>
      </c>
      <c r="B2812" s="2">
        <v>599</v>
      </c>
      <c r="C2812" s="4" t="str">
        <f>HYPERLINK("http://www.uniprot.org/uniprot/F6H2H4","F6H2H4")</f>
        <v>F6H2H4</v>
      </c>
      <c r="D2812" s="2" t="s">
        <v>2694</v>
      </c>
      <c r="E2812" s="3">
        <v>1.5400000000000001E-76</v>
      </c>
      <c r="F2812" s="2">
        <v>636</v>
      </c>
      <c r="G2812" s="2">
        <v>78</v>
      </c>
      <c r="H2812" s="2">
        <v>148</v>
      </c>
      <c r="I2812" s="2">
        <v>94</v>
      </c>
      <c r="J2812" s="2">
        <v>537</v>
      </c>
      <c r="K2812" s="2">
        <v>355</v>
      </c>
      <c r="L2812" s="2">
        <v>502</v>
      </c>
    </row>
    <row r="2813" spans="1:12" x14ac:dyDescent="0.25">
      <c r="A2813" s="4" t="str">
        <f>HYPERLINK("http://www.rosaceae.org/Prunus/Prunus_persica/p.persica_gdr_reftransV1_0000140","p.persica_gdr_reftransV1_0000140")</f>
        <v>p.persica_gdr_reftransV1_0000140</v>
      </c>
      <c r="B2813" s="2">
        <v>4198</v>
      </c>
      <c r="C2813" s="4" t="str">
        <f>HYPERLINK("http://www.uniprot.org/uniprot/M5Y4A4","M5Y4A4")</f>
        <v>M5Y4A4</v>
      </c>
      <c r="D2813" s="2" t="s">
        <v>2695</v>
      </c>
      <c r="E2813" s="3">
        <v>0</v>
      </c>
      <c r="F2813" s="2">
        <v>6283</v>
      </c>
      <c r="G2813" s="2">
        <v>100</v>
      </c>
      <c r="H2813" s="2">
        <v>1174</v>
      </c>
      <c r="I2813" s="2">
        <v>421</v>
      </c>
      <c r="J2813" s="2">
        <v>3942</v>
      </c>
      <c r="K2813" s="2">
        <v>21</v>
      </c>
      <c r="L2813" s="2">
        <v>1194</v>
      </c>
    </row>
    <row r="2814" spans="1:12" x14ac:dyDescent="0.25">
      <c r="A2814" s="4" t="str">
        <f>HYPERLINK("http://www.rosaceae.org/Prunus/Prunus_persica/p.persica_gdr_reftransV1_0000490","p.persica_gdr_reftransV1_0000490")</f>
        <v>p.persica_gdr_reftransV1_0000490</v>
      </c>
      <c r="B2814" s="2">
        <v>3145</v>
      </c>
      <c r="C2814" s="4" t="str">
        <f>HYPERLINK("http://www.uniprot.org/uniprot/M5VZQ5","M5VZQ5")</f>
        <v>M5VZQ5</v>
      </c>
      <c r="D2814" s="2" t="s">
        <v>2696</v>
      </c>
      <c r="E2814" s="3">
        <v>0</v>
      </c>
      <c r="F2814" s="2">
        <v>3455</v>
      </c>
      <c r="G2814" s="2">
        <v>100</v>
      </c>
      <c r="H2814" s="2">
        <v>706</v>
      </c>
      <c r="I2814" s="2">
        <v>349</v>
      </c>
      <c r="J2814" s="2">
        <v>2466</v>
      </c>
      <c r="K2814" s="2">
        <v>1</v>
      </c>
      <c r="L2814" s="2">
        <v>706</v>
      </c>
    </row>
    <row r="2815" spans="1:12" x14ac:dyDescent="0.25">
      <c r="A2815" s="4" t="str">
        <f>HYPERLINK("http://www.rosaceae.org/Prunus/Prunus_persica/p.persica_gdr_reftransV1_0001190","p.persica_gdr_reftransV1_0001190")</f>
        <v>p.persica_gdr_reftransV1_0001190</v>
      </c>
      <c r="B2815" s="2">
        <v>2898</v>
      </c>
      <c r="C2815" s="4" t="str">
        <f>HYPERLINK("http://www.uniprot.org/uniprot/M5XSM7","M5XSM7")</f>
        <v>M5XSM7</v>
      </c>
      <c r="D2815" s="2" t="s">
        <v>2697</v>
      </c>
      <c r="E2815" s="3">
        <v>0</v>
      </c>
      <c r="F2815" s="2">
        <v>3371</v>
      </c>
      <c r="G2815" s="2">
        <v>100</v>
      </c>
      <c r="H2815" s="2">
        <v>726</v>
      </c>
      <c r="I2815" s="2">
        <v>235</v>
      </c>
      <c r="J2815" s="2">
        <v>2412</v>
      </c>
      <c r="K2815" s="2">
        <v>1</v>
      </c>
      <c r="L2815" s="2">
        <v>726</v>
      </c>
    </row>
    <row r="2816" spans="1:12" x14ac:dyDescent="0.25">
      <c r="A2816" s="4" t="str">
        <f>HYPERLINK("http://www.rosaceae.org/Prunus/Prunus_persica/p.persica_gdr_reftransV1_0001540","p.persica_gdr_reftransV1_0001540")</f>
        <v>p.persica_gdr_reftransV1_0001540</v>
      </c>
      <c r="B2816" s="2">
        <v>2681</v>
      </c>
      <c r="C2816" s="4" t="str">
        <f>HYPERLINK("http://www.uniprot.org/uniprot/B9R827","B9R827")</f>
        <v>B9R827</v>
      </c>
      <c r="D2816" s="2" t="s">
        <v>2698</v>
      </c>
      <c r="E2816" s="3">
        <v>0</v>
      </c>
      <c r="F2816" s="2">
        <v>2272</v>
      </c>
      <c r="G2816" s="2">
        <v>86</v>
      </c>
      <c r="H2816" s="2">
        <v>537</v>
      </c>
      <c r="I2816" s="2">
        <v>930</v>
      </c>
      <c r="J2816" s="2">
        <v>2540</v>
      </c>
      <c r="K2816" s="2">
        <v>274</v>
      </c>
      <c r="L2816" s="2">
        <v>810</v>
      </c>
    </row>
    <row r="2817" spans="1:12" x14ac:dyDescent="0.25">
      <c r="A2817" s="4" t="str">
        <f>HYPERLINK("http://www.rosaceae.org/Prunus/Prunus_persica/p.persica_gdr_reftransV1_0002240","p.persica_gdr_reftransV1_0002240")</f>
        <v>p.persica_gdr_reftransV1_0002240</v>
      </c>
      <c r="B2817" s="2">
        <v>2334</v>
      </c>
      <c r="C2817" s="4" t="str">
        <f>HYPERLINK("http://www.uniprot.org/uniprot/M5X9M8","M5X9M8")</f>
        <v>M5X9M8</v>
      </c>
      <c r="D2817" s="2" t="s">
        <v>1193</v>
      </c>
      <c r="E2817" s="3">
        <v>0</v>
      </c>
      <c r="F2817" s="2">
        <v>3825</v>
      </c>
      <c r="G2817" s="2">
        <v>100</v>
      </c>
      <c r="H2817" s="2">
        <v>730</v>
      </c>
      <c r="I2817" s="2">
        <v>70</v>
      </c>
      <c r="J2817" s="2">
        <v>2259</v>
      </c>
      <c r="K2817" s="2">
        <v>1</v>
      </c>
      <c r="L2817" s="2">
        <v>730</v>
      </c>
    </row>
    <row r="2818" spans="1:12" x14ac:dyDescent="0.25">
      <c r="A2818" s="4" t="str">
        <f>HYPERLINK("http://www.rosaceae.org/Prunus/Prunus_persica/p.persica_gdr_reftransV1_0002590","p.persica_gdr_reftransV1_0002590")</f>
        <v>p.persica_gdr_reftransV1_0002590</v>
      </c>
      <c r="B2818" s="2">
        <v>480</v>
      </c>
      <c r="C2818" s="4" t="str">
        <f>HYPERLINK("http://www.uniprot.org/uniprot/M5X3Q0","M5X3Q0")</f>
        <v>M5X3Q0</v>
      </c>
      <c r="D2818" s="2" t="s">
        <v>2699</v>
      </c>
      <c r="E2818" s="3">
        <v>1.37E-98</v>
      </c>
      <c r="F2818" s="2">
        <v>766</v>
      </c>
      <c r="G2818" s="2">
        <v>100</v>
      </c>
      <c r="H2818" s="2">
        <v>141</v>
      </c>
      <c r="I2818" s="2">
        <v>56</v>
      </c>
      <c r="J2818" s="2">
        <v>478</v>
      </c>
      <c r="K2818" s="2">
        <v>205</v>
      </c>
      <c r="L2818" s="2">
        <v>345</v>
      </c>
    </row>
    <row r="2819" spans="1:12" x14ac:dyDescent="0.25">
      <c r="A2819" s="4" t="str">
        <f>HYPERLINK("http://www.rosaceae.org/Prunus/Prunus_persica/p.persica_gdr_reftransV1_0002940","p.persica_gdr_reftransV1_0002940")</f>
        <v>p.persica_gdr_reftransV1_0002940</v>
      </c>
      <c r="B2819" s="2">
        <v>1330</v>
      </c>
      <c r="C2819" s="4" t="str">
        <f>HYPERLINK("http://www.uniprot.org/uniprot/M5WU78","M5WU78")</f>
        <v>M5WU78</v>
      </c>
      <c r="D2819" s="2" t="s">
        <v>2700</v>
      </c>
      <c r="E2819" s="3">
        <v>0</v>
      </c>
      <c r="F2819" s="2">
        <v>1670</v>
      </c>
      <c r="G2819" s="2">
        <v>91</v>
      </c>
      <c r="H2819" s="2">
        <v>388</v>
      </c>
      <c r="I2819" s="2">
        <v>55</v>
      </c>
      <c r="J2819" s="2">
        <v>1218</v>
      </c>
      <c r="K2819" s="2">
        <v>1</v>
      </c>
      <c r="L2819" s="2">
        <v>353</v>
      </c>
    </row>
    <row r="2820" spans="1:12" x14ac:dyDescent="0.25">
      <c r="A2820" s="4" t="str">
        <f>HYPERLINK("http://www.rosaceae.org/Prunus/Prunus_persica/p.persica_gdr_reftransV1_0003290","p.persica_gdr_reftransV1_0003290")</f>
        <v>p.persica_gdr_reftransV1_0003290</v>
      </c>
      <c r="B2820" s="2">
        <v>2305</v>
      </c>
      <c r="C2820" s="4" t="str">
        <f>HYPERLINK("http://www.uniprot.org/uniprot/M5XEZ1","M5XEZ1")</f>
        <v>M5XEZ1</v>
      </c>
      <c r="D2820" s="2" t="s">
        <v>2701</v>
      </c>
      <c r="E2820" s="3">
        <v>0</v>
      </c>
      <c r="F2820" s="2">
        <v>3590</v>
      </c>
      <c r="G2820" s="2">
        <v>95</v>
      </c>
      <c r="H2820" s="2">
        <v>723</v>
      </c>
      <c r="I2820" s="2">
        <v>253</v>
      </c>
      <c r="J2820" s="2">
        <v>2304</v>
      </c>
      <c r="K2820" s="2">
        <v>286</v>
      </c>
      <c r="L2820" s="2">
        <v>1008</v>
      </c>
    </row>
    <row r="2821" spans="1:12" x14ac:dyDescent="0.25">
      <c r="A2821" s="4" t="str">
        <f>HYPERLINK("http://www.rosaceae.org/Prunus/Prunus_persica/p.persica_gdr_reftransV1_0003990","p.persica_gdr_reftransV1_0003990")</f>
        <v>p.persica_gdr_reftransV1_0003990</v>
      </c>
      <c r="B2821" s="2">
        <v>832</v>
      </c>
      <c r="C2821" s="4" t="str">
        <f>HYPERLINK("http://www.uniprot.org/uniprot/M5WW63","M5WW63")</f>
        <v>M5WW63</v>
      </c>
      <c r="D2821" s="2" t="s">
        <v>2702</v>
      </c>
      <c r="E2821" s="3">
        <v>7.7699999999999994E-49</v>
      </c>
      <c r="F2821" s="2">
        <v>459</v>
      </c>
      <c r="G2821" s="2">
        <v>89</v>
      </c>
      <c r="H2821" s="2">
        <v>102</v>
      </c>
      <c r="I2821" s="2">
        <v>526</v>
      </c>
      <c r="J2821" s="2">
        <v>831</v>
      </c>
      <c r="K2821" s="2">
        <v>489</v>
      </c>
      <c r="L2821" s="2">
        <v>589</v>
      </c>
    </row>
    <row r="2822" spans="1:12" x14ac:dyDescent="0.25">
      <c r="A2822" s="4" t="str">
        <f>HYPERLINK("http://www.rosaceae.org/Prunus/Prunus_persica/p.persica_gdr_reftransV1_0005390","p.persica_gdr_reftransV1_0005390")</f>
        <v>p.persica_gdr_reftransV1_0005390</v>
      </c>
      <c r="B2822" s="2">
        <v>3465</v>
      </c>
      <c r="C2822" s="4" t="str">
        <f>HYPERLINK("http://www.uniprot.org/uniprot/M5WRB8","M5WRB8")</f>
        <v>M5WRB8</v>
      </c>
      <c r="D2822" s="2" t="s">
        <v>2211</v>
      </c>
      <c r="E2822" s="3">
        <v>0</v>
      </c>
      <c r="F2822" s="2">
        <v>4733</v>
      </c>
      <c r="G2822" s="2">
        <v>100</v>
      </c>
      <c r="H2822" s="2">
        <v>986</v>
      </c>
      <c r="I2822" s="2">
        <v>116</v>
      </c>
      <c r="J2822" s="2">
        <v>3073</v>
      </c>
      <c r="K2822" s="2">
        <v>1</v>
      </c>
      <c r="L2822" s="2">
        <v>986</v>
      </c>
    </row>
    <row r="2823" spans="1:12" x14ac:dyDescent="0.25">
      <c r="A2823" s="4" t="str">
        <f>HYPERLINK("http://www.rosaceae.org/Prunus/Prunus_persica/p.persica_gdr_reftransV1_0006090","p.persica_gdr_reftransV1_0006090")</f>
        <v>p.persica_gdr_reftransV1_0006090</v>
      </c>
      <c r="B2823" s="2">
        <v>888</v>
      </c>
      <c r="C2823" s="4" t="str">
        <f>HYPERLINK("http://www.uniprot.org/uniprot/M5VY63","M5VY63")</f>
        <v>M5VY63</v>
      </c>
      <c r="D2823" s="2" t="s">
        <v>2703</v>
      </c>
      <c r="E2823" s="3">
        <v>5.7699999999999995E-125</v>
      </c>
      <c r="F2823" s="2">
        <v>953</v>
      </c>
      <c r="G2823" s="2">
        <v>99</v>
      </c>
      <c r="H2823" s="2">
        <v>173</v>
      </c>
      <c r="I2823" s="2">
        <v>3</v>
      </c>
      <c r="J2823" s="2">
        <v>521</v>
      </c>
      <c r="K2823" s="2">
        <v>144</v>
      </c>
      <c r="L2823" s="2">
        <v>316</v>
      </c>
    </row>
    <row r="2824" spans="1:12" x14ac:dyDescent="0.25">
      <c r="A2824" s="4" t="str">
        <f>HYPERLINK("http://www.rosaceae.org/Prunus/Prunus_persica/p.persica_gdr_reftransV1_0006440","p.persica_gdr_reftransV1_0006440")</f>
        <v>p.persica_gdr_reftransV1_0006440</v>
      </c>
      <c r="B2824" s="2">
        <v>3423</v>
      </c>
      <c r="C2824" s="4" t="str">
        <f>HYPERLINK("http://www.uniprot.org/uniprot/M5WNQ3","M5WNQ3")</f>
        <v>M5WNQ3</v>
      </c>
      <c r="D2824" s="2" t="s">
        <v>2704</v>
      </c>
      <c r="E2824" s="3">
        <v>0</v>
      </c>
      <c r="F2824" s="2">
        <v>3975</v>
      </c>
      <c r="G2824" s="2">
        <v>99</v>
      </c>
      <c r="H2824" s="2">
        <v>765</v>
      </c>
      <c r="I2824" s="2">
        <v>16</v>
      </c>
      <c r="J2824" s="2">
        <v>2310</v>
      </c>
      <c r="K2824" s="2">
        <v>211</v>
      </c>
      <c r="L2824" s="2">
        <v>975</v>
      </c>
    </row>
    <row r="2825" spans="1:12" x14ac:dyDescent="0.25">
      <c r="A2825" s="4" t="str">
        <f>HYPERLINK("http://www.rosaceae.org/Prunus/Prunus_persica/p.persica_gdr_reftransV1_0007490","p.persica_gdr_reftransV1_0007490")</f>
        <v>p.persica_gdr_reftransV1_0007490</v>
      </c>
      <c r="B2825" s="2">
        <v>1386</v>
      </c>
      <c r="C2825" s="4" t="str">
        <f>HYPERLINK("http://www.uniprot.org/uniprot/M5WSY4","M5WSY4")</f>
        <v>M5WSY4</v>
      </c>
      <c r="D2825" s="2" t="s">
        <v>2705</v>
      </c>
      <c r="E2825" s="3">
        <v>1.24E-76</v>
      </c>
      <c r="F2825" s="2">
        <v>630</v>
      </c>
      <c r="G2825" s="2">
        <v>100</v>
      </c>
      <c r="H2825" s="2">
        <v>136</v>
      </c>
      <c r="I2825" s="2">
        <v>407</v>
      </c>
      <c r="J2825" s="2">
        <v>814</v>
      </c>
      <c r="K2825" s="2">
        <v>1</v>
      </c>
      <c r="L2825" s="2">
        <v>136</v>
      </c>
    </row>
    <row r="2826" spans="1:12" x14ac:dyDescent="0.25">
      <c r="A2826" s="4" t="str">
        <f>HYPERLINK("http://www.rosaceae.org/Prunus/Prunus_persica/p.persica_gdr_reftransV1_0007840","p.persica_gdr_reftransV1_0007840")</f>
        <v>p.persica_gdr_reftransV1_0007840</v>
      </c>
      <c r="B2826" s="2">
        <v>2293</v>
      </c>
      <c r="C2826" s="4" t="str">
        <f>HYPERLINK("http://www.uniprot.org/uniprot/M5X0G7","M5X0G7")</f>
        <v>M5X0G7</v>
      </c>
      <c r="D2826" s="2" t="s">
        <v>2706</v>
      </c>
      <c r="E2826" s="3">
        <v>0</v>
      </c>
      <c r="F2826" s="2">
        <v>2932</v>
      </c>
      <c r="G2826" s="2">
        <v>99</v>
      </c>
      <c r="H2826" s="2">
        <v>547</v>
      </c>
      <c r="I2826" s="2">
        <v>133</v>
      </c>
      <c r="J2826" s="2">
        <v>1773</v>
      </c>
      <c r="K2826" s="2">
        <v>1</v>
      </c>
      <c r="L2826" s="2">
        <v>547</v>
      </c>
    </row>
    <row r="2827" spans="1:12" x14ac:dyDescent="0.25">
      <c r="A2827" s="4" t="str">
        <f>HYPERLINK("http://www.rosaceae.org/Prunus/Prunus_persica/p.persica_gdr_reftransV1_0008190","p.persica_gdr_reftransV1_0008190")</f>
        <v>p.persica_gdr_reftransV1_0008190</v>
      </c>
      <c r="B2827" s="2">
        <v>899</v>
      </c>
      <c r="C2827" s="4" t="str">
        <f>HYPERLINK("http://www.uniprot.org/uniprot/M5XNL8","M5XNL8")</f>
        <v>M5XNL8</v>
      </c>
      <c r="D2827" s="2" t="s">
        <v>2707</v>
      </c>
      <c r="E2827" s="3">
        <v>4.2799999999999998E-72</v>
      </c>
      <c r="F2827" s="2">
        <v>584</v>
      </c>
      <c r="G2827" s="2">
        <v>100</v>
      </c>
      <c r="H2827" s="2">
        <v>112</v>
      </c>
      <c r="I2827" s="2">
        <v>430</v>
      </c>
      <c r="J2827" s="2">
        <v>765</v>
      </c>
      <c r="K2827" s="2">
        <v>1</v>
      </c>
      <c r="L2827" s="2">
        <v>112</v>
      </c>
    </row>
    <row r="2828" spans="1:12" x14ac:dyDescent="0.25">
      <c r="A2828" s="4" t="str">
        <f>HYPERLINK("http://www.rosaceae.org/Prunus/Prunus_persica/p.persica_gdr_reftransV1_0008540","p.persica_gdr_reftransV1_0008540")</f>
        <v>p.persica_gdr_reftransV1_0008540</v>
      </c>
      <c r="B2828" s="2">
        <v>1191</v>
      </c>
      <c r="C2828" s="4" t="str">
        <f>HYPERLINK("http://www.uniprot.org/uniprot/M5VG80","M5VG80")</f>
        <v>M5VG80</v>
      </c>
      <c r="D2828" s="2" t="s">
        <v>2708</v>
      </c>
      <c r="E2828" s="3">
        <v>4.3099999999999996E-167</v>
      </c>
      <c r="F2828" s="2">
        <v>1243</v>
      </c>
      <c r="G2828" s="2">
        <v>85</v>
      </c>
      <c r="H2828" s="2">
        <v>323</v>
      </c>
      <c r="I2828" s="2">
        <v>256</v>
      </c>
      <c r="J2828" s="2">
        <v>1083</v>
      </c>
      <c r="K2828" s="2">
        <v>1</v>
      </c>
      <c r="L2828" s="2">
        <v>323</v>
      </c>
    </row>
    <row r="2829" spans="1:12" x14ac:dyDescent="0.25">
      <c r="A2829" s="4" t="str">
        <f>HYPERLINK("http://www.rosaceae.org/Prunus/Prunus_persica/p.persica_gdr_reftransV1_0009590","p.persica_gdr_reftransV1_0009590")</f>
        <v>p.persica_gdr_reftransV1_0009590</v>
      </c>
      <c r="B2829" s="2">
        <v>2184</v>
      </c>
      <c r="C2829" s="4" t="str">
        <f>HYPERLINK("http://www.uniprot.org/uniprot/M5VYM4","M5VYM4")</f>
        <v>M5VYM4</v>
      </c>
      <c r="D2829" s="2" t="s">
        <v>2709</v>
      </c>
      <c r="E2829" s="3">
        <v>0</v>
      </c>
      <c r="F2829" s="2">
        <v>2544</v>
      </c>
      <c r="G2829" s="2">
        <v>100</v>
      </c>
      <c r="H2829" s="2">
        <v>556</v>
      </c>
      <c r="I2829" s="2">
        <v>232</v>
      </c>
      <c r="J2829" s="2">
        <v>1899</v>
      </c>
      <c r="K2829" s="2">
        <v>1</v>
      </c>
      <c r="L2829" s="2">
        <v>556</v>
      </c>
    </row>
    <row r="2830" spans="1:12" x14ac:dyDescent="0.25">
      <c r="A2830" s="4" t="str">
        <f>HYPERLINK("http://www.rosaceae.org/Prunus/Prunus_persica/p.persica_gdr_reftransV1_0009940","p.persica_gdr_reftransV1_0009940")</f>
        <v>p.persica_gdr_reftransV1_0009940</v>
      </c>
      <c r="B2830" s="2">
        <v>2780</v>
      </c>
      <c r="C2830" s="4" t="str">
        <f>HYPERLINK("http://www.uniprot.org/uniprot/M5XL03","M5XL03")</f>
        <v>M5XL03</v>
      </c>
      <c r="D2830" s="2" t="s">
        <v>2710</v>
      </c>
      <c r="E2830" s="3">
        <v>0</v>
      </c>
      <c r="F2830" s="2">
        <v>4141</v>
      </c>
      <c r="G2830" s="2">
        <v>98</v>
      </c>
      <c r="H2830" s="2">
        <v>833</v>
      </c>
      <c r="I2830" s="2">
        <v>280</v>
      </c>
      <c r="J2830" s="2">
        <v>2778</v>
      </c>
      <c r="K2830" s="2">
        <v>230</v>
      </c>
      <c r="L2830" s="2">
        <v>1048</v>
      </c>
    </row>
    <row r="2831" spans="1:12" x14ac:dyDescent="0.25">
      <c r="A2831" s="4" t="str">
        <f>HYPERLINK("http://www.rosaceae.org/Prunus/Prunus_persica/p.persica_gdr_reftransV1_0011690","p.persica_gdr_reftransV1_0011690")</f>
        <v>p.persica_gdr_reftransV1_0011690</v>
      </c>
      <c r="B2831" s="2">
        <v>2302</v>
      </c>
      <c r="C2831" s="4" t="str">
        <f>HYPERLINK("http://www.uniprot.org/uniprot/M5WST0","M5WST0")</f>
        <v>M5WST0</v>
      </c>
      <c r="D2831" s="2" t="s">
        <v>2711</v>
      </c>
      <c r="E2831" s="3">
        <v>0</v>
      </c>
      <c r="F2831" s="2">
        <v>1825</v>
      </c>
      <c r="G2831" s="2">
        <v>100</v>
      </c>
      <c r="H2831" s="2">
        <v>376</v>
      </c>
      <c r="I2831" s="2">
        <v>443</v>
      </c>
      <c r="J2831" s="2">
        <v>1570</v>
      </c>
      <c r="K2831" s="2">
        <v>1</v>
      </c>
      <c r="L2831" s="2">
        <v>376</v>
      </c>
    </row>
    <row r="2832" spans="1:12" x14ac:dyDescent="0.25">
      <c r="A2832" s="4" t="str">
        <f>HYPERLINK("http://www.rosaceae.org/Prunus/Prunus_persica/p.persica_gdr_reftransV1_0012040","p.persica_gdr_reftransV1_0012040")</f>
        <v>p.persica_gdr_reftransV1_0012040</v>
      </c>
      <c r="B2832" s="2">
        <v>3011</v>
      </c>
      <c r="C2832" s="4" t="str">
        <f>HYPERLINK("http://www.uniprot.org/uniprot/A0A067K137","A0A067K137")</f>
        <v>A0A067K137</v>
      </c>
      <c r="D2832" s="2" t="s">
        <v>2712</v>
      </c>
      <c r="E2832" s="3">
        <v>0</v>
      </c>
      <c r="F2832" s="2">
        <v>1739</v>
      </c>
      <c r="G2832" s="2">
        <v>65</v>
      </c>
      <c r="H2832" s="2">
        <v>672</v>
      </c>
      <c r="I2832" s="2">
        <v>874</v>
      </c>
      <c r="J2832" s="2">
        <v>2793</v>
      </c>
      <c r="K2832" s="2">
        <v>55</v>
      </c>
      <c r="L2832" s="2">
        <v>671</v>
      </c>
    </row>
    <row r="2833" spans="1:12" x14ac:dyDescent="0.25">
      <c r="A2833" s="4" t="str">
        <f>HYPERLINK("http://www.rosaceae.org/Prunus/Prunus_persica/p.persica_gdr_reftransV1_0014840","p.persica_gdr_reftransV1_0014840")</f>
        <v>p.persica_gdr_reftransV1_0014840</v>
      </c>
      <c r="B2833" s="2">
        <v>706</v>
      </c>
      <c r="C2833" s="4" t="str">
        <f>HYPERLINK("http://www.uniprot.org/uniprot/M5X2X8","M5X2X8")</f>
        <v>M5X2X8</v>
      </c>
      <c r="D2833" s="2" t="s">
        <v>2713</v>
      </c>
      <c r="E2833" s="3">
        <v>2.6099999999999998E-62</v>
      </c>
      <c r="F2833" s="2">
        <v>511</v>
      </c>
      <c r="G2833" s="2">
        <v>100</v>
      </c>
      <c r="H2833" s="2">
        <v>99</v>
      </c>
      <c r="I2833" s="2">
        <v>32</v>
      </c>
      <c r="J2833" s="2">
        <v>328</v>
      </c>
      <c r="K2833" s="2">
        <v>1</v>
      </c>
      <c r="L2833" s="2">
        <v>99</v>
      </c>
    </row>
    <row r="2834" spans="1:12" x14ac:dyDescent="0.25">
      <c r="A2834" s="4" t="str">
        <f>HYPERLINK("http://www.rosaceae.org/Prunus/Prunus_persica/p.persica_gdr_reftransV1_0015890","p.persica_gdr_reftransV1_0015890")</f>
        <v>p.persica_gdr_reftransV1_0015890</v>
      </c>
      <c r="B2834" s="2">
        <v>3385</v>
      </c>
      <c r="C2834" s="4" t="str">
        <f>HYPERLINK("http://www.uniprot.org/uniprot/M5X779","M5X779")</f>
        <v>M5X779</v>
      </c>
      <c r="D2834" s="2" t="s">
        <v>2714</v>
      </c>
      <c r="E2834" s="3">
        <v>0</v>
      </c>
      <c r="F2834" s="2">
        <v>3893</v>
      </c>
      <c r="G2834" s="2">
        <v>97</v>
      </c>
      <c r="H2834" s="2">
        <v>822</v>
      </c>
      <c r="I2834" s="2">
        <v>311</v>
      </c>
      <c r="J2834" s="2">
        <v>2776</v>
      </c>
      <c r="K2834" s="2">
        <v>1</v>
      </c>
      <c r="L2834" s="2">
        <v>795</v>
      </c>
    </row>
    <row r="2835" spans="1:12" x14ac:dyDescent="0.25">
      <c r="A2835" s="4" t="str">
        <f>HYPERLINK("http://www.rosaceae.org/Prunus/Prunus_persica/p.persica_gdr_reftransV1_0016940","p.persica_gdr_reftransV1_0016940")</f>
        <v>p.persica_gdr_reftransV1_0016940</v>
      </c>
      <c r="B2835" s="2">
        <v>3408</v>
      </c>
      <c r="C2835" s="4" t="str">
        <f>HYPERLINK("http://www.uniprot.org/uniprot/M5VVP4","M5VVP4")</f>
        <v>M5VVP4</v>
      </c>
      <c r="D2835" s="2" t="s">
        <v>2715</v>
      </c>
      <c r="E2835" s="3">
        <v>0</v>
      </c>
      <c r="F2835" s="2">
        <v>3327</v>
      </c>
      <c r="G2835" s="2">
        <v>100</v>
      </c>
      <c r="H2835" s="2">
        <v>775</v>
      </c>
      <c r="I2835" s="2">
        <v>676</v>
      </c>
      <c r="J2835" s="2">
        <v>3000</v>
      </c>
      <c r="K2835" s="2">
        <v>1</v>
      </c>
      <c r="L2835" s="2">
        <v>775</v>
      </c>
    </row>
    <row r="2836" spans="1:12" x14ac:dyDescent="0.25">
      <c r="A2836" s="4" t="str">
        <f>HYPERLINK("http://www.rosaceae.org/Prunus/Prunus_persica/p.persica_gdr_reftransV1_0021140","p.persica_gdr_reftransV1_0021140")</f>
        <v>p.persica_gdr_reftransV1_0021140</v>
      </c>
      <c r="B2836" s="2">
        <v>1429</v>
      </c>
      <c r="C2836" s="4" t="str">
        <f>HYPERLINK("http://www.uniprot.org/uniprot/M5XCW0","M5XCW0")</f>
        <v>M5XCW0</v>
      </c>
      <c r="D2836" s="2" t="s">
        <v>2716</v>
      </c>
      <c r="E2836" s="3">
        <v>0</v>
      </c>
      <c r="F2836" s="2">
        <v>1611</v>
      </c>
      <c r="G2836" s="2">
        <v>100</v>
      </c>
      <c r="H2836" s="2">
        <v>408</v>
      </c>
      <c r="I2836" s="2">
        <v>37</v>
      </c>
      <c r="J2836" s="2">
        <v>1260</v>
      </c>
      <c r="K2836" s="2">
        <v>1</v>
      </c>
      <c r="L2836" s="2">
        <v>408</v>
      </c>
    </row>
    <row r="2837" spans="1:12" x14ac:dyDescent="0.25">
      <c r="A2837" s="4" t="str">
        <f>HYPERLINK("http://www.rosaceae.org/Prunus/Prunus_persica/p.persica_gdr_reftransV1_0021840","p.persica_gdr_reftransV1_0021840")</f>
        <v>p.persica_gdr_reftransV1_0021840</v>
      </c>
      <c r="B2837" s="2">
        <v>3509</v>
      </c>
      <c r="C2837" s="4" t="str">
        <f>HYPERLINK("http://www.uniprot.org/uniprot/M5WRA8","M5WRA8")</f>
        <v>M5WRA8</v>
      </c>
      <c r="D2837" s="2" t="s">
        <v>2717</v>
      </c>
      <c r="E2837" s="3">
        <v>0</v>
      </c>
      <c r="F2837" s="2">
        <v>1964</v>
      </c>
      <c r="G2837" s="2">
        <v>91</v>
      </c>
      <c r="H2837" s="2">
        <v>423</v>
      </c>
      <c r="I2837" s="2">
        <v>571</v>
      </c>
      <c r="J2837" s="2">
        <v>1839</v>
      </c>
      <c r="K2837" s="2">
        <v>1</v>
      </c>
      <c r="L2837" s="2">
        <v>394</v>
      </c>
    </row>
    <row r="2838" spans="1:12" x14ac:dyDescent="0.25">
      <c r="A2838" s="4" t="str">
        <f>HYPERLINK("http://www.rosaceae.org/Prunus/Prunus_persica/p.persica_gdr_reftransV1_0024290","p.persica_gdr_reftransV1_0024290")</f>
        <v>p.persica_gdr_reftransV1_0024290</v>
      </c>
      <c r="B2838" s="2">
        <v>1197</v>
      </c>
      <c r="C2838" s="4" t="str">
        <f>HYPERLINK("http://www.uniprot.org/uniprot/M5X880","M5X880")</f>
        <v>M5X880</v>
      </c>
      <c r="D2838" s="2" t="s">
        <v>2718</v>
      </c>
      <c r="E2838" s="3">
        <v>1.5799999999999998E-64</v>
      </c>
      <c r="F2838" s="2">
        <v>535</v>
      </c>
      <c r="G2838" s="2">
        <v>100</v>
      </c>
      <c r="H2838" s="2">
        <v>102</v>
      </c>
      <c r="I2838" s="2">
        <v>396</v>
      </c>
      <c r="J2838" s="2">
        <v>701</v>
      </c>
      <c r="K2838" s="2">
        <v>1</v>
      </c>
      <c r="L2838" s="2">
        <v>102</v>
      </c>
    </row>
    <row r="2839" spans="1:12" x14ac:dyDescent="0.25">
      <c r="A2839" s="4" t="str">
        <f>HYPERLINK("http://www.rosaceae.org/Prunus/Prunus_persica/p.persica_gdr_reftransV1_0024640","p.persica_gdr_reftransV1_0024640")</f>
        <v>p.persica_gdr_reftransV1_0024640</v>
      </c>
      <c r="B2839" s="2">
        <v>1229</v>
      </c>
      <c r="C2839" s="4" t="str">
        <f>HYPERLINK("http://www.uniprot.org/uniprot/M5XNS5","M5XNS5")</f>
        <v>M5XNS5</v>
      </c>
      <c r="D2839" s="2" t="s">
        <v>2719</v>
      </c>
      <c r="E2839" s="3">
        <v>3.89E-134</v>
      </c>
      <c r="F2839" s="2">
        <v>1019</v>
      </c>
      <c r="G2839" s="2">
        <v>91</v>
      </c>
      <c r="H2839" s="2">
        <v>261</v>
      </c>
      <c r="I2839" s="2">
        <v>327</v>
      </c>
      <c r="J2839" s="2">
        <v>1109</v>
      </c>
      <c r="K2839" s="2">
        <v>1</v>
      </c>
      <c r="L2839" s="2">
        <v>245</v>
      </c>
    </row>
    <row r="2840" spans="1:12" x14ac:dyDescent="0.25">
      <c r="A2840" s="4" t="str">
        <f>HYPERLINK("http://www.rosaceae.org/Prunus/Prunus_persica/p.persica_gdr_reftransV1_0025340","p.persica_gdr_reftransV1_0025340")</f>
        <v>p.persica_gdr_reftransV1_0025340</v>
      </c>
      <c r="B2840" s="2">
        <v>2476</v>
      </c>
      <c r="C2840" s="4" t="str">
        <f>HYPERLINK("http://www.uniprot.org/uniprot/M5XPI8","M5XPI8")</f>
        <v>M5XPI8</v>
      </c>
      <c r="D2840" s="2" t="s">
        <v>2720</v>
      </c>
      <c r="E2840" s="3">
        <v>0</v>
      </c>
      <c r="F2840" s="2">
        <v>2286</v>
      </c>
      <c r="G2840" s="2">
        <v>99</v>
      </c>
      <c r="H2840" s="2">
        <v>547</v>
      </c>
      <c r="I2840" s="2">
        <v>555</v>
      </c>
      <c r="J2840" s="2">
        <v>2195</v>
      </c>
      <c r="K2840" s="2">
        <v>1</v>
      </c>
      <c r="L2840" s="2">
        <v>545</v>
      </c>
    </row>
    <row r="2841" spans="1:12" x14ac:dyDescent="0.25">
      <c r="A2841" s="4" t="str">
        <f>HYPERLINK("http://www.rosaceae.org/Prunus/Prunus_persica/p.persica_gdr_reftransV1_0025690","p.persica_gdr_reftransV1_0025690")</f>
        <v>p.persica_gdr_reftransV1_0025690</v>
      </c>
      <c r="B2841" s="2">
        <v>1740</v>
      </c>
      <c r="C2841" s="4" t="str">
        <f>HYPERLINK("http://www.uniprot.org/uniprot/M5VWQ0","M5VWQ0")</f>
        <v>M5VWQ0</v>
      </c>
      <c r="D2841" s="2" t="s">
        <v>175</v>
      </c>
      <c r="E2841" s="3">
        <v>9.3499999999999995E-63</v>
      </c>
      <c r="F2841" s="2">
        <v>507</v>
      </c>
      <c r="G2841" s="2">
        <v>97</v>
      </c>
      <c r="H2841" s="2">
        <v>98</v>
      </c>
      <c r="I2841" s="2">
        <v>330</v>
      </c>
      <c r="J2841" s="2">
        <v>623</v>
      </c>
      <c r="K2841" s="2">
        <v>913</v>
      </c>
      <c r="L2841" s="2">
        <v>1010</v>
      </c>
    </row>
    <row r="2842" spans="1:12" x14ac:dyDescent="0.25">
      <c r="A2842" s="4" t="str">
        <f>HYPERLINK("http://www.rosaceae.org/Prunus/Prunus_persica/p.persica_gdr_reftransV1_0027790","p.persica_gdr_reftransV1_0027790")</f>
        <v>p.persica_gdr_reftransV1_0027790</v>
      </c>
      <c r="B2842" s="2">
        <v>3449</v>
      </c>
      <c r="C2842" s="4" t="str">
        <f>HYPERLINK("http://www.uniprot.org/uniprot/M5XU10","M5XU10")</f>
        <v>M5XU10</v>
      </c>
      <c r="D2842" s="2" t="s">
        <v>2721</v>
      </c>
      <c r="E2842" s="3">
        <v>0</v>
      </c>
      <c r="F2842" s="2">
        <v>2547</v>
      </c>
      <c r="G2842" s="2">
        <v>100</v>
      </c>
      <c r="H2842" s="2">
        <v>494</v>
      </c>
      <c r="I2842" s="2">
        <v>155</v>
      </c>
      <c r="J2842" s="2">
        <v>1636</v>
      </c>
      <c r="K2842" s="2">
        <v>1</v>
      </c>
      <c r="L2842" s="2">
        <v>494</v>
      </c>
    </row>
    <row r="2843" spans="1:12" x14ac:dyDescent="0.25">
      <c r="A2843" s="4" t="str">
        <f>HYPERLINK("http://www.rosaceae.org/Prunus/Prunus_persica/p.persica_gdr_reftransV1_0028140","p.persica_gdr_reftransV1_0028140")</f>
        <v>p.persica_gdr_reftransV1_0028140</v>
      </c>
      <c r="B2843" s="2">
        <v>2278</v>
      </c>
      <c r="C2843" s="4" t="str">
        <f>HYPERLINK("http://www.uniprot.org/uniprot/M5XE27","M5XE27")</f>
        <v>M5XE27</v>
      </c>
      <c r="D2843" s="2" t="s">
        <v>2563</v>
      </c>
      <c r="E2843" s="3">
        <v>0</v>
      </c>
      <c r="F2843" s="2">
        <v>2357</v>
      </c>
      <c r="G2843" s="2">
        <v>96</v>
      </c>
      <c r="H2843" s="2">
        <v>466</v>
      </c>
      <c r="I2843" s="2">
        <v>254</v>
      </c>
      <c r="J2843" s="2">
        <v>1651</v>
      </c>
      <c r="K2843" s="2">
        <v>1</v>
      </c>
      <c r="L2843" s="2">
        <v>466</v>
      </c>
    </row>
    <row r="2844" spans="1:12" x14ac:dyDescent="0.25">
      <c r="A2844" s="4" t="str">
        <f>HYPERLINK("http://www.rosaceae.org/Prunus/Prunus_persica/p.persica_gdr_reftransV1_0030590","p.persica_gdr_reftransV1_0030590")</f>
        <v>p.persica_gdr_reftransV1_0030590</v>
      </c>
      <c r="B2844" s="2">
        <v>2515</v>
      </c>
      <c r="C2844" s="4" t="str">
        <f>HYPERLINK("http://www.uniprot.org/uniprot/M5W6B9","M5W6B9")</f>
        <v>M5W6B9</v>
      </c>
      <c r="D2844" s="2" t="s">
        <v>2722</v>
      </c>
      <c r="E2844" s="3">
        <v>2.02E-114</v>
      </c>
      <c r="F2844" s="2">
        <v>692</v>
      </c>
      <c r="G2844" s="2">
        <v>100</v>
      </c>
      <c r="H2844" s="2">
        <v>130</v>
      </c>
      <c r="I2844" s="2">
        <v>2044</v>
      </c>
      <c r="J2844" s="2">
        <v>2433</v>
      </c>
      <c r="K2844" s="2">
        <v>1</v>
      </c>
      <c r="L2844" s="2">
        <v>130</v>
      </c>
    </row>
    <row r="2845" spans="1:12" x14ac:dyDescent="0.25">
      <c r="A2845" s="4" t="str">
        <f>HYPERLINK("http://www.rosaceae.org/Prunus/Prunus_persica/p.persica_gdr_reftransV1_0033040","p.persica_gdr_reftransV1_0033040")</f>
        <v>p.persica_gdr_reftransV1_0033040</v>
      </c>
      <c r="B2845" s="2">
        <v>3235</v>
      </c>
      <c r="C2845" s="4" t="str">
        <f>HYPERLINK("http://www.uniprot.org/uniprot/M5WX22","M5WX22")</f>
        <v>M5WX22</v>
      </c>
      <c r="D2845" s="2" t="s">
        <v>2723</v>
      </c>
      <c r="E2845" s="3">
        <v>0</v>
      </c>
      <c r="F2845" s="2">
        <v>1621</v>
      </c>
      <c r="G2845" s="2">
        <v>98</v>
      </c>
      <c r="H2845" s="2">
        <v>332</v>
      </c>
      <c r="I2845" s="2">
        <v>1770</v>
      </c>
      <c r="J2845" s="2">
        <v>2765</v>
      </c>
      <c r="K2845" s="2">
        <v>111</v>
      </c>
      <c r="L2845" s="2">
        <v>440</v>
      </c>
    </row>
    <row r="2846" spans="1:12" x14ac:dyDescent="0.25">
      <c r="A2846" s="4" t="str">
        <f>HYPERLINK("http://www.rosaceae.org/Prunus/Prunus_persica/p.persica_gdr_reftransV1_0033740","p.persica_gdr_reftransV1_0033740")</f>
        <v>p.persica_gdr_reftransV1_0033740</v>
      </c>
      <c r="B2846" s="2">
        <v>3367</v>
      </c>
      <c r="C2846" s="4" t="str">
        <f>HYPERLINK("http://www.uniprot.org/uniprot/M5WCW7","M5WCW7")</f>
        <v>M5WCW7</v>
      </c>
      <c r="D2846" s="2" t="s">
        <v>2724</v>
      </c>
      <c r="E2846" s="3">
        <v>0</v>
      </c>
      <c r="F2846" s="2">
        <v>4183</v>
      </c>
      <c r="G2846" s="2">
        <v>100</v>
      </c>
      <c r="H2846" s="2">
        <v>858</v>
      </c>
      <c r="I2846" s="2">
        <v>252</v>
      </c>
      <c r="J2846" s="2">
        <v>2825</v>
      </c>
      <c r="K2846" s="2">
        <v>1</v>
      </c>
      <c r="L2846" s="2">
        <v>858</v>
      </c>
    </row>
    <row r="2847" spans="1:12" x14ac:dyDescent="0.25">
      <c r="A2847" s="4" t="str">
        <f>HYPERLINK("http://www.rosaceae.org/Prunus/Prunus_persica/p.persica_gdr_reftransV1_0034090","p.persica_gdr_reftransV1_0034090")</f>
        <v>p.persica_gdr_reftransV1_0034090</v>
      </c>
      <c r="B2847" s="2">
        <v>587</v>
      </c>
      <c r="C2847" s="4" t="str">
        <f>HYPERLINK("http://www.uniprot.org/uniprot/M5X8K3","M5X8K3")</f>
        <v>M5X8K3</v>
      </c>
      <c r="D2847" s="2" t="s">
        <v>2725</v>
      </c>
      <c r="E2847" s="3">
        <v>4.2799999999999998E-45</v>
      </c>
      <c r="F2847" s="2">
        <v>428</v>
      </c>
      <c r="G2847" s="2">
        <v>83</v>
      </c>
      <c r="H2847" s="2">
        <v>109</v>
      </c>
      <c r="I2847" s="2">
        <v>51</v>
      </c>
      <c r="J2847" s="2">
        <v>365</v>
      </c>
      <c r="K2847" s="2">
        <v>118</v>
      </c>
      <c r="L2847" s="2">
        <v>226</v>
      </c>
    </row>
    <row r="2848" spans="1:12" x14ac:dyDescent="0.25">
      <c r="A2848" s="4" t="str">
        <f>HYPERLINK("http://www.rosaceae.org/Prunus/Prunus_persica/p.persica_gdr_reftransV1_0035140","p.persica_gdr_reftransV1_0035140")</f>
        <v>p.persica_gdr_reftransV1_0035140</v>
      </c>
      <c r="B2848" s="2">
        <v>2812</v>
      </c>
      <c r="C2848" s="4" t="str">
        <f>HYPERLINK("http://www.uniprot.org/uniprot/M5XEY9","M5XEY9")</f>
        <v>M5XEY9</v>
      </c>
      <c r="D2848" s="2" t="s">
        <v>2726</v>
      </c>
      <c r="E2848" s="3">
        <v>0</v>
      </c>
      <c r="F2848" s="2">
        <v>1690</v>
      </c>
      <c r="G2848" s="2">
        <v>100</v>
      </c>
      <c r="H2848" s="2">
        <v>319</v>
      </c>
      <c r="I2848" s="2">
        <v>640</v>
      </c>
      <c r="J2848" s="2">
        <v>1596</v>
      </c>
      <c r="K2848" s="2">
        <v>1</v>
      </c>
      <c r="L2848" s="2">
        <v>319</v>
      </c>
    </row>
    <row r="2849" spans="1:12" x14ac:dyDescent="0.25">
      <c r="A2849" s="4" t="str">
        <f>HYPERLINK("http://www.rosaceae.org/Prunus/Prunus_persica/p.persica_gdr_reftransV1_0038640","p.persica_gdr_reftransV1_0038640")</f>
        <v>p.persica_gdr_reftransV1_0038640</v>
      </c>
      <c r="B2849" s="2">
        <v>1904</v>
      </c>
      <c r="C2849" s="4" t="str">
        <f>HYPERLINK("http://www.uniprot.org/uniprot/M5XLK3","M5XLK3")</f>
        <v>M5XLK3</v>
      </c>
      <c r="D2849" s="2" t="s">
        <v>2727</v>
      </c>
      <c r="E2849" s="3">
        <v>0</v>
      </c>
      <c r="F2849" s="2">
        <v>2242</v>
      </c>
      <c r="G2849" s="2">
        <v>100</v>
      </c>
      <c r="H2849" s="2">
        <v>480</v>
      </c>
      <c r="I2849" s="2">
        <v>465</v>
      </c>
      <c r="J2849" s="2">
        <v>1904</v>
      </c>
      <c r="K2849" s="2">
        <v>112</v>
      </c>
      <c r="L2849" s="2">
        <v>591</v>
      </c>
    </row>
    <row r="2850" spans="1:12" x14ac:dyDescent="0.25">
      <c r="A2850" s="4" t="str">
        <f>HYPERLINK("http://www.rosaceae.org/Prunus/Prunus_persica/p.persica_gdr_reftransV1_0038990","p.persica_gdr_reftransV1_0038990")</f>
        <v>p.persica_gdr_reftransV1_0038990</v>
      </c>
      <c r="B2850" s="2">
        <v>396</v>
      </c>
      <c r="C2850" s="4" t="str">
        <f>HYPERLINK("http://www.uniprot.org/uniprot/M5X6N4","M5X6N4")</f>
        <v>M5X6N4</v>
      </c>
      <c r="D2850" s="2" t="s">
        <v>2728</v>
      </c>
      <c r="E2850" s="3">
        <v>4.2899999999999997E-22</v>
      </c>
      <c r="F2850" s="2">
        <v>239</v>
      </c>
      <c r="G2850" s="2">
        <v>100</v>
      </c>
      <c r="H2850" s="2">
        <v>47</v>
      </c>
      <c r="I2850" s="2">
        <v>256</v>
      </c>
      <c r="J2850" s="2">
        <v>396</v>
      </c>
      <c r="K2850" s="2">
        <v>106</v>
      </c>
      <c r="L2850" s="2">
        <v>152</v>
      </c>
    </row>
    <row r="2851" spans="1:12" x14ac:dyDescent="0.25">
      <c r="A2851" s="4" t="str">
        <f>HYPERLINK("http://www.rosaceae.org/Prunus/Prunus_persica/p.persica_gdr_reftransV1_0041440","p.persica_gdr_reftransV1_0041440")</f>
        <v>p.persica_gdr_reftransV1_0041440</v>
      </c>
      <c r="B2851" s="2">
        <v>2699</v>
      </c>
      <c r="C2851" s="4" t="str">
        <f>HYPERLINK("http://www.uniprot.org/uniprot/M5XA14","M5XA14")</f>
        <v>M5XA14</v>
      </c>
      <c r="D2851" s="2" t="s">
        <v>1399</v>
      </c>
      <c r="E2851" s="3">
        <v>0</v>
      </c>
      <c r="F2851" s="2">
        <v>3133</v>
      </c>
      <c r="G2851" s="2">
        <v>99</v>
      </c>
      <c r="H2851" s="2">
        <v>605</v>
      </c>
      <c r="I2851" s="2">
        <v>3</v>
      </c>
      <c r="J2851" s="2">
        <v>1814</v>
      </c>
      <c r="K2851" s="2">
        <v>198</v>
      </c>
      <c r="L2851" s="2">
        <v>802</v>
      </c>
    </row>
    <row r="2852" spans="1:12" x14ac:dyDescent="0.25">
      <c r="A2852" s="4" t="str">
        <f>HYPERLINK("http://www.rosaceae.org/Prunus/Prunus_persica/p.persica_gdr_reftransV1_0042490","p.persica_gdr_reftransV1_0042490")</f>
        <v>p.persica_gdr_reftransV1_0042490</v>
      </c>
      <c r="B2852" s="2">
        <v>1730</v>
      </c>
      <c r="C2852" s="4" t="str">
        <f>HYPERLINK("http://www.uniprot.org/uniprot/M5W449","M5W449")</f>
        <v>M5W449</v>
      </c>
      <c r="D2852" s="2" t="s">
        <v>2729</v>
      </c>
      <c r="E2852" s="3">
        <v>0</v>
      </c>
      <c r="F2852" s="2">
        <v>2032</v>
      </c>
      <c r="G2852" s="2">
        <v>100</v>
      </c>
      <c r="H2852" s="2">
        <v>447</v>
      </c>
      <c r="I2852" s="2">
        <v>1</v>
      </c>
      <c r="J2852" s="2">
        <v>1341</v>
      </c>
      <c r="K2852" s="2">
        <v>51</v>
      </c>
      <c r="L2852" s="2">
        <v>497</v>
      </c>
    </row>
    <row r="2853" spans="1:12" x14ac:dyDescent="0.25">
      <c r="A2853" s="4" t="str">
        <f>HYPERLINK("http://www.rosaceae.org/Prunus/Prunus_persica/p.persica_gdr_reftransV1_0043190","p.persica_gdr_reftransV1_0043190")</f>
        <v>p.persica_gdr_reftransV1_0043190</v>
      </c>
      <c r="B2853" s="2">
        <v>1866</v>
      </c>
      <c r="C2853" s="4" t="str">
        <f>HYPERLINK("http://www.uniprot.org/uniprot/M5XYA6","M5XYA6")</f>
        <v>M5XYA6</v>
      </c>
      <c r="D2853" s="2" t="s">
        <v>2730</v>
      </c>
      <c r="E2853" s="3">
        <v>0</v>
      </c>
      <c r="F2853" s="2">
        <v>1907</v>
      </c>
      <c r="G2853" s="2">
        <v>100</v>
      </c>
      <c r="H2853" s="2">
        <v>356</v>
      </c>
      <c r="I2853" s="2">
        <v>798</v>
      </c>
      <c r="J2853" s="2">
        <v>1865</v>
      </c>
      <c r="K2853" s="2">
        <v>110</v>
      </c>
      <c r="L2853" s="2">
        <v>465</v>
      </c>
    </row>
    <row r="2854" spans="1:12" x14ac:dyDescent="0.25">
      <c r="A2854" s="4" t="str">
        <f>HYPERLINK("http://www.rosaceae.org/Prunus/Prunus_persica/p.persica_gdr_reftransV1_0043540","p.persica_gdr_reftransV1_0043540")</f>
        <v>p.persica_gdr_reftransV1_0043540</v>
      </c>
      <c r="B2854" s="2">
        <v>1111</v>
      </c>
      <c r="C2854" s="4" t="str">
        <f>HYPERLINK("http://www.uniprot.org/uniprot/M5Y3N3","M5Y3N3")</f>
        <v>M5Y3N3</v>
      </c>
      <c r="D2854" s="2" t="s">
        <v>2635</v>
      </c>
      <c r="E2854" s="3">
        <v>8.5199999999999993E-84</v>
      </c>
      <c r="F2854" s="2">
        <v>717</v>
      </c>
      <c r="G2854" s="2">
        <v>100</v>
      </c>
      <c r="H2854" s="2">
        <v>207</v>
      </c>
      <c r="I2854" s="2">
        <v>162</v>
      </c>
      <c r="J2854" s="2">
        <v>782</v>
      </c>
      <c r="K2854" s="2">
        <v>1</v>
      </c>
      <c r="L2854" s="2">
        <v>207</v>
      </c>
    </row>
    <row r="2855" spans="1:12" x14ac:dyDescent="0.25">
      <c r="A2855" s="4" t="str">
        <f>HYPERLINK("http://www.rosaceae.org/Prunus/Prunus_persica/p.persica_gdr_reftransV1_0043890","p.persica_gdr_reftransV1_0043890")</f>
        <v>p.persica_gdr_reftransV1_0043890</v>
      </c>
      <c r="B2855" s="2">
        <v>399</v>
      </c>
      <c r="C2855" s="4" t="str">
        <f>HYPERLINK("http://www.uniprot.org/uniprot/M5WXX6","M5WXX6")</f>
        <v>M5WXX6</v>
      </c>
      <c r="D2855" s="2" t="s">
        <v>2731</v>
      </c>
      <c r="E2855" s="3">
        <v>2.2699999999999999E-13</v>
      </c>
      <c r="F2855" s="2">
        <v>185</v>
      </c>
      <c r="G2855" s="2">
        <v>97</v>
      </c>
      <c r="H2855" s="2">
        <v>35</v>
      </c>
      <c r="I2855" s="2">
        <v>295</v>
      </c>
      <c r="J2855" s="2">
        <v>399</v>
      </c>
      <c r="K2855" s="2">
        <v>144</v>
      </c>
      <c r="L2855" s="2">
        <v>178</v>
      </c>
    </row>
    <row r="2856" spans="1:12" x14ac:dyDescent="0.25">
      <c r="A2856" s="4" t="str">
        <f>HYPERLINK("http://www.rosaceae.org/Prunus/Prunus_persica/p.persica_gdr_reftransV1_0044240","p.persica_gdr_reftransV1_0044240")</f>
        <v>p.persica_gdr_reftransV1_0044240</v>
      </c>
      <c r="B2856" s="2">
        <v>1144</v>
      </c>
      <c r="C2856" s="4" t="str">
        <f>HYPERLINK("http://www.uniprot.org/uniprot/M5WT98","M5WT98")</f>
        <v>M5WT98</v>
      </c>
      <c r="D2856" s="2" t="s">
        <v>2732</v>
      </c>
      <c r="E2856" s="3">
        <v>2.6200000000000001E-147</v>
      </c>
      <c r="F2856" s="2">
        <v>1103</v>
      </c>
      <c r="G2856" s="2">
        <v>99</v>
      </c>
      <c r="H2856" s="2">
        <v>252</v>
      </c>
      <c r="I2856" s="2">
        <v>214</v>
      </c>
      <c r="J2856" s="2">
        <v>969</v>
      </c>
      <c r="K2856" s="2">
        <v>1</v>
      </c>
      <c r="L2856" s="2">
        <v>252</v>
      </c>
    </row>
    <row r="2857" spans="1:12" x14ac:dyDescent="0.25">
      <c r="A2857" s="4" t="str">
        <f>HYPERLINK("http://www.rosaceae.org/Prunus/Prunus_persica/p.persica_gdr_reftransV1_0044590","p.persica_gdr_reftransV1_0044590")</f>
        <v>p.persica_gdr_reftransV1_0044590</v>
      </c>
      <c r="B2857" s="2">
        <v>1118</v>
      </c>
      <c r="C2857" s="4" t="str">
        <f>HYPERLINK("http://www.uniprot.org/uniprot/M5W452","M5W452")</f>
        <v>M5W452</v>
      </c>
      <c r="D2857" s="2" t="s">
        <v>2733</v>
      </c>
      <c r="E2857" s="3">
        <v>1.71E-119</v>
      </c>
      <c r="F2857" s="2">
        <v>911</v>
      </c>
      <c r="G2857" s="2">
        <v>100</v>
      </c>
      <c r="H2857" s="2">
        <v>172</v>
      </c>
      <c r="I2857" s="2">
        <v>396</v>
      </c>
      <c r="J2857" s="2">
        <v>911</v>
      </c>
      <c r="K2857" s="2">
        <v>1</v>
      </c>
      <c r="L2857" s="2">
        <v>172</v>
      </c>
    </row>
    <row r="2858" spans="1:12" x14ac:dyDescent="0.25">
      <c r="A2858" s="4" t="str">
        <f>HYPERLINK("http://www.rosaceae.org/Prunus/Prunus_persica/p.persica_gdr_reftransV1_0044940","p.persica_gdr_reftransV1_0044940")</f>
        <v>p.persica_gdr_reftransV1_0044940</v>
      </c>
      <c r="B2858" s="2">
        <v>2030</v>
      </c>
      <c r="C2858" s="4" t="str">
        <f>HYPERLINK("http://www.uniprot.org/uniprot/M5WAH4","M5WAH4")</f>
        <v>M5WAH4</v>
      </c>
      <c r="D2858" s="2" t="s">
        <v>2734</v>
      </c>
      <c r="E2858" s="3">
        <v>0</v>
      </c>
      <c r="F2858" s="2">
        <v>2492</v>
      </c>
      <c r="G2858" s="2">
        <v>100</v>
      </c>
      <c r="H2858" s="2">
        <v>516</v>
      </c>
      <c r="I2858" s="2">
        <v>95</v>
      </c>
      <c r="J2858" s="2">
        <v>1642</v>
      </c>
      <c r="K2858" s="2">
        <v>1</v>
      </c>
      <c r="L2858" s="2">
        <v>516</v>
      </c>
    </row>
    <row r="2859" spans="1:12" x14ac:dyDescent="0.25">
      <c r="A2859" s="4" t="str">
        <f>HYPERLINK("http://www.rosaceae.org/Prunus/Prunus_persica/p.persica_gdr_reftransV1_0045290","p.persica_gdr_reftransV1_0045290")</f>
        <v>p.persica_gdr_reftransV1_0045290</v>
      </c>
      <c r="B2859" s="2">
        <v>1294</v>
      </c>
      <c r="C2859" s="4" t="str">
        <f>HYPERLINK("http://www.uniprot.org/uniprot/M5W2B4","M5W2B4")</f>
        <v>M5W2B4</v>
      </c>
      <c r="D2859" s="2" t="s">
        <v>2735</v>
      </c>
      <c r="E2859" s="3">
        <v>0</v>
      </c>
      <c r="F2859" s="2">
        <v>2091</v>
      </c>
      <c r="G2859" s="2">
        <v>100</v>
      </c>
      <c r="H2859" s="2">
        <v>407</v>
      </c>
      <c r="I2859" s="2">
        <v>74</v>
      </c>
      <c r="J2859" s="2">
        <v>1294</v>
      </c>
      <c r="K2859" s="2">
        <v>1</v>
      </c>
      <c r="L2859" s="2">
        <v>407</v>
      </c>
    </row>
    <row r="2860" spans="1:12" x14ac:dyDescent="0.25">
      <c r="A2860" s="4" t="str">
        <f>HYPERLINK("http://www.rosaceae.org/Prunus/Prunus_persica/p.persica_gdr_reftransV1_0045640","p.persica_gdr_reftransV1_0045640")</f>
        <v>p.persica_gdr_reftransV1_0045640</v>
      </c>
      <c r="B2860" s="2">
        <v>1391</v>
      </c>
      <c r="C2860" s="4" t="str">
        <f>HYPERLINK("http://www.uniprot.org/uniprot/M5XCH5","M5XCH5")</f>
        <v>M5XCH5</v>
      </c>
      <c r="D2860" s="2" t="s">
        <v>2736</v>
      </c>
      <c r="E2860" s="3">
        <v>5.0000000000000001E-180</v>
      </c>
      <c r="F2860" s="2">
        <v>1339</v>
      </c>
      <c r="G2860" s="2">
        <v>100</v>
      </c>
      <c r="H2860" s="2">
        <v>268</v>
      </c>
      <c r="I2860" s="2">
        <v>377</v>
      </c>
      <c r="J2860" s="2">
        <v>1180</v>
      </c>
      <c r="K2860" s="2">
        <v>93</v>
      </c>
      <c r="L2860" s="2">
        <v>360</v>
      </c>
    </row>
    <row r="2861" spans="1:12" x14ac:dyDescent="0.25">
      <c r="A2861" s="4" t="str">
        <f>HYPERLINK("http://www.rosaceae.org/Prunus/Prunus_persica/p.persica_gdr_reftransV1_0046340","p.persica_gdr_reftransV1_0046340")</f>
        <v>p.persica_gdr_reftransV1_0046340</v>
      </c>
      <c r="B2861" s="2">
        <v>1333</v>
      </c>
      <c r="C2861" s="4" t="str">
        <f>HYPERLINK("http://www.uniprot.org/uniprot/H6SV46","H6SV46")</f>
        <v>H6SV46</v>
      </c>
      <c r="D2861" s="2" t="s">
        <v>164</v>
      </c>
      <c r="E2861" s="3">
        <v>0</v>
      </c>
      <c r="F2861" s="2">
        <v>2065</v>
      </c>
      <c r="G2861" s="2">
        <v>99</v>
      </c>
      <c r="H2861" s="2">
        <v>391</v>
      </c>
      <c r="I2861" s="2">
        <v>106</v>
      </c>
      <c r="J2861" s="2">
        <v>1278</v>
      </c>
      <c r="K2861" s="2">
        <v>1</v>
      </c>
      <c r="L2861" s="2">
        <v>391</v>
      </c>
    </row>
    <row r="2862" spans="1:12" x14ac:dyDescent="0.25">
      <c r="A2862" s="4" t="str">
        <f>HYPERLINK("http://www.rosaceae.org/Prunus/Prunus_persica/p.persica_gdr_reftransV1_0046690","p.persica_gdr_reftransV1_0046690")</f>
        <v>p.persica_gdr_reftransV1_0046690</v>
      </c>
      <c r="B2862" s="2">
        <v>447</v>
      </c>
      <c r="C2862" s="4" t="str">
        <f>HYPERLINK("http://www.uniprot.org/uniprot/M5VPC6","M5VPC6")</f>
        <v>M5VPC6</v>
      </c>
      <c r="D2862" s="2" t="s">
        <v>2737</v>
      </c>
      <c r="E2862" s="3">
        <v>1.39E-46</v>
      </c>
      <c r="F2862" s="2">
        <v>404</v>
      </c>
      <c r="G2862" s="2">
        <v>62</v>
      </c>
      <c r="H2862" s="2">
        <v>149</v>
      </c>
      <c r="I2862" s="2">
        <v>1</v>
      </c>
      <c r="J2862" s="2">
        <v>447</v>
      </c>
      <c r="K2862" s="2">
        <v>3</v>
      </c>
      <c r="L2862" s="2">
        <v>98</v>
      </c>
    </row>
    <row r="2863" spans="1:12" x14ac:dyDescent="0.25">
      <c r="A2863" s="4" t="str">
        <f>HYPERLINK("http://www.rosaceae.org/Prunus/Prunus_persica/p.persica_gdr_reftransV1_0047040","p.persica_gdr_reftransV1_0047040")</f>
        <v>p.persica_gdr_reftransV1_0047040</v>
      </c>
      <c r="B2863" s="2">
        <v>1325</v>
      </c>
      <c r="C2863" s="4" t="str">
        <f>HYPERLINK("http://www.uniprot.org/uniprot/M5X1C8","M5X1C8")</f>
        <v>M5X1C8</v>
      </c>
      <c r="D2863" s="2" t="s">
        <v>1163</v>
      </c>
      <c r="E2863" s="3">
        <v>0</v>
      </c>
      <c r="F2863" s="2">
        <v>1701</v>
      </c>
      <c r="G2863" s="2">
        <v>100</v>
      </c>
      <c r="H2863" s="2">
        <v>322</v>
      </c>
      <c r="I2863" s="2">
        <v>7</v>
      </c>
      <c r="J2863" s="2">
        <v>972</v>
      </c>
      <c r="K2863" s="2">
        <v>1</v>
      </c>
      <c r="L2863" s="2">
        <v>322</v>
      </c>
    </row>
    <row r="2864" spans="1:12" x14ac:dyDescent="0.25">
      <c r="A2864" s="4" t="str">
        <f>HYPERLINK("http://www.rosaceae.org/Prunus/Prunus_persica/p.persica_gdr_reftransV1_0047390","p.persica_gdr_reftransV1_0047390")</f>
        <v>p.persica_gdr_reftransV1_0047390</v>
      </c>
      <c r="B2864" s="2">
        <v>585</v>
      </c>
      <c r="C2864" s="4" t="str">
        <f>HYPERLINK("http://www.uniprot.org/uniprot/M5VVA2","M5VVA2")</f>
        <v>M5VVA2</v>
      </c>
      <c r="D2864" s="2" t="s">
        <v>2738</v>
      </c>
      <c r="E2864" s="3">
        <v>7.9299999999999995E-74</v>
      </c>
      <c r="F2864" s="2">
        <v>603</v>
      </c>
      <c r="G2864" s="2">
        <v>100</v>
      </c>
      <c r="H2864" s="2">
        <v>116</v>
      </c>
      <c r="I2864" s="2">
        <v>196</v>
      </c>
      <c r="J2864" s="2">
        <v>543</v>
      </c>
      <c r="K2864" s="2">
        <v>202</v>
      </c>
      <c r="L2864" s="2">
        <v>317</v>
      </c>
    </row>
    <row r="2865" spans="1:12" x14ac:dyDescent="0.25">
      <c r="A2865" s="4" t="str">
        <f>HYPERLINK("http://www.rosaceae.org/Prunus/Prunus_persica/p.persica_gdr_reftransV1_0047740","p.persica_gdr_reftransV1_0047740")</f>
        <v>p.persica_gdr_reftransV1_0047740</v>
      </c>
      <c r="B2865" s="2">
        <v>2515</v>
      </c>
      <c r="C2865" s="4" t="str">
        <f>HYPERLINK("http://www.uniprot.org/uniprot/M5XK69","M5XK69")</f>
        <v>M5XK69</v>
      </c>
      <c r="D2865" s="2" t="s">
        <v>2739</v>
      </c>
      <c r="E2865" s="3">
        <v>0</v>
      </c>
      <c r="F2865" s="2">
        <v>3251</v>
      </c>
      <c r="G2865" s="2">
        <v>100</v>
      </c>
      <c r="H2865" s="2">
        <v>637</v>
      </c>
      <c r="I2865" s="2">
        <v>283</v>
      </c>
      <c r="J2865" s="2">
        <v>2193</v>
      </c>
      <c r="K2865" s="2">
        <v>25</v>
      </c>
      <c r="L2865" s="2">
        <v>661</v>
      </c>
    </row>
    <row r="2866" spans="1:12" x14ac:dyDescent="0.25">
      <c r="A2866" s="4" t="str">
        <f>HYPERLINK("http://www.rosaceae.org/Prunus/Prunus_persica/p.persica_gdr_reftransV1_0048090","p.persica_gdr_reftransV1_0048090")</f>
        <v>p.persica_gdr_reftransV1_0048090</v>
      </c>
      <c r="B2866" s="2">
        <v>3008</v>
      </c>
      <c r="C2866" s="4" t="str">
        <f>HYPERLINK("http://www.uniprot.org/uniprot/M5W471","M5W471")</f>
        <v>M5W471</v>
      </c>
      <c r="D2866" s="2" t="s">
        <v>2740</v>
      </c>
      <c r="E2866" s="3">
        <v>0</v>
      </c>
      <c r="F2866" s="2">
        <v>3312</v>
      </c>
      <c r="G2866" s="2">
        <v>83</v>
      </c>
      <c r="H2866" s="2">
        <v>748</v>
      </c>
      <c r="I2866" s="2">
        <v>246</v>
      </c>
      <c r="J2866" s="2">
        <v>2486</v>
      </c>
      <c r="K2866" s="2">
        <v>8</v>
      </c>
      <c r="L2866" s="2">
        <v>754</v>
      </c>
    </row>
    <row r="2867" spans="1:12" x14ac:dyDescent="0.25">
      <c r="A2867" s="4" t="str">
        <f>HYPERLINK("http://www.rosaceae.org/Prunus/Prunus_persica/p.persica_gdr_reftransV1_0048440","p.persica_gdr_reftransV1_0048440")</f>
        <v>p.persica_gdr_reftransV1_0048440</v>
      </c>
      <c r="B2867" s="2">
        <v>1957</v>
      </c>
      <c r="C2867" s="4" t="str">
        <f>HYPERLINK("http://www.uniprot.org/uniprot/M5XFM0","M5XFM0")</f>
        <v>M5XFM0</v>
      </c>
      <c r="D2867" s="2" t="s">
        <v>2741</v>
      </c>
      <c r="E2867" s="3">
        <v>0</v>
      </c>
      <c r="F2867" s="2">
        <v>2890</v>
      </c>
      <c r="G2867" s="2">
        <v>100</v>
      </c>
      <c r="H2867" s="2">
        <v>555</v>
      </c>
      <c r="I2867" s="2">
        <v>127</v>
      </c>
      <c r="J2867" s="2">
        <v>1791</v>
      </c>
      <c r="K2867" s="2">
        <v>1</v>
      </c>
      <c r="L2867" s="2">
        <v>555</v>
      </c>
    </row>
    <row r="2868" spans="1:12" x14ac:dyDescent="0.25">
      <c r="A2868" s="4" t="str">
        <f>HYPERLINK("http://www.rosaceae.org/Prunus/Prunus_persica/p.persica_gdr_reftransV1_0048790","p.persica_gdr_reftransV1_0048790")</f>
        <v>p.persica_gdr_reftransV1_0048790</v>
      </c>
      <c r="B2868" s="2">
        <v>528</v>
      </c>
      <c r="C2868" s="4" t="str">
        <f>HYPERLINK("http://www.uniprot.org/uniprot/M5XJ42","M5XJ42")</f>
        <v>M5XJ42</v>
      </c>
      <c r="D2868" s="2" t="s">
        <v>2742</v>
      </c>
      <c r="E2868" s="3">
        <v>1.6800000000000001E-99</v>
      </c>
      <c r="F2868" s="2">
        <v>755</v>
      </c>
      <c r="G2868" s="2">
        <v>100</v>
      </c>
      <c r="H2868" s="2">
        <v>141</v>
      </c>
      <c r="I2868" s="2">
        <v>97</v>
      </c>
      <c r="J2868" s="2">
        <v>519</v>
      </c>
      <c r="K2868" s="2">
        <v>1</v>
      </c>
      <c r="L2868" s="2">
        <v>141</v>
      </c>
    </row>
    <row r="2869" spans="1:12" x14ac:dyDescent="0.25">
      <c r="A2869" s="4" t="str">
        <f>HYPERLINK("http://www.rosaceae.org/Prunus/Prunus_persica/p.persica_gdr_reftransV1_0049140","p.persica_gdr_reftransV1_0049140")</f>
        <v>p.persica_gdr_reftransV1_0049140</v>
      </c>
      <c r="B2869" s="2">
        <v>1198</v>
      </c>
      <c r="C2869" s="4" t="str">
        <f>HYPERLINK("http://www.uniprot.org/uniprot/M5X1K3","M5X1K3")</f>
        <v>M5X1K3</v>
      </c>
      <c r="D2869" s="2" t="s">
        <v>2743</v>
      </c>
      <c r="E2869" s="3">
        <v>4.3E-159</v>
      </c>
      <c r="F2869" s="2">
        <v>1187</v>
      </c>
      <c r="G2869" s="2">
        <v>100</v>
      </c>
      <c r="H2869" s="2">
        <v>251</v>
      </c>
      <c r="I2869" s="2">
        <v>353</v>
      </c>
      <c r="J2869" s="2">
        <v>1105</v>
      </c>
      <c r="K2869" s="2">
        <v>1</v>
      </c>
      <c r="L2869" s="2">
        <v>251</v>
      </c>
    </row>
    <row r="2870" spans="1:12" x14ac:dyDescent="0.25">
      <c r="A2870" s="4" t="str">
        <f>HYPERLINK("http://www.rosaceae.org/Prunus/Prunus_persica/p.persica_gdr_reftransV1_0000014","p.persica_gdr_reftransV1_0000014")</f>
        <v>p.persica_gdr_reftransV1_0000014</v>
      </c>
      <c r="B2870" s="2">
        <v>1420</v>
      </c>
      <c r="C2870" s="4" t="str">
        <f>HYPERLINK("http://www.uniprot.org/uniprot/M5W4J3","M5W4J3")</f>
        <v>M5W4J3</v>
      </c>
      <c r="D2870" s="2" t="s">
        <v>2744</v>
      </c>
      <c r="E2870" s="3">
        <v>0</v>
      </c>
      <c r="F2870" s="2">
        <v>2094</v>
      </c>
      <c r="G2870" s="2">
        <v>94</v>
      </c>
      <c r="H2870" s="2">
        <v>419</v>
      </c>
      <c r="I2870" s="2">
        <v>164</v>
      </c>
      <c r="J2870" s="2">
        <v>1420</v>
      </c>
      <c r="K2870" s="2">
        <v>19</v>
      </c>
      <c r="L2870" s="2">
        <v>420</v>
      </c>
    </row>
    <row r="2871" spans="1:12" x14ac:dyDescent="0.25">
      <c r="A2871" s="4" t="str">
        <f>HYPERLINK("http://www.rosaceae.org/Prunus/Prunus_persica/p.persica_gdr_reftransV1_0000364","p.persica_gdr_reftransV1_0000364")</f>
        <v>p.persica_gdr_reftransV1_0000364</v>
      </c>
      <c r="B2871" s="2">
        <v>2065</v>
      </c>
      <c r="C2871" s="4" t="str">
        <f>HYPERLINK("http://www.uniprot.org/uniprot/M5VM14","M5VM14")</f>
        <v>M5VM14</v>
      </c>
      <c r="D2871" s="2" t="s">
        <v>2745</v>
      </c>
      <c r="E2871" s="3">
        <v>0</v>
      </c>
      <c r="F2871" s="2">
        <v>1932</v>
      </c>
      <c r="G2871" s="2">
        <v>100</v>
      </c>
      <c r="H2871" s="2">
        <v>467</v>
      </c>
      <c r="I2871" s="2">
        <v>458</v>
      </c>
      <c r="J2871" s="2">
        <v>1858</v>
      </c>
      <c r="K2871" s="2">
        <v>1</v>
      </c>
      <c r="L2871" s="2">
        <v>467</v>
      </c>
    </row>
    <row r="2872" spans="1:12" x14ac:dyDescent="0.25">
      <c r="A2872" s="4" t="str">
        <f>HYPERLINK("http://www.rosaceae.org/Prunus/Prunus_persica/p.persica_gdr_reftransV1_0001064","p.persica_gdr_reftransV1_0001064")</f>
        <v>p.persica_gdr_reftransV1_0001064</v>
      </c>
      <c r="B2872" s="2">
        <v>1490</v>
      </c>
      <c r="C2872" s="4" t="str">
        <f>HYPERLINK("http://www.uniprot.org/uniprot/M5X0P0","M5X0P0")</f>
        <v>M5X0P0</v>
      </c>
      <c r="D2872" s="2" t="s">
        <v>2746</v>
      </c>
      <c r="E2872" s="3">
        <v>0</v>
      </c>
      <c r="F2872" s="2">
        <v>1834</v>
      </c>
      <c r="G2872" s="2">
        <v>100</v>
      </c>
      <c r="H2872" s="2">
        <v>341</v>
      </c>
      <c r="I2872" s="2">
        <v>71</v>
      </c>
      <c r="J2872" s="2">
        <v>1093</v>
      </c>
      <c r="K2872" s="2">
        <v>1</v>
      </c>
      <c r="L2872" s="2">
        <v>341</v>
      </c>
    </row>
    <row r="2873" spans="1:12" x14ac:dyDescent="0.25">
      <c r="A2873" s="4" t="str">
        <f>HYPERLINK("http://www.rosaceae.org/Prunus/Prunus_persica/p.persica_gdr_reftransV1_0001414","p.persica_gdr_reftransV1_0001414")</f>
        <v>p.persica_gdr_reftransV1_0001414</v>
      </c>
      <c r="B2873" s="2">
        <v>1451</v>
      </c>
      <c r="C2873" s="4" t="str">
        <f>HYPERLINK("http://www.uniprot.org/uniprot/M5WTT2","M5WTT2")</f>
        <v>M5WTT2</v>
      </c>
      <c r="D2873" s="2" t="s">
        <v>2747</v>
      </c>
      <c r="E2873" s="3">
        <v>1.3600000000000001E-103</v>
      </c>
      <c r="F2873" s="2">
        <v>832</v>
      </c>
      <c r="G2873" s="2">
        <v>100</v>
      </c>
      <c r="H2873" s="2">
        <v>220</v>
      </c>
      <c r="I2873" s="2">
        <v>255</v>
      </c>
      <c r="J2873" s="2">
        <v>914</v>
      </c>
      <c r="K2873" s="2">
        <v>1</v>
      </c>
      <c r="L2873" s="2">
        <v>220</v>
      </c>
    </row>
    <row r="2874" spans="1:12" x14ac:dyDescent="0.25">
      <c r="A2874" s="4" t="str">
        <f>HYPERLINK("http://www.rosaceae.org/Prunus/Prunus_persica/p.persica_gdr_reftransV1_0001764","p.persica_gdr_reftransV1_0001764")</f>
        <v>p.persica_gdr_reftransV1_0001764</v>
      </c>
      <c r="B2874" s="2">
        <v>1062</v>
      </c>
      <c r="C2874" s="4" t="str">
        <f>HYPERLINK("http://www.uniprot.org/uniprot/M5XHE3","M5XHE3")</f>
        <v>M5XHE3</v>
      </c>
      <c r="D2874" s="2" t="s">
        <v>2748</v>
      </c>
      <c r="E2874" s="3">
        <v>3.3700000000000001E-74</v>
      </c>
      <c r="F2874" s="2">
        <v>617</v>
      </c>
      <c r="G2874" s="2">
        <v>100</v>
      </c>
      <c r="H2874" s="2">
        <v>260</v>
      </c>
      <c r="I2874" s="2">
        <v>238</v>
      </c>
      <c r="J2874" s="2">
        <v>1017</v>
      </c>
      <c r="K2874" s="2">
        <v>1</v>
      </c>
      <c r="L2874" s="2">
        <v>260</v>
      </c>
    </row>
    <row r="2875" spans="1:12" x14ac:dyDescent="0.25">
      <c r="A2875" s="4" t="str">
        <f>HYPERLINK("http://www.rosaceae.org/Prunus/Prunus_persica/p.persica_gdr_reftransV1_0002114","p.persica_gdr_reftransV1_0002114")</f>
        <v>p.persica_gdr_reftransV1_0002114</v>
      </c>
      <c r="B2875" s="2">
        <v>338</v>
      </c>
      <c r="C2875" s="4" t="str">
        <f>HYPERLINK("http://www.uniprot.org/uniprot/X0M023","X0M023")</f>
        <v>X0M023</v>
      </c>
      <c r="D2875" s="2" t="s">
        <v>2749</v>
      </c>
      <c r="E2875" s="3">
        <v>5.8900000000000004E-70</v>
      </c>
      <c r="F2875" s="2">
        <v>601</v>
      </c>
      <c r="G2875" s="2">
        <v>90</v>
      </c>
      <c r="H2875" s="2">
        <v>112</v>
      </c>
      <c r="I2875" s="2">
        <v>2</v>
      </c>
      <c r="J2875" s="2">
        <v>337</v>
      </c>
      <c r="K2875" s="2">
        <v>899</v>
      </c>
      <c r="L2875" s="2">
        <v>1010</v>
      </c>
    </row>
    <row r="2876" spans="1:12" x14ac:dyDescent="0.25">
      <c r="A2876" s="4" t="str">
        <f>HYPERLINK("http://www.rosaceae.org/Prunus/Prunus_persica/p.persica_gdr_reftransV1_0002464","p.persica_gdr_reftransV1_0002464")</f>
        <v>p.persica_gdr_reftransV1_0002464</v>
      </c>
      <c r="B2876" s="2">
        <v>2475</v>
      </c>
      <c r="C2876" s="4" t="str">
        <f>HYPERLINK("http://www.uniprot.org/uniprot/M5WES8","M5WES8")</f>
        <v>M5WES8</v>
      </c>
      <c r="D2876" s="2" t="s">
        <v>2750</v>
      </c>
      <c r="E2876" s="3">
        <v>0</v>
      </c>
      <c r="F2876" s="2">
        <v>3126</v>
      </c>
      <c r="G2876" s="2">
        <v>100</v>
      </c>
      <c r="H2876" s="2">
        <v>646</v>
      </c>
      <c r="I2876" s="2">
        <v>399</v>
      </c>
      <c r="J2876" s="2">
        <v>2336</v>
      </c>
      <c r="K2876" s="2">
        <v>1</v>
      </c>
      <c r="L2876" s="2">
        <v>646</v>
      </c>
    </row>
    <row r="2877" spans="1:12" x14ac:dyDescent="0.25">
      <c r="A2877" s="4" t="str">
        <f>HYPERLINK("http://www.rosaceae.org/Prunus/Prunus_persica/p.persica_gdr_reftransV1_0002814","p.persica_gdr_reftransV1_0002814")</f>
        <v>p.persica_gdr_reftransV1_0002814</v>
      </c>
      <c r="B2877" s="2">
        <v>372</v>
      </c>
      <c r="C2877" s="4" t="str">
        <f>HYPERLINK("http://www.uniprot.org/uniprot/F6H8A1","F6H8A1")</f>
        <v>F6H8A1</v>
      </c>
      <c r="D2877" s="2" t="s">
        <v>58</v>
      </c>
      <c r="E2877" s="3">
        <v>2.7100000000000002E-51</v>
      </c>
      <c r="F2877" s="2">
        <v>462</v>
      </c>
      <c r="G2877" s="2">
        <v>73</v>
      </c>
      <c r="H2877" s="2">
        <v>118</v>
      </c>
      <c r="I2877" s="2">
        <v>3</v>
      </c>
      <c r="J2877" s="2">
        <v>356</v>
      </c>
      <c r="K2877" s="2">
        <v>548</v>
      </c>
      <c r="L2877" s="2">
        <v>665</v>
      </c>
    </row>
    <row r="2878" spans="1:12" x14ac:dyDescent="0.25">
      <c r="A2878" s="4" t="str">
        <f>HYPERLINK("http://www.rosaceae.org/Prunus/Prunus_persica/p.persica_gdr_reftransV1_0003514","p.persica_gdr_reftransV1_0003514")</f>
        <v>p.persica_gdr_reftransV1_0003514</v>
      </c>
      <c r="B2878" s="2">
        <v>958</v>
      </c>
      <c r="C2878" s="4" t="str">
        <f>HYPERLINK("http://www.uniprot.org/uniprot/M4QFW7","M4QFW7")</f>
        <v>M4QFW7</v>
      </c>
      <c r="D2878" s="2" t="s">
        <v>2751</v>
      </c>
      <c r="E2878" s="3">
        <v>7.8599999999999995E-151</v>
      </c>
      <c r="F2878" s="2">
        <v>1119</v>
      </c>
      <c r="G2878" s="2">
        <v>100</v>
      </c>
      <c r="H2878" s="2">
        <v>212</v>
      </c>
      <c r="I2878" s="2">
        <v>178</v>
      </c>
      <c r="J2878" s="2">
        <v>813</v>
      </c>
      <c r="K2878" s="2">
        <v>1</v>
      </c>
      <c r="L2878" s="2">
        <v>212</v>
      </c>
    </row>
    <row r="2879" spans="1:12" x14ac:dyDescent="0.25">
      <c r="A2879" s="4" t="str">
        <f>HYPERLINK("http://www.rosaceae.org/Prunus/Prunus_persica/p.persica_gdr_reftransV1_0003864","p.persica_gdr_reftransV1_0003864")</f>
        <v>p.persica_gdr_reftransV1_0003864</v>
      </c>
      <c r="B2879" s="2">
        <v>387</v>
      </c>
      <c r="C2879" s="4" t="str">
        <f>HYPERLINK("http://www.uniprot.org/uniprot/A0A0D2XDZ0","A0A0D2XDZ0")</f>
        <v>A0A0D2XDZ0</v>
      </c>
      <c r="D2879" s="2" t="s">
        <v>2752</v>
      </c>
      <c r="E2879" s="3">
        <v>8.5000000000000004E-76</v>
      </c>
      <c r="F2879" s="2">
        <v>594</v>
      </c>
      <c r="G2879" s="2">
        <v>100</v>
      </c>
      <c r="H2879" s="2">
        <v>114</v>
      </c>
      <c r="I2879" s="2">
        <v>3</v>
      </c>
      <c r="J2879" s="2">
        <v>344</v>
      </c>
      <c r="K2879" s="2">
        <v>1</v>
      </c>
      <c r="L2879" s="2">
        <v>114</v>
      </c>
    </row>
    <row r="2880" spans="1:12" x14ac:dyDescent="0.25">
      <c r="A2880" s="4" t="str">
        <f>HYPERLINK("http://www.rosaceae.org/Prunus/Prunus_persica/p.persica_gdr_reftransV1_0004214","p.persica_gdr_reftransV1_0004214")</f>
        <v>p.persica_gdr_reftransV1_0004214</v>
      </c>
      <c r="B2880" s="2">
        <v>392</v>
      </c>
      <c r="C2880" s="4" t="str">
        <f>HYPERLINK("http://www.uniprot.org/uniprot/M5XPQ2","M5XPQ2")</f>
        <v>M5XPQ2</v>
      </c>
      <c r="D2880" s="2" t="s">
        <v>2753</v>
      </c>
      <c r="E2880" s="3">
        <v>1.4899999999999999E-65</v>
      </c>
      <c r="F2880" s="2">
        <v>576</v>
      </c>
      <c r="G2880" s="2">
        <v>100</v>
      </c>
      <c r="H2880" s="2">
        <v>130</v>
      </c>
      <c r="I2880" s="2">
        <v>2</v>
      </c>
      <c r="J2880" s="2">
        <v>391</v>
      </c>
      <c r="K2880" s="2">
        <v>492</v>
      </c>
      <c r="L2880" s="2">
        <v>621</v>
      </c>
    </row>
    <row r="2881" spans="1:12" x14ac:dyDescent="0.25">
      <c r="A2881" s="4" t="str">
        <f>HYPERLINK("http://www.rosaceae.org/Prunus/Prunus_persica/p.persica_gdr_reftransV1_0004564","p.persica_gdr_reftransV1_0004564")</f>
        <v>p.persica_gdr_reftransV1_0004564</v>
      </c>
      <c r="B2881" s="2">
        <v>964</v>
      </c>
      <c r="C2881" s="4" t="str">
        <f>HYPERLINK("http://www.uniprot.org/uniprot/M5X112","M5X112")</f>
        <v>M5X112</v>
      </c>
      <c r="D2881" s="2" t="s">
        <v>2754</v>
      </c>
      <c r="E2881" s="3">
        <v>3.9700000000000001E-147</v>
      </c>
      <c r="F2881" s="2">
        <v>1092</v>
      </c>
      <c r="G2881" s="2">
        <v>100</v>
      </c>
      <c r="H2881" s="2">
        <v>212</v>
      </c>
      <c r="I2881" s="2">
        <v>140</v>
      </c>
      <c r="J2881" s="2">
        <v>775</v>
      </c>
      <c r="K2881" s="2">
        <v>1</v>
      </c>
      <c r="L2881" s="2">
        <v>212</v>
      </c>
    </row>
    <row r="2882" spans="1:12" x14ac:dyDescent="0.25">
      <c r="A2882" s="4" t="str">
        <f>HYPERLINK("http://www.rosaceae.org/Prunus/Prunus_persica/p.persica_gdr_reftransV1_0005264","p.persica_gdr_reftransV1_0005264")</f>
        <v>p.persica_gdr_reftransV1_0005264</v>
      </c>
      <c r="B2882" s="2">
        <v>476</v>
      </c>
      <c r="C2882" s="4" t="str">
        <f>HYPERLINK("http://www.uniprot.org/uniprot/M5WEG2","M5WEG2")</f>
        <v>M5WEG2</v>
      </c>
      <c r="D2882" s="2" t="s">
        <v>2755</v>
      </c>
      <c r="E2882" s="3">
        <v>3.2200000000000001E-89</v>
      </c>
      <c r="F2882" s="2">
        <v>751</v>
      </c>
      <c r="G2882" s="2">
        <v>93</v>
      </c>
      <c r="H2882" s="2">
        <v>153</v>
      </c>
      <c r="I2882" s="2">
        <v>16</v>
      </c>
      <c r="J2882" s="2">
        <v>474</v>
      </c>
      <c r="K2882" s="2">
        <v>262</v>
      </c>
      <c r="L2882" s="2">
        <v>414</v>
      </c>
    </row>
    <row r="2883" spans="1:12" x14ac:dyDescent="0.25">
      <c r="A2883" s="4" t="str">
        <f>HYPERLINK("http://www.rosaceae.org/Prunus/Prunus_persica/p.persica_gdr_reftransV1_0005614","p.persica_gdr_reftransV1_0005614")</f>
        <v>p.persica_gdr_reftransV1_0005614</v>
      </c>
      <c r="B2883" s="2">
        <v>472</v>
      </c>
      <c r="C2883" s="4" t="str">
        <f>HYPERLINK("http://www.uniprot.org/uniprot/M5VZJ6","M5VZJ6")</f>
        <v>M5VZJ6</v>
      </c>
      <c r="D2883" s="2" t="s">
        <v>2756</v>
      </c>
      <c r="E2883" s="3">
        <v>1.08E-92</v>
      </c>
      <c r="F2883" s="2">
        <v>731</v>
      </c>
      <c r="G2883" s="2">
        <v>100</v>
      </c>
      <c r="H2883" s="2">
        <v>143</v>
      </c>
      <c r="I2883" s="2">
        <v>1</v>
      </c>
      <c r="J2883" s="2">
        <v>429</v>
      </c>
      <c r="K2883" s="2">
        <v>1</v>
      </c>
      <c r="L2883" s="2">
        <v>143</v>
      </c>
    </row>
    <row r="2884" spans="1:12" x14ac:dyDescent="0.25">
      <c r="A2884" s="4" t="str">
        <f>HYPERLINK("http://www.rosaceae.org/Prunus/Prunus_persica/p.persica_gdr_reftransV1_0006314","p.persica_gdr_reftransV1_0006314")</f>
        <v>p.persica_gdr_reftransV1_0006314</v>
      </c>
      <c r="B2884" s="2">
        <v>1095</v>
      </c>
      <c r="C2884" s="4" t="str">
        <f>HYPERLINK("http://www.uniprot.org/uniprot/M5XP24","M5XP24")</f>
        <v>M5XP24</v>
      </c>
      <c r="D2884" s="2" t="s">
        <v>2757</v>
      </c>
      <c r="E2884" s="3">
        <v>0</v>
      </c>
      <c r="F2884" s="2">
        <v>1511</v>
      </c>
      <c r="G2884" s="2">
        <v>100</v>
      </c>
      <c r="H2884" s="2">
        <v>285</v>
      </c>
      <c r="I2884" s="2">
        <v>111</v>
      </c>
      <c r="J2884" s="2">
        <v>965</v>
      </c>
      <c r="K2884" s="2">
        <v>67</v>
      </c>
      <c r="L2884" s="2">
        <v>351</v>
      </c>
    </row>
    <row r="2885" spans="1:12" x14ac:dyDescent="0.25">
      <c r="A2885" s="4" t="str">
        <f>HYPERLINK("http://www.rosaceae.org/Prunus/Prunus_persica/p.persica_gdr_reftransV1_0006664","p.persica_gdr_reftransV1_0006664")</f>
        <v>p.persica_gdr_reftransV1_0006664</v>
      </c>
      <c r="B2885" s="2">
        <v>1504</v>
      </c>
      <c r="C2885" s="4" t="str">
        <f>HYPERLINK("http://www.uniprot.org/uniprot/M5XXT5","M5XXT5")</f>
        <v>M5XXT5</v>
      </c>
      <c r="D2885" s="2" t="s">
        <v>2758</v>
      </c>
      <c r="E2885" s="3">
        <v>0</v>
      </c>
      <c r="F2885" s="2">
        <v>1990</v>
      </c>
      <c r="G2885" s="2">
        <v>99</v>
      </c>
      <c r="H2885" s="2">
        <v>461</v>
      </c>
      <c r="I2885" s="2">
        <v>120</v>
      </c>
      <c r="J2885" s="2">
        <v>1502</v>
      </c>
      <c r="K2885" s="2">
        <v>5</v>
      </c>
      <c r="L2885" s="2">
        <v>465</v>
      </c>
    </row>
    <row r="2886" spans="1:12" x14ac:dyDescent="0.25">
      <c r="A2886" s="4" t="str">
        <f>HYPERLINK("http://www.rosaceae.org/Prunus/Prunus_persica/p.persica_gdr_reftransV1_0008064","p.persica_gdr_reftransV1_0008064")</f>
        <v>p.persica_gdr_reftransV1_0008064</v>
      </c>
      <c r="B2886" s="2">
        <v>1757</v>
      </c>
      <c r="C2886" s="4" t="str">
        <f>HYPERLINK("http://www.uniprot.org/uniprot/M5XCE8","M5XCE8")</f>
        <v>M5XCE8</v>
      </c>
      <c r="D2886" s="2" t="s">
        <v>2759</v>
      </c>
      <c r="E2886" s="3">
        <v>0</v>
      </c>
      <c r="F2886" s="2">
        <v>1876</v>
      </c>
      <c r="G2886" s="2">
        <v>100</v>
      </c>
      <c r="H2886" s="2">
        <v>367</v>
      </c>
      <c r="I2886" s="2">
        <v>424</v>
      </c>
      <c r="J2886" s="2">
        <v>1524</v>
      </c>
      <c r="K2886" s="2">
        <v>1</v>
      </c>
      <c r="L2886" s="2">
        <v>367</v>
      </c>
    </row>
    <row r="2887" spans="1:12" x14ac:dyDescent="0.25">
      <c r="A2887" s="4" t="str">
        <f>HYPERLINK("http://www.rosaceae.org/Prunus/Prunus_persica/p.persica_gdr_reftransV1_0008414","p.persica_gdr_reftransV1_0008414")</f>
        <v>p.persica_gdr_reftransV1_0008414</v>
      </c>
      <c r="B2887" s="2">
        <v>1467</v>
      </c>
      <c r="C2887" s="4" t="str">
        <f>HYPERLINK("http://www.uniprot.org/uniprot/M5XTX3","M5XTX3")</f>
        <v>M5XTX3</v>
      </c>
      <c r="D2887" s="2" t="s">
        <v>2760</v>
      </c>
      <c r="E2887" s="3">
        <v>1.07E-158</v>
      </c>
      <c r="F2887" s="2">
        <v>1188</v>
      </c>
      <c r="G2887" s="2">
        <v>100</v>
      </c>
      <c r="H2887" s="2">
        <v>226</v>
      </c>
      <c r="I2887" s="2">
        <v>122</v>
      </c>
      <c r="J2887" s="2">
        <v>799</v>
      </c>
      <c r="K2887" s="2">
        <v>1</v>
      </c>
      <c r="L2887" s="2">
        <v>226</v>
      </c>
    </row>
    <row r="2888" spans="1:12" x14ac:dyDescent="0.25">
      <c r="A2888" s="4" t="str">
        <f>HYPERLINK("http://www.rosaceae.org/Prunus/Prunus_persica/p.persica_gdr_reftransV1_0008764","p.persica_gdr_reftransV1_0008764")</f>
        <v>p.persica_gdr_reftransV1_0008764</v>
      </c>
      <c r="B2888" s="2">
        <v>541</v>
      </c>
      <c r="C2888" s="4" t="str">
        <f>HYPERLINK("http://www.uniprot.org/uniprot/M5WV11","M5WV11")</f>
        <v>M5WV11</v>
      </c>
      <c r="D2888" s="2" t="s">
        <v>2761</v>
      </c>
      <c r="E2888" s="3">
        <v>5.2300000000000002E-55</v>
      </c>
      <c r="F2888" s="2">
        <v>484</v>
      </c>
      <c r="G2888" s="2">
        <v>100</v>
      </c>
      <c r="H2888" s="2">
        <v>96</v>
      </c>
      <c r="I2888" s="2">
        <v>253</v>
      </c>
      <c r="J2888" s="2">
        <v>540</v>
      </c>
      <c r="K2888" s="2">
        <v>340</v>
      </c>
      <c r="L2888" s="2">
        <v>435</v>
      </c>
    </row>
    <row r="2889" spans="1:12" x14ac:dyDescent="0.25">
      <c r="A2889" s="4" t="str">
        <f>HYPERLINK("http://www.rosaceae.org/Prunus/Prunus_persica/p.persica_gdr_reftransV1_0009114","p.persica_gdr_reftransV1_0009114")</f>
        <v>p.persica_gdr_reftransV1_0009114</v>
      </c>
      <c r="B2889" s="2">
        <v>1146</v>
      </c>
      <c r="C2889" s="4" t="str">
        <f>HYPERLINK("http://www.uniprot.org/uniprot/M5XRW8","M5XRW8")</f>
        <v>M5XRW8</v>
      </c>
      <c r="D2889" s="2" t="s">
        <v>2762</v>
      </c>
      <c r="E2889" s="3">
        <v>0</v>
      </c>
      <c r="F2889" s="2">
        <v>1419</v>
      </c>
      <c r="G2889" s="2">
        <v>100</v>
      </c>
      <c r="H2889" s="2">
        <v>268</v>
      </c>
      <c r="I2889" s="2">
        <v>120</v>
      </c>
      <c r="J2889" s="2">
        <v>923</v>
      </c>
      <c r="K2889" s="2">
        <v>15</v>
      </c>
      <c r="L2889" s="2">
        <v>282</v>
      </c>
    </row>
    <row r="2890" spans="1:12" x14ac:dyDescent="0.25">
      <c r="A2890" s="4" t="str">
        <f>HYPERLINK("http://www.rosaceae.org/Prunus/Prunus_persica/p.persica_gdr_reftransV1_0009814","p.persica_gdr_reftransV1_0009814")</f>
        <v>p.persica_gdr_reftransV1_0009814</v>
      </c>
      <c r="B2890" s="2">
        <v>1204</v>
      </c>
      <c r="C2890" s="4" t="str">
        <f>HYPERLINK("http://www.uniprot.org/uniprot/M5WI80","M5WI80")</f>
        <v>M5WI80</v>
      </c>
      <c r="D2890" s="2" t="s">
        <v>2763</v>
      </c>
      <c r="E2890" s="3">
        <v>9.9699999999999997E-74</v>
      </c>
      <c r="F2890" s="2">
        <v>604</v>
      </c>
      <c r="G2890" s="2">
        <v>99</v>
      </c>
      <c r="H2890" s="2">
        <v>119</v>
      </c>
      <c r="I2890" s="2">
        <v>209</v>
      </c>
      <c r="J2890" s="2">
        <v>565</v>
      </c>
      <c r="K2890" s="2">
        <v>1</v>
      </c>
      <c r="L2890" s="2">
        <v>119</v>
      </c>
    </row>
    <row r="2891" spans="1:12" x14ac:dyDescent="0.25">
      <c r="A2891" s="4" t="str">
        <f>HYPERLINK("http://www.rosaceae.org/Prunus/Prunus_persica/p.persica_gdr_reftransV1_0010164","p.persica_gdr_reftransV1_0010164")</f>
        <v>p.persica_gdr_reftransV1_0010164</v>
      </c>
      <c r="B2891" s="2">
        <v>1302</v>
      </c>
      <c r="C2891" s="4" t="str">
        <f>HYPERLINK("http://www.uniprot.org/uniprot/M5W4H3","M5W4H3")</f>
        <v>M5W4H3</v>
      </c>
      <c r="D2891" s="2" t="s">
        <v>2764</v>
      </c>
      <c r="E2891" s="3">
        <v>0</v>
      </c>
      <c r="F2891" s="2">
        <v>1493</v>
      </c>
      <c r="G2891" s="2">
        <v>100</v>
      </c>
      <c r="H2891" s="2">
        <v>303</v>
      </c>
      <c r="I2891" s="2">
        <v>243</v>
      </c>
      <c r="J2891" s="2">
        <v>1151</v>
      </c>
      <c r="K2891" s="2">
        <v>1</v>
      </c>
      <c r="L2891" s="2">
        <v>303</v>
      </c>
    </row>
    <row r="2892" spans="1:12" x14ac:dyDescent="0.25">
      <c r="A2892" s="4" t="str">
        <f>HYPERLINK("http://www.rosaceae.org/Prunus/Prunus_persica/p.persica_gdr_reftransV1_0010514","p.persica_gdr_reftransV1_0010514")</f>
        <v>p.persica_gdr_reftransV1_0010514</v>
      </c>
      <c r="B2892" s="2">
        <v>2171</v>
      </c>
      <c r="C2892" s="4" t="str">
        <f>HYPERLINK("http://www.uniprot.org/uniprot/M5WBJ4","M5WBJ4")</f>
        <v>M5WBJ4</v>
      </c>
      <c r="D2892" s="2" t="s">
        <v>2765</v>
      </c>
      <c r="E2892" s="3">
        <v>0</v>
      </c>
      <c r="F2892" s="2">
        <v>2245</v>
      </c>
      <c r="G2892" s="2">
        <v>97</v>
      </c>
      <c r="H2892" s="2">
        <v>545</v>
      </c>
      <c r="I2892" s="2">
        <v>243</v>
      </c>
      <c r="J2892" s="2">
        <v>1877</v>
      </c>
      <c r="K2892" s="2">
        <v>3</v>
      </c>
      <c r="L2892" s="2">
        <v>531</v>
      </c>
    </row>
    <row r="2893" spans="1:12" x14ac:dyDescent="0.25">
      <c r="A2893" s="4" t="str">
        <f>HYPERLINK("http://www.rosaceae.org/Prunus/Prunus_persica/p.persica_gdr_reftransV1_0010864","p.persica_gdr_reftransV1_0010864")</f>
        <v>p.persica_gdr_reftransV1_0010864</v>
      </c>
      <c r="B2893" s="2">
        <v>927</v>
      </c>
      <c r="C2893" s="4" t="str">
        <f>HYPERLINK("http://www.uniprot.org/uniprot/M5VU43","M5VU43")</f>
        <v>M5VU43</v>
      </c>
      <c r="D2893" s="2" t="s">
        <v>2766</v>
      </c>
      <c r="E2893" s="3">
        <v>1.93E-174</v>
      </c>
      <c r="F2893" s="2">
        <v>1323</v>
      </c>
      <c r="G2893" s="2">
        <v>100</v>
      </c>
      <c r="H2893" s="2">
        <v>273</v>
      </c>
      <c r="I2893" s="2">
        <v>2</v>
      </c>
      <c r="J2893" s="2">
        <v>820</v>
      </c>
      <c r="K2893" s="2">
        <v>494</v>
      </c>
      <c r="L2893" s="2">
        <v>766</v>
      </c>
    </row>
    <row r="2894" spans="1:12" x14ac:dyDescent="0.25">
      <c r="A2894" s="4" t="str">
        <f>HYPERLINK("http://www.rosaceae.org/Prunus/Prunus_persica/p.persica_gdr_reftransV1_0011214","p.persica_gdr_reftransV1_0011214")</f>
        <v>p.persica_gdr_reftransV1_0011214</v>
      </c>
      <c r="B2894" s="2">
        <v>2598</v>
      </c>
      <c r="C2894" s="4" t="str">
        <f>HYPERLINK("http://www.uniprot.org/uniprot/M5W5N0","M5W5N0")</f>
        <v>M5W5N0</v>
      </c>
      <c r="D2894" s="2" t="s">
        <v>2767</v>
      </c>
      <c r="E2894" s="3">
        <v>0</v>
      </c>
      <c r="F2894" s="2">
        <v>1996</v>
      </c>
      <c r="G2894" s="2">
        <v>100</v>
      </c>
      <c r="H2894" s="2">
        <v>436</v>
      </c>
      <c r="I2894" s="2">
        <v>947</v>
      </c>
      <c r="J2894" s="2">
        <v>2254</v>
      </c>
      <c r="K2894" s="2">
        <v>1</v>
      </c>
      <c r="L2894" s="2">
        <v>436</v>
      </c>
    </row>
    <row r="2895" spans="1:12" x14ac:dyDescent="0.25">
      <c r="A2895" s="4" t="str">
        <f>HYPERLINK("http://www.rosaceae.org/Prunus/Prunus_persica/p.persica_gdr_reftransV1_0011564","p.persica_gdr_reftransV1_0011564")</f>
        <v>p.persica_gdr_reftransV1_0011564</v>
      </c>
      <c r="B2895" s="2">
        <v>3137</v>
      </c>
      <c r="C2895" s="4" t="str">
        <f>HYPERLINK("http://www.uniprot.org/uniprot/M5Y877","M5Y877")</f>
        <v>M5Y877</v>
      </c>
      <c r="D2895" s="2" t="s">
        <v>2768</v>
      </c>
      <c r="E2895" s="3">
        <v>0</v>
      </c>
      <c r="F2895" s="2">
        <v>4525</v>
      </c>
      <c r="G2895" s="2">
        <v>100</v>
      </c>
      <c r="H2895" s="2">
        <v>866</v>
      </c>
      <c r="I2895" s="2">
        <v>206</v>
      </c>
      <c r="J2895" s="2">
        <v>2803</v>
      </c>
      <c r="K2895" s="2">
        <v>1</v>
      </c>
      <c r="L2895" s="2">
        <v>866</v>
      </c>
    </row>
    <row r="2896" spans="1:12" x14ac:dyDescent="0.25">
      <c r="A2896" s="4" t="str">
        <f>HYPERLINK("http://www.rosaceae.org/Prunus/Prunus_persica/p.persica_gdr_reftransV1_0012614","p.persica_gdr_reftransV1_0012614")</f>
        <v>p.persica_gdr_reftransV1_0012614</v>
      </c>
      <c r="B2896" s="2">
        <v>915</v>
      </c>
      <c r="C2896" s="4" t="str">
        <f>HYPERLINK("http://www.uniprot.org/uniprot/M5XG96","M5XG96")</f>
        <v>M5XG96</v>
      </c>
      <c r="D2896" s="2" t="s">
        <v>2769</v>
      </c>
      <c r="E2896" s="3">
        <v>1.8699999999999999E-109</v>
      </c>
      <c r="F2896" s="2">
        <v>837</v>
      </c>
      <c r="G2896" s="2">
        <v>100</v>
      </c>
      <c r="H2896" s="2">
        <v>157</v>
      </c>
      <c r="I2896" s="2">
        <v>325</v>
      </c>
      <c r="J2896" s="2">
        <v>795</v>
      </c>
      <c r="K2896" s="2">
        <v>1</v>
      </c>
      <c r="L2896" s="2">
        <v>157</v>
      </c>
    </row>
    <row r="2897" spans="1:12" x14ac:dyDescent="0.25">
      <c r="A2897" s="4" t="str">
        <f>HYPERLINK("http://www.rosaceae.org/Prunus/Prunus_persica/p.persica_gdr_reftransV1_0012964","p.persica_gdr_reftransV1_0012964")</f>
        <v>p.persica_gdr_reftransV1_0012964</v>
      </c>
      <c r="B2897" s="2">
        <v>406</v>
      </c>
      <c r="C2897" s="4" t="str">
        <f>HYPERLINK("http://www.uniprot.org/uniprot/M5W4I5","M5W4I5")</f>
        <v>M5W4I5</v>
      </c>
      <c r="D2897" s="2" t="s">
        <v>2770</v>
      </c>
      <c r="E2897" s="3">
        <v>3.5599999999999998E-51</v>
      </c>
      <c r="F2897" s="2">
        <v>453</v>
      </c>
      <c r="G2897" s="2">
        <v>100</v>
      </c>
      <c r="H2897" s="2">
        <v>116</v>
      </c>
      <c r="I2897" s="2">
        <v>3</v>
      </c>
      <c r="J2897" s="2">
        <v>350</v>
      </c>
      <c r="K2897" s="2">
        <v>36</v>
      </c>
      <c r="L2897" s="2">
        <v>151</v>
      </c>
    </row>
    <row r="2898" spans="1:12" x14ac:dyDescent="0.25">
      <c r="A2898" s="4" t="str">
        <f>HYPERLINK("http://www.rosaceae.org/Prunus/Prunus_persica/p.persica_gdr_reftransV1_0014364","p.persica_gdr_reftransV1_0014364")</f>
        <v>p.persica_gdr_reftransV1_0014364</v>
      </c>
      <c r="B2898" s="2">
        <v>2220</v>
      </c>
      <c r="C2898" s="4" t="str">
        <f>HYPERLINK("http://www.uniprot.org/uniprot/M5WKS2","M5WKS2")</f>
        <v>M5WKS2</v>
      </c>
      <c r="D2898" s="2" t="s">
        <v>2771</v>
      </c>
      <c r="E2898" s="3">
        <v>5.5599999999999998E-166</v>
      </c>
      <c r="F2898" s="2">
        <v>1286</v>
      </c>
      <c r="G2898" s="2">
        <v>98</v>
      </c>
      <c r="H2898" s="2">
        <v>306</v>
      </c>
      <c r="I2898" s="2">
        <v>66</v>
      </c>
      <c r="J2898" s="2">
        <v>983</v>
      </c>
      <c r="K2898" s="2">
        <v>1</v>
      </c>
      <c r="L2898" s="2">
        <v>306</v>
      </c>
    </row>
    <row r="2899" spans="1:12" x14ac:dyDescent="0.25">
      <c r="A2899" s="4" t="str">
        <f>HYPERLINK("http://www.rosaceae.org/Prunus/Prunus_persica/p.persica_gdr_reftransV1_0014714","p.persica_gdr_reftransV1_0014714")</f>
        <v>p.persica_gdr_reftransV1_0014714</v>
      </c>
      <c r="B2899" s="2">
        <v>1040</v>
      </c>
      <c r="C2899" s="4" t="str">
        <f>HYPERLINK("http://www.uniprot.org/uniprot/M5WBW9","M5WBW9")</f>
        <v>M5WBW9</v>
      </c>
      <c r="D2899" s="2" t="s">
        <v>2772</v>
      </c>
      <c r="E2899" s="3">
        <v>2.0899999999999999E-124</v>
      </c>
      <c r="F2899" s="2">
        <v>944</v>
      </c>
      <c r="G2899" s="2">
        <v>100</v>
      </c>
      <c r="H2899" s="2">
        <v>209</v>
      </c>
      <c r="I2899" s="2">
        <v>183</v>
      </c>
      <c r="J2899" s="2">
        <v>809</v>
      </c>
      <c r="K2899" s="2">
        <v>1</v>
      </c>
      <c r="L2899" s="2">
        <v>209</v>
      </c>
    </row>
    <row r="2900" spans="1:12" x14ac:dyDescent="0.25">
      <c r="A2900" s="4" t="str">
        <f>HYPERLINK("http://www.rosaceae.org/Prunus/Prunus_persica/p.persica_gdr_reftransV1_0016114","p.persica_gdr_reftransV1_0016114")</f>
        <v>p.persica_gdr_reftransV1_0016114</v>
      </c>
      <c r="B2900" s="2">
        <v>869</v>
      </c>
      <c r="C2900" s="4" t="str">
        <f>HYPERLINK("http://www.uniprot.org/uniprot/M5VVI5","M5VVI5")</f>
        <v>M5VVI5</v>
      </c>
      <c r="D2900" s="2" t="s">
        <v>2773</v>
      </c>
      <c r="E2900" s="3">
        <v>0</v>
      </c>
      <c r="F2900" s="2">
        <v>1328</v>
      </c>
      <c r="G2900" s="2">
        <v>100</v>
      </c>
      <c r="H2900" s="2">
        <v>246</v>
      </c>
      <c r="I2900" s="2">
        <v>2</v>
      </c>
      <c r="J2900" s="2">
        <v>739</v>
      </c>
      <c r="K2900" s="2">
        <v>1</v>
      </c>
      <c r="L2900" s="2">
        <v>246</v>
      </c>
    </row>
    <row r="2901" spans="1:12" x14ac:dyDescent="0.25">
      <c r="A2901" s="4" t="str">
        <f>HYPERLINK("http://www.rosaceae.org/Prunus/Prunus_persica/p.persica_gdr_reftransV1_0016464","p.persica_gdr_reftransV1_0016464")</f>
        <v>p.persica_gdr_reftransV1_0016464</v>
      </c>
      <c r="B2901" s="2">
        <v>2773</v>
      </c>
      <c r="C2901" s="4" t="str">
        <f>HYPERLINK("http://www.uniprot.org/uniprot/M5WPR0","M5WPR0")</f>
        <v>M5WPR0</v>
      </c>
      <c r="D2901" s="2" t="s">
        <v>2774</v>
      </c>
      <c r="E2901" s="3">
        <v>0</v>
      </c>
      <c r="F2901" s="2">
        <v>3207</v>
      </c>
      <c r="G2901" s="2">
        <v>100</v>
      </c>
      <c r="H2901" s="2">
        <v>634</v>
      </c>
      <c r="I2901" s="2">
        <v>525</v>
      </c>
      <c r="J2901" s="2">
        <v>2426</v>
      </c>
      <c r="K2901" s="2">
        <v>1</v>
      </c>
      <c r="L2901" s="2">
        <v>634</v>
      </c>
    </row>
    <row r="2902" spans="1:12" x14ac:dyDescent="0.25">
      <c r="A2902" s="4" t="str">
        <f>HYPERLINK("http://www.rosaceae.org/Prunus/Prunus_persica/p.persica_gdr_reftransV1_0016814","p.persica_gdr_reftransV1_0016814")</f>
        <v>p.persica_gdr_reftransV1_0016814</v>
      </c>
      <c r="B2902" s="2">
        <v>1189</v>
      </c>
      <c r="C2902" s="4" t="str">
        <f>HYPERLINK("http://www.uniprot.org/uniprot/M5X0R4","M5X0R4")</f>
        <v>M5X0R4</v>
      </c>
      <c r="D2902" s="2" t="s">
        <v>2775</v>
      </c>
      <c r="E2902" s="3">
        <v>1.22E-143</v>
      </c>
      <c r="F2902" s="2">
        <v>1079</v>
      </c>
      <c r="G2902" s="2">
        <v>100</v>
      </c>
      <c r="H2902" s="2">
        <v>239</v>
      </c>
      <c r="I2902" s="2">
        <v>156</v>
      </c>
      <c r="J2902" s="2">
        <v>872</v>
      </c>
      <c r="K2902" s="2">
        <v>1</v>
      </c>
      <c r="L2902" s="2">
        <v>239</v>
      </c>
    </row>
    <row r="2903" spans="1:12" x14ac:dyDescent="0.25">
      <c r="A2903" s="4" t="str">
        <f>HYPERLINK("http://www.rosaceae.org/Prunus/Prunus_persica/p.persica_gdr_reftransV1_0017164","p.persica_gdr_reftransV1_0017164")</f>
        <v>p.persica_gdr_reftransV1_0017164</v>
      </c>
      <c r="B2903" s="2">
        <v>3622</v>
      </c>
      <c r="C2903" s="4" t="str">
        <f>HYPERLINK("http://www.uniprot.org/uniprot/M5VJE4","M5VJE4")</f>
        <v>M5VJE4</v>
      </c>
      <c r="D2903" s="2" t="s">
        <v>2776</v>
      </c>
      <c r="E2903" s="3">
        <v>0</v>
      </c>
      <c r="F2903" s="2">
        <v>2731</v>
      </c>
      <c r="G2903" s="2">
        <v>100</v>
      </c>
      <c r="H2903" s="2">
        <v>652</v>
      </c>
      <c r="I2903" s="2">
        <v>1519</v>
      </c>
      <c r="J2903" s="2">
        <v>3474</v>
      </c>
      <c r="K2903" s="2">
        <v>1</v>
      </c>
      <c r="L2903" s="2">
        <v>652</v>
      </c>
    </row>
    <row r="2904" spans="1:12" x14ac:dyDescent="0.25">
      <c r="A2904" s="4" t="str">
        <f>HYPERLINK("http://www.rosaceae.org/Prunus/Prunus_persica/p.persica_gdr_reftransV1_0017864","p.persica_gdr_reftransV1_0017864")</f>
        <v>p.persica_gdr_reftransV1_0017864</v>
      </c>
      <c r="B2904" s="2">
        <v>2629</v>
      </c>
      <c r="C2904" s="4" t="str">
        <f>HYPERLINK("http://www.uniprot.org/uniprot/M5VH61","M5VH61")</f>
        <v>M5VH61</v>
      </c>
      <c r="D2904" s="2" t="s">
        <v>2777</v>
      </c>
      <c r="E2904" s="3">
        <v>0</v>
      </c>
      <c r="F2904" s="2">
        <v>3516</v>
      </c>
      <c r="G2904" s="2">
        <v>90</v>
      </c>
      <c r="H2904" s="2">
        <v>779</v>
      </c>
      <c r="I2904" s="2">
        <v>292</v>
      </c>
      <c r="J2904" s="2">
        <v>2628</v>
      </c>
      <c r="K2904" s="2">
        <v>116</v>
      </c>
      <c r="L2904" s="2">
        <v>831</v>
      </c>
    </row>
    <row r="2905" spans="1:12" x14ac:dyDescent="0.25">
      <c r="A2905" s="4" t="str">
        <f>HYPERLINK("http://www.rosaceae.org/Prunus/Prunus_persica/p.persica_gdr_reftransV1_0018214","p.persica_gdr_reftransV1_0018214")</f>
        <v>p.persica_gdr_reftransV1_0018214</v>
      </c>
      <c r="B2905" s="2">
        <v>1096</v>
      </c>
      <c r="C2905" s="4" t="str">
        <f>HYPERLINK("http://www.uniprot.org/uniprot/M5W4Z5","M5W4Z5")</f>
        <v>M5W4Z5</v>
      </c>
      <c r="D2905" s="2" t="s">
        <v>2778</v>
      </c>
      <c r="E2905" s="3">
        <v>4.3200000000000005E-137</v>
      </c>
      <c r="F2905" s="2">
        <v>1068</v>
      </c>
      <c r="G2905" s="2">
        <v>99</v>
      </c>
      <c r="H2905" s="2">
        <v>256</v>
      </c>
      <c r="I2905" s="2">
        <v>123</v>
      </c>
      <c r="J2905" s="2">
        <v>890</v>
      </c>
      <c r="K2905" s="2">
        <v>346</v>
      </c>
      <c r="L2905" s="2">
        <v>601</v>
      </c>
    </row>
    <row r="2906" spans="1:12" x14ac:dyDescent="0.25">
      <c r="A2906" s="4" t="str">
        <f>HYPERLINK("http://www.rosaceae.org/Prunus/Prunus_persica/p.persica_gdr_reftransV1_0018914","p.persica_gdr_reftransV1_0018914")</f>
        <v>p.persica_gdr_reftransV1_0018914</v>
      </c>
      <c r="B2906" s="2">
        <v>378</v>
      </c>
      <c r="C2906" s="4" t="str">
        <f>HYPERLINK("http://www.uniprot.org/uniprot/M5W0K3","M5W0K3")</f>
        <v>M5W0K3</v>
      </c>
      <c r="D2906" s="2" t="s">
        <v>2779</v>
      </c>
      <c r="E2906" s="3">
        <v>5.5099999999999999E-80</v>
      </c>
      <c r="F2906" s="2">
        <v>633</v>
      </c>
      <c r="G2906" s="2">
        <v>100</v>
      </c>
      <c r="H2906" s="2">
        <v>126</v>
      </c>
      <c r="I2906" s="2">
        <v>1</v>
      </c>
      <c r="J2906" s="2">
        <v>378</v>
      </c>
      <c r="K2906" s="2">
        <v>67</v>
      </c>
      <c r="L2906" s="2">
        <v>192</v>
      </c>
    </row>
    <row r="2907" spans="1:12" x14ac:dyDescent="0.25">
      <c r="A2907" s="4" t="str">
        <f>HYPERLINK("http://www.rosaceae.org/Prunus/Prunus_persica/p.persica_gdr_reftransV1_0019614","p.persica_gdr_reftransV1_0019614")</f>
        <v>p.persica_gdr_reftransV1_0019614</v>
      </c>
      <c r="B2907" s="2">
        <v>1794</v>
      </c>
      <c r="C2907" s="4" t="str">
        <f>HYPERLINK("http://www.uniprot.org/uniprot/M5W4N4","M5W4N4")</f>
        <v>M5W4N4</v>
      </c>
      <c r="D2907" s="2" t="s">
        <v>2780</v>
      </c>
      <c r="E2907" s="3">
        <v>0</v>
      </c>
      <c r="F2907" s="2">
        <v>1526</v>
      </c>
      <c r="G2907" s="2">
        <v>100</v>
      </c>
      <c r="H2907" s="2">
        <v>285</v>
      </c>
      <c r="I2907" s="2">
        <v>573</v>
      </c>
      <c r="J2907" s="2">
        <v>1427</v>
      </c>
      <c r="K2907" s="2">
        <v>1</v>
      </c>
      <c r="L2907" s="2">
        <v>285</v>
      </c>
    </row>
    <row r="2908" spans="1:12" x14ac:dyDescent="0.25">
      <c r="A2908" s="4" t="str">
        <f>HYPERLINK("http://www.rosaceae.org/Prunus/Prunus_persica/p.persica_gdr_reftransV1_0020314","p.persica_gdr_reftransV1_0020314")</f>
        <v>p.persica_gdr_reftransV1_0020314</v>
      </c>
      <c r="B2908" s="2">
        <v>510</v>
      </c>
      <c r="C2908" s="4" t="str">
        <f>HYPERLINK("http://www.uniprot.org/uniprot/A0A087PQ99","A0A087PQ99")</f>
        <v>A0A087PQ99</v>
      </c>
      <c r="D2908" s="2" t="s">
        <v>2781</v>
      </c>
      <c r="E2908" s="3">
        <v>7.2800000000000002E-40</v>
      </c>
      <c r="F2908" s="2">
        <v>336</v>
      </c>
      <c r="G2908" s="2">
        <v>53</v>
      </c>
      <c r="H2908" s="2">
        <v>128</v>
      </c>
      <c r="I2908" s="2">
        <v>126</v>
      </c>
      <c r="J2908" s="2">
        <v>509</v>
      </c>
      <c r="K2908" s="2">
        <v>720</v>
      </c>
      <c r="L2908" s="2">
        <v>847</v>
      </c>
    </row>
    <row r="2909" spans="1:12" x14ac:dyDescent="0.25">
      <c r="A2909" s="4" t="str">
        <f>HYPERLINK("http://www.rosaceae.org/Prunus/Prunus_persica/p.persica_gdr_reftransV1_0021014","p.persica_gdr_reftransV1_0021014")</f>
        <v>p.persica_gdr_reftransV1_0021014</v>
      </c>
      <c r="B2909" s="2">
        <v>1271</v>
      </c>
      <c r="C2909" s="4" t="str">
        <f>HYPERLINK("http://www.uniprot.org/uniprot/M5XGR5","M5XGR5")</f>
        <v>M5XGR5</v>
      </c>
      <c r="D2909" s="2" t="s">
        <v>2782</v>
      </c>
      <c r="E2909" s="3">
        <v>1.3200000000000001E-159</v>
      </c>
      <c r="F2909" s="2">
        <v>1186</v>
      </c>
      <c r="G2909" s="2">
        <v>100</v>
      </c>
      <c r="H2909" s="2">
        <v>223</v>
      </c>
      <c r="I2909" s="2">
        <v>380</v>
      </c>
      <c r="J2909" s="2">
        <v>1048</v>
      </c>
      <c r="K2909" s="2">
        <v>1</v>
      </c>
      <c r="L2909" s="2">
        <v>223</v>
      </c>
    </row>
    <row r="2910" spans="1:12" x14ac:dyDescent="0.25">
      <c r="A2910" s="4" t="str">
        <f>HYPERLINK("http://www.rosaceae.org/Prunus/Prunus_persica/p.persica_gdr_reftransV1_0021364","p.persica_gdr_reftransV1_0021364")</f>
        <v>p.persica_gdr_reftransV1_0021364</v>
      </c>
      <c r="B2910" s="2">
        <v>2736</v>
      </c>
      <c r="C2910" s="4" t="str">
        <f>HYPERLINK("http://www.uniprot.org/uniprot/M5VME3","M5VME3")</f>
        <v>M5VME3</v>
      </c>
      <c r="D2910" s="2" t="s">
        <v>2783</v>
      </c>
      <c r="E2910" s="3">
        <v>0</v>
      </c>
      <c r="F2910" s="2">
        <v>2964</v>
      </c>
      <c r="G2910" s="2">
        <v>100</v>
      </c>
      <c r="H2910" s="2">
        <v>572</v>
      </c>
      <c r="I2910" s="2">
        <v>826</v>
      </c>
      <c r="J2910" s="2">
        <v>2541</v>
      </c>
      <c r="K2910" s="2">
        <v>1</v>
      </c>
      <c r="L2910" s="2">
        <v>572</v>
      </c>
    </row>
    <row r="2911" spans="1:12" x14ac:dyDescent="0.25">
      <c r="A2911" s="4" t="str">
        <f>HYPERLINK("http://www.rosaceae.org/Prunus/Prunus_persica/p.persica_gdr_reftransV1_0022414","p.persica_gdr_reftransV1_0022414")</f>
        <v>p.persica_gdr_reftransV1_0022414</v>
      </c>
      <c r="B2911" s="2">
        <v>2325</v>
      </c>
      <c r="C2911" s="4" t="str">
        <f>HYPERLINK("http://www.uniprot.org/uniprot/M5X8Q3","M5X8Q3")</f>
        <v>M5X8Q3</v>
      </c>
      <c r="D2911" s="2" t="s">
        <v>2784</v>
      </c>
      <c r="E2911" s="3">
        <v>0</v>
      </c>
      <c r="F2911" s="2">
        <v>1813</v>
      </c>
      <c r="G2911" s="2">
        <v>100</v>
      </c>
      <c r="H2911" s="2">
        <v>361</v>
      </c>
      <c r="I2911" s="2">
        <v>160</v>
      </c>
      <c r="J2911" s="2">
        <v>1242</v>
      </c>
      <c r="K2911" s="2">
        <v>8</v>
      </c>
      <c r="L2911" s="2">
        <v>368</v>
      </c>
    </row>
    <row r="2912" spans="1:12" x14ac:dyDescent="0.25">
      <c r="A2912" s="4" t="str">
        <f>HYPERLINK("http://www.rosaceae.org/Prunus/Prunus_persica/p.persica_gdr_reftransV1_0022764","p.persica_gdr_reftransV1_0022764")</f>
        <v>p.persica_gdr_reftransV1_0022764</v>
      </c>
      <c r="B2912" s="2">
        <v>1323</v>
      </c>
      <c r="C2912" s="4" t="str">
        <f>HYPERLINK("http://www.uniprot.org/uniprot/M5XYQ5","M5XYQ5")</f>
        <v>M5XYQ5</v>
      </c>
      <c r="D2912" s="2" t="s">
        <v>2785</v>
      </c>
      <c r="E2912" s="3">
        <v>2.3799999999999999E-138</v>
      </c>
      <c r="F2912" s="2">
        <v>1047</v>
      </c>
      <c r="G2912" s="2">
        <v>100</v>
      </c>
      <c r="H2912" s="2">
        <v>219</v>
      </c>
      <c r="I2912" s="2">
        <v>228</v>
      </c>
      <c r="J2912" s="2">
        <v>884</v>
      </c>
      <c r="K2912" s="2">
        <v>1</v>
      </c>
      <c r="L2912" s="2">
        <v>219</v>
      </c>
    </row>
    <row r="2913" spans="1:12" x14ac:dyDescent="0.25">
      <c r="A2913" s="4" t="str">
        <f>HYPERLINK("http://www.rosaceae.org/Prunus/Prunus_persica/p.persica_gdr_reftransV1_0024164","p.persica_gdr_reftransV1_0024164")</f>
        <v>p.persica_gdr_reftransV1_0024164</v>
      </c>
      <c r="B2913" s="2">
        <v>3179</v>
      </c>
      <c r="C2913" s="4" t="str">
        <f>HYPERLINK("http://www.uniprot.org/uniprot/M5WE18","M5WE18")</f>
        <v>M5WE18</v>
      </c>
      <c r="D2913" s="2" t="s">
        <v>2786</v>
      </c>
      <c r="E2913" s="3">
        <v>0</v>
      </c>
      <c r="F2913" s="2">
        <v>3227</v>
      </c>
      <c r="G2913" s="2">
        <v>99</v>
      </c>
      <c r="H2913" s="2">
        <v>624</v>
      </c>
      <c r="I2913" s="2">
        <v>1068</v>
      </c>
      <c r="J2913" s="2">
        <v>2939</v>
      </c>
      <c r="K2913" s="2">
        <v>283</v>
      </c>
      <c r="L2913" s="2">
        <v>906</v>
      </c>
    </row>
    <row r="2914" spans="1:12" x14ac:dyDescent="0.25">
      <c r="A2914" s="4" t="str">
        <f>HYPERLINK("http://www.rosaceae.org/Prunus/Prunus_persica/p.persica_gdr_reftransV1_0025214","p.persica_gdr_reftransV1_0025214")</f>
        <v>p.persica_gdr_reftransV1_0025214</v>
      </c>
      <c r="B2914" s="2">
        <v>981</v>
      </c>
      <c r="C2914" s="4" t="str">
        <f>HYPERLINK("http://www.uniprot.org/uniprot/M5XLI0","M5XLI0")</f>
        <v>M5XLI0</v>
      </c>
      <c r="D2914" s="2" t="s">
        <v>2787</v>
      </c>
      <c r="E2914" s="3">
        <v>2.8300000000000001E-145</v>
      </c>
      <c r="F2914" s="2">
        <v>1085</v>
      </c>
      <c r="G2914" s="2">
        <v>85</v>
      </c>
      <c r="H2914" s="2">
        <v>259</v>
      </c>
      <c r="I2914" s="2">
        <v>220</v>
      </c>
      <c r="J2914" s="2">
        <v>939</v>
      </c>
      <c r="K2914" s="2">
        <v>4</v>
      </c>
      <c r="L2914" s="2">
        <v>256</v>
      </c>
    </row>
    <row r="2915" spans="1:12" x14ac:dyDescent="0.25">
      <c r="A2915" s="4" t="str">
        <f>HYPERLINK("http://www.rosaceae.org/Prunus/Prunus_persica/p.persica_gdr_reftransV1_0025564","p.persica_gdr_reftransV1_0025564")</f>
        <v>p.persica_gdr_reftransV1_0025564</v>
      </c>
      <c r="B2915" s="2">
        <v>723</v>
      </c>
      <c r="C2915" s="4" t="str">
        <f>HYPERLINK("http://www.uniprot.org/uniprot/A0A0F6PYE7","A0A0F6PYE7")</f>
        <v>A0A0F6PYE7</v>
      </c>
      <c r="D2915" s="2" t="s">
        <v>2788</v>
      </c>
      <c r="E2915" s="3">
        <v>1.67E-122</v>
      </c>
      <c r="F2915" s="2">
        <v>1001</v>
      </c>
      <c r="G2915" s="2">
        <v>98</v>
      </c>
      <c r="H2915" s="2">
        <v>193</v>
      </c>
      <c r="I2915" s="2">
        <v>145</v>
      </c>
      <c r="J2915" s="2">
        <v>723</v>
      </c>
      <c r="K2915" s="2">
        <v>548</v>
      </c>
      <c r="L2915" s="2">
        <v>740</v>
      </c>
    </row>
    <row r="2916" spans="1:12" x14ac:dyDescent="0.25">
      <c r="A2916" s="4" t="str">
        <f>HYPERLINK("http://www.rosaceae.org/Prunus/Prunus_persica/p.persica_gdr_reftransV1_0025914","p.persica_gdr_reftransV1_0025914")</f>
        <v>p.persica_gdr_reftransV1_0025914</v>
      </c>
      <c r="B2916" s="2">
        <v>3115</v>
      </c>
      <c r="C2916" s="4" t="str">
        <f>HYPERLINK("http://www.uniprot.org/uniprot/B9H5G4","B9H5G4")</f>
        <v>B9H5G4</v>
      </c>
      <c r="D2916" s="2" t="s">
        <v>2789</v>
      </c>
      <c r="E2916" s="3">
        <v>0</v>
      </c>
      <c r="F2916" s="2">
        <v>2089</v>
      </c>
      <c r="G2916" s="2">
        <v>81</v>
      </c>
      <c r="H2916" s="2">
        <v>486</v>
      </c>
      <c r="I2916" s="2">
        <v>936</v>
      </c>
      <c r="J2916" s="2">
        <v>2393</v>
      </c>
      <c r="K2916" s="2">
        <v>79</v>
      </c>
      <c r="L2916" s="2">
        <v>561</v>
      </c>
    </row>
    <row r="2917" spans="1:12" x14ac:dyDescent="0.25">
      <c r="A2917" s="4" t="str">
        <f>HYPERLINK("http://www.rosaceae.org/Prunus/Prunus_persica/p.persica_gdr_reftransV1_0026964","p.persica_gdr_reftransV1_0026964")</f>
        <v>p.persica_gdr_reftransV1_0026964</v>
      </c>
      <c r="B2917" s="2">
        <v>3606</v>
      </c>
      <c r="C2917" s="4" t="str">
        <f>HYPERLINK("http://www.uniprot.org/uniprot/M5X174","M5X174")</f>
        <v>M5X174</v>
      </c>
      <c r="D2917" s="2" t="s">
        <v>2790</v>
      </c>
      <c r="E2917" s="3">
        <v>0</v>
      </c>
      <c r="F2917" s="2">
        <v>2267</v>
      </c>
      <c r="G2917" s="2">
        <v>93</v>
      </c>
      <c r="H2917" s="2">
        <v>452</v>
      </c>
      <c r="I2917" s="2">
        <v>1987</v>
      </c>
      <c r="J2917" s="2">
        <v>3342</v>
      </c>
      <c r="K2917" s="2">
        <v>6</v>
      </c>
      <c r="L2917" s="2">
        <v>457</v>
      </c>
    </row>
    <row r="2918" spans="1:12" x14ac:dyDescent="0.25">
      <c r="A2918" s="4" t="str">
        <f>HYPERLINK("http://www.rosaceae.org/Prunus/Prunus_persica/p.persica_gdr_reftransV1_0028364","p.persica_gdr_reftransV1_0028364")</f>
        <v>p.persica_gdr_reftransV1_0028364</v>
      </c>
      <c r="B2918" s="2">
        <v>2938</v>
      </c>
      <c r="C2918" s="4" t="str">
        <f>HYPERLINK("http://www.uniprot.org/uniprot/M5WGF6","M5WGF6")</f>
        <v>M5WGF6</v>
      </c>
      <c r="D2918" s="2" t="s">
        <v>2791</v>
      </c>
      <c r="E2918" s="3">
        <v>8.6399999999999998E-87</v>
      </c>
      <c r="F2918" s="2">
        <v>747</v>
      </c>
      <c r="G2918" s="2">
        <v>100</v>
      </c>
      <c r="H2918" s="2">
        <v>155</v>
      </c>
      <c r="I2918" s="2">
        <v>1928</v>
      </c>
      <c r="J2918" s="2">
        <v>2392</v>
      </c>
      <c r="K2918" s="2">
        <v>151</v>
      </c>
      <c r="L2918" s="2">
        <v>305</v>
      </c>
    </row>
    <row r="2919" spans="1:12" x14ac:dyDescent="0.25">
      <c r="A2919" s="4" t="str">
        <f>HYPERLINK("http://www.rosaceae.org/Prunus/Prunus_persica/p.persica_gdr_reftransV1_0029414","p.persica_gdr_reftransV1_0029414")</f>
        <v>p.persica_gdr_reftransV1_0029414</v>
      </c>
      <c r="B2919" s="2">
        <v>3374</v>
      </c>
      <c r="C2919" s="4" t="str">
        <f>HYPERLINK("http://www.uniprot.org/uniprot/L7YG92","L7YG92")</f>
        <v>L7YG92</v>
      </c>
      <c r="D2919" s="2" t="s">
        <v>2792</v>
      </c>
      <c r="E2919" s="3">
        <v>0</v>
      </c>
      <c r="F2919" s="2">
        <v>3178</v>
      </c>
      <c r="G2919" s="2">
        <v>78</v>
      </c>
      <c r="H2919" s="2">
        <v>881</v>
      </c>
      <c r="I2919" s="2">
        <v>543</v>
      </c>
      <c r="J2919" s="2">
        <v>3185</v>
      </c>
      <c r="K2919" s="2">
        <v>1</v>
      </c>
      <c r="L2919" s="2">
        <v>877</v>
      </c>
    </row>
    <row r="2920" spans="1:12" x14ac:dyDescent="0.25">
      <c r="A2920" s="4" t="str">
        <f>HYPERLINK("http://www.rosaceae.org/Prunus/Prunus_persica/p.persica_gdr_reftransV1_0030814","p.persica_gdr_reftransV1_0030814")</f>
        <v>p.persica_gdr_reftransV1_0030814</v>
      </c>
      <c r="B2920" s="2">
        <v>621</v>
      </c>
      <c r="C2920" s="4" t="str">
        <f>HYPERLINK("http://www.uniprot.org/uniprot/M5VKF8","M5VKF8")</f>
        <v>M5VKF8</v>
      </c>
      <c r="D2920" s="2" t="s">
        <v>2793</v>
      </c>
      <c r="E2920" s="3">
        <v>1.1399999999999999E-65</v>
      </c>
      <c r="F2920" s="2">
        <v>533</v>
      </c>
      <c r="G2920" s="2">
        <v>99</v>
      </c>
      <c r="H2920" s="2">
        <v>119</v>
      </c>
      <c r="I2920" s="2">
        <v>11</v>
      </c>
      <c r="J2920" s="2">
        <v>367</v>
      </c>
      <c r="K2920" s="2">
        <v>1</v>
      </c>
      <c r="L2920" s="2">
        <v>119</v>
      </c>
    </row>
    <row r="2921" spans="1:12" x14ac:dyDescent="0.25">
      <c r="A2921" s="4" t="str">
        <f>HYPERLINK("http://www.rosaceae.org/Prunus/Prunus_persica/p.persica_gdr_reftransV1_0031514","p.persica_gdr_reftransV1_0031514")</f>
        <v>p.persica_gdr_reftransV1_0031514</v>
      </c>
      <c r="B2921" s="2">
        <v>807</v>
      </c>
      <c r="C2921" s="4" t="str">
        <f>HYPERLINK("http://www.uniprot.org/uniprot/M5X431","M5X431")</f>
        <v>M5X431</v>
      </c>
      <c r="D2921" s="2" t="s">
        <v>2794</v>
      </c>
      <c r="E2921" s="3">
        <v>1.19E-76</v>
      </c>
      <c r="F2921" s="2">
        <v>613</v>
      </c>
      <c r="G2921" s="2">
        <v>100</v>
      </c>
      <c r="H2921" s="2">
        <v>124</v>
      </c>
      <c r="I2921" s="2">
        <v>83</v>
      </c>
      <c r="J2921" s="2">
        <v>454</v>
      </c>
      <c r="K2921" s="2">
        <v>7</v>
      </c>
      <c r="L2921" s="2">
        <v>130</v>
      </c>
    </row>
    <row r="2922" spans="1:12" x14ac:dyDescent="0.25">
      <c r="A2922" s="4" t="str">
        <f>HYPERLINK("http://www.rosaceae.org/Prunus/Prunus_persica/p.persica_gdr_reftransV1_0031864","p.persica_gdr_reftransV1_0031864")</f>
        <v>p.persica_gdr_reftransV1_0031864</v>
      </c>
      <c r="B2922" s="2">
        <v>919</v>
      </c>
      <c r="C2922" s="4" t="str">
        <f>HYPERLINK("http://www.uniprot.org/uniprot/M5X2Y9","M5X2Y9")</f>
        <v>M5X2Y9</v>
      </c>
      <c r="D2922" s="2" t="s">
        <v>2795</v>
      </c>
      <c r="E2922" s="3">
        <v>1.27E-77</v>
      </c>
      <c r="F2922" s="2">
        <v>624</v>
      </c>
      <c r="G2922" s="2">
        <v>100</v>
      </c>
      <c r="H2922" s="2">
        <v>119</v>
      </c>
      <c r="I2922" s="2">
        <v>362</v>
      </c>
      <c r="J2922" s="2">
        <v>718</v>
      </c>
      <c r="K2922" s="2">
        <v>21</v>
      </c>
      <c r="L2922" s="2">
        <v>139</v>
      </c>
    </row>
    <row r="2923" spans="1:12" x14ac:dyDescent="0.25">
      <c r="A2923" s="4" t="str">
        <f>HYPERLINK("http://www.rosaceae.org/Prunus/Prunus_persica/p.persica_gdr_reftransV1_0032914","p.persica_gdr_reftransV1_0032914")</f>
        <v>p.persica_gdr_reftransV1_0032914</v>
      </c>
      <c r="B2923" s="2">
        <v>2997</v>
      </c>
      <c r="C2923" s="4" t="str">
        <f>HYPERLINK("http://www.uniprot.org/uniprot/M5WTQ6","M5WTQ6")</f>
        <v>M5WTQ6</v>
      </c>
      <c r="D2923" s="2" t="s">
        <v>2796</v>
      </c>
      <c r="E2923" s="3">
        <v>1.26E-121</v>
      </c>
      <c r="F2923" s="2">
        <v>977</v>
      </c>
      <c r="G2923" s="2">
        <v>86</v>
      </c>
      <c r="H2923" s="2">
        <v>223</v>
      </c>
      <c r="I2923" s="2">
        <v>824</v>
      </c>
      <c r="J2923" s="2">
        <v>1492</v>
      </c>
      <c r="K2923" s="2">
        <v>1</v>
      </c>
      <c r="L2923" s="2">
        <v>194</v>
      </c>
    </row>
    <row r="2924" spans="1:12" x14ac:dyDescent="0.25">
      <c r="A2924" s="4" t="str">
        <f>HYPERLINK("http://www.rosaceae.org/Prunus/Prunus_persica/p.persica_gdr_reftransV1_0033264","p.persica_gdr_reftransV1_0033264")</f>
        <v>p.persica_gdr_reftransV1_0033264</v>
      </c>
      <c r="B2924" s="2">
        <v>2266</v>
      </c>
      <c r="C2924" s="4" t="str">
        <f>HYPERLINK("http://www.uniprot.org/uniprot/Q8H6U4","Q8H6U4")</f>
        <v>Q8H6U4</v>
      </c>
      <c r="D2924" s="2" t="s">
        <v>2797</v>
      </c>
      <c r="E2924" s="3">
        <v>0</v>
      </c>
      <c r="F2924" s="2">
        <v>2734</v>
      </c>
      <c r="G2924" s="2">
        <v>100</v>
      </c>
      <c r="H2924" s="2">
        <v>545</v>
      </c>
      <c r="I2924" s="2">
        <v>249</v>
      </c>
      <c r="J2924" s="2">
        <v>1883</v>
      </c>
      <c r="K2924" s="2">
        <v>1</v>
      </c>
      <c r="L2924" s="2">
        <v>545</v>
      </c>
    </row>
    <row r="2925" spans="1:12" x14ac:dyDescent="0.25">
      <c r="A2925" s="4" t="str">
        <f>HYPERLINK("http://www.rosaceae.org/Prunus/Prunus_persica/p.persica_gdr_reftransV1_0033614","p.persica_gdr_reftransV1_0033614")</f>
        <v>p.persica_gdr_reftransV1_0033614</v>
      </c>
      <c r="B2925" s="2">
        <v>4266</v>
      </c>
      <c r="C2925" s="4" t="str">
        <f>HYPERLINK("http://www.uniprot.org/uniprot/M5VIR5","M5VIR5")</f>
        <v>M5VIR5</v>
      </c>
      <c r="D2925" s="2" t="s">
        <v>2798</v>
      </c>
      <c r="E2925" s="3">
        <v>0</v>
      </c>
      <c r="F2925" s="2">
        <v>2834</v>
      </c>
      <c r="G2925" s="2">
        <v>100</v>
      </c>
      <c r="H2925" s="2">
        <v>533</v>
      </c>
      <c r="I2925" s="2">
        <v>2452</v>
      </c>
      <c r="J2925" s="2">
        <v>4050</v>
      </c>
      <c r="K2925" s="2">
        <v>35</v>
      </c>
      <c r="L2925" s="2">
        <v>567</v>
      </c>
    </row>
    <row r="2926" spans="1:12" x14ac:dyDescent="0.25">
      <c r="A2926" s="4" t="str">
        <f>HYPERLINK("http://www.rosaceae.org/Prunus/Prunus_persica/p.persica_gdr_reftransV1_0034664","p.persica_gdr_reftransV1_0034664")</f>
        <v>p.persica_gdr_reftransV1_0034664</v>
      </c>
      <c r="B2926" s="2">
        <v>1277</v>
      </c>
      <c r="C2926" s="4" t="str">
        <f>HYPERLINK("http://www.uniprot.org/uniprot/A0A0D3CDH7","A0A0D3CDH7")</f>
        <v>A0A0D3CDH7</v>
      </c>
      <c r="D2926" s="2" t="s">
        <v>2799</v>
      </c>
      <c r="E2926" s="3">
        <v>1.3300000000000001E-126</v>
      </c>
      <c r="F2926" s="2">
        <v>968</v>
      </c>
      <c r="G2926" s="2">
        <v>84</v>
      </c>
      <c r="H2926" s="2">
        <v>209</v>
      </c>
      <c r="I2926" s="2">
        <v>441</v>
      </c>
      <c r="J2926" s="2">
        <v>1067</v>
      </c>
      <c r="K2926" s="2">
        <v>18</v>
      </c>
      <c r="L2926" s="2">
        <v>226</v>
      </c>
    </row>
    <row r="2927" spans="1:12" x14ac:dyDescent="0.25">
      <c r="A2927" s="4" t="str">
        <f>HYPERLINK("http://www.rosaceae.org/Prunus/Prunus_persica/p.persica_gdr_reftransV1_0041664","p.persica_gdr_reftransV1_0041664")</f>
        <v>p.persica_gdr_reftransV1_0041664</v>
      </c>
      <c r="B2927" s="2">
        <v>3357</v>
      </c>
      <c r="C2927" s="4" t="str">
        <f>HYPERLINK("http://www.uniprot.org/uniprot/M5WVN1","M5WVN1")</f>
        <v>M5WVN1</v>
      </c>
      <c r="D2927" s="2" t="s">
        <v>2800</v>
      </c>
      <c r="E2927" s="3">
        <v>0</v>
      </c>
      <c r="F2927" s="2">
        <v>3099</v>
      </c>
      <c r="G2927" s="2">
        <v>81</v>
      </c>
      <c r="H2927" s="2">
        <v>742</v>
      </c>
      <c r="I2927" s="2">
        <v>56</v>
      </c>
      <c r="J2927" s="2">
        <v>2281</v>
      </c>
      <c r="K2927" s="2">
        <v>62</v>
      </c>
      <c r="L2927" s="2">
        <v>758</v>
      </c>
    </row>
    <row r="2928" spans="1:12" x14ac:dyDescent="0.25">
      <c r="A2928" s="4" t="str">
        <f>HYPERLINK("http://www.rosaceae.org/Prunus/Prunus_persica/p.persica_gdr_reftransV1_0042014","p.persica_gdr_reftransV1_0042014")</f>
        <v>p.persica_gdr_reftransV1_0042014</v>
      </c>
      <c r="B2928" s="2">
        <v>1302</v>
      </c>
      <c r="C2928" s="4" t="str">
        <f>HYPERLINK("http://www.uniprot.org/uniprot/M5X7B2","M5X7B2")</f>
        <v>M5X7B2</v>
      </c>
      <c r="D2928" s="2" t="s">
        <v>2801</v>
      </c>
      <c r="E2928" s="3">
        <v>6.2299999999999996E-111</v>
      </c>
      <c r="F2928" s="2">
        <v>864</v>
      </c>
      <c r="G2928" s="2">
        <v>100</v>
      </c>
      <c r="H2928" s="2">
        <v>202</v>
      </c>
      <c r="I2928" s="2">
        <v>272</v>
      </c>
      <c r="J2928" s="2">
        <v>877</v>
      </c>
      <c r="K2928" s="2">
        <v>1</v>
      </c>
      <c r="L2928" s="2">
        <v>202</v>
      </c>
    </row>
    <row r="2929" spans="1:12" x14ac:dyDescent="0.25">
      <c r="A2929" s="4" t="str">
        <f>HYPERLINK("http://www.rosaceae.org/Prunus/Prunus_persica/p.persica_gdr_reftransV1_0042364","p.persica_gdr_reftransV1_0042364")</f>
        <v>p.persica_gdr_reftransV1_0042364</v>
      </c>
      <c r="B2929" s="2">
        <v>2537</v>
      </c>
      <c r="C2929" s="4" t="str">
        <f>HYPERLINK("http://www.uniprot.org/uniprot/M5WH63","M5WH63")</f>
        <v>M5WH63</v>
      </c>
      <c r="D2929" s="2" t="s">
        <v>2802</v>
      </c>
      <c r="E2929" s="3">
        <v>0</v>
      </c>
      <c r="F2929" s="2">
        <v>1658</v>
      </c>
      <c r="G2929" s="2">
        <v>100</v>
      </c>
      <c r="H2929" s="2">
        <v>312</v>
      </c>
      <c r="I2929" s="2">
        <v>1572</v>
      </c>
      <c r="J2929" s="2">
        <v>2507</v>
      </c>
      <c r="K2929" s="2">
        <v>8</v>
      </c>
      <c r="L2929" s="2">
        <v>319</v>
      </c>
    </row>
    <row r="2930" spans="1:12" x14ac:dyDescent="0.25">
      <c r="A2930" s="4" t="str">
        <f>HYPERLINK("http://www.rosaceae.org/Prunus/Prunus_persica/p.persica_gdr_reftransV1_0043064","p.persica_gdr_reftransV1_0043064")</f>
        <v>p.persica_gdr_reftransV1_0043064</v>
      </c>
      <c r="B2930" s="2">
        <v>1599</v>
      </c>
      <c r="C2930" s="4" t="str">
        <f>HYPERLINK("http://www.uniprot.org/uniprot/M5VS01","M5VS01")</f>
        <v>M5VS01</v>
      </c>
      <c r="D2930" s="2" t="s">
        <v>2803</v>
      </c>
      <c r="E2930" s="3">
        <v>0</v>
      </c>
      <c r="F2930" s="2">
        <v>1898</v>
      </c>
      <c r="G2930" s="2">
        <v>100</v>
      </c>
      <c r="H2930" s="2">
        <v>350</v>
      </c>
      <c r="I2930" s="2">
        <v>208</v>
      </c>
      <c r="J2930" s="2">
        <v>1257</v>
      </c>
      <c r="K2930" s="2">
        <v>342</v>
      </c>
      <c r="L2930" s="2">
        <v>691</v>
      </c>
    </row>
    <row r="2931" spans="1:12" x14ac:dyDescent="0.25">
      <c r="A2931" s="4" t="str">
        <f>HYPERLINK("http://www.rosaceae.org/Prunus/Prunus_persica/p.persica_gdr_reftransV1_0043414","p.persica_gdr_reftransV1_0043414")</f>
        <v>p.persica_gdr_reftransV1_0043414</v>
      </c>
      <c r="B2931" s="2">
        <v>1072</v>
      </c>
      <c r="C2931" s="4" t="str">
        <f>HYPERLINK("http://www.uniprot.org/uniprot/M5W710","M5W710")</f>
        <v>M5W710</v>
      </c>
      <c r="D2931" s="2" t="s">
        <v>2804</v>
      </c>
      <c r="E2931" s="3">
        <v>1.5900000000000001E-113</v>
      </c>
      <c r="F2931" s="2">
        <v>870</v>
      </c>
      <c r="G2931" s="2">
        <v>99</v>
      </c>
      <c r="H2931" s="2">
        <v>176</v>
      </c>
      <c r="I2931" s="2">
        <v>206</v>
      </c>
      <c r="J2931" s="2">
        <v>733</v>
      </c>
      <c r="K2931" s="2">
        <v>1</v>
      </c>
      <c r="L2931" s="2">
        <v>175</v>
      </c>
    </row>
    <row r="2932" spans="1:12" x14ac:dyDescent="0.25">
      <c r="A2932" s="4" t="str">
        <f>HYPERLINK("http://www.rosaceae.org/Prunus/Prunus_persica/p.persica_gdr_reftransV1_0043764","p.persica_gdr_reftransV1_0043764")</f>
        <v>p.persica_gdr_reftransV1_0043764</v>
      </c>
      <c r="B2932" s="2">
        <v>1582</v>
      </c>
      <c r="C2932" s="4" t="str">
        <f>HYPERLINK("http://www.uniprot.org/uniprot/M5WB27","M5WB27")</f>
        <v>M5WB27</v>
      </c>
      <c r="D2932" s="2" t="s">
        <v>2805</v>
      </c>
      <c r="E2932" s="3">
        <v>0</v>
      </c>
      <c r="F2932" s="2">
        <v>1631</v>
      </c>
      <c r="G2932" s="2">
        <v>99</v>
      </c>
      <c r="H2932" s="2">
        <v>353</v>
      </c>
      <c r="I2932" s="2">
        <v>105</v>
      </c>
      <c r="J2932" s="2">
        <v>1163</v>
      </c>
      <c r="K2932" s="2">
        <v>1</v>
      </c>
      <c r="L2932" s="2">
        <v>353</v>
      </c>
    </row>
    <row r="2933" spans="1:12" x14ac:dyDescent="0.25">
      <c r="A2933" s="4" t="str">
        <f>HYPERLINK("http://www.rosaceae.org/Prunus/Prunus_persica/p.persica_gdr_reftransV1_0044114","p.persica_gdr_reftransV1_0044114")</f>
        <v>p.persica_gdr_reftransV1_0044114</v>
      </c>
      <c r="B2933" s="2">
        <v>1932</v>
      </c>
      <c r="C2933" s="4" t="str">
        <f>HYPERLINK("http://www.uniprot.org/uniprot/M5XY08","M5XY08")</f>
        <v>M5XY08</v>
      </c>
      <c r="D2933" s="2" t="s">
        <v>2806</v>
      </c>
      <c r="E2933" s="3">
        <v>0</v>
      </c>
      <c r="F2933" s="2">
        <v>2531</v>
      </c>
      <c r="G2933" s="2">
        <v>100</v>
      </c>
      <c r="H2933" s="2">
        <v>484</v>
      </c>
      <c r="I2933" s="2">
        <v>477</v>
      </c>
      <c r="J2933" s="2">
        <v>1928</v>
      </c>
      <c r="K2933" s="2">
        <v>943</v>
      </c>
      <c r="L2933" s="2">
        <v>1426</v>
      </c>
    </row>
    <row r="2934" spans="1:12" x14ac:dyDescent="0.25">
      <c r="A2934" s="4" t="str">
        <f>HYPERLINK("http://www.rosaceae.org/Prunus/Prunus_persica/p.persica_gdr_reftransV1_0044464","p.persica_gdr_reftransV1_0044464")</f>
        <v>p.persica_gdr_reftransV1_0044464</v>
      </c>
      <c r="B2934" s="2">
        <v>369</v>
      </c>
      <c r="C2934" s="4" t="str">
        <f>HYPERLINK("http://www.uniprot.org/uniprot/M5VKA2","M5VKA2")</f>
        <v>M5VKA2</v>
      </c>
      <c r="D2934" s="2" t="s">
        <v>2807</v>
      </c>
      <c r="E2934" s="3">
        <v>9.4300000000000005E-74</v>
      </c>
      <c r="F2934" s="2">
        <v>629</v>
      </c>
      <c r="G2934" s="2">
        <v>100</v>
      </c>
      <c r="H2934" s="2">
        <v>121</v>
      </c>
      <c r="I2934" s="2">
        <v>3</v>
      </c>
      <c r="J2934" s="2">
        <v>365</v>
      </c>
      <c r="K2934" s="2">
        <v>701</v>
      </c>
      <c r="L2934" s="2">
        <v>821</v>
      </c>
    </row>
    <row r="2935" spans="1:12" x14ac:dyDescent="0.25">
      <c r="A2935" s="4" t="str">
        <f>HYPERLINK("http://www.rosaceae.org/Prunus/Prunus_persica/p.persica_gdr_reftransV1_0045164","p.persica_gdr_reftransV1_0045164")</f>
        <v>p.persica_gdr_reftransV1_0045164</v>
      </c>
      <c r="B2935" s="2">
        <v>1863</v>
      </c>
      <c r="C2935" s="4" t="str">
        <f>HYPERLINK("http://www.uniprot.org/uniprot/M5W320","M5W320")</f>
        <v>M5W320</v>
      </c>
      <c r="D2935" s="2" t="s">
        <v>2808</v>
      </c>
      <c r="E2935" s="3">
        <v>2.3899999999999999E-109</v>
      </c>
      <c r="F2935" s="2">
        <v>875</v>
      </c>
      <c r="G2935" s="2">
        <v>100</v>
      </c>
      <c r="H2935" s="2">
        <v>178</v>
      </c>
      <c r="I2935" s="2">
        <v>1260</v>
      </c>
      <c r="J2935" s="2">
        <v>1793</v>
      </c>
      <c r="K2935" s="2">
        <v>27</v>
      </c>
      <c r="L2935" s="2">
        <v>204</v>
      </c>
    </row>
    <row r="2936" spans="1:12" x14ac:dyDescent="0.25">
      <c r="A2936" s="4" t="str">
        <f>HYPERLINK("http://www.rosaceae.org/Prunus/Prunus_persica/p.persica_gdr_reftransV1_0045514","p.persica_gdr_reftransV1_0045514")</f>
        <v>p.persica_gdr_reftransV1_0045514</v>
      </c>
      <c r="B2936" s="2">
        <v>322</v>
      </c>
      <c r="C2936" s="4" t="str">
        <f>HYPERLINK("http://www.uniprot.org/uniprot/M5W829","M5W829")</f>
        <v>M5W829</v>
      </c>
      <c r="D2936" s="2" t="s">
        <v>2809</v>
      </c>
      <c r="E2936" s="3">
        <v>5.1199999999999996E-37</v>
      </c>
      <c r="F2936" s="2">
        <v>344</v>
      </c>
      <c r="G2936" s="2">
        <v>100</v>
      </c>
      <c r="H2936" s="2">
        <v>106</v>
      </c>
      <c r="I2936" s="2">
        <v>4</v>
      </c>
      <c r="J2936" s="2">
        <v>321</v>
      </c>
      <c r="K2936" s="2">
        <v>1</v>
      </c>
      <c r="L2936" s="2">
        <v>106</v>
      </c>
    </row>
    <row r="2937" spans="1:12" x14ac:dyDescent="0.25">
      <c r="A2937" s="4" t="str">
        <f>HYPERLINK("http://www.rosaceae.org/Prunus/Prunus_persica/p.persica_gdr_reftransV1_0045864","p.persica_gdr_reftransV1_0045864")</f>
        <v>p.persica_gdr_reftransV1_0045864</v>
      </c>
      <c r="B2937" s="2">
        <v>521</v>
      </c>
      <c r="C2937" s="4" t="str">
        <f>HYPERLINK("http://www.uniprot.org/uniprot/M5W052","M5W052")</f>
        <v>M5W052</v>
      </c>
      <c r="D2937" s="2" t="s">
        <v>2810</v>
      </c>
      <c r="E2937" s="3">
        <v>3.6699999999999996E-71</v>
      </c>
      <c r="F2937" s="2">
        <v>574</v>
      </c>
      <c r="G2937" s="2">
        <v>100</v>
      </c>
      <c r="H2937" s="2">
        <v>125</v>
      </c>
      <c r="I2937" s="2">
        <v>146</v>
      </c>
      <c r="J2937" s="2">
        <v>520</v>
      </c>
      <c r="K2937" s="2">
        <v>52</v>
      </c>
      <c r="L2937" s="2">
        <v>176</v>
      </c>
    </row>
    <row r="2938" spans="1:12" x14ac:dyDescent="0.25">
      <c r="A2938" s="4" t="str">
        <f>HYPERLINK("http://www.rosaceae.org/Prunus/Prunus_persica/p.persica_gdr_reftransV1_0046564","p.persica_gdr_reftransV1_0046564")</f>
        <v>p.persica_gdr_reftransV1_0046564</v>
      </c>
      <c r="B2938" s="2">
        <v>1169</v>
      </c>
      <c r="C2938" s="4" t="str">
        <f>HYPERLINK("http://www.uniprot.org/uniprot/M5VWL7","M5VWL7")</f>
        <v>M5VWL7</v>
      </c>
      <c r="D2938" s="2" t="s">
        <v>2811</v>
      </c>
      <c r="E2938" s="3">
        <v>5.38E-158</v>
      </c>
      <c r="F2938" s="2">
        <v>1172</v>
      </c>
      <c r="G2938" s="2">
        <v>100</v>
      </c>
      <c r="H2938" s="2">
        <v>222</v>
      </c>
      <c r="I2938" s="2">
        <v>6</v>
      </c>
      <c r="J2938" s="2">
        <v>671</v>
      </c>
      <c r="K2938" s="2">
        <v>1</v>
      </c>
      <c r="L2938" s="2">
        <v>222</v>
      </c>
    </row>
    <row r="2939" spans="1:12" x14ac:dyDescent="0.25">
      <c r="A2939" s="4" t="str">
        <f>HYPERLINK("http://www.rosaceae.org/Prunus/Prunus_persica/p.persica_gdr_reftransV1_0047614","p.persica_gdr_reftransV1_0047614")</f>
        <v>p.persica_gdr_reftransV1_0047614</v>
      </c>
      <c r="B2939" s="2">
        <v>1634</v>
      </c>
      <c r="C2939" s="4" t="str">
        <f>HYPERLINK("http://www.uniprot.org/uniprot/M5WGI0","M5WGI0")</f>
        <v>M5WGI0</v>
      </c>
      <c r="D2939" s="2" t="s">
        <v>2812</v>
      </c>
      <c r="E2939" s="3">
        <v>9.0499999999999991E-103</v>
      </c>
      <c r="F2939" s="2">
        <v>828</v>
      </c>
      <c r="G2939" s="2">
        <v>100</v>
      </c>
      <c r="H2939" s="2">
        <v>167</v>
      </c>
      <c r="I2939" s="2">
        <v>170</v>
      </c>
      <c r="J2939" s="2">
        <v>670</v>
      </c>
      <c r="K2939" s="2">
        <v>132</v>
      </c>
      <c r="L2939" s="2">
        <v>298</v>
      </c>
    </row>
    <row r="2940" spans="1:12" x14ac:dyDescent="0.25">
      <c r="A2940" s="4" t="str">
        <f>HYPERLINK("http://www.rosaceae.org/Prunus/Prunus_persica/p.persica_gdr_reftransV1_0047964","p.persica_gdr_reftransV1_0047964")</f>
        <v>p.persica_gdr_reftransV1_0047964</v>
      </c>
      <c r="B2940" s="2">
        <v>1431</v>
      </c>
      <c r="C2940" s="4" t="str">
        <f>HYPERLINK("http://www.uniprot.org/uniprot/M5VPT6","M5VPT6")</f>
        <v>M5VPT6</v>
      </c>
      <c r="D2940" s="2" t="s">
        <v>2813</v>
      </c>
      <c r="E2940" s="3">
        <v>2.3600000000000001E-173</v>
      </c>
      <c r="F2940" s="2">
        <v>1304</v>
      </c>
      <c r="G2940" s="2">
        <v>94</v>
      </c>
      <c r="H2940" s="2">
        <v>277</v>
      </c>
      <c r="I2940" s="2">
        <v>2</v>
      </c>
      <c r="J2940" s="2">
        <v>826</v>
      </c>
      <c r="K2940" s="2">
        <v>46</v>
      </c>
      <c r="L2940" s="2">
        <v>322</v>
      </c>
    </row>
    <row r="2941" spans="1:12" x14ac:dyDescent="0.25">
      <c r="A2941" s="4" t="str">
        <f>HYPERLINK("http://www.rosaceae.org/Prunus/Prunus_persica/p.persica_gdr_reftransV1_0048314","p.persica_gdr_reftransV1_0048314")</f>
        <v>p.persica_gdr_reftransV1_0048314</v>
      </c>
      <c r="B2941" s="2">
        <v>644</v>
      </c>
      <c r="C2941" s="4" t="str">
        <f>HYPERLINK("http://www.uniprot.org/uniprot/M5W549","M5W549")</f>
        <v>M5W549</v>
      </c>
      <c r="D2941" s="2" t="s">
        <v>2814</v>
      </c>
      <c r="E2941" s="3">
        <v>6.7199999999999997E-118</v>
      </c>
      <c r="F2941" s="2">
        <v>934</v>
      </c>
      <c r="G2941" s="2">
        <v>86</v>
      </c>
      <c r="H2941" s="2">
        <v>214</v>
      </c>
      <c r="I2941" s="2">
        <v>2</v>
      </c>
      <c r="J2941" s="2">
        <v>643</v>
      </c>
      <c r="K2941" s="2">
        <v>314</v>
      </c>
      <c r="L2941" s="2">
        <v>496</v>
      </c>
    </row>
    <row r="2942" spans="1:12" x14ac:dyDescent="0.25">
      <c r="A2942" s="4" t="str">
        <f>HYPERLINK("http://www.rosaceae.org/Prunus/Prunus_persica/p.persica_gdr_reftransV1_0048664","p.persica_gdr_reftransV1_0048664")</f>
        <v>p.persica_gdr_reftransV1_0048664</v>
      </c>
      <c r="B2942" s="2">
        <v>1618</v>
      </c>
      <c r="C2942" s="4" t="str">
        <f>HYPERLINK("http://www.uniprot.org/uniprot/M5WH90","M5WH90")</f>
        <v>M5WH90</v>
      </c>
      <c r="D2942" s="2" t="s">
        <v>2815</v>
      </c>
      <c r="E2942" s="3">
        <v>0</v>
      </c>
      <c r="F2942" s="2">
        <v>1679</v>
      </c>
      <c r="G2942" s="2">
        <v>100</v>
      </c>
      <c r="H2942" s="2">
        <v>376</v>
      </c>
      <c r="I2942" s="2">
        <v>261</v>
      </c>
      <c r="J2942" s="2">
        <v>1388</v>
      </c>
      <c r="K2942" s="2">
        <v>1</v>
      </c>
      <c r="L2942" s="2">
        <v>376</v>
      </c>
    </row>
    <row r="2943" spans="1:12" x14ac:dyDescent="0.25">
      <c r="A2943" s="4" t="str">
        <f>HYPERLINK("http://www.rosaceae.org/Prunus/Prunus_persica/p.persica_gdr_reftransV1_0049014","p.persica_gdr_reftransV1_0049014")</f>
        <v>p.persica_gdr_reftransV1_0049014</v>
      </c>
      <c r="B2943" s="2">
        <v>1791</v>
      </c>
      <c r="C2943" s="4" t="str">
        <f>HYPERLINK("http://www.uniprot.org/uniprot/M5WWF0","M5WWF0")</f>
        <v>M5WWF0</v>
      </c>
      <c r="D2943" s="2" t="s">
        <v>2816</v>
      </c>
      <c r="E2943" s="3">
        <v>0</v>
      </c>
      <c r="F2943" s="2">
        <v>2340</v>
      </c>
      <c r="G2943" s="2">
        <v>100</v>
      </c>
      <c r="H2943" s="2">
        <v>457</v>
      </c>
      <c r="I2943" s="2">
        <v>248</v>
      </c>
      <c r="J2943" s="2">
        <v>1618</v>
      </c>
      <c r="K2943" s="2">
        <v>51</v>
      </c>
      <c r="L2943" s="2">
        <v>507</v>
      </c>
    </row>
    <row r="2944" spans="1:12" x14ac:dyDescent="0.25">
      <c r="A2944" s="4" t="str">
        <f>HYPERLINK("http://www.rosaceae.org/Prunus/Prunus_persica/p.persica_gdr_reftransV1_0000141","p.persica_gdr_reftransV1_0000141")</f>
        <v>p.persica_gdr_reftransV1_0000141</v>
      </c>
      <c r="B2944" s="2">
        <v>1582</v>
      </c>
      <c r="C2944" s="4" t="str">
        <f>HYPERLINK("http://www.uniprot.org/uniprot/M5VZG1","M5VZG1")</f>
        <v>M5VZG1</v>
      </c>
      <c r="D2944" s="2" t="s">
        <v>1915</v>
      </c>
      <c r="E2944" s="3">
        <v>1.36E-138</v>
      </c>
      <c r="F2944" s="2">
        <v>685</v>
      </c>
      <c r="G2944" s="2">
        <v>100</v>
      </c>
      <c r="H2944" s="2">
        <v>162</v>
      </c>
      <c r="I2944" s="2">
        <v>285</v>
      </c>
      <c r="J2944" s="2">
        <v>770</v>
      </c>
      <c r="K2944" s="2">
        <v>131</v>
      </c>
      <c r="L2944" s="2">
        <v>292</v>
      </c>
    </row>
    <row r="2945" spans="1:12" x14ac:dyDescent="0.25">
      <c r="A2945" s="4" t="str">
        <f>HYPERLINK("http://www.rosaceae.org/Prunus/Prunus_persica/p.persica_gdr_reftransV1_0000491","p.persica_gdr_reftransV1_0000491")</f>
        <v>p.persica_gdr_reftransV1_0000491</v>
      </c>
      <c r="B2945" s="2">
        <v>1398</v>
      </c>
      <c r="C2945" s="4" t="str">
        <f>HYPERLINK("http://www.uniprot.org/uniprot/M5VZ77","M5VZ77")</f>
        <v>M5VZ77</v>
      </c>
      <c r="D2945" s="2" t="s">
        <v>2817</v>
      </c>
      <c r="E2945" s="3">
        <v>3.9600000000000002E-159</v>
      </c>
      <c r="F2945" s="2">
        <v>1157</v>
      </c>
      <c r="G2945" s="2">
        <v>93</v>
      </c>
      <c r="H2945" s="2">
        <v>253</v>
      </c>
      <c r="I2945" s="2">
        <v>93</v>
      </c>
      <c r="J2945" s="2">
        <v>851</v>
      </c>
      <c r="K2945" s="2">
        <v>1</v>
      </c>
      <c r="L2945" s="2">
        <v>253</v>
      </c>
    </row>
    <row r="2946" spans="1:12" x14ac:dyDescent="0.25">
      <c r="A2946" s="4" t="str">
        <f>HYPERLINK("http://www.rosaceae.org/Prunus/Prunus_persica/p.persica_gdr_reftransV1_0000841","p.persica_gdr_reftransV1_0000841")</f>
        <v>p.persica_gdr_reftransV1_0000841</v>
      </c>
      <c r="B2946" s="2">
        <v>1352</v>
      </c>
      <c r="C2946" s="4" t="str">
        <f>HYPERLINK("http://www.uniprot.org/uniprot/M5Y8J3","M5Y8J3")</f>
        <v>M5Y8J3</v>
      </c>
      <c r="D2946" s="2" t="s">
        <v>850</v>
      </c>
      <c r="E2946" s="3">
        <v>0</v>
      </c>
      <c r="F2946" s="2">
        <v>1404</v>
      </c>
      <c r="G2946" s="2">
        <v>95</v>
      </c>
      <c r="H2946" s="2">
        <v>299</v>
      </c>
      <c r="I2946" s="2">
        <v>98</v>
      </c>
      <c r="J2946" s="2">
        <v>994</v>
      </c>
      <c r="K2946" s="2">
        <v>1</v>
      </c>
      <c r="L2946" s="2">
        <v>284</v>
      </c>
    </row>
    <row r="2947" spans="1:12" x14ac:dyDescent="0.25">
      <c r="A2947" s="4" t="str">
        <f>HYPERLINK("http://www.rosaceae.org/Prunus/Prunus_persica/p.persica_gdr_reftransV1_0001191","p.persica_gdr_reftransV1_0001191")</f>
        <v>p.persica_gdr_reftransV1_0001191</v>
      </c>
      <c r="B2947" s="2">
        <v>845</v>
      </c>
      <c r="C2947" s="4" t="str">
        <f>HYPERLINK("http://www.uniprot.org/uniprot/M5WGS7","M5WGS7")</f>
        <v>M5WGS7</v>
      </c>
      <c r="D2947" s="2" t="s">
        <v>2818</v>
      </c>
      <c r="E2947" s="3">
        <v>8.6299999999999999E-68</v>
      </c>
      <c r="F2947" s="2">
        <v>568</v>
      </c>
      <c r="G2947" s="2">
        <v>100</v>
      </c>
      <c r="H2947" s="2">
        <v>161</v>
      </c>
      <c r="I2947" s="2">
        <v>304</v>
      </c>
      <c r="J2947" s="2">
        <v>786</v>
      </c>
      <c r="K2947" s="2">
        <v>34</v>
      </c>
      <c r="L2947" s="2">
        <v>194</v>
      </c>
    </row>
    <row r="2948" spans="1:12" x14ac:dyDescent="0.25">
      <c r="A2948" s="4" t="str">
        <f>HYPERLINK("http://www.rosaceae.org/Prunus/Prunus_persica/p.persica_gdr_reftransV1_0001891","p.persica_gdr_reftransV1_0001891")</f>
        <v>p.persica_gdr_reftransV1_0001891</v>
      </c>
      <c r="B2948" s="2">
        <v>1042</v>
      </c>
      <c r="C2948" s="4" t="str">
        <f>HYPERLINK("http://www.uniprot.org/uniprot/M5XZL2","M5XZL2")</f>
        <v>M5XZL2</v>
      </c>
      <c r="D2948" s="2" t="s">
        <v>2819</v>
      </c>
      <c r="E2948" s="3">
        <v>2.0699999999999999E-106</v>
      </c>
      <c r="F2948" s="2">
        <v>822</v>
      </c>
      <c r="G2948" s="2">
        <v>100</v>
      </c>
      <c r="H2948" s="2">
        <v>178</v>
      </c>
      <c r="I2948" s="2">
        <v>374</v>
      </c>
      <c r="J2948" s="2">
        <v>907</v>
      </c>
      <c r="K2948" s="2">
        <v>1</v>
      </c>
      <c r="L2948" s="2">
        <v>178</v>
      </c>
    </row>
    <row r="2949" spans="1:12" x14ac:dyDescent="0.25">
      <c r="A2949" s="4" t="str">
        <f>HYPERLINK("http://www.rosaceae.org/Prunus/Prunus_persica/p.persica_gdr_reftransV1_0002241","p.persica_gdr_reftransV1_0002241")</f>
        <v>p.persica_gdr_reftransV1_0002241</v>
      </c>
      <c r="B2949" s="2">
        <v>439</v>
      </c>
      <c r="C2949" s="4" t="str">
        <f>HYPERLINK("http://www.uniprot.org/uniprot/M5XUF8","M5XUF8")</f>
        <v>M5XUF8</v>
      </c>
      <c r="D2949" s="2" t="s">
        <v>2820</v>
      </c>
      <c r="E2949" s="3">
        <v>6.6799999999999994E-83</v>
      </c>
      <c r="F2949" s="2">
        <v>705</v>
      </c>
      <c r="G2949" s="2">
        <v>92</v>
      </c>
      <c r="H2949" s="2">
        <v>146</v>
      </c>
      <c r="I2949" s="2">
        <v>1</v>
      </c>
      <c r="J2949" s="2">
        <v>438</v>
      </c>
      <c r="K2949" s="2">
        <v>80</v>
      </c>
      <c r="L2949" s="2">
        <v>225</v>
      </c>
    </row>
    <row r="2950" spans="1:12" x14ac:dyDescent="0.25">
      <c r="A2950" s="4" t="str">
        <f>HYPERLINK("http://www.rosaceae.org/Prunus/Prunus_persica/p.persica_gdr_reftransV1_0002591","p.persica_gdr_reftransV1_0002591")</f>
        <v>p.persica_gdr_reftransV1_0002591</v>
      </c>
      <c r="B2950" s="2">
        <v>2088</v>
      </c>
      <c r="C2950" s="4" t="str">
        <f>HYPERLINK("http://www.uniprot.org/uniprot/M5XN53","M5XN53")</f>
        <v>M5XN53</v>
      </c>
      <c r="D2950" s="2" t="s">
        <v>2821</v>
      </c>
      <c r="E2950" s="3">
        <v>0</v>
      </c>
      <c r="F2950" s="2">
        <v>1761</v>
      </c>
      <c r="G2950" s="2">
        <v>90</v>
      </c>
      <c r="H2950" s="2">
        <v>396</v>
      </c>
      <c r="I2950" s="2">
        <v>561</v>
      </c>
      <c r="J2950" s="2">
        <v>1748</v>
      </c>
      <c r="K2950" s="2">
        <v>115</v>
      </c>
      <c r="L2950" s="2">
        <v>469</v>
      </c>
    </row>
    <row r="2951" spans="1:12" x14ac:dyDescent="0.25">
      <c r="A2951" s="4" t="str">
        <f>HYPERLINK("http://www.rosaceae.org/Prunus/Prunus_persica/p.persica_gdr_reftransV1_0002941","p.persica_gdr_reftransV1_0002941")</f>
        <v>p.persica_gdr_reftransV1_0002941</v>
      </c>
      <c r="B2951" s="2">
        <v>360</v>
      </c>
      <c r="C2951" s="4" t="str">
        <f>HYPERLINK("http://www.uniprot.org/uniprot/M5VTE8","M5VTE8")</f>
        <v>M5VTE8</v>
      </c>
      <c r="D2951" s="2" t="s">
        <v>2822</v>
      </c>
      <c r="E2951" s="3">
        <v>2.6199999999999998E-81</v>
      </c>
      <c r="F2951" s="2">
        <v>649</v>
      </c>
      <c r="G2951" s="2">
        <v>100</v>
      </c>
      <c r="H2951" s="2">
        <v>119</v>
      </c>
      <c r="I2951" s="2">
        <v>3</v>
      </c>
      <c r="J2951" s="2">
        <v>359</v>
      </c>
      <c r="K2951" s="2">
        <v>25</v>
      </c>
      <c r="L2951" s="2">
        <v>143</v>
      </c>
    </row>
    <row r="2952" spans="1:12" x14ac:dyDescent="0.25">
      <c r="A2952" s="4" t="str">
        <f>HYPERLINK("http://www.rosaceae.org/Prunus/Prunus_persica/p.persica_gdr_reftransV1_0003291","p.persica_gdr_reftransV1_0003291")</f>
        <v>p.persica_gdr_reftransV1_0003291</v>
      </c>
      <c r="B2952" s="2">
        <v>1335</v>
      </c>
      <c r="C2952" s="4" t="str">
        <f>HYPERLINK("http://www.uniprot.org/uniprot/M5XJB4","M5XJB4")</f>
        <v>M5XJB4</v>
      </c>
      <c r="D2952" s="2" t="s">
        <v>541</v>
      </c>
      <c r="E2952" s="3">
        <v>1.06E-96</v>
      </c>
      <c r="F2952" s="2">
        <v>795</v>
      </c>
      <c r="G2952" s="2">
        <v>100</v>
      </c>
      <c r="H2952" s="2">
        <v>182</v>
      </c>
      <c r="I2952" s="2">
        <v>354</v>
      </c>
      <c r="J2952" s="2">
        <v>899</v>
      </c>
      <c r="K2952" s="2">
        <v>1</v>
      </c>
      <c r="L2952" s="2">
        <v>182</v>
      </c>
    </row>
    <row r="2953" spans="1:12" x14ac:dyDescent="0.25">
      <c r="A2953" s="4" t="str">
        <f>HYPERLINK("http://www.rosaceae.org/Prunus/Prunus_persica/p.persica_gdr_reftransV1_0003641","p.persica_gdr_reftransV1_0003641")</f>
        <v>p.persica_gdr_reftransV1_0003641</v>
      </c>
      <c r="B2953" s="2">
        <v>1705</v>
      </c>
      <c r="C2953" s="4" t="str">
        <f>HYPERLINK("http://www.uniprot.org/uniprot/M5XB75","M5XB75")</f>
        <v>M5XB75</v>
      </c>
      <c r="D2953" s="2" t="s">
        <v>2823</v>
      </c>
      <c r="E2953" s="3">
        <v>0</v>
      </c>
      <c r="F2953" s="2">
        <v>1781</v>
      </c>
      <c r="G2953" s="2">
        <v>99</v>
      </c>
      <c r="H2953" s="2">
        <v>358</v>
      </c>
      <c r="I2953" s="2">
        <v>173</v>
      </c>
      <c r="J2953" s="2">
        <v>1243</v>
      </c>
      <c r="K2953" s="2">
        <v>1</v>
      </c>
      <c r="L2953" s="2">
        <v>358</v>
      </c>
    </row>
    <row r="2954" spans="1:12" x14ac:dyDescent="0.25">
      <c r="A2954" s="4" t="str">
        <f>HYPERLINK("http://www.rosaceae.org/Prunus/Prunus_persica/p.persica_gdr_reftransV1_0003991","p.persica_gdr_reftransV1_0003991")</f>
        <v>p.persica_gdr_reftransV1_0003991</v>
      </c>
      <c r="B2954" s="2">
        <v>2861</v>
      </c>
      <c r="C2954" s="4" t="str">
        <f>HYPERLINK("http://www.uniprot.org/uniprot/M5VLU9","M5VLU9")</f>
        <v>M5VLU9</v>
      </c>
      <c r="D2954" s="2" t="s">
        <v>2566</v>
      </c>
      <c r="E2954" s="3">
        <v>0</v>
      </c>
      <c r="F2954" s="2">
        <v>4205</v>
      </c>
      <c r="G2954" s="2">
        <v>100</v>
      </c>
      <c r="H2954" s="2">
        <v>829</v>
      </c>
      <c r="I2954" s="2">
        <v>3</v>
      </c>
      <c r="J2954" s="2">
        <v>2489</v>
      </c>
      <c r="K2954" s="2">
        <v>1300</v>
      </c>
      <c r="L2954" s="2">
        <v>2128</v>
      </c>
    </row>
    <row r="2955" spans="1:12" x14ac:dyDescent="0.25">
      <c r="A2955" s="4" t="str">
        <f>HYPERLINK("http://www.rosaceae.org/Prunus/Prunus_persica/p.persica_gdr_reftransV1_0004341","p.persica_gdr_reftransV1_0004341")</f>
        <v>p.persica_gdr_reftransV1_0004341</v>
      </c>
      <c r="B2955" s="2">
        <v>1375</v>
      </c>
      <c r="C2955" s="4" t="str">
        <f>HYPERLINK("http://www.uniprot.org/uniprot/M5XN82","M5XN82")</f>
        <v>M5XN82</v>
      </c>
      <c r="D2955" s="2" t="s">
        <v>1098</v>
      </c>
      <c r="E2955" s="3">
        <v>9.65E-147</v>
      </c>
      <c r="F2955" s="2">
        <v>1121</v>
      </c>
      <c r="G2955" s="2">
        <v>100</v>
      </c>
      <c r="H2955" s="2">
        <v>208</v>
      </c>
      <c r="I2955" s="2">
        <v>526</v>
      </c>
      <c r="J2955" s="2">
        <v>1149</v>
      </c>
      <c r="K2955" s="2">
        <v>1</v>
      </c>
      <c r="L2955" s="2">
        <v>208</v>
      </c>
    </row>
    <row r="2956" spans="1:12" x14ac:dyDescent="0.25">
      <c r="A2956" s="4" t="str">
        <f>HYPERLINK("http://www.rosaceae.org/Prunus/Prunus_persica/p.persica_gdr_reftransV1_0005041","p.persica_gdr_reftransV1_0005041")</f>
        <v>p.persica_gdr_reftransV1_0005041</v>
      </c>
      <c r="B2956" s="2">
        <v>1566</v>
      </c>
      <c r="C2956" s="4" t="str">
        <f>HYPERLINK("http://www.uniprot.org/uniprot/W9QQC8","W9QQC8")</f>
        <v>W9QQC8</v>
      </c>
      <c r="D2956" s="2" t="s">
        <v>2824</v>
      </c>
      <c r="E2956" s="3">
        <v>2.9900000000000002E-22</v>
      </c>
      <c r="F2956" s="2">
        <v>262</v>
      </c>
      <c r="G2956" s="2">
        <v>58</v>
      </c>
      <c r="H2956" s="2">
        <v>151</v>
      </c>
      <c r="I2956" s="2">
        <v>135</v>
      </c>
      <c r="J2956" s="2">
        <v>575</v>
      </c>
      <c r="K2956" s="2">
        <v>1</v>
      </c>
      <c r="L2956" s="2">
        <v>144</v>
      </c>
    </row>
    <row r="2957" spans="1:12" x14ac:dyDescent="0.25">
      <c r="A2957" s="4" t="str">
        <f>HYPERLINK("http://www.rosaceae.org/Prunus/Prunus_persica/p.persica_gdr_reftransV1_0005391","p.persica_gdr_reftransV1_0005391")</f>
        <v>p.persica_gdr_reftransV1_0005391</v>
      </c>
      <c r="B2957" s="2">
        <v>2372</v>
      </c>
      <c r="C2957" s="4" t="str">
        <f>HYPERLINK("http://www.uniprot.org/uniprot/M5XCJ5","M5XCJ5")</f>
        <v>M5XCJ5</v>
      </c>
      <c r="D2957" s="2" t="s">
        <v>2825</v>
      </c>
      <c r="E2957" s="3">
        <v>0</v>
      </c>
      <c r="F2957" s="2">
        <v>1479</v>
      </c>
      <c r="G2957" s="2">
        <v>98</v>
      </c>
      <c r="H2957" s="2">
        <v>324</v>
      </c>
      <c r="I2957" s="2">
        <v>870</v>
      </c>
      <c r="J2957" s="2">
        <v>1832</v>
      </c>
      <c r="K2957" s="2">
        <v>99</v>
      </c>
      <c r="L2957" s="2">
        <v>422</v>
      </c>
    </row>
    <row r="2958" spans="1:12" x14ac:dyDescent="0.25">
      <c r="A2958" s="4" t="str">
        <f>HYPERLINK("http://www.rosaceae.org/Prunus/Prunus_persica/p.persica_gdr_reftransV1_0006091","p.persica_gdr_reftransV1_0006091")</f>
        <v>p.persica_gdr_reftransV1_0006091</v>
      </c>
      <c r="B2958" s="2">
        <v>792</v>
      </c>
      <c r="C2958" s="4" t="str">
        <f>HYPERLINK("http://www.uniprot.org/uniprot/A7X4Q6","A7X4Q6")</f>
        <v>A7X4Q6</v>
      </c>
      <c r="D2958" s="2" t="s">
        <v>2826</v>
      </c>
      <c r="E2958" s="3">
        <v>3.6099999999999999E-137</v>
      </c>
      <c r="F2958" s="2">
        <v>1036</v>
      </c>
      <c r="G2958" s="2">
        <v>100</v>
      </c>
      <c r="H2958" s="2">
        <v>263</v>
      </c>
      <c r="I2958" s="2">
        <v>2</v>
      </c>
      <c r="J2958" s="2">
        <v>790</v>
      </c>
      <c r="K2958" s="2">
        <v>111</v>
      </c>
      <c r="L2958" s="2">
        <v>373</v>
      </c>
    </row>
    <row r="2959" spans="1:12" x14ac:dyDescent="0.25">
      <c r="A2959" s="4" t="str">
        <f>HYPERLINK("http://www.rosaceae.org/Prunus/Prunus_persica/p.persica_gdr_reftransV1_0006791","p.persica_gdr_reftransV1_0006791")</f>
        <v>p.persica_gdr_reftransV1_0006791</v>
      </c>
      <c r="B2959" s="2">
        <v>2426</v>
      </c>
      <c r="C2959" s="4" t="str">
        <f>HYPERLINK("http://www.uniprot.org/uniprot/M5WS35","M5WS35")</f>
        <v>M5WS35</v>
      </c>
      <c r="D2959" s="2" t="s">
        <v>2827</v>
      </c>
      <c r="E2959" s="3">
        <v>1.68E-169</v>
      </c>
      <c r="F2959" s="2">
        <v>1309</v>
      </c>
      <c r="G2959" s="2">
        <v>98</v>
      </c>
      <c r="H2959" s="2">
        <v>251</v>
      </c>
      <c r="I2959" s="2">
        <v>1538</v>
      </c>
      <c r="J2959" s="2">
        <v>2290</v>
      </c>
      <c r="K2959" s="2">
        <v>1</v>
      </c>
      <c r="L2959" s="2">
        <v>251</v>
      </c>
    </row>
    <row r="2960" spans="1:12" x14ac:dyDescent="0.25">
      <c r="A2960" s="4" t="str">
        <f>HYPERLINK("http://www.rosaceae.org/Prunus/Prunus_persica/p.persica_gdr_reftransV1_0007141","p.persica_gdr_reftransV1_0007141")</f>
        <v>p.persica_gdr_reftransV1_0007141</v>
      </c>
      <c r="B2960" s="2">
        <v>1767</v>
      </c>
      <c r="C2960" s="4" t="str">
        <f>HYPERLINK("http://www.uniprot.org/uniprot/M5XXU1","M5XXU1")</f>
        <v>M5XXU1</v>
      </c>
      <c r="D2960" s="2" t="s">
        <v>2828</v>
      </c>
      <c r="E2960" s="3">
        <v>0</v>
      </c>
      <c r="F2960" s="2">
        <v>1979</v>
      </c>
      <c r="G2960" s="2">
        <v>100</v>
      </c>
      <c r="H2960" s="2">
        <v>400</v>
      </c>
      <c r="I2960" s="2">
        <v>55</v>
      </c>
      <c r="J2960" s="2">
        <v>1254</v>
      </c>
      <c r="K2960" s="2">
        <v>1</v>
      </c>
      <c r="L2960" s="2">
        <v>400</v>
      </c>
    </row>
    <row r="2961" spans="1:12" x14ac:dyDescent="0.25">
      <c r="A2961" s="4" t="str">
        <f>HYPERLINK("http://www.rosaceae.org/Prunus/Prunus_persica/p.persica_gdr_reftransV1_0007491","p.persica_gdr_reftransV1_0007491")</f>
        <v>p.persica_gdr_reftransV1_0007491</v>
      </c>
      <c r="B2961" s="2">
        <v>2233</v>
      </c>
      <c r="C2961" s="4" t="str">
        <f>HYPERLINK("http://www.uniprot.org/uniprot/M5X9N9","M5X9N9")</f>
        <v>M5X9N9</v>
      </c>
      <c r="D2961" s="2" t="s">
        <v>2829</v>
      </c>
      <c r="E2961" s="3">
        <v>0</v>
      </c>
      <c r="F2961" s="2">
        <v>2899</v>
      </c>
      <c r="G2961" s="2">
        <v>100</v>
      </c>
      <c r="H2961" s="2">
        <v>614</v>
      </c>
      <c r="I2961" s="2">
        <v>238</v>
      </c>
      <c r="J2961" s="2">
        <v>2079</v>
      </c>
      <c r="K2961" s="2">
        <v>1</v>
      </c>
      <c r="L2961" s="2">
        <v>614</v>
      </c>
    </row>
    <row r="2962" spans="1:12" x14ac:dyDescent="0.25">
      <c r="A2962" s="4" t="str">
        <f>HYPERLINK("http://www.rosaceae.org/Prunus/Prunus_persica/p.persica_gdr_reftransV1_0007841","p.persica_gdr_reftransV1_0007841")</f>
        <v>p.persica_gdr_reftransV1_0007841</v>
      </c>
      <c r="B2962" s="2">
        <v>2006</v>
      </c>
      <c r="C2962" s="4" t="str">
        <f>HYPERLINK("http://www.uniprot.org/uniprot/M5VUD8","M5VUD8")</f>
        <v>M5VUD8</v>
      </c>
      <c r="D2962" s="2" t="s">
        <v>89</v>
      </c>
      <c r="E2962" s="3">
        <v>0</v>
      </c>
      <c r="F2962" s="2">
        <v>2923</v>
      </c>
      <c r="G2962" s="2">
        <v>98</v>
      </c>
      <c r="H2962" s="2">
        <v>578</v>
      </c>
      <c r="I2962" s="2">
        <v>273</v>
      </c>
      <c r="J2962" s="2">
        <v>2006</v>
      </c>
      <c r="K2962" s="2">
        <v>779</v>
      </c>
      <c r="L2962" s="2">
        <v>1346</v>
      </c>
    </row>
    <row r="2963" spans="1:12" x14ac:dyDescent="0.25">
      <c r="A2963" s="4" t="str">
        <f>HYPERLINK("http://www.rosaceae.org/Prunus/Prunus_persica/p.persica_gdr_reftransV1_0008191","p.persica_gdr_reftransV1_0008191")</f>
        <v>p.persica_gdr_reftransV1_0008191</v>
      </c>
      <c r="B2963" s="2">
        <v>1554</v>
      </c>
      <c r="C2963" s="4" t="str">
        <f>HYPERLINK("http://www.uniprot.org/uniprot/M5VHG8","M5VHG8")</f>
        <v>M5VHG8</v>
      </c>
      <c r="D2963" s="2" t="s">
        <v>540</v>
      </c>
      <c r="E2963" s="3">
        <v>7.4299999999999998E-118</v>
      </c>
      <c r="F2963" s="2">
        <v>921</v>
      </c>
      <c r="G2963" s="2">
        <v>100</v>
      </c>
      <c r="H2963" s="2">
        <v>174</v>
      </c>
      <c r="I2963" s="2">
        <v>736</v>
      </c>
      <c r="J2963" s="2">
        <v>1257</v>
      </c>
      <c r="K2963" s="2">
        <v>70</v>
      </c>
      <c r="L2963" s="2">
        <v>243</v>
      </c>
    </row>
    <row r="2964" spans="1:12" x14ac:dyDescent="0.25">
      <c r="A2964" s="4" t="str">
        <f>HYPERLINK("http://www.rosaceae.org/Prunus/Prunus_persica/p.persica_gdr_reftransV1_0008541","p.persica_gdr_reftransV1_0008541")</f>
        <v>p.persica_gdr_reftransV1_0008541</v>
      </c>
      <c r="B2964" s="2">
        <v>1656</v>
      </c>
      <c r="C2964" s="4" t="str">
        <f>HYPERLINK("http://www.uniprot.org/uniprot/M5WPC6","M5WPC6")</f>
        <v>M5WPC6</v>
      </c>
      <c r="D2964" s="2" t="s">
        <v>2830</v>
      </c>
      <c r="E2964" s="3">
        <v>0</v>
      </c>
      <c r="F2964" s="2">
        <v>1709</v>
      </c>
      <c r="G2964" s="2">
        <v>100</v>
      </c>
      <c r="H2964" s="2">
        <v>356</v>
      </c>
      <c r="I2964" s="2">
        <v>508</v>
      </c>
      <c r="J2964" s="2">
        <v>1575</v>
      </c>
      <c r="K2964" s="2">
        <v>1</v>
      </c>
      <c r="L2964" s="2">
        <v>356</v>
      </c>
    </row>
    <row r="2965" spans="1:12" x14ac:dyDescent="0.25">
      <c r="A2965" s="4" t="str">
        <f>HYPERLINK("http://www.rosaceae.org/Prunus/Prunus_persica/p.persica_gdr_reftransV1_0009241","p.persica_gdr_reftransV1_0009241")</f>
        <v>p.persica_gdr_reftransV1_0009241</v>
      </c>
      <c r="B2965" s="2">
        <v>1050</v>
      </c>
      <c r="C2965" s="4" t="str">
        <f>HYPERLINK("http://www.uniprot.org/uniprot/M5XYX2","M5XYX2")</f>
        <v>M5XYX2</v>
      </c>
      <c r="D2965" s="2" t="s">
        <v>2831</v>
      </c>
      <c r="E2965" s="3">
        <v>2.09E-117</v>
      </c>
      <c r="F2965" s="2">
        <v>897</v>
      </c>
      <c r="G2965" s="2">
        <v>99</v>
      </c>
      <c r="H2965" s="2">
        <v>195</v>
      </c>
      <c r="I2965" s="2">
        <v>347</v>
      </c>
      <c r="J2965" s="2">
        <v>928</v>
      </c>
      <c r="K2965" s="2">
        <v>1</v>
      </c>
      <c r="L2965" s="2">
        <v>195</v>
      </c>
    </row>
    <row r="2966" spans="1:12" x14ac:dyDescent="0.25">
      <c r="A2966" s="4" t="str">
        <f>HYPERLINK("http://www.rosaceae.org/Prunus/Prunus_persica/p.persica_gdr_reftransV1_0009591","p.persica_gdr_reftransV1_0009591")</f>
        <v>p.persica_gdr_reftransV1_0009591</v>
      </c>
      <c r="B2966" s="2">
        <v>1885</v>
      </c>
      <c r="C2966" s="4" t="str">
        <f>HYPERLINK("http://www.uniprot.org/uniprot/M5X196","M5X196")</f>
        <v>M5X196</v>
      </c>
      <c r="D2966" s="2" t="s">
        <v>2832</v>
      </c>
      <c r="E2966" s="3">
        <v>0</v>
      </c>
      <c r="F2966" s="2">
        <v>2195</v>
      </c>
      <c r="G2966" s="2">
        <v>100</v>
      </c>
      <c r="H2966" s="2">
        <v>443</v>
      </c>
      <c r="I2966" s="2">
        <v>359</v>
      </c>
      <c r="J2966" s="2">
        <v>1687</v>
      </c>
      <c r="K2966" s="2">
        <v>1</v>
      </c>
      <c r="L2966" s="2">
        <v>443</v>
      </c>
    </row>
    <row r="2967" spans="1:12" x14ac:dyDescent="0.25">
      <c r="A2967" s="4" t="str">
        <f>HYPERLINK("http://www.rosaceae.org/Prunus/Prunus_persica/p.persica_gdr_reftransV1_0009941","p.persica_gdr_reftransV1_0009941")</f>
        <v>p.persica_gdr_reftransV1_0009941</v>
      </c>
      <c r="B2967" s="2">
        <v>2168</v>
      </c>
      <c r="C2967" s="4" t="str">
        <f>HYPERLINK("http://www.uniprot.org/uniprot/M5XAD5","M5XAD5")</f>
        <v>M5XAD5</v>
      </c>
      <c r="D2967" s="2" t="s">
        <v>2833</v>
      </c>
      <c r="E2967" s="3">
        <v>0</v>
      </c>
      <c r="F2967" s="2">
        <v>2687</v>
      </c>
      <c r="G2967" s="2">
        <v>100</v>
      </c>
      <c r="H2967" s="2">
        <v>569</v>
      </c>
      <c r="I2967" s="2">
        <v>296</v>
      </c>
      <c r="J2967" s="2">
        <v>2002</v>
      </c>
      <c r="K2967" s="2">
        <v>1</v>
      </c>
      <c r="L2967" s="2">
        <v>569</v>
      </c>
    </row>
    <row r="2968" spans="1:12" x14ac:dyDescent="0.25">
      <c r="A2968" s="4" t="str">
        <f>HYPERLINK("http://www.rosaceae.org/Prunus/Prunus_persica/p.persica_gdr_reftransV1_0010291","p.persica_gdr_reftransV1_0010291")</f>
        <v>p.persica_gdr_reftransV1_0010291</v>
      </c>
      <c r="B2968" s="2">
        <v>1472</v>
      </c>
      <c r="C2968" s="4" t="str">
        <f>HYPERLINK("http://www.uniprot.org/uniprot/M5Y567","M5Y567")</f>
        <v>M5Y567</v>
      </c>
      <c r="D2968" s="2" t="s">
        <v>2834</v>
      </c>
      <c r="E2968" s="3">
        <v>2.46E-100</v>
      </c>
      <c r="F2968" s="2">
        <v>803</v>
      </c>
      <c r="G2968" s="2">
        <v>100</v>
      </c>
      <c r="H2968" s="2">
        <v>219</v>
      </c>
      <c r="I2968" s="2">
        <v>332</v>
      </c>
      <c r="J2968" s="2">
        <v>988</v>
      </c>
      <c r="K2968" s="2">
        <v>43</v>
      </c>
      <c r="L2968" s="2">
        <v>261</v>
      </c>
    </row>
    <row r="2969" spans="1:12" x14ac:dyDescent="0.25">
      <c r="A2969" s="4" t="str">
        <f>HYPERLINK("http://www.rosaceae.org/Prunus/Prunus_persica/p.persica_gdr_reftransV1_0010641","p.persica_gdr_reftransV1_0010641")</f>
        <v>p.persica_gdr_reftransV1_0010641</v>
      </c>
      <c r="B2969" s="2">
        <v>1118</v>
      </c>
      <c r="C2969" s="4" t="str">
        <f>HYPERLINK("http://www.uniprot.org/uniprot/M5W6L5","M5W6L5")</f>
        <v>M5W6L5</v>
      </c>
      <c r="D2969" s="2" t="s">
        <v>2835</v>
      </c>
      <c r="E2969" s="3">
        <v>3.1700000000000001E-109</v>
      </c>
      <c r="F2969" s="2">
        <v>843</v>
      </c>
      <c r="G2969" s="2">
        <v>100</v>
      </c>
      <c r="H2969" s="2">
        <v>173</v>
      </c>
      <c r="I2969" s="2">
        <v>189</v>
      </c>
      <c r="J2969" s="2">
        <v>707</v>
      </c>
      <c r="K2969" s="2">
        <v>1</v>
      </c>
      <c r="L2969" s="2">
        <v>173</v>
      </c>
    </row>
    <row r="2970" spans="1:12" x14ac:dyDescent="0.25">
      <c r="A2970" s="4" t="str">
        <f>HYPERLINK("http://www.rosaceae.org/Prunus/Prunus_persica/p.persica_gdr_reftransV1_0010991","p.persica_gdr_reftransV1_0010991")</f>
        <v>p.persica_gdr_reftransV1_0010991</v>
      </c>
      <c r="B2970" s="2">
        <v>776</v>
      </c>
      <c r="C2970" s="4" t="str">
        <f>HYPERLINK("http://www.uniprot.org/uniprot/M5XDG1","M5XDG1")</f>
        <v>M5XDG1</v>
      </c>
      <c r="D2970" s="2" t="s">
        <v>2836</v>
      </c>
      <c r="E2970" s="3">
        <v>1.42E-119</v>
      </c>
      <c r="F2970" s="2">
        <v>905</v>
      </c>
      <c r="G2970" s="2">
        <v>100</v>
      </c>
      <c r="H2970" s="2">
        <v>170</v>
      </c>
      <c r="I2970" s="2">
        <v>126</v>
      </c>
      <c r="J2970" s="2">
        <v>635</v>
      </c>
      <c r="K2970" s="2">
        <v>1</v>
      </c>
      <c r="L2970" s="2">
        <v>170</v>
      </c>
    </row>
    <row r="2971" spans="1:12" x14ac:dyDescent="0.25">
      <c r="A2971" s="4" t="str">
        <f>HYPERLINK("http://www.rosaceae.org/Prunus/Prunus_persica/p.persica_gdr_reftransV1_0011691","p.persica_gdr_reftransV1_0011691")</f>
        <v>p.persica_gdr_reftransV1_0011691</v>
      </c>
      <c r="B2971" s="2">
        <v>779</v>
      </c>
      <c r="C2971" s="4" t="str">
        <f>HYPERLINK("http://www.uniprot.org/uniprot/M5W5B9","M5W5B9")</f>
        <v>M5W5B9</v>
      </c>
      <c r="D2971" s="2" t="s">
        <v>2837</v>
      </c>
      <c r="E2971" s="3">
        <v>1.96E-168</v>
      </c>
      <c r="F2971" s="2">
        <v>1281</v>
      </c>
      <c r="G2971" s="2">
        <v>100</v>
      </c>
      <c r="H2971" s="2">
        <v>256</v>
      </c>
      <c r="I2971" s="2">
        <v>3</v>
      </c>
      <c r="J2971" s="2">
        <v>770</v>
      </c>
      <c r="K2971" s="2">
        <v>1</v>
      </c>
      <c r="L2971" s="2">
        <v>256</v>
      </c>
    </row>
    <row r="2972" spans="1:12" x14ac:dyDescent="0.25">
      <c r="A2972" s="4" t="str">
        <f>HYPERLINK("http://www.rosaceae.org/Prunus/Prunus_persica/p.persica_gdr_reftransV1_0012041","p.persica_gdr_reftransV1_0012041")</f>
        <v>p.persica_gdr_reftransV1_0012041</v>
      </c>
      <c r="B2972" s="2">
        <v>875</v>
      </c>
      <c r="C2972" s="4" t="str">
        <f>HYPERLINK("http://www.uniprot.org/uniprot/M5VKP8","M5VKP8")</f>
        <v>M5VKP8</v>
      </c>
      <c r="D2972" s="2" t="s">
        <v>2838</v>
      </c>
      <c r="E2972" s="3">
        <v>4.69E-61</v>
      </c>
      <c r="F2972" s="2">
        <v>510</v>
      </c>
      <c r="G2972" s="2">
        <v>100</v>
      </c>
      <c r="H2972" s="2">
        <v>117</v>
      </c>
      <c r="I2972" s="2">
        <v>245</v>
      </c>
      <c r="J2972" s="2">
        <v>595</v>
      </c>
      <c r="K2972" s="2">
        <v>1</v>
      </c>
      <c r="L2972" s="2">
        <v>117</v>
      </c>
    </row>
    <row r="2973" spans="1:12" x14ac:dyDescent="0.25">
      <c r="A2973" s="4" t="str">
        <f>HYPERLINK("http://www.rosaceae.org/Prunus/Prunus_persica/p.persica_gdr_reftransV1_0013791","p.persica_gdr_reftransV1_0013791")</f>
        <v>p.persica_gdr_reftransV1_0013791</v>
      </c>
      <c r="B2973" s="2">
        <v>1542</v>
      </c>
      <c r="C2973" s="4" t="str">
        <f>HYPERLINK("http://www.uniprot.org/uniprot/M5VZ97","M5VZ97")</f>
        <v>M5VZ97</v>
      </c>
      <c r="D2973" s="2" t="s">
        <v>2839</v>
      </c>
      <c r="E2973" s="3">
        <v>0</v>
      </c>
      <c r="F2973" s="2">
        <v>1513</v>
      </c>
      <c r="G2973" s="2">
        <v>99</v>
      </c>
      <c r="H2973" s="2">
        <v>318</v>
      </c>
      <c r="I2973" s="2">
        <v>529</v>
      </c>
      <c r="J2973" s="2">
        <v>1482</v>
      </c>
      <c r="K2973" s="2">
        <v>1</v>
      </c>
      <c r="L2973" s="2">
        <v>316</v>
      </c>
    </row>
    <row r="2974" spans="1:12" x14ac:dyDescent="0.25">
      <c r="A2974" s="4" t="str">
        <f>HYPERLINK("http://www.rosaceae.org/Prunus/Prunus_persica/p.persica_gdr_reftransV1_0014141","p.persica_gdr_reftransV1_0014141")</f>
        <v>p.persica_gdr_reftransV1_0014141</v>
      </c>
      <c r="B2974" s="2">
        <v>1863</v>
      </c>
      <c r="C2974" s="4" t="str">
        <f>HYPERLINK("http://www.uniprot.org/uniprot/M5XBH7","M5XBH7")</f>
        <v>M5XBH7</v>
      </c>
      <c r="D2974" s="2" t="s">
        <v>2840</v>
      </c>
      <c r="E2974" s="3">
        <v>0</v>
      </c>
      <c r="F2974" s="2">
        <v>2394</v>
      </c>
      <c r="G2974" s="2">
        <v>100</v>
      </c>
      <c r="H2974" s="2">
        <v>450</v>
      </c>
      <c r="I2974" s="2">
        <v>247</v>
      </c>
      <c r="J2974" s="2">
        <v>1596</v>
      </c>
      <c r="K2974" s="2">
        <v>1</v>
      </c>
      <c r="L2974" s="2">
        <v>450</v>
      </c>
    </row>
    <row r="2975" spans="1:12" x14ac:dyDescent="0.25">
      <c r="A2975" s="4" t="str">
        <f>HYPERLINK("http://www.rosaceae.org/Prunus/Prunus_persica/p.persica_gdr_reftransV1_0014491","p.persica_gdr_reftransV1_0014491")</f>
        <v>p.persica_gdr_reftransV1_0014491</v>
      </c>
      <c r="B2975" s="2">
        <v>1608</v>
      </c>
      <c r="C2975" s="4" t="str">
        <f>HYPERLINK("http://www.uniprot.org/uniprot/M5WNT1","M5WNT1")</f>
        <v>M5WNT1</v>
      </c>
      <c r="D2975" s="2" t="s">
        <v>2841</v>
      </c>
      <c r="E2975" s="3">
        <v>0</v>
      </c>
      <c r="F2975" s="2">
        <v>2204</v>
      </c>
      <c r="G2975" s="2">
        <v>100</v>
      </c>
      <c r="H2975" s="2">
        <v>428</v>
      </c>
      <c r="I2975" s="2">
        <v>3</v>
      </c>
      <c r="J2975" s="2">
        <v>1286</v>
      </c>
      <c r="K2975" s="2">
        <v>674</v>
      </c>
      <c r="L2975" s="2">
        <v>1101</v>
      </c>
    </row>
    <row r="2976" spans="1:12" x14ac:dyDescent="0.25">
      <c r="A2976" s="4" t="str">
        <f>HYPERLINK("http://www.rosaceae.org/Prunus/Prunus_persica/p.persica_gdr_reftransV1_0015541","p.persica_gdr_reftransV1_0015541")</f>
        <v>p.persica_gdr_reftransV1_0015541</v>
      </c>
      <c r="B2976" s="2">
        <v>5340</v>
      </c>
      <c r="C2976" s="4" t="str">
        <f>HYPERLINK("http://www.uniprot.org/uniprot/M5WQJ8","M5WQJ8")</f>
        <v>M5WQJ8</v>
      </c>
      <c r="D2976" s="2" t="s">
        <v>2842</v>
      </c>
      <c r="E2976" s="3">
        <v>0</v>
      </c>
      <c r="F2976" s="2">
        <v>2914</v>
      </c>
      <c r="G2976" s="2">
        <v>98</v>
      </c>
      <c r="H2976" s="2">
        <v>559</v>
      </c>
      <c r="I2976" s="2">
        <v>715</v>
      </c>
      <c r="J2976" s="2">
        <v>2391</v>
      </c>
      <c r="K2976" s="2">
        <v>401</v>
      </c>
      <c r="L2976" s="2">
        <v>959</v>
      </c>
    </row>
    <row r="2977" spans="1:12" x14ac:dyDescent="0.25">
      <c r="A2977" s="4" t="str">
        <f>HYPERLINK("http://www.rosaceae.org/Prunus/Prunus_persica/p.persica_gdr_reftransV1_0015891","p.persica_gdr_reftransV1_0015891")</f>
        <v>p.persica_gdr_reftransV1_0015891</v>
      </c>
      <c r="B2977" s="2">
        <v>1591</v>
      </c>
      <c r="C2977" s="4" t="str">
        <f>HYPERLINK("http://www.uniprot.org/uniprot/M5XC85","M5XC85")</f>
        <v>M5XC85</v>
      </c>
      <c r="D2977" s="2" t="s">
        <v>2843</v>
      </c>
      <c r="E2977" s="3">
        <v>2.8400000000000001E-161</v>
      </c>
      <c r="F2977" s="2">
        <v>1213</v>
      </c>
      <c r="G2977" s="2">
        <v>100</v>
      </c>
      <c r="H2977" s="2">
        <v>274</v>
      </c>
      <c r="I2977" s="2">
        <v>407</v>
      </c>
      <c r="J2977" s="2">
        <v>1228</v>
      </c>
      <c r="K2977" s="2">
        <v>1</v>
      </c>
      <c r="L2977" s="2">
        <v>274</v>
      </c>
    </row>
    <row r="2978" spans="1:12" x14ac:dyDescent="0.25">
      <c r="A2978" s="4" t="str">
        <f>HYPERLINK("http://www.rosaceae.org/Prunus/Prunus_persica/p.persica_gdr_reftransV1_0016241","p.persica_gdr_reftransV1_0016241")</f>
        <v>p.persica_gdr_reftransV1_0016241</v>
      </c>
      <c r="B2978" s="2">
        <v>1967</v>
      </c>
      <c r="C2978" s="4" t="str">
        <f>HYPERLINK("http://www.uniprot.org/uniprot/M5VIW9","M5VIW9")</f>
        <v>M5VIW9</v>
      </c>
      <c r="D2978" s="2" t="s">
        <v>2844</v>
      </c>
      <c r="E2978" s="3">
        <v>0</v>
      </c>
      <c r="F2978" s="2">
        <v>1928</v>
      </c>
      <c r="G2978" s="2">
        <v>100</v>
      </c>
      <c r="H2978" s="2">
        <v>372</v>
      </c>
      <c r="I2978" s="2">
        <v>693</v>
      </c>
      <c r="J2978" s="2">
        <v>1808</v>
      </c>
      <c r="K2978" s="2">
        <v>168</v>
      </c>
      <c r="L2978" s="2">
        <v>539</v>
      </c>
    </row>
    <row r="2979" spans="1:12" x14ac:dyDescent="0.25">
      <c r="A2979" s="4" t="str">
        <f>HYPERLINK("http://www.rosaceae.org/Prunus/Prunus_persica/p.persica_gdr_reftransV1_0017641","p.persica_gdr_reftransV1_0017641")</f>
        <v>p.persica_gdr_reftransV1_0017641</v>
      </c>
      <c r="B2979" s="2">
        <v>1460</v>
      </c>
      <c r="C2979" s="4" t="str">
        <f>HYPERLINK("http://www.uniprot.org/uniprot/M5VMT9","M5VMT9")</f>
        <v>M5VMT9</v>
      </c>
      <c r="D2979" s="2" t="s">
        <v>2845</v>
      </c>
      <c r="E2979" s="3">
        <v>0</v>
      </c>
      <c r="F2979" s="2">
        <v>1795</v>
      </c>
      <c r="G2979" s="2">
        <v>100</v>
      </c>
      <c r="H2979" s="2">
        <v>342</v>
      </c>
      <c r="I2979" s="2">
        <v>242</v>
      </c>
      <c r="J2979" s="2">
        <v>1267</v>
      </c>
      <c r="K2979" s="2">
        <v>24</v>
      </c>
      <c r="L2979" s="2">
        <v>365</v>
      </c>
    </row>
    <row r="2980" spans="1:12" x14ac:dyDescent="0.25">
      <c r="A2980" s="4" t="str">
        <f>HYPERLINK("http://www.rosaceae.org/Prunus/Prunus_persica/p.persica_gdr_reftransV1_0019391","p.persica_gdr_reftransV1_0019391")</f>
        <v>p.persica_gdr_reftransV1_0019391</v>
      </c>
      <c r="B2980" s="2">
        <v>2436</v>
      </c>
      <c r="C2980" s="4" t="str">
        <f>HYPERLINK("http://www.uniprot.org/uniprot/M5WJZ2","M5WJZ2")</f>
        <v>M5WJZ2</v>
      </c>
      <c r="D2980" s="2" t="s">
        <v>2846</v>
      </c>
      <c r="E2980" s="3">
        <v>0</v>
      </c>
      <c r="F2980" s="2">
        <v>3074</v>
      </c>
      <c r="G2980" s="2">
        <v>100</v>
      </c>
      <c r="H2980" s="2">
        <v>598</v>
      </c>
      <c r="I2980" s="2">
        <v>453</v>
      </c>
      <c r="J2980" s="2">
        <v>2246</v>
      </c>
      <c r="K2980" s="2">
        <v>1</v>
      </c>
      <c r="L2980" s="2">
        <v>598</v>
      </c>
    </row>
    <row r="2981" spans="1:12" x14ac:dyDescent="0.25">
      <c r="A2981" s="4" t="str">
        <f>HYPERLINK("http://www.rosaceae.org/Prunus/Prunus_persica/p.persica_gdr_reftransV1_0019741","p.persica_gdr_reftransV1_0019741")</f>
        <v>p.persica_gdr_reftransV1_0019741</v>
      </c>
      <c r="B2981" s="2">
        <v>420</v>
      </c>
      <c r="C2981" s="4" t="str">
        <f>HYPERLINK("http://www.uniprot.org/uniprot/M5WCJ4","M5WCJ4")</f>
        <v>M5WCJ4</v>
      </c>
      <c r="D2981" s="2" t="s">
        <v>914</v>
      </c>
      <c r="E2981" s="3">
        <v>1.57E-62</v>
      </c>
      <c r="F2981" s="2">
        <v>540</v>
      </c>
      <c r="G2981" s="2">
        <v>100</v>
      </c>
      <c r="H2981" s="2">
        <v>120</v>
      </c>
      <c r="I2981" s="2">
        <v>38</v>
      </c>
      <c r="J2981" s="2">
        <v>397</v>
      </c>
      <c r="K2981" s="2">
        <v>1</v>
      </c>
      <c r="L2981" s="2">
        <v>120</v>
      </c>
    </row>
    <row r="2982" spans="1:12" x14ac:dyDescent="0.25">
      <c r="A2982" s="4" t="str">
        <f>HYPERLINK("http://www.rosaceae.org/Prunus/Prunus_persica/p.persica_gdr_reftransV1_0020441","p.persica_gdr_reftransV1_0020441")</f>
        <v>p.persica_gdr_reftransV1_0020441</v>
      </c>
      <c r="B2982" s="2">
        <v>7607</v>
      </c>
      <c r="C2982" s="4" t="str">
        <f>HYPERLINK("http://www.uniprot.org/uniprot/M5W795","M5W795")</f>
        <v>M5W795</v>
      </c>
      <c r="D2982" s="2" t="s">
        <v>2847</v>
      </c>
      <c r="E2982" s="3">
        <v>0</v>
      </c>
      <c r="F2982" s="2">
        <v>9974</v>
      </c>
      <c r="G2982" s="2">
        <v>100</v>
      </c>
      <c r="H2982" s="2">
        <v>2160</v>
      </c>
      <c r="I2982" s="2">
        <v>483</v>
      </c>
      <c r="J2982" s="2">
        <v>6962</v>
      </c>
      <c r="K2982" s="2">
        <v>1</v>
      </c>
      <c r="L2982" s="2">
        <v>2160</v>
      </c>
    </row>
    <row r="2983" spans="1:12" x14ac:dyDescent="0.25">
      <c r="A2983" s="4" t="str">
        <f>HYPERLINK("http://www.rosaceae.org/Prunus/Prunus_persica/p.persica_gdr_reftransV1_0020791","p.persica_gdr_reftransV1_0020791")</f>
        <v>p.persica_gdr_reftransV1_0020791</v>
      </c>
      <c r="B2983" s="2">
        <v>2161</v>
      </c>
      <c r="C2983" s="4" t="str">
        <f>HYPERLINK("http://www.uniprot.org/uniprot/M5VQE9","M5VQE9")</f>
        <v>M5VQE9</v>
      </c>
      <c r="D2983" s="2" t="s">
        <v>2848</v>
      </c>
      <c r="E2983" s="3">
        <v>3.7299999999999999E-107</v>
      </c>
      <c r="F2983" s="2">
        <v>873</v>
      </c>
      <c r="G2983" s="2">
        <v>98</v>
      </c>
      <c r="H2983" s="2">
        <v>166</v>
      </c>
      <c r="I2983" s="2">
        <v>1512</v>
      </c>
      <c r="J2983" s="2">
        <v>2009</v>
      </c>
      <c r="K2983" s="2">
        <v>1</v>
      </c>
      <c r="L2983" s="2">
        <v>166</v>
      </c>
    </row>
    <row r="2984" spans="1:12" x14ac:dyDescent="0.25">
      <c r="A2984" s="4" t="str">
        <f>HYPERLINK("http://www.rosaceae.org/Prunus/Prunus_persica/p.persica_gdr_reftransV1_0021141","p.persica_gdr_reftransV1_0021141")</f>
        <v>p.persica_gdr_reftransV1_0021141</v>
      </c>
      <c r="B2984" s="2">
        <v>1541</v>
      </c>
      <c r="C2984" s="4" t="str">
        <f>HYPERLINK("http://www.uniprot.org/uniprot/M5Y2D9","M5Y2D9")</f>
        <v>M5Y2D9</v>
      </c>
      <c r="D2984" s="2" t="s">
        <v>2849</v>
      </c>
      <c r="E2984" s="3">
        <v>3.3600000000000001E-159</v>
      </c>
      <c r="F2984" s="2">
        <v>1193</v>
      </c>
      <c r="G2984" s="2">
        <v>100</v>
      </c>
      <c r="H2984" s="2">
        <v>225</v>
      </c>
      <c r="I2984" s="2">
        <v>580</v>
      </c>
      <c r="J2984" s="2">
        <v>1254</v>
      </c>
      <c r="K2984" s="2">
        <v>1</v>
      </c>
      <c r="L2984" s="2">
        <v>225</v>
      </c>
    </row>
    <row r="2985" spans="1:12" x14ac:dyDescent="0.25">
      <c r="A2985" s="4" t="str">
        <f>HYPERLINK("http://www.rosaceae.org/Prunus/Prunus_persica/p.persica_gdr_reftransV1_0022191","p.persica_gdr_reftransV1_0022191")</f>
        <v>p.persica_gdr_reftransV1_0022191</v>
      </c>
      <c r="B2985" s="2">
        <v>3629</v>
      </c>
      <c r="C2985" s="4" t="str">
        <f>HYPERLINK("http://www.uniprot.org/uniprot/M5W1U2","M5W1U2")</f>
        <v>M5W1U2</v>
      </c>
      <c r="D2985" s="2" t="s">
        <v>2850</v>
      </c>
      <c r="E2985" s="3">
        <v>0</v>
      </c>
      <c r="F2985" s="2">
        <v>2352</v>
      </c>
      <c r="G2985" s="2">
        <v>100</v>
      </c>
      <c r="H2985" s="2">
        <v>496</v>
      </c>
      <c r="I2985" s="2">
        <v>1062</v>
      </c>
      <c r="J2985" s="2">
        <v>2549</v>
      </c>
      <c r="K2985" s="2">
        <v>169</v>
      </c>
      <c r="L2985" s="2">
        <v>664</v>
      </c>
    </row>
    <row r="2986" spans="1:12" x14ac:dyDescent="0.25">
      <c r="A2986" s="4" t="str">
        <f>HYPERLINK("http://www.rosaceae.org/Prunus/Prunus_persica/p.persica_gdr_reftransV1_0023241","p.persica_gdr_reftransV1_0023241")</f>
        <v>p.persica_gdr_reftransV1_0023241</v>
      </c>
      <c r="B2986" s="2">
        <v>2967</v>
      </c>
      <c r="C2986" s="4" t="str">
        <f>HYPERLINK("http://www.uniprot.org/uniprot/M5XK74","M5XK74")</f>
        <v>M5XK74</v>
      </c>
      <c r="D2986" s="2" t="s">
        <v>2851</v>
      </c>
      <c r="E2986" s="3">
        <v>0</v>
      </c>
      <c r="F2986" s="2">
        <v>4110</v>
      </c>
      <c r="G2986" s="2">
        <v>98</v>
      </c>
      <c r="H2986" s="2">
        <v>819</v>
      </c>
      <c r="I2986" s="2">
        <v>133</v>
      </c>
      <c r="J2986" s="2">
        <v>2589</v>
      </c>
      <c r="K2986" s="2">
        <v>1</v>
      </c>
      <c r="L2986" s="2">
        <v>805</v>
      </c>
    </row>
    <row r="2987" spans="1:12" x14ac:dyDescent="0.25">
      <c r="A2987" s="4" t="str">
        <f>HYPERLINK("http://www.rosaceae.org/Prunus/Prunus_persica/p.persica_gdr_reftransV1_0023591","p.persica_gdr_reftransV1_0023591")</f>
        <v>p.persica_gdr_reftransV1_0023591</v>
      </c>
      <c r="B2987" s="2">
        <v>4086</v>
      </c>
      <c r="C2987" s="4" t="str">
        <f>HYPERLINK("http://www.uniprot.org/uniprot/M5XMD6","M5XMD6")</f>
        <v>M5XMD6</v>
      </c>
      <c r="D2987" s="2" t="s">
        <v>2852</v>
      </c>
      <c r="E2987" s="3">
        <v>0</v>
      </c>
      <c r="F2987" s="2">
        <v>2226</v>
      </c>
      <c r="G2987" s="2">
        <v>100</v>
      </c>
      <c r="H2987" s="2">
        <v>449</v>
      </c>
      <c r="I2987" s="2">
        <v>2483</v>
      </c>
      <c r="J2987" s="2">
        <v>3829</v>
      </c>
      <c r="K2987" s="2">
        <v>1</v>
      </c>
      <c r="L2987" s="2">
        <v>449</v>
      </c>
    </row>
    <row r="2988" spans="1:12" x14ac:dyDescent="0.25">
      <c r="A2988" s="4" t="str">
        <f>HYPERLINK("http://www.rosaceae.org/Prunus/Prunus_persica/p.persica_gdr_reftransV1_0023941","p.persica_gdr_reftransV1_0023941")</f>
        <v>p.persica_gdr_reftransV1_0023941</v>
      </c>
      <c r="B2988" s="2">
        <v>2701</v>
      </c>
      <c r="C2988" s="4" t="str">
        <f>HYPERLINK("http://www.uniprot.org/uniprot/M5Y1Q7","M5Y1Q7")</f>
        <v>M5Y1Q7</v>
      </c>
      <c r="D2988" s="2" t="s">
        <v>2853</v>
      </c>
      <c r="E2988" s="3">
        <v>0</v>
      </c>
      <c r="F2988" s="2">
        <v>3247</v>
      </c>
      <c r="G2988" s="2">
        <v>99</v>
      </c>
      <c r="H2988" s="2">
        <v>630</v>
      </c>
      <c r="I2988" s="2">
        <v>220</v>
      </c>
      <c r="J2988" s="2">
        <v>2109</v>
      </c>
      <c r="K2988" s="2">
        <v>90</v>
      </c>
      <c r="L2988" s="2">
        <v>719</v>
      </c>
    </row>
    <row r="2989" spans="1:12" x14ac:dyDescent="0.25">
      <c r="A2989" s="4" t="str">
        <f>HYPERLINK("http://www.rosaceae.org/Prunus/Prunus_persica/p.persica_gdr_reftransV1_0024641","p.persica_gdr_reftransV1_0024641")</f>
        <v>p.persica_gdr_reftransV1_0024641</v>
      </c>
      <c r="B2989" s="2">
        <v>807</v>
      </c>
      <c r="C2989" s="4" t="str">
        <f>HYPERLINK("http://www.uniprot.org/uniprot/M5X503","M5X503")</f>
        <v>M5X503</v>
      </c>
      <c r="D2989" s="2" t="s">
        <v>2365</v>
      </c>
      <c r="E2989" s="3">
        <v>3.3400000000000002E-162</v>
      </c>
      <c r="F2989" s="2">
        <v>1207</v>
      </c>
      <c r="G2989" s="2">
        <v>100</v>
      </c>
      <c r="H2989" s="2">
        <v>261</v>
      </c>
      <c r="I2989" s="2">
        <v>14</v>
      </c>
      <c r="J2989" s="2">
        <v>796</v>
      </c>
      <c r="K2989" s="2">
        <v>75</v>
      </c>
      <c r="L2989" s="2">
        <v>335</v>
      </c>
    </row>
    <row r="2990" spans="1:12" x14ac:dyDescent="0.25">
      <c r="A2990" s="4" t="str">
        <f>HYPERLINK("http://www.rosaceae.org/Prunus/Prunus_persica/p.persica_gdr_reftransV1_0025341","p.persica_gdr_reftransV1_0025341")</f>
        <v>p.persica_gdr_reftransV1_0025341</v>
      </c>
      <c r="B2990" s="2">
        <v>856</v>
      </c>
      <c r="C2990" s="4" t="str">
        <f>HYPERLINK("http://www.uniprot.org/uniprot/A0A067JZ50","A0A067JZ50")</f>
        <v>A0A067JZ50</v>
      </c>
      <c r="D2990" s="2" t="s">
        <v>2854</v>
      </c>
      <c r="E2990" s="3">
        <v>8.9099999999999993E-78</v>
      </c>
      <c r="F2990" s="2">
        <v>629</v>
      </c>
      <c r="G2990" s="2">
        <v>68</v>
      </c>
      <c r="H2990" s="2">
        <v>206</v>
      </c>
      <c r="I2990" s="2">
        <v>43</v>
      </c>
      <c r="J2990" s="2">
        <v>645</v>
      </c>
      <c r="K2990" s="2">
        <v>1</v>
      </c>
      <c r="L2990" s="2">
        <v>206</v>
      </c>
    </row>
    <row r="2991" spans="1:12" x14ac:dyDescent="0.25">
      <c r="A2991" s="4" t="str">
        <f>HYPERLINK("http://www.rosaceae.org/Prunus/Prunus_persica/p.persica_gdr_reftransV1_0026391","p.persica_gdr_reftransV1_0026391")</f>
        <v>p.persica_gdr_reftransV1_0026391</v>
      </c>
      <c r="B2991" s="2">
        <v>1527</v>
      </c>
      <c r="C2991" s="4" t="str">
        <f>HYPERLINK("http://www.uniprot.org/uniprot/M5W065","M5W065")</f>
        <v>M5W065</v>
      </c>
      <c r="D2991" s="2" t="s">
        <v>2855</v>
      </c>
      <c r="E2991" s="3">
        <v>2.8000000000000001E-18</v>
      </c>
      <c r="F2991" s="2">
        <v>224</v>
      </c>
      <c r="G2991" s="2">
        <v>98</v>
      </c>
      <c r="H2991" s="2">
        <v>61</v>
      </c>
      <c r="I2991" s="2">
        <v>190</v>
      </c>
      <c r="J2991" s="2">
        <v>372</v>
      </c>
      <c r="K2991" s="2">
        <v>1</v>
      </c>
      <c r="L2991" s="2">
        <v>61</v>
      </c>
    </row>
    <row r="2992" spans="1:12" x14ac:dyDescent="0.25">
      <c r="A2992" s="4" t="str">
        <f>HYPERLINK("http://www.rosaceae.org/Prunus/Prunus_persica/p.persica_gdr_reftransV1_0026741","p.persica_gdr_reftransV1_0026741")</f>
        <v>p.persica_gdr_reftransV1_0026741</v>
      </c>
      <c r="B2992" s="2">
        <v>2141</v>
      </c>
      <c r="C2992" s="4" t="str">
        <f>HYPERLINK("http://www.uniprot.org/uniprot/M5WB87","M5WB87")</f>
        <v>M5WB87</v>
      </c>
      <c r="D2992" s="2" t="s">
        <v>2856</v>
      </c>
      <c r="E2992" s="3">
        <v>1.26E-121</v>
      </c>
      <c r="F2992" s="2">
        <v>970</v>
      </c>
      <c r="G2992" s="2">
        <v>98</v>
      </c>
      <c r="H2992" s="2">
        <v>215</v>
      </c>
      <c r="I2992" s="2">
        <v>735</v>
      </c>
      <c r="J2992" s="2">
        <v>1379</v>
      </c>
      <c r="K2992" s="2">
        <v>31</v>
      </c>
      <c r="L2992" s="2">
        <v>245</v>
      </c>
    </row>
    <row r="2993" spans="1:12" x14ac:dyDescent="0.25">
      <c r="A2993" s="4" t="str">
        <f>HYPERLINK("http://www.rosaceae.org/Prunus/Prunus_persica/p.persica_gdr_reftransV1_0027091","p.persica_gdr_reftransV1_0027091")</f>
        <v>p.persica_gdr_reftransV1_0027091</v>
      </c>
      <c r="B2993" s="2">
        <v>3015</v>
      </c>
      <c r="C2993" s="4" t="str">
        <f>HYPERLINK("http://www.uniprot.org/uniprot/M5WZ52","M5WZ52")</f>
        <v>M5WZ52</v>
      </c>
      <c r="D2993" s="2" t="s">
        <v>2857</v>
      </c>
      <c r="E2993" s="3">
        <v>0</v>
      </c>
      <c r="F2993" s="2">
        <v>3200</v>
      </c>
      <c r="G2993" s="2">
        <v>98</v>
      </c>
      <c r="H2993" s="2">
        <v>655</v>
      </c>
      <c r="I2993" s="2">
        <v>128</v>
      </c>
      <c r="J2993" s="2">
        <v>2065</v>
      </c>
      <c r="K2993" s="2">
        <v>1</v>
      </c>
      <c r="L2993" s="2">
        <v>655</v>
      </c>
    </row>
    <row r="2994" spans="1:12" x14ac:dyDescent="0.25">
      <c r="A2994" s="4" t="str">
        <f>HYPERLINK("http://www.rosaceae.org/Prunus/Prunus_persica/p.persica_gdr_reftransV1_0028841","p.persica_gdr_reftransV1_0028841")</f>
        <v>p.persica_gdr_reftransV1_0028841</v>
      </c>
      <c r="B2994" s="2">
        <v>2482</v>
      </c>
      <c r="C2994" s="4" t="str">
        <f>HYPERLINK("http://www.uniprot.org/uniprot/M5XSJ5","M5XSJ5")</f>
        <v>M5XSJ5</v>
      </c>
      <c r="D2994" s="2" t="s">
        <v>2858</v>
      </c>
      <c r="E2994" s="3">
        <v>0</v>
      </c>
      <c r="F2994" s="2">
        <v>2470</v>
      </c>
      <c r="G2994" s="2">
        <v>87</v>
      </c>
      <c r="H2994" s="2">
        <v>548</v>
      </c>
      <c r="I2994" s="2">
        <v>301</v>
      </c>
      <c r="J2994" s="2">
        <v>1926</v>
      </c>
      <c r="K2994" s="2">
        <v>1</v>
      </c>
      <c r="L2994" s="2">
        <v>523</v>
      </c>
    </row>
    <row r="2995" spans="1:12" x14ac:dyDescent="0.25">
      <c r="A2995" s="4" t="str">
        <f>HYPERLINK("http://www.rosaceae.org/Prunus/Prunus_persica/p.persica_gdr_reftransV1_0029891","p.persica_gdr_reftransV1_0029891")</f>
        <v>p.persica_gdr_reftransV1_0029891</v>
      </c>
      <c r="B2995" s="2">
        <v>3675</v>
      </c>
      <c r="C2995" s="4" t="str">
        <f>HYPERLINK("http://www.uniprot.org/uniprot/M5X705","M5X705")</f>
        <v>M5X705</v>
      </c>
      <c r="D2995" s="2" t="s">
        <v>2859</v>
      </c>
      <c r="E2995" s="3">
        <v>0</v>
      </c>
      <c r="F2995" s="2">
        <v>4131</v>
      </c>
      <c r="G2995" s="2">
        <v>97</v>
      </c>
      <c r="H2995" s="2">
        <v>895</v>
      </c>
      <c r="I2995" s="2">
        <v>467</v>
      </c>
      <c r="J2995" s="2">
        <v>3151</v>
      </c>
      <c r="K2995" s="2">
        <v>1</v>
      </c>
      <c r="L2995" s="2">
        <v>872</v>
      </c>
    </row>
    <row r="2996" spans="1:12" x14ac:dyDescent="0.25">
      <c r="A2996" s="4" t="str">
        <f>HYPERLINK("http://www.rosaceae.org/Prunus/Prunus_persica/p.persica_gdr_reftransV1_0030241","p.persica_gdr_reftransV1_0030241")</f>
        <v>p.persica_gdr_reftransV1_0030241</v>
      </c>
      <c r="B2996" s="2">
        <v>2895</v>
      </c>
      <c r="C2996" s="4" t="str">
        <f>HYPERLINK("http://www.uniprot.org/uniprot/W9SAD6","W9SAD6")</f>
        <v>W9SAD6</v>
      </c>
      <c r="D2996" s="2" t="s">
        <v>2860</v>
      </c>
      <c r="E2996" s="3">
        <v>0</v>
      </c>
      <c r="F2996" s="2">
        <v>1553</v>
      </c>
      <c r="G2996" s="2">
        <v>86</v>
      </c>
      <c r="H2996" s="2">
        <v>341</v>
      </c>
      <c r="I2996" s="2">
        <v>1787</v>
      </c>
      <c r="J2996" s="2">
        <v>2809</v>
      </c>
      <c r="K2996" s="2">
        <v>16</v>
      </c>
      <c r="L2996" s="2">
        <v>356</v>
      </c>
    </row>
    <row r="2997" spans="1:12" x14ac:dyDescent="0.25">
      <c r="A2997" s="4" t="str">
        <f>HYPERLINK("http://www.rosaceae.org/Prunus/Prunus_persica/p.persica_gdr_reftransV1_0030941","p.persica_gdr_reftransV1_0030941")</f>
        <v>p.persica_gdr_reftransV1_0030941</v>
      </c>
      <c r="B2997" s="2">
        <v>3637</v>
      </c>
      <c r="C2997" s="4" t="str">
        <f>HYPERLINK("http://www.uniprot.org/uniprot/M5XQ47","M5XQ47")</f>
        <v>M5XQ47</v>
      </c>
      <c r="D2997" s="2" t="s">
        <v>2861</v>
      </c>
      <c r="E2997" s="3">
        <v>0</v>
      </c>
      <c r="F2997" s="2">
        <v>2809</v>
      </c>
      <c r="G2997" s="2">
        <v>100</v>
      </c>
      <c r="H2997" s="2">
        <v>566</v>
      </c>
      <c r="I2997" s="2">
        <v>367</v>
      </c>
      <c r="J2997" s="2">
        <v>2064</v>
      </c>
      <c r="K2997" s="2">
        <v>94</v>
      </c>
      <c r="L2997" s="2">
        <v>659</v>
      </c>
    </row>
    <row r="2998" spans="1:12" x14ac:dyDescent="0.25">
      <c r="A2998" s="4" t="str">
        <f>HYPERLINK("http://www.rosaceae.org/Prunus/Prunus_persica/p.persica_gdr_reftransV1_0031641","p.persica_gdr_reftransV1_0031641")</f>
        <v>p.persica_gdr_reftransV1_0031641</v>
      </c>
      <c r="B2998" s="2">
        <v>879</v>
      </c>
      <c r="C2998" s="4" t="str">
        <f>HYPERLINK("http://www.uniprot.org/uniprot/M5VMJ2","M5VMJ2")</f>
        <v>M5VMJ2</v>
      </c>
      <c r="D2998" s="2" t="s">
        <v>2862</v>
      </c>
      <c r="E2998" s="3">
        <v>1.66E-56</v>
      </c>
      <c r="F2998" s="2">
        <v>485</v>
      </c>
      <c r="G2998" s="2">
        <v>100</v>
      </c>
      <c r="H2998" s="2">
        <v>113</v>
      </c>
      <c r="I2998" s="2">
        <v>482</v>
      </c>
      <c r="J2998" s="2">
        <v>820</v>
      </c>
      <c r="K2998" s="2">
        <v>60</v>
      </c>
      <c r="L2998" s="2">
        <v>172</v>
      </c>
    </row>
    <row r="2999" spans="1:12" x14ac:dyDescent="0.25">
      <c r="A2999" s="4" t="str">
        <f>HYPERLINK("http://www.rosaceae.org/Prunus/Prunus_persica/p.persica_gdr_reftransV1_0032341","p.persica_gdr_reftransV1_0032341")</f>
        <v>p.persica_gdr_reftransV1_0032341</v>
      </c>
      <c r="B2999" s="2">
        <v>1069</v>
      </c>
      <c r="C2999" s="4" t="str">
        <f>HYPERLINK("http://www.uniprot.org/uniprot/M5WE18","M5WE18")</f>
        <v>M5WE18</v>
      </c>
      <c r="D2999" s="2" t="s">
        <v>2786</v>
      </c>
      <c r="E2999" s="3">
        <v>9.5899999999999998E-138</v>
      </c>
      <c r="F2999" s="2">
        <v>1094</v>
      </c>
      <c r="G2999" s="2">
        <v>89</v>
      </c>
      <c r="H2999" s="2">
        <v>262</v>
      </c>
      <c r="I2999" s="2">
        <v>280</v>
      </c>
      <c r="J2999" s="2">
        <v>1065</v>
      </c>
      <c r="K2999" s="2">
        <v>1</v>
      </c>
      <c r="L2999" s="2">
        <v>233</v>
      </c>
    </row>
    <row r="3000" spans="1:12" x14ac:dyDescent="0.25">
      <c r="A3000" s="4" t="str">
        <f>HYPERLINK("http://www.rosaceae.org/Prunus/Prunus_persica/p.persica_gdr_reftransV1_0034091","p.persica_gdr_reftransV1_0034091")</f>
        <v>p.persica_gdr_reftransV1_0034091</v>
      </c>
      <c r="B3000" s="2">
        <v>527</v>
      </c>
      <c r="C3000" s="4" t="str">
        <f>HYPERLINK("http://www.uniprot.org/uniprot/M5XT98","M5XT98")</f>
        <v>M5XT98</v>
      </c>
      <c r="D3000" s="2" t="s">
        <v>2863</v>
      </c>
      <c r="E3000" s="3">
        <v>1.51E-106</v>
      </c>
      <c r="F3000" s="2">
        <v>870</v>
      </c>
      <c r="G3000" s="2">
        <v>100</v>
      </c>
      <c r="H3000" s="2">
        <v>175</v>
      </c>
      <c r="I3000" s="2">
        <v>3</v>
      </c>
      <c r="J3000" s="2">
        <v>527</v>
      </c>
      <c r="K3000" s="2">
        <v>405</v>
      </c>
      <c r="L3000" s="2">
        <v>579</v>
      </c>
    </row>
    <row r="3001" spans="1:12" x14ac:dyDescent="0.25">
      <c r="A3001" s="4" t="str">
        <f>HYPERLINK("http://www.rosaceae.org/Prunus/Prunus_persica/p.persica_gdr_reftransV1_0037241","p.persica_gdr_reftransV1_0037241")</f>
        <v>p.persica_gdr_reftransV1_0037241</v>
      </c>
      <c r="B3001" s="2">
        <v>1057</v>
      </c>
      <c r="C3001" s="4" t="str">
        <f>HYPERLINK("http://www.uniprot.org/uniprot/M5VP36","M5VP36")</f>
        <v>M5VP36</v>
      </c>
      <c r="D3001" s="2" t="s">
        <v>2864</v>
      </c>
      <c r="E3001" s="3">
        <v>1.31E-78</v>
      </c>
      <c r="F3001" s="2">
        <v>662</v>
      </c>
      <c r="G3001" s="2">
        <v>87</v>
      </c>
      <c r="H3001" s="2">
        <v>148</v>
      </c>
      <c r="I3001" s="2">
        <v>528</v>
      </c>
      <c r="J3001" s="2">
        <v>968</v>
      </c>
      <c r="K3001" s="2">
        <v>296</v>
      </c>
      <c r="L3001" s="2">
        <v>443</v>
      </c>
    </row>
    <row r="3002" spans="1:12" x14ac:dyDescent="0.25">
      <c r="A3002" s="4" t="str">
        <f>HYPERLINK("http://www.rosaceae.org/Prunus/Prunus_persica/p.persica_gdr_reftransV1_0037591","p.persica_gdr_reftransV1_0037591")</f>
        <v>p.persica_gdr_reftransV1_0037591</v>
      </c>
      <c r="B3002" s="2">
        <v>3593</v>
      </c>
      <c r="C3002" s="4" t="str">
        <f>HYPERLINK("http://www.uniprot.org/uniprot/M5X298","M5X298")</f>
        <v>M5X298</v>
      </c>
      <c r="D3002" s="2" t="s">
        <v>2865</v>
      </c>
      <c r="E3002" s="3">
        <v>0</v>
      </c>
      <c r="F3002" s="2">
        <v>1654</v>
      </c>
      <c r="G3002" s="2">
        <v>100</v>
      </c>
      <c r="H3002" s="2">
        <v>360</v>
      </c>
      <c r="I3002" s="2">
        <v>2384</v>
      </c>
      <c r="J3002" s="2">
        <v>3463</v>
      </c>
      <c r="K3002" s="2">
        <v>1</v>
      </c>
      <c r="L3002" s="2">
        <v>360</v>
      </c>
    </row>
    <row r="3003" spans="1:12" x14ac:dyDescent="0.25">
      <c r="A3003" s="4" t="str">
        <f>HYPERLINK("http://www.rosaceae.org/Prunus/Prunus_persica/p.persica_gdr_reftransV1_0038641","p.persica_gdr_reftransV1_0038641")</f>
        <v>p.persica_gdr_reftransV1_0038641</v>
      </c>
      <c r="B3003" s="2">
        <v>595</v>
      </c>
      <c r="C3003" s="4" t="str">
        <f>HYPERLINK("http://www.uniprot.org/uniprot/M5X9A6","M5X9A6")</f>
        <v>M5X9A6</v>
      </c>
      <c r="D3003" s="2" t="s">
        <v>2866</v>
      </c>
      <c r="E3003" s="3">
        <v>2.5599999999999998E-127</v>
      </c>
      <c r="F3003" s="2">
        <v>973</v>
      </c>
      <c r="G3003" s="2">
        <v>100</v>
      </c>
      <c r="H3003" s="2">
        <v>184</v>
      </c>
      <c r="I3003" s="2">
        <v>44</v>
      </c>
      <c r="J3003" s="2">
        <v>595</v>
      </c>
      <c r="K3003" s="2">
        <v>1</v>
      </c>
      <c r="L3003" s="2">
        <v>184</v>
      </c>
    </row>
    <row r="3004" spans="1:12" x14ac:dyDescent="0.25">
      <c r="A3004" s="4" t="str">
        <f>HYPERLINK("http://www.rosaceae.org/Prunus/Prunus_persica/p.persica_gdr_reftransV1_0040041","p.persica_gdr_reftransV1_0040041")</f>
        <v>p.persica_gdr_reftransV1_0040041</v>
      </c>
      <c r="B3004" s="2">
        <v>1253</v>
      </c>
      <c r="C3004" s="4" t="str">
        <f>HYPERLINK("http://www.uniprot.org/uniprot/M5XYW5","M5XYW5")</f>
        <v>M5XYW5</v>
      </c>
      <c r="D3004" s="2" t="s">
        <v>2867</v>
      </c>
      <c r="E3004" s="3">
        <v>3.8300000000000001E-141</v>
      </c>
      <c r="F3004" s="2">
        <v>1061</v>
      </c>
      <c r="G3004" s="2">
        <v>100</v>
      </c>
      <c r="H3004" s="2">
        <v>197</v>
      </c>
      <c r="I3004" s="2">
        <v>392</v>
      </c>
      <c r="J3004" s="2">
        <v>982</v>
      </c>
      <c r="K3004" s="2">
        <v>1</v>
      </c>
      <c r="L3004" s="2">
        <v>197</v>
      </c>
    </row>
    <row r="3005" spans="1:12" x14ac:dyDescent="0.25">
      <c r="A3005" s="4" t="str">
        <f>HYPERLINK("http://www.rosaceae.org/Prunus/Prunus_persica/p.persica_gdr_reftransV1_0041091","p.persica_gdr_reftransV1_0041091")</f>
        <v>p.persica_gdr_reftransV1_0041091</v>
      </c>
      <c r="B3005" s="2">
        <v>3650</v>
      </c>
      <c r="C3005" s="4" t="str">
        <f>HYPERLINK("http://www.uniprot.org/uniprot/M5VJX6","M5VJX6")</f>
        <v>M5VJX6</v>
      </c>
      <c r="D3005" s="2" t="s">
        <v>2868</v>
      </c>
      <c r="E3005" s="3">
        <v>3.32E-92</v>
      </c>
      <c r="F3005" s="2">
        <v>800</v>
      </c>
      <c r="G3005" s="2">
        <v>100</v>
      </c>
      <c r="H3005" s="2">
        <v>195</v>
      </c>
      <c r="I3005" s="2">
        <v>2844</v>
      </c>
      <c r="J3005" s="2">
        <v>3428</v>
      </c>
      <c r="K3005" s="2">
        <v>1</v>
      </c>
      <c r="L3005" s="2">
        <v>195</v>
      </c>
    </row>
    <row r="3006" spans="1:12" x14ac:dyDescent="0.25">
      <c r="A3006" s="4" t="str">
        <f>HYPERLINK("http://www.rosaceae.org/Prunus/Prunus_persica/p.persica_gdr_reftransV1_0042141","p.persica_gdr_reftransV1_0042141")</f>
        <v>p.persica_gdr_reftransV1_0042141</v>
      </c>
      <c r="B3006" s="2">
        <v>2110</v>
      </c>
      <c r="C3006" s="4" t="str">
        <f>HYPERLINK("http://www.uniprot.org/uniprot/M5VTN5","M5VTN5")</f>
        <v>M5VTN5</v>
      </c>
      <c r="D3006" s="2" t="s">
        <v>2869</v>
      </c>
      <c r="E3006" s="3">
        <v>2.51E-152</v>
      </c>
      <c r="F3006" s="2">
        <v>1247</v>
      </c>
      <c r="G3006" s="2">
        <v>72</v>
      </c>
      <c r="H3006" s="2">
        <v>355</v>
      </c>
      <c r="I3006" s="2">
        <v>1075</v>
      </c>
      <c r="J3006" s="2">
        <v>2109</v>
      </c>
      <c r="K3006" s="2">
        <v>854</v>
      </c>
      <c r="L3006" s="2">
        <v>1192</v>
      </c>
    </row>
    <row r="3007" spans="1:12" x14ac:dyDescent="0.25">
      <c r="A3007" s="4" t="str">
        <f>HYPERLINK("http://www.rosaceae.org/Prunus/Prunus_persica/p.persica_gdr_reftransV1_0042491","p.persica_gdr_reftransV1_0042491")</f>
        <v>p.persica_gdr_reftransV1_0042491</v>
      </c>
      <c r="B3007" s="2">
        <v>1490</v>
      </c>
      <c r="C3007" s="4" t="str">
        <f>HYPERLINK("http://www.uniprot.org/uniprot/M5WAQ3","M5WAQ3")</f>
        <v>M5WAQ3</v>
      </c>
      <c r="D3007" s="2" t="s">
        <v>2870</v>
      </c>
      <c r="E3007" s="3">
        <v>9.2399999999999993E-77</v>
      </c>
      <c r="F3007" s="2">
        <v>639</v>
      </c>
      <c r="G3007" s="2">
        <v>100</v>
      </c>
      <c r="H3007" s="2">
        <v>121</v>
      </c>
      <c r="I3007" s="2">
        <v>225</v>
      </c>
      <c r="J3007" s="2">
        <v>587</v>
      </c>
      <c r="K3007" s="2">
        <v>73</v>
      </c>
      <c r="L3007" s="2">
        <v>193</v>
      </c>
    </row>
    <row r="3008" spans="1:12" x14ac:dyDescent="0.25">
      <c r="A3008" s="4" t="str">
        <f>HYPERLINK("http://www.rosaceae.org/Prunus/Prunus_persica/p.persica_gdr_reftransV1_0043191","p.persica_gdr_reftransV1_0043191")</f>
        <v>p.persica_gdr_reftransV1_0043191</v>
      </c>
      <c r="B3008" s="2">
        <v>316</v>
      </c>
      <c r="C3008" s="4" t="str">
        <f>HYPERLINK("http://www.uniprot.org/uniprot/M5VPI5","M5VPI5")</f>
        <v>M5VPI5</v>
      </c>
      <c r="D3008" s="2" t="s">
        <v>2871</v>
      </c>
      <c r="E3008" s="3">
        <v>4.0899999999999999E-66</v>
      </c>
      <c r="F3008" s="2">
        <v>547</v>
      </c>
      <c r="G3008" s="2">
        <v>100</v>
      </c>
      <c r="H3008" s="2">
        <v>105</v>
      </c>
      <c r="I3008" s="2">
        <v>1</v>
      </c>
      <c r="J3008" s="2">
        <v>315</v>
      </c>
      <c r="K3008" s="2">
        <v>110</v>
      </c>
      <c r="L3008" s="2">
        <v>214</v>
      </c>
    </row>
    <row r="3009" spans="1:12" x14ac:dyDescent="0.25">
      <c r="A3009" s="4" t="str">
        <f>HYPERLINK("http://www.rosaceae.org/Prunus/Prunus_persica/p.persica_gdr_reftransV1_0043541","p.persica_gdr_reftransV1_0043541")</f>
        <v>p.persica_gdr_reftransV1_0043541</v>
      </c>
      <c r="B3009" s="2">
        <v>4332</v>
      </c>
      <c r="C3009" s="4" t="str">
        <f>HYPERLINK("http://www.uniprot.org/uniprot/M5XF02","M5XF02")</f>
        <v>M5XF02</v>
      </c>
      <c r="D3009" s="2" t="s">
        <v>2872</v>
      </c>
      <c r="E3009" s="3">
        <v>0</v>
      </c>
      <c r="F3009" s="2">
        <v>6312</v>
      </c>
      <c r="G3009" s="2">
        <v>100</v>
      </c>
      <c r="H3009" s="2">
        <v>1277</v>
      </c>
      <c r="I3009" s="2">
        <v>183</v>
      </c>
      <c r="J3009" s="2">
        <v>4013</v>
      </c>
      <c r="K3009" s="2">
        <v>1</v>
      </c>
      <c r="L3009" s="2">
        <v>1277</v>
      </c>
    </row>
    <row r="3010" spans="1:12" x14ac:dyDescent="0.25">
      <c r="A3010" s="4" t="str">
        <f>HYPERLINK("http://www.rosaceae.org/Prunus/Prunus_persica/p.persica_gdr_reftransV1_0043891","p.persica_gdr_reftransV1_0043891")</f>
        <v>p.persica_gdr_reftransV1_0043891</v>
      </c>
      <c r="B3010" s="2">
        <v>808</v>
      </c>
      <c r="C3010" s="4" t="str">
        <f>HYPERLINK("http://www.uniprot.org/uniprot/M5W6U2","M5W6U2")</f>
        <v>M5W6U2</v>
      </c>
      <c r="D3010" s="2" t="s">
        <v>2873</v>
      </c>
      <c r="E3010" s="3">
        <v>1.6099999999999999E-84</v>
      </c>
      <c r="F3010" s="2">
        <v>686</v>
      </c>
      <c r="G3010" s="2">
        <v>100</v>
      </c>
      <c r="H3010" s="2">
        <v>131</v>
      </c>
      <c r="I3010" s="2">
        <v>280</v>
      </c>
      <c r="J3010" s="2">
        <v>672</v>
      </c>
      <c r="K3010" s="2">
        <v>234</v>
      </c>
      <c r="L3010" s="2">
        <v>364</v>
      </c>
    </row>
    <row r="3011" spans="1:12" x14ac:dyDescent="0.25">
      <c r="A3011" s="4" t="str">
        <f>HYPERLINK("http://www.rosaceae.org/Prunus/Prunus_persica/p.persica_gdr_reftransV1_0044241","p.persica_gdr_reftransV1_0044241")</f>
        <v>p.persica_gdr_reftransV1_0044241</v>
      </c>
      <c r="B3011" s="2">
        <v>1431</v>
      </c>
      <c r="C3011" s="4" t="str">
        <f>HYPERLINK("http://www.uniprot.org/uniprot/M5WI78","M5WI78")</f>
        <v>M5WI78</v>
      </c>
      <c r="D3011" s="2" t="s">
        <v>2874</v>
      </c>
      <c r="E3011" s="3">
        <v>0</v>
      </c>
      <c r="F3011" s="2">
        <v>1784</v>
      </c>
      <c r="G3011" s="2">
        <v>100</v>
      </c>
      <c r="H3011" s="2">
        <v>336</v>
      </c>
      <c r="I3011" s="2">
        <v>3</v>
      </c>
      <c r="J3011" s="2">
        <v>1010</v>
      </c>
      <c r="K3011" s="2">
        <v>64</v>
      </c>
      <c r="L3011" s="2">
        <v>399</v>
      </c>
    </row>
    <row r="3012" spans="1:12" x14ac:dyDescent="0.25">
      <c r="A3012" s="4" t="str">
        <f>HYPERLINK("http://www.rosaceae.org/Prunus/Prunus_persica/p.persica_gdr_reftransV1_0044591","p.persica_gdr_reftransV1_0044591")</f>
        <v>p.persica_gdr_reftransV1_0044591</v>
      </c>
      <c r="B3012" s="2">
        <v>2043</v>
      </c>
      <c r="C3012" s="4" t="str">
        <f>HYPERLINK("http://www.uniprot.org/uniprot/M5XCM4","M5XCM4")</f>
        <v>M5XCM4</v>
      </c>
      <c r="D3012" s="2" t="s">
        <v>2875</v>
      </c>
      <c r="E3012" s="3">
        <v>0</v>
      </c>
      <c r="F3012" s="2">
        <v>2644</v>
      </c>
      <c r="G3012" s="2">
        <v>99</v>
      </c>
      <c r="H3012" s="2">
        <v>539</v>
      </c>
      <c r="I3012" s="2">
        <v>87</v>
      </c>
      <c r="J3012" s="2">
        <v>1703</v>
      </c>
      <c r="K3012" s="2">
        <v>1</v>
      </c>
      <c r="L3012" s="2">
        <v>533</v>
      </c>
    </row>
    <row r="3013" spans="1:12" x14ac:dyDescent="0.25">
      <c r="A3013" s="4" t="str">
        <f>HYPERLINK("http://www.rosaceae.org/Prunus/Prunus_persica/p.persica_gdr_reftransV1_0044941","p.persica_gdr_reftransV1_0044941")</f>
        <v>p.persica_gdr_reftransV1_0044941</v>
      </c>
      <c r="B3013" s="2">
        <v>1651</v>
      </c>
      <c r="C3013" s="4" t="str">
        <f>HYPERLINK("http://www.uniprot.org/uniprot/M5WTL8","M5WTL8")</f>
        <v>M5WTL8</v>
      </c>
      <c r="D3013" s="2" t="s">
        <v>2876</v>
      </c>
      <c r="E3013" s="3">
        <v>0</v>
      </c>
      <c r="F3013" s="2">
        <v>1458</v>
      </c>
      <c r="G3013" s="2">
        <v>100</v>
      </c>
      <c r="H3013" s="2">
        <v>285</v>
      </c>
      <c r="I3013" s="2">
        <v>406</v>
      </c>
      <c r="J3013" s="2">
        <v>1260</v>
      </c>
      <c r="K3013" s="2">
        <v>85</v>
      </c>
      <c r="L3013" s="2">
        <v>369</v>
      </c>
    </row>
    <row r="3014" spans="1:12" x14ac:dyDescent="0.25">
      <c r="A3014" s="4" t="str">
        <f>HYPERLINK("http://www.rosaceae.org/Prunus/Prunus_persica/p.persica_gdr_reftransV1_0045291","p.persica_gdr_reftransV1_0045291")</f>
        <v>p.persica_gdr_reftransV1_0045291</v>
      </c>
      <c r="B3014" s="2">
        <v>2265</v>
      </c>
      <c r="C3014" s="4" t="str">
        <f>HYPERLINK("http://www.uniprot.org/uniprot/M5XAW8","M5XAW8")</f>
        <v>M5XAW8</v>
      </c>
      <c r="D3014" s="2" t="s">
        <v>2877</v>
      </c>
      <c r="E3014" s="3">
        <v>0</v>
      </c>
      <c r="F3014" s="2">
        <v>2957</v>
      </c>
      <c r="G3014" s="2">
        <v>100</v>
      </c>
      <c r="H3014" s="2">
        <v>605</v>
      </c>
      <c r="I3014" s="2">
        <v>178</v>
      </c>
      <c r="J3014" s="2">
        <v>1992</v>
      </c>
      <c r="K3014" s="2">
        <v>1</v>
      </c>
      <c r="L3014" s="2">
        <v>605</v>
      </c>
    </row>
    <row r="3015" spans="1:12" x14ac:dyDescent="0.25">
      <c r="A3015" s="4" t="str">
        <f>HYPERLINK("http://www.rosaceae.org/Prunus/Prunus_persica/p.persica_gdr_reftransV1_0045641","p.persica_gdr_reftransV1_0045641")</f>
        <v>p.persica_gdr_reftransV1_0045641</v>
      </c>
      <c r="B3015" s="2">
        <v>890</v>
      </c>
      <c r="C3015" s="4" t="str">
        <f>HYPERLINK("http://www.uniprot.org/uniprot/A0A067KFW0","A0A067KFW0")</f>
        <v>A0A067KFW0</v>
      </c>
      <c r="D3015" s="2" t="s">
        <v>2878</v>
      </c>
      <c r="E3015" s="3">
        <v>1.79E-7</v>
      </c>
      <c r="F3015" s="2">
        <v>118</v>
      </c>
      <c r="G3015" s="2">
        <v>38</v>
      </c>
      <c r="H3015" s="2">
        <v>81</v>
      </c>
      <c r="I3015" s="2">
        <v>222</v>
      </c>
      <c r="J3015" s="2">
        <v>362</v>
      </c>
      <c r="K3015" s="2">
        <v>284</v>
      </c>
      <c r="L3015" s="2">
        <v>364</v>
      </c>
    </row>
    <row r="3016" spans="1:12" x14ac:dyDescent="0.25">
      <c r="A3016" s="4" t="str">
        <f>HYPERLINK("http://www.rosaceae.org/Prunus/Prunus_persica/p.persica_gdr_reftransV1_0045991","p.persica_gdr_reftransV1_0045991")</f>
        <v>p.persica_gdr_reftransV1_0045991</v>
      </c>
      <c r="B3016" s="2">
        <v>1007</v>
      </c>
      <c r="C3016" s="4" t="str">
        <f>HYPERLINK("http://www.uniprot.org/uniprot/M5XMH5","M5XMH5")</f>
        <v>M5XMH5</v>
      </c>
      <c r="D3016" s="2" t="s">
        <v>2879</v>
      </c>
      <c r="E3016" s="3">
        <v>2.43E-91</v>
      </c>
      <c r="F3016" s="2">
        <v>722</v>
      </c>
      <c r="G3016" s="2">
        <v>100</v>
      </c>
      <c r="H3016" s="2">
        <v>183</v>
      </c>
      <c r="I3016" s="2">
        <v>121</v>
      </c>
      <c r="J3016" s="2">
        <v>669</v>
      </c>
      <c r="K3016" s="2">
        <v>1</v>
      </c>
      <c r="L3016" s="2">
        <v>183</v>
      </c>
    </row>
    <row r="3017" spans="1:12" x14ac:dyDescent="0.25">
      <c r="A3017" s="4" t="str">
        <f>HYPERLINK("http://www.rosaceae.org/Prunus/Prunus_persica/p.persica_gdr_reftransV1_0047041","p.persica_gdr_reftransV1_0047041")</f>
        <v>p.persica_gdr_reftransV1_0047041</v>
      </c>
      <c r="B3017" s="2">
        <v>2102</v>
      </c>
      <c r="C3017" s="4" t="str">
        <f>HYPERLINK("http://www.uniprot.org/uniprot/M5X5N2","M5X5N2")</f>
        <v>M5X5N2</v>
      </c>
      <c r="D3017" s="2" t="s">
        <v>2880</v>
      </c>
      <c r="E3017" s="3">
        <v>0</v>
      </c>
      <c r="F3017" s="2">
        <v>2539</v>
      </c>
      <c r="G3017" s="2">
        <v>98</v>
      </c>
      <c r="H3017" s="2">
        <v>550</v>
      </c>
      <c r="I3017" s="2">
        <v>284</v>
      </c>
      <c r="J3017" s="2">
        <v>1933</v>
      </c>
      <c r="K3017" s="2">
        <v>1</v>
      </c>
      <c r="L3017" s="2">
        <v>543</v>
      </c>
    </row>
    <row r="3018" spans="1:12" x14ac:dyDescent="0.25">
      <c r="A3018" s="4" t="str">
        <f>HYPERLINK("http://www.rosaceae.org/Prunus/Prunus_persica/p.persica_gdr_reftransV1_0047391","p.persica_gdr_reftransV1_0047391")</f>
        <v>p.persica_gdr_reftransV1_0047391</v>
      </c>
      <c r="B3018" s="2">
        <v>843</v>
      </c>
      <c r="C3018" s="4" t="str">
        <f>HYPERLINK("http://www.uniprot.org/uniprot/M5XIZ1","M5XIZ1")</f>
        <v>M5XIZ1</v>
      </c>
      <c r="D3018" s="2" t="s">
        <v>2881</v>
      </c>
      <c r="E3018" s="3">
        <v>6.6700000000000001E-80</v>
      </c>
      <c r="F3018" s="2">
        <v>635</v>
      </c>
      <c r="G3018" s="2">
        <v>100</v>
      </c>
      <c r="H3018" s="2">
        <v>128</v>
      </c>
      <c r="I3018" s="2">
        <v>251</v>
      </c>
      <c r="J3018" s="2">
        <v>634</v>
      </c>
      <c r="K3018" s="2">
        <v>1</v>
      </c>
      <c r="L3018" s="2">
        <v>128</v>
      </c>
    </row>
    <row r="3019" spans="1:12" x14ac:dyDescent="0.25">
      <c r="A3019" s="4" t="str">
        <f>HYPERLINK("http://www.rosaceae.org/Prunus/Prunus_persica/p.persica_gdr_reftransV1_0047741","p.persica_gdr_reftransV1_0047741")</f>
        <v>p.persica_gdr_reftransV1_0047741</v>
      </c>
      <c r="B3019" s="2">
        <v>1704</v>
      </c>
      <c r="C3019" s="4" t="str">
        <f>HYPERLINK("http://www.uniprot.org/uniprot/M5WI90","M5WI90")</f>
        <v>M5WI90</v>
      </c>
      <c r="D3019" s="2" t="s">
        <v>2882</v>
      </c>
      <c r="E3019" s="3">
        <v>0</v>
      </c>
      <c r="F3019" s="2">
        <v>1842</v>
      </c>
      <c r="G3019" s="2">
        <v>100</v>
      </c>
      <c r="H3019" s="2">
        <v>417</v>
      </c>
      <c r="I3019" s="2">
        <v>198</v>
      </c>
      <c r="J3019" s="2">
        <v>1448</v>
      </c>
      <c r="K3019" s="2">
        <v>1</v>
      </c>
      <c r="L3019" s="2">
        <v>417</v>
      </c>
    </row>
    <row r="3020" spans="1:12" x14ac:dyDescent="0.25">
      <c r="A3020" s="4" t="str">
        <f>HYPERLINK("http://www.rosaceae.org/Prunus/Prunus_persica/p.persica_gdr_reftransV1_0048091","p.persica_gdr_reftransV1_0048091")</f>
        <v>p.persica_gdr_reftransV1_0048091</v>
      </c>
      <c r="B3020" s="2">
        <v>2968</v>
      </c>
      <c r="C3020" s="4" t="str">
        <f>HYPERLINK("http://www.uniprot.org/uniprot/M5XQZ2","M5XQZ2")</f>
        <v>M5XQZ2</v>
      </c>
      <c r="D3020" s="2" t="s">
        <v>2883</v>
      </c>
      <c r="E3020" s="3">
        <v>0</v>
      </c>
      <c r="F3020" s="2">
        <v>3769</v>
      </c>
      <c r="G3020" s="2">
        <v>100</v>
      </c>
      <c r="H3020" s="2">
        <v>786</v>
      </c>
      <c r="I3020" s="2">
        <v>284</v>
      </c>
      <c r="J3020" s="2">
        <v>2641</v>
      </c>
      <c r="K3020" s="2">
        <v>1</v>
      </c>
      <c r="L3020" s="2">
        <v>786</v>
      </c>
    </row>
    <row r="3021" spans="1:12" x14ac:dyDescent="0.25">
      <c r="A3021" s="4" t="str">
        <f>HYPERLINK("http://www.rosaceae.org/Prunus/Prunus_persica/p.persica_gdr_reftransV1_0048441","p.persica_gdr_reftransV1_0048441")</f>
        <v>p.persica_gdr_reftransV1_0048441</v>
      </c>
      <c r="B3021" s="2">
        <v>2185</v>
      </c>
      <c r="C3021" s="4" t="str">
        <f>HYPERLINK("http://www.uniprot.org/uniprot/M5XDD7","M5XDD7")</f>
        <v>M5XDD7</v>
      </c>
      <c r="D3021" s="2" t="s">
        <v>2884</v>
      </c>
      <c r="E3021" s="3">
        <v>0</v>
      </c>
      <c r="F3021" s="2">
        <v>2517</v>
      </c>
      <c r="G3021" s="2">
        <v>91</v>
      </c>
      <c r="H3021" s="2">
        <v>576</v>
      </c>
      <c r="I3021" s="2">
        <v>195</v>
      </c>
      <c r="J3021" s="2">
        <v>1922</v>
      </c>
      <c r="K3021" s="2">
        <v>1</v>
      </c>
      <c r="L3021" s="2">
        <v>526</v>
      </c>
    </row>
    <row r="3022" spans="1:12" x14ac:dyDescent="0.25">
      <c r="A3022" s="4" t="str">
        <f>HYPERLINK("http://www.rosaceae.org/Prunus/Prunus_persica/p.persica_gdr_reftransV1_0048791","p.persica_gdr_reftransV1_0048791")</f>
        <v>p.persica_gdr_reftransV1_0048791</v>
      </c>
      <c r="B3022" s="2">
        <v>929</v>
      </c>
      <c r="C3022" s="4" t="str">
        <f>HYPERLINK("http://www.uniprot.org/uniprot/M5WC57","M5WC57")</f>
        <v>M5WC57</v>
      </c>
      <c r="D3022" s="2" t="s">
        <v>2885</v>
      </c>
      <c r="E3022" s="3">
        <v>1.3099999999999999E-116</v>
      </c>
      <c r="F3022" s="2">
        <v>885</v>
      </c>
      <c r="G3022" s="2">
        <v>100</v>
      </c>
      <c r="H3022" s="2">
        <v>168</v>
      </c>
      <c r="I3022" s="2">
        <v>84</v>
      </c>
      <c r="J3022" s="2">
        <v>587</v>
      </c>
      <c r="K3022" s="2">
        <v>5</v>
      </c>
      <c r="L3022" s="2">
        <v>172</v>
      </c>
    </row>
    <row r="3023" spans="1:12" x14ac:dyDescent="0.25">
      <c r="A3023" s="4" t="str">
        <f>HYPERLINK("http://www.rosaceae.org/Prunus/Prunus_persica/p.persica_gdr_reftransV1_0049141","p.persica_gdr_reftransV1_0049141")</f>
        <v>p.persica_gdr_reftransV1_0049141</v>
      </c>
      <c r="B3023" s="2">
        <v>1111</v>
      </c>
      <c r="C3023" s="4" t="str">
        <f>HYPERLINK("http://www.uniprot.org/uniprot/M5XM77","M5XM77")</f>
        <v>M5XM77</v>
      </c>
      <c r="D3023" s="2" t="s">
        <v>2886</v>
      </c>
      <c r="E3023" s="3">
        <v>1.62E-126</v>
      </c>
      <c r="F3023" s="2">
        <v>961</v>
      </c>
      <c r="G3023" s="2">
        <v>100</v>
      </c>
      <c r="H3023" s="2">
        <v>209</v>
      </c>
      <c r="I3023" s="2">
        <v>67</v>
      </c>
      <c r="J3023" s="2">
        <v>693</v>
      </c>
      <c r="K3023" s="2">
        <v>1</v>
      </c>
      <c r="L3023" s="2">
        <v>209</v>
      </c>
    </row>
    <row r="3024" spans="1:12" x14ac:dyDescent="0.25">
      <c r="A3024" s="4" t="str">
        <f>HYPERLINK("http://www.rosaceae.org/Prunus/Prunus_persica/p.persica_gdr_reftransV1_0000842","p.persica_gdr_reftransV1_0000842")</f>
        <v>p.persica_gdr_reftransV1_0000842</v>
      </c>
      <c r="B3024" s="2">
        <v>1557</v>
      </c>
      <c r="C3024" s="4" t="str">
        <f>HYPERLINK("http://www.uniprot.org/uniprot/M5XFI6","M5XFI6")</f>
        <v>M5XFI6</v>
      </c>
      <c r="D3024" s="2" t="s">
        <v>2416</v>
      </c>
      <c r="E3024" s="3">
        <v>0</v>
      </c>
      <c r="F3024" s="2">
        <v>1035</v>
      </c>
      <c r="G3024" s="2">
        <v>100</v>
      </c>
      <c r="H3024" s="2">
        <v>192</v>
      </c>
      <c r="I3024" s="2">
        <v>459</v>
      </c>
      <c r="J3024" s="2">
        <v>1034</v>
      </c>
      <c r="K3024" s="2">
        <v>200</v>
      </c>
      <c r="L3024" s="2">
        <v>391</v>
      </c>
    </row>
    <row r="3025" spans="1:12" x14ac:dyDescent="0.25">
      <c r="A3025" s="4" t="str">
        <f>HYPERLINK("http://www.rosaceae.org/Prunus/Prunus_persica/p.persica_gdr_reftransV1_0001192","p.persica_gdr_reftransV1_0001192")</f>
        <v>p.persica_gdr_reftransV1_0001192</v>
      </c>
      <c r="B3025" s="2">
        <v>569</v>
      </c>
      <c r="C3025" s="4" t="str">
        <f>HYPERLINK("http://www.uniprot.org/uniprot/M5Y0K5","M5Y0K5")</f>
        <v>M5Y0K5</v>
      </c>
      <c r="D3025" s="2" t="s">
        <v>2887</v>
      </c>
      <c r="E3025" s="3">
        <v>4.3799999999999998E-133</v>
      </c>
      <c r="F3025" s="2">
        <v>1015</v>
      </c>
      <c r="G3025" s="2">
        <v>100</v>
      </c>
      <c r="H3025" s="2">
        <v>189</v>
      </c>
      <c r="I3025" s="2">
        <v>3</v>
      </c>
      <c r="J3025" s="2">
        <v>569</v>
      </c>
      <c r="K3025" s="2">
        <v>161</v>
      </c>
      <c r="L3025" s="2">
        <v>349</v>
      </c>
    </row>
    <row r="3026" spans="1:12" x14ac:dyDescent="0.25">
      <c r="A3026" s="4" t="str">
        <f>HYPERLINK("http://www.rosaceae.org/Prunus/Prunus_persica/p.persica_gdr_reftransV1_0001542","p.persica_gdr_reftransV1_0001542")</f>
        <v>p.persica_gdr_reftransV1_0001542</v>
      </c>
      <c r="B3026" s="2">
        <v>674</v>
      </c>
      <c r="C3026" s="4" t="str">
        <f>HYPERLINK("http://www.uniprot.org/uniprot/M5WFN7","M5WFN7")</f>
        <v>M5WFN7</v>
      </c>
      <c r="D3026" s="2" t="s">
        <v>2888</v>
      </c>
      <c r="E3026" s="3">
        <v>7.3300000000000004E-123</v>
      </c>
      <c r="F3026" s="2">
        <v>938</v>
      </c>
      <c r="G3026" s="2">
        <v>99</v>
      </c>
      <c r="H3026" s="2">
        <v>175</v>
      </c>
      <c r="I3026" s="2">
        <v>1</v>
      </c>
      <c r="J3026" s="2">
        <v>525</v>
      </c>
      <c r="K3026" s="2">
        <v>1</v>
      </c>
      <c r="L3026" s="2">
        <v>175</v>
      </c>
    </row>
    <row r="3027" spans="1:12" x14ac:dyDescent="0.25">
      <c r="A3027" s="4" t="str">
        <f>HYPERLINK("http://www.rosaceae.org/Prunus/Prunus_persica/p.persica_gdr_reftransV1_0001892","p.persica_gdr_reftransV1_0001892")</f>
        <v>p.persica_gdr_reftransV1_0001892</v>
      </c>
      <c r="B3027" s="2">
        <v>2031</v>
      </c>
      <c r="C3027" s="4" t="str">
        <f>HYPERLINK("http://www.uniprot.org/uniprot/M5XPI4","M5XPI4")</f>
        <v>M5XPI4</v>
      </c>
      <c r="D3027" s="2" t="s">
        <v>2889</v>
      </c>
      <c r="E3027" s="3">
        <v>0</v>
      </c>
      <c r="F3027" s="2">
        <v>1814</v>
      </c>
      <c r="G3027" s="2">
        <v>100</v>
      </c>
      <c r="H3027" s="2">
        <v>342</v>
      </c>
      <c r="I3027" s="2">
        <v>57</v>
      </c>
      <c r="J3027" s="2">
        <v>1082</v>
      </c>
      <c r="K3027" s="2">
        <v>10</v>
      </c>
      <c r="L3027" s="2">
        <v>351</v>
      </c>
    </row>
    <row r="3028" spans="1:12" x14ac:dyDescent="0.25">
      <c r="A3028" s="4" t="str">
        <f>HYPERLINK("http://www.rosaceae.org/Prunus/Prunus_persica/p.persica_gdr_reftransV1_0002242","p.persica_gdr_reftransV1_0002242")</f>
        <v>p.persica_gdr_reftransV1_0002242</v>
      </c>
      <c r="B3028" s="2">
        <v>1893</v>
      </c>
      <c r="C3028" s="4" t="str">
        <f>HYPERLINK("http://www.uniprot.org/uniprot/M5W655","M5W655")</f>
        <v>M5W655</v>
      </c>
      <c r="D3028" s="2" t="s">
        <v>2890</v>
      </c>
      <c r="E3028" s="3">
        <v>0</v>
      </c>
      <c r="F3028" s="2">
        <v>1312</v>
      </c>
      <c r="G3028" s="2">
        <v>97</v>
      </c>
      <c r="H3028" s="2">
        <v>255</v>
      </c>
      <c r="I3028" s="2">
        <v>919</v>
      </c>
      <c r="J3028" s="2">
        <v>1683</v>
      </c>
      <c r="K3028" s="2">
        <v>258</v>
      </c>
      <c r="L3028" s="2">
        <v>504</v>
      </c>
    </row>
    <row r="3029" spans="1:12" x14ac:dyDescent="0.25">
      <c r="A3029" s="4" t="str">
        <f>HYPERLINK("http://www.rosaceae.org/Prunus/Prunus_persica/p.persica_gdr_reftransV1_0002942","p.persica_gdr_reftransV1_0002942")</f>
        <v>p.persica_gdr_reftransV1_0002942</v>
      </c>
      <c r="B3029" s="2">
        <v>1977</v>
      </c>
      <c r="C3029" s="4" t="str">
        <f>HYPERLINK("http://www.uniprot.org/uniprot/M5XAQ2","M5XAQ2")</f>
        <v>M5XAQ2</v>
      </c>
      <c r="D3029" s="2" t="s">
        <v>2891</v>
      </c>
      <c r="E3029" s="3">
        <v>0</v>
      </c>
      <c r="F3029" s="2">
        <v>3024</v>
      </c>
      <c r="G3029" s="2">
        <v>100</v>
      </c>
      <c r="H3029" s="2">
        <v>597</v>
      </c>
      <c r="I3029" s="2">
        <v>87</v>
      </c>
      <c r="J3029" s="2">
        <v>1877</v>
      </c>
      <c r="K3029" s="2">
        <v>1</v>
      </c>
      <c r="L3029" s="2">
        <v>597</v>
      </c>
    </row>
    <row r="3030" spans="1:12" x14ac:dyDescent="0.25">
      <c r="A3030" s="4" t="str">
        <f>HYPERLINK("http://www.rosaceae.org/Prunus/Prunus_persica/p.persica_gdr_reftransV1_0003992","p.persica_gdr_reftransV1_0003992")</f>
        <v>p.persica_gdr_reftransV1_0003992</v>
      </c>
      <c r="B3030" s="2">
        <v>1628</v>
      </c>
      <c r="C3030" s="4" t="str">
        <f>HYPERLINK("http://www.uniprot.org/uniprot/M5VJ95","M5VJ95")</f>
        <v>M5VJ95</v>
      </c>
      <c r="D3030" s="2" t="s">
        <v>2892</v>
      </c>
      <c r="E3030" s="3">
        <v>0</v>
      </c>
      <c r="F3030" s="2">
        <v>1840</v>
      </c>
      <c r="G3030" s="2">
        <v>100</v>
      </c>
      <c r="H3030" s="2">
        <v>342</v>
      </c>
      <c r="I3030" s="2">
        <v>253</v>
      </c>
      <c r="J3030" s="2">
        <v>1278</v>
      </c>
      <c r="K3030" s="2">
        <v>1</v>
      </c>
      <c r="L3030" s="2">
        <v>341</v>
      </c>
    </row>
    <row r="3031" spans="1:12" x14ac:dyDescent="0.25">
      <c r="A3031" s="4" t="str">
        <f>HYPERLINK("http://www.rosaceae.org/Prunus/Prunus_persica/p.persica_gdr_reftransV1_0004342","p.persica_gdr_reftransV1_0004342")</f>
        <v>p.persica_gdr_reftransV1_0004342</v>
      </c>
      <c r="B3031" s="2">
        <v>1863</v>
      </c>
      <c r="C3031" s="4" t="str">
        <f>HYPERLINK("http://www.uniprot.org/uniprot/M5XCG3","M5XCG3")</f>
        <v>M5XCG3</v>
      </c>
      <c r="D3031" s="2" t="s">
        <v>2893</v>
      </c>
      <c r="E3031" s="3">
        <v>0</v>
      </c>
      <c r="F3031" s="2">
        <v>1753</v>
      </c>
      <c r="G3031" s="2">
        <v>100</v>
      </c>
      <c r="H3031" s="2">
        <v>353</v>
      </c>
      <c r="I3031" s="2">
        <v>410</v>
      </c>
      <c r="J3031" s="2">
        <v>1468</v>
      </c>
      <c r="K3031" s="2">
        <v>1</v>
      </c>
      <c r="L3031" s="2">
        <v>353</v>
      </c>
    </row>
    <row r="3032" spans="1:12" x14ac:dyDescent="0.25">
      <c r="A3032" s="4" t="str">
        <f>HYPERLINK("http://www.rosaceae.org/Prunus/Prunus_persica/p.persica_gdr_reftransV1_0004692","p.persica_gdr_reftransV1_0004692")</f>
        <v>p.persica_gdr_reftransV1_0004692</v>
      </c>
      <c r="B3032" s="2">
        <v>1657</v>
      </c>
      <c r="C3032" s="4" t="str">
        <f>HYPERLINK("http://www.uniprot.org/uniprot/M5XY26","M5XY26")</f>
        <v>M5XY26</v>
      </c>
      <c r="D3032" s="2" t="s">
        <v>1810</v>
      </c>
      <c r="E3032" s="3">
        <v>0</v>
      </c>
      <c r="F3032" s="2">
        <v>2318</v>
      </c>
      <c r="G3032" s="2">
        <v>96</v>
      </c>
      <c r="H3032" s="2">
        <v>451</v>
      </c>
      <c r="I3032" s="2">
        <v>273</v>
      </c>
      <c r="J3032" s="2">
        <v>1625</v>
      </c>
      <c r="K3032" s="2">
        <v>34</v>
      </c>
      <c r="L3032" s="2">
        <v>467</v>
      </c>
    </row>
    <row r="3033" spans="1:12" x14ac:dyDescent="0.25">
      <c r="A3033" s="4" t="str">
        <f>HYPERLINK("http://www.rosaceae.org/Prunus/Prunus_persica/p.persica_gdr_reftransV1_0005392","p.persica_gdr_reftransV1_0005392")</f>
        <v>p.persica_gdr_reftransV1_0005392</v>
      </c>
      <c r="B3033" s="2">
        <v>1051</v>
      </c>
      <c r="C3033" s="4" t="str">
        <f>HYPERLINK("http://www.uniprot.org/uniprot/M5WPK0","M5WPK0")</f>
        <v>M5WPK0</v>
      </c>
      <c r="D3033" s="2" t="s">
        <v>2894</v>
      </c>
      <c r="E3033" s="3">
        <v>0</v>
      </c>
      <c r="F3033" s="2">
        <v>1757</v>
      </c>
      <c r="G3033" s="2">
        <v>100</v>
      </c>
      <c r="H3033" s="2">
        <v>336</v>
      </c>
      <c r="I3033" s="2">
        <v>44</v>
      </c>
      <c r="J3033" s="2">
        <v>1051</v>
      </c>
      <c r="K3033" s="2">
        <v>152</v>
      </c>
      <c r="L3033" s="2">
        <v>487</v>
      </c>
    </row>
    <row r="3034" spans="1:12" x14ac:dyDescent="0.25">
      <c r="A3034" s="4" t="str">
        <f>HYPERLINK("http://www.rosaceae.org/Prunus/Prunus_persica/p.persica_gdr_reftransV1_0006442","p.persica_gdr_reftransV1_0006442")</f>
        <v>p.persica_gdr_reftransV1_0006442</v>
      </c>
      <c r="B3034" s="2">
        <v>707</v>
      </c>
      <c r="C3034" s="4" t="str">
        <f>HYPERLINK("http://www.uniprot.org/uniprot/M5WT15","M5WT15")</f>
        <v>M5WT15</v>
      </c>
      <c r="D3034" s="2" t="s">
        <v>2895</v>
      </c>
      <c r="E3034" s="3">
        <v>1.26E-74</v>
      </c>
      <c r="F3034" s="2">
        <v>622</v>
      </c>
      <c r="G3034" s="2">
        <v>100</v>
      </c>
      <c r="H3034" s="2">
        <v>122</v>
      </c>
      <c r="I3034" s="2">
        <v>340</v>
      </c>
      <c r="J3034" s="2">
        <v>705</v>
      </c>
      <c r="K3034" s="2">
        <v>316</v>
      </c>
      <c r="L3034" s="2">
        <v>437</v>
      </c>
    </row>
    <row r="3035" spans="1:12" x14ac:dyDescent="0.25">
      <c r="A3035" s="4" t="str">
        <f>HYPERLINK("http://www.rosaceae.org/Prunus/Prunus_persica/p.persica_gdr_reftransV1_0006792","p.persica_gdr_reftransV1_0006792")</f>
        <v>p.persica_gdr_reftransV1_0006792</v>
      </c>
      <c r="B3035" s="2">
        <v>1374</v>
      </c>
      <c r="C3035" s="4" t="str">
        <f>HYPERLINK("http://www.uniprot.org/uniprot/M5VQM2","M5VQM2")</f>
        <v>M5VQM2</v>
      </c>
      <c r="D3035" s="2" t="s">
        <v>2896</v>
      </c>
      <c r="E3035" s="3">
        <v>0</v>
      </c>
      <c r="F3035" s="2">
        <v>1385</v>
      </c>
      <c r="G3035" s="2">
        <v>90</v>
      </c>
      <c r="H3035" s="2">
        <v>318</v>
      </c>
      <c r="I3035" s="2">
        <v>285</v>
      </c>
      <c r="J3035" s="2">
        <v>1238</v>
      </c>
      <c r="K3035" s="2">
        <v>1</v>
      </c>
      <c r="L3035" s="2">
        <v>289</v>
      </c>
    </row>
    <row r="3036" spans="1:12" x14ac:dyDescent="0.25">
      <c r="A3036" s="4" t="str">
        <f>HYPERLINK("http://www.rosaceae.org/Prunus/Prunus_persica/p.persica_gdr_reftransV1_0007142","p.persica_gdr_reftransV1_0007142")</f>
        <v>p.persica_gdr_reftransV1_0007142</v>
      </c>
      <c r="B3036" s="2">
        <v>973</v>
      </c>
      <c r="C3036" s="4" t="str">
        <f>HYPERLINK("http://www.uniprot.org/uniprot/M5XKY3","M5XKY3")</f>
        <v>M5XKY3</v>
      </c>
      <c r="D3036" s="2" t="s">
        <v>2897</v>
      </c>
      <c r="E3036" s="3">
        <v>7.0800000000000001E-122</v>
      </c>
      <c r="F3036" s="2">
        <v>921</v>
      </c>
      <c r="G3036" s="2">
        <v>100</v>
      </c>
      <c r="H3036" s="2">
        <v>172</v>
      </c>
      <c r="I3036" s="2">
        <v>43</v>
      </c>
      <c r="J3036" s="2">
        <v>558</v>
      </c>
      <c r="K3036" s="2">
        <v>1</v>
      </c>
      <c r="L3036" s="2">
        <v>172</v>
      </c>
    </row>
    <row r="3037" spans="1:12" x14ac:dyDescent="0.25">
      <c r="A3037" s="4" t="str">
        <f>HYPERLINK("http://www.rosaceae.org/Prunus/Prunus_persica/p.persica_gdr_reftransV1_0008542","p.persica_gdr_reftransV1_0008542")</f>
        <v>p.persica_gdr_reftransV1_0008542</v>
      </c>
      <c r="B3037" s="2">
        <v>752</v>
      </c>
      <c r="C3037" s="4" t="str">
        <f>HYPERLINK("http://www.uniprot.org/uniprot/M5WCB9","M5WCB9")</f>
        <v>M5WCB9</v>
      </c>
      <c r="D3037" s="2" t="s">
        <v>1262</v>
      </c>
      <c r="E3037" s="3">
        <v>1.5899999999999999E-85</v>
      </c>
      <c r="F3037" s="2">
        <v>671</v>
      </c>
      <c r="G3037" s="2">
        <v>100</v>
      </c>
      <c r="H3037" s="2">
        <v>143</v>
      </c>
      <c r="I3037" s="2">
        <v>254</v>
      </c>
      <c r="J3037" s="2">
        <v>682</v>
      </c>
      <c r="K3037" s="2">
        <v>1</v>
      </c>
      <c r="L3037" s="2">
        <v>143</v>
      </c>
    </row>
    <row r="3038" spans="1:12" x14ac:dyDescent="0.25">
      <c r="A3038" s="4" t="str">
        <f>HYPERLINK("http://www.rosaceae.org/Prunus/Prunus_persica/p.persica_gdr_reftransV1_0009592","p.persica_gdr_reftransV1_0009592")</f>
        <v>p.persica_gdr_reftransV1_0009592</v>
      </c>
      <c r="B3038" s="2">
        <v>3247</v>
      </c>
      <c r="C3038" s="4" t="str">
        <f>HYPERLINK("http://www.uniprot.org/uniprot/M5XR46","M5XR46")</f>
        <v>M5XR46</v>
      </c>
      <c r="D3038" s="2" t="s">
        <v>2898</v>
      </c>
      <c r="E3038" s="3">
        <v>0</v>
      </c>
      <c r="F3038" s="2">
        <v>4672</v>
      </c>
      <c r="G3038" s="2">
        <v>100</v>
      </c>
      <c r="H3038" s="2">
        <v>923</v>
      </c>
      <c r="I3038" s="2">
        <v>316</v>
      </c>
      <c r="J3038" s="2">
        <v>3084</v>
      </c>
      <c r="K3038" s="2">
        <v>87</v>
      </c>
      <c r="L3038" s="2">
        <v>1009</v>
      </c>
    </row>
    <row r="3039" spans="1:12" x14ac:dyDescent="0.25">
      <c r="A3039" s="4" t="str">
        <f>HYPERLINK("http://www.rosaceae.org/Prunus/Prunus_persica/p.persica_gdr_reftransV1_0009942","p.persica_gdr_reftransV1_0009942")</f>
        <v>p.persica_gdr_reftransV1_0009942</v>
      </c>
      <c r="B3039" s="2">
        <v>1590</v>
      </c>
      <c r="C3039" s="4" t="str">
        <f>HYPERLINK("http://www.uniprot.org/uniprot/M5X065","M5X065")</f>
        <v>M5X065</v>
      </c>
      <c r="D3039" s="2" t="s">
        <v>2899</v>
      </c>
      <c r="E3039" s="3">
        <v>0</v>
      </c>
      <c r="F3039" s="2">
        <v>1612</v>
      </c>
      <c r="G3039" s="2">
        <v>87</v>
      </c>
      <c r="H3039" s="2">
        <v>387</v>
      </c>
      <c r="I3039" s="2">
        <v>77</v>
      </c>
      <c r="J3039" s="2">
        <v>1237</v>
      </c>
      <c r="K3039" s="2">
        <v>1</v>
      </c>
      <c r="L3039" s="2">
        <v>346</v>
      </c>
    </row>
    <row r="3040" spans="1:12" x14ac:dyDescent="0.25">
      <c r="A3040" s="4" t="str">
        <f>HYPERLINK("http://www.rosaceae.org/Prunus/Prunus_persica/p.persica_gdr_reftransV1_0010992","p.persica_gdr_reftransV1_0010992")</f>
        <v>p.persica_gdr_reftransV1_0010992</v>
      </c>
      <c r="B3040" s="2">
        <v>1010</v>
      </c>
      <c r="C3040" s="4" t="str">
        <f>HYPERLINK("http://www.uniprot.org/uniprot/M5XTB2","M5XTB2")</f>
        <v>M5XTB2</v>
      </c>
      <c r="D3040" s="2" t="s">
        <v>2900</v>
      </c>
      <c r="E3040" s="3">
        <v>1.5700000000000001E-114</v>
      </c>
      <c r="F3040" s="2">
        <v>873</v>
      </c>
      <c r="G3040" s="2">
        <v>100</v>
      </c>
      <c r="H3040" s="2">
        <v>163</v>
      </c>
      <c r="I3040" s="2">
        <v>305</v>
      </c>
      <c r="J3040" s="2">
        <v>793</v>
      </c>
      <c r="K3040" s="2">
        <v>1</v>
      </c>
      <c r="L3040" s="2">
        <v>163</v>
      </c>
    </row>
    <row r="3041" spans="1:12" x14ac:dyDescent="0.25">
      <c r="A3041" s="4" t="str">
        <f>HYPERLINK("http://www.rosaceae.org/Prunus/Prunus_persica/p.persica_gdr_reftransV1_0011692","p.persica_gdr_reftransV1_0011692")</f>
        <v>p.persica_gdr_reftransV1_0011692</v>
      </c>
      <c r="B3041" s="2">
        <v>4502</v>
      </c>
      <c r="C3041" s="4" t="str">
        <f>HYPERLINK("http://www.uniprot.org/uniprot/M5XV38","M5XV38")</f>
        <v>M5XV38</v>
      </c>
      <c r="D3041" s="2" t="s">
        <v>2901</v>
      </c>
      <c r="E3041" s="3">
        <v>0</v>
      </c>
      <c r="F3041" s="2">
        <v>2418</v>
      </c>
      <c r="G3041" s="2">
        <v>98</v>
      </c>
      <c r="H3041" s="2">
        <v>467</v>
      </c>
      <c r="I3041" s="2">
        <v>2376</v>
      </c>
      <c r="J3041" s="2">
        <v>3776</v>
      </c>
      <c r="K3041" s="2">
        <v>1</v>
      </c>
      <c r="L3041" s="2">
        <v>467</v>
      </c>
    </row>
    <row r="3042" spans="1:12" x14ac:dyDescent="0.25">
      <c r="A3042" s="4" t="str">
        <f>HYPERLINK("http://www.rosaceae.org/Prunus/Prunus_persica/p.persica_gdr_reftransV1_0012042","p.persica_gdr_reftransV1_0012042")</f>
        <v>p.persica_gdr_reftransV1_0012042</v>
      </c>
      <c r="B3042" s="2">
        <v>1140</v>
      </c>
      <c r="C3042" s="4" t="str">
        <f>HYPERLINK("http://www.uniprot.org/uniprot/M5W0S1","M5W0S1")</f>
        <v>M5W0S1</v>
      </c>
      <c r="D3042" s="2" t="s">
        <v>2902</v>
      </c>
      <c r="E3042" s="3">
        <v>2.4000000000000001E-72</v>
      </c>
      <c r="F3042" s="2">
        <v>595</v>
      </c>
      <c r="G3042" s="2">
        <v>100</v>
      </c>
      <c r="H3042" s="2">
        <v>133</v>
      </c>
      <c r="I3042" s="2">
        <v>544</v>
      </c>
      <c r="J3042" s="2">
        <v>942</v>
      </c>
      <c r="K3042" s="2">
        <v>1</v>
      </c>
      <c r="L3042" s="2">
        <v>133</v>
      </c>
    </row>
    <row r="3043" spans="1:12" x14ac:dyDescent="0.25">
      <c r="A3043" s="4" t="str">
        <f>HYPERLINK("http://www.rosaceae.org/Prunus/Prunus_persica/p.persica_gdr_reftransV1_0012742","p.persica_gdr_reftransV1_0012742")</f>
        <v>p.persica_gdr_reftransV1_0012742</v>
      </c>
      <c r="B3043" s="2">
        <v>6415</v>
      </c>
      <c r="C3043" s="4" t="str">
        <f>HYPERLINK("http://www.uniprot.org/uniprot/M5WBV9","M5WBV9")</f>
        <v>M5WBV9</v>
      </c>
      <c r="D3043" s="2" t="s">
        <v>2903</v>
      </c>
      <c r="E3043" s="3">
        <v>0</v>
      </c>
      <c r="F3043" s="2">
        <v>6487</v>
      </c>
      <c r="G3043" s="2">
        <v>96</v>
      </c>
      <c r="H3043" s="2">
        <v>1431</v>
      </c>
      <c r="I3043" s="2">
        <v>136</v>
      </c>
      <c r="J3043" s="2">
        <v>4350</v>
      </c>
      <c r="K3043" s="2">
        <v>1</v>
      </c>
      <c r="L3043" s="2">
        <v>1405</v>
      </c>
    </row>
    <row r="3044" spans="1:12" x14ac:dyDescent="0.25">
      <c r="A3044" s="4" t="str">
        <f>HYPERLINK("http://www.rosaceae.org/Prunus/Prunus_persica/p.persica_gdr_reftransV1_0013092","p.persica_gdr_reftransV1_0013092")</f>
        <v>p.persica_gdr_reftransV1_0013092</v>
      </c>
      <c r="B3044" s="2">
        <v>2854</v>
      </c>
      <c r="C3044" s="4" t="str">
        <f>HYPERLINK("http://www.uniprot.org/uniprot/M5WLY2","M5WLY2")</f>
        <v>M5WLY2</v>
      </c>
      <c r="D3044" s="2" t="s">
        <v>2904</v>
      </c>
      <c r="E3044" s="3">
        <v>6.5199999999999996E-88</v>
      </c>
      <c r="F3044" s="2">
        <v>473</v>
      </c>
      <c r="G3044" s="2">
        <v>99</v>
      </c>
      <c r="H3044" s="2">
        <v>88</v>
      </c>
      <c r="I3044" s="2">
        <v>1156</v>
      </c>
      <c r="J3044" s="2">
        <v>1419</v>
      </c>
      <c r="K3044" s="2">
        <v>172</v>
      </c>
      <c r="L3044" s="2">
        <v>259</v>
      </c>
    </row>
    <row r="3045" spans="1:12" x14ac:dyDescent="0.25">
      <c r="A3045" s="4" t="str">
        <f>HYPERLINK("http://www.rosaceae.org/Prunus/Prunus_persica/p.persica_gdr_reftransV1_0013442","p.persica_gdr_reftransV1_0013442")</f>
        <v>p.persica_gdr_reftransV1_0013442</v>
      </c>
      <c r="B3045" s="2">
        <v>1028</v>
      </c>
      <c r="C3045" s="4" t="str">
        <f>HYPERLINK("http://www.uniprot.org/uniprot/M5VJX8","M5VJX8")</f>
        <v>M5VJX8</v>
      </c>
      <c r="D3045" s="2" t="s">
        <v>2905</v>
      </c>
      <c r="E3045" s="3">
        <v>5.0900000000000002E-83</v>
      </c>
      <c r="F3045" s="2">
        <v>661</v>
      </c>
      <c r="G3045" s="2">
        <v>100</v>
      </c>
      <c r="H3045" s="2">
        <v>124</v>
      </c>
      <c r="I3045" s="2">
        <v>554</v>
      </c>
      <c r="J3045" s="2">
        <v>925</v>
      </c>
      <c r="K3045" s="2">
        <v>1</v>
      </c>
      <c r="L3045" s="2">
        <v>124</v>
      </c>
    </row>
    <row r="3046" spans="1:12" x14ac:dyDescent="0.25">
      <c r="A3046" s="4" t="str">
        <f>HYPERLINK("http://www.rosaceae.org/Prunus/Prunus_persica/p.persica_gdr_reftransV1_0013792","p.persica_gdr_reftransV1_0013792")</f>
        <v>p.persica_gdr_reftransV1_0013792</v>
      </c>
      <c r="B3046" s="2">
        <v>303</v>
      </c>
      <c r="C3046" s="4" t="str">
        <f>HYPERLINK("http://www.uniprot.org/uniprot/M5XPS4","M5XPS4")</f>
        <v>M5XPS4</v>
      </c>
      <c r="D3046" s="2" t="s">
        <v>2906</v>
      </c>
      <c r="E3046" s="3">
        <v>3.1699999999999999E-53</v>
      </c>
      <c r="F3046" s="2">
        <v>463</v>
      </c>
      <c r="G3046" s="2">
        <v>100</v>
      </c>
      <c r="H3046" s="2">
        <v>100</v>
      </c>
      <c r="I3046" s="2">
        <v>2</v>
      </c>
      <c r="J3046" s="2">
        <v>301</v>
      </c>
      <c r="K3046" s="2">
        <v>108</v>
      </c>
      <c r="L3046" s="2">
        <v>207</v>
      </c>
    </row>
    <row r="3047" spans="1:12" x14ac:dyDescent="0.25">
      <c r="A3047" s="4" t="str">
        <f>HYPERLINK("http://www.rosaceae.org/Prunus/Prunus_persica/p.persica_gdr_reftransV1_0015192","p.persica_gdr_reftransV1_0015192")</f>
        <v>p.persica_gdr_reftransV1_0015192</v>
      </c>
      <c r="B3047" s="2">
        <v>2716</v>
      </c>
      <c r="C3047" s="4" t="str">
        <f>HYPERLINK("http://www.uniprot.org/uniprot/M5X5S2","M5X5S2")</f>
        <v>M5X5S2</v>
      </c>
      <c r="D3047" s="2" t="s">
        <v>2907</v>
      </c>
      <c r="E3047" s="3">
        <v>0</v>
      </c>
      <c r="F3047" s="2">
        <v>3056</v>
      </c>
      <c r="G3047" s="2">
        <v>96</v>
      </c>
      <c r="H3047" s="2">
        <v>652</v>
      </c>
      <c r="I3047" s="2">
        <v>303</v>
      </c>
      <c r="J3047" s="2">
        <v>2258</v>
      </c>
      <c r="K3047" s="2">
        <v>1</v>
      </c>
      <c r="L3047" s="2">
        <v>649</v>
      </c>
    </row>
    <row r="3048" spans="1:12" x14ac:dyDescent="0.25">
      <c r="A3048" s="4" t="str">
        <f>HYPERLINK("http://www.rosaceae.org/Prunus/Prunus_persica/p.persica_gdr_reftransV1_0015892","p.persica_gdr_reftransV1_0015892")</f>
        <v>p.persica_gdr_reftransV1_0015892</v>
      </c>
      <c r="B3048" s="2">
        <v>4060</v>
      </c>
      <c r="C3048" s="4" t="str">
        <f>HYPERLINK("http://www.uniprot.org/uniprot/M5XA02","M5XA02")</f>
        <v>M5XA02</v>
      </c>
      <c r="D3048" s="2" t="s">
        <v>2908</v>
      </c>
      <c r="E3048" s="3">
        <v>0</v>
      </c>
      <c r="F3048" s="2">
        <v>2598</v>
      </c>
      <c r="G3048" s="2">
        <v>100</v>
      </c>
      <c r="H3048" s="2">
        <v>557</v>
      </c>
      <c r="I3048" s="2">
        <v>2144</v>
      </c>
      <c r="J3048" s="2">
        <v>3814</v>
      </c>
      <c r="K3048" s="2">
        <v>1</v>
      </c>
      <c r="L3048" s="2">
        <v>557</v>
      </c>
    </row>
    <row r="3049" spans="1:12" x14ac:dyDescent="0.25">
      <c r="A3049" s="4" t="str">
        <f>HYPERLINK("http://www.rosaceae.org/Prunus/Prunus_persica/p.persica_gdr_reftransV1_0016242","p.persica_gdr_reftransV1_0016242")</f>
        <v>p.persica_gdr_reftransV1_0016242</v>
      </c>
      <c r="B3049" s="2">
        <v>751</v>
      </c>
      <c r="C3049" s="4" t="str">
        <f>HYPERLINK("http://www.uniprot.org/uniprot/M5XU62","M5XU62")</f>
        <v>M5XU62</v>
      </c>
      <c r="D3049" s="2" t="s">
        <v>2909</v>
      </c>
      <c r="E3049" s="3">
        <v>3.1300000000000001E-80</v>
      </c>
      <c r="F3049" s="2">
        <v>634</v>
      </c>
      <c r="G3049" s="2">
        <v>100</v>
      </c>
      <c r="H3049" s="2">
        <v>120</v>
      </c>
      <c r="I3049" s="2">
        <v>279</v>
      </c>
      <c r="J3049" s="2">
        <v>638</v>
      </c>
      <c r="K3049" s="2">
        <v>1</v>
      </c>
      <c r="L3049" s="2">
        <v>120</v>
      </c>
    </row>
    <row r="3050" spans="1:12" x14ac:dyDescent="0.25">
      <c r="A3050" s="4" t="str">
        <f>HYPERLINK("http://www.rosaceae.org/Prunus/Prunus_persica/p.persica_gdr_reftransV1_0016942","p.persica_gdr_reftransV1_0016942")</f>
        <v>p.persica_gdr_reftransV1_0016942</v>
      </c>
      <c r="B3050" s="2">
        <v>1406</v>
      </c>
      <c r="C3050" s="4" t="str">
        <f>HYPERLINK("http://www.uniprot.org/uniprot/M5XCN2","M5XCN2")</f>
        <v>M5XCN2</v>
      </c>
      <c r="D3050" s="2" t="s">
        <v>2910</v>
      </c>
      <c r="E3050" s="3">
        <v>1.11E-179</v>
      </c>
      <c r="F3050" s="2">
        <v>1343</v>
      </c>
      <c r="G3050" s="2">
        <v>99</v>
      </c>
      <c r="H3050" s="2">
        <v>284</v>
      </c>
      <c r="I3050" s="2">
        <v>554</v>
      </c>
      <c r="J3050" s="2">
        <v>1405</v>
      </c>
      <c r="K3050" s="2">
        <v>130</v>
      </c>
      <c r="L3050" s="2">
        <v>413</v>
      </c>
    </row>
    <row r="3051" spans="1:12" x14ac:dyDescent="0.25">
      <c r="A3051" s="4" t="str">
        <f>HYPERLINK("http://www.rosaceae.org/Prunus/Prunus_persica/p.persica_gdr_reftransV1_0017992","p.persica_gdr_reftransV1_0017992")</f>
        <v>p.persica_gdr_reftransV1_0017992</v>
      </c>
      <c r="B3051" s="2">
        <v>2336</v>
      </c>
      <c r="C3051" s="4" t="str">
        <f>HYPERLINK("http://www.uniprot.org/uniprot/A0A0A0LVY5","A0A0A0LVY5")</f>
        <v>A0A0A0LVY5</v>
      </c>
      <c r="D3051" s="2" t="s">
        <v>2911</v>
      </c>
      <c r="E3051" s="3">
        <v>1.06E-134</v>
      </c>
      <c r="F3051" s="2">
        <v>672</v>
      </c>
      <c r="G3051" s="2">
        <v>94</v>
      </c>
      <c r="H3051" s="2">
        <v>132</v>
      </c>
      <c r="I3051" s="2">
        <v>1149</v>
      </c>
      <c r="J3051" s="2">
        <v>1544</v>
      </c>
      <c r="K3051" s="2">
        <v>148</v>
      </c>
      <c r="L3051" s="2">
        <v>279</v>
      </c>
    </row>
    <row r="3052" spans="1:12" x14ac:dyDescent="0.25">
      <c r="A3052" s="4" t="str">
        <f>HYPERLINK("http://www.rosaceae.org/Prunus/Prunus_persica/p.persica_gdr_reftransV1_0019042","p.persica_gdr_reftransV1_0019042")</f>
        <v>p.persica_gdr_reftransV1_0019042</v>
      </c>
      <c r="B3052" s="2">
        <v>1654</v>
      </c>
      <c r="C3052" s="4" t="str">
        <f>HYPERLINK("http://www.uniprot.org/uniprot/M5VTB0","M5VTB0")</f>
        <v>M5VTB0</v>
      </c>
      <c r="D3052" s="2" t="s">
        <v>2912</v>
      </c>
      <c r="E3052" s="3">
        <v>0</v>
      </c>
      <c r="F3052" s="2">
        <v>1404</v>
      </c>
      <c r="G3052" s="2">
        <v>90</v>
      </c>
      <c r="H3052" s="2">
        <v>367</v>
      </c>
      <c r="I3052" s="2">
        <v>438</v>
      </c>
      <c r="J3052" s="2">
        <v>1538</v>
      </c>
      <c r="K3052" s="2">
        <v>1</v>
      </c>
      <c r="L3052" s="2">
        <v>330</v>
      </c>
    </row>
    <row r="3053" spans="1:12" x14ac:dyDescent="0.25">
      <c r="A3053" s="4" t="str">
        <f>HYPERLINK("http://www.rosaceae.org/Prunus/Prunus_persica/p.persica_gdr_reftransV1_0019742","p.persica_gdr_reftransV1_0019742")</f>
        <v>p.persica_gdr_reftransV1_0019742</v>
      </c>
      <c r="B3053" s="2">
        <v>1005</v>
      </c>
      <c r="C3053" s="4" t="str">
        <f>HYPERLINK("http://www.uniprot.org/uniprot/M5XZT5","M5XZT5")</f>
        <v>M5XZT5</v>
      </c>
      <c r="D3053" s="2" t="s">
        <v>2913</v>
      </c>
      <c r="E3053" s="3">
        <v>3.5999999999999999E-88</v>
      </c>
      <c r="F3053" s="2">
        <v>698</v>
      </c>
      <c r="G3053" s="2">
        <v>100</v>
      </c>
      <c r="H3053" s="2">
        <v>158</v>
      </c>
      <c r="I3053" s="2">
        <v>439</v>
      </c>
      <c r="J3053" s="2">
        <v>912</v>
      </c>
      <c r="K3053" s="2">
        <v>1</v>
      </c>
      <c r="L3053" s="2">
        <v>158</v>
      </c>
    </row>
    <row r="3054" spans="1:12" x14ac:dyDescent="0.25">
      <c r="A3054" s="4" t="str">
        <f>HYPERLINK("http://www.rosaceae.org/Prunus/Prunus_persica/p.persica_gdr_reftransV1_0021142","p.persica_gdr_reftransV1_0021142")</f>
        <v>p.persica_gdr_reftransV1_0021142</v>
      </c>
      <c r="B3054" s="2">
        <v>943</v>
      </c>
      <c r="C3054" s="4" t="str">
        <f>HYPERLINK("http://www.uniprot.org/uniprot/M5VYA8","M5VYA8")</f>
        <v>M5VYA8</v>
      </c>
      <c r="D3054" s="2" t="s">
        <v>2914</v>
      </c>
      <c r="E3054" s="3">
        <v>2.19E-140</v>
      </c>
      <c r="F3054" s="2">
        <v>1068</v>
      </c>
      <c r="G3054" s="2">
        <v>100</v>
      </c>
      <c r="H3054" s="2">
        <v>201</v>
      </c>
      <c r="I3054" s="2">
        <v>1</v>
      </c>
      <c r="J3054" s="2">
        <v>603</v>
      </c>
      <c r="K3054" s="2">
        <v>1</v>
      </c>
      <c r="L3054" s="2">
        <v>201</v>
      </c>
    </row>
    <row r="3055" spans="1:12" x14ac:dyDescent="0.25">
      <c r="A3055" s="4" t="str">
        <f>HYPERLINK("http://www.rosaceae.org/Prunus/Prunus_persica/p.persica_gdr_reftransV1_0023942","p.persica_gdr_reftransV1_0023942")</f>
        <v>p.persica_gdr_reftransV1_0023942</v>
      </c>
      <c r="B3055" s="2">
        <v>1071</v>
      </c>
      <c r="C3055" s="4" t="str">
        <f>HYPERLINK("http://www.uniprot.org/uniprot/M5WI00","M5WI00")</f>
        <v>M5WI00</v>
      </c>
      <c r="D3055" s="2" t="s">
        <v>2915</v>
      </c>
      <c r="E3055" s="3">
        <v>3.8999999999999998E-123</v>
      </c>
      <c r="F3055" s="2">
        <v>934</v>
      </c>
      <c r="G3055" s="2">
        <v>100</v>
      </c>
      <c r="H3055" s="2">
        <v>176</v>
      </c>
      <c r="I3055" s="2">
        <v>202</v>
      </c>
      <c r="J3055" s="2">
        <v>729</v>
      </c>
      <c r="K3055" s="2">
        <v>1</v>
      </c>
      <c r="L3055" s="2">
        <v>176</v>
      </c>
    </row>
    <row r="3056" spans="1:12" x14ac:dyDescent="0.25">
      <c r="A3056" s="4" t="str">
        <f>HYPERLINK("http://www.rosaceae.org/Prunus/Prunus_persica/p.persica_gdr_reftransV1_0024642","p.persica_gdr_reftransV1_0024642")</f>
        <v>p.persica_gdr_reftransV1_0024642</v>
      </c>
      <c r="B3056" s="2">
        <v>322</v>
      </c>
      <c r="C3056" s="4" t="str">
        <f>HYPERLINK("http://www.uniprot.org/uniprot/M5XDV1","M5XDV1")</f>
        <v>M5XDV1</v>
      </c>
      <c r="D3056" s="2" t="s">
        <v>2916</v>
      </c>
      <c r="E3056" s="3">
        <v>3.3899999999999998E-67</v>
      </c>
      <c r="F3056" s="2">
        <v>562</v>
      </c>
      <c r="G3056" s="2">
        <v>100</v>
      </c>
      <c r="H3056" s="2">
        <v>107</v>
      </c>
      <c r="I3056" s="2">
        <v>1</v>
      </c>
      <c r="J3056" s="2">
        <v>321</v>
      </c>
      <c r="K3056" s="2">
        <v>284</v>
      </c>
      <c r="L3056" s="2">
        <v>390</v>
      </c>
    </row>
    <row r="3057" spans="1:12" x14ac:dyDescent="0.25">
      <c r="A3057" s="4" t="str">
        <f>HYPERLINK("http://www.rosaceae.org/Prunus/Prunus_persica/p.persica_gdr_reftransV1_0025342","p.persica_gdr_reftransV1_0025342")</f>
        <v>p.persica_gdr_reftransV1_0025342</v>
      </c>
      <c r="B3057" s="2">
        <v>5329</v>
      </c>
      <c r="C3057" s="4" t="str">
        <f>HYPERLINK("http://www.uniprot.org/uniprot/M5XAV2","M5XAV2")</f>
        <v>M5XAV2</v>
      </c>
      <c r="D3057" s="2" t="s">
        <v>2917</v>
      </c>
      <c r="E3057" s="3">
        <v>0</v>
      </c>
      <c r="F3057" s="2">
        <v>1546</v>
      </c>
      <c r="G3057" s="2">
        <v>100</v>
      </c>
      <c r="H3057" s="2">
        <v>294</v>
      </c>
      <c r="I3057" s="2">
        <v>1</v>
      </c>
      <c r="J3057" s="2">
        <v>882</v>
      </c>
      <c r="K3057" s="2">
        <v>1</v>
      </c>
      <c r="L3057" s="2">
        <v>294</v>
      </c>
    </row>
    <row r="3058" spans="1:12" x14ac:dyDescent="0.25">
      <c r="A3058" s="4" t="str">
        <f>HYPERLINK("http://www.rosaceae.org/Prunus/Prunus_persica/p.persica_gdr_reftransV1_0026392","p.persica_gdr_reftransV1_0026392")</f>
        <v>p.persica_gdr_reftransV1_0026392</v>
      </c>
      <c r="B3058" s="2">
        <v>3267</v>
      </c>
      <c r="C3058" s="4" t="str">
        <f>HYPERLINK("http://www.uniprot.org/uniprot/M5VIN9","M5VIN9")</f>
        <v>M5VIN9</v>
      </c>
      <c r="D3058" s="2" t="s">
        <v>2918</v>
      </c>
      <c r="E3058" s="3">
        <v>0</v>
      </c>
      <c r="F3058" s="2">
        <v>4230</v>
      </c>
      <c r="G3058" s="2">
        <v>100</v>
      </c>
      <c r="H3058" s="2">
        <v>811</v>
      </c>
      <c r="I3058" s="2">
        <v>588</v>
      </c>
      <c r="J3058" s="2">
        <v>3020</v>
      </c>
      <c r="K3058" s="2">
        <v>4</v>
      </c>
      <c r="L3058" s="2">
        <v>814</v>
      </c>
    </row>
    <row r="3059" spans="1:12" x14ac:dyDescent="0.25">
      <c r="A3059" s="4" t="str">
        <f>HYPERLINK("http://www.rosaceae.org/Prunus/Prunus_persica/p.persica_gdr_reftransV1_0026742","p.persica_gdr_reftransV1_0026742")</f>
        <v>p.persica_gdr_reftransV1_0026742</v>
      </c>
      <c r="B3059" s="2">
        <v>3502</v>
      </c>
      <c r="C3059" s="4" t="str">
        <f>HYPERLINK("http://www.uniprot.org/uniprot/M5WZV7","M5WZV7")</f>
        <v>M5WZV7</v>
      </c>
      <c r="D3059" s="2" t="s">
        <v>2919</v>
      </c>
      <c r="E3059" s="3">
        <v>0</v>
      </c>
      <c r="F3059" s="2">
        <v>1795</v>
      </c>
      <c r="G3059" s="2">
        <v>100</v>
      </c>
      <c r="H3059" s="2">
        <v>343</v>
      </c>
      <c r="I3059" s="2">
        <v>1490</v>
      </c>
      <c r="J3059" s="2">
        <v>2518</v>
      </c>
      <c r="K3059" s="2">
        <v>106</v>
      </c>
      <c r="L3059" s="2">
        <v>448</v>
      </c>
    </row>
    <row r="3060" spans="1:12" x14ac:dyDescent="0.25">
      <c r="A3060" s="4" t="str">
        <f>HYPERLINK("http://www.rosaceae.org/Prunus/Prunus_persica/p.persica_gdr_reftransV1_0028492","p.persica_gdr_reftransV1_0028492")</f>
        <v>p.persica_gdr_reftransV1_0028492</v>
      </c>
      <c r="B3060" s="2">
        <v>3037</v>
      </c>
      <c r="C3060" s="4" t="str">
        <f>HYPERLINK("http://www.uniprot.org/uniprot/M5XFN9","M5XFN9")</f>
        <v>M5XFN9</v>
      </c>
      <c r="D3060" s="2" t="s">
        <v>2920</v>
      </c>
      <c r="E3060" s="3">
        <v>9.6299999999999999E-130</v>
      </c>
      <c r="F3060" s="2">
        <v>1053</v>
      </c>
      <c r="G3060" s="2">
        <v>87</v>
      </c>
      <c r="H3060" s="2">
        <v>283</v>
      </c>
      <c r="I3060" s="2">
        <v>1279</v>
      </c>
      <c r="J3060" s="2">
        <v>2127</v>
      </c>
      <c r="K3060" s="2">
        <v>1</v>
      </c>
      <c r="L3060" s="2">
        <v>271</v>
      </c>
    </row>
    <row r="3061" spans="1:12" x14ac:dyDescent="0.25">
      <c r="A3061" s="4" t="str">
        <f>HYPERLINK("http://www.rosaceae.org/Prunus/Prunus_persica/p.persica_gdr_reftransV1_0031642","p.persica_gdr_reftransV1_0031642")</f>
        <v>p.persica_gdr_reftransV1_0031642</v>
      </c>
      <c r="B3061" s="2">
        <v>641</v>
      </c>
      <c r="C3061" s="4" t="str">
        <f>HYPERLINK("http://www.uniprot.org/uniprot/M5WWG3","M5WWG3")</f>
        <v>M5WWG3</v>
      </c>
      <c r="D3061" s="2" t="s">
        <v>2605</v>
      </c>
      <c r="E3061" s="3">
        <v>6.3400000000000004E-96</v>
      </c>
      <c r="F3061" s="2">
        <v>770</v>
      </c>
      <c r="G3061" s="2">
        <v>100</v>
      </c>
      <c r="H3061" s="2">
        <v>143</v>
      </c>
      <c r="I3061" s="2">
        <v>212</v>
      </c>
      <c r="J3061" s="2">
        <v>640</v>
      </c>
      <c r="K3061" s="2">
        <v>1</v>
      </c>
      <c r="L3061" s="2">
        <v>143</v>
      </c>
    </row>
    <row r="3062" spans="1:12" x14ac:dyDescent="0.25">
      <c r="A3062" s="4" t="str">
        <f>HYPERLINK("http://www.rosaceae.org/Prunus/Prunus_persica/p.persica_gdr_reftransV1_0033392","p.persica_gdr_reftransV1_0033392")</f>
        <v>p.persica_gdr_reftransV1_0033392</v>
      </c>
      <c r="B3062" s="2">
        <v>1523</v>
      </c>
      <c r="C3062" s="4" t="str">
        <f>HYPERLINK("http://www.uniprot.org/uniprot/M5W9M3","M5W9M3")</f>
        <v>M5W9M3</v>
      </c>
      <c r="D3062" s="2" t="s">
        <v>2921</v>
      </c>
      <c r="E3062" s="3">
        <v>8.6500000000000001E-162</v>
      </c>
      <c r="F3062" s="2">
        <v>1218</v>
      </c>
      <c r="G3062" s="2">
        <v>100</v>
      </c>
      <c r="H3062" s="2">
        <v>309</v>
      </c>
      <c r="I3062" s="2">
        <v>150</v>
      </c>
      <c r="J3062" s="2">
        <v>1076</v>
      </c>
      <c r="K3062" s="2">
        <v>1</v>
      </c>
      <c r="L3062" s="2">
        <v>309</v>
      </c>
    </row>
    <row r="3063" spans="1:12" x14ac:dyDescent="0.25">
      <c r="A3063" s="4" t="str">
        <f>HYPERLINK("http://www.rosaceae.org/Prunus/Prunus_persica/p.persica_gdr_reftransV1_0035142","p.persica_gdr_reftransV1_0035142")</f>
        <v>p.persica_gdr_reftransV1_0035142</v>
      </c>
      <c r="B3063" s="2">
        <v>1833</v>
      </c>
      <c r="C3063" s="4" t="str">
        <f>HYPERLINK("http://www.uniprot.org/uniprot/M5W2R8","M5W2R8")</f>
        <v>M5W2R8</v>
      </c>
      <c r="D3063" s="2" t="s">
        <v>2922</v>
      </c>
      <c r="E3063" s="3">
        <v>1.0999999999999999E-50</v>
      </c>
      <c r="F3063" s="2">
        <v>479</v>
      </c>
      <c r="G3063" s="2">
        <v>98</v>
      </c>
      <c r="H3063" s="2">
        <v>93</v>
      </c>
      <c r="I3063" s="2">
        <v>1554</v>
      </c>
      <c r="J3063" s="2">
        <v>1832</v>
      </c>
      <c r="K3063" s="2">
        <v>167</v>
      </c>
      <c r="L3063" s="2">
        <v>259</v>
      </c>
    </row>
    <row r="3064" spans="1:12" x14ac:dyDescent="0.25">
      <c r="A3064" s="4" t="str">
        <f>HYPERLINK("http://www.rosaceae.org/Prunus/Prunus_persica/p.persica_gdr_reftransV1_0037242","p.persica_gdr_reftransV1_0037242")</f>
        <v>p.persica_gdr_reftransV1_0037242</v>
      </c>
      <c r="B3064" s="2">
        <v>761</v>
      </c>
      <c r="C3064" s="4" t="str">
        <f>HYPERLINK("http://www.uniprot.org/uniprot/M5X5H1","M5X5H1")</f>
        <v>M5X5H1</v>
      </c>
      <c r="D3064" s="2" t="s">
        <v>2923</v>
      </c>
      <c r="E3064" s="3">
        <v>4.0999999999999999E-12</v>
      </c>
      <c r="F3064" s="2">
        <v>182</v>
      </c>
      <c r="G3064" s="2">
        <v>40</v>
      </c>
      <c r="H3064" s="2">
        <v>121</v>
      </c>
      <c r="I3064" s="2">
        <v>21</v>
      </c>
      <c r="J3064" s="2">
        <v>371</v>
      </c>
      <c r="K3064" s="2">
        <v>319</v>
      </c>
      <c r="L3064" s="2">
        <v>418</v>
      </c>
    </row>
    <row r="3065" spans="1:12" x14ac:dyDescent="0.25">
      <c r="A3065" s="4" t="str">
        <f>HYPERLINK("http://www.rosaceae.org/Prunus/Prunus_persica/p.persica_gdr_reftransV1_0038642","p.persica_gdr_reftransV1_0038642")</f>
        <v>p.persica_gdr_reftransV1_0038642</v>
      </c>
      <c r="B3065" s="2">
        <v>543</v>
      </c>
      <c r="C3065" s="4" t="str">
        <f>HYPERLINK("http://www.uniprot.org/uniprot/Q41255","Q41255")</f>
        <v>Q41255</v>
      </c>
      <c r="D3065" s="2" t="s">
        <v>2924</v>
      </c>
      <c r="E3065" s="3">
        <v>1.18E-21</v>
      </c>
      <c r="F3065" s="2">
        <v>245</v>
      </c>
      <c r="G3065" s="2">
        <v>60</v>
      </c>
      <c r="H3065" s="2">
        <v>112</v>
      </c>
      <c r="I3065" s="2">
        <v>27</v>
      </c>
      <c r="J3065" s="2">
        <v>335</v>
      </c>
      <c r="K3065" s="2">
        <v>191</v>
      </c>
      <c r="L3065" s="2">
        <v>294</v>
      </c>
    </row>
    <row r="3066" spans="1:12" x14ac:dyDescent="0.25">
      <c r="A3066" s="4" t="str">
        <f>HYPERLINK("http://www.rosaceae.org/Prunus/Prunus_persica/p.persica_gdr_reftransV1_0039342","p.persica_gdr_reftransV1_0039342")</f>
        <v>p.persica_gdr_reftransV1_0039342</v>
      </c>
      <c r="B3066" s="2">
        <v>2513</v>
      </c>
      <c r="C3066" s="4" t="str">
        <f>HYPERLINK("http://www.uniprot.org/uniprot/M5VPY4","M5VPY4")</f>
        <v>M5VPY4</v>
      </c>
      <c r="D3066" s="2" t="s">
        <v>2925</v>
      </c>
      <c r="E3066" s="3">
        <v>0</v>
      </c>
      <c r="F3066" s="2">
        <v>1820</v>
      </c>
      <c r="G3066" s="2">
        <v>98</v>
      </c>
      <c r="H3066" s="2">
        <v>419</v>
      </c>
      <c r="I3066" s="2">
        <v>1057</v>
      </c>
      <c r="J3066" s="2">
        <v>2307</v>
      </c>
      <c r="K3066" s="2">
        <v>267</v>
      </c>
      <c r="L3066" s="2">
        <v>685</v>
      </c>
    </row>
    <row r="3067" spans="1:12" x14ac:dyDescent="0.25">
      <c r="A3067" s="4" t="str">
        <f>HYPERLINK("http://www.rosaceae.org/Prunus/Prunus_persica/p.persica_gdr_reftransV1_0040042","p.persica_gdr_reftransV1_0040042")</f>
        <v>p.persica_gdr_reftransV1_0040042</v>
      </c>
      <c r="B3067" s="2">
        <v>4472</v>
      </c>
      <c r="C3067" s="4" t="str">
        <f>HYPERLINK("http://www.uniprot.org/uniprot/A9TC24","A9TC24")</f>
        <v>A9TC24</v>
      </c>
      <c r="D3067" s="2" t="s">
        <v>2926</v>
      </c>
      <c r="E3067" s="3">
        <v>5.2300000000000003E-154</v>
      </c>
      <c r="F3067" s="2">
        <v>758</v>
      </c>
      <c r="G3067" s="2">
        <v>72</v>
      </c>
      <c r="H3067" s="2">
        <v>195</v>
      </c>
      <c r="I3067" s="2">
        <v>357</v>
      </c>
      <c r="J3067" s="2">
        <v>941</v>
      </c>
      <c r="K3067" s="2">
        <v>350</v>
      </c>
      <c r="L3067" s="2">
        <v>543</v>
      </c>
    </row>
    <row r="3068" spans="1:12" x14ac:dyDescent="0.25">
      <c r="A3068" s="4" t="str">
        <f>HYPERLINK("http://www.rosaceae.org/Prunus/Prunus_persica/p.persica_gdr_reftransV1_0040392","p.persica_gdr_reftransV1_0040392")</f>
        <v>p.persica_gdr_reftransV1_0040392</v>
      </c>
      <c r="B3068" s="2">
        <v>2837</v>
      </c>
      <c r="C3068" s="4" t="str">
        <f>HYPERLINK("http://www.uniprot.org/uniprot/M5VPN3","M5VPN3")</f>
        <v>M5VPN3</v>
      </c>
      <c r="D3068" s="2" t="s">
        <v>2927</v>
      </c>
      <c r="E3068" s="3">
        <v>0</v>
      </c>
      <c r="F3068" s="2">
        <v>2030</v>
      </c>
      <c r="G3068" s="2">
        <v>92</v>
      </c>
      <c r="H3068" s="2">
        <v>480</v>
      </c>
      <c r="I3068" s="2">
        <v>661</v>
      </c>
      <c r="J3068" s="2">
        <v>2100</v>
      </c>
      <c r="K3068" s="2">
        <v>1</v>
      </c>
      <c r="L3068" s="2">
        <v>442</v>
      </c>
    </row>
    <row r="3069" spans="1:12" x14ac:dyDescent="0.25">
      <c r="A3069" s="4" t="str">
        <f>HYPERLINK("http://www.rosaceae.org/Prunus/Prunus_persica/p.persica_gdr_reftransV1_0040742","p.persica_gdr_reftransV1_0040742")</f>
        <v>p.persica_gdr_reftransV1_0040742</v>
      </c>
      <c r="B3069" s="2">
        <v>2462</v>
      </c>
      <c r="C3069" s="4" t="str">
        <f>HYPERLINK("http://www.uniprot.org/uniprot/M5WWK8","M5WWK8")</f>
        <v>M5WWK8</v>
      </c>
      <c r="D3069" s="2" t="s">
        <v>2928</v>
      </c>
      <c r="E3069" s="3">
        <v>0</v>
      </c>
      <c r="F3069" s="2">
        <v>2107</v>
      </c>
      <c r="G3069" s="2">
        <v>99</v>
      </c>
      <c r="H3069" s="2">
        <v>391</v>
      </c>
      <c r="I3069" s="2">
        <v>780</v>
      </c>
      <c r="J3069" s="2">
        <v>1952</v>
      </c>
      <c r="K3069" s="2">
        <v>87</v>
      </c>
      <c r="L3069" s="2">
        <v>477</v>
      </c>
    </row>
    <row r="3070" spans="1:12" x14ac:dyDescent="0.25">
      <c r="A3070" s="4" t="str">
        <f>HYPERLINK("http://www.rosaceae.org/Prunus/Prunus_persica/p.persica_gdr_reftransV1_0041792","p.persica_gdr_reftransV1_0041792")</f>
        <v>p.persica_gdr_reftransV1_0041792</v>
      </c>
      <c r="B3070" s="2">
        <v>3138</v>
      </c>
      <c r="C3070" s="4" t="str">
        <f>HYPERLINK("http://www.uniprot.org/uniprot/M5VYF5","M5VYF5")</f>
        <v>M5VYF5</v>
      </c>
      <c r="D3070" s="2" t="s">
        <v>2929</v>
      </c>
      <c r="E3070" s="3">
        <v>0</v>
      </c>
      <c r="F3070" s="2">
        <v>4250</v>
      </c>
      <c r="G3070" s="2">
        <v>100</v>
      </c>
      <c r="H3070" s="2">
        <v>808</v>
      </c>
      <c r="I3070" s="2">
        <v>445</v>
      </c>
      <c r="J3070" s="2">
        <v>2868</v>
      </c>
      <c r="K3070" s="2">
        <v>1</v>
      </c>
      <c r="L3070" s="2">
        <v>808</v>
      </c>
    </row>
    <row r="3071" spans="1:12" x14ac:dyDescent="0.25">
      <c r="A3071" s="4" t="str">
        <f>HYPERLINK("http://www.rosaceae.org/Prunus/Prunus_persica/p.persica_gdr_reftransV1_0042142","p.persica_gdr_reftransV1_0042142")</f>
        <v>p.persica_gdr_reftransV1_0042142</v>
      </c>
      <c r="B3071" s="2">
        <v>432</v>
      </c>
      <c r="C3071" s="4" t="str">
        <f>HYPERLINK("http://www.uniprot.org/uniprot/M5X780","M5X780")</f>
        <v>M5X780</v>
      </c>
      <c r="D3071" s="2" t="s">
        <v>2930</v>
      </c>
      <c r="E3071" s="3">
        <v>4.86E-84</v>
      </c>
      <c r="F3071" s="2">
        <v>714</v>
      </c>
      <c r="G3071" s="2">
        <v>100</v>
      </c>
      <c r="H3071" s="2">
        <v>143</v>
      </c>
      <c r="I3071" s="2">
        <v>3</v>
      </c>
      <c r="J3071" s="2">
        <v>431</v>
      </c>
      <c r="K3071" s="2">
        <v>1084</v>
      </c>
      <c r="L3071" s="2">
        <v>1226</v>
      </c>
    </row>
    <row r="3072" spans="1:12" x14ac:dyDescent="0.25">
      <c r="A3072" s="4" t="str">
        <f>HYPERLINK("http://www.rosaceae.org/Prunus/Prunus_persica/p.persica_gdr_reftransV1_0042842","p.persica_gdr_reftransV1_0042842")</f>
        <v>p.persica_gdr_reftransV1_0042842</v>
      </c>
      <c r="B3072" s="2">
        <v>5786</v>
      </c>
      <c r="C3072" s="4" t="str">
        <f>HYPERLINK("http://www.uniprot.org/uniprot/M5XLX0","M5XLX0")</f>
        <v>M5XLX0</v>
      </c>
      <c r="D3072" s="2" t="s">
        <v>2931</v>
      </c>
      <c r="E3072" s="3">
        <v>0</v>
      </c>
      <c r="F3072" s="2">
        <v>2234</v>
      </c>
      <c r="G3072" s="2">
        <v>100</v>
      </c>
      <c r="H3072" s="2">
        <v>433</v>
      </c>
      <c r="I3072" s="2">
        <v>1521</v>
      </c>
      <c r="J3072" s="2">
        <v>2819</v>
      </c>
      <c r="K3072" s="2">
        <v>412</v>
      </c>
      <c r="L3072" s="2">
        <v>844</v>
      </c>
    </row>
    <row r="3073" spans="1:12" x14ac:dyDescent="0.25">
      <c r="A3073" s="4" t="str">
        <f>HYPERLINK("http://www.rosaceae.org/Prunus/Prunus_persica/p.persica_gdr_reftransV1_0043192","p.persica_gdr_reftransV1_0043192")</f>
        <v>p.persica_gdr_reftransV1_0043192</v>
      </c>
      <c r="B3073" s="2">
        <v>641</v>
      </c>
      <c r="C3073" s="4" t="str">
        <f>HYPERLINK("http://www.uniprot.org/uniprot/M5W9S9","M5W9S9")</f>
        <v>M5W9S9</v>
      </c>
      <c r="D3073" s="2" t="s">
        <v>2932</v>
      </c>
      <c r="E3073" s="3">
        <v>6.6499999999999999E-139</v>
      </c>
      <c r="F3073" s="2">
        <v>1048</v>
      </c>
      <c r="G3073" s="2">
        <v>100</v>
      </c>
      <c r="H3073" s="2">
        <v>200</v>
      </c>
      <c r="I3073" s="2">
        <v>1</v>
      </c>
      <c r="J3073" s="2">
        <v>600</v>
      </c>
      <c r="K3073" s="2">
        <v>243</v>
      </c>
      <c r="L3073" s="2">
        <v>442</v>
      </c>
    </row>
    <row r="3074" spans="1:12" x14ac:dyDescent="0.25">
      <c r="A3074" s="4" t="str">
        <f>HYPERLINK("http://www.rosaceae.org/Prunus/Prunus_persica/p.persica_gdr_reftransV1_0043542","p.persica_gdr_reftransV1_0043542")</f>
        <v>p.persica_gdr_reftransV1_0043542</v>
      </c>
      <c r="B3074" s="2">
        <v>919</v>
      </c>
      <c r="C3074" s="4" t="str">
        <f>HYPERLINK("http://www.uniprot.org/uniprot/A0A0D2NUU2","A0A0D2NUU2")</f>
        <v>A0A0D2NUU2</v>
      </c>
      <c r="D3074" s="2" t="s">
        <v>73</v>
      </c>
      <c r="E3074" s="3">
        <v>4.1599999999999999E-93</v>
      </c>
      <c r="F3074" s="2">
        <v>739</v>
      </c>
      <c r="G3074" s="2">
        <v>71</v>
      </c>
      <c r="H3074" s="2">
        <v>219</v>
      </c>
      <c r="I3074" s="2">
        <v>144</v>
      </c>
      <c r="J3074" s="2">
        <v>800</v>
      </c>
      <c r="K3074" s="2">
        <v>53</v>
      </c>
      <c r="L3074" s="2">
        <v>264</v>
      </c>
    </row>
    <row r="3075" spans="1:12" x14ac:dyDescent="0.25">
      <c r="A3075" s="4" t="str">
        <f>HYPERLINK("http://www.rosaceae.org/Prunus/Prunus_persica/p.persica_gdr_reftransV1_0043892","p.persica_gdr_reftransV1_0043892")</f>
        <v>p.persica_gdr_reftransV1_0043892</v>
      </c>
      <c r="B3075" s="2">
        <v>814</v>
      </c>
      <c r="C3075" s="4" t="str">
        <f>HYPERLINK("http://www.uniprot.org/uniprot/M5XT71","M5XT71")</f>
        <v>M5XT71</v>
      </c>
      <c r="D3075" s="2" t="s">
        <v>2933</v>
      </c>
      <c r="E3075" s="3">
        <v>4.6600000000000003E-69</v>
      </c>
      <c r="F3075" s="2">
        <v>560</v>
      </c>
      <c r="G3075" s="2">
        <v>100</v>
      </c>
      <c r="H3075" s="2">
        <v>106</v>
      </c>
      <c r="I3075" s="2">
        <v>121</v>
      </c>
      <c r="J3075" s="2">
        <v>438</v>
      </c>
      <c r="K3075" s="2">
        <v>1</v>
      </c>
      <c r="L3075" s="2">
        <v>106</v>
      </c>
    </row>
    <row r="3076" spans="1:12" x14ac:dyDescent="0.25">
      <c r="A3076" s="4" t="str">
        <f>HYPERLINK("http://www.rosaceae.org/Prunus/Prunus_persica/p.persica_gdr_reftransV1_0044242","p.persica_gdr_reftransV1_0044242")</f>
        <v>p.persica_gdr_reftransV1_0044242</v>
      </c>
      <c r="B3076" s="2">
        <v>822</v>
      </c>
      <c r="C3076" s="4" t="str">
        <f>HYPERLINK("http://www.uniprot.org/uniprot/M5WB75","M5WB75")</f>
        <v>M5WB75</v>
      </c>
      <c r="D3076" s="2" t="s">
        <v>2934</v>
      </c>
      <c r="E3076" s="3">
        <v>3E-57</v>
      </c>
      <c r="F3076" s="2">
        <v>481</v>
      </c>
      <c r="G3076" s="2">
        <v>100</v>
      </c>
      <c r="H3076" s="2">
        <v>90</v>
      </c>
      <c r="I3076" s="2">
        <v>111</v>
      </c>
      <c r="J3076" s="2">
        <v>380</v>
      </c>
      <c r="K3076" s="2">
        <v>1</v>
      </c>
      <c r="L3076" s="2">
        <v>90</v>
      </c>
    </row>
    <row r="3077" spans="1:12" x14ac:dyDescent="0.25">
      <c r="A3077" s="4" t="str">
        <f>HYPERLINK("http://www.rosaceae.org/Prunus/Prunus_persica/p.persica_gdr_reftransV1_0044592","p.persica_gdr_reftransV1_0044592")</f>
        <v>p.persica_gdr_reftransV1_0044592</v>
      </c>
      <c r="B3077" s="2">
        <v>1390</v>
      </c>
      <c r="C3077" s="4" t="str">
        <f>HYPERLINK("http://www.uniprot.org/uniprot/M5XQQ8","M5XQQ8")</f>
        <v>M5XQQ8</v>
      </c>
      <c r="D3077" s="2" t="s">
        <v>2935</v>
      </c>
      <c r="E3077" s="3">
        <v>6.9899999999999994E-70</v>
      </c>
      <c r="F3077" s="2">
        <v>598</v>
      </c>
      <c r="G3077" s="2">
        <v>68</v>
      </c>
      <c r="H3077" s="2">
        <v>182</v>
      </c>
      <c r="I3077" s="2">
        <v>398</v>
      </c>
      <c r="J3077" s="2">
        <v>922</v>
      </c>
      <c r="K3077" s="2">
        <v>50</v>
      </c>
      <c r="L3077" s="2">
        <v>231</v>
      </c>
    </row>
    <row r="3078" spans="1:12" x14ac:dyDescent="0.25">
      <c r="A3078" s="4" t="str">
        <f>HYPERLINK("http://www.rosaceae.org/Prunus/Prunus_persica/p.persica_gdr_reftransV1_0045292","p.persica_gdr_reftransV1_0045292")</f>
        <v>p.persica_gdr_reftransV1_0045292</v>
      </c>
      <c r="B3078" s="2">
        <v>2585</v>
      </c>
      <c r="C3078" s="4" t="str">
        <f>HYPERLINK("http://www.uniprot.org/uniprot/W9R105","W9R105")</f>
        <v>W9R105</v>
      </c>
      <c r="D3078" s="2" t="s">
        <v>2936</v>
      </c>
      <c r="E3078" s="3">
        <v>0</v>
      </c>
      <c r="F3078" s="2">
        <v>2084</v>
      </c>
      <c r="G3078" s="2">
        <v>86</v>
      </c>
      <c r="H3078" s="2">
        <v>447</v>
      </c>
      <c r="I3078" s="2">
        <v>207</v>
      </c>
      <c r="J3078" s="2">
        <v>1547</v>
      </c>
      <c r="K3078" s="2">
        <v>315</v>
      </c>
      <c r="L3078" s="2">
        <v>761</v>
      </c>
    </row>
    <row r="3079" spans="1:12" x14ac:dyDescent="0.25">
      <c r="A3079" s="4" t="str">
        <f>HYPERLINK("http://www.rosaceae.org/Prunus/Prunus_persica/p.persica_gdr_reftransV1_0045642","p.persica_gdr_reftransV1_0045642")</f>
        <v>p.persica_gdr_reftransV1_0045642</v>
      </c>
      <c r="B3079" s="2">
        <v>873</v>
      </c>
      <c r="C3079" s="4" t="str">
        <f>HYPERLINK("http://www.uniprot.org/uniprot/M5VWS8","M5VWS8")</f>
        <v>M5VWS8</v>
      </c>
      <c r="D3079" s="2" t="s">
        <v>2937</v>
      </c>
      <c r="E3079" s="3">
        <v>1.2000000000000001E-38</v>
      </c>
      <c r="F3079" s="2">
        <v>382</v>
      </c>
      <c r="G3079" s="2">
        <v>88</v>
      </c>
      <c r="H3079" s="2">
        <v>113</v>
      </c>
      <c r="I3079" s="2">
        <v>131</v>
      </c>
      <c r="J3079" s="2">
        <v>469</v>
      </c>
      <c r="K3079" s="2">
        <v>51</v>
      </c>
      <c r="L3079" s="2">
        <v>149</v>
      </c>
    </row>
    <row r="3080" spans="1:12" x14ac:dyDescent="0.25">
      <c r="A3080" s="4" t="str">
        <f>HYPERLINK("http://www.rosaceae.org/Prunus/Prunus_persica/p.persica_gdr_reftransV1_0045992","p.persica_gdr_reftransV1_0045992")</f>
        <v>p.persica_gdr_reftransV1_0045992</v>
      </c>
      <c r="B3080" s="2">
        <v>1035</v>
      </c>
      <c r="C3080" s="4" t="str">
        <f>HYPERLINK("http://www.uniprot.org/uniprot/M5X5H6","M5X5H6")</f>
        <v>M5X5H6</v>
      </c>
      <c r="D3080" s="2" t="s">
        <v>2938</v>
      </c>
      <c r="E3080" s="3">
        <v>5.8400000000000003E-154</v>
      </c>
      <c r="F3080" s="2">
        <v>1157</v>
      </c>
      <c r="G3080" s="2">
        <v>100</v>
      </c>
      <c r="H3080" s="2">
        <v>218</v>
      </c>
      <c r="I3080" s="2">
        <v>380</v>
      </c>
      <c r="J3080" s="2">
        <v>1033</v>
      </c>
      <c r="K3080" s="2">
        <v>139</v>
      </c>
      <c r="L3080" s="2">
        <v>356</v>
      </c>
    </row>
    <row r="3081" spans="1:12" x14ac:dyDescent="0.25">
      <c r="A3081" s="4" t="str">
        <f>HYPERLINK("http://www.rosaceae.org/Prunus/Prunus_persica/p.persica_gdr_reftransV1_0046692","p.persica_gdr_reftransV1_0046692")</f>
        <v>p.persica_gdr_reftransV1_0046692</v>
      </c>
      <c r="B3081" s="2">
        <v>401</v>
      </c>
      <c r="C3081" s="4" t="str">
        <f>HYPERLINK("http://www.uniprot.org/uniprot/M5XUI9","M5XUI9")</f>
        <v>M5XUI9</v>
      </c>
      <c r="D3081" s="2" t="s">
        <v>590</v>
      </c>
      <c r="E3081" s="3">
        <v>3.9300000000000003E-86</v>
      </c>
      <c r="F3081" s="2">
        <v>713</v>
      </c>
      <c r="G3081" s="2">
        <v>100</v>
      </c>
      <c r="H3081" s="2">
        <v>133</v>
      </c>
      <c r="I3081" s="2">
        <v>1</v>
      </c>
      <c r="J3081" s="2">
        <v>399</v>
      </c>
      <c r="K3081" s="2">
        <v>227</v>
      </c>
      <c r="L3081" s="2">
        <v>359</v>
      </c>
    </row>
    <row r="3082" spans="1:12" x14ac:dyDescent="0.25">
      <c r="A3082" s="4" t="str">
        <f>HYPERLINK("http://www.rosaceae.org/Prunus/Prunus_persica/p.persica_gdr_reftransV1_0047042","p.persica_gdr_reftransV1_0047042")</f>
        <v>p.persica_gdr_reftransV1_0047042</v>
      </c>
      <c r="B3082" s="2">
        <v>1371</v>
      </c>
      <c r="C3082" s="4" t="str">
        <f>HYPERLINK("http://www.uniprot.org/uniprot/M5WGM8","M5WGM8")</f>
        <v>M5WGM8</v>
      </c>
      <c r="D3082" s="2" t="s">
        <v>2939</v>
      </c>
      <c r="E3082" s="3">
        <v>2.1199999999999999E-127</v>
      </c>
      <c r="F3082" s="2">
        <v>975</v>
      </c>
      <c r="G3082" s="2">
        <v>97</v>
      </c>
      <c r="H3082" s="2">
        <v>211</v>
      </c>
      <c r="I3082" s="2">
        <v>543</v>
      </c>
      <c r="J3082" s="2">
        <v>1169</v>
      </c>
      <c r="K3082" s="2">
        <v>2</v>
      </c>
      <c r="L3082" s="2">
        <v>212</v>
      </c>
    </row>
    <row r="3083" spans="1:12" x14ac:dyDescent="0.25">
      <c r="A3083" s="4" t="str">
        <f>HYPERLINK("http://www.rosaceae.org/Prunus/Prunus_persica/p.persica_gdr_reftransV1_0047392","p.persica_gdr_reftransV1_0047392")</f>
        <v>p.persica_gdr_reftransV1_0047392</v>
      </c>
      <c r="B3083" s="2">
        <v>1436</v>
      </c>
      <c r="C3083" s="4" t="str">
        <f>HYPERLINK("http://www.uniprot.org/uniprot/M5VPU2","M5VPU2")</f>
        <v>M5VPU2</v>
      </c>
      <c r="D3083" s="2" t="s">
        <v>2940</v>
      </c>
      <c r="E3083" s="3">
        <v>0</v>
      </c>
      <c r="F3083" s="2">
        <v>1760</v>
      </c>
      <c r="G3083" s="2">
        <v>100</v>
      </c>
      <c r="H3083" s="2">
        <v>347</v>
      </c>
      <c r="I3083" s="2">
        <v>120</v>
      </c>
      <c r="J3083" s="2">
        <v>1160</v>
      </c>
      <c r="K3083" s="2">
        <v>23</v>
      </c>
      <c r="L3083" s="2">
        <v>369</v>
      </c>
    </row>
    <row r="3084" spans="1:12" x14ac:dyDescent="0.25">
      <c r="A3084" s="4" t="str">
        <f>HYPERLINK("http://www.rosaceae.org/Prunus/Prunus_persica/p.persica_gdr_reftransV1_0047742","p.persica_gdr_reftransV1_0047742")</f>
        <v>p.persica_gdr_reftransV1_0047742</v>
      </c>
      <c r="B3084" s="2">
        <v>1862</v>
      </c>
      <c r="C3084" s="4" t="str">
        <f>HYPERLINK("http://www.uniprot.org/uniprot/K3YR52","K3YR52")</f>
        <v>K3YR52</v>
      </c>
      <c r="D3084" s="2" t="s">
        <v>2941</v>
      </c>
      <c r="E3084" s="3">
        <v>0</v>
      </c>
      <c r="F3084" s="2">
        <v>2349</v>
      </c>
      <c r="G3084" s="2">
        <v>99</v>
      </c>
      <c r="H3084" s="2">
        <v>462</v>
      </c>
      <c r="I3084" s="2">
        <v>49</v>
      </c>
      <c r="J3084" s="2">
        <v>1434</v>
      </c>
      <c r="K3084" s="2">
        <v>118</v>
      </c>
      <c r="L3084" s="2">
        <v>579</v>
      </c>
    </row>
    <row r="3085" spans="1:12" x14ac:dyDescent="0.25">
      <c r="A3085" s="4" t="str">
        <f>HYPERLINK("http://www.rosaceae.org/Prunus/Prunus_persica/p.persica_gdr_reftransV1_0048442","p.persica_gdr_reftransV1_0048442")</f>
        <v>p.persica_gdr_reftransV1_0048442</v>
      </c>
      <c r="B3085" s="2">
        <v>1361</v>
      </c>
      <c r="C3085" s="4" t="str">
        <f>HYPERLINK("http://www.uniprot.org/uniprot/M5XDK2","M5XDK2")</f>
        <v>M5XDK2</v>
      </c>
      <c r="D3085" s="2" t="s">
        <v>2942</v>
      </c>
      <c r="E3085" s="3">
        <v>0</v>
      </c>
      <c r="F3085" s="2">
        <v>1722</v>
      </c>
      <c r="G3085" s="2">
        <v>100</v>
      </c>
      <c r="H3085" s="2">
        <v>346</v>
      </c>
      <c r="I3085" s="2">
        <v>70</v>
      </c>
      <c r="J3085" s="2">
        <v>1107</v>
      </c>
      <c r="K3085" s="2">
        <v>1</v>
      </c>
      <c r="L3085" s="2">
        <v>346</v>
      </c>
    </row>
    <row r="3086" spans="1:12" x14ac:dyDescent="0.25">
      <c r="A3086" s="4" t="str">
        <f>HYPERLINK("http://www.rosaceae.org/Prunus/Prunus_persica/p.persica_gdr_reftransV1_0048792","p.persica_gdr_reftransV1_0048792")</f>
        <v>p.persica_gdr_reftransV1_0048792</v>
      </c>
      <c r="B3086" s="2">
        <v>1118</v>
      </c>
      <c r="C3086" s="4" t="str">
        <f>HYPERLINK("http://www.uniprot.org/uniprot/M5WV99","M5WV99")</f>
        <v>M5WV99</v>
      </c>
      <c r="D3086" s="2" t="s">
        <v>2943</v>
      </c>
      <c r="E3086" s="3">
        <v>8.3399999999999999E-131</v>
      </c>
      <c r="F3086" s="2">
        <v>988</v>
      </c>
      <c r="G3086" s="2">
        <v>100</v>
      </c>
      <c r="H3086" s="2">
        <v>203</v>
      </c>
      <c r="I3086" s="2">
        <v>132</v>
      </c>
      <c r="J3086" s="2">
        <v>740</v>
      </c>
      <c r="K3086" s="2">
        <v>1</v>
      </c>
      <c r="L3086" s="2">
        <v>203</v>
      </c>
    </row>
    <row r="3087" spans="1:12" x14ac:dyDescent="0.25">
      <c r="A3087" s="4" t="str">
        <f>HYPERLINK("http://www.rosaceae.org/Prunus/Prunus_persica/p.persica_gdr_reftransV1_0049142","p.persica_gdr_reftransV1_0049142")</f>
        <v>p.persica_gdr_reftransV1_0049142</v>
      </c>
      <c r="B3087" s="2">
        <v>1491</v>
      </c>
      <c r="C3087" s="4" t="str">
        <f>HYPERLINK("http://www.uniprot.org/uniprot/M5XMR8","M5XMR8")</f>
        <v>M5XMR8</v>
      </c>
      <c r="D3087" s="2" t="s">
        <v>2944</v>
      </c>
      <c r="E3087" s="3">
        <v>2.8699999999999999E-179</v>
      </c>
      <c r="F3087" s="2">
        <v>1326</v>
      </c>
      <c r="G3087" s="2">
        <v>100</v>
      </c>
      <c r="H3087" s="2">
        <v>250</v>
      </c>
      <c r="I3087" s="2">
        <v>469</v>
      </c>
      <c r="J3087" s="2">
        <v>1218</v>
      </c>
      <c r="K3087" s="2">
        <v>1</v>
      </c>
      <c r="L3087" s="2">
        <v>250</v>
      </c>
    </row>
    <row r="3088" spans="1:12" x14ac:dyDescent="0.25">
      <c r="A3088" s="4" t="str">
        <f>HYPERLINK("http://www.rosaceae.org/Prunus/Prunus_persica/p.persica_gdr_reftransV1_0000143","p.persica_gdr_reftransV1_0000143")</f>
        <v>p.persica_gdr_reftransV1_0000143</v>
      </c>
      <c r="B3088" s="2">
        <v>1737</v>
      </c>
      <c r="C3088" s="4" t="str">
        <f>HYPERLINK("http://www.uniprot.org/uniprot/M5XEQ2","M5XEQ2")</f>
        <v>M5XEQ2</v>
      </c>
      <c r="D3088" s="2" t="s">
        <v>2945</v>
      </c>
      <c r="E3088" s="3">
        <v>0</v>
      </c>
      <c r="F3088" s="2">
        <v>2024</v>
      </c>
      <c r="G3088" s="2">
        <v>100</v>
      </c>
      <c r="H3088" s="2">
        <v>389</v>
      </c>
      <c r="I3088" s="2">
        <v>285</v>
      </c>
      <c r="J3088" s="2">
        <v>1451</v>
      </c>
      <c r="K3088" s="2">
        <v>20</v>
      </c>
      <c r="L3088" s="2">
        <v>408</v>
      </c>
    </row>
    <row r="3089" spans="1:12" x14ac:dyDescent="0.25">
      <c r="A3089" s="4" t="str">
        <f>HYPERLINK("http://www.rosaceae.org/Prunus/Prunus_persica/p.persica_gdr_reftransV1_0000843","p.persica_gdr_reftransV1_0000843")</f>
        <v>p.persica_gdr_reftransV1_0000843</v>
      </c>
      <c r="B3089" s="2">
        <v>938</v>
      </c>
      <c r="C3089" s="4" t="str">
        <f>HYPERLINK("http://www.uniprot.org/uniprot/M5WVF6","M5WVF6")</f>
        <v>M5WVF6</v>
      </c>
      <c r="D3089" s="2" t="s">
        <v>2946</v>
      </c>
      <c r="E3089" s="3">
        <v>8.01E-72</v>
      </c>
      <c r="F3089" s="2">
        <v>594</v>
      </c>
      <c r="G3089" s="2">
        <v>99</v>
      </c>
      <c r="H3089" s="2">
        <v>111</v>
      </c>
      <c r="I3089" s="2">
        <v>112</v>
      </c>
      <c r="J3089" s="2">
        <v>444</v>
      </c>
      <c r="K3089" s="2">
        <v>112</v>
      </c>
      <c r="L3089" s="2">
        <v>222</v>
      </c>
    </row>
    <row r="3090" spans="1:12" x14ac:dyDescent="0.25">
      <c r="A3090" s="4" t="str">
        <f>HYPERLINK("http://www.rosaceae.org/Prunus/Prunus_persica/p.persica_gdr_reftransV1_0001193","p.persica_gdr_reftransV1_0001193")</f>
        <v>p.persica_gdr_reftransV1_0001193</v>
      </c>
      <c r="B3090" s="2">
        <v>1180</v>
      </c>
      <c r="C3090" s="4" t="str">
        <f>HYPERLINK("http://www.uniprot.org/uniprot/M5W6E4","M5W6E4")</f>
        <v>M5W6E4</v>
      </c>
      <c r="D3090" s="2" t="s">
        <v>2947</v>
      </c>
      <c r="E3090" s="3">
        <v>0</v>
      </c>
      <c r="F3090" s="2">
        <v>1681</v>
      </c>
      <c r="G3090" s="2">
        <v>90</v>
      </c>
      <c r="H3090" s="2">
        <v>349</v>
      </c>
      <c r="I3090" s="2">
        <v>2</v>
      </c>
      <c r="J3090" s="2">
        <v>1048</v>
      </c>
      <c r="K3090" s="2">
        <v>463</v>
      </c>
      <c r="L3090" s="2">
        <v>810</v>
      </c>
    </row>
    <row r="3091" spans="1:12" x14ac:dyDescent="0.25">
      <c r="A3091" s="4" t="str">
        <f>HYPERLINK("http://www.rosaceae.org/Prunus/Prunus_persica/p.persica_gdr_reftransV1_0001543","p.persica_gdr_reftransV1_0001543")</f>
        <v>p.persica_gdr_reftransV1_0001543</v>
      </c>
      <c r="B3091" s="2">
        <v>738</v>
      </c>
      <c r="C3091" s="4" t="str">
        <f>HYPERLINK("http://www.uniprot.org/uniprot/M5WI94","M5WI94")</f>
        <v>M5WI94</v>
      </c>
      <c r="D3091" s="2" t="s">
        <v>2948</v>
      </c>
      <c r="E3091" s="3">
        <v>7.68E-146</v>
      </c>
      <c r="F3091" s="2">
        <v>1095</v>
      </c>
      <c r="G3091" s="2">
        <v>100</v>
      </c>
      <c r="H3091" s="2">
        <v>202</v>
      </c>
      <c r="I3091" s="2">
        <v>3</v>
      </c>
      <c r="J3091" s="2">
        <v>608</v>
      </c>
      <c r="K3091" s="2">
        <v>214</v>
      </c>
      <c r="L3091" s="2">
        <v>415</v>
      </c>
    </row>
    <row r="3092" spans="1:12" x14ac:dyDescent="0.25">
      <c r="A3092" s="4" t="str">
        <f>HYPERLINK("http://www.rosaceae.org/Prunus/Prunus_persica/p.persica_gdr_reftransV1_0001893","p.persica_gdr_reftransV1_0001893")</f>
        <v>p.persica_gdr_reftransV1_0001893</v>
      </c>
      <c r="B3092" s="2">
        <v>363</v>
      </c>
      <c r="C3092" s="4" t="str">
        <f>HYPERLINK("http://www.uniprot.org/uniprot/M5W6U9","M5W6U9")</f>
        <v>M5W6U9</v>
      </c>
      <c r="D3092" s="2" t="s">
        <v>2949</v>
      </c>
      <c r="E3092" s="3">
        <v>4.5300000000000001E-79</v>
      </c>
      <c r="F3092" s="2">
        <v>656</v>
      </c>
      <c r="G3092" s="2">
        <v>100</v>
      </c>
      <c r="H3092" s="2">
        <v>121</v>
      </c>
      <c r="I3092" s="2">
        <v>1</v>
      </c>
      <c r="J3092" s="2">
        <v>363</v>
      </c>
      <c r="K3092" s="2">
        <v>3</v>
      </c>
      <c r="L3092" s="2">
        <v>123</v>
      </c>
    </row>
    <row r="3093" spans="1:12" x14ac:dyDescent="0.25">
      <c r="A3093" s="4" t="str">
        <f>HYPERLINK("http://www.rosaceae.org/Prunus/Prunus_persica/p.persica_gdr_reftransV1_0002243","p.persica_gdr_reftransV1_0002243")</f>
        <v>p.persica_gdr_reftransV1_0002243</v>
      </c>
      <c r="B3093" s="2">
        <v>695</v>
      </c>
      <c r="C3093" s="4" t="str">
        <f>HYPERLINK("http://www.uniprot.org/uniprot/M5X3D5","M5X3D5")</f>
        <v>M5X3D5</v>
      </c>
      <c r="D3093" s="2" t="s">
        <v>2950</v>
      </c>
      <c r="E3093" s="3">
        <v>4.6600000000000002E-84</v>
      </c>
      <c r="F3093" s="2">
        <v>659</v>
      </c>
      <c r="G3093" s="2">
        <v>100</v>
      </c>
      <c r="H3093" s="2">
        <v>140</v>
      </c>
      <c r="I3093" s="2">
        <v>276</v>
      </c>
      <c r="J3093" s="2">
        <v>695</v>
      </c>
      <c r="K3093" s="2">
        <v>3</v>
      </c>
      <c r="L3093" s="2">
        <v>142</v>
      </c>
    </row>
    <row r="3094" spans="1:12" x14ac:dyDescent="0.25">
      <c r="A3094" s="4" t="str">
        <f>HYPERLINK("http://www.rosaceae.org/Prunus/Prunus_persica/p.persica_gdr_reftransV1_0002593","p.persica_gdr_reftransV1_0002593")</f>
        <v>p.persica_gdr_reftransV1_0002593</v>
      </c>
      <c r="B3094" s="2">
        <v>635</v>
      </c>
      <c r="C3094" s="4" t="str">
        <f>HYPERLINK("http://www.uniprot.org/uniprot/A0A024S233","A0A024S233")</f>
        <v>A0A024S233</v>
      </c>
      <c r="D3094" s="2" t="s">
        <v>2951</v>
      </c>
      <c r="E3094" s="3">
        <v>9.7600000000000003E-130</v>
      </c>
      <c r="F3094" s="2">
        <v>1007</v>
      </c>
      <c r="G3094" s="2">
        <v>88</v>
      </c>
      <c r="H3094" s="2">
        <v>210</v>
      </c>
      <c r="I3094" s="2">
        <v>3</v>
      </c>
      <c r="J3094" s="2">
        <v>632</v>
      </c>
      <c r="K3094" s="2">
        <v>89</v>
      </c>
      <c r="L3094" s="2">
        <v>298</v>
      </c>
    </row>
    <row r="3095" spans="1:12" x14ac:dyDescent="0.25">
      <c r="A3095" s="4" t="str">
        <f>HYPERLINK("http://www.rosaceae.org/Prunus/Prunus_persica/p.persica_gdr_reftransV1_0002943","p.persica_gdr_reftransV1_0002943")</f>
        <v>p.persica_gdr_reftransV1_0002943</v>
      </c>
      <c r="B3095" s="2">
        <v>1828</v>
      </c>
      <c r="C3095" s="4" t="str">
        <f>HYPERLINK("http://www.uniprot.org/uniprot/M5XJM8","M5XJM8")</f>
        <v>M5XJM8</v>
      </c>
      <c r="D3095" s="2" t="s">
        <v>2952</v>
      </c>
      <c r="E3095" s="3">
        <v>0</v>
      </c>
      <c r="F3095" s="2">
        <v>2039</v>
      </c>
      <c r="G3095" s="2">
        <v>100</v>
      </c>
      <c r="H3095" s="2">
        <v>429</v>
      </c>
      <c r="I3095" s="2">
        <v>323</v>
      </c>
      <c r="J3095" s="2">
        <v>1609</v>
      </c>
      <c r="K3095" s="2">
        <v>1</v>
      </c>
      <c r="L3095" s="2">
        <v>429</v>
      </c>
    </row>
    <row r="3096" spans="1:12" x14ac:dyDescent="0.25">
      <c r="A3096" s="4" t="str">
        <f>HYPERLINK("http://www.rosaceae.org/Prunus/Prunus_persica/p.persica_gdr_reftransV1_0003293","p.persica_gdr_reftransV1_0003293")</f>
        <v>p.persica_gdr_reftransV1_0003293</v>
      </c>
      <c r="B3096" s="2">
        <v>1892</v>
      </c>
      <c r="C3096" s="4" t="str">
        <f>HYPERLINK("http://www.uniprot.org/uniprot/M5XBV9","M5XBV9")</f>
        <v>M5XBV9</v>
      </c>
      <c r="D3096" s="2" t="s">
        <v>716</v>
      </c>
      <c r="E3096" s="3">
        <v>0</v>
      </c>
      <c r="F3096" s="2">
        <v>2373</v>
      </c>
      <c r="G3096" s="2">
        <v>99</v>
      </c>
      <c r="H3096" s="2">
        <v>443</v>
      </c>
      <c r="I3096" s="2">
        <v>273</v>
      </c>
      <c r="J3096" s="2">
        <v>1601</v>
      </c>
      <c r="K3096" s="2">
        <v>1</v>
      </c>
      <c r="L3096" s="2">
        <v>440</v>
      </c>
    </row>
    <row r="3097" spans="1:12" x14ac:dyDescent="0.25">
      <c r="A3097" s="4" t="str">
        <f>HYPERLINK("http://www.rosaceae.org/Prunus/Prunus_persica/p.persica_gdr_reftransV1_0003643","p.persica_gdr_reftransV1_0003643")</f>
        <v>p.persica_gdr_reftransV1_0003643</v>
      </c>
      <c r="B3097" s="2">
        <v>3557</v>
      </c>
      <c r="C3097" s="4" t="str">
        <f>HYPERLINK("http://www.uniprot.org/uniprot/M5WT90","M5WT90")</f>
        <v>M5WT90</v>
      </c>
      <c r="D3097" s="2" t="s">
        <v>2953</v>
      </c>
      <c r="E3097" s="3">
        <v>0</v>
      </c>
      <c r="F3097" s="2">
        <v>1877</v>
      </c>
      <c r="G3097" s="2">
        <v>100</v>
      </c>
      <c r="H3097" s="2">
        <v>346</v>
      </c>
      <c r="I3097" s="2">
        <v>2291</v>
      </c>
      <c r="J3097" s="2">
        <v>3328</v>
      </c>
      <c r="K3097" s="2">
        <v>797</v>
      </c>
      <c r="L3097" s="2">
        <v>1142</v>
      </c>
    </row>
    <row r="3098" spans="1:12" x14ac:dyDescent="0.25">
      <c r="A3098" s="4" t="str">
        <f>HYPERLINK("http://www.rosaceae.org/Prunus/Prunus_persica/p.persica_gdr_reftransV1_0003993","p.persica_gdr_reftransV1_0003993")</f>
        <v>p.persica_gdr_reftransV1_0003993</v>
      </c>
      <c r="B3098" s="2">
        <v>3959</v>
      </c>
      <c r="C3098" s="4" t="str">
        <f>HYPERLINK("http://www.uniprot.org/uniprot/J7MFY1","J7MFY1")</f>
        <v>J7MFY1</v>
      </c>
      <c r="D3098" s="2" t="s">
        <v>2954</v>
      </c>
      <c r="E3098" s="3">
        <v>0</v>
      </c>
      <c r="F3098" s="2">
        <v>3154</v>
      </c>
      <c r="G3098" s="2">
        <v>97</v>
      </c>
      <c r="H3098" s="2">
        <v>655</v>
      </c>
      <c r="I3098" s="2">
        <v>1705</v>
      </c>
      <c r="J3098" s="2">
        <v>3669</v>
      </c>
      <c r="K3098" s="2">
        <v>1</v>
      </c>
      <c r="L3098" s="2">
        <v>655</v>
      </c>
    </row>
    <row r="3099" spans="1:12" x14ac:dyDescent="0.25">
      <c r="A3099" s="4" t="str">
        <f>HYPERLINK("http://www.rosaceae.org/Prunus/Prunus_persica/p.persica_gdr_reftransV1_0004343","p.persica_gdr_reftransV1_0004343")</f>
        <v>p.persica_gdr_reftransV1_0004343</v>
      </c>
      <c r="B3099" s="2">
        <v>1290</v>
      </c>
      <c r="C3099" s="4" t="str">
        <f>HYPERLINK("http://www.uniprot.org/uniprot/A0A067KJ08","A0A067KJ08")</f>
        <v>A0A067KJ08</v>
      </c>
      <c r="D3099" s="2" t="s">
        <v>2955</v>
      </c>
      <c r="E3099" s="3">
        <v>1.4300000000000001E-100</v>
      </c>
      <c r="F3099" s="2">
        <v>799</v>
      </c>
      <c r="G3099" s="2">
        <v>90</v>
      </c>
      <c r="H3099" s="2">
        <v>167</v>
      </c>
      <c r="I3099" s="2">
        <v>378</v>
      </c>
      <c r="J3099" s="2">
        <v>878</v>
      </c>
      <c r="K3099" s="2">
        <v>95</v>
      </c>
      <c r="L3099" s="2">
        <v>260</v>
      </c>
    </row>
    <row r="3100" spans="1:12" x14ac:dyDescent="0.25">
      <c r="A3100" s="4" t="str">
        <f>HYPERLINK("http://www.rosaceae.org/Prunus/Prunus_persica/p.persica_gdr_reftransV1_0006093","p.persica_gdr_reftransV1_0006093")</f>
        <v>p.persica_gdr_reftransV1_0006093</v>
      </c>
      <c r="B3100" s="2">
        <v>1472</v>
      </c>
      <c r="C3100" s="4" t="str">
        <f>HYPERLINK("http://www.uniprot.org/uniprot/M5XQ07","M5XQ07")</f>
        <v>M5XQ07</v>
      </c>
      <c r="D3100" s="2" t="s">
        <v>2956</v>
      </c>
      <c r="E3100" s="3">
        <v>0</v>
      </c>
      <c r="F3100" s="2">
        <v>1547</v>
      </c>
      <c r="G3100" s="2">
        <v>100</v>
      </c>
      <c r="H3100" s="2">
        <v>332</v>
      </c>
      <c r="I3100" s="2">
        <v>477</v>
      </c>
      <c r="J3100" s="2">
        <v>1472</v>
      </c>
      <c r="K3100" s="2">
        <v>362</v>
      </c>
      <c r="L3100" s="2">
        <v>693</v>
      </c>
    </row>
    <row r="3101" spans="1:12" x14ac:dyDescent="0.25">
      <c r="A3101" s="4" t="str">
        <f>HYPERLINK("http://www.rosaceae.org/Prunus/Prunus_persica/p.persica_gdr_reftransV1_0006443","p.persica_gdr_reftransV1_0006443")</f>
        <v>p.persica_gdr_reftransV1_0006443</v>
      </c>
      <c r="B3101" s="2">
        <v>1108</v>
      </c>
      <c r="C3101" s="4" t="str">
        <f>HYPERLINK("http://www.uniprot.org/uniprot/M5WFN8","M5WFN8")</f>
        <v>M5WFN8</v>
      </c>
      <c r="D3101" s="2" t="s">
        <v>2369</v>
      </c>
      <c r="E3101" s="3">
        <v>0</v>
      </c>
      <c r="F3101" s="2">
        <v>1357</v>
      </c>
      <c r="G3101" s="2">
        <v>100</v>
      </c>
      <c r="H3101" s="2">
        <v>281</v>
      </c>
      <c r="I3101" s="2">
        <v>264</v>
      </c>
      <c r="J3101" s="2">
        <v>1106</v>
      </c>
      <c r="K3101" s="2">
        <v>110</v>
      </c>
      <c r="L3101" s="2">
        <v>390</v>
      </c>
    </row>
    <row r="3102" spans="1:12" x14ac:dyDescent="0.25">
      <c r="A3102" s="4" t="str">
        <f>HYPERLINK("http://www.rosaceae.org/Prunus/Prunus_persica/p.persica_gdr_reftransV1_0007143","p.persica_gdr_reftransV1_0007143")</f>
        <v>p.persica_gdr_reftransV1_0007143</v>
      </c>
      <c r="B3102" s="2">
        <v>1608</v>
      </c>
      <c r="C3102" s="4" t="str">
        <f>HYPERLINK("http://www.uniprot.org/uniprot/M5WMH4","M5WMH4")</f>
        <v>M5WMH4</v>
      </c>
      <c r="D3102" s="2" t="s">
        <v>2957</v>
      </c>
      <c r="E3102" s="3">
        <v>0</v>
      </c>
      <c r="F3102" s="2">
        <v>1882</v>
      </c>
      <c r="G3102" s="2">
        <v>100</v>
      </c>
      <c r="H3102" s="2">
        <v>368</v>
      </c>
      <c r="I3102" s="2">
        <v>471</v>
      </c>
      <c r="J3102" s="2">
        <v>1574</v>
      </c>
      <c r="K3102" s="2">
        <v>1</v>
      </c>
      <c r="L3102" s="2">
        <v>368</v>
      </c>
    </row>
    <row r="3103" spans="1:12" x14ac:dyDescent="0.25">
      <c r="A3103" s="4" t="str">
        <f>HYPERLINK("http://www.rosaceae.org/Prunus/Prunus_persica/p.persica_gdr_reftransV1_0007493","p.persica_gdr_reftransV1_0007493")</f>
        <v>p.persica_gdr_reftransV1_0007493</v>
      </c>
      <c r="B3103" s="2">
        <v>1717</v>
      </c>
      <c r="C3103" s="4" t="str">
        <f>HYPERLINK("http://www.uniprot.org/uniprot/M5XJV9","M5XJV9")</f>
        <v>M5XJV9</v>
      </c>
      <c r="D3103" s="2" t="s">
        <v>2594</v>
      </c>
      <c r="E3103" s="3">
        <v>0</v>
      </c>
      <c r="F3103" s="2">
        <v>1566</v>
      </c>
      <c r="G3103" s="2">
        <v>95</v>
      </c>
      <c r="H3103" s="2">
        <v>311</v>
      </c>
      <c r="I3103" s="2">
        <v>368</v>
      </c>
      <c r="J3103" s="2">
        <v>1294</v>
      </c>
      <c r="K3103" s="2">
        <v>22</v>
      </c>
      <c r="L3103" s="2">
        <v>332</v>
      </c>
    </row>
    <row r="3104" spans="1:12" x14ac:dyDescent="0.25">
      <c r="A3104" s="4" t="str">
        <f>HYPERLINK("http://www.rosaceae.org/Prunus/Prunus_persica/p.persica_gdr_reftransV1_0008543","p.persica_gdr_reftransV1_0008543")</f>
        <v>p.persica_gdr_reftransV1_0008543</v>
      </c>
      <c r="B3104" s="2">
        <v>1452</v>
      </c>
      <c r="C3104" s="4" t="str">
        <f>HYPERLINK("http://www.uniprot.org/uniprot/M5WT59","M5WT59")</f>
        <v>M5WT59</v>
      </c>
      <c r="D3104" s="2" t="s">
        <v>1265</v>
      </c>
      <c r="E3104" s="3">
        <v>5.8400000000000003E-166</v>
      </c>
      <c r="F3104" s="2">
        <v>1244</v>
      </c>
      <c r="G3104" s="2">
        <v>100</v>
      </c>
      <c r="H3104" s="2">
        <v>321</v>
      </c>
      <c r="I3104" s="2">
        <v>322</v>
      </c>
      <c r="J3104" s="2">
        <v>1284</v>
      </c>
      <c r="K3104" s="2">
        <v>1</v>
      </c>
      <c r="L3104" s="2">
        <v>321</v>
      </c>
    </row>
    <row r="3105" spans="1:12" x14ac:dyDescent="0.25">
      <c r="A3105" s="4" t="str">
        <f>HYPERLINK("http://www.rosaceae.org/Prunus/Prunus_persica/p.persica_gdr_reftransV1_0008893","p.persica_gdr_reftransV1_0008893")</f>
        <v>p.persica_gdr_reftransV1_0008893</v>
      </c>
      <c r="B3105" s="2">
        <v>4392</v>
      </c>
      <c r="C3105" s="4" t="str">
        <f>HYPERLINK("http://www.uniprot.org/uniprot/M5VL13","M5VL13")</f>
        <v>M5VL13</v>
      </c>
      <c r="D3105" s="2" t="s">
        <v>2958</v>
      </c>
      <c r="E3105" s="3">
        <v>0</v>
      </c>
      <c r="F3105" s="2">
        <v>4313</v>
      </c>
      <c r="G3105" s="2">
        <v>93</v>
      </c>
      <c r="H3105" s="2">
        <v>902</v>
      </c>
      <c r="I3105" s="2">
        <v>669</v>
      </c>
      <c r="J3105" s="2">
        <v>3371</v>
      </c>
      <c r="K3105" s="2">
        <v>172</v>
      </c>
      <c r="L3105" s="2">
        <v>1073</v>
      </c>
    </row>
    <row r="3106" spans="1:12" x14ac:dyDescent="0.25">
      <c r="A3106" s="4" t="str">
        <f>HYPERLINK("http://www.rosaceae.org/Prunus/Prunus_persica/p.persica_gdr_reftransV1_0009593","p.persica_gdr_reftransV1_0009593")</f>
        <v>p.persica_gdr_reftransV1_0009593</v>
      </c>
      <c r="B3106" s="2">
        <v>883</v>
      </c>
      <c r="C3106" s="4" t="str">
        <f>HYPERLINK("http://www.uniprot.org/uniprot/M5WAT8","M5WAT8")</f>
        <v>M5WAT8</v>
      </c>
      <c r="D3106" s="2" t="s">
        <v>2959</v>
      </c>
      <c r="E3106" s="3">
        <v>2.5600000000000001E-89</v>
      </c>
      <c r="F3106" s="2">
        <v>702</v>
      </c>
      <c r="G3106" s="2">
        <v>100</v>
      </c>
      <c r="H3106" s="2">
        <v>155</v>
      </c>
      <c r="I3106" s="2">
        <v>281</v>
      </c>
      <c r="J3106" s="2">
        <v>745</v>
      </c>
      <c r="K3106" s="2">
        <v>1</v>
      </c>
      <c r="L3106" s="2">
        <v>155</v>
      </c>
    </row>
    <row r="3107" spans="1:12" x14ac:dyDescent="0.25">
      <c r="A3107" s="4" t="str">
        <f>HYPERLINK("http://www.rosaceae.org/Prunus/Prunus_persica/p.persica_gdr_reftransV1_0010293","p.persica_gdr_reftransV1_0010293")</f>
        <v>p.persica_gdr_reftransV1_0010293</v>
      </c>
      <c r="B3107" s="2">
        <v>979</v>
      </c>
      <c r="C3107" s="4" t="str">
        <f>HYPERLINK("http://www.uniprot.org/uniprot/M5X024","M5X024")</f>
        <v>M5X024</v>
      </c>
      <c r="D3107" s="2" t="s">
        <v>2475</v>
      </c>
      <c r="E3107" s="3">
        <v>3.6799999999999998E-119</v>
      </c>
      <c r="F3107" s="2">
        <v>907</v>
      </c>
      <c r="G3107" s="2">
        <v>94</v>
      </c>
      <c r="H3107" s="2">
        <v>185</v>
      </c>
      <c r="I3107" s="2">
        <v>297</v>
      </c>
      <c r="J3107" s="2">
        <v>851</v>
      </c>
      <c r="K3107" s="2">
        <v>24</v>
      </c>
      <c r="L3107" s="2">
        <v>208</v>
      </c>
    </row>
    <row r="3108" spans="1:12" x14ac:dyDescent="0.25">
      <c r="A3108" s="4" t="str">
        <f>HYPERLINK("http://www.rosaceae.org/Prunus/Prunus_persica/p.persica_gdr_reftransV1_0012043","p.persica_gdr_reftransV1_0012043")</f>
        <v>p.persica_gdr_reftransV1_0012043</v>
      </c>
      <c r="B3108" s="2">
        <v>2809</v>
      </c>
      <c r="C3108" s="4" t="str">
        <f>HYPERLINK("http://www.uniprot.org/uniprot/M5X226","M5X226")</f>
        <v>M5X226</v>
      </c>
      <c r="D3108" s="2" t="s">
        <v>2960</v>
      </c>
      <c r="E3108" s="3">
        <v>0</v>
      </c>
      <c r="F3108" s="2">
        <v>3398</v>
      </c>
      <c r="G3108" s="2">
        <v>100</v>
      </c>
      <c r="H3108" s="2">
        <v>686</v>
      </c>
      <c r="I3108" s="2">
        <v>335</v>
      </c>
      <c r="J3108" s="2">
        <v>2392</v>
      </c>
      <c r="K3108" s="2">
        <v>1</v>
      </c>
      <c r="L3108" s="2">
        <v>686</v>
      </c>
    </row>
    <row r="3109" spans="1:12" x14ac:dyDescent="0.25">
      <c r="A3109" s="4" t="str">
        <f>HYPERLINK("http://www.rosaceae.org/Prunus/Prunus_persica/p.persica_gdr_reftransV1_0013793","p.persica_gdr_reftransV1_0013793")</f>
        <v>p.persica_gdr_reftransV1_0013793</v>
      </c>
      <c r="B3109" s="2">
        <v>2263</v>
      </c>
      <c r="C3109" s="4" t="str">
        <f>HYPERLINK("http://www.uniprot.org/uniprot/M5XBG3","M5XBG3")</f>
        <v>M5XBG3</v>
      </c>
      <c r="D3109" s="2" t="s">
        <v>2961</v>
      </c>
      <c r="E3109" s="3">
        <v>0</v>
      </c>
      <c r="F3109" s="2">
        <v>2536</v>
      </c>
      <c r="G3109" s="2">
        <v>94</v>
      </c>
      <c r="H3109" s="2">
        <v>525</v>
      </c>
      <c r="I3109" s="2">
        <v>334</v>
      </c>
      <c r="J3109" s="2">
        <v>1908</v>
      </c>
      <c r="K3109" s="2">
        <v>1</v>
      </c>
      <c r="L3109" s="2">
        <v>494</v>
      </c>
    </row>
    <row r="3110" spans="1:12" x14ac:dyDescent="0.25">
      <c r="A3110" s="4" t="str">
        <f>HYPERLINK("http://www.rosaceae.org/Prunus/Prunus_persica/p.persica_gdr_reftransV1_0014843","p.persica_gdr_reftransV1_0014843")</f>
        <v>p.persica_gdr_reftransV1_0014843</v>
      </c>
      <c r="B3110" s="2">
        <v>3546</v>
      </c>
      <c r="C3110" s="4" t="str">
        <f>HYPERLINK("http://www.uniprot.org/uniprot/A0A067KLQ8","A0A067KLQ8")</f>
        <v>A0A067KLQ8</v>
      </c>
      <c r="D3110" s="2" t="s">
        <v>2962</v>
      </c>
      <c r="E3110" s="3">
        <v>0</v>
      </c>
      <c r="F3110" s="2">
        <v>3194</v>
      </c>
      <c r="G3110" s="2">
        <v>90</v>
      </c>
      <c r="H3110" s="2">
        <v>709</v>
      </c>
      <c r="I3110" s="2">
        <v>209</v>
      </c>
      <c r="J3110" s="2">
        <v>2335</v>
      </c>
      <c r="K3110" s="2">
        <v>1</v>
      </c>
      <c r="L3110" s="2">
        <v>709</v>
      </c>
    </row>
    <row r="3111" spans="1:12" x14ac:dyDescent="0.25">
      <c r="A3111" s="4" t="str">
        <f>HYPERLINK("http://www.rosaceae.org/Prunus/Prunus_persica/p.persica_gdr_reftransV1_0015193","p.persica_gdr_reftransV1_0015193")</f>
        <v>p.persica_gdr_reftransV1_0015193</v>
      </c>
      <c r="B3111" s="2">
        <v>1821</v>
      </c>
      <c r="C3111" s="4" t="str">
        <f>HYPERLINK("http://www.uniprot.org/uniprot/M5X272","M5X272")</f>
        <v>M5X272</v>
      </c>
      <c r="D3111" s="2" t="s">
        <v>2963</v>
      </c>
      <c r="E3111" s="3">
        <v>0</v>
      </c>
      <c r="F3111" s="2">
        <v>1946</v>
      </c>
      <c r="G3111" s="2">
        <v>100</v>
      </c>
      <c r="H3111" s="2">
        <v>404</v>
      </c>
      <c r="I3111" s="2">
        <v>119</v>
      </c>
      <c r="J3111" s="2">
        <v>1330</v>
      </c>
      <c r="K3111" s="2">
        <v>1</v>
      </c>
      <c r="L3111" s="2">
        <v>404</v>
      </c>
    </row>
    <row r="3112" spans="1:12" x14ac:dyDescent="0.25">
      <c r="A3112" s="4" t="str">
        <f>HYPERLINK("http://www.rosaceae.org/Prunus/Prunus_persica/p.persica_gdr_reftransV1_0015893","p.persica_gdr_reftransV1_0015893")</f>
        <v>p.persica_gdr_reftransV1_0015893</v>
      </c>
      <c r="B3112" s="2">
        <v>1029</v>
      </c>
      <c r="C3112" s="4" t="str">
        <f>HYPERLINK("http://www.uniprot.org/uniprot/M5WVV5","M5WVV5")</f>
        <v>M5WVV5</v>
      </c>
      <c r="D3112" s="2" t="s">
        <v>2964</v>
      </c>
      <c r="E3112" s="3">
        <v>1.19E-12</v>
      </c>
      <c r="F3112" s="2">
        <v>190</v>
      </c>
      <c r="G3112" s="2">
        <v>83</v>
      </c>
      <c r="H3112" s="2">
        <v>42</v>
      </c>
      <c r="I3112" s="2">
        <v>814</v>
      </c>
      <c r="J3112" s="2">
        <v>939</v>
      </c>
      <c r="K3112" s="2">
        <v>1</v>
      </c>
      <c r="L3112" s="2">
        <v>42</v>
      </c>
    </row>
    <row r="3113" spans="1:12" x14ac:dyDescent="0.25">
      <c r="A3113" s="4" t="str">
        <f>HYPERLINK("http://www.rosaceae.org/Prunus/Prunus_persica/p.persica_gdr_reftransV1_0016243","p.persica_gdr_reftransV1_0016243")</f>
        <v>p.persica_gdr_reftransV1_0016243</v>
      </c>
      <c r="B3113" s="2">
        <v>851</v>
      </c>
      <c r="C3113" s="4" t="str">
        <f>HYPERLINK("http://www.uniprot.org/uniprot/M5WCN5","M5WCN5")</f>
        <v>M5WCN5</v>
      </c>
      <c r="D3113" s="2" t="s">
        <v>2965</v>
      </c>
      <c r="E3113" s="3">
        <v>2.0700000000000001E-135</v>
      </c>
      <c r="F3113" s="2">
        <v>1050</v>
      </c>
      <c r="G3113" s="2">
        <v>100</v>
      </c>
      <c r="H3113" s="2">
        <v>214</v>
      </c>
      <c r="I3113" s="2">
        <v>2</v>
      </c>
      <c r="J3113" s="2">
        <v>643</v>
      </c>
      <c r="K3113" s="2">
        <v>1</v>
      </c>
      <c r="L3113" s="2">
        <v>214</v>
      </c>
    </row>
    <row r="3114" spans="1:12" x14ac:dyDescent="0.25">
      <c r="A3114" s="4" t="str">
        <f>HYPERLINK("http://www.rosaceae.org/Prunus/Prunus_persica/p.persica_gdr_reftransV1_0016593","p.persica_gdr_reftransV1_0016593")</f>
        <v>p.persica_gdr_reftransV1_0016593</v>
      </c>
      <c r="B3114" s="2">
        <v>2854</v>
      </c>
      <c r="C3114" s="4" t="str">
        <f>HYPERLINK("http://www.uniprot.org/uniprot/M5XBZ7","M5XBZ7")</f>
        <v>M5XBZ7</v>
      </c>
      <c r="D3114" s="2" t="s">
        <v>2966</v>
      </c>
      <c r="E3114" s="3">
        <v>8.8399999999999998E-178</v>
      </c>
      <c r="F3114" s="2">
        <v>1376</v>
      </c>
      <c r="G3114" s="2">
        <v>100</v>
      </c>
      <c r="H3114" s="2">
        <v>266</v>
      </c>
      <c r="I3114" s="2">
        <v>1710</v>
      </c>
      <c r="J3114" s="2">
        <v>2507</v>
      </c>
      <c r="K3114" s="2">
        <v>1</v>
      </c>
      <c r="L3114" s="2">
        <v>266</v>
      </c>
    </row>
    <row r="3115" spans="1:12" x14ac:dyDescent="0.25">
      <c r="A3115" s="4" t="str">
        <f>HYPERLINK("http://www.rosaceae.org/Prunus/Prunus_persica/p.persica_gdr_reftransV1_0016943","p.persica_gdr_reftransV1_0016943")</f>
        <v>p.persica_gdr_reftransV1_0016943</v>
      </c>
      <c r="B3115" s="2">
        <v>1718</v>
      </c>
      <c r="C3115" s="4" t="str">
        <f>HYPERLINK("http://www.uniprot.org/uniprot/M5X907","M5X907")</f>
        <v>M5X907</v>
      </c>
      <c r="D3115" s="2" t="s">
        <v>898</v>
      </c>
      <c r="E3115" s="3">
        <v>0</v>
      </c>
      <c r="F3115" s="2">
        <v>2648</v>
      </c>
      <c r="G3115" s="2">
        <v>100</v>
      </c>
      <c r="H3115" s="2">
        <v>503</v>
      </c>
      <c r="I3115" s="2">
        <v>209</v>
      </c>
      <c r="J3115" s="2">
        <v>1717</v>
      </c>
      <c r="K3115" s="2">
        <v>1463</v>
      </c>
      <c r="L3115" s="2">
        <v>1965</v>
      </c>
    </row>
    <row r="3116" spans="1:12" x14ac:dyDescent="0.25">
      <c r="A3116" s="4" t="str">
        <f>HYPERLINK("http://www.rosaceae.org/Prunus/Prunus_persica/p.persica_gdr_reftransV1_0018693","p.persica_gdr_reftransV1_0018693")</f>
        <v>p.persica_gdr_reftransV1_0018693</v>
      </c>
      <c r="B3116" s="2">
        <v>867</v>
      </c>
      <c r="C3116" s="4" t="str">
        <f>HYPERLINK("http://www.uniprot.org/uniprot/M5W9E3","M5W9E3")</f>
        <v>M5W9E3</v>
      </c>
      <c r="D3116" s="2" t="s">
        <v>2967</v>
      </c>
      <c r="E3116" s="3">
        <v>1.0200000000000001E-80</v>
      </c>
      <c r="F3116" s="2">
        <v>703</v>
      </c>
      <c r="G3116" s="2">
        <v>100</v>
      </c>
      <c r="H3116" s="2">
        <v>148</v>
      </c>
      <c r="I3116" s="2">
        <v>383</v>
      </c>
      <c r="J3116" s="2">
        <v>826</v>
      </c>
      <c r="K3116" s="2">
        <v>1</v>
      </c>
      <c r="L3116" s="2">
        <v>148</v>
      </c>
    </row>
    <row r="3117" spans="1:12" x14ac:dyDescent="0.25">
      <c r="A3117" s="4" t="str">
        <f>HYPERLINK("http://www.rosaceae.org/Prunus/Prunus_persica/p.persica_gdr_reftransV1_0021143","p.persica_gdr_reftransV1_0021143")</f>
        <v>p.persica_gdr_reftransV1_0021143</v>
      </c>
      <c r="B3117" s="2">
        <v>1851</v>
      </c>
      <c r="C3117" s="4" t="str">
        <f>HYPERLINK("http://www.uniprot.org/uniprot/W9QJV8","W9QJV8")</f>
        <v>W9QJV8</v>
      </c>
      <c r="D3117" s="2" t="s">
        <v>2968</v>
      </c>
      <c r="E3117" s="3">
        <v>0</v>
      </c>
      <c r="F3117" s="2">
        <v>1617</v>
      </c>
      <c r="G3117" s="2">
        <v>68</v>
      </c>
      <c r="H3117" s="2">
        <v>442</v>
      </c>
      <c r="I3117" s="2">
        <v>218</v>
      </c>
      <c r="J3117" s="2">
        <v>1531</v>
      </c>
      <c r="K3117" s="2">
        <v>386</v>
      </c>
      <c r="L3117" s="2">
        <v>819</v>
      </c>
    </row>
    <row r="3118" spans="1:12" x14ac:dyDescent="0.25">
      <c r="A3118" s="4" t="str">
        <f>HYPERLINK("http://www.rosaceae.org/Prunus/Prunus_persica/p.persica_gdr_reftransV1_0021493","p.persica_gdr_reftransV1_0021493")</f>
        <v>p.persica_gdr_reftransV1_0021493</v>
      </c>
      <c r="B3118" s="2">
        <v>309</v>
      </c>
      <c r="C3118" s="4" t="str">
        <f>HYPERLINK("http://www.uniprot.org/uniprot/M5WS56","M5WS56")</f>
        <v>M5WS56</v>
      </c>
      <c r="D3118" s="2" t="s">
        <v>2969</v>
      </c>
      <c r="E3118" s="3">
        <v>1.2399999999999999E-62</v>
      </c>
      <c r="F3118" s="2">
        <v>539</v>
      </c>
      <c r="G3118" s="2">
        <v>100</v>
      </c>
      <c r="H3118" s="2">
        <v>103</v>
      </c>
      <c r="I3118" s="2">
        <v>1</v>
      </c>
      <c r="J3118" s="2">
        <v>309</v>
      </c>
      <c r="K3118" s="2">
        <v>387</v>
      </c>
      <c r="L3118" s="2">
        <v>489</v>
      </c>
    </row>
    <row r="3119" spans="1:12" x14ac:dyDescent="0.25">
      <c r="A3119" s="4" t="str">
        <f>HYPERLINK("http://www.rosaceae.org/Prunus/Prunus_persica/p.persica_gdr_reftransV1_0023243","p.persica_gdr_reftransV1_0023243")</f>
        <v>p.persica_gdr_reftransV1_0023243</v>
      </c>
      <c r="B3119" s="2">
        <v>2753</v>
      </c>
      <c r="C3119" s="4" t="str">
        <f>HYPERLINK("http://www.uniprot.org/uniprot/M5W8Q6","M5W8Q6")</f>
        <v>M5W8Q6</v>
      </c>
      <c r="D3119" s="2" t="s">
        <v>2970</v>
      </c>
      <c r="E3119" s="3">
        <v>2.14E-116</v>
      </c>
      <c r="F3119" s="2">
        <v>935</v>
      </c>
      <c r="G3119" s="2">
        <v>100</v>
      </c>
      <c r="H3119" s="2">
        <v>175</v>
      </c>
      <c r="I3119" s="2">
        <v>2190</v>
      </c>
      <c r="J3119" s="2">
        <v>2714</v>
      </c>
      <c r="K3119" s="2">
        <v>1</v>
      </c>
      <c r="L3119" s="2">
        <v>175</v>
      </c>
    </row>
    <row r="3120" spans="1:12" x14ac:dyDescent="0.25">
      <c r="A3120" s="4" t="str">
        <f>HYPERLINK("http://www.rosaceae.org/Prunus/Prunus_persica/p.persica_gdr_reftransV1_0024293","p.persica_gdr_reftransV1_0024293")</f>
        <v>p.persica_gdr_reftransV1_0024293</v>
      </c>
      <c r="B3120" s="2">
        <v>6595</v>
      </c>
      <c r="C3120" s="4" t="str">
        <f>HYPERLINK("http://www.uniprot.org/uniprot/M5XY20","M5XY20")</f>
        <v>M5XY20</v>
      </c>
      <c r="D3120" s="2" t="s">
        <v>834</v>
      </c>
      <c r="E3120" s="3">
        <v>0</v>
      </c>
      <c r="F3120" s="2">
        <v>7591</v>
      </c>
      <c r="G3120" s="2">
        <v>97</v>
      </c>
      <c r="H3120" s="2">
        <v>1586</v>
      </c>
      <c r="I3120" s="2">
        <v>1</v>
      </c>
      <c r="J3120" s="2">
        <v>4758</v>
      </c>
      <c r="K3120" s="2">
        <v>112</v>
      </c>
      <c r="L3120" s="2">
        <v>1651</v>
      </c>
    </row>
    <row r="3121" spans="1:12" x14ac:dyDescent="0.25">
      <c r="A3121" s="4" t="str">
        <f>HYPERLINK("http://www.rosaceae.org/Prunus/Prunus_persica/p.persica_gdr_reftransV1_0024993","p.persica_gdr_reftransV1_0024993")</f>
        <v>p.persica_gdr_reftransV1_0024993</v>
      </c>
      <c r="B3121" s="2">
        <v>2874</v>
      </c>
      <c r="C3121" s="4" t="str">
        <f>HYPERLINK("http://www.uniprot.org/uniprot/M5X9I1","M5X9I1")</f>
        <v>M5X9I1</v>
      </c>
      <c r="D3121" s="2" t="s">
        <v>2971</v>
      </c>
      <c r="E3121" s="3">
        <v>0</v>
      </c>
      <c r="F3121" s="2">
        <v>4567</v>
      </c>
      <c r="G3121" s="2">
        <v>100</v>
      </c>
      <c r="H3121" s="2">
        <v>868</v>
      </c>
      <c r="I3121" s="2">
        <v>211</v>
      </c>
      <c r="J3121" s="2">
        <v>2814</v>
      </c>
      <c r="K3121" s="2">
        <v>1</v>
      </c>
      <c r="L3121" s="2">
        <v>868</v>
      </c>
    </row>
    <row r="3122" spans="1:12" x14ac:dyDescent="0.25">
      <c r="A3122" s="4" t="str">
        <f>HYPERLINK("http://www.rosaceae.org/Prunus/Prunus_persica/p.persica_gdr_reftransV1_0027093","p.persica_gdr_reftransV1_0027093")</f>
        <v>p.persica_gdr_reftransV1_0027093</v>
      </c>
      <c r="B3122" s="2">
        <v>3000</v>
      </c>
      <c r="C3122" s="4" t="str">
        <f>HYPERLINK("http://www.uniprot.org/uniprot/M5VVS9","M5VVS9")</f>
        <v>M5VVS9</v>
      </c>
      <c r="D3122" s="2" t="s">
        <v>1024</v>
      </c>
      <c r="E3122" s="3">
        <v>0</v>
      </c>
      <c r="F3122" s="2">
        <v>3793</v>
      </c>
      <c r="G3122" s="2">
        <v>100</v>
      </c>
      <c r="H3122" s="2">
        <v>754</v>
      </c>
      <c r="I3122" s="2">
        <v>496</v>
      </c>
      <c r="J3122" s="2">
        <v>2757</v>
      </c>
      <c r="K3122" s="2">
        <v>50</v>
      </c>
      <c r="L3122" s="2">
        <v>803</v>
      </c>
    </row>
    <row r="3123" spans="1:12" x14ac:dyDescent="0.25">
      <c r="A3123" s="4" t="str">
        <f>HYPERLINK("http://www.rosaceae.org/Prunus/Prunus_persica/p.persica_gdr_reftransV1_0028143","p.persica_gdr_reftransV1_0028143")</f>
        <v>p.persica_gdr_reftransV1_0028143</v>
      </c>
      <c r="B3123" s="2">
        <v>1852</v>
      </c>
      <c r="C3123" s="4" t="str">
        <f>HYPERLINK("http://www.uniprot.org/uniprot/M5VNR8","M5VNR8")</f>
        <v>M5VNR8</v>
      </c>
      <c r="D3123" s="2" t="s">
        <v>2972</v>
      </c>
      <c r="E3123" s="3">
        <v>2.8300000000000001E-72</v>
      </c>
      <c r="F3123" s="2">
        <v>612</v>
      </c>
      <c r="G3123" s="2">
        <v>99</v>
      </c>
      <c r="H3123" s="2">
        <v>130</v>
      </c>
      <c r="I3123" s="2">
        <v>1408</v>
      </c>
      <c r="J3123" s="2">
        <v>1797</v>
      </c>
      <c r="K3123" s="2">
        <v>1</v>
      </c>
      <c r="L3123" s="2">
        <v>130</v>
      </c>
    </row>
    <row r="3124" spans="1:12" x14ac:dyDescent="0.25">
      <c r="A3124" s="4" t="str">
        <f>HYPERLINK("http://www.rosaceae.org/Prunus/Prunus_persica/p.persica_gdr_reftransV1_0031293","p.persica_gdr_reftransV1_0031293")</f>
        <v>p.persica_gdr_reftransV1_0031293</v>
      </c>
      <c r="B3124" s="2">
        <v>2250</v>
      </c>
      <c r="C3124" s="4" t="str">
        <f>HYPERLINK("http://www.uniprot.org/uniprot/M5XDX8","M5XDX8")</f>
        <v>M5XDX8</v>
      </c>
      <c r="D3124" s="2" t="s">
        <v>2973</v>
      </c>
      <c r="E3124" s="3">
        <v>0</v>
      </c>
      <c r="F3124" s="2">
        <v>1724</v>
      </c>
      <c r="G3124" s="2">
        <v>100</v>
      </c>
      <c r="H3124" s="2">
        <v>341</v>
      </c>
      <c r="I3124" s="2">
        <v>1058</v>
      </c>
      <c r="J3124" s="2">
        <v>2080</v>
      </c>
      <c r="K3124" s="2">
        <v>1</v>
      </c>
      <c r="L3124" s="2">
        <v>341</v>
      </c>
    </row>
    <row r="3125" spans="1:12" x14ac:dyDescent="0.25">
      <c r="A3125" s="4" t="str">
        <f>HYPERLINK("http://www.rosaceae.org/Prunus/Prunus_persica/p.persica_gdr_reftransV1_0032693","p.persica_gdr_reftransV1_0032693")</f>
        <v>p.persica_gdr_reftransV1_0032693</v>
      </c>
      <c r="B3125" s="2">
        <v>1280</v>
      </c>
      <c r="C3125" s="4" t="str">
        <f>HYPERLINK("http://www.uniprot.org/uniprot/M5VXW4","M5VXW4")</f>
        <v>M5VXW4</v>
      </c>
      <c r="D3125" s="2" t="s">
        <v>2974</v>
      </c>
      <c r="E3125" s="3">
        <v>7.9400000000000001E-113</v>
      </c>
      <c r="F3125" s="2">
        <v>876</v>
      </c>
      <c r="G3125" s="2">
        <v>87</v>
      </c>
      <c r="H3125" s="2">
        <v>202</v>
      </c>
      <c r="I3125" s="2">
        <v>255</v>
      </c>
      <c r="J3125" s="2">
        <v>860</v>
      </c>
      <c r="K3125" s="2">
        <v>38</v>
      </c>
      <c r="L3125" s="2">
        <v>212</v>
      </c>
    </row>
    <row r="3126" spans="1:12" x14ac:dyDescent="0.25">
      <c r="A3126" s="4" t="str">
        <f>HYPERLINK("http://www.rosaceae.org/Prunus/Prunus_persica/p.persica_gdr_reftransV1_0033743","p.persica_gdr_reftransV1_0033743")</f>
        <v>p.persica_gdr_reftransV1_0033743</v>
      </c>
      <c r="B3126" s="2">
        <v>458</v>
      </c>
      <c r="C3126" s="4" t="str">
        <f>HYPERLINK("http://www.uniprot.org/uniprot/M5WV46","M5WV46")</f>
        <v>M5WV46</v>
      </c>
      <c r="D3126" s="2" t="s">
        <v>2975</v>
      </c>
      <c r="E3126" s="3">
        <v>3.1699999999999999E-86</v>
      </c>
      <c r="F3126" s="2">
        <v>698</v>
      </c>
      <c r="G3126" s="2">
        <v>100</v>
      </c>
      <c r="H3126" s="2">
        <v>140</v>
      </c>
      <c r="I3126" s="2">
        <v>39</v>
      </c>
      <c r="J3126" s="2">
        <v>458</v>
      </c>
      <c r="K3126" s="2">
        <v>1</v>
      </c>
      <c r="L3126" s="2">
        <v>140</v>
      </c>
    </row>
    <row r="3127" spans="1:12" x14ac:dyDescent="0.25">
      <c r="A3127" s="4" t="str">
        <f>HYPERLINK("http://www.rosaceae.org/Prunus/Prunus_persica/p.persica_gdr_reftransV1_0034793","p.persica_gdr_reftransV1_0034793")</f>
        <v>p.persica_gdr_reftransV1_0034793</v>
      </c>
      <c r="B3127" s="2">
        <v>1810</v>
      </c>
      <c r="C3127" s="4" t="str">
        <f>HYPERLINK("http://www.uniprot.org/uniprot/M5XCZ4","M5XCZ4")</f>
        <v>M5XCZ4</v>
      </c>
      <c r="D3127" s="2" t="s">
        <v>471</v>
      </c>
      <c r="E3127" s="3">
        <v>0</v>
      </c>
      <c r="F3127" s="2">
        <v>2388</v>
      </c>
      <c r="G3127" s="2">
        <v>96</v>
      </c>
      <c r="H3127" s="2">
        <v>475</v>
      </c>
      <c r="I3127" s="2">
        <v>200</v>
      </c>
      <c r="J3127" s="2">
        <v>1624</v>
      </c>
      <c r="K3127" s="2">
        <v>26</v>
      </c>
      <c r="L3127" s="2">
        <v>498</v>
      </c>
    </row>
    <row r="3128" spans="1:12" x14ac:dyDescent="0.25">
      <c r="A3128" s="4" t="str">
        <f>HYPERLINK("http://www.rosaceae.org/Prunus/Prunus_persica/p.persica_gdr_reftransV1_0036543","p.persica_gdr_reftransV1_0036543")</f>
        <v>p.persica_gdr_reftransV1_0036543</v>
      </c>
      <c r="B3128" s="2">
        <v>2051</v>
      </c>
      <c r="C3128" s="4" t="str">
        <f>HYPERLINK("http://www.uniprot.org/uniprot/M5WPG4","M5WPG4")</f>
        <v>M5WPG4</v>
      </c>
      <c r="D3128" s="2" t="s">
        <v>2976</v>
      </c>
      <c r="E3128" s="3">
        <v>0</v>
      </c>
      <c r="F3128" s="2">
        <v>2969</v>
      </c>
      <c r="G3128" s="2">
        <v>100</v>
      </c>
      <c r="H3128" s="2">
        <v>573</v>
      </c>
      <c r="I3128" s="2">
        <v>149</v>
      </c>
      <c r="J3128" s="2">
        <v>1867</v>
      </c>
      <c r="K3128" s="2">
        <v>1</v>
      </c>
      <c r="L3128" s="2">
        <v>573</v>
      </c>
    </row>
    <row r="3129" spans="1:12" x14ac:dyDescent="0.25">
      <c r="A3129" s="4" t="str">
        <f>HYPERLINK("http://www.rosaceae.org/Prunus/Prunus_persica/p.persica_gdr_reftransV1_0037943","p.persica_gdr_reftransV1_0037943")</f>
        <v>p.persica_gdr_reftransV1_0037943</v>
      </c>
      <c r="B3129" s="2">
        <v>3700</v>
      </c>
      <c r="C3129" s="4" t="str">
        <f>HYPERLINK("http://www.uniprot.org/uniprot/M5WF64","M5WF64")</f>
        <v>M5WF64</v>
      </c>
      <c r="D3129" s="2" t="s">
        <v>2977</v>
      </c>
      <c r="E3129" s="3">
        <v>1.1100000000000001E-108</v>
      </c>
      <c r="F3129" s="2">
        <v>930</v>
      </c>
      <c r="G3129" s="2">
        <v>100</v>
      </c>
      <c r="H3129" s="2">
        <v>172</v>
      </c>
      <c r="I3129" s="2">
        <v>248</v>
      </c>
      <c r="J3129" s="2">
        <v>763</v>
      </c>
      <c r="K3129" s="2">
        <v>1</v>
      </c>
      <c r="L3129" s="2">
        <v>172</v>
      </c>
    </row>
    <row r="3130" spans="1:12" x14ac:dyDescent="0.25">
      <c r="A3130" s="4" t="str">
        <f>HYPERLINK("http://www.rosaceae.org/Prunus/Prunus_persica/p.persica_gdr_reftransV1_0038643","p.persica_gdr_reftransV1_0038643")</f>
        <v>p.persica_gdr_reftransV1_0038643</v>
      </c>
      <c r="B3130" s="2">
        <v>720</v>
      </c>
      <c r="C3130" s="4" t="str">
        <f>HYPERLINK("http://www.uniprot.org/uniprot/M5WB75","M5WB75")</f>
        <v>M5WB75</v>
      </c>
      <c r="D3130" s="2" t="s">
        <v>2934</v>
      </c>
      <c r="E3130" s="3">
        <v>1.9600000000000001E-27</v>
      </c>
      <c r="F3130" s="2">
        <v>277</v>
      </c>
      <c r="G3130" s="2">
        <v>81</v>
      </c>
      <c r="H3130" s="2">
        <v>68</v>
      </c>
      <c r="I3130" s="2">
        <v>114</v>
      </c>
      <c r="J3130" s="2">
        <v>317</v>
      </c>
      <c r="K3130" s="2">
        <v>23</v>
      </c>
      <c r="L3130" s="2">
        <v>90</v>
      </c>
    </row>
    <row r="3131" spans="1:12" x14ac:dyDescent="0.25">
      <c r="A3131" s="4" t="str">
        <f>HYPERLINK("http://www.rosaceae.org/Prunus/Prunus_persica/p.persica_gdr_reftransV1_0038993","p.persica_gdr_reftransV1_0038993")</f>
        <v>p.persica_gdr_reftransV1_0038993</v>
      </c>
      <c r="B3131" s="2">
        <v>427</v>
      </c>
      <c r="C3131" s="4" t="str">
        <f>HYPERLINK("http://www.uniprot.org/uniprot/M5Y4C4","M5Y4C4")</f>
        <v>M5Y4C4</v>
      </c>
      <c r="D3131" s="2" t="s">
        <v>821</v>
      </c>
      <c r="E3131" s="3">
        <v>1.1599999999999999E-69</v>
      </c>
      <c r="F3131" s="2">
        <v>608</v>
      </c>
      <c r="G3131" s="2">
        <v>83</v>
      </c>
      <c r="H3131" s="2">
        <v>141</v>
      </c>
      <c r="I3131" s="2">
        <v>2</v>
      </c>
      <c r="J3131" s="2">
        <v>424</v>
      </c>
      <c r="K3131" s="2">
        <v>433</v>
      </c>
      <c r="L3131" s="2">
        <v>573</v>
      </c>
    </row>
    <row r="3132" spans="1:12" x14ac:dyDescent="0.25">
      <c r="A3132" s="4" t="str">
        <f>HYPERLINK("http://www.rosaceae.org/Prunus/Prunus_persica/p.persica_gdr_reftransV1_0040393","p.persica_gdr_reftransV1_0040393")</f>
        <v>p.persica_gdr_reftransV1_0040393</v>
      </c>
      <c r="B3132" s="2">
        <v>934</v>
      </c>
      <c r="C3132" s="4" t="str">
        <f>HYPERLINK("http://www.uniprot.org/uniprot/M5WKA6","M5WKA6")</f>
        <v>M5WKA6</v>
      </c>
      <c r="D3132" s="2" t="s">
        <v>2978</v>
      </c>
      <c r="E3132" s="3">
        <v>5.2900000000000003E-88</v>
      </c>
      <c r="F3132" s="2">
        <v>708</v>
      </c>
      <c r="G3132" s="2">
        <v>100</v>
      </c>
      <c r="H3132" s="2">
        <v>151</v>
      </c>
      <c r="I3132" s="2">
        <v>482</v>
      </c>
      <c r="J3132" s="2">
        <v>934</v>
      </c>
      <c r="K3132" s="2">
        <v>1</v>
      </c>
      <c r="L3132" s="2">
        <v>151</v>
      </c>
    </row>
    <row r="3133" spans="1:12" x14ac:dyDescent="0.25">
      <c r="A3133" s="4" t="str">
        <f>HYPERLINK("http://www.rosaceae.org/Prunus/Prunus_persica/p.persica_gdr_reftransV1_0041443","p.persica_gdr_reftransV1_0041443")</f>
        <v>p.persica_gdr_reftransV1_0041443</v>
      </c>
      <c r="B3133" s="2">
        <v>4186</v>
      </c>
      <c r="C3133" s="4" t="str">
        <f>HYPERLINK("http://www.uniprot.org/uniprot/M5WED0","M5WED0")</f>
        <v>M5WED0</v>
      </c>
      <c r="D3133" s="2" t="s">
        <v>2979</v>
      </c>
      <c r="E3133" s="3">
        <v>0</v>
      </c>
      <c r="F3133" s="2">
        <v>3444</v>
      </c>
      <c r="G3133" s="2">
        <v>100</v>
      </c>
      <c r="H3133" s="2">
        <v>695</v>
      </c>
      <c r="I3133" s="2">
        <v>127</v>
      </c>
      <c r="J3133" s="2">
        <v>2211</v>
      </c>
      <c r="K3133" s="2">
        <v>1</v>
      </c>
      <c r="L3133" s="2">
        <v>695</v>
      </c>
    </row>
    <row r="3134" spans="1:12" x14ac:dyDescent="0.25">
      <c r="A3134" s="4" t="str">
        <f>HYPERLINK("http://www.rosaceae.org/Prunus/Prunus_persica/p.persica_gdr_reftransV1_0041793","p.persica_gdr_reftransV1_0041793")</f>
        <v>p.persica_gdr_reftransV1_0041793</v>
      </c>
      <c r="B3134" s="2">
        <v>1366</v>
      </c>
      <c r="C3134" s="4" t="str">
        <f>HYPERLINK("http://www.uniprot.org/uniprot/B9ILZ0","B9ILZ0")</f>
        <v>B9ILZ0</v>
      </c>
      <c r="D3134" s="2" t="s">
        <v>2980</v>
      </c>
      <c r="E3134" s="3">
        <v>3.9500000000000001E-143</v>
      </c>
      <c r="F3134" s="2">
        <v>1082</v>
      </c>
      <c r="G3134" s="2">
        <v>85</v>
      </c>
      <c r="H3134" s="2">
        <v>239</v>
      </c>
      <c r="I3134" s="2">
        <v>498</v>
      </c>
      <c r="J3134" s="2">
        <v>1211</v>
      </c>
      <c r="K3134" s="2">
        <v>1</v>
      </c>
      <c r="L3134" s="2">
        <v>239</v>
      </c>
    </row>
    <row r="3135" spans="1:12" x14ac:dyDescent="0.25">
      <c r="A3135" s="4" t="str">
        <f>HYPERLINK("http://www.rosaceae.org/Prunus/Prunus_persica/p.persica_gdr_reftransV1_0042143","p.persica_gdr_reftransV1_0042143")</f>
        <v>p.persica_gdr_reftransV1_0042143</v>
      </c>
      <c r="B3135" s="2">
        <v>2397</v>
      </c>
      <c r="C3135" s="4" t="str">
        <f>HYPERLINK("http://www.uniprot.org/uniprot/M5VJR8","M5VJR8")</f>
        <v>M5VJR8</v>
      </c>
      <c r="D3135" s="2" t="s">
        <v>2981</v>
      </c>
      <c r="E3135" s="3">
        <v>0</v>
      </c>
      <c r="F3135" s="2">
        <v>1459</v>
      </c>
      <c r="G3135" s="2">
        <v>100</v>
      </c>
      <c r="H3135" s="2">
        <v>278</v>
      </c>
      <c r="I3135" s="2">
        <v>142</v>
      </c>
      <c r="J3135" s="2">
        <v>975</v>
      </c>
      <c r="K3135" s="2">
        <v>1</v>
      </c>
      <c r="L3135" s="2">
        <v>278</v>
      </c>
    </row>
    <row r="3136" spans="1:12" x14ac:dyDescent="0.25">
      <c r="A3136" s="4" t="str">
        <f>HYPERLINK("http://www.rosaceae.org/Prunus/Prunus_persica/p.persica_gdr_reftransV1_0043893","p.persica_gdr_reftransV1_0043893")</f>
        <v>p.persica_gdr_reftransV1_0043893</v>
      </c>
      <c r="B3136" s="2">
        <v>723</v>
      </c>
      <c r="C3136" s="4" t="str">
        <f>HYPERLINK("http://www.uniprot.org/uniprot/M5WI56","M5WI56")</f>
        <v>M5WI56</v>
      </c>
      <c r="D3136" s="2" t="s">
        <v>2982</v>
      </c>
      <c r="E3136" s="3">
        <v>1.4799999999999999E-88</v>
      </c>
      <c r="F3136" s="2">
        <v>689</v>
      </c>
      <c r="G3136" s="2">
        <v>100</v>
      </c>
      <c r="H3136" s="2">
        <v>130</v>
      </c>
      <c r="I3136" s="2">
        <v>179</v>
      </c>
      <c r="J3136" s="2">
        <v>568</v>
      </c>
      <c r="K3136" s="2">
        <v>1</v>
      </c>
      <c r="L3136" s="2">
        <v>130</v>
      </c>
    </row>
    <row r="3137" spans="1:12" x14ac:dyDescent="0.25">
      <c r="A3137" s="4" t="str">
        <f>HYPERLINK("http://www.rosaceae.org/Prunus/Prunus_persica/p.persica_gdr_reftransV1_0044243","p.persica_gdr_reftransV1_0044243")</f>
        <v>p.persica_gdr_reftransV1_0044243</v>
      </c>
      <c r="B3137" s="2">
        <v>835</v>
      </c>
      <c r="C3137" s="4" t="str">
        <f>HYPERLINK("http://www.uniprot.org/uniprot/M5VSD4","M5VSD4")</f>
        <v>M5VSD4</v>
      </c>
      <c r="D3137" s="2" t="s">
        <v>2983</v>
      </c>
      <c r="E3137" s="3">
        <v>1.5499999999999999E-52</v>
      </c>
      <c r="F3137" s="2">
        <v>454</v>
      </c>
      <c r="G3137" s="2">
        <v>100</v>
      </c>
      <c r="H3137" s="2">
        <v>124</v>
      </c>
      <c r="I3137" s="2">
        <v>289</v>
      </c>
      <c r="J3137" s="2">
        <v>660</v>
      </c>
      <c r="K3137" s="2">
        <v>1</v>
      </c>
      <c r="L3137" s="2">
        <v>124</v>
      </c>
    </row>
    <row r="3138" spans="1:12" x14ac:dyDescent="0.25">
      <c r="A3138" s="4" t="str">
        <f>HYPERLINK("http://www.rosaceae.org/Prunus/Prunus_persica/p.persica_gdr_reftransV1_0044943","p.persica_gdr_reftransV1_0044943")</f>
        <v>p.persica_gdr_reftransV1_0044943</v>
      </c>
      <c r="B3138" s="2">
        <v>2762</v>
      </c>
      <c r="C3138" s="4" t="str">
        <f>HYPERLINK("http://www.uniprot.org/uniprot/M5WQS7","M5WQS7")</f>
        <v>M5WQS7</v>
      </c>
      <c r="D3138" s="2" t="s">
        <v>2984</v>
      </c>
      <c r="E3138" s="3">
        <v>0</v>
      </c>
      <c r="F3138" s="2">
        <v>4530</v>
      </c>
      <c r="G3138" s="2">
        <v>97</v>
      </c>
      <c r="H3138" s="2">
        <v>881</v>
      </c>
      <c r="I3138" s="2">
        <v>118</v>
      </c>
      <c r="J3138" s="2">
        <v>2760</v>
      </c>
      <c r="K3138" s="2">
        <v>175</v>
      </c>
      <c r="L3138" s="2">
        <v>1031</v>
      </c>
    </row>
    <row r="3139" spans="1:12" x14ac:dyDescent="0.25">
      <c r="A3139" s="4" t="str">
        <f>HYPERLINK("http://www.rosaceae.org/Prunus/Prunus_persica/p.persica_gdr_reftransV1_0045293","p.persica_gdr_reftransV1_0045293")</f>
        <v>p.persica_gdr_reftransV1_0045293</v>
      </c>
      <c r="B3139" s="2">
        <v>1211</v>
      </c>
      <c r="C3139" s="4" t="str">
        <f>HYPERLINK("http://www.uniprot.org/uniprot/M5W1I4","M5W1I4")</f>
        <v>M5W1I4</v>
      </c>
      <c r="D3139" s="2" t="s">
        <v>2985</v>
      </c>
      <c r="E3139" s="3">
        <v>0</v>
      </c>
      <c r="F3139" s="2">
        <v>1331</v>
      </c>
      <c r="G3139" s="2">
        <v>99</v>
      </c>
      <c r="H3139" s="2">
        <v>258</v>
      </c>
      <c r="I3139" s="2">
        <v>171</v>
      </c>
      <c r="J3139" s="2">
        <v>944</v>
      </c>
      <c r="K3139" s="2">
        <v>13</v>
      </c>
      <c r="L3139" s="2">
        <v>270</v>
      </c>
    </row>
    <row r="3140" spans="1:12" x14ac:dyDescent="0.25">
      <c r="A3140" s="4" t="str">
        <f>HYPERLINK("http://www.rosaceae.org/Prunus/Prunus_persica/p.persica_gdr_reftransV1_0045643","p.persica_gdr_reftransV1_0045643")</f>
        <v>p.persica_gdr_reftransV1_0045643</v>
      </c>
      <c r="B3140" s="2">
        <v>1815</v>
      </c>
      <c r="C3140" s="4" t="str">
        <f>HYPERLINK("http://www.uniprot.org/uniprot/M5WCT5","M5WCT5")</f>
        <v>M5WCT5</v>
      </c>
      <c r="D3140" s="2" t="s">
        <v>2986</v>
      </c>
      <c r="E3140" s="3">
        <v>0</v>
      </c>
      <c r="F3140" s="2">
        <v>2674</v>
      </c>
      <c r="G3140" s="2">
        <v>100</v>
      </c>
      <c r="H3140" s="2">
        <v>504</v>
      </c>
      <c r="I3140" s="2">
        <v>62</v>
      </c>
      <c r="J3140" s="2">
        <v>1573</v>
      </c>
      <c r="K3140" s="2">
        <v>1</v>
      </c>
      <c r="L3140" s="2">
        <v>504</v>
      </c>
    </row>
    <row r="3141" spans="1:12" x14ac:dyDescent="0.25">
      <c r="A3141" s="4" t="str">
        <f>HYPERLINK("http://www.rosaceae.org/Prunus/Prunus_persica/p.persica_gdr_reftransV1_0045993","p.persica_gdr_reftransV1_0045993")</f>
        <v>p.persica_gdr_reftransV1_0045993</v>
      </c>
      <c r="B3141" s="2">
        <v>1023</v>
      </c>
      <c r="C3141" s="4" t="str">
        <f>HYPERLINK("http://www.uniprot.org/uniprot/M5XI91","M5XI91")</f>
        <v>M5XI91</v>
      </c>
      <c r="D3141" s="2" t="s">
        <v>2987</v>
      </c>
      <c r="E3141" s="3">
        <v>1.17E-98</v>
      </c>
      <c r="F3141" s="2">
        <v>772</v>
      </c>
      <c r="G3141" s="2">
        <v>100</v>
      </c>
      <c r="H3141" s="2">
        <v>148</v>
      </c>
      <c r="I3141" s="2">
        <v>69</v>
      </c>
      <c r="J3141" s="2">
        <v>512</v>
      </c>
      <c r="K3141" s="2">
        <v>2</v>
      </c>
      <c r="L3141" s="2">
        <v>149</v>
      </c>
    </row>
    <row r="3142" spans="1:12" x14ac:dyDescent="0.25">
      <c r="A3142" s="4" t="str">
        <f>HYPERLINK("http://www.rosaceae.org/Prunus/Prunus_persica/p.persica_gdr_reftransV1_0046693","p.persica_gdr_reftransV1_0046693")</f>
        <v>p.persica_gdr_reftransV1_0046693</v>
      </c>
      <c r="B3142" s="2">
        <v>1785</v>
      </c>
      <c r="C3142" s="4" t="str">
        <f>HYPERLINK("http://www.uniprot.org/uniprot/M5WSD8","M5WSD8")</f>
        <v>M5WSD8</v>
      </c>
      <c r="D3142" s="2" t="s">
        <v>2988</v>
      </c>
      <c r="E3142" s="3">
        <v>0</v>
      </c>
      <c r="F3142" s="2">
        <v>2540</v>
      </c>
      <c r="G3142" s="2">
        <v>95</v>
      </c>
      <c r="H3142" s="2">
        <v>531</v>
      </c>
      <c r="I3142" s="2">
        <v>172</v>
      </c>
      <c r="J3142" s="2">
        <v>1761</v>
      </c>
      <c r="K3142" s="2">
        <v>1</v>
      </c>
      <c r="L3142" s="2">
        <v>531</v>
      </c>
    </row>
    <row r="3143" spans="1:12" x14ac:dyDescent="0.25">
      <c r="A3143" s="4" t="str">
        <f>HYPERLINK("http://www.rosaceae.org/Prunus/Prunus_persica/p.persica_gdr_reftransV1_0047393","p.persica_gdr_reftransV1_0047393")</f>
        <v>p.persica_gdr_reftransV1_0047393</v>
      </c>
      <c r="B3143" s="2">
        <v>1058</v>
      </c>
      <c r="C3143" s="4" t="str">
        <f>HYPERLINK("http://www.uniprot.org/uniprot/M5XNM5","M5XNM5")</f>
        <v>M5XNM5</v>
      </c>
      <c r="D3143" s="2" t="s">
        <v>1119</v>
      </c>
      <c r="E3143" s="3">
        <v>0</v>
      </c>
      <c r="F3143" s="2">
        <v>1672</v>
      </c>
      <c r="G3143" s="2">
        <v>100</v>
      </c>
      <c r="H3143" s="2">
        <v>352</v>
      </c>
      <c r="I3143" s="2">
        <v>2</v>
      </c>
      <c r="J3143" s="2">
        <v>1057</v>
      </c>
      <c r="K3143" s="2">
        <v>93</v>
      </c>
      <c r="L3143" s="2">
        <v>444</v>
      </c>
    </row>
    <row r="3144" spans="1:12" x14ac:dyDescent="0.25">
      <c r="A3144" s="4" t="str">
        <f>HYPERLINK("http://www.rosaceae.org/Prunus/Prunus_persica/p.persica_gdr_reftransV1_0047743","p.persica_gdr_reftransV1_0047743")</f>
        <v>p.persica_gdr_reftransV1_0047743</v>
      </c>
      <c r="B3144" s="2">
        <v>1916</v>
      </c>
      <c r="C3144" s="4" t="str">
        <f>HYPERLINK("http://www.uniprot.org/uniprot/M5X962","M5X962")</f>
        <v>M5X962</v>
      </c>
      <c r="D3144" s="2" t="s">
        <v>2989</v>
      </c>
      <c r="E3144" s="3">
        <v>0</v>
      </c>
      <c r="F3144" s="2">
        <v>2623</v>
      </c>
      <c r="G3144" s="2">
        <v>100</v>
      </c>
      <c r="H3144" s="2">
        <v>491</v>
      </c>
      <c r="I3144" s="2">
        <v>152</v>
      </c>
      <c r="J3144" s="2">
        <v>1624</v>
      </c>
      <c r="K3144" s="2">
        <v>1</v>
      </c>
      <c r="L3144" s="2">
        <v>491</v>
      </c>
    </row>
    <row r="3145" spans="1:12" x14ac:dyDescent="0.25">
      <c r="A3145" s="4" t="str">
        <f>HYPERLINK("http://www.rosaceae.org/Prunus/Prunus_persica/p.persica_gdr_reftransV1_0048093","p.persica_gdr_reftransV1_0048093")</f>
        <v>p.persica_gdr_reftransV1_0048093</v>
      </c>
      <c r="B3145" s="2">
        <v>451</v>
      </c>
      <c r="C3145" s="4" t="str">
        <f>HYPERLINK("http://www.uniprot.org/uniprot/M5Y4C4","M5Y4C4")</f>
        <v>M5Y4C4</v>
      </c>
      <c r="D3145" s="2" t="s">
        <v>821</v>
      </c>
      <c r="E3145" s="3">
        <v>1.67E-91</v>
      </c>
      <c r="F3145" s="2">
        <v>768</v>
      </c>
      <c r="G3145" s="2">
        <v>100</v>
      </c>
      <c r="H3145" s="2">
        <v>150</v>
      </c>
      <c r="I3145" s="2">
        <v>1</v>
      </c>
      <c r="J3145" s="2">
        <v>450</v>
      </c>
      <c r="K3145" s="2">
        <v>849</v>
      </c>
      <c r="L3145" s="2">
        <v>998</v>
      </c>
    </row>
    <row r="3146" spans="1:12" x14ac:dyDescent="0.25">
      <c r="A3146" s="4" t="str">
        <f>HYPERLINK("http://www.rosaceae.org/Prunus/Prunus_persica/p.persica_gdr_reftransV1_0048443","p.persica_gdr_reftransV1_0048443")</f>
        <v>p.persica_gdr_reftransV1_0048443</v>
      </c>
      <c r="B3146" s="2">
        <v>417</v>
      </c>
      <c r="C3146" s="4" t="str">
        <f>HYPERLINK("http://www.uniprot.org/uniprot/M5WEU1","M5WEU1")</f>
        <v>M5WEU1</v>
      </c>
      <c r="D3146" s="2" t="s">
        <v>2990</v>
      </c>
      <c r="E3146" s="3">
        <v>3.4199999999999998E-88</v>
      </c>
      <c r="F3146" s="2">
        <v>729</v>
      </c>
      <c r="G3146" s="2">
        <v>100</v>
      </c>
      <c r="H3146" s="2">
        <v>134</v>
      </c>
      <c r="I3146" s="2">
        <v>1</v>
      </c>
      <c r="J3146" s="2">
        <v>402</v>
      </c>
      <c r="K3146" s="2">
        <v>598</v>
      </c>
      <c r="L3146" s="2">
        <v>731</v>
      </c>
    </row>
    <row r="3147" spans="1:12" x14ac:dyDescent="0.25">
      <c r="A3147" s="4" t="str">
        <f>HYPERLINK("http://www.rosaceae.org/Prunus/Prunus_persica/p.persica_gdr_reftransV1_0049143","p.persica_gdr_reftransV1_0049143")</f>
        <v>p.persica_gdr_reftransV1_0049143</v>
      </c>
      <c r="B3147" s="2">
        <v>1010</v>
      </c>
      <c r="C3147" s="4" t="str">
        <f>HYPERLINK("http://www.uniprot.org/uniprot/A0A061EIS8","A0A061EIS8")</f>
        <v>A0A061EIS8</v>
      </c>
      <c r="D3147" s="2" t="s">
        <v>2991</v>
      </c>
      <c r="E3147" s="3">
        <v>4.9699999999999998E-53</v>
      </c>
      <c r="F3147" s="2">
        <v>501</v>
      </c>
      <c r="G3147" s="2">
        <v>83</v>
      </c>
      <c r="H3147" s="2">
        <v>131</v>
      </c>
      <c r="I3147" s="2">
        <v>232</v>
      </c>
      <c r="J3147" s="2">
        <v>624</v>
      </c>
      <c r="K3147" s="2">
        <v>234</v>
      </c>
      <c r="L3147" s="2">
        <v>364</v>
      </c>
    </row>
    <row r="3148" spans="1:12" x14ac:dyDescent="0.25">
      <c r="A3148" s="4" t="str">
        <f>HYPERLINK("http://www.rosaceae.org/Prunus/Prunus_persica/p.persica_gdr_reftransV1_0000144","p.persica_gdr_reftransV1_0000144")</f>
        <v>p.persica_gdr_reftransV1_0000144</v>
      </c>
      <c r="B3148" s="2">
        <v>329</v>
      </c>
      <c r="C3148" s="4" t="str">
        <f>HYPERLINK("http://www.uniprot.org/uniprot/M5W4D1","M5W4D1")</f>
        <v>M5W4D1</v>
      </c>
      <c r="D3148" s="2" t="s">
        <v>2992</v>
      </c>
      <c r="E3148" s="3">
        <v>1.34E-57</v>
      </c>
      <c r="F3148" s="2">
        <v>503</v>
      </c>
      <c r="G3148" s="2">
        <v>100</v>
      </c>
      <c r="H3148" s="2">
        <v>109</v>
      </c>
      <c r="I3148" s="2">
        <v>1</v>
      </c>
      <c r="J3148" s="2">
        <v>327</v>
      </c>
      <c r="K3148" s="2">
        <v>244</v>
      </c>
      <c r="L3148" s="2">
        <v>352</v>
      </c>
    </row>
    <row r="3149" spans="1:12" x14ac:dyDescent="0.25">
      <c r="A3149" s="4" t="str">
        <f>HYPERLINK("http://www.rosaceae.org/Prunus/Prunus_persica/p.persica_gdr_reftransV1_0000494","p.persica_gdr_reftransV1_0000494")</f>
        <v>p.persica_gdr_reftransV1_0000494</v>
      </c>
      <c r="B3149" s="2">
        <v>1482</v>
      </c>
      <c r="C3149" s="4" t="str">
        <f>HYPERLINK("http://www.uniprot.org/uniprot/M5VXT0","M5VXT0")</f>
        <v>M5VXT0</v>
      </c>
      <c r="D3149" s="2" t="s">
        <v>2993</v>
      </c>
      <c r="E3149" s="3">
        <v>0</v>
      </c>
      <c r="F3149" s="2">
        <v>1418</v>
      </c>
      <c r="G3149" s="2">
        <v>86</v>
      </c>
      <c r="H3149" s="2">
        <v>320</v>
      </c>
      <c r="I3149" s="2">
        <v>234</v>
      </c>
      <c r="J3149" s="2">
        <v>1193</v>
      </c>
      <c r="K3149" s="2">
        <v>1</v>
      </c>
      <c r="L3149" s="2">
        <v>275</v>
      </c>
    </row>
    <row r="3150" spans="1:12" x14ac:dyDescent="0.25">
      <c r="A3150" s="4" t="str">
        <f>HYPERLINK("http://www.rosaceae.org/Prunus/Prunus_persica/p.persica_gdr_reftransV1_0000844","p.persica_gdr_reftransV1_0000844")</f>
        <v>p.persica_gdr_reftransV1_0000844</v>
      </c>
      <c r="B3150" s="2">
        <v>860</v>
      </c>
      <c r="C3150" s="4" t="str">
        <f>HYPERLINK("http://www.uniprot.org/uniprot/M5XJU0","M5XJU0")</f>
        <v>M5XJU0</v>
      </c>
      <c r="D3150" s="2" t="s">
        <v>2137</v>
      </c>
      <c r="E3150" s="3">
        <v>1.4400000000000001E-175</v>
      </c>
      <c r="F3150" s="2">
        <v>1366</v>
      </c>
      <c r="G3150" s="2">
        <v>96</v>
      </c>
      <c r="H3150" s="2">
        <v>286</v>
      </c>
      <c r="I3150" s="2">
        <v>1</v>
      </c>
      <c r="J3150" s="2">
        <v>858</v>
      </c>
      <c r="K3150" s="2">
        <v>355</v>
      </c>
      <c r="L3150" s="2">
        <v>640</v>
      </c>
    </row>
    <row r="3151" spans="1:12" x14ac:dyDescent="0.25">
      <c r="A3151" s="4" t="str">
        <f>HYPERLINK("http://www.rosaceae.org/Prunus/Prunus_persica/p.persica_gdr_reftransV1_0001194","p.persica_gdr_reftransV1_0001194")</f>
        <v>p.persica_gdr_reftransV1_0001194</v>
      </c>
      <c r="B3151" s="2">
        <v>2376</v>
      </c>
      <c r="C3151" s="4" t="str">
        <f>HYPERLINK("http://www.uniprot.org/uniprot/M5Y1T3","M5Y1T3")</f>
        <v>M5Y1T3</v>
      </c>
      <c r="D3151" s="2" t="s">
        <v>2994</v>
      </c>
      <c r="E3151" s="3">
        <v>0</v>
      </c>
      <c r="F3151" s="2">
        <v>2337</v>
      </c>
      <c r="G3151" s="2">
        <v>100</v>
      </c>
      <c r="H3151" s="2">
        <v>548</v>
      </c>
      <c r="I3151" s="2">
        <v>733</v>
      </c>
      <c r="J3151" s="2">
        <v>2376</v>
      </c>
      <c r="K3151" s="2">
        <v>437</v>
      </c>
      <c r="L3151" s="2">
        <v>984</v>
      </c>
    </row>
    <row r="3152" spans="1:12" x14ac:dyDescent="0.25">
      <c r="A3152" s="4" t="str">
        <f>HYPERLINK("http://www.rosaceae.org/Prunus/Prunus_persica/p.persica_gdr_reftransV1_0001544","p.persica_gdr_reftransV1_0001544")</f>
        <v>p.persica_gdr_reftransV1_0001544</v>
      </c>
      <c r="B3152" s="2">
        <v>552</v>
      </c>
      <c r="C3152" s="4" t="str">
        <f>HYPERLINK("http://www.uniprot.org/uniprot/M5Y4A9","M5Y4A9")</f>
        <v>M5Y4A9</v>
      </c>
      <c r="D3152" s="2" t="s">
        <v>1586</v>
      </c>
      <c r="E3152" s="3">
        <v>6.9700000000000002E-93</v>
      </c>
      <c r="F3152" s="2">
        <v>779</v>
      </c>
      <c r="G3152" s="2">
        <v>100</v>
      </c>
      <c r="H3152" s="2">
        <v>183</v>
      </c>
      <c r="I3152" s="2">
        <v>3</v>
      </c>
      <c r="J3152" s="2">
        <v>551</v>
      </c>
      <c r="K3152" s="2">
        <v>234</v>
      </c>
      <c r="L3152" s="2">
        <v>416</v>
      </c>
    </row>
    <row r="3153" spans="1:12" x14ac:dyDescent="0.25">
      <c r="A3153" s="4" t="str">
        <f>HYPERLINK("http://www.rosaceae.org/Prunus/Prunus_persica/p.persica_gdr_reftransV1_0001894","p.persica_gdr_reftransV1_0001894")</f>
        <v>p.persica_gdr_reftransV1_0001894</v>
      </c>
      <c r="B3153" s="2">
        <v>565</v>
      </c>
      <c r="C3153" s="4" t="str">
        <f>HYPERLINK("http://www.uniprot.org/uniprot/M5VXJ0","M5VXJ0")</f>
        <v>M5VXJ0</v>
      </c>
      <c r="D3153" s="2" t="s">
        <v>2995</v>
      </c>
      <c r="E3153" s="3">
        <v>2.5099999999999998E-53</v>
      </c>
      <c r="F3153" s="2">
        <v>490</v>
      </c>
      <c r="G3153" s="2">
        <v>99</v>
      </c>
      <c r="H3153" s="2">
        <v>129</v>
      </c>
      <c r="I3153" s="2">
        <v>1</v>
      </c>
      <c r="J3153" s="2">
        <v>387</v>
      </c>
      <c r="K3153" s="2">
        <v>571</v>
      </c>
      <c r="L3153" s="2">
        <v>699</v>
      </c>
    </row>
    <row r="3154" spans="1:12" x14ac:dyDescent="0.25">
      <c r="A3154" s="4" t="str">
        <f>HYPERLINK("http://www.rosaceae.org/Prunus/Prunus_persica/p.persica_gdr_reftransV1_0002244","p.persica_gdr_reftransV1_0002244")</f>
        <v>p.persica_gdr_reftransV1_0002244</v>
      </c>
      <c r="B3154" s="2">
        <v>795</v>
      </c>
      <c r="C3154" s="4" t="str">
        <f>HYPERLINK("http://www.uniprot.org/uniprot/M5Y7X6","M5Y7X6")</f>
        <v>M5Y7X6</v>
      </c>
      <c r="D3154" s="2" t="s">
        <v>1993</v>
      </c>
      <c r="E3154" s="3">
        <v>5.0300000000000003E-58</v>
      </c>
      <c r="F3154" s="2">
        <v>516</v>
      </c>
      <c r="G3154" s="2">
        <v>61</v>
      </c>
      <c r="H3154" s="2">
        <v>219</v>
      </c>
      <c r="I3154" s="2">
        <v>1</v>
      </c>
      <c r="J3154" s="2">
        <v>624</v>
      </c>
      <c r="K3154" s="2">
        <v>23</v>
      </c>
      <c r="L3154" s="2">
        <v>229</v>
      </c>
    </row>
    <row r="3155" spans="1:12" x14ac:dyDescent="0.25">
      <c r="A3155" s="4" t="str">
        <f>HYPERLINK("http://www.rosaceae.org/Prunus/Prunus_persica/p.persica_gdr_reftransV1_0002594","p.persica_gdr_reftransV1_0002594")</f>
        <v>p.persica_gdr_reftransV1_0002594</v>
      </c>
      <c r="B3155" s="2">
        <v>738</v>
      </c>
      <c r="C3155" s="4" t="str">
        <f>HYPERLINK("http://www.uniprot.org/uniprot/M5XV94","M5XV94")</f>
        <v>M5XV94</v>
      </c>
      <c r="D3155" s="2" t="s">
        <v>2996</v>
      </c>
      <c r="E3155" s="3">
        <v>1.28E-125</v>
      </c>
      <c r="F3155" s="2">
        <v>975</v>
      </c>
      <c r="G3155" s="2">
        <v>98</v>
      </c>
      <c r="H3155" s="2">
        <v>196</v>
      </c>
      <c r="I3155" s="2">
        <v>150</v>
      </c>
      <c r="J3155" s="2">
        <v>737</v>
      </c>
      <c r="K3155" s="2">
        <v>375</v>
      </c>
      <c r="L3155" s="2">
        <v>570</v>
      </c>
    </row>
    <row r="3156" spans="1:12" x14ac:dyDescent="0.25">
      <c r="A3156" s="4" t="str">
        <f>HYPERLINK("http://www.rosaceae.org/Prunus/Prunus_persica/p.persica_gdr_reftransV1_0002944","p.persica_gdr_reftransV1_0002944")</f>
        <v>p.persica_gdr_reftransV1_0002944</v>
      </c>
      <c r="B3156" s="2">
        <v>366</v>
      </c>
      <c r="C3156" s="4" t="str">
        <f>HYPERLINK("http://www.uniprot.org/uniprot/M5XPJ9","M5XPJ9")</f>
        <v>M5XPJ9</v>
      </c>
      <c r="D3156" s="2" t="s">
        <v>2997</v>
      </c>
      <c r="E3156" s="3">
        <v>5.4200000000000002E-79</v>
      </c>
      <c r="F3156" s="2">
        <v>637</v>
      </c>
      <c r="G3156" s="2">
        <v>100</v>
      </c>
      <c r="H3156" s="2">
        <v>121</v>
      </c>
      <c r="I3156" s="2">
        <v>2</v>
      </c>
      <c r="J3156" s="2">
        <v>364</v>
      </c>
      <c r="K3156" s="2">
        <v>248</v>
      </c>
      <c r="L3156" s="2">
        <v>368</v>
      </c>
    </row>
    <row r="3157" spans="1:12" x14ac:dyDescent="0.25">
      <c r="A3157" s="4" t="str">
        <f>HYPERLINK("http://www.rosaceae.org/Prunus/Prunus_persica/p.persica_gdr_reftransV1_0003294","p.persica_gdr_reftransV1_0003294")</f>
        <v>p.persica_gdr_reftransV1_0003294</v>
      </c>
      <c r="B3157" s="2">
        <v>794</v>
      </c>
      <c r="C3157" s="4" t="str">
        <f>HYPERLINK("http://www.uniprot.org/uniprot/W7MSA8","W7MSA8")</f>
        <v>W7MSA8</v>
      </c>
      <c r="D3157" s="2" t="s">
        <v>2998</v>
      </c>
      <c r="E3157" s="3">
        <v>9.6600000000000007E-146</v>
      </c>
      <c r="F3157" s="2">
        <v>1105</v>
      </c>
      <c r="G3157" s="2">
        <v>76</v>
      </c>
      <c r="H3157" s="2">
        <v>264</v>
      </c>
      <c r="I3157" s="2">
        <v>1</v>
      </c>
      <c r="J3157" s="2">
        <v>792</v>
      </c>
      <c r="K3157" s="2">
        <v>244</v>
      </c>
      <c r="L3157" s="2">
        <v>507</v>
      </c>
    </row>
    <row r="3158" spans="1:12" x14ac:dyDescent="0.25">
      <c r="A3158" s="4" t="str">
        <f>HYPERLINK("http://www.rosaceae.org/Prunus/Prunus_persica/p.persica_gdr_reftransV1_0004344","p.persica_gdr_reftransV1_0004344")</f>
        <v>p.persica_gdr_reftransV1_0004344</v>
      </c>
      <c r="B3158" s="2">
        <v>654</v>
      </c>
      <c r="C3158" s="4" t="str">
        <f>HYPERLINK("http://www.uniprot.org/uniprot/M5X4A1","M5X4A1")</f>
        <v>M5X4A1</v>
      </c>
      <c r="D3158" s="2" t="s">
        <v>2999</v>
      </c>
      <c r="E3158" s="3">
        <v>1.4400000000000001E-60</v>
      </c>
      <c r="F3158" s="2">
        <v>501</v>
      </c>
      <c r="G3158" s="2">
        <v>100</v>
      </c>
      <c r="H3158" s="2">
        <v>125</v>
      </c>
      <c r="I3158" s="2">
        <v>193</v>
      </c>
      <c r="J3158" s="2">
        <v>567</v>
      </c>
      <c r="K3158" s="2">
        <v>1</v>
      </c>
      <c r="L3158" s="2">
        <v>125</v>
      </c>
    </row>
    <row r="3159" spans="1:12" x14ac:dyDescent="0.25">
      <c r="A3159" s="4" t="str">
        <f>HYPERLINK("http://www.rosaceae.org/Prunus/Prunus_persica/p.persica_gdr_reftransV1_0005044","p.persica_gdr_reftransV1_0005044")</f>
        <v>p.persica_gdr_reftransV1_0005044</v>
      </c>
      <c r="B3159" s="2">
        <v>2298</v>
      </c>
      <c r="C3159" s="4" t="str">
        <f>HYPERLINK("http://www.uniprot.org/uniprot/M5XD03","M5XD03")</f>
        <v>M5XD03</v>
      </c>
      <c r="D3159" s="2" t="s">
        <v>3000</v>
      </c>
      <c r="E3159" s="3">
        <v>0</v>
      </c>
      <c r="F3159" s="2">
        <v>2721</v>
      </c>
      <c r="G3159" s="2">
        <v>100</v>
      </c>
      <c r="H3159" s="2">
        <v>525</v>
      </c>
      <c r="I3159" s="2">
        <v>348</v>
      </c>
      <c r="J3159" s="2">
        <v>1922</v>
      </c>
      <c r="K3159" s="2">
        <v>1</v>
      </c>
      <c r="L3159" s="2">
        <v>525</v>
      </c>
    </row>
    <row r="3160" spans="1:12" x14ac:dyDescent="0.25">
      <c r="A3160" s="4" t="str">
        <f>HYPERLINK("http://www.rosaceae.org/Prunus/Prunus_persica/p.persica_gdr_reftransV1_0005394","p.persica_gdr_reftransV1_0005394")</f>
        <v>p.persica_gdr_reftransV1_0005394</v>
      </c>
      <c r="B3160" s="2">
        <v>2391</v>
      </c>
      <c r="C3160" s="4" t="str">
        <f>HYPERLINK("http://www.uniprot.org/uniprot/M5WE01","M5WE01")</f>
        <v>M5WE01</v>
      </c>
      <c r="D3160" s="2" t="s">
        <v>3001</v>
      </c>
      <c r="E3160" s="3">
        <v>0</v>
      </c>
      <c r="F3160" s="2">
        <v>3520</v>
      </c>
      <c r="G3160" s="2">
        <v>99</v>
      </c>
      <c r="H3160" s="2">
        <v>678</v>
      </c>
      <c r="I3160" s="2">
        <v>225</v>
      </c>
      <c r="J3160" s="2">
        <v>2258</v>
      </c>
      <c r="K3160" s="2">
        <v>1</v>
      </c>
      <c r="L3160" s="2">
        <v>677</v>
      </c>
    </row>
    <row r="3161" spans="1:12" x14ac:dyDescent="0.25">
      <c r="A3161" s="4" t="str">
        <f>HYPERLINK("http://www.rosaceae.org/Prunus/Prunus_persica/p.persica_gdr_reftransV1_0005744","p.persica_gdr_reftransV1_0005744")</f>
        <v>p.persica_gdr_reftransV1_0005744</v>
      </c>
      <c r="B3161" s="2">
        <v>2823</v>
      </c>
      <c r="C3161" s="4" t="str">
        <f>HYPERLINK("http://www.uniprot.org/uniprot/M5XS22","M5XS22")</f>
        <v>M5XS22</v>
      </c>
      <c r="D3161" s="2" t="s">
        <v>3002</v>
      </c>
      <c r="E3161" s="3">
        <v>1.22E-40</v>
      </c>
      <c r="F3161" s="2">
        <v>426</v>
      </c>
      <c r="G3161" s="2">
        <v>100</v>
      </c>
      <c r="H3161" s="2">
        <v>79</v>
      </c>
      <c r="I3161" s="2">
        <v>954</v>
      </c>
      <c r="J3161" s="2">
        <v>1190</v>
      </c>
      <c r="K3161" s="2">
        <v>483</v>
      </c>
      <c r="L3161" s="2">
        <v>561</v>
      </c>
    </row>
    <row r="3162" spans="1:12" x14ac:dyDescent="0.25">
      <c r="A3162" s="4" t="str">
        <f>HYPERLINK("http://www.rosaceae.org/Prunus/Prunus_persica/p.persica_gdr_reftransV1_0006094","p.persica_gdr_reftransV1_0006094")</f>
        <v>p.persica_gdr_reftransV1_0006094</v>
      </c>
      <c r="B3162" s="2">
        <v>569</v>
      </c>
      <c r="C3162" s="4" t="str">
        <f>HYPERLINK("http://www.uniprot.org/uniprot/M5W3T5","M5W3T5")</f>
        <v>M5W3T5</v>
      </c>
      <c r="D3162" s="2" t="s">
        <v>3003</v>
      </c>
      <c r="E3162" s="3">
        <v>1.32E-54</v>
      </c>
      <c r="F3162" s="2">
        <v>352</v>
      </c>
      <c r="G3162" s="2">
        <v>96</v>
      </c>
      <c r="H3162" s="2">
        <v>70</v>
      </c>
      <c r="I3162" s="2">
        <v>203</v>
      </c>
      <c r="J3162" s="2">
        <v>412</v>
      </c>
      <c r="K3162" s="2">
        <v>50</v>
      </c>
      <c r="L3162" s="2">
        <v>119</v>
      </c>
    </row>
    <row r="3163" spans="1:12" x14ac:dyDescent="0.25">
      <c r="A3163" s="4" t="str">
        <f>HYPERLINK("http://www.rosaceae.org/Prunus/Prunus_persica/p.persica_gdr_reftransV1_0006444","p.persica_gdr_reftransV1_0006444")</f>
        <v>p.persica_gdr_reftransV1_0006444</v>
      </c>
      <c r="B3163" s="2">
        <v>529</v>
      </c>
      <c r="C3163" s="4" t="str">
        <f>HYPERLINK("http://www.uniprot.org/uniprot/M5X512","M5X512")</f>
        <v>M5X512</v>
      </c>
      <c r="D3163" s="2" t="s">
        <v>3004</v>
      </c>
      <c r="E3163" s="3">
        <v>2.3299999999999998E-55</v>
      </c>
      <c r="F3163" s="2">
        <v>491</v>
      </c>
      <c r="G3163" s="2">
        <v>96</v>
      </c>
      <c r="H3163" s="2">
        <v>115</v>
      </c>
      <c r="I3163" s="2">
        <v>184</v>
      </c>
      <c r="J3163" s="2">
        <v>528</v>
      </c>
      <c r="K3163" s="2">
        <v>1</v>
      </c>
      <c r="L3163" s="2">
        <v>115</v>
      </c>
    </row>
    <row r="3164" spans="1:12" x14ac:dyDescent="0.25">
      <c r="A3164" s="4" t="str">
        <f>HYPERLINK("http://www.rosaceae.org/Prunus/Prunus_persica/p.persica_gdr_reftransV1_0006794","p.persica_gdr_reftransV1_0006794")</f>
        <v>p.persica_gdr_reftransV1_0006794</v>
      </c>
      <c r="B3164" s="2">
        <v>781</v>
      </c>
      <c r="C3164" s="4" t="str">
        <f>HYPERLINK("http://www.uniprot.org/uniprot/A0A0D2TBE6","A0A0D2TBE6")</f>
        <v>A0A0D2TBE6</v>
      </c>
      <c r="D3164" s="2" t="s">
        <v>3005</v>
      </c>
      <c r="E3164" s="3">
        <v>1.48E-13</v>
      </c>
      <c r="F3164" s="2">
        <v>185</v>
      </c>
      <c r="G3164" s="2">
        <v>37</v>
      </c>
      <c r="H3164" s="2">
        <v>150</v>
      </c>
      <c r="I3164" s="2">
        <v>122</v>
      </c>
      <c r="J3164" s="2">
        <v>553</v>
      </c>
      <c r="K3164" s="2">
        <v>1</v>
      </c>
      <c r="L3164" s="2">
        <v>140</v>
      </c>
    </row>
    <row r="3165" spans="1:12" x14ac:dyDescent="0.25">
      <c r="A3165" s="4" t="str">
        <f>HYPERLINK("http://www.rosaceae.org/Prunus/Prunus_persica/p.persica_gdr_reftransV1_0007144","p.persica_gdr_reftransV1_0007144")</f>
        <v>p.persica_gdr_reftransV1_0007144</v>
      </c>
      <c r="B3165" s="2">
        <v>1395</v>
      </c>
      <c r="C3165" s="4" t="str">
        <f>HYPERLINK("http://www.uniprot.org/uniprot/M5XEI7","M5XEI7")</f>
        <v>M5XEI7</v>
      </c>
      <c r="D3165" s="2" t="s">
        <v>3006</v>
      </c>
      <c r="E3165" s="3">
        <v>1.21E-82</v>
      </c>
      <c r="F3165" s="2">
        <v>688</v>
      </c>
      <c r="G3165" s="2">
        <v>100</v>
      </c>
      <c r="H3165" s="2">
        <v>323</v>
      </c>
      <c r="I3165" s="2">
        <v>147</v>
      </c>
      <c r="J3165" s="2">
        <v>1115</v>
      </c>
      <c r="K3165" s="2">
        <v>1</v>
      </c>
      <c r="L3165" s="2">
        <v>323</v>
      </c>
    </row>
    <row r="3166" spans="1:12" x14ac:dyDescent="0.25">
      <c r="A3166" s="4" t="str">
        <f>HYPERLINK("http://www.rosaceae.org/Prunus/Prunus_persica/p.persica_gdr_reftransV1_0007844","p.persica_gdr_reftransV1_0007844")</f>
        <v>p.persica_gdr_reftransV1_0007844</v>
      </c>
      <c r="B3166" s="2">
        <v>2020</v>
      </c>
      <c r="C3166" s="4" t="str">
        <f>HYPERLINK("http://www.uniprot.org/uniprot/M5WB09","M5WB09")</f>
        <v>M5WB09</v>
      </c>
      <c r="D3166" s="2" t="s">
        <v>3007</v>
      </c>
      <c r="E3166" s="3">
        <v>0</v>
      </c>
      <c r="F3166" s="2">
        <v>1470</v>
      </c>
      <c r="G3166" s="2">
        <v>94</v>
      </c>
      <c r="H3166" s="2">
        <v>368</v>
      </c>
      <c r="I3166" s="2">
        <v>336</v>
      </c>
      <c r="J3166" s="2">
        <v>1439</v>
      </c>
      <c r="K3166" s="2">
        <v>1</v>
      </c>
      <c r="L3166" s="2">
        <v>347</v>
      </c>
    </row>
    <row r="3167" spans="1:12" x14ac:dyDescent="0.25">
      <c r="A3167" s="4" t="str">
        <f>HYPERLINK("http://www.rosaceae.org/Prunus/Prunus_persica/p.persica_gdr_reftransV1_0008194","p.persica_gdr_reftransV1_0008194")</f>
        <v>p.persica_gdr_reftransV1_0008194</v>
      </c>
      <c r="B3167" s="2">
        <v>946</v>
      </c>
      <c r="C3167" s="4" t="str">
        <f>HYPERLINK("http://www.uniprot.org/uniprot/M5WHK9","M5WHK9")</f>
        <v>M5WHK9</v>
      </c>
      <c r="D3167" s="2" t="s">
        <v>3008</v>
      </c>
      <c r="E3167" s="3">
        <v>1.33E-128</v>
      </c>
      <c r="F3167" s="2">
        <v>970</v>
      </c>
      <c r="G3167" s="2">
        <v>99</v>
      </c>
      <c r="H3167" s="2">
        <v>185</v>
      </c>
      <c r="I3167" s="2">
        <v>378</v>
      </c>
      <c r="J3167" s="2">
        <v>932</v>
      </c>
      <c r="K3167" s="2">
        <v>40</v>
      </c>
      <c r="L3167" s="2">
        <v>224</v>
      </c>
    </row>
    <row r="3168" spans="1:12" x14ac:dyDescent="0.25">
      <c r="A3168" s="4" t="str">
        <f>HYPERLINK("http://www.rosaceae.org/Prunus/Prunus_persica/p.persica_gdr_reftransV1_0008544","p.persica_gdr_reftransV1_0008544")</f>
        <v>p.persica_gdr_reftransV1_0008544</v>
      </c>
      <c r="B3168" s="2">
        <v>801</v>
      </c>
      <c r="C3168" s="4" t="str">
        <f>HYPERLINK("http://www.uniprot.org/uniprot/M5X2L3","M5X2L3")</f>
        <v>M5X2L3</v>
      </c>
      <c r="D3168" s="2" t="s">
        <v>3009</v>
      </c>
      <c r="E3168" s="3">
        <v>1.0000000000000001E-32</v>
      </c>
      <c r="F3168" s="2">
        <v>324</v>
      </c>
      <c r="G3168" s="2">
        <v>98</v>
      </c>
      <c r="H3168" s="2">
        <v>135</v>
      </c>
      <c r="I3168" s="2">
        <v>2</v>
      </c>
      <c r="J3168" s="2">
        <v>406</v>
      </c>
      <c r="K3168" s="2">
        <v>59</v>
      </c>
      <c r="L3168" s="2">
        <v>193</v>
      </c>
    </row>
    <row r="3169" spans="1:12" x14ac:dyDescent="0.25">
      <c r="A3169" s="4" t="str">
        <f>HYPERLINK("http://www.rosaceae.org/Prunus/Prunus_persica/p.persica_gdr_reftransV1_0009244","p.persica_gdr_reftransV1_0009244")</f>
        <v>p.persica_gdr_reftransV1_0009244</v>
      </c>
      <c r="B3169" s="2">
        <v>2419</v>
      </c>
      <c r="C3169" s="4" t="str">
        <f>HYPERLINK("http://www.uniprot.org/uniprot/M5VZF2","M5VZF2")</f>
        <v>M5VZF2</v>
      </c>
      <c r="D3169" s="2" t="s">
        <v>3010</v>
      </c>
      <c r="E3169" s="3">
        <v>1.14E-172</v>
      </c>
      <c r="F3169" s="2">
        <v>1328</v>
      </c>
      <c r="G3169" s="2">
        <v>96</v>
      </c>
      <c r="H3169" s="2">
        <v>263</v>
      </c>
      <c r="I3169" s="2">
        <v>476</v>
      </c>
      <c r="J3169" s="2">
        <v>1264</v>
      </c>
      <c r="K3169" s="2">
        <v>1</v>
      </c>
      <c r="L3169" s="2">
        <v>253</v>
      </c>
    </row>
    <row r="3170" spans="1:12" x14ac:dyDescent="0.25">
      <c r="A3170" s="4" t="str">
        <f>HYPERLINK("http://www.rosaceae.org/Prunus/Prunus_persica/p.persica_gdr_reftransV1_0010294","p.persica_gdr_reftransV1_0010294")</f>
        <v>p.persica_gdr_reftransV1_0010294</v>
      </c>
      <c r="B3170" s="2">
        <v>2841</v>
      </c>
      <c r="C3170" s="4" t="str">
        <f>HYPERLINK("http://www.uniprot.org/uniprot/M5WCQ9","M5WCQ9")</f>
        <v>M5WCQ9</v>
      </c>
      <c r="D3170" s="2" t="s">
        <v>3011</v>
      </c>
      <c r="E3170" s="3">
        <v>0</v>
      </c>
      <c r="F3170" s="2">
        <v>3346</v>
      </c>
      <c r="G3170" s="2">
        <v>97</v>
      </c>
      <c r="H3170" s="2">
        <v>714</v>
      </c>
      <c r="I3170" s="2">
        <v>193</v>
      </c>
      <c r="J3170" s="2">
        <v>2334</v>
      </c>
      <c r="K3170" s="2">
        <v>1</v>
      </c>
      <c r="L3170" s="2">
        <v>691</v>
      </c>
    </row>
    <row r="3171" spans="1:12" x14ac:dyDescent="0.25">
      <c r="A3171" s="4" t="str">
        <f>HYPERLINK("http://www.rosaceae.org/Prunus/Prunus_persica/p.persica_gdr_reftransV1_0010994","p.persica_gdr_reftransV1_0010994")</f>
        <v>p.persica_gdr_reftransV1_0010994</v>
      </c>
      <c r="B3171" s="2">
        <v>865</v>
      </c>
      <c r="C3171" s="4" t="str">
        <f>HYPERLINK("http://www.uniprot.org/uniprot/M5X4B4","M5X4B4")</f>
        <v>M5X4B4</v>
      </c>
      <c r="D3171" s="2" t="s">
        <v>3012</v>
      </c>
      <c r="E3171" s="3">
        <v>9.5000000000000003E-80</v>
      </c>
      <c r="F3171" s="2">
        <v>634</v>
      </c>
      <c r="G3171" s="2">
        <v>100</v>
      </c>
      <c r="H3171" s="2">
        <v>117</v>
      </c>
      <c r="I3171" s="2">
        <v>232</v>
      </c>
      <c r="J3171" s="2">
        <v>582</v>
      </c>
      <c r="K3171" s="2">
        <v>1</v>
      </c>
      <c r="L3171" s="2">
        <v>117</v>
      </c>
    </row>
    <row r="3172" spans="1:12" x14ac:dyDescent="0.25">
      <c r="A3172" s="4" t="str">
        <f>HYPERLINK("http://www.rosaceae.org/Prunus/Prunus_persica/p.persica_gdr_reftransV1_0012394","p.persica_gdr_reftransV1_0012394")</f>
        <v>p.persica_gdr_reftransV1_0012394</v>
      </c>
      <c r="B3172" s="2">
        <v>7308</v>
      </c>
      <c r="C3172" s="4" t="str">
        <f>HYPERLINK("http://www.uniprot.org/uniprot/M5X632","M5X632")</f>
        <v>M5X632</v>
      </c>
      <c r="D3172" s="2" t="s">
        <v>3013</v>
      </c>
      <c r="E3172" s="3">
        <v>0</v>
      </c>
      <c r="F3172" s="2">
        <v>3455</v>
      </c>
      <c r="G3172" s="2">
        <v>100</v>
      </c>
      <c r="H3172" s="2">
        <v>637</v>
      </c>
      <c r="I3172" s="2">
        <v>3846</v>
      </c>
      <c r="J3172" s="2">
        <v>5756</v>
      </c>
      <c r="K3172" s="2">
        <v>117</v>
      </c>
      <c r="L3172" s="2">
        <v>753</v>
      </c>
    </row>
    <row r="3173" spans="1:12" x14ac:dyDescent="0.25">
      <c r="A3173" s="4" t="str">
        <f>HYPERLINK("http://www.rosaceae.org/Prunus/Prunus_persica/p.persica_gdr_reftransV1_0013444","p.persica_gdr_reftransV1_0013444")</f>
        <v>p.persica_gdr_reftransV1_0013444</v>
      </c>
      <c r="B3173" s="2">
        <v>2111</v>
      </c>
      <c r="C3173" s="4" t="str">
        <f>HYPERLINK("http://www.uniprot.org/uniprot/M5WTV1","M5WTV1")</f>
        <v>M5WTV1</v>
      </c>
      <c r="D3173" s="2" t="s">
        <v>3014</v>
      </c>
      <c r="E3173" s="3">
        <v>4.7100000000000001E-95</v>
      </c>
      <c r="F3173" s="2">
        <v>782</v>
      </c>
      <c r="G3173" s="2">
        <v>100</v>
      </c>
      <c r="H3173" s="2">
        <v>217</v>
      </c>
      <c r="I3173" s="2">
        <v>361</v>
      </c>
      <c r="J3173" s="2">
        <v>1011</v>
      </c>
      <c r="K3173" s="2">
        <v>19</v>
      </c>
      <c r="L3173" s="2">
        <v>235</v>
      </c>
    </row>
    <row r="3174" spans="1:12" x14ac:dyDescent="0.25">
      <c r="A3174" s="4" t="str">
        <f>HYPERLINK("http://www.rosaceae.org/Prunus/Prunus_persica/p.persica_gdr_reftransV1_0014844","p.persica_gdr_reftransV1_0014844")</f>
        <v>p.persica_gdr_reftransV1_0014844</v>
      </c>
      <c r="B3174" s="2">
        <v>3028</v>
      </c>
      <c r="C3174" s="4" t="str">
        <f>HYPERLINK("http://www.uniprot.org/uniprot/M5XGT7","M5XGT7")</f>
        <v>M5XGT7</v>
      </c>
      <c r="D3174" s="2" t="s">
        <v>3015</v>
      </c>
      <c r="E3174" s="3">
        <v>0</v>
      </c>
      <c r="F3174" s="2">
        <v>4803</v>
      </c>
      <c r="G3174" s="2">
        <v>96</v>
      </c>
      <c r="H3174" s="2">
        <v>939</v>
      </c>
      <c r="I3174" s="2">
        <v>3</v>
      </c>
      <c r="J3174" s="2">
        <v>2819</v>
      </c>
      <c r="K3174" s="2">
        <v>86</v>
      </c>
      <c r="L3174" s="2">
        <v>987</v>
      </c>
    </row>
    <row r="3175" spans="1:12" x14ac:dyDescent="0.25">
      <c r="A3175" s="4" t="str">
        <f>HYPERLINK("http://www.rosaceae.org/Prunus/Prunus_persica/p.persica_gdr_reftransV1_0016244","p.persica_gdr_reftransV1_0016244")</f>
        <v>p.persica_gdr_reftransV1_0016244</v>
      </c>
      <c r="B3175" s="2">
        <v>1527</v>
      </c>
      <c r="C3175" s="4" t="str">
        <f>HYPERLINK("http://www.uniprot.org/uniprot/M5WXT6","M5WXT6")</f>
        <v>M5WXT6</v>
      </c>
      <c r="D3175" s="2" t="s">
        <v>3016</v>
      </c>
      <c r="E3175" s="3">
        <v>0</v>
      </c>
      <c r="F3175" s="2">
        <v>1727</v>
      </c>
      <c r="G3175" s="2">
        <v>100</v>
      </c>
      <c r="H3175" s="2">
        <v>332</v>
      </c>
      <c r="I3175" s="2">
        <v>312</v>
      </c>
      <c r="J3175" s="2">
        <v>1307</v>
      </c>
      <c r="K3175" s="2">
        <v>102</v>
      </c>
      <c r="L3175" s="2">
        <v>433</v>
      </c>
    </row>
    <row r="3176" spans="1:12" x14ac:dyDescent="0.25">
      <c r="A3176" s="4" t="str">
        <f>HYPERLINK("http://www.rosaceae.org/Prunus/Prunus_persica/p.persica_gdr_reftransV1_0017294","p.persica_gdr_reftransV1_0017294")</f>
        <v>p.persica_gdr_reftransV1_0017294</v>
      </c>
      <c r="B3176" s="2">
        <v>6023</v>
      </c>
      <c r="C3176" s="4" t="str">
        <f>HYPERLINK("http://www.uniprot.org/uniprot/M5WLC8","M5WLC8")</f>
        <v>M5WLC8</v>
      </c>
      <c r="D3176" s="2" t="s">
        <v>3017</v>
      </c>
      <c r="E3176" s="3">
        <v>0</v>
      </c>
      <c r="F3176" s="2">
        <v>4688</v>
      </c>
      <c r="G3176" s="2">
        <v>97</v>
      </c>
      <c r="H3176" s="2">
        <v>1029</v>
      </c>
      <c r="I3176" s="2">
        <v>411</v>
      </c>
      <c r="J3176" s="2">
        <v>3491</v>
      </c>
      <c r="K3176" s="2">
        <v>8</v>
      </c>
      <c r="L3176" s="2">
        <v>1030</v>
      </c>
    </row>
    <row r="3177" spans="1:12" x14ac:dyDescent="0.25">
      <c r="A3177" s="4" t="str">
        <f>HYPERLINK("http://www.rosaceae.org/Prunus/Prunus_persica/p.persica_gdr_reftransV1_0017644","p.persica_gdr_reftransV1_0017644")</f>
        <v>p.persica_gdr_reftransV1_0017644</v>
      </c>
      <c r="B3177" s="2">
        <v>3039</v>
      </c>
      <c r="C3177" s="4" t="str">
        <f>HYPERLINK("http://www.uniprot.org/uniprot/M5VUC8","M5VUC8")</f>
        <v>M5VUC8</v>
      </c>
      <c r="D3177" s="2" t="s">
        <v>3018</v>
      </c>
      <c r="E3177" s="3">
        <v>0</v>
      </c>
      <c r="F3177" s="2">
        <v>4081</v>
      </c>
      <c r="G3177" s="2">
        <v>100</v>
      </c>
      <c r="H3177" s="2">
        <v>790</v>
      </c>
      <c r="I3177" s="2">
        <v>579</v>
      </c>
      <c r="J3177" s="2">
        <v>2948</v>
      </c>
      <c r="K3177" s="2">
        <v>1</v>
      </c>
      <c r="L3177" s="2">
        <v>790</v>
      </c>
    </row>
    <row r="3178" spans="1:12" x14ac:dyDescent="0.25">
      <c r="A3178" s="4" t="str">
        <f>HYPERLINK("http://www.rosaceae.org/Prunus/Prunus_persica/p.persica_gdr_reftransV1_0017994","p.persica_gdr_reftransV1_0017994")</f>
        <v>p.persica_gdr_reftransV1_0017994</v>
      </c>
      <c r="B3178" s="2">
        <v>2156</v>
      </c>
      <c r="C3178" s="4" t="str">
        <f>HYPERLINK("http://www.uniprot.org/uniprot/M5VSJ3","M5VSJ3")</f>
        <v>M5VSJ3</v>
      </c>
      <c r="D3178" s="2" t="s">
        <v>3019</v>
      </c>
      <c r="E3178" s="3">
        <v>0</v>
      </c>
      <c r="F3178" s="2">
        <v>2112</v>
      </c>
      <c r="G3178" s="2">
        <v>94</v>
      </c>
      <c r="H3178" s="2">
        <v>438</v>
      </c>
      <c r="I3178" s="2">
        <v>512</v>
      </c>
      <c r="J3178" s="2">
        <v>1825</v>
      </c>
      <c r="K3178" s="2">
        <v>1</v>
      </c>
      <c r="L3178" s="2">
        <v>414</v>
      </c>
    </row>
    <row r="3179" spans="1:12" x14ac:dyDescent="0.25">
      <c r="A3179" s="4" t="str">
        <f>HYPERLINK("http://www.rosaceae.org/Prunus/Prunus_persica/p.persica_gdr_reftransV1_0018344","p.persica_gdr_reftransV1_0018344")</f>
        <v>p.persica_gdr_reftransV1_0018344</v>
      </c>
      <c r="B3179" s="2">
        <v>2226</v>
      </c>
      <c r="C3179" s="4" t="str">
        <f>HYPERLINK("http://www.uniprot.org/uniprot/M5XX91","M5XX91")</f>
        <v>M5XX91</v>
      </c>
      <c r="D3179" s="2" t="s">
        <v>3020</v>
      </c>
      <c r="E3179" s="3">
        <v>0</v>
      </c>
      <c r="F3179" s="2">
        <v>1752</v>
      </c>
      <c r="G3179" s="2">
        <v>100</v>
      </c>
      <c r="H3179" s="2">
        <v>327</v>
      </c>
      <c r="I3179" s="2">
        <v>230</v>
      </c>
      <c r="J3179" s="2">
        <v>1210</v>
      </c>
      <c r="K3179" s="2">
        <v>1</v>
      </c>
      <c r="L3179" s="2">
        <v>327</v>
      </c>
    </row>
    <row r="3180" spans="1:12" x14ac:dyDescent="0.25">
      <c r="A3180" s="4" t="str">
        <f>HYPERLINK("http://www.rosaceae.org/Prunus/Prunus_persica/p.persica_gdr_reftransV1_0019044","p.persica_gdr_reftransV1_0019044")</f>
        <v>p.persica_gdr_reftransV1_0019044</v>
      </c>
      <c r="B3180" s="2">
        <v>533</v>
      </c>
      <c r="C3180" s="4" t="str">
        <f>HYPERLINK("http://www.uniprot.org/uniprot/G3CI00","G3CI00")</f>
        <v>G3CI00</v>
      </c>
      <c r="D3180" s="2" t="s">
        <v>3021</v>
      </c>
      <c r="E3180" s="3">
        <v>1.2600000000000001E-94</v>
      </c>
      <c r="F3180" s="2">
        <v>757</v>
      </c>
      <c r="G3180" s="2">
        <v>90</v>
      </c>
      <c r="H3180" s="2">
        <v>177</v>
      </c>
      <c r="I3180" s="2">
        <v>1</v>
      </c>
      <c r="J3180" s="2">
        <v>531</v>
      </c>
      <c r="K3180" s="2">
        <v>332</v>
      </c>
      <c r="L3180" s="2">
        <v>508</v>
      </c>
    </row>
    <row r="3181" spans="1:12" x14ac:dyDescent="0.25">
      <c r="A3181" s="4" t="str">
        <f>HYPERLINK("http://www.rosaceae.org/Prunus/Prunus_persica/p.persica_gdr_reftransV1_0020444","p.persica_gdr_reftransV1_0020444")</f>
        <v>p.persica_gdr_reftransV1_0020444</v>
      </c>
      <c r="B3181" s="2">
        <v>1481</v>
      </c>
      <c r="C3181" s="4" t="str">
        <f>HYPERLINK("http://www.uniprot.org/uniprot/A0A0F7GZ87","A0A0F7GZ87")</f>
        <v>A0A0F7GZ87</v>
      </c>
      <c r="D3181" s="2" t="s">
        <v>3022</v>
      </c>
      <c r="E3181" s="3">
        <v>9.3800000000000006E-72</v>
      </c>
      <c r="F3181" s="2">
        <v>538</v>
      </c>
      <c r="G3181" s="2">
        <v>82</v>
      </c>
      <c r="H3181" s="2">
        <v>140</v>
      </c>
      <c r="I3181" s="2">
        <v>547</v>
      </c>
      <c r="J3181" s="2">
        <v>966</v>
      </c>
      <c r="K3181" s="2">
        <v>109</v>
      </c>
      <c r="L3181" s="2">
        <v>248</v>
      </c>
    </row>
    <row r="3182" spans="1:12" x14ac:dyDescent="0.25">
      <c r="A3182" s="4" t="str">
        <f>HYPERLINK("http://www.rosaceae.org/Prunus/Prunus_persica/p.persica_gdr_reftransV1_0021844","p.persica_gdr_reftransV1_0021844")</f>
        <v>p.persica_gdr_reftransV1_0021844</v>
      </c>
      <c r="B3182" s="2">
        <v>941</v>
      </c>
      <c r="C3182" s="4" t="str">
        <f>HYPERLINK("http://www.uniprot.org/uniprot/M5X2R4","M5X2R4")</f>
        <v>M5X2R4</v>
      </c>
      <c r="D3182" s="2" t="s">
        <v>3023</v>
      </c>
      <c r="E3182" s="3">
        <v>2.7300000000000002E-82</v>
      </c>
      <c r="F3182" s="2">
        <v>654</v>
      </c>
      <c r="G3182" s="2">
        <v>100</v>
      </c>
      <c r="H3182" s="2">
        <v>123</v>
      </c>
      <c r="I3182" s="2">
        <v>338</v>
      </c>
      <c r="J3182" s="2">
        <v>706</v>
      </c>
      <c r="K3182" s="2">
        <v>1</v>
      </c>
      <c r="L3182" s="2">
        <v>123</v>
      </c>
    </row>
    <row r="3183" spans="1:12" x14ac:dyDescent="0.25">
      <c r="A3183" s="4" t="str">
        <f>HYPERLINK("http://www.rosaceae.org/Prunus/Prunus_persica/p.persica_gdr_reftransV1_0022194","p.persica_gdr_reftransV1_0022194")</f>
        <v>p.persica_gdr_reftransV1_0022194</v>
      </c>
      <c r="B3183" s="2">
        <v>1627</v>
      </c>
      <c r="C3183" s="4" t="str">
        <f>HYPERLINK("http://www.uniprot.org/uniprot/M5VSU8","M5VSU8")</f>
        <v>M5VSU8</v>
      </c>
      <c r="D3183" s="2" t="s">
        <v>3024</v>
      </c>
      <c r="E3183" s="3">
        <v>0</v>
      </c>
      <c r="F3183" s="2">
        <v>1477</v>
      </c>
      <c r="G3183" s="2">
        <v>98</v>
      </c>
      <c r="H3183" s="2">
        <v>405</v>
      </c>
      <c r="I3183" s="2">
        <v>306</v>
      </c>
      <c r="J3183" s="2">
        <v>1520</v>
      </c>
      <c r="K3183" s="2">
        <v>1</v>
      </c>
      <c r="L3183" s="2">
        <v>397</v>
      </c>
    </row>
    <row r="3184" spans="1:12" x14ac:dyDescent="0.25">
      <c r="A3184" s="4" t="str">
        <f>HYPERLINK("http://www.rosaceae.org/Prunus/Prunus_persica/p.persica_gdr_reftransV1_0023594","p.persica_gdr_reftransV1_0023594")</f>
        <v>p.persica_gdr_reftransV1_0023594</v>
      </c>
      <c r="B3184" s="2">
        <v>750</v>
      </c>
      <c r="C3184" s="4" t="str">
        <f>HYPERLINK("http://www.uniprot.org/uniprot/M5WWB9","M5WWB9")</f>
        <v>M5WWB9</v>
      </c>
      <c r="D3184" s="2" t="s">
        <v>3025</v>
      </c>
      <c r="E3184" s="3">
        <v>2.6999999999999999E-73</v>
      </c>
      <c r="F3184" s="2">
        <v>597</v>
      </c>
      <c r="G3184" s="2">
        <v>80</v>
      </c>
      <c r="H3184" s="2">
        <v>137</v>
      </c>
      <c r="I3184" s="2">
        <v>340</v>
      </c>
      <c r="J3184" s="2">
        <v>750</v>
      </c>
      <c r="K3184" s="2">
        <v>84</v>
      </c>
      <c r="L3184" s="2">
        <v>219</v>
      </c>
    </row>
    <row r="3185" spans="1:12" x14ac:dyDescent="0.25">
      <c r="A3185" s="4" t="str">
        <f>HYPERLINK("http://www.rosaceae.org/Prunus/Prunus_persica/p.persica_gdr_reftransV1_0025344","p.persica_gdr_reftransV1_0025344")</f>
        <v>p.persica_gdr_reftransV1_0025344</v>
      </c>
      <c r="B3185" s="2">
        <v>1327</v>
      </c>
      <c r="C3185" s="4" t="str">
        <f>HYPERLINK("http://www.uniprot.org/uniprot/W9QUJ3","W9QUJ3")</f>
        <v>W9QUJ3</v>
      </c>
      <c r="D3185" s="2" t="s">
        <v>3026</v>
      </c>
      <c r="E3185" s="3">
        <v>0</v>
      </c>
      <c r="F3185" s="2">
        <v>1444</v>
      </c>
      <c r="G3185" s="2">
        <v>69</v>
      </c>
      <c r="H3185" s="2">
        <v>412</v>
      </c>
      <c r="I3185" s="2">
        <v>3</v>
      </c>
      <c r="J3185" s="2">
        <v>1217</v>
      </c>
      <c r="K3185" s="2">
        <v>409</v>
      </c>
      <c r="L3185" s="2">
        <v>813</v>
      </c>
    </row>
    <row r="3186" spans="1:12" x14ac:dyDescent="0.25">
      <c r="A3186" s="4" t="str">
        <f>HYPERLINK("http://www.rosaceae.org/Prunus/Prunus_persica/p.persica_gdr_reftransV1_0025694","p.persica_gdr_reftransV1_0025694")</f>
        <v>p.persica_gdr_reftransV1_0025694</v>
      </c>
      <c r="B3186" s="2">
        <v>3745</v>
      </c>
      <c r="C3186" s="4" t="str">
        <f>HYPERLINK("http://www.uniprot.org/uniprot/M5VYL4","M5VYL4")</f>
        <v>M5VYL4</v>
      </c>
      <c r="D3186" s="2" t="s">
        <v>3027</v>
      </c>
      <c r="E3186" s="3">
        <v>4.4999999999999999E-179</v>
      </c>
      <c r="F3186" s="2">
        <v>1422</v>
      </c>
      <c r="G3186" s="2">
        <v>100</v>
      </c>
      <c r="H3186" s="2">
        <v>320</v>
      </c>
      <c r="I3186" s="2">
        <v>2461</v>
      </c>
      <c r="J3186" s="2">
        <v>3420</v>
      </c>
      <c r="K3186" s="2">
        <v>5</v>
      </c>
      <c r="L3186" s="2">
        <v>324</v>
      </c>
    </row>
    <row r="3187" spans="1:12" x14ac:dyDescent="0.25">
      <c r="A3187" s="4" t="str">
        <f>HYPERLINK("http://www.rosaceae.org/Prunus/Prunus_persica/p.persica_gdr_reftransV1_0026394","p.persica_gdr_reftransV1_0026394")</f>
        <v>p.persica_gdr_reftransV1_0026394</v>
      </c>
      <c r="B3187" s="2">
        <v>356</v>
      </c>
      <c r="C3187" s="4" t="str">
        <f>HYPERLINK("http://www.uniprot.org/uniprot/F6GSQ9","F6GSQ9")</f>
        <v>F6GSQ9</v>
      </c>
      <c r="D3187" s="2" t="s">
        <v>3028</v>
      </c>
      <c r="E3187" s="3">
        <v>2.4700000000000002E-56</v>
      </c>
      <c r="F3187" s="2">
        <v>471</v>
      </c>
      <c r="G3187" s="2">
        <v>74</v>
      </c>
      <c r="H3187" s="2">
        <v>118</v>
      </c>
      <c r="I3187" s="2">
        <v>2</v>
      </c>
      <c r="J3187" s="2">
        <v>355</v>
      </c>
      <c r="K3187" s="2">
        <v>62</v>
      </c>
      <c r="L3187" s="2">
        <v>179</v>
      </c>
    </row>
    <row r="3188" spans="1:12" x14ac:dyDescent="0.25">
      <c r="A3188" s="4" t="str">
        <f>HYPERLINK("http://www.rosaceae.org/Prunus/Prunus_persica/p.persica_gdr_reftransV1_0027094","p.persica_gdr_reftransV1_0027094")</f>
        <v>p.persica_gdr_reftransV1_0027094</v>
      </c>
      <c r="B3188" s="2">
        <v>4076</v>
      </c>
      <c r="C3188" s="4" t="str">
        <f>HYPERLINK("http://www.uniprot.org/uniprot/M5XQM6","M5XQM6")</f>
        <v>M5XQM6</v>
      </c>
      <c r="D3188" s="2" t="s">
        <v>3029</v>
      </c>
      <c r="E3188" s="3">
        <v>0</v>
      </c>
      <c r="F3188" s="2">
        <v>3783</v>
      </c>
      <c r="G3188" s="2">
        <v>99</v>
      </c>
      <c r="H3188" s="2">
        <v>759</v>
      </c>
      <c r="I3188" s="2">
        <v>827</v>
      </c>
      <c r="J3188" s="2">
        <v>3103</v>
      </c>
      <c r="K3188" s="2">
        <v>1</v>
      </c>
      <c r="L3188" s="2">
        <v>759</v>
      </c>
    </row>
    <row r="3189" spans="1:12" x14ac:dyDescent="0.25">
      <c r="A3189" s="4" t="str">
        <f>HYPERLINK("http://www.rosaceae.org/Prunus/Prunus_persica/p.persica_gdr_reftransV1_0028844","p.persica_gdr_reftransV1_0028844")</f>
        <v>p.persica_gdr_reftransV1_0028844</v>
      </c>
      <c r="B3189" s="2">
        <v>1976</v>
      </c>
      <c r="C3189" s="4" t="str">
        <f>HYPERLINK("http://www.uniprot.org/uniprot/M5VZH8","M5VZH8")</f>
        <v>M5VZH8</v>
      </c>
      <c r="D3189" s="2" t="s">
        <v>3030</v>
      </c>
      <c r="E3189" s="3">
        <v>3.4300000000000001E-111</v>
      </c>
      <c r="F3189" s="2">
        <v>892</v>
      </c>
      <c r="G3189" s="2">
        <v>100</v>
      </c>
      <c r="H3189" s="2">
        <v>187</v>
      </c>
      <c r="I3189" s="2">
        <v>1355</v>
      </c>
      <c r="J3189" s="2">
        <v>1915</v>
      </c>
      <c r="K3189" s="2">
        <v>1</v>
      </c>
      <c r="L3189" s="2">
        <v>187</v>
      </c>
    </row>
    <row r="3190" spans="1:12" x14ac:dyDescent="0.25">
      <c r="A3190" s="4" t="str">
        <f>HYPERLINK("http://www.rosaceae.org/Prunus/Prunus_persica/p.persica_gdr_reftransV1_0030944","p.persica_gdr_reftransV1_0030944")</f>
        <v>p.persica_gdr_reftransV1_0030944</v>
      </c>
      <c r="B3190" s="2">
        <v>1397</v>
      </c>
      <c r="C3190" s="4" t="str">
        <f>HYPERLINK("http://www.uniprot.org/uniprot/A0A059C679","A0A059C679")</f>
        <v>A0A059C679</v>
      </c>
      <c r="D3190" s="2" t="s">
        <v>3031</v>
      </c>
      <c r="E3190" s="3">
        <v>9.3000000000000005E-173</v>
      </c>
      <c r="F3190" s="2">
        <v>1295</v>
      </c>
      <c r="G3190" s="2">
        <v>81</v>
      </c>
      <c r="H3190" s="2">
        <v>293</v>
      </c>
      <c r="I3190" s="2">
        <v>375</v>
      </c>
      <c r="J3190" s="2">
        <v>1253</v>
      </c>
      <c r="K3190" s="2">
        <v>104</v>
      </c>
      <c r="L3190" s="2">
        <v>396</v>
      </c>
    </row>
    <row r="3191" spans="1:12" x14ac:dyDescent="0.25">
      <c r="A3191" s="4" t="str">
        <f>HYPERLINK("http://www.rosaceae.org/Prunus/Prunus_persica/p.persica_gdr_reftransV1_0031994","p.persica_gdr_reftransV1_0031994")</f>
        <v>p.persica_gdr_reftransV1_0031994</v>
      </c>
      <c r="B3191" s="2">
        <v>3696</v>
      </c>
      <c r="C3191" s="4" t="str">
        <f>HYPERLINK("http://www.uniprot.org/uniprot/M5WR08","M5WR08")</f>
        <v>M5WR08</v>
      </c>
      <c r="D3191" s="2" t="s">
        <v>3032</v>
      </c>
      <c r="E3191" s="3">
        <v>0</v>
      </c>
      <c r="F3191" s="2">
        <v>2830</v>
      </c>
      <c r="G3191" s="2">
        <v>98</v>
      </c>
      <c r="H3191" s="2">
        <v>592</v>
      </c>
      <c r="I3191" s="2">
        <v>1693</v>
      </c>
      <c r="J3191" s="2">
        <v>3468</v>
      </c>
      <c r="K3191" s="2">
        <v>10</v>
      </c>
      <c r="L3191" s="2">
        <v>601</v>
      </c>
    </row>
    <row r="3192" spans="1:12" x14ac:dyDescent="0.25">
      <c r="A3192" s="4" t="str">
        <f>HYPERLINK("http://www.rosaceae.org/Prunus/Prunus_persica/p.persica_gdr_reftransV1_0032344","p.persica_gdr_reftransV1_0032344")</f>
        <v>p.persica_gdr_reftransV1_0032344</v>
      </c>
      <c r="B3192" s="2">
        <v>2852</v>
      </c>
      <c r="C3192" s="4" t="str">
        <f>HYPERLINK("http://www.uniprot.org/uniprot/M5VQP0","M5VQP0")</f>
        <v>M5VQP0</v>
      </c>
      <c r="D3192" s="2" t="s">
        <v>3033</v>
      </c>
      <c r="E3192" s="3">
        <v>0</v>
      </c>
      <c r="F3192" s="2">
        <v>1505</v>
      </c>
      <c r="G3192" s="2">
        <v>100</v>
      </c>
      <c r="H3192" s="2">
        <v>279</v>
      </c>
      <c r="I3192" s="2">
        <v>922</v>
      </c>
      <c r="J3192" s="2">
        <v>1758</v>
      </c>
      <c r="K3192" s="2">
        <v>1</v>
      </c>
      <c r="L3192" s="2">
        <v>279</v>
      </c>
    </row>
    <row r="3193" spans="1:12" x14ac:dyDescent="0.25">
      <c r="A3193" s="4" t="str">
        <f>HYPERLINK("http://www.rosaceae.org/Prunus/Prunus_persica/p.persica_gdr_reftransV1_0033044","p.persica_gdr_reftransV1_0033044")</f>
        <v>p.persica_gdr_reftransV1_0033044</v>
      </c>
      <c r="B3193" s="2">
        <v>3179</v>
      </c>
      <c r="C3193" s="4" t="str">
        <f>HYPERLINK("http://www.uniprot.org/uniprot/M5WZW5","M5WZW5")</f>
        <v>M5WZW5</v>
      </c>
      <c r="D3193" s="2" t="s">
        <v>3034</v>
      </c>
      <c r="E3193" s="3">
        <v>0</v>
      </c>
      <c r="F3193" s="2">
        <v>4613</v>
      </c>
      <c r="G3193" s="2">
        <v>100</v>
      </c>
      <c r="H3193" s="2">
        <v>918</v>
      </c>
      <c r="I3193" s="2">
        <v>273</v>
      </c>
      <c r="J3193" s="2">
        <v>3026</v>
      </c>
      <c r="K3193" s="2">
        <v>1</v>
      </c>
      <c r="L3193" s="2">
        <v>918</v>
      </c>
    </row>
    <row r="3194" spans="1:12" x14ac:dyDescent="0.25">
      <c r="A3194" s="4" t="str">
        <f>HYPERLINK("http://www.rosaceae.org/Prunus/Prunus_persica/p.persica_gdr_reftransV1_0033394","p.persica_gdr_reftransV1_0033394")</f>
        <v>p.persica_gdr_reftransV1_0033394</v>
      </c>
      <c r="B3194" s="2">
        <v>2398</v>
      </c>
      <c r="C3194" s="4" t="str">
        <f>HYPERLINK("http://www.uniprot.org/uniprot/M5X0W7","M5X0W7")</f>
        <v>M5X0W7</v>
      </c>
      <c r="D3194" s="2" t="s">
        <v>3035</v>
      </c>
      <c r="E3194" s="3">
        <v>0</v>
      </c>
      <c r="F3194" s="2">
        <v>3141</v>
      </c>
      <c r="G3194" s="2">
        <v>94</v>
      </c>
      <c r="H3194" s="2">
        <v>646</v>
      </c>
      <c r="I3194" s="2">
        <v>368</v>
      </c>
      <c r="J3194" s="2">
        <v>2305</v>
      </c>
      <c r="K3194" s="2">
        <v>1</v>
      </c>
      <c r="L3194" s="2">
        <v>614</v>
      </c>
    </row>
    <row r="3195" spans="1:12" x14ac:dyDescent="0.25">
      <c r="A3195" s="4" t="str">
        <f>HYPERLINK("http://www.rosaceae.org/Prunus/Prunus_persica/p.persica_gdr_reftransV1_0033744","p.persica_gdr_reftransV1_0033744")</f>
        <v>p.persica_gdr_reftransV1_0033744</v>
      </c>
      <c r="B3195" s="2">
        <v>2043</v>
      </c>
      <c r="C3195" s="4" t="str">
        <f>HYPERLINK("http://www.uniprot.org/uniprot/M5WUA0","M5WUA0")</f>
        <v>M5WUA0</v>
      </c>
      <c r="D3195" s="2" t="s">
        <v>3036</v>
      </c>
      <c r="E3195" s="3">
        <v>0</v>
      </c>
      <c r="F3195" s="2">
        <v>1412</v>
      </c>
      <c r="G3195" s="2">
        <v>100</v>
      </c>
      <c r="H3195" s="2">
        <v>300</v>
      </c>
      <c r="I3195" s="2">
        <v>693</v>
      </c>
      <c r="J3195" s="2">
        <v>1592</v>
      </c>
      <c r="K3195" s="2">
        <v>1</v>
      </c>
      <c r="L3195" s="2">
        <v>300</v>
      </c>
    </row>
    <row r="3196" spans="1:12" x14ac:dyDescent="0.25">
      <c r="A3196" s="4" t="str">
        <f>HYPERLINK("http://www.rosaceae.org/Prunus/Prunus_persica/p.persica_gdr_reftransV1_0034094","p.persica_gdr_reftransV1_0034094")</f>
        <v>p.persica_gdr_reftransV1_0034094</v>
      </c>
      <c r="B3196" s="2">
        <v>1584</v>
      </c>
      <c r="C3196" s="4" t="str">
        <f>HYPERLINK("http://www.uniprot.org/uniprot/M5XBV8","M5XBV8")</f>
        <v>M5XBV8</v>
      </c>
      <c r="D3196" s="2" t="s">
        <v>3037</v>
      </c>
      <c r="E3196" s="3">
        <v>0</v>
      </c>
      <c r="F3196" s="2">
        <v>1485</v>
      </c>
      <c r="G3196" s="2">
        <v>89</v>
      </c>
      <c r="H3196" s="2">
        <v>324</v>
      </c>
      <c r="I3196" s="2">
        <v>342</v>
      </c>
      <c r="J3196" s="2">
        <v>1313</v>
      </c>
      <c r="K3196" s="2">
        <v>54</v>
      </c>
      <c r="L3196" s="2">
        <v>344</v>
      </c>
    </row>
    <row r="3197" spans="1:12" x14ac:dyDescent="0.25">
      <c r="A3197" s="4" t="str">
        <f>HYPERLINK("http://www.rosaceae.org/Prunus/Prunus_persica/p.persica_gdr_reftransV1_0038644","p.persica_gdr_reftransV1_0038644")</f>
        <v>p.persica_gdr_reftransV1_0038644</v>
      </c>
      <c r="B3197" s="2">
        <v>2606</v>
      </c>
      <c r="C3197" s="4" t="str">
        <f>HYPERLINK("http://www.uniprot.org/uniprot/M5X7I3","M5X7I3")</f>
        <v>M5X7I3</v>
      </c>
      <c r="D3197" s="2" t="s">
        <v>3038</v>
      </c>
      <c r="E3197" s="3">
        <v>0</v>
      </c>
      <c r="F3197" s="2">
        <v>1563</v>
      </c>
      <c r="G3197" s="2">
        <v>100</v>
      </c>
      <c r="H3197" s="2">
        <v>291</v>
      </c>
      <c r="I3197" s="2">
        <v>851</v>
      </c>
      <c r="J3197" s="2">
        <v>1723</v>
      </c>
      <c r="K3197" s="2">
        <v>112</v>
      </c>
      <c r="L3197" s="2">
        <v>402</v>
      </c>
    </row>
    <row r="3198" spans="1:12" x14ac:dyDescent="0.25">
      <c r="A3198" s="4" t="str">
        <f>HYPERLINK("http://www.rosaceae.org/Prunus/Prunus_persica/p.persica_gdr_reftransV1_0039694","p.persica_gdr_reftransV1_0039694")</f>
        <v>p.persica_gdr_reftransV1_0039694</v>
      </c>
      <c r="B3198" s="2">
        <v>4382</v>
      </c>
      <c r="C3198" s="4" t="str">
        <f>HYPERLINK("http://www.uniprot.org/uniprot/M5X6R3","M5X6R3")</f>
        <v>M5X6R3</v>
      </c>
      <c r="D3198" s="2" t="s">
        <v>63</v>
      </c>
      <c r="E3198" s="3">
        <v>0</v>
      </c>
      <c r="F3198" s="2">
        <v>2163</v>
      </c>
      <c r="G3198" s="2">
        <v>100</v>
      </c>
      <c r="H3198" s="2">
        <v>415</v>
      </c>
      <c r="I3198" s="2">
        <v>836</v>
      </c>
      <c r="J3198" s="2">
        <v>2080</v>
      </c>
      <c r="K3198" s="2">
        <v>1</v>
      </c>
      <c r="L3198" s="2">
        <v>415</v>
      </c>
    </row>
    <row r="3199" spans="1:12" x14ac:dyDescent="0.25">
      <c r="A3199" s="4" t="str">
        <f>HYPERLINK("http://www.rosaceae.org/Prunus/Prunus_persica/p.persica_gdr_reftransV1_0040744","p.persica_gdr_reftransV1_0040744")</f>
        <v>p.persica_gdr_reftransV1_0040744</v>
      </c>
      <c r="B3199" s="2">
        <v>1593</v>
      </c>
      <c r="C3199" s="4" t="str">
        <f>HYPERLINK("http://www.uniprot.org/uniprot/M5VNZ5","M5VNZ5")</f>
        <v>M5VNZ5</v>
      </c>
      <c r="D3199" s="2" t="s">
        <v>3039</v>
      </c>
      <c r="E3199" s="3">
        <v>4.5200000000000005E-44</v>
      </c>
      <c r="F3199" s="2">
        <v>409</v>
      </c>
      <c r="G3199" s="2">
        <v>95</v>
      </c>
      <c r="H3199" s="2">
        <v>104</v>
      </c>
      <c r="I3199" s="2">
        <v>640</v>
      </c>
      <c r="J3199" s="2">
        <v>951</v>
      </c>
      <c r="K3199" s="2">
        <v>1</v>
      </c>
      <c r="L3199" s="2">
        <v>104</v>
      </c>
    </row>
    <row r="3200" spans="1:12" x14ac:dyDescent="0.25">
      <c r="A3200" s="4" t="str">
        <f>HYPERLINK("http://www.rosaceae.org/Prunus/Prunus_persica/p.persica_gdr_reftransV1_0042844","p.persica_gdr_reftransV1_0042844")</f>
        <v>p.persica_gdr_reftransV1_0042844</v>
      </c>
      <c r="B3200" s="2">
        <v>5157</v>
      </c>
      <c r="C3200" s="4" t="str">
        <f>HYPERLINK("http://www.uniprot.org/uniprot/M5WIC3","M5WIC3")</f>
        <v>M5WIC3</v>
      </c>
      <c r="D3200" s="2" t="s">
        <v>3040</v>
      </c>
      <c r="E3200" s="3">
        <v>0</v>
      </c>
      <c r="F3200" s="2">
        <v>1831</v>
      </c>
      <c r="G3200" s="2">
        <v>97</v>
      </c>
      <c r="H3200" s="2">
        <v>364</v>
      </c>
      <c r="I3200" s="2">
        <v>1432</v>
      </c>
      <c r="J3200" s="2">
        <v>2523</v>
      </c>
      <c r="K3200" s="2">
        <v>125</v>
      </c>
      <c r="L3200" s="2">
        <v>486</v>
      </c>
    </row>
    <row r="3201" spans="1:12" x14ac:dyDescent="0.25">
      <c r="A3201" s="4" t="str">
        <f>HYPERLINK("http://www.rosaceae.org/Prunus/Prunus_persica/p.persica_gdr_reftransV1_0043544","p.persica_gdr_reftransV1_0043544")</f>
        <v>p.persica_gdr_reftransV1_0043544</v>
      </c>
      <c r="B3201" s="2">
        <v>2472</v>
      </c>
      <c r="C3201" s="4" t="str">
        <f>HYPERLINK("http://www.uniprot.org/uniprot/M5WPR2","M5WPR2")</f>
        <v>M5WPR2</v>
      </c>
      <c r="D3201" s="2" t="s">
        <v>3041</v>
      </c>
      <c r="E3201" s="3">
        <v>0</v>
      </c>
      <c r="F3201" s="2">
        <v>2750</v>
      </c>
      <c r="G3201" s="2">
        <v>77</v>
      </c>
      <c r="H3201" s="2">
        <v>738</v>
      </c>
      <c r="I3201" s="2">
        <v>1</v>
      </c>
      <c r="J3201" s="2">
        <v>2205</v>
      </c>
      <c r="K3201" s="2">
        <v>544</v>
      </c>
      <c r="L3201" s="2">
        <v>1168</v>
      </c>
    </row>
    <row r="3202" spans="1:12" x14ac:dyDescent="0.25">
      <c r="A3202" s="4" t="str">
        <f>HYPERLINK("http://www.rosaceae.org/Prunus/Prunus_persica/p.persica_gdr_reftransV1_0043894","p.persica_gdr_reftransV1_0043894")</f>
        <v>p.persica_gdr_reftransV1_0043894</v>
      </c>
      <c r="B3202" s="2">
        <v>2272</v>
      </c>
      <c r="C3202" s="4" t="str">
        <f>HYPERLINK("http://www.uniprot.org/uniprot/M5WYI0","M5WYI0")</f>
        <v>M5WYI0</v>
      </c>
      <c r="D3202" s="2" t="s">
        <v>1674</v>
      </c>
      <c r="E3202" s="3">
        <v>0</v>
      </c>
      <c r="F3202" s="2">
        <v>2983</v>
      </c>
      <c r="G3202" s="2">
        <v>100</v>
      </c>
      <c r="H3202" s="2">
        <v>593</v>
      </c>
      <c r="I3202" s="2">
        <v>1</v>
      </c>
      <c r="J3202" s="2">
        <v>1776</v>
      </c>
      <c r="K3202" s="2">
        <v>496</v>
      </c>
      <c r="L3202" s="2">
        <v>1088</v>
      </c>
    </row>
    <row r="3203" spans="1:12" x14ac:dyDescent="0.25">
      <c r="A3203" s="4" t="str">
        <f>HYPERLINK("http://www.rosaceae.org/Prunus/Prunus_persica/p.persica_gdr_reftransV1_0044244","p.persica_gdr_reftransV1_0044244")</f>
        <v>p.persica_gdr_reftransV1_0044244</v>
      </c>
      <c r="B3203" s="2">
        <v>1854</v>
      </c>
      <c r="C3203" s="4" t="str">
        <f>HYPERLINK("http://www.uniprot.org/uniprot/M5X8B3","M5X8B3")</f>
        <v>M5X8B3</v>
      </c>
      <c r="D3203" s="2" t="s">
        <v>3042</v>
      </c>
      <c r="E3203" s="3">
        <v>0</v>
      </c>
      <c r="F3203" s="2">
        <v>2233</v>
      </c>
      <c r="G3203" s="2">
        <v>100</v>
      </c>
      <c r="H3203" s="2">
        <v>444</v>
      </c>
      <c r="I3203" s="2">
        <v>430</v>
      </c>
      <c r="J3203" s="2">
        <v>1761</v>
      </c>
      <c r="K3203" s="2">
        <v>1</v>
      </c>
      <c r="L3203" s="2">
        <v>444</v>
      </c>
    </row>
    <row r="3204" spans="1:12" x14ac:dyDescent="0.25">
      <c r="A3204" s="4" t="str">
        <f>HYPERLINK("http://www.rosaceae.org/Prunus/Prunus_persica/p.persica_gdr_reftransV1_0044594","p.persica_gdr_reftransV1_0044594")</f>
        <v>p.persica_gdr_reftransV1_0044594</v>
      </c>
      <c r="B3204" s="2">
        <v>1016</v>
      </c>
      <c r="C3204" s="4" t="str">
        <f>HYPERLINK("http://www.uniprot.org/uniprot/M5VNX9","M5VNX9")</f>
        <v>M5VNX9</v>
      </c>
      <c r="D3204" s="2" t="s">
        <v>940</v>
      </c>
      <c r="E3204" s="3">
        <v>0</v>
      </c>
      <c r="F3204" s="2">
        <v>1416</v>
      </c>
      <c r="G3204" s="2">
        <v>92</v>
      </c>
      <c r="H3204" s="2">
        <v>309</v>
      </c>
      <c r="I3204" s="2">
        <v>3</v>
      </c>
      <c r="J3204" s="2">
        <v>887</v>
      </c>
      <c r="K3204" s="2">
        <v>568</v>
      </c>
      <c r="L3204" s="2">
        <v>876</v>
      </c>
    </row>
    <row r="3205" spans="1:12" x14ac:dyDescent="0.25">
      <c r="A3205" s="4" t="str">
        <f>HYPERLINK("http://www.rosaceae.org/Prunus/Prunus_persica/p.persica_gdr_reftransV1_0044944","p.persica_gdr_reftransV1_0044944")</f>
        <v>p.persica_gdr_reftransV1_0044944</v>
      </c>
      <c r="B3205" s="2">
        <v>438</v>
      </c>
      <c r="C3205" s="4" t="str">
        <f>HYPERLINK("http://www.uniprot.org/uniprot/M5VZT8","M5VZT8")</f>
        <v>M5VZT8</v>
      </c>
      <c r="D3205" s="2" t="s">
        <v>3043</v>
      </c>
      <c r="E3205" s="3">
        <v>1.2800000000000001E-13</v>
      </c>
      <c r="F3205" s="2">
        <v>182</v>
      </c>
      <c r="G3205" s="2">
        <v>51</v>
      </c>
      <c r="H3205" s="2">
        <v>102</v>
      </c>
      <c r="I3205" s="2">
        <v>39</v>
      </c>
      <c r="J3205" s="2">
        <v>341</v>
      </c>
      <c r="K3205" s="2">
        <v>98</v>
      </c>
      <c r="L3205" s="2">
        <v>199</v>
      </c>
    </row>
    <row r="3206" spans="1:12" x14ac:dyDescent="0.25">
      <c r="A3206" s="4" t="str">
        <f>HYPERLINK("http://www.rosaceae.org/Prunus/Prunus_persica/p.persica_gdr_reftransV1_0045994","p.persica_gdr_reftransV1_0045994")</f>
        <v>p.persica_gdr_reftransV1_0045994</v>
      </c>
      <c r="B3206" s="2">
        <v>441</v>
      </c>
      <c r="C3206" s="4" t="str">
        <f>HYPERLINK("http://www.uniprot.org/uniprot/W9RV44","W9RV44")</f>
        <v>W9RV44</v>
      </c>
      <c r="D3206" s="2" t="s">
        <v>3044</v>
      </c>
      <c r="E3206" s="3">
        <v>2.7600000000000001E-70</v>
      </c>
      <c r="F3206" s="2">
        <v>578</v>
      </c>
      <c r="G3206" s="2">
        <v>79</v>
      </c>
      <c r="H3206" s="2">
        <v>147</v>
      </c>
      <c r="I3206" s="2">
        <v>2</v>
      </c>
      <c r="J3206" s="2">
        <v>439</v>
      </c>
      <c r="K3206" s="2">
        <v>95</v>
      </c>
      <c r="L3206" s="2">
        <v>238</v>
      </c>
    </row>
    <row r="3207" spans="1:12" x14ac:dyDescent="0.25">
      <c r="A3207" s="4" t="str">
        <f>HYPERLINK("http://www.rosaceae.org/Prunus/Prunus_persica/p.persica_gdr_reftransV1_0047044","p.persica_gdr_reftransV1_0047044")</f>
        <v>p.persica_gdr_reftransV1_0047044</v>
      </c>
      <c r="B3207" s="2">
        <v>782</v>
      </c>
      <c r="C3207" s="4" t="str">
        <f>HYPERLINK("http://www.uniprot.org/uniprot/M5W0R8","M5W0R8")</f>
        <v>M5W0R8</v>
      </c>
      <c r="D3207" s="2" t="s">
        <v>802</v>
      </c>
      <c r="E3207" s="3">
        <v>4.1300000000000004E-177</v>
      </c>
      <c r="F3207" s="2">
        <v>1317</v>
      </c>
      <c r="G3207" s="2">
        <v>100</v>
      </c>
      <c r="H3207" s="2">
        <v>260</v>
      </c>
      <c r="I3207" s="2">
        <v>2</v>
      </c>
      <c r="J3207" s="2">
        <v>781</v>
      </c>
      <c r="K3207" s="2">
        <v>109</v>
      </c>
      <c r="L3207" s="2">
        <v>368</v>
      </c>
    </row>
    <row r="3208" spans="1:12" x14ac:dyDescent="0.25">
      <c r="A3208" s="4" t="str">
        <f>HYPERLINK("http://www.rosaceae.org/Prunus/Prunus_persica/p.persica_gdr_reftransV1_0047744","p.persica_gdr_reftransV1_0047744")</f>
        <v>p.persica_gdr_reftransV1_0047744</v>
      </c>
      <c r="B3208" s="2">
        <v>333</v>
      </c>
      <c r="C3208" s="4" t="str">
        <f>HYPERLINK("http://www.uniprot.org/uniprot/M5W5A6","M5W5A6")</f>
        <v>M5W5A6</v>
      </c>
      <c r="D3208" s="2" t="s">
        <v>3045</v>
      </c>
      <c r="E3208" s="3">
        <v>4.7799999999999997E-71</v>
      </c>
      <c r="F3208" s="2">
        <v>593</v>
      </c>
      <c r="G3208" s="2">
        <v>100</v>
      </c>
      <c r="H3208" s="2">
        <v>111</v>
      </c>
      <c r="I3208" s="2">
        <v>1</v>
      </c>
      <c r="J3208" s="2">
        <v>333</v>
      </c>
      <c r="K3208" s="2">
        <v>95</v>
      </c>
      <c r="L3208" s="2">
        <v>205</v>
      </c>
    </row>
    <row r="3209" spans="1:12" x14ac:dyDescent="0.25">
      <c r="A3209" s="4" t="str">
        <f>HYPERLINK("http://www.rosaceae.org/Prunus/Prunus_persica/p.persica_gdr_reftransV1_0048094","p.persica_gdr_reftransV1_0048094")</f>
        <v>p.persica_gdr_reftransV1_0048094</v>
      </c>
      <c r="B3209" s="2">
        <v>1859</v>
      </c>
      <c r="C3209" s="4" t="str">
        <f>HYPERLINK("http://www.uniprot.org/uniprot/M5W5N5","M5W5N5")</f>
        <v>M5W5N5</v>
      </c>
      <c r="D3209" s="2" t="s">
        <v>3046</v>
      </c>
      <c r="E3209" s="3">
        <v>0</v>
      </c>
      <c r="F3209" s="2">
        <v>2463</v>
      </c>
      <c r="G3209" s="2">
        <v>100</v>
      </c>
      <c r="H3209" s="2">
        <v>456</v>
      </c>
      <c r="I3209" s="2">
        <v>235</v>
      </c>
      <c r="J3209" s="2">
        <v>1602</v>
      </c>
      <c r="K3209" s="2">
        <v>1</v>
      </c>
      <c r="L3209" s="2">
        <v>456</v>
      </c>
    </row>
    <row r="3210" spans="1:12" x14ac:dyDescent="0.25">
      <c r="A3210" s="4" t="str">
        <f>HYPERLINK("http://www.rosaceae.org/Prunus/Prunus_persica/p.persica_gdr_reftransV1_0048794","p.persica_gdr_reftransV1_0048794")</f>
        <v>p.persica_gdr_reftransV1_0048794</v>
      </c>
      <c r="B3210" s="2">
        <v>1135</v>
      </c>
      <c r="C3210" s="4" t="str">
        <f>HYPERLINK("http://www.uniprot.org/uniprot/M5WN99","M5WN99")</f>
        <v>M5WN99</v>
      </c>
      <c r="D3210" s="2" t="s">
        <v>3047</v>
      </c>
      <c r="E3210" s="3">
        <v>0</v>
      </c>
      <c r="F3210" s="2">
        <v>1639</v>
      </c>
      <c r="G3210" s="2">
        <v>100</v>
      </c>
      <c r="H3210" s="2">
        <v>315</v>
      </c>
      <c r="I3210" s="2">
        <v>1</v>
      </c>
      <c r="J3210" s="2">
        <v>945</v>
      </c>
      <c r="K3210" s="2">
        <v>163</v>
      </c>
      <c r="L3210" s="2">
        <v>477</v>
      </c>
    </row>
    <row r="3211" spans="1:12" x14ac:dyDescent="0.25">
      <c r="A3211" s="4" t="str">
        <f>HYPERLINK("http://www.rosaceae.org/Prunus/Prunus_persica/p.persica_gdr_reftransV1_0049144","p.persica_gdr_reftransV1_0049144")</f>
        <v>p.persica_gdr_reftransV1_0049144</v>
      </c>
      <c r="B3211" s="2">
        <v>779</v>
      </c>
      <c r="C3211" s="4" t="str">
        <f>HYPERLINK("http://www.uniprot.org/uniprot/M5VIF6","M5VIF6")</f>
        <v>M5VIF6</v>
      </c>
      <c r="D3211" s="2" t="s">
        <v>3048</v>
      </c>
      <c r="E3211" s="3">
        <v>1.02E-99</v>
      </c>
      <c r="F3211" s="2">
        <v>828</v>
      </c>
      <c r="G3211" s="2">
        <v>100</v>
      </c>
      <c r="H3211" s="2">
        <v>151</v>
      </c>
      <c r="I3211" s="2">
        <v>326</v>
      </c>
      <c r="J3211" s="2">
        <v>778</v>
      </c>
      <c r="K3211" s="2">
        <v>818</v>
      </c>
      <c r="L3211" s="2">
        <v>968</v>
      </c>
    </row>
    <row r="3212" spans="1:12" x14ac:dyDescent="0.25">
      <c r="A3212" s="4" t="str">
        <f>HYPERLINK("http://www.rosaceae.org/Prunus/Prunus_persica/p.persica_gdr_reftransV1_0000145","p.persica_gdr_reftransV1_0000145")</f>
        <v>p.persica_gdr_reftransV1_0000145</v>
      </c>
      <c r="B3212" s="2">
        <v>933</v>
      </c>
      <c r="C3212" s="4" t="str">
        <f>HYPERLINK("http://www.uniprot.org/uniprot/M5X6K3","M5X6K3")</f>
        <v>M5X6K3</v>
      </c>
      <c r="D3212" s="2" t="s">
        <v>3049</v>
      </c>
      <c r="E3212" s="3">
        <v>1.24E-134</v>
      </c>
      <c r="F3212" s="2">
        <v>1007</v>
      </c>
      <c r="G3212" s="2">
        <v>100</v>
      </c>
      <c r="H3212" s="2">
        <v>205</v>
      </c>
      <c r="I3212" s="2">
        <v>182</v>
      </c>
      <c r="J3212" s="2">
        <v>796</v>
      </c>
      <c r="K3212" s="2">
        <v>1</v>
      </c>
      <c r="L3212" s="2">
        <v>205</v>
      </c>
    </row>
    <row r="3213" spans="1:12" x14ac:dyDescent="0.25">
      <c r="A3213" s="4" t="str">
        <f>HYPERLINK("http://www.rosaceae.org/Prunus/Prunus_persica/p.persica_gdr_reftransV1_0000495","p.persica_gdr_reftransV1_0000495")</f>
        <v>p.persica_gdr_reftransV1_0000495</v>
      </c>
      <c r="B3213" s="2">
        <v>973</v>
      </c>
      <c r="C3213" s="4" t="str">
        <f>HYPERLINK("http://www.uniprot.org/uniprot/M5X0G8","M5X0G8")</f>
        <v>M5X0G8</v>
      </c>
      <c r="D3213" s="2" t="s">
        <v>3050</v>
      </c>
      <c r="E3213" s="3">
        <v>3.93E-115</v>
      </c>
      <c r="F3213" s="2">
        <v>879</v>
      </c>
      <c r="G3213" s="2">
        <v>99</v>
      </c>
      <c r="H3213" s="2">
        <v>183</v>
      </c>
      <c r="I3213" s="2">
        <v>191</v>
      </c>
      <c r="J3213" s="2">
        <v>739</v>
      </c>
      <c r="K3213" s="2">
        <v>14</v>
      </c>
      <c r="L3213" s="2">
        <v>196</v>
      </c>
    </row>
    <row r="3214" spans="1:12" x14ac:dyDescent="0.25">
      <c r="A3214" s="4" t="str">
        <f>HYPERLINK("http://www.rosaceae.org/Prunus/Prunus_persica/p.persica_gdr_reftransV1_0000845","p.persica_gdr_reftransV1_0000845")</f>
        <v>p.persica_gdr_reftransV1_0000845</v>
      </c>
      <c r="B3214" s="2">
        <v>3390</v>
      </c>
      <c r="C3214" s="4" t="str">
        <f>HYPERLINK("http://www.uniprot.org/uniprot/M5VWP6","M5VWP6")</f>
        <v>M5VWP6</v>
      </c>
      <c r="D3214" s="2" t="s">
        <v>3051</v>
      </c>
      <c r="E3214" s="3">
        <v>0</v>
      </c>
      <c r="F3214" s="2">
        <v>4211</v>
      </c>
      <c r="G3214" s="2">
        <v>100</v>
      </c>
      <c r="H3214" s="2">
        <v>910</v>
      </c>
      <c r="I3214" s="2">
        <v>498</v>
      </c>
      <c r="J3214" s="2">
        <v>3227</v>
      </c>
      <c r="K3214" s="2">
        <v>1</v>
      </c>
      <c r="L3214" s="2">
        <v>910</v>
      </c>
    </row>
    <row r="3215" spans="1:12" x14ac:dyDescent="0.25">
      <c r="A3215" s="4" t="str">
        <f>HYPERLINK("http://www.rosaceae.org/Prunus/Prunus_persica/p.persica_gdr_reftransV1_0001195","p.persica_gdr_reftransV1_0001195")</f>
        <v>p.persica_gdr_reftransV1_0001195</v>
      </c>
      <c r="B3215" s="2">
        <v>375</v>
      </c>
      <c r="C3215" s="4" t="str">
        <f>HYPERLINK("http://www.uniprot.org/uniprot/M5XG75","M5XG75")</f>
        <v>M5XG75</v>
      </c>
      <c r="D3215" s="2" t="s">
        <v>3052</v>
      </c>
      <c r="E3215" s="3">
        <v>5.7799999999999997E-64</v>
      </c>
      <c r="F3215" s="2">
        <v>530</v>
      </c>
      <c r="G3215" s="2">
        <v>100</v>
      </c>
      <c r="H3215" s="2">
        <v>100</v>
      </c>
      <c r="I3215" s="2">
        <v>1</v>
      </c>
      <c r="J3215" s="2">
        <v>300</v>
      </c>
      <c r="K3215" s="2">
        <v>1</v>
      </c>
      <c r="L3215" s="2">
        <v>100</v>
      </c>
    </row>
    <row r="3216" spans="1:12" x14ac:dyDescent="0.25">
      <c r="A3216" s="4" t="str">
        <f>HYPERLINK("http://www.rosaceae.org/Prunus/Prunus_persica/p.persica_gdr_reftransV1_0001545","p.persica_gdr_reftransV1_0001545")</f>
        <v>p.persica_gdr_reftransV1_0001545</v>
      </c>
      <c r="B3216" s="2">
        <v>407</v>
      </c>
      <c r="C3216" s="4" t="str">
        <f>HYPERLINK("http://www.uniprot.org/uniprot/M5WY49","M5WY49")</f>
        <v>M5WY49</v>
      </c>
      <c r="D3216" s="2" t="s">
        <v>3053</v>
      </c>
      <c r="E3216" s="3">
        <v>1.84E-75</v>
      </c>
      <c r="F3216" s="2">
        <v>604</v>
      </c>
      <c r="G3216" s="2">
        <v>100</v>
      </c>
      <c r="H3216" s="2">
        <v>110</v>
      </c>
      <c r="I3216" s="2">
        <v>76</v>
      </c>
      <c r="J3216" s="2">
        <v>405</v>
      </c>
      <c r="K3216" s="2">
        <v>1</v>
      </c>
      <c r="L3216" s="2">
        <v>110</v>
      </c>
    </row>
    <row r="3217" spans="1:12" x14ac:dyDescent="0.25">
      <c r="A3217" s="4" t="str">
        <f>HYPERLINK("http://www.rosaceae.org/Prunus/Prunus_persica/p.persica_gdr_reftransV1_0001895","p.persica_gdr_reftransV1_0001895")</f>
        <v>p.persica_gdr_reftransV1_0001895</v>
      </c>
      <c r="B3217" s="2">
        <v>2148</v>
      </c>
      <c r="C3217" s="4" t="str">
        <f>HYPERLINK("http://www.uniprot.org/uniprot/M5VQB1","M5VQB1")</f>
        <v>M5VQB1</v>
      </c>
      <c r="D3217" s="2" t="s">
        <v>3054</v>
      </c>
      <c r="E3217" s="3">
        <v>0</v>
      </c>
      <c r="F3217" s="2">
        <v>1689</v>
      </c>
      <c r="G3217" s="2">
        <v>100</v>
      </c>
      <c r="H3217" s="2">
        <v>318</v>
      </c>
      <c r="I3217" s="2">
        <v>1159</v>
      </c>
      <c r="J3217" s="2">
        <v>2112</v>
      </c>
      <c r="K3217" s="2">
        <v>1</v>
      </c>
      <c r="L3217" s="2">
        <v>318</v>
      </c>
    </row>
    <row r="3218" spans="1:12" x14ac:dyDescent="0.25">
      <c r="A3218" s="4" t="str">
        <f>HYPERLINK("http://www.rosaceae.org/Prunus/Prunus_persica/p.persica_gdr_reftransV1_0002245","p.persica_gdr_reftransV1_0002245")</f>
        <v>p.persica_gdr_reftransV1_0002245</v>
      </c>
      <c r="B3218" s="2">
        <v>602</v>
      </c>
      <c r="C3218" s="4" t="str">
        <f>HYPERLINK("http://www.uniprot.org/uniprot/M5X0L3","M5X0L3")</f>
        <v>M5X0L3</v>
      </c>
      <c r="D3218" s="2" t="s">
        <v>3055</v>
      </c>
      <c r="E3218" s="3">
        <v>2.4200000000000001E-105</v>
      </c>
      <c r="F3218" s="2">
        <v>836</v>
      </c>
      <c r="G3218" s="2">
        <v>100</v>
      </c>
      <c r="H3218" s="2">
        <v>154</v>
      </c>
      <c r="I3218" s="2">
        <v>139</v>
      </c>
      <c r="J3218" s="2">
        <v>600</v>
      </c>
      <c r="K3218" s="2">
        <v>1</v>
      </c>
      <c r="L3218" s="2">
        <v>154</v>
      </c>
    </row>
    <row r="3219" spans="1:12" x14ac:dyDescent="0.25">
      <c r="A3219" s="4" t="str">
        <f>HYPERLINK("http://www.rosaceae.org/Prunus/Prunus_persica/p.persica_gdr_reftransV1_0002595","p.persica_gdr_reftransV1_0002595")</f>
        <v>p.persica_gdr_reftransV1_0002595</v>
      </c>
      <c r="B3219" s="2">
        <v>1529</v>
      </c>
      <c r="C3219" s="4" t="str">
        <f>HYPERLINK("http://www.uniprot.org/uniprot/M5XYS2","M5XYS2")</f>
        <v>M5XYS2</v>
      </c>
      <c r="D3219" s="2" t="s">
        <v>3056</v>
      </c>
      <c r="E3219" s="3">
        <v>0</v>
      </c>
      <c r="F3219" s="2">
        <v>1474</v>
      </c>
      <c r="G3219" s="2">
        <v>100</v>
      </c>
      <c r="H3219" s="2">
        <v>295</v>
      </c>
      <c r="I3219" s="2">
        <v>554</v>
      </c>
      <c r="J3219" s="2">
        <v>1438</v>
      </c>
      <c r="K3219" s="2">
        <v>1</v>
      </c>
      <c r="L3219" s="2">
        <v>295</v>
      </c>
    </row>
    <row r="3220" spans="1:12" x14ac:dyDescent="0.25">
      <c r="A3220" s="4" t="str">
        <f>HYPERLINK("http://www.rosaceae.org/Prunus/Prunus_persica/p.persica_gdr_reftransV1_0002945","p.persica_gdr_reftransV1_0002945")</f>
        <v>p.persica_gdr_reftransV1_0002945</v>
      </c>
      <c r="B3220" s="2">
        <v>426</v>
      </c>
      <c r="C3220" s="4" t="str">
        <f>HYPERLINK("http://www.uniprot.org/uniprot/M5VG65","M5VG65")</f>
        <v>M5VG65</v>
      </c>
      <c r="D3220" s="2" t="s">
        <v>3057</v>
      </c>
      <c r="E3220" s="3">
        <v>1.7099999999999999E-59</v>
      </c>
      <c r="F3220" s="2">
        <v>508</v>
      </c>
      <c r="G3220" s="2">
        <v>82</v>
      </c>
      <c r="H3220" s="2">
        <v>141</v>
      </c>
      <c r="I3220" s="2">
        <v>2</v>
      </c>
      <c r="J3220" s="2">
        <v>424</v>
      </c>
      <c r="K3220" s="2">
        <v>291</v>
      </c>
      <c r="L3220" s="2">
        <v>407</v>
      </c>
    </row>
    <row r="3221" spans="1:12" x14ac:dyDescent="0.25">
      <c r="A3221" s="4" t="str">
        <f>HYPERLINK("http://www.rosaceae.org/Prunus/Prunus_persica/p.persica_gdr_reftransV1_0003295","p.persica_gdr_reftransV1_0003295")</f>
        <v>p.persica_gdr_reftransV1_0003295</v>
      </c>
      <c r="B3221" s="2">
        <v>2977</v>
      </c>
      <c r="C3221" s="4" t="str">
        <f>HYPERLINK("http://www.uniprot.org/uniprot/M5VQ89","M5VQ89")</f>
        <v>M5VQ89</v>
      </c>
      <c r="D3221" s="2" t="s">
        <v>2581</v>
      </c>
      <c r="E3221" s="3">
        <v>0</v>
      </c>
      <c r="F3221" s="2">
        <v>4394</v>
      </c>
      <c r="G3221" s="2">
        <v>100</v>
      </c>
      <c r="H3221" s="2">
        <v>871</v>
      </c>
      <c r="I3221" s="2">
        <v>168</v>
      </c>
      <c r="J3221" s="2">
        <v>2780</v>
      </c>
      <c r="K3221" s="2">
        <v>10</v>
      </c>
      <c r="L3221" s="2">
        <v>880</v>
      </c>
    </row>
    <row r="3222" spans="1:12" x14ac:dyDescent="0.25">
      <c r="A3222" s="4" t="str">
        <f>HYPERLINK("http://www.rosaceae.org/Prunus/Prunus_persica/p.persica_gdr_reftransV1_0003645","p.persica_gdr_reftransV1_0003645")</f>
        <v>p.persica_gdr_reftransV1_0003645</v>
      </c>
      <c r="B3222" s="2">
        <v>2248</v>
      </c>
      <c r="C3222" s="4" t="str">
        <f>HYPERLINK("http://www.uniprot.org/uniprot/M5WZJ9","M5WZJ9")</f>
        <v>M5WZJ9</v>
      </c>
      <c r="D3222" s="2" t="s">
        <v>1905</v>
      </c>
      <c r="E3222" s="3">
        <v>0</v>
      </c>
      <c r="F3222" s="2">
        <v>1663</v>
      </c>
      <c r="G3222" s="2">
        <v>95</v>
      </c>
      <c r="H3222" s="2">
        <v>355</v>
      </c>
      <c r="I3222" s="2">
        <v>82</v>
      </c>
      <c r="J3222" s="2">
        <v>1122</v>
      </c>
      <c r="K3222" s="2">
        <v>1</v>
      </c>
      <c r="L3222" s="2">
        <v>355</v>
      </c>
    </row>
    <row r="3223" spans="1:12" x14ac:dyDescent="0.25">
      <c r="A3223" s="4" t="str">
        <f>HYPERLINK("http://www.rosaceae.org/Prunus/Prunus_persica/p.persica_gdr_reftransV1_0004345","p.persica_gdr_reftransV1_0004345")</f>
        <v>p.persica_gdr_reftransV1_0004345</v>
      </c>
      <c r="B3223" s="2">
        <v>473</v>
      </c>
      <c r="C3223" s="4" t="str">
        <f>HYPERLINK("http://www.uniprot.org/uniprot/M5XC39","M5XC39")</f>
        <v>M5XC39</v>
      </c>
      <c r="D3223" s="2" t="s">
        <v>3058</v>
      </c>
      <c r="E3223" s="3">
        <v>1.3E-84</v>
      </c>
      <c r="F3223" s="2">
        <v>673</v>
      </c>
      <c r="G3223" s="2">
        <v>100</v>
      </c>
      <c r="H3223" s="2">
        <v>128</v>
      </c>
      <c r="I3223" s="2">
        <v>2</v>
      </c>
      <c r="J3223" s="2">
        <v>385</v>
      </c>
      <c r="K3223" s="2">
        <v>221</v>
      </c>
      <c r="L3223" s="2">
        <v>348</v>
      </c>
    </row>
    <row r="3224" spans="1:12" x14ac:dyDescent="0.25">
      <c r="A3224" s="4" t="str">
        <f>HYPERLINK("http://www.rosaceae.org/Prunus/Prunus_persica/p.persica_gdr_reftransV1_0005045","p.persica_gdr_reftransV1_0005045")</f>
        <v>p.persica_gdr_reftransV1_0005045</v>
      </c>
      <c r="B3224" s="2">
        <v>1306</v>
      </c>
      <c r="C3224" s="4" t="str">
        <f>HYPERLINK("http://www.uniprot.org/uniprot/M5XQM6","M5XQM6")</f>
        <v>M5XQM6</v>
      </c>
      <c r="D3224" s="2" t="s">
        <v>3029</v>
      </c>
      <c r="E3224" s="3">
        <v>1.87E-112</v>
      </c>
      <c r="F3224" s="2">
        <v>928</v>
      </c>
      <c r="G3224" s="2">
        <v>99</v>
      </c>
      <c r="H3224" s="2">
        <v>183</v>
      </c>
      <c r="I3224" s="2">
        <v>756</v>
      </c>
      <c r="J3224" s="2">
        <v>1304</v>
      </c>
      <c r="K3224" s="2">
        <v>1</v>
      </c>
      <c r="L3224" s="2">
        <v>183</v>
      </c>
    </row>
    <row r="3225" spans="1:12" x14ac:dyDescent="0.25">
      <c r="A3225" s="4" t="str">
        <f>HYPERLINK("http://www.rosaceae.org/Prunus/Prunus_persica/p.persica_gdr_reftransV1_0006095","p.persica_gdr_reftransV1_0006095")</f>
        <v>p.persica_gdr_reftransV1_0006095</v>
      </c>
      <c r="B3225" s="2">
        <v>1318</v>
      </c>
      <c r="C3225" s="4" t="str">
        <f>HYPERLINK("http://www.uniprot.org/uniprot/M5XEJ4","M5XEJ4")</f>
        <v>M5XEJ4</v>
      </c>
      <c r="D3225" s="2" t="s">
        <v>70</v>
      </c>
      <c r="E3225" s="3">
        <v>1.09E-161</v>
      </c>
      <c r="F3225" s="2">
        <v>1208</v>
      </c>
      <c r="G3225" s="2">
        <v>100</v>
      </c>
      <c r="H3225" s="2">
        <v>228</v>
      </c>
      <c r="I3225" s="2">
        <v>525</v>
      </c>
      <c r="J3225" s="2">
        <v>1208</v>
      </c>
      <c r="K3225" s="2">
        <v>61</v>
      </c>
      <c r="L3225" s="2">
        <v>288</v>
      </c>
    </row>
    <row r="3226" spans="1:12" x14ac:dyDescent="0.25">
      <c r="A3226" s="4" t="str">
        <f>HYPERLINK("http://www.rosaceae.org/Prunus/Prunus_persica/p.persica_gdr_reftransV1_0006445","p.persica_gdr_reftransV1_0006445")</f>
        <v>p.persica_gdr_reftransV1_0006445</v>
      </c>
      <c r="B3226" s="2">
        <v>1573</v>
      </c>
      <c r="C3226" s="4" t="str">
        <f>HYPERLINK("http://www.uniprot.org/uniprot/M5W0I9","M5W0I9")</f>
        <v>M5W0I9</v>
      </c>
      <c r="D3226" s="2" t="s">
        <v>3059</v>
      </c>
      <c r="E3226" s="3">
        <v>0</v>
      </c>
      <c r="F3226" s="2">
        <v>1950</v>
      </c>
      <c r="G3226" s="2">
        <v>100</v>
      </c>
      <c r="H3226" s="2">
        <v>403</v>
      </c>
      <c r="I3226" s="2">
        <v>271</v>
      </c>
      <c r="J3226" s="2">
        <v>1479</v>
      </c>
      <c r="K3226" s="2">
        <v>1</v>
      </c>
      <c r="L3226" s="2">
        <v>403</v>
      </c>
    </row>
    <row r="3227" spans="1:12" x14ac:dyDescent="0.25">
      <c r="A3227" s="4" t="str">
        <f>HYPERLINK("http://www.rosaceae.org/Prunus/Prunus_persica/p.persica_gdr_reftransV1_0006795","p.persica_gdr_reftransV1_0006795")</f>
        <v>p.persica_gdr_reftransV1_0006795</v>
      </c>
      <c r="B3227" s="2">
        <v>1921</v>
      </c>
      <c r="C3227" s="4" t="str">
        <f>HYPERLINK("http://www.uniprot.org/uniprot/A0A0E0GJ28","A0A0E0GJ28")</f>
        <v>A0A0E0GJ28</v>
      </c>
      <c r="D3227" s="2" t="s">
        <v>3060</v>
      </c>
      <c r="E3227" s="3">
        <v>0</v>
      </c>
      <c r="F3227" s="2">
        <v>1668</v>
      </c>
      <c r="G3227" s="2">
        <v>63</v>
      </c>
      <c r="H3227" s="2">
        <v>562</v>
      </c>
      <c r="I3227" s="2">
        <v>137</v>
      </c>
      <c r="J3227" s="2">
        <v>1807</v>
      </c>
      <c r="K3227" s="2">
        <v>6</v>
      </c>
      <c r="L3227" s="2">
        <v>542</v>
      </c>
    </row>
    <row r="3228" spans="1:12" x14ac:dyDescent="0.25">
      <c r="A3228" s="4" t="str">
        <f>HYPERLINK("http://www.rosaceae.org/Prunus/Prunus_persica/p.persica_gdr_reftransV1_0007145","p.persica_gdr_reftransV1_0007145")</f>
        <v>p.persica_gdr_reftransV1_0007145</v>
      </c>
      <c r="B3228" s="2">
        <v>925</v>
      </c>
      <c r="C3228" s="4" t="str">
        <f>HYPERLINK("http://www.uniprot.org/uniprot/M5XB13","M5XB13")</f>
        <v>M5XB13</v>
      </c>
      <c r="D3228" s="2" t="s">
        <v>3061</v>
      </c>
      <c r="E3228" s="3">
        <v>0</v>
      </c>
      <c r="F3228" s="2">
        <v>1638</v>
      </c>
      <c r="G3228" s="2">
        <v>100</v>
      </c>
      <c r="H3228" s="2">
        <v>307</v>
      </c>
      <c r="I3228" s="2">
        <v>3</v>
      </c>
      <c r="J3228" s="2">
        <v>923</v>
      </c>
      <c r="K3228" s="2">
        <v>797</v>
      </c>
      <c r="L3228" s="2">
        <v>1103</v>
      </c>
    </row>
    <row r="3229" spans="1:12" x14ac:dyDescent="0.25">
      <c r="A3229" s="4" t="str">
        <f>HYPERLINK("http://www.rosaceae.org/Prunus/Prunus_persica/p.persica_gdr_reftransV1_0007495","p.persica_gdr_reftransV1_0007495")</f>
        <v>p.persica_gdr_reftransV1_0007495</v>
      </c>
      <c r="B3229" s="2">
        <v>2102</v>
      </c>
      <c r="C3229" s="4" t="str">
        <f>HYPERLINK("http://www.uniprot.org/uniprot/M5WFD3","M5WFD3")</f>
        <v>M5WFD3</v>
      </c>
      <c r="D3229" s="2" t="s">
        <v>3062</v>
      </c>
      <c r="E3229" s="3">
        <v>0</v>
      </c>
      <c r="F3229" s="2">
        <v>2464</v>
      </c>
      <c r="G3229" s="2">
        <v>100</v>
      </c>
      <c r="H3229" s="2">
        <v>494</v>
      </c>
      <c r="I3229" s="2">
        <v>84</v>
      </c>
      <c r="J3229" s="2">
        <v>1565</v>
      </c>
      <c r="K3229" s="2">
        <v>1</v>
      </c>
      <c r="L3229" s="2">
        <v>494</v>
      </c>
    </row>
    <row r="3230" spans="1:12" x14ac:dyDescent="0.25">
      <c r="A3230" s="4" t="str">
        <f>HYPERLINK("http://www.rosaceae.org/Prunus/Prunus_persica/p.persica_gdr_reftransV1_0007845","p.persica_gdr_reftransV1_0007845")</f>
        <v>p.persica_gdr_reftransV1_0007845</v>
      </c>
      <c r="B3230" s="2">
        <v>745</v>
      </c>
      <c r="C3230" s="4" t="str">
        <f>HYPERLINK("http://www.uniprot.org/uniprot/M5X1Y0","M5X1Y0")</f>
        <v>M5X1Y0</v>
      </c>
      <c r="D3230" s="2" t="s">
        <v>679</v>
      </c>
      <c r="E3230" s="3">
        <v>3.2399999999999999E-113</v>
      </c>
      <c r="F3230" s="2">
        <v>872</v>
      </c>
      <c r="G3230" s="2">
        <v>100</v>
      </c>
      <c r="H3230" s="2">
        <v>241</v>
      </c>
      <c r="I3230" s="2">
        <v>3</v>
      </c>
      <c r="J3230" s="2">
        <v>725</v>
      </c>
      <c r="K3230" s="2">
        <v>1</v>
      </c>
      <c r="L3230" s="2">
        <v>241</v>
      </c>
    </row>
    <row r="3231" spans="1:12" x14ac:dyDescent="0.25">
      <c r="A3231" s="4" t="str">
        <f>HYPERLINK("http://www.rosaceae.org/Prunus/Prunus_persica/p.persica_gdr_reftransV1_0008195","p.persica_gdr_reftransV1_0008195")</f>
        <v>p.persica_gdr_reftransV1_0008195</v>
      </c>
      <c r="B3231" s="2">
        <v>2447</v>
      </c>
      <c r="C3231" s="4" t="str">
        <f>HYPERLINK("http://www.uniprot.org/uniprot/M5XB88","M5XB88")</f>
        <v>M5XB88</v>
      </c>
      <c r="D3231" s="2" t="s">
        <v>3063</v>
      </c>
      <c r="E3231" s="3">
        <v>0</v>
      </c>
      <c r="F3231" s="2">
        <v>3270</v>
      </c>
      <c r="G3231" s="2">
        <v>100</v>
      </c>
      <c r="H3231" s="2">
        <v>621</v>
      </c>
      <c r="I3231" s="2">
        <v>536</v>
      </c>
      <c r="J3231" s="2">
        <v>2398</v>
      </c>
      <c r="K3231" s="2">
        <v>1</v>
      </c>
      <c r="L3231" s="2">
        <v>621</v>
      </c>
    </row>
    <row r="3232" spans="1:12" x14ac:dyDescent="0.25">
      <c r="A3232" s="4" t="str">
        <f>HYPERLINK("http://www.rosaceae.org/Prunus/Prunus_persica/p.persica_gdr_reftransV1_0008545","p.persica_gdr_reftransV1_0008545")</f>
        <v>p.persica_gdr_reftransV1_0008545</v>
      </c>
      <c r="B3232" s="2">
        <v>1627</v>
      </c>
      <c r="C3232" s="4" t="str">
        <f>HYPERLINK("http://www.uniprot.org/uniprot/I7K8K8","I7K8K8")</f>
        <v>I7K8K8</v>
      </c>
      <c r="D3232" s="2" t="s">
        <v>1613</v>
      </c>
      <c r="E3232" s="3">
        <v>6.4600000000000003E-74</v>
      </c>
      <c r="F3232" s="2">
        <v>683</v>
      </c>
      <c r="G3232" s="2">
        <v>59</v>
      </c>
      <c r="H3232" s="2">
        <v>236</v>
      </c>
      <c r="I3232" s="2">
        <v>299</v>
      </c>
      <c r="J3232" s="2">
        <v>1006</v>
      </c>
      <c r="K3232" s="2">
        <v>1398</v>
      </c>
      <c r="L3232" s="2">
        <v>1632</v>
      </c>
    </row>
    <row r="3233" spans="1:12" x14ac:dyDescent="0.25">
      <c r="A3233" s="4" t="str">
        <f>HYPERLINK("http://www.rosaceae.org/Prunus/Prunus_persica/p.persica_gdr_reftransV1_0009595","p.persica_gdr_reftransV1_0009595")</f>
        <v>p.persica_gdr_reftransV1_0009595</v>
      </c>
      <c r="B3233" s="2">
        <v>1738</v>
      </c>
      <c r="C3233" s="4" t="str">
        <f>HYPERLINK("http://www.uniprot.org/uniprot/M5WVG9","M5WVG9")</f>
        <v>M5WVG9</v>
      </c>
      <c r="D3233" s="2" t="s">
        <v>3064</v>
      </c>
      <c r="E3233" s="3">
        <v>0</v>
      </c>
      <c r="F3233" s="2">
        <v>2237</v>
      </c>
      <c r="G3233" s="2">
        <v>100</v>
      </c>
      <c r="H3233" s="2">
        <v>449</v>
      </c>
      <c r="I3233" s="2">
        <v>240</v>
      </c>
      <c r="J3233" s="2">
        <v>1586</v>
      </c>
      <c r="K3233" s="2">
        <v>1</v>
      </c>
      <c r="L3233" s="2">
        <v>449</v>
      </c>
    </row>
    <row r="3234" spans="1:12" x14ac:dyDescent="0.25">
      <c r="A3234" s="4" t="str">
        <f>HYPERLINK("http://www.rosaceae.org/Prunus/Prunus_persica/p.persica_gdr_reftransV1_0012045","p.persica_gdr_reftransV1_0012045")</f>
        <v>p.persica_gdr_reftransV1_0012045</v>
      </c>
      <c r="B3234" s="2">
        <v>2472</v>
      </c>
      <c r="C3234" s="4" t="str">
        <f>HYPERLINK("http://www.uniprot.org/uniprot/M5X3U0","M5X3U0")</f>
        <v>M5X3U0</v>
      </c>
      <c r="D3234" s="2" t="s">
        <v>3065</v>
      </c>
      <c r="E3234" s="3">
        <v>0</v>
      </c>
      <c r="F3234" s="2">
        <v>2717</v>
      </c>
      <c r="G3234" s="2">
        <v>100</v>
      </c>
      <c r="H3234" s="2">
        <v>517</v>
      </c>
      <c r="I3234" s="2">
        <v>452</v>
      </c>
      <c r="J3234" s="2">
        <v>2002</v>
      </c>
      <c r="K3234" s="2">
        <v>25</v>
      </c>
      <c r="L3234" s="2">
        <v>541</v>
      </c>
    </row>
    <row r="3235" spans="1:12" x14ac:dyDescent="0.25">
      <c r="A3235" s="4" t="str">
        <f>HYPERLINK("http://www.rosaceae.org/Prunus/Prunus_persica/p.persica_gdr_reftransV1_0013095","p.persica_gdr_reftransV1_0013095")</f>
        <v>p.persica_gdr_reftransV1_0013095</v>
      </c>
      <c r="B3235" s="2">
        <v>4302</v>
      </c>
      <c r="C3235" s="4" t="str">
        <f>HYPERLINK("http://www.uniprot.org/uniprot/M5VVW7","M5VVW7")</f>
        <v>M5VVW7</v>
      </c>
      <c r="D3235" s="2" t="s">
        <v>3066</v>
      </c>
      <c r="E3235" s="3">
        <v>0</v>
      </c>
      <c r="F3235" s="2">
        <v>6227</v>
      </c>
      <c r="G3235" s="2">
        <v>100</v>
      </c>
      <c r="H3235" s="2">
        <v>1266</v>
      </c>
      <c r="I3235" s="2">
        <v>194</v>
      </c>
      <c r="J3235" s="2">
        <v>3991</v>
      </c>
      <c r="K3235" s="2">
        <v>1</v>
      </c>
      <c r="L3235" s="2">
        <v>1266</v>
      </c>
    </row>
    <row r="3236" spans="1:12" x14ac:dyDescent="0.25">
      <c r="A3236" s="4" t="str">
        <f>HYPERLINK("http://www.rosaceae.org/Prunus/Prunus_persica/p.persica_gdr_reftransV1_0013445","p.persica_gdr_reftransV1_0013445")</f>
        <v>p.persica_gdr_reftransV1_0013445</v>
      </c>
      <c r="B3236" s="2">
        <v>1964</v>
      </c>
      <c r="C3236" s="4" t="str">
        <f>HYPERLINK("http://www.uniprot.org/uniprot/M5Y0K4","M5Y0K4")</f>
        <v>M5Y0K4</v>
      </c>
      <c r="D3236" s="2" t="s">
        <v>3067</v>
      </c>
      <c r="E3236" s="3">
        <v>0</v>
      </c>
      <c r="F3236" s="2">
        <v>2251</v>
      </c>
      <c r="G3236" s="2">
        <v>92</v>
      </c>
      <c r="H3236" s="2">
        <v>460</v>
      </c>
      <c r="I3236" s="2">
        <v>308</v>
      </c>
      <c r="J3236" s="2">
        <v>1687</v>
      </c>
      <c r="K3236" s="2">
        <v>1</v>
      </c>
      <c r="L3236" s="2">
        <v>459</v>
      </c>
    </row>
    <row r="3237" spans="1:12" x14ac:dyDescent="0.25">
      <c r="A3237" s="4" t="str">
        <f>HYPERLINK("http://www.rosaceae.org/Prunus/Prunus_persica/p.persica_gdr_reftransV1_0013795","p.persica_gdr_reftransV1_0013795")</f>
        <v>p.persica_gdr_reftransV1_0013795</v>
      </c>
      <c r="B3237" s="2">
        <v>522</v>
      </c>
      <c r="C3237" s="4" t="str">
        <f>HYPERLINK("http://www.uniprot.org/uniprot/M5XSN5","M5XSN5")</f>
        <v>M5XSN5</v>
      </c>
      <c r="D3237" s="2" t="s">
        <v>3068</v>
      </c>
      <c r="E3237" s="3">
        <v>1.28E-105</v>
      </c>
      <c r="F3237" s="2">
        <v>862</v>
      </c>
      <c r="G3237" s="2">
        <v>99</v>
      </c>
      <c r="H3237" s="2">
        <v>173</v>
      </c>
      <c r="I3237" s="2">
        <v>2</v>
      </c>
      <c r="J3237" s="2">
        <v>520</v>
      </c>
      <c r="K3237" s="2">
        <v>806</v>
      </c>
      <c r="L3237" s="2">
        <v>978</v>
      </c>
    </row>
    <row r="3238" spans="1:12" x14ac:dyDescent="0.25">
      <c r="A3238" s="4" t="str">
        <f>HYPERLINK("http://www.rosaceae.org/Prunus/Prunus_persica/p.persica_gdr_reftransV1_0014145","p.persica_gdr_reftransV1_0014145")</f>
        <v>p.persica_gdr_reftransV1_0014145</v>
      </c>
      <c r="B3238" s="2">
        <v>1689</v>
      </c>
      <c r="C3238" s="4" t="str">
        <f>HYPERLINK("http://www.uniprot.org/uniprot/M5VLJ1","M5VLJ1")</f>
        <v>M5VLJ1</v>
      </c>
      <c r="D3238" s="2" t="s">
        <v>3069</v>
      </c>
      <c r="E3238" s="3">
        <v>0</v>
      </c>
      <c r="F3238" s="2">
        <v>2455</v>
      </c>
      <c r="G3238" s="2">
        <v>92</v>
      </c>
      <c r="H3238" s="2">
        <v>536</v>
      </c>
      <c r="I3238" s="2">
        <v>81</v>
      </c>
      <c r="J3238" s="2">
        <v>1688</v>
      </c>
      <c r="K3238" s="2">
        <v>493</v>
      </c>
      <c r="L3238" s="2">
        <v>993</v>
      </c>
    </row>
    <row r="3239" spans="1:12" x14ac:dyDescent="0.25">
      <c r="A3239" s="4" t="str">
        <f>HYPERLINK("http://www.rosaceae.org/Prunus/Prunus_persica/p.persica_gdr_reftransV1_0014495","p.persica_gdr_reftransV1_0014495")</f>
        <v>p.persica_gdr_reftransV1_0014495</v>
      </c>
      <c r="B3239" s="2">
        <v>4513</v>
      </c>
      <c r="C3239" s="4" t="str">
        <f>HYPERLINK("http://www.uniprot.org/uniprot/M5W757","M5W757")</f>
        <v>M5W757</v>
      </c>
      <c r="D3239" s="2" t="s">
        <v>3070</v>
      </c>
      <c r="E3239" s="3">
        <v>0</v>
      </c>
      <c r="F3239" s="2">
        <v>2693</v>
      </c>
      <c r="G3239" s="2">
        <v>95</v>
      </c>
      <c r="H3239" s="2">
        <v>566</v>
      </c>
      <c r="I3239" s="2">
        <v>632</v>
      </c>
      <c r="J3239" s="2">
        <v>2329</v>
      </c>
      <c r="K3239" s="2">
        <v>435</v>
      </c>
      <c r="L3239" s="2">
        <v>972</v>
      </c>
    </row>
    <row r="3240" spans="1:12" x14ac:dyDescent="0.25">
      <c r="A3240" s="4" t="str">
        <f>HYPERLINK("http://www.rosaceae.org/Prunus/Prunus_persica/p.persica_gdr_reftransV1_0014845","p.persica_gdr_reftransV1_0014845")</f>
        <v>p.persica_gdr_reftransV1_0014845</v>
      </c>
      <c r="B3240" s="2">
        <v>2990</v>
      </c>
      <c r="C3240" s="4" t="str">
        <f>HYPERLINK("http://www.uniprot.org/uniprot/M5X760","M5X760")</f>
        <v>M5X760</v>
      </c>
      <c r="D3240" s="2" t="s">
        <v>3071</v>
      </c>
      <c r="E3240" s="3">
        <v>3.0800000000000002E-161</v>
      </c>
      <c r="F3240" s="2">
        <v>1278</v>
      </c>
      <c r="G3240" s="2">
        <v>99</v>
      </c>
      <c r="H3240" s="2">
        <v>277</v>
      </c>
      <c r="I3240" s="2">
        <v>1527</v>
      </c>
      <c r="J3240" s="2">
        <v>2357</v>
      </c>
      <c r="K3240" s="2">
        <v>239</v>
      </c>
      <c r="L3240" s="2">
        <v>515</v>
      </c>
    </row>
    <row r="3241" spans="1:12" x14ac:dyDescent="0.25">
      <c r="A3241" s="4" t="str">
        <f>HYPERLINK("http://www.rosaceae.org/Prunus/Prunus_persica/p.persica_gdr_reftransV1_0015195","p.persica_gdr_reftransV1_0015195")</f>
        <v>p.persica_gdr_reftransV1_0015195</v>
      </c>
      <c r="B3241" s="2">
        <v>2340</v>
      </c>
      <c r="C3241" s="4" t="str">
        <f>HYPERLINK("http://www.uniprot.org/uniprot/M5X0X6","M5X0X6")</f>
        <v>M5X0X6</v>
      </c>
      <c r="D3241" s="2" t="s">
        <v>3072</v>
      </c>
      <c r="E3241" s="3">
        <v>0</v>
      </c>
      <c r="F3241" s="2">
        <v>1730</v>
      </c>
      <c r="G3241" s="2">
        <v>100</v>
      </c>
      <c r="H3241" s="2">
        <v>363</v>
      </c>
      <c r="I3241" s="2">
        <v>391</v>
      </c>
      <c r="J3241" s="2">
        <v>1479</v>
      </c>
      <c r="K3241" s="2">
        <v>120</v>
      </c>
      <c r="L3241" s="2">
        <v>482</v>
      </c>
    </row>
    <row r="3242" spans="1:12" x14ac:dyDescent="0.25">
      <c r="A3242" s="4" t="str">
        <f>HYPERLINK("http://www.rosaceae.org/Prunus/Prunus_persica/p.persica_gdr_reftransV1_0016245","p.persica_gdr_reftransV1_0016245")</f>
        <v>p.persica_gdr_reftransV1_0016245</v>
      </c>
      <c r="B3242" s="2">
        <v>1637</v>
      </c>
      <c r="C3242" s="4" t="str">
        <f>HYPERLINK("http://www.uniprot.org/uniprot/M5XHN6","M5XHN6")</f>
        <v>M5XHN6</v>
      </c>
      <c r="D3242" s="2" t="s">
        <v>3073</v>
      </c>
      <c r="E3242" s="3">
        <v>4.38E-88</v>
      </c>
      <c r="F3242" s="2">
        <v>714</v>
      </c>
      <c r="G3242" s="2">
        <v>100</v>
      </c>
      <c r="H3242" s="2">
        <v>136</v>
      </c>
      <c r="I3242" s="2">
        <v>725</v>
      </c>
      <c r="J3242" s="2">
        <v>1132</v>
      </c>
      <c r="K3242" s="2">
        <v>1</v>
      </c>
      <c r="L3242" s="2">
        <v>136</v>
      </c>
    </row>
    <row r="3243" spans="1:12" x14ac:dyDescent="0.25">
      <c r="A3243" s="4" t="str">
        <f>HYPERLINK("http://www.rosaceae.org/Prunus/Prunus_persica/p.persica_gdr_reftransV1_0017295","p.persica_gdr_reftransV1_0017295")</f>
        <v>p.persica_gdr_reftransV1_0017295</v>
      </c>
      <c r="B3243" s="2">
        <v>690</v>
      </c>
      <c r="C3243" s="4" t="str">
        <f>HYPERLINK("http://www.uniprot.org/uniprot/M5WZ95","M5WZ95")</f>
        <v>M5WZ95</v>
      </c>
      <c r="D3243" s="2" t="s">
        <v>3074</v>
      </c>
      <c r="E3243" s="3">
        <v>8.78E-62</v>
      </c>
      <c r="F3243" s="2">
        <v>510</v>
      </c>
      <c r="G3243" s="2">
        <v>100</v>
      </c>
      <c r="H3243" s="2">
        <v>127</v>
      </c>
      <c r="I3243" s="2">
        <v>245</v>
      </c>
      <c r="J3243" s="2">
        <v>625</v>
      </c>
      <c r="K3243" s="2">
        <v>1</v>
      </c>
      <c r="L3243" s="2">
        <v>127</v>
      </c>
    </row>
    <row r="3244" spans="1:12" x14ac:dyDescent="0.25">
      <c r="A3244" s="4" t="str">
        <f>HYPERLINK("http://www.rosaceae.org/Prunus/Prunus_persica/p.persica_gdr_reftransV1_0017645","p.persica_gdr_reftransV1_0017645")</f>
        <v>p.persica_gdr_reftransV1_0017645</v>
      </c>
      <c r="B3244" s="2">
        <v>703</v>
      </c>
      <c r="C3244" s="4" t="str">
        <f>HYPERLINK("http://www.uniprot.org/uniprot/M5WPK8","M5WPK8")</f>
        <v>M5WPK8</v>
      </c>
      <c r="D3244" s="2" t="s">
        <v>3075</v>
      </c>
      <c r="E3244" s="3">
        <v>4.3899999999999998E-72</v>
      </c>
      <c r="F3244" s="2">
        <v>581</v>
      </c>
      <c r="G3244" s="2">
        <v>100</v>
      </c>
      <c r="H3244" s="2">
        <v>124</v>
      </c>
      <c r="I3244" s="2">
        <v>262</v>
      </c>
      <c r="J3244" s="2">
        <v>633</v>
      </c>
      <c r="K3244" s="2">
        <v>1</v>
      </c>
      <c r="L3244" s="2">
        <v>124</v>
      </c>
    </row>
    <row r="3245" spans="1:12" x14ac:dyDescent="0.25">
      <c r="A3245" s="4" t="str">
        <f>HYPERLINK("http://www.rosaceae.org/Prunus/Prunus_persica/p.persica_gdr_reftransV1_0019045","p.persica_gdr_reftransV1_0019045")</f>
        <v>p.persica_gdr_reftransV1_0019045</v>
      </c>
      <c r="B3245" s="2">
        <v>893</v>
      </c>
      <c r="C3245" s="4" t="str">
        <f>HYPERLINK("http://www.uniprot.org/uniprot/M5VUV2","M5VUV2")</f>
        <v>M5VUV2</v>
      </c>
      <c r="D3245" s="2" t="s">
        <v>965</v>
      </c>
      <c r="E3245" s="3">
        <v>5.2799999999999998E-108</v>
      </c>
      <c r="F3245" s="2">
        <v>917</v>
      </c>
      <c r="G3245" s="2">
        <v>100</v>
      </c>
      <c r="H3245" s="2">
        <v>171</v>
      </c>
      <c r="I3245" s="2">
        <v>2</v>
      </c>
      <c r="J3245" s="2">
        <v>514</v>
      </c>
      <c r="K3245" s="2">
        <v>1</v>
      </c>
      <c r="L3245" s="2">
        <v>171</v>
      </c>
    </row>
    <row r="3246" spans="1:12" x14ac:dyDescent="0.25">
      <c r="A3246" s="4" t="str">
        <f>HYPERLINK("http://www.rosaceae.org/Prunus/Prunus_persica/p.persica_gdr_reftransV1_0019395","p.persica_gdr_reftransV1_0019395")</f>
        <v>p.persica_gdr_reftransV1_0019395</v>
      </c>
      <c r="B3246" s="2">
        <v>3267</v>
      </c>
      <c r="C3246" s="4" t="str">
        <f>HYPERLINK("http://www.uniprot.org/uniprot/M5WKY3","M5WKY3")</f>
        <v>M5WKY3</v>
      </c>
      <c r="D3246" s="2" t="s">
        <v>3076</v>
      </c>
      <c r="E3246" s="3">
        <v>0</v>
      </c>
      <c r="F3246" s="2">
        <v>1723</v>
      </c>
      <c r="G3246" s="2">
        <v>99</v>
      </c>
      <c r="H3246" s="2">
        <v>336</v>
      </c>
      <c r="I3246" s="2">
        <v>1426</v>
      </c>
      <c r="J3246" s="2">
        <v>2433</v>
      </c>
      <c r="K3246" s="2">
        <v>415</v>
      </c>
      <c r="L3246" s="2">
        <v>750</v>
      </c>
    </row>
    <row r="3247" spans="1:12" x14ac:dyDescent="0.25">
      <c r="A3247" s="4" t="str">
        <f>HYPERLINK("http://www.rosaceae.org/Prunus/Prunus_persica/p.persica_gdr_reftransV1_0020445","p.persica_gdr_reftransV1_0020445")</f>
        <v>p.persica_gdr_reftransV1_0020445</v>
      </c>
      <c r="B3247" s="2">
        <v>1109</v>
      </c>
      <c r="C3247" s="4" t="str">
        <f>HYPERLINK("http://www.uniprot.org/uniprot/M5Y0G2","M5Y0G2")</f>
        <v>M5Y0G2</v>
      </c>
      <c r="D3247" s="2" t="s">
        <v>3077</v>
      </c>
      <c r="E3247" s="3">
        <v>1.49E-136</v>
      </c>
      <c r="F3247" s="2">
        <v>1028</v>
      </c>
      <c r="G3247" s="2">
        <v>100</v>
      </c>
      <c r="H3247" s="2">
        <v>192</v>
      </c>
      <c r="I3247" s="2">
        <v>189</v>
      </c>
      <c r="J3247" s="2">
        <v>764</v>
      </c>
      <c r="K3247" s="2">
        <v>13</v>
      </c>
      <c r="L3247" s="2">
        <v>204</v>
      </c>
    </row>
    <row r="3248" spans="1:12" x14ac:dyDescent="0.25">
      <c r="A3248" s="4" t="str">
        <f>HYPERLINK("http://www.rosaceae.org/Prunus/Prunus_persica/p.persica_gdr_reftransV1_0020795","p.persica_gdr_reftransV1_0020795")</f>
        <v>p.persica_gdr_reftransV1_0020795</v>
      </c>
      <c r="B3248" s="2">
        <v>1274</v>
      </c>
      <c r="C3248" s="4" t="str">
        <f>HYPERLINK("http://www.uniprot.org/uniprot/D7U850","D7U850")</f>
        <v>D7U850</v>
      </c>
      <c r="D3248" s="2" t="s">
        <v>3078</v>
      </c>
      <c r="E3248" s="3">
        <v>6.4700000000000002E-70</v>
      </c>
      <c r="F3248" s="2">
        <v>372</v>
      </c>
      <c r="G3248" s="2">
        <v>73</v>
      </c>
      <c r="H3248" s="2">
        <v>90</v>
      </c>
      <c r="I3248" s="2">
        <v>63</v>
      </c>
      <c r="J3248" s="2">
        <v>332</v>
      </c>
      <c r="K3248" s="2">
        <v>1</v>
      </c>
      <c r="L3248" s="2">
        <v>90</v>
      </c>
    </row>
    <row r="3249" spans="1:12" x14ac:dyDescent="0.25">
      <c r="A3249" s="4" t="str">
        <f>HYPERLINK("http://www.rosaceae.org/Prunus/Prunus_persica/p.persica_gdr_reftransV1_0021845","p.persica_gdr_reftransV1_0021845")</f>
        <v>p.persica_gdr_reftransV1_0021845</v>
      </c>
      <c r="B3249" s="2">
        <v>2724</v>
      </c>
      <c r="C3249" s="4" t="str">
        <f>HYPERLINK("http://www.uniprot.org/uniprot/M5Y847","M5Y847")</f>
        <v>M5Y847</v>
      </c>
      <c r="D3249" s="2" t="s">
        <v>3079</v>
      </c>
      <c r="E3249" s="3">
        <v>0</v>
      </c>
      <c r="F3249" s="2">
        <v>3670</v>
      </c>
      <c r="G3249" s="2">
        <v>100</v>
      </c>
      <c r="H3249" s="2">
        <v>695</v>
      </c>
      <c r="I3249" s="2">
        <v>295</v>
      </c>
      <c r="J3249" s="2">
        <v>2379</v>
      </c>
      <c r="K3249" s="2">
        <v>1</v>
      </c>
      <c r="L3249" s="2">
        <v>695</v>
      </c>
    </row>
    <row r="3250" spans="1:12" x14ac:dyDescent="0.25">
      <c r="A3250" s="4" t="str">
        <f>HYPERLINK("http://www.rosaceae.org/Prunus/Prunus_persica/p.persica_gdr_reftransV1_0022545","p.persica_gdr_reftransV1_0022545")</f>
        <v>p.persica_gdr_reftransV1_0022545</v>
      </c>
      <c r="B3250" s="2">
        <v>2513</v>
      </c>
      <c r="C3250" s="4" t="str">
        <f>HYPERLINK("http://www.uniprot.org/uniprot/M5XZY7","M5XZY7")</f>
        <v>M5XZY7</v>
      </c>
      <c r="D3250" s="2" t="s">
        <v>995</v>
      </c>
      <c r="E3250" s="3">
        <v>1.3799999999999999E-44</v>
      </c>
      <c r="F3250" s="2">
        <v>424</v>
      </c>
      <c r="G3250" s="2">
        <v>98</v>
      </c>
      <c r="H3250" s="2">
        <v>92</v>
      </c>
      <c r="I3250" s="2">
        <v>1069</v>
      </c>
      <c r="J3250" s="2">
        <v>1344</v>
      </c>
      <c r="K3250" s="2">
        <v>6</v>
      </c>
      <c r="L3250" s="2">
        <v>97</v>
      </c>
    </row>
    <row r="3251" spans="1:12" x14ac:dyDescent="0.25">
      <c r="A3251" s="4" t="str">
        <f>HYPERLINK("http://www.rosaceae.org/Prunus/Prunus_persica/p.persica_gdr_reftransV1_0023595","p.persica_gdr_reftransV1_0023595")</f>
        <v>p.persica_gdr_reftransV1_0023595</v>
      </c>
      <c r="B3251" s="2">
        <v>1491</v>
      </c>
      <c r="C3251" s="4" t="str">
        <f>HYPERLINK("http://www.uniprot.org/uniprot/M5WFZ5","M5WFZ5")</f>
        <v>M5WFZ5</v>
      </c>
      <c r="D3251" s="2" t="s">
        <v>3080</v>
      </c>
      <c r="E3251" s="3">
        <v>0</v>
      </c>
      <c r="F3251" s="2">
        <v>1804</v>
      </c>
      <c r="G3251" s="2">
        <v>100</v>
      </c>
      <c r="H3251" s="2">
        <v>347</v>
      </c>
      <c r="I3251" s="2">
        <v>260</v>
      </c>
      <c r="J3251" s="2">
        <v>1300</v>
      </c>
      <c r="K3251" s="2">
        <v>1</v>
      </c>
      <c r="L3251" s="2">
        <v>347</v>
      </c>
    </row>
    <row r="3252" spans="1:12" x14ac:dyDescent="0.25">
      <c r="A3252" s="4" t="str">
        <f>HYPERLINK("http://www.rosaceae.org/Prunus/Prunus_persica/p.persica_gdr_reftransV1_0025345","p.persica_gdr_reftransV1_0025345")</f>
        <v>p.persica_gdr_reftransV1_0025345</v>
      </c>
      <c r="B3252" s="2">
        <v>1917</v>
      </c>
      <c r="C3252" s="4" t="str">
        <f>HYPERLINK("http://www.uniprot.org/uniprot/M5XHJ0","M5XHJ0")</f>
        <v>M5XHJ0</v>
      </c>
      <c r="D3252" s="2" t="s">
        <v>3081</v>
      </c>
      <c r="E3252" s="3">
        <v>6.4800000000000002E-119</v>
      </c>
      <c r="F3252" s="2">
        <v>946</v>
      </c>
      <c r="G3252" s="2">
        <v>100</v>
      </c>
      <c r="H3252" s="2">
        <v>173</v>
      </c>
      <c r="I3252" s="2">
        <v>1184</v>
      </c>
      <c r="J3252" s="2">
        <v>1702</v>
      </c>
      <c r="K3252" s="2">
        <v>151</v>
      </c>
      <c r="L3252" s="2">
        <v>323</v>
      </c>
    </row>
    <row r="3253" spans="1:12" x14ac:dyDescent="0.25">
      <c r="A3253" s="4" t="str">
        <f>HYPERLINK("http://www.rosaceae.org/Prunus/Prunus_persica/p.persica_gdr_reftransV1_0026395","p.persica_gdr_reftransV1_0026395")</f>
        <v>p.persica_gdr_reftransV1_0026395</v>
      </c>
      <c r="B3253" s="2">
        <v>3894</v>
      </c>
      <c r="C3253" s="4" t="str">
        <f>HYPERLINK("http://www.uniprot.org/uniprot/M5XY38","M5XY38")</f>
        <v>M5XY38</v>
      </c>
      <c r="D3253" s="2" t="s">
        <v>3082</v>
      </c>
      <c r="E3253" s="3">
        <v>0</v>
      </c>
      <c r="F3253" s="2">
        <v>5472</v>
      </c>
      <c r="G3253" s="2">
        <v>100</v>
      </c>
      <c r="H3253" s="2">
        <v>1066</v>
      </c>
      <c r="I3253" s="2">
        <v>209</v>
      </c>
      <c r="J3253" s="2">
        <v>3406</v>
      </c>
      <c r="K3253" s="2">
        <v>1</v>
      </c>
      <c r="L3253" s="2">
        <v>1066</v>
      </c>
    </row>
    <row r="3254" spans="1:12" x14ac:dyDescent="0.25">
      <c r="A3254" s="4" t="str">
        <f>HYPERLINK("http://www.rosaceae.org/Prunus/Prunus_persica/p.persica_gdr_reftransV1_0027445","p.persica_gdr_reftransV1_0027445")</f>
        <v>p.persica_gdr_reftransV1_0027445</v>
      </c>
      <c r="B3254" s="2">
        <v>2884</v>
      </c>
      <c r="C3254" s="4" t="str">
        <f>HYPERLINK("http://www.uniprot.org/uniprot/M5VK86","M5VK86")</f>
        <v>M5VK86</v>
      </c>
      <c r="D3254" s="2" t="s">
        <v>3083</v>
      </c>
      <c r="E3254" s="3">
        <v>0</v>
      </c>
      <c r="F3254" s="2">
        <v>2226</v>
      </c>
      <c r="G3254" s="2">
        <v>99</v>
      </c>
      <c r="H3254" s="2">
        <v>436</v>
      </c>
      <c r="I3254" s="2">
        <v>356</v>
      </c>
      <c r="J3254" s="2">
        <v>1663</v>
      </c>
      <c r="K3254" s="2">
        <v>1</v>
      </c>
      <c r="L3254" s="2">
        <v>436</v>
      </c>
    </row>
    <row r="3255" spans="1:12" x14ac:dyDescent="0.25">
      <c r="A3255" s="4" t="str">
        <f>HYPERLINK("http://www.rosaceae.org/Prunus/Prunus_persica/p.persica_gdr_reftransV1_0028495","p.persica_gdr_reftransV1_0028495")</f>
        <v>p.persica_gdr_reftransV1_0028495</v>
      </c>
      <c r="B3255" s="2">
        <v>3136</v>
      </c>
      <c r="C3255" s="4" t="str">
        <f>HYPERLINK("http://www.uniprot.org/uniprot/M5WHD2","M5WHD2")</f>
        <v>M5WHD2</v>
      </c>
      <c r="D3255" s="2" t="s">
        <v>3084</v>
      </c>
      <c r="E3255" s="3">
        <v>0</v>
      </c>
      <c r="F3255" s="2">
        <v>1829</v>
      </c>
      <c r="G3255" s="2">
        <v>89</v>
      </c>
      <c r="H3255" s="2">
        <v>397</v>
      </c>
      <c r="I3255" s="2">
        <v>1751</v>
      </c>
      <c r="J3255" s="2">
        <v>2941</v>
      </c>
      <c r="K3255" s="2">
        <v>1</v>
      </c>
      <c r="L3255" s="2">
        <v>360</v>
      </c>
    </row>
    <row r="3256" spans="1:12" x14ac:dyDescent="0.25">
      <c r="A3256" s="4" t="str">
        <f>HYPERLINK("http://www.rosaceae.org/Prunus/Prunus_persica/p.persica_gdr_reftransV1_0029895","p.persica_gdr_reftransV1_0029895")</f>
        <v>p.persica_gdr_reftransV1_0029895</v>
      </c>
      <c r="B3256" s="2">
        <v>3539</v>
      </c>
      <c r="C3256" s="4" t="str">
        <f>HYPERLINK("http://www.uniprot.org/uniprot/M5WYS8","M5WYS8")</f>
        <v>M5WYS8</v>
      </c>
      <c r="D3256" s="2" t="s">
        <v>3085</v>
      </c>
      <c r="E3256" s="3">
        <v>0</v>
      </c>
      <c r="F3256" s="2">
        <v>1882</v>
      </c>
      <c r="G3256" s="2">
        <v>90</v>
      </c>
      <c r="H3256" s="2">
        <v>455</v>
      </c>
      <c r="I3256" s="2">
        <v>1268</v>
      </c>
      <c r="J3256" s="2">
        <v>2632</v>
      </c>
      <c r="K3256" s="2">
        <v>1</v>
      </c>
      <c r="L3256" s="2">
        <v>427</v>
      </c>
    </row>
    <row r="3257" spans="1:12" x14ac:dyDescent="0.25">
      <c r="A3257" s="4" t="str">
        <f>HYPERLINK("http://www.rosaceae.org/Prunus/Prunus_persica/p.persica_gdr_reftransV1_0030945","p.persica_gdr_reftransV1_0030945")</f>
        <v>p.persica_gdr_reftransV1_0030945</v>
      </c>
      <c r="B3257" s="2">
        <v>434</v>
      </c>
      <c r="C3257" s="4" t="str">
        <f>HYPERLINK("http://www.uniprot.org/uniprot/M5WTI3","M5WTI3")</f>
        <v>M5WTI3</v>
      </c>
      <c r="D3257" s="2" t="s">
        <v>2510</v>
      </c>
      <c r="E3257" s="3">
        <v>1.4199999999999999E-44</v>
      </c>
      <c r="F3257" s="2">
        <v>406</v>
      </c>
      <c r="G3257" s="2">
        <v>100</v>
      </c>
      <c r="H3257" s="2">
        <v>105</v>
      </c>
      <c r="I3257" s="2">
        <v>2</v>
      </c>
      <c r="J3257" s="2">
        <v>316</v>
      </c>
      <c r="K3257" s="2">
        <v>278</v>
      </c>
      <c r="L3257" s="2">
        <v>382</v>
      </c>
    </row>
    <row r="3258" spans="1:12" x14ac:dyDescent="0.25">
      <c r="A3258" s="4" t="str">
        <f>HYPERLINK("http://www.rosaceae.org/Prunus/Prunus_persica/p.persica_gdr_reftransV1_0032345","p.persica_gdr_reftransV1_0032345")</f>
        <v>p.persica_gdr_reftransV1_0032345</v>
      </c>
      <c r="B3258" s="2">
        <v>1238</v>
      </c>
      <c r="C3258" s="4" t="str">
        <f>HYPERLINK("http://www.uniprot.org/uniprot/M5W8E2","M5W8E2")</f>
        <v>M5W8E2</v>
      </c>
      <c r="D3258" s="2" t="s">
        <v>3086</v>
      </c>
      <c r="E3258" s="3">
        <v>6.3500000000000002E-167</v>
      </c>
      <c r="F3258" s="2">
        <v>1239</v>
      </c>
      <c r="G3258" s="2">
        <v>100</v>
      </c>
      <c r="H3258" s="2">
        <v>246</v>
      </c>
      <c r="I3258" s="2">
        <v>501</v>
      </c>
      <c r="J3258" s="2">
        <v>1238</v>
      </c>
      <c r="K3258" s="2">
        <v>33</v>
      </c>
      <c r="L3258" s="2">
        <v>278</v>
      </c>
    </row>
    <row r="3259" spans="1:12" x14ac:dyDescent="0.25">
      <c r="A3259" s="4" t="str">
        <f>HYPERLINK("http://www.rosaceae.org/Prunus/Prunus_persica/p.persica_gdr_reftransV1_0035495","p.persica_gdr_reftransV1_0035495")</f>
        <v>p.persica_gdr_reftransV1_0035495</v>
      </c>
      <c r="B3259" s="2">
        <v>4597</v>
      </c>
      <c r="C3259" s="4" t="str">
        <f>HYPERLINK("http://www.uniprot.org/uniprot/M5W7B1","M5W7B1")</f>
        <v>M5W7B1</v>
      </c>
      <c r="D3259" s="2" t="s">
        <v>3087</v>
      </c>
      <c r="E3259" s="3">
        <v>0</v>
      </c>
      <c r="F3259" s="2">
        <v>6447</v>
      </c>
      <c r="G3259" s="2">
        <v>100</v>
      </c>
      <c r="H3259" s="2">
        <v>1298</v>
      </c>
      <c r="I3259" s="2">
        <v>490</v>
      </c>
      <c r="J3259" s="2">
        <v>4383</v>
      </c>
      <c r="K3259" s="2">
        <v>1</v>
      </c>
      <c r="L3259" s="2">
        <v>1298</v>
      </c>
    </row>
    <row r="3260" spans="1:12" x14ac:dyDescent="0.25">
      <c r="A3260" s="4" t="str">
        <f>HYPERLINK("http://www.rosaceae.org/Prunus/Prunus_persica/p.persica_gdr_reftransV1_0035845","p.persica_gdr_reftransV1_0035845")</f>
        <v>p.persica_gdr_reftransV1_0035845</v>
      </c>
      <c r="B3260" s="2">
        <v>3380</v>
      </c>
      <c r="C3260" s="4" t="str">
        <f>HYPERLINK("http://www.uniprot.org/uniprot/M5XBV0","M5XBV0")</f>
        <v>M5XBV0</v>
      </c>
      <c r="D3260" s="2" t="s">
        <v>3088</v>
      </c>
      <c r="E3260" s="3">
        <v>0</v>
      </c>
      <c r="F3260" s="2">
        <v>1451</v>
      </c>
      <c r="G3260" s="2">
        <v>98</v>
      </c>
      <c r="H3260" s="2">
        <v>294</v>
      </c>
      <c r="I3260" s="2">
        <v>1173</v>
      </c>
      <c r="J3260" s="2">
        <v>2054</v>
      </c>
      <c r="K3260" s="2">
        <v>65</v>
      </c>
      <c r="L3260" s="2">
        <v>358</v>
      </c>
    </row>
    <row r="3261" spans="1:12" x14ac:dyDescent="0.25">
      <c r="A3261" s="4" t="str">
        <f>HYPERLINK("http://www.rosaceae.org/Prunus/Prunus_persica/p.persica_gdr_reftransV1_0036895","p.persica_gdr_reftransV1_0036895")</f>
        <v>p.persica_gdr_reftransV1_0036895</v>
      </c>
      <c r="B3261" s="2">
        <v>1863</v>
      </c>
      <c r="C3261" s="4" t="str">
        <f>HYPERLINK("http://www.uniprot.org/uniprot/M5W2F9","M5W2F9")</f>
        <v>M5W2F9</v>
      </c>
      <c r="D3261" s="2" t="s">
        <v>3089</v>
      </c>
      <c r="E3261" s="3">
        <v>0</v>
      </c>
      <c r="F3261" s="2">
        <v>1582</v>
      </c>
      <c r="G3261" s="2">
        <v>96</v>
      </c>
      <c r="H3261" s="2">
        <v>322</v>
      </c>
      <c r="I3261" s="2">
        <v>450</v>
      </c>
      <c r="J3261" s="2">
        <v>1415</v>
      </c>
      <c r="K3261" s="2">
        <v>1</v>
      </c>
      <c r="L3261" s="2">
        <v>322</v>
      </c>
    </row>
    <row r="3262" spans="1:12" x14ac:dyDescent="0.25">
      <c r="A3262" s="4" t="str">
        <f>HYPERLINK("http://www.rosaceae.org/Prunus/Prunus_persica/p.persica_gdr_reftransV1_0038295","p.persica_gdr_reftransV1_0038295")</f>
        <v>p.persica_gdr_reftransV1_0038295</v>
      </c>
      <c r="B3262" s="2">
        <v>1608</v>
      </c>
      <c r="C3262" s="4" t="str">
        <f>HYPERLINK("http://www.uniprot.org/uniprot/M5W9U1","M5W9U1")</f>
        <v>M5W9U1</v>
      </c>
      <c r="D3262" s="2" t="s">
        <v>3090</v>
      </c>
      <c r="E3262" s="3">
        <v>0</v>
      </c>
      <c r="F3262" s="2">
        <v>1884</v>
      </c>
      <c r="G3262" s="2">
        <v>100</v>
      </c>
      <c r="H3262" s="2">
        <v>350</v>
      </c>
      <c r="I3262" s="2">
        <v>304</v>
      </c>
      <c r="J3262" s="2">
        <v>1353</v>
      </c>
      <c r="K3262" s="2">
        <v>1</v>
      </c>
      <c r="L3262" s="2">
        <v>350</v>
      </c>
    </row>
    <row r="3263" spans="1:12" x14ac:dyDescent="0.25">
      <c r="A3263" s="4" t="str">
        <f>HYPERLINK("http://www.rosaceae.org/Prunus/Prunus_persica/p.persica_gdr_reftransV1_0039695","p.persica_gdr_reftransV1_0039695")</f>
        <v>p.persica_gdr_reftransV1_0039695</v>
      </c>
      <c r="B3263" s="2">
        <v>1798</v>
      </c>
      <c r="C3263" s="4" t="str">
        <f>HYPERLINK("http://www.uniprot.org/uniprot/M5WV39","M5WV39")</f>
        <v>M5WV39</v>
      </c>
      <c r="D3263" s="2" t="s">
        <v>3091</v>
      </c>
      <c r="E3263" s="3">
        <v>0</v>
      </c>
      <c r="F3263" s="2">
        <v>2423</v>
      </c>
      <c r="G3263" s="2">
        <v>100</v>
      </c>
      <c r="H3263" s="2">
        <v>467</v>
      </c>
      <c r="I3263" s="2">
        <v>199</v>
      </c>
      <c r="J3263" s="2">
        <v>1599</v>
      </c>
      <c r="K3263" s="2">
        <v>69</v>
      </c>
      <c r="L3263" s="2">
        <v>535</v>
      </c>
    </row>
    <row r="3264" spans="1:12" x14ac:dyDescent="0.25">
      <c r="A3264" s="4" t="str">
        <f>HYPERLINK("http://www.rosaceae.org/Prunus/Prunus_persica/p.persica_gdr_reftransV1_0040395","p.persica_gdr_reftransV1_0040395")</f>
        <v>p.persica_gdr_reftransV1_0040395</v>
      </c>
      <c r="B3264" s="2">
        <v>1766</v>
      </c>
      <c r="C3264" s="4" t="str">
        <f>HYPERLINK("http://www.uniprot.org/uniprot/M5VQJ2","M5VQJ2")</f>
        <v>M5VQJ2</v>
      </c>
      <c r="D3264" s="2" t="s">
        <v>3092</v>
      </c>
      <c r="E3264" s="3">
        <v>0</v>
      </c>
      <c r="F3264" s="2">
        <v>2348</v>
      </c>
      <c r="G3264" s="2">
        <v>100</v>
      </c>
      <c r="H3264" s="2">
        <v>445</v>
      </c>
      <c r="I3264" s="2">
        <v>222</v>
      </c>
      <c r="J3264" s="2">
        <v>1556</v>
      </c>
      <c r="K3264" s="2">
        <v>1</v>
      </c>
      <c r="L3264" s="2">
        <v>445</v>
      </c>
    </row>
    <row r="3265" spans="1:12" x14ac:dyDescent="0.25">
      <c r="A3265" s="4" t="str">
        <f>HYPERLINK("http://www.rosaceae.org/Prunus/Prunus_persica/p.persica_gdr_reftransV1_0041795","p.persica_gdr_reftransV1_0041795")</f>
        <v>p.persica_gdr_reftransV1_0041795</v>
      </c>
      <c r="B3265" s="2">
        <v>3479</v>
      </c>
      <c r="C3265" s="4" t="str">
        <f>HYPERLINK("http://www.uniprot.org/uniprot/M5WDY4","M5WDY4")</f>
        <v>M5WDY4</v>
      </c>
      <c r="D3265" s="2" t="s">
        <v>3093</v>
      </c>
      <c r="E3265" s="3">
        <v>0</v>
      </c>
      <c r="F3265" s="2">
        <v>3232</v>
      </c>
      <c r="G3265" s="2">
        <v>100</v>
      </c>
      <c r="H3265" s="2">
        <v>604</v>
      </c>
      <c r="I3265" s="2">
        <v>1557</v>
      </c>
      <c r="J3265" s="2">
        <v>3368</v>
      </c>
      <c r="K3265" s="2">
        <v>1</v>
      </c>
      <c r="L3265" s="2">
        <v>604</v>
      </c>
    </row>
    <row r="3266" spans="1:12" x14ac:dyDescent="0.25">
      <c r="A3266" s="4" t="str">
        <f>HYPERLINK("http://www.rosaceae.org/Prunus/Prunus_persica/p.persica_gdr_reftransV1_0042145","p.persica_gdr_reftransV1_0042145")</f>
        <v>p.persica_gdr_reftransV1_0042145</v>
      </c>
      <c r="B3266" s="2">
        <v>1758</v>
      </c>
      <c r="C3266" s="4" t="str">
        <f>HYPERLINK("http://www.uniprot.org/uniprot/M5VPT0","M5VPT0")</f>
        <v>M5VPT0</v>
      </c>
      <c r="D3266" s="2" t="s">
        <v>3094</v>
      </c>
      <c r="E3266" s="3">
        <v>0</v>
      </c>
      <c r="F3266" s="2">
        <v>1955</v>
      </c>
      <c r="G3266" s="2">
        <v>100</v>
      </c>
      <c r="H3266" s="2">
        <v>410</v>
      </c>
      <c r="I3266" s="2">
        <v>139</v>
      </c>
      <c r="J3266" s="2">
        <v>1368</v>
      </c>
      <c r="K3266" s="2">
        <v>11</v>
      </c>
      <c r="L3266" s="2">
        <v>420</v>
      </c>
    </row>
    <row r="3267" spans="1:12" x14ac:dyDescent="0.25">
      <c r="A3267" s="4" t="str">
        <f>HYPERLINK("http://www.rosaceae.org/Prunus/Prunus_persica/p.persica_gdr_reftransV1_0043195","p.persica_gdr_reftransV1_0043195")</f>
        <v>p.persica_gdr_reftransV1_0043195</v>
      </c>
      <c r="B3267" s="2">
        <v>2300</v>
      </c>
      <c r="C3267" s="4" t="str">
        <f>HYPERLINK("http://www.uniprot.org/uniprot/M5VKY8","M5VKY8")</f>
        <v>M5VKY8</v>
      </c>
      <c r="D3267" s="2" t="s">
        <v>3095</v>
      </c>
      <c r="E3267" s="3">
        <v>0</v>
      </c>
      <c r="F3267" s="2">
        <v>2796</v>
      </c>
      <c r="G3267" s="2">
        <v>98</v>
      </c>
      <c r="H3267" s="2">
        <v>530</v>
      </c>
      <c r="I3267" s="2">
        <v>168</v>
      </c>
      <c r="J3267" s="2">
        <v>1757</v>
      </c>
      <c r="K3267" s="2">
        <v>1</v>
      </c>
      <c r="L3267" s="2">
        <v>530</v>
      </c>
    </row>
    <row r="3268" spans="1:12" x14ac:dyDescent="0.25">
      <c r="A3268" s="4" t="str">
        <f>HYPERLINK("http://www.rosaceae.org/Prunus/Prunus_persica/p.persica_gdr_reftransV1_0043545","p.persica_gdr_reftransV1_0043545")</f>
        <v>p.persica_gdr_reftransV1_0043545</v>
      </c>
      <c r="B3268" s="2">
        <v>333</v>
      </c>
      <c r="C3268" s="4" t="str">
        <f>HYPERLINK("http://www.uniprot.org/uniprot/M5VPJ6","M5VPJ6")</f>
        <v>M5VPJ6</v>
      </c>
      <c r="D3268" s="2" t="s">
        <v>1944</v>
      </c>
      <c r="E3268" s="3">
        <v>1.69E-52</v>
      </c>
      <c r="F3268" s="2">
        <v>467</v>
      </c>
      <c r="G3268" s="2">
        <v>100</v>
      </c>
      <c r="H3268" s="2">
        <v>111</v>
      </c>
      <c r="I3268" s="2">
        <v>1</v>
      </c>
      <c r="J3268" s="2">
        <v>333</v>
      </c>
      <c r="K3268" s="2">
        <v>251</v>
      </c>
      <c r="L3268" s="2">
        <v>361</v>
      </c>
    </row>
    <row r="3269" spans="1:12" x14ac:dyDescent="0.25">
      <c r="A3269" s="4" t="str">
        <f>HYPERLINK("http://www.rosaceae.org/Prunus/Prunus_persica/p.persica_gdr_reftransV1_0043895","p.persica_gdr_reftransV1_0043895")</f>
        <v>p.persica_gdr_reftransV1_0043895</v>
      </c>
      <c r="B3269" s="2">
        <v>536</v>
      </c>
      <c r="C3269" s="4" t="str">
        <f>HYPERLINK("http://www.uniprot.org/uniprot/M5XHQ0","M5XHQ0")</f>
        <v>M5XHQ0</v>
      </c>
      <c r="D3269" s="2" t="s">
        <v>3096</v>
      </c>
      <c r="E3269" s="3">
        <v>1.2799999999999999E-74</v>
      </c>
      <c r="F3269" s="2">
        <v>604</v>
      </c>
      <c r="G3269" s="2">
        <v>100</v>
      </c>
      <c r="H3269" s="2">
        <v>159</v>
      </c>
      <c r="I3269" s="2">
        <v>1</v>
      </c>
      <c r="J3269" s="2">
        <v>477</v>
      </c>
      <c r="K3269" s="2">
        <v>130</v>
      </c>
      <c r="L3269" s="2">
        <v>288</v>
      </c>
    </row>
    <row r="3270" spans="1:12" x14ac:dyDescent="0.25">
      <c r="A3270" s="4" t="str">
        <f>HYPERLINK("http://www.rosaceae.org/Prunus/Prunus_persica/p.persica_gdr_reftransV1_0044245","p.persica_gdr_reftransV1_0044245")</f>
        <v>p.persica_gdr_reftransV1_0044245</v>
      </c>
      <c r="B3270" s="2">
        <v>1577</v>
      </c>
      <c r="C3270" s="4" t="str">
        <f>HYPERLINK("http://www.uniprot.org/uniprot/M5VM64","M5VM64")</f>
        <v>M5VM64</v>
      </c>
      <c r="D3270" s="2" t="s">
        <v>3097</v>
      </c>
      <c r="E3270" s="3">
        <v>0</v>
      </c>
      <c r="F3270" s="2">
        <v>1680</v>
      </c>
      <c r="G3270" s="2">
        <v>100</v>
      </c>
      <c r="H3270" s="2">
        <v>399</v>
      </c>
      <c r="I3270" s="2">
        <v>227</v>
      </c>
      <c r="J3270" s="2">
        <v>1423</v>
      </c>
      <c r="K3270" s="2">
        <v>1</v>
      </c>
      <c r="L3270" s="2">
        <v>399</v>
      </c>
    </row>
    <row r="3271" spans="1:12" x14ac:dyDescent="0.25">
      <c r="A3271" s="4" t="str">
        <f>HYPERLINK("http://www.rosaceae.org/Prunus/Prunus_persica/p.persica_gdr_reftransV1_0044595","p.persica_gdr_reftransV1_0044595")</f>
        <v>p.persica_gdr_reftransV1_0044595</v>
      </c>
      <c r="B3271" s="2">
        <v>799</v>
      </c>
      <c r="C3271" s="4" t="str">
        <f>HYPERLINK("http://www.uniprot.org/uniprot/M5WK65","M5WK65")</f>
        <v>M5WK65</v>
      </c>
      <c r="D3271" s="2" t="s">
        <v>3098</v>
      </c>
      <c r="E3271" s="3">
        <v>8.9E-79</v>
      </c>
      <c r="F3271" s="2">
        <v>631</v>
      </c>
      <c r="G3271" s="2">
        <v>100</v>
      </c>
      <c r="H3271" s="2">
        <v>121</v>
      </c>
      <c r="I3271" s="2">
        <v>302</v>
      </c>
      <c r="J3271" s="2">
        <v>664</v>
      </c>
      <c r="K3271" s="2">
        <v>45</v>
      </c>
      <c r="L3271" s="2">
        <v>165</v>
      </c>
    </row>
    <row r="3272" spans="1:12" x14ac:dyDescent="0.25">
      <c r="A3272" s="4" t="str">
        <f>HYPERLINK("http://www.rosaceae.org/Prunus/Prunus_persica/p.persica_gdr_reftransV1_0044945","p.persica_gdr_reftransV1_0044945")</f>
        <v>p.persica_gdr_reftransV1_0044945</v>
      </c>
      <c r="B3272" s="2">
        <v>344</v>
      </c>
      <c r="C3272" s="4" t="str">
        <f>HYPERLINK("http://www.uniprot.org/uniprot/M5WYY2","M5WYY2")</f>
        <v>M5WYY2</v>
      </c>
      <c r="D3272" s="2" t="s">
        <v>3099</v>
      </c>
      <c r="E3272" s="3">
        <v>4.06E-72</v>
      </c>
      <c r="F3272" s="2">
        <v>601</v>
      </c>
      <c r="G3272" s="2">
        <v>100</v>
      </c>
      <c r="H3272" s="2">
        <v>114</v>
      </c>
      <c r="I3272" s="2">
        <v>1</v>
      </c>
      <c r="J3272" s="2">
        <v>342</v>
      </c>
      <c r="K3272" s="2">
        <v>116</v>
      </c>
      <c r="L3272" s="2">
        <v>229</v>
      </c>
    </row>
    <row r="3273" spans="1:12" x14ac:dyDescent="0.25">
      <c r="A3273" s="4" t="str">
        <f>HYPERLINK("http://www.rosaceae.org/Prunus/Prunus_persica/p.persica_gdr_reftransV1_0045295","p.persica_gdr_reftransV1_0045295")</f>
        <v>p.persica_gdr_reftransV1_0045295</v>
      </c>
      <c r="B3273" s="2">
        <v>465</v>
      </c>
      <c r="C3273" s="4" t="str">
        <f>HYPERLINK("http://www.uniprot.org/uniprot/M5WDF7","M5WDF7")</f>
        <v>M5WDF7</v>
      </c>
      <c r="D3273" s="2" t="s">
        <v>3100</v>
      </c>
      <c r="E3273" s="3">
        <v>2.0400000000000001E-94</v>
      </c>
      <c r="F3273" s="2">
        <v>743</v>
      </c>
      <c r="G3273" s="2">
        <v>97</v>
      </c>
      <c r="H3273" s="2">
        <v>142</v>
      </c>
      <c r="I3273" s="2">
        <v>1</v>
      </c>
      <c r="J3273" s="2">
        <v>426</v>
      </c>
      <c r="K3273" s="2">
        <v>115</v>
      </c>
      <c r="L3273" s="2">
        <v>256</v>
      </c>
    </row>
    <row r="3274" spans="1:12" x14ac:dyDescent="0.25">
      <c r="A3274" s="4" t="str">
        <f>HYPERLINK("http://www.rosaceae.org/Prunus/Prunus_persica/p.persica_gdr_reftransV1_0045645","p.persica_gdr_reftransV1_0045645")</f>
        <v>p.persica_gdr_reftransV1_0045645</v>
      </c>
      <c r="B3274" s="2">
        <v>2747</v>
      </c>
      <c r="C3274" s="4" t="str">
        <f>HYPERLINK("http://www.uniprot.org/uniprot/M5WUI8","M5WUI8")</f>
        <v>M5WUI8</v>
      </c>
      <c r="D3274" s="2" t="s">
        <v>3101</v>
      </c>
      <c r="E3274" s="3">
        <v>0</v>
      </c>
      <c r="F3274" s="2">
        <v>2731</v>
      </c>
      <c r="G3274" s="2">
        <v>100</v>
      </c>
      <c r="H3274" s="2">
        <v>524</v>
      </c>
      <c r="I3274" s="2">
        <v>340</v>
      </c>
      <c r="J3274" s="2">
        <v>1911</v>
      </c>
      <c r="K3274" s="2">
        <v>1</v>
      </c>
      <c r="L3274" s="2">
        <v>524</v>
      </c>
    </row>
    <row r="3275" spans="1:12" x14ac:dyDescent="0.25">
      <c r="A3275" s="4" t="str">
        <f>HYPERLINK("http://www.rosaceae.org/Prunus/Prunus_persica/p.persica_gdr_reftransV1_0045995","p.persica_gdr_reftransV1_0045995")</f>
        <v>p.persica_gdr_reftransV1_0045995</v>
      </c>
      <c r="B3275" s="2">
        <v>1055</v>
      </c>
      <c r="C3275" s="4" t="str">
        <f>HYPERLINK("http://www.uniprot.org/uniprot/A0A061G3I2","A0A061G3I2")</f>
        <v>A0A061G3I2</v>
      </c>
      <c r="D3275" s="2" t="s">
        <v>3102</v>
      </c>
      <c r="E3275" s="3">
        <v>1.46E-95</v>
      </c>
      <c r="F3275" s="2">
        <v>766</v>
      </c>
      <c r="G3275" s="2">
        <v>77</v>
      </c>
      <c r="H3275" s="2">
        <v>244</v>
      </c>
      <c r="I3275" s="2">
        <v>285</v>
      </c>
      <c r="J3275" s="2">
        <v>1016</v>
      </c>
      <c r="K3275" s="2">
        <v>95</v>
      </c>
      <c r="L3275" s="2">
        <v>338</v>
      </c>
    </row>
    <row r="3276" spans="1:12" x14ac:dyDescent="0.25">
      <c r="A3276" s="4" t="str">
        <f>HYPERLINK("http://www.rosaceae.org/Prunus/Prunus_persica/p.persica_gdr_reftransV1_0046345","p.persica_gdr_reftransV1_0046345")</f>
        <v>p.persica_gdr_reftransV1_0046345</v>
      </c>
      <c r="B3276" s="2">
        <v>1032</v>
      </c>
      <c r="C3276" s="4" t="str">
        <f>HYPERLINK("http://www.uniprot.org/uniprot/M5WCE3","M5WCE3")</f>
        <v>M5WCE3</v>
      </c>
      <c r="D3276" s="2" t="s">
        <v>3103</v>
      </c>
      <c r="E3276" s="3">
        <v>2.4400000000000002E-16</v>
      </c>
      <c r="F3276" s="2">
        <v>206</v>
      </c>
      <c r="G3276" s="2">
        <v>100</v>
      </c>
      <c r="H3276" s="2">
        <v>60</v>
      </c>
      <c r="I3276" s="2">
        <v>555</v>
      </c>
      <c r="J3276" s="2">
        <v>734</v>
      </c>
      <c r="K3276" s="2">
        <v>3</v>
      </c>
      <c r="L3276" s="2">
        <v>62</v>
      </c>
    </row>
    <row r="3277" spans="1:12" x14ac:dyDescent="0.25">
      <c r="A3277" s="4" t="str">
        <f>HYPERLINK("http://www.rosaceae.org/Prunus/Prunus_persica/p.persica_gdr_reftransV1_0046695","p.persica_gdr_reftransV1_0046695")</f>
        <v>p.persica_gdr_reftransV1_0046695</v>
      </c>
      <c r="B3277" s="2">
        <v>1064</v>
      </c>
      <c r="C3277" s="4" t="str">
        <f>HYPERLINK("http://www.uniprot.org/uniprot/M5WHI4","M5WHI4")</f>
        <v>M5WHI4</v>
      </c>
      <c r="D3277" s="2" t="s">
        <v>1632</v>
      </c>
      <c r="E3277" s="3">
        <v>2.5499999999999999E-151</v>
      </c>
      <c r="F3277" s="2">
        <v>1125</v>
      </c>
      <c r="G3277" s="2">
        <v>100</v>
      </c>
      <c r="H3277" s="2">
        <v>232</v>
      </c>
      <c r="I3277" s="2">
        <v>151</v>
      </c>
      <c r="J3277" s="2">
        <v>846</v>
      </c>
      <c r="K3277" s="2">
        <v>1</v>
      </c>
      <c r="L3277" s="2">
        <v>232</v>
      </c>
    </row>
    <row r="3278" spans="1:12" x14ac:dyDescent="0.25">
      <c r="A3278" s="4" t="str">
        <f>HYPERLINK("http://www.rosaceae.org/Prunus/Prunus_persica/p.persica_gdr_reftransV1_0047045","p.persica_gdr_reftransV1_0047045")</f>
        <v>p.persica_gdr_reftransV1_0047045</v>
      </c>
      <c r="B3278" s="2">
        <v>394</v>
      </c>
      <c r="C3278" s="4" t="str">
        <f>HYPERLINK("http://www.uniprot.org/uniprot/M5VTE1","M5VTE1")</f>
        <v>M5VTE1</v>
      </c>
      <c r="D3278" s="2" t="s">
        <v>3104</v>
      </c>
      <c r="E3278" s="3">
        <v>1.32E-52</v>
      </c>
      <c r="F3278" s="2">
        <v>453</v>
      </c>
      <c r="G3278" s="2">
        <v>100</v>
      </c>
      <c r="H3278" s="2">
        <v>108</v>
      </c>
      <c r="I3278" s="2">
        <v>71</v>
      </c>
      <c r="J3278" s="2">
        <v>394</v>
      </c>
      <c r="K3278" s="2">
        <v>191</v>
      </c>
      <c r="L3278" s="2">
        <v>298</v>
      </c>
    </row>
    <row r="3279" spans="1:12" x14ac:dyDescent="0.25">
      <c r="A3279" s="4" t="str">
        <f>HYPERLINK("http://www.rosaceae.org/Prunus/Prunus_persica/p.persica_gdr_reftransV1_0047395","p.persica_gdr_reftransV1_0047395")</f>
        <v>p.persica_gdr_reftransV1_0047395</v>
      </c>
      <c r="B3279" s="2">
        <v>571</v>
      </c>
      <c r="C3279" s="4" t="str">
        <f>HYPERLINK("http://www.uniprot.org/uniprot/M5WGF3","M5WGF3")</f>
        <v>M5WGF3</v>
      </c>
      <c r="D3279" s="2" t="s">
        <v>2122</v>
      </c>
      <c r="E3279" s="3">
        <v>7.1199999999999996E-84</v>
      </c>
      <c r="F3279" s="2">
        <v>711</v>
      </c>
      <c r="G3279" s="2">
        <v>100</v>
      </c>
      <c r="H3279" s="2">
        <v>190</v>
      </c>
      <c r="I3279" s="2">
        <v>2</v>
      </c>
      <c r="J3279" s="2">
        <v>571</v>
      </c>
      <c r="K3279" s="2">
        <v>156</v>
      </c>
      <c r="L3279" s="2">
        <v>345</v>
      </c>
    </row>
    <row r="3280" spans="1:12" x14ac:dyDescent="0.25">
      <c r="A3280" s="4" t="str">
        <f>HYPERLINK("http://www.rosaceae.org/Prunus/Prunus_persica/p.persica_gdr_reftransV1_0047745","p.persica_gdr_reftransV1_0047745")</f>
        <v>p.persica_gdr_reftransV1_0047745</v>
      </c>
      <c r="B3280" s="2">
        <v>3140</v>
      </c>
      <c r="C3280" s="4" t="str">
        <f>HYPERLINK("http://www.uniprot.org/uniprot/M5VSU7","M5VSU7")</f>
        <v>M5VSU7</v>
      </c>
      <c r="D3280" s="2" t="s">
        <v>3105</v>
      </c>
      <c r="E3280" s="3">
        <v>0</v>
      </c>
      <c r="F3280" s="2">
        <v>4143</v>
      </c>
      <c r="G3280" s="2">
        <v>100</v>
      </c>
      <c r="H3280" s="2">
        <v>821</v>
      </c>
      <c r="I3280" s="2">
        <v>233</v>
      </c>
      <c r="J3280" s="2">
        <v>2695</v>
      </c>
      <c r="K3280" s="2">
        <v>1</v>
      </c>
      <c r="L3280" s="2">
        <v>821</v>
      </c>
    </row>
    <row r="3281" spans="1:12" x14ac:dyDescent="0.25">
      <c r="A3281" s="4" t="str">
        <f>HYPERLINK("http://www.rosaceae.org/Prunus/Prunus_persica/p.persica_gdr_reftransV1_0048095","p.persica_gdr_reftransV1_0048095")</f>
        <v>p.persica_gdr_reftransV1_0048095</v>
      </c>
      <c r="B3281" s="2">
        <v>430</v>
      </c>
      <c r="C3281" s="4" t="str">
        <f>HYPERLINK("http://www.uniprot.org/uniprot/M5WNA8","M5WNA8")</f>
        <v>M5WNA8</v>
      </c>
      <c r="D3281" s="2" t="s">
        <v>3106</v>
      </c>
      <c r="E3281" s="3">
        <v>9.6999999999999995E-95</v>
      </c>
      <c r="F3281" s="2">
        <v>756</v>
      </c>
      <c r="G3281" s="2">
        <v>100</v>
      </c>
      <c r="H3281" s="2">
        <v>142</v>
      </c>
      <c r="I3281" s="2">
        <v>3</v>
      </c>
      <c r="J3281" s="2">
        <v>428</v>
      </c>
      <c r="K3281" s="2">
        <v>104</v>
      </c>
      <c r="L3281" s="2">
        <v>245</v>
      </c>
    </row>
    <row r="3282" spans="1:12" x14ac:dyDescent="0.25">
      <c r="A3282" s="4" t="str">
        <f>HYPERLINK("http://www.rosaceae.org/Prunus/Prunus_persica/p.persica_gdr_reftransV1_0048445","p.persica_gdr_reftransV1_0048445")</f>
        <v>p.persica_gdr_reftransV1_0048445</v>
      </c>
      <c r="B3282" s="2">
        <v>809</v>
      </c>
      <c r="C3282" s="4" t="str">
        <f>HYPERLINK("http://www.uniprot.org/uniprot/A0A097SRT9","A0A097SRT9")</f>
        <v>A0A097SRT9</v>
      </c>
      <c r="D3282" s="2" t="s">
        <v>3107</v>
      </c>
      <c r="E3282" s="3">
        <v>4.2E-135</v>
      </c>
      <c r="F3282" s="2">
        <v>1006</v>
      </c>
      <c r="G3282" s="2">
        <v>94</v>
      </c>
      <c r="H3282" s="2">
        <v>204</v>
      </c>
      <c r="I3282" s="2">
        <v>121</v>
      </c>
      <c r="J3282" s="2">
        <v>726</v>
      </c>
      <c r="K3282" s="2">
        <v>1</v>
      </c>
      <c r="L3282" s="2">
        <v>204</v>
      </c>
    </row>
    <row r="3283" spans="1:12" x14ac:dyDescent="0.25">
      <c r="A3283" s="4" t="str">
        <f>HYPERLINK("http://www.rosaceae.org/Prunus/Prunus_persica/p.persica_gdr_reftransV1_0048795","p.persica_gdr_reftransV1_0048795")</f>
        <v>p.persica_gdr_reftransV1_0048795</v>
      </c>
      <c r="B3283" s="2">
        <v>2640</v>
      </c>
      <c r="C3283" s="4" t="str">
        <f>HYPERLINK("http://www.uniprot.org/uniprot/M5X5Y3","M5X5Y3")</f>
        <v>M5X5Y3</v>
      </c>
      <c r="D3283" s="2" t="s">
        <v>1475</v>
      </c>
      <c r="E3283" s="3">
        <v>0</v>
      </c>
      <c r="F3283" s="2">
        <v>1684</v>
      </c>
      <c r="G3283" s="2">
        <v>92</v>
      </c>
      <c r="H3283" s="2">
        <v>362</v>
      </c>
      <c r="I3283" s="2">
        <v>241</v>
      </c>
      <c r="J3283" s="2">
        <v>1326</v>
      </c>
      <c r="K3283" s="2">
        <v>224</v>
      </c>
      <c r="L3283" s="2">
        <v>584</v>
      </c>
    </row>
    <row r="3284" spans="1:12" x14ac:dyDescent="0.25">
      <c r="A3284" s="4" t="str">
        <f>HYPERLINK("http://www.rosaceae.org/Prunus/Prunus_persica/p.persica_gdr_reftransV1_0049145","p.persica_gdr_reftransV1_0049145")</f>
        <v>p.persica_gdr_reftransV1_0049145</v>
      </c>
      <c r="B3284" s="2">
        <v>1703</v>
      </c>
      <c r="C3284" s="4" t="str">
        <f>HYPERLINK("http://www.uniprot.org/uniprot/M5X2J2","M5X2J2")</f>
        <v>M5X2J2</v>
      </c>
      <c r="D3284" s="2" t="s">
        <v>3108</v>
      </c>
      <c r="E3284" s="3">
        <v>0</v>
      </c>
      <c r="F3284" s="2">
        <v>2244</v>
      </c>
      <c r="G3284" s="2">
        <v>93</v>
      </c>
      <c r="H3284" s="2">
        <v>454</v>
      </c>
      <c r="I3284" s="2">
        <v>300</v>
      </c>
      <c r="J3284" s="2">
        <v>1661</v>
      </c>
      <c r="K3284" s="2">
        <v>32</v>
      </c>
      <c r="L3284" s="2">
        <v>474</v>
      </c>
    </row>
    <row r="3285" spans="1:12" x14ac:dyDescent="0.25">
      <c r="A3285" s="4" t="str">
        <f>HYPERLINK("http://www.rosaceae.org/Prunus/Prunus_persica/p.persica_gdr_reftransV1_0000146","p.persica_gdr_reftransV1_0000146")</f>
        <v>p.persica_gdr_reftransV1_0000146</v>
      </c>
      <c r="B3285" s="2">
        <v>1806</v>
      </c>
      <c r="C3285" s="4" t="str">
        <f>HYPERLINK("http://www.uniprot.org/uniprot/M5WB71","M5WB71")</f>
        <v>M5WB71</v>
      </c>
      <c r="D3285" s="2" t="s">
        <v>3109</v>
      </c>
      <c r="E3285" s="3">
        <v>0</v>
      </c>
      <c r="F3285" s="2">
        <v>1951</v>
      </c>
      <c r="G3285" s="2">
        <v>91</v>
      </c>
      <c r="H3285" s="2">
        <v>430</v>
      </c>
      <c r="I3285" s="2">
        <v>131</v>
      </c>
      <c r="J3285" s="2">
        <v>1420</v>
      </c>
      <c r="K3285" s="2">
        <v>1</v>
      </c>
      <c r="L3285" s="2">
        <v>393</v>
      </c>
    </row>
    <row r="3286" spans="1:12" x14ac:dyDescent="0.25">
      <c r="A3286" s="4" t="str">
        <f>HYPERLINK("http://www.rosaceae.org/Prunus/Prunus_persica/p.persica_gdr_reftransV1_0000496","p.persica_gdr_reftransV1_0000496")</f>
        <v>p.persica_gdr_reftransV1_0000496</v>
      </c>
      <c r="B3286" s="2">
        <v>858</v>
      </c>
      <c r="C3286" s="4" t="str">
        <f>HYPERLINK("http://www.uniprot.org/uniprot/M5XD90","M5XD90")</f>
        <v>M5XD90</v>
      </c>
      <c r="D3286" s="2" t="s">
        <v>3110</v>
      </c>
      <c r="E3286" s="3">
        <v>1.5200000000000001E-72</v>
      </c>
      <c r="F3286" s="2">
        <v>524</v>
      </c>
      <c r="G3286" s="2">
        <v>100</v>
      </c>
      <c r="H3286" s="2">
        <v>116</v>
      </c>
      <c r="I3286" s="2">
        <v>385</v>
      </c>
      <c r="J3286" s="2">
        <v>732</v>
      </c>
      <c r="K3286" s="2">
        <v>1</v>
      </c>
      <c r="L3286" s="2">
        <v>116</v>
      </c>
    </row>
    <row r="3287" spans="1:12" x14ac:dyDescent="0.25">
      <c r="A3287" s="4" t="str">
        <f>HYPERLINK("http://www.rosaceae.org/Prunus/Prunus_persica/p.persica_gdr_reftransV1_0000846","p.persica_gdr_reftransV1_0000846")</f>
        <v>p.persica_gdr_reftransV1_0000846</v>
      </c>
      <c r="B3287" s="2">
        <v>1005</v>
      </c>
      <c r="C3287" s="4" t="str">
        <f>HYPERLINK("http://www.uniprot.org/uniprot/M5W284","M5W284")</f>
        <v>M5W284</v>
      </c>
      <c r="D3287" s="2" t="s">
        <v>3111</v>
      </c>
      <c r="E3287" s="3">
        <v>4.2300000000000002E-180</v>
      </c>
      <c r="F3287" s="2">
        <v>1332</v>
      </c>
      <c r="G3287" s="2">
        <v>99</v>
      </c>
      <c r="H3287" s="2">
        <v>275</v>
      </c>
      <c r="I3287" s="2">
        <v>1</v>
      </c>
      <c r="J3287" s="2">
        <v>825</v>
      </c>
      <c r="K3287" s="2">
        <v>1</v>
      </c>
      <c r="L3287" s="2">
        <v>275</v>
      </c>
    </row>
    <row r="3288" spans="1:12" x14ac:dyDescent="0.25">
      <c r="A3288" s="4" t="str">
        <f>HYPERLINK("http://www.rosaceae.org/Prunus/Prunus_persica/p.persica_gdr_reftransV1_0001196","p.persica_gdr_reftransV1_0001196")</f>
        <v>p.persica_gdr_reftransV1_0001196</v>
      </c>
      <c r="B3288" s="2">
        <v>1357</v>
      </c>
      <c r="C3288" s="4" t="str">
        <f>HYPERLINK("http://www.uniprot.org/uniprot/M5WLV7","M5WLV7")</f>
        <v>M5WLV7</v>
      </c>
      <c r="D3288" s="2" t="s">
        <v>3112</v>
      </c>
      <c r="E3288" s="3">
        <v>0</v>
      </c>
      <c r="F3288" s="2">
        <v>2185</v>
      </c>
      <c r="G3288" s="2">
        <v>100</v>
      </c>
      <c r="H3288" s="2">
        <v>409</v>
      </c>
      <c r="I3288" s="2">
        <v>3</v>
      </c>
      <c r="J3288" s="2">
        <v>1229</v>
      </c>
      <c r="K3288" s="2">
        <v>168</v>
      </c>
      <c r="L3288" s="2">
        <v>576</v>
      </c>
    </row>
    <row r="3289" spans="1:12" x14ac:dyDescent="0.25">
      <c r="A3289" s="4" t="str">
        <f>HYPERLINK("http://www.rosaceae.org/Prunus/Prunus_persica/p.persica_gdr_reftransV1_0001896","p.persica_gdr_reftransV1_0001896")</f>
        <v>p.persica_gdr_reftransV1_0001896</v>
      </c>
      <c r="B3289" s="2">
        <v>367</v>
      </c>
      <c r="C3289" s="4" t="str">
        <f>HYPERLINK("http://www.uniprot.org/uniprot/M5W945","M5W945")</f>
        <v>M5W945</v>
      </c>
      <c r="D3289" s="2" t="s">
        <v>3113</v>
      </c>
      <c r="E3289" s="3">
        <v>4.9100000000000001E-80</v>
      </c>
      <c r="F3289" s="2">
        <v>652</v>
      </c>
      <c r="G3289" s="2">
        <v>100</v>
      </c>
      <c r="H3289" s="2">
        <v>121</v>
      </c>
      <c r="I3289" s="2">
        <v>3</v>
      </c>
      <c r="J3289" s="2">
        <v>365</v>
      </c>
      <c r="K3289" s="2">
        <v>31</v>
      </c>
      <c r="L3289" s="2">
        <v>151</v>
      </c>
    </row>
    <row r="3290" spans="1:12" x14ac:dyDescent="0.25">
      <c r="A3290" s="4" t="str">
        <f>HYPERLINK("http://www.rosaceae.org/Prunus/Prunus_persica/p.persica_gdr_reftransV1_0002246","p.persica_gdr_reftransV1_0002246")</f>
        <v>p.persica_gdr_reftransV1_0002246</v>
      </c>
      <c r="B3290" s="2">
        <v>2335</v>
      </c>
      <c r="C3290" s="4" t="str">
        <f>HYPERLINK("http://www.uniprot.org/uniprot/M5W1W6","M5W1W6")</f>
        <v>M5W1W6</v>
      </c>
      <c r="D3290" s="2" t="s">
        <v>3114</v>
      </c>
      <c r="E3290" s="3">
        <v>0</v>
      </c>
      <c r="F3290" s="2">
        <v>2310</v>
      </c>
      <c r="G3290" s="2">
        <v>100</v>
      </c>
      <c r="H3290" s="2">
        <v>478</v>
      </c>
      <c r="I3290" s="2">
        <v>377</v>
      </c>
      <c r="J3290" s="2">
        <v>1810</v>
      </c>
      <c r="K3290" s="2">
        <v>1</v>
      </c>
      <c r="L3290" s="2">
        <v>478</v>
      </c>
    </row>
    <row r="3291" spans="1:12" x14ac:dyDescent="0.25">
      <c r="A3291" s="4" t="str">
        <f>HYPERLINK("http://www.rosaceae.org/Prunus/Prunus_persica/p.persica_gdr_reftransV1_0002596","p.persica_gdr_reftransV1_0002596")</f>
        <v>p.persica_gdr_reftransV1_0002596</v>
      </c>
      <c r="B3291" s="2">
        <v>307</v>
      </c>
      <c r="C3291" s="4" t="str">
        <f>HYPERLINK("http://www.uniprot.org/uniprot/M5Y7A3","M5Y7A3")</f>
        <v>M5Y7A3</v>
      </c>
      <c r="D3291" s="2" t="s">
        <v>3115</v>
      </c>
      <c r="E3291" s="3">
        <v>1.2900000000000001E-43</v>
      </c>
      <c r="F3291" s="2">
        <v>399</v>
      </c>
      <c r="G3291" s="2">
        <v>79</v>
      </c>
      <c r="H3291" s="2">
        <v>99</v>
      </c>
      <c r="I3291" s="2">
        <v>7</v>
      </c>
      <c r="J3291" s="2">
        <v>303</v>
      </c>
      <c r="K3291" s="2">
        <v>299</v>
      </c>
      <c r="L3291" s="2">
        <v>397</v>
      </c>
    </row>
    <row r="3292" spans="1:12" x14ac:dyDescent="0.25">
      <c r="A3292" s="4" t="str">
        <f>HYPERLINK("http://www.rosaceae.org/Prunus/Prunus_persica/p.persica_gdr_reftransV1_0003296","p.persica_gdr_reftransV1_0003296")</f>
        <v>p.persica_gdr_reftransV1_0003296</v>
      </c>
      <c r="B3292" s="2">
        <v>554</v>
      </c>
      <c r="C3292" s="4" t="str">
        <f>HYPERLINK("http://www.uniprot.org/uniprot/Q67BD2","Q67BD2")</f>
        <v>Q67BD2</v>
      </c>
      <c r="D3292" s="2" t="s">
        <v>3116</v>
      </c>
      <c r="E3292" s="3">
        <v>1.15E-111</v>
      </c>
      <c r="F3292" s="2">
        <v>881</v>
      </c>
      <c r="G3292" s="2">
        <v>99</v>
      </c>
      <c r="H3292" s="2">
        <v>184</v>
      </c>
      <c r="I3292" s="2">
        <v>3</v>
      </c>
      <c r="J3292" s="2">
        <v>554</v>
      </c>
      <c r="K3292" s="2">
        <v>374</v>
      </c>
      <c r="L3292" s="2">
        <v>557</v>
      </c>
    </row>
    <row r="3293" spans="1:12" x14ac:dyDescent="0.25">
      <c r="A3293" s="4" t="str">
        <f>HYPERLINK("http://www.rosaceae.org/Prunus/Prunus_persica/p.persica_gdr_reftransV1_0003646","p.persica_gdr_reftransV1_0003646")</f>
        <v>p.persica_gdr_reftransV1_0003646</v>
      </c>
      <c r="B3293" s="2">
        <v>1486</v>
      </c>
      <c r="C3293" s="4" t="str">
        <f>HYPERLINK("http://www.uniprot.org/uniprot/M5WB51","M5WB51")</f>
        <v>M5WB51</v>
      </c>
      <c r="D3293" s="2" t="s">
        <v>3117</v>
      </c>
      <c r="E3293" s="3">
        <v>0</v>
      </c>
      <c r="F3293" s="2">
        <v>2045</v>
      </c>
      <c r="G3293" s="2">
        <v>100</v>
      </c>
      <c r="H3293" s="2">
        <v>401</v>
      </c>
      <c r="I3293" s="2">
        <v>219</v>
      </c>
      <c r="J3293" s="2">
        <v>1421</v>
      </c>
      <c r="K3293" s="2">
        <v>1</v>
      </c>
      <c r="L3293" s="2">
        <v>401</v>
      </c>
    </row>
    <row r="3294" spans="1:12" x14ac:dyDescent="0.25">
      <c r="A3294" s="4" t="str">
        <f>HYPERLINK("http://www.rosaceae.org/Prunus/Prunus_persica/p.persica_gdr_reftransV1_0004346","p.persica_gdr_reftransV1_0004346")</f>
        <v>p.persica_gdr_reftransV1_0004346</v>
      </c>
      <c r="B3294" s="2">
        <v>2315</v>
      </c>
      <c r="C3294" s="4" t="str">
        <f>HYPERLINK("http://www.uniprot.org/uniprot/M5VUM6","M5VUM6")</f>
        <v>M5VUM6</v>
      </c>
      <c r="D3294" s="2" t="s">
        <v>3118</v>
      </c>
      <c r="E3294" s="3">
        <v>0</v>
      </c>
      <c r="F3294" s="2">
        <v>1877</v>
      </c>
      <c r="G3294" s="2">
        <v>100</v>
      </c>
      <c r="H3294" s="2">
        <v>401</v>
      </c>
      <c r="I3294" s="2">
        <v>896</v>
      </c>
      <c r="J3294" s="2">
        <v>2098</v>
      </c>
      <c r="K3294" s="2">
        <v>1</v>
      </c>
      <c r="L3294" s="2">
        <v>401</v>
      </c>
    </row>
    <row r="3295" spans="1:12" x14ac:dyDescent="0.25">
      <c r="A3295" s="4" t="str">
        <f>HYPERLINK("http://www.rosaceae.org/Prunus/Prunus_persica/p.persica_gdr_reftransV1_0004696","p.persica_gdr_reftransV1_0004696")</f>
        <v>p.persica_gdr_reftransV1_0004696</v>
      </c>
      <c r="B3295" s="2">
        <v>810</v>
      </c>
      <c r="C3295" s="4" t="str">
        <f>HYPERLINK("http://www.uniprot.org/uniprot/M5WFT5","M5WFT5")</f>
        <v>M5WFT5</v>
      </c>
      <c r="D3295" s="2" t="s">
        <v>3119</v>
      </c>
      <c r="E3295" s="3">
        <v>1.5799999999999999E-108</v>
      </c>
      <c r="F3295" s="2">
        <v>890</v>
      </c>
      <c r="G3295" s="2">
        <v>100</v>
      </c>
      <c r="H3295" s="2">
        <v>230</v>
      </c>
      <c r="I3295" s="2">
        <v>2</v>
      </c>
      <c r="J3295" s="2">
        <v>691</v>
      </c>
      <c r="K3295" s="2">
        <v>30</v>
      </c>
      <c r="L3295" s="2">
        <v>259</v>
      </c>
    </row>
    <row r="3296" spans="1:12" x14ac:dyDescent="0.25">
      <c r="A3296" s="4" t="str">
        <f>HYPERLINK("http://www.rosaceae.org/Prunus/Prunus_persica/p.persica_gdr_reftransV1_0005046","p.persica_gdr_reftransV1_0005046")</f>
        <v>p.persica_gdr_reftransV1_0005046</v>
      </c>
      <c r="B3296" s="2">
        <v>4037</v>
      </c>
      <c r="C3296" s="4" t="str">
        <f>HYPERLINK("http://www.uniprot.org/uniprot/M5VSU6","M5VSU6")</f>
        <v>M5VSU6</v>
      </c>
      <c r="D3296" s="2" t="s">
        <v>3120</v>
      </c>
      <c r="E3296" s="3">
        <v>0</v>
      </c>
      <c r="F3296" s="2">
        <v>5682</v>
      </c>
      <c r="G3296" s="2">
        <v>100</v>
      </c>
      <c r="H3296" s="2">
        <v>1107</v>
      </c>
      <c r="I3296" s="2">
        <v>568</v>
      </c>
      <c r="J3296" s="2">
        <v>3888</v>
      </c>
      <c r="K3296" s="2">
        <v>3</v>
      </c>
      <c r="L3296" s="2">
        <v>1109</v>
      </c>
    </row>
    <row r="3297" spans="1:12" x14ac:dyDescent="0.25">
      <c r="A3297" s="4" t="str">
        <f>HYPERLINK("http://www.rosaceae.org/Prunus/Prunus_persica/p.persica_gdr_reftransV1_0007146","p.persica_gdr_reftransV1_0007146")</f>
        <v>p.persica_gdr_reftransV1_0007146</v>
      </c>
      <c r="B3297" s="2">
        <v>1656</v>
      </c>
      <c r="C3297" s="4" t="str">
        <f>HYPERLINK("http://www.uniprot.org/uniprot/M5WN73","M5WN73")</f>
        <v>M5WN73</v>
      </c>
      <c r="D3297" s="2" t="s">
        <v>3121</v>
      </c>
      <c r="E3297" s="3">
        <v>2.0200000000000001E-144</v>
      </c>
      <c r="F3297" s="2">
        <v>1100</v>
      </c>
      <c r="G3297" s="2">
        <v>100</v>
      </c>
      <c r="H3297" s="2">
        <v>239</v>
      </c>
      <c r="I3297" s="2">
        <v>311</v>
      </c>
      <c r="J3297" s="2">
        <v>1027</v>
      </c>
      <c r="K3297" s="2">
        <v>1</v>
      </c>
      <c r="L3297" s="2">
        <v>239</v>
      </c>
    </row>
    <row r="3298" spans="1:12" x14ac:dyDescent="0.25">
      <c r="A3298" s="4" t="str">
        <f>HYPERLINK("http://www.rosaceae.org/Prunus/Prunus_persica/p.persica_gdr_reftransV1_0007496","p.persica_gdr_reftransV1_0007496")</f>
        <v>p.persica_gdr_reftransV1_0007496</v>
      </c>
      <c r="B3298" s="2">
        <v>1019</v>
      </c>
      <c r="C3298" s="4" t="str">
        <f>HYPERLINK("http://www.uniprot.org/uniprot/M5XHF2","M5XHF2")</f>
        <v>M5XHF2</v>
      </c>
      <c r="D3298" s="2" t="s">
        <v>3122</v>
      </c>
      <c r="E3298" s="3">
        <v>1.1500000000000001E-176</v>
      </c>
      <c r="F3298" s="2">
        <v>1292</v>
      </c>
      <c r="G3298" s="2">
        <v>100</v>
      </c>
      <c r="H3298" s="2">
        <v>250</v>
      </c>
      <c r="I3298" s="2">
        <v>48</v>
      </c>
      <c r="J3298" s="2">
        <v>797</v>
      </c>
      <c r="K3298" s="2">
        <v>1</v>
      </c>
      <c r="L3298" s="2">
        <v>250</v>
      </c>
    </row>
    <row r="3299" spans="1:12" x14ac:dyDescent="0.25">
      <c r="A3299" s="4" t="str">
        <f>HYPERLINK("http://www.rosaceae.org/Prunus/Prunus_persica/p.persica_gdr_reftransV1_0009246","p.persica_gdr_reftransV1_0009246")</f>
        <v>p.persica_gdr_reftransV1_0009246</v>
      </c>
      <c r="B3299" s="2">
        <v>638</v>
      </c>
      <c r="C3299" s="4" t="str">
        <f>HYPERLINK("http://www.uniprot.org/uniprot/M5X2S1","M5X2S1")</f>
        <v>M5X2S1</v>
      </c>
      <c r="D3299" s="2" t="s">
        <v>3123</v>
      </c>
      <c r="E3299" s="3">
        <v>7.3699999999999998E-45</v>
      </c>
      <c r="F3299" s="2">
        <v>396</v>
      </c>
      <c r="G3299" s="2">
        <v>100</v>
      </c>
      <c r="H3299" s="2">
        <v>131</v>
      </c>
      <c r="I3299" s="2">
        <v>178</v>
      </c>
      <c r="J3299" s="2">
        <v>570</v>
      </c>
      <c r="K3299" s="2">
        <v>1</v>
      </c>
      <c r="L3299" s="2">
        <v>131</v>
      </c>
    </row>
    <row r="3300" spans="1:12" x14ac:dyDescent="0.25">
      <c r="A3300" s="4" t="str">
        <f>HYPERLINK("http://www.rosaceae.org/Prunus/Prunus_persica/p.persica_gdr_reftransV1_0010296","p.persica_gdr_reftransV1_0010296")</f>
        <v>p.persica_gdr_reftransV1_0010296</v>
      </c>
      <c r="B3300" s="2">
        <v>1160</v>
      </c>
      <c r="C3300" s="4" t="str">
        <f>HYPERLINK("http://www.uniprot.org/uniprot/M5VXV3","M5VXV3")</f>
        <v>M5VXV3</v>
      </c>
      <c r="D3300" s="2" t="s">
        <v>3124</v>
      </c>
      <c r="E3300" s="3">
        <v>2.3099999999999998E-92</v>
      </c>
      <c r="F3300" s="2">
        <v>703</v>
      </c>
      <c r="G3300" s="2">
        <v>100</v>
      </c>
      <c r="H3300" s="2">
        <v>164</v>
      </c>
      <c r="I3300" s="2">
        <v>65</v>
      </c>
      <c r="J3300" s="2">
        <v>556</v>
      </c>
      <c r="K3300" s="2">
        <v>1</v>
      </c>
      <c r="L3300" s="2">
        <v>164</v>
      </c>
    </row>
    <row r="3301" spans="1:12" x14ac:dyDescent="0.25">
      <c r="A3301" s="4" t="str">
        <f>HYPERLINK("http://www.rosaceae.org/Prunus/Prunus_persica/p.persica_gdr_reftransV1_0010646","p.persica_gdr_reftransV1_0010646")</f>
        <v>p.persica_gdr_reftransV1_0010646</v>
      </c>
      <c r="B3301" s="2">
        <v>1806</v>
      </c>
      <c r="C3301" s="4" t="str">
        <f>HYPERLINK("http://www.uniprot.org/uniprot/M5W9N0","M5W9N0")</f>
        <v>M5W9N0</v>
      </c>
      <c r="D3301" s="2" t="s">
        <v>3125</v>
      </c>
      <c r="E3301" s="3">
        <v>2.6600000000000002E-161</v>
      </c>
      <c r="F3301" s="2">
        <v>1223</v>
      </c>
      <c r="G3301" s="2">
        <v>100</v>
      </c>
      <c r="H3301" s="2">
        <v>306</v>
      </c>
      <c r="I3301" s="2">
        <v>417</v>
      </c>
      <c r="J3301" s="2">
        <v>1334</v>
      </c>
      <c r="K3301" s="2">
        <v>1</v>
      </c>
      <c r="L3301" s="2">
        <v>306</v>
      </c>
    </row>
    <row r="3302" spans="1:12" x14ac:dyDescent="0.25">
      <c r="A3302" s="4" t="str">
        <f>HYPERLINK("http://www.rosaceae.org/Prunus/Prunus_persica/p.persica_gdr_reftransV1_0010996","p.persica_gdr_reftransV1_0010996")</f>
        <v>p.persica_gdr_reftransV1_0010996</v>
      </c>
      <c r="B3302" s="2">
        <v>1799</v>
      </c>
      <c r="C3302" s="4" t="str">
        <f>HYPERLINK("http://www.uniprot.org/uniprot/M5XEY6","M5XEY6")</f>
        <v>M5XEY6</v>
      </c>
      <c r="D3302" s="2" t="s">
        <v>3126</v>
      </c>
      <c r="E3302" s="3">
        <v>7.9900000000000002E-87</v>
      </c>
      <c r="F3302" s="2">
        <v>723</v>
      </c>
      <c r="G3302" s="2">
        <v>100</v>
      </c>
      <c r="H3302" s="2">
        <v>156</v>
      </c>
      <c r="I3302" s="2">
        <v>891</v>
      </c>
      <c r="J3302" s="2">
        <v>1358</v>
      </c>
      <c r="K3302" s="2">
        <v>1</v>
      </c>
      <c r="L3302" s="2">
        <v>156</v>
      </c>
    </row>
    <row r="3303" spans="1:12" x14ac:dyDescent="0.25">
      <c r="A3303" s="4" t="str">
        <f>HYPERLINK("http://www.rosaceae.org/Prunus/Prunus_persica/p.persica_gdr_reftransV1_0011696","p.persica_gdr_reftransV1_0011696")</f>
        <v>p.persica_gdr_reftransV1_0011696</v>
      </c>
      <c r="B3303" s="2">
        <v>921</v>
      </c>
      <c r="C3303" s="4" t="str">
        <f>HYPERLINK("http://www.uniprot.org/uniprot/M5W1X6","M5W1X6")</f>
        <v>M5W1X6</v>
      </c>
      <c r="D3303" s="2" t="s">
        <v>3127</v>
      </c>
      <c r="E3303" s="3">
        <v>6.1200000000000006E-126</v>
      </c>
      <c r="F3303" s="2">
        <v>963</v>
      </c>
      <c r="G3303" s="2">
        <v>100</v>
      </c>
      <c r="H3303" s="2">
        <v>196</v>
      </c>
      <c r="I3303" s="2">
        <v>333</v>
      </c>
      <c r="J3303" s="2">
        <v>920</v>
      </c>
      <c r="K3303" s="2">
        <v>143</v>
      </c>
      <c r="L3303" s="2">
        <v>338</v>
      </c>
    </row>
    <row r="3304" spans="1:12" x14ac:dyDescent="0.25">
      <c r="A3304" s="4" t="str">
        <f>HYPERLINK("http://www.rosaceae.org/Prunus/Prunus_persica/p.persica_gdr_reftransV1_0013096","p.persica_gdr_reftransV1_0013096")</f>
        <v>p.persica_gdr_reftransV1_0013096</v>
      </c>
      <c r="B3304" s="2">
        <v>1745</v>
      </c>
      <c r="C3304" s="4" t="str">
        <f>HYPERLINK("http://www.uniprot.org/uniprot/M5WTF2","M5WTF2")</f>
        <v>M5WTF2</v>
      </c>
      <c r="D3304" s="2" t="s">
        <v>3128</v>
      </c>
      <c r="E3304" s="3">
        <v>0</v>
      </c>
      <c r="F3304" s="2">
        <v>2931</v>
      </c>
      <c r="G3304" s="2">
        <v>100</v>
      </c>
      <c r="H3304" s="2">
        <v>577</v>
      </c>
      <c r="I3304" s="2">
        <v>14</v>
      </c>
      <c r="J3304" s="2">
        <v>1744</v>
      </c>
      <c r="K3304" s="2">
        <v>1</v>
      </c>
      <c r="L3304" s="2">
        <v>577</v>
      </c>
    </row>
    <row r="3305" spans="1:12" x14ac:dyDescent="0.25">
      <c r="A3305" s="4" t="str">
        <f>HYPERLINK("http://www.rosaceae.org/Prunus/Prunus_persica/p.persica_gdr_reftransV1_0014146","p.persica_gdr_reftransV1_0014146")</f>
        <v>p.persica_gdr_reftransV1_0014146</v>
      </c>
      <c r="B3305" s="2">
        <v>2603</v>
      </c>
      <c r="C3305" s="4" t="str">
        <f>HYPERLINK("http://www.uniprot.org/uniprot/M5VX92","M5VX92")</f>
        <v>M5VX92</v>
      </c>
      <c r="D3305" s="2" t="s">
        <v>3129</v>
      </c>
      <c r="E3305" s="3">
        <v>0</v>
      </c>
      <c r="F3305" s="2">
        <v>2777</v>
      </c>
      <c r="G3305" s="2">
        <v>89</v>
      </c>
      <c r="H3305" s="2">
        <v>595</v>
      </c>
      <c r="I3305" s="2">
        <v>224</v>
      </c>
      <c r="J3305" s="2">
        <v>2008</v>
      </c>
      <c r="K3305" s="2">
        <v>1</v>
      </c>
      <c r="L3305" s="2">
        <v>532</v>
      </c>
    </row>
    <row r="3306" spans="1:12" x14ac:dyDescent="0.25">
      <c r="A3306" s="4" t="str">
        <f>HYPERLINK("http://www.rosaceae.org/Prunus/Prunus_persica/p.persica_gdr_reftransV1_0014496","p.persica_gdr_reftransV1_0014496")</f>
        <v>p.persica_gdr_reftransV1_0014496</v>
      </c>
      <c r="B3306" s="2">
        <v>834</v>
      </c>
      <c r="C3306" s="4" t="str">
        <f>HYPERLINK("http://www.uniprot.org/uniprot/M5W4M5","M5W4M5")</f>
        <v>M5W4M5</v>
      </c>
      <c r="D3306" s="2" t="s">
        <v>3130</v>
      </c>
      <c r="E3306" s="3">
        <v>1.64E-71</v>
      </c>
      <c r="F3306" s="2">
        <v>578</v>
      </c>
      <c r="G3306" s="2">
        <v>100</v>
      </c>
      <c r="H3306" s="2">
        <v>112</v>
      </c>
      <c r="I3306" s="2">
        <v>218</v>
      </c>
      <c r="J3306" s="2">
        <v>553</v>
      </c>
      <c r="K3306" s="2">
        <v>1</v>
      </c>
      <c r="L3306" s="2">
        <v>112</v>
      </c>
    </row>
    <row r="3307" spans="1:12" x14ac:dyDescent="0.25">
      <c r="A3307" s="4" t="str">
        <f>HYPERLINK("http://www.rosaceae.org/Prunus/Prunus_persica/p.persica_gdr_reftransV1_0014846","p.persica_gdr_reftransV1_0014846")</f>
        <v>p.persica_gdr_reftransV1_0014846</v>
      </c>
      <c r="B3307" s="2">
        <v>2396</v>
      </c>
      <c r="C3307" s="4" t="str">
        <f>HYPERLINK("http://www.uniprot.org/uniprot/M5XW32","M5XW32")</f>
        <v>M5XW32</v>
      </c>
      <c r="D3307" s="2" t="s">
        <v>3131</v>
      </c>
      <c r="E3307" s="3">
        <v>9.1100000000000003E-179</v>
      </c>
      <c r="F3307" s="2">
        <v>1353</v>
      </c>
      <c r="G3307" s="2">
        <v>100</v>
      </c>
      <c r="H3307" s="2">
        <v>256</v>
      </c>
      <c r="I3307" s="2">
        <v>1307</v>
      </c>
      <c r="J3307" s="2">
        <v>2074</v>
      </c>
      <c r="K3307" s="2">
        <v>11</v>
      </c>
      <c r="L3307" s="2">
        <v>266</v>
      </c>
    </row>
    <row r="3308" spans="1:12" x14ac:dyDescent="0.25">
      <c r="A3308" s="4" t="str">
        <f>HYPERLINK("http://www.rosaceae.org/Prunus/Prunus_persica/p.persica_gdr_reftransV1_0017296","p.persica_gdr_reftransV1_0017296")</f>
        <v>p.persica_gdr_reftransV1_0017296</v>
      </c>
      <c r="B3308" s="2">
        <v>739</v>
      </c>
      <c r="C3308" s="4" t="str">
        <f>HYPERLINK("http://www.uniprot.org/uniprot/M5WIN2","M5WIN2")</f>
        <v>M5WIN2</v>
      </c>
      <c r="D3308" s="2" t="s">
        <v>3132</v>
      </c>
      <c r="E3308" s="3">
        <v>5.5700000000000005E-135</v>
      </c>
      <c r="F3308" s="2">
        <v>1017</v>
      </c>
      <c r="G3308" s="2">
        <v>100</v>
      </c>
      <c r="H3308" s="2">
        <v>192</v>
      </c>
      <c r="I3308" s="2">
        <v>2</v>
      </c>
      <c r="J3308" s="2">
        <v>577</v>
      </c>
      <c r="K3308" s="2">
        <v>158</v>
      </c>
      <c r="L3308" s="2">
        <v>349</v>
      </c>
    </row>
    <row r="3309" spans="1:12" x14ac:dyDescent="0.25">
      <c r="A3309" s="4" t="str">
        <f>HYPERLINK("http://www.rosaceae.org/Prunus/Prunus_persica/p.persica_gdr_reftransV1_0017996","p.persica_gdr_reftransV1_0017996")</f>
        <v>p.persica_gdr_reftransV1_0017996</v>
      </c>
      <c r="B3309" s="2">
        <v>1442</v>
      </c>
      <c r="C3309" s="4" t="str">
        <f>HYPERLINK("http://www.uniprot.org/uniprot/M5VKQ0","M5VKQ0")</f>
        <v>M5VKQ0</v>
      </c>
      <c r="D3309" s="2" t="s">
        <v>3133</v>
      </c>
      <c r="E3309" s="3">
        <v>1.77E-150</v>
      </c>
      <c r="F3309" s="2">
        <v>916</v>
      </c>
      <c r="G3309" s="2">
        <v>100</v>
      </c>
      <c r="H3309" s="2">
        <v>200</v>
      </c>
      <c r="I3309" s="2">
        <v>605</v>
      </c>
      <c r="J3309" s="2">
        <v>1204</v>
      </c>
      <c r="K3309" s="2">
        <v>100</v>
      </c>
      <c r="L3309" s="2">
        <v>299</v>
      </c>
    </row>
    <row r="3310" spans="1:12" x14ac:dyDescent="0.25">
      <c r="A3310" s="4" t="str">
        <f>HYPERLINK("http://www.rosaceae.org/Prunus/Prunus_persica/p.persica_gdr_reftransV1_0019046","p.persica_gdr_reftransV1_0019046")</f>
        <v>p.persica_gdr_reftransV1_0019046</v>
      </c>
      <c r="B3310" s="2">
        <v>843</v>
      </c>
      <c r="C3310" s="4" t="str">
        <f>HYPERLINK("http://www.uniprot.org/uniprot/M5W6L0","M5W6L0")</f>
        <v>M5W6L0</v>
      </c>
      <c r="D3310" s="2" t="s">
        <v>3134</v>
      </c>
      <c r="E3310" s="3">
        <v>3.0599999999999999E-120</v>
      </c>
      <c r="F3310" s="2">
        <v>906</v>
      </c>
      <c r="G3310" s="2">
        <v>100</v>
      </c>
      <c r="H3310" s="2">
        <v>168</v>
      </c>
      <c r="I3310" s="2">
        <v>262</v>
      </c>
      <c r="J3310" s="2">
        <v>765</v>
      </c>
      <c r="K3310" s="2">
        <v>7</v>
      </c>
      <c r="L3310" s="2">
        <v>174</v>
      </c>
    </row>
    <row r="3311" spans="1:12" x14ac:dyDescent="0.25">
      <c r="A3311" s="4" t="str">
        <f>HYPERLINK("http://www.rosaceae.org/Prunus/Prunus_persica/p.persica_gdr_reftransV1_0019746","p.persica_gdr_reftransV1_0019746")</f>
        <v>p.persica_gdr_reftransV1_0019746</v>
      </c>
      <c r="B3311" s="2">
        <v>919</v>
      </c>
      <c r="C3311" s="4" t="str">
        <f>HYPERLINK("http://www.uniprot.org/uniprot/M5WEJ0","M5WEJ0")</f>
        <v>M5WEJ0</v>
      </c>
      <c r="D3311" s="2" t="s">
        <v>3135</v>
      </c>
      <c r="E3311" s="3">
        <v>6.4699999999999999E-137</v>
      </c>
      <c r="F3311" s="2">
        <v>1037</v>
      </c>
      <c r="G3311" s="2">
        <v>99</v>
      </c>
      <c r="H3311" s="2">
        <v>196</v>
      </c>
      <c r="I3311" s="2">
        <v>4</v>
      </c>
      <c r="J3311" s="2">
        <v>591</v>
      </c>
      <c r="K3311" s="2">
        <v>1</v>
      </c>
      <c r="L3311" s="2">
        <v>196</v>
      </c>
    </row>
    <row r="3312" spans="1:12" x14ac:dyDescent="0.25">
      <c r="A3312" s="4" t="str">
        <f>HYPERLINK("http://www.rosaceae.org/Prunus/Prunus_persica/p.persica_gdr_reftransV1_0021146","p.persica_gdr_reftransV1_0021146")</f>
        <v>p.persica_gdr_reftransV1_0021146</v>
      </c>
      <c r="B3312" s="2">
        <v>2257</v>
      </c>
      <c r="C3312" s="4" t="str">
        <f>HYPERLINK("http://www.uniprot.org/uniprot/M5X3A6","M5X3A6")</f>
        <v>M5X3A6</v>
      </c>
      <c r="D3312" s="2" t="s">
        <v>3136</v>
      </c>
      <c r="E3312" s="3">
        <v>1.1400000000000001E-174</v>
      </c>
      <c r="F3312" s="2">
        <v>1351</v>
      </c>
      <c r="G3312" s="2">
        <v>99</v>
      </c>
      <c r="H3312" s="2">
        <v>279</v>
      </c>
      <c r="I3312" s="2">
        <v>90</v>
      </c>
      <c r="J3312" s="2">
        <v>926</v>
      </c>
      <c r="K3312" s="2">
        <v>1</v>
      </c>
      <c r="L3312" s="2">
        <v>277</v>
      </c>
    </row>
    <row r="3313" spans="1:12" x14ac:dyDescent="0.25">
      <c r="A3313" s="4" t="str">
        <f>HYPERLINK("http://www.rosaceae.org/Prunus/Prunus_persica/p.persica_gdr_reftransV1_0022196","p.persica_gdr_reftransV1_0022196")</f>
        <v>p.persica_gdr_reftransV1_0022196</v>
      </c>
      <c r="B3313" s="2">
        <v>1736</v>
      </c>
      <c r="C3313" s="4" t="str">
        <f>HYPERLINK("http://www.uniprot.org/uniprot/M5WIC6","M5WIC6")</f>
        <v>M5WIC6</v>
      </c>
      <c r="D3313" s="2" t="s">
        <v>3137</v>
      </c>
      <c r="E3313" s="3">
        <v>0</v>
      </c>
      <c r="F3313" s="2">
        <v>1589</v>
      </c>
      <c r="G3313" s="2">
        <v>100</v>
      </c>
      <c r="H3313" s="2">
        <v>399</v>
      </c>
      <c r="I3313" s="2">
        <v>382</v>
      </c>
      <c r="J3313" s="2">
        <v>1578</v>
      </c>
      <c r="K3313" s="2">
        <v>2</v>
      </c>
      <c r="L3313" s="2">
        <v>400</v>
      </c>
    </row>
    <row r="3314" spans="1:12" x14ac:dyDescent="0.25">
      <c r="A3314" s="4" t="str">
        <f>HYPERLINK("http://www.rosaceae.org/Prunus/Prunus_persica/p.persica_gdr_reftransV1_0022896","p.persica_gdr_reftransV1_0022896")</f>
        <v>p.persica_gdr_reftransV1_0022896</v>
      </c>
      <c r="B3314" s="2">
        <v>4460</v>
      </c>
      <c r="C3314" s="4" t="str">
        <f>HYPERLINK("http://www.uniprot.org/uniprot/K9P2L5","K9P2L5")</f>
        <v>K9P2L5</v>
      </c>
      <c r="D3314" s="2" t="s">
        <v>3138</v>
      </c>
      <c r="E3314" s="3">
        <v>1.0699999999999999E-65</v>
      </c>
      <c r="F3314" s="2">
        <v>616</v>
      </c>
      <c r="G3314" s="2">
        <v>74</v>
      </c>
      <c r="H3314" s="2">
        <v>161</v>
      </c>
      <c r="I3314" s="2">
        <v>3503</v>
      </c>
      <c r="J3314" s="2">
        <v>3985</v>
      </c>
      <c r="K3314" s="2">
        <v>1</v>
      </c>
      <c r="L3314" s="2">
        <v>161</v>
      </c>
    </row>
    <row r="3315" spans="1:12" x14ac:dyDescent="0.25">
      <c r="A3315" s="4" t="str">
        <f>HYPERLINK("http://www.rosaceae.org/Prunus/Prunus_persica/p.persica_gdr_reftransV1_0023246","p.persica_gdr_reftransV1_0023246")</f>
        <v>p.persica_gdr_reftransV1_0023246</v>
      </c>
      <c r="B3315" s="2">
        <v>1067</v>
      </c>
      <c r="C3315" s="4" t="str">
        <f>HYPERLINK("http://www.uniprot.org/uniprot/M5WY15","M5WY15")</f>
        <v>M5WY15</v>
      </c>
      <c r="D3315" s="2" t="s">
        <v>3139</v>
      </c>
      <c r="E3315" s="3">
        <v>0</v>
      </c>
      <c r="F3315" s="2">
        <v>1377</v>
      </c>
      <c r="G3315" s="2">
        <v>100</v>
      </c>
      <c r="H3315" s="2">
        <v>258</v>
      </c>
      <c r="I3315" s="2">
        <v>294</v>
      </c>
      <c r="J3315" s="2">
        <v>1067</v>
      </c>
      <c r="K3315" s="2">
        <v>221</v>
      </c>
      <c r="L3315" s="2">
        <v>478</v>
      </c>
    </row>
    <row r="3316" spans="1:12" x14ac:dyDescent="0.25">
      <c r="A3316" s="4" t="str">
        <f>HYPERLINK("http://www.rosaceae.org/Prunus/Prunus_persica/p.persica_gdr_reftransV1_0024296","p.persica_gdr_reftransV1_0024296")</f>
        <v>p.persica_gdr_reftransV1_0024296</v>
      </c>
      <c r="B3316" s="2">
        <v>706</v>
      </c>
      <c r="C3316" s="4" t="str">
        <f>HYPERLINK("http://www.uniprot.org/uniprot/M5WGH8","M5WGH8")</f>
        <v>M5WGH8</v>
      </c>
      <c r="D3316" s="2" t="s">
        <v>1735</v>
      </c>
      <c r="E3316" s="3">
        <v>1.02E-68</v>
      </c>
      <c r="F3316" s="2">
        <v>576</v>
      </c>
      <c r="G3316" s="2">
        <v>99</v>
      </c>
      <c r="H3316" s="2">
        <v>123</v>
      </c>
      <c r="I3316" s="2">
        <v>179</v>
      </c>
      <c r="J3316" s="2">
        <v>547</v>
      </c>
      <c r="K3316" s="2">
        <v>26</v>
      </c>
      <c r="L3316" s="2">
        <v>148</v>
      </c>
    </row>
    <row r="3317" spans="1:12" x14ac:dyDescent="0.25">
      <c r="A3317" s="4" t="str">
        <f>HYPERLINK("http://www.rosaceae.org/Prunus/Prunus_persica/p.persica_gdr_reftransV1_0024646","p.persica_gdr_reftransV1_0024646")</f>
        <v>p.persica_gdr_reftransV1_0024646</v>
      </c>
      <c r="B3317" s="2">
        <v>4210</v>
      </c>
      <c r="C3317" s="4" t="str">
        <f>HYPERLINK("http://www.uniprot.org/uniprot/M5XGM3","M5XGM3")</f>
        <v>M5XGM3</v>
      </c>
      <c r="D3317" s="2" t="s">
        <v>3140</v>
      </c>
      <c r="E3317" s="3">
        <v>9.1099999999999996E-144</v>
      </c>
      <c r="F3317" s="2">
        <v>698</v>
      </c>
      <c r="G3317" s="2">
        <v>99</v>
      </c>
      <c r="H3317" s="2">
        <v>144</v>
      </c>
      <c r="I3317" s="2">
        <v>2155</v>
      </c>
      <c r="J3317" s="2">
        <v>2586</v>
      </c>
      <c r="K3317" s="2">
        <v>443</v>
      </c>
      <c r="L3317" s="2">
        <v>586</v>
      </c>
    </row>
    <row r="3318" spans="1:12" x14ac:dyDescent="0.25">
      <c r="A3318" s="4" t="str">
        <f>HYPERLINK("http://www.rosaceae.org/Prunus/Prunus_persica/p.persica_gdr_reftransV1_0027796","p.persica_gdr_reftransV1_0027796")</f>
        <v>p.persica_gdr_reftransV1_0027796</v>
      </c>
      <c r="B3318" s="2">
        <v>1185</v>
      </c>
      <c r="C3318" s="4" t="str">
        <f>HYPERLINK("http://www.uniprot.org/uniprot/M5WD88","M5WD88")</f>
        <v>M5WD88</v>
      </c>
      <c r="D3318" s="2" t="s">
        <v>3141</v>
      </c>
      <c r="E3318" s="3">
        <v>2.0899999999999999E-167</v>
      </c>
      <c r="F3318" s="2">
        <v>1239</v>
      </c>
      <c r="G3318" s="2">
        <v>100</v>
      </c>
      <c r="H3318" s="2">
        <v>269</v>
      </c>
      <c r="I3318" s="2">
        <v>99</v>
      </c>
      <c r="J3318" s="2">
        <v>905</v>
      </c>
      <c r="K3318" s="2">
        <v>1</v>
      </c>
      <c r="L3318" s="2">
        <v>269</v>
      </c>
    </row>
    <row r="3319" spans="1:12" x14ac:dyDescent="0.25">
      <c r="A3319" s="4" t="str">
        <f>HYPERLINK("http://www.rosaceae.org/Prunus/Prunus_persica/p.persica_gdr_reftransV1_0028496","p.persica_gdr_reftransV1_0028496")</f>
        <v>p.persica_gdr_reftransV1_0028496</v>
      </c>
      <c r="B3319" s="2">
        <v>1462</v>
      </c>
      <c r="C3319" s="4" t="str">
        <f>HYPERLINK("http://www.uniprot.org/uniprot/M5W995","M5W995")</f>
        <v>M5W995</v>
      </c>
      <c r="D3319" s="2" t="s">
        <v>3142</v>
      </c>
      <c r="E3319" s="3">
        <v>0</v>
      </c>
      <c r="F3319" s="2">
        <v>1916</v>
      </c>
      <c r="G3319" s="2">
        <v>99</v>
      </c>
      <c r="H3319" s="2">
        <v>404</v>
      </c>
      <c r="I3319" s="2">
        <v>242</v>
      </c>
      <c r="J3319" s="2">
        <v>1453</v>
      </c>
      <c r="K3319" s="2">
        <v>1</v>
      </c>
      <c r="L3319" s="2">
        <v>404</v>
      </c>
    </row>
    <row r="3320" spans="1:12" x14ac:dyDescent="0.25">
      <c r="A3320" s="4" t="str">
        <f>HYPERLINK("http://www.rosaceae.org/Prunus/Prunus_persica/p.persica_gdr_reftransV1_0029896","p.persica_gdr_reftransV1_0029896")</f>
        <v>p.persica_gdr_reftransV1_0029896</v>
      </c>
      <c r="B3320" s="2">
        <v>1797</v>
      </c>
      <c r="C3320" s="4" t="str">
        <f>HYPERLINK("http://www.uniprot.org/uniprot/M5W857","M5W857")</f>
        <v>M5W857</v>
      </c>
      <c r="D3320" s="2" t="s">
        <v>3143</v>
      </c>
      <c r="E3320" s="3">
        <v>0</v>
      </c>
      <c r="F3320" s="2">
        <v>1960</v>
      </c>
      <c r="G3320" s="2">
        <v>100</v>
      </c>
      <c r="H3320" s="2">
        <v>427</v>
      </c>
      <c r="I3320" s="2">
        <v>344</v>
      </c>
      <c r="J3320" s="2">
        <v>1624</v>
      </c>
      <c r="K3320" s="2">
        <v>1</v>
      </c>
      <c r="L3320" s="2">
        <v>427</v>
      </c>
    </row>
    <row r="3321" spans="1:12" x14ac:dyDescent="0.25">
      <c r="A3321" s="4" t="str">
        <f>HYPERLINK("http://www.rosaceae.org/Prunus/Prunus_persica/p.persica_gdr_reftransV1_0030246","p.persica_gdr_reftransV1_0030246")</f>
        <v>p.persica_gdr_reftransV1_0030246</v>
      </c>
      <c r="B3321" s="2">
        <v>2332</v>
      </c>
      <c r="C3321" s="4" t="str">
        <f>HYPERLINK("http://www.uniprot.org/uniprot/M5XEG2","M5XEG2")</f>
        <v>M5XEG2</v>
      </c>
      <c r="D3321" s="2" t="s">
        <v>3144</v>
      </c>
      <c r="E3321" s="3">
        <v>5.5500000000000001E-62</v>
      </c>
      <c r="F3321" s="2">
        <v>562</v>
      </c>
      <c r="G3321" s="2">
        <v>100</v>
      </c>
      <c r="H3321" s="2">
        <v>104</v>
      </c>
      <c r="I3321" s="2">
        <v>85</v>
      </c>
      <c r="J3321" s="2">
        <v>396</v>
      </c>
      <c r="K3321" s="2">
        <v>1</v>
      </c>
      <c r="L3321" s="2">
        <v>104</v>
      </c>
    </row>
    <row r="3322" spans="1:12" x14ac:dyDescent="0.25">
      <c r="A3322" s="4" t="str">
        <f>HYPERLINK("http://www.rosaceae.org/Prunus/Prunus_persica/p.persica_gdr_reftransV1_0030946","p.persica_gdr_reftransV1_0030946")</f>
        <v>p.persica_gdr_reftransV1_0030946</v>
      </c>
      <c r="B3322" s="2">
        <v>1016</v>
      </c>
      <c r="C3322" s="4" t="str">
        <f>HYPERLINK("http://www.uniprot.org/uniprot/M5XZH2","M5XZH2")</f>
        <v>M5XZH2</v>
      </c>
      <c r="D3322" s="2" t="s">
        <v>3145</v>
      </c>
      <c r="E3322" s="3">
        <v>1.1E-93</v>
      </c>
      <c r="F3322" s="2">
        <v>739</v>
      </c>
      <c r="G3322" s="2">
        <v>100</v>
      </c>
      <c r="H3322" s="2">
        <v>194</v>
      </c>
      <c r="I3322" s="2">
        <v>354</v>
      </c>
      <c r="J3322" s="2">
        <v>935</v>
      </c>
      <c r="K3322" s="2">
        <v>1</v>
      </c>
      <c r="L3322" s="2">
        <v>194</v>
      </c>
    </row>
    <row r="3323" spans="1:12" x14ac:dyDescent="0.25">
      <c r="A3323" s="4" t="str">
        <f>HYPERLINK("http://www.rosaceae.org/Prunus/Prunus_persica/p.persica_gdr_reftransV1_0031996","p.persica_gdr_reftransV1_0031996")</f>
        <v>p.persica_gdr_reftransV1_0031996</v>
      </c>
      <c r="B3323" s="2">
        <v>1335</v>
      </c>
      <c r="C3323" s="4" t="str">
        <f>HYPERLINK("http://www.uniprot.org/uniprot/M5XWC9","M5XWC9")</f>
        <v>M5XWC9</v>
      </c>
      <c r="D3323" s="2" t="s">
        <v>3146</v>
      </c>
      <c r="E3323" s="3">
        <v>0</v>
      </c>
      <c r="F3323" s="2">
        <v>1416</v>
      </c>
      <c r="G3323" s="2">
        <v>90</v>
      </c>
      <c r="H3323" s="2">
        <v>297</v>
      </c>
      <c r="I3323" s="2">
        <v>119</v>
      </c>
      <c r="J3323" s="2">
        <v>1006</v>
      </c>
      <c r="K3323" s="2">
        <v>1</v>
      </c>
      <c r="L3323" s="2">
        <v>297</v>
      </c>
    </row>
    <row r="3324" spans="1:12" x14ac:dyDescent="0.25">
      <c r="A3324" s="4" t="str">
        <f>HYPERLINK("http://www.rosaceae.org/Prunus/Prunus_persica/p.persica_gdr_reftransV1_0032346","p.persica_gdr_reftransV1_0032346")</f>
        <v>p.persica_gdr_reftransV1_0032346</v>
      </c>
      <c r="B3324" s="2">
        <v>2133</v>
      </c>
      <c r="C3324" s="4" t="str">
        <f>HYPERLINK("http://www.uniprot.org/uniprot/M5WGU4","M5WGU4")</f>
        <v>M5WGU4</v>
      </c>
      <c r="D3324" s="2" t="s">
        <v>3147</v>
      </c>
      <c r="E3324" s="3">
        <v>0</v>
      </c>
      <c r="F3324" s="2">
        <v>2718</v>
      </c>
      <c r="G3324" s="2">
        <v>100</v>
      </c>
      <c r="H3324" s="2">
        <v>504</v>
      </c>
      <c r="I3324" s="2">
        <v>467</v>
      </c>
      <c r="J3324" s="2">
        <v>1978</v>
      </c>
      <c r="K3324" s="2">
        <v>1</v>
      </c>
      <c r="L3324" s="2">
        <v>504</v>
      </c>
    </row>
    <row r="3325" spans="1:12" x14ac:dyDescent="0.25">
      <c r="A3325" s="4" t="str">
        <f>HYPERLINK("http://www.rosaceae.org/Prunus/Prunus_persica/p.persica_gdr_reftransV1_0034096","p.persica_gdr_reftransV1_0034096")</f>
        <v>p.persica_gdr_reftransV1_0034096</v>
      </c>
      <c r="B3325" s="2">
        <v>1928</v>
      </c>
      <c r="C3325" s="4" t="str">
        <f>HYPERLINK("http://www.uniprot.org/uniprot/M5XYC7","M5XYC7")</f>
        <v>M5XYC7</v>
      </c>
      <c r="D3325" s="2" t="s">
        <v>1281</v>
      </c>
      <c r="E3325" s="3">
        <v>0</v>
      </c>
      <c r="F3325" s="2">
        <v>1504</v>
      </c>
      <c r="G3325" s="2">
        <v>100</v>
      </c>
      <c r="H3325" s="2">
        <v>387</v>
      </c>
      <c r="I3325" s="2">
        <v>501</v>
      </c>
      <c r="J3325" s="2">
        <v>1661</v>
      </c>
      <c r="K3325" s="2">
        <v>1</v>
      </c>
      <c r="L3325" s="2">
        <v>387</v>
      </c>
    </row>
    <row r="3326" spans="1:12" x14ac:dyDescent="0.25">
      <c r="A3326" s="4" t="str">
        <f>HYPERLINK("http://www.rosaceae.org/Prunus/Prunus_persica/p.persica_gdr_reftransV1_0037246","p.persica_gdr_reftransV1_0037246")</f>
        <v>p.persica_gdr_reftransV1_0037246</v>
      </c>
      <c r="B3326" s="2">
        <v>4658</v>
      </c>
      <c r="C3326" s="4" t="str">
        <f>HYPERLINK("http://www.uniprot.org/uniprot/M5X2F1","M5X2F1")</f>
        <v>M5X2F1</v>
      </c>
      <c r="D3326" s="2" t="s">
        <v>3148</v>
      </c>
      <c r="E3326" s="3">
        <v>0</v>
      </c>
      <c r="F3326" s="2">
        <v>3347</v>
      </c>
      <c r="G3326" s="2">
        <v>98</v>
      </c>
      <c r="H3326" s="2">
        <v>633</v>
      </c>
      <c r="I3326" s="2">
        <v>217</v>
      </c>
      <c r="J3326" s="2">
        <v>2115</v>
      </c>
      <c r="K3326" s="2">
        <v>1</v>
      </c>
      <c r="L3326" s="2">
        <v>619</v>
      </c>
    </row>
    <row r="3327" spans="1:12" x14ac:dyDescent="0.25">
      <c r="A3327" s="4" t="str">
        <f>HYPERLINK("http://www.rosaceae.org/Prunus/Prunus_persica/p.persica_gdr_reftransV1_0038296","p.persica_gdr_reftransV1_0038296")</f>
        <v>p.persica_gdr_reftransV1_0038296</v>
      </c>
      <c r="B3327" s="2">
        <v>1002</v>
      </c>
      <c r="C3327" s="4" t="str">
        <f>HYPERLINK("http://www.uniprot.org/uniprot/M5X387","M5X387")</f>
        <v>M5X387</v>
      </c>
      <c r="D3327" s="2" t="s">
        <v>3149</v>
      </c>
      <c r="E3327" s="3">
        <v>7.9199999999999998E-82</v>
      </c>
      <c r="F3327" s="2">
        <v>655</v>
      </c>
      <c r="G3327" s="2">
        <v>100</v>
      </c>
      <c r="H3327" s="2">
        <v>143</v>
      </c>
      <c r="I3327" s="2">
        <v>229</v>
      </c>
      <c r="J3327" s="2">
        <v>657</v>
      </c>
      <c r="K3327" s="2">
        <v>1</v>
      </c>
      <c r="L3327" s="2">
        <v>143</v>
      </c>
    </row>
    <row r="3328" spans="1:12" x14ac:dyDescent="0.25">
      <c r="A3328" s="4" t="str">
        <f>HYPERLINK("http://www.rosaceae.org/Prunus/Prunus_persica/p.persica_gdr_reftransV1_0040046","p.persica_gdr_reftransV1_0040046")</f>
        <v>p.persica_gdr_reftransV1_0040046</v>
      </c>
      <c r="B3328" s="2">
        <v>807</v>
      </c>
      <c r="C3328" s="4" t="str">
        <f>HYPERLINK("http://www.uniprot.org/uniprot/M5WPL9","M5WPL9")</f>
        <v>M5WPL9</v>
      </c>
      <c r="D3328" s="2" t="s">
        <v>3150</v>
      </c>
      <c r="E3328" s="3">
        <v>6.3399999999999998E-40</v>
      </c>
      <c r="F3328" s="2">
        <v>364</v>
      </c>
      <c r="G3328" s="2">
        <v>100</v>
      </c>
      <c r="H3328" s="2">
        <v>88</v>
      </c>
      <c r="I3328" s="2">
        <v>481</v>
      </c>
      <c r="J3328" s="2">
        <v>744</v>
      </c>
      <c r="K3328" s="2">
        <v>1</v>
      </c>
      <c r="L3328" s="2">
        <v>88</v>
      </c>
    </row>
    <row r="3329" spans="1:12" x14ac:dyDescent="0.25">
      <c r="A3329" s="4" t="str">
        <f>HYPERLINK("http://www.rosaceae.org/Prunus/Prunus_persica/p.persica_gdr_reftransV1_0041096","p.persica_gdr_reftransV1_0041096")</f>
        <v>p.persica_gdr_reftransV1_0041096</v>
      </c>
      <c r="B3329" s="2">
        <v>1952</v>
      </c>
      <c r="C3329" s="4" t="str">
        <f>HYPERLINK("http://www.uniprot.org/uniprot/M5WFC7","M5WFC7")</f>
        <v>M5WFC7</v>
      </c>
      <c r="D3329" s="2" t="s">
        <v>3151</v>
      </c>
      <c r="E3329" s="3">
        <v>0</v>
      </c>
      <c r="F3329" s="2">
        <v>2423</v>
      </c>
      <c r="G3329" s="2">
        <v>100</v>
      </c>
      <c r="H3329" s="2">
        <v>522</v>
      </c>
      <c r="I3329" s="2">
        <v>183</v>
      </c>
      <c r="J3329" s="2">
        <v>1748</v>
      </c>
      <c r="K3329" s="2">
        <v>1</v>
      </c>
      <c r="L3329" s="2">
        <v>522</v>
      </c>
    </row>
    <row r="3330" spans="1:12" x14ac:dyDescent="0.25">
      <c r="A3330" s="4" t="str">
        <f>HYPERLINK("http://www.rosaceae.org/Prunus/Prunus_persica/p.persica_gdr_reftransV1_0042146","p.persica_gdr_reftransV1_0042146")</f>
        <v>p.persica_gdr_reftransV1_0042146</v>
      </c>
      <c r="B3330" s="2">
        <v>2247</v>
      </c>
      <c r="C3330" s="4" t="str">
        <f>HYPERLINK("http://www.uniprot.org/uniprot/M5VPF1","M5VPF1")</f>
        <v>M5VPF1</v>
      </c>
      <c r="D3330" s="2" t="s">
        <v>3152</v>
      </c>
      <c r="E3330" s="3">
        <v>0</v>
      </c>
      <c r="F3330" s="2">
        <v>2492</v>
      </c>
      <c r="G3330" s="2">
        <v>100</v>
      </c>
      <c r="H3330" s="2">
        <v>502</v>
      </c>
      <c r="I3330" s="2">
        <v>415</v>
      </c>
      <c r="J3330" s="2">
        <v>1920</v>
      </c>
      <c r="K3330" s="2">
        <v>1</v>
      </c>
      <c r="L3330" s="2">
        <v>501</v>
      </c>
    </row>
    <row r="3331" spans="1:12" x14ac:dyDescent="0.25">
      <c r="A3331" s="4" t="str">
        <f>HYPERLINK("http://www.rosaceae.org/Prunus/Prunus_persica/p.persica_gdr_reftransV1_0043196","p.persica_gdr_reftransV1_0043196")</f>
        <v>p.persica_gdr_reftransV1_0043196</v>
      </c>
      <c r="B3331" s="2">
        <v>303</v>
      </c>
      <c r="C3331" s="4" t="str">
        <f>HYPERLINK("http://www.uniprot.org/uniprot/M5W3D3","M5W3D3")</f>
        <v>M5W3D3</v>
      </c>
      <c r="D3331" s="2" t="s">
        <v>274</v>
      </c>
      <c r="E3331" s="3">
        <v>3.9000000000000002E-63</v>
      </c>
      <c r="F3331" s="2">
        <v>543</v>
      </c>
      <c r="G3331" s="2">
        <v>100</v>
      </c>
      <c r="H3331" s="2">
        <v>101</v>
      </c>
      <c r="I3331" s="2">
        <v>1</v>
      </c>
      <c r="J3331" s="2">
        <v>303</v>
      </c>
      <c r="K3331" s="2">
        <v>115</v>
      </c>
      <c r="L3331" s="2">
        <v>215</v>
      </c>
    </row>
    <row r="3332" spans="1:12" x14ac:dyDescent="0.25">
      <c r="A3332" s="4" t="str">
        <f>HYPERLINK("http://www.rosaceae.org/Prunus/Prunus_persica/p.persica_gdr_reftransV1_0043546","p.persica_gdr_reftransV1_0043546")</f>
        <v>p.persica_gdr_reftransV1_0043546</v>
      </c>
      <c r="B3332" s="2">
        <v>333</v>
      </c>
      <c r="C3332" s="4" t="str">
        <f>HYPERLINK("http://www.uniprot.org/uniprot/M5WGP0","M5WGP0")</f>
        <v>M5WGP0</v>
      </c>
      <c r="D3332" s="2" t="s">
        <v>3153</v>
      </c>
      <c r="E3332" s="3">
        <v>3.9699999999999997E-49</v>
      </c>
      <c r="F3332" s="2">
        <v>449</v>
      </c>
      <c r="G3332" s="2">
        <v>100</v>
      </c>
      <c r="H3332" s="2">
        <v>110</v>
      </c>
      <c r="I3332" s="2">
        <v>3</v>
      </c>
      <c r="J3332" s="2">
        <v>332</v>
      </c>
      <c r="K3332" s="2">
        <v>577</v>
      </c>
      <c r="L3332" s="2">
        <v>686</v>
      </c>
    </row>
    <row r="3333" spans="1:12" x14ac:dyDescent="0.25">
      <c r="A3333" s="4" t="str">
        <f>HYPERLINK("http://www.rosaceae.org/Prunus/Prunus_persica/p.persica_gdr_reftransV1_0043896","p.persica_gdr_reftransV1_0043896")</f>
        <v>p.persica_gdr_reftransV1_0043896</v>
      </c>
      <c r="B3333" s="2">
        <v>517</v>
      </c>
      <c r="C3333" s="4" t="str">
        <f>HYPERLINK("http://www.uniprot.org/uniprot/M5WCB3","M5WCB3")</f>
        <v>M5WCB3</v>
      </c>
      <c r="D3333" s="2" t="s">
        <v>3154</v>
      </c>
      <c r="E3333" s="3">
        <v>1.1599999999999999E-99</v>
      </c>
      <c r="F3333" s="2">
        <v>768</v>
      </c>
      <c r="G3333" s="2">
        <v>100</v>
      </c>
      <c r="H3333" s="2">
        <v>144</v>
      </c>
      <c r="I3333" s="2">
        <v>3</v>
      </c>
      <c r="J3333" s="2">
        <v>434</v>
      </c>
      <c r="K3333" s="2">
        <v>1</v>
      </c>
      <c r="L3333" s="2">
        <v>144</v>
      </c>
    </row>
    <row r="3334" spans="1:12" x14ac:dyDescent="0.25">
      <c r="A3334" s="4" t="str">
        <f>HYPERLINK("http://www.rosaceae.org/Prunus/Prunus_persica/p.persica_gdr_reftransV1_0044246","p.persica_gdr_reftransV1_0044246")</f>
        <v>p.persica_gdr_reftransV1_0044246</v>
      </c>
      <c r="B3334" s="2">
        <v>1145</v>
      </c>
      <c r="C3334" s="4" t="str">
        <f>HYPERLINK("http://www.uniprot.org/uniprot/M5XG39","M5XG39")</f>
        <v>M5XG39</v>
      </c>
      <c r="D3334" s="2" t="s">
        <v>3155</v>
      </c>
      <c r="E3334" s="3">
        <v>4.1200000000000002E-178</v>
      </c>
      <c r="F3334" s="2">
        <v>1306</v>
      </c>
      <c r="G3334" s="2">
        <v>100</v>
      </c>
      <c r="H3334" s="2">
        <v>251</v>
      </c>
      <c r="I3334" s="2">
        <v>309</v>
      </c>
      <c r="J3334" s="2">
        <v>1061</v>
      </c>
      <c r="K3334" s="2">
        <v>1</v>
      </c>
      <c r="L3334" s="2">
        <v>251</v>
      </c>
    </row>
    <row r="3335" spans="1:12" x14ac:dyDescent="0.25">
      <c r="A3335" s="4" t="str">
        <f>HYPERLINK("http://www.rosaceae.org/Prunus/Prunus_persica/p.persica_gdr_reftransV1_0044596","p.persica_gdr_reftransV1_0044596")</f>
        <v>p.persica_gdr_reftransV1_0044596</v>
      </c>
      <c r="B3335" s="2">
        <v>1267</v>
      </c>
      <c r="C3335" s="4" t="str">
        <f>HYPERLINK("http://www.uniprot.org/uniprot/M5WTQ6","M5WTQ6")</f>
        <v>M5WTQ6</v>
      </c>
      <c r="D3335" s="2" t="s">
        <v>2796</v>
      </c>
      <c r="E3335" s="3">
        <v>1.35E-116</v>
      </c>
      <c r="F3335" s="2">
        <v>899</v>
      </c>
      <c r="G3335" s="2">
        <v>92</v>
      </c>
      <c r="H3335" s="2">
        <v>183</v>
      </c>
      <c r="I3335" s="2">
        <v>210</v>
      </c>
      <c r="J3335" s="2">
        <v>758</v>
      </c>
      <c r="K3335" s="2">
        <v>14</v>
      </c>
      <c r="L3335" s="2">
        <v>194</v>
      </c>
    </row>
    <row r="3336" spans="1:12" x14ac:dyDescent="0.25">
      <c r="A3336" s="4" t="str">
        <f>HYPERLINK("http://www.rosaceae.org/Prunus/Prunus_persica/p.persica_gdr_reftransV1_0044946","p.persica_gdr_reftransV1_0044946")</f>
        <v>p.persica_gdr_reftransV1_0044946</v>
      </c>
      <c r="B3336" s="2">
        <v>439</v>
      </c>
      <c r="C3336" s="4" t="str">
        <f>HYPERLINK("http://www.uniprot.org/uniprot/M5WCZ9","M5WCZ9")</f>
        <v>M5WCZ9</v>
      </c>
      <c r="D3336" s="2" t="s">
        <v>3156</v>
      </c>
      <c r="E3336" s="3">
        <v>1.9799999999999999E-59</v>
      </c>
      <c r="F3336" s="2">
        <v>528</v>
      </c>
      <c r="G3336" s="2">
        <v>88</v>
      </c>
      <c r="H3336" s="2">
        <v>146</v>
      </c>
      <c r="I3336" s="2">
        <v>1</v>
      </c>
      <c r="J3336" s="2">
        <v>438</v>
      </c>
      <c r="K3336" s="2">
        <v>416</v>
      </c>
      <c r="L3336" s="2">
        <v>556</v>
      </c>
    </row>
    <row r="3337" spans="1:12" x14ac:dyDescent="0.25">
      <c r="A3337" s="4" t="str">
        <f>HYPERLINK("http://www.rosaceae.org/Prunus/Prunus_persica/p.persica_gdr_reftransV1_0045296","p.persica_gdr_reftransV1_0045296")</f>
        <v>p.persica_gdr_reftransV1_0045296</v>
      </c>
      <c r="B3337" s="2">
        <v>610</v>
      </c>
      <c r="C3337" s="4" t="str">
        <f>HYPERLINK("http://www.uniprot.org/uniprot/M5WPN0","M5WPN0")</f>
        <v>M5WPN0</v>
      </c>
      <c r="D3337" s="2" t="s">
        <v>3157</v>
      </c>
      <c r="E3337" s="3">
        <v>3.4000000000000001E-67</v>
      </c>
      <c r="F3337" s="2">
        <v>553</v>
      </c>
      <c r="G3337" s="2">
        <v>71</v>
      </c>
      <c r="H3337" s="2">
        <v>177</v>
      </c>
      <c r="I3337" s="2">
        <v>3</v>
      </c>
      <c r="J3337" s="2">
        <v>533</v>
      </c>
      <c r="K3337" s="2">
        <v>109</v>
      </c>
      <c r="L3337" s="2">
        <v>234</v>
      </c>
    </row>
    <row r="3338" spans="1:12" x14ac:dyDescent="0.25">
      <c r="A3338" s="4" t="str">
        <f>HYPERLINK("http://www.rosaceae.org/Prunus/Prunus_persica/p.persica_gdr_reftransV1_0045646","p.persica_gdr_reftransV1_0045646")</f>
        <v>p.persica_gdr_reftransV1_0045646</v>
      </c>
      <c r="B3338" s="2">
        <v>3097</v>
      </c>
      <c r="C3338" s="4" t="str">
        <f>HYPERLINK("http://www.uniprot.org/uniprot/M5VS99","M5VS99")</f>
        <v>M5VS99</v>
      </c>
      <c r="D3338" s="2" t="s">
        <v>3158</v>
      </c>
      <c r="E3338" s="3">
        <v>0</v>
      </c>
      <c r="F3338" s="2">
        <v>2885</v>
      </c>
      <c r="G3338" s="2">
        <v>84</v>
      </c>
      <c r="H3338" s="2">
        <v>744</v>
      </c>
      <c r="I3338" s="2">
        <v>460</v>
      </c>
      <c r="J3338" s="2">
        <v>2673</v>
      </c>
      <c r="K3338" s="2">
        <v>4</v>
      </c>
      <c r="L3338" s="2">
        <v>726</v>
      </c>
    </row>
    <row r="3339" spans="1:12" x14ac:dyDescent="0.25">
      <c r="A3339" s="4" t="str">
        <f>HYPERLINK("http://www.rosaceae.org/Prunus/Prunus_persica/p.persica_gdr_reftransV1_0046696","p.persica_gdr_reftransV1_0046696")</f>
        <v>p.persica_gdr_reftransV1_0046696</v>
      </c>
      <c r="B3339" s="2">
        <v>2184</v>
      </c>
      <c r="C3339" s="4" t="str">
        <f>HYPERLINK("http://www.uniprot.org/uniprot/M5XMD0","M5XMD0")</f>
        <v>M5XMD0</v>
      </c>
      <c r="D3339" s="2" t="s">
        <v>3159</v>
      </c>
      <c r="E3339" s="3">
        <v>0</v>
      </c>
      <c r="F3339" s="2">
        <v>3688</v>
      </c>
      <c r="G3339" s="2">
        <v>100</v>
      </c>
      <c r="H3339" s="2">
        <v>718</v>
      </c>
      <c r="I3339" s="2">
        <v>29</v>
      </c>
      <c r="J3339" s="2">
        <v>2182</v>
      </c>
      <c r="K3339" s="2">
        <v>559</v>
      </c>
      <c r="L3339" s="2">
        <v>1276</v>
      </c>
    </row>
    <row r="3340" spans="1:12" x14ac:dyDescent="0.25">
      <c r="A3340" s="4" t="str">
        <f>HYPERLINK("http://www.rosaceae.org/Prunus/Prunus_persica/p.persica_gdr_reftransV1_0047046","p.persica_gdr_reftransV1_0047046")</f>
        <v>p.persica_gdr_reftransV1_0047046</v>
      </c>
      <c r="B3340" s="2">
        <v>2323</v>
      </c>
      <c r="C3340" s="4" t="str">
        <f>HYPERLINK("http://www.uniprot.org/uniprot/J9ZZR7","J9ZZR7")</f>
        <v>J9ZZR7</v>
      </c>
      <c r="D3340" s="2" t="s">
        <v>3160</v>
      </c>
      <c r="E3340" s="3">
        <v>0</v>
      </c>
      <c r="F3340" s="2">
        <v>2900</v>
      </c>
      <c r="G3340" s="2">
        <v>100</v>
      </c>
      <c r="H3340" s="2">
        <v>626</v>
      </c>
      <c r="I3340" s="2">
        <v>360</v>
      </c>
      <c r="J3340" s="2">
        <v>2237</v>
      </c>
      <c r="K3340" s="2">
        <v>1</v>
      </c>
      <c r="L3340" s="2">
        <v>626</v>
      </c>
    </row>
    <row r="3341" spans="1:12" x14ac:dyDescent="0.25">
      <c r="A3341" s="4" t="str">
        <f>HYPERLINK("http://www.rosaceae.org/Prunus/Prunus_persica/p.persica_gdr_reftransV1_0047396","p.persica_gdr_reftransV1_0047396")</f>
        <v>p.persica_gdr_reftransV1_0047396</v>
      </c>
      <c r="B3341" s="2">
        <v>413</v>
      </c>
      <c r="C3341" s="4" t="str">
        <f>HYPERLINK("http://www.uniprot.org/uniprot/M5WR57","M5WR57")</f>
        <v>M5WR57</v>
      </c>
      <c r="D3341" s="2" t="s">
        <v>3161</v>
      </c>
      <c r="E3341" s="3">
        <v>1.52E-77</v>
      </c>
      <c r="F3341" s="2">
        <v>658</v>
      </c>
      <c r="G3341" s="2">
        <v>100</v>
      </c>
      <c r="H3341" s="2">
        <v>137</v>
      </c>
      <c r="I3341" s="2">
        <v>1</v>
      </c>
      <c r="J3341" s="2">
        <v>411</v>
      </c>
      <c r="K3341" s="2">
        <v>104</v>
      </c>
      <c r="L3341" s="2">
        <v>240</v>
      </c>
    </row>
    <row r="3342" spans="1:12" x14ac:dyDescent="0.25">
      <c r="A3342" s="4" t="str">
        <f>HYPERLINK("http://www.rosaceae.org/Prunus/Prunus_persica/p.persica_gdr_reftransV1_0047746","p.persica_gdr_reftransV1_0047746")</f>
        <v>p.persica_gdr_reftransV1_0047746</v>
      </c>
      <c r="B3342" s="2">
        <v>418</v>
      </c>
      <c r="C3342" s="4" t="str">
        <f>HYPERLINK("http://www.uniprot.org/uniprot/M5WWX2","M5WWX2")</f>
        <v>M5WWX2</v>
      </c>
      <c r="D3342" s="2" t="s">
        <v>319</v>
      </c>
      <c r="E3342" s="3">
        <v>3.0800000000000001E-60</v>
      </c>
      <c r="F3342" s="2">
        <v>526</v>
      </c>
      <c r="G3342" s="2">
        <v>90</v>
      </c>
      <c r="H3342" s="2">
        <v>117</v>
      </c>
      <c r="I3342" s="2">
        <v>66</v>
      </c>
      <c r="J3342" s="2">
        <v>416</v>
      </c>
      <c r="K3342" s="2">
        <v>173</v>
      </c>
      <c r="L3342" s="2">
        <v>289</v>
      </c>
    </row>
    <row r="3343" spans="1:12" x14ac:dyDescent="0.25">
      <c r="A3343" s="4" t="str">
        <f>HYPERLINK("http://www.rosaceae.org/Prunus/Prunus_persica/p.persica_gdr_reftransV1_0048446","p.persica_gdr_reftransV1_0048446")</f>
        <v>p.persica_gdr_reftransV1_0048446</v>
      </c>
      <c r="B3343" s="2">
        <v>1096</v>
      </c>
      <c r="C3343" s="4" t="str">
        <f>HYPERLINK("http://www.uniprot.org/uniprot/M5WE81","M5WE81")</f>
        <v>M5WE81</v>
      </c>
      <c r="D3343" s="2" t="s">
        <v>2259</v>
      </c>
      <c r="E3343" s="3">
        <v>0</v>
      </c>
      <c r="F3343" s="2">
        <v>1503</v>
      </c>
      <c r="G3343" s="2">
        <v>100</v>
      </c>
      <c r="H3343" s="2">
        <v>298</v>
      </c>
      <c r="I3343" s="2">
        <v>1</v>
      </c>
      <c r="J3343" s="2">
        <v>894</v>
      </c>
      <c r="K3343" s="2">
        <v>331</v>
      </c>
      <c r="L3343" s="2">
        <v>628</v>
      </c>
    </row>
    <row r="3344" spans="1:12" x14ac:dyDescent="0.25">
      <c r="A3344" s="4" t="str">
        <f>HYPERLINK("http://www.rosaceae.org/Prunus/Prunus_persica/p.persica_gdr_reftransV1_0049146","p.persica_gdr_reftransV1_0049146")</f>
        <v>p.persica_gdr_reftransV1_0049146</v>
      </c>
      <c r="B3344" s="2">
        <v>3966</v>
      </c>
      <c r="C3344" s="4" t="str">
        <f>HYPERLINK("http://www.uniprot.org/uniprot/M5VWT0","M5VWT0")</f>
        <v>M5VWT0</v>
      </c>
      <c r="D3344" s="2" t="s">
        <v>3162</v>
      </c>
      <c r="E3344" s="3">
        <v>0</v>
      </c>
      <c r="F3344" s="2">
        <v>5872</v>
      </c>
      <c r="G3344" s="2">
        <v>92</v>
      </c>
      <c r="H3344" s="2">
        <v>1236</v>
      </c>
      <c r="I3344" s="2">
        <v>120</v>
      </c>
      <c r="J3344" s="2">
        <v>3827</v>
      </c>
      <c r="K3344" s="2">
        <v>1</v>
      </c>
      <c r="L3344" s="2">
        <v>1163</v>
      </c>
    </row>
    <row r="3345" spans="1:12" x14ac:dyDescent="0.25">
      <c r="A3345" s="4" t="str">
        <f>HYPERLINK("http://www.rosaceae.org/Prunus/Prunus_persica/p.persica_gdr_reftransV1_0000497","p.persica_gdr_reftransV1_0000497")</f>
        <v>p.persica_gdr_reftransV1_0000497</v>
      </c>
      <c r="B3345" s="2">
        <v>2127</v>
      </c>
      <c r="C3345" s="4" t="str">
        <f>HYPERLINK("http://www.uniprot.org/uniprot/M5X4B5","M5X4B5")</f>
        <v>M5X4B5</v>
      </c>
      <c r="D3345" s="2" t="s">
        <v>3163</v>
      </c>
      <c r="E3345" s="3">
        <v>0</v>
      </c>
      <c r="F3345" s="2">
        <v>3128</v>
      </c>
      <c r="G3345" s="2">
        <v>100</v>
      </c>
      <c r="H3345" s="2">
        <v>708</v>
      </c>
      <c r="I3345" s="2">
        <v>2</v>
      </c>
      <c r="J3345" s="2">
        <v>2125</v>
      </c>
      <c r="K3345" s="2">
        <v>72</v>
      </c>
      <c r="L3345" s="2">
        <v>779</v>
      </c>
    </row>
    <row r="3346" spans="1:12" x14ac:dyDescent="0.25">
      <c r="A3346" s="4" t="str">
        <f>HYPERLINK("http://www.rosaceae.org/Prunus/Prunus_persica/p.persica_gdr_reftransV1_0000847","p.persica_gdr_reftransV1_0000847")</f>
        <v>p.persica_gdr_reftransV1_0000847</v>
      </c>
      <c r="B3346" s="2">
        <v>1377</v>
      </c>
      <c r="C3346" s="4" t="str">
        <f>HYPERLINK("http://www.uniprot.org/uniprot/M5WMC1","M5WMC1")</f>
        <v>M5WMC1</v>
      </c>
      <c r="D3346" s="2" t="s">
        <v>3164</v>
      </c>
      <c r="E3346" s="3">
        <v>5.1899999999999996E-180</v>
      </c>
      <c r="F3346" s="2">
        <v>1342</v>
      </c>
      <c r="G3346" s="2">
        <v>100</v>
      </c>
      <c r="H3346" s="2">
        <v>294</v>
      </c>
      <c r="I3346" s="2">
        <v>72</v>
      </c>
      <c r="J3346" s="2">
        <v>953</v>
      </c>
      <c r="K3346" s="2">
        <v>80</v>
      </c>
      <c r="L3346" s="2">
        <v>373</v>
      </c>
    </row>
    <row r="3347" spans="1:12" x14ac:dyDescent="0.25">
      <c r="A3347" s="4" t="str">
        <f>HYPERLINK("http://www.rosaceae.org/Prunus/Prunus_persica/p.persica_gdr_reftransV1_0001197","p.persica_gdr_reftransV1_0001197")</f>
        <v>p.persica_gdr_reftransV1_0001197</v>
      </c>
      <c r="B3347" s="2">
        <v>1251</v>
      </c>
      <c r="C3347" s="4" t="str">
        <f>HYPERLINK("http://www.uniprot.org/uniprot/M5X4A0","M5X4A0")</f>
        <v>M5X4A0</v>
      </c>
      <c r="D3347" s="2" t="s">
        <v>1951</v>
      </c>
      <c r="E3347" s="3">
        <v>0</v>
      </c>
      <c r="F3347" s="2">
        <v>2199</v>
      </c>
      <c r="G3347" s="2">
        <v>100</v>
      </c>
      <c r="H3347" s="2">
        <v>409</v>
      </c>
      <c r="I3347" s="2">
        <v>24</v>
      </c>
      <c r="J3347" s="2">
        <v>1250</v>
      </c>
      <c r="K3347" s="2">
        <v>337</v>
      </c>
      <c r="L3347" s="2">
        <v>745</v>
      </c>
    </row>
    <row r="3348" spans="1:12" x14ac:dyDescent="0.25">
      <c r="A3348" s="4" t="str">
        <f>HYPERLINK("http://www.rosaceae.org/Prunus/Prunus_persica/p.persica_gdr_reftransV1_0001897","p.persica_gdr_reftransV1_0001897")</f>
        <v>p.persica_gdr_reftransV1_0001897</v>
      </c>
      <c r="B3348" s="2">
        <v>2214</v>
      </c>
      <c r="C3348" s="4" t="str">
        <f>HYPERLINK("http://www.uniprot.org/uniprot/M5XDB7","M5XDB7")</f>
        <v>M5XDB7</v>
      </c>
      <c r="D3348" s="2" t="s">
        <v>3165</v>
      </c>
      <c r="E3348" s="3">
        <v>0</v>
      </c>
      <c r="F3348" s="2">
        <v>2454</v>
      </c>
      <c r="G3348" s="2">
        <v>99</v>
      </c>
      <c r="H3348" s="2">
        <v>564</v>
      </c>
      <c r="I3348" s="2">
        <v>177</v>
      </c>
      <c r="J3348" s="2">
        <v>1868</v>
      </c>
      <c r="K3348" s="2">
        <v>1</v>
      </c>
      <c r="L3348" s="2">
        <v>560</v>
      </c>
    </row>
    <row r="3349" spans="1:12" x14ac:dyDescent="0.25">
      <c r="A3349" s="4" t="str">
        <f>HYPERLINK("http://www.rosaceae.org/Prunus/Prunus_persica/p.persica_gdr_reftransV1_0002247","p.persica_gdr_reftransV1_0002247")</f>
        <v>p.persica_gdr_reftransV1_0002247</v>
      </c>
      <c r="B3349" s="2">
        <v>576</v>
      </c>
      <c r="C3349" s="4" t="str">
        <f>HYPERLINK("http://www.uniprot.org/uniprot/M5XYH8","M5XYH8")</f>
        <v>M5XYH8</v>
      </c>
      <c r="D3349" s="2" t="s">
        <v>3166</v>
      </c>
      <c r="E3349" s="3">
        <v>5.9000000000000002E-124</v>
      </c>
      <c r="F3349" s="2">
        <v>964</v>
      </c>
      <c r="G3349" s="2">
        <v>100</v>
      </c>
      <c r="H3349" s="2">
        <v>178</v>
      </c>
      <c r="I3349" s="2">
        <v>2</v>
      </c>
      <c r="J3349" s="2">
        <v>535</v>
      </c>
      <c r="K3349" s="2">
        <v>1</v>
      </c>
      <c r="L3349" s="2">
        <v>178</v>
      </c>
    </row>
    <row r="3350" spans="1:12" x14ac:dyDescent="0.25">
      <c r="A3350" s="4" t="str">
        <f>HYPERLINK("http://www.rosaceae.org/Prunus/Prunus_persica/p.persica_gdr_reftransV1_0002597","p.persica_gdr_reftransV1_0002597")</f>
        <v>p.persica_gdr_reftransV1_0002597</v>
      </c>
      <c r="B3350" s="2">
        <v>771</v>
      </c>
      <c r="C3350" s="4" t="str">
        <f>HYPERLINK("http://www.uniprot.org/uniprot/M5Y437","M5Y437")</f>
        <v>M5Y437</v>
      </c>
      <c r="D3350" s="2" t="s">
        <v>1938</v>
      </c>
      <c r="E3350" s="3">
        <v>7.3300000000000005E-172</v>
      </c>
      <c r="F3350" s="2">
        <v>1316</v>
      </c>
      <c r="G3350" s="2">
        <v>100</v>
      </c>
      <c r="H3350" s="2">
        <v>257</v>
      </c>
      <c r="I3350" s="2">
        <v>1</v>
      </c>
      <c r="J3350" s="2">
        <v>771</v>
      </c>
      <c r="K3350" s="2">
        <v>327</v>
      </c>
      <c r="L3350" s="2">
        <v>583</v>
      </c>
    </row>
    <row r="3351" spans="1:12" x14ac:dyDescent="0.25">
      <c r="A3351" s="4" t="str">
        <f>HYPERLINK("http://www.rosaceae.org/Prunus/Prunus_persica/p.persica_gdr_reftransV1_0003647","p.persica_gdr_reftransV1_0003647")</f>
        <v>p.persica_gdr_reftransV1_0003647</v>
      </c>
      <c r="B3351" s="2">
        <v>1246</v>
      </c>
      <c r="C3351" s="4" t="str">
        <f>HYPERLINK("http://www.uniprot.org/uniprot/M5X8J8","M5X8J8")</f>
        <v>M5X8J8</v>
      </c>
      <c r="D3351" s="2" t="s">
        <v>3167</v>
      </c>
      <c r="E3351" s="3">
        <v>0</v>
      </c>
      <c r="F3351" s="2">
        <v>1780</v>
      </c>
      <c r="G3351" s="2">
        <v>100</v>
      </c>
      <c r="H3351" s="2">
        <v>335</v>
      </c>
      <c r="I3351" s="2">
        <v>21</v>
      </c>
      <c r="J3351" s="2">
        <v>1025</v>
      </c>
      <c r="K3351" s="2">
        <v>419</v>
      </c>
      <c r="L3351" s="2">
        <v>753</v>
      </c>
    </row>
    <row r="3352" spans="1:12" x14ac:dyDescent="0.25">
      <c r="A3352" s="4" t="str">
        <f>HYPERLINK("http://www.rosaceae.org/Prunus/Prunus_persica/p.persica_gdr_reftransV1_0004347","p.persica_gdr_reftransV1_0004347")</f>
        <v>p.persica_gdr_reftransV1_0004347</v>
      </c>
      <c r="B3352" s="2">
        <v>1947</v>
      </c>
      <c r="C3352" s="4" t="str">
        <f>HYPERLINK("http://www.uniprot.org/uniprot/M5XC74","M5XC74")</f>
        <v>M5XC74</v>
      </c>
      <c r="D3352" s="2" t="s">
        <v>3168</v>
      </c>
      <c r="E3352" s="3">
        <v>0</v>
      </c>
      <c r="F3352" s="2">
        <v>1504</v>
      </c>
      <c r="G3352" s="2">
        <v>100</v>
      </c>
      <c r="H3352" s="2">
        <v>292</v>
      </c>
      <c r="I3352" s="2">
        <v>547</v>
      </c>
      <c r="J3352" s="2">
        <v>1422</v>
      </c>
      <c r="K3352" s="2">
        <v>246</v>
      </c>
      <c r="L3352" s="2">
        <v>537</v>
      </c>
    </row>
    <row r="3353" spans="1:12" x14ac:dyDescent="0.25">
      <c r="A3353" s="4" t="str">
        <f>HYPERLINK("http://www.rosaceae.org/Prunus/Prunus_persica/p.persica_gdr_reftransV1_0005397","p.persica_gdr_reftransV1_0005397")</f>
        <v>p.persica_gdr_reftransV1_0005397</v>
      </c>
      <c r="B3353" s="2">
        <v>804</v>
      </c>
      <c r="C3353" s="4" t="str">
        <f>HYPERLINK("http://www.uniprot.org/uniprot/M5WSS9","M5WSS9")</f>
        <v>M5WSS9</v>
      </c>
      <c r="D3353" s="2" t="s">
        <v>3169</v>
      </c>
      <c r="E3353" s="3">
        <v>2.0099999999999999E-100</v>
      </c>
      <c r="F3353" s="2">
        <v>773</v>
      </c>
      <c r="G3353" s="2">
        <v>97</v>
      </c>
      <c r="H3353" s="2">
        <v>165</v>
      </c>
      <c r="I3353" s="2">
        <v>125</v>
      </c>
      <c r="J3353" s="2">
        <v>619</v>
      </c>
      <c r="K3353" s="2">
        <v>1</v>
      </c>
      <c r="L3353" s="2">
        <v>165</v>
      </c>
    </row>
    <row r="3354" spans="1:12" x14ac:dyDescent="0.25">
      <c r="A3354" s="4" t="str">
        <f>HYPERLINK("http://www.rosaceae.org/Prunus/Prunus_persica/p.persica_gdr_reftransV1_0005747","p.persica_gdr_reftransV1_0005747")</f>
        <v>p.persica_gdr_reftransV1_0005747</v>
      </c>
      <c r="B3354" s="2">
        <v>691</v>
      </c>
      <c r="C3354" s="4" t="str">
        <f>HYPERLINK("http://www.uniprot.org/uniprot/I3SWV1","I3SWV1")</f>
        <v>I3SWV1</v>
      </c>
      <c r="D3354" s="2" t="s">
        <v>3170</v>
      </c>
      <c r="E3354" s="3">
        <v>8.3500000000000001E-78</v>
      </c>
      <c r="F3354" s="2">
        <v>622</v>
      </c>
      <c r="G3354" s="2">
        <v>71</v>
      </c>
      <c r="H3354" s="2">
        <v>164</v>
      </c>
      <c r="I3354" s="2">
        <v>200</v>
      </c>
      <c r="J3354" s="2">
        <v>691</v>
      </c>
      <c r="K3354" s="2">
        <v>1</v>
      </c>
      <c r="L3354" s="2">
        <v>164</v>
      </c>
    </row>
    <row r="3355" spans="1:12" x14ac:dyDescent="0.25">
      <c r="A3355" s="4" t="str">
        <f>HYPERLINK("http://www.rosaceae.org/Prunus/Prunus_persica/p.persica_gdr_reftransV1_0006097","p.persica_gdr_reftransV1_0006097")</f>
        <v>p.persica_gdr_reftransV1_0006097</v>
      </c>
      <c r="B3355" s="2">
        <v>464</v>
      </c>
      <c r="C3355" s="4" t="str">
        <f>HYPERLINK("http://www.uniprot.org/uniprot/M5XQK4","M5XQK4")</f>
        <v>M5XQK4</v>
      </c>
      <c r="D3355" s="2" t="s">
        <v>3171</v>
      </c>
      <c r="E3355" s="3">
        <v>3.11E-65</v>
      </c>
      <c r="F3355" s="2">
        <v>534</v>
      </c>
      <c r="G3355" s="2">
        <v>100</v>
      </c>
      <c r="H3355" s="2">
        <v>102</v>
      </c>
      <c r="I3355" s="2">
        <v>158</v>
      </c>
      <c r="J3355" s="2">
        <v>463</v>
      </c>
      <c r="K3355" s="2">
        <v>123</v>
      </c>
      <c r="L3355" s="2">
        <v>224</v>
      </c>
    </row>
    <row r="3356" spans="1:12" x14ac:dyDescent="0.25">
      <c r="A3356" s="4" t="str">
        <f>HYPERLINK("http://www.rosaceae.org/Prunus/Prunus_persica/p.persica_gdr_reftransV1_0006447","p.persica_gdr_reftransV1_0006447")</f>
        <v>p.persica_gdr_reftransV1_0006447</v>
      </c>
      <c r="B3356" s="2">
        <v>809</v>
      </c>
      <c r="C3356" s="4" t="str">
        <f>HYPERLINK("http://www.uniprot.org/uniprot/M5WRH4","M5WRH4")</f>
        <v>M5WRH4</v>
      </c>
      <c r="D3356" s="2" t="s">
        <v>3172</v>
      </c>
      <c r="E3356" s="3">
        <v>1.2700000000000001E-117</v>
      </c>
      <c r="F3356" s="2">
        <v>912</v>
      </c>
      <c r="G3356" s="2">
        <v>100</v>
      </c>
      <c r="H3356" s="2">
        <v>172</v>
      </c>
      <c r="I3356" s="2">
        <v>2</v>
      </c>
      <c r="J3356" s="2">
        <v>517</v>
      </c>
      <c r="K3356" s="2">
        <v>260</v>
      </c>
      <c r="L3356" s="2">
        <v>431</v>
      </c>
    </row>
    <row r="3357" spans="1:12" x14ac:dyDescent="0.25">
      <c r="A3357" s="4" t="str">
        <f>HYPERLINK("http://www.rosaceae.org/Prunus/Prunus_persica/p.persica_gdr_reftransV1_0007147","p.persica_gdr_reftransV1_0007147")</f>
        <v>p.persica_gdr_reftransV1_0007147</v>
      </c>
      <c r="B3357" s="2">
        <v>1065</v>
      </c>
      <c r="C3357" s="4" t="str">
        <f>HYPERLINK("http://www.uniprot.org/uniprot/M5XM02","M5XM02")</f>
        <v>M5XM02</v>
      </c>
      <c r="D3357" s="2" t="s">
        <v>3173</v>
      </c>
      <c r="E3357" s="3">
        <v>6.7499999999999998E-119</v>
      </c>
      <c r="F3357" s="2">
        <v>906</v>
      </c>
      <c r="G3357" s="2">
        <v>100</v>
      </c>
      <c r="H3357" s="2">
        <v>174</v>
      </c>
      <c r="I3357" s="2">
        <v>315</v>
      </c>
      <c r="J3357" s="2">
        <v>836</v>
      </c>
      <c r="K3357" s="2">
        <v>7</v>
      </c>
      <c r="L3357" s="2">
        <v>180</v>
      </c>
    </row>
    <row r="3358" spans="1:12" x14ac:dyDescent="0.25">
      <c r="A3358" s="4" t="str">
        <f>HYPERLINK("http://www.rosaceae.org/Prunus/Prunus_persica/p.persica_gdr_reftransV1_0007497","p.persica_gdr_reftransV1_0007497")</f>
        <v>p.persica_gdr_reftransV1_0007497</v>
      </c>
      <c r="B3358" s="2">
        <v>689</v>
      </c>
      <c r="C3358" s="4" t="str">
        <f>HYPERLINK("http://www.uniprot.org/uniprot/M5W312","M5W312")</f>
        <v>M5W312</v>
      </c>
      <c r="D3358" s="2" t="s">
        <v>3174</v>
      </c>
      <c r="E3358" s="3">
        <v>8.9800000000000002E-28</v>
      </c>
      <c r="F3358" s="2">
        <v>281</v>
      </c>
      <c r="G3358" s="2">
        <v>99</v>
      </c>
      <c r="H3358" s="2">
        <v>72</v>
      </c>
      <c r="I3358" s="2">
        <v>358</v>
      </c>
      <c r="J3358" s="2">
        <v>573</v>
      </c>
      <c r="K3358" s="2">
        <v>24</v>
      </c>
      <c r="L3358" s="2">
        <v>95</v>
      </c>
    </row>
    <row r="3359" spans="1:12" x14ac:dyDescent="0.25">
      <c r="A3359" s="4" t="str">
        <f>HYPERLINK("http://www.rosaceae.org/Prunus/Prunus_persica/p.persica_gdr_reftransV1_0007847","p.persica_gdr_reftransV1_0007847")</f>
        <v>p.persica_gdr_reftransV1_0007847</v>
      </c>
      <c r="B3359" s="2">
        <v>1499</v>
      </c>
      <c r="C3359" s="4" t="str">
        <f>HYPERLINK("http://www.uniprot.org/uniprot/M5VZQ7","M5VZQ7")</f>
        <v>M5VZQ7</v>
      </c>
      <c r="D3359" s="2" t="s">
        <v>3175</v>
      </c>
      <c r="E3359" s="3">
        <v>0</v>
      </c>
      <c r="F3359" s="2">
        <v>1809</v>
      </c>
      <c r="G3359" s="2">
        <v>100</v>
      </c>
      <c r="H3359" s="2">
        <v>369</v>
      </c>
      <c r="I3359" s="2">
        <v>82</v>
      </c>
      <c r="J3359" s="2">
        <v>1188</v>
      </c>
      <c r="K3359" s="2">
        <v>1</v>
      </c>
      <c r="L3359" s="2">
        <v>369</v>
      </c>
    </row>
    <row r="3360" spans="1:12" x14ac:dyDescent="0.25">
      <c r="A3360" s="4" t="str">
        <f>HYPERLINK("http://www.rosaceae.org/Prunus/Prunus_persica/p.persica_gdr_reftransV1_0008197","p.persica_gdr_reftransV1_0008197")</f>
        <v>p.persica_gdr_reftransV1_0008197</v>
      </c>
      <c r="B3360" s="2">
        <v>2133</v>
      </c>
      <c r="C3360" s="4" t="str">
        <f>HYPERLINK("http://www.uniprot.org/uniprot/M5X2N4","M5X2N4")</f>
        <v>M5X2N4</v>
      </c>
      <c r="D3360" s="2" t="s">
        <v>3176</v>
      </c>
      <c r="E3360" s="3">
        <v>0</v>
      </c>
      <c r="F3360" s="2">
        <v>2578</v>
      </c>
      <c r="G3360" s="2">
        <v>96</v>
      </c>
      <c r="H3360" s="2">
        <v>554</v>
      </c>
      <c r="I3360" s="2">
        <v>286</v>
      </c>
      <c r="J3360" s="2">
        <v>1947</v>
      </c>
      <c r="K3360" s="2">
        <v>1</v>
      </c>
      <c r="L3360" s="2">
        <v>536</v>
      </c>
    </row>
    <row r="3361" spans="1:12" x14ac:dyDescent="0.25">
      <c r="A3361" s="4" t="str">
        <f>HYPERLINK("http://www.rosaceae.org/Prunus/Prunus_persica/p.persica_gdr_reftransV1_0008547","p.persica_gdr_reftransV1_0008547")</f>
        <v>p.persica_gdr_reftransV1_0008547</v>
      </c>
      <c r="B3361" s="2">
        <v>1625</v>
      </c>
      <c r="C3361" s="4" t="str">
        <f>HYPERLINK("http://www.uniprot.org/uniprot/M5VPH3","M5VPH3")</f>
        <v>M5VPH3</v>
      </c>
      <c r="D3361" s="2" t="s">
        <v>3177</v>
      </c>
      <c r="E3361" s="3">
        <v>0</v>
      </c>
      <c r="F3361" s="2">
        <v>2501</v>
      </c>
      <c r="G3361" s="2">
        <v>100</v>
      </c>
      <c r="H3361" s="2">
        <v>482</v>
      </c>
      <c r="I3361" s="2">
        <v>9</v>
      </c>
      <c r="J3361" s="2">
        <v>1454</v>
      </c>
      <c r="K3361" s="2">
        <v>1</v>
      </c>
      <c r="L3361" s="2">
        <v>482</v>
      </c>
    </row>
    <row r="3362" spans="1:12" x14ac:dyDescent="0.25">
      <c r="A3362" s="4" t="str">
        <f>HYPERLINK("http://www.rosaceae.org/Prunus/Prunus_persica/p.persica_gdr_reftransV1_0009247","p.persica_gdr_reftransV1_0009247")</f>
        <v>p.persica_gdr_reftransV1_0009247</v>
      </c>
      <c r="B3362" s="2">
        <v>1077</v>
      </c>
      <c r="C3362" s="4" t="str">
        <f>HYPERLINK("http://www.uniprot.org/uniprot/M5X2V4","M5X2V4")</f>
        <v>M5X2V4</v>
      </c>
      <c r="D3362" s="2" t="s">
        <v>3178</v>
      </c>
      <c r="E3362" s="3">
        <v>4.7300000000000004E-75</v>
      </c>
      <c r="F3362" s="2">
        <v>612</v>
      </c>
      <c r="G3362" s="2">
        <v>100</v>
      </c>
      <c r="H3362" s="2">
        <v>150</v>
      </c>
      <c r="I3362" s="2">
        <v>86</v>
      </c>
      <c r="J3362" s="2">
        <v>535</v>
      </c>
      <c r="K3362" s="2">
        <v>1</v>
      </c>
      <c r="L3362" s="2">
        <v>150</v>
      </c>
    </row>
    <row r="3363" spans="1:12" x14ac:dyDescent="0.25">
      <c r="A3363" s="4" t="str">
        <f>HYPERLINK("http://www.rosaceae.org/Prunus/Prunus_persica/p.persica_gdr_reftransV1_0009947","p.persica_gdr_reftransV1_0009947")</f>
        <v>p.persica_gdr_reftransV1_0009947</v>
      </c>
      <c r="B3363" s="2">
        <v>5553</v>
      </c>
      <c r="C3363" s="4" t="str">
        <f>HYPERLINK("http://www.uniprot.org/uniprot/M5WNU7","M5WNU7")</f>
        <v>M5WNU7</v>
      </c>
      <c r="D3363" s="2" t="s">
        <v>3179</v>
      </c>
      <c r="E3363" s="3">
        <v>0</v>
      </c>
      <c r="F3363" s="2">
        <v>8270</v>
      </c>
      <c r="G3363" s="2">
        <v>100</v>
      </c>
      <c r="H3363" s="2">
        <v>1718</v>
      </c>
      <c r="I3363" s="2">
        <v>198</v>
      </c>
      <c r="J3363" s="2">
        <v>5351</v>
      </c>
      <c r="K3363" s="2">
        <v>1</v>
      </c>
      <c r="L3363" s="2">
        <v>1718</v>
      </c>
    </row>
    <row r="3364" spans="1:12" x14ac:dyDescent="0.25">
      <c r="A3364" s="4" t="str">
        <f>HYPERLINK("http://www.rosaceae.org/Prunus/Prunus_persica/p.persica_gdr_reftransV1_0010297","p.persica_gdr_reftransV1_0010297")</f>
        <v>p.persica_gdr_reftransV1_0010297</v>
      </c>
      <c r="B3364" s="2">
        <v>1098</v>
      </c>
      <c r="C3364" s="4" t="str">
        <f>HYPERLINK("http://www.uniprot.org/uniprot/M5WHP6","M5WHP6")</f>
        <v>M5WHP6</v>
      </c>
      <c r="D3364" s="2" t="s">
        <v>3180</v>
      </c>
      <c r="E3364" s="3">
        <v>6.4300000000000001E-128</v>
      </c>
      <c r="F3364" s="2">
        <v>966</v>
      </c>
      <c r="G3364" s="2">
        <v>100</v>
      </c>
      <c r="H3364" s="2">
        <v>180</v>
      </c>
      <c r="I3364" s="2">
        <v>305</v>
      </c>
      <c r="J3364" s="2">
        <v>844</v>
      </c>
      <c r="K3364" s="2">
        <v>1</v>
      </c>
      <c r="L3364" s="2">
        <v>180</v>
      </c>
    </row>
    <row r="3365" spans="1:12" x14ac:dyDescent="0.25">
      <c r="A3365" s="4" t="str">
        <f>HYPERLINK("http://www.rosaceae.org/Prunus/Prunus_persica/p.persica_gdr_reftransV1_0010647","p.persica_gdr_reftransV1_0010647")</f>
        <v>p.persica_gdr_reftransV1_0010647</v>
      </c>
      <c r="B3365" s="2">
        <v>728</v>
      </c>
      <c r="C3365" s="4" t="str">
        <f>HYPERLINK("http://www.uniprot.org/uniprot/J9UVQ2","J9UVQ2")</f>
        <v>J9UVQ2</v>
      </c>
      <c r="D3365" s="2" t="s">
        <v>3181</v>
      </c>
      <c r="E3365" s="3">
        <v>3.7300000000000002E-85</v>
      </c>
      <c r="F3365" s="2">
        <v>685</v>
      </c>
      <c r="G3365" s="2">
        <v>83</v>
      </c>
      <c r="H3365" s="2">
        <v>149</v>
      </c>
      <c r="I3365" s="2">
        <v>280</v>
      </c>
      <c r="J3365" s="2">
        <v>726</v>
      </c>
      <c r="K3365" s="2">
        <v>186</v>
      </c>
      <c r="L3365" s="2">
        <v>334</v>
      </c>
    </row>
    <row r="3366" spans="1:12" x14ac:dyDescent="0.25">
      <c r="A3366" s="4" t="str">
        <f>HYPERLINK("http://www.rosaceae.org/Prunus/Prunus_persica/p.persica_gdr_reftransV1_0011697","p.persica_gdr_reftransV1_0011697")</f>
        <v>p.persica_gdr_reftransV1_0011697</v>
      </c>
      <c r="B3366" s="2">
        <v>2592</v>
      </c>
      <c r="C3366" s="4" t="str">
        <f>HYPERLINK("http://www.uniprot.org/uniprot/M5XJU5","M5XJU5")</f>
        <v>M5XJU5</v>
      </c>
      <c r="D3366" s="2" t="s">
        <v>3182</v>
      </c>
      <c r="E3366" s="3">
        <v>0</v>
      </c>
      <c r="F3366" s="2">
        <v>2116</v>
      </c>
      <c r="G3366" s="2">
        <v>100</v>
      </c>
      <c r="H3366" s="2">
        <v>404</v>
      </c>
      <c r="I3366" s="2">
        <v>3</v>
      </c>
      <c r="J3366" s="2">
        <v>1214</v>
      </c>
      <c r="K3366" s="2">
        <v>1</v>
      </c>
      <c r="L3366" s="2">
        <v>404</v>
      </c>
    </row>
    <row r="3367" spans="1:12" x14ac:dyDescent="0.25">
      <c r="A3367" s="4" t="str">
        <f>HYPERLINK("http://www.rosaceae.org/Prunus/Prunus_persica/p.persica_gdr_reftransV1_0012047","p.persica_gdr_reftransV1_0012047")</f>
        <v>p.persica_gdr_reftransV1_0012047</v>
      </c>
      <c r="B3367" s="2">
        <v>1366</v>
      </c>
      <c r="C3367" s="4" t="str">
        <f>HYPERLINK("http://www.uniprot.org/uniprot/A0A0A0LXA8","A0A0A0LXA8")</f>
        <v>A0A0A0LXA8</v>
      </c>
      <c r="D3367" s="2" t="s">
        <v>3183</v>
      </c>
      <c r="E3367" s="3">
        <v>1.13E-159</v>
      </c>
      <c r="F3367" s="2">
        <v>1200</v>
      </c>
      <c r="G3367" s="2">
        <v>84</v>
      </c>
      <c r="H3367" s="2">
        <v>275</v>
      </c>
      <c r="I3367" s="2">
        <v>330</v>
      </c>
      <c r="J3367" s="2">
        <v>1154</v>
      </c>
      <c r="K3367" s="2">
        <v>60</v>
      </c>
      <c r="L3367" s="2">
        <v>329</v>
      </c>
    </row>
    <row r="3368" spans="1:12" x14ac:dyDescent="0.25">
      <c r="A3368" s="4" t="str">
        <f>HYPERLINK("http://www.rosaceae.org/Prunus/Prunus_persica/p.persica_gdr_reftransV1_0013097","p.persica_gdr_reftransV1_0013097")</f>
        <v>p.persica_gdr_reftransV1_0013097</v>
      </c>
      <c r="B3368" s="2">
        <v>1538</v>
      </c>
      <c r="C3368" s="4" t="str">
        <f>HYPERLINK("http://www.uniprot.org/uniprot/M5WXB4","M5WXB4")</f>
        <v>M5WXB4</v>
      </c>
      <c r="D3368" s="2" t="s">
        <v>3184</v>
      </c>
      <c r="E3368" s="3">
        <v>0</v>
      </c>
      <c r="F3368" s="2">
        <v>2033</v>
      </c>
      <c r="G3368" s="2">
        <v>100</v>
      </c>
      <c r="H3368" s="2">
        <v>399</v>
      </c>
      <c r="I3368" s="2">
        <v>247</v>
      </c>
      <c r="J3368" s="2">
        <v>1443</v>
      </c>
      <c r="K3368" s="2">
        <v>1</v>
      </c>
      <c r="L3368" s="2">
        <v>399</v>
      </c>
    </row>
    <row r="3369" spans="1:12" x14ac:dyDescent="0.25">
      <c r="A3369" s="4" t="str">
        <f>HYPERLINK("http://www.rosaceae.org/Prunus/Prunus_persica/p.persica_gdr_reftransV1_0013447","p.persica_gdr_reftransV1_0013447")</f>
        <v>p.persica_gdr_reftransV1_0013447</v>
      </c>
      <c r="B3369" s="2">
        <v>2788</v>
      </c>
      <c r="C3369" s="4" t="str">
        <f>HYPERLINK("http://www.uniprot.org/uniprot/M5X3S4","M5X3S4")</f>
        <v>M5X3S4</v>
      </c>
      <c r="D3369" s="2" t="s">
        <v>3185</v>
      </c>
      <c r="E3369" s="3">
        <v>0</v>
      </c>
      <c r="F3369" s="2">
        <v>3750</v>
      </c>
      <c r="G3369" s="2">
        <v>94</v>
      </c>
      <c r="H3369" s="2">
        <v>760</v>
      </c>
      <c r="I3369" s="2">
        <v>509</v>
      </c>
      <c r="J3369" s="2">
        <v>2788</v>
      </c>
      <c r="K3369" s="2">
        <v>1</v>
      </c>
      <c r="L3369" s="2">
        <v>713</v>
      </c>
    </row>
    <row r="3370" spans="1:12" x14ac:dyDescent="0.25">
      <c r="A3370" s="4" t="str">
        <f>HYPERLINK("http://www.rosaceae.org/Prunus/Prunus_persica/p.persica_gdr_reftransV1_0014147","p.persica_gdr_reftransV1_0014147")</f>
        <v>p.persica_gdr_reftransV1_0014147</v>
      </c>
      <c r="B3370" s="2">
        <v>1180</v>
      </c>
      <c r="C3370" s="4" t="str">
        <f>HYPERLINK("http://www.uniprot.org/uniprot/M5X1T6","M5X1T6")</f>
        <v>M5X1T6</v>
      </c>
      <c r="D3370" s="2" t="s">
        <v>3186</v>
      </c>
      <c r="E3370" s="3">
        <v>9.56E-112</v>
      </c>
      <c r="F3370" s="2">
        <v>870</v>
      </c>
      <c r="G3370" s="2">
        <v>99</v>
      </c>
      <c r="H3370" s="2">
        <v>233</v>
      </c>
      <c r="I3370" s="2">
        <v>272</v>
      </c>
      <c r="J3370" s="2">
        <v>970</v>
      </c>
      <c r="K3370" s="2">
        <v>24</v>
      </c>
      <c r="L3370" s="2">
        <v>256</v>
      </c>
    </row>
    <row r="3371" spans="1:12" x14ac:dyDescent="0.25">
      <c r="A3371" s="4" t="str">
        <f>HYPERLINK("http://www.rosaceae.org/Prunus/Prunus_persica/p.persica_gdr_reftransV1_0014847","p.persica_gdr_reftransV1_0014847")</f>
        <v>p.persica_gdr_reftransV1_0014847</v>
      </c>
      <c r="B3371" s="2">
        <v>2114</v>
      </c>
      <c r="C3371" s="4" t="str">
        <f>HYPERLINK("http://www.uniprot.org/uniprot/M5WB58","M5WB58")</f>
        <v>M5WB58</v>
      </c>
      <c r="D3371" s="2" t="s">
        <v>3187</v>
      </c>
      <c r="E3371" s="3">
        <v>0</v>
      </c>
      <c r="F3371" s="2">
        <v>1639</v>
      </c>
      <c r="G3371" s="2">
        <v>99</v>
      </c>
      <c r="H3371" s="2">
        <v>397</v>
      </c>
      <c r="I3371" s="2">
        <v>624</v>
      </c>
      <c r="J3371" s="2">
        <v>1814</v>
      </c>
      <c r="K3371" s="2">
        <v>1</v>
      </c>
      <c r="L3371" s="2">
        <v>397</v>
      </c>
    </row>
    <row r="3372" spans="1:12" x14ac:dyDescent="0.25">
      <c r="A3372" s="4" t="str">
        <f>HYPERLINK("http://www.rosaceae.org/Prunus/Prunus_persica/p.persica_gdr_reftransV1_0016247","p.persica_gdr_reftransV1_0016247")</f>
        <v>p.persica_gdr_reftransV1_0016247</v>
      </c>
      <c r="B3372" s="2">
        <v>1508</v>
      </c>
      <c r="C3372" s="4" t="str">
        <f>HYPERLINK("http://www.uniprot.org/uniprot/M5WGB8","M5WGB8")</f>
        <v>M5WGB8</v>
      </c>
      <c r="D3372" s="2" t="s">
        <v>3188</v>
      </c>
      <c r="E3372" s="3">
        <v>0</v>
      </c>
      <c r="F3372" s="2">
        <v>1589</v>
      </c>
      <c r="G3372" s="2">
        <v>100</v>
      </c>
      <c r="H3372" s="2">
        <v>318</v>
      </c>
      <c r="I3372" s="2">
        <v>456</v>
      </c>
      <c r="J3372" s="2">
        <v>1409</v>
      </c>
      <c r="K3372" s="2">
        <v>1</v>
      </c>
      <c r="L3372" s="2">
        <v>318</v>
      </c>
    </row>
    <row r="3373" spans="1:12" x14ac:dyDescent="0.25">
      <c r="A3373" s="4" t="str">
        <f>HYPERLINK("http://www.rosaceae.org/Prunus/Prunus_persica/p.persica_gdr_reftransV1_0016597","p.persica_gdr_reftransV1_0016597")</f>
        <v>p.persica_gdr_reftransV1_0016597</v>
      </c>
      <c r="B3373" s="2">
        <v>4844</v>
      </c>
      <c r="C3373" s="4" t="str">
        <f>HYPERLINK("http://www.uniprot.org/uniprot/M5X5M8","M5X5M8")</f>
        <v>M5X5M8</v>
      </c>
      <c r="D3373" s="2" t="s">
        <v>3189</v>
      </c>
      <c r="E3373" s="3">
        <v>0</v>
      </c>
      <c r="F3373" s="2">
        <v>6179</v>
      </c>
      <c r="G3373" s="2">
        <v>97</v>
      </c>
      <c r="H3373" s="2">
        <v>1189</v>
      </c>
      <c r="I3373" s="2">
        <v>856</v>
      </c>
      <c r="J3373" s="2">
        <v>4422</v>
      </c>
      <c r="K3373" s="2">
        <v>1</v>
      </c>
      <c r="L3373" s="2">
        <v>1172</v>
      </c>
    </row>
    <row r="3374" spans="1:12" x14ac:dyDescent="0.25">
      <c r="A3374" s="4" t="str">
        <f>HYPERLINK("http://www.rosaceae.org/Prunus/Prunus_persica/p.persica_gdr_reftransV1_0017647","p.persica_gdr_reftransV1_0017647")</f>
        <v>p.persica_gdr_reftransV1_0017647</v>
      </c>
      <c r="B3374" s="2">
        <v>4423</v>
      </c>
      <c r="C3374" s="4" t="str">
        <f>HYPERLINK("http://www.uniprot.org/uniprot/M5XVM6","M5XVM6")</f>
        <v>M5XVM6</v>
      </c>
      <c r="D3374" s="2" t="s">
        <v>3190</v>
      </c>
      <c r="E3374" s="3">
        <v>3.6E-119</v>
      </c>
      <c r="F3374" s="2">
        <v>1024</v>
      </c>
      <c r="G3374" s="2">
        <v>99</v>
      </c>
      <c r="H3374" s="2">
        <v>187</v>
      </c>
      <c r="I3374" s="2">
        <v>1814</v>
      </c>
      <c r="J3374" s="2">
        <v>2374</v>
      </c>
      <c r="K3374" s="2">
        <v>254</v>
      </c>
      <c r="L3374" s="2">
        <v>440</v>
      </c>
    </row>
    <row r="3375" spans="1:12" x14ac:dyDescent="0.25">
      <c r="A3375" s="4" t="str">
        <f>HYPERLINK("http://www.rosaceae.org/Prunus/Prunus_persica/p.persica_gdr_reftransV1_0019047","p.persica_gdr_reftransV1_0019047")</f>
        <v>p.persica_gdr_reftransV1_0019047</v>
      </c>
      <c r="B3375" s="2">
        <v>2405</v>
      </c>
      <c r="C3375" s="4" t="str">
        <f>HYPERLINK("http://www.uniprot.org/uniprot/M5VUC4","M5VUC4")</f>
        <v>M5VUC4</v>
      </c>
      <c r="D3375" s="2" t="s">
        <v>3191</v>
      </c>
      <c r="E3375" s="3">
        <v>0</v>
      </c>
      <c r="F3375" s="2">
        <v>2144</v>
      </c>
      <c r="G3375" s="2">
        <v>100</v>
      </c>
      <c r="H3375" s="2">
        <v>479</v>
      </c>
      <c r="I3375" s="2">
        <v>290</v>
      </c>
      <c r="J3375" s="2">
        <v>1726</v>
      </c>
      <c r="K3375" s="2">
        <v>1</v>
      </c>
      <c r="L3375" s="2">
        <v>479</v>
      </c>
    </row>
    <row r="3376" spans="1:12" x14ac:dyDescent="0.25">
      <c r="A3376" s="4" t="str">
        <f>HYPERLINK("http://www.rosaceae.org/Prunus/Prunus_persica/p.persica_gdr_reftransV1_0019747","p.persica_gdr_reftransV1_0019747")</f>
        <v>p.persica_gdr_reftransV1_0019747</v>
      </c>
      <c r="B3376" s="2">
        <v>1502</v>
      </c>
      <c r="C3376" s="4" t="str">
        <f>HYPERLINK("http://www.uniprot.org/uniprot/M5XVQ6","M5XVQ6")</f>
        <v>M5XVQ6</v>
      </c>
      <c r="D3376" s="2" t="s">
        <v>3192</v>
      </c>
      <c r="E3376" s="3">
        <v>0</v>
      </c>
      <c r="F3376" s="2">
        <v>2306</v>
      </c>
      <c r="G3376" s="2">
        <v>100</v>
      </c>
      <c r="H3376" s="2">
        <v>426</v>
      </c>
      <c r="I3376" s="2">
        <v>225</v>
      </c>
      <c r="J3376" s="2">
        <v>1502</v>
      </c>
      <c r="K3376" s="2">
        <v>177</v>
      </c>
      <c r="L3376" s="2">
        <v>602</v>
      </c>
    </row>
    <row r="3377" spans="1:12" x14ac:dyDescent="0.25">
      <c r="A3377" s="4" t="str">
        <f>HYPERLINK("http://www.rosaceae.org/Prunus/Prunus_persica/p.persica_gdr_reftransV1_0021847","p.persica_gdr_reftransV1_0021847")</f>
        <v>p.persica_gdr_reftransV1_0021847</v>
      </c>
      <c r="B3377" s="2">
        <v>1535</v>
      </c>
      <c r="C3377" s="4" t="str">
        <f>HYPERLINK("http://www.uniprot.org/uniprot/M5WXR3","M5WXR3")</f>
        <v>M5WXR3</v>
      </c>
      <c r="D3377" s="2" t="s">
        <v>3193</v>
      </c>
      <c r="E3377" s="3">
        <v>5.49E-55</v>
      </c>
      <c r="F3377" s="2">
        <v>356</v>
      </c>
      <c r="G3377" s="2">
        <v>100</v>
      </c>
      <c r="H3377" s="2">
        <v>104</v>
      </c>
      <c r="I3377" s="2">
        <v>456</v>
      </c>
      <c r="J3377" s="2">
        <v>767</v>
      </c>
      <c r="K3377" s="2">
        <v>47</v>
      </c>
      <c r="L3377" s="2">
        <v>150</v>
      </c>
    </row>
    <row r="3378" spans="1:12" x14ac:dyDescent="0.25">
      <c r="A3378" s="4" t="str">
        <f>HYPERLINK("http://www.rosaceae.org/Prunus/Prunus_persica/p.persica_gdr_reftransV1_0023597","p.persica_gdr_reftransV1_0023597")</f>
        <v>p.persica_gdr_reftransV1_0023597</v>
      </c>
      <c r="B3378" s="2">
        <v>2545</v>
      </c>
      <c r="C3378" s="4" t="str">
        <f>HYPERLINK("http://www.uniprot.org/uniprot/M5VIL1","M5VIL1")</f>
        <v>M5VIL1</v>
      </c>
      <c r="D3378" s="2" t="s">
        <v>3194</v>
      </c>
      <c r="E3378" s="3">
        <v>0</v>
      </c>
      <c r="F3378" s="2">
        <v>3106</v>
      </c>
      <c r="G3378" s="2">
        <v>100</v>
      </c>
      <c r="H3378" s="2">
        <v>610</v>
      </c>
      <c r="I3378" s="2">
        <v>507</v>
      </c>
      <c r="J3378" s="2">
        <v>2336</v>
      </c>
      <c r="K3378" s="2">
        <v>20</v>
      </c>
      <c r="L3378" s="2">
        <v>629</v>
      </c>
    </row>
    <row r="3379" spans="1:12" x14ac:dyDescent="0.25">
      <c r="A3379" s="4" t="str">
        <f>HYPERLINK("http://www.rosaceae.org/Prunus/Prunus_persica/p.persica_gdr_reftransV1_0025347","p.persica_gdr_reftransV1_0025347")</f>
        <v>p.persica_gdr_reftransV1_0025347</v>
      </c>
      <c r="B3379" s="2">
        <v>2319</v>
      </c>
      <c r="C3379" s="4" t="str">
        <f>HYPERLINK("http://www.uniprot.org/uniprot/M5XG82","M5XG82")</f>
        <v>M5XG82</v>
      </c>
      <c r="D3379" s="2" t="s">
        <v>3195</v>
      </c>
      <c r="E3379" s="3">
        <v>0</v>
      </c>
      <c r="F3379" s="2">
        <v>2725</v>
      </c>
      <c r="G3379" s="2">
        <v>100</v>
      </c>
      <c r="H3379" s="2">
        <v>508</v>
      </c>
      <c r="I3379" s="2">
        <v>541</v>
      </c>
      <c r="J3379" s="2">
        <v>2064</v>
      </c>
      <c r="K3379" s="2">
        <v>1</v>
      </c>
      <c r="L3379" s="2">
        <v>508</v>
      </c>
    </row>
    <row r="3380" spans="1:12" x14ac:dyDescent="0.25">
      <c r="A3380" s="4" t="str">
        <f>HYPERLINK("http://www.rosaceae.org/Prunus/Prunus_persica/p.persica_gdr_reftransV1_0025697","p.persica_gdr_reftransV1_0025697")</f>
        <v>p.persica_gdr_reftransV1_0025697</v>
      </c>
      <c r="B3380" s="2">
        <v>2368</v>
      </c>
      <c r="C3380" s="4" t="str">
        <f>HYPERLINK("http://www.uniprot.org/uniprot/M5XV12","M5XV12")</f>
        <v>M5XV12</v>
      </c>
      <c r="D3380" s="2" t="s">
        <v>3196</v>
      </c>
      <c r="E3380" s="3">
        <v>0</v>
      </c>
      <c r="F3380" s="2">
        <v>1657</v>
      </c>
      <c r="G3380" s="2">
        <v>100</v>
      </c>
      <c r="H3380" s="2">
        <v>330</v>
      </c>
      <c r="I3380" s="2">
        <v>1140</v>
      </c>
      <c r="J3380" s="2">
        <v>2129</v>
      </c>
      <c r="K3380" s="2">
        <v>1</v>
      </c>
      <c r="L3380" s="2">
        <v>330</v>
      </c>
    </row>
    <row r="3381" spans="1:12" x14ac:dyDescent="0.25">
      <c r="A3381" s="4" t="str">
        <f>HYPERLINK("http://www.rosaceae.org/Prunus/Prunus_persica/p.persica_gdr_reftransV1_0026747","p.persica_gdr_reftransV1_0026747")</f>
        <v>p.persica_gdr_reftransV1_0026747</v>
      </c>
      <c r="B3381" s="2">
        <v>2358</v>
      </c>
      <c r="C3381" s="4" t="str">
        <f>HYPERLINK("http://www.uniprot.org/uniprot/M5XYM7","M5XYM7")</f>
        <v>M5XYM7</v>
      </c>
      <c r="D3381" s="2" t="s">
        <v>3197</v>
      </c>
      <c r="E3381" s="3">
        <v>9.1700000000000001E-105</v>
      </c>
      <c r="F3381" s="2">
        <v>868</v>
      </c>
      <c r="G3381" s="2">
        <v>100</v>
      </c>
      <c r="H3381" s="2">
        <v>163</v>
      </c>
      <c r="I3381" s="2">
        <v>1538</v>
      </c>
      <c r="J3381" s="2">
        <v>2026</v>
      </c>
      <c r="K3381" s="2">
        <v>219</v>
      </c>
      <c r="L3381" s="2">
        <v>381</v>
      </c>
    </row>
    <row r="3382" spans="1:12" x14ac:dyDescent="0.25">
      <c r="A3382" s="4" t="str">
        <f>HYPERLINK("http://www.rosaceae.org/Prunus/Prunus_persica/p.persica_gdr_reftransV1_0027447","p.persica_gdr_reftransV1_0027447")</f>
        <v>p.persica_gdr_reftransV1_0027447</v>
      </c>
      <c r="B3382" s="2">
        <v>2245</v>
      </c>
      <c r="C3382" s="4" t="str">
        <f>HYPERLINK("http://www.uniprot.org/uniprot/M5WSU9","M5WSU9")</f>
        <v>M5WSU9</v>
      </c>
      <c r="D3382" s="2" t="s">
        <v>3198</v>
      </c>
      <c r="E3382" s="3">
        <v>0</v>
      </c>
      <c r="F3382" s="2">
        <v>1408</v>
      </c>
      <c r="G3382" s="2">
        <v>89</v>
      </c>
      <c r="H3382" s="2">
        <v>365</v>
      </c>
      <c r="I3382" s="2">
        <v>800</v>
      </c>
      <c r="J3382" s="2">
        <v>1894</v>
      </c>
      <c r="K3382" s="2">
        <v>1</v>
      </c>
      <c r="L3382" s="2">
        <v>333</v>
      </c>
    </row>
    <row r="3383" spans="1:12" x14ac:dyDescent="0.25">
      <c r="A3383" s="4" t="str">
        <f>HYPERLINK("http://www.rosaceae.org/Prunus/Prunus_persica/p.persica_gdr_reftransV1_0027797","p.persica_gdr_reftransV1_0027797")</f>
        <v>p.persica_gdr_reftransV1_0027797</v>
      </c>
      <c r="B3383" s="2">
        <v>1858</v>
      </c>
      <c r="C3383" s="4" t="str">
        <f>HYPERLINK("http://www.uniprot.org/uniprot/M5WXI0","M5WXI0")</f>
        <v>M5WXI0</v>
      </c>
      <c r="D3383" s="2" t="s">
        <v>3199</v>
      </c>
      <c r="E3383" s="3">
        <v>0</v>
      </c>
      <c r="F3383" s="2">
        <v>2565</v>
      </c>
      <c r="G3383" s="2">
        <v>100</v>
      </c>
      <c r="H3383" s="2">
        <v>510</v>
      </c>
      <c r="I3383" s="2">
        <v>48</v>
      </c>
      <c r="J3383" s="2">
        <v>1577</v>
      </c>
      <c r="K3383" s="2">
        <v>1</v>
      </c>
      <c r="L3383" s="2">
        <v>510</v>
      </c>
    </row>
    <row r="3384" spans="1:12" x14ac:dyDescent="0.25">
      <c r="A3384" s="4" t="str">
        <f>HYPERLINK("http://www.rosaceae.org/Prunus/Prunus_persica/p.persica_gdr_reftransV1_0028847","p.persica_gdr_reftransV1_0028847")</f>
        <v>p.persica_gdr_reftransV1_0028847</v>
      </c>
      <c r="B3384" s="2">
        <v>461</v>
      </c>
      <c r="C3384" s="4" t="str">
        <f>HYPERLINK("http://www.uniprot.org/uniprot/M5XS83","M5XS83")</f>
        <v>M5XS83</v>
      </c>
      <c r="D3384" s="2" t="s">
        <v>3200</v>
      </c>
      <c r="E3384" s="3">
        <v>4.2600000000000003E-64</v>
      </c>
      <c r="F3384" s="2">
        <v>555</v>
      </c>
      <c r="G3384" s="2">
        <v>99</v>
      </c>
      <c r="H3384" s="2">
        <v>105</v>
      </c>
      <c r="I3384" s="2">
        <v>77</v>
      </c>
      <c r="J3384" s="2">
        <v>391</v>
      </c>
      <c r="K3384" s="2">
        <v>1</v>
      </c>
      <c r="L3384" s="2">
        <v>105</v>
      </c>
    </row>
    <row r="3385" spans="1:12" x14ac:dyDescent="0.25">
      <c r="A3385" s="4" t="str">
        <f>HYPERLINK("http://www.rosaceae.org/Prunus/Prunus_persica/p.persica_gdr_reftransV1_0029197","p.persica_gdr_reftransV1_0029197")</f>
        <v>p.persica_gdr_reftransV1_0029197</v>
      </c>
      <c r="B3385" s="2">
        <v>2964</v>
      </c>
      <c r="C3385" s="4" t="str">
        <f>HYPERLINK("http://www.uniprot.org/uniprot/M5W8I1","M5W8I1")</f>
        <v>M5W8I1</v>
      </c>
      <c r="D3385" s="2" t="s">
        <v>3201</v>
      </c>
      <c r="E3385" s="3">
        <v>0</v>
      </c>
      <c r="F3385" s="2">
        <v>1020</v>
      </c>
      <c r="G3385" s="2">
        <v>100</v>
      </c>
      <c r="H3385" s="2">
        <v>214</v>
      </c>
      <c r="I3385" s="2">
        <v>163</v>
      </c>
      <c r="J3385" s="2">
        <v>804</v>
      </c>
      <c r="K3385" s="2">
        <v>361</v>
      </c>
      <c r="L3385" s="2">
        <v>574</v>
      </c>
    </row>
    <row r="3386" spans="1:12" x14ac:dyDescent="0.25">
      <c r="A3386" s="4" t="str">
        <f>HYPERLINK("http://www.rosaceae.org/Prunus/Prunus_persica/p.persica_gdr_reftransV1_0029897","p.persica_gdr_reftransV1_0029897")</f>
        <v>p.persica_gdr_reftransV1_0029897</v>
      </c>
      <c r="B3386" s="2">
        <v>453</v>
      </c>
      <c r="C3386" s="4" t="str">
        <f>HYPERLINK("http://www.uniprot.org/uniprot/A0A0D2SSS3","A0A0D2SSS3")</f>
        <v>A0A0D2SSS3</v>
      </c>
      <c r="D3386" s="2" t="s">
        <v>3202</v>
      </c>
      <c r="E3386" s="3">
        <v>1.6399999999999999E-9</v>
      </c>
      <c r="F3386" s="2">
        <v>147</v>
      </c>
      <c r="G3386" s="2">
        <v>39</v>
      </c>
      <c r="H3386" s="2">
        <v>100</v>
      </c>
      <c r="I3386" s="2">
        <v>113</v>
      </c>
      <c r="J3386" s="2">
        <v>391</v>
      </c>
      <c r="K3386" s="2">
        <v>1</v>
      </c>
      <c r="L3386" s="2">
        <v>90</v>
      </c>
    </row>
    <row r="3387" spans="1:12" x14ac:dyDescent="0.25">
      <c r="A3387" s="4" t="str">
        <f>HYPERLINK("http://www.rosaceae.org/Prunus/Prunus_persica/p.persica_gdr_reftransV1_0030947","p.persica_gdr_reftransV1_0030947")</f>
        <v>p.persica_gdr_reftransV1_0030947</v>
      </c>
      <c r="B3387" s="2">
        <v>2018</v>
      </c>
      <c r="C3387" s="4" t="str">
        <f>HYPERLINK("http://www.uniprot.org/uniprot/M5XKS4","M5XKS4")</f>
        <v>M5XKS4</v>
      </c>
      <c r="D3387" s="2" t="s">
        <v>3203</v>
      </c>
      <c r="E3387" s="3">
        <v>0</v>
      </c>
      <c r="F3387" s="2">
        <v>2199</v>
      </c>
      <c r="G3387" s="2">
        <v>100</v>
      </c>
      <c r="H3387" s="2">
        <v>455</v>
      </c>
      <c r="I3387" s="2">
        <v>652</v>
      </c>
      <c r="J3387" s="2">
        <v>2016</v>
      </c>
      <c r="K3387" s="2">
        <v>501</v>
      </c>
      <c r="L3387" s="2">
        <v>955</v>
      </c>
    </row>
    <row r="3388" spans="1:12" x14ac:dyDescent="0.25">
      <c r="A3388" s="4" t="str">
        <f>HYPERLINK("http://www.rosaceae.org/Prunus/Prunus_persica/p.persica_gdr_reftransV1_0033047","p.persica_gdr_reftransV1_0033047")</f>
        <v>p.persica_gdr_reftransV1_0033047</v>
      </c>
      <c r="B3388" s="2">
        <v>3438</v>
      </c>
      <c r="C3388" s="4" t="str">
        <f>HYPERLINK("http://www.uniprot.org/uniprot/M5WTK2","M5WTK2")</f>
        <v>M5WTK2</v>
      </c>
      <c r="D3388" s="2" t="s">
        <v>3204</v>
      </c>
      <c r="E3388" s="3">
        <v>2.15E-144</v>
      </c>
      <c r="F3388" s="2">
        <v>1169</v>
      </c>
      <c r="G3388" s="2">
        <v>100</v>
      </c>
      <c r="H3388" s="2">
        <v>260</v>
      </c>
      <c r="I3388" s="2">
        <v>860</v>
      </c>
      <c r="J3388" s="2">
        <v>1639</v>
      </c>
      <c r="K3388" s="2">
        <v>1</v>
      </c>
      <c r="L3388" s="2">
        <v>260</v>
      </c>
    </row>
    <row r="3389" spans="1:12" x14ac:dyDescent="0.25">
      <c r="A3389" s="4" t="str">
        <f>HYPERLINK("http://www.rosaceae.org/Prunus/Prunus_persica/p.persica_gdr_reftransV1_0033747","p.persica_gdr_reftransV1_0033747")</f>
        <v>p.persica_gdr_reftransV1_0033747</v>
      </c>
      <c r="B3389" s="2">
        <v>5308</v>
      </c>
      <c r="C3389" s="4" t="str">
        <f>HYPERLINK("http://www.uniprot.org/uniprot/M5X3L2","M5X3L2")</f>
        <v>M5X3L2</v>
      </c>
      <c r="D3389" s="2" t="s">
        <v>3205</v>
      </c>
      <c r="E3389" s="3">
        <v>0</v>
      </c>
      <c r="F3389" s="2">
        <v>7478</v>
      </c>
      <c r="G3389" s="2">
        <v>97</v>
      </c>
      <c r="H3389" s="2">
        <v>1469</v>
      </c>
      <c r="I3389" s="2">
        <v>590</v>
      </c>
      <c r="J3389" s="2">
        <v>4996</v>
      </c>
      <c r="K3389" s="2">
        <v>1</v>
      </c>
      <c r="L3389" s="2">
        <v>1469</v>
      </c>
    </row>
    <row r="3390" spans="1:12" x14ac:dyDescent="0.25">
      <c r="A3390" s="4" t="str">
        <f>HYPERLINK("http://www.rosaceae.org/Prunus/Prunus_persica/p.persica_gdr_reftransV1_0035497","p.persica_gdr_reftransV1_0035497")</f>
        <v>p.persica_gdr_reftransV1_0035497</v>
      </c>
      <c r="B3390" s="2">
        <v>1698</v>
      </c>
      <c r="C3390" s="4" t="str">
        <f>HYPERLINK("http://www.uniprot.org/uniprot/M5X415","M5X415")</f>
        <v>M5X415</v>
      </c>
      <c r="D3390" s="2" t="s">
        <v>3206</v>
      </c>
      <c r="E3390" s="3">
        <v>0</v>
      </c>
      <c r="F3390" s="2">
        <v>1881</v>
      </c>
      <c r="G3390" s="2">
        <v>96</v>
      </c>
      <c r="H3390" s="2">
        <v>384</v>
      </c>
      <c r="I3390" s="2">
        <v>3</v>
      </c>
      <c r="J3390" s="2">
        <v>1154</v>
      </c>
      <c r="K3390" s="2">
        <v>1</v>
      </c>
      <c r="L3390" s="2">
        <v>369</v>
      </c>
    </row>
    <row r="3391" spans="1:12" x14ac:dyDescent="0.25">
      <c r="A3391" s="4" t="str">
        <f>HYPERLINK("http://www.rosaceae.org/Prunus/Prunus_persica/p.persica_gdr_reftransV1_0036197","p.persica_gdr_reftransV1_0036197")</f>
        <v>p.persica_gdr_reftransV1_0036197</v>
      </c>
      <c r="B3391" s="2">
        <v>2158</v>
      </c>
      <c r="C3391" s="4" t="str">
        <f>HYPERLINK("http://www.uniprot.org/uniprot/M5X7Z3","M5X7Z3")</f>
        <v>M5X7Z3</v>
      </c>
      <c r="D3391" s="2" t="s">
        <v>3207</v>
      </c>
      <c r="E3391" s="3">
        <v>0</v>
      </c>
      <c r="F3391" s="2">
        <v>2565</v>
      </c>
      <c r="G3391" s="2">
        <v>100</v>
      </c>
      <c r="H3391" s="2">
        <v>474</v>
      </c>
      <c r="I3391" s="2">
        <v>359</v>
      </c>
      <c r="J3391" s="2">
        <v>1780</v>
      </c>
      <c r="K3391" s="2">
        <v>1</v>
      </c>
      <c r="L3391" s="2">
        <v>474</v>
      </c>
    </row>
    <row r="3392" spans="1:12" x14ac:dyDescent="0.25">
      <c r="A3392" s="4" t="str">
        <f>HYPERLINK("http://www.rosaceae.org/Prunus/Prunus_persica/p.persica_gdr_reftransV1_0036897","p.persica_gdr_reftransV1_0036897")</f>
        <v>p.persica_gdr_reftransV1_0036897</v>
      </c>
      <c r="B3392" s="2">
        <v>5403</v>
      </c>
      <c r="C3392" s="4" t="str">
        <f>HYPERLINK("http://www.uniprot.org/uniprot/M5WYT9","M5WYT9")</f>
        <v>M5WYT9</v>
      </c>
      <c r="D3392" s="2" t="s">
        <v>3208</v>
      </c>
      <c r="E3392" s="3">
        <v>0</v>
      </c>
      <c r="F3392" s="2">
        <v>3826</v>
      </c>
      <c r="G3392" s="2">
        <v>96</v>
      </c>
      <c r="H3392" s="2">
        <v>790</v>
      </c>
      <c r="I3392" s="2">
        <v>458</v>
      </c>
      <c r="J3392" s="2">
        <v>2731</v>
      </c>
      <c r="K3392" s="2">
        <v>1</v>
      </c>
      <c r="L3392" s="2">
        <v>790</v>
      </c>
    </row>
    <row r="3393" spans="1:12" x14ac:dyDescent="0.25">
      <c r="A3393" s="4" t="str">
        <f>HYPERLINK("http://www.rosaceae.org/Prunus/Prunus_persica/p.persica_gdr_reftransV1_0038647","p.persica_gdr_reftransV1_0038647")</f>
        <v>p.persica_gdr_reftransV1_0038647</v>
      </c>
      <c r="B3393" s="2">
        <v>2672</v>
      </c>
      <c r="C3393" s="4" t="str">
        <f>HYPERLINK("http://www.uniprot.org/uniprot/M5W9N8","M5W9N8")</f>
        <v>M5W9N8</v>
      </c>
      <c r="D3393" s="2" t="s">
        <v>3209</v>
      </c>
      <c r="E3393" s="3">
        <v>9.9500000000000007E-140</v>
      </c>
      <c r="F3393" s="2">
        <v>1109</v>
      </c>
      <c r="G3393" s="2">
        <v>100</v>
      </c>
      <c r="H3393" s="2">
        <v>207</v>
      </c>
      <c r="I3393" s="2">
        <v>264</v>
      </c>
      <c r="J3393" s="2">
        <v>884</v>
      </c>
      <c r="K3393" s="2">
        <v>1</v>
      </c>
      <c r="L3393" s="2">
        <v>207</v>
      </c>
    </row>
    <row r="3394" spans="1:12" x14ac:dyDescent="0.25">
      <c r="A3394" s="4" t="str">
        <f>HYPERLINK("http://www.rosaceae.org/Prunus/Prunus_persica/p.persica_gdr_reftransV1_0039347","p.persica_gdr_reftransV1_0039347")</f>
        <v>p.persica_gdr_reftransV1_0039347</v>
      </c>
      <c r="B3394" s="2">
        <v>2379</v>
      </c>
      <c r="C3394" s="4" t="str">
        <f>HYPERLINK("http://www.uniprot.org/uniprot/M5XYQ6","M5XYQ6")</f>
        <v>M5XYQ6</v>
      </c>
      <c r="D3394" s="2" t="s">
        <v>3210</v>
      </c>
      <c r="E3394" s="3">
        <v>5.3499999999999997E-90</v>
      </c>
      <c r="F3394" s="2">
        <v>767</v>
      </c>
      <c r="G3394" s="2">
        <v>100</v>
      </c>
      <c r="H3394" s="2">
        <v>144</v>
      </c>
      <c r="I3394" s="2">
        <v>922</v>
      </c>
      <c r="J3394" s="2">
        <v>1353</v>
      </c>
      <c r="K3394" s="2">
        <v>71</v>
      </c>
      <c r="L3394" s="2">
        <v>214</v>
      </c>
    </row>
    <row r="3395" spans="1:12" x14ac:dyDescent="0.25">
      <c r="A3395" s="4" t="str">
        <f>HYPERLINK("http://www.rosaceae.org/Prunus/Prunus_persica/p.persica_gdr_reftransV1_0039697","p.persica_gdr_reftransV1_0039697")</f>
        <v>p.persica_gdr_reftransV1_0039697</v>
      </c>
      <c r="B3395" s="2">
        <v>3906</v>
      </c>
      <c r="C3395" s="4" t="str">
        <f>HYPERLINK("http://www.uniprot.org/uniprot/M5XML9","M5XML9")</f>
        <v>M5XML9</v>
      </c>
      <c r="D3395" s="2" t="s">
        <v>3211</v>
      </c>
      <c r="E3395" s="3">
        <v>0</v>
      </c>
      <c r="F3395" s="2">
        <v>4521</v>
      </c>
      <c r="G3395" s="2">
        <v>100</v>
      </c>
      <c r="H3395" s="2">
        <v>865</v>
      </c>
      <c r="I3395" s="2">
        <v>1089</v>
      </c>
      <c r="J3395" s="2">
        <v>3683</v>
      </c>
      <c r="K3395" s="2">
        <v>1</v>
      </c>
      <c r="L3395" s="2">
        <v>865</v>
      </c>
    </row>
    <row r="3396" spans="1:12" x14ac:dyDescent="0.25">
      <c r="A3396" s="4" t="str">
        <f>HYPERLINK("http://www.rosaceae.org/Prunus/Prunus_persica/p.persica_gdr_reftransV1_0040047","p.persica_gdr_reftransV1_0040047")</f>
        <v>p.persica_gdr_reftransV1_0040047</v>
      </c>
      <c r="B3396" s="2">
        <v>2196</v>
      </c>
      <c r="C3396" s="4" t="str">
        <f>HYPERLINK("http://www.uniprot.org/uniprot/M5W8B1","M5W8B1")</f>
        <v>M5W8B1</v>
      </c>
      <c r="D3396" s="2" t="s">
        <v>3212</v>
      </c>
      <c r="E3396" s="3">
        <v>0</v>
      </c>
      <c r="F3396" s="2">
        <v>3022</v>
      </c>
      <c r="G3396" s="2">
        <v>100</v>
      </c>
      <c r="H3396" s="2">
        <v>579</v>
      </c>
      <c r="I3396" s="2">
        <v>435</v>
      </c>
      <c r="J3396" s="2">
        <v>2171</v>
      </c>
      <c r="K3396" s="2">
        <v>292</v>
      </c>
      <c r="L3396" s="2">
        <v>870</v>
      </c>
    </row>
    <row r="3397" spans="1:12" x14ac:dyDescent="0.25">
      <c r="A3397" s="4" t="str">
        <f>HYPERLINK("http://www.rosaceae.org/Prunus/Prunus_persica/p.persica_gdr_reftransV1_0040747","p.persica_gdr_reftransV1_0040747")</f>
        <v>p.persica_gdr_reftransV1_0040747</v>
      </c>
      <c r="B3397" s="2">
        <v>2850</v>
      </c>
      <c r="C3397" s="4" t="str">
        <f>HYPERLINK("http://www.uniprot.org/uniprot/M5VRG1","M5VRG1")</f>
        <v>M5VRG1</v>
      </c>
      <c r="D3397" s="2" t="s">
        <v>3213</v>
      </c>
      <c r="E3397" s="3">
        <v>0</v>
      </c>
      <c r="F3397" s="2">
        <v>1541</v>
      </c>
      <c r="G3397" s="2">
        <v>100</v>
      </c>
      <c r="H3397" s="2">
        <v>285</v>
      </c>
      <c r="I3397" s="2">
        <v>269</v>
      </c>
      <c r="J3397" s="2">
        <v>1123</v>
      </c>
      <c r="K3397" s="2">
        <v>1</v>
      </c>
      <c r="L3397" s="2">
        <v>285</v>
      </c>
    </row>
    <row r="3398" spans="1:12" x14ac:dyDescent="0.25">
      <c r="A3398" s="4" t="str">
        <f>HYPERLINK("http://www.rosaceae.org/Prunus/Prunus_persica/p.persica_gdr_reftransV1_0041447","p.persica_gdr_reftransV1_0041447")</f>
        <v>p.persica_gdr_reftransV1_0041447</v>
      </c>
      <c r="B3398" s="2">
        <v>2394</v>
      </c>
      <c r="C3398" s="4" t="str">
        <f>HYPERLINK("http://www.uniprot.org/uniprot/M5WSU4","M5WSU4")</f>
        <v>M5WSU4</v>
      </c>
      <c r="D3398" s="2" t="s">
        <v>3214</v>
      </c>
      <c r="E3398" s="3">
        <v>1.12E-178</v>
      </c>
      <c r="F3398" s="2">
        <v>1363</v>
      </c>
      <c r="G3398" s="2">
        <v>100</v>
      </c>
      <c r="H3398" s="2">
        <v>256</v>
      </c>
      <c r="I3398" s="2">
        <v>1448</v>
      </c>
      <c r="J3398" s="2">
        <v>2215</v>
      </c>
      <c r="K3398" s="2">
        <v>113</v>
      </c>
      <c r="L3398" s="2">
        <v>368</v>
      </c>
    </row>
    <row r="3399" spans="1:12" x14ac:dyDescent="0.25">
      <c r="A3399" s="4" t="str">
        <f>HYPERLINK("http://www.rosaceae.org/Prunus/Prunus_persica/p.persica_gdr_reftransV1_0043197","p.persica_gdr_reftransV1_0043197")</f>
        <v>p.persica_gdr_reftransV1_0043197</v>
      </c>
      <c r="B3399" s="2">
        <v>2944</v>
      </c>
      <c r="C3399" s="4" t="str">
        <f>HYPERLINK("http://www.uniprot.org/uniprot/M5VGU2","M5VGU2")</f>
        <v>M5VGU2</v>
      </c>
      <c r="D3399" s="2" t="s">
        <v>3215</v>
      </c>
      <c r="E3399" s="3">
        <v>0</v>
      </c>
      <c r="F3399" s="2">
        <v>3971</v>
      </c>
      <c r="G3399" s="2">
        <v>100</v>
      </c>
      <c r="H3399" s="2">
        <v>738</v>
      </c>
      <c r="I3399" s="2">
        <v>484</v>
      </c>
      <c r="J3399" s="2">
        <v>2697</v>
      </c>
      <c r="K3399" s="2">
        <v>1</v>
      </c>
      <c r="L3399" s="2">
        <v>738</v>
      </c>
    </row>
    <row r="3400" spans="1:12" x14ac:dyDescent="0.25">
      <c r="A3400" s="4" t="str">
        <f>HYPERLINK("http://www.rosaceae.org/Prunus/Prunus_persica/p.persica_gdr_reftransV1_0043547","p.persica_gdr_reftransV1_0043547")</f>
        <v>p.persica_gdr_reftransV1_0043547</v>
      </c>
      <c r="B3400" s="2">
        <v>1607</v>
      </c>
      <c r="C3400" s="4" t="str">
        <f>HYPERLINK("http://www.uniprot.org/uniprot/M5XCB2","M5XCB2")</f>
        <v>M5XCB2</v>
      </c>
      <c r="D3400" s="2" t="s">
        <v>3216</v>
      </c>
      <c r="E3400" s="3">
        <v>0</v>
      </c>
      <c r="F3400" s="2">
        <v>2331</v>
      </c>
      <c r="G3400" s="2">
        <v>100</v>
      </c>
      <c r="H3400" s="2">
        <v>473</v>
      </c>
      <c r="I3400" s="2">
        <v>166</v>
      </c>
      <c r="J3400" s="2">
        <v>1584</v>
      </c>
      <c r="K3400" s="2">
        <v>1</v>
      </c>
      <c r="L3400" s="2">
        <v>473</v>
      </c>
    </row>
    <row r="3401" spans="1:12" x14ac:dyDescent="0.25">
      <c r="A3401" s="4" t="str">
        <f>HYPERLINK("http://www.rosaceae.org/Prunus/Prunus_persica/p.persica_gdr_reftransV1_0044247","p.persica_gdr_reftransV1_0044247")</f>
        <v>p.persica_gdr_reftransV1_0044247</v>
      </c>
      <c r="B3401" s="2">
        <v>1735</v>
      </c>
      <c r="C3401" s="4" t="str">
        <f>HYPERLINK("http://www.uniprot.org/uniprot/M5WFH6","M5WFH6")</f>
        <v>M5WFH6</v>
      </c>
      <c r="D3401" s="2" t="s">
        <v>3217</v>
      </c>
      <c r="E3401" s="3">
        <v>0</v>
      </c>
      <c r="F3401" s="2">
        <v>2384</v>
      </c>
      <c r="G3401" s="2">
        <v>100</v>
      </c>
      <c r="H3401" s="2">
        <v>470</v>
      </c>
      <c r="I3401" s="2">
        <v>62</v>
      </c>
      <c r="J3401" s="2">
        <v>1471</v>
      </c>
      <c r="K3401" s="2">
        <v>1</v>
      </c>
      <c r="L3401" s="2">
        <v>470</v>
      </c>
    </row>
    <row r="3402" spans="1:12" x14ac:dyDescent="0.25">
      <c r="A3402" s="4" t="str">
        <f>HYPERLINK("http://www.rosaceae.org/Prunus/Prunus_persica/p.persica_gdr_reftransV1_0044947","p.persica_gdr_reftransV1_0044947")</f>
        <v>p.persica_gdr_reftransV1_0044947</v>
      </c>
      <c r="B3402" s="2">
        <v>2123</v>
      </c>
      <c r="C3402" s="4" t="str">
        <f>HYPERLINK("http://www.uniprot.org/uniprot/M5XAG6","M5XAG6")</f>
        <v>M5XAG6</v>
      </c>
      <c r="D3402" s="2" t="s">
        <v>3218</v>
      </c>
      <c r="E3402" s="3">
        <v>0</v>
      </c>
      <c r="F3402" s="2">
        <v>2651</v>
      </c>
      <c r="G3402" s="2">
        <v>100</v>
      </c>
      <c r="H3402" s="2">
        <v>535</v>
      </c>
      <c r="I3402" s="2">
        <v>517</v>
      </c>
      <c r="J3402" s="2">
        <v>2121</v>
      </c>
      <c r="K3402" s="2">
        <v>160</v>
      </c>
      <c r="L3402" s="2">
        <v>694</v>
      </c>
    </row>
    <row r="3403" spans="1:12" x14ac:dyDescent="0.25">
      <c r="A3403" s="4" t="str">
        <f>HYPERLINK("http://www.rosaceae.org/Prunus/Prunus_persica/p.persica_gdr_reftransV1_0045297","p.persica_gdr_reftransV1_0045297")</f>
        <v>p.persica_gdr_reftransV1_0045297</v>
      </c>
      <c r="B3403" s="2">
        <v>598</v>
      </c>
      <c r="C3403" s="4" t="str">
        <f>HYPERLINK("http://www.uniprot.org/uniprot/M5XXD6","M5XXD6")</f>
        <v>M5XXD6</v>
      </c>
      <c r="D3403" s="2" t="s">
        <v>3219</v>
      </c>
      <c r="E3403" s="3">
        <v>1.8200000000000001E-110</v>
      </c>
      <c r="F3403" s="2">
        <v>873</v>
      </c>
      <c r="G3403" s="2">
        <v>78</v>
      </c>
      <c r="H3403" s="2">
        <v>199</v>
      </c>
      <c r="I3403" s="2">
        <v>1</v>
      </c>
      <c r="J3403" s="2">
        <v>597</v>
      </c>
      <c r="K3403" s="2">
        <v>363</v>
      </c>
      <c r="L3403" s="2">
        <v>518</v>
      </c>
    </row>
    <row r="3404" spans="1:12" x14ac:dyDescent="0.25">
      <c r="A3404" s="4" t="str">
        <f>HYPERLINK("http://www.rosaceae.org/Prunus/Prunus_persica/p.persica_gdr_reftransV1_0045647","p.persica_gdr_reftransV1_0045647")</f>
        <v>p.persica_gdr_reftransV1_0045647</v>
      </c>
      <c r="B3404" s="2">
        <v>2126</v>
      </c>
      <c r="C3404" s="4" t="str">
        <f>HYPERLINK("http://www.uniprot.org/uniprot/B9X0I2","B9X0I2")</f>
        <v>B9X0I2</v>
      </c>
      <c r="D3404" s="2" t="s">
        <v>3220</v>
      </c>
      <c r="E3404" s="3">
        <v>0</v>
      </c>
      <c r="F3404" s="2">
        <v>2382</v>
      </c>
      <c r="G3404" s="2">
        <v>79</v>
      </c>
      <c r="H3404" s="2">
        <v>575</v>
      </c>
      <c r="I3404" s="2">
        <v>213</v>
      </c>
      <c r="J3404" s="2">
        <v>1934</v>
      </c>
      <c r="K3404" s="2">
        <v>1</v>
      </c>
      <c r="L3404" s="2">
        <v>574</v>
      </c>
    </row>
    <row r="3405" spans="1:12" x14ac:dyDescent="0.25">
      <c r="A3405" s="4" t="str">
        <f>HYPERLINK("http://www.rosaceae.org/Prunus/Prunus_persica/p.persica_gdr_reftransV1_0045997","p.persica_gdr_reftransV1_0045997")</f>
        <v>p.persica_gdr_reftransV1_0045997</v>
      </c>
      <c r="B3405" s="2">
        <v>1750</v>
      </c>
      <c r="C3405" s="4" t="str">
        <f>HYPERLINK("http://www.uniprot.org/uniprot/M5X0B2","M5X0B2")</f>
        <v>M5X0B2</v>
      </c>
      <c r="D3405" s="2" t="s">
        <v>3221</v>
      </c>
      <c r="E3405" s="3">
        <v>0</v>
      </c>
      <c r="F3405" s="2">
        <v>1710</v>
      </c>
      <c r="G3405" s="2">
        <v>99</v>
      </c>
      <c r="H3405" s="2">
        <v>345</v>
      </c>
      <c r="I3405" s="2">
        <v>262</v>
      </c>
      <c r="J3405" s="2">
        <v>1296</v>
      </c>
      <c r="K3405" s="2">
        <v>12</v>
      </c>
      <c r="L3405" s="2">
        <v>356</v>
      </c>
    </row>
    <row r="3406" spans="1:12" x14ac:dyDescent="0.25">
      <c r="A3406" s="4" t="str">
        <f>HYPERLINK("http://www.rosaceae.org/Prunus/Prunus_persica/p.persica_gdr_reftransV1_0046697","p.persica_gdr_reftransV1_0046697")</f>
        <v>p.persica_gdr_reftransV1_0046697</v>
      </c>
      <c r="B3406" s="2">
        <v>567</v>
      </c>
      <c r="C3406" s="4" t="str">
        <f>HYPERLINK("http://www.uniprot.org/uniprot/M5WCE2","M5WCE2")</f>
        <v>M5WCE2</v>
      </c>
      <c r="D3406" s="2" t="s">
        <v>3222</v>
      </c>
      <c r="E3406" s="3">
        <v>3.9700000000000003E-105</v>
      </c>
      <c r="F3406" s="2">
        <v>855</v>
      </c>
      <c r="G3406" s="2">
        <v>97</v>
      </c>
      <c r="H3406" s="2">
        <v>159</v>
      </c>
      <c r="I3406" s="2">
        <v>89</v>
      </c>
      <c r="J3406" s="2">
        <v>565</v>
      </c>
      <c r="K3406" s="2">
        <v>304</v>
      </c>
      <c r="L3406" s="2">
        <v>462</v>
      </c>
    </row>
    <row r="3407" spans="1:12" x14ac:dyDescent="0.25">
      <c r="A3407" s="4" t="str">
        <f>HYPERLINK("http://www.rosaceae.org/Prunus/Prunus_persica/p.persica_gdr_reftransV1_0047397","p.persica_gdr_reftransV1_0047397")</f>
        <v>p.persica_gdr_reftransV1_0047397</v>
      </c>
      <c r="B3407" s="2">
        <v>1174</v>
      </c>
      <c r="C3407" s="4" t="str">
        <f>HYPERLINK("http://www.uniprot.org/uniprot/M5W028","M5W028")</f>
        <v>M5W028</v>
      </c>
      <c r="D3407" s="2" t="s">
        <v>3223</v>
      </c>
      <c r="E3407" s="3">
        <v>1.4899999999999999E-141</v>
      </c>
      <c r="F3407" s="2">
        <v>1063</v>
      </c>
      <c r="G3407" s="2">
        <v>100</v>
      </c>
      <c r="H3407" s="2">
        <v>220</v>
      </c>
      <c r="I3407" s="2">
        <v>125</v>
      </c>
      <c r="J3407" s="2">
        <v>784</v>
      </c>
      <c r="K3407" s="2">
        <v>1</v>
      </c>
      <c r="L3407" s="2">
        <v>220</v>
      </c>
    </row>
    <row r="3408" spans="1:12" x14ac:dyDescent="0.25">
      <c r="A3408" s="4" t="str">
        <f>HYPERLINK("http://www.rosaceae.org/Prunus/Prunus_persica/p.persica_gdr_reftransV1_0047747","p.persica_gdr_reftransV1_0047747")</f>
        <v>p.persica_gdr_reftransV1_0047747</v>
      </c>
      <c r="B3408" s="2">
        <v>767</v>
      </c>
      <c r="C3408" s="4" t="str">
        <f>HYPERLINK("http://www.uniprot.org/uniprot/M5XUQ4","M5XUQ4")</f>
        <v>M5XUQ4</v>
      </c>
      <c r="D3408" s="2" t="s">
        <v>3224</v>
      </c>
      <c r="E3408" s="3">
        <v>7.1900000000000004E-100</v>
      </c>
      <c r="F3408" s="2">
        <v>807</v>
      </c>
      <c r="G3408" s="2">
        <v>100</v>
      </c>
      <c r="H3408" s="2">
        <v>149</v>
      </c>
      <c r="I3408" s="2">
        <v>2</v>
      </c>
      <c r="J3408" s="2">
        <v>448</v>
      </c>
      <c r="K3408" s="2">
        <v>467</v>
      </c>
      <c r="L3408" s="2">
        <v>615</v>
      </c>
    </row>
    <row r="3409" spans="1:12" x14ac:dyDescent="0.25">
      <c r="A3409" s="4" t="str">
        <f>HYPERLINK("http://www.rosaceae.org/Prunus/Prunus_persica/p.persica_gdr_reftransV1_0048097","p.persica_gdr_reftransV1_0048097")</f>
        <v>p.persica_gdr_reftransV1_0048097</v>
      </c>
      <c r="B3409" s="2">
        <v>825</v>
      </c>
      <c r="C3409" s="4" t="str">
        <f>HYPERLINK("http://www.uniprot.org/uniprot/M5WQ10","M5WQ10")</f>
        <v>M5WQ10</v>
      </c>
      <c r="D3409" s="2" t="s">
        <v>2577</v>
      </c>
      <c r="E3409" s="3">
        <v>4.2800000000000004E-127</v>
      </c>
      <c r="F3409" s="2">
        <v>967</v>
      </c>
      <c r="G3409" s="2">
        <v>100</v>
      </c>
      <c r="H3409" s="2">
        <v>199</v>
      </c>
      <c r="I3409" s="2">
        <v>228</v>
      </c>
      <c r="J3409" s="2">
        <v>824</v>
      </c>
      <c r="K3409" s="2">
        <v>4</v>
      </c>
      <c r="L3409" s="2">
        <v>202</v>
      </c>
    </row>
    <row r="3410" spans="1:12" x14ac:dyDescent="0.25">
      <c r="A3410" s="4" t="str">
        <f>HYPERLINK("http://www.rosaceae.org/Prunus/Prunus_persica/p.persica_gdr_reftransV1_0048447","p.persica_gdr_reftransV1_0048447")</f>
        <v>p.persica_gdr_reftransV1_0048447</v>
      </c>
      <c r="B3410" s="2">
        <v>506</v>
      </c>
      <c r="C3410" s="4" t="str">
        <f>HYPERLINK("http://www.uniprot.org/uniprot/M5XMQ0","M5XMQ0")</f>
        <v>M5XMQ0</v>
      </c>
      <c r="D3410" s="2" t="s">
        <v>3225</v>
      </c>
      <c r="E3410" s="3">
        <v>3.41E-101</v>
      </c>
      <c r="F3410" s="2">
        <v>804</v>
      </c>
      <c r="G3410" s="2">
        <v>100</v>
      </c>
      <c r="H3410" s="2">
        <v>168</v>
      </c>
      <c r="I3410" s="2">
        <v>1</v>
      </c>
      <c r="J3410" s="2">
        <v>504</v>
      </c>
      <c r="K3410" s="2">
        <v>17</v>
      </c>
      <c r="L3410" s="2">
        <v>184</v>
      </c>
    </row>
    <row r="3411" spans="1:12" x14ac:dyDescent="0.25">
      <c r="A3411" s="4" t="str">
        <f>HYPERLINK("http://www.rosaceae.org/Prunus/Prunus_persica/p.persica_gdr_reftransV1_0048797","p.persica_gdr_reftransV1_0048797")</f>
        <v>p.persica_gdr_reftransV1_0048797</v>
      </c>
      <c r="B3411" s="2">
        <v>1127</v>
      </c>
      <c r="C3411" s="4" t="str">
        <f>HYPERLINK("http://www.uniprot.org/uniprot/M5VZK2","M5VZK2")</f>
        <v>M5VZK2</v>
      </c>
      <c r="D3411" s="2" t="s">
        <v>3226</v>
      </c>
      <c r="E3411" s="3">
        <v>6.5700000000000003E-169</v>
      </c>
      <c r="F3411" s="2">
        <v>1248</v>
      </c>
      <c r="G3411" s="2">
        <v>100</v>
      </c>
      <c r="H3411" s="2">
        <v>272</v>
      </c>
      <c r="I3411" s="2">
        <v>18</v>
      </c>
      <c r="J3411" s="2">
        <v>833</v>
      </c>
      <c r="K3411" s="2">
        <v>9</v>
      </c>
      <c r="L3411" s="2">
        <v>280</v>
      </c>
    </row>
    <row r="3412" spans="1:12" x14ac:dyDescent="0.25">
      <c r="A3412" s="4" t="str">
        <f>HYPERLINK("http://www.rosaceae.org/Prunus/Prunus_persica/p.persica_gdr_reftransV1_0000148","p.persica_gdr_reftransV1_0000148")</f>
        <v>p.persica_gdr_reftransV1_0000148</v>
      </c>
      <c r="B3412" s="2">
        <v>2915</v>
      </c>
      <c r="C3412" s="4" t="str">
        <f>HYPERLINK("http://www.uniprot.org/uniprot/M5VWR4","M5VWR4")</f>
        <v>M5VWR4</v>
      </c>
      <c r="D3412" s="2" t="s">
        <v>3227</v>
      </c>
      <c r="E3412" s="3">
        <v>0</v>
      </c>
      <c r="F3412" s="2">
        <v>4649</v>
      </c>
      <c r="G3412" s="2">
        <v>100</v>
      </c>
      <c r="H3412" s="2">
        <v>908</v>
      </c>
      <c r="I3412" s="2">
        <v>109</v>
      </c>
      <c r="J3412" s="2">
        <v>2832</v>
      </c>
      <c r="K3412" s="2">
        <v>1</v>
      </c>
      <c r="L3412" s="2">
        <v>908</v>
      </c>
    </row>
    <row r="3413" spans="1:12" x14ac:dyDescent="0.25">
      <c r="A3413" s="4" t="str">
        <f>HYPERLINK("http://www.rosaceae.org/Prunus/Prunus_persica/p.persica_gdr_reftransV1_0000498","p.persica_gdr_reftransV1_0000498")</f>
        <v>p.persica_gdr_reftransV1_0000498</v>
      </c>
      <c r="B3413" s="2">
        <v>2649</v>
      </c>
      <c r="C3413" s="4" t="str">
        <f>HYPERLINK("http://www.uniprot.org/uniprot/M5WR22","M5WR22")</f>
        <v>M5WR22</v>
      </c>
      <c r="D3413" s="2" t="s">
        <v>3228</v>
      </c>
      <c r="E3413" s="3">
        <v>0</v>
      </c>
      <c r="F3413" s="2">
        <v>2671</v>
      </c>
      <c r="G3413" s="2">
        <v>97</v>
      </c>
      <c r="H3413" s="2">
        <v>538</v>
      </c>
      <c r="I3413" s="2">
        <v>41</v>
      </c>
      <c r="J3413" s="2">
        <v>1654</v>
      </c>
      <c r="K3413" s="2">
        <v>1</v>
      </c>
      <c r="L3413" s="2">
        <v>525</v>
      </c>
    </row>
    <row r="3414" spans="1:12" x14ac:dyDescent="0.25">
      <c r="A3414" s="4" t="str">
        <f>HYPERLINK("http://www.rosaceae.org/Prunus/Prunus_persica/p.persica_gdr_reftransV1_0000848","p.persica_gdr_reftransV1_0000848")</f>
        <v>p.persica_gdr_reftransV1_0000848</v>
      </c>
      <c r="B3414" s="2">
        <v>2023</v>
      </c>
      <c r="C3414" s="4" t="str">
        <f>HYPERLINK("http://www.uniprot.org/uniprot/F6I0I5","F6I0I5")</f>
        <v>F6I0I5</v>
      </c>
      <c r="D3414" s="2" t="s">
        <v>3229</v>
      </c>
      <c r="E3414" s="3">
        <v>0</v>
      </c>
      <c r="F3414" s="2">
        <v>2027</v>
      </c>
      <c r="G3414" s="2">
        <v>100</v>
      </c>
      <c r="H3414" s="2">
        <v>378</v>
      </c>
      <c r="I3414" s="2">
        <v>724</v>
      </c>
      <c r="J3414" s="2">
        <v>1857</v>
      </c>
      <c r="K3414" s="2">
        <v>83</v>
      </c>
      <c r="L3414" s="2">
        <v>460</v>
      </c>
    </row>
    <row r="3415" spans="1:12" x14ac:dyDescent="0.25">
      <c r="A3415" s="4" t="str">
        <f>HYPERLINK("http://www.rosaceae.org/Prunus/Prunus_persica/p.persica_gdr_reftransV1_0001198","p.persica_gdr_reftransV1_0001198")</f>
        <v>p.persica_gdr_reftransV1_0001198</v>
      </c>
      <c r="B3415" s="2">
        <v>2234</v>
      </c>
      <c r="C3415" s="4" t="str">
        <f>HYPERLINK("http://www.uniprot.org/uniprot/M5WE33","M5WE33")</f>
        <v>M5WE33</v>
      </c>
      <c r="D3415" s="2" t="s">
        <v>3230</v>
      </c>
      <c r="E3415" s="3">
        <v>0</v>
      </c>
      <c r="F3415" s="2">
        <v>2098</v>
      </c>
      <c r="G3415" s="2">
        <v>78</v>
      </c>
      <c r="H3415" s="2">
        <v>664</v>
      </c>
      <c r="I3415" s="2">
        <v>2</v>
      </c>
      <c r="J3415" s="2">
        <v>1978</v>
      </c>
      <c r="K3415" s="2">
        <v>150</v>
      </c>
      <c r="L3415" s="2">
        <v>802</v>
      </c>
    </row>
    <row r="3416" spans="1:12" x14ac:dyDescent="0.25">
      <c r="A3416" s="4" t="str">
        <f>HYPERLINK("http://www.rosaceae.org/Prunus/Prunus_persica/p.persica_gdr_reftransV1_0001548","p.persica_gdr_reftransV1_0001548")</f>
        <v>p.persica_gdr_reftransV1_0001548</v>
      </c>
      <c r="B3416" s="2">
        <v>1082</v>
      </c>
      <c r="C3416" s="4" t="str">
        <f>HYPERLINK("http://www.uniprot.org/uniprot/M5VXJ0","M5VXJ0")</f>
        <v>M5VXJ0</v>
      </c>
      <c r="D3416" s="2" t="s">
        <v>2995</v>
      </c>
      <c r="E3416" s="3">
        <v>5.5200000000000002E-94</v>
      </c>
      <c r="F3416" s="2">
        <v>803</v>
      </c>
      <c r="G3416" s="2">
        <v>57</v>
      </c>
      <c r="H3416" s="2">
        <v>319</v>
      </c>
      <c r="I3416" s="2">
        <v>1</v>
      </c>
      <c r="J3416" s="2">
        <v>936</v>
      </c>
      <c r="K3416" s="2">
        <v>312</v>
      </c>
      <c r="L3416" s="2">
        <v>565</v>
      </c>
    </row>
    <row r="3417" spans="1:12" x14ac:dyDescent="0.25">
      <c r="A3417" s="4" t="str">
        <f>HYPERLINK("http://www.rosaceae.org/Prunus/Prunus_persica/p.persica_gdr_reftransV1_0001898","p.persica_gdr_reftransV1_0001898")</f>
        <v>p.persica_gdr_reftransV1_0001898</v>
      </c>
      <c r="B3417" s="2">
        <v>1540</v>
      </c>
      <c r="C3417" s="4" t="str">
        <f>HYPERLINK("http://www.uniprot.org/uniprot/M5WMJ5","M5WMJ5")</f>
        <v>M5WMJ5</v>
      </c>
      <c r="D3417" s="2" t="s">
        <v>3231</v>
      </c>
      <c r="E3417" s="3">
        <v>0</v>
      </c>
      <c r="F3417" s="2">
        <v>1756</v>
      </c>
      <c r="G3417" s="2">
        <v>99</v>
      </c>
      <c r="H3417" s="2">
        <v>334</v>
      </c>
      <c r="I3417" s="2">
        <v>309</v>
      </c>
      <c r="J3417" s="2">
        <v>1310</v>
      </c>
      <c r="K3417" s="2">
        <v>1</v>
      </c>
      <c r="L3417" s="2">
        <v>334</v>
      </c>
    </row>
    <row r="3418" spans="1:12" x14ac:dyDescent="0.25">
      <c r="A3418" s="4" t="str">
        <f>HYPERLINK("http://www.rosaceae.org/Prunus/Prunus_persica/p.persica_gdr_reftransV1_0002598","p.persica_gdr_reftransV1_0002598")</f>
        <v>p.persica_gdr_reftransV1_0002598</v>
      </c>
      <c r="B3418" s="2">
        <v>1583</v>
      </c>
      <c r="C3418" s="4" t="str">
        <f>HYPERLINK("http://www.uniprot.org/uniprot/M5XMD0","M5XMD0")</f>
        <v>M5XMD0</v>
      </c>
      <c r="D3418" s="2" t="s">
        <v>3159</v>
      </c>
      <c r="E3418" s="3">
        <v>0</v>
      </c>
      <c r="F3418" s="2">
        <v>2336</v>
      </c>
      <c r="G3418" s="2">
        <v>100</v>
      </c>
      <c r="H3418" s="2">
        <v>519</v>
      </c>
      <c r="I3418" s="2">
        <v>26</v>
      </c>
      <c r="J3418" s="2">
        <v>1582</v>
      </c>
      <c r="K3418" s="2">
        <v>1</v>
      </c>
      <c r="L3418" s="2">
        <v>519</v>
      </c>
    </row>
    <row r="3419" spans="1:12" x14ac:dyDescent="0.25">
      <c r="A3419" s="4" t="str">
        <f>HYPERLINK("http://www.rosaceae.org/Prunus/Prunus_persica/p.persica_gdr_reftransV1_0002948","p.persica_gdr_reftransV1_0002948")</f>
        <v>p.persica_gdr_reftransV1_0002948</v>
      </c>
      <c r="B3419" s="2">
        <v>1899</v>
      </c>
      <c r="C3419" s="4" t="str">
        <f>HYPERLINK("http://www.uniprot.org/uniprot/M5W9J4","M5W9J4")</f>
        <v>M5W9J4</v>
      </c>
      <c r="D3419" s="2" t="s">
        <v>3232</v>
      </c>
      <c r="E3419" s="3">
        <v>3.3400000000000002E-72</v>
      </c>
      <c r="F3419" s="2">
        <v>622</v>
      </c>
      <c r="G3419" s="2">
        <v>100</v>
      </c>
      <c r="H3419" s="2">
        <v>155</v>
      </c>
      <c r="I3419" s="2">
        <v>849</v>
      </c>
      <c r="J3419" s="2">
        <v>1313</v>
      </c>
      <c r="K3419" s="2">
        <v>1</v>
      </c>
      <c r="L3419" s="2">
        <v>155</v>
      </c>
    </row>
    <row r="3420" spans="1:12" x14ac:dyDescent="0.25">
      <c r="A3420" s="4" t="str">
        <f>HYPERLINK("http://www.rosaceae.org/Prunus/Prunus_persica/p.persica_gdr_reftransV1_0003298","p.persica_gdr_reftransV1_0003298")</f>
        <v>p.persica_gdr_reftransV1_0003298</v>
      </c>
      <c r="B3420" s="2">
        <v>1778</v>
      </c>
      <c r="C3420" s="4" t="str">
        <f>HYPERLINK("http://www.uniprot.org/uniprot/M5XBC6","M5XBC6")</f>
        <v>M5XBC6</v>
      </c>
      <c r="D3420" s="2" t="s">
        <v>977</v>
      </c>
      <c r="E3420" s="3">
        <v>0</v>
      </c>
      <c r="F3420" s="2">
        <v>2320</v>
      </c>
      <c r="G3420" s="2">
        <v>100</v>
      </c>
      <c r="H3420" s="2">
        <v>458</v>
      </c>
      <c r="I3420" s="2">
        <v>404</v>
      </c>
      <c r="J3420" s="2">
        <v>1777</v>
      </c>
      <c r="K3420" s="2">
        <v>180</v>
      </c>
      <c r="L3420" s="2">
        <v>637</v>
      </c>
    </row>
    <row r="3421" spans="1:12" x14ac:dyDescent="0.25">
      <c r="A3421" s="4" t="str">
        <f>HYPERLINK("http://www.rosaceae.org/Prunus/Prunus_persica/p.persica_gdr_reftransV1_0003648","p.persica_gdr_reftransV1_0003648")</f>
        <v>p.persica_gdr_reftransV1_0003648</v>
      </c>
      <c r="B3421" s="2">
        <v>1066</v>
      </c>
      <c r="C3421" s="4" t="str">
        <f>HYPERLINK("http://www.uniprot.org/uniprot/M5X1G9","M5X1G9")</f>
        <v>M5X1G9</v>
      </c>
      <c r="D3421" s="2" t="s">
        <v>3233</v>
      </c>
      <c r="E3421" s="3">
        <v>3.4899999999999999E-73</v>
      </c>
      <c r="F3421" s="2">
        <v>599</v>
      </c>
      <c r="G3421" s="2">
        <v>100</v>
      </c>
      <c r="H3421" s="2">
        <v>148</v>
      </c>
      <c r="I3421" s="2">
        <v>80</v>
      </c>
      <c r="J3421" s="2">
        <v>523</v>
      </c>
      <c r="K3421" s="2">
        <v>1</v>
      </c>
      <c r="L3421" s="2">
        <v>148</v>
      </c>
    </row>
    <row r="3422" spans="1:12" x14ac:dyDescent="0.25">
      <c r="A3422" s="4" t="str">
        <f>HYPERLINK("http://www.rosaceae.org/Prunus/Prunus_persica/p.persica_gdr_reftransV1_0006098","p.persica_gdr_reftransV1_0006098")</f>
        <v>p.persica_gdr_reftransV1_0006098</v>
      </c>
      <c r="B3422" s="2">
        <v>422</v>
      </c>
      <c r="C3422" s="4" t="str">
        <f>HYPERLINK("http://www.uniprot.org/uniprot/M7CD87","M7CD87")</f>
        <v>M7CD87</v>
      </c>
      <c r="D3422" s="2" t="s">
        <v>3234</v>
      </c>
      <c r="E3422" s="3">
        <v>1.8600000000000001E-65</v>
      </c>
      <c r="F3422" s="2">
        <v>526</v>
      </c>
      <c r="G3422" s="2">
        <v>99</v>
      </c>
      <c r="H3422" s="2">
        <v>105</v>
      </c>
      <c r="I3422" s="2">
        <v>1</v>
      </c>
      <c r="J3422" s="2">
        <v>315</v>
      </c>
      <c r="K3422" s="2">
        <v>30</v>
      </c>
      <c r="L3422" s="2">
        <v>134</v>
      </c>
    </row>
    <row r="3423" spans="1:12" x14ac:dyDescent="0.25">
      <c r="A3423" s="4" t="str">
        <f>HYPERLINK("http://www.rosaceae.org/Prunus/Prunus_persica/p.persica_gdr_reftransV1_0006448","p.persica_gdr_reftransV1_0006448")</f>
        <v>p.persica_gdr_reftransV1_0006448</v>
      </c>
      <c r="B3423" s="2">
        <v>487</v>
      </c>
      <c r="C3423" s="4" t="str">
        <f>HYPERLINK("http://www.uniprot.org/uniprot/M5X7H8","M5X7H8")</f>
        <v>M5X7H8</v>
      </c>
      <c r="D3423" s="2" t="s">
        <v>3235</v>
      </c>
      <c r="E3423" s="3">
        <v>2.49E-107</v>
      </c>
      <c r="F3423" s="2">
        <v>810</v>
      </c>
      <c r="G3423" s="2">
        <v>100</v>
      </c>
      <c r="H3423" s="2">
        <v>153</v>
      </c>
      <c r="I3423" s="2">
        <v>3</v>
      </c>
      <c r="J3423" s="2">
        <v>461</v>
      </c>
      <c r="K3423" s="2">
        <v>39</v>
      </c>
      <c r="L3423" s="2">
        <v>191</v>
      </c>
    </row>
    <row r="3424" spans="1:12" x14ac:dyDescent="0.25">
      <c r="A3424" s="4" t="str">
        <f>HYPERLINK("http://www.rosaceae.org/Prunus/Prunus_persica/p.persica_gdr_reftransV1_0007498","p.persica_gdr_reftransV1_0007498")</f>
        <v>p.persica_gdr_reftransV1_0007498</v>
      </c>
      <c r="B3424" s="2">
        <v>673</v>
      </c>
      <c r="C3424" s="4" t="str">
        <f>HYPERLINK("http://www.uniprot.org/uniprot/A0A061G4R5","A0A061G4R5")</f>
        <v>A0A061G4R5</v>
      </c>
      <c r="D3424" s="2" t="s">
        <v>3236</v>
      </c>
      <c r="E3424" s="3">
        <v>9.9600000000000003E-23</v>
      </c>
      <c r="F3424" s="2">
        <v>259</v>
      </c>
      <c r="G3424" s="2">
        <v>44</v>
      </c>
      <c r="H3424" s="2">
        <v>161</v>
      </c>
      <c r="I3424" s="2">
        <v>4</v>
      </c>
      <c r="J3424" s="2">
        <v>465</v>
      </c>
      <c r="K3424" s="2">
        <v>182</v>
      </c>
      <c r="L3424" s="2">
        <v>342</v>
      </c>
    </row>
    <row r="3425" spans="1:12" x14ac:dyDescent="0.25">
      <c r="A3425" s="4" t="str">
        <f>HYPERLINK("http://www.rosaceae.org/Prunus/Prunus_persica/p.persica_gdr_reftransV1_0007848","p.persica_gdr_reftransV1_0007848")</f>
        <v>p.persica_gdr_reftransV1_0007848</v>
      </c>
      <c r="B3425" s="2">
        <v>1386</v>
      </c>
      <c r="C3425" s="4" t="str">
        <f>HYPERLINK("http://www.uniprot.org/uniprot/M5XU79","M5XU79")</f>
        <v>M5XU79</v>
      </c>
      <c r="D3425" s="2" t="s">
        <v>3237</v>
      </c>
      <c r="E3425" s="3">
        <v>0</v>
      </c>
      <c r="F3425" s="2">
        <v>2317</v>
      </c>
      <c r="G3425" s="2">
        <v>100</v>
      </c>
      <c r="H3425" s="2">
        <v>432</v>
      </c>
      <c r="I3425" s="2">
        <v>2</v>
      </c>
      <c r="J3425" s="2">
        <v>1297</v>
      </c>
      <c r="K3425" s="2">
        <v>470</v>
      </c>
      <c r="L3425" s="2">
        <v>901</v>
      </c>
    </row>
    <row r="3426" spans="1:12" x14ac:dyDescent="0.25">
      <c r="A3426" s="4" t="str">
        <f>HYPERLINK("http://www.rosaceae.org/Prunus/Prunus_persica/p.persica_gdr_reftransV1_0008198","p.persica_gdr_reftransV1_0008198")</f>
        <v>p.persica_gdr_reftransV1_0008198</v>
      </c>
      <c r="B3426" s="2">
        <v>692</v>
      </c>
      <c r="C3426" s="4" t="str">
        <f>HYPERLINK("http://www.uniprot.org/uniprot/M5XTG0","M5XTG0")</f>
        <v>M5XTG0</v>
      </c>
      <c r="D3426" s="2" t="s">
        <v>3238</v>
      </c>
      <c r="E3426" s="3">
        <v>9.5100000000000003E-49</v>
      </c>
      <c r="F3426" s="2">
        <v>419</v>
      </c>
      <c r="G3426" s="2">
        <v>100</v>
      </c>
      <c r="H3426" s="2">
        <v>80</v>
      </c>
      <c r="I3426" s="2">
        <v>71</v>
      </c>
      <c r="J3426" s="2">
        <v>310</v>
      </c>
      <c r="K3426" s="2">
        <v>4</v>
      </c>
      <c r="L3426" s="2">
        <v>83</v>
      </c>
    </row>
    <row r="3427" spans="1:12" x14ac:dyDescent="0.25">
      <c r="A3427" s="4" t="str">
        <f>HYPERLINK("http://www.rosaceae.org/Prunus/Prunus_persica/p.persica_gdr_reftransV1_0009248","p.persica_gdr_reftransV1_0009248")</f>
        <v>p.persica_gdr_reftransV1_0009248</v>
      </c>
      <c r="B3427" s="2">
        <v>1788</v>
      </c>
      <c r="C3427" s="4" t="str">
        <f>HYPERLINK("http://www.uniprot.org/uniprot/D7TSA5","D7TSA5")</f>
        <v>D7TSA5</v>
      </c>
      <c r="D3427" s="2" t="s">
        <v>3239</v>
      </c>
      <c r="E3427" s="3">
        <v>1.71E-160</v>
      </c>
      <c r="F3427" s="2">
        <v>1227</v>
      </c>
      <c r="G3427" s="2">
        <v>76</v>
      </c>
      <c r="H3427" s="2">
        <v>332</v>
      </c>
      <c r="I3427" s="2">
        <v>282</v>
      </c>
      <c r="J3427" s="2">
        <v>1277</v>
      </c>
      <c r="K3427" s="2">
        <v>65</v>
      </c>
      <c r="L3427" s="2">
        <v>396</v>
      </c>
    </row>
    <row r="3428" spans="1:12" x14ac:dyDescent="0.25">
      <c r="A3428" s="4" t="str">
        <f>HYPERLINK("http://www.rosaceae.org/Prunus/Prunus_persica/p.persica_gdr_reftransV1_0009598","p.persica_gdr_reftransV1_0009598")</f>
        <v>p.persica_gdr_reftransV1_0009598</v>
      </c>
      <c r="B3428" s="2">
        <v>2464</v>
      </c>
      <c r="C3428" s="4" t="str">
        <f>HYPERLINK("http://www.uniprot.org/uniprot/M5XBE5","M5XBE5")</f>
        <v>M5XBE5</v>
      </c>
      <c r="D3428" s="2" t="s">
        <v>3240</v>
      </c>
      <c r="E3428" s="3">
        <v>0</v>
      </c>
      <c r="F3428" s="2">
        <v>2716</v>
      </c>
      <c r="G3428" s="2">
        <v>100</v>
      </c>
      <c r="H3428" s="2">
        <v>511</v>
      </c>
      <c r="I3428" s="2">
        <v>827</v>
      </c>
      <c r="J3428" s="2">
        <v>2359</v>
      </c>
      <c r="K3428" s="2">
        <v>1</v>
      </c>
      <c r="L3428" s="2">
        <v>511</v>
      </c>
    </row>
    <row r="3429" spans="1:12" x14ac:dyDescent="0.25">
      <c r="A3429" s="4" t="str">
        <f>HYPERLINK("http://www.rosaceae.org/Prunus/Prunus_persica/p.persica_gdr_reftransV1_0009948","p.persica_gdr_reftransV1_0009948")</f>
        <v>p.persica_gdr_reftransV1_0009948</v>
      </c>
      <c r="B3429" s="2">
        <v>1027</v>
      </c>
      <c r="C3429" s="4" t="str">
        <f>HYPERLINK("http://www.uniprot.org/uniprot/M5XZN2","M5XZN2")</f>
        <v>M5XZN2</v>
      </c>
      <c r="D3429" s="2" t="s">
        <v>3241</v>
      </c>
      <c r="E3429" s="3">
        <v>1.33E-124</v>
      </c>
      <c r="F3429" s="2">
        <v>942</v>
      </c>
      <c r="G3429" s="2">
        <v>100</v>
      </c>
      <c r="H3429" s="2">
        <v>175</v>
      </c>
      <c r="I3429" s="2">
        <v>279</v>
      </c>
      <c r="J3429" s="2">
        <v>803</v>
      </c>
      <c r="K3429" s="2">
        <v>1</v>
      </c>
      <c r="L3429" s="2">
        <v>175</v>
      </c>
    </row>
    <row r="3430" spans="1:12" x14ac:dyDescent="0.25">
      <c r="A3430" s="4" t="str">
        <f>HYPERLINK("http://www.rosaceae.org/Prunus/Prunus_persica/p.persica_gdr_reftransV1_0010298","p.persica_gdr_reftransV1_0010298")</f>
        <v>p.persica_gdr_reftransV1_0010298</v>
      </c>
      <c r="B3430" s="2">
        <v>7172</v>
      </c>
      <c r="C3430" s="4" t="str">
        <f>HYPERLINK("http://www.uniprot.org/uniprot/M5X842","M5X842")</f>
        <v>M5X842</v>
      </c>
      <c r="D3430" s="2" t="s">
        <v>3242</v>
      </c>
      <c r="E3430" s="3">
        <v>0</v>
      </c>
      <c r="F3430" s="2">
        <v>10524</v>
      </c>
      <c r="G3430" s="2">
        <v>100</v>
      </c>
      <c r="H3430" s="2">
        <v>2196</v>
      </c>
      <c r="I3430" s="2">
        <v>501</v>
      </c>
      <c r="J3430" s="2">
        <v>7088</v>
      </c>
      <c r="K3430" s="2">
        <v>76</v>
      </c>
      <c r="L3430" s="2">
        <v>2271</v>
      </c>
    </row>
    <row r="3431" spans="1:12" x14ac:dyDescent="0.25">
      <c r="A3431" s="4" t="str">
        <f>HYPERLINK("http://www.rosaceae.org/Prunus/Prunus_persica/p.persica_gdr_reftransV1_0010648","p.persica_gdr_reftransV1_0010648")</f>
        <v>p.persica_gdr_reftransV1_0010648</v>
      </c>
      <c r="B3431" s="2">
        <v>2758</v>
      </c>
      <c r="C3431" s="4" t="str">
        <f>HYPERLINK("http://www.uniprot.org/uniprot/M5W0U3","M5W0U3")</f>
        <v>M5W0U3</v>
      </c>
      <c r="D3431" s="2" t="s">
        <v>3243</v>
      </c>
      <c r="E3431" s="3">
        <v>3.45E-63</v>
      </c>
      <c r="F3431" s="2">
        <v>558</v>
      </c>
      <c r="G3431" s="2">
        <v>100</v>
      </c>
      <c r="H3431" s="2">
        <v>108</v>
      </c>
      <c r="I3431" s="2">
        <v>1328</v>
      </c>
      <c r="J3431" s="2">
        <v>1651</v>
      </c>
      <c r="K3431" s="2">
        <v>1</v>
      </c>
      <c r="L3431" s="2">
        <v>108</v>
      </c>
    </row>
    <row r="3432" spans="1:12" x14ac:dyDescent="0.25">
      <c r="A3432" s="4" t="str">
        <f>HYPERLINK("http://www.rosaceae.org/Prunus/Prunus_persica/p.persica_gdr_reftransV1_0010998","p.persica_gdr_reftransV1_0010998")</f>
        <v>p.persica_gdr_reftransV1_0010998</v>
      </c>
      <c r="B3432" s="2">
        <v>600</v>
      </c>
      <c r="C3432" s="4" t="str">
        <f>HYPERLINK("http://www.uniprot.org/uniprot/M5W8D0","M5W8D0")</f>
        <v>M5W8D0</v>
      </c>
      <c r="D3432" s="2" t="s">
        <v>3244</v>
      </c>
      <c r="E3432" s="3">
        <v>1.1899999999999999E-52</v>
      </c>
      <c r="F3432" s="2">
        <v>443</v>
      </c>
      <c r="G3432" s="2">
        <v>99</v>
      </c>
      <c r="H3432" s="2">
        <v>82</v>
      </c>
      <c r="I3432" s="2">
        <v>218</v>
      </c>
      <c r="J3432" s="2">
        <v>463</v>
      </c>
      <c r="K3432" s="2">
        <v>1</v>
      </c>
      <c r="L3432" s="2">
        <v>82</v>
      </c>
    </row>
    <row r="3433" spans="1:12" x14ac:dyDescent="0.25">
      <c r="A3433" s="4" t="str">
        <f>HYPERLINK("http://www.rosaceae.org/Prunus/Prunus_persica/p.persica_gdr_reftransV1_0012048","p.persica_gdr_reftransV1_0012048")</f>
        <v>p.persica_gdr_reftransV1_0012048</v>
      </c>
      <c r="B3433" s="2">
        <v>385</v>
      </c>
      <c r="C3433" s="4" t="str">
        <f>HYPERLINK("http://www.uniprot.org/uniprot/M5WWT4","M5WWT4")</f>
        <v>M5WWT4</v>
      </c>
      <c r="D3433" s="2" t="s">
        <v>3245</v>
      </c>
      <c r="E3433" s="3">
        <v>3.1399999999999999E-49</v>
      </c>
      <c r="F3433" s="2">
        <v>435</v>
      </c>
      <c r="G3433" s="2">
        <v>71</v>
      </c>
      <c r="H3433" s="2">
        <v>127</v>
      </c>
      <c r="I3433" s="2">
        <v>3</v>
      </c>
      <c r="J3433" s="2">
        <v>383</v>
      </c>
      <c r="K3433" s="2">
        <v>154</v>
      </c>
      <c r="L3433" s="2">
        <v>243</v>
      </c>
    </row>
    <row r="3434" spans="1:12" x14ac:dyDescent="0.25">
      <c r="A3434" s="4" t="str">
        <f>HYPERLINK("http://www.rosaceae.org/Prunus/Prunus_persica/p.persica_gdr_reftransV1_0012398","p.persica_gdr_reftransV1_0012398")</f>
        <v>p.persica_gdr_reftransV1_0012398</v>
      </c>
      <c r="B3434" s="2">
        <v>1150</v>
      </c>
      <c r="C3434" s="4" t="str">
        <f>HYPERLINK("http://www.uniprot.org/uniprot/M5X2R7","M5X2R7")</f>
        <v>M5X2R7</v>
      </c>
      <c r="D3434" s="2" t="s">
        <v>3246</v>
      </c>
      <c r="E3434" s="3">
        <v>2.1699999999999999E-66</v>
      </c>
      <c r="F3434" s="2">
        <v>555</v>
      </c>
      <c r="G3434" s="2">
        <v>100</v>
      </c>
      <c r="H3434" s="2">
        <v>105</v>
      </c>
      <c r="I3434" s="2">
        <v>581</v>
      </c>
      <c r="J3434" s="2">
        <v>895</v>
      </c>
      <c r="K3434" s="2">
        <v>30</v>
      </c>
      <c r="L3434" s="2">
        <v>134</v>
      </c>
    </row>
    <row r="3435" spans="1:12" x14ac:dyDescent="0.25">
      <c r="A3435" s="4" t="str">
        <f>HYPERLINK("http://www.rosaceae.org/Prunus/Prunus_persica/p.persica_gdr_reftransV1_0013098","p.persica_gdr_reftransV1_0013098")</f>
        <v>p.persica_gdr_reftransV1_0013098</v>
      </c>
      <c r="B3435" s="2">
        <v>4978</v>
      </c>
      <c r="C3435" s="4" t="str">
        <f>HYPERLINK("http://www.uniprot.org/uniprot/M5WEB0","M5WEB0")</f>
        <v>M5WEB0</v>
      </c>
      <c r="D3435" s="2" t="s">
        <v>3247</v>
      </c>
      <c r="E3435" s="3">
        <v>0</v>
      </c>
      <c r="F3435" s="2">
        <v>5974</v>
      </c>
      <c r="G3435" s="2">
        <v>97</v>
      </c>
      <c r="H3435" s="2">
        <v>1194</v>
      </c>
      <c r="I3435" s="2">
        <v>271</v>
      </c>
      <c r="J3435" s="2">
        <v>3852</v>
      </c>
      <c r="K3435" s="2">
        <v>1</v>
      </c>
      <c r="L3435" s="2">
        <v>1159</v>
      </c>
    </row>
    <row r="3436" spans="1:12" x14ac:dyDescent="0.25">
      <c r="A3436" s="4" t="str">
        <f>HYPERLINK("http://www.rosaceae.org/Prunus/Prunus_persica/p.persica_gdr_reftransV1_0013448","p.persica_gdr_reftransV1_0013448")</f>
        <v>p.persica_gdr_reftransV1_0013448</v>
      </c>
      <c r="B3436" s="2">
        <v>3820</v>
      </c>
      <c r="C3436" s="4" t="str">
        <f>HYPERLINK("http://www.uniprot.org/uniprot/M5W561","M5W561")</f>
        <v>M5W561</v>
      </c>
      <c r="D3436" s="2" t="s">
        <v>3248</v>
      </c>
      <c r="E3436" s="3">
        <v>0</v>
      </c>
      <c r="F3436" s="2">
        <v>2843</v>
      </c>
      <c r="G3436" s="2">
        <v>75</v>
      </c>
      <c r="H3436" s="2">
        <v>956</v>
      </c>
      <c r="I3436" s="2">
        <v>344</v>
      </c>
      <c r="J3436" s="2">
        <v>3184</v>
      </c>
      <c r="K3436" s="2">
        <v>27</v>
      </c>
      <c r="L3436" s="2">
        <v>926</v>
      </c>
    </row>
    <row r="3437" spans="1:12" x14ac:dyDescent="0.25">
      <c r="A3437" s="4" t="str">
        <f>HYPERLINK("http://www.rosaceae.org/Prunus/Prunus_persica/p.persica_gdr_reftransV1_0013798","p.persica_gdr_reftransV1_0013798")</f>
        <v>p.persica_gdr_reftransV1_0013798</v>
      </c>
      <c r="B3437" s="2">
        <v>2556</v>
      </c>
      <c r="C3437" s="4" t="str">
        <f>HYPERLINK("http://www.uniprot.org/uniprot/M5WM03","M5WM03")</f>
        <v>M5WM03</v>
      </c>
      <c r="D3437" s="2" t="s">
        <v>3249</v>
      </c>
      <c r="E3437" s="3">
        <v>0</v>
      </c>
      <c r="F3437" s="2">
        <v>1367</v>
      </c>
      <c r="G3437" s="2">
        <v>100</v>
      </c>
      <c r="H3437" s="2">
        <v>275</v>
      </c>
      <c r="I3437" s="2">
        <v>562</v>
      </c>
      <c r="J3437" s="2">
        <v>1386</v>
      </c>
      <c r="K3437" s="2">
        <v>223</v>
      </c>
      <c r="L3437" s="2">
        <v>497</v>
      </c>
    </row>
    <row r="3438" spans="1:12" x14ac:dyDescent="0.25">
      <c r="A3438" s="4" t="str">
        <f>HYPERLINK("http://www.rosaceae.org/Prunus/Prunus_persica/p.persica_gdr_reftransV1_0014148","p.persica_gdr_reftransV1_0014148")</f>
        <v>p.persica_gdr_reftransV1_0014148</v>
      </c>
      <c r="B3438" s="2">
        <v>1579</v>
      </c>
      <c r="C3438" s="4" t="str">
        <f>HYPERLINK("http://www.uniprot.org/uniprot/M5WZD1","M5WZD1")</f>
        <v>M5WZD1</v>
      </c>
      <c r="D3438" s="2" t="s">
        <v>3250</v>
      </c>
      <c r="E3438" s="3">
        <v>1.28E-177</v>
      </c>
      <c r="F3438" s="2">
        <v>1318</v>
      </c>
      <c r="G3438" s="2">
        <v>100</v>
      </c>
      <c r="H3438" s="2">
        <v>249</v>
      </c>
      <c r="I3438" s="2">
        <v>637</v>
      </c>
      <c r="J3438" s="2">
        <v>1383</v>
      </c>
      <c r="K3438" s="2">
        <v>1</v>
      </c>
      <c r="L3438" s="2">
        <v>249</v>
      </c>
    </row>
    <row r="3439" spans="1:12" x14ac:dyDescent="0.25">
      <c r="A3439" s="4" t="str">
        <f>HYPERLINK("http://www.rosaceae.org/Prunus/Prunus_persica/p.persica_gdr_reftransV1_0015198","p.persica_gdr_reftransV1_0015198")</f>
        <v>p.persica_gdr_reftransV1_0015198</v>
      </c>
      <c r="B3439" s="2">
        <v>1083</v>
      </c>
      <c r="C3439" s="4" t="str">
        <f>HYPERLINK("http://www.uniprot.org/uniprot/M5VH31","M5VH31")</f>
        <v>M5VH31</v>
      </c>
      <c r="D3439" s="2" t="s">
        <v>3251</v>
      </c>
      <c r="E3439" s="3">
        <v>3.6100000000000002E-120</v>
      </c>
      <c r="F3439" s="2">
        <v>917</v>
      </c>
      <c r="G3439" s="2">
        <v>99</v>
      </c>
      <c r="H3439" s="2">
        <v>199</v>
      </c>
      <c r="I3439" s="2">
        <v>318</v>
      </c>
      <c r="J3439" s="2">
        <v>914</v>
      </c>
      <c r="K3439" s="2">
        <v>1</v>
      </c>
      <c r="L3439" s="2">
        <v>199</v>
      </c>
    </row>
    <row r="3440" spans="1:12" x14ac:dyDescent="0.25">
      <c r="A3440" s="4" t="str">
        <f>HYPERLINK("http://www.rosaceae.org/Prunus/Prunus_persica/p.persica_gdr_reftransV1_0015898","p.persica_gdr_reftransV1_0015898")</f>
        <v>p.persica_gdr_reftransV1_0015898</v>
      </c>
      <c r="B3440" s="2">
        <v>2308</v>
      </c>
      <c r="C3440" s="4" t="str">
        <f>HYPERLINK("http://www.uniprot.org/uniprot/M5X1N4","M5X1N4")</f>
        <v>M5X1N4</v>
      </c>
      <c r="D3440" s="2" t="s">
        <v>3252</v>
      </c>
      <c r="E3440" s="3">
        <v>5.1900000000000003E-121</v>
      </c>
      <c r="F3440" s="2">
        <v>974</v>
      </c>
      <c r="G3440" s="2">
        <v>100</v>
      </c>
      <c r="H3440" s="2">
        <v>229</v>
      </c>
      <c r="I3440" s="2">
        <v>1516</v>
      </c>
      <c r="J3440" s="2">
        <v>2202</v>
      </c>
      <c r="K3440" s="2">
        <v>14</v>
      </c>
      <c r="L3440" s="2">
        <v>242</v>
      </c>
    </row>
    <row r="3441" spans="1:12" x14ac:dyDescent="0.25">
      <c r="A3441" s="4" t="str">
        <f>HYPERLINK("http://www.rosaceae.org/Prunus/Prunus_persica/p.persica_gdr_reftransV1_0016248","p.persica_gdr_reftransV1_0016248")</f>
        <v>p.persica_gdr_reftransV1_0016248</v>
      </c>
      <c r="B3441" s="2">
        <v>2171</v>
      </c>
      <c r="C3441" s="4" t="str">
        <f>HYPERLINK("http://www.uniprot.org/uniprot/M5W2Z7","M5W2Z7")</f>
        <v>M5W2Z7</v>
      </c>
      <c r="D3441" s="2" t="s">
        <v>3253</v>
      </c>
      <c r="E3441" s="3">
        <v>2.55E-102</v>
      </c>
      <c r="F3441" s="2">
        <v>837</v>
      </c>
      <c r="G3441" s="2">
        <v>100</v>
      </c>
      <c r="H3441" s="2">
        <v>163</v>
      </c>
      <c r="I3441" s="2">
        <v>382</v>
      </c>
      <c r="J3441" s="2">
        <v>870</v>
      </c>
      <c r="K3441" s="2">
        <v>114</v>
      </c>
      <c r="L3441" s="2">
        <v>276</v>
      </c>
    </row>
    <row r="3442" spans="1:12" x14ac:dyDescent="0.25">
      <c r="A3442" s="4" t="str">
        <f>HYPERLINK("http://www.rosaceae.org/Prunus/Prunus_persica/p.persica_gdr_reftransV1_0017298","p.persica_gdr_reftransV1_0017298")</f>
        <v>p.persica_gdr_reftransV1_0017298</v>
      </c>
      <c r="B3442" s="2">
        <v>787</v>
      </c>
      <c r="C3442" s="4" t="str">
        <f>HYPERLINK("http://www.uniprot.org/uniprot/M5WF91","M5WF91")</f>
        <v>M5WF91</v>
      </c>
      <c r="D3442" s="2" t="s">
        <v>3254</v>
      </c>
      <c r="E3442" s="3">
        <v>2.7200000000000001E-22</v>
      </c>
      <c r="F3442" s="2">
        <v>257</v>
      </c>
      <c r="G3442" s="2">
        <v>95</v>
      </c>
      <c r="H3442" s="2">
        <v>59</v>
      </c>
      <c r="I3442" s="2">
        <v>39</v>
      </c>
      <c r="J3442" s="2">
        <v>215</v>
      </c>
      <c r="K3442" s="2">
        <v>91</v>
      </c>
      <c r="L3442" s="2">
        <v>149</v>
      </c>
    </row>
    <row r="3443" spans="1:12" x14ac:dyDescent="0.25">
      <c r="A3443" s="4" t="str">
        <f>HYPERLINK("http://www.rosaceae.org/Prunus/Prunus_persica/p.persica_gdr_reftransV1_0017998","p.persica_gdr_reftransV1_0017998")</f>
        <v>p.persica_gdr_reftransV1_0017998</v>
      </c>
      <c r="B3443" s="2">
        <v>2066</v>
      </c>
      <c r="C3443" s="4" t="str">
        <f>HYPERLINK("http://www.uniprot.org/uniprot/M5XA80","M5XA80")</f>
        <v>M5XA80</v>
      </c>
      <c r="D3443" s="2" t="s">
        <v>3255</v>
      </c>
      <c r="E3443" s="3">
        <v>0</v>
      </c>
      <c r="F3443" s="2">
        <v>2386</v>
      </c>
      <c r="G3443" s="2">
        <v>91</v>
      </c>
      <c r="H3443" s="2">
        <v>514</v>
      </c>
      <c r="I3443" s="2">
        <v>352</v>
      </c>
      <c r="J3443" s="2">
        <v>1893</v>
      </c>
      <c r="K3443" s="2">
        <v>1</v>
      </c>
      <c r="L3443" s="2">
        <v>466</v>
      </c>
    </row>
    <row r="3444" spans="1:12" x14ac:dyDescent="0.25">
      <c r="A3444" s="4" t="str">
        <f>HYPERLINK("http://www.rosaceae.org/Prunus/Prunus_persica/p.persica_gdr_reftransV1_0018698","p.persica_gdr_reftransV1_0018698")</f>
        <v>p.persica_gdr_reftransV1_0018698</v>
      </c>
      <c r="B3444" s="2">
        <v>1175</v>
      </c>
      <c r="C3444" s="4" t="str">
        <f>HYPERLINK("http://www.uniprot.org/uniprot/M5X649","M5X649")</f>
        <v>M5X649</v>
      </c>
      <c r="D3444" s="2" t="s">
        <v>3256</v>
      </c>
      <c r="E3444" s="3">
        <v>7.7099999999999993E-155</v>
      </c>
      <c r="F3444" s="2">
        <v>1156</v>
      </c>
      <c r="G3444" s="2">
        <v>98</v>
      </c>
      <c r="H3444" s="2">
        <v>275</v>
      </c>
      <c r="I3444" s="2">
        <v>136</v>
      </c>
      <c r="J3444" s="2">
        <v>960</v>
      </c>
      <c r="K3444" s="2">
        <v>1</v>
      </c>
      <c r="L3444" s="2">
        <v>271</v>
      </c>
    </row>
    <row r="3445" spans="1:12" x14ac:dyDescent="0.25">
      <c r="A3445" s="4" t="str">
        <f>HYPERLINK("http://www.rosaceae.org/Prunus/Prunus_persica/p.persica_gdr_reftransV1_0019748","p.persica_gdr_reftransV1_0019748")</f>
        <v>p.persica_gdr_reftransV1_0019748</v>
      </c>
      <c r="B3445" s="2">
        <v>2108</v>
      </c>
      <c r="C3445" s="4" t="str">
        <f>HYPERLINK("http://www.uniprot.org/uniprot/M5W4S2","M5W4S2")</f>
        <v>M5W4S2</v>
      </c>
      <c r="D3445" s="2" t="s">
        <v>3257</v>
      </c>
      <c r="E3445" s="3">
        <v>0</v>
      </c>
      <c r="F3445" s="2">
        <v>1902</v>
      </c>
      <c r="G3445" s="2">
        <v>100</v>
      </c>
      <c r="H3445" s="2">
        <v>352</v>
      </c>
      <c r="I3445" s="2">
        <v>613</v>
      </c>
      <c r="J3445" s="2">
        <v>1668</v>
      </c>
      <c r="K3445" s="2">
        <v>245</v>
      </c>
      <c r="L3445" s="2">
        <v>596</v>
      </c>
    </row>
    <row r="3446" spans="1:12" x14ac:dyDescent="0.25">
      <c r="A3446" s="4" t="str">
        <f>HYPERLINK("http://www.rosaceae.org/Prunus/Prunus_persica/p.persica_gdr_reftransV1_0020098","p.persica_gdr_reftransV1_0020098")</f>
        <v>p.persica_gdr_reftransV1_0020098</v>
      </c>
      <c r="B3446" s="2">
        <v>2137</v>
      </c>
      <c r="C3446" s="4" t="str">
        <f>HYPERLINK("http://www.uniprot.org/uniprot/M5VR15","M5VR15")</f>
        <v>M5VR15</v>
      </c>
      <c r="D3446" s="2" t="s">
        <v>3258</v>
      </c>
      <c r="E3446" s="3">
        <v>1.4600000000000001E-160</v>
      </c>
      <c r="F3446" s="2">
        <v>1230</v>
      </c>
      <c r="G3446" s="2">
        <v>99</v>
      </c>
      <c r="H3446" s="2">
        <v>245</v>
      </c>
      <c r="I3446" s="2">
        <v>956</v>
      </c>
      <c r="J3446" s="2">
        <v>1690</v>
      </c>
      <c r="K3446" s="2">
        <v>39</v>
      </c>
      <c r="L3446" s="2">
        <v>283</v>
      </c>
    </row>
    <row r="3447" spans="1:12" x14ac:dyDescent="0.25">
      <c r="A3447" s="4" t="str">
        <f>HYPERLINK("http://www.rosaceae.org/Prunus/Prunus_persica/p.persica_gdr_reftransV1_0021848","p.persica_gdr_reftransV1_0021848")</f>
        <v>p.persica_gdr_reftransV1_0021848</v>
      </c>
      <c r="B3447" s="2">
        <v>1877</v>
      </c>
      <c r="C3447" s="4" t="str">
        <f>HYPERLINK("http://www.uniprot.org/uniprot/M5WSP3","M5WSP3")</f>
        <v>M5WSP3</v>
      </c>
      <c r="D3447" s="2" t="s">
        <v>3259</v>
      </c>
      <c r="E3447" s="3">
        <v>0</v>
      </c>
      <c r="F3447" s="2">
        <v>2090</v>
      </c>
      <c r="G3447" s="2">
        <v>100</v>
      </c>
      <c r="H3447" s="2">
        <v>387</v>
      </c>
      <c r="I3447" s="2">
        <v>435</v>
      </c>
      <c r="J3447" s="2">
        <v>1595</v>
      </c>
      <c r="K3447" s="2">
        <v>1</v>
      </c>
      <c r="L3447" s="2">
        <v>387</v>
      </c>
    </row>
    <row r="3448" spans="1:12" x14ac:dyDescent="0.25">
      <c r="A3448" s="4" t="str">
        <f>HYPERLINK("http://www.rosaceae.org/Prunus/Prunus_persica/p.persica_gdr_reftransV1_0025348","p.persica_gdr_reftransV1_0025348")</f>
        <v>p.persica_gdr_reftransV1_0025348</v>
      </c>
      <c r="B3448" s="2">
        <v>1377</v>
      </c>
      <c r="C3448" s="4" t="str">
        <f>HYPERLINK("http://www.uniprot.org/uniprot/M5VNC3","M5VNC3")</f>
        <v>M5VNC3</v>
      </c>
      <c r="D3448" s="2" t="s">
        <v>3260</v>
      </c>
      <c r="E3448" s="3">
        <v>9.3099999999999998E-61</v>
      </c>
      <c r="F3448" s="2">
        <v>520</v>
      </c>
      <c r="G3448" s="2">
        <v>100</v>
      </c>
      <c r="H3448" s="2">
        <v>99</v>
      </c>
      <c r="I3448" s="2">
        <v>176</v>
      </c>
      <c r="J3448" s="2">
        <v>472</v>
      </c>
      <c r="K3448" s="2">
        <v>1</v>
      </c>
      <c r="L3448" s="2">
        <v>99</v>
      </c>
    </row>
    <row r="3449" spans="1:12" x14ac:dyDescent="0.25">
      <c r="A3449" s="4" t="str">
        <f>HYPERLINK("http://www.rosaceae.org/Prunus/Prunus_persica/p.persica_gdr_reftransV1_0027098","p.persica_gdr_reftransV1_0027098")</f>
        <v>p.persica_gdr_reftransV1_0027098</v>
      </c>
      <c r="B3449" s="2">
        <v>2944</v>
      </c>
      <c r="C3449" s="4" t="str">
        <f>HYPERLINK("http://www.uniprot.org/uniprot/M5W2Y1","M5W2Y1")</f>
        <v>M5W2Y1</v>
      </c>
      <c r="D3449" s="2" t="s">
        <v>3261</v>
      </c>
      <c r="E3449" s="3">
        <v>9.2300000000000006E-152</v>
      </c>
      <c r="F3449" s="2">
        <v>1203</v>
      </c>
      <c r="G3449" s="2">
        <v>100</v>
      </c>
      <c r="H3449" s="2">
        <v>283</v>
      </c>
      <c r="I3449" s="2">
        <v>65</v>
      </c>
      <c r="J3449" s="2">
        <v>913</v>
      </c>
      <c r="K3449" s="2">
        <v>1</v>
      </c>
      <c r="L3449" s="2">
        <v>283</v>
      </c>
    </row>
    <row r="3450" spans="1:12" x14ac:dyDescent="0.25">
      <c r="A3450" s="4" t="str">
        <f>HYPERLINK("http://www.rosaceae.org/Prunus/Prunus_persica/p.persica_gdr_reftransV1_0027448","p.persica_gdr_reftransV1_0027448")</f>
        <v>p.persica_gdr_reftransV1_0027448</v>
      </c>
      <c r="B3450" s="2">
        <v>920</v>
      </c>
      <c r="C3450" s="4" t="str">
        <f>HYPERLINK("http://www.uniprot.org/uniprot/M5WNH1","M5WNH1")</f>
        <v>M5WNH1</v>
      </c>
      <c r="D3450" s="2" t="s">
        <v>3262</v>
      </c>
      <c r="E3450" s="3">
        <v>5.8199999999999999E-120</v>
      </c>
      <c r="F3450" s="2">
        <v>909</v>
      </c>
      <c r="G3450" s="2">
        <v>100</v>
      </c>
      <c r="H3450" s="2">
        <v>192</v>
      </c>
      <c r="I3450" s="2">
        <v>182</v>
      </c>
      <c r="J3450" s="2">
        <v>757</v>
      </c>
      <c r="K3450" s="2">
        <v>3</v>
      </c>
      <c r="L3450" s="2">
        <v>194</v>
      </c>
    </row>
    <row r="3451" spans="1:12" x14ac:dyDescent="0.25">
      <c r="A3451" s="4" t="str">
        <f>HYPERLINK("http://www.rosaceae.org/Prunus/Prunus_persica/p.persica_gdr_reftransV1_0028148","p.persica_gdr_reftransV1_0028148")</f>
        <v>p.persica_gdr_reftransV1_0028148</v>
      </c>
      <c r="B3451" s="2">
        <v>2445</v>
      </c>
      <c r="C3451" s="4" t="str">
        <f>HYPERLINK("http://www.uniprot.org/uniprot/M5W2E8","M5W2E8")</f>
        <v>M5W2E8</v>
      </c>
      <c r="D3451" s="2" t="s">
        <v>3263</v>
      </c>
      <c r="E3451" s="3">
        <v>0</v>
      </c>
      <c r="F3451" s="2">
        <v>1582</v>
      </c>
      <c r="G3451" s="2">
        <v>80</v>
      </c>
      <c r="H3451" s="2">
        <v>400</v>
      </c>
      <c r="I3451" s="2">
        <v>117</v>
      </c>
      <c r="J3451" s="2">
        <v>1316</v>
      </c>
      <c r="K3451" s="2">
        <v>1</v>
      </c>
      <c r="L3451" s="2">
        <v>344</v>
      </c>
    </row>
    <row r="3452" spans="1:12" x14ac:dyDescent="0.25">
      <c r="A3452" s="4" t="str">
        <f>HYPERLINK("http://www.rosaceae.org/Prunus/Prunus_persica/p.persica_gdr_reftransV1_0028498","p.persica_gdr_reftransV1_0028498")</f>
        <v>p.persica_gdr_reftransV1_0028498</v>
      </c>
      <c r="B3452" s="2">
        <v>1699</v>
      </c>
      <c r="C3452" s="4" t="str">
        <f>HYPERLINK("http://www.uniprot.org/uniprot/M5VZK6","M5VZK6")</f>
        <v>M5VZK6</v>
      </c>
      <c r="D3452" s="2" t="s">
        <v>3264</v>
      </c>
      <c r="E3452" s="3">
        <v>4.4300000000000001E-112</v>
      </c>
      <c r="F3452" s="2">
        <v>890</v>
      </c>
      <c r="G3452" s="2">
        <v>98</v>
      </c>
      <c r="H3452" s="2">
        <v>171</v>
      </c>
      <c r="I3452" s="2">
        <v>848</v>
      </c>
      <c r="J3452" s="2">
        <v>1360</v>
      </c>
      <c r="K3452" s="2">
        <v>107</v>
      </c>
      <c r="L3452" s="2">
        <v>277</v>
      </c>
    </row>
    <row r="3453" spans="1:12" x14ac:dyDescent="0.25">
      <c r="A3453" s="4" t="str">
        <f>HYPERLINK("http://www.rosaceae.org/Prunus/Prunus_persica/p.persica_gdr_reftransV1_0028848","p.persica_gdr_reftransV1_0028848")</f>
        <v>p.persica_gdr_reftransV1_0028848</v>
      </c>
      <c r="B3453" s="2">
        <v>3179</v>
      </c>
      <c r="C3453" s="4" t="str">
        <f>HYPERLINK("http://www.uniprot.org/uniprot/M5WEB7","M5WEB7")</f>
        <v>M5WEB7</v>
      </c>
      <c r="D3453" s="2" t="s">
        <v>3265</v>
      </c>
      <c r="E3453" s="3">
        <v>0</v>
      </c>
      <c r="F3453" s="2">
        <v>3091</v>
      </c>
      <c r="G3453" s="2">
        <v>100</v>
      </c>
      <c r="H3453" s="2">
        <v>609</v>
      </c>
      <c r="I3453" s="2">
        <v>211</v>
      </c>
      <c r="J3453" s="2">
        <v>2037</v>
      </c>
      <c r="K3453" s="2">
        <v>1</v>
      </c>
      <c r="L3453" s="2">
        <v>609</v>
      </c>
    </row>
    <row r="3454" spans="1:12" x14ac:dyDescent="0.25">
      <c r="A3454" s="4" t="str">
        <f>HYPERLINK("http://www.rosaceae.org/Prunus/Prunus_persica/p.persica_gdr_reftransV1_0029198","p.persica_gdr_reftransV1_0029198")</f>
        <v>p.persica_gdr_reftransV1_0029198</v>
      </c>
      <c r="B3454" s="2">
        <v>5721</v>
      </c>
      <c r="C3454" s="4" t="str">
        <f>HYPERLINK("http://www.uniprot.org/uniprot/M5VSF5","M5VSF5")</f>
        <v>M5VSF5</v>
      </c>
      <c r="D3454" s="2" t="s">
        <v>3266</v>
      </c>
      <c r="E3454" s="3">
        <v>0</v>
      </c>
      <c r="F3454" s="2">
        <v>9137</v>
      </c>
      <c r="G3454" s="2">
        <v>100</v>
      </c>
      <c r="H3454" s="2">
        <v>1747</v>
      </c>
      <c r="I3454" s="2">
        <v>365</v>
      </c>
      <c r="J3454" s="2">
        <v>5605</v>
      </c>
      <c r="K3454" s="2">
        <v>9</v>
      </c>
      <c r="L3454" s="2">
        <v>1755</v>
      </c>
    </row>
    <row r="3455" spans="1:12" x14ac:dyDescent="0.25">
      <c r="A3455" s="4" t="str">
        <f>HYPERLINK("http://www.rosaceae.org/Prunus/Prunus_persica/p.persica_gdr_reftransV1_0029548","p.persica_gdr_reftransV1_0029548")</f>
        <v>p.persica_gdr_reftransV1_0029548</v>
      </c>
      <c r="B3455" s="2">
        <v>2056</v>
      </c>
      <c r="C3455" s="4" t="str">
        <f>HYPERLINK("http://www.uniprot.org/uniprot/M5WAK6","M5WAK6")</f>
        <v>M5WAK6</v>
      </c>
      <c r="D3455" s="2" t="s">
        <v>3267</v>
      </c>
      <c r="E3455" s="3">
        <v>0</v>
      </c>
      <c r="F3455" s="2">
        <v>2266</v>
      </c>
      <c r="G3455" s="2">
        <v>100</v>
      </c>
      <c r="H3455" s="2">
        <v>440</v>
      </c>
      <c r="I3455" s="2">
        <v>450</v>
      </c>
      <c r="J3455" s="2">
        <v>1769</v>
      </c>
      <c r="K3455" s="2">
        <v>1</v>
      </c>
      <c r="L3455" s="2">
        <v>440</v>
      </c>
    </row>
    <row r="3456" spans="1:12" x14ac:dyDescent="0.25">
      <c r="A3456" s="4" t="str">
        <f>HYPERLINK("http://www.rosaceae.org/Prunus/Prunus_persica/p.persica_gdr_reftransV1_0029898","p.persica_gdr_reftransV1_0029898")</f>
        <v>p.persica_gdr_reftransV1_0029898</v>
      </c>
      <c r="B3456" s="2">
        <v>803</v>
      </c>
      <c r="C3456" s="4" t="str">
        <f>HYPERLINK("http://www.uniprot.org/uniprot/M5XMP4","M5XMP4")</f>
        <v>M5XMP4</v>
      </c>
      <c r="D3456" s="2" t="s">
        <v>3268</v>
      </c>
      <c r="E3456" s="3">
        <v>2.6100000000000001E-78</v>
      </c>
      <c r="F3456" s="2">
        <v>625</v>
      </c>
      <c r="G3456" s="2">
        <v>100</v>
      </c>
      <c r="H3456" s="2">
        <v>147</v>
      </c>
      <c r="I3456" s="2">
        <v>222</v>
      </c>
      <c r="J3456" s="2">
        <v>662</v>
      </c>
      <c r="K3456" s="2">
        <v>1</v>
      </c>
      <c r="L3456" s="2">
        <v>147</v>
      </c>
    </row>
    <row r="3457" spans="1:12" x14ac:dyDescent="0.25">
      <c r="A3457" s="4" t="str">
        <f>HYPERLINK("http://www.rosaceae.org/Prunus/Prunus_persica/p.persica_gdr_reftransV1_0030598","p.persica_gdr_reftransV1_0030598")</f>
        <v>p.persica_gdr_reftransV1_0030598</v>
      </c>
      <c r="B3457" s="2">
        <v>1022</v>
      </c>
      <c r="C3457" s="4" t="str">
        <f>HYPERLINK("http://www.uniprot.org/uniprot/M5W1B3","M5W1B3")</f>
        <v>M5W1B3</v>
      </c>
      <c r="D3457" s="2" t="s">
        <v>3269</v>
      </c>
      <c r="E3457" s="3">
        <v>0</v>
      </c>
      <c r="F3457" s="2">
        <v>1342</v>
      </c>
      <c r="G3457" s="2">
        <v>100</v>
      </c>
      <c r="H3457" s="2">
        <v>269</v>
      </c>
      <c r="I3457" s="2">
        <v>128</v>
      </c>
      <c r="J3457" s="2">
        <v>934</v>
      </c>
      <c r="K3457" s="2">
        <v>79</v>
      </c>
      <c r="L3457" s="2">
        <v>347</v>
      </c>
    </row>
    <row r="3458" spans="1:12" x14ac:dyDescent="0.25">
      <c r="A3458" s="4" t="str">
        <f>HYPERLINK("http://www.rosaceae.org/Prunus/Prunus_persica/p.persica_gdr_reftransV1_0030948","p.persica_gdr_reftransV1_0030948")</f>
        <v>p.persica_gdr_reftransV1_0030948</v>
      </c>
      <c r="B3458" s="2">
        <v>675</v>
      </c>
      <c r="C3458" s="4" t="str">
        <f>HYPERLINK("http://www.uniprot.org/uniprot/M5WH81","M5WH81")</f>
        <v>M5WH81</v>
      </c>
      <c r="D3458" s="2" t="s">
        <v>3270</v>
      </c>
      <c r="E3458" s="3">
        <v>1.1000000000000001E-158</v>
      </c>
      <c r="F3458" s="2">
        <v>1201</v>
      </c>
      <c r="G3458" s="2">
        <v>100</v>
      </c>
      <c r="H3458" s="2">
        <v>225</v>
      </c>
      <c r="I3458" s="2">
        <v>1</v>
      </c>
      <c r="J3458" s="2">
        <v>675</v>
      </c>
      <c r="K3458" s="2">
        <v>201</v>
      </c>
      <c r="L3458" s="2">
        <v>425</v>
      </c>
    </row>
    <row r="3459" spans="1:12" x14ac:dyDescent="0.25">
      <c r="A3459" s="4" t="str">
        <f>HYPERLINK("http://www.rosaceae.org/Prunus/Prunus_persica/p.persica_gdr_reftransV1_0031648","p.persica_gdr_reftransV1_0031648")</f>
        <v>p.persica_gdr_reftransV1_0031648</v>
      </c>
      <c r="B3459" s="2">
        <v>1991</v>
      </c>
      <c r="C3459" s="4" t="str">
        <f>HYPERLINK("http://www.uniprot.org/uniprot/M5WV48","M5WV48")</f>
        <v>M5WV48</v>
      </c>
      <c r="D3459" s="2" t="s">
        <v>3271</v>
      </c>
      <c r="E3459" s="3">
        <v>0</v>
      </c>
      <c r="F3459" s="2">
        <v>2300</v>
      </c>
      <c r="G3459" s="2">
        <v>100</v>
      </c>
      <c r="H3459" s="2">
        <v>487</v>
      </c>
      <c r="I3459" s="2">
        <v>322</v>
      </c>
      <c r="J3459" s="2">
        <v>1782</v>
      </c>
      <c r="K3459" s="2">
        <v>1</v>
      </c>
      <c r="L3459" s="2">
        <v>487</v>
      </c>
    </row>
    <row r="3460" spans="1:12" x14ac:dyDescent="0.25">
      <c r="A3460" s="4" t="str">
        <f>HYPERLINK("http://www.rosaceae.org/Prunus/Prunus_persica/p.persica_gdr_reftransV1_0031998","p.persica_gdr_reftransV1_0031998")</f>
        <v>p.persica_gdr_reftransV1_0031998</v>
      </c>
      <c r="B3460" s="2">
        <v>1575</v>
      </c>
      <c r="C3460" s="4" t="str">
        <f>HYPERLINK("http://www.uniprot.org/uniprot/M5XHN7","M5XHN7")</f>
        <v>M5XHN7</v>
      </c>
      <c r="D3460" s="2" t="s">
        <v>3272</v>
      </c>
      <c r="E3460" s="3">
        <v>1.83E-48</v>
      </c>
      <c r="F3460" s="2">
        <v>450</v>
      </c>
      <c r="G3460" s="2">
        <v>92</v>
      </c>
      <c r="H3460" s="2">
        <v>93</v>
      </c>
      <c r="I3460" s="2">
        <v>682</v>
      </c>
      <c r="J3460" s="2">
        <v>960</v>
      </c>
      <c r="K3460" s="2">
        <v>124</v>
      </c>
      <c r="L3460" s="2">
        <v>215</v>
      </c>
    </row>
    <row r="3461" spans="1:12" x14ac:dyDescent="0.25">
      <c r="A3461" s="4" t="str">
        <f>HYPERLINK("http://www.rosaceae.org/Prunus/Prunus_persica/p.persica_gdr_reftransV1_0032348","p.persica_gdr_reftransV1_0032348")</f>
        <v>p.persica_gdr_reftransV1_0032348</v>
      </c>
      <c r="B3461" s="2">
        <v>1975</v>
      </c>
      <c r="C3461" s="4" t="str">
        <f>HYPERLINK("http://www.uniprot.org/uniprot/M5W1I8","M5W1I8")</f>
        <v>M5W1I8</v>
      </c>
      <c r="D3461" s="2" t="s">
        <v>3273</v>
      </c>
      <c r="E3461" s="3">
        <v>8.3700000000000001E-82</v>
      </c>
      <c r="F3461" s="2">
        <v>691</v>
      </c>
      <c r="G3461" s="2">
        <v>100</v>
      </c>
      <c r="H3461" s="2">
        <v>127</v>
      </c>
      <c r="I3461" s="2">
        <v>396</v>
      </c>
      <c r="J3461" s="2">
        <v>776</v>
      </c>
      <c r="K3461" s="2">
        <v>135</v>
      </c>
      <c r="L3461" s="2">
        <v>261</v>
      </c>
    </row>
    <row r="3462" spans="1:12" x14ac:dyDescent="0.25">
      <c r="A3462" s="4" t="str">
        <f>HYPERLINK("http://www.rosaceae.org/Prunus/Prunus_persica/p.persica_gdr_reftransV1_0034098","p.persica_gdr_reftransV1_0034098")</f>
        <v>p.persica_gdr_reftransV1_0034098</v>
      </c>
      <c r="B3462" s="2">
        <v>2173</v>
      </c>
      <c r="C3462" s="4" t="str">
        <f>HYPERLINK("http://www.uniprot.org/uniprot/M5VIW5","M5VIW5")</f>
        <v>M5VIW5</v>
      </c>
      <c r="D3462" s="2" t="s">
        <v>3274</v>
      </c>
      <c r="E3462" s="3">
        <v>0</v>
      </c>
      <c r="F3462" s="2">
        <v>2913</v>
      </c>
      <c r="G3462" s="2">
        <v>98</v>
      </c>
      <c r="H3462" s="2">
        <v>553</v>
      </c>
      <c r="I3462" s="2">
        <v>216</v>
      </c>
      <c r="J3462" s="2">
        <v>1874</v>
      </c>
      <c r="K3462" s="2">
        <v>1</v>
      </c>
      <c r="L3462" s="2">
        <v>553</v>
      </c>
    </row>
    <row r="3463" spans="1:12" x14ac:dyDescent="0.25">
      <c r="A3463" s="4" t="str">
        <f>HYPERLINK("http://www.rosaceae.org/Prunus/Prunus_persica/p.persica_gdr_reftransV1_0034448","p.persica_gdr_reftransV1_0034448")</f>
        <v>p.persica_gdr_reftransV1_0034448</v>
      </c>
      <c r="B3463" s="2">
        <v>1439</v>
      </c>
      <c r="C3463" s="4" t="str">
        <f>HYPERLINK("http://www.uniprot.org/uniprot/Q40984","Q40984")</f>
        <v>Q40984</v>
      </c>
      <c r="D3463" s="2" t="s">
        <v>3275</v>
      </c>
      <c r="E3463" s="3">
        <v>1.85E-115</v>
      </c>
      <c r="F3463" s="2">
        <v>633</v>
      </c>
      <c r="G3463" s="2">
        <v>71</v>
      </c>
      <c r="H3463" s="2">
        <v>173</v>
      </c>
      <c r="I3463" s="2">
        <v>2</v>
      </c>
      <c r="J3463" s="2">
        <v>520</v>
      </c>
      <c r="K3463" s="2">
        <v>234</v>
      </c>
      <c r="L3463" s="2">
        <v>383</v>
      </c>
    </row>
    <row r="3464" spans="1:12" x14ac:dyDescent="0.25">
      <c r="A3464" s="4" t="str">
        <f>HYPERLINK("http://www.rosaceae.org/Prunus/Prunus_persica/p.persica_gdr_reftransV1_0034798","p.persica_gdr_reftransV1_0034798")</f>
        <v>p.persica_gdr_reftransV1_0034798</v>
      </c>
      <c r="B3464" s="2">
        <v>591</v>
      </c>
      <c r="C3464" s="4" t="str">
        <f>HYPERLINK("http://www.uniprot.org/uniprot/M5WJF4","M5WJF4")</f>
        <v>M5WJF4</v>
      </c>
      <c r="D3464" s="2" t="s">
        <v>3276</v>
      </c>
      <c r="E3464" s="3">
        <v>1.2599999999999999E-44</v>
      </c>
      <c r="F3464" s="2">
        <v>400</v>
      </c>
      <c r="G3464" s="2">
        <v>100</v>
      </c>
      <c r="H3464" s="2">
        <v>153</v>
      </c>
      <c r="I3464" s="2">
        <v>88</v>
      </c>
      <c r="J3464" s="2">
        <v>546</v>
      </c>
      <c r="K3464" s="2">
        <v>1</v>
      </c>
      <c r="L3464" s="2">
        <v>153</v>
      </c>
    </row>
    <row r="3465" spans="1:12" x14ac:dyDescent="0.25">
      <c r="A3465" s="4" t="str">
        <f>HYPERLINK("http://www.rosaceae.org/Prunus/Prunus_persica/p.persica_gdr_reftransV1_0035148","p.persica_gdr_reftransV1_0035148")</f>
        <v>p.persica_gdr_reftransV1_0035148</v>
      </c>
      <c r="B3465" s="2">
        <v>3991</v>
      </c>
      <c r="C3465" s="4" t="str">
        <f>HYPERLINK("http://www.uniprot.org/uniprot/M5XXY0","M5XXY0")</f>
        <v>M5XXY0</v>
      </c>
      <c r="D3465" s="2" t="s">
        <v>3277</v>
      </c>
      <c r="E3465" s="3">
        <v>0</v>
      </c>
      <c r="F3465" s="2">
        <v>5673</v>
      </c>
      <c r="G3465" s="2">
        <v>100</v>
      </c>
      <c r="H3465" s="2">
        <v>1112</v>
      </c>
      <c r="I3465" s="2">
        <v>399</v>
      </c>
      <c r="J3465" s="2">
        <v>3734</v>
      </c>
      <c r="K3465" s="2">
        <v>1</v>
      </c>
      <c r="L3465" s="2">
        <v>1112</v>
      </c>
    </row>
    <row r="3466" spans="1:12" x14ac:dyDescent="0.25">
      <c r="A3466" s="4" t="str">
        <f>HYPERLINK("http://www.rosaceae.org/Prunus/Prunus_persica/p.persica_gdr_reftransV1_0036198","p.persica_gdr_reftransV1_0036198")</f>
        <v>p.persica_gdr_reftransV1_0036198</v>
      </c>
      <c r="B3466" s="2">
        <v>2607</v>
      </c>
      <c r="C3466" s="4" t="str">
        <f>HYPERLINK("http://www.uniprot.org/uniprot/M5WTC6","M5WTC6")</f>
        <v>M5WTC6</v>
      </c>
      <c r="D3466" s="2" t="s">
        <v>3278</v>
      </c>
      <c r="E3466" s="3">
        <v>0</v>
      </c>
      <c r="F3466" s="2">
        <v>1454</v>
      </c>
      <c r="G3466" s="2">
        <v>100</v>
      </c>
      <c r="H3466" s="2">
        <v>292</v>
      </c>
      <c r="I3466" s="2">
        <v>1236</v>
      </c>
      <c r="J3466" s="2">
        <v>2111</v>
      </c>
      <c r="K3466" s="2">
        <v>1</v>
      </c>
      <c r="L3466" s="2">
        <v>292</v>
      </c>
    </row>
    <row r="3467" spans="1:12" x14ac:dyDescent="0.25">
      <c r="A3467" s="4" t="str">
        <f>HYPERLINK("http://www.rosaceae.org/Prunus/Prunus_persica/p.persica_gdr_reftransV1_0037598","p.persica_gdr_reftransV1_0037598")</f>
        <v>p.persica_gdr_reftransV1_0037598</v>
      </c>
      <c r="B3467" s="2">
        <v>1343</v>
      </c>
      <c r="C3467" s="4" t="str">
        <f>HYPERLINK("http://www.uniprot.org/uniprot/M5XS77","M5XS77")</f>
        <v>M5XS77</v>
      </c>
      <c r="D3467" s="2" t="s">
        <v>3279</v>
      </c>
      <c r="E3467" s="3">
        <v>0</v>
      </c>
      <c r="F3467" s="2">
        <v>1510</v>
      </c>
      <c r="G3467" s="2">
        <v>100</v>
      </c>
      <c r="H3467" s="2">
        <v>297</v>
      </c>
      <c r="I3467" s="2">
        <v>118</v>
      </c>
      <c r="J3467" s="2">
        <v>1008</v>
      </c>
      <c r="K3467" s="2">
        <v>1</v>
      </c>
      <c r="L3467" s="2">
        <v>297</v>
      </c>
    </row>
    <row r="3468" spans="1:12" x14ac:dyDescent="0.25">
      <c r="A3468" s="4" t="str">
        <f>HYPERLINK("http://www.rosaceae.org/Prunus/Prunus_persica/p.persica_gdr_reftransV1_0037948","p.persica_gdr_reftransV1_0037948")</f>
        <v>p.persica_gdr_reftransV1_0037948</v>
      </c>
      <c r="B3468" s="2">
        <v>1264</v>
      </c>
      <c r="C3468" s="4" t="str">
        <f>HYPERLINK("http://www.uniprot.org/uniprot/M5WAL2","M5WAL2")</f>
        <v>M5WAL2</v>
      </c>
      <c r="D3468" s="2" t="s">
        <v>3280</v>
      </c>
      <c r="E3468" s="3">
        <v>4.0100000000000002E-127</v>
      </c>
      <c r="F3468" s="2">
        <v>972</v>
      </c>
      <c r="G3468" s="2">
        <v>98</v>
      </c>
      <c r="H3468" s="2">
        <v>226</v>
      </c>
      <c r="I3468" s="2">
        <v>144</v>
      </c>
      <c r="J3468" s="2">
        <v>821</v>
      </c>
      <c r="K3468" s="2">
        <v>1</v>
      </c>
      <c r="L3468" s="2">
        <v>226</v>
      </c>
    </row>
    <row r="3469" spans="1:12" x14ac:dyDescent="0.25">
      <c r="A3469" s="4" t="str">
        <f>HYPERLINK("http://www.rosaceae.org/Prunus/Prunus_persica/p.persica_gdr_reftransV1_0042148","p.persica_gdr_reftransV1_0042148")</f>
        <v>p.persica_gdr_reftransV1_0042148</v>
      </c>
      <c r="B3469" s="2">
        <v>1305</v>
      </c>
      <c r="C3469" s="4" t="str">
        <f>HYPERLINK("http://www.uniprot.org/uniprot/M5W6V9","M5W6V9")</f>
        <v>M5W6V9</v>
      </c>
      <c r="D3469" s="2" t="s">
        <v>3281</v>
      </c>
      <c r="E3469" s="3">
        <v>1.1699999999999999E-66</v>
      </c>
      <c r="F3469" s="2">
        <v>566</v>
      </c>
      <c r="G3469" s="2">
        <v>99</v>
      </c>
      <c r="H3469" s="2">
        <v>151</v>
      </c>
      <c r="I3469" s="2">
        <v>614</v>
      </c>
      <c r="J3469" s="2">
        <v>1066</v>
      </c>
      <c r="K3469" s="2">
        <v>39</v>
      </c>
      <c r="L3469" s="2">
        <v>189</v>
      </c>
    </row>
    <row r="3470" spans="1:12" x14ac:dyDescent="0.25">
      <c r="A3470" s="4" t="str">
        <f>HYPERLINK("http://www.rosaceae.org/Prunus/Prunus_persica/p.persica_gdr_reftransV1_0042498","p.persica_gdr_reftransV1_0042498")</f>
        <v>p.persica_gdr_reftransV1_0042498</v>
      </c>
      <c r="B3470" s="2">
        <v>1356</v>
      </c>
      <c r="C3470" s="4" t="str">
        <f>HYPERLINK("http://www.uniprot.org/uniprot/M5XG77","M5XG77")</f>
        <v>M5XG77</v>
      </c>
      <c r="D3470" s="2" t="s">
        <v>3282</v>
      </c>
      <c r="E3470" s="3">
        <v>2.0900000000000001E-143</v>
      </c>
      <c r="F3470" s="2">
        <v>1082</v>
      </c>
      <c r="G3470" s="2">
        <v>100</v>
      </c>
      <c r="H3470" s="2">
        <v>224</v>
      </c>
      <c r="I3470" s="2">
        <v>218</v>
      </c>
      <c r="J3470" s="2">
        <v>889</v>
      </c>
      <c r="K3470" s="2">
        <v>1</v>
      </c>
      <c r="L3470" s="2">
        <v>224</v>
      </c>
    </row>
    <row r="3471" spans="1:12" x14ac:dyDescent="0.25">
      <c r="A3471" s="4" t="str">
        <f>HYPERLINK("http://www.rosaceae.org/Prunus/Prunus_persica/p.persica_gdr_reftransV1_0042848","p.persica_gdr_reftransV1_0042848")</f>
        <v>p.persica_gdr_reftransV1_0042848</v>
      </c>
      <c r="B3471" s="2">
        <v>492</v>
      </c>
      <c r="C3471" s="4" t="str">
        <f>HYPERLINK("http://www.uniprot.org/uniprot/A0A0F6PZ47","A0A0F6PZ47")</f>
        <v>A0A0F6PZ47</v>
      </c>
      <c r="D3471" s="2" t="s">
        <v>3283</v>
      </c>
      <c r="E3471" s="3">
        <v>7.9099999999999996E-47</v>
      </c>
      <c r="F3471" s="2">
        <v>403</v>
      </c>
      <c r="G3471" s="2">
        <v>100</v>
      </c>
      <c r="H3471" s="2">
        <v>94</v>
      </c>
      <c r="I3471" s="2">
        <v>210</v>
      </c>
      <c r="J3471" s="2">
        <v>491</v>
      </c>
      <c r="K3471" s="2">
        <v>19</v>
      </c>
      <c r="L3471" s="2">
        <v>112</v>
      </c>
    </row>
    <row r="3472" spans="1:12" x14ac:dyDescent="0.25">
      <c r="A3472" s="4" t="str">
        <f>HYPERLINK("http://www.rosaceae.org/Prunus/Prunus_persica/p.persica_gdr_reftransV1_0043198","p.persica_gdr_reftransV1_0043198")</f>
        <v>p.persica_gdr_reftransV1_0043198</v>
      </c>
      <c r="B3472" s="2">
        <v>375</v>
      </c>
      <c r="C3472" s="4" t="str">
        <f>HYPERLINK("http://www.uniprot.org/uniprot/M5WKN8","M5WKN8")</f>
        <v>M5WKN8</v>
      </c>
      <c r="D3472" s="2" t="s">
        <v>3284</v>
      </c>
      <c r="E3472" s="3">
        <v>2.8300000000000001E-83</v>
      </c>
      <c r="F3472" s="2">
        <v>692</v>
      </c>
      <c r="G3472" s="2">
        <v>100</v>
      </c>
      <c r="H3472" s="2">
        <v>124</v>
      </c>
      <c r="I3472" s="2">
        <v>2</v>
      </c>
      <c r="J3472" s="2">
        <v>373</v>
      </c>
      <c r="K3472" s="2">
        <v>570</v>
      </c>
      <c r="L3472" s="2">
        <v>693</v>
      </c>
    </row>
    <row r="3473" spans="1:12" x14ac:dyDescent="0.25">
      <c r="A3473" s="4" t="str">
        <f>HYPERLINK("http://www.rosaceae.org/Prunus/Prunus_persica/p.persica_gdr_reftransV1_0043548","p.persica_gdr_reftransV1_0043548")</f>
        <v>p.persica_gdr_reftransV1_0043548</v>
      </c>
      <c r="B3473" s="2">
        <v>447</v>
      </c>
      <c r="C3473" s="4" t="str">
        <f>HYPERLINK("http://www.uniprot.org/uniprot/M5XB38","M5XB38")</f>
        <v>M5XB38</v>
      </c>
      <c r="D3473" s="2" t="s">
        <v>3285</v>
      </c>
      <c r="E3473" s="3">
        <v>1.84E-81</v>
      </c>
      <c r="F3473" s="2">
        <v>654</v>
      </c>
      <c r="G3473" s="2">
        <v>100</v>
      </c>
      <c r="H3473" s="2">
        <v>121</v>
      </c>
      <c r="I3473" s="2">
        <v>83</v>
      </c>
      <c r="J3473" s="2">
        <v>445</v>
      </c>
      <c r="K3473" s="2">
        <v>253</v>
      </c>
      <c r="L3473" s="2">
        <v>373</v>
      </c>
    </row>
    <row r="3474" spans="1:12" x14ac:dyDescent="0.25">
      <c r="A3474" s="4" t="str">
        <f>HYPERLINK("http://www.rosaceae.org/Prunus/Prunus_persica/p.persica_gdr_reftransV1_0043898","p.persica_gdr_reftransV1_0043898")</f>
        <v>p.persica_gdr_reftransV1_0043898</v>
      </c>
      <c r="B3474" s="2">
        <v>713</v>
      </c>
      <c r="C3474" s="4" t="str">
        <f>HYPERLINK("http://www.uniprot.org/uniprot/M5XGH2","M5XGH2")</f>
        <v>M5XGH2</v>
      </c>
      <c r="D3474" s="2" t="s">
        <v>3286</v>
      </c>
      <c r="E3474" s="3">
        <v>4.9500000000000001E-45</v>
      </c>
      <c r="F3474" s="2">
        <v>396</v>
      </c>
      <c r="G3474" s="2">
        <v>89</v>
      </c>
      <c r="H3474" s="2">
        <v>87</v>
      </c>
      <c r="I3474" s="2">
        <v>295</v>
      </c>
      <c r="J3474" s="2">
        <v>555</v>
      </c>
      <c r="K3474" s="2">
        <v>1</v>
      </c>
      <c r="L3474" s="2">
        <v>87</v>
      </c>
    </row>
    <row r="3475" spans="1:12" x14ac:dyDescent="0.25">
      <c r="A3475" s="4" t="str">
        <f>HYPERLINK("http://www.rosaceae.org/Prunus/Prunus_persica/p.persica_gdr_reftransV1_0044248","p.persica_gdr_reftransV1_0044248")</f>
        <v>p.persica_gdr_reftransV1_0044248</v>
      </c>
      <c r="B3475" s="2">
        <v>1273</v>
      </c>
      <c r="C3475" s="4" t="str">
        <f>HYPERLINK("http://www.uniprot.org/uniprot/M5WND6","M5WND6")</f>
        <v>M5WND6</v>
      </c>
      <c r="D3475" s="2" t="s">
        <v>3287</v>
      </c>
      <c r="E3475" s="3">
        <v>0</v>
      </c>
      <c r="F3475" s="2">
        <v>1803</v>
      </c>
      <c r="G3475" s="2">
        <v>100</v>
      </c>
      <c r="H3475" s="2">
        <v>353</v>
      </c>
      <c r="I3475" s="2">
        <v>1</v>
      </c>
      <c r="J3475" s="2">
        <v>1059</v>
      </c>
      <c r="K3475" s="2">
        <v>112</v>
      </c>
      <c r="L3475" s="2">
        <v>464</v>
      </c>
    </row>
    <row r="3476" spans="1:12" x14ac:dyDescent="0.25">
      <c r="A3476" s="4" t="str">
        <f>HYPERLINK("http://www.rosaceae.org/Prunus/Prunus_persica/p.persica_gdr_reftransV1_0044598","p.persica_gdr_reftransV1_0044598")</f>
        <v>p.persica_gdr_reftransV1_0044598</v>
      </c>
      <c r="B3476" s="2">
        <v>1788</v>
      </c>
      <c r="C3476" s="4" t="str">
        <f>HYPERLINK("http://www.uniprot.org/uniprot/M5XQT2","M5XQT2")</f>
        <v>M5XQT2</v>
      </c>
      <c r="D3476" s="2" t="s">
        <v>3288</v>
      </c>
      <c r="E3476" s="3">
        <v>0</v>
      </c>
      <c r="F3476" s="2">
        <v>1538</v>
      </c>
      <c r="G3476" s="2">
        <v>99</v>
      </c>
      <c r="H3476" s="2">
        <v>316</v>
      </c>
      <c r="I3476" s="2">
        <v>720</v>
      </c>
      <c r="J3476" s="2">
        <v>1667</v>
      </c>
      <c r="K3476" s="2">
        <v>8</v>
      </c>
      <c r="L3476" s="2">
        <v>323</v>
      </c>
    </row>
    <row r="3477" spans="1:12" x14ac:dyDescent="0.25">
      <c r="A3477" s="4" t="str">
        <f>HYPERLINK("http://www.rosaceae.org/Prunus/Prunus_persica/p.persica_gdr_reftransV1_0045298","p.persica_gdr_reftransV1_0045298")</f>
        <v>p.persica_gdr_reftransV1_0045298</v>
      </c>
      <c r="B3477" s="2">
        <v>825</v>
      </c>
      <c r="C3477" s="4" t="str">
        <f>HYPERLINK("http://www.uniprot.org/uniprot/M5W751","M5W751")</f>
        <v>M5W751</v>
      </c>
      <c r="D3477" s="2" t="s">
        <v>3289</v>
      </c>
      <c r="E3477" s="3">
        <v>7.8900000000000002E-61</v>
      </c>
      <c r="F3477" s="2">
        <v>545</v>
      </c>
      <c r="G3477" s="2">
        <v>100</v>
      </c>
      <c r="H3477" s="2">
        <v>129</v>
      </c>
      <c r="I3477" s="2">
        <v>1</v>
      </c>
      <c r="J3477" s="2">
        <v>387</v>
      </c>
      <c r="K3477" s="2">
        <v>32</v>
      </c>
      <c r="L3477" s="2">
        <v>160</v>
      </c>
    </row>
    <row r="3478" spans="1:12" x14ac:dyDescent="0.25">
      <c r="A3478" s="4" t="str">
        <f>HYPERLINK("http://www.rosaceae.org/Prunus/Prunus_persica/p.persica_gdr_reftransV1_0045648","p.persica_gdr_reftransV1_0045648")</f>
        <v>p.persica_gdr_reftransV1_0045648</v>
      </c>
      <c r="B3478" s="2">
        <v>1146</v>
      </c>
      <c r="C3478" s="4" t="str">
        <f>HYPERLINK("http://www.uniprot.org/uniprot/M5XFK5","M5XFK5")</f>
        <v>M5XFK5</v>
      </c>
      <c r="D3478" s="2" t="s">
        <v>3290</v>
      </c>
      <c r="E3478" s="3">
        <v>0</v>
      </c>
      <c r="F3478" s="2">
        <v>1373</v>
      </c>
      <c r="G3478" s="2">
        <v>100</v>
      </c>
      <c r="H3478" s="2">
        <v>316</v>
      </c>
      <c r="I3478" s="2">
        <v>1</v>
      </c>
      <c r="J3478" s="2">
        <v>948</v>
      </c>
      <c r="K3478" s="2">
        <v>74</v>
      </c>
      <c r="L3478" s="2">
        <v>389</v>
      </c>
    </row>
    <row r="3479" spans="1:12" x14ac:dyDescent="0.25">
      <c r="A3479" s="4" t="str">
        <f>HYPERLINK("http://www.rosaceae.org/Prunus/Prunus_persica/p.persica_gdr_reftransV1_0045998","p.persica_gdr_reftransV1_0045998")</f>
        <v>p.persica_gdr_reftransV1_0045998</v>
      </c>
      <c r="B3479" s="2">
        <v>1454</v>
      </c>
      <c r="C3479" s="4" t="str">
        <f>HYPERLINK("http://www.uniprot.org/uniprot/M5WT58","M5WT58")</f>
        <v>M5WT58</v>
      </c>
      <c r="D3479" s="2" t="s">
        <v>3291</v>
      </c>
      <c r="E3479" s="3">
        <v>7.2599999999999993E-133</v>
      </c>
      <c r="F3479" s="2">
        <v>1020</v>
      </c>
      <c r="G3479" s="2">
        <v>92</v>
      </c>
      <c r="H3479" s="2">
        <v>290</v>
      </c>
      <c r="I3479" s="2">
        <v>117</v>
      </c>
      <c r="J3479" s="2">
        <v>986</v>
      </c>
      <c r="K3479" s="2">
        <v>1</v>
      </c>
      <c r="L3479" s="2">
        <v>268</v>
      </c>
    </row>
    <row r="3480" spans="1:12" x14ac:dyDescent="0.25">
      <c r="A3480" s="4" t="str">
        <f>HYPERLINK("http://www.rosaceae.org/Prunus/Prunus_persica/p.persica_gdr_reftransV1_0046348","p.persica_gdr_reftransV1_0046348")</f>
        <v>p.persica_gdr_reftransV1_0046348</v>
      </c>
      <c r="B3480" s="2">
        <v>2062</v>
      </c>
      <c r="C3480" s="4" t="str">
        <f>HYPERLINK("http://www.uniprot.org/uniprot/M5W266","M5W266")</f>
        <v>M5W266</v>
      </c>
      <c r="D3480" s="2" t="s">
        <v>3292</v>
      </c>
      <c r="E3480" s="3">
        <v>0</v>
      </c>
      <c r="F3480" s="2">
        <v>2738</v>
      </c>
      <c r="G3480" s="2">
        <v>100</v>
      </c>
      <c r="H3480" s="2">
        <v>545</v>
      </c>
      <c r="I3480" s="2">
        <v>58</v>
      </c>
      <c r="J3480" s="2">
        <v>1689</v>
      </c>
      <c r="K3480" s="2">
        <v>1</v>
      </c>
      <c r="L3480" s="2">
        <v>545</v>
      </c>
    </row>
    <row r="3481" spans="1:12" x14ac:dyDescent="0.25">
      <c r="A3481" s="4" t="str">
        <f>HYPERLINK("http://www.rosaceae.org/Prunus/Prunus_persica/p.persica_gdr_reftransV1_0046698","p.persica_gdr_reftransV1_0046698")</f>
        <v>p.persica_gdr_reftransV1_0046698</v>
      </c>
      <c r="B3481" s="2">
        <v>375</v>
      </c>
      <c r="C3481" s="4" t="str">
        <f>HYPERLINK("http://www.uniprot.org/uniprot/M5W669","M5W669")</f>
        <v>M5W669</v>
      </c>
      <c r="D3481" s="2" t="s">
        <v>3293</v>
      </c>
      <c r="E3481" s="3">
        <v>2.2E-51</v>
      </c>
      <c r="F3481" s="2">
        <v>463</v>
      </c>
      <c r="G3481" s="2">
        <v>72</v>
      </c>
      <c r="H3481" s="2">
        <v>124</v>
      </c>
      <c r="I3481" s="2">
        <v>3</v>
      </c>
      <c r="J3481" s="2">
        <v>374</v>
      </c>
      <c r="K3481" s="2">
        <v>213</v>
      </c>
      <c r="L3481" s="2">
        <v>315</v>
      </c>
    </row>
    <row r="3482" spans="1:12" x14ac:dyDescent="0.25">
      <c r="A3482" s="4" t="str">
        <f>HYPERLINK("http://www.rosaceae.org/Prunus/Prunus_persica/p.persica_gdr_reftransV1_0047048","p.persica_gdr_reftransV1_0047048")</f>
        <v>p.persica_gdr_reftransV1_0047048</v>
      </c>
      <c r="B3482" s="2">
        <v>539</v>
      </c>
      <c r="C3482" s="4" t="str">
        <f>HYPERLINK("http://www.uniprot.org/uniprot/M5WW24","M5WW24")</f>
        <v>M5WW24</v>
      </c>
      <c r="D3482" s="2" t="s">
        <v>810</v>
      </c>
      <c r="E3482" s="3">
        <v>5.14E-101</v>
      </c>
      <c r="F3482" s="2">
        <v>815</v>
      </c>
      <c r="G3482" s="2">
        <v>89</v>
      </c>
      <c r="H3482" s="2">
        <v>179</v>
      </c>
      <c r="I3482" s="2">
        <v>3</v>
      </c>
      <c r="J3482" s="2">
        <v>539</v>
      </c>
      <c r="K3482" s="2">
        <v>18</v>
      </c>
      <c r="L3482" s="2">
        <v>177</v>
      </c>
    </row>
    <row r="3483" spans="1:12" x14ac:dyDescent="0.25">
      <c r="A3483" s="4" t="str">
        <f>HYPERLINK("http://www.rosaceae.org/Prunus/Prunus_persica/p.persica_gdr_reftransV1_0047398","p.persica_gdr_reftransV1_0047398")</f>
        <v>p.persica_gdr_reftransV1_0047398</v>
      </c>
      <c r="B3483" s="2">
        <v>2366</v>
      </c>
      <c r="C3483" s="4" t="str">
        <f>HYPERLINK("http://www.uniprot.org/uniprot/M5WQB5","M5WQB5")</f>
        <v>M5WQB5</v>
      </c>
      <c r="D3483" s="2" t="s">
        <v>3294</v>
      </c>
      <c r="E3483" s="3">
        <v>0</v>
      </c>
      <c r="F3483" s="2">
        <v>3147</v>
      </c>
      <c r="G3483" s="2">
        <v>93</v>
      </c>
      <c r="H3483" s="2">
        <v>696</v>
      </c>
      <c r="I3483" s="2">
        <v>170</v>
      </c>
      <c r="J3483" s="2">
        <v>2257</v>
      </c>
      <c r="K3483" s="2">
        <v>1</v>
      </c>
      <c r="L3483" s="2">
        <v>647</v>
      </c>
    </row>
    <row r="3484" spans="1:12" x14ac:dyDescent="0.25">
      <c r="A3484" s="4" t="str">
        <f>HYPERLINK("http://www.rosaceae.org/Prunus/Prunus_persica/p.persica_gdr_reftransV1_0047748","p.persica_gdr_reftransV1_0047748")</f>
        <v>p.persica_gdr_reftransV1_0047748</v>
      </c>
      <c r="B3484" s="2">
        <v>580</v>
      </c>
      <c r="C3484" s="4" t="str">
        <f>HYPERLINK("http://www.uniprot.org/uniprot/M5X9Q1","M5X9Q1")</f>
        <v>M5X9Q1</v>
      </c>
      <c r="D3484" s="2" t="s">
        <v>3295</v>
      </c>
      <c r="E3484" s="3">
        <v>6.7399999999999994E-120</v>
      </c>
      <c r="F3484" s="2">
        <v>950</v>
      </c>
      <c r="G3484" s="2">
        <v>95</v>
      </c>
      <c r="H3484" s="2">
        <v>193</v>
      </c>
      <c r="I3484" s="2">
        <v>1</v>
      </c>
      <c r="J3484" s="2">
        <v>579</v>
      </c>
      <c r="K3484" s="2">
        <v>433</v>
      </c>
      <c r="L3484" s="2">
        <v>615</v>
      </c>
    </row>
    <row r="3485" spans="1:12" x14ac:dyDescent="0.25">
      <c r="A3485" s="4" t="str">
        <f>HYPERLINK("http://www.rosaceae.org/Prunus/Prunus_persica/p.persica_gdr_reftransV1_0048098","p.persica_gdr_reftransV1_0048098")</f>
        <v>p.persica_gdr_reftransV1_0048098</v>
      </c>
      <c r="B3485" s="2">
        <v>1576</v>
      </c>
      <c r="C3485" s="4" t="str">
        <f>HYPERLINK("http://www.uniprot.org/uniprot/M5VIS3","M5VIS3")</f>
        <v>M5VIS3</v>
      </c>
      <c r="D3485" s="2" t="s">
        <v>2414</v>
      </c>
      <c r="E3485" s="3">
        <v>5.8700000000000001E-145</v>
      </c>
      <c r="F3485" s="2">
        <v>1098</v>
      </c>
      <c r="G3485" s="2">
        <v>100</v>
      </c>
      <c r="H3485" s="2">
        <v>212</v>
      </c>
      <c r="I3485" s="2">
        <v>533</v>
      </c>
      <c r="J3485" s="2">
        <v>1168</v>
      </c>
      <c r="K3485" s="2">
        <v>1</v>
      </c>
      <c r="L3485" s="2">
        <v>212</v>
      </c>
    </row>
    <row r="3486" spans="1:12" x14ac:dyDescent="0.25">
      <c r="A3486" s="4" t="str">
        <f>HYPERLINK("http://www.rosaceae.org/Prunus/Prunus_persica/p.persica_gdr_reftransV1_0048448","p.persica_gdr_reftransV1_0048448")</f>
        <v>p.persica_gdr_reftransV1_0048448</v>
      </c>
      <c r="B3486" s="2">
        <v>1766</v>
      </c>
      <c r="C3486" s="4" t="str">
        <f>HYPERLINK("http://www.uniprot.org/uniprot/M5XD09","M5XD09")</f>
        <v>M5XD09</v>
      </c>
      <c r="D3486" s="2" t="s">
        <v>3296</v>
      </c>
      <c r="E3486" s="3">
        <v>3.3099999999999999E-129</v>
      </c>
      <c r="F3486" s="2">
        <v>661</v>
      </c>
      <c r="G3486" s="2">
        <v>98</v>
      </c>
      <c r="H3486" s="2">
        <v>131</v>
      </c>
      <c r="I3486" s="2">
        <v>932</v>
      </c>
      <c r="J3486" s="2">
        <v>1324</v>
      </c>
      <c r="K3486" s="2">
        <v>1</v>
      </c>
      <c r="L3486" s="2">
        <v>131</v>
      </c>
    </row>
    <row r="3487" spans="1:12" x14ac:dyDescent="0.25">
      <c r="A3487" s="4" t="str">
        <f>HYPERLINK("http://www.rosaceae.org/Prunus/Prunus_persica/p.persica_gdr_reftransV1_0048798","p.persica_gdr_reftransV1_0048798")</f>
        <v>p.persica_gdr_reftransV1_0048798</v>
      </c>
      <c r="B3487" s="2">
        <v>984</v>
      </c>
      <c r="C3487" s="4" t="str">
        <f>HYPERLINK("http://www.uniprot.org/uniprot/M5WBP8","M5WBP8")</f>
        <v>M5WBP8</v>
      </c>
      <c r="D3487" s="2" t="s">
        <v>3297</v>
      </c>
      <c r="E3487" s="3">
        <v>2.1600000000000002E-130</v>
      </c>
      <c r="F3487" s="2">
        <v>985</v>
      </c>
      <c r="G3487" s="2">
        <v>89</v>
      </c>
      <c r="H3487" s="2">
        <v>236</v>
      </c>
      <c r="I3487" s="2">
        <v>279</v>
      </c>
      <c r="J3487" s="2">
        <v>908</v>
      </c>
      <c r="K3487" s="2">
        <v>5</v>
      </c>
      <c r="L3487" s="2">
        <v>240</v>
      </c>
    </row>
    <row r="3488" spans="1:12" x14ac:dyDescent="0.25">
      <c r="A3488" s="4" t="str">
        <f>HYPERLINK("http://www.rosaceae.org/Prunus/Prunus_persica/p.persica_gdr_reftransV1_0049148","p.persica_gdr_reftransV1_0049148")</f>
        <v>p.persica_gdr_reftransV1_0049148</v>
      </c>
      <c r="B3488" s="2">
        <v>2501</v>
      </c>
      <c r="C3488" s="4" t="str">
        <f>HYPERLINK("http://www.uniprot.org/uniprot/M5WH14","M5WH14")</f>
        <v>M5WH14</v>
      </c>
      <c r="D3488" s="2" t="s">
        <v>3298</v>
      </c>
      <c r="E3488" s="3">
        <v>0</v>
      </c>
      <c r="F3488" s="2">
        <v>3252</v>
      </c>
      <c r="G3488" s="2">
        <v>99</v>
      </c>
      <c r="H3488" s="2">
        <v>656</v>
      </c>
      <c r="I3488" s="2">
        <v>326</v>
      </c>
      <c r="J3488" s="2">
        <v>2293</v>
      </c>
      <c r="K3488" s="2">
        <v>1</v>
      </c>
      <c r="L3488" s="2">
        <v>656</v>
      </c>
    </row>
    <row r="3489" spans="1:12" x14ac:dyDescent="0.25">
      <c r="A3489" s="4" t="str">
        <f>HYPERLINK("http://www.rosaceae.org/Prunus/Prunus_persica/p.persica_gdr_reftransV1_0000149","p.persica_gdr_reftransV1_0000149")</f>
        <v>p.persica_gdr_reftransV1_0000149</v>
      </c>
      <c r="B3489" s="2">
        <v>2301</v>
      </c>
      <c r="C3489" s="4" t="str">
        <f>HYPERLINK("http://www.uniprot.org/uniprot/M5X787","M5X787")</f>
        <v>M5X787</v>
      </c>
      <c r="D3489" s="2" t="s">
        <v>3299</v>
      </c>
      <c r="E3489" s="3">
        <v>0</v>
      </c>
      <c r="F3489" s="2">
        <v>2137</v>
      </c>
      <c r="G3489" s="2">
        <v>66</v>
      </c>
      <c r="H3489" s="2">
        <v>690</v>
      </c>
      <c r="I3489" s="2">
        <v>1</v>
      </c>
      <c r="J3489" s="2">
        <v>2067</v>
      </c>
      <c r="K3489" s="2">
        <v>13</v>
      </c>
      <c r="L3489" s="2">
        <v>691</v>
      </c>
    </row>
    <row r="3490" spans="1:12" x14ac:dyDescent="0.25">
      <c r="A3490" s="4" t="str">
        <f>HYPERLINK("http://www.rosaceae.org/Prunus/Prunus_persica/p.persica_gdr_reftransV1_0000499","p.persica_gdr_reftransV1_0000499")</f>
        <v>p.persica_gdr_reftransV1_0000499</v>
      </c>
      <c r="B3490" s="2">
        <v>520</v>
      </c>
      <c r="C3490" s="4" t="str">
        <f>HYPERLINK("http://www.uniprot.org/uniprot/M5WPZ2","M5WPZ2")</f>
        <v>M5WPZ2</v>
      </c>
      <c r="D3490" s="2" t="s">
        <v>439</v>
      </c>
      <c r="E3490" s="3">
        <v>6.6899999999999999E-92</v>
      </c>
      <c r="F3490" s="2">
        <v>767</v>
      </c>
      <c r="G3490" s="2">
        <v>100</v>
      </c>
      <c r="H3490" s="2">
        <v>145</v>
      </c>
      <c r="I3490" s="2">
        <v>2</v>
      </c>
      <c r="J3490" s="2">
        <v>436</v>
      </c>
      <c r="K3490" s="2">
        <v>909</v>
      </c>
      <c r="L3490" s="2">
        <v>1053</v>
      </c>
    </row>
    <row r="3491" spans="1:12" x14ac:dyDescent="0.25">
      <c r="A3491" s="4" t="str">
        <f>HYPERLINK("http://www.rosaceae.org/Prunus/Prunus_persica/p.persica_gdr_reftransV1_0000849","p.persica_gdr_reftransV1_0000849")</f>
        <v>p.persica_gdr_reftransV1_0000849</v>
      </c>
      <c r="B3491" s="2">
        <v>807</v>
      </c>
      <c r="C3491" s="4" t="str">
        <f>HYPERLINK("http://www.uniprot.org/uniprot/M5VTG5","M5VTG5")</f>
        <v>M5VTG5</v>
      </c>
      <c r="D3491" s="2" t="s">
        <v>3300</v>
      </c>
      <c r="E3491" s="3">
        <v>2.5599999999999999E-118</v>
      </c>
      <c r="F3491" s="2">
        <v>920</v>
      </c>
      <c r="G3491" s="2">
        <v>100</v>
      </c>
      <c r="H3491" s="2">
        <v>214</v>
      </c>
      <c r="I3491" s="2">
        <v>2</v>
      </c>
      <c r="J3491" s="2">
        <v>643</v>
      </c>
      <c r="K3491" s="2">
        <v>249</v>
      </c>
      <c r="L3491" s="2">
        <v>462</v>
      </c>
    </row>
    <row r="3492" spans="1:12" x14ac:dyDescent="0.25">
      <c r="A3492" s="4" t="str">
        <f>HYPERLINK("http://www.rosaceae.org/Prunus/Prunus_persica/p.persica_gdr_reftransV1_0001199","p.persica_gdr_reftransV1_0001199")</f>
        <v>p.persica_gdr_reftransV1_0001199</v>
      </c>
      <c r="B3492" s="2">
        <v>858</v>
      </c>
      <c r="C3492" s="4" t="str">
        <f>HYPERLINK("http://www.uniprot.org/uniprot/M5XBY3","M5XBY3")</f>
        <v>M5XBY3</v>
      </c>
      <c r="D3492" s="2" t="s">
        <v>3301</v>
      </c>
      <c r="E3492" s="3">
        <v>1.7E-76</v>
      </c>
      <c r="F3492" s="2">
        <v>648</v>
      </c>
      <c r="G3492" s="2">
        <v>100</v>
      </c>
      <c r="H3492" s="2">
        <v>151</v>
      </c>
      <c r="I3492" s="2">
        <v>2</v>
      </c>
      <c r="J3492" s="2">
        <v>454</v>
      </c>
      <c r="K3492" s="2">
        <v>392</v>
      </c>
      <c r="L3492" s="2">
        <v>542</v>
      </c>
    </row>
    <row r="3493" spans="1:12" x14ac:dyDescent="0.25">
      <c r="A3493" s="4" t="str">
        <f>HYPERLINK("http://www.rosaceae.org/Prunus/Prunus_persica/p.persica_gdr_reftransV1_0001549","p.persica_gdr_reftransV1_0001549")</f>
        <v>p.persica_gdr_reftransV1_0001549</v>
      </c>
      <c r="B3493" s="2">
        <v>1105</v>
      </c>
      <c r="C3493" s="4" t="str">
        <f>HYPERLINK("http://www.uniprot.org/uniprot/A0A024SEV6","A0A024SEV6")</f>
        <v>A0A024SEV6</v>
      </c>
      <c r="D3493" s="2" t="s">
        <v>3302</v>
      </c>
      <c r="E3493" s="3">
        <v>0</v>
      </c>
      <c r="F3493" s="2">
        <v>1383</v>
      </c>
      <c r="G3493" s="2">
        <v>75</v>
      </c>
      <c r="H3493" s="2">
        <v>336</v>
      </c>
      <c r="I3493" s="2">
        <v>1</v>
      </c>
      <c r="J3493" s="2">
        <v>1008</v>
      </c>
      <c r="K3493" s="2">
        <v>195</v>
      </c>
      <c r="L3493" s="2">
        <v>530</v>
      </c>
    </row>
    <row r="3494" spans="1:12" x14ac:dyDescent="0.25">
      <c r="A3494" s="4" t="str">
        <f>HYPERLINK("http://www.rosaceae.org/Prunus/Prunus_persica/p.persica_gdr_reftransV1_0001899","p.persica_gdr_reftransV1_0001899")</f>
        <v>p.persica_gdr_reftransV1_0001899</v>
      </c>
      <c r="B3494" s="2">
        <v>4550</v>
      </c>
      <c r="C3494" s="4" t="str">
        <f>HYPERLINK("http://www.uniprot.org/uniprot/M5Y891","M5Y891")</f>
        <v>M5Y891</v>
      </c>
      <c r="D3494" s="2" t="s">
        <v>674</v>
      </c>
      <c r="E3494" s="3">
        <v>0</v>
      </c>
      <c r="F3494" s="2">
        <v>3788</v>
      </c>
      <c r="G3494" s="2">
        <v>100</v>
      </c>
      <c r="H3494" s="2">
        <v>727</v>
      </c>
      <c r="I3494" s="2">
        <v>830</v>
      </c>
      <c r="J3494" s="2">
        <v>3010</v>
      </c>
      <c r="K3494" s="2">
        <v>154</v>
      </c>
      <c r="L3494" s="2">
        <v>880</v>
      </c>
    </row>
    <row r="3495" spans="1:12" x14ac:dyDescent="0.25">
      <c r="A3495" s="4" t="str">
        <f>HYPERLINK("http://www.rosaceae.org/Prunus/Prunus_persica/p.persica_gdr_reftransV1_0002249","p.persica_gdr_reftransV1_0002249")</f>
        <v>p.persica_gdr_reftransV1_0002249</v>
      </c>
      <c r="B3495" s="2">
        <v>406</v>
      </c>
      <c r="C3495" s="4" t="str">
        <f>HYPERLINK("http://www.uniprot.org/uniprot/H0EZH0","H0EZH0")</f>
        <v>H0EZH0</v>
      </c>
      <c r="D3495" s="2" t="s">
        <v>3303</v>
      </c>
      <c r="E3495" s="3">
        <v>1.8199999999999999E-63</v>
      </c>
      <c r="F3495" s="2">
        <v>531</v>
      </c>
      <c r="G3495" s="2">
        <v>73</v>
      </c>
      <c r="H3495" s="2">
        <v>137</v>
      </c>
      <c r="I3495" s="2">
        <v>1</v>
      </c>
      <c r="J3495" s="2">
        <v>405</v>
      </c>
      <c r="K3495" s="2">
        <v>67</v>
      </c>
      <c r="L3495" s="2">
        <v>203</v>
      </c>
    </row>
    <row r="3496" spans="1:12" x14ac:dyDescent="0.25">
      <c r="A3496" s="4" t="str">
        <f>HYPERLINK("http://www.rosaceae.org/Prunus/Prunus_persica/p.persica_gdr_reftransV1_0002599","p.persica_gdr_reftransV1_0002599")</f>
        <v>p.persica_gdr_reftransV1_0002599</v>
      </c>
      <c r="B3496" s="2">
        <v>617</v>
      </c>
      <c r="C3496" s="4" t="str">
        <f>HYPERLINK("http://www.uniprot.org/uniprot/M5VPK9","M5VPK9")</f>
        <v>M5VPK9</v>
      </c>
      <c r="D3496" s="2" t="s">
        <v>3304</v>
      </c>
      <c r="E3496" s="3">
        <v>6.0800000000000001E-96</v>
      </c>
      <c r="F3496" s="2">
        <v>738</v>
      </c>
      <c r="G3496" s="2">
        <v>100</v>
      </c>
      <c r="H3496" s="2">
        <v>160</v>
      </c>
      <c r="I3496" s="2">
        <v>3</v>
      </c>
      <c r="J3496" s="2">
        <v>482</v>
      </c>
      <c r="K3496" s="2">
        <v>17</v>
      </c>
      <c r="L3496" s="2">
        <v>176</v>
      </c>
    </row>
    <row r="3497" spans="1:12" x14ac:dyDescent="0.25">
      <c r="A3497" s="4" t="str">
        <f>HYPERLINK("http://www.rosaceae.org/Prunus/Prunus_persica/p.persica_gdr_reftransV1_0003299","p.persica_gdr_reftransV1_0003299")</f>
        <v>p.persica_gdr_reftransV1_0003299</v>
      </c>
      <c r="B3497" s="2">
        <v>363</v>
      </c>
      <c r="C3497" s="4" t="str">
        <f>HYPERLINK("http://www.uniprot.org/uniprot/C7YPN8","C7YPN8")</f>
        <v>C7YPN8</v>
      </c>
      <c r="D3497" s="2" t="s">
        <v>3305</v>
      </c>
      <c r="E3497" s="3">
        <v>1.8399999999999999E-65</v>
      </c>
      <c r="F3497" s="2">
        <v>528</v>
      </c>
      <c r="G3497" s="2">
        <v>81</v>
      </c>
      <c r="H3497" s="2">
        <v>120</v>
      </c>
      <c r="I3497" s="2">
        <v>2</v>
      </c>
      <c r="J3497" s="2">
        <v>361</v>
      </c>
      <c r="K3497" s="2">
        <v>26</v>
      </c>
      <c r="L3497" s="2">
        <v>145</v>
      </c>
    </row>
    <row r="3498" spans="1:12" x14ac:dyDescent="0.25">
      <c r="A3498" s="4" t="str">
        <f>HYPERLINK("http://www.rosaceae.org/Prunus/Prunus_persica/p.persica_gdr_reftransV1_0003649","p.persica_gdr_reftransV1_0003649")</f>
        <v>p.persica_gdr_reftransV1_0003649</v>
      </c>
      <c r="B3498" s="2">
        <v>5089</v>
      </c>
      <c r="C3498" s="4" t="str">
        <f>HYPERLINK("http://www.uniprot.org/uniprot/M5W275","M5W275")</f>
        <v>M5W275</v>
      </c>
      <c r="D3498" s="2" t="s">
        <v>665</v>
      </c>
      <c r="E3498" s="3">
        <v>0</v>
      </c>
      <c r="F3498" s="2">
        <v>7429</v>
      </c>
      <c r="G3498" s="2">
        <v>100</v>
      </c>
      <c r="H3498" s="2">
        <v>1488</v>
      </c>
      <c r="I3498" s="2">
        <v>451</v>
      </c>
      <c r="J3498" s="2">
        <v>4914</v>
      </c>
      <c r="K3498" s="2">
        <v>21</v>
      </c>
      <c r="L3498" s="2">
        <v>1508</v>
      </c>
    </row>
    <row r="3499" spans="1:12" x14ac:dyDescent="0.25">
      <c r="A3499" s="4" t="str">
        <f>HYPERLINK("http://www.rosaceae.org/Prunus/Prunus_persica/p.persica_gdr_reftransV1_0004349","p.persica_gdr_reftransV1_0004349")</f>
        <v>p.persica_gdr_reftransV1_0004349</v>
      </c>
      <c r="B3499" s="2">
        <v>2085</v>
      </c>
      <c r="C3499" s="4" t="str">
        <f>HYPERLINK("http://www.uniprot.org/uniprot/M5WAP9","M5WAP9")</f>
        <v>M5WAP9</v>
      </c>
      <c r="D3499" s="2" t="s">
        <v>3306</v>
      </c>
      <c r="E3499" s="3">
        <v>0</v>
      </c>
      <c r="F3499" s="2">
        <v>2250</v>
      </c>
      <c r="G3499" s="2">
        <v>95</v>
      </c>
      <c r="H3499" s="2">
        <v>497</v>
      </c>
      <c r="I3499" s="2">
        <v>330</v>
      </c>
      <c r="J3499" s="2">
        <v>1820</v>
      </c>
      <c r="K3499" s="2">
        <v>1</v>
      </c>
      <c r="L3499" s="2">
        <v>472</v>
      </c>
    </row>
    <row r="3500" spans="1:12" x14ac:dyDescent="0.25">
      <c r="A3500" s="4" t="str">
        <f>HYPERLINK("http://www.rosaceae.org/Prunus/Prunus_persica/p.persica_gdr_reftransV1_0004699","p.persica_gdr_reftransV1_0004699")</f>
        <v>p.persica_gdr_reftransV1_0004699</v>
      </c>
      <c r="B3500" s="2">
        <v>2202</v>
      </c>
      <c r="C3500" s="4" t="str">
        <f>HYPERLINK("http://www.uniprot.org/uniprot/F6GYU6","F6GYU6")</f>
        <v>F6GYU6</v>
      </c>
      <c r="D3500" s="2" t="s">
        <v>3307</v>
      </c>
      <c r="E3500" s="3">
        <v>0</v>
      </c>
      <c r="F3500" s="2">
        <v>1061</v>
      </c>
      <c r="G3500" s="2">
        <v>72</v>
      </c>
      <c r="H3500" s="2">
        <v>297</v>
      </c>
      <c r="I3500" s="2">
        <v>1240</v>
      </c>
      <c r="J3500" s="2">
        <v>2130</v>
      </c>
      <c r="K3500" s="2">
        <v>1</v>
      </c>
      <c r="L3500" s="2">
        <v>297</v>
      </c>
    </row>
    <row r="3501" spans="1:12" x14ac:dyDescent="0.25">
      <c r="A3501" s="4" t="str">
        <f>HYPERLINK("http://www.rosaceae.org/Prunus/Prunus_persica/p.persica_gdr_reftransV1_0005749","p.persica_gdr_reftransV1_0005749")</f>
        <v>p.persica_gdr_reftransV1_0005749</v>
      </c>
      <c r="B3501" s="2">
        <v>425</v>
      </c>
      <c r="C3501" s="4" t="str">
        <f>HYPERLINK("http://www.uniprot.org/uniprot/M5W5L9","M5W5L9")</f>
        <v>M5W5L9</v>
      </c>
      <c r="D3501" s="2" t="s">
        <v>3308</v>
      </c>
      <c r="E3501" s="3">
        <v>4.8700000000000002E-62</v>
      </c>
      <c r="F3501" s="2">
        <v>529</v>
      </c>
      <c r="G3501" s="2">
        <v>100</v>
      </c>
      <c r="H3501" s="2">
        <v>104</v>
      </c>
      <c r="I3501" s="2">
        <v>114</v>
      </c>
      <c r="J3501" s="2">
        <v>425</v>
      </c>
      <c r="K3501" s="2">
        <v>352</v>
      </c>
      <c r="L3501" s="2">
        <v>455</v>
      </c>
    </row>
    <row r="3502" spans="1:12" x14ac:dyDescent="0.25">
      <c r="A3502" s="4" t="str">
        <f>HYPERLINK("http://www.rosaceae.org/Prunus/Prunus_persica/p.persica_gdr_reftransV1_0006099","p.persica_gdr_reftransV1_0006099")</f>
        <v>p.persica_gdr_reftransV1_0006099</v>
      </c>
      <c r="B3502" s="2">
        <v>369</v>
      </c>
      <c r="C3502" s="4" t="str">
        <f>HYPERLINK("http://www.uniprot.org/uniprot/M5W2K0","M5W2K0")</f>
        <v>M5W2K0</v>
      </c>
      <c r="D3502" s="2" t="s">
        <v>3309</v>
      </c>
      <c r="E3502" s="3">
        <v>2.0699999999999999E-59</v>
      </c>
      <c r="F3502" s="2">
        <v>480</v>
      </c>
      <c r="G3502" s="2">
        <v>100</v>
      </c>
      <c r="H3502" s="2">
        <v>89</v>
      </c>
      <c r="I3502" s="2">
        <v>77</v>
      </c>
      <c r="J3502" s="2">
        <v>343</v>
      </c>
      <c r="K3502" s="2">
        <v>1</v>
      </c>
      <c r="L3502" s="2">
        <v>89</v>
      </c>
    </row>
    <row r="3503" spans="1:12" x14ac:dyDescent="0.25">
      <c r="A3503" s="4" t="str">
        <f>HYPERLINK("http://www.rosaceae.org/Prunus/Prunus_persica/p.persica_gdr_reftransV1_0006449","p.persica_gdr_reftransV1_0006449")</f>
        <v>p.persica_gdr_reftransV1_0006449</v>
      </c>
      <c r="B3503" s="2">
        <v>579</v>
      </c>
      <c r="C3503" s="4" t="str">
        <f>HYPERLINK("http://www.uniprot.org/uniprot/M5VV17","M5VV17")</f>
        <v>M5VV17</v>
      </c>
      <c r="D3503" s="2" t="s">
        <v>3310</v>
      </c>
      <c r="E3503" s="3">
        <v>2.6199999999999998E-65</v>
      </c>
      <c r="F3503" s="2">
        <v>505</v>
      </c>
      <c r="G3503" s="2">
        <v>99</v>
      </c>
      <c r="H3503" s="2">
        <v>96</v>
      </c>
      <c r="I3503" s="2">
        <v>138</v>
      </c>
      <c r="J3503" s="2">
        <v>425</v>
      </c>
      <c r="K3503" s="2">
        <v>805</v>
      </c>
      <c r="L3503" s="2">
        <v>900</v>
      </c>
    </row>
    <row r="3504" spans="1:12" x14ac:dyDescent="0.25">
      <c r="A3504" s="4" t="str">
        <f>HYPERLINK("http://www.rosaceae.org/Prunus/Prunus_persica/p.persica_gdr_reftransV1_0006799","p.persica_gdr_reftransV1_0006799")</f>
        <v>p.persica_gdr_reftransV1_0006799</v>
      </c>
      <c r="B3504" s="2">
        <v>2331</v>
      </c>
      <c r="C3504" s="4" t="str">
        <f>HYPERLINK("http://www.uniprot.org/uniprot/T1W3L4","T1W3L4")</f>
        <v>T1W3L4</v>
      </c>
      <c r="D3504" s="2" t="s">
        <v>3311</v>
      </c>
      <c r="E3504" s="3">
        <v>0</v>
      </c>
      <c r="F3504" s="2">
        <v>1857</v>
      </c>
      <c r="G3504" s="2">
        <v>74</v>
      </c>
      <c r="H3504" s="2">
        <v>600</v>
      </c>
      <c r="I3504" s="2">
        <v>388</v>
      </c>
      <c r="J3504" s="2">
        <v>2124</v>
      </c>
      <c r="K3504" s="2">
        <v>26</v>
      </c>
      <c r="L3504" s="2">
        <v>616</v>
      </c>
    </row>
    <row r="3505" spans="1:12" x14ac:dyDescent="0.25">
      <c r="A3505" s="4" t="str">
        <f>HYPERLINK("http://www.rosaceae.org/Prunus/Prunus_persica/p.persica_gdr_reftransV1_0007499","p.persica_gdr_reftransV1_0007499")</f>
        <v>p.persica_gdr_reftransV1_0007499</v>
      </c>
      <c r="B3505" s="2">
        <v>1193</v>
      </c>
      <c r="C3505" s="4" t="str">
        <f>HYPERLINK("http://www.uniprot.org/uniprot/M5XGH7","M5XGH7")</f>
        <v>M5XGH7</v>
      </c>
      <c r="D3505" s="2" t="s">
        <v>3312</v>
      </c>
      <c r="E3505" s="3">
        <v>1.4500000000000001E-147</v>
      </c>
      <c r="F3505" s="2">
        <v>1105</v>
      </c>
      <c r="G3505" s="2">
        <v>100</v>
      </c>
      <c r="H3505" s="2">
        <v>238</v>
      </c>
      <c r="I3505" s="2">
        <v>29</v>
      </c>
      <c r="J3505" s="2">
        <v>742</v>
      </c>
      <c r="K3505" s="2">
        <v>1</v>
      </c>
      <c r="L3505" s="2">
        <v>238</v>
      </c>
    </row>
    <row r="3506" spans="1:12" x14ac:dyDescent="0.25">
      <c r="A3506" s="4" t="str">
        <f>HYPERLINK("http://www.rosaceae.org/Prunus/Prunus_persica/p.persica_gdr_reftransV1_0007849","p.persica_gdr_reftransV1_0007849")</f>
        <v>p.persica_gdr_reftransV1_0007849</v>
      </c>
      <c r="B3506" s="2">
        <v>383</v>
      </c>
      <c r="C3506" s="4" t="str">
        <f>HYPERLINK("http://www.uniprot.org/uniprot/M5W229","M5W229")</f>
        <v>M5W229</v>
      </c>
      <c r="D3506" s="2" t="s">
        <v>3313</v>
      </c>
      <c r="E3506" s="3">
        <v>3.52E-56</v>
      </c>
      <c r="F3506" s="2">
        <v>464</v>
      </c>
      <c r="G3506" s="2">
        <v>100</v>
      </c>
      <c r="H3506" s="2">
        <v>98</v>
      </c>
      <c r="I3506" s="2">
        <v>81</v>
      </c>
      <c r="J3506" s="2">
        <v>374</v>
      </c>
      <c r="K3506" s="2">
        <v>1</v>
      </c>
      <c r="L3506" s="2">
        <v>98</v>
      </c>
    </row>
    <row r="3507" spans="1:12" x14ac:dyDescent="0.25">
      <c r="A3507" s="4" t="str">
        <f>HYPERLINK("http://www.rosaceae.org/Prunus/Prunus_persica/p.persica_gdr_reftransV1_0008199","p.persica_gdr_reftransV1_0008199")</f>
        <v>p.persica_gdr_reftransV1_0008199</v>
      </c>
      <c r="B3507" s="2">
        <v>970</v>
      </c>
      <c r="C3507" s="4" t="str">
        <f>HYPERLINK("http://www.uniprot.org/uniprot/M5XDD5","M5XDD5")</f>
        <v>M5XDD5</v>
      </c>
      <c r="D3507" s="2" t="s">
        <v>3314</v>
      </c>
      <c r="E3507" s="3">
        <v>0</v>
      </c>
      <c r="F3507" s="2">
        <v>1412</v>
      </c>
      <c r="G3507" s="2">
        <v>100</v>
      </c>
      <c r="H3507" s="2">
        <v>289</v>
      </c>
      <c r="I3507" s="2">
        <v>103</v>
      </c>
      <c r="J3507" s="2">
        <v>969</v>
      </c>
      <c r="K3507" s="2">
        <v>183</v>
      </c>
      <c r="L3507" s="2">
        <v>471</v>
      </c>
    </row>
    <row r="3508" spans="1:12" x14ac:dyDescent="0.25">
      <c r="A3508" s="4" t="str">
        <f>HYPERLINK("http://www.rosaceae.org/Prunus/Prunus_persica/p.persica_gdr_reftransV1_0008549","p.persica_gdr_reftransV1_0008549")</f>
        <v>p.persica_gdr_reftransV1_0008549</v>
      </c>
      <c r="B3508" s="2">
        <v>1048</v>
      </c>
      <c r="C3508" s="4" t="str">
        <f>HYPERLINK("http://www.uniprot.org/uniprot/M5XNE2","M5XNE2")</f>
        <v>M5XNE2</v>
      </c>
      <c r="D3508" s="2" t="s">
        <v>3315</v>
      </c>
      <c r="E3508" s="3">
        <v>2.3199999999999999E-144</v>
      </c>
      <c r="F3508" s="2">
        <v>1077</v>
      </c>
      <c r="G3508" s="2">
        <v>100</v>
      </c>
      <c r="H3508" s="2">
        <v>214</v>
      </c>
      <c r="I3508" s="2">
        <v>239</v>
      </c>
      <c r="J3508" s="2">
        <v>880</v>
      </c>
      <c r="K3508" s="2">
        <v>1</v>
      </c>
      <c r="L3508" s="2">
        <v>214</v>
      </c>
    </row>
    <row r="3509" spans="1:12" x14ac:dyDescent="0.25">
      <c r="A3509" s="4" t="str">
        <f>HYPERLINK("http://www.rosaceae.org/Prunus/Prunus_persica/p.persica_gdr_reftransV1_0009249","p.persica_gdr_reftransV1_0009249")</f>
        <v>p.persica_gdr_reftransV1_0009249</v>
      </c>
      <c r="B3509" s="2">
        <v>3334</v>
      </c>
      <c r="C3509" s="4" t="str">
        <f>HYPERLINK("http://www.uniprot.org/uniprot/M5VN26","M5VN26")</f>
        <v>M5VN26</v>
      </c>
      <c r="D3509" s="2" t="s">
        <v>3316</v>
      </c>
      <c r="E3509" s="3">
        <v>0</v>
      </c>
      <c r="F3509" s="2">
        <v>4606</v>
      </c>
      <c r="G3509" s="2">
        <v>100</v>
      </c>
      <c r="H3509" s="2">
        <v>859</v>
      </c>
      <c r="I3509" s="2">
        <v>360</v>
      </c>
      <c r="J3509" s="2">
        <v>2936</v>
      </c>
      <c r="K3509" s="2">
        <v>1</v>
      </c>
      <c r="L3509" s="2">
        <v>859</v>
      </c>
    </row>
    <row r="3510" spans="1:12" x14ac:dyDescent="0.25">
      <c r="A3510" s="4" t="str">
        <f>HYPERLINK("http://www.rosaceae.org/Prunus/Prunus_persica/p.persica_gdr_reftransV1_0009599","p.persica_gdr_reftransV1_0009599")</f>
        <v>p.persica_gdr_reftransV1_0009599</v>
      </c>
      <c r="B3510" s="2">
        <v>351</v>
      </c>
      <c r="C3510" s="4" t="str">
        <f>HYPERLINK("http://www.uniprot.org/uniprot/M5XPY3","M5XPY3")</f>
        <v>M5XPY3</v>
      </c>
      <c r="D3510" s="2" t="s">
        <v>3317</v>
      </c>
      <c r="E3510" s="3">
        <v>2.1400000000000001E-43</v>
      </c>
      <c r="F3510" s="2">
        <v>390</v>
      </c>
      <c r="G3510" s="2">
        <v>100</v>
      </c>
      <c r="H3510" s="2">
        <v>103</v>
      </c>
      <c r="I3510" s="2">
        <v>37</v>
      </c>
      <c r="J3510" s="2">
        <v>345</v>
      </c>
      <c r="K3510" s="2">
        <v>192</v>
      </c>
      <c r="L3510" s="2">
        <v>294</v>
      </c>
    </row>
    <row r="3511" spans="1:12" x14ac:dyDescent="0.25">
      <c r="A3511" s="4" t="str">
        <f>HYPERLINK("http://www.rosaceae.org/Prunus/Prunus_persica/p.persica_gdr_reftransV1_0009949","p.persica_gdr_reftransV1_0009949")</f>
        <v>p.persica_gdr_reftransV1_0009949</v>
      </c>
      <c r="B3511" s="2">
        <v>1252</v>
      </c>
      <c r="C3511" s="4" t="str">
        <f>HYPERLINK("http://www.uniprot.org/uniprot/M5VJ68","M5VJ68")</f>
        <v>M5VJ68</v>
      </c>
      <c r="D3511" s="2" t="s">
        <v>3318</v>
      </c>
      <c r="E3511" s="3">
        <v>7.7799999999999996E-139</v>
      </c>
      <c r="F3511" s="2">
        <v>1061</v>
      </c>
      <c r="G3511" s="2">
        <v>100</v>
      </c>
      <c r="H3511" s="2">
        <v>248</v>
      </c>
      <c r="I3511" s="2">
        <v>15</v>
      </c>
      <c r="J3511" s="2">
        <v>758</v>
      </c>
      <c r="K3511" s="2">
        <v>110</v>
      </c>
      <c r="L3511" s="2">
        <v>357</v>
      </c>
    </row>
    <row r="3512" spans="1:12" x14ac:dyDescent="0.25">
      <c r="A3512" s="4" t="str">
        <f>HYPERLINK("http://www.rosaceae.org/Prunus/Prunus_persica/p.persica_gdr_reftransV1_0010299","p.persica_gdr_reftransV1_0010299")</f>
        <v>p.persica_gdr_reftransV1_0010299</v>
      </c>
      <c r="B3512" s="2">
        <v>860</v>
      </c>
      <c r="C3512" s="4" t="str">
        <f>HYPERLINK("http://www.uniprot.org/uniprot/M5W177","M5W177")</f>
        <v>M5W177</v>
      </c>
      <c r="D3512" s="2" t="s">
        <v>3319</v>
      </c>
      <c r="E3512" s="3">
        <v>8.0800000000000002E-61</v>
      </c>
      <c r="F3512" s="2">
        <v>507</v>
      </c>
      <c r="G3512" s="2">
        <v>100</v>
      </c>
      <c r="H3512" s="2">
        <v>98</v>
      </c>
      <c r="I3512" s="2">
        <v>459</v>
      </c>
      <c r="J3512" s="2">
        <v>752</v>
      </c>
      <c r="K3512" s="2">
        <v>7</v>
      </c>
      <c r="L3512" s="2">
        <v>104</v>
      </c>
    </row>
    <row r="3513" spans="1:12" x14ac:dyDescent="0.25">
      <c r="A3513" s="4" t="str">
        <f>HYPERLINK("http://www.rosaceae.org/Prunus/Prunus_persica/p.persica_gdr_reftransV1_0010999","p.persica_gdr_reftransV1_0010999")</f>
        <v>p.persica_gdr_reftransV1_0010999</v>
      </c>
      <c r="B3513" s="2">
        <v>2128</v>
      </c>
      <c r="C3513" s="4" t="str">
        <f>HYPERLINK("http://www.uniprot.org/uniprot/M5X105","M5X105")</f>
        <v>M5X105</v>
      </c>
      <c r="D3513" s="2" t="s">
        <v>3320</v>
      </c>
      <c r="E3513" s="3">
        <v>0</v>
      </c>
      <c r="F3513" s="2">
        <v>2755</v>
      </c>
      <c r="G3513" s="2">
        <v>100</v>
      </c>
      <c r="H3513" s="2">
        <v>535</v>
      </c>
      <c r="I3513" s="2">
        <v>350</v>
      </c>
      <c r="J3513" s="2">
        <v>1954</v>
      </c>
      <c r="K3513" s="2">
        <v>2</v>
      </c>
      <c r="L3513" s="2">
        <v>536</v>
      </c>
    </row>
    <row r="3514" spans="1:12" x14ac:dyDescent="0.25">
      <c r="A3514" s="4" t="str">
        <f>HYPERLINK("http://www.rosaceae.org/Prunus/Prunus_persica/p.persica_gdr_reftransV1_0012049","p.persica_gdr_reftransV1_0012049")</f>
        <v>p.persica_gdr_reftransV1_0012049</v>
      </c>
      <c r="B3514" s="2">
        <v>1014</v>
      </c>
      <c r="C3514" s="4" t="str">
        <f>HYPERLINK("http://www.uniprot.org/uniprot/M5W6L4","M5W6L4")</f>
        <v>M5W6L4</v>
      </c>
      <c r="D3514" s="2" t="s">
        <v>3321</v>
      </c>
      <c r="E3514" s="3">
        <v>3.87E-175</v>
      </c>
      <c r="F3514" s="2">
        <v>1318</v>
      </c>
      <c r="G3514" s="2">
        <v>100</v>
      </c>
      <c r="H3514" s="2">
        <v>245</v>
      </c>
      <c r="I3514" s="2">
        <v>3</v>
      </c>
      <c r="J3514" s="2">
        <v>737</v>
      </c>
      <c r="K3514" s="2">
        <v>374</v>
      </c>
      <c r="L3514" s="2">
        <v>618</v>
      </c>
    </row>
    <row r="3515" spans="1:12" x14ac:dyDescent="0.25">
      <c r="A3515" s="4" t="str">
        <f>HYPERLINK("http://www.rosaceae.org/Prunus/Prunus_persica/p.persica_gdr_reftransV1_0013099","p.persica_gdr_reftransV1_0013099")</f>
        <v>p.persica_gdr_reftransV1_0013099</v>
      </c>
      <c r="B3515" s="2">
        <v>1774</v>
      </c>
      <c r="C3515" s="4" t="str">
        <f>HYPERLINK("http://www.uniprot.org/uniprot/M5X0L9","M5X0L9")</f>
        <v>M5X0L9</v>
      </c>
      <c r="D3515" s="2" t="s">
        <v>3322</v>
      </c>
      <c r="E3515" s="3">
        <v>0</v>
      </c>
      <c r="F3515" s="2">
        <v>2025</v>
      </c>
      <c r="G3515" s="2">
        <v>100</v>
      </c>
      <c r="H3515" s="2">
        <v>413</v>
      </c>
      <c r="I3515" s="2">
        <v>326</v>
      </c>
      <c r="J3515" s="2">
        <v>1564</v>
      </c>
      <c r="K3515" s="2">
        <v>37</v>
      </c>
      <c r="L3515" s="2">
        <v>449</v>
      </c>
    </row>
    <row r="3516" spans="1:12" x14ac:dyDescent="0.25">
      <c r="A3516" s="4" t="str">
        <f>HYPERLINK("http://www.rosaceae.org/Prunus/Prunus_persica/p.persica_gdr_reftransV1_0013449","p.persica_gdr_reftransV1_0013449")</f>
        <v>p.persica_gdr_reftransV1_0013449</v>
      </c>
      <c r="B3516" s="2">
        <v>1401</v>
      </c>
      <c r="C3516" s="4" t="str">
        <f>HYPERLINK("http://www.uniprot.org/uniprot/M5Y2P8","M5Y2P8")</f>
        <v>M5Y2P8</v>
      </c>
      <c r="D3516" s="2" t="s">
        <v>3323</v>
      </c>
      <c r="E3516" s="3">
        <v>0</v>
      </c>
      <c r="F3516" s="2">
        <v>1952</v>
      </c>
      <c r="G3516" s="2">
        <v>100</v>
      </c>
      <c r="H3516" s="2">
        <v>361</v>
      </c>
      <c r="I3516" s="2">
        <v>282</v>
      </c>
      <c r="J3516" s="2">
        <v>1364</v>
      </c>
      <c r="K3516" s="2">
        <v>1</v>
      </c>
      <c r="L3516" s="2">
        <v>361</v>
      </c>
    </row>
    <row r="3517" spans="1:12" x14ac:dyDescent="0.25">
      <c r="A3517" s="4" t="str">
        <f>HYPERLINK("http://www.rosaceae.org/Prunus/Prunus_persica/p.persica_gdr_reftransV1_0015899","p.persica_gdr_reftransV1_0015899")</f>
        <v>p.persica_gdr_reftransV1_0015899</v>
      </c>
      <c r="B3517" s="2">
        <v>1108</v>
      </c>
      <c r="C3517" s="4" t="str">
        <f>HYPERLINK("http://www.uniprot.org/uniprot/M5W9H3","M5W9H3")</f>
        <v>M5W9H3</v>
      </c>
      <c r="D3517" s="2" t="s">
        <v>3324</v>
      </c>
      <c r="E3517" s="3">
        <v>0</v>
      </c>
      <c r="F3517" s="2">
        <v>1367</v>
      </c>
      <c r="G3517" s="2">
        <v>100</v>
      </c>
      <c r="H3517" s="2">
        <v>271</v>
      </c>
      <c r="I3517" s="2">
        <v>237</v>
      </c>
      <c r="J3517" s="2">
        <v>1049</v>
      </c>
      <c r="K3517" s="2">
        <v>1</v>
      </c>
      <c r="L3517" s="2">
        <v>271</v>
      </c>
    </row>
    <row r="3518" spans="1:12" x14ac:dyDescent="0.25">
      <c r="A3518" s="4" t="str">
        <f>HYPERLINK("http://www.rosaceae.org/Prunus/Prunus_persica/p.persica_gdr_reftransV1_0017299","p.persica_gdr_reftransV1_0017299")</f>
        <v>p.persica_gdr_reftransV1_0017299</v>
      </c>
      <c r="B3518" s="2">
        <v>1282</v>
      </c>
      <c r="C3518" s="4" t="str">
        <f>HYPERLINK("http://www.uniprot.org/uniprot/M5WAJ0","M5WAJ0")</f>
        <v>M5WAJ0</v>
      </c>
      <c r="D3518" s="2" t="s">
        <v>3325</v>
      </c>
      <c r="E3518" s="3">
        <v>3.7299999999999999E-169</v>
      </c>
      <c r="F3518" s="2">
        <v>1251</v>
      </c>
      <c r="G3518" s="2">
        <v>100</v>
      </c>
      <c r="H3518" s="2">
        <v>237</v>
      </c>
      <c r="I3518" s="2">
        <v>154</v>
      </c>
      <c r="J3518" s="2">
        <v>864</v>
      </c>
      <c r="K3518" s="2">
        <v>1</v>
      </c>
      <c r="L3518" s="2">
        <v>237</v>
      </c>
    </row>
    <row r="3519" spans="1:12" x14ac:dyDescent="0.25">
      <c r="A3519" s="4" t="str">
        <f>HYPERLINK("http://www.rosaceae.org/Prunus/Prunus_persica/p.persica_gdr_reftransV1_0017999","p.persica_gdr_reftransV1_0017999")</f>
        <v>p.persica_gdr_reftransV1_0017999</v>
      </c>
      <c r="B3519" s="2">
        <v>3245</v>
      </c>
      <c r="C3519" s="4" t="str">
        <f>HYPERLINK("http://www.uniprot.org/uniprot/M5WM85","M5WM85")</f>
        <v>M5WM85</v>
      </c>
      <c r="D3519" s="2" t="s">
        <v>3326</v>
      </c>
      <c r="E3519" s="3">
        <v>0</v>
      </c>
      <c r="F3519" s="2">
        <v>5184</v>
      </c>
      <c r="G3519" s="2">
        <v>100</v>
      </c>
      <c r="H3519" s="2">
        <v>1024</v>
      </c>
      <c r="I3519" s="2">
        <v>57</v>
      </c>
      <c r="J3519" s="2">
        <v>3128</v>
      </c>
      <c r="K3519" s="2">
        <v>1</v>
      </c>
      <c r="L3519" s="2">
        <v>1024</v>
      </c>
    </row>
    <row r="3520" spans="1:12" x14ac:dyDescent="0.25">
      <c r="A3520" s="4" t="str">
        <f>HYPERLINK("http://www.rosaceae.org/Prunus/Prunus_persica/p.persica_gdr_reftransV1_0019049","p.persica_gdr_reftransV1_0019049")</f>
        <v>p.persica_gdr_reftransV1_0019049</v>
      </c>
      <c r="B3520" s="2">
        <v>2373</v>
      </c>
      <c r="C3520" s="4" t="str">
        <f>HYPERLINK("http://www.uniprot.org/uniprot/M5W9V0","M5W9V0")</f>
        <v>M5W9V0</v>
      </c>
      <c r="D3520" s="2" t="s">
        <v>3327</v>
      </c>
      <c r="E3520" s="3">
        <v>0</v>
      </c>
      <c r="F3520" s="2">
        <v>2672</v>
      </c>
      <c r="G3520" s="2">
        <v>100</v>
      </c>
      <c r="H3520" s="2">
        <v>592</v>
      </c>
      <c r="I3520" s="2">
        <v>194</v>
      </c>
      <c r="J3520" s="2">
        <v>1969</v>
      </c>
      <c r="K3520" s="2">
        <v>1</v>
      </c>
      <c r="L3520" s="2">
        <v>592</v>
      </c>
    </row>
    <row r="3521" spans="1:12" x14ac:dyDescent="0.25">
      <c r="A3521" s="4" t="str">
        <f>HYPERLINK("http://www.rosaceae.org/Prunus/Prunus_persica/p.persica_gdr_reftransV1_0019399","p.persica_gdr_reftransV1_0019399")</f>
        <v>p.persica_gdr_reftransV1_0019399</v>
      </c>
      <c r="B3521" s="2">
        <v>2084</v>
      </c>
      <c r="C3521" s="4" t="str">
        <f>HYPERLINK("http://www.uniprot.org/uniprot/M5WXM7","M5WXM7")</f>
        <v>M5WXM7</v>
      </c>
      <c r="D3521" s="2" t="s">
        <v>3328</v>
      </c>
      <c r="E3521" s="3">
        <v>0</v>
      </c>
      <c r="F3521" s="2">
        <v>2379</v>
      </c>
      <c r="G3521" s="2">
        <v>91</v>
      </c>
      <c r="H3521" s="2">
        <v>513</v>
      </c>
      <c r="I3521" s="2">
        <v>184</v>
      </c>
      <c r="J3521" s="2">
        <v>1713</v>
      </c>
      <c r="K3521" s="2">
        <v>1</v>
      </c>
      <c r="L3521" s="2">
        <v>474</v>
      </c>
    </row>
    <row r="3522" spans="1:12" x14ac:dyDescent="0.25">
      <c r="A3522" s="4" t="str">
        <f>HYPERLINK("http://www.rosaceae.org/Prunus/Prunus_persica/p.persica_gdr_reftransV1_0020099","p.persica_gdr_reftransV1_0020099")</f>
        <v>p.persica_gdr_reftransV1_0020099</v>
      </c>
      <c r="B3522" s="2">
        <v>1049</v>
      </c>
      <c r="C3522" s="4" t="str">
        <f>HYPERLINK("http://www.uniprot.org/uniprot/M5XDL7","M5XDL7")</f>
        <v>M5XDL7</v>
      </c>
      <c r="D3522" s="2" t="s">
        <v>3329</v>
      </c>
      <c r="E3522" s="3">
        <v>6.7300000000000004E-115</v>
      </c>
      <c r="F3522" s="2">
        <v>908</v>
      </c>
      <c r="G3522" s="2">
        <v>100</v>
      </c>
      <c r="H3522" s="2">
        <v>201</v>
      </c>
      <c r="I3522" s="2">
        <v>418</v>
      </c>
      <c r="J3522" s="2">
        <v>1020</v>
      </c>
      <c r="K3522" s="2">
        <v>1</v>
      </c>
      <c r="L3522" s="2">
        <v>201</v>
      </c>
    </row>
    <row r="3523" spans="1:12" x14ac:dyDescent="0.25">
      <c r="A3523" s="4" t="str">
        <f>HYPERLINK("http://www.rosaceae.org/Prunus/Prunus_persica/p.persica_gdr_reftransV1_0020449","p.persica_gdr_reftransV1_0020449")</f>
        <v>p.persica_gdr_reftransV1_0020449</v>
      </c>
      <c r="B3523" s="2">
        <v>2172</v>
      </c>
      <c r="C3523" s="4" t="str">
        <f>HYPERLINK("http://www.uniprot.org/uniprot/K7MYA4","K7MYA4")</f>
        <v>K7MYA4</v>
      </c>
      <c r="D3523" s="2" t="s">
        <v>575</v>
      </c>
      <c r="E3523" s="3">
        <v>2.7000000000000002E-80</v>
      </c>
      <c r="F3523" s="2">
        <v>679</v>
      </c>
      <c r="G3523" s="2">
        <v>91</v>
      </c>
      <c r="H3523" s="2">
        <v>158</v>
      </c>
      <c r="I3523" s="2">
        <v>553</v>
      </c>
      <c r="J3523" s="2">
        <v>1023</v>
      </c>
      <c r="K3523" s="2">
        <v>7</v>
      </c>
      <c r="L3523" s="2">
        <v>164</v>
      </c>
    </row>
    <row r="3524" spans="1:12" x14ac:dyDescent="0.25">
      <c r="A3524" s="4" t="str">
        <f>HYPERLINK("http://www.rosaceae.org/Prunus/Prunus_persica/p.persica_gdr_reftransV1_0020799","p.persica_gdr_reftransV1_0020799")</f>
        <v>p.persica_gdr_reftransV1_0020799</v>
      </c>
      <c r="B3524" s="2">
        <v>652</v>
      </c>
      <c r="C3524" s="4" t="str">
        <f>HYPERLINK("http://www.uniprot.org/uniprot/C5YCL9","C5YCL9")</f>
        <v>C5YCL9</v>
      </c>
      <c r="D3524" s="2" t="s">
        <v>3330</v>
      </c>
      <c r="E3524" s="3">
        <v>1.49E-40</v>
      </c>
      <c r="F3524" s="2">
        <v>380</v>
      </c>
      <c r="G3524" s="2">
        <v>89</v>
      </c>
      <c r="H3524" s="2">
        <v>97</v>
      </c>
      <c r="I3524" s="2">
        <v>360</v>
      </c>
      <c r="J3524" s="2">
        <v>650</v>
      </c>
      <c r="K3524" s="2">
        <v>151</v>
      </c>
      <c r="L3524" s="2">
        <v>247</v>
      </c>
    </row>
    <row r="3525" spans="1:12" x14ac:dyDescent="0.25">
      <c r="A3525" s="4" t="str">
        <f>HYPERLINK("http://www.rosaceae.org/Prunus/Prunus_persica/p.persica_gdr_reftransV1_0021849","p.persica_gdr_reftransV1_0021849")</f>
        <v>p.persica_gdr_reftransV1_0021849</v>
      </c>
      <c r="B3525" s="2">
        <v>559</v>
      </c>
      <c r="C3525" s="4" t="str">
        <f>HYPERLINK("http://www.uniprot.org/uniprot/W9RB78","W9RB78")</f>
        <v>W9RB78</v>
      </c>
      <c r="D3525" s="2" t="s">
        <v>3331</v>
      </c>
      <c r="E3525" s="3">
        <v>1.53E-77</v>
      </c>
      <c r="F3525" s="2">
        <v>658</v>
      </c>
      <c r="G3525" s="2">
        <v>69</v>
      </c>
      <c r="H3525" s="2">
        <v>173</v>
      </c>
      <c r="I3525" s="2">
        <v>28</v>
      </c>
      <c r="J3525" s="2">
        <v>546</v>
      </c>
      <c r="K3525" s="2">
        <v>1</v>
      </c>
      <c r="L3525" s="2">
        <v>173</v>
      </c>
    </row>
    <row r="3526" spans="1:12" x14ac:dyDescent="0.25">
      <c r="A3526" s="4" t="str">
        <f>HYPERLINK("http://www.rosaceae.org/Prunus/Prunus_persica/p.persica_gdr_reftransV1_0023599","p.persica_gdr_reftransV1_0023599")</f>
        <v>p.persica_gdr_reftransV1_0023599</v>
      </c>
      <c r="B3526" s="2">
        <v>439</v>
      </c>
      <c r="C3526" s="4" t="str">
        <f>HYPERLINK("http://www.uniprot.org/uniprot/M5VRE1","M5VRE1")</f>
        <v>M5VRE1</v>
      </c>
      <c r="D3526" s="2" t="s">
        <v>3332</v>
      </c>
      <c r="E3526" s="3">
        <v>2.9700000000000002E-74</v>
      </c>
      <c r="F3526" s="2">
        <v>587</v>
      </c>
      <c r="G3526" s="2">
        <v>100</v>
      </c>
      <c r="H3526" s="2">
        <v>122</v>
      </c>
      <c r="I3526" s="2">
        <v>72</v>
      </c>
      <c r="J3526" s="2">
        <v>437</v>
      </c>
      <c r="K3526" s="2">
        <v>1</v>
      </c>
      <c r="L3526" s="2">
        <v>122</v>
      </c>
    </row>
    <row r="3527" spans="1:12" x14ac:dyDescent="0.25">
      <c r="A3527" s="4" t="str">
        <f>HYPERLINK("http://www.rosaceae.org/Prunus/Prunus_persica/p.persica_gdr_reftransV1_0023949","p.persica_gdr_reftransV1_0023949")</f>
        <v>p.persica_gdr_reftransV1_0023949</v>
      </c>
      <c r="B3527" s="2">
        <v>3977</v>
      </c>
      <c r="C3527" s="4" t="str">
        <f>HYPERLINK("http://www.uniprot.org/uniprot/M5WXP3","M5WXP3")</f>
        <v>M5WXP3</v>
      </c>
      <c r="D3527" s="2" t="s">
        <v>3333</v>
      </c>
      <c r="E3527" s="3">
        <v>0</v>
      </c>
      <c r="F3527" s="2">
        <v>2944</v>
      </c>
      <c r="G3527" s="2">
        <v>92</v>
      </c>
      <c r="H3527" s="2">
        <v>723</v>
      </c>
      <c r="I3527" s="2">
        <v>329</v>
      </c>
      <c r="J3527" s="2">
        <v>2491</v>
      </c>
      <c r="K3527" s="2">
        <v>1</v>
      </c>
      <c r="L3527" s="2">
        <v>682</v>
      </c>
    </row>
    <row r="3528" spans="1:12" x14ac:dyDescent="0.25">
      <c r="A3528" s="4" t="str">
        <f>HYPERLINK("http://www.rosaceae.org/Prunus/Prunus_persica/p.persica_gdr_reftransV1_0024999","p.persica_gdr_reftransV1_0024999")</f>
        <v>p.persica_gdr_reftransV1_0024999</v>
      </c>
      <c r="B3528" s="2">
        <v>3379</v>
      </c>
      <c r="C3528" s="4" t="str">
        <f>HYPERLINK("http://www.uniprot.org/uniprot/M5X5I9","M5X5I9")</f>
        <v>M5X5I9</v>
      </c>
      <c r="D3528" s="2" t="s">
        <v>3334</v>
      </c>
      <c r="E3528" s="3">
        <v>0</v>
      </c>
      <c r="F3528" s="2">
        <v>1727</v>
      </c>
      <c r="G3528" s="2">
        <v>100</v>
      </c>
      <c r="H3528" s="2">
        <v>331</v>
      </c>
      <c r="I3528" s="2">
        <v>375</v>
      </c>
      <c r="J3528" s="2">
        <v>1367</v>
      </c>
      <c r="K3528" s="2">
        <v>1</v>
      </c>
      <c r="L3528" s="2">
        <v>331</v>
      </c>
    </row>
    <row r="3529" spans="1:12" x14ac:dyDescent="0.25">
      <c r="A3529" s="4" t="str">
        <f>HYPERLINK("http://www.rosaceae.org/Prunus/Prunus_persica/p.persica_gdr_reftransV1_0025699","p.persica_gdr_reftransV1_0025699")</f>
        <v>p.persica_gdr_reftransV1_0025699</v>
      </c>
      <c r="B3529" s="2">
        <v>406</v>
      </c>
      <c r="C3529" s="4" t="str">
        <f>HYPERLINK("http://www.uniprot.org/uniprot/M5WT39","M5WT39")</f>
        <v>M5WT39</v>
      </c>
      <c r="D3529" s="2" t="s">
        <v>3335</v>
      </c>
      <c r="E3529" s="3">
        <v>2.37E-87</v>
      </c>
      <c r="F3529" s="2">
        <v>687</v>
      </c>
      <c r="G3529" s="2">
        <v>100</v>
      </c>
      <c r="H3529" s="2">
        <v>134</v>
      </c>
      <c r="I3529" s="2">
        <v>3</v>
      </c>
      <c r="J3529" s="2">
        <v>404</v>
      </c>
      <c r="K3529" s="2">
        <v>65</v>
      </c>
      <c r="L3529" s="2">
        <v>198</v>
      </c>
    </row>
    <row r="3530" spans="1:12" x14ac:dyDescent="0.25">
      <c r="A3530" s="4" t="str">
        <f>HYPERLINK("http://www.rosaceae.org/Prunus/Prunus_persica/p.persica_gdr_reftransV1_0026399","p.persica_gdr_reftransV1_0026399")</f>
        <v>p.persica_gdr_reftransV1_0026399</v>
      </c>
      <c r="B3530" s="2">
        <v>2617</v>
      </c>
      <c r="C3530" s="4" t="str">
        <f>HYPERLINK("http://www.uniprot.org/uniprot/M5X3M8","M5X3M8")</f>
        <v>M5X3M8</v>
      </c>
      <c r="D3530" s="2" t="s">
        <v>3336</v>
      </c>
      <c r="E3530" s="3">
        <v>0</v>
      </c>
      <c r="F3530" s="2">
        <v>3028</v>
      </c>
      <c r="G3530" s="2">
        <v>100</v>
      </c>
      <c r="H3530" s="2">
        <v>640</v>
      </c>
      <c r="I3530" s="2">
        <v>218</v>
      </c>
      <c r="J3530" s="2">
        <v>2137</v>
      </c>
      <c r="K3530" s="2">
        <v>1</v>
      </c>
      <c r="L3530" s="2">
        <v>640</v>
      </c>
    </row>
    <row r="3531" spans="1:12" x14ac:dyDescent="0.25">
      <c r="A3531" s="4" t="str">
        <f>HYPERLINK("http://www.rosaceae.org/Prunus/Prunus_persica/p.persica_gdr_reftransV1_0026749","p.persica_gdr_reftransV1_0026749")</f>
        <v>p.persica_gdr_reftransV1_0026749</v>
      </c>
      <c r="B3531" s="2">
        <v>1167</v>
      </c>
      <c r="C3531" s="4" t="str">
        <f>HYPERLINK("http://www.uniprot.org/uniprot/M5VZN7","M5VZN7")</f>
        <v>M5VZN7</v>
      </c>
      <c r="D3531" s="2" t="s">
        <v>1792</v>
      </c>
      <c r="E3531" s="3">
        <v>2.5699999999999999E-148</v>
      </c>
      <c r="F3531" s="2">
        <v>1109</v>
      </c>
      <c r="G3531" s="2">
        <v>100</v>
      </c>
      <c r="H3531" s="2">
        <v>237</v>
      </c>
      <c r="I3531" s="2">
        <v>76</v>
      </c>
      <c r="J3531" s="2">
        <v>786</v>
      </c>
      <c r="K3531" s="2">
        <v>1</v>
      </c>
      <c r="L3531" s="2">
        <v>237</v>
      </c>
    </row>
    <row r="3532" spans="1:12" x14ac:dyDescent="0.25">
      <c r="A3532" s="4" t="str">
        <f>HYPERLINK("http://www.rosaceae.org/Prunus/Prunus_persica/p.persica_gdr_reftransV1_0030949","p.persica_gdr_reftransV1_0030949")</f>
        <v>p.persica_gdr_reftransV1_0030949</v>
      </c>
      <c r="B3532" s="2">
        <v>428</v>
      </c>
      <c r="C3532" s="4" t="str">
        <f>HYPERLINK("http://www.uniprot.org/uniprot/M5X9C6","M5X9C6")</f>
        <v>M5X9C6</v>
      </c>
      <c r="D3532" s="2" t="s">
        <v>3337</v>
      </c>
      <c r="E3532" s="3">
        <v>8.0600000000000007E-77</v>
      </c>
      <c r="F3532" s="2">
        <v>639</v>
      </c>
      <c r="G3532" s="2">
        <v>100</v>
      </c>
      <c r="H3532" s="2">
        <v>121</v>
      </c>
      <c r="I3532" s="2">
        <v>66</v>
      </c>
      <c r="J3532" s="2">
        <v>428</v>
      </c>
      <c r="K3532" s="2">
        <v>1</v>
      </c>
      <c r="L3532" s="2">
        <v>121</v>
      </c>
    </row>
    <row r="3533" spans="1:12" x14ac:dyDescent="0.25">
      <c r="A3533" s="4" t="str">
        <f>HYPERLINK("http://www.rosaceae.org/Prunus/Prunus_persica/p.persica_gdr_reftransV1_0032699","p.persica_gdr_reftransV1_0032699")</f>
        <v>p.persica_gdr_reftransV1_0032699</v>
      </c>
      <c r="B3533" s="2">
        <v>547</v>
      </c>
      <c r="C3533" s="4" t="str">
        <f>HYPERLINK("http://www.uniprot.org/uniprot/M5XMJ0","M5XMJ0")</f>
        <v>M5XMJ0</v>
      </c>
      <c r="D3533" s="2" t="s">
        <v>3338</v>
      </c>
      <c r="E3533" s="3">
        <v>6.7899999999999998E-70</v>
      </c>
      <c r="F3533" s="2">
        <v>557</v>
      </c>
      <c r="G3533" s="2">
        <v>100</v>
      </c>
      <c r="H3533" s="2">
        <v>106</v>
      </c>
      <c r="I3533" s="2">
        <v>89</v>
      </c>
      <c r="J3533" s="2">
        <v>406</v>
      </c>
      <c r="K3533" s="2">
        <v>1</v>
      </c>
      <c r="L3533" s="2">
        <v>106</v>
      </c>
    </row>
    <row r="3534" spans="1:12" x14ac:dyDescent="0.25">
      <c r="A3534" s="4" t="str">
        <f>HYPERLINK("http://www.rosaceae.org/Prunus/Prunus_persica/p.persica_gdr_reftransV1_0033399","p.persica_gdr_reftransV1_0033399")</f>
        <v>p.persica_gdr_reftransV1_0033399</v>
      </c>
      <c r="B3534" s="2">
        <v>1569</v>
      </c>
      <c r="C3534" s="4" t="str">
        <f>HYPERLINK("http://www.uniprot.org/uniprot/M5VYZ5","M5VYZ5")</f>
        <v>M5VYZ5</v>
      </c>
      <c r="D3534" s="2" t="s">
        <v>3339</v>
      </c>
      <c r="E3534" s="3">
        <v>5.8900000000000002E-113</v>
      </c>
      <c r="F3534" s="2">
        <v>910</v>
      </c>
      <c r="G3534" s="2">
        <v>100</v>
      </c>
      <c r="H3534" s="2">
        <v>191</v>
      </c>
      <c r="I3534" s="2">
        <v>1</v>
      </c>
      <c r="J3534" s="2">
        <v>573</v>
      </c>
      <c r="K3534" s="2">
        <v>136</v>
      </c>
      <c r="L3534" s="2">
        <v>326</v>
      </c>
    </row>
    <row r="3535" spans="1:12" x14ac:dyDescent="0.25">
      <c r="A3535" s="4" t="str">
        <f>HYPERLINK("http://www.rosaceae.org/Prunus/Prunus_persica/p.persica_gdr_reftransV1_0034799","p.persica_gdr_reftransV1_0034799")</f>
        <v>p.persica_gdr_reftransV1_0034799</v>
      </c>
      <c r="B3535" s="2">
        <v>3626</v>
      </c>
      <c r="C3535" s="4" t="str">
        <f>HYPERLINK("http://www.uniprot.org/uniprot/M5WFM7","M5WFM7")</f>
        <v>M5WFM7</v>
      </c>
      <c r="D3535" s="2" t="s">
        <v>3340</v>
      </c>
      <c r="E3535" s="3">
        <v>0</v>
      </c>
      <c r="F3535" s="2">
        <v>4193</v>
      </c>
      <c r="G3535" s="2">
        <v>100</v>
      </c>
      <c r="H3535" s="2">
        <v>782</v>
      </c>
      <c r="I3535" s="2">
        <v>363</v>
      </c>
      <c r="J3535" s="2">
        <v>2708</v>
      </c>
      <c r="K3535" s="2">
        <v>1</v>
      </c>
      <c r="L3535" s="2">
        <v>782</v>
      </c>
    </row>
    <row r="3536" spans="1:12" x14ac:dyDescent="0.25">
      <c r="A3536" s="4" t="str">
        <f>HYPERLINK("http://www.rosaceae.org/Prunus/Prunus_persica/p.persica_gdr_reftransV1_0035499","p.persica_gdr_reftransV1_0035499")</f>
        <v>p.persica_gdr_reftransV1_0035499</v>
      </c>
      <c r="B3536" s="2">
        <v>2322</v>
      </c>
      <c r="C3536" s="4" t="str">
        <f>HYPERLINK("http://www.uniprot.org/uniprot/M5X4I9","M5X4I9")</f>
        <v>M5X4I9</v>
      </c>
      <c r="D3536" s="2" t="s">
        <v>3341</v>
      </c>
      <c r="E3536" s="3">
        <v>0</v>
      </c>
      <c r="F3536" s="2">
        <v>2175</v>
      </c>
      <c r="G3536" s="2">
        <v>94</v>
      </c>
      <c r="H3536" s="2">
        <v>514</v>
      </c>
      <c r="I3536" s="2">
        <v>250</v>
      </c>
      <c r="J3536" s="2">
        <v>1791</v>
      </c>
      <c r="K3536" s="2">
        <v>1</v>
      </c>
      <c r="L3536" s="2">
        <v>514</v>
      </c>
    </row>
    <row r="3537" spans="1:12" x14ac:dyDescent="0.25">
      <c r="A3537" s="4" t="str">
        <f>HYPERLINK("http://www.rosaceae.org/Prunus/Prunus_persica/p.persica_gdr_reftransV1_0039699","p.persica_gdr_reftransV1_0039699")</f>
        <v>p.persica_gdr_reftransV1_0039699</v>
      </c>
      <c r="B3537" s="2">
        <v>3725</v>
      </c>
      <c r="C3537" s="4" t="str">
        <f>HYPERLINK("http://www.uniprot.org/uniprot/M5X499","M5X499")</f>
        <v>M5X499</v>
      </c>
      <c r="D3537" s="2" t="s">
        <v>3342</v>
      </c>
      <c r="E3537" s="3">
        <v>1.13E-101</v>
      </c>
      <c r="F3537" s="2">
        <v>540</v>
      </c>
      <c r="G3537" s="2">
        <v>100</v>
      </c>
      <c r="H3537" s="2">
        <v>98</v>
      </c>
      <c r="I3537" s="2">
        <v>2338</v>
      </c>
      <c r="J3537" s="2">
        <v>2631</v>
      </c>
      <c r="K3537" s="2">
        <v>231</v>
      </c>
      <c r="L3537" s="2">
        <v>328</v>
      </c>
    </row>
    <row r="3538" spans="1:12" x14ac:dyDescent="0.25">
      <c r="A3538" s="4" t="str">
        <f>HYPERLINK("http://www.rosaceae.org/Prunus/Prunus_persica/p.persica_gdr_reftransV1_0041449","p.persica_gdr_reftransV1_0041449")</f>
        <v>p.persica_gdr_reftransV1_0041449</v>
      </c>
      <c r="B3538" s="2">
        <v>1934</v>
      </c>
      <c r="C3538" s="4" t="str">
        <f>HYPERLINK("http://www.uniprot.org/uniprot/M5X6I0","M5X6I0")</f>
        <v>M5X6I0</v>
      </c>
      <c r="D3538" s="2" t="s">
        <v>3343</v>
      </c>
      <c r="E3538" s="3">
        <v>0</v>
      </c>
      <c r="F3538" s="2">
        <v>2132</v>
      </c>
      <c r="G3538" s="2">
        <v>99</v>
      </c>
      <c r="H3538" s="2">
        <v>413</v>
      </c>
      <c r="I3538" s="2">
        <v>603</v>
      </c>
      <c r="J3538" s="2">
        <v>1841</v>
      </c>
      <c r="K3538" s="2">
        <v>3</v>
      </c>
      <c r="L3538" s="2">
        <v>415</v>
      </c>
    </row>
    <row r="3539" spans="1:12" x14ac:dyDescent="0.25">
      <c r="A3539" s="4" t="str">
        <f>HYPERLINK("http://www.rosaceae.org/Prunus/Prunus_persica/p.persica_gdr_reftransV1_0042499","p.persica_gdr_reftransV1_0042499")</f>
        <v>p.persica_gdr_reftransV1_0042499</v>
      </c>
      <c r="B3539" s="2">
        <v>961</v>
      </c>
      <c r="C3539" s="4" t="str">
        <f>HYPERLINK("http://www.uniprot.org/uniprot/M5WI64","M5WI64")</f>
        <v>M5WI64</v>
      </c>
      <c r="D3539" s="2" t="s">
        <v>3344</v>
      </c>
      <c r="E3539" s="3">
        <v>2.6199999999999999E-73</v>
      </c>
      <c r="F3539" s="2">
        <v>595</v>
      </c>
      <c r="G3539" s="2">
        <v>100</v>
      </c>
      <c r="H3539" s="2">
        <v>110</v>
      </c>
      <c r="I3539" s="2">
        <v>433</v>
      </c>
      <c r="J3539" s="2">
        <v>762</v>
      </c>
      <c r="K3539" s="2">
        <v>11</v>
      </c>
      <c r="L3539" s="2">
        <v>120</v>
      </c>
    </row>
    <row r="3540" spans="1:12" x14ac:dyDescent="0.25">
      <c r="A3540" s="4" t="str">
        <f>HYPERLINK("http://www.rosaceae.org/Prunus/Prunus_persica/p.persica_gdr_reftransV1_0043199","p.persica_gdr_reftransV1_0043199")</f>
        <v>p.persica_gdr_reftransV1_0043199</v>
      </c>
      <c r="B3540" s="2">
        <v>1250</v>
      </c>
      <c r="C3540" s="4" t="str">
        <f>HYPERLINK("http://www.uniprot.org/uniprot/M5XBV8","M5XBV8")</f>
        <v>M5XBV8</v>
      </c>
      <c r="D3540" s="2" t="s">
        <v>3037</v>
      </c>
      <c r="E3540" s="3">
        <v>5.0299999999999998E-171</v>
      </c>
      <c r="F3540" s="2">
        <v>852</v>
      </c>
      <c r="G3540" s="2">
        <v>100</v>
      </c>
      <c r="H3540" s="2">
        <v>160</v>
      </c>
      <c r="I3540" s="2">
        <v>662</v>
      </c>
      <c r="J3540" s="2">
        <v>1141</v>
      </c>
      <c r="K3540" s="2">
        <v>19</v>
      </c>
      <c r="L3540" s="2">
        <v>178</v>
      </c>
    </row>
    <row r="3541" spans="1:12" x14ac:dyDescent="0.25">
      <c r="A3541" s="4" t="str">
        <f>HYPERLINK("http://www.rosaceae.org/Prunus/Prunus_persica/p.persica_gdr_reftransV1_0043549","p.persica_gdr_reftransV1_0043549")</f>
        <v>p.persica_gdr_reftransV1_0043549</v>
      </c>
      <c r="B3541" s="2">
        <v>792</v>
      </c>
      <c r="C3541" s="4" t="str">
        <f>HYPERLINK("http://www.uniprot.org/uniprot/M5WN07","M5WN07")</f>
        <v>M5WN07</v>
      </c>
      <c r="D3541" s="2" t="s">
        <v>3345</v>
      </c>
      <c r="E3541" s="3">
        <v>1.86E-90</v>
      </c>
      <c r="F3541" s="2">
        <v>704</v>
      </c>
      <c r="G3541" s="2">
        <v>100</v>
      </c>
      <c r="H3541" s="2">
        <v>133</v>
      </c>
      <c r="I3541" s="2">
        <v>120</v>
      </c>
      <c r="J3541" s="2">
        <v>518</v>
      </c>
      <c r="K3541" s="2">
        <v>1</v>
      </c>
      <c r="L3541" s="2">
        <v>133</v>
      </c>
    </row>
    <row r="3542" spans="1:12" x14ac:dyDescent="0.25">
      <c r="A3542" s="4" t="str">
        <f>HYPERLINK("http://www.rosaceae.org/Prunus/Prunus_persica/p.persica_gdr_reftransV1_0043899","p.persica_gdr_reftransV1_0043899")</f>
        <v>p.persica_gdr_reftransV1_0043899</v>
      </c>
      <c r="B3542" s="2">
        <v>1481</v>
      </c>
      <c r="C3542" s="4" t="str">
        <f>HYPERLINK("http://www.uniprot.org/uniprot/M5VZ29","M5VZ29")</f>
        <v>M5VZ29</v>
      </c>
      <c r="D3542" s="2" t="s">
        <v>3346</v>
      </c>
      <c r="E3542" s="3">
        <v>0</v>
      </c>
      <c r="F3542" s="2">
        <v>1741</v>
      </c>
      <c r="G3542" s="2">
        <v>96</v>
      </c>
      <c r="H3542" s="2">
        <v>420</v>
      </c>
      <c r="I3542" s="2">
        <v>40</v>
      </c>
      <c r="J3542" s="2">
        <v>1299</v>
      </c>
      <c r="K3542" s="2">
        <v>38</v>
      </c>
      <c r="L3542" s="2">
        <v>441</v>
      </c>
    </row>
    <row r="3543" spans="1:12" x14ac:dyDescent="0.25">
      <c r="A3543" s="4" t="str">
        <f>HYPERLINK("http://www.rosaceae.org/Prunus/Prunus_persica/p.persica_gdr_reftransV1_0044249","p.persica_gdr_reftransV1_0044249")</f>
        <v>p.persica_gdr_reftransV1_0044249</v>
      </c>
      <c r="B3543" s="2">
        <v>2690</v>
      </c>
      <c r="C3543" s="4" t="str">
        <f>HYPERLINK("http://www.uniprot.org/uniprot/M5WSB9","M5WSB9")</f>
        <v>M5WSB9</v>
      </c>
      <c r="D3543" s="2" t="s">
        <v>794</v>
      </c>
      <c r="E3543" s="3">
        <v>0</v>
      </c>
      <c r="F3543" s="2">
        <v>2219</v>
      </c>
      <c r="G3543" s="2">
        <v>100</v>
      </c>
      <c r="H3543" s="2">
        <v>429</v>
      </c>
      <c r="I3543" s="2">
        <v>404</v>
      </c>
      <c r="J3543" s="2">
        <v>1690</v>
      </c>
      <c r="K3543" s="2">
        <v>1</v>
      </c>
      <c r="L3543" s="2">
        <v>429</v>
      </c>
    </row>
    <row r="3544" spans="1:12" x14ac:dyDescent="0.25">
      <c r="A3544" s="4" t="str">
        <f>HYPERLINK("http://www.rosaceae.org/Prunus/Prunus_persica/p.persica_gdr_reftransV1_0044599","p.persica_gdr_reftransV1_0044599")</f>
        <v>p.persica_gdr_reftransV1_0044599</v>
      </c>
      <c r="B3544" s="2">
        <v>984</v>
      </c>
      <c r="C3544" s="4" t="str">
        <f>HYPERLINK("http://www.uniprot.org/uniprot/M5VTH9","M5VTH9")</f>
        <v>M5VTH9</v>
      </c>
      <c r="D3544" s="2" t="s">
        <v>3347</v>
      </c>
      <c r="E3544" s="3">
        <v>8.0899999999999997E-112</v>
      </c>
      <c r="F3544" s="2">
        <v>863</v>
      </c>
      <c r="G3544" s="2">
        <v>90</v>
      </c>
      <c r="H3544" s="2">
        <v>236</v>
      </c>
      <c r="I3544" s="2">
        <v>74</v>
      </c>
      <c r="J3544" s="2">
        <v>781</v>
      </c>
      <c r="K3544" s="2">
        <v>38</v>
      </c>
      <c r="L3544" s="2">
        <v>249</v>
      </c>
    </row>
    <row r="3545" spans="1:12" x14ac:dyDescent="0.25">
      <c r="A3545" s="4" t="str">
        <f>HYPERLINK("http://www.rosaceae.org/Prunus/Prunus_persica/p.persica_gdr_reftransV1_0045299","p.persica_gdr_reftransV1_0045299")</f>
        <v>p.persica_gdr_reftransV1_0045299</v>
      </c>
      <c r="B3545" s="2">
        <v>1349</v>
      </c>
      <c r="C3545" s="4" t="str">
        <f>HYPERLINK("http://www.uniprot.org/uniprot/M5VQH6","M5VQH6")</f>
        <v>M5VQH6</v>
      </c>
      <c r="D3545" s="2" t="s">
        <v>3348</v>
      </c>
      <c r="E3545" s="3">
        <v>0</v>
      </c>
      <c r="F3545" s="2">
        <v>1607</v>
      </c>
      <c r="G3545" s="2">
        <v>100</v>
      </c>
      <c r="H3545" s="2">
        <v>320</v>
      </c>
      <c r="I3545" s="2">
        <v>165</v>
      </c>
      <c r="J3545" s="2">
        <v>1124</v>
      </c>
      <c r="K3545" s="2">
        <v>17</v>
      </c>
      <c r="L3545" s="2">
        <v>336</v>
      </c>
    </row>
    <row r="3546" spans="1:12" x14ac:dyDescent="0.25">
      <c r="A3546" s="4" t="str">
        <f>HYPERLINK("http://www.rosaceae.org/Prunus/Prunus_persica/p.persica_gdr_reftransV1_0045649","p.persica_gdr_reftransV1_0045649")</f>
        <v>p.persica_gdr_reftransV1_0045649</v>
      </c>
      <c r="B3546" s="2">
        <v>2476</v>
      </c>
      <c r="C3546" s="4" t="str">
        <f>HYPERLINK("http://www.uniprot.org/uniprot/M5XAC8","M5XAC8")</f>
        <v>M5XAC8</v>
      </c>
      <c r="D3546" s="2" t="s">
        <v>3349</v>
      </c>
      <c r="E3546" s="3">
        <v>0</v>
      </c>
      <c r="F3546" s="2">
        <v>2978</v>
      </c>
      <c r="G3546" s="2">
        <v>100</v>
      </c>
      <c r="H3546" s="2">
        <v>616</v>
      </c>
      <c r="I3546" s="2">
        <v>265</v>
      </c>
      <c r="J3546" s="2">
        <v>2112</v>
      </c>
      <c r="K3546" s="2">
        <v>1</v>
      </c>
      <c r="L3546" s="2">
        <v>616</v>
      </c>
    </row>
    <row r="3547" spans="1:12" x14ac:dyDescent="0.25">
      <c r="A3547" s="4" t="str">
        <f>HYPERLINK("http://www.rosaceae.org/Prunus/Prunus_persica/p.persica_gdr_reftransV1_0046699","p.persica_gdr_reftransV1_0046699")</f>
        <v>p.persica_gdr_reftransV1_0046699</v>
      </c>
      <c r="B3547" s="2">
        <v>890</v>
      </c>
      <c r="C3547" s="4" t="str">
        <f>HYPERLINK("http://www.uniprot.org/uniprot/M5VTT3","M5VTT3")</f>
        <v>M5VTT3</v>
      </c>
      <c r="D3547" s="2" t="s">
        <v>3350</v>
      </c>
      <c r="E3547" s="3">
        <v>0</v>
      </c>
      <c r="F3547" s="2">
        <v>1375</v>
      </c>
      <c r="G3547" s="2">
        <v>92</v>
      </c>
      <c r="H3547" s="2">
        <v>296</v>
      </c>
      <c r="I3547" s="2">
        <v>3</v>
      </c>
      <c r="J3547" s="2">
        <v>890</v>
      </c>
      <c r="K3547" s="2">
        <v>244</v>
      </c>
      <c r="L3547" s="2">
        <v>515</v>
      </c>
    </row>
    <row r="3548" spans="1:12" x14ac:dyDescent="0.25">
      <c r="A3548" s="4" t="str">
        <f>HYPERLINK("http://www.rosaceae.org/Prunus/Prunus_persica/p.persica_gdr_reftransV1_0047049","p.persica_gdr_reftransV1_0047049")</f>
        <v>p.persica_gdr_reftransV1_0047049</v>
      </c>
      <c r="B3548" s="2">
        <v>765</v>
      </c>
      <c r="C3548" s="4" t="str">
        <f>HYPERLINK("http://www.uniprot.org/uniprot/M5VMX8","M5VMX8")</f>
        <v>M5VMX8</v>
      </c>
      <c r="D3548" s="2" t="s">
        <v>3351</v>
      </c>
      <c r="E3548" s="3">
        <v>2.9900000000000002E-155</v>
      </c>
      <c r="F3548" s="2">
        <v>1151</v>
      </c>
      <c r="G3548" s="2">
        <v>99</v>
      </c>
      <c r="H3548" s="2">
        <v>217</v>
      </c>
      <c r="I3548" s="2">
        <v>11</v>
      </c>
      <c r="J3548" s="2">
        <v>661</v>
      </c>
      <c r="K3548" s="2">
        <v>1</v>
      </c>
      <c r="L3548" s="2">
        <v>217</v>
      </c>
    </row>
    <row r="3549" spans="1:12" x14ac:dyDescent="0.25">
      <c r="A3549" s="4" t="str">
        <f>HYPERLINK("http://www.rosaceae.org/Prunus/Prunus_persica/p.persica_gdr_reftransV1_0047399","p.persica_gdr_reftransV1_0047399")</f>
        <v>p.persica_gdr_reftransV1_0047399</v>
      </c>
      <c r="B3549" s="2">
        <v>1559</v>
      </c>
      <c r="C3549" s="4" t="str">
        <f>HYPERLINK("http://www.uniprot.org/uniprot/M5X0S1","M5X0S1")</f>
        <v>M5X0S1</v>
      </c>
      <c r="D3549" s="2" t="s">
        <v>3352</v>
      </c>
      <c r="E3549" s="3">
        <v>0</v>
      </c>
      <c r="F3549" s="2">
        <v>1799</v>
      </c>
      <c r="G3549" s="2">
        <v>97</v>
      </c>
      <c r="H3549" s="2">
        <v>353</v>
      </c>
      <c r="I3549" s="2">
        <v>314</v>
      </c>
      <c r="J3549" s="2">
        <v>1372</v>
      </c>
      <c r="K3549" s="2">
        <v>1</v>
      </c>
      <c r="L3549" s="2">
        <v>345</v>
      </c>
    </row>
    <row r="3550" spans="1:12" x14ac:dyDescent="0.25">
      <c r="A3550" s="4" t="str">
        <f>HYPERLINK("http://www.rosaceae.org/Prunus/Prunus_persica/p.persica_gdr_reftransV1_0047749","p.persica_gdr_reftransV1_0047749")</f>
        <v>p.persica_gdr_reftransV1_0047749</v>
      </c>
      <c r="B3550" s="2">
        <v>1404</v>
      </c>
      <c r="C3550" s="4" t="str">
        <f>HYPERLINK("http://www.uniprot.org/uniprot/M5XD35","M5XD35")</f>
        <v>M5XD35</v>
      </c>
      <c r="D3550" s="2" t="s">
        <v>3353</v>
      </c>
      <c r="E3550" s="3">
        <v>0</v>
      </c>
      <c r="F3550" s="2">
        <v>1383</v>
      </c>
      <c r="G3550" s="2">
        <v>99</v>
      </c>
      <c r="H3550" s="2">
        <v>258</v>
      </c>
      <c r="I3550" s="2">
        <v>281</v>
      </c>
      <c r="J3550" s="2">
        <v>1054</v>
      </c>
      <c r="K3550" s="2">
        <v>1</v>
      </c>
      <c r="L3550" s="2">
        <v>258</v>
      </c>
    </row>
    <row r="3551" spans="1:12" x14ac:dyDescent="0.25">
      <c r="A3551" s="4" t="str">
        <f>HYPERLINK("http://www.rosaceae.org/Prunus/Prunus_persica/p.persica_gdr_reftransV1_0048449","p.persica_gdr_reftransV1_0048449")</f>
        <v>p.persica_gdr_reftransV1_0048449</v>
      </c>
      <c r="B3551" s="2">
        <v>1147</v>
      </c>
      <c r="C3551" s="4" t="str">
        <f>HYPERLINK("http://www.uniprot.org/uniprot/M5VZM0","M5VZM0")</f>
        <v>M5VZM0</v>
      </c>
      <c r="D3551" s="2" t="s">
        <v>3354</v>
      </c>
      <c r="E3551" s="3">
        <v>1.48E-177</v>
      </c>
      <c r="F3551" s="2">
        <v>1302</v>
      </c>
      <c r="G3551" s="2">
        <v>100</v>
      </c>
      <c r="H3551" s="2">
        <v>247</v>
      </c>
      <c r="I3551" s="2">
        <v>53</v>
      </c>
      <c r="J3551" s="2">
        <v>793</v>
      </c>
      <c r="K3551" s="2">
        <v>1</v>
      </c>
      <c r="L3551" s="2">
        <v>247</v>
      </c>
    </row>
    <row r="3552" spans="1:12" x14ac:dyDescent="0.25">
      <c r="A3552" s="4" t="str">
        <f>HYPERLINK("http://www.rosaceae.org/Prunus/Prunus_persica/p.persica_gdr_reftransV1_0048799","p.persica_gdr_reftransV1_0048799")</f>
        <v>p.persica_gdr_reftransV1_0048799</v>
      </c>
      <c r="B3552" s="2">
        <v>2106</v>
      </c>
      <c r="C3552" s="4" t="str">
        <f>HYPERLINK("http://www.uniprot.org/uniprot/M5XRD0","M5XRD0")</f>
        <v>M5XRD0</v>
      </c>
      <c r="D3552" s="2" t="s">
        <v>3355</v>
      </c>
      <c r="E3552" s="3">
        <v>0</v>
      </c>
      <c r="F3552" s="2">
        <v>2984</v>
      </c>
      <c r="G3552" s="2">
        <v>100</v>
      </c>
      <c r="H3552" s="2">
        <v>562</v>
      </c>
      <c r="I3552" s="2">
        <v>393</v>
      </c>
      <c r="J3552" s="2">
        <v>2078</v>
      </c>
      <c r="K3552" s="2">
        <v>1</v>
      </c>
      <c r="L3552" s="2">
        <v>562</v>
      </c>
    </row>
    <row r="3553" spans="1:12" x14ac:dyDescent="0.25">
      <c r="A3553" s="4" t="str">
        <f>HYPERLINK("http://www.rosaceae.org/Prunus/Prunus_persica/p.persica_gdr_reftransV1_0049149","p.persica_gdr_reftransV1_0049149")</f>
        <v>p.persica_gdr_reftransV1_0049149</v>
      </c>
      <c r="B3553" s="2">
        <v>2020</v>
      </c>
      <c r="C3553" s="4" t="str">
        <f>HYPERLINK("http://www.uniprot.org/uniprot/M5XAU9","M5XAU9")</f>
        <v>M5XAU9</v>
      </c>
      <c r="D3553" s="2" t="s">
        <v>3356</v>
      </c>
      <c r="E3553" s="3">
        <v>7.7300000000000001E-152</v>
      </c>
      <c r="F3553" s="2">
        <v>1226</v>
      </c>
      <c r="G3553" s="2">
        <v>66</v>
      </c>
      <c r="H3553" s="2">
        <v>432</v>
      </c>
      <c r="I3553" s="2">
        <v>1</v>
      </c>
      <c r="J3553" s="2">
        <v>1275</v>
      </c>
      <c r="K3553" s="2">
        <v>531</v>
      </c>
      <c r="L3553" s="2">
        <v>953</v>
      </c>
    </row>
    <row r="3554" spans="1:12" x14ac:dyDescent="0.25">
      <c r="A3554" s="4" t="str">
        <f>HYPERLINK("http://www.rosaceae.org/Prunus/Prunus_persica/p.persica_gdr_reftransV1_0000150","p.persica_gdr_reftransV1_0000150")</f>
        <v>p.persica_gdr_reftransV1_0000150</v>
      </c>
      <c r="B3554" s="2">
        <v>421</v>
      </c>
      <c r="C3554" s="4" t="str">
        <f>HYPERLINK("http://www.uniprot.org/uniprot/M5X2T2","M5X2T2")</f>
        <v>M5X2T2</v>
      </c>
      <c r="D3554" s="2" t="s">
        <v>3357</v>
      </c>
      <c r="E3554" s="3">
        <v>1.2199999999999999E-58</v>
      </c>
      <c r="F3554" s="2">
        <v>519</v>
      </c>
      <c r="G3554" s="2">
        <v>91</v>
      </c>
      <c r="H3554" s="2">
        <v>119</v>
      </c>
      <c r="I3554" s="2">
        <v>64</v>
      </c>
      <c r="J3554" s="2">
        <v>420</v>
      </c>
      <c r="K3554" s="2">
        <v>674</v>
      </c>
      <c r="L3554" s="2">
        <v>792</v>
      </c>
    </row>
    <row r="3555" spans="1:12" x14ac:dyDescent="0.25">
      <c r="A3555" s="4" t="str">
        <f>HYPERLINK("http://www.rosaceae.org/Prunus/Prunus_persica/p.persica_gdr_reftransV1_0000500","p.persica_gdr_reftransV1_0000500")</f>
        <v>p.persica_gdr_reftransV1_0000500</v>
      </c>
      <c r="B3555" s="2">
        <v>539</v>
      </c>
      <c r="C3555" s="4" t="str">
        <f>HYPERLINK("http://www.uniprot.org/uniprot/M5WPE9","M5WPE9")</f>
        <v>M5WPE9</v>
      </c>
      <c r="D3555" s="2" t="s">
        <v>3358</v>
      </c>
      <c r="E3555" s="3">
        <v>2.9399999999999997E-45</v>
      </c>
      <c r="F3555" s="2">
        <v>421</v>
      </c>
      <c r="G3555" s="2">
        <v>87</v>
      </c>
      <c r="H3555" s="2">
        <v>93</v>
      </c>
      <c r="I3555" s="2">
        <v>244</v>
      </c>
      <c r="J3555" s="2">
        <v>501</v>
      </c>
      <c r="K3555" s="2">
        <v>19</v>
      </c>
      <c r="L3555" s="2">
        <v>111</v>
      </c>
    </row>
    <row r="3556" spans="1:12" x14ac:dyDescent="0.25">
      <c r="A3556" s="4" t="str">
        <f>HYPERLINK("http://www.rosaceae.org/Prunus/Prunus_persica/p.persica_gdr_reftransV1_0000850","p.persica_gdr_reftransV1_0000850")</f>
        <v>p.persica_gdr_reftransV1_0000850</v>
      </c>
      <c r="B3556" s="2">
        <v>815</v>
      </c>
      <c r="C3556" s="4" t="str">
        <f>HYPERLINK("http://www.uniprot.org/uniprot/M5XF65","M5XF65")</f>
        <v>M5XF65</v>
      </c>
      <c r="D3556" s="2" t="s">
        <v>3359</v>
      </c>
      <c r="E3556" s="3">
        <v>7.0200000000000004E-157</v>
      </c>
      <c r="F3556" s="2">
        <v>1174</v>
      </c>
      <c r="G3556" s="2">
        <v>100</v>
      </c>
      <c r="H3556" s="2">
        <v>219</v>
      </c>
      <c r="I3556" s="2">
        <v>133</v>
      </c>
      <c r="J3556" s="2">
        <v>789</v>
      </c>
      <c r="K3556" s="2">
        <v>14</v>
      </c>
      <c r="L3556" s="2">
        <v>232</v>
      </c>
    </row>
    <row r="3557" spans="1:12" x14ac:dyDescent="0.25">
      <c r="A3557" s="4" t="str">
        <f>HYPERLINK("http://www.rosaceae.org/Prunus/Prunus_persica/p.persica_gdr_reftransV1_0001200","p.persica_gdr_reftransV1_0001200")</f>
        <v>p.persica_gdr_reftransV1_0001200</v>
      </c>
      <c r="B3557" s="2">
        <v>1691</v>
      </c>
      <c r="C3557" s="4" t="str">
        <f>HYPERLINK("http://www.uniprot.org/uniprot/M5XEL0","M5XEL0")</f>
        <v>M5XEL0</v>
      </c>
      <c r="D3557" s="2" t="s">
        <v>3360</v>
      </c>
      <c r="E3557" s="3">
        <v>0</v>
      </c>
      <c r="F3557" s="2">
        <v>1664</v>
      </c>
      <c r="G3557" s="2">
        <v>100</v>
      </c>
      <c r="H3557" s="2">
        <v>306</v>
      </c>
      <c r="I3557" s="2">
        <v>401</v>
      </c>
      <c r="J3557" s="2">
        <v>1318</v>
      </c>
      <c r="K3557" s="2">
        <v>1</v>
      </c>
      <c r="L3557" s="2">
        <v>306</v>
      </c>
    </row>
    <row r="3558" spans="1:12" x14ac:dyDescent="0.25">
      <c r="A3558" s="4" t="str">
        <f>HYPERLINK("http://www.rosaceae.org/Prunus/Prunus_persica/p.persica_gdr_reftransV1_0001550","p.persica_gdr_reftransV1_0001550")</f>
        <v>p.persica_gdr_reftransV1_0001550</v>
      </c>
      <c r="B3558" s="2">
        <v>545</v>
      </c>
      <c r="C3558" s="4" t="str">
        <f>HYPERLINK("http://www.uniprot.org/uniprot/M5WCW3","M5WCW3")</f>
        <v>M5WCW3</v>
      </c>
      <c r="D3558" s="2" t="s">
        <v>3361</v>
      </c>
      <c r="E3558" s="3">
        <v>1.64E-81</v>
      </c>
      <c r="F3558" s="2">
        <v>643</v>
      </c>
      <c r="G3558" s="2">
        <v>100</v>
      </c>
      <c r="H3558" s="2">
        <v>121</v>
      </c>
      <c r="I3558" s="2">
        <v>181</v>
      </c>
      <c r="J3558" s="2">
        <v>543</v>
      </c>
      <c r="K3558" s="2">
        <v>1</v>
      </c>
      <c r="L3558" s="2">
        <v>121</v>
      </c>
    </row>
    <row r="3559" spans="1:12" x14ac:dyDescent="0.25">
      <c r="A3559" s="4" t="str">
        <f>HYPERLINK("http://www.rosaceae.org/Prunus/Prunus_persica/p.persica_gdr_reftransV1_0002600","p.persica_gdr_reftransV1_0002600")</f>
        <v>p.persica_gdr_reftransV1_0002600</v>
      </c>
      <c r="B3559" s="2">
        <v>422</v>
      </c>
      <c r="C3559" s="4" t="str">
        <f>HYPERLINK("http://www.uniprot.org/uniprot/M5XDC4","M5XDC4")</f>
        <v>M5XDC4</v>
      </c>
      <c r="D3559" s="2" t="s">
        <v>3362</v>
      </c>
      <c r="E3559" s="3">
        <v>2.62E-66</v>
      </c>
      <c r="F3559" s="2">
        <v>540</v>
      </c>
      <c r="G3559" s="2">
        <v>100</v>
      </c>
      <c r="H3559" s="2">
        <v>106</v>
      </c>
      <c r="I3559" s="2">
        <v>104</v>
      </c>
      <c r="J3559" s="2">
        <v>421</v>
      </c>
      <c r="K3559" s="2">
        <v>41</v>
      </c>
      <c r="L3559" s="2">
        <v>146</v>
      </c>
    </row>
    <row r="3560" spans="1:12" x14ac:dyDescent="0.25">
      <c r="A3560" s="4" t="str">
        <f>HYPERLINK("http://www.rosaceae.org/Prunus/Prunus_persica/p.persica_gdr_reftransV1_0002950","p.persica_gdr_reftransV1_0002950")</f>
        <v>p.persica_gdr_reftransV1_0002950</v>
      </c>
      <c r="B3560" s="2">
        <v>3538</v>
      </c>
      <c r="C3560" s="4" t="str">
        <f>HYPERLINK("http://www.uniprot.org/uniprot/M5W874","M5W874")</f>
        <v>M5W874</v>
      </c>
      <c r="D3560" s="2" t="s">
        <v>3363</v>
      </c>
      <c r="E3560" s="3">
        <v>0</v>
      </c>
      <c r="F3560" s="2">
        <v>1653</v>
      </c>
      <c r="G3560" s="2">
        <v>100</v>
      </c>
      <c r="H3560" s="2">
        <v>308</v>
      </c>
      <c r="I3560" s="2">
        <v>450</v>
      </c>
      <c r="J3560" s="2">
        <v>1373</v>
      </c>
      <c r="K3560" s="2">
        <v>1</v>
      </c>
      <c r="L3560" s="2">
        <v>308</v>
      </c>
    </row>
    <row r="3561" spans="1:12" x14ac:dyDescent="0.25">
      <c r="A3561" s="4" t="str">
        <f>HYPERLINK("http://www.rosaceae.org/Prunus/Prunus_persica/p.persica_gdr_reftransV1_0003300","p.persica_gdr_reftransV1_0003300")</f>
        <v>p.persica_gdr_reftransV1_0003300</v>
      </c>
      <c r="B3561" s="2">
        <v>1109</v>
      </c>
      <c r="C3561" s="4" t="str">
        <f>HYPERLINK("http://www.uniprot.org/uniprot/M5W043","M5W043")</f>
        <v>M5W043</v>
      </c>
      <c r="D3561" s="2" t="s">
        <v>3364</v>
      </c>
      <c r="E3561" s="3">
        <v>3.3199999999999999E-109</v>
      </c>
      <c r="F3561" s="2">
        <v>846</v>
      </c>
      <c r="G3561" s="2">
        <v>100</v>
      </c>
      <c r="H3561" s="2">
        <v>191</v>
      </c>
      <c r="I3561" s="2">
        <v>182</v>
      </c>
      <c r="J3561" s="2">
        <v>754</v>
      </c>
      <c r="K3561" s="2">
        <v>1</v>
      </c>
      <c r="L3561" s="2">
        <v>191</v>
      </c>
    </row>
    <row r="3562" spans="1:12" x14ac:dyDescent="0.25">
      <c r="A3562" s="4" t="str">
        <f>HYPERLINK("http://www.rosaceae.org/Prunus/Prunus_persica/p.persica_gdr_reftransV1_0003650","p.persica_gdr_reftransV1_0003650")</f>
        <v>p.persica_gdr_reftransV1_0003650</v>
      </c>
      <c r="B3562" s="2">
        <v>1121</v>
      </c>
      <c r="C3562" s="4" t="str">
        <f>HYPERLINK("http://www.uniprot.org/uniprot/M5X2H9","M5X2H9")</f>
        <v>M5X2H9</v>
      </c>
      <c r="D3562" s="2" t="s">
        <v>3365</v>
      </c>
      <c r="E3562" s="3">
        <v>9.4899999999999995E-128</v>
      </c>
      <c r="F3562" s="2">
        <v>1021</v>
      </c>
      <c r="G3562" s="2">
        <v>98</v>
      </c>
      <c r="H3562" s="2">
        <v>215</v>
      </c>
      <c r="I3562" s="2">
        <v>282</v>
      </c>
      <c r="J3562" s="2">
        <v>926</v>
      </c>
      <c r="K3562" s="2">
        <v>587</v>
      </c>
      <c r="L3562" s="2">
        <v>801</v>
      </c>
    </row>
    <row r="3563" spans="1:12" x14ac:dyDescent="0.25">
      <c r="A3563" s="4" t="str">
        <f>HYPERLINK("http://www.rosaceae.org/Prunus/Prunus_persica/p.persica_gdr_reftransV1_0004350","p.persica_gdr_reftransV1_0004350")</f>
        <v>p.persica_gdr_reftransV1_0004350</v>
      </c>
      <c r="B3563" s="2">
        <v>676</v>
      </c>
      <c r="C3563" s="4" t="str">
        <f>HYPERLINK("http://www.uniprot.org/uniprot/M5WDX0","M5WDX0")</f>
        <v>M5WDX0</v>
      </c>
      <c r="D3563" s="2" t="s">
        <v>3366</v>
      </c>
      <c r="E3563" s="3">
        <v>1.1699999999999999E-113</v>
      </c>
      <c r="F3563" s="2">
        <v>861</v>
      </c>
      <c r="G3563" s="2">
        <v>100</v>
      </c>
      <c r="H3563" s="2">
        <v>181</v>
      </c>
      <c r="I3563" s="2">
        <v>86</v>
      </c>
      <c r="J3563" s="2">
        <v>628</v>
      </c>
      <c r="K3563" s="2">
        <v>1</v>
      </c>
      <c r="L3563" s="2">
        <v>181</v>
      </c>
    </row>
    <row r="3564" spans="1:12" x14ac:dyDescent="0.25">
      <c r="A3564" s="4" t="str">
        <f>HYPERLINK("http://www.rosaceae.org/Prunus/Prunus_persica/p.persica_gdr_reftransV1_0005050","p.persica_gdr_reftransV1_0005050")</f>
        <v>p.persica_gdr_reftransV1_0005050</v>
      </c>
      <c r="B3564" s="2">
        <v>1602</v>
      </c>
      <c r="C3564" s="4" t="str">
        <f>HYPERLINK("http://www.uniprot.org/uniprot/M5WZ31","M5WZ31")</f>
        <v>M5WZ31</v>
      </c>
      <c r="D3564" s="2" t="s">
        <v>3367</v>
      </c>
      <c r="E3564" s="3">
        <v>0</v>
      </c>
      <c r="F3564" s="2">
        <v>1102</v>
      </c>
      <c r="G3564" s="2">
        <v>100</v>
      </c>
      <c r="H3564" s="2">
        <v>206</v>
      </c>
      <c r="I3564" s="2">
        <v>216</v>
      </c>
      <c r="J3564" s="2">
        <v>833</v>
      </c>
      <c r="K3564" s="2">
        <v>178</v>
      </c>
      <c r="L3564" s="2">
        <v>383</v>
      </c>
    </row>
    <row r="3565" spans="1:12" x14ac:dyDescent="0.25">
      <c r="A3565" s="4" t="str">
        <f>HYPERLINK("http://www.rosaceae.org/Prunus/Prunus_persica/p.persica_gdr_reftransV1_0006100","p.persica_gdr_reftransV1_0006100")</f>
        <v>p.persica_gdr_reftransV1_0006100</v>
      </c>
      <c r="B3565" s="2">
        <v>670</v>
      </c>
      <c r="C3565" s="4" t="str">
        <f>HYPERLINK("http://www.uniprot.org/uniprot/M5W6J5","M5W6J5")</f>
        <v>M5W6J5</v>
      </c>
      <c r="D3565" s="2" t="s">
        <v>3368</v>
      </c>
      <c r="E3565" s="3">
        <v>3.3800000000000002E-159</v>
      </c>
      <c r="F3565" s="2">
        <v>1210</v>
      </c>
      <c r="G3565" s="2">
        <v>100</v>
      </c>
      <c r="H3565" s="2">
        <v>223</v>
      </c>
      <c r="I3565" s="2">
        <v>1</v>
      </c>
      <c r="J3565" s="2">
        <v>669</v>
      </c>
      <c r="K3565" s="2">
        <v>283</v>
      </c>
      <c r="L3565" s="2">
        <v>505</v>
      </c>
    </row>
    <row r="3566" spans="1:12" x14ac:dyDescent="0.25">
      <c r="A3566" s="4" t="str">
        <f>HYPERLINK("http://www.rosaceae.org/Prunus/Prunus_persica/p.persica_gdr_reftransV1_0006450","p.persica_gdr_reftransV1_0006450")</f>
        <v>p.persica_gdr_reftransV1_0006450</v>
      </c>
      <c r="B3566" s="2">
        <v>924</v>
      </c>
      <c r="C3566" s="4" t="str">
        <f>HYPERLINK("http://www.uniprot.org/uniprot/M5W1E7","M5W1E7")</f>
        <v>M5W1E7</v>
      </c>
      <c r="D3566" s="2" t="s">
        <v>3369</v>
      </c>
      <c r="E3566" s="3">
        <v>5.1700000000000001E-42</v>
      </c>
      <c r="F3566" s="2">
        <v>382</v>
      </c>
      <c r="G3566" s="2">
        <v>99</v>
      </c>
      <c r="H3566" s="2">
        <v>93</v>
      </c>
      <c r="I3566" s="2">
        <v>213</v>
      </c>
      <c r="J3566" s="2">
        <v>491</v>
      </c>
      <c r="K3566" s="2">
        <v>1</v>
      </c>
      <c r="L3566" s="2">
        <v>93</v>
      </c>
    </row>
    <row r="3567" spans="1:12" x14ac:dyDescent="0.25">
      <c r="A3567" s="4" t="str">
        <f>HYPERLINK("http://www.rosaceae.org/Prunus/Prunus_persica/p.persica_gdr_reftransV1_0006800","p.persica_gdr_reftransV1_0006800")</f>
        <v>p.persica_gdr_reftransV1_0006800</v>
      </c>
      <c r="B3567" s="2">
        <v>1012</v>
      </c>
      <c r="C3567" s="4" t="str">
        <f>HYPERLINK("http://www.uniprot.org/uniprot/M5XIH3","M5XIH3")</f>
        <v>M5XIH3</v>
      </c>
      <c r="D3567" s="2" t="s">
        <v>3370</v>
      </c>
      <c r="E3567" s="3">
        <v>9.7100000000000002E-108</v>
      </c>
      <c r="F3567" s="2">
        <v>856</v>
      </c>
      <c r="G3567" s="2">
        <v>87</v>
      </c>
      <c r="H3567" s="2">
        <v>260</v>
      </c>
      <c r="I3567" s="2">
        <v>1</v>
      </c>
      <c r="J3567" s="2">
        <v>780</v>
      </c>
      <c r="K3567" s="2">
        <v>232</v>
      </c>
      <c r="L3567" s="2">
        <v>456</v>
      </c>
    </row>
    <row r="3568" spans="1:12" x14ac:dyDescent="0.25">
      <c r="A3568" s="4" t="str">
        <f>HYPERLINK("http://www.rosaceae.org/Prunus/Prunus_persica/p.persica_gdr_reftransV1_0007150","p.persica_gdr_reftransV1_0007150")</f>
        <v>p.persica_gdr_reftransV1_0007150</v>
      </c>
      <c r="B3568" s="2">
        <v>958</v>
      </c>
      <c r="C3568" s="4" t="str">
        <f>HYPERLINK("http://www.uniprot.org/uniprot/M5VLL6","M5VLL6")</f>
        <v>M5VLL6</v>
      </c>
      <c r="D3568" s="2" t="s">
        <v>3371</v>
      </c>
      <c r="E3568" s="3">
        <v>2.6799999999999999E-82</v>
      </c>
      <c r="F3568" s="2">
        <v>656</v>
      </c>
      <c r="G3568" s="2">
        <v>100</v>
      </c>
      <c r="H3568" s="2">
        <v>143</v>
      </c>
      <c r="I3568" s="2">
        <v>372</v>
      </c>
      <c r="J3568" s="2">
        <v>800</v>
      </c>
      <c r="K3568" s="2">
        <v>1</v>
      </c>
      <c r="L3568" s="2">
        <v>143</v>
      </c>
    </row>
    <row r="3569" spans="1:12" x14ac:dyDescent="0.25">
      <c r="A3569" s="4" t="str">
        <f>HYPERLINK("http://www.rosaceae.org/Prunus/Prunus_persica/p.persica_gdr_reftransV1_0007500","p.persica_gdr_reftransV1_0007500")</f>
        <v>p.persica_gdr_reftransV1_0007500</v>
      </c>
      <c r="B3569" s="2">
        <v>1662</v>
      </c>
      <c r="C3569" s="4" t="str">
        <f>HYPERLINK("http://www.uniprot.org/uniprot/M5VKK1","M5VKK1")</f>
        <v>M5VKK1</v>
      </c>
      <c r="D3569" s="2" t="s">
        <v>3372</v>
      </c>
      <c r="E3569" s="3">
        <v>0</v>
      </c>
      <c r="F3569" s="2">
        <v>1647</v>
      </c>
      <c r="G3569" s="2">
        <v>100</v>
      </c>
      <c r="H3569" s="2">
        <v>308</v>
      </c>
      <c r="I3569" s="2">
        <v>534</v>
      </c>
      <c r="J3569" s="2">
        <v>1457</v>
      </c>
      <c r="K3569" s="2">
        <v>1</v>
      </c>
      <c r="L3569" s="2">
        <v>308</v>
      </c>
    </row>
    <row r="3570" spans="1:12" x14ac:dyDescent="0.25">
      <c r="A3570" s="4" t="str">
        <f>HYPERLINK("http://www.rosaceae.org/Prunus/Prunus_persica/p.persica_gdr_reftransV1_0007850","p.persica_gdr_reftransV1_0007850")</f>
        <v>p.persica_gdr_reftransV1_0007850</v>
      </c>
      <c r="B3570" s="2">
        <v>465</v>
      </c>
      <c r="C3570" s="4" t="str">
        <f>HYPERLINK("http://www.uniprot.org/uniprot/M5VW72","M5VW72")</f>
        <v>M5VW72</v>
      </c>
      <c r="D3570" s="2" t="s">
        <v>3373</v>
      </c>
      <c r="E3570" s="3">
        <v>2.4500000000000001E-81</v>
      </c>
      <c r="F3570" s="2">
        <v>664</v>
      </c>
      <c r="G3570" s="2">
        <v>99</v>
      </c>
      <c r="H3570" s="2">
        <v>123</v>
      </c>
      <c r="I3570" s="2">
        <v>97</v>
      </c>
      <c r="J3570" s="2">
        <v>465</v>
      </c>
      <c r="K3570" s="2">
        <v>1</v>
      </c>
      <c r="L3570" s="2">
        <v>123</v>
      </c>
    </row>
    <row r="3571" spans="1:12" x14ac:dyDescent="0.25">
      <c r="A3571" s="4" t="str">
        <f>HYPERLINK("http://www.rosaceae.org/Prunus/Prunus_persica/p.persica_gdr_reftransV1_0008200","p.persica_gdr_reftransV1_0008200")</f>
        <v>p.persica_gdr_reftransV1_0008200</v>
      </c>
      <c r="B3571" s="2">
        <v>784</v>
      </c>
      <c r="C3571" s="4" t="str">
        <f>HYPERLINK("http://www.uniprot.org/uniprot/M5WXY3","M5WXY3")</f>
        <v>M5WXY3</v>
      </c>
      <c r="D3571" s="2" t="s">
        <v>3374</v>
      </c>
      <c r="E3571" s="3">
        <v>3.3899999999999998E-70</v>
      </c>
      <c r="F3571" s="2">
        <v>587</v>
      </c>
      <c r="G3571" s="2">
        <v>100</v>
      </c>
      <c r="H3571" s="2">
        <v>112</v>
      </c>
      <c r="I3571" s="2">
        <v>447</v>
      </c>
      <c r="J3571" s="2">
        <v>782</v>
      </c>
      <c r="K3571" s="2">
        <v>1</v>
      </c>
      <c r="L3571" s="2">
        <v>112</v>
      </c>
    </row>
    <row r="3572" spans="1:12" x14ac:dyDescent="0.25">
      <c r="A3572" s="4" t="str">
        <f>HYPERLINK("http://www.rosaceae.org/Prunus/Prunus_persica/p.persica_gdr_reftransV1_0008550","p.persica_gdr_reftransV1_0008550")</f>
        <v>p.persica_gdr_reftransV1_0008550</v>
      </c>
      <c r="B3572" s="2">
        <v>2882</v>
      </c>
      <c r="C3572" s="4" t="str">
        <f>HYPERLINK("http://www.uniprot.org/uniprot/M5WJ83","M5WJ83")</f>
        <v>M5WJ83</v>
      </c>
      <c r="D3572" s="2" t="s">
        <v>3375</v>
      </c>
      <c r="E3572" s="3">
        <v>1.6999999999999999E-167</v>
      </c>
      <c r="F3572" s="2">
        <v>1294</v>
      </c>
      <c r="G3572" s="2">
        <v>99</v>
      </c>
      <c r="H3572" s="2">
        <v>288</v>
      </c>
      <c r="I3572" s="2">
        <v>123</v>
      </c>
      <c r="J3572" s="2">
        <v>986</v>
      </c>
      <c r="K3572" s="2">
        <v>1</v>
      </c>
      <c r="L3572" s="2">
        <v>288</v>
      </c>
    </row>
    <row r="3573" spans="1:12" x14ac:dyDescent="0.25">
      <c r="A3573" s="4" t="str">
        <f>HYPERLINK("http://www.rosaceae.org/Prunus/Prunus_persica/p.persica_gdr_reftransV1_0008900","p.persica_gdr_reftransV1_0008900")</f>
        <v>p.persica_gdr_reftransV1_0008900</v>
      </c>
      <c r="B3573" s="2">
        <v>4371</v>
      </c>
      <c r="C3573" s="4" t="str">
        <f>HYPERLINK("http://www.uniprot.org/uniprot/M5VIG6","M5VIG6")</f>
        <v>M5VIG6</v>
      </c>
      <c r="D3573" s="2" t="s">
        <v>3376</v>
      </c>
      <c r="E3573" s="3">
        <v>0</v>
      </c>
      <c r="F3573" s="2">
        <v>2127</v>
      </c>
      <c r="G3573" s="2">
        <v>90</v>
      </c>
      <c r="H3573" s="2">
        <v>477</v>
      </c>
      <c r="I3573" s="2">
        <v>401</v>
      </c>
      <c r="J3573" s="2">
        <v>1831</v>
      </c>
      <c r="K3573" s="2">
        <v>1</v>
      </c>
      <c r="L3573" s="2">
        <v>428</v>
      </c>
    </row>
    <row r="3574" spans="1:12" x14ac:dyDescent="0.25">
      <c r="A3574" s="4" t="str">
        <f>HYPERLINK("http://www.rosaceae.org/Prunus/Prunus_persica/p.persica_gdr_reftransV1_0009600","p.persica_gdr_reftransV1_0009600")</f>
        <v>p.persica_gdr_reftransV1_0009600</v>
      </c>
      <c r="B3574" s="2">
        <v>1386</v>
      </c>
      <c r="C3574" s="4" t="str">
        <f>HYPERLINK("http://www.uniprot.org/uniprot/M5XSX3","M5XSX3")</f>
        <v>M5XSX3</v>
      </c>
      <c r="D3574" s="2" t="s">
        <v>3377</v>
      </c>
      <c r="E3574" s="3">
        <v>1.6200000000000001E-51</v>
      </c>
      <c r="F3574" s="2">
        <v>459</v>
      </c>
      <c r="G3574" s="2">
        <v>100</v>
      </c>
      <c r="H3574" s="2">
        <v>104</v>
      </c>
      <c r="I3574" s="2">
        <v>98</v>
      </c>
      <c r="J3574" s="2">
        <v>409</v>
      </c>
      <c r="K3574" s="2">
        <v>1</v>
      </c>
      <c r="L3574" s="2">
        <v>104</v>
      </c>
    </row>
    <row r="3575" spans="1:12" x14ac:dyDescent="0.25">
      <c r="A3575" s="4" t="str">
        <f>HYPERLINK("http://www.rosaceae.org/Prunus/Prunus_persica/p.persica_gdr_reftransV1_0010300","p.persica_gdr_reftransV1_0010300")</f>
        <v>p.persica_gdr_reftransV1_0010300</v>
      </c>
      <c r="B3575" s="2">
        <v>1042</v>
      </c>
      <c r="C3575" s="4" t="str">
        <f>HYPERLINK("http://www.uniprot.org/uniprot/M5W4D1","M5W4D1")</f>
        <v>M5W4D1</v>
      </c>
      <c r="D3575" s="2" t="s">
        <v>2992</v>
      </c>
      <c r="E3575" s="3">
        <v>7.56E-56</v>
      </c>
      <c r="F3575" s="2">
        <v>516</v>
      </c>
      <c r="G3575" s="2">
        <v>100</v>
      </c>
      <c r="H3575" s="2">
        <v>117</v>
      </c>
      <c r="I3575" s="2">
        <v>691</v>
      </c>
      <c r="J3575" s="2">
        <v>1041</v>
      </c>
      <c r="K3575" s="2">
        <v>1</v>
      </c>
      <c r="L3575" s="2">
        <v>117</v>
      </c>
    </row>
    <row r="3576" spans="1:12" x14ac:dyDescent="0.25">
      <c r="A3576" s="4" t="str">
        <f>HYPERLINK("http://www.rosaceae.org/Prunus/Prunus_persica/p.persica_gdr_reftransV1_0010650","p.persica_gdr_reftransV1_0010650")</f>
        <v>p.persica_gdr_reftransV1_0010650</v>
      </c>
      <c r="B3576" s="2">
        <v>3214</v>
      </c>
      <c r="C3576" s="4" t="str">
        <f>HYPERLINK("http://www.uniprot.org/uniprot/M5X6W8","M5X6W8")</f>
        <v>M5X6W8</v>
      </c>
      <c r="D3576" s="2" t="s">
        <v>3378</v>
      </c>
      <c r="E3576" s="3">
        <v>0</v>
      </c>
      <c r="F3576" s="2">
        <v>4222</v>
      </c>
      <c r="G3576" s="2">
        <v>100</v>
      </c>
      <c r="H3576" s="2">
        <v>847</v>
      </c>
      <c r="I3576" s="2">
        <v>373</v>
      </c>
      <c r="J3576" s="2">
        <v>2907</v>
      </c>
      <c r="K3576" s="2">
        <v>1</v>
      </c>
      <c r="L3576" s="2">
        <v>847</v>
      </c>
    </row>
    <row r="3577" spans="1:12" x14ac:dyDescent="0.25">
      <c r="A3577" s="4" t="str">
        <f>HYPERLINK("http://www.rosaceae.org/Prunus/Prunus_persica/p.persica_gdr_reftransV1_0011000","p.persica_gdr_reftransV1_0011000")</f>
        <v>p.persica_gdr_reftransV1_0011000</v>
      </c>
      <c r="B3577" s="2">
        <v>1675</v>
      </c>
      <c r="C3577" s="4" t="str">
        <f>HYPERLINK("http://www.uniprot.org/uniprot/M5WUE0","M5WUE0")</f>
        <v>M5WUE0</v>
      </c>
      <c r="D3577" s="2" t="s">
        <v>3379</v>
      </c>
      <c r="E3577" s="3">
        <v>0</v>
      </c>
      <c r="F3577" s="2">
        <v>1532</v>
      </c>
      <c r="G3577" s="2">
        <v>100</v>
      </c>
      <c r="H3577" s="2">
        <v>335</v>
      </c>
      <c r="I3577" s="2">
        <v>420</v>
      </c>
      <c r="J3577" s="2">
        <v>1424</v>
      </c>
      <c r="K3577" s="2">
        <v>1</v>
      </c>
      <c r="L3577" s="2">
        <v>335</v>
      </c>
    </row>
    <row r="3578" spans="1:12" x14ac:dyDescent="0.25">
      <c r="A3578" s="4" t="str">
        <f>HYPERLINK("http://www.rosaceae.org/Prunus/Prunus_persica/p.persica_gdr_reftransV1_0012050","p.persica_gdr_reftransV1_0012050")</f>
        <v>p.persica_gdr_reftransV1_0012050</v>
      </c>
      <c r="B3578" s="2">
        <v>820</v>
      </c>
      <c r="C3578" s="4" t="str">
        <f>HYPERLINK("http://www.uniprot.org/uniprot/M5Y5Q1","M5Y5Q1")</f>
        <v>M5Y5Q1</v>
      </c>
      <c r="D3578" s="2" t="s">
        <v>3380</v>
      </c>
      <c r="E3578" s="3">
        <v>9.1600000000000001E-96</v>
      </c>
      <c r="F3578" s="2">
        <v>741</v>
      </c>
      <c r="G3578" s="2">
        <v>100</v>
      </c>
      <c r="H3578" s="2">
        <v>140</v>
      </c>
      <c r="I3578" s="2">
        <v>349</v>
      </c>
      <c r="J3578" s="2">
        <v>768</v>
      </c>
      <c r="K3578" s="2">
        <v>1</v>
      </c>
      <c r="L3578" s="2">
        <v>140</v>
      </c>
    </row>
    <row r="3579" spans="1:12" x14ac:dyDescent="0.25">
      <c r="A3579" s="4" t="str">
        <f>HYPERLINK("http://www.rosaceae.org/Prunus/Prunus_persica/p.persica_gdr_reftransV1_0012400","p.persica_gdr_reftransV1_0012400")</f>
        <v>p.persica_gdr_reftransV1_0012400</v>
      </c>
      <c r="B3579" s="2">
        <v>1907</v>
      </c>
      <c r="C3579" s="4" t="str">
        <f>HYPERLINK("http://www.uniprot.org/uniprot/M5Y4T9","M5Y4T9")</f>
        <v>M5Y4T9</v>
      </c>
      <c r="D3579" s="2" t="s">
        <v>1705</v>
      </c>
      <c r="E3579" s="3">
        <v>0</v>
      </c>
      <c r="F3579" s="2">
        <v>2554</v>
      </c>
      <c r="G3579" s="2">
        <v>100</v>
      </c>
      <c r="H3579" s="2">
        <v>498</v>
      </c>
      <c r="I3579" s="2">
        <v>2</v>
      </c>
      <c r="J3579" s="2">
        <v>1495</v>
      </c>
      <c r="K3579" s="2">
        <v>1673</v>
      </c>
      <c r="L3579" s="2">
        <v>2170</v>
      </c>
    </row>
    <row r="3580" spans="1:12" x14ac:dyDescent="0.25">
      <c r="A3580" s="4" t="str">
        <f>HYPERLINK("http://www.rosaceae.org/Prunus/Prunus_persica/p.persica_gdr_reftransV1_0012750","p.persica_gdr_reftransV1_0012750")</f>
        <v>p.persica_gdr_reftransV1_0012750</v>
      </c>
      <c r="B3580" s="2">
        <v>2602</v>
      </c>
      <c r="C3580" s="4" t="str">
        <f>HYPERLINK("http://www.uniprot.org/uniprot/M5XQK3","M5XQK3")</f>
        <v>M5XQK3</v>
      </c>
      <c r="D3580" s="2" t="s">
        <v>3381</v>
      </c>
      <c r="E3580" s="3">
        <v>0</v>
      </c>
      <c r="F3580" s="2">
        <v>3654</v>
      </c>
      <c r="G3580" s="2">
        <v>100</v>
      </c>
      <c r="H3580" s="2">
        <v>708</v>
      </c>
      <c r="I3580" s="2">
        <v>385</v>
      </c>
      <c r="J3580" s="2">
        <v>2505</v>
      </c>
      <c r="K3580" s="2">
        <v>1</v>
      </c>
      <c r="L3580" s="2">
        <v>708</v>
      </c>
    </row>
    <row r="3581" spans="1:12" x14ac:dyDescent="0.25">
      <c r="A3581" s="4" t="str">
        <f>HYPERLINK("http://www.rosaceae.org/Prunus/Prunus_persica/p.persica_gdr_reftransV1_0013100","p.persica_gdr_reftransV1_0013100")</f>
        <v>p.persica_gdr_reftransV1_0013100</v>
      </c>
      <c r="B3581" s="2">
        <v>5038</v>
      </c>
      <c r="C3581" s="4" t="str">
        <f>HYPERLINK("http://www.uniprot.org/uniprot/M5WR73","M5WR73")</f>
        <v>M5WR73</v>
      </c>
      <c r="D3581" s="2" t="s">
        <v>3382</v>
      </c>
      <c r="E3581" s="3">
        <v>0</v>
      </c>
      <c r="F3581" s="2">
        <v>3635</v>
      </c>
      <c r="G3581" s="2">
        <v>100</v>
      </c>
      <c r="H3581" s="2">
        <v>723</v>
      </c>
      <c r="I3581" s="2">
        <v>2</v>
      </c>
      <c r="J3581" s="2">
        <v>2170</v>
      </c>
      <c r="K3581" s="2">
        <v>12</v>
      </c>
      <c r="L3581" s="2">
        <v>734</v>
      </c>
    </row>
    <row r="3582" spans="1:12" x14ac:dyDescent="0.25">
      <c r="A3582" s="4" t="str">
        <f>HYPERLINK("http://www.rosaceae.org/Prunus/Prunus_persica/p.persica_gdr_reftransV1_0013450","p.persica_gdr_reftransV1_0013450")</f>
        <v>p.persica_gdr_reftransV1_0013450</v>
      </c>
      <c r="B3582" s="2">
        <v>1626</v>
      </c>
      <c r="C3582" s="4" t="str">
        <f>HYPERLINK("http://www.uniprot.org/uniprot/M5VSU7","M5VSU7")</f>
        <v>M5VSU7</v>
      </c>
      <c r="D3582" s="2" t="s">
        <v>3105</v>
      </c>
      <c r="E3582" s="3">
        <v>0</v>
      </c>
      <c r="F3582" s="2">
        <v>1883</v>
      </c>
      <c r="G3582" s="2">
        <v>100</v>
      </c>
      <c r="H3582" s="2">
        <v>366</v>
      </c>
      <c r="I3582" s="2">
        <v>1</v>
      </c>
      <c r="J3582" s="2">
        <v>1098</v>
      </c>
      <c r="K3582" s="2">
        <v>456</v>
      </c>
      <c r="L3582" s="2">
        <v>821</v>
      </c>
    </row>
    <row r="3583" spans="1:12" x14ac:dyDescent="0.25">
      <c r="A3583" s="4" t="str">
        <f>HYPERLINK("http://www.rosaceae.org/Prunus/Prunus_persica/p.persica_gdr_reftransV1_0014500","p.persica_gdr_reftransV1_0014500")</f>
        <v>p.persica_gdr_reftransV1_0014500</v>
      </c>
      <c r="B3583" s="2">
        <v>974</v>
      </c>
      <c r="C3583" s="4" t="str">
        <f>HYPERLINK("http://www.uniprot.org/uniprot/M5XQK6","M5XQK6")</f>
        <v>M5XQK6</v>
      </c>
      <c r="D3583" s="2" t="s">
        <v>2302</v>
      </c>
      <c r="E3583" s="3">
        <v>1.02E-121</v>
      </c>
      <c r="F3583" s="2">
        <v>936</v>
      </c>
      <c r="G3583" s="2">
        <v>100</v>
      </c>
      <c r="H3583" s="2">
        <v>212</v>
      </c>
      <c r="I3583" s="2">
        <v>2</v>
      </c>
      <c r="J3583" s="2">
        <v>637</v>
      </c>
      <c r="K3583" s="2">
        <v>118</v>
      </c>
      <c r="L3583" s="2">
        <v>329</v>
      </c>
    </row>
    <row r="3584" spans="1:12" x14ac:dyDescent="0.25">
      <c r="A3584" s="4" t="str">
        <f>HYPERLINK("http://www.rosaceae.org/Prunus/Prunus_persica/p.persica_gdr_reftransV1_0016250","p.persica_gdr_reftransV1_0016250")</f>
        <v>p.persica_gdr_reftransV1_0016250</v>
      </c>
      <c r="B3584" s="2">
        <v>3413</v>
      </c>
      <c r="C3584" s="4" t="str">
        <f>HYPERLINK("http://www.uniprot.org/uniprot/M5XR33","M5XR33")</f>
        <v>M5XR33</v>
      </c>
      <c r="D3584" s="2" t="s">
        <v>3383</v>
      </c>
      <c r="E3584" s="3">
        <v>0</v>
      </c>
      <c r="F3584" s="2">
        <v>5117</v>
      </c>
      <c r="G3584" s="2">
        <v>100</v>
      </c>
      <c r="H3584" s="2">
        <v>965</v>
      </c>
      <c r="I3584" s="2">
        <v>423</v>
      </c>
      <c r="J3584" s="2">
        <v>3317</v>
      </c>
      <c r="K3584" s="2">
        <v>1</v>
      </c>
      <c r="L3584" s="2">
        <v>965</v>
      </c>
    </row>
    <row r="3585" spans="1:12" x14ac:dyDescent="0.25">
      <c r="A3585" s="4" t="str">
        <f>HYPERLINK("http://www.rosaceae.org/Prunus/Prunus_persica/p.persica_gdr_reftransV1_0016950","p.persica_gdr_reftransV1_0016950")</f>
        <v>p.persica_gdr_reftransV1_0016950</v>
      </c>
      <c r="B3585" s="2">
        <v>1703</v>
      </c>
      <c r="C3585" s="4" t="str">
        <f>HYPERLINK("http://www.uniprot.org/uniprot/M5XGS5","M5XGS5")</f>
        <v>M5XGS5</v>
      </c>
      <c r="D3585" s="2" t="s">
        <v>3384</v>
      </c>
      <c r="E3585" s="3">
        <v>2.0200000000000002E-158</v>
      </c>
      <c r="F3585" s="2">
        <v>1203</v>
      </c>
      <c r="G3585" s="2">
        <v>100</v>
      </c>
      <c r="H3585" s="2">
        <v>311</v>
      </c>
      <c r="I3585" s="2">
        <v>391</v>
      </c>
      <c r="J3585" s="2">
        <v>1323</v>
      </c>
      <c r="K3585" s="2">
        <v>1</v>
      </c>
      <c r="L3585" s="2">
        <v>311</v>
      </c>
    </row>
    <row r="3586" spans="1:12" x14ac:dyDescent="0.25">
      <c r="A3586" s="4" t="str">
        <f>HYPERLINK("http://www.rosaceae.org/Prunus/Prunus_persica/p.persica_gdr_reftransV1_0019050","p.persica_gdr_reftransV1_0019050")</f>
        <v>p.persica_gdr_reftransV1_0019050</v>
      </c>
      <c r="B3586" s="2">
        <v>3544</v>
      </c>
      <c r="C3586" s="4" t="str">
        <f>HYPERLINK("http://www.uniprot.org/uniprot/M5WXZ7","M5WXZ7")</f>
        <v>M5WXZ7</v>
      </c>
      <c r="D3586" s="2" t="s">
        <v>3385</v>
      </c>
      <c r="E3586" s="3">
        <v>0</v>
      </c>
      <c r="F3586" s="2">
        <v>4700</v>
      </c>
      <c r="G3586" s="2">
        <v>100</v>
      </c>
      <c r="H3586" s="2">
        <v>919</v>
      </c>
      <c r="I3586" s="2">
        <v>410</v>
      </c>
      <c r="J3586" s="2">
        <v>3166</v>
      </c>
      <c r="K3586" s="2">
        <v>1</v>
      </c>
      <c r="L3586" s="2">
        <v>919</v>
      </c>
    </row>
    <row r="3587" spans="1:12" x14ac:dyDescent="0.25">
      <c r="A3587" s="4" t="str">
        <f>HYPERLINK("http://www.rosaceae.org/Prunus/Prunus_persica/p.persica_gdr_reftransV1_0019750","p.persica_gdr_reftransV1_0019750")</f>
        <v>p.persica_gdr_reftransV1_0019750</v>
      </c>
      <c r="B3587" s="2">
        <v>1693</v>
      </c>
      <c r="C3587" s="4" t="str">
        <f>HYPERLINK("http://www.uniprot.org/uniprot/M5WN04","M5WN04")</f>
        <v>M5WN04</v>
      </c>
      <c r="D3587" s="2" t="s">
        <v>3386</v>
      </c>
      <c r="E3587" s="3">
        <v>0</v>
      </c>
      <c r="F3587" s="2">
        <v>1345</v>
      </c>
      <c r="G3587" s="2">
        <v>92</v>
      </c>
      <c r="H3587" s="2">
        <v>296</v>
      </c>
      <c r="I3587" s="2">
        <v>252</v>
      </c>
      <c r="J3587" s="2">
        <v>1139</v>
      </c>
      <c r="K3587" s="2">
        <v>1</v>
      </c>
      <c r="L3587" s="2">
        <v>272</v>
      </c>
    </row>
    <row r="3588" spans="1:12" x14ac:dyDescent="0.25">
      <c r="A3588" s="4" t="str">
        <f>HYPERLINK("http://www.rosaceae.org/Prunus/Prunus_persica/p.persica_gdr_reftransV1_0021500","p.persica_gdr_reftransV1_0021500")</f>
        <v>p.persica_gdr_reftransV1_0021500</v>
      </c>
      <c r="B3588" s="2">
        <v>4744</v>
      </c>
      <c r="C3588" s="4" t="str">
        <f>HYPERLINK("http://www.uniprot.org/uniprot/M5VJB6","M5VJB6")</f>
        <v>M5VJB6</v>
      </c>
      <c r="D3588" s="2" t="s">
        <v>3387</v>
      </c>
      <c r="E3588" s="3">
        <v>0</v>
      </c>
      <c r="F3588" s="2">
        <v>2632</v>
      </c>
      <c r="G3588" s="2">
        <v>94</v>
      </c>
      <c r="H3588" s="2">
        <v>571</v>
      </c>
      <c r="I3588" s="2">
        <v>2955</v>
      </c>
      <c r="J3588" s="2">
        <v>4667</v>
      </c>
      <c r="K3588" s="2">
        <v>1</v>
      </c>
      <c r="L3588" s="2">
        <v>537</v>
      </c>
    </row>
    <row r="3589" spans="1:12" x14ac:dyDescent="0.25">
      <c r="A3589" s="4" t="str">
        <f>HYPERLINK("http://www.rosaceae.org/Prunus/Prunus_persica/p.persica_gdr_reftransV1_0021850","p.persica_gdr_reftransV1_0021850")</f>
        <v>p.persica_gdr_reftransV1_0021850</v>
      </c>
      <c r="B3589" s="2">
        <v>851</v>
      </c>
      <c r="C3589" s="4" t="str">
        <f>HYPERLINK("http://www.uniprot.org/uniprot/M5WKH0","M5WKH0")</f>
        <v>M5WKH0</v>
      </c>
      <c r="D3589" s="2" t="s">
        <v>3388</v>
      </c>
      <c r="E3589" s="3">
        <v>4.3600000000000003E-92</v>
      </c>
      <c r="F3589" s="2">
        <v>744</v>
      </c>
      <c r="G3589" s="2">
        <v>100</v>
      </c>
      <c r="H3589" s="2">
        <v>161</v>
      </c>
      <c r="I3589" s="2">
        <v>3</v>
      </c>
      <c r="J3589" s="2">
        <v>485</v>
      </c>
      <c r="K3589" s="2">
        <v>271</v>
      </c>
      <c r="L3589" s="2">
        <v>431</v>
      </c>
    </row>
    <row r="3590" spans="1:12" x14ac:dyDescent="0.25">
      <c r="A3590" s="4" t="str">
        <f>HYPERLINK("http://www.rosaceae.org/Prunus/Prunus_persica/p.persica_gdr_reftransV1_0023600","p.persica_gdr_reftransV1_0023600")</f>
        <v>p.persica_gdr_reftransV1_0023600</v>
      </c>
      <c r="B3590" s="2">
        <v>1017</v>
      </c>
      <c r="C3590" s="4" t="str">
        <f>HYPERLINK("http://www.uniprot.org/uniprot/M5W0G6","M5W0G6")</f>
        <v>M5W0G6</v>
      </c>
      <c r="D3590" s="2" t="s">
        <v>3389</v>
      </c>
      <c r="E3590" s="3">
        <v>2.4000000000000002E-108</v>
      </c>
      <c r="F3590" s="2">
        <v>834</v>
      </c>
      <c r="G3590" s="2">
        <v>100</v>
      </c>
      <c r="H3590" s="2">
        <v>173</v>
      </c>
      <c r="I3590" s="2">
        <v>206</v>
      </c>
      <c r="J3590" s="2">
        <v>724</v>
      </c>
      <c r="K3590" s="2">
        <v>1</v>
      </c>
      <c r="L3590" s="2">
        <v>173</v>
      </c>
    </row>
    <row r="3591" spans="1:12" x14ac:dyDescent="0.25">
      <c r="A3591" s="4" t="str">
        <f>HYPERLINK("http://www.rosaceae.org/Prunus/Prunus_persica/p.persica_gdr_reftransV1_0024300","p.persica_gdr_reftransV1_0024300")</f>
        <v>p.persica_gdr_reftransV1_0024300</v>
      </c>
      <c r="B3591" s="2">
        <v>5779</v>
      </c>
      <c r="C3591" s="4" t="str">
        <f>HYPERLINK("http://www.uniprot.org/uniprot/M5XGV2","M5XGV2")</f>
        <v>M5XGV2</v>
      </c>
      <c r="D3591" s="2" t="s">
        <v>3390</v>
      </c>
      <c r="E3591" s="3">
        <v>0</v>
      </c>
      <c r="F3591" s="2">
        <v>5051</v>
      </c>
      <c r="G3591" s="2">
        <v>99</v>
      </c>
      <c r="H3591" s="2">
        <v>983</v>
      </c>
      <c r="I3591" s="2">
        <v>205</v>
      </c>
      <c r="J3591" s="2">
        <v>3153</v>
      </c>
      <c r="K3591" s="2">
        <v>18</v>
      </c>
      <c r="L3591" s="2">
        <v>986</v>
      </c>
    </row>
    <row r="3592" spans="1:12" x14ac:dyDescent="0.25">
      <c r="A3592" s="4" t="str">
        <f>HYPERLINK("http://www.rosaceae.org/Prunus/Prunus_persica/p.persica_gdr_reftransV1_0025350","p.persica_gdr_reftransV1_0025350")</f>
        <v>p.persica_gdr_reftransV1_0025350</v>
      </c>
      <c r="B3592" s="2">
        <v>4931</v>
      </c>
      <c r="C3592" s="4" t="str">
        <f>HYPERLINK("http://www.uniprot.org/uniprot/M5WE55","M5WE55")</f>
        <v>M5WE55</v>
      </c>
      <c r="D3592" s="2" t="s">
        <v>3391</v>
      </c>
      <c r="E3592" s="3">
        <v>0</v>
      </c>
      <c r="F3592" s="2">
        <v>4508</v>
      </c>
      <c r="G3592" s="2">
        <v>98</v>
      </c>
      <c r="H3592" s="2">
        <v>950</v>
      </c>
      <c r="I3592" s="2">
        <v>1812</v>
      </c>
      <c r="J3592" s="2">
        <v>4661</v>
      </c>
      <c r="K3592" s="2">
        <v>1</v>
      </c>
      <c r="L3592" s="2">
        <v>938</v>
      </c>
    </row>
    <row r="3593" spans="1:12" x14ac:dyDescent="0.25">
      <c r="A3593" s="4" t="str">
        <f>HYPERLINK("http://www.rosaceae.org/Prunus/Prunus_persica/p.persica_gdr_reftransV1_0025700","p.persica_gdr_reftransV1_0025700")</f>
        <v>p.persica_gdr_reftransV1_0025700</v>
      </c>
      <c r="B3593" s="2">
        <v>1536</v>
      </c>
      <c r="C3593" s="4" t="str">
        <f>HYPERLINK("http://www.uniprot.org/uniprot/A0A061E1M4","A0A061E1M4")</f>
        <v>A0A061E1M4</v>
      </c>
      <c r="D3593" s="2" t="s">
        <v>3392</v>
      </c>
      <c r="E3593" s="3">
        <v>7.7500000000000004E-112</v>
      </c>
      <c r="F3593" s="2">
        <v>890</v>
      </c>
      <c r="G3593" s="2">
        <v>65</v>
      </c>
      <c r="H3593" s="2">
        <v>288</v>
      </c>
      <c r="I3593" s="2">
        <v>355</v>
      </c>
      <c r="J3593" s="2">
        <v>1143</v>
      </c>
      <c r="K3593" s="2">
        <v>62</v>
      </c>
      <c r="L3593" s="2">
        <v>345</v>
      </c>
    </row>
    <row r="3594" spans="1:12" x14ac:dyDescent="0.25">
      <c r="A3594" s="4" t="str">
        <f>HYPERLINK("http://www.rosaceae.org/Prunus/Prunus_persica/p.persica_gdr_reftransV1_0026050","p.persica_gdr_reftransV1_0026050")</f>
        <v>p.persica_gdr_reftransV1_0026050</v>
      </c>
      <c r="B3594" s="2">
        <v>3782</v>
      </c>
      <c r="C3594" s="4" t="str">
        <f>HYPERLINK("http://www.uniprot.org/uniprot/M5VS68","M5VS68")</f>
        <v>M5VS68</v>
      </c>
      <c r="D3594" s="2" t="s">
        <v>3393</v>
      </c>
      <c r="E3594" s="3">
        <v>1.2099999999999999E-74</v>
      </c>
      <c r="F3594" s="2">
        <v>652</v>
      </c>
      <c r="G3594" s="2">
        <v>100</v>
      </c>
      <c r="H3594" s="2">
        <v>168</v>
      </c>
      <c r="I3594" s="2">
        <v>3024</v>
      </c>
      <c r="J3594" s="2">
        <v>3527</v>
      </c>
      <c r="K3594" s="2">
        <v>1</v>
      </c>
      <c r="L3594" s="2">
        <v>168</v>
      </c>
    </row>
    <row r="3595" spans="1:12" x14ac:dyDescent="0.25">
      <c r="A3595" s="4" t="str">
        <f>HYPERLINK("http://www.rosaceae.org/Prunus/Prunus_persica/p.persica_gdr_reftransV1_0026750","p.persica_gdr_reftransV1_0026750")</f>
        <v>p.persica_gdr_reftransV1_0026750</v>
      </c>
      <c r="B3595" s="2">
        <v>2319</v>
      </c>
      <c r="C3595" s="4" t="str">
        <f>HYPERLINK("http://www.uniprot.org/uniprot/M5XGR8","M5XGR8")</f>
        <v>M5XGR8</v>
      </c>
      <c r="D3595" s="2" t="s">
        <v>3394</v>
      </c>
      <c r="E3595" s="3">
        <v>0</v>
      </c>
      <c r="F3595" s="2">
        <v>3643</v>
      </c>
      <c r="G3595" s="2">
        <v>100</v>
      </c>
      <c r="H3595" s="2">
        <v>694</v>
      </c>
      <c r="I3595" s="2">
        <v>2</v>
      </c>
      <c r="J3595" s="2">
        <v>2083</v>
      </c>
      <c r="K3595" s="2">
        <v>187</v>
      </c>
      <c r="L3595" s="2">
        <v>880</v>
      </c>
    </row>
    <row r="3596" spans="1:12" x14ac:dyDescent="0.25">
      <c r="A3596" s="4" t="str">
        <f>HYPERLINK("http://www.rosaceae.org/Prunus/Prunus_persica/p.persica_gdr_reftransV1_0027450","p.persica_gdr_reftransV1_0027450")</f>
        <v>p.persica_gdr_reftransV1_0027450</v>
      </c>
      <c r="B3596" s="2">
        <v>1335</v>
      </c>
      <c r="C3596" s="4" t="str">
        <f>HYPERLINK("http://www.uniprot.org/uniprot/J7LMM2","J7LMM2")</f>
        <v>J7LMM2</v>
      </c>
      <c r="D3596" s="2" t="s">
        <v>3395</v>
      </c>
      <c r="E3596" s="3">
        <v>5.4499999999999995E-84</v>
      </c>
      <c r="F3596" s="2">
        <v>681</v>
      </c>
      <c r="G3596" s="2">
        <v>90</v>
      </c>
      <c r="H3596" s="2">
        <v>145</v>
      </c>
      <c r="I3596" s="2">
        <v>208</v>
      </c>
      <c r="J3596" s="2">
        <v>621</v>
      </c>
      <c r="K3596" s="2">
        <v>1</v>
      </c>
      <c r="L3596" s="2">
        <v>145</v>
      </c>
    </row>
    <row r="3597" spans="1:12" x14ac:dyDescent="0.25">
      <c r="A3597" s="4" t="str">
        <f>HYPERLINK("http://www.rosaceae.org/Prunus/Prunus_persica/p.persica_gdr_reftransV1_0028850","p.persica_gdr_reftransV1_0028850")</f>
        <v>p.persica_gdr_reftransV1_0028850</v>
      </c>
      <c r="B3597" s="2">
        <v>1564</v>
      </c>
      <c r="C3597" s="4" t="str">
        <f>HYPERLINK("http://www.uniprot.org/uniprot/M5X2A9","M5X2A9")</f>
        <v>M5X2A9</v>
      </c>
      <c r="D3597" s="2" t="s">
        <v>3396</v>
      </c>
      <c r="E3597" s="3">
        <v>1.27E-144</v>
      </c>
      <c r="F3597" s="2">
        <v>827</v>
      </c>
      <c r="G3597" s="2">
        <v>86</v>
      </c>
      <c r="H3597" s="2">
        <v>207</v>
      </c>
      <c r="I3597" s="2">
        <v>864</v>
      </c>
      <c r="J3597" s="2">
        <v>1484</v>
      </c>
      <c r="K3597" s="2">
        <v>1</v>
      </c>
      <c r="L3597" s="2">
        <v>179</v>
      </c>
    </row>
    <row r="3598" spans="1:12" x14ac:dyDescent="0.25">
      <c r="A3598" s="4" t="str">
        <f>HYPERLINK("http://www.rosaceae.org/Prunus/Prunus_persica/p.persica_gdr_reftransV1_0029550","p.persica_gdr_reftransV1_0029550")</f>
        <v>p.persica_gdr_reftransV1_0029550</v>
      </c>
      <c r="B3598" s="2">
        <v>1725</v>
      </c>
      <c r="C3598" s="4" t="str">
        <f>HYPERLINK("http://www.uniprot.org/uniprot/V9NEJ6","V9NEJ6")</f>
        <v>V9NEJ6</v>
      </c>
      <c r="D3598" s="2" t="s">
        <v>3397</v>
      </c>
      <c r="E3598" s="3">
        <v>5.5899999999999998E-167</v>
      </c>
      <c r="F3598" s="2">
        <v>1258</v>
      </c>
      <c r="G3598" s="2">
        <v>90</v>
      </c>
      <c r="H3598" s="2">
        <v>328</v>
      </c>
      <c r="I3598" s="2">
        <v>238</v>
      </c>
      <c r="J3598" s="2">
        <v>1221</v>
      </c>
      <c r="K3598" s="2">
        <v>1</v>
      </c>
      <c r="L3598" s="2">
        <v>302</v>
      </c>
    </row>
    <row r="3599" spans="1:12" x14ac:dyDescent="0.25">
      <c r="A3599" s="4" t="str">
        <f>HYPERLINK("http://www.rosaceae.org/Prunus/Prunus_persica/p.persica_gdr_reftransV1_0029900","p.persica_gdr_reftransV1_0029900")</f>
        <v>p.persica_gdr_reftransV1_0029900</v>
      </c>
      <c r="B3599" s="2">
        <v>2985</v>
      </c>
      <c r="C3599" s="4" t="str">
        <f>HYPERLINK("http://www.uniprot.org/uniprot/M5VXI2","M5VXI2")</f>
        <v>M5VXI2</v>
      </c>
      <c r="D3599" s="2" t="s">
        <v>3398</v>
      </c>
      <c r="E3599" s="3">
        <v>0</v>
      </c>
      <c r="F3599" s="2">
        <v>3408</v>
      </c>
      <c r="G3599" s="2">
        <v>100</v>
      </c>
      <c r="H3599" s="2">
        <v>657</v>
      </c>
      <c r="I3599" s="2">
        <v>455</v>
      </c>
      <c r="J3599" s="2">
        <v>2425</v>
      </c>
      <c r="K3599" s="2">
        <v>1</v>
      </c>
      <c r="L3599" s="2">
        <v>657</v>
      </c>
    </row>
    <row r="3600" spans="1:12" x14ac:dyDescent="0.25">
      <c r="A3600" s="4" t="str">
        <f>HYPERLINK("http://www.rosaceae.org/Prunus/Prunus_persica/p.persica_gdr_reftransV1_0030600","p.persica_gdr_reftransV1_0030600")</f>
        <v>p.persica_gdr_reftransV1_0030600</v>
      </c>
      <c r="B3600" s="2">
        <v>2249</v>
      </c>
      <c r="C3600" s="4" t="str">
        <f>HYPERLINK("http://www.uniprot.org/uniprot/M5XCY8","M5XCY8")</f>
        <v>M5XCY8</v>
      </c>
      <c r="D3600" s="2" t="s">
        <v>3399</v>
      </c>
      <c r="E3600" s="3">
        <v>0</v>
      </c>
      <c r="F3600" s="2">
        <v>2058</v>
      </c>
      <c r="G3600" s="2">
        <v>100</v>
      </c>
      <c r="H3600" s="2">
        <v>394</v>
      </c>
      <c r="I3600" s="2">
        <v>973</v>
      </c>
      <c r="J3600" s="2">
        <v>2154</v>
      </c>
      <c r="K3600" s="2">
        <v>1</v>
      </c>
      <c r="L3600" s="2">
        <v>394</v>
      </c>
    </row>
    <row r="3601" spans="1:12" x14ac:dyDescent="0.25">
      <c r="A3601" s="4" t="str">
        <f>HYPERLINK("http://www.rosaceae.org/Prunus/Prunus_persica/p.persica_gdr_reftransV1_0032000","p.persica_gdr_reftransV1_0032000")</f>
        <v>p.persica_gdr_reftransV1_0032000</v>
      </c>
      <c r="B3601" s="2">
        <v>473</v>
      </c>
      <c r="C3601" s="4" t="str">
        <f>HYPERLINK("http://www.uniprot.org/uniprot/W9R6T0","W9R6T0")</f>
        <v>W9R6T0</v>
      </c>
      <c r="D3601" s="2" t="s">
        <v>3400</v>
      </c>
      <c r="E3601" s="3">
        <v>3.4900000000000002E-53</v>
      </c>
      <c r="F3601" s="2">
        <v>490</v>
      </c>
      <c r="G3601" s="2">
        <v>81</v>
      </c>
      <c r="H3601" s="2">
        <v>115</v>
      </c>
      <c r="I3601" s="2">
        <v>2</v>
      </c>
      <c r="J3601" s="2">
        <v>346</v>
      </c>
      <c r="K3601" s="2">
        <v>1</v>
      </c>
      <c r="L3601" s="2">
        <v>115</v>
      </c>
    </row>
    <row r="3602" spans="1:12" x14ac:dyDescent="0.25">
      <c r="A3602" s="4" t="str">
        <f>HYPERLINK("http://www.rosaceae.org/Prunus/Prunus_persica/p.persica_gdr_reftransV1_0032350","p.persica_gdr_reftransV1_0032350")</f>
        <v>p.persica_gdr_reftransV1_0032350</v>
      </c>
      <c r="B3602" s="2">
        <v>2818</v>
      </c>
      <c r="C3602" s="4" t="str">
        <f>HYPERLINK("http://www.uniprot.org/uniprot/M5WSG9","M5WSG9")</f>
        <v>M5WSG9</v>
      </c>
      <c r="D3602" s="2" t="s">
        <v>3401</v>
      </c>
      <c r="E3602" s="3">
        <v>0</v>
      </c>
      <c r="F3602" s="2">
        <v>1978</v>
      </c>
      <c r="G3602" s="2">
        <v>97</v>
      </c>
      <c r="H3602" s="2">
        <v>412</v>
      </c>
      <c r="I3602" s="2">
        <v>288</v>
      </c>
      <c r="J3602" s="2">
        <v>1523</v>
      </c>
      <c r="K3602" s="2">
        <v>172</v>
      </c>
      <c r="L3602" s="2">
        <v>583</v>
      </c>
    </row>
    <row r="3603" spans="1:12" x14ac:dyDescent="0.25">
      <c r="A3603" s="4" t="str">
        <f>HYPERLINK("http://www.rosaceae.org/Prunus/Prunus_persica/p.persica_gdr_reftransV1_0033400","p.persica_gdr_reftransV1_0033400")</f>
        <v>p.persica_gdr_reftransV1_0033400</v>
      </c>
      <c r="B3603" s="2">
        <v>2790</v>
      </c>
      <c r="C3603" s="4" t="str">
        <f>HYPERLINK("http://www.uniprot.org/uniprot/M5XNV2","M5XNV2")</f>
        <v>M5XNV2</v>
      </c>
      <c r="D3603" s="2" t="s">
        <v>3402</v>
      </c>
      <c r="E3603" s="3">
        <v>0</v>
      </c>
      <c r="F3603" s="2">
        <v>2665</v>
      </c>
      <c r="G3603" s="2">
        <v>100</v>
      </c>
      <c r="H3603" s="2">
        <v>531</v>
      </c>
      <c r="I3603" s="2">
        <v>933</v>
      </c>
      <c r="J3603" s="2">
        <v>2525</v>
      </c>
      <c r="K3603" s="2">
        <v>96</v>
      </c>
      <c r="L3603" s="2">
        <v>626</v>
      </c>
    </row>
    <row r="3604" spans="1:12" x14ac:dyDescent="0.25">
      <c r="A3604" s="4" t="str">
        <f>HYPERLINK("http://www.rosaceae.org/Prunus/Prunus_persica/p.persica_gdr_reftransV1_0033750","p.persica_gdr_reftransV1_0033750")</f>
        <v>p.persica_gdr_reftransV1_0033750</v>
      </c>
      <c r="B3604" s="2">
        <v>3779</v>
      </c>
      <c r="C3604" s="4" t="str">
        <f>HYPERLINK("http://www.uniprot.org/uniprot/M5Y4E1","M5Y4E1")</f>
        <v>M5Y4E1</v>
      </c>
      <c r="D3604" s="2" t="s">
        <v>3403</v>
      </c>
      <c r="E3604" s="3">
        <v>0</v>
      </c>
      <c r="F3604" s="2">
        <v>3492</v>
      </c>
      <c r="G3604" s="2">
        <v>90</v>
      </c>
      <c r="H3604" s="2">
        <v>829</v>
      </c>
      <c r="I3604" s="2">
        <v>375</v>
      </c>
      <c r="J3604" s="2">
        <v>2861</v>
      </c>
      <c r="K3604" s="2">
        <v>1081</v>
      </c>
      <c r="L3604" s="2">
        <v>1863</v>
      </c>
    </row>
    <row r="3605" spans="1:12" x14ac:dyDescent="0.25">
      <c r="A3605" s="4" t="str">
        <f>HYPERLINK("http://www.rosaceae.org/Prunus/Prunus_persica/p.persica_gdr_reftransV1_0035150","p.persica_gdr_reftransV1_0035150")</f>
        <v>p.persica_gdr_reftransV1_0035150</v>
      </c>
      <c r="B3605" s="2">
        <v>1413</v>
      </c>
      <c r="C3605" s="4" t="str">
        <f>HYPERLINK("http://www.uniprot.org/uniprot/M5XLK4","M5XLK4")</f>
        <v>M5XLK4</v>
      </c>
      <c r="D3605" s="2" t="s">
        <v>3404</v>
      </c>
      <c r="E3605" s="3">
        <v>1.38E-158</v>
      </c>
      <c r="F3605" s="2">
        <v>1014</v>
      </c>
      <c r="G3605" s="2">
        <v>100</v>
      </c>
      <c r="H3605" s="2">
        <v>215</v>
      </c>
      <c r="I3605" s="2">
        <v>582</v>
      </c>
      <c r="J3605" s="2">
        <v>1226</v>
      </c>
      <c r="K3605" s="2">
        <v>1</v>
      </c>
      <c r="L3605" s="2">
        <v>215</v>
      </c>
    </row>
    <row r="3606" spans="1:12" x14ac:dyDescent="0.25">
      <c r="A3606" s="4" t="str">
        <f>HYPERLINK("http://www.rosaceae.org/Prunus/Prunus_persica/p.persica_gdr_reftransV1_0035500","p.persica_gdr_reftransV1_0035500")</f>
        <v>p.persica_gdr_reftransV1_0035500</v>
      </c>
      <c r="B3606" s="2">
        <v>2146</v>
      </c>
      <c r="C3606" s="4" t="str">
        <f>HYPERLINK("http://www.uniprot.org/uniprot/M5WAU4","M5WAU4")</f>
        <v>M5WAU4</v>
      </c>
      <c r="D3606" s="2" t="s">
        <v>3405</v>
      </c>
      <c r="E3606" s="3">
        <v>2.01E-62</v>
      </c>
      <c r="F3606" s="2">
        <v>553</v>
      </c>
      <c r="G3606" s="2">
        <v>97</v>
      </c>
      <c r="H3606" s="2">
        <v>111</v>
      </c>
      <c r="I3606" s="2">
        <v>1470</v>
      </c>
      <c r="J3606" s="2">
        <v>1802</v>
      </c>
      <c r="K3606" s="2">
        <v>1</v>
      </c>
      <c r="L3606" s="2">
        <v>111</v>
      </c>
    </row>
    <row r="3607" spans="1:12" x14ac:dyDescent="0.25">
      <c r="A3607" s="4" t="str">
        <f>HYPERLINK("http://www.rosaceae.org/Prunus/Prunus_persica/p.persica_gdr_reftransV1_0035850","p.persica_gdr_reftransV1_0035850")</f>
        <v>p.persica_gdr_reftransV1_0035850</v>
      </c>
      <c r="B3607" s="2">
        <v>2100</v>
      </c>
      <c r="C3607" s="4" t="str">
        <f>HYPERLINK("http://www.uniprot.org/uniprot/M5XIT5","M5XIT5")</f>
        <v>M5XIT5</v>
      </c>
      <c r="D3607" s="2" t="s">
        <v>3406</v>
      </c>
      <c r="E3607" s="3">
        <v>0</v>
      </c>
      <c r="F3607" s="2">
        <v>1402</v>
      </c>
      <c r="G3607" s="2">
        <v>100</v>
      </c>
      <c r="H3607" s="2">
        <v>265</v>
      </c>
      <c r="I3607" s="2">
        <v>924</v>
      </c>
      <c r="J3607" s="2">
        <v>1718</v>
      </c>
      <c r="K3607" s="2">
        <v>1</v>
      </c>
      <c r="L3607" s="2">
        <v>265</v>
      </c>
    </row>
    <row r="3608" spans="1:12" x14ac:dyDescent="0.25">
      <c r="A3608" s="4" t="str">
        <f>HYPERLINK("http://www.rosaceae.org/Prunus/Prunus_persica/p.persica_gdr_reftransV1_0037250","p.persica_gdr_reftransV1_0037250")</f>
        <v>p.persica_gdr_reftransV1_0037250</v>
      </c>
      <c r="B3608" s="2">
        <v>3480</v>
      </c>
      <c r="C3608" s="4" t="str">
        <f>HYPERLINK("http://www.uniprot.org/uniprot/M5XKD5","M5XKD5")</f>
        <v>M5XKD5</v>
      </c>
      <c r="D3608" s="2" t="s">
        <v>3407</v>
      </c>
      <c r="E3608" s="3">
        <v>0</v>
      </c>
      <c r="F3608" s="2">
        <v>4627</v>
      </c>
      <c r="G3608" s="2">
        <v>91</v>
      </c>
      <c r="H3608" s="2">
        <v>1019</v>
      </c>
      <c r="I3608" s="2">
        <v>70</v>
      </c>
      <c r="J3608" s="2">
        <v>3126</v>
      </c>
      <c r="K3608" s="2">
        <v>1</v>
      </c>
      <c r="L3608" s="2">
        <v>937</v>
      </c>
    </row>
    <row r="3609" spans="1:12" x14ac:dyDescent="0.25">
      <c r="A3609" s="4" t="str">
        <f>HYPERLINK("http://www.rosaceae.org/Prunus/Prunus_persica/p.persica_gdr_reftransV1_0037600","p.persica_gdr_reftransV1_0037600")</f>
        <v>p.persica_gdr_reftransV1_0037600</v>
      </c>
      <c r="B3609" s="2">
        <v>2078</v>
      </c>
      <c r="C3609" s="4" t="str">
        <f>HYPERLINK("http://www.uniprot.org/uniprot/M5VM43","M5VM43")</f>
        <v>M5VM43</v>
      </c>
      <c r="D3609" s="2" t="s">
        <v>3408</v>
      </c>
      <c r="E3609" s="3">
        <v>0</v>
      </c>
      <c r="F3609" s="2">
        <v>1025</v>
      </c>
      <c r="G3609" s="2">
        <v>99</v>
      </c>
      <c r="H3609" s="2">
        <v>218</v>
      </c>
      <c r="I3609" s="2">
        <v>937</v>
      </c>
      <c r="J3609" s="2">
        <v>1590</v>
      </c>
      <c r="K3609" s="2">
        <v>224</v>
      </c>
      <c r="L3609" s="2">
        <v>441</v>
      </c>
    </row>
    <row r="3610" spans="1:12" x14ac:dyDescent="0.25">
      <c r="A3610" s="4" t="str">
        <f>HYPERLINK("http://www.rosaceae.org/Prunus/Prunus_persica/p.persica_gdr_reftransV1_0039000","p.persica_gdr_reftransV1_0039000")</f>
        <v>p.persica_gdr_reftransV1_0039000</v>
      </c>
      <c r="B3610" s="2">
        <v>3251</v>
      </c>
      <c r="C3610" s="4" t="str">
        <f>HYPERLINK("http://www.uniprot.org/uniprot/M5XB74","M5XB74")</f>
        <v>M5XB74</v>
      </c>
      <c r="D3610" s="2" t="s">
        <v>3409</v>
      </c>
      <c r="E3610" s="3">
        <v>0</v>
      </c>
      <c r="F3610" s="2">
        <v>2385</v>
      </c>
      <c r="G3610" s="2">
        <v>100</v>
      </c>
      <c r="H3610" s="2">
        <v>478</v>
      </c>
      <c r="I3610" s="2">
        <v>433</v>
      </c>
      <c r="J3610" s="2">
        <v>1866</v>
      </c>
      <c r="K3610" s="2">
        <v>111</v>
      </c>
      <c r="L3610" s="2">
        <v>588</v>
      </c>
    </row>
    <row r="3611" spans="1:12" x14ac:dyDescent="0.25">
      <c r="A3611" s="4" t="str">
        <f>HYPERLINK("http://www.rosaceae.org/Prunus/Prunus_persica/p.persica_gdr_reftransV1_0040400","p.persica_gdr_reftransV1_0040400")</f>
        <v>p.persica_gdr_reftransV1_0040400</v>
      </c>
      <c r="B3611" s="2">
        <v>1929</v>
      </c>
      <c r="C3611" s="4" t="str">
        <f>HYPERLINK("http://www.uniprot.org/uniprot/M5WV29","M5WV29")</f>
        <v>M5WV29</v>
      </c>
      <c r="D3611" s="2" t="s">
        <v>3410</v>
      </c>
      <c r="E3611" s="3">
        <v>0</v>
      </c>
      <c r="F3611" s="2">
        <v>1362</v>
      </c>
      <c r="G3611" s="2">
        <v>100</v>
      </c>
      <c r="H3611" s="2">
        <v>271</v>
      </c>
      <c r="I3611" s="2">
        <v>463</v>
      </c>
      <c r="J3611" s="2">
        <v>1275</v>
      </c>
      <c r="K3611" s="2">
        <v>9</v>
      </c>
      <c r="L3611" s="2">
        <v>279</v>
      </c>
    </row>
    <row r="3612" spans="1:12" x14ac:dyDescent="0.25">
      <c r="A3612" s="4" t="str">
        <f>HYPERLINK("http://www.rosaceae.org/Prunus/Prunus_persica/p.persica_gdr_reftransV1_0040750","p.persica_gdr_reftransV1_0040750")</f>
        <v>p.persica_gdr_reftransV1_0040750</v>
      </c>
      <c r="B3612" s="2">
        <v>2737</v>
      </c>
      <c r="C3612" s="4" t="str">
        <f>HYPERLINK("http://www.uniprot.org/uniprot/M5X1G7","M5X1G7")</f>
        <v>M5X1G7</v>
      </c>
      <c r="D3612" s="2" t="s">
        <v>3411</v>
      </c>
      <c r="E3612" s="3">
        <v>0</v>
      </c>
      <c r="F3612" s="2">
        <v>1932</v>
      </c>
      <c r="G3612" s="2">
        <v>91</v>
      </c>
      <c r="H3612" s="2">
        <v>417</v>
      </c>
      <c r="I3612" s="2">
        <v>97</v>
      </c>
      <c r="J3612" s="2">
        <v>1347</v>
      </c>
      <c r="K3612" s="2">
        <v>1</v>
      </c>
      <c r="L3612" s="2">
        <v>383</v>
      </c>
    </row>
    <row r="3613" spans="1:12" x14ac:dyDescent="0.25">
      <c r="A3613" s="4" t="str">
        <f>HYPERLINK("http://www.rosaceae.org/Prunus/Prunus_persica/p.persica_gdr_reftransV1_0041450","p.persica_gdr_reftransV1_0041450")</f>
        <v>p.persica_gdr_reftransV1_0041450</v>
      </c>
      <c r="B3613" s="2">
        <v>3822</v>
      </c>
      <c r="C3613" s="4" t="str">
        <f>HYPERLINK("http://www.uniprot.org/uniprot/M5XSJ2","M5XSJ2")</f>
        <v>M5XSJ2</v>
      </c>
      <c r="D3613" s="2" t="s">
        <v>3412</v>
      </c>
      <c r="E3613" s="3">
        <v>8.5000000000000004E-145</v>
      </c>
      <c r="F3613" s="2">
        <v>1187</v>
      </c>
      <c r="G3613" s="2">
        <v>85</v>
      </c>
      <c r="H3613" s="2">
        <v>271</v>
      </c>
      <c r="I3613" s="2">
        <v>2923</v>
      </c>
      <c r="J3613" s="2">
        <v>3723</v>
      </c>
      <c r="K3613" s="2">
        <v>8</v>
      </c>
      <c r="L3613" s="2">
        <v>250</v>
      </c>
    </row>
    <row r="3614" spans="1:12" x14ac:dyDescent="0.25">
      <c r="A3614" s="4" t="str">
        <f>HYPERLINK("http://www.rosaceae.org/Prunus/Prunus_persica/p.persica_gdr_reftransV1_0043200","p.persica_gdr_reftransV1_0043200")</f>
        <v>p.persica_gdr_reftransV1_0043200</v>
      </c>
      <c r="B3614" s="2">
        <v>484</v>
      </c>
      <c r="C3614" s="4" t="str">
        <f>HYPERLINK("http://www.uniprot.org/uniprot/W1TWN7","W1TWN7")</f>
        <v>W1TWN7</v>
      </c>
      <c r="D3614" s="2" t="s">
        <v>3413</v>
      </c>
      <c r="E3614" s="3">
        <v>1.08E-45</v>
      </c>
      <c r="F3614" s="2">
        <v>393</v>
      </c>
      <c r="G3614" s="2">
        <v>92</v>
      </c>
      <c r="H3614" s="2">
        <v>90</v>
      </c>
      <c r="I3614" s="2">
        <v>202</v>
      </c>
      <c r="J3614" s="2">
        <v>471</v>
      </c>
      <c r="K3614" s="2">
        <v>1</v>
      </c>
      <c r="L3614" s="2">
        <v>90</v>
      </c>
    </row>
    <row r="3615" spans="1:12" x14ac:dyDescent="0.25">
      <c r="A3615" s="4" t="str">
        <f>HYPERLINK("http://www.rosaceae.org/Prunus/Prunus_persica/p.persica_gdr_reftransV1_0043550","p.persica_gdr_reftransV1_0043550")</f>
        <v>p.persica_gdr_reftransV1_0043550</v>
      </c>
      <c r="B3615" s="2">
        <v>1129</v>
      </c>
      <c r="C3615" s="4" t="str">
        <f>HYPERLINK("http://www.uniprot.org/uniprot/M5WCL5","M5WCL5")</f>
        <v>M5WCL5</v>
      </c>
      <c r="D3615" s="2" t="s">
        <v>1807</v>
      </c>
      <c r="E3615" s="3">
        <v>0</v>
      </c>
      <c r="F3615" s="2">
        <v>1486</v>
      </c>
      <c r="G3615" s="2">
        <v>100</v>
      </c>
      <c r="H3615" s="2">
        <v>307</v>
      </c>
      <c r="I3615" s="2">
        <v>5</v>
      </c>
      <c r="J3615" s="2">
        <v>925</v>
      </c>
      <c r="K3615" s="2">
        <v>354</v>
      </c>
      <c r="L3615" s="2">
        <v>660</v>
      </c>
    </row>
    <row r="3616" spans="1:12" x14ac:dyDescent="0.25">
      <c r="A3616" s="4" t="str">
        <f>HYPERLINK("http://www.rosaceae.org/Prunus/Prunus_persica/p.persica_gdr_reftransV1_0043900","p.persica_gdr_reftransV1_0043900")</f>
        <v>p.persica_gdr_reftransV1_0043900</v>
      </c>
      <c r="B3616" s="2">
        <v>3457</v>
      </c>
      <c r="C3616" s="4" t="str">
        <f>HYPERLINK("http://www.uniprot.org/uniprot/M5XU34","M5XU34")</f>
        <v>M5XU34</v>
      </c>
      <c r="D3616" s="2" t="s">
        <v>2129</v>
      </c>
      <c r="E3616" s="3">
        <v>0</v>
      </c>
      <c r="F3616" s="2">
        <v>5080</v>
      </c>
      <c r="G3616" s="2">
        <v>99</v>
      </c>
      <c r="H3616" s="2">
        <v>996</v>
      </c>
      <c r="I3616" s="2">
        <v>1</v>
      </c>
      <c r="J3616" s="2">
        <v>2988</v>
      </c>
      <c r="K3616" s="2">
        <v>345</v>
      </c>
      <c r="L3616" s="2">
        <v>1335</v>
      </c>
    </row>
    <row r="3617" spans="1:12" x14ac:dyDescent="0.25">
      <c r="A3617" s="4" t="str">
        <f>HYPERLINK("http://www.rosaceae.org/Prunus/Prunus_persica/p.persica_gdr_reftransV1_0044250","p.persica_gdr_reftransV1_0044250")</f>
        <v>p.persica_gdr_reftransV1_0044250</v>
      </c>
      <c r="B3617" s="2">
        <v>3364</v>
      </c>
      <c r="C3617" s="4" t="str">
        <f>HYPERLINK("http://www.uniprot.org/uniprot/M5XXM0","M5XXM0")</f>
        <v>M5XXM0</v>
      </c>
      <c r="D3617" s="2" t="s">
        <v>3414</v>
      </c>
      <c r="E3617" s="3">
        <v>0</v>
      </c>
      <c r="F3617" s="2">
        <v>3744</v>
      </c>
      <c r="G3617" s="2">
        <v>86</v>
      </c>
      <c r="H3617" s="2">
        <v>941</v>
      </c>
      <c r="I3617" s="2">
        <v>111</v>
      </c>
      <c r="J3617" s="2">
        <v>2933</v>
      </c>
      <c r="K3617" s="2">
        <v>1</v>
      </c>
      <c r="L3617" s="2">
        <v>816</v>
      </c>
    </row>
    <row r="3618" spans="1:12" x14ac:dyDescent="0.25">
      <c r="A3618" s="4" t="str">
        <f>HYPERLINK("http://www.rosaceae.org/Prunus/Prunus_persica/p.persica_gdr_reftransV1_0044600","p.persica_gdr_reftransV1_0044600")</f>
        <v>p.persica_gdr_reftransV1_0044600</v>
      </c>
      <c r="B3618" s="2">
        <v>834</v>
      </c>
      <c r="C3618" s="4" t="str">
        <f>HYPERLINK("http://www.uniprot.org/uniprot/M5W077","M5W077")</f>
        <v>M5W077</v>
      </c>
      <c r="D3618" s="2" t="s">
        <v>3415</v>
      </c>
      <c r="E3618" s="3">
        <v>7.1799999999999999E-98</v>
      </c>
      <c r="F3618" s="2">
        <v>761</v>
      </c>
      <c r="G3618" s="2">
        <v>100</v>
      </c>
      <c r="H3618" s="2">
        <v>179</v>
      </c>
      <c r="I3618" s="2">
        <v>15</v>
      </c>
      <c r="J3618" s="2">
        <v>551</v>
      </c>
      <c r="K3618" s="2">
        <v>3</v>
      </c>
      <c r="L3618" s="2">
        <v>181</v>
      </c>
    </row>
    <row r="3619" spans="1:12" x14ac:dyDescent="0.25">
      <c r="A3619" s="4" t="str">
        <f>HYPERLINK("http://www.rosaceae.org/Prunus/Prunus_persica/p.persica_gdr_reftransV1_0044950","p.persica_gdr_reftransV1_0044950")</f>
        <v>p.persica_gdr_reftransV1_0044950</v>
      </c>
      <c r="B3619" s="2">
        <v>2070</v>
      </c>
      <c r="C3619" s="4" t="str">
        <f>HYPERLINK("http://www.uniprot.org/uniprot/M5WR85","M5WR85")</f>
        <v>M5WR85</v>
      </c>
      <c r="D3619" s="2" t="s">
        <v>3416</v>
      </c>
      <c r="E3619" s="3">
        <v>9.6099999999999995E-179</v>
      </c>
      <c r="F3619" s="2">
        <v>1378</v>
      </c>
      <c r="G3619" s="2">
        <v>100</v>
      </c>
      <c r="H3619" s="2">
        <v>280</v>
      </c>
      <c r="I3619" s="2">
        <v>370</v>
      </c>
      <c r="J3619" s="2">
        <v>1209</v>
      </c>
      <c r="K3619" s="2">
        <v>328</v>
      </c>
      <c r="L3619" s="2">
        <v>607</v>
      </c>
    </row>
    <row r="3620" spans="1:12" x14ac:dyDescent="0.25">
      <c r="A3620" s="4" t="str">
        <f>HYPERLINK("http://www.rosaceae.org/Prunus/Prunus_persica/p.persica_gdr_reftransV1_0045300","p.persica_gdr_reftransV1_0045300")</f>
        <v>p.persica_gdr_reftransV1_0045300</v>
      </c>
      <c r="B3620" s="2">
        <v>929</v>
      </c>
      <c r="C3620" s="4" t="str">
        <f>HYPERLINK("http://www.uniprot.org/uniprot/M5VZM2","M5VZM2")</f>
        <v>M5VZM2</v>
      </c>
      <c r="D3620" s="2" t="s">
        <v>3417</v>
      </c>
      <c r="E3620" s="3">
        <v>4.08E-88</v>
      </c>
      <c r="F3620" s="2">
        <v>706</v>
      </c>
      <c r="G3620" s="2">
        <v>76</v>
      </c>
      <c r="H3620" s="2">
        <v>194</v>
      </c>
      <c r="I3620" s="2">
        <v>3</v>
      </c>
      <c r="J3620" s="2">
        <v>584</v>
      </c>
      <c r="K3620" s="2">
        <v>108</v>
      </c>
      <c r="L3620" s="2">
        <v>270</v>
      </c>
    </row>
    <row r="3621" spans="1:12" x14ac:dyDescent="0.25">
      <c r="A3621" s="4" t="str">
        <f>HYPERLINK("http://www.rosaceae.org/Prunus/Prunus_persica/p.persica_gdr_reftransV1_0046000","p.persica_gdr_reftransV1_0046000")</f>
        <v>p.persica_gdr_reftransV1_0046000</v>
      </c>
      <c r="B3621" s="2">
        <v>844</v>
      </c>
      <c r="C3621" s="4" t="str">
        <f>HYPERLINK("http://www.uniprot.org/uniprot/A0A0B2REV7","A0A0B2REV7")</f>
        <v>A0A0B2REV7</v>
      </c>
      <c r="D3621" s="2" t="s">
        <v>3418</v>
      </c>
      <c r="E3621" s="3">
        <v>9.79E-89</v>
      </c>
      <c r="F3621" s="2">
        <v>699</v>
      </c>
      <c r="G3621" s="2">
        <v>86</v>
      </c>
      <c r="H3621" s="2">
        <v>160</v>
      </c>
      <c r="I3621" s="2">
        <v>48</v>
      </c>
      <c r="J3621" s="2">
        <v>527</v>
      </c>
      <c r="K3621" s="2">
        <v>24</v>
      </c>
      <c r="L3621" s="2">
        <v>180</v>
      </c>
    </row>
    <row r="3622" spans="1:12" x14ac:dyDescent="0.25">
      <c r="A3622" s="4" t="str">
        <f>HYPERLINK("http://www.rosaceae.org/Prunus/Prunus_persica/p.persica_gdr_reftransV1_0046700","p.persica_gdr_reftransV1_0046700")</f>
        <v>p.persica_gdr_reftransV1_0046700</v>
      </c>
      <c r="B3622" s="2">
        <v>1530</v>
      </c>
      <c r="C3622" s="4" t="str">
        <f>HYPERLINK("http://www.uniprot.org/uniprot/A0A067L6K6","A0A067L6K6")</f>
        <v>A0A067L6K6</v>
      </c>
      <c r="D3622" s="2" t="s">
        <v>3419</v>
      </c>
      <c r="E3622" s="3">
        <v>1.9700000000000001E-169</v>
      </c>
      <c r="F3622" s="2">
        <v>1279</v>
      </c>
      <c r="G3622" s="2">
        <v>69</v>
      </c>
      <c r="H3622" s="2">
        <v>356</v>
      </c>
      <c r="I3622" s="2">
        <v>291</v>
      </c>
      <c r="J3622" s="2">
        <v>1340</v>
      </c>
      <c r="K3622" s="2">
        <v>51</v>
      </c>
      <c r="L3622" s="2">
        <v>404</v>
      </c>
    </row>
    <row r="3623" spans="1:12" x14ac:dyDescent="0.25">
      <c r="A3623" s="4" t="str">
        <f>HYPERLINK("http://www.rosaceae.org/Prunus/Prunus_persica/p.persica_gdr_reftransV1_0047050","p.persica_gdr_reftransV1_0047050")</f>
        <v>p.persica_gdr_reftransV1_0047050</v>
      </c>
      <c r="B3623" s="2">
        <v>1433</v>
      </c>
      <c r="C3623" s="4" t="str">
        <f>HYPERLINK("http://www.uniprot.org/uniprot/M5XRS6","M5XRS6")</f>
        <v>M5XRS6</v>
      </c>
      <c r="D3623" s="2" t="s">
        <v>3420</v>
      </c>
      <c r="E3623" s="3">
        <v>0</v>
      </c>
      <c r="F3623" s="2">
        <v>1581</v>
      </c>
      <c r="G3623" s="2">
        <v>100</v>
      </c>
      <c r="H3623" s="2">
        <v>309</v>
      </c>
      <c r="I3623" s="2">
        <v>148</v>
      </c>
      <c r="J3623" s="2">
        <v>1074</v>
      </c>
      <c r="K3623" s="2">
        <v>1</v>
      </c>
      <c r="L3623" s="2">
        <v>309</v>
      </c>
    </row>
    <row r="3624" spans="1:12" x14ac:dyDescent="0.25">
      <c r="A3624" s="4" t="str">
        <f>HYPERLINK("http://www.rosaceae.org/Prunus/Prunus_persica/p.persica_gdr_reftransV1_0047750","p.persica_gdr_reftransV1_0047750")</f>
        <v>p.persica_gdr_reftransV1_0047750</v>
      </c>
      <c r="B3624" s="2">
        <v>1716</v>
      </c>
      <c r="C3624" s="4" t="str">
        <f>HYPERLINK("http://www.uniprot.org/uniprot/M5XPY9","M5XPY9")</f>
        <v>M5XPY9</v>
      </c>
      <c r="D3624" s="2" t="s">
        <v>3421</v>
      </c>
      <c r="E3624" s="3">
        <v>0</v>
      </c>
      <c r="F3624" s="2">
        <v>2370</v>
      </c>
      <c r="G3624" s="2">
        <v>100</v>
      </c>
      <c r="H3624" s="2">
        <v>502</v>
      </c>
      <c r="I3624" s="2">
        <v>209</v>
      </c>
      <c r="J3624" s="2">
        <v>1714</v>
      </c>
      <c r="K3624" s="2">
        <v>134</v>
      </c>
      <c r="L3624" s="2">
        <v>635</v>
      </c>
    </row>
    <row r="3625" spans="1:12" x14ac:dyDescent="0.25">
      <c r="A3625" s="4" t="str">
        <f>HYPERLINK("http://www.rosaceae.org/Prunus/Prunus_persica/p.persica_gdr_reftransV1_0048100","p.persica_gdr_reftransV1_0048100")</f>
        <v>p.persica_gdr_reftransV1_0048100</v>
      </c>
      <c r="B3625" s="2">
        <v>1182</v>
      </c>
      <c r="C3625" s="4" t="str">
        <f>HYPERLINK("http://www.uniprot.org/uniprot/M5W4W5","M5W4W5")</f>
        <v>M5W4W5</v>
      </c>
      <c r="D3625" s="2" t="s">
        <v>3422</v>
      </c>
      <c r="E3625" s="3">
        <v>1.2999999999999999E-71</v>
      </c>
      <c r="F3625" s="2">
        <v>590</v>
      </c>
      <c r="G3625" s="2">
        <v>99</v>
      </c>
      <c r="H3625" s="2">
        <v>113</v>
      </c>
      <c r="I3625" s="2">
        <v>843</v>
      </c>
      <c r="J3625" s="2">
        <v>1181</v>
      </c>
      <c r="K3625" s="2">
        <v>1</v>
      </c>
      <c r="L3625" s="2">
        <v>113</v>
      </c>
    </row>
    <row r="3626" spans="1:12" x14ac:dyDescent="0.25">
      <c r="A3626" s="4" t="str">
        <f>HYPERLINK("http://www.rosaceae.org/Prunus/Prunus_persica/p.persica_gdr_reftransV1_0048450","p.persica_gdr_reftransV1_0048450")</f>
        <v>p.persica_gdr_reftransV1_0048450</v>
      </c>
      <c r="B3626" s="2">
        <v>2342</v>
      </c>
      <c r="C3626" s="4" t="str">
        <f>HYPERLINK("http://www.uniprot.org/uniprot/M5VYP6","M5VYP6")</f>
        <v>M5VYP6</v>
      </c>
      <c r="D3626" s="2" t="s">
        <v>2648</v>
      </c>
      <c r="E3626" s="3">
        <v>0</v>
      </c>
      <c r="F3626" s="2">
        <v>2742</v>
      </c>
      <c r="G3626" s="2">
        <v>98</v>
      </c>
      <c r="H3626" s="2">
        <v>530</v>
      </c>
      <c r="I3626" s="2">
        <v>611</v>
      </c>
      <c r="J3626" s="2">
        <v>2197</v>
      </c>
      <c r="K3626" s="2">
        <v>1</v>
      </c>
      <c r="L3626" s="2">
        <v>530</v>
      </c>
    </row>
    <row r="3627" spans="1:12" x14ac:dyDescent="0.25">
      <c r="A3627" s="4" t="str">
        <f>HYPERLINK("http://www.rosaceae.org/Prunus/Prunus_persica/p.persica_gdr_reftransV1_0048800","p.persica_gdr_reftransV1_0048800")</f>
        <v>p.persica_gdr_reftransV1_0048800</v>
      </c>
      <c r="B3627" s="2">
        <v>406</v>
      </c>
      <c r="C3627" s="4" t="str">
        <f>HYPERLINK("http://www.uniprot.org/uniprot/M5WK21","M5WK21")</f>
        <v>M5WK21</v>
      </c>
      <c r="D3627" s="2" t="s">
        <v>2071</v>
      </c>
      <c r="E3627" s="3">
        <v>1.3E-59</v>
      </c>
      <c r="F3627" s="2">
        <v>519</v>
      </c>
      <c r="G3627" s="2">
        <v>100</v>
      </c>
      <c r="H3627" s="2">
        <v>96</v>
      </c>
      <c r="I3627" s="2">
        <v>118</v>
      </c>
      <c r="J3627" s="2">
        <v>405</v>
      </c>
      <c r="K3627" s="2">
        <v>24</v>
      </c>
      <c r="L3627" s="2">
        <v>119</v>
      </c>
    </row>
    <row r="3628" spans="1:12" x14ac:dyDescent="0.25">
      <c r="A3628" s="4" t="str">
        <f>HYPERLINK("http://www.rosaceae.org/Prunus/Prunus_persica/p.persica_gdr_reftransV1_0049150","p.persica_gdr_reftransV1_0049150")</f>
        <v>p.persica_gdr_reftransV1_0049150</v>
      </c>
      <c r="B3628" s="2">
        <v>816</v>
      </c>
      <c r="C3628" s="4" t="str">
        <f>HYPERLINK("http://www.uniprot.org/uniprot/M5VY46","M5VY46")</f>
        <v>M5VY46</v>
      </c>
      <c r="D3628" s="2" t="s">
        <v>3423</v>
      </c>
      <c r="E3628" s="3">
        <v>6.8699999999999999E-141</v>
      </c>
      <c r="F3628" s="2">
        <v>1069</v>
      </c>
      <c r="G3628" s="2">
        <v>100</v>
      </c>
      <c r="H3628" s="2">
        <v>230</v>
      </c>
      <c r="I3628" s="2">
        <v>1</v>
      </c>
      <c r="J3628" s="2">
        <v>690</v>
      </c>
      <c r="K3628" s="2">
        <v>221</v>
      </c>
      <c r="L3628" s="2">
        <v>450</v>
      </c>
    </row>
    <row r="3629" spans="1:12" x14ac:dyDescent="0.25">
      <c r="A3629" s="4" t="str">
        <f>HYPERLINK("http://www.rosaceae.org/Prunus/Prunus_persica/p.persica_gdr_reftransV1_0000015","p.persica_gdr_reftransV1_0000015")</f>
        <v>p.persica_gdr_reftransV1_0000015</v>
      </c>
      <c r="B3629" s="2">
        <v>815</v>
      </c>
      <c r="C3629" s="4" t="str">
        <f>HYPERLINK("http://www.uniprot.org/uniprot/M5W6P4","M5W6P4")</f>
        <v>M5W6P4</v>
      </c>
      <c r="D3629" s="2" t="s">
        <v>3424</v>
      </c>
      <c r="E3629" s="3">
        <v>9.1699999999999995E-79</v>
      </c>
      <c r="F3629" s="2">
        <v>627</v>
      </c>
      <c r="G3629" s="2">
        <v>100</v>
      </c>
      <c r="H3629" s="2">
        <v>132</v>
      </c>
      <c r="I3629" s="2">
        <v>87</v>
      </c>
      <c r="J3629" s="2">
        <v>482</v>
      </c>
      <c r="K3629" s="2">
        <v>1</v>
      </c>
      <c r="L3629" s="2">
        <v>132</v>
      </c>
    </row>
    <row r="3630" spans="1:12" x14ac:dyDescent="0.25">
      <c r="A3630" s="4" t="str">
        <f>HYPERLINK("http://www.rosaceae.org/Prunus/Prunus_persica/p.persica_gdr_reftransV1_0001065","p.persica_gdr_reftransV1_0001065")</f>
        <v>p.persica_gdr_reftransV1_0001065</v>
      </c>
      <c r="B3630" s="2">
        <v>2164</v>
      </c>
      <c r="C3630" s="4" t="str">
        <f>HYPERLINK("http://www.uniprot.org/uniprot/A0A067K592","A0A067K592")</f>
        <v>A0A067K592</v>
      </c>
      <c r="D3630" s="2" t="s">
        <v>3425</v>
      </c>
      <c r="E3630" s="3">
        <v>0</v>
      </c>
      <c r="F3630" s="2">
        <v>2370</v>
      </c>
      <c r="G3630" s="2">
        <v>83</v>
      </c>
      <c r="H3630" s="2">
        <v>552</v>
      </c>
      <c r="I3630" s="2">
        <v>116</v>
      </c>
      <c r="J3630" s="2">
        <v>1765</v>
      </c>
      <c r="K3630" s="2">
        <v>1</v>
      </c>
      <c r="L3630" s="2">
        <v>552</v>
      </c>
    </row>
    <row r="3631" spans="1:12" x14ac:dyDescent="0.25">
      <c r="A3631" s="4" t="str">
        <f>HYPERLINK("http://www.rosaceae.org/Prunus/Prunus_persica/p.persica_gdr_reftransV1_0001415","p.persica_gdr_reftransV1_0001415")</f>
        <v>p.persica_gdr_reftransV1_0001415</v>
      </c>
      <c r="B3631" s="2">
        <v>2086</v>
      </c>
      <c r="C3631" s="4" t="str">
        <f>HYPERLINK("http://www.uniprot.org/uniprot/M5XWE6","M5XWE6")</f>
        <v>M5XWE6</v>
      </c>
      <c r="D3631" s="2" t="s">
        <v>3426</v>
      </c>
      <c r="E3631" s="3">
        <v>0</v>
      </c>
      <c r="F3631" s="2">
        <v>2838</v>
      </c>
      <c r="G3631" s="2">
        <v>95</v>
      </c>
      <c r="H3631" s="2">
        <v>599</v>
      </c>
      <c r="I3631" s="2">
        <v>76</v>
      </c>
      <c r="J3631" s="2">
        <v>1872</v>
      </c>
      <c r="K3631" s="2">
        <v>17</v>
      </c>
      <c r="L3631" s="2">
        <v>583</v>
      </c>
    </row>
    <row r="3632" spans="1:12" x14ac:dyDescent="0.25">
      <c r="A3632" s="4" t="str">
        <f>HYPERLINK("http://www.rosaceae.org/Prunus/Prunus_persica/p.persica_gdr_reftransV1_0001765","p.persica_gdr_reftransV1_0001765")</f>
        <v>p.persica_gdr_reftransV1_0001765</v>
      </c>
      <c r="B3632" s="2">
        <v>2082</v>
      </c>
      <c r="C3632" s="4" t="str">
        <f>HYPERLINK("http://www.uniprot.org/uniprot/M5WBE3","M5WBE3")</f>
        <v>M5WBE3</v>
      </c>
      <c r="D3632" s="2" t="s">
        <v>3427</v>
      </c>
      <c r="E3632" s="3">
        <v>0</v>
      </c>
      <c r="F3632" s="2">
        <v>2867</v>
      </c>
      <c r="G3632" s="2">
        <v>100</v>
      </c>
      <c r="H3632" s="2">
        <v>544</v>
      </c>
      <c r="I3632" s="2">
        <v>162</v>
      </c>
      <c r="J3632" s="2">
        <v>1793</v>
      </c>
      <c r="K3632" s="2">
        <v>1</v>
      </c>
      <c r="L3632" s="2">
        <v>544</v>
      </c>
    </row>
    <row r="3633" spans="1:12" x14ac:dyDescent="0.25">
      <c r="A3633" s="4" t="str">
        <f>HYPERLINK("http://www.rosaceae.org/Prunus/Prunus_persica/p.persica_gdr_reftransV1_0002115","p.persica_gdr_reftransV1_0002115")</f>
        <v>p.persica_gdr_reftransV1_0002115</v>
      </c>
      <c r="B3633" s="2">
        <v>852</v>
      </c>
      <c r="C3633" s="4" t="str">
        <f>HYPERLINK("http://www.uniprot.org/uniprot/M5X0Y8","M5X0Y8")</f>
        <v>M5X0Y8</v>
      </c>
      <c r="D3633" s="2" t="s">
        <v>3428</v>
      </c>
      <c r="E3633" s="3">
        <v>3.2700000000000001E-93</v>
      </c>
      <c r="F3633" s="2">
        <v>732</v>
      </c>
      <c r="G3633" s="2">
        <v>100</v>
      </c>
      <c r="H3633" s="2">
        <v>180</v>
      </c>
      <c r="I3633" s="2">
        <v>82</v>
      </c>
      <c r="J3633" s="2">
        <v>621</v>
      </c>
      <c r="K3633" s="2">
        <v>38</v>
      </c>
      <c r="L3633" s="2">
        <v>217</v>
      </c>
    </row>
    <row r="3634" spans="1:12" x14ac:dyDescent="0.25">
      <c r="A3634" s="4" t="str">
        <f>HYPERLINK("http://www.rosaceae.org/Prunus/Prunus_persica/p.persica_gdr_reftransV1_0002465","p.persica_gdr_reftransV1_0002465")</f>
        <v>p.persica_gdr_reftransV1_0002465</v>
      </c>
      <c r="B3634" s="2">
        <v>3626</v>
      </c>
      <c r="C3634" s="4" t="str">
        <f>HYPERLINK("http://www.uniprot.org/uniprot/M5W2P4","M5W2P4")</f>
        <v>M5W2P4</v>
      </c>
      <c r="D3634" s="2" t="s">
        <v>3429</v>
      </c>
      <c r="E3634" s="3">
        <v>0</v>
      </c>
      <c r="F3634" s="2">
        <v>3220</v>
      </c>
      <c r="G3634" s="2">
        <v>100</v>
      </c>
      <c r="H3634" s="2">
        <v>663</v>
      </c>
      <c r="I3634" s="2">
        <v>158</v>
      </c>
      <c r="J3634" s="2">
        <v>2146</v>
      </c>
      <c r="K3634" s="2">
        <v>351</v>
      </c>
      <c r="L3634" s="2">
        <v>1013</v>
      </c>
    </row>
    <row r="3635" spans="1:12" x14ac:dyDescent="0.25">
      <c r="A3635" s="4" t="str">
        <f>HYPERLINK("http://www.rosaceae.org/Prunus/Prunus_persica/p.persica_gdr_reftransV1_0002815","p.persica_gdr_reftransV1_0002815")</f>
        <v>p.persica_gdr_reftransV1_0002815</v>
      </c>
      <c r="B3635" s="2">
        <v>1913</v>
      </c>
      <c r="C3635" s="4" t="str">
        <f>HYPERLINK("http://www.uniprot.org/uniprot/M5WHI8","M5WHI8")</f>
        <v>M5WHI8</v>
      </c>
      <c r="D3635" s="2" t="s">
        <v>3430</v>
      </c>
      <c r="E3635" s="3">
        <v>0</v>
      </c>
      <c r="F3635" s="2">
        <v>2548</v>
      </c>
      <c r="G3635" s="2">
        <v>100</v>
      </c>
      <c r="H3635" s="2">
        <v>501</v>
      </c>
      <c r="I3635" s="2">
        <v>56</v>
      </c>
      <c r="J3635" s="2">
        <v>1558</v>
      </c>
      <c r="K3635" s="2">
        <v>1</v>
      </c>
      <c r="L3635" s="2">
        <v>501</v>
      </c>
    </row>
    <row r="3636" spans="1:12" x14ac:dyDescent="0.25">
      <c r="A3636" s="4" t="str">
        <f>HYPERLINK("http://www.rosaceae.org/Prunus/Prunus_persica/p.persica_gdr_reftransV1_0003165","p.persica_gdr_reftransV1_0003165")</f>
        <v>p.persica_gdr_reftransV1_0003165</v>
      </c>
      <c r="B3636" s="2">
        <v>3391</v>
      </c>
      <c r="C3636" s="4" t="str">
        <f>HYPERLINK("http://www.uniprot.org/uniprot/Q5I190","Q5I190")</f>
        <v>Q5I190</v>
      </c>
      <c r="D3636" s="2" t="s">
        <v>3431</v>
      </c>
      <c r="E3636" s="3">
        <v>0</v>
      </c>
      <c r="F3636" s="2">
        <v>4510</v>
      </c>
      <c r="G3636" s="2">
        <v>100</v>
      </c>
      <c r="H3636" s="2">
        <v>853</v>
      </c>
      <c r="I3636" s="2">
        <v>515</v>
      </c>
      <c r="J3636" s="2">
        <v>3073</v>
      </c>
      <c r="K3636" s="2">
        <v>1</v>
      </c>
      <c r="L3636" s="2">
        <v>853</v>
      </c>
    </row>
    <row r="3637" spans="1:12" x14ac:dyDescent="0.25">
      <c r="A3637" s="4" t="str">
        <f>HYPERLINK("http://www.rosaceae.org/Prunus/Prunus_persica/p.persica_gdr_reftransV1_0003515","p.persica_gdr_reftransV1_0003515")</f>
        <v>p.persica_gdr_reftransV1_0003515</v>
      </c>
      <c r="B3637" s="2">
        <v>1148</v>
      </c>
      <c r="C3637" s="4" t="str">
        <f>HYPERLINK("http://www.uniprot.org/uniprot/M5W6Z4","M5W6Z4")</f>
        <v>M5W6Z4</v>
      </c>
      <c r="D3637" s="2" t="s">
        <v>3432</v>
      </c>
      <c r="E3637" s="3">
        <v>1.01E-177</v>
      </c>
      <c r="F3637" s="2">
        <v>1304</v>
      </c>
      <c r="G3637" s="2">
        <v>100</v>
      </c>
      <c r="H3637" s="2">
        <v>245</v>
      </c>
      <c r="I3637" s="2">
        <v>101</v>
      </c>
      <c r="J3637" s="2">
        <v>835</v>
      </c>
      <c r="K3637" s="2">
        <v>1</v>
      </c>
      <c r="L3637" s="2">
        <v>245</v>
      </c>
    </row>
    <row r="3638" spans="1:12" x14ac:dyDescent="0.25">
      <c r="A3638" s="4" t="str">
        <f>HYPERLINK("http://www.rosaceae.org/Prunus/Prunus_persica/p.persica_gdr_reftransV1_0003865","p.persica_gdr_reftransV1_0003865")</f>
        <v>p.persica_gdr_reftransV1_0003865</v>
      </c>
      <c r="B3638" s="2">
        <v>1618</v>
      </c>
      <c r="C3638" s="4" t="str">
        <f>HYPERLINK("http://www.uniprot.org/uniprot/W9S8G4","W9S8G4")</f>
        <v>W9S8G4</v>
      </c>
      <c r="D3638" s="2" t="s">
        <v>3433</v>
      </c>
      <c r="E3638" s="3">
        <v>5.7100000000000004E-174</v>
      </c>
      <c r="F3638" s="2">
        <v>997</v>
      </c>
      <c r="G3638" s="2">
        <v>83</v>
      </c>
      <c r="H3638" s="2">
        <v>221</v>
      </c>
      <c r="I3638" s="2">
        <v>232</v>
      </c>
      <c r="J3638" s="2">
        <v>894</v>
      </c>
      <c r="K3638" s="2">
        <v>187</v>
      </c>
      <c r="L3638" s="2">
        <v>407</v>
      </c>
    </row>
    <row r="3639" spans="1:12" x14ac:dyDescent="0.25">
      <c r="A3639" s="4" t="str">
        <f>HYPERLINK("http://www.rosaceae.org/Prunus/Prunus_persica/p.persica_gdr_reftransV1_0004565","p.persica_gdr_reftransV1_0004565")</f>
        <v>p.persica_gdr_reftransV1_0004565</v>
      </c>
      <c r="B3639" s="2">
        <v>987</v>
      </c>
      <c r="C3639" s="4" t="str">
        <f>HYPERLINK("http://www.uniprot.org/uniprot/M5W6Z0","M5W6Z0")</f>
        <v>M5W6Z0</v>
      </c>
      <c r="D3639" s="2" t="s">
        <v>3434</v>
      </c>
      <c r="E3639" s="3">
        <v>3.0500000000000003E-107</v>
      </c>
      <c r="F3639" s="2">
        <v>637</v>
      </c>
      <c r="G3639" s="2">
        <v>95</v>
      </c>
      <c r="H3639" s="2">
        <v>155</v>
      </c>
      <c r="I3639" s="2">
        <v>431</v>
      </c>
      <c r="J3639" s="2">
        <v>895</v>
      </c>
      <c r="K3639" s="2">
        <v>1</v>
      </c>
      <c r="L3639" s="2">
        <v>155</v>
      </c>
    </row>
    <row r="3640" spans="1:12" x14ac:dyDescent="0.25">
      <c r="A3640" s="4" t="str">
        <f>HYPERLINK("http://www.rosaceae.org/Prunus/Prunus_persica/p.persica_gdr_reftransV1_0005265","p.persica_gdr_reftransV1_0005265")</f>
        <v>p.persica_gdr_reftransV1_0005265</v>
      </c>
      <c r="B3640" s="2">
        <v>2877</v>
      </c>
      <c r="C3640" s="4" t="str">
        <f>HYPERLINK("http://www.uniprot.org/uniprot/M5X036","M5X036")</f>
        <v>M5X036</v>
      </c>
      <c r="D3640" s="2" t="s">
        <v>3435</v>
      </c>
      <c r="E3640" s="3">
        <v>3.4099999999999998E-81</v>
      </c>
      <c r="F3640" s="2">
        <v>690</v>
      </c>
      <c r="G3640" s="2">
        <v>100</v>
      </c>
      <c r="H3640" s="2">
        <v>132</v>
      </c>
      <c r="I3640" s="2">
        <v>2150</v>
      </c>
      <c r="J3640" s="2">
        <v>2545</v>
      </c>
      <c r="K3640" s="2">
        <v>3</v>
      </c>
      <c r="L3640" s="2">
        <v>134</v>
      </c>
    </row>
    <row r="3641" spans="1:12" x14ac:dyDescent="0.25">
      <c r="A3641" s="4" t="str">
        <f>HYPERLINK("http://www.rosaceae.org/Prunus/Prunus_persica/p.persica_gdr_reftransV1_0005615","p.persica_gdr_reftransV1_0005615")</f>
        <v>p.persica_gdr_reftransV1_0005615</v>
      </c>
      <c r="B3641" s="2">
        <v>401</v>
      </c>
      <c r="C3641" s="4" t="str">
        <f>HYPERLINK("http://www.uniprot.org/uniprot/M5XIP9","M5XIP9")</f>
        <v>M5XIP9</v>
      </c>
      <c r="D3641" s="2" t="s">
        <v>3436</v>
      </c>
      <c r="E3641" s="3">
        <v>2.09E-54</v>
      </c>
      <c r="F3641" s="2">
        <v>489</v>
      </c>
      <c r="G3641" s="2">
        <v>100</v>
      </c>
      <c r="H3641" s="2">
        <v>92</v>
      </c>
      <c r="I3641" s="2">
        <v>126</v>
      </c>
      <c r="J3641" s="2">
        <v>401</v>
      </c>
      <c r="K3641" s="2">
        <v>811</v>
      </c>
      <c r="L3641" s="2">
        <v>902</v>
      </c>
    </row>
    <row r="3642" spans="1:12" x14ac:dyDescent="0.25">
      <c r="A3642" s="4" t="str">
        <f>HYPERLINK("http://www.rosaceae.org/Prunus/Prunus_persica/p.persica_gdr_reftransV1_0006315","p.persica_gdr_reftransV1_0006315")</f>
        <v>p.persica_gdr_reftransV1_0006315</v>
      </c>
      <c r="B3642" s="2">
        <v>623</v>
      </c>
      <c r="C3642" s="4" t="str">
        <f>HYPERLINK("http://www.uniprot.org/uniprot/M5W549","M5W549")</f>
        <v>M5W549</v>
      </c>
      <c r="D3642" s="2" t="s">
        <v>2814</v>
      </c>
      <c r="E3642" s="3">
        <v>2.12E-144</v>
      </c>
      <c r="F3642" s="2">
        <v>1110</v>
      </c>
      <c r="G3642" s="2">
        <v>100</v>
      </c>
      <c r="H3642" s="2">
        <v>207</v>
      </c>
      <c r="I3642" s="2">
        <v>2</v>
      </c>
      <c r="J3642" s="2">
        <v>622</v>
      </c>
      <c r="K3642" s="2">
        <v>2</v>
      </c>
      <c r="L3642" s="2">
        <v>208</v>
      </c>
    </row>
    <row r="3643" spans="1:12" x14ac:dyDescent="0.25">
      <c r="A3643" s="4" t="str">
        <f>HYPERLINK("http://www.rosaceae.org/Prunus/Prunus_persica/p.persica_gdr_reftransV1_0006665","p.persica_gdr_reftransV1_0006665")</f>
        <v>p.persica_gdr_reftransV1_0006665</v>
      </c>
      <c r="B3643" s="2">
        <v>590</v>
      </c>
      <c r="C3643" s="4" t="str">
        <f>HYPERLINK("http://www.uniprot.org/uniprot/M5X4N7","M5X4N7")</f>
        <v>M5X4N7</v>
      </c>
      <c r="D3643" s="2" t="s">
        <v>3437</v>
      </c>
      <c r="E3643" s="3">
        <v>1.3699999999999999E-119</v>
      </c>
      <c r="F3643" s="2">
        <v>970</v>
      </c>
      <c r="G3643" s="2">
        <v>95</v>
      </c>
      <c r="H3643" s="2">
        <v>193</v>
      </c>
      <c r="I3643" s="2">
        <v>10</v>
      </c>
      <c r="J3643" s="2">
        <v>588</v>
      </c>
      <c r="K3643" s="2">
        <v>597</v>
      </c>
      <c r="L3643" s="2">
        <v>789</v>
      </c>
    </row>
    <row r="3644" spans="1:12" x14ac:dyDescent="0.25">
      <c r="A3644" s="4" t="str">
        <f>HYPERLINK("http://www.rosaceae.org/Prunus/Prunus_persica/p.persica_gdr_reftransV1_0007015","p.persica_gdr_reftransV1_0007015")</f>
        <v>p.persica_gdr_reftransV1_0007015</v>
      </c>
      <c r="B3644" s="2">
        <v>3972</v>
      </c>
      <c r="C3644" s="4" t="str">
        <f>HYPERLINK("http://www.uniprot.org/uniprot/M5X2H5","M5X2H5")</f>
        <v>M5X2H5</v>
      </c>
      <c r="D3644" s="2" t="s">
        <v>3438</v>
      </c>
      <c r="E3644" s="3">
        <v>0</v>
      </c>
      <c r="F3644" s="2">
        <v>3146</v>
      </c>
      <c r="G3644" s="2">
        <v>99</v>
      </c>
      <c r="H3644" s="2">
        <v>611</v>
      </c>
      <c r="I3644" s="2">
        <v>707</v>
      </c>
      <c r="J3644" s="2">
        <v>2539</v>
      </c>
      <c r="K3644" s="2">
        <v>23</v>
      </c>
      <c r="L3644" s="2">
        <v>633</v>
      </c>
    </row>
    <row r="3645" spans="1:12" x14ac:dyDescent="0.25">
      <c r="A3645" s="4" t="str">
        <f>HYPERLINK("http://www.rosaceae.org/Prunus/Prunus_persica/p.persica_gdr_reftransV1_0008765","p.persica_gdr_reftransV1_0008765")</f>
        <v>p.persica_gdr_reftransV1_0008765</v>
      </c>
      <c r="B3645" s="2">
        <v>955</v>
      </c>
      <c r="C3645" s="4" t="str">
        <f>HYPERLINK("http://www.uniprot.org/uniprot/M5VZL5","M5VZL5")</f>
        <v>M5VZL5</v>
      </c>
      <c r="D3645" s="2" t="s">
        <v>3439</v>
      </c>
      <c r="E3645" s="3">
        <v>2.39E-38</v>
      </c>
      <c r="F3645" s="2">
        <v>361</v>
      </c>
      <c r="G3645" s="2">
        <v>100</v>
      </c>
      <c r="H3645" s="2">
        <v>134</v>
      </c>
      <c r="I3645" s="2">
        <v>134</v>
      </c>
      <c r="J3645" s="2">
        <v>535</v>
      </c>
      <c r="K3645" s="2">
        <v>1</v>
      </c>
      <c r="L3645" s="2">
        <v>134</v>
      </c>
    </row>
    <row r="3646" spans="1:12" x14ac:dyDescent="0.25">
      <c r="A3646" s="4" t="str">
        <f>HYPERLINK("http://www.rosaceae.org/Prunus/Prunus_persica/p.persica_gdr_reftransV1_0009115","p.persica_gdr_reftransV1_0009115")</f>
        <v>p.persica_gdr_reftransV1_0009115</v>
      </c>
      <c r="B3646" s="2">
        <v>500</v>
      </c>
      <c r="C3646" s="4" t="str">
        <f>HYPERLINK("http://www.uniprot.org/uniprot/M5XP05","M5XP05")</f>
        <v>M5XP05</v>
      </c>
      <c r="D3646" s="2" t="s">
        <v>3440</v>
      </c>
      <c r="E3646" s="3">
        <v>4.4099999999999999E-60</v>
      </c>
      <c r="F3646" s="2">
        <v>489</v>
      </c>
      <c r="G3646" s="2">
        <v>100</v>
      </c>
      <c r="H3646" s="2">
        <v>91</v>
      </c>
      <c r="I3646" s="2">
        <v>134</v>
      </c>
      <c r="J3646" s="2">
        <v>406</v>
      </c>
      <c r="K3646" s="2">
        <v>1</v>
      </c>
      <c r="L3646" s="2">
        <v>91</v>
      </c>
    </row>
    <row r="3647" spans="1:12" x14ac:dyDescent="0.25">
      <c r="A3647" s="4" t="str">
        <f>HYPERLINK("http://www.rosaceae.org/Prunus/Prunus_persica/p.persica_gdr_reftransV1_0009465","p.persica_gdr_reftransV1_0009465")</f>
        <v>p.persica_gdr_reftransV1_0009465</v>
      </c>
      <c r="B3647" s="2">
        <v>1385</v>
      </c>
      <c r="C3647" s="4" t="str">
        <f>HYPERLINK("http://www.uniprot.org/uniprot/M5WWD0","M5WWD0")</f>
        <v>M5WWD0</v>
      </c>
      <c r="D3647" s="2" t="s">
        <v>3441</v>
      </c>
      <c r="E3647" s="3">
        <v>7.0400000000000003E-158</v>
      </c>
      <c r="F3647" s="2">
        <v>1245</v>
      </c>
      <c r="G3647" s="2">
        <v>100</v>
      </c>
      <c r="H3647" s="2">
        <v>260</v>
      </c>
      <c r="I3647" s="2">
        <v>31</v>
      </c>
      <c r="J3647" s="2">
        <v>810</v>
      </c>
      <c r="K3647" s="2">
        <v>678</v>
      </c>
      <c r="L3647" s="2">
        <v>937</v>
      </c>
    </row>
    <row r="3648" spans="1:12" x14ac:dyDescent="0.25">
      <c r="A3648" s="4" t="str">
        <f>HYPERLINK("http://www.rosaceae.org/Prunus/Prunus_persica/p.persica_gdr_reftransV1_0009815","p.persica_gdr_reftransV1_0009815")</f>
        <v>p.persica_gdr_reftransV1_0009815</v>
      </c>
      <c r="B3648" s="2">
        <v>2495</v>
      </c>
      <c r="C3648" s="4" t="str">
        <f>HYPERLINK("http://www.uniprot.org/uniprot/M5WFA8","M5WFA8")</f>
        <v>M5WFA8</v>
      </c>
      <c r="D3648" s="2" t="s">
        <v>3442</v>
      </c>
      <c r="E3648" s="3">
        <v>0</v>
      </c>
      <c r="F3648" s="2">
        <v>2404</v>
      </c>
      <c r="G3648" s="2">
        <v>100</v>
      </c>
      <c r="H3648" s="2">
        <v>535</v>
      </c>
      <c r="I3648" s="2">
        <v>581</v>
      </c>
      <c r="J3648" s="2">
        <v>2185</v>
      </c>
      <c r="K3648" s="2">
        <v>5</v>
      </c>
      <c r="L3648" s="2">
        <v>539</v>
      </c>
    </row>
    <row r="3649" spans="1:12" x14ac:dyDescent="0.25">
      <c r="A3649" s="4" t="str">
        <f>HYPERLINK("http://www.rosaceae.org/Prunus/Prunus_persica/p.persica_gdr_reftransV1_0010865","p.persica_gdr_reftransV1_0010865")</f>
        <v>p.persica_gdr_reftransV1_0010865</v>
      </c>
      <c r="B3649" s="2">
        <v>1390</v>
      </c>
      <c r="C3649" s="4" t="str">
        <f>HYPERLINK("http://www.uniprot.org/uniprot/M5W2F6","M5W2F6")</f>
        <v>M5W2F6</v>
      </c>
      <c r="D3649" s="2" t="s">
        <v>3443</v>
      </c>
      <c r="E3649" s="3">
        <v>0</v>
      </c>
      <c r="F3649" s="2">
        <v>1645</v>
      </c>
      <c r="G3649" s="2">
        <v>100</v>
      </c>
      <c r="H3649" s="2">
        <v>324</v>
      </c>
      <c r="I3649" s="2">
        <v>164</v>
      </c>
      <c r="J3649" s="2">
        <v>1135</v>
      </c>
      <c r="K3649" s="2">
        <v>1</v>
      </c>
      <c r="L3649" s="2">
        <v>324</v>
      </c>
    </row>
    <row r="3650" spans="1:12" x14ac:dyDescent="0.25">
      <c r="A3650" s="4" t="str">
        <f>HYPERLINK("http://www.rosaceae.org/Prunus/Prunus_persica/p.persica_gdr_reftransV1_0011215","p.persica_gdr_reftransV1_0011215")</f>
        <v>p.persica_gdr_reftransV1_0011215</v>
      </c>
      <c r="B3650" s="2">
        <v>1080</v>
      </c>
      <c r="C3650" s="4" t="str">
        <f>HYPERLINK("http://www.uniprot.org/uniprot/M5VR36","M5VR36")</f>
        <v>M5VR36</v>
      </c>
      <c r="D3650" s="2" t="s">
        <v>3444</v>
      </c>
      <c r="E3650" s="3">
        <v>5.3200000000000002E-98</v>
      </c>
      <c r="F3650" s="2">
        <v>770</v>
      </c>
      <c r="G3650" s="2">
        <v>100</v>
      </c>
      <c r="H3650" s="2">
        <v>189</v>
      </c>
      <c r="I3650" s="2">
        <v>45</v>
      </c>
      <c r="J3650" s="2">
        <v>611</v>
      </c>
      <c r="K3650" s="2">
        <v>1</v>
      </c>
      <c r="L3650" s="2">
        <v>189</v>
      </c>
    </row>
    <row r="3651" spans="1:12" x14ac:dyDescent="0.25">
      <c r="A3651" s="4" t="str">
        <f>HYPERLINK("http://www.rosaceae.org/Prunus/Prunus_persica/p.persica_gdr_reftransV1_0011565","p.persica_gdr_reftransV1_0011565")</f>
        <v>p.persica_gdr_reftransV1_0011565</v>
      </c>
      <c r="B3651" s="2">
        <v>891</v>
      </c>
      <c r="C3651" s="4" t="str">
        <f>HYPERLINK("http://www.uniprot.org/uniprot/W9RB80","W9RB80")</f>
        <v>W9RB80</v>
      </c>
      <c r="D3651" s="2" t="s">
        <v>3445</v>
      </c>
      <c r="E3651" s="3">
        <v>4.9299999999999999E-34</v>
      </c>
      <c r="F3651" s="2">
        <v>343</v>
      </c>
      <c r="G3651" s="2">
        <v>42</v>
      </c>
      <c r="H3651" s="2">
        <v>199</v>
      </c>
      <c r="I3651" s="2">
        <v>146</v>
      </c>
      <c r="J3651" s="2">
        <v>727</v>
      </c>
      <c r="K3651" s="2">
        <v>126</v>
      </c>
      <c r="L3651" s="2">
        <v>318</v>
      </c>
    </row>
    <row r="3652" spans="1:12" x14ac:dyDescent="0.25">
      <c r="A3652" s="4" t="str">
        <f>HYPERLINK("http://www.rosaceae.org/Prunus/Prunus_persica/p.persica_gdr_reftransV1_0011915","p.persica_gdr_reftransV1_0011915")</f>
        <v>p.persica_gdr_reftransV1_0011915</v>
      </c>
      <c r="B3652" s="2">
        <v>1068</v>
      </c>
      <c r="C3652" s="4" t="str">
        <f>HYPERLINK("http://www.uniprot.org/uniprot/M5Y1T1","M5Y1T1")</f>
        <v>M5Y1T1</v>
      </c>
      <c r="D3652" s="2" t="s">
        <v>2586</v>
      </c>
      <c r="E3652" s="3">
        <v>1.05E-105</v>
      </c>
      <c r="F3652" s="2">
        <v>878</v>
      </c>
      <c r="G3652" s="2">
        <v>85</v>
      </c>
      <c r="H3652" s="2">
        <v>204</v>
      </c>
      <c r="I3652" s="2">
        <v>457</v>
      </c>
      <c r="J3652" s="2">
        <v>1068</v>
      </c>
      <c r="K3652" s="2">
        <v>762</v>
      </c>
      <c r="L3652" s="2">
        <v>934</v>
      </c>
    </row>
    <row r="3653" spans="1:12" x14ac:dyDescent="0.25">
      <c r="A3653" s="4" t="str">
        <f>HYPERLINK("http://www.rosaceae.org/Prunus/Prunus_persica/p.persica_gdr_reftransV1_0012615","p.persica_gdr_reftransV1_0012615")</f>
        <v>p.persica_gdr_reftransV1_0012615</v>
      </c>
      <c r="B3653" s="2">
        <v>2404</v>
      </c>
      <c r="C3653" s="4" t="str">
        <f>HYPERLINK("http://www.uniprot.org/uniprot/M5WCJ0","M5WCJ0")</f>
        <v>M5WCJ0</v>
      </c>
      <c r="D3653" s="2" t="s">
        <v>3446</v>
      </c>
      <c r="E3653" s="3">
        <v>1.1100000000000001E-96</v>
      </c>
      <c r="F3653" s="2">
        <v>800</v>
      </c>
      <c r="G3653" s="2">
        <v>99</v>
      </c>
      <c r="H3653" s="2">
        <v>204</v>
      </c>
      <c r="I3653" s="2">
        <v>1715</v>
      </c>
      <c r="J3653" s="2">
        <v>2326</v>
      </c>
      <c r="K3653" s="2">
        <v>1</v>
      </c>
      <c r="L3653" s="2">
        <v>204</v>
      </c>
    </row>
    <row r="3654" spans="1:12" x14ac:dyDescent="0.25">
      <c r="A3654" s="4" t="str">
        <f>HYPERLINK("http://www.rosaceae.org/Prunus/Prunus_persica/p.persica_gdr_reftransV1_0012965","p.persica_gdr_reftransV1_0012965")</f>
        <v>p.persica_gdr_reftransV1_0012965</v>
      </c>
      <c r="B3654" s="2">
        <v>2958</v>
      </c>
      <c r="C3654" s="4" t="str">
        <f>HYPERLINK("http://www.uniprot.org/uniprot/M5W1P7","M5W1P7")</f>
        <v>M5W1P7</v>
      </c>
      <c r="D3654" s="2" t="s">
        <v>3447</v>
      </c>
      <c r="E3654" s="3">
        <v>0</v>
      </c>
      <c r="F3654" s="2">
        <v>4105</v>
      </c>
      <c r="G3654" s="2">
        <v>97</v>
      </c>
      <c r="H3654" s="2">
        <v>858</v>
      </c>
      <c r="I3654" s="2">
        <v>289</v>
      </c>
      <c r="J3654" s="2">
        <v>2862</v>
      </c>
      <c r="K3654" s="2">
        <v>13</v>
      </c>
      <c r="L3654" s="2">
        <v>842</v>
      </c>
    </row>
    <row r="3655" spans="1:12" x14ac:dyDescent="0.25">
      <c r="A3655" s="4" t="str">
        <f>HYPERLINK("http://www.rosaceae.org/Prunus/Prunus_persica/p.persica_gdr_reftransV1_0013315","p.persica_gdr_reftransV1_0013315")</f>
        <v>p.persica_gdr_reftransV1_0013315</v>
      </c>
      <c r="B3655" s="2">
        <v>1268</v>
      </c>
      <c r="C3655" s="4" t="str">
        <f>HYPERLINK("http://www.uniprot.org/uniprot/M5WAA6","M5WAA6")</f>
        <v>M5WAA6</v>
      </c>
      <c r="D3655" s="2" t="s">
        <v>3448</v>
      </c>
      <c r="E3655" s="3">
        <v>1.51E-173</v>
      </c>
      <c r="F3655" s="2">
        <v>1284</v>
      </c>
      <c r="G3655" s="2">
        <v>100</v>
      </c>
      <c r="H3655" s="2">
        <v>279</v>
      </c>
      <c r="I3655" s="2">
        <v>304</v>
      </c>
      <c r="J3655" s="2">
        <v>1140</v>
      </c>
      <c r="K3655" s="2">
        <v>1</v>
      </c>
      <c r="L3655" s="2">
        <v>279</v>
      </c>
    </row>
    <row r="3656" spans="1:12" x14ac:dyDescent="0.25">
      <c r="A3656" s="4" t="str">
        <f>HYPERLINK("http://www.rosaceae.org/Prunus/Prunus_persica/p.persica_gdr_reftransV1_0014365","p.persica_gdr_reftransV1_0014365")</f>
        <v>p.persica_gdr_reftransV1_0014365</v>
      </c>
      <c r="B3656" s="2">
        <v>2032</v>
      </c>
      <c r="C3656" s="4" t="str">
        <f>HYPERLINK("http://www.uniprot.org/uniprot/M5XS40","M5XS40")</f>
        <v>M5XS40</v>
      </c>
      <c r="D3656" s="2" t="s">
        <v>3449</v>
      </c>
      <c r="E3656" s="3">
        <v>0</v>
      </c>
      <c r="F3656" s="2">
        <v>2588</v>
      </c>
      <c r="G3656" s="2">
        <v>100</v>
      </c>
      <c r="H3656" s="2">
        <v>624</v>
      </c>
      <c r="I3656" s="2">
        <v>161</v>
      </c>
      <c r="J3656" s="2">
        <v>2032</v>
      </c>
      <c r="K3656" s="2">
        <v>22</v>
      </c>
      <c r="L3656" s="2">
        <v>645</v>
      </c>
    </row>
    <row r="3657" spans="1:12" x14ac:dyDescent="0.25">
      <c r="A3657" s="4" t="str">
        <f>HYPERLINK("http://www.rosaceae.org/Prunus/Prunus_persica/p.persica_gdr_reftransV1_0014715","p.persica_gdr_reftransV1_0014715")</f>
        <v>p.persica_gdr_reftransV1_0014715</v>
      </c>
      <c r="B3657" s="2">
        <v>2584</v>
      </c>
      <c r="C3657" s="4" t="str">
        <f>HYPERLINK("http://www.uniprot.org/uniprot/M5WSM0","M5WSM0")</f>
        <v>M5WSM0</v>
      </c>
      <c r="D3657" s="2" t="s">
        <v>3450</v>
      </c>
      <c r="E3657" s="3">
        <v>0</v>
      </c>
      <c r="F3657" s="2">
        <v>3606</v>
      </c>
      <c r="G3657" s="2">
        <v>100</v>
      </c>
      <c r="H3657" s="2">
        <v>666</v>
      </c>
      <c r="I3657" s="2">
        <v>327</v>
      </c>
      <c r="J3657" s="2">
        <v>2324</v>
      </c>
      <c r="K3657" s="2">
        <v>1</v>
      </c>
      <c r="L3657" s="2">
        <v>666</v>
      </c>
    </row>
    <row r="3658" spans="1:12" x14ac:dyDescent="0.25">
      <c r="A3658" s="4" t="str">
        <f>HYPERLINK("http://www.rosaceae.org/Prunus/Prunus_persica/p.persica_gdr_reftransV1_0015065","p.persica_gdr_reftransV1_0015065")</f>
        <v>p.persica_gdr_reftransV1_0015065</v>
      </c>
      <c r="B3658" s="2">
        <v>692</v>
      </c>
      <c r="C3658" s="4" t="str">
        <f>HYPERLINK("http://www.uniprot.org/uniprot/M5WL42","M5WL42")</f>
        <v>M5WL42</v>
      </c>
      <c r="D3658" s="2" t="s">
        <v>3451</v>
      </c>
      <c r="E3658" s="3">
        <v>7.2100000000000006E-64</v>
      </c>
      <c r="F3658" s="2">
        <v>573</v>
      </c>
      <c r="G3658" s="2">
        <v>64</v>
      </c>
      <c r="H3658" s="2">
        <v>201</v>
      </c>
      <c r="I3658" s="2">
        <v>3</v>
      </c>
      <c r="J3658" s="2">
        <v>605</v>
      </c>
      <c r="K3658" s="2">
        <v>968</v>
      </c>
      <c r="L3658" s="2">
        <v>1128</v>
      </c>
    </row>
    <row r="3659" spans="1:12" x14ac:dyDescent="0.25">
      <c r="A3659" s="4" t="str">
        <f>HYPERLINK("http://www.rosaceae.org/Prunus/Prunus_persica/p.persica_gdr_reftransV1_0015765","p.persica_gdr_reftransV1_0015765")</f>
        <v>p.persica_gdr_reftransV1_0015765</v>
      </c>
      <c r="B3659" s="2">
        <v>1384</v>
      </c>
      <c r="C3659" s="4" t="str">
        <f>HYPERLINK("http://www.uniprot.org/uniprot/M5XEH6","M5XEH6")</f>
        <v>M5XEH6</v>
      </c>
      <c r="D3659" s="2" t="s">
        <v>3452</v>
      </c>
      <c r="E3659" s="3">
        <v>0</v>
      </c>
      <c r="F3659" s="2">
        <v>1537</v>
      </c>
      <c r="G3659" s="2">
        <v>100</v>
      </c>
      <c r="H3659" s="2">
        <v>309</v>
      </c>
      <c r="I3659" s="2">
        <v>227</v>
      </c>
      <c r="J3659" s="2">
        <v>1153</v>
      </c>
      <c r="K3659" s="2">
        <v>1</v>
      </c>
      <c r="L3659" s="2">
        <v>309</v>
      </c>
    </row>
    <row r="3660" spans="1:12" x14ac:dyDescent="0.25">
      <c r="A3660" s="4" t="str">
        <f>HYPERLINK("http://www.rosaceae.org/Prunus/Prunus_persica/p.persica_gdr_reftransV1_0016115","p.persica_gdr_reftransV1_0016115")</f>
        <v>p.persica_gdr_reftransV1_0016115</v>
      </c>
      <c r="B3660" s="2">
        <v>798</v>
      </c>
      <c r="C3660" s="4" t="str">
        <f>HYPERLINK("http://www.uniprot.org/uniprot/A8MRL0","A8MRL0")</f>
        <v>A8MRL0</v>
      </c>
      <c r="D3660" s="2" t="s">
        <v>3453</v>
      </c>
      <c r="E3660" s="3">
        <v>7.3599999999999999E-85</v>
      </c>
      <c r="F3660" s="2">
        <v>670</v>
      </c>
      <c r="G3660" s="2">
        <v>95</v>
      </c>
      <c r="H3660" s="2">
        <v>139</v>
      </c>
      <c r="I3660" s="2">
        <v>114</v>
      </c>
      <c r="J3660" s="2">
        <v>530</v>
      </c>
      <c r="K3660" s="2">
        <v>21</v>
      </c>
      <c r="L3660" s="2">
        <v>155</v>
      </c>
    </row>
    <row r="3661" spans="1:12" x14ac:dyDescent="0.25">
      <c r="A3661" s="4" t="str">
        <f>HYPERLINK("http://www.rosaceae.org/Prunus/Prunus_persica/p.persica_gdr_reftransV1_0016465","p.persica_gdr_reftransV1_0016465")</f>
        <v>p.persica_gdr_reftransV1_0016465</v>
      </c>
      <c r="B3661" s="2">
        <v>2190</v>
      </c>
      <c r="C3661" s="4" t="str">
        <f>HYPERLINK("http://www.uniprot.org/uniprot/M5VPG4","M5VPG4")</f>
        <v>M5VPG4</v>
      </c>
      <c r="D3661" s="2" t="s">
        <v>3454</v>
      </c>
      <c r="E3661" s="3">
        <v>0</v>
      </c>
      <c r="F3661" s="2">
        <v>2459</v>
      </c>
      <c r="G3661" s="2">
        <v>100</v>
      </c>
      <c r="H3661" s="2">
        <v>472</v>
      </c>
      <c r="I3661" s="2">
        <v>569</v>
      </c>
      <c r="J3661" s="2">
        <v>1984</v>
      </c>
      <c r="K3661" s="2">
        <v>18</v>
      </c>
      <c r="L3661" s="2">
        <v>489</v>
      </c>
    </row>
    <row r="3662" spans="1:12" x14ac:dyDescent="0.25">
      <c r="A3662" s="4" t="str">
        <f>HYPERLINK("http://www.rosaceae.org/Prunus/Prunus_persica/p.persica_gdr_reftransV1_0018215","p.persica_gdr_reftransV1_0018215")</f>
        <v>p.persica_gdr_reftransV1_0018215</v>
      </c>
      <c r="B3662" s="2">
        <v>2272</v>
      </c>
      <c r="C3662" s="4" t="str">
        <f>HYPERLINK("http://www.uniprot.org/uniprot/M5WVQ9","M5WVQ9")</f>
        <v>M5WVQ9</v>
      </c>
      <c r="D3662" s="2" t="s">
        <v>3455</v>
      </c>
      <c r="E3662" s="3">
        <v>5.24E-71</v>
      </c>
      <c r="F3662" s="2">
        <v>615</v>
      </c>
      <c r="G3662" s="2">
        <v>100</v>
      </c>
      <c r="H3662" s="2">
        <v>173</v>
      </c>
      <c r="I3662" s="2">
        <v>1327</v>
      </c>
      <c r="J3662" s="2">
        <v>1845</v>
      </c>
      <c r="K3662" s="2">
        <v>7</v>
      </c>
      <c r="L3662" s="2">
        <v>179</v>
      </c>
    </row>
    <row r="3663" spans="1:12" x14ac:dyDescent="0.25">
      <c r="A3663" s="4" t="str">
        <f>HYPERLINK("http://www.rosaceae.org/Prunus/Prunus_persica/p.persica_gdr_reftransV1_0018565","p.persica_gdr_reftransV1_0018565")</f>
        <v>p.persica_gdr_reftransV1_0018565</v>
      </c>
      <c r="B3663" s="2">
        <v>1290</v>
      </c>
      <c r="C3663" s="4" t="str">
        <f>HYPERLINK("http://www.uniprot.org/uniprot/W9QKF3","W9QKF3")</f>
        <v>W9QKF3</v>
      </c>
      <c r="D3663" s="2" t="s">
        <v>3456</v>
      </c>
      <c r="E3663" s="3">
        <v>1.7699999999999999E-33</v>
      </c>
      <c r="F3663" s="2">
        <v>338</v>
      </c>
      <c r="G3663" s="2">
        <v>83</v>
      </c>
      <c r="H3663" s="2">
        <v>77</v>
      </c>
      <c r="I3663" s="2">
        <v>88</v>
      </c>
      <c r="J3663" s="2">
        <v>318</v>
      </c>
      <c r="K3663" s="2">
        <v>1</v>
      </c>
      <c r="L3663" s="2">
        <v>77</v>
      </c>
    </row>
    <row r="3664" spans="1:12" x14ac:dyDescent="0.25">
      <c r="A3664" s="4" t="str">
        <f>HYPERLINK("http://www.rosaceae.org/Prunus/Prunus_persica/p.persica_gdr_reftransV1_0018915","p.persica_gdr_reftransV1_0018915")</f>
        <v>p.persica_gdr_reftransV1_0018915</v>
      </c>
      <c r="B3664" s="2">
        <v>770</v>
      </c>
      <c r="C3664" s="4" t="str">
        <f>HYPERLINK("http://www.uniprot.org/uniprot/M5W8F9","M5W8F9")</f>
        <v>M5W8F9</v>
      </c>
      <c r="D3664" s="2" t="s">
        <v>3457</v>
      </c>
      <c r="E3664" s="3">
        <v>2.2800000000000001E-111</v>
      </c>
      <c r="F3664" s="2">
        <v>890</v>
      </c>
      <c r="G3664" s="2">
        <v>100</v>
      </c>
      <c r="H3664" s="2">
        <v>162</v>
      </c>
      <c r="I3664" s="2">
        <v>283</v>
      </c>
      <c r="J3664" s="2">
        <v>768</v>
      </c>
      <c r="K3664" s="2">
        <v>1</v>
      </c>
      <c r="L3664" s="2">
        <v>162</v>
      </c>
    </row>
    <row r="3665" spans="1:12" x14ac:dyDescent="0.25">
      <c r="A3665" s="4" t="str">
        <f>HYPERLINK("http://www.rosaceae.org/Prunus/Prunus_persica/p.persica_gdr_reftransV1_0021015","p.persica_gdr_reftransV1_0021015")</f>
        <v>p.persica_gdr_reftransV1_0021015</v>
      </c>
      <c r="B3665" s="2">
        <v>749</v>
      </c>
      <c r="C3665" s="4" t="str">
        <f>HYPERLINK("http://www.uniprot.org/uniprot/M5X533","M5X533")</f>
        <v>M5X533</v>
      </c>
      <c r="D3665" s="2" t="s">
        <v>3458</v>
      </c>
      <c r="E3665" s="3">
        <v>3.45E-123</v>
      </c>
      <c r="F3665" s="2">
        <v>929</v>
      </c>
      <c r="G3665" s="2">
        <v>97</v>
      </c>
      <c r="H3665" s="2">
        <v>177</v>
      </c>
      <c r="I3665" s="2">
        <v>125</v>
      </c>
      <c r="J3665" s="2">
        <v>655</v>
      </c>
      <c r="K3665" s="2">
        <v>1</v>
      </c>
      <c r="L3665" s="2">
        <v>177</v>
      </c>
    </row>
    <row r="3666" spans="1:12" x14ac:dyDescent="0.25">
      <c r="A3666" s="4" t="str">
        <f>HYPERLINK("http://www.rosaceae.org/Prunus/Prunus_persica/p.persica_gdr_reftransV1_0021715","p.persica_gdr_reftransV1_0021715")</f>
        <v>p.persica_gdr_reftransV1_0021715</v>
      </c>
      <c r="B3666" s="2">
        <v>3741</v>
      </c>
      <c r="C3666" s="4" t="str">
        <f>HYPERLINK("http://www.uniprot.org/uniprot/M5VMX8","M5VMX8")</f>
        <v>M5VMX8</v>
      </c>
      <c r="D3666" s="2" t="s">
        <v>3351</v>
      </c>
      <c r="E3666" s="3">
        <v>7.5300000000000003E-138</v>
      </c>
      <c r="F3666" s="2">
        <v>1118</v>
      </c>
      <c r="G3666" s="2">
        <v>99</v>
      </c>
      <c r="H3666" s="2">
        <v>213</v>
      </c>
      <c r="I3666" s="2">
        <v>1304</v>
      </c>
      <c r="J3666" s="2">
        <v>1942</v>
      </c>
      <c r="K3666" s="2">
        <v>75</v>
      </c>
      <c r="L3666" s="2">
        <v>287</v>
      </c>
    </row>
    <row r="3667" spans="1:12" x14ac:dyDescent="0.25">
      <c r="A3667" s="4" t="str">
        <f>HYPERLINK("http://www.rosaceae.org/Prunus/Prunus_persica/p.persica_gdr_reftransV1_0022415","p.persica_gdr_reftransV1_0022415")</f>
        <v>p.persica_gdr_reftransV1_0022415</v>
      </c>
      <c r="B3667" s="2">
        <v>1796</v>
      </c>
      <c r="C3667" s="4" t="str">
        <f>HYPERLINK("http://www.uniprot.org/uniprot/M5W9R3","M5W9R3")</f>
        <v>M5W9R3</v>
      </c>
      <c r="D3667" s="2" t="s">
        <v>3459</v>
      </c>
      <c r="E3667" s="3">
        <v>0</v>
      </c>
      <c r="F3667" s="2">
        <v>1902</v>
      </c>
      <c r="G3667" s="2">
        <v>100</v>
      </c>
      <c r="H3667" s="2">
        <v>360</v>
      </c>
      <c r="I3667" s="2">
        <v>391</v>
      </c>
      <c r="J3667" s="2">
        <v>1470</v>
      </c>
      <c r="K3667" s="2">
        <v>1</v>
      </c>
      <c r="L3667" s="2">
        <v>360</v>
      </c>
    </row>
    <row r="3668" spans="1:12" x14ac:dyDescent="0.25">
      <c r="A3668" s="4" t="str">
        <f>HYPERLINK("http://www.rosaceae.org/Prunus/Prunus_persica/p.persica_gdr_reftransV1_0023465","p.persica_gdr_reftransV1_0023465")</f>
        <v>p.persica_gdr_reftransV1_0023465</v>
      </c>
      <c r="B3668" s="2">
        <v>895</v>
      </c>
      <c r="C3668" s="4" t="str">
        <f>HYPERLINK("http://www.uniprot.org/uniprot/A0A0B2QFI7","A0A0B2QFI7")</f>
        <v>A0A0B2QFI7</v>
      </c>
      <c r="D3668" s="2" t="s">
        <v>3460</v>
      </c>
      <c r="E3668" s="3">
        <v>3.6300000000000003E-132</v>
      </c>
      <c r="F3668" s="2">
        <v>1003</v>
      </c>
      <c r="G3668" s="2">
        <v>93</v>
      </c>
      <c r="H3668" s="2">
        <v>202</v>
      </c>
      <c r="I3668" s="2">
        <v>290</v>
      </c>
      <c r="J3668" s="2">
        <v>895</v>
      </c>
      <c r="K3668" s="2">
        <v>139</v>
      </c>
      <c r="L3668" s="2">
        <v>340</v>
      </c>
    </row>
    <row r="3669" spans="1:12" x14ac:dyDescent="0.25">
      <c r="A3669" s="4" t="str">
        <f>HYPERLINK("http://www.rosaceae.org/Prunus/Prunus_persica/p.persica_gdr_reftransV1_0024515","p.persica_gdr_reftransV1_0024515")</f>
        <v>p.persica_gdr_reftransV1_0024515</v>
      </c>
      <c r="B3669" s="2">
        <v>2914</v>
      </c>
      <c r="C3669" s="4" t="str">
        <f>HYPERLINK("http://www.uniprot.org/uniprot/M5W138","M5W138")</f>
        <v>M5W138</v>
      </c>
      <c r="D3669" s="2" t="s">
        <v>3461</v>
      </c>
      <c r="E3669" s="3">
        <v>0</v>
      </c>
      <c r="F3669" s="2">
        <v>1871</v>
      </c>
      <c r="G3669" s="2">
        <v>100</v>
      </c>
      <c r="H3669" s="2">
        <v>386</v>
      </c>
      <c r="I3669" s="2">
        <v>1263</v>
      </c>
      <c r="J3669" s="2">
        <v>2420</v>
      </c>
      <c r="K3669" s="2">
        <v>1</v>
      </c>
      <c r="L3669" s="2">
        <v>386</v>
      </c>
    </row>
    <row r="3670" spans="1:12" x14ac:dyDescent="0.25">
      <c r="A3670" s="4" t="str">
        <f>HYPERLINK("http://www.rosaceae.org/Prunus/Prunus_persica/p.persica_gdr_reftransV1_0024865","p.persica_gdr_reftransV1_0024865")</f>
        <v>p.persica_gdr_reftransV1_0024865</v>
      </c>
      <c r="B3670" s="2">
        <v>1525</v>
      </c>
      <c r="C3670" s="4" t="str">
        <f>HYPERLINK("http://www.uniprot.org/uniprot/M5Y061","M5Y061")</f>
        <v>M5Y061</v>
      </c>
      <c r="D3670" s="2" t="s">
        <v>3462</v>
      </c>
      <c r="E3670" s="3">
        <v>3.92E-174</v>
      </c>
      <c r="F3670" s="2">
        <v>1293</v>
      </c>
      <c r="G3670" s="2">
        <v>100</v>
      </c>
      <c r="H3670" s="2">
        <v>243</v>
      </c>
      <c r="I3670" s="2">
        <v>445</v>
      </c>
      <c r="J3670" s="2">
        <v>1173</v>
      </c>
      <c r="K3670" s="2">
        <v>1</v>
      </c>
      <c r="L3670" s="2">
        <v>243</v>
      </c>
    </row>
    <row r="3671" spans="1:12" x14ac:dyDescent="0.25">
      <c r="A3671" s="4" t="str">
        <f>HYPERLINK("http://www.rosaceae.org/Prunus/Prunus_persica/p.persica_gdr_reftransV1_0025215","p.persica_gdr_reftransV1_0025215")</f>
        <v>p.persica_gdr_reftransV1_0025215</v>
      </c>
      <c r="B3671" s="2">
        <v>2791</v>
      </c>
      <c r="C3671" s="4" t="str">
        <f>HYPERLINK("http://www.uniprot.org/uniprot/M5XRY2","M5XRY2")</f>
        <v>M5XRY2</v>
      </c>
      <c r="D3671" s="2" t="s">
        <v>3463</v>
      </c>
      <c r="E3671" s="3">
        <v>0</v>
      </c>
      <c r="F3671" s="2">
        <v>1729</v>
      </c>
      <c r="G3671" s="2">
        <v>97</v>
      </c>
      <c r="H3671" s="2">
        <v>405</v>
      </c>
      <c r="I3671" s="2">
        <v>351</v>
      </c>
      <c r="J3671" s="2">
        <v>1559</v>
      </c>
      <c r="K3671" s="2">
        <v>1</v>
      </c>
      <c r="L3671" s="2">
        <v>405</v>
      </c>
    </row>
    <row r="3672" spans="1:12" x14ac:dyDescent="0.25">
      <c r="A3672" s="4" t="str">
        <f>HYPERLINK("http://www.rosaceae.org/Prunus/Prunus_persica/p.persica_gdr_reftransV1_0025565","p.persica_gdr_reftransV1_0025565")</f>
        <v>p.persica_gdr_reftransV1_0025565</v>
      </c>
      <c r="B3672" s="2">
        <v>1492</v>
      </c>
      <c r="C3672" s="4" t="str">
        <f>HYPERLINK("http://www.uniprot.org/uniprot/M5VZ26","M5VZ26")</f>
        <v>M5VZ26</v>
      </c>
      <c r="D3672" s="2" t="s">
        <v>3464</v>
      </c>
      <c r="E3672" s="3">
        <v>0</v>
      </c>
      <c r="F3672" s="2">
        <v>1713</v>
      </c>
      <c r="G3672" s="2">
        <v>96</v>
      </c>
      <c r="H3672" s="2">
        <v>348</v>
      </c>
      <c r="I3672" s="2">
        <v>65</v>
      </c>
      <c r="J3672" s="2">
        <v>1108</v>
      </c>
      <c r="K3672" s="2">
        <v>1</v>
      </c>
      <c r="L3672" s="2">
        <v>335</v>
      </c>
    </row>
    <row r="3673" spans="1:12" x14ac:dyDescent="0.25">
      <c r="A3673" s="4" t="str">
        <f>HYPERLINK("http://www.rosaceae.org/Prunus/Prunus_persica/p.persica_gdr_reftransV1_0025915","p.persica_gdr_reftransV1_0025915")</f>
        <v>p.persica_gdr_reftransV1_0025915</v>
      </c>
      <c r="B3673" s="2">
        <v>2083</v>
      </c>
      <c r="C3673" s="4" t="str">
        <f>HYPERLINK("http://www.uniprot.org/uniprot/M5WAI8","M5WAI8")</f>
        <v>M5WAI8</v>
      </c>
      <c r="D3673" s="2" t="s">
        <v>3465</v>
      </c>
      <c r="E3673" s="3">
        <v>1.3800000000000001E-98</v>
      </c>
      <c r="F3673" s="2">
        <v>804</v>
      </c>
      <c r="G3673" s="2">
        <v>100</v>
      </c>
      <c r="H3673" s="2">
        <v>150</v>
      </c>
      <c r="I3673" s="2">
        <v>1474</v>
      </c>
      <c r="J3673" s="2">
        <v>1923</v>
      </c>
      <c r="K3673" s="2">
        <v>75</v>
      </c>
      <c r="L3673" s="2">
        <v>224</v>
      </c>
    </row>
    <row r="3674" spans="1:12" x14ac:dyDescent="0.25">
      <c r="A3674" s="4" t="str">
        <f>HYPERLINK("http://www.rosaceae.org/Prunus/Prunus_persica/p.persica_gdr_reftransV1_0026615","p.persica_gdr_reftransV1_0026615")</f>
        <v>p.persica_gdr_reftransV1_0026615</v>
      </c>
      <c r="B3674" s="2">
        <v>1255</v>
      </c>
      <c r="C3674" s="4" t="str">
        <f>HYPERLINK("http://www.uniprot.org/uniprot/M5VZC0","M5VZC0")</f>
        <v>M5VZC0</v>
      </c>
      <c r="D3674" s="2" t="s">
        <v>3466</v>
      </c>
      <c r="E3674" s="3">
        <v>0</v>
      </c>
      <c r="F3674" s="2">
        <v>1945</v>
      </c>
      <c r="G3674" s="2">
        <v>100</v>
      </c>
      <c r="H3674" s="2">
        <v>361</v>
      </c>
      <c r="I3674" s="2">
        <v>66</v>
      </c>
      <c r="J3674" s="2">
        <v>1148</v>
      </c>
      <c r="K3674" s="2">
        <v>1</v>
      </c>
      <c r="L3674" s="2">
        <v>361</v>
      </c>
    </row>
    <row r="3675" spans="1:12" x14ac:dyDescent="0.25">
      <c r="A3675" s="4" t="str">
        <f>HYPERLINK("http://www.rosaceae.org/Prunus/Prunus_persica/p.persica_gdr_reftransV1_0028715","p.persica_gdr_reftransV1_0028715")</f>
        <v>p.persica_gdr_reftransV1_0028715</v>
      </c>
      <c r="B3675" s="2">
        <v>3418</v>
      </c>
      <c r="C3675" s="4" t="str">
        <f>HYPERLINK("http://www.uniprot.org/uniprot/A0A0A0LE51","A0A0A0LE51")</f>
        <v>A0A0A0LE51</v>
      </c>
      <c r="D3675" s="2" t="s">
        <v>3467</v>
      </c>
      <c r="E3675" s="3">
        <v>0</v>
      </c>
      <c r="F3675" s="2">
        <v>2356</v>
      </c>
      <c r="G3675" s="2">
        <v>81</v>
      </c>
      <c r="H3675" s="2">
        <v>542</v>
      </c>
      <c r="I3675" s="2">
        <v>1795</v>
      </c>
      <c r="J3675" s="2">
        <v>3417</v>
      </c>
      <c r="K3675" s="2">
        <v>122</v>
      </c>
      <c r="L3675" s="2">
        <v>663</v>
      </c>
    </row>
    <row r="3676" spans="1:12" x14ac:dyDescent="0.25">
      <c r="A3676" s="4" t="str">
        <f>HYPERLINK("http://www.rosaceae.org/Prunus/Prunus_persica/p.persica_gdr_reftransV1_0031865","p.persica_gdr_reftransV1_0031865")</f>
        <v>p.persica_gdr_reftransV1_0031865</v>
      </c>
      <c r="B3676" s="2">
        <v>1898</v>
      </c>
      <c r="C3676" s="4" t="str">
        <f>HYPERLINK("http://www.uniprot.org/uniprot/M5X5H0","M5X5H0")</f>
        <v>M5X5H0</v>
      </c>
      <c r="D3676" s="2" t="s">
        <v>3468</v>
      </c>
      <c r="E3676" s="3">
        <v>0</v>
      </c>
      <c r="F3676" s="2">
        <v>1553</v>
      </c>
      <c r="G3676" s="2">
        <v>96</v>
      </c>
      <c r="H3676" s="2">
        <v>331</v>
      </c>
      <c r="I3676" s="2">
        <v>499</v>
      </c>
      <c r="J3676" s="2">
        <v>1491</v>
      </c>
      <c r="K3676" s="2">
        <v>1</v>
      </c>
      <c r="L3676" s="2">
        <v>321</v>
      </c>
    </row>
    <row r="3677" spans="1:12" x14ac:dyDescent="0.25">
      <c r="A3677" s="4" t="str">
        <f>HYPERLINK("http://www.rosaceae.org/Prunus/Prunus_persica/p.persica_gdr_reftransV1_0032215","p.persica_gdr_reftransV1_0032215")</f>
        <v>p.persica_gdr_reftransV1_0032215</v>
      </c>
      <c r="B3677" s="2">
        <v>3817</v>
      </c>
      <c r="C3677" s="4" t="str">
        <f>HYPERLINK("http://www.uniprot.org/uniprot/M5XIH5","M5XIH5")</f>
        <v>M5XIH5</v>
      </c>
      <c r="D3677" s="2" t="s">
        <v>3469</v>
      </c>
      <c r="E3677" s="3">
        <v>0</v>
      </c>
      <c r="F3677" s="2">
        <v>4043</v>
      </c>
      <c r="G3677" s="2">
        <v>95</v>
      </c>
      <c r="H3677" s="2">
        <v>844</v>
      </c>
      <c r="I3677" s="2">
        <v>1096</v>
      </c>
      <c r="J3677" s="2">
        <v>3627</v>
      </c>
      <c r="K3677" s="2">
        <v>1</v>
      </c>
      <c r="L3677" s="2">
        <v>804</v>
      </c>
    </row>
    <row r="3678" spans="1:12" x14ac:dyDescent="0.25">
      <c r="A3678" s="4" t="str">
        <f>HYPERLINK("http://www.rosaceae.org/Prunus/Prunus_persica/p.persica_gdr_reftransV1_0032565","p.persica_gdr_reftransV1_0032565")</f>
        <v>p.persica_gdr_reftransV1_0032565</v>
      </c>
      <c r="B3678" s="2">
        <v>2352</v>
      </c>
      <c r="C3678" s="4" t="str">
        <f>HYPERLINK("http://www.uniprot.org/uniprot/A0A059C001","A0A059C001")</f>
        <v>A0A059C001</v>
      </c>
      <c r="D3678" s="2" t="s">
        <v>3470</v>
      </c>
      <c r="E3678" s="3">
        <v>1.33E-121</v>
      </c>
      <c r="F3678" s="2">
        <v>989</v>
      </c>
      <c r="G3678" s="2">
        <v>67</v>
      </c>
      <c r="H3678" s="2">
        <v>311</v>
      </c>
      <c r="I3678" s="2">
        <v>1282</v>
      </c>
      <c r="J3678" s="2">
        <v>2205</v>
      </c>
      <c r="K3678" s="2">
        <v>1</v>
      </c>
      <c r="L3678" s="2">
        <v>281</v>
      </c>
    </row>
    <row r="3679" spans="1:12" x14ac:dyDescent="0.25">
      <c r="A3679" s="4" t="str">
        <f>HYPERLINK("http://www.rosaceae.org/Prunus/Prunus_persica/p.persica_gdr_reftransV1_0033965","p.persica_gdr_reftransV1_0033965")</f>
        <v>p.persica_gdr_reftransV1_0033965</v>
      </c>
      <c r="B3679" s="2">
        <v>2221</v>
      </c>
      <c r="C3679" s="4" t="str">
        <f>HYPERLINK("http://www.uniprot.org/uniprot/M5WHI0","M5WHI0")</f>
        <v>M5WHI0</v>
      </c>
      <c r="D3679" s="2" t="s">
        <v>3471</v>
      </c>
      <c r="E3679" s="3">
        <v>0</v>
      </c>
      <c r="F3679" s="2">
        <v>1377</v>
      </c>
      <c r="G3679" s="2">
        <v>100</v>
      </c>
      <c r="H3679" s="2">
        <v>339</v>
      </c>
      <c r="I3679" s="2">
        <v>249</v>
      </c>
      <c r="J3679" s="2">
        <v>1265</v>
      </c>
      <c r="K3679" s="2">
        <v>1</v>
      </c>
      <c r="L3679" s="2">
        <v>339</v>
      </c>
    </row>
    <row r="3680" spans="1:12" x14ac:dyDescent="0.25">
      <c r="A3680" s="4" t="str">
        <f>HYPERLINK("http://www.rosaceae.org/Prunus/Prunus_persica/p.persica_gdr_reftransV1_0035015","p.persica_gdr_reftransV1_0035015")</f>
        <v>p.persica_gdr_reftransV1_0035015</v>
      </c>
      <c r="B3680" s="2">
        <v>1024</v>
      </c>
      <c r="C3680" s="4" t="str">
        <f>HYPERLINK("http://www.uniprot.org/uniprot/M5W910","M5W910")</f>
        <v>M5W910</v>
      </c>
      <c r="D3680" s="2" t="s">
        <v>3472</v>
      </c>
      <c r="E3680" s="3">
        <v>8.1800000000000004E-165</v>
      </c>
      <c r="F3680" s="2">
        <v>1249</v>
      </c>
      <c r="G3680" s="2">
        <v>100</v>
      </c>
      <c r="H3680" s="2">
        <v>267</v>
      </c>
      <c r="I3680" s="2">
        <v>222</v>
      </c>
      <c r="J3680" s="2">
        <v>1022</v>
      </c>
      <c r="K3680" s="2">
        <v>339</v>
      </c>
      <c r="L3680" s="2">
        <v>605</v>
      </c>
    </row>
    <row r="3681" spans="1:12" x14ac:dyDescent="0.25">
      <c r="A3681" s="4" t="str">
        <f>HYPERLINK("http://www.rosaceae.org/Prunus/Prunus_persica/p.persica_gdr_reftransV1_0035715","p.persica_gdr_reftransV1_0035715")</f>
        <v>p.persica_gdr_reftransV1_0035715</v>
      </c>
      <c r="B3681" s="2">
        <v>2228</v>
      </c>
      <c r="C3681" s="4" t="str">
        <f>HYPERLINK("http://www.uniprot.org/uniprot/M5WP33","M5WP33")</f>
        <v>M5WP33</v>
      </c>
      <c r="D3681" s="2" t="s">
        <v>3473</v>
      </c>
      <c r="E3681" s="3">
        <v>1.47E-49</v>
      </c>
      <c r="F3681" s="2">
        <v>296</v>
      </c>
      <c r="G3681" s="2">
        <v>100</v>
      </c>
      <c r="H3681" s="2">
        <v>120</v>
      </c>
      <c r="I3681" s="2">
        <v>1686</v>
      </c>
      <c r="J3681" s="2">
        <v>2045</v>
      </c>
      <c r="K3681" s="2">
        <v>129</v>
      </c>
      <c r="L3681" s="2">
        <v>248</v>
      </c>
    </row>
    <row r="3682" spans="1:12" x14ac:dyDescent="0.25">
      <c r="A3682" s="4" t="str">
        <f>HYPERLINK("http://www.rosaceae.org/Prunus/Prunus_persica/p.persica_gdr_reftransV1_0037115","p.persica_gdr_reftransV1_0037115")</f>
        <v>p.persica_gdr_reftransV1_0037115</v>
      </c>
      <c r="B3682" s="2">
        <v>1056</v>
      </c>
      <c r="C3682" s="4" t="str">
        <f>HYPERLINK("http://www.uniprot.org/uniprot/M5XTX0","M5XTX0")</f>
        <v>M5XTX0</v>
      </c>
      <c r="D3682" s="2" t="s">
        <v>3474</v>
      </c>
      <c r="E3682" s="3">
        <v>1.9399999999999999E-165</v>
      </c>
      <c r="F3682" s="2">
        <v>1218</v>
      </c>
      <c r="G3682" s="2">
        <v>100</v>
      </c>
      <c r="H3682" s="2">
        <v>237</v>
      </c>
      <c r="I3682" s="2">
        <v>235</v>
      </c>
      <c r="J3682" s="2">
        <v>945</v>
      </c>
      <c r="K3682" s="2">
        <v>1</v>
      </c>
      <c r="L3682" s="2">
        <v>237</v>
      </c>
    </row>
    <row r="3683" spans="1:12" x14ac:dyDescent="0.25">
      <c r="A3683" s="4" t="str">
        <f>HYPERLINK("http://www.rosaceae.org/Prunus/Prunus_persica/p.persica_gdr_reftransV1_0038515","p.persica_gdr_reftransV1_0038515")</f>
        <v>p.persica_gdr_reftransV1_0038515</v>
      </c>
      <c r="B3683" s="2">
        <v>1692</v>
      </c>
      <c r="C3683" s="4" t="str">
        <f>HYPERLINK("http://www.uniprot.org/uniprot/Q2L361","Q2L361")</f>
        <v>Q2L361</v>
      </c>
      <c r="D3683" s="2" t="s">
        <v>3475</v>
      </c>
      <c r="E3683" s="3">
        <v>0</v>
      </c>
      <c r="F3683" s="2">
        <v>1845</v>
      </c>
      <c r="G3683" s="2">
        <v>66</v>
      </c>
      <c r="H3683" s="2">
        <v>569</v>
      </c>
      <c r="I3683" s="2">
        <v>3</v>
      </c>
      <c r="J3683" s="2">
        <v>1688</v>
      </c>
      <c r="K3683" s="2">
        <v>219</v>
      </c>
      <c r="L3683" s="2">
        <v>778</v>
      </c>
    </row>
    <row r="3684" spans="1:12" x14ac:dyDescent="0.25">
      <c r="A3684" s="4" t="str">
        <f>HYPERLINK("http://www.rosaceae.org/Prunus/Prunus_persica/p.persica_gdr_reftransV1_0041315","p.persica_gdr_reftransV1_0041315")</f>
        <v>p.persica_gdr_reftransV1_0041315</v>
      </c>
      <c r="B3684" s="2">
        <v>1574</v>
      </c>
      <c r="C3684" s="4" t="str">
        <f>HYPERLINK("http://www.uniprot.org/uniprot/M5XYB4","M5XYB4")</f>
        <v>M5XYB4</v>
      </c>
      <c r="D3684" s="2" t="s">
        <v>3476</v>
      </c>
      <c r="E3684" s="3">
        <v>7.9599999999999996E-159</v>
      </c>
      <c r="F3684" s="2">
        <v>1208</v>
      </c>
      <c r="G3684" s="2">
        <v>100</v>
      </c>
      <c r="H3684" s="2">
        <v>275</v>
      </c>
      <c r="I3684" s="2">
        <v>261</v>
      </c>
      <c r="J3684" s="2">
        <v>1085</v>
      </c>
      <c r="K3684" s="2">
        <v>98</v>
      </c>
      <c r="L3684" s="2">
        <v>372</v>
      </c>
    </row>
    <row r="3685" spans="1:12" x14ac:dyDescent="0.25">
      <c r="A3685" s="4" t="str">
        <f>HYPERLINK("http://www.rosaceae.org/Prunus/Prunus_persica/p.persica_gdr_reftransV1_0042715","p.persica_gdr_reftransV1_0042715")</f>
        <v>p.persica_gdr_reftransV1_0042715</v>
      </c>
      <c r="B3685" s="2">
        <v>1161</v>
      </c>
      <c r="C3685" s="4" t="str">
        <f>HYPERLINK("http://www.uniprot.org/uniprot/M5WIU3","M5WIU3")</f>
        <v>M5WIU3</v>
      </c>
      <c r="D3685" s="2" t="s">
        <v>3477</v>
      </c>
      <c r="E3685" s="3">
        <v>1.84E-115</v>
      </c>
      <c r="F3685" s="2">
        <v>891</v>
      </c>
      <c r="G3685" s="2">
        <v>100</v>
      </c>
      <c r="H3685" s="2">
        <v>225</v>
      </c>
      <c r="I3685" s="2">
        <v>236</v>
      </c>
      <c r="J3685" s="2">
        <v>910</v>
      </c>
      <c r="K3685" s="2">
        <v>1</v>
      </c>
      <c r="L3685" s="2">
        <v>225</v>
      </c>
    </row>
    <row r="3686" spans="1:12" x14ac:dyDescent="0.25">
      <c r="A3686" s="4" t="str">
        <f>HYPERLINK("http://www.rosaceae.org/Prunus/Prunus_persica/p.persica_gdr_reftransV1_0043065","p.persica_gdr_reftransV1_0043065")</f>
        <v>p.persica_gdr_reftransV1_0043065</v>
      </c>
      <c r="B3686" s="2">
        <v>388</v>
      </c>
      <c r="C3686" s="4" t="str">
        <f>HYPERLINK("http://www.uniprot.org/uniprot/M5VS01","M5VS01")</f>
        <v>M5VS01</v>
      </c>
      <c r="D3686" s="2" t="s">
        <v>2803</v>
      </c>
      <c r="E3686" s="3">
        <v>1.39E-84</v>
      </c>
      <c r="F3686" s="2">
        <v>695</v>
      </c>
      <c r="G3686" s="2">
        <v>100</v>
      </c>
      <c r="H3686" s="2">
        <v>128</v>
      </c>
      <c r="I3686" s="2">
        <v>3</v>
      </c>
      <c r="J3686" s="2">
        <v>386</v>
      </c>
      <c r="K3686" s="2">
        <v>175</v>
      </c>
      <c r="L3686" s="2">
        <v>302</v>
      </c>
    </row>
    <row r="3687" spans="1:12" x14ac:dyDescent="0.25">
      <c r="A3687" s="4" t="str">
        <f>HYPERLINK("http://www.rosaceae.org/Prunus/Prunus_persica/p.persica_gdr_reftransV1_0043415","p.persica_gdr_reftransV1_0043415")</f>
        <v>p.persica_gdr_reftransV1_0043415</v>
      </c>
      <c r="B3687" s="2">
        <v>449</v>
      </c>
      <c r="C3687" s="4" t="str">
        <f>HYPERLINK("http://www.uniprot.org/uniprot/M5W9P4","M5W9P4")</f>
        <v>M5W9P4</v>
      </c>
      <c r="D3687" s="2" t="s">
        <v>3478</v>
      </c>
      <c r="E3687" s="3">
        <v>8.5300000000000006E-45</v>
      </c>
      <c r="F3687" s="2">
        <v>414</v>
      </c>
      <c r="G3687" s="2">
        <v>100</v>
      </c>
      <c r="H3687" s="2">
        <v>121</v>
      </c>
      <c r="I3687" s="2">
        <v>2</v>
      </c>
      <c r="J3687" s="2">
        <v>364</v>
      </c>
      <c r="K3687" s="2">
        <v>1</v>
      </c>
      <c r="L3687" s="2">
        <v>121</v>
      </c>
    </row>
    <row r="3688" spans="1:12" x14ac:dyDescent="0.25">
      <c r="A3688" s="4" t="str">
        <f>HYPERLINK("http://www.rosaceae.org/Prunus/Prunus_persica/p.persica_gdr_reftransV1_0044115","p.persica_gdr_reftransV1_0044115")</f>
        <v>p.persica_gdr_reftransV1_0044115</v>
      </c>
      <c r="B3688" s="2">
        <v>1409</v>
      </c>
      <c r="C3688" s="4" t="str">
        <f>HYPERLINK("http://www.uniprot.org/uniprot/M5VJ95","M5VJ95")</f>
        <v>M5VJ95</v>
      </c>
      <c r="D3688" s="2" t="s">
        <v>2892</v>
      </c>
      <c r="E3688" s="3">
        <v>0</v>
      </c>
      <c r="F3688" s="2">
        <v>1763</v>
      </c>
      <c r="G3688" s="2">
        <v>96</v>
      </c>
      <c r="H3688" s="2">
        <v>341</v>
      </c>
      <c r="I3688" s="2">
        <v>251</v>
      </c>
      <c r="J3688" s="2">
        <v>1237</v>
      </c>
      <c r="K3688" s="2">
        <v>1</v>
      </c>
      <c r="L3688" s="2">
        <v>341</v>
      </c>
    </row>
    <row r="3689" spans="1:12" x14ac:dyDescent="0.25">
      <c r="A3689" s="4" t="str">
        <f>HYPERLINK("http://www.rosaceae.org/Prunus/Prunus_persica/p.persica_gdr_reftransV1_0044465","p.persica_gdr_reftransV1_0044465")</f>
        <v>p.persica_gdr_reftransV1_0044465</v>
      </c>
      <c r="B3689" s="2">
        <v>709</v>
      </c>
      <c r="C3689" s="4" t="str">
        <f>HYPERLINK("http://www.uniprot.org/uniprot/M5XB98","M5XB98")</f>
        <v>M5XB98</v>
      </c>
      <c r="D3689" s="2" t="s">
        <v>3479</v>
      </c>
      <c r="E3689" s="3">
        <v>1.23E-82</v>
      </c>
      <c r="F3689" s="2">
        <v>663</v>
      </c>
      <c r="G3689" s="2">
        <v>93</v>
      </c>
      <c r="H3689" s="2">
        <v>157</v>
      </c>
      <c r="I3689" s="2">
        <v>237</v>
      </c>
      <c r="J3689" s="2">
        <v>707</v>
      </c>
      <c r="K3689" s="2">
        <v>138</v>
      </c>
      <c r="L3689" s="2">
        <v>283</v>
      </c>
    </row>
    <row r="3690" spans="1:12" x14ac:dyDescent="0.25">
      <c r="A3690" s="4" t="str">
        <f>HYPERLINK("http://www.rosaceae.org/Prunus/Prunus_persica/p.persica_gdr_reftransV1_0045165","p.persica_gdr_reftransV1_0045165")</f>
        <v>p.persica_gdr_reftransV1_0045165</v>
      </c>
      <c r="B3690" s="2">
        <v>1602</v>
      </c>
      <c r="C3690" s="4" t="str">
        <f>HYPERLINK("http://www.uniprot.org/uniprot/M5WBC5","M5WBC5")</f>
        <v>M5WBC5</v>
      </c>
      <c r="D3690" s="2" t="s">
        <v>3480</v>
      </c>
      <c r="E3690" s="3">
        <v>0</v>
      </c>
      <c r="F3690" s="2">
        <v>1688</v>
      </c>
      <c r="G3690" s="2">
        <v>100</v>
      </c>
      <c r="H3690" s="2">
        <v>340</v>
      </c>
      <c r="I3690" s="2">
        <v>59</v>
      </c>
      <c r="J3690" s="2">
        <v>1078</v>
      </c>
      <c r="K3690" s="2">
        <v>1</v>
      </c>
      <c r="L3690" s="2">
        <v>340</v>
      </c>
    </row>
    <row r="3691" spans="1:12" x14ac:dyDescent="0.25">
      <c r="A3691" s="4" t="str">
        <f>HYPERLINK("http://www.rosaceae.org/Prunus/Prunus_persica/p.persica_gdr_reftransV1_0045515","p.persica_gdr_reftransV1_0045515")</f>
        <v>p.persica_gdr_reftransV1_0045515</v>
      </c>
      <c r="B3691" s="2">
        <v>3605</v>
      </c>
      <c r="C3691" s="4" t="str">
        <f>HYPERLINK("http://www.uniprot.org/uniprot/I1W1T8","I1W1T8")</f>
        <v>I1W1T8</v>
      </c>
      <c r="D3691" s="2" t="s">
        <v>3481</v>
      </c>
      <c r="E3691" s="3">
        <v>0</v>
      </c>
      <c r="F3691" s="2">
        <v>2958</v>
      </c>
      <c r="G3691" s="2">
        <v>100</v>
      </c>
      <c r="H3691" s="2">
        <v>551</v>
      </c>
      <c r="I3691" s="2">
        <v>1575</v>
      </c>
      <c r="J3691" s="2">
        <v>3227</v>
      </c>
      <c r="K3691" s="2">
        <v>7</v>
      </c>
      <c r="L3691" s="2">
        <v>557</v>
      </c>
    </row>
    <row r="3692" spans="1:12" x14ac:dyDescent="0.25">
      <c r="A3692" s="4" t="str">
        <f>HYPERLINK("http://www.rosaceae.org/Prunus/Prunus_persica/p.persica_gdr_reftransV1_0045865","p.persica_gdr_reftransV1_0045865")</f>
        <v>p.persica_gdr_reftransV1_0045865</v>
      </c>
      <c r="B3692" s="2">
        <v>1303</v>
      </c>
      <c r="C3692" s="4" t="str">
        <f>HYPERLINK("http://www.uniprot.org/uniprot/M5WB87","M5WB87")</f>
        <v>M5WB87</v>
      </c>
      <c r="D3692" s="2" t="s">
        <v>2856</v>
      </c>
      <c r="E3692" s="3">
        <v>0</v>
      </c>
      <c r="F3692" s="2">
        <v>1545</v>
      </c>
      <c r="G3692" s="2">
        <v>100</v>
      </c>
      <c r="H3692" s="2">
        <v>315</v>
      </c>
      <c r="I3692" s="2">
        <v>127</v>
      </c>
      <c r="J3692" s="2">
        <v>1071</v>
      </c>
      <c r="K3692" s="2">
        <v>1</v>
      </c>
      <c r="L3692" s="2">
        <v>315</v>
      </c>
    </row>
    <row r="3693" spans="1:12" x14ac:dyDescent="0.25">
      <c r="A3693" s="4" t="str">
        <f>HYPERLINK("http://www.rosaceae.org/Prunus/Prunus_persica/p.persica_gdr_reftransV1_0046565","p.persica_gdr_reftransV1_0046565")</f>
        <v>p.persica_gdr_reftransV1_0046565</v>
      </c>
      <c r="B3693" s="2">
        <v>1071</v>
      </c>
      <c r="C3693" s="4" t="str">
        <f>HYPERLINK("http://www.uniprot.org/uniprot/M5WJK3","M5WJK3")</f>
        <v>M5WJK3</v>
      </c>
      <c r="D3693" s="2" t="s">
        <v>3482</v>
      </c>
      <c r="E3693" s="3">
        <v>0</v>
      </c>
      <c r="F3693" s="2">
        <v>1427</v>
      </c>
      <c r="G3693" s="2">
        <v>99</v>
      </c>
      <c r="H3693" s="2">
        <v>269</v>
      </c>
      <c r="I3693" s="2">
        <v>37</v>
      </c>
      <c r="J3693" s="2">
        <v>843</v>
      </c>
      <c r="K3693" s="2">
        <v>1</v>
      </c>
      <c r="L3693" s="2">
        <v>269</v>
      </c>
    </row>
    <row r="3694" spans="1:12" x14ac:dyDescent="0.25">
      <c r="A3694" s="4" t="str">
        <f>HYPERLINK("http://www.rosaceae.org/Prunus/Prunus_persica/p.persica_gdr_reftransV1_0046915","p.persica_gdr_reftransV1_0046915")</f>
        <v>p.persica_gdr_reftransV1_0046915</v>
      </c>
      <c r="B3694" s="2">
        <v>748</v>
      </c>
      <c r="C3694" s="4" t="str">
        <f>HYPERLINK("http://www.uniprot.org/uniprot/M5VNI6","M5VNI6")</f>
        <v>M5VNI6</v>
      </c>
      <c r="D3694" s="2" t="s">
        <v>3483</v>
      </c>
      <c r="E3694" s="3">
        <v>3.5699999999999998E-117</v>
      </c>
      <c r="F3694" s="2">
        <v>882</v>
      </c>
      <c r="G3694" s="2">
        <v>98</v>
      </c>
      <c r="H3694" s="2">
        <v>169</v>
      </c>
      <c r="I3694" s="2">
        <v>84</v>
      </c>
      <c r="J3694" s="2">
        <v>590</v>
      </c>
      <c r="K3694" s="2">
        <v>1</v>
      </c>
      <c r="L3694" s="2">
        <v>169</v>
      </c>
    </row>
    <row r="3695" spans="1:12" x14ac:dyDescent="0.25">
      <c r="A3695" s="4" t="str">
        <f>HYPERLINK("http://www.rosaceae.org/Prunus/Prunus_persica/p.persica_gdr_reftransV1_0047265","p.persica_gdr_reftransV1_0047265")</f>
        <v>p.persica_gdr_reftransV1_0047265</v>
      </c>
      <c r="B3695" s="2">
        <v>1614</v>
      </c>
      <c r="C3695" s="4" t="str">
        <f>HYPERLINK("http://www.uniprot.org/uniprot/M5VJ36","M5VJ36")</f>
        <v>M5VJ36</v>
      </c>
      <c r="D3695" s="2" t="s">
        <v>3484</v>
      </c>
      <c r="E3695" s="3">
        <v>0</v>
      </c>
      <c r="F3695" s="2">
        <v>2166</v>
      </c>
      <c r="G3695" s="2">
        <v>100</v>
      </c>
      <c r="H3695" s="2">
        <v>432</v>
      </c>
      <c r="I3695" s="2">
        <v>70</v>
      </c>
      <c r="J3695" s="2">
        <v>1365</v>
      </c>
      <c r="K3695" s="2">
        <v>1</v>
      </c>
      <c r="L3695" s="2">
        <v>432</v>
      </c>
    </row>
    <row r="3696" spans="1:12" x14ac:dyDescent="0.25">
      <c r="A3696" s="4" t="str">
        <f>HYPERLINK("http://www.rosaceae.org/Prunus/Prunus_persica/p.persica_gdr_reftransV1_0047615","p.persica_gdr_reftransV1_0047615")</f>
        <v>p.persica_gdr_reftransV1_0047615</v>
      </c>
      <c r="B3696" s="2">
        <v>2519</v>
      </c>
      <c r="C3696" s="4" t="str">
        <f>HYPERLINK("http://www.uniprot.org/uniprot/M5X7A3","M5X7A3")</f>
        <v>M5X7A3</v>
      </c>
      <c r="D3696" s="2" t="s">
        <v>3485</v>
      </c>
      <c r="E3696" s="3">
        <v>0</v>
      </c>
      <c r="F3696" s="2">
        <v>3045</v>
      </c>
      <c r="G3696" s="2">
        <v>100</v>
      </c>
      <c r="H3696" s="2">
        <v>662</v>
      </c>
      <c r="I3696" s="2">
        <v>248</v>
      </c>
      <c r="J3696" s="2">
        <v>2233</v>
      </c>
      <c r="K3696" s="2">
        <v>1</v>
      </c>
      <c r="L3696" s="2">
        <v>662</v>
      </c>
    </row>
    <row r="3697" spans="1:12" x14ac:dyDescent="0.25">
      <c r="A3697" s="4" t="str">
        <f>HYPERLINK("http://www.rosaceae.org/Prunus/Prunus_persica/p.persica_gdr_reftransV1_0047965","p.persica_gdr_reftransV1_0047965")</f>
        <v>p.persica_gdr_reftransV1_0047965</v>
      </c>
      <c r="B3697" s="2">
        <v>359</v>
      </c>
      <c r="C3697" s="4" t="str">
        <f>HYPERLINK("http://www.uniprot.org/uniprot/M5WYG3","M5WYG3")</f>
        <v>M5WYG3</v>
      </c>
      <c r="D3697" s="2" t="s">
        <v>870</v>
      </c>
      <c r="E3697" s="3">
        <v>1.2E-67</v>
      </c>
      <c r="F3697" s="2">
        <v>583</v>
      </c>
      <c r="G3697" s="2">
        <v>100</v>
      </c>
      <c r="H3697" s="2">
        <v>119</v>
      </c>
      <c r="I3697" s="2">
        <v>2</v>
      </c>
      <c r="J3697" s="2">
        <v>358</v>
      </c>
      <c r="K3697" s="2">
        <v>70</v>
      </c>
      <c r="L3697" s="2">
        <v>188</v>
      </c>
    </row>
    <row r="3698" spans="1:12" x14ac:dyDescent="0.25">
      <c r="A3698" s="4" t="str">
        <f>HYPERLINK("http://www.rosaceae.org/Prunus/Prunus_persica/p.persica_gdr_reftransV1_0048315","p.persica_gdr_reftransV1_0048315")</f>
        <v>p.persica_gdr_reftransV1_0048315</v>
      </c>
      <c r="B3698" s="2">
        <v>480</v>
      </c>
      <c r="C3698" s="4" t="str">
        <f>HYPERLINK("http://www.uniprot.org/uniprot/M5WA83","M5WA83")</f>
        <v>M5WA83</v>
      </c>
      <c r="D3698" s="2" t="s">
        <v>3486</v>
      </c>
      <c r="E3698" s="3">
        <v>2.0600000000000001E-106</v>
      </c>
      <c r="F3698" s="2">
        <v>847</v>
      </c>
      <c r="G3698" s="2">
        <v>99</v>
      </c>
      <c r="H3698" s="2">
        <v>160</v>
      </c>
      <c r="I3698" s="2">
        <v>1</v>
      </c>
      <c r="J3698" s="2">
        <v>480</v>
      </c>
      <c r="K3698" s="2">
        <v>263</v>
      </c>
      <c r="L3698" s="2">
        <v>422</v>
      </c>
    </row>
    <row r="3699" spans="1:12" x14ac:dyDescent="0.25">
      <c r="A3699" s="4" t="str">
        <f>HYPERLINK("http://www.rosaceae.org/Prunus/Prunus_persica/p.persica_gdr_reftransV1_0048665","p.persica_gdr_reftransV1_0048665")</f>
        <v>p.persica_gdr_reftransV1_0048665</v>
      </c>
      <c r="B3699" s="2">
        <v>2162</v>
      </c>
      <c r="C3699" s="4" t="str">
        <f>HYPERLINK("http://www.uniprot.org/uniprot/M5X185","M5X185")</f>
        <v>M5X185</v>
      </c>
      <c r="D3699" s="2" t="s">
        <v>2361</v>
      </c>
      <c r="E3699" s="3">
        <v>0</v>
      </c>
      <c r="F3699" s="2">
        <v>2139</v>
      </c>
      <c r="G3699" s="2">
        <v>100</v>
      </c>
      <c r="H3699" s="2">
        <v>398</v>
      </c>
      <c r="I3699" s="2">
        <v>719</v>
      </c>
      <c r="J3699" s="2">
        <v>1912</v>
      </c>
      <c r="K3699" s="2">
        <v>1</v>
      </c>
      <c r="L3699" s="2">
        <v>398</v>
      </c>
    </row>
    <row r="3700" spans="1:12" x14ac:dyDescent="0.25">
      <c r="A3700" s="4" t="str">
        <f>HYPERLINK("http://www.rosaceae.org/Prunus/Prunus_persica/p.persica_gdr_reftransV1_0049015","p.persica_gdr_reftransV1_0049015")</f>
        <v>p.persica_gdr_reftransV1_0049015</v>
      </c>
      <c r="B3700" s="2">
        <v>2100</v>
      </c>
      <c r="C3700" s="4" t="str">
        <f>HYPERLINK("http://www.uniprot.org/uniprot/M5VM67","M5VM67")</f>
        <v>M5VM67</v>
      </c>
      <c r="D3700" s="2" t="s">
        <v>3487</v>
      </c>
      <c r="E3700" s="3">
        <v>0</v>
      </c>
      <c r="F3700" s="2">
        <v>1862</v>
      </c>
      <c r="G3700" s="2">
        <v>100</v>
      </c>
      <c r="H3700" s="2">
        <v>389</v>
      </c>
      <c r="I3700" s="2">
        <v>158</v>
      </c>
      <c r="J3700" s="2">
        <v>1324</v>
      </c>
      <c r="K3700" s="2">
        <v>1</v>
      </c>
      <c r="L3700" s="2">
        <v>389</v>
      </c>
    </row>
    <row r="3701" spans="1:12" x14ac:dyDescent="0.25">
      <c r="A3701" s="4" t="str">
        <f>HYPERLINK("http://www.rosaceae.org/Prunus/Prunus_persica/p.persica_gdr_reftransV1_0000151","p.persica_gdr_reftransV1_0000151")</f>
        <v>p.persica_gdr_reftransV1_0000151</v>
      </c>
      <c r="B3701" s="2">
        <v>1885</v>
      </c>
      <c r="C3701" s="4" t="str">
        <f>HYPERLINK("http://www.uniprot.org/uniprot/M5WGT1","M5WGT1")</f>
        <v>M5WGT1</v>
      </c>
      <c r="D3701" s="2" t="s">
        <v>3488</v>
      </c>
      <c r="E3701" s="3">
        <v>0</v>
      </c>
      <c r="F3701" s="2">
        <v>2815</v>
      </c>
      <c r="G3701" s="2">
        <v>100</v>
      </c>
      <c r="H3701" s="2">
        <v>522</v>
      </c>
      <c r="I3701" s="2">
        <v>89</v>
      </c>
      <c r="J3701" s="2">
        <v>1654</v>
      </c>
      <c r="K3701" s="2">
        <v>1</v>
      </c>
      <c r="L3701" s="2">
        <v>522</v>
      </c>
    </row>
    <row r="3702" spans="1:12" x14ac:dyDescent="0.25">
      <c r="A3702" s="4" t="str">
        <f>HYPERLINK("http://www.rosaceae.org/Prunus/Prunus_persica/p.persica_gdr_reftransV1_0000501","p.persica_gdr_reftransV1_0000501")</f>
        <v>p.persica_gdr_reftransV1_0000501</v>
      </c>
      <c r="B3702" s="2">
        <v>1092</v>
      </c>
      <c r="C3702" s="4" t="str">
        <f>HYPERLINK("http://www.uniprot.org/uniprot/M5WZM7","M5WZM7")</f>
        <v>M5WZM7</v>
      </c>
      <c r="D3702" s="2" t="s">
        <v>3489</v>
      </c>
      <c r="E3702" s="3">
        <v>5.6199999999999998E-7</v>
      </c>
      <c r="F3702" s="2">
        <v>140</v>
      </c>
      <c r="G3702" s="2">
        <v>81</v>
      </c>
      <c r="H3702" s="2">
        <v>31</v>
      </c>
      <c r="I3702" s="2">
        <v>261</v>
      </c>
      <c r="J3702" s="2">
        <v>353</v>
      </c>
      <c r="K3702" s="2">
        <v>1</v>
      </c>
      <c r="L3702" s="2">
        <v>31</v>
      </c>
    </row>
    <row r="3703" spans="1:12" x14ac:dyDescent="0.25">
      <c r="A3703" s="4" t="str">
        <f>HYPERLINK("http://www.rosaceae.org/Prunus/Prunus_persica/p.persica_gdr_reftransV1_0000851","p.persica_gdr_reftransV1_0000851")</f>
        <v>p.persica_gdr_reftransV1_0000851</v>
      </c>
      <c r="B3703" s="2">
        <v>1700</v>
      </c>
      <c r="C3703" s="4" t="str">
        <f>HYPERLINK("http://www.uniprot.org/uniprot/M5XC22","M5XC22")</f>
        <v>M5XC22</v>
      </c>
      <c r="D3703" s="2" t="s">
        <v>3490</v>
      </c>
      <c r="E3703" s="3">
        <v>6.2399999999999999E-123</v>
      </c>
      <c r="F3703" s="2">
        <v>956</v>
      </c>
      <c r="G3703" s="2">
        <v>100</v>
      </c>
      <c r="H3703" s="2">
        <v>199</v>
      </c>
      <c r="I3703" s="2">
        <v>956</v>
      </c>
      <c r="J3703" s="2">
        <v>1552</v>
      </c>
      <c r="K3703" s="2">
        <v>1</v>
      </c>
      <c r="L3703" s="2">
        <v>199</v>
      </c>
    </row>
    <row r="3704" spans="1:12" x14ac:dyDescent="0.25">
      <c r="A3704" s="4" t="str">
        <f>HYPERLINK("http://www.rosaceae.org/Prunus/Prunus_persica/p.persica_gdr_reftransV1_0001551","p.persica_gdr_reftransV1_0001551")</f>
        <v>p.persica_gdr_reftransV1_0001551</v>
      </c>
      <c r="B3704" s="2">
        <v>1166</v>
      </c>
      <c r="C3704" s="4" t="str">
        <f>HYPERLINK("http://www.uniprot.org/uniprot/M5XFG8","M5XFG8")</f>
        <v>M5XFG8</v>
      </c>
      <c r="D3704" s="2" t="s">
        <v>3491</v>
      </c>
      <c r="E3704" s="3">
        <v>1.5300000000000001E-158</v>
      </c>
      <c r="F3704" s="2">
        <v>1193</v>
      </c>
      <c r="G3704" s="2">
        <v>96</v>
      </c>
      <c r="H3704" s="2">
        <v>231</v>
      </c>
      <c r="I3704" s="2">
        <v>187</v>
      </c>
      <c r="J3704" s="2">
        <v>879</v>
      </c>
      <c r="K3704" s="2">
        <v>1</v>
      </c>
      <c r="L3704" s="2">
        <v>231</v>
      </c>
    </row>
    <row r="3705" spans="1:12" x14ac:dyDescent="0.25">
      <c r="A3705" s="4" t="str">
        <f>HYPERLINK("http://www.rosaceae.org/Prunus/Prunus_persica/p.persica_gdr_reftransV1_0002251","p.persica_gdr_reftransV1_0002251")</f>
        <v>p.persica_gdr_reftransV1_0002251</v>
      </c>
      <c r="B3705" s="2">
        <v>1570</v>
      </c>
      <c r="C3705" s="4" t="str">
        <f>HYPERLINK("http://www.uniprot.org/uniprot/M5WFV9","M5WFV9")</f>
        <v>M5WFV9</v>
      </c>
      <c r="D3705" s="2" t="s">
        <v>3492</v>
      </c>
      <c r="E3705" s="3">
        <v>0</v>
      </c>
      <c r="F3705" s="2">
        <v>1867</v>
      </c>
      <c r="G3705" s="2">
        <v>97</v>
      </c>
      <c r="H3705" s="2">
        <v>360</v>
      </c>
      <c r="I3705" s="2">
        <v>172</v>
      </c>
      <c r="J3705" s="2">
        <v>1251</v>
      </c>
      <c r="K3705" s="2">
        <v>1</v>
      </c>
      <c r="L3705" s="2">
        <v>360</v>
      </c>
    </row>
    <row r="3706" spans="1:12" x14ac:dyDescent="0.25">
      <c r="A3706" s="4" t="str">
        <f>HYPERLINK("http://www.rosaceae.org/Prunus/Prunus_persica/p.persica_gdr_reftransV1_0002601","p.persica_gdr_reftransV1_0002601")</f>
        <v>p.persica_gdr_reftransV1_0002601</v>
      </c>
      <c r="B3706" s="2">
        <v>983</v>
      </c>
      <c r="C3706" s="4" t="str">
        <f>HYPERLINK("http://www.uniprot.org/uniprot/X0JGT1","X0JGT1")</f>
        <v>X0JGT1</v>
      </c>
      <c r="D3706" s="2" t="s">
        <v>3493</v>
      </c>
      <c r="E3706" s="3">
        <v>1.8699999999999999E-70</v>
      </c>
      <c r="F3706" s="2">
        <v>587</v>
      </c>
      <c r="G3706" s="2">
        <v>94</v>
      </c>
      <c r="H3706" s="2">
        <v>139</v>
      </c>
      <c r="I3706" s="2">
        <v>187</v>
      </c>
      <c r="J3706" s="2">
        <v>600</v>
      </c>
      <c r="K3706" s="2">
        <v>100</v>
      </c>
      <c r="L3706" s="2">
        <v>238</v>
      </c>
    </row>
    <row r="3707" spans="1:12" x14ac:dyDescent="0.25">
      <c r="A3707" s="4" t="str">
        <f>HYPERLINK("http://www.rosaceae.org/Prunus/Prunus_persica/p.persica_gdr_reftransV1_0003301","p.persica_gdr_reftransV1_0003301")</f>
        <v>p.persica_gdr_reftransV1_0003301</v>
      </c>
      <c r="B3707" s="2">
        <v>733</v>
      </c>
      <c r="C3707" s="4" t="str">
        <f>HYPERLINK("http://www.uniprot.org/uniprot/M5XTG3","M5XTG3")</f>
        <v>M5XTG3</v>
      </c>
      <c r="D3707" s="2" t="s">
        <v>3494</v>
      </c>
      <c r="E3707" s="3">
        <v>2.0900000000000001E-104</v>
      </c>
      <c r="F3707" s="2">
        <v>795</v>
      </c>
      <c r="G3707" s="2">
        <v>100</v>
      </c>
      <c r="H3707" s="2">
        <v>150</v>
      </c>
      <c r="I3707" s="2">
        <v>63</v>
      </c>
      <c r="J3707" s="2">
        <v>512</v>
      </c>
      <c r="K3707" s="2">
        <v>1</v>
      </c>
      <c r="L3707" s="2">
        <v>150</v>
      </c>
    </row>
    <row r="3708" spans="1:12" x14ac:dyDescent="0.25">
      <c r="A3708" s="4" t="str">
        <f>HYPERLINK("http://www.rosaceae.org/Prunus/Prunus_persica/p.persica_gdr_reftransV1_0003651","p.persica_gdr_reftransV1_0003651")</f>
        <v>p.persica_gdr_reftransV1_0003651</v>
      </c>
      <c r="B3708" s="2">
        <v>3166</v>
      </c>
      <c r="C3708" s="4" t="str">
        <f>HYPERLINK("http://www.uniprot.org/uniprot/M5XIX6","M5XIX6")</f>
        <v>M5XIX6</v>
      </c>
      <c r="D3708" s="2" t="s">
        <v>3495</v>
      </c>
      <c r="E3708" s="3">
        <v>0</v>
      </c>
      <c r="F3708" s="2">
        <v>3902</v>
      </c>
      <c r="G3708" s="2">
        <v>99</v>
      </c>
      <c r="H3708" s="2">
        <v>768</v>
      </c>
      <c r="I3708" s="2">
        <v>584</v>
      </c>
      <c r="J3708" s="2">
        <v>2887</v>
      </c>
      <c r="K3708" s="2">
        <v>1</v>
      </c>
      <c r="L3708" s="2">
        <v>765</v>
      </c>
    </row>
    <row r="3709" spans="1:12" x14ac:dyDescent="0.25">
      <c r="A3709" s="4" t="str">
        <f>HYPERLINK("http://www.rosaceae.org/Prunus/Prunus_persica/p.persica_gdr_reftransV1_0004001","p.persica_gdr_reftransV1_0004001")</f>
        <v>p.persica_gdr_reftransV1_0004001</v>
      </c>
      <c r="B3709" s="2">
        <v>1318</v>
      </c>
      <c r="C3709" s="4" t="str">
        <f>HYPERLINK("http://www.uniprot.org/uniprot/M5W634","M5W634")</f>
        <v>M5W634</v>
      </c>
      <c r="D3709" s="2" t="s">
        <v>3496</v>
      </c>
      <c r="E3709" s="3">
        <v>0</v>
      </c>
      <c r="F3709" s="2">
        <v>1714</v>
      </c>
      <c r="G3709" s="2">
        <v>99</v>
      </c>
      <c r="H3709" s="2">
        <v>360</v>
      </c>
      <c r="I3709" s="2">
        <v>66</v>
      </c>
      <c r="J3709" s="2">
        <v>1145</v>
      </c>
      <c r="K3709" s="2">
        <v>1</v>
      </c>
      <c r="L3709" s="2">
        <v>360</v>
      </c>
    </row>
    <row r="3710" spans="1:12" x14ac:dyDescent="0.25">
      <c r="A3710" s="4" t="str">
        <f>HYPERLINK("http://www.rosaceae.org/Prunus/Prunus_persica/p.persica_gdr_reftransV1_0004351","p.persica_gdr_reftransV1_0004351")</f>
        <v>p.persica_gdr_reftransV1_0004351</v>
      </c>
      <c r="B3710" s="2">
        <v>312</v>
      </c>
      <c r="C3710" s="4" t="str">
        <f>HYPERLINK("http://www.uniprot.org/uniprot/Q8H6M0","Q8H6M0")</f>
        <v>Q8H6M0</v>
      </c>
      <c r="D3710" s="2" t="s">
        <v>3497</v>
      </c>
      <c r="E3710" s="3">
        <v>2.5199999999999999E-66</v>
      </c>
      <c r="F3710" s="2">
        <v>530</v>
      </c>
      <c r="G3710" s="2">
        <v>100</v>
      </c>
      <c r="H3710" s="2">
        <v>103</v>
      </c>
      <c r="I3710" s="2">
        <v>2</v>
      </c>
      <c r="J3710" s="2">
        <v>310</v>
      </c>
      <c r="K3710" s="2">
        <v>27</v>
      </c>
      <c r="L3710" s="2">
        <v>129</v>
      </c>
    </row>
    <row r="3711" spans="1:12" x14ac:dyDescent="0.25">
      <c r="A3711" s="4" t="str">
        <f>HYPERLINK("http://www.rosaceae.org/Prunus/Prunus_persica/p.persica_gdr_reftransV1_0004701","p.persica_gdr_reftransV1_0004701")</f>
        <v>p.persica_gdr_reftransV1_0004701</v>
      </c>
      <c r="B3711" s="2">
        <v>2101</v>
      </c>
      <c r="C3711" s="4" t="str">
        <f>HYPERLINK("http://www.uniprot.org/uniprot/M5VXQ7","M5VXQ7")</f>
        <v>M5VXQ7</v>
      </c>
      <c r="D3711" s="2" t="s">
        <v>3498</v>
      </c>
      <c r="E3711" s="3">
        <v>0</v>
      </c>
      <c r="F3711" s="2">
        <v>2915</v>
      </c>
      <c r="G3711" s="2">
        <v>100</v>
      </c>
      <c r="H3711" s="2">
        <v>555</v>
      </c>
      <c r="I3711" s="2">
        <v>256</v>
      </c>
      <c r="J3711" s="2">
        <v>1920</v>
      </c>
      <c r="K3711" s="2">
        <v>1</v>
      </c>
      <c r="L3711" s="2">
        <v>555</v>
      </c>
    </row>
    <row r="3712" spans="1:12" x14ac:dyDescent="0.25">
      <c r="A3712" s="4" t="str">
        <f>HYPERLINK("http://www.rosaceae.org/Prunus/Prunus_persica/p.persica_gdr_reftransV1_0005051","p.persica_gdr_reftransV1_0005051")</f>
        <v>p.persica_gdr_reftransV1_0005051</v>
      </c>
      <c r="B3712" s="2">
        <v>495</v>
      </c>
      <c r="C3712" s="4" t="str">
        <f>HYPERLINK("http://www.uniprot.org/uniprot/M5WL83","M5WL83")</f>
        <v>M5WL83</v>
      </c>
      <c r="D3712" s="2" t="s">
        <v>3499</v>
      </c>
      <c r="E3712" s="3">
        <v>1.26E-113</v>
      </c>
      <c r="F3712" s="2">
        <v>881</v>
      </c>
      <c r="G3712" s="2">
        <v>100</v>
      </c>
      <c r="H3712" s="2">
        <v>164</v>
      </c>
      <c r="I3712" s="2">
        <v>2</v>
      </c>
      <c r="J3712" s="2">
        <v>493</v>
      </c>
      <c r="K3712" s="2">
        <v>200</v>
      </c>
      <c r="L3712" s="2">
        <v>363</v>
      </c>
    </row>
    <row r="3713" spans="1:12" x14ac:dyDescent="0.25">
      <c r="A3713" s="4" t="str">
        <f>HYPERLINK("http://www.rosaceae.org/Prunus/Prunus_persica/p.persica_gdr_reftransV1_0005401","p.persica_gdr_reftransV1_0005401")</f>
        <v>p.persica_gdr_reftransV1_0005401</v>
      </c>
      <c r="B3713" s="2">
        <v>1801</v>
      </c>
      <c r="C3713" s="4" t="str">
        <f>HYPERLINK("http://www.uniprot.org/uniprot/A0A0D2RUY6","A0A0D2RUY6")</f>
        <v>A0A0D2RUY6</v>
      </c>
      <c r="D3713" s="2" t="s">
        <v>3500</v>
      </c>
      <c r="E3713" s="3">
        <v>0</v>
      </c>
      <c r="F3713" s="2">
        <v>1454</v>
      </c>
      <c r="G3713" s="2">
        <v>77</v>
      </c>
      <c r="H3713" s="2">
        <v>458</v>
      </c>
      <c r="I3713" s="2">
        <v>115</v>
      </c>
      <c r="J3713" s="2">
        <v>1464</v>
      </c>
      <c r="K3713" s="2">
        <v>1</v>
      </c>
      <c r="L3713" s="2">
        <v>445</v>
      </c>
    </row>
    <row r="3714" spans="1:12" x14ac:dyDescent="0.25">
      <c r="A3714" s="4" t="str">
        <f>HYPERLINK("http://www.rosaceae.org/Prunus/Prunus_persica/p.persica_gdr_reftransV1_0005751","p.persica_gdr_reftransV1_0005751")</f>
        <v>p.persica_gdr_reftransV1_0005751</v>
      </c>
      <c r="B3714" s="2">
        <v>1618</v>
      </c>
      <c r="C3714" s="4" t="str">
        <f>HYPERLINK("http://www.uniprot.org/uniprot/M5Y7X2","M5Y7X2")</f>
        <v>M5Y7X2</v>
      </c>
      <c r="D3714" s="2" t="s">
        <v>3501</v>
      </c>
      <c r="E3714" s="3">
        <v>0</v>
      </c>
      <c r="F3714" s="2">
        <v>2304</v>
      </c>
      <c r="G3714" s="2">
        <v>100</v>
      </c>
      <c r="H3714" s="2">
        <v>469</v>
      </c>
      <c r="I3714" s="2">
        <v>186</v>
      </c>
      <c r="J3714" s="2">
        <v>1592</v>
      </c>
      <c r="K3714" s="2">
        <v>1</v>
      </c>
      <c r="L3714" s="2">
        <v>469</v>
      </c>
    </row>
    <row r="3715" spans="1:12" x14ac:dyDescent="0.25">
      <c r="A3715" s="4" t="str">
        <f>HYPERLINK("http://www.rosaceae.org/Prunus/Prunus_persica/p.persica_gdr_reftransV1_0006101","p.persica_gdr_reftransV1_0006101")</f>
        <v>p.persica_gdr_reftransV1_0006101</v>
      </c>
      <c r="B3715" s="2">
        <v>859</v>
      </c>
      <c r="C3715" s="4" t="str">
        <f>HYPERLINK("http://www.uniprot.org/uniprot/M5WJF6","M5WJF6")</f>
        <v>M5WJF6</v>
      </c>
      <c r="D3715" s="2" t="s">
        <v>3502</v>
      </c>
      <c r="E3715" s="3">
        <v>4.07E-175</v>
      </c>
      <c r="F3715" s="2">
        <v>1298</v>
      </c>
      <c r="G3715" s="2">
        <v>97</v>
      </c>
      <c r="H3715" s="2">
        <v>259</v>
      </c>
      <c r="I3715" s="2">
        <v>82</v>
      </c>
      <c r="J3715" s="2">
        <v>858</v>
      </c>
      <c r="K3715" s="2">
        <v>207</v>
      </c>
      <c r="L3715" s="2">
        <v>465</v>
      </c>
    </row>
    <row r="3716" spans="1:12" x14ac:dyDescent="0.25">
      <c r="A3716" s="4" t="str">
        <f>HYPERLINK("http://www.rosaceae.org/Prunus/Prunus_persica/p.persica_gdr_reftransV1_0006801","p.persica_gdr_reftransV1_0006801")</f>
        <v>p.persica_gdr_reftransV1_0006801</v>
      </c>
      <c r="B3716" s="2">
        <v>1191</v>
      </c>
      <c r="C3716" s="4" t="str">
        <f>HYPERLINK("http://www.uniprot.org/uniprot/M5W5U8","M5W5U8")</f>
        <v>M5W5U8</v>
      </c>
      <c r="D3716" s="2" t="s">
        <v>3503</v>
      </c>
      <c r="E3716" s="3">
        <v>0</v>
      </c>
      <c r="F3716" s="2">
        <v>1716</v>
      </c>
      <c r="G3716" s="2">
        <v>100</v>
      </c>
      <c r="H3716" s="2">
        <v>368</v>
      </c>
      <c r="I3716" s="2">
        <v>3</v>
      </c>
      <c r="J3716" s="2">
        <v>1106</v>
      </c>
      <c r="K3716" s="2">
        <v>51</v>
      </c>
      <c r="L3716" s="2">
        <v>418</v>
      </c>
    </row>
    <row r="3717" spans="1:12" x14ac:dyDescent="0.25">
      <c r="A3717" s="4" t="str">
        <f>HYPERLINK("http://www.rosaceae.org/Prunus/Prunus_persica/p.persica_gdr_reftransV1_0007151","p.persica_gdr_reftransV1_0007151")</f>
        <v>p.persica_gdr_reftransV1_0007151</v>
      </c>
      <c r="B3717" s="2">
        <v>1306</v>
      </c>
      <c r="C3717" s="4" t="str">
        <f>HYPERLINK("http://www.uniprot.org/uniprot/M5WG86","M5WG86")</f>
        <v>M5WG86</v>
      </c>
      <c r="D3717" s="2" t="s">
        <v>3504</v>
      </c>
      <c r="E3717" s="3">
        <v>0</v>
      </c>
      <c r="F3717" s="2">
        <v>1831</v>
      </c>
      <c r="G3717" s="2">
        <v>100</v>
      </c>
      <c r="H3717" s="2">
        <v>339</v>
      </c>
      <c r="I3717" s="2">
        <v>204</v>
      </c>
      <c r="J3717" s="2">
        <v>1220</v>
      </c>
      <c r="K3717" s="2">
        <v>1</v>
      </c>
      <c r="L3717" s="2">
        <v>339</v>
      </c>
    </row>
    <row r="3718" spans="1:12" x14ac:dyDescent="0.25">
      <c r="A3718" s="4" t="str">
        <f>HYPERLINK("http://www.rosaceae.org/Prunus/Prunus_persica/p.persica_gdr_reftransV1_0007501","p.persica_gdr_reftransV1_0007501")</f>
        <v>p.persica_gdr_reftransV1_0007501</v>
      </c>
      <c r="B3718" s="2">
        <v>2417</v>
      </c>
      <c r="C3718" s="4" t="str">
        <f>HYPERLINK("http://www.uniprot.org/uniprot/M5VX71","M5VX71")</f>
        <v>M5VX71</v>
      </c>
      <c r="D3718" s="2" t="s">
        <v>3505</v>
      </c>
      <c r="E3718" s="3">
        <v>0</v>
      </c>
      <c r="F3718" s="2">
        <v>3374</v>
      </c>
      <c r="G3718" s="2">
        <v>100</v>
      </c>
      <c r="H3718" s="2">
        <v>687</v>
      </c>
      <c r="I3718" s="2">
        <v>280</v>
      </c>
      <c r="J3718" s="2">
        <v>2340</v>
      </c>
      <c r="K3718" s="2">
        <v>1</v>
      </c>
      <c r="L3718" s="2">
        <v>687</v>
      </c>
    </row>
    <row r="3719" spans="1:12" x14ac:dyDescent="0.25">
      <c r="A3719" s="4" t="str">
        <f>HYPERLINK("http://www.rosaceae.org/Prunus/Prunus_persica/p.persica_gdr_reftransV1_0008201","p.persica_gdr_reftransV1_0008201")</f>
        <v>p.persica_gdr_reftransV1_0008201</v>
      </c>
      <c r="B3719" s="2">
        <v>619</v>
      </c>
      <c r="C3719" s="4" t="str">
        <f>HYPERLINK("http://www.uniprot.org/uniprot/M5XAI0","M5XAI0")</f>
        <v>M5XAI0</v>
      </c>
      <c r="D3719" s="2" t="s">
        <v>3506</v>
      </c>
      <c r="E3719" s="3">
        <v>5.5200000000000002E-47</v>
      </c>
      <c r="F3719" s="2">
        <v>426</v>
      </c>
      <c r="G3719" s="2">
        <v>100</v>
      </c>
      <c r="H3719" s="2">
        <v>99</v>
      </c>
      <c r="I3719" s="2">
        <v>2</v>
      </c>
      <c r="J3719" s="2">
        <v>298</v>
      </c>
      <c r="K3719" s="2">
        <v>237</v>
      </c>
      <c r="L3719" s="2">
        <v>335</v>
      </c>
    </row>
    <row r="3720" spans="1:12" x14ac:dyDescent="0.25">
      <c r="A3720" s="4" t="str">
        <f>HYPERLINK("http://www.rosaceae.org/Prunus/Prunus_persica/p.persica_gdr_reftransV1_0008551","p.persica_gdr_reftransV1_0008551")</f>
        <v>p.persica_gdr_reftransV1_0008551</v>
      </c>
      <c r="B3720" s="2">
        <v>1503</v>
      </c>
      <c r="C3720" s="4" t="str">
        <f>HYPERLINK("http://www.uniprot.org/uniprot/M5W460","M5W460")</f>
        <v>M5W460</v>
      </c>
      <c r="D3720" s="2" t="s">
        <v>3507</v>
      </c>
      <c r="E3720" s="3">
        <v>0</v>
      </c>
      <c r="F3720" s="2">
        <v>2075</v>
      </c>
      <c r="G3720" s="2">
        <v>100</v>
      </c>
      <c r="H3720" s="2">
        <v>392</v>
      </c>
      <c r="I3720" s="2">
        <v>278</v>
      </c>
      <c r="J3720" s="2">
        <v>1453</v>
      </c>
      <c r="K3720" s="2">
        <v>1</v>
      </c>
      <c r="L3720" s="2">
        <v>392</v>
      </c>
    </row>
    <row r="3721" spans="1:12" x14ac:dyDescent="0.25">
      <c r="A3721" s="4" t="str">
        <f>HYPERLINK("http://www.rosaceae.org/Prunus/Prunus_persica/p.persica_gdr_reftransV1_0008901","p.persica_gdr_reftransV1_0008901")</f>
        <v>p.persica_gdr_reftransV1_0008901</v>
      </c>
      <c r="B3721" s="2">
        <v>1529</v>
      </c>
      <c r="C3721" s="4" t="str">
        <f>HYPERLINK("http://www.uniprot.org/uniprot/M5XDR3","M5XDR3")</f>
        <v>M5XDR3</v>
      </c>
      <c r="D3721" s="2" t="s">
        <v>3508</v>
      </c>
      <c r="E3721" s="3">
        <v>0</v>
      </c>
      <c r="F3721" s="2">
        <v>2311</v>
      </c>
      <c r="G3721" s="2">
        <v>100</v>
      </c>
      <c r="H3721" s="2">
        <v>430</v>
      </c>
      <c r="I3721" s="2">
        <v>106</v>
      </c>
      <c r="J3721" s="2">
        <v>1395</v>
      </c>
      <c r="K3721" s="2">
        <v>1</v>
      </c>
      <c r="L3721" s="2">
        <v>430</v>
      </c>
    </row>
    <row r="3722" spans="1:12" x14ac:dyDescent="0.25">
      <c r="A3722" s="4" t="str">
        <f>HYPERLINK("http://www.rosaceae.org/Prunus/Prunus_persica/p.persica_gdr_reftransV1_0009251","p.persica_gdr_reftransV1_0009251")</f>
        <v>p.persica_gdr_reftransV1_0009251</v>
      </c>
      <c r="B3722" s="2">
        <v>2799</v>
      </c>
      <c r="C3722" s="4" t="str">
        <f>HYPERLINK("http://www.uniprot.org/uniprot/M5VJY5","M5VJY5")</f>
        <v>M5VJY5</v>
      </c>
      <c r="D3722" s="2" t="s">
        <v>3509</v>
      </c>
      <c r="E3722" s="3">
        <v>0</v>
      </c>
      <c r="F3722" s="2">
        <v>1758</v>
      </c>
      <c r="G3722" s="2">
        <v>99</v>
      </c>
      <c r="H3722" s="2">
        <v>337</v>
      </c>
      <c r="I3722" s="2">
        <v>373</v>
      </c>
      <c r="J3722" s="2">
        <v>1383</v>
      </c>
      <c r="K3722" s="2">
        <v>82</v>
      </c>
      <c r="L3722" s="2">
        <v>418</v>
      </c>
    </row>
    <row r="3723" spans="1:12" x14ac:dyDescent="0.25">
      <c r="A3723" s="4" t="str">
        <f>HYPERLINK("http://www.rosaceae.org/Prunus/Prunus_persica/p.persica_gdr_reftransV1_0009951","p.persica_gdr_reftransV1_0009951")</f>
        <v>p.persica_gdr_reftransV1_0009951</v>
      </c>
      <c r="B3723" s="2">
        <v>1226</v>
      </c>
      <c r="C3723" s="4" t="str">
        <f>HYPERLINK("http://www.uniprot.org/uniprot/M5X0V3","M5X0V3")</f>
        <v>M5X0V3</v>
      </c>
      <c r="D3723" s="2" t="s">
        <v>3510</v>
      </c>
      <c r="E3723" s="3">
        <v>1.03E-50</v>
      </c>
      <c r="F3723" s="2">
        <v>454</v>
      </c>
      <c r="G3723" s="2">
        <v>81</v>
      </c>
      <c r="H3723" s="2">
        <v>108</v>
      </c>
      <c r="I3723" s="2">
        <v>75</v>
      </c>
      <c r="J3723" s="2">
        <v>395</v>
      </c>
      <c r="K3723" s="2">
        <v>1</v>
      </c>
      <c r="L3723" s="2">
        <v>108</v>
      </c>
    </row>
    <row r="3724" spans="1:12" x14ac:dyDescent="0.25">
      <c r="A3724" s="4" t="str">
        <f>HYPERLINK("http://www.rosaceae.org/Prunus/Prunus_persica/p.persica_gdr_reftransV1_0010651","p.persica_gdr_reftransV1_0010651")</f>
        <v>p.persica_gdr_reftransV1_0010651</v>
      </c>
      <c r="B3724" s="2">
        <v>584</v>
      </c>
      <c r="C3724" s="4" t="str">
        <f>HYPERLINK("http://www.uniprot.org/uniprot/M5WE24","M5WE24")</f>
        <v>M5WE24</v>
      </c>
      <c r="D3724" s="2" t="s">
        <v>1890</v>
      </c>
      <c r="E3724" s="3">
        <v>5.2300000000000001E-67</v>
      </c>
      <c r="F3724" s="2">
        <v>593</v>
      </c>
      <c r="G3724" s="2">
        <v>100</v>
      </c>
      <c r="H3724" s="2">
        <v>194</v>
      </c>
      <c r="I3724" s="2">
        <v>1</v>
      </c>
      <c r="J3724" s="2">
        <v>582</v>
      </c>
      <c r="K3724" s="2">
        <v>9</v>
      </c>
      <c r="L3724" s="2">
        <v>202</v>
      </c>
    </row>
    <row r="3725" spans="1:12" x14ac:dyDescent="0.25">
      <c r="A3725" s="4" t="str">
        <f>HYPERLINK("http://www.rosaceae.org/Prunus/Prunus_persica/p.persica_gdr_reftransV1_0012401","p.persica_gdr_reftransV1_0012401")</f>
        <v>p.persica_gdr_reftransV1_0012401</v>
      </c>
      <c r="B3725" s="2">
        <v>1560</v>
      </c>
      <c r="C3725" s="4" t="str">
        <f>HYPERLINK("http://www.uniprot.org/uniprot/M5XE18","M5XE18")</f>
        <v>M5XE18</v>
      </c>
      <c r="D3725" s="2" t="s">
        <v>3511</v>
      </c>
      <c r="E3725" s="3">
        <v>0</v>
      </c>
      <c r="F3725" s="2">
        <v>1987</v>
      </c>
      <c r="G3725" s="2">
        <v>100</v>
      </c>
      <c r="H3725" s="2">
        <v>396</v>
      </c>
      <c r="I3725" s="2">
        <v>318</v>
      </c>
      <c r="J3725" s="2">
        <v>1505</v>
      </c>
      <c r="K3725" s="2">
        <v>1</v>
      </c>
      <c r="L3725" s="2">
        <v>396</v>
      </c>
    </row>
    <row r="3726" spans="1:12" x14ac:dyDescent="0.25">
      <c r="A3726" s="4" t="str">
        <f>HYPERLINK("http://www.rosaceae.org/Prunus/Prunus_persica/p.persica_gdr_reftransV1_0012751","p.persica_gdr_reftransV1_0012751")</f>
        <v>p.persica_gdr_reftransV1_0012751</v>
      </c>
      <c r="B3726" s="2">
        <v>6157</v>
      </c>
      <c r="C3726" s="4" t="str">
        <f>HYPERLINK("http://www.uniprot.org/uniprot/M5WRJ8","M5WRJ8")</f>
        <v>M5WRJ8</v>
      </c>
      <c r="D3726" s="2" t="s">
        <v>3512</v>
      </c>
      <c r="E3726" s="3">
        <v>0</v>
      </c>
      <c r="F3726" s="2">
        <v>2448</v>
      </c>
      <c r="G3726" s="2">
        <v>64</v>
      </c>
      <c r="H3726" s="2">
        <v>787</v>
      </c>
      <c r="I3726" s="2">
        <v>3267</v>
      </c>
      <c r="J3726" s="2">
        <v>5585</v>
      </c>
      <c r="K3726" s="2">
        <v>404</v>
      </c>
      <c r="L3726" s="2">
        <v>1070</v>
      </c>
    </row>
    <row r="3727" spans="1:12" x14ac:dyDescent="0.25">
      <c r="A3727" s="4" t="str">
        <f>HYPERLINK("http://www.rosaceae.org/Prunus/Prunus_persica/p.persica_gdr_reftransV1_0013101","p.persica_gdr_reftransV1_0013101")</f>
        <v>p.persica_gdr_reftransV1_0013101</v>
      </c>
      <c r="B3727" s="2">
        <v>673</v>
      </c>
      <c r="C3727" s="4" t="str">
        <f>HYPERLINK("http://www.uniprot.org/uniprot/M5VWD5","M5VWD5")</f>
        <v>M5VWD5</v>
      </c>
      <c r="D3727" s="2" t="s">
        <v>3513</v>
      </c>
      <c r="E3727" s="3">
        <v>1.5999999999999999E-23</v>
      </c>
      <c r="F3727" s="2">
        <v>264</v>
      </c>
      <c r="G3727" s="2">
        <v>80</v>
      </c>
      <c r="H3727" s="2">
        <v>105</v>
      </c>
      <c r="I3727" s="2">
        <v>15</v>
      </c>
      <c r="J3727" s="2">
        <v>323</v>
      </c>
      <c r="K3727" s="2">
        <v>1</v>
      </c>
      <c r="L3727" s="2">
        <v>105</v>
      </c>
    </row>
    <row r="3728" spans="1:12" x14ac:dyDescent="0.25">
      <c r="A3728" s="4" t="str">
        <f>HYPERLINK("http://www.rosaceae.org/Prunus/Prunus_persica/p.persica_gdr_reftransV1_0014151","p.persica_gdr_reftransV1_0014151")</f>
        <v>p.persica_gdr_reftransV1_0014151</v>
      </c>
      <c r="B3728" s="2">
        <v>1363</v>
      </c>
      <c r="C3728" s="4" t="str">
        <f>HYPERLINK("http://www.uniprot.org/uniprot/M5Y3J4","M5Y3J4")</f>
        <v>M5Y3J4</v>
      </c>
      <c r="D3728" s="2" t="s">
        <v>3514</v>
      </c>
      <c r="E3728" s="3">
        <v>0</v>
      </c>
      <c r="F3728" s="2">
        <v>1357</v>
      </c>
      <c r="G3728" s="2">
        <v>100</v>
      </c>
      <c r="H3728" s="2">
        <v>274</v>
      </c>
      <c r="I3728" s="2">
        <v>114</v>
      </c>
      <c r="J3728" s="2">
        <v>935</v>
      </c>
      <c r="K3728" s="2">
        <v>1</v>
      </c>
      <c r="L3728" s="2">
        <v>274</v>
      </c>
    </row>
    <row r="3729" spans="1:12" x14ac:dyDescent="0.25">
      <c r="A3729" s="4" t="str">
        <f>HYPERLINK("http://www.rosaceae.org/Prunus/Prunus_persica/p.persica_gdr_reftransV1_0014501","p.persica_gdr_reftransV1_0014501")</f>
        <v>p.persica_gdr_reftransV1_0014501</v>
      </c>
      <c r="B3729" s="2">
        <v>1191</v>
      </c>
      <c r="C3729" s="4" t="str">
        <f>HYPERLINK("http://www.uniprot.org/uniprot/M5XUE0","M5XUE0")</f>
        <v>M5XUE0</v>
      </c>
      <c r="D3729" s="2" t="s">
        <v>3515</v>
      </c>
      <c r="E3729" s="3">
        <v>6.0299999999999997E-50</v>
      </c>
      <c r="F3729" s="2">
        <v>444</v>
      </c>
      <c r="G3729" s="2">
        <v>100</v>
      </c>
      <c r="H3729" s="2">
        <v>84</v>
      </c>
      <c r="I3729" s="2">
        <v>673</v>
      </c>
      <c r="J3729" s="2">
        <v>924</v>
      </c>
      <c r="K3729" s="2">
        <v>1</v>
      </c>
      <c r="L3729" s="2">
        <v>84</v>
      </c>
    </row>
    <row r="3730" spans="1:12" x14ac:dyDescent="0.25">
      <c r="A3730" s="4" t="str">
        <f>HYPERLINK("http://www.rosaceae.org/Prunus/Prunus_persica/p.persica_gdr_reftransV1_0015551","p.persica_gdr_reftransV1_0015551")</f>
        <v>p.persica_gdr_reftransV1_0015551</v>
      </c>
      <c r="B3730" s="2">
        <v>7949</v>
      </c>
      <c r="C3730" s="4" t="str">
        <f>HYPERLINK("http://www.uniprot.org/uniprot/M5W9M5","M5W9M5")</f>
        <v>M5W9M5</v>
      </c>
      <c r="D3730" s="2" t="s">
        <v>3516</v>
      </c>
      <c r="E3730" s="3">
        <v>0</v>
      </c>
      <c r="F3730" s="2">
        <v>5434</v>
      </c>
      <c r="G3730" s="2">
        <v>98</v>
      </c>
      <c r="H3730" s="2">
        <v>1069</v>
      </c>
      <c r="I3730" s="2">
        <v>4725</v>
      </c>
      <c r="J3730" s="2">
        <v>7913</v>
      </c>
      <c r="K3730" s="2">
        <v>1</v>
      </c>
      <c r="L3730" s="2">
        <v>1050</v>
      </c>
    </row>
    <row r="3731" spans="1:12" x14ac:dyDescent="0.25">
      <c r="A3731" s="4" t="str">
        <f>HYPERLINK("http://www.rosaceae.org/Prunus/Prunus_persica/p.persica_gdr_reftransV1_0015901","p.persica_gdr_reftransV1_0015901")</f>
        <v>p.persica_gdr_reftransV1_0015901</v>
      </c>
      <c r="B3731" s="2">
        <v>3113</v>
      </c>
      <c r="C3731" s="4" t="str">
        <f>HYPERLINK("http://www.uniprot.org/uniprot/M5XKB8","M5XKB8")</f>
        <v>M5XKB8</v>
      </c>
      <c r="D3731" s="2" t="s">
        <v>3517</v>
      </c>
      <c r="E3731" s="3">
        <v>0</v>
      </c>
      <c r="F3731" s="2">
        <v>2551</v>
      </c>
      <c r="G3731" s="2">
        <v>100</v>
      </c>
      <c r="H3731" s="2">
        <v>590</v>
      </c>
      <c r="I3731" s="2">
        <v>947</v>
      </c>
      <c r="J3731" s="2">
        <v>2716</v>
      </c>
      <c r="K3731" s="2">
        <v>128</v>
      </c>
      <c r="L3731" s="2">
        <v>717</v>
      </c>
    </row>
    <row r="3732" spans="1:12" x14ac:dyDescent="0.25">
      <c r="A3732" s="4" t="str">
        <f>HYPERLINK("http://www.rosaceae.org/Prunus/Prunus_persica/p.persica_gdr_reftransV1_0016251","p.persica_gdr_reftransV1_0016251")</f>
        <v>p.persica_gdr_reftransV1_0016251</v>
      </c>
      <c r="B3732" s="2">
        <v>3917</v>
      </c>
      <c r="C3732" s="4" t="str">
        <f>HYPERLINK("http://www.uniprot.org/uniprot/M5Y947","M5Y947")</f>
        <v>M5Y947</v>
      </c>
      <c r="D3732" s="2" t="s">
        <v>3518</v>
      </c>
      <c r="E3732" s="3">
        <v>0</v>
      </c>
      <c r="F3732" s="2">
        <v>5630</v>
      </c>
      <c r="G3732" s="2">
        <v>100</v>
      </c>
      <c r="H3732" s="2">
        <v>1089</v>
      </c>
      <c r="I3732" s="2">
        <v>419</v>
      </c>
      <c r="J3732" s="2">
        <v>3685</v>
      </c>
      <c r="K3732" s="2">
        <v>1</v>
      </c>
      <c r="L3732" s="2">
        <v>1089</v>
      </c>
    </row>
    <row r="3733" spans="1:12" x14ac:dyDescent="0.25">
      <c r="A3733" s="4" t="str">
        <f>HYPERLINK("http://www.rosaceae.org/Prunus/Prunus_persica/p.persica_gdr_reftransV1_0016951","p.persica_gdr_reftransV1_0016951")</f>
        <v>p.persica_gdr_reftransV1_0016951</v>
      </c>
      <c r="B3733" s="2">
        <v>1646</v>
      </c>
      <c r="C3733" s="4" t="str">
        <f>HYPERLINK("http://www.uniprot.org/uniprot/M5WS56","M5WS56")</f>
        <v>M5WS56</v>
      </c>
      <c r="D3733" s="2" t="s">
        <v>2969</v>
      </c>
      <c r="E3733" s="3">
        <v>0</v>
      </c>
      <c r="F3733" s="2">
        <v>2046</v>
      </c>
      <c r="G3733" s="2">
        <v>91</v>
      </c>
      <c r="H3733" s="2">
        <v>519</v>
      </c>
      <c r="I3733" s="2">
        <v>89</v>
      </c>
      <c r="J3733" s="2">
        <v>1645</v>
      </c>
      <c r="K3733" s="2">
        <v>1</v>
      </c>
      <c r="L3733" s="2">
        <v>519</v>
      </c>
    </row>
    <row r="3734" spans="1:12" x14ac:dyDescent="0.25">
      <c r="A3734" s="4" t="str">
        <f>HYPERLINK("http://www.rosaceae.org/Prunus/Prunus_persica/p.persica_gdr_reftransV1_0017651","p.persica_gdr_reftransV1_0017651")</f>
        <v>p.persica_gdr_reftransV1_0017651</v>
      </c>
      <c r="B3734" s="2">
        <v>1509</v>
      </c>
      <c r="C3734" s="4" t="str">
        <f>HYPERLINK("http://www.uniprot.org/uniprot/M5WTJ8","M5WTJ8")</f>
        <v>M5WTJ8</v>
      </c>
      <c r="D3734" s="2" t="s">
        <v>3519</v>
      </c>
      <c r="E3734" s="3">
        <v>1.51E-154</v>
      </c>
      <c r="F3734" s="2">
        <v>1160</v>
      </c>
      <c r="G3734" s="2">
        <v>100</v>
      </c>
      <c r="H3734" s="2">
        <v>221</v>
      </c>
      <c r="I3734" s="2">
        <v>499</v>
      </c>
      <c r="J3734" s="2">
        <v>1161</v>
      </c>
      <c r="K3734" s="2">
        <v>1</v>
      </c>
      <c r="L3734" s="2">
        <v>221</v>
      </c>
    </row>
    <row r="3735" spans="1:12" x14ac:dyDescent="0.25">
      <c r="A3735" s="4" t="str">
        <f>HYPERLINK("http://www.rosaceae.org/Prunus/Prunus_persica/p.persica_gdr_reftransV1_0018001","p.persica_gdr_reftransV1_0018001")</f>
        <v>p.persica_gdr_reftransV1_0018001</v>
      </c>
      <c r="B3735" s="2">
        <v>3040</v>
      </c>
      <c r="C3735" s="4" t="str">
        <f>HYPERLINK("http://www.uniprot.org/uniprot/M5XF74","M5XF74")</f>
        <v>M5XF74</v>
      </c>
      <c r="D3735" s="2" t="s">
        <v>3520</v>
      </c>
      <c r="E3735" s="3">
        <v>0</v>
      </c>
      <c r="F3735" s="2">
        <v>2723</v>
      </c>
      <c r="G3735" s="2">
        <v>100</v>
      </c>
      <c r="H3735" s="2">
        <v>560</v>
      </c>
      <c r="I3735" s="2">
        <v>1071</v>
      </c>
      <c r="J3735" s="2">
        <v>2750</v>
      </c>
      <c r="K3735" s="2">
        <v>1</v>
      </c>
      <c r="L3735" s="2">
        <v>560</v>
      </c>
    </row>
    <row r="3736" spans="1:12" x14ac:dyDescent="0.25">
      <c r="A3736" s="4" t="str">
        <f>HYPERLINK("http://www.rosaceae.org/Prunus/Prunus_persica/p.persica_gdr_reftransV1_0019401","p.persica_gdr_reftransV1_0019401")</f>
        <v>p.persica_gdr_reftransV1_0019401</v>
      </c>
      <c r="B3736" s="2">
        <v>1818</v>
      </c>
      <c r="C3736" s="4" t="str">
        <f>HYPERLINK("http://www.uniprot.org/uniprot/M5WX16","M5WX16")</f>
        <v>M5WX16</v>
      </c>
      <c r="D3736" s="2" t="s">
        <v>3521</v>
      </c>
      <c r="E3736" s="3">
        <v>0</v>
      </c>
      <c r="F3736" s="2">
        <v>3080</v>
      </c>
      <c r="G3736" s="2">
        <v>100</v>
      </c>
      <c r="H3736" s="2">
        <v>575</v>
      </c>
      <c r="I3736" s="2">
        <v>94</v>
      </c>
      <c r="J3736" s="2">
        <v>1818</v>
      </c>
      <c r="K3736" s="2">
        <v>519</v>
      </c>
      <c r="L3736" s="2">
        <v>1093</v>
      </c>
    </row>
    <row r="3737" spans="1:12" x14ac:dyDescent="0.25">
      <c r="A3737" s="4" t="str">
        <f>HYPERLINK("http://www.rosaceae.org/Prunus/Prunus_persica/p.persica_gdr_reftransV1_0020801","p.persica_gdr_reftransV1_0020801")</f>
        <v>p.persica_gdr_reftransV1_0020801</v>
      </c>
      <c r="B3737" s="2">
        <v>1076</v>
      </c>
      <c r="C3737" s="4" t="str">
        <f>HYPERLINK("http://www.uniprot.org/uniprot/M5WKH0","M5WKH0")</f>
        <v>M5WKH0</v>
      </c>
      <c r="D3737" s="2" t="s">
        <v>3388</v>
      </c>
      <c r="E3737" s="3">
        <v>6.4600000000000001E-168</v>
      </c>
      <c r="F3737" s="2">
        <v>1255</v>
      </c>
      <c r="G3737" s="2">
        <v>90</v>
      </c>
      <c r="H3737" s="2">
        <v>316</v>
      </c>
      <c r="I3737" s="2">
        <v>2</v>
      </c>
      <c r="J3737" s="2">
        <v>949</v>
      </c>
      <c r="K3737" s="2">
        <v>19</v>
      </c>
      <c r="L3737" s="2">
        <v>301</v>
      </c>
    </row>
    <row r="3738" spans="1:12" x14ac:dyDescent="0.25">
      <c r="A3738" s="4" t="str">
        <f>HYPERLINK("http://www.rosaceae.org/Prunus/Prunus_persica/p.persica_gdr_reftransV1_0021851","p.persica_gdr_reftransV1_0021851")</f>
        <v>p.persica_gdr_reftransV1_0021851</v>
      </c>
      <c r="B3738" s="2">
        <v>3085</v>
      </c>
      <c r="C3738" s="4" t="str">
        <f>HYPERLINK("http://www.uniprot.org/uniprot/M5XQL3","M5XQL3")</f>
        <v>M5XQL3</v>
      </c>
      <c r="D3738" s="2" t="s">
        <v>3522</v>
      </c>
      <c r="E3738" s="3">
        <v>0</v>
      </c>
      <c r="F3738" s="2">
        <v>3782</v>
      </c>
      <c r="G3738" s="2">
        <v>100</v>
      </c>
      <c r="H3738" s="2">
        <v>769</v>
      </c>
      <c r="I3738" s="2">
        <v>384</v>
      </c>
      <c r="J3738" s="2">
        <v>2690</v>
      </c>
      <c r="K3738" s="2">
        <v>1</v>
      </c>
      <c r="L3738" s="2">
        <v>769</v>
      </c>
    </row>
    <row r="3739" spans="1:12" x14ac:dyDescent="0.25">
      <c r="A3739" s="4" t="str">
        <f>HYPERLINK("http://www.rosaceae.org/Prunus/Prunus_persica/p.persica_gdr_reftransV1_0022551","p.persica_gdr_reftransV1_0022551")</f>
        <v>p.persica_gdr_reftransV1_0022551</v>
      </c>
      <c r="B3739" s="2">
        <v>3956</v>
      </c>
      <c r="C3739" s="4" t="str">
        <f>HYPERLINK("http://www.uniprot.org/uniprot/M5WA08","M5WA08")</f>
        <v>M5WA08</v>
      </c>
      <c r="D3739" s="2" t="s">
        <v>3523</v>
      </c>
      <c r="E3739" s="3">
        <v>2.7300000000000001E-67</v>
      </c>
      <c r="F3739" s="2">
        <v>613</v>
      </c>
      <c r="G3739" s="2">
        <v>99</v>
      </c>
      <c r="H3739" s="2">
        <v>145</v>
      </c>
      <c r="I3739" s="2">
        <v>507</v>
      </c>
      <c r="J3739" s="2">
        <v>941</v>
      </c>
      <c r="K3739" s="2">
        <v>162</v>
      </c>
      <c r="L3739" s="2">
        <v>306</v>
      </c>
    </row>
    <row r="3740" spans="1:12" x14ac:dyDescent="0.25">
      <c r="A3740" s="4" t="str">
        <f>HYPERLINK("http://www.rosaceae.org/Prunus/Prunus_persica/p.persica_gdr_reftransV1_0023601","p.persica_gdr_reftransV1_0023601")</f>
        <v>p.persica_gdr_reftransV1_0023601</v>
      </c>
      <c r="B3740" s="2">
        <v>1590</v>
      </c>
      <c r="C3740" s="4" t="str">
        <f>HYPERLINK("http://www.uniprot.org/uniprot/M5VMX0","M5VMX0")</f>
        <v>M5VMX0</v>
      </c>
      <c r="D3740" s="2" t="s">
        <v>2367</v>
      </c>
      <c r="E3740" s="3">
        <v>1.4899999999999999E-89</v>
      </c>
      <c r="F3740" s="2">
        <v>734</v>
      </c>
      <c r="G3740" s="2">
        <v>100</v>
      </c>
      <c r="H3740" s="2">
        <v>157</v>
      </c>
      <c r="I3740" s="2">
        <v>600</v>
      </c>
      <c r="J3740" s="2">
        <v>1070</v>
      </c>
      <c r="K3740" s="2">
        <v>95</v>
      </c>
      <c r="L3740" s="2">
        <v>251</v>
      </c>
    </row>
    <row r="3741" spans="1:12" x14ac:dyDescent="0.25">
      <c r="A3741" s="4" t="str">
        <f>HYPERLINK("http://www.rosaceae.org/Prunus/Prunus_persica/p.persica_gdr_reftransV1_0025351","p.persica_gdr_reftransV1_0025351")</f>
        <v>p.persica_gdr_reftransV1_0025351</v>
      </c>
      <c r="B3741" s="2">
        <v>2280</v>
      </c>
      <c r="C3741" s="4" t="str">
        <f>HYPERLINK("http://www.uniprot.org/uniprot/M5XMU3","M5XMU3")</f>
        <v>M5XMU3</v>
      </c>
      <c r="D3741" s="2" t="s">
        <v>3524</v>
      </c>
      <c r="E3741" s="3">
        <v>0</v>
      </c>
      <c r="F3741" s="2">
        <v>1912</v>
      </c>
      <c r="G3741" s="2">
        <v>100</v>
      </c>
      <c r="H3741" s="2">
        <v>387</v>
      </c>
      <c r="I3741" s="2">
        <v>1012</v>
      </c>
      <c r="J3741" s="2">
        <v>2172</v>
      </c>
      <c r="K3741" s="2">
        <v>1</v>
      </c>
      <c r="L3741" s="2">
        <v>387</v>
      </c>
    </row>
    <row r="3742" spans="1:12" x14ac:dyDescent="0.25">
      <c r="A3742" s="4" t="str">
        <f>HYPERLINK("http://www.rosaceae.org/Prunus/Prunus_persica/p.persica_gdr_reftransV1_0027101","p.persica_gdr_reftransV1_0027101")</f>
        <v>p.persica_gdr_reftransV1_0027101</v>
      </c>
      <c r="B3742" s="2">
        <v>1996</v>
      </c>
      <c r="C3742" s="4" t="str">
        <f>HYPERLINK("http://www.uniprot.org/uniprot/M5XBD9","M5XBD9")</f>
        <v>M5XBD9</v>
      </c>
      <c r="D3742" s="2" t="s">
        <v>3110</v>
      </c>
      <c r="E3742" s="3">
        <v>0</v>
      </c>
      <c r="F3742" s="2">
        <v>1453</v>
      </c>
      <c r="G3742" s="2">
        <v>100</v>
      </c>
      <c r="H3742" s="2">
        <v>273</v>
      </c>
      <c r="I3742" s="2">
        <v>1177</v>
      </c>
      <c r="J3742" s="2">
        <v>1995</v>
      </c>
      <c r="K3742" s="2">
        <v>168</v>
      </c>
      <c r="L3742" s="2">
        <v>440</v>
      </c>
    </row>
    <row r="3743" spans="1:12" x14ac:dyDescent="0.25">
      <c r="A3743" s="4" t="str">
        <f>HYPERLINK("http://www.rosaceae.org/Prunus/Prunus_persica/p.persica_gdr_reftransV1_0029901","p.persica_gdr_reftransV1_0029901")</f>
        <v>p.persica_gdr_reftransV1_0029901</v>
      </c>
      <c r="B3743" s="2">
        <v>758</v>
      </c>
      <c r="C3743" s="4" t="str">
        <f>HYPERLINK("http://www.uniprot.org/uniprot/M5W1J3","M5W1J3")</f>
        <v>M5W1J3</v>
      </c>
      <c r="D3743" s="2" t="s">
        <v>3525</v>
      </c>
      <c r="E3743" s="3">
        <v>3.7199999999999997E-111</v>
      </c>
      <c r="F3743" s="2">
        <v>842</v>
      </c>
      <c r="G3743" s="2">
        <v>100</v>
      </c>
      <c r="H3743" s="2">
        <v>162</v>
      </c>
      <c r="I3743" s="2">
        <v>23</v>
      </c>
      <c r="J3743" s="2">
        <v>508</v>
      </c>
      <c r="K3743" s="2">
        <v>1</v>
      </c>
      <c r="L3743" s="2">
        <v>162</v>
      </c>
    </row>
    <row r="3744" spans="1:12" x14ac:dyDescent="0.25">
      <c r="A3744" s="4" t="str">
        <f>HYPERLINK("http://www.rosaceae.org/Prunus/Prunus_persica/p.persica_gdr_reftransV1_0032001","p.persica_gdr_reftransV1_0032001")</f>
        <v>p.persica_gdr_reftransV1_0032001</v>
      </c>
      <c r="B3744" s="2">
        <v>1097</v>
      </c>
      <c r="C3744" s="4" t="str">
        <f>HYPERLINK("http://www.uniprot.org/uniprot/M5W734","M5W734")</f>
        <v>M5W734</v>
      </c>
      <c r="D3744" s="2" t="s">
        <v>3526</v>
      </c>
      <c r="E3744" s="3">
        <v>1.7399999999999999E-54</v>
      </c>
      <c r="F3744" s="2">
        <v>472</v>
      </c>
      <c r="G3744" s="2">
        <v>100</v>
      </c>
      <c r="H3744" s="2">
        <v>94</v>
      </c>
      <c r="I3744" s="2">
        <v>732</v>
      </c>
      <c r="J3744" s="2">
        <v>1013</v>
      </c>
      <c r="K3744" s="2">
        <v>1</v>
      </c>
      <c r="L3744" s="2">
        <v>94</v>
      </c>
    </row>
    <row r="3745" spans="1:12" x14ac:dyDescent="0.25">
      <c r="A3745" s="4" t="str">
        <f>HYPERLINK("http://www.rosaceae.org/Prunus/Prunus_persica/p.persica_gdr_reftransV1_0033051","p.persica_gdr_reftransV1_0033051")</f>
        <v>p.persica_gdr_reftransV1_0033051</v>
      </c>
      <c r="B3745" s="2">
        <v>4227</v>
      </c>
      <c r="C3745" s="4" t="str">
        <f>HYPERLINK("http://www.uniprot.org/uniprot/M5WQ25","M5WQ25")</f>
        <v>M5WQ25</v>
      </c>
      <c r="D3745" s="2" t="s">
        <v>3527</v>
      </c>
      <c r="E3745" s="3">
        <v>0</v>
      </c>
      <c r="F3745" s="2">
        <v>1691</v>
      </c>
      <c r="G3745" s="2">
        <v>100</v>
      </c>
      <c r="H3745" s="2">
        <v>333</v>
      </c>
      <c r="I3745" s="2">
        <v>351</v>
      </c>
      <c r="J3745" s="2">
        <v>1349</v>
      </c>
      <c r="K3745" s="2">
        <v>1</v>
      </c>
      <c r="L3745" s="2">
        <v>333</v>
      </c>
    </row>
    <row r="3746" spans="1:12" x14ac:dyDescent="0.25">
      <c r="A3746" s="4" t="str">
        <f>HYPERLINK("http://www.rosaceae.org/Prunus/Prunus_persica/p.persica_gdr_reftransV1_0033751","p.persica_gdr_reftransV1_0033751")</f>
        <v>p.persica_gdr_reftransV1_0033751</v>
      </c>
      <c r="B3746" s="2">
        <v>1981</v>
      </c>
      <c r="C3746" s="4" t="str">
        <f>HYPERLINK("http://www.uniprot.org/uniprot/M5W5B0","M5W5B0")</f>
        <v>M5W5B0</v>
      </c>
      <c r="D3746" s="2" t="s">
        <v>3528</v>
      </c>
      <c r="E3746" s="3">
        <v>1.2500000000000001E-169</v>
      </c>
      <c r="F3746" s="2">
        <v>1293</v>
      </c>
      <c r="G3746" s="2">
        <v>83</v>
      </c>
      <c r="H3746" s="2">
        <v>312</v>
      </c>
      <c r="I3746" s="2">
        <v>246</v>
      </c>
      <c r="J3746" s="2">
        <v>1181</v>
      </c>
      <c r="K3746" s="2">
        <v>1</v>
      </c>
      <c r="L3746" s="2">
        <v>299</v>
      </c>
    </row>
    <row r="3747" spans="1:12" x14ac:dyDescent="0.25">
      <c r="A3747" s="4" t="str">
        <f>HYPERLINK("http://www.rosaceae.org/Prunus/Prunus_persica/p.persica_gdr_reftransV1_0035151","p.persica_gdr_reftransV1_0035151")</f>
        <v>p.persica_gdr_reftransV1_0035151</v>
      </c>
      <c r="B3747" s="2">
        <v>1587</v>
      </c>
      <c r="C3747" s="4" t="str">
        <f>HYPERLINK("http://www.uniprot.org/uniprot/M5WYU4","M5WYU4")</f>
        <v>M5WYU4</v>
      </c>
      <c r="D3747" s="2" t="s">
        <v>3529</v>
      </c>
      <c r="E3747" s="3">
        <v>0</v>
      </c>
      <c r="F3747" s="2">
        <v>2130</v>
      </c>
      <c r="G3747" s="2">
        <v>100</v>
      </c>
      <c r="H3747" s="2">
        <v>420</v>
      </c>
      <c r="I3747" s="2">
        <v>162</v>
      </c>
      <c r="J3747" s="2">
        <v>1421</v>
      </c>
      <c r="K3747" s="2">
        <v>1</v>
      </c>
      <c r="L3747" s="2">
        <v>420</v>
      </c>
    </row>
    <row r="3748" spans="1:12" x14ac:dyDescent="0.25">
      <c r="A3748" s="4" t="str">
        <f>HYPERLINK("http://www.rosaceae.org/Prunus/Prunus_persica/p.persica_gdr_reftransV1_0036201","p.persica_gdr_reftransV1_0036201")</f>
        <v>p.persica_gdr_reftransV1_0036201</v>
      </c>
      <c r="B3748" s="2">
        <v>4888</v>
      </c>
      <c r="C3748" s="4" t="str">
        <f>HYPERLINK("http://www.uniprot.org/uniprot/M5XDC6","M5XDC6")</f>
        <v>M5XDC6</v>
      </c>
      <c r="D3748" s="2" t="s">
        <v>3530</v>
      </c>
      <c r="E3748" s="3">
        <v>2.44E-116</v>
      </c>
      <c r="F3748" s="2">
        <v>980</v>
      </c>
      <c r="G3748" s="2">
        <v>99</v>
      </c>
      <c r="H3748" s="2">
        <v>241</v>
      </c>
      <c r="I3748" s="2">
        <v>2306</v>
      </c>
      <c r="J3748" s="2">
        <v>3022</v>
      </c>
      <c r="K3748" s="2">
        <v>1</v>
      </c>
      <c r="L3748" s="2">
        <v>241</v>
      </c>
    </row>
    <row r="3749" spans="1:12" x14ac:dyDescent="0.25">
      <c r="A3749" s="4" t="str">
        <f>HYPERLINK("http://www.rosaceae.org/Prunus/Prunus_persica/p.persica_gdr_reftransV1_0038651","p.persica_gdr_reftransV1_0038651")</f>
        <v>p.persica_gdr_reftransV1_0038651</v>
      </c>
      <c r="B3749" s="2">
        <v>3032</v>
      </c>
      <c r="C3749" s="4" t="str">
        <f>HYPERLINK("http://www.uniprot.org/uniprot/M5X9T5","M5X9T5")</f>
        <v>M5X9T5</v>
      </c>
      <c r="D3749" s="2" t="s">
        <v>3531</v>
      </c>
      <c r="E3749" s="3">
        <v>0</v>
      </c>
      <c r="F3749" s="2">
        <v>1832</v>
      </c>
      <c r="G3749" s="2">
        <v>99</v>
      </c>
      <c r="H3749" s="2">
        <v>351</v>
      </c>
      <c r="I3749" s="2">
        <v>2</v>
      </c>
      <c r="J3749" s="2">
        <v>1054</v>
      </c>
      <c r="K3749" s="2">
        <v>511</v>
      </c>
      <c r="L3749" s="2">
        <v>861</v>
      </c>
    </row>
    <row r="3750" spans="1:12" x14ac:dyDescent="0.25">
      <c r="A3750" s="4" t="str">
        <f>HYPERLINK("http://www.rosaceae.org/Prunus/Prunus_persica/p.persica_gdr_reftransV1_0039001","p.persica_gdr_reftransV1_0039001")</f>
        <v>p.persica_gdr_reftransV1_0039001</v>
      </c>
      <c r="B3750" s="2">
        <v>1337</v>
      </c>
      <c r="C3750" s="4" t="str">
        <f>HYPERLINK("http://www.uniprot.org/uniprot/M5XMG5","M5XMG5")</f>
        <v>M5XMG5</v>
      </c>
      <c r="D3750" s="2" t="s">
        <v>3532</v>
      </c>
      <c r="E3750" s="3">
        <v>0</v>
      </c>
      <c r="F3750" s="2">
        <v>1046</v>
      </c>
      <c r="G3750" s="2">
        <v>100</v>
      </c>
      <c r="H3750" s="2">
        <v>193</v>
      </c>
      <c r="I3750" s="2">
        <v>612</v>
      </c>
      <c r="J3750" s="2">
        <v>1190</v>
      </c>
      <c r="K3750" s="2">
        <v>758</v>
      </c>
      <c r="L3750" s="2">
        <v>950</v>
      </c>
    </row>
    <row r="3751" spans="1:12" x14ac:dyDescent="0.25">
      <c r="A3751" s="4" t="str">
        <f>HYPERLINK("http://www.rosaceae.org/Prunus/Prunus_persica/p.persica_gdr_reftransV1_0040751","p.persica_gdr_reftransV1_0040751")</f>
        <v>p.persica_gdr_reftransV1_0040751</v>
      </c>
      <c r="B3751" s="2">
        <v>1369</v>
      </c>
      <c r="C3751" s="4" t="str">
        <f>HYPERLINK("http://www.uniprot.org/uniprot/M5VWD7","M5VWD7")</f>
        <v>M5VWD7</v>
      </c>
      <c r="D3751" s="2" t="s">
        <v>3533</v>
      </c>
      <c r="E3751" s="3">
        <v>0</v>
      </c>
      <c r="F3751" s="2">
        <v>1806</v>
      </c>
      <c r="G3751" s="2">
        <v>100</v>
      </c>
      <c r="H3751" s="2">
        <v>340</v>
      </c>
      <c r="I3751" s="2">
        <v>162</v>
      </c>
      <c r="J3751" s="2">
        <v>1181</v>
      </c>
      <c r="K3751" s="2">
        <v>1</v>
      </c>
      <c r="L3751" s="2">
        <v>340</v>
      </c>
    </row>
    <row r="3752" spans="1:12" x14ac:dyDescent="0.25">
      <c r="A3752" s="4" t="str">
        <f>HYPERLINK("http://www.rosaceae.org/Prunus/Prunus_persica/p.persica_gdr_reftransV1_0042501","p.persica_gdr_reftransV1_0042501")</f>
        <v>p.persica_gdr_reftransV1_0042501</v>
      </c>
      <c r="B3752" s="2">
        <v>1600</v>
      </c>
      <c r="C3752" s="4" t="str">
        <f>HYPERLINK("http://www.uniprot.org/uniprot/M5WE96","M5WE96")</f>
        <v>M5WE96</v>
      </c>
      <c r="D3752" s="2" t="s">
        <v>1065</v>
      </c>
      <c r="E3752" s="3">
        <v>0</v>
      </c>
      <c r="F3752" s="2">
        <v>1954</v>
      </c>
      <c r="G3752" s="2">
        <v>100</v>
      </c>
      <c r="H3752" s="2">
        <v>381</v>
      </c>
      <c r="I3752" s="2">
        <v>103</v>
      </c>
      <c r="J3752" s="2">
        <v>1245</v>
      </c>
      <c r="K3752" s="2">
        <v>437</v>
      </c>
      <c r="L3752" s="2">
        <v>817</v>
      </c>
    </row>
    <row r="3753" spans="1:12" x14ac:dyDescent="0.25">
      <c r="A3753" s="4" t="str">
        <f>HYPERLINK("http://www.rosaceae.org/Prunus/Prunus_persica/p.persica_gdr_reftransV1_0043201","p.persica_gdr_reftransV1_0043201")</f>
        <v>p.persica_gdr_reftransV1_0043201</v>
      </c>
      <c r="B3753" s="2">
        <v>1465</v>
      </c>
      <c r="C3753" s="4" t="str">
        <f>HYPERLINK("http://www.uniprot.org/uniprot/M5W2Y3","M5W2Y3")</f>
        <v>M5W2Y3</v>
      </c>
      <c r="D3753" s="2" t="s">
        <v>3534</v>
      </c>
      <c r="E3753" s="3">
        <v>0</v>
      </c>
      <c r="F3753" s="2">
        <v>1931</v>
      </c>
      <c r="G3753" s="2">
        <v>100</v>
      </c>
      <c r="H3753" s="2">
        <v>363</v>
      </c>
      <c r="I3753" s="2">
        <v>169</v>
      </c>
      <c r="J3753" s="2">
        <v>1257</v>
      </c>
      <c r="K3753" s="2">
        <v>1</v>
      </c>
      <c r="L3753" s="2">
        <v>363</v>
      </c>
    </row>
    <row r="3754" spans="1:12" x14ac:dyDescent="0.25">
      <c r="A3754" s="4" t="str">
        <f>HYPERLINK("http://www.rosaceae.org/Prunus/Prunus_persica/p.persica_gdr_reftransV1_0043551","p.persica_gdr_reftransV1_0043551")</f>
        <v>p.persica_gdr_reftransV1_0043551</v>
      </c>
      <c r="B3754" s="2">
        <v>2403</v>
      </c>
      <c r="C3754" s="4" t="str">
        <f>HYPERLINK("http://www.uniprot.org/uniprot/M5WQK0","M5WQK0")</f>
        <v>M5WQK0</v>
      </c>
      <c r="D3754" s="2" t="s">
        <v>3535</v>
      </c>
      <c r="E3754" s="3">
        <v>2.35E-116</v>
      </c>
      <c r="F3754" s="2">
        <v>933</v>
      </c>
      <c r="G3754" s="2">
        <v>100</v>
      </c>
      <c r="H3754" s="2">
        <v>202</v>
      </c>
      <c r="I3754" s="2">
        <v>1340</v>
      </c>
      <c r="J3754" s="2">
        <v>1945</v>
      </c>
      <c r="K3754" s="2">
        <v>15</v>
      </c>
      <c r="L3754" s="2">
        <v>216</v>
      </c>
    </row>
    <row r="3755" spans="1:12" x14ac:dyDescent="0.25">
      <c r="A3755" s="4" t="str">
        <f>HYPERLINK("http://www.rosaceae.org/Prunus/Prunus_persica/p.persica_gdr_reftransV1_0043901","p.persica_gdr_reftransV1_0043901")</f>
        <v>p.persica_gdr_reftransV1_0043901</v>
      </c>
      <c r="B3755" s="2">
        <v>930</v>
      </c>
      <c r="C3755" s="4" t="str">
        <f>HYPERLINK("http://www.uniprot.org/uniprot/M5WEV3","M5WEV3")</f>
        <v>M5WEV3</v>
      </c>
      <c r="D3755" s="2" t="s">
        <v>3536</v>
      </c>
      <c r="E3755" s="3">
        <v>2.6299999999999999E-176</v>
      </c>
      <c r="F3755" s="2">
        <v>1286</v>
      </c>
      <c r="G3755" s="2">
        <v>100</v>
      </c>
      <c r="H3755" s="2">
        <v>245</v>
      </c>
      <c r="I3755" s="2">
        <v>40</v>
      </c>
      <c r="J3755" s="2">
        <v>774</v>
      </c>
      <c r="K3755" s="2">
        <v>1</v>
      </c>
      <c r="L3755" s="2">
        <v>245</v>
      </c>
    </row>
    <row r="3756" spans="1:12" x14ac:dyDescent="0.25">
      <c r="A3756" s="4" t="str">
        <f>HYPERLINK("http://www.rosaceae.org/Prunus/Prunus_persica/p.persica_gdr_reftransV1_0044251","p.persica_gdr_reftransV1_0044251")</f>
        <v>p.persica_gdr_reftransV1_0044251</v>
      </c>
      <c r="B3756" s="2">
        <v>514</v>
      </c>
      <c r="C3756" s="4" t="str">
        <f>HYPERLINK("http://www.uniprot.org/uniprot/M5XPY9","M5XPY9")</f>
        <v>M5XPY9</v>
      </c>
      <c r="D3756" s="2" t="s">
        <v>3421</v>
      </c>
      <c r="E3756" s="3">
        <v>8.1199999999999993E-74</v>
      </c>
      <c r="F3756" s="2">
        <v>623</v>
      </c>
      <c r="G3756" s="2">
        <v>100</v>
      </c>
      <c r="H3756" s="2">
        <v>134</v>
      </c>
      <c r="I3756" s="2">
        <v>112</v>
      </c>
      <c r="J3756" s="2">
        <v>513</v>
      </c>
      <c r="K3756" s="2">
        <v>1</v>
      </c>
      <c r="L3756" s="2">
        <v>134</v>
      </c>
    </row>
    <row r="3757" spans="1:12" x14ac:dyDescent="0.25">
      <c r="A3757" s="4" t="str">
        <f>HYPERLINK("http://www.rosaceae.org/Prunus/Prunus_persica/p.persica_gdr_reftransV1_0044601","p.persica_gdr_reftransV1_0044601")</f>
        <v>p.persica_gdr_reftransV1_0044601</v>
      </c>
      <c r="B3757" s="2">
        <v>929</v>
      </c>
      <c r="C3757" s="4" t="str">
        <f>HYPERLINK("http://www.uniprot.org/uniprot/M5WVC7","M5WVC7")</f>
        <v>M5WVC7</v>
      </c>
      <c r="D3757" s="2" t="s">
        <v>3537</v>
      </c>
      <c r="E3757" s="3">
        <v>3.3699999999999997E-64</v>
      </c>
      <c r="F3757" s="2">
        <v>480</v>
      </c>
      <c r="G3757" s="2">
        <v>72</v>
      </c>
      <c r="H3757" s="2">
        <v>158</v>
      </c>
      <c r="I3757" s="2">
        <v>232</v>
      </c>
      <c r="J3757" s="2">
        <v>687</v>
      </c>
      <c r="K3757" s="2">
        <v>15</v>
      </c>
      <c r="L3757" s="2">
        <v>167</v>
      </c>
    </row>
    <row r="3758" spans="1:12" x14ac:dyDescent="0.25">
      <c r="A3758" s="4" t="str">
        <f>HYPERLINK("http://www.rosaceae.org/Prunus/Prunus_persica/p.persica_gdr_reftransV1_0044951","p.persica_gdr_reftransV1_0044951")</f>
        <v>p.persica_gdr_reftransV1_0044951</v>
      </c>
      <c r="B3758" s="2">
        <v>306</v>
      </c>
      <c r="C3758" s="4" t="str">
        <f>HYPERLINK("http://www.uniprot.org/uniprot/M5VYT8","M5VYT8")</f>
        <v>M5VYT8</v>
      </c>
      <c r="D3758" s="2" t="s">
        <v>3538</v>
      </c>
      <c r="E3758" s="3">
        <v>1.15E-26</v>
      </c>
      <c r="F3758" s="2">
        <v>275</v>
      </c>
      <c r="G3758" s="2">
        <v>100</v>
      </c>
      <c r="H3758" s="2">
        <v>101</v>
      </c>
      <c r="I3758" s="2">
        <v>1</v>
      </c>
      <c r="J3758" s="2">
        <v>303</v>
      </c>
      <c r="K3758" s="2">
        <v>1</v>
      </c>
      <c r="L3758" s="2">
        <v>101</v>
      </c>
    </row>
    <row r="3759" spans="1:12" x14ac:dyDescent="0.25">
      <c r="A3759" s="4" t="str">
        <f>HYPERLINK("http://www.rosaceae.org/Prunus/Prunus_persica/p.persica_gdr_reftransV1_0045301","p.persica_gdr_reftransV1_0045301")</f>
        <v>p.persica_gdr_reftransV1_0045301</v>
      </c>
      <c r="B3759" s="2">
        <v>1119</v>
      </c>
      <c r="C3759" s="4" t="str">
        <f>HYPERLINK("http://www.uniprot.org/uniprot/M5XC28","M5XC28")</f>
        <v>M5XC28</v>
      </c>
      <c r="D3759" s="2" t="s">
        <v>3539</v>
      </c>
      <c r="E3759" s="3">
        <v>1.6E-153</v>
      </c>
      <c r="F3759" s="2">
        <v>1146</v>
      </c>
      <c r="G3759" s="2">
        <v>92</v>
      </c>
      <c r="H3759" s="2">
        <v>280</v>
      </c>
      <c r="I3759" s="2">
        <v>19</v>
      </c>
      <c r="J3759" s="2">
        <v>858</v>
      </c>
      <c r="K3759" s="2">
        <v>1</v>
      </c>
      <c r="L3759" s="2">
        <v>278</v>
      </c>
    </row>
    <row r="3760" spans="1:12" x14ac:dyDescent="0.25">
      <c r="A3760" s="4" t="str">
        <f>HYPERLINK("http://www.rosaceae.org/Prunus/Prunus_persica/p.persica_gdr_reftransV1_0045651","p.persica_gdr_reftransV1_0045651")</f>
        <v>p.persica_gdr_reftransV1_0045651</v>
      </c>
      <c r="B3760" s="2">
        <v>2231</v>
      </c>
      <c r="C3760" s="4" t="str">
        <f>HYPERLINK("http://www.uniprot.org/uniprot/M5WPD5","M5WPD5")</f>
        <v>M5WPD5</v>
      </c>
      <c r="D3760" s="2" t="s">
        <v>3540</v>
      </c>
      <c r="E3760" s="3">
        <v>0</v>
      </c>
      <c r="F3760" s="2">
        <v>2383</v>
      </c>
      <c r="G3760" s="2">
        <v>100</v>
      </c>
      <c r="H3760" s="2">
        <v>488</v>
      </c>
      <c r="I3760" s="2">
        <v>431</v>
      </c>
      <c r="J3760" s="2">
        <v>1894</v>
      </c>
      <c r="K3760" s="2">
        <v>1</v>
      </c>
      <c r="L3760" s="2">
        <v>488</v>
      </c>
    </row>
    <row r="3761" spans="1:12" x14ac:dyDescent="0.25">
      <c r="A3761" s="4" t="str">
        <f>HYPERLINK("http://www.rosaceae.org/Prunus/Prunus_persica/p.persica_gdr_reftransV1_0046001","p.persica_gdr_reftransV1_0046001")</f>
        <v>p.persica_gdr_reftransV1_0046001</v>
      </c>
      <c r="B3761" s="2">
        <v>1608</v>
      </c>
      <c r="C3761" s="4" t="str">
        <f>HYPERLINK("http://www.uniprot.org/uniprot/M5WEB1","M5WEB1")</f>
        <v>M5WEB1</v>
      </c>
      <c r="D3761" s="2" t="s">
        <v>3541</v>
      </c>
      <c r="E3761" s="3">
        <v>0</v>
      </c>
      <c r="F3761" s="2">
        <v>1380</v>
      </c>
      <c r="G3761" s="2">
        <v>95</v>
      </c>
      <c r="H3761" s="2">
        <v>321</v>
      </c>
      <c r="I3761" s="2">
        <v>254</v>
      </c>
      <c r="J3761" s="2">
        <v>1216</v>
      </c>
      <c r="K3761" s="2">
        <v>1</v>
      </c>
      <c r="L3761" s="2">
        <v>305</v>
      </c>
    </row>
    <row r="3762" spans="1:12" x14ac:dyDescent="0.25">
      <c r="A3762" s="4" t="str">
        <f>HYPERLINK("http://www.rosaceae.org/Prunus/Prunus_persica/p.persica_gdr_reftransV1_0046701","p.persica_gdr_reftransV1_0046701")</f>
        <v>p.persica_gdr_reftransV1_0046701</v>
      </c>
      <c r="B3762" s="2">
        <v>858</v>
      </c>
      <c r="C3762" s="4" t="str">
        <f>HYPERLINK("http://www.uniprot.org/uniprot/M5W0I5","M5W0I5")</f>
        <v>M5W0I5</v>
      </c>
      <c r="D3762" s="2" t="s">
        <v>3542</v>
      </c>
      <c r="E3762" s="3">
        <v>2.1600000000000002E-120</v>
      </c>
      <c r="F3762" s="2">
        <v>907</v>
      </c>
      <c r="G3762" s="2">
        <v>100</v>
      </c>
      <c r="H3762" s="2">
        <v>167</v>
      </c>
      <c r="I3762" s="2">
        <v>97</v>
      </c>
      <c r="J3762" s="2">
        <v>597</v>
      </c>
      <c r="K3762" s="2">
        <v>1</v>
      </c>
      <c r="L3762" s="2">
        <v>167</v>
      </c>
    </row>
    <row r="3763" spans="1:12" x14ac:dyDescent="0.25">
      <c r="A3763" s="4" t="str">
        <f>HYPERLINK("http://www.rosaceae.org/Prunus/Prunus_persica/p.persica_gdr_reftransV1_0047051","p.persica_gdr_reftransV1_0047051")</f>
        <v>p.persica_gdr_reftransV1_0047051</v>
      </c>
      <c r="B3763" s="2">
        <v>1371</v>
      </c>
      <c r="C3763" s="4" t="str">
        <f>HYPERLINK("http://www.uniprot.org/uniprot/W9RPA3","W9RPA3")</f>
        <v>W9RPA3</v>
      </c>
      <c r="D3763" s="2" t="s">
        <v>3543</v>
      </c>
      <c r="E3763" s="3">
        <v>3.72E-159</v>
      </c>
      <c r="F3763" s="2">
        <v>1194</v>
      </c>
      <c r="G3763" s="2">
        <v>86</v>
      </c>
      <c r="H3763" s="2">
        <v>295</v>
      </c>
      <c r="I3763" s="2">
        <v>328</v>
      </c>
      <c r="J3763" s="2">
        <v>1212</v>
      </c>
      <c r="K3763" s="2">
        <v>1</v>
      </c>
      <c r="L3763" s="2">
        <v>295</v>
      </c>
    </row>
    <row r="3764" spans="1:12" x14ac:dyDescent="0.25">
      <c r="A3764" s="4" t="str">
        <f>HYPERLINK("http://www.rosaceae.org/Prunus/Prunus_persica/p.persica_gdr_reftransV1_0047401","p.persica_gdr_reftransV1_0047401")</f>
        <v>p.persica_gdr_reftransV1_0047401</v>
      </c>
      <c r="B3764" s="2">
        <v>779</v>
      </c>
      <c r="C3764" s="4" t="str">
        <f>HYPERLINK("http://www.uniprot.org/uniprot/M5WT28","M5WT28")</f>
        <v>M5WT28</v>
      </c>
      <c r="D3764" s="2" t="s">
        <v>3544</v>
      </c>
      <c r="E3764" s="3">
        <v>1.91E-172</v>
      </c>
      <c r="F3764" s="2">
        <v>1267</v>
      </c>
      <c r="G3764" s="2">
        <v>100</v>
      </c>
      <c r="H3764" s="2">
        <v>252</v>
      </c>
      <c r="I3764" s="2">
        <v>1</v>
      </c>
      <c r="J3764" s="2">
        <v>756</v>
      </c>
      <c r="K3764" s="2">
        <v>109</v>
      </c>
      <c r="L3764" s="2">
        <v>360</v>
      </c>
    </row>
    <row r="3765" spans="1:12" x14ac:dyDescent="0.25">
      <c r="A3765" s="4" t="str">
        <f>HYPERLINK("http://www.rosaceae.org/Prunus/Prunus_persica/p.persica_gdr_reftransV1_0048101","p.persica_gdr_reftransV1_0048101")</f>
        <v>p.persica_gdr_reftransV1_0048101</v>
      </c>
      <c r="B3765" s="2">
        <v>1405</v>
      </c>
      <c r="C3765" s="4" t="str">
        <f>HYPERLINK("http://www.uniprot.org/uniprot/M5WUH2","M5WUH2")</f>
        <v>M5WUH2</v>
      </c>
      <c r="D3765" s="2" t="s">
        <v>3545</v>
      </c>
      <c r="E3765" s="3">
        <v>0</v>
      </c>
      <c r="F3765" s="2">
        <v>1620</v>
      </c>
      <c r="G3765" s="2">
        <v>100</v>
      </c>
      <c r="H3765" s="2">
        <v>320</v>
      </c>
      <c r="I3765" s="2">
        <v>229</v>
      </c>
      <c r="J3765" s="2">
        <v>1188</v>
      </c>
      <c r="K3765" s="2">
        <v>1</v>
      </c>
      <c r="L3765" s="2">
        <v>320</v>
      </c>
    </row>
    <row r="3766" spans="1:12" x14ac:dyDescent="0.25">
      <c r="A3766" s="4" t="str">
        <f>HYPERLINK("http://www.rosaceae.org/Prunus/Prunus_persica/p.persica_gdr_reftransV1_0048451","p.persica_gdr_reftransV1_0048451")</f>
        <v>p.persica_gdr_reftransV1_0048451</v>
      </c>
      <c r="B3766" s="2">
        <v>2590</v>
      </c>
      <c r="C3766" s="4" t="str">
        <f>HYPERLINK("http://www.uniprot.org/uniprot/M5VZX2","M5VZX2")</f>
        <v>M5VZX2</v>
      </c>
      <c r="D3766" s="2" t="s">
        <v>3546</v>
      </c>
      <c r="E3766" s="3">
        <v>0</v>
      </c>
      <c r="F3766" s="2">
        <v>2321</v>
      </c>
      <c r="G3766" s="2">
        <v>92</v>
      </c>
      <c r="H3766" s="2">
        <v>535</v>
      </c>
      <c r="I3766" s="2">
        <v>624</v>
      </c>
      <c r="J3766" s="2">
        <v>2228</v>
      </c>
      <c r="K3766" s="2">
        <v>1</v>
      </c>
      <c r="L3766" s="2">
        <v>493</v>
      </c>
    </row>
    <row r="3767" spans="1:12" x14ac:dyDescent="0.25">
      <c r="A3767" s="4" t="str">
        <f>HYPERLINK("http://www.rosaceae.org/Prunus/Prunus_persica/p.persica_gdr_reftransV1_0048801","p.persica_gdr_reftransV1_0048801")</f>
        <v>p.persica_gdr_reftransV1_0048801</v>
      </c>
      <c r="B3767" s="2">
        <v>1522</v>
      </c>
      <c r="C3767" s="4" t="str">
        <f>HYPERLINK("http://www.uniprot.org/uniprot/W9QUF3","W9QUF3")</f>
        <v>W9QUF3</v>
      </c>
      <c r="D3767" s="2" t="s">
        <v>3547</v>
      </c>
      <c r="E3767" s="3">
        <v>0</v>
      </c>
      <c r="F3767" s="2">
        <v>1625</v>
      </c>
      <c r="G3767" s="2">
        <v>76</v>
      </c>
      <c r="H3767" s="2">
        <v>415</v>
      </c>
      <c r="I3767" s="2">
        <v>150</v>
      </c>
      <c r="J3767" s="2">
        <v>1391</v>
      </c>
      <c r="K3767" s="2">
        <v>30</v>
      </c>
      <c r="L3767" s="2">
        <v>441</v>
      </c>
    </row>
    <row r="3768" spans="1:12" x14ac:dyDescent="0.25">
      <c r="A3768" s="4" t="str">
        <f>HYPERLINK("http://www.rosaceae.org/Prunus/Prunus_persica/p.persica_gdr_reftransV1_0049151","p.persica_gdr_reftransV1_0049151")</f>
        <v>p.persica_gdr_reftransV1_0049151</v>
      </c>
      <c r="B3768" s="2">
        <v>485</v>
      </c>
      <c r="C3768" s="4" t="str">
        <f>HYPERLINK("http://www.uniprot.org/uniprot/M5WUM3","M5WUM3")</f>
        <v>M5WUM3</v>
      </c>
      <c r="D3768" s="2" t="s">
        <v>3548</v>
      </c>
      <c r="E3768" s="3">
        <v>8.7499999999999992E-90</v>
      </c>
      <c r="F3768" s="2">
        <v>710</v>
      </c>
      <c r="G3768" s="2">
        <v>99</v>
      </c>
      <c r="H3768" s="2">
        <v>139</v>
      </c>
      <c r="I3768" s="2">
        <v>69</v>
      </c>
      <c r="J3768" s="2">
        <v>485</v>
      </c>
      <c r="K3768" s="2">
        <v>14</v>
      </c>
      <c r="L3768" s="2">
        <v>152</v>
      </c>
    </row>
    <row r="3769" spans="1:12" x14ac:dyDescent="0.25">
      <c r="A3769" s="4" t="str">
        <f>HYPERLINK("http://www.rosaceae.org/Prunus/Prunus_persica/p.persica_gdr_reftransV1_0000152","p.persica_gdr_reftransV1_0000152")</f>
        <v>p.persica_gdr_reftransV1_0000152</v>
      </c>
      <c r="B3769" s="2">
        <v>786</v>
      </c>
      <c r="C3769" s="4" t="str">
        <f>HYPERLINK("http://www.uniprot.org/uniprot/M5XF38","M5XF38")</f>
        <v>M5XF38</v>
      </c>
      <c r="D3769" s="2" t="s">
        <v>3549</v>
      </c>
      <c r="E3769" s="3">
        <v>6.0799999999999996E-104</v>
      </c>
      <c r="F3769" s="2">
        <v>806</v>
      </c>
      <c r="G3769" s="2">
        <v>100</v>
      </c>
      <c r="H3769" s="2">
        <v>201</v>
      </c>
      <c r="I3769" s="2">
        <v>182</v>
      </c>
      <c r="J3769" s="2">
        <v>784</v>
      </c>
      <c r="K3769" s="2">
        <v>71</v>
      </c>
      <c r="L3769" s="2">
        <v>271</v>
      </c>
    </row>
    <row r="3770" spans="1:12" x14ac:dyDescent="0.25">
      <c r="A3770" s="4" t="str">
        <f>HYPERLINK("http://www.rosaceae.org/Prunus/Prunus_persica/p.persica_gdr_reftransV1_0000502","p.persica_gdr_reftransV1_0000502")</f>
        <v>p.persica_gdr_reftransV1_0000502</v>
      </c>
      <c r="B3770" s="2">
        <v>833</v>
      </c>
      <c r="C3770" s="4" t="str">
        <f>HYPERLINK("http://www.uniprot.org/uniprot/M5XKT8","M5XKT8")</f>
        <v>M5XKT8</v>
      </c>
      <c r="D3770" s="2" t="s">
        <v>3550</v>
      </c>
      <c r="E3770" s="3">
        <v>6.18E-126</v>
      </c>
      <c r="F3770" s="2">
        <v>1007</v>
      </c>
      <c r="G3770" s="2">
        <v>100</v>
      </c>
      <c r="H3770" s="2">
        <v>207</v>
      </c>
      <c r="I3770" s="2">
        <v>190</v>
      </c>
      <c r="J3770" s="2">
        <v>810</v>
      </c>
      <c r="K3770" s="2">
        <v>713</v>
      </c>
      <c r="L3770" s="2">
        <v>919</v>
      </c>
    </row>
    <row r="3771" spans="1:12" x14ac:dyDescent="0.25">
      <c r="A3771" s="4" t="str">
        <f>HYPERLINK("http://www.rosaceae.org/Prunus/Prunus_persica/p.persica_gdr_reftransV1_0000852","p.persica_gdr_reftransV1_0000852")</f>
        <v>p.persica_gdr_reftransV1_0000852</v>
      </c>
      <c r="B3771" s="2">
        <v>1247</v>
      </c>
      <c r="C3771" s="4" t="str">
        <f>HYPERLINK("http://www.uniprot.org/uniprot/M5WR91","M5WR91")</f>
        <v>M5WR91</v>
      </c>
      <c r="D3771" s="2" t="s">
        <v>3551</v>
      </c>
      <c r="E3771" s="3">
        <v>0</v>
      </c>
      <c r="F3771" s="2">
        <v>1728</v>
      </c>
      <c r="G3771" s="2">
        <v>100</v>
      </c>
      <c r="H3771" s="2">
        <v>336</v>
      </c>
      <c r="I3771" s="2">
        <v>1</v>
      </c>
      <c r="J3771" s="2">
        <v>1008</v>
      </c>
      <c r="K3771" s="2">
        <v>339</v>
      </c>
      <c r="L3771" s="2">
        <v>674</v>
      </c>
    </row>
    <row r="3772" spans="1:12" x14ac:dyDescent="0.25">
      <c r="A3772" s="4" t="str">
        <f>HYPERLINK("http://www.rosaceae.org/Prunus/Prunus_persica/p.persica_gdr_reftransV1_0001552","p.persica_gdr_reftransV1_0001552")</f>
        <v>p.persica_gdr_reftransV1_0001552</v>
      </c>
      <c r="B3772" s="2">
        <v>559</v>
      </c>
      <c r="C3772" s="4" t="str">
        <f>HYPERLINK("http://www.uniprot.org/uniprot/M5VTE8","M5VTE8")</f>
        <v>M5VTE8</v>
      </c>
      <c r="D3772" s="2" t="s">
        <v>2822</v>
      </c>
      <c r="E3772" s="3">
        <v>1.5200000000000001E-135</v>
      </c>
      <c r="F3772" s="2">
        <v>1016</v>
      </c>
      <c r="G3772" s="2">
        <v>100</v>
      </c>
      <c r="H3772" s="2">
        <v>186</v>
      </c>
      <c r="I3772" s="2">
        <v>2</v>
      </c>
      <c r="J3772" s="2">
        <v>559</v>
      </c>
      <c r="K3772" s="2">
        <v>175</v>
      </c>
      <c r="L3772" s="2">
        <v>360</v>
      </c>
    </row>
    <row r="3773" spans="1:12" x14ac:dyDescent="0.25">
      <c r="A3773" s="4" t="str">
        <f>HYPERLINK("http://www.rosaceae.org/Prunus/Prunus_persica/p.persica_gdr_reftransV1_0002252","p.persica_gdr_reftransV1_0002252")</f>
        <v>p.persica_gdr_reftransV1_0002252</v>
      </c>
      <c r="B3773" s="2">
        <v>4550</v>
      </c>
      <c r="C3773" s="4" t="str">
        <f>HYPERLINK("http://www.uniprot.org/uniprot/M5W8C9","M5W8C9")</f>
        <v>M5W8C9</v>
      </c>
      <c r="D3773" s="2" t="s">
        <v>3552</v>
      </c>
      <c r="E3773" s="3">
        <v>0</v>
      </c>
      <c r="F3773" s="2">
        <v>6937</v>
      </c>
      <c r="G3773" s="2">
        <v>96</v>
      </c>
      <c r="H3773" s="2">
        <v>1436</v>
      </c>
      <c r="I3773" s="2">
        <v>174</v>
      </c>
      <c r="J3773" s="2">
        <v>4358</v>
      </c>
      <c r="K3773" s="2">
        <v>1</v>
      </c>
      <c r="L3773" s="2">
        <v>1415</v>
      </c>
    </row>
    <row r="3774" spans="1:12" x14ac:dyDescent="0.25">
      <c r="A3774" s="4" t="str">
        <f>HYPERLINK("http://www.rosaceae.org/Prunus/Prunus_persica/p.persica_gdr_reftransV1_0002602","p.persica_gdr_reftransV1_0002602")</f>
        <v>p.persica_gdr_reftransV1_0002602</v>
      </c>
      <c r="B3774" s="2">
        <v>391</v>
      </c>
      <c r="C3774" s="4" t="str">
        <f>HYPERLINK("http://www.uniprot.org/uniprot/M5XPJ9","M5XPJ9")</f>
        <v>M5XPJ9</v>
      </c>
      <c r="D3774" s="2" t="s">
        <v>2997</v>
      </c>
      <c r="E3774" s="3">
        <v>7.8499999999999998E-89</v>
      </c>
      <c r="F3774" s="2">
        <v>703</v>
      </c>
      <c r="G3774" s="2">
        <v>100</v>
      </c>
      <c r="H3774" s="2">
        <v>130</v>
      </c>
      <c r="I3774" s="2">
        <v>2</v>
      </c>
      <c r="J3774" s="2">
        <v>391</v>
      </c>
      <c r="K3774" s="2">
        <v>69</v>
      </c>
      <c r="L3774" s="2">
        <v>198</v>
      </c>
    </row>
    <row r="3775" spans="1:12" x14ac:dyDescent="0.25">
      <c r="A3775" s="4" t="str">
        <f>HYPERLINK("http://www.rosaceae.org/Prunus/Prunus_persica/p.persica_gdr_reftransV1_0002952","p.persica_gdr_reftransV1_0002952")</f>
        <v>p.persica_gdr_reftransV1_0002952</v>
      </c>
      <c r="B3775" s="2">
        <v>1625</v>
      </c>
      <c r="C3775" s="4" t="str">
        <f>HYPERLINK("http://www.uniprot.org/uniprot/M5W4B3","M5W4B3")</f>
        <v>M5W4B3</v>
      </c>
      <c r="D3775" s="2" t="s">
        <v>3553</v>
      </c>
      <c r="E3775" s="3">
        <v>0</v>
      </c>
      <c r="F3775" s="2">
        <v>1930</v>
      </c>
      <c r="G3775" s="2">
        <v>100</v>
      </c>
      <c r="H3775" s="2">
        <v>377</v>
      </c>
      <c r="I3775" s="2">
        <v>394</v>
      </c>
      <c r="J3775" s="2">
        <v>1524</v>
      </c>
      <c r="K3775" s="2">
        <v>1</v>
      </c>
      <c r="L3775" s="2">
        <v>377</v>
      </c>
    </row>
    <row r="3776" spans="1:12" x14ac:dyDescent="0.25">
      <c r="A3776" s="4" t="str">
        <f>HYPERLINK("http://www.rosaceae.org/Prunus/Prunus_persica/p.persica_gdr_reftransV1_0003652","p.persica_gdr_reftransV1_0003652")</f>
        <v>p.persica_gdr_reftransV1_0003652</v>
      </c>
      <c r="B3776" s="2">
        <v>1884</v>
      </c>
      <c r="C3776" s="4" t="str">
        <f>HYPERLINK("http://www.uniprot.org/uniprot/M5Y9D7","M5Y9D7")</f>
        <v>M5Y9D7</v>
      </c>
      <c r="D3776" s="2" t="s">
        <v>3554</v>
      </c>
      <c r="E3776" s="3">
        <v>0</v>
      </c>
      <c r="F3776" s="2">
        <v>2453</v>
      </c>
      <c r="G3776" s="2">
        <v>99</v>
      </c>
      <c r="H3776" s="2">
        <v>505</v>
      </c>
      <c r="I3776" s="2">
        <v>275</v>
      </c>
      <c r="J3776" s="2">
        <v>1789</v>
      </c>
      <c r="K3776" s="2">
        <v>1</v>
      </c>
      <c r="L3776" s="2">
        <v>505</v>
      </c>
    </row>
    <row r="3777" spans="1:12" x14ac:dyDescent="0.25">
      <c r="A3777" s="4" t="str">
        <f>HYPERLINK("http://www.rosaceae.org/Prunus/Prunus_persica/p.persica_gdr_reftransV1_0004002","p.persica_gdr_reftransV1_0004002")</f>
        <v>p.persica_gdr_reftransV1_0004002</v>
      </c>
      <c r="B3777" s="2">
        <v>683</v>
      </c>
      <c r="C3777" s="4" t="str">
        <f>HYPERLINK("http://www.uniprot.org/uniprot/M5VSS4","M5VSS4")</f>
        <v>M5VSS4</v>
      </c>
      <c r="D3777" s="2" t="s">
        <v>3555</v>
      </c>
      <c r="E3777" s="3">
        <v>2.5700000000000002E-153</v>
      </c>
      <c r="F3777" s="2">
        <v>1195</v>
      </c>
      <c r="G3777" s="2">
        <v>100</v>
      </c>
      <c r="H3777" s="2">
        <v>227</v>
      </c>
      <c r="I3777" s="2">
        <v>1</v>
      </c>
      <c r="J3777" s="2">
        <v>681</v>
      </c>
      <c r="K3777" s="2">
        <v>232</v>
      </c>
      <c r="L3777" s="2">
        <v>458</v>
      </c>
    </row>
    <row r="3778" spans="1:12" x14ac:dyDescent="0.25">
      <c r="A3778" s="4" t="str">
        <f>HYPERLINK("http://www.rosaceae.org/Prunus/Prunus_persica/p.persica_gdr_reftransV1_0005052","p.persica_gdr_reftransV1_0005052")</f>
        <v>p.persica_gdr_reftransV1_0005052</v>
      </c>
      <c r="B3778" s="2">
        <v>2223</v>
      </c>
      <c r="C3778" s="4" t="str">
        <f>HYPERLINK("http://www.uniprot.org/uniprot/M5WWZ9","M5WWZ9")</f>
        <v>M5WWZ9</v>
      </c>
      <c r="D3778" s="2" t="s">
        <v>3556</v>
      </c>
      <c r="E3778" s="3">
        <v>0</v>
      </c>
      <c r="F3778" s="2">
        <v>3179</v>
      </c>
      <c r="G3778" s="2">
        <v>94</v>
      </c>
      <c r="H3778" s="2">
        <v>678</v>
      </c>
      <c r="I3778" s="2">
        <v>116</v>
      </c>
      <c r="J3778" s="2">
        <v>2149</v>
      </c>
      <c r="K3778" s="2">
        <v>1</v>
      </c>
      <c r="L3778" s="2">
        <v>635</v>
      </c>
    </row>
    <row r="3779" spans="1:12" x14ac:dyDescent="0.25">
      <c r="A3779" s="4" t="str">
        <f>HYPERLINK("http://www.rosaceae.org/Prunus/Prunus_persica/p.persica_gdr_reftransV1_0005402","p.persica_gdr_reftransV1_0005402")</f>
        <v>p.persica_gdr_reftransV1_0005402</v>
      </c>
      <c r="B3779" s="2">
        <v>583</v>
      </c>
      <c r="C3779" s="4" t="str">
        <f>HYPERLINK("http://www.uniprot.org/uniprot/M5W2F5","M5W2F5")</f>
        <v>M5W2F5</v>
      </c>
      <c r="D3779" s="2" t="s">
        <v>3557</v>
      </c>
      <c r="E3779" s="3">
        <v>2.9399999999999999E-68</v>
      </c>
      <c r="F3779" s="2">
        <v>580</v>
      </c>
      <c r="G3779" s="2">
        <v>100</v>
      </c>
      <c r="H3779" s="2">
        <v>112</v>
      </c>
      <c r="I3779" s="2">
        <v>247</v>
      </c>
      <c r="J3779" s="2">
        <v>582</v>
      </c>
      <c r="K3779" s="2">
        <v>400</v>
      </c>
      <c r="L3779" s="2">
        <v>511</v>
      </c>
    </row>
    <row r="3780" spans="1:12" x14ac:dyDescent="0.25">
      <c r="A3780" s="4" t="str">
        <f>HYPERLINK("http://www.rosaceae.org/Prunus/Prunus_persica/p.persica_gdr_reftransV1_0005752","p.persica_gdr_reftransV1_0005752")</f>
        <v>p.persica_gdr_reftransV1_0005752</v>
      </c>
      <c r="B3780" s="2">
        <v>878</v>
      </c>
      <c r="C3780" s="4" t="str">
        <f>HYPERLINK("http://www.uniprot.org/uniprot/M5WVV1","M5WVV1")</f>
        <v>M5WVV1</v>
      </c>
      <c r="D3780" s="2" t="s">
        <v>3558</v>
      </c>
      <c r="E3780" s="3">
        <v>7.5900000000000003E-113</v>
      </c>
      <c r="F3780" s="2">
        <v>858</v>
      </c>
      <c r="G3780" s="2">
        <v>100</v>
      </c>
      <c r="H3780" s="2">
        <v>165</v>
      </c>
      <c r="I3780" s="2">
        <v>278</v>
      </c>
      <c r="J3780" s="2">
        <v>772</v>
      </c>
      <c r="K3780" s="2">
        <v>1</v>
      </c>
      <c r="L3780" s="2">
        <v>165</v>
      </c>
    </row>
    <row r="3781" spans="1:12" x14ac:dyDescent="0.25">
      <c r="A3781" s="4" t="str">
        <f>HYPERLINK("http://www.rosaceae.org/Prunus/Prunus_persica/p.persica_gdr_reftransV1_0006452","p.persica_gdr_reftransV1_0006452")</f>
        <v>p.persica_gdr_reftransV1_0006452</v>
      </c>
      <c r="B3781" s="2">
        <v>1607</v>
      </c>
      <c r="C3781" s="4" t="str">
        <f>HYPERLINK("http://www.uniprot.org/uniprot/M5VYY0","M5VYY0")</f>
        <v>M5VYY0</v>
      </c>
      <c r="D3781" s="2" t="s">
        <v>3559</v>
      </c>
      <c r="E3781" s="3">
        <v>8.1000000000000006E-121</v>
      </c>
      <c r="F3781" s="2">
        <v>953</v>
      </c>
      <c r="G3781" s="2">
        <v>95</v>
      </c>
      <c r="H3781" s="2">
        <v>194</v>
      </c>
      <c r="I3781" s="2">
        <v>86</v>
      </c>
      <c r="J3781" s="2">
        <v>667</v>
      </c>
      <c r="K3781" s="2">
        <v>170</v>
      </c>
      <c r="L3781" s="2">
        <v>353</v>
      </c>
    </row>
    <row r="3782" spans="1:12" x14ac:dyDescent="0.25">
      <c r="A3782" s="4" t="str">
        <f>HYPERLINK("http://www.rosaceae.org/Prunus/Prunus_persica/p.persica_gdr_reftransV1_0006802","p.persica_gdr_reftransV1_0006802")</f>
        <v>p.persica_gdr_reftransV1_0006802</v>
      </c>
      <c r="B3782" s="2">
        <v>395</v>
      </c>
      <c r="C3782" s="4" t="str">
        <f>HYPERLINK("http://www.uniprot.org/uniprot/M5XVG6","M5XVG6")</f>
        <v>M5XVG6</v>
      </c>
      <c r="D3782" s="2" t="s">
        <v>752</v>
      </c>
      <c r="E3782" s="3">
        <v>3.7900000000000002E-67</v>
      </c>
      <c r="F3782" s="2">
        <v>592</v>
      </c>
      <c r="G3782" s="2">
        <v>100</v>
      </c>
      <c r="H3782" s="2">
        <v>131</v>
      </c>
      <c r="I3782" s="2">
        <v>3</v>
      </c>
      <c r="J3782" s="2">
        <v>395</v>
      </c>
      <c r="K3782" s="2">
        <v>541</v>
      </c>
      <c r="L3782" s="2">
        <v>671</v>
      </c>
    </row>
    <row r="3783" spans="1:12" x14ac:dyDescent="0.25">
      <c r="A3783" s="4" t="str">
        <f>HYPERLINK("http://www.rosaceae.org/Prunus/Prunus_persica/p.persica_gdr_reftransV1_0007152","p.persica_gdr_reftransV1_0007152")</f>
        <v>p.persica_gdr_reftransV1_0007152</v>
      </c>
      <c r="B3783" s="2">
        <v>1260</v>
      </c>
      <c r="C3783" s="4" t="str">
        <f>HYPERLINK("http://www.uniprot.org/uniprot/M5WVC8","M5WVC8")</f>
        <v>M5WVC8</v>
      </c>
      <c r="D3783" s="2" t="s">
        <v>3560</v>
      </c>
      <c r="E3783" s="3">
        <v>9.5900000000000001E-126</v>
      </c>
      <c r="F3783" s="2">
        <v>959</v>
      </c>
      <c r="G3783" s="2">
        <v>99</v>
      </c>
      <c r="H3783" s="2">
        <v>194</v>
      </c>
      <c r="I3783" s="2">
        <v>442</v>
      </c>
      <c r="J3783" s="2">
        <v>1023</v>
      </c>
      <c r="K3783" s="2">
        <v>1</v>
      </c>
      <c r="L3783" s="2">
        <v>194</v>
      </c>
    </row>
    <row r="3784" spans="1:12" x14ac:dyDescent="0.25">
      <c r="A3784" s="4" t="str">
        <f>HYPERLINK("http://www.rosaceae.org/Prunus/Prunus_persica/p.persica_gdr_reftransV1_0007502","p.persica_gdr_reftransV1_0007502")</f>
        <v>p.persica_gdr_reftransV1_0007502</v>
      </c>
      <c r="B3784" s="2">
        <v>1507</v>
      </c>
      <c r="C3784" s="4" t="str">
        <f>HYPERLINK("http://www.uniprot.org/uniprot/M5XGK5","M5XGK5")</f>
        <v>M5XGK5</v>
      </c>
      <c r="D3784" s="2" t="s">
        <v>3561</v>
      </c>
      <c r="E3784" s="3">
        <v>0</v>
      </c>
      <c r="F3784" s="2">
        <v>1763</v>
      </c>
      <c r="G3784" s="2">
        <v>100</v>
      </c>
      <c r="H3784" s="2">
        <v>370</v>
      </c>
      <c r="I3784" s="2">
        <v>355</v>
      </c>
      <c r="J3784" s="2">
        <v>1464</v>
      </c>
      <c r="K3784" s="2">
        <v>1</v>
      </c>
      <c r="L3784" s="2">
        <v>370</v>
      </c>
    </row>
    <row r="3785" spans="1:12" x14ac:dyDescent="0.25">
      <c r="A3785" s="4" t="str">
        <f>HYPERLINK("http://www.rosaceae.org/Prunus/Prunus_persica/p.persica_gdr_reftransV1_0007852","p.persica_gdr_reftransV1_0007852")</f>
        <v>p.persica_gdr_reftransV1_0007852</v>
      </c>
      <c r="B3785" s="2">
        <v>664</v>
      </c>
      <c r="C3785" s="4" t="str">
        <f>HYPERLINK("http://www.uniprot.org/uniprot/M5XEQ4","M5XEQ4")</f>
        <v>M5XEQ4</v>
      </c>
      <c r="D3785" s="2" t="s">
        <v>3562</v>
      </c>
      <c r="E3785" s="3">
        <v>4.5000000000000001E-69</v>
      </c>
      <c r="F3785" s="2">
        <v>579</v>
      </c>
      <c r="G3785" s="2">
        <v>100</v>
      </c>
      <c r="H3785" s="2">
        <v>138</v>
      </c>
      <c r="I3785" s="2">
        <v>251</v>
      </c>
      <c r="J3785" s="2">
        <v>664</v>
      </c>
      <c r="K3785" s="2">
        <v>1</v>
      </c>
      <c r="L3785" s="2">
        <v>138</v>
      </c>
    </row>
    <row r="3786" spans="1:12" x14ac:dyDescent="0.25">
      <c r="A3786" s="4" t="str">
        <f>HYPERLINK("http://www.rosaceae.org/Prunus/Prunus_persica/p.persica_gdr_reftransV1_0008202","p.persica_gdr_reftransV1_0008202")</f>
        <v>p.persica_gdr_reftransV1_0008202</v>
      </c>
      <c r="B3786" s="2">
        <v>555</v>
      </c>
      <c r="C3786" s="4" t="str">
        <f>HYPERLINK("http://www.uniprot.org/uniprot/M5X1T8","M5X1T8")</f>
        <v>M5X1T8</v>
      </c>
      <c r="D3786" s="2" t="s">
        <v>3563</v>
      </c>
      <c r="E3786" s="3">
        <v>2.3900000000000001E-85</v>
      </c>
      <c r="F3786" s="2">
        <v>661</v>
      </c>
      <c r="G3786" s="2">
        <v>100</v>
      </c>
      <c r="H3786" s="2">
        <v>125</v>
      </c>
      <c r="I3786" s="2">
        <v>123</v>
      </c>
      <c r="J3786" s="2">
        <v>497</v>
      </c>
      <c r="K3786" s="2">
        <v>1</v>
      </c>
      <c r="L3786" s="2">
        <v>125</v>
      </c>
    </row>
    <row r="3787" spans="1:12" x14ac:dyDescent="0.25">
      <c r="A3787" s="4" t="str">
        <f>HYPERLINK("http://www.rosaceae.org/Prunus/Prunus_persica/p.persica_gdr_reftransV1_0009602","p.persica_gdr_reftransV1_0009602")</f>
        <v>p.persica_gdr_reftransV1_0009602</v>
      </c>
      <c r="B3787" s="2">
        <v>4516</v>
      </c>
      <c r="C3787" s="4" t="str">
        <f>HYPERLINK("http://www.uniprot.org/uniprot/M5XNB1","M5XNB1")</f>
        <v>M5XNB1</v>
      </c>
      <c r="D3787" s="2" t="s">
        <v>3564</v>
      </c>
      <c r="E3787" s="3">
        <v>0</v>
      </c>
      <c r="F3787" s="2">
        <v>2772</v>
      </c>
      <c r="G3787" s="2">
        <v>100</v>
      </c>
      <c r="H3787" s="2">
        <v>542</v>
      </c>
      <c r="I3787" s="2">
        <v>2010</v>
      </c>
      <c r="J3787" s="2">
        <v>3635</v>
      </c>
      <c r="K3787" s="2">
        <v>1</v>
      </c>
      <c r="L3787" s="2">
        <v>542</v>
      </c>
    </row>
    <row r="3788" spans="1:12" x14ac:dyDescent="0.25">
      <c r="A3788" s="4" t="str">
        <f>HYPERLINK("http://www.rosaceae.org/Prunus/Prunus_persica/p.persica_gdr_reftransV1_0010302","p.persica_gdr_reftransV1_0010302")</f>
        <v>p.persica_gdr_reftransV1_0010302</v>
      </c>
      <c r="B3788" s="2">
        <v>2294</v>
      </c>
      <c r="C3788" s="4" t="str">
        <f>HYPERLINK("http://www.uniprot.org/uniprot/M5XCI5","M5XCI5")</f>
        <v>M5XCI5</v>
      </c>
      <c r="D3788" s="2" t="s">
        <v>3565</v>
      </c>
      <c r="E3788" s="3">
        <v>0</v>
      </c>
      <c r="F3788" s="2">
        <v>2020</v>
      </c>
      <c r="G3788" s="2">
        <v>100</v>
      </c>
      <c r="H3788" s="2">
        <v>435</v>
      </c>
      <c r="I3788" s="2">
        <v>776</v>
      </c>
      <c r="J3788" s="2">
        <v>2080</v>
      </c>
      <c r="K3788" s="2">
        <v>1</v>
      </c>
      <c r="L3788" s="2">
        <v>435</v>
      </c>
    </row>
    <row r="3789" spans="1:12" x14ac:dyDescent="0.25">
      <c r="A3789" s="4" t="str">
        <f>HYPERLINK("http://www.rosaceae.org/Prunus/Prunus_persica/p.persica_gdr_reftransV1_0010652","p.persica_gdr_reftransV1_0010652")</f>
        <v>p.persica_gdr_reftransV1_0010652</v>
      </c>
      <c r="B3789" s="2">
        <v>1605</v>
      </c>
      <c r="C3789" s="4" t="str">
        <f>HYPERLINK("http://www.uniprot.org/uniprot/M5XAT3","M5XAT3")</f>
        <v>M5XAT3</v>
      </c>
      <c r="D3789" s="2" t="s">
        <v>3566</v>
      </c>
      <c r="E3789" s="3">
        <v>0</v>
      </c>
      <c r="F3789" s="2">
        <v>2199</v>
      </c>
      <c r="G3789" s="2">
        <v>100</v>
      </c>
      <c r="H3789" s="2">
        <v>469</v>
      </c>
      <c r="I3789" s="2">
        <v>1</v>
      </c>
      <c r="J3789" s="2">
        <v>1407</v>
      </c>
      <c r="K3789" s="2">
        <v>1</v>
      </c>
      <c r="L3789" s="2">
        <v>469</v>
      </c>
    </row>
    <row r="3790" spans="1:12" x14ac:dyDescent="0.25">
      <c r="A3790" s="4" t="str">
        <f>HYPERLINK("http://www.rosaceae.org/Prunus/Prunus_persica/p.persica_gdr_reftransV1_0011702","p.persica_gdr_reftransV1_0011702")</f>
        <v>p.persica_gdr_reftransV1_0011702</v>
      </c>
      <c r="B3790" s="2">
        <v>1573</v>
      </c>
      <c r="C3790" s="4" t="str">
        <f>HYPERLINK("http://www.uniprot.org/uniprot/M5WV44","M5WV44")</f>
        <v>M5WV44</v>
      </c>
      <c r="D3790" s="2" t="s">
        <v>3567</v>
      </c>
      <c r="E3790" s="3">
        <v>1.78E-173</v>
      </c>
      <c r="F3790" s="2">
        <v>1293</v>
      </c>
      <c r="G3790" s="2">
        <v>100</v>
      </c>
      <c r="H3790" s="2">
        <v>274</v>
      </c>
      <c r="I3790" s="2">
        <v>341</v>
      </c>
      <c r="J3790" s="2">
        <v>1162</v>
      </c>
      <c r="K3790" s="2">
        <v>1</v>
      </c>
      <c r="L3790" s="2">
        <v>274</v>
      </c>
    </row>
    <row r="3791" spans="1:12" x14ac:dyDescent="0.25">
      <c r="A3791" s="4" t="str">
        <f>HYPERLINK("http://www.rosaceae.org/Prunus/Prunus_persica/p.persica_gdr_reftransV1_0012052","p.persica_gdr_reftransV1_0012052")</f>
        <v>p.persica_gdr_reftransV1_0012052</v>
      </c>
      <c r="B3791" s="2">
        <v>1872</v>
      </c>
      <c r="C3791" s="4" t="str">
        <f>HYPERLINK("http://www.uniprot.org/uniprot/M5VW90","M5VW90")</f>
        <v>M5VW90</v>
      </c>
      <c r="D3791" s="2" t="s">
        <v>3568</v>
      </c>
      <c r="E3791" s="3">
        <v>0</v>
      </c>
      <c r="F3791" s="2">
        <v>1594</v>
      </c>
      <c r="G3791" s="2">
        <v>100</v>
      </c>
      <c r="H3791" s="2">
        <v>294</v>
      </c>
      <c r="I3791" s="2">
        <v>404</v>
      </c>
      <c r="J3791" s="2">
        <v>1285</v>
      </c>
      <c r="K3791" s="2">
        <v>150</v>
      </c>
      <c r="L3791" s="2">
        <v>443</v>
      </c>
    </row>
    <row r="3792" spans="1:12" x14ac:dyDescent="0.25">
      <c r="A3792" s="4" t="str">
        <f>HYPERLINK("http://www.rosaceae.org/Prunus/Prunus_persica/p.persica_gdr_reftransV1_0012402","p.persica_gdr_reftransV1_0012402")</f>
        <v>p.persica_gdr_reftransV1_0012402</v>
      </c>
      <c r="B3792" s="2">
        <v>2132</v>
      </c>
      <c r="C3792" s="4" t="str">
        <f>HYPERLINK("http://www.uniprot.org/uniprot/M5X965","M5X965")</f>
        <v>M5X965</v>
      </c>
      <c r="D3792" s="2" t="s">
        <v>3569</v>
      </c>
      <c r="E3792" s="3">
        <v>0</v>
      </c>
      <c r="F3792" s="2">
        <v>2644</v>
      </c>
      <c r="G3792" s="2">
        <v>100</v>
      </c>
      <c r="H3792" s="2">
        <v>612</v>
      </c>
      <c r="I3792" s="2">
        <v>258</v>
      </c>
      <c r="J3792" s="2">
        <v>2093</v>
      </c>
      <c r="K3792" s="2">
        <v>1</v>
      </c>
      <c r="L3792" s="2">
        <v>612</v>
      </c>
    </row>
    <row r="3793" spans="1:12" x14ac:dyDescent="0.25">
      <c r="A3793" s="4" t="str">
        <f>HYPERLINK("http://www.rosaceae.org/Prunus/Prunus_persica/p.persica_gdr_reftransV1_0013452","p.persica_gdr_reftransV1_0013452")</f>
        <v>p.persica_gdr_reftransV1_0013452</v>
      </c>
      <c r="B3793" s="2">
        <v>2402</v>
      </c>
      <c r="C3793" s="4" t="str">
        <f>HYPERLINK("http://www.uniprot.org/uniprot/M5WWK0","M5WWK0")</f>
        <v>M5WWK0</v>
      </c>
      <c r="D3793" s="2" t="s">
        <v>3570</v>
      </c>
      <c r="E3793" s="3">
        <v>0</v>
      </c>
      <c r="F3793" s="2">
        <v>1934</v>
      </c>
      <c r="G3793" s="2">
        <v>87</v>
      </c>
      <c r="H3793" s="2">
        <v>430</v>
      </c>
      <c r="I3793" s="2">
        <v>77</v>
      </c>
      <c r="J3793" s="2">
        <v>1366</v>
      </c>
      <c r="K3793" s="2">
        <v>1</v>
      </c>
      <c r="L3793" s="2">
        <v>383</v>
      </c>
    </row>
    <row r="3794" spans="1:12" x14ac:dyDescent="0.25">
      <c r="A3794" s="4" t="str">
        <f>HYPERLINK("http://www.rosaceae.org/Prunus/Prunus_persica/p.persica_gdr_reftransV1_0014152","p.persica_gdr_reftransV1_0014152")</f>
        <v>p.persica_gdr_reftransV1_0014152</v>
      </c>
      <c r="B3794" s="2">
        <v>1669</v>
      </c>
      <c r="C3794" s="4" t="str">
        <f>HYPERLINK("http://www.uniprot.org/uniprot/M5WP48","M5WP48")</f>
        <v>M5WP48</v>
      </c>
      <c r="D3794" s="2" t="s">
        <v>3571</v>
      </c>
      <c r="E3794" s="3">
        <v>0</v>
      </c>
      <c r="F3794" s="2">
        <v>2082</v>
      </c>
      <c r="G3794" s="2">
        <v>100</v>
      </c>
      <c r="H3794" s="2">
        <v>422</v>
      </c>
      <c r="I3794" s="2">
        <v>189</v>
      </c>
      <c r="J3794" s="2">
        <v>1454</v>
      </c>
      <c r="K3794" s="2">
        <v>1</v>
      </c>
      <c r="L3794" s="2">
        <v>422</v>
      </c>
    </row>
    <row r="3795" spans="1:12" x14ac:dyDescent="0.25">
      <c r="A3795" s="4" t="str">
        <f>HYPERLINK("http://www.rosaceae.org/Prunus/Prunus_persica/p.persica_gdr_reftransV1_0014502","p.persica_gdr_reftransV1_0014502")</f>
        <v>p.persica_gdr_reftransV1_0014502</v>
      </c>
      <c r="B3795" s="2">
        <v>4765</v>
      </c>
      <c r="C3795" s="4" t="str">
        <f>HYPERLINK("http://www.uniprot.org/uniprot/M5WPP7","M5WPP7")</f>
        <v>M5WPP7</v>
      </c>
      <c r="D3795" s="2" t="s">
        <v>806</v>
      </c>
      <c r="E3795" s="3">
        <v>0</v>
      </c>
      <c r="F3795" s="2">
        <v>4484</v>
      </c>
      <c r="G3795" s="2">
        <v>98</v>
      </c>
      <c r="H3795" s="2">
        <v>925</v>
      </c>
      <c r="I3795" s="2">
        <v>422</v>
      </c>
      <c r="J3795" s="2">
        <v>3196</v>
      </c>
      <c r="K3795" s="2">
        <v>1</v>
      </c>
      <c r="L3795" s="2">
        <v>907</v>
      </c>
    </row>
    <row r="3796" spans="1:12" x14ac:dyDescent="0.25">
      <c r="A3796" s="4" t="str">
        <f>HYPERLINK("http://www.rosaceae.org/Prunus/Prunus_persica/p.persica_gdr_reftransV1_0015202","p.persica_gdr_reftransV1_0015202")</f>
        <v>p.persica_gdr_reftransV1_0015202</v>
      </c>
      <c r="B3796" s="2">
        <v>2245</v>
      </c>
      <c r="C3796" s="4" t="str">
        <f>HYPERLINK("http://www.uniprot.org/uniprot/M5WA15","M5WA15")</f>
        <v>M5WA15</v>
      </c>
      <c r="D3796" s="2" t="s">
        <v>3572</v>
      </c>
      <c r="E3796" s="3">
        <v>0</v>
      </c>
      <c r="F3796" s="2">
        <v>2386</v>
      </c>
      <c r="G3796" s="2">
        <v>96</v>
      </c>
      <c r="H3796" s="2">
        <v>513</v>
      </c>
      <c r="I3796" s="2">
        <v>261</v>
      </c>
      <c r="J3796" s="2">
        <v>1799</v>
      </c>
      <c r="K3796" s="2">
        <v>1</v>
      </c>
      <c r="L3796" s="2">
        <v>500</v>
      </c>
    </row>
    <row r="3797" spans="1:12" x14ac:dyDescent="0.25">
      <c r="A3797" s="4" t="str">
        <f>HYPERLINK("http://www.rosaceae.org/Prunus/Prunus_persica/p.persica_gdr_reftransV1_0015552","p.persica_gdr_reftransV1_0015552")</f>
        <v>p.persica_gdr_reftransV1_0015552</v>
      </c>
      <c r="B3797" s="2">
        <v>969</v>
      </c>
      <c r="C3797" s="4" t="str">
        <f>HYPERLINK("http://www.uniprot.org/uniprot/M5WCX8","M5WCX8")</f>
        <v>M5WCX8</v>
      </c>
      <c r="D3797" s="2" t="s">
        <v>3573</v>
      </c>
      <c r="E3797" s="3">
        <v>1.9699999999999999E-117</v>
      </c>
      <c r="F3797" s="2">
        <v>894</v>
      </c>
      <c r="G3797" s="2">
        <v>100</v>
      </c>
      <c r="H3797" s="2">
        <v>198</v>
      </c>
      <c r="I3797" s="2">
        <v>335</v>
      </c>
      <c r="J3797" s="2">
        <v>928</v>
      </c>
      <c r="K3797" s="2">
        <v>1</v>
      </c>
      <c r="L3797" s="2">
        <v>198</v>
      </c>
    </row>
    <row r="3798" spans="1:12" x14ac:dyDescent="0.25">
      <c r="A3798" s="4" t="str">
        <f>HYPERLINK("http://www.rosaceae.org/Prunus/Prunus_persica/p.persica_gdr_reftransV1_0016252","p.persica_gdr_reftransV1_0016252")</f>
        <v>p.persica_gdr_reftransV1_0016252</v>
      </c>
      <c r="B3798" s="2">
        <v>1373</v>
      </c>
      <c r="C3798" s="4" t="str">
        <f>HYPERLINK("http://www.uniprot.org/uniprot/M5WBF8","M5WBF8")</f>
        <v>M5WBF8</v>
      </c>
      <c r="D3798" s="2" t="s">
        <v>3574</v>
      </c>
      <c r="E3798" s="3">
        <v>2.6400000000000001E-157</v>
      </c>
      <c r="F3798" s="2">
        <v>1180</v>
      </c>
      <c r="G3798" s="2">
        <v>100</v>
      </c>
      <c r="H3798" s="2">
        <v>281</v>
      </c>
      <c r="I3798" s="2">
        <v>154</v>
      </c>
      <c r="J3798" s="2">
        <v>996</v>
      </c>
      <c r="K3798" s="2">
        <v>1</v>
      </c>
      <c r="L3798" s="2">
        <v>281</v>
      </c>
    </row>
    <row r="3799" spans="1:12" x14ac:dyDescent="0.25">
      <c r="A3799" s="4" t="str">
        <f>HYPERLINK("http://www.rosaceae.org/Prunus/Prunus_persica/p.persica_gdr_reftransV1_0016602","p.persica_gdr_reftransV1_0016602")</f>
        <v>p.persica_gdr_reftransV1_0016602</v>
      </c>
      <c r="B3799" s="2">
        <v>3051</v>
      </c>
      <c r="C3799" s="4" t="str">
        <f>HYPERLINK("http://www.uniprot.org/uniprot/M5XRN9","M5XRN9")</f>
        <v>M5XRN9</v>
      </c>
      <c r="D3799" s="2" t="s">
        <v>1357</v>
      </c>
      <c r="E3799" s="3">
        <v>5.9899999999999994E-135</v>
      </c>
      <c r="F3799" s="2">
        <v>1103</v>
      </c>
      <c r="G3799" s="2">
        <v>100</v>
      </c>
      <c r="H3799" s="2">
        <v>208</v>
      </c>
      <c r="I3799" s="2">
        <v>2426</v>
      </c>
      <c r="J3799" s="2">
        <v>3049</v>
      </c>
      <c r="K3799" s="2">
        <v>150</v>
      </c>
      <c r="L3799" s="2">
        <v>357</v>
      </c>
    </row>
    <row r="3800" spans="1:12" x14ac:dyDescent="0.25">
      <c r="A3800" s="4" t="str">
        <f>HYPERLINK("http://www.rosaceae.org/Prunus/Prunus_persica/p.persica_gdr_reftransV1_0016952","p.persica_gdr_reftransV1_0016952")</f>
        <v>p.persica_gdr_reftransV1_0016952</v>
      </c>
      <c r="B3800" s="2">
        <v>1449</v>
      </c>
      <c r="C3800" s="4" t="str">
        <f>HYPERLINK("http://www.uniprot.org/uniprot/M5X3U6","M5X3U6")</f>
        <v>M5X3U6</v>
      </c>
      <c r="D3800" s="2" t="s">
        <v>3575</v>
      </c>
      <c r="E3800" s="3">
        <v>0</v>
      </c>
      <c r="F3800" s="2">
        <v>2297</v>
      </c>
      <c r="G3800" s="2">
        <v>100</v>
      </c>
      <c r="H3800" s="2">
        <v>428</v>
      </c>
      <c r="I3800" s="2">
        <v>1</v>
      </c>
      <c r="J3800" s="2">
        <v>1284</v>
      </c>
      <c r="K3800" s="2">
        <v>57</v>
      </c>
      <c r="L3800" s="2">
        <v>484</v>
      </c>
    </row>
    <row r="3801" spans="1:12" x14ac:dyDescent="0.25">
      <c r="A3801" s="4" t="str">
        <f>HYPERLINK("http://www.rosaceae.org/Prunus/Prunus_persica/p.persica_gdr_reftransV1_0020802","p.persica_gdr_reftransV1_0020802")</f>
        <v>p.persica_gdr_reftransV1_0020802</v>
      </c>
      <c r="B3801" s="2">
        <v>1247</v>
      </c>
      <c r="C3801" s="4" t="str">
        <f>HYPERLINK("http://www.uniprot.org/uniprot/M5W7L2","M5W7L2")</f>
        <v>M5W7L2</v>
      </c>
      <c r="D3801" s="2" t="s">
        <v>2495</v>
      </c>
      <c r="E3801" s="3">
        <v>7.1799999999999999E-35</v>
      </c>
      <c r="F3801" s="2">
        <v>356</v>
      </c>
      <c r="G3801" s="2">
        <v>96</v>
      </c>
      <c r="H3801" s="2">
        <v>79</v>
      </c>
      <c r="I3801" s="2">
        <v>1010</v>
      </c>
      <c r="J3801" s="2">
        <v>1246</v>
      </c>
      <c r="K3801" s="2">
        <v>216</v>
      </c>
      <c r="L3801" s="2">
        <v>294</v>
      </c>
    </row>
    <row r="3802" spans="1:12" x14ac:dyDescent="0.25">
      <c r="A3802" s="4" t="str">
        <f>HYPERLINK("http://www.rosaceae.org/Prunus/Prunus_persica/p.persica_gdr_reftransV1_0021152","p.persica_gdr_reftransV1_0021152")</f>
        <v>p.persica_gdr_reftransV1_0021152</v>
      </c>
      <c r="B3802" s="2">
        <v>1280</v>
      </c>
      <c r="C3802" s="4" t="str">
        <f>HYPERLINK("http://www.uniprot.org/uniprot/M5W5J6","M5W5J6")</f>
        <v>M5W5J6</v>
      </c>
      <c r="D3802" s="2" t="s">
        <v>3576</v>
      </c>
      <c r="E3802" s="3">
        <v>0</v>
      </c>
      <c r="F3802" s="2">
        <v>996</v>
      </c>
      <c r="G3802" s="2">
        <v>100</v>
      </c>
      <c r="H3802" s="2">
        <v>183</v>
      </c>
      <c r="I3802" s="2">
        <v>170</v>
      </c>
      <c r="J3802" s="2">
        <v>718</v>
      </c>
      <c r="K3802" s="2">
        <v>225</v>
      </c>
      <c r="L3802" s="2">
        <v>407</v>
      </c>
    </row>
    <row r="3803" spans="1:12" x14ac:dyDescent="0.25">
      <c r="A3803" s="4" t="str">
        <f>HYPERLINK("http://www.rosaceae.org/Prunus/Prunus_persica/p.persica_gdr_reftransV1_0023252","p.persica_gdr_reftransV1_0023252")</f>
        <v>p.persica_gdr_reftransV1_0023252</v>
      </c>
      <c r="B3803" s="2">
        <v>1796</v>
      </c>
      <c r="C3803" s="4" t="str">
        <f>HYPERLINK("http://www.uniprot.org/uniprot/M5WR30","M5WR30")</f>
        <v>M5WR30</v>
      </c>
      <c r="D3803" s="2" t="s">
        <v>3577</v>
      </c>
      <c r="E3803" s="3">
        <v>0</v>
      </c>
      <c r="F3803" s="2">
        <v>2728</v>
      </c>
      <c r="G3803" s="2">
        <v>100</v>
      </c>
      <c r="H3803" s="2">
        <v>507</v>
      </c>
      <c r="I3803" s="2">
        <v>202</v>
      </c>
      <c r="J3803" s="2">
        <v>1722</v>
      </c>
      <c r="K3803" s="2">
        <v>37</v>
      </c>
      <c r="L3803" s="2">
        <v>543</v>
      </c>
    </row>
    <row r="3804" spans="1:12" x14ac:dyDescent="0.25">
      <c r="A3804" s="4" t="str">
        <f>HYPERLINK("http://www.rosaceae.org/Prunus/Prunus_persica/p.persica_gdr_reftransV1_0025002","p.persica_gdr_reftransV1_0025002")</f>
        <v>p.persica_gdr_reftransV1_0025002</v>
      </c>
      <c r="B3804" s="2">
        <v>1054</v>
      </c>
      <c r="C3804" s="4" t="str">
        <f>HYPERLINK("http://www.uniprot.org/uniprot/M5W9S5","M5W9S5")</f>
        <v>M5W9S5</v>
      </c>
      <c r="D3804" s="2" t="s">
        <v>3578</v>
      </c>
      <c r="E3804" s="3">
        <v>6.1000000000000003E-89</v>
      </c>
      <c r="F3804" s="2">
        <v>722</v>
      </c>
      <c r="G3804" s="2">
        <v>100</v>
      </c>
      <c r="H3804" s="2">
        <v>167</v>
      </c>
      <c r="I3804" s="2">
        <v>553</v>
      </c>
      <c r="J3804" s="2">
        <v>1053</v>
      </c>
      <c r="K3804" s="2">
        <v>1</v>
      </c>
      <c r="L3804" s="2">
        <v>167</v>
      </c>
    </row>
    <row r="3805" spans="1:12" x14ac:dyDescent="0.25">
      <c r="A3805" s="4" t="str">
        <f>HYPERLINK("http://www.rosaceae.org/Prunus/Prunus_persica/p.persica_gdr_reftransV1_0026052","p.persica_gdr_reftransV1_0026052")</f>
        <v>p.persica_gdr_reftransV1_0026052</v>
      </c>
      <c r="B3805" s="2">
        <v>1178</v>
      </c>
      <c r="C3805" s="4" t="str">
        <f>HYPERLINK("http://www.uniprot.org/uniprot/M5X201","M5X201")</f>
        <v>M5X201</v>
      </c>
      <c r="D3805" s="2" t="s">
        <v>3579</v>
      </c>
      <c r="E3805" s="3">
        <v>7.5E-153</v>
      </c>
      <c r="F3805" s="2">
        <v>1139</v>
      </c>
      <c r="G3805" s="2">
        <v>100</v>
      </c>
      <c r="H3805" s="2">
        <v>235</v>
      </c>
      <c r="I3805" s="2">
        <v>255</v>
      </c>
      <c r="J3805" s="2">
        <v>959</v>
      </c>
      <c r="K3805" s="2">
        <v>1</v>
      </c>
      <c r="L3805" s="2">
        <v>235</v>
      </c>
    </row>
    <row r="3806" spans="1:12" x14ac:dyDescent="0.25">
      <c r="A3806" s="4" t="str">
        <f>HYPERLINK("http://www.rosaceae.org/Prunus/Prunus_persica/p.persica_gdr_reftransV1_0029552","p.persica_gdr_reftransV1_0029552")</f>
        <v>p.persica_gdr_reftransV1_0029552</v>
      </c>
      <c r="B3806" s="2">
        <v>1955</v>
      </c>
      <c r="C3806" s="4" t="str">
        <f>HYPERLINK("http://www.uniprot.org/uniprot/V4TSE5","V4TSE5")</f>
        <v>V4TSE5</v>
      </c>
      <c r="D3806" s="2" t="s">
        <v>3580</v>
      </c>
      <c r="E3806" s="3">
        <v>0</v>
      </c>
      <c r="F3806" s="2">
        <v>1458</v>
      </c>
      <c r="G3806" s="2">
        <v>75</v>
      </c>
      <c r="H3806" s="2">
        <v>363</v>
      </c>
      <c r="I3806" s="2">
        <v>294</v>
      </c>
      <c r="J3806" s="2">
        <v>1382</v>
      </c>
      <c r="K3806" s="2">
        <v>80</v>
      </c>
      <c r="L3806" s="2">
        <v>440</v>
      </c>
    </row>
    <row r="3807" spans="1:12" x14ac:dyDescent="0.25">
      <c r="A3807" s="4" t="str">
        <f>HYPERLINK("http://www.rosaceae.org/Prunus/Prunus_persica/p.persica_gdr_reftransV1_0029902","p.persica_gdr_reftransV1_0029902")</f>
        <v>p.persica_gdr_reftransV1_0029902</v>
      </c>
      <c r="B3807" s="2">
        <v>472</v>
      </c>
      <c r="C3807" s="4" t="str">
        <f>HYPERLINK("http://www.uniprot.org/uniprot/M5VZK7","M5VZK7")</f>
        <v>M5VZK7</v>
      </c>
      <c r="D3807" s="2" t="s">
        <v>3581</v>
      </c>
      <c r="E3807" s="3">
        <v>2.6499999999999998E-78</v>
      </c>
      <c r="F3807" s="2">
        <v>634</v>
      </c>
      <c r="G3807" s="2">
        <v>100</v>
      </c>
      <c r="H3807" s="2">
        <v>117</v>
      </c>
      <c r="I3807" s="2">
        <v>121</v>
      </c>
      <c r="J3807" s="2">
        <v>471</v>
      </c>
      <c r="K3807" s="2">
        <v>1</v>
      </c>
      <c r="L3807" s="2">
        <v>117</v>
      </c>
    </row>
    <row r="3808" spans="1:12" x14ac:dyDescent="0.25">
      <c r="A3808" s="4" t="str">
        <f>HYPERLINK("http://www.rosaceae.org/Prunus/Prunus_persica/p.persica_gdr_reftransV1_0030602","p.persica_gdr_reftransV1_0030602")</f>
        <v>p.persica_gdr_reftransV1_0030602</v>
      </c>
      <c r="B3808" s="2">
        <v>514</v>
      </c>
      <c r="C3808" s="4" t="str">
        <f>HYPERLINK("http://www.uniprot.org/uniprot/M5WMX7","M5WMX7")</f>
        <v>M5WMX7</v>
      </c>
      <c r="D3808" s="2" t="s">
        <v>3582</v>
      </c>
      <c r="E3808" s="3">
        <v>6.4299999999999998E-44</v>
      </c>
      <c r="F3808" s="2">
        <v>412</v>
      </c>
      <c r="G3808" s="2">
        <v>100</v>
      </c>
      <c r="H3808" s="2">
        <v>107</v>
      </c>
      <c r="I3808" s="2">
        <v>2</v>
      </c>
      <c r="J3808" s="2">
        <v>322</v>
      </c>
      <c r="K3808" s="2">
        <v>1</v>
      </c>
      <c r="L3808" s="2">
        <v>107</v>
      </c>
    </row>
    <row r="3809" spans="1:12" x14ac:dyDescent="0.25">
      <c r="A3809" s="4" t="str">
        <f>HYPERLINK("http://www.rosaceae.org/Prunus/Prunus_persica/p.persica_gdr_reftransV1_0030952","p.persica_gdr_reftransV1_0030952")</f>
        <v>p.persica_gdr_reftransV1_0030952</v>
      </c>
      <c r="B3809" s="2">
        <v>1097</v>
      </c>
      <c r="C3809" s="4" t="str">
        <f>HYPERLINK("http://www.uniprot.org/uniprot/M5WKB0","M5WKB0")</f>
        <v>M5WKB0</v>
      </c>
      <c r="D3809" s="2" t="s">
        <v>3583</v>
      </c>
      <c r="E3809" s="3">
        <v>2.8399999999999998E-66</v>
      </c>
      <c r="F3809" s="2">
        <v>553</v>
      </c>
      <c r="G3809" s="2">
        <v>100</v>
      </c>
      <c r="H3809" s="2">
        <v>134</v>
      </c>
      <c r="I3809" s="2">
        <v>244</v>
      </c>
      <c r="J3809" s="2">
        <v>645</v>
      </c>
      <c r="K3809" s="2">
        <v>1</v>
      </c>
      <c r="L3809" s="2">
        <v>134</v>
      </c>
    </row>
    <row r="3810" spans="1:12" x14ac:dyDescent="0.25">
      <c r="A3810" s="4" t="str">
        <f>HYPERLINK("http://www.rosaceae.org/Prunus/Prunus_persica/p.persica_gdr_reftransV1_0033402","p.persica_gdr_reftransV1_0033402")</f>
        <v>p.persica_gdr_reftransV1_0033402</v>
      </c>
      <c r="B3810" s="2">
        <v>2207</v>
      </c>
      <c r="C3810" s="4" t="str">
        <f>HYPERLINK("http://www.uniprot.org/uniprot/M5XNC7","M5XNC7")</f>
        <v>M5XNC7</v>
      </c>
      <c r="D3810" s="2" t="s">
        <v>3584</v>
      </c>
      <c r="E3810" s="3">
        <v>0</v>
      </c>
      <c r="F3810" s="2">
        <v>1633</v>
      </c>
      <c r="G3810" s="2">
        <v>82</v>
      </c>
      <c r="H3810" s="2">
        <v>468</v>
      </c>
      <c r="I3810" s="2">
        <v>467</v>
      </c>
      <c r="J3810" s="2">
        <v>1870</v>
      </c>
      <c r="K3810" s="2">
        <v>1</v>
      </c>
      <c r="L3810" s="2">
        <v>414</v>
      </c>
    </row>
    <row r="3811" spans="1:12" x14ac:dyDescent="0.25">
      <c r="A3811" s="4" t="str">
        <f>HYPERLINK("http://www.rosaceae.org/Prunus/Prunus_persica/p.persica_gdr_reftransV1_0034102","p.persica_gdr_reftransV1_0034102")</f>
        <v>p.persica_gdr_reftransV1_0034102</v>
      </c>
      <c r="B3811" s="2">
        <v>2508</v>
      </c>
      <c r="C3811" s="4" t="str">
        <f>HYPERLINK("http://www.uniprot.org/uniprot/M5XRM0","M5XRM0")</f>
        <v>M5XRM0</v>
      </c>
      <c r="D3811" s="2" t="s">
        <v>3585</v>
      </c>
      <c r="E3811" s="3">
        <v>0</v>
      </c>
      <c r="F3811" s="2">
        <v>1560</v>
      </c>
      <c r="G3811" s="2">
        <v>99</v>
      </c>
      <c r="H3811" s="2">
        <v>291</v>
      </c>
      <c r="I3811" s="2">
        <v>1634</v>
      </c>
      <c r="J3811" s="2">
        <v>2506</v>
      </c>
      <c r="K3811" s="2">
        <v>13</v>
      </c>
      <c r="L3811" s="2">
        <v>303</v>
      </c>
    </row>
    <row r="3812" spans="1:12" x14ac:dyDescent="0.25">
      <c r="A3812" s="4" t="str">
        <f>HYPERLINK("http://www.rosaceae.org/Prunus/Prunus_persica/p.persica_gdr_reftransV1_0035152","p.persica_gdr_reftransV1_0035152")</f>
        <v>p.persica_gdr_reftransV1_0035152</v>
      </c>
      <c r="B3812" s="2">
        <v>3355</v>
      </c>
      <c r="C3812" s="4" t="str">
        <f>HYPERLINK("http://www.uniprot.org/uniprot/M5X5K9","M5X5K9")</f>
        <v>M5X5K9</v>
      </c>
      <c r="D3812" s="2" t="s">
        <v>3586</v>
      </c>
      <c r="E3812" s="3">
        <v>0</v>
      </c>
      <c r="F3812" s="2">
        <v>2562</v>
      </c>
      <c r="G3812" s="2">
        <v>100</v>
      </c>
      <c r="H3812" s="2">
        <v>745</v>
      </c>
      <c r="I3812" s="2">
        <v>962</v>
      </c>
      <c r="J3812" s="2">
        <v>3196</v>
      </c>
      <c r="K3812" s="2">
        <v>1</v>
      </c>
      <c r="L3812" s="2">
        <v>745</v>
      </c>
    </row>
    <row r="3813" spans="1:12" x14ac:dyDescent="0.25">
      <c r="A3813" s="4" t="str">
        <f>HYPERLINK("http://www.rosaceae.org/Prunus/Prunus_persica/p.persica_gdr_reftransV1_0035502","p.persica_gdr_reftransV1_0035502")</f>
        <v>p.persica_gdr_reftransV1_0035502</v>
      </c>
      <c r="B3813" s="2">
        <v>481</v>
      </c>
      <c r="C3813" s="4" t="str">
        <f>HYPERLINK("http://www.uniprot.org/uniprot/M5XFV9","M5XFV9")</f>
        <v>M5XFV9</v>
      </c>
      <c r="D3813" s="2" t="s">
        <v>3587</v>
      </c>
      <c r="E3813" s="3">
        <v>3.7500000000000002E-93</v>
      </c>
      <c r="F3813" s="2">
        <v>721</v>
      </c>
      <c r="G3813" s="2">
        <v>100</v>
      </c>
      <c r="H3813" s="2">
        <v>138</v>
      </c>
      <c r="I3813" s="2">
        <v>1</v>
      </c>
      <c r="J3813" s="2">
        <v>414</v>
      </c>
      <c r="K3813" s="2">
        <v>1</v>
      </c>
      <c r="L3813" s="2">
        <v>138</v>
      </c>
    </row>
    <row r="3814" spans="1:12" x14ac:dyDescent="0.25">
      <c r="A3814" s="4" t="str">
        <f>HYPERLINK("http://www.rosaceae.org/Prunus/Prunus_persica/p.persica_gdr_reftransV1_0039002","p.persica_gdr_reftransV1_0039002")</f>
        <v>p.persica_gdr_reftransV1_0039002</v>
      </c>
      <c r="B3814" s="2">
        <v>1355</v>
      </c>
      <c r="C3814" s="4" t="str">
        <f>HYPERLINK("http://www.uniprot.org/uniprot/M5WSW5","M5WSW5")</f>
        <v>M5WSW5</v>
      </c>
      <c r="D3814" s="2" t="s">
        <v>3588</v>
      </c>
      <c r="E3814" s="3">
        <v>3.2799999999999998E-54</v>
      </c>
      <c r="F3814" s="2">
        <v>479</v>
      </c>
      <c r="G3814" s="2">
        <v>100</v>
      </c>
      <c r="H3814" s="2">
        <v>122</v>
      </c>
      <c r="I3814" s="2">
        <v>114</v>
      </c>
      <c r="J3814" s="2">
        <v>479</v>
      </c>
      <c r="K3814" s="2">
        <v>1</v>
      </c>
      <c r="L3814" s="2">
        <v>122</v>
      </c>
    </row>
    <row r="3815" spans="1:12" x14ac:dyDescent="0.25">
      <c r="A3815" s="4" t="str">
        <f>HYPERLINK("http://www.rosaceae.org/Prunus/Prunus_persica/p.persica_gdr_reftransV1_0041802","p.persica_gdr_reftransV1_0041802")</f>
        <v>p.persica_gdr_reftransV1_0041802</v>
      </c>
      <c r="B3815" s="2">
        <v>2025</v>
      </c>
      <c r="C3815" s="4" t="str">
        <f>HYPERLINK("http://www.uniprot.org/uniprot/M5WT63","M5WT63")</f>
        <v>M5WT63</v>
      </c>
      <c r="D3815" s="2" t="s">
        <v>3589</v>
      </c>
      <c r="E3815" s="3">
        <v>1.27E-110</v>
      </c>
      <c r="F3815" s="2">
        <v>715</v>
      </c>
      <c r="G3815" s="2">
        <v>99</v>
      </c>
      <c r="H3815" s="2">
        <v>138</v>
      </c>
      <c r="I3815" s="2">
        <v>1439</v>
      </c>
      <c r="J3815" s="2">
        <v>1852</v>
      </c>
      <c r="K3815" s="2">
        <v>1</v>
      </c>
      <c r="L3815" s="2">
        <v>138</v>
      </c>
    </row>
    <row r="3816" spans="1:12" x14ac:dyDescent="0.25">
      <c r="A3816" s="4" t="str">
        <f>HYPERLINK("http://www.rosaceae.org/Prunus/Prunus_persica/p.persica_gdr_reftransV1_0042502","p.persica_gdr_reftransV1_0042502")</f>
        <v>p.persica_gdr_reftransV1_0042502</v>
      </c>
      <c r="B3816" s="2">
        <v>1661</v>
      </c>
      <c r="C3816" s="4" t="str">
        <f>HYPERLINK("http://www.uniprot.org/uniprot/M5XBK8","M5XBK8")</f>
        <v>M5XBK8</v>
      </c>
      <c r="D3816" s="2" t="s">
        <v>3590</v>
      </c>
      <c r="E3816" s="3">
        <v>2.7600000000000002E-180</v>
      </c>
      <c r="F3816" s="2">
        <v>910</v>
      </c>
      <c r="G3816" s="2">
        <v>100</v>
      </c>
      <c r="H3816" s="2">
        <v>171</v>
      </c>
      <c r="I3816" s="2">
        <v>488</v>
      </c>
      <c r="J3816" s="2">
        <v>1000</v>
      </c>
      <c r="K3816" s="2">
        <v>156</v>
      </c>
      <c r="L3816" s="2">
        <v>326</v>
      </c>
    </row>
    <row r="3817" spans="1:12" x14ac:dyDescent="0.25">
      <c r="A3817" s="4" t="str">
        <f>HYPERLINK("http://www.rosaceae.org/Prunus/Prunus_persica/p.persica_gdr_reftransV1_0043202","p.persica_gdr_reftransV1_0043202")</f>
        <v>p.persica_gdr_reftransV1_0043202</v>
      </c>
      <c r="B3817" s="2">
        <v>717</v>
      </c>
      <c r="C3817" s="4" t="str">
        <f>HYPERLINK("http://www.uniprot.org/uniprot/M5XHT0","M5XHT0")</f>
        <v>M5XHT0</v>
      </c>
      <c r="D3817" s="2" t="s">
        <v>1297</v>
      </c>
      <c r="E3817" s="3">
        <v>6.1799999999999995E-85</v>
      </c>
      <c r="F3817" s="2">
        <v>671</v>
      </c>
      <c r="G3817" s="2">
        <v>100</v>
      </c>
      <c r="H3817" s="2">
        <v>199</v>
      </c>
      <c r="I3817" s="2">
        <v>48</v>
      </c>
      <c r="J3817" s="2">
        <v>644</v>
      </c>
      <c r="K3817" s="2">
        <v>1</v>
      </c>
      <c r="L3817" s="2">
        <v>199</v>
      </c>
    </row>
    <row r="3818" spans="1:12" x14ac:dyDescent="0.25">
      <c r="A3818" s="4" t="str">
        <f>HYPERLINK("http://www.rosaceae.org/Prunus/Prunus_persica/p.persica_gdr_reftransV1_0043552","p.persica_gdr_reftransV1_0043552")</f>
        <v>p.persica_gdr_reftransV1_0043552</v>
      </c>
      <c r="B3818" s="2">
        <v>777</v>
      </c>
      <c r="C3818" s="4" t="str">
        <f>HYPERLINK("http://www.uniprot.org/uniprot/M5VME7","M5VME7")</f>
        <v>M5VME7</v>
      </c>
      <c r="D3818" s="2" t="s">
        <v>2364</v>
      </c>
      <c r="E3818" s="3">
        <v>1.64E-173</v>
      </c>
      <c r="F3818" s="2">
        <v>1289</v>
      </c>
      <c r="G3818" s="2">
        <v>100</v>
      </c>
      <c r="H3818" s="2">
        <v>238</v>
      </c>
      <c r="I3818" s="2">
        <v>3</v>
      </c>
      <c r="J3818" s="2">
        <v>716</v>
      </c>
      <c r="K3818" s="2">
        <v>281</v>
      </c>
      <c r="L3818" s="2">
        <v>518</v>
      </c>
    </row>
    <row r="3819" spans="1:12" x14ac:dyDescent="0.25">
      <c r="A3819" s="4" t="str">
        <f>HYPERLINK("http://www.rosaceae.org/Prunus/Prunus_persica/p.persica_gdr_reftransV1_0043902","p.persica_gdr_reftransV1_0043902")</f>
        <v>p.persica_gdr_reftransV1_0043902</v>
      </c>
      <c r="B3819" s="2">
        <v>1870</v>
      </c>
      <c r="C3819" s="4" t="str">
        <f>HYPERLINK("http://www.uniprot.org/uniprot/M5VVH3","M5VVH3")</f>
        <v>M5VVH3</v>
      </c>
      <c r="D3819" s="2" t="s">
        <v>159</v>
      </c>
      <c r="E3819" s="3">
        <v>0</v>
      </c>
      <c r="F3819" s="2">
        <v>2494</v>
      </c>
      <c r="G3819" s="2">
        <v>100</v>
      </c>
      <c r="H3819" s="2">
        <v>474</v>
      </c>
      <c r="I3819" s="2">
        <v>386</v>
      </c>
      <c r="J3819" s="2">
        <v>1807</v>
      </c>
      <c r="K3819" s="2">
        <v>25</v>
      </c>
      <c r="L3819" s="2">
        <v>498</v>
      </c>
    </row>
    <row r="3820" spans="1:12" x14ac:dyDescent="0.25">
      <c r="A3820" s="4" t="str">
        <f>HYPERLINK("http://www.rosaceae.org/Prunus/Prunus_persica/p.persica_gdr_reftransV1_0044252","p.persica_gdr_reftransV1_0044252")</f>
        <v>p.persica_gdr_reftransV1_0044252</v>
      </c>
      <c r="B3820" s="2">
        <v>707</v>
      </c>
      <c r="C3820" s="4" t="str">
        <f>HYPERLINK("http://www.uniprot.org/uniprot/M5WMT1","M5WMT1")</f>
        <v>M5WMT1</v>
      </c>
      <c r="D3820" s="2" t="s">
        <v>3591</v>
      </c>
      <c r="E3820" s="3">
        <v>5.6300000000000003E-86</v>
      </c>
      <c r="F3820" s="2">
        <v>710</v>
      </c>
      <c r="G3820" s="2">
        <v>91</v>
      </c>
      <c r="H3820" s="2">
        <v>159</v>
      </c>
      <c r="I3820" s="2">
        <v>212</v>
      </c>
      <c r="J3820" s="2">
        <v>688</v>
      </c>
      <c r="K3820" s="2">
        <v>433</v>
      </c>
      <c r="L3820" s="2">
        <v>591</v>
      </c>
    </row>
    <row r="3821" spans="1:12" x14ac:dyDescent="0.25">
      <c r="A3821" s="4" t="str">
        <f>HYPERLINK("http://www.rosaceae.org/Prunus/Prunus_persica/p.persica_gdr_reftransV1_0044952","p.persica_gdr_reftransV1_0044952")</f>
        <v>p.persica_gdr_reftransV1_0044952</v>
      </c>
      <c r="B3821" s="2">
        <v>1157</v>
      </c>
      <c r="C3821" s="4" t="str">
        <f>HYPERLINK("http://www.uniprot.org/uniprot/M5WTC1","M5WTC1")</f>
        <v>M5WTC1</v>
      </c>
      <c r="D3821" s="2" t="s">
        <v>3592</v>
      </c>
      <c r="E3821" s="3">
        <v>1.3099999999999999E-109</v>
      </c>
      <c r="F3821" s="2">
        <v>854</v>
      </c>
      <c r="G3821" s="2">
        <v>100</v>
      </c>
      <c r="H3821" s="2">
        <v>200</v>
      </c>
      <c r="I3821" s="2">
        <v>33</v>
      </c>
      <c r="J3821" s="2">
        <v>632</v>
      </c>
      <c r="K3821" s="2">
        <v>13</v>
      </c>
      <c r="L3821" s="2">
        <v>212</v>
      </c>
    </row>
    <row r="3822" spans="1:12" x14ac:dyDescent="0.25">
      <c r="A3822" s="4" t="str">
        <f>HYPERLINK("http://www.rosaceae.org/Prunus/Prunus_persica/p.persica_gdr_reftransV1_0045302","p.persica_gdr_reftransV1_0045302")</f>
        <v>p.persica_gdr_reftransV1_0045302</v>
      </c>
      <c r="B3822" s="2">
        <v>582</v>
      </c>
      <c r="C3822" s="4" t="str">
        <f>HYPERLINK("http://www.uniprot.org/uniprot/M5WV87","M5WV87")</f>
        <v>M5WV87</v>
      </c>
      <c r="D3822" s="2" t="s">
        <v>3593</v>
      </c>
      <c r="E3822" s="3">
        <v>6.3399999999999997E-85</v>
      </c>
      <c r="F3822" s="2">
        <v>665</v>
      </c>
      <c r="G3822" s="2">
        <v>99</v>
      </c>
      <c r="H3822" s="2">
        <v>124</v>
      </c>
      <c r="I3822" s="2">
        <v>2</v>
      </c>
      <c r="J3822" s="2">
        <v>373</v>
      </c>
      <c r="K3822" s="2">
        <v>60</v>
      </c>
      <c r="L3822" s="2">
        <v>183</v>
      </c>
    </row>
    <row r="3823" spans="1:12" x14ac:dyDescent="0.25">
      <c r="A3823" s="4" t="str">
        <f>HYPERLINK("http://www.rosaceae.org/Prunus/Prunus_persica/p.persica_gdr_reftransV1_0045652","p.persica_gdr_reftransV1_0045652")</f>
        <v>p.persica_gdr_reftransV1_0045652</v>
      </c>
      <c r="B3823" s="2">
        <v>2390</v>
      </c>
      <c r="C3823" s="4" t="str">
        <f>HYPERLINK("http://www.uniprot.org/uniprot/M5XNY5","M5XNY5")</f>
        <v>M5XNY5</v>
      </c>
      <c r="D3823" s="2" t="s">
        <v>3594</v>
      </c>
      <c r="E3823" s="3">
        <v>0</v>
      </c>
      <c r="F3823" s="2">
        <v>2480</v>
      </c>
      <c r="G3823" s="2">
        <v>100</v>
      </c>
      <c r="H3823" s="2">
        <v>574</v>
      </c>
      <c r="I3823" s="2">
        <v>312</v>
      </c>
      <c r="J3823" s="2">
        <v>2033</v>
      </c>
      <c r="K3823" s="2">
        <v>295</v>
      </c>
      <c r="L3823" s="2">
        <v>868</v>
      </c>
    </row>
    <row r="3824" spans="1:12" x14ac:dyDescent="0.25">
      <c r="A3824" s="4" t="str">
        <f>HYPERLINK("http://www.rosaceae.org/Prunus/Prunus_persica/p.persica_gdr_reftransV1_0046002","p.persica_gdr_reftransV1_0046002")</f>
        <v>p.persica_gdr_reftransV1_0046002</v>
      </c>
      <c r="B3824" s="2">
        <v>3184</v>
      </c>
      <c r="C3824" s="4" t="str">
        <f>HYPERLINK("http://www.uniprot.org/uniprot/M5WNQ0","M5WNQ0")</f>
        <v>M5WNQ0</v>
      </c>
      <c r="D3824" s="2" t="s">
        <v>3595</v>
      </c>
      <c r="E3824" s="3">
        <v>0</v>
      </c>
      <c r="F3824" s="2">
        <v>4831</v>
      </c>
      <c r="G3824" s="2">
        <v>96</v>
      </c>
      <c r="H3824" s="2">
        <v>966</v>
      </c>
      <c r="I3824" s="2">
        <v>167</v>
      </c>
      <c r="J3824" s="2">
        <v>3064</v>
      </c>
      <c r="K3824" s="2">
        <v>1</v>
      </c>
      <c r="L3824" s="2">
        <v>965</v>
      </c>
    </row>
    <row r="3825" spans="1:12" x14ac:dyDescent="0.25">
      <c r="A3825" s="4" t="str">
        <f>HYPERLINK("http://www.rosaceae.org/Prunus/Prunus_persica/p.persica_gdr_reftransV1_0046702","p.persica_gdr_reftransV1_0046702")</f>
        <v>p.persica_gdr_reftransV1_0046702</v>
      </c>
      <c r="B3825" s="2">
        <v>1023</v>
      </c>
      <c r="C3825" s="4" t="str">
        <f>HYPERLINK("http://www.uniprot.org/uniprot/M5X0B1","M5X0B1")</f>
        <v>M5X0B1</v>
      </c>
      <c r="D3825" s="2" t="s">
        <v>3596</v>
      </c>
      <c r="E3825" s="3">
        <v>0</v>
      </c>
      <c r="F3825" s="2">
        <v>1463</v>
      </c>
      <c r="G3825" s="2">
        <v>100</v>
      </c>
      <c r="H3825" s="2">
        <v>274</v>
      </c>
      <c r="I3825" s="2">
        <v>12</v>
      </c>
      <c r="J3825" s="2">
        <v>833</v>
      </c>
      <c r="K3825" s="2">
        <v>1</v>
      </c>
      <c r="L3825" s="2">
        <v>274</v>
      </c>
    </row>
    <row r="3826" spans="1:12" x14ac:dyDescent="0.25">
      <c r="A3826" s="4" t="str">
        <f>HYPERLINK("http://www.rosaceae.org/Prunus/Prunus_persica/p.persica_gdr_reftransV1_0047052","p.persica_gdr_reftransV1_0047052")</f>
        <v>p.persica_gdr_reftransV1_0047052</v>
      </c>
      <c r="B3826" s="2">
        <v>2703</v>
      </c>
      <c r="C3826" s="4" t="str">
        <f>HYPERLINK("http://www.uniprot.org/uniprot/M5X2S3","M5X2S3")</f>
        <v>M5X2S3</v>
      </c>
      <c r="D3826" s="2" t="s">
        <v>3597</v>
      </c>
      <c r="E3826" s="3">
        <v>0</v>
      </c>
      <c r="F3826" s="2">
        <v>2736</v>
      </c>
      <c r="G3826" s="2">
        <v>100</v>
      </c>
      <c r="H3826" s="2">
        <v>543</v>
      </c>
      <c r="I3826" s="2">
        <v>551</v>
      </c>
      <c r="J3826" s="2">
        <v>2179</v>
      </c>
      <c r="K3826" s="2">
        <v>78</v>
      </c>
      <c r="L3826" s="2">
        <v>620</v>
      </c>
    </row>
    <row r="3827" spans="1:12" x14ac:dyDescent="0.25">
      <c r="A3827" s="4" t="str">
        <f>HYPERLINK("http://www.rosaceae.org/Prunus/Prunus_persica/p.persica_gdr_reftransV1_0047402","p.persica_gdr_reftransV1_0047402")</f>
        <v>p.persica_gdr_reftransV1_0047402</v>
      </c>
      <c r="B3827" s="2">
        <v>881</v>
      </c>
      <c r="C3827" s="4" t="str">
        <f>HYPERLINK("http://www.uniprot.org/uniprot/M5XGG4","M5XGG4")</f>
        <v>M5XGG4</v>
      </c>
      <c r="D3827" s="2" t="s">
        <v>3598</v>
      </c>
      <c r="E3827" s="3">
        <v>2.97E-180</v>
      </c>
      <c r="F3827" s="2">
        <v>1318</v>
      </c>
      <c r="G3827" s="2">
        <v>100</v>
      </c>
      <c r="H3827" s="2">
        <v>250</v>
      </c>
      <c r="I3827" s="2">
        <v>131</v>
      </c>
      <c r="J3827" s="2">
        <v>880</v>
      </c>
      <c r="K3827" s="2">
        <v>62</v>
      </c>
      <c r="L3827" s="2">
        <v>311</v>
      </c>
    </row>
    <row r="3828" spans="1:12" x14ac:dyDescent="0.25">
      <c r="A3828" s="4" t="str">
        <f>HYPERLINK("http://www.rosaceae.org/Prunus/Prunus_persica/p.persica_gdr_reftransV1_0047752","p.persica_gdr_reftransV1_0047752")</f>
        <v>p.persica_gdr_reftransV1_0047752</v>
      </c>
      <c r="B3828" s="2">
        <v>1111</v>
      </c>
      <c r="C3828" s="4" t="str">
        <f>HYPERLINK("http://www.uniprot.org/uniprot/M5W1Y3","M5W1Y3")</f>
        <v>M5W1Y3</v>
      </c>
      <c r="D3828" s="2" t="s">
        <v>3599</v>
      </c>
      <c r="E3828" s="3">
        <v>3.5200000000000002E-47</v>
      </c>
      <c r="F3828" s="2">
        <v>422</v>
      </c>
      <c r="G3828" s="2">
        <v>100</v>
      </c>
      <c r="H3828" s="2">
        <v>96</v>
      </c>
      <c r="I3828" s="2">
        <v>1</v>
      </c>
      <c r="J3828" s="2">
        <v>288</v>
      </c>
      <c r="K3828" s="2">
        <v>4</v>
      </c>
      <c r="L3828" s="2">
        <v>99</v>
      </c>
    </row>
    <row r="3829" spans="1:12" x14ac:dyDescent="0.25">
      <c r="A3829" s="4" t="str">
        <f>HYPERLINK("http://www.rosaceae.org/Prunus/Prunus_persica/p.persica_gdr_reftransV1_0048102","p.persica_gdr_reftransV1_0048102")</f>
        <v>p.persica_gdr_reftransV1_0048102</v>
      </c>
      <c r="B3829" s="2">
        <v>2452</v>
      </c>
      <c r="C3829" s="4" t="str">
        <f>HYPERLINK("http://www.uniprot.org/uniprot/M5VXY9","M5VXY9")</f>
        <v>M5VXY9</v>
      </c>
      <c r="D3829" s="2" t="s">
        <v>3600</v>
      </c>
      <c r="E3829" s="3">
        <v>0</v>
      </c>
      <c r="F3829" s="2">
        <v>2283</v>
      </c>
      <c r="G3829" s="2">
        <v>100</v>
      </c>
      <c r="H3829" s="2">
        <v>433</v>
      </c>
      <c r="I3829" s="2">
        <v>211</v>
      </c>
      <c r="J3829" s="2">
        <v>1509</v>
      </c>
      <c r="K3829" s="2">
        <v>39</v>
      </c>
      <c r="L3829" s="2">
        <v>471</v>
      </c>
    </row>
    <row r="3830" spans="1:12" x14ac:dyDescent="0.25">
      <c r="A3830" s="4" t="str">
        <f>HYPERLINK("http://www.rosaceae.org/Prunus/Prunus_persica/p.persica_gdr_reftransV1_0048452","p.persica_gdr_reftransV1_0048452")</f>
        <v>p.persica_gdr_reftransV1_0048452</v>
      </c>
      <c r="B3830" s="2">
        <v>1667</v>
      </c>
      <c r="C3830" s="4" t="str">
        <f>HYPERLINK("http://www.uniprot.org/uniprot/M5XW04","M5XW04")</f>
        <v>M5XW04</v>
      </c>
      <c r="D3830" s="2" t="s">
        <v>789</v>
      </c>
      <c r="E3830" s="3">
        <v>0</v>
      </c>
      <c r="F3830" s="2">
        <v>947</v>
      </c>
      <c r="G3830" s="2">
        <v>99</v>
      </c>
      <c r="H3830" s="2">
        <v>183</v>
      </c>
      <c r="I3830" s="2">
        <v>140</v>
      </c>
      <c r="J3830" s="2">
        <v>688</v>
      </c>
      <c r="K3830" s="2">
        <v>18</v>
      </c>
      <c r="L3830" s="2">
        <v>200</v>
      </c>
    </row>
    <row r="3831" spans="1:12" x14ac:dyDescent="0.25">
      <c r="A3831" s="4" t="str">
        <f>HYPERLINK("http://www.rosaceae.org/Prunus/Prunus_persica/p.persica_gdr_reftransV1_0048802","p.persica_gdr_reftransV1_0048802")</f>
        <v>p.persica_gdr_reftransV1_0048802</v>
      </c>
      <c r="B3831" s="2">
        <v>1100</v>
      </c>
      <c r="C3831" s="4" t="str">
        <f>HYPERLINK("http://www.uniprot.org/uniprot/M5X1I0","M5X1I0")</f>
        <v>M5X1I0</v>
      </c>
      <c r="D3831" s="2" t="s">
        <v>3601</v>
      </c>
      <c r="E3831" s="3">
        <v>0</v>
      </c>
      <c r="F3831" s="2">
        <v>1532</v>
      </c>
      <c r="G3831" s="2">
        <v>98</v>
      </c>
      <c r="H3831" s="2">
        <v>295</v>
      </c>
      <c r="I3831" s="2">
        <v>170</v>
      </c>
      <c r="J3831" s="2">
        <v>1054</v>
      </c>
      <c r="K3831" s="2">
        <v>1</v>
      </c>
      <c r="L3831" s="2">
        <v>295</v>
      </c>
    </row>
    <row r="3832" spans="1:12" x14ac:dyDescent="0.25">
      <c r="A3832" s="4" t="str">
        <f>HYPERLINK("http://www.rosaceae.org/Prunus/Prunus_persica/p.persica_gdr_reftransV1_0049152","p.persica_gdr_reftransV1_0049152")</f>
        <v>p.persica_gdr_reftransV1_0049152</v>
      </c>
      <c r="B3832" s="2">
        <v>489</v>
      </c>
      <c r="C3832" s="4" t="str">
        <f>HYPERLINK("http://www.uniprot.org/uniprot/W9S754","W9S754")</f>
        <v>W9S754</v>
      </c>
      <c r="D3832" s="2" t="s">
        <v>3602</v>
      </c>
      <c r="E3832" s="3">
        <v>1.9499999999999999E-40</v>
      </c>
      <c r="F3832" s="2">
        <v>360</v>
      </c>
      <c r="G3832" s="2">
        <v>59</v>
      </c>
      <c r="H3832" s="2">
        <v>118</v>
      </c>
      <c r="I3832" s="2">
        <v>10</v>
      </c>
      <c r="J3832" s="2">
        <v>363</v>
      </c>
      <c r="K3832" s="2">
        <v>1</v>
      </c>
      <c r="L3832" s="2">
        <v>116</v>
      </c>
    </row>
    <row r="3833" spans="1:12" x14ac:dyDescent="0.25">
      <c r="A3833" s="4" t="str">
        <f>HYPERLINK("http://www.rosaceae.org/Prunus/Prunus_persica/p.persica_gdr_reftransV1_0000153","p.persica_gdr_reftransV1_0000153")</f>
        <v>p.persica_gdr_reftransV1_0000153</v>
      </c>
      <c r="B3833" s="2">
        <v>411</v>
      </c>
      <c r="C3833" s="4" t="str">
        <f>HYPERLINK("http://www.uniprot.org/uniprot/M5X5L6","M5X5L6")</f>
        <v>M5X5L6</v>
      </c>
      <c r="D3833" s="2" t="s">
        <v>3603</v>
      </c>
      <c r="E3833" s="3">
        <v>7.4599999999999996E-84</v>
      </c>
      <c r="F3833" s="2">
        <v>645</v>
      </c>
      <c r="G3833" s="2">
        <v>100</v>
      </c>
      <c r="H3833" s="2">
        <v>119</v>
      </c>
      <c r="I3833" s="2">
        <v>7</v>
      </c>
      <c r="J3833" s="2">
        <v>363</v>
      </c>
      <c r="K3833" s="2">
        <v>4</v>
      </c>
      <c r="L3833" s="2">
        <v>122</v>
      </c>
    </row>
    <row r="3834" spans="1:12" x14ac:dyDescent="0.25">
      <c r="A3834" s="4" t="str">
        <f>HYPERLINK("http://www.rosaceae.org/Prunus/Prunus_persica/p.persica_gdr_reftransV1_0000503","p.persica_gdr_reftransV1_0000503")</f>
        <v>p.persica_gdr_reftransV1_0000503</v>
      </c>
      <c r="B3834" s="2">
        <v>1781</v>
      </c>
      <c r="C3834" s="4" t="str">
        <f>HYPERLINK("http://www.uniprot.org/uniprot/M5X6I5","M5X6I5")</f>
        <v>M5X6I5</v>
      </c>
      <c r="D3834" s="2" t="s">
        <v>3604</v>
      </c>
      <c r="E3834" s="3">
        <v>5.6699999999999998E-171</v>
      </c>
      <c r="F3834" s="2">
        <v>1289</v>
      </c>
      <c r="G3834" s="2">
        <v>100</v>
      </c>
      <c r="H3834" s="2">
        <v>240</v>
      </c>
      <c r="I3834" s="2">
        <v>1</v>
      </c>
      <c r="J3834" s="2">
        <v>720</v>
      </c>
      <c r="K3834" s="2">
        <v>90</v>
      </c>
      <c r="L3834" s="2">
        <v>329</v>
      </c>
    </row>
    <row r="3835" spans="1:12" x14ac:dyDescent="0.25">
      <c r="A3835" s="4" t="str">
        <f>HYPERLINK("http://www.rosaceae.org/Prunus/Prunus_persica/p.persica_gdr_reftransV1_0000853","p.persica_gdr_reftransV1_0000853")</f>
        <v>p.persica_gdr_reftransV1_0000853</v>
      </c>
      <c r="B3835" s="2">
        <v>2308</v>
      </c>
      <c r="C3835" s="4" t="str">
        <f>HYPERLINK("http://www.uniprot.org/uniprot/M5XAW1","M5XAW1")</f>
        <v>M5XAW1</v>
      </c>
      <c r="D3835" s="2" t="s">
        <v>3605</v>
      </c>
      <c r="E3835" s="3">
        <v>0</v>
      </c>
      <c r="F3835" s="2">
        <v>3475</v>
      </c>
      <c r="G3835" s="2">
        <v>100</v>
      </c>
      <c r="H3835" s="2">
        <v>679</v>
      </c>
      <c r="I3835" s="2">
        <v>2</v>
      </c>
      <c r="J3835" s="2">
        <v>2038</v>
      </c>
      <c r="K3835" s="2">
        <v>1</v>
      </c>
      <c r="L3835" s="2">
        <v>679</v>
      </c>
    </row>
    <row r="3836" spans="1:12" x14ac:dyDescent="0.25">
      <c r="A3836" s="4" t="str">
        <f>HYPERLINK("http://www.rosaceae.org/Prunus/Prunus_persica/p.persica_gdr_reftransV1_0001553","p.persica_gdr_reftransV1_0001553")</f>
        <v>p.persica_gdr_reftransV1_0001553</v>
      </c>
      <c r="B3836" s="2">
        <v>2161</v>
      </c>
      <c r="C3836" s="4" t="str">
        <f>HYPERLINK("http://www.uniprot.org/uniprot/M5W7V6","M5W7V6")</f>
        <v>M5W7V6</v>
      </c>
      <c r="D3836" s="2" t="s">
        <v>3606</v>
      </c>
      <c r="E3836" s="3">
        <v>0</v>
      </c>
      <c r="F3836" s="2">
        <v>2467</v>
      </c>
      <c r="G3836" s="2">
        <v>100</v>
      </c>
      <c r="H3836" s="2">
        <v>482</v>
      </c>
      <c r="I3836" s="2">
        <v>151</v>
      </c>
      <c r="J3836" s="2">
        <v>1596</v>
      </c>
      <c r="K3836" s="2">
        <v>1</v>
      </c>
      <c r="L3836" s="2">
        <v>482</v>
      </c>
    </row>
    <row r="3837" spans="1:12" x14ac:dyDescent="0.25">
      <c r="A3837" s="4" t="str">
        <f>HYPERLINK("http://www.rosaceae.org/Prunus/Prunus_persica/p.persica_gdr_reftransV1_0001903","p.persica_gdr_reftransV1_0001903")</f>
        <v>p.persica_gdr_reftransV1_0001903</v>
      </c>
      <c r="B3837" s="2">
        <v>2273</v>
      </c>
      <c r="C3837" s="4" t="str">
        <f>HYPERLINK("http://www.uniprot.org/uniprot/M5X5R2","M5X5R2")</f>
        <v>M5X5R2</v>
      </c>
      <c r="D3837" s="2" t="s">
        <v>1956</v>
      </c>
      <c r="E3837" s="3">
        <v>0</v>
      </c>
      <c r="F3837" s="2">
        <v>3192</v>
      </c>
      <c r="G3837" s="2">
        <v>100</v>
      </c>
      <c r="H3837" s="2">
        <v>607</v>
      </c>
      <c r="I3837" s="2">
        <v>354</v>
      </c>
      <c r="J3837" s="2">
        <v>2174</v>
      </c>
      <c r="K3837" s="2">
        <v>1</v>
      </c>
      <c r="L3837" s="2">
        <v>607</v>
      </c>
    </row>
    <row r="3838" spans="1:12" x14ac:dyDescent="0.25">
      <c r="A3838" s="4" t="str">
        <f>HYPERLINK("http://www.rosaceae.org/Prunus/Prunus_persica/p.persica_gdr_reftransV1_0002953","p.persica_gdr_reftransV1_0002953")</f>
        <v>p.persica_gdr_reftransV1_0002953</v>
      </c>
      <c r="B3838" s="2">
        <v>1709</v>
      </c>
      <c r="C3838" s="4" t="str">
        <f>HYPERLINK("http://www.uniprot.org/uniprot/C7Z088","C7Z088")</f>
        <v>C7Z088</v>
      </c>
      <c r="D3838" s="2" t="s">
        <v>3607</v>
      </c>
      <c r="E3838" s="3">
        <v>0</v>
      </c>
      <c r="F3838" s="2">
        <v>1973</v>
      </c>
      <c r="G3838" s="2">
        <v>83</v>
      </c>
      <c r="H3838" s="2">
        <v>529</v>
      </c>
      <c r="I3838" s="2">
        <v>1</v>
      </c>
      <c r="J3838" s="2">
        <v>1587</v>
      </c>
      <c r="K3838" s="2">
        <v>3</v>
      </c>
      <c r="L3838" s="2">
        <v>530</v>
      </c>
    </row>
    <row r="3839" spans="1:12" x14ac:dyDescent="0.25">
      <c r="A3839" s="4" t="str">
        <f>HYPERLINK("http://www.rosaceae.org/Prunus/Prunus_persica/p.persica_gdr_reftransV1_0003303","p.persica_gdr_reftransV1_0003303")</f>
        <v>p.persica_gdr_reftransV1_0003303</v>
      </c>
      <c r="B3839" s="2">
        <v>3379</v>
      </c>
      <c r="C3839" s="4" t="str">
        <f>HYPERLINK("http://www.uniprot.org/uniprot/M5WQL7","M5WQL7")</f>
        <v>M5WQL7</v>
      </c>
      <c r="D3839" s="2" t="s">
        <v>3608</v>
      </c>
      <c r="E3839" s="3">
        <v>0</v>
      </c>
      <c r="F3839" s="2">
        <v>2572</v>
      </c>
      <c r="G3839" s="2">
        <v>98</v>
      </c>
      <c r="H3839" s="2">
        <v>519</v>
      </c>
      <c r="I3839" s="2">
        <v>1574</v>
      </c>
      <c r="J3839" s="2">
        <v>3130</v>
      </c>
      <c r="K3839" s="2">
        <v>395</v>
      </c>
      <c r="L3839" s="2">
        <v>913</v>
      </c>
    </row>
    <row r="3840" spans="1:12" x14ac:dyDescent="0.25">
      <c r="A3840" s="4" t="str">
        <f>HYPERLINK("http://www.rosaceae.org/Prunus/Prunus_persica/p.persica_gdr_reftransV1_0004003","p.persica_gdr_reftransV1_0004003")</f>
        <v>p.persica_gdr_reftransV1_0004003</v>
      </c>
      <c r="B3840" s="2">
        <v>2447</v>
      </c>
      <c r="C3840" s="4" t="str">
        <f>HYPERLINK("http://www.uniprot.org/uniprot/M5XR15","M5XR15")</f>
        <v>M5XR15</v>
      </c>
      <c r="D3840" s="2" t="s">
        <v>3609</v>
      </c>
      <c r="E3840" s="3">
        <v>0</v>
      </c>
      <c r="F3840" s="2">
        <v>1870</v>
      </c>
      <c r="G3840" s="2">
        <v>96</v>
      </c>
      <c r="H3840" s="2">
        <v>388</v>
      </c>
      <c r="I3840" s="2">
        <v>772</v>
      </c>
      <c r="J3840" s="2">
        <v>1935</v>
      </c>
      <c r="K3840" s="2">
        <v>21</v>
      </c>
      <c r="L3840" s="2">
        <v>405</v>
      </c>
    </row>
    <row r="3841" spans="1:12" x14ac:dyDescent="0.25">
      <c r="A3841" s="4" t="str">
        <f>HYPERLINK("http://www.rosaceae.org/Prunus/Prunus_persica/p.persica_gdr_reftransV1_0005053","p.persica_gdr_reftransV1_0005053")</f>
        <v>p.persica_gdr_reftransV1_0005053</v>
      </c>
      <c r="B3841" s="2">
        <v>579</v>
      </c>
      <c r="C3841" s="4" t="str">
        <f>HYPERLINK("http://www.uniprot.org/uniprot/M5W8Q4","M5W8Q4")</f>
        <v>M5W8Q4</v>
      </c>
      <c r="D3841" s="2" t="s">
        <v>3610</v>
      </c>
      <c r="E3841" s="3">
        <v>3.1299999999999997E-79</v>
      </c>
      <c r="F3841" s="2">
        <v>621</v>
      </c>
      <c r="G3841" s="2">
        <v>100</v>
      </c>
      <c r="H3841" s="2">
        <v>118</v>
      </c>
      <c r="I3841" s="2">
        <v>179</v>
      </c>
      <c r="J3841" s="2">
        <v>532</v>
      </c>
      <c r="K3841" s="2">
        <v>1</v>
      </c>
      <c r="L3841" s="2">
        <v>118</v>
      </c>
    </row>
    <row r="3842" spans="1:12" x14ac:dyDescent="0.25">
      <c r="A3842" s="4" t="str">
        <f>HYPERLINK("http://www.rosaceae.org/Prunus/Prunus_persica/p.persica_gdr_reftransV1_0006803","p.persica_gdr_reftransV1_0006803")</f>
        <v>p.persica_gdr_reftransV1_0006803</v>
      </c>
      <c r="B3842" s="2">
        <v>644</v>
      </c>
      <c r="C3842" s="4" t="str">
        <f>HYPERLINK("http://www.uniprot.org/uniprot/M4F6U4","M4F6U4")</f>
        <v>M4F6U4</v>
      </c>
      <c r="D3842" s="2" t="s">
        <v>3611</v>
      </c>
      <c r="E3842" s="3">
        <v>1.55E-28</v>
      </c>
      <c r="F3842" s="2">
        <v>295</v>
      </c>
      <c r="G3842" s="2">
        <v>49</v>
      </c>
      <c r="H3842" s="2">
        <v>117</v>
      </c>
      <c r="I3842" s="2">
        <v>72</v>
      </c>
      <c r="J3842" s="2">
        <v>416</v>
      </c>
      <c r="K3842" s="2">
        <v>48</v>
      </c>
      <c r="L3842" s="2">
        <v>164</v>
      </c>
    </row>
    <row r="3843" spans="1:12" x14ac:dyDescent="0.25">
      <c r="A3843" s="4" t="str">
        <f>HYPERLINK("http://www.rosaceae.org/Prunus/Prunus_persica/p.persica_gdr_reftransV1_0007503","p.persica_gdr_reftransV1_0007503")</f>
        <v>p.persica_gdr_reftransV1_0007503</v>
      </c>
      <c r="B3843" s="2">
        <v>733</v>
      </c>
      <c r="C3843" s="4" t="str">
        <f>HYPERLINK("http://www.uniprot.org/uniprot/M5XT28","M5XT28")</f>
        <v>M5XT28</v>
      </c>
      <c r="D3843" s="2" t="s">
        <v>3612</v>
      </c>
      <c r="E3843" s="3">
        <v>3.7999999999999999E-50</v>
      </c>
      <c r="F3843" s="2">
        <v>439</v>
      </c>
      <c r="G3843" s="2">
        <v>100</v>
      </c>
      <c r="H3843" s="2">
        <v>168</v>
      </c>
      <c r="I3843" s="2">
        <v>119</v>
      </c>
      <c r="J3843" s="2">
        <v>622</v>
      </c>
      <c r="K3843" s="2">
        <v>17</v>
      </c>
      <c r="L3843" s="2">
        <v>184</v>
      </c>
    </row>
    <row r="3844" spans="1:12" x14ac:dyDescent="0.25">
      <c r="A3844" s="4" t="str">
        <f>HYPERLINK("http://www.rosaceae.org/Prunus/Prunus_persica/p.persica_gdr_reftransV1_0007853","p.persica_gdr_reftransV1_0007853")</f>
        <v>p.persica_gdr_reftransV1_0007853</v>
      </c>
      <c r="B3844" s="2">
        <v>1503</v>
      </c>
      <c r="C3844" s="4" t="str">
        <f>HYPERLINK("http://www.uniprot.org/uniprot/M5WKQ9","M5WKQ9")</f>
        <v>M5WKQ9</v>
      </c>
      <c r="D3844" s="2" t="s">
        <v>3613</v>
      </c>
      <c r="E3844" s="3">
        <v>2.4600000000000001E-155</v>
      </c>
      <c r="F3844" s="2">
        <v>1167</v>
      </c>
      <c r="G3844" s="2">
        <v>100</v>
      </c>
      <c r="H3844" s="2">
        <v>237</v>
      </c>
      <c r="I3844" s="2">
        <v>706</v>
      </c>
      <c r="J3844" s="2">
        <v>1416</v>
      </c>
      <c r="K3844" s="2">
        <v>1</v>
      </c>
      <c r="L3844" s="2">
        <v>237</v>
      </c>
    </row>
    <row r="3845" spans="1:12" x14ac:dyDescent="0.25">
      <c r="A3845" s="4" t="str">
        <f>HYPERLINK("http://www.rosaceae.org/Prunus/Prunus_persica/p.persica_gdr_reftransV1_0008203","p.persica_gdr_reftransV1_0008203")</f>
        <v>p.persica_gdr_reftransV1_0008203</v>
      </c>
      <c r="B3845" s="2">
        <v>1486</v>
      </c>
      <c r="C3845" s="4" t="str">
        <f>HYPERLINK("http://www.uniprot.org/uniprot/M5XPU6","M5XPU6")</f>
        <v>M5XPU6</v>
      </c>
      <c r="D3845" s="2" t="s">
        <v>3614</v>
      </c>
      <c r="E3845" s="3">
        <v>3.3800000000000001E-67</v>
      </c>
      <c r="F3845" s="2">
        <v>583</v>
      </c>
      <c r="G3845" s="2">
        <v>100</v>
      </c>
      <c r="H3845" s="2">
        <v>133</v>
      </c>
      <c r="I3845" s="2">
        <v>575</v>
      </c>
      <c r="J3845" s="2">
        <v>973</v>
      </c>
      <c r="K3845" s="2">
        <v>147</v>
      </c>
      <c r="L3845" s="2">
        <v>279</v>
      </c>
    </row>
    <row r="3846" spans="1:12" x14ac:dyDescent="0.25">
      <c r="A3846" s="4" t="str">
        <f>HYPERLINK("http://www.rosaceae.org/Prunus/Prunus_persica/p.persica_gdr_reftransV1_0008553","p.persica_gdr_reftransV1_0008553")</f>
        <v>p.persica_gdr_reftransV1_0008553</v>
      </c>
      <c r="B3846" s="2">
        <v>2257</v>
      </c>
      <c r="C3846" s="4" t="str">
        <f>HYPERLINK("http://www.uniprot.org/uniprot/M5W6W1","M5W6W1")</f>
        <v>M5W6W1</v>
      </c>
      <c r="D3846" s="2" t="s">
        <v>3615</v>
      </c>
      <c r="E3846" s="3">
        <v>0</v>
      </c>
      <c r="F3846" s="2">
        <v>3466</v>
      </c>
      <c r="G3846" s="2">
        <v>100</v>
      </c>
      <c r="H3846" s="2">
        <v>734</v>
      </c>
      <c r="I3846" s="2">
        <v>56</v>
      </c>
      <c r="J3846" s="2">
        <v>2257</v>
      </c>
      <c r="K3846" s="2">
        <v>139</v>
      </c>
      <c r="L3846" s="2">
        <v>872</v>
      </c>
    </row>
    <row r="3847" spans="1:12" x14ac:dyDescent="0.25">
      <c r="A3847" s="4" t="str">
        <f>HYPERLINK("http://www.rosaceae.org/Prunus/Prunus_persica/p.persica_gdr_reftransV1_0008903","p.persica_gdr_reftransV1_0008903")</f>
        <v>p.persica_gdr_reftransV1_0008903</v>
      </c>
      <c r="B3847" s="2">
        <v>907</v>
      </c>
      <c r="C3847" s="4" t="str">
        <f>HYPERLINK("http://www.uniprot.org/uniprot/M5VKS9","M5VKS9")</f>
        <v>M5VKS9</v>
      </c>
      <c r="D3847" s="2" t="s">
        <v>3616</v>
      </c>
      <c r="E3847" s="3">
        <v>1.4600000000000001E-88</v>
      </c>
      <c r="F3847" s="2">
        <v>696</v>
      </c>
      <c r="G3847" s="2">
        <v>100</v>
      </c>
      <c r="H3847" s="2">
        <v>147</v>
      </c>
      <c r="I3847" s="2">
        <v>162</v>
      </c>
      <c r="J3847" s="2">
        <v>602</v>
      </c>
      <c r="K3847" s="2">
        <v>1</v>
      </c>
      <c r="L3847" s="2">
        <v>147</v>
      </c>
    </row>
    <row r="3848" spans="1:12" x14ac:dyDescent="0.25">
      <c r="A3848" s="4" t="str">
        <f>HYPERLINK("http://www.rosaceae.org/Prunus/Prunus_persica/p.persica_gdr_reftransV1_0009253","p.persica_gdr_reftransV1_0009253")</f>
        <v>p.persica_gdr_reftransV1_0009253</v>
      </c>
      <c r="B3848" s="2">
        <v>1125</v>
      </c>
      <c r="C3848" s="4" t="str">
        <f>HYPERLINK("http://www.uniprot.org/uniprot/M5VGR9","M5VGR9")</f>
        <v>M5VGR9</v>
      </c>
      <c r="D3848" s="2" t="s">
        <v>3617</v>
      </c>
      <c r="E3848" s="3">
        <v>0</v>
      </c>
      <c r="F3848" s="2">
        <v>1353</v>
      </c>
      <c r="G3848" s="2">
        <v>99</v>
      </c>
      <c r="H3848" s="2">
        <v>255</v>
      </c>
      <c r="I3848" s="2">
        <v>181</v>
      </c>
      <c r="J3848" s="2">
        <v>945</v>
      </c>
      <c r="K3848" s="2">
        <v>1</v>
      </c>
      <c r="L3848" s="2">
        <v>255</v>
      </c>
    </row>
    <row r="3849" spans="1:12" x14ac:dyDescent="0.25">
      <c r="A3849" s="4" t="str">
        <f>HYPERLINK("http://www.rosaceae.org/Prunus/Prunus_persica/p.persica_gdr_reftransV1_0009953","p.persica_gdr_reftransV1_0009953")</f>
        <v>p.persica_gdr_reftransV1_0009953</v>
      </c>
      <c r="B3849" s="2">
        <v>371</v>
      </c>
      <c r="C3849" s="4" t="str">
        <f>HYPERLINK("http://www.uniprot.org/uniprot/M5X4S1","M5X4S1")</f>
        <v>M5X4S1</v>
      </c>
      <c r="D3849" s="2" t="s">
        <v>3618</v>
      </c>
      <c r="E3849" s="3">
        <v>7.4000000000000006E-30</v>
      </c>
      <c r="F3849" s="2">
        <v>302</v>
      </c>
      <c r="G3849" s="2">
        <v>100</v>
      </c>
      <c r="H3849" s="2">
        <v>112</v>
      </c>
      <c r="I3849" s="2">
        <v>1</v>
      </c>
      <c r="J3849" s="2">
        <v>336</v>
      </c>
      <c r="K3849" s="2">
        <v>365</v>
      </c>
      <c r="L3849" s="2">
        <v>476</v>
      </c>
    </row>
    <row r="3850" spans="1:12" x14ac:dyDescent="0.25">
      <c r="A3850" s="4" t="str">
        <f>HYPERLINK("http://www.rosaceae.org/Prunus/Prunus_persica/p.persica_gdr_reftransV1_0011703","p.persica_gdr_reftransV1_0011703")</f>
        <v>p.persica_gdr_reftransV1_0011703</v>
      </c>
      <c r="B3850" s="2">
        <v>1089</v>
      </c>
      <c r="C3850" s="4" t="str">
        <f>HYPERLINK("http://www.uniprot.org/uniprot/M5XX97","M5XX97")</f>
        <v>M5XX97</v>
      </c>
      <c r="D3850" s="2" t="s">
        <v>3619</v>
      </c>
      <c r="E3850" s="3">
        <v>2.35E-90</v>
      </c>
      <c r="F3850" s="2">
        <v>731</v>
      </c>
      <c r="G3850" s="2">
        <v>88</v>
      </c>
      <c r="H3850" s="2">
        <v>273</v>
      </c>
      <c r="I3850" s="2">
        <v>271</v>
      </c>
      <c r="J3850" s="2">
        <v>1089</v>
      </c>
      <c r="K3850" s="2">
        <v>82</v>
      </c>
      <c r="L3850" s="2">
        <v>327</v>
      </c>
    </row>
    <row r="3851" spans="1:12" x14ac:dyDescent="0.25">
      <c r="A3851" s="4" t="str">
        <f>HYPERLINK("http://www.rosaceae.org/Prunus/Prunus_persica/p.persica_gdr_reftransV1_0012753","p.persica_gdr_reftransV1_0012753")</f>
        <v>p.persica_gdr_reftransV1_0012753</v>
      </c>
      <c r="B3851" s="2">
        <v>1651</v>
      </c>
      <c r="C3851" s="4" t="str">
        <f>HYPERLINK("http://www.uniprot.org/uniprot/M5VJ32","M5VJ32")</f>
        <v>M5VJ32</v>
      </c>
      <c r="D3851" s="2" t="s">
        <v>3620</v>
      </c>
      <c r="E3851" s="3">
        <v>0</v>
      </c>
      <c r="F3851" s="2">
        <v>1967</v>
      </c>
      <c r="G3851" s="2">
        <v>100</v>
      </c>
      <c r="H3851" s="2">
        <v>388</v>
      </c>
      <c r="I3851" s="2">
        <v>294</v>
      </c>
      <c r="J3851" s="2">
        <v>1457</v>
      </c>
      <c r="K3851" s="2">
        <v>16</v>
      </c>
      <c r="L3851" s="2">
        <v>403</v>
      </c>
    </row>
    <row r="3852" spans="1:12" x14ac:dyDescent="0.25">
      <c r="A3852" s="4" t="str">
        <f>HYPERLINK("http://www.rosaceae.org/Prunus/Prunus_persica/p.persica_gdr_reftransV1_0014153","p.persica_gdr_reftransV1_0014153")</f>
        <v>p.persica_gdr_reftransV1_0014153</v>
      </c>
      <c r="B3852" s="2">
        <v>2033</v>
      </c>
      <c r="C3852" s="4" t="str">
        <f>HYPERLINK("http://www.uniprot.org/uniprot/M5VQ43","M5VQ43")</f>
        <v>M5VQ43</v>
      </c>
      <c r="D3852" s="2" t="s">
        <v>3621</v>
      </c>
      <c r="E3852" s="3">
        <v>0</v>
      </c>
      <c r="F3852" s="2">
        <v>1773</v>
      </c>
      <c r="G3852" s="2">
        <v>94</v>
      </c>
      <c r="H3852" s="2">
        <v>400</v>
      </c>
      <c r="I3852" s="2">
        <v>500</v>
      </c>
      <c r="J3852" s="2">
        <v>1699</v>
      </c>
      <c r="K3852" s="2">
        <v>28</v>
      </c>
      <c r="L3852" s="2">
        <v>402</v>
      </c>
    </row>
    <row r="3853" spans="1:12" x14ac:dyDescent="0.25">
      <c r="A3853" s="4" t="str">
        <f>HYPERLINK("http://www.rosaceae.org/Prunus/Prunus_persica/p.persica_gdr_reftransV1_0015553","p.persica_gdr_reftransV1_0015553")</f>
        <v>p.persica_gdr_reftransV1_0015553</v>
      </c>
      <c r="B3853" s="2">
        <v>1391</v>
      </c>
      <c r="C3853" s="4" t="str">
        <f>HYPERLINK("http://www.uniprot.org/uniprot/M5XDG2","M5XDG2")</f>
        <v>M5XDG2</v>
      </c>
      <c r="D3853" s="2" t="s">
        <v>3622</v>
      </c>
      <c r="E3853" s="3">
        <v>1.4000000000000001E-103</v>
      </c>
      <c r="F3853" s="2">
        <v>819</v>
      </c>
      <c r="G3853" s="2">
        <v>100</v>
      </c>
      <c r="H3853" s="2">
        <v>154</v>
      </c>
      <c r="I3853" s="2">
        <v>3</v>
      </c>
      <c r="J3853" s="2">
        <v>464</v>
      </c>
      <c r="K3853" s="2">
        <v>24</v>
      </c>
      <c r="L3853" s="2">
        <v>177</v>
      </c>
    </row>
    <row r="3854" spans="1:12" x14ac:dyDescent="0.25">
      <c r="A3854" s="4" t="str">
        <f>HYPERLINK("http://www.rosaceae.org/Prunus/Prunus_persica/p.persica_gdr_reftransV1_0015903","p.persica_gdr_reftransV1_0015903")</f>
        <v>p.persica_gdr_reftransV1_0015903</v>
      </c>
      <c r="B3854" s="2">
        <v>2363</v>
      </c>
      <c r="C3854" s="4" t="str">
        <f>HYPERLINK("http://www.uniprot.org/uniprot/M5VZK3","M5VZK3")</f>
        <v>M5VZK3</v>
      </c>
      <c r="D3854" s="2" t="s">
        <v>3623</v>
      </c>
      <c r="E3854" s="3">
        <v>5.1600000000000003E-141</v>
      </c>
      <c r="F3854" s="2">
        <v>1113</v>
      </c>
      <c r="G3854" s="2">
        <v>100</v>
      </c>
      <c r="H3854" s="2">
        <v>215</v>
      </c>
      <c r="I3854" s="2">
        <v>1190</v>
      </c>
      <c r="J3854" s="2">
        <v>1834</v>
      </c>
      <c r="K3854" s="2">
        <v>1</v>
      </c>
      <c r="L3854" s="2">
        <v>215</v>
      </c>
    </row>
    <row r="3855" spans="1:12" x14ac:dyDescent="0.25">
      <c r="A3855" s="4" t="str">
        <f>HYPERLINK("http://www.rosaceae.org/Prunus/Prunus_persica/p.persica_gdr_reftransV1_0016253","p.persica_gdr_reftransV1_0016253")</f>
        <v>p.persica_gdr_reftransV1_0016253</v>
      </c>
      <c r="B3855" s="2">
        <v>654</v>
      </c>
      <c r="C3855" s="4" t="str">
        <f>HYPERLINK("http://www.uniprot.org/uniprot/M5X584","M5X584")</f>
        <v>M5X584</v>
      </c>
      <c r="D3855" s="2" t="s">
        <v>2491</v>
      </c>
      <c r="E3855" s="3">
        <v>1.37E-156</v>
      </c>
      <c r="F3855" s="2">
        <v>1161</v>
      </c>
      <c r="G3855" s="2">
        <v>100</v>
      </c>
      <c r="H3855" s="2">
        <v>217</v>
      </c>
      <c r="I3855" s="2">
        <v>3</v>
      </c>
      <c r="J3855" s="2">
        <v>653</v>
      </c>
      <c r="K3855" s="2">
        <v>171</v>
      </c>
      <c r="L3855" s="2">
        <v>387</v>
      </c>
    </row>
    <row r="3856" spans="1:12" x14ac:dyDescent="0.25">
      <c r="A3856" s="4" t="str">
        <f>HYPERLINK("http://www.rosaceae.org/Prunus/Prunus_persica/p.persica_gdr_reftransV1_0016953","p.persica_gdr_reftransV1_0016953")</f>
        <v>p.persica_gdr_reftransV1_0016953</v>
      </c>
      <c r="B3856" s="2">
        <v>2421</v>
      </c>
      <c r="C3856" s="4" t="str">
        <f>HYPERLINK("http://www.uniprot.org/uniprot/M5W856","M5W856")</f>
        <v>M5W856</v>
      </c>
      <c r="D3856" s="2" t="s">
        <v>3624</v>
      </c>
      <c r="E3856" s="3">
        <v>0</v>
      </c>
      <c r="F3856" s="2">
        <v>3138</v>
      </c>
      <c r="G3856" s="2">
        <v>100</v>
      </c>
      <c r="H3856" s="2">
        <v>608</v>
      </c>
      <c r="I3856" s="2">
        <v>598</v>
      </c>
      <c r="J3856" s="2">
        <v>2421</v>
      </c>
      <c r="K3856" s="2">
        <v>1</v>
      </c>
      <c r="L3856" s="2">
        <v>608</v>
      </c>
    </row>
    <row r="3857" spans="1:12" x14ac:dyDescent="0.25">
      <c r="A3857" s="4" t="str">
        <f>HYPERLINK("http://www.rosaceae.org/Prunus/Prunus_persica/p.persica_gdr_reftransV1_0018003","p.persica_gdr_reftransV1_0018003")</f>
        <v>p.persica_gdr_reftransV1_0018003</v>
      </c>
      <c r="B3857" s="2">
        <v>3142</v>
      </c>
      <c r="C3857" s="4" t="str">
        <f>HYPERLINK("http://www.uniprot.org/uniprot/M5VST2","M5VST2")</f>
        <v>M5VST2</v>
      </c>
      <c r="D3857" s="2" t="s">
        <v>3625</v>
      </c>
      <c r="E3857" s="3">
        <v>0</v>
      </c>
      <c r="F3857" s="2">
        <v>4640</v>
      </c>
      <c r="G3857" s="2">
        <v>100</v>
      </c>
      <c r="H3857" s="2">
        <v>965</v>
      </c>
      <c r="I3857" s="2">
        <v>89</v>
      </c>
      <c r="J3857" s="2">
        <v>2983</v>
      </c>
      <c r="K3857" s="2">
        <v>1</v>
      </c>
      <c r="L3857" s="2">
        <v>965</v>
      </c>
    </row>
    <row r="3858" spans="1:12" x14ac:dyDescent="0.25">
      <c r="A3858" s="4" t="str">
        <f>HYPERLINK("http://www.rosaceae.org/Prunus/Prunus_persica/p.persica_gdr_reftransV1_0018703","p.persica_gdr_reftransV1_0018703")</f>
        <v>p.persica_gdr_reftransV1_0018703</v>
      </c>
      <c r="B3858" s="2">
        <v>2166</v>
      </c>
      <c r="C3858" s="4" t="str">
        <f>HYPERLINK("http://www.uniprot.org/uniprot/M5XZ21","M5XZ21")</f>
        <v>M5XZ21</v>
      </c>
      <c r="D3858" s="2" t="s">
        <v>3626</v>
      </c>
      <c r="E3858" s="3">
        <v>0</v>
      </c>
      <c r="F3858" s="2">
        <v>1833</v>
      </c>
      <c r="G3858" s="2">
        <v>100</v>
      </c>
      <c r="H3858" s="2">
        <v>374</v>
      </c>
      <c r="I3858" s="2">
        <v>265</v>
      </c>
      <c r="J3858" s="2">
        <v>1386</v>
      </c>
      <c r="K3858" s="2">
        <v>1</v>
      </c>
      <c r="L3858" s="2">
        <v>374</v>
      </c>
    </row>
    <row r="3859" spans="1:12" x14ac:dyDescent="0.25">
      <c r="A3859" s="4" t="str">
        <f>HYPERLINK("http://www.rosaceae.org/Prunus/Prunus_persica/p.persica_gdr_reftransV1_0021153","p.persica_gdr_reftransV1_0021153")</f>
        <v>p.persica_gdr_reftransV1_0021153</v>
      </c>
      <c r="B3859" s="2">
        <v>2100</v>
      </c>
      <c r="C3859" s="4" t="str">
        <f>HYPERLINK("http://www.uniprot.org/uniprot/W9QHS3","W9QHS3")</f>
        <v>W9QHS3</v>
      </c>
      <c r="D3859" s="2" t="s">
        <v>3627</v>
      </c>
      <c r="E3859" s="3">
        <v>0</v>
      </c>
      <c r="F3859" s="2">
        <v>2144</v>
      </c>
      <c r="G3859" s="2">
        <v>63</v>
      </c>
      <c r="H3859" s="2">
        <v>731</v>
      </c>
      <c r="I3859" s="2">
        <v>1</v>
      </c>
      <c r="J3859" s="2">
        <v>2100</v>
      </c>
      <c r="K3859" s="2">
        <v>101</v>
      </c>
      <c r="L3859" s="2">
        <v>799</v>
      </c>
    </row>
    <row r="3860" spans="1:12" x14ac:dyDescent="0.25">
      <c r="A3860" s="4" t="str">
        <f>HYPERLINK("http://www.rosaceae.org/Prunus/Prunus_persica/p.persica_gdr_reftransV1_0022203","p.persica_gdr_reftransV1_0022203")</f>
        <v>p.persica_gdr_reftransV1_0022203</v>
      </c>
      <c r="B3860" s="2">
        <v>4950</v>
      </c>
      <c r="C3860" s="4" t="str">
        <f>HYPERLINK("http://www.uniprot.org/uniprot/M5WFQ8","M5WFQ8")</f>
        <v>M5WFQ8</v>
      </c>
      <c r="D3860" s="2" t="s">
        <v>3628</v>
      </c>
      <c r="E3860" s="3">
        <v>2.6500000000000002E-113</v>
      </c>
      <c r="F3860" s="2">
        <v>1007</v>
      </c>
      <c r="G3860" s="2">
        <v>47</v>
      </c>
      <c r="H3860" s="2">
        <v>622</v>
      </c>
      <c r="I3860" s="2">
        <v>2984</v>
      </c>
      <c r="J3860" s="2">
        <v>4726</v>
      </c>
      <c r="K3860" s="2">
        <v>23</v>
      </c>
      <c r="L3860" s="2">
        <v>619</v>
      </c>
    </row>
    <row r="3861" spans="1:12" x14ac:dyDescent="0.25">
      <c r="A3861" s="4" t="str">
        <f>HYPERLINK("http://www.rosaceae.org/Prunus/Prunus_persica/p.persica_gdr_reftransV1_0022553","p.persica_gdr_reftransV1_0022553")</f>
        <v>p.persica_gdr_reftransV1_0022553</v>
      </c>
      <c r="B3861" s="2">
        <v>4085</v>
      </c>
      <c r="C3861" s="4" t="str">
        <f>HYPERLINK("http://www.uniprot.org/uniprot/M5XL83","M5XL83")</f>
        <v>M5XL83</v>
      </c>
      <c r="D3861" s="2" t="s">
        <v>3629</v>
      </c>
      <c r="E3861" s="3">
        <v>0</v>
      </c>
      <c r="F3861" s="2">
        <v>3299</v>
      </c>
      <c r="G3861" s="2">
        <v>98</v>
      </c>
      <c r="H3861" s="2">
        <v>718</v>
      </c>
      <c r="I3861" s="2">
        <v>1617</v>
      </c>
      <c r="J3861" s="2">
        <v>3770</v>
      </c>
      <c r="K3861" s="2">
        <v>1</v>
      </c>
      <c r="L3861" s="2">
        <v>701</v>
      </c>
    </row>
    <row r="3862" spans="1:12" x14ac:dyDescent="0.25">
      <c r="A3862" s="4" t="str">
        <f>HYPERLINK("http://www.rosaceae.org/Prunus/Prunus_persica/p.persica_gdr_reftransV1_0023253","p.persica_gdr_reftransV1_0023253")</f>
        <v>p.persica_gdr_reftransV1_0023253</v>
      </c>
      <c r="B3862" s="2">
        <v>1276</v>
      </c>
      <c r="C3862" s="4" t="str">
        <f>HYPERLINK("http://www.uniprot.org/uniprot/M5XCA7","M5XCA7")</f>
        <v>M5XCA7</v>
      </c>
      <c r="D3862" s="2" t="s">
        <v>3630</v>
      </c>
      <c r="E3862" s="3">
        <v>3.7299999999999998E-23</v>
      </c>
      <c r="F3862" s="2">
        <v>246</v>
      </c>
      <c r="G3862" s="2">
        <v>33</v>
      </c>
      <c r="H3862" s="2">
        <v>252</v>
      </c>
      <c r="I3862" s="2">
        <v>130</v>
      </c>
      <c r="J3862" s="2">
        <v>852</v>
      </c>
      <c r="K3862" s="2">
        <v>138</v>
      </c>
      <c r="L3862" s="2">
        <v>359</v>
      </c>
    </row>
    <row r="3863" spans="1:12" x14ac:dyDescent="0.25">
      <c r="A3863" s="4" t="str">
        <f>HYPERLINK("http://www.rosaceae.org/Prunus/Prunus_persica/p.persica_gdr_reftransV1_0025003","p.persica_gdr_reftransV1_0025003")</f>
        <v>p.persica_gdr_reftransV1_0025003</v>
      </c>
      <c r="B3863" s="2">
        <v>548</v>
      </c>
      <c r="C3863" s="4" t="str">
        <f>HYPERLINK("http://www.uniprot.org/uniprot/M5W894","M5W894")</f>
        <v>M5W894</v>
      </c>
      <c r="D3863" s="2" t="s">
        <v>3631</v>
      </c>
      <c r="E3863" s="3">
        <v>2.2699999999999999E-108</v>
      </c>
      <c r="F3863" s="2">
        <v>867</v>
      </c>
      <c r="G3863" s="2">
        <v>98</v>
      </c>
      <c r="H3863" s="2">
        <v>182</v>
      </c>
      <c r="I3863" s="2">
        <v>1</v>
      </c>
      <c r="J3863" s="2">
        <v>546</v>
      </c>
      <c r="K3863" s="2">
        <v>42</v>
      </c>
      <c r="L3863" s="2">
        <v>223</v>
      </c>
    </row>
    <row r="3864" spans="1:12" x14ac:dyDescent="0.25">
      <c r="A3864" s="4" t="str">
        <f>HYPERLINK("http://www.rosaceae.org/Prunus/Prunus_persica/p.persica_gdr_reftransV1_0025703","p.persica_gdr_reftransV1_0025703")</f>
        <v>p.persica_gdr_reftransV1_0025703</v>
      </c>
      <c r="B3864" s="2">
        <v>3407</v>
      </c>
      <c r="C3864" s="4" t="str">
        <f>HYPERLINK("http://www.uniprot.org/uniprot/M5XKA8","M5XKA8")</f>
        <v>M5XKA8</v>
      </c>
      <c r="D3864" s="2" t="s">
        <v>3632</v>
      </c>
      <c r="E3864" s="3">
        <v>0</v>
      </c>
      <c r="F3864" s="2">
        <v>4246</v>
      </c>
      <c r="G3864" s="2">
        <v>100</v>
      </c>
      <c r="H3864" s="2">
        <v>875</v>
      </c>
      <c r="I3864" s="2">
        <v>298</v>
      </c>
      <c r="J3864" s="2">
        <v>2922</v>
      </c>
      <c r="K3864" s="2">
        <v>1</v>
      </c>
      <c r="L3864" s="2">
        <v>875</v>
      </c>
    </row>
    <row r="3865" spans="1:12" x14ac:dyDescent="0.25">
      <c r="A3865" s="4" t="str">
        <f>HYPERLINK("http://www.rosaceae.org/Prunus/Prunus_persica/p.persica_gdr_reftransV1_0027803","p.persica_gdr_reftransV1_0027803")</f>
        <v>p.persica_gdr_reftransV1_0027803</v>
      </c>
      <c r="B3865" s="2">
        <v>1560</v>
      </c>
      <c r="C3865" s="4" t="str">
        <f>HYPERLINK("http://www.uniprot.org/uniprot/M5WRE3","M5WRE3")</f>
        <v>M5WRE3</v>
      </c>
      <c r="D3865" s="2" t="s">
        <v>3633</v>
      </c>
      <c r="E3865" s="3">
        <v>7.6599999999999996E-69</v>
      </c>
      <c r="F3865" s="2">
        <v>588</v>
      </c>
      <c r="G3865" s="2">
        <v>100</v>
      </c>
      <c r="H3865" s="2">
        <v>110</v>
      </c>
      <c r="I3865" s="2">
        <v>925</v>
      </c>
      <c r="J3865" s="2">
        <v>1254</v>
      </c>
      <c r="K3865" s="2">
        <v>83</v>
      </c>
      <c r="L3865" s="2">
        <v>192</v>
      </c>
    </row>
    <row r="3866" spans="1:12" x14ac:dyDescent="0.25">
      <c r="A3866" s="4" t="str">
        <f>HYPERLINK("http://www.rosaceae.org/Prunus/Prunus_persica/p.persica_gdr_reftransV1_0029203","p.persica_gdr_reftransV1_0029203")</f>
        <v>p.persica_gdr_reftransV1_0029203</v>
      </c>
      <c r="B3866" s="2">
        <v>2483</v>
      </c>
      <c r="C3866" s="4" t="str">
        <f>HYPERLINK("http://www.uniprot.org/uniprot/M5W9L2","M5W9L2")</f>
        <v>M5W9L2</v>
      </c>
      <c r="D3866" s="2" t="s">
        <v>3634</v>
      </c>
      <c r="E3866" s="3">
        <v>0</v>
      </c>
      <c r="F3866" s="2">
        <v>1430</v>
      </c>
      <c r="G3866" s="2">
        <v>98</v>
      </c>
      <c r="H3866" s="2">
        <v>271</v>
      </c>
      <c r="I3866" s="2">
        <v>923</v>
      </c>
      <c r="J3866" s="2">
        <v>1735</v>
      </c>
      <c r="K3866" s="2">
        <v>115</v>
      </c>
      <c r="L3866" s="2">
        <v>385</v>
      </c>
    </row>
    <row r="3867" spans="1:12" x14ac:dyDescent="0.25">
      <c r="A3867" s="4" t="str">
        <f>HYPERLINK("http://www.rosaceae.org/Prunus/Prunus_persica/p.persica_gdr_reftransV1_0029903","p.persica_gdr_reftransV1_0029903")</f>
        <v>p.persica_gdr_reftransV1_0029903</v>
      </c>
      <c r="B3867" s="2">
        <v>1812</v>
      </c>
      <c r="C3867" s="4" t="str">
        <f>HYPERLINK("http://www.uniprot.org/uniprot/M5W4N5","M5W4N5")</f>
        <v>M5W4N5</v>
      </c>
      <c r="D3867" s="2" t="s">
        <v>3635</v>
      </c>
      <c r="E3867" s="3">
        <v>0</v>
      </c>
      <c r="F3867" s="2">
        <v>2682</v>
      </c>
      <c r="G3867" s="2">
        <v>90</v>
      </c>
      <c r="H3867" s="2">
        <v>586</v>
      </c>
      <c r="I3867" s="2">
        <v>3</v>
      </c>
      <c r="J3867" s="2">
        <v>1625</v>
      </c>
      <c r="K3867" s="2">
        <v>1</v>
      </c>
      <c r="L3867" s="2">
        <v>573</v>
      </c>
    </row>
    <row r="3868" spans="1:12" x14ac:dyDescent="0.25">
      <c r="A3868" s="4" t="str">
        <f>HYPERLINK("http://www.rosaceae.org/Prunus/Prunus_persica/p.persica_gdr_reftransV1_0032003","p.persica_gdr_reftransV1_0032003")</f>
        <v>p.persica_gdr_reftransV1_0032003</v>
      </c>
      <c r="B3868" s="2">
        <v>3020</v>
      </c>
      <c r="C3868" s="4" t="str">
        <f>HYPERLINK("http://www.uniprot.org/uniprot/M5X544","M5X544")</f>
        <v>M5X544</v>
      </c>
      <c r="D3868" s="2" t="s">
        <v>3636</v>
      </c>
      <c r="E3868" s="3">
        <v>0</v>
      </c>
      <c r="F3868" s="2">
        <v>1914</v>
      </c>
      <c r="G3868" s="2">
        <v>100</v>
      </c>
      <c r="H3868" s="2">
        <v>401</v>
      </c>
      <c r="I3868" s="2">
        <v>1412</v>
      </c>
      <c r="J3868" s="2">
        <v>2614</v>
      </c>
      <c r="K3868" s="2">
        <v>1</v>
      </c>
      <c r="L3868" s="2">
        <v>401</v>
      </c>
    </row>
    <row r="3869" spans="1:12" x14ac:dyDescent="0.25">
      <c r="A3869" s="4" t="str">
        <f>HYPERLINK("http://www.rosaceae.org/Prunus/Prunus_persica/p.persica_gdr_reftransV1_0035503","p.persica_gdr_reftransV1_0035503")</f>
        <v>p.persica_gdr_reftransV1_0035503</v>
      </c>
      <c r="B3869" s="2">
        <v>2072</v>
      </c>
      <c r="C3869" s="4" t="str">
        <f>HYPERLINK("http://www.uniprot.org/uniprot/M5VHF4","M5VHF4")</f>
        <v>M5VHF4</v>
      </c>
      <c r="D3869" s="2" t="s">
        <v>3637</v>
      </c>
      <c r="E3869" s="3">
        <v>0</v>
      </c>
      <c r="F3869" s="2">
        <v>3070</v>
      </c>
      <c r="G3869" s="2">
        <v>100</v>
      </c>
      <c r="H3869" s="2">
        <v>574</v>
      </c>
      <c r="I3869" s="2">
        <v>8</v>
      </c>
      <c r="J3869" s="2">
        <v>1729</v>
      </c>
      <c r="K3869" s="2">
        <v>1</v>
      </c>
      <c r="L3869" s="2">
        <v>574</v>
      </c>
    </row>
    <row r="3870" spans="1:12" x14ac:dyDescent="0.25">
      <c r="A3870" s="4" t="str">
        <f>HYPERLINK("http://www.rosaceae.org/Prunus/Prunus_persica/p.persica_gdr_reftransV1_0037603","p.persica_gdr_reftransV1_0037603")</f>
        <v>p.persica_gdr_reftransV1_0037603</v>
      </c>
      <c r="B3870" s="2">
        <v>2458</v>
      </c>
      <c r="C3870" s="4" t="str">
        <f>HYPERLINK("http://www.uniprot.org/uniprot/M5XTT3","M5XTT3")</f>
        <v>M5XTT3</v>
      </c>
      <c r="D3870" s="2" t="s">
        <v>3638</v>
      </c>
      <c r="E3870" s="3">
        <v>0</v>
      </c>
      <c r="F3870" s="2">
        <v>2551</v>
      </c>
      <c r="G3870" s="2">
        <v>71</v>
      </c>
      <c r="H3870" s="2">
        <v>719</v>
      </c>
      <c r="I3870" s="2">
        <v>206</v>
      </c>
      <c r="J3870" s="2">
        <v>2347</v>
      </c>
      <c r="K3870" s="2">
        <v>1</v>
      </c>
      <c r="L3870" s="2">
        <v>648</v>
      </c>
    </row>
    <row r="3871" spans="1:12" x14ac:dyDescent="0.25">
      <c r="A3871" s="4" t="str">
        <f>HYPERLINK("http://www.rosaceae.org/Prunus/Prunus_persica/p.persica_gdr_reftransV1_0040053","p.persica_gdr_reftransV1_0040053")</f>
        <v>p.persica_gdr_reftransV1_0040053</v>
      </c>
      <c r="B3871" s="2">
        <v>1865</v>
      </c>
      <c r="C3871" s="4" t="str">
        <f>HYPERLINK("http://www.uniprot.org/uniprot/M5W6Z0","M5W6Z0")</f>
        <v>M5W6Z0</v>
      </c>
      <c r="D3871" s="2" t="s">
        <v>3434</v>
      </c>
      <c r="E3871" s="3">
        <v>1.3700000000000001E-67</v>
      </c>
      <c r="F3871" s="2">
        <v>490</v>
      </c>
      <c r="G3871" s="2">
        <v>91</v>
      </c>
      <c r="H3871" s="2">
        <v>107</v>
      </c>
      <c r="I3871" s="2">
        <v>593</v>
      </c>
      <c r="J3871" s="2">
        <v>913</v>
      </c>
      <c r="K3871" s="2">
        <v>152</v>
      </c>
      <c r="L3871" s="2">
        <v>255</v>
      </c>
    </row>
    <row r="3872" spans="1:12" x14ac:dyDescent="0.25">
      <c r="A3872" s="4" t="str">
        <f>HYPERLINK("http://www.rosaceae.org/Prunus/Prunus_persica/p.persica_gdr_reftransV1_0043203","p.persica_gdr_reftransV1_0043203")</f>
        <v>p.persica_gdr_reftransV1_0043203</v>
      </c>
      <c r="B3872" s="2">
        <v>350</v>
      </c>
      <c r="C3872" s="4" t="str">
        <f>HYPERLINK("http://www.uniprot.org/uniprot/A6XN02","A6XN02")</f>
        <v>A6XN02</v>
      </c>
      <c r="D3872" s="2" t="s">
        <v>3639</v>
      </c>
      <c r="E3872" s="3">
        <v>7.72E-76</v>
      </c>
      <c r="F3872" s="2">
        <v>608</v>
      </c>
      <c r="G3872" s="2">
        <v>99</v>
      </c>
      <c r="H3872" s="2">
        <v>116</v>
      </c>
      <c r="I3872" s="2">
        <v>1</v>
      </c>
      <c r="J3872" s="2">
        <v>348</v>
      </c>
      <c r="K3872" s="2">
        <v>206</v>
      </c>
      <c r="L3872" s="2">
        <v>321</v>
      </c>
    </row>
    <row r="3873" spans="1:12" x14ac:dyDescent="0.25">
      <c r="A3873" s="4" t="str">
        <f>HYPERLINK("http://www.rosaceae.org/Prunus/Prunus_persica/p.persica_gdr_reftransV1_0043553","p.persica_gdr_reftransV1_0043553")</f>
        <v>p.persica_gdr_reftransV1_0043553</v>
      </c>
      <c r="B3873" s="2">
        <v>541</v>
      </c>
      <c r="C3873" s="4" t="str">
        <f>HYPERLINK("http://www.uniprot.org/uniprot/M5WS93","M5WS93")</f>
        <v>M5WS93</v>
      </c>
      <c r="D3873" s="2" t="s">
        <v>3640</v>
      </c>
      <c r="E3873" s="3">
        <v>6.0099999999999998E-64</v>
      </c>
      <c r="F3873" s="2">
        <v>519</v>
      </c>
      <c r="G3873" s="2">
        <v>94</v>
      </c>
      <c r="H3873" s="2">
        <v>126</v>
      </c>
      <c r="I3873" s="2">
        <v>20</v>
      </c>
      <c r="J3873" s="2">
        <v>397</v>
      </c>
      <c r="K3873" s="2">
        <v>1</v>
      </c>
      <c r="L3873" s="2">
        <v>126</v>
      </c>
    </row>
    <row r="3874" spans="1:12" x14ac:dyDescent="0.25">
      <c r="A3874" s="4" t="str">
        <f>HYPERLINK("http://www.rosaceae.org/Prunus/Prunus_persica/p.persica_gdr_reftransV1_0043903","p.persica_gdr_reftransV1_0043903")</f>
        <v>p.persica_gdr_reftransV1_0043903</v>
      </c>
      <c r="B3874" s="2">
        <v>1970</v>
      </c>
      <c r="C3874" s="4" t="str">
        <f>HYPERLINK("http://www.uniprot.org/uniprot/M5WS44","M5WS44")</f>
        <v>M5WS44</v>
      </c>
      <c r="D3874" s="2" t="s">
        <v>3641</v>
      </c>
      <c r="E3874" s="3">
        <v>0</v>
      </c>
      <c r="F3874" s="2">
        <v>2443</v>
      </c>
      <c r="G3874" s="2">
        <v>99</v>
      </c>
      <c r="H3874" s="2">
        <v>485</v>
      </c>
      <c r="I3874" s="2">
        <v>294</v>
      </c>
      <c r="J3874" s="2">
        <v>1748</v>
      </c>
      <c r="K3874" s="2">
        <v>1</v>
      </c>
      <c r="L3874" s="2">
        <v>485</v>
      </c>
    </row>
    <row r="3875" spans="1:12" x14ac:dyDescent="0.25">
      <c r="A3875" s="4" t="str">
        <f>HYPERLINK("http://www.rosaceae.org/Prunus/Prunus_persica/p.persica_gdr_reftransV1_0044603","p.persica_gdr_reftransV1_0044603")</f>
        <v>p.persica_gdr_reftransV1_0044603</v>
      </c>
      <c r="B3875" s="2">
        <v>3800</v>
      </c>
      <c r="C3875" s="4" t="str">
        <f>HYPERLINK("http://www.uniprot.org/uniprot/F6GTJ4","F6GTJ4")</f>
        <v>F6GTJ4</v>
      </c>
      <c r="D3875" s="2" t="s">
        <v>3642</v>
      </c>
      <c r="E3875" s="3">
        <v>0</v>
      </c>
      <c r="F3875" s="2">
        <v>3962</v>
      </c>
      <c r="G3875" s="2">
        <v>74</v>
      </c>
      <c r="H3875" s="2">
        <v>1093</v>
      </c>
      <c r="I3875" s="2">
        <v>426</v>
      </c>
      <c r="J3875" s="2">
        <v>3596</v>
      </c>
      <c r="K3875" s="2">
        <v>114</v>
      </c>
      <c r="L3875" s="2">
        <v>1199</v>
      </c>
    </row>
    <row r="3876" spans="1:12" x14ac:dyDescent="0.25">
      <c r="A3876" s="4" t="str">
        <f>HYPERLINK("http://www.rosaceae.org/Prunus/Prunus_persica/p.persica_gdr_reftransV1_0044953","p.persica_gdr_reftransV1_0044953")</f>
        <v>p.persica_gdr_reftransV1_0044953</v>
      </c>
      <c r="B3876" s="2">
        <v>867</v>
      </c>
      <c r="C3876" s="4" t="str">
        <f>HYPERLINK("http://www.uniprot.org/uniprot/M5XDN8","M5XDN8")</f>
        <v>M5XDN8</v>
      </c>
      <c r="D3876" s="2" t="s">
        <v>3643</v>
      </c>
      <c r="E3876" s="3">
        <v>6.15E-143</v>
      </c>
      <c r="F3876" s="2">
        <v>1062</v>
      </c>
      <c r="G3876" s="2">
        <v>100</v>
      </c>
      <c r="H3876" s="2">
        <v>216</v>
      </c>
      <c r="I3876" s="2">
        <v>135</v>
      </c>
      <c r="J3876" s="2">
        <v>782</v>
      </c>
      <c r="K3876" s="2">
        <v>8</v>
      </c>
      <c r="L3876" s="2">
        <v>223</v>
      </c>
    </row>
    <row r="3877" spans="1:12" x14ac:dyDescent="0.25">
      <c r="A3877" s="4" t="str">
        <f>HYPERLINK("http://www.rosaceae.org/Prunus/Prunus_persica/p.persica_gdr_reftransV1_0045303","p.persica_gdr_reftransV1_0045303")</f>
        <v>p.persica_gdr_reftransV1_0045303</v>
      </c>
      <c r="B3877" s="2">
        <v>1292</v>
      </c>
      <c r="C3877" s="4" t="str">
        <f>HYPERLINK("http://www.uniprot.org/uniprot/M5X1X6","M5X1X6")</f>
        <v>M5X1X6</v>
      </c>
      <c r="D3877" s="2" t="s">
        <v>3644</v>
      </c>
      <c r="E3877" s="3">
        <v>1.34E-102</v>
      </c>
      <c r="F3877" s="2">
        <v>813</v>
      </c>
      <c r="G3877" s="2">
        <v>100</v>
      </c>
      <c r="H3877" s="2">
        <v>245</v>
      </c>
      <c r="I3877" s="2">
        <v>397</v>
      </c>
      <c r="J3877" s="2">
        <v>1131</v>
      </c>
      <c r="K3877" s="2">
        <v>1</v>
      </c>
      <c r="L3877" s="2">
        <v>245</v>
      </c>
    </row>
    <row r="3878" spans="1:12" x14ac:dyDescent="0.25">
      <c r="A3878" s="4" t="str">
        <f>HYPERLINK("http://www.rosaceae.org/Prunus/Prunus_persica/p.persica_gdr_reftransV1_0046003","p.persica_gdr_reftransV1_0046003")</f>
        <v>p.persica_gdr_reftransV1_0046003</v>
      </c>
      <c r="B3878" s="2">
        <v>1536</v>
      </c>
      <c r="C3878" s="4" t="str">
        <f>HYPERLINK("http://www.uniprot.org/uniprot/M5VVV0","M5VVV0")</f>
        <v>M5VVV0</v>
      </c>
      <c r="D3878" s="2" t="s">
        <v>3645</v>
      </c>
      <c r="E3878" s="3">
        <v>0</v>
      </c>
      <c r="F3878" s="2">
        <v>2063</v>
      </c>
      <c r="G3878" s="2">
        <v>100</v>
      </c>
      <c r="H3878" s="2">
        <v>396</v>
      </c>
      <c r="I3878" s="2">
        <v>47</v>
      </c>
      <c r="J3878" s="2">
        <v>1234</v>
      </c>
      <c r="K3878" s="2">
        <v>73</v>
      </c>
      <c r="L3878" s="2">
        <v>468</v>
      </c>
    </row>
    <row r="3879" spans="1:12" x14ac:dyDescent="0.25">
      <c r="A3879" s="4" t="str">
        <f>HYPERLINK("http://www.rosaceae.org/Prunus/Prunus_persica/p.persica_gdr_reftransV1_0046353","p.persica_gdr_reftransV1_0046353")</f>
        <v>p.persica_gdr_reftransV1_0046353</v>
      </c>
      <c r="B3879" s="2">
        <v>2165</v>
      </c>
      <c r="C3879" s="4" t="str">
        <f>HYPERLINK("http://www.uniprot.org/uniprot/M5WTH2","M5WTH2")</f>
        <v>M5WTH2</v>
      </c>
      <c r="D3879" s="2" t="s">
        <v>3646</v>
      </c>
      <c r="E3879" s="3">
        <v>0</v>
      </c>
      <c r="F3879" s="2">
        <v>2314</v>
      </c>
      <c r="G3879" s="2">
        <v>100</v>
      </c>
      <c r="H3879" s="2">
        <v>565</v>
      </c>
      <c r="I3879" s="2">
        <v>94</v>
      </c>
      <c r="J3879" s="2">
        <v>1788</v>
      </c>
      <c r="K3879" s="2">
        <v>1</v>
      </c>
      <c r="L3879" s="2">
        <v>565</v>
      </c>
    </row>
    <row r="3880" spans="1:12" x14ac:dyDescent="0.25">
      <c r="A3880" s="4" t="str">
        <f>HYPERLINK("http://www.rosaceae.org/Prunus/Prunus_persica/p.persica_gdr_reftransV1_0046703","p.persica_gdr_reftransV1_0046703")</f>
        <v>p.persica_gdr_reftransV1_0046703</v>
      </c>
      <c r="B3880" s="2">
        <v>1262</v>
      </c>
      <c r="C3880" s="4" t="str">
        <f>HYPERLINK("http://www.uniprot.org/uniprot/M5WI90","M5WI90")</f>
        <v>M5WI90</v>
      </c>
      <c r="D3880" s="2" t="s">
        <v>2882</v>
      </c>
      <c r="E3880" s="3">
        <v>0</v>
      </c>
      <c r="F3880" s="2">
        <v>1346</v>
      </c>
      <c r="G3880" s="2">
        <v>100</v>
      </c>
      <c r="H3880" s="2">
        <v>311</v>
      </c>
      <c r="I3880" s="2">
        <v>108</v>
      </c>
      <c r="J3880" s="2">
        <v>1040</v>
      </c>
      <c r="K3880" s="2">
        <v>1</v>
      </c>
      <c r="L3880" s="2">
        <v>311</v>
      </c>
    </row>
    <row r="3881" spans="1:12" x14ac:dyDescent="0.25">
      <c r="A3881" s="4" t="str">
        <f>HYPERLINK("http://www.rosaceae.org/Prunus/Prunus_persica/p.persica_gdr_reftransV1_0047403","p.persica_gdr_reftransV1_0047403")</f>
        <v>p.persica_gdr_reftransV1_0047403</v>
      </c>
      <c r="B3881" s="2">
        <v>1341</v>
      </c>
      <c r="C3881" s="4" t="str">
        <f>HYPERLINK("http://www.uniprot.org/uniprot/M5WTI6","M5WTI6")</f>
        <v>M5WTI6</v>
      </c>
      <c r="D3881" s="2" t="s">
        <v>3647</v>
      </c>
      <c r="E3881" s="3">
        <v>1.6600000000000001E-123</v>
      </c>
      <c r="F3881" s="2">
        <v>955</v>
      </c>
      <c r="G3881" s="2">
        <v>100</v>
      </c>
      <c r="H3881" s="2">
        <v>275</v>
      </c>
      <c r="I3881" s="2">
        <v>363</v>
      </c>
      <c r="J3881" s="2">
        <v>1187</v>
      </c>
      <c r="K3881" s="2">
        <v>1</v>
      </c>
      <c r="L3881" s="2">
        <v>275</v>
      </c>
    </row>
    <row r="3882" spans="1:12" x14ac:dyDescent="0.25">
      <c r="A3882" s="4" t="str">
        <f>HYPERLINK("http://www.rosaceae.org/Prunus/Prunus_persica/p.persica_gdr_reftransV1_0047753","p.persica_gdr_reftransV1_0047753")</f>
        <v>p.persica_gdr_reftransV1_0047753</v>
      </c>
      <c r="B3882" s="2">
        <v>404</v>
      </c>
      <c r="C3882" s="4" t="str">
        <f>HYPERLINK("http://www.uniprot.org/uniprot/M5XWG4","M5XWG4")</f>
        <v>M5XWG4</v>
      </c>
      <c r="D3882" s="2" t="s">
        <v>610</v>
      </c>
      <c r="E3882" s="3">
        <v>8.1300000000000003E-69</v>
      </c>
      <c r="F3882" s="2">
        <v>595</v>
      </c>
      <c r="G3882" s="2">
        <v>89</v>
      </c>
      <c r="H3882" s="2">
        <v>134</v>
      </c>
      <c r="I3882" s="2">
        <v>3</v>
      </c>
      <c r="J3882" s="2">
        <v>404</v>
      </c>
      <c r="K3882" s="2">
        <v>764</v>
      </c>
      <c r="L3882" s="2">
        <v>883</v>
      </c>
    </row>
    <row r="3883" spans="1:12" x14ac:dyDescent="0.25">
      <c r="A3883" s="4" t="str">
        <f>HYPERLINK("http://www.rosaceae.org/Prunus/Prunus_persica/p.persica_gdr_reftransV1_0048453","p.persica_gdr_reftransV1_0048453")</f>
        <v>p.persica_gdr_reftransV1_0048453</v>
      </c>
      <c r="B3883" s="2">
        <v>1114</v>
      </c>
      <c r="C3883" s="4" t="str">
        <f>HYPERLINK("http://www.uniprot.org/uniprot/M5VPR3","M5VPR3")</f>
        <v>M5VPR3</v>
      </c>
      <c r="D3883" s="2" t="s">
        <v>3648</v>
      </c>
      <c r="E3883" s="3">
        <v>0</v>
      </c>
      <c r="F3883" s="2">
        <v>1913</v>
      </c>
      <c r="G3883" s="2">
        <v>100</v>
      </c>
      <c r="H3883" s="2">
        <v>370</v>
      </c>
      <c r="I3883" s="2">
        <v>3</v>
      </c>
      <c r="J3883" s="2">
        <v>1112</v>
      </c>
      <c r="K3883" s="2">
        <v>80</v>
      </c>
      <c r="L3883" s="2">
        <v>449</v>
      </c>
    </row>
    <row r="3884" spans="1:12" x14ac:dyDescent="0.25">
      <c r="A3884" s="4" t="str">
        <f>HYPERLINK("http://www.rosaceae.org/Prunus/Prunus_persica/p.persica_gdr_reftransV1_0048803","p.persica_gdr_reftransV1_0048803")</f>
        <v>p.persica_gdr_reftransV1_0048803</v>
      </c>
      <c r="B3884" s="2">
        <v>386</v>
      </c>
      <c r="C3884" s="4" t="str">
        <f>HYPERLINK("http://www.uniprot.org/uniprot/M5WJ76","M5WJ76")</f>
        <v>M5WJ76</v>
      </c>
      <c r="D3884" s="2" t="s">
        <v>3649</v>
      </c>
      <c r="E3884" s="3">
        <v>5.7800000000000001E-66</v>
      </c>
      <c r="F3884" s="2">
        <v>579</v>
      </c>
      <c r="G3884" s="2">
        <v>98</v>
      </c>
      <c r="H3884" s="2">
        <v>118</v>
      </c>
      <c r="I3884" s="2">
        <v>1</v>
      </c>
      <c r="J3884" s="2">
        <v>354</v>
      </c>
      <c r="K3884" s="2">
        <v>314</v>
      </c>
      <c r="L3884" s="2">
        <v>431</v>
      </c>
    </row>
    <row r="3885" spans="1:12" x14ac:dyDescent="0.25">
      <c r="A3885" s="4" t="str">
        <f>HYPERLINK("http://www.rosaceae.org/Prunus/Prunus_persica/p.persica_gdr_reftransV1_0049153","p.persica_gdr_reftransV1_0049153")</f>
        <v>p.persica_gdr_reftransV1_0049153</v>
      </c>
      <c r="B3885" s="2">
        <v>657</v>
      </c>
      <c r="C3885" s="4" t="str">
        <f>HYPERLINK("http://www.uniprot.org/uniprot/M5WTM5","M5WTM5")</f>
        <v>M5WTM5</v>
      </c>
      <c r="D3885" s="2" t="s">
        <v>3650</v>
      </c>
      <c r="E3885" s="3">
        <v>1.8700000000000002E-120</v>
      </c>
      <c r="F3885" s="2">
        <v>903</v>
      </c>
      <c r="G3885" s="2">
        <v>100</v>
      </c>
      <c r="H3885" s="2">
        <v>170</v>
      </c>
      <c r="I3885" s="2">
        <v>112</v>
      </c>
      <c r="J3885" s="2">
        <v>621</v>
      </c>
      <c r="K3885" s="2">
        <v>1</v>
      </c>
      <c r="L3885" s="2">
        <v>170</v>
      </c>
    </row>
    <row r="3886" spans="1:12" x14ac:dyDescent="0.25">
      <c r="A3886" s="4" t="str">
        <f>HYPERLINK("http://www.rosaceae.org/Prunus/Prunus_persica/p.persica_gdr_reftransV1_0000154","p.persica_gdr_reftransV1_0000154")</f>
        <v>p.persica_gdr_reftransV1_0000154</v>
      </c>
      <c r="B3886" s="2">
        <v>1849</v>
      </c>
      <c r="C3886" s="4" t="str">
        <f>HYPERLINK("http://www.uniprot.org/uniprot/M5X1M3","M5X1M3")</f>
        <v>M5X1M3</v>
      </c>
      <c r="D3886" s="2" t="s">
        <v>3651</v>
      </c>
      <c r="E3886" s="3">
        <v>0</v>
      </c>
      <c r="F3886" s="2">
        <v>1797</v>
      </c>
      <c r="G3886" s="2">
        <v>98</v>
      </c>
      <c r="H3886" s="2">
        <v>358</v>
      </c>
      <c r="I3886" s="2">
        <v>447</v>
      </c>
      <c r="J3886" s="2">
        <v>1508</v>
      </c>
      <c r="K3886" s="2">
        <v>1</v>
      </c>
      <c r="L3886" s="2">
        <v>358</v>
      </c>
    </row>
    <row r="3887" spans="1:12" x14ac:dyDescent="0.25">
      <c r="A3887" s="4" t="str">
        <f>HYPERLINK("http://www.rosaceae.org/Prunus/Prunus_persica/p.persica_gdr_reftransV1_0000854","p.persica_gdr_reftransV1_0000854")</f>
        <v>p.persica_gdr_reftransV1_0000854</v>
      </c>
      <c r="B3887" s="2">
        <v>2065</v>
      </c>
      <c r="C3887" s="4" t="str">
        <f>HYPERLINK("http://www.uniprot.org/uniprot/M5XCU9","M5XCU9")</f>
        <v>M5XCU9</v>
      </c>
      <c r="D3887" s="2" t="s">
        <v>3652</v>
      </c>
      <c r="E3887" s="3">
        <v>0</v>
      </c>
      <c r="F3887" s="2">
        <v>2477</v>
      </c>
      <c r="G3887" s="2">
        <v>100</v>
      </c>
      <c r="H3887" s="2">
        <v>483</v>
      </c>
      <c r="I3887" s="2">
        <v>398</v>
      </c>
      <c r="J3887" s="2">
        <v>1846</v>
      </c>
      <c r="K3887" s="2">
        <v>1</v>
      </c>
      <c r="L3887" s="2">
        <v>482</v>
      </c>
    </row>
    <row r="3888" spans="1:12" x14ac:dyDescent="0.25">
      <c r="A3888" s="4" t="str">
        <f>HYPERLINK("http://www.rosaceae.org/Prunus/Prunus_persica/p.persica_gdr_reftransV1_0001204","p.persica_gdr_reftransV1_0001204")</f>
        <v>p.persica_gdr_reftransV1_0001204</v>
      </c>
      <c r="B3888" s="2">
        <v>1466</v>
      </c>
      <c r="C3888" s="4" t="str">
        <f>HYPERLINK("http://www.uniprot.org/uniprot/M5W7Q6","M5W7Q6")</f>
        <v>M5W7Q6</v>
      </c>
      <c r="D3888" s="2" t="s">
        <v>3653</v>
      </c>
      <c r="E3888" s="3">
        <v>0</v>
      </c>
      <c r="F3888" s="2">
        <v>2286</v>
      </c>
      <c r="G3888" s="2">
        <v>99</v>
      </c>
      <c r="H3888" s="2">
        <v>440</v>
      </c>
      <c r="I3888" s="2">
        <v>147</v>
      </c>
      <c r="J3888" s="2">
        <v>1466</v>
      </c>
      <c r="K3888" s="2">
        <v>82</v>
      </c>
      <c r="L3888" s="2">
        <v>521</v>
      </c>
    </row>
    <row r="3889" spans="1:12" x14ac:dyDescent="0.25">
      <c r="A3889" s="4" t="str">
        <f>HYPERLINK("http://www.rosaceae.org/Prunus/Prunus_persica/p.persica_gdr_reftransV1_0001554","p.persica_gdr_reftransV1_0001554")</f>
        <v>p.persica_gdr_reftransV1_0001554</v>
      </c>
      <c r="B3889" s="2">
        <v>1584</v>
      </c>
      <c r="C3889" s="4" t="str">
        <f>HYPERLINK("http://www.uniprot.org/uniprot/M5X028","M5X028")</f>
        <v>M5X028</v>
      </c>
      <c r="D3889" s="2" t="s">
        <v>3654</v>
      </c>
      <c r="E3889" s="3">
        <v>6.6900000000000003E-143</v>
      </c>
      <c r="F3889" s="2">
        <v>1088</v>
      </c>
      <c r="G3889" s="2">
        <v>100</v>
      </c>
      <c r="H3889" s="2">
        <v>241</v>
      </c>
      <c r="I3889" s="2">
        <v>615</v>
      </c>
      <c r="J3889" s="2">
        <v>1337</v>
      </c>
      <c r="K3889" s="2">
        <v>1</v>
      </c>
      <c r="L3889" s="2">
        <v>241</v>
      </c>
    </row>
    <row r="3890" spans="1:12" x14ac:dyDescent="0.25">
      <c r="A3890" s="4" t="str">
        <f>HYPERLINK("http://www.rosaceae.org/Prunus/Prunus_persica/p.persica_gdr_reftransV1_0001904","p.persica_gdr_reftransV1_0001904")</f>
        <v>p.persica_gdr_reftransV1_0001904</v>
      </c>
      <c r="B3890" s="2">
        <v>327</v>
      </c>
      <c r="C3890" s="4" t="str">
        <f>HYPERLINK("http://www.uniprot.org/uniprot/M5WVI9","M5WVI9")</f>
        <v>M5WVI9</v>
      </c>
      <c r="D3890" s="2" t="s">
        <v>3655</v>
      </c>
      <c r="E3890" s="3">
        <v>4.6299999999999998E-67</v>
      </c>
      <c r="F3890" s="2">
        <v>559</v>
      </c>
      <c r="G3890" s="2">
        <v>100</v>
      </c>
      <c r="H3890" s="2">
        <v>109</v>
      </c>
      <c r="I3890" s="2">
        <v>1</v>
      </c>
      <c r="J3890" s="2">
        <v>327</v>
      </c>
      <c r="K3890" s="2">
        <v>314</v>
      </c>
      <c r="L3890" s="2">
        <v>422</v>
      </c>
    </row>
    <row r="3891" spans="1:12" x14ac:dyDescent="0.25">
      <c r="A3891" s="4" t="str">
        <f>HYPERLINK("http://www.rosaceae.org/Prunus/Prunus_persica/p.persica_gdr_reftransV1_0002254","p.persica_gdr_reftransV1_0002254")</f>
        <v>p.persica_gdr_reftransV1_0002254</v>
      </c>
      <c r="B3891" s="2">
        <v>413</v>
      </c>
      <c r="C3891" s="4" t="str">
        <f>HYPERLINK("http://www.uniprot.org/uniprot/M5VTG5","M5VTG5")</f>
        <v>M5VTG5</v>
      </c>
      <c r="D3891" s="2" t="s">
        <v>3300</v>
      </c>
      <c r="E3891" s="3">
        <v>2.29E-95</v>
      </c>
      <c r="F3891" s="2">
        <v>752</v>
      </c>
      <c r="G3891" s="2">
        <v>100</v>
      </c>
      <c r="H3891" s="2">
        <v>137</v>
      </c>
      <c r="I3891" s="2">
        <v>1</v>
      </c>
      <c r="J3891" s="2">
        <v>411</v>
      </c>
      <c r="K3891" s="2">
        <v>99</v>
      </c>
      <c r="L3891" s="2">
        <v>235</v>
      </c>
    </row>
    <row r="3892" spans="1:12" x14ac:dyDescent="0.25">
      <c r="A3892" s="4" t="str">
        <f>HYPERLINK("http://www.rosaceae.org/Prunus/Prunus_persica/p.persica_gdr_reftransV1_0002604","p.persica_gdr_reftransV1_0002604")</f>
        <v>p.persica_gdr_reftransV1_0002604</v>
      </c>
      <c r="B3892" s="2">
        <v>3708</v>
      </c>
      <c r="C3892" s="4" t="str">
        <f>HYPERLINK("http://www.uniprot.org/uniprot/M5XXQ6","M5XXQ6")</f>
        <v>M5XXQ6</v>
      </c>
      <c r="D3892" s="2" t="s">
        <v>3656</v>
      </c>
      <c r="E3892" s="3">
        <v>0</v>
      </c>
      <c r="F3892" s="2">
        <v>4736</v>
      </c>
      <c r="G3892" s="2">
        <v>96</v>
      </c>
      <c r="H3892" s="2">
        <v>953</v>
      </c>
      <c r="I3892" s="2">
        <v>516</v>
      </c>
      <c r="J3892" s="2">
        <v>3374</v>
      </c>
      <c r="K3892" s="2">
        <v>1</v>
      </c>
      <c r="L3892" s="2">
        <v>920</v>
      </c>
    </row>
    <row r="3893" spans="1:12" x14ac:dyDescent="0.25">
      <c r="A3893" s="4" t="str">
        <f>HYPERLINK("http://www.rosaceae.org/Prunus/Prunus_persica/p.persica_gdr_reftransV1_0003304","p.persica_gdr_reftransV1_0003304")</f>
        <v>p.persica_gdr_reftransV1_0003304</v>
      </c>
      <c r="B3893" s="2">
        <v>474</v>
      </c>
      <c r="C3893" s="4" t="str">
        <f>HYPERLINK("http://www.uniprot.org/uniprot/M5X8U6","M5X8U6")</f>
        <v>M5X8U6</v>
      </c>
      <c r="D3893" s="2" t="s">
        <v>3657</v>
      </c>
      <c r="E3893" s="3">
        <v>6.2700000000000002E-67</v>
      </c>
      <c r="F3893" s="2">
        <v>574</v>
      </c>
      <c r="G3893" s="2">
        <v>89</v>
      </c>
      <c r="H3893" s="2">
        <v>132</v>
      </c>
      <c r="I3893" s="2">
        <v>77</v>
      </c>
      <c r="J3893" s="2">
        <v>472</v>
      </c>
      <c r="K3893" s="2">
        <v>11</v>
      </c>
      <c r="L3893" s="2">
        <v>142</v>
      </c>
    </row>
    <row r="3894" spans="1:12" x14ac:dyDescent="0.25">
      <c r="A3894" s="4" t="str">
        <f>HYPERLINK("http://www.rosaceae.org/Prunus/Prunus_persica/p.persica_gdr_reftransV1_0004004","p.persica_gdr_reftransV1_0004004")</f>
        <v>p.persica_gdr_reftransV1_0004004</v>
      </c>
      <c r="B3894" s="2">
        <v>1502</v>
      </c>
      <c r="C3894" s="4" t="str">
        <f>HYPERLINK("http://www.uniprot.org/uniprot/M5XQ99","M5XQ99")</f>
        <v>M5XQ99</v>
      </c>
      <c r="D3894" s="2" t="s">
        <v>193</v>
      </c>
      <c r="E3894" s="3">
        <v>0</v>
      </c>
      <c r="F3894" s="2">
        <v>1596</v>
      </c>
      <c r="G3894" s="2">
        <v>100</v>
      </c>
      <c r="H3894" s="2">
        <v>361</v>
      </c>
      <c r="I3894" s="2">
        <v>1</v>
      </c>
      <c r="J3894" s="2">
        <v>1083</v>
      </c>
      <c r="K3894" s="2">
        <v>322</v>
      </c>
      <c r="L3894" s="2">
        <v>682</v>
      </c>
    </row>
    <row r="3895" spans="1:12" x14ac:dyDescent="0.25">
      <c r="A3895" s="4" t="str">
        <f>HYPERLINK("http://www.rosaceae.org/Prunus/Prunus_persica/p.persica_gdr_reftransV1_0004354","p.persica_gdr_reftransV1_0004354")</f>
        <v>p.persica_gdr_reftransV1_0004354</v>
      </c>
      <c r="B3895" s="2">
        <v>2379</v>
      </c>
      <c r="C3895" s="4" t="str">
        <f>HYPERLINK("http://www.uniprot.org/uniprot/M5WM83","M5WM83")</f>
        <v>M5WM83</v>
      </c>
      <c r="D3895" s="2" t="s">
        <v>3658</v>
      </c>
      <c r="E3895" s="3">
        <v>0</v>
      </c>
      <c r="F3895" s="2">
        <v>2172</v>
      </c>
      <c r="G3895" s="2">
        <v>72</v>
      </c>
      <c r="H3895" s="2">
        <v>694</v>
      </c>
      <c r="I3895" s="2">
        <v>24</v>
      </c>
      <c r="J3895" s="2">
        <v>2099</v>
      </c>
      <c r="K3895" s="2">
        <v>1</v>
      </c>
      <c r="L3895" s="2">
        <v>689</v>
      </c>
    </row>
    <row r="3896" spans="1:12" x14ac:dyDescent="0.25">
      <c r="A3896" s="4" t="str">
        <f>HYPERLINK("http://www.rosaceae.org/Prunus/Prunus_persica/p.persica_gdr_reftransV1_0004704","p.persica_gdr_reftransV1_0004704")</f>
        <v>p.persica_gdr_reftransV1_0004704</v>
      </c>
      <c r="B3896" s="2">
        <v>3667</v>
      </c>
      <c r="C3896" s="4" t="str">
        <f>HYPERLINK("http://www.uniprot.org/uniprot/M5WV16","M5WV16")</f>
        <v>M5WV16</v>
      </c>
      <c r="D3896" s="2" t="s">
        <v>3659</v>
      </c>
      <c r="E3896" s="3">
        <v>0</v>
      </c>
      <c r="F3896" s="2">
        <v>2356</v>
      </c>
      <c r="G3896" s="2">
        <v>94</v>
      </c>
      <c r="H3896" s="2">
        <v>538</v>
      </c>
      <c r="I3896" s="2">
        <v>1993</v>
      </c>
      <c r="J3896" s="2">
        <v>3606</v>
      </c>
      <c r="K3896" s="2">
        <v>1</v>
      </c>
      <c r="L3896" s="2">
        <v>506</v>
      </c>
    </row>
    <row r="3897" spans="1:12" x14ac:dyDescent="0.25">
      <c r="A3897" s="4" t="str">
        <f>HYPERLINK("http://www.rosaceae.org/Prunus/Prunus_persica/p.persica_gdr_reftransV1_0005054","p.persica_gdr_reftransV1_0005054")</f>
        <v>p.persica_gdr_reftransV1_0005054</v>
      </c>
      <c r="B3897" s="2">
        <v>2586</v>
      </c>
      <c r="C3897" s="4" t="str">
        <f>HYPERLINK("http://www.uniprot.org/uniprot/M5WXL3","M5WXL3")</f>
        <v>M5WXL3</v>
      </c>
      <c r="D3897" s="2" t="s">
        <v>3660</v>
      </c>
      <c r="E3897" s="3">
        <v>0</v>
      </c>
      <c r="F3897" s="2">
        <v>2458</v>
      </c>
      <c r="G3897" s="2">
        <v>99</v>
      </c>
      <c r="H3897" s="2">
        <v>490</v>
      </c>
      <c r="I3897" s="2">
        <v>888</v>
      </c>
      <c r="J3897" s="2">
        <v>2357</v>
      </c>
      <c r="K3897" s="2">
        <v>1</v>
      </c>
      <c r="L3897" s="2">
        <v>490</v>
      </c>
    </row>
    <row r="3898" spans="1:12" x14ac:dyDescent="0.25">
      <c r="A3898" s="4" t="str">
        <f>HYPERLINK("http://www.rosaceae.org/Prunus/Prunus_persica/p.persica_gdr_reftransV1_0005754","p.persica_gdr_reftransV1_0005754")</f>
        <v>p.persica_gdr_reftransV1_0005754</v>
      </c>
      <c r="B3898" s="2">
        <v>949</v>
      </c>
      <c r="C3898" s="4" t="str">
        <f>HYPERLINK("http://www.uniprot.org/uniprot/M5W3L5","M5W3L5")</f>
        <v>M5W3L5</v>
      </c>
      <c r="D3898" s="2" t="s">
        <v>3661</v>
      </c>
      <c r="E3898" s="3">
        <v>4.0200000000000002E-118</v>
      </c>
      <c r="F3898" s="2">
        <v>895</v>
      </c>
      <c r="G3898" s="2">
        <v>100</v>
      </c>
      <c r="H3898" s="2">
        <v>165</v>
      </c>
      <c r="I3898" s="2">
        <v>131</v>
      </c>
      <c r="J3898" s="2">
        <v>625</v>
      </c>
      <c r="K3898" s="2">
        <v>1</v>
      </c>
      <c r="L3898" s="2">
        <v>165</v>
      </c>
    </row>
    <row r="3899" spans="1:12" x14ac:dyDescent="0.25">
      <c r="A3899" s="4" t="str">
        <f>HYPERLINK("http://www.rosaceae.org/Prunus/Prunus_persica/p.persica_gdr_reftransV1_0006454","p.persica_gdr_reftransV1_0006454")</f>
        <v>p.persica_gdr_reftransV1_0006454</v>
      </c>
      <c r="B3899" s="2">
        <v>1338</v>
      </c>
      <c r="C3899" s="4" t="str">
        <f>HYPERLINK("http://www.uniprot.org/uniprot/M5WQ93","M5WQ93")</f>
        <v>M5WQ93</v>
      </c>
      <c r="D3899" s="2" t="s">
        <v>3662</v>
      </c>
      <c r="E3899" s="3">
        <v>0</v>
      </c>
      <c r="F3899" s="2">
        <v>1984</v>
      </c>
      <c r="G3899" s="2">
        <v>90</v>
      </c>
      <c r="H3899" s="2">
        <v>422</v>
      </c>
      <c r="I3899" s="2">
        <v>72</v>
      </c>
      <c r="J3899" s="2">
        <v>1337</v>
      </c>
      <c r="K3899" s="2">
        <v>104</v>
      </c>
      <c r="L3899" s="2">
        <v>483</v>
      </c>
    </row>
    <row r="3900" spans="1:12" x14ac:dyDescent="0.25">
      <c r="A3900" s="4" t="str">
        <f>HYPERLINK("http://www.rosaceae.org/Prunus/Prunus_persica/p.persica_gdr_reftransV1_0007154","p.persica_gdr_reftransV1_0007154")</f>
        <v>p.persica_gdr_reftransV1_0007154</v>
      </c>
      <c r="B3900" s="2">
        <v>1655</v>
      </c>
      <c r="C3900" s="4" t="str">
        <f>HYPERLINK("http://www.uniprot.org/uniprot/M5X0L1","M5X0L1")</f>
        <v>M5X0L1</v>
      </c>
      <c r="D3900" s="2" t="s">
        <v>3663</v>
      </c>
      <c r="E3900" s="3">
        <v>0</v>
      </c>
      <c r="F3900" s="2">
        <v>1973</v>
      </c>
      <c r="G3900" s="2">
        <v>89</v>
      </c>
      <c r="H3900" s="2">
        <v>439</v>
      </c>
      <c r="I3900" s="2">
        <v>49</v>
      </c>
      <c r="J3900" s="2">
        <v>1365</v>
      </c>
      <c r="K3900" s="2">
        <v>142</v>
      </c>
      <c r="L3900" s="2">
        <v>533</v>
      </c>
    </row>
    <row r="3901" spans="1:12" x14ac:dyDescent="0.25">
      <c r="A3901" s="4" t="str">
        <f>HYPERLINK("http://www.rosaceae.org/Prunus/Prunus_persica/p.persica_gdr_reftransV1_0007854","p.persica_gdr_reftransV1_0007854")</f>
        <v>p.persica_gdr_reftransV1_0007854</v>
      </c>
      <c r="B3901" s="2">
        <v>760</v>
      </c>
      <c r="C3901" s="4" t="str">
        <f>HYPERLINK("http://www.uniprot.org/uniprot/M5W8U9","M5W8U9")</f>
        <v>M5W8U9</v>
      </c>
      <c r="D3901" s="2" t="s">
        <v>3664</v>
      </c>
      <c r="E3901" s="3">
        <v>3.7099999999999998E-68</v>
      </c>
      <c r="F3901" s="2">
        <v>564</v>
      </c>
      <c r="G3901" s="2">
        <v>100</v>
      </c>
      <c r="H3901" s="2">
        <v>121</v>
      </c>
      <c r="I3901" s="2">
        <v>2</v>
      </c>
      <c r="J3901" s="2">
        <v>364</v>
      </c>
      <c r="K3901" s="2">
        <v>1</v>
      </c>
      <c r="L3901" s="2">
        <v>121</v>
      </c>
    </row>
    <row r="3902" spans="1:12" x14ac:dyDescent="0.25">
      <c r="A3902" s="4" t="str">
        <f>HYPERLINK("http://www.rosaceae.org/Prunus/Prunus_persica/p.persica_gdr_reftransV1_0008204","p.persica_gdr_reftransV1_0008204")</f>
        <v>p.persica_gdr_reftransV1_0008204</v>
      </c>
      <c r="B3902" s="2">
        <v>916</v>
      </c>
      <c r="C3902" s="4" t="str">
        <f>HYPERLINK("http://www.uniprot.org/uniprot/M5WF07","M5WF07")</f>
        <v>M5WF07</v>
      </c>
      <c r="D3902" s="2" t="s">
        <v>3665</v>
      </c>
      <c r="E3902" s="3">
        <v>5.7500000000000002E-146</v>
      </c>
      <c r="F3902" s="2">
        <v>1089</v>
      </c>
      <c r="G3902" s="2">
        <v>89</v>
      </c>
      <c r="H3902" s="2">
        <v>282</v>
      </c>
      <c r="I3902" s="2">
        <v>19</v>
      </c>
      <c r="J3902" s="2">
        <v>861</v>
      </c>
      <c r="K3902" s="2">
        <v>1</v>
      </c>
      <c r="L3902" s="2">
        <v>276</v>
      </c>
    </row>
    <row r="3903" spans="1:12" x14ac:dyDescent="0.25">
      <c r="A3903" s="4" t="str">
        <f>HYPERLINK("http://www.rosaceae.org/Prunus/Prunus_persica/p.persica_gdr_reftransV1_0008554","p.persica_gdr_reftransV1_0008554")</f>
        <v>p.persica_gdr_reftransV1_0008554</v>
      </c>
      <c r="B3903" s="2">
        <v>2005</v>
      </c>
      <c r="C3903" s="4" t="str">
        <f>HYPERLINK("http://www.uniprot.org/uniprot/M5WXR0","M5WXR0")</f>
        <v>M5WXR0</v>
      </c>
      <c r="D3903" s="2" t="s">
        <v>3666</v>
      </c>
      <c r="E3903" s="3">
        <v>0</v>
      </c>
      <c r="F3903" s="2">
        <v>2130</v>
      </c>
      <c r="G3903" s="2">
        <v>100</v>
      </c>
      <c r="H3903" s="2">
        <v>536</v>
      </c>
      <c r="I3903" s="2">
        <v>115</v>
      </c>
      <c r="J3903" s="2">
        <v>1722</v>
      </c>
      <c r="K3903" s="2">
        <v>1</v>
      </c>
      <c r="L3903" s="2">
        <v>536</v>
      </c>
    </row>
    <row r="3904" spans="1:12" x14ac:dyDescent="0.25">
      <c r="A3904" s="4" t="str">
        <f>HYPERLINK("http://www.rosaceae.org/Prunus/Prunus_persica/p.persica_gdr_reftransV1_0008904","p.persica_gdr_reftransV1_0008904")</f>
        <v>p.persica_gdr_reftransV1_0008904</v>
      </c>
      <c r="B3904" s="2">
        <v>2156</v>
      </c>
      <c r="C3904" s="4" t="str">
        <f>HYPERLINK("http://www.uniprot.org/uniprot/A5BGM4","A5BGM4")</f>
        <v>A5BGM4</v>
      </c>
      <c r="D3904" s="2" t="s">
        <v>3667</v>
      </c>
      <c r="E3904" s="3">
        <v>0</v>
      </c>
      <c r="F3904" s="2">
        <v>1903</v>
      </c>
      <c r="G3904" s="2">
        <v>67</v>
      </c>
      <c r="H3904" s="2">
        <v>544</v>
      </c>
      <c r="I3904" s="2">
        <v>129</v>
      </c>
      <c r="J3904" s="2">
        <v>1754</v>
      </c>
      <c r="K3904" s="2">
        <v>723</v>
      </c>
      <c r="L3904" s="2">
        <v>1266</v>
      </c>
    </row>
    <row r="3905" spans="1:12" x14ac:dyDescent="0.25">
      <c r="A3905" s="4" t="str">
        <f>HYPERLINK("http://www.rosaceae.org/Prunus/Prunus_persica/p.persica_gdr_reftransV1_0009254","p.persica_gdr_reftransV1_0009254")</f>
        <v>p.persica_gdr_reftransV1_0009254</v>
      </c>
      <c r="B3905" s="2">
        <v>2622</v>
      </c>
      <c r="C3905" s="4" t="str">
        <f>HYPERLINK("http://www.uniprot.org/uniprot/M5WEE3","M5WEE3")</f>
        <v>M5WEE3</v>
      </c>
      <c r="D3905" s="2" t="s">
        <v>3668</v>
      </c>
      <c r="E3905" s="3">
        <v>0</v>
      </c>
      <c r="F3905" s="2">
        <v>2527</v>
      </c>
      <c r="G3905" s="2">
        <v>100</v>
      </c>
      <c r="H3905" s="2">
        <v>529</v>
      </c>
      <c r="I3905" s="2">
        <v>563</v>
      </c>
      <c r="J3905" s="2">
        <v>2149</v>
      </c>
      <c r="K3905" s="2">
        <v>1</v>
      </c>
      <c r="L3905" s="2">
        <v>529</v>
      </c>
    </row>
    <row r="3906" spans="1:12" x14ac:dyDescent="0.25">
      <c r="A3906" s="4" t="str">
        <f>HYPERLINK("http://www.rosaceae.org/Prunus/Prunus_persica/p.persica_gdr_reftransV1_0009954","p.persica_gdr_reftransV1_0009954")</f>
        <v>p.persica_gdr_reftransV1_0009954</v>
      </c>
      <c r="B3906" s="2">
        <v>1124</v>
      </c>
      <c r="C3906" s="4" t="str">
        <f>HYPERLINK("http://www.uniprot.org/uniprot/M5XZ42","M5XZ42")</f>
        <v>M5XZ42</v>
      </c>
      <c r="D3906" s="2" t="s">
        <v>3669</v>
      </c>
      <c r="E3906" s="3">
        <v>5.2200000000000002E-43</v>
      </c>
      <c r="F3906" s="2">
        <v>394</v>
      </c>
      <c r="G3906" s="2">
        <v>100</v>
      </c>
      <c r="H3906" s="2">
        <v>101</v>
      </c>
      <c r="I3906" s="2">
        <v>84</v>
      </c>
      <c r="J3906" s="2">
        <v>386</v>
      </c>
      <c r="K3906" s="2">
        <v>1</v>
      </c>
      <c r="L3906" s="2">
        <v>101</v>
      </c>
    </row>
    <row r="3907" spans="1:12" x14ac:dyDescent="0.25">
      <c r="A3907" s="4" t="str">
        <f>HYPERLINK("http://www.rosaceae.org/Prunus/Prunus_persica/p.persica_gdr_reftransV1_0010654","p.persica_gdr_reftransV1_0010654")</f>
        <v>p.persica_gdr_reftransV1_0010654</v>
      </c>
      <c r="B3907" s="2">
        <v>1740</v>
      </c>
      <c r="C3907" s="4" t="str">
        <f>HYPERLINK("http://www.uniprot.org/uniprot/M5W051","M5W051")</f>
        <v>M5W051</v>
      </c>
      <c r="D3907" s="2" t="s">
        <v>3670</v>
      </c>
      <c r="E3907" s="3">
        <v>1.21E-169</v>
      </c>
      <c r="F3907" s="2">
        <v>1279</v>
      </c>
      <c r="G3907" s="2">
        <v>100</v>
      </c>
      <c r="H3907" s="2">
        <v>257</v>
      </c>
      <c r="I3907" s="2">
        <v>797</v>
      </c>
      <c r="J3907" s="2">
        <v>1567</v>
      </c>
      <c r="K3907" s="2">
        <v>1</v>
      </c>
      <c r="L3907" s="2">
        <v>257</v>
      </c>
    </row>
    <row r="3908" spans="1:12" x14ac:dyDescent="0.25">
      <c r="A3908" s="4" t="str">
        <f>HYPERLINK("http://www.rosaceae.org/Prunus/Prunus_persica/p.persica_gdr_reftransV1_0011354","p.persica_gdr_reftransV1_0011354")</f>
        <v>p.persica_gdr_reftransV1_0011354</v>
      </c>
      <c r="B3908" s="2">
        <v>4871</v>
      </c>
      <c r="C3908" s="4" t="str">
        <f>HYPERLINK("http://www.uniprot.org/uniprot/M5W262","M5W262")</f>
        <v>M5W262</v>
      </c>
      <c r="D3908" s="2" t="s">
        <v>3671</v>
      </c>
      <c r="E3908" s="3">
        <v>0</v>
      </c>
      <c r="F3908" s="2">
        <v>2286</v>
      </c>
      <c r="G3908" s="2">
        <v>100</v>
      </c>
      <c r="H3908" s="2">
        <v>428</v>
      </c>
      <c r="I3908" s="2">
        <v>2688</v>
      </c>
      <c r="J3908" s="2">
        <v>3971</v>
      </c>
      <c r="K3908" s="2">
        <v>1</v>
      </c>
      <c r="L3908" s="2">
        <v>428</v>
      </c>
    </row>
    <row r="3909" spans="1:12" x14ac:dyDescent="0.25">
      <c r="A3909" s="4" t="str">
        <f>HYPERLINK("http://www.rosaceae.org/Prunus/Prunus_persica/p.persica_gdr_reftransV1_0011704","p.persica_gdr_reftransV1_0011704")</f>
        <v>p.persica_gdr_reftransV1_0011704</v>
      </c>
      <c r="B3909" s="2">
        <v>2821</v>
      </c>
      <c r="C3909" s="4" t="str">
        <f>HYPERLINK("http://www.uniprot.org/uniprot/M5XXF1","M5XXF1")</f>
        <v>M5XXF1</v>
      </c>
      <c r="D3909" s="2" t="s">
        <v>3672</v>
      </c>
      <c r="E3909" s="3">
        <v>0</v>
      </c>
      <c r="F3909" s="2">
        <v>3833</v>
      </c>
      <c r="G3909" s="2">
        <v>100</v>
      </c>
      <c r="H3909" s="2">
        <v>732</v>
      </c>
      <c r="I3909" s="2">
        <v>268</v>
      </c>
      <c r="J3909" s="2">
        <v>2463</v>
      </c>
      <c r="K3909" s="2">
        <v>1</v>
      </c>
      <c r="L3909" s="2">
        <v>732</v>
      </c>
    </row>
    <row r="3910" spans="1:12" x14ac:dyDescent="0.25">
      <c r="A3910" s="4" t="str">
        <f>HYPERLINK("http://www.rosaceae.org/Prunus/Prunus_persica/p.persica_gdr_reftransV1_0013454","p.persica_gdr_reftransV1_0013454")</f>
        <v>p.persica_gdr_reftransV1_0013454</v>
      </c>
      <c r="B3910" s="2">
        <v>6002</v>
      </c>
      <c r="C3910" s="4" t="str">
        <f>HYPERLINK("http://www.uniprot.org/uniprot/M5Y4D6","M5Y4D6")</f>
        <v>M5Y4D6</v>
      </c>
      <c r="D3910" s="2" t="s">
        <v>3673</v>
      </c>
      <c r="E3910" s="3">
        <v>0</v>
      </c>
      <c r="F3910" s="2">
        <v>7068</v>
      </c>
      <c r="G3910" s="2">
        <v>100</v>
      </c>
      <c r="H3910" s="2">
        <v>1425</v>
      </c>
      <c r="I3910" s="2">
        <v>220</v>
      </c>
      <c r="J3910" s="2">
        <v>4494</v>
      </c>
      <c r="K3910" s="2">
        <v>1</v>
      </c>
      <c r="L3910" s="2">
        <v>1425</v>
      </c>
    </row>
    <row r="3911" spans="1:12" x14ac:dyDescent="0.25">
      <c r="A3911" s="4" t="str">
        <f>HYPERLINK("http://www.rosaceae.org/Prunus/Prunus_persica/p.persica_gdr_reftransV1_0014154","p.persica_gdr_reftransV1_0014154")</f>
        <v>p.persica_gdr_reftransV1_0014154</v>
      </c>
      <c r="B3911" s="2">
        <v>821</v>
      </c>
      <c r="C3911" s="4" t="str">
        <f>HYPERLINK("http://www.uniprot.org/uniprot/M5W0T8","M5W0T8")</f>
        <v>M5W0T8</v>
      </c>
      <c r="D3911" s="2" t="s">
        <v>3674</v>
      </c>
      <c r="E3911" s="3">
        <v>2.94E-41</v>
      </c>
      <c r="F3911" s="2">
        <v>376</v>
      </c>
      <c r="G3911" s="2">
        <v>100</v>
      </c>
      <c r="H3911" s="2">
        <v>117</v>
      </c>
      <c r="I3911" s="2">
        <v>425</v>
      </c>
      <c r="J3911" s="2">
        <v>775</v>
      </c>
      <c r="K3911" s="2">
        <v>1</v>
      </c>
      <c r="L3911" s="2">
        <v>117</v>
      </c>
    </row>
    <row r="3912" spans="1:12" x14ac:dyDescent="0.25">
      <c r="A3912" s="4" t="str">
        <f>HYPERLINK("http://www.rosaceae.org/Prunus/Prunus_persica/p.persica_gdr_reftransV1_0014504","p.persica_gdr_reftransV1_0014504")</f>
        <v>p.persica_gdr_reftransV1_0014504</v>
      </c>
      <c r="B3912" s="2">
        <v>1261</v>
      </c>
      <c r="C3912" s="4" t="str">
        <f>HYPERLINK("http://www.uniprot.org/uniprot/M5X1P4","M5X1P4")</f>
        <v>M5X1P4</v>
      </c>
      <c r="D3912" s="2" t="s">
        <v>3675</v>
      </c>
      <c r="E3912" s="3">
        <v>2.4899999999999999E-176</v>
      </c>
      <c r="F3912" s="2">
        <v>1302</v>
      </c>
      <c r="G3912" s="2">
        <v>100</v>
      </c>
      <c r="H3912" s="2">
        <v>244</v>
      </c>
      <c r="I3912" s="2">
        <v>309</v>
      </c>
      <c r="J3912" s="2">
        <v>1040</v>
      </c>
      <c r="K3912" s="2">
        <v>42</v>
      </c>
      <c r="L3912" s="2">
        <v>285</v>
      </c>
    </row>
    <row r="3913" spans="1:12" x14ac:dyDescent="0.25">
      <c r="A3913" s="4" t="str">
        <f>HYPERLINK("http://www.rosaceae.org/Prunus/Prunus_persica/p.persica_gdr_reftransV1_0015204","p.persica_gdr_reftransV1_0015204")</f>
        <v>p.persica_gdr_reftransV1_0015204</v>
      </c>
      <c r="B3913" s="2">
        <v>1551</v>
      </c>
      <c r="C3913" s="4" t="str">
        <f>HYPERLINK("http://www.uniprot.org/uniprot/M5XEA4","M5XEA4")</f>
        <v>M5XEA4</v>
      </c>
      <c r="D3913" s="2" t="s">
        <v>3676</v>
      </c>
      <c r="E3913" s="3">
        <v>0</v>
      </c>
      <c r="F3913" s="2">
        <v>2003</v>
      </c>
      <c r="G3913" s="2">
        <v>99</v>
      </c>
      <c r="H3913" s="2">
        <v>387</v>
      </c>
      <c r="I3913" s="2">
        <v>357</v>
      </c>
      <c r="J3913" s="2">
        <v>1517</v>
      </c>
      <c r="K3913" s="2">
        <v>1</v>
      </c>
      <c r="L3913" s="2">
        <v>387</v>
      </c>
    </row>
    <row r="3914" spans="1:12" x14ac:dyDescent="0.25">
      <c r="A3914" s="4" t="str">
        <f>HYPERLINK("http://www.rosaceae.org/Prunus/Prunus_persica/p.persica_gdr_reftransV1_0015554","p.persica_gdr_reftransV1_0015554")</f>
        <v>p.persica_gdr_reftransV1_0015554</v>
      </c>
      <c r="B3914" s="2">
        <v>495</v>
      </c>
      <c r="C3914" s="4" t="str">
        <f>HYPERLINK("http://www.uniprot.org/uniprot/M5WP42","M5WP42")</f>
        <v>M5WP42</v>
      </c>
      <c r="D3914" s="2" t="s">
        <v>3677</v>
      </c>
      <c r="E3914" s="3">
        <v>8.0599999999999994E-111</v>
      </c>
      <c r="F3914" s="2">
        <v>876</v>
      </c>
      <c r="G3914" s="2">
        <v>100</v>
      </c>
      <c r="H3914" s="2">
        <v>164</v>
      </c>
      <c r="I3914" s="2">
        <v>3</v>
      </c>
      <c r="J3914" s="2">
        <v>494</v>
      </c>
      <c r="K3914" s="2">
        <v>170</v>
      </c>
      <c r="L3914" s="2">
        <v>333</v>
      </c>
    </row>
    <row r="3915" spans="1:12" x14ac:dyDescent="0.25">
      <c r="A3915" s="4" t="str">
        <f>HYPERLINK("http://www.rosaceae.org/Prunus/Prunus_persica/p.persica_gdr_reftransV1_0015904","p.persica_gdr_reftransV1_0015904")</f>
        <v>p.persica_gdr_reftransV1_0015904</v>
      </c>
      <c r="B3915" s="2">
        <v>1995</v>
      </c>
      <c r="C3915" s="4" t="str">
        <f>HYPERLINK("http://www.uniprot.org/uniprot/A0A061GIN8","A0A061GIN8")</f>
        <v>A0A061GIN8</v>
      </c>
      <c r="D3915" s="2" t="s">
        <v>3678</v>
      </c>
      <c r="E3915" s="3">
        <v>0</v>
      </c>
      <c r="F3915" s="2">
        <v>1927</v>
      </c>
      <c r="G3915" s="2">
        <v>72</v>
      </c>
      <c r="H3915" s="2">
        <v>545</v>
      </c>
      <c r="I3915" s="2">
        <v>262</v>
      </c>
      <c r="J3915" s="2">
        <v>1857</v>
      </c>
      <c r="K3915" s="2">
        <v>18</v>
      </c>
      <c r="L3915" s="2">
        <v>557</v>
      </c>
    </row>
    <row r="3916" spans="1:12" x14ac:dyDescent="0.25">
      <c r="A3916" s="4" t="str">
        <f>HYPERLINK("http://www.rosaceae.org/Prunus/Prunus_persica/p.persica_gdr_reftransV1_0016954","p.persica_gdr_reftransV1_0016954")</f>
        <v>p.persica_gdr_reftransV1_0016954</v>
      </c>
      <c r="B3916" s="2">
        <v>534</v>
      </c>
      <c r="C3916" s="4" t="str">
        <f>HYPERLINK("http://www.uniprot.org/uniprot/M5X6L3","M5X6L3")</f>
        <v>M5X6L3</v>
      </c>
      <c r="D3916" s="2" t="s">
        <v>3679</v>
      </c>
      <c r="E3916" s="3">
        <v>9.4700000000000004E-70</v>
      </c>
      <c r="F3916" s="2">
        <v>564</v>
      </c>
      <c r="G3916" s="2">
        <v>92</v>
      </c>
      <c r="H3916" s="2">
        <v>125</v>
      </c>
      <c r="I3916" s="2">
        <v>116</v>
      </c>
      <c r="J3916" s="2">
        <v>490</v>
      </c>
      <c r="K3916" s="2">
        <v>1</v>
      </c>
      <c r="L3916" s="2">
        <v>124</v>
      </c>
    </row>
    <row r="3917" spans="1:12" x14ac:dyDescent="0.25">
      <c r="A3917" s="4" t="str">
        <f>HYPERLINK("http://www.rosaceae.org/Prunus/Prunus_persica/p.persica_gdr_reftransV1_0017654","p.persica_gdr_reftransV1_0017654")</f>
        <v>p.persica_gdr_reftransV1_0017654</v>
      </c>
      <c r="B3917" s="2">
        <v>3463</v>
      </c>
      <c r="C3917" s="4" t="str">
        <f>HYPERLINK("http://www.uniprot.org/uniprot/A0A061GGG9","A0A061GGG9")</f>
        <v>A0A061GGG9</v>
      </c>
      <c r="D3917" s="2" t="s">
        <v>3680</v>
      </c>
      <c r="E3917" s="3">
        <v>1.4E-158</v>
      </c>
      <c r="F3917" s="2">
        <v>761</v>
      </c>
      <c r="G3917" s="2">
        <v>48</v>
      </c>
      <c r="H3917" s="2">
        <v>362</v>
      </c>
      <c r="I3917" s="2">
        <v>1639</v>
      </c>
      <c r="J3917" s="2">
        <v>2709</v>
      </c>
      <c r="K3917" s="2">
        <v>1</v>
      </c>
      <c r="L3917" s="2">
        <v>345</v>
      </c>
    </row>
    <row r="3918" spans="1:12" x14ac:dyDescent="0.25">
      <c r="A3918" s="4" t="str">
        <f>HYPERLINK("http://www.rosaceae.org/Prunus/Prunus_persica/p.persica_gdr_reftransV1_0019054","p.persica_gdr_reftransV1_0019054")</f>
        <v>p.persica_gdr_reftransV1_0019054</v>
      </c>
      <c r="B3918" s="2">
        <v>1930</v>
      </c>
      <c r="C3918" s="4" t="str">
        <f>HYPERLINK("http://www.uniprot.org/uniprot/M5XTH6","M5XTH6")</f>
        <v>M5XTH6</v>
      </c>
      <c r="D3918" s="2" t="s">
        <v>3681</v>
      </c>
      <c r="E3918" s="3">
        <v>1.8800000000000001E-145</v>
      </c>
      <c r="F3918" s="2">
        <v>1117</v>
      </c>
      <c r="G3918" s="2">
        <v>84</v>
      </c>
      <c r="H3918" s="2">
        <v>272</v>
      </c>
      <c r="I3918" s="2">
        <v>537</v>
      </c>
      <c r="J3918" s="2">
        <v>1352</v>
      </c>
      <c r="K3918" s="2">
        <v>4</v>
      </c>
      <c r="L3918" s="2">
        <v>241</v>
      </c>
    </row>
    <row r="3919" spans="1:12" x14ac:dyDescent="0.25">
      <c r="A3919" s="4" t="str">
        <f>HYPERLINK("http://www.rosaceae.org/Prunus/Prunus_persica/p.persica_gdr_reftransV1_0020454","p.persica_gdr_reftransV1_0020454")</f>
        <v>p.persica_gdr_reftransV1_0020454</v>
      </c>
      <c r="B3919" s="2">
        <v>3274</v>
      </c>
      <c r="C3919" s="4" t="str">
        <f>HYPERLINK("http://www.uniprot.org/uniprot/M5XB61","M5XB61")</f>
        <v>M5XB61</v>
      </c>
      <c r="D3919" s="2" t="s">
        <v>3682</v>
      </c>
      <c r="E3919" s="3">
        <v>0</v>
      </c>
      <c r="F3919" s="2">
        <v>1490</v>
      </c>
      <c r="G3919" s="2">
        <v>72</v>
      </c>
      <c r="H3919" s="2">
        <v>461</v>
      </c>
      <c r="I3919" s="2">
        <v>1296</v>
      </c>
      <c r="J3919" s="2">
        <v>2678</v>
      </c>
      <c r="K3919" s="2">
        <v>1</v>
      </c>
      <c r="L3919" s="2">
        <v>402</v>
      </c>
    </row>
    <row r="3920" spans="1:12" x14ac:dyDescent="0.25">
      <c r="A3920" s="4" t="str">
        <f>HYPERLINK("http://www.rosaceae.org/Prunus/Prunus_persica/p.persica_gdr_reftransV1_0022904","p.persica_gdr_reftransV1_0022904")</f>
        <v>p.persica_gdr_reftransV1_0022904</v>
      </c>
      <c r="B3920" s="2">
        <v>5160</v>
      </c>
      <c r="C3920" s="4" t="str">
        <f>HYPERLINK("http://www.uniprot.org/uniprot/M5XU55","M5XU55")</f>
        <v>M5XU55</v>
      </c>
      <c r="D3920" s="2" t="s">
        <v>3683</v>
      </c>
      <c r="E3920" s="3">
        <v>0</v>
      </c>
      <c r="F3920" s="2">
        <v>4089</v>
      </c>
      <c r="G3920" s="2">
        <v>100</v>
      </c>
      <c r="H3920" s="2">
        <v>774</v>
      </c>
      <c r="I3920" s="2">
        <v>430</v>
      </c>
      <c r="J3920" s="2">
        <v>2751</v>
      </c>
      <c r="K3920" s="2">
        <v>1</v>
      </c>
      <c r="L3920" s="2">
        <v>774</v>
      </c>
    </row>
    <row r="3921" spans="1:12" x14ac:dyDescent="0.25">
      <c r="A3921" s="4" t="str">
        <f>HYPERLINK("http://www.rosaceae.org/Prunus/Prunus_persica/p.persica_gdr_reftransV1_0023254","p.persica_gdr_reftransV1_0023254")</f>
        <v>p.persica_gdr_reftransV1_0023254</v>
      </c>
      <c r="B3921" s="2">
        <v>804</v>
      </c>
      <c r="C3921" s="4" t="str">
        <f>HYPERLINK("http://www.uniprot.org/uniprot/F6I0H5","F6I0H5")</f>
        <v>F6I0H5</v>
      </c>
      <c r="D3921" s="2" t="s">
        <v>3684</v>
      </c>
      <c r="E3921" s="3">
        <v>4.7500000000000001E-98</v>
      </c>
      <c r="F3921" s="2">
        <v>782</v>
      </c>
      <c r="G3921" s="2">
        <v>80</v>
      </c>
      <c r="H3921" s="2">
        <v>189</v>
      </c>
      <c r="I3921" s="2">
        <v>1</v>
      </c>
      <c r="J3921" s="2">
        <v>567</v>
      </c>
      <c r="K3921" s="2">
        <v>231</v>
      </c>
      <c r="L3921" s="2">
        <v>419</v>
      </c>
    </row>
    <row r="3922" spans="1:12" x14ac:dyDescent="0.25">
      <c r="A3922" s="4" t="str">
        <f>HYPERLINK("http://www.rosaceae.org/Prunus/Prunus_persica/p.persica_gdr_reftransV1_0023604","p.persica_gdr_reftransV1_0023604")</f>
        <v>p.persica_gdr_reftransV1_0023604</v>
      </c>
      <c r="B3922" s="2">
        <v>2678</v>
      </c>
      <c r="C3922" s="4" t="str">
        <f>HYPERLINK("http://www.uniprot.org/uniprot/M5WDX3","M5WDX3")</f>
        <v>M5WDX3</v>
      </c>
      <c r="D3922" s="2" t="s">
        <v>3685</v>
      </c>
      <c r="E3922" s="3">
        <v>0</v>
      </c>
      <c r="F3922" s="2">
        <v>1941</v>
      </c>
      <c r="G3922" s="2">
        <v>100</v>
      </c>
      <c r="H3922" s="2">
        <v>369</v>
      </c>
      <c r="I3922" s="2">
        <v>2</v>
      </c>
      <c r="J3922" s="2">
        <v>1108</v>
      </c>
      <c r="K3922" s="2">
        <v>240</v>
      </c>
      <c r="L3922" s="2">
        <v>608</v>
      </c>
    </row>
    <row r="3923" spans="1:12" x14ac:dyDescent="0.25">
      <c r="A3923" s="4" t="str">
        <f>HYPERLINK("http://www.rosaceae.org/Prunus/Prunus_persica/p.persica_gdr_reftransV1_0023954","p.persica_gdr_reftransV1_0023954")</f>
        <v>p.persica_gdr_reftransV1_0023954</v>
      </c>
      <c r="B3923" s="2">
        <v>2282</v>
      </c>
      <c r="C3923" s="4" t="str">
        <f>HYPERLINK("http://www.uniprot.org/uniprot/M5WGR7","M5WGR7")</f>
        <v>M5WGR7</v>
      </c>
      <c r="D3923" s="2" t="s">
        <v>2437</v>
      </c>
      <c r="E3923" s="3">
        <v>1.6299999999999999E-145</v>
      </c>
      <c r="F3923" s="2">
        <v>1147</v>
      </c>
      <c r="G3923" s="2">
        <v>93</v>
      </c>
      <c r="H3923" s="2">
        <v>296</v>
      </c>
      <c r="I3923" s="2">
        <v>1116</v>
      </c>
      <c r="J3923" s="2">
        <v>2003</v>
      </c>
      <c r="K3923" s="2">
        <v>1</v>
      </c>
      <c r="L3923" s="2">
        <v>279</v>
      </c>
    </row>
    <row r="3924" spans="1:12" x14ac:dyDescent="0.25">
      <c r="A3924" s="4" t="str">
        <f>HYPERLINK("http://www.rosaceae.org/Prunus/Prunus_persica/p.persica_gdr_reftransV1_0024654","p.persica_gdr_reftransV1_0024654")</f>
        <v>p.persica_gdr_reftransV1_0024654</v>
      </c>
      <c r="B3924" s="2">
        <v>2451</v>
      </c>
      <c r="C3924" s="4" t="str">
        <f>HYPERLINK("http://www.uniprot.org/uniprot/M5VVJ5","M5VVJ5")</f>
        <v>M5VVJ5</v>
      </c>
      <c r="D3924" s="2" t="s">
        <v>3686</v>
      </c>
      <c r="E3924" s="3">
        <v>0</v>
      </c>
      <c r="F3924" s="2">
        <v>3041</v>
      </c>
      <c r="G3924" s="2">
        <v>100</v>
      </c>
      <c r="H3924" s="2">
        <v>610</v>
      </c>
      <c r="I3924" s="2">
        <v>446</v>
      </c>
      <c r="J3924" s="2">
        <v>2275</v>
      </c>
      <c r="K3924" s="2">
        <v>1</v>
      </c>
      <c r="L3924" s="2">
        <v>610</v>
      </c>
    </row>
    <row r="3925" spans="1:12" x14ac:dyDescent="0.25">
      <c r="A3925" s="4" t="str">
        <f>HYPERLINK("http://www.rosaceae.org/Prunus/Prunus_persica/p.persica_gdr_reftransV1_0025004","p.persica_gdr_reftransV1_0025004")</f>
        <v>p.persica_gdr_reftransV1_0025004</v>
      </c>
      <c r="B3925" s="2">
        <v>2813</v>
      </c>
      <c r="C3925" s="4" t="str">
        <f>HYPERLINK("http://www.uniprot.org/uniprot/M5XJD6","M5XJD6")</f>
        <v>M5XJD6</v>
      </c>
      <c r="D3925" s="2" t="s">
        <v>3687</v>
      </c>
      <c r="E3925" s="3">
        <v>0</v>
      </c>
      <c r="F3925" s="2">
        <v>3033</v>
      </c>
      <c r="G3925" s="2">
        <v>93</v>
      </c>
      <c r="H3925" s="2">
        <v>614</v>
      </c>
      <c r="I3925" s="2">
        <v>970</v>
      </c>
      <c r="J3925" s="2">
        <v>2811</v>
      </c>
      <c r="K3925" s="2">
        <v>368</v>
      </c>
      <c r="L3925" s="2">
        <v>941</v>
      </c>
    </row>
    <row r="3926" spans="1:12" x14ac:dyDescent="0.25">
      <c r="A3926" s="4" t="str">
        <f>HYPERLINK("http://www.rosaceae.org/Prunus/Prunus_persica/p.persica_gdr_reftransV1_0025354","p.persica_gdr_reftransV1_0025354")</f>
        <v>p.persica_gdr_reftransV1_0025354</v>
      </c>
      <c r="B3926" s="2">
        <v>1980</v>
      </c>
      <c r="C3926" s="4" t="str">
        <f>HYPERLINK("http://www.uniprot.org/uniprot/M5WGZ7","M5WGZ7")</f>
        <v>M5WGZ7</v>
      </c>
      <c r="D3926" s="2" t="s">
        <v>3688</v>
      </c>
      <c r="E3926" s="3">
        <v>1.04E-128</v>
      </c>
      <c r="F3926" s="2">
        <v>1010</v>
      </c>
      <c r="G3926" s="2">
        <v>100</v>
      </c>
      <c r="H3926" s="2">
        <v>187</v>
      </c>
      <c r="I3926" s="2">
        <v>295</v>
      </c>
      <c r="J3926" s="2">
        <v>855</v>
      </c>
      <c r="K3926" s="2">
        <v>1</v>
      </c>
      <c r="L3926" s="2">
        <v>187</v>
      </c>
    </row>
    <row r="3927" spans="1:12" x14ac:dyDescent="0.25">
      <c r="A3927" s="4" t="str">
        <f>HYPERLINK("http://www.rosaceae.org/Prunus/Prunus_persica/p.persica_gdr_reftransV1_0025704","p.persica_gdr_reftransV1_0025704")</f>
        <v>p.persica_gdr_reftransV1_0025704</v>
      </c>
      <c r="B3927" s="2">
        <v>2957</v>
      </c>
      <c r="C3927" s="4" t="str">
        <f>HYPERLINK("http://www.uniprot.org/uniprot/M5WF99","M5WF99")</f>
        <v>M5WF99</v>
      </c>
      <c r="D3927" s="2" t="s">
        <v>3689</v>
      </c>
      <c r="E3927" s="3">
        <v>0</v>
      </c>
      <c r="F3927" s="2">
        <v>3387</v>
      </c>
      <c r="G3927" s="2">
        <v>100</v>
      </c>
      <c r="H3927" s="2">
        <v>707</v>
      </c>
      <c r="I3927" s="2">
        <v>551</v>
      </c>
      <c r="J3927" s="2">
        <v>2671</v>
      </c>
      <c r="K3927" s="2">
        <v>1</v>
      </c>
      <c r="L3927" s="2">
        <v>707</v>
      </c>
    </row>
    <row r="3928" spans="1:12" x14ac:dyDescent="0.25">
      <c r="A3928" s="4" t="str">
        <f>HYPERLINK("http://www.rosaceae.org/Prunus/Prunus_persica/p.persica_gdr_reftransV1_0027804","p.persica_gdr_reftransV1_0027804")</f>
        <v>p.persica_gdr_reftransV1_0027804</v>
      </c>
      <c r="B3928" s="2">
        <v>1238</v>
      </c>
      <c r="C3928" s="4" t="str">
        <f>HYPERLINK("http://www.uniprot.org/uniprot/M5VKG3","M5VKG3")</f>
        <v>M5VKG3</v>
      </c>
      <c r="D3928" s="2" t="s">
        <v>3690</v>
      </c>
      <c r="E3928" s="3">
        <v>7.9899999999999994E-111</v>
      </c>
      <c r="F3928" s="2">
        <v>862</v>
      </c>
      <c r="G3928" s="2">
        <v>93</v>
      </c>
      <c r="H3928" s="2">
        <v>241</v>
      </c>
      <c r="I3928" s="2">
        <v>295</v>
      </c>
      <c r="J3928" s="2">
        <v>1017</v>
      </c>
      <c r="K3928" s="2">
        <v>1</v>
      </c>
      <c r="L3928" s="2">
        <v>225</v>
      </c>
    </row>
    <row r="3929" spans="1:12" x14ac:dyDescent="0.25">
      <c r="A3929" s="4" t="str">
        <f>HYPERLINK("http://www.rosaceae.org/Prunus/Prunus_persica/p.persica_gdr_reftransV1_0028504","p.persica_gdr_reftransV1_0028504")</f>
        <v>p.persica_gdr_reftransV1_0028504</v>
      </c>
      <c r="B3929" s="2">
        <v>3709</v>
      </c>
      <c r="C3929" s="4" t="str">
        <f>HYPERLINK("http://www.uniprot.org/uniprot/M5X2P9","M5X2P9")</f>
        <v>M5X2P9</v>
      </c>
      <c r="D3929" s="2" t="s">
        <v>3691</v>
      </c>
      <c r="E3929" s="3">
        <v>0</v>
      </c>
      <c r="F3929" s="2">
        <v>1347</v>
      </c>
      <c r="G3929" s="2">
        <v>100</v>
      </c>
      <c r="H3929" s="2">
        <v>252</v>
      </c>
      <c r="I3929" s="2">
        <v>1171</v>
      </c>
      <c r="J3929" s="2">
        <v>1926</v>
      </c>
      <c r="K3929" s="2">
        <v>1</v>
      </c>
      <c r="L3929" s="2">
        <v>252</v>
      </c>
    </row>
    <row r="3930" spans="1:12" x14ac:dyDescent="0.25">
      <c r="A3930" s="4" t="str">
        <f>HYPERLINK("http://www.rosaceae.org/Prunus/Prunus_persica/p.persica_gdr_reftransV1_0028854","p.persica_gdr_reftransV1_0028854")</f>
        <v>p.persica_gdr_reftransV1_0028854</v>
      </c>
      <c r="B3930" s="2">
        <v>1500</v>
      </c>
      <c r="C3930" s="4" t="str">
        <f>HYPERLINK("http://www.uniprot.org/uniprot/M5XCS1","M5XCS1")</f>
        <v>M5XCS1</v>
      </c>
      <c r="D3930" s="2" t="s">
        <v>3692</v>
      </c>
      <c r="E3930" s="3">
        <v>4.8600000000000005E-103</v>
      </c>
      <c r="F3930" s="2">
        <v>828</v>
      </c>
      <c r="G3930" s="2">
        <v>87</v>
      </c>
      <c r="H3930" s="2">
        <v>254</v>
      </c>
      <c r="I3930" s="2">
        <v>505</v>
      </c>
      <c r="J3930" s="2">
        <v>1230</v>
      </c>
      <c r="K3930" s="2">
        <v>1</v>
      </c>
      <c r="L3930" s="2">
        <v>254</v>
      </c>
    </row>
    <row r="3931" spans="1:12" x14ac:dyDescent="0.25">
      <c r="A3931" s="4" t="str">
        <f>HYPERLINK("http://www.rosaceae.org/Prunus/Prunus_persica/p.persica_gdr_reftransV1_0029204","p.persica_gdr_reftransV1_0029204")</f>
        <v>p.persica_gdr_reftransV1_0029204</v>
      </c>
      <c r="B3931" s="2">
        <v>883</v>
      </c>
      <c r="C3931" s="4" t="str">
        <f>HYPERLINK("http://www.uniprot.org/uniprot/M5X7U8","M5X7U8")</f>
        <v>M5X7U8</v>
      </c>
      <c r="D3931" s="2" t="s">
        <v>3693</v>
      </c>
      <c r="E3931" s="3">
        <v>1.3100000000000001E-105</v>
      </c>
      <c r="F3931" s="2">
        <v>811</v>
      </c>
      <c r="G3931" s="2">
        <v>100</v>
      </c>
      <c r="H3931" s="2">
        <v>167</v>
      </c>
      <c r="I3931" s="2">
        <v>253</v>
      </c>
      <c r="J3931" s="2">
        <v>753</v>
      </c>
      <c r="K3931" s="2">
        <v>1</v>
      </c>
      <c r="L3931" s="2">
        <v>167</v>
      </c>
    </row>
    <row r="3932" spans="1:12" x14ac:dyDescent="0.25">
      <c r="A3932" s="4" t="str">
        <f>HYPERLINK("http://www.rosaceae.org/Prunus/Prunus_persica/p.persica_gdr_reftransV1_0029554","p.persica_gdr_reftransV1_0029554")</f>
        <v>p.persica_gdr_reftransV1_0029554</v>
      </c>
      <c r="B3932" s="2">
        <v>2960</v>
      </c>
      <c r="C3932" s="4" t="str">
        <f>HYPERLINK("http://www.uniprot.org/uniprot/M5WQY5","M5WQY5")</f>
        <v>M5WQY5</v>
      </c>
      <c r="D3932" s="2" t="s">
        <v>3694</v>
      </c>
      <c r="E3932" s="3">
        <v>0</v>
      </c>
      <c r="F3932" s="2">
        <v>2626</v>
      </c>
      <c r="G3932" s="2">
        <v>100</v>
      </c>
      <c r="H3932" s="2">
        <v>589</v>
      </c>
      <c r="I3932" s="2">
        <v>1005</v>
      </c>
      <c r="J3932" s="2">
        <v>2771</v>
      </c>
      <c r="K3932" s="2">
        <v>1</v>
      </c>
      <c r="L3932" s="2">
        <v>589</v>
      </c>
    </row>
    <row r="3933" spans="1:12" x14ac:dyDescent="0.25">
      <c r="A3933" s="4" t="str">
        <f>HYPERLINK("http://www.rosaceae.org/Prunus/Prunus_persica/p.persica_gdr_reftransV1_0030604","p.persica_gdr_reftransV1_0030604")</f>
        <v>p.persica_gdr_reftransV1_0030604</v>
      </c>
      <c r="B3933" s="2">
        <v>2271</v>
      </c>
      <c r="C3933" s="4" t="str">
        <f>HYPERLINK("http://www.uniprot.org/uniprot/M5XJH8","M5XJH8")</f>
        <v>M5XJH8</v>
      </c>
      <c r="D3933" s="2" t="s">
        <v>3695</v>
      </c>
      <c r="E3933" s="3">
        <v>0</v>
      </c>
      <c r="F3933" s="2">
        <v>1619</v>
      </c>
      <c r="G3933" s="2">
        <v>100</v>
      </c>
      <c r="H3933" s="2">
        <v>297</v>
      </c>
      <c r="I3933" s="2">
        <v>1102</v>
      </c>
      <c r="J3933" s="2">
        <v>1992</v>
      </c>
      <c r="K3933" s="2">
        <v>1</v>
      </c>
      <c r="L3933" s="2">
        <v>297</v>
      </c>
    </row>
    <row r="3934" spans="1:12" x14ac:dyDescent="0.25">
      <c r="A3934" s="4" t="str">
        <f>HYPERLINK("http://www.rosaceae.org/Prunus/Prunus_persica/p.persica_gdr_reftransV1_0032354","p.persica_gdr_reftransV1_0032354")</f>
        <v>p.persica_gdr_reftransV1_0032354</v>
      </c>
      <c r="B3934" s="2">
        <v>1813</v>
      </c>
      <c r="C3934" s="4" t="str">
        <f>HYPERLINK("http://www.uniprot.org/uniprot/M5WMZ3","M5WMZ3")</f>
        <v>M5WMZ3</v>
      </c>
      <c r="D3934" s="2" t="s">
        <v>1535</v>
      </c>
      <c r="E3934" s="3">
        <v>0</v>
      </c>
      <c r="F3934" s="2">
        <v>2410</v>
      </c>
      <c r="G3934" s="2">
        <v>97</v>
      </c>
      <c r="H3934" s="2">
        <v>482</v>
      </c>
      <c r="I3934" s="2">
        <v>286</v>
      </c>
      <c r="J3934" s="2">
        <v>1731</v>
      </c>
      <c r="K3934" s="2">
        <v>1</v>
      </c>
      <c r="L3934" s="2">
        <v>482</v>
      </c>
    </row>
    <row r="3935" spans="1:12" x14ac:dyDescent="0.25">
      <c r="A3935" s="4" t="str">
        <f>HYPERLINK("http://www.rosaceae.org/Prunus/Prunus_persica/p.persica_gdr_reftransV1_0035154","p.persica_gdr_reftransV1_0035154")</f>
        <v>p.persica_gdr_reftransV1_0035154</v>
      </c>
      <c r="B3935" s="2">
        <v>2238</v>
      </c>
      <c r="C3935" s="4" t="str">
        <f>HYPERLINK("http://www.uniprot.org/uniprot/M5WSA1","M5WSA1")</f>
        <v>M5WSA1</v>
      </c>
      <c r="D3935" s="2" t="s">
        <v>3696</v>
      </c>
      <c r="E3935" s="3">
        <v>0</v>
      </c>
      <c r="F3935" s="2">
        <v>2120</v>
      </c>
      <c r="G3935" s="2">
        <v>100</v>
      </c>
      <c r="H3935" s="2">
        <v>395</v>
      </c>
      <c r="I3935" s="2">
        <v>339</v>
      </c>
      <c r="J3935" s="2">
        <v>1523</v>
      </c>
      <c r="K3935" s="2">
        <v>1</v>
      </c>
      <c r="L3935" s="2">
        <v>395</v>
      </c>
    </row>
    <row r="3936" spans="1:12" x14ac:dyDescent="0.25">
      <c r="A3936" s="4" t="str">
        <f>HYPERLINK("http://www.rosaceae.org/Prunus/Prunus_persica/p.persica_gdr_reftransV1_0036554","p.persica_gdr_reftransV1_0036554")</f>
        <v>p.persica_gdr_reftransV1_0036554</v>
      </c>
      <c r="B3936" s="2">
        <v>2848</v>
      </c>
      <c r="C3936" s="4" t="str">
        <f>HYPERLINK("http://www.uniprot.org/uniprot/M5VYB5","M5VYB5")</f>
        <v>M5VYB5</v>
      </c>
      <c r="D3936" s="2" t="s">
        <v>3697</v>
      </c>
      <c r="E3936" s="3">
        <v>5.1500000000000002E-137</v>
      </c>
      <c r="F3936" s="2">
        <v>798</v>
      </c>
      <c r="G3936" s="2">
        <v>99</v>
      </c>
      <c r="H3936" s="2">
        <v>154</v>
      </c>
      <c r="I3936" s="2">
        <v>1575</v>
      </c>
      <c r="J3936" s="2">
        <v>2036</v>
      </c>
      <c r="K3936" s="2">
        <v>281</v>
      </c>
      <c r="L3936" s="2">
        <v>434</v>
      </c>
    </row>
    <row r="3937" spans="1:12" x14ac:dyDescent="0.25">
      <c r="A3937" s="4" t="str">
        <f>HYPERLINK("http://www.rosaceae.org/Prunus/Prunus_persica/p.persica_gdr_reftransV1_0037254","p.persica_gdr_reftransV1_0037254")</f>
        <v>p.persica_gdr_reftransV1_0037254</v>
      </c>
      <c r="B3937" s="2">
        <v>2638</v>
      </c>
      <c r="C3937" s="4" t="str">
        <f>HYPERLINK("http://www.uniprot.org/uniprot/W9RHK6","W9RHK6")</f>
        <v>W9RHK6</v>
      </c>
      <c r="D3937" s="2" t="s">
        <v>3698</v>
      </c>
      <c r="E3937" s="3">
        <v>0</v>
      </c>
      <c r="F3937" s="2">
        <v>2599</v>
      </c>
      <c r="G3937" s="2">
        <v>82</v>
      </c>
      <c r="H3937" s="2">
        <v>713</v>
      </c>
      <c r="I3937" s="2">
        <v>272</v>
      </c>
      <c r="J3937" s="2">
        <v>2362</v>
      </c>
      <c r="K3937" s="2">
        <v>19</v>
      </c>
      <c r="L3937" s="2">
        <v>731</v>
      </c>
    </row>
    <row r="3938" spans="1:12" x14ac:dyDescent="0.25">
      <c r="A3938" s="4" t="str">
        <f>HYPERLINK("http://www.rosaceae.org/Prunus/Prunus_persica/p.persica_gdr_reftransV1_0039004","p.persica_gdr_reftransV1_0039004")</f>
        <v>p.persica_gdr_reftransV1_0039004</v>
      </c>
      <c r="B3938" s="2">
        <v>1672</v>
      </c>
      <c r="C3938" s="4" t="str">
        <f>HYPERLINK("http://www.uniprot.org/uniprot/M4F6X7","M4F6X7")</f>
        <v>M4F6X7</v>
      </c>
      <c r="D3938" s="2" t="s">
        <v>3699</v>
      </c>
      <c r="E3938" s="3">
        <v>2.26E-62</v>
      </c>
      <c r="F3938" s="2">
        <v>441</v>
      </c>
      <c r="G3938" s="2">
        <v>49</v>
      </c>
      <c r="H3938" s="2">
        <v>187</v>
      </c>
      <c r="I3938" s="2">
        <v>333</v>
      </c>
      <c r="J3938" s="2">
        <v>722</v>
      </c>
      <c r="K3938" s="2">
        <v>723</v>
      </c>
      <c r="L3938" s="2">
        <v>909</v>
      </c>
    </row>
    <row r="3939" spans="1:12" x14ac:dyDescent="0.25">
      <c r="A3939" s="4" t="str">
        <f>HYPERLINK("http://www.rosaceae.org/Prunus/Prunus_persica/p.persica_gdr_reftransV1_0039704","p.persica_gdr_reftransV1_0039704")</f>
        <v>p.persica_gdr_reftransV1_0039704</v>
      </c>
      <c r="B3939" s="2">
        <v>719</v>
      </c>
      <c r="C3939" s="4" t="str">
        <f>HYPERLINK("http://www.uniprot.org/uniprot/M5X0Y0","M5X0Y0")</f>
        <v>M5X0Y0</v>
      </c>
      <c r="D3939" s="2" t="s">
        <v>1598</v>
      </c>
      <c r="E3939" s="3">
        <v>9.2799999999999997E-82</v>
      </c>
      <c r="F3939" s="2">
        <v>652</v>
      </c>
      <c r="G3939" s="2">
        <v>100</v>
      </c>
      <c r="H3939" s="2">
        <v>161</v>
      </c>
      <c r="I3939" s="2">
        <v>235</v>
      </c>
      <c r="J3939" s="2">
        <v>717</v>
      </c>
      <c r="K3939" s="2">
        <v>63</v>
      </c>
      <c r="L3939" s="2">
        <v>223</v>
      </c>
    </row>
    <row r="3940" spans="1:12" x14ac:dyDescent="0.25">
      <c r="A3940" s="4" t="str">
        <f>HYPERLINK("http://www.rosaceae.org/Prunus/Prunus_persica/p.persica_gdr_reftransV1_0043204","p.persica_gdr_reftransV1_0043204")</f>
        <v>p.persica_gdr_reftransV1_0043204</v>
      </c>
      <c r="B3940" s="2">
        <v>737</v>
      </c>
      <c r="C3940" s="4" t="str">
        <f>HYPERLINK("http://www.uniprot.org/uniprot/M5VU20","M5VU20")</f>
        <v>M5VU20</v>
      </c>
      <c r="D3940" s="2" t="s">
        <v>3700</v>
      </c>
      <c r="E3940" s="3">
        <v>4.0300000000000004E-167</v>
      </c>
      <c r="F3940" s="2">
        <v>1222</v>
      </c>
      <c r="G3940" s="2">
        <v>100</v>
      </c>
      <c r="H3940" s="2">
        <v>239</v>
      </c>
      <c r="I3940" s="2">
        <v>21</v>
      </c>
      <c r="J3940" s="2">
        <v>737</v>
      </c>
      <c r="K3940" s="2">
        <v>1</v>
      </c>
      <c r="L3940" s="2">
        <v>239</v>
      </c>
    </row>
    <row r="3941" spans="1:12" x14ac:dyDescent="0.25">
      <c r="A3941" s="4" t="str">
        <f>HYPERLINK("http://www.rosaceae.org/Prunus/Prunus_persica/p.persica_gdr_reftransV1_0043554","p.persica_gdr_reftransV1_0043554")</f>
        <v>p.persica_gdr_reftransV1_0043554</v>
      </c>
      <c r="B3941" s="2">
        <v>736</v>
      </c>
      <c r="C3941" s="4" t="str">
        <f>HYPERLINK("http://www.uniprot.org/uniprot/M5XPR4","M5XPR4")</f>
        <v>M5XPR4</v>
      </c>
      <c r="D3941" s="2" t="s">
        <v>3701</v>
      </c>
      <c r="E3941" s="3">
        <v>4.7099999999999999E-145</v>
      </c>
      <c r="F3941" s="2">
        <v>1072</v>
      </c>
      <c r="G3941" s="2">
        <v>100</v>
      </c>
      <c r="H3941" s="2">
        <v>202</v>
      </c>
      <c r="I3941" s="2">
        <v>130</v>
      </c>
      <c r="J3941" s="2">
        <v>735</v>
      </c>
      <c r="K3941" s="2">
        <v>35</v>
      </c>
      <c r="L3941" s="2">
        <v>236</v>
      </c>
    </row>
    <row r="3942" spans="1:12" x14ac:dyDescent="0.25">
      <c r="A3942" s="4" t="str">
        <f>HYPERLINK("http://www.rosaceae.org/Prunus/Prunus_persica/p.persica_gdr_reftransV1_0043904","p.persica_gdr_reftransV1_0043904")</f>
        <v>p.persica_gdr_reftransV1_0043904</v>
      </c>
      <c r="B3942" s="2">
        <v>1569</v>
      </c>
      <c r="C3942" s="4" t="str">
        <f>HYPERLINK("http://www.uniprot.org/uniprot/M5X1K5","M5X1K5")</f>
        <v>M5X1K5</v>
      </c>
      <c r="D3942" s="2" t="s">
        <v>3702</v>
      </c>
      <c r="E3942" s="3">
        <v>0</v>
      </c>
      <c r="F3942" s="2">
        <v>1720</v>
      </c>
      <c r="G3942" s="2">
        <v>100</v>
      </c>
      <c r="H3942" s="2">
        <v>396</v>
      </c>
      <c r="I3942" s="2">
        <v>284</v>
      </c>
      <c r="J3942" s="2">
        <v>1471</v>
      </c>
      <c r="K3942" s="2">
        <v>1</v>
      </c>
      <c r="L3942" s="2">
        <v>396</v>
      </c>
    </row>
    <row r="3943" spans="1:12" x14ac:dyDescent="0.25">
      <c r="A3943" s="4" t="str">
        <f>HYPERLINK("http://www.rosaceae.org/Prunus/Prunus_persica/p.persica_gdr_reftransV1_0044954","p.persica_gdr_reftransV1_0044954")</f>
        <v>p.persica_gdr_reftransV1_0044954</v>
      </c>
      <c r="B3943" s="2">
        <v>1157</v>
      </c>
      <c r="C3943" s="4" t="str">
        <f>HYPERLINK("http://www.uniprot.org/uniprot/A0A067JYP7","A0A067JYP7")</f>
        <v>A0A067JYP7</v>
      </c>
      <c r="D3943" s="2" t="s">
        <v>3703</v>
      </c>
      <c r="E3943" s="3">
        <v>4.5000000000000002E-93</v>
      </c>
      <c r="F3943" s="2">
        <v>750</v>
      </c>
      <c r="G3943" s="2">
        <v>57</v>
      </c>
      <c r="H3943" s="2">
        <v>327</v>
      </c>
      <c r="I3943" s="2">
        <v>78</v>
      </c>
      <c r="J3943" s="2">
        <v>1040</v>
      </c>
      <c r="K3943" s="2">
        <v>1</v>
      </c>
      <c r="L3943" s="2">
        <v>313</v>
      </c>
    </row>
    <row r="3944" spans="1:12" x14ac:dyDescent="0.25">
      <c r="A3944" s="4" t="str">
        <f>HYPERLINK("http://www.rosaceae.org/Prunus/Prunus_persica/p.persica_gdr_reftransV1_0045304","p.persica_gdr_reftransV1_0045304")</f>
        <v>p.persica_gdr_reftransV1_0045304</v>
      </c>
      <c r="B3944" s="2">
        <v>2631</v>
      </c>
      <c r="C3944" s="4" t="str">
        <f>HYPERLINK("http://www.uniprot.org/uniprot/M5WCP8","M5WCP8")</f>
        <v>M5WCP8</v>
      </c>
      <c r="D3944" s="2" t="s">
        <v>3704</v>
      </c>
      <c r="E3944" s="3">
        <v>0</v>
      </c>
      <c r="F3944" s="2">
        <v>3356</v>
      </c>
      <c r="G3944" s="2">
        <v>100</v>
      </c>
      <c r="H3944" s="2">
        <v>719</v>
      </c>
      <c r="I3944" s="2">
        <v>312</v>
      </c>
      <c r="J3944" s="2">
        <v>2468</v>
      </c>
      <c r="K3944" s="2">
        <v>1</v>
      </c>
      <c r="L3944" s="2">
        <v>719</v>
      </c>
    </row>
    <row r="3945" spans="1:12" x14ac:dyDescent="0.25">
      <c r="A3945" s="4" t="str">
        <f>HYPERLINK("http://www.rosaceae.org/Prunus/Prunus_persica/p.persica_gdr_reftransV1_0045654","p.persica_gdr_reftransV1_0045654")</f>
        <v>p.persica_gdr_reftransV1_0045654</v>
      </c>
      <c r="B3945" s="2">
        <v>359</v>
      </c>
      <c r="C3945" s="4" t="str">
        <f>HYPERLINK("http://www.uniprot.org/uniprot/M5VZ41","M5VZ41")</f>
        <v>M5VZ41</v>
      </c>
      <c r="D3945" s="2" t="s">
        <v>3705</v>
      </c>
      <c r="E3945" s="3">
        <v>1.02E-31</v>
      </c>
      <c r="F3945" s="2">
        <v>315</v>
      </c>
      <c r="G3945" s="2">
        <v>100</v>
      </c>
      <c r="H3945" s="2">
        <v>84</v>
      </c>
      <c r="I3945" s="2">
        <v>42</v>
      </c>
      <c r="J3945" s="2">
        <v>293</v>
      </c>
      <c r="K3945" s="2">
        <v>1</v>
      </c>
      <c r="L3945" s="2">
        <v>84</v>
      </c>
    </row>
    <row r="3946" spans="1:12" x14ac:dyDescent="0.25">
      <c r="A3946" s="4" t="str">
        <f>HYPERLINK("http://www.rosaceae.org/Prunus/Prunus_persica/p.persica_gdr_reftransV1_0046004","p.persica_gdr_reftransV1_0046004")</f>
        <v>p.persica_gdr_reftransV1_0046004</v>
      </c>
      <c r="B3946" s="2">
        <v>1146</v>
      </c>
      <c r="C3946" s="4" t="str">
        <f>HYPERLINK("http://www.uniprot.org/uniprot/M5WFA6","M5WFA6")</f>
        <v>M5WFA6</v>
      </c>
      <c r="D3946" s="2" t="s">
        <v>3706</v>
      </c>
      <c r="E3946" s="3">
        <v>7.2800000000000004E-140</v>
      </c>
      <c r="F3946" s="2">
        <v>1050</v>
      </c>
      <c r="G3946" s="2">
        <v>100</v>
      </c>
      <c r="H3946" s="2">
        <v>211</v>
      </c>
      <c r="I3946" s="2">
        <v>352</v>
      </c>
      <c r="J3946" s="2">
        <v>984</v>
      </c>
      <c r="K3946" s="2">
        <v>1</v>
      </c>
      <c r="L3946" s="2">
        <v>211</v>
      </c>
    </row>
    <row r="3947" spans="1:12" x14ac:dyDescent="0.25">
      <c r="A3947" s="4" t="str">
        <f>HYPERLINK("http://www.rosaceae.org/Prunus/Prunus_persica/p.persica_gdr_reftransV1_0046354","p.persica_gdr_reftransV1_0046354")</f>
        <v>p.persica_gdr_reftransV1_0046354</v>
      </c>
      <c r="B3947" s="2">
        <v>2017</v>
      </c>
      <c r="C3947" s="4" t="str">
        <f>HYPERLINK("http://www.uniprot.org/uniprot/M5W5W1","M5W5W1")</f>
        <v>M5W5W1</v>
      </c>
      <c r="D3947" s="2" t="s">
        <v>3707</v>
      </c>
      <c r="E3947" s="3">
        <v>0</v>
      </c>
      <c r="F3947" s="2">
        <v>2594</v>
      </c>
      <c r="G3947" s="2">
        <v>100</v>
      </c>
      <c r="H3947" s="2">
        <v>485</v>
      </c>
      <c r="I3947" s="2">
        <v>516</v>
      </c>
      <c r="J3947" s="2">
        <v>1970</v>
      </c>
      <c r="K3947" s="2">
        <v>5</v>
      </c>
      <c r="L3947" s="2">
        <v>489</v>
      </c>
    </row>
    <row r="3948" spans="1:12" x14ac:dyDescent="0.25">
      <c r="A3948" s="4" t="str">
        <f>HYPERLINK("http://www.rosaceae.org/Prunus/Prunus_persica/p.persica_gdr_reftransV1_0046704","p.persica_gdr_reftransV1_0046704")</f>
        <v>p.persica_gdr_reftransV1_0046704</v>
      </c>
      <c r="B3948" s="2">
        <v>2580</v>
      </c>
      <c r="C3948" s="4" t="str">
        <f>HYPERLINK("http://www.uniprot.org/uniprot/M5VVH7","M5VVH7")</f>
        <v>M5VVH7</v>
      </c>
      <c r="D3948" s="2" t="s">
        <v>3708</v>
      </c>
      <c r="E3948" s="3">
        <v>0</v>
      </c>
      <c r="F3948" s="2">
        <v>1869</v>
      </c>
      <c r="G3948" s="2">
        <v>100</v>
      </c>
      <c r="H3948" s="2">
        <v>673</v>
      </c>
      <c r="I3948" s="2">
        <v>423</v>
      </c>
      <c r="J3948" s="2">
        <v>2441</v>
      </c>
      <c r="K3948" s="2">
        <v>1</v>
      </c>
      <c r="L3948" s="2">
        <v>673</v>
      </c>
    </row>
    <row r="3949" spans="1:12" x14ac:dyDescent="0.25">
      <c r="A3949" s="4" t="str">
        <f>HYPERLINK("http://www.rosaceae.org/Prunus/Prunus_persica/p.persica_gdr_reftransV1_0047054","p.persica_gdr_reftransV1_0047054")</f>
        <v>p.persica_gdr_reftransV1_0047054</v>
      </c>
      <c r="B3949" s="2">
        <v>3180</v>
      </c>
      <c r="C3949" s="4" t="str">
        <f>HYPERLINK("http://www.uniprot.org/uniprot/A0A067KY13","A0A067KY13")</f>
        <v>A0A067KY13</v>
      </c>
      <c r="D3949" s="2" t="s">
        <v>3709</v>
      </c>
      <c r="E3949" s="3">
        <v>0</v>
      </c>
      <c r="F3949" s="2">
        <v>3899</v>
      </c>
      <c r="G3949" s="2">
        <v>82</v>
      </c>
      <c r="H3949" s="2">
        <v>892</v>
      </c>
      <c r="I3949" s="2">
        <v>290</v>
      </c>
      <c r="J3949" s="2">
        <v>2965</v>
      </c>
      <c r="K3949" s="2">
        <v>32</v>
      </c>
      <c r="L3949" s="2">
        <v>921</v>
      </c>
    </row>
    <row r="3950" spans="1:12" x14ac:dyDescent="0.25">
      <c r="A3950" s="4" t="str">
        <f>HYPERLINK("http://www.rosaceae.org/Prunus/Prunus_persica/p.persica_gdr_reftransV1_0047404","p.persica_gdr_reftransV1_0047404")</f>
        <v>p.persica_gdr_reftransV1_0047404</v>
      </c>
      <c r="B3950" s="2">
        <v>775</v>
      </c>
      <c r="C3950" s="4" t="str">
        <f>HYPERLINK("http://www.uniprot.org/uniprot/M5XK84","M5XK84")</f>
        <v>M5XK84</v>
      </c>
      <c r="D3950" s="2" t="s">
        <v>3710</v>
      </c>
      <c r="E3950" s="3">
        <v>1.2399999999999999E-56</v>
      </c>
      <c r="F3950" s="2">
        <v>515</v>
      </c>
      <c r="G3950" s="2">
        <v>100</v>
      </c>
      <c r="H3950" s="2">
        <v>118</v>
      </c>
      <c r="I3950" s="2">
        <v>3</v>
      </c>
      <c r="J3950" s="2">
        <v>356</v>
      </c>
      <c r="K3950" s="2">
        <v>1</v>
      </c>
      <c r="L3950" s="2">
        <v>118</v>
      </c>
    </row>
    <row r="3951" spans="1:12" x14ac:dyDescent="0.25">
      <c r="A3951" s="4" t="str">
        <f>HYPERLINK("http://www.rosaceae.org/Prunus/Prunus_persica/p.persica_gdr_reftransV1_0047754","p.persica_gdr_reftransV1_0047754")</f>
        <v>p.persica_gdr_reftransV1_0047754</v>
      </c>
      <c r="B3951" s="2">
        <v>3305</v>
      </c>
      <c r="C3951" s="4" t="str">
        <f>HYPERLINK("http://www.uniprot.org/uniprot/M5W868","M5W868")</f>
        <v>M5W868</v>
      </c>
      <c r="D3951" s="2" t="s">
        <v>3711</v>
      </c>
      <c r="E3951" s="3">
        <v>0</v>
      </c>
      <c r="F3951" s="2">
        <v>4852</v>
      </c>
      <c r="G3951" s="2">
        <v>100</v>
      </c>
      <c r="H3951" s="2">
        <v>927</v>
      </c>
      <c r="I3951" s="2">
        <v>455</v>
      </c>
      <c r="J3951" s="2">
        <v>3235</v>
      </c>
      <c r="K3951" s="2">
        <v>1</v>
      </c>
      <c r="L3951" s="2">
        <v>927</v>
      </c>
    </row>
    <row r="3952" spans="1:12" x14ac:dyDescent="0.25">
      <c r="A3952" s="4" t="str">
        <f>HYPERLINK("http://www.rosaceae.org/Prunus/Prunus_persica/p.persica_gdr_reftransV1_0048104","p.persica_gdr_reftransV1_0048104")</f>
        <v>p.persica_gdr_reftransV1_0048104</v>
      </c>
      <c r="B3952" s="2">
        <v>1747</v>
      </c>
      <c r="C3952" s="4" t="str">
        <f>HYPERLINK("http://www.uniprot.org/uniprot/M5VWS8","M5VWS8")</f>
        <v>M5VWS8</v>
      </c>
      <c r="D3952" s="2" t="s">
        <v>2937</v>
      </c>
      <c r="E3952" s="3">
        <v>0</v>
      </c>
      <c r="F3952" s="2">
        <v>1385</v>
      </c>
      <c r="G3952" s="2">
        <v>96</v>
      </c>
      <c r="H3952" s="2">
        <v>393</v>
      </c>
      <c r="I3952" s="2">
        <v>567</v>
      </c>
      <c r="J3952" s="2">
        <v>1745</v>
      </c>
      <c r="K3952" s="2">
        <v>51</v>
      </c>
      <c r="L3952" s="2">
        <v>429</v>
      </c>
    </row>
    <row r="3953" spans="1:12" x14ac:dyDescent="0.25">
      <c r="A3953" s="4" t="str">
        <f>HYPERLINK("http://www.rosaceae.org/Prunus/Prunus_persica/p.persica_gdr_reftransV1_0048804","p.persica_gdr_reftransV1_0048804")</f>
        <v>p.persica_gdr_reftransV1_0048804</v>
      </c>
      <c r="B3953" s="2">
        <v>896</v>
      </c>
      <c r="C3953" s="4" t="str">
        <f>HYPERLINK("http://www.uniprot.org/uniprot/M5XRW6","M5XRW6")</f>
        <v>M5XRW6</v>
      </c>
      <c r="D3953" s="2" t="s">
        <v>3712</v>
      </c>
      <c r="E3953" s="3">
        <v>1.9E-97</v>
      </c>
      <c r="F3953" s="2">
        <v>816</v>
      </c>
      <c r="G3953" s="2">
        <v>100</v>
      </c>
      <c r="H3953" s="2">
        <v>151</v>
      </c>
      <c r="I3953" s="2">
        <v>443</v>
      </c>
      <c r="J3953" s="2">
        <v>895</v>
      </c>
      <c r="K3953" s="2">
        <v>798</v>
      </c>
      <c r="L3953" s="2">
        <v>948</v>
      </c>
    </row>
    <row r="3954" spans="1:12" x14ac:dyDescent="0.25">
      <c r="A3954" s="4" t="str">
        <f>HYPERLINK("http://www.rosaceae.org/Prunus/Prunus_persica/p.persica_gdr_reftransV1_0049154","p.persica_gdr_reftransV1_0049154")</f>
        <v>p.persica_gdr_reftransV1_0049154</v>
      </c>
      <c r="B3954" s="2">
        <v>741</v>
      </c>
      <c r="C3954" s="4" t="str">
        <f>HYPERLINK("http://www.uniprot.org/uniprot/M5WP19","M5WP19")</f>
        <v>M5WP19</v>
      </c>
      <c r="D3954" s="2" t="s">
        <v>3713</v>
      </c>
      <c r="E3954" s="3">
        <v>7.8700000000000005E-85</v>
      </c>
      <c r="F3954" s="2">
        <v>670</v>
      </c>
      <c r="G3954" s="2">
        <v>100</v>
      </c>
      <c r="H3954" s="2">
        <v>183</v>
      </c>
      <c r="I3954" s="2">
        <v>95</v>
      </c>
      <c r="J3954" s="2">
        <v>643</v>
      </c>
      <c r="K3954" s="2">
        <v>1</v>
      </c>
      <c r="L3954" s="2">
        <v>183</v>
      </c>
    </row>
    <row r="3955" spans="1:12" x14ac:dyDescent="0.25">
      <c r="A3955" s="4" t="str">
        <f>HYPERLINK("http://www.rosaceae.org/Prunus/Prunus_persica/p.persica_gdr_reftransV1_0000155","p.persica_gdr_reftransV1_0000155")</f>
        <v>p.persica_gdr_reftransV1_0000155</v>
      </c>
      <c r="B3955" s="2">
        <v>2728</v>
      </c>
      <c r="C3955" s="4" t="str">
        <f>HYPERLINK("http://www.uniprot.org/uniprot/M5WYI1","M5WYI1")</f>
        <v>M5WYI1</v>
      </c>
      <c r="D3955" s="2" t="s">
        <v>3714</v>
      </c>
      <c r="E3955" s="3">
        <v>0</v>
      </c>
      <c r="F3955" s="2">
        <v>4373</v>
      </c>
      <c r="G3955" s="2">
        <v>100</v>
      </c>
      <c r="H3955" s="2">
        <v>852</v>
      </c>
      <c r="I3955" s="2">
        <v>173</v>
      </c>
      <c r="J3955" s="2">
        <v>2728</v>
      </c>
      <c r="K3955" s="2">
        <v>1</v>
      </c>
      <c r="L3955" s="2">
        <v>852</v>
      </c>
    </row>
    <row r="3956" spans="1:12" x14ac:dyDescent="0.25">
      <c r="A3956" s="4" t="str">
        <f>HYPERLINK("http://www.rosaceae.org/Prunus/Prunus_persica/p.persica_gdr_reftransV1_0000505","p.persica_gdr_reftransV1_0000505")</f>
        <v>p.persica_gdr_reftransV1_0000505</v>
      </c>
      <c r="B3956" s="2">
        <v>4269</v>
      </c>
      <c r="C3956" s="4" t="str">
        <f>HYPERLINK("http://www.uniprot.org/uniprot/M5WV42","M5WV42")</f>
        <v>M5WV42</v>
      </c>
      <c r="D3956" s="2" t="s">
        <v>3715</v>
      </c>
      <c r="E3956" s="3">
        <v>0</v>
      </c>
      <c r="F3956" s="2">
        <v>1860</v>
      </c>
      <c r="G3956" s="2">
        <v>97</v>
      </c>
      <c r="H3956" s="2">
        <v>387</v>
      </c>
      <c r="I3956" s="2">
        <v>1155</v>
      </c>
      <c r="J3956" s="2">
        <v>2315</v>
      </c>
      <c r="K3956" s="2">
        <v>103</v>
      </c>
      <c r="L3956" s="2">
        <v>489</v>
      </c>
    </row>
    <row r="3957" spans="1:12" x14ac:dyDescent="0.25">
      <c r="A3957" s="4" t="str">
        <f>HYPERLINK("http://www.rosaceae.org/Prunus/Prunus_persica/p.persica_gdr_reftransV1_0000855","p.persica_gdr_reftransV1_0000855")</f>
        <v>p.persica_gdr_reftransV1_0000855</v>
      </c>
      <c r="B3957" s="2">
        <v>443</v>
      </c>
      <c r="C3957" s="4" t="str">
        <f>HYPERLINK("http://www.uniprot.org/uniprot/M5WV52","M5WV52")</f>
        <v>M5WV52</v>
      </c>
      <c r="D3957" s="2" t="s">
        <v>3716</v>
      </c>
      <c r="E3957" s="3">
        <v>2.64E-91</v>
      </c>
      <c r="F3957" s="2">
        <v>716</v>
      </c>
      <c r="G3957" s="2">
        <v>99</v>
      </c>
      <c r="H3957" s="2">
        <v>134</v>
      </c>
      <c r="I3957" s="2">
        <v>41</v>
      </c>
      <c r="J3957" s="2">
        <v>442</v>
      </c>
      <c r="K3957" s="2">
        <v>24</v>
      </c>
      <c r="L3957" s="2">
        <v>157</v>
      </c>
    </row>
    <row r="3958" spans="1:12" x14ac:dyDescent="0.25">
      <c r="A3958" s="4" t="str">
        <f>HYPERLINK("http://www.rosaceae.org/Prunus/Prunus_persica/p.persica_gdr_reftransV1_0001555","p.persica_gdr_reftransV1_0001555")</f>
        <v>p.persica_gdr_reftransV1_0001555</v>
      </c>
      <c r="B3958" s="2">
        <v>1158</v>
      </c>
      <c r="C3958" s="4" t="str">
        <f>HYPERLINK("http://www.uniprot.org/uniprot/M5X1J7","M5X1J7")</f>
        <v>M5X1J7</v>
      </c>
      <c r="D3958" s="2" t="s">
        <v>3717</v>
      </c>
      <c r="E3958" s="3">
        <v>2.5400000000000001E-166</v>
      </c>
      <c r="F3958" s="2">
        <v>1234</v>
      </c>
      <c r="G3958" s="2">
        <v>91</v>
      </c>
      <c r="H3958" s="2">
        <v>277</v>
      </c>
      <c r="I3958" s="2">
        <v>290</v>
      </c>
      <c r="J3958" s="2">
        <v>1105</v>
      </c>
      <c r="K3958" s="2">
        <v>11</v>
      </c>
      <c r="L3958" s="2">
        <v>287</v>
      </c>
    </row>
    <row r="3959" spans="1:12" x14ac:dyDescent="0.25">
      <c r="A3959" s="4" t="str">
        <f>HYPERLINK("http://www.rosaceae.org/Prunus/Prunus_persica/p.persica_gdr_reftransV1_0002255","p.persica_gdr_reftransV1_0002255")</f>
        <v>p.persica_gdr_reftransV1_0002255</v>
      </c>
      <c r="B3959" s="2">
        <v>4415</v>
      </c>
      <c r="C3959" s="4" t="str">
        <f>HYPERLINK("http://www.uniprot.org/uniprot/M5WQZ9","M5WQZ9")</f>
        <v>M5WQZ9</v>
      </c>
      <c r="D3959" s="2" t="s">
        <v>3718</v>
      </c>
      <c r="E3959" s="3">
        <v>0</v>
      </c>
      <c r="F3959" s="2">
        <v>5494</v>
      </c>
      <c r="G3959" s="2">
        <v>100</v>
      </c>
      <c r="H3959" s="2">
        <v>1208</v>
      </c>
      <c r="I3959" s="2">
        <v>423</v>
      </c>
      <c r="J3959" s="2">
        <v>4037</v>
      </c>
      <c r="K3959" s="2">
        <v>1</v>
      </c>
      <c r="L3959" s="2">
        <v>1208</v>
      </c>
    </row>
    <row r="3960" spans="1:12" x14ac:dyDescent="0.25">
      <c r="A3960" s="4" t="str">
        <f>HYPERLINK("http://www.rosaceae.org/Prunus/Prunus_persica/p.persica_gdr_reftransV1_0002605","p.persica_gdr_reftransV1_0002605")</f>
        <v>p.persica_gdr_reftransV1_0002605</v>
      </c>
      <c r="B3960" s="2">
        <v>3565</v>
      </c>
      <c r="C3960" s="4" t="str">
        <f>HYPERLINK("http://www.uniprot.org/uniprot/Q9M461","Q9M461")</f>
        <v>Q9M461</v>
      </c>
      <c r="D3960" s="2" t="s">
        <v>3719</v>
      </c>
      <c r="E3960" s="3">
        <v>0</v>
      </c>
      <c r="F3960" s="2">
        <v>4666</v>
      </c>
      <c r="G3960" s="2">
        <v>100</v>
      </c>
      <c r="H3960" s="2">
        <v>954</v>
      </c>
      <c r="I3960" s="2">
        <v>271</v>
      </c>
      <c r="J3960" s="2">
        <v>3132</v>
      </c>
      <c r="K3960" s="2">
        <v>1</v>
      </c>
      <c r="L3960" s="2">
        <v>954</v>
      </c>
    </row>
    <row r="3961" spans="1:12" x14ac:dyDescent="0.25">
      <c r="A3961" s="4" t="str">
        <f>HYPERLINK("http://www.rosaceae.org/Prunus/Prunus_persica/p.persica_gdr_reftransV1_0003305","p.persica_gdr_reftransV1_0003305")</f>
        <v>p.persica_gdr_reftransV1_0003305</v>
      </c>
      <c r="B3961" s="2">
        <v>1436</v>
      </c>
      <c r="C3961" s="4" t="str">
        <f>HYPERLINK("http://www.uniprot.org/uniprot/B9HTD4","B9HTD4")</f>
        <v>B9HTD4</v>
      </c>
      <c r="D3961" s="2" t="s">
        <v>3720</v>
      </c>
      <c r="E3961" s="3">
        <v>5.0400000000000001E-163</v>
      </c>
      <c r="F3961" s="2">
        <v>1235</v>
      </c>
      <c r="G3961" s="2">
        <v>58</v>
      </c>
      <c r="H3961" s="2">
        <v>440</v>
      </c>
      <c r="I3961" s="2">
        <v>68</v>
      </c>
      <c r="J3961" s="2">
        <v>1369</v>
      </c>
      <c r="K3961" s="2">
        <v>1</v>
      </c>
      <c r="L3961" s="2">
        <v>428</v>
      </c>
    </row>
    <row r="3962" spans="1:12" x14ac:dyDescent="0.25">
      <c r="A3962" s="4" t="str">
        <f>HYPERLINK("http://www.rosaceae.org/Prunus/Prunus_persica/p.persica_gdr_reftransV1_0004005","p.persica_gdr_reftransV1_0004005")</f>
        <v>p.persica_gdr_reftransV1_0004005</v>
      </c>
      <c r="B3962" s="2">
        <v>324</v>
      </c>
      <c r="C3962" s="4" t="str">
        <f>HYPERLINK("http://www.uniprot.org/uniprot/M5WN57","M5WN57")</f>
        <v>M5WN57</v>
      </c>
      <c r="D3962" s="2" t="s">
        <v>1334</v>
      </c>
      <c r="E3962" s="3">
        <v>1.09E-66</v>
      </c>
      <c r="F3962" s="2">
        <v>575</v>
      </c>
      <c r="G3962" s="2">
        <v>100</v>
      </c>
      <c r="H3962" s="2">
        <v>108</v>
      </c>
      <c r="I3962" s="2">
        <v>1</v>
      </c>
      <c r="J3962" s="2">
        <v>324</v>
      </c>
      <c r="K3962" s="2">
        <v>826</v>
      </c>
      <c r="L3962" s="2">
        <v>933</v>
      </c>
    </row>
    <row r="3963" spans="1:12" x14ac:dyDescent="0.25">
      <c r="A3963" s="4" t="str">
        <f>HYPERLINK("http://www.rosaceae.org/Prunus/Prunus_persica/p.persica_gdr_reftransV1_0005055","p.persica_gdr_reftransV1_0005055")</f>
        <v>p.persica_gdr_reftransV1_0005055</v>
      </c>
      <c r="B3963" s="2">
        <v>1372</v>
      </c>
      <c r="C3963" s="4" t="str">
        <f>HYPERLINK("http://www.uniprot.org/uniprot/M5XPW9","M5XPW9")</f>
        <v>M5XPW9</v>
      </c>
      <c r="D3963" s="2" t="s">
        <v>3721</v>
      </c>
      <c r="E3963" s="3">
        <v>0</v>
      </c>
      <c r="F3963" s="2">
        <v>2135</v>
      </c>
      <c r="G3963" s="2">
        <v>99</v>
      </c>
      <c r="H3963" s="2">
        <v>406</v>
      </c>
      <c r="I3963" s="2">
        <v>101</v>
      </c>
      <c r="J3963" s="2">
        <v>1318</v>
      </c>
      <c r="K3963" s="2">
        <v>28</v>
      </c>
      <c r="L3963" s="2">
        <v>433</v>
      </c>
    </row>
    <row r="3964" spans="1:12" x14ac:dyDescent="0.25">
      <c r="A3964" s="4" t="str">
        <f>HYPERLINK("http://www.rosaceae.org/Prunus/Prunus_persica/p.persica_gdr_reftransV1_0005405","p.persica_gdr_reftransV1_0005405")</f>
        <v>p.persica_gdr_reftransV1_0005405</v>
      </c>
      <c r="B3964" s="2">
        <v>680</v>
      </c>
      <c r="C3964" s="4" t="str">
        <f>HYPERLINK("http://www.uniprot.org/uniprot/M5WPH4","M5WPH4")</f>
        <v>M5WPH4</v>
      </c>
      <c r="D3964" s="2" t="s">
        <v>3722</v>
      </c>
      <c r="E3964" s="3">
        <v>1.6399999999999999E-97</v>
      </c>
      <c r="F3964" s="2">
        <v>785</v>
      </c>
      <c r="G3964" s="2">
        <v>84</v>
      </c>
      <c r="H3964" s="2">
        <v>218</v>
      </c>
      <c r="I3964" s="2">
        <v>5</v>
      </c>
      <c r="J3964" s="2">
        <v>556</v>
      </c>
      <c r="K3964" s="2">
        <v>12</v>
      </c>
      <c r="L3964" s="2">
        <v>229</v>
      </c>
    </row>
    <row r="3965" spans="1:12" x14ac:dyDescent="0.25">
      <c r="A3965" s="4" t="str">
        <f>HYPERLINK("http://www.rosaceae.org/Prunus/Prunus_persica/p.persica_gdr_reftransV1_0005755","p.persica_gdr_reftransV1_0005755")</f>
        <v>p.persica_gdr_reftransV1_0005755</v>
      </c>
      <c r="B3965" s="2">
        <v>430</v>
      </c>
      <c r="C3965" s="4" t="str">
        <f>HYPERLINK("http://www.uniprot.org/uniprot/M5WWA8","M5WWA8")</f>
        <v>M5WWA8</v>
      </c>
      <c r="D3965" s="2" t="s">
        <v>3723</v>
      </c>
      <c r="E3965" s="3">
        <v>1.25E-48</v>
      </c>
      <c r="F3965" s="2">
        <v>448</v>
      </c>
      <c r="G3965" s="2">
        <v>78</v>
      </c>
      <c r="H3965" s="2">
        <v>109</v>
      </c>
      <c r="I3965" s="2">
        <v>126</v>
      </c>
      <c r="J3965" s="2">
        <v>428</v>
      </c>
      <c r="K3965" s="2">
        <v>13</v>
      </c>
      <c r="L3965" s="2">
        <v>121</v>
      </c>
    </row>
    <row r="3966" spans="1:12" x14ac:dyDescent="0.25">
      <c r="A3966" s="4" t="str">
        <f>HYPERLINK("http://www.rosaceae.org/Prunus/Prunus_persica/p.persica_gdr_reftransV1_0007155","p.persica_gdr_reftransV1_0007155")</f>
        <v>p.persica_gdr_reftransV1_0007155</v>
      </c>
      <c r="B3966" s="2">
        <v>1379</v>
      </c>
      <c r="C3966" s="4" t="str">
        <f>HYPERLINK("http://www.uniprot.org/uniprot/M5XKX1","M5XKX1")</f>
        <v>M5XKX1</v>
      </c>
      <c r="D3966" s="2" t="s">
        <v>3724</v>
      </c>
      <c r="E3966" s="3">
        <v>0</v>
      </c>
      <c r="F3966" s="2">
        <v>2348</v>
      </c>
      <c r="G3966" s="2">
        <v>100</v>
      </c>
      <c r="H3966" s="2">
        <v>437</v>
      </c>
      <c r="I3966" s="2">
        <v>1</v>
      </c>
      <c r="J3966" s="2">
        <v>1311</v>
      </c>
      <c r="K3966" s="2">
        <v>166</v>
      </c>
      <c r="L3966" s="2">
        <v>602</v>
      </c>
    </row>
    <row r="3967" spans="1:12" x14ac:dyDescent="0.25">
      <c r="A3967" s="4" t="str">
        <f>HYPERLINK("http://www.rosaceae.org/Prunus/Prunus_persica/p.persica_gdr_reftransV1_0007505","p.persica_gdr_reftransV1_0007505")</f>
        <v>p.persica_gdr_reftransV1_0007505</v>
      </c>
      <c r="B3967" s="2">
        <v>1196</v>
      </c>
      <c r="C3967" s="4" t="str">
        <f>HYPERLINK("http://www.uniprot.org/uniprot/M5WRK3","M5WRK3")</f>
        <v>M5WRK3</v>
      </c>
      <c r="D3967" s="2" t="s">
        <v>3725</v>
      </c>
      <c r="E3967" s="3">
        <v>6.4900000000000002E-166</v>
      </c>
      <c r="F3967" s="2">
        <v>1236</v>
      </c>
      <c r="G3967" s="2">
        <v>96</v>
      </c>
      <c r="H3967" s="2">
        <v>274</v>
      </c>
      <c r="I3967" s="2">
        <v>375</v>
      </c>
      <c r="J3967" s="2">
        <v>1196</v>
      </c>
      <c r="K3967" s="2">
        <v>58</v>
      </c>
      <c r="L3967" s="2">
        <v>320</v>
      </c>
    </row>
    <row r="3968" spans="1:12" x14ac:dyDescent="0.25">
      <c r="A3968" s="4" t="str">
        <f>HYPERLINK("http://www.rosaceae.org/Prunus/Prunus_persica/p.persica_gdr_reftransV1_0007855","p.persica_gdr_reftransV1_0007855")</f>
        <v>p.persica_gdr_reftransV1_0007855</v>
      </c>
      <c r="B3968" s="2">
        <v>1723</v>
      </c>
      <c r="C3968" s="4" t="str">
        <f>HYPERLINK("http://www.uniprot.org/uniprot/M5VWW6","M5VWW6")</f>
        <v>M5VWW6</v>
      </c>
      <c r="D3968" s="2" t="s">
        <v>3726</v>
      </c>
      <c r="E3968" s="3">
        <v>0</v>
      </c>
      <c r="F3968" s="2">
        <v>1381</v>
      </c>
      <c r="G3968" s="2">
        <v>100</v>
      </c>
      <c r="H3968" s="2">
        <v>370</v>
      </c>
      <c r="I3968" s="2">
        <v>476</v>
      </c>
      <c r="J3968" s="2">
        <v>1585</v>
      </c>
      <c r="K3968" s="2">
        <v>1</v>
      </c>
      <c r="L3968" s="2">
        <v>370</v>
      </c>
    </row>
    <row r="3969" spans="1:12" x14ac:dyDescent="0.25">
      <c r="A3969" s="4" t="str">
        <f>HYPERLINK("http://www.rosaceae.org/Prunus/Prunus_persica/p.persica_gdr_reftransV1_0008205","p.persica_gdr_reftransV1_0008205")</f>
        <v>p.persica_gdr_reftransV1_0008205</v>
      </c>
      <c r="B3969" s="2">
        <v>2498</v>
      </c>
      <c r="C3969" s="4" t="str">
        <f>HYPERLINK("http://www.uniprot.org/uniprot/M5X9I6","M5X9I6")</f>
        <v>M5X9I6</v>
      </c>
      <c r="D3969" s="2" t="s">
        <v>3727</v>
      </c>
      <c r="E3969" s="3">
        <v>0</v>
      </c>
      <c r="F3969" s="2">
        <v>2127</v>
      </c>
      <c r="G3969" s="2">
        <v>100</v>
      </c>
      <c r="H3969" s="2">
        <v>525</v>
      </c>
      <c r="I3969" s="2">
        <v>624</v>
      </c>
      <c r="J3969" s="2">
        <v>2198</v>
      </c>
      <c r="K3969" s="2">
        <v>1</v>
      </c>
      <c r="L3969" s="2">
        <v>525</v>
      </c>
    </row>
    <row r="3970" spans="1:12" x14ac:dyDescent="0.25">
      <c r="A3970" s="4" t="str">
        <f>HYPERLINK("http://www.rosaceae.org/Prunus/Prunus_persica/p.persica_gdr_reftransV1_0008905","p.persica_gdr_reftransV1_0008905")</f>
        <v>p.persica_gdr_reftransV1_0008905</v>
      </c>
      <c r="B3970" s="2">
        <v>624</v>
      </c>
      <c r="C3970" s="4" t="str">
        <f>HYPERLINK("http://www.uniprot.org/uniprot/M5VWW2","M5VWW2")</f>
        <v>M5VWW2</v>
      </c>
      <c r="D3970" s="2" t="s">
        <v>3728</v>
      </c>
      <c r="E3970" s="3">
        <v>6.4499999999999998E-133</v>
      </c>
      <c r="F3970" s="2">
        <v>1018</v>
      </c>
      <c r="G3970" s="2">
        <v>93</v>
      </c>
      <c r="H3970" s="2">
        <v>207</v>
      </c>
      <c r="I3970" s="2">
        <v>2</v>
      </c>
      <c r="J3970" s="2">
        <v>622</v>
      </c>
      <c r="K3970" s="2">
        <v>51</v>
      </c>
      <c r="L3970" s="2">
        <v>257</v>
      </c>
    </row>
    <row r="3971" spans="1:12" x14ac:dyDescent="0.25">
      <c r="A3971" s="4" t="str">
        <f>HYPERLINK("http://www.rosaceae.org/Prunus/Prunus_persica/p.persica_gdr_reftransV1_0009255","p.persica_gdr_reftransV1_0009255")</f>
        <v>p.persica_gdr_reftransV1_0009255</v>
      </c>
      <c r="B3971" s="2">
        <v>2488</v>
      </c>
      <c r="C3971" s="4" t="str">
        <f>HYPERLINK("http://www.uniprot.org/uniprot/M5XE41","M5XE41")</f>
        <v>M5XE41</v>
      </c>
      <c r="D3971" s="2" t="s">
        <v>3729</v>
      </c>
      <c r="E3971" s="3">
        <v>1.2400000000000001E-180</v>
      </c>
      <c r="F3971" s="2">
        <v>1373</v>
      </c>
      <c r="G3971" s="2">
        <v>100</v>
      </c>
      <c r="H3971" s="2">
        <v>311</v>
      </c>
      <c r="I3971" s="2">
        <v>788</v>
      </c>
      <c r="J3971" s="2">
        <v>1720</v>
      </c>
      <c r="K3971" s="2">
        <v>1</v>
      </c>
      <c r="L3971" s="2">
        <v>311</v>
      </c>
    </row>
    <row r="3972" spans="1:12" x14ac:dyDescent="0.25">
      <c r="A3972" s="4" t="str">
        <f>HYPERLINK("http://www.rosaceae.org/Prunus/Prunus_persica/p.persica_gdr_reftransV1_0009955","p.persica_gdr_reftransV1_0009955")</f>
        <v>p.persica_gdr_reftransV1_0009955</v>
      </c>
      <c r="B3972" s="2">
        <v>4161</v>
      </c>
      <c r="C3972" s="4" t="str">
        <f>HYPERLINK("http://www.uniprot.org/uniprot/M5Vid9","M5Vid9")</f>
        <v>M5Vid9</v>
      </c>
      <c r="D3972" s="2" t="s">
        <v>3730</v>
      </c>
      <c r="E3972" s="3">
        <v>0</v>
      </c>
      <c r="F3972" s="2">
        <v>5108</v>
      </c>
      <c r="G3972" s="2">
        <v>100</v>
      </c>
      <c r="H3972" s="2">
        <v>1057</v>
      </c>
      <c r="I3972" s="2">
        <v>637</v>
      </c>
      <c r="J3972" s="2">
        <v>3807</v>
      </c>
      <c r="K3972" s="2">
        <v>31</v>
      </c>
      <c r="L3972" s="2">
        <v>1087</v>
      </c>
    </row>
    <row r="3973" spans="1:12" x14ac:dyDescent="0.25">
      <c r="A3973" s="4" t="str">
        <f>HYPERLINK("http://www.rosaceae.org/Prunus/Prunus_persica/p.persica_gdr_reftransV1_0010305","p.persica_gdr_reftransV1_0010305")</f>
        <v>p.persica_gdr_reftransV1_0010305</v>
      </c>
      <c r="B3973" s="2">
        <v>1440</v>
      </c>
      <c r="C3973" s="4" t="str">
        <f>HYPERLINK("http://www.uniprot.org/uniprot/M5XLW8","M5XLW8")</f>
        <v>M5XLW8</v>
      </c>
      <c r="D3973" s="2" t="s">
        <v>3731</v>
      </c>
      <c r="E3973" s="3">
        <v>0</v>
      </c>
      <c r="F3973" s="2">
        <v>1923</v>
      </c>
      <c r="G3973" s="2">
        <v>100</v>
      </c>
      <c r="H3973" s="2">
        <v>383</v>
      </c>
      <c r="I3973" s="2">
        <v>194</v>
      </c>
      <c r="J3973" s="2">
        <v>1342</v>
      </c>
      <c r="K3973" s="2">
        <v>1</v>
      </c>
      <c r="L3973" s="2">
        <v>383</v>
      </c>
    </row>
    <row r="3974" spans="1:12" x14ac:dyDescent="0.25">
      <c r="A3974" s="4" t="str">
        <f>HYPERLINK("http://www.rosaceae.org/Prunus/Prunus_persica/p.persica_gdr_reftransV1_0011705","p.persica_gdr_reftransV1_0011705")</f>
        <v>p.persica_gdr_reftransV1_0011705</v>
      </c>
      <c r="B3974" s="2">
        <v>3746</v>
      </c>
      <c r="C3974" s="4" t="str">
        <f>HYPERLINK("http://www.uniprot.org/uniprot/M5Y1U1","M5Y1U1")</f>
        <v>M5Y1U1</v>
      </c>
      <c r="D3974" s="2" t="s">
        <v>3732</v>
      </c>
      <c r="E3974" s="3">
        <v>0</v>
      </c>
      <c r="F3974" s="2">
        <v>5760</v>
      </c>
      <c r="G3974" s="2">
        <v>100</v>
      </c>
      <c r="H3974" s="2">
        <v>1095</v>
      </c>
      <c r="I3974" s="2">
        <v>250</v>
      </c>
      <c r="J3974" s="2">
        <v>3534</v>
      </c>
      <c r="K3974" s="2">
        <v>1</v>
      </c>
      <c r="L3974" s="2">
        <v>1094</v>
      </c>
    </row>
    <row r="3975" spans="1:12" x14ac:dyDescent="0.25">
      <c r="A3975" s="4" t="str">
        <f>HYPERLINK("http://www.rosaceae.org/Prunus/Prunus_persica/p.persica_gdr_reftransV1_0012055","p.persica_gdr_reftransV1_0012055")</f>
        <v>p.persica_gdr_reftransV1_0012055</v>
      </c>
      <c r="B3975" s="2">
        <v>591</v>
      </c>
      <c r="C3975" s="4" t="str">
        <f>HYPERLINK("http://www.uniprot.org/uniprot/M5WDK1","M5WDK1")</f>
        <v>M5WDK1</v>
      </c>
      <c r="D3975" s="2" t="s">
        <v>3733</v>
      </c>
      <c r="E3975" s="3">
        <v>1.0500000000000001E-67</v>
      </c>
      <c r="F3975" s="2">
        <v>562</v>
      </c>
      <c r="G3975" s="2">
        <v>100</v>
      </c>
      <c r="H3975" s="2">
        <v>144</v>
      </c>
      <c r="I3975" s="2">
        <v>160</v>
      </c>
      <c r="J3975" s="2">
        <v>591</v>
      </c>
      <c r="K3975" s="2">
        <v>1</v>
      </c>
      <c r="L3975" s="2">
        <v>144</v>
      </c>
    </row>
    <row r="3976" spans="1:12" x14ac:dyDescent="0.25">
      <c r="A3976" s="4" t="str">
        <f>HYPERLINK("http://www.rosaceae.org/Prunus/Prunus_persica/p.persica_gdr_reftransV1_0012755","p.persica_gdr_reftransV1_0012755")</f>
        <v>p.persica_gdr_reftransV1_0012755</v>
      </c>
      <c r="B3976" s="2">
        <v>4922</v>
      </c>
      <c r="C3976" s="4" t="str">
        <f>HYPERLINK("http://www.uniprot.org/uniprot/M5WR61","M5WR61")</f>
        <v>M5WR61</v>
      </c>
      <c r="D3976" s="2" t="s">
        <v>3734</v>
      </c>
      <c r="E3976" s="3">
        <v>0</v>
      </c>
      <c r="F3976" s="2">
        <v>3033</v>
      </c>
      <c r="G3976" s="2">
        <v>94</v>
      </c>
      <c r="H3976" s="2">
        <v>617</v>
      </c>
      <c r="I3976" s="2">
        <v>224</v>
      </c>
      <c r="J3976" s="2">
        <v>2074</v>
      </c>
      <c r="K3976" s="2">
        <v>1</v>
      </c>
      <c r="L3976" s="2">
        <v>617</v>
      </c>
    </row>
    <row r="3977" spans="1:12" x14ac:dyDescent="0.25">
      <c r="A3977" s="4" t="str">
        <f>HYPERLINK("http://www.rosaceae.org/Prunus/Prunus_persica/p.persica_gdr_reftransV1_0014155","p.persica_gdr_reftransV1_0014155")</f>
        <v>p.persica_gdr_reftransV1_0014155</v>
      </c>
      <c r="B3977" s="2">
        <v>706</v>
      </c>
      <c r="C3977" s="4" t="str">
        <f>HYPERLINK("http://www.uniprot.org/uniprot/M5WPZ1","M5WPZ1")</f>
        <v>M5WPZ1</v>
      </c>
      <c r="D3977" s="2" t="s">
        <v>3735</v>
      </c>
      <c r="E3977" s="3">
        <v>9.9400000000000003E-143</v>
      </c>
      <c r="F3977" s="2">
        <v>1139</v>
      </c>
      <c r="G3977" s="2">
        <v>100</v>
      </c>
      <c r="H3977" s="2">
        <v>235</v>
      </c>
      <c r="I3977" s="2">
        <v>1</v>
      </c>
      <c r="J3977" s="2">
        <v>705</v>
      </c>
      <c r="K3977" s="2">
        <v>775</v>
      </c>
      <c r="L3977" s="2">
        <v>1009</v>
      </c>
    </row>
    <row r="3978" spans="1:12" x14ac:dyDescent="0.25">
      <c r="A3978" s="4" t="str">
        <f>HYPERLINK("http://www.rosaceae.org/Prunus/Prunus_persica/p.persica_gdr_reftransV1_0015205","p.persica_gdr_reftransV1_0015205")</f>
        <v>p.persica_gdr_reftransV1_0015205</v>
      </c>
      <c r="B3978" s="2">
        <v>1160</v>
      </c>
      <c r="C3978" s="4" t="str">
        <f>HYPERLINK("http://www.uniprot.org/uniprot/M5WCT0","M5WCT0")</f>
        <v>M5WCT0</v>
      </c>
      <c r="D3978" s="2" t="s">
        <v>2272</v>
      </c>
      <c r="E3978" s="3">
        <v>0</v>
      </c>
      <c r="F3978" s="2">
        <v>1623</v>
      </c>
      <c r="G3978" s="2">
        <v>100</v>
      </c>
      <c r="H3978" s="2">
        <v>299</v>
      </c>
      <c r="I3978" s="2">
        <v>262</v>
      </c>
      <c r="J3978" s="2">
        <v>1158</v>
      </c>
      <c r="K3978" s="2">
        <v>1</v>
      </c>
      <c r="L3978" s="2">
        <v>299</v>
      </c>
    </row>
    <row r="3979" spans="1:12" x14ac:dyDescent="0.25">
      <c r="A3979" s="4" t="str">
        <f>HYPERLINK("http://www.rosaceae.org/Prunus/Prunus_persica/p.persica_gdr_reftransV1_0015555","p.persica_gdr_reftransV1_0015555")</f>
        <v>p.persica_gdr_reftransV1_0015555</v>
      </c>
      <c r="B3979" s="2">
        <v>2202</v>
      </c>
      <c r="C3979" s="4" t="str">
        <f>HYPERLINK("http://www.uniprot.org/uniprot/M5WJ97","M5WJ97")</f>
        <v>M5WJ97</v>
      </c>
      <c r="D3979" s="2" t="s">
        <v>3736</v>
      </c>
      <c r="E3979" s="3">
        <v>6.3400000000000001E-52</v>
      </c>
      <c r="F3979" s="2">
        <v>477</v>
      </c>
      <c r="G3979" s="2">
        <v>100</v>
      </c>
      <c r="H3979" s="2">
        <v>116</v>
      </c>
      <c r="I3979" s="2">
        <v>1081</v>
      </c>
      <c r="J3979" s="2">
        <v>1428</v>
      </c>
      <c r="K3979" s="2">
        <v>59</v>
      </c>
      <c r="L3979" s="2">
        <v>174</v>
      </c>
    </row>
    <row r="3980" spans="1:12" x14ac:dyDescent="0.25">
      <c r="A3980" s="4" t="str">
        <f>HYPERLINK("http://www.rosaceae.org/Prunus/Prunus_persica/p.persica_gdr_reftransV1_0015905","p.persica_gdr_reftransV1_0015905")</f>
        <v>p.persica_gdr_reftransV1_0015905</v>
      </c>
      <c r="B3980" s="2">
        <v>1689</v>
      </c>
      <c r="C3980" s="4" t="str">
        <f>HYPERLINK("http://www.uniprot.org/uniprot/M5WEM4","M5WEM4")</f>
        <v>M5WEM4</v>
      </c>
      <c r="D3980" s="2" t="s">
        <v>3737</v>
      </c>
      <c r="E3980" s="3">
        <v>1.59E-74</v>
      </c>
      <c r="F3980" s="2">
        <v>633</v>
      </c>
      <c r="G3980" s="2">
        <v>93</v>
      </c>
      <c r="H3980" s="2">
        <v>151</v>
      </c>
      <c r="I3980" s="2">
        <v>602</v>
      </c>
      <c r="J3980" s="2">
        <v>1051</v>
      </c>
      <c r="K3980" s="2">
        <v>86</v>
      </c>
      <c r="L3980" s="2">
        <v>236</v>
      </c>
    </row>
    <row r="3981" spans="1:12" x14ac:dyDescent="0.25">
      <c r="A3981" s="4" t="str">
        <f>HYPERLINK("http://www.rosaceae.org/Prunus/Prunus_persica/p.persica_gdr_reftransV1_0018005","p.persica_gdr_reftransV1_0018005")</f>
        <v>p.persica_gdr_reftransV1_0018005</v>
      </c>
      <c r="B3981" s="2">
        <v>410</v>
      </c>
      <c r="C3981" s="4" t="str">
        <f>HYPERLINK("http://www.uniprot.org/uniprot/M5WNG7","M5WNG7")</f>
        <v>M5WNG7</v>
      </c>
      <c r="D3981" s="2" t="s">
        <v>3738</v>
      </c>
      <c r="E3981" s="3">
        <v>2.4799999999999999E-36</v>
      </c>
      <c r="F3981" s="2">
        <v>355</v>
      </c>
      <c r="G3981" s="2">
        <v>77</v>
      </c>
      <c r="H3981" s="2">
        <v>136</v>
      </c>
      <c r="I3981" s="2">
        <v>3</v>
      </c>
      <c r="J3981" s="2">
        <v>410</v>
      </c>
      <c r="K3981" s="2">
        <v>211</v>
      </c>
      <c r="L3981" s="2">
        <v>315</v>
      </c>
    </row>
    <row r="3982" spans="1:12" x14ac:dyDescent="0.25">
      <c r="A3982" s="4" t="str">
        <f>HYPERLINK("http://www.rosaceae.org/Prunus/Prunus_persica/p.persica_gdr_reftransV1_0019405","p.persica_gdr_reftransV1_0019405")</f>
        <v>p.persica_gdr_reftransV1_0019405</v>
      </c>
      <c r="B3982" s="2">
        <v>5244</v>
      </c>
      <c r="C3982" s="4" t="str">
        <f>HYPERLINK("http://www.uniprot.org/uniprot/M5XL69","M5XL69")</f>
        <v>M5XL69</v>
      </c>
      <c r="D3982" s="2" t="s">
        <v>3739</v>
      </c>
      <c r="E3982" s="3">
        <v>0</v>
      </c>
      <c r="F3982" s="2">
        <v>8229</v>
      </c>
      <c r="G3982" s="2">
        <v>100</v>
      </c>
      <c r="H3982" s="2">
        <v>1605</v>
      </c>
      <c r="I3982" s="2">
        <v>313</v>
      </c>
      <c r="J3982" s="2">
        <v>5127</v>
      </c>
      <c r="K3982" s="2">
        <v>1</v>
      </c>
      <c r="L3982" s="2">
        <v>1605</v>
      </c>
    </row>
    <row r="3983" spans="1:12" x14ac:dyDescent="0.25">
      <c r="A3983" s="4" t="str">
        <f>HYPERLINK("http://www.rosaceae.org/Prunus/Prunus_persica/p.persica_gdr_reftransV1_0019755","p.persica_gdr_reftransV1_0019755")</f>
        <v>p.persica_gdr_reftransV1_0019755</v>
      </c>
      <c r="B3983" s="2">
        <v>730</v>
      </c>
      <c r="C3983" s="4" t="str">
        <f>HYPERLINK("http://www.uniprot.org/uniprot/M5WDH3","M5WDH3")</f>
        <v>M5WDH3</v>
      </c>
      <c r="D3983" s="2" t="s">
        <v>3740</v>
      </c>
      <c r="E3983" s="3">
        <v>5.4100000000000002E-48</v>
      </c>
      <c r="F3983" s="2">
        <v>449</v>
      </c>
      <c r="G3983" s="2">
        <v>100</v>
      </c>
      <c r="H3983" s="2">
        <v>84</v>
      </c>
      <c r="I3983" s="2">
        <v>1</v>
      </c>
      <c r="J3983" s="2">
        <v>252</v>
      </c>
      <c r="K3983" s="2">
        <v>460</v>
      </c>
      <c r="L3983" s="2">
        <v>543</v>
      </c>
    </row>
    <row r="3984" spans="1:12" x14ac:dyDescent="0.25">
      <c r="A3984" s="4" t="str">
        <f>HYPERLINK("http://www.rosaceae.org/Prunus/Prunus_persica/p.persica_gdr_reftransV1_0020105","p.persica_gdr_reftransV1_0020105")</f>
        <v>p.persica_gdr_reftransV1_0020105</v>
      </c>
      <c r="B3984" s="2">
        <v>5626</v>
      </c>
      <c r="C3984" s="4" t="str">
        <f>HYPERLINK("http://www.uniprot.org/uniprot/M5VUV2","M5VUV2")</f>
        <v>M5VUV2</v>
      </c>
      <c r="D3984" s="2" t="s">
        <v>965</v>
      </c>
      <c r="E3984" s="3">
        <v>0</v>
      </c>
      <c r="F3984" s="2">
        <v>4644</v>
      </c>
      <c r="G3984" s="2">
        <v>100</v>
      </c>
      <c r="H3984" s="2">
        <v>873</v>
      </c>
      <c r="I3984" s="2">
        <v>368</v>
      </c>
      <c r="J3984" s="2">
        <v>2986</v>
      </c>
      <c r="K3984" s="2">
        <v>3053</v>
      </c>
      <c r="L3984" s="2">
        <v>3925</v>
      </c>
    </row>
    <row r="3985" spans="1:12" x14ac:dyDescent="0.25">
      <c r="A3985" s="4" t="str">
        <f>HYPERLINK("http://www.rosaceae.org/Prunus/Prunus_persica/p.persica_gdr_reftransV1_0021155","p.persica_gdr_reftransV1_0021155")</f>
        <v>p.persica_gdr_reftransV1_0021155</v>
      </c>
      <c r="B3985" s="2">
        <v>1662</v>
      </c>
      <c r="C3985" s="4" t="str">
        <f>HYPERLINK("http://www.uniprot.org/uniprot/M5W9L9","M5W9L9")</f>
        <v>M5W9L9</v>
      </c>
      <c r="D3985" s="2" t="s">
        <v>3741</v>
      </c>
      <c r="E3985" s="3">
        <v>0</v>
      </c>
      <c r="F3985" s="2">
        <v>1889</v>
      </c>
      <c r="G3985" s="2">
        <v>100</v>
      </c>
      <c r="H3985" s="2">
        <v>378</v>
      </c>
      <c r="I3985" s="2">
        <v>165</v>
      </c>
      <c r="J3985" s="2">
        <v>1298</v>
      </c>
      <c r="K3985" s="2">
        <v>12</v>
      </c>
      <c r="L3985" s="2">
        <v>389</v>
      </c>
    </row>
    <row r="3986" spans="1:12" x14ac:dyDescent="0.25">
      <c r="A3986" s="4" t="str">
        <f>HYPERLINK("http://www.rosaceae.org/Prunus/Prunus_persica/p.persica_gdr_reftransV1_0021505","p.persica_gdr_reftransV1_0021505")</f>
        <v>p.persica_gdr_reftransV1_0021505</v>
      </c>
      <c r="B3986" s="2">
        <v>1322</v>
      </c>
      <c r="C3986" s="4" t="str">
        <f>HYPERLINK("http://www.uniprot.org/uniprot/M5VMB5","M5VMB5")</f>
        <v>M5VMB5</v>
      </c>
      <c r="D3986" s="2" t="s">
        <v>3742</v>
      </c>
      <c r="E3986" s="3">
        <v>5.3499999999999998E-55</v>
      </c>
      <c r="F3986" s="2">
        <v>496</v>
      </c>
      <c r="G3986" s="2">
        <v>78</v>
      </c>
      <c r="H3986" s="2">
        <v>152</v>
      </c>
      <c r="I3986" s="2">
        <v>78</v>
      </c>
      <c r="J3986" s="2">
        <v>533</v>
      </c>
      <c r="K3986" s="2">
        <v>1</v>
      </c>
      <c r="L3986" s="2">
        <v>119</v>
      </c>
    </row>
    <row r="3987" spans="1:12" x14ac:dyDescent="0.25">
      <c r="A3987" s="4" t="str">
        <f>HYPERLINK("http://www.rosaceae.org/Prunus/Prunus_persica/p.persica_gdr_reftransV1_0023605","p.persica_gdr_reftransV1_0023605")</f>
        <v>p.persica_gdr_reftransV1_0023605</v>
      </c>
      <c r="B3987" s="2">
        <v>937</v>
      </c>
      <c r="C3987" s="4" t="str">
        <f>HYPERLINK("http://www.uniprot.org/uniprot/M5XY06","M5XY06")</f>
        <v>M5XY06</v>
      </c>
      <c r="D3987" s="2" t="s">
        <v>3743</v>
      </c>
      <c r="E3987" s="3">
        <v>0</v>
      </c>
      <c r="F3987" s="2">
        <v>1473</v>
      </c>
      <c r="G3987" s="2">
        <v>100</v>
      </c>
      <c r="H3987" s="2">
        <v>312</v>
      </c>
      <c r="I3987" s="2">
        <v>1</v>
      </c>
      <c r="J3987" s="2">
        <v>936</v>
      </c>
      <c r="K3987" s="2">
        <v>791</v>
      </c>
      <c r="L3987" s="2">
        <v>1102</v>
      </c>
    </row>
    <row r="3988" spans="1:12" x14ac:dyDescent="0.25">
      <c r="A3988" s="4" t="str">
        <f>HYPERLINK("http://www.rosaceae.org/Prunus/Prunus_persica/p.persica_gdr_reftransV1_0023955","p.persica_gdr_reftransV1_0023955")</f>
        <v>p.persica_gdr_reftransV1_0023955</v>
      </c>
      <c r="B3988" s="2">
        <v>2670</v>
      </c>
      <c r="C3988" s="4" t="str">
        <f>HYPERLINK("http://www.uniprot.org/uniprot/M5XXH2","M5XXH2")</f>
        <v>M5XXH2</v>
      </c>
      <c r="D3988" s="2" t="s">
        <v>3744</v>
      </c>
      <c r="E3988" s="3">
        <v>0</v>
      </c>
      <c r="F3988" s="2">
        <v>3959</v>
      </c>
      <c r="G3988" s="2">
        <v>100</v>
      </c>
      <c r="H3988" s="2">
        <v>748</v>
      </c>
      <c r="I3988" s="2">
        <v>262</v>
      </c>
      <c r="J3988" s="2">
        <v>2505</v>
      </c>
      <c r="K3988" s="2">
        <v>1</v>
      </c>
      <c r="L3988" s="2">
        <v>748</v>
      </c>
    </row>
    <row r="3989" spans="1:12" x14ac:dyDescent="0.25">
      <c r="A3989" s="4" t="str">
        <f>HYPERLINK("http://www.rosaceae.org/Prunus/Prunus_persica/p.persica_gdr_reftransV1_0028505","p.persica_gdr_reftransV1_0028505")</f>
        <v>p.persica_gdr_reftransV1_0028505</v>
      </c>
      <c r="B3989" s="2">
        <v>1851</v>
      </c>
      <c r="C3989" s="4" t="str">
        <f>HYPERLINK("http://www.uniprot.org/uniprot/M5XLD9","M5XLD9")</f>
        <v>M5XLD9</v>
      </c>
      <c r="D3989" s="2" t="s">
        <v>3745</v>
      </c>
      <c r="E3989" s="3">
        <v>0</v>
      </c>
      <c r="F3989" s="2">
        <v>2097</v>
      </c>
      <c r="G3989" s="2">
        <v>100</v>
      </c>
      <c r="H3989" s="2">
        <v>479</v>
      </c>
      <c r="I3989" s="2">
        <v>36</v>
      </c>
      <c r="J3989" s="2">
        <v>1472</v>
      </c>
      <c r="K3989" s="2">
        <v>169</v>
      </c>
      <c r="L3989" s="2">
        <v>647</v>
      </c>
    </row>
    <row r="3990" spans="1:12" x14ac:dyDescent="0.25">
      <c r="A3990" s="4" t="str">
        <f>HYPERLINK("http://www.rosaceae.org/Prunus/Prunus_persica/p.persica_gdr_reftransV1_0029205","p.persica_gdr_reftransV1_0029205")</f>
        <v>p.persica_gdr_reftransV1_0029205</v>
      </c>
      <c r="B3990" s="2">
        <v>807</v>
      </c>
      <c r="C3990" s="4" t="str">
        <f>HYPERLINK("http://www.uniprot.org/uniprot/M5WRN5","M5WRN5")</f>
        <v>M5WRN5</v>
      </c>
      <c r="D3990" s="2" t="s">
        <v>3746</v>
      </c>
      <c r="E3990" s="3">
        <v>3.55E-93</v>
      </c>
      <c r="F3990" s="2">
        <v>723</v>
      </c>
      <c r="G3990" s="2">
        <v>100</v>
      </c>
      <c r="H3990" s="2">
        <v>138</v>
      </c>
      <c r="I3990" s="2">
        <v>78</v>
      </c>
      <c r="J3990" s="2">
        <v>491</v>
      </c>
      <c r="K3990" s="2">
        <v>1</v>
      </c>
      <c r="L3990" s="2">
        <v>138</v>
      </c>
    </row>
    <row r="3991" spans="1:12" x14ac:dyDescent="0.25">
      <c r="A3991" s="4" t="str">
        <f>HYPERLINK("http://www.rosaceae.org/Prunus/Prunus_persica/p.persica_gdr_reftransV1_0030255","p.persica_gdr_reftransV1_0030255")</f>
        <v>p.persica_gdr_reftransV1_0030255</v>
      </c>
      <c r="B3991" s="2">
        <v>1540</v>
      </c>
      <c r="C3991" s="4" t="str">
        <f>HYPERLINK("http://www.uniprot.org/uniprot/M5X1Q2","M5X1Q2")</f>
        <v>M5X1Q2</v>
      </c>
      <c r="D3991" s="2" t="s">
        <v>197</v>
      </c>
      <c r="E3991" s="3">
        <v>0</v>
      </c>
      <c r="F3991" s="2">
        <v>1398</v>
      </c>
      <c r="G3991" s="2">
        <v>100</v>
      </c>
      <c r="H3991" s="2">
        <v>276</v>
      </c>
      <c r="I3991" s="2">
        <v>543</v>
      </c>
      <c r="J3991" s="2">
        <v>1370</v>
      </c>
      <c r="K3991" s="2">
        <v>1</v>
      </c>
      <c r="L3991" s="2">
        <v>276</v>
      </c>
    </row>
    <row r="3992" spans="1:12" x14ac:dyDescent="0.25">
      <c r="A3992" s="4" t="str">
        <f>HYPERLINK("http://www.rosaceae.org/Prunus/Prunus_persica/p.persica_gdr_reftransV1_0031655","p.persica_gdr_reftransV1_0031655")</f>
        <v>p.persica_gdr_reftransV1_0031655</v>
      </c>
      <c r="B3992" s="2">
        <v>2134</v>
      </c>
      <c r="C3992" s="4" t="str">
        <f>HYPERLINK("http://www.uniprot.org/uniprot/M5XKP9","M5XKP9")</f>
        <v>M5XKP9</v>
      </c>
      <c r="D3992" s="2" t="s">
        <v>3747</v>
      </c>
      <c r="E3992" s="3">
        <v>9.9899999999999998E-46</v>
      </c>
      <c r="F3992" s="2">
        <v>435</v>
      </c>
      <c r="G3992" s="2">
        <v>91</v>
      </c>
      <c r="H3992" s="2">
        <v>91</v>
      </c>
      <c r="I3992" s="2">
        <v>726</v>
      </c>
      <c r="J3992" s="2">
        <v>998</v>
      </c>
      <c r="K3992" s="2">
        <v>97</v>
      </c>
      <c r="L3992" s="2">
        <v>187</v>
      </c>
    </row>
    <row r="3993" spans="1:12" x14ac:dyDescent="0.25">
      <c r="A3993" s="4" t="str">
        <f>HYPERLINK("http://www.rosaceae.org/Prunus/Prunus_persica/p.persica_gdr_reftransV1_0032005","p.persica_gdr_reftransV1_0032005")</f>
        <v>p.persica_gdr_reftransV1_0032005</v>
      </c>
      <c r="B3993" s="2">
        <v>3844</v>
      </c>
      <c r="C3993" s="4" t="str">
        <f>HYPERLINK("http://www.uniprot.org/uniprot/M5W6E8","M5W6E8")</f>
        <v>M5W6E8</v>
      </c>
      <c r="D3993" s="2" t="s">
        <v>3748</v>
      </c>
      <c r="E3993" s="3">
        <v>0</v>
      </c>
      <c r="F3993" s="2">
        <v>3476</v>
      </c>
      <c r="G3993" s="2">
        <v>96</v>
      </c>
      <c r="H3993" s="2">
        <v>710</v>
      </c>
      <c r="I3993" s="2">
        <v>1435</v>
      </c>
      <c r="J3993" s="2">
        <v>3564</v>
      </c>
      <c r="K3993" s="2">
        <v>392</v>
      </c>
      <c r="L3993" s="2">
        <v>1071</v>
      </c>
    </row>
    <row r="3994" spans="1:12" x14ac:dyDescent="0.25">
      <c r="A3994" s="4" t="str">
        <f>HYPERLINK("http://www.rosaceae.org/Prunus/Prunus_persica/p.persica_gdr_reftransV1_0032355","p.persica_gdr_reftransV1_0032355")</f>
        <v>p.persica_gdr_reftransV1_0032355</v>
      </c>
      <c r="B3994" s="2">
        <v>2735</v>
      </c>
      <c r="C3994" s="4" t="str">
        <f>HYPERLINK("http://www.uniprot.org/uniprot/M5XSA6","M5XSA6")</f>
        <v>M5XSA6</v>
      </c>
      <c r="D3994" s="2" t="s">
        <v>3749</v>
      </c>
      <c r="E3994" s="3">
        <v>0</v>
      </c>
      <c r="F3994" s="2">
        <v>3494</v>
      </c>
      <c r="G3994" s="2">
        <v>100</v>
      </c>
      <c r="H3994" s="2">
        <v>654</v>
      </c>
      <c r="I3994" s="2">
        <v>41</v>
      </c>
      <c r="J3994" s="2">
        <v>2002</v>
      </c>
      <c r="K3994" s="2">
        <v>229</v>
      </c>
      <c r="L3994" s="2">
        <v>882</v>
      </c>
    </row>
    <row r="3995" spans="1:12" x14ac:dyDescent="0.25">
      <c r="A3995" s="4" t="str">
        <f>HYPERLINK("http://www.rosaceae.org/Prunus/Prunus_persica/p.persica_gdr_reftransV1_0032705","p.persica_gdr_reftransV1_0032705")</f>
        <v>p.persica_gdr_reftransV1_0032705</v>
      </c>
      <c r="B3995" s="2">
        <v>3548</v>
      </c>
      <c r="C3995" s="4" t="str">
        <f>HYPERLINK("http://www.uniprot.org/uniprot/M5VJY9","M5VJY9")</f>
        <v>M5VJY9</v>
      </c>
      <c r="D3995" s="2" t="s">
        <v>3750</v>
      </c>
      <c r="E3995" s="3">
        <v>9.77E-103</v>
      </c>
      <c r="F3995" s="2">
        <v>875</v>
      </c>
      <c r="G3995" s="2">
        <v>100</v>
      </c>
      <c r="H3995" s="2">
        <v>170</v>
      </c>
      <c r="I3995" s="2">
        <v>253</v>
      </c>
      <c r="J3995" s="2">
        <v>762</v>
      </c>
      <c r="K3995" s="2">
        <v>215</v>
      </c>
      <c r="L3995" s="2">
        <v>384</v>
      </c>
    </row>
    <row r="3996" spans="1:12" x14ac:dyDescent="0.25">
      <c r="A3996" s="4" t="str">
        <f>HYPERLINK("http://www.rosaceae.org/Prunus/Prunus_persica/p.persica_gdr_reftransV1_0033405","p.persica_gdr_reftransV1_0033405")</f>
        <v>p.persica_gdr_reftransV1_0033405</v>
      </c>
      <c r="B3996" s="2">
        <v>1929</v>
      </c>
      <c r="C3996" s="4" t="str">
        <f>HYPERLINK("http://www.uniprot.org/uniprot/M5W9F7","M5W9F7")</f>
        <v>M5W9F7</v>
      </c>
      <c r="D3996" s="2" t="s">
        <v>3751</v>
      </c>
      <c r="E3996" s="3">
        <v>0</v>
      </c>
      <c r="F3996" s="2">
        <v>2202</v>
      </c>
      <c r="G3996" s="2">
        <v>100</v>
      </c>
      <c r="H3996" s="2">
        <v>427</v>
      </c>
      <c r="I3996" s="2">
        <v>244</v>
      </c>
      <c r="J3996" s="2">
        <v>1524</v>
      </c>
      <c r="K3996" s="2">
        <v>1</v>
      </c>
      <c r="L3996" s="2">
        <v>427</v>
      </c>
    </row>
    <row r="3997" spans="1:12" x14ac:dyDescent="0.25">
      <c r="A3997" s="4" t="str">
        <f>HYPERLINK("http://www.rosaceae.org/Prunus/Prunus_persica/p.persica_gdr_reftransV1_0035505","p.persica_gdr_reftransV1_0035505")</f>
        <v>p.persica_gdr_reftransV1_0035505</v>
      </c>
      <c r="B3997" s="2">
        <v>3216</v>
      </c>
      <c r="C3997" s="4" t="str">
        <f>HYPERLINK("http://www.uniprot.org/uniprot/M5XBY2","M5XBY2")</f>
        <v>M5XBY2</v>
      </c>
      <c r="D3997" s="2" t="s">
        <v>3752</v>
      </c>
      <c r="E3997" s="3">
        <v>1.7799999999999999E-167</v>
      </c>
      <c r="F3997" s="2">
        <v>1323</v>
      </c>
      <c r="G3997" s="2">
        <v>99</v>
      </c>
      <c r="H3997" s="2">
        <v>269</v>
      </c>
      <c r="I3997" s="2">
        <v>1445</v>
      </c>
      <c r="J3997" s="2">
        <v>2251</v>
      </c>
      <c r="K3997" s="2">
        <v>219</v>
      </c>
      <c r="L3997" s="2">
        <v>487</v>
      </c>
    </row>
    <row r="3998" spans="1:12" x14ac:dyDescent="0.25">
      <c r="A3998" s="4" t="str">
        <f>HYPERLINK("http://www.rosaceae.org/Prunus/Prunus_persica/p.persica_gdr_reftransV1_0035855","p.persica_gdr_reftransV1_0035855")</f>
        <v>p.persica_gdr_reftransV1_0035855</v>
      </c>
      <c r="B3998" s="2">
        <v>3056</v>
      </c>
      <c r="C3998" s="4" t="str">
        <f>HYPERLINK("http://www.uniprot.org/uniprot/M5WQR2","M5WQR2")</f>
        <v>M5WQR2</v>
      </c>
      <c r="D3998" s="2" t="s">
        <v>3753</v>
      </c>
      <c r="E3998" s="3">
        <v>0</v>
      </c>
      <c r="F3998" s="2">
        <v>2124</v>
      </c>
      <c r="G3998" s="2">
        <v>98</v>
      </c>
      <c r="H3998" s="2">
        <v>448</v>
      </c>
      <c r="I3998" s="2">
        <v>150</v>
      </c>
      <c r="J3998" s="2">
        <v>1493</v>
      </c>
      <c r="K3998" s="2">
        <v>397</v>
      </c>
      <c r="L3998" s="2">
        <v>844</v>
      </c>
    </row>
    <row r="3999" spans="1:12" x14ac:dyDescent="0.25">
      <c r="A3999" s="4" t="str">
        <f>HYPERLINK("http://www.rosaceae.org/Prunus/Prunus_persica/p.persica_gdr_reftransV1_0037255","p.persica_gdr_reftransV1_0037255")</f>
        <v>p.persica_gdr_reftransV1_0037255</v>
      </c>
      <c r="B3999" s="2">
        <v>1177</v>
      </c>
      <c r="C3999" s="4" t="str">
        <f>HYPERLINK("http://www.uniprot.org/uniprot/M5XA36","M5XA36")</f>
        <v>M5XA36</v>
      </c>
      <c r="D3999" s="2" t="s">
        <v>3754</v>
      </c>
      <c r="E3999" s="3">
        <v>2.1300000000000001E-82</v>
      </c>
      <c r="F3999" s="2">
        <v>664</v>
      </c>
      <c r="G3999" s="2">
        <v>100</v>
      </c>
      <c r="H3999" s="2">
        <v>152</v>
      </c>
      <c r="I3999" s="2">
        <v>126</v>
      </c>
      <c r="J3999" s="2">
        <v>581</v>
      </c>
      <c r="K3999" s="2">
        <v>1</v>
      </c>
      <c r="L3999" s="2">
        <v>152</v>
      </c>
    </row>
    <row r="4000" spans="1:12" x14ac:dyDescent="0.25">
      <c r="A4000" s="4" t="str">
        <f>HYPERLINK("http://www.rosaceae.org/Prunus/Prunus_persica/p.persica_gdr_reftransV1_0039005","p.persica_gdr_reftransV1_0039005")</f>
        <v>p.persica_gdr_reftransV1_0039005</v>
      </c>
      <c r="B4000" s="2">
        <v>2293</v>
      </c>
      <c r="C4000" s="4" t="str">
        <f>HYPERLINK("http://www.uniprot.org/uniprot/M5WRY2","M5WRY2")</f>
        <v>M5WRY2</v>
      </c>
      <c r="D4000" s="2" t="s">
        <v>3755</v>
      </c>
      <c r="E4000" s="3">
        <v>0</v>
      </c>
      <c r="F4000" s="2">
        <v>2147</v>
      </c>
      <c r="G4000" s="2">
        <v>100</v>
      </c>
      <c r="H4000" s="2">
        <v>512</v>
      </c>
      <c r="I4000" s="2">
        <v>401</v>
      </c>
      <c r="J4000" s="2">
        <v>1936</v>
      </c>
      <c r="K4000" s="2">
        <v>1</v>
      </c>
      <c r="L4000" s="2">
        <v>512</v>
      </c>
    </row>
    <row r="4001" spans="1:12" x14ac:dyDescent="0.25">
      <c r="A4001" s="4" t="str">
        <f>HYPERLINK("http://www.rosaceae.org/Prunus/Prunus_persica/p.persica_gdr_reftransV1_0040405","p.persica_gdr_reftransV1_0040405")</f>
        <v>p.persica_gdr_reftransV1_0040405</v>
      </c>
      <c r="B4001" s="2">
        <v>921</v>
      </c>
      <c r="C4001" s="4" t="str">
        <f>HYPERLINK("http://www.uniprot.org/uniprot/M5WBE4","M5WBE4")</f>
        <v>M5WBE4</v>
      </c>
      <c r="D4001" s="2" t="s">
        <v>3756</v>
      </c>
      <c r="E4001" s="3">
        <v>9.5500000000000002E-113</v>
      </c>
      <c r="F4001" s="2">
        <v>861</v>
      </c>
      <c r="G4001" s="2">
        <v>100</v>
      </c>
      <c r="H4001" s="2">
        <v>191</v>
      </c>
      <c r="I4001" s="2">
        <v>189</v>
      </c>
      <c r="J4001" s="2">
        <v>761</v>
      </c>
      <c r="K4001" s="2">
        <v>1</v>
      </c>
      <c r="L4001" s="2">
        <v>191</v>
      </c>
    </row>
    <row r="4002" spans="1:12" x14ac:dyDescent="0.25">
      <c r="A4002" s="4" t="str">
        <f>HYPERLINK("http://www.rosaceae.org/Prunus/Prunus_persica/p.persica_gdr_reftransV1_0040755","p.persica_gdr_reftransV1_0040755")</f>
        <v>p.persica_gdr_reftransV1_0040755</v>
      </c>
      <c r="B4002" s="2">
        <v>2055</v>
      </c>
      <c r="C4002" s="4" t="str">
        <f>HYPERLINK("http://www.uniprot.org/uniprot/M5VVB0","M5VVB0")</f>
        <v>M5VVB0</v>
      </c>
      <c r="D4002" s="2" t="s">
        <v>3757</v>
      </c>
      <c r="E4002" s="3">
        <v>2.8900000000000001E-143</v>
      </c>
      <c r="F4002" s="2">
        <v>1137</v>
      </c>
      <c r="G4002" s="2">
        <v>100</v>
      </c>
      <c r="H4002" s="2">
        <v>213</v>
      </c>
      <c r="I4002" s="2">
        <v>822</v>
      </c>
      <c r="J4002" s="2">
        <v>1460</v>
      </c>
      <c r="K4002" s="2">
        <v>361</v>
      </c>
      <c r="L4002" s="2">
        <v>573</v>
      </c>
    </row>
    <row r="4003" spans="1:12" x14ac:dyDescent="0.25">
      <c r="A4003" s="4" t="str">
        <f>HYPERLINK("http://www.rosaceae.org/Prunus/Prunus_persica/p.persica_gdr_reftransV1_0041455","p.persica_gdr_reftransV1_0041455")</f>
        <v>p.persica_gdr_reftransV1_0041455</v>
      </c>
      <c r="B4003" s="2">
        <v>1464</v>
      </c>
      <c r="C4003" s="4" t="str">
        <f>HYPERLINK("http://www.uniprot.org/uniprot/M5XQF6","M5XQF6")</f>
        <v>M5XQF6</v>
      </c>
      <c r="D4003" s="2" t="s">
        <v>3758</v>
      </c>
      <c r="E4003" s="3">
        <v>1.45E-95</v>
      </c>
      <c r="F4003" s="2">
        <v>783</v>
      </c>
      <c r="G4003" s="2">
        <v>99</v>
      </c>
      <c r="H4003" s="2">
        <v>188</v>
      </c>
      <c r="I4003" s="2">
        <v>90</v>
      </c>
      <c r="J4003" s="2">
        <v>653</v>
      </c>
      <c r="K4003" s="2">
        <v>183</v>
      </c>
      <c r="L4003" s="2">
        <v>370</v>
      </c>
    </row>
    <row r="4004" spans="1:12" x14ac:dyDescent="0.25">
      <c r="A4004" s="4" t="str">
        <f>HYPERLINK("http://www.rosaceae.org/Prunus/Prunus_persica/p.persica_gdr_reftransV1_0041805","p.persica_gdr_reftransV1_0041805")</f>
        <v>p.persica_gdr_reftransV1_0041805</v>
      </c>
      <c r="B4004" s="2">
        <v>4064</v>
      </c>
      <c r="C4004" s="4" t="str">
        <f>HYPERLINK("http://www.uniprot.org/uniprot/M5X0B2","M5X0B2")</f>
        <v>M5X0B2</v>
      </c>
      <c r="D4004" s="2" t="s">
        <v>3221</v>
      </c>
      <c r="E4004" s="3">
        <v>3.5400000000000001E-144</v>
      </c>
      <c r="F4004" s="2">
        <v>863</v>
      </c>
      <c r="G4004" s="2">
        <v>98</v>
      </c>
      <c r="H4004" s="2">
        <v>169</v>
      </c>
      <c r="I4004" s="2">
        <v>840</v>
      </c>
      <c r="J4004" s="2">
        <v>1346</v>
      </c>
      <c r="K4004" s="2">
        <v>106</v>
      </c>
      <c r="L4004" s="2">
        <v>274</v>
      </c>
    </row>
    <row r="4005" spans="1:12" x14ac:dyDescent="0.25">
      <c r="A4005" s="4" t="str">
        <f>HYPERLINK("http://www.rosaceae.org/Prunus/Prunus_persica/p.persica_gdr_reftransV1_0042855","p.persica_gdr_reftransV1_0042855")</f>
        <v>p.persica_gdr_reftransV1_0042855</v>
      </c>
      <c r="B4005" s="2">
        <v>1892</v>
      </c>
      <c r="C4005" s="4" t="str">
        <f>HYPERLINK("http://www.uniprot.org/uniprot/M5XBS9","M5XBS9")</f>
        <v>M5XBS9</v>
      </c>
      <c r="D4005" s="2" t="s">
        <v>3759</v>
      </c>
      <c r="E4005" s="3">
        <v>0</v>
      </c>
      <c r="F4005" s="2">
        <v>2298</v>
      </c>
      <c r="G4005" s="2">
        <v>100</v>
      </c>
      <c r="H4005" s="2">
        <v>440</v>
      </c>
      <c r="I4005" s="2">
        <v>292</v>
      </c>
      <c r="J4005" s="2">
        <v>1611</v>
      </c>
      <c r="K4005" s="2">
        <v>33</v>
      </c>
      <c r="L4005" s="2">
        <v>472</v>
      </c>
    </row>
    <row r="4006" spans="1:12" x14ac:dyDescent="0.25">
      <c r="A4006" s="4" t="str">
        <f>HYPERLINK("http://www.rosaceae.org/Prunus/Prunus_persica/p.persica_gdr_reftransV1_0043205","p.persica_gdr_reftransV1_0043205")</f>
        <v>p.persica_gdr_reftransV1_0043205</v>
      </c>
      <c r="B4006" s="2">
        <v>1425</v>
      </c>
      <c r="C4006" s="4" t="str">
        <f>HYPERLINK("http://www.uniprot.org/uniprot/M5Y9U4","M5Y9U4")</f>
        <v>M5Y9U4</v>
      </c>
      <c r="D4006" s="2" t="s">
        <v>3760</v>
      </c>
      <c r="E4006" s="3">
        <v>3.0399999999999999E-113</v>
      </c>
      <c r="F4006" s="2">
        <v>887</v>
      </c>
      <c r="G4006" s="2">
        <v>100</v>
      </c>
      <c r="H4006" s="2">
        <v>251</v>
      </c>
      <c r="I4006" s="2">
        <v>107</v>
      </c>
      <c r="J4006" s="2">
        <v>859</v>
      </c>
      <c r="K4006" s="2">
        <v>1</v>
      </c>
      <c r="L4006" s="2">
        <v>251</v>
      </c>
    </row>
    <row r="4007" spans="1:12" x14ac:dyDescent="0.25">
      <c r="A4007" s="4" t="str">
        <f>HYPERLINK("http://www.rosaceae.org/Prunus/Prunus_persica/p.persica_gdr_reftransV1_0043555","p.persica_gdr_reftransV1_0043555")</f>
        <v>p.persica_gdr_reftransV1_0043555</v>
      </c>
      <c r="B4007" s="2">
        <v>895</v>
      </c>
      <c r="C4007" s="4" t="str">
        <f>HYPERLINK("http://www.uniprot.org/uniprot/M5Y8E3","M5Y8E3")</f>
        <v>M5Y8E3</v>
      </c>
      <c r="D4007" s="2" t="s">
        <v>2350</v>
      </c>
      <c r="E4007" s="3">
        <v>2.2099999999999999E-176</v>
      </c>
      <c r="F4007" s="2">
        <v>1383</v>
      </c>
      <c r="G4007" s="2">
        <v>92</v>
      </c>
      <c r="H4007" s="2">
        <v>321</v>
      </c>
      <c r="I4007" s="2">
        <v>3</v>
      </c>
      <c r="J4007" s="2">
        <v>893</v>
      </c>
      <c r="K4007" s="2">
        <v>107</v>
      </c>
      <c r="L4007" s="2">
        <v>427</v>
      </c>
    </row>
    <row r="4008" spans="1:12" x14ac:dyDescent="0.25">
      <c r="A4008" s="4" t="str">
        <f>HYPERLINK("http://www.rosaceae.org/Prunus/Prunus_persica/p.persica_gdr_reftransV1_0044255","p.persica_gdr_reftransV1_0044255")</f>
        <v>p.persica_gdr_reftransV1_0044255</v>
      </c>
      <c r="B4008" s="2">
        <v>410</v>
      </c>
      <c r="C4008" s="4" t="str">
        <f>HYPERLINK("http://www.uniprot.org/uniprot/M5XWC1","M5XWC1")</f>
        <v>M5XWC1</v>
      </c>
      <c r="D4008" s="2" t="s">
        <v>3761</v>
      </c>
      <c r="E4008" s="3">
        <v>1.4299999999999999E-42</v>
      </c>
      <c r="F4008" s="2">
        <v>399</v>
      </c>
      <c r="G4008" s="2">
        <v>100</v>
      </c>
      <c r="H4008" s="2">
        <v>72</v>
      </c>
      <c r="I4008" s="2">
        <v>193</v>
      </c>
      <c r="J4008" s="2">
        <v>408</v>
      </c>
      <c r="K4008" s="2">
        <v>568</v>
      </c>
      <c r="L4008" s="2">
        <v>639</v>
      </c>
    </row>
    <row r="4009" spans="1:12" x14ac:dyDescent="0.25">
      <c r="A4009" s="4" t="str">
        <f>HYPERLINK("http://www.rosaceae.org/Prunus/Prunus_persica/p.persica_gdr_reftransV1_0044955","p.persica_gdr_reftransV1_0044955")</f>
        <v>p.persica_gdr_reftransV1_0044955</v>
      </c>
      <c r="B4009" s="2">
        <v>652</v>
      </c>
      <c r="C4009" s="4" t="str">
        <f>HYPERLINK("http://www.uniprot.org/uniprot/M5VY66","M5VY66")</f>
        <v>M5VY66</v>
      </c>
      <c r="D4009" s="2" t="s">
        <v>3762</v>
      </c>
      <c r="E4009" s="3">
        <v>1.06E-105</v>
      </c>
      <c r="F4009" s="2">
        <v>835</v>
      </c>
      <c r="G4009" s="2">
        <v>93</v>
      </c>
      <c r="H4009" s="2">
        <v>171</v>
      </c>
      <c r="I4009" s="2">
        <v>87</v>
      </c>
      <c r="J4009" s="2">
        <v>599</v>
      </c>
      <c r="K4009" s="2">
        <v>1</v>
      </c>
      <c r="L4009" s="2">
        <v>171</v>
      </c>
    </row>
    <row r="4010" spans="1:12" x14ac:dyDescent="0.25">
      <c r="A4010" s="4" t="str">
        <f>HYPERLINK("http://www.rosaceae.org/Prunus/Prunus_persica/p.persica_gdr_reftransV1_0045305","p.persica_gdr_reftransV1_0045305")</f>
        <v>p.persica_gdr_reftransV1_0045305</v>
      </c>
      <c r="B4010" s="2">
        <v>2042</v>
      </c>
      <c r="C4010" s="4" t="str">
        <f>HYPERLINK("http://www.uniprot.org/uniprot/M5VWS1","M5VWS1")</f>
        <v>M5VWS1</v>
      </c>
      <c r="D4010" s="2" t="s">
        <v>791</v>
      </c>
      <c r="E4010" s="3">
        <v>0</v>
      </c>
      <c r="F4010" s="2">
        <v>3008</v>
      </c>
      <c r="G4010" s="2">
        <v>100</v>
      </c>
      <c r="H4010" s="2">
        <v>574</v>
      </c>
      <c r="I4010" s="2">
        <v>71</v>
      </c>
      <c r="J4010" s="2">
        <v>1792</v>
      </c>
      <c r="K4010" s="2">
        <v>1</v>
      </c>
      <c r="L4010" s="2">
        <v>574</v>
      </c>
    </row>
    <row r="4011" spans="1:12" x14ac:dyDescent="0.25">
      <c r="A4011" s="4" t="str">
        <f>HYPERLINK("http://www.rosaceae.org/Prunus/Prunus_persica/p.persica_gdr_reftransV1_0045655","p.persica_gdr_reftransV1_0045655")</f>
        <v>p.persica_gdr_reftransV1_0045655</v>
      </c>
      <c r="B4011" s="2">
        <v>1145</v>
      </c>
      <c r="C4011" s="4" t="str">
        <f>HYPERLINK("http://www.uniprot.org/uniprot/M5XEZ7","M5XEZ7")</f>
        <v>M5XEZ7</v>
      </c>
      <c r="D4011" s="2" t="s">
        <v>3763</v>
      </c>
      <c r="E4011" s="3">
        <v>5.7299999999999997E-88</v>
      </c>
      <c r="F4011" s="2">
        <v>770</v>
      </c>
      <c r="G4011" s="2">
        <v>100</v>
      </c>
      <c r="H4011" s="2">
        <v>247</v>
      </c>
      <c r="I4011" s="2">
        <v>140</v>
      </c>
      <c r="J4011" s="2">
        <v>880</v>
      </c>
      <c r="K4011" s="2">
        <v>1254</v>
      </c>
      <c r="L4011" s="2">
        <v>1500</v>
      </c>
    </row>
    <row r="4012" spans="1:12" x14ac:dyDescent="0.25">
      <c r="A4012" s="4" t="str">
        <f>HYPERLINK("http://www.rosaceae.org/Prunus/Prunus_persica/p.persica_gdr_reftransV1_0046005","p.persica_gdr_reftransV1_0046005")</f>
        <v>p.persica_gdr_reftransV1_0046005</v>
      </c>
      <c r="B4012" s="2">
        <v>567</v>
      </c>
      <c r="C4012" s="4" t="str">
        <f>HYPERLINK("http://www.uniprot.org/uniprot/M5X8I9","M5X8I9")</f>
        <v>M5X8I9</v>
      </c>
      <c r="D4012" s="2" t="s">
        <v>3764</v>
      </c>
      <c r="E4012" s="3">
        <v>2.2900000000000001E-77</v>
      </c>
      <c r="F4012" s="2">
        <v>666</v>
      </c>
      <c r="G4012" s="2">
        <v>100</v>
      </c>
      <c r="H4012" s="2">
        <v>156</v>
      </c>
      <c r="I4012" s="2">
        <v>5</v>
      </c>
      <c r="J4012" s="2">
        <v>472</v>
      </c>
      <c r="K4012" s="2">
        <v>269</v>
      </c>
      <c r="L4012" s="2">
        <v>424</v>
      </c>
    </row>
    <row r="4013" spans="1:12" x14ac:dyDescent="0.25">
      <c r="A4013" s="4" t="str">
        <f>HYPERLINK("http://www.rosaceae.org/Prunus/Prunus_persica/p.persica_gdr_reftransV1_0046355","p.persica_gdr_reftransV1_0046355")</f>
        <v>p.persica_gdr_reftransV1_0046355</v>
      </c>
      <c r="B4013" s="2">
        <v>839</v>
      </c>
      <c r="C4013" s="4" t="str">
        <f>HYPERLINK("http://www.uniprot.org/uniprot/M5X618","M5X618")</f>
        <v>M5X618</v>
      </c>
      <c r="D4013" s="2" t="s">
        <v>3765</v>
      </c>
      <c r="E4013" s="3">
        <v>7.4600000000000006E-80</v>
      </c>
      <c r="F4013" s="2">
        <v>639</v>
      </c>
      <c r="G4013" s="2">
        <v>100</v>
      </c>
      <c r="H4013" s="2">
        <v>173</v>
      </c>
      <c r="I4013" s="2">
        <v>35</v>
      </c>
      <c r="J4013" s="2">
        <v>553</v>
      </c>
      <c r="K4013" s="2">
        <v>1</v>
      </c>
      <c r="L4013" s="2">
        <v>173</v>
      </c>
    </row>
    <row r="4014" spans="1:12" x14ac:dyDescent="0.25">
      <c r="A4014" s="4" t="str">
        <f>HYPERLINK("http://www.rosaceae.org/Prunus/Prunus_persica/p.persica_gdr_reftransV1_0046705","p.persica_gdr_reftransV1_0046705")</f>
        <v>p.persica_gdr_reftransV1_0046705</v>
      </c>
      <c r="B4014" s="2">
        <v>1218</v>
      </c>
      <c r="C4014" s="4" t="str">
        <f>HYPERLINK("http://www.uniprot.org/uniprot/M5XJE9","M5XJE9")</f>
        <v>M5XJE9</v>
      </c>
      <c r="D4014" s="2" t="s">
        <v>3766</v>
      </c>
      <c r="E4014" s="3">
        <v>0</v>
      </c>
      <c r="F4014" s="2">
        <v>1690</v>
      </c>
      <c r="G4014" s="2">
        <v>100</v>
      </c>
      <c r="H4014" s="2">
        <v>340</v>
      </c>
      <c r="I4014" s="2">
        <v>61</v>
      </c>
      <c r="J4014" s="2">
        <v>1080</v>
      </c>
      <c r="K4014" s="2">
        <v>182</v>
      </c>
      <c r="L4014" s="2">
        <v>521</v>
      </c>
    </row>
    <row r="4015" spans="1:12" x14ac:dyDescent="0.25">
      <c r="A4015" s="4" t="str">
        <f>HYPERLINK("http://www.rosaceae.org/Prunus/Prunus_persica/p.persica_gdr_reftransV1_0047405","p.persica_gdr_reftransV1_0047405")</f>
        <v>p.persica_gdr_reftransV1_0047405</v>
      </c>
      <c r="B4015" s="2">
        <v>1077</v>
      </c>
      <c r="C4015" s="4" t="str">
        <f>HYPERLINK("http://www.uniprot.org/uniprot/M5WTQ0","M5WTQ0")</f>
        <v>M5WTQ0</v>
      </c>
      <c r="D4015" s="2" t="s">
        <v>915</v>
      </c>
      <c r="E4015" s="3">
        <v>3.3099999999999997E-160</v>
      </c>
      <c r="F4015" s="2">
        <v>1186</v>
      </c>
      <c r="G4015" s="2">
        <v>100</v>
      </c>
      <c r="H4015" s="2">
        <v>220</v>
      </c>
      <c r="I4015" s="2">
        <v>238</v>
      </c>
      <c r="J4015" s="2">
        <v>897</v>
      </c>
      <c r="K4015" s="2">
        <v>20</v>
      </c>
      <c r="L4015" s="2">
        <v>239</v>
      </c>
    </row>
    <row r="4016" spans="1:12" x14ac:dyDescent="0.25">
      <c r="A4016" s="4" t="str">
        <f>HYPERLINK("http://www.rosaceae.org/Prunus/Prunus_persica/p.persica_gdr_reftransV1_0047755","p.persica_gdr_reftransV1_0047755")</f>
        <v>p.persica_gdr_reftransV1_0047755</v>
      </c>
      <c r="B4016" s="2">
        <v>625</v>
      </c>
      <c r="C4016" s="4" t="str">
        <f>HYPERLINK("http://www.uniprot.org/uniprot/M5XTB7","M5XTB7")</f>
        <v>M5XTB7</v>
      </c>
      <c r="D4016" s="2" t="s">
        <v>3767</v>
      </c>
      <c r="E4016" s="3">
        <v>5.8900000000000004E-106</v>
      </c>
      <c r="F4016" s="2">
        <v>803</v>
      </c>
      <c r="G4016" s="2">
        <v>100</v>
      </c>
      <c r="H4016" s="2">
        <v>161</v>
      </c>
      <c r="I4016" s="2">
        <v>90</v>
      </c>
      <c r="J4016" s="2">
        <v>572</v>
      </c>
      <c r="K4016" s="2">
        <v>1</v>
      </c>
      <c r="L4016" s="2">
        <v>161</v>
      </c>
    </row>
    <row r="4017" spans="1:12" x14ac:dyDescent="0.25">
      <c r="A4017" s="4" t="str">
        <f>HYPERLINK("http://www.rosaceae.org/Prunus/Prunus_persica/p.persica_gdr_reftransV1_0048105","p.persica_gdr_reftransV1_0048105")</f>
        <v>p.persica_gdr_reftransV1_0048105</v>
      </c>
      <c r="B4017" s="2">
        <v>672</v>
      </c>
      <c r="C4017" s="4" t="str">
        <f>HYPERLINK("http://www.uniprot.org/uniprot/A0A067H0G8","A0A067H0G8")</f>
        <v>A0A067H0G8</v>
      </c>
      <c r="D4017" s="2" t="s">
        <v>3768</v>
      </c>
      <c r="E4017" s="3">
        <v>1.67E-36</v>
      </c>
      <c r="F4017" s="2">
        <v>357</v>
      </c>
      <c r="G4017" s="2">
        <v>65</v>
      </c>
      <c r="H4017" s="2">
        <v>112</v>
      </c>
      <c r="I4017" s="2">
        <v>283</v>
      </c>
      <c r="J4017" s="2">
        <v>618</v>
      </c>
      <c r="K4017" s="2">
        <v>1</v>
      </c>
      <c r="L4017" s="2">
        <v>112</v>
      </c>
    </row>
    <row r="4018" spans="1:12" x14ac:dyDescent="0.25">
      <c r="A4018" s="4" t="str">
        <f>HYPERLINK("http://www.rosaceae.org/Prunus/Prunus_persica/p.persica_gdr_reftransV1_0048455","p.persica_gdr_reftransV1_0048455")</f>
        <v>p.persica_gdr_reftransV1_0048455</v>
      </c>
      <c r="B4018" s="2">
        <v>886</v>
      </c>
      <c r="C4018" s="4" t="str">
        <f>HYPERLINK("http://www.uniprot.org/uniprot/M5WHN9","M5WHN9")</f>
        <v>M5WHN9</v>
      </c>
      <c r="D4018" s="2" t="s">
        <v>3769</v>
      </c>
      <c r="E4018" s="3">
        <v>7.0800000000000004E-158</v>
      </c>
      <c r="F4018" s="2">
        <v>1160</v>
      </c>
      <c r="G4018" s="2">
        <v>100</v>
      </c>
      <c r="H4018" s="2">
        <v>219</v>
      </c>
      <c r="I4018" s="2">
        <v>161</v>
      </c>
      <c r="J4018" s="2">
        <v>817</v>
      </c>
      <c r="K4018" s="2">
        <v>1</v>
      </c>
      <c r="L4018" s="2">
        <v>219</v>
      </c>
    </row>
    <row r="4019" spans="1:12" x14ac:dyDescent="0.25">
      <c r="A4019" s="4" t="str">
        <f>HYPERLINK("http://www.rosaceae.org/Prunus/Prunus_persica/p.persica_gdr_reftransV1_0048805","p.persica_gdr_reftransV1_0048805")</f>
        <v>p.persica_gdr_reftransV1_0048805</v>
      </c>
      <c r="B4019" s="2">
        <v>639</v>
      </c>
      <c r="C4019" s="4" t="str">
        <f>HYPERLINK("http://www.uniprot.org/uniprot/M5WNQ7","M5WNQ7")</f>
        <v>M5WNQ7</v>
      </c>
      <c r="D4019" s="2" t="s">
        <v>3770</v>
      </c>
      <c r="E4019" s="3">
        <v>5.8400000000000001E-80</v>
      </c>
      <c r="F4019" s="2">
        <v>632</v>
      </c>
      <c r="G4019" s="2">
        <v>97</v>
      </c>
      <c r="H4019" s="2">
        <v>161</v>
      </c>
      <c r="I4019" s="2">
        <v>158</v>
      </c>
      <c r="J4019" s="2">
        <v>637</v>
      </c>
      <c r="K4019" s="2">
        <v>1</v>
      </c>
      <c r="L4019" s="2">
        <v>161</v>
      </c>
    </row>
    <row r="4020" spans="1:12" x14ac:dyDescent="0.25">
      <c r="A4020" s="4" t="str">
        <f>HYPERLINK("http://www.rosaceae.org/Prunus/Prunus_persica/p.persica_gdr_reftransV1_0049155","p.persica_gdr_reftransV1_0049155")</f>
        <v>p.persica_gdr_reftransV1_0049155</v>
      </c>
      <c r="B4020" s="2">
        <v>1185</v>
      </c>
      <c r="C4020" s="4" t="str">
        <f>HYPERLINK("http://www.uniprot.org/uniprot/M5XF46","M5XF46")</f>
        <v>M5XF46</v>
      </c>
      <c r="D4020" s="2" t="s">
        <v>3771</v>
      </c>
      <c r="E4020" s="3">
        <v>5.3899999999999999E-95</v>
      </c>
      <c r="F4020" s="2">
        <v>751</v>
      </c>
      <c r="G4020" s="2">
        <v>100</v>
      </c>
      <c r="H4020" s="2">
        <v>143</v>
      </c>
      <c r="I4020" s="2">
        <v>308</v>
      </c>
      <c r="J4020" s="2">
        <v>736</v>
      </c>
      <c r="K4020" s="2">
        <v>1</v>
      </c>
      <c r="L4020" s="2">
        <v>143</v>
      </c>
    </row>
    <row r="4021" spans="1:12" x14ac:dyDescent="0.25">
      <c r="A4021" s="4" t="str">
        <f>HYPERLINK("http://www.rosaceae.org/Prunus/Prunus_persica/p.persica_gdr_reftransV1_0000156","p.persica_gdr_reftransV1_0000156")</f>
        <v>p.persica_gdr_reftransV1_0000156</v>
      </c>
      <c r="B4021" s="2">
        <v>393</v>
      </c>
      <c r="C4021" s="4" t="str">
        <f>HYPERLINK("http://www.uniprot.org/uniprot/M5WXW6","M5WXW6")</f>
        <v>M5WXW6</v>
      </c>
      <c r="D4021" s="2" t="s">
        <v>3772</v>
      </c>
      <c r="E4021" s="3">
        <v>5.3099999999999998E-88</v>
      </c>
      <c r="F4021" s="2">
        <v>701</v>
      </c>
      <c r="G4021" s="2">
        <v>100</v>
      </c>
      <c r="H4021" s="2">
        <v>131</v>
      </c>
      <c r="I4021" s="2">
        <v>1</v>
      </c>
      <c r="J4021" s="2">
        <v>393</v>
      </c>
      <c r="K4021" s="2">
        <v>249</v>
      </c>
      <c r="L4021" s="2">
        <v>379</v>
      </c>
    </row>
    <row r="4022" spans="1:12" x14ac:dyDescent="0.25">
      <c r="A4022" s="4" t="str">
        <f>HYPERLINK("http://www.rosaceae.org/Prunus/Prunus_persica/p.persica_gdr_reftransV1_0000506","p.persica_gdr_reftransV1_0000506")</f>
        <v>p.persica_gdr_reftransV1_0000506</v>
      </c>
      <c r="B4022" s="2">
        <v>2116</v>
      </c>
      <c r="C4022" s="4" t="str">
        <f>HYPERLINK("http://www.uniprot.org/uniprot/M5VZF8","M5VZF8")</f>
        <v>M5VZF8</v>
      </c>
      <c r="D4022" s="2" t="s">
        <v>482</v>
      </c>
      <c r="E4022" s="3">
        <v>0</v>
      </c>
      <c r="F4022" s="2">
        <v>2861</v>
      </c>
      <c r="G4022" s="2">
        <v>100</v>
      </c>
      <c r="H4022" s="2">
        <v>569</v>
      </c>
      <c r="I4022" s="2">
        <v>131</v>
      </c>
      <c r="J4022" s="2">
        <v>1837</v>
      </c>
      <c r="K4022" s="2">
        <v>6</v>
      </c>
      <c r="L4022" s="2">
        <v>574</v>
      </c>
    </row>
    <row r="4023" spans="1:12" x14ac:dyDescent="0.25">
      <c r="A4023" s="4" t="str">
        <f>HYPERLINK("http://www.rosaceae.org/Prunus/Prunus_persica/p.persica_gdr_reftransV1_0000856","p.persica_gdr_reftransV1_0000856")</f>
        <v>p.persica_gdr_reftransV1_0000856</v>
      </c>
      <c r="B4023" s="2">
        <v>891</v>
      </c>
      <c r="C4023" s="4" t="str">
        <f>HYPERLINK("http://www.uniprot.org/uniprot/M5X8T4","M5X8T4")</f>
        <v>M5X8T4</v>
      </c>
      <c r="D4023" s="2" t="s">
        <v>3773</v>
      </c>
      <c r="E4023" s="3">
        <v>4.3999999999999999E-151</v>
      </c>
      <c r="F4023" s="2">
        <v>1165</v>
      </c>
      <c r="G4023" s="2">
        <v>100</v>
      </c>
      <c r="H4023" s="2">
        <v>218</v>
      </c>
      <c r="I4023" s="2">
        <v>3</v>
      </c>
      <c r="J4023" s="2">
        <v>656</v>
      </c>
      <c r="K4023" s="2">
        <v>1</v>
      </c>
      <c r="L4023" s="2">
        <v>218</v>
      </c>
    </row>
    <row r="4024" spans="1:12" x14ac:dyDescent="0.25">
      <c r="A4024" s="4" t="str">
        <f>HYPERLINK("http://www.rosaceae.org/Prunus/Prunus_persica/p.persica_gdr_reftransV1_0001206","p.persica_gdr_reftransV1_0001206")</f>
        <v>p.persica_gdr_reftransV1_0001206</v>
      </c>
      <c r="B4024" s="2">
        <v>7042</v>
      </c>
      <c r="C4024" s="4" t="str">
        <f>HYPERLINK("http://www.uniprot.org/uniprot/M5WXD6","M5WXD6")</f>
        <v>M5WXD6</v>
      </c>
      <c r="D4024" s="2" t="s">
        <v>3774</v>
      </c>
      <c r="E4024" s="3">
        <v>0</v>
      </c>
      <c r="F4024" s="2">
        <v>9604</v>
      </c>
      <c r="G4024" s="2">
        <v>100</v>
      </c>
      <c r="H4024" s="2">
        <v>1844</v>
      </c>
      <c r="I4024" s="2">
        <v>904</v>
      </c>
      <c r="J4024" s="2">
        <v>6435</v>
      </c>
      <c r="K4024" s="2">
        <v>311</v>
      </c>
      <c r="L4024" s="2">
        <v>2154</v>
      </c>
    </row>
    <row r="4025" spans="1:12" x14ac:dyDescent="0.25">
      <c r="A4025" s="4" t="str">
        <f>HYPERLINK("http://www.rosaceae.org/Prunus/Prunus_persica/p.persica_gdr_reftransV1_0001556","p.persica_gdr_reftransV1_0001556")</f>
        <v>p.persica_gdr_reftransV1_0001556</v>
      </c>
      <c r="B4025" s="2">
        <v>426</v>
      </c>
      <c r="C4025" s="4" t="str">
        <f>HYPERLINK("http://www.uniprot.org/uniprot/M5Y7D4","M5Y7D4")</f>
        <v>M5Y7D4</v>
      </c>
      <c r="D4025" s="2" t="s">
        <v>1393</v>
      </c>
      <c r="E4025" s="3">
        <v>1.1900000000000001E-86</v>
      </c>
      <c r="F4025" s="2">
        <v>737</v>
      </c>
      <c r="G4025" s="2">
        <v>100</v>
      </c>
      <c r="H4025" s="2">
        <v>141</v>
      </c>
      <c r="I4025" s="2">
        <v>2</v>
      </c>
      <c r="J4025" s="2">
        <v>424</v>
      </c>
      <c r="K4025" s="2">
        <v>2</v>
      </c>
      <c r="L4025" s="2">
        <v>142</v>
      </c>
    </row>
    <row r="4026" spans="1:12" x14ac:dyDescent="0.25">
      <c r="A4026" s="4" t="str">
        <f>HYPERLINK("http://www.rosaceae.org/Prunus/Prunus_persica/p.persica_gdr_reftransV1_0002256","p.persica_gdr_reftransV1_0002256")</f>
        <v>p.persica_gdr_reftransV1_0002256</v>
      </c>
      <c r="B4026" s="2">
        <v>1202</v>
      </c>
      <c r="C4026" s="4" t="str">
        <f>HYPERLINK("http://www.uniprot.org/uniprot/M5X274","M5X274")</f>
        <v>M5X274</v>
      </c>
      <c r="D4026" s="2" t="s">
        <v>3775</v>
      </c>
      <c r="E4026" s="3">
        <v>7.9100000000000005E-131</v>
      </c>
      <c r="F4026" s="2">
        <v>993</v>
      </c>
      <c r="G4026" s="2">
        <v>99</v>
      </c>
      <c r="H4026" s="2">
        <v>198</v>
      </c>
      <c r="I4026" s="2">
        <v>572</v>
      </c>
      <c r="J4026" s="2">
        <v>1165</v>
      </c>
      <c r="K4026" s="2">
        <v>1</v>
      </c>
      <c r="L4026" s="2">
        <v>198</v>
      </c>
    </row>
    <row r="4027" spans="1:12" x14ac:dyDescent="0.25">
      <c r="A4027" s="4" t="str">
        <f>HYPERLINK("http://www.rosaceae.org/Prunus/Prunus_persica/p.persica_gdr_reftransV1_0003306","p.persica_gdr_reftransV1_0003306")</f>
        <v>p.persica_gdr_reftransV1_0003306</v>
      </c>
      <c r="B4027" s="2">
        <v>2766</v>
      </c>
      <c r="C4027" s="4" t="str">
        <f>HYPERLINK("http://www.uniprot.org/uniprot/M5WCL1","M5WCL1")</f>
        <v>M5WCL1</v>
      </c>
      <c r="D4027" s="2" t="s">
        <v>3776</v>
      </c>
      <c r="E4027" s="3">
        <v>0</v>
      </c>
      <c r="F4027" s="2">
        <v>3424</v>
      </c>
      <c r="G4027" s="2">
        <v>98</v>
      </c>
      <c r="H4027" s="2">
        <v>664</v>
      </c>
      <c r="I4027" s="2">
        <v>273</v>
      </c>
      <c r="J4027" s="2">
        <v>2264</v>
      </c>
      <c r="K4027" s="2">
        <v>1</v>
      </c>
      <c r="L4027" s="2">
        <v>652</v>
      </c>
    </row>
    <row r="4028" spans="1:12" x14ac:dyDescent="0.25">
      <c r="A4028" s="4" t="str">
        <f>HYPERLINK("http://www.rosaceae.org/Prunus/Prunus_persica/p.persica_gdr_reftransV1_0004006","p.persica_gdr_reftransV1_0004006")</f>
        <v>p.persica_gdr_reftransV1_0004006</v>
      </c>
      <c r="B4028" s="2">
        <v>1526</v>
      </c>
      <c r="C4028" s="4" t="str">
        <f>HYPERLINK("http://www.uniprot.org/uniprot/M5W156","M5W156")</f>
        <v>M5W156</v>
      </c>
      <c r="D4028" s="2" t="s">
        <v>3777</v>
      </c>
      <c r="E4028" s="3">
        <v>1.93E-90</v>
      </c>
      <c r="F4028" s="2">
        <v>737</v>
      </c>
      <c r="G4028" s="2">
        <v>100</v>
      </c>
      <c r="H4028" s="2">
        <v>160</v>
      </c>
      <c r="I4028" s="2">
        <v>702</v>
      </c>
      <c r="J4028" s="2">
        <v>1181</v>
      </c>
      <c r="K4028" s="2">
        <v>83</v>
      </c>
      <c r="L4028" s="2">
        <v>242</v>
      </c>
    </row>
    <row r="4029" spans="1:12" x14ac:dyDescent="0.25">
      <c r="A4029" s="4" t="str">
        <f>HYPERLINK("http://www.rosaceae.org/Prunus/Prunus_persica/p.persica_gdr_reftransV1_0005406","p.persica_gdr_reftransV1_0005406")</f>
        <v>p.persica_gdr_reftransV1_0005406</v>
      </c>
      <c r="B4029" s="2">
        <v>701</v>
      </c>
      <c r="C4029" s="4" t="str">
        <f>HYPERLINK("http://www.uniprot.org/uniprot/M5WAA6","M5WAA6")</f>
        <v>M5WAA6</v>
      </c>
      <c r="D4029" s="2" t="s">
        <v>3448</v>
      </c>
      <c r="E4029" s="3">
        <v>2.4000000000000002E-75</v>
      </c>
      <c r="F4029" s="2">
        <v>614</v>
      </c>
      <c r="G4029" s="2">
        <v>99</v>
      </c>
      <c r="H4029" s="2">
        <v>114</v>
      </c>
      <c r="I4029" s="2">
        <v>98</v>
      </c>
      <c r="J4029" s="2">
        <v>439</v>
      </c>
      <c r="K4029" s="2">
        <v>166</v>
      </c>
      <c r="L4029" s="2">
        <v>279</v>
      </c>
    </row>
    <row r="4030" spans="1:12" x14ac:dyDescent="0.25">
      <c r="A4030" s="4" t="str">
        <f>HYPERLINK("http://www.rosaceae.org/Prunus/Prunus_persica/p.persica_gdr_reftransV1_0005756","p.persica_gdr_reftransV1_0005756")</f>
        <v>p.persica_gdr_reftransV1_0005756</v>
      </c>
      <c r="B4030" s="2">
        <v>315</v>
      </c>
      <c r="C4030" s="4" t="str">
        <f>HYPERLINK("http://www.uniprot.org/uniprot/M5WCT4","M5WCT4")</f>
        <v>M5WCT4</v>
      </c>
      <c r="D4030" s="2" t="s">
        <v>3778</v>
      </c>
      <c r="E4030" s="3">
        <v>4.9599999999999999E-60</v>
      </c>
      <c r="F4030" s="2">
        <v>528</v>
      </c>
      <c r="G4030" s="2">
        <v>100</v>
      </c>
      <c r="H4030" s="2">
        <v>104</v>
      </c>
      <c r="I4030" s="2">
        <v>3</v>
      </c>
      <c r="J4030" s="2">
        <v>314</v>
      </c>
      <c r="K4030" s="2">
        <v>714</v>
      </c>
      <c r="L4030" s="2">
        <v>817</v>
      </c>
    </row>
    <row r="4031" spans="1:12" x14ac:dyDescent="0.25">
      <c r="A4031" s="4" t="str">
        <f>HYPERLINK("http://www.rosaceae.org/Prunus/Prunus_persica/p.persica_gdr_reftransV1_0006456","p.persica_gdr_reftransV1_0006456")</f>
        <v>p.persica_gdr_reftransV1_0006456</v>
      </c>
      <c r="B4031" s="2">
        <v>617</v>
      </c>
      <c r="C4031" s="4" t="str">
        <f>HYPERLINK("http://www.uniprot.org/uniprot/M5WWA6","M5WWA6")</f>
        <v>M5WWA6</v>
      </c>
      <c r="D4031" s="2" t="s">
        <v>3779</v>
      </c>
      <c r="E4031" s="3">
        <v>1.75E-41</v>
      </c>
      <c r="F4031" s="2">
        <v>386</v>
      </c>
      <c r="G4031" s="2">
        <v>70</v>
      </c>
      <c r="H4031" s="2">
        <v>116</v>
      </c>
      <c r="I4031" s="2">
        <v>3</v>
      </c>
      <c r="J4031" s="2">
        <v>350</v>
      </c>
      <c r="K4031" s="2">
        <v>218</v>
      </c>
      <c r="L4031" s="2">
        <v>299</v>
      </c>
    </row>
    <row r="4032" spans="1:12" x14ac:dyDescent="0.25">
      <c r="A4032" s="4" t="str">
        <f>HYPERLINK("http://www.rosaceae.org/Prunus/Prunus_persica/p.persica_gdr_reftransV1_0006806","p.persica_gdr_reftransV1_0006806")</f>
        <v>p.persica_gdr_reftransV1_0006806</v>
      </c>
      <c r="B4032" s="2">
        <v>1172</v>
      </c>
      <c r="C4032" s="4" t="str">
        <f>HYPERLINK("http://www.uniprot.org/uniprot/M5XY76","M5XY76")</f>
        <v>M5XY76</v>
      </c>
      <c r="D4032" s="2" t="s">
        <v>3780</v>
      </c>
      <c r="E4032" s="3">
        <v>0</v>
      </c>
      <c r="F4032" s="2">
        <v>1924</v>
      </c>
      <c r="G4032" s="2">
        <v>100</v>
      </c>
      <c r="H4032" s="2">
        <v>376</v>
      </c>
      <c r="I4032" s="2">
        <v>45</v>
      </c>
      <c r="J4032" s="2">
        <v>1172</v>
      </c>
      <c r="K4032" s="2">
        <v>53</v>
      </c>
      <c r="L4032" s="2">
        <v>428</v>
      </c>
    </row>
    <row r="4033" spans="1:12" x14ac:dyDescent="0.25">
      <c r="A4033" s="4" t="str">
        <f>HYPERLINK("http://www.rosaceae.org/Prunus/Prunus_persica/p.persica_gdr_reftransV1_0007506","p.persica_gdr_reftransV1_0007506")</f>
        <v>p.persica_gdr_reftransV1_0007506</v>
      </c>
      <c r="B4033" s="2">
        <v>2052</v>
      </c>
      <c r="C4033" s="4" t="str">
        <f>HYPERLINK("http://www.uniprot.org/uniprot/M5X0R0","M5X0R0")</f>
        <v>M5X0R0</v>
      </c>
      <c r="D4033" s="2" t="s">
        <v>3781</v>
      </c>
      <c r="E4033" s="3">
        <v>2.1200000000000001E-156</v>
      </c>
      <c r="F4033" s="2">
        <v>1206</v>
      </c>
      <c r="G4033" s="2">
        <v>100</v>
      </c>
      <c r="H4033" s="2">
        <v>376</v>
      </c>
      <c r="I4033" s="2">
        <v>779</v>
      </c>
      <c r="J4033" s="2">
        <v>1906</v>
      </c>
      <c r="K4033" s="2">
        <v>1</v>
      </c>
      <c r="L4033" s="2">
        <v>376</v>
      </c>
    </row>
    <row r="4034" spans="1:12" x14ac:dyDescent="0.25">
      <c r="A4034" s="4" t="str">
        <f>HYPERLINK("http://www.rosaceae.org/Prunus/Prunus_persica/p.persica_gdr_reftransV1_0008206","p.persica_gdr_reftransV1_0008206")</f>
        <v>p.persica_gdr_reftransV1_0008206</v>
      </c>
      <c r="B4034" s="2">
        <v>590</v>
      </c>
      <c r="C4034" s="4" t="str">
        <f>HYPERLINK("http://www.uniprot.org/uniprot/M5WVC3","M5WVC3")</f>
        <v>M5WVC3</v>
      </c>
      <c r="D4034" s="2" t="s">
        <v>3782</v>
      </c>
      <c r="E4034" s="3">
        <v>7.3800000000000002E-92</v>
      </c>
      <c r="F4034" s="2">
        <v>712</v>
      </c>
      <c r="G4034" s="2">
        <v>100</v>
      </c>
      <c r="H4034" s="2">
        <v>137</v>
      </c>
      <c r="I4034" s="2">
        <v>81</v>
      </c>
      <c r="J4034" s="2">
        <v>491</v>
      </c>
      <c r="K4034" s="2">
        <v>1</v>
      </c>
      <c r="L4034" s="2">
        <v>137</v>
      </c>
    </row>
    <row r="4035" spans="1:12" x14ac:dyDescent="0.25">
      <c r="A4035" s="4" t="str">
        <f>HYPERLINK("http://www.rosaceae.org/Prunus/Prunus_persica/p.persica_gdr_reftransV1_0008556","p.persica_gdr_reftransV1_0008556")</f>
        <v>p.persica_gdr_reftransV1_0008556</v>
      </c>
      <c r="B4035" s="2">
        <v>2656</v>
      </c>
      <c r="C4035" s="4" t="str">
        <f>HYPERLINK("http://www.uniprot.org/uniprot/M5VUQ6","M5VUQ6")</f>
        <v>M5VUQ6</v>
      </c>
      <c r="D4035" s="2" t="s">
        <v>3783</v>
      </c>
      <c r="E4035" s="3">
        <v>0</v>
      </c>
      <c r="F4035" s="2">
        <v>3054</v>
      </c>
      <c r="G4035" s="2">
        <v>100</v>
      </c>
      <c r="H4035" s="2">
        <v>625</v>
      </c>
      <c r="I4035" s="2">
        <v>531</v>
      </c>
      <c r="J4035" s="2">
        <v>2405</v>
      </c>
      <c r="K4035" s="2">
        <v>1</v>
      </c>
      <c r="L4035" s="2">
        <v>625</v>
      </c>
    </row>
    <row r="4036" spans="1:12" x14ac:dyDescent="0.25">
      <c r="A4036" s="4" t="str">
        <f>HYPERLINK("http://www.rosaceae.org/Prunus/Prunus_persica/p.persica_gdr_reftransV1_0008906","p.persica_gdr_reftransV1_0008906")</f>
        <v>p.persica_gdr_reftransV1_0008906</v>
      </c>
      <c r="B4036" s="2">
        <v>1302</v>
      </c>
      <c r="C4036" s="4" t="str">
        <f>HYPERLINK("http://www.uniprot.org/uniprot/M5WMB1","M5WMB1")</f>
        <v>M5WMB1</v>
      </c>
      <c r="D4036" s="2" t="s">
        <v>3784</v>
      </c>
      <c r="E4036" s="3">
        <v>5.0900000000000002E-59</v>
      </c>
      <c r="F4036" s="2">
        <v>532</v>
      </c>
      <c r="G4036" s="2">
        <v>99</v>
      </c>
      <c r="H4036" s="2">
        <v>102</v>
      </c>
      <c r="I4036" s="2">
        <v>790</v>
      </c>
      <c r="J4036" s="2">
        <v>1095</v>
      </c>
      <c r="K4036" s="2">
        <v>298</v>
      </c>
      <c r="L4036" s="2">
        <v>399</v>
      </c>
    </row>
    <row r="4037" spans="1:12" x14ac:dyDescent="0.25">
      <c r="A4037" s="4" t="str">
        <f>HYPERLINK("http://www.rosaceae.org/Prunus/Prunus_persica/p.persica_gdr_reftransV1_0009256","p.persica_gdr_reftransV1_0009256")</f>
        <v>p.persica_gdr_reftransV1_0009256</v>
      </c>
      <c r="B4037" s="2">
        <v>2423</v>
      </c>
      <c r="C4037" s="4" t="str">
        <f>HYPERLINK("http://www.uniprot.org/uniprot/M5X026","M5X026")</f>
        <v>M5X026</v>
      </c>
      <c r="D4037" s="2" t="s">
        <v>3785</v>
      </c>
      <c r="E4037" s="3">
        <v>0</v>
      </c>
      <c r="F4037" s="2">
        <v>1437</v>
      </c>
      <c r="G4037" s="2">
        <v>98</v>
      </c>
      <c r="H4037" s="2">
        <v>297</v>
      </c>
      <c r="I4037" s="2">
        <v>1133</v>
      </c>
      <c r="J4037" s="2">
        <v>2023</v>
      </c>
      <c r="K4037" s="2">
        <v>123</v>
      </c>
      <c r="L4037" s="2">
        <v>419</v>
      </c>
    </row>
    <row r="4038" spans="1:12" x14ac:dyDescent="0.25">
      <c r="A4038" s="4" t="str">
        <f>HYPERLINK("http://www.rosaceae.org/Prunus/Prunus_persica/p.persica_gdr_reftransV1_0009956","p.persica_gdr_reftransV1_0009956")</f>
        <v>p.persica_gdr_reftransV1_0009956</v>
      </c>
      <c r="B4038" s="2">
        <v>1565</v>
      </c>
      <c r="C4038" s="4" t="str">
        <f>HYPERLINK("http://www.uniprot.org/uniprot/M5XP46","M5XP46")</f>
        <v>M5XP46</v>
      </c>
      <c r="D4038" s="2" t="s">
        <v>3786</v>
      </c>
      <c r="E4038" s="3">
        <v>0</v>
      </c>
      <c r="F4038" s="2">
        <v>1821</v>
      </c>
      <c r="G4038" s="2">
        <v>98</v>
      </c>
      <c r="H4038" s="2">
        <v>371</v>
      </c>
      <c r="I4038" s="2">
        <v>372</v>
      </c>
      <c r="J4038" s="2">
        <v>1484</v>
      </c>
      <c r="K4038" s="2">
        <v>1</v>
      </c>
      <c r="L4038" s="2">
        <v>362</v>
      </c>
    </row>
    <row r="4039" spans="1:12" x14ac:dyDescent="0.25">
      <c r="A4039" s="4" t="str">
        <f>HYPERLINK("http://www.rosaceae.org/Prunus/Prunus_persica/p.persica_gdr_reftransV1_0011706","p.persica_gdr_reftransV1_0011706")</f>
        <v>p.persica_gdr_reftransV1_0011706</v>
      </c>
      <c r="B4039" s="2">
        <v>2188</v>
      </c>
      <c r="C4039" s="4" t="str">
        <f>HYPERLINK("http://www.uniprot.org/uniprot/M5WWK4","M5WWK4")</f>
        <v>M5WWK4</v>
      </c>
      <c r="D4039" s="2" t="s">
        <v>3787</v>
      </c>
      <c r="E4039" s="3">
        <v>0</v>
      </c>
      <c r="F4039" s="2">
        <v>2217</v>
      </c>
      <c r="G4039" s="2">
        <v>100</v>
      </c>
      <c r="H4039" s="2">
        <v>480</v>
      </c>
      <c r="I4039" s="2">
        <v>446</v>
      </c>
      <c r="J4039" s="2">
        <v>1885</v>
      </c>
      <c r="K4039" s="2">
        <v>1</v>
      </c>
      <c r="L4039" s="2">
        <v>480</v>
      </c>
    </row>
    <row r="4040" spans="1:12" x14ac:dyDescent="0.25">
      <c r="A4040" s="4" t="str">
        <f>HYPERLINK("http://www.rosaceae.org/Prunus/Prunus_persica/p.persica_gdr_reftransV1_0014506","p.persica_gdr_reftransV1_0014506")</f>
        <v>p.persica_gdr_reftransV1_0014506</v>
      </c>
      <c r="B4040" s="2">
        <v>840</v>
      </c>
      <c r="C4040" s="4" t="str">
        <f>HYPERLINK("http://www.uniprot.org/uniprot/M5VL99","M5VL99")</f>
        <v>M5VL99</v>
      </c>
      <c r="D4040" s="2" t="s">
        <v>128</v>
      </c>
      <c r="E4040" s="3">
        <v>6.9000000000000003E-136</v>
      </c>
      <c r="F4040" s="2">
        <v>1014</v>
      </c>
      <c r="G4040" s="2">
        <v>89</v>
      </c>
      <c r="H4040" s="2">
        <v>224</v>
      </c>
      <c r="I4040" s="2">
        <v>167</v>
      </c>
      <c r="J4040" s="2">
        <v>838</v>
      </c>
      <c r="K4040" s="2">
        <v>1</v>
      </c>
      <c r="L4040" s="2">
        <v>199</v>
      </c>
    </row>
    <row r="4041" spans="1:12" x14ac:dyDescent="0.25">
      <c r="A4041" s="4" t="str">
        <f>HYPERLINK("http://www.rosaceae.org/Prunus/Prunus_persica/p.persica_gdr_reftransV1_0015206","p.persica_gdr_reftransV1_0015206")</f>
        <v>p.persica_gdr_reftransV1_0015206</v>
      </c>
      <c r="B4041" s="2">
        <v>1728</v>
      </c>
      <c r="C4041" s="4" t="str">
        <f>HYPERLINK("http://www.uniprot.org/uniprot/M5WI25","M5WI25")</f>
        <v>M5WI25</v>
      </c>
      <c r="D4041" s="2" t="s">
        <v>3788</v>
      </c>
      <c r="E4041" s="3">
        <v>0</v>
      </c>
      <c r="F4041" s="2">
        <v>1939</v>
      </c>
      <c r="G4041" s="2">
        <v>100</v>
      </c>
      <c r="H4041" s="2">
        <v>425</v>
      </c>
      <c r="I4041" s="2">
        <v>144</v>
      </c>
      <c r="J4041" s="2">
        <v>1418</v>
      </c>
      <c r="K4041" s="2">
        <v>1</v>
      </c>
      <c r="L4041" s="2">
        <v>425</v>
      </c>
    </row>
    <row r="4042" spans="1:12" x14ac:dyDescent="0.25">
      <c r="A4042" s="4" t="str">
        <f>HYPERLINK("http://www.rosaceae.org/Prunus/Prunus_persica/p.persica_gdr_reftransV1_0016256","p.persica_gdr_reftransV1_0016256")</f>
        <v>p.persica_gdr_reftransV1_0016256</v>
      </c>
      <c r="B4042" s="2">
        <v>3876</v>
      </c>
      <c r="C4042" s="4" t="str">
        <f>HYPERLINK("http://www.uniprot.org/uniprot/M5W8D6","M5W8D6")</f>
        <v>M5W8D6</v>
      </c>
      <c r="D4042" s="2" t="s">
        <v>3789</v>
      </c>
      <c r="E4042" s="3">
        <v>2.65E-88</v>
      </c>
      <c r="F4042" s="2">
        <v>768</v>
      </c>
      <c r="G4042" s="2">
        <v>85</v>
      </c>
      <c r="H4042" s="2">
        <v>179</v>
      </c>
      <c r="I4042" s="2">
        <v>3228</v>
      </c>
      <c r="J4042" s="2">
        <v>3764</v>
      </c>
      <c r="K4042" s="2">
        <v>19</v>
      </c>
      <c r="L4042" s="2">
        <v>172</v>
      </c>
    </row>
    <row r="4043" spans="1:12" x14ac:dyDescent="0.25">
      <c r="A4043" s="4" t="str">
        <f>HYPERLINK("http://www.rosaceae.org/Prunus/Prunus_persica/p.persica_gdr_reftransV1_0018706","p.persica_gdr_reftransV1_0018706")</f>
        <v>p.persica_gdr_reftransV1_0018706</v>
      </c>
      <c r="B4043" s="2">
        <v>2719</v>
      </c>
      <c r="C4043" s="4" t="str">
        <f>HYPERLINK("http://www.uniprot.org/uniprot/M5XCW7","M5XCW7")</f>
        <v>M5XCW7</v>
      </c>
      <c r="D4043" s="2" t="s">
        <v>3790</v>
      </c>
      <c r="E4043" s="3">
        <v>3.5699999999999998E-177</v>
      </c>
      <c r="F4043" s="2">
        <v>1363</v>
      </c>
      <c r="G4043" s="2">
        <v>87</v>
      </c>
      <c r="H4043" s="2">
        <v>301</v>
      </c>
      <c r="I4043" s="2">
        <v>92</v>
      </c>
      <c r="J4043" s="2">
        <v>994</v>
      </c>
      <c r="K4043" s="2">
        <v>1</v>
      </c>
      <c r="L4043" s="2">
        <v>262</v>
      </c>
    </row>
    <row r="4044" spans="1:12" x14ac:dyDescent="0.25">
      <c r="A4044" s="4" t="str">
        <f>HYPERLINK("http://www.rosaceae.org/Prunus/Prunus_persica/p.persica_gdr_reftransV1_0021156","p.persica_gdr_reftransV1_0021156")</f>
        <v>p.persica_gdr_reftransV1_0021156</v>
      </c>
      <c r="B4044" s="2">
        <v>1695</v>
      </c>
      <c r="C4044" s="4" t="str">
        <f>HYPERLINK("http://www.uniprot.org/uniprot/M5XCC6","M5XCC6")</f>
        <v>M5XCC6</v>
      </c>
      <c r="D4044" s="2" t="s">
        <v>3791</v>
      </c>
      <c r="E4044" s="3">
        <v>0</v>
      </c>
      <c r="F4044" s="2">
        <v>1484</v>
      </c>
      <c r="G4044" s="2">
        <v>99</v>
      </c>
      <c r="H4044" s="2">
        <v>313</v>
      </c>
      <c r="I4044" s="2">
        <v>197</v>
      </c>
      <c r="J4044" s="2">
        <v>1135</v>
      </c>
      <c r="K4044" s="2">
        <v>20</v>
      </c>
      <c r="L4044" s="2">
        <v>332</v>
      </c>
    </row>
    <row r="4045" spans="1:12" x14ac:dyDescent="0.25">
      <c r="A4045" s="4" t="str">
        <f>HYPERLINK("http://www.rosaceae.org/Prunus/Prunus_persica/p.persica_gdr_reftransV1_0021856","p.persica_gdr_reftransV1_0021856")</f>
        <v>p.persica_gdr_reftransV1_0021856</v>
      </c>
      <c r="B4045" s="2">
        <v>3470</v>
      </c>
      <c r="C4045" s="4" t="str">
        <f>HYPERLINK("http://www.uniprot.org/uniprot/M5WFL1","M5WFL1")</f>
        <v>M5WFL1</v>
      </c>
      <c r="D4045" s="2" t="s">
        <v>3792</v>
      </c>
      <c r="E4045" s="3">
        <v>0</v>
      </c>
      <c r="F4045" s="2">
        <v>3130</v>
      </c>
      <c r="G4045" s="2">
        <v>100</v>
      </c>
      <c r="H4045" s="2">
        <v>620</v>
      </c>
      <c r="I4045" s="2">
        <v>1254</v>
      </c>
      <c r="J4045" s="2">
        <v>3113</v>
      </c>
      <c r="K4045" s="2">
        <v>85</v>
      </c>
      <c r="L4045" s="2">
        <v>704</v>
      </c>
    </row>
    <row r="4046" spans="1:12" x14ac:dyDescent="0.25">
      <c r="A4046" s="4" t="str">
        <f>HYPERLINK("http://www.rosaceae.org/Prunus/Prunus_persica/p.persica_gdr_reftransV1_0023256","p.persica_gdr_reftransV1_0023256")</f>
        <v>p.persica_gdr_reftransV1_0023256</v>
      </c>
      <c r="B4046" s="2">
        <v>3744</v>
      </c>
      <c r="C4046" s="4" t="str">
        <f>HYPERLINK("http://www.uniprot.org/uniprot/M5WK50","M5WK50")</f>
        <v>M5WK50</v>
      </c>
      <c r="D4046" s="2" t="s">
        <v>3793</v>
      </c>
      <c r="E4046" s="3">
        <v>0</v>
      </c>
      <c r="F4046" s="2">
        <v>5811</v>
      </c>
      <c r="G4046" s="2">
        <v>100</v>
      </c>
      <c r="H4046" s="2">
        <v>1097</v>
      </c>
      <c r="I4046" s="2">
        <v>3</v>
      </c>
      <c r="J4046" s="2">
        <v>3293</v>
      </c>
      <c r="K4046" s="2">
        <v>129</v>
      </c>
      <c r="L4046" s="2">
        <v>1225</v>
      </c>
    </row>
    <row r="4047" spans="1:12" x14ac:dyDescent="0.25">
      <c r="A4047" s="4" t="str">
        <f>HYPERLINK("http://www.rosaceae.org/Prunus/Prunus_persica/p.persica_gdr_reftransV1_0023606","p.persica_gdr_reftransV1_0023606")</f>
        <v>p.persica_gdr_reftransV1_0023606</v>
      </c>
      <c r="B4047" s="2">
        <v>2189</v>
      </c>
      <c r="C4047" s="4" t="str">
        <f>HYPERLINK("http://www.uniprot.org/uniprot/M5VXG2","M5VXG2")</f>
        <v>M5VXG2</v>
      </c>
      <c r="D4047" s="2" t="s">
        <v>3794</v>
      </c>
      <c r="E4047" s="3">
        <v>0</v>
      </c>
      <c r="F4047" s="2">
        <v>1317</v>
      </c>
      <c r="G4047" s="2">
        <v>98</v>
      </c>
      <c r="H4047" s="2">
        <v>256</v>
      </c>
      <c r="I4047" s="2">
        <v>1182</v>
      </c>
      <c r="J4047" s="2">
        <v>1949</v>
      </c>
      <c r="K4047" s="2">
        <v>333</v>
      </c>
      <c r="L4047" s="2">
        <v>588</v>
      </c>
    </row>
    <row r="4048" spans="1:12" x14ac:dyDescent="0.25">
      <c r="A4048" s="4" t="str">
        <f>HYPERLINK("http://www.rosaceae.org/Prunus/Prunus_persica/p.persica_gdr_reftransV1_0024656","p.persica_gdr_reftransV1_0024656")</f>
        <v>p.persica_gdr_reftransV1_0024656</v>
      </c>
      <c r="B4048" s="2">
        <v>3588</v>
      </c>
      <c r="C4048" s="4" t="str">
        <f>HYPERLINK("http://www.uniprot.org/uniprot/M5XI21","M5XI21")</f>
        <v>M5XI21</v>
      </c>
      <c r="D4048" s="2" t="s">
        <v>3795</v>
      </c>
      <c r="E4048" s="3">
        <v>0</v>
      </c>
      <c r="F4048" s="2">
        <v>2310</v>
      </c>
      <c r="G4048" s="2">
        <v>100</v>
      </c>
      <c r="H4048" s="2">
        <v>481</v>
      </c>
      <c r="I4048" s="2">
        <v>307</v>
      </c>
      <c r="J4048" s="2">
        <v>1749</v>
      </c>
      <c r="K4048" s="2">
        <v>359</v>
      </c>
      <c r="L4048" s="2">
        <v>839</v>
      </c>
    </row>
    <row r="4049" spans="1:12" x14ac:dyDescent="0.25">
      <c r="A4049" s="4" t="str">
        <f>HYPERLINK("http://www.rosaceae.org/Prunus/Prunus_persica/p.persica_gdr_reftransV1_0025006","p.persica_gdr_reftransV1_0025006")</f>
        <v>p.persica_gdr_reftransV1_0025006</v>
      </c>
      <c r="B4049" s="2">
        <v>1145</v>
      </c>
      <c r="C4049" s="4" t="str">
        <f>HYPERLINK("http://www.uniprot.org/uniprot/M5WA06","M5WA06")</f>
        <v>M5WA06</v>
      </c>
      <c r="D4049" s="2" t="s">
        <v>3796</v>
      </c>
      <c r="E4049" s="3">
        <v>0</v>
      </c>
      <c r="F4049" s="2">
        <v>1359</v>
      </c>
      <c r="G4049" s="2">
        <v>88</v>
      </c>
      <c r="H4049" s="2">
        <v>305</v>
      </c>
      <c r="I4049" s="2">
        <v>104</v>
      </c>
      <c r="J4049" s="2">
        <v>1018</v>
      </c>
      <c r="K4049" s="2">
        <v>1</v>
      </c>
      <c r="L4049" s="2">
        <v>275</v>
      </c>
    </row>
    <row r="4050" spans="1:12" x14ac:dyDescent="0.25">
      <c r="A4050" s="4" t="str">
        <f>HYPERLINK("http://www.rosaceae.org/Prunus/Prunus_persica/p.persica_gdr_reftransV1_0026406","p.persica_gdr_reftransV1_0026406")</f>
        <v>p.persica_gdr_reftransV1_0026406</v>
      </c>
      <c r="B4050" s="2">
        <v>5118</v>
      </c>
      <c r="C4050" s="4" t="str">
        <f>HYPERLINK("http://www.uniprot.org/uniprot/M5X011","M5X011")</f>
        <v>M5X011</v>
      </c>
      <c r="D4050" s="2" t="s">
        <v>3797</v>
      </c>
      <c r="E4050" s="3">
        <v>7.3600000000000003E-105</v>
      </c>
      <c r="F4050" s="2">
        <v>402</v>
      </c>
      <c r="G4050" s="2">
        <v>96</v>
      </c>
      <c r="H4050" s="2">
        <v>80</v>
      </c>
      <c r="I4050" s="2">
        <v>4461</v>
      </c>
      <c r="J4050" s="2">
        <v>4700</v>
      </c>
      <c r="K4050" s="2">
        <v>345</v>
      </c>
      <c r="L4050" s="2">
        <v>424</v>
      </c>
    </row>
    <row r="4051" spans="1:12" x14ac:dyDescent="0.25">
      <c r="A4051" s="4" t="str">
        <f>HYPERLINK("http://www.rosaceae.org/Prunus/Prunus_persica/p.persica_gdr_reftransV1_0028506","p.persica_gdr_reftransV1_0028506")</f>
        <v>p.persica_gdr_reftransV1_0028506</v>
      </c>
      <c r="B4051" s="2">
        <v>1862</v>
      </c>
      <c r="C4051" s="4" t="str">
        <f>HYPERLINK("http://www.uniprot.org/uniprot/M5WQ36","M5WQ36")</f>
        <v>M5WQ36</v>
      </c>
      <c r="D4051" s="2" t="s">
        <v>3798</v>
      </c>
      <c r="E4051" s="3">
        <v>0</v>
      </c>
      <c r="F4051" s="2">
        <v>2242</v>
      </c>
      <c r="G4051" s="2">
        <v>100</v>
      </c>
      <c r="H4051" s="2">
        <v>418</v>
      </c>
      <c r="I4051" s="2">
        <v>607</v>
      </c>
      <c r="J4051" s="2">
        <v>1860</v>
      </c>
      <c r="K4051" s="2">
        <v>7</v>
      </c>
      <c r="L4051" s="2">
        <v>424</v>
      </c>
    </row>
    <row r="4052" spans="1:12" x14ac:dyDescent="0.25">
      <c r="A4052" s="4" t="str">
        <f>HYPERLINK("http://www.rosaceae.org/Prunus/Prunus_persica/p.persica_gdr_reftransV1_0028856","p.persica_gdr_reftransV1_0028856")</f>
        <v>p.persica_gdr_reftransV1_0028856</v>
      </c>
      <c r="B4052" s="2">
        <v>896</v>
      </c>
      <c r="C4052" s="4" t="str">
        <f>HYPERLINK("http://www.uniprot.org/uniprot/M5WJA9","M5WJA9")</f>
        <v>M5WJA9</v>
      </c>
      <c r="D4052" s="2" t="s">
        <v>3799</v>
      </c>
      <c r="E4052" s="3">
        <v>2.0300000000000002E-96</v>
      </c>
      <c r="F4052" s="2">
        <v>750</v>
      </c>
      <c r="G4052" s="2">
        <v>100</v>
      </c>
      <c r="H4052" s="2">
        <v>169</v>
      </c>
      <c r="I4052" s="2">
        <v>329</v>
      </c>
      <c r="J4052" s="2">
        <v>835</v>
      </c>
      <c r="K4052" s="2">
        <v>1</v>
      </c>
      <c r="L4052" s="2">
        <v>169</v>
      </c>
    </row>
    <row r="4053" spans="1:12" x14ac:dyDescent="0.25">
      <c r="A4053" s="4" t="str">
        <f>HYPERLINK("http://www.rosaceae.org/Prunus/Prunus_persica/p.persica_gdr_reftransV1_0029206","p.persica_gdr_reftransV1_0029206")</f>
        <v>p.persica_gdr_reftransV1_0029206</v>
      </c>
      <c r="B4053" s="2">
        <v>4884</v>
      </c>
      <c r="C4053" s="4" t="str">
        <f>HYPERLINK("http://www.uniprot.org/uniprot/M5XLJ6","M5XLJ6")</f>
        <v>M5XLJ6</v>
      </c>
      <c r="D4053" s="2" t="s">
        <v>3800</v>
      </c>
      <c r="E4053" s="3">
        <v>0</v>
      </c>
      <c r="F4053" s="2">
        <v>2148</v>
      </c>
      <c r="G4053" s="2">
        <v>87</v>
      </c>
      <c r="H4053" s="2">
        <v>523</v>
      </c>
      <c r="I4053" s="2">
        <v>1932</v>
      </c>
      <c r="J4053" s="2">
        <v>3500</v>
      </c>
      <c r="K4053" s="2">
        <v>1</v>
      </c>
      <c r="L4053" s="2">
        <v>457</v>
      </c>
    </row>
    <row r="4054" spans="1:12" x14ac:dyDescent="0.25">
      <c r="A4054" s="4" t="str">
        <f>HYPERLINK("http://www.rosaceae.org/Prunus/Prunus_persica/p.persica_gdr_reftransV1_0029906","p.persica_gdr_reftransV1_0029906")</f>
        <v>p.persica_gdr_reftransV1_0029906</v>
      </c>
      <c r="B4054" s="2">
        <v>2645</v>
      </c>
      <c r="C4054" s="4" t="str">
        <f>HYPERLINK("http://www.uniprot.org/uniprot/M5WE26","M5WE26")</f>
        <v>M5WE26</v>
      </c>
      <c r="D4054" s="2" t="s">
        <v>3801</v>
      </c>
      <c r="E4054" s="3">
        <v>0</v>
      </c>
      <c r="F4054" s="2">
        <v>2010</v>
      </c>
      <c r="G4054" s="2">
        <v>91</v>
      </c>
      <c r="H4054" s="2">
        <v>477</v>
      </c>
      <c r="I4054" s="2">
        <v>206</v>
      </c>
      <c r="J4054" s="2">
        <v>1603</v>
      </c>
      <c r="K4054" s="2">
        <v>15</v>
      </c>
      <c r="L4054" s="2">
        <v>487</v>
      </c>
    </row>
    <row r="4055" spans="1:12" x14ac:dyDescent="0.25">
      <c r="A4055" s="4" t="str">
        <f>HYPERLINK("http://www.rosaceae.org/Prunus/Prunus_persica/p.persica_gdr_reftransV1_0030256","p.persica_gdr_reftransV1_0030256")</f>
        <v>p.persica_gdr_reftransV1_0030256</v>
      </c>
      <c r="B4055" s="2">
        <v>1287</v>
      </c>
      <c r="C4055" s="4" t="str">
        <f>HYPERLINK("http://www.uniprot.org/uniprot/M5VKE0","M5VKE0")</f>
        <v>M5VKE0</v>
      </c>
      <c r="D4055" s="2" t="s">
        <v>3802</v>
      </c>
      <c r="E4055" s="3">
        <v>3.0800000000000003E-169</v>
      </c>
      <c r="F4055" s="2">
        <v>1252</v>
      </c>
      <c r="G4055" s="2">
        <v>100</v>
      </c>
      <c r="H4055" s="2">
        <v>240</v>
      </c>
      <c r="I4055" s="2">
        <v>168</v>
      </c>
      <c r="J4055" s="2">
        <v>887</v>
      </c>
      <c r="K4055" s="2">
        <v>1</v>
      </c>
      <c r="L4055" s="2">
        <v>240</v>
      </c>
    </row>
    <row r="4056" spans="1:12" x14ac:dyDescent="0.25">
      <c r="A4056" s="4" t="str">
        <f>HYPERLINK("http://www.rosaceae.org/Prunus/Prunus_persica/p.persica_gdr_reftransV1_0030606","p.persica_gdr_reftransV1_0030606")</f>
        <v>p.persica_gdr_reftransV1_0030606</v>
      </c>
      <c r="B4056" s="2">
        <v>4378</v>
      </c>
      <c r="C4056" s="4" t="str">
        <f>HYPERLINK("http://www.uniprot.org/uniprot/M5Y481","M5Y481")</f>
        <v>M5Y481</v>
      </c>
      <c r="D4056" s="2" t="s">
        <v>3803</v>
      </c>
      <c r="E4056" s="3">
        <v>0</v>
      </c>
      <c r="F4056" s="2">
        <v>4109</v>
      </c>
      <c r="G4056" s="2">
        <v>100</v>
      </c>
      <c r="H4056" s="2">
        <v>776</v>
      </c>
      <c r="I4056" s="2">
        <v>521</v>
      </c>
      <c r="J4056" s="2">
        <v>2848</v>
      </c>
      <c r="K4056" s="2">
        <v>312</v>
      </c>
      <c r="L4056" s="2">
        <v>1087</v>
      </c>
    </row>
    <row r="4057" spans="1:12" x14ac:dyDescent="0.25">
      <c r="A4057" s="4" t="str">
        <f>HYPERLINK("http://www.rosaceae.org/Prunus/Prunus_persica/p.persica_gdr_reftransV1_0031656","p.persica_gdr_reftransV1_0031656")</f>
        <v>p.persica_gdr_reftransV1_0031656</v>
      </c>
      <c r="B4057" s="2">
        <v>1174</v>
      </c>
      <c r="C4057" s="4" t="str">
        <f>HYPERLINK("http://www.uniprot.org/uniprot/M5WHQ3","M5WHQ3")</f>
        <v>M5WHQ3</v>
      </c>
      <c r="D4057" s="2" t="s">
        <v>3804</v>
      </c>
      <c r="E4057" s="3">
        <v>2.5200000000000001E-123</v>
      </c>
      <c r="F4057" s="2">
        <v>938</v>
      </c>
      <c r="G4057" s="2">
        <v>100</v>
      </c>
      <c r="H4057" s="2">
        <v>178</v>
      </c>
      <c r="I4057" s="2">
        <v>590</v>
      </c>
      <c r="J4057" s="2">
        <v>1123</v>
      </c>
      <c r="K4057" s="2">
        <v>1</v>
      </c>
      <c r="L4057" s="2">
        <v>178</v>
      </c>
    </row>
    <row r="4058" spans="1:12" x14ac:dyDescent="0.25">
      <c r="A4058" s="4" t="str">
        <f>HYPERLINK("http://www.rosaceae.org/Prunus/Prunus_persica/p.persica_gdr_reftransV1_0032356","p.persica_gdr_reftransV1_0032356")</f>
        <v>p.persica_gdr_reftransV1_0032356</v>
      </c>
      <c r="B4058" s="2">
        <v>1947</v>
      </c>
      <c r="C4058" s="4" t="str">
        <f>HYPERLINK("http://www.uniprot.org/uniprot/M5XDE0","M5XDE0")</f>
        <v>M5XDE0</v>
      </c>
      <c r="D4058" s="2" t="s">
        <v>3805</v>
      </c>
      <c r="E4058" s="3">
        <v>7.2499999999999997E-82</v>
      </c>
      <c r="F4058" s="2">
        <v>467</v>
      </c>
      <c r="G4058" s="2">
        <v>96</v>
      </c>
      <c r="H4058" s="2">
        <v>92</v>
      </c>
      <c r="I4058" s="2">
        <v>264</v>
      </c>
      <c r="J4058" s="2">
        <v>539</v>
      </c>
      <c r="K4058" s="2">
        <v>1</v>
      </c>
      <c r="L4058" s="2">
        <v>92</v>
      </c>
    </row>
    <row r="4059" spans="1:12" x14ac:dyDescent="0.25">
      <c r="A4059" s="4" t="str">
        <f>HYPERLINK("http://www.rosaceae.org/Prunus/Prunus_persica/p.persica_gdr_reftransV1_0034106","p.persica_gdr_reftransV1_0034106")</f>
        <v>p.persica_gdr_reftransV1_0034106</v>
      </c>
      <c r="B4059" s="2">
        <v>2327</v>
      </c>
      <c r="C4059" s="4" t="str">
        <f>HYPERLINK("http://www.uniprot.org/uniprot/A4GVG3","A4GVG3")</f>
        <v>A4GVG3</v>
      </c>
      <c r="D4059" s="2" t="s">
        <v>3806</v>
      </c>
      <c r="E4059" s="3">
        <v>1.43E-120</v>
      </c>
      <c r="F4059" s="2">
        <v>960</v>
      </c>
      <c r="G4059" s="2">
        <v>100</v>
      </c>
      <c r="H4059" s="2">
        <v>179</v>
      </c>
      <c r="I4059" s="2">
        <v>344</v>
      </c>
      <c r="J4059" s="2">
        <v>880</v>
      </c>
      <c r="K4059" s="2">
        <v>62</v>
      </c>
      <c r="L4059" s="2">
        <v>240</v>
      </c>
    </row>
    <row r="4060" spans="1:12" x14ac:dyDescent="0.25">
      <c r="A4060" s="4" t="str">
        <f>HYPERLINK("http://www.rosaceae.org/Prunus/Prunus_persica/p.persica_gdr_reftransV1_0034806","p.persica_gdr_reftransV1_0034806")</f>
        <v>p.persica_gdr_reftransV1_0034806</v>
      </c>
      <c r="B4060" s="2">
        <v>2319</v>
      </c>
      <c r="C4060" s="4" t="str">
        <f>HYPERLINK("http://www.uniprot.org/uniprot/M5WNZ1","M5WNZ1")</f>
        <v>M5WNZ1</v>
      </c>
      <c r="D4060" s="2" t="s">
        <v>3807</v>
      </c>
      <c r="E4060" s="3">
        <v>5.4399999999999996E-165</v>
      </c>
      <c r="F4060" s="2">
        <v>1275</v>
      </c>
      <c r="G4060" s="2">
        <v>100</v>
      </c>
      <c r="H4060" s="2">
        <v>283</v>
      </c>
      <c r="I4060" s="2">
        <v>1316</v>
      </c>
      <c r="J4060" s="2">
        <v>2164</v>
      </c>
      <c r="K4060" s="2">
        <v>1</v>
      </c>
      <c r="L4060" s="2">
        <v>283</v>
      </c>
    </row>
    <row r="4061" spans="1:12" x14ac:dyDescent="0.25">
      <c r="A4061" s="4" t="str">
        <f>HYPERLINK("http://www.rosaceae.org/Prunus/Prunus_persica/p.persica_gdr_reftransV1_0036556","p.persica_gdr_reftransV1_0036556")</f>
        <v>p.persica_gdr_reftransV1_0036556</v>
      </c>
      <c r="B4061" s="2">
        <v>402</v>
      </c>
      <c r="C4061" s="4" t="str">
        <f>HYPERLINK("http://www.uniprot.org/uniprot/M5W442","M5W442")</f>
        <v>M5W442</v>
      </c>
      <c r="D4061" s="2" t="s">
        <v>3808</v>
      </c>
      <c r="E4061" s="3">
        <v>2.7299999999999999E-9</v>
      </c>
      <c r="F4061" s="2">
        <v>147</v>
      </c>
      <c r="G4061" s="2">
        <v>41</v>
      </c>
      <c r="H4061" s="2">
        <v>101</v>
      </c>
      <c r="I4061" s="2">
        <v>83</v>
      </c>
      <c r="J4061" s="2">
        <v>373</v>
      </c>
      <c r="K4061" s="2">
        <v>72</v>
      </c>
      <c r="L4061" s="2">
        <v>170</v>
      </c>
    </row>
    <row r="4062" spans="1:12" x14ac:dyDescent="0.25">
      <c r="A4062" s="4" t="str">
        <f>HYPERLINK("http://www.rosaceae.org/Prunus/Prunus_persica/p.persica_gdr_reftransV1_0038656","p.persica_gdr_reftransV1_0038656")</f>
        <v>p.persica_gdr_reftransV1_0038656</v>
      </c>
      <c r="B4062" s="2">
        <v>3193</v>
      </c>
      <c r="C4062" s="4" t="str">
        <f>HYPERLINK("http://www.uniprot.org/uniprot/M5XL94","M5XL94")</f>
        <v>M5XL94</v>
      </c>
      <c r="D4062" s="2" t="s">
        <v>3809</v>
      </c>
      <c r="E4062" s="3">
        <v>0</v>
      </c>
      <c r="F4062" s="2">
        <v>2087</v>
      </c>
      <c r="G4062" s="2">
        <v>97</v>
      </c>
      <c r="H4062" s="2">
        <v>400</v>
      </c>
      <c r="I4062" s="2">
        <v>1566</v>
      </c>
      <c r="J4062" s="2">
        <v>2765</v>
      </c>
      <c r="K4062" s="2">
        <v>1</v>
      </c>
      <c r="L4062" s="2">
        <v>400</v>
      </c>
    </row>
    <row r="4063" spans="1:12" x14ac:dyDescent="0.25">
      <c r="A4063" s="4" t="str">
        <f>HYPERLINK("http://www.rosaceae.org/Prunus/Prunus_persica/p.persica_gdr_reftransV1_0042156","p.persica_gdr_reftransV1_0042156")</f>
        <v>p.persica_gdr_reftransV1_0042156</v>
      </c>
      <c r="B4063" s="2">
        <v>2440</v>
      </c>
      <c r="C4063" s="4" t="str">
        <f>HYPERLINK("http://www.uniprot.org/uniprot/M5WAA1","M5WAA1")</f>
        <v>M5WAA1</v>
      </c>
      <c r="D4063" s="2" t="s">
        <v>3810</v>
      </c>
      <c r="E4063" s="3">
        <v>1.1300000000000001E-110</v>
      </c>
      <c r="F4063" s="2">
        <v>900</v>
      </c>
      <c r="G4063" s="2">
        <v>100</v>
      </c>
      <c r="H4063" s="2">
        <v>171</v>
      </c>
      <c r="I4063" s="2">
        <v>181</v>
      </c>
      <c r="J4063" s="2">
        <v>693</v>
      </c>
      <c r="K4063" s="2">
        <v>1</v>
      </c>
      <c r="L4063" s="2">
        <v>171</v>
      </c>
    </row>
    <row r="4064" spans="1:12" x14ac:dyDescent="0.25">
      <c r="A4064" s="4" t="str">
        <f>HYPERLINK("http://www.rosaceae.org/Prunus/Prunus_persica/p.persica_gdr_reftransV1_0042506","p.persica_gdr_reftransV1_0042506")</f>
        <v>p.persica_gdr_reftransV1_0042506</v>
      </c>
      <c r="B4064" s="2">
        <v>3350</v>
      </c>
      <c r="C4064" s="4" t="str">
        <f>HYPERLINK("http://www.uniprot.org/uniprot/M5XNZ0","M5XNZ0")</f>
        <v>M5XNZ0</v>
      </c>
      <c r="D4064" s="2" t="s">
        <v>3811</v>
      </c>
      <c r="E4064" s="3">
        <v>0</v>
      </c>
      <c r="F4064" s="2">
        <v>3702</v>
      </c>
      <c r="G4064" s="2">
        <v>100</v>
      </c>
      <c r="H4064" s="2">
        <v>766</v>
      </c>
      <c r="I4064" s="2">
        <v>1051</v>
      </c>
      <c r="J4064" s="2">
        <v>3348</v>
      </c>
      <c r="K4064" s="2">
        <v>137</v>
      </c>
      <c r="L4064" s="2">
        <v>902</v>
      </c>
    </row>
    <row r="4065" spans="1:12" x14ac:dyDescent="0.25">
      <c r="A4065" s="4" t="str">
        <f>HYPERLINK("http://www.rosaceae.org/Prunus/Prunus_persica/p.persica_gdr_reftransV1_0042856","p.persica_gdr_reftransV1_0042856")</f>
        <v>p.persica_gdr_reftransV1_0042856</v>
      </c>
      <c r="B4065" s="2">
        <v>1124</v>
      </c>
      <c r="C4065" s="4" t="str">
        <f>HYPERLINK("http://www.uniprot.org/uniprot/M5WAW7","M5WAW7")</f>
        <v>M5WAW7</v>
      </c>
      <c r="D4065" s="2" t="s">
        <v>3812</v>
      </c>
      <c r="E4065" s="3">
        <v>4.8599999999999997E-47</v>
      </c>
      <c r="F4065" s="2">
        <v>424</v>
      </c>
      <c r="G4065" s="2">
        <v>100</v>
      </c>
      <c r="H4065" s="2">
        <v>99</v>
      </c>
      <c r="I4065" s="2">
        <v>203</v>
      </c>
      <c r="J4065" s="2">
        <v>499</v>
      </c>
      <c r="K4065" s="2">
        <v>28</v>
      </c>
      <c r="L4065" s="2">
        <v>126</v>
      </c>
    </row>
    <row r="4066" spans="1:12" x14ac:dyDescent="0.25">
      <c r="A4066" s="4" t="str">
        <f>HYPERLINK("http://www.rosaceae.org/Prunus/Prunus_persica/p.persica_gdr_reftransV1_0043206","p.persica_gdr_reftransV1_0043206")</f>
        <v>p.persica_gdr_reftransV1_0043206</v>
      </c>
      <c r="B4066" s="2">
        <v>2257</v>
      </c>
      <c r="C4066" s="4" t="str">
        <f>HYPERLINK("http://www.uniprot.org/uniprot/M5WZQ9","M5WZQ9")</f>
        <v>M5WZQ9</v>
      </c>
      <c r="D4066" s="2" t="s">
        <v>3813</v>
      </c>
      <c r="E4066" s="3">
        <v>0</v>
      </c>
      <c r="F4066" s="2">
        <v>3488</v>
      </c>
      <c r="G4066" s="2">
        <v>100</v>
      </c>
      <c r="H4066" s="2">
        <v>690</v>
      </c>
      <c r="I4066" s="2">
        <v>87</v>
      </c>
      <c r="J4066" s="2">
        <v>2156</v>
      </c>
      <c r="K4066" s="2">
        <v>1</v>
      </c>
      <c r="L4066" s="2">
        <v>690</v>
      </c>
    </row>
    <row r="4067" spans="1:12" x14ac:dyDescent="0.25">
      <c r="A4067" s="4" t="str">
        <f>HYPERLINK("http://www.rosaceae.org/Prunus/Prunus_persica/p.persica_gdr_reftransV1_0043556","p.persica_gdr_reftransV1_0043556")</f>
        <v>p.persica_gdr_reftransV1_0043556</v>
      </c>
      <c r="B4067" s="2">
        <v>2507</v>
      </c>
      <c r="C4067" s="4" t="str">
        <f>HYPERLINK("http://www.uniprot.org/uniprot/M5XRK7","M5XRK7")</f>
        <v>M5XRK7</v>
      </c>
      <c r="D4067" s="2" t="s">
        <v>3814</v>
      </c>
      <c r="E4067" s="3">
        <v>0</v>
      </c>
      <c r="F4067" s="2">
        <v>3430</v>
      </c>
      <c r="G4067" s="2">
        <v>100</v>
      </c>
      <c r="H4067" s="2">
        <v>681</v>
      </c>
      <c r="I4067" s="2">
        <v>362</v>
      </c>
      <c r="J4067" s="2">
        <v>2404</v>
      </c>
      <c r="K4067" s="2">
        <v>1</v>
      </c>
      <c r="L4067" s="2">
        <v>681</v>
      </c>
    </row>
    <row r="4068" spans="1:12" x14ac:dyDescent="0.25">
      <c r="A4068" s="4" t="str">
        <f>HYPERLINK("http://www.rosaceae.org/Prunus/Prunus_persica/p.persica_gdr_reftransV1_0043906","p.persica_gdr_reftransV1_0043906")</f>
        <v>p.persica_gdr_reftransV1_0043906</v>
      </c>
      <c r="B4068" s="2">
        <v>1271</v>
      </c>
      <c r="C4068" s="4" t="str">
        <f>HYPERLINK("http://www.uniprot.org/uniprot/M5VYY2","M5VYY2")</f>
        <v>M5VYY2</v>
      </c>
      <c r="D4068" s="2" t="s">
        <v>3815</v>
      </c>
      <c r="E4068" s="3">
        <v>0</v>
      </c>
      <c r="F4068" s="2">
        <v>2000</v>
      </c>
      <c r="G4068" s="2">
        <v>100</v>
      </c>
      <c r="H4068" s="2">
        <v>371</v>
      </c>
      <c r="I4068" s="2">
        <v>158</v>
      </c>
      <c r="J4068" s="2">
        <v>1270</v>
      </c>
      <c r="K4068" s="2">
        <v>113</v>
      </c>
      <c r="L4068" s="2">
        <v>483</v>
      </c>
    </row>
    <row r="4069" spans="1:12" x14ac:dyDescent="0.25">
      <c r="A4069" s="4" t="str">
        <f>HYPERLINK("http://www.rosaceae.org/Prunus/Prunus_persica/p.persica_gdr_reftransV1_0044256","p.persica_gdr_reftransV1_0044256")</f>
        <v>p.persica_gdr_reftransV1_0044256</v>
      </c>
      <c r="B4069" s="2">
        <v>867</v>
      </c>
      <c r="C4069" s="4" t="str">
        <f>HYPERLINK("http://www.uniprot.org/uniprot/E3W0I3","E3W0I3")</f>
        <v>E3W0I3</v>
      </c>
      <c r="D4069" s="2" t="s">
        <v>3816</v>
      </c>
      <c r="E4069" s="3">
        <v>0</v>
      </c>
      <c r="F4069" s="2">
        <v>1452</v>
      </c>
      <c r="G4069" s="2">
        <v>100</v>
      </c>
      <c r="H4069" s="2">
        <v>288</v>
      </c>
      <c r="I4069" s="2">
        <v>2</v>
      </c>
      <c r="J4069" s="2">
        <v>865</v>
      </c>
      <c r="K4069" s="2">
        <v>671</v>
      </c>
      <c r="L4069" s="2">
        <v>958</v>
      </c>
    </row>
    <row r="4070" spans="1:12" x14ac:dyDescent="0.25">
      <c r="A4070" s="4" t="str">
        <f>HYPERLINK("http://www.rosaceae.org/Prunus/Prunus_persica/p.persica_gdr_reftransV1_0044956","p.persica_gdr_reftransV1_0044956")</f>
        <v>p.persica_gdr_reftransV1_0044956</v>
      </c>
      <c r="B4070" s="2">
        <v>889</v>
      </c>
      <c r="C4070" s="4" t="str">
        <f>HYPERLINK("http://www.uniprot.org/uniprot/M5W6W3","M5W6W3")</f>
        <v>M5W6W3</v>
      </c>
      <c r="D4070" s="2" t="s">
        <v>3817</v>
      </c>
      <c r="E4070" s="3">
        <v>3.1800000000000001E-119</v>
      </c>
      <c r="F4070" s="2">
        <v>902</v>
      </c>
      <c r="G4070" s="2">
        <v>100</v>
      </c>
      <c r="H4070" s="2">
        <v>187</v>
      </c>
      <c r="I4070" s="2">
        <v>64</v>
      </c>
      <c r="J4070" s="2">
        <v>624</v>
      </c>
      <c r="K4070" s="2">
        <v>1</v>
      </c>
      <c r="L4070" s="2">
        <v>187</v>
      </c>
    </row>
    <row r="4071" spans="1:12" x14ac:dyDescent="0.25">
      <c r="A4071" s="4" t="str">
        <f>HYPERLINK("http://www.rosaceae.org/Prunus/Prunus_persica/p.persica_gdr_reftransV1_0046006","p.persica_gdr_reftransV1_0046006")</f>
        <v>p.persica_gdr_reftransV1_0046006</v>
      </c>
      <c r="B4071" s="2">
        <v>2472</v>
      </c>
      <c r="C4071" s="4" t="str">
        <f>HYPERLINK("http://www.uniprot.org/uniprot/M5WYI6","M5WYI6")</f>
        <v>M5WYI6</v>
      </c>
      <c r="D4071" s="2" t="s">
        <v>3818</v>
      </c>
      <c r="E4071" s="3">
        <v>0</v>
      </c>
      <c r="F4071" s="2">
        <v>3255</v>
      </c>
      <c r="G4071" s="2">
        <v>94</v>
      </c>
      <c r="H4071" s="2">
        <v>696</v>
      </c>
      <c r="I4071" s="2">
        <v>392</v>
      </c>
      <c r="J4071" s="2">
        <v>2470</v>
      </c>
      <c r="K4071" s="2">
        <v>752</v>
      </c>
      <c r="L4071" s="2">
        <v>1436</v>
      </c>
    </row>
    <row r="4072" spans="1:12" x14ac:dyDescent="0.25">
      <c r="A4072" s="4" t="str">
        <f>HYPERLINK("http://www.rosaceae.org/Prunus/Prunus_persica/p.persica_gdr_reftransV1_0046356","p.persica_gdr_reftransV1_0046356")</f>
        <v>p.persica_gdr_reftransV1_0046356</v>
      </c>
      <c r="B4072" s="2">
        <v>926</v>
      </c>
      <c r="C4072" s="4" t="str">
        <f>HYPERLINK("http://www.uniprot.org/uniprot/M5XFG0","M5XFG0")</f>
        <v>M5XFG0</v>
      </c>
      <c r="D4072" s="2" t="s">
        <v>3819</v>
      </c>
      <c r="E4072" s="3">
        <v>2.4199999999999999E-128</v>
      </c>
      <c r="F4072" s="2">
        <v>965</v>
      </c>
      <c r="G4072" s="2">
        <v>100</v>
      </c>
      <c r="H4072" s="2">
        <v>182</v>
      </c>
      <c r="I4072" s="2">
        <v>196</v>
      </c>
      <c r="J4072" s="2">
        <v>741</v>
      </c>
      <c r="K4072" s="2">
        <v>21</v>
      </c>
      <c r="L4072" s="2">
        <v>202</v>
      </c>
    </row>
    <row r="4073" spans="1:12" x14ac:dyDescent="0.25">
      <c r="A4073" s="4" t="str">
        <f>HYPERLINK("http://www.rosaceae.org/Prunus/Prunus_persica/p.persica_gdr_reftransV1_0046706","p.persica_gdr_reftransV1_0046706")</f>
        <v>p.persica_gdr_reftransV1_0046706</v>
      </c>
      <c r="B4073" s="2">
        <v>483</v>
      </c>
      <c r="C4073" s="4" t="str">
        <f>HYPERLINK("http://www.uniprot.org/uniprot/M5Y2W1","M5Y2W1")</f>
        <v>M5Y2W1</v>
      </c>
      <c r="D4073" s="2" t="s">
        <v>3820</v>
      </c>
      <c r="E4073" s="3">
        <v>1.8E-82</v>
      </c>
      <c r="F4073" s="2">
        <v>674</v>
      </c>
      <c r="G4073" s="2">
        <v>100</v>
      </c>
      <c r="H4073" s="2">
        <v>148</v>
      </c>
      <c r="I4073" s="2">
        <v>40</v>
      </c>
      <c r="J4073" s="2">
        <v>483</v>
      </c>
      <c r="K4073" s="2">
        <v>1</v>
      </c>
      <c r="L4073" s="2">
        <v>148</v>
      </c>
    </row>
    <row r="4074" spans="1:12" x14ac:dyDescent="0.25">
      <c r="A4074" s="4" t="str">
        <f>HYPERLINK("http://www.rosaceae.org/Prunus/Prunus_persica/p.persica_gdr_reftransV1_0047056","p.persica_gdr_reftransV1_0047056")</f>
        <v>p.persica_gdr_reftransV1_0047056</v>
      </c>
      <c r="B4074" s="2">
        <v>2456</v>
      </c>
      <c r="C4074" s="4" t="str">
        <f>HYPERLINK("http://www.uniprot.org/uniprot/M5WES2","M5WES2")</f>
        <v>M5WES2</v>
      </c>
      <c r="D4074" s="2" t="s">
        <v>3821</v>
      </c>
      <c r="E4074" s="3">
        <v>0</v>
      </c>
      <c r="F4074" s="2">
        <v>2879</v>
      </c>
      <c r="G4074" s="2">
        <v>100</v>
      </c>
      <c r="H4074" s="2">
        <v>698</v>
      </c>
      <c r="I4074" s="2">
        <v>363</v>
      </c>
      <c r="J4074" s="2">
        <v>2456</v>
      </c>
      <c r="K4074" s="2">
        <v>1</v>
      </c>
      <c r="L4074" s="2">
        <v>698</v>
      </c>
    </row>
    <row r="4075" spans="1:12" x14ac:dyDescent="0.25">
      <c r="A4075" s="4" t="str">
        <f>HYPERLINK("http://www.rosaceae.org/Prunus/Prunus_persica/p.persica_gdr_reftransV1_0047406","p.persica_gdr_reftransV1_0047406")</f>
        <v>p.persica_gdr_reftransV1_0047406</v>
      </c>
      <c r="B4075" s="2">
        <v>538</v>
      </c>
      <c r="C4075" s="4" t="str">
        <f>HYPERLINK("http://www.uniprot.org/uniprot/M5VN27","M5VN27")</f>
        <v>M5VN27</v>
      </c>
      <c r="D4075" s="2" t="s">
        <v>3822</v>
      </c>
      <c r="E4075" s="3">
        <v>7.9000000000000003E-67</v>
      </c>
      <c r="F4075" s="2">
        <v>536</v>
      </c>
      <c r="G4075" s="2">
        <v>100</v>
      </c>
      <c r="H4075" s="2">
        <v>102</v>
      </c>
      <c r="I4075" s="2">
        <v>1</v>
      </c>
      <c r="J4075" s="2">
        <v>306</v>
      </c>
      <c r="K4075" s="2">
        <v>6</v>
      </c>
      <c r="L4075" s="2">
        <v>107</v>
      </c>
    </row>
    <row r="4076" spans="1:12" x14ac:dyDescent="0.25">
      <c r="A4076" s="4" t="str">
        <f>HYPERLINK("http://www.rosaceae.org/Prunus/Prunus_persica/p.persica_gdr_reftransV1_0047756","p.persica_gdr_reftransV1_0047756")</f>
        <v>p.persica_gdr_reftransV1_0047756</v>
      </c>
      <c r="B4076" s="2">
        <v>1579</v>
      </c>
      <c r="C4076" s="4" t="str">
        <f>HYPERLINK("http://www.uniprot.org/uniprot/M5XXH0","M5XXH0")</f>
        <v>M5XXH0</v>
      </c>
      <c r="D4076" s="2" t="s">
        <v>3823</v>
      </c>
      <c r="E4076" s="3">
        <v>0</v>
      </c>
      <c r="F4076" s="2">
        <v>1668</v>
      </c>
      <c r="G4076" s="2">
        <v>100</v>
      </c>
      <c r="H4076" s="2">
        <v>322</v>
      </c>
      <c r="I4076" s="2">
        <v>109</v>
      </c>
      <c r="J4076" s="2">
        <v>1074</v>
      </c>
      <c r="K4076" s="2">
        <v>1</v>
      </c>
      <c r="L4076" s="2">
        <v>322</v>
      </c>
    </row>
    <row r="4077" spans="1:12" x14ac:dyDescent="0.25">
      <c r="A4077" s="4" t="str">
        <f>HYPERLINK("http://www.rosaceae.org/Prunus/Prunus_persica/p.persica_gdr_reftransV1_0048106","p.persica_gdr_reftransV1_0048106")</f>
        <v>p.persica_gdr_reftransV1_0048106</v>
      </c>
      <c r="B4077" s="2">
        <v>1174</v>
      </c>
      <c r="C4077" s="4" t="str">
        <f>HYPERLINK("http://www.uniprot.org/uniprot/M5WTL6","M5WTL6")</f>
        <v>M5WTL6</v>
      </c>
      <c r="D4077" s="2" t="s">
        <v>3824</v>
      </c>
      <c r="E4077" s="3">
        <v>6.6699999999999999E-94</v>
      </c>
      <c r="F4077" s="2">
        <v>743</v>
      </c>
      <c r="G4077" s="2">
        <v>100</v>
      </c>
      <c r="H4077" s="2">
        <v>150</v>
      </c>
      <c r="I4077" s="2">
        <v>144</v>
      </c>
      <c r="J4077" s="2">
        <v>593</v>
      </c>
      <c r="K4077" s="2">
        <v>25</v>
      </c>
      <c r="L4077" s="2">
        <v>174</v>
      </c>
    </row>
    <row r="4078" spans="1:12" x14ac:dyDescent="0.25">
      <c r="A4078" s="4" t="str">
        <f>HYPERLINK("http://www.rosaceae.org/Prunus/Prunus_persica/p.persica_gdr_reftransV1_0048806","p.persica_gdr_reftransV1_0048806")</f>
        <v>p.persica_gdr_reftransV1_0048806</v>
      </c>
      <c r="B4078" s="2">
        <v>1021</v>
      </c>
      <c r="C4078" s="4" t="str">
        <f>HYPERLINK("http://www.uniprot.org/uniprot/M5W7Z3","M5W7Z3")</f>
        <v>M5W7Z3</v>
      </c>
      <c r="D4078" s="2" t="s">
        <v>3825</v>
      </c>
      <c r="E4078" s="3">
        <v>1.88E-141</v>
      </c>
      <c r="F4078" s="2">
        <v>1132</v>
      </c>
      <c r="G4078" s="2">
        <v>100</v>
      </c>
      <c r="H4078" s="2">
        <v>234</v>
      </c>
      <c r="I4078" s="2">
        <v>319</v>
      </c>
      <c r="J4078" s="2">
        <v>1020</v>
      </c>
      <c r="K4078" s="2">
        <v>1</v>
      </c>
      <c r="L4078" s="2">
        <v>234</v>
      </c>
    </row>
    <row r="4079" spans="1:12" x14ac:dyDescent="0.25">
      <c r="A4079" s="4" t="str">
        <f>HYPERLINK("http://www.rosaceae.org/Prunus/Prunus_persica/p.persica_gdr_reftransV1_0049156","p.persica_gdr_reftransV1_0049156")</f>
        <v>p.persica_gdr_reftransV1_0049156</v>
      </c>
      <c r="B4079" s="2">
        <v>880</v>
      </c>
      <c r="C4079" s="4" t="str">
        <f>HYPERLINK("http://www.uniprot.org/uniprot/M5WCI7","M5WCI7")</f>
        <v>M5WCI7</v>
      </c>
      <c r="D4079" s="2" t="s">
        <v>1434</v>
      </c>
      <c r="E4079" s="3">
        <v>9.4300000000000009E-134</v>
      </c>
      <c r="F4079" s="2">
        <v>1003</v>
      </c>
      <c r="G4079" s="2">
        <v>100</v>
      </c>
      <c r="H4079" s="2">
        <v>188</v>
      </c>
      <c r="I4079" s="2">
        <v>3</v>
      </c>
      <c r="J4079" s="2">
        <v>566</v>
      </c>
      <c r="K4079" s="2">
        <v>49</v>
      </c>
      <c r="L4079" s="2">
        <v>236</v>
      </c>
    </row>
    <row r="4080" spans="1:12" x14ac:dyDescent="0.25">
      <c r="A4080" s="4" t="str">
        <f>HYPERLINK("http://www.rosaceae.org/Prunus/Prunus_persica/p.persica_gdr_reftransV1_0000157","p.persica_gdr_reftransV1_0000157")</f>
        <v>p.persica_gdr_reftransV1_0000157</v>
      </c>
      <c r="B4080" s="2">
        <v>1366</v>
      </c>
      <c r="C4080" s="4" t="str">
        <f>HYPERLINK("http://www.uniprot.org/uniprot/M5VNG2","M5VNG2")</f>
        <v>M5VNG2</v>
      </c>
      <c r="D4080" s="2" t="s">
        <v>3826</v>
      </c>
      <c r="E4080" s="3">
        <v>1.0799999999999999E-169</v>
      </c>
      <c r="F4080" s="2">
        <v>1258</v>
      </c>
      <c r="G4080" s="2">
        <v>100</v>
      </c>
      <c r="H4080" s="2">
        <v>249</v>
      </c>
      <c r="I4080" s="2">
        <v>321</v>
      </c>
      <c r="J4080" s="2">
        <v>1067</v>
      </c>
      <c r="K4080" s="2">
        <v>1</v>
      </c>
      <c r="L4080" s="2">
        <v>249</v>
      </c>
    </row>
    <row r="4081" spans="1:12" x14ac:dyDescent="0.25">
      <c r="A4081" s="4" t="str">
        <f>HYPERLINK("http://www.rosaceae.org/Prunus/Prunus_persica/p.persica_gdr_reftransV1_0000507","p.persica_gdr_reftransV1_0000507")</f>
        <v>p.persica_gdr_reftransV1_0000507</v>
      </c>
      <c r="B4081" s="2">
        <v>1714</v>
      </c>
      <c r="C4081" s="4" t="str">
        <f>HYPERLINK("http://www.uniprot.org/uniprot/M5XAG6","M5XAG6")</f>
        <v>M5XAG6</v>
      </c>
      <c r="D4081" s="2" t="s">
        <v>3218</v>
      </c>
      <c r="E4081" s="3">
        <v>0</v>
      </c>
      <c r="F4081" s="2">
        <v>2312</v>
      </c>
      <c r="G4081" s="2">
        <v>100</v>
      </c>
      <c r="H4081" s="2">
        <v>474</v>
      </c>
      <c r="I4081" s="2">
        <v>3</v>
      </c>
      <c r="J4081" s="2">
        <v>1424</v>
      </c>
      <c r="K4081" s="2">
        <v>1</v>
      </c>
      <c r="L4081" s="2">
        <v>474</v>
      </c>
    </row>
    <row r="4082" spans="1:12" x14ac:dyDescent="0.25">
      <c r="A4082" s="4" t="str">
        <f>HYPERLINK("http://www.rosaceae.org/Prunus/Prunus_persica/p.persica_gdr_reftransV1_0001207","p.persica_gdr_reftransV1_0001207")</f>
        <v>p.persica_gdr_reftransV1_0001207</v>
      </c>
      <c r="B4082" s="2">
        <v>1752</v>
      </c>
      <c r="C4082" s="4" t="str">
        <f>HYPERLINK("http://www.uniprot.org/uniprot/M5XDX5","M5XDX5")</f>
        <v>M5XDX5</v>
      </c>
      <c r="D4082" s="2" t="s">
        <v>3827</v>
      </c>
      <c r="E4082" s="3">
        <v>0</v>
      </c>
      <c r="F4082" s="2">
        <v>2518</v>
      </c>
      <c r="G4082" s="2">
        <v>96</v>
      </c>
      <c r="H4082" s="2">
        <v>511</v>
      </c>
      <c r="I4082" s="2">
        <v>220</v>
      </c>
      <c r="J4082" s="2">
        <v>1752</v>
      </c>
      <c r="K4082" s="2">
        <v>60</v>
      </c>
      <c r="L4082" s="2">
        <v>550</v>
      </c>
    </row>
    <row r="4083" spans="1:12" x14ac:dyDescent="0.25">
      <c r="A4083" s="4" t="str">
        <f>HYPERLINK("http://www.rosaceae.org/Prunus/Prunus_persica/p.persica_gdr_reftransV1_0002257","p.persica_gdr_reftransV1_0002257")</f>
        <v>p.persica_gdr_reftransV1_0002257</v>
      </c>
      <c r="B4083" s="2">
        <v>651</v>
      </c>
      <c r="C4083" s="4" t="str">
        <f>HYPERLINK("http://www.uniprot.org/uniprot/M5W5G6","M5W5G6")</f>
        <v>M5W5G6</v>
      </c>
      <c r="D4083" s="2" t="s">
        <v>3828</v>
      </c>
      <c r="E4083" s="3">
        <v>1.3299999999999999E-140</v>
      </c>
      <c r="F4083" s="2">
        <v>1039</v>
      </c>
      <c r="G4083" s="2">
        <v>100</v>
      </c>
      <c r="H4083" s="2">
        <v>214</v>
      </c>
      <c r="I4083" s="2">
        <v>9</v>
      </c>
      <c r="J4083" s="2">
        <v>650</v>
      </c>
      <c r="K4083" s="2">
        <v>1</v>
      </c>
      <c r="L4083" s="2">
        <v>214</v>
      </c>
    </row>
    <row r="4084" spans="1:12" x14ac:dyDescent="0.25">
      <c r="A4084" s="4" t="str">
        <f>HYPERLINK("http://www.rosaceae.org/Prunus/Prunus_persica/p.persica_gdr_reftransV1_0002607","p.persica_gdr_reftransV1_0002607")</f>
        <v>p.persica_gdr_reftransV1_0002607</v>
      </c>
      <c r="B4084" s="2">
        <v>612</v>
      </c>
      <c r="C4084" s="4" t="str">
        <f>HYPERLINK("http://www.uniprot.org/uniprot/M5VUT3","M5VUT3")</f>
        <v>M5VUT3</v>
      </c>
      <c r="D4084" s="2" t="s">
        <v>270</v>
      </c>
      <c r="E4084" s="3">
        <v>1.6699999999999999E-108</v>
      </c>
      <c r="F4084" s="2">
        <v>887</v>
      </c>
      <c r="G4084" s="2">
        <v>96</v>
      </c>
      <c r="H4084" s="2">
        <v>171</v>
      </c>
      <c r="I4084" s="2">
        <v>104</v>
      </c>
      <c r="J4084" s="2">
        <v>610</v>
      </c>
      <c r="K4084" s="2">
        <v>1</v>
      </c>
      <c r="L4084" s="2">
        <v>171</v>
      </c>
    </row>
    <row r="4085" spans="1:12" x14ac:dyDescent="0.25">
      <c r="A4085" s="4" t="str">
        <f>HYPERLINK("http://www.rosaceae.org/Prunus/Prunus_persica/p.persica_gdr_reftransV1_0002957","p.persica_gdr_reftransV1_0002957")</f>
        <v>p.persica_gdr_reftransV1_0002957</v>
      </c>
      <c r="B4085" s="2">
        <v>1440</v>
      </c>
      <c r="C4085" s="4" t="str">
        <f>HYPERLINK("http://www.uniprot.org/uniprot/M5XPX5","M5XPX5")</f>
        <v>M5XPX5</v>
      </c>
      <c r="D4085" s="2" t="s">
        <v>3829</v>
      </c>
      <c r="E4085" s="3">
        <v>1.64E-152</v>
      </c>
      <c r="F4085" s="2">
        <v>1149</v>
      </c>
      <c r="G4085" s="2">
        <v>100</v>
      </c>
      <c r="H4085" s="2">
        <v>261</v>
      </c>
      <c r="I4085" s="2">
        <v>23</v>
      </c>
      <c r="J4085" s="2">
        <v>805</v>
      </c>
      <c r="K4085" s="2">
        <v>1</v>
      </c>
      <c r="L4085" s="2">
        <v>261</v>
      </c>
    </row>
    <row r="4086" spans="1:12" x14ac:dyDescent="0.25">
      <c r="A4086" s="4" t="str">
        <f>HYPERLINK("http://www.rosaceae.org/Prunus/Prunus_persica/p.persica_gdr_reftransV1_0003307","p.persica_gdr_reftransV1_0003307")</f>
        <v>p.persica_gdr_reftransV1_0003307</v>
      </c>
      <c r="B4086" s="2">
        <v>510</v>
      </c>
      <c r="C4086" s="4" t="str">
        <f>HYPERLINK("http://www.uniprot.org/uniprot/M5WD01","M5WD01")</f>
        <v>M5WD01</v>
      </c>
      <c r="D4086" s="2" t="s">
        <v>3830</v>
      </c>
      <c r="E4086" s="3">
        <v>1.8999999999999999E-81</v>
      </c>
      <c r="F4086" s="2">
        <v>700</v>
      </c>
      <c r="G4086" s="2">
        <v>100</v>
      </c>
      <c r="H4086" s="2">
        <v>169</v>
      </c>
      <c r="I4086" s="2">
        <v>3</v>
      </c>
      <c r="J4086" s="2">
        <v>509</v>
      </c>
      <c r="K4086" s="2">
        <v>54</v>
      </c>
      <c r="L4086" s="2">
        <v>222</v>
      </c>
    </row>
    <row r="4087" spans="1:12" x14ac:dyDescent="0.25">
      <c r="A4087" s="4" t="str">
        <f>HYPERLINK("http://www.rosaceae.org/Prunus/Prunus_persica/p.persica_gdr_reftransV1_0003657","p.persica_gdr_reftransV1_0003657")</f>
        <v>p.persica_gdr_reftransV1_0003657</v>
      </c>
      <c r="B4087" s="2">
        <v>1823</v>
      </c>
      <c r="C4087" s="4" t="str">
        <f>HYPERLINK("http://www.uniprot.org/uniprot/M5WHF4","M5WHF4")</f>
        <v>M5WHF4</v>
      </c>
      <c r="D4087" s="2" t="s">
        <v>2301</v>
      </c>
      <c r="E4087" s="3">
        <v>0</v>
      </c>
      <c r="F4087" s="2">
        <v>1696</v>
      </c>
      <c r="G4087" s="2">
        <v>97</v>
      </c>
      <c r="H4087" s="2">
        <v>327</v>
      </c>
      <c r="I4087" s="2">
        <v>739</v>
      </c>
      <c r="J4087" s="2">
        <v>1719</v>
      </c>
      <c r="K4087" s="2">
        <v>24</v>
      </c>
      <c r="L4087" s="2">
        <v>350</v>
      </c>
    </row>
    <row r="4088" spans="1:12" x14ac:dyDescent="0.25">
      <c r="A4088" s="4" t="str">
        <f>HYPERLINK("http://www.rosaceae.org/Prunus/Prunus_persica/p.persica_gdr_reftransV1_0004357","p.persica_gdr_reftransV1_0004357")</f>
        <v>p.persica_gdr_reftransV1_0004357</v>
      </c>
      <c r="B4088" s="2">
        <v>2829</v>
      </c>
      <c r="C4088" s="4" t="str">
        <f>HYPERLINK("http://www.uniprot.org/uniprot/M5WQD1","M5WQD1")</f>
        <v>M5WQD1</v>
      </c>
      <c r="D4088" s="2" t="s">
        <v>3831</v>
      </c>
      <c r="E4088" s="3">
        <v>0</v>
      </c>
      <c r="F4088" s="2">
        <v>2624</v>
      </c>
      <c r="G4088" s="2">
        <v>98</v>
      </c>
      <c r="H4088" s="2">
        <v>687</v>
      </c>
      <c r="I4088" s="2">
        <v>488</v>
      </c>
      <c r="J4088" s="2">
        <v>2548</v>
      </c>
      <c r="K4088" s="2">
        <v>1</v>
      </c>
      <c r="L4088" s="2">
        <v>676</v>
      </c>
    </row>
    <row r="4089" spans="1:12" x14ac:dyDescent="0.25">
      <c r="A4089" s="4" t="str">
        <f>HYPERLINK("http://www.rosaceae.org/Prunus/Prunus_persica/p.persica_gdr_reftransV1_0005057","p.persica_gdr_reftransV1_0005057")</f>
        <v>p.persica_gdr_reftransV1_0005057</v>
      </c>
      <c r="B4089" s="2">
        <v>1499</v>
      </c>
      <c r="C4089" s="4" t="str">
        <f>HYPERLINK("http://www.uniprot.org/uniprot/M5X5T2","M5X5T2")</f>
        <v>M5X5T2</v>
      </c>
      <c r="D4089" s="2" t="s">
        <v>3832</v>
      </c>
      <c r="E4089" s="3">
        <v>0</v>
      </c>
      <c r="F4089" s="2">
        <v>1424</v>
      </c>
      <c r="G4089" s="2">
        <v>100</v>
      </c>
      <c r="H4089" s="2">
        <v>322</v>
      </c>
      <c r="I4089" s="2">
        <v>316</v>
      </c>
      <c r="J4089" s="2">
        <v>1281</v>
      </c>
      <c r="K4089" s="2">
        <v>1</v>
      </c>
      <c r="L4089" s="2">
        <v>322</v>
      </c>
    </row>
    <row r="4090" spans="1:12" x14ac:dyDescent="0.25">
      <c r="A4090" s="4" t="str">
        <f>HYPERLINK("http://www.rosaceae.org/Prunus/Prunus_persica/p.persica_gdr_reftransV1_0005407","p.persica_gdr_reftransV1_0005407")</f>
        <v>p.persica_gdr_reftransV1_0005407</v>
      </c>
      <c r="B4090" s="2">
        <v>421</v>
      </c>
      <c r="C4090" s="4" t="str">
        <f>HYPERLINK("http://www.uniprot.org/uniprot/M5VVE7","M5VVE7")</f>
        <v>M5VVE7</v>
      </c>
      <c r="D4090" s="2" t="s">
        <v>428</v>
      </c>
      <c r="E4090" s="3">
        <v>3.4599999999999998E-83</v>
      </c>
      <c r="F4090" s="2">
        <v>700</v>
      </c>
      <c r="G4090" s="2">
        <v>100</v>
      </c>
      <c r="H4090" s="2">
        <v>140</v>
      </c>
      <c r="I4090" s="2">
        <v>1</v>
      </c>
      <c r="J4090" s="2">
        <v>420</v>
      </c>
      <c r="K4090" s="2">
        <v>304</v>
      </c>
      <c r="L4090" s="2">
        <v>443</v>
      </c>
    </row>
    <row r="4091" spans="1:12" x14ac:dyDescent="0.25">
      <c r="A4091" s="4" t="str">
        <f>HYPERLINK("http://www.rosaceae.org/Prunus/Prunus_persica/p.persica_gdr_reftransV1_0005757","p.persica_gdr_reftransV1_0005757")</f>
        <v>p.persica_gdr_reftransV1_0005757</v>
      </c>
      <c r="B4091" s="2">
        <v>814</v>
      </c>
      <c r="C4091" s="4" t="str">
        <f>HYPERLINK("http://www.uniprot.org/uniprot/G9CM51","G9CM51")</f>
        <v>G9CM51</v>
      </c>
      <c r="D4091" s="2" t="s">
        <v>3833</v>
      </c>
      <c r="E4091" s="3">
        <v>1.8999999999999999E-113</v>
      </c>
      <c r="F4091" s="2">
        <v>859</v>
      </c>
      <c r="G4091" s="2">
        <v>100</v>
      </c>
      <c r="H4091" s="2">
        <v>161</v>
      </c>
      <c r="I4091" s="2">
        <v>292</v>
      </c>
      <c r="J4091" s="2">
        <v>774</v>
      </c>
      <c r="K4091" s="2">
        <v>1</v>
      </c>
      <c r="L4091" s="2">
        <v>161</v>
      </c>
    </row>
    <row r="4092" spans="1:12" x14ac:dyDescent="0.25">
      <c r="A4092" s="4" t="str">
        <f>HYPERLINK("http://www.rosaceae.org/Prunus/Prunus_persica/p.persica_gdr_reftransV1_0006107","p.persica_gdr_reftransV1_0006107")</f>
        <v>p.persica_gdr_reftransV1_0006107</v>
      </c>
      <c r="B4092" s="2">
        <v>5053</v>
      </c>
      <c r="C4092" s="4" t="str">
        <f>HYPERLINK("http://www.uniprot.org/uniprot/M5XF53","M5XF53")</f>
        <v>M5XF53</v>
      </c>
      <c r="D4092" s="2" t="s">
        <v>3834</v>
      </c>
      <c r="E4092" s="3">
        <v>0</v>
      </c>
      <c r="F4092" s="2">
        <v>3087</v>
      </c>
      <c r="G4092" s="2">
        <v>100</v>
      </c>
      <c r="H4092" s="2">
        <v>581</v>
      </c>
      <c r="I4092" s="2">
        <v>165</v>
      </c>
      <c r="J4092" s="2">
        <v>1907</v>
      </c>
      <c r="K4092" s="2">
        <v>1</v>
      </c>
      <c r="L4092" s="2">
        <v>581</v>
      </c>
    </row>
    <row r="4093" spans="1:12" x14ac:dyDescent="0.25">
      <c r="A4093" s="4" t="str">
        <f>HYPERLINK("http://www.rosaceae.org/Prunus/Prunus_persica/p.persica_gdr_reftransV1_0006457","p.persica_gdr_reftransV1_0006457")</f>
        <v>p.persica_gdr_reftransV1_0006457</v>
      </c>
      <c r="B4093" s="2">
        <v>585</v>
      </c>
      <c r="C4093" s="4" t="str">
        <f>HYPERLINK("http://www.uniprot.org/uniprot/M5WZV5","M5WZV5")</f>
        <v>M5WZV5</v>
      </c>
      <c r="D4093" s="2" t="s">
        <v>3835</v>
      </c>
      <c r="E4093" s="3">
        <v>3.0799999999999999E-86</v>
      </c>
      <c r="F4093" s="2">
        <v>721</v>
      </c>
      <c r="G4093" s="2">
        <v>100</v>
      </c>
      <c r="H4093" s="2">
        <v>137</v>
      </c>
      <c r="I4093" s="2">
        <v>174</v>
      </c>
      <c r="J4093" s="2">
        <v>584</v>
      </c>
      <c r="K4093" s="2">
        <v>699</v>
      </c>
      <c r="L4093" s="2">
        <v>835</v>
      </c>
    </row>
    <row r="4094" spans="1:12" x14ac:dyDescent="0.25">
      <c r="A4094" s="4" t="str">
        <f>HYPERLINK("http://www.rosaceae.org/Prunus/Prunus_persica/p.persica_gdr_reftransV1_0007157","p.persica_gdr_reftransV1_0007157")</f>
        <v>p.persica_gdr_reftransV1_0007157</v>
      </c>
      <c r="B4094" s="2">
        <v>603</v>
      </c>
      <c r="C4094" s="4" t="str">
        <f>HYPERLINK("http://www.uniprot.org/uniprot/U5CXL6","U5CXL6")</f>
        <v>U5CXL6</v>
      </c>
      <c r="D4094" s="2" t="s">
        <v>3836</v>
      </c>
      <c r="E4094" s="3">
        <v>2.1699999999999999E-107</v>
      </c>
      <c r="F4094" s="2">
        <v>824</v>
      </c>
      <c r="G4094" s="2">
        <v>75</v>
      </c>
      <c r="H4094" s="2">
        <v>200</v>
      </c>
      <c r="I4094" s="2">
        <v>3</v>
      </c>
      <c r="J4094" s="2">
        <v>602</v>
      </c>
      <c r="K4094" s="2">
        <v>6</v>
      </c>
      <c r="L4094" s="2">
        <v>203</v>
      </c>
    </row>
    <row r="4095" spans="1:12" x14ac:dyDescent="0.25">
      <c r="A4095" s="4" t="str">
        <f>HYPERLINK("http://www.rosaceae.org/Prunus/Prunus_persica/p.persica_gdr_reftransV1_0007507","p.persica_gdr_reftransV1_0007507")</f>
        <v>p.persica_gdr_reftransV1_0007507</v>
      </c>
      <c r="B4095" s="2">
        <v>2307</v>
      </c>
      <c r="C4095" s="4" t="str">
        <f>HYPERLINK("http://www.uniprot.org/uniprot/M5WFE6","M5WFE6")</f>
        <v>M5WFE6</v>
      </c>
      <c r="D4095" s="2" t="s">
        <v>3837</v>
      </c>
      <c r="E4095" s="3">
        <v>2.7400000000000002E-99</v>
      </c>
      <c r="F4095" s="2">
        <v>823</v>
      </c>
      <c r="G4095" s="2">
        <v>100</v>
      </c>
      <c r="H4095" s="2">
        <v>318</v>
      </c>
      <c r="I4095" s="2">
        <v>602</v>
      </c>
      <c r="J4095" s="2">
        <v>1555</v>
      </c>
      <c r="K4095" s="2">
        <v>1</v>
      </c>
      <c r="L4095" s="2">
        <v>318</v>
      </c>
    </row>
    <row r="4096" spans="1:12" x14ac:dyDescent="0.25">
      <c r="A4096" s="4" t="str">
        <f>HYPERLINK("http://www.rosaceae.org/Prunus/Prunus_persica/p.persica_gdr_reftransV1_0007857","p.persica_gdr_reftransV1_0007857")</f>
        <v>p.persica_gdr_reftransV1_0007857</v>
      </c>
      <c r="B4096" s="2">
        <v>799</v>
      </c>
      <c r="C4096" s="4" t="str">
        <f>HYPERLINK("http://www.uniprot.org/uniprot/M5WCR9","M5WCR9")</f>
        <v>M5WCR9</v>
      </c>
      <c r="D4096" s="2" t="s">
        <v>3838</v>
      </c>
      <c r="E4096" s="3">
        <v>5.8700000000000002E-69</v>
      </c>
      <c r="F4096" s="2">
        <v>603</v>
      </c>
      <c r="G4096" s="2">
        <v>100</v>
      </c>
      <c r="H4096" s="2">
        <v>112</v>
      </c>
      <c r="I4096" s="2">
        <v>462</v>
      </c>
      <c r="J4096" s="2">
        <v>797</v>
      </c>
      <c r="K4096" s="2">
        <v>596</v>
      </c>
      <c r="L4096" s="2">
        <v>707</v>
      </c>
    </row>
    <row r="4097" spans="1:12" x14ac:dyDescent="0.25">
      <c r="A4097" s="4" t="str">
        <f>HYPERLINK("http://www.rosaceae.org/Prunus/Prunus_persica/p.persica_gdr_reftransV1_0008557","p.persica_gdr_reftransV1_0008557")</f>
        <v>p.persica_gdr_reftransV1_0008557</v>
      </c>
      <c r="B4097" s="2">
        <v>1183</v>
      </c>
      <c r="C4097" s="4" t="str">
        <f>HYPERLINK("http://www.uniprot.org/uniprot/M5WZX9","M5WZX9")</f>
        <v>M5WZX9</v>
      </c>
      <c r="D4097" s="2" t="s">
        <v>3839</v>
      </c>
      <c r="E4097" s="3">
        <v>0</v>
      </c>
      <c r="F4097" s="2">
        <v>1591</v>
      </c>
      <c r="G4097" s="2">
        <v>100</v>
      </c>
      <c r="H4097" s="2">
        <v>298</v>
      </c>
      <c r="I4097" s="2">
        <v>288</v>
      </c>
      <c r="J4097" s="2">
        <v>1181</v>
      </c>
      <c r="K4097" s="2">
        <v>69</v>
      </c>
      <c r="L4097" s="2">
        <v>366</v>
      </c>
    </row>
    <row r="4098" spans="1:12" x14ac:dyDescent="0.25">
      <c r="A4098" s="4" t="str">
        <f>HYPERLINK("http://www.rosaceae.org/Prunus/Prunus_persica/p.persica_gdr_reftransV1_0008907","p.persica_gdr_reftransV1_0008907")</f>
        <v>p.persica_gdr_reftransV1_0008907</v>
      </c>
      <c r="B4098" s="2">
        <v>2528</v>
      </c>
      <c r="C4098" s="4" t="str">
        <f>HYPERLINK("http://www.uniprot.org/uniprot/M5XAS5","M5XAS5")</f>
        <v>M5XAS5</v>
      </c>
      <c r="D4098" s="2" t="s">
        <v>3840</v>
      </c>
      <c r="E4098" s="3">
        <v>0</v>
      </c>
      <c r="F4098" s="2">
        <v>2917</v>
      </c>
      <c r="G4098" s="2">
        <v>100</v>
      </c>
      <c r="H4098" s="2">
        <v>590</v>
      </c>
      <c r="I4098" s="2">
        <v>537</v>
      </c>
      <c r="J4098" s="2">
        <v>2306</v>
      </c>
      <c r="K4098" s="2">
        <v>4</v>
      </c>
      <c r="L4098" s="2">
        <v>593</v>
      </c>
    </row>
    <row r="4099" spans="1:12" x14ac:dyDescent="0.25">
      <c r="A4099" s="4" t="str">
        <f>HYPERLINK("http://www.rosaceae.org/Prunus/Prunus_persica/p.persica_gdr_reftransV1_0010657","p.persica_gdr_reftransV1_0010657")</f>
        <v>p.persica_gdr_reftransV1_0010657</v>
      </c>
      <c r="B4099" s="2">
        <v>1653</v>
      </c>
      <c r="C4099" s="4" t="str">
        <f>HYPERLINK("http://www.uniprot.org/uniprot/M5WM22","M5WM22")</f>
        <v>M5WM22</v>
      </c>
      <c r="D4099" s="2" t="s">
        <v>3841</v>
      </c>
      <c r="E4099" s="3">
        <v>4.44E-69</v>
      </c>
      <c r="F4099" s="2">
        <v>633</v>
      </c>
      <c r="G4099" s="2">
        <v>100</v>
      </c>
      <c r="H4099" s="2">
        <v>118</v>
      </c>
      <c r="I4099" s="2">
        <v>850</v>
      </c>
      <c r="J4099" s="2">
        <v>1203</v>
      </c>
      <c r="K4099" s="2">
        <v>1</v>
      </c>
      <c r="L4099" s="2">
        <v>118</v>
      </c>
    </row>
    <row r="4100" spans="1:12" x14ac:dyDescent="0.25">
      <c r="A4100" s="4" t="str">
        <f>HYPERLINK("http://www.rosaceae.org/Prunus/Prunus_persica/p.persica_gdr_reftransV1_0011357","p.persica_gdr_reftransV1_0011357")</f>
        <v>p.persica_gdr_reftransV1_0011357</v>
      </c>
      <c r="B4100" s="2">
        <v>1369</v>
      </c>
      <c r="C4100" s="4" t="str">
        <f>HYPERLINK("http://www.uniprot.org/uniprot/M5VKU0","M5VKU0")</f>
        <v>M5VKU0</v>
      </c>
      <c r="D4100" s="2" t="s">
        <v>3842</v>
      </c>
      <c r="E4100" s="3">
        <v>6.9300000000000002E-146</v>
      </c>
      <c r="F4100" s="2">
        <v>1104</v>
      </c>
      <c r="G4100" s="2">
        <v>100</v>
      </c>
      <c r="H4100" s="2">
        <v>245</v>
      </c>
      <c r="I4100" s="2">
        <v>332</v>
      </c>
      <c r="J4100" s="2">
        <v>1066</v>
      </c>
      <c r="K4100" s="2">
        <v>32</v>
      </c>
      <c r="L4100" s="2">
        <v>276</v>
      </c>
    </row>
    <row r="4101" spans="1:12" x14ac:dyDescent="0.25">
      <c r="A4101" s="4" t="str">
        <f>HYPERLINK("http://www.rosaceae.org/Prunus/Prunus_persica/p.persica_gdr_reftransV1_0011707","p.persica_gdr_reftransV1_0011707")</f>
        <v>p.persica_gdr_reftransV1_0011707</v>
      </c>
      <c r="B4101" s="2">
        <v>1599</v>
      </c>
      <c r="C4101" s="4" t="str">
        <f>HYPERLINK("http://www.uniprot.org/uniprot/M5X1P9","M5X1P9")</f>
        <v>M5X1P9</v>
      </c>
      <c r="D4101" s="2" t="s">
        <v>3843</v>
      </c>
      <c r="E4101" s="3">
        <v>0</v>
      </c>
      <c r="F4101" s="2">
        <v>1640</v>
      </c>
      <c r="G4101" s="2">
        <v>100</v>
      </c>
      <c r="H4101" s="2">
        <v>351</v>
      </c>
      <c r="I4101" s="2">
        <v>235</v>
      </c>
      <c r="J4101" s="2">
        <v>1287</v>
      </c>
      <c r="K4101" s="2">
        <v>1</v>
      </c>
      <c r="L4101" s="2">
        <v>351</v>
      </c>
    </row>
    <row r="4102" spans="1:12" x14ac:dyDescent="0.25">
      <c r="A4102" s="4" t="str">
        <f>HYPERLINK("http://www.rosaceae.org/Prunus/Prunus_persica/p.persica_gdr_reftransV1_0014157","p.persica_gdr_reftransV1_0014157")</f>
        <v>p.persica_gdr_reftransV1_0014157</v>
      </c>
      <c r="B4102" s="2">
        <v>1765</v>
      </c>
      <c r="C4102" s="4" t="str">
        <f>HYPERLINK("http://www.uniprot.org/uniprot/M5X6C4","M5X6C4")</f>
        <v>M5X6C4</v>
      </c>
      <c r="D4102" s="2" t="s">
        <v>3844</v>
      </c>
      <c r="E4102" s="3">
        <v>1.08E-160</v>
      </c>
      <c r="F4102" s="2">
        <v>1210</v>
      </c>
      <c r="G4102" s="2">
        <v>100</v>
      </c>
      <c r="H4102" s="2">
        <v>226</v>
      </c>
      <c r="I4102" s="2">
        <v>512</v>
      </c>
      <c r="J4102" s="2">
        <v>1189</v>
      </c>
      <c r="K4102" s="2">
        <v>1</v>
      </c>
      <c r="L4102" s="2">
        <v>226</v>
      </c>
    </row>
    <row r="4103" spans="1:12" x14ac:dyDescent="0.25">
      <c r="A4103" s="4" t="str">
        <f>HYPERLINK("http://www.rosaceae.org/Prunus/Prunus_persica/p.persica_gdr_reftransV1_0014507","p.persica_gdr_reftransV1_0014507")</f>
        <v>p.persica_gdr_reftransV1_0014507</v>
      </c>
      <c r="B4103" s="2">
        <v>1050</v>
      </c>
      <c r="C4103" s="4" t="str">
        <f>HYPERLINK("http://www.uniprot.org/uniprot/M5VN41","M5VN41")</f>
        <v>M5VN41</v>
      </c>
      <c r="D4103" s="2" t="s">
        <v>3845</v>
      </c>
      <c r="E4103" s="3">
        <v>5.8500000000000003E-60</v>
      </c>
      <c r="F4103" s="2">
        <v>506</v>
      </c>
      <c r="G4103" s="2">
        <v>100</v>
      </c>
      <c r="H4103" s="2">
        <v>98</v>
      </c>
      <c r="I4103" s="2">
        <v>176</v>
      </c>
      <c r="J4103" s="2">
        <v>469</v>
      </c>
      <c r="K4103" s="2">
        <v>1</v>
      </c>
      <c r="L4103" s="2">
        <v>98</v>
      </c>
    </row>
    <row r="4104" spans="1:12" x14ac:dyDescent="0.25">
      <c r="A4104" s="4" t="str">
        <f>HYPERLINK("http://www.rosaceae.org/Prunus/Prunus_persica/p.persica_gdr_reftransV1_0015207","p.persica_gdr_reftransV1_0015207")</f>
        <v>p.persica_gdr_reftransV1_0015207</v>
      </c>
      <c r="B4104" s="2">
        <v>1650</v>
      </c>
      <c r="C4104" s="4" t="str">
        <f>HYPERLINK("http://www.uniprot.org/uniprot/M5W1Z4","M5W1Z4")</f>
        <v>M5W1Z4</v>
      </c>
      <c r="D4104" s="2" t="s">
        <v>3846</v>
      </c>
      <c r="E4104" s="3">
        <v>0</v>
      </c>
      <c r="F4104" s="2">
        <v>1785</v>
      </c>
      <c r="G4104" s="2">
        <v>100</v>
      </c>
      <c r="H4104" s="2">
        <v>333</v>
      </c>
      <c r="I4104" s="2">
        <v>161</v>
      </c>
      <c r="J4104" s="2">
        <v>1159</v>
      </c>
      <c r="K4104" s="2">
        <v>1</v>
      </c>
      <c r="L4104" s="2">
        <v>333</v>
      </c>
    </row>
    <row r="4105" spans="1:12" x14ac:dyDescent="0.25">
      <c r="A4105" s="4" t="str">
        <f>HYPERLINK("http://www.rosaceae.org/Prunus/Prunus_persica/p.persica_gdr_reftransV1_0015907","p.persica_gdr_reftransV1_0015907")</f>
        <v>p.persica_gdr_reftransV1_0015907</v>
      </c>
      <c r="B4105" s="2">
        <v>486</v>
      </c>
      <c r="C4105" s="4" t="str">
        <f>HYPERLINK("http://www.uniprot.org/uniprot/M5XWC6","M5XWC6")</f>
        <v>M5XWC6</v>
      </c>
      <c r="D4105" s="2" t="s">
        <v>3847</v>
      </c>
      <c r="E4105" s="3">
        <v>1.6600000000000001E-45</v>
      </c>
      <c r="F4105" s="2">
        <v>392</v>
      </c>
      <c r="G4105" s="2">
        <v>100</v>
      </c>
      <c r="H4105" s="2">
        <v>92</v>
      </c>
      <c r="I4105" s="2">
        <v>80</v>
      </c>
      <c r="J4105" s="2">
        <v>355</v>
      </c>
      <c r="K4105" s="2">
        <v>1</v>
      </c>
      <c r="L4105" s="2">
        <v>92</v>
      </c>
    </row>
    <row r="4106" spans="1:12" x14ac:dyDescent="0.25">
      <c r="A4106" s="4" t="str">
        <f>HYPERLINK("http://www.rosaceae.org/Prunus/Prunus_persica/p.persica_gdr_reftransV1_0019057","p.persica_gdr_reftransV1_0019057")</f>
        <v>p.persica_gdr_reftransV1_0019057</v>
      </c>
      <c r="B4106" s="2">
        <v>844</v>
      </c>
      <c r="C4106" s="4" t="str">
        <f>HYPERLINK("http://www.uniprot.org/uniprot/M5VHK4","M5VHK4")</f>
        <v>M5VHK4</v>
      </c>
      <c r="D4106" s="2" t="s">
        <v>3848</v>
      </c>
      <c r="E4106" s="3">
        <v>2.7799999999999998E-93</v>
      </c>
      <c r="F4106" s="2">
        <v>726</v>
      </c>
      <c r="G4106" s="2">
        <v>100</v>
      </c>
      <c r="H4106" s="2">
        <v>151</v>
      </c>
      <c r="I4106" s="2">
        <v>125</v>
      </c>
      <c r="J4106" s="2">
        <v>577</v>
      </c>
      <c r="K4106" s="2">
        <v>1</v>
      </c>
      <c r="L4106" s="2">
        <v>151</v>
      </c>
    </row>
    <row r="4107" spans="1:12" x14ac:dyDescent="0.25">
      <c r="A4107" s="4" t="str">
        <f>HYPERLINK("http://www.rosaceae.org/Prunus/Prunus_persica/p.persica_gdr_reftransV1_0019407","p.persica_gdr_reftransV1_0019407")</f>
        <v>p.persica_gdr_reftransV1_0019407</v>
      </c>
      <c r="B4107" s="2">
        <v>2345</v>
      </c>
      <c r="C4107" s="4" t="str">
        <f>HYPERLINK("http://www.uniprot.org/uniprot/M5WQ53","M5WQ53")</f>
        <v>M5WQ53</v>
      </c>
      <c r="D4107" s="2" t="s">
        <v>3849</v>
      </c>
      <c r="E4107" s="3">
        <v>0</v>
      </c>
      <c r="F4107" s="2">
        <v>2723</v>
      </c>
      <c r="G4107" s="2">
        <v>100</v>
      </c>
      <c r="H4107" s="2">
        <v>622</v>
      </c>
      <c r="I4107" s="2">
        <v>176</v>
      </c>
      <c r="J4107" s="2">
        <v>2041</v>
      </c>
      <c r="K4107" s="2">
        <v>1</v>
      </c>
      <c r="L4107" s="2">
        <v>622</v>
      </c>
    </row>
    <row r="4108" spans="1:12" x14ac:dyDescent="0.25">
      <c r="A4108" s="4" t="str">
        <f>HYPERLINK("http://www.rosaceae.org/Prunus/Prunus_persica/p.persica_gdr_reftransV1_0020107","p.persica_gdr_reftransV1_0020107")</f>
        <v>p.persica_gdr_reftransV1_0020107</v>
      </c>
      <c r="B4108" s="2">
        <v>2979</v>
      </c>
      <c r="C4108" s="4" t="str">
        <f>HYPERLINK("http://www.uniprot.org/uniprot/M5W6A8","M5W6A8")</f>
        <v>M5W6A8</v>
      </c>
      <c r="D4108" s="2" t="s">
        <v>3850</v>
      </c>
      <c r="E4108" s="3">
        <v>0</v>
      </c>
      <c r="F4108" s="2">
        <v>3756</v>
      </c>
      <c r="G4108" s="2">
        <v>100</v>
      </c>
      <c r="H4108" s="2">
        <v>813</v>
      </c>
      <c r="I4108" s="2">
        <v>213</v>
      </c>
      <c r="J4108" s="2">
        <v>2651</v>
      </c>
      <c r="K4108" s="2">
        <v>1</v>
      </c>
      <c r="L4108" s="2">
        <v>813</v>
      </c>
    </row>
    <row r="4109" spans="1:12" x14ac:dyDescent="0.25">
      <c r="A4109" s="4" t="str">
        <f>HYPERLINK("http://www.rosaceae.org/Prunus/Prunus_persica/p.persica_gdr_reftransV1_0020457","p.persica_gdr_reftransV1_0020457")</f>
        <v>p.persica_gdr_reftransV1_0020457</v>
      </c>
      <c r="B4109" s="2">
        <v>1770</v>
      </c>
      <c r="C4109" s="4" t="str">
        <f>HYPERLINK("http://www.uniprot.org/uniprot/M5XDW4","M5XDW4")</f>
        <v>M5XDW4</v>
      </c>
      <c r="D4109" s="2" t="s">
        <v>248</v>
      </c>
      <c r="E4109" s="3">
        <v>0</v>
      </c>
      <c r="F4109" s="2">
        <v>1752</v>
      </c>
      <c r="G4109" s="2">
        <v>100</v>
      </c>
      <c r="H4109" s="2">
        <v>463</v>
      </c>
      <c r="I4109" s="2">
        <v>102</v>
      </c>
      <c r="J4109" s="2">
        <v>1490</v>
      </c>
      <c r="K4109" s="2">
        <v>1</v>
      </c>
      <c r="L4109" s="2">
        <v>463</v>
      </c>
    </row>
    <row r="4110" spans="1:12" x14ac:dyDescent="0.25">
      <c r="A4110" s="4" t="str">
        <f>HYPERLINK("http://www.rosaceae.org/Prunus/Prunus_persica/p.persica_gdr_reftransV1_0021507","p.persica_gdr_reftransV1_0021507")</f>
        <v>p.persica_gdr_reftransV1_0021507</v>
      </c>
      <c r="B4110" s="2">
        <v>921</v>
      </c>
      <c r="C4110" s="4" t="str">
        <f>HYPERLINK("http://www.uniprot.org/uniprot/M5W012","M5W012")</f>
        <v>M5W012</v>
      </c>
      <c r="D4110" s="2" t="s">
        <v>3851</v>
      </c>
      <c r="E4110" s="3">
        <v>5.0999999999999996E-84</v>
      </c>
      <c r="F4110" s="2">
        <v>666</v>
      </c>
      <c r="G4110" s="2">
        <v>100</v>
      </c>
      <c r="H4110" s="2">
        <v>125</v>
      </c>
      <c r="I4110" s="2">
        <v>334</v>
      </c>
      <c r="J4110" s="2">
        <v>708</v>
      </c>
      <c r="K4110" s="2">
        <v>1</v>
      </c>
      <c r="L4110" s="2">
        <v>125</v>
      </c>
    </row>
    <row r="4111" spans="1:12" x14ac:dyDescent="0.25">
      <c r="A4111" s="4" t="str">
        <f>HYPERLINK("http://www.rosaceae.org/Prunus/Prunus_persica/p.persica_gdr_reftransV1_0022907","p.persica_gdr_reftransV1_0022907")</f>
        <v>p.persica_gdr_reftransV1_0022907</v>
      </c>
      <c r="B4111" s="2">
        <v>2308</v>
      </c>
      <c r="C4111" s="4" t="str">
        <f>HYPERLINK("http://www.uniprot.org/uniprot/M5WAN0","M5WAN0")</f>
        <v>M5WAN0</v>
      </c>
      <c r="D4111" s="2" t="s">
        <v>3852</v>
      </c>
      <c r="E4111" s="3">
        <v>0</v>
      </c>
      <c r="F4111" s="2">
        <v>2023</v>
      </c>
      <c r="G4111" s="2">
        <v>100</v>
      </c>
      <c r="H4111" s="2">
        <v>399</v>
      </c>
      <c r="I4111" s="2">
        <v>694</v>
      </c>
      <c r="J4111" s="2">
        <v>1890</v>
      </c>
      <c r="K4111" s="2">
        <v>24</v>
      </c>
      <c r="L4111" s="2">
        <v>422</v>
      </c>
    </row>
    <row r="4112" spans="1:12" x14ac:dyDescent="0.25">
      <c r="A4112" s="4" t="str">
        <f>HYPERLINK("http://www.rosaceae.org/Prunus/Prunus_persica/p.persica_gdr_reftransV1_0024307","p.persica_gdr_reftransV1_0024307")</f>
        <v>p.persica_gdr_reftransV1_0024307</v>
      </c>
      <c r="B4112" s="2">
        <v>932</v>
      </c>
      <c r="C4112" s="4" t="str">
        <f>HYPERLINK("http://www.uniprot.org/uniprot/M5Y119","M5Y119")</f>
        <v>M5Y119</v>
      </c>
      <c r="D4112" s="2" t="s">
        <v>3853</v>
      </c>
      <c r="E4112" s="3">
        <v>1.43E-130</v>
      </c>
      <c r="F4112" s="2">
        <v>1014</v>
      </c>
      <c r="G4112" s="2">
        <v>96</v>
      </c>
      <c r="H4112" s="2">
        <v>245</v>
      </c>
      <c r="I4112" s="2">
        <v>3</v>
      </c>
      <c r="J4112" s="2">
        <v>737</v>
      </c>
      <c r="K4112" s="2">
        <v>328</v>
      </c>
      <c r="L4112" s="2">
        <v>563</v>
      </c>
    </row>
    <row r="4113" spans="1:12" x14ac:dyDescent="0.25">
      <c r="A4113" s="4" t="str">
        <f>HYPERLINK("http://www.rosaceae.org/Prunus/Prunus_persica/p.persica_gdr_reftransV1_0024657","p.persica_gdr_reftransV1_0024657")</f>
        <v>p.persica_gdr_reftransV1_0024657</v>
      </c>
      <c r="B4113" s="2">
        <v>868</v>
      </c>
      <c r="C4113" s="4" t="str">
        <f>HYPERLINK("http://www.uniprot.org/uniprot/M5XZ01","M5XZ01")</f>
        <v>M5XZ01</v>
      </c>
      <c r="D4113" s="2" t="s">
        <v>2241</v>
      </c>
      <c r="E4113" s="3">
        <v>5.7499999999999997E-171</v>
      </c>
      <c r="F4113" s="2">
        <v>1270</v>
      </c>
      <c r="G4113" s="2">
        <v>86</v>
      </c>
      <c r="H4113" s="2">
        <v>288</v>
      </c>
      <c r="I4113" s="2">
        <v>3</v>
      </c>
      <c r="J4113" s="2">
        <v>866</v>
      </c>
      <c r="K4113" s="2">
        <v>171</v>
      </c>
      <c r="L4113" s="2">
        <v>418</v>
      </c>
    </row>
    <row r="4114" spans="1:12" x14ac:dyDescent="0.25">
      <c r="A4114" s="4" t="str">
        <f>HYPERLINK("http://www.rosaceae.org/Prunus/Prunus_persica/p.persica_gdr_reftransV1_0025707","p.persica_gdr_reftransV1_0025707")</f>
        <v>p.persica_gdr_reftransV1_0025707</v>
      </c>
      <c r="B4114" s="2">
        <v>1936</v>
      </c>
      <c r="C4114" s="4" t="str">
        <f>HYPERLINK("http://www.uniprot.org/uniprot/M5WNK5","M5WNK5")</f>
        <v>M5WNK5</v>
      </c>
      <c r="D4114" s="2" t="s">
        <v>3854</v>
      </c>
      <c r="E4114" s="3">
        <v>0</v>
      </c>
      <c r="F4114" s="2">
        <v>1946</v>
      </c>
      <c r="G4114" s="2">
        <v>98</v>
      </c>
      <c r="H4114" s="2">
        <v>366</v>
      </c>
      <c r="I4114" s="2">
        <v>837</v>
      </c>
      <c r="J4114" s="2">
        <v>1934</v>
      </c>
      <c r="K4114" s="2">
        <v>56</v>
      </c>
      <c r="L4114" s="2">
        <v>421</v>
      </c>
    </row>
    <row r="4115" spans="1:12" x14ac:dyDescent="0.25">
      <c r="A4115" s="4" t="str">
        <f>HYPERLINK("http://www.rosaceae.org/Prunus/Prunus_persica/p.persica_gdr_reftransV1_0026757","p.persica_gdr_reftransV1_0026757")</f>
        <v>p.persica_gdr_reftransV1_0026757</v>
      </c>
      <c r="B4115" s="2">
        <v>2971</v>
      </c>
      <c r="C4115" s="4" t="str">
        <f>HYPERLINK("http://www.uniprot.org/uniprot/M5WXG1","M5WXG1")</f>
        <v>M5WXG1</v>
      </c>
      <c r="D4115" s="2" t="s">
        <v>3855</v>
      </c>
      <c r="E4115" s="3">
        <v>0</v>
      </c>
      <c r="F4115" s="2">
        <v>1535</v>
      </c>
      <c r="G4115" s="2">
        <v>95</v>
      </c>
      <c r="H4115" s="2">
        <v>301</v>
      </c>
      <c r="I4115" s="2">
        <v>936</v>
      </c>
      <c r="J4115" s="2">
        <v>1838</v>
      </c>
      <c r="K4115" s="2">
        <v>179</v>
      </c>
      <c r="L4115" s="2">
        <v>479</v>
      </c>
    </row>
    <row r="4116" spans="1:12" x14ac:dyDescent="0.25">
      <c r="A4116" s="4" t="str">
        <f>HYPERLINK("http://www.rosaceae.org/Prunus/Prunus_persica/p.persica_gdr_reftransV1_0027107","p.persica_gdr_reftransV1_0027107")</f>
        <v>p.persica_gdr_reftransV1_0027107</v>
      </c>
      <c r="B4116" s="2">
        <v>4151</v>
      </c>
      <c r="C4116" s="4" t="str">
        <f>HYPERLINK("http://www.uniprot.org/uniprot/M5XE70","M5XE70")</f>
        <v>M5XE70</v>
      </c>
      <c r="D4116" s="2" t="s">
        <v>3856</v>
      </c>
      <c r="E4116" s="3">
        <v>2.4900000000000001E-65</v>
      </c>
      <c r="F4116" s="2">
        <v>607</v>
      </c>
      <c r="G4116" s="2">
        <v>99</v>
      </c>
      <c r="H4116" s="2">
        <v>120</v>
      </c>
      <c r="I4116" s="2">
        <v>2769</v>
      </c>
      <c r="J4116" s="2">
        <v>3128</v>
      </c>
      <c r="K4116" s="2">
        <v>92</v>
      </c>
      <c r="L4116" s="2">
        <v>211</v>
      </c>
    </row>
    <row r="4117" spans="1:12" x14ac:dyDescent="0.25">
      <c r="A4117" s="4" t="str">
        <f>HYPERLINK("http://www.rosaceae.org/Prunus/Prunus_persica/p.persica_gdr_reftransV1_0027457","p.persica_gdr_reftransV1_0027457")</f>
        <v>p.persica_gdr_reftransV1_0027457</v>
      </c>
      <c r="B4117" s="2">
        <v>2233</v>
      </c>
      <c r="C4117" s="4" t="str">
        <f>HYPERLINK("http://www.uniprot.org/uniprot/M5WP09","M5WP09")</f>
        <v>M5WP09</v>
      </c>
      <c r="D4117" s="2" t="s">
        <v>3857</v>
      </c>
      <c r="E4117" s="3">
        <v>2.1199999999999998E-81</v>
      </c>
      <c r="F4117" s="2">
        <v>690</v>
      </c>
      <c r="G4117" s="2">
        <v>98</v>
      </c>
      <c r="H4117" s="2">
        <v>132</v>
      </c>
      <c r="I4117" s="2">
        <v>711</v>
      </c>
      <c r="J4117" s="2">
        <v>1106</v>
      </c>
      <c r="K4117" s="2">
        <v>1</v>
      </c>
      <c r="L4117" s="2">
        <v>132</v>
      </c>
    </row>
    <row r="4118" spans="1:12" x14ac:dyDescent="0.25">
      <c r="A4118" s="4" t="str">
        <f>HYPERLINK("http://www.rosaceae.org/Prunus/Prunus_persica/p.persica_gdr_reftransV1_0027807","p.persica_gdr_reftransV1_0027807")</f>
        <v>p.persica_gdr_reftransV1_0027807</v>
      </c>
      <c r="B4118" s="2">
        <v>2406</v>
      </c>
      <c r="C4118" s="4" t="str">
        <f>HYPERLINK("http://www.uniprot.org/uniprot/M5W657","M5W657")</f>
        <v>M5W657</v>
      </c>
      <c r="D4118" s="2" t="s">
        <v>3858</v>
      </c>
      <c r="E4118" s="3">
        <v>0</v>
      </c>
      <c r="F4118" s="2">
        <v>1585</v>
      </c>
      <c r="G4118" s="2">
        <v>100</v>
      </c>
      <c r="H4118" s="2">
        <v>309</v>
      </c>
      <c r="I4118" s="2">
        <v>265</v>
      </c>
      <c r="J4118" s="2">
        <v>1191</v>
      </c>
      <c r="K4118" s="2">
        <v>24</v>
      </c>
      <c r="L4118" s="2">
        <v>332</v>
      </c>
    </row>
    <row r="4119" spans="1:12" x14ac:dyDescent="0.25">
      <c r="A4119" s="4" t="str">
        <f>HYPERLINK("http://www.rosaceae.org/Prunus/Prunus_persica/p.persica_gdr_reftransV1_0028507","p.persica_gdr_reftransV1_0028507")</f>
        <v>p.persica_gdr_reftransV1_0028507</v>
      </c>
      <c r="B4119" s="2">
        <v>4460</v>
      </c>
      <c r="C4119" s="4" t="str">
        <f>HYPERLINK("http://www.uniprot.org/uniprot/M5W958","M5W958")</f>
        <v>M5W958</v>
      </c>
      <c r="D4119" s="2" t="s">
        <v>3859</v>
      </c>
      <c r="E4119" s="3">
        <v>0</v>
      </c>
      <c r="F4119" s="2">
        <v>5770</v>
      </c>
      <c r="G4119" s="2">
        <v>95</v>
      </c>
      <c r="H4119" s="2">
        <v>1159</v>
      </c>
      <c r="I4119" s="2">
        <v>425</v>
      </c>
      <c r="J4119" s="2">
        <v>3901</v>
      </c>
      <c r="K4119" s="2">
        <v>14</v>
      </c>
      <c r="L4119" s="2">
        <v>1130</v>
      </c>
    </row>
    <row r="4120" spans="1:12" x14ac:dyDescent="0.25">
      <c r="A4120" s="4" t="str">
        <f>HYPERLINK("http://www.rosaceae.org/Prunus/Prunus_persica/p.persica_gdr_reftransV1_0030257","p.persica_gdr_reftransV1_0030257")</f>
        <v>p.persica_gdr_reftransV1_0030257</v>
      </c>
      <c r="B4120" s="2">
        <v>2564</v>
      </c>
      <c r="C4120" s="4" t="str">
        <f>HYPERLINK("http://www.uniprot.org/uniprot/M5WX07","M5WX07")</f>
        <v>M5WX07</v>
      </c>
      <c r="D4120" s="2" t="s">
        <v>3860</v>
      </c>
      <c r="E4120" s="3">
        <v>0</v>
      </c>
      <c r="F4120" s="2">
        <v>3490</v>
      </c>
      <c r="G4120" s="2">
        <v>100</v>
      </c>
      <c r="H4120" s="2">
        <v>655</v>
      </c>
      <c r="I4120" s="2">
        <v>432</v>
      </c>
      <c r="J4120" s="2">
        <v>2396</v>
      </c>
      <c r="K4120" s="2">
        <v>1</v>
      </c>
      <c r="L4120" s="2">
        <v>655</v>
      </c>
    </row>
    <row r="4121" spans="1:12" x14ac:dyDescent="0.25">
      <c r="A4121" s="4" t="str">
        <f>HYPERLINK("http://www.rosaceae.org/Prunus/Prunus_persica/p.persica_gdr_reftransV1_0031657","p.persica_gdr_reftransV1_0031657")</f>
        <v>p.persica_gdr_reftransV1_0031657</v>
      </c>
      <c r="B4121" s="2">
        <v>2117</v>
      </c>
      <c r="C4121" s="4" t="str">
        <f>HYPERLINK("http://www.uniprot.org/uniprot/M5XLK9","M5XLK9")</f>
        <v>M5XLK9</v>
      </c>
      <c r="D4121" s="2" t="s">
        <v>3861</v>
      </c>
      <c r="E4121" s="3">
        <v>0</v>
      </c>
      <c r="F4121" s="2">
        <v>2833</v>
      </c>
      <c r="G4121" s="2">
        <v>100</v>
      </c>
      <c r="H4121" s="2">
        <v>546</v>
      </c>
      <c r="I4121" s="2">
        <v>446</v>
      </c>
      <c r="J4121" s="2">
        <v>2083</v>
      </c>
      <c r="K4121" s="2">
        <v>1</v>
      </c>
      <c r="L4121" s="2">
        <v>546</v>
      </c>
    </row>
    <row r="4122" spans="1:12" x14ac:dyDescent="0.25">
      <c r="A4122" s="4" t="str">
        <f>HYPERLINK("http://www.rosaceae.org/Prunus/Prunus_persica/p.persica_gdr_reftransV1_0032707","p.persica_gdr_reftransV1_0032707")</f>
        <v>p.persica_gdr_reftransV1_0032707</v>
      </c>
      <c r="B4122" s="2">
        <v>1220</v>
      </c>
      <c r="C4122" s="4" t="str">
        <f>HYPERLINK("http://www.uniprot.org/uniprot/M5X416","M5X416")</f>
        <v>M5X416</v>
      </c>
      <c r="D4122" s="2" t="s">
        <v>3862</v>
      </c>
      <c r="E4122" s="3">
        <v>2.2900000000000002E-168</v>
      </c>
      <c r="F4122" s="2">
        <v>1243</v>
      </c>
      <c r="G4122" s="2">
        <v>100</v>
      </c>
      <c r="H4122" s="2">
        <v>234</v>
      </c>
      <c r="I4122" s="2">
        <v>84</v>
      </c>
      <c r="J4122" s="2">
        <v>785</v>
      </c>
      <c r="K4122" s="2">
        <v>1</v>
      </c>
      <c r="L4122" s="2">
        <v>234</v>
      </c>
    </row>
    <row r="4123" spans="1:12" x14ac:dyDescent="0.25">
      <c r="A4123" s="4" t="str">
        <f>HYPERLINK("http://www.rosaceae.org/Prunus/Prunus_persica/p.persica_gdr_reftransV1_0033407","p.persica_gdr_reftransV1_0033407")</f>
        <v>p.persica_gdr_reftransV1_0033407</v>
      </c>
      <c r="B4123" s="2">
        <v>2632</v>
      </c>
      <c r="C4123" s="4" t="str">
        <f>HYPERLINK("http://www.uniprot.org/uniprot/M5WP36","M5WP36")</f>
        <v>M5WP36</v>
      </c>
      <c r="D4123" s="2" t="s">
        <v>3863</v>
      </c>
      <c r="E4123" s="3">
        <v>0</v>
      </c>
      <c r="F4123" s="2">
        <v>2307</v>
      </c>
      <c r="G4123" s="2">
        <v>92</v>
      </c>
      <c r="H4123" s="2">
        <v>474</v>
      </c>
      <c r="I4123" s="2">
        <v>698</v>
      </c>
      <c r="J4123" s="2">
        <v>2101</v>
      </c>
      <c r="K4123" s="2">
        <v>29</v>
      </c>
      <c r="L4123" s="2">
        <v>502</v>
      </c>
    </row>
    <row r="4124" spans="1:12" x14ac:dyDescent="0.25">
      <c r="A4124" s="4" t="str">
        <f>HYPERLINK("http://www.rosaceae.org/Prunus/Prunus_persica/p.persica_gdr_reftransV1_0035157","p.persica_gdr_reftransV1_0035157")</f>
        <v>p.persica_gdr_reftransV1_0035157</v>
      </c>
      <c r="B4124" s="2">
        <v>1424</v>
      </c>
      <c r="C4124" s="4" t="str">
        <f>HYPERLINK("http://www.uniprot.org/uniprot/M5XD61","M5XD61")</f>
        <v>M5XD61</v>
      </c>
      <c r="D4124" s="2" t="s">
        <v>3864</v>
      </c>
      <c r="E4124" s="3">
        <v>2.7299999999999999E-83</v>
      </c>
      <c r="F4124" s="2">
        <v>688</v>
      </c>
      <c r="G4124" s="2">
        <v>100</v>
      </c>
      <c r="H4124" s="2">
        <v>145</v>
      </c>
      <c r="I4124" s="2">
        <v>541</v>
      </c>
      <c r="J4124" s="2">
        <v>975</v>
      </c>
      <c r="K4124" s="2">
        <v>42</v>
      </c>
      <c r="L4124" s="2">
        <v>186</v>
      </c>
    </row>
    <row r="4125" spans="1:12" x14ac:dyDescent="0.25">
      <c r="A4125" s="4" t="str">
        <f>HYPERLINK("http://www.rosaceae.org/Prunus/Prunus_persica/p.persica_gdr_reftransV1_0035507","p.persica_gdr_reftransV1_0035507")</f>
        <v>p.persica_gdr_reftransV1_0035507</v>
      </c>
      <c r="B4125" s="2">
        <v>2086</v>
      </c>
      <c r="C4125" s="4" t="str">
        <f>HYPERLINK("http://www.uniprot.org/uniprot/A0A0D2P9D6","A0A0D2P9D6")</f>
        <v>A0A0D2P9D6</v>
      </c>
      <c r="D4125" s="2" t="s">
        <v>3865</v>
      </c>
      <c r="E4125" s="3">
        <v>1.9800000000000002E-117</v>
      </c>
      <c r="F4125" s="2">
        <v>928</v>
      </c>
      <c r="G4125" s="2">
        <v>90</v>
      </c>
      <c r="H4125" s="2">
        <v>192</v>
      </c>
      <c r="I4125" s="2">
        <v>1026</v>
      </c>
      <c r="J4125" s="2">
        <v>1601</v>
      </c>
      <c r="K4125" s="2">
        <v>1</v>
      </c>
      <c r="L4125" s="2">
        <v>192</v>
      </c>
    </row>
    <row r="4126" spans="1:12" x14ac:dyDescent="0.25">
      <c r="A4126" s="4" t="str">
        <f>HYPERLINK("http://www.rosaceae.org/Prunus/Prunus_persica/p.persica_gdr_reftransV1_0035857","p.persica_gdr_reftransV1_0035857")</f>
        <v>p.persica_gdr_reftransV1_0035857</v>
      </c>
      <c r="B4126" s="2">
        <v>1478</v>
      </c>
      <c r="C4126" s="4" t="str">
        <f>HYPERLINK("http://www.uniprot.org/uniprot/M5WWG9","M5WWG9")</f>
        <v>M5WWG9</v>
      </c>
      <c r="D4126" s="2" t="s">
        <v>3866</v>
      </c>
      <c r="E4126" s="3">
        <v>1.5000000000000001E-170</v>
      </c>
      <c r="F4126" s="2">
        <v>1278</v>
      </c>
      <c r="G4126" s="2">
        <v>97</v>
      </c>
      <c r="H4126" s="2">
        <v>266</v>
      </c>
      <c r="I4126" s="2">
        <v>629</v>
      </c>
      <c r="J4126" s="2">
        <v>1426</v>
      </c>
      <c r="K4126" s="2">
        <v>1</v>
      </c>
      <c r="L4126" s="2">
        <v>266</v>
      </c>
    </row>
    <row r="4127" spans="1:12" x14ac:dyDescent="0.25">
      <c r="A4127" s="4" t="str">
        <f>HYPERLINK("http://www.rosaceae.org/Prunus/Prunus_persica/p.persica_gdr_reftransV1_0036207","p.persica_gdr_reftransV1_0036207")</f>
        <v>p.persica_gdr_reftransV1_0036207</v>
      </c>
      <c r="B4127" s="2">
        <v>932</v>
      </c>
      <c r="C4127" s="4" t="str">
        <f>HYPERLINK("http://www.uniprot.org/uniprot/M5X0G5","M5X0G5")</f>
        <v>M5X0G5</v>
      </c>
      <c r="D4127" s="2" t="s">
        <v>3867</v>
      </c>
      <c r="E4127" s="3">
        <v>2.2900000000000001E-143</v>
      </c>
      <c r="F4127" s="2">
        <v>1125</v>
      </c>
      <c r="G4127" s="2">
        <v>97</v>
      </c>
      <c r="H4127" s="2">
        <v>222</v>
      </c>
      <c r="I4127" s="2">
        <v>2</v>
      </c>
      <c r="J4127" s="2">
        <v>667</v>
      </c>
      <c r="K4127" s="2">
        <v>659</v>
      </c>
      <c r="L4127" s="2">
        <v>880</v>
      </c>
    </row>
    <row r="4128" spans="1:12" x14ac:dyDescent="0.25">
      <c r="A4128" s="4" t="str">
        <f>HYPERLINK("http://www.rosaceae.org/Prunus/Prunus_persica/p.persica_gdr_reftransV1_0038307","p.persica_gdr_reftransV1_0038307")</f>
        <v>p.persica_gdr_reftransV1_0038307</v>
      </c>
      <c r="B4128" s="2">
        <v>1610</v>
      </c>
      <c r="C4128" s="4" t="str">
        <f>HYPERLINK("http://www.uniprot.org/uniprot/D7L3Q6","D7L3Q6")</f>
        <v>D7L3Q6</v>
      </c>
      <c r="D4128" s="2" t="s">
        <v>3868</v>
      </c>
      <c r="E4128" s="3">
        <v>9.310000000000001E-100</v>
      </c>
      <c r="F4128" s="2">
        <v>823</v>
      </c>
      <c r="G4128" s="2">
        <v>51</v>
      </c>
      <c r="H4128" s="2">
        <v>374</v>
      </c>
      <c r="I4128" s="2">
        <v>522</v>
      </c>
      <c r="J4128" s="2">
        <v>1610</v>
      </c>
      <c r="K4128" s="2">
        <v>5</v>
      </c>
      <c r="L4128" s="2">
        <v>314</v>
      </c>
    </row>
    <row r="4129" spans="1:12" x14ac:dyDescent="0.25">
      <c r="A4129" s="4" t="str">
        <f>HYPERLINK("http://www.rosaceae.org/Prunus/Prunus_persica/p.persica_gdr_reftransV1_0039007","p.persica_gdr_reftransV1_0039007")</f>
        <v>p.persica_gdr_reftransV1_0039007</v>
      </c>
      <c r="B4129" s="2">
        <v>1912</v>
      </c>
      <c r="C4129" s="4" t="str">
        <f>HYPERLINK("http://www.uniprot.org/uniprot/M5VZM9","M5VZM9")</f>
        <v>M5VZM9</v>
      </c>
      <c r="D4129" s="2" t="s">
        <v>3869</v>
      </c>
      <c r="E4129" s="3">
        <v>0</v>
      </c>
      <c r="F4129" s="2">
        <v>1863</v>
      </c>
      <c r="G4129" s="2">
        <v>92</v>
      </c>
      <c r="H4129" s="2">
        <v>387</v>
      </c>
      <c r="I4129" s="2">
        <v>510</v>
      </c>
      <c r="J4129" s="2">
        <v>1670</v>
      </c>
      <c r="K4129" s="2">
        <v>1</v>
      </c>
      <c r="L4129" s="2">
        <v>356</v>
      </c>
    </row>
    <row r="4130" spans="1:12" x14ac:dyDescent="0.25">
      <c r="A4130" s="4" t="str">
        <f>HYPERLINK("http://www.rosaceae.org/Prunus/Prunus_persica/p.persica_gdr_reftransV1_0041107","p.persica_gdr_reftransV1_0041107")</f>
        <v>p.persica_gdr_reftransV1_0041107</v>
      </c>
      <c r="B4130" s="2">
        <v>2877</v>
      </c>
      <c r="C4130" s="4" t="str">
        <f>HYPERLINK("http://www.uniprot.org/uniprot/M5XRB7","M5XRB7")</f>
        <v>M5XRB7</v>
      </c>
      <c r="D4130" s="2" t="s">
        <v>129</v>
      </c>
      <c r="E4130" s="3">
        <v>0</v>
      </c>
      <c r="F4130" s="2">
        <v>2101</v>
      </c>
      <c r="G4130" s="2">
        <v>100</v>
      </c>
      <c r="H4130" s="2">
        <v>384</v>
      </c>
      <c r="I4130" s="2">
        <v>1715</v>
      </c>
      <c r="J4130" s="2">
        <v>2866</v>
      </c>
      <c r="K4130" s="2">
        <v>1</v>
      </c>
      <c r="L4130" s="2">
        <v>384</v>
      </c>
    </row>
    <row r="4131" spans="1:12" x14ac:dyDescent="0.25">
      <c r="A4131" s="4" t="str">
        <f>HYPERLINK("http://www.rosaceae.org/Prunus/Prunus_persica/p.persica_gdr_reftransV1_0042507","p.persica_gdr_reftransV1_0042507")</f>
        <v>p.persica_gdr_reftransV1_0042507</v>
      </c>
      <c r="B4131" s="2">
        <v>1810</v>
      </c>
      <c r="C4131" s="4" t="str">
        <f>HYPERLINK("http://www.uniprot.org/uniprot/A0A067KV53","A0A067KV53")</f>
        <v>A0A067KV53</v>
      </c>
      <c r="D4131" s="2" t="s">
        <v>3870</v>
      </c>
      <c r="E4131" s="3">
        <v>4.2100000000000002E-162</v>
      </c>
      <c r="F4131" s="2">
        <v>692</v>
      </c>
      <c r="G4131" s="2">
        <v>82</v>
      </c>
      <c r="H4131" s="2">
        <v>150</v>
      </c>
      <c r="I4131" s="2">
        <v>502</v>
      </c>
      <c r="J4131" s="2">
        <v>951</v>
      </c>
      <c r="K4131" s="2">
        <v>156</v>
      </c>
      <c r="L4131" s="2">
        <v>305</v>
      </c>
    </row>
    <row r="4132" spans="1:12" x14ac:dyDescent="0.25">
      <c r="A4132" s="4" t="str">
        <f>HYPERLINK("http://www.rosaceae.org/Prunus/Prunus_persica/p.persica_gdr_reftransV1_0043207","p.persica_gdr_reftransV1_0043207")</f>
        <v>p.persica_gdr_reftransV1_0043207</v>
      </c>
      <c r="B4132" s="2">
        <v>770</v>
      </c>
      <c r="C4132" s="4" t="str">
        <f>HYPERLINK("http://www.uniprot.org/uniprot/M5VNC4","M5VNC4")</f>
        <v>M5VNC4</v>
      </c>
      <c r="D4132" s="2" t="s">
        <v>3871</v>
      </c>
      <c r="E4132" s="3">
        <v>0</v>
      </c>
      <c r="F4132" s="2">
        <v>1361</v>
      </c>
      <c r="G4132" s="2">
        <v>100</v>
      </c>
      <c r="H4132" s="2">
        <v>256</v>
      </c>
      <c r="I4132" s="2">
        <v>3</v>
      </c>
      <c r="J4132" s="2">
        <v>770</v>
      </c>
      <c r="K4132" s="2">
        <v>66</v>
      </c>
      <c r="L4132" s="2">
        <v>321</v>
      </c>
    </row>
    <row r="4133" spans="1:12" x14ac:dyDescent="0.25">
      <c r="A4133" s="4" t="str">
        <f>HYPERLINK("http://www.rosaceae.org/Prunus/Prunus_persica/p.persica_gdr_reftransV1_0043557","p.persica_gdr_reftransV1_0043557")</f>
        <v>p.persica_gdr_reftransV1_0043557</v>
      </c>
      <c r="B4133" s="2">
        <v>510</v>
      </c>
      <c r="C4133" s="4" t="str">
        <f>HYPERLINK("http://www.uniprot.org/uniprot/M5XQ04","M5XQ04")</f>
        <v>M5XQ04</v>
      </c>
      <c r="D4133" s="2" t="s">
        <v>3872</v>
      </c>
      <c r="E4133" s="3">
        <v>4.5399999999999998E-78</v>
      </c>
      <c r="F4133" s="2">
        <v>654</v>
      </c>
      <c r="G4133" s="2">
        <v>100</v>
      </c>
      <c r="H4133" s="2">
        <v>139</v>
      </c>
      <c r="I4133" s="2">
        <v>3</v>
      </c>
      <c r="J4133" s="2">
        <v>419</v>
      </c>
      <c r="K4133" s="2">
        <v>1</v>
      </c>
      <c r="L4133" s="2">
        <v>139</v>
      </c>
    </row>
    <row r="4134" spans="1:12" x14ac:dyDescent="0.25">
      <c r="A4134" s="4" t="str">
        <f>HYPERLINK("http://www.rosaceae.org/Prunus/Prunus_persica/p.persica_gdr_reftransV1_0043907","p.persica_gdr_reftransV1_0043907")</f>
        <v>p.persica_gdr_reftransV1_0043907</v>
      </c>
      <c r="B4134" s="2">
        <v>2821</v>
      </c>
      <c r="C4134" s="4" t="str">
        <f>HYPERLINK("http://www.uniprot.org/uniprot/A5B902","A5B902")</f>
        <v>A5B902</v>
      </c>
      <c r="D4134" s="2" t="s">
        <v>3873</v>
      </c>
      <c r="E4134" s="3">
        <v>0</v>
      </c>
      <c r="F4134" s="2">
        <v>2822</v>
      </c>
      <c r="G4134" s="2">
        <v>63</v>
      </c>
      <c r="H4134" s="2">
        <v>858</v>
      </c>
      <c r="I4134" s="2">
        <v>1</v>
      </c>
      <c r="J4134" s="2">
        <v>2574</v>
      </c>
      <c r="K4134" s="2">
        <v>453</v>
      </c>
      <c r="L4134" s="2">
        <v>1280</v>
      </c>
    </row>
    <row r="4135" spans="1:12" x14ac:dyDescent="0.25">
      <c r="A4135" s="4" t="str">
        <f>HYPERLINK("http://www.rosaceae.org/Prunus/Prunus_persica/p.persica_gdr_reftransV1_0044257","p.persica_gdr_reftransV1_0044257")</f>
        <v>p.persica_gdr_reftransV1_0044257</v>
      </c>
      <c r="B4135" s="2">
        <v>2639</v>
      </c>
      <c r="C4135" s="4" t="str">
        <f>HYPERLINK("http://www.uniprot.org/uniprot/M5W3V1","M5W3V1")</f>
        <v>M5W3V1</v>
      </c>
      <c r="D4135" s="2" t="s">
        <v>3874</v>
      </c>
      <c r="E4135" s="3">
        <v>0</v>
      </c>
      <c r="F4135" s="2">
        <v>3278</v>
      </c>
      <c r="G4135" s="2">
        <v>100</v>
      </c>
      <c r="H4135" s="2">
        <v>625</v>
      </c>
      <c r="I4135" s="2">
        <v>492</v>
      </c>
      <c r="J4135" s="2">
        <v>2366</v>
      </c>
      <c r="K4135" s="2">
        <v>1</v>
      </c>
      <c r="L4135" s="2">
        <v>625</v>
      </c>
    </row>
    <row r="4136" spans="1:12" x14ac:dyDescent="0.25">
      <c r="A4136" s="4" t="str">
        <f>HYPERLINK("http://www.rosaceae.org/Prunus/Prunus_persica/p.persica_gdr_reftransV1_0044607","p.persica_gdr_reftransV1_0044607")</f>
        <v>p.persica_gdr_reftransV1_0044607</v>
      </c>
      <c r="B4136" s="2">
        <v>422</v>
      </c>
      <c r="C4136" s="4" t="str">
        <f>HYPERLINK("http://www.uniprot.org/uniprot/M5WKQ6","M5WKQ6")</f>
        <v>M5WKQ6</v>
      </c>
      <c r="D4136" s="2" t="s">
        <v>3875</v>
      </c>
      <c r="E4136" s="3">
        <v>8.4900000000000007E-40</v>
      </c>
      <c r="F4136" s="2">
        <v>361</v>
      </c>
      <c r="G4136" s="2">
        <v>66</v>
      </c>
      <c r="H4136" s="2">
        <v>119</v>
      </c>
      <c r="I4136" s="2">
        <v>66</v>
      </c>
      <c r="J4136" s="2">
        <v>422</v>
      </c>
      <c r="K4136" s="2">
        <v>1</v>
      </c>
      <c r="L4136" s="2">
        <v>80</v>
      </c>
    </row>
    <row r="4137" spans="1:12" x14ac:dyDescent="0.25">
      <c r="A4137" s="4" t="str">
        <f>HYPERLINK("http://www.rosaceae.org/Prunus/Prunus_persica/p.persica_gdr_reftransV1_0044957","p.persica_gdr_reftransV1_0044957")</f>
        <v>p.persica_gdr_reftransV1_0044957</v>
      </c>
      <c r="B4137" s="2">
        <v>2584</v>
      </c>
      <c r="C4137" s="4" t="str">
        <f>HYPERLINK("http://www.uniprot.org/uniprot/M5XZM7","M5XZM7")</f>
        <v>M5XZM7</v>
      </c>
      <c r="D4137" s="2" t="s">
        <v>3876</v>
      </c>
      <c r="E4137" s="3">
        <v>1.7500000000000001E-87</v>
      </c>
      <c r="F4137" s="2">
        <v>734</v>
      </c>
      <c r="G4137" s="2">
        <v>100</v>
      </c>
      <c r="H4137" s="2">
        <v>177</v>
      </c>
      <c r="I4137" s="2">
        <v>539</v>
      </c>
      <c r="J4137" s="2">
        <v>1069</v>
      </c>
      <c r="K4137" s="2">
        <v>1</v>
      </c>
      <c r="L4137" s="2">
        <v>177</v>
      </c>
    </row>
    <row r="4138" spans="1:12" x14ac:dyDescent="0.25">
      <c r="A4138" s="4" t="str">
        <f>HYPERLINK("http://www.rosaceae.org/Prunus/Prunus_persica/p.persica_gdr_reftransV1_0045307","p.persica_gdr_reftransV1_0045307")</f>
        <v>p.persica_gdr_reftransV1_0045307</v>
      </c>
      <c r="B4138" s="2">
        <v>2389</v>
      </c>
      <c r="C4138" s="4" t="str">
        <f>HYPERLINK("http://www.uniprot.org/uniprot/M5WUT4","M5WUT4")</f>
        <v>M5WUT4</v>
      </c>
      <c r="D4138" s="2" t="s">
        <v>3877</v>
      </c>
      <c r="E4138" s="3">
        <v>0</v>
      </c>
      <c r="F4138" s="2">
        <v>1992</v>
      </c>
      <c r="G4138" s="2">
        <v>89</v>
      </c>
      <c r="H4138" s="2">
        <v>442</v>
      </c>
      <c r="I4138" s="2">
        <v>779</v>
      </c>
      <c r="J4138" s="2">
        <v>2104</v>
      </c>
      <c r="K4138" s="2">
        <v>6</v>
      </c>
      <c r="L4138" s="2">
        <v>397</v>
      </c>
    </row>
    <row r="4139" spans="1:12" x14ac:dyDescent="0.25">
      <c r="A4139" s="4" t="str">
        <f>HYPERLINK("http://www.rosaceae.org/Prunus/Prunus_persica/p.persica_gdr_reftransV1_0045657","p.persica_gdr_reftransV1_0045657")</f>
        <v>p.persica_gdr_reftransV1_0045657</v>
      </c>
      <c r="B4139" s="2">
        <v>1499</v>
      </c>
      <c r="C4139" s="4" t="str">
        <f>HYPERLINK("http://www.uniprot.org/uniprot/M5XPG3","M5XPG3")</f>
        <v>M5XPG3</v>
      </c>
      <c r="D4139" s="2" t="s">
        <v>3878</v>
      </c>
      <c r="E4139" s="3">
        <v>0</v>
      </c>
      <c r="F4139" s="2">
        <v>1763</v>
      </c>
      <c r="G4139" s="2">
        <v>99</v>
      </c>
      <c r="H4139" s="2">
        <v>354</v>
      </c>
      <c r="I4139" s="2">
        <v>309</v>
      </c>
      <c r="J4139" s="2">
        <v>1370</v>
      </c>
      <c r="K4139" s="2">
        <v>1</v>
      </c>
      <c r="L4139" s="2">
        <v>354</v>
      </c>
    </row>
    <row r="4140" spans="1:12" x14ac:dyDescent="0.25">
      <c r="A4140" s="4" t="str">
        <f>HYPERLINK("http://www.rosaceae.org/Prunus/Prunus_persica/p.persica_gdr_reftransV1_0046357","p.persica_gdr_reftransV1_0046357")</f>
        <v>p.persica_gdr_reftransV1_0046357</v>
      </c>
      <c r="B4140" s="2">
        <v>1758</v>
      </c>
      <c r="C4140" s="4" t="str">
        <f>HYPERLINK("http://www.uniprot.org/uniprot/M5WYQ5","M5WYQ5")</f>
        <v>M5WYQ5</v>
      </c>
      <c r="D4140" s="2" t="s">
        <v>1593</v>
      </c>
      <c r="E4140" s="3">
        <v>0</v>
      </c>
      <c r="F4140" s="2">
        <v>1673</v>
      </c>
      <c r="G4140" s="2">
        <v>100</v>
      </c>
      <c r="H4140" s="2">
        <v>396</v>
      </c>
      <c r="I4140" s="2">
        <v>390</v>
      </c>
      <c r="J4140" s="2">
        <v>1577</v>
      </c>
      <c r="K4140" s="2">
        <v>1</v>
      </c>
      <c r="L4140" s="2">
        <v>396</v>
      </c>
    </row>
    <row r="4141" spans="1:12" x14ac:dyDescent="0.25">
      <c r="A4141" s="4" t="str">
        <f>HYPERLINK("http://www.rosaceae.org/Prunus/Prunus_persica/p.persica_gdr_reftransV1_0047407","p.persica_gdr_reftransV1_0047407")</f>
        <v>p.persica_gdr_reftransV1_0047407</v>
      </c>
      <c r="B4141" s="2">
        <v>2951</v>
      </c>
      <c r="C4141" s="4" t="str">
        <f>HYPERLINK("http://www.uniprot.org/uniprot/A0A076FIU4","A0A076FIU4")</f>
        <v>A0A076FIU4</v>
      </c>
      <c r="D4141" s="2" t="s">
        <v>3879</v>
      </c>
      <c r="E4141" s="3">
        <v>0</v>
      </c>
      <c r="F4141" s="2">
        <v>2289</v>
      </c>
      <c r="G4141" s="2">
        <v>99</v>
      </c>
      <c r="H4141" s="2">
        <v>486</v>
      </c>
      <c r="I4141" s="2">
        <v>144</v>
      </c>
      <c r="J4141" s="2">
        <v>1601</v>
      </c>
      <c r="K4141" s="2">
        <v>1</v>
      </c>
      <c r="L4141" s="2">
        <v>486</v>
      </c>
    </row>
    <row r="4142" spans="1:12" x14ac:dyDescent="0.25">
      <c r="A4142" s="4" t="str">
        <f>HYPERLINK("http://www.rosaceae.org/Prunus/Prunus_persica/p.persica_gdr_reftransV1_0047757","p.persica_gdr_reftransV1_0047757")</f>
        <v>p.persica_gdr_reftransV1_0047757</v>
      </c>
      <c r="B4142" s="2">
        <v>5325</v>
      </c>
      <c r="C4142" s="4" t="str">
        <f>HYPERLINK("http://www.uniprot.org/uniprot/M5WRY0","M5WRY0")</f>
        <v>M5WRY0</v>
      </c>
      <c r="D4142" s="2" t="s">
        <v>969</v>
      </c>
      <c r="E4142" s="3">
        <v>0</v>
      </c>
      <c r="F4142" s="2">
        <v>3671</v>
      </c>
      <c r="G4142" s="2">
        <v>100</v>
      </c>
      <c r="H4142" s="2">
        <v>694</v>
      </c>
      <c r="I4142" s="2">
        <v>1241</v>
      </c>
      <c r="J4142" s="2">
        <v>3322</v>
      </c>
      <c r="K4142" s="2">
        <v>510</v>
      </c>
      <c r="L4142" s="2">
        <v>1203</v>
      </c>
    </row>
    <row r="4143" spans="1:12" x14ac:dyDescent="0.25">
      <c r="A4143" s="4" t="str">
        <f>HYPERLINK("http://www.rosaceae.org/Prunus/Prunus_persica/p.persica_gdr_reftransV1_0048107","p.persica_gdr_reftransV1_0048107")</f>
        <v>p.persica_gdr_reftransV1_0048107</v>
      </c>
      <c r="B4143" s="2">
        <v>447</v>
      </c>
      <c r="C4143" s="4" t="str">
        <f>HYPERLINK("http://www.uniprot.org/uniprot/M5WW53","M5WW53")</f>
        <v>M5WW53</v>
      </c>
      <c r="D4143" s="2" t="s">
        <v>3880</v>
      </c>
      <c r="E4143" s="3">
        <v>2.1400000000000001E-35</v>
      </c>
      <c r="F4143" s="2">
        <v>323</v>
      </c>
      <c r="G4143" s="2">
        <v>91</v>
      </c>
      <c r="H4143" s="2">
        <v>68</v>
      </c>
      <c r="I4143" s="2">
        <v>83</v>
      </c>
      <c r="J4143" s="2">
        <v>286</v>
      </c>
      <c r="K4143" s="2">
        <v>18</v>
      </c>
      <c r="L4143" s="2">
        <v>85</v>
      </c>
    </row>
    <row r="4144" spans="1:12" x14ac:dyDescent="0.25">
      <c r="A4144" s="4" t="str">
        <f>HYPERLINK("http://www.rosaceae.org/Prunus/Prunus_persica/p.persica_gdr_reftransV1_0048457","p.persica_gdr_reftransV1_0048457")</f>
        <v>p.persica_gdr_reftransV1_0048457</v>
      </c>
      <c r="B4144" s="2">
        <v>393</v>
      </c>
      <c r="C4144" s="4" t="str">
        <f>HYPERLINK("http://www.uniprot.org/uniprot/M5XAN8","M5XAN8")</f>
        <v>M5XAN8</v>
      </c>
      <c r="D4144" s="2" t="s">
        <v>3881</v>
      </c>
      <c r="E4144" s="3">
        <v>2.1E-85</v>
      </c>
      <c r="F4144" s="2">
        <v>701</v>
      </c>
      <c r="G4144" s="2">
        <v>100</v>
      </c>
      <c r="H4144" s="2">
        <v>131</v>
      </c>
      <c r="I4144" s="2">
        <v>1</v>
      </c>
      <c r="J4144" s="2">
        <v>393</v>
      </c>
      <c r="K4144" s="2">
        <v>527</v>
      </c>
      <c r="L4144" s="2">
        <v>657</v>
      </c>
    </row>
    <row r="4145" spans="1:12" x14ac:dyDescent="0.25">
      <c r="A4145" s="4" t="str">
        <f>HYPERLINK("http://www.rosaceae.org/Prunus/Prunus_persica/p.persica_gdr_reftransV1_0048807","p.persica_gdr_reftransV1_0048807")</f>
        <v>p.persica_gdr_reftransV1_0048807</v>
      </c>
      <c r="B4145" s="2">
        <v>3014</v>
      </c>
      <c r="C4145" s="4" t="str">
        <f>HYPERLINK("http://www.uniprot.org/uniprot/M5XCH8","M5XCH8")</f>
        <v>M5XCH8</v>
      </c>
      <c r="D4145" s="2" t="s">
        <v>708</v>
      </c>
      <c r="E4145" s="3">
        <v>0</v>
      </c>
      <c r="F4145" s="2">
        <v>4148</v>
      </c>
      <c r="G4145" s="2">
        <v>100</v>
      </c>
      <c r="H4145" s="2">
        <v>789</v>
      </c>
      <c r="I4145" s="2">
        <v>267</v>
      </c>
      <c r="J4145" s="2">
        <v>2633</v>
      </c>
      <c r="K4145" s="2">
        <v>1</v>
      </c>
      <c r="L4145" s="2">
        <v>789</v>
      </c>
    </row>
    <row r="4146" spans="1:12" x14ac:dyDescent="0.25">
      <c r="A4146" s="4" t="str">
        <f>HYPERLINK("http://www.rosaceae.org/Prunus/Prunus_persica/p.persica_gdr_reftransV1_0049157","p.persica_gdr_reftransV1_0049157")</f>
        <v>p.persica_gdr_reftransV1_0049157</v>
      </c>
      <c r="B4146" s="2">
        <v>1261</v>
      </c>
      <c r="C4146" s="4" t="str">
        <f>HYPERLINK("http://www.uniprot.org/uniprot/M5X8G4","M5X8G4")</f>
        <v>M5X8G4</v>
      </c>
      <c r="D4146" s="2" t="s">
        <v>2044</v>
      </c>
      <c r="E4146" s="3">
        <v>0</v>
      </c>
      <c r="F4146" s="2">
        <v>1858</v>
      </c>
      <c r="G4146" s="2">
        <v>100</v>
      </c>
      <c r="H4146" s="2">
        <v>361</v>
      </c>
      <c r="I4146" s="2">
        <v>178</v>
      </c>
      <c r="J4146" s="2">
        <v>1260</v>
      </c>
      <c r="K4146" s="2">
        <v>227</v>
      </c>
      <c r="L4146" s="2">
        <v>587</v>
      </c>
    </row>
    <row r="4147" spans="1:12" x14ac:dyDescent="0.25">
      <c r="A4147" s="4" t="str">
        <f>HYPERLINK("http://www.rosaceae.org/Prunus/Prunus_persica/p.persica_gdr_reftransV1_0000158","p.persica_gdr_reftransV1_0000158")</f>
        <v>p.persica_gdr_reftransV1_0000158</v>
      </c>
      <c r="B4147" s="2">
        <v>365</v>
      </c>
      <c r="C4147" s="4" t="str">
        <f>HYPERLINK("http://www.uniprot.org/uniprot/M5WHP4","M5WHP4")</f>
        <v>M5WHP4</v>
      </c>
      <c r="D4147" s="2" t="s">
        <v>3882</v>
      </c>
      <c r="E4147" s="3">
        <v>3.71E-78</v>
      </c>
      <c r="F4147" s="2">
        <v>630</v>
      </c>
      <c r="G4147" s="2">
        <v>100</v>
      </c>
      <c r="H4147" s="2">
        <v>121</v>
      </c>
      <c r="I4147" s="2">
        <v>3</v>
      </c>
      <c r="J4147" s="2">
        <v>365</v>
      </c>
      <c r="K4147" s="2">
        <v>225</v>
      </c>
      <c r="L4147" s="2">
        <v>345</v>
      </c>
    </row>
    <row r="4148" spans="1:12" x14ac:dyDescent="0.25">
      <c r="A4148" s="4" t="str">
        <f>HYPERLINK("http://www.rosaceae.org/Prunus/Prunus_persica/p.persica_gdr_reftransV1_0000508","p.persica_gdr_reftransV1_0000508")</f>
        <v>p.persica_gdr_reftransV1_0000508</v>
      </c>
      <c r="B4148" s="2">
        <v>777</v>
      </c>
      <c r="C4148" s="4" t="str">
        <f>HYPERLINK("http://www.uniprot.org/uniprot/M5WCM3","M5WCM3")</f>
        <v>M5WCM3</v>
      </c>
      <c r="D4148" s="2" t="s">
        <v>3883</v>
      </c>
      <c r="E4148" s="3">
        <v>2.3399999999999999E-56</v>
      </c>
      <c r="F4148" s="2">
        <v>494</v>
      </c>
      <c r="G4148" s="2">
        <v>100</v>
      </c>
      <c r="H4148" s="2">
        <v>94</v>
      </c>
      <c r="I4148" s="2">
        <v>495</v>
      </c>
      <c r="J4148" s="2">
        <v>776</v>
      </c>
      <c r="K4148" s="2">
        <v>1</v>
      </c>
      <c r="L4148" s="2">
        <v>94</v>
      </c>
    </row>
    <row r="4149" spans="1:12" x14ac:dyDescent="0.25">
      <c r="A4149" s="4" t="str">
        <f>HYPERLINK("http://www.rosaceae.org/Prunus/Prunus_persica/p.persica_gdr_reftransV1_0000858","p.persica_gdr_reftransV1_0000858")</f>
        <v>p.persica_gdr_reftransV1_0000858</v>
      </c>
      <c r="B4149" s="2">
        <v>3300</v>
      </c>
      <c r="C4149" s="4" t="str">
        <f>HYPERLINK("http://www.uniprot.org/uniprot/M5WFP0","M5WFP0")</f>
        <v>M5WFP0</v>
      </c>
      <c r="D4149" s="2" t="s">
        <v>3884</v>
      </c>
      <c r="E4149" s="3">
        <v>0</v>
      </c>
      <c r="F4149" s="2">
        <v>3761</v>
      </c>
      <c r="G4149" s="2">
        <v>96</v>
      </c>
      <c r="H4149" s="2">
        <v>804</v>
      </c>
      <c r="I4149" s="2">
        <v>2</v>
      </c>
      <c r="J4149" s="2">
        <v>2413</v>
      </c>
      <c r="K4149" s="2">
        <v>143</v>
      </c>
      <c r="L4149" s="2">
        <v>917</v>
      </c>
    </row>
    <row r="4150" spans="1:12" x14ac:dyDescent="0.25">
      <c r="A4150" s="4" t="str">
        <f>HYPERLINK("http://www.rosaceae.org/Prunus/Prunus_persica/p.persica_gdr_reftransV1_0001208","p.persica_gdr_reftransV1_0001208")</f>
        <v>p.persica_gdr_reftransV1_0001208</v>
      </c>
      <c r="B4150" s="2">
        <v>463</v>
      </c>
      <c r="C4150" s="4" t="str">
        <f>HYPERLINK("http://www.uniprot.org/uniprot/M5XMA1","M5XMA1")</f>
        <v>M5XMA1</v>
      </c>
      <c r="D4150" s="2" t="s">
        <v>3885</v>
      </c>
      <c r="E4150" s="3">
        <v>5.4099999999999997E-37</v>
      </c>
      <c r="F4150" s="2">
        <v>337</v>
      </c>
      <c r="G4150" s="2">
        <v>100</v>
      </c>
      <c r="H4150" s="2">
        <v>120</v>
      </c>
      <c r="I4150" s="2">
        <v>51</v>
      </c>
      <c r="J4150" s="2">
        <v>410</v>
      </c>
      <c r="K4150" s="2">
        <v>1</v>
      </c>
      <c r="L4150" s="2">
        <v>120</v>
      </c>
    </row>
    <row r="4151" spans="1:12" x14ac:dyDescent="0.25">
      <c r="A4151" s="4" t="str">
        <f>HYPERLINK("http://www.rosaceae.org/Prunus/Prunus_persica/p.persica_gdr_reftransV1_0001558","p.persica_gdr_reftransV1_0001558")</f>
        <v>p.persica_gdr_reftransV1_0001558</v>
      </c>
      <c r="B4151" s="2">
        <v>4003</v>
      </c>
      <c r="C4151" s="4" t="str">
        <f>HYPERLINK("http://www.uniprot.org/uniprot/M5X751","M5X751")</f>
        <v>M5X751</v>
      </c>
      <c r="D4151" s="2" t="s">
        <v>3886</v>
      </c>
      <c r="E4151" s="3">
        <v>0</v>
      </c>
      <c r="F4151" s="2">
        <v>2485</v>
      </c>
      <c r="G4151" s="2">
        <v>100</v>
      </c>
      <c r="H4151" s="2">
        <v>511</v>
      </c>
      <c r="I4151" s="2">
        <v>455</v>
      </c>
      <c r="J4151" s="2">
        <v>1987</v>
      </c>
      <c r="K4151" s="2">
        <v>501</v>
      </c>
      <c r="L4151" s="2">
        <v>1011</v>
      </c>
    </row>
    <row r="4152" spans="1:12" x14ac:dyDescent="0.25">
      <c r="A4152" s="4" t="str">
        <f>HYPERLINK("http://www.rosaceae.org/Prunus/Prunus_persica/p.persica_gdr_reftransV1_0001908","p.persica_gdr_reftransV1_0001908")</f>
        <v>p.persica_gdr_reftransV1_0001908</v>
      </c>
      <c r="B4152" s="2">
        <v>2334</v>
      </c>
      <c r="C4152" s="4" t="str">
        <f>HYPERLINK("http://www.uniprot.org/uniprot/M5WS53","M5WS53")</f>
        <v>M5WS53</v>
      </c>
      <c r="D4152" s="2" t="s">
        <v>2527</v>
      </c>
      <c r="E4152" s="3">
        <v>0</v>
      </c>
      <c r="F4152" s="2">
        <v>1660</v>
      </c>
      <c r="G4152" s="2">
        <v>71</v>
      </c>
      <c r="H4152" s="2">
        <v>478</v>
      </c>
      <c r="I4152" s="2">
        <v>32</v>
      </c>
      <c r="J4152" s="2">
        <v>1459</v>
      </c>
      <c r="K4152" s="2">
        <v>4</v>
      </c>
      <c r="L4152" s="2">
        <v>479</v>
      </c>
    </row>
    <row r="4153" spans="1:12" x14ac:dyDescent="0.25">
      <c r="A4153" s="4" t="str">
        <f>HYPERLINK("http://www.rosaceae.org/Prunus/Prunus_persica/p.persica_gdr_reftransV1_0002258","p.persica_gdr_reftransV1_0002258")</f>
        <v>p.persica_gdr_reftransV1_0002258</v>
      </c>
      <c r="B4153" s="2">
        <v>2118</v>
      </c>
      <c r="C4153" s="4" t="str">
        <f>HYPERLINK("http://www.uniprot.org/uniprot/M5XSR5","M5XSR5")</f>
        <v>M5XSR5</v>
      </c>
      <c r="D4153" s="2" t="s">
        <v>3887</v>
      </c>
      <c r="E4153" s="3">
        <v>0</v>
      </c>
      <c r="F4153" s="2">
        <v>2290</v>
      </c>
      <c r="G4153" s="2">
        <v>100</v>
      </c>
      <c r="H4153" s="2">
        <v>494</v>
      </c>
      <c r="I4153" s="2">
        <v>375</v>
      </c>
      <c r="J4153" s="2">
        <v>1856</v>
      </c>
      <c r="K4153" s="2">
        <v>1</v>
      </c>
      <c r="L4153" s="2">
        <v>494</v>
      </c>
    </row>
    <row r="4154" spans="1:12" x14ac:dyDescent="0.25">
      <c r="A4154" s="4" t="str">
        <f>HYPERLINK("http://www.rosaceae.org/Prunus/Prunus_persica/p.persica_gdr_reftransV1_0002958","p.persica_gdr_reftransV1_0002958")</f>
        <v>p.persica_gdr_reftransV1_0002958</v>
      </c>
      <c r="B4154" s="2">
        <v>528</v>
      </c>
      <c r="C4154" s="4" t="str">
        <f>HYPERLINK("http://www.uniprot.org/uniprot/M5VWI1","M5VWI1")</f>
        <v>M5VWI1</v>
      </c>
      <c r="D4154" s="2" t="s">
        <v>3888</v>
      </c>
      <c r="E4154" s="3">
        <v>1.6400000000000001E-107</v>
      </c>
      <c r="F4154" s="2">
        <v>844</v>
      </c>
      <c r="G4154" s="2">
        <v>100</v>
      </c>
      <c r="H4154" s="2">
        <v>175</v>
      </c>
      <c r="I4154" s="2">
        <v>3</v>
      </c>
      <c r="J4154" s="2">
        <v>527</v>
      </c>
      <c r="K4154" s="2">
        <v>275</v>
      </c>
      <c r="L4154" s="2">
        <v>449</v>
      </c>
    </row>
    <row r="4155" spans="1:12" x14ac:dyDescent="0.25">
      <c r="A4155" s="4" t="str">
        <f>HYPERLINK("http://www.rosaceae.org/Prunus/Prunus_persica/p.persica_gdr_reftransV1_0003308","p.persica_gdr_reftransV1_0003308")</f>
        <v>p.persica_gdr_reftransV1_0003308</v>
      </c>
      <c r="B4155" s="2">
        <v>2831</v>
      </c>
      <c r="C4155" s="4" t="str">
        <f>HYPERLINK("http://www.uniprot.org/uniprot/M5VPF9","M5VPF9")</f>
        <v>M5VPF9</v>
      </c>
      <c r="D4155" s="2" t="s">
        <v>3889</v>
      </c>
      <c r="E4155" s="3">
        <v>0</v>
      </c>
      <c r="F4155" s="2">
        <v>3762</v>
      </c>
      <c r="G4155" s="2">
        <v>90</v>
      </c>
      <c r="H4155" s="2">
        <v>792</v>
      </c>
      <c r="I4155" s="2">
        <v>3</v>
      </c>
      <c r="J4155" s="2">
        <v>2378</v>
      </c>
      <c r="K4155" s="2">
        <v>333</v>
      </c>
      <c r="L4155" s="2">
        <v>1053</v>
      </c>
    </row>
    <row r="4156" spans="1:12" x14ac:dyDescent="0.25">
      <c r="A4156" s="4" t="str">
        <f>HYPERLINK("http://www.rosaceae.org/Prunus/Prunus_persica/p.persica_gdr_reftransV1_0003658","p.persica_gdr_reftransV1_0003658")</f>
        <v>p.persica_gdr_reftransV1_0003658</v>
      </c>
      <c r="B4156" s="2">
        <v>695</v>
      </c>
      <c r="C4156" s="4" t="str">
        <f>HYPERLINK("http://www.uniprot.org/uniprot/C6SZ39","C6SZ39")</f>
        <v>C6SZ39</v>
      </c>
      <c r="D4156" s="2" t="s">
        <v>3890</v>
      </c>
      <c r="E4156" s="3">
        <v>6.4199999999999998E-16</v>
      </c>
      <c r="F4156" s="2">
        <v>199</v>
      </c>
      <c r="G4156" s="2">
        <v>59</v>
      </c>
      <c r="H4156" s="2">
        <v>113</v>
      </c>
      <c r="I4156" s="2">
        <v>359</v>
      </c>
      <c r="J4156" s="2">
        <v>694</v>
      </c>
      <c r="K4156" s="2">
        <v>11</v>
      </c>
      <c r="L4156" s="2">
        <v>117</v>
      </c>
    </row>
    <row r="4157" spans="1:12" x14ac:dyDescent="0.25">
      <c r="A4157" s="4" t="str">
        <f>HYPERLINK("http://www.rosaceae.org/Prunus/Prunus_persica/p.persica_gdr_reftransV1_0004708","p.persica_gdr_reftransV1_0004708")</f>
        <v>p.persica_gdr_reftransV1_0004708</v>
      </c>
      <c r="B4157" s="2">
        <v>2337</v>
      </c>
      <c r="C4157" s="4" t="str">
        <f>HYPERLINK("http://www.uniprot.org/uniprot/M5VPN8","M5VPN8")</f>
        <v>M5VPN8</v>
      </c>
      <c r="D4157" s="2" t="s">
        <v>3891</v>
      </c>
      <c r="E4157" s="3">
        <v>0</v>
      </c>
      <c r="F4157" s="2">
        <v>1826</v>
      </c>
      <c r="G4157" s="2">
        <v>100</v>
      </c>
      <c r="H4157" s="2">
        <v>374</v>
      </c>
      <c r="I4157" s="2">
        <v>438</v>
      </c>
      <c r="J4157" s="2">
        <v>1559</v>
      </c>
      <c r="K4157" s="2">
        <v>22</v>
      </c>
      <c r="L4157" s="2">
        <v>395</v>
      </c>
    </row>
    <row r="4158" spans="1:12" x14ac:dyDescent="0.25">
      <c r="A4158" s="4" t="str">
        <f>HYPERLINK("http://www.rosaceae.org/Prunus/Prunus_persica/p.persica_gdr_reftransV1_0005058","p.persica_gdr_reftransV1_0005058")</f>
        <v>p.persica_gdr_reftransV1_0005058</v>
      </c>
      <c r="B4158" s="2">
        <v>2789</v>
      </c>
      <c r="C4158" s="4" t="str">
        <f>HYPERLINK("http://www.uniprot.org/uniprot/M5VWM6","M5VWM6")</f>
        <v>M5VWM6</v>
      </c>
      <c r="D4158" s="2" t="s">
        <v>1918</v>
      </c>
      <c r="E4158" s="3">
        <v>0</v>
      </c>
      <c r="F4158" s="2">
        <v>4066</v>
      </c>
      <c r="G4158" s="2">
        <v>100</v>
      </c>
      <c r="H4158" s="2">
        <v>770</v>
      </c>
      <c r="I4158" s="2">
        <v>228</v>
      </c>
      <c r="J4158" s="2">
        <v>2537</v>
      </c>
      <c r="K4158" s="2">
        <v>4</v>
      </c>
      <c r="L4158" s="2">
        <v>773</v>
      </c>
    </row>
    <row r="4159" spans="1:12" x14ac:dyDescent="0.25">
      <c r="A4159" s="4" t="str">
        <f>HYPERLINK("http://www.rosaceae.org/Prunus/Prunus_persica/p.persica_gdr_reftransV1_0005408","p.persica_gdr_reftransV1_0005408")</f>
        <v>p.persica_gdr_reftransV1_0005408</v>
      </c>
      <c r="B4159" s="2">
        <v>1206</v>
      </c>
      <c r="C4159" s="4" t="str">
        <f>HYPERLINK("http://www.uniprot.org/uniprot/M5XLR8","M5XLR8")</f>
        <v>M5XLR8</v>
      </c>
      <c r="D4159" s="2" t="s">
        <v>3892</v>
      </c>
      <c r="E4159" s="3">
        <v>0</v>
      </c>
      <c r="F4159" s="2">
        <v>2096</v>
      </c>
      <c r="G4159" s="2">
        <v>97</v>
      </c>
      <c r="H4159" s="2">
        <v>402</v>
      </c>
      <c r="I4159" s="2">
        <v>1</v>
      </c>
      <c r="J4159" s="2">
        <v>1206</v>
      </c>
      <c r="K4159" s="2">
        <v>83</v>
      </c>
      <c r="L4159" s="2">
        <v>484</v>
      </c>
    </row>
    <row r="4160" spans="1:12" x14ac:dyDescent="0.25">
      <c r="A4160" s="4" t="str">
        <f>HYPERLINK("http://www.rosaceae.org/Prunus/Prunus_persica/p.persica_gdr_reftransV1_0005758","p.persica_gdr_reftransV1_0005758")</f>
        <v>p.persica_gdr_reftransV1_0005758</v>
      </c>
      <c r="B4160" s="2">
        <v>1514</v>
      </c>
      <c r="C4160" s="4" t="str">
        <f>HYPERLINK("http://www.uniprot.org/uniprot/M5X0N5","M5X0N5")</f>
        <v>M5X0N5</v>
      </c>
      <c r="D4160" s="2" t="s">
        <v>3893</v>
      </c>
      <c r="E4160" s="3">
        <v>0</v>
      </c>
      <c r="F4160" s="2">
        <v>1909</v>
      </c>
      <c r="G4160" s="2">
        <v>100</v>
      </c>
      <c r="H4160" s="2">
        <v>351</v>
      </c>
      <c r="I4160" s="2">
        <v>3</v>
      </c>
      <c r="J4160" s="2">
        <v>1055</v>
      </c>
      <c r="K4160" s="2">
        <v>114</v>
      </c>
      <c r="L4160" s="2">
        <v>464</v>
      </c>
    </row>
    <row r="4161" spans="1:12" x14ac:dyDescent="0.25">
      <c r="A4161" s="4" t="str">
        <f>HYPERLINK("http://www.rosaceae.org/Prunus/Prunus_persica/p.persica_gdr_reftransV1_0006808","p.persica_gdr_reftransV1_0006808")</f>
        <v>p.persica_gdr_reftransV1_0006808</v>
      </c>
      <c r="B4161" s="2">
        <v>555</v>
      </c>
      <c r="C4161" s="4" t="str">
        <f>HYPERLINK("http://www.uniprot.org/uniprot/M5WM38","M5WM38")</f>
        <v>M5WM38</v>
      </c>
      <c r="D4161" s="2" t="s">
        <v>436</v>
      </c>
      <c r="E4161" s="3">
        <v>1.25E-49</v>
      </c>
      <c r="F4161" s="2">
        <v>457</v>
      </c>
      <c r="G4161" s="2">
        <v>100</v>
      </c>
      <c r="H4161" s="2">
        <v>106</v>
      </c>
      <c r="I4161" s="2">
        <v>238</v>
      </c>
      <c r="J4161" s="2">
        <v>555</v>
      </c>
      <c r="K4161" s="2">
        <v>597</v>
      </c>
      <c r="L4161" s="2">
        <v>702</v>
      </c>
    </row>
    <row r="4162" spans="1:12" x14ac:dyDescent="0.25">
      <c r="A4162" s="4" t="str">
        <f>HYPERLINK("http://www.rosaceae.org/Prunus/Prunus_persica/p.persica_gdr_reftransV1_0007158","p.persica_gdr_reftransV1_0007158")</f>
        <v>p.persica_gdr_reftransV1_0007158</v>
      </c>
      <c r="B4162" s="2">
        <v>1072</v>
      </c>
      <c r="C4162" s="4" t="str">
        <f>HYPERLINK("http://www.uniprot.org/uniprot/M5WW75","M5WW75")</f>
        <v>M5WW75</v>
      </c>
      <c r="D4162" s="2" t="s">
        <v>3894</v>
      </c>
      <c r="E4162" s="3">
        <v>9.7799999999999992E-68</v>
      </c>
      <c r="F4162" s="2">
        <v>487</v>
      </c>
      <c r="G4162" s="2">
        <v>96</v>
      </c>
      <c r="H4162" s="2">
        <v>217</v>
      </c>
      <c r="I4162" s="2">
        <v>251</v>
      </c>
      <c r="J4162" s="2">
        <v>901</v>
      </c>
      <c r="K4162" s="2">
        <v>38</v>
      </c>
      <c r="L4162" s="2">
        <v>250</v>
      </c>
    </row>
    <row r="4163" spans="1:12" x14ac:dyDescent="0.25">
      <c r="A4163" s="4" t="str">
        <f>HYPERLINK("http://www.rosaceae.org/Prunus/Prunus_persica/p.persica_gdr_reftransV1_0007508","p.persica_gdr_reftransV1_0007508")</f>
        <v>p.persica_gdr_reftransV1_0007508</v>
      </c>
      <c r="B4163" s="2">
        <v>894</v>
      </c>
      <c r="C4163" s="4" t="str">
        <f>HYPERLINK("http://www.uniprot.org/uniprot/M5W1C7","M5W1C7")</f>
        <v>M5W1C7</v>
      </c>
      <c r="D4163" s="2" t="s">
        <v>3895</v>
      </c>
      <c r="E4163" s="3">
        <v>1.56E-23</v>
      </c>
      <c r="F4163" s="2">
        <v>261</v>
      </c>
      <c r="G4163" s="2">
        <v>96</v>
      </c>
      <c r="H4163" s="2">
        <v>52</v>
      </c>
      <c r="I4163" s="2">
        <v>737</v>
      </c>
      <c r="J4163" s="2">
        <v>892</v>
      </c>
      <c r="K4163" s="2">
        <v>1</v>
      </c>
      <c r="L4163" s="2">
        <v>52</v>
      </c>
    </row>
    <row r="4164" spans="1:12" x14ac:dyDescent="0.25">
      <c r="A4164" s="4" t="str">
        <f>HYPERLINK("http://www.rosaceae.org/Prunus/Prunus_persica/p.persica_gdr_reftransV1_0008558","p.persica_gdr_reftransV1_0008558")</f>
        <v>p.persica_gdr_reftransV1_0008558</v>
      </c>
      <c r="B4164" s="2">
        <v>1296</v>
      </c>
      <c r="C4164" s="4" t="str">
        <f>HYPERLINK("http://www.uniprot.org/uniprot/M5WP31","M5WP31")</f>
        <v>M5WP31</v>
      </c>
      <c r="D4164" s="2" t="s">
        <v>3896</v>
      </c>
      <c r="E4164" s="3">
        <v>0</v>
      </c>
      <c r="F4164" s="2">
        <v>1420</v>
      </c>
      <c r="G4164" s="2">
        <v>100</v>
      </c>
      <c r="H4164" s="2">
        <v>331</v>
      </c>
      <c r="I4164" s="2">
        <v>223</v>
      </c>
      <c r="J4164" s="2">
        <v>1215</v>
      </c>
      <c r="K4164" s="2">
        <v>46</v>
      </c>
      <c r="L4164" s="2">
        <v>376</v>
      </c>
    </row>
    <row r="4165" spans="1:12" x14ac:dyDescent="0.25">
      <c r="A4165" s="4" t="str">
        <f>HYPERLINK("http://www.rosaceae.org/Prunus/Prunus_persica/p.persica_gdr_reftransV1_0010308","p.persica_gdr_reftransV1_0010308")</f>
        <v>p.persica_gdr_reftransV1_0010308</v>
      </c>
      <c r="B4165" s="2">
        <v>3835</v>
      </c>
      <c r="C4165" s="4" t="str">
        <f>HYPERLINK("http://www.uniprot.org/uniprot/M5XVJ3","M5XVJ3")</f>
        <v>M5XVJ3</v>
      </c>
      <c r="D4165" s="2" t="s">
        <v>3897</v>
      </c>
      <c r="E4165" s="3">
        <v>0</v>
      </c>
      <c r="F4165" s="2">
        <v>3689</v>
      </c>
      <c r="G4165" s="2">
        <v>100</v>
      </c>
      <c r="H4165" s="2">
        <v>714</v>
      </c>
      <c r="I4165" s="2">
        <v>760</v>
      </c>
      <c r="J4165" s="2">
        <v>2901</v>
      </c>
      <c r="K4165" s="2">
        <v>1</v>
      </c>
      <c r="L4165" s="2">
        <v>714</v>
      </c>
    </row>
    <row r="4166" spans="1:12" x14ac:dyDescent="0.25">
      <c r="A4166" s="4" t="str">
        <f>HYPERLINK("http://www.rosaceae.org/Prunus/Prunus_persica/p.persica_gdr_reftransV1_0011008","p.persica_gdr_reftransV1_0011008")</f>
        <v>p.persica_gdr_reftransV1_0011008</v>
      </c>
      <c r="B4166" s="2">
        <v>6955</v>
      </c>
      <c r="C4166" s="4" t="str">
        <f>HYPERLINK("http://www.uniprot.org/uniprot/A0A061EK26","A0A061EK26")</f>
        <v>A0A061EK26</v>
      </c>
      <c r="D4166" s="2" t="s">
        <v>3898</v>
      </c>
      <c r="E4166" s="3">
        <v>0</v>
      </c>
      <c r="F4166" s="2">
        <v>3072</v>
      </c>
      <c r="G4166" s="2">
        <v>66</v>
      </c>
      <c r="H4166" s="2">
        <v>840</v>
      </c>
      <c r="I4166" s="2">
        <v>1477</v>
      </c>
      <c r="J4166" s="2">
        <v>3996</v>
      </c>
      <c r="K4166" s="2">
        <v>4</v>
      </c>
      <c r="L4166" s="2">
        <v>817</v>
      </c>
    </row>
    <row r="4167" spans="1:12" x14ac:dyDescent="0.25">
      <c r="A4167" s="4" t="str">
        <f>HYPERLINK("http://www.rosaceae.org/Prunus/Prunus_persica/p.persica_gdr_reftransV1_0011358","p.persica_gdr_reftransV1_0011358")</f>
        <v>p.persica_gdr_reftransV1_0011358</v>
      </c>
      <c r="B4167" s="2">
        <v>1499</v>
      </c>
      <c r="C4167" s="4" t="str">
        <f>HYPERLINK("http://www.uniprot.org/uniprot/M5W456","M5W456")</f>
        <v>M5W456</v>
      </c>
      <c r="D4167" s="2" t="s">
        <v>3899</v>
      </c>
      <c r="E4167" s="3">
        <v>0</v>
      </c>
      <c r="F4167" s="2">
        <v>1874</v>
      </c>
      <c r="G4167" s="2">
        <v>93</v>
      </c>
      <c r="H4167" s="2">
        <v>413</v>
      </c>
      <c r="I4167" s="2">
        <v>48</v>
      </c>
      <c r="J4167" s="2">
        <v>1286</v>
      </c>
      <c r="K4167" s="2">
        <v>51</v>
      </c>
      <c r="L4167" s="2">
        <v>434</v>
      </c>
    </row>
    <row r="4168" spans="1:12" x14ac:dyDescent="0.25">
      <c r="A4168" s="4" t="str">
        <f>HYPERLINK("http://www.rosaceae.org/Prunus/Prunus_persica/p.persica_gdr_reftransV1_0013458","p.persica_gdr_reftransV1_0013458")</f>
        <v>p.persica_gdr_reftransV1_0013458</v>
      </c>
      <c r="B4168" s="2">
        <v>1244</v>
      </c>
      <c r="C4168" s="4" t="str">
        <f>HYPERLINK("http://www.uniprot.org/uniprot/M5XDF4","M5XDF4")</f>
        <v>M5XDF4</v>
      </c>
      <c r="D4168" s="2" t="s">
        <v>3900</v>
      </c>
      <c r="E4168" s="3">
        <v>5.3200000000000004E-165</v>
      </c>
      <c r="F4168" s="2">
        <v>1230</v>
      </c>
      <c r="G4168" s="2">
        <v>100</v>
      </c>
      <c r="H4168" s="2">
        <v>315</v>
      </c>
      <c r="I4168" s="2">
        <v>226</v>
      </c>
      <c r="J4168" s="2">
        <v>1170</v>
      </c>
      <c r="K4168" s="2">
        <v>1</v>
      </c>
      <c r="L4168" s="2">
        <v>315</v>
      </c>
    </row>
    <row r="4169" spans="1:12" x14ac:dyDescent="0.25">
      <c r="A4169" s="4" t="str">
        <f>HYPERLINK("http://www.rosaceae.org/Prunus/Prunus_persica/p.persica_gdr_reftransV1_0014158","p.persica_gdr_reftransV1_0014158")</f>
        <v>p.persica_gdr_reftransV1_0014158</v>
      </c>
      <c r="B4169" s="2">
        <v>1012</v>
      </c>
      <c r="C4169" s="4" t="str">
        <f>HYPERLINK("http://www.uniprot.org/uniprot/M5W8N3","M5W8N3")</f>
        <v>M5W8N3</v>
      </c>
      <c r="D4169" s="2" t="s">
        <v>3901</v>
      </c>
      <c r="E4169" s="3">
        <v>0</v>
      </c>
      <c r="F4169" s="2">
        <v>1482</v>
      </c>
      <c r="G4169" s="2">
        <v>100</v>
      </c>
      <c r="H4169" s="2">
        <v>315</v>
      </c>
      <c r="I4169" s="2">
        <v>2</v>
      </c>
      <c r="J4169" s="2">
        <v>946</v>
      </c>
      <c r="K4169" s="2">
        <v>19</v>
      </c>
      <c r="L4169" s="2">
        <v>333</v>
      </c>
    </row>
    <row r="4170" spans="1:12" x14ac:dyDescent="0.25">
      <c r="A4170" s="4" t="str">
        <f>HYPERLINK("http://www.rosaceae.org/Prunus/Prunus_persica/p.persica_gdr_reftransV1_0014508","p.persica_gdr_reftransV1_0014508")</f>
        <v>p.persica_gdr_reftransV1_0014508</v>
      </c>
      <c r="B4170" s="2">
        <v>1913</v>
      </c>
      <c r="C4170" s="4" t="str">
        <f>HYPERLINK("http://www.uniprot.org/uniprot/M5XEP0","M5XEP0")</f>
        <v>M5XEP0</v>
      </c>
      <c r="D4170" s="2" t="s">
        <v>3902</v>
      </c>
      <c r="E4170" s="3">
        <v>0</v>
      </c>
      <c r="F4170" s="2">
        <v>2036</v>
      </c>
      <c r="G4170" s="2">
        <v>100</v>
      </c>
      <c r="H4170" s="2">
        <v>382</v>
      </c>
      <c r="I4170" s="2">
        <v>98</v>
      </c>
      <c r="J4170" s="2">
        <v>1243</v>
      </c>
      <c r="K4170" s="2">
        <v>1</v>
      </c>
      <c r="L4170" s="2">
        <v>382</v>
      </c>
    </row>
    <row r="4171" spans="1:12" x14ac:dyDescent="0.25">
      <c r="A4171" s="4" t="str">
        <f>HYPERLINK("http://www.rosaceae.org/Prunus/Prunus_persica/p.persica_gdr_reftransV1_0015208","p.persica_gdr_reftransV1_0015208")</f>
        <v>p.persica_gdr_reftransV1_0015208</v>
      </c>
      <c r="B4171" s="2">
        <v>2652</v>
      </c>
      <c r="C4171" s="4" t="str">
        <f>HYPERLINK("http://www.uniprot.org/uniprot/M5WT17","M5WT17")</f>
        <v>M5WT17</v>
      </c>
      <c r="D4171" s="2" t="s">
        <v>3903</v>
      </c>
      <c r="E4171" s="3">
        <v>0</v>
      </c>
      <c r="F4171" s="2">
        <v>2602</v>
      </c>
      <c r="G4171" s="2">
        <v>100</v>
      </c>
      <c r="H4171" s="2">
        <v>540</v>
      </c>
      <c r="I4171" s="2">
        <v>747</v>
      </c>
      <c r="J4171" s="2">
        <v>2366</v>
      </c>
      <c r="K4171" s="2">
        <v>1</v>
      </c>
      <c r="L4171" s="2">
        <v>540</v>
      </c>
    </row>
    <row r="4172" spans="1:12" x14ac:dyDescent="0.25">
      <c r="A4172" s="4" t="str">
        <f>HYPERLINK("http://www.rosaceae.org/Prunus/Prunus_persica/p.persica_gdr_reftransV1_0019058","p.persica_gdr_reftransV1_0019058")</f>
        <v>p.persica_gdr_reftransV1_0019058</v>
      </c>
      <c r="B4172" s="2">
        <v>1111</v>
      </c>
      <c r="C4172" s="4" t="str">
        <f>HYPERLINK("http://www.uniprot.org/uniprot/M5WJ14","M5WJ14")</f>
        <v>M5WJ14</v>
      </c>
      <c r="D4172" s="2" t="s">
        <v>3904</v>
      </c>
      <c r="E4172" s="3">
        <v>2.3999999999999998E-127</v>
      </c>
      <c r="F4172" s="2">
        <v>976</v>
      </c>
      <c r="G4172" s="2">
        <v>100</v>
      </c>
      <c r="H4172" s="2">
        <v>211</v>
      </c>
      <c r="I4172" s="2">
        <v>479</v>
      </c>
      <c r="J4172" s="2">
        <v>1111</v>
      </c>
      <c r="K4172" s="2">
        <v>102</v>
      </c>
      <c r="L4172" s="2">
        <v>312</v>
      </c>
    </row>
    <row r="4173" spans="1:12" x14ac:dyDescent="0.25">
      <c r="A4173" s="4" t="str">
        <f>HYPERLINK("http://www.rosaceae.org/Prunus/Prunus_persica/p.persica_gdr_reftransV1_0019758","p.persica_gdr_reftransV1_0019758")</f>
        <v>p.persica_gdr_reftransV1_0019758</v>
      </c>
      <c r="B4173" s="2">
        <v>2439</v>
      </c>
      <c r="C4173" s="4" t="str">
        <f>HYPERLINK("http://www.uniprot.org/uniprot/M5VYC9","M5VYC9")</f>
        <v>M5VYC9</v>
      </c>
      <c r="D4173" s="2" t="s">
        <v>3905</v>
      </c>
      <c r="E4173" s="3">
        <v>0</v>
      </c>
      <c r="F4173" s="2">
        <v>2084</v>
      </c>
      <c r="G4173" s="2">
        <v>100</v>
      </c>
      <c r="H4173" s="2">
        <v>425</v>
      </c>
      <c r="I4173" s="2">
        <v>75</v>
      </c>
      <c r="J4173" s="2">
        <v>1349</v>
      </c>
      <c r="K4173" s="2">
        <v>1</v>
      </c>
      <c r="L4173" s="2">
        <v>425</v>
      </c>
    </row>
    <row r="4174" spans="1:12" x14ac:dyDescent="0.25">
      <c r="A4174" s="4" t="str">
        <f>HYPERLINK("http://www.rosaceae.org/Prunus/Prunus_persica/p.persica_gdr_reftransV1_0020458","p.persica_gdr_reftransV1_0020458")</f>
        <v>p.persica_gdr_reftransV1_0020458</v>
      </c>
      <c r="B4174" s="2">
        <v>2619</v>
      </c>
      <c r="C4174" s="4" t="str">
        <f>HYPERLINK("http://www.uniprot.org/uniprot/M5WRQ6","M5WRQ6")</f>
        <v>M5WRQ6</v>
      </c>
      <c r="D4174" s="2" t="s">
        <v>3906</v>
      </c>
      <c r="E4174" s="3">
        <v>0</v>
      </c>
      <c r="F4174" s="2">
        <v>3024</v>
      </c>
      <c r="G4174" s="2">
        <v>100</v>
      </c>
      <c r="H4174" s="2">
        <v>596</v>
      </c>
      <c r="I4174" s="2">
        <v>430</v>
      </c>
      <c r="J4174" s="2">
        <v>2217</v>
      </c>
      <c r="K4174" s="2">
        <v>1</v>
      </c>
      <c r="L4174" s="2">
        <v>596</v>
      </c>
    </row>
    <row r="4175" spans="1:12" x14ac:dyDescent="0.25">
      <c r="A4175" s="4" t="str">
        <f>HYPERLINK("http://www.rosaceae.org/Prunus/Prunus_persica/p.persica_gdr_reftransV1_0021158","p.persica_gdr_reftransV1_0021158")</f>
        <v>p.persica_gdr_reftransV1_0021158</v>
      </c>
      <c r="B4175" s="2">
        <v>926</v>
      </c>
      <c r="C4175" s="4" t="str">
        <f>HYPERLINK("http://www.uniprot.org/uniprot/M5W5F8","M5W5F8")</f>
        <v>M5W5F8</v>
      </c>
      <c r="D4175" s="2" t="s">
        <v>3907</v>
      </c>
      <c r="E4175" s="3">
        <v>1.8600000000000001E-32</v>
      </c>
      <c r="F4175" s="2">
        <v>315</v>
      </c>
      <c r="G4175" s="2">
        <v>100</v>
      </c>
      <c r="H4175" s="2">
        <v>75</v>
      </c>
      <c r="I4175" s="2">
        <v>542</v>
      </c>
      <c r="J4175" s="2">
        <v>766</v>
      </c>
      <c r="K4175" s="2">
        <v>1</v>
      </c>
      <c r="L4175" s="2">
        <v>75</v>
      </c>
    </row>
    <row r="4176" spans="1:12" x14ac:dyDescent="0.25">
      <c r="A4176" s="4" t="str">
        <f>HYPERLINK("http://www.rosaceae.org/Prunus/Prunus_persica/p.persica_gdr_reftransV1_0021858","p.persica_gdr_reftransV1_0021858")</f>
        <v>p.persica_gdr_reftransV1_0021858</v>
      </c>
      <c r="B4176" s="2">
        <v>1277</v>
      </c>
      <c r="C4176" s="4" t="str">
        <f>HYPERLINK("http://www.uniprot.org/uniprot/M5XZB1","M5XZB1")</f>
        <v>M5XZB1</v>
      </c>
      <c r="D4176" s="2" t="s">
        <v>3908</v>
      </c>
      <c r="E4176" s="3">
        <v>1.29E-69</v>
      </c>
      <c r="F4176" s="2">
        <v>588</v>
      </c>
      <c r="G4176" s="2">
        <v>100</v>
      </c>
      <c r="H4176" s="2">
        <v>113</v>
      </c>
      <c r="I4176" s="2">
        <v>171</v>
      </c>
      <c r="J4176" s="2">
        <v>509</v>
      </c>
      <c r="K4176" s="2">
        <v>1</v>
      </c>
      <c r="L4176" s="2">
        <v>113</v>
      </c>
    </row>
    <row r="4177" spans="1:12" x14ac:dyDescent="0.25">
      <c r="A4177" s="4" t="str">
        <f>HYPERLINK("http://www.rosaceae.org/Prunus/Prunus_persica/p.persica_gdr_reftransV1_0022208","p.persica_gdr_reftransV1_0022208")</f>
        <v>p.persica_gdr_reftransV1_0022208</v>
      </c>
      <c r="B4177" s="2">
        <v>596</v>
      </c>
      <c r="C4177" s="4" t="str">
        <f>HYPERLINK("http://www.uniprot.org/uniprot/M5W2P5","M5W2P5")</f>
        <v>M5W2P5</v>
      </c>
      <c r="D4177" s="2" t="s">
        <v>3909</v>
      </c>
      <c r="E4177" s="3">
        <v>5.0499999999999999E-92</v>
      </c>
      <c r="F4177" s="2">
        <v>714</v>
      </c>
      <c r="G4177" s="2">
        <v>99</v>
      </c>
      <c r="H4177" s="2">
        <v>142</v>
      </c>
      <c r="I4177" s="2">
        <v>157</v>
      </c>
      <c r="J4177" s="2">
        <v>582</v>
      </c>
      <c r="K4177" s="2">
        <v>1</v>
      </c>
      <c r="L4177" s="2">
        <v>140</v>
      </c>
    </row>
    <row r="4178" spans="1:12" x14ac:dyDescent="0.25">
      <c r="A4178" s="4" t="str">
        <f>HYPERLINK("http://www.rosaceae.org/Prunus/Prunus_persica/p.persica_gdr_reftransV1_0022558","p.persica_gdr_reftransV1_0022558")</f>
        <v>p.persica_gdr_reftransV1_0022558</v>
      </c>
      <c r="B4178" s="2">
        <v>1408</v>
      </c>
      <c r="C4178" s="4" t="str">
        <f>HYPERLINK("http://www.uniprot.org/uniprot/M5VNH7","M5VNH7")</f>
        <v>M5VNH7</v>
      </c>
      <c r="D4178" s="2" t="s">
        <v>3910</v>
      </c>
      <c r="E4178" s="3">
        <v>0</v>
      </c>
      <c r="F4178" s="2">
        <v>1760</v>
      </c>
      <c r="G4178" s="2">
        <v>100</v>
      </c>
      <c r="H4178" s="2">
        <v>328</v>
      </c>
      <c r="I4178" s="2">
        <v>340</v>
      </c>
      <c r="J4178" s="2">
        <v>1323</v>
      </c>
      <c r="K4178" s="2">
        <v>1</v>
      </c>
      <c r="L4178" s="2">
        <v>328</v>
      </c>
    </row>
    <row r="4179" spans="1:12" x14ac:dyDescent="0.25">
      <c r="A4179" s="4" t="str">
        <f>HYPERLINK("http://www.rosaceae.org/Prunus/Prunus_persica/p.persica_gdr_reftransV1_0022908","p.persica_gdr_reftransV1_0022908")</f>
        <v>p.persica_gdr_reftransV1_0022908</v>
      </c>
      <c r="B4179" s="2">
        <v>1745</v>
      </c>
      <c r="C4179" s="4" t="str">
        <f>HYPERLINK("http://www.uniprot.org/uniprot/M5XTB6","M5XTB6")</f>
        <v>M5XTB6</v>
      </c>
      <c r="D4179" s="2" t="s">
        <v>3911</v>
      </c>
      <c r="E4179" s="3">
        <v>0</v>
      </c>
      <c r="F4179" s="2">
        <v>2142</v>
      </c>
      <c r="G4179" s="2">
        <v>96</v>
      </c>
      <c r="H4179" s="2">
        <v>448</v>
      </c>
      <c r="I4179" s="2">
        <v>402</v>
      </c>
      <c r="J4179" s="2">
        <v>1745</v>
      </c>
      <c r="K4179" s="2">
        <v>136</v>
      </c>
      <c r="L4179" s="2">
        <v>563</v>
      </c>
    </row>
    <row r="4180" spans="1:12" x14ac:dyDescent="0.25">
      <c r="A4180" s="4" t="str">
        <f>HYPERLINK("http://www.rosaceae.org/Prunus/Prunus_persica/p.persica_gdr_reftransV1_0023608","p.persica_gdr_reftransV1_0023608")</f>
        <v>p.persica_gdr_reftransV1_0023608</v>
      </c>
      <c r="B4180" s="2">
        <v>2650</v>
      </c>
      <c r="C4180" s="4" t="str">
        <f>HYPERLINK("http://www.uniprot.org/uniprot/M5XM41","M5XM41")</f>
        <v>M5XM41</v>
      </c>
      <c r="D4180" s="2" t="s">
        <v>3912</v>
      </c>
      <c r="E4180" s="3">
        <v>0</v>
      </c>
      <c r="F4180" s="2">
        <v>3919</v>
      </c>
      <c r="G4180" s="2">
        <v>100</v>
      </c>
      <c r="H4180" s="2">
        <v>745</v>
      </c>
      <c r="I4180" s="2">
        <v>1</v>
      </c>
      <c r="J4180" s="2">
        <v>2235</v>
      </c>
      <c r="K4180" s="2">
        <v>29</v>
      </c>
      <c r="L4180" s="2">
        <v>773</v>
      </c>
    </row>
    <row r="4181" spans="1:12" x14ac:dyDescent="0.25">
      <c r="A4181" s="4" t="str">
        <f>HYPERLINK("http://www.rosaceae.org/Prunus/Prunus_persica/p.persica_gdr_reftransV1_0024308","p.persica_gdr_reftransV1_0024308")</f>
        <v>p.persica_gdr_reftransV1_0024308</v>
      </c>
      <c r="B4181" s="2">
        <v>3289</v>
      </c>
      <c r="C4181" s="4" t="str">
        <f>HYPERLINK("http://www.uniprot.org/uniprot/M5WPA1","M5WPA1")</f>
        <v>M5WPA1</v>
      </c>
      <c r="D4181" s="2" t="s">
        <v>3913</v>
      </c>
      <c r="E4181" s="3">
        <v>0</v>
      </c>
      <c r="F4181" s="2">
        <v>3074</v>
      </c>
      <c r="G4181" s="2">
        <v>100</v>
      </c>
      <c r="H4181" s="2">
        <v>579</v>
      </c>
      <c r="I4181" s="2">
        <v>85</v>
      </c>
      <c r="J4181" s="2">
        <v>1821</v>
      </c>
      <c r="K4181" s="2">
        <v>1</v>
      </c>
      <c r="L4181" s="2">
        <v>579</v>
      </c>
    </row>
    <row r="4182" spans="1:12" x14ac:dyDescent="0.25">
      <c r="A4182" s="4" t="str">
        <f>HYPERLINK("http://www.rosaceae.org/Prunus/Prunus_persica/p.persica_gdr_reftransV1_0024658","p.persica_gdr_reftransV1_0024658")</f>
        <v>p.persica_gdr_reftransV1_0024658</v>
      </c>
      <c r="B4182" s="2">
        <v>1748</v>
      </c>
      <c r="C4182" s="4" t="str">
        <f>HYPERLINK("http://www.uniprot.org/uniprot/M5VX01","M5VX01")</f>
        <v>M5VX01</v>
      </c>
      <c r="D4182" s="2" t="s">
        <v>3914</v>
      </c>
      <c r="E4182" s="3">
        <v>5.86E-62</v>
      </c>
      <c r="F4182" s="2">
        <v>542</v>
      </c>
      <c r="G4182" s="2">
        <v>88</v>
      </c>
      <c r="H4182" s="2">
        <v>118</v>
      </c>
      <c r="I4182" s="2">
        <v>1328</v>
      </c>
      <c r="J4182" s="2">
        <v>1681</v>
      </c>
      <c r="K4182" s="2">
        <v>1</v>
      </c>
      <c r="L4182" s="2">
        <v>117</v>
      </c>
    </row>
    <row r="4183" spans="1:12" x14ac:dyDescent="0.25">
      <c r="A4183" s="4" t="str">
        <f>HYPERLINK("http://www.rosaceae.org/Prunus/Prunus_persica/p.persica_gdr_reftransV1_0027458","p.persica_gdr_reftransV1_0027458")</f>
        <v>p.persica_gdr_reftransV1_0027458</v>
      </c>
      <c r="B4183" s="2">
        <v>2077</v>
      </c>
      <c r="C4183" s="4" t="str">
        <f>HYPERLINK("http://www.uniprot.org/uniprot/M5WX42","M5WX42")</f>
        <v>M5WX42</v>
      </c>
      <c r="D4183" s="2" t="s">
        <v>3915</v>
      </c>
      <c r="E4183" s="3">
        <v>0</v>
      </c>
      <c r="F4183" s="2">
        <v>2375</v>
      </c>
      <c r="G4183" s="2">
        <v>98</v>
      </c>
      <c r="H4183" s="2">
        <v>462</v>
      </c>
      <c r="I4183" s="2">
        <v>501</v>
      </c>
      <c r="J4183" s="2">
        <v>1886</v>
      </c>
      <c r="K4183" s="2">
        <v>126</v>
      </c>
      <c r="L4183" s="2">
        <v>587</v>
      </c>
    </row>
    <row r="4184" spans="1:12" x14ac:dyDescent="0.25">
      <c r="A4184" s="4" t="str">
        <f>HYPERLINK("http://www.rosaceae.org/Prunus/Prunus_persica/p.persica_gdr_reftransV1_0027808","p.persica_gdr_reftransV1_0027808")</f>
        <v>p.persica_gdr_reftransV1_0027808</v>
      </c>
      <c r="B4184" s="2">
        <v>1551</v>
      </c>
      <c r="C4184" s="4" t="str">
        <f>HYPERLINK("http://www.uniprot.org/uniprot/M5VQ67","M5VQ67")</f>
        <v>M5VQ67</v>
      </c>
      <c r="D4184" s="2" t="s">
        <v>3916</v>
      </c>
      <c r="E4184" s="3">
        <v>0</v>
      </c>
      <c r="F4184" s="2">
        <v>1691</v>
      </c>
      <c r="G4184" s="2">
        <v>100</v>
      </c>
      <c r="H4184" s="2">
        <v>319</v>
      </c>
      <c r="I4184" s="2">
        <v>174</v>
      </c>
      <c r="J4184" s="2">
        <v>1130</v>
      </c>
      <c r="K4184" s="2">
        <v>1</v>
      </c>
      <c r="L4184" s="2">
        <v>319</v>
      </c>
    </row>
    <row r="4185" spans="1:12" x14ac:dyDescent="0.25">
      <c r="A4185" s="4" t="str">
        <f>HYPERLINK("http://www.rosaceae.org/Prunus/Prunus_persica/p.persica_gdr_reftransV1_0028858","p.persica_gdr_reftransV1_0028858")</f>
        <v>p.persica_gdr_reftransV1_0028858</v>
      </c>
      <c r="B4185" s="2">
        <v>1325</v>
      </c>
      <c r="C4185" s="4" t="str">
        <f>HYPERLINK("http://www.uniprot.org/uniprot/M5W4K0","M5W4K0")</f>
        <v>M5W4K0</v>
      </c>
      <c r="D4185" s="2" t="s">
        <v>1064</v>
      </c>
      <c r="E4185" s="3">
        <v>4.7300000000000004E-171</v>
      </c>
      <c r="F4185" s="2">
        <v>1270</v>
      </c>
      <c r="G4185" s="2">
        <v>100</v>
      </c>
      <c r="H4185" s="2">
        <v>242</v>
      </c>
      <c r="I4185" s="2">
        <v>287</v>
      </c>
      <c r="J4185" s="2">
        <v>1012</v>
      </c>
      <c r="K4185" s="2">
        <v>47</v>
      </c>
      <c r="L4185" s="2">
        <v>288</v>
      </c>
    </row>
    <row r="4186" spans="1:12" x14ac:dyDescent="0.25">
      <c r="A4186" s="4" t="str">
        <f>HYPERLINK("http://www.rosaceae.org/Prunus/Prunus_persica/p.persica_gdr_reftransV1_0029908","p.persica_gdr_reftransV1_0029908")</f>
        <v>p.persica_gdr_reftransV1_0029908</v>
      </c>
      <c r="B4186" s="2">
        <v>1086</v>
      </c>
      <c r="C4186" s="4" t="str">
        <f>HYPERLINK("http://www.uniprot.org/uniprot/M5VYD0","M5VYD0")</f>
        <v>M5VYD0</v>
      </c>
      <c r="D4186" s="2" t="s">
        <v>3917</v>
      </c>
      <c r="E4186" s="3">
        <v>2.48E-135</v>
      </c>
      <c r="F4186" s="2">
        <v>1016</v>
      </c>
      <c r="G4186" s="2">
        <v>100</v>
      </c>
      <c r="H4186" s="2">
        <v>194</v>
      </c>
      <c r="I4186" s="2">
        <v>152</v>
      </c>
      <c r="J4186" s="2">
        <v>733</v>
      </c>
      <c r="K4186" s="2">
        <v>1</v>
      </c>
      <c r="L4186" s="2">
        <v>194</v>
      </c>
    </row>
    <row r="4187" spans="1:12" x14ac:dyDescent="0.25">
      <c r="A4187" s="4" t="str">
        <f>HYPERLINK("http://www.rosaceae.org/Prunus/Prunus_persica/p.persica_gdr_reftransV1_0030608","p.persica_gdr_reftransV1_0030608")</f>
        <v>p.persica_gdr_reftransV1_0030608</v>
      </c>
      <c r="B4187" s="2">
        <v>2421</v>
      </c>
      <c r="C4187" s="4" t="str">
        <f>HYPERLINK("http://www.uniprot.org/uniprot/M5VYI9","M5VYI9")</f>
        <v>M5VYI9</v>
      </c>
      <c r="D4187" s="2" t="s">
        <v>3918</v>
      </c>
      <c r="E4187" s="3">
        <v>1.44E-138</v>
      </c>
      <c r="F4187" s="2">
        <v>775</v>
      </c>
      <c r="G4187" s="2">
        <v>100</v>
      </c>
      <c r="H4187" s="2">
        <v>148</v>
      </c>
      <c r="I4187" s="2">
        <v>524</v>
      </c>
      <c r="J4187" s="2">
        <v>967</v>
      </c>
      <c r="K4187" s="2">
        <v>15</v>
      </c>
      <c r="L4187" s="2">
        <v>162</v>
      </c>
    </row>
    <row r="4188" spans="1:12" x14ac:dyDescent="0.25">
      <c r="A4188" s="4" t="str">
        <f>HYPERLINK("http://www.rosaceae.org/Prunus/Prunus_persica/p.persica_gdr_reftransV1_0032008","p.persica_gdr_reftransV1_0032008")</f>
        <v>p.persica_gdr_reftransV1_0032008</v>
      </c>
      <c r="B4188" s="2">
        <v>907</v>
      </c>
      <c r="C4188" s="4" t="str">
        <f>HYPERLINK("http://www.uniprot.org/uniprot/M5VQ69","M5VQ69")</f>
        <v>M5VQ69</v>
      </c>
      <c r="D4188" s="2" t="s">
        <v>3919</v>
      </c>
      <c r="E4188" s="3">
        <v>9.26E-46</v>
      </c>
      <c r="F4188" s="2">
        <v>407</v>
      </c>
      <c r="G4188" s="2">
        <v>100</v>
      </c>
      <c r="H4188" s="2">
        <v>101</v>
      </c>
      <c r="I4188" s="2">
        <v>147</v>
      </c>
      <c r="J4188" s="2">
        <v>449</v>
      </c>
      <c r="K4188" s="2">
        <v>1</v>
      </c>
      <c r="L4188" s="2">
        <v>101</v>
      </c>
    </row>
    <row r="4189" spans="1:12" x14ac:dyDescent="0.25">
      <c r="A4189" s="4" t="str">
        <f>HYPERLINK("http://www.rosaceae.org/Prunus/Prunus_persica/p.persica_gdr_reftransV1_0032708","p.persica_gdr_reftransV1_0032708")</f>
        <v>p.persica_gdr_reftransV1_0032708</v>
      </c>
      <c r="B4189" s="2">
        <v>3460</v>
      </c>
      <c r="C4189" s="4" t="str">
        <f>HYPERLINK("http://www.uniprot.org/uniprot/M5WE38","M5WE38")</f>
        <v>M5WE38</v>
      </c>
      <c r="D4189" s="2" t="s">
        <v>3920</v>
      </c>
      <c r="E4189" s="3">
        <v>0</v>
      </c>
      <c r="F4189" s="2">
        <v>4620</v>
      </c>
      <c r="G4189" s="2">
        <v>100</v>
      </c>
      <c r="H4189" s="2">
        <v>858</v>
      </c>
      <c r="I4189" s="2">
        <v>493</v>
      </c>
      <c r="J4189" s="2">
        <v>3066</v>
      </c>
      <c r="K4189" s="2">
        <v>1</v>
      </c>
      <c r="L4189" s="2">
        <v>858</v>
      </c>
    </row>
    <row r="4190" spans="1:12" x14ac:dyDescent="0.25">
      <c r="A4190" s="4" t="str">
        <f>HYPERLINK("http://www.rosaceae.org/Prunus/Prunus_persica/p.persica_gdr_reftransV1_0033058","p.persica_gdr_reftransV1_0033058")</f>
        <v>p.persica_gdr_reftransV1_0033058</v>
      </c>
      <c r="B4190" s="2">
        <v>2290</v>
      </c>
      <c r="C4190" s="4" t="str">
        <f>HYPERLINK("http://www.uniprot.org/uniprot/M5WN83","M5WN83")</f>
        <v>M5WN83</v>
      </c>
      <c r="D4190" s="2" t="s">
        <v>3921</v>
      </c>
      <c r="E4190" s="3">
        <v>0</v>
      </c>
      <c r="F4190" s="2">
        <v>1124</v>
      </c>
      <c r="G4190" s="2">
        <v>88</v>
      </c>
      <c r="H4190" s="2">
        <v>277</v>
      </c>
      <c r="I4190" s="2">
        <v>990</v>
      </c>
      <c r="J4190" s="2">
        <v>1820</v>
      </c>
      <c r="K4190" s="2">
        <v>211</v>
      </c>
      <c r="L4190" s="2">
        <v>460</v>
      </c>
    </row>
    <row r="4191" spans="1:12" x14ac:dyDescent="0.25">
      <c r="A4191" s="4" t="str">
        <f>HYPERLINK("http://www.rosaceae.org/Prunus/Prunus_persica/p.persica_gdr_reftransV1_0034108","p.persica_gdr_reftransV1_0034108")</f>
        <v>p.persica_gdr_reftransV1_0034108</v>
      </c>
      <c r="B4191" s="2">
        <v>440</v>
      </c>
      <c r="C4191" s="4" t="str">
        <f>HYPERLINK("http://www.uniprot.org/uniprot/M5Y827","M5Y827")</f>
        <v>M5Y827</v>
      </c>
      <c r="D4191" s="2" t="s">
        <v>3922</v>
      </c>
      <c r="E4191" s="3">
        <v>2.7999999999999999E-31</v>
      </c>
      <c r="F4191" s="2">
        <v>319</v>
      </c>
      <c r="G4191" s="2">
        <v>100</v>
      </c>
      <c r="H4191" s="2">
        <v>61</v>
      </c>
      <c r="I4191" s="2">
        <v>74</v>
      </c>
      <c r="J4191" s="2">
        <v>256</v>
      </c>
      <c r="K4191" s="2">
        <v>349</v>
      </c>
      <c r="L4191" s="2">
        <v>409</v>
      </c>
    </row>
    <row r="4192" spans="1:12" x14ac:dyDescent="0.25">
      <c r="A4192" s="4" t="str">
        <f>HYPERLINK("http://www.rosaceae.org/Prunus/Prunus_persica/p.persica_gdr_reftransV1_0034808","p.persica_gdr_reftransV1_0034808")</f>
        <v>p.persica_gdr_reftransV1_0034808</v>
      </c>
      <c r="B4192" s="2">
        <v>1961</v>
      </c>
      <c r="C4192" s="4" t="str">
        <f>HYPERLINK("http://www.uniprot.org/uniprot/M5XNQ0","M5XNQ0")</f>
        <v>M5XNQ0</v>
      </c>
      <c r="D4192" s="2" t="s">
        <v>1926</v>
      </c>
      <c r="E4192" s="3">
        <v>0</v>
      </c>
      <c r="F4192" s="2">
        <v>1843</v>
      </c>
      <c r="G4192" s="2">
        <v>100</v>
      </c>
      <c r="H4192" s="2">
        <v>344</v>
      </c>
      <c r="I4192" s="2">
        <v>3</v>
      </c>
      <c r="J4192" s="2">
        <v>1034</v>
      </c>
      <c r="K4192" s="2">
        <v>332</v>
      </c>
      <c r="L4192" s="2">
        <v>675</v>
      </c>
    </row>
    <row r="4193" spans="1:12" x14ac:dyDescent="0.25">
      <c r="A4193" s="4" t="str">
        <f>HYPERLINK("http://www.rosaceae.org/Prunus/Prunus_persica/p.persica_gdr_reftransV1_0036558","p.persica_gdr_reftransV1_0036558")</f>
        <v>p.persica_gdr_reftransV1_0036558</v>
      </c>
      <c r="B4193" s="2">
        <v>2530</v>
      </c>
      <c r="C4193" s="4" t="str">
        <f>HYPERLINK("http://www.uniprot.org/uniprot/M5X294","M5X294")</f>
        <v>M5X294</v>
      </c>
      <c r="D4193" s="2" t="s">
        <v>3923</v>
      </c>
      <c r="E4193" s="3">
        <v>8.6700000000000004E-119</v>
      </c>
      <c r="F4193" s="2">
        <v>950</v>
      </c>
      <c r="G4193" s="2">
        <v>99</v>
      </c>
      <c r="H4193" s="2">
        <v>180</v>
      </c>
      <c r="I4193" s="2">
        <v>1429</v>
      </c>
      <c r="J4193" s="2">
        <v>1968</v>
      </c>
      <c r="K4193" s="2">
        <v>33</v>
      </c>
      <c r="L4193" s="2">
        <v>212</v>
      </c>
    </row>
    <row r="4194" spans="1:12" x14ac:dyDescent="0.25">
      <c r="A4194" s="4" t="str">
        <f>HYPERLINK("http://www.rosaceae.org/Prunus/Prunus_persica/p.persica_gdr_reftransV1_0039708","p.persica_gdr_reftransV1_0039708")</f>
        <v>p.persica_gdr_reftransV1_0039708</v>
      </c>
      <c r="B4194" s="2">
        <v>3554</v>
      </c>
      <c r="C4194" s="4" t="str">
        <f>HYPERLINK("http://www.uniprot.org/uniprot/M5WIQ2","M5WIQ2")</f>
        <v>M5WIQ2</v>
      </c>
      <c r="D4194" s="2" t="s">
        <v>3924</v>
      </c>
      <c r="E4194" s="3">
        <v>1.9599999999999999E-39</v>
      </c>
      <c r="F4194" s="2">
        <v>407</v>
      </c>
      <c r="G4194" s="2">
        <v>97</v>
      </c>
      <c r="H4194" s="2">
        <v>78</v>
      </c>
      <c r="I4194" s="2">
        <v>2786</v>
      </c>
      <c r="J4194" s="2">
        <v>3019</v>
      </c>
      <c r="K4194" s="2">
        <v>265</v>
      </c>
      <c r="L4194" s="2">
        <v>342</v>
      </c>
    </row>
    <row r="4195" spans="1:12" x14ac:dyDescent="0.25">
      <c r="A4195" s="4" t="str">
        <f>HYPERLINK("http://www.rosaceae.org/Prunus/Prunus_persica/p.persica_gdr_reftransV1_0040058","p.persica_gdr_reftransV1_0040058")</f>
        <v>p.persica_gdr_reftransV1_0040058</v>
      </c>
      <c r="B4195" s="2">
        <v>1502</v>
      </c>
      <c r="C4195" s="4" t="str">
        <f>HYPERLINK("http://www.uniprot.org/uniprot/A0A0D2R8Q6","A0A0D2R8Q6")</f>
        <v>A0A0D2R8Q6</v>
      </c>
      <c r="D4195" s="2" t="s">
        <v>3925</v>
      </c>
      <c r="E4195" s="3">
        <v>3.2600000000000001E-72</v>
      </c>
      <c r="F4195" s="2">
        <v>603</v>
      </c>
      <c r="G4195" s="2">
        <v>100</v>
      </c>
      <c r="H4195" s="2">
        <v>114</v>
      </c>
      <c r="I4195" s="2">
        <v>1043</v>
      </c>
      <c r="J4195" s="2">
        <v>1384</v>
      </c>
      <c r="K4195" s="2">
        <v>1</v>
      </c>
      <c r="L4195" s="2">
        <v>114</v>
      </c>
    </row>
    <row r="4196" spans="1:12" x14ac:dyDescent="0.25">
      <c r="A4196" s="4" t="str">
        <f>HYPERLINK("http://www.rosaceae.org/Prunus/Prunus_persica/p.persica_gdr_reftransV1_0041108","p.persica_gdr_reftransV1_0041108")</f>
        <v>p.persica_gdr_reftransV1_0041108</v>
      </c>
      <c r="B4196" s="2">
        <v>2266</v>
      </c>
      <c r="C4196" s="4" t="str">
        <f>HYPERLINK("http://www.uniprot.org/uniprot/W9QVW5","W9QVW5")</f>
        <v>W9QVW5</v>
      </c>
      <c r="D4196" s="2" t="s">
        <v>3926</v>
      </c>
      <c r="E4196" s="3">
        <v>0</v>
      </c>
      <c r="F4196" s="2">
        <v>2427</v>
      </c>
      <c r="G4196" s="2">
        <v>89</v>
      </c>
      <c r="H4196" s="2">
        <v>552</v>
      </c>
      <c r="I4196" s="2">
        <v>217</v>
      </c>
      <c r="J4196" s="2">
        <v>1857</v>
      </c>
      <c r="K4196" s="2">
        <v>1</v>
      </c>
      <c r="L4196" s="2">
        <v>550</v>
      </c>
    </row>
    <row r="4197" spans="1:12" x14ac:dyDescent="0.25">
      <c r="A4197" s="4" t="str">
        <f>HYPERLINK("http://www.rosaceae.org/Prunus/Prunus_persica/p.persica_gdr_reftransV1_0042858","p.persica_gdr_reftransV1_0042858")</f>
        <v>p.persica_gdr_reftransV1_0042858</v>
      </c>
      <c r="B4197" s="2">
        <v>1279</v>
      </c>
      <c r="C4197" s="4" t="str">
        <f>HYPERLINK("http://www.uniprot.org/uniprot/A5BLB0","A5BLB0")</f>
        <v>A5BLB0</v>
      </c>
      <c r="D4197" s="2" t="s">
        <v>2204</v>
      </c>
      <c r="E4197" s="3">
        <v>5.1000000000000002E-138</v>
      </c>
      <c r="F4197" s="2">
        <v>825</v>
      </c>
      <c r="G4197" s="2">
        <v>58</v>
      </c>
      <c r="H4197" s="2">
        <v>266</v>
      </c>
      <c r="I4197" s="2">
        <v>446</v>
      </c>
      <c r="J4197" s="2">
        <v>1243</v>
      </c>
      <c r="K4197" s="2">
        <v>1156</v>
      </c>
      <c r="L4197" s="2">
        <v>1420</v>
      </c>
    </row>
    <row r="4198" spans="1:12" x14ac:dyDescent="0.25">
      <c r="A4198" s="4" t="str">
        <f>HYPERLINK("http://www.rosaceae.org/Prunus/Prunus_persica/p.persica_gdr_reftransV1_0043208","p.persica_gdr_reftransV1_0043208")</f>
        <v>p.persica_gdr_reftransV1_0043208</v>
      </c>
      <c r="B4198" s="2">
        <v>641</v>
      </c>
      <c r="C4198" s="4" t="str">
        <f>HYPERLINK("http://www.uniprot.org/uniprot/M5XWL6","M5XWL6")</f>
        <v>M5XWL6</v>
      </c>
      <c r="D4198" s="2" t="s">
        <v>699</v>
      </c>
      <c r="E4198" s="3">
        <v>2.69E-145</v>
      </c>
      <c r="F4198" s="2">
        <v>1130</v>
      </c>
      <c r="G4198" s="2">
        <v>100</v>
      </c>
      <c r="H4198" s="2">
        <v>212</v>
      </c>
      <c r="I4198" s="2">
        <v>3</v>
      </c>
      <c r="J4198" s="2">
        <v>638</v>
      </c>
      <c r="K4198" s="2">
        <v>469</v>
      </c>
      <c r="L4198" s="2">
        <v>680</v>
      </c>
    </row>
    <row r="4199" spans="1:12" x14ac:dyDescent="0.25">
      <c r="A4199" s="4" t="str">
        <f>HYPERLINK("http://www.rosaceae.org/Prunus/Prunus_persica/p.persica_gdr_reftransV1_0043908","p.persica_gdr_reftransV1_0043908")</f>
        <v>p.persica_gdr_reftransV1_0043908</v>
      </c>
      <c r="B4199" s="2">
        <v>794</v>
      </c>
      <c r="C4199" s="4" t="str">
        <f>HYPERLINK("http://www.uniprot.org/uniprot/M5X113","M5X113")</f>
        <v>M5X113</v>
      </c>
      <c r="D4199" s="2" t="s">
        <v>3927</v>
      </c>
      <c r="E4199" s="3">
        <v>1.6E-106</v>
      </c>
      <c r="F4199" s="2">
        <v>812</v>
      </c>
      <c r="G4199" s="2">
        <v>100</v>
      </c>
      <c r="H4199" s="2">
        <v>152</v>
      </c>
      <c r="I4199" s="2">
        <v>309</v>
      </c>
      <c r="J4199" s="2">
        <v>764</v>
      </c>
      <c r="K4199" s="2">
        <v>1</v>
      </c>
      <c r="L4199" s="2">
        <v>152</v>
      </c>
    </row>
    <row r="4200" spans="1:12" x14ac:dyDescent="0.25">
      <c r="A4200" s="4" t="str">
        <f>HYPERLINK("http://www.rosaceae.org/Prunus/Prunus_persica/p.persica_gdr_reftransV1_0044608","p.persica_gdr_reftransV1_0044608")</f>
        <v>p.persica_gdr_reftransV1_0044608</v>
      </c>
      <c r="B4200" s="2">
        <v>404</v>
      </c>
      <c r="C4200" s="4" t="str">
        <f>HYPERLINK("http://www.uniprot.org/uniprot/D7T700","D7T700")</f>
        <v>D7T700</v>
      </c>
      <c r="D4200" s="2" t="s">
        <v>3928</v>
      </c>
      <c r="E4200" s="3">
        <v>4.8300000000000003E-67</v>
      </c>
      <c r="F4200" s="2">
        <v>576</v>
      </c>
      <c r="G4200" s="2">
        <v>76</v>
      </c>
      <c r="H4200" s="2">
        <v>134</v>
      </c>
      <c r="I4200" s="2">
        <v>2</v>
      </c>
      <c r="J4200" s="2">
        <v>403</v>
      </c>
      <c r="K4200" s="2">
        <v>300</v>
      </c>
      <c r="L4200" s="2">
        <v>433</v>
      </c>
    </row>
    <row r="4201" spans="1:12" x14ac:dyDescent="0.25">
      <c r="A4201" s="4" t="str">
        <f>HYPERLINK("http://www.rosaceae.org/Prunus/Prunus_persica/p.persica_gdr_reftransV1_0044958","p.persica_gdr_reftransV1_0044958")</f>
        <v>p.persica_gdr_reftransV1_0044958</v>
      </c>
      <c r="B4201" s="2">
        <v>1660</v>
      </c>
      <c r="C4201" s="4" t="str">
        <f>HYPERLINK("http://www.uniprot.org/uniprot/M5XK82","M5XK82")</f>
        <v>M5XK82</v>
      </c>
      <c r="D4201" s="2" t="s">
        <v>3929</v>
      </c>
      <c r="E4201" s="3">
        <v>1.3799999999999999E-154</v>
      </c>
      <c r="F4201" s="2">
        <v>1174</v>
      </c>
      <c r="G4201" s="2">
        <v>100</v>
      </c>
      <c r="H4201" s="2">
        <v>300</v>
      </c>
      <c r="I4201" s="2">
        <v>607</v>
      </c>
      <c r="J4201" s="2">
        <v>1506</v>
      </c>
      <c r="K4201" s="2">
        <v>1</v>
      </c>
      <c r="L4201" s="2">
        <v>300</v>
      </c>
    </row>
    <row r="4202" spans="1:12" x14ac:dyDescent="0.25">
      <c r="A4202" s="4" t="str">
        <f>HYPERLINK("http://www.rosaceae.org/Prunus/Prunus_persica/p.persica_gdr_reftransV1_0045308","p.persica_gdr_reftransV1_0045308")</f>
        <v>p.persica_gdr_reftransV1_0045308</v>
      </c>
      <c r="B4202" s="2">
        <v>1380</v>
      </c>
      <c r="C4202" s="4" t="str">
        <f>HYPERLINK("http://www.uniprot.org/uniprot/M5WTA2","M5WTA2")</f>
        <v>M5WTA2</v>
      </c>
      <c r="D4202" s="2" t="s">
        <v>3930</v>
      </c>
      <c r="E4202" s="3">
        <v>0</v>
      </c>
      <c r="F4202" s="2">
        <v>1440</v>
      </c>
      <c r="G4202" s="2">
        <v>100</v>
      </c>
      <c r="H4202" s="2">
        <v>307</v>
      </c>
      <c r="I4202" s="2">
        <v>191</v>
      </c>
      <c r="J4202" s="2">
        <v>1111</v>
      </c>
      <c r="K4202" s="2">
        <v>1</v>
      </c>
      <c r="L4202" s="2">
        <v>307</v>
      </c>
    </row>
    <row r="4203" spans="1:12" x14ac:dyDescent="0.25">
      <c r="A4203" s="4" t="str">
        <f>HYPERLINK("http://www.rosaceae.org/Prunus/Prunus_persica/p.persica_gdr_reftransV1_0045658","p.persica_gdr_reftransV1_0045658")</f>
        <v>p.persica_gdr_reftransV1_0045658</v>
      </c>
      <c r="B4203" s="2">
        <v>3453</v>
      </c>
      <c r="C4203" s="4" t="str">
        <f>HYPERLINK("http://www.uniprot.org/uniprot/M5VGU4","M5VGU4")</f>
        <v>M5VGU4</v>
      </c>
      <c r="D4203" s="2" t="s">
        <v>3931</v>
      </c>
      <c r="E4203" s="3">
        <v>0</v>
      </c>
      <c r="F4203" s="2">
        <v>4382</v>
      </c>
      <c r="G4203" s="2">
        <v>98</v>
      </c>
      <c r="H4203" s="2">
        <v>945</v>
      </c>
      <c r="I4203" s="2">
        <v>269</v>
      </c>
      <c r="J4203" s="2">
        <v>3103</v>
      </c>
      <c r="K4203" s="2">
        <v>2</v>
      </c>
      <c r="L4203" s="2">
        <v>934</v>
      </c>
    </row>
    <row r="4204" spans="1:12" x14ac:dyDescent="0.25">
      <c r="A4204" s="4" t="str">
        <f>HYPERLINK("http://www.rosaceae.org/Prunus/Prunus_persica/p.persica_gdr_reftransV1_0046008","p.persica_gdr_reftransV1_0046008")</f>
        <v>p.persica_gdr_reftransV1_0046008</v>
      </c>
      <c r="B4204" s="2">
        <v>753</v>
      </c>
      <c r="C4204" s="4" t="str">
        <f>HYPERLINK("http://www.uniprot.org/uniprot/M5W020","M5W020")</f>
        <v>M5W020</v>
      </c>
      <c r="D4204" s="2" t="s">
        <v>3932</v>
      </c>
      <c r="E4204" s="3">
        <v>7.4599999999999996E-94</v>
      </c>
      <c r="F4204" s="2">
        <v>733</v>
      </c>
      <c r="G4204" s="2">
        <v>100</v>
      </c>
      <c r="H4204" s="2">
        <v>138</v>
      </c>
      <c r="I4204" s="2">
        <v>94</v>
      </c>
      <c r="J4204" s="2">
        <v>507</v>
      </c>
      <c r="K4204" s="2">
        <v>1</v>
      </c>
      <c r="L4204" s="2">
        <v>138</v>
      </c>
    </row>
    <row r="4205" spans="1:12" x14ac:dyDescent="0.25">
      <c r="A4205" s="4" t="str">
        <f>HYPERLINK("http://www.rosaceae.org/Prunus/Prunus_persica/p.persica_gdr_reftransV1_0046358","p.persica_gdr_reftransV1_0046358")</f>
        <v>p.persica_gdr_reftransV1_0046358</v>
      </c>
      <c r="B4205" s="2">
        <v>2504</v>
      </c>
      <c r="C4205" s="4" t="str">
        <f>HYPERLINK("http://www.uniprot.org/uniprot/M5Y3Q2","M5Y3Q2")</f>
        <v>M5Y3Q2</v>
      </c>
      <c r="D4205" s="2" t="s">
        <v>3933</v>
      </c>
      <c r="E4205" s="3">
        <v>0</v>
      </c>
      <c r="F4205" s="2">
        <v>3278</v>
      </c>
      <c r="G4205" s="2">
        <v>100</v>
      </c>
      <c r="H4205" s="2">
        <v>611</v>
      </c>
      <c r="I4205" s="2">
        <v>347</v>
      </c>
      <c r="J4205" s="2">
        <v>2179</v>
      </c>
      <c r="K4205" s="2">
        <v>124</v>
      </c>
      <c r="L4205" s="2">
        <v>734</v>
      </c>
    </row>
    <row r="4206" spans="1:12" x14ac:dyDescent="0.25">
      <c r="A4206" s="4" t="str">
        <f>HYPERLINK("http://www.rosaceae.org/Prunus/Prunus_persica/p.persica_gdr_reftransV1_0046708","p.persica_gdr_reftransV1_0046708")</f>
        <v>p.persica_gdr_reftransV1_0046708</v>
      </c>
      <c r="B4206" s="2">
        <v>1715</v>
      </c>
      <c r="C4206" s="4" t="str">
        <f>HYPERLINK("http://www.uniprot.org/uniprot/M5W7N8","M5W7N8")</f>
        <v>M5W7N8</v>
      </c>
      <c r="D4206" s="2" t="s">
        <v>3934</v>
      </c>
      <c r="E4206" s="3">
        <v>0</v>
      </c>
      <c r="F4206" s="2">
        <v>1473</v>
      </c>
      <c r="G4206" s="2">
        <v>99</v>
      </c>
      <c r="H4206" s="2">
        <v>283</v>
      </c>
      <c r="I4206" s="2">
        <v>240</v>
      </c>
      <c r="J4206" s="2">
        <v>1088</v>
      </c>
      <c r="K4206" s="2">
        <v>195</v>
      </c>
      <c r="L4206" s="2">
        <v>476</v>
      </c>
    </row>
    <row r="4207" spans="1:12" x14ac:dyDescent="0.25">
      <c r="A4207" s="4" t="str">
        <f>HYPERLINK("http://www.rosaceae.org/Prunus/Prunus_persica/p.persica_gdr_reftransV1_0047058","p.persica_gdr_reftransV1_0047058")</f>
        <v>p.persica_gdr_reftransV1_0047058</v>
      </c>
      <c r="B4207" s="2">
        <v>2281</v>
      </c>
      <c r="C4207" s="4" t="str">
        <f>HYPERLINK("http://www.uniprot.org/uniprot/M5VZ43","M5VZ43")</f>
        <v>M5VZ43</v>
      </c>
      <c r="D4207" s="2" t="s">
        <v>3935</v>
      </c>
      <c r="E4207" s="3">
        <v>0</v>
      </c>
      <c r="F4207" s="2">
        <v>2152</v>
      </c>
      <c r="G4207" s="2">
        <v>100</v>
      </c>
      <c r="H4207" s="2">
        <v>403</v>
      </c>
      <c r="I4207" s="2">
        <v>151</v>
      </c>
      <c r="J4207" s="2">
        <v>1359</v>
      </c>
      <c r="K4207" s="2">
        <v>1</v>
      </c>
      <c r="L4207" s="2">
        <v>403</v>
      </c>
    </row>
    <row r="4208" spans="1:12" x14ac:dyDescent="0.25">
      <c r="A4208" s="4" t="str">
        <f>HYPERLINK("http://www.rosaceae.org/Prunus/Prunus_persica/p.persica_gdr_reftransV1_0047408","p.persica_gdr_reftransV1_0047408")</f>
        <v>p.persica_gdr_reftransV1_0047408</v>
      </c>
      <c r="B4208" s="2">
        <v>2796</v>
      </c>
      <c r="C4208" s="4" t="str">
        <f>HYPERLINK("http://www.uniprot.org/uniprot/M5XX06","M5XX06")</f>
        <v>M5XX06</v>
      </c>
      <c r="D4208" s="2" t="s">
        <v>3936</v>
      </c>
      <c r="E4208" s="3">
        <v>0</v>
      </c>
      <c r="F4208" s="2">
        <v>2491</v>
      </c>
      <c r="G4208" s="2">
        <v>77</v>
      </c>
      <c r="H4208" s="2">
        <v>660</v>
      </c>
      <c r="I4208" s="2">
        <v>634</v>
      </c>
      <c r="J4208" s="2">
        <v>2493</v>
      </c>
      <c r="K4208" s="2">
        <v>5</v>
      </c>
      <c r="L4208" s="2">
        <v>648</v>
      </c>
    </row>
    <row r="4209" spans="1:12" x14ac:dyDescent="0.25">
      <c r="A4209" s="4" t="str">
        <f>HYPERLINK("http://www.rosaceae.org/Prunus/Prunus_persica/p.persica_gdr_reftransV1_0047758","p.persica_gdr_reftransV1_0047758")</f>
        <v>p.persica_gdr_reftransV1_0047758</v>
      </c>
      <c r="B4209" s="2">
        <v>911</v>
      </c>
      <c r="C4209" s="4" t="str">
        <f>HYPERLINK("http://www.uniprot.org/uniprot/M5XNM3","M5XNM3")</f>
        <v>M5XNM3</v>
      </c>
      <c r="D4209" s="2" t="s">
        <v>3937</v>
      </c>
      <c r="E4209" s="3">
        <v>3.6900000000000004E-74</v>
      </c>
      <c r="F4209" s="2">
        <v>598</v>
      </c>
      <c r="G4209" s="2">
        <v>100</v>
      </c>
      <c r="H4209" s="2">
        <v>112</v>
      </c>
      <c r="I4209" s="2">
        <v>123</v>
      </c>
      <c r="J4209" s="2">
        <v>458</v>
      </c>
      <c r="K4209" s="2">
        <v>1</v>
      </c>
      <c r="L4209" s="2">
        <v>112</v>
      </c>
    </row>
    <row r="4210" spans="1:12" x14ac:dyDescent="0.25">
      <c r="A4210" s="4" t="str">
        <f>HYPERLINK("http://www.rosaceae.org/Prunus/Prunus_persica/p.persica_gdr_reftransV1_0048108","p.persica_gdr_reftransV1_0048108")</f>
        <v>p.persica_gdr_reftransV1_0048108</v>
      </c>
      <c r="B4210" s="2">
        <v>1191</v>
      </c>
      <c r="C4210" s="4" t="str">
        <f>HYPERLINK("http://www.uniprot.org/uniprot/M5VQQ9","M5VQQ9")</f>
        <v>M5VQQ9</v>
      </c>
      <c r="D4210" s="2" t="s">
        <v>3938</v>
      </c>
      <c r="E4210" s="3">
        <v>1.79E-116</v>
      </c>
      <c r="F4210" s="2">
        <v>903</v>
      </c>
      <c r="G4210" s="2">
        <v>100</v>
      </c>
      <c r="H4210" s="2">
        <v>176</v>
      </c>
      <c r="I4210" s="2">
        <v>333</v>
      </c>
      <c r="J4210" s="2">
        <v>860</v>
      </c>
      <c r="K4210" s="2">
        <v>1</v>
      </c>
      <c r="L4210" s="2">
        <v>176</v>
      </c>
    </row>
    <row r="4211" spans="1:12" x14ac:dyDescent="0.25">
      <c r="A4211" s="4" t="str">
        <f>HYPERLINK("http://www.rosaceae.org/Prunus/Prunus_persica/p.persica_gdr_reftransV1_0048458","p.persica_gdr_reftransV1_0048458")</f>
        <v>p.persica_gdr_reftransV1_0048458</v>
      </c>
      <c r="B4211" s="2">
        <v>914</v>
      </c>
      <c r="C4211" s="4" t="str">
        <f>HYPERLINK("http://www.uniprot.org/uniprot/M5W5Z6","M5W5Z6")</f>
        <v>M5W5Z6</v>
      </c>
      <c r="D4211" s="2" t="s">
        <v>3939</v>
      </c>
      <c r="E4211" s="3">
        <v>4.1300000000000003E-83</v>
      </c>
      <c r="F4211" s="2">
        <v>660</v>
      </c>
      <c r="G4211" s="2">
        <v>100</v>
      </c>
      <c r="H4211" s="2">
        <v>141</v>
      </c>
      <c r="I4211" s="2">
        <v>197</v>
      </c>
      <c r="J4211" s="2">
        <v>619</v>
      </c>
      <c r="K4211" s="2">
        <v>1</v>
      </c>
      <c r="L4211" s="2">
        <v>141</v>
      </c>
    </row>
    <row r="4212" spans="1:12" x14ac:dyDescent="0.25">
      <c r="A4212" s="4" t="str">
        <f>HYPERLINK("http://www.rosaceae.org/Prunus/Prunus_persica/p.persica_gdr_reftransV1_0049158","p.persica_gdr_reftransV1_0049158")</f>
        <v>p.persica_gdr_reftransV1_0049158</v>
      </c>
      <c r="B4212" s="2">
        <v>1479</v>
      </c>
      <c r="C4212" s="4" t="str">
        <f>HYPERLINK("http://www.uniprot.org/uniprot/A0A067JW44","A0A067JW44")</f>
        <v>A0A067JW44</v>
      </c>
      <c r="D4212" s="2" t="s">
        <v>3940</v>
      </c>
      <c r="E4212" s="3">
        <v>6.4199999999999998E-49</v>
      </c>
      <c r="F4212" s="2">
        <v>468</v>
      </c>
      <c r="G4212" s="2">
        <v>43</v>
      </c>
      <c r="H4212" s="2">
        <v>440</v>
      </c>
      <c r="I4212" s="2">
        <v>44</v>
      </c>
      <c r="J4212" s="2">
        <v>1306</v>
      </c>
      <c r="K4212" s="2">
        <v>1</v>
      </c>
      <c r="L4212" s="2">
        <v>415</v>
      </c>
    </row>
    <row r="4213" spans="1:12" x14ac:dyDescent="0.25">
      <c r="A4213" s="4" t="str">
        <f>HYPERLINK("http://www.rosaceae.org/Prunus/Prunus_persica/p.persica_gdr_reftransV1_0000159","p.persica_gdr_reftransV1_0000159")</f>
        <v>p.persica_gdr_reftransV1_0000159</v>
      </c>
      <c r="B4213" s="2">
        <v>1712</v>
      </c>
      <c r="C4213" s="4" t="str">
        <f>HYPERLINK("http://www.uniprot.org/uniprot/M5XNW7","M5XNW7")</f>
        <v>M5XNW7</v>
      </c>
      <c r="D4213" s="2" t="s">
        <v>3941</v>
      </c>
      <c r="E4213" s="3">
        <v>0</v>
      </c>
      <c r="F4213" s="2">
        <v>1837</v>
      </c>
      <c r="G4213" s="2">
        <v>100</v>
      </c>
      <c r="H4213" s="2">
        <v>376</v>
      </c>
      <c r="I4213" s="2">
        <v>196</v>
      </c>
      <c r="J4213" s="2">
        <v>1323</v>
      </c>
      <c r="K4213" s="2">
        <v>27</v>
      </c>
      <c r="L4213" s="2">
        <v>402</v>
      </c>
    </row>
    <row r="4214" spans="1:12" x14ac:dyDescent="0.25">
      <c r="A4214" s="4" t="str">
        <f>HYPERLINK("http://www.rosaceae.org/Prunus/Prunus_persica/p.persica_gdr_reftransV1_0000509","p.persica_gdr_reftransV1_0000509")</f>
        <v>p.persica_gdr_reftransV1_0000509</v>
      </c>
      <c r="B4214" s="2">
        <v>1166</v>
      </c>
      <c r="C4214" s="4" t="str">
        <f>HYPERLINK("http://www.uniprot.org/uniprot/Q9AVH2","Q9AVH2")</f>
        <v>Q9AVH2</v>
      </c>
      <c r="D4214" s="2" t="s">
        <v>3942</v>
      </c>
      <c r="E4214" s="3">
        <v>4.7399999999999997E-43</v>
      </c>
      <c r="F4214" s="2">
        <v>410</v>
      </c>
      <c r="G4214" s="2">
        <v>92</v>
      </c>
      <c r="H4214" s="2">
        <v>84</v>
      </c>
      <c r="I4214" s="2">
        <v>1</v>
      </c>
      <c r="J4214" s="2">
        <v>252</v>
      </c>
      <c r="K4214" s="2">
        <v>1</v>
      </c>
      <c r="L4214" s="2">
        <v>84</v>
      </c>
    </row>
    <row r="4215" spans="1:12" x14ac:dyDescent="0.25">
      <c r="A4215" s="4" t="str">
        <f>HYPERLINK("http://www.rosaceae.org/Prunus/Prunus_persica/p.persica_gdr_reftransV1_0000859","p.persica_gdr_reftransV1_0000859")</f>
        <v>p.persica_gdr_reftransV1_0000859</v>
      </c>
      <c r="B4215" s="2">
        <v>1604</v>
      </c>
      <c r="C4215" s="4" t="str">
        <f>HYPERLINK("http://www.uniprot.org/uniprot/M5VJ09","M5VJ09")</f>
        <v>M5VJ09</v>
      </c>
      <c r="D4215" s="2" t="s">
        <v>3943</v>
      </c>
      <c r="E4215" s="3">
        <v>0</v>
      </c>
      <c r="F4215" s="2">
        <v>1853</v>
      </c>
      <c r="G4215" s="2">
        <v>100</v>
      </c>
      <c r="H4215" s="2">
        <v>438</v>
      </c>
      <c r="I4215" s="2">
        <v>118</v>
      </c>
      <c r="J4215" s="2">
        <v>1431</v>
      </c>
      <c r="K4215" s="2">
        <v>1</v>
      </c>
      <c r="L4215" s="2">
        <v>438</v>
      </c>
    </row>
    <row r="4216" spans="1:12" x14ac:dyDescent="0.25">
      <c r="A4216" s="4" t="str">
        <f>HYPERLINK("http://www.rosaceae.org/Prunus/Prunus_persica/p.persica_gdr_reftransV1_0001209","p.persica_gdr_reftransV1_0001209")</f>
        <v>p.persica_gdr_reftransV1_0001209</v>
      </c>
      <c r="B4216" s="2">
        <v>2602</v>
      </c>
      <c r="C4216" s="4" t="str">
        <f>HYPERLINK("http://www.uniprot.org/uniprot/M5XGM3","M5XGM3")</f>
        <v>M5XGM3</v>
      </c>
      <c r="D4216" s="2" t="s">
        <v>3140</v>
      </c>
      <c r="E4216" s="3">
        <v>0</v>
      </c>
      <c r="F4216" s="2">
        <v>3558</v>
      </c>
      <c r="G4216" s="2">
        <v>100</v>
      </c>
      <c r="H4216" s="2">
        <v>715</v>
      </c>
      <c r="I4216" s="2">
        <v>166</v>
      </c>
      <c r="J4216" s="2">
        <v>2310</v>
      </c>
      <c r="K4216" s="2">
        <v>1</v>
      </c>
      <c r="L4216" s="2">
        <v>715</v>
      </c>
    </row>
    <row r="4217" spans="1:12" x14ac:dyDescent="0.25">
      <c r="A4217" s="4" t="str">
        <f>HYPERLINK("http://www.rosaceae.org/Prunus/Prunus_persica/p.persica_gdr_reftransV1_0001559","p.persica_gdr_reftransV1_0001559")</f>
        <v>p.persica_gdr_reftransV1_0001559</v>
      </c>
      <c r="B4217" s="2">
        <v>617</v>
      </c>
      <c r="C4217" s="4" t="str">
        <f>HYPERLINK("http://www.uniprot.org/uniprot/M5W102","M5W102")</f>
        <v>M5W102</v>
      </c>
      <c r="D4217" s="2" t="s">
        <v>3944</v>
      </c>
      <c r="E4217" s="3">
        <v>7.97E-53</v>
      </c>
      <c r="F4217" s="2">
        <v>477</v>
      </c>
      <c r="G4217" s="2">
        <v>100</v>
      </c>
      <c r="H4217" s="2">
        <v>116</v>
      </c>
      <c r="I4217" s="2">
        <v>19</v>
      </c>
      <c r="J4217" s="2">
        <v>366</v>
      </c>
      <c r="K4217" s="2">
        <v>419</v>
      </c>
      <c r="L4217" s="2">
        <v>534</v>
      </c>
    </row>
    <row r="4218" spans="1:12" x14ac:dyDescent="0.25">
      <c r="A4218" s="4" t="str">
        <f>HYPERLINK("http://www.rosaceae.org/Prunus/Prunus_persica/p.persica_gdr_reftransV1_0001909","p.persica_gdr_reftransV1_0001909")</f>
        <v>p.persica_gdr_reftransV1_0001909</v>
      </c>
      <c r="B4218" s="2">
        <v>322</v>
      </c>
      <c r="C4218" s="4" t="str">
        <f>HYPERLINK("http://www.uniprot.org/uniprot/M5W6J4","M5W6J4")</f>
        <v>M5W6J4</v>
      </c>
      <c r="D4218" s="2" t="s">
        <v>3945</v>
      </c>
      <c r="E4218" s="3">
        <v>6.3800000000000004E-63</v>
      </c>
      <c r="F4218" s="2">
        <v>547</v>
      </c>
      <c r="G4218" s="2">
        <v>100</v>
      </c>
      <c r="H4218" s="2">
        <v>106</v>
      </c>
      <c r="I4218" s="2">
        <v>3</v>
      </c>
      <c r="J4218" s="2">
        <v>320</v>
      </c>
      <c r="K4218" s="2">
        <v>179</v>
      </c>
      <c r="L4218" s="2">
        <v>284</v>
      </c>
    </row>
    <row r="4219" spans="1:12" x14ac:dyDescent="0.25">
      <c r="A4219" s="4" t="str">
        <f>HYPERLINK("http://www.rosaceae.org/Prunus/Prunus_persica/p.persica_gdr_reftransV1_0002259","p.persica_gdr_reftransV1_0002259")</f>
        <v>p.persica_gdr_reftransV1_0002259</v>
      </c>
      <c r="B4219" s="2">
        <v>1269</v>
      </c>
      <c r="C4219" s="4" t="str">
        <f>HYPERLINK("http://www.uniprot.org/uniprot/M5WC58","M5WC58")</f>
        <v>M5WC58</v>
      </c>
      <c r="D4219" s="2" t="s">
        <v>3946</v>
      </c>
      <c r="E4219" s="3">
        <v>0</v>
      </c>
      <c r="F4219" s="2">
        <v>1546</v>
      </c>
      <c r="G4219" s="2">
        <v>100</v>
      </c>
      <c r="H4219" s="2">
        <v>288</v>
      </c>
      <c r="I4219" s="2">
        <v>315</v>
      </c>
      <c r="J4219" s="2">
        <v>1178</v>
      </c>
      <c r="K4219" s="2">
        <v>1</v>
      </c>
      <c r="L4219" s="2">
        <v>288</v>
      </c>
    </row>
    <row r="4220" spans="1:12" x14ac:dyDescent="0.25">
      <c r="A4220" s="4" t="str">
        <f>HYPERLINK("http://www.rosaceae.org/Prunus/Prunus_persica/p.persica_gdr_reftransV1_0002959","p.persica_gdr_reftransV1_0002959")</f>
        <v>p.persica_gdr_reftransV1_0002959</v>
      </c>
      <c r="B4220" s="2">
        <v>341</v>
      </c>
      <c r="C4220" s="4" t="str">
        <f>HYPERLINK("http://www.uniprot.org/uniprot/M5W215","M5W215")</f>
        <v>M5W215</v>
      </c>
      <c r="D4220" s="2" t="s">
        <v>3947</v>
      </c>
      <c r="E4220" s="3">
        <v>3.8799999999999998E-41</v>
      </c>
      <c r="F4220" s="2">
        <v>385</v>
      </c>
      <c r="G4220" s="2">
        <v>100</v>
      </c>
      <c r="H4220" s="2">
        <v>102</v>
      </c>
      <c r="I4220" s="2">
        <v>3</v>
      </c>
      <c r="J4220" s="2">
        <v>308</v>
      </c>
      <c r="K4220" s="2">
        <v>475</v>
      </c>
      <c r="L4220" s="2">
        <v>576</v>
      </c>
    </row>
    <row r="4221" spans="1:12" x14ac:dyDescent="0.25">
      <c r="A4221" s="4" t="str">
        <f>HYPERLINK("http://www.rosaceae.org/Prunus/Prunus_persica/p.persica_gdr_reftransV1_0003309","p.persica_gdr_reftransV1_0003309")</f>
        <v>p.persica_gdr_reftransV1_0003309</v>
      </c>
      <c r="B4221" s="2">
        <v>412</v>
      </c>
      <c r="C4221" s="4" t="str">
        <f>HYPERLINK("http://www.uniprot.org/uniprot/C7YMW5","C7YMW5")</f>
        <v>C7YMW5</v>
      </c>
      <c r="D4221" s="2" t="s">
        <v>3948</v>
      </c>
      <c r="E4221" s="3">
        <v>1.3800000000000001E-76</v>
      </c>
      <c r="F4221" s="2">
        <v>625</v>
      </c>
      <c r="G4221" s="2">
        <v>83</v>
      </c>
      <c r="H4221" s="2">
        <v>136</v>
      </c>
      <c r="I4221" s="2">
        <v>5</v>
      </c>
      <c r="J4221" s="2">
        <v>412</v>
      </c>
      <c r="K4221" s="2">
        <v>272</v>
      </c>
      <c r="L4221" s="2">
        <v>407</v>
      </c>
    </row>
    <row r="4222" spans="1:12" x14ac:dyDescent="0.25">
      <c r="A4222" s="4" t="str">
        <f>HYPERLINK("http://www.rosaceae.org/Prunus/Prunus_persica/p.persica_gdr_reftransV1_0003659","p.persica_gdr_reftransV1_0003659")</f>
        <v>p.persica_gdr_reftransV1_0003659</v>
      </c>
      <c r="B4222" s="2">
        <v>806</v>
      </c>
      <c r="C4222" s="4" t="str">
        <f>HYPERLINK("http://www.uniprot.org/uniprot/M5XH76","M5XH76")</f>
        <v>M5XH76</v>
      </c>
      <c r="D4222" s="2" t="s">
        <v>3949</v>
      </c>
      <c r="E4222" s="3">
        <v>4.2899999999999997E-90</v>
      </c>
      <c r="F4222" s="2">
        <v>704</v>
      </c>
      <c r="G4222" s="2">
        <v>91</v>
      </c>
      <c r="H4222" s="2">
        <v>161</v>
      </c>
      <c r="I4222" s="2">
        <v>81</v>
      </c>
      <c r="J4222" s="2">
        <v>563</v>
      </c>
      <c r="K4222" s="2">
        <v>1</v>
      </c>
      <c r="L4222" s="2">
        <v>158</v>
      </c>
    </row>
    <row r="4223" spans="1:12" x14ac:dyDescent="0.25">
      <c r="A4223" s="4" t="str">
        <f>HYPERLINK("http://www.rosaceae.org/Prunus/Prunus_persica/p.persica_gdr_reftransV1_0004359","p.persica_gdr_reftransV1_0004359")</f>
        <v>p.persica_gdr_reftransV1_0004359</v>
      </c>
      <c r="B4223" s="2">
        <v>2537</v>
      </c>
      <c r="C4223" s="4" t="str">
        <f>HYPERLINK("http://www.uniprot.org/uniprot/M5VY66","M5VY66")</f>
        <v>M5VY66</v>
      </c>
      <c r="D4223" s="2" t="s">
        <v>3762</v>
      </c>
      <c r="E4223" s="3">
        <v>0</v>
      </c>
      <c r="F4223" s="2">
        <v>2497</v>
      </c>
      <c r="G4223" s="2">
        <v>88</v>
      </c>
      <c r="H4223" s="2">
        <v>576</v>
      </c>
      <c r="I4223" s="2">
        <v>538</v>
      </c>
      <c r="J4223" s="2">
        <v>2265</v>
      </c>
      <c r="K4223" s="2">
        <v>1</v>
      </c>
      <c r="L4223" s="2">
        <v>526</v>
      </c>
    </row>
    <row r="4224" spans="1:12" x14ac:dyDescent="0.25">
      <c r="A4224" s="4" t="str">
        <f>HYPERLINK("http://www.rosaceae.org/Prunus/Prunus_persica/p.persica_gdr_reftransV1_0005059","p.persica_gdr_reftransV1_0005059")</f>
        <v>p.persica_gdr_reftransV1_0005059</v>
      </c>
      <c r="B4224" s="2">
        <v>5026</v>
      </c>
      <c r="C4224" s="4" t="str">
        <f>HYPERLINK("http://www.uniprot.org/uniprot/M5VP50","M5VP50")</f>
        <v>M5VP50</v>
      </c>
      <c r="D4224" s="2" t="s">
        <v>3950</v>
      </c>
      <c r="E4224" s="3">
        <v>0</v>
      </c>
      <c r="F4224" s="2">
        <v>2818</v>
      </c>
      <c r="G4224" s="2">
        <v>100</v>
      </c>
      <c r="H4224" s="2">
        <v>579</v>
      </c>
      <c r="I4224" s="2">
        <v>114</v>
      </c>
      <c r="J4224" s="2">
        <v>1850</v>
      </c>
      <c r="K4224" s="2">
        <v>1</v>
      </c>
      <c r="L4224" s="2">
        <v>579</v>
      </c>
    </row>
    <row r="4225" spans="1:12" x14ac:dyDescent="0.25">
      <c r="A4225" s="4" t="str">
        <f>HYPERLINK("http://www.rosaceae.org/Prunus/Prunus_persica/p.persica_gdr_reftransV1_0005409","p.persica_gdr_reftransV1_0005409")</f>
        <v>p.persica_gdr_reftransV1_0005409</v>
      </c>
      <c r="B4225" s="2">
        <v>1746</v>
      </c>
      <c r="C4225" s="4" t="str">
        <f>HYPERLINK("http://www.uniprot.org/uniprot/M5XEB2","M5XEB2")</f>
        <v>M5XEB2</v>
      </c>
      <c r="D4225" s="2" t="s">
        <v>3951</v>
      </c>
      <c r="E4225" s="3">
        <v>0</v>
      </c>
      <c r="F4225" s="2">
        <v>1898</v>
      </c>
      <c r="G4225" s="2">
        <v>100</v>
      </c>
      <c r="H4225" s="2">
        <v>377</v>
      </c>
      <c r="I4225" s="2">
        <v>223</v>
      </c>
      <c r="J4225" s="2">
        <v>1353</v>
      </c>
      <c r="K4225" s="2">
        <v>1</v>
      </c>
      <c r="L4225" s="2">
        <v>377</v>
      </c>
    </row>
    <row r="4226" spans="1:12" x14ac:dyDescent="0.25">
      <c r="A4226" s="4" t="str">
        <f>HYPERLINK("http://www.rosaceae.org/Prunus/Prunus_persica/p.persica_gdr_reftransV1_0005759","p.persica_gdr_reftransV1_0005759")</f>
        <v>p.persica_gdr_reftransV1_0005759</v>
      </c>
      <c r="B4226" s="2">
        <v>629</v>
      </c>
      <c r="C4226" s="4" t="str">
        <f>HYPERLINK("http://www.uniprot.org/uniprot/M5Y9I2","M5Y9I2")</f>
        <v>M5Y9I2</v>
      </c>
      <c r="D4226" s="2" t="s">
        <v>3952</v>
      </c>
      <c r="E4226" s="3">
        <v>2.9999999999999999E-88</v>
      </c>
      <c r="F4226" s="2">
        <v>695</v>
      </c>
      <c r="G4226" s="2">
        <v>100</v>
      </c>
      <c r="H4226" s="2">
        <v>145</v>
      </c>
      <c r="I4226" s="2">
        <v>194</v>
      </c>
      <c r="J4226" s="2">
        <v>628</v>
      </c>
      <c r="K4226" s="2">
        <v>89</v>
      </c>
      <c r="L4226" s="2">
        <v>233</v>
      </c>
    </row>
    <row r="4227" spans="1:12" x14ac:dyDescent="0.25">
      <c r="A4227" s="4" t="str">
        <f>HYPERLINK("http://www.rosaceae.org/Prunus/Prunus_persica/p.persica_gdr_reftransV1_0006459","p.persica_gdr_reftransV1_0006459")</f>
        <v>p.persica_gdr_reftransV1_0006459</v>
      </c>
      <c r="B4227" s="2">
        <v>1251</v>
      </c>
      <c r="C4227" s="4" t="str">
        <f>HYPERLINK("http://www.uniprot.org/uniprot/M5VNX0","M5VNX0")</f>
        <v>M5VNX0</v>
      </c>
      <c r="D4227" s="2" t="s">
        <v>3953</v>
      </c>
      <c r="E4227" s="3">
        <v>0</v>
      </c>
      <c r="F4227" s="2">
        <v>2042</v>
      </c>
      <c r="G4227" s="2">
        <v>100</v>
      </c>
      <c r="H4227" s="2">
        <v>388</v>
      </c>
      <c r="I4227" s="2">
        <v>88</v>
      </c>
      <c r="J4227" s="2">
        <v>1251</v>
      </c>
      <c r="K4227" s="2">
        <v>7</v>
      </c>
      <c r="L4227" s="2">
        <v>394</v>
      </c>
    </row>
    <row r="4228" spans="1:12" x14ac:dyDescent="0.25">
      <c r="A4228" s="4" t="str">
        <f>HYPERLINK("http://www.rosaceae.org/Prunus/Prunus_persica/p.persica_gdr_reftransV1_0006809","p.persica_gdr_reftransV1_0006809")</f>
        <v>p.persica_gdr_reftransV1_0006809</v>
      </c>
      <c r="B4228" s="2">
        <v>1286</v>
      </c>
      <c r="C4228" s="4" t="str">
        <f>HYPERLINK("http://www.uniprot.org/uniprot/M5XNB2","M5XNB2")</f>
        <v>M5XNB2</v>
      </c>
      <c r="D4228" s="2" t="s">
        <v>3954</v>
      </c>
      <c r="E4228" s="3">
        <v>0</v>
      </c>
      <c r="F4228" s="2">
        <v>1516</v>
      </c>
      <c r="G4228" s="2">
        <v>93</v>
      </c>
      <c r="H4228" s="2">
        <v>325</v>
      </c>
      <c r="I4228" s="2">
        <v>294</v>
      </c>
      <c r="J4228" s="2">
        <v>1268</v>
      </c>
      <c r="K4228" s="2">
        <v>1</v>
      </c>
      <c r="L4228" s="2">
        <v>319</v>
      </c>
    </row>
    <row r="4229" spans="1:12" x14ac:dyDescent="0.25">
      <c r="A4229" s="4" t="str">
        <f>HYPERLINK("http://www.rosaceae.org/Prunus/Prunus_persica/p.persica_gdr_reftransV1_0007159","p.persica_gdr_reftransV1_0007159")</f>
        <v>p.persica_gdr_reftransV1_0007159</v>
      </c>
      <c r="B4229" s="2">
        <v>678</v>
      </c>
      <c r="C4229" s="4" t="str">
        <f>HYPERLINK("http://www.uniprot.org/uniprot/I1N975","I1N975")</f>
        <v>I1N975</v>
      </c>
      <c r="D4229" s="2" t="s">
        <v>575</v>
      </c>
      <c r="E4229" s="3">
        <v>5.5400000000000002E-56</v>
      </c>
      <c r="F4229" s="2">
        <v>491</v>
      </c>
      <c r="G4229" s="2">
        <v>50</v>
      </c>
      <c r="H4229" s="2">
        <v>240</v>
      </c>
      <c r="I4229" s="2">
        <v>2</v>
      </c>
      <c r="J4229" s="2">
        <v>676</v>
      </c>
      <c r="K4229" s="2">
        <v>58</v>
      </c>
      <c r="L4229" s="2">
        <v>285</v>
      </c>
    </row>
    <row r="4230" spans="1:12" x14ac:dyDescent="0.25">
      <c r="A4230" s="4" t="str">
        <f>HYPERLINK("http://www.rosaceae.org/Prunus/Prunus_persica/p.persica_gdr_reftransV1_0007509","p.persica_gdr_reftransV1_0007509")</f>
        <v>p.persica_gdr_reftransV1_0007509</v>
      </c>
      <c r="B4230" s="2">
        <v>1061</v>
      </c>
      <c r="C4230" s="4" t="str">
        <f>HYPERLINK("http://www.uniprot.org/uniprot/M5WSV7","M5WSV7")</f>
        <v>M5WSV7</v>
      </c>
      <c r="D4230" s="2" t="s">
        <v>3955</v>
      </c>
      <c r="E4230" s="3">
        <v>1.36E-75</v>
      </c>
      <c r="F4230" s="2">
        <v>616</v>
      </c>
      <c r="G4230" s="2">
        <v>100</v>
      </c>
      <c r="H4230" s="2">
        <v>153</v>
      </c>
      <c r="I4230" s="2">
        <v>306</v>
      </c>
      <c r="J4230" s="2">
        <v>764</v>
      </c>
      <c r="K4230" s="2">
        <v>1</v>
      </c>
      <c r="L4230" s="2">
        <v>153</v>
      </c>
    </row>
    <row r="4231" spans="1:12" x14ac:dyDescent="0.25">
      <c r="A4231" s="4" t="str">
        <f>HYPERLINK("http://www.rosaceae.org/Prunus/Prunus_persica/p.persica_gdr_reftransV1_0007859","p.persica_gdr_reftransV1_0007859")</f>
        <v>p.persica_gdr_reftransV1_0007859</v>
      </c>
      <c r="B4231" s="2">
        <v>1658</v>
      </c>
      <c r="C4231" s="4" t="str">
        <f>HYPERLINK("http://www.uniprot.org/uniprot/M5X659","M5X659")</f>
        <v>M5X659</v>
      </c>
      <c r="D4231" s="2" t="s">
        <v>3956</v>
      </c>
      <c r="E4231" s="3">
        <v>9.7999999999999994E-176</v>
      </c>
      <c r="F4231" s="2">
        <v>1310</v>
      </c>
      <c r="G4231" s="2">
        <v>100</v>
      </c>
      <c r="H4231" s="2">
        <v>266</v>
      </c>
      <c r="I4231" s="2">
        <v>457</v>
      </c>
      <c r="J4231" s="2">
        <v>1254</v>
      </c>
      <c r="K4231" s="2">
        <v>1</v>
      </c>
      <c r="L4231" s="2">
        <v>266</v>
      </c>
    </row>
    <row r="4232" spans="1:12" x14ac:dyDescent="0.25">
      <c r="A4232" s="4" t="str">
        <f>HYPERLINK("http://www.rosaceae.org/Prunus/Prunus_persica/p.persica_gdr_reftransV1_0008559","p.persica_gdr_reftransV1_0008559")</f>
        <v>p.persica_gdr_reftransV1_0008559</v>
      </c>
      <c r="B4232" s="2">
        <v>2086</v>
      </c>
      <c r="C4232" s="4" t="str">
        <f>HYPERLINK("http://www.uniprot.org/uniprot/M5W0G8","M5W0G8")</f>
        <v>M5W0G8</v>
      </c>
      <c r="D4232" s="2" t="s">
        <v>3957</v>
      </c>
      <c r="E4232" s="3">
        <v>0</v>
      </c>
      <c r="F4232" s="2">
        <v>2840</v>
      </c>
      <c r="G4232" s="2">
        <v>100</v>
      </c>
      <c r="H4232" s="2">
        <v>543</v>
      </c>
      <c r="I4232" s="2">
        <v>420</v>
      </c>
      <c r="J4232" s="2">
        <v>2048</v>
      </c>
      <c r="K4232" s="2">
        <v>1</v>
      </c>
      <c r="L4232" s="2">
        <v>543</v>
      </c>
    </row>
    <row r="4233" spans="1:12" x14ac:dyDescent="0.25">
      <c r="A4233" s="4" t="str">
        <f>HYPERLINK("http://www.rosaceae.org/Prunus/Prunus_persica/p.persica_gdr_reftransV1_0009259","p.persica_gdr_reftransV1_0009259")</f>
        <v>p.persica_gdr_reftransV1_0009259</v>
      </c>
      <c r="B4233" s="2">
        <v>1668</v>
      </c>
      <c r="C4233" s="4" t="str">
        <f>HYPERLINK("http://www.uniprot.org/uniprot/M5VZ05","M5VZ05")</f>
        <v>M5VZ05</v>
      </c>
      <c r="D4233" s="2" t="s">
        <v>3958</v>
      </c>
      <c r="E4233" s="3">
        <v>0</v>
      </c>
      <c r="F4233" s="2">
        <v>1708</v>
      </c>
      <c r="G4233" s="2">
        <v>94</v>
      </c>
      <c r="H4233" s="2">
        <v>386</v>
      </c>
      <c r="I4233" s="2">
        <v>139</v>
      </c>
      <c r="J4233" s="2">
        <v>1296</v>
      </c>
      <c r="K4233" s="2">
        <v>110</v>
      </c>
      <c r="L4233" s="2">
        <v>478</v>
      </c>
    </row>
    <row r="4234" spans="1:12" x14ac:dyDescent="0.25">
      <c r="A4234" s="4" t="str">
        <f>HYPERLINK("http://www.rosaceae.org/Prunus/Prunus_persica/p.persica_gdr_reftransV1_0009959","p.persica_gdr_reftransV1_0009959")</f>
        <v>p.persica_gdr_reftransV1_0009959</v>
      </c>
      <c r="B4234" s="2">
        <v>3823</v>
      </c>
      <c r="C4234" s="4" t="str">
        <f>HYPERLINK("http://www.uniprot.org/uniprot/X2G1C7","X2G1C7")</f>
        <v>X2G1C7</v>
      </c>
      <c r="D4234" s="2" t="s">
        <v>3959</v>
      </c>
      <c r="E4234" s="3">
        <v>0</v>
      </c>
      <c r="F4234" s="2">
        <v>2413</v>
      </c>
      <c r="G4234" s="2">
        <v>99</v>
      </c>
      <c r="H4234" s="2">
        <v>507</v>
      </c>
      <c r="I4234" s="2">
        <v>74</v>
      </c>
      <c r="J4234" s="2">
        <v>1594</v>
      </c>
      <c r="K4234" s="2">
        <v>1</v>
      </c>
      <c r="L4234" s="2">
        <v>507</v>
      </c>
    </row>
    <row r="4235" spans="1:12" x14ac:dyDescent="0.25">
      <c r="A4235" s="4" t="str">
        <f>HYPERLINK("http://www.rosaceae.org/Prunus/Prunus_persica/p.persica_gdr_reftransV1_0010309","p.persica_gdr_reftransV1_0010309")</f>
        <v>p.persica_gdr_reftransV1_0010309</v>
      </c>
      <c r="B4235" s="2">
        <v>2373</v>
      </c>
      <c r="C4235" s="4" t="str">
        <f>HYPERLINK("http://www.uniprot.org/uniprot/M5WFX4","M5WFX4")</f>
        <v>M5WFX4</v>
      </c>
      <c r="D4235" s="2" t="s">
        <v>3960</v>
      </c>
      <c r="E4235" s="3">
        <v>0</v>
      </c>
      <c r="F4235" s="2">
        <v>2775</v>
      </c>
      <c r="G4235" s="2">
        <v>100</v>
      </c>
      <c r="H4235" s="2">
        <v>544</v>
      </c>
      <c r="I4235" s="2">
        <v>476</v>
      </c>
      <c r="J4235" s="2">
        <v>2107</v>
      </c>
      <c r="K4235" s="2">
        <v>1</v>
      </c>
      <c r="L4235" s="2">
        <v>544</v>
      </c>
    </row>
    <row r="4236" spans="1:12" x14ac:dyDescent="0.25">
      <c r="A4236" s="4" t="str">
        <f>HYPERLINK("http://www.rosaceae.org/Prunus/Prunus_persica/p.persica_gdr_reftransV1_0010659","p.persica_gdr_reftransV1_0010659")</f>
        <v>p.persica_gdr_reftransV1_0010659</v>
      </c>
      <c r="B4236" s="2">
        <v>6468</v>
      </c>
      <c r="C4236" s="4" t="str">
        <f>HYPERLINK("http://www.uniprot.org/uniprot/W9RXU1","W9RXU1")</f>
        <v>W9RXU1</v>
      </c>
      <c r="D4236" s="2" t="s">
        <v>3961</v>
      </c>
      <c r="E4236" s="3">
        <v>0</v>
      </c>
      <c r="F4236" s="2">
        <v>6387</v>
      </c>
      <c r="G4236" s="2">
        <v>62</v>
      </c>
      <c r="H4236" s="2">
        <v>2007</v>
      </c>
      <c r="I4236" s="2">
        <v>5</v>
      </c>
      <c r="J4236" s="2">
        <v>5917</v>
      </c>
      <c r="K4236" s="2">
        <v>409</v>
      </c>
      <c r="L4236" s="2">
        <v>2394</v>
      </c>
    </row>
    <row r="4237" spans="1:12" x14ac:dyDescent="0.25">
      <c r="A4237" s="4" t="str">
        <f>HYPERLINK("http://www.rosaceae.org/Prunus/Prunus_persica/p.persica_gdr_reftransV1_0011359","p.persica_gdr_reftransV1_0011359")</f>
        <v>p.persica_gdr_reftransV1_0011359</v>
      </c>
      <c r="B4237" s="2">
        <v>1429</v>
      </c>
      <c r="C4237" s="4" t="str">
        <f>HYPERLINK("http://www.uniprot.org/uniprot/M5WTU2","M5WTU2")</f>
        <v>M5WTU2</v>
      </c>
      <c r="D4237" s="2" t="s">
        <v>3962</v>
      </c>
      <c r="E4237" s="3">
        <v>3.6799999999999999E-100</v>
      </c>
      <c r="F4237" s="2">
        <v>799</v>
      </c>
      <c r="G4237" s="2">
        <v>100</v>
      </c>
      <c r="H4237" s="2">
        <v>152</v>
      </c>
      <c r="I4237" s="2">
        <v>462</v>
      </c>
      <c r="J4237" s="2">
        <v>917</v>
      </c>
      <c r="K4237" s="2">
        <v>87</v>
      </c>
      <c r="L4237" s="2">
        <v>238</v>
      </c>
    </row>
    <row r="4238" spans="1:12" x14ac:dyDescent="0.25">
      <c r="A4238" s="4" t="str">
        <f>HYPERLINK("http://www.rosaceae.org/Prunus/Prunus_persica/p.persica_gdr_reftransV1_0011709","p.persica_gdr_reftransV1_0011709")</f>
        <v>p.persica_gdr_reftransV1_0011709</v>
      </c>
      <c r="B4238" s="2">
        <v>624</v>
      </c>
      <c r="C4238" s="4" t="str">
        <f>HYPERLINK("http://www.uniprot.org/uniprot/M5XEB5","M5XEB5")</f>
        <v>M5XEB5</v>
      </c>
      <c r="D4238" s="2" t="s">
        <v>3963</v>
      </c>
      <c r="E4238" s="3">
        <v>7.86E-22</v>
      </c>
      <c r="F4238" s="2">
        <v>237</v>
      </c>
      <c r="G4238" s="2">
        <v>100</v>
      </c>
      <c r="H4238" s="2">
        <v>84</v>
      </c>
      <c r="I4238" s="2">
        <v>123</v>
      </c>
      <c r="J4238" s="2">
        <v>374</v>
      </c>
      <c r="K4238" s="2">
        <v>6</v>
      </c>
      <c r="L4238" s="2">
        <v>89</v>
      </c>
    </row>
    <row r="4239" spans="1:12" x14ac:dyDescent="0.25">
      <c r="A4239" s="4" t="str">
        <f>HYPERLINK("http://www.rosaceae.org/Prunus/Prunus_persica/p.persica_gdr_reftransV1_0012059","p.persica_gdr_reftransV1_0012059")</f>
        <v>p.persica_gdr_reftransV1_0012059</v>
      </c>
      <c r="B4239" s="2">
        <v>667</v>
      </c>
      <c r="C4239" s="4" t="str">
        <f>HYPERLINK("http://www.uniprot.org/uniprot/M5VH87","M5VH87")</f>
        <v>M5VH87</v>
      </c>
      <c r="D4239" s="2" t="s">
        <v>3964</v>
      </c>
      <c r="E4239" s="3">
        <v>7.76E-91</v>
      </c>
      <c r="F4239" s="2">
        <v>710</v>
      </c>
      <c r="G4239" s="2">
        <v>100</v>
      </c>
      <c r="H4239" s="2">
        <v>132</v>
      </c>
      <c r="I4239" s="2">
        <v>270</v>
      </c>
      <c r="J4239" s="2">
        <v>665</v>
      </c>
      <c r="K4239" s="2">
        <v>85</v>
      </c>
      <c r="L4239" s="2">
        <v>216</v>
      </c>
    </row>
    <row r="4240" spans="1:12" x14ac:dyDescent="0.25">
      <c r="A4240" s="4" t="str">
        <f>HYPERLINK("http://www.rosaceae.org/Prunus/Prunus_persica/p.persica_gdr_reftransV1_0013459","p.persica_gdr_reftransV1_0013459")</f>
        <v>p.persica_gdr_reftransV1_0013459</v>
      </c>
      <c r="B4240" s="2">
        <v>713</v>
      </c>
      <c r="C4240" s="4" t="str">
        <f>HYPERLINK("http://www.uniprot.org/uniprot/M5XRW9","M5XRW9")</f>
        <v>M5XRW9</v>
      </c>
      <c r="D4240" s="2" t="s">
        <v>3965</v>
      </c>
      <c r="E4240" s="3">
        <v>1.9E-149</v>
      </c>
      <c r="F4240" s="2">
        <v>1192</v>
      </c>
      <c r="G4240" s="2">
        <v>100</v>
      </c>
      <c r="H4240" s="2">
        <v>237</v>
      </c>
      <c r="I4240" s="2">
        <v>1</v>
      </c>
      <c r="J4240" s="2">
        <v>711</v>
      </c>
      <c r="K4240" s="2">
        <v>275</v>
      </c>
      <c r="L4240" s="2">
        <v>511</v>
      </c>
    </row>
    <row r="4241" spans="1:12" x14ac:dyDescent="0.25">
      <c r="A4241" s="4" t="str">
        <f>HYPERLINK("http://www.rosaceae.org/Prunus/Prunus_persica/p.persica_gdr_reftransV1_0014159","p.persica_gdr_reftransV1_0014159")</f>
        <v>p.persica_gdr_reftransV1_0014159</v>
      </c>
      <c r="B4241" s="2">
        <v>1437</v>
      </c>
      <c r="C4241" s="4" t="str">
        <f>HYPERLINK("http://www.uniprot.org/uniprot/M5VJ68","M5VJ68")</f>
        <v>M5VJ68</v>
      </c>
      <c r="D4241" s="2" t="s">
        <v>3318</v>
      </c>
      <c r="E4241" s="3">
        <v>1.13E-78</v>
      </c>
      <c r="F4241" s="2">
        <v>666</v>
      </c>
      <c r="G4241" s="2">
        <v>84</v>
      </c>
      <c r="H4241" s="2">
        <v>159</v>
      </c>
      <c r="I4241" s="2">
        <v>2</v>
      </c>
      <c r="J4241" s="2">
        <v>478</v>
      </c>
      <c r="K4241" s="2">
        <v>1</v>
      </c>
      <c r="L4241" s="2">
        <v>134</v>
      </c>
    </row>
    <row r="4242" spans="1:12" x14ac:dyDescent="0.25">
      <c r="A4242" s="4" t="str">
        <f>HYPERLINK("http://www.rosaceae.org/Prunus/Prunus_persica/p.persica_gdr_reftransV1_0015209","p.persica_gdr_reftransV1_0015209")</f>
        <v>p.persica_gdr_reftransV1_0015209</v>
      </c>
      <c r="B4242" s="2">
        <v>2337</v>
      </c>
      <c r="C4242" s="4" t="str">
        <f>HYPERLINK("http://www.uniprot.org/uniprot/M5VV81","M5VV81")</f>
        <v>M5VV81</v>
      </c>
      <c r="D4242" s="2" t="s">
        <v>3966</v>
      </c>
      <c r="E4242" s="3">
        <v>0</v>
      </c>
      <c r="F4242" s="2">
        <v>3379</v>
      </c>
      <c r="G4242" s="2">
        <v>100</v>
      </c>
      <c r="H4242" s="2">
        <v>654</v>
      </c>
      <c r="I4242" s="2">
        <v>349</v>
      </c>
      <c r="J4242" s="2">
        <v>2310</v>
      </c>
      <c r="K4242" s="2">
        <v>1</v>
      </c>
      <c r="L4242" s="2">
        <v>654</v>
      </c>
    </row>
    <row r="4243" spans="1:12" x14ac:dyDescent="0.25">
      <c r="A4243" s="4" t="str">
        <f>HYPERLINK("http://www.rosaceae.org/Prunus/Prunus_persica/p.persica_gdr_reftransV1_0015909","p.persica_gdr_reftransV1_0015909")</f>
        <v>p.persica_gdr_reftransV1_0015909</v>
      </c>
      <c r="B4243" s="2">
        <v>2102</v>
      </c>
      <c r="C4243" s="4" t="str">
        <f>HYPERLINK("http://www.uniprot.org/uniprot/M5W521","M5W521")</f>
        <v>M5W521</v>
      </c>
      <c r="D4243" s="2" t="s">
        <v>3967</v>
      </c>
      <c r="E4243" s="3">
        <v>4.4400000000000001E-132</v>
      </c>
      <c r="F4243" s="2">
        <v>1047</v>
      </c>
      <c r="G4243" s="2">
        <v>100</v>
      </c>
      <c r="H4243" s="2">
        <v>204</v>
      </c>
      <c r="I4243" s="2">
        <v>1289</v>
      </c>
      <c r="J4243" s="2">
        <v>1900</v>
      </c>
      <c r="K4243" s="2">
        <v>192</v>
      </c>
      <c r="L4243" s="2">
        <v>395</v>
      </c>
    </row>
    <row r="4244" spans="1:12" x14ac:dyDescent="0.25">
      <c r="A4244" s="4" t="str">
        <f>HYPERLINK("http://www.rosaceae.org/Prunus/Prunus_persica/p.persica_gdr_reftransV1_0018009","p.persica_gdr_reftransV1_0018009")</f>
        <v>p.persica_gdr_reftransV1_0018009</v>
      </c>
      <c r="B4244" s="2">
        <v>3750</v>
      </c>
      <c r="C4244" s="4" t="str">
        <f>HYPERLINK("http://www.uniprot.org/uniprot/M5X116","M5X116")</f>
        <v>M5X116</v>
      </c>
      <c r="D4244" s="2" t="s">
        <v>3968</v>
      </c>
      <c r="E4244" s="3">
        <v>1.96E-168</v>
      </c>
      <c r="F4244" s="2">
        <v>1340</v>
      </c>
      <c r="G4244" s="2">
        <v>98</v>
      </c>
      <c r="H4244" s="2">
        <v>300</v>
      </c>
      <c r="I4244" s="2">
        <v>211</v>
      </c>
      <c r="J4244" s="2">
        <v>1110</v>
      </c>
      <c r="K4244" s="2">
        <v>12</v>
      </c>
      <c r="L4244" s="2">
        <v>304</v>
      </c>
    </row>
    <row r="4245" spans="1:12" x14ac:dyDescent="0.25">
      <c r="A4245" s="4" t="str">
        <f>HYPERLINK("http://www.rosaceae.org/Prunus/Prunus_persica/p.persica_gdr_reftransV1_0019409","p.persica_gdr_reftransV1_0019409")</f>
        <v>p.persica_gdr_reftransV1_0019409</v>
      </c>
      <c r="B4245" s="2">
        <v>1218</v>
      </c>
      <c r="C4245" s="4" t="str">
        <f>HYPERLINK("http://www.uniprot.org/uniprot/M5WRC6","M5WRC6")</f>
        <v>M5WRC6</v>
      </c>
      <c r="D4245" s="2" t="s">
        <v>3969</v>
      </c>
      <c r="E4245" s="3">
        <v>3.2499999999999998E-129</v>
      </c>
      <c r="F4245" s="2">
        <v>980</v>
      </c>
      <c r="G4245" s="2">
        <v>100</v>
      </c>
      <c r="H4245" s="2">
        <v>189</v>
      </c>
      <c r="I4245" s="2">
        <v>471</v>
      </c>
      <c r="J4245" s="2">
        <v>1037</v>
      </c>
      <c r="K4245" s="2">
        <v>1</v>
      </c>
      <c r="L4245" s="2">
        <v>189</v>
      </c>
    </row>
    <row r="4246" spans="1:12" x14ac:dyDescent="0.25">
      <c r="A4246" s="4" t="str">
        <f>HYPERLINK("http://www.rosaceae.org/Prunus/Prunus_persica/p.persica_gdr_reftransV1_0019759","p.persica_gdr_reftransV1_0019759")</f>
        <v>p.persica_gdr_reftransV1_0019759</v>
      </c>
      <c r="B4246" s="2">
        <v>4339</v>
      </c>
      <c r="C4246" s="4" t="str">
        <f>HYPERLINK("http://www.uniprot.org/uniprot/W9RJL8","W9RJL8")</f>
        <v>W9RJL8</v>
      </c>
      <c r="D4246" s="2" t="s">
        <v>3970</v>
      </c>
      <c r="E4246" s="3">
        <v>0</v>
      </c>
      <c r="F4246" s="2">
        <v>2503</v>
      </c>
      <c r="G4246" s="2">
        <v>73</v>
      </c>
      <c r="H4246" s="2">
        <v>663</v>
      </c>
      <c r="I4246" s="2">
        <v>2058</v>
      </c>
      <c r="J4246" s="2">
        <v>4031</v>
      </c>
      <c r="K4246" s="2">
        <v>53</v>
      </c>
      <c r="L4246" s="2">
        <v>712</v>
      </c>
    </row>
    <row r="4247" spans="1:12" x14ac:dyDescent="0.25">
      <c r="A4247" s="4" t="str">
        <f>HYPERLINK("http://www.rosaceae.org/Prunus/Prunus_persica/p.persica_gdr_reftransV1_0020109","p.persica_gdr_reftransV1_0020109")</f>
        <v>p.persica_gdr_reftransV1_0020109</v>
      </c>
      <c r="B4247" s="2">
        <v>2124</v>
      </c>
      <c r="C4247" s="4" t="str">
        <f>HYPERLINK("http://www.uniprot.org/uniprot/M5XFL0","M5XFL0")</f>
        <v>M5XFL0</v>
      </c>
      <c r="D4247" s="2" t="s">
        <v>3971</v>
      </c>
      <c r="E4247" s="3">
        <v>0</v>
      </c>
      <c r="F4247" s="2">
        <v>1867</v>
      </c>
      <c r="G4247" s="2">
        <v>100</v>
      </c>
      <c r="H4247" s="2">
        <v>389</v>
      </c>
      <c r="I4247" s="2">
        <v>559</v>
      </c>
      <c r="J4247" s="2">
        <v>1725</v>
      </c>
      <c r="K4247" s="2">
        <v>1</v>
      </c>
      <c r="L4247" s="2">
        <v>389</v>
      </c>
    </row>
    <row r="4248" spans="1:12" x14ac:dyDescent="0.25">
      <c r="A4248" s="4" t="str">
        <f>HYPERLINK("http://www.rosaceae.org/Prunus/Prunus_persica/p.persica_gdr_reftransV1_0020809","p.persica_gdr_reftransV1_0020809")</f>
        <v>p.persica_gdr_reftransV1_0020809</v>
      </c>
      <c r="B4248" s="2">
        <v>1849</v>
      </c>
      <c r="C4248" s="4" t="str">
        <f>HYPERLINK("http://www.uniprot.org/uniprot/M5WEI0","M5WEI0")</f>
        <v>M5WEI0</v>
      </c>
      <c r="D4248" s="2" t="s">
        <v>3972</v>
      </c>
      <c r="E4248" s="3">
        <v>0</v>
      </c>
      <c r="F4248" s="2">
        <v>1459</v>
      </c>
      <c r="G4248" s="2">
        <v>93</v>
      </c>
      <c r="H4248" s="2">
        <v>321</v>
      </c>
      <c r="I4248" s="2">
        <v>675</v>
      </c>
      <c r="J4248" s="2">
        <v>1637</v>
      </c>
      <c r="K4248" s="2">
        <v>1</v>
      </c>
      <c r="L4248" s="2">
        <v>298</v>
      </c>
    </row>
    <row r="4249" spans="1:12" x14ac:dyDescent="0.25">
      <c r="A4249" s="4" t="str">
        <f>HYPERLINK("http://www.rosaceae.org/Prunus/Prunus_persica/p.persica_gdr_reftransV1_0021159","p.persica_gdr_reftransV1_0021159")</f>
        <v>p.persica_gdr_reftransV1_0021159</v>
      </c>
      <c r="B4249" s="2">
        <v>4517</v>
      </c>
      <c r="C4249" s="4" t="str">
        <f>HYPERLINK("http://www.uniprot.org/uniprot/W9R2F7","W9R2F7")</f>
        <v>W9R2F7</v>
      </c>
      <c r="D4249" s="2" t="s">
        <v>3973</v>
      </c>
      <c r="E4249" s="3">
        <v>1.51E-149</v>
      </c>
      <c r="F4249" s="2">
        <v>1276</v>
      </c>
      <c r="G4249" s="2">
        <v>40</v>
      </c>
      <c r="H4249" s="2">
        <v>942</v>
      </c>
      <c r="I4249" s="2">
        <v>662</v>
      </c>
      <c r="J4249" s="2">
        <v>3397</v>
      </c>
      <c r="K4249" s="2">
        <v>37</v>
      </c>
      <c r="L4249" s="2">
        <v>948</v>
      </c>
    </row>
    <row r="4250" spans="1:12" x14ac:dyDescent="0.25">
      <c r="A4250" s="4" t="str">
        <f>HYPERLINK("http://www.rosaceae.org/Prunus/Prunus_persica/p.persica_gdr_reftransV1_0021509","p.persica_gdr_reftransV1_0021509")</f>
        <v>p.persica_gdr_reftransV1_0021509</v>
      </c>
      <c r="B4250" s="2">
        <v>1397</v>
      </c>
      <c r="C4250" s="4" t="str">
        <f>HYPERLINK("http://www.uniprot.org/uniprot/M5X0X4","M5X0X4")</f>
        <v>M5X0X4</v>
      </c>
      <c r="D4250" s="2" t="s">
        <v>3974</v>
      </c>
      <c r="E4250" s="3">
        <v>5.4099999999999995E-82</v>
      </c>
      <c r="F4250" s="2">
        <v>669</v>
      </c>
      <c r="G4250" s="2">
        <v>99</v>
      </c>
      <c r="H4250" s="2">
        <v>128</v>
      </c>
      <c r="I4250" s="2">
        <v>254</v>
      </c>
      <c r="J4250" s="2">
        <v>637</v>
      </c>
      <c r="K4250" s="2">
        <v>32</v>
      </c>
      <c r="L4250" s="2">
        <v>159</v>
      </c>
    </row>
    <row r="4251" spans="1:12" x14ac:dyDescent="0.25">
      <c r="A4251" s="4" t="str">
        <f>HYPERLINK("http://www.rosaceae.org/Prunus/Prunus_persica/p.persica_gdr_reftransV1_0021859","p.persica_gdr_reftransV1_0021859")</f>
        <v>p.persica_gdr_reftransV1_0021859</v>
      </c>
      <c r="B4251" s="2">
        <v>2273</v>
      </c>
      <c r="C4251" s="4" t="str">
        <f>HYPERLINK("http://www.uniprot.org/uniprot/M5W468","M5W468")</f>
        <v>M5W468</v>
      </c>
      <c r="D4251" s="2" t="s">
        <v>3975</v>
      </c>
      <c r="E4251" s="3">
        <v>0</v>
      </c>
      <c r="F4251" s="2">
        <v>3140</v>
      </c>
      <c r="G4251" s="2">
        <v>94</v>
      </c>
      <c r="H4251" s="2">
        <v>722</v>
      </c>
      <c r="I4251" s="2">
        <v>92</v>
      </c>
      <c r="J4251" s="2">
        <v>2257</v>
      </c>
      <c r="K4251" s="2">
        <v>76</v>
      </c>
      <c r="L4251" s="2">
        <v>763</v>
      </c>
    </row>
    <row r="4252" spans="1:12" x14ac:dyDescent="0.25">
      <c r="A4252" s="4" t="str">
        <f>HYPERLINK("http://www.rosaceae.org/Prunus/Prunus_persica/p.persica_gdr_reftransV1_0022209","p.persica_gdr_reftransV1_0022209")</f>
        <v>p.persica_gdr_reftransV1_0022209</v>
      </c>
      <c r="B4252" s="2">
        <v>1822</v>
      </c>
      <c r="C4252" s="4" t="str">
        <f>HYPERLINK("http://www.uniprot.org/uniprot/M5W3M4","M5W3M4")</f>
        <v>M5W3M4</v>
      </c>
      <c r="D4252" s="2" t="s">
        <v>3976</v>
      </c>
      <c r="E4252" s="3">
        <v>5.1999999999999999E-49</v>
      </c>
      <c r="F4252" s="2">
        <v>453</v>
      </c>
      <c r="G4252" s="2">
        <v>100</v>
      </c>
      <c r="H4252" s="2">
        <v>84</v>
      </c>
      <c r="I4252" s="2">
        <v>543</v>
      </c>
      <c r="J4252" s="2">
        <v>794</v>
      </c>
      <c r="K4252" s="2">
        <v>1</v>
      </c>
      <c r="L4252" s="2">
        <v>84</v>
      </c>
    </row>
    <row r="4253" spans="1:12" x14ac:dyDescent="0.25">
      <c r="A4253" s="4" t="str">
        <f>HYPERLINK("http://www.rosaceae.org/Prunus/Prunus_persica/p.persica_gdr_reftransV1_0022559","p.persica_gdr_reftransV1_0022559")</f>
        <v>p.persica_gdr_reftransV1_0022559</v>
      </c>
      <c r="B4253" s="2">
        <v>3861</v>
      </c>
      <c r="C4253" s="4" t="str">
        <f>HYPERLINK("http://www.uniprot.org/uniprot/M5XE46","M5XE46")</f>
        <v>M5XE46</v>
      </c>
      <c r="D4253" s="2" t="s">
        <v>3977</v>
      </c>
      <c r="E4253" s="3">
        <v>3.9900000000000003E-76</v>
      </c>
      <c r="F4253" s="2">
        <v>673</v>
      </c>
      <c r="G4253" s="2">
        <v>94</v>
      </c>
      <c r="H4253" s="2">
        <v>140</v>
      </c>
      <c r="I4253" s="2">
        <v>2188</v>
      </c>
      <c r="J4253" s="2">
        <v>2607</v>
      </c>
      <c r="K4253" s="2">
        <v>60</v>
      </c>
      <c r="L4253" s="2">
        <v>199</v>
      </c>
    </row>
    <row r="4254" spans="1:12" x14ac:dyDescent="0.25">
      <c r="A4254" s="4" t="str">
        <f>HYPERLINK("http://www.rosaceae.org/Prunus/Prunus_persica/p.persica_gdr_reftransV1_0023609","p.persica_gdr_reftransV1_0023609")</f>
        <v>p.persica_gdr_reftransV1_0023609</v>
      </c>
      <c r="B4254" s="2">
        <v>573</v>
      </c>
      <c r="C4254" s="4" t="str">
        <f>HYPERLINK("http://www.uniprot.org/uniprot/M5XE13","M5XE13")</f>
        <v>M5XE13</v>
      </c>
      <c r="D4254" s="2" t="s">
        <v>3978</v>
      </c>
      <c r="E4254" s="3">
        <v>2.3500000000000001E-126</v>
      </c>
      <c r="F4254" s="2">
        <v>958</v>
      </c>
      <c r="G4254" s="2">
        <v>100</v>
      </c>
      <c r="H4254" s="2">
        <v>175</v>
      </c>
      <c r="I4254" s="2">
        <v>3</v>
      </c>
      <c r="J4254" s="2">
        <v>527</v>
      </c>
      <c r="K4254" s="2">
        <v>1</v>
      </c>
      <c r="L4254" s="2">
        <v>175</v>
      </c>
    </row>
    <row r="4255" spans="1:12" x14ac:dyDescent="0.25">
      <c r="A4255" s="4" t="str">
        <f>HYPERLINK("http://www.rosaceae.org/Prunus/Prunus_persica/p.persica_gdr_reftransV1_0023959","p.persica_gdr_reftransV1_0023959")</f>
        <v>p.persica_gdr_reftransV1_0023959</v>
      </c>
      <c r="B4255" s="2">
        <v>1732</v>
      </c>
      <c r="C4255" s="4" t="str">
        <f>HYPERLINK("http://www.uniprot.org/uniprot/M5VW10","M5VW10")</f>
        <v>M5VW10</v>
      </c>
      <c r="D4255" s="2" t="s">
        <v>3979</v>
      </c>
      <c r="E4255" s="3">
        <v>0</v>
      </c>
      <c r="F4255" s="2">
        <v>965</v>
      </c>
      <c r="G4255" s="2">
        <v>100</v>
      </c>
      <c r="H4255" s="2">
        <v>183</v>
      </c>
      <c r="I4255" s="2">
        <v>371</v>
      </c>
      <c r="J4255" s="2">
        <v>919</v>
      </c>
      <c r="K4255" s="2">
        <v>189</v>
      </c>
      <c r="L4255" s="2">
        <v>371</v>
      </c>
    </row>
    <row r="4256" spans="1:12" x14ac:dyDescent="0.25">
      <c r="A4256" s="4" t="str">
        <f>HYPERLINK("http://www.rosaceae.org/Prunus/Prunus_persica/p.persica_gdr_reftransV1_0024659","p.persica_gdr_reftransV1_0024659")</f>
        <v>p.persica_gdr_reftransV1_0024659</v>
      </c>
      <c r="B4256" s="2">
        <v>1559</v>
      </c>
      <c r="C4256" s="4" t="str">
        <f>HYPERLINK("http://www.uniprot.org/uniprot/M5X5G5","M5X5G5")</f>
        <v>M5X5G5</v>
      </c>
      <c r="D4256" s="2" t="s">
        <v>3980</v>
      </c>
      <c r="E4256" s="3">
        <v>7.8199999999999996E-127</v>
      </c>
      <c r="F4256" s="2">
        <v>981</v>
      </c>
      <c r="G4256" s="2">
        <v>100</v>
      </c>
      <c r="H4256" s="2">
        <v>247</v>
      </c>
      <c r="I4256" s="2">
        <v>517</v>
      </c>
      <c r="J4256" s="2">
        <v>1257</v>
      </c>
      <c r="K4256" s="2">
        <v>1</v>
      </c>
      <c r="L4256" s="2">
        <v>247</v>
      </c>
    </row>
    <row r="4257" spans="1:12" x14ac:dyDescent="0.25">
      <c r="A4257" s="4" t="str">
        <f>HYPERLINK("http://www.rosaceae.org/Prunus/Prunus_persica/p.persica_gdr_reftransV1_0025009","p.persica_gdr_reftransV1_0025009")</f>
        <v>p.persica_gdr_reftransV1_0025009</v>
      </c>
      <c r="B4257" s="2">
        <v>3489</v>
      </c>
      <c r="C4257" s="4" t="str">
        <f>HYPERLINK("http://www.uniprot.org/uniprot/M5XD36","M5XD36")</f>
        <v>M5XD36</v>
      </c>
      <c r="D4257" s="2" t="s">
        <v>2069</v>
      </c>
      <c r="E4257" s="3">
        <v>1.6100000000000001E-165</v>
      </c>
      <c r="F4257" s="2">
        <v>1302</v>
      </c>
      <c r="G4257" s="2">
        <v>100</v>
      </c>
      <c r="H4257" s="2">
        <v>271</v>
      </c>
      <c r="I4257" s="2">
        <v>2094</v>
      </c>
      <c r="J4257" s="2">
        <v>2906</v>
      </c>
      <c r="K4257" s="2">
        <v>81</v>
      </c>
      <c r="L4257" s="2">
        <v>351</v>
      </c>
    </row>
    <row r="4258" spans="1:12" x14ac:dyDescent="0.25">
      <c r="A4258" s="4" t="str">
        <f>HYPERLINK("http://www.rosaceae.org/Prunus/Prunus_persica/p.persica_gdr_reftransV1_0027459","p.persica_gdr_reftransV1_0027459")</f>
        <v>p.persica_gdr_reftransV1_0027459</v>
      </c>
      <c r="B4258" s="2">
        <v>5833</v>
      </c>
      <c r="C4258" s="4" t="str">
        <f>HYPERLINK("http://www.uniprot.org/uniprot/M5XR59","M5XR59")</f>
        <v>M5XR59</v>
      </c>
      <c r="D4258" s="2" t="s">
        <v>3981</v>
      </c>
      <c r="E4258" s="3">
        <v>0</v>
      </c>
      <c r="F4258" s="2">
        <v>8449</v>
      </c>
      <c r="G4258" s="2">
        <v>99</v>
      </c>
      <c r="H4258" s="2">
        <v>1808</v>
      </c>
      <c r="I4258" s="2">
        <v>313</v>
      </c>
      <c r="J4258" s="2">
        <v>5736</v>
      </c>
      <c r="K4258" s="2">
        <v>1</v>
      </c>
      <c r="L4258" s="2">
        <v>1793</v>
      </c>
    </row>
    <row r="4259" spans="1:12" x14ac:dyDescent="0.25">
      <c r="A4259" s="4" t="str">
        <f>HYPERLINK("http://www.rosaceae.org/Prunus/Prunus_persica/p.persica_gdr_reftransV1_0028159","p.persica_gdr_reftransV1_0028159")</f>
        <v>p.persica_gdr_reftransV1_0028159</v>
      </c>
      <c r="B4259" s="2">
        <v>3369</v>
      </c>
      <c r="C4259" s="4" t="str">
        <f>HYPERLINK("http://www.uniprot.org/uniprot/M5WHG1","M5WHG1")</f>
        <v>M5WHG1</v>
      </c>
      <c r="D4259" s="2" t="s">
        <v>3982</v>
      </c>
      <c r="E4259" s="3">
        <v>3.9600000000000001E-125</v>
      </c>
      <c r="F4259" s="2">
        <v>1031</v>
      </c>
      <c r="G4259" s="2">
        <v>100</v>
      </c>
      <c r="H4259" s="2">
        <v>191</v>
      </c>
      <c r="I4259" s="2">
        <v>2187</v>
      </c>
      <c r="J4259" s="2">
        <v>2759</v>
      </c>
      <c r="K4259" s="2">
        <v>223</v>
      </c>
      <c r="L4259" s="2">
        <v>413</v>
      </c>
    </row>
    <row r="4260" spans="1:12" x14ac:dyDescent="0.25">
      <c r="A4260" s="4" t="str">
        <f>HYPERLINK("http://www.rosaceae.org/Prunus/Prunus_persica/p.persica_gdr_reftransV1_0030259","p.persica_gdr_reftransV1_0030259")</f>
        <v>p.persica_gdr_reftransV1_0030259</v>
      </c>
      <c r="B4260" s="2">
        <v>1907</v>
      </c>
      <c r="C4260" s="4" t="str">
        <f>HYPERLINK("http://www.uniprot.org/uniprot/M5WC53","M5WC53")</f>
        <v>M5WC53</v>
      </c>
      <c r="D4260" s="2" t="s">
        <v>3983</v>
      </c>
      <c r="E4260" s="3">
        <v>7.7100000000000004E-101</v>
      </c>
      <c r="F4260" s="2">
        <v>822</v>
      </c>
      <c r="G4260" s="2">
        <v>99</v>
      </c>
      <c r="H4260" s="2">
        <v>159</v>
      </c>
      <c r="I4260" s="2">
        <v>331</v>
      </c>
      <c r="J4260" s="2">
        <v>807</v>
      </c>
      <c r="K4260" s="2">
        <v>137</v>
      </c>
      <c r="L4260" s="2">
        <v>295</v>
      </c>
    </row>
    <row r="4261" spans="1:12" x14ac:dyDescent="0.25">
      <c r="A4261" s="4" t="str">
        <f>HYPERLINK("http://www.rosaceae.org/Prunus/Prunus_persica/p.persica_gdr_reftransV1_0030959","p.persica_gdr_reftransV1_0030959")</f>
        <v>p.persica_gdr_reftransV1_0030959</v>
      </c>
      <c r="B4261" s="2">
        <v>2577</v>
      </c>
      <c r="C4261" s="4" t="str">
        <f>HYPERLINK("http://www.uniprot.org/uniprot/M5WH93","M5WH93")</f>
        <v>M5WH93</v>
      </c>
      <c r="D4261" s="2" t="s">
        <v>310</v>
      </c>
      <c r="E4261" s="3">
        <v>0</v>
      </c>
      <c r="F4261" s="2">
        <v>2235</v>
      </c>
      <c r="G4261" s="2">
        <v>100</v>
      </c>
      <c r="H4261" s="2">
        <v>411</v>
      </c>
      <c r="I4261" s="2">
        <v>2</v>
      </c>
      <c r="J4261" s="2">
        <v>1234</v>
      </c>
      <c r="K4261" s="2">
        <v>773</v>
      </c>
      <c r="L4261" s="2">
        <v>1183</v>
      </c>
    </row>
    <row r="4262" spans="1:12" x14ac:dyDescent="0.25">
      <c r="A4262" s="4" t="str">
        <f>HYPERLINK("http://www.rosaceae.org/Prunus/Prunus_persica/p.persica_gdr_reftransV1_0034109","p.persica_gdr_reftransV1_0034109")</f>
        <v>p.persica_gdr_reftransV1_0034109</v>
      </c>
      <c r="B4262" s="2">
        <v>2627</v>
      </c>
      <c r="C4262" s="4" t="str">
        <f>HYPERLINK("http://www.uniprot.org/uniprot/M5VZC1","M5VZC1")</f>
        <v>M5VZC1</v>
      </c>
      <c r="D4262" s="2" t="s">
        <v>3984</v>
      </c>
      <c r="E4262" s="3">
        <v>0</v>
      </c>
      <c r="F4262" s="2">
        <v>2008</v>
      </c>
      <c r="G4262" s="2">
        <v>100</v>
      </c>
      <c r="H4262" s="2">
        <v>419</v>
      </c>
      <c r="I4262" s="2">
        <v>332</v>
      </c>
      <c r="J4262" s="2">
        <v>1588</v>
      </c>
      <c r="K4262" s="2">
        <v>1</v>
      </c>
      <c r="L4262" s="2">
        <v>419</v>
      </c>
    </row>
    <row r="4263" spans="1:12" x14ac:dyDescent="0.25">
      <c r="A4263" s="4" t="str">
        <f>HYPERLINK("http://www.rosaceae.org/Prunus/Prunus_persica/p.persica_gdr_reftransV1_0035509","p.persica_gdr_reftransV1_0035509")</f>
        <v>p.persica_gdr_reftransV1_0035509</v>
      </c>
      <c r="B4263" s="2">
        <v>1789</v>
      </c>
      <c r="C4263" s="4" t="str">
        <f>HYPERLINK("http://www.uniprot.org/uniprot/M5WJE3","M5WJE3")</f>
        <v>M5WJE3</v>
      </c>
      <c r="D4263" s="2" t="s">
        <v>3985</v>
      </c>
      <c r="E4263" s="3">
        <v>0</v>
      </c>
      <c r="F4263" s="2">
        <v>3184</v>
      </c>
      <c r="G4263" s="2">
        <v>100</v>
      </c>
      <c r="H4263" s="2">
        <v>587</v>
      </c>
      <c r="I4263" s="2">
        <v>27</v>
      </c>
      <c r="J4263" s="2">
        <v>1787</v>
      </c>
      <c r="K4263" s="2">
        <v>18</v>
      </c>
      <c r="L4263" s="2">
        <v>604</v>
      </c>
    </row>
    <row r="4264" spans="1:12" x14ac:dyDescent="0.25">
      <c r="A4264" s="4" t="str">
        <f>HYPERLINK("http://www.rosaceae.org/Prunus/Prunus_persica/p.persica_gdr_reftransV1_0035859","p.persica_gdr_reftransV1_0035859")</f>
        <v>p.persica_gdr_reftransV1_0035859</v>
      </c>
      <c r="B4264" s="2">
        <v>582</v>
      </c>
      <c r="C4264" s="4" t="str">
        <f>HYPERLINK("http://www.uniprot.org/uniprot/M5WQ95","M5WQ95")</f>
        <v>M5WQ95</v>
      </c>
      <c r="D4264" s="2" t="s">
        <v>3986</v>
      </c>
      <c r="E4264" s="3">
        <v>1.12E-136</v>
      </c>
      <c r="F4264" s="2">
        <v>1044</v>
      </c>
      <c r="G4264" s="2">
        <v>100</v>
      </c>
      <c r="H4264" s="2">
        <v>194</v>
      </c>
      <c r="I4264" s="2">
        <v>1</v>
      </c>
      <c r="J4264" s="2">
        <v>582</v>
      </c>
      <c r="K4264" s="2">
        <v>231</v>
      </c>
      <c r="L4264" s="2">
        <v>424</v>
      </c>
    </row>
    <row r="4265" spans="1:12" x14ac:dyDescent="0.25">
      <c r="A4265" s="4" t="str">
        <f>HYPERLINK("http://www.rosaceae.org/Prunus/Prunus_persica/p.persica_gdr_reftransV1_0038309","p.persica_gdr_reftransV1_0038309")</f>
        <v>p.persica_gdr_reftransV1_0038309</v>
      </c>
      <c r="B4265" s="2">
        <v>2100</v>
      </c>
      <c r="C4265" s="4" t="str">
        <f>HYPERLINK("http://www.uniprot.org/uniprot/M5X3R8","M5X3R8")</f>
        <v>M5X3R8</v>
      </c>
      <c r="D4265" s="2" t="s">
        <v>3987</v>
      </c>
      <c r="E4265" s="3">
        <v>1.53E-81</v>
      </c>
      <c r="F4265" s="2">
        <v>683</v>
      </c>
      <c r="G4265" s="2">
        <v>100</v>
      </c>
      <c r="H4265" s="2">
        <v>163</v>
      </c>
      <c r="I4265" s="2">
        <v>1058</v>
      </c>
      <c r="J4265" s="2">
        <v>1546</v>
      </c>
      <c r="K4265" s="2">
        <v>1</v>
      </c>
      <c r="L4265" s="2">
        <v>163</v>
      </c>
    </row>
    <row r="4266" spans="1:12" x14ac:dyDescent="0.25">
      <c r="A4266" s="4" t="str">
        <f>HYPERLINK("http://www.rosaceae.org/Prunus/Prunus_persica/p.persica_gdr_reftransV1_0038659","p.persica_gdr_reftransV1_0038659")</f>
        <v>p.persica_gdr_reftransV1_0038659</v>
      </c>
      <c r="B4266" s="2">
        <v>4450</v>
      </c>
      <c r="C4266" s="4" t="str">
        <f>HYPERLINK("http://www.uniprot.org/uniprot/M5W6I6","M5W6I6")</f>
        <v>M5W6I6</v>
      </c>
      <c r="D4266" s="2" t="s">
        <v>3988</v>
      </c>
      <c r="E4266" s="3">
        <v>0</v>
      </c>
      <c r="F4266" s="2">
        <v>5320</v>
      </c>
      <c r="G4266" s="2">
        <v>100</v>
      </c>
      <c r="H4266" s="2">
        <v>1074</v>
      </c>
      <c r="I4266" s="2">
        <v>390</v>
      </c>
      <c r="J4266" s="2">
        <v>3611</v>
      </c>
      <c r="K4266" s="2">
        <v>8</v>
      </c>
      <c r="L4266" s="2">
        <v>1081</v>
      </c>
    </row>
    <row r="4267" spans="1:12" x14ac:dyDescent="0.25">
      <c r="A4267" s="4" t="str">
        <f>HYPERLINK("http://www.rosaceae.org/Prunus/Prunus_persica/p.persica_gdr_reftransV1_0040059","p.persica_gdr_reftransV1_0040059")</f>
        <v>p.persica_gdr_reftransV1_0040059</v>
      </c>
      <c r="B4267" s="2">
        <v>514</v>
      </c>
      <c r="C4267" s="4" t="str">
        <f>HYPERLINK("http://www.uniprot.org/uniprot/M5WAC4","M5WAC4")</f>
        <v>M5WAC4</v>
      </c>
      <c r="D4267" s="2" t="s">
        <v>854</v>
      </c>
      <c r="E4267" s="3">
        <v>7.2799999999999999E-54</v>
      </c>
      <c r="F4267" s="2">
        <v>487</v>
      </c>
      <c r="G4267" s="2">
        <v>100</v>
      </c>
      <c r="H4267" s="2">
        <v>122</v>
      </c>
      <c r="I4267" s="2">
        <v>149</v>
      </c>
      <c r="J4267" s="2">
        <v>514</v>
      </c>
      <c r="K4267" s="2">
        <v>1</v>
      </c>
      <c r="L4267" s="2">
        <v>122</v>
      </c>
    </row>
    <row r="4268" spans="1:12" x14ac:dyDescent="0.25">
      <c r="A4268" s="4" t="str">
        <f>HYPERLINK("http://www.rosaceae.org/Prunus/Prunus_persica/p.persica_gdr_reftransV1_0041109","p.persica_gdr_reftransV1_0041109")</f>
        <v>p.persica_gdr_reftransV1_0041109</v>
      </c>
      <c r="B4268" s="2">
        <v>1771</v>
      </c>
      <c r="C4268" s="4" t="str">
        <f>HYPERLINK("http://www.uniprot.org/uniprot/M5XDT8","M5XDT8")</f>
        <v>M5XDT8</v>
      </c>
      <c r="D4268" s="2" t="s">
        <v>3989</v>
      </c>
      <c r="E4268" s="3">
        <v>0</v>
      </c>
      <c r="F4268" s="2">
        <v>1640</v>
      </c>
      <c r="G4268" s="2">
        <v>99</v>
      </c>
      <c r="H4268" s="2">
        <v>343</v>
      </c>
      <c r="I4268" s="2">
        <v>408</v>
      </c>
      <c r="J4268" s="2">
        <v>1436</v>
      </c>
      <c r="K4268" s="2">
        <v>1</v>
      </c>
      <c r="L4268" s="2">
        <v>343</v>
      </c>
    </row>
    <row r="4269" spans="1:12" x14ac:dyDescent="0.25">
      <c r="A4269" s="4" t="str">
        <f>HYPERLINK("http://www.rosaceae.org/Prunus/Prunus_persica/p.persica_gdr_reftransV1_0042159","p.persica_gdr_reftransV1_0042159")</f>
        <v>p.persica_gdr_reftransV1_0042159</v>
      </c>
      <c r="B4269" s="2">
        <v>1683</v>
      </c>
      <c r="C4269" s="4" t="str">
        <f>HYPERLINK("http://www.uniprot.org/uniprot/M5X295","M5X295")</f>
        <v>M5X295</v>
      </c>
      <c r="D4269" s="2" t="s">
        <v>3990</v>
      </c>
      <c r="E4269" s="3">
        <v>3.5200000000000003E-141</v>
      </c>
      <c r="F4269" s="2">
        <v>1081</v>
      </c>
      <c r="G4269" s="2">
        <v>100</v>
      </c>
      <c r="H4269" s="2">
        <v>228</v>
      </c>
      <c r="I4269" s="2">
        <v>240</v>
      </c>
      <c r="J4269" s="2">
        <v>923</v>
      </c>
      <c r="K4269" s="2">
        <v>30</v>
      </c>
      <c r="L4269" s="2">
        <v>257</v>
      </c>
    </row>
    <row r="4270" spans="1:12" x14ac:dyDescent="0.25">
      <c r="A4270" s="4" t="str">
        <f>HYPERLINK("http://www.rosaceae.org/Prunus/Prunus_persica/p.persica_gdr_reftransV1_0042509","p.persica_gdr_reftransV1_0042509")</f>
        <v>p.persica_gdr_reftransV1_0042509</v>
      </c>
      <c r="B4270" s="2">
        <v>2101</v>
      </c>
      <c r="C4270" s="4" t="str">
        <f>HYPERLINK("http://www.uniprot.org/uniprot/M5VIB8","M5VIB8")</f>
        <v>M5VIB8</v>
      </c>
      <c r="D4270" s="2" t="s">
        <v>3991</v>
      </c>
      <c r="E4270" s="3">
        <v>3.2900000000000001E-167</v>
      </c>
      <c r="F4270" s="2">
        <v>1389</v>
      </c>
      <c r="G4270" s="2">
        <v>100</v>
      </c>
      <c r="H4270" s="2">
        <v>467</v>
      </c>
      <c r="I4270" s="2">
        <v>634</v>
      </c>
      <c r="J4270" s="2">
        <v>2034</v>
      </c>
      <c r="K4270" s="2">
        <v>1542</v>
      </c>
      <c r="L4270" s="2">
        <v>2008</v>
      </c>
    </row>
    <row r="4271" spans="1:12" x14ac:dyDescent="0.25">
      <c r="A4271" s="4" t="str">
        <f>HYPERLINK("http://www.rosaceae.org/Prunus/Prunus_persica/p.persica_gdr_reftransV1_0042859","p.persica_gdr_reftransV1_0042859")</f>
        <v>p.persica_gdr_reftransV1_0042859</v>
      </c>
      <c r="B4271" s="2">
        <v>2076</v>
      </c>
      <c r="C4271" s="4" t="str">
        <f>HYPERLINK("http://www.uniprot.org/uniprot/M5VYC1","M5VYC1")</f>
        <v>M5VYC1</v>
      </c>
      <c r="D4271" s="2" t="s">
        <v>3992</v>
      </c>
      <c r="E4271" s="3">
        <v>0</v>
      </c>
      <c r="F4271" s="2">
        <v>1994</v>
      </c>
      <c r="G4271" s="2">
        <v>100</v>
      </c>
      <c r="H4271" s="2">
        <v>418</v>
      </c>
      <c r="I4271" s="2">
        <v>116</v>
      </c>
      <c r="J4271" s="2">
        <v>1369</v>
      </c>
      <c r="K4271" s="2">
        <v>1</v>
      </c>
      <c r="L4271" s="2">
        <v>418</v>
      </c>
    </row>
    <row r="4272" spans="1:12" x14ac:dyDescent="0.25">
      <c r="A4272" s="4" t="str">
        <f>HYPERLINK("http://www.rosaceae.org/Prunus/Prunus_persica/p.persica_gdr_reftransV1_0043209","p.persica_gdr_reftransV1_0043209")</f>
        <v>p.persica_gdr_reftransV1_0043209</v>
      </c>
      <c r="B4272" s="2">
        <v>1507</v>
      </c>
      <c r="C4272" s="4" t="str">
        <f>HYPERLINK("http://www.uniprot.org/uniprot/M5XE52","M5XE52")</f>
        <v>M5XE52</v>
      </c>
      <c r="D4272" s="2" t="s">
        <v>3993</v>
      </c>
      <c r="E4272" s="3">
        <v>0</v>
      </c>
      <c r="F4272" s="2">
        <v>1698</v>
      </c>
      <c r="G4272" s="2">
        <v>100</v>
      </c>
      <c r="H4272" s="2">
        <v>337</v>
      </c>
      <c r="I4272" s="2">
        <v>180</v>
      </c>
      <c r="J4272" s="2">
        <v>1190</v>
      </c>
      <c r="K4272" s="2">
        <v>1</v>
      </c>
      <c r="L4272" s="2">
        <v>337</v>
      </c>
    </row>
    <row r="4273" spans="1:12" x14ac:dyDescent="0.25">
      <c r="A4273" s="4" t="str">
        <f>HYPERLINK("http://www.rosaceae.org/Prunus/Prunus_persica/p.persica_gdr_reftransV1_0043909","p.persica_gdr_reftransV1_0043909")</f>
        <v>p.persica_gdr_reftransV1_0043909</v>
      </c>
      <c r="B4273" s="2">
        <v>736</v>
      </c>
      <c r="C4273" s="4" t="str">
        <f>HYPERLINK("http://www.uniprot.org/uniprot/M5WT18","M5WT18")</f>
        <v>M5WT18</v>
      </c>
      <c r="D4273" s="2" t="s">
        <v>3994</v>
      </c>
      <c r="E4273" s="3">
        <v>1.04E-25</v>
      </c>
      <c r="F4273" s="2">
        <v>267</v>
      </c>
      <c r="G4273" s="2">
        <v>100</v>
      </c>
      <c r="H4273" s="2">
        <v>49</v>
      </c>
      <c r="I4273" s="2">
        <v>428</v>
      </c>
      <c r="J4273" s="2">
        <v>574</v>
      </c>
      <c r="K4273" s="2">
        <v>29</v>
      </c>
      <c r="L4273" s="2">
        <v>77</v>
      </c>
    </row>
    <row r="4274" spans="1:12" x14ac:dyDescent="0.25">
      <c r="A4274" s="4" t="str">
        <f>HYPERLINK("http://www.rosaceae.org/Prunus/Prunus_persica/p.persica_gdr_reftransV1_0044259","p.persica_gdr_reftransV1_0044259")</f>
        <v>p.persica_gdr_reftransV1_0044259</v>
      </c>
      <c r="B4274" s="2">
        <v>3186</v>
      </c>
      <c r="C4274" s="4" t="str">
        <f>HYPERLINK("http://www.uniprot.org/uniprot/M5XM84","M5XM84")</f>
        <v>M5XM84</v>
      </c>
      <c r="D4274" s="2" t="s">
        <v>1836</v>
      </c>
      <c r="E4274" s="3">
        <v>0</v>
      </c>
      <c r="F4274" s="2">
        <v>4278</v>
      </c>
      <c r="G4274" s="2">
        <v>100</v>
      </c>
      <c r="H4274" s="2">
        <v>913</v>
      </c>
      <c r="I4274" s="2">
        <v>277</v>
      </c>
      <c r="J4274" s="2">
        <v>3015</v>
      </c>
      <c r="K4274" s="2">
        <v>173</v>
      </c>
      <c r="L4274" s="2">
        <v>1085</v>
      </c>
    </row>
    <row r="4275" spans="1:12" x14ac:dyDescent="0.25">
      <c r="A4275" s="4" t="str">
        <f>HYPERLINK("http://www.rosaceae.org/Prunus/Prunus_persica/p.persica_gdr_reftransV1_0044959","p.persica_gdr_reftransV1_0044959")</f>
        <v>p.persica_gdr_reftransV1_0044959</v>
      </c>
      <c r="B4275" s="2">
        <v>2231</v>
      </c>
      <c r="C4275" s="4" t="str">
        <f>HYPERLINK("http://www.uniprot.org/uniprot/M5XKX5","M5XKX5")</f>
        <v>M5XKX5</v>
      </c>
      <c r="D4275" s="2" t="s">
        <v>2359</v>
      </c>
      <c r="E4275" s="3">
        <v>0</v>
      </c>
      <c r="F4275" s="2">
        <v>3095</v>
      </c>
      <c r="G4275" s="2">
        <v>100</v>
      </c>
      <c r="H4275" s="2">
        <v>676</v>
      </c>
      <c r="I4275" s="2">
        <v>202</v>
      </c>
      <c r="J4275" s="2">
        <v>2229</v>
      </c>
      <c r="K4275" s="2">
        <v>311</v>
      </c>
      <c r="L4275" s="2">
        <v>986</v>
      </c>
    </row>
    <row r="4276" spans="1:12" x14ac:dyDescent="0.25">
      <c r="A4276" s="4" t="str">
        <f>HYPERLINK("http://www.rosaceae.org/Prunus/Prunus_persica/p.persica_gdr_reftransV1_0045309","p.persica_gdr_reftransV1_0045309")</f>
        <v>p.persica_gdr_reftransV1_0045309</v>
      </c>
      <c r="B4276" s="2">
        <v>721</v>
      </c>
      <c r="C4276" s="4" t="str">
        <f>HYPERLINK("http://www.uniprot.org/uniprot/M5W0P7","M5W0P7")</f>
        <v>M5W0P7</v>
      </c>
      <c r="D4276" s="2" t="s">
        <v>3995</v>
      </c>
      <c r="E4276" s="3">
        <v>1.6E-98</v>
      </c>
      <c r="F4276" s="2">
        <v>755</v>
      </c>
      <c r="G4276" s="2">
        <v>100</v>
      </c>
      <c r="H4276" s="2">
        <v>142</v>
      </c>
      <c r="I4276" s="2">
        <v>210</v>
      </c>
      <c r="J4276" s="2">
        <v>635</v>
      </c>
      <c r="K4276" s="2">
        <v>1</v>
      </c>
      <c r="L4276" s="2">
        <v>142</v>
      </c>
    </row>
    <row r="4277" spans="1:12" x14ac:dyDescent="0.25">
      <c r="A4277" s="4" t="str">
        <f>HYPERLINK("http://www.rosaceae.org/Prunus/Prunus_persica/p.persica_gdr_reftransV1_0045659","p.persica_gdr_reftransV1_0045659")</f>
        <v>p.persica_gdr_reftransV1_0045659</v>
      </c>
      <c r="B4277" s="2">
        <v>1108</v>
      </c>
      <c r="C4277" s="4" t="str">
        <f>HYPERLINK("http://www.uniprot.org/uniprot/M5VWB7","M5VWB7")</f>
        <v>M5VWB7</v>
      </c>
      <c r="D4277" s="2" t="s">
        <v>3996</v>
      </c>
      <c r="E4277" s="3">
        <v>8.7699999999999997E-57</v>
      </c>
      <c r="F4277" s="2">
        <v>489</v>
      </c>
      <c r="G4277" s="2">
        <v>100</v>
      </c>
      <c r="H4277" s="2">
        <v>116</v>
      </c>
      <c r="I4277" s="2">
        <v>626</v>
      </c>
      <c r="J4277" s="2">
        <v>973</v>
      </c>
      <c r="K4277" s="2">
        <v>1</v>
      </c>
      <c r="L4277" s="2">
        <v>116</v>
      </c>
    </row>
    <row r="4278" spans="1:12" x14ac:dyDescent="0.25">
      <c r="A4278" s="4" t="str">
        <f>HYPERLINK("http://www.rosaceae.org/Prunus/Prunus_persica/p.persica_gdr_reftransV1_0046009","p.persica_gdr_reftransV1_0046009")</f>
        <v>p.persica_gdr_reftransV1_0046009</v>
      </c>
      <c r="B4278" s="2">
        <v>1778</v>
      </c>
      <c r="C4278" s="4" t="str">
        <f>HYPERLINK("http://www.uniprot.org/uniprot/M5VX30","M5VX30")</f>
        <v>M5VX30</v>
      </c>
      <c r="D4278" s="2" t="s">
        <v>3997</v>
      </c>
      <c r="E4278" s="3">
        <v>0</v>
      </c>
      <c r="F4278" s="2">
        <v>1421</v>
      </c>
      <c r="G4278" s="2">
        <v>100</v>
      </c>
      <c r="H4278" s="2">
        <v>377</v>
      </c>
      <c r="I4278" s="2">
        <v>344</v>
      </c>
      <c r="J4278" s="2">
        <v>1474</v>
      </c>
      <c r="K4278" s="2">
        <v>1</v>
      </c>
      <c r="L4278" s="2">
        <v>377</v>
      </c>
    </row>
    <row r="4279" spans="1:12" x14ac:dyDescent="0.25">
      <c r="A4279" s="4" t="str">
        <f>HYPERLINK("http://www.rosaceae.org/Prunus/Prunus_persica/p.persica_gdr_reftransV1_0046709","p.persica_gdr_reftransV1_0046709")</f>
        <v>p.persica_gdr_reftransV1_0046709</v>
      </c>
      <c r="B4279" s="2">
        <v>1328</v>
      </c>
      <c r="C4279" s="4" t="str">
        <f>HYPERLINK("http://www.uniprot.org/uniprot/M5W7G4","M5W7G4")</f>
        <v>M5W7G4</v>
      </c>
      <c r="D4279" s="2" t="s">
        <v>3998</v>
      </c>
      <c r="E4279" s="3">
        <v>3.3400000000000001E-52</v>
      </c>
      <c r="F4279" s="2">
        <v>410</v>
      </c>
      <c r="G4279" s="2">
        <v>99</v>
      </c>
      <c r="H4279" s="2">
        <v>96</v>
      </c>
      <c r="I4279" s="2">
        <v>475</v>
      </c>
      <c r="J4279" s="2">
        <v>762</v>
      </c>
      <c r="K4279" s="2">
        <v>1</v>
      </c>
      <c r="L4279" s="2">
        <v>95</v>
      </c>
    </row>
    <row r="4280" spans="1:12" x14ac:dyDescent="0.25">
      <c r="A4280" s="4" t="str">
        <f>HYPERLINK("http://www.rosaceae.org/Prunus/Prunus_persica/p.persica_gdr_reftransV1_0047059","p.persica_gdr_reftransV1_0047059")</f>
        <v>p.persica_gdr_reftransV1_0047059</v>
      </c>
      <c r="B4280" s="2">
        <v>690</v>
      </c>
      <c r="C4280" s="4" t="str">
        <f>HYPERLINK("http://www.uniprot.org/uniprot/M5W5D1","M5W5D1")</f>
        <v>M5W5D1</v>
      </c>
      <c r="D4280" s="2" t="s">
        <v>2390</v>
      </c>
      <c r="E4280" s="3">
        <v>5.7200000000000003E-83</v>
      </c>
      <c r="F4280" s="2">
        <v>671</v>
      </c>
      <c r="G4280" s="2">
        <v>100</v>
      </c>
      <c r="H4280" s="2">
        <v>142</v>
      </c>
      <c r="I4280" s="2">
        <v>264</v>
      </c>
      <c r="J4280" s="2">
        <v>689</v>
      </c>
      <c r="K4280" s="2">
        <v>1</v>
      </c>
      <c r="L4280" s="2">
        <v>142</v>
      </c>
    </row>
    <row r="4281" spans="1:12" x14ac:dyDescent="0.25">
      <c r="A4281" s="4" t="str">
        <f>HYPERLINK("http://www.rosaceae.org/Prunus/Prunus_persica/p.persica_gdr_reftransV1_0047409","p.persica_gdr_reftransV1_0047409")</f>
        <v>p.persica_gdr_reftransV1_0047409</v>
      </c>
      <c r="B4281" s="2">
        <v>988</v>
      </c>
      <c r="C4281" s="4" t="str">
        <f>HYPERLINK("http://www.uniprot.org/uniprot/M5XYC3","M5XYC3")</f>
        <v>M5XYC3</v>
      </c>
      <c r="D4281" s="2" t="s">
        <v>3999</v>
      </c>
      <c r="E4281" s="3">
        <v>0</v>
      </c>
      <c r="F4281" s="2">
        <v>1433</v>
      </c>
      <c r="G4281" s="2">
        <v>100</v>
      </c>
      <c r="H4281" s="2">
        <v>294</v>
      </c>
      <c r="I4281" s="2">
        <v>107</v>
      </c>
      <c r="J4281" s="2">
        <v>988</v>
      </c>
      <c r="K4281" s="2">
        <v>1</v>
      </c>
      <c r="L4281" s="2">
        <v>294</v>
      </c>
    </row>
    <row r="4282" spans="1:12" x14ac:dyDescent="0.25">
      <c r="A4282" s="4" t="str">
        <f>HYPERLINK("http://www.rosaceae.org/Prunus/Prunus_persica/p.persica_gdr_reftransV1_0047759","p.persica_gdr_reftransV1_0047759")</f>
        <v>p.persica_gdr_reftransV1_0047759</v>
      </c>
      <c r="B4282" s="2">
        <v>1301</v>
      </c>
      <c r="C4282" s="4" t="str">
        <f>HYPERLINK("http://www.uniprot.org/uniprot/M5VT39","M5VT39")</f>
        <v>M5VT39</v>
      </c>
      <c r="D4282" s="2" t="s">
        <v>4000</v>
      </c>
      <c r="E4282" s="3">
        <v>2.0599999999999999E-145</v>
      </c>
      <c r="F4282" s="2">
        <v>1092</v>
      </c>
      <c r="G4282" s="2">
        <v>99</v>
      </c>
      <c r="H4282" s="2">
        <v>208</v>
      </c>
      <c r="I4282" s="2">
        <v>465</v>
      </c>
      <c r="J4282" s="2">
        <v>1088</v>
      </c>
      <c r="K4282" s="2">
        <v>1</v>
      </c>
      <c r="L4282" s="2">
        <v>208</v>
      </c>
    </row>
    <row r="4283" spans="1:12" x14ac:dyDescent="0.25">
      <c r="A4283" s="4" t="str">
        <f>HYPERLINK("http://www.rosaceae.org/Prunus/Prunus_persica/p.persica_gdr_reftransV1_0048109","p.persica_gdr_reftransV1_0048109")</f>
        <v>p.persica_gdr_reftransV1_0048109</v>
      </c>
      <c r="B4283" s="2">
        <v>1621</v>
      </c>
      <c r="C4283" s="4" t="str">
        <f>HYPERLINK("http://www.uniprot.org/uniprot/M5X7Y1","M5X7Y1")</f>
        <v>M5X7Y1</v>
      </c>
      <c r="D4283" s="2" t="s">
        <v>4001</v>
      </c>
      <c r="E4283" s="3">
        <v>0</v>
      </c>
      <c r="F4283" s="2">
        <v>1851</v>
      </c>
      <c r="G4283" s="2">
        <v>100</v>
      </c>
      <c r="H4283" s="2">
        <v>395</v>
      </c>
      <c r="I4283" s="2">
        <v>133</v>
      </c>
      <c r="J4283" s="2">
        <v>1317</v>
      </c>
      <c r="K4283" s="2">
        <v>1</v>
      </c>
      <c r="L4283" s="2">
        <v>395</v>
      </c>
    </row>
    <row r="4284" spans="1:12" x14ac:dyDescent="0.25">
      <c r="A4284" s="4" t="str">
        <f>HYPERLINK("http://www.rosaceae.org/Prunus/Prunus_persica/p.persica_gdr_reftransV1_0048459","p.persica_gdr_reftransV1_0048459")</f>
        <v>p.persica_gdr_reftransV1_0048459</v>
      </c>
      <c r="B4284" s="2">
        <v>530</v>
      </c>
      <c r="C4284" s="4" t="str">
        <f>HYPERLINK("http://www.uniprot.org/uniprot/M5WWD3","M5WWD3")</f>
        <v>M5WWD3</v>
      </c>
      <c r="D4284" s="2" t="s">
        <v>4002</v>
      </c>
      <c r="E4284" s="3">
        <v>9.4300000000000004E-40</v>
      </c>
      <c r="F4284" s="2">
        <v>372</v>
      </c>
      <c r="G4284" s="2">
        <v>99</v>
      </c>
      <c r="H4284" s="2">
        <v>121</v>
      </c>
      <c r="I4284" s="2">
        <v>72</v>
      </c>
      <c r="J4284" s="2">
        <v>434</v>
      </c>
      <c r="K4284" s="2">
        <v>1</v>
      </c>
      <c r="L4284" s="2">
        <v>121</v>
      </c>
    </row>
    <row r="4285" spans="1:12" x14ac:dyDescent="0.25">
      <c r="A4285" s="4" t="str">
        <f>HYPERLINK("http://www.rosaceae.org/Prunus/Prunus_persica/p.persica_gdr_reftransV1_0048809","p.persica_gdr_reftransV1_0048809")</f>
        <v>p.persica_gdr_reftransV1_0048809</v>
      </c>
      <c r="B4285" s="2">
        <v>2787</v>
      </c>
      <c r="C4285" s="4" t="str">
        <f>HYPERLINK("http://www.uniprot.org/uniprot/M5WQ72","M5WQ72")</f>
        <v>M5WQ72</v>
      </c>
      <c r="D4285" s="2" t="s">
        <v>4003</v>
      </c>
      <c r="E4285" s="3">
        <v>0</v>
      </c>
      <c r="F4285" s="2">
        <v>3753</v>
      </c>
      <c r="G4285" s="2">
        <v>100</v>
      </c>
      <c r="H4285" s="2">
        <v>756</v>
      </c>
      <c r="I4285" s="2">
        <v>343</v>
      </c>
      <c r="J4285" s="2">
        <v>2610</v>
      </c>
      <c r="K4285" s="2">
        <v>1</v>
      </c>
      <c r="L4285" s="2">
        <v>756</v>
      </c>
    </row>
    <row r="4286" spans="1:12" x14ac:dyDescent="0.25">
      <c r="A4286" s="4" t="str">
        <f>HYPERLINK("http://www.rosaceae.org/Prunus/Prunus_persica/p.persica_gdr_reftransV1_0049159","p.persica_gdr_reftransV1_0049159")</f>
        <v>p.persica_gdr_reftransV1_0049159</v>
      </c>
      <c r="B4286" s="2">
        <v>1798</v>
      </c>
      <c r="C4286" s="4" t="str">
        <f>HYPERLINK("http://www.uniprot.org/uniprot/M5WT67","M5WT67")</f>
        <v>M5WT67</v>
      </c>
      <c r="D4286" s="2" t="s">
        <v>4004</v>
      </c>
      <c r="E4286" s="3">
        <v>0</v>
      </c>
      <c r="F4286" s="2">
        <v>1940</v>
      </c>
      <c r="G4286" s="2">
        <v>97</v>
      </c>
      <c r="H4286" s="2">
        <v>398</v>
      </c>
      <c r="I4286" s="2">
        <v>384</v>
      </c>
      <c r="J4286" s="2">
        <v>1577</v>
      </c>
      <c r="K4286" s="2">
        <v>118</v>
      </c>
      <c r="L4286" s="2">
        <v>515</v>
      </c>
    </row>
    <row r="4287" spans="1:12" x14ac:dyDescent="0.25">
      <c r="A4287" s="4" t="str">
        <f>HYPERLINK("http://www.rosaceae.org/Prunus/Prunus_persica/p.persica_gdr_reftransV1_0000160","p.persica_gdr_reftransV1_0000160")</f>
        <v>p.persica_gdr_reftransV1_0000160</v>
      </c>
      <c r="B4287" s="2">
        <v>2189</v>
      </c>
      <c r="C4287" s="4" t="str">
        <f>HYPERLINK("http://www.uniprot.org/uniprot/M5XPD1","M5XPD1")</f>
        <v>M5XPD1</v>
      </c>
      <c r="D4287" s="2" t="s">
        <v>4005</v>
      </c>
      <c r="E4287" s="3">
        <v>0</v>
      </c>
      <c r="F4287" s="2">
        <v>2664</v>
      </c>
      <c r="G4287" s="2">
        <v>100</v>
      </c>
      <c r="H4287" s="2">
        <v>498</v>
      </c>
      <c r="I4287" s="2">
        <v>696</v>
      </c>
      <c r="J4287" s="2">
        <v>2189</v>
      </c>
      <c r="K4287" s="2">
        <v>160</v>
      </c>
      <c r="L4287" s="2">
        <v>657</v>
      </c>
    </row>
    <row r="4288" spans="1:12" x14ac:dyDescent="0.25">
      <c r="A4288" s="4" t="str">
        <f>HYPERLINK("http://www.rosaceae.org/Prunus/Prunus_persica/p.persica_gdr_reftransV1_0000510","p.persica_gdr_reftransV1_0000510")</f>
        <v>p.persica_gdr_reftransV1_0000510</v>
      </c>
      <c r="B4288" s="2">
        <v>3093</v>
      </c>
      <c r="C4288" s="4" t="str">
        <f>HYPERLINK("http://www.uniprot.org/uniprot/M5VXL3","M5VXL3")</f>
        <v>M5VXL3</v>
      </c>
      <c r="D4288" s="2" t="s">
        <v>2668</v>
      </c>
      <c r="E4288" s="3">
        <v>0</v>
      </c>
      <c r="F4288" s="2">
        <v>3085</v>
      </c>
      <c r="G4288" s="2">
        <v>100</v>
      </c>
      <c r="H4288" s="2">
        <v>597</v>
      </c>
      <c r="I4288" s="2">
        <v>345</v>
      </c>
      <c r="J4288" s="2">
        <v>2135</v>
      </c>
      <c r="K4288" s="2">
        <v>152</v>
      </c>
      <c r="L4288" s="2">
        <v>748</v>
      </c>
    </row>
    <row r="4289" spans="1:12" x14ac:dyDescent="0.25">
      <c r="A4289" s="4" t="str">
        <f>HYPERLINK("http://www.rosaceae.org/Prunus/Prunus_persica/p.persica_gdr_reftransV1_0000860","p.persica_gdr_reftransV1_0000860")</f>
        <v>p.persica_gdr_reftransV1_0000860</v>
      </c>
      <c r="B4289" s="2">
        <v>2031</v>
      </c>
      <c r="C4289" s="4" t="str">
        <f>HYPERLINK("http://www.uniprot.org/uniprot/M5VW15","M5VW15")</f>
        <v>M5VW15</v>
      </c>
      <c r="D4289" s="2" t="s">
        <v>4006</v>
      </c>
      <c r="E4289" s="3">
        <v>0</v>
      </c>
      <c r="F4289" s="2">
        <v>2732</v>
      </c>
      <c r="G4289" s="2">
        <v>100</v>
      </c>
      <c r="H4289" s="2">
        <v>515</v>
      </c>
      <c r="I4289" s="2">
        <v>147</v>
      </c>
      <c r="J4289" s="2">
        <v>1691</v>
      </c>
      <c r="K4289" s="2">
        <v>1</v>
      </c>
      <c r="L4289" s="2">
        <v>515</v>
      </c>
    </row>
    <row r="4290" spans="1:12" x14ac:dyDescent="0.25">
      <c r="A4290" s="4" t="str">
        <f>HYPERLINK("http://www.rosaceae.org/Prunus/Prunus_persica/p.persica_gdr_reftransV1_0001210","p.persica_gdr_reftransV1_0001210")</f>
        <v>p.persica_gdr_reftransV1_0001210</v>
      </c>
      <c r="B4290" s="2">
        <v>609</v>
      </c>
      <c r="C4290" s="4" t="str">
        <f>HYPERLINK("http://www.uniprot.org/uniprot/M5WIU6","M5WIU6")</f>
        <v>M5WIU6</v>
      </c>
      <c r="D4290" s="2" t="s">
        <v>4007</v>
      </c>
      <c r="E4290" s="3">
        <v>8.4300000000000004E-41</v>
      </c>
      <c r="F4290" s="2">
        <v>370</v>
      </c>
      <c r="G4290" s="2">
        <v>100</v>
      </c>
      <c r="H4290" s="2">
        <v>141</v>
      </c>
      <c r="I4290" s="2">
        <v>129</v>
      </c>
      <c r="J4290" s="2">
        <v>551</v>
      </c>
      <c r="K4290" s="2">
        <v>16</v>
      </c>
      <c r="L4290" s="2">
        <v>156</v>
      </c>
    </row>
    <row r="4291" spans="1:12" x14ac:dyDescent="0.25">
      <c r="A4291" s="4" t="str">
        <f>HYPERLINK("http://www.rosaceae.org/Prunus/Prunus_persica/p.persica_gdr_reftransV1_0001560","p.persica_gdr_reftransV1_0001560")</f>
        <v>p.persica_gdr_reftransV1_0001560</v>
      </c>
      <c r="B4291" s="2">
        <v>907</v>
      </c>
      <c r="C4291" s="4" t="str">
        <f>HYPERLINK("http://www.uniprot.org/uniprot/M5XIP0","M5XIP0")</f>
        <v>M5XIP0</v>
      </c>
      <c r="D4291" s="2" t="s">
        <v>4008</v>
      </c>
      <c r="E4291" s="3">
        <v>9.5800000000000004E-62</v>
      </c>
      <c r="F4291" s="2">
        <v>521</v>
      </c>
      <c r="G4291" s="2">
        <v>100</v>
      </c>
      <c r="H4291" s="2">
        <v>174</v>
      </c>
      <c r="I4291" s="2">
        <v>319</v>
      </c>
      <c r="J4291" s="2">
        <v>840</v>
      </c>
      <c r="K4291" s="2">
        <v>1</v>
      </c>
      <c r="L4291" s="2">
        <v>174</v>
      </c>
    </row>
    <row r="4292" spans="1:12" x14ac:dyDescent="0.25">
      <c r="A4292" s="4" t="str">
        <f>HYPERLINK("http://www.rosaceae.org/Prunus/Prunus_persica/p.persica_gdr_reftransV1_0001910","p.persica_gdr_reftransV1_0001910")</f>
        <v>p.persica_gdr_reftransV1_0001910</v>
      </c>
      <c r="B4292" s="2">
        <v>1706</v>
      </c>
      <c r="C4292" s="4" t="str">
        <f>HYPERLINK("http://www.uniprot.org/uniprot/M5XB82","M5XB82")</f>
        <v>M5XB82</v>
      </c>
      <c r="D4292" s="2" t="s">
        <v>2617</v>
      </c>
      <c r="E4292" s="3">
        <v>0</v>
      </c>
      <c r="F4292" s="2">
        <v>2951</v>
      </c>
      <c r="G4292" s="2">
        <v>100</v>
      </c>
      <c r="H4292" s="2">
        <v>569</v>
      </c>
      <c r="I4292" s="2">
        <v>2</v>
      </c>
      <c r="J4292" s="2">
        <v>1705</v>
      </c>
      <c r="K4292" s="2">
        <v>84</v>
      </c>
      <c r="L4292" s="2">
        <v>652</v>
      </c>
    </row>
    <row r="4293" spans="1:12" x14ac:dyDescent="0.25">
      <c r="A4293" s="4" t="str">
        <f>HYPERLINK("http://www.rosaceae.org/Prunus/Prunus_persica/p.persica_gdr_reftransV1_0002260","p.persica_gdr_reftransV1_0002260")</f>
        <v>p.persica_gdr_reftransV1_0002260</v>
      </c>
      <c r="B4293" s="2">
        <v>2029</v>
      </c>
      <c r="C4293" s="4" t="str">
        <f>HYPERLINK("http://www.uniprot.org/uniprot/M5WQV0","M5WQV0")</f>
        <v>M5WQV0</v>
      </c>
      <c r="D4293" s="2" t="s">
        <v>4009</v>
      </c>
      <c r="E4293" s="3">
        <v>0</v>
      </c>
      <c r="F4293" s="2">
        <v>2900</v>
      </c>
      <c r="G4293" s="2">
        <v>100</v>
      </c>
      <c r="H4293" s="2">
        <v>587</v>
      </c>
      <c r="I4293" s="2">
        <v>41</v>
      </c>
      <c r="J4293" s="2">
        <v>1801</v>
      </c>
      <c r="K4293" s="2">
        <v>1</v>
      </c>
      <c r="L4293" s="2">
        <v>587</v>
      </c>
    </row>
    <row r="4294" spans="1:12" x14ac:dyDescent="0.25">
      <c r="A4294" s="4" t="str">
        <f>HYPERLINK("http://www.rosaceae.org/Prunus/Prunus_persica/p.persica_gdr_reftransV1_0002960","p.persica_gdr_reftransV1_0002960")</f>
        <v>p.persica_gdr_reftransV1_0002960</v>
      </c>
      <c r="B4294" s="2">
        <v>1630</v>
      </c>
      <c r="C4294" s="4" t="str">
        <f>HYPERLINK("http://www.uniprot.org/uniprot/M5VN98","M5VN98")</f>
        <v>M5VN98</v>
      </c>
      <c r="D4294" s="2" t="s">
        <v>4010</v>
      </c>
      <c r="E4294" s="3">
        <v>0</v>
      </c>
      <c r="F4294" s="2">
        <v>1969</v>
      </c>
      <c r="G4294" s="2">
        <v>100</v>
      </c>
      <c r="H4294" s="2">
        <v>393</v>
      </c>
      <c r="I4294" s="2">
        <v>178</v>
      </c>
      <c r="J4294" s="2">
        <v>1356</v>
      </c>
      <c r="K4294" s="2">
        <v>35</v>
      </c>
      <c r="L4294" s="2">
        <v>427</v>
      </c>
    </row>
    <row r="4295" spans="1:12" x14ac:dyDescent="0.25">
      <c r="A4295" s="4" t="str">
        <f>HYPERLINK("http://www.rosaceae.org/Prunus/Prunus_persica/p.persica_gdr_reftransV1_0003310","p.persica_gdr_reftransV1_0003310")</f>
        <v>p.persica_gdr_reftransV1_0003310</v>
      </c>
      <c r="B4295" s="2">
        <v>1702</v>
      </c>
      <c r="C4295" s="4" t="str">
        <f>HYPERLINK("http://www.uniprot.org/uniprot/M5XCJ0","M5XCJ0")</f>
        <v>M5XCJ0</v>
      </c>
      <c r="D4295" s="2" t="s">
        <v>4011</v>
      </c>
      <c r="E4295" s="3">
        <v>0</v>
      </c>
      <c r="F4295" s="2">
        <v>2235</v>
      </c>
      <c r="G4295" s="2">
        <v>100</v>
      </c>
      <c r="H4295" s="2">
        <v>434</v>
      </c>
      <c r="I4295" s="2">
        <v>133</v>
      </c>
      <c r="J4295" s="2">
        <v>1434</v>
      </c>
      <c r="K4295" s="2">
        <v>1</v>
      </c>
      <c r="L4295" s="2">
        <v>434</v>
      </c>
    </row>
    <row r="4296" spans="1:12" x14ac:dyDescent="0.25">
      <c r="A4296" s="4" t="str">
        <f>HYPERLINK("http://www.rosaceae.org/Prunus/Prunus_persica/p.persica_gdr_reftransV1_0003660","p.persica_gdr_reftransV1_0003660")</f>
        <v>p.persica_gdr_reftransV1_0003660</v>
      </c>
      <c r="B4296" s="2">
        <v>2197</v>
      </c>
      <c r="C4296" s="4" t="str">
        <f>HYPERLINK("http://www.uniprot.org/uniprot/J7KBI6","J7KBI6")</f>
        <v>J7KBI6</v>
      </c>
      <c r="D4296" s="2" t="s">
        <v>4012</v>
      </c>
      <c r="E4296" s="3">
        <v>0</v>
      </c>
      <c r="F4296" s="2">
        <v>1884</v>
      </c>
      <c r="G4296" s="2">
        <v>100</v>
      </c>
      <c r="H4296" s="2">
        <v>344</v>
      </c>
      <c r="I4296" s="2">
        <v>1035</v>
      </c>
      <c r="J4296" s="2">
        <v>2066</v>
      </c>
      <c r="K4296" s="2">
        <v>1</v>
      </c>
      <c r="L4296" s="2">
        <v>344</v>
      </c>
    </row>
    <row r="4297" spans="1:12" x14ac:dyDescent="0.25">
      <c r="A4297" s="4" t="str">
        <f>HYPERLINK("http://www.rosaceae.org/Prunus/Prunus_persica/p.persica_gdr_reftransV1_0005060","p.persica_gdr_reftransV1_0005060")</f>
        <v>p.persica_gdr_reftransV1_0005060</v>
      </c>
      <c r="B4297" s="2">
        <v>645</v>
      </c>
      <c r="C4297" s="4" t="str">
        <f>HYPERLINK("http://www.uniprot.org/uniprot/M5X0X8","M5X0X8")</f>
        <v>M5X0X8</v>
      </c>
      <c r="D4297" s="2" t="s">
        <v>4013</v>
      </c>
      <c r="E4297" s="3">
        <v>3.0199999999999998E-7</v>
      </c>
      <c r="F4297" s="2">
        <v>136</v>
      </c>
      <c r="G4297" s="2">
        <v>100</v>
      </c>
      <c r="H4297" s="2">
        <v>45</v>
      </c>
      <c r="I4297" s="2">
        <v>152</v>
      </c>
      <c r="J4297" s="2">
        <v>286</v>
      </c>
      <c r="K4297" s="2">
        <v>1</v>
      </c>
      <c r="L4297" s="2">
        <v>45</v>
      </c>
    </row>
    <row r="4298" spans="1:12" x14ac:dyDescent="0.25">
      <c r="A4298" s="4" t="str">
        <f>HYPERLINK("http://www.rosaceae.org/Prunus/Prunus_persica/p.persica_gdr_reftransV1_0005410","p.persica_gdr_reftransV1_0005410")</f>
        <v>p.persica_gdr_reftransV1_0005410</v>
      </c>
      <c r="B4298" s="2">
        <v>1149</v>
      </c>
      <c r="C4298" s="4" t="str">
        <f>HYPERLINK("http://www.uniprot.org/uniprot/M5X0M1","M5X0M1")</f>
        <v>M5X0M1</v>
      </c>
      <c r="D4298" s="2" t="s">
        <v>4014</v>
      </c>
      <c r="E4298" s="3">
        <v>2.8700000000000002E-64</v>
      </c>
      <c r="F4298" s="2">
        <v>547</v>
      </c>
      <c r="G4298" s="2">
        <v>98</v>
      </c>
      <c r="H4298" s="2">
        <v>104</v>
      </c>
      <c r="I4298" s="2">
        <v>365</v>
      </c>
      <c r="J4298" s="2">
        <v>676</v>
      </c>
      <c r="K4298" s="2">
        <v>84</v>
      </c>
      <c r="L4298" s="2">
        <v>187</v>
      </c>
    </row>
    <row r="4299" spans="1:12" x14ac:dyDescent="0.25">
      <c r="A4299" s="4" t="str">
        <f>HYPERLINK("http://www.rosaceae.org/Prunus/Prunus_persica/p.persica_gdr_reftransV1_0005760","p.persica_gdr_reftransV1_0005760")</f>
        <v>p.persica_gdr_reftransV1_0005760</v>
      </c>
      <c r="B4299" s="2">
        <v>753</v>
      </c>
      <c r="C4299" s="4" t="str">
        <f>HYPERLINK("http://www.uniprot.org/uniprot/M5X4N8","M5X4N8")</f>
        <v>M5X4N8</v>
      </c>
      <c r="D4299" s="2" t="s">
        <v>4015</v>
      </c>
      <c r="E4299" s="3">
        <v>6.5999999999999998E-103</v>
      </c>
      <c r="F4299" s="2">
        <v>843</v>
      </c>
      <c r="G4299" s="2">
        <v>99</v>
      </c>
      <c r="H4299" s="2">
        <v>164</v>
      </c>
      <c r="I4299" s="2">
        <v>260</v>
      </c>
      <c r="J4299" s="2">
        <v>751</v>
      </c>
      <c r="K4299" s="2">
        <v>691</v>
      </c>
      <c r="L4299" s="2">
        <v>854</v>
      </c>
    </row>
    <row r="4300" spans="1:12" x14ac:dyDescent="0.25">
      <c r="A4300" s="4" t="str">
        <f>HYPERLINK("http://www.rosaceae.org/Prunus/Prunus_persica/p.persica_gdr_reftransV1_0006460","p.persica_gdr_reftransV1_0006460")</f>
        <v>p.persica_gdr_reftransV1_0006460</v>
      </c>
      <c r="B4300" s="2">
        <v>1427</v>
      </c>
      <c r="C4300" s="4" t="str">
        <f>HYPERLINK("http://www.uniprot.org/uniprot/M5X2B0","M5X2B0")</f>
        <v>M5X2B0</v>
      </c>
      <c r="D4300" s="2" t="s">
        <v>4016</v>
      </c>
      <c r="E4300" s="3">
        <v>1.11E-109</v>
      </c>
      <c r="F4300" s="2">
        <v>863</v>
      </c>
      <c r="G4300" s="2">
        <v>100</v>
      </c>
      <c r="H4300" s="2">
        <v>252</v>
      </c>
      <c r="I4300" s="2">
        <v>422</v>
      </c>
      <c r="J4300" s="2">
        <v>1177</v>
      </c>
      <c r="K4300" s="2">
        <v>1</v>
      </c>
      <c r="L4300" s="2">
        <v>252</v>
      </c>
    </row>
    <row r="4301" spans="1:12" x14ac:dyDescent="0.25">
      <c r="A4301" s="4" t="str">
        <f>HYPERLINK("http://www.rosaceae.org/Prunus/Prunus_persica/p.persica_gdr_reftransV1_0007510","p.persica_gdr_reftransV1_0007510")</f>
        <v>p.persica_gdr_reftransV1_0007510</v>
      </c>
      <c r="B4301" s="2">
        <v>1943</v>
      </c>
      <c r="C4301" s="4" t="str">
        <f>HYPERLINK("http://www.uniprot.org/uniprot/M5WU76","M5WU76")</f>
        <v>M5WU76</v>
      </c>
      <c r="D4301" s="2" t="s">
        <v>4017</v>
      </c>
      <c r="E4301" s="3">
        <v>0</v>
      </c>
      <c r="F4301" s="2">
        <v>2398</v>
      </c>
      <c r="G4301" s="2">
        <v>100</v>
      </c>
      <c r="H4301" s="2">
        <v>450</v>
      </c>
      <c r="I4301" s="2">
        <v>282</v>
      </c>
      <c r="J4301" s="2">
        <v>1631</v>
      </c>
      <c r="K4301" s="2">
        <v>1</v>
      </c>
      <c r="L4301" s="2">
        <v>450</v>
      </c>
    </row>
    <row r="4302" spans="1:12" x14ac:dyDescent="0.25">
      <c r="A4302" s="4" t="str">
        <f>HYPERLINK("http://www.rosaceae.org/Prunus/Prunus_persica/p.persica_gdr_reftransV1_0008210","p.persica_gdr_reftransV1_0008210")</f>
        <v>p.persica_gdr_reftransV1_0008210</v>
      </c>
      <c r="B4302" s="2">
        <v>1856</v>
      </c>
      <c r="C4302" s="4" t="str">
        <f>HYPERLINK("http://www.uniprot.org/uniprot/M5X530","M5X530")</f>
        <v>M5X530</v>
      </c>
      <c r="D4302" s="2" t="s">
        <v>4018</v>
      </c>
      <c r="E4302" s="3">
        <v>0</v>
      </c>
      <c r="F4302" s="2">
        <v>2123</v>
      </c>
      <c r="G4302" s="2">
        <v>100</v>
      </c>
      <c r="H4302" s="2">
        <v>424</v>
      </c>
      <c r="I4302" s="2">
        <v>353</v>
      </c>
      <c r="J4302" s="2">
        <v>1624</v>
      </c>
      <c r="K4302" s="2">
        <v>1</v>
      </c>
      <c r="L4302" s="2">
        <v>424</v>
      </c>
    </row>
    <row r="4303" spans="1:12" x14ac:dyDescent="0.25">
      <c r="A4303" s="4" t="str">
        <f>HYPERLINK("http://www.rosaceae.org/Prunus/Prunus_persica/p.persica_gdr_reftransV1_0008560","p.persica_gdr_reftransV1_0008560")</f>
        <v>p.persica_gdr_reftransV1_0008560</v>
      </c>
      <c r="B4303" s="2">
        <v>836</v>
      </c>
      <c r="C4303" s="4" t="str">
        <f>HYPERLINK("http://www.uniprot.org/uniprot/V4SN56","V4SN56")</f>
        <v>V4SN56</v>
      </c>
      <c r="D4303" s="2" t="s">
        <v>4019</v>
      </c>
      <c r="E4303" s="3">
        <v>5.5399999999999996E-13</v>
      </c>
      <c r="F4303" s="2">
        <v>192</v>
      </c>
      <c r="G4303" s="2">
        <v>49</v>
      </c>
      <c r="H4303" s="2">
        <v>99</v>
      </c>
      <c r="I4303" s="2">
        <v>557</v>
      </c>
      <c r="J4303" s="2">
        <v>829</v>
      </c>
      <c r="K4303" s="2">
        <v>892</v>
      </c>
      <c r="L4303" s="2">
        <v>989</v>
      </c>
    </row>
    <row r="4304" spans="1:12" x14ac:dyDescent="0.25">
      <c r="A4304" s="4" t="str">
        <f>HYPERLINK("http://www.rosaceae.org/Prunus/Prunus_persica/p.persica_gdr_reftransV1_0008910","p.persica_gdr_reftransV1_0008910")</f>
        <v>p.persica_gdr_reftransV1_0008910</v>
      </c>
      <c r="B4304" s="2">
        <v>2717</v>
      </c>
      <c r="C4304" s="4" t="str">
        <f>HYPERLINK("http://www.uniprot.org/uniprot/M5WWG1","M5WWG1")</f>
        <v>M5WWG1</v>
      </c>
      <c r="D4304" s="2" t="s">
        <v>4020</v>
      </c>
      <c r="E4304" s="3">
        <v>0</v>
      </c>
      <c r="F4304" s="2">
        <v>2441</v>
      </c>
      <c r="G4304" s="2">
        <v>90</v>
      </c>
      <c r="H4304" s="2">
        <v>554</v>
      </c>
      <c r="I4304" s="2">
        <v>515</v>
      </c>
      <c r="J4304" s="2">
        <v>2176</v>
      </c>
      <c r="K4304" s="2">
        <v>1</v>
      </c>
      <c r="L4304" s="2">
        <v>502</v>
      </c>
    </row>
    <row r="4305" spans="1:12" x14ac:dyDescent="0.25">
      <c r="A4305" s="4" t="str">
        <f>HYPERLINK("http://www.rosaceae.org/Prunus/Prunus_persica/p.persica_gdr_reftransV1_0009960","p.persica_gdr_reftransV1_0009960")</f>
        <v>p.persica_gdr_reftransV1_0009960</v>
      </c>
      <c r="B4305" s="2">
        <v>1137</v>
      </c>
      <c r="C4305" s="4" t="str">
        <f>HYPERLINK("http://www.uniprot.org/uniprot/M5W7H4","M5W7H4")</f>
        <v>M5W7H4</v>
      </c>
      <c r="D4305" s="2" t="s">
        <v>4021</v>
      </c>
      <c r="E4305" s="3">
        <v>2.3299999999999999E-132</v>
      </c>
      <c r="F4305" s="2">
        <v>1050</v>
      </c>
      <c r="G4305" s="2">
        <v>100</v>
      </c>
      <c r="H4305" s="2">
        <v>219</v>
      </c>
      <c r="I4305" s="2">
        <v>2</v>
      </c>
      <c r="J4305" s="2">
        <v>658</v>
      </c>
      <c r="K4305" s="2">
        <v>543</v>
      </c>
      <c r="L4305" s="2">
        <v>761</v>
      </c>
    </row>
    <row r="4306" spans="1:12" x14ac:dyDescent="0.25">
      <c r="A4306" s="4" t="str">
        <f>HYPERLINK("http://www.rosaceae.org/Prunus/Prunus_persica/p.persica_gdr_reftransV1_0010310","p.persica_gdr_reftransV1_0010310")</f>
        <v>p.persica_gdr_reftransV1_0010310</v>
      </c>
      <c r="B4306" s="2">
        <v>420</v>
      </c>
      <c r="C4306" s="4" t="str">
        <f>HYPERLINK("http://www.uniprot.org/uniprot/M5WW81","M5WW81")</f>
        <v>M5WW81</v>
      </c>
      <c r="D4306" s="2" t="s">
        <v>4022</v>
      </c>
      <c r="E4306" s="3">
        <v>2.3399999999999999E-18</v>
      </c>
      <c r="F4306" s="2">
        <v>222</v>
      </c>
      <c r="G4306" s="2">
        <v>51</v>
      </c>
      <c r="H4306" s="2">
        <v>167</v>
      </c>
      <c r="I4306" s="2">
        <v>65</v>
      </c>
      <c r="J4306" s="2">
        <v>418</v>
      </c>
      <c r="K4306" s="2">
        <v>22</v>
      </c>
      <c r="L4306" s="2">
        <v>187</v>
      </c>
    </row>
    <row r="4307" spans="1:12" x14ac:dyDescent="0.25">
      <c r="A4307" s="4" t="str">
        <f>HYPERLINK("http://www.rosaceae.org/Prunus/Prunus_persica/p.persica_gdr_reftransV1_0010660","p.persica_gdr_reftransV1_0010660")</f>
        <v>p.persica_gdr_reftransV1_0010660</v>
      </c>
      <c r="B4307" s="2">
        <v>1081</v>
      </c>
      <c r="C4307" s="4" t="str">
        <f>HYPERLINK("http://www.uniprot.org/uniprot/M5WEK5","M5WEK5")</f>
        <v>M5WEK5</v>
      </c>
      <c r="D4307" s="2" t="s">
        <v>4023</v>
      </c>
      <c r="E4307" s="3">
        <v>1.5E-171</v>
      </c>
      <c r="F4307" s="2">
        <v>1260</v>
      </c>
      <c r="G4307" s="2">
        <v>97</v>
      </c>
      <c r="H4307" s="2">
        <v>242</v>
      </c>
      <c r="I4307" s="2">
        <v>39</v>
      </c>
      <c r="J4307" s="2">
        <v>764</v>
      </c>
      <c r="K4307" s="2">
        <v>1</v>
      </c>
      <c r="L4307" s="2">
        <v>242</v>
      </c>
    </row>
    <row r="4308" spans="1:12" x14ac:dyDescent="0.25">
      <c r="A4308" s="4" t="str">
        <f>HYPERLINK("http://www.rosaceae.org/Prunus/Prunus_persica/p.persica_gdr_reftransV1_0011710","p.persica_gdr_reftransV1_0011710")</f>
        <v>p.persica_gdr_reftransV1_0011710</v>
      </c>
      <c r="B4308" s="2">
        <v>4260</v>
      </c>
      <c r="C4308" s="4" t="str">
        <f>HYPERLINK("http://www.uniprot.org/uniprot/M5XVH7","M5XVH7")</f>
        <v>M5XVH7</v>
      </c>
      <c r="D4308" s="2" t="s">
        <v>4024</v>
      </c>
      <c r="E4308" s="3">
        <v>0</v>
      </c>
      <c r="F4308" s="2">
        <v>4155</v>
      </c>
      <c r="G4308" s="2">
        <v>100</v>
      </c>
      <c r="H4308" s="2">
        <v>789</v>
      </c>
      <c r="I4308" s="2">
        <v>1611</v>
      </c>
      <c r="J4308" s="2">
        <v>3977</v>
      </c>
      <c r="K4308" s="2">
        <v>1</v>
      </c>
      <c r="L4308" s="2">
        <v>789</v>
      </c>
    </row>
    <row r="4309" spans="1:12" x14ac:dyDescent="0.25">
      <c r="A4309" s="4" t="str">
        <f>HYPERLINK("http://www.rosaceae.org/Prunus/Prunus_persica/p.persica_gdr_reftransV1_0012060","p.persica_gdr_reftransV1_0012060")</f>
        <v>p.persica_gdr_reftransV1_0012060</v>
      </c>
      <c r="B4309" s="2">
        <v>579</v>
      </c>
      <c r="C4309" s="4" t="str">
        <f>HYPERLINK("http://www.uniprot.org/uniprot/M5W102","M5W102")</f>
        <v>M5W102</v>
      </c>
      <c r="D4309" s="2" t="s">
        <v>3944</v>
      </c>
      <c r="E4309" s="3">
        <v>1.6200000000000001E-79</v>
      </c>
      <c r="F4309" s="2">
        <v>658</v>
      </c>
      <c r="G4309" s="2">
        <v>100</v>
      </c>
      <c r="H4309" s="2">
        <v>175</v>
      </c>
      <c r="I4309" s="2">
        <v>55</v>
      </c>
      <c r="J4309" s="2">
        <v>579</v>
      </c>
      <c r="K4309" s="2">
        <v>360</v>
      </c>
      <c r="L4309" s="2">
        <v>534</v>
      </c>
    </row>
    <row r="4310" spans="1:12" x14ac:dyDescent="0.25">
      <c r="A4310" s="4" t="str">
        <f>HYPERLINK("http://www.rosaceae.org/Prunus/Prunus_persica/p.persica_gdr_reftransV1_0012760","p.persica_gdr_reftransV1_0012760")</f>
        <v>p.persica_gdr_reftransV1_0012760</v>
      </c>
      <c r="B4310" s="2">
        <v>828</v>
      </c>
      <c r="C4310" s="4" t="str">
        <f>HYPERLINK("http://www.uniprot.org/uniprot/M5X9K9","M5X9K9")</f>
        <v>M5X9K9</v>
      </c>
      <c r="D4310" s="2" t="s">
        <v>4025</v>
      </c>
      <c r="E4310" s="3">
        <v>3.8199999999999999E-62</v>
      </c>
      <c r="F4310" s="2">
        <v>515</v>
      </c>
      <c r="G4310" s="2">
        <v>100</v>
      </c>
      <c r="H4310" s="2">
        <v>100</v>
      </c>
      <c r="I4310" s="2">
        <v>109</v>
      </c>
      <c r="J4310" s="2">
        <v>408</v>
      </c>
      <c r="K4310" s="2">
        <v>11</v>
      </c>
      <c r="L4310" s="2">
        <v>110</v>
      </c>
    </row>
    <row r="4311" spans="1:12" x14ac:dyDescent="0.25">
      <c r="A4311" s="4" t="str">
        <f>HYPERLINK("http://www.rosaceae.org/Prunus/Prunus_persica/p.persica_gdr_reftransV1_0014860","p.persica_gdr_reftransV1_0014860")</f>
        <v>p.persica_gdr_reftransV1_0014860</v>
      </c>
      <c r="B4311" s="2">
        <v>1107</v>
      </c>
      <c r="C4311" s="4" t="str">
        <f>HYPERLINK("http://www.uniprot.org/uniprot/M5XFR6","M5XFR6")</f>
        <v>M5XFR6</v>
      </c>
      <c r="D4311" s="2" t="s">
        <v>4026</v>
      </c>
      <c r="E4311" s="3">
        <v>3.8599999999999998E-141</v>
      </c>
      <c r="F4311" s="2">
        <v>1061</v>
      </c>
      <c r="G4311" s="2">
        <v>100</v>
      </c>
      <c r="H4311" s="2">
        <v>245</v>
      </c>
      <c r="I4311" s="2">
        <v>24</v>
      </c>
      <c r="J4311" s="2">
        <v>758</v>
      </c>
      <c r="K4311" s="2">
        <v>1</v>
      </c>
      <c r="L4311" s="2">
        <v>245</v>
      </c>
    </row>
    <row r="4312" spans="1:12" x14ac:dyDescent="0.25">
      <c r="A4312" s="4" t="str">
        <f>HYPERLINK("http://www.rosaceae.org/Prunus/Prunus_persica/p.persica_gdr_reftransV1_0019060","p.persica_gdr_reftransV1_0019060")</f>
        <v>p.persica_gdr_reftransV1_0019060</v>
      </c>
      <c r="B4312" s="2">
        <v>2639</v>
      </c>
      <c r="C4312" s="4" t="str">
        <f>HYPERLINK("http://www.uniprot.org/uniprot/M5WDH7","M5WDH7")</f>
        <v>M5WDH7</v>
      </c>
      <c r="D4312" s="2" t="s">
        <v>4027</v>
      </c>
      <c r="E4312" s="3">
        <v>0</v>
      </c>
      <c r="F4312" s="2">
        <v>2324</v>
      </c>
      <c r="G4312" s="2">
        <v>100</v>
      </c>
      <c r="H4312" s="2">
        <v>451</v>
      </c>
      <c r="I4312" s="2">
        <v>1166</v>
      </c>
      <c r="J4312" s="2">
        <v>2518</v>
      </c>
      <c r="K4312" s="2">
        <v>1</v>
      </c>
      <c r="L4312" s="2">
        <v>451</v>
      </c>
    </row>
    <row r="4313" spans="1:12" x14ac:dyDescent="0.25">
      <c r="A4313" s="4" t="str">
        <f>HYPERLINK("http://www.rosaceae.org/Prunus/Prunus_persica/p.persica_gdr_reftransV1_0019410","p.persica_gdr_reftransV1_0019410")</f>
        <v>p.persica_gdr_reftransV1_0019410</v>
      </c>
      <c r="B4313" s="2">
        <v>595</v>
      </c>
      <c r="C4313" s="4" t="str">
        <f>HYPERLINK("http://www.uniprot.org/uniprot/M5XJ91","M5XJ91")</f>
        <v>M5XJ91</v>
      </c>
      <c r="D4313" s="2" t="s">
        <v>4028</v>
      </c>
      <c r="E4313" s="3">
        <v>1.9300000000000001E-106</v>
      </c>
      <c r="F4313" s="2">
        <v>882</v>
      </c>
      <c r="G4313" s="2">
        <v>100</v>
      </c>
      <c r="H4313" s="2">
        <v>198</v>
      </c>
      <c r="I4313" s="2">
        <v>2</v>
      </c>
      <c r="J4313" s="2">
        <v>595</v>
      </c>
      <c r="K4313" s="2">
        <v>233</v>
      </c>
      <c r="L4313" s="2">
        <v>430</v>
      </c>
    </row>
    <row r="4314" spans="1:12" x14ac:dyDescent="0.25">
      <c r="A4314" s="4" t="str">
        <f>HYPERLINK("http://www.rosaceae.org/Prunus/Prunus_persica/p.persica_gdr_reftransV1_0020460","p.persica_gdr_reftransV1_0020460")</f>
        <v>p.persica_gdr_reftransV1_0020460</v>
      </c>
      <c r="B4314" s="2">
        <v>2217</v>
      </c>
      <c r="C4314" s="4" t="str">
        <f>HYPERLINK("http://www.uniprot.org/uniprot/A0A061GB36","A0A061GB36")</f>
        <v>A0A061GB36</v>
      </c>
      <c r="D4314" s="2" t="s">
        <v>4029</v>
      </c>
      <c r="E4314" s="3">
        <v>0</v>
      </c>
      <c r="F4314" s="2">
        <v>1729</v>
      </c>
      <c r="G4314" s="2">
        <v>91</v>
      </c>
      <c r="H4314" s="2">
        <v>362</v>
      </c>
      <c r="I4314" s="2">
        <v>555</v>
      </c>
      <c r="J4314" s="2">
        <v>1637</v>
      </c>
      <c r="K4314" s="2">
        <v>97</v>
      </c>
      <c r="L4314" s="2">
        <v>458</v>
      </c>
    </row>
    <row r="4315" spans="1:12" x14ac:dyDescent="0.25">
      <c r="A4315" s="4" t="str">
        <f>HYPERLINK("http://www.rosaceae.org/Prunus/Prunus_persica/p.persica_gdr_reftransV1_0020810","p.persica_gdr_reftransV1_0020810")</f>
        <v>p.persica_gdr_reftransV1_0020810</v>
      </c>
      <c r="B4315" s="2">
        <v>1585</v>
      </c>
      <c r="C4315" s="4" t="str">
        <f>HYPERLINK("http://www.uniprot.org/uniprot/M5W5C9","M5W5C9")</f>
        <v>M5W5C9</v>
      </c>
      <c r="D4315" s="2" t="s">
        <v>4030</v>
      </c>
      <c r="E4315" s="3">
        <v>0</v>
      </c>
      <c r="F4315" s="2">
        <v>1500</v>
      </c>
      <c r="G4315" s="2">
        <v>100</v>
      </c>
      <c r="H4315" s="2">
        <v>281</v>
      </c>
      <c r="I4315" s="2">
        <v>84</v>
      </c>
      <c r="J4315" s="2">
        <v>926</v>
      </c>
      <c r="K4315" s="2">
        <v>1</v>
      </c>
      <c r="L4315" s="2">
        <v>281</v>
      </c>
    </row>
    <row r="4316" spans="1:12" x14ac:dyDescent="0.25">
      <c r="A4316" s="4" t="str">
        <f>HYPERLINK("http://www.rosaceae.org/Prunus/Prunus_persica/p.persica_gdr_reftransV1_0022910","p.persica_gdr_reftransV1_0022910")</f>
        <v>p.persica_gdr_reftransV1_0022910</v>
      </c>
      <c r="B4316" s="2">
        <v>2209</v>
      </c>
      <c r="C4316" s="4" t="str">
        <f>HYPERLINK("http://www.uniprot.org/uniprot/M5X2A1","M5X2A1")</f>
        <v>M5X2A1</v>
      </c>
      <c r="D4316" s="2" t="s">
        <v>4031</v>
      </c>
      <c r="E4316" s="3">
        <v>0</v>
      </c>
      <c r="F4316" s="2">
        <v>2552</v>
      </c>
      <c r="G4316" s="2">
        <v>100</v>
      </c>
      <c r="H4316" s="2">
        <v>515</v>
      </c>
      <c r="I4316" s="2">
        <v>187</v>
      </c>
      <c r="J4316" s="2">
        <v>1731</v>
      </c>
      <c r="K4316" s="2">
        <v>1</v>
      </c>
      <c r="L4316" s="2">
        <v>515</v>
      </c>
    </row>
    <row r="4317" spans="1:12" x14ac:dyDescent="0.25">
      <c r="A4317" s="4" t="str">
        <f>HYPERLINK("http://www.rosaceae.org/Prunus/Prunus_persica/p.persica_gdr_reftransV1_0023960","p.persica_gdr_reftransV1_0023960")</f>
        <v>p.persica_gdr_reftransV1_0023960</v>
      </c>
      <c r="B4317" s="2">
        <v>1630</v>
      </c>
      <c r="C4317" s="4" t="str">
        <f>HYPERLINK("http://www.uniprot.org/uniprot/M5XTQ7","M5XTQ7")</f>
        <v>M5XTQ7</v>
      </c>
      <c r="D4317" s="2" t="s">
        <v>4032</v>
      </c>
      <c r="E4317" s="3">
        <v>0</v>
      </c>
      <c r="F4317" s="2">
        <v>1942</v>
      </c>
      <c r="G4317" s="2">
        <v>94</v>
      </c>
      <c r="H4317" s="2">
        <v>403</v>
      </c>
      <c r="I4317" s="2">
        <v>90</v>
      </c>
      <c r="J4317" s="2">
        <v>1298</v>
      </c>
      <c r="K4317" s="2">
        <v>1</v>
      </c>
      <c r="L4317" s="2">
        <v>377</v>
      </c>
    </row>
    <row r="4318" spans="1:12" x14ac:dyDescent="0.25">
      <c r="A4318" s="4" t="str">
        <f>HYPERLINK("http://www.rosaceae.org/Prunus/Prunus_persica/p.persica_gdr_reftransV1_0024310","p.persica_gdr_reftransV1_0024310")</f>
        <v>p.persica_gdr_reftransV1_0024310</v>
      </c>
      <c r="B4318" s="2">
        <v>1536</v>
      </c>
      <c r="C4318" s="4" t="str">
        <f>HYPERLINK("http://www.uniprot.org/uniprot/M5W121","M5W121")</f>
        <v>M5W121</v>
      </c>
      <c r="D4318" s="2" t="s">
        <v>4033</v>
      </c>
      <c r="E4318" s="3">
        <v>1.7E-156</v>
      </c>
      <c r="F4318" s="2">
        <v>1174</v>
      </c>
      <c r="G4318" s="2">
        <v>100</v>
      </c>
      <c r="H4318" s="2">
        <v>219</v>
      </c>
      <c r="I4318" s="2">
        <v>518</v>
      </c>
      <c r="J4318" s="2">
        <v>1174</v>
      </c>
      <c r="K4318" s="2">
        <v>1</v>
      </c>
      <c r="L4318" s="2">
        <v>219</v>
      </c>
    </row>
    <row r="4319" spans="1:12" x14ac:dyDescent="0.25">
      <c r="A4319" s="4" t="str">
        <f>HYPERLINK("http://www.rosaceae.org/Prunus/Prunus_persica/p.persica_gdr_reftransV1_0025360","p.persica_gdr_reftransV1_0025360")</f>
        <v>p.persica_gdr_reftransV1_0025360</v>
      </c>
      <c r="B4319" s="2">
        <v>1342</v>
      </c>
      <c r="C4319" s="4" t="str">
        <f>HYPERLINK("http://www.uniprot.org/uniprot/M5WAN4","M5WAN4")</f>
        <v>M5WAN4</v>
      </c>
      <c r="D4319" s="2" t="s">
        <v>4034</v>
      </c>
      <c r="E4319" s="3">
        <v>0</v>
      </c>
      <c r="F4319" s="2">
        <v>1465</v>
      </c>
      <c r="G4319" s="2">
        <v>100</v>
      </c>
      <c r="H4319" s="2">
        <v>345</v>
      </c>
      <c r="I4319" s="2">
        <v>1</v>
      </c>
      <c r="J4319" s="2">
        <v>1035</v>
      </c>
      <c r="K4319" s="2">
        <v>146</v>
      </c>
      <c r="L4319" s="2">
        <v>490</v>
      </c>
    </row>
    <row r="4320" spans="1:12" x14ac:dyDescent="0.25">
      <c r="A4320" s="4" t="str">
        <f>HYPERLINK("http://www.rosaceae.org/Prunus/Prunus_persica/p.persica_gdr_reftransV1_0025710","p.persica_gdr_reftransV1_0025710")</f>
        <v>p.persica_gdr_reftransV1_0025710</v>
      </c>
      <c r="B4320" s="2">
        <v>2317</v>
      </c>
      <c r="C4320" s="4" t="str">
        <f>HYPERLINK("http://www.uniprot.org/uniprot/A0A068B2J4","A0A068B2J4")</f>
        <v>A0A068B2J4</v>
      </c>
      <c r="D4320" s="2" t="s">
        <v>4035</v>
      </c>
      <c r="E4320" s="3">
        <v>0</v>
      </c>
      <c r="F4320" s="2">
        <v>2084</v>
      </c>
      <c r="G4320" s="2">
        <v>73</v>
      </c>
      <c r="H4320" s="2">
        <v>560</v>
      </c>
      <c r="I4320" s="2">
        <v>295</v>
      </c>
      <c r="J4320" s="2">
        <v>1953</v>
      </c>
      <c r="K4320" s="2">
        <v>44</v>
      </c>
      <c r="L4320" s="2">
        <v>601</v>
      </c>
    </row>
    <row r="4321" spans="1:12" x14ac:dyDescent="0.25">
      <c r="A4321" s="4" t="str">
        <f>HYPERLINK("http://www.rosaceae.org/Prunus/Prunus_persica/p.persica_gdr_reftransV1_0026760","p.persica_gdr_reftransV1_0026760")</f>
        <v>p.persica_gdr_reftransV1_0026760</v>
      </c>
      <c r="B4321" s="2">
        <v>1610</v>
      </c>
      <c r="C4321" s="4" t="str">
        <f>HYPERLINK("http://www.uniprot.org/uniprot/M5X569","M5X569")</f>
        <v>M5X569</v>
      </c>
      <c r="D4321" s="2" t="s">
        <v>4036</v>
      </c>
      <c r="E4321" s="3">
        <v>0</v>
      </c>
      <c r="F4321" s="2">
        <v>1996</v>
      </c>
      <c r="G4321" s="2">
        <v>100</v>
      </c>
      <c r="H4321" s="2">
        <v>370</v>
      </c>
      <c r="I4321" s="2">
        <v>167</v>
      </c>
      <c r="J4321" s="2">
        <v>1276</v>
      </c>
      <c r="K4321" s="2">
        <v>1</v>
      </c>
      <c r="L4321" s="2">
        <v>370</v>
      </c>
    </row>
    <row r="4322" spans="1:12" x14ac:dyDescent="0.25">
      <c r="A4322" s="4" t="str">
        <f>HYPERLINK("http://www.rosaceae.org/Prunus/Prunus_persica/p.persica_gdr_reftransV1_0027460","p.persica_gdr_reftransV1_0027460")</f>
        <v>p.persica_gdr_reftransV1_0027460</v>
      </c>
      <c r="B4322" s="2">
        <v>1265</v>
      </c>
      <c r="C4322" s="4" t="str">
        <f>HYPERLINK("http://www.uniprot.org/uniprot/M5XFF1","M5XFF1")</f>
        <v>M5XFF1</v>
      </c>
      <c r="D4322" s="2" t="s">
        <v>4037</v>
      </c>
      <c r="E4322" s="3">
        <v>1.39E-41</v>
      </c>
      <c r="F4322" s="2">
        <v>396</v>
      </c>
      <c r="G4322" s="2">
        <v>100</v>
      </c>
      <c r="H4322" s="2">
        <v>128</v>
      </c>
      <c r="I4322" s="2">
        <v>693</v>
      </c>
      <c r="J4322" s="2">
        <v>1076</v>
      </c>
      <c r="K4322" s="2">
        <v>11</v>
      </c>
      <c r="L4322" s="2">
        <v>138</v>
      </c>
    </row>
    <row r="4323" spans="1:12" x14ac:dyDescent="0.25">
      <c r="A4323" s="4" t="str">
        <f>HYPERLINK("http://www.rosaceae.org/Prunus/Prunus_persica/p.persica_gdr_reftransV1_0028860","p.persica_gdr_reftransV1_0028860")</f>
        <v>p.persica_gdr_reftransV1_0028860</v>
      </c>
      <c r="B4323" s="2">
        <v>1920</v>
      </c>
      <c r="C4323" s="4" t="str">
        <f>HYPERLINK("http://www.uniprot.org/uniprot/M5XF24","M5XF24")</f>
        <v>M5XF24</v>
      </c>
      <c r="D4323" s="2" t="s">
        <v>4038</v>
      </c>
      <c r="E4323" s="3">
        <v>0</v>
      </c>
      <c r="F4323" s="2">
        <v>1332</v>
      </c>
      <c r="G4323" s="2">
        <v>99</v>
      </c>
      <c r="H4323" s="2">
        <v>252</v>
      </c>
      <c r="I4323" s="2">
        <v>313</v>
      </c>
      <c r="J4323" s="2">
        <v>1068</v>
      </c>
      <c r="K4323" s="2">
        <v>256</v>
      </c>
      <c r="L4323" s="2">
        <v>507</v>
      </c>
    </row>
    <row r="4324" spans="1:12" x14ac:dyDescent="0.25">
      <c r="A4324" s="4" t="str">
        <f>HYPERLINK("http://www.rosaceae.org/Prunus/Prunus_persica/p.persica_gdr_reftransV1_0030960","p.persica_gdr_reftransV1_0030960")</f>
        <v>p.persica_gdr_reftransV1_0030960</v>
      </c>
      <c r="B4324" s="2">
        <v>1775</v>
      </c>
      <c r="C4324" s="4" t="str">
        <f>HYPERLINK("http://www.uniprot.org/uniprot/M5XSE3","M5XSE3")</f>
        <v>M5XSE3</v>
      </c>
      <c r="D4324" s="2" t="s">
        <v>4039</v>
      </c>
      <c r="E4324" s="3">
        <v>0</v>
      </c>
      <c r="F4324" s="2">
        <v>2330</v>
      </c>
      <c r="G4324" s="2">
        <v>100</v>
      </c>
      <c r="H4324" s="2">
        <v>478</v>
      </c>
      <c r="I4324" s="2">
        <v>243</v>
      </c>
      <c r="J4324" s="2">
        <v>1676</v>
      </c>
      <c r="K4324" s="2">
        <v>24</v>
      </c>
      <c r="L4324" s="2">
        <v>501</v>
      </c>
    </row>
    <row r="4325" spans="1:12" x14ac:dyDescent="0.25">
      <c r="A4325" s="4" t="str">
        <f>HYPERLINK("http://www.rosaceae.org/Prunus/Prunus_persica/p.persica_gdr_reftransV1_0032710","p.persica_gdr_reftransV1_0032710")</f>
        <v>p.persica_gdr_reftransV1_0032710</v>
      </c>
      <c r="B4325" s="2">
        <v>3736</v>
      </c>
      <c r="C4325" s="4" t="str">
        <f>HYPERLINK("http://www.uniprot.org/uniprot/M5VZL4","M5VZL4")</f>
        <v>M5VZL4</v>
      </c>
      <c r="D4325" s="2" t="s">
        <v>4040</v>
      </c>
      <c r="E4325" s="3">
        <v>6.5699999999999997E-47</v>
      </c>
      <c r="F4325" s="2">
        <v>449</v>
      </c>
      <c r="G4325" s="2">
        <v>100</v>
      </c>
      <c r="H4325" s="2">
        <v>84</v>
      </c>
      <c r="I4325" s="2">
        <v>2591</v>
      </c>
      <c r="J4325" s="2">
        <v>2842</v>
      </c>
      <c r="K4325" s="2">
        <v>108</v>
      </c>
      <c r="L4325" s="2">
        <v>191</v>
      </c>
    </row>
    <row r="4326" spans="1:12" x14ac:dyDescent="0.25">
      <c r="A4326" s="4" t="str">
        <f>HYPERLINK("http://www.rosaceae.org/Prunus/Prunus_persica/p.persica_gdr_reftransV1_0033060","p.persica_gdr_reftransV1_0033060")</f>
        <v>p.persica_gdr_reftransV1_0033060</v>
      </c>
      <c r="B4326" s="2">
        <v>2004</v>
      </c>
      <c r="C4326" s="4" t="str">
        <f>HYPERLINK("http://www.uniprot.org/uniprot/M5XB57","M5XB57")</f>
        <v>M5XB57</v>
      </c>
      <c r="D4326" s="2" t="s">
        <v>4041</v>
      </c>
      <c r="E4326" s="3">
        <v>0</v>
      </c>
      <c r="F4326" s="2">
        <v>2333</v>
      </c>
      <c r="G4326" s="2">
        <v>100</v>
      </c>
      <c r="H4326" s="2">
        <v>446</v>
      </c>
      <c r="I4326" s="2">
        <v>199</v>
      </c>
      <c r="J4326" s="2">
        <v>1533</v>
      </c>
      <c r="K4326" s="2">
        <v>1</v>
      </c>
      <c r="L4326" s="2">
        <v>446</v>
      </c>
    </row>
    <row r="4327" spans="1:12" x14ac:dyDescent="0.25">
      <c r="A4327" s="4" t="str">
        <f>HYPERLINK("http://www.rosaceae.org/Prunus/Prunus_persica/p.persica_gdr_reftransV1_0033410","p.persica_gdr_reftransV1_0033410")</f>
        <v>p.persica_gdr_reftransV1_0033410</v>
      </c>
      <c r="B4327" s="2">
        <v>1377</v>
      </c>
      <c r="C4327" s="4" t="str">
        <f>HYPERLINK("http://www.uniprot.org/uniprot/M5WGJ5","M5WGJ5")</f>
        <v>M5WGJ5</v>
      </c>
      <c r="D4327" s="2" t="s">
        <v>4042</v>
      </c>
      <c r="E4327" s="3">
        <v>0</v>
      </c>
      <c r="F4327" s="2">
        <v>1456</v>
      </c>
      <c r="G4327" s="2">
        <v>100</v>
      </c>
      <c r="H4327" s="2">
        <v>295</v>
      </c>
      <c r="I4327" s="2">
        <v>253</v>
      </c>
      <c r="J4327" s="2">
        <v>1137</v>
      </c>
      <c r="K4327" s="2">
        <v>1</v>
      </c>
      <c r="L4327" s="2">
        <v>295</v>
      </c>
    </row>
    <row r="4328" spans="1:12" x14ac:dyDescent="0.25">
      <c r="A4328" s="4" t="str">
        <f>HYPERLINK("http://www.rosaceae.org/Prunus/Prunus_persica/p.persica_gdr_reftransV1_0033760","p.persica_gdr_reftransV1_0033760")</f>
        <v>p.persica_gdr_reftransV1_0033760</v>
      </c>
      <c r="B4328" s="2">
        <v>1382</v>
      </c>
      <c r="C4328" s="4" t="str">
        <f>HYPERLINK("http://www.uniprot.org/uniprot/M5X1T2","M5X1T2")</f>
        <v>M5X1T2</v>
      </c>
      <c r="D4328" s="2" t="s">
        <v>4043</v>
      </c>
      <c r="E4328" s="3">
        <v>0</v>
      </c>
      <c r="F4328" s="2">
        <v>1683</v>
      </c>
      <c r="G4328" s="2">
        <v>99</v>
      </c>
      <c r="H4328" s="2">
        <v>323</v>
      </c>
      <c r="I4328" s="2">
        <v>331</v>
      </c>
      <c r="J4328" s="2">
        <v>1299</v>
      </c>
      <c r="K4328" s="2">
        <v>1</v>
      </c>
      <c r="L4328" s="2">
        <v>319</v>
      </c>
    </row>
    <row r="4329" spans="1:12" x14ac:dyDescent="0.25">
      <c r="A4329" s="4" t="str">
        <f>HYPERLINK("http://www.rosaceae.org/Prunus/Prunus_persica/p.persica_gdr_reftransV1_0035160","p.persica_gdr_reftransV1_0035160")</f>
        <v>p.persica_gdr_reftransV1_0035160</v>
      </c>
      <c r="B4329" s="2">
        <v>3798</v>
      </c>
      <c r="C4329" s="4" t="str">
        <f>HYPERLINK("http://www.uniprot.org/uniprot/M5W6E3","M5W6E3")</f>
        <v>M5W6E3</v>
      </c>
      <c r="D4329" s="2" t="s">
        <v>4044</v>
      </c>
      <c r="E4329" s="3">
        <v>0</v>
      </c>
      <c r="F4329" s="2">
        <v>3441</v>
      </c>
      <c r="G4329" s="2">
        <v>99</v>
      </c>
      <c r="H4329" s="2">
        <v>688</v>
      </c>
      <c r="I4329" s="2">
        <v>1563</v>
      </c>
      <c r="J4329" s="2">
        <v>3620</v>
      </c>
      <c r="K4329" s="2">
        <v>355</v>
      </c>
      <c r="L4329" s="2">
        <v>1041</v>
      </c>
    </row>
    <row r="4330" spans="1:12" x14ac:dyDescent="0.25">
      <c r="A4330" s="4" t="str">
        <f>HYPERLINK("http://www.rosaceae.org/Prunus/Prunus_persica/p.persica_gdr_reftransV1_0036210","p.persica_gdr_reftransV1_0036210")</f>
        <v>p.persica_gdr_reftransV1_0036210</v>
      </c>
      <c r="B4330" s="2">
        <v>2690</v>
      </c>
      <c r="C4330" s="4" t="str">
        <f>HYPERLINK("http://www.uniprot.org/uniprot/M5X6E4","M5X6E4")</f>
        <v>M5X6E4</v>
      </c>
      <c r="D4330" s="2" t="s">
        <v>4045</v>
      </c>
      <c r="E4330" s="3">
        <v>0</v>
      </c>
      <c r="F4330" s="2">
        <v>1822</v>
      </c>
      <c r="G4330" s="2">
        <v>100</v>
      </c>
      <c r="H4330" s="2">
        <v>391</v>
      </c>
      <c r="I4330" s="2">
        <v>1242</v>
      </c>
      <c r="J4330" s="2">
        <v>2414</v>
      </c>
      <c r="K4330" s="2">
        <v>239</v>
      </c>
      <c r="L4330" s="2">
        <v>629</v>
      </c>
    </row>
    <row r="4331" spans="1:12" x14ac:dyDescent="0.25">
      <c r="A4331" s="4" t="str">
        <f>HYPERLINK("http://www.rosaceae.org/Prunus/Prunus_persica/p.persica_gdr_reftransV1_0038310","p.persica_gdr_reftransV1_0038310")</f>
        <v>p.persica_gdr_reftransV1_0038310</v>
      </c>
      <c r="B4331" s="2">
        <v>1384</v>
      </c>
      <c r="C4331" s="4" t="str">
        <f>HYPERLINK("http://www.uniprot.org/uniprot/M5XC64","M5XC64")</f>
        <v>M5XC64</v>
      </c>
      <c r="D4331" s="2" t="s">
        <v>4046</v>
      </c>
      <c r="E4331" s="3">
        <v>1.0799999999999999E-124</v>
      </c>
      <c r="F4331" s="2">
        <v>964</v>
      </c>
      <c r="G4331" s="2">
        <v>100</v>
      </c>
      <c r="H4331" s="2">
        <v>275</v>
      </c>
      <c r="I4331" s="2">
        <v>28</v>
      </c>
      <c r="J4331" s="2">
        <v>852</v>
      </c>
      <c r="K4331" s="2">
        <v>1</v>
      </c>
      <c r="L4331" s="2">
        <v>275</v>
      </c>
    </row>
    <row r="4332" spans="1:12" x14ac:dyDescent="0.25">
      <c r="A4332" s="4" t="str">
        <f>HYPERLINK("http://www.rosaceae.org/Prunus/Prunus_persica/p.persica_gdr_reftransV1_0039360","p.persica_gdr_reftransV1_0039360")</f>
        <v>p.persica_gdr_reftransV1_0039360</v>
      </c>
      <c r="B4332" s="2">
        <v>740</v>
      </c>
      <c r="C4332" s="4" t="str">
        <f>HYPERLINK("http://www.uniprot.org/uniprot/M5XMY3","M5XMY3")</f>
        <v>M5XMY3</v>
      </c>
      <c r="D4332" s="2" t="s">
        <v>4047</v>
      </c>
      <c r="E4332" s="3">
        <v>1.38E-73</v>
      </c>
      <c r="F4332" s="2">
        <v>591</v>
      </c>
      <c r="G4332" s="2">
        <v>100</v>
      </c>
      <c r="H4332" s="2">
        <v>130</v>
      </c>
      <c r="I4332" s="2">
        <v>115</v>
      </c>
      <c r="J4332" s="2">
        <v>504</v>
      </c>
      <c r="K4332" s="2">
        <v>5</v>
      </c>
      <c r="L4332" s="2">
        <v>134</v>
      </c>
    </row>
    <row r="4333" spans="1:12" x14ac:dyDescent="0.25">
      <c r="A4333" s="4" t="str">
        <f>HYPERLINK("http://www.rosaceae.org/Prunus/Prunus_persica/p.persica_gdr_reftransV1_0040060","p.persica_gdr_reftransV1_0040060")</f>
        <v>p.persica_gdr_reftransV1_0040060</v>
      </c>
      <c r="B4333" s="2">
        <v>1769</v>
      </c>
      <c r="C4333" s="4" t="str">
        <f>HYPERLINK("http://www.uniprot.org/uniprot/M5XH39","M5XH39")</f>
        <v>M5XH39</v>
      </c>
      <c r="D4333" s="2" t="s">
        <v>4048</v>
      </c>
      <c r="E4333" s="3">
        <v>0</v>
      </c>
      <c r="F4333" s="2">
        <v>1605</v>
      </c>
      <c r="G4333" s="2">
        <v>100</v>
      </c>
      <c r="H4333" s="2">
        <v>335</v>
      </c>
      <c r="I4333" s="2">
        <v>736</v>
      </c>
      <c r="J4333" s="2">
        <v>1740</v>
      </c>
      <c r="K4333" s="2">
        <v>1</v>
      </c>
      <c r="L4333" s="2">
        <v>335</v>
      </c>
    </row>
    <row r="4334" spans="1:12" x14ac:dyDescent="0.25">
      <c r="A4334" s="4" t="str">
        <f>HYPERLINK("http://www.rosaceae.org/Prunus/Prunus_persica/p.persica_gdr_reftransV1_0040410","p.persica_gdr_reftransV1_0040410")</f>
        <v>p.persica_gdr_reftransV1_0040410</v>
      </c>
      <c r="B4334" s="2">
        <v>2936</v>
      </c>
      <c r="C4334" s="4" t="str">
        <f>HYPERLINK("http://www.uniprot.org/uniprot/M5WEZ6","M5WEZ6")</f>
        <v>M5WEZ6</v>
      </c>
      <c r="D4334" s="2" t="s">
        <v>4049</v>
      </c>
      <c r="E4334" s="3">
        <v>0</v>
      </c>
      <c r="F4334" s="2">
        <v>3378</v>
      </c>
      <c r="G4334" s="2">
        <v>97</v>
      </c>
      <c r="H4334" s="2">
        <v>665</v>
      </c>
      <c r="I4334" s="2">
        <v>940</v>
      </c>
      <c r="J4334" s="2">
        <v>2934</v>
      </c>
      <c r="K4334" s="2">
        <v>33</v>
      </c>
      <c r="L4334" s="2">
        <v>679</v>
      </c>
    </row>
    <row r="4335" spans="1:12" x14ac:dyDescent="0.25">
      <c r="A4335" s="4" t="str">
        <f>HYPERLINK("http://www.rosaceae.org/Prunus/Prunus_persica/p.persica_gdr_reftransV1_0042160","p.persica_gdr_reftransV1_0042160")</f>
        <v>p.persica_gdr_reftransV1_0042160</v>
      </c>
      <c r="B4335" s="2">
        <v>3006</v>
      </c>
      <c r="C4335" s="4" t="str">
        <f>HYPERLINK("http://www.uniprot.org/uniprot/M5WGT1","M5WGT1")</f>
        <v>M5WGT1</v>
      </c>
      <c r="D4335" s="2" t="s">
        <v>3488</v>
      </c>
      <c r="E4335" s="3">
        <v>0</v>
      </c>
      <c r="F4335" s="2">
        <v>1869</v>
      </c>
      <c r="G4335" s="2">
        <v>98</v>
      </c>
      <c r="H4335" s="2">
        <v>355</v>
      </c>
      <c r="I4335" s="2">
        <v>507</v>
      </c>
      <c r="J4335" s="2">
        <v>1571</v>
      </c>
      <c r="K4335" s="2">
        <v>1</v>
      </c>
      <c r="L4335" s="2">
        <v>355</v>
      </c>
    </row>
    <row r="4336" spans="1:12" x14ac:dyDescent="0.25">
      <c r="A4336" s="4" t="str">
        <f>HYPERLINK("http://www.rosaceae.org/Prunus/Prunus_persica/p.persica_gdr_reftransV1_0042510","p.persica_gdr_reftransV1_0042510")</f>
        <v>p.persica_gdr_reftransV1_0042510</v>
      </c>
      <c r="B4336" s="2">
        <v>2091</v>
      </c>
      <c r="C4336" s="4" t="str">
        <f>HYPERLINK("http://www.uniprot.org/uniprot/M5W7B4","M5W7B4")</f>
        <v>M5W7B4</v>
      </c>
      <c r="D4336" s="2" t="s">
        <v>4050</v>
      </c>
      <c r="E4336" s="3">
        <v>0</v>
      </c>
      <c r="F4336" s="2">
        <v>2960</v>
      </c>
      <c r="G4336" s="2">
        <v>100</v>
      </c>
      <c r="H4336" s="2">
        <v>551</v>
      </c>
      <c r="I4336" s="2">
        <v>167</v>
      </c>
      <c r="J4336" s="2">
        <v>1819</v>
      </c>
      <c r="K4336" s="2">
        <v>3</v>
      </c>
      <c r="L4336" s="2">
        <v>553</v>
      </c>
    </row>
    <row r="4337" spans="1:12" x14ac:dyDescent="0.25">
      <c r="A4337" s="4" t="str">
        <f>HYPERLINK("http://www.rosaceae.org/Prunus/Prunus_persica/p.persica_gdr_reftransV1_0043210","p.persica_gdr_reftransV1_0043210")</f>
        <v>p.persica_gdr_reftransV1_0043210</v>
      </c>
      <c r="B4337" s="2">
        <v>556</v>
      </c>
      <c r="C4337" s="4" t="str">
        <f>HYPERLINK("http://www.uniprot.org/uniprot/M5W0D6","M5W0D6")</f>
        <v>M5W0D6</v>
      </c>
      <c r="D4337" s="2" t="s">
        <v>4051</v>
      </c>
      <c r="E4337" s="3">
        <v>7.6900000000000004E-108</v>
      </c>
      <c r="F4337" s="2">
        <v>828</v>
      </c>
      <c r="G4337" s="2">
        <v>100</v>
      </c>
      <c r="H4337" s="2">
        <v>153</v>
      </c>
      <c r="I4337" s="2">
        <v>96</v>
      </c>
      <c r="J4337" s="2">
        <v>554</v>
      </c>
      <c r="K4337" s="2">
        <v>1</v>
      </c>
      <c r="L4337" s="2">
        <v>153</v>
      </c>
    </row>
    <row r="4338" spans="1:12" x14ac:dyDescent="0.25">
      <c r="A4338" s="4" t="str">
        <f>HYPERLINK("http://www.rosaceae.org/Prunus/Prunus_persica/p.persica_gdr_reftransV1_0043910","p.persica_gdr_reftransV1_0043910")</f>
        <v>p.persica_gdr_reftransV1_0043910</v>
      </c>
      <c r="B4338" s="2">
        <v>1744</v>
      </c>
      <c r="C4338" s="4" t="str">
        <f>HYPERLINK("http://www.uniprot.org/uniprot/M5XIT4","M5XIT4")</f>
        <v>M5XIT4</v>
      </c>
      <c r="D4338" s="2" t="s">
        <v>4052</v>
      </c>
      <c r="E4338" s="3">
        <v>0</v>
      </c>
      <c r="F4338" s="2">
        <v>1664</v>
      </c>
      <c r="G4338" s="2">
        <v>100</v>
      </c>
      <c r="H4338" s="2">
        <v>308</v>
      </c>
      <c r="I4338" s="2">
        <v>335</v>
      </c>
      <c r="J4338" s="2">
        <v>1258</v>
      </c>
      <c r="K4338" s="2">
        <v>1</v>
      </c>
      <c r="L4338" s="2">
        <v>308</v>
      </c>
    </row>
    <row r="4339" spans="1:12" x14ac:dyDescent="0.25">
      <c r="A4339" s="4" t="str">
        <f>HYPERLINK("http://www.rosaceae.org/Prunus/Prunus_persica/p.persica_gdr_reftransV1_0044260","p.persica_gdr_reftransV1_0044260")</f>
        <v>p.persica_gdr_reftransV1_0044260</v>
      </c>
      <c r="B4339" s="2">
        <v>323</v>
      </c>
      <c r="C4339" s="4" t="str">
        <f>HYPERLINK("http://www.uniprot.org/uniprot/M5X7G5","M5X7G5")</f>
        <v>M5X7G5</v>
      </c>
      <c r="D4339" s="2" t="s">
        <v>4053</v>
      </c>
      <c r="E4339" s="3">
        <v>3.1300000000000002E-9</v>
      </c>
      <c r="F4339" s="2">
        <v>148</v>
      </c>
      <c r="G4339" s="2">
        <v>100</v>
      </c>
      <c r="H4339" s="2">
        <v>51</v>
      </c>
      <c r="I4339" s="2">
        <v>3</v>
      </c>
      <c r="J4339" s="2">
        <v>155</v>
      </c>
      <c r="K4339" s="2">
        <v>19</v>
      </c>
      <c r="L4339" s="2">
        <v>69</v>
      </c>
    </row>
    <row r="4340" spans="1:12" x14ac:dyDescent="0.25">
      <c r="A4340" s="4" t="str">
        <f>HYPERLINK("http://www.rosaceae.org/Prunus/Prunus_persica/p.persica_gdr_reftransV1_0044610","p.persica_gdr_reftransV1_0044610")</f>
        <v>p.persica_gdr_reftransV1_0044610</v>
      </c>
      <c r="B4340" s="2">
        <v>1170</v>
      </c>
      <c r="C4340" s="4" t="str">
        <f>HYPERLINK("http://www.uniprot.org/uniprot/M5W4K9","M5W4K9")</f>
        <v>M5W4K9</v>
      </c>
      <c r="D4340" s="2" t="s">
        <v>4054</v>
      </c>
      <c r="E4340" s="3">
        <v>1.7700000000000001E-133</v>
      </c>
      <c r="F4340" s="2">
        <v>1008</v>
      </c>
      <c r="G4340" s="2">
        <v>100</v>
      </c>
      <c r="H4340" s="2">
        <v>189</v>
      </c>
      <c r="I4340" s="2">
        <v>272</v>
      </c>
      <c r="J4340" s="2">
        <v>838</v>
      </c>
      <c r="K4340" s="2">
        <v>19</v>
      </c>
      <c r="L4340" s="2">
        <v>207</v>
      </c>
    </row>
    <row r="4341" spans="1:12" x14ac:dyDescent="0.25">
      <c r="A4341" s="4" t="str">
        <f>HYPERLINK("http://www.rosaceae.org/Prunus/Prunus_persica/p.persica_gdr_reftransV1_0045660","p.persica_gdr_reftransV1_0045660")</f>
        <v>p.persica_gdr_reftransV1_0045660</v>
      </c>
      <c r="B4341" s="2">
        <v>1690</v>
      </c>
      <c r="C4341" s="4" t="str">
        <f>HYPERLINK("http://www.uniprot.org/uniprot/M5WIA1","M5WIA1")</f>
        <v>M5WIA1</v>
      </c>
      <c r="D4341" s="2" t="s">
        <v>4055</v>
      </c>
      <c r="E4341" s="3">
        <v>1.34E-115</v>
      </c>
      <c r="F4341" s="2">
        <v>924</v>
      </c>
      <c r="G4341" s="2">
        <v>100</v>
      </c>
      <c r="H4341" s="2">
        <v>270</v>
      </c>
      <c r="I4341" s="2">
        <v>120</v>
      </c>
      <c r="J4341" s="2">
        <v>929</v>
      </c>
      <c r="K4341" s="2">
        <v>1</v>
      </c>
      <c r="L4341" s="2">
        <v>270</v>
      </c>
    </row>
    <row r="4342" spans="1:12" x14ac:dyDescent="0.25">
      <c r="A4342" s="4" t="str">
        <f>HYPERLINK("http://www.rosaceae.org/Prunus/Prunus_persica/p.persica_gdr_reftransV1_0046360","p.persica_gdr_reftransV1_0046360")</f>
        <v>p.persica_gdr_reftransV1_0046360</v>
      </c>
      <c r="B4342" s="2">
        <v>2834</v>
      </c>
      <c r="C4342" s="4" t="str">
        <f>HYPERLINK("http://www.uniprot.org/uniprot/M5XIU1","M5XIU1")</f>
        <v>M5XIU1</v>
      </c>
      <c r="D4342" s="2" t="s">
        <v>4056</v>
      </c>
      <c r="E4342" s="3">
        <v>0</v>
      </c>
      <c r="F4342" s="2">
        <v>3840</v>
      </c>
      <c r="G4342" s="2">
        <v>100</v>
      </c>
      <c r="H4342" s="2">
        <v>760</v>
      </c>
      <c r="I4342" s="2">
        <v>306</v>
      </c>
      <c r="J4342" s="2">
        <v>2585</v>
      </c>
      <c r="K4342" s="2">
        <v>1</v>
      </c>
      <c r="L4342" s="2">
        <v>760</v>
      </c>
    </row>
    <row r="4343" spans="1:12" x14ac:dyDescent="0.25">
      <c r="A4343" s="4" t="str">
        <f>HYPERLINK("http://www.rosaceae.org/Prunus/Prunus_persica/p.persica_gdr_reftransV1_0047060","p.persica_gdr_reftransV1_0047060")</f>
        <v>p.persica_gdr_reftransV1_0047060</v>
      </c>
      <c r="B4343" s="2">
        <v>1692</v>
      </c>
      <c r="C4343" s="4" t="str">
        <f>HYPERLINK("http://www.uniprot.org/uniprot/M5W1X0","M5W1X0")</f>
        <v>M5W1X0</v>
      </c>
      <c r="D4343" s="2" t="s">
        <v>4057</v>
      </c>
      <c r="E4343" s="3">
        <v>0</v>
      </c>
      <c r="F4343" s="2">
        <v>2389</v>
      </c>
      <c r="G4343" s="2">
        <v>99</v>
      </c>
      <c r="H4343" s="2">
        <v>476</v>
      </c>
      <c r="I4343" s="2">
        <v>202</v>
      </c>
      <c r="J4343" s="2">
        <v>1608</v>
      </c>
      <c r="K4343" s="2">
        <v>1</v>
      </c>
      <c r="L4343" s="2">
        <v>476</v>
      </c>
    </row>
    <row r="4344" spans="1:12" x14ac:dyDescent="0.25">
      <c r="A4344" s="4" t="str">
        <f>HYPERLINK("http://www.rosaceae.org/Prunus/Prunus_persica/p.persica_gdr_reftransV1_0047410","p.persica_gdr_reftransV1_0047410")</f>
        <v>p.persica_gdr_reftransV1_0047410</v>
      </c>
      <c r="B4344" s="2">
        <v>1072</v>
      </c>
      <c r="C4344" s="4" t="str">
        <f>HYPERLINK("http://www.uniprot.org/uniprot/M5XVE0","M5XVE0")</f>
        <v>M5XVE0</v>
      </c>
      <c r="D4344" s="2" t="s">
        <v>4058</v>
      </c>
      <c r="E4344" s="3">
        <v>1.3399999999999999E-46</v>
      </c>
      <c r="F4344" s="2">
        <v>424</v>
      </c>
      <c r="G4344" s="2">
        <v>100</v>
      </c>
      <c r="H4344" s="2">
        <v>90</v>
      </c>
      <c r="I4344" s="2">
        <v>684</v>
      </c>
      <c r="J4344" s="2">
        <v>953</v>
      </c>
      <c r="K4344" s="2">
        <v>1</v>
      </c>
      <c r="L4344" s="2">
        <v>90</v>
      </c>
    </row>
    <row r="4345" spans="1:12" x14ac:dyDescent="0.25">
      <c r="A4345" s="4" t="str">
        <f>HYPERLINK("http://www.rosaceae.org/Prunus/Prunus_persica/p.persica_gdr_reftransV1_0047760","p.persica_gdr_reftransV1_0047760")</f>
        <v>p.persica_gdr_reftransV1_0047760</v>
      </c>
      <c r="B4345" s="2">
        <v>511</v>
      </c>
      <c r="C4345" s="4" t="str">
        <f>HYPERLINK("http://www.uniprot.org/uniprot/M5XJ88","M5XJ88")</f>
        <v>M5XJ88</v>
      </c>
      <c r="D4345" s="2" t="s">
        <v>1338</v>
      </c>
      <c r="E4345" s="3">
        <v>6.6900000000000003E-112</v>
      </c>
      <c r="F4345" s="2">
        <v>908</v>
      </c>
      <c r="G4345" s="2">
        <v>100</v>
      </c>
      <c r="H4345" s="2">
        <v>170</v>
      </c>
      <c r="I4345" s="2">
        <v>1</v>
      </c>
      <c r="J4345" s="2">
        <v>510</v>
      </c>
      <c r="K4345" s="2">
        <v>224</v>
      </c>
      <c r="L4345" s="2">
        <v>393</v>
      </c>
    </row>
    <row r="4346" spans="1:12" x14ac:dyDescent="0.25">
      <c r="A4346" s="4" t="str">
        <f>HYPERLINK("http://www.rosaceae.org/Prunus/Prunus_persica/p.persica_gdr_reftransV1_0048110","p.persica_gdr_reftransV1_0048110")</f>
        <v>p.persica_gdr_reftransV1_0048110</v>
      </c>
      <c r="B4346" s="2">
        <v>310</v>
      </c>
      <c r="C4346" s="4" t="str">
        <f>HYPERLINK("http://www.uniprot.org/uniprot/A0A059Q7A5","A0A059Q7A5")</f>
        <v>A0A059Q7A5</v>
      </c>
      <c r="D4346" s="2" t="s">
        <v>4059</v>
      </c>
      <c r="E4346" s="3">
        <v>8.9800000000000003E-11</v>
      </c>
      <c r="F4346" s="2">
        <v>162</v>
      </c>
      <c r="G4346" s="2">
        <v>70</v>
      </c>
      <c r="H4346" s="2">
        <v>77</v>
      </c>
      <c r="I4346" s="2">
        <v>48</v>
      </c>
      <c r="J4346" s="2">
        <v>278</v>
      </c>
      <c r="K4346" s="2">
        <v>325</v>
      </c>
      <c r="L4346" s="2">
        <v>394</v>
      </c>
    </row>
    <row r="4347" spans="1:12" x14ac:dyDescent="0.25">
      <c r="A4347" s="4" t="str">
        <f>HYPERLINK("http://www.rosaceae.org/Prunus/Prunus_persica/p.persica_gdr_reftransV1_0048460","p.persica_gdr_reftransV1_0048460")</f>
        <v>p.persica_gdr_reftransV1_0048460</v>
      </c>
      <c r="B4347" s="2">
        <v>1959</v>
      </c>
      <c r="C4347" s="4" t="str">
        <f>HYPERLINK("http://www.uniprot.org/uniprot/M5X1K9","M5X1K9")</f>
        <v>M5X1K9</v>
      </c>
      <c r="D4347" s="2" t="s">
        <v>4060</v>
      </c>
      <c r="E4347" s="3">
        <v>0</v>
      </c>
      <c r="F4347" s="2">
        <v>2155</v>
      </c>
      <c r="G4347" s="2">
        <v>100</v>
      </c>
      <c r="H4347" s="2">
        <v>418</v>
      </c>
      <c r="I4347" s="2">
        <v>371</v>
      </c>
      <c r="J4347" s="2">
        <v>1624</v>
      </c>
      <c r="K4347" s="2">
        <v>1</v>
      </c>
      <c r="L4347" s="2">
        <v>418</v>
      </c>
    </row>
    <row r="4348" spans="1:12" x14ac:dyDescent="0.25">
      <c r="A4348" s="4" t="str">
        <f>HYPERLINK("http://www.rosaceae.org/Prunus/Prunus_persica/p.persica_gdr_reftransV1_0048810","p.persica_gdr_reftransV1_0048810")</f>
        <v>p.persica_gdr_reftransV1_0048810</v>
      </c>
      <c r="B4348" s="2">
        <v>2057</v>
      </c>
      <c r="C4348" s="4" t="str">
        <f>HYPERLINK("http://www.uniprot.org/uniprot/M5VJU4","M5VJU4")</f>
        <v>M5VJU4</v>
      </c>
      <c r="D4348" s="2" t="s">
        <v>4061</v>
      </c>
      <c r="E4348" s="3">
        <v>0</v>
      </c>
      <c r="F4348" s="2">
        <v>1572</v>
      </c>
      <c r="G4348" s="2">
        <v>100</v>
      </c>
      <c r="H4348" s="2">
        <v>379</v>
      </c>
      <c r="I4348" s="2">
        <v>746</v>
      </c>
      <c r="J4348" s="2">
        <v>1882</v>
      </c>
      <c r="K4348" s="2">
        <v>1</v>
      </c>
      <c r="L4348" s="2">
        <v>379</v>
      </c>
    </row>
    <row r="4349" spans="1:12" x14ac:dyDescent="0.25">
      <c r="A4349" s="4" t="str">
        <f>HYPERLINK("http://www.rosaceae.org/Prunus/Prunus_persica/p.persica_gdr_reftransV1_0049160","p.persica_gdr_reftransV1_0049160")</f>
        <v>p.persica_gdr_reftransV1_0049160</v>
      </c>
      <c r="B4349" s="2">
        <v>1240</v>
      </c>
      <c r="C4349" s="4" t="str">
        <f>HYPERLINK("http://www.uniprot.org/uniprot/M5VZU9","M5VZU9")</f>
        <v>M5VZU9</v>
      </c>
      <c r="D4349" s="2" t="s">
        <v>4062</v>
      </c>
      <c r="E4349" s="3">
        <v>4.4300000000000003E-176</v>
      </c>
      <c r="F4349" s="2">
        <v>1298</v>
      </c>
      <c r="G4349" s="2">
        <v>100</v>
      </c>
      <c r="H4349" s="2">
        <v>263</v>
      </c>
      <c r="I4349" s="2">
        <v>88</v>
      </c>
      <c r="J4349" s="2">
        <v>876</v>
      </c>
      <c r="K4349" s="2">
        <v>1</v>
      </c>
      <c r="L4349" s="2">
        <v>263</v>
      </c>
    </row>
    <row r="4350" spans="1:12" x14ac:dyDescent="0.25">
      <c r="A4350" s="4" t="str">
        <f>HYPERLINK("http://www.rosaceae.org/Prunus/Prunus_persica/p.persica_gdr_reftransV1_0000016","p.persica_gdr_reftransV1_0000016")</f>
        <v>p.persica_gdr_reftransV1_0000016</v>
      </c>
      <c r="B4350" s="2">
        <v>362</v>
      </c>
      <c r="C4350" s="4" t="str">
        <f>HYPERLINK("http://www.uniprot.org/uniprot/M5W4T9","M5W4T9")</f>
        <v>M5W4T9</v>
      </c>
      <c r="D4350" s="2" t="s">
        <v>4063</v>
      </c>
      <c r="E4350" s="3">
        <v>6.4900000000000003E-43</v>
      </c>
      <c r="F4350" s="2">
        <v>403</v>
      </c>
      <c r="G4350" s="2">
        <v>100</v>
      </c>
      <c r="H4350" s="2">
        <v>76</v>
      </c>
      <c r="I4350" s="2">
        <v>135</v>
      </c>
      <c r="J4350" s="2">
        <v>362</v>
      </c>
      <c r="K4350" s="2">
        <v>1</v>
      </c>
      <c r="L4350" s="2">
        <v>76</v>
      </c>
    </row>
    <row r="4351" spans="1:12" x14ac:dyDescent="0.25">
      <c r="A4351" s="4" t="str">
        <f>HYPERLINK("http://www.rosaceae.org/Prunus/Prunus_persica/p.persica_gdr_reftransV1_0000366","p.persica_gdr_reftransV1_0000366")</f>
        <v>p.persica_gdr_reftransV1_0000366</v>
      </c>
      <c r="B4351" s="2">
        <v>3146</v>
      </c>
      <c r="C4351" s="4" t="str">
        <f>HYPERLINK("http://www.uniprot.org/uniprot/M5XLG9","M5XLG9")</f>
        <v>M5XLG9</v>
      </c>
      <c r="D4351" s="2" t="s">
        <v>4064</v>
      </c>
      <c r="E4351" s="3">
        <v>0</v>
      </c>
      <c r="F4351" s="2">
        <v>3163</v>
      </c>
      <c r="G4351" s="2">
        <v>90</v>
      </c>
      <c r="H4351" s="2">
        <v>717</v>
      </c>
      <c r="I4351" s="2">
        <v>385</v>
      </c>
      <c r="J4351" s="2">
        <v>2532</v>
      </c>
      <c r="K4351" s="2">
        <v>1</v>
      </c>
      <c r="L4351" s="2">
        <v>657</v>
      </c>
    </row>
    <row r="4352" spans="1:12" x14ac:dyDescent="0.25">
      <c r="A4352" s="4" t="str">
        <f>HYPERLINK("http://www.rosaceae.org/Prunus/Prunus_persica/p.persica_gdr_reftransV1_0001066","p.persica_gdr_reftransV1_0001066")</f>
        <v>p.persica_gdr_reftransV1_0001066</v>
      </c>
      <c r="B4352" s="2">
        <v>439</v>
      </c>
      <c r="C4352" s="4" t="str">
        <f>HYPERLINK("http://www.uniprot.org/uniprot/M5X0T6","M5X0T6")</f>
        <v>M5X0T6</v>
      </c>
      <c r="D4352" s="2" t="s">
        <v>2313</v>
      </c>
      <c r="E4352" s="3">
        <v>4.5599999999999996E-18</v>
      </c>
      <c r="F4352" s="2">
        <v>212</v>
      </c>
      <c r="G4352" s="2">
        <v>53</v>
      </c>
      <c r="H4352" s="2">
        <v>91</v>
      </c>
      <c r="I4352" s="2">
        <v>129</v>
      </c>
      <c r="J4352" s="2">
        <v>392</v>
      </c>
      <c r="K4352" s="2">
        <v>61</v>
      </c>
      <c r="L4352" s="2">
        <v>147</v>
      </c>
    </row>
    <row r="4353" spans="1:12" x14ac:dyDescent="0.25">
      <c r="A4353" s="4" t="str">
        <f>HYPERLINK("http://www.rosaceae.org/Prunus/Prunus_persica/p.persica_gdr_reftransV1_0001416","p.persica_gdr_reftransV1_0001416")</f>
        <v>p.persica_gdr_reftransV1_0001416</v>
      </c>
      <c r="B4353" s="2">
        <v>815</v>
      </c>
      <c r="C4353" s="4" t="str">
        <f>HYPERLINK("http://www.uniprot.org/uniprot/M5WW13","M5WW13")</f>
        <v>M5WW13</v>
      </c>
      <c r="D4353" s="2" t="s">
        <v>4065</v>
      </c>
      <c r="E4353" s="3">
        <v>1.42E-80</v>
      </c>
      <c r="F4353" s="2">
        <v>638</v>
      </c>
      <c r="G4353" s="2">
        <v>100</v>
      </c>
      <c r="H4353" s="2">
        <v>124</v>
      </c>
      <c r="I4353" s="2">
        <v>313</v>
      </c>
      <c r="J4353" s="2">
        <v>684</v>
      </c>
      <c r="K4353" s="2">
        <v>1</v>
      </c>
      <c r="L4353" s="2">
        <v>124</v>
      </c>
    </row>
    <row r="4354" spans="1:12" x14ac:dyDescent="0.25">
      <c r="A4354" s="4" t="str">
        <f>HYPERLINK("http://www.rosaceae.org/Prunus/Prunus_persica/p.persica_gdr_reftransV1_0001766","p.persica_gdr_reftransV1_0001766")</f>
        <v>p.persica_gdr_reftransV1_0001766</v>
      </c>
      <c r="B4354" s="2">
        <v>1801</v>
      </c>
      <c r="C4354" s="4" t="str">
        <f>HYPERLINK("http://www.uniprot.org/uniprot/M5XJ44","M5XJ44")</f>
        <v>M5XJ44</v>
      </c>
      <c r="D4354" s="2" t="s">
        <v>4066</v>
      </c>
      <c r="E4354" s="3">
        <v>0</v>
      </c>
      <c r="F4354" s="2">
        <v>2180</v>
      </c>
      <c r="G4354" s="2">
        <v>100</v>
      </c>
      <c r="H4354" s="2">
        <v>496</v>
      </c>
      <c r="I4354" s="2">
        <v>263</v>
      </c>
      <c r="J4354" s="2">
        <v>1750</v>
      </c>
      <c r="K4354" s="2">
        <v>1</v>
      </c>
      <c r="L4354" s="2">
        <v>496</v>
      </c>
    </row>
    <row r="4355" spans="1:12" x14ac:dyDescent="0.25">
      <c r="A4355" s="4" t="str">
        <f>HYPERLINK("http://www.rosaceae.org/Prunus/Prunus_persica/p.persica_gdr_reftransV1_0002116","p.persica_gdr_reftransV1_0002116")</f>
        <v>p.persica_gdr_reftransV1_0002116</v>
      </c>
      <c r="B4355" s="2">
        <v>379</v>
      </c>
      <c r="C4355" s="4" t="str">
        <f>HYPERLINK("http://www.uniprot.org/uniprot/M5XUK8","M5XUK8")</f>
        <v>M5XUK8</v>
      </c>
      <c r="D4355" s="2" t="s">
        <v>4067</v>
      </c>
      <c r="E4355" s="3">
        <v>6.9000000000000005E-76</v>
      </c>
      <c r="F4355" s="2">
        <v>594</v>
      </c>
      <c r="G4355" s="2">
        <v>100</v>
      </c>
      <c r="H4355" s="2">
        <v>111</v>
      </c>
      <c r="I4355" s="2">
        <v>45</v>
      </c>
      <c r="J4355" s="2">
        <v>377</v>
      </c>
      <c r="K4355" s="2">
        <v>39</v>
      </c>
      <c r="L4355" s="2">
        <v>149</v>
      </c>
    </row>
    <row r="4356" spans="1:12" x14ac:dyDescent="0.25">
      <c r="A4356" s="4" t="str">
        <f>HYPERLINK("http://www.rosaceae.org/Prunus/Prunus_persica/p.persica_gdr_reftransV1_0002466","p.persica_gdr_reftransV1_0002466")</f>
        <v>p.persica_gdr_reftransV1_0002466</v>
      </c>
      <c r="B4356" s="2">
        <v>646</v>
      </c>
      <c r="C4356" s="4" t="str">
        <f>HYPERLINK("http://www.uniprot.org/uniprot/C7YVV5","C7YVV5")</f>
        <v>C7YVV5</v>
      </c>
      <c r="D4356" s="2" t="s">
        <v>4068</v>
      </c>
      <c r="E4356" s="3">
        <v>7.3100000000000002E-125</v>
      </c>
      <c r="F4356" s="2">
        <v>961</v>
      </c>
      <c r="G4356" s="2">
        <v>92</v>
      </c>
      <c r="H4356" s="2">
        <v>214</v>
      </c>
      <c r="I4356" s="2">
        <v>3</v>
      </c>
      <c r="J4356" s="2">
        <v>644</v>
      </c>
      <c r="K4356" s="2">
        <v>38</v>
      </c>
      <c r="L4356" s="2">
        <v>251</v>
      </c>
    </row>
    <row r="4357" spans="1:12" x14ac:dyDescent="0.25">
      <c r="A4357" s="4" t="str">
        <f>HYPERLINK("http://www.rosaceae.org/Prunus/Prunus_persica/p.persica_gdr_reftransV1_0002816","p.persica_gdr_reftransV1_0002816")</f>
        <v>p.persica_gdr_reftransV1_0002816</v>
      </c>
      <c r="B4357" s="2">
        <v>304</v>
      </c>
      <c r="C4357" s="4" t="str">
        <f>HYPERLINK("http://www.uniprot.org/uniprot/W9JVK0","W9JVK0")</f>
        <v>W9JVK0</v>
      </c>
      <c r="D4357" s="2" t="s">
        <v>4069</v>
      </c>
      <c r="E4357" s="3">
        <v>5.7799999999999999E-62</v>
      </c>
      <c r="F4357" s="2">
        <v>514</v>
      </c>
      <c r="G4357" s="2">
        <v>100</v>
      </c>
      <c r="H4357" s="2">
        <v>100</v>
      </c>
      <c r="I4357" s="2">
        <v>3</v>
      </c>
      <c r="J4357" s="2">
        <v>302</v>
      </c>
      <c r="K4357" s="2">
        <v>215</v>
      </c>
      <c r="L4357" s="2">
        <v>314</v>
      </c>
    </row>
    <row r="4358" spans="1:12" x14ac:dyDescent="0.25">
      <c r="A4358" s="4" t="str">
        <f>HYPERLINK("http://www.rosaceae.org/Prunus/Prunus_persica/p.persica_gdr_reftransV1_0003516","p.persica_gdr_reftransV1_0003516")</f>
        <v>p.persica_gdr_reftransV1_0003516</v>
      </c>
      <c r="B4358" s="2">
        <v>2263</v>
      </c>
      <c r="C4358" s="4" t="str">
        <f>HYPERLINK("http://www.uniprot.org/uniprot/M5X9T5","M5X9T5")</f>
        <v>M5X9T5</v>
      </c>
      <c r="D4358" s="2" t="s">
        <v>3531</v>
      </c>
      <c r="E4358" s="3">
        <v>0</v>
      </c>
      <c r="F4358" s="2">
        <v>3750</v>
      </c>
      <c r="G4358" s="2">
        <v>100</v>
      </c>
      <c r="H4358" s="2">
        <v>750</v>
      </c>
      <c r="I4358" s="2">
        <v>13</v>
      </c>
      <c r="J4358" s="2">
        <v>2262</v>
      </c>
      <c r="K4358" s="2">
        <v>112</v>
      </c>
      <c r="L4358" s="2">
        <v>861</v>
      </c>
    </row>
    <row r="4359" spans="1:12" x14ac:dyDescent="0.25">
      <c r="A4359" s="4" t="str">
        <f>HYPERLINK("http://www.rosaceae.org/Prunus/Prunus_persica/p.persica_gdr_reftransV1_0003866","p.persica_gdr_reftransV1_0003866")</f>
        <v>p.persica_gdr_reftransV1_0003866</v>
      </c>
      <c r="B4359" s="2">
        <v>858</v>
      </c>
      <c r="C4359" s="4" t="str">
        <f>HYPERLINK("http://www.uniprot.org/uniprot/M5VHZ4","M5VHZ4")</f>
        <v>M5VHZ4</v>
      </c>
      <c r="D4359" s="2" t="s">
        <v>4070</v>
      </c>
      <c r="E4359" s="3">
        <v>2.6800000000000001E-127</v>
      </c>
      <c r="F4359" s="2">
        <v>958</v>
      </c>
      <c r="G4359" s="2">
        <v>82</v>
      </c>
      <c r="H4359" s="2">
        <v>225</v>
      </c>
      <c r="I4359" s="2">
        <v>38</v>
      </c>
      <c r="J4359" s="2">
        <v>712</v>
      </c>
      <c r="K4359" s="2">
        <v>1</v>
      </c>
      <c r="L4359" s="2">
        <v>223</v>
      </c>
    </row>
    <row r="4360" spans="1:12" x14ac:dyDescent="0.25">
      <c r="A4360" s="4" t="str">
        <f>HYPERLINK("http://www.rosaceae.org/Prunus/Prunus_persica/p.persica_gdr_reftransV1_0004216","p.persica_gdr_reftransV1_0004216")</f>
        <v>p.persica_gdr_reftransV1_0004216</v>
      </c>
      <c r="B4360" s="2">
        <v>3759</v>
      </c>
      <c r="C4360" s="4" t="str">
        <f>HYPERLINK("http://www.uniprot.org/uniprot/J7MR52","J7MR52")</f>
        <v>J7MR52</v>
      </c>
      <c r="D4360" s="2" t="s">
        <v>4071</v>
      </c>
      <c r="E4360" s="3">
        <v>0</v>
      </c>
      <c r="F4360" s="2">
        <v>2400</v>
      </c>
      <c r="G4360" s="2">
        <v>95</v>
      </c>
      <c r="H4360" s="2">
        <v>552</v>
      </c>
      <c r="I4360" s="2">
        <v>776</v>
      </c>
      <c r="J4360" s="2">
        <v>2431</v>
      </c>
      <c r="K4360" s="2">
        <v>1</v>
      </c>
      <c r="L4360" s="2">
        <v>552</v>
      </c>
    </row>
    <row r="4361" spans="1:12" x14ac:dyDescent="0.25">
      <c r="A4361" s="4" t="str">
        <f>HYPERLINK("http://www.rosaceae.org/Prunus/Prunus_persica/p.persica_gdr_reftransV1_0005616","p.persica_gdr_reftransV1_0005616")</f>
        <v>p.persica_gdr_reftransV1_0005616</v>
      </c>
      <c r="B4361" s="2">
        <v>697</v>
      </c>
      <c r="C4361" s="4" t="str">
        <f>HYPERLINK("http://www.uniprot.org/uniprot/M5VKF7","M5VKF7")</f>
        <v>M5VKF7</v>
      </c>
      <c r="D4361" s="2" t="s">
        <v>4072</v>
      </c>
      <c r="E4361" s="3">
        <v>2.1199999999999999E-146</v>
      </c>
      <c r="F4361" s="2">
        <v>1089</v>
      </c>
      <c r="G4361" s="2">
        <v>100</v>
      </c>
      <c r="H4361" s="2">
        <v>208</v>
      </c>
      <c r="I4361" s="2">
        <v>72</v>
      </c>
      <c r="J4361" s="2">
        <v>695</v>
      </c>
      <c r="K4361" s="2">
        <v>125</v>
      </c>
      <c r="L4361" s="2">
        <v>332</v>
      </c>
    </row>
    <row r="4362" spans="1:12" x14ac:dyDescent="0.25">
      <c r="A4362" s="4" t="str">
        <f>HYPERLINK("http://www.rosaceae.org/Prunus/Prunus_persica/p.persica_gdr_reftransV1_0006666","p.persica_gdr_reftransV1_0006666")</f>
        <v>p.persica_gdr_reftransV1_0006666</v>
      </c>
      <c r="B4362" s="2">
        <v>575</v>
      </c>
      <c r="C4362" s="4" t="str">
        <f>HYPERLINK("http://www.uniprot.org/uniprot/M5X072","M5X072")</f>
        <v>M5X072</v>
      </c>
      <c r="D4362" s="2" t="s">
        <v>4073</v>
      </c>
      <c r="E4362" s="3">
        <v>8.0499999999999996E-111</v>
      </c>
      <c r="F4362" s="2">
        <v>895</v>
      </c>
      <c r="G4362" s="2">
        <v>100</v>
      </c>
      <c r="H4362" s="2">
        <v>170</v>
      </c>
      <c r="I4362" s="2">
        <v>1</v>
      </c>
      <c r="J4362" s="2">
        <v>510</v>
      </c>
      <c r="K4362" s="2">
        <v>1</v>
      </c>
      <c r="L4362" s="2">
        <v>170</v>
      </c>
    </row>
    <row r="4363" spans="1:12" x14ac:dyDescent="0.25">
      <c r="A4363" s="4" t="str">
        <f>HYPERLINK("http://www.rosaceae.org/Prunus/Prunus_persica/p.persica_gdr_reftransV1_0007366","p.persica_gdr_reftransV1_0007366")</f>
        <v>p.persica_gdr_reftransV1_0007366</v>
      </c>
      <c r="B4363" s="2">
        <v>4763</v>
      </c>
      <c r="C4363" s="4" t="str">
        <f>HYPERLINK("http://www.uniprot.org/uniprot/M5XV63","M5XV63")</f>
        <v>M5XV63</v>
      </c>
      <c r="D4363" s="2" t="s">
        <v>4074</v>
      </c>
      <c r="E4363" s="3">
        <v>0</v>
      </c>
      <c r="F4363" s="2">
        <v>1723</v>
      </c>
      <c r="G4363" s="2">
        <v>100</v>
      </c>
      <c r="H4363" s="2">
        <v>351</v>
      </c>
      <c r="I4363" s="2">
        <v>180</v>
      </c>
      <c r="J4363" s="2">
        <v>1232</v>
      </c>
      <c r="K4363" s="2">
        <v>1</v>
      </c>
      <c r="L4363" s="2">
        <v>351</v>
      </c>
    </row>
    <row r="4364" spans="1:12" x14ac:dyDescent="0.25">
      <c r="A4364" s="4" t="str">
        <f>HYPERLINK("http://www.rosaceae.org/Prunus/Prunus_persica/p.persica_gdr_reftransV1_0007716","p.persica_gdr_reftransV1_0007716")</f>
        <v>p.persica_gdr_reftransV1_0007716</v>
      </c>
      <c r="B4364" s="2">
        <v>2940</v>
      </c>
      <c r="C4364" s="4" t="str">
        <f>HYPERLINK("http://www.uniprot.org/uniprot/M5WCY6","M5WCY6")</f>
        <v>M5WCY6</v>
      </c>
      <c r="D4364" s="2" t="s">
        <v>4075</v>
      </c>
      <c r="E4364" s="3">
        <v>0</v>
      </c>
      <c r="F4364" s="2">
        <v>4727</v>
      </c>
      <c r="G4364" s="2">
        <v>98</v>
      </c>
      <c r="H4364" s="2">
        <v>974</v>
      </c>
      <c r="I4364" s="2">
        <v>40</v>
      </c>
      <c r="J4364" s="2">
        <v>2940</v>
      </c>
      <c r="K4364" s="2">
        <v>1</v>
      </c>
      <c r="L4364" s="2">
        <v>966</v>
      </c>
    </row>
    <row r="4365" spans="1:12" x14ac:dyDescent="0.25">
      <c r="A4365" s="4" t="str">
        <f>HYPERLINK("http://www.rosaceae.org/Prunus/Prunus_persica/p.persica_gdr_reftransV1_0008066","p.persica_gdr_reftransV1_0008066")</f>
        <v>p.persica_gdr_reftransV1_0008066</v>
      </c>
      <c r="B4365" s="2">
        <v>377</v>
      </c>
      <c r="C4365" s="4" t="str">
        <f>HYPERLINK("http://www.uniprot.org/uniprot/A0A0A7EBV6","A0A0A7EBV6")</f>
        <v>A0A0A7EBV6</v>
      </c>
      <c r="D4365" s="2" t="s">
        <v>4076</v>
      </c>
      <c r="E4365" s="3">
        <v>2.9599999999999998E-47</v>
      </c>
      <c r="F4365" s="2">
        <v>420</v>
      </c>
      <c r="G4365" s="2">
        <v>81</v>
      </c>
      <c r="H4365" s="2">
        <v>105</v>
      </c>
      <c r="I4365" s="2">
        <v>2</v>
      </c>
      <c r="J4365" s="2">
        <v>307</v>
      </c>
      <c r="K4365" s="2">
        <v>1</v>
      </c>
      <c r="L4365" s="2">
        <v>105</v>
      </c>
    </row>
    <row r="4366" spans="1:12" x14ac:dyDescent="0.25">
      <c r="A4366" s="4" t="str">
        <f>HYPERLINK("http://www.rosaceae.org/Prunus/Prunus_persica/p.persica_gdr_reftransV1_0008416","p.persica_gdr_reftransV1_0008416")</f>
        <v>p.persica_gdr_reftransV1_0008416</v>
      </c>
      <c r="B4366" s="2">
        <v>1142</v>
      </c>
      <c r="C4366" s="4" t="str">
        <f>HYPERLINK("http://www.uniprot.org/uniprot/M5WV37","M5WV37")</f>
        <v>M5WV37</v>
      </c>
      <c r="D4366" s="2" t="s">
        <v>4077</v>
      </c>
      <c r="E4366" s="3">
        <v>6.3600000000000003E-153</v>
      </c>
      <c r="F4366" s="2">
        <v>1139</v>
      </c>
      <c r="G4366" s="2">
        <v>100</v>
      </c>
      <c r="H4366" s="2">
        <v>240</v>
      </c>
      <c r="I4366" s="2">
        <v>233</v>
      </c>
      <c r="J4366" s="2">
        <v>952</v>
      </c>
      <c r="K4366" s="2">
        <v>1</v>
      </c>
      <c r="L4366" s="2">
        <v>240</v>
      </c>
    </row>
    <row r="4367" spans="1:12" x14ac:dyDescent="0.25">
      <c r="A4367" s="4" t="str">
        <f>HYPERLINK("http://www.rosaceae.org/Prunus/Prunus_persica/p.persica_gdr_reftransV1_0009116","p.persica_gdr_reftransV1_0009116")</f>
        <v>p.persica_gdr_reftransV1_0009116</v>
      </c>
      <c r="B4367" s="2">
        <v>473</v>
      </c>
      <c r="C4367" s="4" t="str">
        <f>HYPERLINK("http://www.uniprot.org/uniprot/M5WSH9","M5WSH9")</f>
        <v>M5WSH9</v>
      </c>
      <c r="D4367" s="2" t="s">
        <v>4078</v>
      </c>
      <c r="E4367" s="3">
        <v>1.9499999999999999E-96</v>
      </c>
      <c r="F4367" s="2">
        <v>769</v>
      </c>
      <c r="G4367" s="2">
        <v>100</v>
      </c>
      <c r="H4367" s="2">
        <v>157</v>
      </c>
      <c r="I4367" s="2">
        <v>2</v>
      </c>
      <c r="J4367" s="2">
        <v>472</v>
      </c>
      <c r="K4367" s="2">
        <v>168</v>
      </c>
      <c r="L4367" s="2">
        <v>324</v>
      </c>
    </row>
    <row r="4368" spans="1:12" x14ac:dyDescent="0.25">
      <c r="A4368" s="4" t="str">
        <f>HYPERLINK("http://www.rosaceae.org/Prunus/Prunus_persica/p.persica_gdr_reftransV1_0009816","p.persica_gdr_reftransV1_0009816")</f>
        <v>p.persica_gdr_reftransV1_0009816</v>
      </c>
      <c r="B4368" s="2">
        <v>1455</v>
      </c>
      <c r="C4368" s="4" t="str">
        <f>HYPERLINK("http://www.uniprot.org/uniprot/M5XXS9","M5XXS9")</f>
        <v>M5XXS9</v>
      </c>
      <c r="D4368" s="2" t="s">
        <v>4079</v>
      </c>
      <c r="E4368" s="3">
        <v>3.6999999999999997E-169</v>
      </c>
      <c r="F4368" s="2">
        <v>980</v>
      </c>
      <c r="G4368" s="2">
        <v>100</v>
      </c>
      <c r="H4368" s="2">
        <v>183</v>
      </c>
      <c r="I4368" s="2">
        <v>257</v>
      </c>
      <c r="J4368" s="2">
        <v>805</v>
      </c>
      <c r="K4368" s="2">
        <v>1</v>
      </c>
      <c r="L4368" s="2">
        <v>183</v>
      </c>
    </row>
    <row r="4369" spans="1:12" x14ac:dyDescent="0.25">
      <c r="A4369" s="4" t="str">
        <f>HYPERLINK("http://www.rosaceae.org/Prunus/Prunus_persica/p.persica_gdr_reftransV1_0010516","p.persica_gdr_reftransV1_0010516")</f>
        <v>p.persica_gdr_reftransV1_0010516</v>
      </c>
      <c r="B4369" s="2">
        <v>3517</v>
      </c>
      <c r="C4369" s="4" t="str">
        <f>HYPERLINK("http://www.uniprot.org/uniprot/M5WRW4","M5WRW4")</f>
        <v>M5WRW4</v>
      </c>
      <c r="D4369" s="2" t="s">
        <v>4080</v>
      </c>
      <c r="E4369" s="3">
        <v>0</v>
      </c>
      <c r="F4369" s="2">
        <v>4630</v>
      </c>
      <c r="G4369" s="2">
        <v>95</v>
      </c>
      <c r="H4369" s="2">
        <v>957</v>
      </c>
      <c r="I4369" s="2">
        <v>375</v>
      </c>
      <c r="J4369" s="2">
        <v>3245</v>
      </c>
      <c r="K4369" s="2">
        <v>1</v>
      </c>
      <c r="L4369" s="2">
        <v>912</v>
      </c>
    </row>
    <row r="4370" spans="1:12" x14ac:dyDescent="0.25">
      <c r="A4370" s="4" t="str">
        <f>HYPERLINK("http://www.rosaceae.org/Prunus/Prunus_persica/p.persica_gdr_reftransV1_0011216","p.persica_gdr_reftransV1_0011216")</f>
        <v>p.persica_gdr_reftransV1_0011216</v>
      </c>
      <c r="B4370" s="2">
        <v>7091</v>
      </c>
      <c r="C4370" s="4" t="str">
        <f>HYPERLINK("http://www.uniprot.org/uniprot/M5VY92","M5VY92")</f>
        <v>M5VY92</v>
      </c>
      <c r="D4370" s="2" t="s">
        <v>4081</v>
      </c>
      <c r="E4370" s="3">
        <v>0</v>
      </c>
      <c r="F4370" s="2">
        <v>8585</v>
      </c>
      <c r="G4370" s="2">
        <v>88</v>
      </c>
      <c r="H4370" s="2">
        <v>2134</v>
      </c>
      <c r="I4370" s="2">
        <v>360</v>
      </c>
      <c r="J4370" s="2">
        <v>6728</v>
      </c>
      <c r="K4370" s="2">
        <v>46</v>
      </c>
      <c r="L4370" s="2">
        <v>2059</v>
      </c>
    </row>
    <row r="4371" spans="1:12" x14ac:dyDescent="0.25">
      <c r="A4371" s="4" t="str">
        <f>HYPERLINK("http://www.rosaceae.org/Prunus/Prunus_persica/p.persica_gdr_reftransV1_0011566","p.persica_gdr_reftransV1_0011566")</f>
        <v>p.persica_gdr_reftransV1_0011566</v>
      </c>
      <c r="B4371" s="2">
        <v>2179</v>
      </c>
      <c r="C4371" s="4" t="str">
        <f>HYPERLINK("http://www.uniprot.org/uniprot/M5WZM6","M5WZM6")</f>
        <v>M5WZM6</v>
      </c>
      <c r="D4371" s="2" t="s">
        <v>4082</v>
      </c>
      <c r="E4371" s="3">
        <v>0</v>
      </c>
      <c r="F4371" s="2">
        <v>2014</v>
      </c>
      <c r="G4371" s="2">
        <v>84</v>
      </c>
      <c r="H4371" s="2">
        <v>463</v>
      </c>
      <c r="I4371" s="2">
        <v>704</v>
      </c>
      <c r="J4371" s="2">
        <v>2092</v>
      </c>
      <c r="K4371" s="2">
        <v>1</v>
      </c>
      <c r="L4371" s="2">
        <v>403</v>
      </c>
    </row>
    <row r="4372" spans="1:12" x14ac:dyDescent="0.25">
      <c r="A4372" s="4" t="str">
        <f>HYPERLINK("http://www.rosaceae.org/Prunus/Prunus_persica/p.persica_gdr_reftransV1_0012616","p.persica_gdr_reftransV1_0012616")</f>
        <v>p.persica_gdr_reftransV1_0012616</v>
      </c>
      <c r="B4372" s="2">
        <v>2010</v>
      </c>
      <c r="C4372" s="4" t="str">
        <f>HYPERLINK("http://www.uniprot.org/uniprot/M5WT44","M5WT44")</f>
        <v>M5WT44</v>
      </c>
      <c r="D4372" s="2" t="s">
        <v>4083</v>
      </c>
      <c r="E4372" s="3">
        <v>0</v>
      </c>
      <c r="F4372" s="2">
        <v>2884</v>
      </c>
      <c r="G4372" s="2">
        <v>99</v>
      </c>
      <c r="H4372" s="2">
        <v>539</v>
      </c>
      <c r="I4372" s="2">
        <v>43</v>
      </c>
      <c r="J4372" s="2">
        <v>1659</v>
      </c>
      <c r="K4372" s="2">
        <v>1</v>
      </c>
      <c r="L4372" s="2">
        <v>539</v>
      </c>
    </row>
    <row r="4373" spans="1:12" x14ac:dyDescent="0.25">
      <c r="A4373" s="4" t="str">
        <f>HYPERLINK("http://www.rosaceae.org/Prunus/Prunus_persica/p.persica_gdr_reftransV1_0013666","p.persica_gdr_reftransV1_0013666")</f>
        <v>p.persica_gdr_reftransV1_0013666</v>
      </c>
      <c r="B4373" s="2">
        <v>1527</v>
      </c>
      <c r="C4373" s="4" t="str">
        <f>HYPERLINK("http://www.uniprot.org/uniprot/M5WNY8","M5WNY8")</f>
        <v>M5WNY8</v>
      </c>
      <c r="D4373" s="2" t="s">
        <v>4084</v>
      </c>
      <c r="E4373" s="3">
        <v>0</v>
      </c>
      <c r="F4373" s="2">
        <v>2201</v>
      </c>
      <c r="G4373" s="2">
        <v>92</v>
      </c>
      <c r="H4373" s="2">
        <v>464</v>
      </c>
      <c r="I4373" s="2">
        <v>136</v>
      </c>
      <c r="J4373" s="2">
        <v>1527</v>
      </c>
      <c r="K4373" s="2">
        <v>4</v>
      </c>
      <c r="L4373" s="2">
        <v>438</v>
      </c>
    </row>
    <row r="4374" spans="1:12" x14ac:dyDescent="0.25">
      <c r="A4374" s="4" t="str">
        <f>HYPERLINK("http://www.rosaceae.org/Prunus/Prunus_persica/p.persica_gdr_reftransV1_0014016","p.persica_gdr_reftransV1_0014016")</f>
        <v>p.persica_gdr_reftransV1_0014016</v>
      </c>
      <c r="B4374" s="2">
        <v>2034</v>
      </c>
      <c r="C4374" s="4" t="str">
        <f>HYPERLINK("http://www.uniprot.org/uniprot/M5VZ37","M5VZ37")</f>
        <v>M5VZ37</v>
      </c>
      <c r="D4374" s="2" t="s">
        <v>4085</v>
      </c>
      <c r="E4374" s="3">
        <v>4.5599999999999997E-104</v>
      </c>
      <c r="F4374" s="2">
        <v>851</v>
      </c>
      <c r="G4374" s="2">
        <v>100</v>
      </c>
      <c r="H4374" s="2">
        <v>159</v>
      </c>
      <c r="I4374" s="2">
        <v>880</v>
      </c>
      <c r="J4374" s="2">
        <v>1356</v>
      </c>
      <c r="K4374" s="2">
        <v>64</v>
      </c>
      <c r="L4374" s="2">
        <v>222</v>
      </c>
    </row>
    <row r="4375" spans="1:12" x14ac:dyDescent="0.25">
      <c r="A4375" s="4" t="str">
        <f>HYPERLINK("http://www.rosaceae.org/Prunus/Prunus_persica/p.persica_gdr_reftransV1_0014366","p.persica_gdr_reftransV1_0014366")</f>
        <v>p.persica_gdr_reftransV1_0014366</v>
      </c>
      <c r="B4375" s="2">
        <v>1600</v>
      </c>
      <c r="C4375" s="4" t="str">
        <f>HYPERLINK("http://www.uniprot.org/uniprot/M5VZ67","M5VZ67")</f>
        <v>M5VZ67</v>
      </c>
      <c r="D4375" s="2" t="s">
        <v>4086</v>
      </c>
      <c r="E4375" s="3">
        <v>0</v>
      </c>
      <c r="F4375" s="2">
        <v>1989</v>
      </c>
      <c r="G4375" s="2">
        <v>100</v>
      </c>
      <c r="H4375" s="2">
        <v>371</v>
      </c>
      <c r="I4375" s="2">
        <v>443</v>
      </c>
      <c r="J4375" s="2">
        <v>1555</v>
      </c>
      <c r="K4375" s="2">
        <v>1</v>
      </c>
      <c r="L4375" s="2">
        <v>371</v>
      </c>
    </row>
    <row r="4376" spans="1:12" x14ac:dyDescent="0.25">
      <c r="A4376" s="4" t="str">
        <f>HYPERLINK("http://www.rosaceae.org/Prunus/Prunus_persica/p.persica_gdr_reftransV1_0014716","p.persica_gdr_reftransV1_0014716")</f>
        <v>p.persica_gdr_reftransV1_0014716</v>
      </c>
      <c r="B4376" s="2">
        <v>1904</v>
      </c>
      <c r="C4376" s="4" t="str">
        <f>HYPERLINK("http://www.uniprot.org/uniprot/M5WYM2","M5WYM2")</f>
        <v>M5WYM2</v>
      </c>
      <c r="D4376" s="2" t="s">
        <v>4087</v>
      </c>
      <c r="E4376" s="3">
        <v>0</v>
      </c>
      <c r="F4376" s="2">
        <v>2638</v>
      </c>
      <c r="G4376" s="2">
        <v>100</v>
      </c>
      <c r="H4376" s="2">
        <v>506</v>
      </c>
      <c r="I4376" s="2">
        <v>214</v>
      </c>
      <c r="J4376" s="2">
        <v>1731</v>
      </c>
      <c r="K4376" s="2">
        <v>1</v>
      </c>
      <c r="L4376" s="2">
        <v>506</v>
      </c>
    </row>
    <row r="4377" spans="1:12" x14ac:dyDescent="0.25">
      <c r="A4377" s="4" t="str">
        <f>HYPERLINK("http://www.rosaceae.org/Prunus/Prunus_persica/p.persica_gdr_reftransV1_0015066","p.persica_gdr_reftransV1_0015066")</f>
        <v>p.persica_gdr_reftransV1_0015066</v>
      </c>
      <c r="B4377" s="2">
        <v>655</v>
      </c>
      <c r="C4377" s="4" t="str">
        <f>HYPERLINK("http://www.uniprot.org/uniprot/M5VHU0","M5VHU0")</f>
        <v>M5VHU0</v>
      </c>
      <c r="D4377" s="2" t="s">
        <v>4088</v>
      </c>
      <c r="E4377" s="3">
        <v>4.3599999999999997E-114</v>
      </c>
      <c r="F4377" s="2">
        <v>903</v>
      </c>
      <c r="G4377" s="2">
        <v>95</v>
      </c>
      <c r="H4377" s="2">
        <v>200</v>
      </c>
      <c r="I4377" s="2">
        <v>56</v>
      </c>
      <c r="J4377" s="2">
        <v>655</v>
      </c>
      <c r="K4377" s="2">
        <v>82</v>
      </c>
      <c r="L4377" s="2">
        <v>281</v>
      </c>
    </row>
    <row r="4378" spans="1:12" x14ac:dyDescent="0.25">
      <c r="A4378" s="4" t="str">
        <f>HYPERLINK("http://www.rosaceae.org/Prunus/Prunus_persica/p.persica_gdr_reftransV1_0015416","p.persica_gdr_reftransV1_0015416")</f>
        <v>p.persica_gdr_reftransV1_0015416</v>
      </c>
      <c r="B4378" s="2">
        <v>703</v>
      </c>
      <c r="C4378" s="4" t="str">
        <f>HYPERLINK("http://www.uniprot.org/uniprot/M5W6I3","M5W6I3")</f>
        <v>M5W6I3</v>
      </c>
      <c r="D4378" s="2" t="s">
        <v>4089</v>
      </c>
      <c r="E4378" s="3">
        <v>7.9799999999999999E-47</v>
      </c>
      <c r="F4378" s="2">
        <v>448</v>
      </c>
      <c r="G4378" s="2">
        <v>100</v>
      </c>
      <c r="H4378" s="2">
        <v>158</v>
      </c>
      <c r="I4378" s="2">
        <v>228</v>
      </c>
      <c r="J4378" s="2">
        <v>701</v>
      </c>
      <c r="K4378" s="2">
        <v>57</v>
      </c>
      <c r="L4378" s="2">
        <v>214</v>
      </c>
    </row>
    <row r="4379" spans="1:12" x14ac:dyDescent="0.25">
      <c r="A4379" s="4" t="str">
        <f>HYPERLINK("http://www.rosaceae.org/Prunus/Prunus_persica/p.persica_gdr_reftransV1_0015766","p.persica_gdr_reftransV1_0015766")</f>
        <v>p.persica_gdr_reftransV1_0015766</v>
      </c>
      <c r="B4379" s="2">
        <v>789</v>
      </c>
      <c r="C4379" s="4" t="str">
        <f>HYPERLINK("http://www.uniprot.org/uniprot/M5VQ69","M5VQ69")</f>
        <v>M5VQ69</v>
      </c>
      <c r="D4379" s="2" t="s">
        <v>3919</v>
      </c>
      <c r="E4379" s="3">
        <v>3.0699999999999999E-46</v>
      </c>
      <c r="F4379" s="2">
        <v>407</v>
      </c>
      <c r="G4379" s="2">
        <v>100</v>
      </c>
      <c r="H4379" s="2">
        <v>101</v>
      </c>
      <c r="I4379" s="2">
        <v>210</v>
      </c>
      <c r="J4379" s="2">
        <v>512</v>
      </c>
      <c r="K4379" s="2">
        <v>1</v>
      </c>
      <c r="L4379" s="2">
        <v>101</v>
      </c>
    </row>
    <row r="4380" spans="1:12" x14ac:dyDescent="0.25">
      <c r="A4380" s="4" t="str">
        <f>HYPERLINK("http://www.rosaceae.org/Prunus/Prunus_persica/p.persica_gdr_reftransV1_0017516","p.persica_gdr_reftransV1_0017516")</f>
        <v>p.persica_gdr_reftransV1_0017516</v>
      </c>
      <c r="B4380" s="2">
        <v>2419</v>
      </c>
      <c r="C4380" s="4" t="str">
        <f>HYPERLINK("http://www.uniprot.org/uniprot/M5W3B9","M5W3B9")</f>
        <v>M5W3B9</v>
      </c>
      <c r="D4380" s="2" t="s">
        <v>4090</v>
      </c>
      <c r="E4380" s="3">
        <v>6.9599999999999998E-85</v>
      </c>
      <c r="F4380" s="2">
        <v>703</v>
      </c>
      <c r="G4380" s="2">
        <v>100</v>
      </c>
      <c r="H4380" s="2">
        <v>135</v>
      </c>
      <c r="I4380" s="2">
        <v>1730</v>
      </c>
      <c r="J4380" s="2">
        <v>2134</v>
      </c>
      <c r="K4380" s="2">
        <v>83</v>
      </c>
      <c r="L4380" s="2">
        <v>217</v>
      </c>
    </row>
    <row r="4381" spans="1:12" x14ac:dyDescent="0.25">
      <c r="A4381" s="4" t="str">
        <f>HYPERLINK("http://www.rosaceae.org/Prunus/Prunus_persica/p.persica_gdr_reftransV1_0018916","p.persica_gdr_reftransV1_0018916")</f>
        <v>p.persica_gdr_reftransV1_0018916</v>
      </c>
      <c r="B4381" s="2">
        <v>354</v>
      </c>
      <c r="C4381" s="4" t="str">
        <f>HYPERLINK("http://www.uniprot.org/uniprot/M5VLY9","M5VLY9")</f>
        <v>M5VLY9</v>
      </c>
      <c r="D4381" s="2" t="s">
        <v>4091</v>
      </c>
      <c r="E4381" s="3">
        <v>6.0699999999999998E-50</v>
      </c>
      <c r="F4381" s="2">
        <v>450</v>
      </c>
      <c r="G4381" s="2">
        <v>100</v>
      </c>
      <c r="H4381" s="2">
        <v>82</v>
      </c>
      <c r="I4381" s="2">
        <v>1</v>
      </c>
      <c r="J4381" s="2">
        <v>246</v>
      </c>
      <c r="K4381" s="2">
        <v>320</v>
      </c>
      <c r="L4381" s="2">
        <v>401</v>
      </c>
    </row>
    <row r="4382" spans="1:12" x14ac:dyDescent="0.25">
      <c r="A4382" s="4" t="str">
        <f>HYPERLINK("http://www.rosaceae.org/Prunus/Prunus_persica/p.persica_gdr_reftransV1_0020316","p.persica_gdr_reftransV1_0020316")</f>
        <v>p.persica_gdr_reftransV1_0020316</v>
      </c>
      <c r="B4382" s="2">
        <v>1332</v>
      </c>
      <c r="C4382" s="4" t="str">
        <f>HYPERLINK("http://www.uniprot.org/uniprot/B9T7S3","B9T7S3")</f>
        <v>B9T7S3</v>
      </c>
      <c r="D4382" s="2" t="s">
        <v>4092</v>
      </c>
      <c r="E4382" s="3">
        <v>2.11E-83</v>
      </c>
      <c r="F4382" s="2">
        <v>531</v>
      </c>
      <c r="G4382" s="2">
        <v>99</v>
      </c>
      <c r="H4382" s="2">
        <v>124</v>
      </c>
      <c r="I4382" s="2">
        <v>703</v>
      </c>
      <c r="J4382" s="2">
        <v>1074</v>
      </c>
      <c r="K4382" s="2">
        <v>15</v>
      </c>
      <c r="L4382" s="2">
        <v>138</v>
      </c>
    </row>
    <row r="4383" spans="1:12" x14ac:dyDescent="0.25">
      <c r="A4383" s="4" t="str">
        <f>HYPERLINK("http://www.rosaceae.org/Prunus/Prunus_persica/p.persica_gdr_reftransV1_0022066","p.persica_gdr_reftransV1_0022066")</f>
        <v>p.persica_gdr_reftransV1_0022066</v>
      </c>
      <c r="B4383" s="2">
        <v>4987</v>
      </c>
      <c r="C4383" s="4" t="str">
        <f>HYPERLINK("http://www.uniprot.org/uniprot/M5WYH3","M5WYH3")</f>
        <v>M5WYH3</v>
      </c>
      <c r="D4383" s="2" t="s">
        <v>2640</v>
      </c>
      <c r="E4383" s="3">
        <v>0</v>
      </c>
      <c r="F4383" s="2">
        <v>3321</v>
      </c>
      <c r="G4383" s="2">
        <v>95</v>
      </c>
      <c r="H4383" s="2">
        <v>685</v>
      </c>
      <c r="I4383" s="2">
        <v>2630</v>
      </c>
      <c r="J4383" s="2">
        <v>4684</v>
      </c>
      <c r="K4383" s="2">
        <v>129</v>
      </c>
      <c r="L4383" s="2">
        <v>781</v>
      </c>
    </row>
    <row r="4384" spans="1:12" x14ac:dyDescent="0.25">
      <c r="A4384" s="4" t="str">
        <f>HYPERLINK("http://www.rosaceae.org/Prunus/Prunus_persica/p.persica_gdr_reftransV1_0022416","p.persica_gdr_reftransV1_0022416")</f>
        <v>p.persica_gdr_reftransV1_0022416</v>
      </c>
      <c r="B4384" s="2">
        <v>978</v>
      </c>
      <c r="C4384" s="4" t="str">
        <f>HYPERLINK("http://www.uniprot.org/uniprot/M5XPU7","M5XPU7")</f>
        <v>M5XPU7</v>
      </c>
      <c r="D4384" s="2" t="s">
        <v>1214</v>
      </c>
      <c r="E4384" s="3">
        <v>0</v>
      </c>
      <c r="F4384" s="2">
        <v>1581</v>
      </c>
      <c r="G4384" s="2">
        <v>100</v>
      </c>
      <c r="H4384" s="2">
        <v>312</v>
      </c>
      <c r="I4384" s="2">
        <v>43</v>
      </c>
      <c r="J4384" s="2">
        <v>978</v>
      </c>
      <c r="K4384" s="2">
        <v>10</v>
      </c>
      <c r="L4384" s="2">
        <v>321</v>
      </c>
    </row>
    <row r="4385" spans="1:12" x14ac:dyDescent="0.25">
      <c r="A4385" s="4" t="str">
        <f>HYPERLINK("http://www.rosaceae.org/Prunus/Prunus_persica/p.persica_gdr_reftransV1_0022766","p.persica_gdr_reftransV1_0022766")</f>
        <v>p.persica_gdr_reftransV1_0022766</v>
      </c>
      <c r="B4385" s="2">
        <v>1642</v>
      </c>
      <c r="C4385" s="4" t="str">
        <f>HYPERLINK("http://www.uniprot.org/uniprot/M5WWL8","M5WWL8")</f>
        <v>M5WWL8</v>
      </c>
      <c r="D4385" s="2" t="s">
        <v>4093</v>
      </c>
      <c r="E4385" s="3">
        <v>0</v>
      </c>
      <c r="F4385" s="2">
        <v>1530</v>
      </c>
      <c r="G4385" s="2">
        <v>93</v>
      </c>
      <c r="H4385" s="2">
        <v>330</v>
      </c>
      <c r="I4385" s="2">
        <v>218</v>
      </c>
      <c r="J4385" s="2">
        <v>1207</v>
      </c>
      <c r="K4385" s="2">
        <v>1</v>
      </c>
      <c r="L4385" s="2">
        <v>308</v>
      </c>
    </row>
    <row r="4386" spans="1:12" x14ac:dyDescent="0.25">
      <c r="A4386" s="4" t="str">
        <f>HYPERLINK("http://www.rosaceae.org/Prunus/Prunus_persica/p.persica_gdr_reftransV1_0023466","p.persica_gdr_reftransV1_0023466")</f>
        <v>p.persica_gdr_reftransV1_0023466</v>
      </c>
      <c r="B4386" s="2">
        <v>3831</v>
      </c>
      <c r="C4386" s="4" t="str">
        <f>HYPERLINK("http://www.uniprot.org/uniprot/M5VGU2","M5VGU2")</f>
        <v>M5VGU2</v>
      </c>
      <c r="D4386" s="2" t="s">
        <v>3215</v>
      </c>
      <c r="E4386" s="3">
        <v>0</v>
      </c>
      <c r="F4386" s="2">
        <v>2209</v>
      </c>
      <c r="G4386" s="2">
        <v>100</v>
      </c>
      <c r="H4386" s="2">
        <v>413</v>
      </c>
      <c r="I4386" s="2">
        <v>1998</v>
      </c>
      <c r="J4386" s="2">
        <v>3236</v>
      </c>
      <c r="K4386" s="2">
        <v>326</v>
      </c>
      <c r="L4386" s="2">
        <v>738</v>
      </c>
    </row>
    <row r="4387" spans="1:12" x14ac:dyDescent="0.25">
      <c r="A4387" s="4" t="str">
        <f>HYPERLINK("http://www.rosaceae.org/Prunus/Prunus_persica/p.persica_gdr_reftransV1_0024166","p.persica_gdr_reftransV1_0024166")</f>
        <v>p.persica_gdr_reftransV1_0024166</v>
      </c>
      <c r="B4387" s="2">
        <v>2604</v>
      </c>
      <c r="C4387" s="4" t="str">
        <f>HYPERLINK("http://www.uniprot.org/uniprot/M5XCU5","M5XCU5")</f>
        <v>M5XCU5</v>
      </c>
      <c r="D4387" s="2" t="s">
        <v>4094</v>
      </c>
      <c r="E4387" s="3">
        <v>0</v>
      </c>
      <c r="F4387" s="2">
        <v>1433</v>
      </c>
      <c r="G4387" s="2">
        <v>100</v>
      </c>
      <c r="H4387" s="2">
        <v>271</v>
      </c>
      <c r="I4387" s="2">
        <v>925</v>
      </c>
      <c r="J4387" s="2">
        <v>1737</v>
      </c>
      <c r="K4387" s="2">
        <v>1</v>
      </c>
      <c r="L4387" s="2">
        <v>271</v>
      </c>
    </row>
    <row r="4388" spans="1:12" x14ac:dyDescent="0.25">
      <c r="A4388" s="4" t="str">
        <f>HYPERLINK("http://www.rosaceae.org/Prunus/Prunus_persica/p.persica_gdr_reftransV1_0024866","p.persica_gdr_reftransV1_0024866")</f>
        <v>p.persica_gdr_reftransV1_0024866</v>
      </c>
      <c r="B4388" s="2">
        <v>2202</v>
      </c>
      <c r="C4388" s="4" t="str">
        <f>HYPERLINK("http://www.uniprot.org/uniprot/M5WJ54","M5WJ54")</f>
        <v>M5WJ54</v>
      </c>
      <c r="D4388" s="2" t="s">
        <v>4095</v>
      </c>
      <c r="E4388" s="3">
        <v>3.0899999999999999E-148</v>
      </c>
      <c r="F4388" s="2">
        <v>1148</v>
      </c>
      <c r="G4388" s="2">
        <v>100</v>
      </c>
      <c r="H4388" s="2">
        <v>213</v>
      </c>
      <c r="I4388" s="2">
        <v>1324</v>
      </c>
      <c r="J4388" s="2">
        <v>1962</v>
      </c>
      <c r="K4388" s="2">
        <v>87</v>
      </c>
      <c r="L4388" s="2">
        <v>299</v>
      </c>
    </row>
    <row r="4389" spans="1:12" x14ac:dyDescent="0.25">
      <c r="A4389" s="4" t="str">
        <f>HYPERLINK("http://www.rosaceae.org/Prunus/Prunus_persica/p.persica_gdr_reftransV1_0027316","p.persica_gdr_reftransV1_0027316")</f>
        <v>p.persica_gdr_reftransV1_0027316</v>
      </c>
      <c r="B4389" s="2">
        <v>3488</v>
      </c>
      <c r="C4389" s="4" t="str">
        <f>HYPERLINK("http://www.uniprot.org/uniprot/W9S5L7","W9S5L7")</f>
        <v>W9S5L7</v>
      </c>
      <c r="D4389" s="2" t="s">
        <v>4096</v>
      </c>
      <c r="E4389" s="3">
        <v>0</v>
      </c>
      <c r="F4389" s="2">
        <v>2269</v>
      </c>
      <c r="G4389" s="2">
        <v>59</v>
      </c>
      <c r="H4389" s="2">
        <v>1008</v>
      </c>
      <c r="I4389" s="2">
        <v>528</v>
      </c>
      <c r="J4389" s="2">
        <v>3263</v>
      </c>
      <c r="K4389" s="2">
        <v>1</v>
      </c>
      <c r="L4389" s="2">
        <v>998</v>
      </c>
    </row>
    <row r="4390" spans="1:12" x14ac:dyDescent="0.25">
      <c r="A4390" s="4" t="str">
        <f>HYPERLINK("http://www.rosaceae.org/Prunus/Prunus_persica/p.persica_gdr_reftransV1_0027666","p.persica_gdr_reftransV1_0027666")</f>
        <v>p.persica_gdr_reftransV1_0027666</v>
      </c>
      <c r="B4390" s="2">
        <v>2411</v>
      </c>
      <c r="C4390" s="4" t="str">
        <f>HYPERLINK("http://www.uniprot.org/uniprot/M5XDZ0","M5XDZ0")</f>
        <v>M5XDZ0</v>
      </c>
      <c r="D4390" s="2" t="s">
        <v>4097</v>
      </c>
      <c r="E4390" s="3">
        <v>0</v>
      </c>
      <c r="F4390" s="2">
        <v>1493</v>
      </c>
      <c r="G4390" s="2">
        <v>100</v>
      </c>
      <c r="H4390" s="2">
        <v>287</v>
      </c>
      <c r="I4390" s="2">
        <v>447</v>
      </c>
      <c r="J4390" s="2">
        <v>1307</v>
      </c>
      <c r="K4390" s="2">
        <v>175</v>
      </c>
      <c r="L4390" s="2">
        <v>461</v>
      </c>
    </row>
    <row r="4391" spans="1:12" x14ac:dyDescent="0.25">
      <c r="A4391" s="4" t="str">
        <f>HYPERLINK("http://www.rosaceae.org/Prunus/Prunus_persica/p.persica_gdr_reftransV1_0029066","p.persica_gdr_reftransV1_0029066")</f>
        <v>p.persica_gdr_reftransV1_0029066</v>
      </c>
      <c r="B4391" s="2">
        <v>2648</v>
      </c>
      <c r="C4391" s="4" t="str">
        <f>HYPERLINK("http://www.uniprot.org/uniprot/M5VYK9","M5VYK9")</f>
        <v>M5VYK9</v>
      </c>
      <c r="D4391" s="2" t="s">
        <v>4098</v>
      </c>
      <c r="E4391" s="3">
        <v>1.3399999999999999E-161</v>
      </c>
      <c r="F4391" s="2">
        <v>1272</v>
      </c>
      <c r="G4391" s="2">
        <v>100</v>
      </c>
      <c r="H4391" s="2">
        <v>284</v>
      </c>
      <c r="I4391" s="2">
        <v>1406</v>
      </c>
      <c r="J4391" s="2">
        <v>2257</v>
      </c>
      <c r="K4391" s="2">
        <v>19</v>
      </c>
      <c r="L4391" s="2">
        <v>302</v>
      </c>
    </row>
    <row r="4392" spans="1:12" x14ac:dyDescent="0.25">
      <c r="A4392" s="4" t="str">
        <f>HYPERLINK("http://www.rosaceae.org/Prunus/Prunus_persica/p.persica_gdr_reftransV1_0029416","p.persica_gdr_reftransV1_0029416")</f>
        <v>p.persica_gdr_reftransV1_0029416</v>
      </c>
      <c r="B4392" s="2">
        <v>2382</v>
      </c>
      <c r="C4392" s="4" t="str">
        <f>HYPERLINK("http://www.uniprot.org/uniprot/M5WZB3","M5WZB3")</f>
        <v>M5WZB3</v>
      </c>
      <c r="D4392" s="2" t="s">
        <v>4099</v>
      </c>
      <c r="E4392" s="3">
        <v>0</v>
      </c>
      <c r="F4392" s="2">
        <v>2474</v>
      </c>
      <c r="G4392" s="2">
        <v>96</v>
      </c>
      <c r="H4392" s="2">
        <v>498</v>
      </c>
      <c r="I4392" s="2">
        <v>261</v>
      </c>
      <c r="J4392" s="2">
        <v>1754</v>
      </c>
      <c r="K4392" s="2">
        <v>1</v>
      </c>
      <c r="L4392" s="2">
        <v>477</v>
      </c>
    </row>
    <row r="4393" spans="1:12" x14ac:dyDescent="0.25">
      <c r="A4393" s="4" t="str">
        <f>HYPERLINK("http://www.rosaceae.org/Prunus/Prunus_persica/p.persica_gdr_reftransV1_0031166","p.persica_gdr_reftransV1_0031166")</f>
        <v>p.persica_gdr_reftransV1_0031166</v>
      </c>
      <c r="B4393" s="2">
        <v>1835</v>
      </c>
      <c r="C4393" s="4" t="str">
        <f>HYPERLINK("http://www.uniprot.org/uniprot/M5XCN7","M5XCN7")</f>
        <v>M5XCN7</v>
      </c>
      <c r="D4393" s="2" t="s">
        <v>4100</v>
      </c>
      <c r="E4393" s="3">
        <v>0</v>
      </c>
      <c r="F4393" s="2">
        <v>1848</v>
      </c>
      <c r="G4393" s="2">
        <v>100</v>
      </c>
      <c r="H4393" s="2">
        <v>393</v>
      </c>
      <c r="I4393" s="2">
        <v>312</v>
      </c>
      <c r="J4393" s="2">
        <v>1490</v>
      </c>
      <c r="K4393" s="2">
        <v>1</v>
      </c>
      <c r="L4393" s="2">
        <v>393</v>
      </c>
    </row>
    <row r="4394" spans="1:12" x14ac:dyDescent="0.25">
      <c r="A4394" s="4" t="str">
        <f>HYPERLINK("http://www.rosaceae.org/Prunus/Prunus_persica/p.persica_gdr_reftransV1_0033616","p.persica_gdr_reftransV1_0033616")</f>
        <v>p.persica_gdr_reftransV1_0033616</v>
      </c>
      <c r="B4394" s="2">
        <v>2241</v>
      </c>
      <c r="C4394" s="4" t="str">
        <f>HYPERLINK("http://www.uniprot.org/uniprot/M5VMQ8","M5VMQ8")</f>
        <v>M5VMQ8</v>
      </c>
      <c r="D4394" s="2" t="s">
        <v>4101</v>
      </c>
      <c r="E4394" s="3">
        <v>0</v>
      </c>
      <c r="F4394" s="2">
        <v>2929</v>
      </c>
      <c r="G4394" s="2">
        <v>100</v>
      </c>
      <c r="H4394" s="2">
        <v>607</v>
      </c>
      <c r="I4394" s="2">
        <v>328</v>
      </c>
      <c r="J4394" s="2">
        <v>2148</v>
      </c>
      <c r="K4394" s="2">
        <v>1</v>
      </c>
      <c r="L4394" s="2">
        <v>607</v>
      </c>
    </row>
    <row r="4395" spans="1:12" x14ac:dyDescent="0.25">
      <c r="A4395" s="4" t="str">
        <f>HYPERLINK("http://www.rosaceae.org/Prunus/Prunus_persica/p.persica_gdr_reftransV1_0034666","p.persica_gdr_reftransV1_0034666")</f>
        <v>p.persica_gdr_reftransV1_0034666</v>
      </c>
      <c r="B4395" s="2">
        <v>1023</v>
      </c>
      <c r="C4395" s="4" t="str">
        <f>HYPERLINK("http://www.uniprot.org/uniprot/M5XNF3","M5XNF3")</f>
        <v>M5XNF3</v>
      </c>
      <c r="D4395" s="2" t="s">
        <v>4102</v>
      </c>
      <c r="E4395" s="3">
        <v>7.4600000000000003E-131</v>
      </c>
      <c r="F4395" s="2">
        <v>986</v>
      </c>
      <c r="G4395" s="2">
        <v>100</v>
      </c>
      <c r="H4395" s="2">
        <v>207</v>
      </c>
      <c r="I4395" s="2">
        <v>61</v>
      </c>
      <c r="J4395" s="2">
        <v>681</v>
      </c>
      <c r="K4395" s="2">
        <v>1</v>
      </c>
      <c r="L4395" s="2">
        <v>207</v>
      </c>
    </row>
    <row r="4396" spans="1:12" x14ac:dyDescent="0.25">
      <c r="A4396" s="4" t="str">
        <f>HYPERLINK("http://www.rosaceae.org/Prunus/Prunus_persica/p.persica_gdr_reftransV1_0035016","p.persica_gdr_reftransV1_0035016")</f>
        <v>p.persica_gdr_reftransV1_0035016</v>
      </c>
      <c r="B4396" s="2">
        <v>2753</v>
      </c>
      <c r="C4396" s="4" t="str">
        <f>HYPERLINK("http://www.uniprot.org/uniprot/M5XS08","M5XS08")</f>
        <v>M5XS08</v>
      </c>
      <c r="D4396" s="2" t="s">
        <v>4103</v>
      </c>
      <c r="E4396" s="3">
        <v>1.8500000000000001E-166</v>
      </c>
      <c r="F4396" s="2">
        <v>1289</v>
      </c>
      <c r="G4396" s="2">
        <v>94</v>
      </c>
      <c r="H4396" s="2">
        <v>281</v>
      </c>
      <c r="I4396" s="2">
        <v>1345</v>
      </c>
      <c r="J4396" s="2">
        <v>2187</v>
      </c>
      <c r="K4396" s="2">
        <v>67</v>
      </c>
      <c r="L4396" s="2">
        <v>331</v>
      </c>
    </row>
    <row r="4397" spans="1:12" x14ac:dyDescent="0.25">
      <c r="A4397" s="4" t="str">
        <f>HYPERLINK("http://www.rosaceae.org/Prunus/Prunus_persica/p.persica_gdr_reftransV1_0036766","p.persica_gdr_reftransV1_0036766")</f>
        <v>p.persica_gdr_reftransV1_0036766</v>
      </c>
      <c r="B4397" s="2">
        <v>422</v>
      </c>
      <c r="C4397" s="4" t="str">
        <f>HYPERLINK("http://www.uniprot.org/uniprot/V4U3V0","V4U3V0")</f>
        <v>V4U3V0</v>
      </c>
      <c r="D4397" s="2" t="s">
        <v>4104</v>
      </c>
      <c r="E4397" s="3">
        <v>4.9800000000000002E-22</v>
      </c>
      <c r="F4397" s="2">
        <v>254</v>
      </c>
      <c r="G4397" s="2">
        <v>73</v>
      </c>
      <c r="H4397" s="2">
        <v>98</v>
      </c>
      <c r="I4397" s="2">
        <v>89</v>
      </c>
      <c r="J4397" s="2">
        <v>382</v>
      </c>
      <c r="K4397" s="2">
        <v>1467</v>
      </c>
      <c r="L4397" s="2">
        <v>1562</v>
      </c>
    </row>
    <row r="4398" spans="1:12" x14ac:dyDescent="0.25">
      <c r="A4398" s="4" t="str">
        <f>HYPERLINK("http://www.rosaceae.org/Prunus/Prunus_persica/p.persica_gdr_reftransV1_0038166","p.persica_gdr_reftransV1_0038166")</f>
        <v>p.persica_gdr_reftransV1_0038166</v>
      </c>
      <c r="B4398" s="2">
        <v>451</v>
      </c>
      <c r="C4398" s="4" t="str">
        <f>HYPERLINK("http://www.uniprot.org/uniprot/M5X6V4","M5X6V4")</f>
        <v>M5X6V4</v>
      </c>
      <c r="D4398" s="2" t="s">
        <v>4105</v>
      </c>
      <c r="E4398" s="3">
        <v>6.1199999999999999E-99</v>
      </c>
      <c r="F4398" s="2">
        <v>794</v>
      </c>
      <c r="G4398" s="2">
        <v>100</v>
      </c>
      <c r="H4398" s="2">
        <v>149</v>
      </c>
      <c r="I4398" s="2">
        <v>3</v>
      </c>
      <c r="J4398" s="2">
        <v>449</v>
      </c>
      <c r="K4398" s="2">
        <v>98</v>
      </c>
      <c r="L4398" s="2">
        <v>246</v>
      </c>
    </row>
    <row r="4399" spans="1:12" x14ac:dyDescent="0.25">
      <c r="A4399" s="4" t="str">
        <f>HYPERLINK("http://www.rosaceae.org/Prunus/Prunus_persica/p.persica_gdr_reftransV1_0038516","p.persica_gdr_reftransV1_0038516")</f>
        <v>p.persica_gdr_reftransV1_0038516</v>
      </c>
      <c r="B4399" s="2">
        <v>1047</v>
      </c>
      <c r="C4399" s="4" t="str">
        <f>HYPERLINK("http://www.uniprot.org/uniprot/M5XE50","M5XE50")</f>
        <v>M5XE50</v>
      </c>
      <c r="D4399" s="2" t="s">
        <v>4106</v>
      </c>
      <c r="E4399" s="3">
        <v>7.96E-65</v>
      </c>
      <c r="F4399" s="2">
        <v>541</v>
      </c>
      <c r="G4399" s="2">
        <v>100</v>
      </c>
      <c r="H4399" s="2">
        <v>131</v>
      </c>
      <c r="I4399" s="2">
        <v>383</v>
      </c>
      <c r="J4399" s="2">
        <v>775</v>
      </c>
      <c r="K4399" s="2">
        <v>1</v>
      </c>
      <c r="L4399" s="2">
        <v>131</v>
      </c>
    </row>
    <row r="4400" spans="1:12" x14ac:dyDescent="0.25">
      <c r="A4400" s="4" t="str">
        <f>HYPERLINK("http://www.rosaceae.org/Prunus/Prunus_persica/p.persica_gdr_reftransV1_0039566","p.persica_gdr_reftransV1_0039566")</f>
        <v>p.persica_gdr_reftransV1_0039566</v>
      </c>
      <c r="B4400" s="2">
        <v>1706</v>
      </c>
      <c r="C4400" s="4" t="str">
        <f>HYPERLINK("http://www.uniprot.org/uniprot/M5W8A1","M5W8A1")</f>
        <v>M5W8A1</v>
      </c>
      <c r="D4400" s="2" t="s">
        <v>4107</v>
      </c>
      <c r="E4400" s="3">
        <v>6.2999999999999997E-173</v>
      </c>
      <c r="F4400" s="2">
        <v>1296</v>
      </c>
      <c r="G4400" s="2">
        <v>100</v>
      </c>
      <c r="H4400" s="2">
        <v>298</v>
      </c>
      <c r="I4400" s="2">
        <v>629</v>
      </c>
      <c r="J4400" s="2">
        <v>1522</v>
      </c>
      <c r="K4400" s="2">
        <v>1</v>
      </c>
      <c r="L4400" s="2">
        <v>298</v>
      </c>
    </row>
    <row r="4401" spans="1:12" x14ac:dyDescent="0.25">
      <c r="A4401" s="4" t="str">
        <f>HYPERLINK("http://www.rosaceae.org/Prunus/Prunus_persica/p.persica_gdr_reftransV1_0040616","p.persica_gdr_reftransV1_0040616")</f>
        <v>p.persica_gdr_reftransV1_0040616</v>
      </c>
      <c r="B4401" s="2">
        <v>2841</v>
      </c>
      <c r="C4401" s="4" t="str">
        <f>HYPERLINK("http://www.uniprot.org/uniprot/M5XET0","M5XET0")</f>
        <v>M5XET0</v>
      </c>
      <c r="D4401" s="2" t="s">
        <v>4108</v>
      </c>
      <c r="E4401" s="3">
        <v>0</v>
      </c>
      <c r="F4401" s="2">
        <v>1590</v>
      </c>
      <c r="G4401" s="2">
        <v>100</v>
      </c>
      <c r="H4401" s="2">
        <v>321</v>
      </c>
      <c r="I4401" s="2">
        <v>1712</v>
      </c>
      <c r="J4401" s="2">
        <v>2674</v>
      </c>
      <c r="K4401" s="2">
        <v>21</v>
      </c>
      <c r="L4401" s="2">
        <v>341</v>
      </c>
    </row>
    <row r="4402" spans="1:12" x14ac:dyDescent="0.25">
      <c r="A4402" s="4" t="str">
        <f>HYPERLINK("http://www.rosaceae.org/Prunus/Prunus_persica/p.persica_gdr_reftransV1_0041316","p.persica_gdr_reftransV1_0041316")</f>
        <v>p.persica_gdr_reftransV1_0041316</v>
      </c>
      <c r="B4402" s="2">
        <v>1852</v>
      </c>
      <c r="C4402" s="4" t="str">
        <f>HYPERLINK("http://www.uniprot.org/uniprot/J9ZZR7","J9ZZR7")</f>
        <v>J9ZZR7</v>
      </c>
      <c r="D4402" s="2" t="s">
        <v>3160</v>
      </c>
      <c r="E4402" s="3">
        <v>0</v>
      </c>
      <c r="F4402" s="2">
        <v>2116</v>
      </c>
      <c r="G4402" s="2">
        <v>100</v>
      </c>
      <c r="H4402" s="2">
        <v>465</v>
      </c>
      <c r="I4402" s="2">
        <v>3</v>
      </c>
      <c r="J4402" s="2">
        <v>1397</v>
      </c>
      <c r="K4402" s="2">
        <v>1</v>
      </c>
      <c r="L4402" s="2">
        <v>465</v>
      </c>
    </row>
    <row r="4403" spans="1:12" x14ac:dyDescent="0.25">
      <c r="A4403" s="4" t="str">
        <f>HYPERLINK("http://www.rosaceae.org/Prunus/Prunus_persica/p.persica_gdr_reftransV1_0041666","p.persica_gdr_reftransV1_0041666")</f>
        <v>p.persica_gdr_reftransV1_0041666</v>
      </c>
      <c r="B4403" s="2">
        <v>2125</v>
      </c>
      <c r="C4403" s="4" t="str">
        <f>HYPERLINK("http://www.uniprot.org/uniprot/M5XC93","M5XC93")</f>
        <v>M5XC93</v>
      </c>
      <c r="D4403" s="2" t="s">
        <v>4109</v>
      </c>
      <c r="E4403" s="3">
        <v>0</v>
      </c>
      <c r="F4403" s="2">
        <v>2594</v>
      </c>
      <c r="G4403" s="2">
        <v>100</v>
      </c>
      <c r="H4403" s="2">
        <v>484</v>
      </c>
      <c r="I4403" s="2">
        <v>513</v>
      </c>
      <c r="J4403" s="2">
        <v>1964</v>
      </c>
      <c r="K4403" s="2">
        <v>1</v>
      </c>
      <c r="L4403" s="2">
        <v>484</v>
      </c>
    </row>
    <row r="4404" spans="1:12" x14ac:dyDescent="0.25">
      <c r="A4404" s="4" t="str">
        <f>HYPERLINK("http://www.rosaceae.org/Prunus/Prunus_persica/p.persica_gdr_reftransV1_0042016","p.persica_gdr_reftransV1_0042016")</f>
        <v>p.persica_gdr_reftransV1_0042016</v>
      </c>
      <c r="B4404" s="2">
        <v>3259</v>
      </c>
      <c r="C4404" s="4" t="str">
        <f>HYPERLINK("http://www.uniprot.org/uniprot/M5WRV4","M5WRV4")</f>
        <v>M5WRV4</v>
      </c>
      <c r="D4404" s="2" t="s">
        <v>4110</v>
      </c>
      <c r="E4404" s="3">
        <v>0</v>
      </c>
      <c r="F4404" s="2">
        <v>2066</v>
      </c>
      <c r="G4404" s="2">
        <v>100</v>
      </c>
      <c r="H4404" s="2">
        <v>463</v>
      </c>
      <c r="I4404" s="2">
        <v>407</v>
      </c>
      <c r="J4404" s="2">
        <v>1795</v>
      </c>
      <c r="K4404" s="2">
        <v>10</v>
      </c>
      <c r="L4404" s="2">
        <v>472</v>
      </c>
    </row>
    <row r="4405" spans="1:12" x14ac:dyDescent="0.25">
      <c r="A4405" s="4" t="str">
        <f>HYPERLINK("http://www.rosaceae.org/Prunus/Prunus_persica/p.persica_gdr_reftransV1_0042716","p.persica_gdr_reftransV1_0042716")</f>
        <v>p.persica_gdr_reftransV1_0042716</v>
      </c>
      <c r="B4405" s="2">
        <v>800</v>
      </c>
      <c r="C4405" s="4" t="str">
        <f>HYPERLINK("http://www.uniprot.org/uniprot/M5WXT4","M5WXT4")</f>
        <v>M5WXT4</v>
      </c>
      <c r="D4405" s="2" t="s">
        <v>4111</v>
      </c>
      <c r="E4405" s="3">
        <v>0</v>
      </c>
      <c r="F4405" s="2">
        <v>1411</v>
      </c>
      <c r="G4405" s="2">
        <v>100</v>
      </c>
      <c r="H4405" s="2">
        <v>266</v>
      </c>
      <c r="I4405" s="2">
        <v>2</v>
      </c>
      <c r="J4405" s="2">
        <v>799</v>
      </c>
      <c r="K4405" s="2">
        <v>541</v>
      </c>
      <c r="L4405" s="2">
        <v>806</v>
      </c>
    </row>
    <row r="4406" spans="1:12" x14ac:dyDescent="0.25">
      <c r="A4406" s="4" t="str">
        <f>HYPERLINK("http://www.rosaceae.org/Prunus/Prunus_persica/p.persica_gdr_reftransV1_0043066","p.persica_gdr_reftransV1_0043066")</f>
        <v>p.persica_gdr_reftransV1_0043066</v>
      </c>
      <c r="B4406" s="2">
        <v>810</v>
      </c>
      <c r="C4406" s="4" t="str">
        <f>HYPERLINK("http://www.uniprot.org/uniprot/A0A059CRD9","A0A059CRD9")</f>
        <v>A0A059CRD9</v>
      </c>
      <c r="D4406" s="2" t="s">
        <v>4112</v>
      </c>
      <c r="E4406" s="3">
        <v>3.99E-113</v>
      </c>
      <c r="F4406" s="2">
        <v>906</v>
      </c>
      <c r="G4406" s="2">
        <v>75</v>
      </c>
      <c r="H4406" s="2">
        <v>243</v>
      </c>
      <c r="I4406" s="2">
        <v>1</v>
      </c>
      <c r="J4406" s="2">
        <v>729</v>
      </c>
      <c r="K4406" s="2">
        <v>1</v>
      </c>
      <c r="L4406" s="2">
        <v>243</v>
      </c>
    </row>
    <row r="4407" spans="1:12" x14ac:dyDescent="0.25">
      <c r="A4407" s="4" t="str">
        <f>HYPERLINK("http://www.rosaceae.org/Prunus/Prunus_persica/p.persica_gdr_reftransV1_0043416","p.persica_gdr_reftransV1_0043416")</f>
        <v>p.persica_gdr_reftransV1_0043416</v>
      </c>
      <c r="B4407" s="2">
        <v>318</v>
      </c>
      <c r="C4407" s="4" t="str">
        <f>HYPERLINK("http://www.uniprot.org/uniprot/M5XHG2","M5XHG2")</f>
        <v>M5XHG2</v>
      </c>
      <c r="D4407" s="2" t="s">
        <v>4113</v>
      </c>
      <c r="E4407" s="3">
        <v>4.3600000000000003E-23</v>
      </c>
      <c r="F4407" s="2">
        <v>256</v>
      </c>
      <c r="G4407" s="2">
        <v>80</v>
      </c>
      <c r="H4407" s="2">
        <v>66</v>
      </c>
      <c r="I4407" s="2">
        <v>120</v>
      </c>
      <c r="J4407" s="2">
        <v>317</v>
      </c>
      <c r="K4407" s="2">
        <v>531</v>
      </c>
      <c r="L4407" s="2">
        <v>595</v>
      </c>
    </row>
    <row r="4408" spans="1:12" x14ac:dyDescent="0.25">
      <c r="A4408" s="4" t="str">
        <f>HYPERLINK("http://www.rosaceae.org/Prunus/Prunus_persica/p.persica_gdr_reftransV1_0043766","p.persica_gdr_reftransV1_0043766")</f>
        <v>p.persica_gdr_reftransV1_0043766</v>
      </c>
      <c r="B4408" s="2">
        <v>1116</v>
      </c>
      <c r="C4408" s="4" t="str">
        <f>HYPERLINK("http://www.uniprot.org/uniprot/M5XM02","M5XM02")</f>
        <v>M5XM02</v>
      </c>
      <c r="D4408" s="2" t="s">
        <v>3173</v>
      </c>
      <c r="E4408" s="3">
        <v>1.23E-118</v>
      </c>
      <c r="F4408" s="2">
        <v>906</v>
      </c>
      <c r="G4408" s="2">
        <v>100</v>
      </c>
      <c r="H4408" s="2">
        <v>174</v>
      </c>
      <c r="I4408" s="2">
        <v>428</v>
      </c>
      <c r="J4408" s="2">
        <v>949</v>
      </c>
      <c r="K4408" s="2">
        <v>7</v>
      </c>
      <c r="L4408" s="2">
        <v>180</v>
      </c>
    </row>
    <row r="4409" spans="1:12" x14ac:dyDescent="0.25">
      <c r="A4409" s="4" t="str">
        <f>HYPERLINK("http://www.rosaceae.org/Prunus/Prunus_persica/p.persica_gdr_reftransV1_0044116","p.persica_gdr_reftransV1_0044116")</f>
        <v>p.persica_gdr_reftransV1_0044116</v>
      </c>
      <c r="B4409" s="2">
        <v>871</v>
      </c>
      <c r="C4409" s="4" t="str">
        <f>HYPERLINK("http://www.uniprot.org/uniprot/M5XGI2","M5XGI2")</f>
        <v>M5XGI2</v>
      </c>
      <c r="D4409" s="2" t="s">
        <v>4114</v>
      </c>
      <c r="E4409" s="3">
        <v>1.8E-68</v>
      </c>
      <c r="F4409" s="2">
        <v>558</v>
      </c>
      <c r="G4409" s="2">
        <v>100</v>
      </c>
      <c r="H4409" s="2">
        <v>105</v>
      </c>
      <c r="I4409" s="2">
        <v>391</v>
      </c>
      <c r="J4409" s="2">
        <v>705</v>
      </c>
      <c r="K4409" s="2">
        <v>1</v>
      </c>
      <c r="L4409" s="2">
        <v>105</v>
      </c>
    </row>
    <row r="4410" spans="1:12" x14ac:dyDescent="0.25">
      <c r="A4410" s="4" t="str">
        <f>HYPERLINK("http://www.rosaceae.org/Prunus/Prunus_persica/p.persica_gdr_reftransV1_0044466","p.persica_gdr_reftransV1_0044466")</f>
        <v>p.persica_gdr_reftransV1_0044466</v>
      </c>
      <c r="B4410" s="2">
        <v>298</v>
      </c>
      <c r="C4410" s="4" t="str">
        <f>HYPERLINK("http://www.uniprot.org/uniprot/M5VTK1","M5VTK1")</f>
        <v>M5VTK1</v>
      </c>
      <c r="D4410" s="2" t="s">
        <v>4115</v>
      </c>
      <c r="E4410" s="3">
        <v>1.6000000000000001E-60</v>
      </c>
      <c r="F4410" s="2">
        <v>526</v>
      </c>
      <c r="G4410" s="2">
        <v>100</v>
      </c>
      <c r="H4410" s="2">
        <v>99</v>
      </c>
      <c r="I4410" s="2">
        <v>1</v>
      </c>
      <c r="J4410" s="2">
        <v>297</v>
      </c>
      <c r="K4410" s="2">
        <v>34</v>
      </c>
      <c r="L4410" s="2">
        <v>132</v>
      </c>
    </row>
    <row r="4411" spans="1:12" x14ac:dyDescent="0.25">
      <c r="A4411" s="4" t="str">
        <f>HYPERLINK("http://www.rosaceae.org/Prunus/Prunus_persica/p.persica_gdr_reftransV1_0044816","p.persica_gdr_reftransV1_0044816")</f>
        <v>p.persica_gdr_reftransV1_0044816</v>
      </c>
      <c r="B4411" s="2">
        <v>518</v>
      </c>
      <c r="C4411" s="4" t="str">
        <f>HYPERLINK("http://www.uniprot.org/uniprot/M5XC08","M5XC08")</f>
        <v>M5XC08</v>
      </c>
      <c r="D4411" s="2" t="s">
        <v>4116</v>
      </c>
      <c r="E4411" s="3">
        <v>5.4099999999999999E-74</v>
      </c>
      <c r="F4411" s="2">
        <v>612</v>
      </c>
      <c r="G4411" s="2">
        <v>100</v>
      </c>
      <c r="H4411" s="2">
        <v>111</v>
      </c>
      <c r="I4411" s="2">
        <v>184</v>
      </c>
      <c r="J4411" s="2">
        <v>516</v>
      </c>
      <c r="K4411" s="2">
        <v>330</v>
      </c>
      <c r="L4411" s="2">
        <v>440</v>
      </c>
    </row>
    <row r="4412" spans="1:12" x14ac:dyDescent="0.25">
      <c r="A4412" s="4" t="str">
        <f>HYPERLINK("http://www.rosaceae.org/Prunus/Prunus_persica/p.persica_gdr_reftransV1_0045166","p.persica_gdr_reftransV1_0045166")</f>
        <v>p.persica_gdr_reftransV1_0045166</v>
      </c>
      <c r="B4412" s="2">
        <v>2046</v>
      </c>
      <c r="C4412" s="4" t="str">
        <f>HYPERLINK("http://www.uniprot.org/uniprot/M5XXS4","M5XXS4")</f>
        <v>M5XXS4</v>
      </c>
      <c r="D4412" s="2" t="s">
        <v>4117</v>
      </c>
      <c r="E4412" s="3">
        <v>0</v>
      </c>
      <c r="F4412" s="2">
        <v>2413</v>
      </c>
      <c r="G4412" s="2">
        <v>96</v>
      </c>
      <c r="H4412" s="2">
        <v>492</v>
      </c>
      <c r="I4412" s="2">
        <v>398</v>
      </c>
      <c r="J4412" s="2">
        <v>1873</v>
      </c>
      <c r="K4412" s="2">
        <v>1</v>
      </c>
      <c r="L4412" s="2">
        <v>474</v>
      </c>
    </row>
    <row r="4413" spans="1:12" x14ac:dyDescent="0.25">
      <c r="A4413" s="4" t="str">
        <f>HYPERLINK("http://www.rosaceae.org/Prunus/Prunus_persica/p.persica_gdr_reftransV1_0045516","p.persica_gdr_reftransV1_0045516")</f>
        <v>p.persica_gdr_reftransV1_0045516</v>
      </c>
      <c r="B4413" s="2">
        <v>1860</v>
      </c>
      <c r="C4413" s="4" t="str">
        <f>HYPERLINK("http://www.uniprot.org/uniprot/M5VQF5","M5VQF5")</f>
        <v>M5VQF5</v>
      </c>
      <c r="D4413" s="2" t="s">
        <v>4118</v>
      </c>
      <c r="E4413" s="3">
        <v>0</v>
      </c>
      <c r="F4413" s="2">
        <v>2428</v>
      </c>
      <c r="G4413" s="2">
        <v>100</v>
      </c>
      <c r="H4413" s="2">
        <v>457</v>
      </c>
      <c r="I4413" s="2">
        <v>144</v>
      </c>
      <c r="J4413" s="2">
        <v>1514</v>
      </c>
      <c r="K4413" s="2">
        <v>17</v>
      </c>
      <c r="L4413" s="2">
        <v>473</v>
      </c>
    </row>
    <row r="4414" spans="1:12" x14ac:dyDescent="0.25">
      <c r="A4414" s="4" t="str">
        <f>HYPERLINK("http://www.rosaceae.org/Prunus/Prunus_persica/p.persica_gdr_reftransV1_0045866","p.persica_gdr_reftransV1_0045866")</f>
        <v>p.persica_gdr_reftransV1_0045866</v>
      </c>
      <c r="B4414" s="2">
        <v>1695</v>
      </c>
      <c r="C4414" s="4" t="str">
        <f>HYPERLINK("http://www.uniprot.org/uniprot/M5W0G3","M5W0G3")</f>
        <v>M5W0G3</v>
      </c>
      <c r="D4414" s="2" t="s">
        <v>4119</v>
      </c>
      <c r="E4414" s="3">
        <v>3.4500000000000001E-103</v>
      </c>
      <c r="F4414" s="2">
        <v>830</v>
      </c>
      <c r="G4414" s="2">
        <v>100</v>
      </c>
      <c r="H4414" s="2">
        <v>270</v>
      </c>
      <c r="I4414" s="2">
        <v>815</v>
      </c>
      <c r="J4414" s="2">
        <v>1624</v>
      </c>
      <c r="K4414" s="2">
        <v>1</v>
      </c>
      <c r="L4414" s="2">
        <v>270</v>
      </c>
    </row>
    <row r="4415" spans="1:12" x14ac:dyDescent="0.25">
      <c r="A4415" s="4" t="str">
        <f>HYPERLINK("http://www.rosaceae.org/Prunus/Prunus_persica/p.persica_gdr_reftransV1_0046916","p.persica_gdr_reftransV1_0046916")</f>
        <v>p.persica_gdr_reftransV1_0046916</v>
      </c>
      <c r="B4415" s="2">
        <v>1060</v>
      </c>
      <c r="C4415" s="4" t="str">
        <f>HYPERLINK("http://www.uniprot.org/uniprot/M5X1T6","M5X1T6")</f>
        <v>M5X1T6</v>
      </c>
      <c r="D4415" s="2" t="s">
        <v>3186</v>
      </c>
      <c r="E4415" s="3">
        <v>7.3799999999999996E-83</v>
      </c>
      <c r="F4415" s="2">
        <v>674</v>
      </c>
      <c r="G4415" s="2">
        <v>91</v>
      </c>
      <c r="H4415" s="2">
        <v>212</v>
      </c>
      <c r="I4415" s="2">
        <v>213</v>
      </c>
      <c r="J4415" s="2">
        <v>848</v>
      </c>
      <c r="K4415" s="2">
        <v>24</v>
      </c>
      <c r="L4415" s="2">
        <v>235</v>
      </c>
    </row>
    <row r="4416" spans="1:12" x14ac:dyDescent="0.25">
      <c r="A4416" s="4" t="str">
        <f>HYPERLINK("http://www.rosaceae.org/Prunus/Prunus_persica/p.persica_gdr_reftransV1_0047266","p.persica_gdr_reftransV1_0047266")</f>
        <v>p.persica_gdr_reftransV1_0047266</v>
      </c>
      <c r="B4416" s="2">
        <v>1162</v>
      </c>
      <c r="C4416" s="4" t="str">
        <f>HYPERLINK("http://www.uniprot.org/uniprot/M5X7L9","M5X7L9")</f>
        <v>M5X7L9</v>
      </c>
      <c r="D4416" s="2" t="s">
        <v>4120</v>
      </c>
      <c r="E4416" s="3">
        <v>0</v>
      </c>
      <c r="F4416" s="2">
        <v>1568</v>
      </c>
      <c r="G4416" s="2">
        <v>100</v>
      </c>
      <c r="H4416" s="2">
        <v>313</v>
      </c>
      <c r="I4416" s="2">
        <v>187</v>
      </c>
      <c r="J4416" s="2">
        <v>1125</v>
      </c>
      <c r="K4416" s="2">
        <v>1</v>
      </c>
      <c r="L4416" s="2">
        <v>313</v>
      </c>
    </row>
    <row r="4417" spans="1:12" x14ac:dyDescent="0.25">
      <c r="A4417" s="4" t="str">
        <f>HYPERLINK("http://www.rosaceae.org/Prunus/Prunus_persica/p.persica_gdr_reftransV1_0047616","p.persica_gdr_reftransV1_0047616")</f>
        <v>p.persica_gdr_reftransV1_0047616</v>
      </c>
      <c r="B4417" s="2">
        <v>1890</v>
      </c>
      <c r="C4417" s="4" t="str">
        <f>HYPERLINK("http://www.uniprot.org/uniprot/M5X3F0","M5X3F0")</f>
        <v>M5X3F0</v>
      </c>
      <c r="D4417" s="2" t="s">
        <v>4121</v>
      </c>
      <c r="E4417" s="3">
        <v>1.2000000000000001E-118</v>
      </c>
      <c r="F4417" s="2">
        <v>938</v>
      </c>
      <c r="G4417" s="2">
        <v>100</v>
      </c>
      <c r="H4417" s="2">
        <v>201</v>
      </c>
      <c r="I4417" s="2">
        <v>2</v>
      </c>
      <c r="J4417" s="2">
        <v>604</v>
      </c>
      <c r="K4417" s="2">
        <v>24</v>
      </c>
      <c r="L4417" s="2">
        <v>224</v>
      </c>
    </row>
    <row r="4418" spans="1:12" x14ac:dyDescent="0.25">
      <c r="A4418" s="4" t="str">
        <f>HYPERLINK("http://www.rosaceae.org/Prunus/Prunus_persica/p.persica_gdr_reftransV1_0047966","p.persica_gdr_reftransV1_0047966")</f>
        <v>p.persica_gdr_reftransV1_0047966</v>
      </c>
      <c r="B4418" s="2">
        <v>1291</v>
      </c>
      <c r="C4418" s="4" t="str">
        <f>HYPERLINK("http://www.uniprot.org/uniprot/M5XG84","M5XG84")</f>
        <v>M5XG84</v>
      </c>
      <c r="D4418" s="2" t="s">
        <v>4122</v>
      </c>
      <c r="E4418" s="3">
        <v>8.5799999999999998E-60</v>
      </c>
      <c r="F4418" s="2">
        <v>522</v>
      </c>
      <c r="G4418" s="2">
        <v>95</v>
      </c>
      <c r="H4418" s="2">
        <v>216</v>
      </c>
      <c r="I4418" s="2">
        <v>285</v>
      </c>
      <c r="J4418" s="2">
        <v>905</v>
      </c>
      <c r="K4418" s="2">
        <v>1</v>
      </c>
      <c r="L4418" s="2">
        <v>216</v>
      </c>
    </row>
    <row r="4419" spans="1:12" x14ac:dyDescent="0.25">
      <c r="A4419" s="4" t="str">
        <f>HYPERLINK("http://www.rosaceae.org/Prunus/Prunus_persica/p.persica_gdr_reftransV1_0048316","p.persica_gdr_reftransV1_0048316")</f>
        <v>p.persica_gdr_reftransV1_0048316</v>
      </c>
      <c r="B4419" s="2">
        <v>1660</v>
      </c>
      <c r="C4419" s="4" t="str">
        <f>HYPERLINK("http://www.uniprot.org/uniprot/M1PYH8","M1PYH8")</f>
        <v>M1PYH8</v>
      </c>
      <c r="D4419" s="2" t="s">
        <v>4123</v>
      </c>
      <c r="E4419" s="3">
        <v>0</v>
      </c>
      <c r="F4419" s="2">
        <v>2056</v>
      </c>
      <c r="G4419" s="2">
        <v>100</v>
      </c>
      <c r="H4419" s="2">
        <v>395</v>
      </c>
      <c r="I4419" s="2">
        <v>358</v>
      </c>
      <c r="J4419" s="2">
        <v>1542</v>
      </c>
      <c r="K4419" s="2">
        <v>1</v>
      </c>
      <c r="L4419" s="2">
        <v>395</v>
      </c>
    </row>
    <row r="4420" spans="1:12" x14ac:dyDescent="0.25">
      <c r="A4420" s="4" t="str">
        <f>HYPERLINK("http://www.rosaceae.org/Prunus/Prunus_persica/p.persica_gdr_reftransV1_0048666","p.persica_gdr_reftransV1_0048666")</f>
        <v>p.persica_gdr_reftransV1_0048666</v>
      </c>
      <c r="B4420" s="2">
        <v>491</v>
      </c>
      <c r="C4420" s="4" t="str">
        <f>HYPERLINK("http://www.uniprot.org/uniprot/M5W1C7","M5W1C7")</f>
        <v>M5W1C7</v>
      </c>
      <c r="D4420" s="2" t="s">
        <v>3895</v>
      </c>
      <c r="E4420" s="3">
        <v>2.8099999999999999E-95</v>
      </c>
      <c r="F4420" s="2">
        <v>730</v>
      </c>
      <c r="G4420" s="2">
        <v>100</v>
      </c>
      <c r="H4420" s="2">
        <v>135</v>
      </c>
      <c r="I4420" s="2">
        <v>3</v>
      </c>
      <c r="J4420" s="2">
        <v>407</v>
      </c>
      <c r="K4420" s="2">
        <v>49</v>
      </c>
      <c r="L4420" s="2">
        <v>183</v>
      </c>
    </row>
    <row r="4421" spans="1:12" x14ac:dyDescent="0.25">
      <c r="A4421" s="4" t="str">
        <f>HYPERLINK("http://www.rosaceae.org/Prunus/Prunus_persica/p.persica_gdr_reftransV1_0000511","p.persica_gdr_reftransV1_0000511")</f>
        <v>p.persica_gdr_reftransV1_0000511</v>
      </c>
      <c r="B4421" s="2">
        <v>519</v>
      </c>
      <c r="C4421" s="4" t="str">
        <f>HYPERLINK("http://www.uniprot.org/uniprot/Q93WZ6","Q93WZ6")</f>
        <v>Q93WZ6</v>
      </c>
      <c r="D4421" s="2" t="s">
        <v>4124</v>
      </c>
      <c r="E4421" s="3">
        <v>4.56E-12</v>
      </c>
      <c r="F4421" s="2">
        <v>171</v>
      </c>
      <c r="G4421" s="2">
        <v>77</v>
      </c>
      <c r="H4421" s="2">
        <v>109</v>
      </c>
      <c r="I4421" s="2">
        <v>114</v>
      </c>
      <c r="J4421" s="2">
        <v>440</v>
      </c>
      <c r="K4421" s="2">
        <v>1</v>
      </c>
      <c r="L4421" s="2">
        <v>108</v>
      </c>
    </row>
    <row r="4422" spans="1:12" x14ac:dyDescent="0.25">
      <c r="A4422" s="4" t="str">
        <f>HYPERLINK("http://www.rosaceae.org/Prunus/Prunus_persica/p.persica_gdr_reftransV1_0001211","p.persica_gdr_reftransV1_0001211")</f>
        <v>p.persica_gdr_reftransV1_0001211</v>
      </c>
      <c r="B4422" s="2">
        <v>1278</v>
      </c>
      <c r="C4422" s="4" t="str">
        <f>HYPERLINK("http://www.uniprot.org/uniprot/F6HY90","F6HY90")</f>
        <v>F6HY90</v>
      </c>
      <c r="D4422" s="2" t="s">
        <v>4125</v>
      </c>
      <c r="E4422" s="3">
        <v>7.3599999999999997E-19</v>
      </c>
      <c r="F4422" s="2">
        <v>244</v>
      </c>
      <c r="G4422" s="2">
        <v>39</v>
      </c>
      <c r="H4422" s="2">
        <v>251</v>
      </c>
      <c r="I4422" s="2">
        <v>177</v>
      </c>
      <c r="J4422" s="2">
        <v>914</v>
      </c>
      <c r="K4422" s="2">
        <v>481</v>
      </c>
      <c r="L4422" s="2">
        <v>720</v>
      </c>
    </row>
    <row r="4423" spans="1:12" x14ac:dyDescent="0.25">
      <c r="A4423" s="4" t="str">
        <f>HYPERLINK("http://www.rosaceae.org/Prunus/Prunus_persica/p.persica_gdr_reftransV1_0001561","p.persica_gdr_reftransV1_0001561")</f>
        <v>p.persica_gdr_reftransV1_0001561</v>
      </c>
      <c r="B4423" s="2">
        <v>2481</v>
      </c>
      <c r="C4423" s="4" t="str">
        <f>HYPERLINK("http://www.uniprot.org/uniprot/M5XBW6","M5XBW6")</f>
        <v>M5XBW6</v>
      </c>
      <c r="D4423" s="2" t="s">
        <v>4126</v>
      </c>
      <c r="E4423" s="3">
        <v>0</v>
      </c>
      <c r="F4423" s="2">
        <v>2342</v>
      </c>
      <c r="G4423" s="2">
        <v>100</v>
      </c>
      <c r="H4423" s="2">
        <v>447</v>
      </c>
      <c r="I4423" s="2">
        <v>1041</v>
      </c>
      <c r="J4423" s="2">
        <v>2381</v>
      </c>
      <c r="K4423" s="2">
        <v>1</v>
      </c>
      <c r="L4423" s="2">
        <v>447</v>
      </c>
    </row>
    <row r="4424" spans="1:12" x14ac:dyDescent="0.25">
      <c r="A4424" s="4" t="str">
        <f>HYPERLINK("http://www.rosaceae.org/Prunus/Prunus_persica/p.persica_gdr_reftransV1_0002261","p.persica_gdr_reftransV1_0002261")</f>
        <v>p.persica_gdr_reftransV1_0002261</v>
      </c>
      <c r="B4424" s="2">
        <v>845</v>
      </c>
      <c r="C4424" s="4" t="str">
        <f>HYPERLINK("http://www.uniprot.org/uniprot/M5X6J8","M5X6J8")</f>
        <v>M5X6J8</v>
      </c>
      <c r="D4424" s="2" t="s">
        <v>4127</v>
      </c>
      <c r="E4424" s="3">
        <v>1.3200000000000001E-112</v>
      </c>
      <c r="F4424" s="2">
        <v>859</v>
      </c>
      <c r="G4424" s="2">
        <v>100</v>
      </c>
      <c r="H4424" s="2">
        <v>162</v>
      </c>
      <c r="I4424" s="2">
        <v>320</v>
      </c>
      <c r="J4424" s="2">
        <v>805</v>
      </c>
      <c r="K4424" s="2">
        <v>45</v>
      </c>
      <c r="L4424" s="2">
        <v>206</v>
      </c>
    </row>
    <row r="4425" spans="1:12" x14ac:dyDescent="0.25">
      <c r="A4425" s="4" t="str">
        <f>HYPERLINK("http://www.rosaceae.org/Prunus/Prunus_persica/p.persica_gdr_reftransV1_0003311","p.persica_gdr_reftransV1_0003311")</f>
        <v>p.persica_gdr_reftransV1_0003311</v>
      </c>
      <c r="B4425" s="2">
        <v>672</v>
      </c>
      <c r="C4425" s="4" t="str">
        <f>HYPERLINK("http://www.uniprot.org/uniprot/M5X6K0","M5X6K0")</f>
        <v>M5X6K0</v>
      </c>
      <c r="D4425" s="2" t="s">
        <v>4128</v>
      </c>
      <c r="E4425" s="3">
        <v>4.5899999999999998E-66</v>
      </c>
      <c r="F4425" s="2">
        <v>535</v>
      </c>
      <c r="G4425" s="2">
        <v>100</v>
      </c>
      <c r="H4425" s="2">
        <v>101</v>
      </c>
      <c r="I4425" s="2">
        <v>66</v>
      </c>
      <c r="J4425" s="2">
        <v>368</v>
      </c>
      <c r="K4425" s="2">
        <v>1</v>
      </c>
      <c r="L4425" s="2">
        <v>101</v>
      </c>
    </row>
    <row r="4426" spans="1:12" x14ac:dyDescent="0.25">
      <c r="A4426" s="4" t="str">
        <f>HYPERLINK("http://www.rosaceae.org/Prunus/Prunus_persica/p.persica_gdr_reftransV1_0003661","p.persica_gdr_reftransV1_0003661")</f>
        <v>p.persica_gdr_reftransV1_0003661</v>
      </c>
      <c r="B4426" s="2">
        <v>363</v>
      </c>
      <c r="C4426" s="4" t="str">
        <f>HYPERLINK("http://www.uniprot.org/uniprot/M5XR90","M5XR90")</f>
        <v>M5XR90</v>
      </c>
      <c r="D4426" s="2" t="s">
        <v>4129</v>
      </c>
      <c r="E4426" s="3">
        <v>5.1700000000000004E-81</v>
      </c>
      <c r="F4426" s="2">
        <v>645</v>
      </c>
      <c r="G4426" s="2">
        <v>100</v>
      </c>
      <c r="H4426" s="2">
        <v>120</v>
      </c>
      <c r="I4426" s="2">
        <v>2</v>
      </c>
      <c r="J4426" s="2">
        <v>361</v>
      </c>
      <c r="K4426" s="2">
        <v>225</v>
      </c>
      <c r="L4426" s="2">
        <v>344</v>
      </c>
    </row>
    <row r="4427" spans="1:12" x14ac:dyDescent="0.25">
      <c r="A4427" s="4" t="str">
        <f>HYPERLINK("http://www.rosaceae.org/Prunus/Prunus_persica/p.persica_gdr_reftransV1_0004711","p.persica_gdr_reftransV1_0004711")</f>
        <v>p.persica_gdr_reftransV1_0004711</v>
      </c>
      <c r="B4427" s="2">
        <v>1387</v>
      </c>
      <c r="C4427" s="4" t="str">
        <f>HYPERLINK("http://www.uniprot.org/uniprot/M5XSS0","M5XSS0")</f>
        <v>M5XSS0</v>
      </c>
      <c r="D4427" s="2" t="s">
        <v>4130</v>
      </c>
      <c r="E4427" s="3">
        <v>1.03E-125</v>
      </c>
      <c r="F4427" s="2">
        <v>965</v>
      </c>
      <c r="G4427" s="2">
        <v>95</v>
      </c>
      <c r="H4427" s="2">
        <v>226</v>
      </c>
      <c r="I4427" s="2">
        <v>340</v>
      </c>
      <c r="J4427" s="2">
        <v>1017</v>
      </c>
      <c r="K4427" s="2">
        <v>1</v>
      </c>
      <c r="L4427" s="2">
        <v>215</v>
      </c>
    </row>
    <row r="4428" spans="1:12" x14ac:dyDescent="0.25">
      <c r="A4428" s="4" t="str">
        <f>HYPERLINK("http://www.rosaceae.org/Prunus/Prunus_persica/p.persica_gdr_reftransV1_0005061","p.persica_gdr_reftransV1_0005061")</f>
        <v>p.persica_gdr_reftransV1_0005061</v>
      </c>
      <c r="B4428" s="2">
        <v>2945</v>
      </c>
      <c r="C4428" s="4" t="str">
        <f>HYPERLINK("http://www.uniprot.org/uniprot/M5XIH0","M5XIH0")</f>
        <v>M5XIH0</v>
      </c>
      <c r="D4428" s="2" t="s">
        <v>4131</v>
      </c>
      <c r="E4428" s="3">
        <v>0</v>
      </c>
      <c r="F4428" s="2">
        <v>3500</v>
      </c>
      <c r="G4428" s="2">
        <v>100</v>
      </c>
      <c r="H4428" s="2">
        <v>700</v>
      </c>
      <c r="I4428" s="2">
        <v>411</v>
      </c>
      <c r="J4428" s="2">
        <v>2510</v>
      </c>
      <c r="K4428" s="2">
        <v>1</v>
      </c>
      <c r="L4428" s="2">
        <v>699</v>
      </c>
    </row>
    <row r="4429" spans="1:12" x14ac:dyDescent="0.25">
      <c r="A4429" s="4" t="str">
        <f>HYPERLINK("http://www.rosaceae.org/Prunus/Prunus_persica/p.persica_gdr_reftransV1_0005411","p.persica_gdr_reftransV1_0005411")</f>
        <v>p.persica_gdr_reftransV1_0005411</v>
      </c>
      <c r="B4429" s="2">
        <v>691</v>
      </c>
      <c r="C4429" s="4" t="str">
        <f>HYPERLINK("http://www.uniprot.org/uniprot/M5WWT2","M5WWT2")</f>
        <v>M5WWT2</v>
      </c>
      <c r="D4429" s="2" t="s">
        <v>1134</v>
      </c>
      <c r="E4429" s="3">
        <v>4.6100000000000001E-132</v>
      </c>
      <c r="F4429" s="2">
        <v>1055</v>
      </c>
      <c r="G4429" s="2">
        <v>88</v>
      </c>
      <c r="H4429" s="2">
        <v>230</v>
      </c>
      <c r="I4429" s="2">
        <v>2</v>
      </c>
      <c r="J4429" s="2">
        <v>691</v>
      </c>
      <c r="K4429" s="2">
        <v>237</v>
      </c>
      <c r="L4429" s="2">
        <v>466</v>
      </c>
    </row>
    <row r="4430" spans="1:12" x14ac:dyDescent="0.25">
      <c r="A4430" s="4" t="str">
        <f>HYPERLINK("http://www.rosaceae.org/Prunus/Prunus_persica/p.persica_gdr_reftransV1_0005761","p.persica_gdr_reftransV1_0005761")</f>
        <v>p.persica_gdr_reftransV1_0005761</v>
      </c>
      <c r="B4430" s="2">
        <v>640</v>
      </c>
      <c r="C4430" s="4" t="str">
        <f>HYPERLINK("http://www.uniprot.org/uniprot/M5W858","M5W858")</f>
        <v>M5W858</v>
      </c>
      <c r="D4430" s="2" t="s">
        <v>4132</v>
      </c>
      <c r="E4430" s="3">
        <v>6.4599999999999996E-99</v>
      </c>
      <c r="F4430" s="2">
        <v>795</v>
      </c>
      <c r="G4430" s="2">
        <v>100</v>
      </c>
      <c r="H4430" s="2">
        <v>150</v>
      </c>
      <c r="I4430" s="2">
        <v>1</v>
      </c>
      <c r="J4430" s="2">
        <v>450</v>
      </c>
      <c r="K4430" s="2">
        <v>440</v>
      </c>
      <c r="L4430" s="2">
        <v>589</v>
      </c>
    </row>
    <row r="4431" spans="1:12" x14ac:dyDescent="0.25">
      <c r="A4431" s="4" t="str">
        <f>HYPERLINK("http://www.rosaceae.org/Prunus/Prunus_persica/p.persica_gdr_reftransV1_0006811","p.persica_gdr_reftransV1_0006811")</f>
        <v>p.persica_gdr_reftransV1_0006811</v>
      </c>
      <c r="B4431" s="2">
        <v>418</v>
      </c>
      <c r="C4431" s="4" t="str">
        <f>HYPERLINK("http://www.uniprot.org/uniprot/A5ALD8","A5ALD8")</f>
        <v>A5ALD8</v>
      </c>
      <c r="D4431" s="2" t="s">
        <v>4133</v>
      </c>
      <c r="E4431" s="3">
        <v>2.21E-38</v>
      </c>
      <c r="F4431" s="2">
        <v>362</v>
      </c>
      <c r="G4431" s="2">
        <v>51</v>
      </c>
      <c r="H4431" s="2">
        <v>140</v>
      </c>
      <c r="I4431" s="2">
        <v>7</v>
      </c>
      <c r="J4431" s="2">
        <v>321</v>
      </c>
      <c r="K4431" s="2">
        <v>174</v>
      </c>
      <c r="L4431" s="2">
        <v>313</v>
      </c>
    </row>
    <row r="4432" spans="1:12" x14ac:dyDescent="0.25">
      <c r="A4432" s="4" t="str">
        <f>HYPERLINK("http://www.rosaceae.org/Prunus/Prunus_persica/p.persica_gdr_reftransV1_0007161","p.persica_gdr_reftransV1_0007161")</f>
        <v>p.persica_gdr_reftransV1_0007161</v>
      </c>
      <c r="B4432" s="2">
        <v>1767</v>
      </c>
      <c r="C4432" s="4" t="str">
        <f>HYPERLINK("http://www.uniprot.org/uniprot/M5XVE1","M5XVE1")</f>
        <v>M5XVE1</v>
      </c>
      <c r="D4432" s="2" t="s">
        <v>4134</v>
      </c>
      <c r="E4432" s="3">
        <v>0</v>
      </c>
      <c r="F4432" s="2">
        <v>2030</v>
      </c>
      <c r="G4432" s="2">
        <v>86</v>
      </c>
      <c r="H4432" s="2">
        <v>450</v>
      </c>
      <c r="I4432" s="2">
        <v>424</v>
      </c>
      <c r="J4432" s="2">
        <v>1767</v>
      </c>
      <c r="K4432" s="2">
        <v>116</v>
      </c>
      <c r="L4432" s="2">
        <v>529</v>
      </c>
    </row>
    <row r="4433" spans="1:12" x14ac:dyDescent="0.25">
      <c r="A4433" s="4" t="str">
        <f>HYPERLINK("http://www.rosaceae.org/Prunus/Prunus_persica/p.persica_gdr_reftransV1_0007511","p.persica_gdr_reftransV1_0007511")</f>
        <v>p.persica_gdr_reftransV1_0007511</v>
      </c>
      <c r="B4433" s="2">
        <v>1626</v>
      </c>
      <c r="C4433" s="4" t="str">
        <f>HYPERLINK("http://www.uniprot.org/uniprot/M5W2H9","M5W2H9")</f>
        <v>M5W2H9</v>
      </c>
      <c r="D4433" s="2" t="s">
        <v>853</v>
      </c>
      <c r="E4433" s="3">
        <v>0</v>
      </c>
      <c r="F4433" s="2">
        <v>1873</v>
      </c>
      <c r="G4433" s="2">
        <v>100</v>
      </c>
      <c r="H4433" s="2">
        <v>356</v>
      </c>
      <c r="I4433" s="2">
        <v>443</v>
      </c>
      <c r="J4433" s="2">
        <v>1510</v>
      </c>
      <c r="K4433" s="2">
        <v>3</v>
      </c>
      <c r="L4433" s="2">
        <v>358</v>
      </c>
    </row>
    <row r="4434" spans="1:12" x14ac:dyDescent="0.25">
      <c r="A4434" s="4" t="str">
        <f>HYPERLINK("http://www.rosaceae.org/Prunus/Prunus_persica/p.persica_gdr_reftransV1_0008211","p.persica_gdr_reftransV1_0008211")</f>
        <v>p.persica_gdr_reftransV1_0008211</v>
      </c>
      <c r="B4434" s="2">
        <v>1792</v>
      </c>
      <c r="C4434" s="4" t="str">
        <f>HYPERLINK("http://www.uniprot.org/uniprot/M5XEL8","M5XEL8")</f>
        <v>M5XEL8</v>
      </c>
      <c r="D4434" s="2" t="s">
        <v>4135</v>
      </c>
      <c r="E4434" s="3">
        <v>6.6199999999999998E-139</v>
      </c>
      <c r="F4434" s="2">
        <v>1071</v>
      </c>
      <c r="G4434" s="2">
        <v>100</v>
      </c>
      <c r="H4434" s="2">
        <v>267</v>
      </c>
      <c r="I4434" s="2">
        <v>936</v>
      </c>
      <c r="J4434" s="2">
        <v>1736</v>
      </c>
      <c r="K4434" s="2">
        <v>1</v>
      </c>
      <c r="L4434" s="2">
        <v>267</v>
      </c>
    </row>
    <row r="4435" spans="1:12" x14ac:dyDescent="0.25">
      <c r="A4435" s="4" t="str">
        <f>HYPERLINK("http://www.rosaceae.org/Prunus/Prunus_persica/p.persica_gdr_reftransV1_0008561","p.persica_gdr_reftransV1_0008561")</f>
        <v>p.persica_gdr_reftransV1_0008561</v>
      </c>
      <c r="B4435" s="2">
        <v>3327</v>
      </c>
      <c r="C4435" s="4" t="str">
        <f>HYPERLINK("http://www.uniprot.org/uniprot/M5WX63","M5WX63")</f>
        <v>M5WX63</v>
      </c>
      <c r="D4435" s="2" t="s">
        <v>4136</v>
      </c>
      <c r="E4435" s="3">
        <v>0</v>
      </c>
      <c r="F4435" s="2">
        <v>3504</v>
      </c>
      <c r="G4435" s="2">
        <v>100</v>
      </c>
      <c r="H4435" s="2">
        <v>788</v>
      </c>
      <c r="I4435" s="2">
        <v>516</v>
      </c>
      <c r="J4435" s="2">
        <v>2879</v>
      </c>
      <c r="K4435" s="2">
        <v>99</v>
      </c>
      <c r="L4435" s="2">
        <v>886</v>
      </c>
    </row>
    <row r="4436" spans="1:12" x14ac:dyDescent="0.25">
      <c r="A4436" s="4" t="str">
        <f>HYPERLINK("http://www.rosaceae.org/Prunus/Prunus_persica/p.persica_gdr_reftransV1_0009261","p.persica_gdr_reftransV1_0009261")</f>
        <v>p.persica_gdr_reftransV1_0009261</v>
      </c>
      <c r="B4436" s="2">
        <v>1020</v>
      </c>
      <c r="C4436" s="4" t="str">
        <f>HYPERLINK("http://www.uniprot.org/uniprot/M5WQP7","M5WQP7")</f>
        <v>M5WQP7</v>
      </c>
      <c r="D4436" s="2" t="s">
        <v>4137</v>
      </c>
      <c r="E4436" s="3">
        <v>3.4800000000000001E-162</v>
      </c>
      <c r="F4436" s="2">
        <v>1265</v>
      </c>
      <c r="G4436" s="2">
        <v>100</v>
      </c>
      <c r="H4436" s="2">
        <v>259</v>
      </c>
      <c r="I4436" s="2">
        <v>2</v>
      </c>
      <c r="J4436" s="2">
        <v>778</v>
      </c>
      <c r="K4436" s="2">
        <v>1</v>
      </c>
      <c r="L4436" s="2">
        <v>259</v>
      </c>
    </row>
    <row r="4437" spans="1:12" x14ac:dyDescent="0.25">
      <c r="A4437" s="4" t="str">
        <f>HYPERLINK("http://www.rosaceae.org/Prunus/Prunus_persica/p.persica_gdr_reftransV1_0011011","p.persica_gdr_reftransV1_0011011")</f>
        <v>p.persica_gdr_reftransV1_0011011</v>
      </c>
      <c r="B4437" s="2">
        <v>1006</v>
      </c>
      <c r="C4437" s="4" t="str">
        <f>HYPERLINK("http://www.uniprot.org/uniprot/M5XEZ3","M5XEZ3")</f>
        <v>M5XEZ3</v>
      </c>
      <c r="D4437" s="2" t="s">
        <v>4138</v>
      </c>
      <c r="E4437" s="3">
        <v>2.8199999999999999E-123</v>
      </c>
      <c r="F4437" s="2">
        <v>934</v>
      </c>
      <c r="G4437" s="2">
        <v>100</v>
      </c>
      <c r="H4437" s="2">
        <v>196</v>
      </c>
      <c r="I4437" s="2">
        <v>232</v>
      </c>
      <c r="J4437" s="2">
        <v>819</v>
      </c>
      <c r="K4437" s="2">
        <v>1</v>
      </c>
      <c r="L4437" s="2">
        <v>196</v>
      </c>
    </row>
    <row r="4438" spans="1:12" x14ac:dyDescent="0.25">
      <c r="A4438" s="4" t="str">
        <f>HYPERLINK("http://www.rosaceae.org/Prunus/Prunus_persica/p.persica_gdr_reftransV1_0011711","p.persica_gdr_reftransV1_0011711")</f>
        <v>p.persica_gdr_reftransV1_0011711</v>
      </c>
      <c r="B4438" s="2">
        <v>1017</v>
      </c>
      <c r="C4438" s="4" t="str">
        <f>HYPERLINK("http://www.uniprot.org/uniprot/A0A0D2R378","A0A0D2R378")</f>
        <v>A0A0D2R378</v>
      </c>
      <c r="D4438" s="2" t="s">
        <v>4139</v>
      </c>
      <c r="E4438" s="3">
        <v>9.9300000000000002E-82</v>
      </c>
      <c r="F4438" s="2">
        <v>665</v>
      </c>
      <c r="G4438" s="2">
        <v>100</v>
      </c>
      <c r="H4438" s="2">
        <v>120</v>
      </c>
      <c r="I4438" s="2">
        <v>657</v>
      </c>
      <c r="J4438" s="2">
        <v>1016</v>
      </c>
      <c r="K4438" s="2">
        <v>27</v>
      </c>
      <c r="L4438" s="2">
        <v>146</v>
      </c>
    </row>
    <row r="4439" spans="1:12" x14ac:dyDescent="0.25">
      <c r="A4439" s="4" t="str">
        <f>HYPERLINK("http://www.rosaceae.org/Prunus/Prunus_persica/p.persica_gdr_reftransV1_0012061","p.persica_gdr_reftransV1_0012061")</f>
        <v>p.persica_gdr_reftransV1_0012061</v>
      </c>
      <c r="B4439" s="2">
        <v>2026</v>
      </c>
      <c r="C4439" s="4" t="str">
        <f>HYPERLINK("http://www.uniprot.org/uniprot/M5XVQ1","M5XVQ1")</f>
        <v>M5XVQ1</v>
      </c>
      <c r="D4439" s="2" t="s">
        <v>4140</v>
      </c>
      <c r="E4439" s="3">
        <v>0</v>
      </c>
      <c r="F4439" s="2">
        <v>2888</v>
      </c>
      <c r="G4439" s="2">
        <v>99</v>
      </c>
      <c r="H4439" s="2">
        <v>543</v>
      </c>
      <c r="I4439" s="2">
        <v>289</v>
      </c>
      <c r="J4439" s="2">
        <v>1917</v>
      </c>
      <c r="K4439" s="2">
        <v>67</v>
      </c>
      <c r="L4439" s="2">
        <v>609</v>
      </c>
    </row>
    <row r="4440" spans="1:12" x14ac:dyDescent="0.25">
      <c r="A4440" s="4" t="str">
        <f>HYPERLINK("http://www.rosaceae.org/Prunus/Prunus_persica/p.persica_gdr_reftransV1_0012761","p.persica_gdr_reftransV1_0012761")</f>
        <v>p.persica_gdr_reftransV1_0012761</v>
      </c>
      <c r="B4440" s="2">
        <v>1040</v>
      </c>
      <c r="C4440" s="4" t="str">
        <f>HYPERLINK("http://www.uniprot.org/uniprot/X2G6I9","X2G6I9")</f>
        <v>X2G6I9</v>
      </c>
      <c r="D4440" s="2" t="s">
        <v>4141</v>
      </c>
      <c r="E4440" s="3">
        <v>8.5900000000000006E-170</v>
      </c>
      <c r="F4440" s="2">
        <v>1373</v>
      </c>
      <c r="G4440" s="2">
        <v>100</v>
      </c>
      <c r="H4440" s="2">
        <v>258</v>
      </c>
      <c r="I4440" s="2">
        <v>1</v>
      </c>
      <c r="J4440" s="2">
        <v>774</v>
      </c>
      <c r="K4440" s="2">
        <v>32</v>
      </c>
      <c r="L4440" s="2">
        <v>289</v>
      </c>
    </row>
    <row r="4441" spans="1:12" x14ac:dyDescent="0.25">
      <c r="A4441" s="4" t="str">
        <f>HYPERLINK("http://www.rosaceae.org/Prunus/Prunus_persica/p.persica_gdr_reftransV1_0013461","p.persica_gdr_reftransV1_0013461")</f>
        <v>p.persica_gdr_reftransV1_0013461</v>
      </c>
      <c r="B4441" s="2">
        <v>906</v>
      </c>
      <c r="C4441" s="4" t="str">
        <f>HYPERLINK("http://www.uniprot.org/uniprot/M5VRH4","M5VRH4")</f>
        <v>M5VRH4</v>
      </c>
      <c r="D4441" s="2" t="s">
        <v>4142</v>
      </c>
      <c r="E4441" s="3">
        <v>1.2699999999999999E-72</v>
      </c>
      <c r="F4441" s="2">
        <v>589</v>
      </c>
      <c r="G4441" s="2">
        <v>100</v>
      </c>
      <c r="H4441" s="2">
        <v>128</v>
      </c>
      <c r="I4441" s="2">
        <v>380</v>
      </c>
      <c r="J4441" s="2">
        <v>763</v>
      </c>
      <c r="K4441" s="2">
        <v>1</v>
      </c>
      <c r="L4441" s="2">
        <v>128</v>
      </c>
    </row>
    <row r="4442" spans="1:12" x14ac:dyDescent="0.25">
      <c r="A4442" s="4" t="str">
        <f>HYPERLINK("http://www.rosaceae.org/Prunus/Prunus_persica/p.persica_gdr_reftransV1_0014511","p.persica_gdr_reftransV1_0014511")</f>
        <v>p.persica_gdr_reftransV1_0014511</v>
      </c>
      <c r="B4442" s="2">
        <v>7314</v>
      </c>
      <c r="C4442" s="4" t="str">
        <f>HYPERLINK("http://www.uniprot.org/uniprot/M5XQR6","M5XQR6")</f>
        <v>M5XQR6</v>
      </c>
      <c r="D4442" s="2" t="s">
        <v>4143</v>
      </c>
      <c r="E4442" s="3">
        <v>0</v>
      </c>
      <c r="F4442" s="2">
        <v>5137</v>
      </c>
      <c r="G4442" s="2">
        <v>99</v>
      </c>
      <c r="H4442" s="2">
        <v>1043</v>
      </c>
      <c r="I4442" s="2">
        <v>559</v>
      </c>
      <c r="J4442" s="2">
        <v>3687</v>
      </c>
      <c r="K4442" s="2">
        <v>1</v>
      </c>
      <c r="L4442" s="2">
        <v>1037</v>
      </c>
    </row>
    <row r="4443" spans="1:12" x14ac:dyDescent="0.25">
      <c r="A4443" s="4" t="str">
        <f>HYPERLINK("http://www.rosaceae.org/Prunus/Prunus_persica/p.persica_gdr_reftransV1_0014861","p.persica_gdr_reftransV1_0014861")</f>
        <v>p.persica_gdr_reftransV1_0014861</v>
      </c>
      <c r="B4443" s="2">
        <v>779</v>
      </c>
      <c r="C4443" s="4" t="str">
        <f>HYPERLINK("http://www.uniprot.org/uniprot/A0A059A7I3","A0A059A7I3")</f>
        <v>A0A059A7I3</v>
      </c>
      <c r="D4443" s="2" t="s">
        <v>4144</v>
      </c>
      <c r="E4443" s="3">
        <v>1.8700000000000001E-13</v>
      </c>
      <c r="F4443" s="2">
        <v>178</v>
      </c>
      <c r="G4443" s="2">
        <v>84</v>
      </c>
      <c r="H4443" s="2">
        <v>38</v>
      </c>
      <c r="I4443" s="2">
        <v>242</v>
      </c>
      <c r="J4443" s="2">
        <v>355</v>
      </c>
      <c r="K4443" s="2">
        <v>32</v>
      </c>
      <c r="L4443" s="2">
        <v>69</v>
      </c>
    </row>
    <row r="4444" spans="1:12" x14ac:dyDescent="0.25">
      <c r="A4444" s="4" t="str">
        <f>HYPERLINK("http://www.rosaceae.org/Prunus/Prunus_persica/p.persica_gdr_reftransV1_0015211","p.persica_gdr_reftransV1_0015211")</f>
        <v>p.persica_gdr_reftransV1_0015211</v>
      </c>
      <c r="B4444" s="2">
        <v>3445</v>
      </c>
      <c r="C4444" s="4" t="str">
        <f>HYPERLINK("http://www.uniprot.org/uniprot/M5VXH6","M5VXH6")</f>
        <v>M5VXH6</v>
      </c>
      <c r="D4444" s="2" t="s">
        <v>4145</v>
      </c>
      <c r="E4444" s="3">
        <v>0</v>
      </c>
      <c r="F4444" s="2">
        <v>2383</v>
      </c>
      <c r="G4444" s="2">
        <v>100</v>
      </c>
      <c r="H4444" s="2">
        <v>454</v>
      </c>
      <c r="I4444" s="2">
        <v>310</v>
      </c>
      <c r="J4444" s="2">
        <v>1671</v>
      </c>
      <c r="K4444" s="2">
        <v>350</v>
      </c>
      <c r="L4444" s="2">
        <v>803</v>
      </c>
    </row>
    <row r="4445" spans="1:12" x14ac:dyDescent="0.25">
      <c r="A4445" s="4" t="str">
        <f>HYPERLINK("http://www.rosaceae.org/Prunus/Prunus_persica/p.persica_gdr_reftransV1_0015561","p.persica_gdr_reftransV1_0015561")</f>
        <v>p.persica_gdr_reftransV1_0015561</v>
      </c>
      <c r="B4445" s="2">
        <v>4321</v>
      </c>
      <c r="C4445" s="4" t="str">
        <f>HYPERLINK("http://www.uniprot.org/uniprot/M5XKX0","M5XKX0")</f>
        <v>M5XKX0</v>
      </c>
      <c r="D4445" s="2" t="s">
        <v>4146</v>
      </c>
      <c r="E4445" s="3">
        <v>0</v>
      </c>
      <c r="F4445" s="2">
        <v>3406</v>
      </c>
      <c r="G4445" s="2">
        <v>100</v>
      </c>
      <c r="H4445" s="2">
        <v>631</v>
      </c>
      <c r="I4445" s="2">
        <v>638</v>
      </c>
      <c r="J4445" s="2">
        <v>2530</v>
      </c>
      <c r="K4445" s="2">
        <v>1</v>
      </c>
      <c r="L4445" s="2">
        <v>631</v>
      </c>
    </row>
    <row r="4446" spans="1:12" x14ac:dyDescent="0.25">
      <c r="A4446" s="4" t="str">
        <f>HYPERLINK("http://www.rosaceae.org/Prunus/Prunus_persica/p.persica_gdr_reftransV1_0016961","p.persica_gdr_reftransV1_0016961")</f>
        <v>p.persica_gdr_reftransV1_0016961</v>
      </c>
      <c r="B4446" s="2">
        <v>1098</v>
      </c>
      <c r="C4446" s="4" t="str">
        <f>HYPERLINK("http://www.uniprot.org/uniprot/M5X5X1","M5X5X1")</f>
        <v>M5X5X1</v>
      </c>
      <c r="D4446" s="2" t="s">
        <v>4147</v>
      </c>
      <c r="E4446" s="3">
        <v>1.26E-66</v>
      </c>
      <c r="F4446" s="2">
        <v>555</v>
      </c>
      <c r="G4446" s="2">
        <v>71</v>
      </c>
      <c r="H4446" s="2">
        <v>156</v>
      </c>
      <c r="I4446" s="2">
        <v>417</v>
      </c>
      <c r="J4446" s="2">
        <v>881</v>
      </c>
      <c r="K4446" s="2">
        <v>1</v>
      </c>
      <c r="L4446" s="2">
        <v>156</v>
      </c>
    </row>
    <row r="4447" spans="1:12" x14ac:dyDescent="0.25">
      <c r="A4447" s="4" t="str">
        <f>HYPERLINK("http://www.rosaceae.org/Prunus/Prunus_persica/p.persica_gdr_reftransV1_0017311","p.persica_gdr_reftransV1_0017311")</f>
        <v>p.persica_gdr_reftransV1_0017311</v>
      </c>
      <c r="B4447" s="2">
        <v>2406</v>
      </c>
      <c r="C4447" s="4" t="str">
        <f>HYPERLINK("http://www.uniprot.org/uniprot/M5WB03","M5WB03")</f>
        <v>M5WB03</v>
      </c>
      <c r="D4447" s="2" t="s">
        <v>4148</v>
      </c>
      <c r="E4447" s="3">
        <v>8.7699999999999997E-109</v>
      </c>
      <c r="F4447" s="2">
        <v>900</v>
      </c>
      <c r="G4447" s="2">
        <v>100</v>
      </c>
      <c r="H4447" s="2">
        <v>169</v>
      </c>
      <c r="I4447" s="2">
        <v>222</v>
      </c>
      <c r="J4447" s="2">
        <v>728</v>
      </c>
      <c r="K4447" s="2">
        <v>258</v>
      </c>
      <c r="L4447" s="2">
        <v>426</v>
      </c>
    </row>
    <row r="4448" spans="1:12" x14ac:dyDescent="0.25">
      <c r="A4448" s="4" t="str">
        <f>HYPERLINK("http://www.rosaceae.org/Prunus/Prunus_persica/p.persica_gdr_reftransV1_0019411","p.persica_gdr_reftransV1_0019411")</f>
        <v>p.persica_gdr_reftransV1_0019411</v>
      </c>
      <c r="B4448" s="2">
        <v>2383</v>
      </c>
      <c r="C4448" s="4" t="str">
        <f>HYPERLINK("http://www.uniprot.org/uniprot/M5W3H0","M5W3H0")</f>
        <v>M5W3H0</v>
      </c>
      <c r="D4448" s="2" t="s">
        <v>4149</v>
      </c>
      <c r="E4448" s="3">
        <v>2.02E-44</v>
      </c>
      <c r="F4448" s="2">
        <v>427</v>
      </c>
      <c r="G4448" s="2">
        <v>100</v>
      </c>
      <c r="H4448" s="2">
        <v>170</v>
      </c>
      <c r="I4448" s="2">
        <v>1570</v>
      </c>
      <c r="J4448" s="2">
        <v>2079</v>
      </c>
      <c r="K4448" s="2">
        <v>30</v>
      </c>
      <c r="L4448" s="2">
        <v>199</v>
      </c>
    </row>
    <row r="4449" spans="1:12" x14ac:dyDescent="0.25">
      <c r="A4449" s="4" t="str">
        <f>HYPERLINK("http://www.rosaceae.org/Prunus/Prunus_persica/p.persica_gdr_reftransV1_0020111","p.persica_gdr_reftransV1_0020111")</f>
        <v>p.persica_gdr_reftransV1_0020111</v>
      </c>
      <c r="B4449" s="2">
        <v>2202</v>
      </c>
      <c r="C4449" s="4" t="str">
        <f>HYPERLINK("http://www.uniprot.org/uniprot/M5VSY3","M5VSY3")</f>
        <v>M5VSY3</v>
      </c>
      <c r="D4449" s="2" t="s">
        <v>4150</v>
      </c>
      <c r="E4449" s="3">
        <v>0</v>
      </c>
      <c r="F4449" s="2">
        <v>1612</v>
      </c>
      <c r="G4449" s="2">
        <v>87</v>
      </c>
      <c r="H4449" s="2">
        <v>357</v>
      </c>
      <c r="I4449" s="2">
        <v>877</v>
      </c>
      <c r="J4449" s="2">
        <v>1947</v>
      </c>
      <c r="K4449" s="2">
        <v>1</v>
      </c>
      <c r="L4449" s="2">
        <v>311</v>
      </c>
    </row>
    <row r="4450" spans="1:12" x14ac:dyDescent="0.25">
      <c r="A4450" s="4" t="str">
        <f>HYPERLINK("http://www.rosaceae.org/Prunus/Prunus_persica/p.persica_gdr_reftransV1_0021511","p.persica_gdr_reftransV1_0021511")</f>
        <v>p.persica_gdr_reftransV1_0021511</v>
      </c>
      <c r="B4450" s="2">
        <v>968</v>
      </c>
      <c r="C4450" s="4" t="str">
        <f>HYPERLINK("http://www.uniprot.org/uniprot/M5XNI6","M5XNI6")</f>
        <v>M5XNI6</v>
      </c>
      <c r="D4450" s="2" t="s">
        <v>4151</v>
      </c>
      <c r="E4450" s="3">
        <v>2.1700000000000001E-104</v>
      </c>
      <c r="F4450" s="2">
        <v>808</v>
      </c>
      <c r="G4450" s="2">
        <v>95</v>
      </c>
      <c r="H4450" s="2">
        <v>188</v>
      </c>
      <c r="I4450" s="2">
        <v>306</v>
      </c>
      <c r="J4450" s="2">
        <v>869</v>
      </c>
      <c r="K4450" s="2">
        <v>11</v>
      </c>
      <c r="L4450" s="2">
        <v>198</v>
      </c>
    </row>
    <row r="4451" spans="1:12" x14ac:dyDescent="0.25">
      <c r="A4451" s="4" t="str">
        <f>HYPERLINK("http://www.rosaceae.org/Prunus/Prunus_persica/p.persica_gdr_reftransV1_0024311","p.persica_gdr_reftransV1_0024311")</f>
        <v>p.persica_gdr_reftransV1_0024311</v>
      </c>
      <c r="B4451" s="2">
        <v>890</v>
      </c>
      <c r="C4451" s="4" t="str">
        <f>HYPERLINK("http://www.uniprot.org/uniprot/M5WS71","M5WS71")</f>
        <v>M5WS71</v>
      </c>
      <c r="D4451" s="2" t="s">
        <v>4152</v>
      </c>
      <c r="E4451" s="3">
        <v>5.3099999999999999E-108</v>
      </c>
      <c r="F4451" s="2">
        <v>862</v>
      </c>
      <c r="G4451" s="2">
        <v>100</v>
      </c>
      <c r="H4451" s="2">
        <v>161</v>
      </c>
      <c r="I4451" s="2">
        <v>3</v>
      </c>
      <c r="J4451" s="2">
        <v>485</v>
      </c>
      <c r="K4451" s="2">
        <v>396</v>
      </c>
      <c r="L4451" s="2">
        <v>556</v>
      </c>
    </row>
    <row r="4452" spans="1:12" x14ac:dyDescent="0.25">
      <c r="A4452" s="4" t="str">
        <f>HYPERLINK("http://www.rosaceae.org/Prunus/Prunus_persica/p.persica_gdr_reftransV1_0025011","p.persica_gdr_reftransV1_0025011")</f>
        <v>p.persica_gdr_reftransV1_0025011</v>
      </c>
      <c r="B4452" s="2">
        <v>2798</v>
      </c>
      <c r="C4452" s="4" t="str">
        <f>HYPERLINK("http://www.uniprot.org/uniprot/M5W0N4","M5W0N4")</f>
        <v>M5W0N4</v>
      </c>
      <c r="D4452" s="2" t="s">
        <v>4153</v>
      </c>
      <c r="E4452" s="3">
        <v>1.9900000000000001E-141</v>
      </c>
      <c r="F4452" s="2">
        <v>1115</v>
      </c>
      <c r="G4452" s="2">
        <v>100</v>
      </c>
      <c r="H4452" s="2">
        <v>266</v>
      </c>
      <c r="I4452" s="2">
        <v>1746</v>
      </c>
      <c r="J4452" s="2">
        <v>2543</v>
      </c>
      <c r="K4452" s="2">
        <v>1</v>
      </c>
      <c r="L4452" s="2">
        <v>266</v>
      </c>
    </row>
    <row r="4453" spans="1:12" x14ac:dyDescent="0.25">
      <c r="A4453" s="4" t="str">
        <f>HYPERLINK("http://www.rosaceae.org/Prunus/Prunus_persica/p.persica_gdr_reftransV1_0026411","p.persica_gdr_reftransV1_0026411")</f>
        <v>p.persica_gdr_reftransV1_0026411</v>
      </c>
      <c r="B4453" s="2">
        <v>1883</v>
      </c>
      <c r="C4453" s="4" t="str">
        <f>HYPERLINK("http://www.uniprot.org/uniprot/M5XC42","M5XC42")</f>
        <v>M5XC42</v>
      </c>
      <c r="D4453" s="2" t="s">
        <v>4154</v>
      </c>
      <c r="E4453" s="3">
        <v>0</v>
      </c>
      <c r="F4453" s="2">
        <v>2151</v>
      </c>
      <c r="G4453" s="2">
        <v>100</v>
      </c>
      <c r="H4453" s="2">
        <v>438</v>
      </c>
      <c r="I4453" s="2">
        <v>308</v>
      </c>
      <c r="J4453" s="2">
        <v>1621</v>
      </c>
      <c r="K4453" s="2">
        <v>1</v>
      </c>
      <c r="L4453" s="2">
        <v>438</v>
      </c>
    </row>
    <row r="4454" spans="1:12" x14ac:dyDescent="0.25">
      <c r="A4454" s="4" t="str">
        <f>HYPERLINK("http://www.rosaceae.org/Prunus/Prunus_persica/p.persica_gdr_reftransV1_0026761","p.persica_gdr_reftransV1_0026761")</f>
        <v>p.persica_gdr_reftransV1_0026761</v>
      </c>
      <c r="B4454" s="2">
        <v>1376</v>
      </c>
      <c r="C4454" s="4" t="str">
        <f>HYPERLINK("http://www.uniprot.org/uniprot/M5W8X9","M5W8X9")</f>
        <v>M5W8X9</v>
      </c>
      <c r="D4454" s="2" t="s">
        <v>4155</v>
      </c>
      <c r="E4454" s="3">
        <v>1.85E-78</v>
      </c>
      <c r="F4454" s="2">
        <v>675</v>
      </c>
      <c r="G4454" s="2">
        <v>43</v>
      </c>
      <c r="H4454" s="2">
        <v>364</v>
      </c>
      <c r="I4454" s="2">
        <v>97</v>
      </c>
      <c r="J4454" s="2">
        <v>1188</v>
      </c>
      <c r="K4454" s="2">
        <v>185</v>
      </c>
      <c r="L4454" s="2">
        <v>511</v>
      </c>
    </row>
    <row r="4455" spans="1:12" x14ac:dyDescent="0.25">
      <c r="A4455" s="4" t="str">
        <f>HYPERLINK("http://www.rosaceae.org/Prunus/Prunus_persica/p.persica_gdr_reftransV1_0027461","p.persica_gdr_reftransV1_0027461")</f>
        <v>p.persica_gdr_reftransV1_0027461</v>
      </c>
      <c r="B4455" s="2">
        <v>1483</v>
      </c>
      <c r="C4455" s="4" t="str">
        <f>HYPERLINK("http://www.uniprot.org/uniprot/M5XQU6","M5XQU6")</f>
        <v>M5XQU6</v>
      </c>
      <c r="D4455" s="2" t="s">
        <v>4156</v>
      </c>
      <c r="E4455" s="3">
        <v>0</v>
      </c>
      <c r="F4455" s="2">
        <v>2054</v>
      </c>
      <c r="G4455" s="2">
        <v>100</v>
      </c>
      <c r="H4455" s="2">
        <v>412</v>
      </c>
      <c r="I4455" s="2">
        <v>179</v>
      </c>
      <c r="J4455" s="2">
        <v>1414</v>
      </c>
      <c r="K4455" s="2">
        <v>1</v>
      </c>
      <c r="L4455" s="2">
        <v>412</v>
      </c>
    </row>
    <row r="4456" spans="1:12" x14ac:dyDescent="0.25">
      <c r="A4456" s="4" t="str">
        <f>HYPERLINK("http://www.rosaceae.org/Prunus/Prunus_persica/p.persica_gdr_reftransV1_0028861","p.persica_gdr_reftransV1_0028861")</f>
        <v>p.persica_gdr_reftransV1_0028861</v>
      </c>
      <c r="B4456" s="2">
        <v>573</v>
      </c>
      <c r="C4456" s="4" t="str">
        <f>HYPERLINK("http://www.uniprot.org/uniprot/M5X866","M5X866")</f>
        <v>M5X866</v>
      </c>
      <c r="D4456" s="2" t="s">
        <v>4157</v>
      </c>
      <c r="E4456" s="3">
        <v>8.1400000000000002E-85</v>
      </c>
      <c r="F4456" s="2">
        <v>687</v>
      </c>
      <c r="G4456" s="2">
        <v>100</v>
      </c>
      <c r="H4456" s="2">
        <v>126</v>
      </c>
      <c r="I4456" s="2">
        <v>196</v>
      </c>
      <c r="J4456" s="2">
        <v>573</v>
      </c>
      <c r="K4456" s="2">
        <v>1</v>
      </c>
      <c r="L4456" s="2">
        <v>126</v>
      </c>
    </row>
    <row r="4457" spans="1:12" x14ac:dyDescent="0.25">
      <c r="A4457" s="4" t="str">
        <f>HYPERLINK("http://www.rosaceae.org/Prunus/Prunus_persica/p.persica_gdr_reftransV1_0029561","p.persica_gdr_reftransV1_0029561")</f>
        <v>p.persica_gdr_reftransV1_0029561</v>
      </c>
      <c r="B4457" s="2">
        <v>7596</v>
      </c>
      <c r="C4457" s="4" t="str">
        <f>HYPERLINK("http://www.uniprot.org/uniprot/M5WH88","M5WH88")</f>
        <v>M5WH88</v>
      </c>
      <c r="D4457" s="2" t="s">
        <v>4158</v>
      </c>
      <c r="E4457" s="3">
        <v>0</v>
      </c>
      <c r="F4457" s="2">
        <v>9237</v>
      </c>
      <c r="G4457" s="2">
        <v>100</v>
      </c>
      <c r="H4457" s="2">
        <v>1934</v>
      </c>
      <c r="I4457" s="2">
        <v>521</v>
      </c>
      <c r="J4457" s="2">
        <v>6322</v>
      </c>
      <c r="K4457" s="2">
        <v>1</v>
      </c>
      <c r="L4457" s="2">
        <v>1934</v>
      </c>
    </row>
    <row r="4458" spans="1:12" x14ac:dyDescent="0.25">
      <c r="A4458" s="4" t="str">
        <f>HYPERLINK("http://www.rosaceae.org/Prunus/Prunus_persica/p.persica_gdr_reftransV1_0030611","p.persica_gdr_reftransV1_0030611")</f>
        <v>p.persica_gdr_reftransV1_0030611</v>
      </c>
      <c r="B4458" s="2">
        <v>1962</v>
      </c>
      <c r="C4458" s="4" t="str">
        <f>HYPERLINK("http://www.uniprot.org/uniprot/M5XYH6","M5XYH6")</f>
        <v>M5XYH6</v>
      </c>
      <c r="D4458" s="2" t="s">
        <v>4159</v>
      </c>
      <c r="E4458" s="3">
        <v>0</v>
      </c>
      <c r="F4458" s="2">
        <v>2155</v>
      </c>
      <c r="G4458" s="2">
        <v>98</v>
      </c>
      <c r="H4458" s="2">
        <v>451</v>
      </c>
      <c r="I4458" s="2">
        <v>163</v>
      </c>
      <c r="J4458" s="2">
        <v>1515</v>
      </c>
      <c r="K4458" s="2">
        <v>321</v>
      </c>
      <c r="L4458" s="2">
        <v>763</v>
      </c>
    </row>
    <row r="4459" spans="1:12" x14ac:dyDescent="0.25">
      <c r="A4459" s="4" t="str">
        <f>HYPERLINK("http://www.rosaceae.org/Prunus/Prunus_persica/p.persica_gdr_reftransV1_0030961","p.persica_gdr_reftransV1_0030961")</f>
        <v>p.persica_gdr_reftransV1_0030961</v>
      </c>
      <c r="B4459" s="2">
        <v>1149</v>
      </c>
      <c r="C4459" s="4" t="str">
        <f>HYPERLINK("http://www.uniprot.org/uniprot/M5XFN0","M5XFN0")</f>
        <v>M5XFN0</v>
      </c>
      <c r="D4459" s="2" t="s">
        <v>4160</v>
      </c>
      <c r="E4459" s="3">
        <v>1.1200000000000001E-161</v>
      </c>
      <c r="F4459" s="2">
        <v>1198</v>
      </c>
      <c r="G4459" s="2">
        <v>100</v>
      </c>
      <c r="H4459" s="2">
        <v>230</v>
      </c>
      <c r="I4459" s="2">
        <v>314</v>
      </c>
      <c r="J4459" s="2">
        <v>1003</v>
      </c>
      <c r="K4459" s="2">
        <v>1</v>
      </c>
      <c r="L4459" s="2">
        <v>230</v>
      </c>
    </row>
    <row r="4460" spans="1:12" x14ac:dyDescent="0.25">
      <c r="A4460" s="4" t="str">
        <f>HYPERLINK("http://www.rosaceae.org/Prunus/Prunus_persica/p.persica_gdr_reftransV1_0031661","p.persica_gdr_reftransV1_0031661")</f>
        <v>p.persica_gdr_reftransV1_0031661</v>
      </c>
      <c r="B4460" s="2">
        <v>4155</v>
      </c>
      <c r="C4460" s="4" t="str">
        <f>HYPERLINK("http://www.uniprot.org/uniprot/M5VIN0","M5VIN0")</f>
        <v>M5VIN0</v>
      </c>
      <c r="D4460" s="2" t="s">
        <v>4161</v>
      </c>
      <c r="E4460" s="3">
        <v>0</v>
      </c>
      <c r="F4460" s="2">
        <v>3825</v>
      </c>
      <c r="G4460" s="2">
        <v>99</v>
      </c>
      <c r="H4460" s="2">
        <v>786</v>
      </c>
      <c r="I4460" s="2">
        <v>1423</v>
      </c>
      <c r="J4460" s="2">
        <v>3768</v>
      </c>
      <c r="K4460" s="2">
        <v>1</v>
      </c>
      <c r="L4460" s="2">
        <v>786</v>
      </c>
    </row>
    <row r="4461" spans="1:12" x14ac:dyDescent="0.25">
      <c r="A4461" s="4" t="str">
        <f>HYPERLINK("http://www.rosaceae.org/Prunus/Prunus_persica/p.persica_gdr_reftransV1_0033061","p.persica_gdr_reftransV1_0033061")</f>
        <v>p.persica_gdr_reftransV1_0033061</v>
      </c>
      <c r="B4461" s="2">
        <v>4215</v>
      </c>
      <c r="C4461" s="4" t="str">
        <f>HYPERLINK("http://www.uniprot.org/uniprot/M5XKJ4","M5XKJ4")</f>
        <v>M5XKJ4</v>
      </c>
      <c r="D4461" s="2" t="s">
        <v>4162</v>
      </c>
      <c r="E4461" s="3">
        <v>0</v>
      </c>
      <c r="F4461" s="2">
        <v>3361</v>
      </c>
      <c r="G4461" s="2">
        <v>100</v>
      </c>
      <c r="H4461" s="2">
        <v>727</v>
      </c>
      <c r="I4461" s="2">
        <v>1915</v>
      </c>
      <c r="J4461" s="2">
        <v>4095</v>
      </c>
      <c r="K4461" s="2">
        <v>1</v>
      </c>
      <c r="L4461" s="2">
        <v>727</v>
      </c>
    </row>
    <row r="4462" spans="1:12" x14ac:dyDescent="0.25">
      <c r="A4462" s="4" t="str">
        <f>HYPERLINK("http://www.rosaceae.org/Prunus/Prunus_persica/p.persica_gdr_reftransV1_0034111","p.persica_gdr_reftransV1_0034111")</f>
        <v>p.persica_gdr_reftransV1_0034111</v>
      </c>
      <c r="B4462" s="2">
        <v>576</v>
      </c>
      <c r="C4462" s="4" t="str">
        <f>HYPERLINK("http://www.uniprot.org/uniprot/M5WNW1","M5WNW1")</f>
        <v>M5WNW1</v>
      </c>
      <c r="D4462" s="2" t="s">
        <v>4163</v>
      </c>
      <c r="E4462" s="3">
        <v>1.26E-66</v>
      </c>
      <c r="F4462" s="2">
        <v>538</v>
      </c>
      <c r="G4462" s="2">
        <v>98</v>
      </c>
      <c r="H4462" s="2">
        <v>105</v>
      </c>
      <c r="I4462" s="2">
        <v>11</v>
      </c>
      <c r="J4462" s="2">
        <v>325</v>
      </c>
      <c r="K4462" s="2">
        <v>24</v>
      </c>
      <c r="L4462" s="2">
        <v>128</v>
      </c>
    </row>
    <row r="4463" spans="1:12" x14ac:dyDescent="0.25">
      <c r="A4463" s="4" t="str">
        <f>HYPERLINK("http://www.rosaceae.org/Prunus/Prunus_persica/p.persica_gdr_reftransV1_0035861","p.persica_gdr_reftransV1_0035861")</f>
        <v>p.persica_gdr_reftransV1_0035861</v>
      </c>
      <c r="B4463" s="2">
        <v>2159</v>
      </c>
      <c r="C4463" s="4" t="str">
        <f>HYPERLINK("http://www.uniprot.org/uniprot/M5VY38","M5VY38")</f>
        <v>M5VY38</v>
      </c>
      <c r="D4463" s="2" t="s">
        <v>4164</v>
      </c>
      <c r="E4463" s="3">
        <v>0</v>
      </c>
      <c r="F4463" s="2">
        <v>1848</v>
      </c>
      <c r="G4463" s="2">
        <v>100</v>
      </c>
      <c r="H4463" s="2">
        <v>360</v>
      </c>
      <c r="I4463" s="2">
        <v>273</v>
      </c>
      <c r="J4463" s="2">
        <v>1352</v>
      </c>
      <c r="K4463" s="2">
        <v>1</v>
      </c>
      <c r="L4463" s="2">
        <v>360</v>
      </c>
    </row>
    <row r="4464" spans="1:12" x14ac:dyDescent="0.25">
      <c r="A4464" s="4" t="str">
        <f>HYPERLINK("http://www.rosaceae.org/Prunus/Prunus_persica/p.persica_gdr_reftransV1_0038311","p.persica_gdr_reftransV1_0038311")</f>
        <v>p.persica_gdr_reftransV1_0038311</v>
      </c>
      <c r="B4464" s="2">
        <v>653</v>
      </c>
      <c r="C4464" s="4" t="str">
        <f>HYPERLINK("http://www.uniprot.org/uniprot/M5X389","M5X389")</f>
        <v>M5X389</v>
      </c>
      <c r="D4464" s="2" t="s">
        <v>4165</v>
      </c>
      <c r="E4464" s="3">
        <v>1.7299999999999999E-56</v>
      </c>
      <c r="F4464" s="2">
        <v>471</v>
      </c>
      <c r="G4464" s="2">
        <v>100</v>
      </c>
      <c r="H4464" s="2">
        <v>94</v>
      </c>
      <c r="I4464" s="2">
        <v>333</v>
      </c>
      <c r="J4464" s="2">
        <v>614</v>
      </c>
      <c r="K4464" s="2">
        <v>1</v>
      </c>
      <c r="L4464" s="2">
        <v>94</v>
      </c>
    </row>
    <row r="4465" spans="1:12" x14ac:dyDescent="0.25">
      <c r="A4465" s="4" t="str">
        <f>HYPERLINK("http://www.rosaceae.org/Prunus/Prunus_persica/p.persica_gdr_reftransV1_0040061","p.persica_gdr_reftransV1_0040061")</f>
        <v>p.persica_gdr_reftransV1_0040061</v>
      </c>
      <c r="B4465" s="2">
        <v>1480</v>
      </c>
      <c r="C4465" s="4" t="str">
        <f>HYPERLINK("http://www.uniprot.org/uniprot/M5VUM2","M5VUM2")</f>
        <v>M5VUM2</v>
      </c>
      <c r="D4465" s="2" t="s">
        <v>4166</v>
      </c>
      <c r="E4465" s="3">
        <v>0</v>
      </c>
      <c r="F4465" s="2">
        <v>2003</v>
      </c>
      <c r="G4465" s="2">
        <v>100</v>
      </c>
      <c r="H4465" s="2">
        <v>389</v>
      </c>
      <c r="I4465" s="2">
        <v>232</v>
      </c>
      <c r="J4465" s="2">
        <v>1398</v>
      </c>
      <c r="K4465" s="2">
        <v>2</v>
      </c>
      <c r="L4465" s="2">
        <v>390</v>
      </c>
    </row>
    <row r="4466" spans="1:12" x14ac:dyDescent="0.25">
      <c r="A4466" s="4" t="str">
        <f>HYPERLINK("http://www.rosaceae.org/Prunus/Prunus_persica/p.persica_gdr_reftransV1_0040761","p.persica_gdr_reftransV1_0040761")</f>
        <v>p.persica_gdr_reftransV1_0040761</v>
      </c>
      <c r="B4466" s="2">
        <v>4176</v>
      </c>
      <c r="C4466" s="4" t="str">
        <f>HYPERLINK("http://www.uniprot.org/uniprot/M5WQS6","M5WQS6")</f>
        <v>M5WQS6</v>
      </c>
      <c r="D4466" s="2" t="s">
        <v>2246</v>
      </c>
      <c r="E4466" s="3">
        <v>0</v>
      </c>
      <c r="F4466" s="2">
        <v>3189</v>
      </c>
      <c r="G4466" s="2">
        <v>99</v>
      </c>
      <c r="H4466" s="2">
        <v>695</v>
      </c>
      <c r="I4466" s="2">
        <v>439</v>
      </c>
      <c r="J4466" s="2">
        <v>2523</v>
      </c>
      <c r="K4466" s="2">
        <v>1</v>
      </c>
      <c r="L4466" s="2">
        <v>695</v>
      </c>
    </row>
    <row r="4467" spans="1:12" x14ac:dyDescent="0.25">
      <c r="A4467" s="4" t="str">
        <f>HYPERLINK("http://www.rosaceae.org/Prunus/Prunus_persica/p.persica_gdr_reftransV1_0041461","p.persica_gdr_reftransV1_0041461")</f>
        <v>p.persica_gdr_reftransV1_0041461</v>
      </c>
      <c r="B4467" s="2">
        <v>4027</v>
      </c>
      <c r="C4467" s="4" t="str">
        <f>HYPERLINK("http://www.uniprot.org/uniprot/M5WA24","M5WA24")</f>
        <v>M5WA24</v>
      </c>
      <c r="D4467" s="2" t="s">
        <v>4167</v>
      </c>
      <c r="E4467" s="3">
        <v>0</v>
      </c>
      <c r="F4467" s="2">
        <v>989</v>
      </c>
      <c r="G4467" s="2">
        <v>100</v>
      </c>
      <c r="H4467" s="2">
        <v>186</v>
      </c>
      <c r="I4467" s="2">
        <v>3</v>
      </c>
      <c r="J4467" s="2">
        <v>560</v>
      </c>
      <c r="K4467" s="2">
        <v>41</v>
      </c>
      <c r="L4467" s="2">
        <v>226</v>
      </c>
    </row>
    <row r="4468" spans="1:12" x14ac:dyDescent="0.25">
      <c r="A4468" s="4" t="str">
        <f>HYPERLINK("http://www.rosaceae.org/Prunus/Prunus_persica/p.persica_gdr_reftransV1_0043211","p.persica_gdr_reftransV1_0043211")</f>
        <v>p.persica_gdr_reftransV1_0043211</v>
      </c>
      <c r="B4468" s="2">
        <v>581</v>
      </c>
      <c r="C4468" s="4" t="str">
        <f>HYPERLINK("http://www.uniprot.org/uniprot/M5WT23","M5WT23")</f>
        <v>M5WT23</v>
      </c>
      <c r="D4468" s="2" t="s">
        <v>4168</v>
      </c>
      <c r="E4468" s="3">
        <v>1.91E-59</v>
      </c>
      <c r="F4468" s="2">
        <v>488</v>
      </c>
      <c r="G4468" s="2">
        <v>100</v>
      </c>
      <c r="H4468" s="2">
        <v>97</v>
      </c>
      <c r="I4468" s="2">
        <v>282</v>
      </c>
      <c r="J4468" s="2">
        <v>572</v>
      </c>
      <c r="K4468" s="2">
        <v>1</v>
      </c>
      <c r="L4468" s="2">
        <v>97</v>
      </c>
    </row>
    <row r="4469" spans="1:12" x14ac:dyDescent="0.25">
      <c r="A4469" s="4" t="str">
        <f>HYPERLINK("http://www.rosaceae.org/Prunus/Prunus_persica/p.persica_gdr_reftransV1_0043561","p.persica_gdr_reftransV1_0043561")</f>
        <v>p.persica_gdr_reftransV1_0043561</v>
      </c>
      <c r="B4469" s="2">
        <v>344</v>
      </c>
      <c r="C4469" s="4" t="str">
        <f>HYPERLINK("http://www.uniprot.org/uniprot/M5XAX9","M5XAX9")</f>
        <v>M5XAX9</v>
      </c>
      <c r="D4469" s="2" t="s">
        <v>2255</v>
      </c>
      <c r="E4469" s="3">
        <v>1.3099999999999999E-65</v>
      </c>
      <c r="F4469" s="2">
        <v>562</v>
      </c>
      <c r="G4469" s="2">
        <v>89</v>
      </c>
      <c r="H4469" s="2">
        <v>114</v>
      </c>
      <c r="I4469" s="2">
        <v>2</v>
      </c>
      <c r="J4469" s="2">
        <v>343</v>
      </c>
      <c r="K4469" s="2">
        <v>471</v>
      </c>
      <c r="L4469" s="2">
        <v>584</v>
      </c>
    </row>
    <row r="4470" spans="1:12" x14ac:dyDescent="0.25">
      <c r="A4470" s="4" t="str">
        <f>HYPERLINK("http://www.rosaceae.org/Prunus/Prunus_persica/p.persica_gdr_reftransV1_0043911","p.persica_gdr_reftransV1_0043911")</f>
        <v>p.persica_gdr_reftransV1_0043911</v>
      </c>
      <c r="B4470" s="2">
        <v>4233</v>
      </c>
      <c r="C4470" s="4" t="str">
        <f>HYPERLINK("http://www.uniprot.org/uniprot/M5WXS7","M5WXS7")</f>
        <v>M5WXS7</v>
      </c>
      <c r="D4470" s="2" t="s">
        <v>982</v>
      </c>
      <c r="E4470" s="3">
        <v>0</v>
      </c>
      <c r="F4470" s="2">
        <v>5179</v>
      </c>
      <c r="G4470" s="2">
        <v>100</v>
      </c>
      <c r="H4470" s="2">
        <v>1059</v>
      </c>
      <c r="I4470" s="2">
        <v>260</v>
      </c>
      <c r="J4470" s="2">
        <v>3436</v>
      </c>
      <c r="K4470" s="2">
        <v>1</v>
      </c>
      <c r="L4470" s="2">
        <v>1059</v>
      </c>
    </row>
    <row r="4471" spans="1:12" x14ac:dyDescent="0.25">
      <c r="A4471" s="4" t="str">
        <f>HYPERLINK("http://www.rosaceae.org/Prunus/Prunus_persica/p.persica_gdr_reftransV1_0044261","p.persica_gdr_reftransV1_0044261")</f>
        <v>p.persica_gdr_reftransV1_0044261</v>
      </c>
      <c r="B4471" s="2">
        <v>726</v>
      </c>
      <c r="C4471" s="4" t="str">
        <f>HYPERLINK("http://www.uniprot.org/uniprot/M5WKE2","M5WKE2")</f>
        <v>M5WKE2</v>
      </c>
      <c r="D4471" s="2" t="s">
        <v>4169</v>
      </c>
      <c r="E4471" s="3">
        <v>9.5000000000000002E-63</v>
      </c>
      <c r="F4471" s="2">
        <v>515</v>
      </c>
      <c r="G4471" s="2">
        <v>100</v>
      </c>
      <c r="H4471" s="2">
        <v>98</v>
      </c>
      <c r="I4471" s="2">
        <v>282</v>
      </c>
      <c r="J4471" s="2">
        <v>575</v>
      </c>
      <c r="K4471" s="2">
        <v>1</v>
      </c>
      <c r="L4471" s="2">
        <v>98</v>
      </c>
    </row>
    <row r="4472" spans="1:12" x14ac:dyDescent="0.25">
      <c r="A4472" s="4" t="str">
        <f>HYPERLINK("http://www.rosaceae.org/Prunus/Prunus_persica/p.persica_gdr_reftransV1_0044611","p.persica_gdr_reftransV1_0044611")</f>
        <v>p.persica_gdr_reftransV1_0044611</v>
      </c>
      <c r="B4472" s="2">
        <v>747</v>
      </c>
      <c r="C4472" s="4" t="str">
        <f>HYPERLINK("http://www.uniprot.org/uniprot/M5WET2","M5WET2")</f>
        <v>M5WET2</v>
      </c>
      <c r="D4472" s="2" t="s">
        <v>4170</v>
      </c>
      <c r="E4472" s="3">
        <v>4.9999999999999999E-61</v>
      </c>
      <c r="F4472" s="2">
        <v>506</v>
      </c>
      <c r="G4472" s="2">
        <v>94</v>
      </c>
      <c r="H4472" s="2">
        <v>117</v>
      </c>
      <c r="I4472" s="2">
        <v>281</v>
      </c>
      <c r="J4472" s="2">
        <v>631</v>
      </c>
      <c r="K4472" s="2">
        <v>7</v>
      </c>
      <c r="L4472" s="2">
        <v>123</v>
      </c>
    </row>
    <row r="4473" spans="1:12" x14ac:dyDescent="0.25">
      <c r="A4473" s="4" t="str">
        <f>HYPERLINK("http://www.rosaceae.org/Prunus/Prunus_persica/p.persica_gdr_reftransV1_0044961","p.persica_gdr_reftransV1_0044961")</f>
        <v>p.persica_gdr_reftransV1_0044961</v>
      </c>
      <c r="B4473" s="2">
        <v>480</v>
      </c>
      <c r="C4473" s="4" t="str">
        <f>HYPERLINK("http://www.uniprot.org/uniprot/M5W8I0","M5W8I0")</f>
        <v>M5W8I0</v>
      </c>
      <c r="D4473" s="2" t="s">
        <v>617</v>
      </c>
      <c r="E4473" s="3">
        <v>5.8599999999999998E-74</v>
      </c>
      <c r="F4473" s="2">
        <v>634</v>
      </c>
      <c r="G4473" s="2">
        <v>100</v>
      </c>
      <c r="H4473" s="2">
        <v>134</v>
      </c>
      <c r="I4473" s="2">
        <v>77</v>
      </c>
      <c r="J4473" s="2">
        <v>478</v>
      </c>
      <c r="K4473" s="2">
        <v>1</v>
      </c>
      <c r="L4473" s="2">
        <v>134</v>
      </c>
    </row>
    <row r="4474" spans="1:12" x14ac:dyDescent="0.25">
      <c r="A4474" s="4" t="str">
        <f>HYPERLINK("http://www.rosaceae.org/Prunus/Prunus_persica/p.persica_gdr_reftransV1_0045311","p.persica_gdr_reftransV1_0045311")</f>
        <v>p.persica_gdr_reftransV1_0045311</v>
      </c>
      <c r="B4474" s="2">
        <v>2370</v>
      </c>
      <c r="C4474" s="4" t="str">
        <f>HYPERLINK("http://www.uniprot.org/uniprot/M5WCU6","M5WCU6")</f>
        <v>M5WCU6</v>
      </c>
      <c r="D4474" s="2" t="s">
        <v>4171</v>
      </c>
      <c r="E4474" s="3">
        <v>0</v>
      </c>
      <c r="F4474" s="2">
        <v>3207</v>
      </c>
      <c r="G4474" s="2">
        <v>100</v>
      </c>
      <c r="H4474" s="2">
        <v>606</v>
      </c>
      <c r="I4474" s="2">
        <v>551</v>
      </c>
      <c r="J4474" s="2">
        <v>2368</v>
      </c>
      <c r="K4474" s="2">
        <v>284</v>
      </c>
      <c r="L4474" s="2">
        <v>889</v>
      </c>
    </row>
    <row r="4475" spans="1:12" x14ac:dyDescent="0.25">
      <c r="A4475" s="4" t="str">
        <f>HYPERLINK("http://www.rosaceae.org/Prunus/Prunus_persica/p.persica_gdr_reftransV1_0045661","p.persica_gdr_reftransV1_0045661")</f>
        <v>p.persica_gdr_reftransV1_0045661</v>
      </c>
      <c r="B4475" s="2">
        <v>1338</v>
      </c>
      <c r="C4475" s="4" t="str">
        <f>HYPERLINK("http://www.uniprot.org/uniprot/M5WT51","M5WT51")</f>
        <v>M5WT51</v>
      </c>
      <c r="D4475" s="2" t="s">
        <v>4172</v>
      </c>
      <c r="E4475" s="3">
        <v>0</v>
      </c>
      <c r="F4475" s="2">
        <v>1430</v>
      </c>
      <c r="G4475" s="2">
        <v>100</v>
      </c>
      <c r="H4475" s="2">
        <v>272</v>
      </c>
      <c r="I4475" s="2">
        <v>218</v>
      </c>
      <c r="J4475" s="2">
        <v>1033</v>
      </c>
      <c r="K4475" s="2">
        <v>1</v>
      </c>
      <c r="L4475" s="2">
        <v>272</v>
      </c>
    </row>
    <row r="4476" spans="1:12" x14ac:dyDescent="0.25">
      <c r="A4476" s="4" t="str">
        <f>HYPERLINK("http://www.rosaceae.org/Prunus/Prunus_persica/p.persica_gdr_reftransV1_0046011","p.persica_gdr_reftransV1_0046011")</f>
        <v>p.persica_gdr_reftransV1_0046011</v>
      </c>
      <c r="B4476" s="2">
        <v>1253</v>
      </c>
      <c r="C4476" s="4" t="str">
        <f>HYPERLINK("http://www.uniprot.org/uniprot/M5WFR7","M5WFR7")</f>
        <v>M5WFR7</v>
      </c>
      <c r="D4476" s="2" t="s">
        <v>4173</v>
      </c>
      <c r="E4476" s="3">
        <v>0</v>
      </c>
      <c r="F4476" s="2">
        <v>1942</v>
      </c>
      <c r="G4476" s="2">
        <v>100</v>
      </c>
      <c r="H4476" s="2">
        <v>379</v>
      </c>
      <c r="I4476" s="2">
        <v>44</v>
      </c>
      <c r="J4476" s="2">
        <v>1180</v>
      </c>
      <c r="K4476" s="2">
        <v>1</v>
      </c>
      <c r="L4476" s="2">
        <v>379</v>
      </c>
    </row>
    <row r="4477" spans="1:12" x14ac:dyDescent="0.25">
      <c r="A4477" s="4" t="str">
        <f>HYPERLINK("http://www.rosaceae.org/Prunus/Prunus_persica/p.persica_gdr_reftransV1_0046711","p.persica_gdr_reftransV1_0046711")</f>
        <v>p.persica_gdr_reftransV1_0046711</v>
      </c>
      <c r="B4477" s="2">
        <v>1084</v>
      </c>
      <c r="C4477" s="4" t="str">
        <f>HYPERLINK("http://www.uniprot.org/uniprot/M5WUK8","M5WUK8")</f>
        <v>M5WUK8</v>
      </c>
      <c r="D4477" s="2" t="s">
        <v>4174</v>
      </c>
      <c r="E4477" s="3">
        <v>3.4E-155</v>
      </c>
      <c r="F4477" s="2">
        <v>1155</v>
      </c>
      <c r="G4477" s="2">
        <v>99</v>
      </c>
      <c r="H4477" s="2">
        <v>219</v>
      </c>
      <c r="I4477" s="2">
        <v>121</v>
      </c>
      <c r="J4477" s="2">
        <v>777</v>
      </c>
      <c r="K4477" s="2">
        <v>1</v>
      </c>
      <c r="L4477" s="2">
        <v>219</v>
      </c>
    </row>
    <row r="4478" spans="1:12" x14ac:dyDescent="0.25">
      <c r="A4478" s="4" t="str">
        <f>HYPERLINK("http://www.rosaceae.org/Prunus/Prunus_persica/p.persica_gdr_reftransV1_0047061","p.persica_gdr_reftransV1_0047061")</f>
        <v>p.persica_gdr_reftransV1_0047061</v>
      </c>
      <c r="B4478" s="2">
        <v>2509</v>
      </c>
      <c r="C4478" s="4" t="str">
        <f>HYPERLINK("http://www.uniprot.org/uniprot/M5VVL3","M5VVL3")</f>
        <v>M5VVL3</v>
      </c>
      <c r="D4478" s="2" t="s">
        <v>2154</v>
      </c>
      <c r="E4478" s="3">
        <v>0</v>
      </c>
      <c r="F4478" s="2">
        <v>2996</v>
      </c>
      <c r="G4478" s="2">
        <v>100</v>
      </c>
      <c r="H4478" s="2">
        <v>629</v>
      </c>
      <c r="I4478" s="2">
        <v>378</v>
      </c>
      <c r="J4478" s="2">
        <v>2264</v>
      </c>
      <c r="K4478" s="2">
        <v>30</v>
      </c>
      <c r="L4478" s="2">
        <v>658</v>
      </c>
    </row>
    <row r="4479" spans="1:12" x14ac:dyDescent="0.25">
      <c r="A4479" s="4" t="str">
        <f>HYPERLINK("http://www.rosaceae.org/Prunus/Prunus_persica/p.persica_gdr_reftransV1_0047411","p.persica_gdr_reftransV1_0047411")</f>
        <v>p.persica_gdr_reftransV1_0047411</v>
      </c>
      <c r="B4479" s="2">
        <v>2450</v>
      </c>
      <c r="C4479" s="4" t="str">
        <f>HYPERLINK("http://www.uniprot.org/uniprot/M5WXP6","M5WXP6")</f>
        <v>M5WXP6</v>
      </c>
      <c r="D4479" s="2" t="s">
        <v>2674</v>
      </c>
      <c r="E4479" s="3">
        <v>0</v>
      </c>
      <c r="F4479" s="2">
        <v>2407</v>
      </c>
      <c r="G4479" s="2">
        <v>93</v>
      </c>
      <c r="H4479" s="2">
        <v>511</v>
      </c>
      <c r="I4479" s="2">
        <v>783</v>
      </c>
      <c r="J4479" s="2">
        <v>2315</v>
      </c>
      <c r="K4479" s="2">
        <v>1</v>
      </c>
      <c r="L4479" s="2">
        <v>477</v>
      </c>
    </row>
    <row r="4480" spans="1:12" x14ac:dyDescent="0.25">
      <c r="A4480" s="4" t="str">
        <f>HYPERLINK("http://www.rosaceae.org/Prunus/Prunus_persica/p.persica_gdr_reftransV1_0047761","p.persica_gdr_reftransV1_0047761")</f>
        <v>p.persica_gdr_reftransV1_0047761</v>
      </c>
      <c r="B4480" s="2">
        <v>2314</v>
      </c>
      <c r="C4480" s="4" t="str">
        <f>HYPERLINK("http://www.uniprot.org/uniprot/M5WDQ0","M5WDQ0")</f>
        <v>M5WDQ0</v>
      </c>
      <c r="D4480" s="2" t="s">
        <v>4175</v>
      </c>
      <c r="E4480" s="3">
        <v>0</v>
      </c>
      <c r="F4480" s="2">
        <v>2805</v>
      </c>
      <c r="G4480" s="2">
        <v>100</v>
      </c>
      <c r="H4480" s="2">
        <v>590</v>
      </c>
      <c r="I4480" s="2">
        <v>1</v>
      </c>
      <c r="J4480" s="2">
        <v>1770</v>
      </c>
      <c r="K4480" s="2">
        <v>169</v>
      </c>
      <c r="L4480" s="2">
        <v>758</v>
      </c>
    </row>
    <row r="4481" spans="1:12" x14ac:dyDescent="0.25">
      <c r="A4481" s="4" t="str">
        <f>HYPERLINK("http://www.rosaceae.org/Prunus/Prunus_persica/p.persica_gdr_reftransV1_0048111","p.persica_gdr_reftransV1_0048111")</f>
        <v>p.persica_gdr_reftransV1_0048111</v>
      </c>
      <c r="B4481" s="2">
        <v>570</v>
      </c>
      <c r="C4481" s="4" t="str">
        <f>HYPERLINK("http://www.uniprot.org/uniprot/M5WA00","M5WA00")</f>
        <v>M5WA00</v>
      </c>
      <c r="D4481" s="2" t="s">
        <v>4176</v>
      </c>
      <c r="E4481" s="3">
        <v>1.14E-118</v>
      </c>
      <c r="F4481" s="2">
        <v>930</v>
      </c>
      <c r="G4481" s="2">
        <v>100</v>
      </c>
      <c r="H4481" s="2">
        <v>190</v>
      </c>
      <c r="I4481" s="2">
        <v>1</v>
      </c>
      <c r="J4481" s="2">
        <v>570</v>
      </c>
      <c r="K4481" s="2">
        <v>68</v>
      </c>
      <c r="L4481" s="2">
        <v>257</v>
      </c>
    </row>
    <row r="4482" spans="1:12" x14ac:dyDescent="0.25">
      <c r="A4482" s="4" t="str">
        <f>HYPERLINK("http://www.rosaceae.org/Prunus/Prunus_persica/p.persica_gdr_reftransV1_0048811","p.persica_gdr_reftransV1_0048811")</f>
        <v>p.persica_gdr_reftransV1_0048811</v>
      </c>
      <c r="B4482" s="2">
        <v>674</v>
      </c>
      <c r="C4482" s="4" t="str">
        <f>HYPERLINK("http://www.uniprot.org/uniprot/M5XV28","M5XV28")</f>
        <v>M5XV28</v>
      </c>
      <c r="D4482" s="2" t="s">
        <v>4177</v>
      </c>
      <c r="E4482" s="3">
        <v>3.9100000000000003E-101</v>
      </c>
      <c r="F4482" s="2">
        <v>777</v>
      </c>
      <c r="G4482" s="2">
        <v>100</v>
      </c>
      <c r="H4482" s="2">
        <v>158</v>
      </c>
      <c r="I4482" s="2">
        <v>201</v>
      </c>
      <c r="J4482" s="2">
        <v>674</v>
      </c>
      <c r="K4482" s="2">
        <v>1</v>
      </c>
      <c r="L4482" s="2">
        <v>158</v>
      </c>
    </row>
    <row r="4483" spans="1:12" x14ac:dyDescent="0.25">
      <c r="A4483" s="4" t="str">
        <f>HYPERLINK("http://www.rosaceae.org/Prunus/Prunus_persica/p.persica_gdr_reftransV1_0049161","p.persica_gdr_reftransV1_0049161")</f>
        <v>p.persica_gdr_reftransV1_0049161</v>
      </c>
      <c r="B4483" s="2">
        <v>1887</v>
      </c>
      <c r="C4483" s="4" t="str">
        <f>HYPERLINK("http://www.uniprot.org/uniprot/M5X2I4","M5X2I4")</f>
        <v>M5X2I4</v>
      </c>
      <c r="D4483" s="2" t="s">
        <v>4178</v>
      </c>
      <c r="E4483" s="3">
        <v>0</v>
      </c>
      <c r="F4483" s="2">
        <v>2108</v>
      </c>
      <c r="G4483" s="2">
        <v>95</v>
      </c>
      <c r="H4483" s="2">
        <v>486</v>
      </c>
      <c r="I4483" s="2">
        <v>429</v>
      </c>
      <c r="J4483" s="2">
        <v>1886</v>
      </c>
      <c r="K4483" s="2">
        <v>3</v>
      </c>
      <c r="L4483" s="2">
        <v>465</v>
      </c>
    </row>
    <row r="4484" spans="1:12" x14ac:dyDescent="0.25">
      <c r="A4484" s="4" t="str">
        <f>HYPERLINK("http://www.rosaceae.org/Prunus/Prunus_persica/p.persica_gdr_reftransV1_0000162","p.persica_gdr_reftransV1_0000162")</f>
        <v>p.persica_gdr_reftransV1_0000162</v>
      </c>
      <c r="B4484" s="2">
        <v>773</v>
      </c>
      <c r="C4484" s="4" t="str">
        <f>HYPERLINK("http://www.uniprot.org/uniprot/M5WAY6","M5WAY6")</f>
        <v>M5WAY6</v>
      </c>
      <c r="D4484" s="2" t="s">
        <v>4179</v>
      </c>
      <c r="E4484" s="3">
        <v>6.8300000000000001E-65</v>
      </c>
      <c r="F4484" s="2">
        <v>537</v>
      </c>
      <c r="G4484" s="2">
        <v>100</v>
      </c>
      <c r="H4484" s="2">
        <v>156</v>
      </c>
      <c r="I4484" s="2">
        <v>1</v>
      </c>
      <c r="J4484" s="2">
        <v>468</v>
      </c>
      <c r="K4484" s="2">
        <v>16</v>
      </c>
      <c r="L4484" s="2">
        <v>171</v>
      </c>
    </row>
    <row r="4485" spans="1:12" x14ac:dyDescent="0.25">
      <c r="A4485" s="4" t="str">
        <f>HYPERLINK("http://www.rosaceae.org/Prunus/Prunus_persica/p.persica_gdr_reftransV1_0000512","p.persica_gdr_reftransV1_0000512")</f>
        <v>p.persica_gdr_reftransV1_0000512</v>
      </c>
      <c r="B4485" s="2">
        <v>1352</v>
      </c>
      <c r="C4485" s="4" t="str">
        <f>HYPERLINK("http://www.uniprot.org/uniprot/M5XUJ6","M5XUJ6")</f>
        <v>M5XUJ6</v>
      </c>
      <c r="D4485" s="2" t="s">
        <v>4180</v>
      </c>
      <c r="E4485" s="3">
        <v>0</v>
      </c>
      <c r="F4485" s="2">
        <v>1849</v>
      </c>
      <c r="G4485" s="2">
        <v>98</v>
      </c>
      <c r="H4485" s="2">
        <v>365</v>
      </c>
      <c r="I4485" s="2">
        <v>1</v>
      </c>
      <c r="J4485" s="2">
        <v>1095</v>
      </c>
      <c r="K4485" s="2">
        <v>32</v>
      </c>
      <c r="L4485" s="2">
        <v>396</v>
      </c>
    </row>
    <row r="4486" spans="1:12" x14ac:dyDescent="0.25">
      <c r="A4486" s="4" t="str">
        <f>HYPERLINK("http://www.rosaceae.org/Prunus/Prunus_persica/p.persica_gdr_reftransV1_0000862","p.persica_gdr_reftransV1_0000862")</f>
        <v>p.persica_gdr_reftransV1_0000862</v>
      </c>
      <c r="B4486" s="2">
        <v>1837</v>
      </c>
      <c r="C4486" s="4" t="str">
        <f>HYPERLINK("http://www.uniprot.org/uniprot/M5XCA5","M5XCA5")</f>
        <v>M5XCA5</v>
      </c>
      <c r="D4486" s="2" t="s">
        <v>4181</v>
      </c>
      <c r="E4486" s="3">
        <v>0</v>
      </c>
      <c r="F4486" s="2">
        <v>2242</v>
      </c>
      <c r="G4486" s="2">
        <v>100</v>
      </c>
      <c r="H4486" s="2">
        <v>421</v>
      </c>
      <c r="I4486" s="2">
        <v>325</v>
      </c>
      <c r="J4486" s="2">
        <v>1587</v>
      </c>
      <c r="K4486" s="2">
        <v>1</v>
      </c>
      <c r="L4486" s="2">
        <v>421</v>
      </c>
    </row>
    <row r="4487" spans="1:12" x14ac:dyDescent="0.25">
      <c r="A4487" s="4" t="str">
        <f>HYPERLINK("http://www.rosaceae.org/Prunus/Prunus_persica/p.persica_gdr_reftransV1_0001212","p.persica_gdr_reftransV1_0001212")</f>
        <v>p.persica_gdr_reftransV1_0001212</v>
      </c>
      <c r="B4487" s="2">
        <v>3770</v>
      </c>
      <c r="C4487" s="4" t="str">
        <f>HYPERLINK("http://www.uniprot.org/uniprot/M5XAK2","M5XAK2")</f>
        <v>M5XAK2</v>
      </c>
      <c r="D4487" s="2" t="s">
        <v>4182</v>
      </c>
      <c r="E4487" s="3">
        <v>0</v>
      </c>
      <c r="F4487" s="2">
        <v>4792</v>
      </c>
      <c r="G4487" s="2">
        <v>85</v>
      </c>
      <c r="H4487" s="2">
        <v>1264</v>
      </c>
      <c r="I4487" s="2">
        <v>3</v>
      </c>
      <c r="J4487" s="2">
        <v>3770</v>
      </c>
      <c r="K4487" s="2">
        <v>297</v>
      </c>
      <c r="L4487" s="2">
        <v>1474</v>
      </c>
    </row>
    <row r="4488" spans="1:12" x14ac:dyDescent="0.25">
      <c r="A4488" s="4" t="str">
        <f>HYPERLINK("http://www.rosaceae.org/Prunus/Prunus_persica/p.persica_gdr_reftransV1_0001562","p.persica_gdr_reftransV1_0001562")</f>
        <v>p.persica_gdr_reftransV1_0001562</v>
      </c>
      <c r="B4488" s="2">
        <v>2734</v>
      </c>
      <c r="C4488" s="4" t="str">
        <f>HYPERLINK("http://www.uniprot.org/uniprot/M5XNY5","M5XNY5")</f>
        <v>M5XNY5</v>
      </c>
      <c r="D4488" s="2" t="s">
        <v>3594</v>
      </c>
      <c r="E4488" s="3">
        <v>0</v>
      </c>
      <c r="F4488" s="2">
        <v>2480</v>
      </c>
      <c r="G4488" s="2">
        <v>100</v>
      </c>
      <c r="H4488" s="2">
        <v>574</v>
      </c>
      <c r="I4488" s="2">
        <v>318</v>
      </c>
      <c r="J4488" s="2">
        <v>2039</v>
      </c>
      <c r="K4488" s="2">
        <v>295</v>
      </c>
      <c r="L4488" s="2">
        <v>868</v>
      </c>
    </row>
    <row r="4489" spans="1:12" x14ac:dyDescent="0.25">
      <c r="A4489" s="4" t="str">
        <f>HYPERLINK("http://www.rosaceae.org/Prunus/Prunus_persica/p.persica_gdr_reftransV1_0002262","p.persica_gdr_reftransV1_0002262")</f>
        <v>p.persica_gdr_reftransV1_0002262</v>
      </c>
      <c r="B4489" s="2">
        <v>1602</v>
      </c>
      <c r="C4489" s="4" t="str">
        <f>HYPERLINK("http://www.uniprot.org/uniprot/M5XKI8","M5XKI8")</f>
        <v>M5XKI8</v>
      </c>
      <c r="D4489" s="2" t="s">
        <v>4183</v>
      </c>
      <c r="E4489" s="3">
        <v>0</v>
      </c>
      <c r="F4489" s="2">
        <v>1559</v>
      </c>
      <c r="G4489" s="2">
        <v>94</v>
      </c>
      <c r="H4489" s="2">
        <v>312</v>
      </c>
      <c r="I4489" s="2">
        <v>516</v>
      </c>
      <c r="J4489" s="2">
        <v>1445</v>
      </c>
      <c r="K4489" s="2">
        <v>1</v>
      </c>
      <c r="L4489" s="2">
        <v>312</v>
      </c>
    </row>
    <row r="4490" spans="1:12" x14ac:dyDescent="0.25">
      <c r="A4490" s="4" t="str">
        <f>HYPERLINK("http://www.rosaceae.org/Prunus/Prunus_persica/p.persica_gdr_reftransV1_0002962","p.persica_gdr_reftransV1_0002962")</f>
        <v>p.persica_gdr_reftransV1_0002962</v>
      </c>
      <c r="B4490" s="2">
        <v>1454</v>
      </c>
      <c r="C4490" s="4" t="str">
        <f>HYPERLINK("http://www.uniprot.org/uniprot/M5XCI7","M5XCI7")</f>
        <v>M5XCI7</v>
      </c>
      <c r="D4490" s="2" t="s">
        <v>4184</v>
      </c>
      <c r="E4490" s="3">
        <v>0</v>
      </c>
      <c r="F4490" s="2">
        <v>1434</v>
      </c>
      <c r="G4490" s="2">
        <v>99</v>
      </c>
      <c r="H4490" s="2">
        <v>269</v>
      </c>
      <c r="I4490" s="2">
        <v>214</v>
      </c>
      <c r="J4490" s="2">
        <v>1020</v>
      </c>
      <c r="K4490" s="2">
        <v>60</v>
      </c>
      <c r="L4490" s="2">
        <v>328</v>
      </c>
    </row>
    <row r="4491" spans="1:12" x14ac:dyDescent="0.25">
      <c r="A4491" s="4" t="str">
        <f>HYPERLINK("http://www.rosaceae.org/Prunus/Prunus_persica/p.persica_gdr_reftransV1_0003312","p.persica_gdr_reftransV1_0003312")</f>
        <v>p.persica_gdr_reftransV1_0003312</v>
      </c>
      <c r="B4491" s="2">
        <v>382</v>
      </c>
      <c r="C4491" s="4" t="str">
        <f>HYPERLINK("http://www.uniprot.org/uniprot/M5WQD9","M5WQD9")</f>
        <v>M5WQD9</v>
      </c>
      <c r="D4491" s="2" t="s">
        <v>4185</v>
      </c>
      <c r="E4491" s="3">
        <v>1.9399999999999999E-78</v>
      </c>
      <c r="F4491" s="2">
        <v>647</v>
      </c>
      <c r="G4491" s="2">
        <v>98</v>
      </c>
      <c r="H4491" s="2">
        <v>126</v>
      </c>
      <c r="I4491" s="2">
        <v>3</v>
      </c>
      <c r="J4491" s="2">
        <v>380</v>
      </c>
      <c r="K4491" s="2">
        <v>278</v>
      </c>
      <c r="L4491" s="2">
        <v>403</v>
      </c>
    </row>
    <row r="4492" spans="1:12" x14ac:dyDescent="0.25">
      <c r="A4492" s="4" t="str">
        <f>HYPERLINK("http://www.rosaceae.org/Prunus/Prunus_persica/p.persica_gdr_reftransV1_0004012","p.persica_gdr_reftransV1_0004012")</f>
        <v>p.persica_gdr_reftransV1_0004012</v>
      </c>
      <c r="B4492" s="2">
        <v>1746</v>
      </c>
      <c r="C4492" s="4" t="str">
        <f>HYPERLINK("http://www.uniprot.org/uniprot/M5XDV4","M5XDV4")</f>
        <v>M5XDV4</v>
      </c>
      <c r="D4492" s="2" t="s">
        <v>4186</v>
      </c>
      <c r="E4492" s="3">
        <v>3.4900000000000003E-135</v>
      </c>
      <c r="F4492" s="2">
        <v>1044</v>
      </c>
      <c r="G4492" s="2">
        <v>100</v>
      </c>
      <c r="H4492" s="2">
        <v>212</v>
      </c>
      <c r="I4492" s="2">
        <v>258</v>
      </c>
      <c r="J4492" s="2">
        <v>893</v>
      </c>
      <c r="K4492" s="2">
        <v>1</v>
      </c>
      <c r="L4492" s="2">
        <v>212</v>
      </c>
    </row>
    <row r="4493" spans="1:12" x14ac:dyDescent="0.25">
      <c r="A4493" s="4" t="str">
        <f>HYPERLINK("http://www.rosaceae.org/Prunus/Prunus_persica/p.persica_gdr_reftransV1_0004362","p.persica_gdr_reftransV1_0004362")</f>
        <v>p.persica_gdr_reftransV1_0004362</v>
      </c>
      <c r="B4493" s="2">
        <v>1321</v>
      </c>
      <c r="C4493" s="4" t="str">
        <f>HYPERLINK("http://www.uniprot.org/uniprot/M5W223","M5W223")</f>
        <v>M5W223</v>
      </c>
      <c r="D4493" s="2" t="s">
        <v>4187</v>
      </c>
      <c r="E4493" s="3">
        <v>0</v>
      </c>
      <c r="F4493" s="2">
        <v>1973</v>
      </c>
      <c r="G4493" s="2">
        <v>100</v>
      </c>
      <c r="H4493" s="2">
        <v>368</v>
      </c>
      <c r="I4493" s="2">
        <v>117</v>
      </c>
      <c r="J4493" s="2">
        <v>1220</v>
      </c>
      <c r="K4493" s="2">
        <v>1</v>
      </c>
      <c r="L4493" s="2">
        <v>368</v>
      </c>
    </row>
    <row r="4494" spans="1:12" x14ac:dyDescent="0.25">
      <c r="A4494" s="4" t="str">
        <f>HYPERLINK("http://www.rosaceae.org/Prunus/Prunus_persica/p.persica_gdr_reftransV1_0005062","p.persica_gdr_reftransV1_0005062")</f>
        <v>p.persica_gdr_reftransV1_0005062</v>
      </c>
      <c r="B4494" s="2">
        <v>883</v>
      </c>
      <c r="C4494" s="4" t="str">
        <f>HYPERLINK("http://www.uniprot.org/uniprot/M5Y342","M5Y342")</f>
        <v>M5Y342</v>
      </c>
      <c r="D4494" s="2" t="s">
        <v>4188</v>
      </c>
      <c r="E4494" s="3">
        <v>5.69E-157</v>
      </c>
      <c r="F4494" s="2">
        <v>1158</v>
      </c>
      <c r="G4494" s="2">
        <v>100</v>
      </c>
      <c r="H4494" s="2">
        <v>255</v>
      </c>
      <c r="I4494" s="2">
        <v>39</v>
      </c>
      <c r="J4494" s="2">
        <v>803</v>
      </c>
      <c r="K4494" s="2">
        <v>1</v>
      </c>
      <c r="L4494" s="2">
        <v>255</v>
      </c>
    </row>
    <row r="4495" spans="1:12" x14ac:dyDescent="0.25">
      <c r="A4495" s="4" t="str">
        <f>HYPERLINK("http://www.rosaceae.org/Prunus/Prunus_persica/p.persica_gdr_reftransV1_0005412","p.persica_gdr_reftransV1_0005412")</f>
        <v>p.persica_gdr_reftransV1_0005412</v>
      </c>
      <c r="B4495" s="2">
        <v>2269</v>
      </c>
      <c r="C4495" s="4" t="str">
        <f>HYPERLINK("http://www.uniprot.org/uniprot/M5WDU1","M5WDU1")</f>
        <v>M5WDU1</v>
      </c>
      <c r="D4495" s="2" t="s">
        <v>4189</v>
      </c>
      <c r="E4495" s="3">
        <v>0</v>
      </c>
      <c r="F4495" s="2">
        <v>3036</v>
      </c>
      <c r="G4495" s="2">
        <v>100</v>
      </c>
      <c r="H4495" s="2">
        <v>568</v>
      </c>
      <c r="I4495" s="2">
        <v>564</v>
      </c>
      <c r="J4495" s="2">
        <v>2267</v>
      </c>
      <c r="K4495" s="2">
        <v>15</v>
      </c>
      <c r="L4495" s="2">
        <v>582</v>
      </c>
    </row>
    <row r="4496" spans="1:12" x14ac:dyDescent="0.25">
      <c r="A4496" s="4" t="str">
        <f>HYPERLINK("http://www.rosaceae.org/Prunus/Prunus_persica/p.persica_gdr_reftransV1_0005762","p.persica_gdr_reftransV1_0005762")</f>
        <v>p.persica_gdr_reftransV1_0005762</v>
      </c>
      <c r="B4496" s="2">
        <v>6531</v>
      </c>
      <c r="C4496" s="4" t="str">
        <f>HYPERLINK("http://www.uniprot.org/uniprot/B2KTC2","B2KTC2")</f>
        <v>B2KTC2</v>
      </c>
      <c r="D4496" s="2" t="s">
        <v>4190</v>
      </c>
      <c r="E4496" s="3">
        <v>0</v>
      </c>
      <c r="F4496" s="2">
        <v>7125</v>
      </c>
      <c r="G4496" s="2">
        <v>94</v>
      </c>
      <c r="H4496" s="2">
        <v>1441</v>
      </c>
      <c r="I4496" s="2">
        <v>4</v>
      </c>
      <c r="J4496" s="2">
        <v>4326</v>
      </c>
      <c r="K4496" s="2">
        <v>598</v>
      </c>
      <c r="L4496" s="2">
        <v>2038</v>
      </c>
    </row>
    <row r="4497" spans="1:12" x14ac:dyDescent="0.25">
      <c r="A4497" s="4" t="str">
        <f>HYPERLINK("http://www.rosaceae.org/Prunus/Prunus_persica/p.persica_gdr_reftransV1_0006462","p.persica_gdr_reftransV1_0006462")</f>
        <v>p.persica_gdr_reftransV1_0006462</v>
      </c>
      <c r="B4497" s="2">
        <v>1028</v>
      </c>
      <c r="C4497" s="4" t="str">
        <f>HYPERLINK("http://www.uniprot.org/uniprot/M5X2J7","M5X2J7")</f>
        <v>M5X2J7</v>
      </c>
      <c r="D4497" s="2" t="s">
        <v>4191</v>
      </c>
      <c r="E4497" s="3">
        <v>0</v>
      </c>
      <c r="F4497" s="2">
        <v>1425</v>
      </c>
      <c r="G4497" s="2">
        <v>100</v>
      </c>
      <c r="H4497" s="2">
        <v>342</v>
      </c>
      <c r="I4497" s="2">
        <v>1</v>
      </c>
      <c r="J4497" s="2">
        <v>1026</v>
      </c>
      <c r="K4497" s="2">
        <v>91</v>
      </c>
      <c r="L4497" s="2">
        <v>432</v>
      </c>
    </row>
    <row r="4498" spans="1:12" x14ac:dyDescent="0.25">
      <c r="A4498" s="4" t="str">
        <f>HYPERLINK("http://www.rosaceae.org/Prunus/Prunus_persica/p.persica_gdr_reftransV1_0007162","p.persica_gdr_reftransV1_0007162")</f>
        <v>p.persica_gdr_reftransV1_0007162</v>
      </c>
      <c r="B4498" s="2">
        <v>946</v>
      </c>
      <c r="C4498" s="4" t="str">
        <f>HYPERLINK("http://www.uniprot.org/uniprot/M5WH36","M5WH36")</f>
        <v>M5WH36</v>
      </c>
      <c r="D4498" s="2" t="s">
        <v>2252</v>
      </c>
      <c r="E4498" s="3">
        <v>1.29E-165</v>
      </c>
      <c r="F4498" s="2">
        <v>1242</v>
      </c>
      <c r="G4498" s="2">
        <v>100</v>
      </c>
      <c r="H4498" s="2">
        <v>237</v>
      </c>
      <c r="I4498" s="2">
        <v>3</v>
      </c>
      <c r="J4498" s="2">
        <v>713</v>
      </c>
      <c r="K4498" s="2">
        <v>1</v>
      </c>
      <c r="L4498" s="2">
        <v>237</v>
      </c>
    </row>
    <row r="4499" spans="1:12" x14ac:dyDescent="0.25">
      <c r="A4499" s="4" t="str">
        <f>HYPERLINK("http://www.rosaceae.org/Prunus/Prunus_persica/p.persica_gdr_reftransV1_0007512","p.persica_gdr_reftransV1_0007512")</f>
        <v>p.persica_gdr_reftransV1_0007512</v>
      </c>
      <c r="B4499" s="2">
        <v>1183</v>
      </c>
      <c r="C4499" s="4" t="str">
        <f>HYPERLINK("http://www.uniprot.org/uniprot/M5XDB9","M5XDB9")</f>
        <v>M5XDB9</v>
      </c>
      <c r="D4499" s="2" t="s">
        <v>4192</v>
      </c>
      <c r="E4499" s="3">
        <v>4.45E-137</v>
      </c>
      <c r="F4499" s="2">
        <v>1036</v>
      </c>
      <c r="G4499" s="2">
        <v>88</v>
      </c>
      <c r="H4499" s="2">
        <v>271</v>
      </c>
      <c r="I4499" s="2">
        <v>273</v>
      </c>
      <c r="J4499" s="2">
        <v>1085</v>
      </c>
      <c r="K4499" s="2">
        <v>1</v>
      </c>
      <c r="L4499" s="2">
        <v>238</v>
      </c>
    </row>
    <row r="4500" spans="1:12" x14ac:dyDescent="0.25">
      <c r="A4500" s="4" t="str">
        <f>HYPERLINK("http://www.rosaceae.org/Prunus/Prunus_persica/p.persica_gdr_reftransV1_0008212","p.persica_gdr_reftransV1_0008212")</f>
        <v>p.persica_gdr_reftransV1_0008212</v>
      </c>
      <c r="B4500" s="2">
        <v>3572</v>
      </c>
      <c r="C4500" s="4" t="str">
        <f>HYPERLINK("http://www.uniprot.org/uniprot/M5WLD9","M5WLD9")</f>
        <v>M5WLD9</v>
      </c>
      <c r="D4500" s="2" t="s">
        <v>4193</v>
      </c>
      <c r="E4500" s="3">
        <v>0</v>
      </c>
      <c r="F4500" s="2">
        <v>4936</v>
      </c>
      <c r="G4500" s="2">
        <v>99</v>
      </c>
      <c r="H4500" s="2">
        <v>1014</v>
      </c>
      <c r="I4500" s="2">
        <v>257</v>
      </c>
      <c r="J4500" s="2">
        <v>3298</v>
      </c>
      <c r="K4500" s="2">
        <v>1</v>
      </c>
      <c r="L4500" s="2">
        <v>1014</v>
      </c>
    </row>
    <row r="4501" spans="1:12" x14ac:dyDescent="0.25">
      <c r="A4501" s="4" t="str">
        <f>HYPERLINK("http://www.rosaceae.org/Prunus/Prunus_persica/p.persica_gdr_reftransV1_0008562","p.persica_gdr_reftransV1_0008562")</f>
        <v>p.persica_gdr_reftransV1_0008562</v>
      </c>
      <c r="B4501" s="2">
        <v>2211</v>
      </c>
      <c r="C4501" s="4" t="str">
        <f>HYPERLINK("http://www.uniprot.org/uniprot/M5WFB4","M5WFB4")</f>
        <v>M5WFB4</v>
      </c>
      <c r="D4501" s="2" t="s">
        <v>4194</v>
      </c>
      <c r="E4501" s="3">
        <v>0</v>
      </c>
      <c r="F4501" s="2">
        <v>2320</v>
      </c>
      <c r="G4501" s="2">
        <v>100</v>
      </c>
      <c r="H4501" s="2">
        <v>588</v>
      </c>
      <c r="I4501" s="2">
        <v>180</v>
      </c>
      <c r="J4501" s="2">
        <v>1943</v>
      </c>
      <c r="K4501" s="2">
        <v>1</v>
      </c>
      <c r="L4501" s="2">
        <v>588</v>
      </c>
    </row>
    <row r="4502" spans="1:12" x14ac:dyDescent="0.25">
      <c r="A4502" s="4" t="str">
        <f>HYPERLINK("http://www.rosaceae.org/Prunus/Prunus_persica/p.persica_gdr_reftransV1_0009262","p.persica_gdr_reftransV1_0009262")</f>
        <v>p.persica_gdr_reftransV1_0009262</v>
      </c>
      <c r="B4502" s="2">
        <v>3741</v>
      </c>
      <c r="C4502" s="4" t="str">
        <f>HYPERLINK("http://www.uniprot.org/uniprot/M5VIS0","M5VIS0")</f>
        <v>M5VIS0</v>
      </c>
      <c r="D4502" s="2" t="s">
        <v>2374</v>
      </c>
      <c r="E4502" s="3">
        <v>0</v>
      </c>
      <c r="F4502" s="2">
        <v>2202</v>
      </c>
      <c r="G4502" s="2">
        <v>100</v>
      </c>
      <c r="H4502" s="2">
        <v>420</v>
      </c>
      <c r="I4502" s="2">
        <v>2432</v>
      </c>
      <c r="J4502" s="2">
        <v>3691</v>
      </c>
      <c r="K4502" s="2">
        <v>1</v>
      </c>
      <c r="L4502" s="2">
        <v>420</v>
      </c>
    </row>
    <row r="4503" spans="1:12" x14ac:dyDescent="0.25">
      <c r="A4503" s="4" t="str">
        <f>HYPERLINK("http://www.rosaceae.org/Prunus/Prunus_persica/p.persica_gdr_reftransV1_0011712","p.persica_gdr_reftransV1_0011712")</f>
        <v>p.persica_gdr_reftransV1_0011712</v>
      </c>
      <c r="B4503" s="2">
        <v>1977</v>
      </c>
      <c r="C4503" s="4" t="str">
        <f>HYPERLINK("http://www.uniprot.org/uniprot/M5VRU8","M5VRU8")</f>
        <v>M5VRU8</v>
      </c>
      <c r="D4503" s="2" t="s">
        <v>4195</v>
      </c>
      <c r="E4503" s="3">
        <v>4.1499999999999998E-22</v>
      </c>
      <c r="F4503" s="2">
        <v>251</v>
      </c>
      <c r="G4503" s="2">
        <v>74</v>
      </c>
      <c r="H4503" s="2">
        <v>72</v>
      </c>
      <c r="I4503" s="2">
        <v>595</v>
      </c>
      <c r="J4503" s="2">
        <v>807</v>
      </c>
      <c r="K4503" s="2">
        <v>1</v>
      </c>
      <c r="L4503" s="2">
        <v>72</v>
      </c>
    </row>
    <row r="4504" spans="1:12" x14ac:dyDescent="0.25">
      <c r="A4504" s="4" t="str">
        <f>HYPERLINK("http://www.rosaceae.org/Prunus/Prunus_persica/p.persica_gdr_reftransV1_0012062","p.persica_gdr_reftransV1_0012062")</f>
        <v>p.persica_gdr_reftransV1_0012062</v>
      </c>
      <c r="B4504" s="2">
        <v>1133</v>
      </c>
      <c r="C4504" s="4" t="str">
        <f>HYPERLINK("http://www.uniprot.org/uniprot/M5XIH4","M5XIH4")</f>
        <v>M5XIH4</v>
      </c>
      <c r="D4504" s="2" t="s">
        <v>4196</v>
      </c>
      <c r="E4504" s="3">
        <v>2.4699999999999999E-169</v>
      </c>
      <c r="F4504" s="2">
        <v>1251</v>
      </c>
      <c r="G4504" s="2">
        <v>98</v>
      </c>
      <c r="H4504" s="2">
        <v>277</v>
      </c>
      <c r="I4504" s="2">
        <v>33</v>
      </c>
      <c r="J4504" s="2">
        <v>863</v>
      </c>
      <c r="K4504" s="2">
        <v>1</v>
      </c>
      <c r="L4504" s="2">
        <v>275</v>
      </c>
    </row>
    <row r="4505" spans="1:12" x14ac:dyDescent="0.25">
      <c r="A4505" s="4" t="str">
        <f>HYPERLINK("http://www.rosaceae.org/Prunus/Prunus_persica/p.persica_gdr_reftransV1_0015212","p.persica_gdr_reftransV1_0015212")</f>
        <v>p.persica_gdr_reftransV1_0015212</v>
      </c>
      <c r="B4505" s="2">
        <v>1106</v>
      </c>
      <c r="C4505" s="4" t="str">
        <f>HYPERLINK("http://www.uniprot.org/uniprot/M5WC27","M5WC27")</f>
        <v>M5WC27</v>
      </c>
      <c r="D4505" s="2" t="s">
        <v>4197</v>
      </c>
      <c r="E4505" s="3">
        <v>6.4599999999999999E-111</v>
      </c>
      <c r="F4505" s="2">
        <v>855</v>
      </c>
      <c r="G4505" s="2">
        <v>100</v>
      </c>
      <c r="H4505" s="2">
        <v>184</v>
      </c>
      <c r="I4505" s="2">
        <v>317</v>
      </c>
      <c r="J4505" s="2">
        <v>868</v>
      </c>
      <c r="K4505" s="2">
        <v>1</v>
      </c>
      <c r="L4505" s="2">
        <v>184</v>
      </c>
    </row>
    <row r="4506" spans="1:12" x14ac:dyDescent="0.25">
      <c r="A4506" s="4" t="str">
        <f>HYPERLINK("http://www.rosaceae.org/Prunus/Prunus_persica/p.persica_gdr_reftransV1_0016612","p.persica_gdr_reftransV1_0016612")</f>
        <v>p.persica_gdr_reftransV1_0016612</v>
      </c>
      <c r="B4506" s="2">
        <v>2122</v>
      </c>
      <c r="C4506" s="4" t="str">
        <f>HYPERLINK("http://www.uniprot.org/uniprot/M5XBI1","M5XBI1")</f>
        <v>M5XBI1</v>
      </c>
      <c r="D4506" s="2" t="s">
        <v>4198</v>
      </c>
      <c r="E4506" s="3">
        <v>0</v>
      </c>
      <c r="F4506" s="2">
        <v>1513</v>
      </c>
      <c r="G4506" s="2">
        <v>99</v>
      </c>
      <c r="H4506" s="2">
        <v>298</v>
      </c>
      <c r="I4506" s="2">
        <v>325</v>
      </c>
      <c r="J4506" s="2">
        <v>1218</v>
      </c>
      <c r="K4506" s="2">
        <v>152</v>
      </c>
      <c r="L4506" s="2">
        <v>449</v>
      </c>
    </row>
    <row r="4507" spans="1:12" x14ac:dyDescent="0.25">
      <c r="A4507" s="4" t="str">
        <f>HYPERLINK("http://www.rosaceae.org/Prunus/Prunus_persica/p.persica_gdr_reftransV1_0016962","p.persica_gdr_reftransV1_0016962")</f>
        <v>p.persica_gdr_reftransV1_0016962</v>
      </c>
      <c r="B4507" s="2">
        <v>1258</v>
      </c>
      <c r="C4507" s="4" t="str">
        <f>HYPERLINK("http://www.uniprot.org/uniprot/M5WN75","M5WN75")</f>
        <v>M5WN75</v>
      </c>
      <c r="D4507" s="2" t="s">
        <v>4199</v>
      </c>
      <c r="E4507" s="3">
        <v>0</v>
      </c>
      <c r="F4507" s="2">
        <v>1559</v>
      </c>
      <c r="G4507" s="2">
        <v>100</v>
      </c>
      <c r="H4507" s="2">
        <v>336</v>
      </c>
      <c r="I4507" s="2">
        <v>86</v>
      </c>
      <c r="J4507" s="2">
        <v>1093</v>
      </c>
      <c r="K4507" s="2">
        <v>1</v>
      </c>
      <c r="L4507" s="2">
        <v>336</v>
      </c>
    </row>
    <row r="4508" spans="1:12" x14ac:dyDescent="0.25">
      <c r="A4508" s="4" t="str">
        <f>HYPERLINK("http://www.rosaceae.org/Prunus/Prunus_persica/p.persica_gdr_reftransV1_0017312","p.persica_gdr_reftransV1_0017312")</f>
        <v>p.persica_gdr_reftransV1_0017312</v>
      </c>
      <c r="B4508" s="2">
        <v>782</v>
      </c>
      <c r="C4508" s="4" t="str">
        <f>HYPERLINK("http://www.uniprot.org/uniprot/M5W0S3","M5W0S3")</f>
        <v>M5W0S3</v>
      </c>
      <c r="D4508" s="2" t="s">
        <v>4200</v>
      </c>
      <c r="E4508" s="3">
        <v>5.4299999999999996E-69</v>
      </c>
      <c r="F4508" s="2">
        <v>562</v>
      </c>
      <c r="G4508" s="2">
        <v>100</v>
      </c>
      <c r="H4508" s="2">
        <v>140</v>
      </c>
      <c r="I4508" s="2">
        <v>305</v>
      </c>
      <c r="J4508" s="2">
        <v>724</v>
      </c>
      <c r="K4508" s="2">
        <v>1</v>
      </c>
      <c r="L4508" s="2">
        <v>140</v>
      </c>
    </row>
    <row r="4509" spans="1:12" x14ac:dyDescent="0.25">
      <c r="A4509" s="4" t="str">
        <f>HYPERLINK("http://www.rosaceae.org/Prunus/Prunus_persica/p.persica_gdr_reftransV1_0018712","p.persica_gdr_reftransV1_0018712")</f>
        <v>p.persica_gdr_reftransV1_0018712</v>
      </c>
      <c r="B4509" s="2">
        <v>2296</v>
      </c>
      <c r="C4509" s="4" t="str">
        <f>HYPERLINK("http://www.uniprot.org/uniprot/M5VJP5","M5VJP5")</f>
        <v>M5VJP5</v>
      </c>
      <c r="D4509" s="2" t="s">
        <v>4201</v>
      </c>
      <c r="E4509" s="3">
        <v>0</v>
      </c>
      <c r="F4509" s="2">
        <v>3206</v>
      </c>
      <c r="G4509" s="2">
        <v>94</v>
      </c>
      <c r="H4509" s="2">
        <v>663</v>
      </c>
      <c r="I4509" s="2">
        <v>175</v>
      </c>
      <c r="J4509" s="2">
        <v>2163</v>
      </c>
      <c r="K4509" s="2">
        <v>1</v>
      </c>
      <c r="L4509" s="2">
        <v>623</v>
      </c>
    </row>
    <row r="4510" spans="1:12" x14ac:dyDescent="0.25">
      <c r="A4510" s="4" t="str">
        <f>HYPERLINK("http://www.rosaceae.org/Prunus/Prunus_persica/p.persica_gdr_reftransV1_0019062","p.persica_gdr_reftransV1_0019062")</f>
        <v>p.persica_gdr_reftransV1_0019062</v>
      </c>
      <c r="B4510" s="2">
        <v>1565</v>
      </c>
      <c r="C4510" s="4" t="str">
        <f>HYPERLINK("http://www.uniprot.org/uniprot/M5WHP0","M5WHP0")</f>
        <v>M5WHP0</v>
      </c>
      <c r="D4510" s="2" t="s">
        <v>4202</v>
      </c>
      <c r="E4510" s="3">
        <v>1.5E-108</v>
      </c>
      <c r="F4510" s="2">
        <v>880</v>
      </c>
      <c r="G4510" s="2">
        <v>99</v>
      </c>
      <c r="H4510" s="2">
        <v>162</v>
      </c>
      <c r="I4510" s="2">
        <v>795</v>
      </c>
      <c r="J4510" s="2">
        <v>1280</v>
      </c>
      <c r="K4510" s="2">
        <v>301</v>
      </c>
      <c r="L4510" s="2">
        <v>462</v>
      </c>
    </row>
    <row r="4511" spans="1:12" x14ac:dyDescent="0.25">
      <c r="A4511" s="4" t="str">
        <f>HYPERLINK("http://www.rosaceae.org/Prunus/Prunus_persica/p.persica_gdr_reftransV1_0020812","p.persica_gdr_reftransV1_0020812")</f>
        <v>p.persica_gdr_reftransV1_0020812</v>
      </c>
      <c r="B4511" s="2">
        <v>802</v>
      </c>
      <c r="C4511" s="4" t="str">
        <f>HYPERLINK("http://www.uniprot.org/uniprot/M5W4S6","M5W4S6")</f>
        <v>M5W4S6</v>
      </c>
      <c r="D4511" s="2" t="s">
        <v>4203</v>
      </c>
      <c r="E4511" s="3">
        <v>1.4700000000000001E-20</v>
      </c>
      <c r="F4511" s="2">
        <v>245</v>
      </c>
      <c r="G4511" s="2">
        <v>40</v>
      </c>
      <c r="H4511" s="2">
        <v>166</v>
      </c>
      <c r="I4511" s="2">
        <v>169</v>
      </c>
      <c r="J4511" s="2">
        <v>624</v>
      </c>
      <c r="K4511" s="2">
        <v>241</v>
      </c>
      <c r="L4511" s="2">
        <v>394</v>
      </c>
    </row>
    <row r="4512" spans="1:12" x14ac:dyDescent="0.25">
      <c r="A4512" s="4" t="str">
        <f>HYPERLINK("http://www.rosaceae.org/Prunus/Prunus_persica/p.persica_gdr_reftransV1_0021512","p.persica_gdr_reftransV1_0021512")</f>
        <v>p.persica_gdr_reftransV1_0021512</v>
      </c>
      <c r="B4512" s="2">
        <v>1690</v>
      </c>
      <c r="C4512" s="4" t="str">
        <f>HYPERLINK("http://www.uniprot.org/uniprot/M5XE84","M5XE84")</f>
        <v>M5XE84</v>
      </c>
      <c r="D4512" s="2" t="s">
        <v>4204</v>
      </c>
      <c r="E4512" s="3">
        <v>0</v>
      </c>
      <c r="F4512" s="2">
        <v>1594</v>
      </c>
      <c r="G4512" s="2">
        <v>97</v>
      </c>
      <c r="H4512" s="2">
        <v>345</v>
      </c>
      <c r="I4512" s="2">
        <v>442</v>
      </c>
      <c r="J4512" s="2">
        <v>1476</v>
      </c>
      <c r="K4512" s="2">
        <v>1</v>
      </c>
      <c r="L4512" s="2">
        <v>333</v>
      </c>
    </row>
    <row r="4513" spans="1:12" x14ac:dyDescent="0.25">
      <c r="A4513" s="4" t="str">
        <f>HYPERLINK("http://www.rosaceae.org/Prunus/Prunus_persica/p.persica_gdr_reftransV1_0021862","p.persica_gdr_reftransV1_0021862")</f>
        <v>p.persica_gdr_reftransV1_0021862</v>
      </c>
      <c r="B4513" s="2">
        <v>2141</v>
      </c>
      <c r="C4513" s="4" t="str">
        <f>HYPERLINK("http://www.uniprot.org/uniprot/A0A0D2RCF5","A0A0D2RCF5")</f>
        <v>A0A0D2RCF5</v>
      </c>
      <c r="D4513" s="2" t="s">
        <v>4205</v>
      </c>
      <c r="E4513" s="3">
        <v>3.0399999999999998E-94</v>
      </c>
      <c r="F4513" s="2">
        <v>777</v>
      </c>
      <c r="G4513" s="2">
        <v>99</v>
      </c>
      <c r="H4513" s="2">
        <v>150</v>
      </c>
      <c r="I4513" s="2">
        <v>781</v>
      </c>
      <c r="J4513" s="2">
        <v>1230</v>
      </c>
      <c r="K4513" s="2">
        <v>70</v>
      </c>
      <c r="L4513" s="2">
        <v>219</v>
      </c>
    </row>
    <row r="4514" spans="1:12" x14ac:dyDescent="0.25">
      <c r="A4514" s="4" t="str">
        <f>HYPERLINK("http://www.rosaceae.org/Prunus/Prunus_persica/p.persica_gdr_reftransV1_0022912","p.persica_gdr_reftransV1_0022912")</f>
        <v>p.persica_gdr_reftransV1_0022912</v>
      </c>
      <c r="B4514" s="2">
        <v>726</v>
      </c>
      <c r="C4514" s="4" t="str">
        <f>HYPERLINK("http://www.uniprot.org/uniprot/M5XD46","M5XD46")</f>
        <v>M5XD46</v>
      </c>
      <c r="D4514" s="2" t="s">
        <v>2201</v>
      </c>
      <c r="E4514" s="3">
        <v>1.09E-119</v>
      </c>
      <c r="F4514" s="2">
        <v>927</v>
      </c>
      <c r="G4514" s="2">
        <v>100</v>
      </c>
      <c r="H4514" s="2">
        <v>202</v>
      </c>
      <c r="I4514" s="2">
        <v>121</v>
      </c>
      <c r="J4514" s="2">
        <v>726</v>
      </c>
      <c r="K4514" s="2">
        <v>276</v>
      </c>
      <c r="L4514" s="2">
        <v>477</v>
      </c>
    </row>
    <row r="4515" spans="1:12" x14ac:dyDescent="0.25">
      <c r="A4515" s="4" t="str">
        <f>HYPERLINK("http://www.rosaceae.org/Prunus/Prunus_persica/p.persica_gdr_reftransV1_0023262","p.persica_gdr_reftransV1_0023262")</f>
        <v>p.persica_gdr_reftransV1_0023262</v>
      </c>
      <c r="B4515" s="2">
        <v>2917</v>
      </c>
      <c r="C4515" s="4" t="str">
        <f>HYPERLINK("http://www.uniprot.org/uniprot/M5XUE2","M5XUE2")</f>
        <v>M5XUE2</v>
      </c>
      <c r="D4515" s="2" t="s">
        <v>4206</v>
      </c>
      <c r="E4515" s="3">
        <v>0</v>
      </c>
      <c r="F4515" s="2">
        <v>3434</v>
      </c>
      <c r="G4515" s="2">
        <v>99</v>
      </c>
      <c r="H4515" s="2">
        <v>671</v>
      </c>
      <c r="I4515" s="2">
        <v>253</v>
      </c>
      <c r="J4515" s="2">
        <v>2265</v>
      </c>
      <c r="K4515" s="2">
        <v>1</v>
      </c>
      <c r="L4515" s="2">
        <v>662</v>
      </c>
    </row>
    <row r="4516" spans="1:12" x14ac:dyDescent="0.25">
      <c r="A4516" s="4" t="str">
        <f>HYPERLINK("http://www.rosaceae.org/Prunus/Prunus_persica/p.persica_gdr_reftransV1_0023612","p.persica_gdr_reftransV1_0023612")</f>
        <v>p.persica_gdr_reftransV1_0023612</v>
      </c>
      <c r="B4516" s="2">
        <v>4981</v>
      </c>
      <c r="C4516" s="4" t="str">
        <f>HYPERLINK("http://www.uniprot.org/uniprot/M5VUP1","M5VUP1")</f>
        <v>M5VUP1</v>
      </c>
      <c r="D4516" s="2" t="s">
        <v>4207</v>
      </c>
      <c r="E4516" s="3">
        <v>5.8499999999999996E-62</v>
      </c>
      <c r="F4516" s="2">
        <v>573</v>
      </c>
      <c r="G4516" s="2">
        <v>97</v>
      </c>
      <c r="H4516" s="2">
        <v>109</v>
      </c>
      <c r="I4516" s="2">
        <v>1259</v>
      </c>
      <c r="J4516" s="2">
        <v>1585</v>
      </c>
      <c r="K4516" s="2">
        <v>163</v>
      </c>
      <c r="L4516" s="2">
        <v>271</v>
      </c>
    </row>
    <row r="4517" spans="1:12" x14ac:dyDescent="0.25">
      <c r="A4517" s="4" t="str">
        <f>HYPERLINK("http://www.rosaceae.org/Prunus/Prunus_persica/p.persica_gdr_reftransV1_0023962","p.persica_gdr_reftransV1_0023962")</f>
        <v>p.persica_gdr_reftransV1_0023962</v>
      </c>
      <c r="B4517" s="2">
        <v>6161</v>
      </c>
      <c r="C4517" s="4" t="str">
        <f>HYPERLINK("http://www.uniprot.org/uniprot/M5XP99","M5XP99")</f>
        <v>M5XP99</v>
      </c>
      <c r="D4517" s="2" t="s">
        <v>4208</v>
      </c>
      <c r="E4517" s="3">
        <v>0</v>
      </c>
      <c r="F4517" s="2">
        <v>2528</v>
      </c>
      <c r="G4517" s="2">
        <v>100</v>
      </c>
      <c r="H4517" s="2">
        <v>475</v>
      </c>
      <c r="I4517" s="2">
        <v>242</v>
      </c>
      <c r="J4517" s="2">
        <v>1666</v>
      </c>
      <c r="K4517" s="2">
        <v>1</v>
      </c>
      <c r="L4517" s="2">
        <v>475</v>
      </c>
    </row>
    <row r="4518" spans="1:12" x14ac:dyDescent="0.25">
      <c r="A4518" s="4" t="str">
        <f>HYPERLINK("http://www.rosaceae.org/Prunus/Prunus_persica/p.persica_gdr_reftransV1_0025012","p.persica_gdr_reftransV1_0025012")</f>
        <v>p.persica_gdr_reftransV1_0025012</v>
      </c>
      <c r="B4518" s="2">
        <v>646</v>
      </c>
      <c r="C4518" s="4" t="str">
        <f>HYPERLINK("http://www.uniprot.org/uniprot/M5VJI2","M5VJI2")</f>
        <v>M5VJI2</v>
      </c>
      <c r="D4518" s="2" t="s">
        <v>4209</v>
      </c>
      <c r="E4518" s="3">
        <v>6.3900000000000001E-125</v>
      </c>
      <c r="F4518" s="2">
        <v>932</v>
      </c>
      <c r="G4518" s="2">
        <v>100</v>
      </c>
      <c r="H4518" s="2">
        <v>177</v>
      </c>
      <c r="I4518" s="2">
        <v>2</v>
      </c>
      <c r="J4518" s="2">
        <v>532</v>
      </c>
      <c r="K4518" s="2">
        <v>23</v>
      </c>
      <c r="L4518" s="2">
        <v>199</v>
      </c>
    </row>
    <row r="4519" spans="1:12" x14ac:dyDescent="0.25">
      <c r="A4519" s="4" t="str">
        <f>HYPERLINK("http://www.rosaceae.org/Prunus/Prunus_persica/p.persica_gdr_reftransV1_0025362","p.persica_gdr_reftransV1_0025362")</f>
        <v>p.persica_gdr_reftransV1_0025362</v>
      </c>
      <c r="B4519" s="2">
        <v>2105</v>
      </c>
      <c r="C4519" s="4" t="str">
        <f>HYPERLINK("http://www.uniprot.org/uniprot/M5VQX3","M5VQX3")</f>
        <v>M5VQX3</v>
      </c>
      <c r="D4519" s="2" t="s">
        <v>4210</v>
      </c>
      <c r="E4519" s="3">
        <v>4.1400000000000002E-93</v>
      </c>
      <c r="F4519" s="2">
        <v>768</v>
      </c>
      <c r="G4519" s="2">
        <v>100</v>
      </c>
      <c r="H4519" s="2">
        <v>147</v>
      </c>
      <c r="I4519" s="2">
        <v>373</v>
      </c>
      <c r="J4519" s="2">
        <v>813</v>
      </c>
      <c r="K4519" s="2">
        <v>83</v>
      </c>
      <c r="L4519" s="2">
        <v>229</v>
      </c>
    </row>
    <row r="4520" spans="1:12" x14ac:dyDescent="0.25">
      <c r="A4520" s="4" t="str">
        <f>HYPERLINK("http://www.rosaceae.org/Prunus/Prunus_persica/p.persica_gdr_reftransV1_0026062","p.persica_gdr_reftransV1_0026062")</f>
        <v>p.persica_gdr_reftransV1_0026062</v>
      </c>
      <c r="B4520" s="2">
        <v>3126</v>
      </c>
      <c r="C4520" s="4" t="str">
        <f>HYPERLINK("http://www.uniprot.org/uniprot/M5WFZ7","M5WFZ7")</f>
        <v>M5WFZ7</v>
      </c>
      <c r="D4520" s="2" t="s">
        <v>4211</v>
      </c>
      <c r="E4520" s="3">
        <v>4.8499999999999997E-108</v>
      </c>
      <c r="F4520" s="2">
        <v>905</v>
      </c>
      <c r="G4520" s="2">
        <v>99</v>
      </c>
      <c r="H4520" s="2">
        <v>166</v>
      </c>
      <c r="I4520" s="2">
        <v>831</v>
      </c>
      <c r="J4520" s="2">
        <v>1328</v>
      </c>
      <c r="K4520" s="2">
        <v>80</v>
      </c>
      <c r="L4520" s="2">
        <v>245</v>
      </c>
    </row>
    <row r="4521" spans="1:12" x14ac:dyDescent="0.25">
      <c r="A4521" s="4" t="str">
        <f>HYPERLINK("http://www.rosaceae.org/Prunus/Prunus_persica/p.persica_gdr_reftransV1_0026412","p.persica_gdr_reftransV1_0026412")</f>
        <v>p.persica_gdr_reftransV1_0026412</v>
      </c>
      <c r="B4521" s="2">
        <v>2613</v>
      </c>
      <c r="C4521" s="4" t="str">
        <f>HYPERLINK("http://www.uniprot.org/uniprot/M5W6V8","M5W6V8")</f>
        <v>M5W6V8</v>
      </c>
      <c r="D4521" s="2" t="s">
        <v>4212</v>
      </c>
      <c r="E4521" s="3">
        <v>0</v>
      </c>
      <c r="F4521" s="2">
        <v>3766</v>
      </c>
      <c r="G4521" s="2">
        <v>100</v>
      </c>
      <c r="H4521" s="2">
        <v>723</v>
      </c>
      <c r="I4521" s="2">
        <v>445</v>
      </c>
      <c r="J4521" s="2">
        <v>2613</v>
      </c>
      <c r="K4521" s="2">
        <v>1</v>
      </c>
      <c r="L4521" s="2">
        <v>723</v>
      </c>
    </row>
    <row r="4522" spans="1:12" x14ac:dyDescent="0.25">
      <c r="A4522" s="4" t="str">
        <f>HYPERLINK("http://www.rosaceae.org/Prunus/Prunus_persica/p.persica_gdr_reftransV1_0028162","p.persica_gdr_reftransV1_0028162")</f>
        <v>p.persica_gdr_reftransV1_0028162</v>
      </c>
      <c r="B4522" s="2">
        <v>1746</v>
      </c>
      <c r="C4522" s="4" t="str">
        <f>HYPERLINK("http://www.uniprot.org/uniprot/A0A067KWK5","A0A067KWK5")</f>
        <v>A0A067KWK5</v>
      </c>
      <c r="D4522" s="2" t="s">
        <v>4213</v>
      </c>
      <c r="E4522" s="3">
        <v>2.63E-137</v>
      </c>
      <c r="F4522" s="2">
        <v>956</v>
      </c>
      <c r="G4522" s="2">
        <v>94</v>
      </c>
      <c r="H4522" s="2">
        <v>206</v>
      </c>
      <c r="I4522" s="2">
        <v>685</v>
      </c>
      <c r="J4522" s="2">
        <v>1302</v>
      </c>
      <c r="K4522" s="2">
        <v>244</v>
      </c>
      <c r="L4522" s="2">
        <v>449</v>
      </c>
    </row>
    <row r="4523" spans="1:12" x14ac:dyDescent="0.25">
      <c r="A4523" s="4" t="str">
        <f>HYPERLINK("http://www.rosaceae.org/Prunus/Prunus_persica/p.persica_gdr_reftransV1_0028862","p.persica_gdr_reftransV1_0028862")</f>
        <v>p.persica_gdr_reftransV1_0028862</v>
      </c>
      <c r="B4523" s="2">
        <v>3009</v>
      </c>
      <c r="C4523" s="4" t="str">
        <f>HYPERLINK("http://www.uniprot.org/uniprot/A0A067LFW0","A0A067LFW0")</f>
        <v>A0A067LFW0</v>
      </c>
      <c r="D4523" s="2" t="s">
        <v>4214</v>
      </c>
      <c r="E4523" s="3">
        <v>0</v>
      </c>
      <c r="F4523" s="2">
        <v>1996</v>
      </c>
      <c r="G4523" s="2">
        <v>70</v>
      </c>
      <c r="H4523" s="2">
        <v>528</v>
      </c>
      <c r="I4523" s="2">
        <v>1</v>
      </c>
      <c r="J4523" s="2">
        <v>1581</v>
      </c>
      <c r="K4523" s="2">
        <v>238</v>
      </c>
      <c r="L4523" s="2">
        <v>765</v>
      </c>
    </row>
    <row r="4524" spans="1:12" x14ac:dyDescent="0.25">
      <c r="A4524" s="4" t="str">
        <f>HYPERLINK("http://www.rosaceae.org/Prunus/Prunus_persica/p.persica_gdr_reftransV1_0029562","p.persica_gdr_reftransV1_0029562")</f>
        <v>p.persica_gdr_reftransV1_0029562</v>
      </c>
      <c r="B4524" s="2">
        <v>392</v>
      </c>
      <c r="C4524" s="4" t="str">
        <f>HYPERLINK("http://www.uniprot.org/uniprot/M5XJ57","M5XJ57")</f>
        <v>M5XJ57</v>
      </c>
      <c r="D4524" s="2" t="s">
        <v>4215</v>
      </c>
      <c r="E4524" s="3">
        <v>5.4800000000000001E-89</v>
      </c>
      <c r="F4524" s="2">
        <v>699</v>
      </c>
      <c r="G4524" s="2">
        <v>100</v>
      </c>
      <c r="H4524" s="2">
        <v>130</v>
      </c>
      <c r="I4524" s="2">
        <v>2</v>
      </c>
      <c r="J4524" s="2">
        <v>391</v>
      </c>
      <c r="K4524" s="2">
        <v>37</v>
      </c>
      <c r="L4524" s="2">
        <v>166</v>
      </c>
    </row>
    <row r="4525" spans="1:12" x14ac:dyDescent="0.25">
      <c r="A4525" s="4" t="str">
        <f>HYPERLINK("http://www.rosaceae.org/Prunus/Prunus_persica/p.persica_gdr_reftransV1_0030612","p.persica_gdr_reftransV1_0030612")</f>
        <v>p.persica_gdr_reftransV1_0030612</v>
      </c>
      <c r="B4525" s="2">
        <v>1063</v>
      </c>
      <c r="C4525" s="4" t="str">
        <f>HYPERLINK("http://www.uniprot.org/uniprot/M5W8U7","M5W8U7")</f>
        <v>M5W8U7</v>
      </c>
      <c r="D4525" s="2" t="s">
        <v>4216</v>
      </c>
      <c r="E4525" s="3">
        <v>0</v>
      </c>
      <c r="F4525" s="2">
        <v>1366</v>
      </c>
      <c r="G4525" s="2">
        <v>100</v>
      </c>
      <c r="H4525" s="2">
        <v>259</v>
      </c>
      <c r="I4525" s="2">
        <v>74</v>
      </c>
      <c r="J4525" s="2">
        <v>850</v>
      </c>
      <c r="K4525" s="2">
        <v>1</v>
      </c>
      <c r="L4525" s="2">
        <v>259</v>
      </c>
    </row>
    <row r="4526" spans="1:12" x14ac:dyDescent="0.25">
      <c r="A4526" s="4" t="str">
        <f>HYPERLINK("http://www.rosaceae.org/Prunus/Prunus_persica/p.persica_gdr_reftransV1_0030962","p.persica_gdr_reftransV1_0030962")</f>
        <v>p.persica_gdr_reftransV1_0030962</v>
      </c>
      <c r="B4526" s="2">
        <v>1245</v>
      </c>
      <c r="C4526" s="4" t="str">
        <f>HYPERLINK("http://www.uniprot.org/uniprot/M5VTP7","M5VTP7")</f>
        <v>M5VTP7</v>
      </c>
      <c r="D4526" s="2" t="s">
        <v>4217</v>
      </c>
      <c r="E4526" s="3">
        <v>1.26E-141</v>
      </c>
      <c r="F4526" s="2">
        <v>1068</v>
      </c>
      <c r="G4526" s="2">
        <v>100</v>
      </c>
      <c r="H4526" s="2">
        <v>221</v>
      </c>
      <c r="I4526" s="2">
        <v>338</v>
      </c>
      <c r="J4526" s="2">
        <v>1000</v>
      </c>
      <c r="K4526" s="2">
        <v>20</v>
      </c>
      <c r="L4526" s="2">
        <v>240</v>
      </c>
    </row>
    <row r="4527" spans="1:12" x14ac:dyDescent="0.25">
      <c r="A4527" s="4" t="str">
        <f>HYPERLINK("http://www.rosaceae.org/Prunus/Prunus_persica/p.persica_gdr_reftransV1_0033762","p.persica_gdr_reftransV1_0033762")</f>
        <v>p.persica_gdr_reftransV1_0033762</v>
      </c>
      <c r="B4527" s="2">
        <v>1323</v>
      </c>
      <c r="C4527" s="4" t="str">
        <f>HYPERLINK("http://www.uniprot.org/uniprot/M5WDZ3","M5WDZ3")</f>
        <v>M5WDZ3</v>
      </c>
      <c r="D4527" s="2" t="s">
        <v>4218</v>
      </c>
      <c r="E4527" s="3">
        <v>0</v>
      </c>
      <c r="F4527" s="2">
        <v>1670</v>
      </c>
      <c r="G4527" s="2">
        <v>96</v>
      </c>
      <c r="H4527" s="2">
        <v>392</v>
      </c>
      <c r="I4527" s="2">
        <v>2</v>
      </c>
      <c r="J4527" s="2">
        <v>1135</v>
      </c>
      <c r="K4527" s="2">
        <v>2</v>
      </c>
      <c r="L4527" s="2">
        <v>393</v>
      </c>
    </row>
    <row r="4528" spans="1:12" x14ac:dyDescent="0.25">
      <c r="A4528" s="4" t="str">
        <f>HYPERLINK("http://www.rosaceae.org/Prunus/Prunus_persica/p.persica_gdr_reftransV1_0034112","p.persica_gdr_reftransV1_0034112")</f>
        <v>p.persica_gdr_reftransV1_0034112</v>
      </c>
      <c r="B4528" s="2">
        <v>2462</v>
      </c>
      <c r="C4528" s="4" t="str">
        <f>HYPERLINK("http://www.uniprot.org/uniprot/M5WSK2","M5WSK2")</f>
        <v>M5WSK2</v>
      </c>
      <c r="D4528" s="2" t="s">
        <v>4219</v>
      </c>
      <c r="E4528" s="3">
        <v>0</v>
      </c>
      <c r="F4528" s="2">
        <v>3090</v>
      </c>
      <c r="G4528" s="2">
        <v>99</v>
      </c>
      <c r="H4528" s="2">
        <v>690</v>
      </c>
      <c r="I4528" s="2">
        <v>273</v>
      </c>
      <c r="J4528" s="2">
        <v>2342</v>
      </c>
      <c r="K4528" s="2">
        <v>1</v>
      </c>
      <c r="L4528" s="2">
        <v>690</v>
      </c>
    </row>
    <row r="4529" spans="1:12" x14ac:dyDescent="0.25">
      <c r="A4529" s="4" t="str">
        <f>HYPERLINK("http://www.rosaceae.org/Prunus/Prunus_persica/p.persica_gdr_reftransV1_0035862","p.persica_gdr_reftransV1_0035862")</f>
        <v>p.persica_gdr_reftransV1_0035862</v>
      </c>
      <c r="B4529" s="2">
        <v>575</v>
      </c>
      <c r="C4529" s="4" t="str">
        <f>HYPERLINK("http://www.uniprot.org/uniprot/M5VKM3","M5VKM3")</f>
        <v>M5VKM3</v>
      </c>
      <c r="D4529" s="2" t="s">
        <v>4220</v>
      </c>
      <c r="E4529" s="3">
        <v>6.7800000000000004E-78</v>
      </c>
      <c r="F4529" s="2">
        <v>621</v>
      </c>
      <c r="G4529" s="2">
        <v>100</v>
      </c>
      <c r="H4529" s="2">
        <v>120</v>
      </c>
      <c r="I4529" s="2">
        <v>59</v>
      </c>
      <c r="J4529" s="2">
        <v>418</v>
      </c>
      <c r="K4529" s="2">
        <v>1</v>
      </c>
      <c r="L4529" s="2">
        <v>120</v>
      </c>
    </row>
    <row r="4530" spans="1:12" x14ac:dyDescent="0.25">
      <c r="A4530" s="4" t="str">
        <f>HYPERLINK("http://www.rosaceae.org/Prunus/Prunus_persica/p.persica_gdr_reftransV1_0036912","p.persica_gdr_reftransV1_0036912")</f>
        <v>p.persica_gdr_reftransV1_0036912</v>
      </c>
      <c r="B4530" s="2">
        <v>3397</v>
      </c>
      <c r="C4530" s="4" t="str">
        <f>HYPERLINK("http://www.uniprot.org/uniprot/M5WK72","M5WK72")</f>
        <v>M5WK72</v>
      </c>
      <c r="D4530" s="2" t="s">
        <v>4221</v>
      </c>
      <c r="E4530" s="3">
        <v>0</v>
      </c>
      <c r="F4530" s="2">
        <v>2134</v>
      </c>
      <c r="G4530" s="2">
        <v>88</v>
      </c>
      <c r="H4530" s="2">
        <v>509</v>
      </c>
      <c r="I4530" s="2">
        <v>1896</v>
      </c>
      <c r="J4530" s="2">
        <v>3299</v>
      </c>
      <c r="K4530" s="2">
        <v>1</v>
      </c>
      <c r="L4530" s="2">
        <v>509</v>
      </c>
    </row>
    <row r="4531" spans="1:12" x14ac:dyDescent="0.25">
      <c r="A4531" s="4" t="str">
        <f>HYPERLINK("http://www.rosaceae.org/Prunus/Prunus_persica/p.persica_gdr_reftransV1_0038312","p.persica_gdr_reftransV1_0038312")</f>
        <v>p.persica_gdr_reftransV1_0038312</v>
      </c>
      <c r="B4531" s="2">
        <v>1659</v>
      </c>
      <c r="C4531" s="4" t="str">
        <f>HYPERLINK("http://www.uniprot.org/uniprot/M5VQE3","M5VQE3")</f>
        <v>M5VQE3</v>
      </c>
      <c r="D4531" s="2" t="s">
        <v>4222</v>
      </c>
      <c r="E4531" s="3">
        <v>0</v>
      </c>
      <c r="F4531" s="2">
        <v>1503</v>
      </c>
      <c r="G4531" s="2">
        <v>87</v>
      </c>
      <c r="H4531" s="2">
        <v>379</v>
      </c>
      <c r="I4531" s="2">
        <v>104</v>
      </c>
      <c r="J4531" s="2">
        <v>1240</v>
      </c>
      <c r="K4531" s="2">
        <v>1</v>
      </c>
      <c r="L4531" s="2">
        <v>341</v>
      </c>
    </row>
    <row r="4532" spans="1:12" x14ac:dyDescent="0.25">
      <c r="A4532" s="4" t="str">
        <f>HYPERLINK("http://www.rosaceae.org/Prunus/Prunus_persica/p.persica_gdr_reftransV1_0038662","p.persica_gdr_reftransV1_0038662")</f>
        <v>p.persica_gdr_reftransV1_0038662</v>
      </c>
      <c r="B4532" s="2">
        <v>1998</v>
      </c>
      <c r="C4532" s="4" t="str">
        <f>HYPERLINK("http://www.uniprot.org/uniprot/M5W6F2","M5W6F2")</f>
        <v>M5W6F2</v>
      </c>
      <c r="D4532" s="2" t="s">
        <v>4223</v>
      </c>
      <c r="E4532" s="3">
        <v>0</v>
      </c>
      <c r="F4532" s="2">
        <v>2353</v>
      </c>
      <c r="G4532" s="2">
        <v>100</v>
      </c>
      <c r="H4532" s="2">
        <v>460</v>
      </c>
      <c r="I4532" s="2">
        <v>242</v>
      </c>
      <c r="J4532" s="2">
        <v>1621</v>
      </c>
      <c r="K4532" s="2">
        <v>281</v>
      </c>
      <c r="L4532" s="2">
        <v>740</v>
      </c>
    </row>
    <row r="4533" spans="1:12" x14ac:dyDescent="0.25">
      <c r="A4533" s="4" t="str">
        <f>HYPERLINK("http://www.rosaceae.org/Prunus/Prunus_persica/p.persica_gdr_reftransV1_0039012","p.persica_gdr_reftransV1_0039012")</f>
        <v>p.persica_gdr_reftransV1_0039012</v>
      </c>
      <c r="B4533" s="2">
        <v>1392</v>
      </c>
      <c r="C4533" s="4" t="str">
        <f>HYPERLINK("http://www.uniprot.org/uniprot/M5XD21","M5XD21")</f>
        <v>M5XD21</v>
      </c>
      <c r="D4533" s="2" t="s">
        <v>4224</v>
      </c>
      <c r="E4533" s="3">
        <v>6.11E-118</v>
      </c>
      <c r="F4533" s="2">
        <v>921</v>
      </c>
      <c r="G4533" s="2">
        <v>82</v>
      </c>
      <c r="H4533" s="2">
        <v>229</v>
      </c>
      <c r="I4533" s="2">
        <v>705</v>
      </c>
      <c r="J4533" s="2">
        <v>1382</v>
      </c>
      <c r="K4533" s="2">
        <v>1</v>
      </c>
      <c r="L4533" s="2">
        <v>210</v>
      </c>
    </row>
    <row r="4534" spans="1:12" x14ac:dyDescent="0.25">
      <c r="A4534" s="4" t="str">
        <f>HYPERLINK("http://www.rosaceae.org/Prunus/Prunus_persica/p.persica_gdr_reftransV1_0042162","p.persica_gdr_reftransV1_0042162")</f>
        <v>p.persica_gdr_reftransV1_0042162</v>
      </c>
      <c r="B4534" s="2">
        <v>1864</v>
      </c>
      <c r="C4534" s="4" t="str">
        <f>HYPERLINK("http://www.uniprot.org/uniprot/M5XRL1","M5XRL1")</f>
        <v>M5XRL1</v>
      </c>
      <c r="D4534" s="2" t="s">
        <v>4225</v>
      </c>
      <c r="E4534" s="3">
        <v>0</v>
      </c>
      <c r="F4534" s="2">
        <v>1454</v>
      </c>
      <c r="G4534" s="2">
        <v>100</v>
      </c>
      <c r="H4534" s="2">
        <v>274</v>
      </c>
      <c r="I4534" s="2">
        <v>303</v>
      </c>
      <c r="J4534" s="2">
        <v>1124</v>
      </c>
      <c r="K4534" s="2">
        <v>38</v>
      </c>
      <c r="L4534" s="2">
        <v>311</v>
      </c>
    </row>
    <row r="4535" spans="1:12" x14ac:dyDescent="0.25">
      <c r="A4535" s="4" t="str">
        <f>HYPERLINK("http://www.rosaceae.org/Prunus/Prunus_persica/p.persica_gdr_reftransV1_0043212","p.persica_gdr_reftransV1_0043212")</f>
        <v>p.persica_gdr_reftransV1_0043212</v>
      </c>
      <c r="B4535" s="2">
        <v>1596</v>
      </c>
      <c r="C4535" s="4" t="str">
        <f>HYPERLINK("http://www.uniprot.org/uniprot/M5WAC4","M5WAC4")</f>
        <v>M5WAC4</v>
      </c>
      <c r="D4535" s="2" t="s">
        <v>854</v>
      </c>
      <c r="E4535" s="3">
        <v>0</v>
      </c>
      <c r="F4535" s="2">
        <v>2589</v>
      </c>
      <c r="G4535" s="2">
        <v>90</v>
      </c>
      <c r="H4535" s="2">
        <v>532</v>
      </c>
      <c r="I4535" s="2">
        <v>1</v>
      </c>
      <c r="J4535" s="2">
        <v>1596</v>
      </c>
      <c r="K4535" s="2">
        <v>98</v>
      </c>
      <c r="L4535" s="2">
        <v>578</v>
      </c>
    </row>
    <row r="4536" spans="1:12" x14ac:dyDescent="0.25">
      <c r="A4536" s="4" t="str">
        <f>HYPERLINK("http://www.rosaceae.org/Prunus/Prunus_persica/p.persica_gdr_reftransV1_0043562","p.persica_gdr_reftransV1_0043562")</f>
        <v>p.persica_gdr_reftransV1_0043562</v>
      </c>
      <c r="B4536" s="2">
        <v>1112</v>
      </c>
      <c r="C4536" s="4" t="str">
        <f>HYPERLINK("http://www.uniprot.org/uniprot/M5WT57","M5WT57")</f>
        <v>M5WT57</v>
      </c>
      <c r="D4536" s="2" t="s">
        <v>4226</v>
      </c>
      <c r="E4536" s="3">
        <v>1.7599999999999999E-150</v>
      </c>
      <c r="F4536" s="2">
        <v>1135</v>
      </c>
      <c r="G4536" s="2">
        <v>97</v>
      </c>
      <c r="H4536" s="2">
        <v>279</v>
      </c>
      <c r="I4536" s="2">
        <v>66</v>
      </c>
      <c r="J4536" s="2">
        <v>902</v>
      </c>
      <c r="K4536" s="2">
        <v>98</v>
      </c>
      <c r="L4536" s="2">
        <v>367</v>
      </c>
    </row>
    <row r="4537" spans="1:12" x14ac:dyDescent="0.25">
      <c r="A4537" s="4" t="str">
        <f>HYPERLINK("http://www.rosaceae.org/Prunus/Prunus_persica/p.persica_gdr_reftransV1_0043912","p.persica_gdr_reftransV1_0043912")</f>
        <v>p.persica_gdr_reftransV1_0043912</v>
      </c>
      <c r="B4537" s="2">
        <v>623</v>
      </c>
      <c r="C4537" s="4" t="str">
        <f>HYPERLINK("http://www.uniprot.org/uniprot/M5WHG6","M5WHG6")</f>
        <v>M5WHG6</v>
      </c>
      <c r="D4537" s="2" t="s">
        <v>4227</v>
      </c>
      <c r="E4537" s="3">
        <v>4.8000000000000001E-63</v>
      </c>
      <c r="F4537" s="2">
        <v>515</v>
      </c>
      <c r="G4537" s="2">
        <v>100</v>
      </c>
      <c r="H4537" s="2">
        <v>113</v>
      </c>
      <c r="I4537" s="2">
        <v>124</v>
      </c>
      <c r="J4537" s="2">
        <v>462</v>
      </c>
      <c r="K4537" s="2">
        <v>1</v>
      </c>
      <c r="L4537" s="2">
        <v>113</v>
      </c>
    </row>
    <row r="4538" spans="1:12" x14ac:dyDescent="0.25">
      <c r="A4538" s="4" t="str">
        <f>HYPERLINK("http://www.rosaceae.org/Prunus/Prunus_persica/p.persica_gdr_reftransV1_0044262","p.persica_gdr_reftransV1_0044262")</f>
        <v>p.persica_gdr_reftransV1_0044262</v>
      </c>
      <c r="B4538" s="2">
        <v>1487</v>
      </c>
      <c r="C4538" s="4" t="str">
        <f>HYPERLINK("http://www.uniprot.org/uniprot/M5WWS9","M5WWS9")</f>
        <v>M5WWS9</v>
      </c>
      <c r="D4538" s="2" t="s">
        <v>4228</v>
      </c>
      <c r="E4538" s="3">
        <v>0</v>
      </c>
      <c r="F4538" s="2">
        <v>1636</v>
      </c>
      <c r="G4538" s="2">
        <v>100</v>
      </c>
      <c r="H4538" s="2">
        <v>324</v>
      </c>
      <c r="I4538" s="2">
        <v>426</v>
      </c>
      <c r="J4538" s="2">
        <v>1397</v>
      </c>
      <c r="K4538" s="2">
        <v>1</v>
      </c>
      <c r="L4538" s="2">
        <v>324</v>
      </c>
    </row>
    <row r="4539" spans="1:12" x14ac:dyDescent="0.25">
      <c r="A4539" s="4" t="str">
        <f>HYPERLINK("http://www.rosaceae.org/Prunus/Prunus_persica/p.persica_gdr_reftransV1_0044612","p.persica_gdr_reftransV1_0044612")</f>
        <v>p.persica_gdr_reftransV1_0044612</v>
      </c>
      <c r="B4539" s="2">
        <v>522</v>
      </c>
      <c r="C4539" s="4" t="str">
        <f>HYPERLINK("http://www.uniprot.org/uniprot/M5X211","M5X211")</f>
        <v>M5X211</v>
      </c>
      <c r="D4539" s="2" t="s">
        <v>4229</v>
      </c>
      <c r="E4539" s="3">
        <v>1.95E-106</v>
      </c>
      <c r="F4539" s="2">
        <v>806</v>
      </c>
      <c r="G4539" s="2">
        <v>100</v>
      </c>
      <c r="H4539" s="2">
        <v>152</v>
      </c>
      <c r="I4539" s="2">
        <v>1</v>
      </c>
      <c r="J4539" s="2">
        <v>456</v>
      </c>
      <c r="K4539" s="2">
        <v>49</v>
      </c>
      <c r="L4539" s="2">
        <v>200</v>
      </c>
    </row>
    <row r="4540" spans="1:12" x14ac:dyDescent="0.25">
      <c r="A4540" s="4" t="str">
        <f>HYPERLINK("http://www.rosaceae.org/Prunus/Prunus_persica/p.persica_gdr_reftransV1_0044962","p.persica_gdr_reftransV1_0044962")</f>
        <v>p.persica_gdr_reftransV1_0044962</v>
      </c>
      <c r="B4540" s="2">
        <v>927</v>
      </c>
      <c r="C4540" s="4" t="str">
        <f>HYPERLINK("http://www.uniprot.org/uniprot/M5W1R5","M5W1R5")</f>
        <v>M5W1R5</v>
      </c>
      <c r="D4540" s="2" t="s">
        <v>4230</v>
      </c>
      <c r="E4540" s="3">
        <v>1.8199999999999999E-75</v>
      </c>
      <c r="F4540" s="2">
        <v>610</v>
      </c>
      <c r="G4540" s="2">
        <v>100</v>
      </c>
      <c r="H4540" s="2">
        <v>141</v>
      </c>
      <c r="I4540" s="2">
        <v>119</v>
      </c>
      <c r="J4540" s="2">
        <v>541</v>
      </c>
      <c r="K4540" s="2">
        <v>1</v>
      </c>
      <c r="L4540" s="2">
        <v>141</v>
      </c>
    </row>
    <row r="4541" spans="1:12" x14ac:dyDescent="0.25">
      <c r="A4541" s="4" t="str">
        <f>HYPERLINK("http://www.rosaceae.org/Prunus/Prunus_persica/p.persica_gdr_reftransV1_0045312","p.persica_gdr_reftransV1_0045312")</f>
        <v>p.persica_gdr_reftransV1_0045312</v>
      </c>
      <c r="B4541" s="2">
        <v>1878</v>
      </c>
      <c r="C4541" s="4" t="str">
        <f>HYPERLINK("http://www.uniprot.org/uniprot/M5VQ36","M5VQ36")</f>
        <v>M5VQ36</v>
      </c>
      <c r="D4541" s="2" t="s">
        <v>1564</v>
      </c>
      <c r="E4541" s="3">
        <v>0</v>
      </c>
      <c r="F4541" s="2">
        <v>2140</v>
      </c>
      <c r="G4541" s="2">
        <v>100</v>
      </c>
      <c r="H4541" s="2">
        <v>405</v>
      </c>
      <c r="I4541" s="2">
        <v>560</v>
      </c>
      <c r="J4541" s="2">
        <v>1774</v>
      </c>
      <c r="K4541" s="2">
        <v>1</v>
      </c>
      <c r="L4541" s="2">
        <v>405</v>
      </c>
    </row>
    <row r="4542" spans="1:12" x14ac:dyDescent="0.25">
      <c r="A4542" s="4" t="str">
        <f>HYPERLINK("http://www.rosaceae.org/Prunus/Prunus_persica/p.persica_gdr_reftransV1_0045662","p.persica_gdr_reftransV1_0045662")</f>
        <v>p.persica_gdr_reftransV1_0045662</v>
      </c>
      <c r="B4542" s="2">
        <v>811</v>
      </c>
      <c r="C4542" s="4" t="str">
        <f>HYPERLINK("http://www.uniprot.org/uniprot/M5X7K2","M5X7K2")</f>
        <v>M5X7K2</v>
      </c>
      <c r="D4542" s="2" t="s">
        <v>4231</v>
      </c>
      <c r="E4542" s="3">
        <v>1.6099999999999999E-103</v>
      </c>
      <c r="F4542" s="2">
        <v>807</v>
      </c>
      <c r="G4542" s="2">
        <v>100</v>
      </c>
      <c r="H4542" s="2">
        <v>176</v>
      </c>
      <c r="I4542" s="2">
        <v>284</v>
      </c>
      <c r="J4542" s="2">
        <v>811</v>
      </c>
      <c r="K4542" s="2">
        <v>131</v>
      </c>
      <c r="L4542" s="2">
        <v>306</v>
      </c>
    </row>
    <row r="4543" spans="1:12" x14ac:dyDescent="0.25">
      <c r="A4543" s="4" t="str">
        <f>HYPERLINK("http://www.rosaceae.org/Prunus/Prunus_persica/p.persica_gdr_reftransV1_0046012","p.persica_gdr_reftransV1_0046012")</f>
        <v>p.persica_gdr_reftransV1_0046012</v>
      </c>
      <c r="B4543" s="2">
        <v>1877</v>
      </c>
      <c r="C4543" s="4" t="str">
        <f>HYPERLINK("http://www.uniprot.org/uniprot/M5X8Q8","M5X8Q8")</f>
        <v>M5X8Q8</v>
      </c>
      <c r="D4543" s="2" t="s">
        <v>4232</v>
      </c>
      <c r="E4543" s="3">
        <v>0</v>
      </c>
      <c r="F4543" s="2">
        <v>2787</v>
      </c>
      <c r="G4543" s="2">
        <v>100</v>
      </c>
      <c r="H4543" s="2">
        <v>551</v>
      </c>
      <c r="I4543" s="2">
        <v>97</v>
      </c>
      <c r="J4543" s="2">
        <v>1749</v>
      </c>
      <c r="K4543" s="2">
        <v>1</v>
      </c>
      <c r="L4543" s="2">
        <v>549</v>
      </c>
    </row>
    <row r="4544" spans="1:12" x14ac:dyDescent="0.25">
      <c r="A4544" s="4" t="str">
        <f>HYPERLINK("http://www.rosaceae.org/Prunus/Prunus_persica/p.persica_gdr_reftransV1_0046362","p.persica_gdr_reftransV1_0046362")</f>
        <v>p.persica_gdr_reftransV1_0046362</v>
      </c>
      <c r="B4544" s="2">
        <v>2315</v>
      </c>
      <c r="C4544" s="4" t="str">
        <f>HYPERLINK("http://www.uniprot.org/uniprot/M5WFI0","M5WFI0")</f>
        <v>M5WFI0</v>
      </c>
      <c r="D4544" s="2" t="s">
        <v>1103</v>
      </c>
      <c r="E4544" s="3">
        <v>5.7499999999999999E-179</v>
      </c>
      <c r="F4544" s="2">
        <v>1366</v>
      </c>
      <c r="G4544" s="2">
        <v>99</v>
      </c>
      <c r="H4544" s="2">
        <v>254</v>
      </c>
      <c r="I4544" s="2">
        <v>1023</v>
      </c>
      <c r="J4544" s="2">
        <v>1784</v>
      </c>
      <c r="K4544" s="2">
        <v>14</v>
      </c>
      <c r="L4544" s="2">
        <v>267</v>
      </c>
    </row>
    <row r="4545" spans="1:12" x14ac:dyDescent="0.25">
      <c r="A4545" s="4" t="str">
        <f>HYPERLINK("http://www.rosaceae.org/Prunus/Prunus_persica/p.persica_gdr_reftransV1_0046712","p.persica_gdr_reftransV1_0046712")</f>
        <v>p.persica_gdr_reftransV1_0046712</v>
      </c>
      <c r="B4545" s="2">
        <v>350</v>
      </c>
      <c r="C4545" s="4" t="str">
        <f>HYPERLINK("http://www.uniprot.org/uniprot/M5Y2X9","M5Y2X9")</f>
        <v>M5Y2X9</v>
      </c>
      <c r="D4545" s="2" t="s">
        <v>4233</v>
      </c>
      <c r="E4545" s="3">
        <v>6.0900000000000003E-74</v>
      </c>
      <c r="F4545" s="2">
        <v>606</v>
      </c>
      <c r="G4545" s="2">
        <v>100</v>
      </c>
      <c r="H4545" s="2">
        <v>116</v>
      </c>
      <c r="I4545" s="2">
        <v>2</v>
      </c>
      <c r="J4545" s="2">
        <v>349</v>
      </c>
      <c r="K4545" s="2">
        <v>73</v>
      </c>
      <c r="L4545" s="2">
        <v>188</v>
      </c>
    </row>
    <row r="4546" spans="1:12" x14ac:dyDescent="0.25">
      <c r="A4546" s="4" t="str">
        <f>HYPERLINK("http://www.rosaceae.org/Prunus/Prunus_persica/p.persica_gdr_reftransV1_0047062","p.persica_gdr_reftransV1_0047062")</f>
        <v>p.persica_gdr_reftransV1_0047062</v>
      </c>
      <c r="B4546" s="2">
        <v>1381</v>
      </c>
      <c r="C4546" s="4" t="str">
        <f>HYPERLINK("http://www.uniprot.org/uniprot/M5XAM3","M5XAM3")</f>
        <v>M5XAM3</v>
      </c>
      <c r="D4546" s="2" t="s">
        <v>4234</v>
      </c>
      <c r="E4546" s="3">
        <v>5.5399999999999999E-173</v>
      </c>
      <c r="F4546" s="2">
        <v>1285</v>
      </c>
      <c r="G4546" s="2">
        <v>100</v>
      </c>
      <c r="H4546" s="2">
        <v>290</v>
      </c>
      <c r="I4546" s="2">
        <v>133</v>
      </c>
      <c r="J4546" s="2">
        <v>1002</v>
      </c>
      <c r="K4546" s="2">
        <v>1</v>
      </c>
      <c r="L4546" s="2">
        <v>290</v>
      </c>
    </row>
    <row r="4547" spans="1:12" x14ac:dyDescent="0.25">
      <c r="A4547" s="4" t="str">
        <f>HYPERLINK("http://www.rosaceae.org/Prunus/Prunus_persica/p.persica_gdr_reftransV1_0047762","p.persica_gdr_reftransV1_0047762")</f>
        <v>p.persica_gdr_reftransV1_0047762</v>
      </c>
      <c r="B4547" s="2">
        <v>5157</v>
      </c>
      <c r="C4547" s="4" t="str">
        <f>HYPERLINK("http://www.uniprot.org/uniprot/M5VIB8","M5VIB8")</f>
        <v>M5VIB8</v>
      </c>
      <c r="D4547" s="2" t="s">
        <v>3991</v>
      </c>
      <c r="E4547" s="3">
        <v>0</v>
      </c>
      <c r="F4547" s="2">
        <v>7092</v>
      </c>
      <c r="G4547" s="2">
        <v>97</v>
      </c>
      <c r="H4547" s="2">
        <v>1556</v>
      </c>
      <c r="I4547" s="2">
        <v>64</v>
      </c>
      <c r="J4547" s="2">
        <v>4725</v>
      </c>
      <c r="K4547" s="2">
        <v>1</v>
      </c>
      <c r="L4547" s="2">
        <v>1517</v>
      </c>
    </row>
    <row r="4548" spans="1:12" x14ac:dyDescent="0.25">
      <c r="A4548" s="4" t="str">
        <f>HYPERLINK("http://www.rosaceae.org/Prunus/Prunus_persica/p.persica_gdr_reftransV1_0048112","p.persica_gdr_reftransV1_0048112")</f>
        <v>p.persica_gdr_reftransV1_0048112</v>
      </c>
      <c r="B4548" s="2">
        <v>3411</v>
      </c>
      <c r="C4548" s="4" t="str">
        <f>HYPERLINK("http://www.uniprot.org/uniprot/M5WXP3","M5WXP3")</f>
        <v>M5WXP3</v>
      </c>
      <c r="D4548" s="2" t="s">
        <v>3333</v>
      </c>
      <c r="E4548" s="3">
        <v>0</v>
      </c>
      <c r="F4548" s="2">
        <v>3982</v>
      </c>
      <c r="G4548" s="2">
        <v>96</v>
      </c>
      <c r="H4548" s="2">
        <v>961</v>
      </c>
      <c r="I4548" s="2">
        <v>332</v>
      </c>
      <c r="J4548" s="2">
        <v>3214</v>
      </c>
      <c r="K4548" s="2">
        <v>1</v>
      </c>
      <c r="L4548" s="2">
        <v>920</v>
      </c>
    </row>
    <row r="4549" spans="1:12" x14ac:dyDescent="0.25">
      <c r="A4549" s="4" t="str">
        <f>HYPERLINK("http://www.rosaceae.org/Prunus/Prunus_persica/p.persica_gdr_reftransV1_0048462","p.persica_gdr_reftransV1_0048462")</f>
        <v>p.persica_gdr_reftransV1_0048462</v>
      </c>
      <c r="B4549" s="2">
        <v>1851</v>
      </c>
      <c r="C4549" s="4" t="str">
        <f>HYPERLINK("http://www.uniprot.org/uniprot/M5VYY1","M5VYY1")</f>
        <v>M5VYY1</v>
      </c>
      <c r="D4549" s="2" t="s">
        <v>4235</v>
      </c>
      <c r="E4549" s="3">
        <v>0</v>
      </c>
      <c r="F4549" s="2">
        <v>2616</v>
      </c>
      <c r="G4549" s="2">
        <v>100</v>
      </c>
      <c r="H4549" s="2">
        <v>490</v>
      </c>
      <c r="I4549" s="2">
        <v>223</v>
      </c>
      <c r="J4549" s="2">
        <v>1692</v>
      </c>
      <c r="K4549" s="2">
        <v>1</v>
      </c>
      <c r="L4549" s="2">
        <v>490</v>
      </c>
    </row>
    <row r="4550" spans="1:12" x14ac:dyDescent="0.25">
      <c r="A4550" s="4" t="str">
        <f>HYPERLINK("http://www.rosaceae.org/Prunus/Prunus_persica/p.persica_gdr_reftransV1_0048812","p.persica_gdr_reftransV1_0048812")</f>
        <v>p.persica_gdr_reftransV1_0048812</v>
      </c>
      <c r="B4550" s="2">
        <v>7089</v>
      </c>
      <c r="C4550" s="4" t="str">
        <f>HYPERLINK("http://www.uniprot.org/uniprot/M5WH88","M5WH88")</f>
        <v>M5WH88</v>
      </c>
      <c r="D4550" s="2" t="s">
        <v>4158</v>
      </c>
      <c r="E4550" s="3">
        <v>0</v>
      </c>
      <c r="F4550" s="2">
        <v>9490</v>
      </c>
      <c r="G4550" s="2">
        <v>100</v>
      </c>
      <c r="H4550" s="2">
        <v>1981</v>
      </c>
      <c r="I4550" s="2">
        <v>572</v>
      </c>
      <c r="J4550" s="2">
        <v>6514</v>
      </c>
      <c r="K4550" s="2">
        <v>1</v>
      </c>
      <c r="L4550" s="2">
        <v>1981</v>
      </c>
    </row>
    <row r="4551" spans="1:12" x14ac:dyDescent="0.25">
      <c r="A4551" s="4" t="str">
        <f>HYPERLINK("http://www.rosaceae.org/Prunus/Prunus_persica/p.persica_gdr_reftransV1_0049162","p.persica_gdr_reftransV1_0049162")</f>
        <v>p.persica_gdr_reftransV1_0049162</v>
      </c>
      <c r="B4551" s="2">
        <v>1509</v>
      </c>
      <c r="C4551" s="4" t="str">
        <f>HYPERLINK("http://www.uniprot.org/uniprot/M5WPT3","M5WPT3")</f>
        <v>M5WPT3</v>
      </c>
      <c r="D4551" s="2" t="s">
        <v>1031</v>
      </c>
      <c r="E4551" s="3">
        <v>0</v>
      </c>
      <c r="F4551" s="2">
        <v>1576</v>
      </c>
      <c r="G4551" s="2">
        <v>87</v>
      </c>
      <c r="H4551" s="2">
        <v>347</v>
      </c>
      <c r="I4551" s="2">
        <v>274</v>
      </c>
      <c r="J4551" s="2">
        <v>1314</v>
      </c>
      <c r="K4551" s="2">
        <v>1</v>
      </c>
      <c r="L4551" s="2">
        <v>345</v>
      </c>
    </row>
    <row r="4552" spans="1:12" x14ac:dyDescent="0.25">
      <c r="A4552" s="4" t="str">
        <f>HYPERLINK("http://www.rosaceae.org/Prunus/Prunus_persica/p.persica_gdr_reftransV1_0000163","p.persica_gdr_reftransV1_0000163")</f>
        <v>p.persica_gdr_reftransV1_0000163</v>
      </c>
      <c r="B4552" s="2">
        <v>937</v>
      </c>
      <c r="C4552" s="4" t="str">
        <f>HYPERLINK("http://www.uniprot.org/uniprot/M5X7L8","M5X7L8")</f>
        <v>M5X7L8</v>
      </c>
      <c r="D4552" s="2" t="s">
        <v>4236</v>
      </c>
      <c r="E4552" s="3">
        <v>1.3700000000000001E-109</v>
      </c>
      <c r="F4552" s="2">
        <v>839</v>
      </c>
      <c r="G4552" s="2">
        <v>100</v>
      </c>
      <c r="H4552" s="2">
        <v>174</v>
      </c>
      <c r="I4552" s="2">
        <v>286</v>
      </c>
      <c r="J4552" s="2">
        <v>807</v>
      </c>
      <c r="K4552" s="2">
        <v>1</v>
      </c>
      <c r="L4552" s="2">
        <v>174</v>
      </c>
    </row>
    <row r="4553" spans="1:12" x14ac:dyDescent="0.25">
      <c r="A4553" s="4" t="str">
        <f>HYPERLINK("http://www.rosaceae.org/Prunus/Prunus_persica/p.persica_gdr_reftransV1_0000863","p.persica_gdr_reftransV1_0000863")</f>
        <v>p.persica_gdr_reftransV1_0000863</v>
      </c>
      <c r="B4553" s="2">
        <v>1126</v>
      </c>
      <c r="C4553" s="4" t="str">
        <f>HYPERLINK("http://www.uniprot.org/uniprot/V4T7V7","V4T7V7")</f>
        <v>V4T7V7</v>
      </c>
      <c r="D4553" s="2" t="s">
        <v>4237</v>
      </c>
      <c r="E4553" s="3">
        <v>0</v>
      </c>
      <c r="F4553" s="2">
        <v>1401</v>
      </c>
      <c r="G4553" s="2">
        <v>69</v>
      </c>
      <c r="H4553" s="2">
        <v>375</v>
      </c>
      <c r="I4553" s="2">
        <v>2</v>
      </c>
      <c r="J4553" s="2">
        <v>1126</v>
      </c>
      <c r="K4553" s="2">
        <v>163</v>
      </c>
      <c r="L4553" s="2">
        <v>532</v>
      </c>
    </row>
    <row r="4554" spans="1:12" x14ac:dyDescent="0.25">
      <c r="A4554" s="4" t="str">
        <f>HYPERLINK("http://www.rosaceae.org/Prunus/Prunus_persica/p.persica_gdr_reftransV1_0001563","p.persica_gdr_reftransV1_0001563")</f>
        <v>p.persica_gdr_reftransV1_0001563</v>
      </c>
      <c r="B4554" s="2">
        <v>960</v>
      </c>
      <c r="C4554" s="4" t="str">
        <f>HYPERLINK("http://www.uniprot.org/uniprot/M5WHT0","M5WHT0")</f>
        <v>M5WHT0</v>
      </c>
      <c r="D4554" s="2" t="s">
        <v>4238</v>
      </c>
      <c r="E4554" s="3">
        <v>2.32E-127</v>
      </c>
      <c r="F4554" s="2">
        <v>960</v>
      </c>
      <c r="G4554" s="2">
        <v>100</v>
      </c>
      <c r="H4554" s="2">
        <v>184</v>
      </c>
      <c r="I4554" s="2">
        <v>102</v>
      </c>
      <c r="J4554" s="2">
        <v>653</v>
      </c>
      <c r="K4554" s="2">
        <v>19</v>
      </c>
      <c r="L4554" s="2">
        <v>202</v>
      </c>
    </row>
    <row r="4555" spans="1:12" x14ac:dyDescent="0.25">
      <c r="A4555" s="4" t="str">
        <f>HYPERLINK("http://www.rosaceae.org/Prunus/Prunus_persica/p.persica_gdr_reftransV1_0002613","p.persica_gdr_reftransV1_0002613")</f>
        <v>p.persica_gdr_reftransV1_0002613</v>
      </c>
      <c r="B4555" s="2">
        <v>3671</v>
      </c>
      <c r="C4555" s="4" t="str">
        <f>HYPERLINK("http://www.uniprot.org/uniprot/M5XD16","M5XD16")</f>
        <v>M5XD16</v>
      </c>
      <c r="D4555" s="2" t="s">
        <v>4239</v>
      </c>
      <c r="E4555" s="3">
        <v>0</v>
      </c>
      <c r="F4555" s="2">
        <v>2154</v>
      </c>
      <c r="G4555" s="2">
        <v>100</v>
      </c>
      <c r="H4555" s="2">
        <v>481</v>
      </c>
      <c r="I4555" s="2">
        <v>1219</v>
      </c>
      <c r="J4555" s="2">
        <v>2661</v>
      </c>
      <c r="K4555" s="2">
        <v>1</v>
      </c>
      <c r="L4555" s="2">
        <v>481</v>
      </c>
    </row>
    <row r="4556" spans="1:12" x14ac:dyDescent="0.25">
      <c r="A4556" s="4" t="str">
        <f>HYPERLINK("http://www.rosaceae.org/Prunus/Prunus_persica/p.persica_gdr_reftransV1_0003313","p.persica_gdr_reftransV1_0003313")</f>
        <v>p.persica_gdr_reftransV1_0003313</v>
      </c>
      <c r="B4556" s="2">
        <v>329</v>
      </c>
      <c r="C4556" s="4" t="str">
        <f>HYPERLINK("http://www.uniprot.org/uniprot/M5WTS4","M5WTS4")</f>
        <v>M5WTS4</v>
      </c>
      <c r="D4556" s="2" t="s">
        <v>4240</v>
      </c>
      <c r="E4556" s="3">
        <v>2.9699999999999999E-68</v>
      </c>
      <c r="F4556" s="2">
        <v>585</v>
      </c>
      <c r="G4556" s="2">
        <v>100</v>
      </c>
      <c r="H4556" s="2">
        <v>109</v>
      </c>
      <c r="I4556" s="2">
        <v>2</v>
      </c>
      <c r="J4556" s="2">
        <v>328</v>
      </c>
      <c r="K4556" s="2">
        <v>12</v>
      </c>
      <c r="L4556" s="2">
        <v>120</v>
      </c>
    </row>
    <row r="4557" spans="1:12" x14ac:dyDescent="0.25">
      <c r="A4557" s="4" t="str">
        <f>HYPERLINK("http://www.rosaceae.org/Prunus/Prunus_persica/p.persica_gdr_reftransV1_0003663","p.persica_gdr_reftransV1_0003663")</f>
        <v>p.persica_gdr_reftransV1_0003663</v>
      </c>
      <c r="B4557" s="2">
        <v>2127</v>
      </c>
      <c r="C4557" s="4" t="str">
        <f>HYPERLINK("http://www.uniprot.org/uniprot/M5WHC0","M5WHC0")</f>
        <v>M5WHC0</v>
      </c>
      <c r="D4557" s="2" t="s">
        <v>4241</v>
      </c>
      <c r="E4557" s="3">
        <v>0</v>
      </c>
      <c r="F4557" s="2">
        <v>2308</v>
      </c>
      <c r="G4557" s="2">
        <v>96</v>
      </c>
      <c r="H4557" s="2">
        <v>496</v>
      </c>
      <c r="I4557" s="2">
        <v>238</v>
      </c>
      <c r="J4557" s="2">
        <v>1722</v>
      </c>
      <c r="K4557" s="2">
        <v>1</v>
      </c>
      <c r="L4557" s="2">
        <v>489</v>
      </c>
    </row>
    <row r="4558" spans="1:12" x14ac:dyDescent="0.25">
      <c r="A4558" s="4" t="str">
        <f>HYPERLINK("http://www.rosaceae.org/Prunus/Prunus_persica/p.persica_gdr_reftransV1_0004013","p.persica_gdr_reftransV1_0004013")</f>
        <v>p.persica_gdr_reftransV1_0004013</v>
      </c>
      <c r="B4558" s="2">
        <v>3289</v>
      </c>
      <c r="C4558" s="4" t="str">
        <f>HYPERLINK("http://www.uniprot.org/uniprot/M5X5J3","M5X5J3")</f>
        <v>M5X5J3</v>
      </c>
      <c r="D4558" s="2" t="s">
        <v>4242</v>
      </c>
      <c r="E4558" s="3">
        <v>0</v>
      </c>
      <c r="F4558" s="2">
        <v>3898</v>
      </c>
      <c r="G4558" s="2">
        <v>92</v>
      </c>
      <c r="H4558" s="2">
        <v>946</v>
      </c>
      <c r="I4558" s="2">
        <v>330</v>
      </c>
      <c r="J4558" s="2">
        <v>3077</v>
      </c>
      <c r="K4558" s="2">
        <v>1</v>
      </c>
      <c r="L4558" s="2">
        <v>901</v>
      </c>
    </row>
    <row r="4559" spans="1:12" x14ac:dyDescent="0.25">
      <c r="A4559" s="4" t="str">
        <f>HYPERLINK("http://www.rosaceae.org/Prunus/Prunus_persica/p.persica_gdr_reftransV1_0004363","p.persica_gdr_reftransV1_0004363")</f>
        <v>p.persica_gdr_reftransV1_0004363</v>
      </c>
      <c r="B4559" s="2">
        <v>3307</v>
      </c>
      <c r="C4559" s="4" t="str">
        <f>HYPERLINK("http://www.uniprot.org/uniprot/M5WM60","M5WM60")</f>
        <v>M5WM60</v>
      </c>
      <c r="D4559" s="2" t="s">
        <v>4243</v>
      </c>
      <c r="E4559" s="3">
        <v>0</v>
      </c>
      <c r="F4559" s="2">
        <v>4759</v>
      </c>
      <c r="G4559" s="2">
        <v>100</v>
      </c>
      <c r="H4559" s="2">
        <v>965</v>
      </c>
      <c r="I4559" s="2">
        <v>366</v>
      </c>
      <c r="J4559" s="2">
        <v>3260</v>
      </c>
      <c r="K4559" s="2">
        <v>1</v>
      </c>
      <c r="L4559" s="2">
        <v>965</v>
      </c>
    </row>
    <row r="4560" spans="1:12" x14ac:dyDescent="0.25">
      <c r="A4560" s="4" t="str">
        <f>HYPERLINK("http://www.rosaceae.org/Prunus/Prunus_persica/p.persica_gdr_reftransV1_0005413","p.persica_gdr_reftransV1_0005413")</f>
        <v>p.persica_gdr_reftransV1_0005413</v>
      </c>
      <c r="B4560" s="2">
        <v>505</v>
      </c>
      <c r="C4560" s="4" t="str">
        <f>HYPERLINK("http://www.uniprot.org/uniprot/M5WH81","M5WH81")</f>
        <v>M5WH81</v>
      </c>
      <c r="D4560" s="2" t="s">
        <v>3270</v>
      </c>
      <c r="E4560" s="3">
        <v>1.24E-112</v>
      </c>
      <c r="F4560" s="2">
        <v>887</v>
      </c>
      <c r="G4560" s="2">
        <v>100</v>
      </c>
      <c r="H4560" s="2">
        <v>168</v>
      </c>
      <c r="I4560" s="2">
        <v>2</v>
      </c>
      <c r="J4560" s="2">
        <v>505</v>
      </c>
      <c r="K4560" s="2">
        <v>476</v>
      </c>
      <c r="L4560" s="2">
        <v>643</v>
      </c>
    </row>
    <row r="4561" spans="1:12" x14ac:dyDescent="0.25">
      <c r="A4561" s="4" t="str">
        <f>HYPERLINK("http://www.rosaceae.org/Prunus/Prunus_persica/p.persica_gdr_reftransV1_0006463","p.persica_gdr_reftransV1_0006463")</f>
        <v>p.persica_gdr_reftransV1_0006463</v>
      </c>
      <c r="B4561" s="2">
        <v>776</v>
      </c>
      <c r="C4561" s="4" t="str">
        <f>HYPERLINK("http://www.uniprot.org/uniprot/M5VUB1","M5VUB1")</f>
        <v>M5VUB1</v>
      </c>
      <c r="D4561" s="2" t="s">
        <v>4244</v>
      </c>
      <c r="E4561" s="3">
        <v>6.07E-161</v>
      </c>
      <c r="F4561" s="2">
        <v>1234</v>
      </c>
      <c r="G4561" s="2">
        <v>100</v>
      </c>
      <c r="H4561" s="2">
        <v>230</v>
      </c>
      <c r="I4561" s="2">
        <v>2</v>
      </c>
      <c r="J4561" s="2">
        <v>691</v>
      </c>
      <c r="K4561" s="2">
        <v>593</v>
      </c>
      <c r="L4561" s="2">
        <v>822</v>
      </c>
    </row>
    <row r="4562" spans="1:12" x14ac:dyDescent="0.25">
      <c r="A4562" s="4" t="str">
        <f>HYPERLINK("http://www.rosaceae.org/Prunus/Prunus_persica/p.persica_gdr_reftransV1_0006813","p.persica_gdr_reftransV1_0006813")</f>
        <v>p.persica_gdr_reftransV1_0006813</v>
      </c>
      <c r="B4562" s="2">
        <v>4147</v>
      </c>
      <c r="C4562" s="4" t="str">
        <f>HYPERLINK("http://www.uniprot.org/uniprot/A0A087HB19","A0A087HB19")</f>
        <v>A0A087HB19</v>
      </c>
      <c r="D4562" s="2" t="s">
        <v>4245</v>
      </c>
      <c r="E4562" s="3">
        <v>6.6000000000000003E-70</v>
      </c>
      <c r="F4562" s="2">
        <v>630</v>
      </c>
      <c r="G4562" s="2">
        <v>37</v>
      </c>
      <c r="H4562" s="2">
        <v>396</v>
      </c>
      <c r="I4562" s="2">
        <v>2255</v>
      </c>
      <c r="J4562" s="2">
        <v>3397</v>
      </c>
      <c r="K4562" s="2">
        <v>630</v>
      </c>
      <c r="L4562" s="2">
        <v>1019</v>
      </c>
    </row>
    <row r="4563" spans="1:12" x14ac:dyDescent="0.25">
      <c r="A4563" s="4" t="str">
        <f>HYPERLINK("http://www.rosaceae.org/Prunus/Prunus_persica/p.persica_gdr_reftransV1_0007163","p.persica_gdr_reftransV1_0007163")</f>
        <v>p.persica_gdr_reftransV1_0007163</v>
      </c>
      <c r="B4563" s="2">
        <v>1502</v>
      </c>
      <c r="C4563" s="4" t="str">
        <f>HYPERLINK("http://www.uniprot.org/uniprot/M5WBH8","M5WBH8")</f>
        <v>M5WBH8</v>
      </c>
      <c r="D4563" s="2" t="s">
        <v>4246</v>
      </c>
      <c r="E4563" s="3">
        <v>0</v>
      </c>
      <c r="F4563" s="2">
        <v>1465</v>
      </c>
      <c r="G4563" s="2">
        <v>88</v>
      </c>
      <c r="H4563" s="2">
        <v>389</v>
      </c>
      <c r="I4563" s="2">
        <v>1</v>
      </c>
      <c r="J4563" s="2">
        <v>1167</v>
      </c>
      <c r="K4563" s="2">
        <v>14</v>
      </c>
      <c r="L4563" s="2">
        <v>358</v>
      </c>
    </row>
    <row r="4564" spans="1:12" x14ac:dyDescent="0.25">
      <c r="A4564" s="4" t="str">
        <f>HYPERLINK("http://www.rosaceae.org/Prunus/Prunus_persica/p.persica_gdr_reftransV1_0007513","p.persica_gdr_reftransV1_0007513")</f>
        <v>p.persica_gdr_reftransV1_0007513</v>
      </c>
      <c r="B4564" s="2">
        <v>1959</v>
      </c>
      <c r="C4564" s="4" t="str">
        <f>HYPERLINK("http://www.uniprot.org/uniprot/M5XBS8","M5XBS8")</f>
        <v>M5XBS8</v>
      </c>
      <c r="D4564" s="2" t="s">
        <v>4247</v>
      </c>
      <c r="E4564" s="3">
        <v>1.22E-120</v>
      </c>
      <c r="F4564" s="2">
        <v>947</v>
      </c>
      <c r="G4564" s="2">
        <v>100</v>
      </c>
      <c r="H4564" s="2">
        <v>203</v>
      </c>
      <c r="I4564" s="2">
        <v>1201</v>
      </c>
      <c r="J4564" s="2">
        <v>1809</v>
      </c>
      <c r="K4564" s="2">
        <v>1</v>
      </c>
      <c r="L4564" s="2">
        <v>203</v>
      </c>
    </row>
    <row r="4565" spans="1:12" x14ac:dyDescent="0.25">
      <c r="A4565" s="4" t="str">
        <f>HYPERLINK("http://www.rosaceae.org/Prunus/Prunus_persica/p.persica_gdr_reftransV1_0008563","p.persica_gdr_reftransV1_0008563")</f>
        <v>p.persica_gdr_reftransV1_0008563</v>
      </c>
      <c r="B4565" s="2">
        <v>1854</v>
      </c>
      <c r="C4565" s="4" t="str">
        <f>HYPERLINK("http://www.uniprot.org/uniprot/M5WUF1","M5WUF1")</f>
        <v>M5WUF1</v>
      </c>
      <c r="D4565" s="2" t="s">
        <v>4248</v>
      </c>
      <c r="E4565" s="3">
        <v>4.8299999999999999E-112</v>
      </c>
      <c r="F4565" s="2">
        <v>908</v>
      </c>
      <c r="G4565" s="2">
        <v>100</v>
      </c>
      <c r="H4565" s="2">
        <v>169</v>
      </c>
      <c r="I4565" s="2">
        <v>3</v>
      </c>
      <c r="J4565" s="2">
        <v>509</v>
      </c>
      <c r="K4565" s="2">
        <v>139</v>
      </c>
      <c r="L4565" s="2">
        <v>307</v>
      </c>
    </row>
    <row r="4566" spans="1:12" x14ac:dyDescent="0.25">
      <c r="A4566" s="4" t="str">
        <f>HYPERLINK("http://www.rosaceae.org/Prunus/Prunus_persica/p.persica_gdr_reftransV1_0010313","p.persica_gdr_reftransV1_0010313")</f>
        <v>p.persica_gdr_reftransV1_0010313</v>
      </c>
      <c r="B4566" s="2">
        <v>2084</v>
      </c>
      <c r="C4566" s="4" t="str">
        <f>HYPERLINK("http://www.uniprot.org/uniprot/M5XEY3","M5XEY3")</f>
        <v>M5XEY3</v>
      </c>
      <c r="D4566" s="2" t="s">
        <v>4249</v>
      </c>
      <c r="E4566" s="3">
        <v>0</v>
      </c>
      <c r="F4566" s="2">
        <v>1397</v>
      </c>
      <c r="G4566" s="2">
        <v>100</v>
      </c>
      <c r="H4566" s="2">
        <v>260</v>
      </c>
      <c r="I4566" s="2">
        <v>1016</v>
      </c>
      <c r="J4566" s="2">
        <v>1795</v>
      </c>
      <c r="K4566" s="2">
        <v>1</v>
      </c>
      <c r="L4566" s="2">
        <v>260</v>
      </c>
    </row>
    <row r="4567" spans="1:12" x14ac:dyDescent="0.25">
      <c r="A4567" s="4" t="str">
        <f>HYPERLINK("http://www.rosaceae.org/Prunus/Prunus_persica/p.persica_gdr_reftransV1_0011013","p.persica_gdr_reftransV1_0011013")</f>
        <v>p.persica_gdr_reftransV1_0011013</v>
      </c>
      <c r="B4567" s="2">
        <v>1729</v>
      </c>
      <c r="C4567" s="4" t="str">
        <f>HYPERLINK("http://www.uniprot.org/uniprot/A5ACV4","A5ACV4")</f>
        <v>A5ACV4</v>
      </c>
      <c r="D4567" s="2" t="s">
        <v>4250</v>
      </c>
      <c r="E4567" s="3">
        <v>2.4099999999999998E-153</v>
      </c>
      <c r="F4567" s="2">
        <v>1219</v>
      </c>
      <c r="G4567" s="2">
        <v>50</v>
      </c>
      <c r="H4567" s="2">
        <v>513</v>
      </c>
      <c r="I4567" s="2">
        <v>3</v>
      </c>
      <c r="J4567" s="2">
        <v>1496</v>
      </c>
      <c r="K4567" s="2">
        <v>114</v>
      </c>
      <c r="L4567" s="2">
        <v>562</v>
      </c>
    </row>
    <row r="4568" spans="1:12" x14ac:dyDescent="0.25">
      <c r="A4568" s="4" t="str">
        <f>HYPERLINK("http://www.rosaceae.org/Prunus/Prunus_persica/p.persica_gdr_reftransV1_0011363","p.persica_gdr_reftransV1_0011363")</f>
        <v>p.persica_gdr_reftransV1_0011363</v>
      </c>
      <c r="B4568" s="2">
        <v>1571</v>
      </c>
      <c r="C4568" s="4" t="str">
        <f>HYPERLINK("http://www.uniprot.org/uniprot/M5WV02","M5WV02")</f>
        <v>M5WV02</v>
      </c>
      <c r="D4568" s="2" t="s">
        <v>4251</v>
      </c>
      <c r="E4568" s="3">
        <v>2.4499999999999999E-50</v>
      </c>
      <c r="F4568" s="2">
        <v>488</v>
      </c>
      <c r="G4568" s="2">
        <v>99</v>
      </c>
      <c r="H4568" s="2">
        <v>109</v>
      </c>
      <c r="I4568" s="2">
        <v>816</v>
      </c>
      <c r="J4568" s="2">
        <v>1142</v>
      </c>
      <c r="K4568" s="2">
        <v>1</v>
      </c>
      <c r="L4568" s="2">
        <v>109</v>
      </c>
    </row>
    <row r="4569" spans="1:12" x14ac:dyDescent="0.25">
      <c r="A4569" s="4" t="str">
        <f>HYPERLINK("http://www.rosaceae.org/Prunus/Prunus_persica/p.persica_gdr_reftransV1_0012063","p.persica_gdr_reftransV1_0012063")</f>
        <v>p.persica_gdr_reftransV1_0012063</v>
      </c>
      <c r="B4569" s="2">
        <v>1725</v>
      </c>
      <c r="C4569" s="4" t="str">
        <f>HYPERLINK("http://www.uniprot.org/uniprot/M5XHL3","M5XHL3")</f>
        <v>M5XHL3</v>
      </c>
      <c r="D4569" s="2" t="s">
        <v>4252</v>
      </c>
      <c r="E4569" s="3">
        <v>0</v>
      </c>
      <c r="F4569" s="2">
        <v>1547</v>
      </c>
      <c r="G4569" s="2">
        <v>100</v>
      </c>
      <c r="H4569" s="2">
        <v>301</v>
      </c>
      <c r="I4569" s="2">
        <v>656</v>
      </c>
      <c r="J4569" s="2">
        <v>1558</v>
      </c>
      <c r="K4569" s="2">
        <v>279</v>
      </c>
      <c r="L4569" s="2">
        <v>579</v>
      </c>
    </row>
    <row r="4570" spans="1:12" x14ac:dyDescent="0.25">
      <c r="A4570" s="4" t="str">
        <f>HYPERLINK("http://www.rosaceae.org/Prunus/Prunus_persica/p.persica_gdr_reftransV1_0012413","p.persica_gdr_reftransV1_0012413")</f>
        <v>p.persica_gdr_reftransV1_0012413</v>
      </c>
      <c r="B4570" s="2">
        <v>3141</v>
      </c>
      <c r="C4570" s="4" t="str">
        <f>HYPERLINK("http://www.uniprot.org/uniprot/M5X1D3","M5X1D3")</f>
        <v>M5X1D3</v>
      </c>
      <c r="D4570" s="2" t="s">
        <v>4253</v>
      </c>
      <c r="E4570" s="3">
        <v>0</v>
      </c>
      <c r="F4570" s="2">
        <v>1205</v>
      </c>
      <c r="G4570" s="2">
        <v>100</v>
      </c>
      <c r="H4570" s="2">
        <v>305</v>
      </c>
      <c r="I4570" s="2">
        <v>1944</v>
      </c>
      <c r="J4570" s="2">
        <v>2858</v>
      </c>
      <c r="K4570" s="2">
        <v>1</v>
      </c>
      <c r="L4570" s="2">
        <v>305</v>
      </c>
    </row>
    <row r="4571" spans="1:12" x14ac:dyDescent="0.25">
      <c r="A4571" s="4" t="str">
        <f>HYPERLINK("http://www.rosaceae.org/Prunus/Prunus_persica/p.persica_gdr_reftransV1_0013113","p.persica_gdr_reftransV1_0013113")</f>
        <v>p.persica_gdr_reftransV1_0013113</v>
      </c>
      <c r="B4571" s="2">
        <v>2723</v>
      </c>
      <c r="C4571" s="4" t="str">
        <f>HYPERLINK("http://www.uniprot.org/uniprot/M5WI03","M5WI03")</f>
        <v>M5WI03</v>
      </c>
      <c r="D4571" s="2" t="s">
        <v>4254</v>
      </c>
      <c r="E4571" s="3">
        <v>0</v>
      </c>
      <c r="F4571" s="2">
        <v>1129</v>
      </c>
      <c r="G4571" s="2">
        <v>99</v>
      </c>
      <c r="H4571" s="2">
        <v>234</v>
      </c>
      <c r="I4571" s="2">
        <v>224</v>
      </c>
      <c r="J4571" s="2">
        <v>925</v>
      </c>
      <c r="K4571" s="2">
        <v>1</v>
      </c>
      <c r="L4571" s="2">
        <v>231</v>
      </c>
    </row>
    <row r="4572" spans="1:12" x14ac:dyDescent="0.25">
      <c r="A4572" s="4" t="str">
        <f>HYPERLINK("http://www.rosaceae.org/Prunus/Prunus_persica/p.persica_gdr_reftransV1_0013463","p.persica_gdr_reftransV1_0013463")</f>
        <v>p.persica_gdr_reftransV1_0013463</v>
      </c>
      <c r="B4572" s="2">
        <v>607</v>
      </c>
      <c r="C4572" s="4" t="str">
        <f>HYPERLINK("http://www.uniprot.org/uniprot/M5X6K3","M5X6K3")</f>
        <v>M5X6K3</v>
      </c>
      <c r="D4572" s="2" t="s">
        <v>3049</v>
      </c>
      <c r="E4572" s="3">
        <v>3.9000000000000003E-62</v>
      </c>
      <c r="F4572" s="2">
        <v>516</v>
      </c>
      <c r="G4572" s="2">
        <v>100</v>
      </c>
      <c r="H4572" s="2">
        <v>95</v>
      </c>
      <c r="I4572" s="2">
        <v>3</v>
      </c>
      <c r="J4572" s="2">
        <v>287</v>
      </c>
      <c r="K4572" s="2">
        <v>1</v>
      </c>
      <c r="L4572" s="2">
        <v>95</v>
      </c>
    </row>
    <row r="4573" spans="1:12" x14ac:dyDescent="0.25">
      <c r="A4573" s="4" t="str">
        <f>HYPERLINK("http://www.rosaceae.org/Prunus/Prunus_persica/p.persica_gdr_reftransV1_0014163","p.persica_gdr_reftransV1_0014163")</f>
        <v>p.persica_gdr_reftransV1_0014163</v>
      </c>
      <c r="B4573" s="2">
        <v>1726</v>
      </c>
      <c r="C4573" s="4" t="str">
        <f>HYPERLINK("http://www.uniprot.org/uniprot/M5XGS1","M5XGS1")</f>
        <v>M5XGS1</v>
      </c>
      <c r="D4573" s="2" t="s">
        <v>4255</v>
      </c>
      <c r="E4573" s="3">
        <v>4.4499999999999999E-121</v>
      </c>
      <c r="F4573" s="2">
        <v>943</v>
      </c>
      <c r="G4573" s="2">
        <v>100</v>
      </c>
      <c r="H4573" s="2">
        <v>200</v>
      </c>
      <c r="I4573" s="2">
        <v>97</v>
      </c>
      <c r="J4573" s="2">
        <v>696</v>
      </c>
      <c r="K4573" s="2">
        <v>1</v>
      </c>
      <c r="L4573" s="2">
        <v>200</v>
      </c>
    </row>
    <row r="4574" spans="1:12" x14ac:dyDescent="0.25">
      <c r="A4574" s="4" t="str">
        <f>HYPERLINK("http://www.rosaceae.org/Prunus/Prunus_persica/p.persica_gdr_reftransV1_0015213","p.persica_gdr_reftransV1_0015213")</f>
        <v>p.persica_gdr_reftransV1_0015213</v>
      </c>
      <c r="B4574" s="2">
        <v>2246</v>
      </c>
      <c r="C4574" s="4" t="str">
        <f>HYPERLINK("http://www.uniprot.org/uniprot/M5WTX1","M5WTX1")</f>
        <v>M5WTX1</v>
      </c>
      <c r="D4574" s="2" t="s">
        <v>2626</v>
      </c>
      <c r="E4574" s="3">
        <v>0</v>
      </c>
      <c r="F4574" s="2">
        <v>1784</v>
      </c>
      <c r="G4574" s="2">
        <v>100</v>
      </c>
      <c r="H4574" s="2">
        <v>337</v>
      </c>
      <c r="I4574" s="2">
        <v>276</v>
      </c>
      <c r="J4574" s="2">
        <v>1286</v>
      </c>
      <c r="K4574" s="2">
        <v>1</v>
      </c>
      <c r="L4574" s="2">
        <v>337</v>
      </c>
    </row>
    <row r="4575" spans="1:12" x14ac:dyDescent="0.25">
      <c r="A4575" s="4" t="str">
        <f>HYPERLINK("http://www.rosaceae.org/Prunus/Prunus_persica/p.persica_gdr_reftransV1_0015563","p.persica_gdr_reftransV1_0015563")</f>
        <v>p.persica_gdr_reftransV1_0015563</v>
      </c>
      <c r="B4575" s="2">
        <v>1405</v>
      </c>
      <c r="C4575" s="4" t="str">
        <f>HYPERLINK("http://www.uniprot.org/uniprot/M5XLH1","M5XLH1")</f>
        <v>M5XLH1</v>
      </c>
      <c r="D4575" s="2" t="s">
        <v>4256</v>
      </c>
      <c r="E4575" s="3">
        <v>9.0599999999999994E-167</v>
      </c>
      <c r="F4575" s="2">
        <v>1248</v>
      </c>
      <c r="G4575" s="2">
        <v>100</v>
      </c>
      <c r="H4575" s="2">
        <v>295</v>
      </c>
      <c r="I4575" s="2">
        <v>250</v>
      </c>
      <c r="J4575" s="2">
        <v>1134</v>
      </c>
      <c r="K4575" s="2">
        <v>25</v>
      </c>
      <c r="L4575" s="2">
        <v>319</v>
      </c>
    </row>
    <row r="4576" spans="1:12" x14ac:dyDescent="0.25">
      <c r="A4576" s="4" t="str">
        <f>HYPERLINK("http://www.rosaceae.org/Prunus/Prunus_persica/p.persica_gdr_reftransV1_0016263","p.persica_gdr_reftransV1_0016263")</f>
        <v>p.persica_gdr_reftransV1_0016263</v>
      </c>
      <c r="B4576" s="2">
        <v>3106</v>
      </c>
      <c r="C4576" s="4" t="str">
        <f>HYPERLINK("http://www.uniprot.org/uniprot/M5W2E5","M5W2E5")</f>
        <v>M5W2E5</v>
      </c>
      <c r="D4576" s="2" t="s">
        <v>4257</v>
      </c>
      <c r="E4576" s="3">
        <v>0</v>
      </c>
      <c r="F4576" s="2">
        <v>3247</v>
      </c>
      <c r="G4576" s="2">
        <v>100</v>
      </c>
      <c r="H4576" s="2">
        <v>658</v>
      </c>
      <c r="I4576" s="2">
        <v>1032</v>
      </c>
      <c r="J4576" s="2">
        <v>3005</v>
      </c>
      <c r="K4576" s="2">
        <v>1</v>
      </c>
      <c r="L4576" s="2">
        <v>658</v>
      </c>
    </row>
    <row r="4577" spans="1:12" x14ac:dyDescent="0.25">
      <c r="A4577" s="4" t="str">
        <f>HYPERLINK("http://www.rosaceae.org/Prunus/Prunus_persica/p.persica_gdr_reftransV1_0017663","p.persica_gdr_reftransV1_0017663")</f>
        <v>p.persica_gdr_reftransV1_0017663</v>
      </c>
      <c r="B4577" s="2">
        <v>938</v>
      </c>
      <c r="C4577" s="4" t="str">
        <f>HYPERLINK("http://www.uniprot.org/uniprot/M5X0J2","M5X0J2")</f>
        <v>M5X0J2</v>
      </c>
      <c r="D4577" s="2" t="s">
        <v>4258</v>
      </c>
      <c r="E4577" s="3">
        <v>5.4700000000000003E-143</v>
      </c>
      <c r="F4577" s="2">
        <v>1063</v>
      </c>
      <c r="G4577" s="2">
        <v>100</v>
      </c>
      <c r="H4577" s="2">
        <v>212</v>
      </c>
      <c r="I4577" s="2">
        <v>66</v>
      </c>
      <c r="J4577" s="2">
        <v>701</v>
      </c>
      <c r="K4577" s="2">
        <v>1</v>
      </c>
      <c r="L4577" s="2">
        <v>212</v>
      </c>
    </row>
    <row r="4578" spans="1:12" x14ac:dyDescent="0.25">
      <c r="A4578" s="4" t="str">
        <f>HYPERLINK("http://www.rosaceae.org/Prunus/Prunus_persica/p.persica_gdr_reftransV1_0021513","p.persica_gdr_reftransV1_0021513")</f>
        <v>p.persica_gdr_reftransV1_0021513</v>
      </c>
      <c r="B4578" s="2">
        <v>2230</v>
      </c>
      <c r="C4578" s="4" t="str">
        <f>HYPERLINK("http://www.uniprot.org/uniprot/M5VNB0","M5VNB0")</f>
        <v>M5VNB0</v>
      </c>
      <c r="D4578" s="2" t="s">
        <v>4259</v>
      </c>
      <c r="E4578" s="3">
        <v>0</v>
      </c>
      <c r="F4578" s="2">
        <v>3077</v>
      </c>
      <c r="G4578" s="2">
        <v>100</v>
      </c>
      <c r="H4578" s="2">
        <v>571</v>
      </c>
      <c r="I4578" s="2">
        <v>411</v>
      </c>
      <c r="J4578" s="2">
        <v>2123</v>
      </c>
      <c r="K4578" s="2">
        <v>1</v>
      </c>
      <c r="L4578" s="2">
        <v>571</v>
      </c>
    </row>
    <row r="4579" spans="1:12" x14ac:dyDescent="0.25">
      <c r="A4579" s="4" t="str">
        <f>HYPERLINK("http://www.rosaceae.org/Prunus/Prunus_persica/p.persica_gdr_reftransV1_0021863","p.persica_gdr_reftransV1_0021863")</f>
        <v>p.persica_gdr_reftransV1_0021863</v>
      </c>
      <c r="B4579" s="2">
        <v>812</v>
      </c>
      <c r="C4579" s="4" t="str">
        <f>HYPERLINK("http://www.uniprot.org/uniprot/M5XMZ6","M5XMZ6")</f>
        <v>M5XMZ6</v>
      </c>
      <c r="D4579" s="2" t="s">
        <v>4260</v>
      </c>
      <c r="E4579" s="3">
        <v>9.2199999999999998E-83</v>
      </c>
      <c r="F4579" s="2">
        <v>653</v>
      </c>
      <c r="G4579" s="2">
        <v>100</v>
      </c>
      <c r="H4579" s="2">
        <v>123</v>
      </c>
      <c r="I4579" s="2">
        <v>167</v>
      </c>
      <c r="J4579" s="2">
        <v>535</v>
      </c>
      <c r="K4579" s="2">
        <v>1</v>
      </c>
      <c r="L4579" s="2">
        <v>123</v>
      </c>
    </row>
    <row r="4580" spans="1:12" x14ac:dyDescent="0.25">
      <c r="A4580" s="4" t="str">
        <f>HYPERLINK("http://www.rosaceae.org/Prunus/Prunus_persica/p.persica_gdr_reftransV1_0022913","p.persica_gdr_reftransV1_0022913")</f>
        <v>p.persica_gdr_reftransV1_0022913</v>
      </c>
      <c r="B4580" s="2">
        <v>503</v>
      </c>
      <c r="C4580" s="4" t="str">
        <f>HYPERLINK("http://www.uniprot.org/uniprot/M5XA82","M5XA82")</f>
        <v>M5XA82</v>
      </c>
      <c r="D4580" s="2" t="s">
        <v>4261</v>
      </c>
      <c r="E4580" s="3">
        <v>3.8100000000000001E-105</v>
      </c>
      <c r="F4580" s="2">
        <v>816</v>
      </c>
      <c r="G4580" s="2">
        <v>100</v>
      </c>
      <c r="H4580" s="2">
        <v>167</v>
      </c>
      <c r="I4580" s="2">
        <v>1</v>
      </c>
      <c r="J4580" s="2">
        <v>501</v>
      </c>
      <c r="K4580" s="2">
        <v>94</v>
      </c>
      <c r="L4580" s="2">
        <v>260</v>
      </c>
    </row>
    <row r="4581" spans="1:12" x14ac:dyDescent="0.25">
      <c r="A4581" s="4" t="str">
        <f>HYPERLINK("http://www.rosaceae.org/Prunus/Prunus_persica/p.persica_gdr_reftransV1_0026763","p.persica_gdr_reftransV1_0026763")</f>
        <v>p.persica_gdr_reftransV1_0026763</v>
      </c>
      <c r="B4581" s="2">
        <v>3230</v>
      </c>
      <c r="C4581" s="4" t="str">
        <f>HYPERLINK("http://www.uniprot.org/uniprot/A0A061EWQ5","A0A061EWQ5")</f>
        <v>A0A061EWQ5</v>
      </c>
      <c r="D4581" s="2" t="s">
        <v>4262</v>
      </c>
      <c r="E4581" s="3">
        <v>0</v>
      </c>
      <c r="F4581" s="2">
        <v>3752</v>
      </c>
      <c r="G4581" s="2">
        <v>85</v>
      </c>
      <c r="H4581" s="2">
        <v>855</v>
      </c>
      <c r="I4581" s="2">
        <v>545</v>
      </c>
      <c r="J4581" s="2">
        <v>3106</v>
      </c>
      <c r="K4581" s="2">
        <v>1</v>
      </c>
      <c r="L4581" s="2">
        <v>852</v>
      </c>
    </row>
    <row r="4582" spans="1:12" x14ac:dyDescent="0.25">
      <c r="A4582" s="4" t="str">
        <f>HYPERLINK("http://www.rosaceae.org/Prunus/Prunus_persica/p.persica_gdr_reftransV1_0028513","p.persica_gdr_reftransV1_0028513")</f>
        <v>p.persica_gdr_reftransV1_0028513</v>
      </c>
      <c r="B4582" s="2">
        <v>1452</v>
      </c>
      <c r="C4582" s="4" t="str">
        <f>HYPERLINK("http://www.uniprot.org/uniprot/M5VMM2","M5VMM2")</f>
        <v>M5VMM2</v>
      </c>
      <c r="D4582" s="2" t="s">
        <v>4263</v>
      </c>
      <c r="E4582" s="3">
        <v>0</v>
      </c>
      <c r="F4582" s="2">
        <v>1508</v>
      </c>
      <c r="G4582" s="2">
        <v>100</v>
      </c>
      <c r="H4582" s="2">
        <v>292</v>
      </c>
      <c r="I4582" s="2">
        <v>290</v>
      </c>
      <c r="J4582" s="2">
        <v>1165</v>
      </c>
      <c r="K4582" s="2">
        <v>1</v>
      </c>
      <c r="L4582" s="2">
        <v>292</v>
      </c>
    </row>
    <row r="4583" spans="1:12" x14ac:dyDescent="0.25">
      <c r="A4583" s="4" t="str">
        <f>HYPERLINK("http://www.rosaceae.org/Prunus/Prunus_persica/p.persica_gdr_reftransV1_0030963","p.persica_gdr_reftransV1_0030963")</f>
        <v>p.persica_gdr_reftransV1_0030963</v>
      </c>
      <c r="B4583" s="2">
        <v>1386</v>
      </c>
      <c r="C4583" s="4" t="str">
        <f>HYPERLINK("http://www.uniprot.org/uniprot/M5WBQ9","M5WBQ9")</f>
        <v>M5WBQ9</v>
      </c>
      <c r="D4583" s="2" t="s">
        <v>4264</v>
      </c>
      <c r="E4583" s="3">
        <v>8.1400000000000004E-169</v>
      </c>
      <c r="F4583" s="2">
        <v>1252</v>
      </c>
      <c r="G4583" s="2">
        <v>100</v>
      </c>
      <c r="H4583" s="2">
        <v>237</v>
      </c>
      <c r="I4583" s="2">
        <v>92</v>
      </c>
      <c r="J4583" s="2">
        <v>802</v>
      </c>
      <c r="K4583" s="2">
        <v>1</v>
      </c>
      <c r="L4583" s="2">
        <v>237</v>
      </c>
    </row>
    <row r="4584" spans="1:12" x14ac:dyDescent="0.25">
      <c r="A4584" s="4" t="str">
        <f>HYPERLINK("http://www.rosaceae.org/Prunus/Prunus_persica/p.persica_gdr_reftransV1_0032713","p.persica_gdr_reftransV1_0032713")</f>
        <v>p.persica_gdr_reftransV1_0032713</v>
      </c>
      <c r="B4584" s="2">
        <v>838</v>
      </c>
      <c r="C4584" s="4" t="str">
        <f>HYPERLINK("http://www.uniprot.org/uniprot/M5VUZ4","M5VUZ4")</f>
        <v>M5VUZ4</v>
      </c>
      <c r="D4584" s="2" t="s">
        <v>4265</v>
      </c>
      <c r="E4584" s="3">
        <v>1.0199999999999999E-114</v>
      </c>
      <c r="F4584" s="2">
        <v>873</v>
      </c>
      <c r="G4584" s="2">
        <v>100</v>
      </c>
      <c r="H4584" s="2">
        <v>207</v>
      </c>
      <c r="I4584" s="2">
        <v>114</v>
      </c>
      <c r="J4584" s="2">
        <v>734</v>
      </c>
      <c r="K4584" s="2">
        <v>1</v>
      </c>
      <c r="L4584" s="2">
        <v>207</v>
      </c>
    </row>
    <row r="4585" spans="1:12" x14ac:dyDescent="0.25">
      <c r="A4585" s="4" t="str">
        <f>HYPERLINK("http://www.rosaceae.org/Prunus/Prunus_persica/p.persica_gdr_reftransV1_0033063","p.persica_gdr_reftransV1_0033063")</f>
        <v>p.persica_gdr_reftransV1_0033063</v>
      </c>
      <c r="B4585" s="2">
        <v>1054</v>
      </c>
      <c r="C4585" s="4" t="str">
        <f>HYPERLINK("http://www.uniprot.org/uniprot/M5VR87","M5VR87")</f>
        <v>M5VR87</v>
      </c>
      <c r="D4585" s="2" t="s">
        <v>4266</v>
      </c>
      <c r="E4585" s="3">
        <v>3.0599999999999998E-134</v>
      </c>
      <c r="F4585" s="2">
        <v>1008</v>
      </c>
      <c r="G4585" s="2">
        <v>100</v>
      </c>
      <c r="H4585" s="2">
        <v>190</v>
      </c>
      <c r="I4585" s="2">
        <v>365</v>
      </c>
      <c r="J4585" s="2">
        <v>934</v>
      </c>
      <c r="K4585" s="2">
        <v>1</v>
      </c>
      <c r="L4585" s="2">
        <v>190</v>
      </c>
    </row>
    <row r="4586" spans="1:12" x14ac:dyDescent="0.25">
      <c r="A4586" s="4" t="str">
        <f>HYPERLINK("http://www.rosaceae.org/Prunus/Prunus_persica/p.persica_gdr_reftransV1_0033763","p.persica_gdr_reftransV1_0033763")</f>
        <v>p.persica_gdr_reftransV1_0033763</v>
      </c>
      <c r="B4586" s="2">
        <v>3349</v>
      </c>
      <c r="C4586" s="4" t="str">
        <f>HYPERLINK("http://www.uniprot.org/uniprot/M5XF27","M5XF27")</f>
        <v>M5XF27</v>
      </c>
      <c r="D4586" s="2" t="s">
        <v>4267</v>
      </c>
      <c r="E4586" s="3">
        <v>0</v>
      </c>
      <c r="F4586" s="2">
        <v>3308</v>
      </c>
      <c r="G4586" s="2">
        <v>100</v>
      </c>
      <c r="H4586" s="2">
        <v>657</v>
      </c>
      <c r="I4586" s="2">
        <v>1089</v>
      </c>
      <c r="J4586" s="2">
        <v>3059</v>
      </c>
      <c r="K4586" s="2">
        <v>12</v>
      </c>
      <c r="L4586" s="2">
        <v>668</v>
      </c>
    </row>
    <row r="4587" spans="1:12" x14ac:dyDescent="0.25">
      <c r="A4587" s="4" t="str">
        <f>HYPERLINK("http://www.rosaceae.org/Prunus/Prunus_persica/p.persica_gdr_reftransV1_0034113","p.persica_gdr_reftransV1_0034113")</f>
        <v>p.persica_gdr_reftransV1_0034113</v>
      </c>
      <c r="B4587" s="2">
        <v>435</v>
      </c>
      <c r="C4587" s="4" t="str">
        <f>HYPERLINK("http://www.uniprot.org/uniprot/M5WQG7","M5WQG7")</f>
        <v>M5WQG7</v>
      </c>
      <c r="D4587" s="2" t="s">
        <v>4268</v>
      </c>
      <c r="E4587" s="3">
        <v>3.05E-94</v>
      </c>
      <c r="F4587" s="2">
        <v>768</v>
      </c>
      <c r="G4587" s="2">
        <v>100</v>
      </c>
      <c r="H4587" s="2">
        <v>144</v>
      </c>
      <c r="I4587" s="2">
        <v>3</v>
      </c>
      <c r="J4587" s="2">
        <v>434</v>
      </c>
      <c r="K4587" s="2">
        <v>630</v>
      </c>
      <c r="L4587" s="2">
        <v>773</v>
      </c>
    </row>
    <row r="4588" spans="1:12" x14ac:dyDescent="0.25">
      <c r="A4588" s="4" t="str">
        <f>HYPERLINK("http://www.rosaceae.org/Prunus/Prunus_persica/p.persica_gdr_reftransV1_0034463","p.persica_gdr_reftransV1_0034463")</f>
        <v>p.persica_gdr_reftransV1_0034463</v>
      </c>
      <c r="B4588" s="2">
        <v>2989</v>
      </c>
      <c r="C4588" s="4" t="str">
        <f>HYPERLINK("http://www.uniprot.org/uniprot/M5XQY5","M5XQY5")</f>
        <v>M5XQY5</v>
      </c>
      <c r="D4588" s="2" t="s">
        <v>4269</v>
      </c>
      <c r="E4588" s="3">
        <v>0</v>
      </c>
      <c r="F4588" s="2">
        <v>3678</v>
      </c>
      <c r="G4588" s="2">
        <v>100</v>
      </c>
      <c r="H4588" s="2">
        <v>782</v>
      </c>
      <c r="I4588" s="2">
        <v>438</v>
      </c>
      <c r="J4588" s="2">
        <v>2783</v>
      </c>
      <c r="K4588" s="2">
        <v>1</v>
      </c>
      <c r="L4588" s="2">
        <v>782</v>
      </c>
    </row>
    <row r="4589" spans="1:12" x14ac:dyDescent="0.25">
      <c r="A4589" s="4" t="str">
        <f>HYPERLINK("http://www.rosaceae.org/Prunus/Prunus_persica/p.persica_gdr_reftransV1_0034813","p.persica_gdr_reftransV1_0034813")</f>
        <v>p.persica_gdr_reftransV1_0034813</v>
      </c>
      <c r="B4589" s="2">
        <v>1329</v>
      </c>
      <c r="C4589" s="4" t="str">
        <f>HYPERLINK("http://www.uniprot.org/uniprot/M5W3E1","M5W3E1")</f>
        <v>M5W3E1</v>
      </c>
      <c r="D4589" s="2" t="s">
        <v>4270</v>
      </c>
      <c r="E4589" s="3">
        <v>2.7299999999999999E-59</v>
      </c>
      <c r="F4589" s="2">
        <v>519</v>
      </c>
      <c r="G4589" s="2">
        <v>100</v>
      </c>
      <c r="H4589" s="2">
        <v>97</v>
      </c>
      <c r="I4589" s="2">
        <v>797</v>
      </c>
      <c r="J4589" s="2">
        <v>1087</v>
      </c>
      <c r="K4589" s="2">
        <v>112</v>
      </c>
      <c r="L4589" s="2">
        <v>208</v>
      </c>
    </row>
    <row r="4590" spans="1:12" x14ac:dyDescent="0.25">
      <c r="A4590" s="4" t="str">
        <f>HYPERLINK("http://www.rosaceae.org/Prunus/Prunus_persica/p.persica_gdr_reftransV1_0035513","p.persica_gdr_reftransV1_0035513")</f>
        <v>p.persica_gdr_reftransV1_0035513</v>
      </c>
      <c r="B4590" s="2">
        <v>3119</v>
      </c>
      <c r="C4590" s="4" t="str">
        <f>HYPERLINK("http://www.uniprot.org/uniprot/M5W9M8","M5W9M8")</f>
        <v>M5W9M8</v>
      </c>
      <c r="D4590" s="2" t="s">
        <v>633</v>
      </c>
      <c r="E4590" s="3">
        <v>6.8099999999999997E-156</v>
      </c>
      <c r="F4590" s="2">
        <v>1231</v>
      </c>
      <c r="G4590" s="2">
        <v>100</v>
      </c>
      <c r="H4590" s="2">
        <v>238</v>
      </c>
      <c r="I4590" s="2">
        <v>1849</v>
      </c>
      <c r="J4590" s="2">
        <v>2562</v>
      </c>
      <c r="K4590" s="2">
        <v>3</v>
      </c>
      <c r="L4590" s="2">
        <v>240</v>
      </c>
    </row>
    <row r="4591" spans="1:12" x14ac:dyDescent="0.25">
      <c r="A4591" s="4" t="str">
        <f>HYPERLINK("http://www.rosaceae.org/Prunus/Prunus_persica/p.persica_gdr_reftransV1_0035863","p.persica_gdr_reftransV1_0035863")</f>
        <v>p.persica_gdr_reftransV1_0035863</v>
      </c>
      <c r="B4591" s="2">
        <v>540</v>
      </c>
      <c r="C4591" s="4" t="str">
        <f>HYPERLINK("http://www.uniprot.org/uniprot/M5WFT6","M5WFT6")</f>
        <v>M5WFT6</v>
      </c>
      <c r="D4591" s="2" t="s">
        <v>4271</v>
      </c>
      <c r="E4591" s="3">
        <v>3.3199999999999999E-71</v>
      </c>
      <c r="F4591" s="2">
        <v>589</v>
      </c>
      <c r="G4591" s="2">
        <v>93</v>
      </c>
      <c r="H4591" s="2">
        <v>122</v>
      </c>
      <c r="I4591" s="2">
        <v>175</v>
      </c>
      <c r="J4591" s="2">
        <v>540</v>
      </c>
      <c r="K4591" s="2">
        <v>156</v>
      </c>
      <c r="L4591" s="2">
        <v>276</v>
      </c>
    </row>
    <row r="4592" spans="1:12" x14ac:dyDescent="0.25">
      <c r="A4592" s="4" t="str">
        <f>HYPERLINK("http://www.rosaceae.org/Prunus/Prunus_persica/p.persica_gdr_reftransV1_0039363","p.persica_gdr_reftransV1_0039363")</f>
        <v>p.persica_gdr_reftransV1_0039363</v>
      </c>
      <c r="B4592" s="2">
        <v>1655</v>
      </c>
      <c r="C4592" s="4" t="str">
        <f>HYPERLINK("http://www.uniprot.org/uniprot/M5WUC0","M5WUC0")</f>
        <v>M5WUC0</v>
      </c>
      <c r="D4592" s="2" t="s">
        <v>4272</v>
      </c>
      <c r="E4592" s="3">
        <v>0</v>
      </c>
      <c r="F4592" s="2">
        <v>1255</v>
      </c>
      <c r="G4592" s="2">
        <v>100</v>
      </c>
      <c r="H4592" s="2">
        <v>267</v>
      </c>
      <c r="I4592" s="2">
        <v>36</v>
      </c>
      <c r="J4592" s="2">
        <v>836</v>
      </c>
      <c r="K4592" s="2">
        <v>1</v>
      </c>
      <c r="L4592" s="2">
        <v>267</v>
      </c>
    </row>
    <row r="4593" spans="1:12" x14ac:dyDescent="0.25">
      <c r="A4593" s="4" t="str">
        <f>HYPERLINK("http://www.rosaceae.org/Prunus/Prunus_persica/p.persica_gdr_reftransV1_0040063","p.persica_gdr_reftransV1_0040063")</f>
        <v>p.persica_gdr_reftransV1_0040063</v>
      </c>
      <c r="B4593" s="2">
        <v>1066</v>
      </c>
      <c r="C4593" s="4" t="str">
        <f>HYPERLINK("http://www.uniprot.org/uniprot/M5VRE7","M5VRE7")</f>
        <v>M5VRE7</v>
      </c>
      <c r="D4593" s="2" t="s">
        <v>4273</v>
      </c>
      <c r="E4593" s="3">
        <v>2.0699999999999999E-85</v>
      </c>
      <c r="F4593" s="2">
        <v>682</v>
      </c>
      <c r="G4593" s="2">
        <v>100</v>
      </c>
      <c r="H4593" s="2">
        <v>163</v>
      </c>
      <c r="I4593" s="2">
        <v>505</v>
      </c>
      <c r="J4593" s="2">
        <v>993</v>
      </c>
      <c r="K4593" s="2">
        <v>1</v>
      </c>
      <c r="L4593" s="2">
        <v>163</v>
      </c>
    </row>
    <row r="4594" spans="1:12" x14ac:dyDescent="0.25">
      <c r="A4594" s="4" t="str">
        <f>HYPERLINK("http://www.rosaceae.org/Prunus/Prunus_persica/p.persica_gdr_reftransV1_0040413","p.persica_gdr_reftransV1_0040413")</f>
        <v>p.persica_gdr_reftransV1_0040413</v>
      </c>
      <c r="B4594" s="2">
        <v>1768</v>
      </c>
      <c r="C4594" s="4" t="str">
        <f>HYPERLINK("http://www.uniprot.org/uniprot/M5W0L8","M5W0L8")</f>
        <v>M5W0L8</v>
      </c>
      <c r="D4594" s="2" t="s">
        <v>4274</v>
      </c>
      <c r="E4594" s="3">
        <v>2.1800000000000001E-148</v>
      </c>
      <c r="F4594" s="2">
        <v>1133</v>
      </c>
      <c r="G4594" s="2">
        <v>100</v>
      </c>
      <c r="H4594" s="2">
        <v>233</v>
      </c>
      <c r="I4594" s="2">
        <v>373</v>
      </c>
      <c r="J4594" s="2">
        <v>1071</v>
      </c>
      <c r="K4594" s="2">
        <v>40</v>
      </c>
      <c r="L4594" s="2">
        <v>272</v>
      </c>
    </row>
    <row r="4595" spans="1:12" x14ac:dyDescent="0.25">
      <c r="A4595" s="4" t="str">
        <f>HYPERLINK("http://www.rosaceae.org/Prunus/Prunus_persica/p.persica_gdr_reftransV1_0041463","p.persica_gdr_reftransV1_0041463")</f>
        <v>p.persica_gdr_reftransV1_0041463</v>
      </c>
      <c r="B4595" s="2">
        <v>708</v>
      </c>
      <c r="C4595" s="4" t="str">
        <f>HYPERLINK("http://www.uniprot.org/uniprot/M5X439","M5X439")</f>
        <v>M5X439</v>
      </c>
      <c r="D4595" s="2" t="s">
        <v>4275</v>
      </c>
      <c r="E4595" s="3">
        <v>7.0999999999999998E-61</v>
      </c>
      <c r="F4595" s="2">
        <v>502</v>
      </c>
      <c r="G4595" s="2">
        <v>99</v>
      </c>
      <c r="H4595" s="2">
        <v>95</v>
      </c>
      <c r="I4595" s="2">
        <v>264</v>
      </c>
      <c r="J4595" s="2">
        <v>548</v>
      </c>
      <c r="K4595" s="2">
        <v>1</v>
      </c>
      <c r="L4595" s="2">
        <v>95</v>
      </c>
    </row>
    <row r="4596" spans="1:12" x14ac:dyDescent="0.25">
      <c r="A4596" s="4" t="str">
        <f>HYPERLINK("http://www.rosaceae.org/Prunus/Prunus_persica/p.persica_gdr_reftransV1_0043213","p.persica_gdr_reftransV1_0043213")</f>
        <v>p.persica_gdr_reftransV1_0043213</v>
      </c>
      <c r="B4596" s="2">
        <v>1845</v>
      </c>
      <c r="C4596" s="4" t="str">
        <f>HYPERLINK("http://www.uniprot.org/uniprot/M5X2P4","M5X2P4")</f>
        <v>M5X2P4</v>
      </c>
      <c r="D4596" s="2" t="s">
        <v>4276</v>
      </c>
      <c r="E4596" s="3">
        <v>0</v>
      </c>
      <c r="F4596" s="2">
        <v>2658</v>
      </c>
      <c r="G4596" s="2">
        <v>94</v>
      </c>
      <c r="H4596" s="2">
        <v>534</v>
      </c>
      <c r="I4596" s="2">
        <v>106</v>
      </c>
      <c r="J4596" s="2">
        <v>1611</v>
      </c>
      <c r="K4596" s="2">
        <v>1</v>
      </c>
      <c r="L4596" s="2">
        <v>534</v>
      </c>
    </row>
    <row r="4597" spans="1:12" x14ac:dyDescent="0.25">
      <c r="A4597" s="4" t="str">
        <f>HYPERLINK("http://www.rosaceae.org/Prunus/Prunus_persica/p.persica_gdr_reftransV1_0043913","p.persica_gdr_reftransV1_0043913")</f>
        <v>p.persica_gdr_reftransV1_0043913</v>
      </c>
      <c r="B4597" s="2">
        <v>403</v>
      </c>
      <c r="C4597" s="4" t="str">
        <f>HYPERLINK("http://www.uniprot.org/uniprot/M5X3J8","M5X3J8")</f>
        <v>M5X3J8</v>
      </c>
      <c r="D4597" s="2" t="s">
        <v>4277</v>
      </c>
      <c r="E4597" s="3">
        <v>9.2900000000000003E-91</v>
      </c>
      <c r="F4597" s="2">
        <v>706</v>
      </c>
      <c r="G4597" s="2">
        <v>100</v>
      </c>
      <c r="H4597" s="2">
        <v>133</v>
      </c>
      <c r="I4597" s="2">
        <v>3</v>
      </c>
      <c r="J4597" s="2">
        <v>401</v>
      </c>
      <c r="K4597" s="2">
        <v>46</v>
      </c>
      <c r="L4597" s="2">
        <v>178</v>
      </c>
    </row>
    <row r="4598" spans="1:12" x14ac:dyDescent="0.25">
      <c r="A4598" s="4" t="str">
        <f>HYPERLINK("http://www.rosaceae.org/Prunus/Prunus_persica/p.persica_gdr_reftransV1_0044263","p.persica_gdr_reftransV1_0044263")</f>
        <v>p.persica_gdr_reftransV1_0044263</v>
      </c>
      <c r="B4598" s="2">
        <v>1908</v>
      </c>
      <c r="C4598" s="4" t="str">
        <f>HYPERLINK("http://www.uniprot.org/uniprot/M5XQQ1","M5XQQ1")</f>
        <v>M5XQQ1</v>
      </c>
      <c r="D4598" s="2" t="s">
        <v>591</v>
      </c>
      <c r="E4598" s="3">
        <v>0</v>
      </c>
      <c r="F4598" s="2">
        <v>2477</v>
      </c>
      <c r="G4598" s="2">
        <v>100</v>
      </c>
      <c r="H4598" s="2">
        <v>483</v>
      </c>
      <c r="I4598" s="2">
        <v>258</v>
      </c>
      <c r="J4598" s="2">
        <v>1706</v>
      </c>
      <c r="K4598" s="2">
        <v>1</v>
      </c>
      <c r="L4598" s="2">
        <v>483</v>
      </c>
    </row>
    <row r="4599" spans="1:12" x14ac:dyDescent="0.25">
      <c r="A4599" s="4" t="str">
        <f>HYPERLINK("http://www.rosaceae.org/Prunus/Prunus_persica/p.persica_gdr_reftransV1_0044613","p.persica_gdr_reftransV1_0044613")</f>
        <v>p.persica_gdr_reftransV1_0044613</v>
      </c>
      <c r="B4599" s="2">
        <v>3263</v>
      </c>
      <c r="C4599" s="4" t="str">
        <f>HYPERLINK("http://www.uniprot.org/uniprot/M5WR23","M5WR23")</f>
        <v>M5WR23</v>
      </c>
      <c r="D4599" s="2" t="s">
        <v>4278</v>
      </c>
      <c r="E4599" s="3">
        <v>0</v>
      </c>
      <c r="F4599" s="2">
        <v>4565</v>
      </c>
      <c r="G4599" s="2">
        <v>100</v>
      </c>
      <c r="H4599" s="2">
        <v>848</v>
      </c>
      <c r="I4599" s="2">
        <v>381</v>
      </c>
      <c r="J4599" s="2">
        <v>2924</v>
      </c>
      <c r="K4599" s="2">
        <v>1</v>
      </c>
      <c r="L4599" s="2">
        <v>848</v>
      </c>
    </row>
    <row r="4600" spans="1:12" x14ac:dyDescent="0.25">
      <c r="A4600" s="4" t="str">
        <f>HYPERLINK("http://www.rosaceae.org/Prunus/Prunus_persica/p.persica_gdr_reftransV1_0044963","p.persica_gdr_reftransV1_0044963")</f>
        <v>p.persica_gdr_reftransV1_0044963</v>
      </c>
      <c r="B4600" s="2">
        <v>740</v>
      </c>
      <c r="C4600" s="4" t="str">
        <f>HYPERLINK("http://www.uniprot.org/uniprot/M5W082","M5W082")</f>
        <v>M5W082</v>
      </c>
      <c r="D4600" s="2" t="s">
        <v>75</v>
      </c>
      <c r="E4600" s="3">
        <v>9.1299999999999995E-57</v>
      </c>
      <c r="F4600" s="2">
        <v>484</v>
      </c>
      <c r="G4600" s="2">
        <v>95</v>
      </c>
      <c r="H4600" s="2">
        <v>133</v>
      </c>
      <c r="I4600" s="2">
        <v>153</v>
      </c>
      <c r="J4600" s="2">
        <v>551</v>
      </c>
      <c r="K4600" s="2">
        <v>27</v>
      </c>
      <c r="L4600" s="2">
        <v>159</v>
      </c>
    </row>
    <row r="4601" spans="1:12" x14ac:dyDescent="0.25">
      <c r="A4601" s="4" t="str">
        <f>HYPERLINK("http://www.rosaceae.org/Prunus/Prunus_persica/p.persica_gdr_reftransV1_0045313","p.persica_gdr_reftransV1_0045313")</f>
        <v>p.persica_gdr_reftransV1_0045313</v>
      </c>
      <c r="B4601" s="2">
        <v>1546</v>
      </c>
      <c r="C4601" s="4" t="str">
        <f>HYPERLINK("http://www.uniprot.org/uniprot/M5WL28","M5WL28")</f>
        <v>M5WL28</v>
      </c>
      <c r="D4601" s="2" t="s">
        <v>4279</v>
      </c>
      <c r="E4601" s="3">
        <v>5.48E-122</v>
      </c>
      <c r="F4601" s="2">
        <v>988</v>
      </c>
      <c r="G4601" s="2">
        <v>52</v>
      </c>
      <c r="H4601" s="2">
        <v>427</v>
      </c>
      <c r="I4601" s="2">
        <v>255</v>
      </c>
      <c r="J4601" s="2">
        <v>1466</v>
      </c>
      <c r="K4601" s="2">
        <v>1</v>
      </c>
      <c r="L4601" s="2">
        <v>348</v>
      </c>
    </row>
    <row r="4602" spans="1:12" x14ac:dyDescent="0.25">
      <c r="A4602" s="4" t="str">
        <f>HYPERLINK("http://www.rosaceae.org/Prunus/Prunus_persica/p.persica_gdr_reftransV1_0045663","p.persica_gdr_reftransV1_0045663")</f>
        <v>p.persica_gdr_reftransV1_0045663</v>
      </c>
      <c r="B4602" s="2">
        <v>2266</v>
      </c>
      <c r="C4602" s="4" t="str">
        <f>HYPERLINK("http://www.uniprot.org/uniprot/M5X1J4","M5X1J4")</f>
        <v>M5X1J4</v>
      </c>
      <c r="D4602" s="2" t="s">
        <v>4280</v>
      </c>
      <c r="E4602" s="3">
        <v>0</v>
      </c>
      <c r="F4602" s="2">
        <v>1792</v>
      </c>
      <c r="G4602" s="2">
        <v>100</v>
      </c>
      <c r="H4602" s="2">
        <v>368</v>
      </c>
      <c r="I4602" s="2">
        <v>1104</v>
      </c>
      <c r="J4602" s="2">
        <v>2207</v>
      </c>
      <c r="K4602" s="2">
        <v>1</v>
      </c>
      <c r="L4602" s="2">
        <v>368</v>
      </c>
    </row>
    <row r="4603" spans="1:12" x14ac:dyDescent="0.25">
      <c r="A4603" s="4" t="str">
        <f>HYPERLINK("http://www.rosaceae.org/Prunus/Prunus_persica/p.persica_gdr_reftransV1_0046713","p.persica_gdr_reftransV1_0046713")</f>
        <v>p.persica_gdr_reftransV1_0046713</v>
      </c>
      <c r="B4603" s="2">
        <v>425</v>
      </c>
      <c r="C4603" s="4" t="str">
        <f>HYPERLINK("http://www.uniprot.org/uniprot/M5WEX7","M5WEX7")</f>
        <v>M5WEX7</v>
      </c>
      <c r="D4603" s="2" t="s">
        <v>4281</v>
      </c>
      <c r="E4603" s="3">
        <v>2.0399999999999998E-58</v>
      </c>
      <c r="F4603" s="2">
        <v>523</v>
      </c>
      <c r="G4603" s="2">
        <v>86</v>
      </c>
      <c r="H4603" s="2">
        <v>138</v>
      </c>
      <c r="I4603" s="2">
        <v>10</v>
      </c>
      <c r="J4603" s="2">
        <v>423</v>
      </c>
      <c r="K4603" s="2">
        <v>71</v>
      </c>
      <c r="L4603" s="2">
        <v>206</v>
      </c>
    </row>
    <row r="4604" spans="1:12" x14ac:dyDescent="0.25">
      <c r="A4604" s="4" t="str">
        <f>HYPERLINK("http://www.rosaceae.org/Prunus/Prunus_persica/p.persica_gdr_reftransV1_0047063","p.persica_gdr_reftransV1_0047063")</f>
        <v>p.persica_gdr_reftransV1_0047063</v>
      </c>
      <c r="B4604" s="2">
        <v>2227</v>
      </c>
      <c r="C4604" s="4" t="str">
        <f>HYPERLINK("http://www.uniprot.org/uniprot/M5XPC5","M5XPC5")</f>
        <v>M5XPC5</v>
      </c>
      <c r="D4604" s="2" t="s">
        <v>4282</v>
      </c>
      <c r="E4604" s="3">
        <v>0</v>
      </c>
      <c r="F4604" s="2">
        <v>1382</v>
      </c>
      <c r="G4604" s="2">
        <v>96</v>
      </c>
      <c r="H4604" s="2">
        <v>302</v>
      </c>
      <c r="I4604" s="2">
        <v>673</v>
      </c>
      <c r="J4604" s="2">
        <v>1551</v>
      </c>
      <c r="K4604" s="2">
        <v>1</v>
      </c>
      <c r="L4604" s="2">
        <v>302</v>
      </c>
    </row>
    <row r="4605" spans="1:12" x14ac:dyDescent="0.25">
      <c r="A4605" s="4" t="str">
        <f>HYPERLINK("http://www.rosaceae.org/Prunus/Prunus_persica/p.persica_gdr_reftransV1_0047763","p.persica_gdr_reftransV1_0047763")</f>
        <v>p.persica_gdr_reftransV1_0047763</v>
      </c>
      <c r="B4605" s="2">
        <v>377</v>
      </c>
      <c r="C4605" s="4" t="str">
        <f>HYPERLINK("http://www.uniprot.org/uniprot/M5VV17","M5VV17")</f>
        <v>M5VV17</v>
      </c>
      <c r="D4605" s="2" t="s">
        <v>3310</v>
      </c>
      <c r="E4605" s="3">
        <v>1.7399999999999999E-79</v>
      </c>
      <c r="F4605" s="2">
        <v>669</v>
      </c>
      <c r="G4605" s="2">
        <v>100</v>
      </c>
      <c r="H4605" s="2">
        <v>125</v>
      </c>
      <c r="I4605" s="2">
        <v>1</v>
      </c>
      <c r="J4605" s="2">
        <v>375</v>
      </c>
      <c r="K4605" s="2">
        <v>189</v>
      </c>
      <c r="L4605" s="2">
        <v>313</v>
      </c>
    </row>
    <row r="4606" spans="1:12" x14ac:dyDescent="0.25">
      <c r="A4606" s="4" t="str">
        <f>HYPERLINK("http://www.rosaceae.org/Prunus/Prunus_persica/p.persica_gdr_reftransV1_0048463","p.persica_gdr_reftransV1_0048463")</f>
        <v>p.persica_gdr_reftransV1_0048463</v>
      </c>
      <c r="B4606" s="2">
        <v>1345</v>
      </c>
      <c r="C4606" s="4" t="str">
        <f>HYPERLINK("http://www.uniprot.org/uniprot/M5VY73","M5VY73")</f>
        <v>M5VY73</v>
      </c>
      <c r="D4606" s="2" t="s">
        <v>4283</v>
      </c>
      <c r="E4606" s="3">
        <v>1.5799999999999999E-147</v>
      </c>
      <c r="F4606" s="2">
        <v>1172</v>
      </c>
      <c r="G4606" s="2">
        <v>92</v>
      </c>
      <c r="H4606" s="2">
        <v>285</v>
      </c>
      <c r="I4606" s="2">
        <v>1</v>
      </c>
      <c r="J4606" s="2">
        <v>786</v>
      </c>
      <c r="K4606" s="2">
        <v>647</v>
      </c>
      <c r="L4606" s="2">
        <v>931</v>
      </c>
    </row>
    <row r="4607" spans="1:12" x14ac:dyDescent="0.25">
      <c r="A4607" s="4" t="str">
        <f>HYPERLINK("http://www.rosaceae.org/Prunus/Prunus_persica/p.persica_gdr_reftransV1_0048813","p.persica_gdr_reftransV1_0048813")</f>
        <v>p.persica_gdr_reftransV1_0048813</v>
      </c>
      <c r="B4607" s="2">
        <v>3082</v>
      </c>
      <c r="C4607" s="4" t="str">
        <f>HYPERLINK("http://www.uniprot.org/uniprot/M5VTW5","M5VTW5")</f>
        <v>M5VTW5</v>
      </c>
      <c r="D4607" s="2" t="s">
        <v>4284</v>
      </c>
      <c r="E4607" s="3">
        <v>0</v>
      </c>
      <c r="F4607" s="2">
        <v>2501</v>
      </c>
      <c r="G4607" s="2">
        <v>100</v>
      </c>
      <c r="H4607" s="2">
        <v>536</v>
      </c>
      <c r="I4607" s="2">
        <v>831</v>
      </c>
      <c r="J4607" s="2">
        <v>2438</v>
      </c>
      <c r="K4607" s="2">
        <v>1</v>
      </c>
      <c r="L4607" s="2">
        <v>536</v>
      </c>
    </row>
    <row r="4608" spans="1:12" x14ac:dyDescent="0.25">
      <c r="A4608" s="4" t="str">
        <f>HYPERLINK("http://www.rosaceae.org/Prunus/Prunus_persica/p.persica_gdr_reftransV1_0049163","p.persica_gdr_reftransV1_0049163")</f>
        <v>p.persica_gdr_reftransV1_0049163</v>
      </c>
      <c r="B4608" s="2">
        <v>535</v>
      </c>
      <c r="C4608" s="4" t="str">
        <f>HYPERLINK("http://www.uniprot.org/uniprot/M5W9X1","M5W9X1")</f>
        <v>M5W9X1</v>
      </c>
      <c r="D4608" s="2" t="s">
        <v>4285</v>
      </c>
      <c r="E4608" s="3">
        <v>8.4699999999999996E-117</v>
      </c>
      <c r="F4608" s="2">
        <v>921</v>
      </c>
      <c r="G4608" s="2">
        <v>100</v>
      </c>
      <c r="H4608" s="2">
        <v>177</v>
      </c>
      <c r="I4608" s="2">
        <v>3</v>
      </c>
      <c r="J4608" s="2">
        <v>533</v>
      </c>
      <c r="K4608" s="2">
        <v>98</v>
      </c>
      <c r="L4608" s="2">
        <v>274</v>
      </c>
    </row>
    <row r="4609" spans="1:12" x14ac:dyDescent="0.25">
      <c r="A4609" s="4" t="str">
        <f>HYPERLINK("http://www.rosaceae.org/Prunus/Prunus_persica/p.persica_gdr_reftransV1_0000164","p.persica_gdr_reftransV1_0000164")</f>
        <v>p.persica_gdr_reftransV1_0000164</v>
      </c>
      <c r="B4609" s="2">
        <v>325</v>
      </c>
      <c r="C4609" s="4" t="str">
        <f>HYPERLINK("http://www.uniprot.org/uniprot/M5WWD3","M5WWD3")</f>
        <v>M5WWD3</v>
      </c>
      <c r="D4609" s="2" t="s">
        <v>4002</v>
      </c>
      <c r="E4609" s="3">
        <v>8.4100000000000007E-61</v>
      </c>
      <c r="F4609" s="2">
        <v>506</v>
      </c>
      <c r="G4609" s="2">
        <v>100</v>
      </c>
      <c r="H4609" s="2">
        <v>108</v>
      </c>
      <c r="I4609" s="2">
        <v>1</v>
      </c>
      <c r="J4609" s="2">
        <v>324</v>
      </c>
      <c r="K4609" s="2">
        <v>173</v>
      </c>
      <c r="L4609" s="2">
        <v>280</v>
      </c>
    </row>
    <row r="4610" spans="1:12" x14ac:dyDescent="0.25">
      <c r="A4610" s="4" t="str">
        <f>HYPERLINK("http://www.rosaceae.org/Prunus/Prunus_persica/p.persica_gdr_reftransV1_0000864","p.persica_gdr_reftransV1_0000864")</f>
        <v>p.persica_gdr_reftransV1_0000864</v>
      </c>
      <c r="B4610" s="2">
        <v>1792</v>
      </c>
      <c r="C4610" s="4" t="str">
        <f>HYPERLINK("http://www.uniprot.org/uniprot/M5VJA6","M5VJA6")</f>
        <v>M5VJA6</v>
      </c>
      <c r="D4610" s="2" t="s">
        <v>4286</v>
      </c>
      <c r="E4610" s="3">
        <v>0</v>
      </c>
      <c r="F4610" s="2">
        <v>2414</v>
      </c>
      <c r="G4610" s="2">
        <v>92</v>
      </c>
      <c r="H4610" s="2">
        <v>513</v>
      </c>
      <c r="I4610" s="2">
        <v>252</v>
      </c>
      <c r="J4610" s="2">
        <v>1790</v>
      </c>
      <c r="K4610" s="2">
        <v>662</v>
      </c>
      <c r="L4610" s="2">
        <v>1135</v>
      </c>
    </row>
    <row r="4611" spans="1:12" x14ac:dyDescent="0.25">
      <c r="A4611" s="4" t="str">
        <f>HYPERLINK("http://www.rosaceae.org/Prunus/Prunus_persica/p.persica_gdr_reftransV1_0001214","p.persica_gdr_reftransV1_0001214")</f>
        <v>p.persica_gdr_reftransV1_0001214</v>
      </c>
      <c r="B4611" s="2">
        <v>2610</v>
      </c>
      <c r="C4611" s="4" t="str">
        <f>HYPERLINK("http://www.uniprot.org/uniprot/M5XFV6","M5XFV6")</f>
        <v>M5XFV6</v>
      </c>
      <c r="D4611" s="2" t="s">
        <v>4287</v>
      </c>
      <c r="E4611" s="3">
        <v>0</v>
      </c>
      <c r="F4611" s="2">
        <v>2367</v>
      </c>
      <c r="G4611" s="2">
        <v>100</v>
      </c>
      <c r="H4611" s="2">
        <v>514</v>
      </c>
      <c r="I4611" s="2">
        <v>730</v>
      </c>
      <c r="J4611" s="2">
        <v>2271</v>
      </c>
      <c r="K4611" s="2">
        <v>1</v>
      </c>
      <c r="L4611" s="2">
        <v>514</v>
      </c>
    </row>
    <row r="4612" spans="1:12" x14ac:dyDescent="0.25">
      <c r="A4612" s="4" t="str">
        <f>HYPERLINK("http://www.rosaceae.org/Prunus/Prunus_persica/p.persica_gdr_reftransV1_0001564","p.persica_gdr_reftransV1_0001564")</f>
        <v>p.persica_gdr_reftransV1_0001564</v>
      </c>
      <c r="B4612" s="2">
        <v>384</v>
      </c>
      <c r="C4612" s="4" t="str">
        <f>HYPERLINK("http://www.uniprot.org/uniprot/M5WF86","M5WF86")</f>
        <v>M5WF86</v>
      </c>
      <c r="D4612" s="2" t="s">
        <v>4288</v>
      </c>
      <c r="E4612" s="3">
        <v>2.0199999999999999E-77</v>
      </c>
      <c r="F4612" s="2">
        <v>623</v>
      </c>
      <c r="G4612" s="2">
        <v>100</v>
      </c>
      <c r="H4612" s="2">
        <v>121</v>
      </c>
      <c r="I4612" s="2">
        <v>20</v>
      </c>
      <c r="J4612" s="2">
        <v>382</v>
      </c>
      <c r="K4612" s="2">
        <v>1</v>
      </c>
      <c r="L4612" s="2">
        <v>121</v>
      </c>
    </row>
    <row r="4613" spans="1:12" x14ac:dyDescent="0.25">
      <c r="A4613" s="4" t="str">
        <f>HYPERLINK("http://www.rosaceae.org/Prunus/Prunus_persica/p.persica_gdr_reftransV1_0001914","p.persica_gdr_reftransV1_0001914")</f>
        <v>p.persica_gdr_reftransV1_0001914</v>
      </c>
      <c r="B4613" s="2">
        <v>5784</v>
      </c>
      <c r="C4613" s="4" t="str">
        <f>HYPERLINK("http://www.uniprot.org/uniprot/M5X6U5","M5X6U5")</f>
        <v>M5X6U5</v>
      </c>
      <c r="D4613" s="2" t="s">
        <v>1114</v>
      </c>
      <c r="E4613" s="3">
        <v>0</v>
      </c>
      <c r="F4613" s="2">
        <v>8234</v>
      </c>
      <c r="G4613" s="2">
        <v>100</v>
      </c>
      <c r="H4613" s="2">
        <v>1749</v>
      </c>
      <c r="I4613" s="2">
        <v>365</v>
      </c>
      <c r="J4613" s="2">
        <v>5611</v>
      </c>
      <c r="K4613" s="2">
        <v>1</v>
      </c>
      <c r="L4613" s="2">
        <v>1749</v>
      </c>
    </row>
    <row r="4614" spans="1:12" x14ac:dyDescent="0.25">
      <c r="A4614" s="4" t="str">
        <f>HYPERLINK("http://www.rosaceae.org/Prunus/Prunus_persica/p.persica_gdr_reftransV1_0002614","p.persica_gdr_reftransV1_0002614")</f>
        <v>p.persica_gdr_reftransV1_0002614</v>
      </c>
      <c r="B4614" s="2">
        <v>1238</v>
      </c>
      <c r="C4614" s="4" t="str">
        <f>HYPERLINK("http://www.uniprot.org/uniprot/M5WTZ0","M5WTZ0")</f>
        <v>M5WTZ0</v>
      </c>
      <c r="D4614" s="2" t="s">
        <v>4289</v>
      </c>
      <c r="E4614" s="3">
        <v>0</v>
      </c>
      <c r="F4614" s="2">
        <v>1619</v>
      </c>
      <c r="G4614" s="2">
        <v>100</v>
      </c>
      <c r="H4614" s="2">
        <v>326</v>
      </c>
      <c r="I4614" s="2">
        <v>200</v>
      </c>
      <c r="J4614" s="2">
        <v>1177</v>
      </c>
      <c r="K4614" s="2">
        <v>1</v>
      </c>
      <c r="L4614" s="2">
        <v>326</v>
      </c>
    </row>
    <row r="4615" spans="1:12" x14ac:dyDescent="0.25">
      <c r="A4615" s="4" t="str">
        <f>HYPERLINK("http://www.rosaceae.org/Prunus/Prunus_persica/p.persica_gdr_reftransV1_0003314","p.persica_gdr_reftransV1_0003314")</f>
        <v>p.persica_gdr_reftransV1_0003314</v>
      </c>
      <c r="B4615" s="2">
        <v>744</v>
      </c>
      <c r="C4615" s="4" t="str">
        <f>HYPERLINK("http://www.uniprot.org/uniprot/M5XP09","M5XP09")</f>
        <v>M5XP09</v>
      </c>
      <c r="D4615" s="2" t="s">
        <v>4290</v>
      </c>
      <c r="E4615" s="3">
        <v>7.4000000000000006E-107</v>
      </c>
      <c r="F4615" s="2">
        <v>861</v>
      </c>
      <c r="G4615" s="2">
        <v>100</v>
      </c>
      <c r="H4615" s="2">
        <v>174</v>
      </c>
      <c r="I4615" s="2">
        <v>2</v>
      </c>
      <c r="J4615" s="2">
        <v>523</v>
      </c>
      <c r="K4615" s="2">
        <v>18</v>
      </c>
      <c r="L4615" s="2">
        <v>191</v>
      </c>
    </row>
    <row r="4616" spans="1:12" x14ac:dyDescent="0.25">
      <c r="A4616" s="4" t="str">
        <f>HYPERLINK("http://www.rosaceae.org/Prunus/Prunus_persica/p.persica_gdr_reftransV1_0003664","p.persica_gdr_reftransV1_0003664")</f>
        <v>p.persica_gdr_reftransV1_0003664</v>
      </c>
      <c r="B4616" s="2">
        <v>2204</v>
      </c>
      <c r="C4616" s="4" t="str">
        <f>HYPERLINK("http://www.uniprot.org/uniprot/M5X4Q8","M5X4Q8")</f>
        <v>M5X4Q8</v>
      </c>
      <c r="D4616" s="2" t="s">
        <v>730</v>
      </c>
      <c r="E4616" s="3">
        <v>0</v>
      </c>
      <c r="F4616" s="2">
        <v>1820</v>
      </c>
      <c r="G4616" s="2">
        <v>96</v>
      </c>
      <c r="H4616" s="2">
        <v>384</v>
      </c>
      <c r="I4616" s="2">
        <v>359</v>
      </c>
      <c r="J4616" s="2">
        <v>1510</v>
      </c>
      <c r="K4616" s="2">
        <v>109</v>
      </c>
      <c r="L4616" s="2">
        <v>478</v>
      </c>
    </row>
    <row r="4617" spans="1:12" x14ac:dyDescent="0.25">
      <c r="A4617" s="4" t="str">
        <f>HYPERLINK("http://www.rosaceae.org/Prunus/Prunus_persica/p.persica_gdr_reftransV1_0004014","p.persica_gdr_reftransV1_0004014")</f>
        <v>p.persica_gdr_reftransV1_0004014</v>
      </c>
      <c r="B4617" s="2">
        <v>1009</v>
      </c>
      <c r="C4617" s="4" t="str">
        <f>HYPERLINK("http://www.uniprot.org/uniprot/M5VTN5","M5VTN5")</f>
        <v>M5VTN5</v>
      </c>
      <c r="D4617" s="2" t="s">
        <v>2869</v>
      </c>
      <c r="E4617" s="3">
        <v>1.1700000000000001E-123</v>
      </c>
      <c r="F4617" s="2">
        <v>1013</v>
      </c>
      <c r="G4617" s="2">
        <v>67</v>
      </c>
      <c r="H4617" s="2">
        <v>334</v>
      </c>
      <c r="I4617" s="2">
        <v>3</v>
      </c>
      <c r="J4617" s="2">
        <v>959</v>
      </c>
      <c r="K4617" s="2">
        <v>835</v>
      </c>
      <c r="L4617" s="2">
        <v>1165</v>
      </c>
    </row>
    <row r="4618" spans="1:12" x14ac:dyDescent="0.25">
      <c r="A4618" s="4" t="str">
        <f>HYPERLINK("http://www.rosaceae.org/Prunus/Prunus_persica/p.persica_gdr_reftransV1_0004364","p.persica_gdr_reftransV1_0004364")</f>
        <v>p.persica_gdr_reftransV1_0004364</v>
      </c>
      <c r="B4618" s="2">
        <v>2125</v>
      </c>
      <c r="C4618" s="4" t="str">
        <f>HYPERLINK("http://www.uniprot.org/uniprot/A0A0A6YZ13","A0A0A6YZ13")</f>
        <v>A0A0A6YZ13</v>
      </c>
      <c r="D4618" s="2" t="s">
        <v>4291</v>
      </c>
      <c r="E4618" s="3">
        <v>0</v>
      </c>
      <c r="F4618" s="2">
        <v>2770</v>
      </c>
      <c r="G4618" s="2">
        <v>99</v>
      </c>
      <c r="H4618" s="2">
        <v>534</v>
      </c>
      <c r="I4618" s="2">
        <v>150</v>
      </c>
      <c r="J4618" s="2">
        <v>1751</v>
      </c>
      <c r="K4618" s="2">
        <v>1</v>
      </c>
      <c r="L4618" s="2">
        <v>534</v>
      </c>
    </row>
    <row r="4619" spans="1:12" x14ac:dyDescent="0.25">
      <c r="A4619" s="4" t="str">
        <f>HYPERLINK("http://www.rosaceae.org/Prunus/Prunus_persica/p.persica_gdr_reftransV1_0004714","p.persica_gdr_reftransV1_0004714")</f>
        <v>p.persica_gdr_reftransV1_0004714</v>
      </c>
      <c r="B4619" s="2">
        <v>1272</v>
      </c>
      <c r="C4619" s="4" t="str">
        <f>HYPERLINK("http://www.uniprot.org/uniprot/M5WA26","M5WA26")</f>
        <v>M5WA26</v>
      </c>
      <c r="D4619" s="2" t="s">
        <v>4292</v>
      </c>
      <c r="E4619" s="3">
        <v>0</v>
      </c>
      <c r="F4619" s="2">
        <v>1401</v>
      </c>
      <c r="G4619" s="2">
        <v>100</v>
      </c>
      <c r="H4619" s="2">
        <v>267</v>
      </c>
      <c r="I4619" s="2">
        <v>364</v>
      </c>
      <c r="J4619" s="2">
        <v>1164</v>
      </c>
      <c r="K4619" s="2">
        <v>1</v>
      </c>
      <c r="L4619" s="2">
        <v>267</v>
      </c>
    </row>
    <row r="4620" spans="1:12" x14ac:dyDescent="0.25">
      <c r="A4620" s="4" t="str">
        <f>HYPERLINK("http://www.rosaceae.org/Prunus/Prunus_persica/p.persica_gdr_reftransV1_0005414","p.persica_gdr_reftransV1_0005414")</f>
        <v>p.persica_gdr_reftransV1_0005414</v>
      </c>
      <c r="B4620" s="2">
        <v>335</v>
      </c>
      <c r="C4620" s="4" t="str">
        <f>HYPERLINK("http://www.uniprot.org/uniprot/M5X7G8","M5X7G8")</f>
        <v>M5X7G8</v>
      </c>
      <c r="D4620" s="2" t="s">
        <v>4293</v>
      </c>
      <c r="E4620" s="3">
        <v>2.4399999999999999E-70</v>
      </c>
      <c r="F4620" s="2">
        <v>597</v>
      </c>
      <c r="G4620" s="2">
        <v>100</v>
      </c>
      <c r="H4620" s="2">
        <v>111</v>
      </c>
      <c r="I4620" s="2">
        <v>2</v>
      </c>
      <c r="J4620" s="2">
        <v>334</v>
      </c>
      <c r="K4620" s="2">
        <v>260</v>
      </c>
      <c r="L4620" s="2">
        <v>370</v>
      </c>
    </row>
    <row r="4621" spans="1:12" x14ac:dyDescent="0.25">
      <c r="A4621" s="4" t="str">
        <f>HYPERLINK("http://www.rosaceae.org/Prunus/Prunus_persica/p.persica_gdr_reftransV1_0006464","p.persica_gdr_reftransV1_0006464")</f>
        <v>p.persica_gdr_reftransV1_0006464</v>
      </c>
      <c r="B4621" s="2">
        <v>541</v>
      </c>
      <c r="C4621" s="4" t="str">
        <f>HYPERLINK("http://www.uniprot.org/uniprot/M5WU01","M5WU01")</f>
        <v>M5WU01</v>
      </c>
      <c r="D4621" s="2" t="s">
        <v>4294</v>
      </c>
      <c r="E4621" s="3">
        <v>9.1699999999999995E-46</v>
      </c>
      <c r="F4621" s="2">
        <v>378</v>
      </c>
      <c r="G4621" s="2">
        <v>99</v>
      </c>
      <c r="H4621" s="2">
        <v>92</v>
      </c>
      <c r="I4621" s="2">
        <v>2</v>
      </c>
      <c r="J4621" s="2">
        <v>277</v>
      </c>
      <c r="K4621" s="2">
        <v>360</v>
      </c>
      <c r="L4621" s="2">
        <v>451</v>
      </c>
    </row>
    <row r="4622" spans="1:12" x14ac:dyDescent="0.25">
      <c r="A4622" s="4" t="str">
        <f>HYPERLINK("http://www.rosaceae.org/Prunus/Prunus_persica/p.persica_gdr_reftransV1_0006814","p.persica_gdr_reftransV1_0006814")</f>
        <v>p.persica_gdr_reftransV1_0006814</v>
      </c>
      <c r="B4622" s="2">
        <v>647</v>
      </c>
      <c r="C4622" s="4" t="str">
        <f>HYPERLINK("http://www.uniprot.org/uniprot/M5XB63","M5XB63")</f>
        <v>M5XB63</v>
      </c>
      <c r="D4622" s="2" t="s">
        <v>4295</v>
      </c>
      <c r="E4622" s="3">
        <v>1.4499999999999999E-148</v>
      </c>
      <c r="F4622" s="2">
        <v>1140</v>
      </c>
      <c r="G4622" s="2">
        <v>99</v>
      </c>
      <c r="H4622" s="2">
        <v>212</v>
      </c>
      <c r="I4622" s="2">
        <v>1</v>
      </c>
      <c r="J4622" s="2">
        <v>636</v>
      </c>
      <c r="K4622" s="2">
        <v>555</v>
      </c>
      <c r="L4622" s="2">
        <v>766</v>
      </c>
    </row>
    <row r="4623" spans="1:12" x14ac:dyDescent="0.25">
      <c r="A4623" s="4" t="str">
        <f>HYPERLINK("http://www.rosaceae.org/Prunus/Prunus_persica/p.persica_gdr_reftransV1_0007164","p.persica_gdr_reftransV1_0007164")</f>
        <v>p.persica_gdr_reftransV1_0007164</v>
      </c>
      <c r="B4623" s="2">
        <v>1533</v>
      </c>
      <c r="C4623" s="4" t="str">
        <f>HYPERLINK("http://www.uniprot.org/uniprot/M5WUJ5","M5WUJ5")</f>
        <v>M5WUJ5</v>
      </c>
      <c r="D4623" s="2" t="s">
        <v>4296</v>
      </c>
      <c r="E4623" s="3">
        <v>0</v>
      </c>
      <c r="F4623" s="2">
        <v>1527</v>
      </c>
      <c r="G4623" s="2">
        <v>100</v>
      </c>
      <c r="H4623" s="2">
        <v>303</v>
      </c>
      <c r="I4623" s="2">
        <v>277</v>
      </c>
      <c r="J4623" s="2">
        <v>1185</v>
      </c>
      <c r="K4623" s="2">
        <v>1</v>
      </c>
      <c r="L4623" s="2">
        <v>303</v>
      </c>
    </row>
    <row r="4624" spans="1:12" x14ac:dyDescent="0.25">
      <c r="A4624" s="4" t="str">
        <f>HYPERLINK("http://www.rosaceae.org/Prunus/Prunus_persica/p.persica_gdr_reftransV1_0007514","p.persica_gdr_reftransV1_0007514")</f>
        <v>p.persica_gdr_reftransV1_0007514</v>
      </c>
      <c r="B4624" s="2">
        <v>1438</v>
      </c>
      <c r="C4624" s="4" t="str">
        <f>HYPERLINK("http://www.uniprot.org/uniprot/M5XDD0","M5XDD0")</f>
        <v>M5XDD0</v>
      </c>
      <c r="D4624" s="2" t="s">
        <v>4297</v>
      </c>
      <c r="E4624" s="3">
        <v>1.2299999999999999E-97</v>
      </c>
      <c r="F4624" s="2">
        <v>782</v>
      </c>
      <c r="G4624" s="2">
        <v>100</v>
      </c>
      <c r="H4624" s="2">
        <v>214</v>
      </c>
      <c r="I4624" s="2">
        <v>565</v>
      </c>
      <c r="J4624" s="2">
        <v>1206</v>
      </c>
      <c r="K4624" s="2">
        <v>1</v>
      </c>
      <c r="L4624" s="2">
        <v>214</v>
      </c>
    </row>
    <row r="4625" spans="1:12" x14ac:dyDescent="0.25">
      <c r="A4625" s="4" t="str">
        <f>HYPERLINK("http://www.rosaceae.org/Prunus/Prunus_persica/p.persica_gdr_reftransV1_0007864","p.persica_gdr_reftransV1_0007864")</f>
        <v>p.persica_gdr_reftransV1_0007864</v>
      </c>
      <c r="B4625" s="2">
        <v>2833</v>
      </c>
      <c r="C4625" s="4" t="str">
        <f>HYPERLINK("http://www.uniprot.org/uniprot/M5WGZ9","M5WGZ9")</f>
        <v>M5WGZ9</v>
      </c>
      <c r="D4625" s="2" t="s">
        <v>4298</v>
      </c>
      <c r="E4625" s="3">
        <v>0</v>
      </c>
      <c r="F4625" s="2">
        <v>3671</v>
      </c>
      <c r="G4625" s="2">
        <v>99</v>
      </c>
      <c r="H4625" s="2">
        <v>739</v>
      </c>
      <c r="I4625" s="2">
        <v>177</v>
      </c>
      <c r="J4625" s="2">
        <v>2393</v>
      </c>
      <c r="K4625" s="2">
        <v>1</v>
      </c>
      <c r="L4625" s="2">
        <v>733</v>
      </c>
    </row>
    <row r="4626" spans="1:12" x14ac:dyDescent="0.25">
      <c r="A4626" s="4" t="str">
        <f>HYPERLINK("http://www.rosaceae.org/Prunus/Prunus_persica/p.persica_gdr_reftransV1_0008214","p.persica_gdr_reftransV1_0008214")</f>
        <v>p.persica_gdr_reftransV1_0008214</v>
      </c>
      <c r="B4626" s="2">
        <v>800</v>
      </c>
      <c r="C4626" s="4" t="str">
        <f>HYPERLINK("http://www.uniprot.org/uniprot/M5WT82","M5WT82")</f>
        <v>M5WT82</v>
      </c>
      <c r="D4626" s="2" t="s">
        <v>1187</v>
      </c>
      <c r="E4626" s="3">
        <v>1.67E-100</v>
      </c>
      <c r="F4626" s="2">
        <v>823</v>
      </c>
      <c r="G4626" s="2">
        <v>94</v>
      </c>
      <c r="H4626" s="2">
        <v>216</v>
      </c>
      <c r="I4626" s="2">
        <v>3</v>
      </c>
      <c r="J4626" s="2">
        <v>650</v>
      </c>
      <c r="K4626" s="2">
        <v>1</v>
      </c>
      <c r="L4626" s="2">
        <v>202</v>
      </c>
    </row>
    <row r="4627" spans="1:12" x14ac:dyDescent="0.25">
      <c r="A4627" s="4" t="str">
        <f>HYPERLINK("http://www.rosaceae.org/Prunus/Prunus_persica/p.persica_gdr_reftransV1_0010314","p.persica_gdr_reftransV1_0010314")</f>
        <v>p.persica_gdr_reftransV1_0010314</v>
      </c>
      <c r="B4627" s="2">
        <v>1852</v>
      </c>
      <c r="C4627" s="4" t="str">
        <f>HYPERLINK("http://www.uniprot.org/uniprot/M5Wid2","M5Wid2")</f>
        <v>M5Wid2</v>
      </c>
      <c r="D4627" s="2" t="s">
        <v>4299</v>
      </c>
      <c r="E4627" s="3">
        <v>0</v>
      </c>
      <c r="F4627" s="2">
        <v>1523</v>
      </c>
      <c r="G4627" s="2">
        <v>100</v>
      </c>
      <c r="H4627" s="2">
        <v>456</v>
      </c>
      <c r="I4627" s="2">
        <v>484</v>
      </c>
      <c r="J4627" s="2">
        <v>1851</v>
      </c>
      <c r="K4627" s="2">
        <v>45</v>
      </c>
      <c r="L4627" s="2">
        <v>500</v>
      </c>
    </row>
    <row r="4628" spans="1:12" x14ac:dyDescent="0.25">
      <c r="A4628" s="4" t="str">
        <f>HYPERLINK("http://www.rosaceae.org/Prunus/Prunus_persica/p.persica_gdr_reftransV1_0011014","p.persica_gdr_reftransV1_0011014")</f>
        <v>p.persica_gdr_reftransV1_0011014</v>
      </c>
      <c r="B4628" s="2">
        <v>488</v>
      </c>
      <c r="C4628" s="4" t="str">
        <f>HYPERLINK("http://www.uniprot.org/uniprot/M5WKQ8","M5WKQ8")</f>
        <v>M5WKQ8</v>
      </c>
      <c r="D4628" s="2" t="s">
        <v>4300</v>
      </c>
      <c r="E4628" s="3">
        <v>4E-50</v>
      </c>
      <c r="F4628" s="2">
        <v>423</v>
      </c>
      <c r="G4628" s="2">
        <v>100</v>
      </c>
      <c r="H4628" s="2">
        <v>98</v>
      </c>
      <c r="I4628" s="2">
        <v>143</v>
      </c>
      <c r="J4628" s="2">
        <v>436</v>
      </c>
      <c r="K4628" s="2">
        <v>1</v>
      </c>
      <c r="L4628" s="2">
        <v>98</v>
      </c>
    </row>
    <row r="4629" spans="1:12" x14ac:dyDescent="0.25">
      <c r="A4629" s="4" t="str">
        <f>HYPERLINK("http://www.rosaceae.org/Prunus/Prunus_persica/p.persica_gdr_reftransV1_0012064","p.persica_gdr_reftransV1_0012064")</f>
        <v>p.persica_gdr_reftransV1_0012064</v>
      </c>
      <c r="B4629" s="2">
        <v>1667</v>
      </c>
      <c r="C4629" s="4" t="str">
        <f>HYPERLINK("http://www.uniprot.org/uniprot/M5WPM7","M5WPM7")</f>
        <v>M5WPM7</v>
      </c>
      <c r="D4629" s="2" t="s">
        <v>4301</v>
      </c>
      <c r="E4629" s="3">
        <v>5.8899999999999999E-176</v>
      </c>
      <c r="F4629" s="2">
        <v>1315</v>
      </c>
      <c r="G4629" s="2">
        <v>100</v>
      </c>
      <c r="H4629" s="2">
        <v>296</v>
      </c>
      <c r="I4629" s="2">
        <v>423</v>
      </c>
      <c r="J4629" s="2">
        <v>1310</v>
      </c>
      <c r="K4629" s="2">
        <v>1</v>
      </c>
      <c r="L4629" s="2">
        <v>296</v>
      </c>
    </row>
    <row r="4630" spans="1:12" x14ac:dyDescent="0.25">
      <c r="A4630" s="4" t="str">
        <f>HYPERLINK("http://www.rosaceae.org/Prunus/Prunus_persica/p.persica_gdr_reftransV1_0012764","p.persica_gdr_reftransV1_0012764")</f>
        <v>p.persica_gdr_reftransV1_0012764</v>
      </c>
      <c r="B4630" s="2">
        <v>1545</v>
      </c>
      <c r="C4630" s="4" t="str">
        <f>HYPERLINK("http://www.uniprot.org/uniprot/M5W2T1","M5W2T1")</f>
        <v>M5W2T1</v>
      </c>
      <c r="D4630" s="2" t="s">
        <v>4302</v>
      </c>
      <c r="E4630" s="3">
        <v>1.05E-112</v>
      </c>
      <c r="F4630" s="2">
        <v>892</v>
      </c>
      <c r="G4630" s="2">
        <v>100</v>
      </c>
      <c r="H4630" s="2">
        <v>167</v>
      </c>
      <c r="I4630" s="2">
        <v>732</v>
      </c>
      <c r="J4630" s="2">
        <v>1232</v>
      </c>
      <c r="K4630" s="2">
        <v>136</v>
      </c>
      <c r="L4630" s="2">
        <v>302</v>
      </c>
    </row>
    <row r="4631" spans="1:12" x14ac:dyDescent="0.25">
      <c r="A4631" s="4" t="str">
        <f>HYPERLINK("http://www.rosaceae.org/Prunus/Prunus_persica/p.persica_gdr_reftransV1_0013464","p.persica_gdr_reftransV1_0013464")</f>
        <v>p.persica_gdr_reftransV1_0013464</v>
      </c>
      <c r="B4631" s="2">
        <v>762</v>
      </c>
      <c r="C4631" s="4" t="str">
        <f>HYPERLINK("http://www.uniprot.org/uniprot/M5X6I2","M5X6I2")</f>
        <v>M5X6I2</v>
      </c>
      <c r="D4631" s="2" t="s">
        <v>4303</v>
      </c>
      <c r="E4631" s="3">
        <v>7.86E-154</v>
      </c>
      <c r="F4631" s="2">
        <v>1168</v>
      </c>
      <c r="G4631" s="2">
        <v>100</v>
      </c>
      <c r="H4631" s="2">
        <v>236</v>
      </c>
      <c r="I4631" s="2">
        <v>54</v>
      </c>
      <c r="J4631" s="2">
        <v>761</v>
      </c>
      <c r="K4631" s="2">
        <v>23</v>
      </c>
      <c r="L4631" s="2">
        <v>258</v>
      </c>
    </row>
    <row r="4632" spans="1:12" x14ac:dyDescent="0.25">
      <c r="A4632" s="4" t="str">
        <f>HYPERLINK("http://www.rosaceae.org/Prunus/Prunus_persica/p.persica_gdr_reftransV1_0014514","p.persica_gdr_reftransV1_0014514")</f>
        <v>p.persica_gdr_reftransV1_0014514</v>
      </c>
      <c r="B4632" s="2">
        <v>836</v>
      </c>
      <c r="C4632" s="4" t="str">
        <f>HYPERLINK("http://www.uniprot.org/uniprot/M5X4C3","M5X4C3")</f>
        <v>M5X4C3</v>
      </c>
      <c r="D4632" s="2" t="s">
        <v>4304</v>
      </c>
      <c r="E4632" s="3">
        <v>9.559999999999999E-69</v>
      </c>
      <c r="F4632" s="2">
        <v>559</v>
      </c>
      <c r="G4632" s="2">
        <v>100</v>
      </c>
      <c r="H4632" s="2">
        <v>107</v>
      </c>
      <c r="I4632" s="2">
        <v>313</v>
      </c>
      <c r="J4632" s="2">
        <v>633</v>
      </c>
      <c r="K4632" s="2">
        <v>1</v>
      </c>
      <c r="L4632" s="2">
        <v>107</v>
      </c>
    </row>
    <row r="4633" spans="1:12" x14ac:dyDescent="0.25">
      <c r="A4633" s="4" t="str">
        <f>HYPERLINK("http://www.rosaceae.org/Prunus/Prunus_persica/p.persica_gdr_reftransV1_0014864","p.persica_gdr_reftransV1_0014864")</f>
        <v>p.persica_gdr_reftransV1_0014864</v>
      </c>
      <c r="B4633" s="2">
        <v>3196</v>
      </c>
      <c r="C4633" s="4" t="str">
        <f>HYPERLINK("http://www.uniprot.org/uniprot/F6HRY4","F6HRY4")</f>
        <v>F6HRY4</v>
      </c>
      <c r="D4633" s="2" t="s">
        <v>4305</v>
      </c>
      <c r="E4633" s="3">
        <v>0</v>
      </c>
      <c r="F4633" s="2">
        <v>2208</v>
      </c>
      <c r="G4633" s="2">
        <v>68</v>
      </c>
      <c r="H4633" s="2">
        <v>757</v>
      </c>
      <c r="I4633" s="2">
        <v>349</v>
      </c>
      <c r="J4633" s="2">
        <v>2580</v>
      </c>
      <c r="K4633" s="2">
        <v>1</v>
      </c>
      <c r="L4633" s="2">
        <v>737</v>
      </c>
    </row>
    <row r="4634" spans="1:12" x14ac:dyDescent="0.25">
      <c r="A4634" s="4" t="str">
        <f>HYPERLINK("http://www.rosaceae.org/Prunus/Prunus_persica/p.persica_gdr_reftransV1_0016614","p.persica_gdr_reftransV1_0016614")</f>
        <v>p.persica_gdr_reftransV1_0016614</v>
      </c>
      <c r="B4634" s="2">
        <v>1937</v>
      </c>
      <c r="C4634" s="4" t="str">
        <f>HYPERLINK("http://www.uniprot.org/uniprot/M5Y172","M5Y172")</f>
        <v>M5Y172</v>
      </c>
      <c r="D4634" s="2" t="s">
        <v>4306</v>
      </c>
      <c r="E4634" s="3">
        <v>0</v>
      </c>
      <c r="F4634" s="2">
        <v>2175</v>
      </c>
      <c r="G4634" s="2">
        <v>96</v>
      </c>
      <c r="H4634" s="2">
        <v>427</v>
      </c>
      <c r="I4634" s="2">
        <v>293</v>
      </c>
      <c r="J4634" s="2">
        <v>1573</v>
      </c>
      <c r="K4634" s="2">
        <v>20</v>
      </c>
      <c r="L4634" s="2">
        <v>430</v>
      </c>
    </row>
    <row r="4635" spans="1:12" x14ac:dyDescent="0.25">
      <c r="A4635" s="4" t="str">
        <f>HYPERLINK("http://www.rosaceae.org/Prunus/Prunus_persica/p.persica_gdr_reftransV1_0018014","p.persica_gdr_reftransV1_0018014")</f>
        <v>p.persica_gdr_reftransV1_0018014</v>
      </c>
      <c r="B4635" s="2">
        <v>442</v>
      </c>
      <c r="C4635" s="4" t="str">
        <f>HYPERLINK("http://www.uniprot.org/uniprot/M5WDG8","M5WDG8")</f>
        <v>M5WDG8</v>
      </c>
      <c r="D4635" s="2" t="s">
        <v>4307</v>
      </c>
      <c r="E4635" s="3">
        <v>3.9099999999999997E-74</v>
      </c>
      <c r="F4635" s="2">
        <v>602</v>
      </c>
      <c r="G4635" s="2">
        <v>98</v>
      </c>
      <c r="H4635" s="2">
        <v>124</v>
      </c>
      <c r="I4635" s="2">
        <v>2</v>
      </c>
      <c r="J4635" s="2">
        <v>373</v>
      </c>
      <c r="K4635" s="2">
        <v>42</v>
      </c>
      <c r="L4635" s="2">
        <v>165</v>
      </c>
    </row>
    <row r="4636" spans="1:12" x14ac:dyDescent="0.25">
      <c r="A4636" s="4" t="str">
        <f>HYPERLINK("http://www.rosaceae.org/Prunus/Prunus_persica/p.persica_gdr_reftransV1_0018364","p.persica_gdr_reftransV1_0018364")</f>
        <v>p.persica_gdr_reftransV1_0018364</v>
      </c>
      <c r="B4636" s="2">
        <v>2987</v>
      </c>
      <c r="C4636" s="4" t="str">
        <f>HYPERLINK("http://www.uniprot.org/uniprot/M5W0J3","M5W0J3")</f>
        <v>M5W0J3</v>
      </c>
      <c r="D4636" s="2" t="s">
        <v>4308</v>
      </c>
      <c r="E4636" s="3">
        <v>2.61E-77</v>
      </c>
      <c r="F4636" s="2">
        <v>678</v>
      </c>
      <c r="G4636" s="2">
        <v>100</v>
      </c>
      <c r="H4636" s="2">
        <v>128</v>
      </c>
      <c r="I4636" s="2">
        <v>541</v>
      </c>
      <c r="J4636" s="2">
        <v>924</v>
      </c>
      <c r="K4636" s="2">
        <v>157</v>
      </c>
      <c r="L4636" s="2">
        <v>284</v>
      </c>
    </row>
    <row r="4637" spans="1:12" x14ac:dyDescent="0.25">
      <c r="A4637" s="4" t="str">
        <f>HYPERLINK("http://www.rosaceae.org/Prunus/Prunus_persica/p.persica_gdr_reftransV1_0019414","p.persica_gdr_reftransV1_0019414")</f>
        <v>p.persica_gdr_reftransV1_0019414</v>
      </c>
      <c r="B4637" s="2">
        <v>1937</v>
      </c>
      <c r="C4637" s="4" t="str">
        <f>HYPERLINK("http://www.uniprot.org/uniprot/M5VVI7","M5VVI7")</f>
        <v>M5VVI7</v>
      </c>
      <c r="D4637" s="2" t="s">
        <v>4309</v>
      </c>
      <c r="E4637" s="3">
        <v>0</v>
      </c>
      <c r="F4637" s="2">
        <v>1644</v>
      </c>
      <c r="G4637" s="2">
        <v>100</v>
      </c>
      <c r="H4637" s="2">
        <v>340</v>
      </c>
      <c r="I4637" s="2">
        <v>817</v>
      </c>
      <c r="J4637" s="2">
        <v>1836</v>
      </c>
      <c r="K4637" s="2">
        <v>1</v>
      </c>
      <c r="L4637" s="2">
        <v>340</v>
      </c>
    </row>
    <row r="4638" spans="1:12" x14ac:dyDescent="0.25">
      <c r="A4638" s="4" t="str">
        <f>HYPERLINK("http://www.rosaceae.org/Prunus/Prunus_persica/p.persica_gdr_reftransV1_0019764","p.persica_gdr_reftransV1_0019764")</f>
        <v>p.persica_gdr_reftransV1_0019764</v>
      </c>
      <c r="B4638" s="2">
        <v>1316</v>
      </c>
      <c r="C4638" s="4" t="str">
        <f>HYPERLINK("http://www.uniprot.org/uniprot/M5WGI5","M5WGI5")</f>
        <v>M5WGI5</v>
      </c>
      <c r="D4638" s="2" t="s">
        <v>4310</v>
      </c>
      <c r="E4638" s="3">
        <v>0</v>
      </c>
      <c r="F4638" s="2">
        <v>1524</v>
      </c>
      <c r="G4638" s="2">
        <v>100</v>
      </c>
      <c r="H4638" s="2">
        <v>282</v>
      </c>
      <c r="I4638" s="2">
        <v>83</v>
      </c>
      <c r="J4638" s="2">
        <v>928</v>
      </c>
      <c r="K4638" s="2">
        <v>2</v>
      </c>
      <c r="L4638" s="2">
        <v>283</v>
      </c>
    </row>
    <row r="4639" spans="1:12" x14ac:dyDescent="0.25">
      <c r="A4639" s="4" t="str">
        <f>HYPERLINK("http://www.rosaceae.org/Prunus/Prunus_persica/p.persica_gdr_reftransV1_0020464","p.persica_gdr_reftransV1_0020464")</f>
        <v>p.persica_gdr_reftransV1_0020464</v>
      </c>
      <c r="B4639" s="2">
        <v>3066</v>
      </c>
      <c r="C4639" s="4" t="str">
        <f>HYPERLINK("http://www.uniprot.org/uniprot/M5XAT9","M5XAT9")</f>
        <v>M5XAT9</v>
      </c>
      <c r="D4639" s="2" t="s">
        <v>4311</v>
      </c>
      <c r="E4639" s="3">
        <v>0</v>
      </c>
      <c r="F4639" s="2">
        <v>3777</v>
      </c>
      <c r="G4639" s="2">
        <v>99</v>
      </c>
      <c r="H4639" s="2">
        <v>770</v>
      </c>
      <c r="I4639" s="2">
        <v>437</v>
      </c>
      <c r="J4639" s="2">
        <v>2746</v>
      </c>
      <c r="K4639" s="2">
        <v>1</v>
      </c>
      <c r="L4639" s="2">
        <v>762</v>
      </c>
    </row>
    <row r="4640" spans="1:12" x14ac:dyDescent="0.25">
      <c r="A4640" s="4" t="str">
        <f>HYPERLINK("http://www.rosaceae.org/Prunus/Prunus_persica/p.persica_gdr_reftransV1_0020814","p.persica_gdr_reftransV1_0020814")</f>
        <v>p.persica_gdr_reftransV1_0020814</v>
      </c>
      <c r="B4640" s="2">
        <v>1796</v>
      </c>
      <c r="C4640" s="4" t="str">
        <f>HYPERLINK("http://www.uniprot.org/uniprot/M5W7Y3","M5W7Y3")</f>
        <v>M5W7Y3</v>
      </c>
      <c r="D4640" s="2" t="s">
        <v>4312</v>
      </c>
      <c r="E4640" s="3">
        <v>4.8600000000000002E-65</v>
      </c>
      <c r="F4640" s="2">
        <v>558</v>
      </c>
      <c r="G4640" s="2">
        <v>99</v>
      </c>
      <c r="H4640" s="2">
        <v>105</v>
      </c>
      <c r="I4640" s="2">
        <v>1180</v>
      </c>
      <c r="J4640" s="2">
        <v>1494</v>
      </c>
      <c r="K4640" s="2">
        <v>1</v>
      </c>
      <c r="L4640" s="2">
        <v>105</v>
      </c>
    </row>
    <row r="4641" spans="1:12" x14ac:dyDescent="0.25">
      <c r="A4641" s="4" t="str">
        <f>HYPERLINK("http://www.rosaceae.org/Prunus/Prunus_persica/p.persica_gdr_reftransV1_0021164","p.persica_gdr_reftransV1_0021164")</f>
        <v>p.persica_gdr_reftransV1_0021164</v>
      </c>
      <c r="B4641" s="2">
        <v>2905</v>
      </c>
      <c r="C4641" s="4" t="str">
        <f>HYPERLINK("http://www.uniprot.org/uniprot/M5Y4V4","M5Y4V4")</f>
        <v>M5Y4V4</v>
      </c>
      <c r="D4641" s="2" t="s">
        <v>4313</v>
      </c>
      <c r="E4641" s="3">
        <v>0</v>
      </c>
      <c r="F4641" s="2">
        <v>1826</v>
      </c>
      <c r="G4641" s="2">
        <v>88</v>
      </c>
      <c r="H4641" s="2">
        <v>488</v>
      </c>
      <c r="I4641" s="2">
        <v>827</v>
      </c>
      <c r="J4641" s="2">
        <v>2290</v>
      </c>
      <c r="K4641" s="2">
        <v>177</v>
      </c>
      <c r="L4641" s="2">
        <v>618</v>
      </c>
    </row>
    <row r="4642" spans="1:12" x14ac:dyDescent="0.25">
      <c r="A4642" s="4" t="str">
        <f>HYPERLINK("http://www.rosaceae.org/Prunus/Prunus_persica/p.persica_gdr_reftransV1_0021864","p.persica_gdr_reftransV1_0021864")</f>
        <v>p.persica_gdr_reftransV1_0021864</v>
      </c>
      <c r="B4642" s="2">
        <v>2160</v>
      </c>
      <c r="C4642" s="4" t="str">
        <f>HYPERLINK("http://www.uniprot.org/uniprot/M5XCN0","M5XCN0")</f>
        <v>M5XCN0</v>
      </c>
      <c r="D4642" s="2" t="s">
        <v>4314</v>
      </c>
      <c r="E4642" s="3">
        <v>0</v>
      </c>
      <c r="F4642" s="2">
        <v>2928</v>
      </c>
      <c r="G4642" s="2">
        <v>100</v>
      </c>
      <c r="H4642" s="2">
        <v>541</v>
      </c>
      <c r="I4642" s="2">
        <v>515</v>
      </c>
      <c r="J4642" s="2">
        <v>2137</v>
      </c>
      <c r="K4642" s="2">
        <v>1</v>
      </c>
      <c r="L4642" s="2">
        <v>541</v>
      </c>
    </row>
    <row r="4643" spans="1:12" x14ac:dyDescent="0.25">
      <c r="A4643" s="4" t="str">
        <f>HYPERLINK("http://www.rosaceae.org/Prunus/Prunus_persica/p.persica_gdr_reftransV1_0022914","p.persica_gdr_reftransV1_0022914")</f>
        <v>p.persica_gdr_reftransV1_0022914</v>
      </c>
      <c r="B4643" s="2">
        <v>614</v>
      </c>
      <c r="C4643" s="4" t="str">
        <f>HYPERLINK("http://www.uniprot.org/uniprot/M5WBX8","M5WBX8")</f>
        <v>M5WBX8</v>
      </c>
      <c r="D4643" s="2" t="s">
        <v>882</v>
      </c>
      <c r="E4643" s="3">
        <v>4.6899999999999999E-112</v>
      </c>
      <c r="F4643" s="2">
        <v>927</v>
      </c>
      <c r="G4643" s="2">
        <v>93</v>
      </c>
      <c r="H4643" s="2">
        <v>188</v>
      </c>
      <c r="I4643" s="2">
        <v>2</v>
      </c>
      <c r="J4643" s="2">
        <v>565</v>
      </c>
      <c r="K4643" s="2">
        <v>987</v>
      </c>
      <c r="L4643" s="2">
        <v>1174</v>
      </c>
    </row>
    <row r="4644" spans="1:12" x14ac:dyDescent="0.25">
      <c r="A4644" s="4" t="str">
        <f>HYPERLINK("http://www.rosaceae.org/Prunus/Prunus_persica/p.persica_gdr_reftransV1_0023264","p.persica_gdr_reftransV1_0023264")</f>
        <v>p.persica_gdr_reftransV1_0023264</v>
      </c>
      <c r="B4644" s="2">
        <v>2744</v>
      </c>
      <c r="C4644" s="4" t="str">
        <f>HYPERLINK("http://www.uniprot.org/uniprot/M5XDT1","M5XDT1")</f>
        <v>M5XDT1</v>
      </c>
      <c r="D4644" s="2" t="s">
        <v>4315</v>
      </c>
      <c r="E4644" s="3">
        <v>0</v>
      </c>
      <c r="F4644" s="2">
        <v>2872</v>
      </c>
      <c r="G4644" s="2">
        <v>100</v>
      </c>
      <c r="H4644" s="2">
        <v>551</v>
      </c>
      <c r="I4644" s="2">
        <v>186</v>
      </c>
      <c r="J4644" s="2">
        <v>1838</v>
      </c>
      <c r="K4644" s="2">
        <v>1</v>
      </c>
      <c r="L4644" s="2">
        <v>551</v>
      </c>
    </row>
    <row r="4645" spans="1:12" x14ac:dyDescent="0.25">
      <c r="A4645" s="4" t="str">
        <f>HYPERLINK("http://www.rosaceae.org/Prunus/Prunus_persica/p.persica_gdr_reftransV1_0025014","p.persica_gdr_reftransV1_0025014")</f>
        <v>p.persica_gdr_reftransV1_0025014</v>
      </c>
      <c r="B4645" s="2">
        <v>1201</v>
      </c>
      <c r="C4645" s="4" t="str">
        <f>HYPERLINK("http://www.uniprot.org/uniprot/M5VNC0","M5VNC0")</f>
        <v>M5VNC0</v>
      </c>
      <c r="D4645" s="2" t="s">
        <v>4316</v>
      </c>
      <c r="E4645" s="3">
        <v>1.0899999999999999E-138</v>
      </c>
      <c r="F4645" s="2">
        <v>1080</v>
      </c>
      <c r="G4645" s="2">
        <v>85</v>
      </c>
      <c r="H4645" s="2">
        <v>248</v>
      </c>
      <c r="I4645" s="2">
        <v>3</v>
      </c>
      <c r="J4645" s="2">
        <v>746</v>
      </c>
      <c r="K4645" s="2">
        <v>374</v>
      </c>
      <c r="L4645" s="2">
        <v>583</v>
      </c>
    </row>
    <row r="4646" spans="1:12" x14ac:dyDescent="0.25">
      <c r="A4646" s="4" t="str">
        <f>HYPERLINK("http://www.rosaceae.org/Prunus/Prunus_persica/p.persica_gdr_reftransV1_0025714","p.persica_gdr_reftransV1_0025714")</f>
        <v>p.persica_gdr_reftransV1_0025714</v>
      </c>
      <c r="B4646" s="2">
        <v>10084</v>
      </c>
      <c r="C4646" s="4" t="str">
        <f>HYPERLINK("http://www.uniprot.org/uniprot/M5XUM8","M5XUM8")</f>
        <v>M5XUM8</v>
      </c>
      <c r="D4646" s="2" t="s">
        <v>4317</v>
      </c>
      <c r="E4646" s="3">
        <v>0</v>
      </c>
      <c r="F4646" s="2">
        <v>3796</v>
      </c>
      <c r="G4646" s="2">
        <v>100</v>
      </c>
      <c r="H4646" s="2">
        <v>733</v>
      </c>
      <c r="I4646" s="2">
        <v>1996</v>
      </c>
      <c r="J4646" s="2">
        <v>4194</v>
      </c>
      <c r="K4646" s="2">
        <v>1</v>
      </c>
      <c r="L4646" s="2">
        <v>733</v>
      </c>
    </row>
    <row r="4647" spans="1:12" x14ac:dyDescent="0.25">
      <c r="A4647" s="4" t="str">
        <f>HYPERLINK("http://www.rosaceae.org/Prunus/Prunus_persica/p.persica_gdr_reftransV1_0026764","p.persica_gdr_reftransV1_0026764")</f>
        <v>p.persica_gdr_reftransV1_0026764</v>
      </c>
      <c r="B4647" s="2">
        <v>2536</v>
      </c>
      <c r="C4647" s="4" t="str">
        <f>HYPERLINK("http://www.uniprot.org/uniprot/M5W7W1","M5W7W1")</f>
        <v>M5W7W1</v>
      </c>
      <c r="D4647" s="2" t="s">
        <v>4318</v>
      </c>
      <c r="E4647" s="3">
        <v>0</v>
      </c>
      <c r="F4647" s="2">
        <v>1620</v>
      </c>
      <c r="G4647" s="2">
        <v>99</v>
      </c>
      <c r="H4647" s="2">
        <v>329</v>
      </c>
      <c r="I4647" s="2">
        <v>1088</v>
      </c>
      <c r="J4647" s="2">
        <v>2074</v>
      </c>
      <c r="K4647" s="2">
        <v>189</v>
      </c>
      <c r="L4647" s="2">
        <v>517</v>
      </c>
    </row>
    <row r="4648" spans="1:12" x14ac:dyDescent="0.25">
      <c r="A4648" s="4" t="str">
        <f>HYPERLINK("http://www.rosaceae.org/Prunus/Prunus_persica/p.persica_gdr_reftransV1_0027114","p.persica_gdr_reftransV1_0027114")</f>
        <v>p.persica_gdr_reftransV1_0027114</v>
      </c>
      <c r="B4648" s="2">
        <v>2899</v>
      </c>
      <c r="C4648" s="4" t="str">
        <f>HYPERLINK("http://www.uniprot.org/uniprot/M5VZ69","M5VZ69")</f>
        <v>M5VZ69</v>
      </c>
      <c r="D4648" s="2" t="s">
        <v>4319</v>
      </c>
      <c r="E4648" s="3">
        <v>1.35E-130</v>
      </c>
      <c r="F4648" s="2">
        <v>1050</v>
      </c>
      <c r="G4648" s="2">
        <v>95</v>
      </c>
      <c r="H4648" s="2">
        <v>226</v>
      </c>
      <c r="I4648" s="2">
        <v>2042</v>
      </c>
      <c r="J4648" s="2">
        <v>2719</v>
      </c>
      <c r="K4648" s="2">
        <v>1</v>
      </c>
      <c r="L4648" s="2">
        <v>223</v>
      </c>
    </row>
    <row r="4649" spans="1:12" x14ac:dyDescent="0.25">
      <c r="A4649" s="4" t="str">
        <f>HYPERLINK("http://www.rosaceae.org/Prunus/Prunus_persica/p.persica_gdr_reftransV1_0028164","p.persica_gdr_reftransV1_0028164")</f>
        <v>p.persica_gdr_reftransV1_0028164</v>
      </c>
      <c r="B4649" s="2">
        <v>1836</v>
      </c>
      <c r="C4649" s="4" t="str">
        <f>HYPERLINK("http://www.uniprot.org/uniprot/A0A067GW39","A0A067GW39")</f>
        <v>A0A067GW39</v>
      </c>
      <c r="D4649" s="2" t="s">
        <v>4320</v>
      </c>
      <c r="E4649" s="3">
        <v>9.3600000000000005E-104</v>
      </c>
      <c r="F4649" s="2">
        <v>840</v>
      </c>
      <c r="G4649" s="2">
        <v>80</v>
      </c>
      <c r="H4649" s="2">
        <v>201</v>
      </c>
      <c r="I4649" s="2">
        <v>1161</v>
      </c>
      <c r="J4649" s="2">
        <v>1763</v>
      </c>
      <c r="K4649" s="2">
        <v>1</v>
      </c>
      <c r="L4649" s="2">
        <v>201</v>
      </c>
    </row>
    <row r="4650" spans="1:12" x14ac:dyDescent="0.25">
      <c r="A4650" s="4" t="str">
        <f>HYPERLINK("http://www.rosaceae.org/Prunus/Prunus_persica/p.persica_gdr_reftransV1_0030614","p.persica_gdr_reftransV1_0030614")</f>
        <v>p.persica_gdr_reftransV1_0030614</v>
      </c>
      <c r="B4650" s="2">
        <v>4103</v>
      </c>
      <c r="C4650" s="4" t="str">
        <f>HYPERLINK("http://www.uniprot.org/uniprot/M5XCK6","M5XCK6")</f>
        <v>M5XCK6</v>
      </c>
      <c r="D4650" s="2" t="s">
        <v>4321</v>
      </c>
      <c r="E4650" s="3">
        <v>7.8800000000000006E-173</v>
      </c>
      <c r="F4650" s="2">
        <v>1373</v>
      </c>
      <c r="G4650" s="2">
        <v>99</v>
      </c>
      <c r="H4650" s="2">
        <v>292</v>
      </c>
      <c r="I4650" s="2">
        <v>2605</v>
      </c>
      <c r="J4650" s="2">
        <v>3480</v>
      </c>
      <c r="K4650" s="2">
        <v>135</v>
      </c>
      <c r="L4650" s="2">
        <v>426</v>
      </c>
    </row>
    <row r="4651" spans="1:12" x14ac:dyDescent="0.25">
      <c r="A4651" s="4" t="str">
        <f>HYPERLINK("http://www.rosaceae.org/Prunus/Prunus_persica/p.persica_gdr_reftransV1_0031664","p.persica_gdr_reftransV1_0031664")</f>
        <v>p.persica_gdr_reftransV1_0031664</v>
      </c>
      <c r="B4651" s="2">
        <v>2074</v>
      </c>
      <c r="C4651" s="4" t="str">
        <f>HYPERLINK("http://www.uniprot.org/uniprot/M5X0P7","M5X0P7")</f>
        <v>M5X0P7</v>
      </c>
      <c r="D4651" s="2" t="s">
        <v>4322</v>
      </c>
      <c r="E4651" s="3">
        <v>9.0699999999999999E-116</v>
      </c>
      <c r="F4651" s="2">
        <v>917</v>
      </c>
      <c r="G4651" s="2">
        <v>99</v>
      </c>
      <c r="H4651" s="2">
        <v>194</v>
      </c>
      <c r="I4651" s="2">
        <v>582</v>
      </c>
      <c r="J4651" s="2">
        <v>1163</v>
      </c>
      <c r="K4651" s="2">
        <v>1</v>
      </c>
      <c r="L4651" s="2">
        <v>194</v>
      </c>
    </row>
    <row r="4652" spans="1:12" x14ac:dyDescent="0.25">
      <c r="A4652" s="4" t="str">
        <f>HYPERLINK("http://www.rosaceae.org/Prunus/Prunus_persica/p.persica_gdr_reftransV1_0032014","p.persica_gdr_reftransV1_0032014")</f>
        <v>p.persica_gdr_reftransV1_0032014</v>
      </c>
      <c r="B4652" s="2">
        <v>4135</v>
      </c>
      <c r="C4652" s="4" t="str">
        <f>HYPERLINK("http://www.uniprot.org/uniprot/M5WR17","M5WR17")</f>
        <v>M5WR17</v>
      </c>
      <c r="D4652" s="2" t="s">
        <v>4323</v>
      </c>
      <c r="E4652" s="3">
        <v>0</v>
      </c>
      <c r="F4652" s="2">
        <v>3905</v>
      </c>
      <c r="G4652" s="2">
        <v>100</v>
      </c>
      <c r="H4652" s="2">
        <v>721</v>
      </c>
      <c r="I4652" s="2">
        <v>505</v>
      </c>
      <c r="J4652" s="2">
        <v>2667</v>
      </c>
      <c r="K4652" s="2">
        <v>153</v>
      </c>
      <c r="L4652" s="2">
        <v>873</v>
      </c>
    </row>
    <row r="4653" spans="1:12" x14ac:dyDescent="0.25">
      <c r="A4653" s="4" t="str">
        <f>HYPERLINK("http://www.rosaceae.org/Prunus/Prunus_persica/p.persica_gdr_reftransV1_0033064","p.persica_gdr_reftransV1_0033064")</f>
        <v>p.persica_gdr_reftransV1_0033064</v>
      </c>
      <c r="B4653" s="2">
        <v>787</v>
      </c>
      <c r="C4653" s="4" t="str">
        <f>HYPERLINK("http://www.uniprot.org/uniprot/M5XIQ8","M5XIQ8")</f>
        <v>M5XIQ8</v>
      </c>
      <c r="D4653" s="2" t="s">
        <v>4324</v>
      </c>
      <c r="E4653" s="3">
        <v>1.6700000000000001E-8</v>
      </c>
      <c r="F4653" s="2">
        <v>153</v>
      </c>
      <c r="G4653" s="2">
        <v>70</v>
      </c>
      <c r="H4653" s="2">
        <v>43</v>
      </c>
      <c r="I4653" s="2">
        <v>606</v>
      </c>
      <c r="J4653" s="2">
        <v>734</v>
      </c>
      <c r="K4653" s="2">
        <v>241</v>
      </c>
      <c r="L4653" s="2">
        <v>283</v>
      </c>
    </row>
    <row r="4654" spans="1:12" x14ac:dyDescent="0.25">
      <c r="A4654" s="4" t="str">
        <f>HYPERLINK("http://www.rosaceae.org/Prunus/Prunus_persica/p.persica_gdr_reftransV1_0034114","p.persica_gdr_reftransV1_0034114")</f>
        <v>p.persica_gdr_reftransV1_0034114</v>
      </c>
      <c r="B4654" s="2">
        <v>1516</v>
      </c>
      <c r="C4654" s="4" t="str">
        <f>HYPERLINK("http://www.uniprot.org/uniprot/M5WXV7","M5WXV7")</f>
        <v>M5WXV7</v>
      </c>
      <c r="D4654" s="2" t="s">
        <v>4325</v>
      </c>
      <c r="E4654" s="3">
        <v>2.7900000000000001E-170</v>
      </c>
      <c r="F4654" s="2">
        <v>1267</v>
      </c>
      <c r="G4654" s="2">
        <v>100</v>
      </c>
      <c r="H4654" s="2">
        <v>249</v>
      </c>
      <c r="I4654" s="2">
        <v>102</v>
      </c>
      <c r="J4654" s="2">
        <v>848</v>
      </c>
      <c r="K4654" s="2">
        <v>1</v>
      </c>
      <c r="L4654" s="2">
        <v>249</v>
      </c>
    </row>
    <row r="4655" spans="1:12" x14ac:dyDescent="0.25">
      <c r="A4655" s="4" t="str">
        <f>HYPERLINK("http://www.rosaceae.org/Prunus/Prunus_persica/p.persica_gdr_reftransV1_0034464","p.persica_gdr_reftransV1_0034464")</f>
        <v>p.persica_gdr_reftransV1_0034464</v>
      </c>
      <c r="B4655" s="2">
        <v>1691</v>
      </c>
      <c r="C4655" s="4" t="str">
        <f>HYPERLINK("http://www.uniprot.org/uniprot/M5VZL1","M5VZL1")</f>
        <v>M5VZL1</v>
      </c>
      <c r="D4655" s="2" t="s">
        <v>4326</v>
      </c>
      <c r="E4655" s="3">
        <v>0</v>
      </c>
      <c r="F4655" s="2">
        <v>1391</v>
      </c>
      <c r="G4655" s="2">
        <v>100</v>
      </c>
      <c r="H4655" s="2">
        <v>274</v>
      </c>
      <c r="I4655" s="2">
        <v>721</v>
      </c>
      <c r="J4655" s="2">
        <v>1542</v>
      </c>
      <c r="K4655" s="2">
        <v>1</v>
      </c>
      <c r="L4655" s="2">
        <v>274</v>
      </c>
    </row>
    <row r="4656" spans="1:12" x14ac:dyDescent="0.25">
      <c r="A4656" s="4" t="str">
        <f>HYPERLINK("http://www.rosaceae.org/Prunus/Prunus_persica/p.persica_gdr_reftransV1_0038664","p.persica_gdr_reftransV1_0038664")</f>
        <v>p.persica_gdr_reftransV1_0038664</v>
      </c>
      <c r="B4656" s="2">
        <v>2204</v>
      </c>
      <c r="C4656" s="4" t="str">
        <f>HYPERLINK("http://www.uniprot.org/uniprot/M5WHQ2","M5WHQ2")</f>
        <v>M5WHQ2</v>
      </c>
      <c r="D4656" s="2" t="s">
        <v>4327</v>
      </c>
      <c r="E4656" s="3">
        <v>0</v>
      </c>
      <c r="F4656" s="2">
        <v>2431</v>
      </c>
      <c r="G4656" s="2">
        <v>100</v>
      </c>
      <c r="H4656" s="2">
        <v>492</v>
      </c>
      <c r="I4656" s="2">
        <v>488</v>
      </c>
      <c r="J4656" s="2">
        <v>1963</v>
      </c>
      <c r="K4656" s="2">
        <v>1</v>
      </c>
      <c r="L4656" s="2">
        <v>492</v>
      </c>
    </row>
    <row r="4657" spans="1:12" x14ac:dyDescent="0.25">
      <c r="A4657" s="4" t="str">
        <f>HYPERLINK("http://www.rosaceae.org/Prunus/Prunus_persica/p.persica_gdr_reftransV1_0041114","p.persica_gdr_reftransV1_0041114")</f>
        <v>p.persica_gdr_reftransV1_0041114</v>
      </c>
      <c r="B4657" s="2">
        <v>1809</v>
      </c>
      <c r="C4657" s="4" t="str">
        <f>HYPERLINK("http://www.uniprot.org/uniprot/M5XZZ2","M5XZZ2")</f>
        <v>M5XZZ2</v>
      </c>
      <c r="D4657" s="2" t="s">
        <v>4328</v>
      </c>
      <c r="E4657" s="3">
        <v>9.4899999999999995E-69</v>
      </c>
      <c r="F4657" s="2">
        <v>587</v>
      </c>
      <c r="G4657" s="2">
        <v>100</v>
      </c>
      <c r="H4657" s="2">
        <v>142</v>
      </c>
      <c r="I4657" s="2">
        <v>167</v>
      </c>
      <c r="J4657" s="2">
        <v>592</v>
      </c>
      <c r="K4657" s="2">
        <v>1</v>
      </c>
      <c r="L4657" s="2">
        <v>142</v>
      </c>
    </row>
    <row r="4658" spans="1:12" x14ac:dyDescent="0.25">
      <c r="A4658" s="4" t="str">
        <f>HYPERLINK("http://www.rosaceae.org/Prunus/Prunus_persica/p.persica_gdr_reftransV1_0042164","p.persica_gdr_reftransV1_0042164")</f>
        <v>p.persica_gdr_reftransV1_0042164</v>
      </c>
      <c r="B4658" s="2">
        <v>2244</v>
      </c>
      <c r="C4658" s="4" t="str">
        <f>HYPERLINK("http://www.uniprot.org/uniprot/M5Y3J1","M5Y3J1")</f>
        <v>M5Y3J1</v>
      </c>
      <c r="D4658" s="2" t="s">
        <v>4329</v>
      </c>
      <c r="E4658" s="3">
        <v>0</v>
      </c>
      <c r="F4658" s="2">
        <v>3224</v>
      </c>
      <c r="G4658" s="2">
        <v>97</v>
      </c>
      <c r="H4658" s="2">
        <v>619</v>
      </c>
      <c r="I4658" s="2">
        <v>397</v>
      </c>
      <c r="J4658" s="2">
        <v>2244</v>
      </c>
      <c r="K4658" s="2">
        <v>67</v>
      </c>
      <c r="L4658" s="2">
        <v>670</v>
      </c>
    </row>
    <row r="4659" spans="1:12" x14ac:dyDescent="0.25">
      <c r="A4659" s="4" t="str">
        <f>HYPERLINK("http://www.rosaceae.org/Prunus/Prunus_persica/p.persica_gdr_reftransV1_0043214","p.persica_gdr_reftransV1_0043214")</f>
        <v>p.persica_gdr_reftransV1_0043214</v>
      </c>
      <c r="B4659" s="2">
        <v>868</v>
      </c>
      <c r="C4659" s="4" t="str">
        <f>HYPERLINK("http://www.uniprot.org/uniprot/M5W3T1","M5W3T1")</f>
        <v>M5W3T1</v>
      </c>
      <c r="D4659" s="2" t="s">
        <v>4330</v>
      </c>
      <c r="E4659" s="3">
        <v>6.6E-128</v>
      </c>
      <c r="F4659" s="2">
        <v>980</v>
      </c>
      <c r="G4659" s="2">
        <v>97</v>
      </c>
      <c r="H4659" s="2">
        <v>202</v>
      </c>
      <c r="I4659" s="2">
        <v>120</v>
      </c>
      <c r="J4659" s="2">
        <v>725</v>
      </c>
      <c r="K4659" s="2">
        <v>186</v>
      </c>
      <c r="L4659" s="2">
        <v>387</v>
      </c>
    </row>
    <row r="4660" spans="1:12" x14ac:dyDescent="0.25">
      <c r="A4660" s="4" t="str">
        <f>HYPERLINK("http://www.rosaceae.org/Prunus/Prunus_persica/p.persica_gdr_reftransV1_0043564","p.persica_gdr_reftransV1_0043564")</f>
        <v>p.persica_gdr_reftransV1_0043564</v>
      </c>
      <c r="B4660" s="2">
        <v>868</v>
      </c>
      <c r="C4660" s="4" t="str">
        <f>HYPERLINK("http://www.uniprot.org/uniprot/M5XFF6","M5XFF6")</f>
        <v>M5XFF6</v>
      </c>
      <c r="D4660" s="2" t="s">
        <v>4331</v>
      </c>
      <c r="E4660" s="3">
        <v>1.5499999999999999E-86</v>
      </c>
      <c r="F4660" s="2">
        <v>713</v>
      </c>
      <c r="G4660" s="2">
        <v>100</v>
      </c>
      <c r="H4660" s="2">
        <v>140</v>
      </c>
      <c r="I4660" s="2">
        <v>326</v>
      </c>
      <c r="J4660" s="2">
        <v>745</v>
      </c>
      <c r="K4660" s="2">
        <v>360</v>
      </c>
      <c r="L4660" s="2">
        <v>499</v>
      </c>
    </row>
    <row r="4661" spans="1:12" x14ac:dyDescent="0.25">
      <c r="A4661" s="4" t="str">
        <f>HYPERLINK("http://www.rosaceae.org/Prunus/Prunus_persica/p.persica_gdr_reftransV1_0043914","p.persica_gdr_reftransV1_0043914")</f>
        <v>p.persica_gdr_reftransV1_0043914</v>
      </c>
      <c r="B4661" s="2">
        <v>714</v>
      </c>
      <c r="C4661" s="4" t="str">
        <f>HYPERLINK("http://www.uniprot.org/uniprot/M5VXZ9","M5VXZ9")</f>
        <v>M5VXZ9</v>
      </c>
      <c r="D4661" s="2" t="s">
        <v>4332</v>
      </c>
      <c r="E4661" s="3">
        <v>1.2300000000000001E-72</v>
      </c>
      <c r="F4661" s="2">
        <v>582</v>
      </c>
      <c r="G4661" s="2">
        <v>100</v>
      </c>
      <c r="H4661" s="2">
        <v>125</v>
      </c>
      <c r="I4661" s="2">
        <v>33</v>
      </c>
      <c r="J4661" s="2">
        <v>407</v>
      </c>
      <c r="K4661" s="2">
        <v>1</v>
      </c>
      <c r="L4661" s="2">
        <v>125</v>
      </c>
    </row>
    <row r="4662" spans="1:12" x14ac:dyDescent="0.25">
      <c r="A4662" s="4" t="str">
        <f>HYPERLINK("http://www.rosaceae.org/Prunus/Prunus_persica/p.persica_gdr_reftransV1_0044264","p.persica_gdr_reftransV1_0044264")</f>
        <v>p.persica_gdr_reftransV1_0044264</v>
      </c>
      <c r="B4662" s="2">
        <v>1349</v>
      </c>
      <c r="C4662" s="4" t="str">
        <f>HYPERLINK("http://www.uniprot.org/uniprot/M5XSD4","M5XSD4")</f>
        <v>M5XSD4</v>
      </c>
      <c r="D4662" s="2" t="s">
        <v>4333</v>
      </c>
      <c r="E4662" s="3">
        <v>7.6099999999999997E-166</v>
      </c>
      <c r="F4662" s="2">
        <v>1233</v>
      </c>
      <c r="G4662" s="2">
        <v>100</v>
      </c>
      <c r="H4662" s="2">
        <v>249</v>
      </c>
      <c r="I4662" s="2">
        <v>234</v>
      </c>
      <c r="J4662" s="2">
        <v>980</v>
      </c>
      <c r="K4662" s="2">
        <v>2</v>
      </c>
      <c r="L4662" s="2">
        <v>250</v>
      </c>
    </row>
    <row r="4663" spans="1:12" x14ac:dyDescent="0.25">
      <c r="A4663" s="4" t="str">
        <f>HYPERLINK("http://www.rosaceae.org/Prunus/Prunus_persica/p.persica_gdr_reftransV1_0044614","p.persica_gdr_reftransV1_0044614")</f>
        <v>p.persica_gdr_reftransV1_0044614</v>
      </c>
      <c r="B4663" s="2">
        <v>297</v>
      </c>
      <c r="C4663" s="4" t="str">
        <f>HYPERLINK("http://www.uniprot.org/uniprot/M5WLX7","M5WLX7")</f>
        <v>M5WLX7</v>
      </c>
      <c r="D4663" s="2" t="s">
        <v>4334</v>
      </c>
      <c r="E4663" s="3">
        <v>6.1299999999999998E-41</v>
      </c>
      <c r="F4663" s="2">
        <v>390</v>
      </c>
      <c r="G4663" s="2">
        <v>82</v>
      </c>
      <c r="H4663" s="2">
        <v>98</v>
      </c>
      <c r="I4663" s="2">
        <v>3</v>
      </c>
      <c r="J4663" s="2">
        <v>296</v>
      </c>
      <c r="K4663" s="2">
        <v>504</v>
      </c>
      <c r="L4663" s="2">
        <v>600</v>
      </c>
    </row>
    <row r="4664" spans="1:12" x14ac:dyDescent="0.25">
      <c r="A4664" s="4" t="str">
        <f>HYPERLINK("http://www.rosaceae.org/Prunus/Prunus_persica/p.persica_gdr_reftransV1_0044964","p.persica_gdr_reftransV1_0044964")</f>
        <v>p.persica_gdr_reftransV1_0044964</v>
      </c>
      <c r="B4664" s="2">
        <v>880</v>
      </c>
      <c r="C4664" s="4" t="str">
        <f>HYPERLINK("http://www.uniprot.org/uniprot/M5W1N0","M5W1N0")</f>
        <v>M5W1N0</v>
      </c>
      <c r="D4664" s="2" t="s">
        <v>4335</v>
      </c>
      <c r="E4664" s="3">
        <v>5.4600000000000004E-47</v>
      </c>
      <c r="F4664" s="2">
        <v>419</v>
      </c>
      <c r="G4664" s="2">
        <v>100</v>
      </c>
      <c r="H4664" s="2">
        <v>103</v>
      </c>
      <c r="I4664" s="2">
        <v>374</v>
      </c>
      <c r="J4664" s="2">
        <v>682</v>
      </c>
      <c r="K4664" s="2">
        <v>23</v>
      </c>
      <c r="L4664" s="2">
        <v>125</v>
      </c>
    </row>
    <row r="4665" spans="1:12" x14ac:dyDescent="0.25">
      <c r="A4665" s="4" t="str">
        <f>HYPERLINK("http://www.rosaceae.org/Prunus/Prunus_persica/p.persica_gdr_reftransV1_0045314","p.persica_gdr_reftransV1_0045314")</f>
        <v>p.persica_gdr_reftransV1_0045314</v>
      </c>
      <c r="B4665" s="2">
        <v>660</v>
      </c>
      <c r="C4665" s="4" t="str">
        <f>HYPERLINK("http://www.uniprot.org/uniprot/A0A0A0L6Y8","A0A0A0L6Y8")</f>
        <v>A0A0A0L6Y8</v>
      </c>
      <c r="D4665" s="2" t="s">
        <v>4336</v>
      </c>
      <c r="E4665" s="3">
        <v>5.6999999999999996E-22</v>
      </c>
      <c r="F4665" s="2">
        <v>238</v>
      </c>
      <c r="G4665" s="2">
        <v>98</v>
      </c>
      <c r="H4665" s="2">
        <v>45</v>
      </c>
      <c r="I4665" s="2">
        <v>231</v>
      </c>
      <c r="J4665" s="2">
        <v>365</v>
      </c>
      <c r="K4665" s="2">
        <v>38</v>
      </c>
      <c r="L4665" s="2">
        <v>82</v>
      </c>
    </row>
    <row r="4666" spans="1:12" x14ac:dyDescent="0.25">
      <c r="A4666" s="4" t="str">
        <f>HYPERLINK("http://www.rosaceae.org/Prunus/Prunus_persica/p.persica_gdr_reftransV1_0046714","p.persica_gdr_reftransV1_0046714")</f>
        <v>p.persica_gdr_reftransV1_0046714</v>
      </c>
      <c r="B4666" s="2">
        <v>423</v>
      </c>
      <c r="C4666" s="4" t="str">
        <f>HYPERLINK("http://www.uniprot.org/uniprot/M5WEX7","M5WEX7")</f>
        <v>M5WEX7</v>
      </c>
      <c r="D4666" s="2" t="s">
        <v>4281</v>
      </c>
      <c r="E4666" s="3">
        <v>1.5399999999999999E-72</v>
      </c>
      <c r="F4666" s="2">
        <v>625</v>
      </c>
      <c r="G4666" s="2">
        <v>70</v>
      </c>
      <c r="H4666" s="2">
        <v>201</v>
      </c>
      <c r="I4666" s="2">
        <v>3</v>
      </c>
      <c r="J4666" s="2">
        <v>422</v>
      </c>
      <c r="K4666" s="2">
        <v>200</v>
      </c>
      <c r="L4666" s="2">
        <v>400</v>
      </c>
    </row>
    <row r="4667" spans="1:12" x14ac:dyDescent="0.25">
      <c r="A4667" s="4" t="str">
        <f>HYPERLINK("http://www.rosaceae.org/Prunus/Prunus_persica/p.persica_gdr_reftransV1_0047764","p.persica_gdr_reftransV1_0047764")</f>
        <v>p.persica_gdr_reftransV1_0047764</v>
      </c>
      <c r="B4667" s="2">
        <v>562</v>
      </c>
      <c r="C4667" s="4" t="str">
        <f>HYPERLINK("http://www.uniprot.org/uniprot/E3W0I3","E3W0I3")</f>
        <v>E3W0I3</v>
      </c>
      <c r="D4667" s="2" t="s">
        <v>3816</v>
      </c>
      <c r="E4667" s="3">
        <v>8.51E-113</v>
      </c>
      <c r="F4667" s="2">
        <v>926</v>
      </c>
      <c r="G4667" s="2">
        <v>100</v>
      </c>
      <c r="H4667" s="2">
        <v>186</v>
      </c>
      <c r="I4667" s="2">
        <v>3</v>
      </c>
      <c r="J4667" s="2">
        <v>560</v>
      </c>
      <c r="K4667" s="2">
        <v>304</v>
      </c>
      <c r="L4667" s="2">
        <v>489</v>
      </c>
    </row>
    <row r="4668" spans="1:12" x14ac:dyDescent="0.25">
      <c r="A4668" s="4" t="str">
        <f>HYPERLINK("http://www.rosaceae.org/Prunus/Prunus_persica/p.persica_gdr_reftransV1_0048114","p.persica_gdr_reftransV1_0048114")</f>
        <v>p.persica_gdr_reftransV1_0048114</v>
      </c>
      <c r="B4668" s="2">
        <v>2144</v>
      </c>
      <c r="C4668" s="4" t="str">
        <f>HYPERLINK("http://www.uniprot.org/uniprot/M5WTK3","M5WTK3")</f>
        <v>M5WTK3</v>
      </c>
      <c r="D4668" s="2" t="s">
        <v>4337</v>
      </c>
      <c r="E4668" s="3">
        <v>0</v>
      </c>
      <c r="F4668" s="2">
        <v>2270</v>
      </c>
      <c r="G4668" s="2">
        <v>100</v>
      </c>
      <c r="H4668" s="2">
        <v>441</v>
      </c>
      <c r="I4668" s="2">
        <v>446</v>
      </c>
      <c r="J4668" s="2">
        <v>1768</v>
      </c>
      <c r="K4668" s="2">
        <v>1</v>
      </c>
      <c r="L4668" s="2">
        <v>441</v>
      </c>
    </row>
    <row r="4669" spans="1:12" x14ac:dyDescent="0.25">
      <c r="A4669" s="4" t="str">
        <f>HYPERLINK("http://www.rosaceae.org/Prunus/Prunus_persica/p.persica_gdr_reftransV1_0048464","p.persica_gdr_reftransV1_0048464")</f>
        <v>p.persica_gdr_reftransV1_0048464</v>
      </c>
      <c r="B4669" s="2">
        <v>982</v>
      </c>
      <c r="C4669" s="4" t="str">
        <f>HYPERLINK("http://www.uniprot.org/uniprot/M5WMH6","M5WMH6")</f>
        <v>M5WMH6</v>
      </c>
      <c r="D4669" s="2" t="s">
        <v>4338</v>
      </c>
      <c r="E4669" s="3">
        <v>0</v>
      </c>
      <c r="F4669" s="2">
        <v>1439</v>
      </c>
      <c r="G4669" s="2">
        <v>100</v>
      </c>
      <c r="H4669" s="2">
        <v>290</v>
      </c>
      <c r="I4669" s="2">
        <v>113</v>
      </c>
      <c r="J4669" s="2">
        <v>982</v>
      </c>
      <c r="K4669" s="2">
        <v>1</v>
      </c>
      <c r="L4669" s="2">
        <v>290</v>
      </c>
    </row>
    <row r="4670" spans="1:12" x14ac:dyDescent="0.25">
      <c r="A4670" s="4" t="str">
        <f>HYPERLINK("http://www.rosaceae.org/Prunus/Prunus_persica/p.persica_gdr_reftransV1_0049164","p.persica_gdr_reftransV1_0049164")</f>
        <v>p.persica_gdr_reftransV1_0049164</v>
      </c>
      <c r="B4670" s="2">
        <v>819</v>
      </c>
      <c r="C4670" s="4" t="str">
        <f>HYPERLINK("http://www.uniprot.org/uniprot/M5WRA7","M5WRA7")</f>
        <v>M5WRA7</v>
      </c>
      <c r="D4670" s="2" t="s">
        <v>4339</v>
      </c>
      <c r="E4670" s="3">
        <v>1.8999999999999999E-77</v>
      </c>
      <c r="F4670" s="2">
        <v>619</v>
      </c>
      <c r="G4670" s="2">
        <v>100</v>
      </c>
      <c r="H4670" s="2">
        <v>135</v>
      </c>
      <c r="I4670" s="2">
        <v>190</v>
      </c>
      <c r="J4670" s="2">
        <v>594</v>
      </c>
      <c r="K4670" s="2">
        <v>1</v>
      </c>
      <c r="L4670" s="2">
        <v>135</v>
      </c>
    </row>
    <row r="4671" spans="1:12" x14ac:dyDescent="0.25">
      <c r="A4671" s="4" t="str">
        <f>HYPERLINK("http://www.rosaceae.org/Prunus/Prunus_persica/p.persica_gdr_reftransV1_0000165","p.persica_gdr_reftransV1_0000165")</f>
        <v>p.persica_gdr_reftransV1_0000165</v>
      </c>
      <c r="B4671" s="2">
        <v>1782</v>
      </c>
      <c r="C4671" s="4" t="str">
        <f>HYPERLINK("http://www.uniprot.org/uniprot/M5XFT5","M5XFT5")</f>
        <v>M5XFT5</v>
      </c>
      <c r="D4671" s="2" t="s">
        <v>4340</v>
      </c>
      <c r="E4671" s="3">
        <v>0</v>
      </c>
      <c r="F4671" s="2">
        <v>2396</v>
      </c>
      <c r="G4671" s="2">
        <v>100</v>
      </c>
      <c r="H4671" s="2">
        <v>461</v>
      </c>
      <c r="I4671" s="2">
        <v>244</v>
      </c>
      <c r="J4671" s="2">
        <v>1626</v>
      </c>
      <c r="K4671" s="2">
        <v>1</v>
      </c>
      <c r="L4671" s="2">
        <v>461</v>
      </c>
    </row>
    <row r="4672" spans="1:12" x14ac:dyDescent="0.25">
      <c r="A4672" s="4" t="str">
        <f>HYPERLINK("http://www.rosaceae.org/Prunus/Prunus_persica/p.persica_gdr_reftransV1_0000515","p.persica_gdr_reftransV1_0000515")</f>
        <v>p.persica_gdr_reftransV1_0000515</v>
      </c>
      <c r="B4672" s="2">
        <v>1457</v>
      </c>
      <c r="C4672" s="4" t="str">
        <f>HYPERLINK("http://www.uniprot.org/uniprot/M5XII6","M5XII6")</f>
        <v>M5XII6</v>
      </c>
      <c r="D4672" s="2" t="s">
        <v>4341</v>
      </c>
      <c r="E4672" s="3">
        <v>3.7899999999999999E-99</v>
      </c>
      <c r="F4672" s="2">
        <v>861</v>
      </c>
      <c r="G4672" s="2">
        <v>100</v>
      </c>
      <c r="H4672" s="2">
        <v>189</v>
      </c>
      <c r="I4672" s="2">
        <v>541</v>
      </c>
      <c r="J4672" s="2">
        <v>1107</v>
      </c>
      <c r="K4672" s="2">
        <v>1</v>
      </c>
      <c r="L4672" s="2">
        <v>189</v>
      </c>
    </row>
    <row r="4673" spans="1:12" x14ac:dyDescent="0.25">
      <c r="A4673" s="4" t="str">
        <f>HYPERLINK("http://www.rosaceae.org/Prunus/Prunus_persica/p.persica_gdr_reftransV1_0000865","p.persica_gdr_reftransV1_0000865")</f>
        <v>p.persica_gdr_reftransV1_0000865</v>
      </c>
      <c r="B4673" s="2">
        <v>1445</v>
      </c>
      <c r="C4673" s="4" t="str">
        <f>HYPERLINK("http://www.uniprot.org/uniprot/M5W0B0","M5W0B0")</f>
        <v>M5W0B0</v>
      </c>
      <c r="D4673" s="2" t="s">
        <v>4342</v>
      </c>
      <c r="E4673" s="3">
        <v>1.1000000000000001E-114</v>
      </c>
      <c r="F4673" s="2">
        <v>891</v>
      </c>
      <c r="G4673" s="2">
        <v>100</v>
      </c>
      <c r="H4673" s="2">
        <v>191</v>
      </c>
      <c r="I4673" s="2">
        <v>355</v>
      </c>
      <c r="J4673" s="2">
        <v>927</v>
      </c>
      <c r="K4673" s="2">
        <v>1</v>
      </c>
      <c r="L4673" s="2">
        <v>191</v>
      </c>
    </row>
    <row r="4674" spans="1:12" x14ac:dyDescent="0.25">
      <c r="A4674" s="4" t="str">
        <f>HYPERLINK("http://www.rosaceae.org/Prunus/Prunus_persica/p.persica_gdr_reftransV1_0001215","p.persica_gdr_reftransV1_0001215")</f>
        <v>p.persica_gdr_reftransV1_0001215</v>
      </c>
      <c r="B4674" s="2">
        <v>541</v>
      </c>
      <c r="C4674" s="4" t="str">
        <f>HYPERLINK("http://www.uniprot.org/uniprot/M5WKM7","M5WKM7")</f>
        <v>M5WKM7</v>
      </c>
      <c r="D4674" s="2" t="s">
        <v>4343</v>
      </c>
      <c r="E4674" s="3">
        <v>1.6000000000000001E-16</v>
      </c>
      <c r="F4674" s="2">
        <v>199</v>
      </c>
      <c r="G4674" s="2">
        <v>68</v>
      </c>
      <c r="H4674" s="2">
        <v>68</v>
      </c>
      <c r="I4674" s="2">
        <v>364</v>
      </c>
      <c r="J4674" s="2">
        <v>540</v>
      </c>
      <c r="K4674" s="2">
        <v>40</v>
      </c>
      <c r="L4674" s="2">
        <v>107</v>
      </c>
    </row>
    <row r="4675" spans="1:12" x14ac:dyDescent="0.25">
      <c r="A4675" s="4" t="str">
        <f>HYPERLINK("http://www.rosaceae.org/Prunus/Prunus_persica/p.persica_gdr_reftransV1_0001565","p.persica_gdr_reftransV1_0001565")</f>
        <v>p.persica_gdr_reftransV1_0001565</v>
      </c>
      <c r="B4675" s="2">
        <v>1493</v>
      </c>
      <c r="C4675" s="4" t="str">
        <f>HYPERLINK("http://www.uniprot.org/uniprot/M5VRT5","M5VRT5")</f>
        <v>M5VRT5</v>
      </c>
      <c r="D4675" s="2" t="s">
        <v>4344</v>
      </c>
      <c r="E4675" s="3">
        <v>5.0900000000000002E-145</v>
      </c>
      <c r="F4675" s="2">
        <v>1097</v>
      </c>
      <c r="G4675" s="2">
        <v>100</v>
      </c>
      <c r="H4675" s="2">
        <v>226</v>
      </c>
      <c r="I4675" s="2">
        <v>336</v>
      </c>
      <c r="J4675" s="2">
        <v>1013</v>
      </c>
      <c r="K4675" s="2">
        <v>1</v>
      </c>
      <c r="L4675" s="2">
        <v>226</v>
      </c>
    </row>
    <row r="4676" spans="1:12" x14ac:dyDescent="0.25">
      <c r="A4676" s="4" t="str">
        <f>HYPERLINK("http://www.rosaceae.org/Prunus/Prunus_persica/p.persica_gdr_reftransV1_0002265","p.persica_gdr_reftransV1_0002265")</f>
        <v>p.persica_gdr_reftransV1_0002265</v>
      </c>
      <c r="B4676" s="2">
        <v>1520</v>
      </c>
      <c r="C4676" s="4" t="str">
        <f>HYPERLINK("http://www.uniprot.org/uniprot/M5WXY3","M5WXY3")</f>
        <v>M5WXY3</v>
      </c>
      <c r="D4676" s="2" t="s">
        <v>3374</v>
      </c>
      <c r="E4676" s="3">
        <v>0</v>
      </c>
      <c r="F4676" s="2">
        <v>1709</v>
      </c>
      <c r="G4676" s="2">
        <v>90</v>
      </c>
      <c r="H4676" s="2">
        <v>364</v>
      </c>
      <c r="I4676" s="2">
        <v>85</v>
      </c>
      <c r="J4676" s="2">
        <v>1176</v>
      </c>
      <c r="K4676" s="2">
        <v>1</v>
      </c>
      <c r="L4676" s="2">
        <v>328</v>
      </c>
    </row>
    <row r="4677" spans="1:12" x14ac:dyDescent="0.25">
      <c r="A4677" s="4" t="str">
        <f>HYPERLINK("http://www.rosaceae.org/Prunus/Prunus_persica/p.persica_gdr_reftransV1_0002615","p.persica_gdr_reftransV1_0002615")</f>
        <v>p.persica_gdr_reftransV1_0002615</v>
      </c>
      <c r="B4677" s="2">
        <v>1222</v>
      </c>
      <c r="C4677" s="4" t="str">
        <f>HYPERLINK("http://www.uniprot.org/uniprot/M5XCR6","M5XCR6")</f>
        <v>M5XCR6</v>
      </c>
      <c r="D4677" s="2" t="s">
        <v>4345</v>
      </c>
      <c r="E4677" s="3">
        <v>0</v>
      </c>
      <c r="F4677" s="2">
        <v>1777</v>
      </c>
      <c r="G4677" s="2">
        <v>100</v>
      </c>
      <c r="H4677" s="2">
        <v>382</v>
      </c>
      <c r="I4677" s="2">
        <v>75</v>
      </c>
      <c r="J4677" s="2">
        <v>1220</v>
      </c>
      <c r="K4677" s="2">
        <v>151</v>
      </c>
      <c r="L4677" s="2">
        <v>532</v>
      </c>
    </row>
    <row r="4678" spans="1:12" x14ac:dyDescent="0.25">
      <c r="A4678" s="4" t="str">
        <f>HYPERLINK("http://www.rosaceae.org/Prunus/Prunus_persica/p.persica_gdr_reftransV1_0003315","p.persica_gdr_reftransV1_0003315")</f>
        <v>p.persica_gdr_reftransV1_0003315</v>
      </c>
      <c r="B4678" s="2">
        <v>433</v>
      </c>
      <c r="C4678" s="4" t="str">
        <f>HYPERLINK("http://www.uniprot.org/uniprot/M5VXM3","M5VXM3")</f>
        <v>M5VXM3</v>
      </c>
      <c r="D4678" s="2" t="s">
        <v>4346</v>
      </c>
      <c r="E4678" s="3">
        <v>9.1899999999999996E-51</v>
      </c>
      <c r="F4678" s="2">
        <v>462</v>
      </c>
      <c r="G4678" s="2">
        <v>85</v>
      </c>
      <c r="H4678" s="2">
        <v>106</v>
      </c>
      <c r="I4678" s="2">
        <v>114</v>
      </c>
      <c r="J4678" s="2">
        <v>431</v>
      </c>
      <c r="K4678" s="2">
        <v>260</v>
      </c>
      <c r="L4678" s="2">
        <v>365</v>
      </c>
    </row>
    <row r="4679" spans="1:12" x14ac:dyDescent="0.25">
      <c r="A4679" s="4" t="str">
        <f>HYPERLINK("http://www.rosaceae.org/Prunus/Prunus_persica/p.persica_gdr_reftransV1_0004365","p.persica_gdr_reftransV1_0004365")</f>
        <v>p.persica_gdr_reftransV1_0004365</v>
      </c>
      <c r="B4679" s="2">
        <v>521</v>
      </c>
      <c r="C4679" s="4" t="str">
        <f>HYPERLINK("http://www.uniprot.org/uniprot/M5WFK8","M5WFK8")</f>
        <v>M5WFK8</v>
      </c>
      <c r="D4679" s="2" t="s">
        <v>2546</v>
      </c>
      <c r="E4679" s="3">
        <v>5.11E-56</v>
      </c>
      <c r="F4679" s="2">
        <v>503</v>
      </c>
      <c r="G4679" s="2">
        <v>100</v>
      </c>
      <c r="H4679" s="2">
        <v>122</v>
      </c>
      <c r="I4679" s="2">
        <v>1</v>
      </c>
      <c r="J4679" s="2">
        <v>366</v>
      </c>
      <c r="K4679" s="2">
        <v>20</v>
      </c>
      <c r="L4679" s="2">
        <v>141</v>
      </c>
    </row>
    <row r="4680" spans="1:12" x14ac:dyDescent="0.25">
      <c r="A4680" s="4" t="str">
        <f>HYPERLINK("http://www.rosaceae.org/Prunus/Prunus_persica/p.persica_gdr_reftransV1_0005065","p.persica_gdr_reftransV1_0005065")</f>
        <v>p.persica_gdr_reftransV1_0005065</v>
      </c>
      <c r="B4680" s="2">
        <v>1473</v>
      </c>
      <c r="C4680" s="4" t="str">
        <f>HYPERLINK("http://www.uniprot.org/uniprot/M5VPX9","M5VPX9")</f>
        <v>M5VPX9</v>
      </c>
      <c r="D4680" s="2" t="s">
        <v>4347</v>
      </c>
      <c r="E4680" s="3">
        <v>0</v>
      </c>
      <c r="F4680" s="2">
        <v>1424</v>
      </c>
      <c r="G4680" s="2">
        <v>100</v>
      </c>
      <c r="H4680" s="2">
        <v>265</v>
      </c>
      <c r="I4680" s="2">
        <v>491</v>
      </c>
      <c r="J4680" s="2">
        <v>1285</v>
      </c>
      <c r="K4680" s="2">
        <v>112</v>
      </c>
      <c r="L4680" s="2">
        <v>376</v>
      </c>
    </row>
    <row r="4681" spans="1:12" x14ac:dyDescent="0.25">
      <c r="A4681" s="4" t="str">
        <f>HYPERLINK("http://www.rosaceae.org/Prunus/Prunus_persica/p.persica_gdr_reftransV1_0006465","p.persica_gdr_reftransV1_0006465")</f>
        <v>p.persica_gdr_reftransV1_0006465</v>
      </c>
      <c r="B4681" s="2">
        <v>1142</v>
      </c>
      <c r="C4681" s="4" t="str">
        <f>HYPERLINK("http://www.uniprot.org/uniprot/M5XII4","M5XII4")</f>
        <v>M5XII4</v>
      </c>
      <c r="D4681" s="2" t="s">
        <v>4348</v>
      </c>
      <c r="E4681" s="3">
        <v>0</v>
      </c>
      <c r="F4681" s="2">
        <v>1794</v>
      </c>
      <c r="G4681" s="2">
        <v>100</v>
      </c>
      <c r="H4681" s="2">
        <v>335</v>
      </c>
      <c r="I4681" s="2">
        <v>138</v>
      </c>
      <c r="J4681" s="2">
        <v>1142</v>
      </c>
      <c r="K4681" s="2">
        <v>148</v>
      </c>
      <c r="L4681" s="2">
        <v>482</v>
      </c>
    </row>
    <row r="4682" spans="1:12" x14ac:dyDescent="0.25">
      <c r="A4682" s="4" t="str">
        <f>HYPERLINK("http://www.rosaceae.org/Prunus/Prunus_persica/p.persica_gdr_reftransV1_0007165","p.persica_gdr_reftransV1_0007165")</f>
        <v>p.persica_gdr_reftransV1_0007165</v>
      </c>
      <c r="B4682" s="2">
        <v>3101</v>
      </c>
      <c r="C4682" s="4" t="str">
        <f>HYPERLINK("http://www.uniprot.org/uniprot/M5WPN7","M5WPN7")</f>
        <v>M5WPN7</v>
      </c>
      <c r="D4682" s="2" t="s">
        <v>4349</v>
      </c>
      <c r="E4682" s="3">
        <v>0</v>
      </c>
      <c r="F4682" s="2">
        <v>3109</v>
      </c>
      <c r="G4682" s="2">
        <v>100</v>
      </c>
      <c r="H4682" s="2">
        <v>668</v>
      </c>
      <c r="I4682" s="2">
        <v>1</v>
      </c>
      <c r="J4682" s="2">
        <v>2004</v>
      </c>
      <c r="K4682" s="2">
        <v>51</v>
      </c>
      <c r="L4682" s="2">
        <v>718</v>
      </c>
    </row>
    <row r="4683" spans="1:12" x14ac:dyDescent="0.25">
      <c r="A4683" s="4" t="str">
        <f>HYPERLINK("http://www.rosaceae.org/Prunus/Prunus_persica/p.persica_gdr_reftransV1_0007515","p.persica_gdr_reftransV1_0007515")</f>
        <v>p.persica_gdr_reftransV1_0007515</v>
      </c>
      <c r="B4683" s="2">
        <v>1122</v>
      </c>
      <c r="C4683" s="4" t="str">
        <f>HYPERLINK("http://www.uniprot.org/uniprot/M5XR71","M5XR71")</f>
        <v>M5XR71</v>
      </c>
      <c r="D4683" s="2" t="s">
        <v>4350</v>
      </c>
      <c r="E4683" s="3">
        <v>8.9899999999999999E-105</v>
      </c>
      <c r="F4683" s="2">
        <v>814</v>
      </c>
      <c r="G4683" s="2">
        <v>100</v>
      </c>
      <c r="H4683" s="2">
        <v>163</v>
      </c>
      <c r="I4683" s="2">
        <v>302</v>
      </c>
      <c r="J4683" s="2">
        <v>790</v>
      </c>
      <c r="K4683" s="2">
        <v>15</v>
      </c>
      <c r="L4683" s="2">
        <v>177</v>
      </c>
    </row>
    <row r="4684" spans="1:12" x14ac:dyDescent="0.25">
      <c r="A4684" s="4" t="str">
        <f>HYPERLINK("http://www.rosaceae.org/Prunus/Prunus_persica/p.persica_gdr_reftransV1_0007865","p.persica_gdr_reftransV1_0007865")</f>
        <v>p.persica_gdr_reftransV1_0007865</v>
      </c>
      <c r="B4684" s="2">
        <v>1020</v>
      </c>
      <c r="C4684" s="4" t="str">
        <f>HYPERLINK("http://www.uniprot.org/uniprot/M5W058","M5W058")</f>
        <v>M5W058</v>
      </c>
      <c r="D4684" s="2" t="s">
        <v>4351</v>
      </c>
      <c r="E4684" s="3">
        <v>7.4200000000000002E-116</v>
      </c>
      <c r="F4684" s="2">
        <v>886</v>
      </c>
      <c r="G4684" s="2">
        <v>95</v>
      </c>
      <c r="H4684" s="2">
        <v>176</v>
      </c>
      <c r="I4684" s="2">
        <v>263</v>
      </c>
      <c r="J4684" s="2">
        <v>769</v>
      </c>
      <c r="K4684" s="2">
        <v>1</v>
      </c>
      <c r="L4684" s="2">
        <v>176</v>
      </c>
    </row>
    <row r="4685" spans="1:12" x14ac:dyDescent="0.25">
      <c r="A4685" s="4" t="str">
        <f>HYPERLINK("http://www.rosaceae.org/Prunus/Prunus_persica/p.persica_gdr_reftransV1_0008215","p.persica_gdr_reftransV1_0008215")</f>
        <v>p.persica_gdr_reftransV1_0008215</v>
      </c>
      <c r="B4685" s="2">
        <v>595</v>
      </c>
      <c r="C4685" s="4" t="str">
        <f>HYPERLINK("http://www.uniprot.org/uniprot/M5X329","M5X329")</f>
        <v>M5X329</v>
      </c>
      <c r="D4685" s="2" t="s">
        <v>4352</v>
      </c>
      <c r="E4685" s="3">
        <v>6.5800000000000004E-60</v>
      </c>
      <c r="F4685" s="2">
        <v>543</v>
      </c>
      <c r="G4685" s="2">
        <v>100</v>
      </c>
      <c r="H4685" s="2">
        <v>97</v>
      </c>
      <c r="I4685" s="2">
        <v>2</v>
      </c>
      <c r="J4685" s="2">
        <v>292</v>
      </c>
      <c r="K4685" s="2">
        <v>1276</v>
      </c>
      <c r="L4685" s="2">
        <v>1372</v>
      </c>
    </row>
    <row r="4686" spans="1:12" x14ac:dyDescent="0.25">
      <c r="A4686" s="4" t="str">
        <f>HYPERLINK("http://www.rosaceae.org/Prunus/Prunus_persica/p.persica_gdr_reftransV1_0008565","p.persica_gdr_reftransV1_0008565")</f>
        <v>p.persica_gdr_reftransV1_0008565</v>
      </c>
      <c r="B4686" s="2">
        <v>885</v>
      </c>
      <c r="C4686" s="4" t="str">
        <f>HYPERLINK("http://www.uniprot.org/uniprot/B9HJ15","B9HJ15")</f>
        <v>B9HJ15</v>
      </c>
      <c r="D4686" s="2" t="s">
        <v>4353</v>
      </c>
      <c r="E4686" s="3">
        <v>3.0499999999999999E-34</v>
      </c>
      <c r="F4686" s="2">
        <v>329</v>
      </c>
      <c r="G4686" s="2">
        <v>63</v>
      </c>
      <c r="H4686" s="2">
        <v>105</v>
      </c>
      <c r="I4686" s="2">
        <v>225</v>
      </c>
      <c r="J4686" s="2">
        <v>539</v>
      </c>
      <c r="K4686" s="2">
        <v>3</v>
      </c>
      <c r="L4686" s="2">
        <v>105</v>
      </c>
    </row>
    <row r="4687" spans="1:12" x14ac:dyDescent="0.25">
      <c r="A4687" s="4" t="str">
        <f>HYPERLINK("http://www.rosaceae.org/Prunus/Prunus_persica/p.persica_gdr_reftransV1_0010315","p.persica_gdr_reftransV1_0010315")</f>
        <v>p.persica_gdr_reftransV1_0010315</v>
      </c>
      <c r="B4687" s="2">
        <v>1315</v>
      </c>
      <c r="C4687" s="4" t="str">
        <f>HYPERLINK("http://www.uniprot.org/uniprot/M5XUM1","M5XUM1")</f>
        <v>M5XUM1</v>
      </c>
      <c r="D4687" s="2" t="s">
        <v>4354</v>
      </c>
      <c r="E4687" s="3">
        <v>0</v>
      </c>
      <c r="F4687" s="2">
        <v>1628</v>
      </c>
      <c r="G4687" s="2">
        <v>100</v>
      </c>
      <c r="H4687" s="2">
        <v>301</v>
      </c>
      <c r="I4687" s="2">
        <v>276</v>
      </c>
      <c r="J4687" s="2">
        <v>1178</v>
      </c>
      <c r="K4687" s="2">
        <v>1</v>
      </c>
      <c r="L4687" s="2">
        <v>301</v>
      </c>
    </row>
    <row r="4688" spans="1:12" x14ac:dyDescent="0.25">
      <c r="A4688" s="4" t="str">
        <f>HYPERLINK("http://www.rosaceae.org/Prunus/Prunus_persica/p.persica_gdr_reftransV1_0011365","p.persica_gdr_reftransV1_0011365")</f>
        <v>p.persica_gdr_reftransV1_0011365</v>
      </c>
      <c r="B4688" s="2">
        <v>2957</v>
      </c>
      <c r="C4688" s="4" t="str">
        <f>HYPERLINK("http://www.uniprot.org/uniprot/M5VJ42","M5VJ42")</f>
        <v>M5VJ42</v>
      </c>
      <c r="D4688" s="2" t="s">
        <v>4355</v>
      </c>
      <c r="E4688" s="3">
        <v>0</v>
      </c>
      <c r="F4688" s="2">
        <v>3610</v>
      </c>
      <c r="G4688" s="2">
        <v>97</v>
      </c>
      <c r="H4688" s="2">
        <v>872</v>
      </c>
      <c r="I4688" s="2">
        <v>101</v>
      </c>
      <c r="J4688" s="2">
        <v>2716</v>
      </c>
      <c r="K4688" s="2">
        <v>1</v>
      </c>
      <c r="L4688" s="2">
        <v>844</v>
      </c>
    </row>
    <row r="4689" spans="1:12" x14ac:dyDescent="0.25">
      <c r="A4689" s="4" t="str">
        <f>HYPERLINK("http://www.rosaceae.org/Prunus/Prunus_persica/p.persica_gdr_reftransV1_0012065","p.persica_gdr_reftransV1_0012065")</f>
        <v>p.persica_gdr_reftransV1_0012065</v>
      </c>
      <c r="B4689" s="2">
        <v>975</v>
      </c>
      <c r="C4689" s="4" t="str">
        <f>HYPERLINK("http://www.uniprot.org/uniprot/M5XYQ8","M5XYQ8")</f>
        <v>M5XYQ8</v>
      </c>
      <c r="D4689" s="2" t="s">
        <v>4356</v>
      </c>
      <c r="E4689" s="3">
        <v>3.1299999999999998E-156</v>
      </c>
      <c r="F4689" s="2">
        <v>1152</v>
      </c>
      <c r="G4689" s="2">
        <v>100</v>
      </c>
      <c r="H4689" s="2">
        <v>217</v>
      </c>
      <c r="I4689" s="2">
        <v>137</v>
      </c>
      <c r="J4689" s="2">
        <v>787</v>
      </c>
      <c r="K4689" s="2">
        <v>1</v>
      </c>
      <c r="L4689" s="2">
        <v>217</v>
      </c>
    </row>
    <row r="4690" spans="1:12" x14ac:dyDescent="0.25">
      <c r="A4690" s="4" t="str">
        <f>HYPERLINK("http://www.rosaceae.org/Prunus/Prunus_persica/p.persica_gdr_reftransV1_0012765","p.persica_gdr_reftransV1_0012765")</f>
        <v>p.persica_gdr_reftransV1_0012765</v>
      </c>
      <c r="B4690" s="2">
        <v>1064</v>
      </c>
      <c r="C4690" s="4" t="str">
        <f>HYPERLINK("http://www.uniprot.org/uniprot/M5WEW0","M5WEW0")</f>
        <v>M5WEW0</v>
      </c>
      <c r="D4690" s="2" t="s">
        <v>4357</v>
      </c>
      <c r="E4690" s="3">
        <v>0</v>
      </c>
      <c r="F4690" s="2">
        <v>1837</v>
      </c>
      <c r="G4690" s="2">
        <v>100</v>
      </c>
      <c r="H4690" s="2">
        <v>354</v>
      </c>
      <c r="I4690" s="2">
        <v>1</v>
      </c>
      <c r="J4690" s="2">
        <v>1062</v>
      </c>
      <c r="K4690" s="2">
        <v>46</v>
      </c>
      <c r="L4690" s="2">
        <v>399</v>
      </c>
    </row>
    <row r="4691" spans="1:12" x14ac:dyDescent="0.25">
      <c r="A4691" s="4" t="str">
        <f>HYPERLINK("http://www.rosaceae.org/Prunus/Prunus_persica/p.persica_gdr_reftransV1_0013115","p.persica_gdr_reftransV1_0013115")</f>
        <v>p.persica_gdr_reftransV1_0013115</v>
      </c>
      <c r="B4691" s="2">
        <v>548</v>
      </c>
      <c r="C4691" s="4" t="str">
        <f>HYPERLINK("http://www.uniprot.org/uniprot/M5WXH3","M5WXH3")</f>
        <v>M5WXH3</v>
      </c>
      <c r="D4691" s="2" t="s">
        <v>4358</v>
      </c>
      <c r="E4691" s="3">
        <v>2.0199999999999999E-79</v>
      </c>
      <c r="F4691" s="2">
        <v>621</v>
      </c>
      <c r="G4691" s="2">
        <v>100</v>
      </c>
      <c r="H4691" s="2">
        <v>123</v>
      </c>
      <c r="I4691" s="2">
        <v>136</v>
      </c>
      <c r="J4691" s="2">
        <v>504</v>
      </c>
      <c r="K4691" s="2">
        <v>1</v>
      </c>
      <c r="L4691" s="2">
        <v>123</v>
      </c>
    </row>
    <row r="4692" spans="1:12" x14ac:dyDescent="0.25">
      <c r="A4692" s="4" t="str">
        <f>HYPERLINK("http://www.rosaceae.org/Prunus/Prunus_persica/p.persica_gdr_reftransV1_0014165","p.persica_gdr_reftransV1_0014165")</f>
        <v>p.persica_gdr_reftransV1_0014165</v>
      </c>
      <c r="B4692" s="2">
        <v>2451</v>
      </c>
      <c r="C4692" s="4" t="str">
        <f>HYPERLINK("http://www.uniprot.org/uniprot/M5WYP0","M5WYP0")</f>
        <v>M5WYP0</v>
      </c>
      <c r="D4692" s="2" t="s">
        <v>4359</v>
      </c>
      <c r="E4692" s="3">
        <v>0</v>
      </c>
      <c r="F4692" s="2">
        <v>1597</v>
      </c>
      <c r="G4692" s="2">
        <v>89</v>
      </c>
      <c r="H4692" s="2">
        <v>353</v>
      </c>
      <c r="I4692" s="2">
        <v>226</v>
      </c>
      <c r="J4692" s="2">
        <v>1269</v>
      </c>
      <c r="K4692" s="2">
        <v>1</v>
      </c>
      <c r="L4692" s="2">
        <v>321</v>
      </c>
    </row>
    <row r="4693" spans="1:12" x14ac:dyDescent="0.25">
      <c r="A4693" s="4" t="str">
        <f>HYPERLINK("http://www.rosaceae.org/Prunus/Prunus_persica/p.persica_gdr_reftransV1_0015215","p.persica_gdr_reftransV1_0015215")</f>
        <v>p.persica_gdr_reftransV1_0015215</v>
      </c>
      <c r="B4693" s="2">
        <v>1011</v>
      </c>
      <c r="C4693" s="4" t="str">
        <f>HYPERLINK("http://www.uniprot.org/uniprot/M5WRF1","M5WRF1")</f>
        <v>M5WRF1</v>
      </c>
      <c r="D4693" s="2" t="s">
        <v>4360</v>
      </c>
      <c r="E4693" s="3">
        <v>4.9400000000000001E-96</v>
      </c>
      <c r="F4693" s="2">
        <v>752</v>
      </c>
      <c r="G4693" s="2">
        <v>100</v>
      </c>
      <c r="H4693" s="2">
        <v>178</v>
      </c>
      <c r="I4693" s="2">
        <v>142</v>
      </c>
      <c r="J4693" s="2">
        <v>675</v>
      </c>
      <c r="K4693" s="2">
        <v>1</v>
      </c>
      <c r="L4693" s="2">
        <v>178</v>
      </c>
    </row>
    <row r="4694" spans="1:12" x14ac:dyDescent="0.25">
      <c r="A4694" s="4" t="str">
        <f>HYPERLINK("http://www.rosaceae.org/Prunus/Prunus_persica/p.persica_gdr_reftransV1_0017665","p.persica_gdr_reftransV1_0017665")</f>
        <v>p.persica_gdr_reftransV1_0017665</v>
      </c>
      <c r="B4694" s="2">
        <v>2067</v>
      </c>
      <c r="C4694" s="4" t="str">
        <f>HYPERLINK("http://www.uniprot.org/uniprot/M5WG23","M5WG23")</f>
        <v>M5WG23</v>
      </c>
      <c r="D4694" s="2" t="s">
        <v>4361</v>
      </c>
      <c r="E4694" s="3">
        <v>0</v>
      </c>
      <c r="F4694" s="2">
        <v>1879</v>
      </c>
      <c r="G4694" s="2">
        <v>98</v>
      </c>
      <c r="H4694" s="2">
        <v>392</v>
      </c>
      <c r="I4694" s="2">
        <v>223</v>
      </c>
      <c r="J4694" s="2">
        <v>1398</v>
      </c>
      <c r="K4694" s="2">
        <v>1</v>
      </c>
      <c r="L4694" s="2">
        <v>385</v>
      </c>
    </row>
    <row r="4695" spans="1:12" x14ac:dyDescent="0.25">
      <c r="A4695" s="4" t="str">
        <f>HYPERLINK("http://www.rosaceae.org/Prunus/Prunus_persica/p.persica_gdr_reftransV1_0018015","p.persica_gdr_reftransV1_0018015")</f>
        <v>p.persica_gdr_reftransV1_0018015</v>
      </c>
      <c r="B4695" s="2">
        <v>2061</v>
      </c>
      <c r="C4695" s="4" t="str">
        <f>HYPERLINK("http://www.uniprot.org/uniprot/M5WGS9","M5WGS9")</f>
        <v>M5WGS9</v>
      </c>
      <c r="D4695" s="2" t="s">
        <v>747</v>
      </c>
      <c r="E4695" s="3">
        <v>0</v>
      </c>
      <c r="F4695" s="2">
        <v>2482</v>
      </c>
      <c r="G4695" s="2">
        <v>94</v>
      </c>
      <c r="H4695" s="2">
        <v>584</v>
      </c>
      <c r="I4695" s="2">
        <v>186</v>
      </c>
      <c r="J4695" s="2">
        <v>1835</v>
      </c>
      <c r="K4695" s="2">
        <v>1</v>
      </c>
      <c r="L4695" s="2">
        <v>584</v>
      </c>
    </row>
    <row r="4696" spans="1:12" x14ac:dyDescent="0.25">
      <c r="A4696" s="4" t="str">
        <f>HYPERLINK("http://www.rosaceae.org/Prunus/Prunus_persica/p.persica_gdr_reftransV1_0019065","p.persica_gdr_reftransV1_0019065")</f>
        <v>p.persica_gdr_reftransV1_0019065</v>
      </c>
      <c r="B4696" s="2">
        <v>1500</v>
      </c>
      <c r="C4696" s="4" t="str">
        <f>HYPERLINK("http://www.uniprot.org/uniprot/M5WUK5","M5WUK5")</f>
        <v>M5WUK5</v>
      </c>
      <c r="D4696" s="2" t="s">
        <v>4362</v>
      </c>
      <c r="E4696" s="3">
        <v>0</v>
      </c>
      <c r="F4696" s="2">
        <v>1396</v>
      </c>
      <c r="G4696" s="2">
        <v>100</v>
      </c>
      <c r="H4696" s="2">
        <v>308</v>
      </c>
      <c r="I4696" s="2">
        <v>156</v>
      </c>
      <c r="J4696" s="2">
        <v>1079</v>
      </c>
      <c r="K4696" s="2">
        <v>1</v>
      </c>
      <c r="L4696" s="2">
        <v>308</v>
      </c>
    </row>
    <row r="4697" spans="1:12" x14ac:dyDescent="0.25">
      <c r="A4697" s="4" t="str">
        <f>HYPERLINK("http://www.rosaceae.org/Prunus/Prunus_persica/p.persica_gdr_reftransV1_0019765","p.persica_gdr_reftransV1_0019765")</f>
        <v>p.persica_gdr_reftransV1_0019765</v>
      </c>
      <c r="B4697" s="2">
        <v>722</v>
      </c>
      <c r="C4697" s="4" t="str">
        <f>HYPERLINK("http://www.uniprot.org/uniprot/M5W3L3","M5W3L3")</f>
        <v>M5W3L3</v>
      </c>
      <c r="D4697" s="2" t="s">
        <v>4363</v>
      </c>
      <c r="E4697" s="3">
        <v>1.8999999999999999E-70</v>
      </c>
      <c r="F4697" s="2">
        <v>567</v>
      </c>
      <c r="G4697" s="2">
        <v>100</v>
      </c>
      <c r="H4697" s="2">
        <v>110</v>
      </c>
      <c r="I4697" s="2">
        <v>228</v>
      </c>
      <c r="J4697" s="2">
        <v>557</v>
      </c>
      <c r="K4697" s="2">
        <v>1</v>
      </c>
      <c r="L4697" s="2">
        <v>110</v>
      </c>
    </row>
    <row r="4698" spans="1:12" x14ac:dyDescent="0.25">
      <c r="A4698" s="4" t="str">
        <f>HYPERLINK("http://www.rosaceae.org/Prunus/Prunus_persica/p.persica_gdr_reftransV1_0021515","p.persica_gdr_reftransV1_0021515")</f>
        <v>p.persica_gdr_reftransV1_0021515</v>
      </c>
      <c r="B4698" s="2">
        <v>1872</v>
      </c>
      <c r="C4698" s="4" t="str">
        <f>HYPERLINK("http://www.uniprot.org/uniprot/M5VJ57","M5VJ57")</f>
        <v>M5VJ57</v>
      </c>
      <c r="D4698" s="2" t="s">
        <v>4364</v>
      </c>
      <c r="E4698" s="3">
        <v>1.08E-136</v>
      </c>
      <c r="F4698" s="2">
        <v>1068</v>
      </c>
      <c r="G4698" s="2">
        <v>95</v>
      </c>
      <c r="H4698" s="2">
        <v>224</v>
      </c>
      <c r="I4698" s="2">
        <v>352</v>
      </c>
      <c r="J4698" s="2">
        <v>1023</v>
      </c>
      <c r="K4698" s="2">
        <v>148</v>
      </c>
      <c r="L4698" s="2">
        <v>370</v>
      </c>
    </row>
    <row r="4699" spans="1:12" x14ac:dyDescent="0.25">
      <c r="A4699" s="4" t="str">
        <f>HYPERLINK("http://www.rosaceae.org/Prunus/Prunus_persica/p.persica_gdr_reftransV1_0023965","p.persica_gdr_reftransV1_0023965")</f>
        <v>p.persica_gdr_reftransV1_0023965</v>
      </c>
      <c r="B4699" s="2">
        <v>1875</v>
      </c>
      <c r="C4699" s="4" t="str">
        <f>HYPERLINK("http://www.uniprot.org/uniprot/M5VJU8","M5VJU8")</f>
        <v>M5VJU8</v>
      </c>
      <c r="D4699" s="2" t="s">
        <v>4365</v>
      </c>
      <c r="E4699" s="3">
        <v>0</v>
      </c>
      <c r="F4699" s="2">
        <v>2127</v>
      </c>
      <c r="G4699" s="2">
        <v>100</v>
      </c>
      <c r="H4699" s="2">
        <v>412</v>
      </c>
      <c r="I4699" s="2">
        <v>426</v>
      </c>
      <c r="J4699" s="2">
        <v>1661</v>
      </c>
      <c r="K4699" s="2">
        <v>1</v>
      </c>
      <c r="L4699" s="2">
        <v>412</v>
      </c>
    </row>
    <row r="4700" spans="1:12" x14ac:dyDescent="0.25">
      <c r="A4700" s="4" t="str">
        <f>HYPERLINK("http://www.rosaceae.org/Prunus/Prunus_persica/p.persica_gdr_reftransV1_0024665","p.persica_gdr_reftransV1_0024665")</f>
        <v>p.persica_gdr_reftransV1_0024665</v>
      </c>
      <c r="B4700" s="2">
        <v>3102</v>
      </c>
      <c r="C4700" s="4" t="str">
        <f>HYPERLINK("http://www.uniprot.org/uniprot/M5WP83","M5WP83")</f>
        <v>M5WP83</v>
      </c>
      <c r="D4700" s="2" t="s">
        <v>4366</v>
      </c>
      <c r="E4700" s="3">
        <v>0</v>
      </c>
      <c r="F4700" s="2">
        <v>1631</v>
      </c>
      <c r="G4700" s="2">
        <v>86</v>
      </c>
      <c r="H4700" s="2">
        <v>414</v>
      </c>
      <c r="I4700" s="2">
        <v>1443</v>
      </c>
      <c r="J4700" s="2">
        <v>2666</v>
      </c>
      <c r="K4700" s="2">
        <v>110</v>
      </c>
      <c r="L4700" s="2">
        <v>516</v>
      </c>
    </row>
    <row r="4701" spans="1:12" x14ac:dyDescent="0.25">
      <c r="A4701" s="4" t="str">
        <f>HYPERLINK("http://www.rosaceae.org/Prunus/Prunus_persica/p.persica_gdr_reftransV1_0025015","p.persica_gdr_reftransV1_0025015")</f>
        <v>p.persica_gdr_reftransV1_0025015</v>
      </c>
      <c r="B4701" s="2">
        <v>2129</v>
      </c>
      <c r="C4701" s="4" t="str">
        <f>HYPERLINK("http://www.uniprot.org/uniprot/M5VW44","M5VW44")</f>
        <v>M5VW44</v>
      </c>
      <c r="D4701" s="2" t="s">
        <v>4367</v>
      </c>
      <c r="E4701" s="3">
        <v>1.35E-52</v>
      </c>
      <c r="F4701" s="2">
        <v>411</v>
      </c>
      <c r="G4701" s="2">
        <v>34</v>
      </c>
      <c r="H4701" s="2">
        <v>329</v>
      </c>
      <c r="I4701" s="2">
        <v>825</v>
      </c>
      <c r="J4701" s="2">
        <v>1658</v>
      </c>
      <c r="K4701" s="2">
        <v>17</v>
      </c>
      <c r="L4701" s="2">
        <v>343</v>
      </c>
    </row>
    <row r="4702" spans="1:12" x14ac:dyDescent="0.25">
      <c r="A4702" s="4" t="str">
        <f>HYPERLINK("http://www.rosaceae.org/Prunus/Prunus_persica/p.persica_gdr_reftransV1_0025365","p.persica_gdr_reftransV1_0025365")</f>
        <v>p.persica_gdr_reftransV1_0025365</v>
      </c>
      <c r="B4702" s="2">
        <v>1230</v>
      </c>
      <c r="C4702" s="4" t="str">
        <f>HYPERLINK("http://www.uniprot.org/uniprot/M5W0L5","M5W0L5")</f>
        <v>M5W0L5</v>
      </c>
      <c r="D4702" s="2" t="s">
        <v>4368</v>
      </c>
      <c r="E4702" s="3">
        <v>4.5999999999999999E-104</v>
      </c>
      <c r="F4702" s="2">
        <v>811</v>
      </c>
      <c r="G4702" s="2">
        <v>97</v>
      </c>
      <c r="H4702" s="2">
        <v>159</v>
      </c>
      <c r="I4702" s="2">
        <v>309</v>
      </c>
      <c r="J4702" s="2">
        <v>785</v>
      </c>
      <c r="K4702" s="2">
        <v>1</v>
      </c>
      <c r="L4702" s="2">
        <v>159</v>
      </c>
    </row>
    <row r="4703" spans="1:12" x14ac:dyDescent="0.25">
      <c r="A4703" s="4" t="str">
        <f>HYPERLINK("http://www.rosaceae.org/Prunus/Prunus_persica/p.persica_gdr_reftransV1_0027465","p.persica_gdr_reftransV1_0027465")</f>
        <v>p.persica_gdr_reftransV1_0027465</v>
      </c>
      <c r="B4703" s="2">
        <v>3105</v>
      </c>
      <c r="C4703" s="4" t="str">
        <f>HYPERLINK("http://www.uniprot.org/uniprot/M5VYP4","M5VYP4")</f>
        <v>M5VYP4</v>
      </c>
      <c r="D4703" s="2" t="s">
        <v>4369</v>
      </c>
      <c r="E4703" s="3">
        <v>0</v>
      </c>
      <c r="F4703" s="2">
        <v>1614</v>
      </c>
      <c r="G4703" s="2">
        <v>95</v>
      </c>
      <c r="H4703" s="2">
        <v>329</v>
      </c>
      <c r="I4703" s="2">
        <v>1432</v>
      </c>
      <c r="J4703" s="2">
        <v>2418</v>
      </c>
      <c r="K4703" s="2">
        <v>70</v>
      </c>
      <c r="L4703" s="2">
        <v>380</v>
      </c>
    </row>
    <row r="4704" spans="1:12" x14ac:dyDescent="0.25">
      <c r="A4704" s="4" t="str">
        <f>HYPERLINK("http://www.rosaceae.org/Prunus/Prunus_persica/p.persica_gdr_reftransV1_0028515","p.persica_gdr_reftransV1_0028515")</f>
        <v>p.persica_gdr_reftransV1_0028515</v>
      </c>
      <c r="B4704" s="2">
        <v>2590</v>
      </c>
      <c r="C4704" s="4" t="str">
        <f>HYPERLINK("http://www.uniprot.org/uniprot/M5XMC4","M5XMC4")</f>
        <v>M5XMC4</v>
      </c>
      <c r="D4704" s="2" t="s">
        <v>4370</v>
      </c>
      <c r="E4704" s="3">
        <v>0</v>
      </c>
      <c r="F4704" s="2">
        <v>2790</v>
      </c>
      <c r="G4704" s="2">
        <v>97</v>
      </c>
      <c r="H4704" s="2">
        <v>587</v>
      </c>
      <c r="I4704" s="2">
        <v>384</v>
      </c>
      <c r="J4704" s="2">
        <v>2123</v>
      </c>
      <c r="K4704" s="2">
        <v>702</v>
      </c>
      <c r="L4704" s="2">
        <v>1288</v>
      </c>
    </row>
    <row r="4705" spans="1:12" x14ac:dyDescent="0.25">
      <c r="A4705" s="4" t="str">
        <f>HYPERLINK("http://www.rosaceae.org/Prunus/Prunus_persica/p.persica_gdr_reftransV1_0031315","p.persica_gdr_reftransV1_0031315")</f>
        <v>p.persica_gdr_reftransV1_0031315</v>
      </c>
      <c r="B4705" s="2">
        <v>2429</v>
      </c>
      <c r="C4705" s="4" t="str">
        <f>HYPERLINK("http://www.uniprot.org/uniprot/M5WVJ8","M5WVJ8")</f>
        <v>M5WVJ8</v>
      </c>
      <c r="D4705" s="2" t="s">
        <v>4371</v>
      </c>
      <c r="E4705" s="3">
        <v>6.4900000000000003E-128</v>
      </c>
      <c r="F4705" s="2">
        <v>1008</v>
      </c>
      <c r="G4705" s="2">
        <v>100</v>
      </c>
      <c r="H4705" s="2">
        <v>205</v>
      </c>
      <c r="I4705" s="2">
        <v>686</v>
      </c>
      <c r="J4705" s="2">
        <v>1300</v>
      </c>
      <c r="K4705" s="2">
        <v>1</v>
      </c>
      <c r="L4705" s="2">
        <v>205</v>
      </c>
    </row>
    <row r="4706" spans="1:12" x14ac:dyDescent="0.25">
      <c r="A4706" s="4" t="str">
        <f>HYPERLINK("http://www.rosaceae.org/Prunus/Prunus_persica/p.persica_gdr_reftransV1_0032365","p.persica_gdr_reftransV1_0032365")</f>
        <v>p.persica_gdr_reftransV1_0032365</v>
      </c>
      <c r="B4706" s="2">
        <v>1950</v>
      </c>
      <c r="C4706" s="4" t="str">
        <f>HYPERLINK("http://www.uniprot.org/uniprot/M5XT05","M5XT05")</f>
        <v>M5XT05</v>
      </c>
      <c r="D4706" s="2" t="s">
        <v>4372</v>
      </c>
      <c r="E4706" s="3">
        <v>0</v>
      </c>
      <c r="F4706" s="2">
        <v>2572</v>
      </c>
      <c r="G4706" s="2">
        <v>100</v>
      </c>
      <c r="H4706" s="2">
        <v>497</v>
      </c>
      <c r="I4706" s="2">
        <v>382</v>
      </c>
      <c r="J4706" s="2">
        <v>1872</v>
      </c>
      <c r="K4706" s="2">
        <v>1</v>
      </c>
      <c r="L4706" s="2">
        <v>497</v>
      </c>
    </row>
    <row r="4707" spans="1:12" x14ac:dyDescent="0.25">
      <c r="A4707" s="4" t="str">
        <f>HYPERLINK("http://www.rosaceae.org/Prunus/Prunus_persica/p.persica_gdr_reftransV1_0033415","p.persica_gdr_reftransV1_0033415")</f>
        <v>p.persica_gdr_reftransV1_0033415</v>
      </c>
      <c r="B4707" s="2">
        <v>3061</v>
      </c>
      <c r="C4707" s="4" t="str">
        <f>HYPERLINK("http://www.uniprot.org/uniprot/M5WXF8","M5WXF8")</f>
        <v>M5WXF8</v>
      </c>
      <c r="D4707" s="2" t="s">
        <v>1058</v>
      </c>
      <c r="E4707" s="3">
        <v>0</v>
      </c>
      <c r="F4707" s="2">
        <v>2618</v>
      </c>
      <c r="G4707" s="2">
        <v>100</v>
      </c>
      <c r="H4707" s="2">
        <v>499</v>
      </c>
      <c r="I4707" s="2">
        <v>1361</v>
      </c>
      <c r="J4707" s="2">
        <v>2857</v>
      </c>
      <c r="K4707" s="2">
        <v>12</v>
      </c>
      <c r="L4707" s="2">
        <v>510</v>
      </c>
    </row>
    <row r="4708" spans="1:12" x14ac:dyDescent="0.25">
      <c r="A4708" s="4" t="str">
        <f>HYPERLINK("http://www.rosaceae.org/Prunus/Prunus_persica/p.persica_gdr_reftransV1_0033765","p.persica_gdr_reftransV1_0033765")</f>
        <v>p.persica_gdr_reftransV1_0033765</v>
      </c>
      <c r="B4708" s="2">
        <v>1573</v>
      </c>
      <c r="C4708" s="4" t="str">
        <f>HYPERLINK("http://www.uniprot.org/uniprot/M5VXT9","M5VXT9")</f>
        <v>M5VXT9</v>
      </c>
      <c r="D4708" s="2" t="s">
        <v>4373</v>
      </c>
      <c r="E4708" s="3">
        <v>0</v>
      </c>
      <c r="F4708" s="2">
        <v>1415</v>
      </c>
      <c r="G4708" s="2">
        <v>100</v>
      </c>
      <c r="H4708" s="2">
        <v>267</v>
      </c>
      <c r="I4708" s="2">
        <v>187</v>
      </c>
      <c r="J4708" s="2">
        <v>987</v>
      </c>
      <c r="K4708" s="2">
        <v>1</v>
      </c>
      <c r="L4708" s="2">
        <v>267</v>
      </c>
    </row>
    <row r="4709" spans="1:12" x14ac:dyDescent="0.25">
      <c r="A4709" s="4" t="str">
        <f>HYPERLINK("http://www.rosaceae.org/Prunus/Prunus_persica/p.persica_gdr_reftransV1_0034815","p.persica_gdr_reftransV1_0034815")</f>
        <v>p.persica_gdr_reftransV1_0034815</v>
      </c>
      <c r="B4709" s="2">
        <v>2842</v>
      </c>
      <c r="C4709" s="4" t="str">
        <f>HYPERLINK("http://www.uniprot.org/uniprot/M5X6T8","M5X6T8")</f>
        <v>M5X6T8</v>
      </c>
      <c r="D4709" s="2" t="s">
        <v>4374</v>
      </c>
      <c r="E4709" s="3">
        <v>0</v>
      </c>
      <c r="F4709" s="2">
        <v>3065</v>
      </c>
      <c r="G4709" s="2">
        <v>98</v>
      </c>
      <c r="H4709" s="2">
        <v>608</v>
      </c>
      <c r="I4709" s="2">
        <v>752</v>
      </c>
      <c r="J4709" s="2">
        <v>2575</v>
      </c>
      <c r="K4709" s="2">
        <v>33</v>
      </c>
      <c r="L4709" s="2">
        <v>630</v>
      </c>
    </row>
    <row r="4710" spans="1:12" x14ac:dyDescent="0.25">
      <c r="A4710" s="4" t="str">
        <f>HYPERLINK("http://www.rosaceae.org/Prunus/Prunus_persica/p.persica_gdr_reftransV1_0036215","p.persica_gdr_reftransV1_0036215")</f>
        <v>p.persica_gdr_reftransV1_0036215</v>
      </c>
      <c r="B4710" s="2">
        <v>4937</v>
      </c>
      <c r="C4710" s="4" t="str">
        <f>HYPERLINK("http://www.uniprot.org/uniprot/A0A067KZC7","A0A067KZC7")</f>
        <v>A0A067KZC7</v>
      </c>
      <c r="D4710" s="2" t="s">
        <v>4375</v>
      </c>
      <c r="E4710" s="3">
        <v>0</v>
      </c>
      <c r="F4710" s="2">
        <v>4456</v>
      </c>
      <c r="G4710" s="2">
        <v>68</v>
      </c>
      <c r="H4710" s="2">
        <v>1345</v>
      </c>
      <c r="I4710" s="2">
        <v>623</v>
      </c>
      <c r="J4710" s="2">
        <v>4639</v>
      </c>
      <c r="K4710" s="2">
        <v>5</v>
      </c>
      <c r="L4710" s="2">
        <v>1333</v>
      </c>
    </row>
    <row r="4711" spans="1:12" x14ac:dyDescent="0.25">
      <c r="A4711" s="4" t="str">
        <f>HYPERLINK("http://www.rosaceae.org/Prunus/Prunus_persica/p.persica_gdr_reftransV1_0038665","p.persica_gdr_reftransV1_0038665")</f>
        <v>p.persica_gdr_reftransV1_0038665</v>
      </c>
      <c r="B4711" s="2">
        <v>2511</v>
      </c>
      <c r="C4711" s="4" t="str">
        <f>HYPERLINK("http://www.uniprot.org/uniprot/M5X3N7","M5X3N7")</f>
        <v>M5X3N7</v>
      </c>
      <c r="D4711" s="2" t="s">
        <v>4376</v>
      </c>
      <c r="E4711" s="3">
        <v>2.6600000000000001E-126</v>
      </c>
      <c r="F4711" s="2">
        <v>1000</v>
      </c>
      <c r="G4711" s="2">
        <v>100</v>
      </c>
      <c r="H4711" s="2">
        <v>190</v>
      </c>
      <c r="I4711" s="2">
        <v>1794</v>
      </c>
      <c r="J4711" s="2">
        <v>2363</v>
      </c>
      <c r="K4711" s="2">
        <v>17</v>
      </c>
      <c r="L4711" s="2">
        <v>206</v>
      </c>
    </row>
    <row r="4712" spans="1:12" x14ac:dyDescent="0.25">
      <c r="A4712" s="4" t="str">
        <f>HYPERLINK("http://www.rosaceae.org/Prunus/Prunus_persica/p.persica_gdr_reftransV1_0039365","p.persica_gdr_reftransV1_0039365")</f>
        <v>p.persica_gdr_reftransV1_0039365</v>
      </c>
      <c r="B4712" s="2">
        <v>1909</v>
      </c>
      <c r="C4712" s="4" t="str">
        <f>HYPERLINK("http://www.uniprot.org/uniprot/M5XCC2","M5XCC2")</f>
        <v>M5XCC2</v>
      </c>
      <c r="D4712" s="2" t="s">
        <v>4377</v>
      </c>
      <c r="E4712" s="3">
        <v>0</v>
      </c>
      <c r="F4712" s="2">
        <v>2148</v>
      </c>
      <c r="G4712" s="2">
        <v>97</v>
      </c>
      <c r="H4712" s="2">
        <v>475</v>
      </c>
      <c r="I4712" s="2">
        <v>66</v>
      </c>
      <c r="J4712" s="2">
        <v>1490</v>
      </c>
      <c r="K4712" s="2">
        <v>1</v>
      </c>
      <c r="L4712" s="2">
        <v>462</v>
      </c>
    </row>
    <row r="4713" spans="1:12" x14ac:dyDescent="0.25">
      <c r="A4713" s="4" t="str">
        <f>HYPERLINK("http://www.rosaceae.org/Prunus/Prunus_persica/p.persica_gdr_reftransV1_0040065","p.persica_gdr_reftransV1_0040065")</f>
        <v>p.persica_gdr_reftransV1_0040065</v>
      </c>
      <c r="B4713" s="2">
        <v>2199</v>
      </c>
      <c r="C4713" s="4" t="str">
        <f>HYPERLINK("http://www.uniprot.org/uniprot/M5X8N5","M5X8N5")</f>
        <v>M5X8N5</v>
      </c>
      <c r="D4713" s="2" t="s">
        <v>4378</v>
      </c>
      <c r="E4713" s="3">
        <v>0</v>
      </c>
      <c r="F4713" s="2">
        <v>2916</v>
      </c>
      <c r="G4713" s="2">
        <v>100</v>
      </c>
      <c r="H4713" s="2">
        <v>565</v>
      </c>
      <c r="I4713" s="2">
        <v>336</v>
      </c>
      <c r="J4713" s="2">
        <v>2030</v>
      </c>
      <c r="K4713" s="2">
        <v>1</v>
      </c>
      <c r="L4713" s="2">
        <v>565</v>
      </c>
    </row>
    <row r="4714" spans="1:12" x14ac:dyDescent="0.25">
      <c r="A4714" s="4" t="str">
        <f>HYPERLINK("http://www.rosaceae.org/Prunus/Prunus_persica/p.persica_gdr_reftransV1_0040415","p.persica_gdr_reftransV1_0040415")</f>
        <v>p.persica_gdr_reftransV1_0040415</v>
      </c>
      <c r="B4714" s="2">
        <v>1768</v>
      </c>
      <c r="C4714" s="4" t="str">
        <f>HYPERLINK("http://www.uniprot.org/uniprot/M5XKZ4","M5XKZ4")</f>
        <v>M5XKZ4</v>
      </c>
      <c r="D4714" s="2" t="s">
        <v>4379</v>
      </c>
      <c r="E4714" s="3">
        <v>0</v>
      </c>
      <c r="F4714" s="2">
        <v>1779</v>
      </c>
      <c r="G4714" s="2">
        <v>100</v>
      </c>
      <c r="H4714" s="2">
        <v>331</v>
      </c>
      <c r="I4714" s="2">
        <v>26</v>
      </c>
      <c r="J4714" s="2">
        <v>1018</v>
      </c>
      <c r="K4714" s="2">
        <v>2</v>
      </c>
      <c r="L4714" s="2">
        <v>332</v>
      </c>
    </row>
    <row r="4715" spans="1:12" x14ac:dyDescent="0.25">
      <c r="A4715" s="4" t="str">
        <f>HYPERLINK("http://www.rosaceae.org/Prunus/Prunus_persica/p.persica_gdr_reftransV1_0040765","p.persica_gdr_reftransV1_0040765")</f>
        <v>p.persica_gdr_reftransV1_0040765</v>
      </c>
      <c r="B4715" s="2">
        <v>2690</v>
      </c>
      <c r="C4715" s="4" t="str">
        <f>HYPERLINK("http://www.uniprot.org/uniprot/M5XAL5","M5XAL5")</f>
        <v>M5XAL5</v>
      </c>
      <c r="D4715" s="2" t="s">
        <v>4380</v>
      </c>
      <c r="E4715" s="3">
        <v>0</v>
      </c>
      <c r="F4715" s="2">
        <v>1735</v>
      </c>
      <c r="G4715" s="2">
        <v>100</v>
      </c>
      <c r="H4715" s="2">
        <v>355</v>
      </c>
      <c r="I4715" s="2">
        <v>792</v>
      </c>
      <c r="J4715" s="2">
        <v>1856</v>
      </c>
      <c r="K4715" s="2">
        <v>1</v>
      </c>
      <c r="L4715" s="2">
        <v>355</v>
      </c>
    </row>
    <row r="4716" spans="1:12" x14ac:dyDescent="0.25">
      <c r="A4716" s="4" t="str">
        <f>HYPERLINK("http://www.rosaceae.org/Prunus/Prunus_persica/p.persica_gdr_reftransV1_0041465","p.persica_gdr_reftransV1_0041465")</f>
        <v>p.persica_gdr_reftransV1_0041465</v>
      </c>
      <c r="B4716" s="2">
        <v>2854</v>
      </c>
      <c r="C4716" s="4" t="str">
        <f>HYPERLINK("http://www.uniprot.org/uniprot/W9RHZ1","W9RHZ1")</f>
        <v>W9RHZ1</v>
      </c>
      <c r="D4716" s="2" t="s">
        <v>4381</v>
      </c>
      <c r="E4716" s="3">
        <v>5.7799999999999998E-138</v>
      </c>
      <c r="F4716" s="2">
        <v>885</v>
      </c>
      <c r="G4716" s="2">
        <v>91</v>
      </c>
      <c r="H4716" s="2">
        <v>181</v>
      </c>
      <c r="I4716" s="2">
        <v>380</v>
      </c>
      <c r="J4716" s="2">
        <v>922</v>
      </c>
      <c r="K4716" s="2">
        <v>119</v>
      </c>
      <c r="L4716" s="2">
        <v>299</v>
      </c>
    </row>
    <row r="4717" spans="1:12" x14ac:dyDescent="0.25">
      <c r="A4717" s="4" t="str">
        <f>HYPERLINK("http://www.rosaceae.org/Prunus/Prunus_persica/p.persica_gdr_reftransV1_0043215","p.persica_gdr_reftransV1_0043215")</f>
        <v>p.persica_gdr_reftransV1_0043215</v>
      </c>
      <c r="B4717" s="2">
        <v>1529</v>
      </c>
      <c r="C4717" s="4" t="str">
        <f>HYPERLINK("http://www.uniprot.org/uniprot/M5X0J6","M5X0J6")</f>
        <v>M5X0J6</v>
      </c>
      <c r="D4717" s="2" t="s">
        <v>4382</v>
      </c>
      <c r="E4717" s="3">
        <v>0</v>
      </c>
      <c r="F4717" s="2">
        <v>2089</v>
      </c>
      <c r="G4717" s="2">
        <v>100</v>
      </c>
      <c r="H4717" s="2">
        <v>390</v>
      </c>
      <c r="I4717" s="2">
        <v>94</v>
      </c>
      <c r="J4717" s="2">
        <v>1263</v>
      </c>
      <c r="K4717" s="2">
        <v>1</v>
      </c>
      <c r="L4717" s="2">
        <v>390</v>
      </c>
    </row>
    <row r="4718" spans="1:12" x14ac:dyDescent="0.25">
      <c r="A4718" s="4" t="str">
        <f>HYPERLINK("http://www.rosaceae.org/Prunus/Prunus_persica/p.persica_gdr_reftransV1_0043565","p.persica_gdr_reftransV1_0043565")</f>
        <v>p.persica_gdr_reftransV1_0043565</v>
      </c>
      <c r="B4718" s="2">
        <v>978</v>
      </c>
      <c r="C4718" s="4" t="str">
        <f>HYPERLINK("http://www.uniprot.org/uniprot/M5Y024","M5Y024")</f>
        <v>M5Y024</v>
      </c>
      <c r="D4718" s="2" t="s">
        <v>4383</v>
      </c>
      <c r="E4718" s="3">
        <v>3.1400000000000001E-175</v>
      </c>
      <c r="F4718" s="2">
        <v>1281</v>
      </c>
      <c r="G4718" s="2">
        <v>100</v>
      </c>
      <c r="H4718" s="2">
        <v>245</v>
      </c>
      <c r="I4718" s="2">
        <v>88</v>
      </c>
      <c r="J4718" s="2">
        <v>822</v>
      </c>
      <c r="K4718" s="2">
        <v>1</v>
      </c>
      <c r="L4718" s="2">
        <v>245</v>
      </c>
    </row>
    <row r="4719" spans="1:12" x14ac:dyDescent="0.25">
      <c r="A4719" s="4" t="str">
        <f>HYPERLINK("http://www.rosaceae.org/Prunus/Prunus_persica/p.persica_gdr_reftransV1_0043915","p.persica_gdr_reftransV1_0043915")</f>
        <v>p.persica_gdr_reftransV1_0043915</v>
      </c>
      <c r="B4719" s="2">
        <v>1737</v>
      </c>
      <c r="C4719" s="4" t="str">
        <f>HYPERLINK("http://www.uniprot.org/uniprot/M5XD07","M5XD07")</f>
        <v>M5XD07</v>
      </c>
      <c r="D4719" s="2" t="s">
        <v>4384</v>
      </c>
      <c r="E4719" s="3">
        <v>0</v>
      </c>
      <c r="F4719" s="2">
        <v>1708</v>
      </c>
      <c r="G4719" s="2">
        <v>100</v>
      </c>
      <c r="H4719" s="2">
        <v>355</v>
      </c>
      <c r="I4719" s="2">
        <v>373</v>
      </c>
      <c r="J4719" s="2">
        <v>1437</v>
      </c>
      <c r="K4719" s="2">
        <v>1</v>
      </c>
      <c r="L4719" s="2">
        <v>355</v>
      </c>
    </row>
    <row r="4720" spans="1:12" x14ac:dyDescent="0.25">
      <c r="A4720" s="4" t="str">
        <f>HYPERLINK("http://www.rosaceae.org/Prunus/Prunus_persica/p.persica_gdr_reftransV1_0044265","p.persica_gdr_reftransV1_0044265")</f>
        <v>p.persica_gdr_reftransV1_0044265</v>
      </c>
      <c r="B4720" s="2">
        <v>1449</v>
      </c>
      <c r="C4720" s="4" t="str">
        <f>HYPERLINK("http://www.uniprot.org/uniprot/M5VQM1","M5VQM1")</f>
        <v>M5VQM1</v>
      </c>
      <c r="D4720" s="2" t="s">
        <v>4385</v>
      </c>
      <c r="E4720" s="3">
        <v>1.65E-180</v>
      </c>
      <c r="F4720" s="2">
        <v>1338</v>
      </c>
      <c r="G4720" s="2">
        <v>99</v>
      </c>
      <c r="H4720" s="2">
        <v>283</v>
      </c>
      <c r="I4720" s="2">
        <v>213</v>
      </c>
      <c r="J4720" s="2">
        <v>1061</v>
      </c>
      <c r="K4720" s="2">
        <v>20</v>
      </c>
      <c r="L4720" s="2">
        <v>302</v>
      </c>
    </row>
    <row r="4721" spans="1:12" x14ac:dyDescent="0.25">
      <c r="A4721" s="4" t="str">
        <f>HYPERLINK("http://www.rosaceae.org/Prunus/Prunus_persica/p.persica_gdr_reftransV1_0044965","p.persica_gdr_reftransV1_0044965")</f>
        <v>p.persica_gdr_reftransV1_0044965</v>
      </c>
      <c r="B4721" s="2">
        <v>347</v>
      </c>
      <c r="C4721" s="4" t="str">
        <f>HYPERLINK("http://www.uniprot.org/uniprot/M5WSK8","M5WSK8")</f>
        <v>M5WSK8</v>
      </c>
      <c r="D4721" s="2" t="s">
        <v>4386</v>
      </c>
      <c r="E4721" s="3">
        <v>2.2700000000000001E-46</v>
      </c>
      <c r="F4721" s="2">
        <v>416</v>
      </c>
      <c r="G4721" s="2">
        <v>100</v>
      </c>
      <c r="H4721" s="2">
        <v>106</v>
      </c>
      <c r="I4721" s="2">
        <v>29</v>
      </c>
      <c r="J4721" s="2">
        <v>346</v>
      </c>
      <c r="K4721" s="2">
        <v>300</v>
      </c>
      <c r="L4721" s="2">
        <v>405</v>
      </c>
    </row>
    <row r="4722" spans="1:12" x14ac:dyDescent="0.25">
      <c r="A4722" s="4" t="str">
        <f>HYPERLINK("http://www.rosaceae.org/Prunus/Prunus_persica/p.persica_gdr_reftransV1_0045315","p.persica_gdr_reftransV1_0045315")</f>
        <v>p.persica_gdr_reftransV1_0045315</v>
      </c>
      <c r="B4722" s="2">
        <v>1611</v>
      </c>
      <c r="C4722" s="4" t="str">
        <f>HYPERLINK("http://www.uniprot.org/uniprot/M5W8R9","M5W8R9")</f>
        <v>M5W8R9</v>
      </c>
      <c r="D4722" s="2" t="s">
        <v>4387</v>
      </c>
      <c r="E4722" s="3">
        <v>0</v>
      </c>
      <c r="F4722" s="2">
        <v>2173</v>
      </c>
      <c r="G4722" s="2">
        <v>99</v>
      </c>
      <c r="H4722" s="2">
        <v>488</v>
      </c>
      <c r="I4722" s="2">
        <v>135</v>
      </c>
      <c r="J4722" s="2">
        <v>1589</v>
      </c>
      <c r="K4722" s="2">
        <v>42</v>
      </c>
      <c r="L4722" s="2">
        <v>529</v>
      </c>
    </row>
    <row r="4723" spans="1:12" x14ac:dyDescent="0.25">
      <c r="A4723" s="4" t="str">
        <f>HYPERLINK("http://www.rosaceae.org/Prunus/Prunus_persica/p.persica_gdr_reftransV1_0046365","p.persica_gdr_reftransV1_0046365")</f>
        <v>p.persica_gdr_reftransV1_0046365</v>
      </c>
      <c r="B4723" s="2">
        <v>2071</v>
      </c>
      <c r="C4723" s="4" t="str">
        <f>HYPERLINK("http://www.uniprot.org/uniprot/H6VRF3","H6VRF3")</f>
        <v>H6VRF3</v>
      </c>
      <c r="D4723" s="2" t="s">
        <v>4388</v>
      </c>
      <c r="E4723" s="3">
        <v>0</v>
      </c>
      <c r="F4723" s="2">
        <v>2332</v>
      </c>
      <c r="G4723" s="2">
        <v>100</v>
      </c>
      <c r="H4723" s="2">
        <v>477</v>
      </c>
      <c r="I4723" s="2">
        <v>213</v>
      </c>
      <c r="J4723" s="2">
        <v>1643</v>
      </c>
      <c r="K4723" s="2">
        <v>1</v>
      </c>
      <c r="L4723" s="2">
        <v>477</v>
      </c>
    </row>
    <row r="4724" spans="1:12" x14ac:dyDescent="0.25">
      <c r="A4724" s="4" t="str">
        <f>HYPERLINK("http://www.rosaceae.org/Prunus/Prunus_persica/p.persica_gdr_reftransV1_0047065","p.persica_gdr_reftransV1_0047065")</f>
        <v>p.persica_gdr_reftransV1_0047065</v>
      </c>
      <c r="B4724" s="2">
        <v>1814</v>
      </c>
      <c r="C4724" s="4" t="str">
        <f>HYPERLINK("http://www.uniprot.org/uniprot/M5WRU4","M5WRU4")</f>
        <v>M5WRU4</v>
      </c>
      <c r="D4724" s="2" t="s">
        <v>1687</v>
      </c>
      <c r="E4724" s="3">
        <v>0</v>
      </c>
      <c r="F4724" s="2">
        <v>2223</v>
      </c>
      <c r="G4724" s="2">
        <v>99</v>
      </c>
      <c r="H4724" s="2">
        <v>442</v>
      </c>
      <c r="I4724" s="2">
        <v>109</v>
      </c>
      <c r="J4724" s="2">
        <v>1434</v>
      </c>
      <c r="K4724" s="2">
        <v>1</v>
      </c>
      <c r="L4724" s="2">
        <v>442</v>
      </c>
    </row>
    <row r="4725" spans="1:12" x14ac:dyDescent="0.25">
      <c r="A4725" s="4" t="str">
        <f>HYPERLINK("http://www.rosaceae.org/Prunus/Prunus_persica/p.persica_gdr_reftransV1_0047765","p.persica_gdr_reftransV1_0047765")</f>
        <v>p.persica_gdr_reftransV1_0047765</v>
      </c>
      <c r="B4725" s="2">
        <v>446</v>
      </c>
      <c r="C4725" s="4" t="str">
        <f>HYPERLINK("http://www.uniprot.org/uniprot/M5VXD2","M5VXD2")</f>
        <v>M5VXD2</v>
      </c>
      <c r="D4725" s="2" t="s">
        <v>4389</v>
      </c>
      <c r="E4725" s="3">
        <v>2.9900000000000001E-66</v>
      </c>
      <c r="F4725" s="2">
        <v>528</v>
      </c>
      <c r="G4725" s="2">
        <v>100</v>
      </c>
      <c r="H4725" s="2">
        <v>98</v>
      </c>
      <c r="I4725" s="2">
        <v>95</v>
      </c>
      <c r="J4725" s="2">
        <v>388</v>
      </c>
      <c r="K4725" s="2">
        <v>1</v>
      </c>
      <c r="L4725" s="2">
        <v>98</v>
      </c>
    </row>
    <row r="4726" spans="1:12" x14ac:dyDescent="0.25">
      <c r="A4726" s="4" t="str">
        <f>HYPERLINK("http://www.rosaceae.org/Prunus/Prunus_persica/p.persica_gdr_reftransV1_0048115","p.persica_gdr_reftransV1_0048115")</f>
        <v>p.persica_gdr_reftransV1_0048115</v>
      </c>
      <c r="B4726" s="2">
        <v>1265</v>
      </c>
      <c r="C4726" s="4" t="str">
        <f>HYPERLINK("http://www.uniprot.org/uniprot/M5WDC0","M5WDC0")</f>
        <v>M5WDC0</v>
      </c>
      <c r="D4726" s="2" t="s">
        <v>4390</v>
      </c>
      <c r="E4726" s="3">
        <v>9.7100000000000009E-168</v>
      </c>
      <c r="F4726" s="2">
        <v>1243</v>
      </c>
      <c r="G4726" s="2">
        <v>100</v>
      </c>
      <c r="H4726" s="2">
        <v>256</v>
      </c>
      <c r="I4726" s="2">
        <v>230</v>
      </c>
      <c r="J4726" s="2">
        <v>997</v>
      </c>
      <c r="K4726" s="2">
        <v>1</v>
      </c>
      <c r="L4726" s="2">
        <v>256</v>
      </c>
    </row>
    <row r="4727" spans="1:12" x14ac:dyDescent="0.25">
      <c r="A4727" s="4" t="str">
        <f>HYPERLINK("http://www.rosaceae.org/Prunus/Prunus_persica/p.persica_gdr_reftransV1_0048465","p.persica_gdr_reftransV1_0048465")</f>
        <v>p.persica_gdr_reftransV1_0048465</v>
      </c>
      <c r="B4727" s="2">
        <v>1210</v>
      </c>
      <c r="C4727" s="4" t="str">
        <f>HYPERLINK("http://www.uniprot.org/uniprot/M5XCV1","M5XCV1")</f>
        <v>M5XCV1</v>
      </c>
      <c r="D4727" s="2" t="s">
        <v>4391</v>
      </c>
      <c r="E4727" s="3">
        <v>2.6699999999999999E-174</v>
      </c>
      <c r="F4727" s="2">
        <v>1292</v>
      </c>
      <c r="G4727" s="2">
        <v>100</v>
      </c>
      <c r="H4727" s="2">
        <v>252</v>
      </c>
      <c r="I4727" s="2">
        <v>24</v>
      </c>
      <c r="J4727" s="2">
        <v>779</v>
      </c>
      <c r="K4727" s="2">
        <v>84</v>
      </c>
      <c r="L4727" s="2">
        <v>335</v>
      </c>
    </row>
    <row r="4728" spans="1:12" x14ac:dyDescent="0.25">
      <c r="A4728" s="4" t="str">
        <f>HYPERLINK("http://www.rosaceae.org/Prunus/Prunus_persica/p.persica_gdr_reftransV1_0048815","p.persica_gdr_reftransV1_0048815")</f>
        <v>p.persica_gdr_reftransV1_0048815</v>
      </c>
      <c r="B4728" s="2">
        <v>3089</v>
      </c>
      <c r="C4728" s="4" t="str">
        <f>HYPERLINK("http://www.uniprot.org/uniprot/M5Y3T2","M5Y3T2")</f>
        <v>M5Y3T2</v>
      </c>
      <c r="D4728" s="2" t="s">
        <v>4392</v>
      </c>
      <c r="E4728" s="3">
        <v>0</v>
      </c>
      <c r="F4728" s="2">
        <v>4028</v>
      </c>
      <c r="G4728" s="2">
        <v>100</v>
      </c>
      <c r="H4728" s="2">
        <v>777</v>
      </c>
      <c r="I4728" s="2">
        <v>377</v>
      </c>
      <c r="J4728" s="2">
        <v>2707</v>
      </c>
      <c r="K4728" s="2">
        <v>1</v>
      </c>
      <c r="L4728" s="2">
        <v>777</v>
      </c>
    </row>
    <row r="4729" spans="1:12" x14ac:dyDescent="0.25">
      <c r="A4729" s="4" t="str">
        <f>HYPERLINK("http://www.rosaceae.org/Prunus/Prunus_persica/p.persica_gdr_reftransV1_0049165","p.persica_gdr_reftransV1_0049165")</f>
        <v>p.persica_gdr_reftransV1_0049165</v>
      </c>
      <c r="B4729" s="2">
        <v>1318</v>
      </c>
      <c r="C4729" s="4" t="str">
        <f>HYPERLINK("http://www.uniprot.org/uniprot/O24249","O24249")</f>
        <v>O24249</v>
      </c>
      <c r="D4729" s="2" t="s">
        <v>4393</v>
      </c>
      <c r="E4729" s="3">
        <v>0</v>
      </c>
      <c r="F4729" s="2">
        <v>1705</v>
      </c>
      <c r="G4729" s="2">
        <v>90</v>
      </c>
      <c r="H4729" s="2">
        <v>355</v>
      </c>
      <c r="I4729" s="2">
        <v>48</v>
      </c>
      <c r="J4729" s="2">
        <v>1109</v>
      </c>
      <c r="K4729" s="2">
        <v>1</v>
      </c>
      <c r="L4729" s="2">
        <v>354</v>
      </c>
    </row>
    <row r="4730" spans="1:12" x14ac:dyDescent="0.25">
      <c r="A4730" s="4" t="str">
        <f>HYPERLINK("http://www.rosaceae.org/Prunus/Prunus_persica/p.persica_gdr_reftransV1_0000516","p.persica_gdr_reftransV1_0000516")</f>
        <v>p.persica_gdr_reftransV1_0000516</v>
      </c>
      <c r="B4730" s="2">
        <v>2964</v>
      </c>
      <c r="C4730" s="4" t="str">
        <f>HYPERLINK("http://www.uniprot.org/uniprot/M5VWL0","M5VWL0")</f>
        <v>M5VWL0</v>
      </c>
      <c r="D4730" s="2" t="s">
        <v>4394</v>
      </c>
      <c r="E4730" s="3">
        <v>0</v>
      </c>
      <c r="F4730" s="2">
        <v>3408</v>
      </c>
      <c r="G4730" s="2">
        <v>100</v>
      </c>
      <c r="H4730" s="2">
        <v>647</v>
      </c>
      <c r="I4730" s="2">
        <v>871</v>
      </c>
      <c r="J4730" s="2">
        <v>2811</v>
      </c>
      <c r="K4730" s="2">
        <v>1</v>
      </c>
      <c r="L4730" s="2">
        <v>647</v>
      </c>
    </row>
    <row r="4731" spans="1:12" x14ac:dyDescent="0.25">
      <c r="A4731" s="4" t="str">
        <f>HYPERLINK("http://www.rosaceae.org/Prunus/Prunus_persica/p.persica_gdr_reftransV1_0000866","p.persica_gdr_reftransV1_0000866")</f>
        <v>p.persica_gdr_reftransV1_0000866</v>
      </c>
      <c r="B4731" s="2">
        <v>1173</v>
      </c>
      <c r="C4731" s="4" t="str">
        <f>HYPERLINK("http://www.uniprot.org/uniprot/M5WR71","M5WR71")</f>
        <v>M5WR71</v>
      </c>
      <c r="D4731" s="2" t="s">
        <v>4395</v>
      </c>
      <c r="E4731" s="3">
        <v>0</v>
      </c>
      <c r="F4731" s="2">
        <v>1552</v>
      </c>
      <c r="G4731" s="2">
        <v>92</v>
      </c>
      <c r="H4731" s="2">
        <v>311</v>
      </c>
      <c r="I4731" s="2">
        <v>223</v>
      </c>
      <c r="J4731" s="2">
        <v>1155</v>
      </c>
      <c r="K4731" s="2">
        <v>1</v>
      </c>
      <c r="L4731" s="2">
        <v>311</v>
      </c>
    </row>
    <row r="4732" spans="1:12" x14ac:dyDescent="0.25">
      <c r="A4732" s="4" t="str">
        <f>HYPERLINK("http://www.rosaceae.org/Prunus/Prunus_persica/p.persica_gdr_reftransV1_0001566","p.persica_gdr_reftransV1_0001566")</f>
        <v>p.persica_gdr_reftransV1_0001566</v>
      </c>
      <c r="B4732" s="2">
        <v>1944</v>
      </c>
      <c r="C4732" s="4" t="str">
        <f>HYPERLINK("http://www.uniprot.org/uniprot/M5XEP6","M5XEP6")</f>
        <v>M5XEP6</v>
      </c>
      <c r="D4732" s="2" t="s">
        <v>4396</v>
      </c>
      <c r="E4732" s="3">
        <v>0</v>
      </c>
      <c r="F4732" s="2">
        <v>1921</v>
      </c>
      <c r="G4732" s="2">
        <v>100</v>
      </c>
      <c r="H4732" s="2">
        <v>412</v>
      </c>
      <c r="I4732" s="2">
        <v>708</v>
      </c>
      <c r="J4732" s="2">
        <v>1943</v>
      </c>
      <c r="K4732" s="2">
        <v>88</v>
      </c>
      <c r="L4732" s="2">
        <v>499</v>
      </c>
    </row>
    <row r="4733" spans="1:12" x14ac:dyDescent="0.25">
      <c r="A4733" s="4" t="str">
        <f>HYPERLINK("http://www.rosaceae.org/Prunus/Prunus_persica/p.persica_gdr_reftransV1_0001916","p.persica_gdr_reftransV1_0001916")</f>
        <v>p.persica_gdr_reftransV1_0001916</v>
      </c>
      <c r="B4733" s="2">
        <v>2544</v>
      </c>
      <c r="C4733" s="4" t="str">
        <f>HYPERLINK("http://www.uniprot.org/uniprot/Q9M343","Q9M343")</f>
        <v>Q9M343</v>
      </c>
      <c r="D4733" s="2" t="s">
        <v>4397</v>
      </c>
      <c r="E4733" s="3">
        <v>6.1799999999999996E-153</v>
      </c>
      <c r="F4733" s="2">
        <v>810</v>
      </c>
      <c r="G4733" s="2">
        <v>66</v>
      </c>
      <c r="H4733" s="2">
        <v>247</v>
      </c>
      <c r="I4733" s="2">
        <v>1076</v>
      </c>
      <c r="J4733" s="2">
        <v>1789</v>
      </c>
      <c r="K4733" s="2">
        <v>240</v>
      </c>
      <c r="L4733" s="2">
        <v>486</v>
      </c>
    </row>
    <row r="4734" spans="1:12" x14ac:dyDescent="0.25">
      <c r="A4734" s="4" t="str">
        <f>HYPERLINK("http://www.rosaceae.org/Prunus/Prunus_persica/p.persica_gdr_reftransV1_0002616","p.persica_gdr_reftransV1_0002616")</f>
        <v>p.persica_gdr_reftransV1_0002616</v>
      </c>
      <c r="B4734" s="2">
        <v>1279</v>
      </c>
      <c r="C4734" s="4" t="str">
        <f>HYPERLINK("http://www.uniprot.org/uniprot/M5WF19","M5WF19")</f>
        <v>M5WF19</v>
      </c>
      <c r="D4734" s="2" t="s">
        <v>4398</v>
      </c>
      <c r="E4734" s="3">
        <v>0</v>
      </c>
      <c r="F4734" s="2">
        <v>2096</v>
      </c>
      <c r="G4734" s="2">
        <v>100</v>
      </c>
      <c r="H4734" s="2">
        <v>423</v>
      </c>
      <c r="I4734" s="2">
        <v>3</v>
      </c>
      <c r="J4734" s="2">
        <v>1271</v>
      </c>
      <c r="K4734" s="2">
        <v>252</v>
      </c>
      <c r="L4734" s="2">
        <v>674</v>
      </c>
    </row>
    <row r="4735" spans="1:12" x14ac:dyDescent="0.25">
      <c r="A4735" s="4" t="str">
        <f>HYPERLINK("http://www.rosaceae.org/Prunus/Prunus_persica/p.persica_gdr_reftransV1_0003316","p.persica_gdr_reftransV1_0003316")</f>
        <v>p.persica_gdr_reftransV1_0003316</v>
      </c>
      <c r="B4735" s="2">
        <v>1235</v>
      </c>
      <c r="C4735" s="4" t="str">
        <f>HYPERLINK("http://www.uniprot.org/uniprot/M5XQD4","M5XQD4")</f>
        <v>M5XQD4</v>
      </c>
      <c r="D4735" s="2" t="s">
        <v>4399</v>
      </c>
      <c r="E4735" s="3">
        <v>1.04E-180</v>
      </c>
      <c r="F4735" s="2">
        <v>1328</v>
      </c>
      <c r="G4735" s="2">
        <v>100</v>
      </c>
      <c r="H4735" s="2">
        <v>265</v>
      </c>
      <c r="I4735" s="2">
        <v>110</v>
      </c>
      <c r="J4735" s="2">
        <v>904</v>
      </c>
      <c r="K4735" s="2">
        <v>1</v>
      </c>
      <c r="L4735" s="2">
        <v>265</v>
      </c>
    </row>
    <row r="4736" spans="1:12" x14ac:dyDescent="0.25">
      <c r="A4736" s="4" t="str">
        <f>HYPERLINK("http://www.rosaceae.org/Prunus/Prunus_persica/p.persica_gdr_reftransV1_0003666","p.persica_gdr_reftransV1_0003666")</f>
        <v>p.persica_gdr_reftransV1_0003666</v>
      </c>
      <c r="B4736" s="2">
        <v>981</v>
      </c>
      <c r="C4736" s="4" t="str">
        <f>HYPERLINK("http://www.uniprot.org/uniprot/M5VXP0","M5VXP0")</f>
        <v>M5VXP0</v>
      </c>
      <c r="D4736" s="2" t="s">
        <v>4400</v>
      </c>
      <c r="E4736" s="3">
        <v>5.1E-55</v>
      </c>
      <c r="F4736" s="2">
        <v>488</v>
      </c>
      <c r="G4736" s="2">
        <v>100</v>
      </c>
      <c r="H4736" s="2">
        <v>92</v>
      </c>
      <c r="I4736" s="2">
        <v>551</v>
      </c>
      <c r="J4736" s="2">
        <v>826</v>
      </c>
      <c r="K4736" s="2">
        <v>201</v>
      </c>
      <c r="L4736" s="2">
        <v>292</v>
      </c>
    </row>
    <row r="4737" spans="1:12" x14ac:dyDescent="0.25">
      <c r="A4737" s="4" t="str">
        <f>HYPERLINK("http://www.rosaceae.org/Prunus/Prunus_persica/p.persica_gdr_reftransV1_0004366","p.persica_gdr_reftransV1_0004366")</f>
        <v>p.persica_gdr_reftransV1_0004366</v>
      </c>
      <c r="B4737" s="2">
        <v>1698</v>
      </c>
      <c r="C4737" s="4" t="str">
        <f>HYPERLINK("http://www.uniprot.org/uniprot/M5XDM8","M5XDM8")</f>
        <v>M5XDM8</v>
      </c>
      <c r="D4737" s="2" t="s">
        <v>4401</v>
      </c>
      <c r="E4737" s="3">
        <v>0</v>
      </c>
      <c r="F4737" s="2">
        <v>1964</v>
      </c>
      <c r="G4737" s="2">
        <v>100</v>
      </c>
      <c r="H4737" s="2">
        <v>391</v>
      </c>
      <c r="I4737" s="2">
        <v>261</v>
      </c>
      <c r="J4737" s="2">
        <v>1433</v>
      </c>
      <c r="K4737" s="2">
        <v>78</v>
      </c>
      <c r="L4737" s="2">
        <v>468</v>
      </c>
    </row>
    <row r="4738" spans="1:12" x14ac:dyDescent="0.25">
      <c r="A4738" s="4" t="str">
        <f>HYPERLINK("http://www.rosaceae.org/Prunus/Prunus_persica/p.persica_gdr_reftransV1_0004716","p.persica_gdr_reftransV1_0004716")</f>
        <v>p.persica_gdr_reftransV1_0004716</v>
      </c>
      <c r="B4738" s="2">
        <v>1341</v>
      </c>
      <c r="C4738" s="4" t="str">
        <f>HYPERLINK("http://www.uniprot.org/uniprot/M5VYZ5","M5VYZ5")</f>
        <v>M5VYZ5</v>
      </c>
      <c r="D4738" s="2" t="s">
        <v>3339</v>
      </c>
      <c r="E4738" s="3">
        <v>2.1899999999999998E-173</v>
      </c>
      <c r="F4738" s="2">
        <v>1140</v>
      </c>
      <c r="G4738" s="2">
        <v>100</v>
      </c>
      <c r="H4738" s="2">
        <v>218</v>
      </c>
      <c r="I4738" s="2">
        <v>286</v>
      </c>
      <c r="J4738" s="2">
        <v>939</v>
      </c>
      <c r="K4738" s="2">
        <v>250</v>
      </c>
      <c r="L4738" s="2">
        <v>467</v>
      </c>
    </row>
    <row r="4739" spans="1:12" x14ac:dyDescent="0.25">
      <c r="A4739" s="4" t="str">
        <f>HYPERLINK("http://www.rosaceae.org/Prunus/Prunus_persica/p.persica_gdr_reftransV1_0005066","p.persica_gdr_reftransV1_0005066")</f>
        <v>p.persica_gdr_reftransV1_0005066</v>
      </c>
      <c r="B4739" s="2">
        <v>2886</v>
      </c>
      <c r="C4739" s="4" t="str">
        <f>HYPERLINK("http://www.uniprot.org/uniprot/M5W736","M5W736")</f>
        <v>M5W736</v>
      </c>
      <c r="D4739" s="2" t="s">
        <v>4402</v>
      </c>
      <c r="E4739" s="3">
        <v>0</v>
      </c>
      <c r="F4739" s="2">
        <v>4046</v>
      </c>
      <c r="G4739" s="2">
        <v>100</v>
      </c>
      <c r="H4739" s="2">
        <v>764</v>
      </c>
      <c r="I4739" s="2">
        <v>426</v>
      </c>
      <c r="J4739" s="2">
        <v>2717</v>
      </c>
      <c r="K4739" s="2">
        <v>1</v>
      </c>
      <c r="L4739" s="2">
        <v>764</v>
      </c>
    </row>
    <row r="4740" spans="1:12" x14ac:dyDescent="0.25">
      <c r="A4740" s="4" t="str">
        <f>HYPERLINK("http://www.rosaceae.org/Prunus/Prunus_persica/p.persica_gdr_reftransV1_0005766","p.persica_gdr_reftransV1_0005766")</f>
        <v>p.persica_gdr_reftransV1_0005766</v>
      </c>
      <c r="B4740" s="2">
        <v>1000</v>
      </c>
      <c r="C4740" s="4" t="str">
        <f>HYPERLINK("http://www.uniprot.org/uniprot/M5WR50","M5WR50")</f>
        <v>M5WR50</v>
      </c>
      <c r="D4740" s="2" t="s">
        <v>268</v>
      </c>
      <c r="E4740" s="3">
        <v>8.2399999999999998E-154</v>
      </c>
      <c r="F4740" s="2">
        <v>1138</v>
      </c>
      <c r="G4740" s="2">
        <v>96</v>
      </c>
      <c r="H4740" s="2">
        <v>226</v>
      </c>
      <c r="I4740" s="2">
        <v>57</v>
      </c>
      <c r="J4740" s="2">
        <v>734</v>
      </c>
      <c r="K4740" s="2">
        <v>1</v>
      </c>
      <c r="L4740" s="2">
        <v>226</v>
      </c>
    </row>
    <row r="4741" spans="1:12" x14ac:dyDescent="0.25">
      <c r="A4741" s="4" t="str">
        <f>HYPERLINK("http://www.rosaceae.org/Prunus/Prunus_persica/p.persica_gdr_reftransV1_0006116","p.persica_gdr_reftransV1_0006116")</f>
        <v>p.persica_gdr_reftransV1_0006116</v>
      </c>
      <c r="B4741" s="2">
        <v>568</v>
      </c>
      <c r="C4741" s="4" t="str">
        <f>HYPERLINK("http://www.uniprot.org/uniprot/M5VIE3","M5VIE3")</f>
        <v>M5VIE3</v>
      </c>
      <c r="D4741" s="2" t="s">
        <v>4403</v>
      </c>
      <c r="E4741" s="3">
        <v>9.7900000000000003E-9</v>
      </c>
      <c r="F4741" s="2">
        <v>152</v>
      </c>
      <c r="G4741" s="2">
        <v>41</v>
      </c>
      <c r="H4741" s="2">
        <v>87</v>
      </c>
      <c r="I4741" s="2">
        <v>318</v>
      </c>
      <c r="J4741" s="2">
        <v>563</v>
      </c>
      <c r="K4741" s="2">
        <v>74</v>
      </c>
      <c r="L4741" s="2">
        <v>159</v>
      </c>
    </row>
    <row r="4742" spans="1:12" x14ac:dyDescent="0.25">
      <c r="A4742" s="4" t="str">
        <f>HYPERLINK("http://www.rosaceae.org/Prunus/Prunus_persica/p.persica_gdr_reftransV1_0006466","p.persica_gdr_reftransV1_0006466")</f>
        <v>p.persica_gdr_reftransV1_0006466</v>
      </c>
      <c r="B4742" s="2">
        <v>1111</v>
      </c>
      <c r="C4742" s="4" t="str">
        <f>HYPERLINK("http://www.uniprot.org/uniprot/M5X4Z9","M5X4Z9")</f>
        <v>M5X4Z9</v>
      </c>
      <c r="D4742" s="2" t="s">
        <v>4404</v>
      </c>
      <c r="E4742" s="3">
        <v>0</v>
      </c>
      <c r="F4742" s="2">
        <v>1449</v>
      </c>
      <c r="G4742" s="2">
        <v>100</v>
      </c>
      <c r="H4742" s="2">
        <v>276</v>
      </c>
      <c r="I4742" s="2">
        <v>3</v>
      </c>
      <c r="J4742" s="2">
        <v>830</v>
      </c>
      <c r="K4742" s="2">
        <v>15</v>
      </c>
      <c r="L4742" s="2">
        <v>290</v>
      </c>
    </row>
    <row r="4743" spans="1:12" x14ac:dyDescent="0.25">
      <c r="A4743" s="4" t="str">
        <f>HYPERLINK("http://www.rosaceae.org/Prunus/Prunus_persica/p.persica_gdr_reftransV1_0006816","p.persica_gdr_reftransV1_0006816")</f>
        <v>p.persica_gdr_reftransV1_0006816</v>
      </c>
      <c r="B4743" s="2">
        <v>2307</v>
      </c>
      <c r="C4743" s="4" t="str">
        <f>HYPERLINK("http://www.uniprot.org/uniprot/M5X072","M5X072")</f>
        <v>M5X072</v>
      </c>
      <c r="D4743" s="2" t="s">
        <v>4073</v>
      </c>
      <c r="E4743" s="3">
        <v>0</v>
      </c>
      <c r="F4743" s="2">
        <v>3217</v>
      </c>
      <c r="G4743" s="2">
        <v>96</v>
      </c>
      <c r="H4743" s="2">
        <v>663</v>
      </c>
      <c r="I4743" s="2">
        <v>2</v>
      </c>
      <c r="J4743" s="2">
        <v>1990</v>
      </c>
      <c r="K4743" s="2">
        <v>259</v>
      </c>
      <c r="L4743" s="2">
        <v>921</v>
      </c>
    </row>
    <row r="4744" spans="1:12" x14ac:dyDescent="0.25">
      <c r="A4744" s="4" t="str">
        <f>HYPERLINK("http://www.rosaceae.org/Prunus/Prunus_persica/p.persica_gdr_reftransV1_0007166","p.persica_gdr_reftransV1_0007166")</f>
        <v>p.persica_gdr_reftransV1_0007166</v>
      </c>
      <c r="B4744" s="2">
        <v>1200</v>
      </c>
      <c r="C4744" s="4" t="str">
        <f>HYPERLINK("http://www.uniprot.org/uniprot/M5X5H6","M5X5H6")</f>
        <v>M5X5H6</v>
      </c>
      <c r="D4744" s="2" t="s">
        <v>2938</v>
      </c>
      <c r="E4744" s="3">
        <v>0</v>
      </c>
      <c r="F4744" s="2">
        <v>1876</v>
      </c>
      <c r="G4744" s="2">
        <v>100</v>
      </c>
      <c r="H4744" s="2">
        <v>376</v>
      </c>
      <c r="I4744" s="2">
        <v>71</v>
      </c>
      <c r="J4744" s="2">
        <v>1198</v>
      </c>
      <c r="K4744" s="2">
        <v>1</v>
      </c>
      <c r="L4744" s="2">
        <v>376</v>
      </c>
    </row>
    <row r="4745" spans="1:12" x14ac:dyDescent="0.25">
      <c r="A4745" s="4" t="str">
        <f>HYPERLINK("http://www.rosaceae.org/Prunus/Prunus_persica/p.persica_gdr_reftransV1_0007516","p.persica_gdr_reftransV1_0007516")</f>
        <v>p.persica_gdr_reftransV1_0007516</v>
      </c>
      <c r="B4745" s="2">
        <v>2017</v>
      </c>
      <c r="C4745" s="4" t="str">
        <f>HYPERLINK("http://www.uniprot.org/uniprot/M5WG96","M5WG96")</f>
        <v>M5WG96</v>
      </c>
      <c r="D4745" s="2" t="s">
        <v>4405</v>
      </c>
      <c r="E4745" s="3">
        <v>0</v>
      </c>
      <c r="F4745" s="2">
        <v>2702</v>
      </c>
      <c r="G4745" s="2">
        <v>100</v>
      </c>
      <c r="H4745" s="2">
        <v>534</v>
      </c>
      <c r="I4745" s="2">
        <v>56</v>
      </c>
      <c r="J4745" s="2">
        <v>1657</v>
      </c>
      <c r="K4745" s="2">
        <v>1</v>
      </c>
      <c r="L4745" s="2">
        <v>534</v>
      </c>
    </row>
    <row r="4746" spans="1:12" x14ac:dyDescent="0.25">
      <c r="A4746" s="4" t="str">
        <f>HYPERLINK("http://www.rosaceae.org/Prunus/Prunus_persica/p.persica_gdr_reftransV1_0007866","p.persica_gdr_reftransV1_0007866")</f>
        <v>p.persica_gdr_reftransV1_0007866</v>
      </c>
      <c r="B4746" s="2">
        <v>1330</v>
      </c>
      <c r="C4746" s="4" t="str">
        <f>HYPERLINK("http://www.uniprot.org/uniprot/M5W1J4","M5W1J4")</f>
        <v>M5W1J4</v>
      </c>
      <c r="D4746" s="2" t="s">
        <v>4406</v>
      </c>
      <c r="E4746" s="3">
        <v>8.9900000000000001E-88</v>
      </c>
      <c r="F4746" s="2">
        <v>703</v>
      </c>
      <c r="G4746" s="2">
        <v>100</v>
      </c>
      <c r="H4746" s="2">
        <v>137</v>
      </c>
      <c r="I4746" s="2">
        <v>306</v>
      </c>
      <c r="J4746" s="2">
        <v>716</v>
      </c>
      <c r="K4746" s="2">
        <v>1</v>
      </c>
      <c r="L4746" s="2">
        <v>137</v>
      </c>
    </row>
    <row r="4747" spans="1:12" x14ac:dyDescent="0.25">
      <c r="A4747" s="4" t="str">
        <f>HYPERLINK("http://www.rosaceae.org/Prunus/Prunus_persica/p.persica_gdr_reftransV1_0008216","p.persica_gdr_reftransV1_0008216")</f>
        <v>p.persica_gdr_reftransV1_0008216</v>
      </c>
      <c r="B4747" s="2">
        <v>1806</v>
      </c>
      <c r="C4747" s="4" t="str">
        <f>HYPERLINK("http://www.uniprot.org/uniprot/M5VM14","M5VM14")</f>
        <v>M5VM14</v>
      </c>
      <c r="D4747" s="2" t="s">
        <v>2745</v>
      </c>
      <c r="E4747" s="3">
        <v>0</v>
      </c>
      <c r="F4747" s="2">
        <v>1675</v>
      </c>
      <c r="G4747" s="2">
        <v>100</v>
      </c>
      <c r="H4747" s="2">
        <v>406</v>
      </c>
      <c r="I4747" s="2">
        <v>1</v>
      </c>
      <c r="J4747" s="2">
        <v>1218</v>
      </c>
      <c r="K4747" s="2">
        <v>62</v>
      </c>
      <c r="L4747" s="2">
        <v>467</v>
      </c>
    </row>
    <row r="4748" spans="1:12" x14ac:dyDescent="0.25">
      <c r="A4748" s="4" t="str">
        <f>HYPERLINK("http://www.rosaceae.org/Prunus/Prunus_persica/p.persica_gdr_reftransV1_0008566","p.persica_gdr_reftransV1_0008566")</f>
        <v>p.persica_gdr_reftransV1_0008566</v>
      </c>
      <c r="B4748" s="2">
        <v>1001</v>
      </c>
      <c r="C4748" s="4" t="str">
        <f>HYPERLINK("http://www.uniprot.org/uniprot/M5XF04","M5XF04")</f>
        <v>M5XF04</v>
      </c>
      <c r="D4748" s="2" t="s">
        <v>4407</v>
      </c>
      <c r="E4748" s="3">
        <v>4.1099999999999997E-65</v>
      </c>
      <c r="F4748" s="2">
        <v>541</v>
      </c>
      <c r="G4748" s="2">
        <v>100</v>
      </c>
      <c r="H4748" s="2">
        <v>114</v>
      </c>
      <c r="I4748" s="2">
        <v>249</v>
      </c>
      <c r="J4748" s="2">
        <v>590</v>
      </c>
      <c r="K4748" s="2">
        <v>1</v>
      </c>
      <c r="L4748" s="2">
        <v>114</v>
      </c>
    </row>
    <row r="4749" spans="1:12" x14ac:dyDescent="0.25">
      <c r="A4749" s="4" t="str">
        <f>HYPERLINK("http://www.rosaceae.org/Prunus/Prunus_persica/p.persica_gdr_reftransV1_0009266","p.persica_gdr_reftransV1_0009266")</f>
        <v>p.persica_gdr_reftransV1_0009266</v>
      </c>
      <c r="B4749" s="2">
        <v>3709</v>
      </c>
      <c r="C4749" s="4" t="str">
        <f>HYPERLINK("http://www.uniprot.org/uniprot/M5Y3L5","M5Y3L5")</f>
        <v>M5Y3L5</v>
      </c>
      <c r="D4749" s="2" t="s">
        <v>4408</v>
      </c>
      <c r="E4749" s="3">
        <v>0</v>
      </c>
      <c r="F4749" s="2">
        <v>3257</v>
      </c>
      <c r="G4749" s="2">
        <v>100</v>
      </c>
      <c r="H4749" s="2">
        <v>639</v>
      </c>
      <c r="I4749" s="2">
        <v>653</v>
      </c>
      <c r="J4749" s="2">
        <v>2569</v>
      </c>
      <c r="K4749" s="2">
        <v>1</v>
      </c>
      <c r="L4749" s="2">
        <v>639</v>
      </c>
    </row>
    <row r="4750" spans="1:12" x14ac:dyDescent="0.25">
      <c r="A4750" s="4" t="str">
        <f>HYPERLINK("http://www.rosaceae.org/Prunus/Prunus_persica/p.persica_gdr_reftransV1_0009966","p.persica_gdr_reftransV1_0009966")</f>
        <v>p.persica_gdr_reftransV1_0009966</v>
      </c>
      <c r="B4750" s="2">
        <v>1772</v>
      </c>
      <c r="C4750" s="4" t="str">
        <f>HYPERLINK("http://www.uniprot.org/uniprot/M5WE46","M5WE46")</f>
        <v>M5WE46</v>
      </c>
      <c r="D4750" s="2" t="s">
        <v>4409</v>
      </c>
      <c r="E4750" s="3">
        <v>1.05E-124</v>
      </c>
      <c r="F4750" s="2">
        <v>968</v>
      </c>
      <c r="G4750" s="2">
        <v>100</v>
      </c>
      <c r="H4750" s="2">
        <v>199</v>
      </c>
      <c r="I4750" s="2">
        <v>69</v>
      </c>
      <c r="J4750" s="2">
        <v>665</v>
      </c>
      <c r="K4750" s="2">
        <v>1</v>
      </c>
      <c r="L4750" s="2">
        <v>199</v>
      </c>
    </row>
    <row r="4751" spans="1:12" x14ac:dyDescent="0.25">
      <c r="A4751" s="4" t="str">
        <f>HYPERLINK("http://www.rosaceae.org/Prunus/Prunus_persica/p.persica_gdr_reftransV1_0010316","p.persica_gdr_reftransV1_0010316")</f>
        <v>p.persica_gdr_reftransV1_0010316</v>
      </c>
      <c r="B4751" s="2">
        <v>2028</v>
      </c>
      <c r="C4751" s="4" t="str">
        <f>HYPERLINK("http://www.uniprot.org/uniprot/M5WHE9","M5WHE9")</f>
        <v>M5WHE9</v>
      </c>
      <c r="D4751" s="2" t="s">
        <v>4410</v>
      </c>
      <c r="E4751" s="3">
        <v>0</v>
      </c>
      <c r="F4751" s="2">
        <v>2763</v>
      </c>
      <c r="G4751" s="2">
        <v>100</v>
      </c>
      <c r="H4751" s="2">
        <v>524</v>
      </c>
      <c r="I4751" s="2">
        <v>176</v>
      </c>
      <c r="J4751" s="2">
        <v>1747</v>
      </c>
      <c r="K4751" s="2">
        <v>24</v>
      </c>
      <c r="L4751" s="2">
        <v>547</v>
      </c>
    </row>
    <row r="4752" spans="1:12" x14ac:dyDescent="0.25">
      <c r="A4752" s="4" t="str">
        <f>HYPERLINK("http://www.rosaceae.org/Prunus/Prunus_persica/p.persica_gdr_reftransV1_0010666","p.persica_gdr_reftransV1_0010666")</f>
        <v>p.persica_gdr_reftransV1_0010666</v>
      </c>
      <c r="B4752" s="2">
        <v>589</v>
      </c>
      <c r="C4752" s="4" t="str">
        <f>HYPERLINK("http://www.uniprot.org/uniprot/M5WM77","M5WM77")</f>
        <v>M5WM77</v>
      </c>
      <c r="D4752" s="2" t="s">
        <v>4411</v>
      </c>
      <c r="E4752" s="3">
        <v>4.1000000000000001E-57</v>
      </c>
      <c r="F4752" s="2">
        <v>489</v>
      </c>
      <c r="G4752" s="2">
        <v>100</v>
      </c>
      <c r="H4752" s="2">
        <v>107</v>
      </c>
      <c r="I4752" s="2">
        <v>269</v>
      </c>
      <c r="J4752" s="2">
        <v>589</v>
      </c>
      <c r="K4752" s="2">
        <v>172</v>
      </c>
      <c r="L4752" s="2">
        <v>278</v>
      </c>
    </row>
    <row r="4753" spans="1:12" x14ac:dyDescent="0.25">
      <c r="A4753" s="4" t="str">
        <f>HYPERLINK("http://www.rosaceae.org/Prunus/Prunus_persica/p.persica_gdr_reftransV1_0011366","p.persica_gdr_reftransV1_0011366")</f>
        <v>p.persica_gdr_reftransV1_0011366</v>
      </c>
      <c r="B4753" s="2">
        <v>1863</v>
      </c>
      <c r="C4753" s="4" t="str">
        <f>HYPERLINK("http://www.uniprot.org/uniprot/M5WT58","M5WT58")</f>
        <v>M5WT58</v>
      </c>
      <c r="D4753" s="2" t="s">
        <v>3291</v>
      </c>
      <c r="E4753" s="3">
        <v>1.8500000000000001E-129</v>
      </c>
      <c r="F4753" s="2">
        <v>1010</v>
      </c>
      <c r="G4753" s="2">
        <v>91</v>
      </c>
      <c r="H4753" s="2">
        <v>269</v>
      </c>
      <c r="I4753" s="2">
        <v>475</v>
      </c>
      <c r="J4753" s="2">
        <v>1281</v>
      </c>
      <c r="K4753" s="2">
        <v>22</v>
      </c>
      <c r="L4753" s="2">
        <v>268</v>
      </c>
    </row>
    <row r="4754" spans="1:12" x14ac:dyDescent="0.25">
      <c r="A4754" s="4" t="str">
        <f>HYPERLINK("http://www.rosaceae.org/Prunus/Prunus_persica/p.persica_gdr_reftransV1_0011716","p.persica_gdr_reftransV1_0011716")</f>
        <v>p.persica_gdr_reftransV1_0011716</v>
      </c>
      <c r="B4754" s="2">
        <v>665</v>
      </c>
      <c r="C4754" s="4" t="str">
        <f>HYPERLINK("http://www.uniprot.org/uniprot/M5W812","M5W812")</f>
        <v>M5W812</v>
      </c>
      <c r="D4754" s="2" t="s">
        <v>4412</v>
      </c>
      <c r="E4754" s="3">
        <v>3.0700000000000002E-118</v>
      </c>
      <c r="F4754" s="2">
        <v>785</v>
      </c>
      <c r="G4754" s="2">
        <v>99</v>
      </c>
      <c r="H4754" s="2">
        <v>143</v>
      </c>
      <c r="I4754" s="2">
        <v>1</v>
      </c>
      <c r="J4754" s="2">
        <v>429</v>
      </c>
      <c r="K4754" s="2">
        <v>182</v>
      </c>
      <c r="L4754" s="2">
        <v>324</v>
      </c>
    </row>
    <row r="4755" spans="1:12" x14ac:dyDescent="0.25">
      <c r="A4755" s="4" t="str">
        <f>HYPERLINK("http://www.rosaceae.org/Prunus/Prunus_persica/p.persica_gdr_reftransV1_0012066","p.persica_gdr_reftransV1_0012066")</f>
        <v>p.persica_gdr_reftransV1_0012066</v>
      </c>
      <c r="B4755" s="2">
        <v>4368</v>
      </c>
      <c r="C4755" s="4" t="str">
        <f>HYPERLINK("http://www.uniprot.org/uniprot/M5WGF8","M5WGF8")</f>
        <v>M5WGF8</v>
      </c>
      <c r="D4755" s="2" t="s">
        <v>4413</v>
      </c>
      <c r="E4755" s="3">
        <v>0</v>
      </c>
      <c r="F4755" s="2">
        <v>4184</v>
      </c>
      <c r="G4755" s="2">
        <v>100</v>
      </c>
      <c r="H4755" s="2">
        <v>796</v>
      </c>
      <c r="I4755" s="2">
        <v>1191</v>
      </c>
      <c r="J4755" s="2">
        <v>3578</v>
      </c>
      <c r="K4755" s="2">
        <v>258</v>
      </c>
      <c r="L4755" s="2">
        <v>1053</v>
      </c>
    </row>
    <row r="4756" spans="1:12" x14ac:dyDescent="0.25">
      <c r="A4756" s="4" t="str">
        <f>HYPERLINK("http://www.rosaceae.org/Prunus/Prunus_persica/p.persica_gdr_reftransV1_0012766","p.persica_gdr_reftransV1_0012766")</f>
        <v>p.persica_gdr_reftransV1_0012766</v>
      </c>
      <c r="B4756" s="2">
        <v>2949</v>
      </c>
      <c r="C4756" s="4" t="str">
        <f>HYPERLINK("http://www.uniprot.org/uniprot/M5XRG1","M5XRG1")</f>
        <v>M5XRG1</v>
      </c>
      <c r="D4756" s="2" t="s">
        <v>4414</v>
      </c>
      <c r="E4756" s="3">
        <v>0</v>
      </c>
      <c r="F4756" s="2">
        <v>1912</v>
      </c>
      <c r="G4756" s="2">
        <v>83</v>
      </c>
      <c r="H4756" s="2">
        <v>591</v>
      </c>
      <c r="I4756" s="2">
        <v>1176</v>
      </c>
      <c r="J4756" s="2">
        <v>2948</v>
      </c>
      <c r="K4756" s="2">
        <v>5</v>
      </c>
      <c r="L4756" s="2">
        <v>505</v>
      </c>
    </row>
    <row r="4757" spans="1:12" x14ac:dyDescent="0.25">
      <c r="A4757" s="4" t="str">
        <f>HYPERLINK("http://www.rosaceae.org/Prunus/Prunus_persica/p.persica_gdr_reftransV1_0013116","p.persica_gdr_reftransV1_0013116")</f>
        <v>p.persica_gdr_reftransV1_0013116</v>
      </c>
      <c r="B4757" s="2">
        <v>705</v>
      </c>
      <c r="C4757" s="4" t="str">
        <f>HYPERLINK("http://www.uniprot.org/uniprot/M5XNS8","M5XNS8")</f>
        <v>M5XNS8</v>
      </c>
      <c r="D4757" s="2" t="s">
        <v>4415</v>
      </c>
      <c r="E4757" s="3">
        <v>3.87E-51</v>
      </c>
      <c r="F4757" s="2">
        <v>437</v>
      </c>
      <c r="G4757" s="2">
        <v>100</v>
      </c>
      <c r="H4757" s="2">
        <v>103</v>
      </c>
      <c r="I4757" s="2">
        <v>164</v>
      </c>
      <c r="J4757" s="2">
        <v>472</v>
      </c>
      <c r="K4757" s="2">
        <v>1</v>
      </c>
      <c r="L4757" s="2">
        <v>103</v>
      </c>
    </row>
    <row r="4758" spans="1:12" x14ac:dyDescent="0.25">
      <c r="A4758" s="4" t="str">
        <f>HYPERLINK("http://www.rosaceae.org/Prunus/Prunus_persica/p.persica_gdr_reftransV1_0014516","p.persica_gdr_reftransV1_0014516")</f>
        <v>p.persica_gdr_reftransV1_0014516</v>
      </c>
      <c r="B4758" s="2">
        <v>1872</v>
      </c>
      <c r="C4758" s="4" t="str">
        <f>HYPERLINK("http://www.uniprot.org/uniprot/M5WCH9","M5WCH9")</f>
        <v>M5WCH9</v>
      </c>
      <c r="D4758" s="2" t="s">
        <v>4416</v>
      </c>
      <c r="E4758" s="3">
        <v>6.3599999999999996E-106</v>
      </c>
      <c r="F4758" s="2">
        <v>851</v>
      </c>
      <c r="G4758" s="2">
        <v>98</v>
      </c>
      <c r="H4758" s="2">
        <v>197</v>
      </c>
      <c r="I4758" s="2">
        <v>431</v>
      </c>
      <c r="J4758" s="2">
        <v>1018</v>
      </c>
      <c r="K4758" s="2">
        <v>17</v>
      </c>
      <c r="L4758" s="2">
        <v>213</v>
      </c>
    </row>
    <row r="4759" spans="1:12" x14ac:dyDescent="0.25">
      <c r="A4759" s="4" t="str">
        <f>HYPERLINK("http://www.rosaceae.org/Prunus/Prunus_persica/p.persica_gdr_reftransV1_0014866","p.persica_gdr_reftransV1_0014866")</f>
        <v>p.persica_gdr_reftransV1_0014866</v>
      </c>
      <c r="B4759" s="2">
        <v>3330</v>
      </c>
      <c r="C4759" s="4" t="str">
        <f>HYPERLINK("http://www.uniprot.org/uniprot/M5XEI2","M5XEI2")</f>
        <v>M5XEI2</v>
      </c>
      <c r="D4759" s="2" t="s">
        <v>4417</v>
      </c>
      <c r="E4759" s="3">
        <v>0</v>
      </c>
      <c r="F4759" s="2">
        <v>2095</v>
      </c>
      <c r="G4759" s="2">
        <v>100</v>
      </c>
      <c r="H4759" s="2">
        <v>404</v>
      </c>
      <c r="I4759" s="2">
        <v>414</v>
      </c>
      <c r="J4759" s="2">
        <v>1625</v>
      </c>
      <c r="K4759" s="2">
        <v>144</v>
      </c>
      <c r="L4759" s="2">
        <v>547</v>
      </c>
    </row>
    <row r="4760" spans="1:12" x14ac:dyDescent="0.25">
      <c r="A4760" s="4" t="str">
        <f>HYPERLINK("http://www.rosaceae.org/Prunus/Prunus_persica/p.persica_gdr_reftransV1_0015216","p.persica_gdr_reftransV1_0015216")</f>
        <v>p.persica_gdr_reftransV1_0015216</v>
      </c>
      <c r="B4760" s="2">
        <v>2827</v>
      </c>
      <c r="C4760" s="4" t="str">
        <f>HYPERLINK("http://www.uniprot.org/uniprot/M5XQU4","M5XQU4")</f>
        <v>M5XQU4</v>
      </c>
      <c r="D4760" s="2" t="s">
        <v>4418</v>
      </c>
      <c r="E4760" s="3">
        <v>0</v>
      </c>
      <c r="F4760" s="2">
        <v>2991</v>
      </c>
      <c r="G4760" s="2">
        <v>95</v>
      </c>
      <c r="H4760" s="2">
        <v>637</v>
      </c>
      <c r="I4760" s="2">
        <v>606</v>
      </c>
      <c r="J4760" s="2">
        <v>2516</v>
      </c>
      <c r="K4760" s="2">
        <v>1</v>
      </c>
      <c r="L4760" s="2">
        <v>605</v>
      </c>
    </row>
    <row r="4761" spans="1:12" x14ac:dyDescent="0.25">
      <c r="A4761" s="4" t="str">
        <f>HYPERLINK("http://www.rosaceae.org/Prunus/Prunus_persica/p.persica_gdr_reftransV1_0015916","p.persica_gdr_reftransV1_0015916")</f>
        <v>p.persica_gdr_reftransV1_0015916</v>
      </c>
      <c r="B4761" s="2">
        <v>836</v>
      </c>
      <c r="C4761" s="4" t="str">
        <f>HYPERLINK("http://www.uniprot.org/uniprot/M5WR64","M5WR64")</f>
        <v>M5WR64</v>
      </c>
      <c r="D4761" s="2" t="s">
        <v>4419</v>
      </c>
      <c r="E4761" s="3">
        <v>1.0300000000000001E-74</v>
      </c>
      <c r="F4761" s="2">
        <v>603</v>
      </c>
      <c r="G4761" s="2">
        <v>100</v>
      </c>
      <c r="H4761" s="2">
        <v>129</v>
      </c>
      <c r="I4761" s="2">
        <v>48</v>
      </c>
      <c r="J4761" s="2">
        <v>434</v>
      </c>
      <c r="K4761" s="2">
        <v>31</v>
      </c>
      <c r="L4761" s="2">
        <v>159</v>
      </c>
    </row>
    <row r="4762" spans="1:12" x14ac:dyDescent="0.25">
      <c r="A4762" s="4" t="str">
        <f>HYPERLINK("http://www.rosaceae.org/Prunus/Prunus_persica/p.persica_gdr_reftransV1_0016616","p.persica_gdr_reftransV1_0016616")</f>
        <v>p.persica_gdr_reftransV1_0016616</v>
      </c>
      <c r="B4762" s="2">
        <v>3141</v>
      </c>
      <c r="C4762" s="4" t="str">
        <f>HYPERLINK("http://www.uniprot.org/uniprot/M5X0H4","M5X0H4")</f>
        <v>M5X0H4</v>
      </c>
      <c r="D4762" s="2" t="s">
        <v>4420</v>
      </c>
      <c r="E4762" s="3">
        <v>0</v>
      </c>
      <c r="F4762" s="2">
        <v>3713</v>
      </c>
      <c r="G4762" s="2">
        <v>100</v>
      </c>
      <c r="H4762" s="2">
        <v>794</v>
      </c>
      <c r="I4762" s="2">
        <v>572</v>
      </c>
      <c r="J4762" s="2">
        <v>2953</v>
      </c>
      <c r="K4762" s="2">
        <v>1</v>
      </c>
      <c r="L4762" s="2">
        <v>794</v>
      </c>
    </row>
    <row r="4763" spans="1:12" x14ac:dyDescent="0.25">
      <c r="A4763" s="4" t="str">
        <f>HYPERLINK("http://www.rosaceae.org/Prunus/Prunus_persica/p.persica_gdr_reftransV1_0016966","p.persica_gdr_reftransV1_0016966")</f>
        <v>p.persica_gdr_reftransV1_0016966</v>
      </c>
      <c r="B4763" s="2">
        <v>1839</v>
      </c>
      <c r="C4763" s="4" t="str">
        <f>HYPERLINK("http://www.uniprot.org/uniprot/M5WAT1","M5WAT1")</f>
        <v>M5WAT1</v>
      </c>
      <c r="D4763" s="2" t="s">
        <v>4421</v>
      </c>
      <c r="E4763" s="3">
        <v>0</v>
      </c>
      <c r="F4763" s="2">
        <v>1538</v>
      </c>
      <c r="G4763" s="2">
        <v>100</v>
      </c>
      <c r="H4763" s="2">
        <v>307</v>
      </c>
      <c r="I4763" s="2">
        <v>613</v>
      </c>
      <c r="J4763" s="2">
        <v>1533</v>
      </c>
      <c r="K4763" s="2">
        <v>86</v>
      </c>
      <c r="L4763" s="2">
        <v>392</v>
      </c>
    </row>
    <row r="4764" spans="1:12" x14ac:dyDescent="0.25">
      <c r="A4764" s="4" t="str">
        <f>HYPERLINK("http://www.rosaceae.org/Prunus/Prunus_persica/p.persica_gdr_reftransV1_0017316","p.persica_gdr_reftransV1_0017316")</f>
        <v>p.persica_gdr_reftransV1_0017316</v>
      </c>
      <c r="B4764" s="2">
        <v>2699</v>
      </c>
      <c r="C4764" s="4" t="str">
        <f>HYPERLINK("http://www.uniprot.org/uniprot/M5W0E8","M5W0E8")</f>
        <v>M5W0E8</v>
      </c>
      <c r="D4764" s="2" t="s">
        <v>2623</v>
      </c>
      <c r="E4764" s="3">
        <v>4.0999999999999999E-52</v>
      </c>
      <c r="F4764" s="2">
        <v>483</v>
      </c>
      <c r="G4764" s="2">
        <v>100</v>
      </c>
      <c r="H4764" s="2">
        <v>92</v>
      </c>
      <c r="I4764" s="2">
        <v>1098</v>
      </c>
      <c r="J4764" s="2">
        <v>1373</v>
      </c>
      <c r="K4764" s="2">
        <v>70</v>
      </c>
      <c r="L4764" s="2">
        <v>161</v>
      </c>
    </row>
    <row r="4765" spans="1:12" x14ac:dyDescent="0.25">
      <c r="A4765" s="4" t="str">
        <f>HYPERLINK("http://www.rosaceae.org/Prunus/Prunus_persica/p.persica_gdr_reftransV1_0018016","p.persica_gdr_reftransV1_0018016")</f>
        <v>p.persica_gdr_reftransV1_0018016</v>
      </c>
      <c r="B4765" s="2">
        <v>1714</v>
      </c>
      <c r="C4765" s="4" t="str">
        <f>HYPERLINK("http://www.uniprot.org/uniprot/M5WGB2","M5WGB2")</f>
        <v>M5WGB2</v>
      </c>
      <c r="D4765" s="2" t="s">
        <v>4422</v>
      </c>
      <c r="E4765" s="3">
        <v>0</v>
      </c>
      <c r="F4765" s="2">
        <v>2122</v>
      </c>
      <c r="G4765" s="2">
        <v>94</v>
      </c>
      <c r="H4765" s="2">
        <v>462</v>
      </c>
      <c r="I4765" s="2">
        <v>161</v>
      </c>
      <c r="J4765" s="2">
        <v>1546</v>
      </c>
      <c r="K4765" s="2">
        <v>1</v>
      </c>
      <c r="L4765" s="2">
        <v>436</v>
      </c>
    </row>
    <row r="4766" spans="1:12" x14ac:dyDescent="0.25">
      <c r="A4766" s="4" t="str">
        <f>HYPERLINK("http://www.rosaceae.org/Prunus/Prunus_persica/p.persica_gdr_reftransV1_0019066","p.persica_gdr_reftransV1_0019066")</f>
        <v>p.persica_gdr_reftransV1_0019066</v>
      </c>
      <c r="B4766" s="2">
        <v>1210</v>
      </c>
      <c r="C4766" s="4" t="str">
        <f>HYPERLINK("http://www.uniprot.org/uniprot/M5XDH4","M5XDH4")</f>
        <v>M5XDH4</v>
      </c>
      <c r="D4766" s="2" t="s">
        <v>4423</v>
      </c>
      <c r="E4766" s="3">
        <v>1.36E-61</v>
      </c>
      <c r="F4766" s="2">
        <v>533</v>
      </c>
      <c r="G4766" s="2">
        <v>100</v>
      </c>
      <c r="H4766" s="2">
        <v>156</v>
      </c>
      <c r="I4766" s="2">
        <v>514</v>
      </c>
      <c r="J4766" s="2">
        <v>981</v>
      </c>
      <c r="K4766" s="2">
        <v>67</v>
      </c>
      <c r="L4766" s="2">
        <v>222</v>
      </c>
    </row>
    <row r="4767" spans="1:12" x14ac:dyDescent="0.25">
      <c r="A4767" s="4" t="str">
        <f>HYPERLINK("http://www.rosaceae.org/Prunus/Prunus_persica/p.persica_gdr_reftransV1_0019416","p.persica_gdr_reftransV1_0019416")</f>
        <v>p.persica_gdr_reftransV1_0019416</v>
      </c>
      <c r="B4767" s="2">
        <v>876</v>
      </c>
      <c r="C4767" s="4" t="str">
        <f>HYPERLINK("http://www.uniprot.org/uniprot/M5VHU5","M5VHU5")</f>
        <v>M5VHU5</v>
      </c>
      <c r="D4767" s="2" t="s">
        <v>4424</v>
      </c>
      <c r="E4767" s="3">
        <v>1.6699999999999999E-121</v>
      </c>
      <c r="F4767" s="2">
        <v>975</v>
      </c>
      <c r="G4767" s="2">
        <v>100</v>
      </c>
      <c r="H4767" s="2">
        <v>182</v>
      </c>
      <c r="I4767" s="2">
        <v>1</v>
      </c>
      <c r="J4767" s="2">
        <v>546</v>
      </c>
      <c r="K4767" s="2">
        <v>687</v>
      </c>
      <c r="L4767" s="2">
        <v>868</v>
      </c>
    </row>
    <row r="4768" spans="1:12" x14ac:dyDescent="0.25">
      <c r="A4768" s="4" t="str">
        <f>HYPERLINK("http://www.rosaceae.org/Prunus/Prunus_persica/p.persica_gdr_reftransV1_0021166","p.persica_gdr_reftransV1_0021166")</f>
        <v>p.persica_gdr_reftransV1_0021166</v>
      </c>
      <c r="B4768" s="2">
        <v>1627</v>
      </c>
      <c r="C4768" s="4" t="str">
        <f>HYPERLINK("http://www.uniprot.org/uniprot/M5X1P7","M5X1P7")</f>
        <v>M5X1P7</v>
      </c>
      <c r="D4768" s="2" t="s">
        <v>4425</v>
      </c>
      <c r="E4768" s="3">
        <v>5.3500000000000001E-86</v>
      </c>
      <c r="F4768" s="2">
        <v>714</v>
      </c>
      <c r="G4768" s="2">
        <v>100</v>
      </c>
      <c r="H4768" s="2">
        <v>133</v>
      </c>
      <c r="I4768" s="2">
        <v>840</v>
      </c>
      <c r="J4768" s="2">
        <v>1238</v>
      </c>
      <c r="K4768" s="2">
        <v>151</v>
      </c>
      <c r="L4768" s="2">
        <v>283</v>
      </c>
    </row>
    <row r="4769" spans="1:12" x14ac:dyDescent="0.25">
      <c r="A4769" s="4" t="str">
        <f>HYPERLINK("http://www.rosaceae.org/Prunus/Prunus_persica/p.persica_gdr_reftransV1_0023966","p.persica_gdr_reftransV1_0023966")</f>
        <v>p.persica_gdr_reftransV1_0023966</v>
      </c>
      <c r="B4769" s="2">
        <v>2629</v>
      </c>
      <c r="C4769" s="4" t="str">
        <f>HYPERLINK("http://www.uniprot.org/uniprot/A0A061DRJ4","A0A061DRJ4")</f>
        <v>A0A061DRJ4</v>
      </c>
      <c r="D4769" s="2" t="s">
        <v>4426</v>
      </c>
      <c r="E4769" s="3">
        <v>0</v>
      </c>
      <c r="F4769" s="2">
        <v>2019</v>
      </c>
      <c r="G4769" s="2">
        <v>58</v>
      </c>
      <c r="H4769" s="2">
        <v>816</v>
      </c>
      <c r="I4769" s="2">
        <v>263</v>
      </c>
      <c r="J4769" s="2">
        <v>2629</v>
      </c>
      <c r="K4769" s="2">
        <v>1</v>
      </c>
      <c r="L4769" s="2">
        <v>773</v>
      </c>
    </row>
    <row r="4770" spans="1:12" x14ac:dyDescent="0.25">
      <c r="A4770" s="4" t="str">
        <f>HYPERLINK("http://www.rosaceae.org/Prunus/Prunus_persica/p.persica_gdr_reftransV1_0024316","p.persica_gdr_reftransV1_0024316")</f>
        <v>p.persica_gdr_reftransV1_0024316</v>
      </c>
      <c r="B4770" s="2">
        <v>1872</v>
      </c>
      <c r="C4770" s="4" t="str">
        <f>HYPERLINK("http://www.uniprot.org/uniprot/M5XRD1","M5XRD1")</f>
        <v>M5XRD1</v>
      </c>
      <c r="D4770" s="2" t="s">
        <v>4427</v>
      </c>
      <c r="E4770" s="3">
        <v>2.3699999999999999E-147</v>
      </c>
      <c r="F4770" s="2">
        <v>1136</v>
      </c>
      <c r="G4770" s="2">
        <v>99</v>
      </c>
      <c r="H4770" s="2">
        <v>231</v>
      </c>
      <c r="I4770" s="2">
        <v>203</v>
      </c>
      <c r="J4770" s="2">
        <v>895</v>
      </c>
      <c r="K4770" s="2">
        <v>1</v>
      </c>
      <c r="L4770" s="2">
        <v>231</v>
      </c>
    </row>
    <row r="4771" spans="1:12" x14ac:dyDescent="0.25">
      <c r="A4771" s="4" t="str">
        <f>HYPERLINK("http://www.rosaceae.org/Prunus/Prunus_persica/p.persica_gdr_reftransV1_0026416","p.persica_gdr_reftransV1_0026416")</f>
        <v>p.persica_gdr_reftransV1_0026416</v>
      </c>
      <c r="B4771" s="2">
        <v>1362</v>
      </c>
      <c r="C4771" s="4" t="str">
        <f>HYPERLINK("http://www.uniprot.org/uniprot/M5VMR2","M5VMR2")</f>
        <v>M5VMR2</v>
      </c>
      <c r="D4771" s="2" t="s">
        <v>4428</v>
      </c>
      <c r="E4771" s="3">
        <v>4.8999999999999998E-123</v>
      </c>
      <c r="F4771" s="2">
        <v>947</v>
      </c>
      <c r="G4771" s="2">
        <v>100</v>
      </c>
      <c r="H4771" s="2">
        <v>223</v>
      </c>
      <c r="I4771" s="2">
        <v>512</v>
      </c>
      <c r="J4771" s="2">
        <v>1180</v>
      </c>
      <c r="K4771" s="2">
        <v>1</v>
      </c>
      <c r="L4771" s="2">
        <v>223</v>
      </c>
    </row>
    <row r="4772" spans="1:12" x14ac:dyDescent="0.25">
      <c r="A4772" s="4" t="str">
        <f>HYPERLINK("http://www.rosaceae.org/Prunus/Prunus_persica/p.persica_gdr_reftransV1_0028166","p.persica_gdr_reftransV1_0028166")</f>
        <v>p.persica_gdr_reftransV1_0028166</v>
      </c>
      <c r="B4772" s="2">
        <v>2181</v>
      </c>
      <c r="C4772" s="4" t="str">
        <f>HYPERLINK("http://www.uniprot.org/uniprot/M5Y4Y2","M5Y4Y2")</f>
        <v>M5Y4Y2</v>
      </c>
      <c r="D4772" s="2" t="s">
        <v>4429</v>
      </c>
      <c r="E4772" s="3">
        <v>0</v>
      </c>
      <c r="F4772" s="2">
        <v>1557</v>
      </c>
      <c r="G4772" s="2">
        <v>100</v>
      </c>
      <c r="H4772" s="2">
        <v>291</v>
      </c>
      <c r="I4772" s="2">
        <v>1050</v>
      </c>
      <c r="J4772" s="2">
        <v>1922</v>
      </c>
      <c r="K4772" s="2">
        <v>182</v>
      </c>
      <c r="L4772" s="2">
        <v>472</v>
      </c>
    </row>
    <row r="4773" spans="1:12" x14ac:dyDescent="0.25">
      <c r="A4773" s="4" t="str">
        <f>HYPERLINK("http://www.rosaceae.org/Prunus/Prunus_persica/p.persica_gdr_reftransV1_0030266","p.persica_gdr_reftransV1_0030266")</f>
        <v>p.persica_gdr_reftransV1_0030266</v>
      </c>
      <c r="B4773" s="2">
        <v>1520</v>
      </c>
      <c r="C4773" s="4" t="str">
        <f>HYPERLINK("http://www.uniprot.org/uniprot/M5X0Q2","M5X0Q2")</f>
        <v>M5X0Q2</v>
      </c>
      <c r="D4773" s="2" t="s">
        <v>4430</v>
      </c>
      <c r="E4773" s="3">
        <v>5.2699999999999998E-85</v>
      </c>
      <c r="F4773" s="2">
        <v>695</v>
      </c>
      <c r="G4773" s="2">
        <v>100</v>
      </c>
      <c r="H4773" s="2">
        <v>133</v>
      </c>
      <c r="I4773" s="2">
        <v>375</v>
      </c>
      <c r="J4773" s="2">
        <v>773</v>
      </c>
      <c r="K4773" s="2">
        <v>1</v>
      </c>
      <c r="L4773" s="2">
        <v>133</v>
      </c>
    </row>
    <row r="4774" spans="1:12" x14ac:dyDescent="0.25">
      <c r="A4774" s="4" t="str">
        <f>HYPERLINK("http://www.rosaceae.org/Prunus/Prunus_persica/p.persica_gdr_reftransV1_0030616","p.persica_gdr_reftransV1_0030616")</f>
        <v>p.persica_gdr_reftransV1_0030616</v>
      </c>
      <c r="B4774" s="2">
        <v>3198</v>
      </c>
      <c r="C4774" s="4" t="str">
        <f>HYPERLINK("http://www.uniprot.org/uniprot/M5WPW1","M5WPW1")</f>
        <v>M5WPW1</v>
      </c>
      <c r="D4774" s="2" t="s">
        <v>4431</v>
      </c>
      <c r="E4774" s="3">
        <v>0</v>
      </c>
      <c r="F4774" s="2">
        <v>2595</v>
      </c>
      <c r="G4774" s="2">
        <v>100</v>
      </c>
      <c r="H4774" s="2">
        <v>488</v>
      </c>
      <c r="I4774" s="2">
        <v>898</v>
      </c>
      <c r="J4774" s="2">
        <v>2361</v>
      </c>
      <c r="K4774" s="2">
        <v>181</v>
      </c>
      <c r="L4774" s="2">
        <v>668</v>
      </c>
    </row>
    <row r="4775" spans="1:12" x14ac:dyDescent="0.25">
      <c r="A4775" s="4" t="str">
        <f>HYPERLINK("http://www.rosaceae.org/Prunus/Prunus_persica/p.persica_gdr_reftransV1_0032366","p.persica_gdr_reftransV1_0032366")</f>
        <v>p.persica_gdr_reftransV1_0032366</v>
      </c>
      <c r="B4775" s="2">
        <v>4385</v>
      </c>
      <c r="C4775" s="4" t="str">
        <f>HYPERLINK("http://www.uniprot.org/uniprot/W9SEG4","W9SEG4")</f>
        <v>W9SEG4</v>
      </c>
      <c r="D4775" s="2" t="s">
        <v>4432</v>
      </c>
      <c r="E4775" s="3">
        <v>0</v>
      </c>
      <c r="F4775" s="2">
        <v>2806</v>
      </c>
      <c r="G4775" s="2">
        <v>56</v>
      </c>
      <c r="H4775" s="2">
        <v>1260</v>
      </c>
      <c r="I4775" s="2">
        <v>414</v>
      </c>
      <c r="J4775" s="2">
        <v>4082</v>
      </c>
      <c r="K4775" s="2">
        <v>1</v>
      </c>
      <c r="L4775" s="2">
        <v>1198</v>
      </c>
    </row>
    <row r="4776" spans="1:12" x14ac:dyDescent="0.25">
      <c r="A4776" s="4" t="str">
        <f>HYPERLINK("http://www.rosaceae.org/Prunus/Prunus_persica/p.persica_gdr_reftransV1_0032716","p.persica_gdr_reftransV1_0032716")</f>
        <v>p.persica_gdr_reftransV1_0032716</v>
      </c>
      <c r="B4776" s="2">
        <v>2706</v>
      </c>
      <c r="C4776" s="4" t="str">
        <f>HYPERLINK("http://www.uniprot.org/uniprot/M5XK03","M5XK03")</f>
        <v>M5XK03</v>
      </c>
      <c r="D4776" s="2" t="s">
        <v>4433</v>
      </c>
      <c r="E4776" s="3">
        <v>0</v>
      </c>
      <c r="F4776" s="2">
        <v>3567</v>
      </c>
      <c r="G4776" s="2">
        <v>96</v>
      </c>
      <c r="H4776" s="2">
        <v>691</v>
      </c>
      <c r="I4776" s="2">
        <v>177</v>
      </c>
      <c r="J4776" s="2">
        <v>2249</v>
      </c>
      <c r="K4776" s="2">
        <v>37</v>
      </c>
      <c r="L4776" s="2">
        <v>724</v>
      </c>
    </row>
    <row r="4777" spans="1:12" x14ac:dyDescent="0.25">
      <c r="A4777" s="4" t="str">
        <f>HYPERLINK("http://www.rosaceae.org/Prunus/Prunus_persica/p.persica_gdr_reftransV1_0034466","p.persica_gdr_reftransV1_0034466")</f>
        <v>p.persica_gdr_reftransV1_0034466</v>
      </c>
      <c r="B4777" s="2">
        <v>990</v>
      </c>
      <c r="C4777" s="4" t="str">
        <f>HYPERLINK("http://www.uniprot.org/uniprot/M5WCV8","M5WCV8")</f>
        <v>M5WCV8</v>
      </c>
      <c r="D4777" s="2" t="s">
        <v>4434</v>
      </c>
      <c r="E4777" s="3">
        <v>4.25E-94</v>
      </c>
      <c r="F4777" s="2">
        <v>741</v>
      </c>
      <c r="G4777" s="2">
        <v>100</v>
      </c>
      <c r="H4777" s="2">
        <v>203</v>
      </c>
      <c r="I4777" s="2">
        <v>239</v>
      </c>
      <c r="J4777" s="2">
        <v>847</v>
      </c>
      <c r="K4777" s="2">
        <v>1</v>
      </c>
      <c r="L4777" s="2">
        <v>203</v>
      </c>
    </row>
    <row r="4778" spans="1:12" x14ac:dyDescent="0.25">
      <c r="A4778" s="4" t="str">
        <f>HYPERLINK("http://www.rosaceae.org/Prunus/Prunus_persica/p.persica_gdr_reftransV1_0035166","p.persica_gdr_reftransV1_0035166")</f>
        <v>p.persica_gdr_reftransV1_0035166</v>
      </c>
      <c r="B4778" s="2">
        <v>3214</v>
      </c>
      <c r="C4778" s="4" t="str">
        <f>HYPERLINK("http://www.uniprot.org/uniprot/M5WQH9","M5WQH9")</f>
        <v>M5WQH9</v>
      </c>
      <c r="D4778" s="2" t="s">
        <v>4435</v>
      </c>
      <c r="E4778" s="3">
        <v>0</v>
      </c>
      <c r="F4778" s="2">
        <v>4345</v>
      </c>
      <c r="G4778" s="2">
        <v>97</v>
      </c>
      <c r="H4778" s="2">
        <v>850</v>
      </c>
      <c r="I4778" s="2">
        <v>498</v>
      </c>
      <c r="J4778" s="2">
        <v>3047</v>
      </c>
      <c r="K4778" s="2">
        <v>27</v>
      </c>
      <c r="L4778" s="2">
        <v>850</v>
      </c>
    </row>
    <row r="4779" spans="1:12" x14ac:dyDescent="0.25">
      <c r="A4779" s="4" t="str">
        <f>HYPERLINK("http://www.rosaceae.org/Prunus/Prunus_persica/p.persica_gdr_reftransV1_0037616","p.persica_gdr_reftransV1_0037616")</f>
        <v>p.persica_gdr_reftransV1_0037616</v>
      </c>
      <c r="B4779" s="2">
        <v>970</v>
      </c>
      <c r="C4779" s="4" t="str">
        <f>HYPERLINK("http://www.uniprot.org/uniprot/M5WYL9","M5WYL9")</f>
        <v>M5WYL9</v>
      </c>
      <c r="D4779" s="2" t="s">
        <v>4436</v>
      </c>
      <c r="E4779" s="3">
        <v>0</v>
      </c>
      <c r="F4779" s="2">
        <v>1600</v>
      </c>
      <c r="G4779" s="2">
        <v>99</v>
      </c>
      <c r="H4779" s="2">
        <v>314</v>
      </c>
      <c r="I4779" s="2">
        <v>28</v>
      </c>
      <c r="J4779" s="2">
        <v>969</v>
      </c>
      <c r="K4779" s="2">
        <v>174</v>
      </c>
      <c r="L4779" s="2">
        <v>484</v>
      </c>
    </row>
    <row r="4780" spans="1:12" x14ac:dyDescent="0.25">
      <c r="A4780" s="4" t="str">
        <f>HYPERLINK("http://www.rosaceae.org/Prunus/Prunus_persica/p.persica_gdr_reftransV1_0040066","p.persica_gdr_reftransV1_0040066")</f>
        <v>p.persica_gdr_reftransV1_0040066</v>
      </c>
      <c r="B4780" s="2">
        <v>6691</v>
      </c>
      <c r="C4780" s="4" t="str">
        <f>HYPERLINK("http://www.uniprot.org/uniprot/D7UDI7","D7UDI7")</f>
        <v>D7UDI7</v>
      </c>
      <c r="D4780" s="2" t="s">
        <v>4437</v>
      </c>
      <c r="E4780" s="3">
        <v>0</v>
      </c>
      <c r="F4780" s="2">
        <v>5184</v>
      </c>
      <c r="G4780" s="2">
        <v>82</v>
      </c>
      <c r="H4780" s="2">
        <v>1209</v>
      </c>
      <c r="I4780" s="2">
        <v>2437</v>
      </c>
      <c r="J4780" s="2">
        <v>6057</v>
      </c>
      <c r="K4780" s="2">
        <v>70</v>
      </c>
      <c r="L4780" s="2">
        <v>1276</v>
      </c>
    </row>
    <row r="4781" spans="1:12" x14ac:dyDescent="0.25">
      <c r="A4781" s="4" t="str">
        <f>HYPERLINK("http://www.rosaceae.org/Prunus/Prunus_persica/p.persica_gdr_reftransV1_0040416","p.persica_gdr_reftransV1_0040416")</f>
        <v>p.persica_gdr_reftransV1_0040416</v>
      </c>
      <c r="B4781" s="2">
        <v>5369</v>
      </c>
      <c r="C4781" s="4" t="str">
        <f>HYPERLINK("http://www.uniprot.org/uniprot/M5VSU1","M5VSU1")</f>
        <v>M5VSU1</v>
      </c>
      <c r="D4781" s="2" t="s">
        <v>4438</v>
      </c>
      <c r="E4781" s="3">
        <v>0</v>
      </c>
      <c r="F4781" s="2">
        <v>5912</v>
      </c>
      <c r="G4781" s="2">
        <v>100</v>
      </c>
      <c r="H4781" s="2">
        <v>1116</v>
      </c>
      <c r="I4781" s="2">
        <v>2022</v>
      </c>
      <c r="J4781" s="2">
        <v>5369</v>
      </c>
      <c r="K4781" s="2">
        <v>1</v>
      </c>
      <c r="L4781" s="2">
        <v>1116</v>
      </c>
    </row>
    <row r="4782" spans="1:12" x14ac:dyDescent="0.25">
      <c r="A4782" s="4" t="str">
        <f>HYPERLINK("http://www.rosaceae.org/Prunus/Prunus_persica/p.persica_gdr_reftransV1_0042166","p.persica_gdr_reftransV1_0042166")</f>
        <v>p.persica_gdr_reftransV1_0042166</v>
      </c>
      <c r="B4782" s="2">
        <v>715</v>
      </c>
      <c r="C4782" s="4" t="str">
        <f>HYPERLINK("http://www.uniprot.org/uniprot/M5XCJ8","M5XCJ8")</f>
        <v>M5XCJ8</v>
      </c>
      <c r="D4782" s="2" t="s">
        <v>4439</v>
      </c>
      <c r="E4782" s="3">
        <v>1.5500000000000001E-127</v>
      </c>
      <c r="F4782" s="2">
        <v>997</v>
      </c>
      <c r="G4782" s="2">
        <v>95</v>
      </c>
      <c r="H4782" s="2">
        <v>238</v>
      </c>
      <c r="I4782" s="2">
        <v>1</v>
      </c>
      <c r="J4782" s="2">
        <v>714</v>
      </c>
      <c r="K4782" s="2">
        <v>97</v>
      </c>
      <c r="L4782" s="2">
        <v>334</v>
      </c>
    </row>
    <row r="4783" spans="1:12" x14ac:dyDescent="0.25">
      <c r="A4783" s="4" t="str">
        <f>HYPERLINK("http://www.rosaceae.org/Prunus/Prunus_persica/p.persica_gdr_reftransV1_0042516","p.persica_gdr_reftransV1_0042516")</f>
        <v>p.persica_gdr_reftransV1_0042516</v>
      </c>
      <c r="B4783" s="2">
        <v>1721</v>
      </c>
      <c r="C4783" s="4" t="str">
        <f>HYPERLINK("http://www.uniprot.org/uniprot/M5VQW1","M5VQW1")</f>
        <v>M5VQW1</v>
      </c>
      <c r="D4783" s="2" t="s">
        <v>1533</v>
      </c>
      <c r="E4783" s="3">
        <v>2.5700000000000001E-76</v>
      </c>
      <c r="F4783" s="2">
        <v>646</v>
      </c>
      <c r="G4783" s="2">
        <v>92</v>
      </c>
      <c r="H4783" s="2">
        <v>136</v>
      </c>
      <c r="I4783" s="2">
        <v>208</v>
      </c>
      <c r="J4783" s="2">
        <v>615</v>
      </c>
      <c r="K4783" s="2">
        <v>6</v>
      </c>
      <c r="L4783" s="2">
        <v>138</v>
      </c>
    </row>
    <row r="4784" spans="1:12" x14ac:dyDescent="0.25">
      <c r="A4784" s="4" t="str">
        <f>HYPERLINK("http://www.rosaceae.org/Prunus/Prunus_persica/p.persica_gdr_reftransV1_0043216","p.persica_gdr_reftransV1_0043216")</f>
        <v>p.persica_gdr_reftransV1_0043216</v>
      </c>
      <c r="B4784" s="2">
        <v>1787</v>
      </c>
      <c r="C4784" s="4" t="str">
        <f>HYPERLINK("http://www.uniprot.org/uniprot/M5XRJ1","M5XRJ1")</f>
        <v>M5XRJ1</v>
      </c>
      <c r="D4784" s="2" t="s">
        <v>4440</v>
      </c>
      <c r="E4784" s="3">
        <v>0</v>
      </c>
      <c r="F4784" s="2">
        <v>1662</v>
      </c>
      <c r="G4784" s="2">
        <v>100</v>
      </c>
      <c r="H4784" s="2">
        <v>313</v>
      </c>
      <c r="I4784" s="2">
        <v>400</v>
      </c>
      <c r="J4784" s="2">
        <v>1338</v>
      </c>
      <c r="K4784" s="2">
        <v>1</v>
      </c>
      <c r="L4784" s="2">
        <v>313</v>
      </c>
    </row>
    <row r="4785" spans="1:12" x14ac:dyDescent="0.25">
      <c r="A4785" s="4" t="str">
        <f>HYPERLINK("http://www.rosaceae.org/Prunus/Prunus_persica/p.persica_gdr_reftransV1_0043566","p.persica_gdr_reftransV1_0043566")</f>
        <v>p.persica_gdr_reftransV1_0043566</v>
      </c>
      <c r="B4785" s="2">
        <v>951</v>
      </c>
      <c r="C4785" s="4" t="str">
        <f>HYPERLINK("http://www.uniprot.org/uniprot/M5WVZ0","M5WVZ0")</f>
        <v>M5WVZ0</v>
      </c>
      <c r="D4785" s="2" t="s">
        <v>4441</v>
      </c>
      <c r="E4785" s="3">
        <v>7.0100000000000005E-79</v>
      </c>
      <c r="F4785" s="2">
        <v>633</v>
      </c>
      <c r="G4785" s="2">
        <v>100</v>
      </c>
      <c r="H4785" s="2">
        <v>137</v>
      </c>
      <c r="I4785" s="2">
        <v>257</v>
      </c>
      <c r="J4785" s="2">
        <v>667</v>
      </c>
      <c r="K4785" s="2">
        <v>1</v>
      </c>
      <c r="L4785" s="2">
        <v>137</v>
      </c>
    </row>
    <row r="4786" spans="1:12" x14ac:dyDescent="0.25">
      <c r="A4786" s="4" t="str">
        <f>HYPERLINK("http://www.rosaceae.org/Prunus/Prunus_persica/p.persica_gdr_reftransV1_0043916","p.persica_gdr_reftransV1_0043916")</f>
        <v>p.persica_gdr_reftransV1_0043916</v>
      </c>
      <c r="B4786" s="2">
        <v>1718</v>
      </c>
      <c r="C4786" s="4" t="str">
        <f>HYPERLINK("http://www.uniprot.org/uniprot/M5XBV2","M5XBV2")</f>
        <v>M5XBV2</v>
      </c>
      <c r="D4786" s="2" t="s">
        <v>535</v>
      </c>
      <c r="E4786" s="3">
        <v>0</v>
      </c>
      <c r="F4786" s="2">
        <v>2093</v>
      </c>
      <c r="G4786" s="2">
        <v>100</v>
      </c>
      <c r="H4786" s="2">
        <v>441</v>
      </c>
      <c r="I4786" s="2">
        <v>206</v>
      </c>
      <c r="J4786" s="2">
        <v>1528</v>
      </c>
      <c r="K4786" s="2">
        <v>1</v>
      </c>
      <c r="L4786" s="2">
        <v>441</v>
      </c>
    </row>
    <row r="4787" spans="1:12" x14ac:dyDescent="0.25">
      <c r="A4787" s="4" t="str">
        <f>HYPERLINK("http://www.rosaceae.org/Prunus/Prunus_persica/p.persica_gdr_reftransV1_0044266","p.persica_gdr_reftransV1_0044266")</f>
        <v>p.persica_gdr_reftransV1_0044266</v>
      </c>
      <c r="B4787" s="2">
        <v>1420</v>
      </c>
      <c r="C4787" s="4" t="str">
        <f>HYPERLINK("http://www.uniprot.org/uniprot/M5W8K5","M5W8K5")</f>
        <v>M5W8K5</v>
      </c>
      <c r="D4787" s="2" t="s">
        <v>4442</v>
      </c>
      <c r="E4787" s="3">
        <v>0</v>
      </c>
      <c r="F4787" s="2">
        <v>2281</v>
      </c>
      <c r="G4787" s="2">
        <v>97</v>
      </c>
      <c r="H4787" s="2">
        <v>442</v>
      </c>
      <c r="I4787" s="2">
        <v>18</v>
      </c>
      <c r="J4787" s="2">
        <v>1337</v>
      </c>
      <c r="K4787" s="2">
        <v>5</v>
      </c>
      <c r="L4787" s="2">
        <v>446</v>
      </c>
    </row>
    <row r="4788" spans="1:12" x14ac:dyDescent="0.25">
      <c r="A4788" s="4" t="str">
        <f>HYPERLINK("http://www.rosaceae.org/Prunus/Prunus_persica/p.persica_gdr_reftransV1_0044616","p.persica_gdr_reftransV1_0044616")</f>
        <v>p.persica_gdr_reftransV1_0044616</v>
      </c>
      <c r="B4788" s="2">
        <v>466</v>
      </c>
      <c r="C4788" s="4" t="str">
        <f>HYPERLINK("http://www.uniprot.org/uniprot/M5WYZ2","M5WYZ2")</f>
        <v>M5WYZ2</v>
      </c>
      <c r="D4788" s="2" t="s">
        <v>4443</v>
      </c>
      <c r="E4788" s="3">
        <v>3.2099999999999997E-54</v>
      </c>
      <c r="F4788" s="2">
        <v>496</v>
      </c>
      <c r="G4788" s="2">
        <v>98</v>
      </c>
      <c r="H4788" s="2">
        <v>114</v>
      </c>
      <c r="I4788" s="2">
        <v>121</v>
      </c>
      <c r="J4788" s="2">
        <v>462</v>
      </c>
      <c r="K4788" s="2">
        <v>1</v>
      </c>
      <c r="L4788" s="2">
        <v>114</v>
      </c>
    </row>
    <row r="4789" spans="1:12" x14ac:dyDescent="0.25">
      <c r="A4789" s="4" t="str">
        <f>HYPERLINK("http://www.rosaceae.org/Prunus/Prunus_persica/p.persica_gdr_reftransV1_0044966","p.persica_gdr_reftransV1_0044966")</f>
        <v>p.persica_gdr_reftransV1_0044966</v>
      </c>
      <c r="B4789" s="2">
        <v>1389</v>
      </c>
      <c r="C4789" s="4" t="str">
        <f>HYPERLINK("http://www.uniprot.org/uniprot/M5XSI7","M5XSI7")</f>
        <v>M5XSI7</v>
      </c>
      <c r="D4789" s="2" t="s">
        <v>4444</v>
      </c>
      <c r="E4789" s="3">
        <v>0</v>
      </c>
      <c r="F4789" s="2">
        <v>1993</v>
      </c>
      <c r="G4789" s="2">
        <v>100</v>
      </c>
      <c r="H4789" s="2">
        <v>371</v>
      </c>
      <c r="I4789" s="2">
        <v>74</v>
      </c>
      <c r="J4789" s="2">
        <v>1186</v>
      </c>
      <c r="K4789" s="2">
        <v>1</v>
      </c>
      <c r="L4789" s="2">
        <v>371</v>
      </c>
    </row>
    <row r="4790" spans="1:12" x14ac:dyDescent="0.25">
      <c r="A4790" s="4" t="str">
        <f>HYPERLINK("http://www.rosaceae.org/Prunus/Prunus_persica/p.persica_gdr_reftransV1_0045316","p.persica_gdr_reftransV1_0045316")</f>
        <v>p.persica_gdr_reftransV1_0045316</v>
      </c>
      <c r="B4790" s="2">
        <v>411</v>
      </c>
      <c r="C4790" s="4" t="str">
        <f>HYPERLINK("http://www.uniprot.org/uniprot/M5W906","M5W906")</f>
        <v>M5W906</v>
      </c>
      <c r="D4790" s="2" t="s">
        <v>4445</v>
      </c>
      <c r="E4790" s="3">
        <v>4E-92</v>
      </c>
      <c r="F4790" s="2">
        <v>728</v>
      </c>
      <c r="G4790" s="2">
        <v>100</v>
      </c>
      <c r="H4790" s="2">
        <v>136</v>
      </c>
      <c r="I4790" s="2">
        <v>3</v>
      </c>
      <c r="J4790" s="2">
        <v>410</v>
      </c>
      <c r="K4790" s="2">
        <v>141</v>
      </c>
      <c r="L4790" s="2">
        <v>276</v>
      </c>
    </row>
    <row r="4791" spans="1:12" x14ac:dyDescent="0.25">
      <c r="A4791" s="4" t="str">
        <f>HYPERLINK("http://www.rosaceae.org/Prunus/Prunus_persica/p.persica_gdr_reftransV1_0046366","p.persica_gdr_reftransV1_0046366")</f>
        <v>p.persica_gdr_reftransV1_0046366</v>
      </c>
      <c r="B4791" s="2">
        <v>1217</v>
      </c>
      <c r="C4791" s="4" t="str">
        <f>HYPERLINK("http://www.uniprot.org/uniprot/M5WY15","M5WY15")</f>
        <v>M5WY15</v>
      </c>
      <c r="D4791" s="2" t="s">
        <v>3139</v>
      </c>
      <c r="E4791" s="3">
        <v>3.5700000000000001E-173</v>
      </c>
      <c r="F4791" s="2">
        <v>1299</v>
      </c>
      <c r="G4791" s="2">
        <v>100</v>
      </c>
      <c r="H4791" s="2">
        <v>243</v>
      </c>
      <c r="I4791" s="2">
        <v>3</v>
      </c>
      <c r="J4791" s="2">
        <v>731</v>
      </c>
      <c r="K4791" s="2">
        <v>236</v>
      </c>
      <c r="L4791" s="2">
        <v>478</v>
      </c>
    </row>
    <row r="4792" spans="1:12" x14ac:dyDescent="0.25">
      <c r="A4792" s="4" t="str">
        <f>HYPERLINK("http://www.rosaceae.org/Prunus/Prunus_persica/p.persica_gdr_reftransV1_0046716","p.persica_gdr_reftransV1_0046716")</f>
        <v>p.persica_gdr_reftransV1_0046716</v>
      </c>
      <c r="B4792" s="2">
        <v>1001</v>
      </c>
      <c r="C4792" s="4" t="str">
        <f>HYPERLINK("http://www.uniprot.org/uniprot/M5WYR9","M5WYR9")</f>
        <v>M5WYR9</v>
      </c>
      <c r="D4792" s="2" t="s">
        <v>4446</v>
      </c>
      <c r="E4792" s="3">
        <v>0</v>
      </c>
      <c r="F4792" s="2">
        <v>1330</v>
      </c>
      <c r="G4792" s="2">
        <v>100</v>
      </c>
      <c r="H4792" s="2">
        <v>247</v>
      </c>
      <c r="I4792" s="2">
        <v>123</v>
      </c>
      <c r="J4792" s="2">
        <v>863</v>
      </c>
      <c r="K4792" s="2">
        <v>1</v>
      </c>
      <c r="L4792" s="2">
        <v>247</v>
      </c>
    </row>
    <row r="4793" spans="1:12" x14ac:dyDescent="0.25">
      <c r="A4793" s="4" t="str">
        <f>HYPERLINK("http://www.rosaceae.org/Prunus/Prunus_persica/p.persica_gdr_reftransV1_0047066","p.persica_gdr_reftransV1_0047066")</f>
        <v>p.persica_gdr_reftransV1_0047066</v>
      </c>
      <c r="B4793" s="2">
        <v>404</v>
      </c>
      <c r="C4793" s="4" t="str">
        <f>HYPERLINK("http://www.uniprot.org/uniprot/M5WAZ0","M5WAZ0")</f>
        <v>M5WAZ0</v>
      </c>
      <c r="D4793" s="2" t="s">
        <v>4447</v>
      </c>
      <c r="E4793" s="3">
        <v>1.68E-65</v>
      </c>
      <c r="F4793" s="2">
        <v>550</v>
      </c>
      <c r="G4793" s="2">
        <v>100</v>
      </c>
      <c r="H4793" s="2">
        <v>103</v>
      </c>
      <c r="I4793" s="2">
        <v>94</v>
      </c>
      <c r="J4793" s="2">
        <v>402</v>
      </c>
      <c r="K4793" s="2">
        <v>134</v>
      </c>
      <c r="L4793" s="2">
        <v>236</v>
      </c>
    </row>
    <row r="4794" spans="1:12" x14ac:dyDescent="0.25">
      <c r="A4794" s="4" t="str">
        <f>HYPERLINK("http://www.rosaceae.org/Prunus/Prunus_persica/p.persica_gdr_reftransV1_0047416","p.persica_gdr_reftransV1_0047416")</f>
        <v>p.persica_gdr_reftransV1_0047416</v>
      </c>
      <c r="B4794" s="2">
        <v>1134</v>
      </c>
      <c r="C4794" s="4" t="str">
        <f>HYPERLINK("http://www.uniprot.org/uniprot/M5XR97","M5XR97")</f>
        <v>M5XR97</v>
      </c>
      <c r="D4794" s="2" t="s">
        <v>4448</v>
      </c>
      <c r="E4794" s="3">
        <v>7.0600000000000002E-112</v>
      </c>
      <c r="F4794" s="2">
        <v>869</v>
      </c>
      <c r="G4794" s="2">
        <v>90</v>
      </c>
      <c r="H4794" s="2">
        <v>259</v>
      </c>
      <c r="I4794" s="2">
        <v>307</v>
      </c>
      <c r="J4794" s="2">
        <v>1047</v>
      </c>
      <c r="K4794" s="2">
        <v>1</v>
      </c>
      <c r="L4794" s="2">
        <v>259</v>
      </c>
    </row>
    <row r="4795" spans="1:12" x14ac:dyDescent="0.25">
      <c r="A4795" s="4" t="str">
        <f>HYPERLINK("http://www.rosaceae.org/Prunus/Prunus_persica/p.persica_gdr_reftransV1_0048116","p.persica_gdr_reftransV1_0048116")</f>
        <v>p.persica_gdr_reftransV1_0048116</v>
      </c>
      <c r="B4795" s="2">
        <v>717</v>
      </c>
      <c r="C4795" s="4" t="str">
        <f>HYPERLINK("http://www.uniprot.org/uniprot/M5VS91","M5VS91")</f>
        <v>M5VS91</v>
      </c>
      <c r="D4795" s="2" t="s">
        <v>4449</v>
      </c>
      <c r="E4795" s="3">
        <v>1.6099999999999999E-94</v>
      </c>
      <c r="F4795" s="2">
        <v>730</v>
      </c>
      <c r="G4795" s="2">
        <v>100</v>
      </c>
      <c r="H4795" s="2">
        <v>158</v>
      </c>
      <c r="I4795" s="2">
        <v>197</v>
      </c>
      <c r="J4795" s="2">
        <v>670</v>
      </c>
      <c r="K4795" s="2">
        <v>1</v>
      </c>
      <c r="L4795" s="2">
        <v>158</v>
      </c>
    </row>
    <row r="4796" spans="1:12" x14ac:dyDescent="0.25">
      <c r="A4796" s="4" t="str">
        <f>HYPERLINK("http://www.rosaceae.org/Prunus/Prunus_persica/p.persica_gdr_reftransV1_0048466","p.persica_gdr_reftransV1_0048466")</f>
        <v>p.persica_gdr_reftransV1_0048466</v>
      </c>
      <c r="B4796" s="2">
        <v>843</v>
      </c>
      <c r="C4796" s="4" t="str">
        <f>HYPERLINK("http://www.uniprot.org/uniprot/M5VKD8","M5VKD8")</f>
        <v>M5VKD8</v>
      </c>
      <c r="D4796" s="2" t="s">
        <v>4450</v>
      </c>
      <c r="E4796" s="3">
        <v>0</v>
      </c>
      <c r="F4796" s="2">
        <v>1424</v>
      </c>
      <c r="G4796" s="2">
        <v>100</v>
      </c>
      <c r="H4796" s="2">
        <v>273</v>
      </c>
      <c r="I4796" s="2">
        <v>23</v>
      </c>
      <c r="J4796" s="2">
        <v>841</v>
      </c>
      <c r="K4796" s="2">
        <v>40</v>
      </c>
      <c r="L4796" s="2">
        <v>312</v>
      </c>
    </row>
    <row r="4797" spans="1:12" x14ac:dyDescent="0.25">
      <c r="A4797" s="4" t="str">
        <f>HYPERLINK("http://www.rosaceae.org/Prunus/Prunus_persica/p.persica_gdr_reftransV1_0048816","p.persica_gdr_reftransV1_0048816")</f>
        <v>p.persica_gdr_reftransV1_0048816</v>
      </c>
      <c r="B4797" s="2">
        <v>3156</v>
      </c>
      <c r="C4797" s="4" t="str">
        <f>HYPERLINK("http://www.uniprot.org/uniprot/M5XXP1","M5XXP1")</f>
        <v>M5XXP1</v>
      </c>
      <c r="D4797" s="2" t="s">
        <v>4451</v>
      </c>
      <c r="E4797" s="3">
        <v>0</v>
      </c>
      <c r="F4797" s="2">
        <v>4345</v>
      </c>
      <c r="G4797" s="2">
        <v>100</v>
      </c>
      <c r="H4797" s="2">
        <v>861</v>
      </c>
      <c r="I4797" s="2">
        <v>315</v>
      </c>
      <c r="J4797" s="2">
        <v>2897</v>
      </c>
      <c r="K4797" s="2">
        <v>1</v>
      </c>
      <c r="L4797" s="2">
        <v>861</v>
      </c>
    </row>
    <row r="4798" spans="1:12" x14ac:dyDescent="0.25">
      <c r="A4798" s="4" t="str">
        <f>HYPERLINK("http://www.rosaceae.org/Prunus/Prunus_persica/p.persica_gdr_reftransV1_0049166","p.persica_gdr_reftransV1_0049166")</f>
        <v>p.persica_gdr_reftransV1_0049166</v>
      </c>
      <c r="B4798" s="2">
        <v>745</v>
      </c>
      <c r="C4798" s="4" t="str">
        <f>HYPERLINK("http://www.uniprot.org/uniprot/M5VJS6","M5VJS6")</f>
        <v>M5VJS6</v>
      </c>
      <c r="D4798" s="2" t="s">
        <v>4452</v>
      </c>
      <c r="E4798" s="3">
        <v>1.54E-138</v>
      </c>
      <c r="F4798" s="2">
        <v>1047</v>
      </c>
      <c r="G4798" s="2">
        <v>91</v>
      </c>
      <c r="H4798" s="2">
        <v>225</v>
      </c>
      <c r="I4798" s="2">
        <v>70</v>
      </c>
      <c r="J4798" s="2">
        <v>744</v>
      </c>
      <c r="K4798" s="2">
        <v>1</v>
      </c>
      <c r="L4798" s="2">
        <v>219</v>
      </c>
    </row>
    <row r="4799" spans="1:12" x14ac:dyDescent="0.25">
      <c r="A4799" s="4" t="str">
        <f>HYPERLINK("http://www.rosaceae.org/Prunus/Prunus_persica/p.persica_gdr_reftransV1_0000167","p.persica_gdr_reftransV1_0000167")</f>
        <v>p.persica_gdr_reftransV1_0000167</v>
      </c>
      <c r="B4799" s="2">
        <v>1104</v>
      </c>
      <c r="C4799" s="4" t="str">
        <f>HYPERLINK("http://www.uniprot.org/uniprot/M5WR84","M5WR84")</f>
        <v>M5WR84</v>
      </c>
      <c r="D4799" s="2" t="s">
        <v>2029</v>
      </c>
      <c r="E4799" s="3">
        <v>1.8100000000000001E-76</v>
      </c>
      <c r="F4799" s="2">
        <v>542</v>
      </c>
      <c r="G4799" s="2">
        <v>99</v>
      </c>
      <c r="H4799" s="2">
        <v>104</v>
      </c>
      <c r="I4799" s="2">
        <v>685</v>
      </c>
      <c r="J4799" s="2">
        <v>996</v>
      </c>
      <c r="K4799" s="2">
        <v>1</v>
      </c>
      <c r="L4799" s="2">
        <v>104</v>
      </c>
    </row>
    <row r="4800" spans="1:12" x14ac:dyDescent="0.25">
      <c r="A4800" s="4" t="str">
        <f>HYPERLINK("http://www.rosaceae.org/Prunus/Prunus_persica/p.persica_gdr_reftransV1_0001567","p.persica_gdr_reftransV1_0001567")</f>
        <v>p.persica_gdr_reftransV1_0001567</v>
      </c>
      <c r="B4800" s="2">
        <v>818</v>
      </c>
      <c r="C4800" s="4" t="str">
        <f>HYPERLINK("http://www.uniprot.org/uniprot/C7Z0T2","C7Z0T2")</f>
        <v>C7Z0T2</v>
      </c>
      <c r="D4800" s="2" t="s">
        <v>4453</v>
      </c>
      <c r="E4800" s="3">
        <v>2.2799999999999999E-154</v>
      </c>
      <c r="F4800" s="2">
        <v>1164</v>
      </c>
      <c r="G4800" s="2">
        <v>80</v>
      </c>
      <c r="H4800" s="2">
        <v>275</v>
      </c>
      <c r="I4800" s="2">
        <v>2</v>
      </c>
      <c r="J4800" s="2">
        <v>817</v>
      </c>
      <c r="K4800" s="2">
        <v>212</v>
      </c>
      <c r="L4800" s="2">
        <v>485</v>
      </c>
    </row>
    <row r="4801" spans="1:12" x14ac:dyDescent="0.25">
      <c r="A4801" s="4" t="str">
        <f>HYPERLINK("http://www.rosaceae.org/Prunus/Prunus_persica/p.persica_gdr_reftransV1_0002617","p.persica_gdr_reftransV1_0002617")</f>
        <v>p.persica_gdr_reftransV1_0002617</v>
      </c>
      <c r="B4801" s="2">
        <v>1801</v>
      </c>
      <c r="C4801" s="4" t="str">
        <f>HYPERLINK("http://www.uniprot.org/uniprot/M5XEK6","M5XEK6")</f>
        <v>M5XEK6</v>
      </c>
      <c r="D4801" s="2" t="s">
        <v>4454</v>
      </c>
      <c r="E4801" s="3">
        <v>0</v>
      </c>
      <c r="F4801" s="2">
        <v>1217</v>
      </c>
      <c r="G4801" s="2">
        <v>87</v>
      </c>
      <c r="H4801" s="2">
        <v>264</v>
      </c>
      <c r="I4801" s="2">
        <v>679</v>
      </c>
      <c r="J4801" s="2">
        <v>1470</v>
      </c>
      <c r="K4801" s="2">
        <v>1</v>
      </c>
      <c r="L4801" s="2">
        <v>232</v>
      </c>
    </row>
    <row r="4802" spans="1:12" x14ac:dyDescent="0.25">
      <c r="A4802" s="4" t="str">
        <f>HYPERLINK("http://www.rosaceae.org/Prunus/Prunus_persica/p.persica_gdr_reftransV1_0003317","p.persica_gdr_reftransV1_0003317")</f>
        <v>p.persica_gdr_reftransV1_0003317</v>
      </c>
      <c r="B4802" s="2">
        <v>573</v>
      </c>
      <c r="C4802" s="4" t="str">
        <f>HYPERLINK("http://www.uniprot.org/uniprot/M5VSM4","M5VSM4")</f>
        <v>M5VSM4</v>
      </c>
      <c r="D4802" s="2" t="s">
        <v>4455</v>
      </c>
      <c r="E4802" s="3">
        <v>2.9099999999999998E-57</v>
      </c>
      <c r="F4802" s="2">
        <v>473</v>
      </c>
      <c r="G4802" s="2">
        <v>100</v>
      </c>
      <c r="H4802" s="2">
        <v>93</v>
      </c>
      <c r="I4802" s="2">
        <v>66</v>
      </c>
      <c r="J4802" s="2">
        <v>344</v>
      </c>
      <c r="K4802" s="2">
        <v>1</v>
      </c>
      <c r="L4802" s="2">
        <v>93</v>
      </c>
    </row>
    <row r="4803" spans="1:12" x14ac:dyDescent="0.25">
      <c r="A4803" s="4" t="str">
        <f>HYPERLINK("http://www.rosaceae.org/Prunus/Prunus_persica/p.persica_gdr_reftransV1_0004017","p.persica_gdr_reftransV1_0004017")</f>
        <v>p.persica_gdr_reftransV1_0004017</v>
      </c>
      <c r="B4803" s="2">
        <v>905</v>
      </c>
      <c r="C4803" s="4" t="str">
        <f>HYPERLINK("http://www.uniprot.org/uniprot/M5WSR1","M5WSR1")</f>
        <v>M5WSR1</v>
      </c>
      <c r="D4803" s="2" t="s">
        <v>4456</v>
      </c>
      <c r="E4803" s="3">
        <v>6.8400000000000001E-96</v>
      </c>
      <c r="F4803" s="2">
        <v>748</v>
      </c>
      <c r="G4803" s="2">
        <v>100</v>
      </c>
      <c r="H4803" s="2">
        <v>171</v>
      </c>
      <c r="I4803" s="2">
        <v>323</v>
      </c>
      <c r="J4803" s="2">
        <v>835</v>
      </c>
      <c r="K4803" s="2">
        <v>1</v>
      </c>
      <c r="L4803" s="2">
        <v>171</v>
      </c>
    </row>
    <row r="4804" spans="1:12" x14ac:dyDescent="0.25">
      <c r="A4804" s="4" t="str">
        <f>HYPERLINK("http://www.rosaceae.org/Prunus/Prunus_persica/p.persica_gdr_reftransV1_0004717","p.persica_gdr_reftransV1_0004717")</f>
        <v>p.persica_gdr_reftransV1_0004717</v>
      </c>
      <c r="B4804" s="2">
        <v>425</v>
      </c>
      <c r="C4804" s="4" t="str">
        <f>HYPERLINK("http://www.uniprot.org/uniprot/M5WKA9","M5WKA9")</f>
        <v>M5WKA9</v>
      </c>
      <c r="D4804" s="2" t="s">
        <v>4457</v>
      </c>
      <c r="E4804" s="3">
        <v>3.3500000000000002E-76</v>
      </c>
      <c r="F4804" s="2">
        <v>597</v>
      </c>
      <c r="G4804" s="2">
        <v>92</v>
      </c>
      <c r="H4804" s="2">
        <v>120</v>
      </c>
      <c r="I4804" s="2">
        <v>65</v>
      </c>
      <c r="J4804" s="2">
        <v>424</v>
      </c>
      <c r="K4804" s="2">
        <v>17</v>
      </c>
      <c r="L4804" s="2">
        <v>136</v>
      </c>
    </row>
    <row r="4805" spans="1:12" x14ac:dyDescent="0.25">
      <c r="A4805" s="4" t="str">
        <f>HYPERLINK("http://www.rosaceae.org/Prunus/Prunus_persica/p.persica_gdr_reftransV1_0005067","p.persica_gdr_reftransV1_0005067")</f>
        <v>p.persica_gdr_reftransV1_0005067</v>
      </c>
      <c r="B4805" s="2">
        <v>3231</v>
      </c>
      <c r="C4805" s="4" t="str">
        <f>HYPERLINK("http://www.uniprot.org/uniprot/M5WS13","M5WS13")</f>
        <v>M5WS13</v>
      </c>
      <c r="D4805" s="2" t="s">
        <v>4458</v>
      </c>
      <c r="E4805" s="3">
        <v>0</v>
      </c>
      <c r="F4805" s="2">
        <v>4067</v>
      </c>
      <c r="G4805" s="2">
        <v>100</v>
      </c>
      <c r="H4805" s="2">
        <v>801</v>
      </c>
      <c r="I4805" s="2">
        <v>505</v>
      </c>
      <c r="J4805" s="2">
        <v>2907</v>
      </c>
      <c r="K4805" s="2">
        <v>404</v>
      </c>
      <c r="L4805" s="2">
        <v>1204</v>
      </c>
    </row>
    <row r="4806" spans="1:12" x14ac:dyDescent="0.25">
      <c r="A4806" s="4" t="str">
        <f>HYPERLINK("http://www.rosaceae.org/Prunus/Prunus_persica/p.persica_gdr_reftransV1_0005417","p.persica_gdr_reftransV1_0005417")</f>
        <v>p.persica_gdr_reftransV1_0005417</v>
      </c>
      <c r="B4806" s="2">
        <v>1031</v>
      </c>
      <c r="C4806" s="4" t="str">
        <f>HYPERLINK("http://www.uniprot.org/uniprot/M5WCJ8","M5WCJ8")</f>
        <v>M5WCJ8</v>
      </c>
      <c r="D4806" s="2" t="s">
        <v>2432</v>
      </c>
      <c r="E4806" s="3">
        <v>0</v>
      </c>
      <c r="F4806" s="2">
        <v>1678</v>
      </c>
      <c r="G4806" s="2">
        <v>100</v>
      </c>
      <c r="H4806" s="2">
        <v>328</v>
      </c>
      <c r="I4806" s="2">
        <v>46</v>
      </c>
      <c r="J4806" s="2">
        <v>1029</v>
      </c>
      <c r="K4806" s="2">
        <v>285</v>
      </c>
      <c r="L4806" s="2">
        <v>612</v>
      </c>
    </row>
    <row r="4807" spans="1:12" x14ac:dyDescent="0.25">
      <c r="A4807" s="4" t="str">
        <f>HYPERLINK("http://www.rosaceae.org/Prunus/Prunus_persica/p.persica_gdr_reftransV1_0005767","p.persica_gdr_reftransV1_0005767")</f>
        <v>p.persica_gdr_reftransV1_0005767</v>
      </c>
      <c r="B4807" s="2">
        <v>1488</v>
      </c>
      <c r="C4807" s="4" t="str">
        <f>HYPERLINK("http://www.uniprot.org/uniprot/M5VTI4","M5VTI4")</f>
        <v>M5VTI4</v>
      </c>
      <c r="D4807" s="2" t="s">
        <v>1009</v>
      </c>
      <c r="E4807" s="3">
        <v>0</v>
      </c>
      <c r="F4807" s="2">
        <v>1996</v>
      </c>
      <c r="G4807" s="2">
        <v>100</v>
      </c>
      <c r="H4807" s="2">
        <v>400</v>
      </c>
      <c r="I4807" s="2">
        <v>229</v>
      </c>
      <c r="J4807" s="2">
        <v>1428</v>
      </c>
      <c r="K4807" s="2">
        <v>1</v>
      </c>
      <c r="L4807" s="2">
        <v>400</v>
      </c>
    </row>
    <row r="4808" spans="1:12" x14ac:dyDescent="0.25">
      <c r="A4808" s="4" t="str">
        <f>HYPERLINK("http://www.rosaceae.org/Prunus/Prunus_persica/p.persica_gdr_reftransV1_0006817","p.persica_gdr_reftransV1_0006817")</f>
        <v>p.persica_gdr_reftransV1_0006817</v>
      </c>
      <c r="B4808" s="2">
        <v>446</v>
      </c>
      <c r="C4808" s="4" t="str">
        <f>HYPERLINK("http://www.uniprot.org/uniprot/W9RMA6","W9RMA6")</f>
        <v>W9RMA6</v>
      </c>
      <c r="D4808" s="2" t="s">
        <v>4459</v>
      </c>
      <c r="E4808" s="3">
        <v>4.77E-22</v>
      </c>
      <c r="F4808" s="2">
        <v>253</v>
      </c>
      <c r="G4808" s="2">
        <v>74</v>
      </c>
      <c r="H4808" s="2">
        <v>62</v>
      </c>
      <c r="I4808" s="2">
        <v>261</v>
      </c>
      <c r="J4808" s="2">
        <v>446</v>
      </c>
      <c r="K4808" s="2">
        <v>9</v>
      </c>
      <c r="L4808" s="2">
        <v>68</v>
      </c>
    </row>
    <row r="4809" spans="1:12" x14ac:dyDescent="0.25">
      <c r="A4809" s="4" t="str">
        <f>HYPERLINK("http://www.rosaceae.org/Prunus/Prunus_persica/p.persica_gdr_reftransV1_0007167","p.persica_gdr_reftransV1_0007167")</f>
        <v>p.persica_gdr_reftransV1_0007167</v>
      </c>
      <c r="B4809" s="2">
        <v>1645</v>
      </c>
      <c r="C4809" s="4" t="str">
        <f>HYPERLINK("http://www.uniprot.org/uniprot/M5X4X7","M5X4X7")</f>
        <v>M5X4X7</v>
      </c>
      <c r="D4809" s="2" t="s">
        <v>4460</v>
      </c>
      <c r="E4809" s="3">
        <v>0</v>
      </c>
      <c r="F4809" s="2">
        <v>1997</v>
      </c>
      <c r="G4809" s="2">
        <v>98</v>
      </c>
      <c r="H4809" s="2">
        <v>445</v>
      </c>
      <c r="I4809" s="2">
        <v>111</v>
      </c>
      <c r="J4809" s="2">
        <v>1445</v>
      </c>
      <c r="K4809" s="2">
        <v>1</v>
      </c>
      <c r="L4809" s="2">
        <v>443</v>
      </c>
    </row>
    <row r="4810" spans="1:12" x14ac:dyDescent="0.25">
      <c r="A4810" s="4" t="str">
        <f>HYPERLINK("http://www.rosaceae.org/Prunus/Prunus_persica/p.persica_gdr_reftransV1_0007517","p.persica_gdr_reftransV1_0007517")</f>
        <v>p.persica_gdr_reftransV1_0007517</v>
      </c>
      <c r="B4810" s="2">
        <v>833</v>
      </c>
      <c r="C4810" s="4" t="str">
        <f>HYPERLINK("http://www.uniprot.org/uniprot/M5XN27","M5XN27")</f>
        <v>M5XN27</v>
      </c>
      <c r="D4810" s="2" t="s">
        <v>4461</v>
      </c>
      <c r="E4810" s="3">
        <v>1.0399999999999999E-99</v>
      </c>
      <c r="F4810" s="2">
        <v>783</v>
      </c>
      <c r="G4810" s="2">
        <v>97</v>
      </c>
      <c r="H4810" s="2">
        <v>152</v>
      </c>
      <c r="I4810" s="2">
        <v>270</v>
      </c>
      <c r="J4810" s="2">
        <v>725</v>
      </c>
      <c r="K4810" s="2">
        <v>1</v>
      </c>
      <c r="L4810" s="2">
        <v>150</v>
      </c>
    </row>
    <row r="4811" spans="1:12" x14ac:dyDescent="0.25">
      <c r="A4811" s="4" t="str">
        <f>HYPERLINK("http://www.rosaceae.org/Prunus/Prunus_persica/p.persica_gdr_reftransV1_0007867","p.persica_gdr_reftransV1_0007867")</f>
        <v>p.persica_gdr_reftransV1_0007867</v>
      </c>
      <c r="B4811" s="2">
        <v>4186</v>
      </c>
      <c r="C4811" s="4" t="str">
        <f>HYPERLINK("http://www.uniprot.org/uniprot/M5Y499","M5Y499")</f>
        <v>M5Y499</v>
      </c>
      <c r="D4811" s="2" t="s">
        <v>4462</v>
      </c>
      <c r="E4811" s="3">
        <v>0</v>
      </c>
      <c r="F4811" s="2">
        <v>6078</v>
      </c>
      <c r="G4811" s="2">
        <v>100</v>
      </c>
      <c r="H4811" s="2">
        <v>1191</v>
      </c>
      <c r="I4811" s="2">
        <v>187</v>
      </c>
      <c r="J4811" s="2">
        <v>3759</v>
      </c>
      <c r="K4811" s="2">
        <v>1</v>
      </c>
      <c r="L4811" s="2">
        <v>1191</v>
      </c>
    </row>
    <row r="4812" spans="1:12" x14ac:dyDescent="0.25">
      <c r="A4812" s="4" t="str">
        <f>HYPERLINK("http://www.rosaceae.org/Prunus/Prunus_persica/p.persica_gdr_reftransV1_0008217","p.persica_gdr_reftransV1_0008217")</f>
        <v>p.persica_gdr_reftransV1_0008217</v>
      </c>
      <c r="B4812" s="2">
        <v>595</v>
      </c>
      <c r="C4812" s="4" t="str">
        <f>HYPERLINK("http://www.uniprot.org/uniprot/M5W9V7","M5W9V7")</f>
        <v>M5W9V7</v>
      </c>
      <c r="D4812" s="2" t="s">
        <v>4463</v>
      </c>
      <c r="E4812" s="3">
        <v>2.3300000000000001E-66</v>
      </c>
      <c r="F4812" s="2">
        <v>557</v>
      </c>
      <c r="G4812" s="2">
        <v>100</v>
      </c>
      <c r="H4812" s="2">
        <v>109</v>
      </c>
      <c r="I4812" s="2">
        <v>2</v>
      </c>
      <c r="J4812" s="2">
        <v>328</v>
      </c>
      <c r="K4812" s="2">
        <v>1</v>
      </c>
      <c r="L4812" s="2">
        <v>109</v>
      </c>
    </row>
    <row r="4813" spans="1:12" x14ac:dyDescent="0.25">
      <c r="A4813" s="4" t="str">
        <f>HYPERLINK("http://www.rosaceae.org/Prunus/Prunus_persica/p.persica_gdr_reftransV1_0009967","p.persica_gdr_reftransV1_0009967")</f>
        <v>p.persica_gdr_reftransV1_0009967</v>
      </c>
      <c r="B4813" s="2">
        <v>3609</v>
      </c>
      <c r="C4813" s="4" t="str">
        <f>HYPERLINK("http://www.uniprot.org/uniprot/A0A067L3C7","A0A067L3C7")</f>
        <v>A0A067L3C7</v>
      </c>
      <c r="D4813" s="2" t="s">
        <v>4464</v>
      </c>
      <c r="E4813" s="3">
        <v>0</v>
      </c>
      <c r="F4813" s="2">
        <v>3311</v>
      </c>
      <c r="G4813" s="2">
        <v>72</v>
      </c>
      <c r="H4813" s="2">
        <v>884</v>
      </c>
      <c r="I4813" s="2">
        <v>320</v>
      </c>
      <c r="J4813" s="2">
        <v>2941</v>
      </c>
      <c r="K4813" s="2">
        <v>4</v>
      </c>
      <c r="L4813" s="2">
        <v>885</v>
      </c>
    </row>
    <row r="4814" spans="1:12" x14ac:dyDescent="0.25">
      <c r="A4814" s="4" t="str">
        <f>HYPERLINK("http://www.rosaceae.org/Prunus/Prunus_persica/p.persica_gdr_reftransV1_0010317","p.persica_gdr_reftransV1_0010317")</f>
        <v>p.persica_gdr_reftransV1_0010317</v>
      </c>
      <c r="B4814" s="2">
        <v>3301</v>
      </c>
      <c r="C4814" s="4" t="str">
        <f>HYPERLINK("http://www.uniprot.org/uniprot/M5XB28","M5XB28")</f>
        <v>M5XB28</v>
      </c>
      <c r="D4814" s="2" t="s">
        <v>4465</v>
      </c>
      <c r="E4814" s="3">
        <v>0</v>
      </c>
      <c r="F4814" s="2">
        <v>4019</v>
      </c>
      <c r="G4814" s="2">
        <v>100</v>
      </c>
      <c r="H4814" s="2">
        <v>776</v>
      </c>
      <c r="I4814" s="2">
        <v>423</v>
      </c>
      <c r="J4814" s="2">
        <v>2750</v>
      </c>
      <c r="K4814" s="2">
        <v>1</v>
      </c>
      <c r="L4814" s="2">
        <v>776</v>
      </c>
    </row>
    <row r="4815" spans="1:12" x14ac:dyDescent="0.25">
      <c r="A4815" s="4" t="str">
        <f>HYPERLINK("http://www.rosaceae.org/Prunus/Prunus_persica/p.persica_gdr_reftransV1_0010667","p.persica_gdr_reftransV1_0010667")</f>
        <v>p.persica_gdr_reftransV1_0010667</v>
      </c>
      <c r="B4815" s="2">
        <v>3173</v>
      </c>
      <c r="C4815" s="4" t="str">
        <f>HYPERLINK("http://www.uniprot.org/uniprot/M5WM98","M5WM98")</f>
        <v>M5WM98</v>
      </c>
      <c r="D4815" s="2" t="s">
        <v>4466</v>
      </c>
      <c r="E4815" s="3">
        <v>0</v>
      </c>
      <c r="F4815" s="2">
        <v>3163</v>
      </c>
      <c r="G4815" s="2">
        <v>100</v>
      </c>
      <c r="H4815" s="2">
        <v>716</v>
      </c>
      <c r="I4815" s="2">
        <v>485</v>
      </c>
      <c r="J4815" s="2">
        <v>2632</v>
      </c>
      <c r="K4815" s="2">
        <v>1</v>
      </c>
      <c r="L4815" s="2">
        <v>716</v>
      </c>
    </row>
    <row r="4816" spans="1:12" x14ac:dyDescent="0.25">
      <c r="A4816" s="4" t="str">
        <f>HYPERLINK("http://www.rosaceae.org/Prunus/Prunus_persica/p.persica_gdr_reftransV1_0011017","p.persica_gdr_reftransV1_0011017")</f>
        <v>p.persica_gdr_reftransV1_0011017</v>
      </c>
      <c r="B4816" s="2">
        <v>1370</v>
      </c>
      <c r="C4816" s="4" t="str">
        <f>HYPERLINK("http://www.uniprot.org/uniprot/M5W5N4","M5W5N4")</f>
        <v>M5W5N4</v>
      </c>
      <c r="D4816" s="2" t="s">
        <v>4467</v>
      </c>
      <c r="E4816" s="3">
        <v>0</v>
      </c>
      <c r="F4816" s="2">
        <v>1724</v>
      </c>
      <c r="G4816" s="2">
        <v>100</v>
      </c>
      <c r="H4816" s="2">
        <v>357</v>
      </c>
      <c r="I4816" s="2">
        <v>1</v>
      </c>
      <c r="J4816" s="2">
        <v>1071</v>
      </c>
      <c r="K4816" s="2">
        <v>750</v>
      </c>
      <c r="L4816" s="2">
        <v>1106</v>
      </c>
    </row>
    <row r="4817" spans="1:12" x14ac:dyDescent="0.25">
      <c r="A4817" s="4" t="str">
        <f>HYPERLINK("http://www.rosaceae.org/Prunus/Prunus_persica/p.persica_gdr_reftransV1_0011367","p.persica_gdr_reftransV1_0011367")</f>
        <v>p.persica_gdr_reftransV1_0011367</v>
      </c>
      <c r="B4817" s="2">
        <v>1338</v>
      </c>
      <c r="C4817" s="4" t="str">
        <f>HYPERLINK("http://www.uniprot.org/uniprot/M5W9T9","M5W9T9")</f>
        <v>M5W9T9</v>
      </c>
      <c r="D4817" s="2" t="s">
        <v>4468</v>
      </c>
      <c r="E4817" s="3">
        <v>0</v>
      </c>
      <c r="F4817" s="2">
        <v>1864</v>
      </c>
      <c r="G4817" s="2">
        <v>100</v>
      </c>
      <c r="H4817" s="2">
        <v>345</v>
      </c>
      <c r="I4817" s="2">
        <v>262</v>
      </c>
      <c r="J4817" s="2">
        <v>1296</v>
      </c>
      <c r="K4817" s="2">
        <v>1</v>
      </c>
      <c r="L4817" s="2">
        <v>345</v>
      </c>
    </row>
    <row r="4818" spans="1:12" x14ac:dyDescent="0.25">
      <c r="A4818" s="4" t="str">
        <f>HYPERLINK("http://www.rosaceae.org/Prunus/Prunus_persica/p.persica_gdr_reftransV1_0011717","p.persica_gdr_reftransV1_0011717")</f>
        <v>p.persica_gdr_reftransV1_0011717</v>
      </c>
      <c r="B4818" s="2">
        <v>993</v>
      </c>
      <c r="C4818" s="4" t="str">
        <f>HYPERLINK("http://www.uniprot.org/uniprot/M5XNY0","M5XNY0")</f>
        <v>M5XNY0</v>
      </c>
      <c r="D4818" s="2" t="s">
        <v>4469</v>
      </c>
      <c r="E4818" s="3">
        <v>1.75E-156</v>
      </c>
      <c r="F4818" s="2">
        <v>1205</v>
      </c>
      <c r="G4818" s="2">
        <v>100</v>
      </c>
      <c r="H4818" s="2">
        <v>227</v>
      </c>
      <c r="I4818" s="2">
        <v>312</v>
      </c>
      <c r="J4818" s="2">
        <v>992</v>
      </c>
      <c r="K4818" s="2">
        <v>523</v>
      </c>
      <c r="L4818" s="2">
        <v>749</v>
      </c>
    </row>
    <row r="4819" spans="1:12" x14ac:dyDescent="0.25">
      <c r="A4819" s="4" t="str">
        <f>HYPERLINK("http://www.rosaceae.org/Prunus/Prunus_persica/p.persica_gdr_reftransV1_0012067","p.persica_gdr_reftransV1_0012067")</f>
        <v>p.persica_gdr_reftransV1_0012067</v>
      </c>
      <c r="B4819" s="2">
        <v>1829</v>
      </c>
      <c r="C4819" s="4" t="str">
        <f>HYPERLINK("http://www.uniprot.org/uniprot/M5WA93","M5WA93")</f>
        <v>M5WA93</v>
      </c>
      <c r="D4819" s="2" t="s">
        <v>4470</v>
      </c>
      <c r="E4819" s="3">
        <v>0</v>
      </c>
      <c r="F4819" s="2">
        <v>2639</v>
      </c>
      <c r="G4819" s="2">
        <v>100</v>
      </c>
      <c r="H4819" s="2">
        <v>512</v>
      </c>
      <c r="I4819" s="2">
        <v>3</v>
      </c>
      <c r="J4819" s="2">
        <v>1538</v>
      </c>
      <c r="K4819" s="2">
        <v>160</v>
      </c>
      <c r="L4819" s="2">
        <v>671</v>
      </c>
    </row>
    <row r="4820" spans="1:12" x14ac:dyDescent="0.25">
      <c r="A4820" s="4" t="str">
        <f>HYPERLINK("http://www.rosaceae.org/Prunus/Prunus_persica/p.persica_gdr_reftransV1_0012767","p.persica_gdr_reftransV1_0012767")</f>
        <v>p.persica_gdr_reftransV1_0012767</v>
      </c>
      <c r="B4820" s="2">
        <v>729</v>
      </c>
      <c r="C4820" s="4" t="str">
        <f>HYPERLINK("http://www.uniprot.org/uniprot/M5W0P8","M5W0P8")</f>
        <v>M5W0P8</v>
      </c>
      <c r="D4820" s="2" t="s">
        <v>4471</v>
      </c>
      <c r="E4820" s="3">
        <v>4.5399999999999997E-76</v>
      </c>
      <c r="F4820" s="2">
        <v>626</v>
      </c>
      <c r="G4820" s="2">
        <v>100</v>
      </c>
      <c r="H4820" s="2">
        <v>120</v>
      </c>
      <c r="I4820" s="2">
        <v>2</v>
      </c>
      <c r="J4820" s="2">
        <v>361</v>
      </c>
      <c r="K4820" s="2">
        <v>1</v>
      </c>
      <c r="L4820" s="2">
        <v>120</v>
      </c>
    </row>
    <row r="4821" spans="1:12" x14ac:dyDescent="0.25">
      <c r="A4821" s="4" t="str">
        <f>HYPERLINK("http://www.rosaceae.org/Prunus/Prunus_persica/p.persica_gdr_reftransV1_0013467","p.persica_gdr_reftransV1_0013467")</f>
        <v>p.persica_gdr_reftransV1_0013467</v>
      </c>
      <c r="B4821" s="2">
        <v>5038</v>
      </c>
      <c r="C4821" s="4" t="str">
        <f>HYPERLINK("http://www.uniprot.org/uniprot/M5X037","M5X037")</f>
        <v>M5X037</v>
      </c>
      <c r="D4821" s="2" t="s">
        <v>4472</v>
      </c>
      <c r="E4821" s="3">
        <v>0</v>
      </c>
      <c r="F4821" s="2">
        <v>6246</v>
      </c>
      <c r="G4821" s="2">
        <v>98</v>
      </c>
      <c r="H4821" s="2">
        <v>1416</v>
      </c>
      <c r="I4821" s="2">
        <v>184</v>
      </c>
      <c r="J4821" s="2">
        <v>4431</v>
      </c>
      <c r="K4821" s="2">
        <v>2</v>
      </c>
      <c r="L4821" s="2">
        <v>1395</v>
      </c>
    </row>
    <row r="4822" spans="1:12" x14ac:dyDescent="0.25">
      <c r="A4822" s="4" t="str">
        <f>HYPERLINK("http://www.rosaceae.org/Prunus/Prunus_persica/p.persica_gdr_reftransV1_0014517","p.persica_gdr_reftransV1_0014517")</f>
        <v>p.persica_gdr_reftransV1_0014517</v>
      </c>
      <c r="B4822" s="2">
        <v>1809</v>
      </c>
      <c r="C4822" s="4" t="str">
        <f>HYPERLINK("http://www.uniprot.org/uniprot/A0A067KTX1","A0A067KTX1")</f>
        <v>A0A067KTX1</v>
      </c>
      <c r="D4822" s="2" t="s">
        <v>4473</v>
      </c>
      <c r="E4822" s="3">
        <v>0</v>
      </c>
      <c r="F4822" s="2">
        <v>1926</v>
      </c>
      <c r="G4822" s="2">
        <v>66</v>
      </c>
      <c r="H4822" s="2">
        <v>571</v>
      </c>
      <c r="I4822" s="2">
        <v>160</v>
      </c>
      <c r="J4822" s="2">
        <v>1809</v>
      </c>
      <c r="K4822" s="2">
        <v>37</v>
      </c>
      <c r="L4822" s="2">
        <v>571</v>
      </c>
    </row>
    <row r="4823" spans="1:12" x14ac:dyDescent="0.25">
      <c r="A4823" s="4" t="str">
        <f>HYPERLINK("http://www.rosaceae.org/Prunus/Prunus_persica/p.persica_gdr_reftransV1_0015217","p.persica_gdr_reftransV1_0015217")</f>
        <v>p.persica_gdr_reftransV1_0015217</v>
      </c>
      <c r="B4823" s="2">
        <v>4044</v>
      </c>
      <c r="C4823" s="4" t="str">
        <f>HYPERLINK("http://www.uniprot.org/uniprot/M5VXC0","M5VXC0")</f>
        <v>M5VXC0</v>
      </c>
      <c r="D4823" s="2" t="s">
        <v>4474</v>
      </c>
      <c r="E4823" s="3">
        <v>0</v>
      </c>
      <c r="F4823" s="2">
        <v>2886</v>
      </c>
      <c r="G4823" s="2">
        <v>95</v>
      </c>
      <c r="H4823" s="2">
        <v>572</v>
      </c>
      <c r="I4823" s="2">
        <v>1625</v>
      </c>
      <c r="J4823" s="2">
        <v>3295</v>
      </c>
      <c r="K4823" s="2">
        <v>434</v>
      </c>
      <c r="L4823" s="2">
        <v>1005</v>
      </c>
    </row>
    <row r="4824" spans="1:12" x14ac:dyDescent="0.25">
      <c r="A4824" s="4" t="str">
        <f>HYPERLINK("http://www.rosaceae.org/Prunus/Prunus_persica/p.persica_gdr_reftransV1_0017317","p.persica_gdr_reftransV1_0017317")</f>
        <v>p.persica_gdr_reftransV1_0017317</v>
      </c>
      <c r="B4824" s="2">
        <v>2706</v>
      </c>
      <c r="C4824" s="4" t="str">
        <f>HYPERLINK("http://www.uniprot.org/uniprot/M5XUD7","M5XUD7")</f>
        <v>M5XUD7</v>
      </c>
      <c r="D4824" s="2" t="s">
        <v>4475</v>
      </c>
      <c r="E4824" s="3">
        <v>1.0699999999999999E-28</v>
      </c>
      <c r="F4824" s="2">
        <v>311</v>
      </c>
      <c r="G4824" s="2">
        <v>94</v>
      </c>
      <c r="H4824" s="2">
        <v>62</v>
      </c>
      <c r="I4824" s="2">
        <v>2404</v>
      </c>
      <c r="J4824" s="2">
        <v>2589</v>
      </c>
      <c r="K4824" s="2">
        <v>110</v>
      </c>
      <c r="L4824" s="2">
        <v>171</v>
      </c>
    </row>
    <row r="4825" spans="1:12" x14ac:dyDescent="0.25">
      <c r="A4825" s="4" t="str">
        <f>HYPERLINK("http://www.rosaceae.org/Prunus/Prunus_persica/p.persica_gdr_reftransV1_0018017","p.persica_gdr_reftransV1_0018017")</f>
        <v>p.persica_gdr_reftransV1_0018017</v>
      </c>
      <c r="B4825" s="2">
        <v>2177</v>
      </c>
      <c r="C4825" s="4" t="str">
        <f>HYPERLINK("http://www.uniprot.org/uniprot/M5VUB8","M5VUB8")</f>
        <v>M5VUB8</v>
      </c>
      <c r="D4825" s="2" t="s">
        <v>4476</v>
      </c>
      <c r="E4825" s="3">
        <v>0</v>
      </c>
      <c r="F4825" s="2">
        <v>3087</v>
      </c>
      <c r="G4825" s="2">
        <v>100</v>
      </c>
      <c r="H4825" s="2">
        <v>587</v>
      </c>
      <c r="I4825" s="2">
        <v>365</v>
      </c>
      <c r="J4825" s="2">
        <v>2125</v>
      </c>
      <c r="K4825" s="2">
        <v>1</v>
      </c>
      <c r="L4825" s="2">
        <v>587</v>
      </c>
    </row>
    <row r="4826" spans="1:12" x14ac:dyDescent="0.25">
      <c r="A4826" s="4" t="str">
        <f>HYPERLINK("http://www.rosaceae.org/Prunus/Prunus_persica/p.persica_gdr_reftransV1_0019417","p.persica_gdr_reftransV1_0019417")</f>
        <v>p.persica_gdr_reftransV1_0019417</v>
      </c>
      <c r="B4826" s="2">
        <v>2473</v>
      </c>
      <c r="C4826" s="4" t="str">
        <f>HYPERLINK("http://www.uniprot.org/uniprot/M5XN10","M5XN10")</f>
        <v>M5XN10</v>
      </c>
      <c r="D4826" s="2" t="s">
        <v>4477</v>
      </c>
      <c r="E4826" s="3">
        <v>0</v>
      </c>
      <c r="F4826" s="2">
        <v>3136</v>
      </c>
      <c r="G4826" s="2">
        <v>100</v>
      </c>
      <c r="H4826" s="2">
        <v>615</v>
      </c>
      <c r="I4826" s="2">
        <v>485</v>
      </c>
      <c r="J4826" s="2">
        <v>2329</v>
      </c>
      <c r="K4826" s="2">
        <v>1</v>
      </c>
      <c r="L4826" s="2">
        <v>615</v>
      </c>
    </row>
    <row r="4827" spans="1:12" x14ac:dyDescent="0.25">
      <c r="A4827" s="4" t="str">
        <f>HYPERLINK("http://www.rosaceae.org/Prunus/Prunus_persica/p.persica_gdr_reftransV1_0020467","p.persica_gdr_reftransV1_0020467")</f>
        <v>p.persica_gdr_reftransV1_0020467</v>
      </c>
      <c r="B4827" s="2">
        <v>2239</v>
      </c>
      <c r="C4827" s="4" t="str">
        <f>HYPERLINK("http://www.uniprot.org/uniprot/M5VJP0","M5VJP0")</f>
        <v>M5VJP0</v>
      </c>
      <c r="D4827" s="2" t="s">
        <v>4478</v>
      </c>
      <c r="E4827" s="3">
        <v>0</v>
      </c>
      <c r="F4827" s="2">
        <v>1219</v>
      </c>
      <c r="G4827" s="2">
        <v>93</v>
      </c>
      <c r="H4827" s="2">
        <v>287</v>
      </c>
      <c r="I4827" s="2">
        <v>1078</v>
      </c>
      <c r="J4827" s="2">
        <v>1938</v>
      </c>
      <c r="K4827" s="2">
        <v>217</v>
      </c>
      <c r="L4827" s="2">
        <v>487</v>
      </c>
    </row>
    <row r="4828" spans="1:12" x14ac:dyDescent="0.25">
      <c r="A4828" s="4" t="str">
        <f>HYPERLINK("http://www.rosaceae.org/Prunus/Prunus_persica/p.persica_gdr_reftransV1_0022217","p.persica_gdr_reftransV1_0022217")</f>
        <v>p.persica_gdr_reftransV1_0022217</v>
      </c>
      <c r="B4828" s="2">
        <v>2021</v>
      </c>
      <c r="C4828" s="4" t="str">
        <f>HYPERLINK("http://www.uniprot.org/uniprot/M5VWL5","M5VWL5")</f>
        <v>M5VWL5</v>
      </c>
      <c r="D4828" s="2" t="s">
        <v>4479</v>
      </c>
      <c r="E4828" s="3">
        <v>2.94E-84</v>
      </c>
      <c r="F4828" s="2">
        <v>742</v>
      </c>
      <c r="G4828" s="2">
        <v>100</v>
      </c>
      <c r="H4828" s="2">
        <v>152</v>
      </c>
      <c r="I4828" s="2">
        <v>1566</v>
      </c>
      <c r="J4828" s="2">
        <v>2021</v>
      </c>
      <c r="K4828" s="2">
        <v>1</v>
      </c>
      <c r="L4828" s="2">
        <v>152</v>
      </c>
    </row>
    <row r="4829" spans="1:12" x14ac:dyDescent="0.25">
      <c r="A4829" s="4" t="str">
        <f>HYPERLINK("http://www.rosaceae.org/Prunus/Prunus_persica/p.persica_gdr_reftransV1_0022917","p.persica_gdr_reftransV1_0022917")</f>
        <v>p.persica_gdr_reftransV1_0022917</v>
      </c>
      <c r="B4829" s="2">
        <v>658</v>
      </c>
      <c r="C4829" s="4" t="str">
        <f>HYPERLINK("http://www.uniprot.org/uniprot/M5X1E4","M5X1E4")</f>
        <v>M5X1E4</v>
      </c>
      <c r="D4829" s="2" t="s">
        <v>4480</v>
      </c>
      <c r="E4829" s="3">
        <v>1.0199999999999999E-145</v>
      </c>
      <c r="F4829" s="2">
        <v>1090</v>
      </c>
      <c r="G4829" s="2">
        <v>95</v>
      </c>
      <c r="H4829" s="2">
        <v>218</v>
      </c>
      <c r="I4829" s="2">
        <v>3</v>
      </c>
      <c r="J4829" s="2">
        <v>656</v>
      </c>
      <c r="K4829" s="2">
        <v>113</v>
      </c>
      <c r="L4829" s="2">
        <v>330</v>
      </c>
    </row>
    <row r="4830" spans="1:12" x14ac:dyDescent="0.25">
      <c r="A4830" s="4" t="str">
        <f>HYPERLINK("http://www.rosaceae.org/Prunus/Prunus_persica/p.persica_gdr_reftransV1_0023967","p.persica_gdr_reftransV1_0023967")</f>
        <v>p.persica_gdr_reftransV1_0023967</v>
      </c>
      <c r="B4830" s="2">
        <v>1902</v>
      </c>
      <c r="C4830" s="4" t="str">
        <f>HYPERLINK("http://www.uniprot.org/uniprot/M5VYK8","M5VYK8")</f>
        <v>M5VYK8</v>
      </c>
      <c r="D4830" s="2" t="s">
        <v>4481</v>
      </c>
      <c r="E4830" s="3">
        <v>0</v>
      </c>
      <c r="F4830" s="2">
        <v>2125</v>
      </c>
      <c r="G4830" s="2">
        <v>100</v>
      </c>
      <c r="H4830" s="2">
        <v>394</v>
      </c>
      <c r="I4830" s="2">
        <v>392</v>
      </c>
      <c r="J4830" s="2">
        <v>1573</v>
      </c>
      <c r="K4830" s="2">
        <v>1</v>
      </c>
      <c r="L4830" s="2">
        <v>394</v>
      </c>
    </row>
    <row r="4831" spans="1:12" x14ac:dyDescent="0.25">
      <c r="A4831" s="4" t="str">
        <f>HYPERLINK("http://www.rosaceae.org/Prunus/Prunus_persica/p.persica_gdr_reftransV1_0025017","p.persica_gdr_reftransV1_0025017")</f>
        <v>p.persica_gdr_reftransV1_0025017</v>
      </c>
      <c r="B4831" s="2">
        <v>1169</v>
      </c>
      <c r="C4831" s="4" t="str">
        <f>HYPERLINK("http://www.uniprot.org/uniprot/M5VUB3","M5VUB3")</f>
        <v>M5VUB3</v>
      </c>
      <c r="D4831" s="2" t="s">
        <v>4482</v>
      </c>
      <c r="E4831" s="3">
        <v>2.22E-62</v>
      </c>
      <c r="F4831" s="2">
        <v>527</v>
      </c>
      <c r="G4831" s="2">
        <v>95</v>
      </c>
      <c r="H4831" s="2">
        <v>107</v>
      </c>
      <c r="I4831" s="2">
        <v>754</v>
      </c>
      <c r="J4831" s="2">
        <v>1074</v>
      </c>
      <c r="K4831" s="2">
        <v>1</v>
      </c>
      <c r="L4831" s="2">
        <v>107</v>
      </c>
    </row>
    <row r="4832" spans="1:12" x14ac:dyDescent="0.25">
      <c r="A4832" s="4" t="str">
        <f>HYPERLINK("http://www.rosaceae.org/Prunus/Prunus_persica/p.persica_gdr_reftransV1_0027467","p.persica_gdr_reftransV1_0027467")</f>
        <v>p.persica_gdr_reftransV1_0027467</v>
      </c>
      <c r="B4832" s="2">
        <v>1439</v>
      </c>
      <c r="C4832" s="4" t="str">
        <f>HYPERLINK("http://www.uniprot.org/uniprot/M5WIX9","M5WIX9")</f>
        <v>M5WIX9</v>
      </c>
      <c r="D4832" s="2" t="s">
        <v>4483</v>
      </c>
      <c r="E4832" s="3">
        <v>0</v>
      </c>
      <c r="F4832" s="2">
        <v>1463</v>
      </c>
      <c r="G4832" s="2">
        <v>93</v>
      </c>
      <c r="H4832" s="2">
        <v>312</v>
      </c>
      <c r="I4832" s="2">
        <v>504</v>
      </c>
      <c r="J4832" s="2">
        <v>1439</v>
      </c>
      <c r="K4832" s="2">
        <v>11</v>
      </c>
      <c r="L4832" s="2">
        <v>308</v>
      </c>
    </row>
    <row r="4833" spans="1:12" x14ac:dyDescent="0.25">
      <c r="A4833" s="4" t="str">
        <f>HYPERLINK("http://www.rosaceae.org/Prunus/Prunus_persica/p.persica_gdr_reftransV1_0027817","p.persica_gdr_reftransV1_0027817")</f>
        <v>p.persica_gdr_reftransV1_0027817</v>
      </c>
      <c r="B4833" s="2">
        <v>3038</v>
      </c>
      <c r="C4833" s="4" t="str">
        <f>HYPERLINK("http://www.uniprot.org/uniprot/M5WZT6","M5WZT6")</f>
        <v>M5WZT6</v>
      </c>
      <c r="D4833" s="2" t="s">
        <v>4484</v>
      </c>
      <c r="E4833" s="3">
        <v>0</v>
      </c>
      <c r="F4833" s="2">
        <v>1507</v>
      </c>
      <c r="G4833" s="2">
        <v>90</v>
      </c>
      <c r="H4833" s="2">
        <v>334</v>
      </c>
      <c r="I4833" s="2">
        <v>81</v>
      </c>
      <c r="J4833" s="2">
        <v>1082</v>
      </c>
      <c r="K4833" s="2">
        <v>1</v>
      </c>
      <c r="L4833" s="2">
        <v>309</v>
      </c>
    </row>
    <row r="4834" spans="1:12" x14ac:dyDescent="0.25">
      <c r="A4834" s="4" t="str">
        <f>HYPERLINK("http://www.rosaceae.org/Prunus/Prunus_persica/p.persica_gdr_reftransV1_0028517","p.persica_gdr_reftransV1_0028517")</f>
        <v>p.persica_gdr_reftransV1_0028517</v>
      </c>
      <c r="B4834" s="2">
        <v>1857</v>
      </c>
      <c r="C4834" s="4" t="str">
        <f>HYPERLINK("http://www.uniprot.org/uniprot/M5WG30","M5WG30")</f>
        <v>M5WG30</v>
      </c>
      <c r="D4834" s="2" t="s">
        <v>4485</v>
      </c>
      <c r="E4834" s="3">
        <v>0</v>
      </c>
      <c r="F4834" s="2">
        <v>1765</v>
      </c>
      <c r="G4834" s="2">
        <v>100</v>
      </c>
      <c r="H4834" s="2">
        <v>363</v>
      </c>
      <c r="I4834" s="2">
        <v>561</v>
      </c>
      <c r="J4834" s="2">
        <v>1649</v>
      </c>
      <c r="K4834" s="2">
        <v>1</v>
      </c>
      <c r="L4834" s="2">
        <v>363</v>
      </c>
    </row>
    <row r="4835" spans="1:12" x14ac:dyDescent="0.25">
      <c r="A4835" s="4" t="str">
        <f>HYPERLINK("http://www.rosaceae.org/Prunus/Prunus_persica/p.persica_gdr_reftransV1_0030267","p.persica_gdr_reftransV1_0030267")</f>
        <v>p.persica_gdr_reftransV1_0030267</v>
      </c>
      <c r="B4835" s="2">
        <v>1717</v>
      </c>
      <c r="C4835" s="4" t="str">
        <f>HYPERLINK("http://www.uniprot.org/uniprot/X2FZT8","X2FZT8")</f>
        <v>X2FZT8</v>
      </c>
      <c r="D4835" s="2" t="s">
        <v>4486</v>
      </c>
      <c r="E4835" s="3">
        <v>0</v>
      </c>
      <c r="F4835" s="2">
        <v>2362</v>
      </c>
      <c r="G4835" s="2">
        <v>99</v>
      </c>
      <c r="H4835" s="2">
        <v>491</v>
      </c>
      <c r="I4835" s="2">
        <v>120</v>
      </c>
      <c r="J4835" s="2">
        <v>1592</v>
      </c>
      <c r="K4835" s="2">
        <v>1</v>
      </c>
      <c r="L4835" s="2">
        <v>491</v>
      </c>
    </row>
    <row r="4836" spans="1:12" x14ac:dyDescent="0.25">
      <c r="A4836" s="4" t="str">
        <f>HYPERLINK("http://www.rosaceae.org/Prunus/Prunus_persica/p.persica_gdr_reftransV1_0031667","p.persica_gdr_reftransV1_0031667")</f>
        <v>p.persica_gdr_reftransV1_0031667</v>
      </c>
      <c r="B4836" s="2">
        <v>1308</v>
      </c>
      <c r="C4836" s="4" t="str">
        <f>HYPERLINK("http://www.uniprot.org/uniprot/M5W4F4","M5W4F4")</f>
        <v>M5W4F4</v>
      </c>
      <c r="D4836" s="2" t="s">
        <v>316</v>
      </c>
      <c r="E4836" s="3">
        <v>6.9899999999999999E-124</v>
      </c>
      <c r="F4836" s="2">
        <v>950</v>
      </c>
      <c r="G4836" s="2">
        <v>86</v>
      </c>
      <c r="H4836" s="2">
        <v>217</v>
      </c>
      <c r="I4836" s="2">
        <v>76</v>
      </c>
      <c r="J4836" s="2">
        <v>726</v>
      </c>
      <c r="K4836" s="2">
        <v>1</v>
      </c>
      <c r="L4836" s="2">
        <v>187</v>
      </c>
    </row>
    <row r="4837" spans="1:12" x14ac:dyDescent="0.25">
      <c r="A4837" s="4" t="str">
        <f>HYPERLINK("http://www.rosaceae.org/Prunus/Prunus_persica/p.persica_gdr_reftransV1_0033767","p.persica_gdr_reftransV1_0033767")</f>
        <v>p.persica_gdr_reftransV1_0033767</v>
      </c>
      <c r="B4837" s="2">
        <v>1819</v>
      </c>
      <c r="C4837" s="4" t="str">
        <f>HYPERLINK("http://www.uniprot.org/uniprot/A0A067EQN6","A0A067EQN6")</f>
        <v>A0A067EQN6</v>
      </c>
      <c r="D4837" s="2" t="s">
        <v>4487</v>
      </c>
      <c r="E4837" s="3">
        <v>1.7800000000000001E-143</v>
      </c>
      <c r="F4837" s="2">
        <v>843</v>
      </c>
      <c r="G4837" s="2">
        <v>90</v>
      </c>
      <c r="H4837" s="2">
        <v>189</v>
      </c>
      <c r="I4837" s="2">
        <v>754</v>
      </c>
      <c r="J4837" s="2">
        <v>1320</v>
      </c>
      <c r="K4837" s="2">
        <v>123</v>
      </c>
      <c r="L4837" s="2">
        <v>311</v>
      </c>
    </row>
    <row r="4838" spans="1:12" x14ac:dyDescent="0.25">
      <c r="A4838" s="4" t="str">
        <f>HYPERLINK("http://www.rosaceae.org/Prunus/Prunus_persica/p.persica_gdr_reftransV1_0036217","p.persica_gdr_reftransV1_0036217")</f>
        <v>p.persica_gdr_reftransV1_0036217</v>
      </c>
      <c r="B4838" s="2">
        <v>2045</v>
      </c>
      <c r="C4838" s="4" t="str">
        <f>HYPERLINK("http://www.uniprot.org/uniprot/M5W6C8","M5W6C8")</f>
        <v>M5W6C8</v>
      </c>
      <c r="D4838" s="2" t="s">
        <v>4488</v>
      </c>
      <c r="E4838" s="3">
        <v>0</v>
      </c>
      <c r="F4838" s="2">
        <v>2424</v>
      </c>
      <c r="G4838" s="2">
        <v>100</v>
      </c>
      <c r="H4838" s="2">
        <v>471</v>
      </c>
      <c r="I4838" s="2">
        <v>632</v>
      </c>
      <c r="J4838" s="2">
        <v>2044</v>
      </c>
      <c r="K4838" s="2">
        <v>191</v>
      </c>
      <c r="L4838" s="2">
        <v>661</v>
      </c>
    </row>
    <row r="4839" spans="1:12" x14ac:dyDescent="0.25">
      <c r="A4839" s="4" t="str">
        <f>HYPERLINK("http://www.rosaceae.org/Prunus/Prunus_persica/p.persica_gdr_reftransV1_0036567","p.persica_gdr_reftransV1_0036567")</f>
        <v>p.persica_gdr_reftransV1_0036567</v>
      </c>
      <c r="B4839" s="2">
        <v>4461</v>
      </c>
      <c r="C4839" s="4" t="str">
        <f>HYPERLINK("http://www.uniprot.org/uniprot/M5VPT3","M5VPT3")</f>
        <v>M5VPT3</v>
      </c>
      <c r="D4839" s="2" t="s">
        <v>4489</v>
      </c>
      <c r="E4839" s="3">
        <v>0</v>
      </c>
      <c r="F4839" s="2">
        <v>3723</v>
      </c>
      <c r="G4839" s="2">
        <v>100</v>
      </c>
      <c r="H4839" s="2">
        <v>716</v>
      </c>
      <c r="I4839" s="2">
        <v>1002</v>
      </c>
      <c r="J4839" s="2">
        <v>3149</v>
      </c>
      <c r="K4839" s="2">
        <v>1</v>
      </c>
      <c r="L4839" s="2">
        <v>716</v>
      </c>
    </row>
    <row r="4840" spans="1:12" x14ac:dyDescent="0.25">
      <c r="A4840" s="4" t="str">
        <f>HYPERLINK("http://www.rosaceae.org/Prunus/Prunus_persica/p.persica_gdr_reftransV1_0037267","p.persica_gdr_reftransV1_0037267")</f>
        <v>p.persica_gdr_reftransV1_0037267</v>
      </c>
      <c r="B4840" s="2">
        <v>3374</v>
      </c>
      <c r="C4840" s="4" t="str">
        <f>HYPERLINK("http://www.uniprot.org/uniprot/M5VU07","M5VU07")</f>
        <v>M5VU07</v>
      </c>
      <c r="D4840" s="2" t="s">
        <v>4490</v>
      </c>
      <c r="E4840" s="3">
        <v>3.5499999999999999E-169</v>
      </c>
      <c r="F4840" s="2">
        <v>1341</v>
      </c>
      <c r="G4840" s="2">
        <v>100</v>
      </c>
      <c r="H4840" s="2">
        <v>253</v>
      </c>
      <c r="I4840" s="2">
        <v>1584</v>
      </c>
      <c r="J4840" s="2">
        <v>2342</v>
      </c>
      <c r="K4840" s="2">
        <v>155</v>
      </c>
      <c r="L4840" s="2">
        <v>407</v>
      </c>
    </row>
    <row r="4841" spans="1:12" x14ac:dyDescent="0.25">
      <c r="A4841" s="4" t="str">
        <f>HYPERLINK("http://www.rosaceae.org/Prunus/Prunus_persica/p.persica_gdr_reftransV1_0038317","p.persica_gdr_reftransV1_0038317")</f>
        <v>p.persica_gdr_reftransV1_0038317</v>
      </c>
      <c r="B4841" s="2">
        <v>1336</v>
      </c>
      <c r="C4841" s="4" t="str">
        <f>HYPERLINK("http://www.uniprot.org/uniprot/M5XNM5","M5XNM5")</f>
        <v>M5XNM5</v>
      </c>
      <c r="D4841" s="2" t="s">
        <v>1119</v>
      </c>
      <c r="E4841" s="3">
        <v>0</v>
      </c>
      <c r="F4841" s="2">
        <v>2042</v>
      </c>
      <c r="G4841" s="2">
        <v>100</v>
      </c>
      <c r="H4841" s="2">
        <v>381</v>
      </c>
      <c r="I4841" s="2">
        <v>2</v>
      </c>
      <c r="J4841" s="2">
        <v>1144</v>
      </c>
      <c r="K4841" s="2">
        <v>355</v>
      </c>
      <c r="L4841" s="2">
        <v>735</v>
      </c>
    </row>
    <row r="4842" spans="1:12" x14ac:dyDescent="0.25">
      <c r="A4842" s="4" t="str">
        <f>HYPERLINK("http://www.rosaceae.org/Prunus/Prunus_persica/p.persica_gdr_reftransV1_0038667","p.persica_gdr_reftransV1_0038667")</f>
        <v>p.persica_gdr_reftransV1_0038667</v>
      </c>
      <c r="B4842" s="2">
        <v>1194</v>
      </c>
      <c r="C4842" s="4" t="str">
        <f>HYPERLINK("http://www.uniprot.org/uniprot/M5VNW5","M5VNW5")</f>
        <v>M5VNW5</v>
      </c>
      <c r="D4842" s="2" t="s">
        <v>4491</v>
      </c>
      <c r="E4842" s="3">
        <v>0</v>
      </c>
      <c r="F4842" s="2">
        <v>1470</v>
      </c>
      <c r="G4842" s="2">
        <v>100</v>
      </c>
      <c r="H4842" s="2">
        <v>293</v>
      </c>
      <c r="I4842" s="2">
        <v>315</v>
      </c>
      <c r="J4842" s="2">
        <v>1193</v>
      </c>
      <c r="K4842" s="2">
        <v>416</v>
      </c>
      <c r="L4842" s="2">
        <v>708</v>
      </c>
    </row>
    <row r="4843" spans="1:12" x14ac:dyDescent="0.25">
      <c r="A4843" s="4" t="str">
        <f>HYPERLINK("http://www.rosaceae.org/Prunus/Prunus_persica/p.persica_gdr_reftransV1_0039367","p.persica_gdr_reftransV1_0039367")</f>
        <v>p.persica_gdr_reftransV1_0039367</v>
      </c>
      <c r="B4843" s="2">
        <v>2053</v>
      </c>
      <c r="C4843" s="4" t="str">
        <f>HYPERLINK("http://www.uniprot.org/uniprot/M5XBQ7","M5XBQ7")</f>
        <v>M5XBQ7</v>
      </c>
      <c r="D4843" s="2" t="s">
        <v>4492</v>
      </c>
      <c r="E4843" s="3">
        <v>0</v>
      </c>
      <c r="F4843" s="2">
        <v>2484</v>
      </c>
      <c r="G4843" s="2">
        <v>100</v>
      </c>
      <c r="H4843" s="2">
        <v>492</v>
      </c>
      <c r="I4843" s="2">
        <v>267</v>
      </c>
      <c r="J4843" s="2">
        <v>1742</v>
      </c>
      <c r="K4843" s="2">
        <v>1</v>
      </c>
      <c r="L4843" s="2">
        <v>492</v>
      </c>
    </row>
    <row r="4844" spans="1:12" x14ac:dyDescent="0.25">
      <c r="A4844" s="4" t="str">
        <f>HYPERLINK("http://www.rosaceae.org/Prunus/Prunus_persica/p.persica_gdr_reftransV1_0039717","p.persica_gdr_reftransV1_0039717")</f>
        <v>p.persica_gdr_reftransV1_0039717</v>
      </c>
      <c r="B4844" s="2">
        <v>1273</v>
      </c>
      <c r="C4844" s="4" t="str">
        <f>HYPERLINK("http://www.uniprot.org/uniprot/M5VZ02","M5VZ02")</f>
        <v>M5VZ02</v>
      </c>
      <c r="D4844" s="2" t="s">
        <v>4493</v>
      </c>
      <c r="E4844" s="3">
        <v>5.5099999999999999E-149</v>
      </c>
      <c r="F4844" s="2">
        <v>1128</v>
      </c>
      <c r="G4844" s="2">
        <v>100</v>
      </c>
      <c r="H4844" s="2">
        <v>211</v>
      </c>
      <c r="I4844" s="2">
        <v>640</v>
      </c>
      <c r="J4844" s="2">
        <v>1272</v>
      </c>
      <c r="K4844" s="2">
        <v>37</v>
      </c>
      <c r="L4844" s="2">
        <v>247</v>
      </c>
    </row>
    <row r="4845" spans="1:12" x14ac:dyDescent="0.25">
      <c r="A4845" s="4" t="str">
        <f>HYPERLINK("http://www.rosaceae.org/Prunus/Prunus_persica/p.persica_gdr_reftransV1_0042517","p.persica_gdr_reftransV1_0042517")</f>
        <v>p.persica_gdr_reftransV1_0042517</v>
      </c>
      <c r="B4845" s="2">
        <v>898</v>
      </c>
      <c r="C4845" s="4" t="str">
        <f>HYPERLINK("http://www.uniprot.org/uniprot/M5VN13","M5VN13")</f>
        <v>M5VN13</v>
      </c>
      <c r="D4845" s="2" t="s">
        <v>4494</v>
      </c>
      <c r="E4845" s="3">
        <v>1.54E-65</v>
      </c>
      <c r="F4845" s="2">
        <v>541</v>
      </c>
      <c r="G4845" s="2">
        <v>100</v>
      </c>
      <c r="H4845" s="2">
        <v>102</v>
      </c>
      <c r="I4845" s="2">
        <v>526</v>
      </c>
      <c r="J4845" s="2">
        <v>831</v>
      </c>
      <c r="K4845" s="2">
        <v>1</v>
      </c>
      <c r="L4845" s="2">
        <v>102</v>
      </c>
    </row>
    <row r="4846" spans="1:12" x14ac:dyDescent="0.25">
      <c r="A4846" s="4" t="str">
        <f>HYPERLINK("http://www.rosaceae.org/Prunus/Prunus_persica/p.persica_gdr_reftransV1_0043217","p.persica_gdr_reftransV1_0043217")</f>
        <v>p.persica_gdr_reftransV1_0043217</v>
      </c>
      <c r="B4846" s="2">
        <v>2049</v>
      </c>
      <c r="C4846" s="4" t="str">
        <f>HYPERLINK("http://www.uniprot.org/uniprot/M5XEC1","M5XEC1")</f>
        <v>M5XEC1</v>
      </c>
      <c r="D4846" s="2" t="s">
        <v>4495</v>
      </c>
      <c r="E4846" s="3">
        <v>0</v>
      </c>
      <c r="F4846" s="2">
        <v>1780</v>
      </c>
      <c r="G4846" s="2">
        <v>100</v>
      </c>
      <c r="H4846" s="2">
        <v>449</v>
      </c>
      <c r="I4846" s="2">
        <v>415</v>
      </c>
      <c r="J4846" s="2">
        <v>1761</v>
      </c>
      <c r="K4846" s="2">
        <v>36</v>
      </c>
      <c r="L4846" s="2">
        <v>484</v>
      </c>
    </row>
    <row r="4847" spans="1:12" x14ac:dyDescent="0.25">
      <c r="A4847" s="4" t="str">
        <f>HYPERLINK("http://www.rosaceae.org/Prunus/Prunus_persica/p.persica_gdr_reftransV1_0043567","p.persica_gdr_reftransV1_0043567")</f>
        <v>p.persica_gdr_reftransV1_0043567</v>
      </c>
      <c r="B4847" s="2">
        <v>356</v>
      </c>
      <c r="C4847" s="4" t="str">
        <f>HYPERLINK("http://www.uniprot.org/uniprot/M5XMW3","M5XMW3")</f>
        <v>M5XMW3</v>
      </c>
      <c r="D4847" s="2" t="s">
        <v>4496</v>
      </c>
      <c r="E4847" s="3">
        <v>1.6400000000000001E-29</v>
      </c>
      <c r="F4847" s="2">
        <v>294</v>
      </c>
      <c r="G4847" s="2">
        <v>57</v>
      </c>
      <c r="H4847" s="2">
        <v>107</v>
      </c>
      <c r="I4847" s="2">
        <v>3</v>
      </c>
      <c r="J4847" s="2">
        <v>302</v>
      </c>
      <c r="K4847" s="2">
        <v>30</v>
      </c>
      <c r="L4847" s="2">
        <v>136</v>
      </c>
    </row>
    <row r="4848" spans="1:12" x14ac:dyDescent="0.25">
      <c r="A4848" s="4" t="str">
        <f>HYPERLINK("http://www.rosaceae.org/Prunus/Prunus_persica/p.persica_gdr_reftransV1_0043917","p.persica_gdr_reftransV1_0043917")</f>
        <v>p.persica_gdr_reftransV1_0043917</v>
      </c>
      <c r="B4848" s="2">
        <v>392</v>
      </c>
      <c r="C4848" s="4" t="str">
        <f>HYPERLINK("http://www.uniprot.org/uniprot/M5Y3C3","M5Y3C3")</f>
        <v>M5Y3C3</v>
      </c>
      <c r="D4848" s="2" t="s">
        <v>4497</v>
      </c>
      <c r="E4848" s="3">
        <v>3.3199999999999997E-89</v>
      </c>
      <c r="F4848" s="2">
        <v>706</v>
      </c>
      <c r="G4848" s="2">
        <v>100</v>
      </c>
      <c r="H4848" s="2">
        <v>130</v>
      </c>
      <c r="I4848" s="2">
        <v>2</v>
      </c>
      <c r="J4848" s="2">
        <v>391</v>
      </c>
      <c r="K4848" s="2">
        <v>62</v>
      </c>
      <c r="L4848" s="2">
        <v>191</v>
      </c>
    </row>
    <row r="4849" spans="1:12" x14ac:dyDescent="0.25">
      <c r="A4849" s="4" t="str">
        <f>HYPERLINK("http://www.rosaceae.org/Prunus/Prunus_persica/p.persica_gdr_reftransV1_0044267","p.persica_gdr_reftransV1_0044267")</f>
        <v>p.persica_gdr_reftransV1_0044267</v>
      </c>
      <c r="B4849" s="2">
        <v>402</v>
      </c>
      <c r="C4849" s="4" t="str">
        <f>HYPERLINK("http://www.uniprot.org/uniprot/A5BV54","A5BV54")</f>
        <v>A5BV54</v>
      </c>
      <c r="D4849" s="2" t="s">
        <v>4498</v>
      </c>
      <c r="E4849" s="3">
        <v>1.52E-8</v>
      </c>
      <c r="F4849" s="2">
        <v>142</v>
      </c>
      <c r="G4849" s="2">
        <v>44</v>
      </c>
      <c r="H4849" s="2">
        <v>98</v>
      </c>
      <c r="I4849" s="2">
        <v>6</v>
      </c>
      <c r="J4849" s="2">
        <v>290</v>
      </c>
      <c r="K4849" s="2">
        <v>26</v>
      </c>
      <c r="L4849" s="2">
        <v>113</v>
      </c>
    </row>
    <row r="4850" spans="1:12" x14ac:dyDescent="0.25">
      <c r="A4850" s="4" t="str">
        <f>HYPERLINK("http://www.rosaceae.org/Prunus/Prunus_persica/p.persica_gdr_reftransV1_0044617","p.persica_gdr_reftransV1_0044617")</f>
        <v>p.persica_gdr_reftransV1_0044617</v>
      </c>
      <c r="B4850" s="2">
        <v>2316</v>
      </c>
      <c r="C4850" s="4" t="str">
        <f>HYPERLINK("http://www.uniprot.org/uniprot/M5WIM5","M5WIM5")</f>
        <v>M5WIM5</v>
      </c>
      <c r="D4850" s="2" t="s">
        <v>4499</v>
      </c>
      <c r="E4850" s="3">
        <v>0</v>
      </c>
      <c r="F4850" s="2">
        <v>2628</v>
      </c>
      <c r="G4850" s="2">
        <v>93</v>
      </c>
      <c r="H4850" s="2">
        <v>590</v>
      </c>
      <c r="I4850" s="2">
        <v>193</v>
      </c>
      <c r="J4850" s="2">
        <v>1962</v>
      </c>
      <c r="K4850" s="2">
        <v>1</v>
      </c>
      <c r="L4850" s="2">
        <v>555</v>
      </c>
    </row>
    <row r="4851" spans="1:12" x14ac:dyDescent="0.25">
      <c r="A4851" s="4" t="str">
        <f>HYPERLINK("http://www.rosaceae.org/Prunus/Prunus_persica/p.persica_gdr_reftransV1_0044967","p.persica_gdr_reftransV1_0044967")</f>
        <v>p.persica_gdr_reftransV1_0044967</v>
      </c>
      <c r="B4851" s="2">
        <v>1199</v>
      </c>
      <c r="C4851" s="4" t="str">
        <f>HYPERLINK("http://www.uniprot.org/uniprot/M5WDC1","M5WDC1")</f>
        <v>M5WDC1</v>
      </c>
      <c r="D4851" s="2" t="s">
        <v>4500</v>
      </c>
      <c r="E4851" s="3">
        <v>6.2700000000000002E-176</v>
      </c>
      <c r="F4851" s="2">
        <v>1297</v>
      </c>
      <c r="G4851" s="2">
        <v>100</v>
      </c>
      <c r="H4851" s="2">
        <v>279</v>
      </c>
      <c r="I4851" s="2">
        <v>125</v>
      </c>
      <c r="J4851" s="2">
        <v>961</v>
      </c>
      <c r="K4851" s="2">
        <v>1</v>
      </c>
      <c r="L4851" s="2">
        <v>279</v>
      </c>
    </row>
    <row r="4852" spans="1:12" x14ac:dyDescent="0.25">
      <c r="A4852" s="4" t="str">
        <f>HYPERLINK("http://www.rosaceae.org/Prunus/Prunus_persica/p.persica_gdr_reftransV1_0045317","p.persica_gdr_reftransV1_0045317")</f>
        <v>p.persica_gdr_reftransV1_0045317</v>
      </c>
      <c r="B4852" s="2">
        <v>1044</v>
      </c>
      <c r="C4852" s="4" t="str">
        <f>HYPERLINK("http://www.uniprot.org/uniprot/M5W064","M5W064")</f>
        <v>M5W064</v>
      </c>
      <c r="D4852" s="2" t="s">
        <v>4501</v>
      </c>
      <c r="E4852" s="3">
        <v>6.8499999999999997E-163</v>
      </c>
      <c r="F4852" s="2">
        <v>1228</v>
      </c>
      <c r="G4852" s="2">
        <v>100</v>
      </c>
      <c r="H4852" s="2">
        <v>243</v>
      </c>
      <c r="I4852" s="2">
        <v>2</v>
      </c>
      <c r="J4852" s="2">
        <v>730</v>
      </c>
      <c r="K4852" s="2">
        <v>269</v>
      </c>
      <c r="L4852" s="2">
        <v>511</v>
      </c>
    </row>
    <row r="4853" spans="1:12" x14ac:dyDescent="0.25">
      <c r="A4853" s="4" t="str">
        <f>HYPERLINK("http://www.rosaceae.org/Prunus/Prunus_persica/p.persica_gdr_reftransV1_0046017","p.persica_gdr_reftransV1_0046017")</f>
        <v>p.persica_gdr_reftransV1_0046017</v>
      </c>
      <c r="B4853" s="2">
        <v>1127</v>
      </c>
      <c r="C4853" s="4" t="str">
        <f>HYPERLINK("http://www.uniprot.org/uniprot/M5X0Q8","M5X0Q8")</f>
        <v>M5X0Q8</v>
      </c>
      <c r="D4853" s="2" t="s">
        <v>842</v>
      </c>
      <c r="E4853" s="3">
        <v>3.05E-76</v>
      </c>
      <c r="F4853" s="2">
        <v>543</v>
      </c>
      <c r="G4853" s="2">
        <v>100</v>
      </c>
      <c r="H4853" s="2">
        <v>131</v>
      </c>
      <c r="I4853" s="2">
        <v>225</v>
      </c>
      <c r="J4853" s="2">
        <v>617</v>
      </c>
      <c r="K4853" s="2">
        <v>253</v>
      </c>
      <c r="L4853" s="2">
        <v>383</v>
      </c>
    </row>
    <row r="4854" spans="1:12" x14ac:dyDescent="0.25">
      <c r="A4854" s="4" t="str">
        <f>HYPERLINK("http://www.rosaceae.org/Prunus/Prunus_persica/p.persica_gdr_reftransV1_0046367","p.persica_gdr_reftransV1_0046367")</f>
        <v>p.persica_gdr_reftransV1_0046367</v>
      </c>
      <c r="B4854" s="2">
        <v>2471</v>
      </c>
      <c r="C4854" s="4" t="str">
        <f>HYPERLINK("http://www.uniprot.org/uniprot/M5XM62","M5XM62")</f>
        <v>M5XM62</v>
      </c>
      <c r="D4854" s="2" t="s">
        <v>4502</v>
      </c>
      <c r="E4854" s="3">
        <v>0</v>
      </c>
      <c r="F4854" s="2">
        <v>3295</v>
      </c>
      <c r="G4854" s="2">
        <v>100</v>
      </c>
      <c r="H4854" s="2">
        <v>646</v>
      </c>
      <c r="I4854" s="2">
        <v>456</v>
      </c>
      <c r="J4854" s="2">
        <v>2393</v>
      </c>
      <c r="K4854" s="2">
        <v>1</v>
      </c>
      <c r="L4854" s="2">
        <v>646</v>
      </c>
    </row>
    <row r="4855" spans="1:12" x14ac:dyDescent="0.25">
      <c r="A4855" s="4" t="str">
        <f>HYPERLINK("http://www.rosaceae.org/Prunus/Prunus_persica/p.persica_gdr_reftransV1_0046717","p.persica_gdr_reftransV1_0046717")</f>
        <v>p.persica_gdr_reftransV1_0046717</v>
      </c>
      <c r="B4855" s="2">
        <v>1508</v>
      </c>
      <c r="C4855" s="4" t="str">
        <f>HYPERLINK("http://www.uniprot.org/uniprot/M5VYV2","M5VYV2")</f>
        <v>M5VYV2</v>
      </c>
      <c r="D4855" s="2" t="s">
        <v>4503</v>
      </c>
      <c r="E4855" s="3">
        <v>0</v>
      </c>
      <c r="F4855" s="2">
        <v>1613</v>
      </c>
      <c r="G4855" s="2">
        <v>96</v>
      </c>
      <c r="H4855" s="2">
        <v>360</v>
      </c>
      <c r="I4855" s="2">
        <v>144</v>
      </c>
      <c r="J4855" s="2">
        <v>1223</v>
      </c>
      <c r="K4855" s="2">
        <v>1</v>
      </c>
      <c r="L4855" s="2">
        <v>356</v>
      </c>
    </row>
    <row r="4856" spans="1:12" x14ac:dyDescent="0.25">
      <c r="A4856" s="4" t="str">
        <f>HYPERLINK("http://www.rosaceae.org/Prunus/Prunus_persica/p.persica_gdr_reftransV1_0047067","p.persica_gdr_reftransV1_0047067")</f>
        <v>p.persica_gdr_reftransV1_0047067</v>
      </c>
      <c r="B4856" s="2">
        <v>318</v>
      </c>
      <c r="C4856" s="4" t="str">
        <f>HYPERLINK("http://www.uniprot.org/uniprot/M5WE24","M5WE24")</f>
        <v>M5WE24</v>
      </c>
      <c r="D4856" s="2" t="s">
        <v>1890</v>
      </c>
      <c r="E4856" s="3">
        <v>5.8599999999999997E-52</v>
      </c>
      <c r="F4856" s="2">
        <v>472</v>
      </c>
      <c r="G4856" s="2">
        <v>100</v>
      </c>
      <c r="H4856" s="2">
        <v>105</v>
      </c>
      <c r="I4856" s="2">
        <v>2</v>
      </c>
      <c r="J4856" s="2">
        <v>316</v>
      </c>
      <c r="K4856" s="2">
        <v>544</v>
      </c>
      <c r="L4856" s="2">
        <v>648</v>
      </c>
    </row>
    <row r="4857" spans="1:12" x14ac:dyDescent="0.25">
      <c r="A4857" s="4" t="str">
        <f>HYPERLINK("http://www.rosaceae.org/Prunus/Prunus_persica/p.persica_gdr_reftransV1_0047417","p.persica_gdr_reftransV1_0047417")</f>
        <v>p.persica_gdr_reftransV1_0047417</v>
      </c>
      <c r="B4857" s="2">
        <v>927</v>
      </c>
      <c r="C4857" s="4" t="str">
        <f>HYPERLINK("http://www.uniprot.org/uniprot/M5X8J8","M5X8J8")</f>
        <v>M5X8J8</v>
      </c>
      <c r="D4857" s="2" t="s">
        <v>3167</v>
      </c>
      <c r="E4857" s="3">
        <v>2.6399999999999999E-49</v>
      </c>
      <c r="F4857" s="2">
        <v>473</v>
      </c>
      <c r="G4857" s="2">
        <v>100</v>
      </c>
      <c r="H4857" s="2">
        <v>127</v>
      </c>
      <c r="I4857" s="2">
        <v>3</v>
      </c>
      <c r="J4857" s="2">
        <v>383</v>
      </c>
      <c r="K4857" s="2">
        <v>39</v>
      </c>
      <c r="L4857" s="2">
        <v>165</v>
      </c>
    </row>
    <row r="4858" spans="1:12" x14ac:dyDescent="0.25">
      <c r="A4858" s="4" t="str">
        <f>HYPERLINK("http://www.rosaceae.org/Prunus/Prunus_persica/p.persica_gdr_reftransV1_0047767","p.persica_gdr_reftransV1_0047767")</f>
        <v>p.persica_gdr_reftransV1_0047767</v>
      </c>
      <c r="B4858" s="2">
        <v>1211</v>
      </c>
      <c r="C4858" s="4" t="str">
        <f>HYPERLINK("http://www.uniprot.org/uniprot/M5WUC7","M5WUC7")</f>
        <v>M5WUC7</v>
      </c>
      <c r="D4858" s="2" t="s">
        <v>271</v>
      </c>
      <c r="E4858" s="3">
        <v>0</v>
      </c>
      <c r="F4858" s="2">
        <v>1573</v>
      </c>
      <c r="G4858" s="2">
        <v>100</v>
      </c>
      <c r="H4858" s="2">
        <v>338</v>
      </c>
      <c r="I4858" s="2">
        <v>197</v>
      </c>
      <c r="J4858" s="2">
        <v>1210</v>
      </c>
      <c r="K4858" s="2">
        <v>1</v>
      </c>
      <c r="L4858" s="2">
        <v>338</v>
      </c>
    </row>
    <row r="4859" spans="1:12" x14ac:dyDescent="0.25">
      <c r="A4859" s="4" t="str">
        <f>HYPERLINK("http://www.rosaceae.org/Prunus/Prunus_persica/p.persica_gdr_reftransV1_0048117","p.persica_gdr_reftransV1_0048117")</f>
        <v>p.persica_gdr_reftransV1_0048117</v>
      </c>
      <c r="B4859" s="2">
        <v>444</v>
      </c>
      <c r="C4859" s="4" t="str">
        <f>HYPERLINK("http://www.uniprot.org/uniprot/M5X7W2","M5X7W2")</f>
        <v>M5X7W2</v>
      </c>
      <c r="D4859" s="2" t="s">
        <v>4504</v>
      </c>
      <c r="E4859" s="3">
        <v>1.5099999999999999E-100</v>
      </c>
      <c r="F4859" s="2">
        <v>794</v>
      </c>
      <c r="G4859" s="2">
        <v>100</v>
      </c>
      <c r="H4859" s="2">
        <v>147</v>
      </c>
      <c r="I4859" s="2">
        <v>2</v>
      </c>
      <c r="J4859" s="2">
        <v>442</v>
      </c>
      <c r="K4859" s="2">
        <v>72</v>
      </c>
      <c r="L4859" s="2">
        <v>218</v>
      </c>
    </row>
    <row r="4860" spans="1:12" x14ac:dyDescent="0.25">
      <c r="A4860" s="4" t="str">
        <f>HYPERLINK("http://www.rosaceae.org/Prunus/Prunus_persica/p.persica_gdr_reftransV1_0048467","p.persica_gdr_reftransV1_0048467")</f>
        <v>p.persica_gdr_reftransV1_0048467</v>
      </c>
      <c r="B4860" s="2">
        <v>1855</v>
      </c>
      <c r="C4860" s="4" t="str">
        <f>HYPERLINK("http://www.uniprot.org/uniprot/M5WZ53","M5WZ53")</f>
        <v>M5WZ53</v>
      </c>
      <c r="D4860" s="2" t="s">
        <v>4505</v>
      </c>
      <c r="E4860" s="3">
        <v>0</v>
      </c>
      <c r="F4860" s="2">
        <v>1943</v>
      </c>
      <c r="G4860" s="2">
        <v>100</v>
      </c>
      <c r="H4860" s="2">
        <v>403</v>
      </c>
      <c r="I4860" s="2">
        <v>400</v>
      </c>
      <c r="J4860" s="2">
        <v>1608</v>
      </c>
      <c r="K4860" s="2">
        <v>1</v>
      </c>
      <c r="L4860" s="2">
        <v>403</v>
      </c>
    </row>
    <row r="4861" spans="1:12" x14ac:dyDescent="0.25">
      <c r="A4861" s="4" t="str">
        <f>HYPERLINK("http://www.rosaceae.org/Prunus/Prunus_persica/p.persica_gdr_reftransV1_0048817","p.persica_gdr_reftransV1_0048817")</f>
        <v>p.persica_gdr_reftransV1_0048817</v>
      </c>
      <c r="B4861" s="2">
        <v>1489</v>
      </c>
      <c r="C4861" s="4" t="str">
        <f>HYPERLINK("http://www.uniprot.org/uniprot/M5VRU8","M5VRU8")</f>
        <v>M5VRU8</v>
      </c>
      <c r="D4861" s="2" t="s">
        <v>4195</v>
      </c>
      <c r="E4861" s="3">
        <v>1.3500000000000001E-22</v>
      </c>
      <c r="F4861" s="2">
        <v>251</v>
      </c>
      <c r="G4861" s="2">
        <v>74</v>
      </c>
      <c r="H4861" s="2">
        <v>72</v>
      </c>
      <c r="I4861" s="2">
        <v>833</v>
      </c>
      <c r="J4861" s="2">
        <v>1045</v>
      </c>
      <c r="K4861" s="2">
        <v>1</v>
      </c>
      <c r="L4861" s="2">
        <v>72</v>
      </c>
    </row>
    <row r="4862" spans="1:12" x14ac:dyDescent="0.25">
      <c r="A4862" s="4" t="str">
        <f>HYPERLINK("http://www.rosaceae.org/Prunus/Prunus_persica/p.persica_gdr_reftransV1_0049167","p.persica_gdr_reftransV1_0049167")</f>
        <v>p.persica_gdr_reftransV1_0049167</v>
      </c>
      <c r="B4862" s="2">
        <v>1267</v>
      </c>
      <c r="C4862" s="4" t="str">
        <f>HYPERLINK("http://www.uniprot.org/uniprot/M5WTI6","M5WTI6")</f>
        <v>M5WTI6</v>
      </c>
      <c r="D4862" s="2" t="s">
        <v>3647</v>
      </c>
      <c r="E4862" s="3">
        <v>2.36E-120</v>
      </c>
      <c r="F4862" s="2">
        <v>932</v>
      </c>
      <c r="G4862" s="2">
        <v>99</v>
      </c>
      <c r="H4862" s="2">
        <v>275</v>
      </c>
      <c r="I4862" s="2">
        <v>218</v>
      </c>
      <c r="J4862" s="2">
        <v>1042</v>
      </c>
      <c r="K4862" s="2">
        <v>1</v>
      </c>
      <c r="L4862" s="2">
        <v>275</v>
      </c>
    </row>
    <row r="4863" spans="1:12" x14ac:dyDescent="0.25">
      <c r="A4863" s="4" t="str">
        <f>HYPERLINK("http://www.rosaceae.org/Prunus/Prunus_persica/p.persica_gdr_reftransV1_0000518","p.persica_gdr_reftransV1_0000518")</f>
        <v>p.persica_gdr_reftransV1_0000518</v>
      </c>
      <c r="B4863" s="2">
        <v>590</v>
      </c>
      <c r="C4863" s="4" t="str">
        <f>HYPERLINK("http://www.uniprot.org/uniprot/M5XBJ3","M5XBJ3")</f>
        <v>M5XBJ3</v>
      </c>
      <c r="D4863" s="2" t="s">
        <v>4506</v>
      </c>
      <c r="E4863" s="3">
        <v>5.2200000000000004E-124</v>
      </c>
      <c r="F4863" s="2">
        <v>948</v>
      </c>
      <c r="G4863" s="2">
        <v>100</v>
      </c>
      <c r="H4863" s="2">
        <v>177</v>
      </c>
      <c r="I4863" s="2">
        <v>58</v>
      </c>
      <c r="J4863" s="2">
        <v>588</v>
      </c>
      <c r="K4863" s="2">
        <v>52</v>
      </c>
      <c r="L4863" s="2">
        <v>228</v>
      </c>
    </row>
    <row r="4864" spans="1:12" x14ac:dyDescent="0.25">
      <c r="A4864" s="4" t="str">
        <f>HYPERLINK("http://www.rosaceae.org/Prunus/Prunus_persica/p.persica_gdr_reftransV1_0001218","p.persica_gdr_reftransV1_0001218")</f>
        <v>p.persica_gdr_reftransV1_0001218</v>
      </c>
      <c r="B4864" s="2">
        <v>1053</v>
      </c>
      <c r="C4864" s="4" t="str">
        <f>HYPERLINK("http://www.uniprot.org/uniprot/M5X3J1","M5X3J1")</f>
        <v>M5X3J1</v>
      </c>
      <c r="D4864" s="2" t="s">
        <v>4507</v>
      </c>
      <c r="E4864" s="3">
        <v>3.1400000000000001E-20</v>
      </c>
      <c r="F4864" s="2">
        <v>245</v>
      </c>
      <c r="G4864" s="2">
        <v>49</v>
      </c>
      <c r="H4864" s="2">
        <v>125</v>
      </c>
      <c r="I4864" s="2">
        <v>190</v>
      </c>
      <c r="J4864" s="2">
        <v>420</v>
      </c>
      <c r="K4864" s="2">
        <v>165</v>
      </c>
      <c r="L4864" s="2">
        <v>288</v>
      </c>
    </row>
    <row r="4865" spans="1:12" x14ac:dyDescent="0.25">
      <c r="A4865" s="4" t="str">
        <f>HYPERLINK("http://www.rosaceae.org/Prunus/Prunus_persica/p.persica_gdr_reftransV1_0001568","p.persica_gdr_reftransV1_0001568")</f>
        <v>p.persica_gdr_reftransV1_0001568</v>
      </c>
      <c r="B4865" s="2">
        <v>1497</v>
      </c>
      <c r="C4865" s="4" t="str">
        <f>HYPERLINK("http://www.uniprot.org/uniprot/M5XRR4","M5XRR4")</f>
        <v>M5XRR4</v>
      </c>
      <c r="D4865" s="2" t="s">
        <v>4508</v>
      </c>
      <c r="E4865" s="3">
        <v>1.23E-171</v>
      </c>
      <c r="F4865" s="2">
        <v>1275</v>
      </c>
      <c r="G4865" s="2">
        <v>98</v>
      </c>
      <c r="H4865" s="2">
        <v>248</v>
      </c>
      <c r="I4865" s="2">
        <v>302</v>
      </c>
      <c r="J4865" s="2">
        <v>1045</v>
      </c>
      <c r="K4865" s="2">
        <v>1</v>
      </c>
      <c r="L4865" s="2">
        <v>242</v>
      </c>
    </row>
    <row r="4866" spans="1:12" x14ac:dyDescent="0.25">
      <c r="A4866" s="4" t="str">
        <f>HYPERLINK("http://www.rosaceae.org/Prunus/Prunus_persica/p.persica_gdr_reftransV1_0002618","p.persica_gdr_reftransV1_0002618")</f>
        <v>p.persica_gdr_reftransV1_0002618</v>
      </c>
      <c r="B4866" s="2">
        <v>663</v>
      </c>
      <c r="C4866" s="4" t="str">
        <f>HYPERLINK("http://www.uniprot.org/uniprot/M5WCW1","M5WCW1")</f>
        <v>M5WCW1</v>
      </c>
      <c r="D4866" s="2" t="s">
        <v>4509</v>
      </c>
      <c r="E4866" s="3">
        <v>2.6499999999999999E-73</v>
      </c>
      <c r="F4866" s="2">
        <v>637</v>
      </c>
      <c r="G4866" s="2">
        <v>100</v>
      </c>
      <c r="H4866" s="2">
        <v>156</v>
      </c>
      <c r="I4866" s="2">
        <v>1</v>
      </c>
      <c r="J4866" s="2">
        <v>468</v>
      </c>
      <c r="K4866" s="2">
        <v>1</v>
      </c>
      <c r="L4866" s="2">
        <v>156</v>
      </c>
    </row>
    <row r="4867" spans="1:12" x14ac:dyDescent="0.25">
      <c r="A4867" s="4" t="str">
        <f>HYPERLINK("http://www.rosaceae.org/Prunus/Prunus_persica/p.persica_gdr_reftransV1_0003668","p.persica_gdr_reftransV1_0003668")</f>
        <v>p.persica_gdr_reftransV1_0003668</v>
      </c>
      <c r="B4867" s="2">
        <v>4329</v>
      </c>
      <c r="C4867" s="4" t="str">
        <f>HYPERLINK("http://www.uniprot.org/uniprot/M5XRR2","M5XRR2")</f>
        <v>M5XRR2</v>
      </c>
      <c r="D4867" s="2" t="s">
        <v>4510</v>
      </c>
      <c r="E4867" s="3">
        <v>0</v>
      </c>
      <c r="F4867" s="2">
        <v>5210</v>
      </c>
      <c r="G4867" s="2">
        <v>100</v>
      </c>
      <c r="H4867" s="2">
        <v>1028</v>
      </c>
      <c r="I4867" s="2">
        <v>775</v>
      </c>
      <c r="J4867" s="2">
        <v>3858</v>
      </c>
      <c r="K4867" s="2">
        <v>2</v>
      </c>
      <c r="L4867" s="2">
        <v>1029</v>
      </c>
    </row>
    <row r="4868" spans="1:12" x14ac:dyDescent="0.25">
      <c r="A4868" s="4" t="str">
        <f>HYPERLINK("http://www.rosaceae.org/Prunus/Prunus_persica/p.persica_gdr_reftransV1_0004018","p.persica_gdr_reftransV1_0004018")</f>
        <v>p.persica_gdr_reftransV1_0004018</v>
      </c>
      <c r="B4868" s="2">
        <v>1394</v>
      </c>
      <c r="C4868" s="4" t="str">
        <f>HYPERLINK("http://www.uniprot.org/uniprot/M5X4I9","M5X4I9")</f>
        <v>M5X4I9</v>
      </c>
      <c r="D4868" s="2" t="s">
        <v>3341</v>
      </c>
      <c r="E4868" s="3">
        <v>0</v>
      </c>
      <c r="F4868" s="2">
        <v>1769</v>
      </c>
      <c r="G4868" s="2">
        <v>92</v>
      </c>
      <c r="H4868" s="2">
        <v>384</v>
      </c>
      <c r="I4868" s="2">
        <v>244</v>
      </c>
      <c r="J4868" s="2">
        <v>1392</v>
      </c>
      <c r="K4868" s="2">
        <v>1</v>
      </c>
      <c r="L4868" s="2">
        <v>384</v>
      </c>
    </row>
    <row r="4869" spans="1:12" x14ac:dyDescent="0.25">
      <c r="A4869" s="4" t="str">
        <f>HYPERLINK("http://www.rosaceae.org/Prunus/Prunus_persica/p.persica_gdr_reftransV1_0004368","p.persica_gdr_reftransV1_0004368")</f>
        <v>p.persica_gdr_reftransV1_0004368</v>
      </c>
      <c r="B4869" s="2">
        <v>736</v>
      </c>
      <c r="C4869" s="4" t="str">
        <f>HYPERLINK("http://www.uniprot.org/uniprot/M5XL54","M5XL54")</f>
        <v>M5XL54</v>
      </c>
      <c r="D4869" s="2" t="s">
        <v>4511</v>
      </c>
      <c r="E4869" s="3">
        <v>2.38E-33</v>
      </c>
      <c r="F4869" s="2">
        <v>322</v>
      </c>
      <c r="G4869" s="2">
        <v>92</v>
      </c>
      <c r="H4869" s="2">
        <v>86</v>
      </c>
      <c r="I4869" s="2">
        <v>289</v>
      </c>
      <c r="J4869" s="2">
        <v>546</v>
      </c>
      <c r="K4869" s="2">
        <v>54</v>
      </c>
      <c r="L4869" s="2">
        <v>139</v>
      </c>
    </row>
    <row r="4870" spans="1:12" x14ac:dyDescent="0.25">
      <c r="A4870" s="4" t="str">
        <f>HYPERLINK("http://www.rosaceae.org/Prunus/Prunus_persica/p.persica_gdr_reftransV1_0004718","p.persica_gdr_reftransV1_0004718")</f>
        <v>p.persica_gdr_reftransV1_0004718</v>
      </c>
      <c r="B4870" s="2">
        <v>1879</v>
      </c>
      <c r="C4870" s="4" t="str">
        <f>HYPERLINK("http://www.uniprot.org/uniprot/M5XP99","M5XP99")</f>
        <v>M5XP99</v>
      </c>
      <c r="D4870" s="2" t="s">
        <v>4208</v>
      </c>
      <c r="E4870" s="3">
        <v>0</v>
      </c>
      <c r="F4870" s="2">
        <v>1974</v>
      </c>
      <c r="G4870" s="2">
        <v>97</v>
      </c>
      <c r="H4870" s="2">
        <v>381</v>
      </c>
      <c r="I4870" s="2">
        <v>181</v>
      </c>
      <c r="J4870" s="2">
        <v>1317</v>
      </c>
      <c r="K4870" s="2">
        <v>1</v>
      </c>
      <c r="L4870" s="2">
        <v>381</v>
      </c>
    </row>
    <row r="4871" spans="1:12" x14ac:dyDescent="0.25">
      <c r="A4871" s="4" t="str">
        <f>HYPERLINK("http://www.rosaceae.org/Prunus/Prunus_persica/p.persica_gdr_reftransV1_0005068","p.persica_gdr_reftransV1_0005068")</f>
        <v>p.persica_gdr_reftransV1_0005068</v>
      </c>
      <c r="B4871" s="2">
        <v>2814</v>
      </c>
      <c r="C4871" s="4" t="str">
        <f>HYPERLINK("http://www.uniprot.org/uniprot/M5WAK6","M5WAK6")</f>
        <v>M5WAK6</v>
      </c>
      <c r="D4871" s="2" t="s">
        <v>3267</v>
      </c>
      <c r="E4871" s="3">
        <v>0</v>
      </c>
      <c r="F4871" s="2">
        <v>2172</v>
      </c>
      <c r="G4871" s="2">
        <v>100</v>
      </c>
      <c r="H4871" s="2">
        <v>422</v>
      </c>
      <c r="I4871" s="2">
        <v>1246</v>
      </c>
      <c r="J4871" s="2">
        <v>2511</v>
      </c>
      <c r="K4871" s="2">
        <v>19</v>
      </c>
      <c r="L4871" s="2">
        <v>440</v>
      </c>
    </row>
    <row r="4872" spans="1:12" x14ac:dyDescent="0.25">
      <c r="A4872" s="4" t="str">
        <f>HYPERLINK("http://www.rosaceae.org/Prunus/Prunus_persica/p.persica_gdr_reftransV1_0005418","p.persica_gdr_reftransV1_0005418")</f>
        <v>p.persica_gdr_reftransV1_0005418</v>
      </c>
      <c r="B4872" s="2">
        <v>563</v>
      </c>
      <c r="C4872" s="4" t="str">
        <f>HYPERLINK("http://www.uniprot.org/uniprot/A0A0B2SCQ2","A0A0B2SCQ2")</f>
        <v>A0A0B2SCQ2</v>
      </c>
      <c r="D4872" s="2" t="s">
        <v>4512</v>
      </c>
      <c r="E4872" s="3">
        <v>7.5999999999999999E-38</v>
      </c>
      <c r="F4872" s="2">
        <v>365</v>
      </c>
      <c r="G4872" s="2">
        <v>42</v>
      </c>
      <c r="H4872" s="2">
        <v>186</v>
      </c>
      <c r="I4872" s="2">
        <v>2</v>
      </c>
      <c r="J4872" s="2">
        <v>556</v>
      </c>
      <c r="K4872" s="2">
        <v>226</v>
      </c>
      <c r="L4872" s="2">
        <v>408</v>
      </c>
    </row>
    <row r="4873" spans="1:12" x14ac:dyDescent="0.25">
      <c r="A4873" s="4" t="str">
        <f>HYPERLINK("http://www.rosaceae.org/Prunus/Prunus_persica/p.persica_gdr_reftransV1_0005768","p.persica_gdr_reftransV1_0005768")</f>
        <v>p.persica_gdr_reftransV1_0005768</v>
      </c>
      <c r="B4873" s="2">
        <v>659</v>
      </c>
      <c r="C4873" s="4" t="str">
        <f>HYPERLINK("http://www.uniprot.org/uniprot/M5XKN0","M5XKN0")</f>
        <v>M5XKN0</v>
      </c>
      <c r="D4873" s="2" t="s">
        <v>4513</v>
      </c>
      <c r="E4873" s="3">
        <v>2.7E-77</v>
      </c>
      <c r="F4873" s="2">
        <v>611</v>
      </c>
      <c r="G4873" s="2">
        <v>99</v>
      </c>
      <c r="H4873" s="2">
        <v>116</v>
      </c>
      <c r="I4873" s="2">
        <v>223</v>
      </c>
      <c r="J4873" s="2">
        <v>570</v>
      </c>
      <c r="K4873" s="2">
        <v>9</v>
      </c>
      <c r="L4873" s="2">
        <v>124</v>
      </c>
    </row>
    <row r="4874" spans="1:12" x14ac:dyDescent="0.25">
      <c r="A4874" s="4" t="str">
        <f>HYPERLINK("http://www.rosaceae.org/Prunus/Prunus_persica/p.persica_gdr_reftransV1_0006118","p.persica_gdr_reftransV1_0006118")</f>
        <v>p.persica_gdr_reftransV1_0006118</v>
      </c>
      <c r="B4874" s="2">
        <v>1950</v>
      </c>
      <c r="C4874" s="4" t="str">
        <f>HYPERLINK("http://www.uniprot.org/uniprot/M5W8J9","M5W8J9")</f>
        <v>M5W8J9</v>
      </c>
      <c r="D4874" s="2" t="s">
        <v>4514</v>
      </c>
      <c r="E4874" s="3">
        <v>0</v>
      </c>
      <c r="F4874" s="2">
        <v>2401</v>
      </c>
      <c r="G4874" s="2">
        <v>100</v>
      </c>
      <c r="H4874" s="2">
        <v>504</v>
      </c>
      <c r="I4874" s="2">
        <v>308</v>
      </c>
      <c r="J4874" s="2">
        <v>1819</v>
      </c>
      <c r="K4874" s="2">
        <v>1</v>
      </c>
      <c r="L4874" s="2">
        <v>504</v>
      </c>
    </row>
    <row r="4875" spans="1:12" x14ac:dyDescent="0.25">
      <c r="A4875" s="4" t="str">
        <f>HYPERLINK("http://www.rosaceae.org/Prunus/Prunus_persica/p.persica_gdr_reftransV1_0006468","p.persica_gdr_reftransV1_0006468")</f>
        <v>p.persica_gdr_reftransV1_0006468</v>
      </c>
      <c r="B4875" s="2">
        <v>1395</v>
      </c>
      <c r="C4875" s="4" t="str">
        <f>HYPERLINK("http://www.uniprot.org/uniprot/M5X5U2","M5X5U2")</f>
        <v>M5X5U2</v>
      </c>
      <c r="D4875" s="2" t="s">
        <v>4515</v>
      </c>
      <c r="E4875" s="3">
        <v>0</v>
      </c>
      <c r="F4875" s="2">
        <v>1580</v>
      </c>
      <c r="G4875" s="2">
        <v>100</v>
      </c>
      <c r="H4875" s="2">
        <v>318</v>
      </c>
      <c r="I4875" s="2">
        <v>363</v>
      </c>
      <c r="J4875" s="2">
        <v>1316</v>
      </c>
      <c r="K4875" s="2">
        <v>1</v>
      </c>
      <c r="L4875" s="2">
        <v>318</v>
      </c>
    </row>
    <row r="4876" spans="1:12" x14ac:dyDescent="0.25">
      <c r="A4876" s="4" t="str">
        <f>HYPERLINK("http://www.rosaceae.org/Prunus/Prunus_persica/p.persica_gdr_reftransV1_0007168","p.persica_gdr_reftransV1_0007168")</f>
        <v>p.persica_gdr_reftransV1_0007168</v>
      </c>
      <c r="B4876" s="2">
        <v>998</v>
      </c>
      <c r="C4876" s="4" t="str">
        <f>HYPERLINK("http://www.uniprot.org/uniprot/M5W247","M5W247")</f>
        <v>M5W247</v>
      </c>
      <c r="D4876" s="2" t="s">
        <v>4516</v>
      </c>
      <c r="E4876" s="3">
        <v>1.86E-119</v>
      </c>
      <c r="F4876" s="2">
        <v>909</v>
      </c>
      <c r="G4876" s="2">
        <v>100</v>
      </c>
      <c r="H4876" s="2">
        <v>187</v>
      </c>
      <c r="I4876" s="2">
        <v>378</v>
      </c>
      <c r="J4876" s="2">
        <v>938</v>
      </c>
      <c r="K4876" s="2">
        <v>1</v>
      </c>
      <c r="L4876" s="2">
        <v>187</v>
      </c>
    </row>
    <row r="4877" spans="1:12" x14ac:dyDescent="0.25">
      <c r="A4877" s="4" t="str">
        <f>HYPERLINK("http://www.rosaceae.org/Prunus/Prunus_persica/p.persica_gdr_reftransV1_0007518","p.persica_gdr_reftransV1_0007518")</f>
        <v>p.persica_gdr_reftransV1_0007518</v>
      </c>
      <c r="B4877" s="2">
        <v>3485</v>
      </c>
      <c r="C4877" s="4" t="str">
        <f>HYPERLINK("http://www.uniprot.org/uniprot/M5WHJ6","M5WHJ6")</f>
        <v>M5WHJ6</v>
      </c>
      <c r="D4877" s="2" t="s">
        <v>4517</v>
      </c>
      <c r="E4877" s="3">
        <v>0</v>
      </c>
      <c r="F4877" s="2">
        <v>2559</v>
      </c>
      <c r="G4877" s="2">
        <v>98</v>
      </c>
      <c r="H4877" s="2">
        <v>486</v>
      </c>
      <c r="I4877" s="2">
        <v>440</v>
      </c>
      <c r="J4877" s="2">
        <v>1897</v>
      </c>
      <c r="K4877" s="2">
        <v>14</v>
      </c>
      <c r="L4877" s="2">
        <v>492</v>
      </c>
    </row>
    <row r="4878" spans="1:12" x14ac:dyDescent="0.25">
      <c r="A4878" s="4" t="str">
        <f>HYPERLINK("http://www.rosaceae.org/Prunus/Prunus_persica/p.persica_gdr_reftransV1_0007868","p.persica_gdr_reftransV1_0007868")</f>
        <v>p.persica_gdr_reftransV1_0007868</v>
      </c>
      <c r="B4878" s="2">
        <v>1595</v>
      </c>
      <c r="C4878" s="4" t="str">
        <f>HYPERLINK("http://www.uniprot.org/uniprot/M5XW71","M5XW71")</f>
        <v>M5XW71</v>
      </c>
      <c r="D4878" s="2" t="s">
        <v>4518</v>
      </c>
      <c r="E4878" s="3">
        <v>2.4100000000000002E-124</v>
      </c>
      <c r="F4878" s="2">
        <v>976</v>
      </c>
      <c r="G4878" s="2">
        <v>100</v>
      </c>
      <c r="H4878" s="2">
        <v>332</v>
      </c>
      <c r="I4878" s="2">
        <v>515</v>
      </c>
      <c r="J4878" s="2">
        <v>1510</v>
      </c>
      <c r="K4878" s="2">
        <v>1</v>
      </c>
      <c r="L4878" s="2">
        <v>332</v>
      </c>
    </row>
    <row r="4879" spans="1:12" x14ac:dyDescent="0.25">
      <c r="A4879" s="4" t="str">
        <f>HYPERLINK("http://www.rosaceae.org/Prunus/Prunus_persica/p.persica_gdr_reftransV1_0008218","p.persica_gdr_reftransV1_0008218")</f>
        <v>p.persica_gdr_reftransV1_0008218</v>
      </c>
      <c r="B4879" s="2">
        <v>1001</v>
      </c>
      <c r="C4879" s="4" t="str">
        <f>HYPERLINK("http://www.uniprot.org/uniprot/M5WB41","M5WB41")</f>
        <v>M5WB41</v>
      </c>
      <c r="D4879" s="2" t="s">
        <v>4519</v>
      </c>
      <c r="E4879" s="3">
        <v>5.5900000000000001E-82</v>
      </c>
      <c r="F4879" s="2">
        <v>655</v>
      </c>
      <c r="G4879" s="2">
        <v>100</v>
      </c>
      <c r="H4879" s="2">
        <v>141</v>
      </c>
      <c r="I4879" s="2">
        <v>271</v>
      </c>
      <c r="J4879" s="2">
        <v>693</v>
      </c>
      <c r="K4879" s="2">
        <v>1</v>
      </c>
      <c r="L4879" s="2">
        <v>141</v>
      </c>
    </row>
    <row r="4880" spans="1:12" x14ac:dyDescent="0.25">
      <c r="A4880" s="4" t="str">
        <f>HYPERLINK("http://www.rosaceae.org/Prunus/Prunus_persica/p.persica_gdr_reftransV1_0008568","p.persica_gdr_reftransV1_0008568")</f>
        <v>p.persica_gdr_reftransV1_0008568</v>
      </c>
      <c r="B4880" s="2">
        <v>1779</v>
      </c>
      <c r="C4880" s="4" t="str">
        <f>HYPERLINK("http://www.uniprot.org/uniprot/W9RC97","W9RC97")</f>
        <v>W9RC97</v>
      </c>
      <c r="D4880" s="2" t="s">
        <v>4520</v>
      </c>
      <c r="E4880" s="3">
        <v>4.1100000000000001E-169</v>
      </c>
      <c r="F4880" s="2">
        <v>1288</v>
      </c>
      <c r="G4880" s="2">
        <v>57</v>
      </c>
      <c r="H4880" s="2">
        <v>451</v>
      </c>
      <c r="I4880" s="2">
        <v>215</v>
      </c>
      <c r="J4880" s="2">
        <v>1540</v>
      </c>
      <c r="K4880" s="2">
        <v>1</v>
      </c>
      <c r="L4880" s="2">
        <v>437</v>
      </c>
    </row>
    <row r="4881" spans="1:12" x14ac:dyDescent="0.25">
      <c r="A4881" s="4" t="str">
        <f>HYPERLINK("http://www.rosaceae.org/Prunus/Prunus_persica/p.persica_gdr_reftransV1_0008918","p.persica_gdr_reftransV1_0008918")</f>
        <v>p.persica_gdr_reftransV1_0008918</v>
      </c>
      <c r="B4881" s="2">
        <v>3477</v>
      </c>
      <c r="C4881" s="4" t="str">
        <f>HYPERLINK("http://www.uniprot.org/uniprot/M5X8T4","M5X8T4")</f>
        <v>M5X8T4</v>
      </c>
      <c r="D4881" s="2" t="s">
        <v>3773</v>
      </c>
      <c r="E4881" s="3">
        <v>0</v>
      </c>
      <c r="F4881" s="2">
        <v>2182</v>
      </c>
      <c r="G4881" s="2">
        <v>98</v>
      </c>
      <c r="H4881" s="2">
        <v>433</v>
      </c>
      <c r="I4881" s="2">
        <v>530</v>
      </c>
      <c r="J4881" s="2">
        <v>1828</v>
      </c>
      <c r="K4881" s="2">
        <v>279</v>
      </c>
      <c r="L4881" s="2">
        <v>711</v>
      </c>
    </row>
    <row r="4882" spans="1:12" x14ac:dyDescent="0.25">
      <c r="A4882" s="4" t="str">
        <f>HYPERLINK("http://www.rosaceae.org/Prunus/Prunus_persica/p.persica_gdr_reftransV1_0009268","p.persica_gdr_reftransV1_0009268")</f>
        <v>p.persica_gdr_reftransV1_0009268</v>
      </c>
      <c r="B4882" s="2">
        <v>3547</v>
      </c>
      <c r="C4882" s="4" t="str">
        <f>HYPERLINK("http://www.uniprot.org/uniprot/M5VXQ3","M5VXQ3")</f>
        <v>M5VXQ3</v>
      </c>
      <c r="D4882" s="2" t="s">
        <v>4521</v>
      </c>
      <c r="E4882" s="3">
        <v>0</v>
      </c>
      <c r="F4882" s="2">
        <v>4740</v>
      </c>
      <c r="G4882" s="2">
        <v>99</v>
      </c>
      <c r="H4882" s="2">
        <v>1040</v>
      </c>
      <c r="I4882" s="2">
        <v>414</v>
      </c>
      <c r="J4882" s="2">
        <v>3533</v>
      </c>
      <c r="K4882" s="2">
        <v>264</v>
      </c>
      <c r="L4882" s="2">
        <v>1295</v>
      </c>
    </row>
    <row r="4883" spans="1:12" x14ac:dyDescent="0.25">
      <c r="A4883" s="4" t="str">
        <f>HYPERLINK("http://www.rosaceae.org/Prunus/Prunus_persica/p.persica_gdr_reftransV1_0010318","p.persica_gdr_reftransV1_0010318")</f>
        <v>p.persica_gdr_reftransV1_0010318</v>
      </c>
      <c r="B4883" s="2">
        <v>2040</v>
      </c>
      <c r="C4883" s="4" t="str">
        <f>HYPERLINK("http://www.uniprot.org/uniprot/M5XQE8","M5XQE8")</f>
        <v>M5XQE8</v>
      </c>
      <c r="D4883" s="2" t="s">
        <v>4522</v>
      </c>
      <c r="E4883" s="3">
        <v>0</v>
      </c>
      <c r="F4883" s="2">
        <v>3011</v>
      </c>
      <c r="G4883" s="2">
        <v>100</v>
      </c>
      <c r="H4883" s="2">
        <v>585</v>
      </c>
      <c r="I4883" s="2">
        <v>13</v>
      </c>
      <c r="J4883" s="2">
        <v>1767</v>
      </c>
      <c r="K4883" s="2">
        <v>1</v>
      </c>
      <c r="L4883" s="2">
        <v>585</v>
      </c>
    </row>
    <row r="4884" spans="1:12" x14ac:dyDescent="0.25">
      <c r="A4884" s="4" t="str">
        <f>HYPERLINK("http://www.rosaceae.org/Prunus/Prunus_persica/p.persica_gdr_reftransV1_0010668","p.persica_gdr_reftransV1_0010668")</f>
        <v>p.persica_gdr_reftransV1_0010668</v>
      </c>
      <c r="B4884" s="2">
        <v>600</v>
      </c>
      <c r="C4884" s="4" t="str">
        <f>HYPERLINK("http://www.uniprot.org/uniprot/M5VVE9","M5VVE9")</f>
        <v>M5VVE9</v>
      </c>
      <c r="D4884" s="2" t="s">
        <v>1025</v>
      </c>
      <c r="E4884" s="3">
        <v>3.7E-141</v>
      </c>
      <c r="F4884" s="2">
        <v>1078</v>
      </c>
      <c r="G4884" s="2">
        <v>100</v>
      </c>
      <c r="H4884" s="2">
        <v>199</v>
      </c>
      <c r="I4884" s="2">
        <v>3</v>
      </c>
      <c r="J4884" s="2">
        <v>599</v>
      </c>
      <c r="K4884" s="2">
        <v>430</v>
      </c>
      <c r="L4884" s="2">
        <v>628</v>
      </c>
    </row>
    <row r="4885" spans="1:12" x14ac:dyDescent="0.25">
      <c r="A4885" s="4" t="str">
        <f>HYPERLINK("http://www.rosaceae.org/Prunus/Prunus_persica/p.persica_gdr_reftransV1_0011368","p.persica_gdr_reftransV1_0011368")</f>
        <v>p.persica_gdr_reftransV1_0011368</v>
      </c>
      <c r="B4885" s="2">
        <v>2580</v>
      </c>
      <c r="C4885" s="4" t="str">
        <f>HYPERLINK("http://www.uniprot.org/uniprot/M5W493","M5W493")</f>
        <v>M5W493</v>
      </c>
      <c r="D4885" s="2" t="s">
        <v>4523</v>
      </c>
      <c r="E4885" s="3">
        <v>0</v>
      </c>
      <c r="F4885" s="2">
        <v>2583</v>
      </c>
      <c r="G4885" s="2">
        <v>100</v>
      </c>
      <c r="H4885" s="2">
        <v>502</v>
      </c>
      <c r="I4885" s="2">
        <v>874</v>
      </c>
      <c r="J4885" s="2">
        <v>2379</v>
      </c>
      <c r="K4885" s="2">
        <v>1</v>
      </c>
      <c r="L4885" s="2">
        <v>502</v>
      </c>
    </row>
    <row r="4886" spans="1:12" x14ac:dyDescent="0.25">
      <c r="A4886" s="4" t="str">
        <f>HYPERLINK("http://www.rosaceae.org/Prunus/Prunus_persica/p.persica_gdr_reftransV1_0011718","p.persica_gdr_reftransV1_0011718")</f>
        <v>p.persica_gdr_reftransV1_0011718</v>
      </c>
      <c r="B4886" s="2">
        <v>2642</v>
      </c>
      <c r="C4886" s="4" t="str">
        <f>HYPERLINK("http://www.uniprot.org/uniprot/M5XPT7","M5XPT7")</f>
        <v>M5XPT7</v>
      </c>
      <c r="D4886" s="2" t="s">
        <v>4524</v>
      </c>
      <c r="E4886" s="3">
        <v>0</v>
      </c>
      <c r="F4886" s="2">
        <v>2492</v>
      </c>
      <c r="G4886" s="2">
        <v>100</v>
      </c>
      <c r="H4886" s="2">
        <v>485</v>
      </c>
      <c r="I4886" s="2">
        <v>490</v>
      </c>
      <c r="J4886" s="2">
        <v>1944</v>
      </c>
      <c r="K4886" s="2">
        <v>1</v>
      </c>
      <c r="L4886" s="2">
        <v>485</v>
      </c>
    </row>
    <row r="4887" spans="1:12" x14ac:dyDescent="0.25">
      <c r="A4887" s="4" t="str">
        <f>HYPERLINK("http://www.rosaceae.org/Prunus/Prunus_persica/p.persica_gdr_reftransV1_0013468","p.persica_gdr_reftransV1_0013468")</f>
        <v>p.persica_gdr_reftransV1_0013468</v>
      </c>
      <c r="B4887" s="2">
        <v>1323</v>
      </c>
      <c r="C4887" s="4" t="str">
        <f>HYPERLINK("http://www.uniprot.org/uniprot/M5X2G1","M5X2G1")</f>
        <v>M5X2G1</v>
      </c>
      <c r="D4887" s="2" t="s">
        <v>4525</v>
      </c>
      <c r="E4887" s="3">
        <v>0</v>
      </c>
      <c r="F4887" s="2">
        <v>1712</v>
      </c>
      <c r="G4887" s="2">
        <v>100</v>
      </c>
      <c r="H4887" s="2">
        <v>322</v>
      </c>
      <c r="I4887" s="2">
        <v>357</v>
      </c>
      <c r="J4887" s="2">
        <v>1322</v>
      </c>
      <c r="K4887" s="2">
        <v>775</v>
      </c>
      <c r="L4887" s="2">
        <v>1096</v>
      </c>
    </row>
    <row r="4888" spans="1:12" x14ac:dyDescent="0.25">
      <c r="A4888" s="4" t="str">
        <f>HYPERLINK("http://www.rosaceae.org/Prunus/Prunus_persica/p.persica_gdr_reftransV1_0014518","p.persica_gdr_reftransV1_0014518")</f>
        <v>p.persica_gdr_reftransV1_0014518</v>
      </c>
      <c r="B4888" s="2">
        <v>1462</v>
      </c>
      <c r="C4888" s="4" t="str">
        <f>HYPERLINK("http://www.uniprot.org/uniprot/M5WFW4","M5WFW4")</f>
        <v>M5WFW4</v>
      </c>
      <c r="D4888" s="2" t="s">
        <v>4526</v>
      </c>
      <c r="E4888" s="3">
        <v>0</v>
      </c>
      <c r="F4888" s="2">
        <v>1728</v>
      </c>
      <c r="G4888" s="2">
        <v>100</v>
      </c>
      <c r="H4888" s="2">
        <v>359</v>
      </c>
      <c r="I4888" s="2">
        <v>263</v>
      </c>
      <c r="J4888" s="2">
        <v>1339</v>
      </c>
      <c r="K4888" s="2">
        <v>1</v>
      </c>
      <c r="L4888" s="2">
        <v>359</v>
      </c>
    </row>
    <row r="4889" spans="1:12" x14ac:dyDescent="0.25">
      <c r="A4889" s="4" t="str">
        <f>HYPERLINK("http://www.rosaceae.org/Prunus/Prunus_persica/p.persica_gdr_reftransV1_0015568","p.persica_gdr_reftransV1_0015568")</f>
        <v>p.persica_gdr_reftransV1_0015568</v>
      </c>
      <c r="B4889" s="2">
        <v>2270</v>
      </c>
      <c r="C4889" s="4" t="str">
        <f>HYPERLINK("http://www.uniprot.org/uniprot/M4QNQ6","M4QNQ6")</f>
        <v>M4QNQ6</v>
      </c>
      <c r="D4889" s="2" t="s">
        <v>4527</v>
      </c>
      <c r="E4889" s="3">
        <v>3.62E-179</v>
      </c>
      <c r="F4889" s="2">
        <v>1370</v>
      </c>
      <c r="G4889" s="2">
        <v>99</v>
      </c>
      <c r="H4889" s="2">
        <v>283</v>
      </c>
      <c r="I4889" s="2">
        <v>1110</v>
      </c>
      <c r="J4889" s="2">
        <v>1958</v>
      </c>
      <c r="K4889" s="2">
        <v>1</v>
      </c>
      <c r="L4889" s="2">
        <v>283</v>
      </c>
    </row>
    <row r="4890" spans="1:12" x14ac:dyDescent="0.25">
      <c r="A4890" s="4" t="str">
        <f>HYPERLINK("http://www.rosaceae.org/Prunus/Prunus_persica/p.persica_gdr_reftransV1_0015918","p.persica_gdr_reftransV1_0015918")</f>
        <v>p.persica_gdr_reftransV1_0015918</v>
      </c>
      <c r="B4890" s="2">
        <v>1167</v>
      </c>
      <c r="C4890" s="4" t="str">
        <f>HYPERLINK("http://www.uniprot.org/uniprot/M5WHJ0","M5WHJ0")</f>
        <v>M5WHJ0</v>
      </c>
      <c r="D4890" s="2" t="s">
        <v>4528</v>
      </c>
      <c r="E4890" s="3">
        <v>2.78E-142</v>
      </c>
      <c r="F4890" s="2">
        <v>1098</v>
      </c>
      <c r="G4890" s="2">
        <v>100</v>
      </c>
      <c r="H4890" s="2">
        <v>215</v>
      </c>
      <c r="I4890" s="2">
        <v>134</v>
      </c>
      <c r="J4890" s="2">
        <v>778</v>
      </c>
      <c r="K4890" s="2">
        <v>321</v>
      </c>
      <c r="L4890" s="2">
        <v>535</v>
      </c>
    </row>
    <row r="4891" spans="1:12" x14ac:dyDescent="0.25">
      <c r="A4891" s="4" t="str">
        <f>HYPERLINK("http://www.rosaceae.org/Prunus/Prunus_persica/p.persica_gdr_reftransV1_0016618","p.persica_gdr_reftransV1_0016618")</f>
        <v>p.persica_gdr_reftransV1_0016618</v>
      </c>
      <c r="B4891" s="2">
        <v>1685</v>
      </c>
      <c r="C4891" s="4" t="str">
        <f>HYPERLINK("http://www.uniprot.org/uniprot/M5WQQ5","M5WQQ5")</f>
        <v>M5WQQ5</v>
      </c>
      <c r="D4891" s="2" t="s">
        <v>4529</v>
      </c>
      <c r="E4891" s="3">
        <v>0</v>
      </c>
      <c r="F4891" s="2">
        <v>1539</v>
      </c>
      <c r="G4891" s="2">
        <v>100</v>
      </c>
      <c r="H4891" s="2">
        <v>329</v>
      </c>
      <c r="I4891" s="2">
        <v>2</v>
      </c>
      <c r="J4891" s="2">
        <v>988</v>
      </c>
      <c r="K4891" s="2">
        <v>1440</v>
      </c>
      <c r="L4891" s="2">
        <v>1768</v>
      </c>
    </row>
    <row r="4892" spans="1:12" x14ac:dyDescent="0.25">
      <c r="A4892" s="4" t="str">
        <f>HYPERLINK("http://www.rosaceae.org/Prunus/Prunus_persica/p.persica_gdr_reftransV1_0018018","p.persica_gdr_reftransV1_0018018")</f>
        <v>p.persica_gdr_reftransV1_0018018</v>
      </c>
      <c r="B4892" s="2">
        <v>854</v>
      </c>
      <c r="C4892" s="4" t="str">
        <f>HYPERLINK("http://www.uniprot.org/uniprot/A0A061G5I4","A0A061G5I4")</f>
        <v>A0A061G5I4</v>
      </c>
      <c r="D4892" s="2" t="s">
        <v>4530</v>
      </c>
      <c r="E4892" s="3">
        <v>4.6900000000000001E-108</v>
      </c>
      <c r="F4892" s="2">
        <v>870</v>
      </c>
      <c r="G4892" s="2">
        <v>83</v>
      </c>
      <c r="H4892" s="2">
        <v>235</v>
      </c>
      <c r="I4892" s="2">
        <v>2</v>
      </c>
      <c r="J4892" s="2">
        <v>706</v>
      </c>
      <c r="K4892" s="2">
        <v>1</v>
      </c>
      <c r="L4892" s="2">
        <v>234</v>
      </c>
    </row>
    <row r="4893" spans="1:12" x14ac:dyDescent="0.25">
      <c r="A4893" s="4" t="str">
        <f>HYPERLINK("http://www.rosaceae.org/Prunus/Prunus_persica/p.persica_gdr_reftransV1_0019418","p.persica_gdr_reftransV1_0019418")</f>
        <v>p.persica_gdr_reftransV1_0019418</v>
      </c>
      <c r="B4893" s="2">
        <v>1574</v>
      </c>
      <c r="C4893" s="4" t="str">
        <f>HYPERLINK("http://www.uniprot.org/uniprot/M5W5L6","M5W5L6")</f>
        <v>M5W5L6</v>
      </c>
      <c r="D4893" s="2" t="s">
        <v>4531</v>
      </c>
      <c r="E4893" s="3">
        <v>2.8000000000000001E-37</v>
      </c>
      <c r="F4893" s="2">
        <v>240</v>
      </c>
      <c r="G4893" s="2">
        <v>54</v>
      </c>
      <c r="H4893" s="2">
        <v>85</v>
      </c>
      <c r="I4893" s="2">
        <v>481</v>
      </c>
      <c r="J4893" s="2">
        <v>726</v>
      </c>
      <c r="K4893" s="2">
        <v>72</v>
      </c>
      <c r="L4893" s="2">
        <v>156</v>
      </c>
    </row>
    <row r="4894" spans="1:12" x14ac:dyDescent="0.25">
      <c r="A4894" s="4" t="str">
        <f>HYPERLINK("http://www.rosaceae.org/Prunus/Prunus_persica/p.persica_gdr_reftransV1_0019768","p.persica_gdr_reftransV1_0019768")</f>
        <v>p.persica_gdr_reftransV1_0019768</v>
      </c>
      <c r="B4894" s="2">
        <v>2055</v>
      </c>
      <c r="C4894" s="4" t="str">
        <f>HYPERLINK("http://www.uniprot.org/uniprot/M5WEJ0","M5WEJ0")</f>
        <v>M5WEJ0</v>
      </c>
      <c r="D4894" s="2" t="s">
        <v>3135</v>
      </c>
      <c r="E4894" s="3">
        <v>0</v>
      </c>
      <c r="F4894" s="2">
        <v>1906</v>
      </c>
      <c r="G4894" s="2">
        <v>100</v>
      </c>
      <c r="H4894" s="2">
        <v>359</v>
      </c>
      <c r="I4894" s="2">
        <v>738</v>
      </c>
      <c r="J4894" s="2">
        <v>1814</v>
      </c>
      <c r="K4894" s="2">
        <v>1</v>
      </c>
      <c r="L4894" s="2">
        <v>359</v>
      </c>
    </row>
    <row r="4895" spans="1:12" x14ac:dyDescent="0.25">
      <c r="A4895" s="4" t="str">
        <f>HYPERLINK("http://www.rosaceae.org/Prunus/Prunus_persica/p.persica_gdr_reftransV1_0021168","p.persica_gdr_reftransV1_0021168")</f>
        <v>p.persica_gdr_reftransV1_0021168</v>
      </c>
      <c r="B4895" s="2">
        <v>2501</v>
      </c>
      <c r="C4895" s="4" t="str">
        <f>HYPERLINK("http://www.uniprot.org/uniprot/M5VXH7","M5VXH7")</f>
        <v>M5VXH7</v>
      </c>
      <c r="D4895" s="2" t="s">
        <v>4532</v>
      </c>
      <c r="E4895" s="3">
        <v>0</v>
      </c>
      <c r="F4895" s="2">
        <v>2779</v>
      </c>
      <c r="G4895" s="2">
        <v>100</v>
      </c>
      <c r="H4895" s="2">
        <v>519</v>
      </c>
      <c r="I4895" s="2">
        <v>181</v>
      </c>
      <c r="J4895" s="2">
        <v>1737</v>
      </c>
      <c r="K4895" s="2">
        <v>1</v>
      </c>
      <c r="L4895" s="2">
        <v>519</v>
      </c>
    </row>
    <row r="4896" spans="1:12" x14ac:dyDescent="0.25">
      <c r="A4896" s="4" t="str">
        <f>HYPERLINK("http://www.rosaceae.org/Prunus/Prunus_persica/p.persica_gdr_reftransV1_0023968","p.persica_gdr_reftransV1_0023968")</f>
        <v>p.persica_gdr_reftransV1_0023968</v>
      </c>
      <c r="B4896" s="2">
        <v>1901</v>
      </c>
      <c r="C4896" s="4" t="str">
        <f>HYPERLINK("http://www.uniprot.org/uniprot/M5XWL7","M5XWL7")</f>
        <v>M5XWL7</v>
      </c>
      <c r="D4896" s="2" t="s">
        <v>4533</v>
      </c>
      <c r="E4896" s="3">
        <v>0</v>
      </c>
      <c r="F4896" s="2">
        <v>2249</v>
      </c>
      <c r="G4896" s="2">
        <v>100</v>
      </c>
      <c r="H4896" s="2">
        <v>432</v>
      </c>
      <c r="I4896" s="2">
        <v>194</v>
      </c>
      <c r="J4896" s="2">
        <v>1489</v>
      </c>
      <c r="K4896" s="2">
        <v>1</v>
      </c>
      <c r="L4896" s="2">
        <v>432</v>
      </c>
    </row>
    <row r="4897" spans="1:12" x14ac:dyDescent="0.25">
      <c r="A4897" s="4" t="str">
        <f>HYPERLINK("http://www.rosaceae.org/Prunus/Prunus_persica/p.persica_gdr_reftransV1_0028518","p.persica_gdr_reftransV1_0028518")</f>
        <v>p.persica_gdr_reftransV1_0028518</v>
      </c>
      <c r="B4897" s="2">
        <v>896</v>
      </c>
      <c r="C4897" s="4" t="str">
        <f>HYPERLINK("http://www.uniprot.org/uniprot/M5X4D9","M5X4D9")</f>
        <v>M5X4D9</v>
      </c>
      <c r="D4897" s="2" t="s">
        <v>4534</v>
      </c>
      <c r="E4897" s="3">
        <v>7.1800000000000002E-119</v>
      </c>
      <c r="F4897" s="2">
        <v>899</v>
      </c>
      <c r="G4897" s="2">
        <v>100</v>
      </c>
      <c r="H4897" s="2">
        <v>169</v>
      </c>
      <c r="I4897" s="2">
        <v>102</v>
      </c>
      <c r="J4897" s="2">
        <v>608</v>
      </c>
      <c r="K4897" s="2">
        <v>1</v>
      </c>
      <c r="L4897" s="2">
        <v>169</v>
      </c>
    </row>
    <row r="4898" spans="1:12" x14ac:dyDescent="0.25">
      <c r="A4898" s="4" t="str">
        <f>HYPERLINK("http://www.rosaceae.org/Prunus/Prunus_persica/p.persica_gdr_reftransV1_0032368","p.persica_gdr_reftransV1_0032368")</f>
        <v>p.persica_gdr_reftransV1_0032368</v>
      </c>
      <c r="B4898" s="2">
        <v>1680</v>
      </c>
      <c r="C4898" s="4" t="str">
        <f>HYPERLINK("http://www.uniprot.org/uniprot/M5Y9E2","M5Y9E2")</f>
        <v>M5Y9E2</v>
      </c>
      <c r="D4898" s="2" t="s">
        <v>4535</v>
      </c>
      <c r="E4898" s="3">
        <v>0</v>
      </c>
      <c r="F4898" s="2">
        <v>1726</v>
      </c>
      <c r="G4898" s="2">
        <v>95</v>
      </c>
      <c r="H4898" s="2">
        <v>375</v>
      </c>
      <c r="I4898" s="2">
        <v>273</v>
      </c>
      <c r="J4898" s="2">
        <v>1397</v>
      </c>
      <c r="K4898" s="2">
        <v>1</v>
      </c>
      <c r="L4898" s="2">
        <v>361</v>
      </c>
    </row>
    <row r="4899" spans="1:12" x14ac:dyDescent="0.25">
      <c r="A4899" s="4" t="str">
        <f>HYPERLINK("http://www.rosaceae.org/Prunus/Prunus_persica/p.persica_gdr_reftransV1_0033068","p.persica_gdr_reftransV1_0033068")</f>
        <v>p.persica_gdr_reftransV1_0033068</v>
      </c>
      <c r="B4899" s="2">
        <v>1322</v>
      </c>
      <c r="C4899" s="4" t="str">
        <f>HYPERLINK("http://www.uniprot.org/uniprot/M5WFN5","M5WFN5")</f>
        <v>M5WFN5</v>
      </c>
      <c r="D4899" s="2" t="s">
        <v>885</v>
      </c>
      <c r="E4899" s="3">
        <v>0</v>
      </c>
      <c r="F4899" s="2">
        <v>1697</v>
      </c>
      <c r="G4899" s="2">
        <v>98</v>
      </c>
      <c r="H4899" s="2">
        <v>332</v>
      </c>
      <c r="I4899" s="2">
        <v>60</v>
      </c>
      <c r="J4899" s="2">
        <v>1055</v>
      </c>
      <c r="K4899" s="2">
        <v>461</v>
      </c>
      <c r="L4899" s="2">
        <v>792</v>
      </c>
    </row>
    <row r="4900" spans="1:12" x14ac:dyDescent="0.25">
      <c r="A4900" s="4" t="str">
        <f>HYPERLINK("http://www.rosaceae.org/Prunus/Prunus_persica/p.persica_gdr_reftransV1_0036218","p.persica_gdr_reftransV1_0036218")</f>
        <v>p.persica_gdr_reftransV1_0036218</v>
      </c>
      <c r="B4900" s="2">
        <v>709</v>
      </c>
      <c r="C4900" s="4" t="str">
        <f>HYPERLINK("http://www.uniprot.org/uniprot/F6HL10","F6HL10")</f>
        <v>F6HL10</v>
      </c>
      <c r="D4900" s="2" t="s">
        <v>4536</v>
      </c>
      <c r="E4900" s="3">
        <v>2.5699999999999999E-75</v>
      </c>
      <c r="F4900" s="2">
        <v>641</v>
      </c>
      <c r="G4900" s="2">
        <v>67</v>
      </c>
      <c r="H4900" s="2">
        <v>200</v>
      </c>
      <c r="I4900" s="2">
        <v>115</v>
      </c>
      <c r="J4900" s="2">
        <v>705</v>
      </c>
      <c r="K4900" s="2">
        <v>31</v>
      </c>
      <c r="L4900" s="2">
        <v>230</v>
      </c>
    </row>
    <row r="4901" spans="1:12" x14ac:dyDescent="0.25">
      <c r="A4901" s="4" t="str">
        <f>HYPERLINK("http://www.rosaceae.org/Prunus/Prunus_persica/p.persica_gdr_reftransV1_0037968","p.persica_gdr_reftransV1_0037968")</f>
        <v>p.persica_gdr_reftransV1_0037968</v>
      </c>
      <c r="B4901" s="2">
        <v>2074</v>
      </c>
      <c r="C4901" s="4" t="str">
        <f>HYPERLINK("http://www.uniprot.org/uniprot/M5X5M9","M5X5M9")</f>
        <v>M5X5M9</v>
      </c>
      <c r="D4901" s="2" t="s">
        <v>4537</v>
      </c>
      <c r="E4901" s="3">
        <v>0</v>
      </c>
      <c r="F4901" s="2">
        <v>1887</v>
      </c>
      <c r="G4901" s="2">
        <v>100</v>
      </c>
      <c r="H4901" s="2">
        <v>397</v>
      </c>
      <c r="I4901" s="2">
        <v>447</v>
      </c>
      <c r="J4901" s="2">
        <v>1637</v>
      </c>
      <c r="K4901" s="2">
        <v>1</v>
      </c>
      <c r="L4901" s="2">
        <v>397</v>
      </c>
    </row>
    <row r="4902" spans="1:12" x14ac:dyDescent="0.25">
      <c r="A4902" s="4" t="str">
        <f>HYPERLINK("http://www.rosaceae.org/Prunus/Prunus_persica/p.persica_gdr_reftransV1_0040418","p.persica_gdr_reftransV1_0040418")</f>
        <v>p.persica_gdr_reftransV1_0040418</v>
      </c>
      <c r="B4902" s="2">
        <v>2214</v>
      </c>
      <c r="C4902" s="4" t="str">
        <f>HYPERLINK("http://www.uniprot.org/uniprot/G7IU37","G7IU37")</f>
        <v>G7IU37</v>
      </c>
      <c r="D4902" s="2" t="s">
        <v>4538</v>
      </c>
      <c r="E4902" s="3">
        <v>7.2000000000000004E-71</v>
      </c>
      <c r="F4902" s="2">
        <v>472</v>
      </c>
      <c r="G4902" s="2">
        <v>79</v>
      </c>
      <c r="H4902" s="2">
        <v>125</v>
      </c>
      <c r="I4902" s="2">
        <v>256</v>
      </c>
      <c r="J4902" s="2">
        <v>630</v>
      </c>
      <c r="K4902" s="2">
        <v>67</v>
      </c>
      <c r="L4902" s="2">
        <v>191</v>
      </c>
    </row>
    <row r="4903" spans="1:12" x14ac:dyDescent="0.25">
      <c r="A4903" s="4" t="str">
        <f>HYPERLINK("http://www.rosaceae.org/Prunus/Prunus_persica/p.persica_gdr_reftransV1_0042518","p.persica_gdr_reftransV1_0042518")</f>
        <v>p.persica_gdr_reftransV1_0042518</v>
      </c>
      <c r="B4903" s="2">
        <v>2752</v>
      </c>
      <c r="C4903" s="4" t="str">
        <f>HYPERLINK("http://www.uniprot.org/uniprot/M5X7A5","M5X7A5")</f>
        <v>M5X7A5</v>
      </c>
      <c r="D4903" s="2" t="s">
        <v>4539</v>
      </c>
      <c r="E4903" s="3">
        <v>0</v>
      </c>
      <c r="F4903" s="2">
        <v>2015</v>
      </c>
      <c r="G4903" s="2">
        <v>99</v>
      </c>
      <c r="H4903" s="2">
        <v>398</v>
      </c>
      <c r="I4903" s="2">
        <v>232</v>
      </c>
      <c r="J4903" s="2">
        <v>1425</v>
      </c>
      <c r="K4903" s="2">
        <v>1</v>
      </c>
      <c r="L4903" s="2">
        <v>398</v>
      </c>
    </row>
    <row r="4904" spans="1:12" x14ac:dyDescent="0.25">
      <c r="A4904" s="4" t="str">
        <f>HYPERLINK("http://www.rosaceae.org/Prunus/Prunus_persica/p.persica_gdr_reftransV1_0043218","p.persica_gdr_reftransV1_0043218")</f>
        <v>p.persica_gdr_reftransV1_0043218</v>
      </c>
      <c r="B4904" s="2">
        <v>771</v>
      </c>
      <c r="C4904" s="4" t="str">
        <f>HYPERLINK("http://www.uniprot.org/uniprot/M5XUJ6","M5XUJ6")</f>
        <v>M5XUJ6</v>
      </c>
      <c r="D4904" s="2" t="s">
        <v>4180</v>
      </c>
      <c r="E4904" s="3">
        <v>3.9E-175</v>
      </c>
      <c r="F4904" s="2">
        <v>1291</v>
      </c>
      <c r="G4904" s="2">
        <v>100</v>
      </c>
      <c r="H4904" s="2">
        <v>257</v>
      </c>
      <c r="I4904" s="2">
        <v>1</v>
      </c>
      <c r="J4904" s="2">
        <v>771</v>
      </c>
      <c r="K4904" s="2">
        <v>15</v>
      </c>
      <c r="L4904" s="2">
        <v>271</v>
      </c>
    </row>
    <row r="4905" spans="1:12" x14ac:dyDescent="0.25">
      <c r="A4905" s="4" t="str">
        <f>HYPERLINK("http://www.rosaceae.org/Prunus/Prunus_persica/p.persica_gdr_reftransV1_0043568","p.persica_gdr_reftransV1_0043568")</f>
        <v>p.persica_gdr_reftransV1_0043568</v>
      </c>
      <c r="B4905" s="2">
        <v>1006</v>
      </c>
      <c r="C4905" s="4" t="str">
        <f>HYPERLINK("http://www.uniprot.org/uniprot/M5XKG7","M5XKG7")</f>
        <v>M5XKG7</v>
      </c>
      <c r="D4905" s="2" t="s">
        <v>4540</v>
      </c>
      <c r="E4905" s="3">
        <v>0</v>
      </c>
      <c r="F4905" s="2">
        <v>1712</v>
      </c>
      <c r="G4905" s="2">
        <v>100</v>
      </c>
      <c r="H4905" s="2">
        <v>320</v>
      </c>
      <c r="I4905" s="2">
        <v>3</v>
      </c>
      <c r="J4905" s="2">
        <v>962</v>
      </c>
      <c r="K4905" s="2">
        <v>16</v>
      </c>
      <c r="L4905" s="2">
        <v>335</v>
      </c>
    </row>
    <row r="4906" spans="1:12" x14ac:dyDescent="0.25">
      <c r="A4906" s="4" t="str">
        <f>HYPERLINK("http://www.rosaceae.org/Prunus/Prunus_persica/p.persica_gdr_reftransV1_0043918","p.persica_gdr_reftransV1_0043918")</f>
        <v>p.persica_gdr_reftransV1_0043918</v>
      </c>
      <c r="B4906" s="2">
        <v>356</v>
      </c>
      <c r="C4906" s="4" t="str">
        <f>HYPERLINK("http://www.uniprot.org/uniprot/M5Y2T6","M5Y2T6")</f>
        <v>M5Y2T6</v>
      </c>
      <c r="D4906" s="2" t="s">
        <v>4541</v>
      </c>
      <c r="E4906" s="3">
        <v>5.1300000000000001E-28</v>
      </c>
      <c r="F4906" s="2">
        <v>288</v>
      </c>
      <c r="G4906" s="2">
        <v>50</v>
      </c>
      <c r="H4906" s="2">
        <v>118</v>
      </c>
      <c r="I4906" s="2">
        <v>2</v>
      </c>
      <c r="J4906" s="2">
        <v>355</v>
      </c>
      <c r="K4906" s="2">
        <v>363</v>
      </c>
      <c r="L4906" s="2">
        <v>449</v>
      </c>
    </row>
    <row r="4907" spans="1:12" x14ac:dyDescent="0.25">
      <c r="A4907" s="4" t="str">
        <f>HYPERLINK("http://www.rosaceae.org/Prunus/Prunus_persica/p.persica_gdr_reftransV1_0044268","p.persica_gdr_reftransV1_0044268")</f>
        <v>p.persica_gdr_reftransV1_0044268</v>
      </c>
      <c r="B4907" s="2">
        <v>969</v>
      </c>
      <c r="C4907" s="4" t="str">
        <f>HYPERLINK("http://www.uniprot.org/uniprot/M5VZR4","M5VZR4")</f>
        <v>M5VZR4</v>
      </c>
      <c r="D4907" s="2" t="s">
        <v>4542</v>
      </c>
      <c r="E4907" s="3">
        <v>1.01E-104</v>
      </c>
      <c r="F4907" s="2">
        <v>812</v>
      </c>
      <c r="G4907" s="2">
        <v>100</v>
      </c>
      <c r="H4907" s="2">
        <v>218</v>
      </c>
      <c r="I4907" s="2">
        <v>84</v>
      </c>
      <c r="J4907" s="2">
        <v>737</v>
      </c>
      <c r="K4907" s="2">
        <v>1</v>
      </c>
      <c r="L4907" s="2">
        <v>218</v>
      </c>
    </row>
    <row r="4908" spans="1:12" x14ac:dyDescent="0.25">
      <c r="A4908" s="4" t="str">
        <f>HYPERLINK("http://www.rosaceae.org/Prunus/Prunus_persica/p.persica_gdr_reftransV1_0044618","p.persica_gdr_reftransV1_0044618")</f>
        <v>p.persica_gdr_reftransV1_0044618</v>
      </c>
      <c r="B4908" s="2">
        <v>598</v>
      </c>
      <c r="C4908" s="4" t="str">
        <f>HYPERLINK("http://www.uniprot.org/uniprot/M5XBK7","M5XBK7")</f>
        <v>M5XBK7</v>
      </c>
      <c r="D4908" s="2" t="s">
        <v>4543</v>
      </c>
      <c r="E4908" s="3">
        <v>1.1200000000000001E-14</v>
      </c>
      <c r="F4908" s="2">
        <v>185</v>
      </c>
      <c r="G4908" s="2">
        <v>97</v>
      </c>
      <c r="H4908" s="2">
        <v>34</v>
      </c>
      <c r="I4908" s="2">
        <v>6</v>
      </c>
      <c r="J4908" s="2">
        <v>107</v>
      </c>
      <c r="K4908" s="2">
        <v>8</v>
      </c>
      <c r="L4908" s="2">
        <v>41</v>
      </c>
    </row>
    <row r="4909" spans="1:12" x14ac:dyDescent="0.25">
      <c r="A4909" s="4" t="str">
        <f>HYPERLINK("http://www.rosaceae.org/Prunus/Prunus_persica/p.persica_gdr_reftransV1_0044968","p.persica_gdr_reftransV1_0044968")</f>
        <v>p.persica_gdr_reftransV1_0044968</v>
      </c>
      <c r="B4909" s="2">
        <v>1338</v>
      </c>
      <c r="C4909" s="4" t="str">
        <f>HYPERLINK("http://www.uniprot.org/uniprot/M5WDW3","M5WDW3")</f>
        <v>M5WDW3</v>
      </c>
      <c r="D4909" s="2" t="s">
        <v>4544</v>
      </c>
      <c r="E4909" s="3">
        <v>0</v>
      </c>
      <c r="F4909" s="2">
        <v>2029</v>
      </c>
      <c r="G4909" s="2">
        <v>100</v>
      </c>
      <c r="H4909" s="2">
        <v>405</v>
      </c>
      <c r="I4909" s="2">
        <v>122</v>
      </c>
      <c r="J4909" s="2">
        <v>1336</v>
      </c>
      <c r="K4909" s="2">
        <v>209</v>
      </c>
      <c r="L4909" s="2">
        <v>613</v>
      </c>
    </row>
    <row r="4910" spans="1:12" x14ac:dyDescent="0.25">
      <c r="A4910" s="4" t="str">
        <f>HYPERLINK("http://www.rosaceae.org/Prunus/Prunus_persica/p.persica_gdr_reftransV1_0045318","p.persica_gdr_reftransV1_0045318")</f>
        <v>p.persica_gdr_reftransV1_0045318</v>
      </c>
      <c r="B4910" s="2">
        <v>658</v>
      </c>
      <c r="C4910" s="4" t="str">
        <f>HYPERLINK("http://www.uniprot.org/uniprot/M5WEI7","M5WEI7")</f>
        <v>M5WEI7</v>
      </c>
      <c r="D4910" s="2" t="s">
        <v>4545</v>
      </c>
      <c r="E4910" s="3">
        <v>3.1100000000000002E-100</v>
      </c>
      <c r="F4910" s="2">
        <v>769</v>
      </c>
      <c r="G4910" s="2">
        <v>99</v>
      </c>
      <c r="H4910" s="2">
        <v>164</v>
      </c>
      <c r="I4910" s="2">
        <v>16</v>
      </c>
      <c r="J4910" s="2">
        <v>507</v>
      </c>
      <c r="K4910" s="2">
        <v>1</v>
      </c>
      <c r="L4910" s="2">
        <v>164</v>
      </c>
    </row>
    <row r="4911" spans="1:12" x14ac:dyDescent="0.25">
      <c r="A4911" s="4" t="str">
        <f>HYPERLINK("http://www.rosaceae.org/Prunus/Prunus_persica/p.persica_gdr_reftransV1_0046018","p.persica_gdr_reftransV1_0046018")</f>
        <v>p.persica_gdr_reftransV1_0046018</v>
      </c>
      <c r="B4911" s="2">
        <v>1440</v>
      </c>
      <c r="C4911" s="4" t="str">
        <f>HYPERLINK("http://www.uniprot.org/uniprot/M5XLY1","M5XLY1")</f>
        <v>M5XLY1</v>
      </c>
      <c r="D4911" s="2" t="s">
        <v>4546</v>
      </c>
      <c r="E4911" s="3">
        <v>3.6299999999999998E-170</v>
      </c>
      <c r="F4911" s="2">
        <v>1269</v>
      </c>
      <c r="G4911" s="2">
        <v>100</v>
      </c>
      <c r="H4911" s="2">
        <v>293</v>
      </c>
      <c r="I4911" s="2">
        <v>343</v>
      </c>
      <c r="J4911" s="2">
        <v>1221</v>
      </c>
      <c r="K4911" s="2">
        <v>1</v>
      </c>
      <c r="L4911" s="2">
        <v>293</v>
      </c>
    </row>
    <row r="4912" spans="1:12" x14ac:dyDescent="0.25">
      <c r="A4912" s="4" t="str">
        <f>HYPERLINK("http://www.rosaceae.org/Prunus/Prunus_persica/p.persica_gdr_reftransV1_0046368","p.persica_gdr_reftransV1_0046368")</f>
        <v>p.persica_gdr_reftransV1_0046368</v>
      </c>
      <c r="B4912" s="2">
        <v>1060</v>
      </c>
      <c r="C4912" s="4" t="str">
        <f>HYPERLINK("http://www.uniprot.org/uniprot/M5XEU9","M5XEU9")</f>
        <v>M5XEU9</v>
      </c>
      <c r="D4912" s="2" t="s">
        <v>4547</v>
      </c>
      <c r="E4912" s="3">
        <v>7.0099999999999998E-130</v>
      </c>
      <c r="F4912" s="2">
        <v>703</v>
      </c>
      <c r="G4912" s="2">
        <v>100</v>
      </c>
      <c r="H4912" s="2">
        <v>135</v>
      </c>
      <c r="I4912" s="2">
        <v>455</v>
      </c>
      <c r="J4912" s="2">
        <v>859</v>
      </c>
      <c r="K4912" s="2">
        <v>127</v>
      </c>
      <c r="L4912" s="2">
        <v>261</v>
      </c>
    </row>
    <row r="4913" spans="1:12" x14ac:dyDescent="0.25">
      <c r="A4913" s="4" t="str">
        <f>HYPERLINK("http://www.rosaceae.org/Prunus/Prunus_persica/p.persica_gdr_reftransV1_0046718","p.persica_gdr_reftransV1_0046718")</f>
        <v>p.persica_gdr_reftransV1_0046718</v>
      </c>
      <c r="B4913" s="2">
        <v>1387</v>
      </c>
      <c r="C4913" s="4" t="str">
        <f>HYPERLINK("http://www.uniprot.org/uniprot/M5XDL0","M5XDL0")</f>
        <v>M5XDL0</v>
      </c>
      <c r="D4913" s="2" t="s">
        <v>4548</v>
      </c>
      <c r="E4913" s="3">
        <v>4.0200000000000001E-141</v>
      </c>
      <c r="F4913" s="2">
        <v>1067</v>
      </c>
      <c r="G4913" s="2">
        <v>100</v>
      </c>
      <c r="H4913" s="2">
        <v>203</v>
      </c>
      <c r="I4913" s="2">
        <v>352</v>
      </c>
      <c r="J4913" s="2">
        <v>960</v>
      </c>
      <c r="K4913" s="2">
        <v>1</v>
      </c>
      <c r="L4913" s="2">
        <v>203</v>
      </c>
    </row>
    <row r="4914" spans="1:12" x14ac:dyDescent="0.25">
      <c r="A4914" s="4" t="str">
        <f>HYPERLINK("http://www.rosaceae.org/Prunus/Prunus_persica/p.persica_gdr_reftransV1_0047068","p.persica_gdr_reftransV1_0047068")</f>
        <v>p.persica_gdr_reftransV1_0047068</v>
      </c>
      <c r="B4914" s="2">
        <v>824</v>
      </c>
      <c r="C4914" s="4" t="str">
        <f>HYPERLINK("http://www.uniprot.org/uniprot/M5VX36","M5VX36")</f>
        <v>M5VX36</v>
      </c>
      <c r="D4914" s="2" t="s">
        <v>250</v>
      </c>
      <c r="E4914" s="3">
        <v>0</v>
      </c>
      <c r="F4914" s="2">
        <v>1401</v>
      </c>
      <c r="G4914" s="2">
        <v>100</v>
      </c>
      <c r="H4914" s="2">
        <v>274</v>
      </c>
      <c r="I4914" s="2">
        <v>2</v>
      </c>
      <c r="J4914" s="2">
        <v>823</v>
      </c>
      <c r="K4914" s="2">
        <v>252</v>
      </c>
      <c r="L4914" s="2">
        <v>525</v>
      </c>
    </row>
    <row r="4915" spans="1:12" x14ac:dyDescent="0.25">
      <c r="A4915" s="4" t="str">
        <f>HYPERLINK("http://www.rosaceae.org/Prunus/Prunus_persica/p.persica_gdr_reftransV1_0047418","p.persica_gdr_reftransV1_0047418")</f>
        <v>p.persica_gdr_reftransV1_0047418</v>
      </c>
      <c r="B4915" s="2">
        <v>424</v>
      </c>
      <c r="C4915" s="4" t="str">
        <f>HYPERLINK("http://www.uniprot.org/uniprot/Q93WZ6","Q93WZ6")</f>
        <v>Q93WZ6</v>
      </c>
      <c r="D4915" s="2" t="s">
        <v>4124</v>
      </c>
      <c r="E4915" s="3">
        <v>2.0499999999999999E-18</v>
      </c>
      <c r="F4915" s="2">
        <v>215</v>
      </c>
      <c r="G4915" s="2">
        <v>100</v>
      </c>
      <c r="H4915" s="2">
        <v>81</v>
      </c>
      <c r="I4915" s="2">
        <v>181</v>
      </c>
      <c r="J4915" s="2">
        <v>423</v>
      </c>
      <c r="K4915" s="2">
        <v>88</v>
      </c>
      <c r="L4915" s="2">
        <v>168</v>
      </c>
    </row>
    <row r="4916" spans="1:12" x14ac:dyDescent="0.25">
      <c r="A4916" s="4" t="str">
        <f>HYPERLINK("http://www.rosaceae.org/Prunus/Prunus_persica/p.persica_gdr_reftransV1_0047768","p.persica_gdr_reftransV1_0047768")</f>
        <v>p.persica_gdr_reftransV1_0047768</v>
      </c>
      <c r="B4916" s="2">
        <v>1307</v>
      </c>
      <c r="C4916" s="4" t="str">
        <f>HYPERLINK("http://www.uniprot.org/uniprot/M5X0M7","M5X0M7")</f>
        <v>M5X0M7</v>
      </c>
      <c r="D4916" s="2" t="s">
        <v>4549</v>
      </c>
      <c r="E4916" s="3">
        <v>0</v>
      </c>
      <c r="F4916" s="2">
        <v>1773</v>
      </c>
      <c r="G4916" s="2">
        <v>100</v>
      </c>
      <c r="H4916" s="2">
        <v>329</v>
      </c>
      <c r="I4916" s="2">
        <v>213</v>
      </c>
      <c r="J4916" s="2">
        <v>1199</v>
      </c>
      <c r="K4916" s="2">
        <v>58</v>
      </c>
      <c r="L4916" s="2">
        <v>386</v>
      </c>
    </row>
    <row r="4917" spans="1:12" x14ac:dyDescent="0.25">
      <c r="A4917" s="4" t="str">
        <f>HYPERLINK("http://www.rosaceae.org/Prunus/Prunus_persica/p.persica_gdr_reftransV1_0048118","p.persica_gdr_reftransV1_0048118")</f>
        <v>p.persica_gdr_reftransV1_0048118</v>
      </c>
      <c r="B4917" s="2">
        <v>871</v>
      </c>
      <c r="C4917" s="4" t="str">
        <f>HYPERLINK("http://www.uniprot.org/uniprot/M5XFW2","M5XFW2")</f>
        <v>M5XFW2</v>
      </c>
      <c r="D4917" s="2" t="s">
        <v>4550</v>
      </c>
      <c r="E4917" s="3">
        <v>3.1100000000000001E-63</v>
      </c>
      <c r="F4917" s="2">
        <v>526</v>
      </c>
      <c r="G4917" s="2">
        <v>100</v>
      </c>
      <c r="H4917" s="2">
        <v>136</v>
      </c>
      <c r="I4917" s="2">
        <v>229</v>
      </c>
      <c r="J4917" s="2">
        <v>636</v>
      </c>
      <c r="K4917" s="2">
        <v>1</v>
      </c>
      <c r="L4917" s="2">
        <v>136</v>
      </c>
    </row>
    <row r="4918" spans="1:12" x14ac:dyDescent="0.25">
      <c r="A4918" s="4" t="str">
        <f>HYPERLINK("http://www.rosaceae.org/Prunus/Prunus_persica/p.persica_gdr_reftransV1_0048468","p.persica_gdr_reftransV1_0048468")</f>
        <v>p.persica_gdr_reftransV1_0048468</v>
      </c>
      <c r="B4918" s="2">
        <v>6128</v>
      </c>
      <c r="C4918" s="4" t="str">
        <f>HYPERLINK("http://www.uniprot.org/uniprot/M5X6T4","M5X6T4")</f>
        <v>M5X6T4</v>
      </c>
      <c r="D4918" s="2" t="s">
        <v>4551</v>
      </c>
      <c r="E4918" s="3">
        <v>0</v>
      </c>
      <c r="F4918" s="2">
        <v>10000</v>
      </c>
      <c r="G4918" s="2">
        <v>97</v>
      </c>
      <c r="H4918" s="2">
        <v>1977</v>
      </c>
      <c r="I4918" s="2">
        <v>2</v>
      </c>
      <c r="J4918" s="2">
        <v>5932</v>
      </c>
      <c r="K4918" s="2">
        <v>438</v>
      </c>
      <c r="L4918" s="2">
        <v>2361</v>
      </c>
    </row>
    <row r="4919" spans="1:12" x14ac:dyDescent="0.25">
      <c r="A4919" s="4" t="str">
        <f>HYPERLINK("http://www.rosaceae.org/Prunus/Prunus_persica/p.persica_gdr_reftransV1_0049168","p.persica_gdr_reftransV1_0049168")</f>
        <v>p.persica_gdr_reftransV1_0049168</v>
      </c>
      <c r="B4919" s="2">
        <v>1765</v>
      </c>
      <c r="C4919" s="4" t="str">
        <f>HYPERLINK("http://www.uniprot.org/uniprot/M5X0I7","M5X0I7")</f>
        <v>M5X0I7</v>
      </c>
      <c r="D4919" s="2" t="s">
        <v>4552</v>
      </c>
      <c r="E4919" s="3">
        <v>3.9699999999999997E-96</v>
      </c>
      <c r="F4919" s="2">
        <v>774</v>
      </c>
      <c r="G4919" s="2">
        <v>100</v>
      </c>
      <c r="H4919" s="2">
        <v>142</v>
      </c>
      <c r="I4919" s="2">
        <v>744</v>
      </c>
      <c r="J4919" s="2">
        <v>1169</v>
      </c>
      <c r="K4919" s="2">
        <v>72</v>
      </c>
      <c r="L4919" s="2">
        <v>213</v>
      </c>
    </row>
    <row r="4920" spans="1:12" x14ac:dyDescent="0.25">
      <c r="A4920" s="4" t="str">
        <f>HYPERLINK("http://www.rosaceae.org/Prunus/Prunus_persica/p.persica_gdr_reftransV1_0000169","p.persica_gdr_reftransV1_0000169")</f>
        <v>p.persica_gdr_reftransV1_0000169</v>
      </c>
      <c r="B4920" s="2">
        <v>1378</v>
      </c>
      <c r="C4920" s="4" t="str">
        <f>HYPERLINK("http://www.uniprot.org/uniprot/M5WZF3","M5WZF3")</f>
        <v>M5WZF3</v>
      </c>
      <c r="D4920" s="2" t="s">
        <v>4553</v>
      </c>
      <c r="E4920" s="3">
        <v>0</v>
      </c>
      <c r="F4920" s="2">
        <v>1700</v>
      </c>
      <c r="G4920" s="2">
        <v>90</v>
      </c>
      <c r="H4920" s="2">
        <v>363</v>
      </c>
      <c r="I4920" s="2">
        <v>250</v>
      </c>
      <c r="J4920" s="2">
        <v>1338</v>
      </c>
      <c r="K4920" s="2">
        <v>7</v>
      </c>
      <c r="L4920" s="2">
        <v>333</v>
      </c>
    </row>
    <row r="4921" spans="1:12" x14ac:dyDescent="0.25">
      <c r="A4921" s="4" t="str">
        <f>HYPERLINK("http://www.rosaceae.org/Prunus/Prunus_persica/p.persica_gdr_reftransV1_0000519","p.persica_gdr_reftransV1_0000519")</f>
        <v>p.persica_gdr_reftransV1_0000519</v>
      </c>
      <c r="B4921" s="2">
        <v>3672</v>
      </c>
      <c r="C4921" s="4" t="str">
        <f>HYPERLINK("http://www.uniprot.org/uniprot/K4ASW3","K4ASW3")</f>
        <v>K4ASW3</v>
      </c>
      <c r="D4921" s="2" t="s">
        <v>4554</v>
      </c>
      <c r="E4921" s="3">
        <v>0</v>
      </c>
      <c r="F4921" s="2">
        <v>1574</v>
      </c>
      <c r="G4921" s="2">
        <v>90</v>
      </c>
      <c r="H4921" s="2">
        <v>374</v>
      </c>
      <c r="I4921" s="2">
        <v>54</v>
      </c>
      <c r="J4921" s="2">
        <v>1169</v>
      </c>
      <c r="K4921" s="2">
        <v>1</v>
      </c>
      <c r="L4921" s="2">
        <v>352</v>
      </c>
    </row>
    <row r="4922" spans="1:12" x14ac:dyDescent="0.25">
      <c r="A4922" s="4" t="str">
        <f>HYPERLINK("http://www.rosaceae.org/Prunus/Prunus_persica/p.persica_gdr_reftransV1_0001219","p.persica_gdr_reftransV1_0001219")</f>
        <v>p.persica_gdr_reftransV1_0001219</v>
      </c>
      <c r="B4922" s="2">
        <v>1492</v>
      </c>
      <c r="C4922" s="4" t="str">
        <f>HYPERLINK("http://www.uniprot.org/uniprot/M5XHZ4","M5XHZ4")</f>
        <v>M5XHZ4</v>
      </c>
      <c r="D4922" s="2" t="s">
        <v>4555</v>
      </c>
      <c r="E4922" s="3">
        <v>1.1E-162</v>
      </c>
      <c r="F4922" s="2">
        <v>1214</v>
      </c>
      <c r="G4922" s="2">
        <v>100</v>
      </c>
      <c r="H4922" s="2">
        <v>225</v>
      </c>
      <c r="I4922" s="2">
        <v>286</v>
      </c>
      <c r="J4922" s="2">
        <v>960</v>
      </c>
      <c r="K4922" s="2">
        <v>1</v>
      </c>
      <c r="L4922" s="2">
        <v>225</v>
      </c>
    </row>
    <row r="4923" spans="1:12" x14ac:dyDescent="0.25">
      <c r="A4923" s="4" t="str">
        <f>HYPERLINK("http://www.rosaceae.org/Prunus/Prunus_persica/p.persica_gdr_reftransV1_0001569","p.persica_gdr_reftransV1_0001569")</f>
        <v>p.persica_gdr_reftransV1_0001569</v>
      </c>
      <c r="B4923" s="2">
        <v>783</v>
      </c>
      <c r="C4923" s="4" t="str">
        <f>HYPERLINK("http://www.uniprot.org/uniprot/M5WEV4","M5WEV4")</f>
        <v>M5WEV4</v>
      </c>
      <c r="D4923" s="2" t="s">
        <v>1428</v>
      </c>
      <c r="E4923" s="3">
        <v>2.1100000000000001E-66</v>
      </c>
      <c r="F4923" s="2">
        <v>547</v>
      </c>
      <c r="G4923" s="2">
        <v>100</v>
      </c>
      <c r="H4923" s="2">
        <v>165</v>
      </c>
      <c r="I4923" s="2">
        <v>177</v>
      </c>
      <c r="J4923" s="2">
        <v>671</v>
      </c>
      <c r="K4923" s="2">
        <v>1</v>
      </c>
      <c r="L4923" s="2">
        <v>165</v>
      </c>
    </row>
    <row r="4924" spans="1:12" x14ac:dyDescent="0.25">
      <c r="A4924" s="4" t="str">
        <f>HYPERLINK("http://www.rosaceae.org/Prunus/Prunus_persica/p.persica_gdr_reftransV1_0002269","p.persica_gdr_reftransV1_0002269")</f>
        <v>p.persica_gdr_reftransV1_0002269</v>
      </c>
      <c r="B4924" s="2">
        <v>429</v>
      </c>
      <c r="C4924" s="4" t="str">
        <f>HYPERLINK("http://www.uniprot.org/uniprot/A0A0D2XMI5","A0A0D2XMI5")</f>
        <v>A0A0D2XMI5</v>
      </c>
      <c r="D4924" s="2" t="s">
        <v>4556</v>
      </c>
      <c r="E4924" s="3">
        <v>1.79E-71</v>
      </c>
      <c r="F4924" s="2">
        <v>574</v>
      </c>
      <c r="G4924" s="2">
        <v>100</v>
      </c>
      <c r="H4924" s="2">
        <v>109</v>
      </c>
      <c r="I4924" s="2">
        <v>1</v>
      </c>
      <c r="J4924" s="2">
        <v>327</v>
      </c>
      <c r="K4924" s="2">
        <v>113</v>
      </c>
      <c r="L4924" s="2">
        <v>221</v>
      </c>
    </row>
    <row r="4925" spans="1:12" x14ac:dyDescent="0.25">
      <c r="A4925" s="4" t="str">
        <f>HYPERLINK("http://www.rosaceae.org/Prunus/Prunus_persica/p.persica_gdr_reftransV1_0002619","p.persica_gdr_reftransV1_0002619")</f>
        <v>p.persica_gdr_reftransV1_0002619</v>
      </c>
      <c r="B4925" s="2">
        <v>916</v>
      </c>
      <c r="C4925" s="4" t="str">
        <f>HYPERLINK("http://www.uniprot.org/uniprot/M5VJ82","M5VJ82")</f>
        <v>M5VJ82</v>
      </c>
      <c r="D4925" s="2" t="s">
        <v>4557</v>
      </c>
      <c r="E4925" s="3">
        <v>1.69E-106</v>
      </c>
      <c r="F4925" s="2">
        <v>817</v>
      </c>
      <c r="G4925" s="2">
        <v>94</v>
      </c>
      <c r="H4925" s="2">
        <v>161</v>
      </c>
      <c r="I4925" s="2">
        <v>48</v>
      </c>
      <c r="J4925" s="2">
        <v>530</v>
      </c>
      <c r="K4925" s="2">
        <v>1</v>
      </c>
      <c r="L4925" s="2">
        <v>161</v>
      </c>
    </row>
    <row r="4926" spans="1:12" x14ac:dyDescent="0.25">
      <c r="A4926" s="4" t="str">
        <f>HYPERLINK("http://www.rosaceae.org/Prunus/Prunus_persica/p.persica_gdr_reftransV1_0003669","p.persica_gdr_reftransV1_0003669")</f>
        <v>p.persica_gdr_reftransV1_0003669</v>
      </c>
      <c r="B4926" s="2">
        <v>439</v>
      </c>
      <c r="C4926" s="4" t="str">
        <f>HYPERLINK("http://www.uniprot.org/uniprot/M5XRX5","M5XRX5")</f>
        <v>M5XRX5</v>
      </c>
      <c r="D4926" s="2" t="s">
        <v>1343</v>
      </c>
      <c r="E4926" s="3">
        <v>1.4800000000000001E-65</v>
      </c>
      <c r="F4926" s="2">
        <v>548</v>
      </c>
      <c r="G4926" s="2">
        <v>100</v>
      </c>
      <c r="H4926" s="2">
        <v>121</v>
      </c>
      <c r="I4926" s="2">
        <v>76</v>
      </c>
      <c r="J4926" s="2">
        <v>438</v>
      </c>
      <c r="K4926" s="2">
        <v>1</v>
      </c>
      <c r="L4926" s="2">
        <v>121</v>
      </c>
    </row>
    <row r="4927" spans="1:12" x14ac:dyDescent="0.25">
      <c r="A4927" s="4" t="str">
        <f>HYPERLINK("http://www.rosaceae.org/Prunus/Prunus_persica/p.persica_gdr_reftransV1_0004019","p.persica_gdr_reftransV1_0004019")</f>
        <v>p.persica_gdr_reftransV1_0004019</v>
      </c>
      <c r="B4927" s="2">
        <v>738</v>
      </c>
      <c r="C4927" s="4" t="str">
        <f>HYPERLINK("http://www.uniprot.org/uniprot/M5X1H6","M5X1H6")</f>
        <v>M5X1H6</v>
      </c>
      <c r="D4927" s="2" t="s">
        <v>4558</v>
      </c>
      <c r="E4927" s="3">
        <v>4.6799999999999999E-158</v>
      </c>
      <c r="F4927" s="2">
        <v>1172</v>
      </c>
      <c r="G4927" s="2">
        <v>100</v>
      </c>
      <c r="H4927" s="2">
        <v>220</v>
      </c>
      <c r="I4927" s="2">
        <v>78</v>
      </c>
      <c r="J4927" s="2">
        <v>737</v>
      </c>
      <c r="K4927" s="2">
        <v>1</v>
      </c>
      <c r="L4927" s="2">
        <v>220</v>
      </c>
    </row>
    <row r="4928" spans="1:12" x14ac:dyDescent="0.25">
      <c r="A4928" s="4" t="str">
        <f>HYPERLINK("http://www.rosaceae.org/Prunus/Prunus_persica/p.persica_gdr_reftransV1_0004369","p.persica_gdr_reftransV1_0004369")</f>
        <v>p.persica_gdr_reftransV1_0004369</v>
      </c>
      <c r="B4928" s="2">
        <v>1144</v>
      </c>
      <c r="C4928" s="4" t="str">
        <f>HYPERLINK("http://www.uniprot.org/uniprot/M5VZU7","M5VZU7")</f>
        <v>M5VZU7</v>
      </c>
      <c r="D4928" s="2" t="s">
        <v>4559</v>
      </c>
      <c r="E4928" s="3">
        <v>3.0700000000000001E-135</v>
      </c>
      <c r="F4928" s="2">
        <v>1023</v>
      </c>
      <c r="G4928" s="2">
        <v>100</v>
      </c>
      <c r="H4928" s="2">
        <v>239</v>
      </c>
      <c r="I4928" s="2">
        <v>302</v>
      </c>
      <c r="J4928" s="2">
        <v>1018</v>
      </c>
      <c r="K4928" s="2">
        <v>1</v>
      </c>
      <c r="L4928" s="2">
        <v>239</v>
      </c>
    </row>
    <row r="4929" spans="1:12" x14ac:dyDescent="0.25">
      <c r="A4929" s="4" t="str">
        <f>HYPERLINK("http://www.rosaceae.org/Prunus/Prunus_persica/p.persica_gdr_reftransV1_0004719","p.persica_gdr_reftransV1_0004719")</f>
        <v>p.persica_gdr_reftransV1_0004719</v>
      </c>
      <c r="B4929" s="2">
        <v>1020</v>
      </c>
      <c r="C4929" s="4" t="str">
        <f>HYPERLINK("http://www.uniprot.org/uniprot/M5XEU9","M5XEU9")</f>
        <v>M5XEU9</v>
      </c>
      <c r="D4929" s="2" t="s">
        <v>4547</v>
      </c>
      <c r="E4929" s="3">
        <v>4.4800000000000002E-140</v>
      </c>
      <c r="F4929" s="2">
        <v>1052</v>
      </c>
      <c r="G4929" s="2">
        <v>100</v>
      </c>
      <c r="H4929" s="2">
        <v>201</v>
      </c>
      <c r="I4929" s="2">
        <v>205</v>
      </c>
      <c r="J4929" s="2">
        <v>807</v>
      </c>
      <c r="K4929" s="2">
        <v>61</v>
      </c>
      <c r="L4929" s="2">
        <v>261</v>
      </c>
    </row>
    <row r="4930" spans="1:12" x14ac:dyDescent="0.25">
      <c r="A4930" s="4" t="str">
        <f>HYPERLINK("http://www.rosaceae.org/Prunus/Prunus_persica/p.persica_gdr_reftransV1_0006469","p.persica_gdr_reftransV1_0006469")</f>
        <v>p.persica_gdr_reftransV1_0006469</v>
      </c>
      <c r="B4930" s="2">
        <v>2358</v>
      </c>
      <c r="C4930" s="4" t="str">
        <f>HYPERLINK("http://www.uniprot.org/uniprot/M5WBW8","M5WBW8")</f>
        <v>M5WBW8</v>
      </c>
      <c r="D4930" s="2" t="s">
        <v>4560</v>
      </c>
      <c r="E4930" s="3">
        <v>0</v>
      </c>
      <c r="F4930" s="2">
        <v>3936</v>
      </c>
      <c r="G4930" s="2">
        <v>100</v>
      </c>
      <c r="H4930" s="2">
        <v>757</v>
      </c>
      <c r="I4930" s="2">
        <v>87</v>
      </c>
      <c r="J4930" s="2">
        <v>2357</v>
      </c>
      <c r="K4930" s="2">
        <v>17</v>
      </c>
      <c r="L4930" s="2">
        <v>773</v>
      </c>
    </row>
    <row r="4931" spans="1:12" x14ac:dyDescent="0.25">
      <c r="A4931" s="4" t="str">
        <f>HYPERLINK("http://www.rosaceae.org/Prunus/Prunus_persica/p.persica_gdr_reftransV1_0006819","p.persica_gdr_reftransV1_0006819")</f>
        <v>p.persica_gdr_reftransV1_0006819</v>
      </c>
      <c r="B4931" s="2">
        <v>579</v>
      </c>
      <c r="C4931" s="4" t="str">
        <f>HYPERLINK("http://www.uniprot.org/uniprot/M5X354","M5X354")</f>
        <v>M5X354</v>
      </c>
      <c r="D4931" s="2" t="s">
        <v>2021</v>
      </c>
      <c r="E4931" s="3">
        <v>6.8900000000000002E-49</v>
      </c>
      <c r="F4931" s="2">
        <v>439</v>
      </c>
      <c r="G4931" s="2">
        <v>100</v>
      </c>
      <c r="H4931" s="2">
        <v>117</v>
      </c>
      <c r="I4931" s="2">
        <v>72</v>
      </c>
      <c r="J4931" s="2">
        <v>422</v>
      </c>
      <c r="K4931" s="2">
        <v>1</v>
      </c>
      <c r="L4931" s="2">
        <v>117</v>
      </c>
    </row>
    <row r="4932" spans="1:12" x14ac:dyDescent="0.25">
      <c r="A4932" s="4" t="str">
        <f>HYPERLINK("http://www.rosaceae.org/Prunus/Prunus_persica/p.persica_gdr_reftransV1_0007169","p.persica_gdr_reftransV1_0007169")</f>
        <v>p.persica_gdr_reftransV1_0007169</v>
      </c>
      <c r="B4932" s="2">
        <v>1087</v>
      </c>
      <c r="C4932" s="4" t="str">
        <f>HYPERLINK("http://www.uniprot.org/uniprot/W9SBN2","W9SBN2")</f>
        <v>W9SBN2</v>
      </c>
      <c r="D4932" s="2" t="s">
        <v>4561</v>
      </c>
      <c r="E4932" s="3">
        <v>1.14E-15</v>
      </c>
      <c r="F4932" s="2">
        <v>202</v>
      </c>
      <c r="G4932" s="2">
        <v>43</v>
      </c>
      <c r="H4932" s="2">
        <v>152</v>
      </c>
      <c r="I4932" s="2">
        <v>167</v>
      </c>
      <c r="J4932" s="2">
        <v>613</v>
      </c>
      <c r="K4932" s="2">
        <v>6</v>
      </c>
      <c r="L4932" s="2">
        <v>140</v>
      </c>
    </row>
    <row r="4933" spans="1:12" x14ac:dyDescent="0.25">
      <c r="A4933" s="4" t="str">
        <f>HYPERLINK("http://www.rosaceae.org/Prunus/Prunus_persica/p.persica_gdr_reftransV1_0008219","p.persica_gdr_reftransV1_0008219")</f>
        <v>p.persica_gdr_reftransV1_0008219</v>
      </c>
      <c r="B4933" s="2">
        <v>1476</v>
      </c>
      <c r="C4933" s="4" t="str">
        <f>HYPERLINK("http://www.uniprot.org/uniprot/M5VW38","M5VW38")</f>
        <v>M5VW38</v>
      </c>
      <c r="D4933" s="2" t="s">
        <v>4562</v>
      </c>
      <c r="E4933" s="3">
        <v>0</v>
      </c>
      <c r="F4933" s="2">
        <v>1661</v>
      </c>
      <c r="G4933" s="2">
        <v>100</v>
      </c>
      <c r="H4933" s="2">
        <v>313</v>
      </c>
      <c r="I4933" s="2">
        <v>2</v>
      </c>
      <c r="J4933" s="2">
        <v>940</v>
      </c>
      <c r="K4933" s="2">
        <v>276</v>
      </c>
      <c r="L4933" s="2">
        <v>588</v>
      </c>
    </row>
    <row r="4934" spans="1:12" x14ac:dyDescent="0.25">
      <c r="A4934" s="4" t="str">
        <f>HYPERLINK("http://www.rosaceae.org/Prunus/Prunus_persica/p.persica_gdr_reftransV1_0008569","p.persica_gdr_reftransV1_0008569")</f>
        <v>p.persica_gdr_reftransV1_0008569</v>
      </c>
      <c r="B4934" s="2">
        <v>933</v>
      </c>
      <c r="C4934" s="4" t="str">
        <f>HYPERLINK("http://www.uniprot.org/uniprot/M5X4I5","M5X4I5")</f>
        <v>M5X4I5</v>
      </c>
      <c r="D4934" s="2" t="s">
        <v>4563</v>
      </c>
      <c r="E4934" s="3">
        <v>1.13E-97</v>
      </c>
      <c r="F4934" s="2">
        <v>824</v>
      </c>
      <c r="G4934" s="2">
        <v>89</v>
      </c>
      <c r="H4934" s="2">
        <v>175</v>
      </c>
      <c r="I4934" s="2">
        <v>408</v>
      </c>
      <c r="J4934" s="2">
        <v>932</v>
      </c>
      <c r="K4934" s="2">
        <v>1</v>
      </c>
      <c r="L4934" s="2">
        <v>175</v>
      </c>
    </row>
    <row r="4935" spans="1:12" x14ac:dyDescent="0.25">
      <c r="A4935" s="4" t="str">
        <f>HYPERLINK("http://www.rosaceae.org/Prunus/Prunus_persica/p.persica_gdr_reftransV1_0009269","p.persica_gdr_reftransV1_0009269")</f>
        <v>p.persica_gdr_reftransV1_0009269</v>
      </c>
      <c r="B4935" s="2">
        <v>1268</v>
      </c>
      <c r="C4935" s="4" t="str">
        <f>HYPERLINK("http://www.uniprot.org/uniprot/M5VZW4","M5VZW4")</f>
        <v>M5VZW4</v>
      </c>
      <c r="D4935" s="2" t="s">
        <v>4564</v>
      </c>
      <c r="E4935" s="3">
        <v>3.49E-128</v>
      </c>
      <c r="F4935" s="2">
        <v>979</v>
      </c>
      <c r="G4935" s="2">
        <v>100</v>
      </c>
      <c r="H4935" s="2">
        <v>188</v>
      </c>
      <c r="I4935" s="2">
        <v>429</v>
      </c>
      <c r="J4935" s="2">
        <v>992</v>
      </c>
      <c r="K4935" s="2">
        <v>46</v>
      </c>
      <c r="L4935" s="2">
        <v>233</v>
      </c>
    </row>
    <row r="4936" spans="1:12" x14ac:dyDescent="0.25">
      <c r="A4936" s="4" t="str">
        <f>HYPERLINK("http://www.rosaceae.org/Prunus/Prunus_persica/p.persica_gdr_reftransV1_0009619","p.persica_gdr_reftransV1_0009619")</f>
        <v>p.persica_gdr_reftransV1_0009619</v>
      </c>
      <c r="B4936" s="2">
        <v>2487</v>
      </c>
      <c r="C4936" s="4" t="str">
        <f>HYPERLINK("http://www.uniprot.org/uniprot/M5XQU9","M5XQU9")</f>
        <v>M5XQU9</v>
      </c>
      <c r="D4936" s="2" t="s">
        <v>4565</v>
      </c>
      <c r="E4936" s="3">
        <v>0</v>
      </c>
      <c r="F4936" s="2">
        <v>2826</v>
      </c>
      <c r="G4936" s="2">
        <v>94</v>
      </c>
      <c r="H4936" s="2">
        <v>646</v>
      </c>
      <c r="I4936" s="2">
        <v>262</v>
      </c>
      <c r="J4936" s="2">
        <v>2199</v>
      </c>
      <c r="K4936" s="2">
        <v>1</v>
      </c>
      <c r="L4936" s="2">
        <v>609</v>
      </c>
    </row>
    <row r="4937" spans="1:12" x14ac:dyDescent="0.25">
      <c r="A4937" s="4" t="str">
        <f>HYPERLINK("http://www.rosaceae.org/Prunus/Prunus_persica/p.persica_gdr_reftransV1_0010669","p.persica_gdr_reftransV1_0010669")</f>
        <v>p.persica_gdr_reftransV1_0010669</v>
      </c>
      <c r="B4937" s="2">
        <v>2298</v>
      </c>
      <c r="C4937" s="4" t="str">
        <f>HYPERLINK("http://www.uniprot.org/uniprot/M5WAY4","M5WAY4")</f>
        <v>M5WAY4</v>
      </c>
      <c r="D4937" s="2" t="s">
        <v>4566</v>
      </c>
      <c r="E4937" s="3">
        <v>0</v>
      </c>
      <c r="F4937" s="2">
        <v>2275</v>
      </c>
      <c r="G4937" s="2">
        <v>100</v>
      </c>
      <c r="H4937" s="2">
        <v>437</v>
      </c>
      <c r="I4937" s="2">
        <v>531</v>
      </c>
      <c r="J4937" s="2">
        <v>1841</v>
      </c>
      <c r="K4937" s="2">
        <v>1</v>
      </c>
      <c r="L4937" s="2">
        <v>437</v>
      </c>
    </row>
    <row r="4938" spans="1:12" x14ac:dyDescent="0.25">
      <c r="A4938" s="4" t="str">
        <f>HYPERLINK("http://www.rosaceae.org/Prunus/Prunus_persica/p.persica_gdr_reftransV1_0012769","p.persica_gdr_reftransV1_0012769")</f>
        <v>p.persica_gdr_reftransV1_0012769</v>
      </c>
      <c r="B4938" s="2">
        <v>857</v>
      </c>
      <c r="C4938" s="4" t="str">
        <f>HYPERLINK("http://www.uniprot.org/uniprot/M5X4A7","M5X4A7")</f>
        <v>M5X4A7</v>
      </c>
      <c r="D4938" s="2" t="s">
        <v>4567</v>
      </c>
      <c r="E4938" s="3">
        <v>1.61E-75</v>
      </c>
      <c r="F4938" s="2">
        <v>606</v>
      </c>
      <c r="G4938" s="2">
        <v>100</v>
      </c>
      <c r="H4938" s="2">
        <v>119</v>
      </c>
      <c r="I4938" s="2">
        <v>329</v>
      </c>
      <c r="J4938" s="2">
        <v>685</v>
      </c>
      <c r="K4938" s="2">
        <v>1</v>
      </c>
      <c r="L4938" s="2">
        <v>119</v>
      </c>
    </row>
    <row r="4939" spans="1:12" x14ac:dyDescent="0.25">
      <c r="A4939" s="4" t="str">
        <f>HYPERLINK("http://www.rosaceae.org/Prunus/Prunus_persica/p.persica_gdr_reftransV1_0013119","p.persica_gdr_reftransV1_0013119")</f>
        <v>p.persica_gdr_reftransV1_0013119</v>
      </c>
      <c r="B4939" s="2">
        <v>2588</v>
      </c>
      <c r="C4939" s="4" t="str">
        <f>HYPERLINK("http://www.uniprot.org/uniprot/M5WMV3","M5WMV3")</f>
        <v>M5WMV3</v>
      </c>
      <c r="D4939" s="2" t="s">
        <v>4568</v>
      </c>
      <c r="E4939" s="3">
        <v>8.0600000000000004E-99</v>
      </c>
      <c r="F4939" s="2">
        <v>824</v>
      </c>
      <c r="G4939" s="2">
        <v>97</v>
      </c>
      <c r="H4939" s="2">
        <v>156</v>
      </c>
      <c r="I4939" s="2">
        <v>1877</v>
      </c>
      <c r="J4939" s="2">
        <v>2344</v>
      </c>
      <c r="K4939" s="2">
        <v>143</v>
      </c>
      <c r="L4939" s="2">
        <v>298</v>
      </c>
    </row>
    <row r="4940" spans="1:12" x14ac:dyDescent="0.25">
      <c r="A4940" s="4" t="str">
        <f>HYPERLINK("http://www.rosaceae.org/Prunus/Prunus_persica/p.persica_gdr_reftransV1_0014169","p.persica_gdr_reftransV1_0014169")</f>
        <v>p.persica_gdr_reftransV1_0014169</v>
      </c>
      <c r="B4940" s="2">
        <v>498</v>
      </c>
      <c r="C4940" s="4" t="str">
        <f>HYPERLINK("http://www.uniprot.org/uniprot/M5W5N4","M5W5N4")</f>
        <v>M5W5N4</v>
      </c>
      <c r="D4940" s="2" t="s">
        <v>4467</v>
      </c>
      <c r="E4940" s="3">
        <v>6.7099999999999999E-98</v>
      </c>
      <c r="F4940" s="2">
        <v>810</v>
      </c>
      <c r="G4940" s="2">
        <v>100</v>
      </c>
      <c r="H4940" s="2">
        <v>165</v>
      </c>
      <c r="I4940" s="2">
        <v>3</v>
      </c>
      <c r="J4940" s="2">
        <v>497</v>
      </c>
      <c r="K4940" s="2">
        <v>607</v>
      </c>
      <c r="L4940" s="2">
        <v>771</v>
      </c>
    </row>
    <row r="4941" spans="1:12" x14ac:dyDescent="0.25">
      <c r="A4941" s="4" t="str">
        <f>HYPERLINK("http://www.rosaceae.org/Prunus/Prunus_persica/p.persica_gdr_reftransV1_0014519","p.persica_gdr_reftransV1_0014519")</f>
        <v>p.persica_gdr_reftransV1_0014519</v>
      </c>
      <c r="B4941" s="2">
        <v>1768</v>
      </c>
      <c r="C4941" s="4" t="str">
        <f>HYPERLINK("http://www.uniprot.org/uniprot/B5THI2","B5THI2")</f>
        <v>B5THI2</v>
      </c>
      <c r="D4941" s="2" t="s">
        <v>4569</v>
      </c>
      <c r="E4941" s="3">
        <v>0</v>
      </c>
      <c r="F4941" s="2">
        <v>1663</v>
      </c>
      <c r="G4941" s="2">
        <v>100</v>
      </c>
      <c r="H4941" s="2">
        <v>343</v>
      </c>
      <c r="I4941" s="2">
        <v>239</v>
      </c>
      <c r="J4941" s="2">
        <v>1267</v>
      </c>
      <c r="K4941" s="2">
        <v>1</v>
      </c>
      <c r="L4941" s="2">
        <v>343</v>
      </c>
    </row>
    <row r="4942" spans="1:12" x14ac:dyDescent="0.25">
      <c r="A4942" s="4" t="str">
        <f>HYPERLINK("http://www.rosaceae.org/Prunus/Prunus_persica/p.persica_gdr_reftransV1_0015219","p.persica_gdr_reftransV1_0015219")</f>
        <v>p.persica_gdr_reftransV1_0015219</v>
      </c>
      <c r="B4942" s="2">
        <v>410</v>
      </c>
      <c r="C4942" s="4" t="str">
        <f>HYPERLINK("http://www.uniprot.org/uniprot/M5WYK3","M5WYK3")</f>
        <v>M5WYK3</v>
      </c>
      <c r="D4942" s="2" t="s">
        <v>4570</v>
      </c>
      <c r="E4942" s="3">
        <v>5.5900000000000002E-45</v>
      </c>
      <c r="F4942" s="2">
        <v>389</v>
      </c>
      <c r="G4942" s="2">
        <v>97</v>
      </c>
      <c r="H4942" s="2">
        <v>78</v>
      </c>
      <c r="I4942" s="2">
        <v>176</v>
      </c>
      <c r="J4942" s="2">
        <v>409</v>
      </c>
      <c r="K4942" s="2">
        <v>1</v>
      </c>
      <c r="L4942" s="2">
        <v>78</v>
      </c>
    </row>
    <row r="4943" spans="1:12" x14ac:dyDescent="0.25">
      <c r="A4943" s="4" t="str">
        <f>HYPERLINK("http://www.rosaceae.org/Prunus/Prunus_persica/p.persica_gdr_reftransV1_0015569","p.persica_gdr_reftransV1_0015569")</f>
        <v>p.persica_gdr_reftransV1_0015569</v>
      </c>
      <c r="B4943" s="2">
        <v>1449</v>
      </c>
      <c r="C4943" s="4" t="str">
        <f>HYPERLINK("http://www.uniprot.org/uniprot/M5W5X9","M5W5X9")</f>
        <v>M5W5X9</v>
      </c>
      <c r="D4943" s="2" t="s">
        <v>4571</v>
      </c>
      <c r="E4943" s="3">
        <v>2.3100000000000002E-64</v>
      </c>
      <c r="F4943" s="2">
        <v>546</v>
      </c>
      <c r="G4943" s="2">
        <v>100</v>
      </c>
      <c r="H4943" s="2">
        <v>105</v>
      </c>
      <c r="I4943" s="2">
        <v>501</v>
      </c>
      <c r="J4943" s="2">
        <v>815</v>
      </c>
      <c r="K4943" s="2">
        <v>1</v>
      </c>
      <c r="L4943" s="2">
        <v>105</v>
      </c>
    </row>
    <row r="4944" spans="1:12" x14ac:dyDescent="0.25">
      <c r="A4944" s="4" t="str">
        <f>HYPERLINK("http://www.rosaceae.org/Prunus/Prunus_persica/p.persica_gdr_reftransV1_0015919","p.persica_gdr_reftransV1_0015919")</f>
        <v>p.persica_gdr_reftransV1_0015919</v>
      </c>
      <c r="B4944" s="2">
        <v>1394</v>
      </c>
      <c r="C4944" s="4" t="str">
        <f>HYPERLINK("http://www.uniprot.org/uniprot/M5X0V5","M5X0V5")</f>
        <v>M5X0V5</v>
      </c>
      <c r="D4944" s="2" t="s">
        <v>4572</v>
      </c>
      <c r="E4944" s="3">
        <v>0</v>
      </c>
      <c r="F4944" s="2">
        <v>1605</v>
      </c>
      <c r="G4944" s="2">
        <v>100</v>
      </c>
      <c r="H4944" s="2">
        <v>358</v>
      </c>
      <c r="I4944" s="2">
        <v>207</v>
      </c>
      <c r="J4944" s="2">
        <v>1280</v>
      </c>
      <c r="K4944" s="2">
        <v>1</v>
      </c>
      <c r="L4944" s="2">
        <v>358</v>
      </c>
    </row>
    <row r="4945" spans="1:12" x14ac:dyDescent="0.25">
      <c r="A4945" s="4" t="str">
        <f>HYPERLINK("http://www.rosaceae.org/Prunus/Prunus_persica/p.persica_gdr_reftransV1_0016269","p.persica_gdr_reftransV1_0016269")</f>
        <v>p.persica_gdr_reftransV1_0016269</v>
      </c>
      <c r="B4945" s="2">
        <v>4923</v>
      </c>
      <c r="C4945" s="4" t="str">
        <f>HYPERLINK("http://www.uniprot.org/uniprot/M5XLZ7","M5XLZ7")</f>
        <v>M5XLZ7</v>
      </c>
      <c r="D4945" s="2" t="s">
        <v>4573</v>
      </c>
      <c r="E4945" s="3">
        <v>0</v>
      </c>
      <c r="F4945" s="2">
        <v>3120</v>
      </c>
      <c r="G4945" s="2">
        <v>99</v>
      </c>
      <c r="H4945" s="2">
        <v>612</v>
      </c>
      <c r="I4945" s="2">
        <v>1449</v>
      </c>
      <c r="J4945" s="2">
        <v>3281</v>
      </c>
      <c r="K4945" s="2">
        <v>1</v>
      </c>
      <c r="L4945" s="2">
        <v>612</v>
      </c>
    </row>
    <row r="4946" spans="1:12" x14ac:dyDescent="0.25">
      <c r="A4946" s="4" t="str">
        <f>HYPERLINK("http://www.rosaceae.org/Prunus/Prunus_persica/p.persica_gdr_reftransV1_0016969","p.persica_gdr_reftransV1_0016969")</f>
        <v>p.persica_gdr_reftransV1_0016969</v>
      </c>
      <c r="B4946" s="2">
        <v>2296</v>
      </c>
      <c r="C4946" s="4" t="str">
        <f>HYPERLINK("http://www.uniprot.org/uniprot/M5VQY9","M5VQY9")</f>
        <v>M5VQY9</v>
      </c>
      <c r="D4946" s="2" t="s">
        <v>4574</v>
      </c>
      <c r="E4946" s="3">
        <v>0</v>
      </c>
      <c r="F4946" s="2">
        <v>3005</v>
      </c>
      <c r="G4946" s="2">
        <v>100</v>
      </c>
      <c r="H4946" s="2">
        <v>631</v>
      </c>
      <c r="I4946" s="2">
        <v>232</v>
      </c>
      <c r="J4946" s="2">
        <v>2124</v>
      </c>
      <c r="K4946" s="2">
        <v>18</v>
      </c>
      <c r="L4946" s="2">
        <v>648</v>
      </c>
    </row>
    <row r="4947" spans="1:12" x14ac:dyDescent="0.25">
      <c r="A4947" s="4" t="str">
        <f>HYPERLINK("http://www.rosaceae.org/Prunus/Prunus_persica/p.persica_gdr_reftransV1_0017669","p.persica_gdr_reftransV1_0017669")</f>
        <v>p.persica_gdr_reftransV1_0017669</v>
      </c>
      <c r="B4947" s="2">
        <v>647</v>
      </c>
      <c r="C4947" s="4" t="str">
        <f>HYPERLINK("http://www.uniprot.org/uniprot/M5Y2V8","M5Y2V8")</f>
        <v>M5Y2V8</v>
      </c>
      <c r="D4947" s="2" t="s">
        <v>4575</v>
      </c>
      <c r="E4947" s="3">
        <v>7.1099999999999998E-125</v>
      </c>
      <c r="F4947" s="2">
        <v>984</v>
      </c>
      <c r="G4947" s="2">
        <v>100</v>
      </c>
      <c r="H4947" s="2">
        <v>183</v>
      </c>
      <c r="I4947" s="2">
        <v>3</v>
      </c>
      <c r="J4947" s="2">
        <v>551</v>
      </c>
      <c r="K4947" s="2">
        <v>1</v>
      </c>
      <c r="L4947" s="2">
        <v>183</v>
      </c>
    </row>
    <row r="4948" spans="1:12" x14ac:dyDescent="0.25">
      <c r="A4948" s="4" t="str">
        <f>HYPERLINK("http://www.rosaceae.org/Prunus/Prunus_persica/p.persica_gdr_reftransV1_0018719","p.persica_gdr_reftransV1_0018719")</f>
        <v>p.persica_gdr_reftransV1_0018719</v>
      </c>
      <c r="B4948" s="2">
        <v>2362</v>
      </c>
      <c r="C4948" s="4" t="str">
        <f>HYPERLINK("http://www.uniprot.org/uniprot/M5W020","M5W020")</f>
        <v>M5W020</v>
      </c>
      <c r="D4948" s="2" t="s">
        <v>3932</v>
      </c>
      <c r="E4948" s="3">
        <v>2.37E-87</v>
      </c>
      <c r="F4948" s="2">
        <v>733</v>
      </c>
      <c r="G4948" s="2">
        <v>100</v>
      </c>
      <c r="H4948" s="2">
        <v>138</v>
      </c>
      <c r="I4948" s="2">
        <v>1142</v>
      </c>
      <c r="J4948" s="2">
        <v>1555</v>
      </c>
      <c r="K4948" s="2">
        <v>1</v>
      </c>
      <c r="L4948" s="2">
        <v>138</v>
      </c>
    </row>
    <row r="4949" spans="1:12" x14ac:dyDescent="0.25">
      <c r="A4949" s="4" t="str">
        <f>HYPERLINK("http://www.rosaceae.org/Prunus/Prunus_persica/p.persica_gdr_reftransV1_0019069","p.persica_gdr_reftransV1_0019069")</f>
        <v>p.persica_gdr_reftransV1_0019069</v>
      </c>
      <c r="B4949" s="2">
        <v>1819</v>
      </c>
      <c r="C4949" s="4" t="str">
        <f>HYPERLINK("http://www.uniprot.org/uniprot/M5VTF8","M5VTF8")</f>
        <v>M5VTF8</v>
      </c>
      <c r="D4949" s="2" t="s">
        <v>4576</v>
      </c>
      <c r="E4949" s="3">
        <v>0</v>
      </c>
      <c r="F4949" s="2">
        <v>2745</v>
      </c>
      <c r="G4949" s="2">
        <v>100</v>
      </c>
      <c r="H4949" s="2">
        <v>511</v>
      </c>
      <c r="I4949" s="2">
        <v>241</v>
      </c>
      <c r="J4949" s="2">
        <v>1773</v>
      </c>
      <c r="K4949" s="2">
        <v>1</v>
      </c>
      <c r="L4949" s="2">
        <v>511</v>
      </c>
    </row>
    <row r="4950" spans="1:12" x14ac:dyDescent="0.25">
      <c r="A4950" s="4" t="str">
        <f>HYPERLINK("http://www.rosaceae.org/Prunus/Prunus_persica/p.persica_gdr_reftransV1_0020119","p.persica_gdr_reftransV1_0020119")</f>
        <v>p.persica_gdr_reftransV1_0020119</v>
      </c>
      <c r="B4950" s="2">
        <v>3961</v>
      </c>
      <c r="C4950" s="4" t="str">
        <f>HYPERLINK("http://www.uniprot.org/uniprot/M5WFI7","M5WFI7")</f>
        <v>M5WFI7</v>
      </c>
      <c r="D4950" s="2" t="s">
        <v>4577</v>
      </c>
      <c r="E4950" s="3">
        <v>0</v>
      </c>
      <c r="F4950" s="2">
        <v>2521</v>
      </c>
      <c r="G4950" s="2">
        <v>100</v>
      </c>
      <c r="H4950" s="2">
        <v>500</v>
      </c>
      <c r="I4950" s="2">
        <v>459</v>
      </c>
      <c r="J4950" s="2">
        <v>1958</v>
      </c>
      <c r="K4950" s="2">
        <v>1</v>
      </c>
      <c r="L4950" s="2">
        <v>500</v>
      </c>
    </row>
    <row r="4951" spans="1:12" x14ac:dyDescent="0.25">
      <c r="A4951" s="4" t="str">
        <f>HYPERLINK("http://www.rosaceae.org/Prunus/Prunus_persica/p.persica_gdr_reftransV1_0020469","p.persica_gdr_reftransV1_0020469")</f>
        <v>p.persica_gdr_reftransV1_0020469</v>
      </c>
      <c r="B4951" s="2">
        <v>3487</v>
      </c>
      <c r="C4951" s="4" t="str">
        <f>HYPERLINK("http://www.uniprot.org/uniprot/M5W6E6","M5W6E6")</f>
        <v>M5W6E6</v>
      </c>
      <c r="D4951" s="2" t="s">
        <v>4578</v>
      </c>
      <c r="E4951" s="3">
        <v>0</v>
      </c>
      <c r="F4951" s="2">
        <v>2555</v>
      </c>
      <c r="G4951" s="2">
        <v>100</v>
      </c>
      <c r="H4951" s="2">
        <v>502</v>
      </c>
      <c r="I4951" s="2">
        <v>1392</v>
      </c>
      <c r="J4951" s="2">
        <v>2897</v>
      </c>
      <c r="K4951" s="2">
        <v>38</v>
      </c>
      <c r="L4951" s="2">
        <v>539</v>
      </c>
    </row>
    <row r="4952" spans="1:12" x14ac:dyDescent="0.25">
      <c r="A4952" s="4" t="str">
        <f>HYPERLINK("http://www.rosaceae.org/Prunus/Prunus_persica/p.persica_gdr_reftransV1_0020819","p.persica_gdr_reftransV1_0020819")</f>
        <v>p.persica_gdr_reftransV1_0020819</v>
      </c>
      <c r="B4952" s="2">
        <v>4183</v>
      </c>
      <c r="C4952" s="4" t="str">
        <f>HYPERLINK("http://www.uniprot.org/uniprot/M5WCC5","M5WCC5")</f>
        <v>M5WCC5</v>
      </c>
      <c r="D4952" s="2" t="s">
        <v>4579</v>
      </c>
      <c r="E4952" s="3">
        <v>0</v>
      </c>
      <c r="F4952" s="2">
        <v>4725</v>
      </c>
      <c r="G4952" s="2">
        <v>96</v>
      </c>
      <c r="H4952" s="2">
        <v>994</v>
      </c>
      <c r="I4952" s="2">
        <v>323</v>
      </c>
      <c r="J4952" s="2">
        <v>3304</v>
      </c>
      <c r="K4952" s="2">
        <v>90</v>
      </c>
      <c r="L4952" s="2">
        <v>1077</v>
      </c>
    </row>
    <row r="4953" spans="1:12" x14ac:dyDescent="0.25">
      <c r="A4953" s="4" t="str">
        <f>HYPERLINK("http://www.rosaceae.org/Prunus/Prunus_persica/p.persica_gdr_reftransV1_0021519","p.persica_gdr_reftransV1_0021519")</f>
        <v>p.persica_gdr_reftransV1_0021519</v>
      </c>
      <c r="B4953" s="2">
        <v>2359</v>
      </c>
      <c r="C4953" s="4" t="str">
        <f>HYPERLINK("http://www.uniprot.org/uniprot/M5VJ58","M5VJ58")</f>
        <v>M5VJ58</v>
      </c>
      <c r="D4953" s="2" t="s">
        <v>4580</v>
      </c>
      <c r="E4953" s="3">
        <v>4.45E-150</v>
      </c>
      <c r="F4953" s="2">
        <v>1175</v>
      </c>
      <c r="G4953" s="2">
        <v>96</v>
      </c>
      <c r="H4953" s="2">
        <v>268</v>
      </c>
      <c r="I4953" s="2">
        <v>1236</v>
      </c>
      <c r="J4953" s="2">
        <v>2030</v>
      </c>
      <c r="K4953" s="2">
        <v>42</v>
      </c>
      <c r="L4953" s="2">
        <v>309</v>
      </c>
    </row>
    <row r="4954" spans="1:12" x14ac:dyDescent="0.25">
      <c r="A4954" s="4" t="str">
        <f>HYPERLINK("http://www.rosaceae.org/Prunus/Prunus_persica/p.persica_gdr_reftransV1_0021869","p.persica_gdr_reftransV1_0021869")</f>
        <v>p.persica_gdr_reftransV1_0021869</v>
      </c>
      <c r="B4954" s="2">
        <v>1003</v>
      </c>
      <c r="C4954" s="4" t="str">
        <f>HYPERLINK("http://www.uniprot.org/uniprot/M5WZA3","M5WZA3")</f>
        <v>M5WZA3</v>
      </c>
      <c r="D4954" s="2" t="s">
        <v>4581</v>
      </c>
      <c r="E4954" s="3">
        <v>9.4700000000000007E-99</v>
      </c>
      <c r="F4954" s="2">
        <v>798</v>
      </c>
      <c r="G4954" s="2">
        <v>100</v>
      </c>
      <c r="H4954" s="2">
        <v>164</v>
      </c>
      <c r="I4954" s="2">
        <v>511</v>
      </c>
      <c r="J4954" s="2">
        <v>1002</v>
      </c>
      <c r="K4954" s="2">
        <v>319</v>
      </c>
      <c r="L4954" s="2">
        <v>482</v>
      </c>
    </row>
    <row r="4955" spans="1:12" x14ac:dyDescent="0.25">
      <c r="A4955" s="4" t="str">
        <f>HYPERLINK("http://www.rosaceae.org/Prunus/Prunus_persica/p.persica_gdr_reftransV1_0022219","p.persica_gdr_reftransV1_0022219")</f>
        <v>p.persica_gdr_reftransV1_0022219</v>
      </c>
      <c r="B4955" s="2">
        <v>2207</v>
      </c>
      <c r="C4955" s="4" t="str">
        <f>HYPERLINK("http://www.uniprot.org/uniprot/M5XFF8","M5XFF8")</f>
        <v>M5XFF8</v>
      </c>
      <c r="D4955" s="2" t="s">
        <v>4582</v>
      </c>
      <c r="E4955" s="3">
        <v>1.8999999999999999E-158</v>
      </c>
      <c r="F4955" s="2">
        <v>1213</v>
      </c>
      <c r="G4955" s="2">
        <v>98</v>
      </c>
      <c r="H4955" s="2">
        <v>232</v>
      </c>
      <c r="I4955" s="2">
        <v>254</v>
      </c>
      <c r="J4955" s="2">
        <v>949</v>
      </c>
      <c r="K4955" s="2">
        <v>37</v>
      </c>
      <c r="L4955" s="2">
        <v>268</v>
      </c>
    </row>
    <row r="4956" spans="1:12" x14ac:dyDescent="0.25">
      <c r="A4956" s="4" t="str">
        <f>HYPERLINK("http://www.rosaceae.org/Prunus/Prunus_persica/p.persica_gdr_reftransV1_0023969","p.persica_gdr_reftransV1_0023969")</f>
        <v>p.persica_gdr_reftransV1_0023969</v>
      </c>
      <c r="B4956" s="2">
        <v>2026</v>
      </c>
      <c r="C4956" s="4" t="str">
        <f>HYPERLINK("http://www.uniprot.org/uniprot/M5XQZ5","M5XQZ5")</f>
        <v>M5XQZ5</v>
      </c>
      <c r="D4956" s="2" t="s">
        <v>4583</v>
      </c>
      <c r="E4956" s="3">
        <v>0</v>
      </c>
      <c r="F4956" s="2">
        <v>2387</v>
      </c>
      <c r="G4956" s="2">
        <v>100</v>
      </c>
      <c r="H4956" s="2">
        <v>444</v>
      </c>
      <c r="I4956" s="2">
        <v>177</v>
      </c>
      <c r="J4956" s="2">
        <v>1508</v>
      </c>
      <c r="K4956" s="2">
        <v>1</v>
      </c>
      <c r="L4956" s="2">
        <v>444</v>
      </c>
    </row>
    <row r="4957" spans="1:12" x14ac:dyDescent="0.25">
      <c r="A4957" s="4" t="str">
        <f>HYPERLINK("http://www.rosaceae.org/Prunus/Prunus_persica/p.persica_gdr_reftransV1_0024669","p.persica_gdr_reftransV1_0024669")</f>
        <v>p.persica_gdr_reftransV1_0024669</v>
      </c>
      <c r="B4957" s="2">
        <v>1552</v>
      </c>
      <c r="C4957" s="4" t="str">
        <f>HYPERLINK("http://www.uniprot.org/uniprot/M5WGQ3","M5WGQ3")</f>
        <v>M5WGQ3</v>
      </c>
      <c r="D4957" s="2" t="s">
        <v>1583</v>
      </c>
      <c r="E4957" s="3">
        <v>1.31E-41</v>
      </c>
      <c r="F4957" s="2">
        <v>394</v>
      </c>
      <c r="G4957" s="2">
        <v>100</v>
      </c>
      <c r="H4957" s="2">
        <v>75</v>
      </c>
      <c r="I4957" s="2">
        <v>1179</v>
      </c>
      <c r="J4957" s="2">
        <v>1403</v>
      </c>
      <c r="K4957" s="2">
        <v>1</v>
      </c>
      <c r="L4957" s="2">
        <v>75</v>
      </c>
    </row>
    <row r="4958" spans="1:12" x14ac:dyDescent="0.25">
      <c r="A4958" s="4" t="str">
        <f>HYPERLINK("http://www.rosaceae.org/Prunus/Prunus_persica/p.persica_gdr_reftransV1_0025719","p.persica_gdr_reftransV1_0025719")</f>
        <v>p.persica_gdr_reftransV1_0025719</v>
      </c>
      <c r="B4958" s="2">
        <v>1019</v>
      </c>
      <c r="C4958" s="4" t="str">
        <f>HYPERLINK("http://www.uniprot.org/uniprot/M5Y5Q6","M5Y5Q6")</f>
        <v>M5Y5Q6</v>
      </c>
      <c r="D4958" s="2" t="s">
        <v>626</v>
      </c>
      <c r="E4958" s="3">
        <v>9.8899999999999995E-95</v>
      </c>
      <c r="F4958" s="2">
        <v>740</v>
      </c>
      <c r="G4958" s="2">
        <v>100</v>
      </c>
      <c r="H4958" s="2">
        <v>140</v>
      </c>
      <c r="I4958" s="2">
        <v>402</v>
      </c>
      <c r="J4958" s="2">
        <v>821</v>
      </c>
      <c r="K4958" s="2">
        <v>1</v>
      </c>
      <c r="L4958" s="2">
        <v>140</v>
      </c>
    </row>
    <row r="4959" spans="1:12" x14ac:dyDescent="0.25">
      <c r="A4959" s="4" t="str">
        <f>HYPERLINK("http://www.rosaceae.org/Prunus/Prunus_persica/p.persica_gdr_reftransV1_0028169","p.persica_gdr_reftransV1_0028169")</f>
        <v>p.persica_gdr_reftransV1_0028169</v>
      </c>
      <c r="B4959" s="2">
        <v>1888</v>
      </c>
      <c r="C4959" s="4" t="str">
        <f>HYPERLINK("http://www.uniprot.org/uniprot/M5X077","M5X077")</f>
        <v>M5X077</v>
      </c>
      <c r="D4959" s="2" t="s">
        <v>4584</v>
      </c>
      <c r="E4959" s="3">
        <v>0</v>
      </c>
      <c r="F4959" s="2">
        <v>2060</v>
      </c>
      <c r="G4959" s="2">
        <v>100</v>
      </c>
      <c r="H4959" s="2">
        <v>381</v>
      </c>
      <c r="I4959" s="2">
        <v>381</v>
      </c>
      <c r="J4959" s="2">
        <v>1523</v>
      </c>
      <c r="K4959" s="2">
        <v>1</v>
      </c>
      <c r="L4959" s="2">
        <v>381</v>
      </c>
    </row>
    <row r="4960" spans="1:12" x14ac:dyDescent="0.25">
      <c r="A4960" s="4" t="str">
        <f>HYPERLINK("http://www.rosaceae.org/Prunus/Prunus_persica/p.persica_gdr_reftransV1_0029219","p.persica_gdr_reftransV1_0029219")</f>
        <v>p.persica_gdr_reftransV1_0029219</v>
      </c>
      <c r="B4960" s="2">
        <v>3205</v>
      </c>
      <c r="C4960" s="4" t="str">
        <f>HYPERLINK("http://www.uniprot.org/uniprot/M5XFY1","M5XFY1")</f>
        <v>M5XFY1</v>
      </c>
      <c r="D4960" s="2" t="s">
        <v>4585</v>
      </c>
      <c r="E4960" s="3">
        <v>5.0099999999999999E-76</v>
      </c>
      <c r="F4960" s="2">
        <v>672</v>
      </c>
      <c r="G4960" s="2">
        <v>96</v>
      </c>
      <c r="H4960" s="2">
        <v>134</v>
      </c>
      <c r="I4960" s="2">
        <v>2575</v>
      </c>
      <c r="J4960" s="2">
        <v>2976</v>
      </c>
      <c r="K4960" s="2">
        <v>15</v>
      </c>
      <c r="L4960" s="2">
        <v>144</v>
      </c>
    </row>
    <row r="4961" spans="1:12" x14ac:dyDescent="0.25">
      <c r="A4961" s="4" t="str">
        <f>HYPERLINK("http://www.rosaceae.org/Prunus/Prunus_persica/p.persica_gdr_reftransV1_0030269","p.persica_gdr_reftransV1_0030269")</f>
        <v>p.persica_gdr_reftransV1_0030269</v>
      </c>
      <c r="B4961" s="2">
        <v>1916</v>
      </c>
      <c r="C4961" s="4" t="str">
        <f>HYPERLINK("http://www.uniprot.org/uniprot/A0A067GBD8","A0A067GBD8")</f>
        <v>A0A067GBD8</v>
      </c>
      <c r="D4961" s="2" t="s">
        <v>4586</v>
      </c>
      <c r="E4961" s="3">
        <v>8.5599999999999993E-80</v>
      </c>
      <c r="F4961" s="2">
        <v>681</v>
      </c>
      <c r="G4961" s="2">
        <v>92</v>
      </c>
      <c r="H4961" s="2">
        <v>139</v>
      </c>
      <c r="I4961" s="2">
        <v>477</v>
      </c>
      <c r="J4961" s="2">
        <v>893</v>
      </c>
      <c r="K4961" s="2">
        <v>166</v>
      </c>
      <c r="L4961" s="2">
        <v>304</v>
      </c>
    </row>
    <row r="4962" spans="1:12" x14ac:dyDescent="0.25">
      <c r="A4962" s="4" t="str">
        <f>HYPERLINK("http://www.rosaceae.org/Prunus/Prunus_persica/p.persica_gdr_reftransV1_0030969","p.persica_gdr_reftransV1_0030969")</f>
        <v>p.persica_gdr_reftransV1_0030969</v>
      </c>
      <c r="B4962" s="2">
        <v>612</v>
      </c>
      <c r="C4962" s="4" t="str">
        <f>HYPERLINK("http://www.uniprot.org/uniprot/M5WFL8","M5WFL8")</f>
        <v>M5WFL8</v>
      </c>
      <c r="D4962" s="2" t="s">
        <v>4587</v>
      </c>
      <c r="E4962" s="3">
        <v>4.7899999999999998E-140</v>
      </c>
      <c r="F4962" s="2">
        <v>1102</v>
      </c>
      <c r="G4962" s="2">
        <v>100</v>
      </c>
      <c r="H4962" s="2">
        <v>204</v>
      </c>
      <c r="I4962" s="2">
        <v>1</v>
      </c>
      <c r="J4962" s="2">
        <v>612</v>
      </c>
      <c r="K4962" s="2">
        <v>736</v>
      </c>
      <c r="L4962" s="2">
        <v>939</v>
      </c>
    </row>
    <row r="4963" spans="1:12" x14ac:dyDescent="0.25">
      <c r="A4963" s="4" t="str">
        <f>HYPERLINK("http://www.rosaceae.org/Prunus/Prunus_persica/p.persica_gdr_reftransV1_0031669","p.persica_gdr_reftransV1_0031669")</f>
        <v>p.persica_gdr_reftransV1_0031669</v>
      </c>
      <c r="B4963" s="2">
        <v>1706</v>
      </c>
      <c r="C4963" s="4" t="str">
        <f>HYPERLINK("http://www.uniprot.org/uniprot/M5VW03","M5VW03")</f>
        <v>M5VW03</v>
      </c>
      <c r="D4963" s="2" t="s">
        <v>4588</v>
      </c>
      <c r="E4963" s="3">
        <v>0</v>
      </c>
      <c r="F4963" s="2">
        <v>2342</v>
      </c>
      <c r="G4963" s="2">
        <v>100</v>
      </c>
      <c r="H4963" s="2">
        <v>435</v>
      </c>
      <c r="I4963" s="2">
        <v>99</v>
      </c>
      <c r="J4963" s="2">
        <v>1403</v>
      </c>
      <c r="K4963" s="2">
        <v>1</v>
      </c>
      <c r="L4963" s="2">
        <v>435</v>
      </c>
    </row>
    <row r="4964" spans="1:12" x14ac:dyDescent="0.25">
      <c r="A4964" s="4" t="str">
        <f>HYPERLINK("http://www.rosaceae.org/Prunus/Prunus_persica/p.persica_gdr_reftransV1_0032019","p.persica_gdr_reftransV1_0032019")</f>
        <v>p.persica_gdr_reftransV1_0032019</v>
      </c>
      <c r="B4964" s="2">
        <v>3771</v>
      </c>
      <c r="C4964" s="4" t="str">
        <f>HYPERLINK("http://www.uniprot.org/uniprot/M5WT85","M5WT85")</f>
        <v>M5WT85</v>
      </c>
      <c r="D4964" s="2" t="s">
        <v>4589</v>
      </c>
      <c r="E4964" s="3">
        <v>0</v>
      </c>
      <c r="F4964" s="2">
        <v>4333</v>
      </c>
      <c r="G4964" s="2">
        <v>100</v>
      </c>
      <c r="H4964" s="2">
        <v>827</v>
      </c>
      <c r="I4964" s="2">
        <v>478</v>
      </c>
      <c r="J4964" s="2">
        <v>2958</v>
      </c>
      <c r="K4964" s="2">
        <v>1</v>
      </c>
      <c r="L4964" s="2">
        <v>827</v>
      </c>
    </row>
    <row r="4965" spans="1:12" x14ac:dyDescent="0.25">
      <c r="A4965" s="4" t="str">
        <f>HYPERLINK("http://www.rosaceae.org/Prunus/Prunus_persica/p.persica_gdr_reftransV1_0033069","p.persica_gdr_reftransV1_0033069")</f>
        <v>p.persica_gdr_reftransV1_0033069</v>
      </c>
      <c r="B4965" s="2">
        <v>464</v>
      </c>
      <c r="C4965" s="4" t="str">
        <f>HYPERLINK("http://www.uniprot.org/uniprot/M5WJV3","M5WJV3")</f>
        <v>M5WJV3</v>
      </c>
      <c r="D4965" s="2" t="s">
        <v>4590</v>
      </c>
      <c r="E4965" s="3">
        <v>1.5199999999999999E-68</v>
      </c>
      <c r="F4965" s="2">
        <v>570</v>
      </c>
      <c r="G4965" s="2">
        <v>98</v>
      </c>
      <c r="H4965" s="2">
        <v>133</v>
      </c>
      <c r="I4965" s="2">
        <v>17</v>
      </c>
      <c r="J4965" s="2">
        <v>415</v>
      </c>
      <c r="K4965" s="2">
        <v>266</v>
      </c>
      <c r="L4965" s="2">
        <v>398</v>
      </c>
    </row>
    <row r="4966" spans="1:12" x14ac:dyDescent="0.25">
      <c r="A4966" s="4" t="str">
        <f>HYPERLINK("http://www.rosaceae.org/Prunus/Prunus_persica/p.persica_gdr_reftransV1_0034119","p.persica_gdr_reftransV1_0034119")</f>
        <v>p.persica_gdr_reftransV1_0034119</v>
      </c>
      <c r="B4966" s="2">
        <v>3940</v>
      </c>
      <c r="C4966" s="4" t="str">
        <f>HYPERLINK("http://www.uniprot.org/uniprot/M5WHE4","M5WHE4")</f>
        <v>M5WHE4</v>
      </c>
      <c r="D4966" s="2" t="s">
        <v>4591</v>
      </c>
      <c r="E4966" s="3">
        <v>0</v>
      </c>
      <c r="F4966" s="2">
        <v>1329</v>
      </c>
      <c r="G4966" s="2">
        <v>100</v>
      </c>
      <c r="H4966" s="2">
        <v>296</v>
      </c>
      <c r="I4966" s="2">
        <v>2923</v>
      </c>
      <c r="J4966" s="2">
        <v>3810</v>
      </c>
      <c r="K4966" s="2">
        <v>1</v>
      </c>
      <c r="L4966" s="2">
        <v>296</v>
      </c>
    </row>
    <row r="4967" spans="1:12" x14ac:dyDescent="0.25">
      <c r="A4967" s="4" t="str">
        <f>HYPERLINK("http://www.rosaceae.org/Prunus/Prunus_persica/p.persica_gdr_reftransV1_0034469","p.persica_gdr_reftransV1_0034469")</f>
        <v>p.persica_gdr_reftransV1_0034469</v>
      </c>
      <c r="B4967" s="2">
        <v>4573</v>
      </c>
      <c r="C4967" s="4" t="str">
        <f>HYPERLINK("http://www.uniprot.org/uniprot/M5XT23","M5XT23")</f>
        <v>M5XT23</v>
      </c>
      <c r="D4967" s="2" t="s">
        <v>4592</v>
      </c>
      <c r="E4967" s="3">
        <v>0</v>
      </c>
      <c r="F4967" s="2">
        <v>4030</v>
      </c>
      <c r="G4967" s="2">
        <v>97</v>
      </c>
      <c r="H4967" s="2">
        <v>805</v>
      </c>
      <c r="I4967" s="2">
        <v>316</v>
      </c>
      <c r="J4967" s="2">
        <v>2655</v>
      </c>
      <c r="K4967" s="2">
        <v>1</v>
      </c>
      <c r="L4967" s="2">
        <v>805</v>
      </c>
    </row>
    <row r="4968" spans="1:12" x14ac:dyDescent="0.25">
      <c r="A4968" s="4" t="str">
        <f>HYPERLINK("http://www.rosaceae.org/Prunus/Prunus_persica/p.persica_gdr_reftransV1_0035869","p.persica_gdr_reftransV1_0035869")</f>
        <v>p.persica_gdr_reftransV1_0035869</v>
      </c>
      <c r="B4968" s="2">
        <v>1161</v>
      </c>
      <c r="C4968" s="4" t="str">
        <f>HYPERLINK("http://www.uniprot.org/uniprot/M5WDM4","M5WDM4")</f>
        <v>M5WDM4</v>
      </c>
      <c r="D4968" s="2" t="s">
        <v>1842</v>
      </c>
      <c r="E4968" s="3">
        <v>2.6299999999999998E-9</v>
      </c>
      <c r="F4968" s="2">
        <v>155</v>
      </c>
      <c r="G4968" s="2">
        <v>83</v>
      </c>
      <c r="H4968" s="2">
        <v>35</v>
      </c>
      <c r="I4968" s="2">
        <v>432</v>
      </c>
      <c r="J4968" s="2">
        <v>536</v>
      </c>
      <c r="K4968" s="2">
        <v>58</v>
      </c>
      <c r="L4968" s="2">
        <v>92</v>
      </c>
    </row>
    <row r="4969" spans="1:12" x14ac:dyDescent="0.25">
      <c r="A4969" s="4" t="str">
        <f>HYPERLINK("http://www.rosaceae.org/Prunus/Prunus_persica/p.persica_gdr_reftransV1_0036219","p.persica_gdr_reftransV1_0036219")</f>
        <v>p.persica_gdr_reftransV1_0036219</v>
      </c>
      <c r="B4969" s="2">
        <v>2284</v>
      </c>
      <c r="C4969" s="4" t="str">
        <f>HYPERLINK("http://www.uniprot.org/uniprot/A0A061GPM7","A0A061GPM7")</f>
        <v>A0A061GPM7</v>
      </c>
      <c r="D4969" s="2" t="s">
        <v>4593</v>
      </c>
      <c r="E4969" s="3">
        <v>0</v>
      </c>
      <c r="F4969" s="2">
        <v>1121</v>
      </c>
      <c r="G4969" s="2">
        <v>88</v>
      </c>
      <c r="H4969" s="2">
        <v>274</v>
      </c>
      <c r="I4969" s="2">
        <v>1178</v>
      </c>
      <c r="J4969" s="2">
        <v>1999</v>
      </c>
      <c r="K4969" s="2">
        <v>250</v>
      </c>
      <c r="L4969" s="2">
        <v>523</v>
      </c>
    </row>
    <row r="4970" spans="1:12" x14ac:dyDescent="0.25">
      <c r="A4970" s="4" t="str">
        <f>HYPERLINK("http://www.rosaceae.org/Prunus/Prunus_persica/p.persica_gdr_reftransV1_0037619","p.persica_gdr_reftransV1_0037619")</f>
        <v>p.persica_gdr_reftransV1_0037619</v>
      </c>
      <c r="B4970" s="2">
        <v>1028</v>
      </c>
      <c r="C4970" s="4" t="str">
        <f>HYPERLINK("http://www.uniprot.org/uniprot/M5WRI8","M5WRI8")</f>
        <v>M5WRI8</v>
      </c>
      <c r="D4970" s="2" t="s">
        <v>4594</v>
      </c>
      <c r="E4970" s="3">
        <v>4.8000000000000002E-92</v>
      </c>
      <c r="F4970" s="2">
        <v>776</v>
      </c>
      <c r="G4970" s="2">
        <v>99</v>
      </c>
      <c r="H4970" s="2">
        <v>172</v>
      </c>
      <c r="I4970" s="2">
        <v>3</v>
      </c>
      <c r="J4970" s="2">
        <v>518</v>
      </c>
      <c r="K4970" s="2">
        <v>89</v>
      </c>
      <c r="L4970" s="2">
        <v>260</v>
      </c>
    </row>
    <row r="4971" spans="1:12" x14ac:dyDescent="0.25">
      <c r="A4971" s="4" t="str">
        <f>HYPERLINK("http://www.rosaceae.org/Prunus/Prunus_persica/p.persica_gdr_reftransV1_0037969","p.persica_gdr_reftransV1_0037969")</f>
        <v>p.persica_gdr_reftransV1_0037969</v>
      </c>
      <c r="B4971" s="2">
        <v>1432</v>
      </c>
      <c r="C4971" s="4" t="str">
        <f>HYPERLINK("http://www.uniprot.org/uniprot/M5XQC0","M5XQC0")</f>
        <v>M5XQC0</v>
      </c>
      <c r="D4971" s="2" t="s">
        <v>4595</v>
      </c>
      <c r="E4971" s="3">
        <v>8.7200000000000006E-157</v>
      </c>
      <c r="F4971" s="2">
        <v>1178</v>
      </c>
      <c r="G4971" s="2">
        <v>100</v>
      </c>
      <c r="H4971" s="2">
        <v>256</v>
      </c>
      <c r="I4971" s="2">
        <v>243</v>
      </c>
      <c r="J4971" s="2">
        <v>1010</v>
      </c>
      <c r="K4971" s="2">
        <v>19</v>
      </c>
      <c r="L4971" s="2">
        <v>274</v>
      </c>
    </row>
    <row r="4972" spans="1:12" x14ac:dyDescent="0.25">
      <c r="A4972" s="4" t="str">
        <f>HYPERLINK("http://www.rosaceae.org/Prunus/Prunus_persica/p.persica_gdr_reftransV1_0038319","p.persica_gdr_reftransV1_0038319")</f>
        <v>p.persica_gdr_reftransV1_0038319</v>
      </c>
      <c r="B4972" s="2">
        <v>2524</v>
      </c>
      <c r="C4972" s="4" t="str">
        <f>HYPERLINK("http://www.uniprot.org/uniprot/M5X5G1","M5X5G1")</f>
        <v>M5X5G1</v>
      </c>
      <c r="D4972" s="2" t="s">
        <v>1878</v>
      </c>
      <c r="E4972" s="3">
        <v>1.6299999999999999E-180</v>
      </c>
      <c r="F4972" s="2">
        <v>1387</v>
      </c>
      <c r="G4972" s="2">
        <v>100</v>
      </c>
      <c r="H4972" s="2">
        <v>261</v>
      </c>
      <c r="I4972" s="2">
        <v>1273</v>
      </c>
      <c r="J4972" s="2">
        <v>2055</v>
      </c>
      <c r="K4972" s="2">
        <v>182</v>
      </c>
      <c r="L4972" s="2">
        <v>442</v>
      </c>
    </row>
    <row r="4973" spans="1:12" x14ac:dyDescent="0.25">
      <c r="A4973" s="4" t="str">
        <f>HYPERLINK("http://www.rosaceae.org/Prunus/Prunus_persica/p.persica_gdr_reftransV1_0039719","p.persica_gdr_reftransV1_0039719")</f>
        <v>p.persica_gdr_reftransV1_0039719</v>
      </c>
      <c r="B4973" s="2">
        <v>2816</v>
      </c>
      <c r="C4973" s="4" t="str">
        <f>HYPERLINK("http://www.uniprot.org/uniprot/M5WGK1","M5WGK1")</f>
        <v>M5WGK1</v>
      </c>
      <c r="D4973" s="2" t="s">
        <v>4596</v>
      </c>
      <c r="E4973" s="3">
        <v>2.7099999999999999E-63</v>
      </c>
      <c r="F4973" s="2">
        <v>577</v>
      </c>
      <c r="G4973" s="2">
        <v>100</v>
      </c>
      <c r="H4973" s="2">
        <v>124</v>
      </c>
      <c r="I4973" s="2">
        <v>1261</v>
      </c>
      <c r="J4973" s="2">
        <v>1632</v>
      </c>
      <c r="K4973" s="2">
        <v>87</v>
      </c>
      <c r="L4973" s="2">
        <v>210</v>
      </c>
    </row>
    <row r="4974" spans="1:12" x14ac:dyDescent="0.25">
      <c r="A4974" s="4" t="str">
        <f>HYPERLINK("http://www.rosaceae.org/Prunus/Prunus_persica/p.persica_gdr_reftransV1_0040069","p.persica_gdr_reftransV1_0040069")</f>
        <v>p.persica_gdr_reftransV1_0040069</v>
      </c>
      <c r="B4974" s="2">
        <v>3173</v>
      </c>
      <c r="C4974" s="4" t="str">
        <f>HYPERLINK("http://www.uniprot.org/uniprot/M5X1V5","M5X1V5")</f>
        <v>M5X1V5</v>
      </c>
      <c r="D4974" s="2" t="s">
        <v>4597</v>
      </c>
      <c r="E4974" s="3">
        <v>0</v>
      </c>
      <c r="F4974" s="2">
        <v>2161</v>
      </c>
      <c r="G4974" s="2">
        <v>99</v>
      </c>
      <c r="H4974" s="2">
        <v>408</v>
      </c>
      <c r="I4974" s="2">
        <v>829</v>
      </c>
      <c r="J4974" s="2">
        <v>2046</v>
      </c>
      <c r="K4974" s="2">
        <v>1</v>
      </c>
      <c r="L4974" s="2">
        <v>408</v>
      </c>
    </row>
    <row r="4975" spans="1:12" x14ac:dyDescent="0.25">
      <c r="A4975" s="4" t="str">
        <f>HYPERLINK("http://www.rosaceae.org/Prunus/Prunus_persica/p.persica_gdr_reftransV1_0043219","p.persica_gdr_reftransV1_0043219")</f>
        <v>p.persica_gdr_reftransV1_0043219</v>
      </c>
      <c r="B4975" s="2">
        <v>1121</v>
      </c>
      <c r="C4975" s="4" t="str">
        <f>HYPERLINK("http://www.uniprot.org/uniprot/M5VXL5","M5VXL5")</f>
        <v>M5VXL5</v>
      </c>
      <c r="D4975" s="2" t="s">
        <v>1258</v>
      </c>
      <c r="E4975" s="3">
        <v>1.6299999999999999E-109</v>
      </c>
      <c r="F4975" s="2">
        <v>910</v>
      </c>
      <c r="G4975" s="2">
        <v>100</v>
      </c>
      <c r="H4975" s="2">
        <v>177</v>
      </c>
      <c r="I4975" s="2">
        <v>8</v>
      </c>
      <c r="J4975" s="2">
        <v>538</v>
      </c>
      <c r="K4975" s="2">
        <v>822</v>
      </c>
      <c r="L4975" s="2">
        <v>998</v>
      </c>
    </row>
    <row r="4976" spans="1:12" x14ac:dyDescent="0.25">
      <c r="A4976" s="4" t="str">
        <f>HYPERLINK("http://www.rosaceae.org/Prunus/Prunus_persica/p.persica_gdr_reftransV1_0043569","p.persica_gdr_reftransV1_0043569")</f>
        <v>p.persica_gdr_reftransV1_0043569</v>
      </c>
      <c r="B4976" s="2">
        <v>617</v>
      </c>
      <c r="C4976" s="4" t="str">
        <f>HYPERLINK("http://www.uniprot.org/uniprot/B6CQU3","B6CQU3")</f>
        <v>B6CQU3</v>
      </c>
      <c r="D4976" s="2" t="s">
        <v>2600</v>
      </c>
      <c r="E4976" s="3">
        <v>3.8500000000000001E-61</v>
      </c>
      <c r="F4976" s="2">
        <v>502</v>
      </c>
      <c r="G4976" s="2">
        <v>100</v>
      </c>
      <c r="H4976" s="2">
        <v>101</v>
      </c>
      <c r="I4976" s="2">
        <v>154</v>
      </c>
      <c r="J4976" s="2">
        <v>456</v>
      </c>
      <c r="K4976" s="2">
        <v>17</v>
      </c>
      <c r="L4976" s="2">
        <v>117</v>
      </c>
    </row>
    <row r="4977" spans="1:12" x14ac:dyDescent="0.25">
      <c r="A4977" s="4" t="str">
        <f>HYPERLINK("http://www.rosaceae.org/Prunus/Prunus_persica/p.persica_gdr_reftransV1_0043919","p.persica_gdr_reftransV1_0043919")</f>
        <v>p.persica_gdr_reftransV1_0043919</v>
      </c>
      <c r="B4977" s="2">
        <v>397</v>
      </c>
      <c r="C4977" s="4" t="str">
        <f>HYPERLINK("http://www.uniprot.org/uniprot/M5VNK8","M5VNK8")</f>
        <v>M5VNK8</v>
      </c>
      <c r="D4977" s="2" t="s">
        <v>4598</v>
      </c>
      <c r="E4977" s="3">
        <v>4.6900000000000002E-82</v>
      </c>
      <c r="F4977" s="2">
        <v>673</v>
      </c>
      <c r="G4977" s="2">
        <v>100</v>
      </c>
      <c r="H4977" s="2">
        <v>132</v>
      </c>
      <c r="I4977" s="2">
        <v>1</v>
      </c>
      <c r="J4977" s="2">
        <v>396</v>
      </c>
      <c r="K4977" s="2">
        <v>389</v>
      </c>
      <c r="L4977" s="2">
        <v>520</v>
      </c>
    </row>
    <row r="4978" spans="1:12" x14ac:dyDescent="0.25">
      <c r="A4978" s="4" t="str">
        <f>HYPERLINK("http://www.rosaceae.org/Prunus/Prunus_persica/p.persica_gdr_reftransV1_0044269","p.persica_gdr_reftransV1_0044269")</f>
        <v>p.persica_gdr_reftransV1_0044269</v>
      </c>
      <c r="B4978" s="2">
        <v>1468</v>
      </c>
      <c r="C4978" s="4" t="str">
        <f>HYPERLINK("http://www.uniprot.org/uniprot/M5WJ59","M5WJ59")</f>
        <v>M5WJ59</v>
      </c>
      <c r="D4978" s="2" t="s">
        <v>4599</v>
      </c>
      <c r="E4978" s="3">
        <v>0</v>
      </c>
      <c r="F4978" s="2">
        <v>1582</v>
      </c>
      <c r="G4978" s="2">
        <v>100</v>
      </c>
      <c r="H4978" s="2">
        <v>298</v>
      </c>
      <c r="I4978" s="2">
        <v>168</v>
      </c>
      <c r="J4978" s="2">
        <v>1061</v>
      </c>
      <c r="K4978" s="2">
        <v>1</v>
      </c>
      <c r="L4978" s="2">
        <v>298</v>
      </c>
    </row>
    <row r="4979" spans="1:12" x14ac:dyDescent="0.25">
      <c r="A4979" s="4" t="str">
        <f>HYPERLINK("http://www.rosaceae.org/Prunus/Prunus_persica/p.persica_gdr_reftransV1_0044619","p.persica_gdr_reftransV1_0044619")</f>
        <v>p.persica_gdr_reftransV1_0044619</v>
      </c>
      <c r="B4979" s="2">
        <v>1806</v>
      </c>
      <c r="C4979" s="4" t="str">
        <f>HYPERLINK("http://www.uniprot.org/uniprot/M5XFG3","M5XFG3")</f>
        <v>M5XFG3</v>
      </c>
      <c r="D4979" s="2" t="s">
        <v>4600</v>
      </c>
      <c r="E4979" s="3">
        <v>0</v>
      </c>
      <c r="F4979" s="2">
        <v>2011</v>
      </c>
      <c r="G4979" s="2">
        <v>99</v>
      </c>
      <c r="H4979" s="2">
        <v>376</v>
      </c>
      <c r="I4979" s="2">
        <v>32</v>
      </c>
      <c r="J4979" s="2">
        <v>1159</v>
      </c>
      <c r="K4979" s="2">
        <v>1</v>
      </c>
      <c r="L4979" s="2">
        <v>376</v>
      </c>
    </row>
    <row r="4980" spans="1:12" x14ac:dyDescent="0.25">
      <c r="A4980" s="4" t="str">
        <f>HYPERLINK("http://www.rosaceae.org/Prunus/Prunus_persica/p.persica_gdr_reftransV1_0044969","p.persica_gdr_reftransV1_0044969")</f>
        <v>p.persica_gdr_reftransV1_0044969</v>
      </c>
      <c r="B4980" s="2">
        <v>1096</v>
      </c>
      <c r="C4980" s="4" t="str">
        <f>HYPERLINK("http://www.uniprot.org/uniprot/M5WGF3","M5WGF3")</f>
        <v>M5WGF3</v>
      </c>
      <c r="D4980" s="2" t="s">
        <v>2122</v>
      </c>
      <c r="E4980" s="3">
        <v>0</v>
      </c>
      <c r="F4980" s="2">
        <v>1866</v>
      </c>
      <c r="G4980" s="2">
        <v>100</v>
      </c>
      <c r="H4980" s="2">
        <v>365</v>
      </c>
      <c r="I4980" s="2">
        <v>1</v>
      </c>
      <c r="J4980" s="2">
        <v>1095</v>
      </c>
      <c r="K4980" s="2">
        <v>412</v>
      </c>
      <c r="L4980" s="2">
        <v>776</v>
      </c>
    </row>
    <row r="4981" spans="1:12" x14ac:dyDescent="0.25">
      <c r="A4981" s="4" t="str">
        <f>HYPERLINK("http://www.rosaceae.org/Prunus/Prunus_persica/p.persica_gdr_reftransV1_0045319","p.persica_gdr_reftransV1_0045319")</f>
        <v>p.persica_gdr_reftransV1_0045319</v>
      </c>
      <c r="B4981" s="2">
        <v>1350</v>
      </c>
      <c r="C4981" s="4" t="str">
        <f>HYPERLINK("http://www.uniprot.org/uniprot/M5XY39","M5XY39")</f>
        <v>M5XY39</v>
      </c>
      <c r="D4981" s="2" t="s">
        <v>4601</v>
      </c>
      <c r="E4981" s="3">
        <v>2.6199999999999999E-173</v>
      </c>
      <c r="F4981" s="2">
        <v>1288</v>
      </c>
      <c r="G4981" s="2">
        <v>100</v>
      </c>
      <c r="H4981" s="2">
        <v>299</v>
      </c>
      <c r="I4981" s="2">
        <v>3</v>
      </c>
      <c r="J4981" s="2">
        <v>899</v>
      </c>
      <c r="K4981" s="2">
        <v>16</v>
      </c>
      <c r="L4981" s="2">
        <v>314</v>
      </c>
    </row>
    <row r="4982" spans="1:12" x14ac:dyDescent="0.25">
      <c r="A4982" s="4" t="str">
        <f>HYPERLINK("http://www.rosaceae.org/Prunus/Prunus_persica/p.persica_gdr_reftransV1_0045669","p.persica_gdr_reftransV1_0045669")</f>
        <v>p.persica_gdr_reftransV1_0045669</v>
      </c>
      <c r="B4982" s="2">
        <v>1277</v>
      </c>
      <c r="C4982" s="4" t="str">
        <f>HYPERLINK("http://www.uniprot.org/uniprot/M5VLJ7","M5VLJ7")</f>
        <v>M5VLJ7</v>
      </c>
      <c r="D4982" s="2" t="s">
        <v>4602</v>
      </c>
      <c r="E4982" s="3">
        <v>0</v>
      </c>
      <c r="F4982" s="2">
        <v>1462</v>
      </c>
      <c r="G4982" s="2">
        <v>100</v>
      </c>
      <c r="H4982" s="2">
        <v>281</v>
      </c>
      <c r="I4982" s="2">
        <v>159</v>
      </c>
      <c r="J4982" s="2">
        <v>1001</v>
      </c>
      <c r="K4982" s="2">
        <v>1</v>
      </c>
      <c r="L4982" s="2">
        <v>281</v>
      </c>
    </row>
    <row r="4983" spans="1:12" x14ac:dyDescent="0.25">
      <c r="A4983" s="4" t="str">
        <f>HYPERLINK("http://www.rosaceae.org/Prunus/Prunus_persica/p.persica_gdr_reftransV1_0046019","p.persica_gdr_reftransV1_0046019")</f>
        <v>p.persica_gdr_reftransV1_0046019</v>
      </c>
      <c r="B4983" s="2">
        <v>2358</v>
      </c>
      <c r="C4983" s="4" t="str">
        <f>HYPERLINK("http://www.uniprot.org/uniprot/M5VJJ3","M5VJJ3")</f>
        <v>M5VJJ3</v>
      </c>
      <c r="D4983" s="2" t="s">
        <v>4603</v>
      </c>
      <c r="E4983" s="3">
        <v>0</v>
      </c>
      <c r="F4983" s="2">
        <v>3003</v>
      </c>
      <c r="G4983" s="2">
        <v>100</v>
      </c>
      <c r="H4983" s="2">
        <v>601</v>
      </c>
      <c r="I4983" s="2">
        <v>142</v>
      </c>
      <c r="J4983" s="2">
        <v>1944</v>
      </c>
      <c r="K4983" s="2">
        <v>1</v>
      </c>
      <c r="L4983" s="2">
        <v>601</v>
      </c>
    </row>
    <row r="4984" spans="1:12" x14ac:dyDescent="0.25">
      <c r="A4984" s="4" t="str">
        <f>HYPERLINK("http://www.rosaceae.org/Prunus/Prunus_persica/p.persica_gdr_reftransV1_0046369","p.persica_gdr_reftransV1_0046369")</f>
        <v>p.persica_gdr_reftransV1_0046369</v>
      </c>
      <c r="B4984" s="2">
        <v>1119</v>
      </c>
      <c r="C4984" s="4" t="str">
        <f>HYPERLINK("http://www.uniprot.org/uniprot/M5XWX9","M5XWX9")</f>
        <v>M5XWX9</v>
      </c>
      <c r="D4984" s="2" t="s">
        <v>4604</v>
      </c>
      <c r="E4984" s="3">
        <v>1.6700000000000001E-180</v>
      </c>
      <c r="F4984" s="2">
        <v>1324</v>
      </c>
      <c r="G4984" s="2">
        <v>100</v>
      </c>
      <c r="H4984" s="2">
        <v>265</v>
      </c>
      <c r="I4984" s="2">
        <v>28</v>
      </c>
      <c r="J4984" s="2">
        <v>822</v>
      </c>
      <c r="K4984" s="2">
        <v>1</v>
      </c>
      <c r="L4984" s="2">
        <v>265</v>
      </c>
    </row>
    <row r="4985" spans="1:12" x14ac:dyDescent="0.25">
      <c r="A4985" s="4" t="str">
        <f>HYPERLINK("http://www.rosaceae.org/Prunus/Prunus_persica/p.persica_gdr_reftransV1_0046719","p.persica_gdr_reftransV1_0046719")</f>
        <v>p.persica_gdr_reftransV1_0046719</v>
      </c>
      <c r="B4985" s="2">
        <v>699</v>
      </c>
      <c r="C4985" s="4" t="str">
        <f>HYPERLINK("http://www.uniprot.org/uniprot/M5W8F0","M5W8F0")</f>
        <v>M5W8F0</v>
      </c>
      <c r="D4985" s="2" t="s">
        <v>4605</v>
      </c>
      <c r="E4985" s="3">
        <v>1.44E-121</v>
      </c>
      <c r="F4985" s="2">
        <v>912</v>
      </c>
      <c r="G4985" s="2">
        <v>100</v>
      </c>
      <c r="H4985" s="2">
        <v>199</v>
      </c>
      <c r="I4985" s="2">
        <v>75</v>
      </c>
      <c r="J4985" s="2">
        <v>671</v>
      </c>
      <c r="K4985" s="2">
        <v>1</v>
      </c>
      <c r="L4985" s="2">
        <v>199</v>
      </c>
    </row>
    <row r="4986" spans="1:12" x14ac:dyDescent="0.25">
      <c r="A4986" s="4" t="str">
        <f>HYPERLINK("http://www.rosaceae.org/Prunus/Prunus_persica/p.persica_gdr_reftransV1_0047069","p.persica_gdr_reftransV1_0047069")</f>
        <v>p.persica_gdr_reftransV1_0047069</v>
      </c>
      <c r="B4986" s="2">
        <v>590</v>
      </c>
      <c r="C4986" s="4" t="str">
        <f>HYPERLINK("http://www.uniprot.org/uniprot/M5VV13","M5VV13")</f>
        <v>M5VV13</v>
      </c>
      <c r="D4986" s="2" t="s">
        <v>4606</v>
      </c>
      <c r="E4986" s="3">
        <v>1.26E-89</v>
      </c>
      <c r="F4986" s="2">
        <v>691</v>
      </c>
      <c r="G4986" s="2">
        <v>99</v>
      </c>
      <c r="H4986" s="2">
        <v>129</v>
      </c>
      <c r="I4986" s="2">
        <v>113</v>
      </c>
      <c r="J4986" s="2">
        <v>499</v>
      </c>
      <c r="K4986" s="2">
        <v>1</v>
      </c>
      <c r="L4986" s="2">
        <v>129</v>
      </c>
    </row>
    <row r="4987" spans="1:12" x14ac:dyDescent="0.25">
      <c r="A4987" s="4" t="str">
        <f>HYPERLINK("http://www.rosaceae.org/Prunus/Prunus_persica/p.persica_gdr_reftransV1_0047419","p.persica_gdr_reftransV1_0047419")</f>
        <v>p.persica_gdr_reftransV1_0047419</v>
      </c>
      <c r="B4987" s="2">
        <v>715</v>
      </c>
      <c r="C4987" s="4" t="str">
        <f>HYPERLINK("http://www.uniprot.org/uniprot/M5WKD1","M5WKD1")</f>
        <v>M5WKD1</v>
      </c>
      <c r="D4987" s="2" t="s">
        <v>4607</v>
      </c>
      <c r="E4987" s="3">
        <v>4.19E-68</v>
      </c>
      <c r="F4987" s="2">
        <v>555</v>
      </c>
      <c r="G4987" s="2">
        <v>100</v>
      </c>
      <c r="H4987" s="2">
        <v>128</v>
      </c>
      <c r="I4987" s="2">
        <v>276</v>
      </c>
      <c r="J4987" s="2">
        <v>659</v>
      </c>
      <c r="K4987" s="2">
        <v>27</v>
      </c>
      <c r="L4987" s="2">
        <v>154</v>
      </c>
    </row>
    <row r="4988" spans="1:12" x14ac:dyDescent="0.25">
      <c r="A4988" s="4" t="str">
        <f>HYPERLINK("http://www.rosaceae.org/Prunus/Prunus_persica/p.persica_gdr_reftransV1_0047769","p.persica_gdr_reftransV1_0047769")</f>
        <v>p.persica_gdr_reftransV1_0047769</v>
      </c>
      <c r="B4988" s="2">
        <v>558</v>
      </c>
      <c r="C4988" s="4" t="str">
        <f>HYPERLINK("http://www.uniprot.org/uniprot/M5WZ39","M5WZ39")</f>
        <v>M5WZ39</v>
      </c>
      <c r="D4988" s="2" t="s">
        <v>4608</v>
      </c>
      <c r="E4988" s="3">
        <v>3.5400000000000001E-110</v>
      </c>
      <c r="F4988" s="2">
        <v>860</v>
      </c>
      <c r="G4988" s="2">
        <v>100</v>
      </c>
      <c r="H4988" s="2">
        <v>163</v>
      </c>
      <c r="I4988" s="2">
        <v>70</v>
      </c>
      <c r="J4988" s="2">
        <v>558</v>
      </c>
      <c r="K4988" s="2">
        <v>1</v>
      </c>
      <c r="L4988" s="2">
        <v>163</v>
      </c>
    </row>
    <row r="4989" spans="1:12" x14ac:dyDescent="0.25">
      <c r="A4989" s="4" t="str">
        <f>HYPERLINK("http://www.rosaceae.org/Prunus/Prunus_persica/p.persica_gdr_reftransV1_0048119","p.persica_gdr_reftransV1_0048119")</f>
        <v>p.persica_gdr_reftransV1_0048119</v>
      </c>
      <c r="B4989" s="2">
        <v>1786</v>
      </c>
      <c r="C4989" s="4" t="str">
        <f>HYPERLINK("http://www.uniprot.org/uniprot/M5WT87","M5WT87")</f>
        <v>M5WT87</v>
      </c>
      <c r="D4989" s="2" t="s">
        <v>4609</v>
      </c>
      <c r="E4989" s="3">
        <v>0</v>
      </c>
      <c r="F4989" s="2">
        <v>2703</v>
      </c>
      <c r="G4989" s="2">
        <v>100</v>
      </c>
      <c r="H4989" s="2">
        <v>509</v>
      </c>
      <c r="I4989" s="2">
        <v>182</v>
      </c>
      <c r="J4989" s="2">
        <v>1708</v>
      </c>
      <c r="K4989" s="2">
        <v>1</v>
      </c>
      <c r="L4989" s="2">
        <v>509</v>
      </c>
    </row>
    <row r="4990" spans="1:12" x14ac:dyDescent="0.25">
      <c r="A4990" s="4" t="str">
        <f>HYPERLINK("http://www.rosaceae.org/Prunus/Prunus_persica/p.persica_gdr_reftransV1_0048469","p.persica_gdr_reftransV1_0048469")</f>
        <v>p.persica_gdr_reftransV1_0048469</v>
      </c>
      <c r="B4990" s="2">
        <v>996</v>
      </c>
      <c r="C4990" s="4" t="str">
        <f>HYPERLINK("http://www.uniprot.org/uniprot/M5VMU6","M5VMU6")</f>
        <v>M5VMU6</v>
      </c>
      <c r="D4990" s="2" t="s">
        <v>4610</v>
      </c>
      <c r="E4990" s="3">
        <v>1.25E-67</v>
      </c>
      <c r="F4990" s="2">
        <v>564</v>
      </c>
      <c r="G4990" s="2">
        <v>100</v>
      </c>
      <c r="H4990" s="2">
        <v>107</v>
      </c>
      <c r="I4990" s="2">
        <v>640</v>
      </c>
      <c r="J4990" s="2">
        <v>960</v>
      </c>
      <c r="K4990" s="2">
        <v>84</v>
      </c>
      <c r="L4990" s="2">
        <v>190</v>
      </c>
    </row>
    <row r="4991" spans="1:12" x14ac:dyDescent="0.25">
      <c r="A4991" s="4" t="str">
        <f>HYPERLINK("http://www.rosaceae.org/Prunus/Prunus_persica/p.persica_gdr_reftransV1_0048819","p.persica_gdr_reftransV1_0048819")</f>
        <v>p.persica_gdr_reftransV1_0048819</v>
      </c>
      <c r="B4991" s="2">
        <v>1006</v>
      </c>
      <c r="C4991" s="4" t="str">
        <f>HYPERLINK("http://www.uniprot.org/uniprot/M5XB87","M5XB87")</f>
        <v>M5XB87</v>
      </c>
      <c r="D4991" s="2" t="s">
        <v>4611</v>
      </c>
      <c r="E4991" s="3">
        <v>1.3700000000000001E-153</v>
      </c>
      <c r="F4991" s="2">
        <v>1137</v>
      </c>
      <c r="G4991" s="2">
        <v>100</v>
      </c>
      <c r="H4991" s="2">
        <v>222</v>
      </c>
      <c r="I4991" s="2">
        <v>269</v>
      </c>
      <c r="J4991" s="2">
        <v>934</v>
      </c>
      <c r="K4991" s="2">
        <v>1</v>
      </c>
      <c r="L4991" s="2">
        <v>222</v>
      </c>
    </row>
    <row r="4992" spans="1:12" x14ac:dyDescent="0.25">
      <c r="A4992" s="4" t="str">
        <f>HYPERLINK("http://www.rosaceae.org/Prunus/Prunus_persica/p.persica_gdr_reftransV1_0049169","p.persica_gdr_reftransV1_0049169")</f>
        <v>p.persica_gdr_reftransV1_0049169</v>
      </c>
      <c r="B4992" s="2">
        <v>2324</v>
      </c>
      <c r="C4992" s="4" t="str">
        <f>HYPERLINK("http://www.uniprot.org/uniprot/M5XE00","M5XE00")</f>
        <v>M5XE00</v>
      </c>
      <c r="D4992" s="2" t="s">
        <v>2028</v>
      </c>
      <c r="E4992" s="3">
        <v>0</v>
      </c>
      <c r="F4992" s="2">
        <v>2846</v>
      </c>
      <c r="G4992" s="2">
        <v>100</v>
      </c>
      <c r="H4992" s="2">
        <v>531</v>
      </c>
      <c r="I4992" s="2">
        <v>452</v>
      </c>
      <c r="J4992" s="2">
        <v>2044</v>
      </c>
      <c r="K4992" s="2">
        <v>1</v>
      </c>
      <c r="L4992" s="2">
        <v>531</v>
      </c>
    </row>
    <row r="4993" spans="1:12" x14ac:dyDescent="0.25">
      <c r="A4993" s="4" t="str">
        <f>HYPERLINK("http://www.rosaceae.org/Prunus/Prunus_persica/p.persica_gdr_reftransV1_0001220","p.persica_gdr_reftransV1_0001220")</f>
        <v>p.persica_gdr_reftransV1_0001220</v>
      </c>
      <c r="B4993" s="2">
        <v>359</v>
      </c>
      <c r="C4993" s="4" t="str">
        <f>HYPERLINK("http://www.uniprot.org/uniprot/M5XBY3","M5XBY3")</f>
        <v>M5XBY3</v>
      </c>
      <c r="D4993" s="2" t="s">
        <v>3301</v>
      </c>
      <c r="E4993" s="3">
        <v>2.0600000000000002E-55</v>
      </c>
      <c r="F4993" s="2">
        <v>486</v>
      </c>
      <c r="G4993" s="2">
        <v>99</v>
      </c>
      <c r="H4993" s="2">
        <v>110</v>
      </c>
      <c r="I4993" s="2">
        <v>29</v>
      </c>
      <c r="J4993" s="2">
        <v>358</v>
      </c>
      <c r="K4993" s="2">
        <v>1</v>
      </c>
      <c r="L4993" s="2">
        <v>110</v>
      </c>
    </row>
    <row r="4994" spans="1:12" x14ac:dyDescent="0.25">
      <c r="A4994" s="4" t="str">
        <f>HYPERLINK("http://www.rosaceae.org/Prunus/Prunus_persica/p.persica_gdr_reftransV1_0001570","p.persica_gdr_reftransV1_0001570")</f>
        <v>p.persica_gdr_reftransV1_0001570</v>
      </c>
      <c r="B4994" s="2">
        <v>645</v>
      </c>
      <c r="C4994" s="4" t="str">
        <f>HYPERLINK("http://www.uniprot.org/uniprot/M5WPZ1","M5WPZ1")</f>
        <v>M5WPZ1</v>
      </c>
      <c r="D4994" s="2" t="s">
        <v>3735</v>
      </c>
      <c r="E4994" s="3">
        <v>8.1300000000000004E-139</v>
      </c>
      <c r="F4994" s="2">
        <v>1110</v>
      </c>
      <c r="G4994" s="2">
        <v>100</v>
      </c>
      <c r="H4994" s="2">
        <v>205</v>
      </c>
      <c r="I4994" s="2">
        <v>3</v>
      </c>
      <c r="J4994" s="2">
        <v>617</v>
      </c>
      <c r="K4994" s="2">
        <v>574</v>
      </c>
      <c r="L4994" s="2">
        <v>778</v>
      </c>
    </row>
    <row r="4995" spans="1:12" x14ac:dyDescent="0.25">
      <c r="A4995" s="4" t="str">
        <f>HYPERLINK("http://www.rosaceae.org/Prunus/Prunus_persica/p.persica_gdr_reftransV1_0002270","p.persica_gdr_reftransV1_0002270")</f>
        <v>p.persica_gdr_reftransV1_0002270</v>
      </c>
      <c r="B4995" s="2">
        <v>1742</v>
      </c>
      <c r="C4995" s="4" t="str">
        <f>HYPERLINK("http://www.uniprot.org/uniprot/M5XET0","M5XET0")</f>
        <v>M5XET0</v>
      </c>
      <c r="D4995" s="2" t="s">
        <v>4108</v>
      </c>
      <c r="E4995" s="3">
        <v>0</v>
      </c>
      <c r="F4995" s="2">
        <v>1287</v>
      </c>
      <c r="G4995" s="2">
        <v>100</v>
      </c>
      <c r="H4995" s="2">
        <v>237</v>
      </c>
      <c r="I4995" s="2">
        <v>815</v>
      </c>
      <c r="J4995" s="2">
        <v>1525</v>
      </c>
      <c r="K4995" s="2">
        <v>221</v>
      </c>
      <c r="L4995" s="2">
        <v>457</v>
      </c>
    </row>
    <row r="4996" spans="1:12" x14ac:dyDescent="0.25">
      <c r="A4996" s="4" t="str">
        <f>HYPERLINK("http://www.rosaceae.org/Prunus/Prunus_persica/p.persica_gdr_reftransV1_0003670","p.persica_gdr_reftransV1_0003670")</f>
        <v>p.persica_gdr_reftransV1_0003670</v>
      </c>
      <c r="B4996" s="2">
        <v>666</v>
      </c>
      <c r="C4996" s="4" t="str">
        <f>HYPERLINK("http://www.uniprot.org/uniprot/M5VY27","M5VY27")</f>
        <v>M5VY27</v>
      </c>
      <c r="D4996" s="2" t="s">
        <v>4612</v>
      </c>
      <c r="E4996" s="3">
        <v>1.23E-106</v>
      </c>
      <c r="F4996" s="2">
        <v>838</v>
      </c>
      <c r="G4996" s="2">
        <v>100</v>
      </c>
      <c r="H4996" s="2">
        <v>182</v>
      </c>
      <c r="I4996" s="2">
        <v>1</v>
      </c>
      <c r="J4996" s="2">
        <v>546</v>
      </c>
      <c r="K4996" s="2">
        <v>1</v>
      </c>
      <c r="L4996" s="2">
        <v>182</v>
      </c>
    </row>
    <row r="4997" spans="1:12" x14ac:dyDescent="0.25">
      <c r="A4997" s="4" t="str">
        <f>HYPERLINK("http://www.rosaceae.org/Prunus/Prunus_persica/p.persica_gdr_reftransV1_0004020","p.persica_gdr_reftransV1_0004020")</f>
        <v>p.persica_gdr_reftransV1_0004020</v>
      </c>
      <c r="B4997" s="2">
        <v>1723</v>
      </c>
      <c r="C4997" s="4" t="str">
        <f>HYPERLINK("http://www.uniprot.org/uniprot/M5XXH3","M5XXH3")</f>
        <v>M5XXH3</v>
      </c>
      <c r="D4997" s="2" t="s">
        <v>4613</v>
      </c>
      <c r="E4997" s="3">
        <v>8.8400000000000003E-157</v>
      </c>
      <c r="F4997" s="2">
        <v>1201</v>
      </c>
      <c r="G4997" s="2">
        <v>99</v>
      </c>
      <c r="H4997" s="2">
        <v>272</v>
      </c>
      <c r="I4997" s="2">
        <v>613</v>
      </c>
      <c r="J4997" s="2">
        <v>1428</v>
      </c>
      <c r="K4997" s="2">
        <v>1</v>
      </c>
      <c r="L4997" s="2">
        <v>272</v>
      </c>
    </row>
    <row r="4998" spans="1:12" x14ac:dyDescent="0.25">
      <c r="A4998" s="4" t="str">
        <f>HYPERLINK("http://www.rosaceae.org/Prunus/Prunus_persica/p.persica_gdr_reftransV1_0004370","p.persica_gdr_reftransV1_0004370")</f>
        <v>p.persica_gdr_reftransV1_0004370</v>
      </c>
      <c r="B4998" s="2">
        <v>1391</v>
      </c>
      <c r="C4998" s="4" t="str">
        <f>HYPERLINK("http://www.uniprot.org/uniprot/M5XJ16","M5XJ16")</f>
        <v>M5XJ16</v>
      </c>
      <c r="D4998" s="2" t="s">
        <v>4614</v>
      </c>
      <c r="E4998" s="3">
        <v>0</v>
      </c>
      <c r="F4998" s="2">
        <v>1370</v>
      </c>
      <c r="G4998" s="2">
        <v>100</v>
      </c>
      <c r="H4998" s="2">
        <v>360</v>
      </c>
      <c r="I4998" s="2">
        <v>237</v>
      </c>
      <c r="J4998" s="2">
        <v>1316</v>
      </c>
      <c r="K4998" s="2">
        <v>1</v>
      </c>
      <c r="L4998" s="2">
        <v>360</v>
      </c>
    </row>
    <row r="4999" spans="1:12" x14ac:dyDescent="0.25">
      <c r="A4999" s="4" t="str">
        <f>HYPERLINK("http://www.rosaceae.org/Prunus/Prunus_persica/p.persica_gdr_reftransV1_0004720","p.persica_gdr_reftransV1_0004720")</f>
        <v>p.persica_gdr_reftransV1_0004720</v>
      </c>
      <c r="B4999" s="2">
        <v>1816</v>
      </c>
      <c r="C4999" s="4" t="str">
        <f>HYPERLINK("http://www.uniprot.org/uniprot/M5WD75","M5WD75")</f>
        <v>M5WD75</v>
      </c>
      <c r="D4999" s="2" t="s">
        <v>4615</v>
      </c>
      <c r="E4999" s="3">
        <v>0</v>
      </c>
      <c r="F4999" s="2">
        <v>1931</v>
      </c>
      <c r="G4999" s="2">
        <v>100</v>
      </c>
      <c r="H4999" s="2">
        <v>385</v>
      </c>
      <c r="I4999" s="2">
        <v>378</v>
      </c>
      <c r="J4999" s="2">
        <v>1532</v>
      </c>
      <c r="K4999" s="2">
        <v>1</v>
      </c>
      <c r="L4999" s="2">
        <v>385</v>
      </c>
    </row>
    <row r="5000" spans="1:12" x14ac:dyDescent="0.25">
      <c r="A5000" s="4" t="str">
        <f>HYPERLINK("http://www.rosaceae.org/Prunus/Prunus_persica/p.persica_gdr_reftransV1_0005420","p.persica_gdr_reftransV1_0005420")</f>
        <v>p.persica_gdr_reftransV1_0005420</v>
      </c>
      <c r="B5000" s="2">
        <v>929</v>
      </c>
      <c r="C5000" s="4" t="str">
        <f>HYPERLINK("http://www.uniprot.org/uniprot/M5XTK1","M5XTK1")</f>
        <v>M5XTK1</v>
      </c>
      <c r="D5000" s="2" t="s">
        <v>4616</v>
      </c>
      <c r="E5000" s="3">
        <v>1.23E-98</v>
      </c>
      <c r="F5000" s="2">
        <v>763</v>
      </c>
      <c r="G5000" s="2">
        <v>100</v>
      </c>
      <c r="H5000" s="2">
        <v>142</v>
      </c>
      <c r="I5000" s="2">
        <v>277</v>
      </c>
      <c r="J5000" s="2">
        <v>702</v>
      </c>
      <c r="K5000" s="2">
        <v>1</v>
      </c>
      <c r="L5000" s="2">
        <v>142</v>
      </c>
    </row>
    <row r="5001" spans="1:12" x14ac:dyDescent="0.25">
      <c r="A5001" s="4" t="str">
        <f>HYPERLINK("http://www.rosaceae.org/Prunus/Prunus_persica/p.persica_gdr_reftransV1_0005770","p.persica_gdr_reftransV1_0005770")</f>
        <v>p.persica_gdr_reftransV1_0005770</v>
      </c>
      <c r="B5001" s="2">
        <v>2431</v>
      </c>
      <c r="C5001" s="4" t="str">
        <f>HYPERLINK("http://www.uniprot.org/uniprot/M5WZZ7","M5WZZ7")</f>
        <v>M5WZZ7</v>
      </c>
      <c r="D5001" s="2" t="s">
        <v>4617</v>
      </c>
      <c r="E5001" s="3">
        <v>0</v>
      </c>
      <c r="F5001" s="2">
        <v>1909</v>
      </c>
      <c r="G5001" s="2">
        <v>100</v>
      </c>
      <c r="H5001" s="2">
        <v>431</v>
      </c>
      <c r="I5001" s="2">
        <v>656</v>
      </c>
      <c r="J5001" s="2">
        <v>1948</v>
      </c>
      <c r="K5001" s="2">
        <v>1</v>
      </c>
      <c r="L5001" s="2">
        <v>431</v>
      </c>
    </row>
    <row r="5002" spans="1:12" x14ac:dyDescent="0.25">
      <c r="A5002" s="4" t="str">
        <f>HYPERLINK("http://www.rosaceae.org/Prunus/Prunus_persica/p.persica_gdr_reftransV1_0006820","p.persica_gdr_reftransV1_0006820")</f>
        <v>p.persica_gdr_reftransV1_0006820</v>
      </c>
      <c r="B5002" s="2">
        <v>616</v>
      </c>
      <c r="C5002" s="4" t="str">
        <f>HYPERLINK("http://www.uniprot.org/uniprot/A5C323","A5C323")</f>
        <v>A5C323</v>
      </c>
      <c r="D5002" s="2" t="s">
        <v>4618</v>
      </c>
      <c r="E5002" s="3">
        <v>2.8599999999999999E-10</v>
      </c>
      <c r="F5002" s="2">
        <v>167</v>
      </c>
      <c r="G5002" s="2">
        <v>38</v>
      </c>
      <c r="H5002" s="2">
        <v>97</v>
      </c>
      <c r="I5002" s="2">
        <v>325</v>
      </c>
      <c r="J5002" s="2">
        <v>612</v>
      </c>
      <c r="K5002" s="2">
        <v>413</v>
      </c>
      <c r="L5002" s="2">
        <v>508</v>
      </c>
    </row>
    <row r="5003" spans="1:12" x14ac:dyDescent="0.25">
      <c r="A5003" s="4" t="str">
        <f>HYPERLINK("http://www.rosaceae.org/Prunus/Prunus_persica/p.persica_gdr_reftransV1_0007520","p.persica_gdr_reftransV1_0007520")</f>
        <v>p.persica_gdr_reftransV1_0007520</v>
      </c>
      <c r="B5003" s="2">
        <v>1800</v>
      </c>
      <c r="C5003" s="4" t="str">
        <f>HYPERLINK("http://www.uniprot.org/uniprot/M5XU58","M5XU58")</f>
        <v>M5XU58</v>
      </c>
      <c r="D5003" s="2" t="s">
        <v>4619</v>
      </c>
      <c r="E5003" s="3">
        <v>5.8799999999999999E-30</v>
      </c>
      <c r="F5003" s="2">
        <v>312</v>
      </c>
      <c r="G5003" s="2">
        <v>65</v>
      </c>
      <c r="H5003" s="2">
        <v>124</v>
      </c>
      <c r="I5003" s="2">
        <v>141</v>
      </c>
      <c r="J5003" s="2">
        <v>512</v>
      </c>
      <c r="K5003" s="2">
        <v>47</v>
      </c>
      <c r="L5003" s="2">
        <v>127</v>
      </c>
    </row>
    <row r="5004" spans="1:12" x14ac:dyDescent="0.25">
      <c r="A5004" s="4" t="str">
        <f>HYPERLINK("http://www.rosaceae.org/Prunus/Prunus_persica/p.persica_gdr_reftransV1_0007870","p.persica_gdr_reftransV1_0007870")</f>
        <v>p.persica_gdr_reftransV1_0007870</v>
      </c>
      <c r="B5004" s="2">
        <v>688</v>
      </c>
      <c r="C5004" s="4" t="str">
        <f>HYPERLINK("http://www.uniprot.org/uniprot/M5XR51","M5XR51")</f>
        <v>M5XR51</v>
      </c>
      <c r="D5004" s="2" t="s">
        <v>4620</v>
      </c>
      <c r="E5004" s="3">
        <v>1.12E-60</v>
      </c>
      <c r="F5004" s="2">
        <v>511</v>
      </c>
      <c r="G5004" s="2">
        <v>100</v>
      </c>
      <c r="H5004" s="2">
        <v>192</v>
      </c>
      <c r="I5004" s="2">
        <v>3</v>
      </c>
      <c r="J5004" s="2">
        <v>578</v>
      </c>
      <c r="K5004" s="2">
        <v>1</v>
      </c>
      <c r="L5004" s="2">
        <v>192</v>
      </c>
    </row>
    <row r="5005" spans="1:12" x14ac:dyDescent="0.25">
      <c r="A5005" s="4" t="str">
        <f>HYPERLINK("http://www.rosaceae.org/Prunus/Prunus_persica/p.persica_gdr_reftransV1_0008570","p.persica_gdr_reftransV1_0008570")</f>
        <v>p.persica_gdr_reftransV1_0008570</v>
      </c>
      <c r="B5005" s="2">
        <v>3026</v>
      </c>
      <c r="C5005" s="4" t="str">
        <f>HYPERLINK("http://www.uniprot.org/uniprot/A5BLB0","A5BLB0")</f>
        <v>A5BLB0</v>
      </c>
      <c r="D5005" s="2" t="s">
        <v>2204</v>
      </c>
      <c r="E5005" s="3">
        <v>1.3E-127</v>
      </c>
      <c r="F5005" s="2">
        <v>919</v>
      </c>
      <c r="G5005" s="2">
        <v>44</v>
      </c>
      <c r="H5005" s="2">
        <v>448</v>
      </c>
      <c r="I5005" s="2">
        <v>1758</v>
      </c>
      <c r="J5005" s="2">
        <v>3026</v>
      </c>
      <c r="K5005" s="2">
        <v>562</v>
      </c>
      <c r="L5005" s="2">
        <v>972</v>
      </c>
    </row>
    <row r="5006" spans="1:12" x14ac:dyDescent="0.25">
      <c r="A5006" s="4" t="str">
        <f>HYPERLINK("http://www.rosaceae.org/Prunus/Prunus_persica/p.persica_gdr_reftransV1_0008920","p.persica_gdr_reftransV1_0008920")</f>
        <v>p.persica_gdr_reftransV1_0008920</v>
      </c>
      <c r="B5006" s="2">
        <v>849</v>
      </c>
      <c r="C5006" s="4" t="str">
        <f>HYPERLINK("http://www.uniprot.org/uniprot/M5WJD0","M5WJD0")</f>
        <v>M5WJD0</v>
      </c>
      <c r="D5006" s="2" t="s">
        <v>4621</v>
      </c>
      <c r="E5006" s="3">
        <v>4.8699999999999997E-108</v>
      </c>
      <c r="F5006" s="2">
        <v>824</v>
      </c>
      <c r="G5006" s="2">
        <v>98</v>
      </c>
      <c r="H5006" s="2">
        <v>160</v>
      </c>
      <c r="I5006" s="2">
        <v>100</v>
      </c>
      <c r="J5006" s="2">
        <v>579</v>
      </c>
      <c r="K5006" s="2">
        <v>1</v>
      </c>
      <c r="L5006" s="2">
        <v>156</v>
      </c>
    </row>
    <row r="5007" spans="1:12" x14ac:dyDescent="0.25">
      <c r="A5007" s="4" t="str">
        <f>HYPERLINK("http://www.rosaceae.org/Prunus/Prunus_persica/p.persica_gdr_reftransV1_0009970","p.persica_gdr_reftransV1_0009970")</f>
        <v>p.persica_gdr_reftransV1_0009970</v>
      </c>
      <c r="B5007" s="2">
        <v>367</v>
      </c>
      <c r="C5007" s="4" t="str">
        <f>HYPERLINK("http://www.uniprot.org/uniprot/W9QJN1","W9QJN1")</f>
        <v>W9QJN1</v>
      </c>
      <c r="D5007" s="2" t="s">
        <v>4622</v>
      </c>
      <c r="E5007" s="3">
        <v>3.4299999999999999E-34</v>
      </c>
      <c r="F5007" s="2">
        <v>330</v>
      </c>
      <c r="G5007" s="2">
        <v>83</v>
      </c>
      <c r="H5007" s="2">
        <v>72</v>
      </c>
      <c r="I5007" s="2">
        <v>151</v>
      </c>
      <c r="J5007" s="2">
        <v>366</v>
      </c>
      <c r="K5007" s="2">
        <v>33</v>
      </c>
      <c r="L5007" s="2">
        <v>104</v>
      </c>
    </row>
    <row r="5008" spans="1:12" x14ac:dyDescent="0.25">
      <c r="A5008" s="4" t="str">
        <f>HYPERLINK("http://www.rosaceae.org/Prunus/Prunus_persica/p.persica_gdr_reftransV1_0010320","p.persica_gdr_reftransV1_0010320")</f>
        <v>p.persica_gdr_reftransV1_0010320</v>
      </c>
      <c r="B5008" s="2">
        <v>2878</v>
      </c>
      <c r="C5008" s="4" t="str">
        <f>HYPERLINK("http://www.uniprot.org/uniprot/M5X825","M5X825")</f>
        <v>M5X825</v>
      </c>
      <c r="D5008" s="2" t="s">
        <v>4623</v>
      </c>
      <c r="E5008" s="3">
        <v>0</v>
      </c>
      <c r="F5008" s="2">
        <v>2435</v>
      </c>
      <c r="G5008" s="2">
        <v>100</v>
      </c>
      <c r="H5008" s="2">
        <v>485</v>
      </c>
      <c r="I5008" s="2">
        <v>1287</v>
      </c>
      <c r="J5008" s="2">
        <v>2741</v>
      </c>
      <c r="K5008" s="2">
        <v>21</v>
      </c>
      <c r="L5008" s="2">
        <v>505</v>
      </c>
    </row>
    <row r="5009" spans="1:12" x14ac:dyDescent="0.25">
      <c r="A5009" s="4" t="str">
        <f>HYPERLINK("http://www.rosaceae.org/Prunus/Prunus_persica/p.persica_gdr_reftransV1_0011370","p.persica_gdr_reftransV1_0011370")</f>
        <v>p.persica_gdr_reftransV1_0011370</v>
      </c>
      <c r="B5009" s="2">
        <v>2205</v>
      </c>
      <c r="C5009" s="4" t="str">
        <f>HYPERLINK("http://www.uniprot.org/uniprot/M5WUF5","M5WUF5")</f>
        <v>M5WUF5</v>
      </c>
      <c r="D5009" s="2" t="s">
        <v>4624</v>
      </c>
      <c r="E5009" s="3">
        <v>0</v>
      </c>
      <c r="F5009" s="2">
        <v>1966</v>
      </c>
      <c r="G5009" s="2">
        <v>100</v>
      </c>
      <c r="H5009" s="2">
        <v>383</v>
      </c>
      <c r="I5009" s="2">
        <v>924</v>
      </c>
      <c r="J5009" s="2">
        <v>2072</v>
      </c>
      <c r="K5009" s="2">
        <v>158</v>
      </c>
      <c r="L5009" s="2">
        <v>540</v>
      </c>
    </row>
    <row r="5010" spans="1:12" x14ac:dyDescent="0.25">
      <c r="A5010" s="4" t="str">
        <f>HYPERLINK("http://www.rosaceae.org/Prunus/Prunus_persica/p.persica_gdr_reftransV1_0013120","p.persica_gdr_reftransV1_0013120")</f>
        <v>p.persica_gdr_reftransV1_0013120</v>
      </c>
      <c r="B5010" s="2">
        <v>771</v>
      </c>
      <c r="C5010" s="4" t="str">
        <f>HYPERLINK("http://www.uniprot.org/uniprot/M5WNT2","M5WNT2")</f>
        <v>M5WNT2</v>
      </c>
      <c r="D5010" s="2" t="s">
        <v>4625</v>
      </c>
      <c r="E5010" s="3">
        <v>2.8599999999999999E-70</v>
      </c>
      <c r="F5010" s="2">
        <v>570</v>
      </c>
      <c r="G5010" s="2">
        <v>100</v>
      </c>
      <c r="H5010" s="2">
        <v>124</v>
      </c>
      <c r="I5010" s="2">
        <v>297</v>
      </c>
      <c r="J5010" s="2">
        <v>668</v>
      </c>
      <c r="K5010" s="2">
        <v>9</v>
      </c>
      <c r="L5010" s="2">
        <v>132</v>
      </c>
    </row>
    <row r="5011" spans="1:12" x14ac:dyDescent="0.25">
      <c r="A5011" s="4" t="str">
        <f>HYPERLINK("http://www.rosaceae.org/Prunus/Prunus_persica/p.persica_gdr_reftransV1_0013470","p.persica_gdr_reftransV1_0013470")</f>
        <v>p.persica_gdr_reftransV1_0013470</v>
      </c>
      <c r="B5011" s="2">
        <v>1217</v>
      </c>
      <c r="C5011" s="4" t="str">
        <f>HYPERLINK("http://www.uniprot.org/uniprot/M5VRV9","M5VRV9")</f>
        <v>M5VRV9</v>
      </c>
      <c r="D5011" s="2" t="s">
        <v>4626</v>
      </c>
      <c r="E5011" s="3">
        <v>4.63E-138</v>
      </c>
      <c r="F5011" s="2">
        <v>1041</v>
      </c>
      <c r="G5011" s="2">
        <v>100</v>
      </c>
      <c r="H5011" s="2">
        <v>216</v>
      </c>
      <c r="I5011" s="2">
        <v>355</v>
      </c>
      <c r="J5011" s="2">
        <v>1002</v>
      </c>
      <c r="K5011" s="2">
        <v>1</v>
      </c>
      <c r="L5011" s="2">
        <v>216</v>
      </c>
    </row>
    <row r="5012" spans="1:12" x14ac:dyDescent="0.25">
      <c r="A5012" s="4" t="str">
        <f>HYPERLINK("http://www.rosaceae.org/Prunus/Prunus_persica/p.persica_gdr_reftransV1_0014170","p.persica_gdr_reftransV1_0014170")</f>
        <v>p.persica_gdr_reftransV1_0014170</v>
      </c>
      <c r="B5012" s="2">
        <v>3869</v>
      </c>
      <c r="C5012" s="4" t="str">
        <f>HYPERLINK("http://www.uniprot.org/uniprot/M5VTA0","M5VTA0")</f>
        <v>M5VTA0</v>
      </c>
      <c r="D5012" s="2" t="s">
        <v>4627</v>
      </c>
      <c r="E5012" s="3">
        <v>0</v>
      </c>
      <c r="F5012" s="2">
        <v>2162</v>
      </c>
      <c r="G5012" s="2">
        <v>100</v>
      </c>
      <c r="H5012" s="2">
        <v>473</v>
      </c>
      <c r="I5012" s="2">
        <v>87</v>
      </c>
      <c r="J5012" s="2">
        <v>1505</v>
      </c>
      <c r="K5012" s="2">
        <v>1</v>
      </c>
      <c r="L5012" s="2">
        <v>473</v>
      </c>
    </row>
    <row r="5013" spans="1:12" x14ac:dyDescent="0.25">
      <c r="A5013" s="4" t="str">
        <f>HYPERLINK("http://www.rosaceae.org/Prunus/Prunus_persica/p.persica_gdr_reftransV1_0014870","p.persica_gdr_reftransV1_0014870")</f>
        <v>p.persica_gdr_reftransV1_0014870</v>
      </c>
      <c r="B5013" s="2">
        <v>2412</v>
      </c>
      <c r="C5013" s="4" t="str">
        <f>HYPERLINK("http://www.uniprot.org/uniprot/M5WL68","M5WL68")</f>
        <v>M5WL68</v>
      </c>
      <c r="D5013" s="2" t="s">
        <v>373</v>
      </c>
      <c r="E5013" s="3">
        <v>0</v>
      </c>
      <c r="F5013" s="2">
        <v>1710</v>
      </c>
      <c r="G5013" s="2">
        <v>100</v>
      </c>
      <c r="H5013" s="2">
        <v>344</v>
      </c>
      <c r="I5013" s="2">
        <v>223</v>
      </c>
      <c r="J5013" s="2">
        <v>1254</v>
      </c>
      <c r="K5013" s="2">
        <v>285</v>
      </c>
      <c r="L5013" s="2">
        <v>628</v>
      </c>
    </row>
    <row r="5014" spans="1:12" x14ac:dyDescent="0.25">
      <c r="A5014" s="4" t="str">
        <f>HYPERLINK("http://www.rosaceae.org/Prunus/Prunus_persica/p.persica_gdr_reftransV1_0015220","p.persica_gdr_reftransV1_0015220")</f>
        <v>p.persica_gdr_reftransV1_0015220</v>
      </c>
      <c r="B5014" s="2">
        <v>1808</v>
      </c>
      <c r="C5014" s="4" t="str">
        <f>HYPERLINK("http://www.uniprot.org/uniprot/A0A061E3W6","A0A061E3W6")</f>
        <v>A0A061E3W6</v>
      </c>
      <c r="D5014" s="2" t="s">
        <v>4628</v>
      </c>
      <c r="E5014" s="3">
        <v>0</v>
      </c>
      <c r="F5014" s="2">
        <v>2276</v>
      </c>
      <c r="G5014" s="2">
        <v>72</v>
      </c>
      <c r="H5014" s="2">
        <v>592</v>
      </c>
      <c r="I5014" s="2">
        <v>32</v>
      </c>
      <c r="J5014" s="2">
        <v>1807</v>
      </c>
      <c r="K5014" s="2">
        <v>19</v>
      </c>
      <c r="L5014" s="2">
        <v>610</v>
      </c>
    </row>
    <row r="5015" spans="1:12" x14ac:dyDescent="0.25">
      <c r="A5015" s="4" t="str">
        <f>HYPERLINK("http://www.rosaceae.org/Prunus/Prunus_persica/p.persica_gdr_reftransV1_0017670","p.persica_gdr_reftransV1_0017670")</f>
        <v>p.persica_gdr_reftransV1_0017670</v>
      </c>
      <c r="B5015" s="2">
        <v>1328</v>
      </c>
      <c r="C5015" s="4" t="str">
        <f>HYPERLINK("http://www.uniprot.org/uniprot/M5WTE1","M5WTE1")</f>
        <v>M5WTE1</v>
      </c>
      <c r="D5015" s="2" t="s">
        <v>4629</v>
      </c>
      <c r="E5015" s="3">
        <v>0</v>
      </c>
      <c r="F5015" s="2">
        <v>1891</v>
      </c>
      <c r="G5015" s="2">
        <v>100</v>
      </c>
      <c r="H5015" s="2">
        <v>370</v>
      </c>
      <c r="I5015" s="2">
        <v>2</v>
      </c>
      <c r="J5015" s="2">
        <v>1111</v>
      </c>
      <c r="K5015" s="2">
        <v>156</v>
      </c>
      <c r="L5015" s="2">
        <v>525</v>
      </c>
    </row>
    <row r="5016" spans="1:12" x14ac:dyDescent="0.25">
      <c r="A5016" s="4" t="str">
        <f>HYPERLINK("http://www.rosaceae.org/Prunus/Prunus_persica/p.persica_gdr_reftransV1_0018020","p.persica_gdr_reftransV1_0018020")</f>
        <v>p.persica_gdr_reftransV1_0018020</v>
      </c>
      <c r="B5016" s="2">
        <v>3290</v>
      </c>
      <c r="C5016" s="4" t="str">
        <f>HYPERLINK("http://www.uniprot.org/uniprot/M5VXM9","M5VXM9")</f>
        <v>M5VXM9</v>
      </c>
      <c r="D5016" s="2" t="s">
        <v>4630</v>
      </c>
      <c r="E5016" s="3">
        <v>0</v>
      </c>
      <c r="F5016" s="2">
        <v>2082</v>
      </c>
      <c r="G5016" s="2">
        <v>100</v>
      </c>
      <c r="H5016" s="2">
        <v>405</v>
      </c>
      <c r="I5016" s="2">
        <v>901</v>
      </c>
      <c r="J5016" s="2">
        <v>2115</v>
      </c>
      <c r="K5016" s="2">
        <v>40</v>
      </c>
      <c r="L5016" s="2">
        <v>444</v>
      </c>
    </row>
    <row r="5017" spans="1:12" x14ac:dyDescent="0.25">
      <c r="A5017" s="4" t="str">
        <f>HYPERLINK("http://www.rosaceae.org/Prunus/Prunus_persica/p.persica_gdr_reftransV1_0019070","p.persica_gdr_reftransV1_0019070")</f>
        <v>p.persica_gdr_reftransV1_0019070</v>
      </c>
      <c r="B5017" s="2">
        <v>1004</v>
      </c>
      <c r="C5017" s="4" t="str">
        <f>HYPERLINK("http://www.uniprot.org/uniprot/M5WSX0","M5WSX0")</f>
        <v>M5WSX0</v>
      </c>
      <c r="D5017" s="2" t="s">
        <v>4631</v>
      </c>
      <c r="E5017" s="3">
        <v>2.9499999999999998E-125</v>
      </c>
      <c r="F5017" s="2">
        <v>862</v>
      </c>
      <c r="G5017" s="2">
        <v>100</v>
      </c>
      <c r="H5017" s="2">
        <v>160</v>
      </c>
      <c r="I5017" s="2">
        <v>3</v>
      </c>
      <c r="J5017" s="2">
        <v>482</v>
      </c>
      <c r="K5017" s="2">
        <v>292</v>
      </c>
      <c r="L5017" s="2">
        <v>451</v>
      </c>
    </row>
    <row r="5018" spans="1:12" x14ac:dyDescent="0.25">
      <c r="A5018" s="4" t="str">
        <f>HYPERLINK("http://www.rosaceae.org/Prunus/Prunus_persica/p.persica_gdr_reftransV1_0019420","p.persica_gdr_reftransV1_0019420")</f>
        <v>p.persica_gdr_reftransV1_0019420</v>
      </c>
      <c r="B5018" s="2">
        <v>1317</v>
      </c>
      <c r="C5018" s="4" t="str">
        <f>HYPERLINK("http://www.uniprot.org/uniprot/M5VUL2","M5VUL2")</f>
        <v>M5VUL2</v>
      </c>
      <c r="D5018" s="2" t="s">
        <v>4632</v>
      </c>
      <c r="E5018" s="3">
        <v>0</v>
      </c>
      <c r="F5018" s="2">
        <v>1721</v>
      </c>
      <c r="G5018" s="2">
        <v>99</v>
      </c>
      <c r="H5018" s="2">
        <v>334</v>
      </c>
      <c r="I5018" s="2">
        <v>150</v>
      </c>
      <c r="J5018" s="2">
        <v>1151</v>
      </c>
      <c r="K5018" s="2">
        <v>1</v>
      </c>
      <c r="L5018" s="2">
        <v>334</v>
      </c>
    </row>
    <row r="5019" spans="1:12" x14ac:dyDescent="0.25">
      <c r="A5019" s="4" t="str">
        <f>HYPERLINK("http://www.rosaceae.org/Prunus/Prunus_persica/p.persica_gdr_reftransV1_0019770","p.persica_gdr_reftransV1_0019770")</f>
        <v>p.persica_gdr_reftransV1_0019770</v>
      </c>
      <c r="B5019" s="2">
        <v>687</v>
      </c>
      <c r="C5019" s="4" t="str">
        <f>HYPERLINK("http://www.uniprot.org/uniprot/M5XHV3","M5XHV3")</f>
        <v>M5XHV3</v>
      </c>
      <c r="D5019" s="2" t="s">
        <v>4633</v>
      </c>
      <c r="E5019" s="3">
        <v>7.9800000000000005E-92</v>
      </c>
      <c r="F5019" s="2">
        <v>716</v>
      </c>
      <c r="G5019" s="2">
        <v>98</v>
      </c>
      <c r="H5019" s="2">
        <v>145</v>
      </c>
      <c r="I5019" s="2">
        <v>253</v>
      </c>
      <c r="J5019" s="2">
        <v>687</v>
      </c>
      <c r="K5019" s="2">
        <v>61</v>
      </c>
      <c r="L5019" s="2">
        <v>205</v>
      </c>
    </row>
    <row r="5020" spans="1:12" x14ac:dyDescent="0.25">
      <c r="A5020" s="4" t="str">
        <f>HYPERLINK("http://www.rosaceae.org/Prunus/Prunus_persica/p.persica_gdr_reftransV1_0021520","p.persica_gdr_reftransV1_0021520")</f>
        <v>p.persica_gdr_reftransV1_0021520</v>
      </c>
      <c r="B5020" s="2">
        <v>843</v>
      </c>
      <c r="C5020" s="4" t="str">
        <f>HYPERLINK("http://www.uniprot.org/uniprot/M5Y279","M5Y279")</f>
        <v>M5Y279</v>
      </c>
      <c r="D5020" s="2" t="s">
        <v>4634</v>
      </c>
      <c r="E5020" s="3">
        <v>8.6199999999999995E-73</v>
      </c>
      <c r="F5020" s="2">
        <v>591</v>
      </c>
      <c r="G5020" s="2">
        <v>94</v>
      </c>
      <c r="H5020" s="2">
        <v>120</v>
      </c>
      <c r="I5020" s="2">
        <v>401</v>
      </c>
      <c r="J5020" s="2">
        <v>760</v>
      </c>
      <c r="K5020" s="2">
        <v>1</v>
      </c>
      <c r="L5020" s="2">
        <v>120</v>
      </c>
    </row>
    <row r="5021" spans="1:12" x14ac:dyDescent="0.25">
      <c r="A5021" s="4" t="str">
        <f>HYPERLINK("http://www.rosaceae.org/Prunus/Prunus_persica/p.persica_gdr_reftransV1_0022220","p.persica_gdr_reftransV1_0022220")</f>
        <v>p.persica_gdr_reftransV1_0022220</v>
      </c>
      <c r="B5021" s="2">
        <v>1466</v>
      </c>
      <c r="C5021" s="4" t="str">
        <f>HYPERLINK("http://www.uniprot.org/uniprot/M5VIN5","M5VIN5")</f>
        <v>M5VIN5</v>
      </c>
      <c r="D5021" s="2" t="s">
        <v>4635</v>
      </c>
      <c r="E5021" s="3">
        <v>0</v>
      </c>
      <c r="F5021" s="2">
        <v>1589</v>
      </c>
      <c r="G5021" s="2">
        <v>100</v>
      </c>
      <c r="H5021" s="2">
        <v>302</v>
      </c>
      <c r="I5021" s="2">
        <v>236</v>
      </c>
      <c r="J5021" s="2">
        <v>1141</v>
      </c>
      <c r="K5021" s="2">
        <v>1</v>
      </c>
      <c r="L5021" s="2">
        <v>302</v>
      </c>
    </row>
    <row r="5022" spans="1:12" x14ac:dyDescent="0.25">
      <c r="A5022" s="4" t="str">
        <f>HYPERLINK("http://www.rosaceae.org/Prunus/Prunus_persica/p.persica_gdr_reftransV1_0022920","p.persica_gdr_reftransV1_0022920")</f>
        <v>p.persica_gdr_reftransV1_0022920</v>
      </c>
      <c r="B5022" s="2">
        <v>2731</v>
      </c>
      <c r="C5022" s="4" t="str">
        <f>HYPERLINK("http://www.uniprot.org/uniprot/M5XGL0","M5XGL0")</f>
        <v>M5XGL0</v>
      </c>
      <c r="D5022" s="2" t="s">
        <v>4636</v>
      </c>
      <c r="E5022" s="3">
        <v>0</v>
      </c>
      <c r="F5022" s="2">
        <v>1882</v>
      </c>
      <c r="G5022" s="2">
        <v>100</v>
      </c>
      <c r="H5022" s="2">
        <v>448</v>
      </c>
      <c r="I5022" s="2">
        <v>270</v>
      </c>
      <c r="J5022" s="2">
        <v>1613</v>
      </c>
      <c r="K5022" s="2">
        <v>210</v>
      </c>
      <c r="L5022" s="2">
        <v>657</v>
      </c>
    </row>
    <row r="5023" spans="1:12" x14ac:dyDescent="0.25">
      <c r="A5023" s="4" t="str">
        <f>HYPERLINK("http://www.rosaceae.org/Prunus/Prunus_persica/p.persica_gdr_reftransV1_0025020","p.persica_gdr_reftransV1_0025020")</f>
        <v>p.persica_gdr_reftransV1_0025020</v>
      </c>
      <c r="B5023" s="2">
        <v>4832</v>
      </c>
      <c r="C5023" s="4" t="str">
        <f>HYPERLINK("http://www.uniprot.org/uniprot/M5VMJ7","M5VMJ7")</f>
        <v>M5VMJ7</v>
      </c>
      <c r="D5023" s="2" t="s">
        <v>4637</v>
      </c>
      <c r="E5023" s="3">
        <v>0</v>
      </c>
      <c r="F5023" s="2">
        <v>5901</v>
      </c>
      <c r="G5023" s="2">
        <v>99</v>
      </c>
      <c r="H5023" s="2">
        <v>1287</v>
      </c>
      <c r="I5023" s="2">
        <v>239</v>
      </c>
      <c r="J5023" s="2">
        <v>4099</v>
      </c>
      <c r="K5023" s="2">
        <v>165</v>
      </c>
      <c r="L5023" s="2">
        <v>1441</v>
      </c>
    </row>
    <row r="5024" spans="1:12" x14ac:dyDescent="0.25">
      <c r="A5024" s="4" t="str">
        <f>HYPERLINK("http://www.rosaceae.org/Prunus/Prunus_persica/p.persica_gdr_reftransV1_0027470","p.persica_gdr_reftransV1_0027470")</f>
        <v>p.persica_gdr_reftransV1_0027470</v>
      </c>
      <c r="B5024" s="2">
        <v>1444</v>
      </c>
      <c r="C5024" s="4" t="str">
        <f>HYPERLINK("http://www.uniprot.org/uniprot/M5WSI5","M5WSI5")</f>
        <v>M5WSI5</v>
      </c>
      <c r="D5024" s="2" t="s">
        <v>4638</v>
      </c>
      <c r="E5024" s="3">
        <v>0</v>
      </c>
      <c r="F5024" s="2">
        <v>1830</v>
      </c>
      <c r="G5024" s="2">
        <v>100</v>
      </c>
      <c r="H5024" s="2">
        <v>365</v>
      </c>
      <c r="I5024" s="2">
        <v>236</v>
      </c>
      <c r="J5024" s="2">
        <v>1330</v>
      </c>
      <c r="K5024" s="2">
        <v>1</v>
      </c>
      <c r="L5024" s="2">
        <v>365</v>
      </c>
    </row>
    <row r="5025" spans="1:12" x14ac:dyDescent="0.25">
      <c r="A5025" s="4" t="str">
        <f>HYPERLINK("http://www.rosaceae.org/Prunus/Prunus_persica/p.persica_gdr_reftransV1_0028520","p.persica_gdr_reftransV1_0028520")</f>
        <v>p.persica_gdr_reftransV1_0028520</v>
      </c>
      <c r="B5025" s="2">
        <v>691</v>
      </c>
      <c r="C5025" s="4" t="str">
        <f>HYPERLINK("http://www.uniprot.org/uniprot/M5VZN0","M5VZN0")</f>
        <v>M5VZN0</v>
      </c>
      <c r="D5025" s="2" t="s">
        <v>4639</v>
      </c>
      <c r="E5025" s="3">
        <v>5.4499999999999996E-35</v>
      </c>
      <c r="F5025" s="2">
        <v>346</v>
      </c>
      <c r="G5025" s="2">
        <v>54</v>
      </c>
      <c r="H5025" s="2">
        <v>157</v>
      </c>
      <c r="I5025" s="2">
        <v>131</v>
      </c>
      <c r="J5025" s="2">
        <v>601</v>
      </c>
      <c r="K5025" s="2">
        <v>96</v>
      </c>
      <c r="L5025" s="2">
        <v>241</v>
      </c>
    </row>
    <row r="5026" spans="1:12" x14ac:dyDescent="0.25">
      <c r="A5026" s="4" t="str">
        <f>HYPERLINK("http://www.rosaceae.org/Prunus/Prunus_persica/p.persica_gdr_reftransV1_0029220","p.persica_gdr_reftransV1_0029220")</f>
        <v>p.persica_gdr_reftransV1_0029220</v>
      </c>
      <c r="B5026" s="2">
        <v>3024</v>
      </c>
      <c r="C5026" s="4" t="str">
        <f>HYPERLINK("http://www.uniprot.org/uniprot/M5X1I4","M5X1I4")</f>
        <v>M5X1I4</v>
      </c>
      <c r="D5026" s="2" t="s">
        <v>4640</v>
      </c>
      <c r="E5026" s="3">
        <v>2.7100000000000003E-88</v>
      </c>
      <c r="F5026" s="2">
        <v>758</v>
      </c>
      <c r="G5026" s="2">
        <v>100</v>
      </c>
      <c r="H5026" s="2">
        <v>145</v>
      </c>
      <c r="I5026" s="2">
        <v>465</v>
      </c>
      <c r="J5026" s="2">
        <v>899</v>
      </c>
      <c r="K5026" s="2">
        <v>149</v>
      </c>
      <c r="L5026" s="2">
        <v>293</v>
      </c>
    </row>
    <row r="5027" spans="1:12" x14ac:dyDescent="0.25">
      <c r="A5027" s="4" t="str">
        <f>HYPERLINK("http://www.rosaceae.org/Prunus/Prunus_persica/p.persica_gdr_reftransV1_0030270","p.persica_gdr_reftransV1_0030270")</f>
        <v>p.persica_gdr_reftransV1_0030270</v>
      </c>
      <c r="B5027" s="2">
        <v>2500</v>
      </c>
      <c r="C5027" s="4" t="str">
        <f>HYPERLINK("http://www.uniprot.org/uniprot/M5WAD0","M5WAD0")</f>
        <v>M5WAD0</v>
      </c>
      <c r="D5027" s="2" t="s">
        <v>4641</v>
      </c>
      <c r="E5027" s="3">
        <v>0</v>
      </c>
      <c r="F5027" s="2">
        <v>2878</v>
      </c>
      <c r="G5027" s="2">
        <v>97</v>
      </c>
      <c r="H5027" s="2">
        <v>576</v>
      </c>
      <c r="I5027" s="2">
        <v>110</v>
      </c>
      <c r="J5027" s="2">
        <v>1837</v>
      </c>
      <c r="K5027" s="2">
        <v>1</v>
      </c>
      <c r="L5027" s="2">
        <v>560</v>
      </c>
    </row>
    <row r="5028" spans="1:12" x14ac:dyDescent="0.25">
      <c r="A5028" s="4" t="str">
        <f>HYPERLINK("http://www.rosaceae.org/Prunus/Prunus_persica/p.persica_gdr_reftransV1_0031670","p.persica_gdr_reftransV1_0031670")</f>
        <v>p.persica_gdr_reftransV1_0031670</v>
      </c>
      <c r="B5028" s="2">
        <v>1124</v>
      </c>
      <c r="C5028" s="4" t="str">
        <f>HYPERLINK("http://www.uniprot.org/uniprot/M5WMB1","M5WMB1")</f>
        <v>M5WMB1</v>
      </c>
      <c r="D5028" s="2" t="s">
        <v>3784</v>
      </c>
      <c r="E5028" s="3">
        <v>6.8800000000000002E-176</v>
      </c>
      <c r="F5028" s="2">
        <v>1306</v>
      </c>
      <c r="G5028" s="2">
        <v>100</v>
      </c>
      <c r="H5028" s="2">
        <v>254</v>
      </c>
      <c r="I5028" s="2">
        <v>363</v>
      </c>
      <c r="J5028" s="2">
        <v>1124</v>
      </c>
      <c r="K5028" s="2">
        <v>1</v>
      </c>
      <c r="L5028" s="2">
        <v>254</v>
      </c>
    </row>
    <row r="5029" spans="1:12" x14ac:dyDescent="0.25">
      <c r="A5029" s="4" t="str">
        <f>HYPERLINK("http://www.rosaceae.org/Prunus/Prunus_persica/p.persica_gdr_reftransV1_0032020","p.persica_gdr_reftransV1_0032020")</f>
        <v>p.persica_gdr_reftransV1_0032020</v>
      </c>
      <c r="B5029" s="2">
        <v>1605</v>
      </c>
      <c r="C5029" s="4" t="str">
        <f>HYPERLINK("http://www.uniprot.org/uniprot/M5XSU0","M5XSU0")</f>
        <v>M5XSU0</v>
      </c>
      <c r="D5029" s="2" t="s">
        <v>4642</v>
      </c>
      <c r="E5029" s="3">
        <v>1.46E-118</v>
      </c>
      <c r="F5029" s="2">
        <v>929</v>
      </c>
      <c r="G5029" s="2">
        <v>83</v>
      </c>
      <c r="H5029" s="2">
        <v>219</v>
      </c>
      <c r="I5029" s="2">
        <v>99</v>
      </c>
      <c r="J5029" s="2">
        <v>752</v>
      </c>
      <c r="K5029" s="2">
        <v>46</v>
      </c>
      <c r="L5029" s="2">
        <v>257</v>
      </c>
    </row>
    <row r="5030" spans="1:12" x14ac:dyDescent="0.25">
      <c r="A5030" s="4" t="str">
        <f>HYPERLINK("http://www.rosaceae.org/Prunus/Prunus_persica/p.persica_gdr_reftransV1_0034470","p.persica_gdr_reftransV1_0034470")</f>
        <v>p.persica_gdr_reftransV1_0034470</v>
      </c>
      <c r="B5030" s="2">
        <v>888</v>
      </c>
      <c r="C5030" s="4" t="str">
        <f>HYPERLINK("http://www.uniprot.org/uniprot/M5XNE3","M5XNE3")</f>
        <v>M5XNE3</v>
      </c>
      <c r="D5030" s="2" t="s">
        <v>2439</v>
      </c>
      <c r="E5030" s="3">
        <v>8.1000000000000003E-75</v>
      </c>
      <c r="F5030" s="2">
        <v>641</v>
      </c>
      <c r="G5030" s="2">
        <v>100</v>
      </c>
      <c r="H5030" s="2">
        <v>155</v>
      </c>
      <c r="I5030" s="2">
        <v>310</v>
      </c>
      <c r="J5030" s="2">
        <v>774</v>
      </c>
      <c r="K5030" s="2">
        <v>441</v>
      </c>
      <c r="L5030" s="2">
        <v>595</v>
      </c>
    </row>
    <row r="5031" spans="1:12" x14ac:dyDescent="0.25">
      <c r="A5031" s="4" t="str">
        <f>HYPERLINK("http://www.rosaceae.org/Prunus/Prunus_persica/p.persica_gdr_reftransV1_0036570","p.persica_gdr_reftransV1_0036570")</f>
        <v>p.persica_gdr_reftransV1_0036570</v>
      </c>
      <c r="B5031" s="2">
        <v>2151</v>
      </c>
      <c r="C5031" s="4" t="str">
        <f>HYPERLINK("http://www.uniprot.org/uniprot/M5WCQ4","M5WCQ4")</f>
        <v>M5WCQ4</v>
      </c>
      <c r="D5031" s="2" t="s">
        <v>4643</v>
      </c>
      <c r="E5031" s="3">
        <v>0</v>
      </c>
      <c r="F5031" s="2">
        <v>2595</v>
      </c>
      <c r="G5031" s="2">
        <v>100</v>
      </c>
      <c r="H5031" s="2">
        <v>537</v>
      </c>
      <c r="I5031" s="2">
        <v>458</v>
      </c>
      <c r="J5031" s="2">
        <v>2068</v>
      </c>
      <c r="K5031" s="2">
        <v>1</v>
      </c>
      <c r="L5031" s="2">
        <v>537</v>
      </c>
    </row>
    <row r="5032" spans="1:12" x14ac:dyDescent="0.25">
      <c r="A5032" s="4" t="str">
        <f>HYPERLINK("http://www.rosaceae.org/Prunus/Prunus_persica/p.persica_gdr_reftransV1_0037620","p.persica_gdr_reftransV1_0037620")</f>
        <v>p.persica_gdr_reftransV1_0037620</v>
      </c>
      <c r="B5032" s="2">
        <v>1775</v>
      </c>
      <c r="C5032" s="4" t="str">
        <f>HYPERLINK("http://www.uniprot.org/uniprot/M5XIM3","M5XIM3")</f>
        <v>M5XIM3</v>
      </c>
      <c r="D5032" s="2" t="s">
        <v>269</v>
      </c>
      <c r="E5032" s="3">
        <v>0</v>
      </c>
      <c r="F5032" s="2">
        <v>1873</v>
      </c>
      <c r="G5032" s="2">
        <v>100</v>
      </c>
      <c r="H5032" s="2">
        <v>349</v>
      </c>
      <c r="I5032" s="2">
        <v>229</v>
      </c>
      <c r="J5032" s="2">
        <v>1275</v>
      </c>
      <c r="K5032" s="2">
        <v>17</v>
      </c>
      <c r="L5032" s="2">
        <v>365</v>
      </c>
    </row>
    <row r="5033" spans="1:12" x14ac:dyDescent="0.25">
      <c r="A5033" s="4" t="str">
        <f>HYPERLINK("http://www.rosaceae.org/Prunus/Prunus_persica/p.persica_gdr_reftransV1_0037970","p.persica_gdr_reftransV1_0037970")</f>
        <v>p.persica_gdr_reftransV1_0037970</v>
      </c>
      <c r="B5033" s="2">
        <v>1071</v>
      </c>
      <c r="C5033" s="4" t="str">
        <f>HYPERLINK("http://www.uniprot.org/uniprot/M5W1E0","M5W1E0")</f>
        <v>M5W1E0</v>
      </c>
      <c r="D5033" s="2" t="s">
        <v>4644</v>
      </c>
      <c r="E5033" s="3">
        <v>3.4200000000000002E-116</v>
      </c>
      <c r="F5033" s="2">
        <v>888</v>
      </c>
      <c r="G5033" s="2">
        <v>100</v>
      </c>
      <c r="H5033" s="2">
        <v>169</v>
      </c>
      <c r="I5033" s="2">
        <v>404</v>
      </c>
      <c r="J5033" s="2">
        <v>910</v>
      </c>
      <c r="K5033" s="2">
        <v>9</v>
      </c>
      <c r="L5033" s="2">
        <v>177</v>
      </c>
    </row>
    <row r="5034" spans="1:12" x14ac:dyDescent="0.25">
      <c r="A5034" s="4" t="str">
        <f>HYPERLINK("http://www.rosaceae.org/Prunus/Prunus_persica/p.persica_gdr_reftransV1_0038670","p.persica_gdr_reftransV1_0038670")</f>
        <v>p.persica_gdr_reftransV1_0038670</v>
      </c>
      <c r="B5034" s="2">
        <v>2969</v>
      </c>
      <c r="C5034" s="4" t="str">
        <f>HYPERLINK("http://www.uniprot.org/uniprot/M5W3R5","M5W3R5")</f>
        <v>M5W3R5</v>
      </c>
      <c r="D5034" s="2" t="s">
        <v>4645</v>
      </c>
      <c r="E5034" s="3">
        <v>0</v>
      </c>
      <c r="F5034" s="2">
        <v>3101</v>
      </c>
      <c r="G5034" s="2">
        <v>99</v>
      </c>
      <c r="H5034" s="2">
        <v>618</v>
      </c>
      <c r="I5034" s="2">
        <v>595</v>
      </c>
      <c r="J5034" s="2">
        <v>2448</v>
      </c>
      <c r="K5034" s="2">
        <v>13</v>
      </c>
      <c r="L5034" s="2">
        <v>626</v>
      </c>
    </row>
    <row r="5035" spans="1:12" x14ac:dyDescent="0.25">
      <c r="A5035" s="4" t="str">
        <f>HYPERLINK("http://www.rosaceae.org/Prunus/Prunus_persica/p.persica_gdr_reftransV1_0039370","p.persica_gdr_reftransV1_0039370")</f>
        <v>p.persica_gdr_reftransV1_0039370</v>
      </c>
      <c r="B5035" s="2">
        <v>1587</v>
      </c>
      <c r="C5035" s="4" t="str">
        <f>HYPERLINK("http://www.uniprot.org/uniprot/M5WY65","M5WY65")</f>
        <v>M5WY65</v>
      </c>
      <c r="D5035" s="2" t="s">
        <v>4646</v>
      </c>
      <c r="E5035" s="3">
        <v>0</v>
      </c>
      <c r="F5035" s="2">
        <v>1970</v>
      </c>
      <c r="G5035" s="2">
        <v>100</v>
      </c>
      <c r="H5035" s="2">
        <v>382</v>
      </c>
      <c r="I5035" s="2">
        <v>164</v>
      </c>
      <c r="J5035" s="2">
        <v>1309</v>
      </c>
      <c r="K5035" s="2">
        <v>1</v>
      </c>
      <c r="L5035" s="2">
        <v>382</v>
      </c>
    </row>
    <row r="5036" spans="1:12" x14ac:dyDescent="0.25">
      <c r="A5036" s="4" t="str">
        <f>HYPERLINK("http://www.rosaceae.org/Prunus/Prunus_persica/p.persica_gdr_reftransV1_0042170","p.persica_gdr_reftransV1_0042170")</f>
        <v>p.persica_gdr_reftransV1_0042170</v>
      </c>
      <c r="B5036" s="2">
        <v>3328</v>
      </c>
      <c r="C5036" s="4" t="str">
        <f>HYPERLINK("http://www.uniprot.org/uniprot/M5VWG6","M5VWG6")</f>
        <v>M5VWG6</v>
      </c>
      <c r="D5036" s="2" t="s">
        <v>4647</v>
      </c>
      <c r="E5036" s="3">
        <v>6.8199999999999999E-180</v>
      </c>
      <c r="F5036" s="2">
        <v>1425</v>
      </c>
      <c r="G5036" s="2">
        <v>91</v>
      </c>
      <c r="H5036" s="2">
        <v>297</v>
      </c>
      <c r="I5036" s="2">
        <v>580</v>
      </c>
      <c r="J5036" s="2">
        <v>1470</v>
      </c>
      <c r="K5036" s="2">
        <v>379</v>
      </c>
      <c r="L5036" s="2">
        <v>650</v>
      </c>
    </row>
    <row r="5037" spans="1:12" x14ac:dyDescent="0.25">
      <c r="A5037" s="4" t="str">
        <f>HYPERLINK("http://www.rosaceae.org/Prunus/Prunus_persica/p.persica_gdr_reftransV1_0042870","p.persica_gdr_reftransV1_0042870")</f>
        <v>p.persica_gdr_reftransV1_0042870</v>
      </c>
      <c r="B5037" s="2">
        <v>735</v>
      </c>
      <c r="C5037" s="4" t="str">
        <f>HYPERLINK("http://www.uniprot.org/uniprot/M5VUC7","M5VUC7")</f>
        <v>M5VUC7</v>
      </c>
      <c r="D5037" s="2" t="s">
        <v>131</v>
      </c>
      <c r="E5037" s="3">
        <v>2.76E-78</v>
      </c>
      <c r="F5037" s="2">
        <v>677</v>
      </c>
      <c r="G5037" s="2">
        <v>83</v>
      </c>
      <c r="H5037" s="2">
        <v>167</v>
      </c>
      <c r="I5037" s="2">
        <v>2</v>
      </c>
      <c r="J5037" s="2">
        <v>499</v>
      </c>
      <c r="K5037" s="2">
        <v>673</v>
      </c>
      <c r="L5037" s="2">
        <v>822</v>
      </c>
    </row>
    <row r="5038" spans="1:12" x14ac:dyDescent="0.25">
      <c r="A5038" s="4" t="str">
        <f>HYPERLINK("http://www.rosaceae.org/Prunus/Prunus_persica/p.persica_gdr_reftransV1_0043220","p.persica_gdr_reftransV1_0043220")</f>
        <v>p.persica_gdr_reftransV1_0043220</v>
      </c>
      <c r="B5038" s="2">
        <v>335</v>
      </c>
      <c r="C5038" s="4" t="str">
        <f>HYPERLINK("http://www.uniprot.org/uniprot/M5XI06","M5XI06")</f>
        <v>M5XI06</v>
      </c>
      <c r="D5038" s="2" t="s">
        <v>4648</v>
      </c>
      <c r="E5038" s="3">
        <v>3.3E-74</v>
      </c>
      <c r="F5038" s="2">
        <v>599</v>
      </c>
      <c r="G5038" s="2">
        <v>100</v>
      </c>
      <c r="H5038" s="2">
        <v>111</v>
      </c>
      <c r="I5038" s="2">
        <v>1</v>
      </c>
      <c r="J5038" s="2">
        <v>333</v>
      </c>
      <c r="K5038" s="2">
        <v>80</v>
      </c>
      <c r="L5038" s="2">
        <v>190</v>
      </c>
    </row>
    <row r="5039" spans="1:12" x14ac:dyDescent="0.25">
      <c r="A5039" s="4" t="str">
        <f>HYPERLINK("http://www.rosaceae.org/Prunus/Prunus_persica/p.persica_gdr_reftransV1_0043920","p.persica_gdr_reftransV1_0043920")</f>
        <v>p.persica_gdr_reftransV1_0043920</v>
      </c>
      <c r="B5039" s="2">
        <v>1466</v>
      </c>
      <c r="C5039" s="4" t="str">
        <f>HYPERLINK("http://www.uniprot.org/uniprot/M5W1S7","M5W1S7")</f>
        <v>M5W1S7</v>
      </c>
      <c r="D5039" s="2" t="s">
        <v>4649</v>
      </c>
      <c r="E5039" s="3">
        <v>0</v>
      </c>
      <c r="F5039" s="2">
        <v>1956</v>
      </c>
      <c r="G5039" s="2">
        <v>97</v>
      </c>
      <c r="H5039" s="2">
        <v>443</v>
      </c>
      <c r="I5039" s="2">
        <v>82</v>
      </c>
      <c r="J5039" s="2">
        <v>1407</v>
      </c>
      <c r="K5039" s="2">
        <v>45</v>
      </c>
      <c r="L5039" s="2">
        <v>487</v>
      </c>
    </row>
    <row r="5040" spans="1:12" x14ac:dyDescent="0.25">
      <c r="A5040" s="4" t="str">
        <f>HYPERLINK("http://www.rosaceae.org/Prunus/Prunus_persica/p.persica_gdr_reftransV1_0044270","p.persica_gdr_reftransV1_0044270")</f>
        <v>p.persica_gdr_reftransV1_0044270</v>
      </c>
      <c r="B5040" s="2">
        <v>1616</v>
      </c>
      <c r="C5040" s="4" t="str">
        <f>HYPERLINK("http://www.uniprot.org/uniprot/M5XPT2","M5XPT2")</f>
        <v>M5XPT2</v>
      </c>
      <c r="D5040" s="2" t="s">
        <v>4650</v>
      </c>
      <c r="E5040" s="3">
        <v>0</v>
      </c>
      <c r="F5040" s="2">
        <v>1562</v>
      </c>
      <c r="G5040" s="2">
        <v>97</v>
      </c>
      <c r="H5040" s="2">
        <v>341</v>
      </c>
      <c r="I5040" s="2">
        <v>380</v>
      </c>
      <c r="J5040" s="2">
        <v>1402</v>
      </c>
      <c r="K5040" s="2">
        <v>1</v>
      </c>
      <c r="L5040" s="2">
        <v>337</v>
      </c>
    </row>
    <row r="5041" spans="1:12" x14ac:dyDescent="0.25">
      <c r="A5041" s="4" t="str">
        <f>HYPERLINK("http://www.rosaceae.org/Prunus/Prunus_persica/p.persica_gdr_reftransV1_0044620","p.persica_gdr_reftransV1_0044620")</f>
        <v>p.persica_gdr_reftransV1_0044620</v>
      </c>
      <c r="B5041" s="2">
        <v>1574</v>
      </c>
      <c r="C5041" s="4" t="str">
        <f>HYPERLINK("http://www.uniprot.org/uniprot/M5VPW7","M5VPW7")</f>
        <v>M5VPW7</v>
      </c>
      <c r="D5041" s="2" t="s">
        <v>4651</v>
      </c>
      <c r="E5041" s="3">
        <v>0</v>
      </c>
      <c r="F5041" s="2">
        <v>1636</v>
      </c>
      <c r="G5041" s="2">
        <v>100</v>
      </c>
      <c r="H5041" s="2">
        <v>380</v>
      </c>
      <c r="I5041" s="2">
        <v>295</v>
      </c>
      <c r="J5041" s="2">
        <v>1434</v>
      </c>
      <c r="K5041" s="2">
        <v>1</v>
      </c>
      <c r="L5041" s="2">
        <v>380</v>
      </c>
    </row>
    <row r="5042" spans="1:12" x14ac:dyDescent="0.25">
      <c r="A5042" s="4" t="str">
        <f>HYPERLINK("http://www.rosaceae.org/Prunus/Prunus_persica/p.persica_gdr_reftransV1_0044970","p.persica_gdr_reftransV1_0044970")</f>
        <v>p.persica_gdr_reftransV1_0044970</v>
      </c>
      <c r="B5042" s="2">
        <v>1070</v>
      </c>
      <c r="C5042" s="4" t="str">
        <f>HYPERLINK("http://www.uniprot.org/uniprot/M5WJL1","M5WJL1")</f>
        <v>M5WJL1</v>
      </c>
      <c r="D5042" s="2" t="s">
        <v>205</v>
      </c>
      <c r="E5042" s="3">
        <v>0</v>
      </c>
      <c r="F5042" s="2">
        <v>1908</v>
      </c>
      <c r="G5042" s="2">
        <v>100</v>
      </c>
      <c r="H5042" s="2">
        <v>356</v>
      </c>
      <c r="I5042" s="2">
        <v>1</v>
      </c>
      <c r="J5042" s="2">
        <v>1068</v>
      </c>
      <c r="K5042" s="2">
        <v>213</v>
      </c>
      <c r="L5042" s="2">
        <v>568</v>
      </c>
    </row>
    <row r="5043" spans="1:12" x14ac:dyDescent="0.25">
      <c r="A5043" s="4" t="str">
        <f>HYPERLINK("http://www.rosaceae.org/Prunus/Prunus_persica/p.persica_gdr_reftransV1_0045320","p.persica_gdr_reftransV1_0045320")</f>
        <v>p.persica_gdr_reftransV1_0045320</v>
      </c>
      <c r="B5043" s="2">
        <v>455</v>
      </c>
      <c r="C5043" s="4" t="str">
        <f>HYPERLINK("http://www.uniprot.org/uniprot/M5WRJ1","M5WRJ1")</f>
        <v>M5WRJ1</v>
      </c>
      <c r="D5043" s="2" t="s">
        <v>4652</v>
      </c>
      <c r="E5043" s="3">
        <v>7.4700000000000002E-28</v>
      </c>
      <c r="F5043" s="2">
        <v>224</v>
      </c>
      <c r="G5043" s="2">
        <v>86</v>
      </c>
      <c r="H5043" s="2">
        <v>49</v>
      </c>
      <c r="I5043" s="2">
        <v>215</v>
      </c>
      <c r="J5043" s="2">
        <v>361</v>
      </c>
      <c r="K5043" s="2">
        <v>22</v>
      </c>
      <c r="L5043" s="2">
        <v>70</v>
      </c>
    </row>
    <row r="5044" spans="1:12" x14ac:dyDescent="0.25">
      <c r="A5044" s="4" t="str">
        <f>HYPERLINK("http://www.rosaceae.org/Prunus/Prunus_persica/p.persica_gdr_reftransV1_0046020","p.persica_gdr_reftransV1_0046020")</f>
        <v>p.persica_gdr_reftransV1_0046020</v>
      </c>
      <c r="B5044" s="2">
        <v>1491</v>
      </c>
      <c r="C5044" s="4" t="str">
        <f>HYPERLINK("http://www.uniprot.org/uniprot/M5XDH7","M5XDH7")</f>
        <v>M5XDH7</v>
      </c>
      <c r="D5044" s="2" t="s">
        <v>4653</v>
      </c>
      <c r="E5044" s="3">
        <v>0</v>
      </c>
      <c r="F5044" s="2">
        <v>1596</v>
      </c>
      <c r="G5044" s="2">
        <v>100</v>
      </c>
      <c r="H5044" s="2">
        <v>295</v>
      </c>
      <c r="I5044" s="2">
        <v>196</v>
      </c>
      <c r="J5044" s="2">
        <v>1080</v>
      </c>
      <c r="K5044" s="2">
        <v>18</v>
      </c>
      <c r="L5044" s="2">
        <v>312</v>
      </c>
    </row>
    <row r="5045" spans="1:12" x14ac:dyDescent="0.25">
      <c r="A5045" s="4" t="str">
        <f>HYPERLINK("http://www.rosaceae.org/Prunus/Prunus_persica/p.persica_gdr_reftransV1_0046370","p.persica_gdr_reftransV1_0046370")</f>
        <v>p.persica_gdr_reftransV1_0046370</v>
      </c>
      <c r="B5045" s="2">
        <v>1031</v>
      </c>
      <c r="C5045" s="4" t="str">
        <f>HYPERLINK("http://www.uniprot.org/uniprot/A0A061EIS8","A0A061EIS8")</f>
        <v>A0A061EIS8</v>
      </c>
      <c r="D5045" s="2" t="s">
        <v>2991</v>
      </c>
      <c r="E5045" s="3">
        <v>6.0699999999999997E-53</v>
      </c>
      <c r="F5045" s="2">
        <v>501</v>
      </c>
      <c r="G5045" s="2">
        <v>83</v>
      </c>
      <c r="H5045" s="2">
        <v>131</v>
      </c>
      <c r="I5045" s="2">
        <v>256</v>
      </c>
      <c r="J5045" s="2">
        <v>648</v>
      </c>
      <c r="K5045" s="2">
        <v>234</v>
      </c>
      <c r="L5045" s="2">
        <v>364</v>
      </c>
    </row>
    <row r="5046" spans="1:12" x14ac:dyDescent="0.25">
      <c r="A5046" s="4" t="str">
        <f>HYPERLINK("http://www.rosaceae.org/Prunus/Prunus_persica/p.persica_gdr_reftransV1_0046720","p.persica_gdr_reftransV1_0046720")</f>
        <v>p.persica_gdr_reftransV1_0046720</v>
      </c>
      <c r="B5046" s="2">
        <v>348</v>
      </c>
      <c r="C5046" s="4" t="str">
        <f>HYPERLINK("http://www.uniprot.org/uniprot/M5WM21","M5WM21")</f>
        <v>M5WM21</v>
      </c>
      <c r="D5046" s="2" t="s">
        <v>4654</v>
      </c>
      <c r="E5046" s="3">
        <v>1.21E-48</v>
      </c>
      <c r="F5046" s="2">
        <v>424</v>
      </c>
      <c r="G5046" s="2">
        <v>91</v>
      </c>
      <c r="H5046" s="2">
        <v>90</v>
      </c>
      <c r="I5046" s="2">
        <v>77</v>
      </c>
      <c r="J5046" s="2">
        <v>346</v>
      </c>
      <c r="K5046" s="2">
        <v>201</v>
      </c>
      <c r="L5046" s="2">
        <v>289</v>
      </c>
    </row>
    <row r="5047" spans="1:12" x14ac:dyDescent="0.25">
      <c r="A5047" s="4" t="str">
        <f>HYPERLINK("http://www.rosaceae.org/Prunus/Prunus_persica/p.persica_gdr_reftransV1_0047070","p.persica_gdr_reftransV1_0047070")</f>
        <v>p.persica_gdr_reftransV1_0047070</v>
      </c>
      <c r="B5047" s="2">
        <v>1578</v>
      </c>
      <c r="C5047" s="4" t="str">
        <f>HYPERLINK("http://www.uniprot.org/uniprot/M5XPV9","M5XPV9")</f>
        <v>M5XPV9</v>
      </c>
      <c r="D5047" s="2" t="s">
        <v>4655</v>
      </c>
      <c r="E5047" s="3">
        <v>0</v>
      </c>
      <c r="F5047" s="2">
        <v>2633</v>
      </c>
      <c r="G5047" s="2">
        <v>100</v>
      </c>
      <c r="H5047" s="2">
        <v>492</v>
      </c>
      <c r="I5047" s="2">
        <v>78</v>
      </c>
      <c r="J5047" s="2">
        <v>1553</v>
      </c>
      <c r="K5047" s="2">
        <v>1</v>
      </c>
      <c r="L5047" s="2">
        <v>492</v>
      </c>
    </row>
    <row r="5048" spans="1:12" x14ac:dyDescent="0.25">
      <c r="A5048" s="4" t="str">
        <f>HYPERLINK("http://www.rosaceae.org/Prunus/Prunus_persica/p.persica_gdr_reftransV1_0047420","p.persica_gdr_reftransV1_0047420")</f>
        <v>p.persica_gdr_reftransV1_0047420</v>
      </c>
      <c r="B5048" s="2">
        <v>849</v>
      </c>
      <c r="C5048" s="4" t="str">
        <f>HYPERLINK("http://www.uniprot.org/uniprot/M5X1F0","M5X1F0")</f>
        <v>M5X1F0</v>
      </c>
      <c r="D5048" s="2" t="s">
        <v>4656</v>
      </c>
      <c r="E5048" s="3">
        <v>1.32E-86</v>
      </c>
      <c r="F5048" s="2">
        <v>682</v>
      </c>
      <c r="G5048" s="2">
        <v>100</v>
      </c>
      <c r="H5048" s="2">
        <v>154</v>
      </c>
      <c r="I5048" s="2">
        <v>315</v>
      </c>
      <c r="J5048" s="2">
        <v>776</v>
      </c>
      <c r="K5048" s="2">
        <v>1</v>
      </c>
      <c r="L5048" s="2">
        <v>154</v>
      </c>
    </row>
    <row r="5049" spans="1:12" x14ac:dyDescent="0.25">
      <c r="A5049" s="4" t="str">
        <f>HYPERLINK("http://www.rosaceae.org/Prunus/Prunus_persica/p.persica_gdr_reftransV1_0047770","p.persica_gdr_reftransV1_0047770")</f>
        <v>p.persica_gdr_reftransV1_0047770</v>
      </c>
      <c r="B5049" s="2">
        <v>2631</v>
      </c>
      <c r="C5049" s="4" t="str">
        <f>HYPERLINK("http://www.uniprot.org/uniprot/M5XB84","M5XB84")</f>
        <v>M5XB84</v>
      </c>
      <c r="D5049" s="2" t="s">
        <v>1571</v>
      </c>
      <c r="E5049" s="3">
        <v>0</v>
      </c>
      <c r="F5049" s="2">
        <v>2740</v>
      </c>
      <c r="G5049" s="2">
        <v>100</v>
      </c>
      <c r="H5049" s="2">
        <v>623</v>
      </c>
      <c r="I5049" s="2">
        <v>303</v>
      </c>
      <c r="J5049" s="2">
        <v>2171</v>
      </c>
      <c r="K5049" s="2">
        <v>1</v>
      </c>
      <c r="L5049" s="2">
        <v>623</v>
      </c>
    </row>
    <row r="5050" spans="1:12" x14ac:dyDescent="0.25">
      <c r="A5050" s="4" t="str">
        <f>HYPERLINK("http://www.rosaceae.org/Prunus/Prunus_persica/p.persica_gdr_reftransV1_0048120","p.persica_gdr_reftransV1_0048120")</f>
        <v>p.persica_gdr_reftransV1_0048120</v>
      </c>
      <c r="B5050" s="2">
        <v>470</v>
      </c>
      <c r="C5050" s="4" t="str">
        <f>HYPERLINK("http://www.uniprot.org/uniprot/M5WKN8","M5WKN8")</f>
        <v>M5WKN8</v>
      </c>
      <c r="D5050" s="2" t="s">
        <v>3284</v>
      </c>
      <c r="E5050" s="3">
        <v>2.17E-100</v>
      </c>
      <c r="F5050" s="2">
        <v>813</v>
      </c>
      <c r="G5050" s="2">
        <v>100</v>
      </c>
      <c r="H5050" s="2">
        <v>150</v>
      </c>
      <c r="I5050" s="2">
        <v>20</v>
      </c>
      <c r="J5050" s="2">
        <v>469</v>
      </c>
      <c r="K5050" s="2">
        <v>522</v>
      </c>
      <c r="L5050" s="2">
        <v>671</v>
      </c>
    </row>
    <row r="5051" spans="1:12" x14ac:dyDescent="0.25">
      <c r="A5051" s="4" t="str">
        <f>HYPERLINK("http://www.rosaceae.org/Prunus/Prunus_persica/p.persica_gdr_reftransV1_0048470","p.persica_gdr_reftransV1_0048470")</f>
        <v>p.persica_gdr_reftransV1_0048470</v>
      </c>
      <c r="B5051" s="2">
        <v>2403</v>
      </c>
      <c r="C5051" s="4" t="str">
        <f>HYPERLINK("http://www.uniprot.org/uniprot/M5VZE1","M5VZE1")</f>
        <v>M5VZE1</v>
      </c>
      <c r="D5051" s="2" t="s">
        <v>4657</v>
      </c>
      <c r="E5051" s="3">
        <v>0</v>
      </c>
      <c r="F5051" s="2">
        <v>1472</v>
      </c>
      <c r="G5051" s="2">
        <v>100</v>
      </c>
      <c r="H5051" s="2">
        <v>297</v>
      </c>
      <c r="I5051" s="2">
        <v>825</v>
      </c>
      <c r="J5051" s="2">
        <v>1715</v>
      </c>
      <c r="K5051" s="2">
        <v>1</v>
      </c>
      <c r="L5051" s="2">
        <v>297</v>
      </c>
    </row>
    <row r="5052" spans="1:12" x14ac:dyDescent="0.25">
      <c r="A5052" s="4" t="str">
        <f>HYPERLINK("http://www.rosaceae.org/Prunus/Prunus_persica/p.persica_gdr_reftransV1_0048820","p.persica_gdr_reftransV1_0048820")</f>
        <v>p.persica_gdr_reftransV1_0048820</v>
      </c>
      <c r="B5052" s="2">
        <v>3700</v>
      </c>
      <c r="C5052" s="4" t="str">
        <f>HYPERLINK("http://www.uniprot.org/uniprot/M5VJB6","M5VJB6")</f>
        <v>M5VJB6</v>
      </c>
      <c r="D5052" s="2" t="s">
        <v>3387</v>
      </c>
      <c r="E5052" s="3">
        <v>0</v>
      </c>
      <c r="F5052" s="2">
        <v>5373</v>
      </c>
      <c r="G5052" s="2">
        <v>97</v>
      </c>
      <c r="H5052" s="2">
        <v>1102</v>
      </c>
      <c r="I5052" s="2">
        <v>91</v>
      </c>
      <c r="J5052" s="2">
        <v>3396</v>
      </c>
      <c r="K5052" s="2">
        <v>1</v>
      </c>
      <c r="L5052" s="2">
        <v>1068</v>
      </c>
    </row>
    <row r="5053" spans="1:12" x14ac:dyDescent="0.25">
      <c r="A5053" s="4" t="str">
        <f>HYPERLINK("http://www.rosaceae.org/Prunus/Prunus_persica/p.persica_gdr_reftransV1_0049170","p.persica_gdr_reftransV1_0049170")</f>
        <v>p.persica_gdr_reftransV1_0049170</v>
      </c>
      <c r="B5053" s="2">
        <v>681</v>
      </c>
      <c r="C5053" s="4" t="str">
        <f>HYPERLINK("http://www.uniprot.org/uniprot/M5VRY8","M5VRY8")</f>
        <v>M5VRY8</v>
      </c>
      <c r="D5053" s="2" t="s">
        <v>4658</v>
      </c>
      <c r="E5053" s="3">
        <v>1.1400000000000001E-53</v>
      </c>
      <c r="F5053" s="2">
        <v>462</v>
      </c>
      <c r="G5053" s="2">
        <v>99</v>
      </c>
      <c r="H5053" s="2">
        <v>121</v>
      </c>
      <c r="I5053" s="2">
        <v>159</v>
      </c>
      <c r="J5053" s="2">
        <v>521</v>
      </c>
      <c r="K5053" s="2">
        <v>54</v>
      </c>
      <c r="L5053" s="2">
        <v>174</v>
      </c>
    </row>
    <row r="5054" spans="1:12" x14ac:dyDescent="0.25">
      <c r="A5054" s="4" t="str">
        <f>HYPERLINK("http://www.rosaceae.org/Prunus/Prunus_persica/p.persica_gdr_reftransV1_0000017","p.persica_gdr_reftransV1_0000017")</f>
        <v>p.persica_gdr_reftransV1_0000017</v>
      </c>
      <c r="B5054" s="2">
        <v>2392</v>
      </c>
      <c r="C5054" s="4" t="str">
        <f>HYPERLINK("http://www.uniprot.org/uniprot/M5Y3J5","M5Y3J5")</f>
        <v>M5Y3J5</v>
      </c>
      <c r="D5054" s="2" t="s">
        <v>4659</v>
      </c>
      <c r="E5054" s="3">
        <v>0</v>
      </c>
      <c r="F5054" s="2">
        <v>3463</v>
      </c>
      <c r="G5054" s="2">
        <v>100</v>
      </c>
      <c r="H5054" s="2">
        <v>673</v>
      </c>
      <c r="I5054" s="2">
        <v>158</v>
      </c>
      <c r="J5054" s="2">
        <v>2176</v>
      </c>
      <c r="K5054" s="2">
        <v>1</v>
      </c>
      <c r="L5054" s="2">
        <v>673</v>
      </c>
    </row>
    <row r="5055" spans="1:12" x14ac:dyDescent="0.25">
      <c r="A5055" s="4" t="str">
        <f>HYPERLINK("http://www.rosaceae.org/Prunus/Prunus_persica/p.persica_gdr_reftransV1_0000367","p.persica_gdr_reftransV1_0000367")</f>
        <v>p.persica_gdr_reftransV1_0000367</v>
      </c>
      <c r="B5055" s="2">
        <v>418</v>
      </c>
      <c r="C5055" s="4" t="str">
        <f>HYPERLINK("http://www.uniprot.org/uniprot/M5VX68","M5VX68")</f>
        <v>M5VX68</v>
      </c>
      <c r="D5055" s="2" t="s">
        <v>4660</v>
      </c>
      <c r="E5055" s="3">
        <v>4.9299999999999998E-86</v>
      </c>
      <c r="F5055" s="2">
        <v>727</v>
      </c>
      <c r="G5055" s="2">
        <v>100</v>
      </c>
      <c r="H5055" s="2">
        <v>139</v>
      </c>
      <c r="I5055" s="2">
        <v>1</v>
      </c>
      <c r="J5055" s="2">
        <v>417</v>
      </c>
      <c r="K5055" s="2">
        <v>878</v>
      </c>
      <c r="L5055" s="2">
        <v>1016</v>
      </c>
    </row>
    <row r="5056" spans="1:12" x14ac:dyDescent="0.25">
      <c r="A5056" s="4" t="str">
        <f>HYPERLINK("http://www.rosaceae.org/Prunus/Prunus_persica/p.persica_gdr_reftransV1_0001067","p.persica_gdr_reftransV1_0001067")</f>
        <v>p.persica_gdr_reftransV1_0001067</v>
      </c>
      <c r="B5056" s="2">
        <v>3250</v>
      </c>
      <c r="C5056" s="4" t="str">
        <f>HYPERLINK("http://www.uniprot.org/uniprot/M5X6Z2","M5X6Z2")</f>
        <v>M5X6Z2</v>
      </c>
      <c r="D5056" s="2" t="s">
        <v>4661</v>
      </c>
      <c r="E5056" s="3">
        <v>0</v>
      </c>
      <c r="F5056" s="2">
        <v>4004</v>
      </c>
      <c r="G5056" s="2">
        <v>86</v>
      </c>
      <c r="H5056" s="2">
        <v>955</v>
      </c>
      <c r="I5056" s="2">
        <v>340</v>
      </c>
      <c r="J5056" s="2">
        <v>3204</v>
      </c>
      <c r="K5056" s="2">
        <v>1</v>
      </c>
      <c r="L5056" s="2">
        <v>859</v>
      </c>
    </row>
    <row r="5057" spans="1:12" x14ac:dyDescent="0.25">
      <c r="A5057" s="4" t="str">
        <f>HYPERLINK("http://www.rosaceae.org/Prunus/Prunus_persica/p.persica_gdr_reftransV1_0001417","p.persica_gdr_reftransV1_0001417")</f>
        <v>p.persica_gdr_reftransV1_0001417</v>
      </c>
      <c r="B5057" s="2">
        <v>351</v>
      </c>
      <c r="C5057" s="4" t="str">
        <f>HYPERLINK("http://www.uniprot.org/uniprot/M5WGP8","M5WGP8")</f>
        <v>M5WGP8</v>
      </c>
      <c r="D5057" s="2" t="s">
        <v>4662</v>
      </c>
      <c r="E5057" s="3">
        <v>1.3700000000000001E-16</v>
      </c>
      <c r="F5057" s="2">
        <v>202</v>
      </c>
      <c r="G5057" s="2">
        <v>100</v>
      </c>
      <c r="H5057" s="2">
        <v>65</v>
      </c>
      <c r="I5057" s="2">
        <v>156</v>
      </c>
      <c r="J5057" s="2">
        <v>350</v>
      </c>
      <c r="K5057" s="2">
        <v>199</v>
      </c>
      <c r="L5057" s="2">
        <v>263</v>
      </c>
    </row>
    <row r="5058" spans="1:12" x14ac:dyDescent="0.25">
      <c r="A5058" s="4" t="str">
        <f>HYPERLINK("http://www.rosaceae.org/Prunus/Prunus_persica/p.persica_gdr_reftransV1_0002117","p.persica_gdr_reftransV1_0002117")</f>
        <v>p.persica_gdr_reftransV1_0002117</v>
      </c>
      <c r="B5058" s="2">
        <v>866</v>
      </c>
      <c r="C5058" s="4" t="str">
        <f>HYPERLINK("http://www.uniprot.org/uniprot/M5XIF0","M5XIF0")</f>
        <v>M5XIF0</v>
      </c>
      <c r="D5058" s="2" t="s">
        <v>4663</v>
      </c>
      <c r="E5058" s="3">
        <v>1.0699999999999999E-89</v>
      </c>
      <c r="F5058" s="2">
        <v>705</v>
      </c>
      <c r="G5058" s="2">
        <v>100</v>
      </c>
      <c r="H5058" s="2">
        <v>162</v>
      </c>
      <c r="I5058" s="2">
        <v>222</v>
      </c>
      <c r="J5058" s="2">
        <v>707</v>
      </c>
      <c r="K5058" s="2">
        <v>9</v>
      </c>
      <c r="L5058" s="2">
        <v>170</v>
      </c>
    </row>
    <row r="5059" spans="1:12" x14ac:dyDescent="0.25">
      <c r="A5059" s="4" t="str">
        <f>HYPERLINK("http://www.rosaceae.org/Prunus/Prunus_persica/p.persica_gdr_reftransV1_0002467","p.persica_gdr_reftransV1_0002467")</f>
        <v>p.persica_gdr_reftransV1_0002467</v>
      </c>
      <c r="B5059" s="2">
        <v>1296</v>
      </c>
      <c r="C5059" s="4" t="str">
        <f>HYPERLINK("http://www.uniprot.org/uniprot/M5X6D6","M5X6D6")</f>
        <v>M5X6D6</v>
      </c>
      <c r="D5059" s="2" t="s">
        <v>4664</v>
      </c>
      <c r="E5059" s="3">
        <v>0</v>
      </c>
      <c r="F5059" s="2">
        <v>1932</v>
      </c>
      <c r="G5059" s="2">
        <v>97</v>
      </c>
      <c r="H5059" s="2">
        <v>397</v>
      </c>
      <c r="I5059" s="2">
        <v>104</v>
      </c>
      <c r="J5059" s="2">
        <v>1294</v>
      </c>
      <c r="K5059" s="2">
        <v>9</v>
      </c>
      <c r="L5059" s="2">
        <v>405</v>
      </c>
    </row>
    <row r="5060" spans="1:12" x14ac:dyDescent="0.25">
      <c r="A5060" s="4" t="str">
        <f>HYPERLINK("http://www.rosaceae.org/Prunus/Prunus_persica/p.persica_gdr_reftransV1_0003517","p.persica_gdr_reftransV1_0003517")</f>
        <v>p.persica_gdr_reftransV1_0003517</v>
      </c>
      <c r="B5060" s="2">
        <v>661</v>
      </c>
      <c r="C5060" s="4" t="str">
        <f>HYPERLINK("http://www.uniprot.org/uniprot/A0A0C4DHW5","A0A0C4DHW5")</f>
        <v>A0A0C4DHW5</v>
      </c>
      <c r="D5060" s="2" t="s">
        <v>4665</v>
      </c>
      <c r="E5060" s="3">
        <v>5.6799999999999997E-115</v>
      </c>
      <c r="F5060" s="2">
        <v>882</v>
      </c>
      <c r="G5060" s="2">
        <v>98</v>
      </c>
      <c r="H5060" s="2">
        <v>184</v>
      </c>
      <c r="I5060" s="2">
        <v>1</v>
      </c>
      <c r="J5060" s="2">
        <v>552</v>
      </c>
      <c r="K5060" s="2">
        <v>1</v>
      </c>
      <c r="L5060" s="2">
        <v>184</v>
      </c>
    </row>
    <row r="5061" spans="1:12" x14ac:dyDescent="0.25">
      <c r="A5061" s="4" t="str">
        <f>HYPERLINK("http://www.rosaceae.org/Prunus/Prunus_persica/p.persica_gdr_reftransV1_0003867","p.persica_gdr_reftransV1_0003867")</f>
        <v>p.persica_gdr_reftransV1_0003867</v>
      </c>
      <c r="B5061" s="2">
        <v>628</v>
      </c>
      <c r="C5061" s="4" t="str">
        <f>HYPERLINK("http://www.uniprot.org/uniprot/M5VRG4","M5VRG4")</f>
        <v>M5VRG4</v>
      </c>
      <c r="D5061" s="2" t="s">
        <v>4666</v>
      </c>
      <c r="E5061" s="3">
        <v>1.6700000000000001E-57</v>
      </c>
      <c r="F5061" s="2">
        <v>494</v>
      </c>
      <c r="G5061" s="2">
        <v>99</v>
      </c>
      <c r="H5061" s="2">
        <v>94</v>
      </c>
      <c r="I5061" s="2">
        <v>347</v>
      </c>
      <c r="J5061" s="2">
        <v>628</v>
      </c>
      <c r="K5061" s="2">
        <v>1</v>
      </c>
      <c r="L5061" s="2">
        <v>94</v>
      </c>
    </row>
    <row r="5062" spans="1:12" x14ac:dyDescent="0.25">
      <c r="A5062" s="4" t="str">
        <f>HYPERLINK("http://www.rosaceae.org/Prunus/Prunus_persica/p.persica_gdr_reftransV1_0004917","p.persica_gdr_reftransV1_0004917")</f>
        <v>p.persica_gdr_reftransV1_0004917</v>
      </c>
      <c r="B5062" s="2">
        <v>1627</v>
      </c>
      <c r="C5062" s="4" t="str">
        <f>HYPERLINK("http://www.uniprot.org/uniprot/M5W6H8","M5W6H8")</f>
        <v>M5W6H8</v>
      </c>
      <c r="D5062" s="2" t="s">
        <v>4667</v>
      </c>
      <c r="E5062" s="3">
        <v>0</v>
      </c>
      <c r="F5062" s="2">
        <v>1073</v>
      </c>
      <c r="G5062" s="2">
        <v>100</v>
      </c>
      <c r="H5062" s="2">
        <v>229</v>
      </c>
      <c r="I5062" s="2">
        <v>3</v>
      </c>
      <c r="J5062" s="2">
        <v>689</v>
      </c>
      <c r="K5062" s="2">
        <v>660</v>
      </c>
      <c r="L5062" s="2">
        <v>888</v>
      </c>
    </row>
    <row r="5063" spans="1:12" x14ac:dyDescent="0.25">
      <c r="A5063" s="4" t="str">
        <f>HYPERLINK("http://www.rosaceae.org/Prunus/Prunus_persica/p.persica_gdr_reftransV1_0006667","p.persica_gdr_reftransV1_0006667")</f>
        <v>p.persica_gdr_reftransV1_0006667</v>
      </c>
      <c r="B5063" s="2">
        <v>718</v>
      </c>
      <c r="C5063" s="4" t="str">
        <f>HYPERLINK("http://www.uniprot.org/uniprot/W9QWH2","W9QWH2")</f>
        <v>W9QWH2</v>
      </c>
      <c r="D5063" s="2" t="s">
        <v>4668</v>
      </c>
      <c r="E5063" s="3">
        <v>2.8199999999999999E-108</v>
      </c>
      <c r="F5063" s="2">
        <v>855</v>
      </c>
      <c r="G5063" s="2">
        <v>69</v>
      </c>
      <c r="H5063" s="2">
        <v>239</v>
      </c>
      <c r="I5063" s="2">
        <v>1</v>
      </c>
      <c r="J5063" s="2">
        <v>717</v>
      </c>
      <c r="K5063" s="2">
        <v>153</v>
      </c>
      <c r="L5063" s="2">
        <v>391</v>
      </c>
    </row>
    <row r="5064" spans="1:12" x14ac:dyDescent="0.25">
      <c r="A5064" s="4" t="str">
        <f>HYPERLINK("http://www.rosaceae.org/Prunus/Prunus_persica/p.persica_gdr_reftransV1_0007717","p.persica_gdr_reftransV1_0007717")</f>
        <v>p.persica_gdr_reftransV1_0007717</v>
      </c>
      <c r="B5064" s="2">
        <v>4406</v>
      </c>
      <c r="C5064" s="4" t="str">
        <f>HYPERLINK("http://www.uniprot.org/uniprot/W8R477","W8R477")</f>
        <v>W8R477</v>
      </c>
      <c r="D5064" s="2" t="s">
        <v>4669</v>
      </c>
      <c r="E5064" s="3">
        <v>4.1199999999999998E-145</v>
      </c>
      <c r="F5064" s="2">
        <v>724</v>
      </c>
      <c r="G5064" s="2">
        <v>59</v>
      </c>
      <c r="H5064" s="2">
        <v>244</v>
      </c>
      <c r="I5064" s="2">
        <v>1563</v>
      </c>
      <c r="J5064" s="2">
        <v>2237</v>
      </c>
      <c r="K5064" s="2">
        <v>1114</v>
      </c>
      <c r="L5064" s="2">
        <v>1357</v>
      </c>
    </row>
    <row r="5065" spans="1:12" x14ac:dyDescent="0.25">
      <c r="A5065" s="4" t="str">
        <f>HYPERLINK("http://www.rosaceae.org/Prunus/Prunus_persica/p.persica_gdr_reftransV1_0009117","p.persica_gdr_reftransV1_0009117")</f>
        <v>p.persica_gdr_reftransV1_0009117</v>
      </c>
      <c r="B5065" s="2">
        <v>1149</v>
      </c>
      <c r="C5065" s="4" t="str">
        <f>HYPERLINK("http://www.uniprot.org/uniprot/M5XWX6","M5XWX6")</f>
        <v>M5XWX6</v>
      </c>
      <c r="D5065" s="2" t="s">
        <v>4670</v>
      </c>
      <c r="E5065" s="3">
        <v>0</v>
      </c>
      <c r="F5065" s="2">
        <v>1357</v>
      </c>
      <c r="G5065" s="2">
        <v>100</v>
      </c>
      <c r="H5065" s="2">
        <v>276</v>
      </c>
      <c r="I5065" s="2">
        <v>224</v>
      </c>
      <c r="J5065" s="2">
        <v>1051</v>
      </c>
      <c r="K5065" s="2">
        <v>1</v>
      </c>
      <c r="L5065" s="2">
        <v>276</v>
      </c>
    </row>
    <row r="5066" spans="1:12" x14ac:dyDescent="0.25">
      <c r="A5066" s="4" t="str">
        <f>HYPERLINK("http://www.rosaceae.org/Prunus/Prunus_persica/p.persica_gdr_reftransV1_0010867","p.persica_gdr_reftransV1_0010867")</f>
        <v>p.persica_gdr_reftransV1_0010867</v>
      </c>
      <c r="B5066" s="2">
        <v>1254</v>
      </c>
      <c r="C5066" s="4" t="str">
        <f>HYPERLINK("http://www.uniprot.org/uniprot/M5WJ18","M5WJ18")</f>
        <v>M5WJ18</v>
      </c>
      <c r="D5066" s="2" t="s">
        <v>72</v>
      </c>
      <c r="E5066" s="3">
        <v>3.79E-164</v>
      </c>
      <c r="F5066" s="2">
        <v>1230</v>
      </c>
      <c r="G5066" s="2">
        <v>100</v>
      </c>
      <c r="H5066" s="2">
        <v>233</v>
      </c>
      <c r="I5066" s="2">
        <v>2</v>
      </c>
      <c r="J5066" s="2">
        <v>700</v>
      </c>
      <c r="K5066" s="2">
        <v>138</v>
      </c>
      <c r="L5066" s="2">
        <v>370</v>
      </c>
    </row>
    <row r="5067" spans="1:12" x14ac:dyDescent="0.25">
      <c r="A5067" s="4" t="str">
        <f>HYPERLINK("http://www.rosaceae.org/Prunus/Prunus_persica/p.persica_gdr_reftransV1_0011567","p.persica_gdr_reftransV1_0011567")</f>
        <v>p.persica_gdr_reftransV1_0011567</v>
      </c>
      <c r="B5067" s="2">
        <v>682</v>
      </c>
      <c r="C5067" s="4" t="str">
        <f>HYPERLINK("http://www.uniprot.org/uniprot/M5X0I4","M5X0I4")</f>
        <v>M5X0I4</v>
      </c>
      <c r="D5067" s="2" t="s">
        <v>4671</v>
      </c>
      <c r="E5067" s="3">
        <v>4.2199999999999999E-42</v>
      </c>
      <c r="F5067" s="2">
        <v>395</v>
      </c>
      <c r="G5067" s="2">
        <v>100</v>
      </c>
      <c r="H5067" s="2">
        <v>143</v>
      </c>
      <c r="I5067" s="2">
        <v>1</v>
      </c>
      <c r="J5067" s="2">
        <v>429</v>
      </c>
      <c r="K5067" s="2">
        <v>196</v>
      </c>
      <c r="L5067" s="2">
        <v>338</v>
      </c>
    </row>
    <row r="5068" spans="1:12" x14ac:dyDescent="0.25">
      <c r="A5068" s="4" t="str">
        <f>HYPERLINK("http://www.rosaceae.org/Prunus/Prunus_persica/p.persica_gdr_reftransV1_0013667","p.persica_gdr_reftransV1_0013667")</f>
        <v>p.persica_gdr_reftransV1_0013667</v>
      </c>
      <c r="B5068" s="2">
        <v>1243</v>
      </c>
      <c r="C5068" s="4" t="str">
        <f>HYPERLINK("http://www.uniprot.org/uniprot/M5X0Z8","M5X0Z8")</f>
        <v>M5X0Z8</v>
      </c>
      <c r="D5068" s="2" t="s">
        <v>4672</v>
      </c>
      <c r="E5068" s="3">
        <v>4.4999999999999997E-117</v>
      </c>
      <c r="F5068" s="2">
        <v>903</v>
      </c>
      <c r="G5068" s="2">
        <v>100</v>
      </c>
      <c r="H5068" s="2">
        <v>205</v>
      </c>
      <c r="I5068" s="2">
        <v>382</v>
      </c>
      <c r="J5068" s="2">
        <v>996</v>
      </c>
      <c r="K5068" s="2">
        <v>11</v>
      </c>
      <c r="L5068" s="2">
        <v>215</v>
      </c>
    </row>
    <row r="5069" spans="1:12" x14ac:dyDescent="0.25">
      <c r="A5069" s="4" t="str">
        <f>HYPERLINK("http://www.rosaceae.org/Prunus/Prunus_persica/p.persica_gdr_reftransV1_0014367","p.persica_gdr_reftransV1_0014367")</f>
        <v>p.persica_gdr_reftransV1_0014367</v>
      </c>
      <c r="B5069" s="2">
        <v>811</v>
      </c>
      <c r="C5069" s="4" t="str">
        <f>HYPERLINK("http://www.uniprot.org/uniprot/M5XSC0","M5XSC0")</f>
        <v>M5XSC0</v>
      </c>
      <c r="D5069" s="2" t="s">
        <v>2474</v>
      </c>
      <c r="E5069" s="3">
        <v>5.1799999999999998E-105</v>
      </c>
      <c r="F5069" s="2">
        <v>846</v>
      </c>
      <c r="G5069" s="2">
        <v>96</v>
      </c>
      <c r="H5069" s="2">
        <v>205</v>
      </c>
      <c r="I5069" s="2">
        <v>195</v>
      </c>
      <c r="J5069" s="2">
        <v>809</v>
      </c>
      <c r="K5069" s="2">
        <v>449</v>
      </c>
      <c r="L5069" s="2">
        <v>644</v>
      </c>
    </row>
    <row r="5070" spans="1:12" x14ac:dyDescent="0.25">
      <c r="A5070" s="4" t="str">
        <f>HYPERLINK("http://www.rosaceae.org/Prunus/Prunus_persica/p.persica_gdr_reftransV1_0014717","p.persica_gdr_reftransV1_0014717")</f>
        <v>p.persica_gdr_reftransV1_0014717</v>
      </c>
      <c r="B5070" s="2">
        <v>569</v>
      </c>
      <c r="C5070" s="4" t="str">
        <f>HYPERLINK("http://www.uniprot.org/uniprot/M5VW38","M5VW38")</f>
        <v>M5VW38</v>
      </c>
      <c r="D5070" s="2" t="s">
        <v>4562</v>
      </c>
      <c r="E5070" s="3">
        <v>7.6800000000000005E-107</v>
      </c>
      <c r="F5070" s="2">
        <v>845</v>
      </c>
      <c r="G5070" s="2">
        <v>100</v>
      </c>
      <c r="H5070" s="2">
        <v>159</v>
      </c>
      <c r="I5070" s="2">
        <v>92</v>
      </c>
      <c r="J5070" s="2">
        <v>568</v>
      </c>
      <c r="K5070" s="2">
        <v>1</v>
      </c>
      <c r="L5070" s="2">
        <v>159</v>
      </c>
    </row>
    <row r="5071" spans="1:12" x14ac:dyDescent="0.25">
      <c r="A5071" s="4" t="str">
        <f>HYPERLINK("http://www.rosaceae.org/Prunus/Prunus_persica/p.persica_gdr_reftransV1_0015067","p.persica_gdr_reftransV1_0015067")</f>
        <v>p.persica_gdr_reftransV1_0015067</v>
      </c>
      <c r="B5071" s="2">
        <v>1627</v>
      </c>
      <c r="C5071" s="4" t="str">
        <f>HYPERLINK("http://www.uniprot.org/uniprot/M5X7H3","M5X7H3")</f>
        <v>M5X7H3</v>
      </c>
      <c r="D5071" s="2" t="s">
        <v>4673</v>
      </c>
      <c r="E5071" s="3">
        <v>0</v>
      </c>
      <c r="F5071" s="2">
        <v>2053</v>
      </c>
      <c r="G5071" s="2">
        <v>100</v>
      </c>
      <c r="H5071" s="2">
        <v>388</v>
      </c>
      <c r="I5071" s="2">
        <v>1</v>
      </c>
      <c r="J5071" s="2">
        <v>1164</v>
      </c>
      <c r="K5071" s="2">
        <v>354</v>
      </c>
      <c r="L5071" s="2">
        <v>741</v>
      </c>
    </row>
    <row r="5072" spans="1:12" x14ac:dyDescent="0.25">
      <c r="A5072" s="4" t="str">
        <f>HYPERLINK("http://www.rosaceae.org/Prunus/Prunus_persica/p.persica_gdr_reftransV1_0015417","p.persica_gdr_reftransV1_0015417")</f>
        <v>p.persica_gdr_reftransV1_0015417</v>
      </c>
      <c r="B5072" s="2">
        <v>1169</v>
      </c>
      <c r="C5072" s="4" t="str">
        <f>HYPERLINK("http://www.uniprot.org/uniprot/M5WW84","M5WW84")</f>
        <v>M5WW84</v>
      </c>
      <c r="D5072" s="2" t="s">
        <v>4674</v>
      </c>
      <c r="E5072" s="3">
        <v>0</v>
      </c>
      <c r="F5072" s="2">
        <v>1600</v>
      </c>
      <c r="G5072" s="2">
        <v>100</v>
      </c>
      <c r="H5072" s="2">
        <v>313</v>
      </c>
      <c r="I5072" s="2">
        <v>1</v>
      </c>
      <c r="J5072" s="2">
        <v>939</v>
      </c>
      <c r="K5072" s="2">
        <v>65</v>
      </c>
      <c r="L5072" s="2">
        <v>377</v>
      </c>
    </row>
    <row r="5073" spans="1:12" x14ac:dyDescent="0.25">
      <c r="A5073" s="4" t="str">
        <f>HYPERLINK("http://www.rosaceae.org/Prunus/Prunus_persica/p.persica_gdr_reftransV1_0016117","p.persica_gdr_reftransV1_0016117")</f>
        <v>p.persica_gdr_reftransV1_0016117</v>
      </c>
      <c r="B5073" s="2">
        <v>5028</v>
      </c>
      <c r="C5073" s="4" t="str">
        <f>HYPERLINK("http://www.uniprot.org/uniprot/M5WYI1","M5WYI1")</f>
        <v>M5WYI1</v>
      </c>
      <c r="D5073" s="2" t="s">
        <v>3714</v>
      </c>
      <c r="E5073" s="3">
        <v>0</v>
      </c>
      <c r="F5073" s="2">
        <v>6265</v>
      </c>
      <c r="G5073" s="2">
        <v>100</v>
      </c>
      <c r="H5073" s="2">
        <v>1245</v>
      </c>
      <c r="I5073" s="2">
        <v>1266</v>
      </c>
      <c r="J5073" s="2">
        <v>5000</v>
      </c>
      <c r="K5073" s="2">
        <v>1</v>
      </c>
      <c r="L5073" s="2">
        <v>1245</v>
      </c>
    </row>
    <row r="5074" spans="1:12" x14ac:dyDescent="0.25">
      <c r="A5074" s="4" t="str">
        <f>HYPERLINK("http://www.rosaceae.org/Prunus/Prunus_persica/p.persica_gdr_reftransV1_0017167","p.persica_gdr_reftransV1_0017167")</f>
        <v>p.persica_gdr_reftransV1_0017167</v>
      </c>
      <c r="B5074" s="2">
        <v>3273</v>
      </c>
      <c r="C5074" s="4" t="str">
        <f>HYPERLINK("http://www.uniprot.org/uniprot/M5W3I8","M5W3I8")</f>
        <v>M5W3I8</v>
      </c>
      <c r="D5074" s="2" t="s">
        <v>4675</v>
      </c>
      <c r="E5074" s="3">
        <v>0</v>
      </c>
      <c r="F5074" s="2">
        <v>2622</v>
      </c>
      <c r="G5074" s="2">
        <v>100</v>
      </c>
      <c r="H5074" s="2">
        <v>485</v>
      </c>
      <c r="I5074" s="2">
        <v>1173</v>
      </c>
      <c r="J5074" s="2">
        <v>2627</v>
      </c>
      <c r="K5074" s="2">
        <v>1</v>
      </c>
      <c r="L5074" s="2">
        <v>485</v>
      </c>
    </row>
    <row r="5075" spans="1:12" x14ac:dyDescent="0.25">
      <c r="A5075" s="4" t="str">
        <f>HYPERLINK("http://www.rosaceae.org/Prunus/Prunus_persica/p.persica_gdr_reftransV1_0017867","p.persica_gdr_reftransV1_0017867")</f>
        <v>p.persica_gdr_reftransV1_0017867</v>
      </c>
      <c r="B5075" s="2">
        <v>3308</v>
      </c>
      <c r="C5075" s="4" t="str">
        <f>HYPERLINK("http://www.uniprot.org/uniprot/M5XMZ4","M5XMZ4")</f>
        <v>M5XMZ4</v>
      </c>
      <c r="D5075" s="2" t="s">
        <v>4676</v>
      </c>
      <c r="E5075" s="3">
        <v>0</v>
      </c>
      <c r="F5075" s="2">
        <v>2854</v>
      </c>
      <c r="G5075" s="2">
        <v>72</v>
      </c>
      <c r="H5075" s="2">
        <v>828</v>
      </c>
      <c r="I5075" s="2">
        <v>595</v>
      </c>
      <c r="J5075" s="2">
        <v>3075</v>
      </c>
      <c r="K5075" s="2">
        <v>1</v>
      </c>
      <c r="L5075" s="2">
        <v>724</v>
      </c>
    </row>
    <row r="5076" spans="1:12" x14ac:dyDescent="0.25">
      <c r="A5076" s="4" t="str">
        <f>HYPERLINK("http://www.rosaceae.org/Prunus/Prunus_persica/p.persica_gdr_reftransV1_0018567","p.persica_gdr_reftransV1_0018567")</f>
        <v>p.persica_gdr_reftransV1_0018567</v>
      </c>
      <c r="B5076" s="2">
        <v>1283</v>
      </c>
      <c r="C5076" s="4" t="str">
        <f>HYPERLINK("http://www.uniprot.org/uniprot/M5VJ10","M5VJ10")</f>
        <v>M5VJ10</v>
      </c>
      <c r="D5076" s="2" t="s">
        <v>4677</v>
      </c>
      <c r="E5076" s="3">
        <v>4.9599999999999998E-173</v>
      </c>
      <c r="F5076" s="2">
        <v>1299</v>
      </c>
      <c r="G5076" s="2">
        <v>100</v>
      </c>
      <c r="H5076" s="2">
        <v>285</v>
      </c>
      <c r="I5076" s="2">
        <v>427</v>
      </c>
      <c r="J5076" s="2">
        <v>1281</v>
      </c>
      <c r="K5076" s="2">
        <v>173</v>
      </c>
      <c r="L5076" s="2">
        <v>457</v>
      </c>
    </row>
    <row r="5077" spans="1:12" x14ac:dyDescent="0.25">
      <c r="A5077" s="4" t="str">
        <f>HYPERLINK("http://www.rosaceae.org/Prunus/Prunus_persica/p.persica_gdr_reftransV1_0018917","p.persica_gdr_reftransV1_0018917")</f>
        <v>p.persica_gdr_reftransV1_0018917</v>
      </c>
      <c r="B5077" s="2">
        <v>837</v>
      </c>
      <c r="C5077" s="4" t="str">
        <f>HYPERLINK("http://www.uniprot.org/uniprot/W9QYS6","W9QYS6")</f>
        <v>W9QYS6</v>
      </c>
      <c r="D5077" s="2" t="s">
        <v>4678</v>
      </c>
      <c r="E5077" s="3">
        <v>8.0799999999999995E-67</v>
      </c>
      <c r="F5077" s="2">
        <v>552</v>
      </c>
      <c r="G5077" s="2">
        <v>77</v>
      </c>
      <c r="H5077" s="2">
        <v>161</v>
      </c>
      <c r="I5077" s="2">
        <v>303</v>
      </c>
      <c r="J5077" s="2">
        <v>785</v>
      </c>
      <c r="K5077" s="2">
        <v>11</v>
      </c>
      <c r="L5077" s="2">
        <v>169</v>
      </c>
    </row>
    <row r="5078" spans="1:12" x14ac:dyDescent="0.25">
      <c r="A5078" s="4" t="str">
        <f>HYPERLINK("http://www.rosaceae.org/Prunus/Prunus_persica/p.persica_gdr_reftransV1_0021367","p.persica_gdr_reftransV1_0021367")</f>
        <v>p.persica_gdr_reftransV1_0021367</v>
      </c>
      <c r="B5078" s="2">
        <v>2063</v>
      </c>
      <c r="C5078" s="4" t="str">
        <f>HYPERLINK("http://www.uniprot.org/uniprot/M5XCY9","M5XCY9")</f>
        <v>M5XCY9</v>
      </c>
      <c r="D5078" s="2" t="s">
        <v>4679</v>
      </c>
      <c r="E5078" s="3">
        <v>0</v>
      </c>
      <c r="F5078" s="2">
        <v>2331</v>
      </c>
      <c r="G5078" s="2">
        <v>100</v>
      </c>
      <c r="H5078" s="2">
        <v>499</v>
      </c>
      <c r="I5078" s="2">
        <v>487</v>
      </c>
      <c r="J5078" s="2">
        <v>1983</v>
      </c>
      <c r="K5078" s="2">
        <v>1</v>
      </c>
      <c r="L5078" s="2">
        <v>499</v>
      </c>
    </row>
    <row r="5079" spans="1:12" x14ac:dyDescent="0.25">
      <c r="A5079" s="4" t="str">
        <f>HYPERLINK("http://www.rosaceae.org/Prunus/Prunus_persica/p.persica_gdr_reftransV1_0022067","p.persica_gdr_reftransV1_0022067")</f>
        <v>p.persica_gdr_reftransV1_0022067</v>
      </c>
      <c r="B5079" s="2">
        <v>1613</v>
      </c>
      <c r="C5079" s="4" t="str">
        <f>HYPERLINK("http://www.uniprot.org/uniprot/M5WIA8","M5WIA8")</f>
        <v>M5WIA8</v>
      </c>
      <c r="D5079" s="2" t="s">
        <v>4680</v>
      </c>
      <c r="E5079" s="3">
        <v>0</v>
      </c>
      <c r="F5079" s="2">
        <v>1511</v>
      </c>
      <c r="G5079" s="2">
        <v>90</v>
      </c>
      <c r="H5079" s="2">
        <v>396</v>
      </c>
      <c r="I5079" s="2">
        <v>149</v>
      </c>
      <c r="J5079" s="2">
        <v>1330</v>
      </c>
      <c r="K5079" s="2">
        <v>1</v>
      </c>
      <c r="L5079" s="2">
        <v>384</v>
      </c>
    </row>
    <row r="5080" spans="1:12" x14ac:dyDescent="0.25">
      <c r="A5080" s="4" t="str">
        <f>HYPERLINK("http://www.rosaceae.org/Prunus/Prunus_persica/p.persica_gdr_reftransV1_0022417","p.persica_gdr_reftransV1_0022417")</f>
        <v>p.persica_gdr_reftransV1_0022417</v>
      </c>
      <c r="B5080" s="2">
        <v>2236</v>
      </c>
      <c r="C5080" s="4" t="str">
        <f>HYPERLINK("http://www.uniprot.org/uniprot/M5XSF0","M5XSF0")</f>
        <v>M5XSF0</v>
      </c>
      <c r="D5080" s="2" t="s">
        <v>4681</v>
      </c>
      <c r="E5080" s="3">
        <v>7.7899999999999996E-173</v>
      </c>
      <c r="F5080" s="2">
        <v>1329</v>
      </c>
      <c r="G5080" s="2">
        <v>100</v>
      </c>
      <c r="H5080" s="2">
        <v>264</v>
      </c>
      <c r="I5080" s="2">
        <v>292</v>
      </c>
      <c r="J5080" s="2">
        <v>1083</v>
      </c>
      <c r="K5080" s="2">
        <v>193</v>
      </c>
      <c r="L5080" s="2">
        <v>456</v>
      </c>
    </row>
    <row r="5081" spans="1:12" x14ac:dyDescent="0.25">
      <c r="A5081" s="4" t="str">
        <f>HYPERLINK("http://www.rosaceae.org/Prunus/Prunus_persica/p.persica_gdr_reftransV1_0023117","p.persica_gdr_reftransV1_0023117")</f>
        <v>p.persica_gdr_reftransV1_0023117</v>
      </c>
      <c r="B5081" s="2">
        <v>5008</v>
      </c>
      <c r="C5081" s="4" t="str">
        <f>HYPERLINK("http://www.uniprot.org/uniprot/M5X8M4","M5X8M4")</f>
        <v>M5X8M4</v>
      </c>
      <c r="D5081" s="2" t="s">
        <v>4682</v>
      </c>
      <c r="E5081" s="3">
        <v>0</v>
      </c>
      <c r="F5081" s="2">
        <v>1603</v>
      </c>
      <c r="G5081" s="2">
        <v>100</v>
      </c>
      <c r="H5081" s="2">
        <v>332</v>
      </c>
      <c r="I5081" s="2">
        <v>3143</v>
      </c>
      <c r="J5081" s="2">
        <v>4138</v>
      </c>
      <c r="K5081" s="2">
        <v>1</v>
      </c>
      <c r="L5081" s="2">
        <v>332</v>
      </c>
    </row>
    <row r="5082" spans="1:12" x14ac:dyDescent="0.25">
      <c r="A5082" s="4" t="str">
        <f>HYPERLINK("http://www.rosaceae.org/Prunus/Prunus_persica/p.persica_gdr_reftransV1_0024867","p.persica_gdr_reftransV1_0024867")</f>
        <v>p.persica_gdr_reftransV1_0024867</v>
      </c>
      <c r="B5082" s="2">
        <v>756</v>
      </c>
      <c r="C5082" s="4" t="str">
        <f>HYPERLINK("http://www.uniprot.org/uniprot/M5WL38","M5WL38")</f>
        <v>M5WL38</v>
      </c>
      <c r="D5082" s="2" t="s">
        <v>4683</v>
      </c>
      <c r="E5082" s="3">
        <v>9.3399999999999995E-80</v>
      </c>
      <c r="F5082" s="2">
        <v>632</v>
      </c>
      <c r="G5082" s="2">
        <v>100</v>
      </c>
      <c r="H5082" s="2">
        <v>131</v>
      </c>
      <c r="I5082" s="2">
        <v>76</v>
      </c>
      <c r="J5082" s="2">
        <v>468</v>
      </c>
      <c r="K5082" s="2">
        <v>1</v>
      </c>
      <c r="L5082" s="2">
        <v>131</v>
      </c>
    </row>
    <row r="5083" spans="1:12" x14ac:dyDescent="0.25">
      <c r="A5083" s="4" t="str">
        <f>HYPERLINK("http://www.rosaceae.org/Prunus/Prunus_persica/p.persica_gdr_reftransV1_0025567","p.persica_gdr_reftransV1_0025567")</f>
        <v>p.persica_gdr_reftransV1_0025567</v>
      </c>
      <c r="B5083" s="2">
        <v>3609</v>
      </c>
      <c r="C5083" s="4" t="str">
        <f>HYPERLINK("http://www.uniprot.org/uniprot/M5WE69","M5WE69")</f>
        <v>M5WE69</v>
      </c>
      <c r="D5083" s="2" t="s">
        <v>4684</v>
      </c>
      <c r="E5083" s="3">
        <v>0</v>
      </c>
      <c r="F5083" s="2">
        <v>4823</v>
      </c>
      <c r="G5083" s="2">
        <v>100</v>
      </c>
      <c r="H5083" s="2">
        <v>994</v>
      </c>
      <c r="I5083" s="2">
        <v>231</v>
      </c>
      <c r="J5083" s="2">
        <v>3212</v>
      </c>
      <c r="K5083" s="2">
        <v>1</v>
      </c>
      <c r="L5083" s="2">
        <v>994</v>
      </c>
    </row>
    <row r="5084" spans="1:12" x14ac:dyDescent="0.25">
      <c r="A5084" s="4" t="str">
        <f>HYPERLINK("http://www.rosaceae.org/Prunus/Prunus_persica/p.persica_gdr_reftransV1_0026267","p.persica_gdr_reftransV1_0026267")</f>
        <v>p.persica_gdr_reftransV1_0026267</v>
      </c>
      <c r="B5084" s="2">
        <v>1332</v>
      </c>
      <c r="C5084" s="4" t="str">
        <f>HYPERLINK("http://www.uniprot.org/uniprot/M5X991","M5X991")</f>
        <v>M5X991</v>
      </c>
      <c r="D5084" s="2" t="s">
        <v>4685</v>
      </c>
      <c r="E5084" s="3">
        <v>6.3200000000000003E-99</v>
      </c>
      <c r="F5084" s="2">
        <v>781</v>
      </c>
      <c r="G5084" s="2">
        <v>100</v>
      </c>
      <c r="H5084" s="2">
        <v>153</v>
      </c>
      <c r="I5084" s="2">
        <v>471</v>
      </c>
      <c r="J5084" s="2">
        <v>929</v>
      </c>
      <c r="K5084" s="2">
        <v>17</v>
      </c>
      <c r="L5084" s="2">
        <v>169</v>
      </c>
    </row>
    <row r="5085" spans="1:12" x14ac:dyDescent="0.25">
      <c r="A5085" s="4" t="str">
        <f>HYPERLINK("http://www.rosaceae.org/Prunus/Prunus_persica/p.persica_gdr_reftransV1_0027317","p.persica_gdr_reftransV1_0027317")</f>
        <v>p.persica_gdr_reftransV1_0027317</v>
      </c>
      <c r="B5085" s="2">
        <v>2090</v>
      </c>
      <c r="C5085" s="4" t="str">
        <f>HYPERLINK("http://www.uniprot.org/uniprot/M5XYF8","M5XYF8")</f>
        <v>M5XYF8</v>
      </c>
      <c r="D5085" s="2" t="s">
        <v>4686</v>
      </c>
      <c r="E5085" s="3">
        <v>0</v>
      </c>
      <c r="F5085" s="2">
        <v>2749</v>
      </c>
      <c r="G5085" s="2">
        <v>100</v>
      </c>
      <c r="H5085" s="2">
        <v>527</v>
      </c>
      <c r="I5085" s="2">
        <v>291</v>
      </c>
      <c r="J5085" s="2">
        <v>1871</v>
      </c>
      <c r="K5085" s="2">
        <v>1</v>
      </c>
      <c r="L5085" s="2">
        <v>527</v>
      </c>
    </row>
    <row r="5086" spans="1:12" x14ac:dyDescent="0.25">
      <c r="A5086" s="4" t="str">
        <f>HYPERLINK("http://www.rosaceae.org/Prunus/Prunus_persica/p.persica_gdr_reftransV1_0027667","p.persica_gdr_reftransV1_0027667")</f>
        <v>p.persica_gdr_reftransV1_0027667</v>
      </c>
      <c r="B5086" s="2">
        <v>2333</v>
      </c>
      <c r="C5086" s="4" t="str">
        <f>HYPERLINK("http://www.uniprot.org/uniprot/M5XT01","M5XT01")</f>
        <v>M5XT01</v>
      </c>
      <c r="D5086" s="2" t="s">
        <v>4687</v>
      </c>
      <c r="E5086" s="3">
        <v>0</v>
      </c>
      <c r="F5086" s="2">
        <v>3993</v>
      </c>
      <c r="G5086" s="2">
        <v>100</v>
      </c>
      <c r="H5086" s="2">
        <v>738</v>
      </c>
      <c r="I5086" s="2">
        <v>103</v>
      </c>
      <c r="J5086" s="2">
        <v>2316</v>
      </c>
      <c r="K5086" s="2">
        <v>141</v>
      </c>
      <c r="L5086" s="2">
        <v>878</v>
      </c>
    </row>
    <row r="5087" spans="1:12" x14ac:dyDescent="0.25">
      <c r="A5087" s="4" t="str">
        <f>HYPERLINK("http://www.rosaceae.org/Prunus/Prunus_persica/p.persica_gdr_reftransV1_0028367","p.persica_gdr_reftransV1_0028367")</f>
        <v>p.persica_gdr_reftransV1_0028367</v>
      </c>
      <c r="B5087" s="2">
        <v>1667</v>
      </c>
      <c r="C5087" s="4" t="str">
        <f>HYPERLINK("http://www.uniprot.org/uniprot/M5WTJ1","M5WTJ1")</f>
        <v>M5WTJ1</v>
      </c>
      <c r="D5087" s="2" t="s">
        <v>4688</v>
      </c>
      <c r="E5087" s="3">
        <v>1.84E-177</v>
      </c>
      <c r="F5087" s="2">
        <v>1322</v>
      </c>
      <c r="G5087" s="2">
        <v>100</v>
      </c>
      <c r="H5087" s="2">
        <v>261</v>
      </c>
      <c r="I5087" s="2">
        <v>536</v>
      </c>
      <c r="J5087" s="2">
        <v>1318</v>
      </c>
      <c r="K5087" s="2">
        <v>1</v>
      </c>
      <c r="L5087" s="2">
        <v>261</v>
      </c>
    </row>
    <row r="5088" spans="1:12" x14ac:dyDescent="0.25">
      <c r="A5088" s="4" t="str">
        <f>HYPERLINK("http://www.rosaceae.org/Prunus/Prunus_persica/p.persica_gdr_reftransV1_0029767","p.persica_gdr_reftransV1_0029767")</f>
        <v>p.persica_gdr_reftransV1_0029767</v>
      </c>
      <c r="B5088" s="2">
        <v>509</v>
      </c>
      <c r="C5088" s="4" t="str">
        <f>HYPERLINK("http://www.uniprot.org/uniprot/M5XED9","M5XED9")</f>
        <v>M5XED9</v>
      </c>
      <c r="D5088" s="2" t="s">
        <v>4689</v>
      </c>
      <c r="E5088" s="3">
        <v>1.2E-58</v>
      </c>
      <c r="F5088" s="2">
        <v>484</v>
      </c>
      <c r="G5088" s="2">
        <v>100</v>
      </c>
      <c r="H5088" s="2">
        <v>143</v>
      </c>
      <c r="I5088" s="2">
        <v>79</v>
      </c>
      <c r="J5088" s="2">
        <v>507</v>
      </c>
      <c r="K5088" s="2">
        <v>1</v>
      </c>
      <c r="L5088" s="2">
        <v>143</v>
      </c>
    </row>
    <row r="5089" spans="1:12" x14ac:dyDescent="0.25">
      <c r="A5089" s="4" t="str">
        <f>HYPERLINK("http://www.rosaceae.org/Prunus/Prunus_persica/p.persica_gdr_reftransV1_0030117","p.persica_gdr_reftransV1_0030117")</f>
        <v>p.persica_gdr_reftransV1_0030117</v>
      </c>
      <c r="B5089" s="2">
        <v>1090</v>
      </c>
      <c r="C5089" s="4" t="str">
        <f>HYPERLINK("http://www.uniprot.org/uniprot/M5WSP6","M5WSP6")</f>
        <v>M5WSP6</v>
      </c>
      <c r="D5089" s="2" t="s">
        <v>4690</v>
      </c>
      <c r="E5089" s="3">
        <v>4.7899999999999998E-92</v>
      </c>
      <c r="F5089" s="2">
        <v>729</v>
      </c>
      <c r="G5089" s="2">
        <v>100</v>
      </c>
      <c r="H5089" s="2">
        <v>184</v>
      </c>
      <c r="I5089" s="2">
        <v>524</v>
      </c>
      <c r="J5089" s="2">
        <v>1075</v>
      </c>
      <c r="K5089" s="2">
        <v>1</v>
      </c>
      <c r="L5089" s="2">
        <v>184</v>
      </c>
    </row>
    <row r="5090" spans="1:12" x14ac:dyDescent="0.25">
      <c r="A5090" s="4" t="str">
        <f>HYPERLINK("http://www.rosaceae.org/Prunus/Prunus_persica/p.persica_gdr_reftransV1_0031167","p.persica_gdr_reftransV1_0031167")</f>
        <v>p.persica_gdr_reftransV1_0031167</v>
      </c>
      <c r="B5090" s="2">
        <v>1113</v>
      </c>
      <c r="C5090" s="4" t="str">
        <f>HYPERLINK("http://www.uniprot.org/uniprot/M5XBC2","M5XBC2")</f>
        <v>M5XBC2</v>
      </c>
      <c r="D5090" s="2" t="s">
        <v>4691</v>
      </c>
      <c r="E5090" s="3">
        <v>9.68E-139</v>
      </c>
      <c r="F5090" s="2">
        <v>1042</v>
      </c>
      <c r="G5090" s="2">
        <v>100</v>
      </c>
      <c r="H5090" s="2">
        <v>219</v>
      </c>
      <c r="I5090" s="2">
        <v>373</v>
      </c>
      <c r="J5090" s="2">
        <v>1029</v>
      </c>
      <c r="K5090" s="2">
        <v>1</v>
      </c>
      <c r="L5090" s="2">
        <v>219</v>
      </c>
    </row>
    <row r="5091" spans="1:12" x14ac:dyDescent="0.25">
      <c r="A5091" s="4" t="str">
        <f>HYPERLINK("http://www.rosaceae.org/Prunus/Prunus_persica/p.persica_gdr_reftransV1_0032917","p.persica_gdr_reftransV1_0032917")</f>
        <v>p.persica_gdr_reftransV1_0032917</v>
      </c>
      <c r="B5091" s="2">
        <v>461</v>
      </c>
      <c r="C5091" s="4" t="str">
        <f>HYPERLINK("http://www.uniprot.org/uniprot/M5X907","M5X907")</f>
        <v>M5X907</v>
      </c>
      <c r="D5091" s="2" t="s">
        <v>898</v>
      </c>
      <c r="E5091" s="3">
        <v>2.0100000000000001E-89</v>
      </c>
      <c r="F5091" s="2">
        <v>758</v>
      </c>
      <c r="G5091" s="2">
        <v>94</v>
      </c>
      <c r="H5091" s="2">
        <v>155</v>
      </c>
      <c r="I5091" s="2">
        <v>3</v>
      </c>
      <c r="J5091" s="2">
        <v>461</v>
      </c>
      <c r="K5091" s="2">
        <v>805</v>
      </c>
      <c r="L5091" s="2">
        <v>959</v>
      </c>
    </row>
    <row r="5092" spans="1:12" x14ac:dyDescent="0.25">
      <c r="A5092" s="4" t="str">
        <f>HYPERLINK("http://www.rosaceae.org/Prunus/Prunus_persica/p.persica_gdr_reftransV1_0034317","p.persica_gdr_reftransV1_0034317")</f>
        <v>p.persica_gdr_reftransV1_0034317</v>
      </c>
      <c r="B5092" s="2">
        <v>1393</v>
      </c>
      <c r="C5092" s="4" t="str">
        <f>HYPERLINK("http://www.uniprot.org/uniprot/M5XHY5","M5XHY5")</f>
        <v>M5XHY5</v>
      </c>
      <c r="D5092" s="2" t="s">
        <v>4692</v>
      </c>
      <c r="E5092" s="3">
        <v>2.8700000000000003E-135</v>
      </c>
      <c r="F5092" s="2">
        <v>1030</v>
      </c>
      <c r="G5092" s="2">
        <v>100</v>
      </c>
      <c r="H5092" s="2">
        <v>228</v>
      </c>
      <c r="I5092" s="2">
        <v>683</v>
      </c>
      <c r="J5092" s="2">
        <v>1366</v>
      </c>
      <c r="K5092" s="2">
        <v>1</v>
      </c>
      <c r="L5092" s="2">
        <v>228</v>
      </c>
    </row>
    <row r="5093" spans="1:12" x14ac:dyDescent="0.25">
      <c r="A5093" s="4" t="str">
        <f>HYPERLINK("http://www.rosaceae.org/Prunus/Prunus_persica/p.persica_gdr_reftransV1_0034667","p.persica_gdr_reftransV1_0034667")</f>
        <v>p.persica_gdr_reftransV1_0034667</v>
      </c>
      <c r="B5093" s="2">
        <v>4432</v>
      </c>
      <c r="C5093" s="4" t="str">
        <f>HYPERLINK("http://www.uniprot.org/uniprot/M5XKM4","M5XKM4")</f>
        <v>M5XKM4</v>
      </c>
      <c r="D5093" s="2" t="s">
        <v>4693</v>
      </c>
      <c r="E5093" s="3">
        <v>0</v>
      </c>
      <c r="F5093" s="2">
        <v>4933</v>
      </c>
      <c r="G5093" s="2">
        <v>100</v>
      </c>
      <c r="H5093" s="2">
        <v>988</v>
      </c>
      <c r="I5093" s="2">
        <v>1020</v>
      </c>
      <c r="J5093" s="2">
        <v>3983</v>
      </c>
      <c r="K5093" s="2">
        <v>213</v>
      </c>
      <c r="L5093" s="2">
        <v>1200</v>
      </c>
    </row>
    <row r="5094" spans="1:12" x14ac:dyDescent="0.25">
      <c r="A5094" s="4" t="str">
        <f>HYPERLINK("http://www.rosaceae.org/Prunus/Prunus_persica/p.persica_gdr_reftransV1_0036067","p.persica_gdr_reftransV1_0036067")</f>
        <v>p.persica_gdr_reftransV1_0036067</v>
      </c>
      <c r="B5094" s="2">
        <v>2623</v>
      </c>
      <c r="C5094" s="4" t="str">
        <f>HYPERLINK("http://www.uniprot.org/uniprot/M5WGH1","M5WGH1")</f>
        <v>M5WGH1</v>
      </c>
      <c r="D5094" s="2" t="s">
        <v>4694</v>
      </c>
      <c r="E5094" s="3">
        <v>6.7399999999999998E-87</v>
      </c>
      <c r="F5094" s="2">
        <v>536</v>
      </c>
      <c r="G5094" s="2">
        <v>100</v>
      </c>
      <c r="H5094" s="2">
        <v>101</v>
      </c>
      <c r="I5094" s="2">
        <v>1306</v>
      </c>
      <c r="J5094" s="2">
        <v>1608</v>
      </c>
      <c r="K5094" s="2">
        <v>202</v>
      </c>
      <c r="L5094" s="2">
        <v>302</v>
      </c>
    </row>
    <row r="5095" spans="1:12" x14ac:dyDescent="0.25">
      <c r="A5095" s="4" t="str">
        <f>HYPERLINK("http://www.rosaceae.org/Prunus/Prunus_persica/p.persica_gdr_reftransV1_0036767","p.persica_gdr_reftransV1_0036767")</f>
        <v>p.persica_gdr_reftransV1_0036767</v>
      </c>
      <c r="B5095" s="2">
        <v>1854</v>
      </c>
      <c r="C5095" s="4" t="str">
        <f>HYPERLINK("http://www.uniprot.org/uniprot/M5XZ53","M5XZ53")</f>
        <v>M5XZ53</v>
      </c>
      <c r="D5095" s="2" t="s">
        <v>4695</v>
      </c>
      <c r="E5095" s="3">
        <v>3.9699999999999998E-119</v>
      </c>
      <c r="F5095" s="2">
        <v>950</v>
      </c>
      <c r="G5095" s="2">
        <v>100</v>
      </c>
      <c r="H5095" s="2">
        <v>198</v>
      </c>
      <c r="I5095" s="2">
        <v>1261</v>
      </c>
      <c r="J5095" s="2">
        <v>1854</v>
      </c>
      <c r="K5095" s="2">
        <v>1</v>
      </c>
      <c r="L5095" s="2">
        <v>198</v>
      </c>
    </row>
    <row r="5096" spans="1:12" x14ac:dyDescent="0.25">
      <c r="A5096" s="4" t="str">
        <f>HYPERLINK("http://www.rosaceae.org/Prunus/Prunus_persica/p.persica_gdr_reftransV1_0037117","p.persica_gdr_reftransV1_0037117")</f>
        <v>p.persica_gdr_reftransV1_0037117</v>
      </c>
      <c r="B5096" s="2">
        <v>1718</v>
      </c>
      <c r="C5096" s="4" t="str">
        <f>HYPERLINK("http://www.uniprot.org/uniprot/M5W182","M5W182")</f>
        <v>M5W182</v>
      </c>
      <c r="D5096" s="2" t="s">
        <v>4696</v>
      </c>
      <c r="E5096" s="3">
        <v>2.3699999999999999E-122</v>
      </c>
      <c r="F5096" s="2">
        <v>965</v>
      </c>
      <c r="G5096" s="2">
        <v>100</v>
      </c>
      <c r="H5096" s="2">
        <v>217</v>
      </c>
      <c r="I5096" s="2">
        <v>231</v>
      </c>
      <c r="J5096" s="2">
        <v>881</v>
      </c>
      <c r="K5096" s="2">
        <v>118</v>
      </c>
      <c r="L5096" s="2">
        <v>334</v>
      </c>
    </row>
    <row r="5097" spans="1:12" x14ac:dyDescent="0.25">
      <c r="A5097" s="4" t="str">
        <f>HYPERLINK("http://www.rosaceae.org/Prunus/Prunus_persica/p.persica_gdr_reftransV1_0038167","p.persica_gdr_reftransV1_0038167")</f>
        <v>p.persica_gdr_reftransV1_0038167</v>
      </c>
      <c r="B5097" s="2">
        <v>2765</v>
      </c>
      <c r="C5097" s="4" t="str">
        <f>HYPERLINK("http://www.uniprot.org/uniprot/M5VPS8","M5VPS8")</f>
        <v>M5VPS8</v>
      </c>
      <c r="D5097" s="2" t="s">
        <v>4697</v>
      </c>
      <c r="E5097" s="3">
        <v>0</v>
      </c>
      <c r="F5097" s="2">
        <v>2673</v>
      </c>
      <c r="G5097" s="2">
        <v>100</v>
      </c>
      <c r="H5097" s="2">
        <v>512</v>
      </c>
      <c r="I5097" s="2">
        <v>1016</v>
      </c>
      <c r="J5097" s="2">
        <v>2551</v>
      </c>
      <c r="K5097" s="2">
        <v>1</v>
      </c>
      <c r="L5097" s="2">
        <v>512</v>
      </c>
    </row>
    <row r="5098" spans="1:12" x14ac:dyDescent="0.25">
      <c r="A5098" s="4" t="str">
        <f>HYPERLINK("http://www.rosaceae.org/Prunus/Prunus_persica/p.persica_gdr_reftransV1_0039917","p.persica_gdr_reftransV1_0039917")</f>
        <v>p.persica_gdr_reftransV1_0039917</v>
      </c>
      <c r="B5098" s="2">
        <v>2093</v>
      </c>
      <c r="C5098" s="4" t="str">
        <f>HYPERLINK("http://www.uniprot.org/uniprot/M5WHA5","M5WHA5")</f>
        <v>M5WHA5</v>
      </c>
      <c r="D5098" s="2" t="s">
        <v>4698</v>
      </c>
      <c r="E5098" s="3">
        <v>0</v>
      </c>
      <c r="F5098" s="2">
        <v>1793</v>
      </c>
      <c r="G5098" s="2">
        <v>100</v>
      </c>
      <c r="H5098" s="2">
        <v>369</v>
      </c>
      <c r="I5098" s="2">
        <v>849</v>
      </c>
      <c r="J5098" s="2">
        <v>1955</v>
      </c>
      <c r="K5098" s="2">
        <v>1</v>
      </c>
      <c r="L5098" s="2">
        <v>369</v>
      </c>
    </row>
    <row r="5099" spans="1:12" x14ac:dyDescent="0.25">
      <c r="A5099" s="4" t="str">
        <f>HYPERLINK("http://www.rosaceae.org/Prunus/Prunus_persica/p.persica_gdr_reftransV1_0040267","p.persica_gdr_reftransV1_0040267")</f>
        <v>p.persica_gdr_reftransV1_0040267</v>
      </c>
      <c r="B5099" s="2">
        <v>2366</v>
      </c>
      <c r="C5099" s="4" t="str">
        <f>HYPERLINK("http://www.uniprot.org/uniprot/M5XIQ9","M5XIQ9")</f>
        <v>M5XIQ9</v>
      </c>
      <c r="D5099" s="2" t="s">
        <v>4699</v>
      </c>
      <c r="E5099" s="3">
        <v>0</v>
      </c>
      <c r="F5099" s="2">
        <v>2052</v>
      </c>
      <c r="G5099" s="2">
        <v>100</v>
      </c>
      <c r="H5099" s="2">
        <v>467</v>
      </c>
      <c r="I5099" s="2">
        <v>710</v>
      </c>
      <c r="J5099" s="2">
        <v>2110</v>
      </c>
      <c r="K5099" s="2">
        <v>11</v>
      </c>
      <c r="L5099" s="2">
        <v>477</v>
      </c>
    </row>
    <row r="5100" spans="1:12" x14ac:dyDescent="0.25">
      <c r="A5100" s="4" t="str">
        <f>HYPERLINK("http://www.rosaceae.org/Prunus/Prunus_persica/p.persica_gdr_reftransV1_0040617","p.persica_gdr_reftransV1_0040617")</f>
        <v>p.persica_gdr_reftransV1_0040617</v>
      </c>
      <c r="B5100" s="2">
        <v>814</v>
      </c>
      <c r="C5100" s="4" t="str">
        <f>HYPERLINK("http://www.uniprot.org/uniprot/M5VXQ6","M5VXQ6")</f>
        <v>M5VXQ6</v>
      </c>
      <c r="D5100" s="2" t="s">
        <v>4700</v>
      </c>
      <c r="E5100" s="3">
        <v>5.8500000000000001E-77</v>
      </c>
      <c r="F5100" s="2">
        <v>648</v>
      </c>
      <c r="G5100" s="2">
        <v>100</v>
      </c>
      <c r="H5100" s="2">
        <v>149</v>
      </c>
      <c r="I5100" s="2">
        <v>366</v>
      </c>
      <c r="J5100" s="2">
        <v>812</v>
      </c>
      <c r="K5100" s="2">
        <v>364</v>
      </c>
      <c r="L5100" s="2">
        <v>512</v>
      </c>
    </row>
    <row r="5101" spans="1:12" x14ac:dyDescent="0.25">
      <c r="A5101" s="4" t="str">
        <f>HYPERLINK("http://www.rosaceae.org/Prunus/Prunus_persica/p.persica_gdr_reftransV1_0041317","p.persica_gdr_reftransV1_0041317")</f>
        <v>p.persica_gdr_reftransV1_0041317</v>
      </c>
      <c r="B5101" s="2">
        <v>899</v>
      </c>
      <c r="C5101" s="4" t="str">
        <f>HYPERLINK("http://www.uniprot.org/uniprot/A4GYQ6","A4GYQ6")</f>
        <v>A4GYQ6</v>
      </c>
      <c r="D5101" s="2" t="s">
        <v>4701</v>
      </c>
      <c r="E5101" s="3">
        <v>2.6499999999999999E-44</v>
      </c>
      <c r="F5101" s="2">
        <v>398</v>
      </c>
      <c r="G5101" s="2">
        <v>85</v>
      </c>
      <c r="H5101" s="2">
        <v>97</v>
      </c>
      <c r="I5101" s="2">
        <v>513</v>
      </c>
      <c r="J5101" s="2">
        <v>803</v>
      </c>
      <c r="K5101" s="2">
        <v>11</v>
      </c>
      <c r="L5101" s="2">
        <v>104</v>
      </c>
    </row>
    <row r="5102" spans="1:12" x14ac:dyDescent="0.25">
      <c r="A5102" s="4" t="str">
        <f>HYPERLINK("http://www.rosaceae.org/Prunus/Prunus_persica/p.persica_gdr_reftransV1_0041667","p.persica_gdr_reftransV1_0041667")</f>
        <v>p.persica_gdr_reftransV1_0041667</v>
      </c>
      <c r="B5102" s="2">
        <v>1129</v>
      </c>
      <c r="C5102" s="4" t="str">
        <f>HYPERLINK("http://www.uniprot.org/uniprot/M5X9Z5","M5X9Z5")</f>
        <v>M5X9Z5</v>
      </c>
      <c r="D5102" s="2" t="s">
        <v>4702</v>
      </c>
      <c r="E5102" s="3">
        <v>4.5299999999999996E-174</v>
      </c>
      <c r="F5102" s="2">
        <v>1279</v>
      </c>
      <c r="G5102" s="2">
        <v>92</v>
      </c>
      <c r="H5102" s="2">
        <v>265</v>
      </c>
      <c r="I5102" s="2">
        <v>335</v>
      </c>
      <c r="J5102" s="2">
        <v>1129</v>
      </c>
      <c r="K5102" s="2">
        <v>1</v>
      </c>
      <c r="L5102" s="2">
        <v>245</v>
      </c>
    </row>
    <row r="5103" spans="1:12" x14ac:dyDescent="0.25">
      <c r="A5103" s="4" t="str">
        <f>HYPERLINK("http://www.rosaceae.org/Prunus/Prunus_persica/p.persica_gdr_reftransV1_0042017","p.persica_gdr_reftransV1_0042017")</f>
        <v>p.persica_gdr_reftransV1_0042017</v>
      </c>
      <c r="B5103" s="2">
        <v>937</v>
      </c>
      <c r="C5103" s="4" t="str">
        <f>HYPERLINK("http://www.uniprot.org/uniprot/M5XDL1","M5XDL1")</f>
        <v>M5XDL1</v>
      </c>
      <c r="D5103" s="2" t="s">
        <v>4703</v>
      </c>
      <c r="E5103" s="3">
        <v>3.5999999999999998E-90</v>
      </c>
      <c r="F5103" s="2">
        <v>581</v>
      </c>
      <c r="G5103" s="2">
        <v>99</v>
      </c>
      <c r="H5103" s="2">
        <v>112</v>
      </c>
      <c r="I5103" s="2">
        <v>117</v>
      </c>
      <c r="J5103" s="2">
        <v>452</v>
      </c>
      <c r="K5103" s="2">
        <v>1</v>
      </c>
      <c r="L5103" s="2">
        <v>112</v>
      </c>
    </row>
    <row r="5104" spans="1:12" x14ac:dyDescent="0.25">
      <c r="A5104" s="4" t="str">
        <f>HYPERLINK("http://www.rosaceae.org/Prunus/Prunus_persica/p.persica_gdr_reftransV1_0043067","p.persica_gdr_reftransV1_0043067")</f>
        <v>p.persica_gdr_reftransV1_0043067</v>
      </c>
      <c r="B5104" s="2">
        <v>374</v>
      </c>
      <c r="C5104" s="4" t="str">
        <f>HYPERLINK("http://www.uniprot.org/uniprot/W9QSW3","W9QSW3")</f>
        <v>W9QSW3</v>
      </c>
      <c r="D5104" s="2" t="s">
        <v>4704</v>
      </c>
      <c r="E5104" s="3">
        <v>2.5099999999999999E-61</v>
      </c>
      <c r="F5104" s="2">
        <v>524</v>
      </c>
      <c r="G5104" s="2">
        <v>77</v>
      </c>
      <c r="H5104" s="2">
        <v>124</v>
      </c>
      <c r="I5104" s="2">
        <v>1</v>
      </c>
      <c r="J5104" s="2">
        <v>372</v>
      </c>
      <c r="K5104" s="2">
        <v>206</v>
      </c>
      <c r="L5104" s="2">
        <v>329</v>
      </c>
    </row>
    <row r="5105" spans="1:12" x14ac:dyDescent="0.25">
      <c r="A5105" s="4" t="str">
        <f>HYPERLINK("http://www.rosaceae.org/Prunus/Prunus_persica/p.persica_gdr_reftransV1_0043417","p.persica_gdr_reftransV1_0043417")</f>
        <v>p.persica_gdr_reftransV1_0043417</v>
      </c>
      <c r="B5105" s="2">
        <v>850</v>
      </c>
      <c r="C5105" s="4" t="str">
        <f>HYPERLINK("http://www.uniprot.org/uniprot/M5WB41","M5WB41")</f>
        <v>M5WB41</v>
      </c>
      <c r="D5105" s="2" t="s">
        <v>4519</v>
      </c>
      <c r="E5105" s="3">
        <v>3.8499999999999997E-83</v>
      </c>
      <c r="F5105" s="2">
        <v>658</v>
      </c>
      <c r="G5105" s="2">
        <v>100</v>
      </c>
      <c r="H5105" s="2">
        <v>141</v>
      </c>
      <c r="I5105" s="2">
        <v>132</v>
      </c>
      <c r="J5105" s="2">
        <v>554</v>
      </c>
      <c r="K5105" s="2">
        <v>1</v>
      </c>
      <c r="L5105" s="2">
        <v>141</v>
      </c>
    </row>
    <row r="5106" spans="1:12" x14ac:dyDescent="0.25">
      <c r="A5106" s="4" t="str">
        <f>HYPERLINK("http://www.rosaceae.org/Prunus/Prunus_persica/p.persica_gdr_reftransV1_0043767","p.persica_gdr_reftransV1_0043767")</f>
        <v>p.persica_gdr_reftransV1_0043767</v>
      </c>
      <c r="B5106" s="2">
        <v>1739</v>
      </c>
      <c r="C5106" s="4" t="str">
        <f>HYPERLINK("http://www.uniprot.org/uniprot/M5XP83","M5XP83")</f>
        <v>M5XP83</v>
      </c>
      <c r="D5106" s="2" t="s">
        <v>4705</v>
      </c>
      <c r="E5106" s="3">
        <v>0</v>
      </c>
      <c r="F5106" s="2">
        <v>1937</v>
      </c>
      <c r="G5106" s="2">
        <v>100</v>
      </c>
      <c r="H5106" s="2">
        <v>464</v>
      </c>
      <c r="I5106" s="2">
        <v>92</v>
      </c>
      <c r="J5106" s="2">
        <v>1483</v>
      </c>
      <c r="K5106" s="2">
        <v>1</v>
      </c>
      <c r="L5106" s="2">
        <v>464</v>
      </c>
    </row>
    <row r="5107" spans="1:12" x14ac:dyDescent="0.25">
      <c r="A5107" s="4" t="str">
        <f>HYPERLINK("http://www.rosaceae.org/Prunus/Prunus_persica/p.persica_gdr_reftransV1_0044117","p.persica_gdr_reftransV1_0044117")</f>
        <v>p.persica_gdr_reftransV1_0044117</v>
      </c>
      <c r="B5107" s="2">
        <v>1166</v>
      </c>
      <c r="C5107" s="4" t="str">
        <f>HYPERLINK("http://www.uniprot.org/uniprot/W9QLF8","W9QLF8")</f>
        <v>W9QLF8</v>
      </c>
      <c r="D5107" s="2" t="s">
        <v>4706</v>
      </c>
      <c r="E5107" s="3">
        <v>1.0699999999999999E-89</v>
      </c>
      <c r="F5107" s="2">
        <v>725</v>
      </c>
      <c r="G5107" s="2">
        <v>92</v>
      </c>
      <c r="H5107" s="2">
        <v>215</v>
      </c>
      <c r="I5107" s="2">
        <v>331</v>
      </c>
      <c r="J5107" s="2">
        <v>975</v>
      </c>
      <c r="K5107" s="2">
        <v>54</v>
      </c>
      <c r="L5107" s="2">
        <v>268</v>
      </c>
    </row>
    <row r="5108" spans="1:12" x14ac:dyDescent="0.25">
      <c r="A5108" s="4" t="str">
        <f>HYPERLINK("http://www.rosaceae.org/Prunus/Prunus_persica/p.persica_gdr_reftransV1_0044467","p.persica_gdr_reftransV1_0044467")</f>
        <v>p.persica_gdr_reftransV1_0044467</v>
      </c>
      <c r="B5108" s="2">
        <v>821</v>
      </c>
      <c r="C5108" s="4" t="str">
        <f>HYPERLINK("http://www.uniprot.org/uniprot/M5W390","M5W390")</f>
        <v>M5W390</v>
      </c>
      <c r="D5108" s="2" t="s">
        <v>4707</v>
      </c>
      <c r="E5108" s="3">
        <v>1.57E-55</v>
      </c>
      <c r="F5108" s="2">
        <v>481</v>
      </c>
      <c r="G5108" s="2">
        <v>100</v>
      </c>
      <c r="H5108" s="2">
        <v>93</v>
      </c>
      <c r="I5108" s="2">
        <v>244</v>
      </c>
      <c r="J5108" s="2">
        <v>522</v>
      </c>
      <c r="K5108" s="2">
        <v>137</v>
      </c>
      <c r="L5108" s="2">
        <v>229</v>
      </c>
    </row>
    <row r="5109" spans="1:12" x14ac:dyDescent="0.25">
      <c r="A5109" s="4" t="str">
        <f>HYPERLINK("http://www.rosaceae.org/Prunus/Prunus_persica/p.persica_gdr_reftransV1_0044817","p.persica_gdr_reftransV1_0044817")</f>
        <v>p.persica_gdr_reftransV1_0044817</v>
      </c>
      <c r="B5109" s="2">
        <v>1804</v>
      </c>
      <c r="C5109" s="4" t="str">
        <f>HYPERLINK("http://www.uniprot.org/uniprot/M5W7Z8","M5W7Z8")</f>
        <v>M5W7Z8</v>
      </c>
      <c r="D5109" s="2" t="s">
        <v>4708</v>
      </c>
      <c r="E5109" s="3">
        <v>0</v>
      </c>
      <c r="F5109" s="2">
        <v>2663</v>
      </c>
      <c r="G5109" s="2">
        <v>100</v>
      </c>
      <c r="H5109" s="2">
        <v>534</v>
      </c>
      <c r="I5109" s="2">
        <v>65</v>
      </c>
      <c r="J5109" s="2">
        <v>1666</v>
      </c>
      <c r="K5109" s="2">
        <v>1</v>
      </c>
      <c r="L5109" s="2">
        <v>534</v>
      </c>
    </row>
    <row r="5110" spans="1:12" x14ac:dyDescent="0.25">
      <c r="A5110" s="4" t="str">
        <f>HYPERLINK("http://www.rosaceae.org/Prunus/Prunus_persica/p.persica_gdr_reftransV1_0045167","p.persica_gdr_reftransV1_0045167")</f>
        <v>p.persica_gdr_reftransV1_0045167</v>
      </c>
      <c r="B5110" s="2">
        <v>983</v>
      </c>
      <c r="C5110" s="4" t="str">
        <f>HYPERLINK("http://www.uniprot.org/uniprot/H2BDK3","H2BDK3")</f>
        <v>H2BDK3</v>
      </c>
      <c r="D5110" s="2" t="s">
        <v>4709</v>
      </c>
      <c r="E5110" s="3">
        <v>1.2000000000000001E-115</v>
      </c>
      <c r="F5110" s="2">
        <v>892</v>
      </c>
      <c r="G5110" s="2">
        <v>100</v>
      </c>
      <c r="H5110" s="2">
        <v>227</v>
      </c>
      <c r="I5110" s="2">
        <v>301</v>
      </c>
      <c r="J5110" s="2">
        <v>981</v>
      </c>
      <c r="K5110" s="2">
        <v>1</v>
      </c>
      <c r="L5110" s="2">
        <v>227</v>
      </c>
    </row>
    <row r="5111" spans="1:12" x14ac:dyDescent="0.25">
      <c r="A5111" s="4" t="str">
        <f>HYPERLINK("http://www.rosaceae.org/Prunus/Prunus_persica/p.persica_gdr_reftransV1_0045517","p.persica_gdr_reftransV1_0045517")</f>
        <v>p.persica_gdr_reftransV1_0045517</v>
      </c>
      <c r="B5111" s="2">
        <v>3326</v>
      </c>
      <c r="C5111" s="4" t="str">
        <f>HYPERLINK("http://www.uniprot.org/uniprot/M5WWT6","M5WWT6")</f>
        <v>M5WWT6</v>
      </c>
      <c r="D5111" s="2" t="s">
        <v>4710</v>
      </c>
      <c r="E5111" s="3">
        <v>0</v>
      </c>
      <c r="F5111" s="2">
        <v>4685</v>
      </c>
      <c r="G5111" s="2">
        <v>100</v>
      </c>
      <c r="H5111" s="2">
        <v>914</v>
      </c>
      <c r="I5111" s="2">
        <v>453</v>
      </c>
      <c r="J5111" s="2">
        <v>3194</v>
      </c>
      <c r="K5111" s="2">
        <v>1</v>
      </c>
      <c r="L5111" s="2">
        <v>914</v>
      </c>
    </row>
    <row r="5112" spans="1:12" x14ac:dyDescent="0.25">
      <c r="A5112" s="4" t="str">
        <f>HYPERLINK("http://www.rosaceae.org/Prunus/Prunus_persica/p.persica_gdr_reftransV1_0045867","p.persica_gdr_reftransV1_0045867")</f>
        <v>p.persica_gdr_reftransV1_0045867</v>
      </c>
      <c r="B5112" s="2">
        <v>1450</v>
      </c>
      <c r="C5112" s="4" t="str">
        <f>HYPERLINK("http://www.uniprot.org/uniprot/M5XW19","M5XW19")</f>
        <v>M5XW19</v>
      </c>
      <c r="D5112" s="2" t="s">
        <v>4711</v>
      </c>
      <c r="E5112" s="3">
        <v>0</v>
      </c>
      <c r="F5112" s="2">
        <v>1823</v>
      </c>
      <c r="G5112" s="2">
        <v>100</v>
      </c>
      <c r="H5112" s="2">
        <v>341</v>
      </c>
      <c r="I5112" s="2">
        <v>148</v>
      </c>
      <c r="J5112" s="2">
        <v>1170</v>
      </c>
      <c r="K5112" s="2">
        <v>16</v>
      </c>
      <c r="L5112" s="2">
        <v>356</v>
      </c>
    </row>
    <row r="5113" spans="1:12" x14ac:dyDescent="0.25">
      <c r="A5113" s="4" t="str">
        <f>HYPERLINK("http://www.rosaceae.org/Prunus/Prunus_persica/p.persica_gdr_reftransV1_0046567","p.persica_gdr_reftransV1_0046567")</f>
        <v>p.persica_gdr_reftransV1_0046567</v>
      </c>
      <c r="B5113" s="2">
        <v>3418</v>
      </c>
      <c r="C5113" s="4" t="str">
        <f>HYPERLINK("http://www.uniprot.org/uniprot/M5VXH6","M5VXH6")</f>
        <v>M5VXH6</v>
      </c>
      <c r="D5113" s="2" t="s">
        <v>4145</v>
      </c>
      <c r="E5113" s="3">
        <v>0</v>
      </c>
      <c r="F5113" s="2">
        <v>1795</v>
      </c>
      <c r="G5113" s="2">
        <v>97</v>
      </c>
      <c r="H5113" s="2">
        <v>345</v>
      </c>
      <c r="I5113" s="2">
        <v>722</v>
      </c>
      <c r="J5113" s="2">
        <v>1756</v>
      </c>
      <c r="K5113" s="2">
        <v>350</v>
      </c>
      <c r="L5113" s="2">
        <v>694</v>
      </c>
    </row>
    <row r="5114" spans="1:12" x14ac:dyDescent="0.25">
      <c r="A5114" s="4" t="str">
        <f>HYPERLINK("http://www.rosaceae.org/Prunus/Prunus_persica/p.persica_gdr_reftransV1_0046917","p.persica_gdr_reftransV1_0046917")</f>
        <v>p.persica_gdr_reftransV1_0046917</v>
      </c>
      <c r="B5114" s="2">
        <v>1746</v>
      </c>
      <c r="C5114" s="4" t="str">
        <f>HYPERLINK("http://www.uniprot.org/uniprot/M5VK84","M5VK84")</f>
        <v>M5VK84</v>
      </c>
      <c r="D5114" s="2" t="s">
        <v>190</v>
      </c>
      <c r="E5114" s="3">
        <v>0</v>
      </c>
      <c r="F5114" s="2">
        <v>2897</v>
      </c>
      <c r="G5114" s="2">
        <v>96</v>
      </c>
      <c r="H5114" s="2">
        <v>569</v>
      </c>
      <c r="I5114" s="2">
        <v>3</v>
      </c>
      <c r="J5114" s="2">
        <v>1709</v>
      </c>
      <c r="K5114" s="2">
        <v>683</v>
      </c>
      <c r="L5114" s="2">
        <v>1251</v>
      </c>
    </row>
    <row r="5115" spans="1:12" x14ac:dyDescent="0.25">
      <c r="A5115" s="4" t="str">
        <f>HYPERLINK("http://www.rosaceae.org/Prunus/Prunus_persica/p.persica_gdr_reftransV1_0047617","p.persica_gdr_reftransV1_0047617")</f>
        <v>p.persica_gdr_reftransV1_0047617</v>
      </c>
      <c r="B5115" s="2">
        <v>1792</v>
      </c>
      <c r="C5115" s="4" t="str">
        <f>HYPERLINK("http://www.uniprot.org/uniprot/M5VPZ9","M5VPZ9")</f>
        <v>M5VPZ9</v>
      </c>
      <c r="D5115" s="2" t="s">
        <v>4712</v>
      </c>
      <c r="E5115" s="3">
        <v>0</v>
      </c>
      <c r="F5115" s="2">
        <v>1146</v>
      </c>
      <c r="G5115" s="2">
        <v>100</v>
      </c>
      <c r="H5115" s="2">
        <v>217</v>
      </c>
      <c r="I5115" s="2">
        <v>443</v>
      </c>
      <c r="J5115" s="2">
        <v>1093</v>
      </c>
      <c r="K5115" s="2">
        <v>173</v>
      </c>
      <c r="L5115" s="2">
        <v>389</v>
      </c>
    </row>
    <row r="5116" spans="1:12" x14ac:dyDescent="0.25">
      <c r="A5116" s="4" t="str">
        <f>HYPERLINK("http://www.rosaceae.org/Prunus/Prunus_persica/p.persica_gdr_reftransV1_0047967","p.persica_gdr_reftransV1_0047967")</f>
        <v>p.persica_gdr_reftransV1_0047967</v>
      </c>
      <c r="B5116" s="2">
        <v>2354</v>
      </c>
      <c r="C5116" s="4" t="str">
        <f>HYPERLINK("http://www.uniprot.org/uniprot/M5WM02","M5WM02")</f>
        <v>M5WM02</v>
      </c>
      <c r="D5116" s="2" t="s">
        <v>4713</v>
      </c>
      <c r="E5116" s="3">
        <v>0</v>
      </c>
      <c r="F5116" s="2">
        <v>3737</v>
      </c>
      <c r="G5116" s="2">
        <v>100</v>
      </c>
      <c r="H5116" s="2">
        <v>697</v>
      </c>
      <c r="I5116" s="2">
        <v>142</v>
      </c>
      <c r="J5116" s="2">
        <v>2232</v>
      </c>
      <c r="K5116" s="2">
        <v>1</v>
      </c>
      <c r="L5116" s="2">
        <v>697</v>
      </c>
    </row>
    <row r="5117" spans="1:12" x14ac:dyDescent="0.25">
      <c r="A5117" s="4" t="str">
        <f>HYPERLINK("http://www.rosaceae.org/Prunus/Prunus_persica/p.persica_gdr_reftransV1_0048317","p.persica_gdr_reftransV1_0048317")</f>
        <v>p.persica_gdr_reftransV1_0048317</v>
      </c>
      <c r="B5117" s="2">
        <v>3218</v>
      </c>
      <c r="C5117" s="4" t="str">
        <f>HYPERLINK("http://www.uniprot.org/uniprot/M5XIM6","M5XIM6")</f>
        <v>M5XIM6</v>
      </c>
      <c r="D5117" s="2" t="s">
        <v>4714</v>
      </c>
      <c r="E5117" s="3">
        <v>0</v>
      </c>
      <c r="F5117" s="2">
        <v>4683</v>
      </c>
      <c r="G5117" s="2">
        <v>100</v>
      </c>
      <c r="H5117" s="2">
        <v>927</v>
      </c>
      <c r="I5117" s="2">
        <v>137</v>
      </c>
      <c r="J5117" s="2">
        <v>2917</v>
      </c>
      <c r="K5117" s="2">
        <v>1</v>
      </c>
      <c r="L5117" s="2">
        <v>927</v>
      </c>
    </row>
    <row r="5118" spans="1:12" x14ac:dyDescent="0.25">
      <c r="A5118" s="4" t="str">
        <f>HYPERLINK("http://www.rosaceae.org/Prunus/Prunus_persica/p.persica_gdr_reftransV1_0048667","p.persica_gdr_reftransV1_0048667")</f>
        <v>p.persica_gdr_reftransV1_0048667</v>
      </c>
      <c r="B5118" s="2">
        <v>344</v>
      </c>
      <c r="C5118" s="4" t="str">
        <f>HYPERLINK("http://www.uniprot.org/uniprot/M5WX53","M5WX53")</f>
        <v>M5WX53</v>
      </c>
      <c r="D5118" s="2" t="s">
        <v>4715</v>
      </c>
      <c r="E5118" s="3">
        <v>2.9699999999999998E-73</v>
      </c>
      <c r="F5118" s="2">
        <v>590</v>
      </c>
      <c r="G5118" s="2">
        <v>100</v>
      </c>
      <c r="H5118" s="2">
        <v>114</v>
      </c>
      <c r="I5118" s="2">
        <v>1</v>
      </c>
      <c r="J5118" s="2">
        <v>342</v>
      </c>
      <c r="K5118" s="2">
        <v>164</v>
      </c>
      <c r="L5118" s="2">
        <v>277</v>
      </c>
    </row>
    <row r="5119" spans="1:12" x14ac:dyDescent="0.25">
      <c r="A5119" s="4" t="str">
        <f>HYPERLINK("http://www.rosaceae.org/Prunus/Prunus_persica/p.persica_gdr_reftransV1_0049017","p.persica_gdr_reftransV1_0049017")</f>
        <v>p.persica_gdr_reftransV1_0049017</v>
      </c>
      <c r="B5119" s="2">
        <v>436</v>
      </c>
      <c r="C5119" s="4" t="str">
        <f>HYPERLINK("http://www.uniprot.org/uniprot/M5XPQ6","M5XPQ6")</f>
        <v>M5XPQ6</v>
      </c>
      <c r="D5119" s="2" t="s">
        <v>4716</v>
      </c>
      <c r="E5119" s="3">
        <v>1.3E-75</v>
      </c>
      <c r="F5119" s="2">
        <v>614</v>
      </c>
      <c r="G5119" s="2">
        <v>99</v>
      </c>
      <c r="H5119" s="2">
        <v>122</v>
      </c>
      <c r="I5119" s="2">
        <v>33</v>
      </c>
      <c r="J5119" s="2">
        <v>398</v>
      </c>
      <c r="K5119" s="2">
        <v>109</v>
      </c>
      <c r="L5119" s="2">
        <v>230</v>
      </c>
    </row>
    <row r="5120" spans="1:12" x14ac:dyDescent="0.25">
      <c r="A5120" s="4" t="str">
        <f>HYPERLINK("http://www.rosaceae.org/Prunus/Prunus_persica/p.persica_gdr_reftransV1_0000171","p.persica_gdr_reftransV1_0000171")</f>
        <v>p.persica_gdr_reftransV1_0000171</v>
      </c>
      <c r="B5120" s="2">
        <v>1349</v>
      </c>
      <c r="C5120" s="4" t="str">
        <f>HYPERLINK("http://www.uniprot.org/uniprot/M5WZW4","M5WZW4")</f>
        <v>M5WZW4</v>
      </c>
      <c r="D5120" s="2" t="s">
        <v>4717</v>
      </c>
      <c r="E5120" s="3">
        <v>0</v>
      </c>
      <c r="F5120" s="2">
        <v>1795</v>
      </c>
      <c r="G5120" s="2">
        <v>96</v>
      </c>
      <c r="H5120" s="2">
        <v>419</v>
      </c>
      <c r="I5120" s="2">
        <v>3</v>
      </c>
      <c r="J5120" s="2">
        <v>1259</v>
      </c>
      <c r="K5120" s="2">
        <v>190</v>
      </c>
      <c r="L5120" s="2">
        <v>608</v>
      </c>
    </row>
    <row r="5121" spans="1:12" x14ac:dyDescent="0.25">
      <c r="A5121" s="4" t="str">
        <f>HYPERLINK("http://www.rosaceae.org/Prunus/Prunus_persica/p.persica_gdr_reftransV1_0000521","p.persica_gdr_reftransV1_0000521")</f>
        <v>p.persica_gdr_reftransV1_0000521</v>
      </c>
      <c r="B5121" s="2">
        <v>1036</v>
      </c>
      <c r="C5121" s="4" t="str">
        <f>HYPERLINK("http://www.uniprot.org/uniprot/M5Y0H4","M5Y0H4")</f>
        <v>M5Y0H4</v>
      </c>
      <c r="D5121" s="2" t="s">
        <v>4718</v>
      </c>
      <c r="E5121" s="3">
        <v>6.1799999999999999E-13</v>
      </c>
      <c r="F5121" s="2">
        <v>194</v>
      </c>
      <c r="G5121" s="2">
        <v>95</v>
      </c>
      <c r="H5121" s="2">
        <v>39</v>
      </c>
      <c r="I5121" s="2">
        <v>56</v>
      </c>
      <c r="J5121" s="2">
        <v>172</v>
      </c>
      <c r="K5121" s="2">
        <v>354</v>
      </c>
      <c r="L5121" s="2">
        <v>392</v>
      </c>
    </row>
    <row r="5122" spans="1:12" x14ac:dyDescent="0.25">
      <c r="A5122" s="4" t="str">
        <f>HYPERLINK("http://www.rosaceae.org/Prunus/Prunus_persica/p.persica_gdr_reftransV1_0002621","p.persica_gdr_reftransV1_0002621")</f>
        <v>p.persica_gdr_reftransV1_0002621</v>
      </c>
      <c r="B5122" s="2">
        <v>1098</v>
      </c>
      <c r="C5122" s="4" t="str">
        <f>HYPERLINK("http://www.uniprot.org/uniprot/A0A0D4ZYJ6","A0A0D4ZYJ6")</f>
        <v>A0A0D4ZYJ6</v>
      </c>
      <c r="D5122" s="2" t="s">
        <v>4719</v>
      </c>
      <c r="E5122" s="3">
        <v>7.9899999999999994E-129</v>
      </c>
      <c r="F5122" s="2">
        <v>979</v>
      </c>
      <c r="G5122" s="2">
        <v>82</v>
      </c>
      <c r="H5122" s="2">
        <v>250</v>
      </c>
      <c r="I5122" s="2">
        <v>90</v>
      </c>
      <c r="J5122" s="2">
        <v>824</v>
      </c>
      <c r="K5122" s="2">
        <v>1</v>
      </c>
      <c r="L5122" s="2">
        <v>250</v>
      </c>
    </row>
    <row r="5123" spans="1:12" x14ac:dyDescent="0.25">
      <c r="A5123" s="4" t="str">
        <f>HYPERLINK("http://www.rosaceae.org/Prunus/Prunus_persica/p.persica_gdr_reftransV1_0002971","p.persica_gdr_reftransV1_0002971")</f>
        <v>p.persica_gdr_reftransV1_0002971</v>
      </c>
      <c r="B5123" s="2">
        <v>2632</v>
      </c>
      <c r="C5123" s="4" t="str">
        <f>HYPERLINK("http://www.uniprot.org/uniprot/M5X011","M5X011")</f>
        <v>M5X011</v>
      </c>
      <c r="D5123" s="2" t="s">
        <v>3797</v>
      </c>
      <c r="E5123" s="3">
        <v>1.47E-110</v>
      </c>
      <c r="F5123" s="2">
        <v>737</v>
      </c>
      <c r="G5123" s="2">
        <v>99</v>
      </c>
      <c r="H5123" s="2">
        <v>145</v>
      </c>
      <c r="I5123" s="2">
        <v>1835</v>
      </c>
      <c r="J5123" s="2">
        <v>2269</v>
      </c>
      <c r="K5123" s="2">
        <v>280</v>
      </c>
      <c r="L5123" s="2">
        <v>424</v>
      </c>
    </row>
    <row r="5124" spans="1:12" x14ac:dyDescent="0.25">
      <c r="A5124" s="4" t="str">
        <f>HYPERLINK("http://www.rosaceae.org/Prunus/Prunus_persica/p.persica_gdr_reftransV1_0003671","p.persica_gdr_reftransV1_0003671")</f>
        <v>p.persica_gdr_reftransV1_0003671</v>
      </c>
      <c r="B5124" s="2">
        <v>1134</v>
      </c>
      <c r="C5124" s="4" t="str">
        <f>HYPERLINK("http://www.uniprot.org/uniprot/M5XDI7","M5XDI7")</f>
        <v>M5XDI7</v>
      </c>
      <c r="D5124" s="2" t="s">
        <v>4720</v>
      </c>
      <c r="E5124" s="3">
        <v>0</v>
      </c>
      <c r="F5124" s="2">
        <v>1624</v>
      </c>
      <c r="G5124" s="2">
        <v>100</v>
      </c>
      <c r="H5124" s="2">
        <v>311</v>
      </c>
      <c r="I5124" s="2">
        <v>166</v>
      </c>
      <c r="J5124" s="2">
        <v>1098</v>
      </c>
      <c r="K5124" s="2">
        <v>1</v>
      </c>
      <c r="L5124" s="2">
        <v>311</v>
      </c>
    </row>
    <row r="5125" spans="1:12" x14ac:dyDescent="0.25">
      <c r="A5125" s="4" t="str">
        <f>HYPERLINK("http://www.rosaceae.org/Prunus/Prunus_persica/p.persica_gdr_reftransV1_0004021","p.persica_gdr_reftransV1_0004021")</f>
        <v>p.persica_gdr_reftransV1_0004021</v>
      </c>
      <c r="B5125" s="2">
        <v>1838</v>
      </c>
      <c r="C5125" s="4" t="str">
        <f>HYPERLINK("http://www.uniprot.org/uniprot/M5WVP1","M5WVP1")</f>
        <v>M5WVP1</v>
      </c>
      <c r="D5125" s="2" t="s">
        <v>4721</v>
      </c>
      <c r="E5125" s="3">
        <v>0</v>
      </c>
      <c r="F5125" s="2">
        <v>2713</v>
      </c>
      <c r="G5125" s="2">
        <v>100</v>
      </c>
      <c r="H5125" s="2">
        <v>518</v>
      </c>
      <c r="I5125" s="2">
        <v>215</v>
      </c>
      <c r="J5125" s="2">
        <v>1768</v>
      </c>
      <c r="K5125" s="2">
        <v>1</v>
      </c>
      <c r="L5125" s="2">
        <v>518</v>
      </c>
    </row>
    <row r="5126" spans="1:12" x14ac:dyDescent="0.25">
      <c r="A5126" s="4" t="str">
        <f>HYPERLINK("http://www.rosaceae.org/Prunus/Prunus_persica/p.persica_gdr_reftransV1_0004721","p.persica_gdr_reftransV1_0004721")</f>
        <v>p.persica_gdr_reftransV1_0004721</v>
      </c>
      <c r="B5126" s="2">
        <v>2266</v>
      </c>
      <c r="C5126" s="4" t="str">
        <f>HYPERLINK("http://www.uniprot.org/uniprot/M5X3Q9","M5X3Q9")</f>
        <v>M5X3Q9</v>
      </c>
      <c r="D5126" s="2" t="s">
        <v>4722</v>
      </c>
      <c r="E5126" s="3">
        <v>0</v>
      </c>
      <c r="F5126" s="2">
        <v>3512</v>
      </c>
      <c r="G5126" s="2">
        <v>100</v>
      </c>
      <c r="H5126" s="2">
        <v>648</v>
      </c>
      <c r="I5126" s="2">
        <v>2</v>
      </c>
      <c r="J5126" s="2">
        <v>1945</v>
      </c>
      <c r="K5126" s="2">
        <v>193</v>
      </c>
      <c r="L5126" s="2">
        <v>840</v>
      </c>
    </row>
    <row r="5127" spans="1:12" x14ac:dyDescent="0.25">
      <c r="A5127" s="4" t="str">
        <f>HYPERLINK("http://www.rosaceae.org/Prunus/Prunus_persica/p.persica_gdr_reftransV1_0006121","p.persica_gdr_reftransV1_0006121")</f>
        <v>p.persica_gdr_reftransV1_0006121</v>
      </c>
      <c r="B5127" s="2">
        <v>1432</v>
      </c>
      <c r="C5127" s="4" t="str">
        <f>HYPERLINK("http://www.uniprot.org/uniprot/M5X6P6","M5X6P6")</f>
        <v>M5X6P6</v>
      </c>
      <c r="D5127" s="2" t="s">
        <v>4723</v>
      </c>
      <c r="E5127" s="3">
        <v>0</v>
      </c>
      <c r="F5127" s="2">
        <v>1230</v>
      </c>
      <c r="G5127" s="2">
        <v>99</v>
      </c>
      <c r="H5127" s="2">
        <v>247</v>
      </c>
      <c r="I5127" s="2">
        <v>393</v>
      </c>
      <c r="J5127" s="2">
        <v>1133</v>
      </c>
      <c r="K5127" s="2">
        <v>94</v>
      </c>
      <c r="L5127" s="2">
        <v>340</v>
      </c>
    </row>
    <row r="5128" spans="1:12" x14ac:dyDescent="0.25">
      <c r="A5128" s="4" t="str">
        <f>HYPERLINK("http://www.rosaceae.org/Prunus/Prunus_persica/p.persica_gdr_reftransV1_0006821","p.persica_gdr_reftransV1_0006821")</f>
        <v>p.persica_gdr_reftransV1_0006821</v>
      </c>
      <c r="B5128" s="2">
        <v>1497</v>
      </c>
      <c r="C5128" s="4" t="str">
        <f>HYPERLINK("http://www.uniprot.org/uniprot/M5X4U8","M5X4U8")</f>
        <v>M5X4U8</v>
      </c>
      <c r="D5128" s="2" t="s">
        <v>4724</v>
      </c>
      <c r="E5128" s="3">
        <v>0</v>
      </c>
      <c r="F5128" s="2">
        <v>1769</v>
      </c>
      <c r="G5128" s="2">
        <v>100</v>
      </c>
      <c r="H5128" s="2">
        <v>355</v>
      </c>
      <c r="I5128" s="2">
        <v>431</v>
      </c>
      <c r="J5128" s="2">
        <v>1495</v>
      </c>
      <c r="K5128" s="2">
        <v>27</v>
      </c>
      <c r="L5128" s="2">
        <v>381</v>
      </c>
    </row>
    <row r="5129" spans="1:12" x14ac:dyDescent="0.25">
      <c r="A5129" s="4" t="str">
        <f>HYPERLINK("http://www.rosaceae.org/Prunus/Prunus_persica/p.persica_gdr_reftransV1_0007171","p.persica_gdr_reftransV1_0007171")</f>
        <v>p.persica_gdr_reftransV1_0007171</v>
      </c>
      <c r="B5129" s="2">
        <v>774</v>
      </c>
      <c r="C5129" s="4" t="str">
        <f>HYPERLINK("http://www.uniprot.org/uniprot/M5W579","M5W579")</f>
        <v>M5W579</v>
      </c>
      <c r="D5129" s="2" t="s">
        <v>4725</v>
      </c>
      <c r="E5129" s="3">
        <v>2.3799999999999999E-69</v>
      </c>
      <c r="F5129" s="2">
        <v>564</v>
      </c>
      <c r="G5129" s="2">
        <v>100</v>
      </c>
      <c r="H5129" s="2">
        <v>134</v>
      </c>
      <c r="I5129" s="2">
        <v>72</v>
      </c>
      <c r="J5129" s="2">
        <v>473</v>
      </c>
      <c r="K5129" s="2">
        <v>1</v>
      </c>
      <c r="L5129" s="2">
        <v>134</v>
      </c>
    </row>
    <row r="5130" spans="1:12" x14ac:dyDescent="0.25">
      <c r="A5130" s="4" t="str">
        <f>HYPERLINK("http://www.rosaceae.org/Prunus/Prunus_persica/p.persica_gdr_reftransV1_0007521","p.persica_gdr_reftransV1_0007521")</f>
        <v>p.persica_gdr_reftransV1_0007521</v>
      </c>
      <c r="B5130" s="2">
        <v>2030</v>
      </c>
      <c r="C5130" s="4" t="str">
        <f>HYPERLINK("http://www.uniprot.org/uniprot/M5W978","M5W978")</f>
        <v>M5W978</v>
      </c>
      <c r="D5130" s="2" t="s">
        <v>4726</v>
      </c>
      <c r="E5130" s="3">
        <v>0</v>
      </c>
      <c r="F5130" s="2">
        <v>2702</v>
      </c>
      <c r="G5130" s="2">
        <v>100</v>
      </c>
      <c r="H5130" s="2">
        <v>563</v>
      </c>
      <c r="I5130" s="2">
        <v>66</v>
      </c>
      <c r="J5130" s="2">
        <v>1754</v>
      </c>
      <c r="K5130" s="2">
        <v>1</v>
      </c>
      <c r="L5130" s="2">
        <v>563</v>
      </c>
    </row>
    <row r="5131" spans="1:12" x14ac:dyDescent="0.25">
      <c r="A5131" s="4" t="str">
        <f>HYPERLINK("http://www.rosaceae.org/Prunus/Prunus_persica/p.persica_gdr_reftransV1_0008571","p.persica_gdr_reftransV1_0008571")</f>
        <v>p.persica_gdr_reftransV1_0008571</v>
      </c>
      <c r="B5131" s="2">
        <v>1307</v>
      </c>
      <c r="C5131" s="4" t="str">
        <f>HYPERLINK("http://www.uniprot.org/uniprot/M5W0W2","M5W0W2")</f>
        <v>M5W0W2</v>
      </c>
      <c r="D5131" s="2" t="s">
        <v>4727</v>
      </c>
      <c r="E5131" s="3">
        <v>7.4299999999999999E-59</v>
      </c>
      <c r="F5131" s="2">
        <v>506</v>
      </c>
      <c r="G5131" s="2">
        <v>100</v>
      </c>
      <c r="H5131" s="2">
        <v>101</v>
      </c>
      <c r="I5131" s="2">
        <v>87</v>
      </c>
      <c r="J5131" s="2">
        <v>389</v>
      </c>
      <c r="K5131" s="2">
        <v>1</v>
      </c>
      <c r="L5131" s="2">
        <v>101</v>
      </c>
    </row>
    <row r="5132" spans="1:12" x14ac:dyDescent="0.25">
      <c r="A5132" s="4" t="str">
        <f>HYPERLINK("http://www.rosaceae.org/Prunus/Prunus_persica/p.persica_gdr_reftransV1_0008921","p.persica_gdr_reftransV1_0008921")</f>
        <v>p.persica_gdr_reftransV1_0008921</v>
      </c>
      <c r="B5132" s="2">
        <v>1875</v>
      </c>
      <c r="C5132" s="4" t="str">
        <f>HYPERLINK("http://www.uniprot.org/uniprot/M5VZA0","M5VZA0")</f>
        <v>M5VZA0</v>
      </c>
      <c r="D5132" s="2" t="s">
        <v>4728</v>
      </c>
      <c r="E5132" s="3">
        <v>0</v>
      </c>
      <c r="F5132" s="2">
        <v>1692</v>
      </c>
      <c r="G5132" s="2">
        <v>95</v>
      </c>
      <c r="H5132" s="2">
        <v>441</v>
      </c>
      <c r="I5132" s="2">
        <v>145</v>
      </c>
      <c r="J5132" s="2">
        <v>1467</v>
      </c>
      <c r="K5132" s="2">
        <v>1</v>
      </c>
      <c r="L5132" s="2">
        <v>427</v>
      </c>
    </row>
    <row r="5133" spans="1:12" x14ac:dyDescent="0.25">
      <c r="A5133" s="4" t="str">
        <f>HYPERLINK("http://www.rosaceae.org/Prunus/Prunus_persica/p.persica_gdr_reftransV1_0009271","p.persica_gdr_reftransV1_0009271")</f>
        <v>p.persica_gdr_reftransV1_0009271</v>
      </c>
      <c r="B5133" s="2">
        <v>1145</v>
      </c>
      <c r="C5133" s="4" t="str">
        <f>HYPERLINK("http://www.uniprot.org/uniprot/M5WSC9","M5WSC9")</f>
        <v>M5WSC9</v>
      </c>
      <c r="D5133" s="2" t="s">
        <v>4729</v>
      </c>
      <c r="E5133" s="3">
        <v>4.5600000000000001E-121</v>
      </c>
      <c r="F5133" s="2">
        <v>948</v>
      </c>
      <c r="G5133" s="2">
        <v>100</v>
      </c>
      <c r="H5133" s="2">
        <v>178</v>
      </c>
      <c r="I5133" s="2">
        <v>2</v>
      </c>
      <c r="J5133" s="2">
        <v>535</v>
      </c>
      <c r="K5133" s="2">
        <v>268</v>
      </c>
      <c r="L5133" s="2">
        <v>445</v>
      </c>
    </row>
    <row r="5134" spans="1:12" x14ac:dyDescent="0.25">
      <c r="A5134" s="4" t="str">
        <f>HYPERLINK("http://www.rosaceae.org/Prunus/Prunus_persica/p.persica_gdr_reftransV1_0009971","p.persica_gdr_reftransV1_0009971")</f>
        <v>p.persica_gdr_reftransV1_0009971</v>
      </c>
      <c r="B5134" s="2">
        <v>2210</v>
      </c>
      <c r="C5134" s="4" t="str">
        <f>HYPERLINK("http://www.uniprot.org/uniprot/M5WJ10","M5WJ10")</f>
        <v>M5WJ10</v>
      </c>
      <c r="D5134" s="2" t="s">
        <v>4730</v>
      </c>
      <c r="E5134" s="3">
        <v>0</v>
      </c>
      <c r="F5134" s="2">
        <v>2670</v>
      </c>
      <c r="G5134" s="2">
        <v>100</v>
      </c>
      <c r="H5134" s="2">
        <v>594</v>
      </c>
      <c r="I5134" s="2">
        <v>180</v>
      </c>
      <c r="J5134" s="2">
        <v>1961</v>
      </c>
      <c r="K5134" s="2">
        <v>1</v>
      </c>
      <c r="L5134" s="2">
        <v>594</v>
      </c>
    </row>
    <row r="5135" spans="1:12" x14ac:dyDescent="0.25">
      <c r="A5135" s="4" t="str">
        <f>HYPERLINK("http://www.rosaceae.org/Prunus/Prunus_persica/p.persica_gdr_reftransV1_0011371","p.persica_gdr_reftransV1_0011371")</f>
        <v>p.persica_gdr_reftransV1_0011371</v>
      </c>
      <c r="B5135" s="2">
        <v>1369</v>
      </c>
      <c r="C5135" s="4" t="str">
        <f>HYPERLINK("http://www.uniprot.org/uniprot/M5XGT9","M5XGT9")</f>
        <v>M5XGT9</v>
      </c>
      <c r="D5135" s="2" t="s">
        <v>4731</v>
      </c>
      <c r="E5135" s="3">
        <v>7.95E-170</v>
      </c>
      <c r="F5135" s="2">
        <v>1263</v>
      </c>
      <c r="G5135" s="2">
        <v>100</v>
      </c>
      <c r="H5135" s="2">
        <v>287</v>
      </c>
      <c r="I5135" s="2">
        <v>173</v>
      </c>
      <c r="J5135" s="2">
        <v>1033</v>
      </c>
      <c r="K5135" s="2">
        <v>1</v>
      </c>
      <c r="L5135" s="2">
        <v>287</v>
      </c>
    </row>
    <row r="5136" spans="1:12" x14ac:dyDescent="0.25">
      <c r="A5136" s="4" t="str">
        <f>HYPERLINK("http://www.rosaceae.org/Prunus/Prunus_persica/p.persica_gdr_reftransV1_0011721","p.persica_gdr_reftransV1_0011721")</f>
        <v>p.persica_gdr_reftransV1_0011721</v>
      </c>
      <c r="B5136" s="2">
        <v>5626</v>
      </c>
      <c r="C5136" s="4" t="str">
        <f>HYPERLINK("http://www.uniprot.org/uniprot/M5XJW9","M5XJW9")</f>
        <v>M5XJW9</v>
      </c>
      <c r="D5136" s="2" t="s">
        <v>4732</v>
      </c>
      <c r="E5136" s="3">
        <v>7.07E-178</v>
      </c>
      <c r="F5136" s="2">
        <v>1461</v>
      </c>
      <c r="G5136" s="2">
        <v>98</v>
      </c>
      <c r="H5136" s="2">
        <v>307</v>
      </c>
      <c r="I5136" s="2">
        <v>4642</v>
      </c>
      <c r="J5136" s="2">
        <v>5562</v>
      </c>
      <c r="K5136" s="2">
        <v>1</v>
      </c>
      <c r="L5136" s="2">
        <v>307</v>
      </c>
    </row>
    <row r="5137" spans="1:12" x14ac:dyDescent="0.25">
      <c r="A5137" s="4" t="str">
        <f>HYPERLINK("http://www.rosaceae.org/Prunus/Prunus_persica/p.persica_gdr_reftransV1_0012071","p.persica_gdr_reftransV1_0012071")</f>
        <v>p.persica_gdr_reftransV1_0012071</v>
      </c>
      <c r="B5137" s="2">
        <v>2157</v>
      </c>
      <c r="C5137" s="4" t="str">
        <f>HYPERLINK("http://www.uniprot.org/uniprot/M5VPS4","M5VPS4")</f>
        <v>M5VPS4</v>
      </c>
      <c r="D5137" s="2" t="s">
        <v>4733</v>
      </c>
      <c r="E5137" s="3">
        <v>0</v>
      </c>
      <c r="F5137" s="2">
        <v>2208</v>
      </c>
      <c r="G5137" s="2">
        <v>100</v>
      </c>
      <c r="H5137" s="2">
        <v>438</v>
      </c>
      <c r="I5137" s="2">
        <v>457</v>
      </c>
      <c r="J5137" s="2">
        <v>1770</v>
      </c>
      <c r="K5137" s="2">
        <v>1</v>
      </c>
      <c r="L5137" s="2">
        <v>438</v>
      </c>
    </row>
    <row r="5138" spans="1:12" x14ac:dyDescent="0.25">
      <c r="A5138" s="4" t="str">
        <f>HYPERLINK("http://www.rosaceae.org/Prunus/Prunus_persica/p.persica_gdr_reftransV1_0013471","p.persica_gdr_reftransV1_0013471")</f>
        <v>p.persica_gdr_reftransV1_0013471</v>
      </c>
      <c r="B5138" s="2">
        <v>1471</v>
      </c>
      <c r="C5138" s="4" t="str">
        <f>HYPERLINK("http://www.uniprot.org/uniprot/M5WBD4","M5WBD4")</f>
        <v>M5WBD4</v>
      </c>
      <c r="D5138" s="2" t="s">
        <v>4734</v>
      </c>
      <c r="E5138" s="3">
        <v>2.4499999999999998E-151</v>
      </c>
      <c r="F5138" s="2">
        <v>1170</v>
      </c>
      <c r="G5138" s="2">
        <v>100</v>
      </c>
      <c r="H5138" s="2">
        <v>274</v>
      </c>
      <c r="I5138" s="2">
        <v>500</v>
      </c>
      <c r="J5138" s="2">
        <v>1321</v>
      </c>
      <c r="K5138" s="2">
        <v>247</v>
      </c>
      <c r="L5138" s="2">
        <v>520</v>
      </c>
    </row>
    <row r="5139" spans="1:12" x14ac:dyDescent="0.25">
      <c r="A5139" s="4" t="str">
        <f>HYPERLINK("http://www.rosaceae.org/Prunus/Prunus_persica/p.persica_gdr_reftransV1_0013821","p.persica_gdr_reftransV1_0013821")</f>
        <v>p.persica_gdr_reftransV1_0013821</v>
      </c>
      <c r="B5139" s="2">
        <v>3406</v>
      </c>
      <c r="C5139" s="4" t="str">
        <f>HYPERLINK("http://www.uniprot.org/uniprot/M5X1S3","M5X1S3")</f>
        <v>M5X1S3</v>
      </c>
      <c r="D5139" s="2" t="s">
        <v>4735</v>
      </c>
      <c r="E5139" s="3">
        <v>1.3099999999999999E-116</v>
      </c>
      <c r="F5139" s="2">
        <v>958</v>
      </c>
      <c r="G5139" s="2">
        <v>97</v>
      </c>
      <c r="H5139" s="2">
        <v>199</v>
      </c>
      <c r="I5139" s="2">
        <v>2670</v>
      </c>
      <c r="J5139" s="2">
        <v>3266</v>
      </c>
      <c r="K5139" s="2">
        <v>1</v>
      </c>
      <c r="L5139" s="2">
        <v>199</v>
      </c>
    </row>
    <row r="5140" spans="1:12" x14ac:dyDescent="0.25">
      <c r="A5140" s="4" t="str">
        <f>HYPERLINK("http://www.rosaceae.org/Prunus/Prunus_persica/p.persica_gdr_reftransV1_0014171","p.persica_gdr_reftransV1_0014171")</f>
        <v>p.persica_gdr_reftransV1_0014171</v>
      </c>
      <c r="B5140" s="2">
        <v>1746</v>
      </c>
      <c r="C5140" s="4" t="str">
        <f>HYPERLINK("http://www.uniprot.org/uniprot/M5VN16","M5VN16")</f>
        <v>M5VN16</v>
      </c>
      <c r="D5140" s="2" t="s">
        <v>4736</v>
      </c>
      <c r="E5140" s="3">
        <v>0</v>
      </c>
      <c r="F5140" s="2">
        <v>1934</v>
      </c>
      <c r="G5140" s="2">
        <v>99</v>
      </c>
      <c r="H5140" s="2">
        <v>377</v>
      </c>
      <c r="I5140" s="2">
        <v>303</v>
      </c>
      <c r="J5140" s="2">
        <v>1433</v>
      </c>
      <c r="K5140" s="2">
        <v>16</v>
      </c>
      <c r="L5140" s="2">
        <v>392</v>
      </c>
    </row>
    <row r="5141" spans="1:12" x14ac:dyDescent="0.25">
      <c r="A5141" s="4" t="str">
        <f>HYPERLINK("http://www.rosaceae.org/Prunus/Prunus_persica/p.persica_gdr_reftransV1_0014521","p.persica_gdr_reftransV1_0014521")</f>
        <v>p.persica_gdr_reftransV1_0014521</v>
      </c>
      <c r="B5141" s="2">
        <v>4766</v>
      </c>
      <c r="C5141" s="4" t="str">
        <f>HYPERLINK("http://www.uniprot.org/uniprot/M5WFN7","M5WFN7")</f>
        <v>M5WFN7</v>
      </c>
      <c r="D5141" s="2" t="s">
        <v>2888</v>
      </c>
      <c r="E5141" s="3">
        <v>0</v>
      </c>
      <c r="F5141" s="2">
        <v>2056</v>
      </c>
      <c r="G5141" s="2">
        <v>100</v>
      </c>
      <c r="H5141" s="2">
        <v>382</v>
      </c>
      <c r="I5141" s="2">
        <v>2765</v>
      </c>
      <c r="J5141" s="2">
        <v>3910</v>
      </c>
      <c r="K5141" s="2">
        <v>1</v>
      </c>
      <c r="L5141" s="2">
        <v>382</v>
      </c>
    </row>
    <row r="5142" spans="1:12" x14ac:dyDescent="0.25">
      <c r="A5142" s="4" t="str">
        <f>HYPERLINK("http://www.rosaceae.org/Prunus/Prunus_persica/p.persica_gdr_reftransV1_0015571","p.persica_gdr_reftransV1_0015571")</f>
        <v>p.persica_gdr_reftransV1_0015571</v>
      </c>
      <c r="B5142" s="2">
        <v>2772</v>
      </c>
      <c r="C5142" s="4" t="str">
        <f>HYPERLINK("http://www.uniprot.org/uniprot/M5XAP4","M5XAP4")</f>
        <v>M5XAP4</v>
      </c>
      <c r="D5142" s="2" t="s">
        <v>4737</v>
      </c>
      <c r="E5142" s="3">
        <v>0</v>
      </c>
      <c r="F5142" s="2">
        <v>3172</v>
      </c>
      <c r="G5142" s="2">
        <v>94</v>
      </c>
      <c r="H5142" s="2">
        <v>680</v>
      </c>
      <c r="I5142" s="2">
        <v>358</v>
      </c>
      <c r="J5142" s="2">
        <v>2397</v>
      </c>
      <c r="K5142" s="2">
        <v>1</v>
      </c>
      <c r="L5142" s="2">
        <v>636</v>
      </c>
    </row>
    <row r="5143" spans="1:12" x14ac:dyDescent="0.25">
      <c r="A5143" s="4" t="str">
        <f>HYPERLINK("http://www.rosaceae.org/Prunus/Prunus_persica/p.persica_gdr_reftransV1_0017321","p.persica_gdr_reftransV1_0017321")</f>
        <v>p.persica_gdr_reftransV1_0017321</v>
      </c>
      <c r="B5143" s="2">
        <v>922</v>
      </c>
      <c r="C5143" s="4" t="str">
        <f>HYPERLINK("http://www.uniprot.org/uniprot/M5W0Y8","M5W0Y8")</f>
        <v>M5W0Y8</v>
      </c>
      <c r="D5143" s="2" t="s">
        <v>4738</v>
      </c>
      <c r="E5143" s="3">
        <v>4.8699999999999997E-169</v>
      </c>
      <c r="F5143" s="2">
        <v>1237</v>
      </c>
      <c r="G5143" s="2">
        <v>99</v>
      </c>
      <c r="H5143" s="2">
        <v>235</v>
      </c>
      <c r="I5143" s="2">
        <v>27</v>
      </c>
      <c r="J5143" s="2">
        <v>731</v>
      </c>
      <c r="K5143" s="2">
        <v>1</v>
      </c>
      <c r="L5143" s="2">
        <v>235</v>
      </c>
    </row>
    <row r="5144" spans="1:12" x14ac:dyDescent="0.25">
      <c r="A5144" s="4" t="str">
        <f>HYPERLINK("http://www.rosaceae.org/Prunus/Prunus_persica/p.persica_gdr_reftransV1_0018371","p.persica_gdr_reftransV1_0018371")</f>
        <v>p.persica_gdr_reftransV1_0018371</v>
      </c>
      <c r="B5144" s="2">
        <v>1644</v>
      </c>
      <c r="C5144" s="4" t="str">
        <f>HYPERLINK("http://www.uniprot.org/uniprot/M5VJ04","M5VJ04")</f>
        <v>M5VJ04</v>
      </c>
      <c r="D5144" s="2" t="s">
        <v>4739</v>
      </c>
      <c r="E5144" s="3">
        <v>0</v>
      </c>
      <c r="F5144" s="2">
        <v>2375</v>
      </c>
      <c r="G5144" s="2">
        <v>100</v>
      </c>
      <c r="H5144" s="2">
        <v>445</v>
      </c>
      <c r="I5144" s="2">
        <v>250</v>
      </c>
      <c r="J5144" s="2">
        <v>1584</v>
      </c>
      <c r="K5144" s="2">
        <v>1</v>
      </c>
      <c r="L5144" s="2">
        <v>445</v>
      </c>
    </row>
    <row r="5145" spans="1:12" x14ac:dyDescent="0.25">
      <c r="A5145" s="4" t="str">
        <f>HYPERLINK("http://www.rosaceae.org/Prunus/Prunus_persica/p.persica_gdr_reftransV1_0019421","p.persica_gdr_reftransV1_0019421")</f>
        <v>p.persica_gdr_reftransV1_0019421</v>
      </c>
      <c r="B5145" s="2">
        <v>1801</v>
      </c>
      <c r="C5145" s="4" t="str">
        <f>HYPERLINK("http://www.uniprot.org/uniprot/A0A059AHF2","A0A059AHF2")</f>
        <v>A0A059AHF2</v>
      </c>
      <c r="D5145" s="2" t="s">
        <v>4740</v>
      </c>
      <c r="E5145" s="3">
        <v>1.88E-76</v>
      </c>
      <c r="F5145" s="2">
        <v>639</v>
      </c>
      <c r="G5145" s="2">
        <v>96</v>
      </c>
      <c r="H5145" s="2">
        <v>127</v>
      </c>
      <c r="I5145" s="2">
        <v>797</v>
      </c>
      <c r="J5145" s="2">
        <v>1177</v>
      </c>
      <c r="K5145" s="2">
        <v>1</v>
      </c>
      <c r="L5145" s="2">
        <v>127</v>
      </c>
    </row>
    <row r="5146" spans="1:12" x14ac:dyDescent="0.25">
      <c r="A5146" s="4" t="str">
        <f>HYPERLINK("http://www.rosaceae.org/Prunus/Prunus_persica/p.persica_gdr_reftransV1_0019771","p.persica_gdr_reftransV1_0019771")</f>
        <v>p.persica_gdr_reftransV1_0019771</v>
      </c>
      <c r="B5146" s="2">
        <v>1956</v>
      </c>
      <c r="C5146" s="4" t="str">
        <f>HYPERLINK("http://www.uniprot.org/uniprot/M5VU02","M5VU02")</f>
        <v>M5VU02</v>
      </c>
      <c r="D5146" s="2" t="s">
        <v>4741</v>
      </c>
      <c r="E5146" s="3">
        <v>0</v>
      </c>
      <c r="F5146" s="2">
        <v>2629</v>
      </c>
      <c r="G5146" s="2">
        <v>100</v>
      </c>
      <c r="H5146" s="2">
        <v>522</v>
      </c>
      <c r="I5146" s="2">
        <v>228</v>
      </c>
      <c r="J5146" s="2">
        <v>1793</v>
      </c>
      <c r="K5146" s="2">
        <v>1</v>
      </c>
      <c r="L5146" s="2">
        <v>522</v>
      </c>
    </row>
    <row r="5147" spans="1:12" x14ac:dyDescent="0.25">
      <c r="A5147" s="4" t="str">
        <f>HYPERLINK("http://www.rosaceae.org/Prunus/Prunus_persica/p.persica_gdr_reftransV1_0020121","p.persica_gdr_reftransV1_0020121")</f>
        <v>p.persica_gdr_reftransV1_0020121</v>
      </c>
      <c r="B5147" s="2">
        <v>1603</v>
      </c>
      <c r="C5147" s="4" t="str">
        <f>HYPERLINK("http://www.uniprot.org/uniprot/A1XP41","A1XP41")</f>
        <v>A1XP41</v>
      </c>
      <c r="D5147" s="2" t="s">
        <v>4742</v>
      </c>
      <c r="E5147" s="3">
        <v>0</v>
      </c>
      <c r="F5147" s="2">
        <v>2167</v>
      </c>
      <c r="G5147" s="2">
        <v>89</v>
      </c>
      <c r="H5147" s="2">
        <v>477</v>
      </c>
      <c r="I5147" s="2">
        <v>171</v>
      </c>
      <c r="J5147" s="2">
        <v>1601</v>
      </c>
      <c r="K5147" s="2">
        <v>16</v>
      </c>
      <c r="L5147" s="2">
        <v>489</v>
      </c>
    </row>
    <row r="5148" spans="1:12" x14ac:dyDescent="0.25">
      <c r="A5148" s="4" t="str">
        <f>HYPERLINK("http://www.rosaceae.org/Prunus/Prunus_persica/p.persica_gdr_reftransV1_0020471","p.persica_gdr_reftransV1_0020471")</f>
        <v>p.persica_gdr_reftransV1_0020471</v>
      </c>
      <c r="B5148" s="2">
        <v>2098</v>
      </c>
      <c r="C5148" s="4" t="str">
        <f>HYPERLINK("http://www.uniprot.org/uniprot/A0A067KRR0","A0A067KRR0")</f>
        <v>A0A067KRR0</v>
      </c>
      <c r="D5148" s="2" t="s">
        <v>4743</v>
      </c>
      <c r="E5148" s="3">
        <v>0</v>
      </c>
      <c r="F5148" s="2">
        <v>1400</v>
      </c>
      <c r="G5148" s="2">
        <v>66</v>
      </c>
      <c r="H5148" s="2">
        <v>442</v>
      </c>
      <c r="I5148" s="2">
        <v>462</v>
      </c>
      <c r="J5148" s="2">
        <v>1787</v>
      </c>
      <c r="K5148" s="2">
        <v>20</v>
      </c>
      <c r="L5148" s="2">
        <v>436</v>
      </c>
    </row>
    <row r="5149" spans="1:12" x14ac:dyDescent="0.25">
      <c r="A5149" s="4" t="str">
        <f>HYPERLINK("http://www.rosaceae.org/Prunus/Prunus_persica/p.persica_gdr_reftransV1_0021871","p.persica_gdr_reftransV1_0021871")</f>
        <v>p.persica_gdr_reftransV1_0021871</v>
      </c>
      <c r="B5149" s="2">
        <v>2829</v>
      </c>
      <c r="C5149" s="4" t="str">
        <f>HYPERLINK("http://www.uniprot.org/uniprot/M5W9E6","M5W9E6")</f>
        <v>M5W9E6</v>
      </c>
      <c r="D5149" s="2" t="s">
        <v>4744</v>
      </c>
      <c r="E5149" s="3">
        <v>0</v>
      </c>
      <c r="F5149" s="2">
        <v>1522</v>
      </c>
      <c r="G5149" s="2">
        <v>96</v>
      </c>
      <c r="H5149" s="2">
        <v>341</v>
      </c>
      <c r="I5149" s="2">
        <v>426</v>
      </c>
      <c r="J5149" s="2">
        <v>1448</v>
      </c>
      <c r="K5149" s="2">
        <v>1</v>
      </c>
      <c r="L5149" s="2">
        <v>329</v>
      </c>
    </row>
    <row r="5150" spans="1:12" x14ac:dyDescent="0.25">
      <c r="A5150" s="4" t="str">
        <f>HYPERLINK("http://www.rosaceae.org/Prunus/Prunus_persica/p.persica_gdr_reftransV1_0028521","p.persica_gdr_reftransV1_0028521")</f>
        <v>p.persica_gdr_reftransV1_0028521</v>
      </c>
      <c r="B5150" s="2">
        <v>2293</v>
      </c>
      <c r="C5150" s="4" t="str">
        <f>HYPERLINK("http://www.uniprot.org/uniprot/M5XAA5","M5XAA5")</f>
        <v>M5XAA5</v>
      </c>
      <c r="D5150" s="2" t="s">
        <v>1879</v>
      </c>
      <c r="E5150" s="3">
        <v>0</v>
      </c>
      <c r="F5150" s="2">
        <v>1766</v>
      </c>
      <c r="G5150" s="2">
        <v>100</v>
      </c>
      <c r="H5150" s="2">
        <v>385</v>
      </c>
      <c r="I5150" s="2">
        <v>308</v>
      </c>
      <c r="J5150" s="2">
        <v>1462</v>
      </c>
      <c r="K5150" s="2">
        <v>1</v>
      </c>
      <c r="L5150" s="2">
        <v>385</v>
      </c>
    </row>
    <row r="5151" spans="1:12" x14ac:dyDescent="0.25">
      <c r="A5151" s="4" t="str">
        <f>HYPERLINK("http://www.rosaceae.org/Prunus/Prunus_persica/p.persica_gdr_reftransV1_0032371","p.persica_gdr_reftransV1_0032371")</f>
        <v>p.persica_gdr_reftransV1_0032371</v>
      </c>
      <c r="B5151" s="2">
        <v>2680</v>
      </c>
      <c r="C5151" s="4" t="str">
        <f>HYPERLINK("http://www.uniprot.org/uniprot/M5WBB0","M5WBB0")</f>
        <v>M5WBB0</v>
      </c>
      <c r="D5151" s="2" t="s">
        <v>4745</v>
      </c>
      <c r="E5151" s="3">
        <v>1.5200000000000001E-170</v>
      </c>
      <c r="F5151" s="2">
        <v>1318</v>
      </c>
      <c r="G5151" s="2">
        <v>100</v>
      </c>
      <c r="H5151" s="2">
        <v>252</v>
      </c>
      <c r="I5151" s="2">
        <v>1803</v>
      </c>
      <c r="J5151" s="2">
        <v>2558</v>
      </c>
      <c r="K5151" s="2">
        <v>1</v>
      </c>
      <c r="L5151" s="2">
        <v>252</v>
      </c>
    </row>
    <row r="5152" spans="1:12" x14ac:dyDescent="0.25">
      <c r="A5152" s="4" t="str">
        <f>HYPERLINK("http://www.rosaceae.org/Prunus/Prunus_persica/p.persica_gdr_reftransV1_0033421","p.persica_gdr_reftransV1_0033421")</f>
        <v>p.persica_gdr_reftransV1_0033421</v>
      </c>
      <c r="B5152" s="2">
        <v>752</v>
      </c>
      <c r="C5152" s="4" t="str">
        <f>HYPERLINK("http://www.uniprot.org/uniprot/M5WT67","M5WT67")</f>
        <v>M5WT67</v>
      </c>
      <c r="D5152" s="2" t="s">
        <v>4004</v>
      </c>
      <c r="E5152" s="3">
        <v>1.16E-71</v>
      </c>
      <c r="F5152" s="2">
        <v>610</v>
      </c>
      <c r="G5152" s="2">
        <v>100</v>
      </c>
      <c r="H5152" s="2">
        <v>120</v>
      </c>
      <c r="I5152" s="2">
        <v>1</v>
      </c>
      <c r="J5152" s="2">
        <v>360</v>
      </c>
      <c r="K5152" s="2">
        <v>1</v>
      </c>
      <c r="L5152" s="2">
        <v>120</v>
      </c>
    </row>
    <row r="5153" spans="1:12" x14ac:dyDescent="0.25">
      <c r="A5153" s="4" t="str">
        <f>HYPERLINK("http://www.rosaceae.org/Prunus/Prunus_persica/p.persica_gdr_reftransV1_0034471","p.persica_gdr_reftransV1_0034471")</f>
        <v>p.persica_gdr_reftransV1_0034471</v>
      </c>
      <c r="B5153" s="2">
        <v>2145</v>
      </c>
      <c r="C5153" s="4" t="str">
        <f>HYPERLINK("http://www.uniprot.org/uniprot/M5WR38","M5WR38")</f>
        <v>M5WR38</v>
      </c>
      <c r="D5153" s="2" t="s">
        <v>4746</v>
      </c>
      <c r="E5153" s="3">
        <v>0</v>
      </c>
      <c r="F5153" s="2">
        <v>3075</v>
      </c>
      <c r="G5153" s="2">
        <v>100</v>
      </c>
      <c r="H5153" s="2">
        <v>620</v>
      </c>
      <c r="I5153" s="2">
        <v>231</v>
      </c>
      <c r="J5153" s="2">
        <v>2090</v>
      </c>
      <c r="K5153" s="2">
        <v>1</v>
      </c>
      <c r="L5153" s="2">
        <v>620</v>
      </c>
    </row>
    <row r="5154" spans="1:12" x14ac:dyDescent="0.25">
      <c r="A5154" s="4" t="str">
        <f>HYPERLINK("http://www.rosaceae.org/Prunus/Prunus_persica/p.persica_gdr_reftransV1_0035871","p.persica_gdr_reftransV1_0035871")</f>
        <v>p.persica_gdr_reftransV1_0035871</v>
      </c>
      <c r="B5154" s="2">
        <v>2721</v>
      </c>
      <c r="C5154" s="4" t="str">
        <f>HYPERLINK("http://www.uniprot.org/uniprot/M5XFI2","M5XFI2")</f>
        <v>M5XFI2</v>
      </c>
      <c r="D5154" s="2" t="s">
        <v>4747</v>
      </c>
      <c r="E5154" s="3">
        <v>0</v>
      </c>
      <c r="F5154" s="2">
        <v>1690</v>
      </c>
      <c r="G5154" s="2">
        <v>93</v>
      </c>
      <c r="H5154" s="2">
        <v>418</v>
      </c>
      <c r="I5154" s="2">
        <v>1105</v>
      </c>
      <c r="J5154" s="2">
        <v>2358</v>
      </c>
      <c r="K5154" s="2">
        <v>1</v>
      </c>
      <c r="L5154" s="2">
        <v>392</v>
      </c>
    </row>
    <row r="5155" spans="1:12" x14ac:dyDescent="0.25">
      <c r="A5155" s="4" t="str">
        <f>HYPERLINK("http://www.rosaceae.org/Prunus/Prunus_persica/p.persica_gdr_reftransV1_0036571","p.persica_gdr_reftransV1_0036571")</f>
        <v>p.persica_gdr_reftransV1_0036571</v>
      </c>
      <c r="B5155" s="2">
        <v>1455</v>
      </c>
      <c r="C5155" s="4" t="str">
        <f>HYPERLINK("http://www.uniprot.org/uniprot/M5WMI9","M5WMI9")</f>
        <v>M5WMI9</v>
      </c>
      <c r="D5155" s="2" t="s">
        <v>4748</v>
      </c>
      <c r="E5155" s="3">
        <v>5.7499999999999997E-84</v>
      </c>
      <c r="F5155" s="2">
        <v>702</v>
      </c>
      <c r="G5155" s="2">
        <v>100</v>
      </c>
      <c r="H5155" s="2">
        <v>284</v>
      </c>
      <c r="I5155" s="2">
        <v>366</v>
      </c>
      <c r="J5155" s="2">
        <v>1217</v>
      </c>
      <c r="K5155" s="2">
        <v>1</v>
      </c>
      <c r="L5155" s="2">
        <v>284</v>
      </c>
    </row>
    <row r="5156" spans="1:12" x14ac:dyDescent="0.25">
      <c r="A5156" s="4" t="str">
        <f>HYPERLINK("http://www.rosaceae.org/Prunus/Prunus_persica/p.persica_gdr_reftransV1_0038321","p.persica_gdr_reftransV1_0038321")</f>
        <v>p.persica_gdr_reftransV1_0038321</v>
      </c>
      <c r="B5156" s="2">
        <v>1672</v>
      </c>
      <c r="C5156" s="4" t="str">
        <f>HYPERLINK("http://www.uniprot.org/uniprot/M5VZE6","M5VZE6")</f>
        <v>M5VZE6</v>
      </c>
      <c r="D5156" s="2" t="s">
        <v>4749</v>
      </c>
      <c r="E5156" s="3">
        <v>5.9500000000000003E-153</v>
      </c>
      <c r="F5156" s="2">
        <v>1163</v>
      </c>
      <c r="G5156" s="2">
        <v>100</v>
      </c>
      <c r="H5156" s="2">
        <v>301</v>
      </c>
      <c r="I5156" s="2">
        <v>394</v>
      </c>
      <c r="J5156" s="2">
        <v>1296</v>
      </c>
      <c r="K5156" s="2">
        <v>1</v>
      </c>
      <c r="L5156" s="2">
        <v>301</v>
      </c>
    </row>
    <row r="5157" spans="1:12" x14ac:dyDescent="0.25">
      <c r="A5157" s="4" t="str">
        <f>HYPERLINK("http://www.rosaceae.org/Prunus/Prunus_persica/p.persica_gdr_reftransV1_0038671","p.persica_gdr_reftransV1_0038671")</f>
        <v>p.persica_gdr_reftransV1_0038671</v>
      </c>
      <c r="B5157" s="2">
        <v>2330</v>
      </c>
      <c r="C5157" s="4" t="str">
        <f>HYPERLINK("http://www.uniprot.org/uniprot/M5VTE4","M5VTE4")</f>
        <v>M5VTE4</v>
      </c>
      <c r="D5157" s="2" t="s">
        <v>4750</v>
      </c>
      <c r="E5157" s="3">
        <v>1.51E-62</v>
      </c>
      <c r="F5157" s="2">
        <v>561</v>
      </c>
      <c r="G5157" s="2">
        <v>95</v>
      </c>
      <c r="H5157" s="2">
        <v>111</v>
      </c>
      <c r="I5157" s="2">
        <v>142</v>
      </c>
      <c r="J5157" s="2">
        <v>474</v>
      </c>
      <c r="K5157" s="2">
        <v>1</v>
      </c>
      <c r="L5157" s="2">
        <v>111</v>
      </c>
    </row>
    <row r="5158" spans="1:12" x14ac:dyDescent="0.25">
      <c r="A5158" s="4" t="str">
        <f>HYPERLINK("http://www.rosaceae.org/Prunus/Prunus_persica/p.persica_gdr_reftransV1_0043221","p.persica_gdr_reftransV1_0043221")</f>
        <v>p.persica_gdr_reftransV1_0043221</v>
      </c>
      <c r="B5158" s="2">
        <v>905</v>
      </c>
      <c r="C5158" s="4" t="str">
        <f>HYPERLINK("http://www.uniprot.org/uniprot/M5XM17","M5XM17")</f>
        <v>M5XM17</v>
      </c>
      <c r="D5158" s="2" t="s">
        <v>4751</v>
      </c>
      <c r="E5158" s="3">
        <v>8.5000000000000001E-178</v>
      </c>
      <c r="F5158" s="2">
        <v>1374</v>
      </c>
      <c r="G5158" s="2">
        <v>86</v>
      </c>
      <c r="H5158" s="2">
        <v>300</v>
      </c>
      <c r="I5158" s="2">
        <v>5</v>
      </c>
      <c r="J5158" s="2">
        <v>904</v>
      </c>
      <c r="K5158" s="2">
        <v>114</v>
      </c>
      <c r="L5158" s="2">
        <v>413</v>
      </c>
    </row>
    <row r="5159" spans="1:12" x14ac:dyDescent="0.25">
      <c r="A5159" s="4" t="str">
        <f>HYPERLINK("http://www.rosaceae.org/Prunus/Prunus_persica/p.persica_gdr_reftransV1_0043571","p.persica_gdr_reftransV1_0043571")</f>
        <v>p.persica_gdr_reftransV1_0043571</v>
      </c>
      <c r="B5159" s="2">
        <v>379</v>
      </c>
      <c r="C5159" s="4" t="str">
        <f>HYPERLINK("http://www.uniprot.org/uniprot/M5VX36","M5VX36")</f>
        <v>M5VX36</v>
      </c>
      <c r="D5159" s="2" t="s">
        <v>250</v>
      </c>
      <c r="E5159" s="3">
        <v>8.8999999999999994E-71</v>
      </c>
      <c r="F5159" s="2">
        <v>596</v>
      </c>
      <c r="G5159" s="2">
        <v>94</v>
      </c>
      <c r="H5159" s="2">
        <v>126</v>
      </c>
      <c r="I5159" s="2">
        <v>5</v>
      </c>
      <c r="J5159" s="2">
        <v>379</v>
      </c>
      <c r="K5159" s="2">
        <v>105</v>
      </c>
      <c r="L5159" s="2">
        <v>229</v>
      </c>
    </row>
    <row r="5160" spans="1:12" x14ac:dyDescent="0.25">
      <c r="A5160" s="4" t="str">
        <f>HYPERLINK("http://www.rosaceae.org/Prunus/Prunus_persica/p.persica_gdr_reftransV1_0043921","p.persica_gdr_reftransV1_0043921")</f>
        <v>p.persica_gdr_reftransV1_0043921</v>
      </c>
      <c r="B5160" s="2">
        <v>1473</v>
      </c>
      <c r="C5160" s="4" t="str">
        <f>HYPERLINK("http://www.uniprot.org/uniprot/M5XBH6","M5XBH6")</f>
        <v>M5XBH6</v>
      </c>
      <c r="D5160" s="2" t="s">
        <v>4752</v>
      </c>
      <c r="E5160" s="3">
        <v>0</v>
      </c>
      <c r="F5160" s="2">
        <v>2075</v>
      </c>
      <c r="G5160" s="2">
        <v>100</v>
      </c>
      <c r="H5160" s="2">
        <v>432</v>
      </c>
      <c r="I5160" s="2">
        <v>177</v>
      </c>
      <c r="J5160" s="2">
        <v>1472</v>
      </c>
      <c r="K5160" s="2">
        <v>15</v>
      </c>
      <c r="L5160" s="2">
        <v>446</v>
      </c>
    </row>
    <row r="5161" spans="1:12" x14ac:dyDescent="0.25">
      <c r="A5161" s="4" t="str">
        <f>HYPERLINK("http://www.rosaceae.org/Prunus/Prunus_persica/p.persica_gdr_reftransV1_0044271","p.persica_gdr_reftransV1_0044271")</f>
        <v>p.persica_gdr_reftransV1_0044271</v>
      </c>
      <c r="B5161" s="2">
        <v>1182</v>
      </c>
      <c r="C5161" s="4" t="str">
        <f>HYPERLINK("http://www.uniprot.org/uniprot/M5W7I7","M5W7I7")</f>
        <v>M5W7I7</v>
      </c>
      <c r="D5161" s="2" t="s">
        <v>4753</v>
      </c>
      <c r="E5161" s="3">
        <v>0</v>
      </c>
      <c r="F5161" s="2">
        <v>1725</v>
      </c>
      <c r="G5161" s="2">
        <v>95</v>
      </c>
      <c r="H5161" s="2">
        <v>346</v>
      </c>
      <c r="I5161" s="2">
        <v>144</v>
      </c>
      <c r="J5161" s="2">
        <v>1181</v>
      </c>
      <c r="K5161" s="2">
        <v>68</v>
      </c>
      <c r="L5161" s="2">
        <v>398</v>
      </c>
    </row>
    <row r="5162" spans="1:12" x14ac:dyDescent="0.25">
      <c r="A5162" s="4" t="str">
        <f>HYPERLINK("http://www.rosaceae.org/Prunus/Prunus_persica/p.persica_gdr_reftransV1_0044621","p.persica_gdr_reftransV1_0044621")</f>
        <v>p.persica_gdr_reftransV1_0044621</v>
      </c>
      <c r="B5162" s="2">
        <v>1732</v>
      </c>
      <c r="C5162" s="4" t="str">
        <f>HYPERLINK("http://www.uniprot.org/uniprot/M5WLC9","M5WLC9")</f>
        <v>M5WLC9</v>
      </c>
      <c r="D5162" s="2" t="s">
        <v>429</v>
      </c>
      <c r="E5162" s="3">
        <v>0</v>
      </c>
      <c r="F5162" s="2">
        <v>2369</v>
      </c>
      <c r="G5162" s="2">
        <v>100</v>
      </c>
      <c r="H5162" s="2">
        <v>519</v>
      </c>
      <c r="I5162" s="2">
        <v>25</v>
      </c>
      <c r="J5162" s="2">
        <v>1581</v>
      </c>
      <c r="K5162" s="2">
        <v>286</v>
      </c>
      <c r="L5162" s="2">
        <v>804</v>
      </c>
    </row>
    <row r="5163" spans="1:12" x14ac:dyDescent="0.25">
      <c r="A5163" s="4" t="str">
        <f>HYPERLINK("http://www.rosaceae.org/Prunus/Prunus_persica/p.persica_gdr_reftransV1_0044971","p.persica_gdr_reftransV1_0044971")</f>
        <v>p.persica_gdr_reftransV1_0044971</v>
      </c>
      <c r="B5163" s="2">
        <v>457</v>
      </c>
      <c r="C5163" s="4" t="str">
        <f>HYPERLINK("http://www.uniprot.org/uniprot/M5W064","M5W064")</f>
        <v>M5W064</v>
      </c>
      <c r="D5163" s="2" t="s">
        <v>4501</v>
      </c>
      <c r="E5163" s="3">
        <v>1.4200000000000001E-102</v>
      </c>
      <c r="F5163" s="2">
        <v>806</v>
      </c>
      <c r="G5163" s="2">
        <v>100</v>
      </c>
      <c r="H5163" s="2">
        <v>152</v>
      </c>
      <c r="I5163" s="2">
        <v>1</v>
      </c>
      <c r="J5163" s="2">
        <v>456</v>
      </c>
      <c r="K5163" s="2">
        <v>31</v>
      </c>
      <c r="L5163" s="2">
        <v>182</v>
      </c>
    </row>
    <row r="5164" spans="1:12" x14ac:dyDescent="0.25">
      <c r="A5164" s="4" t="str">
        <f>HYPERLINK("http://www.rosaceae.org/Prunus/Prunus_persica/p.persica_gdr_reftransV1_0046021","p.persica_gdr_reftransV1_0046021")</f>
        <v>p.persica_gdr_reftransV1_0046021</v>
      </c>
      <c r="B5164" s="2">
        <v>1714</v>
      </c>
      <c r="C5164" s="4" t="str">
        <f>HYPERLINK("http://www.uniprot.org/uniprot/M5X1H2","M5X1H2")</f>
        <v>M5X1H2</v>
      </c>
      <c r="D5164" s="2" t="s">
        <v>4754</v>
      </c>
      <c r="E5164" s="3">
        <v>1.48E-173</v>
      </c>
      <c r="F5164" s="2">
        <v>1302</v>
      </c>
      <c r="G5164" s="2">
        <v>99</v>
      </c>
      <c r="H5164" s="2">
        <v>306</v>
      </c>
      <c r="I5164" s="2">
        <v>264</v>
      </c>
      <c r="J5164" s="2">
        <v>1181</v>
      </c>
      <c r="K5164" s="2">
        <v>1</v>
      </c>
      <c r="L5164" s="2">
        <v>306</v>
      </c>
    </row>
    <row r="5165" spans="1:12" x14ac:dyDescent="0.25">
      <c r="A5165" s="4" t="str">
        <f>HYPERLINK("http://www.rosaceae.org/Prunus/Prunus_persica/p.persica_gdr_reftransV1_0046721","p.persica_gdr_reftransV1_0046721")</f>
        <v>p.persica_gdr_reftransV1_0046721</v>
      </c>
      <c r="B5165" s="2">
        <v>2515</v>
      </c>
      <c r="C5165" s="4" t="str">
        <f>HYPERLINK("http://www.uniprot.org/uniprot/M5XP06","M5XP06")</f>
        <v>M5XP06</v>
      </c>
      <c r="D5165" s="2" t="s">
        <v>4755</v>
      </c>
      <c r="E5165" s="3">
        <v>0</v>
      </c>
      <c r="F5165" s="2">
        <v>3230</v>
      </c>
      <c r="G5165" s="2">
        <v>100</v>
      </c>
      <c r="H5165" s="2">
        <v>605</v>
      </c>
      <c r="I5165" s="2">
        <v>462</v>
      </c>
      <c r="J5165" s="2">
        <v>2276</v>
      </c>
      <c r="K5165" s="2">
        <v>1</v>
      </c>
      <c r="L5165" s="2">
        <v>605</v>
      </c>
    </row>
    <row r="5166" spans="1:12" x14ac:dyDescent="0.25">
      <c r="A5166" s="4" t="str">
        <f>HYPERLINK("http://www.rosaceae.org/Prunus/Prunus_persica/p.persica_gdr_reftransV1_0047071","p.persica_gdr_reftransV1_0047071")</f>
        <v>p.persica_gdr_reftransV1_0047071</v>
      </c>
      <c r="B5166" s="2">
        <v>378</v>
      </c>
      <c r="C5166" s="4" t="str">
        <f>HYPERLINK("http://www.uniprot.org/uniprot/M5XJY4","M5XJY4")</f>
        <v>M5XJY4</v>
      </c>
      <c r="D5166" s="2" t="s">
        <v>4756</v>
      </c>
      <c r="E5166" s="3">
        <v>2.3600000000000002E-69</v>
      </c>
      <c r="F5166" s="2">
        <v>590</v>
      </c>
      <c r="G5166" s="2">
        <v>99</v>
      </c>
      <c r="H5166" s="2">
        <v>108</v>
      </c>
      <c r="I5166" s="2">
        <v>3</v>
      </c>
      <c r="J5166" s="2">
        <v>326</v>
      </c>
      <c r="K5166" s="2">
        <v>288</v>
      </c>
      <c r="L5166" s="2">
        <v>395</v>
      </c>
    </row>
    <row r="5167" spans="1:12" x14ac:dyDescent="0.25">
      <c r="A5167" s="4" t="str">
        <f>HYPERLINK("http://www.rosaceae.org/Prunus/Prunus_persica/p.persica_gdr_reftransV1_0047771","p.persica_gdr_reftransV1_0047771")</f>
        <v>p.persica_gdr_reftransV1_0047771</v>
      </c>
      <c r="B5167" s="2">
        <v>1315</v>
      </c>
      <c r="C5167" s="4" t="str">
        <f>HYPERLINK("http://www.uniprot.org/uniprot/M5XB98","M5XB98")</f>
        <v>M5XB98</v>
      </c>
      <c r="D5167" s="2" t="s">
        <v>3479</v>
      </c>
      <c r="E5167" s="3">
        <v>1.1300000000000001E-164</v>
      </c>
      <c r="F5167" s="2">
        <v>1227</v>
      </c>
      <c r="G5167" s="2">
        <v>91</v>
      </c>
      <c r="H5167" s="2">
        <v>294</v>
      </c>
      <c r="I5167" s="2">
        <v>369</v>
      </c>
      <c r="J5167" s="2">
        <v>1250</v>
      </c>
      <c r="K5167" s="2">
        <v>1</v>
      </c>
      <c r="L5167" s="2">
        <v>283</v>
      </c>
    </row>
    <row r="5168" spans="1:12" x14ac:dyDescent="0.25">
      <c r="A5168" s="4" t="str">
        <f>HYPERLINK("http://www.rosaceae.org/Prunus/Prunus_persica/p.persica_gdr_reftransV1_0048121","p.persica_gdr_reftransV1_0048121")</f>
        <v>p.persica_gdr_reftransV1_0048121</v>
      </c>
      <c r="B5168" s="2">
        <v>1536</v>
      </c>
      <c r="C5168" s="4" t="str">
        <f>HYPERLINK("http://www.uniprot.org/uniprot/M5VVS3","M5VVS3")</f>
        <v>M5VVS3</v>
      </c>
      <c r="D5168" s="2" t="s">
        <v>4757</v>
      </c>
      <c r="E5168" s="3">
        <v>0</v>
      </c>
      <c r="F5168" s="2">
        <v>2511</v>
      </c>
      <c r="G5168" s="2">
        <v>100</v>
      </c>
      <c r="H5168" s="2">
        <v>470</v>
      </c>
      <c r="I5168" s="2">
        <v>7</v>
      </c>
      <c r="J5168" s="2">
        <v>1416</v>
      </c>
      <c r="K5168" s="2">
        <v>1</v>
      </c>
      <c r="L5168" s="2">
        <v>470</v>
      </c>
    </row>
    <row r="5169" spans="1:12" x14ac:dyDescent="0.25">
      <c r="A5169" s="4" t="str">
        <f>HYPERLINK("http://www.rosaceae.org/Prunus/Prunus_persica/p.persica_gdr_reftransV1_0048471","p.persica_gdr_reftransV1_0048471")</f>
        <v>p.persica_gdr_reftransV1_0048471</v>
      </c>
      <c r="B5169" s="2">
        <v>821</v>
      </c>
      <c r="C5169" s="4" t="str">
        <f>HYPERLINK("http://www.uniprot.org/uniprot/M5XSX3","M5XSX3")</f>
        <v>M5XSX3</v>
      </c>
      <c r="D5169" s="2" t="s">
        <v>3377</v>
      </c>
      <c r="E5169" s="3">
        <v>8.4E-54</v>
      </c>
      <c r="F5169" s="2">
        <v>460</v>
      </c>
      <c r="G5169" s="2">
        <v>100</v>
      </c>
      <c r="H5169" s="2">
        <v>120</v>
      </c>
      <c r="I5169" s="2">
        <v>347</v>
      </c>
      <c r="J5169" s="2">
        <v>706</v>
      </c>
      <c r="K5169" s="2">
        <v>1</v>
      </c>
      <c r="L5169" s="2">
        <v>120</v>
      </c>
    </row>
    <row r="5170" spans="1:12" x14ac:dyDescent="0.25">
      <c r="A5170" s="4" t="str">
        <f>HYPERLINK("http://www.rosaceae.org/Prunus/Prunus_persica/p.persica_gdr_reftransV1_0049171","p.persica_gdr_reftransV1_0049171")</f>
        <v>p.persica_gdr_reftransV1_0049171</v>
      </c>
      <c r="B5170" s="2">
        <v>489</v>
      </c>
      <c r="C5170" s="4" t="str">
        <f>HYPERLINK("http://www.uniprot.org/uniprot/M5WH81","M5WH81")</f>
        <v>M5WH81</v>
      </c>
      <c r="D5170" s="2" t="s">
        <v>3270</v>
      </c>
      <c r="E5170" s="3">
        <v>7.6500000000000001E-109</v>
      </c>
      <c r="F5170" s="2">
        <v>861</v>
      </c>
      <c r="G5170" s="2">
        <v>100</v>
      </c>
      <c r="H5170" s="2">
        <v>162</v>
      </c>
      <c r="I5170" s="2">
        <v>3</v>
      </c>
      <c r="J5170" s="2">
        <v>488</v>
      </c>
      <c r="K5170" s="2">
        <v>175</v>
      </c>
      <c r="L5170" s="2">
        <v>336</v>
      </c>
    </row>
    <row r="5171" spans="1:12" x14ac:dyDescent="0.25">
      <c r="A5171" s="4" t="str">
        <f>HYPERLINK("http://www.rosaceae.org/Prunus/Prunus_persica/p.persica_gdr_reftransV1_0000172","p.persica_gdr_reftransV1_0000172")</f>
        <v>p.persica_gdr_reftransV1_0000172</v>
      </c>
      <c r="B5171" s="2">
        <v>1090</v>
      </c>
      <c r="C5171" s="4" t="str">
        <f>HYPERLINK("http://www.uniprot.org/uniprot/M5XXZ2","M5XXZ2")</f>
        <v>M5XXZ2</v>
      </c>
      <c r="D5171" s="2" t="s">
        <v>4758</v>
      </c>
      <c r="E5171" s="3">
        <v>6.3900000000000006E-163</v>
      </c>
      <c r="F5171" s="2">
        <v>1206</v>
      </c>
      <c r="G5171" s="2">
        <v>100</v>
      </c>
      <c r="H5171" s="2">
        <v>269</v>
      </c>
      <c r="I5171" s="2">
        <v>171</v>
      </c>
      <c r="J5171" s="2">
        <v>977</v>
      </c>
      <c r="K5171" s="2">
        <v>1</v>
      </c>
      <c r="L5171" s="2">
        <v>269</v>
      </c>
    </row>
    <row r="5172" spans="1:12" x14ac:dyDescent="0.25">
      <c r="A5172" s="4" t="str">
        <f>HYPERLINK("http://www.rosaceae.org/Prunus/Prunus_persica/p.persica_gdr_reftransV1_0000522","p.persica_gdr_reftransV1_0000522")</f>
        <v>p.persica_gdr_reftransV1_0000522</v>
      </c>
      <c r="B5172" s="2">
        <v>2293</v>
      </c>
      <c r="C5172" s="4" t="str">
        <f>HYPERLINK("http://www.uniprot.org/uniprot/M5WUA5","M5WUA5")</f>
        <v>M5WUA5</v>
      </c>
      <c r="D5172" s="2" t="s">
        <v>4759</v>
      </c>
      <c r="E5172" s="3">
        <v>0</v>
      </c>
      <c r="F5172" s="2">
        <v>1591</v>
      </c>
      <c r="G5172" s="2">
        <v>100</v>
      </c>
      <c r="H5172" s="2">
        <v>299</v>
      </c>
      <c r="I5172" s="2">
        <v>1169</v>
      </c>
      <c r="J5172" s="2">
        <v>2065</v>
      </c>
      <c r="K5172" s="2">
        <v>1</v>
      </c>
      <c r="L5172" s="2">
        <v>299</v>
      </c>
    </row>
    <row r="5173" spans="1:12" x14ac:dyDescent="0.25">
      <c r="A5173" s="4" t="str">
        <f>HYPERLINK("http://www.rosaceae.org/Prunus/Prunus_persica/p.persica_gdr_reftransV1_0000872","p.persica_gdr_reftransV1_0000872")</f>
        <v>p.persica_gdr_reftransV1_0000872</v>
      </c>
      <c r="B5173" s="2">
        <v>1397</v>
      </c>
      <c r="C5173" s="4" t="str">
        <f>HYPERLINK("http://www.uniprot.org/uniprot/W9RIS0","W9RIS0")</f>
        <v>W9RIS0</v>
      </c>
      <c r="D5173" s="2" t="s">
        <v>4760</v>
      </c>
      <c r="E5173" s="3">
        <v>1.25E-150</v>
      </c>
      <c r="F5173" s="2">
        <v>992</v>
      </c>
      <c r="G5173" s="2">
        <v>77</v>
      </c>
      <c r="H5173" s="2">
        <v>250</v>
      </c>
      <c r="I5173" s="2">
        <v>153</v>
      </c>
      <c r="J5173" s="2">
        <v>899</v>
      </c>
      <c r="K5173" s="2">
        <v>1</v>
      </c>
      <c r="L5173" s="2">
        <v>250</v>
      </c>
    </row>
    <row r="5174" spans="1:12" x14ac:dyDescent="0.25">
      <c r="A5174" s="4" t="str">
        <f>HYPERLINK("http://www.rosaceae.org/Prunus/Prunus_persica/p.persica_gdr_reftransV1_0001222","p.persica_gdr_reftransV1_0001222")</f>
        <v>p.persica_gdr_reftransV1_0001222</v>
      </c>
      <c r="B5174" s="2">
        <v>1679</v>
      </c>
      <c r="C5174" s="4" t="str">
        <f>HYPERLINK("http://www.uniprot.org/uniprot/M5XK83","M5XK83")</f>
        <v>M5XK83</v>
      </c>
      <c r="D5174" s="2" t="s">
        <v>4761</v>
      </c>
      <c r="E5174" s="3">
        <v>0</v>
      </c>
      <c r="F5174" s="2">
        <v>1681</v>
      </c>
      <c r="G5174" s="2">
        <v>100</v>
      </c>
      <c r="H5174" s="2">
        <v>348</v>
      </c>
      <c r="I5174" s="2">
        <v>285</v>
      </c>
      <c r="J5174" s="2">
        <v>1328</v>
      </c>
      <c r="K5174" s="2">
        <v>1</v>
      </c>
      <c r="L5174" s="2">
        <v>348</v>
      </c>
    </row>
    <row r="5175" spans="1:12" x14ac:dyDescent="0.25">
      <c r="A5175" s="4" t="str">
        <f>HYPERLINK("http://www.rosaceae.org/Prunus/Prunus_persica/p.persica_gdr_reftransV1_0001572","p.persica_gdr_reftransV1_0001572")</f>
        <v>p.persica_gdr_reftransV1_0001572</v>
      </c>
      <c r="B5175" s="2">
        <v>1317</v>
      </c>
      <c r="C5175" s="4" t="str">
        <f>HYPERLINK("http://www.uniprot.org/uniprot/M5VVX9","M5VVX9")</f>
        <v>M5VVX9</v>
      </c>
      <c r="D5175" s="2" t="s">
        <v>1001</v>
      </c>
      <c r="E5175" s="3">
        <v>0</v>
      </c>
      <c r="F5175" s="2">
        <v>2039</v>
      </c>
      <c r="G5175" s="2">
        <v>100</v>
      </c>
      <c r="H5175" s="2">
        <v>395</v>
      </c>
      <c r="I5175" s="2">
        <v>131</v>
      </c>
      <c r="J5175" s="2">
        <v>1315</v>
      </c>
      <c r="K5175" s="2">
        <v>293</v>
      </c>
      <c r="L5175" s="2">
        <v>687</v>
      </c>
    </row>
    <row r="5176" spans="1:12" x14ac:dyDescent="0.25">
      <c r="A5176" s="4" t="str">
        <f>HYPERLINK("http://www.rosaceae.org/Prunus/Prunus_persica/p.persica_gdr_reftransV1_0001922","p.persica_gdr_reftransV1_0001922")</f>
        <v>p.persica_gdr_reftransV1_0001922</v>
      </c>
      <c r="B5176" s="2">
        <v>995</v>
      </c>
      <c r="C5176" s="4" t="str">
        <f>HYPERLINK("http://www.uniprot.org/uniprot/M5X6A1","M5X6A1")</f>
        <v>M5X6A1</v>
      </c>
      <c r="D5176" s="2" t="s">
        <v>4762</v>
      </c>
      <c r="E5176" s="3">
        <v>9.1399999999999995E-149</v>
      </c>
      <c r="F5176" s="2">
        <v>1107</v>
      </c>
      <c r="G5176" s="2">
        <v>100</v>
      </c>
      <c r="H5176" s="2">
        <v>209</v>
      </c>
      <c r="I5176" s="2">
        <v>3</v>
      </c>
      <c r="J5176" s="2">
        <v>629</v>
      </c>
      <c r="K5176" s="2">
        <v>1</v>
      </c>
      <c r="L5176" s="2">
        <v>209</v>
      </c>
    </row>
    <row r="5177" spans="1:12" x14ac:dyDescent="0.25">
      <c r="A5177" s="4" t="str">
        <f>HYPERLINK("http://www.rosaceae.org/Prunus/Prunus_persica/p.persica_gdr_reftransV1_0003672","p.persica_gdr_reftransV1_0003672")</f>
        <v>p.persica_gdr_reftransV1_0003672</v>
      </c>
      <c r="B5177" s="2">
        <v>1532</v>
      </c>
      <c r="C5177" s="4" t="str">
        <f>HYPERLINK("http://www.uniprot.org/uniprot/M5W152","M5W152")</f>
        <v>M5W152</v>
      </c>
      <c r="D5177" s="2" t="s">
        <v>4763</v>
      </c>
      <c r="E5177" s="3">
        <v>0</v>
      </c>
      <c r="F5177" s="2">
        <v>1841</v>
      </c>
      <c r="G5177" s="2">
        <v>100</v>
      </c>
      <c r="H5177" s="2">
        <v>342</v>
      </c>
      <c r="I5177" s="2">
        <v>74</v>
      </c>
      <c r="J5177" s="2">
        <v>1099</v>
      </c>
      <c r="K5177" s="2">
        <v>1</v>
      </c>
      <c r="L5177" s="2">
        <v>342</v>
      </c>
    </row>
    <row r="5178" spans="1:12" x14ac:dyDescent="0.25">
      <c r="A5178" s="4" t="str">
        <f>HYPERLINK("http://www.rosaceae.org/Prunus/Prunus_persica/p.persica_gdr_reftransV1_0004022","p.persica_gdr_reftransV1_0004022")</f>
        <v>p.persica_gdr_reftransV1_0004022</v>
      </c>
      <c r="B5178" s="2">
        <v>755</v>
      </c>
      <c r="C5178" s="4" t="str">
        <f>HYPERLINK("http://www.uniprot.org/uniprot/M5WR99","M5WR99")</f>
        <v>M5WR99</v>
      </c>
      <c r="D5178" s="2" t="s">
        <v>4764</v>
      </c>
      <c r="E5178" s="3">
        <v>3.01E-178</v>
      </c>
      <c r="F5178" s="2">
        <v>1355</v>
      </c>
      <c r="G5178" s="2">
        <v>100</v>
      </c>
      <c r="H5178" s="2">
        <v>251</v>
      </c>
      <c r="I5178" s="2">
        <v>2</v>
      </c>
      <c r="J5178" s="2">
        <v>754</v>
      </c>
      <c r="K5178" s="2">
        <v>566</v>
      </c>
      <c r="L5178" s="2">
        <v>816</v>
      </c>
    </row>
    <row r="5179" spans="1:12" x14ac:dyDescent="0.25">
      <c r="A5179" s="4" t="str">
        <f>HYPERLINK("http://www.rosaceae.org/Prunus/Prunus_persica/p.persica_gdr_reftransV1_0004722","p.persica_gdr_reftransV1_0004722")</f>
        <v>p.persica_gdr_reftransV1_0004722</v>
      </c>
      <c r="B5179" s="2">
        <v>298</v>
      </c>
      <c r="C5179" s="4" t="str">
        <f>HYPERLINK("http://www.uniprot.org/uniprot/M5XS74","M5XS74")</f>
        <v>M5XS74</v>
      </c>
      <c r="D5179" s="2" t="s">
        <v>4765</v>
      </c>
      <c r="E5179" s="3">
        <v>4.78E-10</v>
      </c>
      <c r="F5179" s="2">
        <v>159</v>
      </c>
      <c r="G5179" s="2">
        <v>100</v>
      </c>
      <c r="H5179" s="2">
        <v>27</v>
      </c>
      <c r="I5179" s="2">
        <v>191</v>
      </c>
      <c r="J5179" s="2">
        <v>271</v>
      </c>
      <c r="K5179" s="2">
        <v>1</v>
      </c>
      <c r="L5179" s="2">
        <v>27</v>
      </c>
    </row>
    <row r="5180" spans="1:12" x14ac:dyDescent="0.25">
      <c r="A5180" s="4" t="str">
        <f>HYPERLINK("http://www.rosaceae.org/Prunus/Prunus_persica/p.persica_gdr_reftransV1_0005072","p.persica_gdr_reftransV1_0005072")</f>
        <v>p.persica_gdr_reftransV1_0005072</v>
      </c>
      <c r="B5180" s="2">
        <v>1030</v>
      </c>
      <c r="C5180" s="4" t="str">
        <f>HYPERLINK("http://www.uniprot.org/uniprot/M5WEQ4","M5WEQ4")</f>
        <v>M5WEQ4</v>
      </c>
      <c r="D5180" s="2" t="s">
        <v>4766</v>
      </c>
      <c r="E5180" s="3">
        <v>2.7600000000000002E-113</v>
      </c>
      <c r="F5180" s="2">
        <v>870</v>
      </c>
      <c r="G5180" s="2">
        <v>93</v>
      </c>
      <c r="H5180" s="2">
        <v>211</v>
      </c>
      <c r="I5180" s="2">
        <v>246</v>
      </c>
      <c r="J5180" s="2">
        <v>878</v>
      </c>
      <c r="K5180" s="2">
        <v>1</v>
      </c>
      <c r="L5180" s="2">
        <v>211</v>
      </c>
    </row>
    <row r="5181" spans="1:12" x14ac:dyDescent="0.25">
      <c r="A5181" s="4" t="str">
        <f>HYPERLINK("http://www.rosaceae.org/Prunus/Prunus_persica/p.persica_gdr_reftransV1_0005422","p.persica_gdr_reftransV1_0005422")</f>
        <v>p.persica_gdr_reftransV1_0005422</v>
      </c>
      <c r="B5181" s="2">
        <v>1727</v>
      </c>
      <c r="C5181" s="4" t="str">
        <f>HYPERLINK("http://www.uniprot.org/uniprot/M5XV59","M5XV59")</f>
        <v>M5XV59</v>
      </c>
      <c r="D5181" s="2" t="s">
        <v>4767</v>
      </c>
      <c r="E5181" s="3">
        <v>0</v>
      </c>
      <c r="F5181" s="2">
        <v>1375</v>
      </c>
      <c r="G5181" s="2">
        <v>98</v>
      </c>
      <c r="H5181" s="2">
        <v>263</v>
      </c>
      <c r="I5181" s="2">
        <v>537</v>
      </c>
      <c r="J5181" s="2">
        <v>1325</v>
      </c>
      <c r="K5181" s="2">
        <v>64</v>
      </c>
      <c r="L5181" s="2">
        <v>324</v>
      </c>
    </row>
    <row r="5182" spans="1:12" x14ac:dyDescent="0.25">
      <c r="A5182" s="4" t="str">
        <f>HYPERLINK("http://www.rosaceae.org/Prunus/Prunus_persica/p.persica_gdr_reftransV1_0005772","p.persica_gdr_reftransV1_0005772")</f>
        <v>p.persica_gdr_reftransV1_0005772</v>
      </c>
      <c r="B5182" s="2">
        <v>417</v>
      </c>
      <c r="C5182" s="4" t="str">
        <f>HYPERLINK("http://www.uniprot.org/uniprot/W5DEU7","W5DEU7")</f>
        <v>W5DEU7</v>
      </c>
      <c r="D5182" s="2" t="s">
        <v>4768</v>
      </c>
      <c r="E5182" s="3">
        <v>1.69E-45</v>
      </c>
      <c r="F5182" s="2">
        <v>420</v>
      </c>
      <c r="G5182" s="2">
        <v>53</v>
      </c>
      <c r="H5182" s="2">
        <v>135</v>
      </c>
      <c r="I5182" s="2">
        <v>2</v>
      </c>
      <c r="J5182" s="2">
        <v>406</v>
      </c>
      <c r="K5182" s="2">
        <v>203</v>
      </c>
      <c r="L5182" s="2">
        <v>337</v>
      </c>
    </row>
    <row r="5183" spans="1:12" x14ac:dyDescent="0.25">
      <c r="A5183" s="4" t="str">
        <f>HYPERLINK("http://www.rosaceae.org/Prunus/Prunus_persica/p.persica_gdr_reftransV1_0006472","p.persica_gdr_reftransV1_0006472")</f>
        <v>p.persica_gdr_reftransV1_0006472</v>
      </c>
      <c r="B5183" s="2">
        <v>2742</v>
      </c>
      <c r="C5183" s="4" t="str">
        <f>HYPERLINK("http://www.uniprot.org/uniprot/M5WEC1","M5WEC1")</f>
        <v>M5WEC1</v>
      </c>
      <c r="D5183" s="2" t="s">
        <v>4769</v>
      </c>
      <c r="E5183" s="3">
        <v>0</v>
      </c>
      <c r="F5183" s="2">
        <v>2227</v>
      </c>
      <c r="G5183" s="2">
        <v>86</v>
      </c>
      <c r="H5183" s="2">
        <v>519</v>
      </c>
      <c r="I5183" s="2">
        <v>1037</v>
      </c>
      <c r="J5183" s="2">
        <v>2593</v>
      </c>
      <c r="K5183" s="2">
        <v>293</v>
      </c>
      <c r="L5183" s="2">
        <v>739</v>
      </c>
    </row>
    <row r="5184" spans="1:12" x14ac:dyDescent="0.25">
      <c r="A5184" s="4" t="str">
        <f>HYPERLINK("http://www.rosaceae.org/Prunus/Prunus_persica/p.persica_gdr_reftransV1_0007172","p.persica_gdr_reftransV1_0007172")</f>
        <v>p.persica_gdr_reftransV1_0007172</v>
      </c>
      <c r="B5184" s="2">
        <v>1533</v>
      </c>
      <c r="C5184" s="4" t="str">
        <f>HYPERLINK("http://www.uniprot.org/uniprot/M5XBX2","M5XBX2")</f>
        <v>M5XBX2</v>
      </c>
      <c r="D5184" s="2" t="s">
        <v>4770</v>
      </c>
      <c r="E5184" s="3">
        <v>0</v>
      </c>
      <c r="F5184" s="2">
        <v>1758</v>
      </c>
      <c r="G5184" s="2">
        <v>100</v>
      </c>
      <c r="H5184" s="2">
        <v>340</v>
      </c>
      <c r="I5184" s="2">
        <v>335</v>
      </c>
      <c r="J5184" s="2">
        <v>1354</v>
      </c>
      <c r="K5184" s="2">
        <v>1</v>
      </c>
      <c r="L5184" s="2">
        <v>340</v>
      </c>
    </row>
    <row r="5185" spans="1:12" x14ac:dyDescent="0.25">
      <c r="A5185" s="4" t="str">
        <f>HYPERLINK("http://www.rosaceae.org/Prunus/Prunus_persica/p.persica_gdr_reftransV1_0007872","p.persica_gdr_reftransV1_0007872")</f>
        <v>p.persica_gdr_reftransV1_0007872</v>
      </c>
      <c r="B5185" s="2">
        <v>1302</v>
      </c>
      <c r="C5185" s="4" t="str">
        <f>HYPERLINK("http://www.uniprot.org/uniprot/M5W599","M5W599")</f>
        <v>M5W599</v>
      </c>
      <c r="D5185" s="2" t="s">
        <v>4771</v>
      </c>
      <c r="E5185" s="3">
        <v>4.8699999999999998E-35</v>
      </c>
      <c r="F5185" s="2">
        <v>339</v>
      </c>
      <c r="G5185" s="2">
        <v>100</v>
      </c>
      <c r="H5185" s="2">
        <v>68</v>
      </c>
      <c r="I5185" s="2">
        <v>1050</v>
      </c>
      <c r="J5185" s="2">
        <v>1253</v>
      </c>
      <c r="K5185" s="2">
        <v>1</v>
      </c>
      <c r="L5185" s="2">
        <v>68</v>
      </c>
    </row>
    <row r="5186" spans="1:12" x14ac:dyDescent="0.25">
      <c r="A5186" s="4" t="str">
        <f>HYPERLINK("http://www.rosaceae.org/Prunus/Prunus_persica/p.persica_gdr_reftransV1_0008572","p.persica_gdr_reftransV1_0008572")</f>
        <v>p.persica_gdr_reftransV1_0008572</v>
      </c>
      <c r="B5186" s="2">
        <v>1281</v>
      </c>
      <c r="C5186" s="4" t="str">
        <f>HYPERLINK("http://www.uniprot.org/uniprot/M5WBV0","M5WBV0")</f>
        <v>M5WBV0</v>
      </c>
      <c r="D5186" s="2" t="s">
        <v>4772</v>
      </c>
      <c r="E5186" s="3">
        <v>1.2400000000000001E-21</v>
      </c>
      <c r="F5186" s="2">
        <v>253</v>
      </c>
      <c r="G5186" s="2">
        <v>47</v>
      </c>
      <c r="H5186" s="2">
        <v>90</v>
      </c>
      <c r="I5186" s="2">
        <v>517</v>
      </c>
      <c r="J5186" s="2">
        <v>786</v>
      </c>
      <c r="K5186" s="2">
        <v>125</v>
      </c>
      <c r="L5186" s="2">
        <v>213</v>
      </c>
    </row>
    <row r="5187" spans="1:12" x14ac:dyDescent="0.25">
      <c r="A5187" s="4" t="str">
        <f>HYPERLINK("http://www.rosaceae.org/Prunus/Prunus_persica/p.persica_gdr_reftransV1_0008922","p.persica_gdr_reftransV1_0008922")</f>
        <v>p.persica_gdr_reftransV1_0008922</v>
      </c>
      <c r="B5187" s="2">
        <v>980</v>
      </c>
      <c r="C5187" s="4" t="str">
        <f>HYPERLINK("http://www.uniprot.org/uniprot/M5WEV1","M5WEV1")</f>
        <v>M5WEV1</v>
      </c>
      <c r="D5187" s="2" t="s">
        <v>4773</v>
      </c>
      <c r="E5187" s="3">
        <v>1.6599999999999999E-93</v>
      </c>
      <c r="F5187" s="2">
        <v>542</v>
      </c>
      <c r="G5187" s="2">
        <v>53</v>
      </c>
      <c r="H5187" s="2">
        <v>238</v>
      </c>
      <c r="I5187" s="2">
        <v>267</v>
      </c>
      <c r="J5187" s="2">
        <v>980</v>
      </c>
      <c r="K5187" s="2">
        <v>74</v>
      </c>
      <c r="L5187" s="2">
        <v>248</v>
      </c>
    </row>
    <row r="5188" spans="1:12" x14ac:dyDescent="0.25">
      <c r="A5188" s="4" t="str">
        <f>HYPERLINK("http://www.rosaceae.org/Prunus/Prunus_persica/p.persica_gdr_reftransV1_0009272","p.persica_gdr_reftransV1_0009272")</f>
        <v>p.persica_gdr_reftransV1_0009272</v>
      </c>
      <c r="B5188" s="2">
        <v>694</v>
      </c>
      <c r="C5188" s="4" t="str">
        <f>HYPERLINK("http://www.uniprot.org/uniprot/M5Y6A0","M5Y6A0")</f>
        <v>M5Y6A0</v>
      </c>
      <c r="D5188" s="2" t="s">
        <v>4774</v>
      </c>
      <c r="E5188" s="3">
        <v>1.0300000000000001E-65</v>
      </c>
      <c r="F5188" s="2">
        <v>537</v>
      </c>
      <c r="G5188" s="2">
        <v>100</v>
      </c>
      <c r="H5188" s="2">
        <v>136</v>
      </c>
      <c r="I5188" s="2">
        <v>228</v>
      </c>
      <c r="J5188" s="2">
        <v>635</v>
      </c>
      <c r="K5188" s="2">
        <v>1</v>
      </c>
      <c r="L5188" s="2">
        <v>136</v>
      </c>
    </row>
    <row r="5189" spans="1:12" x14ac:dyDescent="0.25">
      <c r="A5189" s="4" t="str">
        <f>HYPERLINK("http://www.rosaceae.org/Prunus/Prunus_persica/p.persica_gdr_reftransV1_0010672","p.persica_gdr_reftransV1_0010672")</f>
        <v>p.persica_gdr_reftransV1_0010672</v>
      </c>
      <c r="B5189" s="2">
        <v>1609</v>
      </c>
      <c r="C5189" s="4" t="str">
        <f>HYPERLINK("http://www.uniprot.org/uniprot/M5WJQ1","M5WJQ1")</f>
        <v>M5WJQ1</v>
      </c>
      <c r="D5189" s="2" t="s">
        <v>4775</v>
      </c>
      <c r="E5189" s="3">
        <v>4.34E-128</v>
      </c>
      <c r="F5189" s="2">
        <v>989</v>
      </c>
      <c r="G5189" s="2">
        <v>86</v>
      </c>
      <c r="H5189" s="2">
        <v>246</v>
      </c>
      <c r="I5189" s="2">
        <v>872</v>
      </c>
      <c r="J5189" s="2">
        <v>1609</v>
      </c>
      <c r="K5189" s="2">
        <v>9</v>
      </c>
      <c r="L5189" s="2">
        <v>228</v>
      </c>
    </row>
    <row r="5190" spans="1:12" x14ac:dyDescent="0.25">
      <c r="A5190" s="4" t="str">
        <f>HYPERLINK("http://www.rosaceae.org/Prunus/Prunus_persica/p.persica_gdr_reftransV1_0011022","p.persica_gdr_reftransV1_0011022")</f>
        <v>p.persica_gdr_reftransV1_0011022</v>
      </c>
      <c r="B5190" s="2">
        <v>1945</v>
      </c>
      <c r="C5190" s="4" t="str">
        <f>HYPERLINK("http://www.uniprot.org/uniprot/M5W8Z7","M5W8Z7")</f>
        <v>M5W8Z7</v>
      </c>
      <c r="D5190" s="2" t="s">
        <v>1067</v>
      </c>
      <c r="E5190" s="3">
        <v>2.5700000000000002E-171</v>
      </c>
      <c r="F5190" s="2">
        <v>1301</v>
      </c>
      <c r="G5190" s="2">
        <v>100</v>
      </c>
      <c r="H5190" s="2">
        <v>292</v>
      </c>
      <c r="I5190" s="2">
        <v>280</v>
      </c>
      <c r="J5190" s="2">
        <v>1155</v>
      </c>
      <c r="K5190" s="2">
        <v>78</v>
      </c>
      <c r="L5190" s="2">
        <v>369</v>
      </c>
    </row>
    <row r="5191" spans="1:12" x14ac:dyDescent="0.25">
      <c r="A5191" s="4" t="str">
        <f>HYPERLINK("http://www.rosaceae.org/Prunus/Prunus_persica/p.persica_gdr_reftransV1_0011372","p.persica_gdr_reftransV1_0011372")</f>
        <v>p.persica_gdr_reftransV1_0011372</v>
      </c>
      <c r="B5191" s="2">
        <v>696</v>
      </c>
      <c r="C5191" s="4" t="str">
        <f>HYPERLINK("http://www.uniprot.org/uniprot/M5W3U4","M5W3U4")</f>
        <v>M5W3U4</v>
      </c>
      <c r="D5191" s="2" t="s">
        <v>4776</v>
      </c>
      <c r="E5191" s="3">
        <v>4.8700000000000002E-49</v>
      </c>
      <c r="F5191" s="2">
        <v>427</v>
      </c>
      <c r="G5191" s="2">
        <v>99</v>
      </c>
      <c r="H5191" s="2">
        <v>105</v>
      </c>
      <c r="I5191" s="2">
        <v>277</v>
      </c>
      <c r="J5191" s="2">
        <v>591</v>
      </c>
      <c r="K5191" s="2">
        <v>1</v>
      </c>
      <c r="L5191" s="2">
        <v>105</v>
      </c>
    </row>
    <row r="5192" spans="1:12" x14ac:dyDescent="0.25">
      <c r="A5192" s="4" t="str">
        <f>HYPERLINK("http://www.rosaceae.org/Prunus/Prunus_persica/p.persica_gdr_reftransV1_0012072","p.persica_gdr_reftransV1_0012072")</f>
        <v>p.persica_gdr_reftransV1_0012072</v>
      </c>
      <c r="B5192" s="2">
        <v>1908</v>
      </c>
      <c r="C5192" s="4" t="str">
        <f>HYPERLINK("http://www.uniprot.org/uniprot/M5X2P5","M5X2P5")</f>
        <v>M5X2P5</v>
      </c>
      <c r="D5192" s="2" t="s">
        <v>4777</v>
      </c>
      <c r="E5192" s="3">
        <v>9.7200000000000002E-64</v>
      </c>
      <c r="F5192" s="2">
        <v>555</v>
      </c>
      <c r="G5192" s="2">
        <v>96</v>
      </c>
      <c r="H5192" s="2">
        <v>111</v>
      </c>
      <c r="I5192" s="2">
        <v>1095</v>
      </c>
      <c r="J5192" s="2">
        <v>1427</v>
      </c>
      <c r="K5192" s="2">
        <v>38</v>
      </c>
      <c r="L5192" s="2">
        <v>148</v>
      </c>
    </row>
    <row r="5193" spans="1:12" x14ac:dyDescent="0.25">
      <c r="A5193" s="4" t="str">
        <f>HYPERLINK("http://www.rosaceae.org/Prunus/Prunus_persica/p.persica_gdr_reftransV1_0012772","p.persica_gdr_reftransV1_0012772")</f>
        <v>p.persica_gdr_reftransV1_0012772</v>
      </c>
      <c r="B5193" s="2">
        <v>2971</v>
      </c>
      <c r="C5193" s="4" t="str">
        <f>HYPERLINK("http://www.uniprot.org/uniprot/M5VXP3","M5VXP3")</f>
        <v>M5VXP3</v>
      </c>
      <c r="D5193" s="2" t="s">
        <v>4778</v>
      </c>
      <c r="E5193" s="3">
        <v>0</v>
      </c>
      <c r="F5193" s="2">
        <v>5045</v>
      </c>
      <c r="G5193" s="2">
        <v>100</v>
      </c>
      <c r="H5193" s="2">
        <v>944</v>
      </c>
      <c r="I5193" s="2">
        <v>139</v>
      </c>
      <c r="J5193" s="2">
        <v>2970</v>
      </c>
      <c r="K5193" s="2">
        <v>1</v>
      </c>
      <c r="L5193" s="2">
        <v>944</v>
      </c>
    </row>
    <row r="5194" spans="1:12" x14ac:dyDescent="0.25">
      <c r="A5194" s="4" t="str">
        <f>HYPERLINK("http://www.rosaceae.org/Prunus/Prunus_persica/p.persica_gdr_reftransV1_0015572","p.persica_gdr_reftransV1_0015572")</f>
        <v>p.persica_gdr_reftransV1_0015572</v>
      </c>
      <c r="B5194" s="2">
        <v>652</v>
      </c>
      <c r="C5194" s="4" t="str">
        <f>HYPERLINK("http://www.uniprot.org/uniprot/M5XJK0","M5XJK0")</f>
        <v>M5XJK0</v>
      </c>
      <c r="D5194" s="2" t="s">
        <v>4779</v>
      </c>
      <c r="E5194" s="3">
        <v>3.3000000000000003E-58</v>
      </c>
      <c r="F5194" s="2">
        <v>482</v>
      </c>
      <c r="G5194" s="2">
        <v>100</v>
      </c>
      <c r="H5194" s="2">
        <v>95</v>
      </c>
      <c r="I5194" s="2">
        <v>56</v>
      </c>
      <c r="J5194" s="2">
        <v>340</v>
      </c>
      <c r="K5194" s="2">
        <v>1</v>
      </c>
      <c r="L5194" s="2">
        <v>95</v>
      </c>
    </row>
    <row r="5195" spans="1:12" x14ac:dyDescent="0.25">
      <c r="A5195" s="4" t="str">
        <f>HYPERLINK("http://www.rosaceae.org/Prunus/Prunus_persica/p.persica_gdr_reftransV1_0017322","p.persica_gdr_reftransV1_0017322")</f>
        <v>p.persica_gdr_reftransV1_0017322</v>
      </c>
      <c r="B5195" s="2">
        <v>2031</v>
      </c>
      <c r="C5195" s="4" t="str">
        <f>HYPERLINK("http://www.uniprot.org/uniprot/M5XQ29","M5XQ29")</f>
        <v>M5XQ29</v>
      </c>
      <c r="D5195" s="2" t="s">
        <v>4780</v>
      </c>
      <c r="E5195" s="3">
        <v>0</v>
      </c>
      <c r="F5195" s="2">
        <v>2004</v>
      </c>
      <c r="G5195" s="2">
        <v>100</v>
      </c>
      <c r="H5195" s="2">
        <v>375</v>
      </c>
      <c r="I5195" s="2">
        <v>509</v>
      </c>
      <c r="J5195" s="2">
        <v>1633</v>
      </c>
      <c r="K5195" s="2">
        <v>51</v>
      </c>
      <c r="L5195" s="2">
        <v>425</v>
      </c>
    </row>
    <row r="5196" spans="1:12" x14ac:dyDescent="0.25">
      <c r="A5196" s="4" t="str">
        <f>HYPERLINK("http://www.rosaceae.org/Prunus/Prunus_persica/p.persica_gdr_reftransV1_0017672","p.persica_gdr_reftransV1_0017672")</f>
        <v>p.persica_gdr_reftransV1_0017672</v>
      </c>
      <c r="B5196" s="2">
        <v>3241</v>
      </c>
      <c r="C5196" s="4" t="str">
        <f>HYPERLINK("http://www.uniprot.org/uniprot/M5XQN3","M5XQN3")</f>
        <v>M5XQN3</v>
      </c>
      <c r="D5196" s="2" t="s">
        <v>4781</v>
      </c>
      <c r="E5196" s="3">
        <v>0</v>
      </c>
      <c r="F5196" s="2">
        <v>4614</v>
      </c>
      <c r="G5196" s="2">
        <v>100</v>
      </c>
      <c r="H5196" s="2">
        <v>899</v>
      </c>
      <c r="I5196" s="2">
        <v>150</v>
      </c>
      <c r="J5196" s="2">
        <v>2846</v>
      </c>
      <c r="K5196" s="2">
        <v>1</v>
      </c>
      <c r="L5196" s="2">
        <v>899</v>
      </c>
    </row>
    <row r="5197" spans="1:12" x14ac:dyDescent="0.25">
      <c r="A5197" s="4" t="str">
        <f>HYPERLINK("http://www.rosaceae.org/Prunus/Prunus_persica/p.persica_gdr_reftransV1_0018722","p.persica_gdr_reftransV1_0018722")</f>
        <v>p.persica_gdr_reftransV1_0018722</v>
      </c>
      <c r="B5197" s="2">
        <v>579</v>
      </c>
      <c r="C5197" s="4" t="str">
        <f>HYPERLINK("http://www.uniprot.org/uniprot/A0A067FGS7","A0A067FGS7")</f>
        <v>A0A067FGS7</v>
      </c>
      <c r="D5197" s="2" t="s">
        <v>4782</v>
      </c>
      <c r="E5197" s="3">
        <v>6.6000000000000005E-11</v>
      </c>
      <c r="F5197" s="2">
        <v>160</v>
      </c>
      <c r="G5197" s="2">
        <v>66</v>
      </c>
      <c r="H5197" s="2">
        <v>70</v>
      </c>
      <c r="I5197" s="2">
        <v>244</v>
      </c>
      <c r="J5197" s="2">
        <v>453</v>
      </c>
      <c r="K5197" s="2">
        <v>49</v>
      </c>
      <c r="L5197" s="2">
        <v>116</v>
      </c>
    </row>
    <row r="5198" spans="1:12" x14ac:dyDescent="0.25">
      <c r="A5198" s="4" t="str">
        <f>HYPERLINK("http://www.rosaceae.org/Prunus/Prunus_persica/p.persica_gdr_reftransV1_0019072","p.persica_gdr_reftransV1_0019072")</f>
        <v>p.persica_gdr_reftransV1_0019072</v>
      </c>
      <c r="B5198" s="2">
        <v>3671</v>
      </c>
      <c r="C5198" s="4" t="str">
        <f>HYPERLINK("http://www.uniprot.org/uniprot/M5XH25","M5XH25")</f>
        <v>M5XH25</v>
      </c>
      <c r="D5198" s="2" t="s">
        <v>4783</v>
      </c>
      <c r="E5198" s="3">
        <v>0</v>
      </c>
      <c r="F5198" s="2">
        <v>4564</v>
      </c>
      <c r="G5198" s="2">
        <v>100</v>
      </c>
      <c r="H5198" s="2">
        <v>904</v>
      </c>
      <c r="I5198" s="2">
        <v>361</v>
      </c>
      <c r="J5198" s="2">
        <v>3072</v>
      </c>
      <c r="K5198" s="2">
        <v>1</v>
      </c>
      <c r="L5198" s="2">
        <v>904</v>
      </c>
    </row>
    <row r="5199" spans="1:12" x14ac:dyDescent="0.25">
      <c r="A5199" s="4" t="str">
        <f>HYPERLINK("http://www.rosaceae.org/Prunus/Prunus_persica/p.persica_gdr_reftransV1_0020822","p.persica_gdr_reftransV1_0020822")</f>
        <v>p.persica_gdr_reftransV1_0020822</v>
      </c>
      <c r="B5199" s="2">
        <v>2276</v>
      </c>
      <c r="C5199" s="4" t="str">
        <f>HYPERLINK("http://www.uniprot.org/uniprot/M5WRZ5","M5WRZ5")</f>
        <v>M5WRZ5</v>
      </c>
      <c r="D5199" s="2" t="s">
        <v>4784</v>
      </c>
      <c r="E5199" s="3">
        <v>6.7699999999999999E-128</v>
      </c>
      <c r="F5199" s="2">
        <v>676</v>
      </c>
      <c r="G5199" s="2">
        <v>78</v>
      </c>
      <c r="H5199" s="2">
        <v>199</v>
      </c>
      <c r="I5199" s="2">
        <v>878</v>
      </c>
      <c r="J5199" s="2">
        <v>1468</v>
      </c>
      <c r="K5199" s="2">
        <v>2</v>
      </c>
      <c r="L5199" s="2">
        <v>181</v>
      </c>
    </row>
    <row r="5200" spans="1:12" x14ac:dyDescent="0.25">
      <c r="A5200" s="4" t="str">
        <f>HYPERLINK("http://www.rosaceae.org/Prunus/Prunus_persica/p.persica_gdr_reftransV1_0021172","p.persica_gdr_reftransV1_0021172")</f>
        <v>p.persica_gdr_reftransV1_0021172</v>
      </c>
      <c r="B5200" s="2">
        <v>3480</v>
      </c>
      <c r="C5200" s="4" t="str">
        <f>HYPERLINK("http://www.uniprot.org/uniprot/M5VW27","M5VW27")</f>
        <v>M5VW27</v>
      </c>
      <c r="D5200" s="2" t="s">
        <v>4785</v>
      </c>
      <c r="E5200" s="3">
        <v>0</v>
      </c>
      <c r="F5200" s="2">
        <v>2731</v>
      </c>
      <c r="G5200" s="2">
        <v>100</v>
      </c>
      <c r="H5200" s="2">
        <v>601</v>
      </c>
      <c r="I5200" s="2">
        <v>1404</v>
      </c>
      <c r="J5200" s="2">
        <v>3206</v>
      </c>
      <c r="K5200" s="2">
        <v>1</v>
      </c>
      <c r="L5200" s="2">
        <v>601</v>
      </c>
    </row>
    <row r="5201" spans="1:12" x14ac:dyDescent="0.25">
      <c r="A5201" s="4" t="str">
        <f>HYPERLINK("http://www.rosaceae.org/Prunus/Prunus_persica/p.persica_gdr_reftransV1_0022922","p.persica_gdr_reftransV1_0022922")</f>
        <v>p.persica_gdr_reftransV1_0022922</v>
      </c>
      <c r="B5201" s="2">
        <v>774</v>
      </c>
      <c r="C5201" s="4" t="str">
        <f>HYPERLINK("http://www.uniprot.org/uniprot/M5XDP5","M5XDP5")</f>
        <v>M5XDP5</v>
      </c>
      <c r="D5201" s="2" t="s">
        <v>1241</v>
      </c>
      <c r="E5201" s="3">
        <v>7.2800000000000004E-124</v>
      </c>
      <c r="F5201" s="2">
        <v>965</v>
      </c>
      <c r="G5201" s="2">
        <v>77</v>
      </c>
      <c r="H5201" s="2">
        <v>245</v>
      </c>
      <c r="I5201" s="2">
        <v>2</v>
      </c>
      <c r="J5201" s="2">
        <v>622</v>
      </c>
      <c r="K5201" s="2">
        <v>1</v>
      </c>
      <c r="L5201" s="2">
        <v>245</v>
      </c>
    </row>
    <row r="5202" spans="1:12" x14ac:dyDescent="0.25">
      <c r="A5202" s="4" t="str">
        <f>HYPERLINK("http://www.rosaceae.org/Prunus/Prunus_persica/p.persica_gdr_reftransV1_0023272","p.persica_gdr_reftransV1_0023272")</f>
        <v>p.persica_gdr_reftransV1_0023272</v>
      </c>
      <c r="B5202" s="2">
        <v>2290</v>
      </c>
      <c r="C5202" s="4" t="str">
        <f>HYPERLINK("http://www.uniprot.org/uniprot/M5WDQ2","M5WDQ2")</f>
        <v>M5WDQ2</v>
      </c>
      <c r="D5202" s="2" t="s">
        <v>4786</v>
      </c>
      <c r="E5202" s="3">
        <v>0</v>
      </c>
      <c r="F5202" s="2">
        <v>1433</v>
      </c>
      <c r="G5202" s="2">
        <v>96</v>
      </c>
      <c r="H5202" s="2">
        <v>280</v>
      </c>
      <c r="I5202" s="2">
        <v>1221</v>
      </c>
      <c r="J5202" s="2">
        <v>2060</v>
      </c>
      <c r="K5202" s="2">
        <v>1</v>
      </c>
      <c r="L5202" s="2">
        <v>270</v>
      </c>
    </row>
    <row r="5203" spans="1:12" x14ac:dyDescent="0.25">
      <c r="A5203" s="4" t="str">
        <f>HYPERLINK("http://www.rosaceae.org/Prunus/Prunus_persica/p.persica_gdr_reftransV1_0024322","p.persica_gdr_reftransV1_0024322")</f>
        <v>p.persica_gdr_reftransV1_0024322</v>
      </c>
      <c r="B5203" s="2">
        <v>2008</v>
      </c>
      <c r="C5203" s="4" t="str">
        <f>HYPERLINK("http://www.uniprot.org/uniprot/M5VVR6","M5VVR6")</f>
        <v>M5VVR6</v>
      </c>
      <c r="D5203" s="2" t="s">
        <v>4787</v>
      </c>
      <c r="E5203" s="3">
        <v>0</v>
      </c>
      <c r="F5203" s="2">
        <v>1506</v>
      </c>
      <c r="G5203" s="2">
        <v>100</v>
      </c>
      <c r="H5203" s="2">
        <v>314</v>
      </c>
      <c r="I5203" s="2">
        <v>926</v>
      </c>
      <c r="J5203" s="2">
        <v>1867</v>
      </c>
      <c r="K5203" s="2">
        <v>1</v>
      </c>
      <c r="L5203" s="2">
        <v>314</v>
      </c>
    </row>
    <row r="5204" spans="1:12" x14ac:dyDescent="0.25">
      <c r="A5204" s="4" t="str">
        <f>HYPERLINK("http://www.rosaceae.org/Prunus/Prunus_persica/p.persica_gdr_reftransV1_0024672","p.persica_gdr_reftransV1_0024672")</f>
        <v>p.persica_gdr_reftransV1_0024672</v>
      </c>
      <c r="B5204" s="2">
        <v>4044</v>
      </c>
      <c r="C5204" s="4" t="str">
        <f>HYPERLINK("http://www.uniprot.org/uniprot/M5X603","M5X603")</f>
        <v>M5X603</v>
      </c>
      <c r="D5204" s="2" t="s">
        <v>4788</v>
      </c>
      <c r="E5204" s="3">
        <v>0</v>
      </c>
      <c r="F5204" s="2">
        <v>4221</v>
      </c>
      <c r="G5204" s="2">
        <v>100</v>
      </c>
      <c r="H5204" s="2">
        <v>864</v>
      </c>
      <c r="I5204" s="2">
        <v>837</v>
      </c>
      <c r="J5204" s="2">
        <v>3428</v>
      </c>
      <c r="K5204" s="2">
        <v>73</v>
      </c>
      <c r="L5204" s="2">
        <v>936</v>
      </c>
    </row>
    <row r="5205" spans="1:12" x14ac:dyDescent="0.25">
      <c r="A5205" s="4" t="str">
        <f>HYPERLINK("http://www.rosaceae.org/Prunus/Prunus_persica/p.persica_gdr_reftransV1_0025022","p.persica_gdr_reftransV1_0025022")</f>
        <v>p.persica_gdr_reftransV1_0025022</v>
      </c>
      <c r="B5205" s="2">
        <v>1104</v>
      </c>
      <c r="C5205" s="4" t="str">
        <f>HYPERLINK("http://www.uniprot.org/uniprot/M5W6W0","M5W6W0")</f>
        <v>M5W6W0</v>
      </c>
      <c r="D5205" s="2" t="s">
        <v>4789</v>
      </c>
      <c r="E5205" s="3">
        <v>0</v>
      </c>
      <c r="F5205" s="2">
        <v>1453</v>
      </c>
      <c r="G5205" s="2">
        <v>100</v>
      </c>
      <c r="H5205" s="2">
        <v>307</v>
      </c>
      <c r="I5205" s="2">
        <v>34</v>
      </c>
      <c r="J5205" s="2">
        <v>954</v>
      </c>
      <c r="K5205" s="2">
        <v>1</v>
      </c>
      <c r="L5205" s="2">
        <v>307</v>
      </c>
    </row>
    <row r="5206" spans="1:12" x14ac:dyDescent="0.25">
      <c r="A5206" s="4" t="str">
        <f>HYPERLINK("http://www.rosaceae.org/Prunus/Prunus_persica/p.persica_gdr_reftransV1_0026422","p.persica_gdr_reftransV1_0026422")</f>
        <v>p.persica_gdr_reftransV1_0026422</v>
      </c>
      <c r="B5206" s="2">
        <v>1481</v>
      </c>
      <c r="C5206" s="4" t="str">
        <f>HYPERLINK("http://www.uniprot.org/uniprot/V4TQ93","V4TQ93")</f>
        <v>V4TQ93</v>
      </c>
      <c r="D5206" s="2" t="s">
        <v>4790</v>
      </c>
      <c r="E5206" s="3">
        <v>0</v>
      </c>
      <c r="F5206" s="2">
        <v>1356</v>
      </c>
      <c r="G5206" s="2">
        <v>72</v>
      </c>
      <c r="H5206" s="2">
        <v>332</v>
      </c>
      <c r="I5206" s="2">
        <v>378</v>
      </c>
      <c r="J5206" s="2">
        <v>1373</v>
      </c>
      <c r="K5206" s="2">
        <v>19</v>
      </c>
      <c r="L5206" s="2">
        <v>350</v>
      </c>
    </row>
    <row r="5207" spans="1:12" x14ac:dyDescent="0.25">
      <c r="A5207" s="4" t="str">
        <f>HYPERLINK("http://www.rosaceae.org/Prunus/Prunus_persica/p.persica_gdr_reftransV1_0027122","p.persica_gdr_reftransV1_0027122")</f>
        <v>p.persica_gdr_reftransV1_0027122</v>
      </c>
      <c r="B5207" s="2">
        <v>4439</v>
      </c>
      <c r="C5207" s="4" t="str">
        <f>HYPERLINK("http://www.uniprot.org/uniprot/M5WEK3","M5WEK3")</f>
        <v>M5WEK3</v>
      </c>
      <c r="D5207" s="2" t="s">
        <v>4791</v>
      </c>
      <c r="E5207" s="3">
        <v>0</v>
      </c>
      <c r="F5207" s="2">
        <v>3051</v>
      </c>
      <c r="G5207" s="2">
        <v>100</v>
      </c>
      <c r="H5207" s="2">
        <v>617</v>
      </c>
      <c r="I5207" s="2">
        <v>1978</v>
      </c>
      <c r="J5207" s="2">
        <v>3828</v>
      </c>
      <c r="K5207" s="2">
        <v>464</v>
      </c>
      <c r="L5207" s="2">
        <v>1080</v>
      </c>
    </row>
    <row r="5208" spans="1:12" x14ac:dyDescent="0.25">
      <c r="A5208" s="4" t="str">
        <f>HYPERLINK("http://www.rosaceae.org/Prunus/Prunus_persica/p.persica_gdr_reftransV1_0027822","p.persica_gdr_reftransV1_0027822")</f>
        <v>p.persica_gdr_reftransV1_0027822</v>
      </c>
      <c r="B5208" s="2">
        <v>513</v>
      </c>
      <c r="C5208" s="4" t="str">
        <f>HYPERLINK("http://www.uniprot.org/uniprot/A0A061G8R7","A0A061G8R7")</f>
        <v>A0A061G8R7</v>
      </c>
      <c r="D5208" s="2" t="s">
        <v>4792</v>
      </c>
      <c r="E5208" s="3">
        <v>6.9999999999999999E-41</v>
      </c>
      <c r="F5208" s="2">
        <v>397</v>
      </c>
      <c r="G5208" s="2">
        <v>88</v>
      </c>
      <c r="H5208" s="2">
        <v>102</v>
      </c>
      <c r="I5208" s="2">
        <v>3</v>
      </c>
      <c r="J5208" s="2">
        <v>308</v>
      </c>
      <c r="K5208" s="2">
        <v>14</v>
      </c>
      <c r="L5208" s="2">
        <v>115</v>
      </c>
    </row>
    <row r="5209" spans="1:12" x14ac:dyDescent="0.25">
      <c r="A5209" s="4" t="str">
        <f>HYPERLINK("http://www.rosaceae.org/Prunus/Prunus_persica/p.persica_gdr_reftransV1_0028172","p.persica_gdr_reftransV1_0028172")</f>
        <v>p.persica_gdr_reftransV1_0028172</v>
      </c>
      <c r="B5209" s="2">
        <v>3503</v>
      </c>
      <c r="C5209" s="4" t="str">
        <f>HYPERLINK("http://www.uniprot.org/uniprot/M5XU99","M5XU99")</f>
        <v>M5XU99</v>
      </c>
      <c r="D5209" s="2" t="s">
        <v>4793</v>
      </c>
      <c r="E5209" s="3">
        <v>0</v>
      </c>
      <c r="F5209" s="2">
        <v>1911</v>
      </c>
      <c r="G5209" s="2">
        <v>100</v>
      </c>
      <c r="H5209" s="2">
        <v>383</v>
      </c>
      <c r="I5209" s="2">
        <v>2039</v>
      </c>
      <c r="J5209" s="2">
        <v>3187</v>
      </c>
      <c r="K5209" s="2">
        <v>349</v>
      </c>
      <c r="L5209" s="2">
        <v>731</v>
      </c>
    </row>
    <row r="5210" spans="1:12" x14ac:dyDescent="0.25">
      <c r="A5210" s="4" t="str">
        <f>HYPERLINK("http://www.rosaceae.org/Prunus/Prunus_persica/p.persica_gdr_reftransV1_0028522","p.persica_gdr_reftransV1_0028522")</f>
        <v>p.persica_gdr_reftransV1_0028522</v>
      </c>
      <c r="B5210" s="2">
        <v>1091</v>
      </c>
      <c r="C5210" s="4" t="str">
        <f>HYPERLINK("http://www.uniprot.org/uniprot/M5XLQ0","M5XLQ0")</f>
        <v>M5XLQ0</v>
      </c>
      <c r="D5210" s="2" t="s">
        <v>4794</v>
      </c>
      <c r="E5210" s="3">
        <v>1.0499999999999999E-136</v>
      </c>
      <c r="F5210" s="2">
        <v>1028</v>
      </c>
      <c r="G5210" s="2">
        <v>100</v>
      </c>
      <c r="H5210" s="2">
        <v>211</v>
      </c>
      <c r="I5210" s="2">
        <v>321</v>
      </c>
      <c r="J5210" s="2">
        <v>953</v>
      </c>
      <c r="K5210" s="2">
        <v>4</v>
      </c>
      <c r="L5210" s="2">
        <v>214</v>
      </c>
    </row>
    <row r="5211" spans="1:12" x14ac:dyDescent="0.25">
      <c r="A5211" s="4" t="str">
        <f>HYPERLINK("http://www.rosaceae.org/Prunus/Prunus_persica/p.persica_gdr_reftransV1_0030972","p.persica_gdr_reftransV1_0030972")</f>
        <v>p.persica_gdr_reftransV1_0030972</v>
      </c>
      <c r="B5211" s="2">
        <v>1384</v>
      </c>
      <c r="C5211" s="4" t="str">
        <f>HYPERLINK("http://www.uniprot.org/uniprot/M5WWF0","M5WWF0")</f>
        <v>M5WWF0</v>
      </c>
      <c r="D5211" s="2" t="s">
        <v>2816</v>
      </c>
      <c r="E5211" s="3">
        <v>1.0900000000000001E-157</v>
      </c>
      <c r="F5211" s="2">
        <v>1083</v>
      </c>
      <c r="G5211" s="2">
        <v>87</v>
      </c>
      <c r="H5211" s="2">
        <v>239</v>
      </c>
      <c r="I5211" s="2">
        <v>1</v>
      </c>
      <c r="J5211" s="2">
        <v>717</v>
      </c>
      <c r="K5211" s="2">
        <v>199</v>
      </c>
      <c r="L5211" s="2">
        <v>407</v>
      </c>
    </row>
    <row r="5212" spans="1:12" x14ac:dyDescent="0.25">
      <c r="A5212" s="4" t="str">
        <f>HYPERLINK("http://www.rosaceae.org/Prunus/Prunus_persica/p.persica_gdr_reftransV1_0034122","p.persica_gdr_reftransV1_0034122")</f>
        <v>p.persica_gdr_reftransV1_0034122</v>
      </c>
      <c r="B5212" s="2">
        <v>1738</v>
      </c>
      <c r="C5212" s="4" t="str">
        <f>HYPERLINK("http://www.uniprot.org/uniprot/M5WFX2","M5WFX2")</f>
        <v>M5WFX2</v>
      </c>
      <c r="D5212" s="2" t="s">
        <v>4795</v>
      </c>
      <c r="E5212" s="3">
        <v>1.64E-81</v>
      </c>
      <c r="F5212" s="2">
        <v>652</v>
      </c>
      <c r="G5212" s="2">
        <v>53</v>
      </c>
      <c r="H5212" s="2">
        <v>218</v>
      </c>
      <c r="I5212" s="2">
        <v>286</v>
      </c>
      <c r="J5212" s="2">
        <v>939</v>
      </c>
      <c r="K5212" s="2">
        <v>152</v>
      </c>
      <c r="L5212" s="2">
        <v>369</v>
      </c>
    </row>
    <row r="5213" spans="1:12" x14ac:dyDescent="0.25">
      <c r="A5213" s="4" t="str">
        <f>HYPERLINK("http://www.rosaceae.org/Prunus/Prunus_persica/p.persica_gdr_reftransV1_0035172","p.persica_gdr_reftransV1_0035172")</f>
        <v>p.persica_gdr_reftransV1_0035172</v>
      </c>
      <c r="B5213" s="2">
        <v>1635</v>
      </c>
      <c r="C5213" s="4" t="str">
        <f>HYPERLINK("http://www.uniprot.org/uniprot/M5W0F0","M5W0F0")</f>
        <v>M5W0F0</v>
      </c>
      <c r="D5213" s="2" t="s">
        <v>4796</v>
      </c>
      <c r="E5213" s="3">
        <v>6.4200000000000004E-91</v>
      </c>
      <c r="F5213" s="2">
        <v>747</v>
      </c>
      <c r="G5213" s="2">
        <v>91</v>
      </c>
      <c r="H5213" s="2">
        <v>265</v>
      </c>
      <c r="I5213" s="2">
        <v>301</v>
      </c>
      <c r="J5213" s="2">
        <v>1095</v>
      </c>
      <c r="K5213" s="2">
        <v>1</v>
      </c>
      <c r="L5213" s="2">
        <v>249</v>
      </c>
    </row>
    <row r="5214" spans="1:12" x14ac:dyDescent="0.25">
      <c r="A5214" s="4" t="str">
        <f>HYPERLINK("http://www.rosaceae.org/Prunus/Prunus_persica/p.persica_gdr_reftransV1_0035522","p.persica_gdr_reftransV1_0035522")</f>
        <v>p.persica_gdr_reftransV1_0035522</v>
      </c>
      <c r="B5214" s="2">
        <v>2132</v>
      </c>
      <c r="C5214" s="4" t="str">
        <f>HYPERLINK("http://www.uniprot.org/uniprot/M5XBT4","M5XBT4")</f>
        <v>M5XBT4</v>
      </c>
      <c r="D5214" s="2" t="s">
        <v>4797</v>
      </c>
      <c r="E5214" s="3">
        <v>0</v>
      </c>
      <c r="F5214" s="2">
        <v>1445</v>
      </c>
      <c r="G5214" s="2">
        <v>100</v>
      </c>
      <c r="H5214" s="2">
        <v>280</v>
      </c>
      <c r="I5214" s="2">
        <v>951</v>
      </c>
      <c r="J5214" s="2">
        <v>1790</v>
      </c>
      <c r="K5214" s="2">
        <v>1</v>
      </c>
      <c r="L5214" s="2">
        <v>280</v>
      </c>
    </row>
    <row r="5215" spans="1:12" x14ac:dyDescent="0.25">
      <c r="A5215" s="4" t="str">
        <f>HYPERLINK("http://www.rosaceae.org/Prunus/Prunus_persica/p.persica_gdr_reftransV1_0036572","p.persica_gdr_reftransV1_0036572")</f>
        <v>p.persica_gdr_reftransV1_0036572</v>
      </c>
      <c r="B5215" s="2">
        <v>3034</v>
      </c>
      <c r="C5215" s="4" t="str">
        <f>HYPERLINK("http://www.uniprot.org/uniprot/M5XKB1","M5XKB1")</f>
        <v>M5XKB1</v>
      </c>
      <c r="D5215" s="2" t="s">
        <v>4798</v>
      </c>
      <c r="E5215" s="3">
        <v>0</v>
      </c>
      <c r="F5215" s="2">
        <v>4389</v>
      </c>
      <c r="G5215" s="2">
        <v>95</v>
      </c>
      <c r="H5215" s="2">
        <v>913</v>
      </c>
      <c r="I5215" s="2">
        <v>300</v>
      </c>
      <c r="J5215" s="2">
        <v>2996</v>
      </c>
      <c r="K5215" s="2">
        <v>1</v>
      </c>
      <c r="L5215" s="2">
        <v>886</v>
      </c>
    </row>
    <row r="5216" spans="1:12" x14ac:dyDescent="0.25">
      <c r="A5216" s="4" t="str">
        <f>HYPERLINK("http://www.rosaceae.org/Prunus/Prunus_persica/p.persica_gdr_reftransV1_0041822","p.persica_gdr_reftransV1_0041822")</f>
        <v>p.persica_gdr_reftransV1_0041822</v>
      </c>
      <c r="B5216" s="2">
        <v>1332</v>
      </c>
      <c r="C5216" s="4" t="str">
        <f>HYPERLINK("http://www.uniprot.org/uniprot/M5WC11","M5WC11")</f>
        <v>M5WC11</v>
      </c>
      <c r="D5216" s="2" t="s">
        <v>4799</v>
      </c>
      <c r="E5216" s="3">
        <v>0</v>
      </c>
      <c r="F5216" s="2">
        <v>1388</v>
      </c>
      <c r="G5216" s="2">
        <v>100</v>
      </c>
      <c r="H5216" s="2">
        <v>307</v>
      </c>
      <c r="I5216" s="2">
        <v>321</v>
      </c>
      <c r="J5216" s="2">
        <v>1241</v>
      </c>
      <c r="K5216" s="2">
        <v>1</v>
      </c>
      <c r="L5216" s="2">
        <v>307</v>
      </c>
    </row>
    <row r="5217" spans="1:12" x14ac:dyDescent="0.25">
      <c r="A5217" s="4" t="str">
        <f>HYPERLINK("http://www.rosaceae.org/Prunus/Prunus_persica/p.persica_gdr_reftransV1_0042522","p.persica_gdr_reftransV1_0042522")</f>
        <v>p.persica_gdr_reftransV1_0042522</v>
      </c>
      <c r="B5217" s="2">
        <v>2463</v>
      </c>
      <c r="C5217" s="4" t="str">
        <f>HYPERLINK("http://www.uniprot.org/uniprot/M5Y7C3","M5Y7C3")</f>
        <v>M5Y7C3</v>
      </c>
      <c r="D5217" s="2" t="s">
        <v>4800</v>
      </c>
      <c r="E5217" s="3">
        <v>0</v>
      </c>
      <c r="F5217" s="2">
        <v>1412</v>
      </c>
      <c r="G5217" s="2">
        <v>97</v>
      </c>
      <c r="H5217" s="2">
        <v>339</v>
      </c>
      <c r="I5217" s="2">
        <v>469</v>
      </c>
      <c r="J5217" s="2">
        <v>1485</v>
      </c>
      <c r="K5217" s="2">
        <v>1</v>
      </c>
      <c r="L5217" s="2">
        <v>331</v>
      </c>
    </row>
    <row r="5218" spans="1:12" x14ac:dyDescent="0.25">
      <c r="A5218" s="4" t="str">
        <f>HYPERLINK("http://www.rosaceae.org/Prunus/Prunus_persica/p.persica_gdr_reftransV1_0043572","p.persica_gdr_reftransV1_0043572")</f>
        <v>p.persica_gdr_reftransV1_0043572</v>
      </c>
      <c r="B5218" s="2">
        <v>3069</v>
      </c>
      <c r="C5218" s="4" t="str">
        <f>HYPERLINK("http://www.uniprot.org/uniprot/M5VKB8","M5VKB8")</f>
        <v>M5VKB8</v>
      </c>
      <c r="D5218" s="2" t="s">
        <v>4801</v>
      </c>
      <c r="E5218" s="3">
        <v>0</v>
      </c>
      <c r="F5218" s="2">
        <v>4806</v>
      </c>
      <c r="G5218" s="2">
        <v>100</v>
      </c>
      <c r="H5218" s="2">
        <v>903</v>
      </c>
      <c r="I5218" s="2">
        <v>65</v>
      </c>
      <c r="J5218" s="2">
        <v>2773</v>
      </c>
      <c r="K5218" s="2">
        <v>761</v>
      </c>
      <c r="L5218" s="2">
        <v>1663</v>
      </c>
    </row>
    <row r="5219" spans="1:12" x14ac:dyDescent="0.25">
      <c r="A5219" s="4" t="str">
        <f>HYPERLINK("http://www.rosaceae.org/Prunus/Prunus_persica/p.persica_gdr_reftransV1_0043922","p.persica_gdr_reftransV1_0043922")</f>
        <v>p.persica_gdr_reftransV1_0043922</v>
      </c>
      <c r="B5219" s="2">
        <v>1178</v>
      </c>
      <c r="C5219" s="4" t="str">
        <f>HYPERLINK("http://www.uniprot.org/uniprot/M5XK60","M5XK60")</f>
        <v>M5XK60</v>
      </c>
      <c r="D5219" s="2" t="s">
        <v>4802</v>
      </c>
      <c r="E5219" s="3">
        <v>0</v>
      </c>
      <c r="F5219" s="2">
        <v>1491</v>
      </c>
      <c r="G5219" s="2">
        <v>99</v>
      </c>
      <c r="H5219" s="2">
        <v>279</v>
      </c>
      <c r="I5219" s="2">
        <v>9</v>
      </c>
      <c r="J5219" s="2">
        <v>845</v>
      </c>
      <c r="K5219" s="2">
        <v>74</v>
      </c>
      <c r="L5219" s="2">
        <v>352</v>
      </c>
    </row>
    <row r="5220" spans="1:12" x14ac:dyDescent="0.25">
      <c r="A5220" s="4" t="str">
        <f>HYPERLINK("http://www.rosaceae.org/Prunus/Prunus_persica/p.persica_gdr_reftransV1_0044272","p.persica_gdr_reftransV1_0044272")</f>
        <v>p.persica_gdr_reftransV1_0044272</v>
      </c>
      <c r="B5220" s="2">
        <v>1941</v>
      </c>
      <c r="C5220" s="4" t="str">
        <f>HYPERLINK("http://www.uniprot.org/uniprot/M5VIA3","M5VIA3")</f>
        <v>M5VIA3</v>
      </c>
      <c r="D5220" s="2" t="s">
        <v>4803</v>
      </c>
      <c r="E5220" s="3">
        <v>0</v>
      </c>
      <c r="F5220" s="2">
        <v>2440</v>
      </c>
      <c r="G5220" s="2">
        <v>100</v>
      </c>
      <c r="H5220" s="2">
        <v>521</v>
      </c>
      <c r="I5220" s="2">
        <v>3</v>
      </c>
      <c r="J5220" s="2">
        <v>1565</v>
      </c>
      <c r="K5220" s="2">
        <v>45</v>
      </c>
      <c r="L5220" s="2">
        <v>565</v>
      </c>
    </row>
    <row r="5221" spans="1:12" x14ac:dyDescent="0.25">
      <c r="A5221" s="4" t="str">
        <f>HYPERLINK("http://www.rosaceae.org/Prunus/Prunus_persica/p.persica_gdr_reftransV1_0044622","p.persica_gdr_reftransV1_0044622")</f>
        <v>p.persica_gdr_reftransV1_0044622</v>
      </c>
      <c r="B5221" s="2">
        <v>474</v>
      </c>
      <c r="C5221" s="4" t="str">
        <f>HYPERLINK("http://www.uniprot.org/uniprot/M5XBM5","M5XBM5")</f>
        <v>M5XBM5</v>
      </c>
      <c r="D5221" s="2" t="s">
        <v>4804</v>
      </c>
      <c r="E5221" s="3">
        <v>1.0900000000000001E-19</v>
      </c>
      <c r="F5221" s="2">
        <v>232</v>
      </c>
      <c r="G5221" s="2">
        <v>100</v>
      </c>
      <c r="H5221" s="2">
        <v>76</v>
      </c>
      <c r="I5221" s="2">
        <v>3</v>
      </c>
      <c r="J5221" s="2">
        <v>230</v>
      </c>
      <c r="K5221" s="2">
        <v>184</v>
      </c>
      <c r="L5221" s="2">
        <v>259</v>
      </c>
    </row>
    <row r="5222" spans="1:12" x14ac:dyDescent="0.25">
      <c r="A5222" s="4" t="str">
        <f>HYPERLINK("http://www.rosaceae.org/Prunus/Prunus_persica/p.persica_gdr_reftransV1_0044972","p.persica_gdr_reftransV1_0044972")</f>
        <v>p.persica_gdr_reftransV1_0044972</v>
      </c>
      <c r="B5222" s="2">
        <v>400</v>
      </c>
      <c r="C5222" s="4" t="str">
        <f>HYPERLINK("http://www.uniprot.org/uniprot/M5XHK5","M5XHK5")</f>
        <v>M5XHK5</v>
      </c>
      <c r="D5222" s="2" t="s">
        <v>4805</v>
      </c>
      <c r="E5222" s="3">
        <v>2.3999999999999999E-49</v>
      </c>
      <c r="F5222" s="2">
        <v>416</v>
      </c>
      <c r="G5222" s="2">
        <v>100</v>
      </c>
      <c r="H5222" s="2">
        <v>104</v>
      </c>
      <c r="I5222" s="2">
        <v>1</v>
      </c>
      <c r="J5222" s="2">
        <v>312</v>
      </c>
      <c r="K5222" s="2">
        <v>2</v>
      </c>
      <c r="L5222" s="2">
        <v>105</v>
      </c>
    </row>
    <row r="5223" spans="1:12" x14ac:dyDescent="0.25">
      <c r="A5223" s="4" t="str">
        <f>HYPERLINK("http://www.rosaceae.org/Prunus/Prunus_persica/p.persica_gdr_reftransV1_0045672","p.persica_gdr_reftransV1_0045672")</f>
        <v>p.persica_gdr_reftransV1_0045672</v>
      </c>
      <c r="B5223" s="2">
        <v>2904</v>
      </c>
      <c r="C5223" s="4" t="str">
        <f>HYPERLINK("http://www.uniprot.org/uniprot/M5VWG3","M5VWG3")</f>
        <v>M5VWG3</v>
      </c>
      <c r="D5223" s="2" t="s">
        <v>4806</v>
      </c>
      <c r="E5223" s="3">
        <v>0</v>
      </c>
      <c r="F5223" s="2">
        <v>1981</v>
      </c>
      <c r="G5223" s="2">
        <v>95</v>
      </c>
      <c r="H5223" s="2">
        <v>422</v>
      </c>
      <c r="I5223" s="2">
        <v>416</v>
      </c>
      <c r="J5223" s="2">
        <v>1681</v>
      </c>
      <c r="K5223" s="2">
        <v>1</v>
      </c>
      <c r="L5223" s="2">
        <v>419</v>
      </c>
    </row>
    <row r="5224" spans="1:12" x14ac:dyDescent="0.25">
      <c r="A5224" s="4" t="str">
        <f>HYPERLINK("http://www.rosaceae.org/Prunus/Prunus_persica/p.persica_gdr_reftransV1_0047072","p.persica_gdr_reftransV1_0047072")</f>
        <v>p.persica_gdr_reftransV1_0047072</v>
      </c>
      <c r="B5224" s="2">
        <v>1361</v>
      </c>
      <c r="C5224" s="4" t="str">
        <f>HYPERLINK("http://www.uniprot.org/uniprot/M5X1S2","M5X1S2")</f>
        <v>M5X1S2</v>
      </c>
      <c r="D5224" s="2" t="s">
        <v>4807</v>
      </c>
      <c r="E5224" s="3">
        <v>0</v>
      </c>
      <c r="F5224" s="2">
        <v>1484</v>
      </c>
      <c r="G5224" s="2">
        <v>100</v>
      </c>
      <c r="H5224" s="2">
        <v>276</v>
      </c>
      <c r="I5224" s="2">
        <v>221</v>
      </c>
      <c r="J5224" s="2">
        <v>1048</v>
      </c>
      <c r="K5224" s="2">
        <v>1</v>
      </c>
      <c r="L5224" s="2">
        <v>276</v>
      </c>
    </row>
    <row r="5225" spans="1:12" x14ac:dyDescent="0.25">
      <c r="A5225" s="4" t="str">
        <f>HYPERLINK("http://www.rosaceae.org/Prunus/Prunus_persica/p.persica_gdr_reftransV1_0047422","p.persica_gdr_reftransV1_0047422")</f>
        <v>p.persica_gdr_reftransV1_0047422</v>
      </c>
      <c r="B5225" s="2">
        <v>1216</v>
      </c>
      <c r="C5225" s="4" t="str">
        <f>HYPERLINK("http://www.uniprot.org/uniprot/A0A0D3CDH7","A0A0D3CDH7")</f>
        <v>A0A0D3CDH7</v>
      </c>
      <c r="D5225" s="2" t="s">
        <v>2799</v>
      </c>
      <c r="E5225" s="3">
        <v>4.3999999999999998E-124</v>
      </c>
      <c r="F5225" s="2">
        <v>950</v>
      </c>
      <c r="G5225" s="2">
        <v>81</v>
      </c>
      <c r="H5225" s="2">
        <v>217</v>
      </c>
      <c r="I5225" s="2">
        <v>133</v>
      </c>
      <c r="J5225" s="2">
        <v>783</v>
      </c>
      <c r="K5225" s="2">
        <v>18</v>
      </c>
      <c r="L5225" s="2">
        <v>226</v>
      </c>
    </row>
    <row r="5226" spans="1:12" x14ac:dyDescent="0.25">
      <c r="A5226" s="4" t="str">
        <f>HYPERLINK("http://www.rosaceae.org/Prunus/Prunus_persica/p.persica_gdr_reftransV1_0047772","p.persica_gdr_reftransV1_0047772")</f>
        <v>p.persica_gdr_reftransV1_0047772</v>
      </c>
      <c r="B5226" s="2">
        <v>515</v>
      </c>
      <c r="C5226" s="4" t="str">
        <f>HYPERLINK("http://www.uniprot.org/uniprot/M5X0W6","M5X0W6")</f>
        <v>M5X0W6</v>
      </c>
      <c r="D5226" s="2" t="s">
        <v>4808</v>
      </c>
      <c r="E5226" s="3">
        <v>1.16E-78</v>
      </c>
      <c r="F5226" s="2">
        <v>671</v>
      </c>
      <c r="G5226" s="2">
        <v>100</v>
      </c>
      <c r="H5226" s="2">
        <v>166</v>
      </c>
      <c r="I5226" s="2">
        <v>17</v>
      </c>
      <c r="J5226" s="2">
        <v>514</v>
      </c>
      <c r="K5226" s="2">
        <v>1</v>
      </c>
      <c r="L5226" s="2">
        <v>166</v>
      </c>
    </row>
    <row r="5227" spans="1:12" x14ac:dyDescent="0.25">
      <c r="A5227" s="4" t="str">
        <f>HYPERLINK("http://www.rosaceae.org/Prunus/Prunus_persica/p.persica_gdr_reftransV1_0048122","p.persica_gdr_reftransV1_0048122")</f>
        <v>p.persica_gdr_reftransV1_0048122</v>
      </c>
      <c r="B5227" s="2">
        <v>719</v>
      </c>
      <c r="C5227" s="4" t="str">
        <f>HYPERLINK("http://www.uniprot.org/uniprot/M5Y110","M5Y110")</f>
        <v>M5Y110</v>
      </c>
      <c r="D5227" s="2" t="s">
        <v>4809</v>
      </c>
      <c r="E5227" s="3">
        <v>1.22E-120</v>
      </c>
      <c r="F5227" s="2">
        <v>957</v>
      </c>
      <c r="G5227" s="2">
        <v>94</v>
      </c>
      <c r="H5227" s="2">
        <v>186</v>
      </c>
      <c r="I5227" s="2">
        <v>157</v>
      </c>
      <c r="J5227" s="2">
        <v>714</v>
      </c>
      <c r="K5227" s="2">
        <v>188</v>
      </c>
      <c r="L5227" s="2">
        <v>373</v>
      </c>
    </row>
    <row r="5228" spans="1:12" x14ac:dyDescent="0.25">
      <c r="A5228" s="4" t="str">
        <f>HYPERLINK("http://www.rosaceae.org/Prunus/Prunus_persica/p.persica_gdr_reftransV1_0048822","p.persica_gdr_reftransV1_0048822")</f>
        <v>p.persica_gdr_reftransV1_0048822</v>
      </c>
      <c r="B5228" s="2">
        <v>2504</v>
      </c>
      <c r="C5228" s="4" t="str">
        <f>HYPERLINK("http://www.uniprot.org/uniprot/M5W8J3","M5W8J3")</f>
        <v>M5W8J3</v>
      </c>
      <c r="D5228" s="2" t="s">
        <v>4810</v>
      </c>
      <c r="E5228" s="3">
        <v>0</v>
      </c>
      <c r="F5228" s="2">
        <v>2697</v>
      </c>
      <c r="G5228" s="2">
        <v>100</v>
      </c>
      <c r="H5228" s="2">
        <v>507</v>
      </c>
      <c r="I5228" s="2">
        <v>620</v>
      </c>
      <c r="J5228" s="2">
        <v>2140</v>
      </c>
      <c r="K5228" s="2">
        <v>1</v>
      </c>
      <c r="L5228" s="2">
        <v>507</v>
      </c>
    </row>
    <row r="5229" spans="1:12" x14ac:dyDescent="0.25">
      <c r="A5229" s="4" t="str">
        <f>HYPERLINK("http://www.rosaceae.org/Prunus/Prunus_persica/p.persica_gdr_reftransV1_0049172","p.persica_gdr_reftransV1_0049172")</f>
        <v>p.persica_gdr_reftransV1_0049172</v>
      </c>
      <c r="B5229" s="2">
        <v>1340</v>
      </c>
      <c r="C5229" s="4" t="str">
        <f>HYPERLINK("http://www.uniprot.org/uniprot/M5VR75","M5VR75")</f>
        <v>M5VR75</v>
      </c>
      <c r="D5229" s="2" t="s">
        <v>4811</v>
      </c>
      <c r="E5229" s="3">
        <v>0</v>
      </c>
      <c r="F5229" s="2">
        <v>1602</v>
      </c>
      <c r="G5229" s="2">
        <v>100</v>
      </c>
      <c r="H5229" s="2">
        <v>312</v>
      </c>
      <c r="I5229" s="2">
        <v>154</v>
      </c>
      <c r="J5229" s="2">
        <v>1089</v>
      </c>
      <c r="K5229" s="2">
        <v>1</v>
      </c>
      <c r="L5229" s="2">
        <v>312</v>
      </c>
    </row>
    <row r="5230" spans="1:12" x14ac:dyDescent="0.25">
      <c r="A5230" s="4" t="str">
        <f>HYPERLINK("http://www.rosaceae.org/Prunus/Prunus_persica/p.persica_gdr_reftransV1_0000173","p.persica_gdr_reftransV1_0000173")</f>
        <v>p.persica_gdr_reftransV1_0000173</v>
      </c>
      <c r="B5230" s="2">
        <v>889</v>
      </c>
      <c r="C5230" s="4" t="str">
        <f>HYPERLINK("http://www.uniprot.org/uniprot/M5X2J8","M5X2J8")</f>
        <v>M5X2J8</v>
      </c>
      <c r="D5230" s="2" t="s">
        <v>4812</v>
      </c>
      <c r="E5230" s="3">
        <v>3.2400000000000001E-74</v>
      </c>
      <c r="F5230" s="2">
        <v>641</v>
      </c>
      <c r="G5230" s="2">
        <v>100</v>
      </c>
      <c r="H5230" s="2">
        <v>151</v>
      </c>
      <c r="I5230" s="2">
        <v>384</v>
      </c>
      <c r="J5230" s="2">
        <v>836</v>
      </c>
      <c r="K5230" s="2">
        <v>1</v>
      </c>
      <c r="L5230" s="2">
        <v>151</v>
      </c>
    </row>
    <row r="5231" spans="1:12" x14ac:dyDescent="0.25">
      <c r="A5231" s="4" t="str">
        <f>HYPERLINK("http://www.rosaceae.org/Prunus/Prunus_persica/p.persica_gdr_reftransV1_0000523","p.persica_gdr_reftransV1_0000523")</f>
        <v>p.persica_gdr_reftransV1_0000523</v>
      </c>
      <c r="B5231" s="2">
        <v>1904</v>
      </c>
      <c r="C5231" s="4" t="str">
        <f>HYPERLINK("http://www.uniprot.org/uniprot/M1P405","M1P405")</f>
        <v>M1P405</v>
      </c>
      <c r="D5231" s="2" t="s">
        <v>4813</v>
      </c>
      <c r="E5231" s="3">
        <v>0</v>
      </c>
      <c r="F5231" s="2">
        <v>1882</v>
      </c>
      <c r="G5231" s="2">
        <v>100</v>
      </c>
      <c r="H5231" s="2">
        <v>368</v>
      </c>
      <c r="I5231" s="2">
        <v>552</v>
      </c>
      <c r="J5231" s="2">
        <v>1655</v>
      </c>
      <c r="K5231" s="2">
        <v>1</v>
      </c>
      <c r="L5231" s="2">
        <v>368</v>
      </c>
    </row>
    <row r="5232" spans="1:12" x14ac:dyDescent="0.25">
      <c r="A5232" s="4" t="str">
        <f>HYPERLINK("http://www.rosaceae.org/Prunus/Prunus_persica/p.persica_gdr_reftransV1_0001573","p.persica_gdr_reftransV1_0001573")</f>
        <v>p.persica_gdr_reftransV1_0001573</v>
      </c>
      <c r="B5232" s="2">
        <v>1438</v>
      </c>
      <c r="C5232" s="4" t="str">
        <f>HYPERLINK("http://www.uniprot.org/uniprot/M5W6G1","M5W6G1")</f>
        <v>M5W6G1</v>
      </c>
      <c r="D5232" s="2" t="s">
        <v>4814</v>
      </c>
      <c r="E5232" s="3">
        <v>0</v>
      </c>
      <c r="F5232" s="2">
        <v>2135</v>
      </c>
      <c r="G5232" s="2">
        <v>100</v>
      </c>
      <c r="H5232" s="2">
        <v>431</v>
      </c>
      <c r="I5232" s="2">
        <v>14</v>
      </c>
      <c r="J5232" s="2">
        <v>1306</v>
      </c>
      <c r="K5232" s="2">
        <v>91</v>
      </c>
      <c r="L5232" s="2">
        <v>521</v>
      </c>
    </row>
    <row r="5233" spans="1:12" x14ac:dyDescent="0.25">
      <c r="A5233" s="4" t="str">
        <f>HYPERLINK("http://www.rosaceae.org/Prunus/Prunus_persica/p.persica_gdr_reftransV1_0001923","p.persica_gdr_reftransV1_0001923")</f>
        <v>p.persica_gdr_reftransV1_0001923</v>
      </c>
      <c r="B5233" s="2">
        <v>315</v>
      </c>
      <c r="C5233" s="4" t="str">
        <f>HYPERLINK("http://www.uniprot.org/uniprot/M5W3J3","M5W3J3")</f>
        <v>M5W3J3</v>
      </c>
      <c r="D5233" s="2" t="s">
        <v>1761</v>
      </c>
      <c r="E5233" s="3">
        <v>1.6599999999999999E-62</v>
      </c>
      <c r="F5233" s="2">
        <v>551</v>
      </c>
      <c r="G5233" s="2">
        <v>100</v>
      </c>
      <c r="H5233" s="2">
        <v>104</v>
      </c>
      <c r="I5233" s="2">
        <v>2</v>
      </c>
      <c r="J5233" s="2">
        <v>313</v>
      </c>
      <c r="K5233" s="2">
        <v>260</v>
      </c>
      <c r="L5233" s="2">
        <v>363</v>
      </c>
    </row>
    <row r="5234" spans="1:12" x14ac:dyDescent="0.25">
      <c r="A5234" s="4" t="str">
        <f>HYPERLINK("http://www.rosaceae.org/Prunus/Prunus_persica/p.persica_gdr_reftransV1_0002973","p.persica_gdr_reftransV1_0002973")</f>
        <v>p.persica_gdr_reftransV1_0002973</v>
      </c>
      <c r="B5234" s="2">
        <v>1256</v>
      </c>
      <c r="C5234" s="4" t="str">
        <f>HYPERLINK("http://www.uniprot.org/uniprot/M5WMV4","M5WMV4")</f>
        <v>M5WMV4</v>
      </c>
      <c r="D5234" s="2" t="s">
        <v>4815</v>
      </c>
      <c r="E5234" s="3">
        <v>2.0899999999999999E-88</v>
      </c>
      <c r="F5234" s="2">
        <v>720</v>
      </c>
      <c r="G5234" s="2">
        <v>96</v>
      </c>
      <c r="H5234" s="2">
        <v>261</v>
      </c>
      <c r="I5234" s="2">
        <v>187</v>
      </c>
      <c r="J5234" s="2">
        <v>942</v>
      </c>
      <c r="K5234" s="2">
        <v>26</v>
      </c>
      <c r="L5234" s="2">
        <v>286</v>
      </c>
    </row>
    <row r="5235" spans="1:12" x14ac:dyDescent="0.25">
      <c r="A5235" s="4" t="str">
        <f>HYPERLINK("http://www.rosaceae.org/Prunus/Prunus_persica/p.persica_gdr_reftransV1_0003323","p.persica_gdr_reftransV1_0003323")</f>
        <v>p.persica_gdr_reftransV1_0003323</v>
      </c>
      <c r="B5235" s="2">
        <v>1366</v>
      </c>
      <c r="C5235" s="4" t="str">
        <f>HYPERLINK("http://www.uniprot.org/uniprot/M5W4Q9","M5W4Q9")</f>
        <v>M5W4Q9</v>
      </c>
      <c r="D5235" s="2" t="s">
        <v>4816</v>
      </c>
      <c r="E5235" s="3">
        <v>1.71E-142</v>
      </c>
      <c r="F5235" s="2">
        <v>952</v>
      </c>
      <c r="G5235" s="2">
        <v>86</v>
      </c>
      <c r="H5235" s="2">
        <v>229</v>
      </c>
      <c r="I5235" s="2">
        <v>118</v>
      </c>
      <c r="J5235" s="2">
        <v>804</v>
      </c>
      <c r="K5235" s="2">
        <v>1</v>
      </c>
      <c r="L5235" s="2">
        <v>197</v>
      </c>
    </row>
    <row r="5236" spans="1:12" x14ac:dyDescent="0.25">
      <c r="A5236" s="4" t="str">
        <f>HYPERLINK("http://www.rosaceae.org/Prunus/Prunus_persica/p.persica_gdr_reftransV1_0003673","p.persica_gdr_reftransV1_0003673")</f>
        <v>p.persica_gdr_reftransV1_0003673</v>
      </c>
      <c r="B5236" s="2">
        <v>574</v>
      </c>
      <c r="C5236" s="4" t="str">
        <f>HYPERLINK("http://www.uniprot.org/uniprot/M5WED9","M5WED9")</f>
        <v>M5WED9</v>
      </c>
      <c r="D5236" s="2" t="s">
        <v>4817</v>
      </c>
      <c r="E5236" s="3">
        <v>9.6000000000000002E-99</v>
      </c>
      <c r="F5236" s="2">
        <v>786</v>
      </c>
      <c r="G5236" s="2">
        <v>97</v>
      </c>
      <c r="H5236" s="2">
        <v>150</v>
      </c>
      <c r="I5236" s="2">
        <v>137</v>
      </c>
      <c r="J5236" s="2">
        <v>574</v>
      </c>
      <c r="K5236" s="2">
        <v>1</v>
      </c>
      <c r="L5236" s="2">
        <v>150</v>
      </c>
    </row>
    <row r="5237" spans="1:12" x14ac:dyDescent="0.25">
      <c r="A5237" s="4" t="str">
        <f>HYPERLINK("http://www.rosaceae.org/Prunus/Prunus_persica/p.persica_gdr_reftransV1_0004023","p.persica_gdr_reftransV1_0004023")</f>
        <v>p.persica_gdr_reftransV1_0004023</v>
      </c>
      <c r="B5237" s="2">
        <v>502</v>
      </c>
      <c r="C5237" s="4" t="str">
        <f>HYPERLINK("http://www.uniprot.org/uniprot/M5WBT7","M5WBT7")</f>
        <v>M5WBT7</v>
      </c>
      <c r="D5237" s="2" t="s">
        <v>4818</v>
      </c>
      <c r="E5237" s="3">
        <v>1.43E-65</v>
      </c>
      <c r="F5237" s="2">
        <v>528</v>
      </c>
      <c r="G5237" s="2">
        <v>98</v>
      </c>
      <c r="H5237" s="2">
        <v>117</v>
      </c>
      <c r="I5237" s="2">
        <v>48</v>
      </c>
      <c r="J5237" s="2">
        <v>398</v>
      </c>
      <c r="K5237" s="2">
        <v>1</v>
      </c>
      <c r="L5237" s="2">
        <v>117</v>
      </c>
    </row>
    <row r="5238" spans="1:12" x14ac:dyDescent="0.25">
      <c r="A5238" s="4" t="str">
        <f>HYPERLINK("http://www.rosaceae.org/Prunus/Prunus_persica/p.persica_gdr_reftransV1_0004373","p.persica_gdr_reftransV1_0004373")</f>
        <v>p.persica_gdr_reftransV1_0004373</v>
      </c>
      <c r="B5238" s="2">
        <v>1637</v>
      </c>
      <c r="C5238" s="4" t="str">
        <f>HYPERLINK("http://www.uniprot.org/uniprot/M5WKY2","M5WKY2")</f>
        <v>M5WKY2</v>
      </c>
      <c r="D5238" s="2" t="s">
        <v>4819</v>
      </c>
      <c r="E5238" s="3">
        <v>4.2399999999999998E-150</v>
      </c>
      <c r="F5238" s="2">
        <v>1136</v>
      </c>
      <c r="G5238" s="2">
        <v>100</v>
      </c>
      <c r="H5238" s="2">
        <v>230</v>
      </c>
      <c r="I5238" s="2">
        <v>55</v>
      </c>
      <c r="J5238" s="2">
        <v>744</v>
      </c>
      <c r="K5238" s="2">
        <v>1</v>
      </c>
      <c r="L5238" s="2">
        <v>230</v>
      </c>
    </row>
    <row r="5239" spans="1:12" x14ac:dyDescent="0.25">
      <c r="A5239" s="4" t="str">
        <f>HYPERLINK("http://www.rosaceae.org/Prunus/Prunus_persica/p.persica_gdr_reftransV1_0004723","p.persica_gdr_reftransV1_0004723")</f>
        <v>p.persica_gdr_reftransV1_0004723</v>
      </c>
      <c r="B5239" s="2">
        <v>889</v>
      </c>
      <c r="C5239" s="4" t="str">
        <f>HYPERLINK("http://www.uniprot.org/uniprot/M5VN32","M5VN32")</f>
        <v>M5VN32</v>
      </c>
      <c r="D5239" s="2" t="s">
        <v>4820</v>
      </c>
      <c r="E5239" s="3">
        <v>3.58E-66</v>
      </c>
      <c r="F5239" s="2">
        <v>543</v>
      </c>
      <c r="G5239" s="2">
        <v>100</v>
      </c>
      <c r="H5239" s="2">
        <v>103</v>
      </c>
      <c r="I5239" s="2">
        <v>238</v>
      </c>
      <c r="J5239" s="2">
        <v>546</v>
      </c>
      <c r="K5239" s="2">
        <v>1</v>
      </c>
      <c r="L5239" s="2">
        <v>103</v>
      </c>
    </row>
    <row r="5240" spans="1:12" x14ac:dyDescent="0.25">
      <c r="A5240" s="4" t="str">
        <f>HYPERLINK("http://www.rosaceae.org/Prunus/Prunus_persica/p.persica_gdr_reftransV1_0005423","p.persica_gdr_reftransV1_0005423")</f>
        <v>p.persica_gdr_reftransV1_0005423</v>
      </c>
      <c r="B5240" s="2">
        <v>2298</v>
      </c>
      <c r="C5240" s="4" t="str">
        <f>HYPERLINK("http://www.uniprot.org/uniprot/M5WQ00","M5WQ00")</f>
        <v>M5WQ00</v>
      </c>
      <c r="D5240" s="2" t="s">
        <v>1782</v>
      </c>
      <c r="E5240" s="3">
        <v>0</v>
      </c>
      <c r="F5240" s="2">
        <v>2680</v>
      </c>
      <c r="G5240" s="2">
        <v>92</v>
      </c>
      <c r="H5240" s="2">
        <v>626</v>
      </c>
      <c r="I5240" s="2">
        <v>259</v>
      </c>
      <c r="J5240" s="2">
        <v>2136</v>
      </c>
      <c r="K5240" s="2">
        <v>6</v>
      </c>
      <c r="L5240" s="2">
        <v>584</v>
      </c>
    </row>
    <row r="5241" spans="1:12" x14ac:dyDescent="0.25">
      <c r="A5241" s="4" t="str">
        <f>HYPERLINK("http://www.rosaceae.org/Prunus/Prunus_persica/p.persica_gdr_reftransV1_0005773","p.persica_gdr_reftransV1_0005773")</f>
        <v>p.persica_gdr_reftransV1_0005773</v>
      </c>
      <c r="B5241" s="2">
        <v>538</v>
      </c>
      <c r="C5241" s="4" t="str">
        <f>HYPERLINK("http://www.uniprot.org/uniprot/M5XPA6","M5XPA6")</f>
        <v>M5XPA6</v>
      </c>
      <c r="D5241" s="2" t="s">
        <v>4821</v>
      </c>
      <c r="E5241" s="3">
        <v>2.6200000000000001E-117</v>
      </c>
      <c r="F5241" s="2">
        <v>949</v>
      </c>
      <c r="G5241" s="2">
        <v>100</v>
      </c>
      <c r="H5241" s="2">
        <v>179</v>
      </c>
      <c r="I5241" s="2">
        <v>1</v>
      </c>
      <c r="J5241" s="2">
        <v>537</v>
      </c>
      <c r="K5241" s="2">
        <v>325</v>
      </c>
      <c r="L5241" s="2">
        <v>503</v>
      </c>
    </row>
    <row r="5242" spans="1:12" x14ac:dyDescent="0.25">
      <c r="A5242" s="4" t="str">
        <f>HYPERLINK("http://www.rosaceae.org/Prunus/Prunus_persica/p.persica_gdr_reftransV1_0006123","p.persica_gdr_reftransV1_0006123")</f>
        <v>p.persica_gdr_reftransV1_0006123</v>
      </c>
      <c r="B5242" s="2">
        <v>1093</v>
      </c>
      <c r="C5242" s="4" t="str">
        <f>HYPERLINK("http://www.uniprot.org/uniprot/M5W320","M5W320")</f>
        <v>M5W320</v>
      </c>
      <c r="D5242" s="2" t="s">
        <v>2808</v>
      </c>
      <c r="E5242" s="3">
        <v>2.65E-116</v>
      </c>
      <c r="F5242" s="2">
        <v>898</v>
      </c>
      <c r="G5242" s="2">
        <v>100</v>
      </c>
      <c r="H5242" s="2">
        <v>204</v>
      </c>
      <c r="I5242" s="2">
        <v>317</v>
      </c>
      <c r="J5242" s="2">
        <v>928</v>
      </c>
      <c r="K5242" s="2">
        <v>1</v>
      </c>
      <c r="L5242" s="2">
        <v>204</v>
      </c>
    </row>
    <row r="5243" spans="1:12" x14ac:dyDescent="0.25">
      <c r="A5243" s="4" t="str">
        <f>HYPERLINK("http://www.rosaceae.org/Prunus/Prunus_persica/p.persica_gdr_reftransV1_0006823","p.persica_gdr_reftransV1_0006823")</f>
        <v>p.persica_gdr_reftransV1_0006823</v>
      </c>
      <c r="B5243" s="2">
        <v>1978</v>
      </c>
      <c r="C5243" s="4" t="str">
        <f>HYPERLINK("http://www.uniprot.org/uniprot/M5WCZ9","M5WCZ9")</f>
        <v>M5WCZ9</v>
      </c>
      <c r="D5243" s="2" t="s">
        <v>3156</v>
      </c>
      <c r="E5243" s="3">
        <v>0</v>
      </c>
      <c r="F5243" s="2">
        <v>2408</v>
      </c>
      <c r="G5243" s="2">
        <v>100</v>
      </c>
      <c r="H5243" s="2">
        <v>534</v>
      </c>
      <c r="I5243" s="2">
        <v>376</v>
      </c>
      <c r="J5243" s="2">
        <v>1977</v>
      </c>
      <c r="K5243" s="2">
        <v>1</v>
      </c>
      <c r="L5243" s="2">
        <v>534</v>
      </c>
    </row>
    <row r="5244" spans="1:12" x14ac:dyDescent="0.25">
      <c r="A5244" s="4" t="str">
        <f>HYPERLINK("http://www.rosaceae.org/Prunus/Prunus_persica/p.persica_gdr_reftransV1_0007173","p.persica_gdr_reftransV1_0007173")</f>
        <v>p.persica_gdr_reftransV1_0007173</v>
      </c>
      <c r="B5244" s="2">
        <v>1193</v>
      </c>
      <c r="C5244" s="4" t="str">
        <f>HYPERLINK("http://www.uniprot.org/uniprot/M5W590","M5W590")</f>
        <v>M5W590</v>
      </c>
      <c r="D5244" s="2" t="s">
        <v>4822</v>
      </c>
      <c r="E5244" s="3">
        <v>0</v>
      </c>
      <c r="F5244" s="2">
        <v>2059</v>
      </c>
      <c r="G5244" s="2">
        <v>100</v>
      </c>
      <c r="H5244" s="2">
        <v>384</v>
      </c>
      <c r="I5244" s="2">
        <v>2</v>
      </c>
      <c r="J5244" s="2">
        <v>1153</v>
      </c>
      <c r="K5244" s="2">
        <v>123</v>
      </c>
      <c r="L5244" s="2">
        <v>506</v>
      </c>
    </row>
    <row r="5245" spans="1:12" x14ac:dyDescent="0.25">
      <c r="A5245" s="4" t="str">
        <f>HYPERLINK("http://www.rosaceae.org/Prunus/Prunus_persica/p.persica_gdr_reftransV1_0007523","p.persica_gdr_reftransV1_0007523")</f>
        <v>p.persica_gdr_reftransV1_0007523</v>
      </c>
      <c r="B5245" s="2">
        <v>2100</v>
      </c>
      <c r="C5245" s="4" t="str">
        <f>HYPERLINK("http://www.uniprot.org/uniprot/M5WKT4","M5WKT4")</f>
        <v>M5WKT4</v>
      </c>
      <c r="D5245" s="2" t="s">
        <v>4823</v>
      </c>
      <c r="E5245" s="3">
        <v>2.7400000000000001E-145</v>
      </c>
      <c r="F5245" s="2">
        <v>1149</v>
      </c>
      <c r="G5245" s="2">
        <v>85</v>
      </c>
      <c r="H5245" s="2">
        <v>277</v>
      </c>
      <c r="I5245" s="2">
        <v>217</v>
      </c>
      <c r="J5245" s="2">
        <v>1047</v>
      </c>
      <c r="K5245" s="2">
        <v>1</v>
      </c>
      <c r="L5245" s="2">
        <v>262</v>
      </c>
    </row>
    <row r="5246" spans="1:12" x14ac:dyDescent="0.25">
      <c r="A5246" s="4" t="str">
        <f>HYPERLINK("http://www.rosaceae.org/Prunus/Prunus_persica/p.persica_gdr_reftransV1_0007873","p.persica_gdr_reftransV1_0007873")</f>
        <v>p.persica_gdr_reftransV1_0007873</v>
      </c>
      <c r="B5246" s="2">
        <v>1340</v>
      </c>
      <c r="C5246" s="4" t="str">
        <f>HYPERLINK("http://www.uniprot.org/uniprot/M5XFI4","M5XFI4")</f>
        <v>M5XFI4</v>
      </c>
      <c r="D5246" s="2" t="s">
        <v>4824</v>
      </c>
      <c r="E5246" s="3">
        <v>0</v>
      </c>
      <c r="F5246" s="2">
        <v>1363</v>
      </c>
      <c r="G5246" s="2">
        <v>100</v>
      </c>
      <c r="H5246" s="2">
        <v>259</v>
      </c>
      <c r="I5246" s="2">
        <v>370</v>
      </c>
      <c r="J5246" s="2">
        <v>1146</v>
      </c>
      <c r="K5246" s="2">
        <v>1</v>
      </c>
      <c r="L5246" s="2">
        <v>259</v>
      </c>
    </row>
    <row r="5247" spans="1:12" x14ac:dyDescent="0.25">
      <c r="A5247" s="4" t="str">
        <f>HYPERLINK("http://www.rosaceae.org/Prunus/Prunus_persica/p.persica_gdr_reftransV1_0008573","p.persica_gdr_reftransV1_0008573")</f>
        <v>p.persica_gdr_reftransV1_0008573</v>
      </c>
      <c r="B5247" s="2">
        <v>953</v>
      </c>
      <c r="C5247" s="4" t="str">
        <f>HYPERLINK("http://www.uniprot.org/uniprot/M5XNE9","M5XNE9")</f>
        <v>M5XNE9</v>
      </c>
      <c r="D5247" s="2" t="s">
        <v>4825</v>
      </c>
      <c r="E5247" s="3">
        <v>2.4600000000000001E-83</v>
      </c>
      <c r="F5247" s="2">
        <v>661</v>
      </c>
      <c r="G5247" s="2">
        <v>100</v>
      </c>
      <c r="H5247" s="2">
        <v>123</v>
      </c>
      <c r="I5247" s="2">
        <v>319</v>
      </c>
      <c r="J5247" s="2">
        <v>687</v>
      </c>
      <c r="K5247" s="2">
        <v>1</v>
      </c>
      <c r="L5247" s="2">
        <v>123</v>
      </c>
    </row>
    <row r="5248" spans="1:12" x14ac:dyDescent="0.25">
      <c r="A5248" s="4" t="str">
        <f>HYPERLINK("http://www.rosaceae.org/Prunus/Prunus_persica/p.persica_gdr_reftransV1_0008923","p.persica_gdr_reftransV1_0008923")</f>
        <v>p.persica_gdr_reftransV1_0008923</v>
      </c>
      <c r="B5248" s="2">
        <v>1599</v>
      </c>
      <c r="C5248" s="4" t="str">
        <f>HYPERLINK("http://www.uniprot.org/uniprot/M5VMP6","M5VMP6")</f>
        <v>M5VMP6</v>
      </c>
      <c r="D5248" s="2" t="s">
        <v>4826</v>
      </c>
      <c r="E5248" s="3">
        <v>0</v>
      </c>
      <c r="F5248" s="2">
        <v>1600</v>
      </c>
      <c r="G5248" s="2">
        <v>100</v>
      </c>
      <c r="H5248" s="2">
        <v>309</v>
      </c>
      <c r="I5248" s="2">
        <v>493</v>
      </c>
      <c r="J5248" s="2">
        <v>1419</v>
      </c>
      <c r="K5248" s="2">
        <v>25</v>
      </c>
      <c r="L5248" s="2">
        <v>333</v>
      </c>
    </row>
    <row r="5249" spans="1:12" x14ac:dyDescent="0.25">
      <c r="A5249" s="4" t="str">
        <f>HYPERLINK("http://www.rosaceae.org/Prunus/Prunus_persica/p.persica_gdr_reftransV1_0009273","p.persica_gdr_reftransV1_0009273")</f>
        <v>p.persica_gdr_reftransV1_0009273</v>
      </c>
      <c r="B5249" s="2">
        <v>1505</v>
      </c>
      <c r="C5249" s="4" t="str">
        <f>HYPERLINK("http://www.uniprot.org/uniprot/M5XD53","M5XD53")</f>
        <v>M5XD53</v>
      </c>
      <c r="D5249" s="2" t="s">
        <v>4827</v>
      </c>
      <c r="E5249" s="3">
        <v>0</v>
      </c>
      <c r="F5249" s="2">
        <v>1591</v>
      </c>
      <c r="G5249" s="2">
        <v>100</v>
      </c>
      <c r="H5249" s="2">
        <v>348</v>
      </c>
      <c r="I5249" s="2">
        <v>345</v>
      </c>
      <c r="J5249" s="2">
        <v>1388</v>
      </c>
      <c r="K5249" s="2">
        <v>1</v>
      </c>
      <c r="L5249" s="2">
        <v>348</v>
      </c>
    </row>
    <row r="5250" spans="1:12" x14ac:dyDescent="0.25">
      <c r="A5250" s="4" t="str">
        <f>HYPERLINK("http://www.rosaceae.org/Prunus/Prunus_persica/p.persica_gdr_reftransV1_0009973","p.persica_gdr_reftransV1_0009973")</f>
        <v>p.persica_gdr_reftransV1_0009973</v>
      </c>
      <c r="B5250" s="2">
        <v>2074</v>
      </c>
      <c r="C5250" s="4" t="str">
        <f>HYPERLINK("http://www.uniprot.org/uniprot/M5X0L8","M5X0L8")</f>
        <v>M5X0L8</v>
      </c>
      <c r="D5250" s="2" t="s">
        <v>4828</v>
      </c>
      <c r="E5250" s="3">
        <v>0</v>
      </c>
      <c r="F5250" s="2">
        <v>2382</v>
      </c>
      <c r="G5250" s="2">
        <v>100</v>
      </c>
      <c r="H5250" s="2">
        <v>471</v>
      </c>
      <c r="I5250" s="2">
        <v>375</v>
      </c>
      <c r="J5250" s="2">
        <v>1787</v>
      </c>
      <c r="K5250" s="2">
        <v>1</v>
      </c>
      <c r="L5250" s="2">
        <v>471</v>
      </c>
    </row>
    <row r="5251" spans="1:12" x14ac:dyDescent="0.25">
      <c r="A5251" s="4" t="str">
        <f>HYPERLINK("http://www.rosaceae.org/Prunus/Prunus_persica/p.persica_gdr_reftransV1_0010673","p.persica_gdr_reftransV1_0010673")</f>
        <v>p.persica_gdr_reftransV1_0010673</v>
      </c>
      <c r="B5251" s="2">
        <v>1365</v>
      </c>
      <c r="C5251" s="4" t="str">
        <f>HYPERLINK("http://www.uniprot.org/uniprot/M5VKR1","M5VKR1")</f>
        <v>M5VKR1</v>
      </c>
      <c r="D5251" s="2" t="s">
        <v>678</v>
      </c>
      <c r="E5251" s="3">
        <v>0</v>
      </c>
      <c r="F5251" s="2">
        <v>1540</v>
      </c>
      <c r="G5251" s="2">
        <v>99</v>
      </c>
      <c r="H5251" s="2">
        <v>290</v>
      </c>
      <c r="I5251" s="2">
        <v>219</v>
      </c>
      <c r="J5251" s="2">
        <v>1088</v>
      </c>
      <c r="K5251" s="2">
        <v>1</v>
      </c>
      <c r="L5251" s="2">
        <v>290</v>
      </c>
    </row>
    <row r="5252" spans="1:12" x14ac:dyDescent="0.25">
      <c r="A5252" s="4" t="str">
        <f>HYPERLINK("http://www.rosaceae.org/Prunus/Prunus_persica/p.persica_gdr_reftransV1_0011373","p.persica_gdr_reftransV1_0011373")</f>
        <v>p.persica_gdr_reftransV1_0011373</v>
      </c>
      <c r="B5252" s="2">
        <v>2886</v>
      </c>
      <c r="C5252" s="4" t="str">
        <f>HYPERLINK("http://www.uniprot.org/uniprot/M5X8M6","M5X8M6")</f>
        <v>M5X8M6</v>
      </c>
      <c r="D5252" s="2" t="s">
        <v>4829</v>
      </c>
      <c r="E5252" s="3">
        <v>0</v>
      </c>
      <c r="F5252" s="2">
        <v>4465</v>
      </c>
      <c r="G5252" s="2">
        <v>98</v>
      </c>
      <c r="H5252" s="2">
        <v>883</v>
      </c>
      <c r="I5252" s="2">
        <v>2</v>
      </c>
      <c r="J5252" s="2">
        <v>2650</v>
      </c>
      <c r="K5252" s="2">
        <v>111</v>
      </c>
      <c r="L5252" s="2">
        <v>984</v>
      </c>
    </row>
    <row r="5253" spans="1:12" x14ac:dyDescent="0.25">
      <c r="A5253" s="4" t="str">
        <f>HYPERLINK("http://www.rosaceae.org/Prunus/Prunus_persica/p.persica_gdr_reftransV1_0013473","p.persica_gdr_reftransV1_0013473")</f>
        <v>p.persica_gdr_reftransV1_0013473</v>
      </c>
      <c r="B5253" s="2">
        <v>556</v>
      </c>
      <c r="C5253" s="4" t="str">
        <f>HYPERLINK("http://www.uniprot.org/uniprot/M5Y2B6","M5Y2B6")</f>
        <v>M5Y2B6</v>
      </c>
      <c r="D5253" s="2" t="s">
        <v>4830</v>
      </c>
      <c r="E5253" s="3">
        <v>2.35E-122</v>
      </c>
      <c r="F5253" s="2">
        <v>996</v>
      </c>
      <c r="G5253" s="2">
        <v>100</v>
      </c>
      <c r="H5253" s="2">
        <v>185</v>
      </c>
      <c r="I5253" s="2">
        <v>1</v>
      </c>
      <c r="J5253" s="2">
        <v>555</v>
      </c>
      <c r="K5253" s="2">
        <v>1060</v>
      </c>
      <c r="L5253" s="2">
        <v>1244</v>
      </c>
    </row>
    <row r="5254" spans="1:12" x14ac:dyDescent="0.25">
      <c r="A5254" s="4" t="str">
        <f>HYPERLINK("http://www.rosaceae.org/Prunus/Prunus_persica/p.persica_gdr_reftransV1_0014523","p.persica_gdr_reftransV1_0014523")</f>
        <v>p.persica_gdr_reftransV1_0014523</v>
      </c>
      <c r="B5254" s="2">
        <v>1454</v>
      </c>
      <c r="C5254" s="4" t="str">
        <f>HYPERLINK("http://www.uniprot.org/uniprot/M5X6F9","M5X6F9")</f>
        <v>M5X6F9</v>
      </c>
      <c r="D5254" s="2" t="s">
        <v>4831</v>
      </c>
      <c r="E5254" s="3">
        <v>2.1599999999999998E-34</v>
      </c>
      <c r="F5254" s="2">
        <v>353</v>
      </c>
      <c r="G5254" s="2">
        <v>100</v>
      </c>
      <c r="H5254" s="2">
        <v>83</v>
      </c>
      <c r="I5254" s="2">
        <v>157</v>
      </c>
      <c r="J5254" s="2">
        <v>405</v>
      </c>
      <c r="K5254" s="2">
        <v>114</v>
      </c>
      <c r="L5254" s="2">
        <v>196</v>
      </c>
    </row>
    <row r="5255" spans="1:12" x14ac:dyDescent="0.25">
      <c r="A5255" s="4" t="str">
        <f>HYPERLINK("http://www.rosaceae.org/Prunus/Prunus_persica/p.persica_gdr_reftransV1_0015223","p.persica_gdr_reftransV1_0015223")</f>
        <v>p.persica_gdr_reftransV1_0015223</v>
      </c>
      <c r="B5255" s="2">
        <v>1820</v>
      </c>
      <c r="C5255" s="4" t="str">
        <f>HYPERLINK("http://www.uniprot.org/uniprot/M5X8U9","M5X8U9")</f>
        <v>M5X8U9</v>
      </c>
      <c r="D5255" s="2" t="s">
        <v>4832</v>
      </c>
      <c r="E5255" s="3">
        <v>1.3799999999999999E-173</v>
      </c>
      <c r="F5255" s="2">
        <v>1306</v>
      </c>
      <c r="G5255" s="2">
        <v>89</v>
      </c>
      <c r="H5255" s="2">
        <v>290</v>
      </c>
      <c r="I5255" s="2">
        <v>803</v>
      </c>
      <c r="J5255" s="2">
        <v>1624</v>
      </c>
      <c r="K5255" s="2">
        <v>1</v>
      </c>
      <c r="L5255" s="2">
        <v>285</v>
      </c>
    </row>
    <row r="5256" spans="1:12" x14ac:dyDescent="0.25">
      <c r="A5256" s="4" t="str">
        <f>HYPERLINK("http://www.rosaceae.org/Prunus/Prunus_persica/p.persica_gdr_reftransV1_0016273","p.persica_gdr_reftransV1_0016273")</f>
        <v>p.persica_gdr_reftransV1_0016273</v>
      </c>
      <c r="B5256" s="2">
        <v>3136</v>
      </c>
      <c r="C5256" s="4" t="str">
        <f>HYPERLINK("http://www.uniprot.org/uniprot/M5VSN8","M5VSN8")</f>
        <v>M5VSN8</v>
      </c>
      <c r="D5256" s="2" t="s">
        <v>4833</v>
      </c>
      <c r="E5256" s="3">
        <v>3.0999999999999998E-152</v>
      </c>
      <c r="F5256" s="2">
        <v>1229</v>
      </c>
      <c r="G5256" s="2">
        <v>93</v>
      </c>
      <c r="H5256" s="2">
        <v>277</v>
      </c>
      <c r="I5256" s="2">
        <v>1915</v>
      </c>
      <c r="J5256" s="2">
        <v>2745</v>
      </c>
      <c r="K5256" s="2">
        <v>333</v>
      </c>
      <c r="L5256" s="2">
        <v>607</v>
      </c>
    </row>
    <row r="5257" spans="1:12" x14ac:dyDescent="0.25">
      <c r="A5257" s="4" t="str">
        <f>HYPERLINK("http://www.rosaceae.org/Prunus/Prunus_persica/p.persica_gdr_reftransV1_0016973","p.persica_gdr_reftransV1_0016973")</f>
        <v>p.persica_gdr_reftransV1_0016973</v>
      </c>
      <c r="B5257" s="2">
        <v>2693</v>
      </c>
      <c r="C5257" s="4" t="str">
        <f>HYPERLINK("http://www.uniprot.org/uniprot/M5X2Q3","M5X2Q3")</f>
        <v>M5X2Q3</v>
      </c>
      <c r="D5257" s="2" t="s">
        <v>4834</v>
      </c>
      <c r="E5257" s="3">
        <v>0</v>
      </c>
      <c r="F5257" s="2">
        <v>2336</v>
      </c>
      <c r="G5257" s="2">
        <v>100</v>
      </c>
      <c r="H5257" s="2">
        <v>444</v>
      </c>
      <c r="I5257" s="2">
        <v>1214</v>
      </c>
      <c r="J5257" s="2">
        <v>2545</v>
      </c>
      <c r="K5257" s="2">
        <v>1</v>
      </c>
      <c r="L5257" s="2">
        <v>444</v>
      </c>
    </row>
    <row r="5258" spans="1:12" x14ac:dyDescent="0.25">
      <c r="A5258" s="4" t="str">
        <f>HYPERLINK("http://www.rosaceae.org/Prunus/Prunus_persica/p.persica_gdr_reftransV1_0017323","p.persica_gdr_reftransV1_0017323")</f>
        <v>p.persica_gdr_reftransV1_0017323</v>
      </c>
      <c r="B5258" s="2">
        <v>776</v>
      </c>
      <c r="C5258" s="4" t="str">
        <f>HYPERLINK("http://www.uniprot.org/uniprot/M5WJG7","M5WJG7")</f>
        <v>M5WJG7</v>
      </c>
      <c r="D5258" s="2" t="s">
        <v>4835</v>
      </c>
      <c r="E5258" s="3">
        <v>9.1300000000000005E-86</v>
      </c>
      <c r="F5258" s="2">
        <v>672</v>
      </c>
      <c r="G5258" s="2">
        <v>100</v>
      </c>
      <c r="H5258" s="2">
        <v>127</v>
      </c>
      <c r="I5258" s="2">
        <v>273</v>
      </c>
      <c r="J5258" s="2">
        <v>653</v>
      </c>
      <c r="K5258" s="2">
        <v>1</v>
      </c>
      <c r="L5258" s="2">
        <v>127</v>
      </c>
    </row>
    <row r="5259" spans="1:12" x14ac:dyDescent="0.25">
      <c r="A5259" s="4" t="str">
        <f>HYPERLINK("http://www.rosaceae.org/Prunus/Prunus_persica/p.persica_gdr_reftransV1_0017673","p.persica_gdr_reftransV1_0017673")</f>
        <v>p.persica_gdr_reftransV1_0017673</v>
      </c>
      <c r="B5259" s="2">
        <v>1673</v>
      </c>
      <c r="C5259" s="4" t="str">
        <f>HYPERLINK("http://www.uniprot.org/uniprot/M5X9F1","M5X9F1")</f>
        <v>M5X9F1</v>
      </c>
      <c r="D5259" s="2" t="s">
        <v>4836</v>
      </c>
      <c r="E5259" s="3">
        <v>1.17E-116</v>
      </c>
      <c r="F5259" s="2">
        <v>921</v>
      </c>
      <c r="G5259" s="2">
        <v>89</v>
      </c>
      <c r="H5259" s="2">
        <v>244</v>
      </c>
      <c r="I5259" s="2">
        <v>114</v>
      </c>
      <c r="J5259" s="2">
        <v>845</v>
      </c>
      <c r="K5259" s="2">
        <v>1</v>
      </c>
      <c r="L5259" s="2">
        <v>221</v>
      </c>
    </row>
    <row r="5260" spans="1:12" x14ac:dyDescent="0.25">
      <c r="A5260" s="4" t="str">
        <f>HYPERLINK("http://www.rosaceae.org/Prunus/Prunus_persica/p.persica_gdr_reftransV1_0018023","p.persica_gdr_reftransV1_0018023")</f>
        <v>p.persica_gdr_reftransV1_0018023</v>
      </c>
      <c r="B5260" s="2">
        <v>733</v>
      </c>
      <c r="C5260" s="4" t="str">
        <f>HYPERLINK("http://www.uniprot.org/uniprot/J7G0P5","J7G0P5")</f>
        <v>J7G0P5</v>
      </c>
      <c r="D5260" s="2" t="s">
        <v>2394</v>
      </c>
      <c r="E5260" s="3">
        <v>8.8600000000000006E-75</v>
      </c>
      <c r="F5260" s="2">
        <v>657</v>
      </c>
      <c r="G5260" s="2">
        <v>68</v>
      </c>
      <c r="H5260" s="2">
        <v>166</v>
      </c>
      <c r="I5260" s="2">
        <v>234</v>
      </c>
      <c r="J5260" s="2">
        <v>731</v>
      </c>
      <c r="K5260" s="2">
        <v>872</v>
      </c>
      <c r="L5260" s="2">
        <v>1037</v>
      </c>
    </row>
    <row r="5261" spans="1:12" x14ac:dyDescent="0.25">
      <c r="A5261" s="4" t="str">
        <f>HYPERLINK("http://www.rosaceae.org/Prunus/Prunus_persica/p.persica_gdr_reftransV1_0018723","p.persica_gdr_reftransV1_0018723")</f>
        <v>p.persica_gdr_reftransV1_0018723</v>
      </c>
      <c r="B5261" s="2">
        <v>2334</v>
      </c>
      <c r="C5261" s="4" t="str">
        <f>HYPERLINK("http://www.uniprot.org/uniprot/M5WQW8","M5WQW8")</f>
        <v>M5WQW8</v>
      </c>
      <c r="D5261" s="2" t="s">
        <v>4837</v>
      </c>
      <c r="E5261" s="3">
        <v>0</v>
      </c>
      <c r="F5261" s="2">
        <v>2847</v>
      </c>
      <c r="G5261" s="2">
        <v>100</v>
      </c>
      <c r="H5261" s="2">
        <v>605</v>
      </c>
      <c r="I5261" s="2">
        <v>166</v>
      </c>
      <c r="J5261" s="2">
        <v>1980</v>
      </c>
      <c r="K5261" s="2">
        <v>1</v>
      </c>
      <c r="L5261" s="2">
        <v>605</v>
      </c>
    </row>
    <row r="5262" spans="1:12" x14ac:dyDescent="0.25">
      <c r="A5262" s="4" t="str">
        <f>HYPERLINK("http://www.rosaceae.org/Prunus/Prunus_persica/p.persica_gdr_reftransV1_0019073","p.persica_gdr_reftransV1_0019073")</f>
        <v>p.persica_gdr_reftransV1_0019073</v>
      </c>
      <c r="B5262" s="2">
        <v>3008</v>
      </c>
      <c r="C5262" s="4" t="str">
        <f>HYPERLINK("http://www.uniprot.org/uniprot/M5WXE3","M5WXE3")</f>
        <v>M5WXE3</v>
      </c>
      <c r="D5262" s="2" t="s">
        <v>4838</v>
      </c>
      <c r="E5262" s="3">
        <v>0</v>
      </c>
      <c r="F5262" s="2">
        <v>2819</v>
      </c>
      <c r="G5262" s="2">
        <v>84</v>
      </c>
      <c r="H5262" s="2">
        <v>647</v>
      </c>
      <c r="I5262" s="2">
        <v>184</v>
      </c>
      <c r="J5262" s="2">
        <v>2124</v>
      </c>
      <c r="K5262" s="2">
        <v>1</v>
      </c>
      <c r="L5262" s="2">
        <v>589</v>
      </c>
    </row>
    <row r="5263" spans="1:12" x14ac:dyDescent="0.25">
      <c r="A5263" s="4" t="str">
        <f>HYPERLINK("http://www.rosaceae.org/Prunus/Prunus_persica/p.persica_gdr_reftransV1_0019423","p.persica_gdr_reftransV1_0019423")</f>
        <v>p.persica_gdr_reftransV1_0019423</v>
      </c>
      <c r="B5263" s="2">
        <v>3963</v>
      </c>
      <c r="C5263" s="4" t="str">
        <f>HYPERLINK("http://www.uniprot.org/uniprot/A0A061FXS8","A0A061FXS8")</f>
        <v>A0A061FXS8</v>
      </c>
      <c r="D5263" s="2" t="s">
        <v>4839</v>
      </c>
      <c r="E5263" s="3">
        <v>0</v>
      </c>
      <c r="F5263" s="2">
        <v>4913</v>
      </c>
      <c r="G5263" s="2">
        <v>83</v>
      </c>
      <c r="H5263" s="2">
        <v>1135</v>
      </c>
      <c r="I5263" s="2">
        <v>389</v>
      </c>
      <c r="J5263" s="2">
        <v>3784</v>
      </c>
      <c r="K5263" s="2">
        <v>24</v>
      </c>
      <c r="L5263" s="2">
        <v>1158</v>
      </c>
    </row>
    <row r="5264" spans="1:12" x14ac:dyDescent="0.25">
      <c r="A5264" s="4" t="str">
        <f>HYPERLINK("http://www.rosaceae.org/Prunus/Prunus_persica/p.persica_gdr_reftransV1_0019773","p.persica_gdr_reftransV1_0019773")</f>
        <v>p.persica_gdr_reftransV1_0019773</v>
      </c>
      <c r="B5264" s="2">
        <v>2662</v>
      </c>
      <c r="C5264" s="4" t="str">
        <f>HYPERLINK("http://www.uniprot.org/uniprot/M5WB77","M5WB77")</f>
        <v>M5WB77</v>
      </c>
      <c r="D5264" s="2" t="s">
        <v>4840</v>
      </c>
      <c r="E5264" s="3">
        <v>0</v>
      </c>
      <c r="F5264" s="2">
        <v>1673</v>
      </c>
      <c r="G5264" s="2">
        <v>100</v>
      </c>
      <c r="H5264" s="2">
        <v>320</v>
      </c>
      <c r="I5264" s="2">
        <v>122</v>
      </c>
      <c r="J5264" s="2">
        <v>1081</v>
      </c>
      <c r="K5264" s="2">
        <v>1</v>
      </c>
      <c r="L5264" s="2">
        <v>320</v>
      </c>
    </row>
    <row r="5265" spans="1:12" x14ac:dyDescent="0.25">
      <c r="A5265" s="4" t="str">
        <f>HYPERLINK("http://www.rosaceae.org/Prunus/Prunus_persica/p.persica_gdr_reftransV1_0021523","p.persica_gdr_reftransV1_0021523")</f>
        <v>p.persica_gdr_reftransV1_0021523</v>
      </c>
      <c r="B5265" s="2">
        <v>500</v>
      </c>
      <c r="C5265" s="4" t="str">
        <f>HYPERLINK("http://www.uniprot.org/uniprot/W9R742","W9R742")</f>
        <v>W9R742</v>
      </c>
      <c r="D5265" s="2" t="s">
        <v>4841</v>
      </c>
      <c r="E5265" s="3">
        <v>7.6999999999999997E-27</v>
      </c>
      <c r="F5265" s="2">
        <v>288</v>
      </c>
      <c r="G5265" s="2">
        <v>67</v>
      </c>
      <c r="H5265" s="2">
        <v>89</v>
      </c>
      <c r="I5265" s="2">
        <v>58</v>
      </c>
      <c r="J5265" s="2">
        <v>318</v>
      </c>
      <c r="K5265" s="2">
        <v>14</v>
      </c>
      <c r="L5265" s="2">
        <v>100</v>
      </c>
    </row>
    <row r="5266" spans="1:12" x14ac:dyDescent="0.25">
      <c r="A5266" s="4" t="str">
        <f>HYPERLINK("http://www.rosaceae.org/Prunus/Prunus_persica/p.persica_gdr_reftransV1_0021873","p.persica_gdr_reftransV1_0021873")</f>
        <v>p.persica_gdr_reftransV1_0021873</v>
      </c>
      <c r="B5266" s="2">
        <v>1184</v>
      </c>
      <c r="C5266" s="4" t="str">
        <f>HYPERLINK("http://www.uniprot.org/uniprot/E0Y465","E0Y465")</f>
        <v>E0Y465</v>
      </c>
      <c r="D5266" s="2" t="s">
        <v>4842</v>
      </c>
      <c r="E5266" s="3">
        <v>2.25E-138</v>
      </c>
      <c r="F5266" s="2">
        <v>1046</v>
      </c>
      <c r="G5266" s="2">
        <v>100</v>
      </c>
      <c r="H5266" s="2">
        <v>254</v>
      </c>
      <c r="I5266" s="2">
        <v>294</v>
      </c>
      <c r="J5266" s="2">
        <v>1055</v>
      </c>
      <c r="K5266" s="2">
        <v>1</v>
      </c>
      <c r="L5266" s="2">
        <v>254</v>
      </c>
    </row>
    <row r="5267" spans="1:12" x14ac:dyDescent="0.25">
      <c r="A5267" s="4" t="str">
        <f>HYPERLINK("http://www.rosaceae.org/Prunus/Prunus_persica/p.persica_gdr_reftransV1_0022223","p.persica_gdr_reftransV1_0022223")</f>
        <v>p.persica_gdr_reftransV1_0022223</v>
      </c>
      <c r="B5267" s="2">
        <v>1907</v>
      </c>
      <c r="C5267" s="4" t="str">
        <f>HYPERLINK("http://www.uniprot.org/uniprot/M5WTJ3","M5WTJ3")</f>
        <v>M5WTJ3</v>
      </c>
      <c r="D5267" s="2" t="s">
        <v>4843</v>
      </c>
      <c r="E5267" s="3">
        <v>0</v>
      </c>
      <c r="F5267" s="2">
        <v>2793</v>
      </c>
      <c r="G5267" s="2">
        <v>100</v>
      </c>
      <c r="H5267" s="2">
        <v>512</v>
      </c>
      <c r="I5267" s="2">
        <v>1</v>
      </c>
      <c r="J5267" s="2">
        <v>1536</v>
      </c>
      <c r="K5267" s="2">
        <v>239</v>
      </c>
      <c r="L5267" s="2">
        <v>750</v>
      </c>
    </row>
    <row r="5268" spans="1:12" x14ac:dyDescent="0.25">
      <c r="A5268" s="4" t="str">
        <f>HYPERLINK("http://www.rosaceae.org/Prunus/Prunus_persica/p.persica_gdr_reftransV1_0022923","p.persica_gdr_reftransV1_0022923")</f>
        <v>p.persica_gdr_reftransV1_0022923</v>
      </c>
      <c r="B5268" s="2">
        <v>1709</v>
      </c>
      <c r="C5268" s="4" t="str">
        <f>HYPERLINK("http://www.uniprot.org/uniprot/M5W204","M5W204")</f>
        <v>M5W204</v>
      </c>
      <c r="D5268" s="2" t="s">
        <v>4844</v>
      </c>
      <c r="E5268" s="3">
        <v>0</v>
      </c>
      <c r="F5268" s="2">
        <v>1897</v>
      </c>
      <c r="G5268" s="2">
        <v>100</v>
      </c>
      <c r="H5268" s="2">
        <v>434</v>
      </c>
      <c r="I5268" s="2">
        <v>1</v>
      </c>
      <c r="J5268" s="2">
        <v>1302</v>
      </c>
      <c r="K5268" s="2">
        <v>9</v>
      </c>
      <c r="L5268" s="2">
        <v>442</v>
      </c>
    </row>
    <row r="5269" spans="1:12" x14ac:dyDescent="0.25">
      <c r="A5269" s="4" t="str">
        <f>HYPERLINK("http://www.rosaceae.org/Prunus/Prunus_persica/p.persica_gdr_reftransV1_0023973","p.persica_gdr_reftransV1_0023973")</f>
        <v>p.persica_gdr_reftransV1_0023973</v>
      </c>
      <c r="B5269" s="2">
        <v>1536</v>
      </c>
      <c r="C5269" s="4" t="str">
        <f>HYPERLINK("http://www.uniprot.org/uniprot/M5XXE7","M5XXE7")</f>
        <v>M5XXE7</v>
      </c>
      <c r="D5269" s="2" t="s">
        <v>1947</v>
      </c>
      <c r="E5269" s="3">
        <v>7.8499999999999997E-179</v>
      </c>
      <c r="F5269" s="2">
        <v>1341</v>
      </c>
      <c r="G5269" s="2">
        <v>100</v>
      </c>
      <c r="H5269" s="2">
        <v>247</v>
      </c>
      <c r="I5269" s="2">
        <v>618</v>
      </c>
      <c r="J5269" s="2">
        <v>1358</v>
      </c>
      <c r="K5269" s="2">
        <v>168</v>
      </c>
      <c r="L5269" s="2">
        <v>414</v>
      </c>
    </row>
    <row r="5270" spans="1:12" x14ac:dyDescent="0.25">
      <c r="A5270" s="4" t="str">
        <f>HYPERLINK("http://www.rosaceae.org/Prunus/Prunus_persica/p.persica_gdr_reftransV1_0025023","p.persica_gdr_reftransV1_0025023")</f>
        <v>p.persica_gdr_reftransV1_0025023</v>
      </c>
      <c r="B5270" s="2">
        <v>3289</v>
      </c>
      <c r="C5270" s="4" t="str">
        <f>HYPERLINK("http://www.uniprot.org/uniprot/M5X7Z2","M5X7Z2")</f>
        <v>M5X7Z2</v>
      </c>
      <c r="D5270" s="2" t="s">
        <v>4845</v>
      </c>
      <c r="E5270" s="3">
        <v>0</v>
      </c>
      <c r="F5270" s="2">
        <v>2495</v>
      </c>
      <c r="G5270" s="2">
        <v>100</v>
      </c>
      <c r="H5270" s="2">
        <v>511</v>
      </c>
      <c r="I5270" s="2">
        <v>172</v>
      </c>
      <c r="J5270" s="2">
        <v>1704</v>
      </c>
      <c r="K5270" s="2">
        <v>1</v>
      </c>
      <c r="L5270" s="2">
        <v>511</v>
      </c>
    </row>
    <row r="5271" spans="1:12" x14ac:dyDescent="0.25">
      <c r="A5271" s="4" t="str">
        <f>HYPERLINK("http://www.rosaceae.org/Prunus/Prunus_persica/p.persica_gdr_reftransV1_0027473","p.persica_gdr_reftransV1_0027473")</f>
        <v>p.persica_gdr_reftransV1_0027473</v>
      </c>
      <c r="B5271" s="2">
        <v>3937</v>
      </c>
      <c r="C5271" s="4" t="str">
        <f>HYPERLINK("http://www.uniprot.org/uniprot/I1W1U0","I1W1U0")</f>
        <v>I1W1U0</v>
      </c>
      <c r="D5271" s="2" t="s">
        <v>4846</v>
      </c>
      <c r="E5271" s="3">
        <v>0</v>
      </c>
      <c r="F5271" s="2">
        <v>2930</v>
      </c>
      <c r="G5271" s="2">
        <v>100</v>
      </c>
      <c r="H5271" s="2">
        <v>592</v>
      </c>
      <c r="I5271" s="2">
        <v>297</v>
      </c>
      <c r="J5271" s="2">
        <v>2072</v>
      </c>
      <c r="K5271" s="2">
        <v>466</v>
      </c>
      <c r="L5271" s="2">
        <v>1057</v>
      </c>
    </row>
    <row r="5272" spans="1:12" x14ac:dyDescent="0.25">
      <c r="A5272" s="4" t="str">
        <f>HYPERLINK("http://www.rosaceae.org/Prunus/Prunus_persica/p.persica_gdr_reftransV1_0027823","p.persica_gdr_reftransV1_0027823")</f>
        <v>p.persica_gdr_reftransV1_0027823</v>
      </c>
      <c r="B5272" s="2">
        <v>3355</v>
      </c>
      <c r="C5272" s="4" t="str">
        <f>HYPERLINK("http://www.uniprot.org/uniprot/M5XR63","M5XR63")</f>
        <v>M5XR63</v>
      </c>
      <c r="D5272" s="2" t="s">
        <v>4847</v>
      </c>
      <c r="E5272" s="3">
        <v>0</v>
      </c>
      <c r="F5272" s="2">
        <v>2328</v>
      </c>
      <c r="G5272" s="2">
        <v>94</v>
      </c>
      <c r="H5272" s="2">
        <v>470</v>
      </c>
      <c r="I5272" s="2">
        <v>1766</v>
      </c>
      <c r="J5272" s="2">
        <v>3175</v>
      </c>
      <c r="K5272" s="2">
        <v>1</v>
      </c>
      <c r="L5272" s="2">
        <v>445</v>
      </c>
    </row>
    <row r="5273" spans="1:12" x14ac:dyDescent="0.25">
      <c r="A5273" s="4" t="str">
        <f>HYPERLINK("http://www.rosaceae.org/Prunus/Prunus_persica/p.persica_gdr_reftransV1_0028523","p.persica_gdr_reftransV1_0028523")</f>
        <v>p.persica_gdr_reftransV1_0028523</v>
      </c>
      <c r="B5273" s="2">
        <v>832</v>
      </c>
      <c r="C5273" s="4" t="str">
        <f>HYPERLINK("http://www.uniprot.org/uniprot/M5WRF0","M5WRF0")</f>
        <v>M5WRF0</v>
      </c>
      <c r="D5273" s="2" t="s">
        <v>4848</v>
      </c>
      <c r="E5273" s="3">
        <v>1.45E-108</v>
      </c>
      <c r="F5273" s="2">
        <v>832</v>
      </c>
      <c r="G5273" s="2">
        <v>100</v>
      </c>
      <c r="H5273" s="2">
        <v>173</v>
      </c>
      <c r="I5273" s="2">
        <v>118</v>
      </c>
      <c r="J5273" s="2">
        <v>636</v>
      </c>
      <c r="K5273" s="2">
        <v>1</v>
      </c>
      <c r="L5273" s="2">
        <v>173</v>
      </c>
    </row>
    <row r="5274" spans="1:12" x14ac:dyDescent="0.25">
      <c r="A5274" s="4" t="str">
        <f>HYPERLINK("http://www.rosaceae.org/Prunus/Prunus_persica/p.persica_gdr_reftransV1_0031673","p.persica_gdr_reftransV1_0031673")</f>
        <v>p.persica_gdr_reftransV1_0031673</v>
      </c>
      <c r="B5274" s="2">
        <v>1969</v>
      </c>
      <c r="C5274" s="4" t="str">
        <f>HYPERLINK("http://www.uniprot.org/uniprot/M5WF81","M5WF81")</f>
        <v>M5WF81</v>
      </c>
      <c r="D5274" s="2" t="s">
        <v>4849</v>
      </c>
      <c r="E5274" s="3">
        <v>5.7000000000000003E-70</v>
      </c>
      <c r="F5274" s="2">
        <v>598</v>
      </c>
      <c r="G5274" s="2">
        <v>91</v>
      </c>
      <c r="H5274" s="2">
        <v>127</v>
      </c>
      <c r="I5274" s="2">
        <v>1277</v>
      </c>
      <c r="J5274" s="2">
        <v>1657</v>
      </c>
      <c r="K5274" s="2">
        <v>1</v>
      </c>
      <c r="L5274" s="2">
        <v>125</v>
      </c>
    </row>
    <row r="5275" spans="1:12" x14ac:dyDescent="0.25">
      <c r="A5275" s="4" t="str">
        <f>HYPERLINK("http://www.rosaceae.org/Prunus/Prunus_persica/p.persica_gdr_reftransV1_0032723","p.persica_gdr_reftransV1_0032723")</f>
        <v>p.persica_gdr_reftransV1_0032723</v>
      </c>
      <c r="B5275" s="2">
        <v>3303</v>
      </c>
      <c r="C5275" s="4" t="str">
        <f>HYPERLINK("http://www.uniprot.org/uniprot/M5XAU8","M5XAU8")</f>
        <v>M5XAU8</v>
      </c>
      <c r="D5275" s="2" t="s">
        <v>4850</v>
      </c>
      <c r="E5275" s="3">
        <v>0</v>
      </c>
      <c r="F5275" s="2">
        <v>3051</v>
      </c>
      <c r="G5275" s="2">
        <v>99</v>
      </c>
      <c r="H5275" s="2">
        <v>575</v>
      </c>
      <c r="I5275" s="2">
        <v>1409</v>
      </c>
      <c r="J5275" s="2">
        <v>3133</v>
      </c>
      <c r="K5275" s="2">
        <v>1</v>
      </c>
      <c r="L5275" s="2">
        <v>575</v>
      </c>
    </row>
    <row r="5276" spans="1:12" x14ac:dyDescent="0.25">
      <c r="A5276" s="4" t="str">
        <f>HYPERLINK("http://www.rosaceae.org/Prunus/Prunus_persica/p.persica_gdr_reftransV1_0033073","p.persica_gdr_reftransV1_0033073")</f>
        <v>p.persica_gdr_reftransV1_0033073</v>
      </c>
      <c r="B5276" s="2">
        <v>3646</v>
      </c>
      <c r="C5276" s="4" t="str">
        <f>HYPERLINK("http://www.uniprot.org/uniprot/M5W3L4","M5W3L4")</f>
        <v>M5W3L4</v>
      </c>
      <c r="D5276" s="2" t="s">
        <v>4851</v>
      </c>
      <c r="E5276" s="3">
        <v>0</v>
      </c>
      <c r="F5276" s="2">
        <v>3368</v>
      </c>
      <c r="G5276" s="2">
        <v>100</v>
      </c>
      <c r="H5276" s="2">
        <v>647</v>
      </c>
      <c r="I5276" s="2">
        <v>1520</v>
      </c>
      <c r="J5276" s="2">
        <v>3460</v>
      </c>
      <c r="K5276" s="2">
        <v>1</v>
      </c>
      <c r="L5276" s="2">
        <v>647</v>
      </c>
    </row>
    <row r="5277" spans="1:12" x14ac:dyDescent="0.25">
      <c r="A5277" s="4" t="str">
        <f>HYPERLINK("http://www.rosaceae.org/Prunus/Prunus_persica/p.persica_gdr_reftransV1_0033773","p.persica_gdr_reftransV1_0033773")</f>
        <v>p.persica_gdr_reftransV1_0033773</v>
      </c>
      <c r="B5277" s="2">
        <v>1043</v>
      </c>
      <c r="C5277" s="4" t="str">
        <f>HYPERLINK("http://www.uniprot.org/uniprot/M5VX00","M5VX00")</f>
        <v>M5VX00</v>
      </c>
      <c r="D5277" s="2" t="s">
        <v>4852</v>
      </c>
      <c r="E5277" s="3">
        <v>9.4600000000000006E-56</v>
      </c>
      <c r="F5277" s="2">
        <v>473</v>
      </c>
      <c r="G5277" s="2">
        <v>94</v>
      </c>
      <c r="H5277" s="2">
        <v>108</v>
      </c>
      <c r="I5277" s="2">
        <v>379</v>
      </c>
      <c r="J5277" s="2">
        <v>702</v>
      </c>
      <c r="K5277" s="2">
        <v>34</v>
      </c>
      <c r="L5277" s="2">
        <v>141</v>
      </c>
    </row>
    <row r="5278" spans="1:12" x14ac:dyDescent="0.25">
      <c r="A5278" s="4" t="str">
        <f>HYPERLINK("http://www.rosaceae.org/Prunus/Prunus_persica/p.persica_gdr_reftransV1_0034823","p.persica_gdr_reftransV1_0034823")</f>
        <v>p.persica_gdr_reftransV1_0034823</v>
      </c>
      <c r="B5278" s="2">
        <v>1816</v>
      </c>
      <c r="C5278" s="4" t="str">
        <f>HYPERLINK("http://www.uniprot.org/uniprot/M5XDQ8","M5XDQ8")</f>
        <v>M5XDQ8</v>
      </c>
      <c r="D5278" s="2" t="s">
        <v>4853</v>
      </c>
      <c r="E5278" s="3">
        <v>0</v>
      </c>
      <c r="F5278" s="2">
        <v>1743</v>
      </c>
      <c r="G5278" s="2">
        <v>100</v>
      </c>
      <c r="H5278" s="2">
        <v>432</v>
      </c>
      <c r="I5278" s="2">
        <v>313</v>
      </c>
      <c r="J5278" s="2">
        <v>1608</v>
      </c>
      <c r="K5278" s="2">
        <v>1</v>
      </c>
      <c r="L5278" s="2">
        <v>432</v>
      </c>
    </row>
    <row r="5279" spans="1:12" x14ac:dyDescent="0.25">
      <c r="A5279" s="4" t="str">
        <f>HYPERLINK("http://www.rosaceae.org/Prunus/Prunus_persica/p.persica_gdr_reftransV1_0036923","p.persica_gdr_reftransV1_0036923")</f>
        <v>p.persica_gdr_reftransV1_0036923</v>
      </c>
      <c r="B5279" s="2">
        <v>805</v>
      </c>
      <c r="C5279" s="4" t="str">
        <f>HYPERLINK("http://www.uniprot.org/uniprot/M5X3B1","M5X3B1")</f>
        <v>M5X3B1</v>
      </c>
      <c r="D5279" s="2" t="s">
        <v>4854</v>
      </c>
      <c r="E5279" s="3">
        <v>1.1699999999999999E-75</v>
      </c>
      <c r="F5279" s="2">
        <v>607</v>
      </c>
      <c r="G5279" s="2">
        <v>100</v>
      </c>
      <c r="H5279" s="2">
        <v>130</v>
      </c>
      <c r="I5279" s="2">
        <v>1</v>
      </c>
      <c r="J5279" s="2">
        <v>390</v>
      </c>
      <c r="K5279" s="2">
        <v>1</v>
      </c>
      <c r="L5279" s="2">
        <v>130</v>
      </c>
    </row>
    <row r="5280" spans="1:12" x14ac:dyDescent="0.25">
      <c r="A5280" s="4" t="str">
        <f>HYPERLINK("http://www.rosaceae.org/Prunus/Prunus_persica/p.persica_gdr_reftransV1_0037273","p.persica_gdr_reftransV1_0037273")</f>
        <v>p.persica_gdr_reftransV1_0037273</v>
      </c>
      <c r="B5280" s="2">
        <v>3650</v>
      </c>
      <c r="C5280" s="4" t="str">
        <f>HYPERLINK("http://www.uniprot.org/uniprot/M5WAR1","M5WAR1")</f>
        <v>M5WAR1</v>
      </c>
      <c r="D5280" s="2" t="s">
        <v>4855</v>
      </c>
      <c r="E5280" s="3">
        <v>1E-169</v>
      </c>
      <c r="F5280" s="2">
        <v>1340</v>
      </c>
      <c r="G5280" s="2">
        <v>100</v>
      </c>
      <c r="H5280" s="2">
        <v>304</v>
      </c>
      <c r="I5280" s="2">
        <v>1090</v>
      </c>
      <c r="J5280" s="2">
        <v>2001</v>
      </c>
      <c r="K5280" s="2">
        <v>1</v>
      </c>
      <c r="L5280" s="2">
        <v>304</v>
      </c>
    </row>
    <row r="5281" spans="1:12" x14ac:dyDescent="0.25">
      <c r="A5281" s="4" t="str">
        <f>HYPERLINK("http://www.rosaceae.org/Prunus/Prunus_persica/p.persica_gdr_reftransV1_0042873","p.persica_gdr_reftransV1_0042873")</f>
        <v>p.persica_gdr_reftransV1_0042873</v>
      </c>
      <c r="B5281" s="2">
        <v>2095</v>
      </c>
      <c r="C5281" s="4" t="str">
        <f>HYPERLINK("http://www.uniprot.org/uniprot/M5W7Z5","M5W7Z5")</f>
        <v>M5W7Z5</v>
      </c>
      <c r="D5281" s="2" t="s">
        <v>4856</v>
      </c>
      <c r="E5281" s="3">
        <v>1.04E-71</v>
      </c>
      <c r="F5281" s="2">
        <v>635</v>
      </c>
      <c r="G5281" s="2">
        <v>96</v>
      </c>
      <c r="H5281" s="2">
        <v>137</v>
      </c>
      <c r="I5281" s="2">
        <v>743</v>
      </c>
      <c r="J5281" s="2">
        <v>1153</v>
      </c>
      <c r="K5281" s="2">
        <v>84</v>
      </c>
      <c r="L5281" s="2">
        <v>220</v>
      </c>
    </row>
    <row r="5282" spans="1:12" x14ac:dyDescent="0.25">
      <c r="A5282" s="4" t="str">
        <f>HYPERLINK("http://www.rosaceae.org/Prunus/Prunus_persica/p.persica_gdr_reftransV1_0043223","p.persica_gdr_reftransV1_0043223")</f>
        <v>p.persica_gdr_reftransV1_0043223</v>
      </c>
      <c r="B5282" s="2">
        <v>381</v>
      </c>
      <c r="C5282" s="4" t="str">
        <f>HYPERLINK("http://www.uniprot.org/uniprot/M5WE64","M5WE64")</f>
        <v>M5WE64</v>
      </c>
      <c r="D5282" s="2" t="s">
        <v>4857</v>
      </c>
      <c r="E5282" s="3">
        <v>8.8500000000000008E-81</v>
      </c>
      <c r="F5282" s="2">
        <v>668</v>
      </c>
      <c r="G5282" s="2">
        <v>98</v>
      </c>
      <c r="H5282" s="2">
        <v>126</v>
      </c>
      <c r="I5282" s="2">
        <v>3</v>
      </c>
      <c r="J5282" s="2">
        <v>380</v>
      </c>
      <c r="K5282" s="2">
        <v>459</v>
      </c>
      <c r="L5282" s="2">
        <v>584</v>
      </c>
    </row>
    <row r="5283" spans="1:12" x14ac:dyDescent="0.25">
      <c r="A5283" s="4" t="str">
        <f>HYPERLINK("http://www.rosaceae.org/Prunus/Prunus_persica/p.persica_gdr_reftransV1_0043573","p.persica_gdr_reftransV1_0043573")</f>
        <v>p.persica_gdr_reftransV1_0043573</v>
      </c>
      <c r="B5283" s="2">
        <v>884</v>
      </c>
      <c r="C5283" s="4" t="str">
        <f>HYPERLINK("http://www.uniprot.org/uniprot/M5XWV4","M5XWV4")</f>
        <v>M5XWV4</v>
      </c>
      <c r="D5283" s="2" t="s">
        <v>612</v>
      </c>
      <c r="E5283" s="3">
        <v>1.24E-142</v>
      </c>
      <c r="F5283" s="2">
        <v>1090</v>
      </c>
      <c r="G5283" s="2">
        <v>100</v>
      </c>
      <c r="H5283" s="2">
        <v>219</v>
      </c>
      <c r="I5283" s="2">
        <v>1</v>
      </c>
      <c r="J5283" s="2">
        <v>657</v>
      </c>
      <c r="K5283" s="2">
        <v>279</v>
      </c>
      <c r="L5283" s="2">
        <v>497</v>
      </c>
    </row>
    <row r="5284" spans="1:12" x14ac:dyDescent="0.25">
      <c r="A5284" s="4" t="str">
        <f>HYPERLINK("http://www.rosaceae.org/Prunus/Prunus_persica/p.persica_gdr_reftransV1_0043923","p.persica_gdr_reftransV1_0043923")</f>
        <v>p.persica_gdr_reftransV1_0043923</v>
      </c>
      <c r="B5284" s="2">
        <v>458</v>
      </c>
      <c r="C5284" s="4" t="str">
        <f>HYPERLINK("http://www.uniprot.org/uniprot/M5WKQ6","M5WKQ6")</f>
        <v>M5WKQ6</v>
      </c>
      <c r="D5284" s="2" t="s">
        <v>3875</v>
      </c>
      <c r="E5284" s="3">
        <v>3.4700000000000002E-77</v>
      </c>
      <c r="F5284" s="2">
        <v>610</v>
      </c>
      <c r="G5284" s="2">
        <v>100</v>
      </c>
      <c r="H5284" s="2">
        <v>114</v>
      </c>
      <c r="I5284" s="2">
        <v>115</v>
      </c>
      <c r="J5284" s="2">
        <v>456</v>
      </c>
      <c r="K5284" s="2">
        <v>85</v>
      </c>
      <c r="L5284" s="2">
        <v>198</v>
      </c>
    </row>
    <row r="5285" spans="1:12" x14ac:dyDescent="0.25">
      <c r="A5285" s="4" t="str">
        <f>HYPERLINK("http://www.rosaceae.org/Prunus/Prunus_persica/p.persica_gdr_reftransV1_0044623","p.persica_gdr_reftransV1_0044623")</f>
        <v>p.persica_gdr_reftransV1_0044623</v>
      </c>
      <c r="B5285" s="2">
        <v>1632</v>
      </c>
      <c r="C5285" s="4" t="str">
        <f>HYPERLINK("http://www.uniprot.org/uniprot/M5VHT6","M5VHT6")</f>
        <v>M5VHT6</v>
      </c>
      <c r="D5285" s="2" t="s">
        <v>4858</v>
      </c>
      <c r="E5285" s="3">
        <v>0</v>
      </c>
      <c r="F5285" s="2">
        <v>2878</v>
      </c>
      <c r="G5285" s="2">
        <v>100</v>
      </c>
      <c r="H5285" s="2">
        <v>544</v>
      </c>
      <c r="I5285" s="2">
        <v>1</v>
      </c>
      <c r="J5285" s="2">
        <v>1632</v>
      </c>
      <c r="K5285" s="2">
        <v>301</v>
      </c>
      <c r="L5285" s="2">
        <v>844</v>
      </c>
    </row>
    <row r="5286" spans="1:12" x14ac:dyDescent="0.25">
      <c r="A5286" s="4" t="str">
        <f>HYPERLINK("http://www.rosaceae.org/Prunus/Prunus_persica/p.persica_gdr_reftransV1_0044973","p.persica_gdr_reftransV1_0044973")</f>
        <v>p.persica_gdr_reftransV1_0044973</v>
      </c>
      <c r="B5286" s="2">
        <v>2423</v>
      </c>
      <c r="C5286" s="4" t="str">
        <f>HYPERLINK("http://www.uniprot.org/uniprot/M5WCQ0","M5WCQ0")</f>
        <v>M5WCQ0</v>
      </c>
      <c r="D5286" s="2" t="s">
        <v>2643</v>
      </c>
      <c r="E5286" s="3">
        <v>0</v>
      </c>
      <c r="F5286" s="2">
        <v>3415</v>
      </c>
      <c r="G5286" s="2">
        <v>100</v>
      </c>
      <c r="H5286" s="2">
        <v>664</v>
      </c>
      <c r="I5286" s="2">
        <v>280</v>
      </c>
      <c r="J5286" s="2">
        <v>2271</v>
      </c>
      <c r="K5286" s="2">
        <v>1</v>
      </c>
      <c r="L5286" s="2">
        <v>664</v>
      </c>
    </row>
    <row r="5287" spans="1:12" x14ac:dyDescent="0.25">
      <c r="A5287" s="4" t="str">
        <f>HYPERLINK("http://www.rosaceae.org/Prunus/Prunus_persica/p.persica_gdr_reftransV1_0046023","p.persica_gdr_reftransV1_0046023")</f>
        <v>p.persica_gdr_reftransV1_0046023</v>
      </c>
      <c r="B5287" s="2">
        <v>1030</v>
      </c>
      <c r="C5287" s="4" t="str">
        <f>HYPERLINK("http://www.uniprot.org/uniprot/M5W5U2","M5W5U2")</f>
        <v>M5W5U2</v>
      </c>
      <c r="D5287" s="2" t="s">
        <v>4859</v>
      </c>
      <c r="E5287" s="3">
        <v>3.2499999999999998E-56</v>
      </c>
      <c r="F5287" s="2">
        <v>480</v>
      </c>
      <c r="G5287" s="2">
        <v>77</v>
      </c>
      <c r="H5287" s="2">
        <v>129</v>
      </c>
      <c r="I5287" s="2">
        <v>282</v>
      </c>
      <c r="J5287" s="2">
        <v>668</v>
      </c>
      <c r="K5287" s="2">
        <v>1</v>
      </c>
      <c r="L5287" s="2">
        <v>99</v>
      </c>
    </row>
    <row r="5288" spans="1:12" x14ac:dyDescent="0.25">
      <c r="A5288" s="4" t="str">
        <f>HYPERLINK("http://www.rosaceae.org/Prunus/Prunus_persica/p.persica_gdr_reftransV1_0046723","p.persica_gdr_reftransV1_0046723")</f>
        <v>p.persica_gdr_reftransV1_0046723</v>
      </c>
      <c r="B5288" s="2">
        <v>2345</v>
      </c>
      <c r="C5288" s="4" t="str">
        <f>HYPERLINK("http://www.uniprot.org/uniprot/M5XKR4","M5XKR4")</f>
        <v>M5XKR4</v>
      </c>
      <c r="D5288" s="2" t="s">
        <v>4860</v>
      </c>
      <c r="E5288" s="3">
        <v>0</v>
      </c>
      <c r="F5288" s="2">
        <v>2884</v>
      </c>
      <c r="G5288" s="2">
        <v>86</v>
      </c>
      <c r="H5288" s="2">
        <v>686</v>
      </c>
      <c r="I5288" s="2">
        <v>46</v>
      </c>
      <c r="J5288" s="2">
        <v>2097</v>
      </c>
      <c r="K5288" s="2">
        <v>1157</v>
      </c>
      <c r="L5288" s="2">
        <v>1793</v>
      </c>
    </row>
    <row r="5289" spans="1:12" x14ac:dyDescent="0.25">
      <c r="A5289" s="4" t="str">
        <f>HYPERLINK("http://www.rosaceae.org/Prunus/Prunus_persica/p.persica_gdr_reftransV1_0047423","p.persica_gdr_reftransV1_0047423")</f>
        <v>p.persica_gdr_reftransV1_0047423</v>
      </c>
      <c r="B5289" s="2">
        <v>590</v>
      </c>
      <c r="C5289" s="4" t="str">
        <f>HYPERLINK("http://www.uniprot.org/uniprot/M5XL11","M5XL11")</f>
        <v>M5XL11</v>
      </c>
      <c r="D5289" s="2" t="s">
        <v>4861</v>
      </c>
      <c r="E5289" s="3">
        <v>1.13E-120</v>
      </c>
      <c r="F5289" s="2">
        <v>919</v>
      </c>
      <c r="G5289" s="2">
        <v>100</v>
      </c>
      <c r="H5289" s="2">
        <v>196</v>
      </c>
      <c r="I5289" s="2">
        <v>3</v>
      </c>
      <c r="J5289" s="2">
        <v>590</v>
      </c>
      <c r="K5289" s="2">
        <v>124</v>
      </c>
      <c r="L5289" s="2">
        <v>319</v>
      </c>
    </row>
    <row r="5290" spans="1:12" x14ac:dyDescent="0.25">
      <c r="A5290" s="4" t="str">
        <f>HYPERLINK("http://www.rosaceae.org/Prunus/Prunus_persica/p.persica_gdr_reftransV1_0047773","p.persica_gdr_reftransV1_0047773")</f>
        <v>p.persica_gdr_reftransV1_0047773</v>
      </c>
      <c r="B5290" s="2">
        <v>1360</v>
      </c>
      <c r="C5290" s="4" t="str">
        <f>HYPERLINK("http://www.uniprot.org/uniprot/M5XQV1","M5XQV1")</f>
        <v>M5XQV1</v>
      </c>
      <c r="D5290" s="2" t="s">
        <v>4862</v>
      </c>
      <c r="E5290" s="3">
        <v>0</v>
      </c>
      <c r="F5290" s="2">
        <v>903</v>
      </c>
      <c r="G5290" s="2">
        <v>100</v>
      </c>
      <c r="H5290" s="2">
        <v>178</v>
      </c>
      <c r="I5290" s="2">
        <v>308</v>
      </c>
      <c r="J5290" s="2">
        <v>841</v>
      </c>
      <c r="K5290" s="2">
        <v>36</v>
      </c>
      <c r="L5290" s="2">
        <v>213</v>
      </c>
    </row>
    <row r="5291" spans="1:12" x14ac:dyDescent="0.25">
      <c r="A5291" s="4" t="str">
        <f>HYPERLINK("http://www.rosaceae.org/Prunus/Prunus_persica/p.persica_gdr_reftransV1_0048823","p.persica_gdr_reftransV1_0048823")</f>
        <v>p.persica_gdr_reftransV1_0048823</v>
      </c>
      <c r="B5291" s="2">
        <v>1453</v>
      </c>
      <c r="C5291" s="4" t="str">
        <f>HYPERLINK("http://www.uniprot.org/uniprot/M5XAA8","M5XAA8")</f>
        <v>M5XAA8</v>
      </c>
      <c r="D5291" s="2" t="s">
        <v>4863</v>
      </c>
      <c r="E5291" s="3">
        <v>0</v>
      </c>
      <c r="F5291" s="2">
        <v>1526</v>
      </c>
      <c r="G5291" s="2">
        <v>100</v>
      </c>
      <c r="H5291" s="2">
        <v>311</v>
      </c>
      <c r="I5291" s="2">
        <v>3</v>
      </c>
      <c r="J5291" s="2">
        <v>935</v>
      </c>
      <c r="K5291" s="2">
        <v>1</v>
      </c>
      <c r="L5291" s="2">
        <v>311</v>
      </c>
    </row>
    <row r="5292" spans="1:12" x14ac:dyDescent="0.25">
      <c r="A5292" s="4" t="str">
        <f>HYPERLINK("http://www.rosaceae.org/Prunus/Prunus_persica/p.persica_gdr_reftransV1_0049173","p.persica_gdr_reftransV1_0049173")</f>
        <v>p.persica_gdr_reftransV1_0049173</v>
      </c>
      <c r="B5292" s="2">
        <v>966</v>
      </c>
      <c r="C5292" s="4" t="str">
        <f>HYPERLINK("http://www.uniprot.org/uniprot/M5W1H7","M5W1H7")</f>
        <v>M5W1H7</v>
      </c>
      <c r="D5292" s="2" t="s">
        <v>4864</v>
      </c>
      <c r="E5292" s="3">
        <v>2.39E-110</v>
      </c>
      <c r="F5292" s="2">
        <v>844</v>
      </c>
      <c r="G5292" s="2">
        <v>100</v>
      </c>
      <c r="H5292" s="2">
        <v>166</v>
      </c>
      <c r="I5292" s="2">
        <v>387</v>
      </c>
      <c r="J5292" s="2">
        <v>884</v>
      </c>
      <c r="K5292" s="2">
        <v>1</v>
      </c>
      <c r="L5292" s="2">
        <v>166</v>
      </c>
    </row>
    <row r="5293" spans="1:12" x14ac:dyDescent="0.25">
      <c r="A5293" s="4" t="str">
        <f>HYPERLINK("http://www.rosaceae.org/Prunus/Prunus_persica/p.persica_gdr_reftransV1_0000174","p.persica_gdr_reftransV1_0000174")</f>
        <v>p.persica_gdr_reftransV1_0000174</v>
      </c>
      <c r="B5293" s="2">
        <v>354</v>
      </c>
      <c r="C5293" s="4" t="str">
        <f>HYPERLINK("http://www.uniprot.org/uniprot/M5X7N0","M5X7N0")</f>
        <v>M5X7N0</v>
      </c>
      <c r="D5293" s="2" t="s">
        <v>4865</v>
      </c>
      <c r="E5293" s="3">
        <v>3.1700000000000002E-73</v>
      </c>
      <c r="F5293" s="2">
        <v>624</v>
      </c>
      <c r="G5293" s="2">
        <v>100</v>
      </c>
      <c r="H5293" s="2">
        <v>117</v>
      </c>
      <c r="I5293" s="2">
        <v>3</v>
      </c>
      <c r="J5293" s="2">
        <v>353</v>
      </c>
      <c r="K5293" s="2">
        <v>154</v>
      </c>
      <c r="L5293" s="2">
        <v>270</v>
      </c>
    </row>
    <row r="5294" spans="1:12" x14ac:dyDescent="0.25">
      <c r="A5294" s="4" t="str">
        <f>HYPERLINK("http://www.rosaceae.org/Prunus/Prunus_persica/p.persica_gdr_reftransV1_0000524","p.persica_gdr_reftransV1_0000524")</f>
        <v>p.persica_gdr_reftransV1_0000524</v>
      </c>
      <c r="B5294" s="2">
        <v>796</v>
      </c>
      <c r="C5294" s="4" t="str">
        <f>HYPERLINK("http://www.uniprot.org/uniprot/M5VPB0","M5VPB0")</f>
        <v>M5VPB0</v>
      </c>
      <c r="D5294" s="2" t="s">
        <v>4866</v>
      </c>
      <c r="E5294" s="3">
        <v>2.9E-37</v>
      </c>
      <c r="F5294" s="2">
        <v>345</v>
      </c>
      <c r="G5294" s="2">
        <v>75</v>
      </c>
      <c r="H5294" s="2">
        <v>99</v>
      </c>
      <c r="I5294" s="2">
        <v>353</v>
      </c>
      <c r="J5294" s="2">
        <v>649</v>
      </c>
      <c r="K5294" s="2">
        <v>7</v>
      </c>
      <c r="L5294" s="2">
        <v>80</v>
      </c>
    </row>
    <row r="5295" spans="1:12" x14ac:dyDescent="0.25">
      <c r="A5295" s="4" t="str">
        <f>HYPERLINK("http://www.rosaceae.org/Prunus/Prunus_persica/p.persica_gdr_reftransV1_0000874","p.persica_gdr_reftransV1_0000874")</f>
        <v>p.persica_gdr_reftransV1_0000874</v>
      </c>
      <c r="B5295" s="2">
        <v>2367</v>
      </c>
      <c r="C5295" s="4" t="str">
        <f>HYPERLINK("http://www.uniprot.org/uniprot/M5WUA5","M5WUA5")</f>
        <v>M5WUA5</v>
      </c>
      <c r="D5295" s="2" t="s">
        <v>4759</v>
      </c>
      <c r="E5295" s="3">
        <v>0</v>
      </c>
      <c r="F5295" s="2">
        <v>1591</v>
      </c>
      <c r="G5295" s="2">
        <v>100</v>
      </c>
      <c r="H5295" s="2">
        <v>299</v>
      </c>
      <c r="I5295" s="2">
        <v>153</v>
      </c>
      <c r="J5295" s="2">
        <v>1049</v>
      </c>
      <c r="K5295" s="2">
        <v>1</v>
      </c>
      <c r="L5295" s="2">
        <v>299</v>
      </c>
    </row>
    <row r="5296" spans="1:12" x14ac:dyDescent="0.25">
      <c r="A5296" s="4" t="str">
        <f>HYPERLINK("http://www.rosaceae.org/Prunus/Prunus_persica/p.persica_gdr_reftransV1_0001224","p.persica_gdr_reftransV1_0001224")</f>
        <v>p.persica_gdr_reftransV1_0001224</v>
      </c>
      <c r="B5296" s="2">
        <v>1048</v>
      </c>
      <c r="C5296" s="4" t="str">
        <f>HYPERLINK("http://www.uniprot.org/uniprot/M5Y5J5","M5Y5J5")</f>
        <v>M5Y5J5</v>
      </c>
      <c r="D5296" s="2" t="s">
        <v>4867</v>
      </c>
      <c r="E5296" s="3">
        <v>2.5499999999999999E-96</v>
      </c>
      <c r="F5296" s="2">
        <v>754</v>
      </c>
      <c r="G5296" s="2">
        <v>100</v>
      </c>
      <c r="H5296" s="2">
        <v>162</v>
      </c>
      <c r="I5296" s="2">
        <v>95</v>
      </c>
      <c r="J5296" s="2">
        <v>580</v>
      </c>
      <c r="K5296" s="2">
        <v>1</v>
      </c>
      <c r="L5296" s="2">
        <v>162</v>
      </c>
    </row>
    <row r="5297" spans="1:12" x14ac:dyDescent="0.25">
      <c r="A5297" s="4" t="str">
        <f>HYPERLINK("http://www.rosaceae.org/Prunus/Prunus_persica/p.persica_gdr_reftransV1_0001924","p.persica_gdr_reftransV1_0001924")</f>
        <v>p.persica_gdr_reftransV1_0001924</v>
      </c>
      <c r="B5297" s="2">
        <v>2034</v>
      </c>
      <c r="C5297" s="4" t="str">
        <f>HYPERLINK("http://www.uniprot.org/uniprot/M5XTQ4","M5XTQ4")</f>
        <v>M5XTQ4</v>
      </c>
      <c r="D5297" s="2" t="s">
        <v>4868</v>
      </c>
      <c r="E5297" s="3">
        <v>0</v>
      </c>
      <c r="F5297" s="2">
        <v>1768</v>
      </c>
      <c r="G5297" s="2">
        <v>100</v>
      </c>
      <c r="H5297" s="2">
        <v>395</v>
      </c>
      <c r="I5297" s="2">
        <v>339</v>
      </c>
      <c r="J5297" s="2">
        <v>1523</v>
      </c>
      <c r="K5297" s="2">
        <v>1</v>
      </c>
      <c r="L5297" s="2">
        <v>395</v>
      </c>
    </row>
    <row r="5298" spans="1:12" x14ac:dyDescent="0.25">
      <c r="A5298" s="4" t="str">
        <f>HYPERLINK("http://www.rosaceae.org/Prunus/Prunus_persica/p.persica_gdr_reftransV1_0002624","p.persica_gdr_reftransV1_0002624")</f>
        <v>p.persica_gdr_reftransV1_0002624</v>
      </c>
      <c r="B5298" s="2">
        <v>1148</v>
      </c>
      <c r="C5298" s="4" t="str">
        <f>HYPERLINK("http://www.uniprot.org/uniprot/D4NXR8","D4NXR8")</f>
        <v>D4NXR8</v>
      </c>
      <c r="D5298" s="2" t="s">
        <v>2180</v>
      </c>
      <c r="E5298" s="3">
        <v>7.92E-105</v>
      </c>
      <c r="F5298" s="2">
        <v>840</v>
      </c>
      <c r="G5298" s="2">
        <v>96</v>
      </c>
      <c r="H5298" s="2">
        <v>179</v>
      </c>
      <c r="I5298" s="2">
        <v>482</v>
      </c>
      <c r="J5298" s="2">
        <v>1018</v>
      </c>
      <c r="K5298" s="2">
        <v>1</v>
      </c>
      <c r="L5298" s="2">
        <v>179</v>
      </c>
    </row>
    <row r="5299" spans="1:12" x14ac:dyDescent="0.25">
      <c r="A5299" s="4" t="str">
        <f>HYPERLINK("http://www.rosaceae.org/Prunus/Prunus_persica/p.persica_gdr_reftransV1_0002974","p.persica_gdr_reftransV1_0002974")</f>
        <v>p.persica_gdr_reftransV1_0002974</v>
      </c>
      <c r="B5299" s="2">
        <v>1145</v>
      </c>
      <c r="C5299" s="4" t="str">
        <f>HYPERLINK("http://www.uniprot.org/uniprot/M5WED9","M5WED9")</f>
        <v>M5WED9</v>
      </c>
      <c r="D5299" s="2" t="s">
        <v>4817</v>
      </c>
      <c r="E5299" s="3">
        <v>3.8800000000000001E-150</v>
      </c>
      <c r="F5299" s="2">
        <v>1149</v>
      </c>
      <c r="G5299" s="2">
        <v>90</v>
      </c>
      <c r="H5299" s="2">
        <v>332</v>
      </c>
      <c r="I5299" s="2">
        <v>243</v>
      </c>
      <c r="J5299" s="2">
        <v>1145</v>
      </c>
      <c r="K5299" s="2">
        <v>197</v>
      </c>
      <c r="L5299" s="2">
        <v>528</v>
      </c>
    </row>
    <row r="5300" spans="1:12" x14ac:dyDescent="0.25">
      <c r="A5300" s="4" t="str">
        <f>HYPERLINK("http://www.rosaceae.org/Prunus/Prunus_persica/p.persica_gdr_reftransV1_0003674","p.persica_gdr_reftransV1_0003674")</f>
        <v>p.persica_gdr_reftransV1_0003674</v>
      </c>
      <c r="B5300" s="2">
        <v>1006</v>
      </c>
      <c r="C5300" s="4" t="str">
        <f>HYPERLINK("http://www.uniprot.org/uniprot/F6HZD0","F6HZD0")</f>
        <v>F6HZD0</v>
      </c>
      <c r="D5300" s="2" t="s">
        <v>4869</v>
      </c>
      <c r="E5300" s="3">
        <v>1.9099999999999999E-125</v>
      </c>
      <c r="F5300" s="2">
        <v>956</v>
      </c>
      <c r="G5300" s="2">
        <v>89</v>
      </c>
      <c r="H5300" s="2">
        <v>207</v>
      </c>
      <c r="I5300" s="2">
        <v>131</v>
      </c>
      <c r="J5300" s="2">
        <v>730</v>
      </c>
      <c r="K5300" s="2">
        <v>61</v>
      </c>
      <c r="L5300" s="2">
        <v>267</v>
      </c>
    </row>
    <row r="5301" spans="1:12" x14ac:dyDescent="0.25">
      <c r="A5301" s="4" t="str">
        <f>HYPERLINK("http://www.rosaceae.org/Prunus/Prunus_persica/p.persica_gdr_reftransV1_0004024","p.persica_gdr_reftransV1_0004024")</f>
        <v>p.persica_gdr_reftransV1_0004024</v>
      </c>
      <c r="B5301" s="2">
        <v>2232</v>
      </c>
      <c r="C5301" s="4" t="str">
        <f>HYPERLINK("http://www.uniprot.org/uniprot/M5XD00","M5XD00")</f>
        <v>M5XD00</v>
      </c>
      <c r="D5301" s="2" t="s">
        <v>4870</v>
      </c>
      <c r="E5301" s="3">
        <v>0</v>
      </c>
      <c r="F5301" s="2">
        <v>1881</v>
      </c>
      <c r="G5301" s="2">
        <v>100</v>
      </c>
      <c r="H5301" s="2">
        <v>430</v>
      </c>
      <c r="I5301" s="2">
        <v>659</v>
      </c>
      <c r="J5301" s="2">
        <v>1948</v>
      </c>
      <c r="K5301" s="2">
        <v>1</v>
      </c>
      <c r="L5301" s="2">
        <v>430</v>
      </c>
    </row>
    <row r="5302" spans="1:12" x14ac:dyDescent="0.25">
      <c r="A5302" s="4" t="str">
        <f>HYPERLINK("http://www.rosaceae.org/Prunus/Prunus_persica/p.persica_gdr_reftransV1_0004374","p.persica_gdr_reftransV1_0004374")</f>
        <v>p.persica_gdr_reftransV1_0004374</v>
      </c>
      <c r="B5302" s="2">
        <v>1107</v>
      </c>
      <c r="C5302" s="4" t="str">
        <f>HYPERLINK("http://www.uniprot.org/uniprot/M5X7J0","M5X7J0")</f>
        <v>M5X7J0</v>
      </c>
      <c r="D5302" s="2" t="s">
        <v>4871</v>
      </c>
      <c r="E5302" s="3">
        <v>1.06E-102</v>
      </c>
      <c r="F5302" s="2">
        <v>815</v>
      </c>
      <c r="G5302" s="2">
        <v>97</v>
      </c>
      <c r="H5302" s="2">
        <v>158</v>
      </c>
      <c r="I5302" s="2">
        <v>219</v>
      </c>
      <c r="J5302" s="2">
        <v>692</v>
      </c>
      <c r="K5302" s="2">
        <v>1</v>
      </c>
      <c r="L5302" s="2">
        <v>158</v>
      </c>
    </row>
    <row r="5303" spans="1:12" x14ac:dyDescent="0.25">
      <c r="A5303" s="4" t="str">
        <f>HYPERLINK("http://www.rosaceae.org/Prunus/Prunus_persica/p.persica_gdr_reftransV1_0005074","p.persica_gdr_reftransV1_0005074")</f>
        <v>p.persica_gdr_reftransV1_0005074</v>
      </c>
      <c r="B5303" s="2">
        <v>447</v>
      </c>
      <c r="C5303" s="4" t="str">
        <f>HYPERLINK("http://www.uniprot.org/uniprot/M5W3S7","M5W3S7")</f>
        <v>M5W3S7</v>
      </c>
      <c r="D5303" s="2" t="s">
        <v>4872</v>
      </c>
      <c r="E5303" s="3">
        <v>3.7099999999999999E-93</v>
      </c>
      <c r="F5303" s="2">
        <v>742</v>
      </c>
      <c r="G5303" s="2">
        <v>100</v>
      </c>
      <c r="H5303" s="2">
        <v>142</v>
      </c>
      <c r="I5303" s="2">
        <v>3</v>
      </c>
      <c r="J5303" s="2">
        <v>428</v>
      </c>
      <c r="K5303" s="2">
        <v>359</v>
      </c>
      <c r="L5303" s="2">
        <v>500</v>
      </c>
    </row>
    <row r="5304" spans="1:12" x14ac:dyDescent="0.25">
      <c r="A5304" s="4" t="str">
        <f>HYPERLINK("http://www.rosaceae.org/Prunus/Prunus_persica/p.persica_gdr_reftransV1_0006474","p.persica_gdr_reftransV1_0006474")</f>
        <v>p.persica_gdr_reftransV1_0006474</v>
      </c>
      <c r="B5304" s="2">
        <v>424</v>
      </c>
      <c r="C5304" s="4" t="str">
        <f>HYPERLINK("http://www.uniprot.org/uniprot/M5X5Q6","M5X5Q6")</f>
        <v>M5X5Q6</v>
      </c>
      <c r="D5304" s="2" t="s">
        <v>4873</v>
      </c>
      <c r="E5304" s="3">
        <v>2.9099999999999998E-80</v>
      </c>
      <c r="F5304" s="2">
        <v>646</v>
      </c>
      <c r="G5304" s="2">
        <v>100</v>
      </c>
      <c r="H5304" s="2">
        <v>140</v>
      </c>
      <c r="I5304" s="2">
        <v>3</v>
      </c>
      <c r="J5304" s="2">
        <v>422</v>
      </c>
      <c r="K5304" s="2">
        <v>174</v>
      </c>
      <c r="L5304" s="2">
        <v>313</v>
      </c>
    </row>
    <row r="5305" spans="1:12" x14ac:dyDescent="0.25">
      <c r="A5305" s="4" t="str">
        <f>HYPERLINK("http://www.rosaceae.org/Prunus/Prunus_persica/p.persica_gdr_reftransV1_0006824","p.persica_gdr_reftransV1_0006824")</f>
        <v>p.persica_gdr_reftransV1_0006824</v>
      </c>
      <c r="B5305" s="2">
        <v>1787</v>
      </c>
      <c r="C5305" s="4" t="str">
        <f>HYPERLINK("http://www.uniprot.org/uniprot/M5XEW8","M5XEW8")</f>
        <v>M5XEW8</v>
      </c>
      <c r="D5305" s="2" t="s">
        <v>4874</v>
      </c>
      <c r="E5305" s="3">
        <v>0</v>
      </c>
      <c r="F5305" s="2">
        <v>2492</v>
      </c>
      <c r="G5305" s="2">
        <v>100</v>
      </c>
      <c r="H5305" s="2">
        <v>480</v>
      </c>
      <c r="I5305" s="2">
        <v>263</v>
      </c>
      <c r="J5305" s="2">
        <v>1702</v>
      </c>
      <c r="K5305" s="2">
        <v>1</v>
      </c>
      <c r="L5305" s="2">
        <v>480</v>
      </c>
    </row>
    <row r="5306" spans="1:12" x14ac:dyDescent="0.25">
      <c r="A5306" s="4" t="str">
        <f>HYPERLINK("http://www.rosaceae.org/Prunus/Prunus_persica/p.persica_gdr_reftransV1_0007874","p.persica_gdr_reftransV1_0007874")</f>
        <v>p.persica_gdr_reftransV1_0007874</v>
      </c>
      <c r="B5306" s="2">
        <v>785</v>
      </c>
      <c r="C5306" s="4" t="str">
        <f>HYPERLINK("http://www.uniprot.org/uniprot/M5WSX4","M5WSX4")</f>
        <v>M5WSX4</v>
      </c>
      <c r="D5306" s="2" t="s">
        <v>4875</v>
      </c>
      <c r="E5306" s="3">
        <v>3.2699999999999998E-100</v>
      </c>
      <c r="F5306" s="2">
        <v>769</v>
      </c>
      <c r="G5306" s="2">
        <v>100</v>
      </c>
      <c r="H5306" s="2">
        <v>145</v>
      </c>
      <c r="I5306" s="2">
        <v>114</v>
      </c>
      <c r="J5306" s="2">
        <v>548</v>
      </c>
      <c r="K5306" s="2">
        <v>1</v>
      </c>
      <c r="L5306" s="2">
        <v>145</v>
      </c>
    </row>
    <row r="5307" spans="1:12" x14ac:dyDescent="0.25">
      <c r="A5307" s="4" t="str">
        <f>HYPERLINK("http://www.rosaceae.org/Prunus/Prunus_persica/p.persica_gdr_reftransV1_0008574","p.persica_gdr_reftransV1_0008574")</f>
        <v>p.persica_gdr_reftransV1_0008574</v>
      </c>
      <c r="B5307" s="2">
        <v>674</v>
      </c>
      <c r="C5307" s="4" t="str">
        <f>HYPERLINK("http://www.uniprot.org/uniprot/M5XNI7","M5XNI7")</f>
        <v>M5XNI7</v>
      </c>
      <c r="D5307" s="2" t="s">
        <v>4876</v>
      </c>
      <c r="E5307" s="3">
        <v>7.2599999999999998E-147</v>
      </c>
      <c r="F5307" s="2">
        <v>1118</v>
      </c>
      <c r="G5307" s="2">
        <v>100</v>
      </c>
      <c r="H5307" s="2">
        <v>224</v>
      </c>
      <c r="I5307" s="2">
        <v>2</v>
      </c>
      <c r="J5307" s="2">
        <v>673</v>
      </c>
      <c r="K5307" s="2">
        <v>208</v>
      </c>
      <c r="L5307" s="2">
        <v>431</v>
      </c>
    </row>
    <row r="5308" spans="1:12" x14ac:dyDescent="0.25">
      <c r="A5308" s="4" t="str">
        <f>HYPERLINK("http://www.rosaceae.org/Prunus/Prunus_persica/p.persica_gdr_reftransV1_0008924","p.persica_gdr_reftransV1_0008924")</f>
        <v>p.persica_gdr_reftransV1_0008924</v>
      </c>
      <c r="B5308" s="2">
        <v>849</v>
      </c>
      <c r="C5308" s="4" t="str">
        <f>HYPERLINK("http://www.uniprot.org/uniprot/M5X6V6","M5X6V6")</f>
        <v>M5X6V6</v>
      </c>
      <c r="D5308" s="2" t="s">
        <v>4877</v>
      </c>
      <c r="E5308" s="3">
        <v>4.9099999999999997E-75</v>
      </c>
      <c r="F5308" s="2">
        <v>609</v>
      </c>
      <c r="G5308" s="2">
        <v>70</v>
      </c>
      <c r="H5308" s="2">
        <v>175</v>
      </c>
      <c r="I5308" s="2">
        <v>107</v>
      </c>
      <c r="J5308" s="2">
        <v>631</v>
      </c>
      <c r="K5308" s="2">
        <v>31</v>
      </c>
      <c r="L5308" s="2">
        <v>194</v>
      </c>
    </row>
    <row r="5309" spans="1:12" x14ac:dyDescent="0.25">
      <c r="A5309" s="4" t="str">
        <f>HYPERLINK("http://www.rosaceae.org/Prunus/Prunus_persica/p.persica_gdr_reftransV1_0009274","p.persica_gdr_reftransV1_0009274")</f>
        <v>p.persica_gdr_reftransV1_0009274</v>
      </c>
      <c r="B5309" s="2">
        <v>1345</v>
      </c>
      <c r="C5309" s="4" t="str">
        <f>HYPERLINK("http://www.uniprot.org/uniprot/M5WTR9","M5WTR9")</f>
        <v>M5WTR9</v>
      </c>
      <c r="D5309" s="2" t="s">
        <v>4878</v>
      </c>
      <c r="E5309" s="3">
        <v>8.9200000000000003E-155</v>
      </c>
      <c r="F5309" s="2">
        <v>1159</v>
      </c>
      <c r="G5309" s="2">
        <v>92</v>
      </c>
      <c r="H5309" s="2">
        <v>266</v>
      </c>
      <c r="I5309" s="2">
        <v>153</v>
      </c>
      <c r="J5309" s="2">
        <v>950</v>
      </c>
      <c r="K5309" s="2">
        <v>1</v>
      </c>
      <c r="L5309" s="2">
        <v>246</v>
      </c>
    </row>
    <row r="5310" spans="1:12" x14ac:dyDescent="0.25">
      <c r="A5310" s="4" t="str">
        <f>HYPERLINK("http://www.rosaceae.org/Prunus/Prunus_persica/p.persica_gdr_reftransV1_0009974","p.persica_gdr_reftransV1_0009974")</f>
        <v>p.persica_gdr_reftransV1_0009974</v>
      </c>
      <c r="B5310" s="2">
        <v>827</v>
      </c>
      <c r="C5310" s="4" t="str">
        <f>HYPERLINK("http://www.uniprot.org/uniprot/M5XBB4","M5XBB4")</f>
        <v>M5XBB4</v>
      </c>
      <c r="D5310" s="2" t="s">
        <v>4879</v>
      </c>
      <c r="E5310" s="3">
        <v>1.58E-81</v>
      </c>
      <c r="F5310" s="2">
        <v>645</v>
      </c>
      <c r="G5310" s="2">
        <v>100</v>
      </c>
      <c r="H5310" s="2">
        <v>121</v>
      </c>
      <c r="I5310" s="2">
        <v>309</v>
      </c>
      <c r="J5310" s="2">
        <v>671</v>
      </c>
      <c r="K5310" s="2">
        <v>1</v>
      </c>
      <c r="L5310" s="2">
        <v>121</v>
      </c>
    </row>
    <row r="5311" spans="1:12" x14ac:dyDescent="0.25">
      <c r="A5311" s="4" t="str">
        <f>HYPERLINK("http://www.rosaceae.org/Prunus/Prunus_persica/p.persica_gdr_reftransV1_0010674","p.persica_gdr_reftransV1_0010674")</f>
        <v>p.persica_gdr_reftransV1_0010674</v>
      </c>
      <c r="B5311" s="2">
        <v>1787</v>
      </c>
      <c r="C5311" s="4" t="str">
        <f>HYPERLINK("http://www.uniprot.org/uniprot/M5WIK0","M5WIK0")</f>
        <v>M5WIK0</v>
      </c>
      <c r="D5311" s="2" t="s">
        <v>4880</v>
      </c>
      <c r="E5311" s="3">
        <v>0</v>
      </c>
      <c r="F5311" s="2">
        <v>1661</v>
      </c>
      <c r="G5311" s="2">
        <v>100</v>
      </c>
      <c r="H5311" s="2">
        <v>378</v>
      </c>
      <c r="I5311" s="2">
        <v>289</v>
      </c>
      <c r="J5311" s="2">
        <v>1422</v>
      </c>
      <c r="K5311" s="2">
        <v>1</v>
      </c>
      <c r="L5311" s="2">
        <v>378</v>
      </c>
    </row>
    <row r="5312" spans="1:12" x14ac:dyDescent="0.25">
      <c r="A5312" s="4" t="str">
        <f>HYPERLINK("http://www.rosaceae.org/Prunus/Prunus_persica/p.persica_gdr_reftransV1_0011724","p.persica_gdr_reftransV1_0011724")</f>
        <v>p.persica_gdr_reftransV1_0011724</v>
      </c>
      <c r="B5312" s="2">
        <v>3130</v>
      </c>
      <c r="C5312" s="4" t="str">
        <f>HYPERLINK("http://www.uniprot.org/uniprot/M5XC47","M5XC47")</f>
        <v>M5XC47</v>
      </c>
      <c r="D5312" s="2" t="s">
        <v>4881</v>
      </c>
      <c r="E5312" s="3">
        <v>0</v>
      </c>
      <c r="F5312" s="2">
        <v>1546</v>
      </c>
      <c r="G5312" s="2">
        <v>100</v>
      </c>
      <c r="H5312" s="2">
        <v>300</v>
      </c>
      <c r="I5312" s="2">
        <v>736</v>
      </c>
      <c r="J5312" s="2">
        <v>1635</v>
      </c>
      <c r="K5312" s="2">
        <v>1</v>
      </c>
      <c r="L5312" s="2">
        <v>300</v>
      </c>
    </row>
    <row r="5313" spans="1:12" x14ac:dyDescent="0.25">
      <c r="A5313" s="4" t="str">
        <f>HYPERLINK("http://www.rosaceae.org/Prunus/Prunus_persica/p.persica_gdr_reftransV1_0013124","p.persica_gdr_reftransV1_0013124")</f>
        <v>p.persica_gdr_reftransV1_0013124</v>
      </c>
      <c r="B5313" s="2">
        <v>3157</v>
      </c>
      <c r="C5313" s="4" t="str">
        <f>HYPERLINK("http://www.uniprot.org/uniprot/M5X9Q8","M5X9Q8")</f>
        <v>M5X9Q8</v>
      </c>
      <c r="D5313" s="2" t="s">
        <v>4882</v>
      </c>
      <c r="E5313" s="3">
        <v>2.3900000000000001E-124</v>
      </c>
      <c r="F5313" s="2">
        <v>1020</v>
      </c>
      <c r="G5313" s="2">
        <v>98</v>
      </c>
      <c r="H5313" s="2">
        <v>194</v>
      </c>
      <c r="I5313" s="2">
        <v>2149</v>
      </c>
      <c r="J5313" s="2">
        <v>2730</v>
      </c>
      <c r="K5313" s="2">
        <v>204</v>
      </c>
      <c r="L5313" s="2">
        <v>397</v>
      </c>
    </row>
    <row r="5314" spans="1:12" x14ac:dyDescent="0.25">
      <c r="A5314" s="4" t="str">
        <f>HYPERLINK("http://www.rosaceae.org/Prunus/Prunus_persica/p.persica_gdr_reftransV1_0013474","p.persica_gdr_reftransV1_0013474")</f>
        <v>p.persica_gdr_reftransV1_0013474</v>
      </c>
      <c r="B5314" s="2">
        <v>1529</v>
      </c>
      <c r="C5314" s="4" t="str">
        <f>HYPERLINK("http://www.uniprot.org/uniprot/M5X1D2","M5X1D2")</f>
        <v>M5X1D2</v>
      </c>
      <c r="D5314" s="2" t="s">
        <v>4883</v>
      </c>
      <c r="E5314" s="3">
        <v>0</v>
      </c>
      <c r="F5314" s="2">
        <v>1481</v>
      </c>
      <c r="G5314" s="2">
        <v>100</v>
      </c>
      <c r="H5314" s="2">
        <v>322</v>
      </c>
      <c r="I5314" s="2">
        <v>211</v>
      </c>
      <c r="J5314" s="2">
        <v>1176</v>
      </c>
      <c r="K5314" s="2">
        <v>1</v>
      </c>
      <c r="L5314" s="2">
        <v>322</v>
      </c>
    </row>
    <row r="5315" spans="1:12" x14ac:dyDescent="0.25">
      <c r="A5315" s="4" t="str">
        <f>HYPERLINK("http://www.rosaceae.org/Prunus/Prunus_persica/p.persica_gdr_reftransV1_0013824","p.persica_gdr_reftransV1_0013824")</f>
        <v>p.persica_gdr_reftransV1_0013824</v>
      </c>
      <c r="B5315" s="2">
        <v>1505</v>
      </c>
      <c r="C5315" s="4" t="str">
        <f>HYPERLINK("http://www.uniprot.org/uniprot/M5X1Q1","M5X1Q1")</f>
        <v>M5X1Q1</v>
      </c>
      <c r="D5315" s="2" t="s">
        <v>4884</v>
      </c>
      <c r="E5315" s="3">
        <v>0</v>
      </c>
      <c r="F5315" s="2">
        <v>1393</v>
      </c>
      <c r="G5315" s="2">
        <v>100</v>
      </c>
      <c r="H5315" s="2">
        <v>279</v>
      </c>
      <c r="I5315" s="2">
        <v>304</v>
      </c>
      <c r="J5315" s="2">
        <v>1140</v>
      </c>
      <c r="K5315" s="2">
        <v>1</v>
      </c>
      <c r="L5315" s="2">
        <v>279</v>
      </c>
    </row>
    <row r="5316" spans="1:12" x14ac:dyDescent="0.25">
      <c r="A5316" s="4" t="str">
        <f>HYPERLINK("http://www.rosaceae.org/Prunus/Prunus_persica/p.persica_gdr_reftransV1_0014524","p.persica_gdr_reftransV1_0014524")</f>
        <v>p.persica_gdr_reftransV1_0014524</v>
      </c>
      <c r="B5316" s="2">
        <v>785</v>
      </c>
      <c r="C5316" s="4" t="str">
        <f>HYPERLINK("http://www.uniprot.org/uniprot/M5XMG1","M5XMG1")</f>
        <v>M5XMG1</v>
      </c>
      <c r="D5316" s="2" t="s">
        <v>4885</v>
      </c>
      <c r="E5316" s="3">
        <v>4.8699999999999998E-59</v>
      </c>
      <c r="F5316" s="2">
        <v>500</v>
      </c>
      <c r="G5316" s="2">
        <v>99</v>
      </c>
      <c r="H5316" s="2">
        <v>127</v>
      </c>
      <c r="I5316" s="2">
        <v>129</v>
      </c>
      <c r="J5316" s="2">
        <v>509</v>
      </c>
      <c r="K5316" s="2">
        <v>1</v>
      </c>
      <c r="L5316" s="2">
        <v>127</v>
      </c>
    </row>
    <row r="5317" spans="1:12" x14ac:dyDescent="0.25">
      <c r="A5317" s="4" t="str">
        <f>HYPERLINK("http://www.rosaceae.org/Prunus/Prunus_persica/p.persica_gdr_reftransV1_0015574","p.persica_gdr_reftransV1_0015574")</f>
        <v>p.persica_gdr_reftransV1_0015574</v>
      </c>
      <c r="B5317" s="2">
        <v>685</v>
      </c>
      <c r="C5317" s="4" t="str">
        <f>HYPERLINK("http://www.uniprot.org/uniprot/M5Y9J3","M5Y9J3")</f>
        <v>M5Y9J3</v>
      </c>
      <c r="D5317" s="2" t="s">
        <v>4886</v>
      </c>
      <c r="E5317" s="3">
        <v>4.4099999999999998E-61</v>
      </c>
      <c r="F5317" s="2">
        <v>506</v>
      </c>
      <c r="G5317" s="2">
        <v>100</v>
      </c>
      <c r="H5317" s="2">
        <v>99</v>
      </c>
      <c r="I5317" s="2">
        <v>151</v>
      </c>
      <c r="J5317" s="2">
        <v>447</v>
      </c>
      <c r="K5317" s="2">
        <v>1</v>
      </c>
      <c r="L5317" s="2">
        <v>99</v>
      </c>
    </row>
    <row r="5318" spans="1:12" x14ac:dyDescent="0.25">
      <c r="A5318" s="4" t="str">
        <f>HYPERLINK("http://www.rosaceae.org/Prunus/Prunus_persica/p.persica_gdr_reftransV1_0016624","p.persica_gdr_reftransV1_0016624")</f>
        <v>p.persica_gdr_reftransV1_0016624</v>
      </c>
      <c r="B5318" s="2">
        <v>4603</v>
      </c>
      <c r="C5318" s="4" t="str">
        <f>HYPERLINK("http://www.uniprot.org/uniprot/M5WMJ2","M5WMJ2")</f>
        <v>M5WMJ2</v>
      </c>
      <c r="D5318" s="2" t="s">
        <v>4887</v>
      </c>
      <c r="E5318" s="3">
        <v>0</v>
      </c>
      <c r="F5318" s="2">
        <v>6907</v>
      </c>
      <c r="G5318" s="2">
        <v>98</v>
      </c>
      <c r="H5318" s="2">
        <v>1403</v>
      </c>
      <c r="I5318" s="2">
        <v>147</v>
      </c>
      <c r="J5318" s="2">
        <v>4355</v>
      </c>
      <c r="K5318" s="2">
        <v>1</v>
      </c>
      <c r="L5318" s="2">
        <v>1369</v>
      </c>
    </row>
    <row r="5319" spans="1:12" x14ac:dyDescent="0.25">
      <c r="A5319" s="4" t="str">
        <f>HYPERLINK("http://www.rosaceae.org/Prunus/Prunus_persica/p.persica_gdr_reftransV1_0017324","p.persica_gdr_reftransV1_0017324")</f>
        <v>p.persica_gdr_reftransV1_0017324</v>
      </c>
      <c r="B5319" s="2">
        <v>1994</v>
      </c>
      <c r="C5319" s="4" t="str">
        <f>HYPERLINK("http://www.uniprot.org/uniprot/M5WUN0","M5WUN0")</f>
        <v>M5WUN0</v>
      </c>
      <c r="D5319" s="2" t="s">
        <v>4888</v>
      </c>
      <c r="E5319" s="3">
        <v>5.6800000000000004E-102</v>
      </c>
      <c r="F5319" s="2">
        <v>832</v>
      </c>
      <c r="G5319" s="2">
        <v>100</v>
      </c>
      <c r="H5319" s="2">
        <v>157</v>
      </c>
      <c r="I5319" s="2">
        <v>76</v>
      </c>
      <c r="J5319" s="2">
        <v>546</v>
      </c>
      <c r="K5319" s="2">
        <v>1</v>
      </c>
      <c r="L5319" s="2">
        <v>157</v>
      </c>
    </row>
    <row r="5320" spans="1:12" x14ac:dyDescent="0.25">
      <c r="A5320" s="4" t="str">
        <f>HYPERLINK("http://www.rosaceae.org/Prunus/Prunus_persica/p.persica_gdr_reftransV1_0019774","p.persica_gdr_reftransV1_0019774")</f>
        <v>p.persica_gdr_reftransV1_0019774</v>
      </c>
      <c r="B5320" s="2">
        <v>1994</v>
      </c>
      <c r="C5320" s="4" t="str">
        <f>HYPERLINK("http://www.uniprot.org/uniprot/M5VZM2","M5VZM2")</f>
        <v>M5VZM2</v>
      </c>
      <c r="D5320" s="2" t="s">
        <v>3417</v>
      </c>
      <c r="E5320" s="3">
        <v>3.1699999999999998E-151</v>
      </c>
      <c r="F5320" s="2">
        <v>1159</v>
      </c>
      <c r="G5320" s="2">
        <v>85</v>
      </c>
      <c r="H5320" s="2">
        <v>301</v>
      </c>
      <c r="I5320" s="2">
        <v>966</v>
      </c>
      <c r="J5320" s="2">
        <v>1868</v>
      </c>
      <c r="K5320" s="2">
        <v>1</v>
      </c>
      <c r="L5320" s="2">
        <v>270</v>
      </c>
    </row>
    <row r="5321" spans="1:12" x14ac:dyDescent="0.25">
      <c r="A5321" s="4" t="str">
        <f>HYPERLINK("http://www.rosaceae.org/Prunus/Prunus_persica/p.persica_gdr_reftransV1_0020124","p.persica_gdr_reftransV1_0020124")</f>
        <v>p.persica_gdr_reftransV1_0020124</v>
      </c>
      <c r="B5321" s="2">
        <v>2530</v>
      </c>
      <c r="C5321" s="4" t="str">
        <f>HYPERLINK("http://www.uniprot.org/uniprot/M5XEB8","M5XEB8")</f>
        <v>M5XEB8</v>
      </c>
      <c r="D5321" s="2" t="s">
        <v>4889</v>
      </c>
      <c r="E5321" s="3">
        <v>0</v>
      </c>
      <c r="F5321" s="2">
        <v>2422</v>
      </c>
      <c r="G5321" s="2">
        <v>97</v>
      </c>
      <c r="H5321" s="2">
        <v>564</v>
      </c>
      <c r="I5321" s="2">
        <v>254</v>
      </c>
      <c r="J5321" s="2">
        <v>1945</v>
      </c>
      <c r="K5321" s="2">
        <v>1</v>
      </c>
      <c r="L5321" s="2">
        <v>552</v>
      </c>
    </row>
    <row r="5322" spans="1:12" x14ac:dyDescent="0.25">
      <c r="A5322" s="4" t="str">
        <f>HYPERLINK("http://www.rosaceae.org/Prunus/Prunus_persica/p.persica_gdr_reftransV1_0020474","p.persica_gdr_reftransV1_0020474")</f>
        <v>p.persica_gdr_reftransV1_0020474</v>
      </c>
      <c r="B5322" s="2">
        <v>741</v>
      </c>
      <c r="C5322" s="4" t="str">
        <f>HYPERLINK("http://www.uniprot.org/uniprot/M5VVR7","M5VVR7")</f>
        <v>M5VVR7</v>
      </c>
      <c r="D5322" s="2" t="s">
        <v>4890</v>
      </c>
      <c r="E5322" s="3">
        <v>2.75E-168</v>
      </c>
      <c r="F5322" s="2">
        <v>1318</v>
      </c>
      <c r="G5322" s="2">
        <v>100</v>
      </c>
      <c r="H5322" s="2">
        <v>246</v>
      </c>
      <c r="I5322" s="2">
        <v>3</v>
      </c>
      <c r="J5322" s="2">
        <v>740</v>
      </c>
      <c r="K5322" s="2">
        <v>63</v>
      </c>
      <c r="L5322" s="2">
        <v>308</v>
      </c>
    </row>
    <row r="5323" spans="1:12" x14ac:dyDescent="0.25">
      <c r="A5323" s="4" t="str">
        <f>HYPERLINK("http://www.rosaceae.org/Prunus/Prunus_persica/p.persica_gdr_reftransV1_0021174","p.persica_gdr_reftransV1_0021174")</f>
        <v>p.persica_gdr_reftransV1_0021174</v>
      </c>
      <c r="B5323" s="2">
        <v>442</v>
      </c>
      <c r="C5323" s="4" t="str">
        <f>HYPERLINK("http://www.uniprot.org/uniprot/M5WPW8","M5WPW8")</f>
        <v>M5WPW8</v>
      </c>
      <c r="D5323" s="2" t="s">
        <v>4891</v>
      </c>
      <c r="E5323" s="3">
        <v>4.6399999999999999E-95</v>
      </c>
      <c r="F5323" s="2">
        <v>777</v>
      </c>
      <c r="G5323" s="2">
        <v>100</v>
      </c>
      <c r="H5323" s="2">
        <v>146</v>
      </c>
      <c r="I5323" s="2">
        <v>3</v>
      </c>
      <c r="J5323" s="2">
        <v>440</v>
      </c>
      <c r="K5323" s="2">
        <v>277</v>
      </c>
      <c r="L5323" s="2">
        <v>422</v>
      </c>
    </row>
    <row r="5324" spans="1:12" x14ac:dyDescent="0.25">
      <c r="A5324" s="4" t="str">
        <f>HYPERLINK("http://www.rosaceae.org/Prunus/Prunus_persica/p.persica_gdr_reftransV1_0021524","p.persica_gdr_reftransV1_0021524")</f>
        <v>p.persica_gdr_reftransV1_0021524</v>
      </c>
      <c r="B5324" s="2">
        <v>4904</v>
      </c>
      <c r="C5324" s="4" t="str">
        <f>HYPERLINK("http://www.uniprot.org/uniprot/M5WSK5","M5WSK5")</f>
        <v>M5WSK5</v>
      </c>
      <c r="D5324" s="2" t="s">
        <v>4892</v>
      </c>
      <c r="E5324" s="3">
        <v>0</v>
      </c>
      <c r="F5324" s="2">
        <v>3673</v>
      </c>
      <c r="G5324" s="2">
        <v>100</v>
      </c>
      <c r="H5324" s="2">
        <v>688</v>
      </c>
      <c r="I5324" s="2">
        <v>115</v>
      </c>
      <c r="J5324" s="2">
        <v>2178</v>
      </c>
      <c r="K5324" s="2">
        <v>1</v>
      </c>
      <c r="L5324" s="2">
        <v>688</v>
      </c>
    </row>
    <row r="5325" spans="1:12" x14ac:dyDescent="0.25">
      <c r="A5325" s="4" t="str">
        <f>HYPERLINK("http://www.rosaceae.org/Prunus/Prunus_persica/p.persica_gdr_reftransV1_0022924","p.persica_gdr_reftransV1_0022924")</f>
        <v>p.persica_gdr_reftransV1_0022924</v>
      </c>
      <c r="B5325" s="2">
        <v>1478</v>
      </c>
      <c r="C5325" s="4" t="str">
        <f>HYPERLINK("http://www.uniprot.org/uniprot/M5W2H3","M5W2H3")</f>
        <v>M5W2H3</v>
      </c>
      <c r="D5325" s="2" t="s">
        <v>4893</v>
      </c>
      <c r="E5325" s="3">
        <v>0</v>
      </c>
      <c r="F5325" s="2">
        <v>1363</v>
      </c>
      <c r="G5325" s="2">
        <v>95</v>
      </c>
      <c r="H5325" s="2">
        <v>333</v>
      </c>
      <c r="I5325" s="2">
        <v>329</v>
      </c>
      <c r="J5325" s="2">
        <v>1327</v>
      </c>
      <c r="K5325" s="2">
        <v>1</v>
      </c>
      <c r="L5325" s="2">
        <v>318</v>
      </c>
    </row>
    <row r="5326" spans="1:12" x14ac:dyDescent="0.25">
      <c r="A5326" s="4" t="str">
        <f>HYPERLINK("http://www.rosaceae.org/Prunus/Prunus_persica/p.persica_gdr_reftransV1_0023974","p.persica_gdr_reftransV1_0023974")</f>
        <v>p.persica_gdr_reftransV1_0023974</v>
      </c>
      <c r="B5326" s="2">
        <v>819</v>
      </c>
      <c r="C5326" s="4" t="str">
        <f>HYPERLINK("http://www.uniprot.org/uniprot/M5W6U6","M5W6U6")</f>
        <v>M5W6U6</v>
      </c>
      <c r="D5326" s="2" t="s">
        <v>4894</v>
      </c>
      <c r="E5326" s="3">
        <v>4.4600000000000001E-125</v>
      </c>
      <c r="F5326" s="2">
        <v>939</v>
      </c>
      <c r="G5326" s="2">
        <v>100</v>
      </c>
      <c r="H5326" s="2">
        <v>191</v>
      </c>
      <c r="I5326" s="2">
        <v>199</v>
      </c>
      <c r="J5326" s="2">
        <v>771</v>
      </c>
      <c r="K5326" s="2">
        <v>1</v>
      </c>
      <c r="L5326" s="2">
        <v>191</v>
      </c>
    </row>
    <row r="5327" spans="1:12" x14ac:dyDescent="0.25">
      <c r="A5327" s="4" t="str">
        <f>HYPERLINK("http://www.rosaceae.org/Prunus/Prunus_persica/p.persica_gdr_reftransV1_0024324","p.persica_gdr_reftransV1_0024324")</f>
        <v>p.persica_gdr_reftransV1_0024324</v>
      </c>
      <c r="B5327" s="2">
        <v>2864</v>
      </c>
      <c r="C5327" s="4" t="str">
        <f>HYPERLINK("http://www.uniprot.org/uniprot/M5X8M9","M5X8M9")</f>
        <v>M5X8M9</v>
      </c>
      <c r="D5327" s="2" t="s">
        <v>4895</v>
      </c>
      <c r="E5327" s="3">
        <v>0</v>
      </c>
      <c r="F5327" s="2">
        <v>2752</v>
      </c>
      <c r="G5327" s="2">
        <v>97</v>
      </c>
      <c r="H5327" s="2">
        <v>522</v>
      </c>
      <c r="I5327" s="2">
        <v>1299</v>
      </c>
      <c r="J5327" s="2">
        <v>2864</v>
      </c>
      <c r="K5327" s="2">
        <v>828</v>
      </c>
      <c r="L5327" s="2">
        <v>1336</v>
      </c>
    </row>
    <row r="5328" spans="1:12" x14ac:dyDescent="0.25">
      <c r="A5328" s="4" t="str">
        <f>HYPERLINK("http://www.rosaceae.org/Prunus/Prunus_persica/p.persica_gdr_reftransV1_0024674","p.persica_gdr_reftransV1_0024674")</f>
        <v>p.persica_gdr_reftransV1_0024674</v>
      </c>
      <c r="B5328" s="2">
        <v>1984</v>
      </c>
      <c r="C5328" s="4" t="str">
        <f>HYPERLINK("http://www.uniprot.org/uniprot/M5VW12","M5VW12")</f>
        <v>M5VW12</v>
      </c>
      <c r="D5328" s="2" t="s">
        <v>4896</v>
      </c>
      <c r="E5328" s="3">
        <v>0</v>
      </c>
      <c r="F5328" s="2">
        <v>1830</v>
      </c>
      <c r="G5328" s="2">
        <v>100</v>
      </c>
      <c r="H5328" s="2">
        <v>381</v>
      </c>
      <c r="I5328" s="2">
        <v>642</v>
      </c>
      <c r="J5328" s="2">
        <v>1784</v>
      </c>
      <c r="K5328" s="2">
        <v>1</v>
      </c>
      <c r="L5328" s="2">
        <v>381</v>
      </c>
    </row>
    <row r="5329" spans="1:12" x14ac:dyDescent="0.25">
      <c r="A5329" s="4" t="str">
        <f>HYPERLINK("http://www.rosaceae.org/Prunus/Prunus_persica/p.persica_gdr_reftransV1_0025024","p.persica_gdr_reftransV1_0025024")</f>
        <v>p.persica_gdr_reftransV1_0025024</v>
      </c>
      <c r="B5329" s="2">
        <v>1995</v>
      </c>
      <c r="C5329" s="4" t="str">
        <f>HYPERLINK("http://www.uniprot.org/uniprot/M5VZQ4","M5VZQ4")</f>
        <v>M5VZQ4</v>
      </c>
      <c r="D5329" s="2" t="s">
        <v>4897</v>
      </c>
      <c r="E5329" s="3">
        <v>4.74E-77</v>
      </c>
      <c r="F5329" s="2">
        <v>659</v>
      </c>
      <c r="G5329" s="2">
        <v>100</v>
      </c>
      <c r="H5329" s="2">
        <v>123</v>
      </c>
      <c r="I5329" s="2">
        <v>1505</v>
      </c>
      <c r="J5329" s="2">
        <v>1873</v>
      </c>
      <c r="K5329" s="2">
        <v>1</v>
      </c>
      <c r="L5329" s="2">
        <v>123</v>
      </c>
    </row>
    <row r="5330" spans="1:12" x14ac:dyDescent="0.25">
      <c r="A5330" s="4" t="str">
        <f>HYPERLINK("http://www.rosaceae.org/Prunus/Prunus_persica/p.persica_gdr_reftransV1_0025374","p.persica_gdr_reftransV1_0025374")</f>
        <v>p.persica_gdr_reftransV1_0025374</v>
      </c>
      <c r="B5330" s="2">
        <v>1874</v>
      </c>
      <c r="C5330" s="4" t="str">
        <f>HYPERLINK("http://www.uniprot.org/uniprot/M5VY13","M5VY13")</f>
        <v>M5VY13</v>
      </c>
      <c r="D5330" s="2" t="s">
        <v>1097</v>
      </c>
      <c r="E5330" s="3">
        <v>0</v>
      </c>
      <c r="F5330" s="2">
        <v>2418</v>
      </c>
      <c r="G5330" s="2">
        <v>100</v>
      </c>
      <c r="H5330" s="2">
        <v>489</v>
      </c>
      <c r="I5330" s="2">
        <v>147</v>
      </c>
      <c r="J5330" s="2">
        <v>1613</v>
      </c>
      <c r="K5330" s="2">
        <v>1</v>
      </c>
      <c r="L5330" s="2">
        <v>489</v>
      </c>
    </row>
    <row r="5331" spans="1:12" x14ac:dyDescent="0.25">
      <c r="A5331" s="4" t="str">
        <f>HYPERLINK("http://www.rosaceae.org/Prunus/Prunus_persica/p.persica_gdr_reftransV1_0026424","p.persica_gdr_reftransV1_0026424")</f>
        <v>p.persica_gdr_reftransV1_0026424</v>
      </c>
      <c r="B5331" s="2">
        <v>1018</v>
      </c>
      <c r="C5331" s="4" t="str">
        <f>HYPERLINK("http://www.uniprot.org/uniprot/M5X3Q3","M5X3Q3")</f>
        <v>M5X3Q3</v>
      </c>
      <c r="D5331" s="2" t="s">
        <v>4898</v>
      </c>
      <c r="E5331" s="3">
        <v>2.9000000000000002E-129</v>
      </c>
      <c r="F5331" s="2">
        <v>1011</v>
      </c>
      <c r="G5331" s="2">
        <v>100</v>
      </c>
      <c r="H5331" s="2">
        <v>203</v>
      </c>
      <c r="I5331" s="2">
        <v>408</v>
      </c>
      <c r="J5331" s="2">
        <v>1016</v>
      </c>
      <c r="K5331" s="2">
        <v>392</v>
      </c>
      <c r="L5331" s="2">
        <v>594</v>
      </c>
    </row>
    <row r="5332" spans="1:12" x14ac:dyDescent="0.25">
      <c r="A5332" s="4" t="str">
        <f>HYPERLINK("http://www.rosaceae.org/Prunus/Prunus_persica/p.persica_gdr_reftransV1_0026774","p.persica_gdr_reftransV1_0026774")</f>
        <v>p.persica_gdr_reftransV1_0026774</v>
      </c>
      <c r="B5332" s="2">
        <v>2009</v>
      </c>
      <c r="C5332" s="4" t="str">
        <f>HYPERLINK("http://www.uniprot.org/uniprot/V7BG77","V7BG77")</f>
        <v>V7BG77</v>
      </c>
      <c r="D5332" s="2" t="s">
        <v>4899</v>
      </c>
      <c r="E5332" s="3">
        <v>3.4099999999999998E-134</v>
      </c>
      <c r="F5332" s="2">
        <v>1050</v>
      </c>
      <c r="G5332" s="2">
        <v>68</v>
      </c>
      <c r="H5332" s="2">
        <v>297</v>
      </c>
      <c r="I5332" s="2">
        <v>735</v>
      </c>
      <c r="J5332" s="2">
        <v>1625</v>
      </c>
      <c r="K5332" s="2">
        <v>18</v>
      </c>
      <c r="L5332" s="2">
        <v>290</v>
      </c>
    </row>
    <row r="5333" spans="1:12" x14ac:dyDescent="0.25">
      <c r="A5333" s="4" t="str">
        <f>HYPERLINK("http://www.rosaceae.org/Prunus/Prunus_persica/p.persica_gdr_reftransV1_0028874","p.persica_gdr_reftransV1_0028874")</f>
        <v>p.persica_gdr_reftransV1_0028874</v>
      </c>
      <c r="B5333" s="2">
        <v>1560</v>
      </c>
      <c r="C5333" s="4" t="str">
        <f>HYPERLINK("http://www.uniprot.org/uniprot/M5WQI2","M5WQI2")</f>
        <v>M5WQI2</v>
      </c>
      <c r="D5333" s="2" t="s">
        <v>4900</v>
      </c>
      <c r="E5333" s="3">
        <v>0</v>
      </c>
      <c r="F5333" s="2">
        <v>1815</v>
      </c>
      <c r="G5333" s="2">
        <v>100</v>
      </c>
      <c r="H5333" s="2">
        <v>340</v>
      </c>
      <c r="I5333" s="2">
        <v>237</v>
      </c>
      <c r="J5333" s="2">
        <v>1256</v>
      </c>
      <c r="K5333" s="2">
        <v>1</v>
      </c>
      <c r="L5333" s="2">
        <v>340</v>
      </c>
    </row>
    <row r="5334" spans="1:12" x14ac:dyDescent="0.25">
      <c r="A5334" s="4" t="str">
        <f>HYPERLINK("http://www.rosaceae.org/Prunus/Prunus_persica/p.persica_gdr_reftransV1_0032374","p.persica_gdr_reftransV1_0032374")</f>
        <v>p.persica_gdr_reftransV1_0032374</v>
      </c>
      <c r="B5334" s="2">
        <v>1318</v>
      </c>
      <c r="C5334" s="4" t="str">
        <f>HYPERLINK("http://www.uniprot.org/uniprot/A0A067FD27","A0A067FD27")</f>
        <v>A0A067FD27</v>
      </c>
      <c r="D5334" s="2" t="s">
        <v>4901</v>
      </c>
      <c r="E5334" s="3">
        <v>6.2099999999999998E-117</v>
      </c>
      <c r="F5334" s="2">
        <v>590</v>
      </c>
      <c r="G5334" s="2">
        <v>78</v>
      </c>
      <c r="H5334" s="2">
        <v>135</v>
      </c>
      <c r="I5334" s="2">
        <v>262</v>
      </c>
      <c r="J5334" s="2">
        <v>666</v>
      </c>
      <c r="K5334" s="2">
        <v>174</v>
      </c>
      <c r="L5334" s="2">
        <v>308</v>
      </c>
    </row>
    <row r="5335" spans="1:12" x14ac:dyDescent="0.25">
      <c r="A5335" s="4" t="str">
        <f>HYPERLINK("http://www.rosaceae.org/Prunus/Prunus_persica/p.persica_gdr_reftransV1_0033424","p.persica_gdr_reftransV1_0033424")</f>
        <v>p.persica_gdr_reftransV1_0033424</v>
      </c>
      <c r="B5335" s="2">
        <v>1587</v>
      </c>
      <c r="C5335" s="4" t="str">
        <f>HYPERLINK("http://www.uniprot.org/uniprot/M5X5R1","M5X5R1")</f>
        <v>M5X5R1</v>
      </c>
      <c r="D5335" s="2" t="s">
        <v>4902</v>
      </c>
      <c r="E5335" s="3">
        <v>0</v>
      </c>
      <c r="F5335" s="2">
        <v>1618</v>
      </c>
      <c r="G5335" s="2">
        <v>100</v>
      </c>
      <c r="H5335" s="2">
        <v>323</v>
      </c>
      <c r="I5335" s="2">
        <v>373</v>
      </c>
      <c r="J5335" s="2">
        <v>1341</v>
      </c>
      <c r="K5335" s="2">
        <v>2</v>
      </c>
      <c r="L5335" s="2">
        <v>324</v>
      </c>
    </row>
    <row r="5336" spans="1:12" x14ac:dyDescent="0.25">
      <c r="A5336" s="4" t="str">
        <f>HYPERLINK("http://www.rosaceae.org/Prunus/Prunus_persica/p.persica_gdr_reftransV1_0034124","p.persica_gdr_reftransV1_0034124")</f>
        <v>p.persica_gdr_reftransV1_0034124</v>
      </c>
      <c r="B5336" s="2">
        <v>1906</v>
      </c>
      <c r="C5336" s="4" t="str">
        <f>HYPERLINK("http://www.uniprot.org/uniprot/M5WVG8","M5WVG8")</f>
        <v>M5WVG8</v>
      </c>
      <c r="D5336" s="2" t="s">
        <v>4903</v>
      </c>
      <c r="E5336" s="3">
        <v>1.6800000000000001E-66</v>
      </c>
      <c r="F5336" s="2">
        <v>578</v>
      </c>
      <c r="G5336" s="2">
        <v>92</v>
      </c>
      <c r="H5336" s="2">
        <v>120</v>
      </c>
      <c r="I5336" s="2">
        <v>1285</v>
      </c>
      <c r="J5336" s="2">
        <v>1644</v>
      </c>
      <c r="K5336" s="2">
        <v>61</v>
      </c>
      <c r="L5336" s="2">
        <v>180</v>
      </c>
    </row>
    <row r="5337" spans="1:12" x14ac:dyDescent="0.25">
      <c r="A5337" s="4" t="str">
        <f>HYPERLINK("http://www.rosaceae.org/Prunus/Prunus_persica/p.persica_gdr_reftransV1_0034474","p.persica_gdr_reftransV1_0034474")</f>
        <v>p.persica_gdr_reftransV1_0034474</v>
      </c>
      <c r="B5337" s="2">
        <v>1698</v>
      </c>
      <c r="C5337" s="4" t="str">
        <f>HYPERLINK("http://www.uniprot.org/uniprot/M5WIL7","M5WIL7")</f>
        <v>M5WIL7</v>
      </c>
      <c r="D5337" s="2" t="s">
        <v>4904</v>
      </c>
      <c r="E5337" s="3">
        <v>4.4399999999999998E-104</v>
      </c>
      <c r="F5337" s="2">
        <v>833</v>
      </c>
      <c r="G5337" s="2">
        <v>100</v>
      </c>
      <c r="H5337" s="2">
        <v>156</v>
      </c>
      <c r="I5337" s="2">
        <v>182</v>
      </c>
      <c r="J5337" s="2">
        <v>649</v>
      </c>
      <c r="K5337" s="2">
        <v>1</v>
      </c>
      <c r="L5337" s="2">
        <v>156</v>
      </c>
    </row>
    <row r="5338" spans="1:12" x14ac:dyDescent="0.25">
      <c r="A5338" s="4" t="str">
        <f>HYPERLINK("http://www.rosaceae.org/Prunus/Prunus_persica/p.persica_gdr_reftransV1_0035524","p.persica_gdr_reftransV1_0035524")</f>
        <v>p.persica_gdr_reftransV1_0035524</v>
      </c>
      <c r="B5338" s="2">
        <v>4447</v>
      </c>
      <c r="C5338" s="4" t="str">
        <f>HYPERLINK("http://www.uniprot.org/uniprot/M5XRS2","M5XRS2")</f>
        <v>M5XRS2</v>
      </c>
      <c r="D5338" s="2" t="s">
        <v>4905</v>
      </c>
      <c r="E5338" s="3">
        <v>0</v>
      </c>
      <c r="F5338" s="2">
        <v>4574</v>
      </c>
      <c r="G5338" s="2">
        <v>100</v>
      </c>
      <c r="H5338" s="2">
        <v>869</v>
      </c>
      <c r="I5338" s="2">
        <v>1841</v>
      </c>
      <c r="J5338" s="2">
        <v>4447</v>
      </c>
      <c r="K5338" s="2">
        <v>282</v>
      </c>
      <c r="L5338" s="2">
        <v>1149</v>
      </c>
    </row>
    <row r="5339" spans="1:12" x14ac:dyDescent="0.25">
      <c r="A5339" s="4" t="str">
        <f>HYPERLINK("http://www.rosaceae.org/Prunus/Prunus_persica/p.persica_gdr_reftransV1_0036574","p.persica_gdr_reftransV1_0036574")</f>
        <v>p.persica_gdr_reftransV1_0036574</v>
      </c>
      <c r="B5339" s="2">
        <v>2595</v>
      </c>
      <c r="C5339" s="4" t="str">
        <f>HYPERLINK("http://www.uniprot.org/uniprot/M5WZS0","M5WZS0")</f>
        <v>M5WZS0</v>
      </c>
      <c r="D5339" s="2" t="s">
        <v>4906</v>
      </c>
      <c r="E5339" s="3">
        <v>3.4999999999999998E-134</v>
      </c>
      <c r="F5339" s="2">
        <v>1081</v>
      </c>
      <c r="G5339" s="2">
        <v>100</v>
      </c>
      <c r="H5339" s="2">
        <v>263</v>
      </c>
      <c r="I5339" s="2">
        <v>1371</v>
      </c>
      <c r="J5339" s="2">
        <v>2159</v>
      </c>
      <c r="K5339" s="2">
        <v>29</v>
      </c>
      <c r="L5339" s="2">
        <v>291</v>
      </c>
    </row>
    <row r="5340" spans="1:12" x14ac:dyDescent="0.25">
      <c r="A5340" s="4" t="str">
        <f>HYPERLINK("http://www.rosaceae.org/Prunus/Prunus_persica/p.persica_gdr_reftransV1_0036924","p.persica_gdr_reftransV1_0036924")</f>
        <v>p.persica_gdr_reftransV1_0036924</v>
      </c>
      <c r="B5340" s="2">
        <v>1092</v>
      </c>
      <c r="C5340" s="4" t="str">
        <f>HYPERLINK("http://www.uniprot.org/uniprot/M5W744","M5W744")</f>
        <v>M5W744</v>
      </c>
      <c r="D5340" s="2" t="s">
        <v>4907</v>
      </c>
      <c r="E5340" s="3">
        <v>5.51E-139</v>
      </c>
      <c r="F5340" s="2">
        <v>1042</v>
      </c>
      <c r="G5340" s="2">
        <v>90</v>
      </c>
      <c r="H5340" s="2">
        <v>225</v>
      </c>
      <c r="I5340" s="2">
        <v>227</v>
      </c>
      <c r="J5340" s="2">
        <v>901</v>
      </c>
      <c r="K5340" s="2">
        <v>1</v>
      </c>
      <c r="L5340" s="2">
        <v>203</v>
      </c>
    </row>
    <row r="5341" spans="1:12" x14ac:dyDescent="0.25">
      <c r="A5341" s="4" t="str">
        <f>HYPERLINK("http://www.rosaceae.org/Prunus/Prunus_persica/p.persica_gdr_reftransV1_0037624","p.persica_gdr_reftransV1_0037624")</f>
        <v>p.persica_gdr_reftransV1_0037624</v>
      </c>
      <c r="B5341" s="2">
        <v>2441</v>
      </c>
      <c r="C5341" s="4" t="str">
        <f>HYPERLINK("http://www.uniprot.org/uniprot/M5WFE7","M5WFE7")</f>
        <v>M5WFE7</v>
      </c>
      <c r="D5341" s="2" t="s">
        <v>2299</v>
      </c>
      <c r="E5341" s="3">
        <v>0</v>
      </c>
      <c r="F5341" s="2">
        <v>3429</v>
      </c>
      <c r="G5341" s="2">
        <v>99</v>
      </c>
      <c r="H5341" s="2">
        <v>697</v>
      </c>
      <c r="I5341" s="2">
        <v>1</v>
      </c>
      <c r="J5341" s="2">
        <v>2091</v>
      </c>
      <c r="K5341" s="2">
        <v>144</v>
      </c>
      <c r="L5341" s="2">
        <v>840</v>
      </c>
    </row>
    <row r="5342" spans="1:12" x14ac:dyDescent="0.25">
      <c r="A5342" s="4" t="str">
        <f>HYPERLINK("http://www.rosaceae.org/Prunus/Prunus_persica/p.persica_gdr_reftransV1_0038324","p.persica_gdr_reftransV1_0038324")</f>
        <v>p.persica_gdr_reftransV1_0038324</v>
      </c>
      <c r="B5342" s="2">
        <v>2901</v>
      </c>
      <c r="C5342" s="4" t="str">
        <f>HYPERLINK("http://www.uniprot.org/uniprot/M5XIN5","M5XIN5")</f>
        <v>M5XIN5</v>
      </c>
      <c r="D5342" s="2" t="s">
        <v>4908</v>
      </c>
      <c r="E5342" s="3">
        <v>0</v>
      </c>
      <c r="F5342" s="2">
        <v>2270</v>
      </c>
      <c r="G5342" s="2">
        <v>100</v>
      </c>
      <c r="H5342" s="2">
        <v>503</v>
      </c>
      <c r="I5342" s="2">
        <v>521</v>
      </c>
      <c r="J5342" s="2">
        <v>2029</v>
      </c>
      <c r="K5342" s="2">
        <v>168</v>
      </c>
      <c r="L5342" s="2">
        <v>670</v>
      </c>
    </row>
    <row r="5343" spans="1:12" x14ac:dyDescent="0.25">
      <c r="A5343" s="4" t="str">
        <f>HYPERLINK("http://www.rosaceae.org/Prunus/Prunus_persica/p.persica_gdr_reftransV1_0039374","p.persica_gdr_reftransV1_0039374")</f>
        <v>p.persica_gdr_reftransV1_0039374</v>
      </c>
      <c r="B5343" s="2">
        <v>1079</v>
      </c>
      <c r="C5343" s="4" t="str">
        <f>HYPERLINK("http://www.uniprot.org/uniprot/M5XHG4","M5XHG4")</f>
        <v>M5XHG4</v>
      </c>
      <c r="D5343" s="2" t="s">
        <v>4909</v>
      </c>
      <c r="E5343" s="3">
        <v>8.3000000000000005E-61</v>
      </c>
      <c r="F5343" s="2">
        <v>513</v>
      </c>
      <c r="G5343" s="2">
        <v>100</v>
      </c>
      <c r="H5343" s="2">
        <v>99</v>
      </c>
      <c r="I5343" s="2">
        <v>119</v>
      </c>
      <c r="J5343" s="2">
        <v>415</v>
      </c>
      <c r="K5343" s="2">
        <v>1</v>
      </c>
      <c r="L5343" s="2">
        <v>99</v>
      </c>
    </row>
    <row r="5344" spans="1:12" x14ac:dyDescent="0.25">
      <c r="A5344" s="4" t="str">
        <f>HYPERLINK("http://www.rosaceae.org/Prunus/Prunus_persica/p.persica_gdr_reftransV1_0040774","p.persica_gdr_reftransV1_0040774")</f>
        <v>p.persica_gdr_reftransV1_0040774</v>
      </c>
      <c r="B5344" s="2">
        <v>3686</v>
      </c>
      <c r="C5344" s="4" t="str">
        <f>HYPERLINK("http://www.uniprot.org/uniprot/M5VIE3","M5VIE3")</f>
        <v>M5VIE3</v>
      </c>
      <c r="D5344" s="2" t="s">
        <v>4403</v>
      </c>
      <c r="E5344" s="3">
        <v>0</v>
      </c>
      <c r="F5344" s="2">
        <v>1467</v>
      </c>
      <c r="G5344" s="2">
        <v>100</v>
      </c>
      <c r="H5344" s="2">
        <v>287</v>
      </c>
      <c r="I5344" s="2">
        <v>994</v>
      </c>
      <c r="J5344" s="2">
        <v>1854</v>
      </c>
      <c r="K5344" s="2">
        <v>1</v>
      </c>
      <c r="L5344" s="2">
        <v>287</v>
      </c>
    </row>
    <row r="5345" spans="1:12" x14ac:dyDescent="0.25">
      <c r="A5345" s="4" t="str">
        <f>HYPERLINK("http://www.rosaceae.org/Prunus/Prunus_persica/p.persica_gdr_reftransV1_0043224","p.persica_gdr_reftransV1_0043224")</f>
        <v>p.persica_gdr_reftransV1_0043224</v>
      </c>
      <c r="B5345" s="2">
        <v>1881</v>
      </c>
      <c r="C5345" s="4" t="str">
        <f>HYPERLINK("http://www.uniprot.org/uniprot/M5VK98","M5VK98")</f>
        <v>M5VK98</v>
      </c>
      <c r="D5345" s="2" t="s">
        <v>4910</v>
      </c>
      <c r="E5345" s="3">
        <v>1.2399999999999999E-156</v>
      </c>
      <c r="F5345" s="2">
        <v>1295</v>
      </c>
      <c r="G5345" s="2">
        <v>100</v>
      </c>
      <c r="H5345" s="2">
        <v>249</v>
      </c>
      <c r="I5345" s="2">
        <v>1</v>
      </c>
      <c r="J5345" s="2">
        <v>747</v>
      </c>
      <c r="K5345" s="2">
        <v>1428</v>
      </c>
      <c r="L5345" s="2">
        <v>1676</v>
      </c>
    </row>
    <row r="5346" spans="1:12" x14ac:dyDescent="0.25">
      <c r="A5346" s="4" t="str">
        <f>HYPERLINK("http://www.rosaceae.org/Prunus/Prunus_persica/p.persica_gdr_reftransV1_0043574","p.persica_gdr_reftransV1_0043574")</f>
        <v>p.persica_gdr_reftransV1_0043574</v>
      </c>
      <c r="B5346" s="2">
        <v>1232</v>
      </c>
      <c r="C5346" s="4" t="str">
        <f>HYPERLINK("http://www.uniprot.org/uniprot/M5VZQ9","M5VZQ9")</f>
        <v>M5VZQ9</v>
      </c>
      <c r="D5346" s="2" t="s">
        <v>4911</v>
      </c>
      <c r="E5346" s="3">
        <v>6.62E-147</v>
      </c>
      <c r="F5346" s="2">
        <v>1102</v>
      </c>
      <c r="G5346" s="2">
        <v>100</v>
      </c>
      <c r="H5346" s="2">
        <v>206</v>
      </c>
      <c r="I5346" s="2">
        <v>137</v>
      </c>
      <c r="J5346" s="2">
        <v>754</v>
      </c>
      <c r="K5346" s="2">
        <v>29</v>
      </c>
      <c r="L5346" s="2">
        <v>234</v>
      </c>
    </row>
    <row r="5347" spans="1:12" x14ac:dyDescent="0.25">
      <c r="A5347" s="4" t="str">
        <f>HYPERLINK("http://www.rosaceae.org/Prunus/Prunus_persica/p.persica_gdr_reftransV1_0043924","p.persica_gdr_reftransV1_0043924")</f>
        <v>p.persica_gdr_reftransV1_0043924</v>
      </c>
      <c r="B5347" s="2">
        <v>1091</v>
      </c>
      <c r="C5347" s="4" t="str">
        <f>HYPERLINK("http://www.uniprot.org/uniprot/M5W9S5","M5W9S5")</f>
        <v>M5W9S5</v>
      </c>
      <c r="D5347" s="2" t="s">
        <v>3578</v>
      </c>
      <c r="E5347" s="3">
        <v>0</v>
      </c>
      <c r="F5347" s="2">
        <v>1461</v>
      </c>
      <c r="G5347" s="2">
        <v>100</v>
      </c>
      <c r="H5347" s="2">
        <v>324</v>
      </c>
      <c r="I5347" s="2">
        <v>119</v>
      </c>
      <c r="J5347" s="2">
        <v>1090</v>
      </c>
      <c r="K5347" s="2">
        <v>1</v>
      </c>
      <c r="L5347" s="2">
        <v>324</v>
      </c>
    </row>
    <row r="5348" spans="1:12" x14ac:dyDescent="0.25">
      <c r="A5348" s="4" t="str">
        <f>HYPERLINK("http://www.rosaceae.org/Prunus/Prunus_persica/p.persica_gdr_reftransV1_0044624","p.persica_gdr_reftransV1_0044624")</f>
        <v>p.persica_gdr_reftransV1_0044624</v>
      </c>
      <c r="B5348" s="2">
        <v>1207</v>
      </c>
      <c r="C5348" s="4" t="str">
        <f>HYPERLINK("http://www.uniprot.org/uniprot/M5WV36","M5WV36")</f>
        <v>M5WV36</v>
      </c>
      <c r="D5348" s="2" t="s">
        <v>4912</v>
      </c>
      <c r="E5348" s="3">
        <v>1.0799999999999999E-143</v>
      </c>
      <c r="F5348" s="2">
        <v>1078</v>
      </c>
      <c r="G5348" s="2">
        <v>99</v>
      </c>
      <c r="H5348" s="2">
        <v>212</v>
      </c>
      <c r="I5348" s="2">
        <v>251</v>
      </c>
      <c r="J5348" s="2">
        <v>886</v>
      </c>
      <c r="K5348" s="2">
        <v>9</v>
      </c>
      <c r="L5348" s="2">
        <v>220</v>
      </c>
    </row>
    <row r="5349" spans="1:12" x14ac:dyDescent="0.25">
      <c r="A5349" s="4" t="str">
        <f>HYPERLINK("http://www.rosaceae.org/Prunus/Prunus_persica/p.persica_gdr_reftransV1_0045674","p.persica_gdr_reftransV1_0045674")</f>
        <v>p.persica_gdr_reftransV1_0045674</v>
      </c>
      <c r="B5349" s="2">
        <v>628</v>
      </c>
      <c r="C5349" s="4" t="str">
        <f>HYPERLINK("http://www.uniprot.org/uniprot/M5WBL6","M5WBL6")</f>
        <v>M5WBL6</v>
      </c>
      <c r="D5349" s="2" t="s">
        <v>4913</v>
      </c>
      <c r="E5349" s="3">
        <v>1.5999999999999999E-75</v>
      </c>
      <c r="F5349" s="2">
        <v>610</v>
      </c>
      <c r="G5349" s="2">
        <v>100</v>
      </c>
      <c r="H5349" s="2">
        <v>172</v>
      </c>
      <c r="I5349" s="2">
        <v>25</v>
      </c>
      <c r="J5349" s="2">
        <v>540</v>
      </c>
      <c r="K5349" s="2">
        <v>1</v>
      </c>
      <c r="L5349" s="2">
        <v>172</v>
      </c>
    </row>
    <row r="5350" spans="1:12" x14ac:dyDescent="0.25">
      <c r="A5350" s="4" t="str">
        <f>HYPERLINK("http://www.rosaceae.org/Prunus/Prunus_persica/p.persica_gdr_reftransV1_0046374","p.persica_gdr_reftransV1_0046374")</f>
        <v>p.persica_gdr_reftransV1_0046374</v>
      </c>
      <c r="B5350" s="2">
        <v>970</v>
      </c>
      <c r="C5350" s="4" t="str">
        <f>HYPERLINK("http://www.uniprot.org/uniprot/M5Y1E8","M5Y1E8")</f>
        <v>M5Y1E8</v>
      </c>
      <c r="D5350" s="2" t="s">
        <v>4914</v>
      </c>
      <c r="E5350" s="3">
        <v>2.04E-141</v>
      </c>
      <c r="F5350" s="2">
        <v>1063</v>
      </c>
      <c r="G5350" s="2">
        <v>100</v>
      </c>
      <c r="H5350" s="2">
        <v>217</v>
      </c>
      <c r="I5350" s="2">
        <v>2</v>
      </c>
      <c r="J5350" s="2">
        <v>652</v>
      </c>
      <c r="K5350" s="2">
        <v>78</v>
      </c>
      <c r="L5350" s="2">
        <v>294</v>
      </c>
    </row>
    <row r="5351" spans="1:12" x14ac:dyDescent="0.25">
      <c r="A5351" s="4" t="str">
        <f>HYPERLINK("http://www.rosaceae.org/Prunus/Prunus_persica/p.persica_gdr_reftransV1_0046724","p.persica_gdr_reftransV1_0046724")</f>
        <v>p.persica_gdr_reftransV1_0046724</v>
      </c>
      <c r="B5351" s="2">
        <v>412</v>
      </c>
      <c r="C5351" s="4" t="str">
        <f>HYPERLINK("http://www.uniprot.org/uniprot/M5Y5A0","M5Y5A0")</f>
        <v>M5Y5A0</v>
      </c>
      <c r="D5351" s="2" t="s">
        <v>4915</v>
      </c>
      <c r="E5351" s="3">
        <v>1.9700000000000001E-8</v>
      </c>
      <c r="F5351" s="2">
        <v>140</v>
      </c>
      <c r="G5351" s="2">
        <v>100</v>
      </c>
      <c r="H5351" s="2">
        <v>27</v>
      </c>
      <c r="I5351" s="2">
        <v>99</v>
      </c>
      <c r="J5351" s="2">
        <v>179</v>
      </c>
      <c r="K5351" s="2">
        <v>1</v>
      </c>
      <c r="L5351" s="2">
        <v>27</v>
      </c>
    </row>
    <row r="5352" spans="1:12" x14ac:dyDescent="0.25">
      <c r="A5352" s="4" t="str">
        <f>HYPERLINK("http://www.rosaceae.org/Prunus/Prunus_persica/p.persica_gdr_reftransV1_0047074","p.persica_gdr_reftransV1_0047074")</f>
        <v>p.persica_gdr_reftransV1_0047074</v>
      </c>
      <c r="B5352" s="2">
        <v>1775</v>
      </c>
      <c r="C5352" s="4" t="str">
        <f>HYPERLINK("http://www.uniprot.org/uniprot/M5XEE8","M5XEE8")</f>
        <v>M5XEE8</v>
      </c>
      <c r="D5352" s="2" t="s">
        <v>4916</v>
      </c>
      <c r="E5352" s="3">
        <v>0</v>
      </c>
      <c r="F5352" s="2">
        <v>2269</v>
      </c>
      <c r="G5352" s="2">
        <v>100</v>
      </c>
      <c r="H5352" s="2">
        <v>462</v>
      </c>
      <c r="I5352" s="2">
        <v>190</v>
      </c>
      <c r="J5352" s="2">
        <v>1575</v>
      </c>
      <c r="K5352" s="2">
        <v>1</v>
      </c>
      <c r="L5352" s="2">
        <v>462</v>
      </c>
    </row>
    <row r="5353" spans="1:12" x14ac:dyDescent="0.25">
      <c r="A5353" s="4" t="str">
        <f>HYPERLINK("http://www.rosaceae.org/Prunus/Prunus_persica/p.persica_gdr_reftransV1_0047424","p.persica_gdr_reftransV1_0047424")</f>
        <v>p.persica_gdr_reftransV1_0047424</v>
      </c>
      <c r="B5353" s="2">
        <v>1824</v>
      </c>
      <c r="C5353" s="4" t="str">
        <f>HYPERLINK("http://www.uniprot.org/uniprot/M5W860","M5W860")</f>
        <v>M5W860</v>
      </c>
      <c r="D5353" s="2" t="s">
        <v>104</v>
      </c>
      <c r="E5353" s="3">
        <v>0</v>
      </c>
      <c r="F5353" s="2">
        <v>2497</v>
      </c>
      <c r="G5353" s="2">
        <v>100</v>
      </c>
      <c r="H5353" s="2">
        <v>486</v>
      </c>
      <c r="I5353" s="2">
        <v>1</v>
      </c>
      <c r="J5353" s="2">
        <v>1458</v>
      </c>
      <c r="K5353" s="2">
        <v>887</v>
      </c>
      <c r="L5353" s="2">
        <v>1372</v>
      </c>
    </row>
    <row r="5354" spans="1:12" x14ac:dyDescent="0.25">
      <c r="A5354" s="4" t="str">
        <f>HYPERLINK("http://www.rosaceae.org/Prunus/Prunus_persica/p.persica_gdr_reftransV1_0047774","p.persica_gdr_reftransV1_0047774")</f>
        <v>p.persica_gdr_reftransV1_0047774</v>
      </c>
      <c r="B5354" s="2">
        <v>540</v>
      </c>
      <c r="C5354" s="4" t="str">
        <f>HYPERLINK("http://www.uniprot.org/uniprot/A0A061GWQ4","A0A061GWQ4")</f>
        <v>A0A061GWQ4</v>
      </c>
      <c r="D5354" s="2" t="s">
        <v>4917</v>
      </c>
      <c r="E5354" s="3">
        <v>6.2699999999999999E-7</v>
      </c>
      <c r="F5354" s="2">
        <v>128</v>
      </c>
      <c r="G5354" s="2">
        <v>56</v>
      </c>
      <c r="H5354" s="2">
        <v>52</v>
      </c>
      <c r="I5354" s="2">
        <v>300</v>
      </c>
      <c r="J5354" s="2">
        <v>452</v>
      </c>
      <c r="K5354" s="2">
        <v>1</v>
      </c>
      <c r="L5354" s="2">
        <v>52</v>
      </c>
    </row>
    <row r="5355" spans="1:12" x14ac:dyDescent="0.25">
      <c r="A5355" s="4" t="str">
        <f>HYPERLINK("http://www.rosaceae.org/Prunus/Prunus_persica/p.persica_gdr_reftransV1_0048124","p.persica_gdr_reftransV1_0048124")</f>
        <v>p.persica_gdr_reftransV1_0048124</v>
      </c>
      <c r="B5355" s="2">
        <v>1613</v>
      </c>
      <c r="C5355" s="4" t="str">
        <f>HYPERLINK("http://www.uniprot.org/uniprot/M5XAX4","M5XAX4")</f>
        <v>M5XAX4</v>
      </c>
      <c r="D5355" s="2" t="s">
        <v>4918</v>
      </c>
      <c r="E5355" s="3">
        <v>0</v>
      </c>
      <c r="F5355" s="2">
        <v>2329</v>
      </c>
      <c r="G5355" s="2">
        <v>100</v>
      </c>
      <c r="H5355" s="2">
        <v>443</v>
      </c>
      <c r="I5355" s="2">
        <v>283</v>
      </c>
      <c r="J5355" s="2">
        <v>1611</v>
      </c>
      <c r="K5355" s="2">
        <v>1</v>
      </c>
      <c r="L5355" s="2">
        <v>443</v>
      </c>
    </row>
    <row r="5356" spans="1:12" x14ac:dyDescent="0.25">
      <c r="A5356" s="4" t="str">
        <f>HYPERLINK("http://www.rosaceae.org/Prunus/Prunus_persica/p.persica_gdr_reftransV1_0048474","p.persica_gdr_reftransV1_0048474")</f>
        <v>p.persica_gdr_reftransV1_0048474</v>
      </c>
      <c r="B5356" s="2">
        <v>1418</v>
      </c>
      <c r="C5356" s="4" t="str">
        <f>HYPERLINK("http://www.uniprot.org/uniprot/M5X244","M5X244")</f>
        <v>M5X244</v>
      </c>
      <c r="D5356" s="2" t="s">
        <v>4919</v>
      </c>
      <c r="E5356" s="3">
        <v>0</v>
      </c>
      <c r="F5356" s="2">
        <v>1435</v>
      </c>
      <c r="G5356" s="2">
        <v>100</v>
      </c>
      <c r="H5356" s="2">
        <v>283</v>
      </c>
      <c r="I5356" s="2">
        <v>287</v>
      </c>
      <c r="J5356" s="2">
        <v>1135</v>
      </c>
      <c r="K5356" s="2">
        <v>1</v>
      </c>
      <c r="L5356" s="2">
        <v>283</v>
      </c>
    </row>
    <row r="5357" spans="1:12" x14ac:dyDescent="0.25">
      <c r="A5357" s="4" t="str">
        <f>HYPERLINK("http://www.rosaceae.org/Prunus/Prunus_persica/p.persica_gdr_reftransV1_0048824","p.persica_gdr_reftransV1_0048824")</f>
        <v>p.persica_gdr_reftransV1_0048824</v>
      </c>
      <c r="B5357" s="2">
        <v>5332</v>
      </c>
      <c r="C5357" s="4" t="str">
        <f>HYPERLINK("http://www.uniprot.org/uniprot/W9SA50","W9SA50")</f>
        <v>W9SA50</v>
      </c>
      <c r="D5357" s="2" t="s">
        <v>4920</v>
      </c>
      <c r="E5357" s="3">
        <v>0</v>
      </c>
      <c r="F5357" s="2">
        <v>4302</v>
      </c>
      <c r="G5357" s="2">
        <v>57</v>
      </c>
      <c r="H5357" s="2">
        <v>1690</v>
      </c>
      <c r="I5357" s="2">
        <v>422</v>
      </c>
      <c r="J5357" s="2">
        <v>5080</v>
      </c>
      <c r="K5357" s="2">
        <v>1</v>
      </c>
      <c r="L5357" s="2">
        <v>1623</v>
      </c>
    </row>
    <row r="5358" spans="1:12" x14ac:dyDescent="0.25">
      <c r="A5358" s="4" t="str">
        <f>HYPERLINK("http://www.rosaceae.org/Prunus/Prunus_persica/p.persica_gdr_reftransV1_0049174","p.persica_gdr_reftransV1_0049174")</f>
        <v>p.persica_gdr_reftransV1_0049174</v>
      </c>
      <c r="B5358" s="2">
        <v>2316</v>
      </c>
      <c r="C5358" s="4" t="str">
        <f>HYPERLINK("http://www.uniprot.org/uniprot/M5XDZ0","M5XDZ0")</f>
        <v>M5XDZ0</v>
      </c>
      <c r="D5358" s="2" t="s">
        <v>4097</v>
      </c>
      <c r="E5358" s="3">
        <v>0</v>
      </c>
      <c r="F5358" s="2">
        <v>2345</v>
      </c>
      <c r="G5358" s="2">
        <v>100</v>
      </c>
      <c r="H5358" s="2">
        <v>462</v>
      </c>
      <c r="I5358" s="2">
        <v>439</v>
      </c>
      <c r="J5358" s="2">
        <v>1824</v>
      </c>
      <c r="K5358" s="2">
        <v>1</v>
      </c>
      <c r="L5358" s="2">
        <v>461</v>
      </c>
    </row>
    <row r="5359" spans="1:12" x14ac:dyDescent="0.25">
      <c r="A5359" s="4" t="str">
        <f>HYPERLINK("http://www.rosaceae.org/Prunus/Prunus_persica/p.persica_gdr_reftransV1_0000175","p.persica_gdr_reftransV1_0000175")</f>
        <v>p.persica_gdr_reftransV1_0000175</v>
      </c>
      <c r="B5359" s="2">
        <v>1099</v>
      </c>
      <c r="C5359" s="4" t="str">
        <f>HYPERLINK("http://www.uniprot.org/uniprot/M5X1G1","M5X1G1")</f>
        <v>M5X1G1</v>
      </c>
      <c r="D5359" s="2" t="s">
        <v>4921</v>
      </c>
      <c r="E5359" s="3">
        <v>3.4699999999999999E-153</v>
      </c>
      <c r="F5359" s="2">
        <v>1145</v>
      </c>
      <c r="G5359" s="2">
        <v>100</v>
      </c>
      <c r="H5359" s="2">
        <v>300</v>
      </c>
      <c r="I5359" s="2">
        <v>123</v>
      </c>
      <c r="J5359" s="2">
        <v>1022</v>
      </c>
      <c r="K5359" s="2">
        <v>1</v>
      </c>
      <c r="L5359" s="2">
        <v>300</v>
      </c>
    </row>
    <row r="5360" spans="1:12" x14ac:dyDescent="0.25">
      <c r="A5360" s="4" t="str">
        <f>HYPERLINK("http://www.rosaceae.org/Prunus/Prunus_persica/p.persica_gdr_reftransV1_0000525","p.persica_gdr_reftransV1_0000525")</f>
        <v>p.persica_gdr_reftransV1_0000525</v>
      </c>
      <c r="B5360" s="2">
        <v>821</v>
      </c>
      <c r="C5360" s="4" t="str">
        <f>HYPERLINK("http://www.uniprot.org/uniprot/M5XLB2","M5XLB2")</f>
        <v>M5XLB2</v>
      </c>
      <c r="D5360" s="2" t="s">
        <v>4922</v>
      </c>
      <c r="E5360" s="3">
        <v>5.5400000000000002E-12</v>
      </c>
      <c r="F5360" s="2">
        <v>170</v>
      </c>
      <c r="G5360" s="2">
        <v>97</v>
      </c>
      <c r="H5360" s="2">
        <v>35</v>
      </c>
      <c r="I5360" s="2">
        <v>146</v>
      </c>
      <c r="J5360" s="2">
        <v>250</v>
      </c>
      <c r="K5360" s="2">
        <v>71</v>
      </c>
      <c r="L5360" s="2">
        <v>105</v>
      </c>
    </row>
    <row r="5361" spans="1:12" x14ac:dyDescent="0.25">
      <c r="A5361" s="4" t="str">
        <f>HYPERLINK("http://www.rosaceae.org/Prunus/Prunus_persica/p.persica_gdr_reftransV1_0001225","p.persica_gdr_reftransV1_0001225")</f>
        <v>p.persica_gdr_reftransV1_0001225</v>
      </c>
      <c r="B5361" s="2">
        <v>939</v>
      </c>
      <c r="C5361" s="4" t="str">
        <f>HYPERLINK("http://www.uniprot.org/uniprot/M5WJL8","M5WJL8")</f>
        <v>M5WJL8</v>
      </c>
      <c r="D5361" s="2" t="s">
        <v>4923</v>
      </c>
      <c r="E5361" s="3">
        <v>5.8399999999999998E-127</v>
      </c>
      <c r="F5361" s="2">
        <v>961</v>
      </c>
      <c r="G5361" s="2">
        <v>100</v>
      </c>
      <c r="H5361" s="2">
        <v>179</v>
      </c>
      <c r="I5361" s="2">
        <v>2</v>
      </c>
      <c r="J5361" s="2">
        <v>538</v>
      </c>
      <c r="K5361" s="2">
        <v>15</v>
      </c>
      <c r="L5361" s="2">
        <v>193</v>
      </c>
    </row>
    <row r="5362" spans="1:12" x14ac:dyDescent="0.25">
      <c r="A5362" s="4" t="str">
        <f>HYPERLINK("http://www.rosaceae.org/Prunus/Prunus_persica/p.persica_gdr_reftransV1_0001575","p.persica_gdr_reftransV1_0001575")</f>
        <v>p.persica_gdr_reftransV1_0001575</v>
      </c>
      <c r="B5362" s="2">
        <v>1578</v>
      </c>
      <c r="C5362" s="4" t="str">
        <f>HYPERLINK("http://www.uniprot.org/uniprot/M5VI81","M5VI81")</f>
        <v>M5VI81</v>
      </c>
      <c r="D5362" s="2" t="s">
        <v>4924</v>
      </c>
      <c r="E5362" s="3">
        <v>0</v>
      </c>
      <c r="F5362" s="2">
        <v>2391</v>
      </c>
      <c r="G5362" s="2">
        <v>97</v>
      </c>
      <c r="H5362" s="2">
        <v>492</v>
      </c>
      <c r="I5362" s="2">
        <v>138</v>
      </c>
      <c r="J5362" s="2">
        <v>1565</v>
      </c>
      <c r="K5362" s="2">
        <v>1</v>
      </c>
      <c r="L5362" s="2">
        <v>492</v>
      </c>
    </row>
    <row r="5363" spans="1:12" x14ac:dyDescent="0.25">
      <c r="A5363" s="4" t="str">
        <f>HYPERLINK("http://www.rosaceae.org/Prunus/Prunus_persica/p.persica_gdr_reftransV1_0001925","p.persica_gdr_reftransV1_0001925")</f>
        <v>p.persica_gdr_reftransV1_0001925</v>
      </c>
      <c r="B5363" s="2">
        <v>2921</v>
      </c>
      <c r="C5363" s="4" t="str">
        <f>HYPERLINK("http://www.uniprot.org/uniprot/M5WPD5","M5WPD5")</f>
        <v>M5WPD5</v>
      </c>
      <c r="D5363" s="2" t="s">
        <v>3540</v>
      </c>
      <c r="E5363" s="3">
        <v>0</v>
      </c>
      <c r="F5363" s="2">
        <v>2375</v>
      </c>
      <c r="G5363" s="2">
        <v>100</v>
      </c>
      <c r="H5363" s="2">
        <v>488</v>
      </c>
      <c r="I5363" s="2">
        <v>371</v>
      </c>
      <c r="J5363" s="2">
        <v>1834</v>
      </c>
      <c r="K5363" s="2">
        <v>1</v>
      </c>
      <c r="L5363" s="2">
        <v>488</v>
      </c>
    </row>
    <row r="5364" spans="1:12" x14ac:dyDescent="0.25">
      <c r="A5364" s="4" t="str">
        <f>HYPERLINK("http://www.rosaceae.org/Prunus/Prunus_persica/p.persica_gdr_reftransV1_0002275","p.persica_gdr_reftransV1_0002275")</f>
        <v>p.persica_gdr_reftransV1_0002275</v>
      </c>
      <c r="B5364" s="2">
        <v>1369</v>
      </c>
      <c r="C5364" s="4" t="str">
        <f>HYPERLINK("http://www.uniprot.org/uniprot/M5XQF6","M5XQF6")</f>
        <v>M5XQF6</v>
      </c>
      <c r="D5364" s="2" t="s">
        <v>3758</v>
      </c>
      <c r="E5364" s="3">
        <v>5.4700000000000003E-160</v>
      </c>
      <c r="F5364" s="2">
        <v>783</v>
      </c>
      <c r="G5364" s="2">
        <v>99</v>
      </c>
      <c r="H5364" s="2">
        <v>188</v>
      </c>
      <c r="I5364" s="2">
        <v>717</v>
      </c>
      <c r="J5364" s="2">
        <v>1280</v>
      </c>
      <c r="K5364" s="2">
        <v>183</v>
      </c>
      <c r="L5364" s="2">
        <v>370</v>
      </c>
    </row>
    <row r="5365" spans="1:12" x14ac:dyDescent="0.25">
      <c r="A5365" s="4" t="str">
        <f>HYPERLINK("http://www.rosaceae.org/Prunus/Prunus_persica/p.persica_gdr_reftransV1_0002625","p.persica_gdr_reftransV1_0002625")</f>
        <v>p.persica_gdr_reftransV1_0002625</v>
      </c>
      <c r="B5365" s="2">
        <v>1145</v>
      </c>
      <c r="C5365" s="4" t="str">
        <f>HYPERLINK("http://www.uniprot.org/uniprot/M5XCL9","M5XCL9")</f>
        <v>M5XCL9</v>
      </c>
      <c r="D5365" s="2" t="s">
        <v>4925</v>
      </c>
      <c r="E5365" s="3">
        <v>2.8400000000000001E-158</v>
      </c>
      <c r="F5365" s="2">
        <v>1178</v>
      </c>
      <c r="G5365" s="2">
        <v>100</v>
      </c>
      <c r="H5365" s="2">
        <v>278</v>
      </c>
      <c r="I5365" s="2">
        <v>67</v>
      </c>
      <c r="J5365" s="2">
        <v>900</v>
      </c>
      <c r="K5365" s="2">
        <v>1</v>
      </c>
      <c r="L5365" s="2">
        <v>278</v>
      </c>
    </row>
    <row r="5366" spans="1:12" x14ac:dyDescent="0.25">
      <c r="A5366" s="4" t="str">
        <f>HYPERLINK("http://www.rosaceae.org/Prunus/Prunus_persica/p.persica_gdr_reftransV1_0002975","p.persica_gdr_reftransV1_0002975")</f>
        <v>p.persica_gdr_reftransV1_0002975</v>
      </c>
      <c r="B5366" s="2">
        <v>1196</v>
      </c>
      <c r="C5366" s="4" t="str">
        <f>HYPERLINK("http://www.uniprot.org/uniprot/M5WFL2","M5WFL2")</f>
        <v>M5WFL2</v>
      </c>
      <c r="D5366" s="2" t="s">
        <v>4926</v>
      </c>
      <c r="E5366" s="3">
        <v>2.25E-165</v>
      </c>
      <c r="F5366" s="2">
        <v>1232</v>
      </c>
      <c r="G5366" s="2">
        <v>100</v>
      </c>
      <c r="H5366" s="2">
        <v>264</v>
      </c>
      <c r="I5366" s="2">
        <v>73</v>
      </c>
      <c r="J5366" s="2">
        <v>864</v>
      </c>
      <c r="K5366" s="2">
        <v>1</v>
      </c>
      <c r="L5366" s="2">
        <v>264</v>
      </c>
    </row>
    <row r="5367" spans="1:12" x14ac:dyDescent="0.25">
      <c r="A5367" s="4" t="str">
        <f>HYPERLINK("http://www.rosaceae.org/Prunus/Prunus_persica/p.persica_gdr_reftransV1_0004025","p.persica_gdr_reftransV1_0004025")</f>
        <v>p.persica_gdr_reftransV1_0004025</v>
      </c>
      <c r="B5367" s="2">
        <v>1355</v>
      </c>
      <c r="C5367" s="4" t="str">
        <f>HYPERLINK("http://www.uniprot.org/uniprot/M5XMT2","M5XMT2")</f>
        <v>M5XMT2</v>
      </c>
      <c r="D5367" s="2" t="s">
        <v>4927</v>
      </c>
      <c r="E5367" s="3">
        <v>1.6E-148</v>
      </c>
      <c r="F5367" s="2">
        <v>1118</v>
      </c>
      <c r="G5367" s="2">
        <v>100</v>
      </c>
      <c r="H5367" s="2">
        <v>243</v>
      </c>
      <c r="I5367" s="2">
        <v>327</v>
      </c>
      <c r="J5367" s="2">
        <v>1055</v>
      </c>
      <c r="K5367" s="2">
        <v>1</v>
      </c>
      <c r="L5367" s="2">
        <v>243</v>
      </c>
    </row>
    <row r="5368" spans="1:12" x14ac:dyDescent="0.25">
      <c r="A5368" s="4" t="str">
        <f>HYPERLINK("http://www.rosaceae.org/Prunus/Prunus_persica/p.persica_gdr_reftransV1_0004375","p.persica_gdr_reftransV1_0004375")</f>
        <v>p.persica_gdr_reftransV1_0004375</v>
      </c>
      <c r="B5368" s="2">
        <v>1636</v>
      </c>
      <c r="C5368" s="4" t="str">
        <f>HYPERLINK("http://www.uniprot.org/uniprot/M5XKD5","M5XKD5")</f>
        <v>M5XKD5</v>
      </c>
      <c r="D5368" s="2" t="s">
        <v>3407</v>
      </c>
      <c r="E5368" s="3">
        <v>0</v>
      </c>
      <c r="F5368" s="2">
        <v>2378</v>
      </c>
      <c r="G5368" s="2">
        <v>100</v>
      </c>
      <c r="H5368" s="2">
        <v>449</v>
      </c>
      <c r="I5368" s="2">
        <v>283</v>
      </c>
      <c r="J5368" s="2">
        <v>1629</v>
      </c>
      <c r="K5368" s="2">
        <v>489</v>
      </c>
      <c r="L5368" s="2">
        <v>937</v>
      </c>
    </row>
    <row r="5369" spans="1:12" x14ac:dyDescent="0.25">
      <c r="A5369" s="4" t="str">
        <f>HYPERLINK("http://www.rosaceae.org/Prunus/Prunus_persica/p.persica_gdr_reftransV1_0005425","p.persica_gdr_reftransV1_0005425")</f>
        <v>p.persica_gdr_reftransV1_0005425</v>
      </c>
      <c r="B5369" s="2">
        <v>6203</v>
      </c>
      <c r="C5369" s="4" t="str">
        <f>HYPERLINK("http://www.uniprot.org/uniprot/M5XJT0","M5XJT0")</f>
        <v>M5XJT0</v>
      </c>
      <c r="D5369" s="2" t="s">
        <v>4928</v>
      </c>
      <c r="E5369" s="3">
        <v>0</v>
      </c>
      <c r="F5369" s="2">
        <v>9968</v>
      </c>
      <c r="G5369" s="2">
        <v>100</v>
      </c>
      <c r="H5369" s="2">
        <v>1953</v>
      </c>
      <c r="I5369" s="2">
        <v>159</v>
      </c>
      <c r="J5369" s="2">
        <v>6017</v>
      </c>
      <c r="K5369" s="2">
        <v>1</v>
      </c>
      <c r="L5369" s="2">
        <v>1953</v>
      </c>
    </row>
    <row r="5370" spans="1:12" x14ac:dyDescent="0.25">
      <c r="A5370" s="4" t="str">
        <f>HYPERLINK("http://www.rosaceae.org/Prunus/Prunus_persica/p.persica_gdr_reftransV1_0006825","p.persica_gdr_reftransV1_0006825")</f>
        <v>p.persica_gdr_reftransV1_0006825</v>
      </c>
      <c r="B5370" s="2">
        <v>653</v>
      </c>
      <c r="C5370" s="4" t="str">
        <f>HYPERLINK("http://www.uniprot.org/uniprot/M5VHB6","M5VHB6")</f>
        <v>M5VHB6</v>
      </c>
      <c r="D5370" s="2" t="s">
        <v>4929</v>
      </c>
      <c r="E5370" s="3">
        <v>1.07E-16</v>
      </c>
      <c r="F5370" s="2">
        <v>212</v>
      </c>
      <c r="G5370" s="2">
        <v>60</v>
      </c>
      <c r="H5370" s="2">
        <v>106</v>
      </c>
      <c r="I5370" s="2">
        <v>2</v>
      </c>
      <c r="J5370" s="2">
        <v>316</v>
      </c>
      <c r="K5370" s="2">
        <v>250</v>
      </c>
      <c r="L5370" s="2">
        <v>354</v>
      </c>
    </row>
    <row r="5371" spans="1:12" x14ac:dyDescent="0.25">
      <c r="A5371" s="4" t="str">
        <f>HYPERLINK("http://www.rosaceae.org/Prunus/Prunus_persica/p.persica_gdr_reftransV1_0007175","p.persica_gdr_reftransV1_0007175")</f>
        <v>p.persica_gdr_reftransV1_0007175</v>
      </c>
      <c r="B5371" s="2">
        <v>1938</v>
      </c>
      <c r="C5371" s="4" t="str">
        <f>HYPERLINK("http://www.uniprot.org/uniprot/M5VYA1","M5VYA1")</f>
        <v>M5VYA1</v>
      </c>
      <c r="D5371" s="2" t="s">
        <v>4930</v>
      </c>
      <c r="E5371" s="3">
        <v>0</v>
      </c>
      <c r="F5371" s="2">
        <v>2251</v>
      </c>
      <c r="G5371" s="2">
        <v>100</v>
      </c>
      <c r="H5371" s="2">
        <v>439</v>
      </c>
      <c r="I5371" s="2">
        <v>194</v>
      </c>
      <c r="J5371" s="2">
        <v>1510</v>
      </c>
      <c r="K5371" s="2">
        <v>1</v>
      </c>
      <c r="L5371" s="2">
        <v>439</v>
      </c>
    </row>
    <row r="5372" spans="1:12" x14ac:dyDescent="0.25">
      <c r="A5372" s="4" t="str">
        <f>HYPERLINK("http://www.rosaceae.org/Prunus/Prunus_persica/p.persica_gdr_reftransV1_0007875","p.persica_gdr_reftransV1_0007875")</f>
        <v>p.persica_gdr_reftransV1_0007875</v>
      </c>
      <c r="B5372" s="2">
        <v>1078</v>
      </c>
      <c r="C5372" s="4" t="str">
        <f>HYPERLINK("http://www.uniprot.org/uniprot/M5W226","M5W226")</f>
        <v>M5W226</v>
      </c>
      <c r="D5372" s="2" t="s">
        <v>4931</v>
      </c>
      <c r="E5372" s="3">
        <v>1.04E-122</v>
      </c>
      <c r="F5372" s="2">
        <v>931</v>
      </c>
      <c r="G5372" s="2">
        <v>100</v>
      </c>
      <c r="H5372" s="2">
        <v>175</v>
      </c>
      <c r="I5372" s="2">
        <v>477</v>
      </c>
      <c r="J5372" s="2">
        <v>1001</v>
      </c>
      <c r="K5372" s="2">
        <v>1</v>
      </c>
      <c r="L5372" s="2">
        <v>175</v>
      </c>
    </row>
    <row r="5373" spans="1:12" x14ac:dyDescent="0.25">
      <c r="A5373" s="4" t="str">
        <f>HYPERLINK("http://www.rosaceae.org/Prunus/Prunus_persica/p.persica_gdr_reftransV1_0008575","p.persica_gdr_reftransV1_0008575")</f>
        <v>p.persica_gdr_reftransV1_0008575</v>
      </c>
      <c r="B5373" s="2">
        <v>2074</v>
      </c>
      <c r="C5373" s="4" t="str">
        <f>HYPERLINK("http://www.uniprot.org/uniprot/M5X6S4","M5X6S4")</f>
        <v>M5X6S4</v>
      </c>
      <c r="D5373" s="2" t="s">
        <v>4932</v>
      </c>
      <c r="E5373" s="3">
        <v>0</v>
      </c>
      <c r="F5373" s="2">
        <v>3058</v>
      </c>
      <c r="G5373" s="2">
        <v>100</v>
      </c>
      <c r="H5373" s="2">
        <v>589</v>
      </c>
      <c r="I5373" s="2">
        <v>58</v>
      </c>
      <c r="J5373" s="2">
        <v>1824</v>
      </c>
      <c r="K5373" s="2">
        <v>1</v>
      </c>
      <c r="L5373" s="2">
        <v>589</v>
      </c>
    </row>
    <row r="5374" spans="1:12" x14ac:dyDescent="0.25">
      <c r="A5374" s="4" t="str">
        <f>HYPERLINK("http://www.rosaceae.org/Prunus/Prunus_persica/p.persica_gdr_reftransV1_0009275","p.persica_gdr_reftransV1_0009275")</f>
        <v>p.persica_gdr_reftransV1_0009275</v>
      </c>
      <c r="B5374" s="2">
        <v>1393</v>
      </c>
      <c r="C5374" s="4" t="str">
        <f>HYPERLINK("http://www.uniprot.org/uniprot/M5WA96","M5WA96")</f>
        <v>M5WA96</v>
      </c>
      <c r="D5374" s="2" t="s">
        <v>4933</v>
      </c>
      <c r="E5374" s="3">
        <v>1.06E-135</v>
      </c>
      <c r="F5374" s="2">
        <v>1033</v>
      </c>
      <c r="G5374" s="2">
        <v>100</v>
      </c>
      <c r="H5374" s="2">
        <v>215</v>
      </c>
      <c r="I5374" s="2">
        <v>496</v>
      </c>
      <c r="J5374" s="2">
        <v>1140</v>
      </c>
      <c r="K5374" s="2">
        <v>15</v>
      </c>
      <c r="L5374" s="2">
        <v>229</v>
      </c>
    </row>
    <row r="5375" spans="1:12" x14ac:dyDescent="0.25">
      <c r="A5375" s="4" t="str">
        <f>HYPERLINK("http://www.rosaceae.org/Prunus/Prunus_persica/p.persica_gdr_reftransV1_0009625","p.persica_gdr_reftransV1_0009625")</f>
        <v>p.persica_gdr_reftransV1_0009625</v>
      </c>
      <c r="B5375" s="2">
        <v>326</v>
      </c>
      <c r="C5375" s="4" t="str">
        <f>HYPERLINK("http://www.uniprot.org/uniprot/J7G586","J7G586")</f>
        <v>J7G586</v>
      </c>
      <c r="D5375" s="2" t="s">
        <v>298</v>
      </c>
      <c r="E5375" s="3">
        <v>1.57E-23</v>
      </c>
      <c r="F5375" s="2">
        <v>260</v>
      </c>
      <c r="G5375" s="2">
        <v>47</v>
      </c>
      <c r="H5375" s="2">
        <v>108</v>
      </c>
      <c r="I5375" s="2">
        <v>1</v>
      </c>
      <c r="J5375" s="2">
        <v>321</v>
      </c>
      <c r="K5375" s="2">
        <v>527</v>
      </c>
      <c r="L5375" s="2">
        <v>634</v>
      </c>
    </row>
    <row r="5376" spans="1:12" x14ac:dyDescent="0.25">
      <c r="A5376" s="4" t="str">
        <f>HYPERLINK("http://www.rosaceae.org/Prunus/Prunus_persica/p.persica_gdr_reftransV1_0010325","p.persica_gdr_reftransV1_0010325")</f>
        <v>p.persica_gdr_reftransV1_0010325</v>
      </c>
      <c r="B5376" s="2">
        <v>1247</v>
      </c>
      <c r="C5376" s="4" t="str">
        <f>HYPERLINK("http://www.uniprot.org/uniprot/M5XWD9","M5XWD9")</f>
        <v>M5XWD9</v>
      </c>
      <c r="D5376" s="2" t="s">
        <v>4934</v>
      </c>
      <c r="E5376" s="3">
        <v>1.25E-43</v>
      </c>
      <c r="F5376" s="2">
        <v>398</v>
      </c>
      <c r="G5376" s="2">
        <v>100</v>
      </c>
      <c r="H5376" s="2">
        <v>78</v>
      </c>
      <c r="I5376" s="2">
        <v>529</v>
      </c>
      <c r="J5376" s="2">
        <v>762</v>
      </c>
      <c r="K5376" s="2">
        <v>1</v>
      </c>
      <c r="L5376" s="2">
        <v>78</v>
      </c>
    </row>
    <row r="5377" spans="1:12" x14ac:dyDescent="0.25">
      <c r="A5377" s="4" t="str">
        <f>HYPERLINK("http://www.rosaceae.org/Prunus/Prunus_persica/p.persica_gdr_reftransV1_0011375","p.persica_gdr_reftransV1_0011375")</f>
        <v>p.persica_gdr_reftransV1_0011375</v>
      </c>
      <c r="B5377" s="2">
        <v>2201</v>
      </c>
      <c r="C5377" s="4" t="str">
        <f>HYPERLINK("http://www.uniprot.org/uniprot/B6ZL91","B6ZL91")</f>
        <v>B6ZL91</v>
      </c>
      <c r="D5377" s="2" t="s">
        <v>4935</v>
      </c>
      <c r="E5377" s="3">
        <v>0</v>
      </c>
      <c r="F5377" s="2">
        <v>1895</v>
      </c>
      <c r="G5377" s="2">
        <v>100</v>
      </c>
      <c r="H5377" s="2">
        <v>361</v>
      </c>
      <c r="I5377" s="2">
        <v>775</v>
      </c>
      <c r="J5377" s="2">
        <v>1857</v>
      </c>
      <c r="K5377" s="2">
        <v>1</v>
      </c>
      <c r="L5377" s="2">
        <v>361</v>
      </c>
    </row>
    <row r="5378" spans="1:12" x14ac:dyDescent="0.25">
      <c r="A5378" s="4" t="str">
        <f>HYPERLINK("http://www.rosaceae.org/Prunus/Prunus_persica/p.persica_gdr_reftransV1_0012075","p.persica_gdr_reftransV1_0012075")</f>
        <v>p.persica_gdr_reftransV1_0012075</v>
      </c>
      <c r="B5378" s="2">
        <v>1074</v>
      </c>
      <c r="C5378" s="4" t="str">
        <f>HYPERLINK("http://www.uniprot.org/uniprot/M5XVE0","M5XVE0")</f>
        <v>M5XVE0</v>
      </c>
      <c r="D5378" s="2" t="s">
        <v>4058</v>
      </c>
      <c r="E5378" s="3">
        <v>5.4400000000000002E-46</v>
      </c>
      <c r="F5378" s="2">
        <v>420</v>
      </c>
      <c r="G5378" s="2">
        <v>100</v>
      </c>
      <c r="H5378" s="2">
        <v>90</v>
      </c>
      <c r="I5378" s="2">
        <v>668</v>
      </c>
      <c r="J5378" s="2">
        <v>937</v>
      </c>
      <c r="K5378" s="2">
        <v>1</v>
      </c>
      <c r="L5378" s="2">
        <v>90</v>
      </c>
    </row>
    <row r="5379" spans="1:12" x14ac:dyDescent="0.25">
      <c r="A5379" s="4" t="str">
        <f>HYPERLINK("http://www.rosaceae.org/Prunus/Prunus_persica/p.persica_gdr_reftransV1_0012425","p.persica_gdr_reftransV1_0012425")</f>
        <v>p.persica_gdr_reftransV1_0012425</v>
      </c>
      <c r="B5379" s="2">
        <v>2180</v>
      </c>
      <c r="C5379" s="4" t="str">
        <f>HYPERLINK("http://www.uniprot.org/uniprot/M5WZT0","M5WZT0")</f>
        <v>M5WZT0</v>
      </c>
      <c r="D5379" s="2" t="s">
        <v>4936</v>
      </c>
      <c r="E5379" s="3">
        <v>0</v>
      </c>
      <c r="F5379" s="2">
        <v>2116</v>
      </c>
      <c r="G5379" s="2">
        <v>100</v>
      </c>
      <c r="H5379" s="2">
        <v>466</v>
      </c>
      <c r="I5379" s="2">
        <v>248</v>
      </c>
      <c r="J5379" s="2">
        <v>1645</v>
      </c>
      <c r="K5379" s="2">
        <v>1</v>
      </c>
      <c r="L5379" s="2">
        <v>466</v>
      </c>
    </row>
    <row r="5380" spans="1:12" x14ac:dyDescent="0.25">
      <c r="A5380" s="4" t="str">
        <f>HYPERLINK("http://www.rosaceae.org/Prunus/Prunus_persica/p.persica_gdr_reftransV1_0013475","p.persica_gdr_reftransV1_0013475")</f>
        <v>p.persica_gdr_reftransV1_0013475</v>
      </c>
      <c r="B5380" s="2">
        <v>1450</v>
      </c>
      <c r="C5380" s="4" t="str">
        <f>HYPERLINK("http://www.uniprot.org/uniprot/M5VL34","M5VL34")</f>
        <v>M5VL34</v>
      </c>
      <c r="D5380" s="2" t="s">
        <v>4937</v>
      </c>
      <c r="E5380" s="3">
        <v>0</v>
      </c>
      <c r="F5380" s="2">
        <v>2201</v>
      </c>
      <c r="G5380" s="2">
        <v>100</v>
      </c>
      <c r="H5380" s="2">
        <v>452</v>
      </c>
      <c r="I5380" s="2">
        <v>95</v>
      </c>
      <c r="J5380" s="2">
        <v>1450</v>
      </c>
      <c r="K5380" s="2">
        <v>31</v>
      </c>
      <c r="L5380" s="2">
        <v>482</v>
      </c>
    </row>
    <row r="5381" spans="1:12" x14ac:dyDescent="0.25">
      <c r="A5381" s="4" t="str">
        <f>HYPERLINK("http://www.rosaceae.org/Prunus/Prunus_persica/p.persica_gdr_reftransV1_0013825","p.persica_gdr_reftransV1_0013825")</f>
        <v>p.persica_gdr_reftransV1_0013825</v>
      </c>
      <c r="B5381" s="2">
        <v>1825</v>
      </c>
      <c r="C5381" s="4" t="str">
        <f>HYPERLINK("http://www.uniprot.org/uniprot/M5WPA7","M5WPA7")</f>
        <v>M5WPA7</v>
      </c>
      <c r="D5381" s="2" t="s">
        <v>4938</v>
      </c>
      <c r="E5381" s="3">
        <v>0</v>
      </c>
      <c r="F5381" s="2">
        <v>2473</v>
      </c>
      <c r="G5381" s="2">
        <v>100</v>
      </c>
      <c r="H5381" s="2">
        <v>526</v>
      </c>
      <c r="I5381" s="2">
        <v>247</v>
      </c>
      <c r="J5381" s="2">
        <v>1824</v>
      </c>
      <c r="K5381" s="2">
        <v>17</v>
      </c>
      <c r="L5381" s="2">
        <v>542</v>
      </c>
    </row>
    <row r="5382" spans="1:12" x14ac:dyDescent="0.25">
      <c r="A5382" s="4" t="str">
        <f>HYPERLINK("http://www.rosaceae.org/Prunus/Prunus_persica/p.persica_gdr_reftransV1_0014525","p.persica_gdr_reftransV1_0014525")</f>
        <v>p.persica_gdr_reftransV1_0014525</v>
      </c>
      <c r="B5382" s="2">
        <v>372</v>
      </c>
      <c r="C5382" s="4" t="str">
        <f>HYPERLINK("http://www.uniprot.org/uniprot/M5WPN0","M5WPN0")</f>
        <v>M5WPN0</v>
      </c>
      <c r="D5382" s="2" t="s">
        <v>3157</v>
      </c>
      <c r="E5382" s="3">
        <v>1.68E-78</v>
      </c>
      <c r="F5382" s="2">
        <v>619</v>
      </c>
      <c r="G5382" s="2">
        <v>100</v>
      </c>
      <c r="H5382" s="2">
        <v>114</v>
      </c>
      <c r="I5382" s="2">
        <v>30</v>
      </c>
      <c r="J5382" s="2">
        <v>371</v>
      </c>
      <c r="K5382" s="2">
        <v>1</v>
      </c>
      <c r="L5382" s="2">
        <v>114</v>
      </c>
    </row>
    <row r="5383" spans="1:12" x14ac:dyDescent="0.25">
      <c r="A5383" s="4" t="str">
        <f>HYPERLINK("http://www.rosaceae.org/Prunus/Prunus_persica/p.persica_gdr_reftransV1_0016625","p.persica_gdr_reftransV1_0016625")</f>
        <v>p.persica_gdr_reftransV1_0016625</v>
      </c>
      <c r="B5383" s="2">
        <v>431</v>
      </c>
      <c r="C5383" s="4" t="str">
        <f>HYPERLINK("http://www.uniprot.org/uniprot/M5Y8M5","M5Y8M5")</f>
        <v>M5Y8M5</v>
      </c>
      <c r="D5383" s="2" t="s">
        <v>4939</v>
      </c>
      <c r="E5383" s="3">
        <v>1.03E-66</v>
      </c>
      <c r="F5383" s="2">
        <v>550</v>
      </c>
      <c r="G5383" s="2">
        <v>100</v>
      </c>
      <c r="H5383" s="2">
        <v>114</v>
      </c>
      <c r="I5383" s="2">
        <v>1</v>
      </c>
      <c r="J5383" s="2">
        <v>342</v>
      </c>
      <c r="K5383" s="2">
        <v>1</v>
      </c>
      <c r="L5383" s="2">
        <v>114</v>
      </c>
    </row>
    <row r="5384" spans="1:12" x14ac:dyDescent="0.25">
      <c r="A5384" s="4" t="str">
        <f>HYPERLINK("http://www.rosaceae.org/Prunus/Prunus_persica/p.persica_gdr_reftransV1_0017675","p.persica_gdr_reftransV1_0017675")</f>
        <v>p.persica_gdr_reftransV1_0017675</v>
      </c>
      <c r="B5384" s="2">
        <v>966</v>
      </c>
      <c r="C5384" s="4" t="str">
        <f>HYPERLINK("http://www.uniprot.org/uniprot/A0A061DI09","A0A061DI09")</f>
        <v>A0A061DI09</v>
      </c>
      <c r="D5384" s="2" t="s">
        <v>4940</v>
      </c>
      <c r="E5384" s="3">
        <v>9.3099999999999998E-60</v>
      </c>
      <c r="F5384" s="2">
        <v>513</v>
      </c>
      <c r="G5384" s="2">
        <v>77</v>
      </c>
      <c r="H5384" s="2">
        <v>158</v>
      </c>
      <c r="I5384" s="2">
        <v>106</v>
      </c>
      <c r="J5384" s="2">
        <v>573</v>
      </c>
      <c r="K5384" s="2">
        <v>52</v>
      </c>
      <c r="L5384" s="2">
        <v>206</v>
      </c>
    </row>
    <row r="5385" spans="1:12" x14ac:dyDescent="0.25">
      <c r="A5385" s="4" t="str">
        <f>HYPERLINK("http://www.rosaceae.org/Prunus/Prunus_persica/p.persica_gdr_reftransV1_0020125","p.persica_gdr_reftransV1_0020125")</f>
        <v>p.persica_gdr_reftransV1_0020125</v>
      </c>
      <c r="B5385" s="2">
        <v>1003</v>
      </c>
      <c r="C5385" s="4" t="str">
        <f>HYPERLINK("http://www.uniprot.org/uniprot/M5VLJ2","M5VLJ2")</f>
        <v>M5VLJ2</v>
      </c>
      <c r="D5385" s="2" t="s">
        <v>4941</v>
      </c>
      <c r="E5385" s="3">
        <v>1.21E-138</v>
      </c>
      <c r="F5385" s="2">
        <v>1036</v>
      </c>
      <c r="G5385" s="2">
        <v>100</v>
      </c>
      <c r="H5385" s="2">
        <v>198</v>
      </c>
      <c r="I5385" s="2">
        <v>171</v>
      </c>
      <c r="J5385" s="2">
        <v>764</v>
      </c>
      <c r="K5385" s="2">
        <v>1</v>
      </c>
      <c r="L5385" s="2">
        <v>198</v>
      </c>
    </row>
    <row r="5386" spans="1:12" x14ac:dyDescent="0.25">
      <c r="A5386" s="4" t="str">
        <f>HYPERLINK("http://www.rosaceae.org/Prunus/Prunus_persica/p.persica_gdr_reftransV1_0020475","p.persica_gdr_reftransV1_0020475")</f>
        <v>p.persica_gdr_reftransV1_0020475</v>
      </c>
      <c r="B5386" s="2">
        <v>792</v>
      </c>
      <c r="C5386" s="4" t="str">
        <f>HYPERLINK("http://www.uniprot.org/uniprot/M5W1Q0","M5W1Q0")</f>
        <v>M5W1Q0</v>
      </c>
      <c r="D5386" s="2" t="s">
        <v>4942</v>
      </c>
      <c r="E5386" s="3">
        <v>1.0899999999999999E-100</v>
      </c>
      <c r="F5386" s="2">
        <v>773</v>
      </c>
      <c r="G5386" s="2">
        <v>100</v>
      </c>
      <c r="H5386" s="2">
        <v>147</v>
      </c>
      <c r="I5386" s="2">
        <v>90</v>
      </c>
      <c r="J5386" s="2">
        <v>530</v>
      </c>
      <c r="K5386" s="2">
        <v>1</v>
      </c>
      <c r="L5386" s="2">
        <v>147</v>
      </c>
    </row>
    <row r="5387" spans="1:12" x14ac:dyDescent="0.25">
      <c r="A5387" s="4" t="str">
        <f>HYPERLINK("http://www.rosaceae.org/Prunus/Prunus_persica/p.persica_gdr_reftransV1_0021875","p.persica_gdr_reftransV1_0021875")</f>
        <v>p.persica_gdr_reftransV1_0021875</v>
      </c>
      <c r="B5387" s="2">
        <v>2367</v>
      </c>
      <c r="C5387" s="4" t="str">
        <f>HYPERLINK("http://www.uniprot.org/uniprot/M5WIH4","M5WIH4")</f>
        <v>M5WIH4</v>
      </c>
      <c r="D5387" s="2" t="s">
        <v>4943</v>
      </c>
      <c r="E5387" s="3">
        <v>0</v>
      </c>
      <c r="F5387" s="2">
        <v>1948</v>
      </c>
      <c r="G5387" s="2">
        <v>100</v>
      </c>
      <c r="H5387" s="2">
        <v>363</v>
      </c>
      <c r="I5387" s="2">
        <v>461</v>
      </c>
      <c r="J5387" s="2">
        <v>1549</v>
      </c>
      <c r="K5387" s="2">
        <v>1</v>
      </c>
      <c r="L5387" s="2">
        <v>363</v>
      </c>
    </row>
    <row r="5388" spans="1:12" x14ac:dyDescent="0.25">
      <c r="A5388" s="4" t="str">
        <f>HYPERLINK("http://www.rosaceae.org/Prunus/Prunus_persica/p.persica_gdr_reftransV1_0022225","p.persica_gdr_reftransV1_0022225")</f>
        <v>p.persica_gdr_reftransV1_0022225</v>
      </c>
      <c r="B5388" s="2">
        <v>1270</v>
      </c>
      <c r="C5388" s="4" t="str">
        <f>HYPERLINK("http://www.uniprot.org/uniprot/M5XHY0","M5XHY0")</f>
        <v>M5XHY0</v>
      </c>
      <c r="D5388" s="2" t="s">
        <v>4944</v>
      </c>
      <c r="E5388" s="3">
        <v>2.7000000000000001E-153</v>
      </c>
      <c r="F5388" s="2">
        <v>1145</v>
      </c>
      <c r="G5388" s="2">
        <v>84</v>
      </c>
      <c r="H5388" s="2">
        <v>273</v>
      </c>
      <c r="I5388" s="2">
        <v>416</v>
      </c>
      <c r="J5388" s="2">
        <v>1234</v>
      </c>
      <c r="K5388" s="2">
        <v>1</v>
      </c>
      <c r="L5388" s="2">
        <v>228</v>
      </c>
    </row>
    <row r="5389" spans="1:12" x14ac:dyDescent="0.25">
      <c r="A5389" s="4" t="str">
        <f>HYPERLINK("http://www.rosaceae.org/Prunus/Prunus_persica/p.persica_gdr_reftransV1_0026075","p.persica_gdr_reftransV1_0026075")</f>
        <v>p.persica_gdr_reftransV1_0026075</v>
      </c>
      <c r="B5389" s="2">
        <v>1154</v>
      </c>
      <c r="C5389" s="4" t="str">
        <f>HYPERLINK("http://www.uniprot.org/uniprot/M5W166","M5W166")</f>
        <v>M5W166</v>
      </c>
      <c r="D5389" s="2" t="s">
        <v>4945</v>
      </c>
      <c r="E5389" s="3">
        <v>2.1799999999999998E-130</v>
      </c>
      <c r="F5389" s="2">
        <v>987</v>
      </c>
      <c r="G5389" s="2">
        <v>100</v>
      </c>
      <c r="H5389" s="2">
        <v>202</v>
      </c>
      <c r="I5389" s="2">
        <v>438</v>
      </c>
      <c r="J5389" s="2">
        <v>1043</v>
      </c>
      <c r="K5389" s="2">
        <v>1</v>
      </c>
      <c r="L5389" s="2">
        <v>202</v>
      </c>
    </row>
    <row r="5390" spans="1:12" x14ac:dyDescent="0.25">
      <c r="A5390" s="4" t="str">
        <f>HYPERLINK("http://www.rosaceae.org/Prunus/Prunus_persica/p.persica_gdr_reftransV1_0028525","p.persica_gdr_reftransV1_0028525")</f>
        <v>p.persica_gdr_reftransV1_0028525</v>
      </c>
      <c r="B5390" s="2">
        <v>2656</v>
      </c>
      <c r="C5390" s="4" t="str">
        <f>HYPERLINK("http://www.uniprot.org/uniprot/M5VNU6","M5VNU6")</f>
        <v>M5VNU6</v>
      </c>
      <c r="D5390" s="2" t="s">
        <v>4946</v>
      </c>
      <c r="E5390" s="3">
        <v>0</v>
      </c>
      <c r="F5390" s="2">
        <v>3065</v>
      </c>
      <c r="G5390" s="2">
        <v>99</v>
      </c>
      <c r="H5390" s="2">
        <v>582</v>
      </c>
      <c r="I5390" s="2">
        <v>453</v>
      </c>
      <c r="J5390" s="2">
        <v>2198</v>
      </c>
      <c r="K5390" s="2">
        <v>3</v>
      </c>
      <c r="L5390" s="2">
        <v>584</v>
      </c>
    </row>
    <row r="5391" spans="1:12" x14ac:dyDescent="0.25">
      <c r="A5391" s="4" t="str">
        <f>HYPERLINK("http://www.rosaceae.org/Prunus/Prunus_persica/p.persica_gdr_reftransV1_0029575","p.persica_gdr_reftransV1_0029575")</f>
        <v>p.persica_gdr_reftransV1_0029575</v>
      </c>
      <c r="B5391" s="2">
        <v>1351</v>
      </c>
      <c r="C5391" s="4" t="str">
        <f>HYPERLINK("http://www.uniprot.org/uniprot/M5X7B0","M5X7B0")</f>
        <v>M5X7B0</v>
      </c>
      <c r="D5391" s="2" t="s">
        <v>4947</v>
      </c>
      <c r="E5391" s="3">
        <v>9.4799999999999998E-151</v>
      </c>
      <c r="F5391" s="2">
        <v>1130</v>
      </c>
      <c r="G5391" s="2">
        <v>100</v>
      </c>
      <c r="H5391" s="2">
        <v>218</v>
      </c>
      <c r="I5391" s="2">
        <v>373</v>
      </c>
      <c r="J5391" s="2">
        <v>1026</v>
      </c>
      <c r="K5391" s="2">
        <v>1</v>
      </c>
      <c r="L5391" s="2">
        <v>218</v>
      </c>
    </row>
    <row r="5392" spans="1:12" x14ac:dyDescent="0.25">
      <c r="A5392" s="4" t="str">
        <f>HYPERLINK("http://www.rosaceae.org/Prunus/Prunus_persica/p.persica_gdr_reftransV1_0031325","p.persica_gdr_reftransV1_0031325")</f>
        <v>p.persica_gdr_reftransV1_0031325</v>
      </c>
      <c r="B5392" s="2">
        <v>3719</v>
      </c>
      <c r="C5392" s="4" t="str">
        <f>HYPERLINK("http://www.uniprot.org/uniprot/D7U753","D7U753")</f>
        <v>D7U753</v>
      </c>
      <c r="D5392" s="2" t="s">
        <v>4948</v>
      </c>
      <c r="E5392" s="3">
        <v>0</v>
      </c>
      <c r="F5392" s="2">
        <v>3500</v>
      </c>
      <c r="G5392" s="2">
        <v>72</v>
      </c>
      <c r="H5392" s="2">
        <v>978</v>
      </c>
      <c r="I5392" s="2">
        <v>225</v>
      </c>
      <c r="J5392" s="2">
        <v>3152</v>
      </c>
      <c r="K5392" s="2">
        <v>1</v>
      </c>
      <c r="L5392" s="2">
        <v>977</v>
      </c>
    </row>
    <row r="5393" spans="1:12" x14ac:dyDescent="0.25">
      <c r="A5393" s="4" t="str">
        <f>HYPERLINK("http://www.rosaceae.org/Prunus/Prunus_persica/p.persica_gdr_reftransV1_0031675","p.persica_gdr_reftransV1_0031675")</f>
        <v>p.persica_gdr_reftransV1_0031675</v>
      </c>
      <c r="B5393" s="2">
        <v>4566</v>
      </c>
      <c r="C5393" s="4" t="str">
        <f>HYPERLINK("http://www.uniprot.org/uniprot/M5VK98","M5VK98")</f>
        <v>M5VK98</v>
      </c>
      <c r="D5393" s="2" t="s">
        <v>4910</v>
      </c>
      <c r="E5393" s="3">
        <v>0</v>
      </c>
      <c r="F5393" s="2">
        <v>4687</v>
      </c>
      <c r="G5393" s="2">
        <v>100</v>
      </c>
      <c r="H5393" s="2">
        <v>966</v>
      </c>
      <c r="I5393" s="2">
        <v>1669</v>
      </c>
      <c r="J5393" s="2">
        <v>4566</v>
      </c>
      <c r="K5393" s="2">
        <v>713</v>
      </c>
      <c r="L5393" s="2">
        <v>1676</v>
      </c>
    </row>
    <row r="5394" spans="1:12" x14ac:dyDescent="0.25">
      <c r="A5394" s="4" t="str">
        <f>HYPERLINK("http://www.rosaceae.org/Prunus/Prunus_persica/p.persica_gdr_reftransV1_0033075","p.persica_gdr_reftransV1_0033075")</f>
        <v>p.persica_gdr_reftransV1_0033075</v>
      </c>
      <c r="B5394" s="2">
        <v>2551</v>
      </c>
      <c r="C5394" s="4" t="str">
        <f>HYPERLINK("http://www.uniprot.org/uniprot/M5W9C3","M5W9C3")</f>
        <v>M5W9C3</v>
      </c>
      <c r="D5394" s="2" t="s">
        <v>4949</v>
      </c>
      <c r="E5394" s="3">
        <v>0</v>
      </c>
      <c r="F5394" s="2">
        <v>3783</v>
      </c>
      <c r="G5394" s="2">
        <v>98</v>
      </c>
      <c r="H5394" s="2">
        <v>797</v>
      </c>
      <c r="I5394" s="2">
        <v>2</v>
      </c>
      <c r="J5394" s="2">
        <v>2347</v>
      </c>
      <c r="K5394" s="2">
        <v>61</v>
      </c>
      <c r="L5394" s="2">
        <v>857</v>
      </c>
    </row>
    <row r="5395" spans="1:12" x14ac:dyDescent="0.25">
      <c r="A5395" s="4" t="str">
        <f>HYPERLINK("http://www.rosaceae.org/Prunus/Prunus_persica/p.persica_gdr_reftransV1_0034125","p.persica_gdr_reftransV1_0034125")</f>
        <v>p.persica_gdr_reftransV1_0034125</v>
      </c>
      <c r="B5395" s="2">
        <v>710</v>
      </c>
      <c r="C5395" s="4" t="str">
        <f>HYPERLINK("http://www.uniprot.org/uniprot/M5WN00","M5WN00")</f>
        <v>M5WN00</v>
      </c>
      <c r="D5395" s="2" t="s">
        <v>4950</v>
      </c>
      <c r="E5395" s="3">
        <v>7.6900000000000006E-89</v>
      </c>
      <c r="F5395" s="2">
        <v>690</v>
      </c>
      <c r="G5395" s="2">
        <v>100</v>
      </c>
      <c r="H5395" s="2">
        <v>133</v>
      </c>
      <c r="I5395" s="2">
        <v>197</v>
      </c>
      <c r="J5395" s="2">
        <v>595</v>
      </c>
      <c r="K5395" s="2">
        <v>1</v>
      </c>
      <c r="L5395" s="2">
        <v>133</v>
      </c>
    </row>
    <row r="5396" spans="1:12" x14ac:dyDescent="0.25">
      <c r="A5396" s="4" t="str">
        <f>HYPERLINK("http://www.rosaceae.org/Prunus/Prunus_persica/p.persica_gdr_reftransV1_0034475","p.persica_gdr_reftransV1_0034475")</f>
        <v>p.persica_gdr_reftransV1_0034475</v>
      </c>
      <c r="B5396" s="2">
        <v>2181</v>
      </c>
      <c r="C5396" s="4" t="str">
        <f>HYPERLINK("http://www.uniprot.org/uniprot/M5X2F8","M5X2F8")</f>
        <v>M5X2F8</v>
      </c>
      <c r="D5396" s="2" t="s">
        <v>4951</v>
      </c>
      <c r="E5396" s="3">
        <v>6.7299999999999995E-7</v>
      </c>
      <c r="F5396" s="2">
        <v>144</v>
      </c>
      <c r="G5396" s="2">
        <v>100</v>
      </c>
      <c r="H5396" s="2">
        <v>27</v>
      </c>
      <c r="I5396" s="2">
        <v>994</v>
      </c>
      <c r="J5396" s="2">
        <v>1074</v>
      </c>
      <c r="K5396" s="2">
        <v>1</v>
      </c>
      <c r="L5396" s="2">
        <v>27</v>
      </c>
    </row>
    <row r="5397" spans="1:12" x14ac:dyDescent="0.25">
      <c r="A5397" s="4" t="str">
        <f>HYPERLINK("http://www.rosaceae.org/Prunus/Prunus_persica/p.persica_gdr_reftransV1_0034825","p.persica_gdr_reftransV1_0034825")</f>
        <v>p.persica_gdr_reftransV1_0034825</v>
      </c>
      <c r="B5397" s="2">
        <v>3547</v>
      </c>
      <c r="C5397" s="4" t="str">
        <f>HYPERLINK("http://www.uniprot.org/uniprot/M5X9H5","M5X9H5")</f>
        <v>M5X9H5</v>
      </c>
      <c r="D5397" s="2" t="s">
        <v>4952</v>
      </c>
      <c r="E5397" s="3">
        <v>0</v>
      </c>
      <c r="F5397" s="2">
        <v>1645</v>
      </c>
      <c r="G5397" s="2">
        <v>100</v>
      </c>
      <c r="H5397" s="2">
        <v>307</v>
      </c>
      <c r="I5397" s="2">
        <v>252</v>
      </c>
      <c r="J5397" s="2">
        <v>1172</v>
      </c>
      <c r="K5397" s="2">
        <v>1</v>
      </c>
      <c r="L5397" s="2">
        <v>307</v>
      </c>
    </row>
    <row r="5398" spans="1:12" x14ac:dyDescent="0.25">
      <c r="A5398" s="4" t="str">
        <f>HYPERLINK("http://www.rosaceae.org/Prunus/Prunus_persica/p.persica_gdr_reftransV1_0035875","p.persica_gdr_reftransV1_0035875")</f>
        <v>p.persica_gdr_reftransV1_0035875</v>
      </c>
      <c r="B5398" s="2">
        <v>2370</v>
      </c>
      <c r="C5398" s="4" t="str">
        <f>HYPERLINK("http://www.uniprot.org/uniprot/M5X729","M5X729")</f>
        <v>M5X729</v>
      </c>
      <c r="D5398" s="2" t="s">
        <v>1751</v>
      </c>
      <c r="E5398" s="3">
        <v>0</v>
      </c>
      <c r="F5398" s="2">
        <v>2532</v>
      </c>
      <c r="G5398" s="2">
        <v>100</v>
      </c>
      <c r="H5398" s="2">
        <v>487</v>
      </c>
      <c r="I5398" s="2">
        <v>547</v>
      </c>
      <c r="J5398" s="2">
        <v>2007</v>
      </c>
      <c r="K5398" s="2">
        <v>5</v>
      </c>
      <c r="L5398" s="2">
        <v>491</v>
      </c>
    </row>
    <row r="5399" spans="1:12" x14ac:dyDescent="0.25">
      <c r="A5399" s="4" t="str">
        <f>HYPERLINK("http://www.rosaceae.org/Prunus/Prunus_persica/p.persica_gdr_reftransV1_0037625","p.persica_gdr_reftransV1_0037625")</f>
        <v>p.persica_gdr_reftransV1_0037625</v>
      </c>
      <c r="B5399" s="2">
        <v>1029</v>
      </c>
      <c r="C5399" s="4" t="str">
        <f>HYPERLINK("http://www.uniprot.org/uniprot/M5WPH4","M5WPH4")</f>
        <v>M5WPH4</v>
      </c>
      <c r="D5399" s="2" t="s">
        <v>3722</v>
      </c>
      <c r="E5399" s="3">
        <v>6.53E-101</v>
      </c>
      <c r="F5399" s="2">
        <v>820</v>
      </c>
      <c r="G5399" s="2">
        <v>93</v>
      </c>
      <c r="H5399" s="2">
        <v>199</v>
      </c>
      <c r="I5399" s="2">
        <v>334</v>
      </c>
      <c r="J5399" s="2">
        <v>903</v>
      </c>
      <c r="K5399" s="2">
        <v>12</v>
      </c>
      <c r="L5399" s="2">
        <v>210</v>
      </c>
    </row>
    <row r="5400" spans="1:12" x14ac:dyDescent="0.25">
      <c r="A5400" s="4" t="str">
        <f>HYPERLINK("http://www.rosaceae.org/Prunus/Prunus_persica/p.persica_gdr_reftransV1_0037975","p.persica_gdr_reftransV1_0037975")</f>
        <v>p.persica_gdr_reftransV1_0037975</v>
      </c>
      <c r="B5400" s="2">
        <v>3635</v>
      </c>
      <c r="C5400" s="4" t="str">
        <f>HYPERLINK("http://www.uniprot.org/uniprot/M5XZ72","M5XZ72")</f>
        <v>M5XZ72</v>
      </c>
      <c r="D5400" s="2" t="s">
        <v>4953</v>
      </c>
      <c r="E5400" s="3">
        <v>9.3700000000000003E-107</v>
      </c>
      <c r="F5400" s="2">
        <v>895</v>
      </c>
      <c r="G5400" s="2">
        <v>99</v>
      </c>
      <c r="H5400" s="2">
        <v>167</v>
      </c>
      <c r="I5400" s="2">
        <v>2038</v>
      </c>
      <c r="J5400" s="2">
        <v>2538</v>
      </c>
      <c r="K5400" s="2">
        <v>1</v>
      </c>
      <c r="L5400" s="2">
        <v>167</v>
      </c>
    </row>
    <row r="5401" spans="1:12" x14ac:dyDescent="0.25">
      <c r="A5401" s="4" t="str">
        <f>HYPERLINK("http://www.rosaceae.org/Prunus/Prunus_persica/p.persica_gdr_reftransV1_0039375","p.persica_gdr_reftransV1_0039375")</f>
        <v>p.persica_gdr_reftransV1_0039375</v>
      </c>
      <c r="B5401" s="2">
        <v>1031</v>
      </c>
      <c r="C5401" s="4" t="str">
        <f>HYPERLINK("http://www.uniprot.org/uniprot/M5W7I7","M5W7I7")</f>
        <v>M5W7I7</v>
      </c>
      <c r="D5401" s="2" t="s">
        <v>4753</v>
      </c>
      <c r="E5401" s="3">
        <v>2.1700000000000001E-137</v>
      </c>
      <c r="F5401" s="2">
        <v>1048</v>
      </c>
      <c r="G5401" s="2">
        <v>92</v>
      </c>
      <c r="H5401" s="2">
        <v>222</v>
      </c>
      <c r="I5401" s="2">
        <v>3</v>
      </c>
      <c r="J5401" s="2">
        <v>668</v>
      </c>
      <c r="K5401" s="2">
        <v>192</v>
      </c>
      <c r="L5401" s="2">
        <v>398</v>
      </c>
    </row>
    <row r="5402" spans="1:12" x14ac:dyDescent="0.25">
      <c r="A5402" s="4" t="str">
        <f>HYPERLINK("http://www.rosaceae.org/Prunus/Prunus_persica/p.persica_gdr_reftransV1_0042525","p.persica_gdr_reftransV1_0042525")</f>
        <v>p.persica_gdr_reftransV1_0042525</v>
      </c>
      <c r="B5402" s="2">
        <v>3417</v>
      </c>
      <c r="C5402" s="4" t="str">
        <f>HYPERLINK("http://www.uniprot.org/uniprot/M5X100","M5X100")</f>
        <v>M5X100</v>
      </c>
      <c r="D5402" s="2" t="s">
        <v>4954</v>
      </c>
      <c r="E5402" s="3">
        <v>0</v>
      </c>
      <c r="F5402" s="2">
        <v>2133</v>
      </c>
      <c r="G5402" s="2">
        <v>100</v>
      </c>
      <c r="H5402" s="2">
        <v>394</v>
      </c>
      <c r="I5402" s="2">
        <v>2236</v>
      </c>
      <c r="J5402" s="2">
        <v>3417</v>
      </c>
      <c r="K5402" s="2">
        <v>1</v>
      </c>
      <c r="L5402" s="2">
        <v>394</v>
      </c>
    </row>
    <row r="5403" spans="1:12" x14ac:dyDescent="0.25">
      <c r="A5403" s="4" t="str">
        <f>HYPERLINK("http://www.rosaceae.org/Prunus/Prunus_persica/p.persica_gdr_reftransV1_0042875","p.persica_gdr_reftransV1_0042875")</f>
        <v>p.persica_gdr_reftransV1_0042875</v>
      </c>
      <c r="B5403" s="2">
        <v>1844</v>
      </c>
      <c r="C5403" s="4" t="str">
        <f>HYPERLINK("http://www.uniprot.org/uniprot/F6HJ71","F6HJ71")</f>
        <v>F6HJ71</v>
      </c>
      <c r="D5403" s="2" t="s">
        <v>4955</v>
      </c>
      <c r="E5403" s="3">
        <v>0</v>
      </c>
      <c r="F5403" s="2">
        <v>1932</v>
      </c>
      <c r="G5403" s="2">
        <v>90</v>
      </c>
      <c r="H5403" s="2">
        <v>416</v>
      </c>
      <c r="I5403" s="2">
        <v>264</v>
      </c>
      <c r="J5403" s="2">
        <v>1502</v>
      </c>
      <c r="K5403" s="2">
        <v>1</v>
      </c>
      <c r="L5403" s="2">
        <v>412</v>
      </c>
    </row>
    <row r="5404" spans="1:12" x14ac:dyDescent="0.25">
      <c r="A5404" s="4" t="str">
        <f>HYPERLINK("http://www.rosaceae.org/Prunus/Prunus_persica/p.persica_gdr_reftransV1_0043225","p.persica_gdr_reftransV1_0043225")</f>
        <v>p.persica_gdr_reftransV1_0043225</v>
      </c>
      <c r="B5404" s="2">
        <v>1467</v>
      </c>
      <c r="C5404" s="4" t="str">
        <f>HYPERLINK("http://www.uniprot.org/uniprot/M5W0C3","M5W0C3")</f>
        <v>M5W0C3</v>
      </c>
      <c r="D5404" s="2" t="s">
        <v>1773</v>
      </c>
      <c r="E5404" s="3">
        <v>8.25E-147</v>
      </c>
      <c r="F5404" s="2">
        <v>1116</v>
      </c>
      <c r="G5404" s="2">
        <v>94</v>
      </c>
      <c r="H5404" s="2">
        <v>272</v>
      </c>
      <c r="I5404" s="2">
        <v>467</v>
      </c>
      <c r="J5404" s="2">
        <v>1282</v>
      </c>
      <c r="K5404" s="2">
        <v>35</v>
      </c>
      <c r="L5404" s="2">
        <v>306</v>
      </c>
    </row>
    <row r="5405" spans="1:12" x14ac:dyDescent="0.25">
      <c r="A5405" s="4" t="str">
        <f>HYPERLINK("http://www.rosaceae.org/Prunus/Prunus_persica/p.persica_gdr_reftransV1_0043575","p.persica_gdr_reftransV1_0043575")</f>
        <v>p.persica_gdr_reftransV1_0043575</v>
      </c>
      <c r="B5405" s="2">
        <v>711</v>
      </c>
      <c r="C5405" s="4" t="str">
        <f>HYPERLINK("http://www.uniprot.org/uniprot/M5XE08","M5XE08")</f>
        <v>M5XE08</v>
      </c>
      <c r="D5405" s="2" t="s">
        <v>4956</v>
      </c>
      <c r="E5405" s="3">
        <v>4.88E-97</v>
      </c>
      <c r="F5405" s="2">
        <v>758</v>
      </c>
      <c r="G5405" s="2">
        <v>100</v>
      </c>
      <c r="H5405" s="2">
        <v>172</v>
      </c>
      <c r="I5405" s="2">
        <v>179</v>
      </c>
      <c r="J5405" s="2">
        <v>694</v>
      </c>
      <c r="K5405" s="2">
        <v>103</v>
      </c>
      <c r="L5405" s="2">
        <v>274</v>
      </c>
    </row>
    <row r="5406" spans="1:12" x14ac:dyDescent="0.25">
      <c r="A5406" s="4" t="str">
        <f>HYPERLINK("http://www.rosaceae.org/Prunus/Prunus_persica/p.persica_gdr_reftransV1_0043925","p.persica_gdr_reftransV1_0043925")</f>
        <v>p.persica_gdr_reftransV1_0043925</v>
      </c>
      <c r="B5406" s="2">
        <v>506</v>
      </c>
      <c r="C5406" s="4" t="str">
        <f>HYPERLINK("http://www.uniprot.org/uniprot/M5XNY0","M5XNY0")</f>
        <v>M5XNY0</v>
      </c>
      <c r="D5406" s="2" t="s">
        <v>4469</v>
      </c>
      <c r="E5406" s="3">
        <v>3.0300000000000001E-61</v>
      </c>
      <c r="F5406" s="2">
        <v>540</v>
      </c>
      <c r="G5406" s="2">
        <v>100</v>
      </c>
      <c r="H5406" s="2">
        <v>103</v>
      </c>
      <c r="I5406" s="2">
        <v>197</v>
      </c>
      <c r="J5406" s="2">
        <v>505</v>
      </c>
      <c r="K5406" s="2">
        <v>1</v>
      </c>
      <c r="L5406" s="2">
        <v>103</v>
      </c>
    </row>
    <row r="5407" spans="1:12" x14ac:dyDescent="0.25">
      <c r="A5407" s="4" t="str">
        <f>HYPERLINK("http://www.rosaceae.org/Prunus/Prunus_persica/p.persica_gdr_reftransV1_0044275","p.persica_gdr_reftransV1_0044275")</f>
        <v>p.persica_gdr_reftransV1_0044275</v>
      </c>
      <c r="B5407" s="2">
        <v>1227</v>
      </c>
      <c r="C5407" s="4" t="str">
        <f>HYPERLINK("http://www.uniprot.org/uniprot/M5WVI2","M5WVI2")</f>
        <v>M5WVI2</v>
      </c>
      <c r="D5407" s="2" t="s">
        <v>4957</v>
      </c>
      <c r="E5407" s="3">
        <v>1.2799999999999999E-100</v>
      </c>
      <c r="F5407" s="2">
        <v>789</v>
      </c>
      <c r="G5407" s="2">
        <v>100</v>
      </c>
      <c r="H5407" s="2">
        <v>163</v>
      </c>
      <c r="I5407" s="2">
        <v>666</v>
      </c>
      <c r="J5407" s="2">
        <v>1154</v>
      </c>
      <c r="K5407" s="2">
        <v>1</v>
      </c>
      <c r="L5407" s="2">
        <v>163</v>
      </c>
    </row>
    <row r="5408" spans="1:12" x14ac:dyDescent="0.25">
      <c r="A5408" s="4" t="str">
        <f>HYPERLINK("http://www.rosaceae.org/Prunus/Prunus_persica/p.persica_gdr_reftransV1_0044625","p.persica_gdr_reftransV1_0044625")</f>
        <v>p.persica_gdr_reftransV1_0044625</v>
      </c>
      <c r="B5408" s="2">
        <v>506</v>
      </c>
      <c r="C5408" s="4" t="str">
        <f>HYPERLINK("http://www.uniprot.org/uniprot/H3BPS8","H3BPS8")</f>
        <v>H3BPS8</v>
      </c>
      <c r="D5408" s="2" t="s">
        <v>4958</v>
      </c>
      <c r="E5408" s="3">
        <v>9.2499999999999993E-103</v>
      </c>
      <c r="F5408" s="2">
        <v>789</v>
      </c>
      <c r="G5408" s="2">
        <v>99</v>
      </c>
      <c r="H5408" s="2">
        <v>168</v>
      </c>
      <c r="I5408" s="2">
        <v>1</v>
      </c>
      <c r="J5408" s="2">
        <v>504</v>
      </c>
      <c r="K5408" s="2">
        <v>72</v>
      </c>
      <c r="L5408" s="2">
        <v>239</v>
      </c>
    </row>
    <row r="5409" spans="1:12" x14ac:dyDescent="0.25">
      <c r="A5409" s="4" t="str">
        <f>HYPERLINK("http://www.rosaceae.org/Prunus/Prunus_persica/p.persica_gdr_reftransV1_0045325","p.persica_gdr_reftransV1_0045325")</f>
        <v>p.persica_gdr_reftransV1_0045325</v>
      </c>
      <c r="B5409" s="2">
        <v>2785</v>
      </c>
      <c r="C5409" s="4" t="str">
        <f>HYPERLINK("http://www.uniprot.org/uniprot/M5WV02","M5WV02")</f>
        <v>M5WV02</v>
      </c>
      <c r="D5409" s="2" t="s">
        <v>4251</v>
      </c>
      <c r="E5409" s="3">
        <v>0</v>
      </c>
      <c r="F5409" s="2">
        <v>2869</v>
      </c>
      <c r="G5409" s="2">
        <v>91</v>
      </c>
      <c r="H5409" s="2">
        <v>581</v>
      </c>
      <c r="I5409" s="2">
        <v>66</v>
      </c>
      <c r="J5409" s="2">
        <v>1799</v>
      </c>
      <c r="K5409" s="2">
        <v>1</v>
      </c>
      <c r="L5409" s="2">
        <v>581</v>
      </c>
    </row>
    <row r="5410" spans="1:12" x14ac:dyDescent="0.25">
      <c r="A5410" s="4" t="str">
        <f>HYPERLINK("http://www.rosaceae.org/Prunus/Prunus_persica/p.persica_gdr_reftransV1_0045675","p.persica_gdr_reftransV1_0045675")</f>
        <v>p.persica_gdr_reftransV1_0045675</v>
      </c>
      <c r="B5410" s="2">
        <v>769</v>
      </c>
      <c r="C5410" s="4" t="str">
        <f>HYPERLINK("http://www.uniprot.org/uniprot/M5WR88","M5WR88")</f>
        <v>M5WR88</v>
      </c>
      <c r="D5410" s="2" t="s">
        <v>4959</v>
      </c>
      <c r="E5410" s="3">
        <v>7.68E-100</v>
      </c>
      <c r="F5410" s="2">
        <v>766</v>
      </c>
      <c r="G5410" s="2">
        <v>100</v>
      </c>
      <c r="H5410" s="2">
        <v>147</v>
      </c>
      <c r="I5410" s="2">
        <v>266</v>
      </c>
      <c r="J5410" s="2">
        <v>706</v>
      </c>
      <c r="K5410" s="2">
        <v>1</v>
      </c>
      <c r="L5410" s="2">
        <v>147</v>
      </c>
    </row>
    <row r="5411" spans="1:12" x14ac:dyDescent="0.25">
      <c r="A5411" s="4" t="str">
        <f>HYPERLINK("http://www.rosaceae.org/Prunus/Prunus_persica/p.persica_gdr_reftransV1_0046025","p.persica_gdr_reftransV1_0046025")</f>
        <v>p.persica_gdr_reftransV1_0046025</v>
      </c>
      <c r="B5411" s="2">
        <v>2088</v>
      </c>
      <c r="C5411" s="4" t="str">
        <f>HYPERLINK("http://www.uniprot.org/uniprot/M5WXM4","M5WXM4")</f>
        <v>M5WXM4</v>
      </c>
      <c r="D5411" s="2" t="s">
        <v>4960</v>
      </c>
      <c r="E5411" s="3">
        <v>0</v>
      </c>
      <c r="F5411" s="2">
        <v>2564</v>
      </c>
      <c r="G5411" s="2">
        <v>100</v>
      </c>
      <c r="H5411" s="2">
        <v>477</v>
      </c>
      <c r="I5411" s="2">
        <v>407</v>
      </c>
      <c r="J5411" s="2">
        <v>1837</v>
      </c>
      <c r="K5411" s="2">
        <v>1</v>
      </c>
      <c r="L5411" s="2">
        <v>477</v>
      </c>
    </row>
    <row r="5412" spans="1:12" x14ac:dyDescent="0.25">
      <c r="A5412" s="4" t="str">
        <f>HYPERLINK("http://www.rosaceae.org/Prunus/Prunus_persica/p.persica_gdr_reftransV1_0046375","p.persica_gdr_reftransV1_0046375")</f>
        <v>p.persica_gdr_reftransV1_0046375</v>
      </c>
      <c r="B5412" s="2">
        <v>594</v>
      </c>
      <c r="C5412" s="4" t="str">
        <f>HYPERLINK("http://www.uniprot.org/uniprot/M5XZM4","M5XZM4")</f>
        <v>M5XZM4</v>
      </c>
      <c r="D5412" s="2" t="s">
        <v>4961</v>
      </c>
      <c r="E5412" s="3">
        <v>4.6600000000000003E-123</v>
      </c>
      <c r="F5412" s="2">
        <v>916</v>
      </c>
      <c r="G5412" s="2">
        <v>99</v>
      </c>
      <c r="H5412" s="2">
        <v>177</v>
      </c>
      <c r="I5412" s="2">
        <v>46</v>
      </c>
      <c r="J5412" s="2">
        <v>576</v>
      </c>
      <c r="K5412" s="2">
        <v>1</v>
      </c>
      <c r="L5412" s="2">
        <v>177</v>
      </c>
    </row>
    <row r="5413" spans="1:12" x14ac:dyDescent="0.25">
      <c r="A5413" s="4" t="str">
        <f>HYPERLINK("http://www.rosaceae.org/Prunus/Prunus_persica/p.persica_gdr_reftransV1_0046725","p.persica_gdr_reftransV1_0046725")</f>
        <v>p.persica_gdr_reftransV1_0046725</v>
      </c>
      <c r="B5413" s="2">
        <v>560</v>
      </c>
      <c r="C5413" s="4" t="str">
        <f>HYPERLINK("http://www.uniprot.org/uniprot/A0A068B2J4","A0A068B2J4")</f>
        <v>A0A068B2J4</v>
      </c>
      <c r="D5413" s="2" t="s">
        <v>4035</v>
      </c>
      <c r="E5413" s="3">
        <v>3.2900000000000002E-83</v>
      </c>
      <c r="F5413" s="2">
        <v>687</v>
      </c>
      <c r="G5413" s="2">
        <v>92</v>
      </c>
      <c r="H5413" s="2">
        <v>138</v>
      </c>
      <c r="I5413" s="2">
        <v>145</v>
      </c>
      <c r="J5413" s="2">
        <v>558</v>
      </c>
      <c r="K5413" s="2">
        <v>464</v>
      </c>
      <c r="L5413" s="2">
        <v>601</v>
      </c>
    </row>
    <row r="5414" spans="1:12" x14ac:dyDescent="0.25">
      <c r="A5414" s="4" t="str">
        <f>HYPERLINK("http://www.rosaceae.org/Prunus/Prunus_persica/p.persica_gdr_reftransV1_0047075","p.persica_gdr_reftransV1_0047075")</f>
        <v>p.persica_gdr_reftransV1_0047075</v>
      </c>
      <c r="B5414" s="2">
        <v>1442</v>
      </c>
      <c r="C5414" s="4" t="str">
        <f>HYPERLINK("http://www.uniprot.org/uniprot/M5W208","M5W208")</f>
        <v>M5W208</v>
      </c>
      <c r="D5414" s="2" t="s">
        <v>4962</v>
      </c>
      <c r="E5414" s="3">
        <v>0</v>
      </c>
      <c r="F5414" s="2">
        <v>2251</v>
      </c>
      <c r="G5414" s="2">
        <v>100</v>
      </c>
      <c r="H5414" s="2">
        <v>435</v>
      </c>
      <c r="I5414" s="2">
        <v>53</v>
      </c>
      <c r="J5414" s="2">
        <v>1357</v>
      </c>
      <c r="K5414" s="2">
        <v>1</v>
      </c>
      <c r="L5414" s="2">
        <v>435</v>
      </c>
    </row>
    <row r="5415" spans="1:12" x14ac:dyDescent="0.25">
      <c r="A5415" s="4" t="str">
        <f>HYPERLINK("http://www.rosaceae.org/Prunus/Prunus_persica/p.persica_gdr_reftransV1_0047425","p.persica_gdr_reftransV1_0047425")</f>
        <v>p.persica_gdr_reftransV1_0047425</v>
      </c>
      <c r="B5415" s="2">
        <v>1814</v>
      </c>
      <c r="C5415" s="4" t="str">
        <f>HYPERLINK("http://www.uniprot.org/uniprot/M5XME6","M5XME6")</f>
        <v>M5XME6</v>
      </c>
      <c r="D5415" s="2" t="s">
        <v>4963</v>
      </c>
      <c r="E5415" s="3">
        <v>0</v>
      </c>
      <c r="F5415" s="2">
        <v>1690</v>
      </c>
      <c r="G5415" s="2">
        <v>100</v>
      </c>
      <c r="H5415" s="2">
        <v>313</v>
      </c>
      <c r="I5415" s="2">
        <v>876</v>
      </c>
      <c r="J5415" s="2">
        <v>1814</v>
      </c>
      <c r="K5415" s="2">
        <v>98</v>
      </c>
      <c r="L5415" s="2">
        <v>410</v>
      </c>
    </row>
    <row r="5416" spans="1:12" x14ac:dyDescent="0.25">
      <c r="A5416" s="4" t="str">
        <f>HYPERLINK("http://www.rosaceae.org/Prunus/Prunus_persica/p.persica_gdr_reftransV1_0047775","p.persica_gdr_reftransV1_0047775")</f>
        <v>p.persica_gdr_reftransV1_0047775</v>
      </c>
      <c r="B5416" s="2">
        <v>451</v>
      </c>
      <c r="C5416" s="4" t="str">
        <f>HYPERLINK("http://www.uniprot.org/uniprot/A0A0B0MPU8","A0A0B0MPU8")</f>
        <v>A0A0B0MPU8</v>
      </c>
      <c r="D5416" s="2" t="s">
        <v>394</v>
      </c>
      <c r="E5416" s="3">
        <v>2.5100000000000001E-18</v>
      </c>
      <c r="F5416" s="2">
        <v>208</v>
      </c>
      <c r="G5416" s="2">
        <v>73</v>
      </c>
      <c r="H5416" s="2">
        <v>49</v>
      </c>
      <c r="I5416" s="2">
        <v>3</v>
      </c>
      <c r="J5416" s="2">
        <v>149</v>
      </c>
      <c r="K5416" s="2">
        <v>21</v>
      </c>
      <c r="L5416" s="2">
        <v>69</v>
      </c>
    </row>
    <row r="5417" spans="1:12" x14ac:dyDescent="0.25">
      <c r="A5417" s="4" t="str">
        <f>HYPERLINK("http://www.rosaceae.org/Prunus/Prunus_persica/p.persica_gdr_reftransV1_0048125","p.persica_gdr_reftransV1_0048125")</f>
        <v>p.persica_gdr_reftransV1_0048125</v>
      </c>
      <c r="B5417" s="2">
        <v>2111</v>
      </c>
      <c r="C5417" s="4" t="str">
        <f>HYPERLINK("http://www.uniprot.org/uniprot/F6HFL0","F6HFL0")</f>
        <v>F6HFL0</v>
      </c>
      <c r="D5417" s="2" t="s">
        <v>4964</v>
      </c>
      <c r="E5417" s="3">
        <v>0</v>
      </c>
      <c r="F5417" s="2">
        <v>2479</v>
      </c>
      <c r="G5417" s="2">
        <v>91</v>
      </c>
      <c r="H5417" s="2">
        <v>538</v>
      </c>
      <c r="I5417" s="2">
        <v>236</v>
      </c>
      <c r="J5417" s="2">
        <v>1825</v>
      </c>
      <c r="K5417" s="2">
        <v>20</v>
      </c>
      <c r="L5417" s="2">
        <v>557</v>
      </c>
    </row>
    <row r="5418" spans="1:12" x14ac:dyDescent="0.25">
      <c r="A5418" s="4" t="str">
        <f>HYPERLINK("http://www.rosaceae.org/Prunus/Prunus_persica/p.persica_gdr_reftransV1_0048475","p.persica_gdr_reftransV1_0048475")</f>
        <v>p.persica_gdr_reftransV1_0048475</v>
      </c>
      <c r="B5418" s="2">
        <v>757</v>
      </c>
      <c r="C5418" s="4" t="str">
        <f>HYPERLINK("http://www.uniprot.org/uniprot/Q2QXM6","Q2QXM6")</f>
        <v>Q2QXM6</v>
      </c>
      <c r="D5418" s="2" t="s">
        <v>1350</v>
      </c>
      <c r="E5418" s="3">
        <v>4.13E-100</v>
      </c>
      <c r="F5418" s="2">
        <v>837</v>
      </c>
      <c r="G5418" s="2">
        <v>72</v>
      </c>
      <c r="H5418" s="2">
        <v>236</v>
      </c>
      <c r="I5418" s="2">
        <v>3</v>
      </c>
      <c r="J5418" s="2">
        <v>710</v>
      </c>
      <c r="K5418" s="2">
        <v>902</v>
      </c>
      <c r="L5418" s="2">
        <v>1137</v>
      </c>
    </row>
    <row r="5419" spans="1:12" x14ac:dyDescent="0.25">
      <c r="A5419" s="4" t="str">
        <f>HYPERLINK("http://www.rosaceae.org/Prunus/Prunus_persica/p.persica_gdr_reftransV1_0048825","p.persica_gdr_reftransV1_0048825")</f>
        <v>p.persica_gdr_reftransV1_0048825</v>
      </c>
      <c r="B5419" s="2">
        <v>321</v>
      </c>
      <c r="C5419" s="4" t="str">
        <f>HYPERLINK("http://www.uniprot.org/uniprot/M5XNP7","M5XNP7")</f>
        <v>M5XNP7</v>
      </c>
      <c r="D5419" s="2" t="s">
        <v>4965</v>
      </c>
      <c r="E5419" s="3">
        <v>3.0600000000000001E-39</v>
      </c>
      <c r="F5419" s="2">
        <v>380</v>
      </c>
      <c r="G5419" s="2">
        <v>100</v>
      </c>
      <c r="H5419" s="2">
        <v>75</v>
      </c>
      <c r="I5419" s="2">
        <v>3</v>
      </c>
      <c r="J5419" s="2">
        <v>227</v>
      </c>
      <c r="K5419" s="2">
        <v>524</v>
      </c>
      <c r="L5419" s="2">
        <v>598</v>
      </c>
    </row>
    <row r="5420" spans="1:12" x14ac:dyDescent="0.25">
      <c r="A5420" s="4" t="str">
        <f>HYPERLINK("http://www.rosaceae.org/Prunus/Prunus_persica/p.persica_gdr_reftransV1_0049175","p.persica_gdr_reftransV1_0049175")</f>
        <v>p.persica_gdr_reftransV1_0049175</v>
      </c>
      <c r="B5420" s="2">
        <v>1663</v>
      </c>
      <c r="C5420" s="4" t="str">
        <f>HYPERLINK("http://www.uniprot.org/uniprot/M5X0A4","M5X0A4")</f>
        <v>M5X0A4</v>
      </c>
      <c r="D5420" s="2" t="s">
        <v>431</v>
      </c>
      <c r="E5420" s="3">
        <v>0</v>
      </c>
      <c r="F5420" s="2">
        <v>1774</v>
      </c>
      <c r="G5420" s="2">
        <v>100</v>
      </c>
      <c r="H5420" s="2">
        <v>352</v>
      </c>
      <c r="I5420" s="2">
        <v>519</v>
      </c>
      <c r="J5420" s="2">
        <v>1574</v>
      </c>
      <c r="K5420" s="2">
        <v>16</v>
      </c>
      <c r="L5420" s="2">
        <v>367</v>
      </c>
    </row>
    <row r="5421" spans="1:12" x14ac:dyDescent="0.25">
      <c r="A5421" s="4" t="str">
        <f>HYPERLINK("http://www.rosaceae.org/Prunus/Prunus_persica/p.persica_gdr_reftransV1_0000176","p.persica_gdr_reftransV1_0000176")</f>
        <v>p.persica_gdr_reftransV1_0000176</v>
      </c>
      <c r="B5421" s="2">
        <v>393</v>
      </c>
      <c r="C5421" s="4" t="str">
        <f>HYPERLINK("http://www.uniprot.org/uniprot/M5W1Q7","M5W1Q7")</f>
        <v>M5W1Q7</v>
      </c>
      <c r="D5421" s="2" t="s">
        <v>4966</v>
      </c>
      <c r="E5421" s="3">
        <v>1.83E-85</v>
      </c>
      <c r="F5421" s="2">
        <v>691</v>
      </c>
      <c r="G5421" s="2">
        <v>100</v>
      </c>
      <c r="H5421" s="2">
        <v>131</v>
      </c>
      <c r="I5421" s="2">
        <v>1</v>
      </c>
      <c r="J5421" s="2">
        <v>393</v>
      </c>
      <c r="K5421" s="2">
        <v>193</v>
      </c>
      <c r="L5421" s="2">
        <v>323</v>
      </c>
    </row>
    <row r="5422" spans="1:12" x14ac:dyDescent="0.25">
      <c r="A5422" s="4" t="str">
        <f>HYPERLINK("http://www.rosaceae.org/Prunus/Prunus_persica/p.persica_gdr_reftransV1_0000526","p.persica_gdr_reftransV1_0000526")</f>
        <v>p.persica_gdr_reftransV1_0000526</v>
      </c>
      <c r="B5422" s="2">
        <v>814</v>
      </c>
      <c r="C5422" s="4" t="str">
        <f>HYPERLINK("http://www.uniprot.org/uniprot/M5VPB0","M5VPB0")</f>
        <v>M5VPB0</v>
      </c>
      <c r="D5422" s="2" t="s">
        <v>4866</v>
      </c>
      <c r="E5422" s="3">
        <v>4.9999999999999999E-29</v>
      </c>
      <c r="F5422" s="2">
        <v>222</v>
      </c>
      <c r="G5422" s="2">
        <v>100</v>
      </c>
      <c r="H5422" s="2">
        <v>45</v>
      </c>
      <c r="I5422" s="2">
        <v>384</v>
      </c>
      <c r="J5422" s="2">
        <v>518</v>
      </c>
      <c r="K5422" s="2">
        <v>7</v>
      </c>
      <c r="L5422" s="2">
        <v>51</v>
      </c>
    </row>
    <row r="5423" spans="1:12" x14ac:dyDescent="0.25">
      <c r="A5423" s="4" t="str">
        <f>HYPERLINK("http://www.rosaceae.org/Prunus/Prunus_persica/p.persica_gdr_reftransV1_0000876","p.persica_gdr_reftransV1_0000876")</f>
        <v>p.persica_gdr_reftransV1_0000876</v>
      </c>
      <c r="B5423" s="2">
        <v>365</v>
      </c>
      <c r="C5423" s="4" t="str">
        <f>HYPERLINK("http://www.uniprot.org/uniprot/M5WBK1","M5WBK1")</f>
        <v>M5WBK1</v>
      </c>
      <c r="D5423" s="2" t="s">
        <v>4967</v>
      </c>
      <c r="E5423" s="3">
        <v>1.9599999999999999E-52</v>
      </c>
      <c r="F5423" s="2">
        <v>448</v>
      </c>
      <c r="G5423" s="2">
        <v>100</v>
      </c>
      <c r="H5423" s="2">
        <v>101</v>
      </c>
      <c r="I5423" s="2">
        <v>1</v>
      </c>
      <c r="J5423" s="2">
        <v>303</v>
      </c>
      <c r="K5423" s="2">
        <v>154</v>
      </c>
      <c r="L5423" s="2">
        <v>254</v>
      </c>
    </row>
    <row r="5424" spans="1:12" x14ac:dyDescent="0.25">
      <c r="A5424" s="4" t="str">
        <f>HYPERLINK("http://www.rosaceae.org/Prunus/Prunus_persica/p.persica_gdr_reftransV1_0001226","p.persica_gdr_reftransV1_0001226")</f>
        <v>p.persica_gdr_reftransV1_0001226</v>
      </c>
      <c r="B5424" s="2">
        <v>1138</v>
      </c>
      <c r="C5424" s="4" t="str">
        <f>HYPERLINK("http://www.uniprot.org/uniprot/M5XKJ8","M5XKJ8")</f>
        <v>M5XKJ8</v>
      </c>
      <c r="D5424" s="2" t="s">
        <v>4968</v>
      </c>
      <c r="E5424" s="3">
        <v>0</v>
      </c>
      <c r="F5424" s="2">
        <v>1470</v>
      </c>
      <c r="G5424" s="2">
        <v>100</v>
      </c>
      <c r="H5424" s="2">
        <v>287</v>
      </c>
      <c r="I5424" s="2">
        <v>277</v>
      </c>
      <c r="J5424" s="2">
        <v>1137</v>
      </c>
      <c r="K5424" s="2">
        <v>1225</v>
      </c>
      <c r="L5424" s="2">
        <v>1511</v>
      </c>
    </row>
    <row r="5425" spans="1:12" x14ac:dyDescent="0.25">
      <c r="A5425" s="4" t="str">
        <f>HYPERLINK("http://www.rosaceae.org/Prunus/Prunus_persica/p.persica_gdr_reftransV1_0001576","p.persica_gdr_reftransV1_0001576")</f>
        <v>p.persica_gdr_reftransV1_0001576</v>
      </c>
      <c r="B5425" s="2">
        <v>901</v>
      </c>
      <c r="C5425" s="4" t="str">
        <f>HYPERLINK("http://www.uniprot.org/uniprot/M5XRN9","M5XRN9")</f>
        <v>M5XRN9</v>
      </c>
      <c r="D5425" s="2" t="s">
        <v>1357</v>
      </c>
      <c r="E5425" s="3">
        <v>0</v>
      </c>
      <c r="F5425" s="2">
        <v>1562</v>
      </c>
      <c r="G5425" s="2">
        <v>91</v>
      </c>
      <c r="H5425" s="2">
        <v>329</v>
      </c>
      <c r="I5425" s="2">
        <v>3</v>
      </c>
      <c r="J5425" s="2">
        <v>899</v>
      </c>
      <c r="K5425" s="2">
        <v>163</v>
      </c>
      <c r="L5425" s="2">
        <v>491</v>
      </c>
    </row>
    <row r="5426" spans="1:12" x14ac:dyDescent="0.25">
      <c r="A5426" s="4" t="str">
        <f>HYPERLINK("http://www.rosaceae.org/Prunus/Prunus_persica/p.persica_gdr_reftransV1_0001926","p.persica_gdr_reftransV1_0001926")</f>
        <v>p.persica_gdr_reftransV1_0001926</v>
      </c>
      <c r="B5426" s="2">
        <v>490</v>
      </c>
      <c r="C5426" s="4" t="str">
        <f>HYPERLINK("http://www.uniprot.org/uniprot/M5Y084","M5Y084")</f>
        <v>M5Y084</v>
      </c>
      <c r="D5426" s="2" t="s">
        <v>490</v>
      </c>
      <c r="E5426" s="3">
        <v>9.4299999999999997E-78</v>
      </c>
      <c r="F5426" s="2">
        <v>619</v>
      </c>
      <c r="G5426" s="2">
        <v>100</v>
      </c>
      <c r="H5426" s="2">
        <v>121</v>
      </c>
      <c r="I5426" s="2">
        <v>102</v>
      </c>
      <c r="J5426" s="2">
        <v>464</v>
      </c>
      <c r="K5426" s="2">
        <v>1</v>
      </c>
      <c r="L5426" s="2">
        <v>121</v>
      </c>
    </row>
    <row r="5427" spans="1:12" x14ac:dyDescent="0.25">
      <c r="A5427" s="4" t="str">
        <f>HYPERLINK("http://www.rosaceae.org/Prunus/Prunus_persica/p.persica_gdr_reftransV1_0002276","p.persica_gdr_reftransV1_0002276")</f>
        <v>p.persica_gdr_reftransV1_0002276</v>
      </c>
      <c r="B5427" s="2">
        <v>669</v>
      </c>
      <c r="C5427" s="4" t="str">
        <f>HYPERLINK("http://www.uniprot.org/uniprot/M5XMZ6","M5XMZ6")</f>
        <v>M5XMZ6</v>
      </c>
      <c r="D5427" s="2" t="s">
        <v>4260</v>
      </c>
      <c r="E5427" s="3">
        <v>5.2099999999999998E-68</v>
      </c>
      <c r="F5427" s="2">
        <v>551</v>
      </c>
      <c r="G5427" s="2">
        <v>100</v>
      </c>
      <c r="H5427" s="2">
        <v>104</v>
      </c>
      <c r="I5427" s="2">
        <v>91</v>
      </c>
      <c r="J5427" s="2">
        <v>402</v>
      </c>
      <c r="K5427" s="2">
        <v>20</v>
      </c>
      <c r="L5427" s="2">
        <v>123</v>
      </c>
    </row>
    <row r="5428" spans="1:12" x14ac:dyDescent="0.25">
      <c r="A5428" s="4" t="str">
        <f>HYPERLINK("http://www.rosaceae.org/Prunus/Prunus_persica/p.persica_gdr_reftransV1_0003676","p.persica_gdr_reftransV1_0003676")</f>
        <v>p.persica_gdr_reftransV1_0003676</v>
      </c>
      <c r="B5428" s="2">
        <v>1142</v>
      </c>
      <c r="C5428" s="4" t="str">
        <f>HYPERLINK("http://www.uniprot.org/uniprot/M5XB94","M5XB94")</f>
        <v>M5XB94</v>
      </c>
      <c r="D5428" s="2" t="s">
        <v>4969</v>
      </c>
      <c r="E5428" s="3">
        <v>0</v>
      </c>
      <c r="F5428" s="2">
        <v>1540</v>
      </c>
      <c r="G5428" s="2">
        <v>100</v>
      </c>
      <c r="H5428" s="2">
        <v>303</v>
      </c>
      <c r="I5428" s="2">
        <v>1</v>
      </c>
      <c r="J5428" s="2">
        <v>909</v>
      </c>
      <c r="K5428" s="2">
        <v>1</v>
      </c>
      <c r="L5428" s="2">
        <v>303</v>
      </c>
    </row>
    <row r="5429" spans="1:12" x14ac:dyDescent="0.25">
      <c r="A5429" s="4" t="str">
        <f>HYPERLINK("http://www.rosaceae.org/Prunus/Prunus_persica/p.persica_gdr_reftransV1_0004376","p.persica_gdr_reftransV1_0004376")</f>
        <v>p.persica_gdr_reftransV1_0004376</v>
      </c>
      <c r="B5429" s="2">
        <v>974</v>
      </c>
      <c r="C5429" s="4" t="str">
        <f>HYPERLINK("http://www.uniprot.org/uniprot/M5XJR6","M5XJR6")</f>
        <v>M5XJR6</v>
      </c>
      <c r="D5429" s="2" t="s">
        <v>4970</v>
      </c>
      <c r="E5429" s="3">
        <v>0</v>
      </c>
      <c r="F5429" s="2">
        <v>1570</v>
      </c>
      <c r="G5429" s="2">
        <v>100</v>
      </c>
      <c r="H5429" s="2">
        <v>324</v>
      </c>
      <c r="I5429" s="2">
        <v>2</v>
      </c>
      <c r="J5429" s="2">
        <v>973</v>
      </c>
      <c r="K5429" s="2">
        <v>141</v>
      </c>
      <c r="L5429" s="2">
        <v>464</v>
      </c>
    </row>
    <row r="5430" spans="1:12" x14ac:dyDescent="0.25">
      <c r="A5430" s="4" t="str">
        <f>HYPERLINK("http://www.rosaceae.org/Prunus/Prunus_persica/p.persica_gdr_reftransV1_0004726","p.persica_gdr_reftransV1_0004726")</f>
        <v>p.persica_gdr_reftransV1_0004726</v>
      </c>
      <c r="B5430" s="2">
        <v>3166</v>
      </c>
      <c r="C5430" s="4" t="str">
        <f>HYPERLINK("http://www.uniprot.org/uniprot/M5W691","M5W691")</f>
        <v>M5W691</v>
      </c>
      <c r="D5430" s="2" t="s">
        <v>4971</v>
      </c>
      <c r="E5430" s="3">
        <v>0</v>
      </c>
      <c r="F5430" s="2">
        <v>2077</v>
      </c>
      <c r="G5430" s="2">
        <v>91</v>
      </c>
      <c r="H5430" s="2">
        <v>432</v>
      </c>
      <c r="I5430" s="2">
        <v>1175</v>
      </c>
      <c r="J5430" s="2">
        <v>2470</v>
      </c>
      <c r="K5430" s="2">
        <v>153</v>
      </c>
      <c r="L5430" s="2">
        <v>549</v>
      </c>
    </row>
    <row r="5431" spans="1:12" x14ac:dyDescent="0.25">
      <c r="A5431" s="4" t="str">
        <f>HYPERLINK("http://www.rosaceae.org/Prunus/Prunus_persica/p.persica_gdr_reftransV1_0005426","p.persica_gdr_reftransV1_0005426")</f>
        <v>p.persica_gdr_reftransV1_0005426</v>
      </c>
      <c r="B5431" s="2">
        <v>1465</v>
      </c>
      <c r="C5431" s="4" t="str">
        <f>HYPERLINK("http://www.uniprot.org/uniprot/M5WGD9","M5WGD9")</f>
        <v>M5WGD9</v>
      </c>
      <c r="D5431" s="2" t="s">
        <v>4972</v>
      </c>
      <c r="E5431" s="3">
        <v>0</v>
      </c>
      <c r="F5431" s="2">
        <v>1537</v>
      </c>
      <c r="G5431" s="2">
        <v>94</v>
      </c>
      <c r="H5431" s="2">
        <v>310</v>
      </c>
      <c r="I5431" s="2">
        <v>398</v>
      </c>
      <c r="J5431" s="2">
        <v>1327</v>
      </c>
      <c r="K5431" s="2">
        <v>1</v>
      </c>
      <c r="L5431" s="2">
        <v>310</v>
      </c>
    </row>
    <row r="5432" spans="1:12" x14ac:dyDescent="0.25">
      <c r="A5432" s="4" t="str">
        <f>HYPERLINK("http://www.rosaceae.org/Prunus/Prunus_persica/p.persica_gdr_reftransV1_0005776","p.persica_gdr_reftransV1_0005776")</f>
        <v>p.persica_gdr_reftransV1_0005776</v>
      </c>
      <c r="B5432" s="2">
        <v>1400</v>
      </c>
      <c r="C5432" s="4" t="str">
        <f>HYPERLINK("http://www.uniprot.org/uniprot/M5WNS8","M5WNS8")</f>
        <v>M5WNS8</v>
      </c>
      <c r="D5432" s="2" t="s">
        <v>4973</v>
      </c>
      <c r="E5432" s="3">
        <v>3.3900000000000002E-49</v>
      </c>
      <c r="F5432" s="2">
        <v>299</v>
      </c>
      <c r="G5432" s="2">
        <v>99</v>
      </c>
      <c r="H5432" s="2">
        <v>78</v>
      </c>
      <c r="I5432" s="2">
        <v>584</v>
      </c>
      <c r="J5432" s="2">
        <v>817</v>
      </c>
      <c r="K5432" s="2">
        <v>20</v>
      </c>
      <c r="L5432" s="2">
        <v>97</v>
      </c>
    </row>
    <row r="5433" spans="1:12" x14ac:dyDescent="0.25">
      <c r="A5433" s="4" t="str">
        <f>HYPERLINK("http://www.rosaceae.org/Prunus/Prunus_persica/p.persica_gdr_reftransV1_0006126","p.persica_gdr_reftransV1_0006126")</f>
        <v>p.persica_gdr_reftransV1_0006126</v>
      </c>
      <c r="B5433" s="2">
        <v>2231</v>
      </c>
      <c r="C5433" s="4" t="str">
        <f>HYPERLINK("http://www.uniprot.org/uniprot/W9R328","W9R328")</f>
        <v>W9R328</v>
      </c>
      <c r="D5433" s="2" t="s">
        <v>256</v>
      </c>
      <c r="E5433" s="3">
        <v>0</v>
      </c>
      <c r="F5433" s="2">
        <v>2201</v>
      </c>
      <c r="G5433" s="2">
        <v>79</v>
      </c>
      <c r="H5433" s="2">
        <v>539</v>
      </c>
      <c r="I5433" s="2">
        <v>525</v>
      </c>
      <c r="J5433" s="2">
        <v>2141</v>
      </c>
      <c r="K5433" s="2">
        <v>1</v>
      </c>
      <c r="L5433" s="2">
        <v>490</v>
      </c>
    </row>
    <row r="5434" spans="1:12" x14ac:dyDescent="0.25">
      <c r="A5434" s="4" t="str">
        <f>HYPERLINK("http://www.rosaceae.org/Prunus/Prunus_persica/p.persica_gdr_reftransV1_0007176","p.persica_gdr_reftransV1_0007176")</f>
        <v>p.persica_gdr_reftransV1_0007176</v>
      </c>
      <c r="B5434" s="2">
        <v>2021</v>
      </c>
      <c r="C5434" s="4" t="str">
        <f>HYPERLINK("http://www.uniprot.org/uniprot/M5WEC7","M5WEC7")</f>
        <v>M5WEC7</v>
      </c>
      <c r="D5434" s="2" t="s">
        <v>4974</v>
      </c>
      <c r="E5434" s="3">
        <v>9.9299999999999999E-158</v>
      </c>
      <c r="F5434" s="2">
        <v>1203</v>
      </c>
      <c r="G5434" s="2">
        <v>97</v>
      </c>
      <c r="H5434" s="2">
        <v>271</v>
      </c>
      <c r="I5434" s="2">
        <v>116</v>
      </c>
      <c r="J5434" s="2">
        <v>925</v>
      </c>
      <c r="K5434" s="2">
        <v>1</v>
      </c>
      <c r="L5434" s="2">
        <v>269</v>
      </c>
    </row>
    <row r="5435" spans="1:12" x14ac:dyDescent="0.25">
      <c r="A5435" s="4" t="str">
        <f>HYPERLINK("http://www.rosaceae.org/Prunus/Prunus_persica/p.persica_gdr_reftransV1_0007526","p.persica_gdr_reftransV1_0007526")</f>
        <v>p.persica_gdr_reftransV1_0007526</v>
      </c>
      <c r="B5435" s="2">
        <v>2062</v>
      </c>
      <c r="C5435" s="4" t="str">
        <f>HYPERLINK("http://www.uniprot.org/uniprot/M5WPH9","M5WPH9")</f>
        <v>M5WPH9</v>
      </c>
      <c r="D5435" s="2" t="s">
        <v>4975</v>
      </c>
      <c r="E5435" s="3">
        <v>0</v>
      </c>
      <c r="F5435" s="2">
        <v>2987</v>
      </c>
      <c r="G5435" s="2">
        <v>100</v>
      </c>
      <c r="H5435" s="2">
        <v>555</v>
      </c>
      <c r="I5435" s="2">
        <v>53</v>
      </c>
      <c r="J5435" s="2">
        <v>1717</v>
      </c>
      <c r="K5435" s="2">
        <v>1</v>
      </c>
      <c r="L5435" s="2">
        <v>555</v>
      </c>
    </row>
    <row r="5436" spans="1:12" x14ac:dyDescent="0.25">
      <c r="A5436" s="4" t="str">
        <f>HYPERLINK("http://www.rosaceae.org/Prunus/Prunus_persica/p.persica_gdr_reftransV1_0008576","p.persica_gdr_reftransV1_0008576")</f>
        <v>p.persica_gdr_reftransV1_0008576</v>
      </c>
      <c r="B5436" s="2">
        <v>2692</v>
      </c>
      <c r="C5436" s="4" t="str">
        <f>HYPERLINK("http://www.uniprot.org/uniprot/M5XDU9","M5XDU9")</f>
        <v>M5XDU9</v>
      </c>
      <c r="D5436" s="2" t="s">
        <v>944</v>
      </c>
      <c r="E5436" s="3">
        <v>7.9099999999999997E-137</v>
      </c>
      <c r="F5436" s="2">
        <v>1094</v>
      </c>
      <c r="G5436" s="2">
        <v>97</v>
      </c>
      <c r="H5436" s="2">
        <v>222</v>
      </c>
      <c r="I5436" s="2">
        <v>1764</v>
      </c>
      <c r="J5436" s="2">
        <v>2429</v>
      </c>
      <c r="K5436" s="2">
        <v>177</v>
      </c>
      <c r="L5436" s="2">
        <v>398</v>
      </c>
    </row>
    <row r="5437" spans="1:12" x14ac:dyDescent="0.25">
      <c r="A5437" s="4" t="str">
        <f>HYPERLINK("http://www.rosaceae.org/Prunus/Prunus_persica/p.persica_gdr_reftransV1_0008926","p.persica_gdr_reftransV1_0008926")</f>
        <v>p.persica_gdr_reftransV1_0008926</v>
      </c>
      <c r="B5437" s="2">
        <v>3194</v>
      </c>
      <c r="C5437" s="4" t="str">
        <f>HYPERLINK("http://www.uniprot.org/uniprot/M5W8A2","M5W8A2")</f>
        <v>M5W8A2</v>
      </c>
      <c r="D5437" s="2" t="s">
        <v>4976</v>
      </c>
      <c r="E5437" s="3">
        <v>0</v>
      </c>
      <c r="F5437" s="2">
        <v>3616</v>
      </c>
      <c r="G5437" s="2">
        <v>100</v>
      </c>
      <c r="H5437" s="2">
        <v>730</v>
      </c>
      <c r="I5437" s="2">
        <v>425</v>
      </c>
      <c r="J5437" s="2">
        <v>2614</v>
      </c>
      <c r="K5437" s="2">
        <v>67</v>
      </c>
      <c r="L5437" s="2">
        <v>796</v>
      </c>
    </row>
    <row r="5438" spans="1:12" x14ac:dyDescent="0.25">
      <c r="A5438" s="4" t="str">
        <f>HYPERLINK("http://www.rosaceae.org/Prunus/Prunus_persica/p.persica_gdr_reftransV1_0009276","p.persica_gdr_reftransV1_0009276")</f>
        <v>p.persica_gdr_reftransV1_0009276</v>
      </c>
      <c r="B5438" s="2">
        <v>1855</v>
      </c>
      <c r="C5438" s="4" t="str">
        <f>HYPERLINK("http://www.uniprot.org/uniprot/M5VVH8","M5VVH8")</f>
        <v>M5VVH8</v>
      </c>
      <c r="D5438" s="2" t="s">
        <v>4977</v>
      </c>
      <c r="E5438" s="3">
        <v>0</v>
      </c>
      <c r="F5438" s="2">
        <v>2436</v>
      </c>
      <c r="G5438" s="2">
        <v>100</v>
      </c>
      <c r="H5438" s="2">
        <v>477</v>
      </c>
      <c r="I5438" s="2">
        <v>305</v>
      </c>
      <c r="J5438" s="2">
        <v>1735</v>
      </c>
      <c r="K5438" s="2">
        <v>1</v>
      </c>
      <c r="L5438" s="2">
        <v>477</v>
      </c>
    </row>
    <row r="5439" spans="1:12" x14ac:dyDescent="0.25">
      <c r="A5439" s="4" t="str">
        <f>HYPERLINK("http://www.rosaceae.org/Prunus/Prunus_persica/p.persica_gdr_reftransV1_0009626","p.persica_gdr_reftransV1_0009626")</f>
        <v>p.persica_gdr_reftransV1_0009626</v>
      </c>
      <c r="B5439" s="2">
        <v>4393</v>
      </c>
      <c r="C5439" s="4" t="str">
        <f>HYPERLINK("http://www.uniprot.org/uniprot/M5WXZ1","M5WXZ1")</f>
        <v>M5WXZ1</v>
      </c>
      <c r="D5439" s="2" t="s">
        <v>4978</v>
      </c>
      <c r="E5439" s="3">
        <v>0</v>
      </c>
      <c r="F5439" s="2">
        <v>6082</v>
      </c>
      <c r="G5439" s="2">
        <v>100</v>
      </c>
      <c r="H5439" s="2">
        <v>1198</v>
      </c>
      <c r="I5439" s="2">
        <v>470</v>
      </c>
      <c r="J5439" s="2">
        <v>4063</v>
      </c>
      <c r="K5439" s="2">
        <v>1</v>
      </c>
      <c r="L5439" s="2">
        <v>1198</v>
      </c>
    </row>
    <row r="5440" spans="1:12" x14ac:dyDescent="0.25">
      <c r="A5440" s="4" t="str">
        <f>HYPERLINK("http://www.rosaceae.org/Prunus/Prunus_persica/p.persica_gdr_reftransV1_0009976","p.persica_gdr_reftransV1_0009976")</f>
        <v>p.persica_gdr_reftransV1_0009976</v>
      </c>
      <c r="B5440" s="2">
        <v>1905</v>
      </c>
      <c r="C5440" s="4" t="str">
        <f>HYPERLINK("http://www.uniprot.org/uniprot/M5XHG2","M5XHG2")</f>
        <v>M5XHG2</v>
      </c>
      <c r="D5440" s="2" t="s">
        <v>4113</v>
      </c>
      <c r="E5440" s="3">
        <v>0</v>
      </c>
      <c r="F5440" s="2">
        <v>3060</v>
      </c>
      <c r="G5440" s="2">
        <v>98</v>
      </c>
      <c r="H5440" s="2">
        <v>595</v>
      </c>
      <c r="I5440" s="2">
        <v>94</v>
      </c>
      <c r="J5440" s="2">
        <v>1878</v>
      </c>
      <c r="K5440" s="2">
        <v>1</v>
      </c>
      <c r="L5440" s="2">
        <v>595</v>
      </c>
    </row>
    <row r="5441" spans="1:12" x14ac:dyDescent="0.25">
      <c r="A5441" s="4" t="str">
        <f>HYPERLINK("http://www.rosaceae.org/Prunus/Prunus_persica/p.persica_gdr_reftransV1_0011026","p.persica_gdr_reftransV1_0011026")</f>
        <v>p.persica_gdr_reftransV1_0011026</v>
      </c>
      <c r="B5441" s="2">
        <v>3338</v>
      </c>
      <c r="C5441" s="4" t="str">
        <f>HYPERLINK("http://www.uniprot.org/uniprot/M5XKA6","M5XKA6")</f>
        <v>M5XKA6</v>
      </c>
      <c r="D5441" s="2" t="s">
        <v>4979</v>
      </c>
      <c r="E5441" s="3">
        <v>0</v>
      </c>
      <c r="F5441" s="2">
        <v>2686</v>
      </c>
      <c r="G5441" s="2">
        <v>100</v>
      </c>
      <c r="H5441" s="2">
        <v>508</v>
      </c>
      <c r="I5441" s="2">
        <v>122</v>
      </c>
      <c r="J5441" s="2">
        <v>1645</v>
      </c>
      <c r="K5441" s="2">
        <v>1</v>
      </c>
      <c r="L5441" s="2">
        <v>508</v>
      </c>
    </row>
    <row r="5442" spans="1:12" x14ac:dyDescent="0.25">
      <c r="A5442" s="4" t="str">
        <f>HYPERLINK("http://www.rosaceae.org/Prunus/Prunus_persica/p.persica_gdr_reftransV1_0011726","p.persica_gdr_reftransV1_0011726")</f>
        <v>p.persica_gdr_reftransV1_0011726</v>
      </c>
      <c r="B5442" s="2">
        <v>1019</v>
      </c>
      <c r="C5442" s="4" t="str">
        <f>HYPERLINK("http://www.uniprot.org/uniprot/M5WBL6","M5WBL6")</f>
        <v>M5WBL6</v>
      </c>
      <c r="D5442" s="2" t="s">
        <v>4913</v>
      </c>
      <c r="E5442" s="3">
        <v>1.15E-82</v>
      </c>
      <c r="F5442" s="2">
        <v>671</v>
      </c>
      <c r="G5442" s="2">
        <v>100</v>
      </c>
      <c r="H5442" s="2">
        <v>209</v>
      </c>
      <c r="I5442" s="2">
        <v>391</v>
      </c>
      <c r="J5442" s="2">
        <v>1017</v>
      </c>
      <c r="K5442" s="2">
        <v>45</v>
      </c>
      <c r="L5442" s="2">
        <v>253</v>
      </c>
    </row>
    <row r="5443" spans="1:12" x14ac:dyDescent="0.25">
      <c r="A5443" s="4" t="str">
        <f>HYPERLINK("http://www.rosaceae.org/Prunus/Prunus_persica/p.persica_gdr_reftransV1_0012076","p.persica_gdr_reftransV1_0012076")</f>
        <v>p.persica_gdr_reftransV1_0012076</v>
      </c>
      <c r="B5443" s="2">
        <v>1366</v>
      </c>
      <c r="C5443" s="4" t="str">
        <f>HYPERLINK("http://www.uniprot.org/uniprot/M5W0D6","M5W0D6")</f>
        <v>M5W0D6</v>
      </c>
      <c r="D5443" s="2" t="s">
        <v>4051</v>
      </c>
      <c r="E5443" s="3">
        <v>5.8100000000000001E-164</v>
      </c>
      <c r="F5443" s="2">
        <v>1228</v>
      </c>
      <c r="G5443" s="2">
        <v>100</v>
      </c>
      <c r="H5443" s="2">
        <v>264</v>
      </c>
      <c r="I5443" s="2">
        <v>196</v>
      </c>
      <c r="J5443" s="2">
        <v>987</v>
      </c>
      <c r="K5443" s="2">
        <v>57</v>
      </c>
      <c r="L5443" s="2">
        <v>320</v>
      </c>
    </row>
    <row r="5444" spans="1:12" x14ac:dyDescent="0.25">
      <c r="A5444" s="4" t="str">
        <f>HYPERLINK("http://www.rosaceae.org/Prunus/Prunus_persica/p.persica_gdr_reftransV1_0012426","p.persica_gdr_reftransV1_0012426")</f>
        <v>p.persica_gdr_reftransV1_0012426</v>
      </c>
      <c r="B5444" s="2">
        <v>711</v>
      </c>
      <c r="C5444" s="4" t="str">
        <f>HYPERLINK("http://www.uniprot.org/uniprot/M5VR28","M5VR28")</f>
        <v>M5VR28</v>
      </c>
      <c r="D5444" s="2" t="s">
        <v>4980</v>
      </c>
      <c r="E5444" s="3">
        <v>1.47E-103</v>
      </c>
      <c r="F5444" s="2">
        <v>796</v>
      </c>
      <c r="G5444" s="2">
        <v>100</v>
      </c>
      <c r="H5444" s="2">
        <v>181</v>
      </c>
      <c r="I5444" s="2">
        <v>115</v>
      </c>
      <c r="J5444" s="2">
        <v>657</v>
      </c>
      <c r="K5444" s="2">
        <v>1</v>
      </c>
      <c r="L5444" s="2">
        <v>181</v>
      </c>
    </row>
    <row r="5445" spans="1:12" x14ac:dyDescent="0.25">
      <c r="A5445" s="4" t="str">
        <f>HYPERLINK("http://www.rosaceae.org/Prunus/Prunus_persica/p.persica_gdr_reftransV1_0013476","p.persica_gdr_reftransV1_0013476")</f>
        <v>p.persica_gdr_reftransV1_0013476</v>
      </c>
      <c r="B5445" s="2">
        <v>833</v>
      </c>
      <c r="C5445" s="4" t="str">
        <f>HYPERLINK("http://www.uniprot.org/uniprot/M5WB24","M5WB24")</f>
        <v>M5WB24</v>
      </c>
      <c r="D5445" s="2" t="s">
        <v>2207</v>
      </c>
      <c r="E5445" s="3">
        <v>6.47E-125</v>
      </c>
      <c r="F5445" s="2">
        <v>954</v>
      </c>
      <c r="G5445" s="2">
        <v>100</v>
      </c>
      <c r="H5445" s="2">
        <v>175</v>
      </c>
      <c r="I5445" s="2">
        <v>307</v>
      </c>
      <c r="J5445" s="2">
        <v>831</v>
      </c>
      <c r="K5445" s="2">
        <v>180</v>
      </c>
      <c r="L5445" s="2">
        <v>354</v>
      </c>
    </row>
    <row r="5446" spans="1:12" x14ac:dyDescent="0.25">
      <c r="A5446" s="4" t="str">
        <f>HYPERLINK("http://www.rosaceae.org/Prunus/Prunus_persica/p.persica_gdr_reftransV1_0013826","p.persica_gdr_reftransV1_0013826")</f>
        <v>p.persica_gdr_reftransV1_0013826</v>
      </c>
      <c r="B5446" s="2">
        <v>1008</v>
      </c>
      <c r="C5446" s="4" t="str">
        <f>HYPERLINK("http://www.uniprot.org/uniprot/M5XT88","M5XT88")</f>
        <v>M5XT88</v>
      </c>
      <c r="D5446" s="2" t="s">
        <v>4981</v>
      </c>
      <c r="E5446" s="3">
        <v>3.1100000000000001E-116</v>
      </c>
      <c r="F5446" s="2">
        <v>885</v>
      </c>
      <c r="G5446" s="2">
        <v>100</v>
      </c>
      <c r="H5446" s="2">
        <v>169</v>
      </c>
      <c r="I5446" s="2">
        <v>430</v>
      </c>
      <c r="J5446" s="2">
        <v>936</v>
      </c>
      <c r="K5446" s="2">
        <v>1</v>
      </c>
      <c r="L5446" s="2">
        <v>169</v>
      </c>
    </row>
    <row r="5447" spans="1:12" x14ac:dyDescent="0.25">
      <c r="A5447" s="4" t="str">
        <f>HYPERLINK("http://www.rosaceae.org/Prunus/Prunus_persica/p.persica_gdr_reftransV1_0014876","p.persica_gdr_reftransV1_0014876")</f>
        <v>p.persica_gdr_reftransV1_0014876</v>
      </c>
      <c r="B5447" s="2">
        <v>567</v>
      </c>
      <c r="C5447" s="4" t="str">
        <f>HYPERLINK("http://www.uniprot.org/uniprot/M5W5A5","M5W5A5")</f>
        <v>M5W5A5</v>
      </c>
      <c r="D5447" s="2" t="s">
        <v>4982</v>
      </c>
      <c r="E5447" s="3">
        <v>1.3499999999999999E-91</v>
      </c>
      <c r="F5447" s="2">
        <v>744</v>
      </c>
      <c r="G5447" s="2">
        <v>86</v>
      </c>
      <c r="H5447" s="2">
        <v>202</v>
      </c>
      <c r="I5447" s="2">
        <v>3</v>
      </c>
      <c r="J5447" s="2">
        <v>566</v>
      </c>
      <c r="K5447" s="2">
        <v>255</v>
      </c>
      <c r="L5447" s="2">
        <v>456</v>
      </c>
    </row>
    <row r="5448" spans="1:12" x14ac:dyDescent="0.25">
      <c r="A5448" s="4" t="str">
        <f>HYPERLINK("http://www.rosaceae.org/Prunus/Prunus_persica/p.persica_gdr_reftransV1_0015226","p.persica_gdr_reftransV1_0015226")</f>
        <v>p.persica_gdr_reftransV1_0015226</v>
      </c>
      <c r="B5448" s="2">
        <v>1127</v>
      </c>
      <c r="C5448" s="4" t="str">
        <f>HYPERLINK("http://www.uniprot.org/uniprot/M5WAV5","M5WAV5")</f>
        <v>M5WAV5</v>
      </c>
      <c r="D5448" s="2" t="s">
        <v>4983</v>
      </c>
      <c r="E5448" s="3">
        <v>2.8099999999999998E-110</v>
      </c>
      <c r="F5448" s="2">
        <v>851</v>
      </c>
      <c r="G5448" s="2">
        <v>100</v>
      </c>
      <c r="H5448" s="2">
        <v>175</v>
      </c>
      <c r="I5448" s="2">
        <v>134</v>
      </c>
      <c r="J5448" s="2">
        <v>658</v>
      </c>
      <c r="K5448" s="2">
        <v>1</v>
      </c>
      <c r="L5448" s="2">
        <v>175</v>
      </c>
    </row>
    <row r="5449" spans="1:12" x14ac:dyDescent="0.25">
      <c r="A5449" s="4" t="str">
        <f>HYPERLINK("http://www.rosaceae.org/Prunus/Prunus_persica/p.persica_gdr_reftransV1_0016626","p.persica_gdr_reftransV1_0016626")</f>
        <v>p.persica_gdr_reftransV1_0016626</v>
      </c>
      <c r="B5449" s="2">
        <v>2110</v>
      </c>
      <c r="C5449" s="4" t="str">
        <f>HYPERLINK("http://www.uniprot.org/uniprot/M5XFQ9","M5XFQ9")</f>
        <v>M5XFQ9</v>
      </c>
      <c r="D5449" s="2" t="s">
        <v>4984</v>
      </c>
      <c r="E5449" s="3">
        <v>0</v>
      </c>
      <c r="F5449" s="2">
        <v>2889</v>
      </c>
      <c r="G5449" s="2">
        <v>97</v>
      </c>
      <c r="H5449" s="2">
        <v>607</v>
      </c>
      <c r="I5449" s="2">
        <v>2</v>
      </c>
      <c r="J5449" s="2">
        <v>1822</v>
      </c>
      <c r="K5449" s="2">
        <v>332</v>
      </c>
      <c r="L5449" s="2">
        <v>927</v>
      </c>
    </row>
    <row r="5450" spans="1:12" x14ac:dyDescent="0.25">
      <c r="A5450" s="4" t="str">
        <f>HYPERLINK("http://www.rosaceae.org/Prunus/Prunus_persica/p.persica_gdr_reftransV1_0017326","p.persica_gdr_reftransV1_0017326")</f>
        <v>p.persica_gdr_reftransV1_0017326</v>
      </c>
      <c r="B5450" s="2">
        <v>3063</v>
      </c>
      <c r="C5450" s="4" t="str">
        <f>HYPERLINK("http://www.uniprot.org/uniprot/M5X6C0","M5X6C0")</f>
        <v>M5X6C0</v>
      </c>
      <c r="D5450" s="2" t="s">
        <v>4985</v>
      </c>
      <c r="E5450" s="3">
        <v>0</v>
      </c>
      <c r="F5450" s="2">
        <v>2201</v>
      </c>
      <c r="G5450" s="2">
        <v>93</v>
      </c>
      <c r="H5450" s="2">
        <v>503</v>
      </c>
      <c r="I5450" s="2">
        <v>1525</v>
      </c>
      <c r="J5450" s="2">
        <v>3030</v>
      </c>
      <c r="K5450" s="2">
        <v>346</v>
      </c>
      <c r="L5450" s="2">
        <v>820</v>
      </c>
    </row>
    <row r="5451" spans="1:12" x14ac:dyDescent="0.25">
      <c r="A5451" s="4" t="str">
        <f>HYPERLINK("http://www.rosaceae.org/Prunus/Prunus_persica/p.persica_gdr_reftransV1_0017676","p.persica_gdr_reftransV1_0017676")</f>
        <v>p.persica_gdr_reftransV1_0017676</v>
      </c>
      <c r="B5451" s="2">
        <v>479</v>
      </c>
      <c r="C5451" s="4" t="str">
        <f>HYPERLINK("http://www.uniprot.org/uniprot/M5XKH8","M5XKH8")</f>
        <v>M5XKH8</v>
      </c>
      <c r="D5451" s="2" t="s">
        <v>4986</v>
      </c>
      <c r="E5451" s="3">
        <v>7.3900000000000007E-8</v>
      </c>
      <c r="F5451" s="2">
        <v>145</v>
      </c>
      <c r="G5451" s="2">
        <v>52</v>
      </c>
      <c r="H5451" s="2">
        <v>75</v>
      </c>
      <c r="I5451" s="2">
        <v>236</v>
      </c>
      <c r="J5451" s="2">
        <v>436</v>
      </c>
      <c r="K5451" s="2">
        <v>330</v>
      </c>
      <c r="L5451" s="2">
        <v>404</v>
      </c>
    </row>
    <row r="5452" spans="1:12" x14ac:dyDescent="0.25">
      <c r="A5452" s="4" t="str">
        <f>HYPERLINK("http://www.rosaceae.org/Prunus/Prunus_persica/p.persica_gdr_reftransV1_0018726","p.persica_gdr_reftransV1_0018726")</f>
        <v>p.persica_gdr_reftransV1_0018726</v>
      </c>
      <c r="B5452" s="2">
        <v>1084</v>
      </c>
      <c r="C5452" s="4" t="str">
        <f>HYPERLINK("http://www.uniprot.org/uniprot/M5VR02","M5VR02")</f>
        <v>M5VR02</v>
      </c>
      <c r="D5452" s="2" t="s">
        <v>4987</v>
      </c>
      <c r="E5452" s="3">
        <v>5.1300000000000002E-153</v>
      </c>
      <c r="F5452" s="2">
        <v>1137</v>
      </c>
      <c r="G5452" s="2">
        <v>100</v>
      </c>
      <c r="H5452" s="2">
        <v>230</v>
      </c>
      <c r="I5452" s="2">
        <v>148</v>
      </c>
      <c r="J5452" s="2">
        <v>837</v>
      </c>
      <c r="K5452" s="2">
        <v>1</v>
      </c>
      <c r="L5452" s="2">
        <v>230</v>
      </c>
    </row>
    <row r="5453" spans="1:12" x14ac:dyDescent="0.25">
      <c r="A5453" s="4" t="str">
        <f>HYPERLINK("http://www.rosaceae.org/Prunus/Prunus_persica/p.persica_gdr_reftransV1_0020126","p.persica_gdr_reftransV1_0020126")</f>
        <v>p.persica_gdr_reftransV1_0020126</v>
      </c>
      <c r="B5453" s="2">
        <v>1045</v>
      </c>
      <c r="C5453" s="4" t="str">
        <f>HYPERLINK("http://www.uniprot.org/uniprot/M5X6D2","M5X6D2")</f>
        <v>M5X6D2</v>
      </c>
      <c r="D5453" s="2" t="s">
        <v>4988</v>
      </c>
      <c r="E5453" s="3">
        <v>9.1799999999999995E-77</v>
      </c>
      <c r="F5453" s="2">
        <v>631</v>
      </c>
      <c r="G5453" s="2">
        <v>100</v>
      </c>
      <c r="H5453" s="2">
        <v>122</v>
      </c>
      <c r="I5453" s="2">
        <v>410</v>
      </c>
      <c r="J5453" s="2">
        <v>775</v>
      </c>
      <c r="K5453" s="2">
        <v>116</v>
      </c>
      <c r="L5453" s="2">
        <v>237</v>
      </c>
    </row>
    <row r="5454" spans="1:12" x14ac:dyDescent="0.25">
      <c r="A5454" s="4" t="str">
        <f>HYPERLINK("http://www.rosaceae.org/Prunus/Prunus_persica/p.persica_gdr_reftransV1_0020476","p.persica_gdr_reftransV1_0020476")</f>
        <v>p.persica_gdr_reftransV1_0020476</v>
      </c>
      <c r="B5454" s="2">
        <v>1569</v>
      </c>
      <c r="C5454" s="4" t="str">
        <f>HYPERLINK("http://www.uniprot.org/uniprot/M5XDZ2","M5XDZ2")</f>
        <v>M5XDZ2</v>
      </c>
      <c r="D5454" s="2" t="s">
        <v>4989</v>
      </c>
      <c r="E5454" s="3">
        <v>0</v>
      </c>
      <c r="F5454" s="2">
        <v>1693</v>
      </c>
      <c r="G5454" s="2">
        <v>100</v>
      </c>
      <c r="H5454" s="2">
        <v>340</v>
      </c>
      <c r="I5454" s="2">
        <v>331</v>
      </c>
      <c r="J5454" s="2">
        <v>1350</v>
      </c>
      <c r="K5454" s="2">
        <v>1</v>
      </c>
      <c r="L5454" s="2">
        <v>340</v>
      </c>
    </row>
    <row r="5455" spans="1:12" x14ac:dyDescent="0.25">
      <c r="A5455" s="4" t="str">
        <f>HYPERLINK("http://www.rosaceae.org/Prunus/Prunus_persica/p.persica_gdr_reftransV1_0020826","p.persica_gdr_reftransV1_0020826")</f>
        <v>p.persica_gdr_reftransV1_0020826</v>
      </c>
      <c r="B5455" s="2">
        <v>1489</v>
      </c>
      <c r="C5455" s="4" t="str">
        <f>HYPERLINK("http://www.uniprot.org/uniprot/M5WBU2","M5WBU2")</f>
        <v>M5WBU2</v>
      </c>
      <c r="D5455" s="2" t="s">
        <v>4990</v>
      </c>
      <c r="E5455" s="3">
        <v>0</v>
      </c>
      <c r="F5455" s="2">
        <v>2191</v>
      </c>
      <c r="G5455" s="2">
        <v>100</v>
      </c>
      <c r="H5455" s="2">
        <v>412</v>
      </c>
      <c r="I5455" s="2">
        <v>130</v>
      </c>
      <c r="J5455" s="2">
        <v>1365</v>
      </c>
      <c r="K5455" s="2">
        <v>1</v>
      </c>
      <c r="L5455" s="2">
        <v>412</v>
      </c>
    </row>
    <row r="5456" spans="1:12" x14ac:dyDescent="0.25">
      <c r="A5456" s="4" t="str">
        <f>HYPERLINK("http://www.rosaceae.org/Prunus/Prunus_persica/p.persica_gdr_reftransV1_0022226","p.persica_gdr_reftransV1_0022226")</f>
        <v>p.persica_gdr_reftransV1_0022226</v>
      </c>
      <c r="B5456" s="2">
        <v>946</v>
      </c>
      <c r="C5456" s="4" t="str">
        <f>HYPERLINK("http://www.uniprot.org/uniprot/M5WBM6","M5WBM6")</f>
        <v>M5WBM6</v>
      </c>
      <c r="D5456" s="2" t="s">
        <v>4991</v>
      </c>
      <c r="E5456" s="3">
        <v>2.3599999999999999E-126</v>
      </c>
      <c r="F5456" s="2">
        <v>958</v>
      </c>
      <c r="G5456" s="2">
        <v>100</v>
      </c>
      <c r="H5456" s="2">
        <v>194</v>
      </c>
      <c r="I5456" s="2">
        <v>365</v>
      </c>
      <c r="J5456" s="2">
        <v>946</v>
      </c>
      <c r="K5456" s="2">
        <v>56</v>
      </c>
      <c r="L5456" s="2">
        <v>249</v>
      </c>
    </row>
    <row r="5457" spans="1:12" x14ac:dyDescent="0.25">
      <c r="A5457" s="4" t="str">
        <f>HYPERLINK("http://www.rosaceae.org/Prunus/Prunus_persica/p.persica_gdr_reftransV1_0022926","p.persica_gdr_reftransV1_0022926")</f>
        <v>p.persica_gdr_reftransV1_0022926</v>
      </c>
      <c r="B5457" s="2">
        <v>3889</v>
      </c>
      <c r="C5457" s="4" t="str">
        <f>HYPERLINK("http://www.uniprot.org/uniprot/M5W880","M5W880")</f>
        <v>M5W880</v>
      </c>
      <c r="D5457" s="2" t="s">
        <v>4992</v>
      </c>
      <c r="E5457" s="3">
        <v>0</v>
      </c>
      <c r="F5457" s="2">
        <v>4989</v>
      </c>
      <c r="G5457" s="2">
        <v>100</v>
      </c>
      <c r="H5457" s="2">
        <v>926</v>
      </c>
      <c r="I5457" s="2">
        <v>738</v>
      </c>
      <c r="J5457" s="2">
        <v>3515</v>
      </c>
      <c r="K5457" s="2">
        <v>1</v>
      </c>
      <c r="L5457" s="2">
        <v>926</v>
      </c>
    </row>
    <row r="5458" spans="1:12" x14ac:dyDescent="0.25">
      <c r="A5458" s="4" t="str">
        <f>HYPERLINK("http://www.rosaceae.org/Prunus/Prunus_persica/p.persica_gdr_reftransV1_0023976","p.persica_gdr_reftransV1_0023976")</f>
        <v>p.persica_gdr_reftransV1_0023976</v>
      </c>
      <c r="B5458" s="2">
        <v>2719</v>
      </c>
      <c r="C5458" s="4" t="str">
        <f>HYPERLINK("http://www.uniprot.org/uniprot/M5W496","M5W496")</f>
        <v>M5W496</v>
      </c>
      <c r="D5458" s="2" t="s">
        <v>4993</v>
      </c>
      <c r="E5458" s="3">
        <v>0</v>
      </c>
      <c r="F5458" s="2">
        <v>1667</v>
      </c>
      <c r="G5458" s="2">
        <v>88</v>
      </c>
      <c r="H5458" s="2">
        <v>363</v>
      </c>
      <c r="I5458" s="2">
        <v>1229</v>
      </c>
      <c r="J5458" s="2">
        <v>2317</v>
      </c>
      <c r="K5458" s="2">
        <v>1</v>
      </c>
      <c r="L5458" s="2">
        <v>322</v>
      </c>
    </row>
    <row r="5459" spans="1:12" x14ac:dyDescent="0.25">
      <c r="A5459" s="4" t="str">
        <f>HYPERLINK("http://www.rosaceae.org/Prunus/Prunus_persica/p.persica_gdr_reftransV1_0026076","p.persica_gdr_reftransV1_0026076")</f>
        <v>p.persica_gdr_reftransV1_0026076</v>
      </c>
      <c r="B5459" s="2">
        <v>487</v>
      </c>
      <c r="C5459" s="4" t="str">
        <f>HYPERLINK("http://www.uniprot.org/uniprot/M5XLK3","M5XLK3")</f>
        <v>M5XLK3</v>
      </c>
      <c r="D5459" s="2" t="s">
        <v>2727</v>
      </c>
      <c r="E5459" s="3">
        <v>2.4300000000000001E-96</v>
      </c>
      <c r="F5459" s="2">
        <v>772</v>
      </c>
      <c r="G5459" s="2">
        <v>100</v>
      </c>
      <c r="H5459" s="2">
        <v>142</v>
      </c>
      <c r="I5459" s="2">
        <v>61</v>
      </c>
      <c r="J5459" s="2">
        <v>486</v>
      </c>
      <c r="K5459" s="2">
        <v>1</v>
      </c>
      <c r="L5459" s="2">
        <v>142</v>
      </c>
    </row>
    <row r="5460" spans="1:12" x14ac:dyDescent="0.25">
      <c r="A5460" s="4" t="str">
        <f>HYPERLINK("http://www.rosaceae.org/Prunus/Prunus_persica/p.persica_gdr_reftransV1_0026426","p.persica_gdr_reftransV1_0026426")</f>
        <v>p.persica_gdr_reftransV1_0026426</v>
      </c>
      <c r="B5460" s="2">
        <v>2777</v>
      </c>
      <c r="C5460" s="4" t="str">
        <f>HYPERLINK("http://www.uniprot.org/uniprot/M5WRX9","M5WRX9")</f>
        <v>M5WRX9</v>
      </c>
      <c r="D5460" s="2" t="s">
        <v>4994</v>
      </c>
      <c r="E5460" s="3">
        <v>0</v>
      </c>
      <c r="F5460" s="2">
        <v>2385</v>
      </c>
      <c r="G5460" s="2">
        <v>94</v>
      </c>
      <c r="H5460" s="2">
        <v>483</v>
      </c>
      <c r="I5460" s="2">
        <v>709</v>
      </c>
      <c r="J5460" s="2">
        <v>2157</v>
      </c>
      <c r="K5460" s="2">
        <v>1</v>
      </c>
      <c r="L5460" s="2">
        <v>455</v>
      </c>
    </row>
    <row r="5461" spans="1:12" x14ac:dyDescent="0.25">
      <c r="A5461" s="4" t="str">
        <f>HYPERLINK("http://www.rosaceae.org/Prunus/Prunus_persica/p.persica_gdr_reftransV1_0027126","p.persica_gdr_reftransV1_0027126")</f>
        <v>p.persica_gdr_reftransV1_0027126</v>
      </c>
      <c r="B5461" s="2">
        <v>889</v>
      </c>
      <c r="C5461" s="4" t="str">
        <f>HYPERLINK("http://www.uniprot.org/uniprot/M5WZ77","M5WZ77")</f>
        <v>M5WZ77</v>
      </c>
      <c r="D5461" s="2" t="s">
        <v>4995</v>
      </c>
      <c r="E5461" s="3">
        <v>5.5599999999999999E-169</v>
      </c>
      <c r="F5461" s="2">
        <v>1246</v>
      </c>
      <c r="G5461" s="2">
        <v>100</v>
      </c>
      <c r="H5461" s="2">
        <v>246</v>
      </c>
      <c r="I5461" s="2">
        <v>150</v>
      </c>
      <c r="J5461" s="2">
        <v>887</v>
      </c>
      <c r="K5461" s="2">
        <v>92</v>
      </c>
      <c r="L5461" s="2">
        <v>337</v>
      </c>
    </row>
    <row r="5462" spans="1:12" x14ac:dyDescent="0.25">
      <c r="A5462" s="4" t="str">
        <f>HYPERLINK("http://www.rosaceae.org/Prunus/Prunus_persica/p.persica_gdr_reftransV1_0029576","p.persica_gdr_reftransV1_0029576")</f>
        <v>p.persica_gdr_reftransV1_0029576</v>
      </c>
      <c r="B5462" s="2">
        <v>2693</v>
      </c>
      <c r="C5462" s="4" t="str">
        <f>HYPERLINK("http://www.uniprot.org/uniprot/M5XX94","M5XX94")</f>
        <v>M5XX94</v>
      </c>
      <c r="D5462" s="2" t="s">
        <v>4996</v>
      </c>
      <c r="E5462" s="3">
        <v>0</v>
      </c>
      <c r="F5462" s="2">
        <v>3539</v>
      </c>
      <c r="G5462" s="2">
        <v>100</v>
      </c>
      <c r="H5462" s="2">
        <v>678</v>
      </c>
      <c r="I5462" s="2">
        <v>493</v>
      </c>
      <c r="J5462" s="2">
        <v>2526</v>
      </c>
      <c r="K5462" s="2">
        <v>1</v>
      </c>
      <c r="L5462" s="2">
        <v>678</v>
      </c>
    </row>
    <row r="5463" spans="1:12" x14ac:dyDescent="0.25">
      <c r="A5463" s="4" t="str">
        <f>HYPERLINK("http://www.rosaceae.org/Prunus/Prunus_persica/p.persica_gdr_reftransV1_0031326","p.persica_gdr_reftransV1_0031326")</f>
        <v>p.persica_gdr_reftransV1_0031326</v>
      </c>
      <c r="B5463" s="2">
        <v>2501</v>
      </c>
      <c r="C5463" s="4" t="str">
        <f>HYPERLINK("http://www.uniprot.org/uniprot/M5X8E5","M5X8E5")</f>
        <v>M5X8E5</v>
      </c>
      <c r="D5463" s="2" t="s">
        <v>4997</v>
      </c>
      <c r="E5463" s="3">
        <v>0</v>
      </c>
      <c r="F5463" s="2">
        <v>2794</v>
      </c>
      <c r="G5463" s="2">
        <v>100</v>
      </c>
      <c r="H5463" s="2">
        <v>620</v>
      </c>
      <c r="I5463" s="2">
        <v>192</v>
      </c>
      <c r="J5463" s="2">
        <v>2051</v>
      </c>
      <c r="K5463" s="2">
        <v>1</v>
      </c>
      <c r="L5463" s="2">
        <v>620</v>
      </c>
    </row>
    <row r="5464" spans="1:12" x14ac:dyDescent="0.25">
      <c r="A5464" s="4" t="str">
        <f>HYPERLINK("http://www.rosaceae.org/Prunus/Prunus_persica/p.persica_gdr_reftransV1_0032376","p.persica_gdr_reftransV1_0032376")</f>
        <v>p.persica_gdr_reftransV1_0032376</v>
      </c>
      <c r="B5464" s="2">
        <v>2033</v>
      </c>
      <c r="C5464" s="4" t="str">
        <f>HYPERLINK("http://www.uniprot.org/uniprot/M5W1Y0","M5W1Y0")</f>
        <v>M5W1Y0</v>
      </c>
      <c r="D5464" s="2" t="s">
        <v>4998</v>
      </c>
      <c r="E5464" s="3">
        <v>8.6799999999999998E-139</v>
      </c>
      <c r="F5464" s="2">
        <v>1096</v>
      </c>
      <c r="G5464" s="2">
        <v>100</v>
      </c>
      <c r="H5464" s="2">
        <v>246</v>
      </c>
      <c r="I5464" s="2">
        <v>1103</v>
      </c>
      <c r="J5464" s="2">
        <v>1840</v>
      </c>
      <c r="K5464" s="2">
        <v>1</v>
      </c>
      <c r="L5464" s="2">
        <v>246</v>
      </c>
    </row>
    <row r="5465" spans="1:12" x14ac:dyDescent="0.25">
      <c r="A5465" s="4" t="str">
        <f>HYPERLINK("http://www.rosaceae.org/Prunus/Prunus_persica/p.persica_gdr_reftransV1_0032726","p.persica_gdr_reftransV1_0032726")</f>
        <v>p.persica_gdr_reftransV1_0032726</v>
      </c>
      <c r="B5465" s="2">
        <v>3510</v>
      </c>
      <c r="C5465" s="4" t="str">
        <f>HYPERLINK("http://www.uniprot.org/uniprot/M5VWS0","M5VWS0")</f>
        <v>M5VWS0</v>
      </c>
      <c r="D5465" s="2" t="s">
        <v>4999</v>
      </c>
      <c r="E5465" s="3">
        <v>0</v>
      </c>
      <c r="F5465" s="2">
        <v>3309</v>
      </c>
      <c r="G5465" s="2">
        <v>100</v>
      </c>
      <c r="H5465" s="2">
        <v>675</v>
      </c>
      <c r="I5465" s="2">
        <v>1208</v>
      </c>
      <c r="J5465" s="2">
        <v>3232</v>
      </c>
      <c r="K5465" s="2">
        <v>37</v>
      </c>
      <c r="L5465" s="2">
        <v>710</v>
      </c>
    </row>
    <row r="5466" spans="1:12" x14ac:dyDescent="0.25">
      <c r="A5466" s="4" t="str">
        <f>HYPERLINK("http://www.rosaceae.org/Prunus/Prunus_persica/p.persica_gdr_reftransV1_0033076","p.persica_gdr_reftransV1_0033076")</f>
        <v>p.persica_gdr_reftransV1_0033076</v>
      </c>
      <c r="B5466" s="2">
        <v>3411</v>
      </c>
      <c r="C5466" s="4" t="str">
        <f>HYPERLINK("http://www.uniprot.org/uniprot/M5VKZ4","M5VKZ4")</f>
        <v>M5VKZ4</v>
      </c>
      <c r="D5466" s="2" t="s">
        <v>5000</v>
      </c>
      <c r="E5466" s="3">
        <v>0</v>
      </c>
      <c r="F5466" s="2">
        <v>2267</v>
      </c>
      <c r="G5466" s="2">
        <v>100</v>
      </c>
      <c r="H5466" s="2">
        <v>451</v>
      </c>
      <c r="I5466" s="2">
        <v>352</v>
      </c>
      <c r="J5466" s="2">
        <v>1704</v>
      </c>
      <c r="K5466" s="2">
        <v>11</v>
      </c>
      <c r="L5466" s="2">
        <v>461</v>
      </c>
    </row>
    <row r="5467" spans="1:12" x14ac:dyDescent="0.25">
      <c r="A5467" s="4" t="str">
        <f>HYPERLINK("http://www.rosaceae.org/Prunus/Prunus_persica/p.persica_gdr_reftransV1_0033426","p.persica_gdr_reftransV1_0033426")</f>
        <v>p.persica_gdr_reftransV1_0033426</v>
      </c>
      <c r="B5467" s="2">
        <v>6619</v>
      </c>
      <c r="C5467" s="4" t="str">
        <f>HYPERLINK("http://www.uniprot.org/uniprot/M5VYG0","M5VYG0")</f>
        <v>M5VYG0</v>
      </c>
      <c r="D5467" s="2" t="s">
        <v>5001</v>
      </c>
      <c r="E5467" s="3">
        <v>0</v>
      </c>
      <c r="F5467" s="2">
        <v>9009</v>
      </c>
      <c r="G5467" s="2">
        <v>96</v>
      </c>
      <c r="H5467" s="2">
        <v>1961</v>
      </c>
      <c r="I5467" s="2">
        <v>442</v>
      </c>
      <c r="J5467" s="2">
        <v>6324</v>
      </c>
      <c r="K5467" s="2">
        <v>1</v>
      </c>
      <c r="L5467" s="2">
        <v>1887</v>
      </c>
    </row>
    <row r="5468" spans="1:12" x14ac:dyDescent="0.25">
      <c r="A5468" s="4" t="str">
        <f>HYPERLINK("http://www.rosaceae.org/Prunus/Prunus_persica/p.persica_gdr_reftransV1_0033776","p.persica_gdr_reftransV1_0033776")</f>
        <v>p.persica_gdr_reftransV1_0033776</v>
      </c>
      <c r="B5468" s="2">
        <v>2210</v>
      </c>
      <c r="C5468" s="4" t="str">
        <f>HYPERLINK("http://www.uniprot.org/uniprot/M5WUI2","M5WUI2")</f>
        <v>M5WUI2</v>
      </c>
      <c r="D5468" s="2" t="s">
        <v>5002</v>
      </c>
      <c r="E5468" s="3">
        <v>1.91E-107</v>
      </c>
      <c r="F5468" s="2">
        <v>876</v>
      </c>
      <c r="G5468" s="2">
        <v>89</v>
      </c>
      <c r="H5468" s="2">
        <v>214</v>
      </c>
      <c r="I5468" s="2">
        <v>1240</v>
      </c>
      <c r="J5468" s="2">
        <v>1872</v>
      </c>
      <c r="K5468" s="2">
        <v>102</v>
      </c>
      <c r="L5468" s="2">
        <v>315</v>
      </c>
    </row>
    <row r="5469" spans="1:12" x14ac:dyDescent="0.25">
      <c r="A5469" s="4" t="str">
        <f>HYPERLINK("http://www.rosaceae.org/Prunus/Prunus_persica/p.persica_gdr_reftransV1_0035176","p.persica_gdr_reftransV1_0035176")</f>
        <v>p.persica_gdr_reftransV1_0035176</v>
      </c>
      <c r="B5469" s="2">
        <v>3158</v>
      </c>
      <c r="C5469" s="4" t="str">
        <f>HYPERLINK("http://www.uniprot.org/uniprot/B9T4Q0","B9T4Q0")</f>
        <v>B9T4Q0</v>
      </c>
      <c r="D5469" s="2" t="s">
        <v>5003</v>
      </c>
      <c r="E5469" s="3">
        <v>0</v>
      </c>
      <c r="F5469" s="2">
        <v>2536</v>
      </c>
      <c r="G5469" s="2">
        <v>92</v>
      </c>
      <c r="H5469" s="2">
        <v>536</v>
      </c>
      <c r="I5469" s="2">
        <v>611</v>
      </c>
      <c r="J5469" s="2">
        <v>2218</v>
      </c>
      <c r="K5469" s="2">
        <v>79</v>
      </c>
      <c r="L5469" s="2">
        <v>613</v>
      </c>
    </row>
    <row r="5470" spans="1:12" x14ac:dyDescent="0.25">
      <c r="A5470" s="4" t="str">
        <f>HYPERLINK("http://www.rosaceae.org/Prunus/Prunus_persica/p.persica_gdr_reftransV1_0036226","p.persica_gdr_reftransV1_0036226")</f>
        <v>p.persica_gdr_reftransV1_0036226</v>
      </c>
      <c r="B5470" s="2">
        <v>3002</v>
      </c>
      <c r="C5470" s="4" t="str">
        <f>HYPERLINK("http://www.uniprot.org/uniprot/M5XA99","M5XA99")</f>
        <v>M5XA99</v>
      </c>
      <c r="D5470" s="2" t="s">
        <v>5004</v>
      </c>
      <c r="E5470" s="3">
        <v>1.6699999999999999E-156</v>
      </c>
      <c r="F5470" s="2">
        <v>1251</v>
      </c>
      <c r="G5470" s="2">
        <v>85</v>
      </c>
      <c r="H5470" s="2">
        <v>314</v>
      </c>
      <c r="I5470" s="2">
        <v>1697</v>
      </c>
      <c r="J5470" s="2">
        <v>2626</v>
      </c>
      <c r="K5470" s="2">
        <v>271</v>
      </c>
      <c r="L5470" s="2">
        <v>547</v>
      </c>
    </row>
    <row r="5471" spans="1:12" x14ac:dyDescent="0.25">
      <c r="A5471" s="4" t="str">
        <f>HYPERLINK("http://www.rosaceae.org/Prunus/Prunus_persica/p.persica_gdr_reftransV1_0039026","p.persica_gdr_reftransV1_0039026")</f>
        <v>p.persica_gdr_reftransV1_0039026</v>
      </c>
      <c r="B5471" s="2">
        <v>2335</v>
      </c>
      <c r="C5471" s="4" t="str">
        <f>HYPERLINK("http://www.uniprot.org/uniprot/M5Y427","M5Y427")</f>
        <v>M5Y427</v>
      </c>
      <c r="D5471" s="2" t="s">
        <v>5005</v>
      </c>
      <c r="E5471" s="3">
        <v>0</v>
      </c>
      <c r="F5471" s="2">
        <v>1827</v>
      </c>
      <c r="G5471" s="2">
        <v>99</v>
      </c>
      <c r="H5471" s="2">
        <v>347</v>
      </c>
      <c r="I5471" s="2">
        <v>423</v>
      </c>
      <c r="J5471" s="2">
        <v>1463</v>
      </c>
      <c r="K5471" s="2">
        <v>1</v>
      </c>
      <c r="L5471" s="2">
        <v>347</v>
      </c>
    </row>
    <row r="5472" spans="1:12" x14ac:dyDescent="0.25">
      <c r="A5472" s="4" t="str">
        <f>HYPERLINK("http://www.rosaceae.org/Prunus/Prunus_persica/p.persica_gdr_reftransV1_0039376","p.persica_gdr_reftransV1_0039376")</f>
        <v>p.persica_gdr_reftransV1_0039376</v>
      </c>
      <c r="B5472" s="2">
        <v>697</v>
      </c>
      <c r="C5472" s="4" t="str">
        <f>HYPERLINK("http://www.uniprot.org/uniprot/M5XER1","M5XER1")</f>
        <v>M5XER1</v>
      </c>
      <c r="D5472" s="2" t="s">
        <v>5006</v>
      </c>
      <c r="E5472" s="3">
        <v>1.2000000000000001E-117</v>
      </c>
      <c r="F5472" s="2">
        <v>904</v>
      </c>
      <c r="G5472" s="2">
        <v>99</v>
      </c>
      <c r="H5472" s="2">
        <v>167</v>
      </c>
      <c r="I5472" s="2">
        <v>3</v>
      </c>
      <c r="J5472" s="2">
        <v>503</v>
      </c>
      <c r="K5472" s="2">
        <v>1</v>
      </c>
      <c r="L5472" s="2">
        <v>167</v>
      </c>
    </row>
    <row r="5473" spans="1:12" x14ac:dyDescent="0.25">
      <c r="A5473" s="4" t="str">
        <f>HYPERLINK("http://www.rosaceae.org/Prunus/Prunus_persica/p.persica_gdr_reftransV1_0039726","p.persica_gdr_reftransV1_0039726")</f>
        <v>p.persica_gdr_reftransV1_0039726</v>
      </c>
      <c r="B5473" s="2">
        <v>1583</v>
      </c>
      <c r="C5473" s="4" t="str">
        <f>HYPERLINK("http://www.uniprot.org/uniprot/M5VIM7","M5VIM7")</f>
        <v>M5VIM7</v>
      </c>
      <c r="D5473" s="2" t="s">
        <v>5007</v>
      </c>
      <c r="E5473" s="3">
        <v>7.8700000000000005E-122</v>
      </c>
      <c r="F5473" s="2">
        <v>941</v>
      </c>
      <c r="G5473" s="2">
        <v>100</v>
      </c>
      <c r="H5473" s="2">
        <v>177</v>
      </c>
      <c r="I5473" s="2">
        <v>141</v>
      </c>
      <c r="J5473" s="2">
        <v>671</v>
      </c>
      <c r="K5473" s="2">
        <v>1</v>
      </c>
      <c r="L5473" s="2">
        <v>177</v>
      </c>
    </row>
    <row r="5474" spans="1:12" x14ac:dyDescent="0.25">
      <c r="A5474" s="4" t="str">
        <f>HYPERLINK("http://www.rosaceae.org/Prunus/Prunus_persica/p.persica_gdr_reftransV1_0043926","p.persica_gdr_reftransV1_0043926")</f>
        <v>p.persica_gdr_reftransV1_0043926</v>
      </c>
      <c r="B5474" s="2">
        <v>338</v>
      </c>
      <c r="C5474" s="4" t="str">
        <f>HYPERLINK("http://www.uniprot.org/uniprot/M5VWJ4","M5VWJ4")</f>
        <v>M5VWJ4</v>
      </c>
      <c r="D5474" s="2" t="s">
        <v>5008</v>
      </c>
      <c r="E5474" s="3">
        <v>2.7100000000000001E-69</v>
      </c>
      <c r="F5474" s="2">
        <v>581</v>
      </c>
      <c r="G5474" s="2">
        <v>100</v>
      </c>
      <c r="H5474" s="2">
        <v>112</v>
      </c>
      <c r="I5474" s="2">
        <v>3</v>
      </c>
      <c r="J5474" s="2">
        <v>338</v>
      </c>
      <c r="K5474" s="2">
        <v>67</v>
      </c>
      <c r="L5474" s="2">
        <v>178</v>
      </c>
    </row>
    <row r="5475" spans="1:12" x14ac:dyDescent="0.25">
      <c r="A5475" s="4" t="str">
        <f>HYPERLINK("http://www.rosaceae.org/Prunus/Prunus_persica/p.persica_gdr_reftransV1_0044626","p.persica_gdr_reftransV1_0044626")</f>
        <v>p.persica_gdr_reftransV1_0044626</v>
      </c>
      <c r="B5475" s="2">
        <v>1262</v>
      </c>
      <c r="C5475" s="4" t="str">
        <f>HYPERLINK("http://www.uniprot.org/uniprot/W9RN69","W9RN69")</f>
        <v>W9RN69</v>
      </c>
      <c r="D5475" s="2" t="s">
        <v>5009</v>
      </c>
      <c r="E5475" s="3">
        <v>2.4300000000000002E-146</v>
      </c>
      <c r="F5475" s="2">
        <v>1103</v>
      </c>
      <c r="G5475" s="2">
        <v>78</v>
      </c>
      <c r="H5475" s="2">
        <v>270</v>
      </c>
      <c r="I5475" s="2">
        <v>141</v>
      </c>
      <c r="J5475" s="2">
        <v>950</v>
      </c>
      <c r="K5475" s="2">
        <v>1</v>
      </c>
      <c r="L5475" s="2">
        <v>270</v>
      </c>
    </row>
    <row r="5476" spans="1:12" x14ac:dyDescent="0.25">
      <c r="A5476" s="4" t="str">
        <f>HYPERLINK("http://www.rosaceae.org/Prunus/Prunus_persica/p.persica_gdr_reftransV1_0044976","p.persica_gdr_reftransV1_0044976")</f>
        <v>p.persica_gdr_reftransV1_0044976</v>
      </c>
      <c r="B5476" s="2">
        <v>824</v>
      </c>
      <c r="C5476" s="4" t="str">
        <f>HYPERLINK("http://www.uniprot.org/uniprot/M5WVC7","M5WVC7")</f>
        <v>M5WVC7</v>
      </c>
      <c r="D5476" s="2" t="s">
        <v>3537</v>
      </c>
      <c r="E5476" s="3">
        <v>3.02E-105</v>
      </c>
      <c r="F5476" s="2">
        <v>669</v>
      </c>
      <c r="G5476" s="2">
        <v>99</v>
      </c>
      <c r="H5476" s="2">
        <v>138</v>
      </c>
      <c r="I5476" s="2">
        <v>3</v>
      </c>
      <c r="J5476" s="2">
        <v>416</v>
      </c>
      <c r="K5476" s="2">
        <v>23</v>
      </c>
      <c r="L5476" s="2">
        <v>160</v>
      </c>
    </row>
    <row r="5477" spans="1:12" x14ac:dyDescent="0.25">
      <c r="A5477" s="4" t="str">
        <f>HYPERLINK("http://www.rosaceae.org/Prunus/Prunus_persica/p.persica_gdr_reftransV1_0045676","p.persica_gdr_reftransV1_0045676")</f>
        <v>p.persica_gdr_reftransV1_0045676</v>
      </c>
      <c r="B5477" s="2">
        <v>737</v>
      </c>
      <c r="C5477" s="4" t="str">
        <f>HYPERLINK("http://www.uniprot.org/uniprot/M5WGZ2","M5WGZ2")</f>
        <v>M5WGZ2</v>
      </c>
      <c r="D5477" s="2" t="s">
        <v>2459</v>
      </c>
      <c r="E5477" s="3">
        <v>3.27E-117</v>
      </c>
      <c r="F5477" s="2">
        <v>893</v>
      </c>
      <c r="G5477" s="2">
        <v>100</v>
      </c>
      <c r="H5477" s="2">
        <v>243</v>
      </c>
      <c r="I5477" s="2">
        <v>3</v>
      </c>
      <c r="J5477" s="2">
        <v>731</v>
      </c>
      <c r="K5477" s="2">
        <v>1</v>
      </c>
      <c r="L5477" s="2">
        <v>243</v>
      </c>
    </row>
    <row r="5478" spans="1:12" x14ac:dyDescent="0.25">
      <c r="A5478" s="4" t="str">
        <f>HYPERLINK("http://www.rosaceae.org/Prunus/Prunus_persica/p.persica_gdr_reftransV1_0046026","p.persica_gdr_reftransV1_0046026")</f>
        <v>p.persica_gdr_reftransV1_0046026</v>
      </c>
      <c r="B5478" s="2">
        <v>1693</v>
      </c>
      <c r="C5478" s="4" t="str">
        <f>HYPERLINK("http://www.uniprot.org/uniprot/M5XFH2","M5XFH2")</f>
        <v>M5XFH2</v>
      </c>
      <c r="D5478" s="2" t="s">
        <v>5010</v>
      </c>
      <c r="E5478" s="3">
        <v>0</v>
      </c>
      <c r="F5478" s="2">
        <v>2091</v>
      </c>
      <c r="G5478" s="2">
        <v>100</v>
      </c>
      <c r="H5478" s="2">
        <v>393</v>
      </c>
      <c r="I5478" s="2">
        <v>295</v>
      </c>
      <c r="J5478" s="2">
        <v>1473</v>
      </c>
      <c r="K5478" s="2">
        <v>1</v>
      </c>
      <c r="L5478" s="2">
        <v>393</v>
      </c>
    </row>
    <row r="5479" spans="1:12" x14ac:dyDescent="0.25">
      <c r="A5479" s="4" t="str">
        <f>HYPERLINK("http://www.rosaceae.org/Prunus/Prunus_persica/p.persica_gdr_reftransV1_0046376","p.persica_gdr_reftransV1_0046376")</f>
        <v>p.persica_gdr_reftransV1_0046376</v>
      </c>
      <c r="B5479" s="2">
        <v>2816</v>
      </c>
      <c r="C5479" s="4" t="str">
        <f>HYPERLINK("http://www.uniprot.org/uniprot/M5X6U4","M5X6U4")</f>
        <v>M5X6U4</v>
      </c>
      <c r="D5479" s="2" t="s">
        <v>5011</v>
      </c>
      <c r="E5479" s="3">
        <v>0</v>
      </c>
      <c r="F5479" s="2">
        <v>1992</v>
      </c>
      <c r="G5479" s="2">
        <v>99</v>
      </c>
      <c r="H5479" s="2">
        <v>385</v>
      </c>
      <c r="I5479" s="2">
        <v>1162</v>
      </c>
      <c r="J5479" s="2">
        <v>2316</v>
      </c>
      <c r="K5479" s="2">
        <v>286</v>
      </c>
      <c r="L5479" s="2">
        <v>670</v>
      </c>
    </row>
    <row r="5480" spans="1:12" x14ac:dyDescent="0.25">
      <c r="A5480" s="4" t="str">
        <f>HYPERLINK("http://www.rosaceae.org/Prunus/Prunus_persica/p.persica_gdr_reftransV1_0047076","p.persica_gdr_reftransV1_0047076")</f>
        <v>p.persica_gdr_reftransV1_0047076</v>
      </c>
      <c r="B5480" s="2">
        <v>1625</v>
      </c>
      <c r="C5480" s="4" t="str">
        <f>HYPERLINK("http://www.uniprot.org/uniprot/M5Y1F8","M5Y1F8")</f>
        <v>M5Y1F8</v>
      </c>
      <c r="D5480" s="2" t="s">
        <v>5012</v>
      </c>
      <c r="E5480" s="3">
        <v>8.6500000000000003E-105</v>
      </c>
      <c r="F5480" s="2">
        <v>864</v>
      </c>
      <c r="G5480" s="2">
        <v>48</v>
      </c>
      <c r="H5480" s="2">
        <v>443</v>
      </c>
      <c r="I5480" s="2">
        <v>102</v>
      </c>
      <c r="J5480" s="2">
        <v>1409</v>
      </c>
      <c r="K5480" s="2">
        <v>86</v>
      </c>
      <c r="L5480" s="2">
        <v>511</v>
      </c>
    </row>
    <row r="5481" spans="1:12" x14ac:dyDescent="0.25">
      <c r="A5481" s="4" t="str">
        <f>HYPERLINK("http://www.rosaceae.org/Prunus/Prunus_persica/p.persica_gdr_reftransV1_0047776","p.persica_gdr_reftransV1_0047776")</f>
        <v>p.persica_gdr_reftransV1_0047776</v>
      </c>
      <c r="B5481" s="2">
        <v>380</v>
      </c>
      <c r="C5481" s="4" t="str">
        <f>HYPERLINK("http://www.uniprot.org/uniprot/W9QW26","W9QW26")</f>
        <v>W9QW26</v>
      </c>
      <c r="D5481" s="2" t="s">
        <v>5013</v>
      </c>
      <c r="E5481" s="3">
        <v>2.4600000000000001E-55</v>
      </c>
      <c r="F5481" s="2">
        <v>492</v>
      </c>
      <c r="G5481" s="2">
        <v>73</v>
      </c>
      <c r="H5481" s="2">
        <v>126</v>
      </c>
      <c r="I5481" s="2">
        <v>3</v>
      </c>
      <c r="J5481" s="2">
        <v>380</v>
      </c>
      <c r="K5481" s="2">
        <v>553</v>
      </c>
      <c r="L5481" s="2">
        <v>678</v>
      </c>
    </row>
    <row r="5482" spans="1:12" x14ac:dyDescent="0.25">
      <c r="A5482" s="4" t="str">
        <f>HYPERLINK("http://www.rosaceae.org/Prunus/Prunus_persica/p.persica_gdr_reftransV1_0048126","p.persica_gdr_reftransV1_0048126")</f>
        <v>p.persica_gdr_reftransV1_0048126</v>
      </c>
      <c r="B5482" s="2">
        <v>1112</v>
      </c>
      <c r="C5482" s="4" t="str">
        <f>HYPERLINK("http://www.uniprot.org/uniprot/M5WT45","M5WT45")</f>
        <v>M5WT45</v>
      </c>
      <c r="D5482" s="2" t="s">
        <v>1635</v>
      </c>
      <c r="E5482" s="3">
        <v>3.0100000000000003E-126</v>
      </c>
      <c r="F5482" s="2">
        <v>970</v>
      </c>
      <c r="G5482" s="2">
        <v>99</v>
      </c>
      <c r="H5482" s="2">
        <v>196</v>
      </c>
      <c r="I5482" s="2">
        <v>63</v>
      </c>
      <c r="J5482" s="2">
        <v>650</v>
      </c>
      <c r="K5482" s="2">
        <v>128</v>
      </c>
      <c r="L5482" s="2">
        <v>323</v>
      </c>
    </row>
    <row r="5483" spans="1:12" x14ac:dyDescent="0.25">
      <c r="A5483" s="4" t="str">
        <f>HYPERLINK("http://www.rosaceae.org/Prunus/Prunus_persica/p.persica_gdr_reftransV1_0048476","p.persica_gdr_reftransV1_0048476")</f>
        <v>p.persica_gdr_reftransV1_0048476</v>
      </c>
      <c r="B5483" s="2">
        <v>1281</v>
      </c>
      <c r="C5483" s="4" t="str">
        <f>HYPERLINK("http://www.uniprot.org/uniprot/M5XMJ2","M5XMJ2")</f>
        <v>M5XMJ2</v>
      </c>
      <c r="D5483" s="2" t="s">
        <v>5014</v>
      </c>
      <c r="E5483" s="3">
        <v>7.1900000000000003E-118</v>
      </c>
      <c r="F5483" s="2">
        <v>605</v>
      </c>
      <c r="G5483" s="2">
        <v>100</v>
      </c>
      <c r="H5483" s="2">
        <v>116</v>
      </c>
      <c r="I5483" s="2">
        <v>165</v>
      </c>
      <c r="J5483" s="2">
        <v>512</v>
      </c>
      <c r="K5483" s="2">
        <v>106</v>
      </c>
      <c r="L5483" s="2">
        <v>221</v>
      </c>
    </row>
    <row r="5484" spans="1:12" x14ac:dyDescent="0.25">
      <c r="A5484" s="4" t="str">
        <f>HYPERLINK("http://www.rosaceae.org/Prunus/Prunus_persica/p.persica_gdr_reftransV1_0048826","p.persica_gdr_reftransV1_0048826")</f>
        <v>p.persica_gdr_reftransV1_0048826</v>
      </c>
      <c r="B5484" s="2">
        <v>485</v>
      </c>
      <c r="C5484" s="4" t="str">
        <f>HYPERLINK("http://www.uniprot.org/uniprot/U5GMK6","U5GMK6")</f>
        <v>U5GMK6</v>
      </c>
      <c r="D5484" s="2" t="s">
        <v>5015</v>
      </c>
      <c r="E5484" s="3">
        <v>3.7300000000000001E-90</v>
      </c>
      <c r="F5484" s="2">
        <v>709</v>
      </c>
      <c r="G5484" s="2">
        <v>82</v>
      </c>
      <c r="H5484" s="2">
        <v>161</v>
      </c>
      <c r="I5484" s="2">
        <v>2</v>
      </c>
      <c r="J5484" s="2">
        <v>484</v>
      </c>
      <c r="K5484" s="2">
        <v>133</v>
      </c>
      <c r="L5484" s="2">
        <v>293</v>
      </c>
    </row>
    <row r="5485" spans="1:12" x14ac:dyDescent="0.25">
      <c r="A5485" s="4" t="str">
        <f>HYPERLINK("http://www.rosaceae.org/Prunus/Prunus_persica/p.persica_gdr_reftransV1_0049176","p.persica_gdr_reftransV1_0049176")</f>
        <v>p.persica_gdr_reftransV1_0049176</v>
      </c>
      <c r="B5485" s="2">
        <v>3024</v>
      </c>
      <c r="C5485" s="4" t="str">
        <f>HYPERLINK("http://www.uniprot.org/uniprot/M5WE75","M5WE75")</f>
        <v>M5WE75</v>
      </c>
      <c r="D5485" s="2" t="s">
        <v>5016</v>
      </c>
      <c r="E5485" s="3">
        <v>0</v>
      </c>
      <c r="F5485" s="2">
        <v>4599</v>
      </c>
      <c r="G5485" s="2">
        <v>100</v>
      </c>
      <c r="H5485" s="2">
        <v>943</v>
      </c>
      <c r="I5485" s="2">
        <v>194</v>
      </c>
      <c r="J5485" s="2">
        <v>3022</v>
      </c>
      <c r="K5485" s="2">
        <v>63</v>
      </c>
      <c r="L5485" s="2">
        <v>1005</v>
      </c>
    </row>
    <row r="5486" spans="1:12" x14ac:dyDescent="0.25">
      <c r="A5486" s="4" t="str">
        <f>HYPERLINK("http://www.rosaceae.org/Prunus/Prunus_persica/p.persica_gdr_reftransV1_0000527","p.persica_gdr_reftransV1_0000527")</f>
        <v>p.persica_gdr_reftransV1_0000527</v>
      </c>
      <c r="B5486" s="2">
        <v>912</v>
      </c>
      <c r="C5486" s="4" t="str">
        <f>HYPERLINK("http://www.uniprot.org/uniprot/M5VXT2","M5VXT2")</f>
        <v>M5VXT2</v>
      </c>
      <c r="D5486" s="2" t="s">
        <v>5017</v>
      </c>
      <c r="E5486" s="3">
        <v>4.3499999999999996E-25</v>
      </c>
      <c r="F5486" s="2">
        <v>284</v>
      </c>
      <c r="G5486" s="2">
        <v>97</v>
      </c>
      <c r="H5486" s="2">
        <v>59</v>
      </c>
      <c r="I5486" s="2">
        <v>354</v>
      </c>
      <c r="J5486" s="2">
        <v>530</v>
      </c>
      <c r="K5486" s="2">
        <v>177</v>
      </c>
      <c r="L5486" s="2">
        <v>235</v>
      </c>
    </row>
    <row r="5487" spans="1:12" x14ac:dyDescent="0.25">
      <c r="A5487" s="4" t="str">
        <f>HYPERLINK("http://www.rosaceae.org/Prunus/Prunus_persica/p.persica_gdr_reftransV1_0000877","p.persica_gdr_reftransV1_0000877")</f>
        <v>p.persica_gdr_reftransV1_0000877</v>
      </c>
      <c r="B5487" s="2">
        <v>575</v>
      </c>
      <c r="C5487" s="4" t="str">
        <f>HYPERLINK("http://www.uniprot.org/uniprot/M5X4S9","M5X4S9")</f>
        <v>M5X4S9</v>
      </c>
      <c r="D5487" s="2" t="s">
        <v>5018</v>
      </c>
      <c r="E5487" s="3">
        <v>2.0199999999999999E-48</v>
      </c>
      <c r="F5487" s="2">
        <v>414</v>
      </c>
      <c r="G5487" s="2">
        <v>98</v>
      </c>
      <c r="H5487" s="2">
        <v>83</v>
      </c>
      <c r="I5487" s="2">
        <v>109</v>
      </c>
      <c r="J5487" s="2">
        <v>357</v>
      </c>
      <c r="K5487" s="2">
        <v>6</v>
      </c>
      <c r="L5487" s="2">
        <v>88</v>
      </c>
    </row>
    <row r="5488" spans="1:12" x14ac:dyDescent="0.25">
      <c r="A5488" s="4" t="str">
        <f>HYPERLINK("http://www.rosaceae.org/Prunus/Prunus_persica/p.persica_gdr_reftransV1_0001227","p.persica_gdr_reftransV1_0001227")</f>
        <v>p.persica_gdr_reftransV1_0001227</v>
      </c>
      <c r="B5488" s="2">
        <v>667</v>
      </c>
      <c r="C5488" s="4" t="str">
        <f>HYPERLINK("http://www.uniprot.org/uniprot/M5XG75","M5XG75")</f>
        <v>M5XG75</v>
      </c>
      <c r="D5488" s="2" t="s">
        <v>3052</v>
      </c>
      <c r="E5488" s="3">
        <v>1.0000000000000001E-152</v>
      </c>
      <c r="F5488" s="2">
        <v>1128</v>
      </c>
      <c r="G5488" s="2">
        <v>100</v>
      </c>
      <c r="H5488" s="2">
        <v>212</v>
      </c>
      <c r="I5488" s="2">
        <v>34</v>
      </c>
      <c r="J5488" s="2">
        <v>666</v>
      </c>
      <c r="K5488" s="2">
        <v>105</v>
      </c>
      <c r="L5488" s="2">
        <v>316</v>
      </c>
    </row>
    <row r="5489" spans="1:12" x14ac:dyDescent="0.25">
      <c r="A5489" s="4" t="str">
        <f>HYPERLINK("http://www.rosaceae.org/Prunus/Prunus_persica/p.persica_gdr_reftransV1_0001577","p.persica_gdr_reftransV1_0001577")</f>
        <v>p.persica_gdr_reftransV1_0001577</v>
      </c>
      <c r="B5489" s="2">
        <v>1075</v>
      </c>
      <c r="C5489" s="4" t="str">
        <f>HYPERLINK("http://www.uniprot.org/uniprot/F6I7I5","F6I7I5")</f>
        <v>F6I7I5</v>
      </c>
      <c r="D5489" s="2" t="s">
        <v>5019</v>
      </c>
      <c r="E5489" s="3">
        <v>2.3E-150</v>
      </c>
      <c r="F5489" s="2">
        <v>1151</v>
      </c>
      <c r="G5489" s="2">
        <v>79</v>
      </c>
      <c r="H5489" s="2">
        <v>271</v>
      </c>
      <c r="I5489" s="2">
        <v>85</v>
      </c>
      <c r="J5489" s="2">
        <v>897</v>
      </c>
      <c r="K5489" s="2">
        <v>4</v>
      </c>
      <c r="L5489" s="2">
        <v>274</v>
      </c>
    </row>
    <row r="5490" spans="1:12" x14ac:dyDescent="0.25">
      <c r="A5490" s="4" t="str">
        <f>HYPERLINK("http://www.rosaceae.org/Prunus/Prunus_persica/p.persica_gdr_reftransV1_0001927","p.persica_gdr_reftransV1_0001927")</f>
        <v>p.persica_gdr_reftransV1_0001927</v>
      </c>
      <c r="B5490" s="2">
        <v>343</v>
      </c>
      <c r="C5490" s="4" t="str">
        <f>HYPERLINK("http://www.uniprot.org/uniprot/M5XZX5","M5XZX5")</f>
        <v>M5XZX5</v>
      </c>
      <c r="D5490" s="2" t="s">
        <v>1154</v>
      </c>
      <c r="E5490" s="3">
        <v>3.34E-50</v>
      </c>
      <c r="F5490" s="2">
        <v>428</v>
      </c>
      <c r="G5490" s="2">
        <v>100</v>
      </c>
      <c r="H5490" s="2">
        <v>81</v>
      </c>
      <c r="I5490" s="2">
        <v>101</v>
      </c>
      <c r="J5490" s="2">
        <v>343</v>
      </c>
      <c r="K5490" s="2">
        <v>1</v>
      </c>
      <c r="L5490" s="2">
        <v>81</v>
      </c>
    </row>
    <row r="5491" spans="1:12" x14ac:dyDescent="0.25">
      <c r="A5491" s="4" t="str">
        <f>HYPERLINK("http://www.rosaceae.org/Prunus/Prunus_persica/p.persica_gdr_reftransV1_0002277","p.persica_gdr_reftransV1_0002277")</f>
        <v>p.persica_gdr_reftransV1_0002277</v>
      </c>
      <c r="B5491" s="2">
        <v>787</v>
      </c>
      <c r="C5491" s="4" t="str">
        <f>HYPERLINK("http://www.uniprot.org/uniprot/A0A061F2V6","A0A061F2V6")</f>
        <v>A0A061F2V6</v>
      </c>
      <c r="D5491" s="2" t="s">
        <v>5020</v>
      </c>
      <c r="E5491" s="3">
        <v>5.1900000000000003E-120</v>
      </c>
      <c r="F5491" s="2">
        <v>974</v>
      </c>
      <c r="G5491" s="2">
        <v>68</v>
      </c>
      <c r="H5491" s="2">
        <v>261</v>
      </c>
      <c r="I5491" s="2">
        <v>4</v>
      </c>
      <c r="J5491" s="2">
        <v>786</v>
      </c>
      <c r="K5491" s="2">
        <v>127</v>
      </c>
      <c r="L5491" s="2">
        <v>387</v>
      </c>
    </row>
    <row r="5492" spans="1:12" x14ac:dyDescent="0.25">
      <c r="A5492" s="4" t="str">
        <f>HYPERLINK("http://www.rosaceae.org/Prunus/Prunus_persica/p.persica_gdr_reftransV1_0002977","p.persica_gdr_reftransV1_0002977")</f>
        <v>p.persica_gdr_reftransV1_0002977</v>
      </c>
      <c r="B5492" s="2">
        <v>619</v>
      </c>
      <c r="C5492" s="4" t="str">
        <f>HYPERLINK("http://www.uniprot.org/uniprot/M5WBI4","M5WBI4")</f>
        <v>M5WBI4</v>
      </c>
      <c r="D5492" s="2" t="s">
        <v>1326</v>
      </c>
      <c r="E5492" s="3">
        <v>1.5E-99</v>
      </c>
      <c r="F5492" s="2">
        <v>770</v>
      </c>
      <c r="G5492" s="2">
        <v>99</v>
      </c>
      <c r="H5492" s="2">
        <v>181</v>
      </c>
      <c r="I5492" s="2">
        <v>75</v>
      </c>
      <c r="J5492" s="2">
        <v>617</v>
      </c>
      <c r="K5492" s="2">
        <v>41</v>
      </c>
      <c r="L5492" s="2">
        <v>221</v>
      </c>
    </row>
    <row r="5493" spans="1:12" x14ac:dyDescent="0.25">
      <c r="A5493" s="4" t="str">
        <f>HYPERLINK("http://www.rosaceae.org/Prunus/Prunus_persica/p.persica_gdr_reftransV1_0003677","p.persica_gdr_reftransV1_0003677")</f>
        <v>p.persica_gdr_reftransV1_0003677</v>
      </c>
      <c r="B5493" s="2">
        <v>341</v>
      </c>
      <c r="C5493" s="4" t="str">
        <f>HYPERLINK("http://www.uniprot.org/uniprot/A0A0D2XHR4","A0A0D2XHR4")</f>
        <v>A0A0D2XHR4</v>
      </c>
      <c r="D5493" s="2" t="s">
        <v>5021</v>
      </c>
      <c r="E5493" s="3">
        <v>2.5899999999999999E-56</v>
      </c>
      <c r="F5493" s="2">
        <v>466</v>
      </c>
      <c r="G5493" s="2">
        <v>100</v>
      </c>
      <c r="H5493" s="2">
        <v>106</v>
      </c>
      <c r="I5493" s="2">
        <v>1</v>
      </c>
      <c r="J5493" s="2">
        <v>318</v>
      </c>
      <c r="K5493" s="2">
        <v>72</v>
      </c>
      <c r="L5493" s="2">
        <v>177</v>
      </c>
    </row>
    <row r="5494" spans="1:12" x14ac:dyDescent="0.25">
      <c r="A5494" s="4" t="str">
        <f>HYPERLINK("http://www.rosaceae.org/Prunus/Prunus_persica/p.persica_gdr_reftransV1_0004027","p.persica_gdr_reftransV1_0004027")</f>
        <v>p.persica_gdr_reftransV1_0004027</v>
      </c>
      <c r="B5494" s="2">
        <v>506</v>
      </c>
      <c r="C5494" s="4" t="str">
        <f>HYPERLINK("http://www.uniprot.org/uniprot/M5WFY3","M5WFY3")</f>
        <v>M5WFY3</v>
      </c>
      <c r="D5494" s="2" t="s">
        <v>2523</v>
      </c>
      <c r="E5494" s="3">
        <v>1.4000000000000001E-68</v>
      </c>
      <c r="F5494" s="2">
        <v>571</v>
      </c>
      <c r="G5494" s="2">
        <v>99</v>
      </c>
      <c r="H5494" s="2">
        <v>107</v>
      </c>
      <c r="I5494" s="2">
        <v>129</v>
      </c>
      <c r="J5494" s="2">
        <v>449</v>
      </c>
      <c r="K5494" s="2">
        <v>276</v>
      </c>
      <c r="L5494" s="2">
        <v>382</v>
      </c>
    </row>
    <row r="5495" spans="1:12" x14ac:dyDescent="0.25">
      <c r="A5495" s="4" t="str">
        <f>HYPERLINK("http://www.rosaceae.org/Prunus/Prunus_persica/p.persica_gdr_reftransV1_0004377","p.persica_gdr_reftransV1_0004377")</f>
        <v>p.persica_gdr_reftransV1_0004377</v>
      </c>
      <c r="B5495" s="2">
        <v>3537</v>
      </c>
      <c r="C5495" s="4" t="str">
        <f>HYPERLINK("http://www.uniprot.org/uniprot/M5X9F5","M5X9F5")</f>
        <v>M5X9F5</v>
      </c>
      <c r="D5495" s="2" t="s">
        <v>5022</v>
      </c>
      <c r="E5495" s="3">
        <v>0</v>
      </c>
      <c r="F5495" s="2">
        <v>4764</v>
      </c>
      <c r="G5495" s="2">
        <v>100</v>
      </c>
      <c r="H5495" s="2">
        <v>914</v>
      </c>
      <c r="I5495" s="2">
        <v>590</v>
      </c>
      <c r="J5495" s="2">
        <v>3331</v>
      </c>
      <c r="K5495" s="2">
        <v>1</v>
      </c>
      <c r="L5495" s="2">
        <v>914</v>
      </c>
    </row>
    <row r="5496" spans="1:12" x14ac:dyDescent="0.25">
      <c r="A5496" s="4" t="str">
        <f>HYPERLINK("http://www.rosaceae.org/Prunus/Prunus_persica/p.persica_gdr_reftransV1_0004727","p.persica_gdr_reftransV1_0004727")</f>
        <v>p.persica_gdr_reftransV1_0004727</v>
      </c>
      <c r="B5496" s="2">
        <v>1513</v>
      </c>
      <c r="C5496" s="4" t="str">
        <f>HYPERLINK("http://www.uniprot.org/uniprot/M5W4Q8","M5W4Q8")</f>
        <v>M5W4Q8</v>
      </c>
      <c r="D5496" s="2" t="s">
        <v>5023</v>
      </c>
      <c r="E5496" s="3">
        <v>0</v>
      </c>
      <c r="F5496" s="2">
        <v>1897</v>
      </c>
      <c r="G5496" s="2">
        <v>100</v>
      </c>
      <c r="H5496" s="2">
        <v>427</v>
      </c>
      <c r="I5496" s="2">
        <v>69</v>
      </c>
      <c r="J5496" s="2">
        <v>1349</v>
      </c>
      <c r="K5496" s="2">
        <v>1</v>
      </c>
      <c r="L5496" s="2">
        <v>427</v>
      </c>
    </row>
    <row r="5497" spans="1:12" x14ac:dyDescent="0.25">
      <c r="A5497" s="4" t="str">
        <f>HYPERLINK("http://www.rosaceae.org/Prunus/Prunus_persica/p.persica_gdr_reftransV1_0005077","p.persica_gdr_reftransV1_0005077")</f>
        <v>p.persica_gdr_reftransV1_0005077</v>
      </c>
      <c r="B5497" s="2">
        <v>1354</v>
      </c>
      <c r="C5497" s="4" t="str">
        <f>HYPERLINK("http://www.uniprot.org/uniprot/M5WI88","M5WI88")</f>
        <v>M5WI88</v>
      </c>
      <c r="D5497" s="2" t="s">
        <v>5024</v>
      </c>
      <c r="E5497" s="3">
        <v>0</v>
      </c>
      <c r="F5497" s="2">
        <v>1466</v>
      </c>
      <c r="G5497" s="2">
        <v>75</v>
      </c>
      <c r="H5497" s="2">
        <v>399</v>
      </c>
      <c r="I5497" s="2">
        <v>106</v>
      </c>
      <c r="J5497" s="2">
        <v>1251</v>
      </c>
      <c r="K5497" s="2">
        <v>7</v>
      </c>
      <c r="L5497" s="2">
        <v>369</v>
      </c>
    </row>
    <row r="5498" spans="1:12" x14ac:dyDescent="0.25">
      <c r="A5498" s="4" t="str">
        <f>HYPERLINK("http://www.rosaceae.org/Prunus/Prunus_persica/p.persica_gdr_reftransV1_0006127","p.persica_gdr_reftransV1_0006127")</f>
        <v>p.persica_gdr_reftransV1_0006127</v>
      </c>
      <c r="B5498" s="2">
        <v>891</v>
      </c>
      <c r="C5498" s="4" t="str">
        <f>HYPERLINK("http://www.uniprot.org/uniprot/A0A044RWX4","A0A044RWX4")</f>
        <v>A0A044RWX4</v>
      </c>
      <c r="D5498" s="2" t="s">
        <v>5025</v>
      </c>
      <c r="E5498" s="3">
        <v>6.8000000000000003E-52</v>
      </c>
      <c r="F5498" s="2">
        <v>464</v>
      </c>
      <c r="G5498" s="2">
        <v>47</v>
      </c>
      <c r="H5498" s="2">
        <v>295</v>
      </c>
      <c r="I5498" s="2">
        <v>3</v>
      </c>
      <c r="J5498" s="2">
        <v>881</v>
      </c>
      <c r="K5498" s="2">
        <v>20</v>
      </c>
      <c r="L5498" s="2">
        <v>280</v>
      </c>
    </row>
    <row r="5499" spans="1:12" x14ac:dyDescent="0.25">
      <c r="A5499" s="4" t="str">
        <f>HYPERLINK("http://www.rosaceae.org/Prunus/Prunus_persica/p.persica_gdr_reftransV1_0007177","p.persica_gdr_reftransV1_0007177")</f>
        <v>p.persica_gdr_reftransV1_0007177</v>
      </c>
      <c r="B5499" s="2">
        <v>3388</v>
      </c>
      <c r="C5499" s="4" t="str">
        <f>HYPERLINK("http://www.uniprot.org/uniprot/M5XXQ1","M5XXQ1")</f>
        <v>M5XXQ1</v>
      </c>
      <c r="D5499" s="2" t="s">
        <v>5026</v>
      </c>
      <c r="E5499" s="3">
        <v>0</v>
      </c>
      <c r="F5499" s="2">
        <v>4740</v>
      </c>
      <c r="G5499" s="2">
        <v>100</v>
      </c>
      <c r="H5499" s="2">
        <v>905</v>
      </c>
      <c r="I5499" s="2">
        <v>479</v>
      </c>
      <c r="J5499" s="2">
        <v>3193</v>
      </c>
      <c r="K5499" s="2">
        <v>1</v>
      </c>
      <c r="L5499" s="2">
        <v>905</v>
      </c>
    </row>
    <row r="5500" spans="1:12" x14ac:dyDescent="0.25">
      <c r="A5500" s="4" t="str">
        <f>HYPERLINK("http://www.rosaceae.org/Prunus/Prunus_persica/p.persica_gdr_reftransV1_0007877","p.persica_gdr_reftransV1_0007877")</f>
        <v>p.persica_gdr_reftransV1_0007877</v>
      </c>
      <c r="B5500" s="2">
        <v>993</v>
      </c>
      <c r="C5500" s="4" t="str">
        <f>HYPERLINK("http://www.uniprot.org/uniprot/M5VSH7","M5VSH7")</f>
        <v>M5VSH7</v>
      </c>
      <c r="D5500" s="2" t="s">
        <v>5027</v>
      </c>
      <c r="E5500" s="3">
        <v>3.4300000000000002E-160</v>
      </c>
      <c r="F5500" s="2">
        <v>1183</v>
      </c>
      <c r="G5500" s="2">
        <v>100</v>
      </c>
      <c r="H5500" s="2">
        <v>251</v>
      </c>
      <c r="I5500" s="2">
        <v>39</v>
      </c>
      <c r="J5500" s="2">
        <v>791</v>
      </c>
      <c r="K5500" s="2">
        <v>1</v>
      </c>
      <c r="L5500" s="2">
        <v>251</v>
      </c>
    </row>
    <row r="5501" spans="1:12" x14ac:dyDescent="0.25">
      <c r="A5501" s="4" t="str">
        <f>HYPERLINK("http://www.rosaceae.org/Prunus/Prunus_persica/p.persica_gdr_reftransV1_0008577","p.persica_gdr_reftransV1_0008577")</f>
        <v>p.persica_gdr_reftransV1_0008577</v>
      </c>
      <c r="B5501" s="2">
        <v>1737</v>
      </c>
      <c r="C5501" s="4" t="str">
        <f>HYPERLINK("http://www.uniprot.org/uniprot/M5VZX5","M5VZX5")</f>
        <v>M5VZX5</v>
      </c>
      <c r="D5501" s="2" t="s">
        <v>5028</v>
      </c>
      <c r="E5501" s="3">
        <v>0</v>
      </c>
      <c r="F5501" s="2">
        <v>1741</v>
      </c>
      <c r="G5501" s="2">
        <v>100</v>
      </c>
      <c r="H5501" s="2">
        <v>361</v>
      </c>
      <c r="I5501" s="2">
        <v>558</v>
      </c>
      <c r="J5501" s="2">
        <v>1640</v>
      </c>
      <c r="K5501" s="2">
        <v>1</v>
      </c>
      <c r="L5501" s="2">
        <v>361</v>
      </c>
    </row>
    <row r="5502" spans="1:12" x14ac:dyDescent="0.25">
      <c r="A5502" s="4" t="str">
        <f>HYPERLINK("http://www.rosaceae.org/Prunus/Prunus_persica/p.persica_gdr_reftransV1_0009627","p.persica_gdr_reftransV1_0009627")</f>
        <v>p.persica_gdr_reftransV1_0009627</v>
      </c>
      <c r="B5502" s="2">
        <v>1985</v>
      </c>
      <c r="C5502" s="4" t="str">
        <f>HYPERLINK("http://www.uniprot.org/uniprot/M5W9F3","M5W9F3")</f>
        <v>M5W9F3</v>
      </c>
      <c r="D5502" s="2" t="s">
        <v>5029</v>
      </c>
      <c r="E5502" s="3">
        <v>0</v>
      </c>
      <c r="F5502" s="2">
        <v>1890</v>
      </c>
      <c r="G5502" s="2">
        <v>100</v>
      </c>
      <c r="H5502" s="2">
        <v>384</v>
      </c>
      <c r="I5502" s="2">
        <v>178</v>
      </c>
      <c r="J5502" s="2">
        <v>1329</v>
      </c>
      <c r="K5502" s="2">
        <v>1</v>
      </c>
      <c r="L5502" s="2">
        <v>384</v>
      </c>
    </row>
    <row r="5503" spans="1:12" x14ac:dyDescent="0.25">
      <c r="A5503" s="4" t="str">
        <f>HYPERLINK("http://www.rosaceae.org/Prunus/Prunus_persica/p.persica_gdr_reftransV1_0010677","p.persica_gdr_reftransV1_0010677")</f>
        <v>p.persica_gdr_reftransV1_0010677</v>
      </c>
      <c r="B5503" s="2">
        <v>4027</v>
      </c>
      <c r="C5503" s="4" t="str">
        <f>HYPERLINK("http://www.uniprot.org/uniprot/A5BCQ9","A5BCQ9")</f>
        <v>A5BCQ9</v>
      </c>
      <c r="D5503" s="2" t="s">
        <v>5030</v>
      </c>
      <c r="E5503" s="3">
        <v>0</v>
      </c>
      <c r="F5503" s="2">
        <v>1338</v>
      </c>
      <c r="G5503" s="2">
        <v>58</v>
      </c>
      <c r="H5503" s="2">
        <v>529</v>
      </c>
      <c r="I5503" s="2">
        <v>2470</v>
      </c>
      <c r="J5503" s="2">
        <v>4026</v>
      </c>
      <c r="K5503" s="2">
        <v>701</v>
      </c>
      <c r="L5503" s="2">
        <v>1199</v>
      </c>
    </row>
    <row r="5504" spans="1:12" x14ac:dyDescent="0.25">
      <c r="A5504" s="4" t="str">
        <f>HYPERLINK("http://www.rosaceae.org/Prunus/Prunus_persica/p.persica_gdr_reftransV1_0011727","p.persica_gdr_reftransV1_0011727")</f>
        <v>p.persica_gdr_reftransV1_0011727</v>
      </c>
      <c r="B5504" s="2">
        <v>1270</v>
      </c>
      <c r="C5504" s="4" t="str">
        <f>HYPERLINK("http://www.uniprot.org/uniprot/M5XFR2","M5XFR2")</f>
        <v>M5XFR2</v>
      </c>
      <c r="D5504" s="2" t="s">
        <v>5031</v>
      </c>
      <c r="E5504" s="3">
        <v>1.2400000000000001E-106</v>
      </c>
      <c r="F5504" s="2">
        <v>831</v>
      </c>
      <c r="G5504" s="2">
        <v>100</v>
      </c>
      <c r="H5504" s="2">
        <v>176</v>
      </c>
      <c r="I5504" s="2">
        <v>613</v>
      </c>
      <c r="J5504" s="2">
        <v>1140</v>
      </c>
      <c r="K5504" s="2">
        <v>1</v>
      </c>
      <c r="L5504" s="2">
        <v>176</v>
      </c>
    </row>
    <row r="5505" spans="1:12" x14ac:dyDescent="0.25">
      <c r="A5505" s="4" t="str">
        <f>HYPERLINK("http://www.rosaceae.org/Prunus/Prunus_persica/p.persica_gdr_reftransV1_0012077","p.persica_gdr_reftransV1_0012077")</f>
        <v>p.persica_gdr_reftransV1_0012077</v>
      </c>
      <c r="B5505" s="2">
        <v>1859</v>
      </c>
      <c r="C5505" s="4" t="str">
        <f>HYPERLINK("http://www.uniprot.org/uniprot/M5VQG4","M5VQG4")</f>
        <v>M5VQG4</v>
      </c>
      <c r="D5505" s="2" t="s">
        <v>5032</v>
      </c>
      <c r="E5505" s="3">
        <v>0</v>
      </c>
      <c r="F5505" s="2">
        <v>1578</v>
      </c>
      <c r="G5505" s="2">
        <v>100</v>
      </c>
      <c r="H5505" s="2">
        <v>329</v>
      </c>
      <c r="I5505" s="2">
        <v>120</v>
      </c>
      <c r="J5505" s="2">
        <v>1106</v>
      </c>
      <c r="K5505" s="2">
        <v>1</v>
      </c>
      <c r="L5505" s="2">
        <v>329</v>
      </c>
    </row>
    <row r="5506" spans="1:12" x14ac:dyDescent="0.25">
      <c r="A5506" s="4" t="str">
        <f>HYPERLINK("http://www.rosaceae.org/Prunus/Prunus_persica/p.persica_gdr_reftransV1_0012427","p.persica_gdr_reftransV1_0012427")</f>
        <v>p.persica_gdr_reftransV1_0012427</v>
      </c>
      <c r="B5506" s="2">
        <v>2844</v>
      </c>
      <c r="C5506" s="4" t="str">
        <f>HYPERLINK("http://www.uniprot.org/uniprot/M5VIF6","M5VIF6")</f>
        <v>M5VIF6</v>
      </c>
      <c r="D5506" s="2" t="s">
        <v>3048</v>
      </c>
      <c r="E5506" s="3">
        <v>0</v>
      </c>
      <c r="F5506" s="2">
        <v>3954</v>
      </c>
      <c r="G5506" s="2">
        <v>100</v>
      </c>
      <c r="H5506" s="2">
        <v>882</v>
      </c>
      <c r="I5506" s="2">
        <v>198</v>
      </c>
      <c r="J5506" s="2">
        <v>2843</v>
      </c>
      <c r="K5506" s="2">
        <v>1</v>
      </c>
      <c r="L5506" s="2">
        <v>882</v>
      </c>
    </row>
    <row r="5507" spans="1:12" x14ac:dyDescent="0.25">
      <c r="A5507" s="4" t="str">
        <f>HYPERLINK("http://www.rosaceae.org/Prunus/Prunus_persica/p.persica_gdr_reftransV1_0014877","p.persica_gdr_reftransV1_0014877")</f>
        <v>p.persica_gdr_reftransV1_0014877</v>
      </c>
      <c r="B5507" s="2">
        <v>1741</v>
      </c>
      <c r="C5507" s="4" t="str">
        <f>HYPERLINK("http://www.uniprot.org/uniprot/M5WG53","M5WG53")</f>
        <v>M5WG53</v>
      </c>
      <c r="D5507" s="2" t="s">
        <v>5033</v>
      </c>
      <c r="E5507" s="3">
        <v>9.1200000000000005E-98</v>
      </c>
      <c r="F5507" s="2">
        <v>800</v>
      </c>
      <c r="G5507" s="2">
        <v>100</v>
      </c>
      <c r="H5507" s="2">
        <v>191</v>
      </c>
      <c r="I5507" s="2">
        <v>944</v>
      </c>
      <c r="J5507" s="2">
        <v>1516</v>
      </c>
      <c r="K5507" s="2">
        <v>139</v>
      </c>
      <c r="L5507" s="2">
        <v>329</v>
      </c>
    </row>
    <row r="5508" spans="1:12" x14ac:dyDescent="0.25">
      <c r="A5508" s="4" t="str">
        <f>HYPERLINK("http://www.rosaceae.org/Prunus/Prunus_persica/p.persica_gdr_reftransV1_0015227","p.persica_gdr_reftransV1_0015227")</f>
        <v>p.persica_gdr_reftransV1_0015227</v>
      </c>
      <c r="B5508" s="2">
        <v>1586</v>
      </c>
      <c r="C5508" s="4" t="str">
        <f>HYPERLINK("http://www.uniprot.org/uniprot/M5W8H1","M5W8H1")</f>
        <v>M5W8H1</v>
      </c>
      <c r="D5508" s="2" t="s">
        <v>5034</v>
      </c>
      <c r="E5508" s="3">
        <v>0</v>
      </c>
      <c r="F5508" s="2">
        <v>2089</v>
      </c>
      <c r="G5508" s="2">
        <v>96</v>
      </c>
      <c r="H5508" s="2">
        <v>478</v>
      </c>
      <c r="I5508" s="2">
        <v>123</v>
      </c>
      <c r="J5508" s="2">
        <v>1556</v>
      </c>
      <c r="K5508" s="2">
        <v>1</v>
      </c>
      <c r="L5508" s="2">
        <v>471</v>
      </c>
    </row>
    <row r="5509" spans="1:12" x14ac:dyDescent="0.25">
      <c r="A5509" s="4" t="str">
        <f>HYPERLINK("http://www.rosaceae.org/Prunus/Prunus_persica/p.persica_gdr_reftransV1_0015577","p.persica_gdr_reftransV1_0015577")</f>
        <v>p.persica_gdr_reftransV1_0015577</v>
      </c>
      <c r="B5509" s="2">
        <v>4364</v>
      </c>
      <c r="C5509" s="4" t="str">
        <f>HYPERLINK("http://www.uniprot.org/uniprot/M5X1H2","M5X1H2")</f>
        <v>M5X1H2</v>
      </c>
      <c r="D5509" s="2" t="s">
        <v>4754</v>
      </c>
      <c r="E5509" s="3">
        <v>8.3800000000000007E-93</v>
      </c>
      <c r="F5509" s="2">
        <v>801</v>
      </c>
      <c r="G5509" s="2">
        <v>100</v>
      </c>
      <c r="H5509" s="2">
        <v>210</v>
      </c>
      <c r="I5509" s="2">
        <v>3468</v>
      </c>
      <c r="J5509" s="2">
        <v>4097</v>
      </c>
      <c r="K5509" s="2">
        <v>1</v>
      </c>
      <c r="L5509" s="2">
        <v>210</v>
      </c>
    </row>
    <row r="5510" spans="1:12" x14ac:dyDescent="0.25">
      <c r="A5510" s="4" t="str">
        <f>HYPERLINK("http://www.rosaceae.org/Prunus/Prunus_persica/p.persica_gdr_reftransV1_0015927","p.persica_gdr_reftransV1_0015927")</f>
        <v>p.persica_gdr_reftransV1_0015927</v>
      </c>
      <c r="B5510" s="2">
        <v>1224</v>
      </c>
      <c r="C5510" s="4" t="str">
        <f>HYPERLINK("http://www.uniprot.org/uniprot/M5WST3","M5WST3")</f>
        <v>M5WST3</v>
      </c>
      <c r="D5510" s="2" t="s">
        <v>5035</v>
      </c>
      <c r="E5510" s="3">
        <v>4.6100000000000002E-81</v>
      </c>
      <c r="F5510" s="2">
        <v>658</v>
      </c>
      <c r="G5510" s="2">
        <v>100</v>
      </c>
      <c r="H5510" s="2">
        <v>138</v>
      </c>
      <c r="I5510" s="2">
        <v>390</v>
      </c>
      <c r="J5510" s="2">
        <v>803</v>
      </c>
      <c r="K5510" s="2">
        <v>1</v>
      </c>
      <c r="L5510" s="2">
        <v>138</v>
      </c>
    </row>
    <row r="5511" spans="1:12" x14ac:dyDescent="0.25">
      <c r="A5511" s="4" t="str">
        <f>HYPERLINK("http://www.rosaceae.org/Prunus/Prunus_persica/p.persica_gdr_reftransV1_0018727","p.persica_gdr_reftransV1_0018727")</f>
        <v>p.persica_gdr_reftransV1_0018727</v>
      </c>
      <c r="B5511" s="2">
        <v>1365</v>
      </c>
      <c r="C5511" s="4" t="str">
        <f>HYPERLINK("http://www.uniprot.org/uniprot/M5XCP7","M5XCP7")</f>
        <v>M5XCP7</v>
      </c>
      <c r="D5511" s="2" t="s">
        <v>5036</v>
      </c>
      <c r="E5511" s="3">
        <v>0</v>
      </c>
      <c r="F5511" s="2">
        <v>1810</v>
      </c>
      <c r="G5511" s="2">
        <v>100</v>
      </c>
      <c r="H5511" s="2">
        <v>338</v>
      </c>
      <c r="I5511" s="2">
        <v>331</v>
      </c>
      <c r="J5511" s="2">
        <v>1344</v>
      </c>
      <c r="K5511" s="2">
        <v>1</v>
      </c>
      <c r="L5511" s="2">
        <v>338</v>
      </c>
    </row>
    <row r="5512" spans="1:12" x14ac:dyDescent="0.25">
      <c r="A5512" s="4" t="str">
        <f>HYPERLINK("http://www.rosaceae.org/Prunus/Prunus_persica/p.persica_gdr_reftransV1_0019077","p.persica_gdr_reftransV1_0019077")</f>
        <v>p.persica_gdr_reftransV1_0019077</v>
      </c>
      <c r="B5512" s="2">
        <v>5286</v>
      </c>
      <c r="C5512" s="4" t="str">
        <f>HYPERLINK("http://www.uniprot.org/uniprot/M5WEH0","M5WEH0")</f>
        <v>M5WEH0</v>
      </c>
      <c r="D5512" s="2" t="s">
        <v>5037</v>
      </c>
      <c r="E5512" s="3">
        <v>0</v>
      </c>
      <c r="F5512" s="2">
        <v>1634</v>
      </c>
      <c r="G5512" s="2">
        <v>97</v>
      </c>
      <c r="H5512" s="2">
        <v>308</v>
      </c>
      <c r="I5512" s="2">
        <v>3761</v>
      </c>
      <c r="J5512" s="2">
        <v>4684</v>
      </c>
      <c r="K5512" s="2">
        <v>1</v>
      </c>
      <c r="L5512" s="2">
        <v>308</v>
      </c>
    </row>
    <row r="5513" spans="1:12" x14ac:dyDescent="0.25">
      <c r="A5513" s="4" t="str">
        <f>HYPERLINK("http://www.rosaceae.org/Prunus/Prunus_persica/p.persica_gdr_reftransV1_0019427","p.persica_gdr_reftransV1_0019427")</f>
        <v>p.persica_gdr_reftransV1_0019427</v>
      </c>
      <c r="B5513" s="2">
        <v>2533</v>
      </c>
      <c r="C5513" s="4" t="str">
        <f>HYPERLINK("http://www.uniprot.org/uniprot/M5XJG9","M5XJG9")</f>
        <v>M5XJG9</v>
      </c>
      <c r="D5513" s="2" t="s">
        <v>5038</v>
      </c>
      <c r="E5513" s="3">
        <v>0</v>
      </c>
      <c r="F5513" s="2">
        <v>2156</v>
      </c>
      <c r="G5513" s="2">
        <v>82</v>
      </c>
      <c r="H5513" s="2">
        <v>519</v>
      </c>
      <c r="I5513" s="2">
        <v>687</v>
      </c>
      <c r="J5513" s="2">
        <v>2243</v>
      </c>
      <c r="K5513" s="2">
        <v>1</v>
      </c>
      <c r="L5513" s="2">
        <v>449</v>
      </c>
    </row>
    <row r="5514" spans="1:12" x14ac:dyDescent="0.25">
      <c r="A5514" s="4" t="str">
        <f>HYPERLINK("http://www.rosaceae.org/Prunus/Prunus_persica/p.persica_gdr_reftransV1_0020477","p.persica_gdr_reftransV1_0020477")</f>
        <v>p.persica_gdr_reftransV1_0020477</v>
      </c>
      <c r="B5514" s="2">
        <v>1084</v>
      </c>
      <c r="C5514" s="4" t="str">
        <f>HYPERLINK("http://www.uniprot.org/uniprot/M5Y7I5","M5Y7I5")</f>
        <v>M5Y7I5</v>
      </c>
      <c r="D5514" s="2" t="s">
        <v>5039</v>
      </c>
      <c r="E5514" s="3">
        <v>4.0400000000000001E-160</v>
      </c>
      <c r="F5514" s="2">
        <v>1184</v>
      </c>
      <c r="G5514" s="2">
        <v>100</v>
      </c>
      <c r="H5514" s="2">
        <v>231</v>
      </c>
      <c r="I5514" s="2">
        <v>107</v>
      </c>
      <c r="J5514" s="2">
        <v>799</v>
      </c>
      <c r="K5514" s="2">
        <v>1</v>
      </c>
      <c r="L5514" s="2">
        <v>231</v>
      </c>
    </row>
    <row r="5515" spans="1:12" x14ac:dyDescent="0.25">
      <c r="A5515" s="4" t="str">
        <f>HYPERLINK("http://www.rosaceae.org/Prunus/Prunus_persica/p.persica_gdr_reftransV1_0020827","p.persica_gdr_reftransV1_0020827")</f>
        <v>p.persica_gdr_reftransV1_0020827</v>
      </c>
      <c r="B5515" s="2">
        <v>2168</v>
      </c>
      <c r="C5515" s="4" t="str">
        <f>HYPERLINK("http://www.uniprot.org/uniprot/M5WN55","M5WN55")</f>
        <v>M5WN55</v>
      </c>
      <c r="D5515" s="2" t="s">
        <v>5040</v>
      </c>
      <c r="E5515" s="3">
        <v>0</v>
      </c>
      <c r="F5515" s="2">
        <v>2901</v>
      </c>
      <c r="G5515" s="2">
        <v>100</v>
      </c>
      <c r="H5515" s="2">
        <v>576</v>
      </c>
      <c r="I5515" s="2">
        <v>255</v>
      </c>
      <c r="J5515" s="2">
        <v>1982</v>
      </c>
      <c r="K5515" s="2">
        <v>1</v>
      </c>
      <c r="L5515" s="2">
        <v>576</v>
      </c>
    </row>
    <row r="5516" spans="1:12" x14ac:dyDescent="0.25">
      <c r="A5516" s="4" t="str">
        <f>HYPERLINK("http://www.rosaceae.org/Prunus/Prunus_persica/p.persica_gdr_reftransV1_0022227","p.persica_gdr_reftransV1_0022227")</f>
        <v>p.persica_gdr_reftransV1_0022227</v>
      </c>
      <c r="B5516" s="2">
        <v>1741</v>
      </c>
      <c r="C5516" s="4" t="str">
        <f>HYPERLINK("http://www.uniprot.org/uniprot/W9RU62","W9RU62")</f>
        <v>W9RU62</v>
      </c>
      <c r="D5516" s="2" t="s">
        <v>5041</v>
      </c>
      <c r="E5516" s="3">
        <v>0</v>
      </c>
      <c r="F5516" s="2">
        <v>1702</v>
      </c>
      <c r="G5516" s="2">
        <v>73</v>
      </c>
      <c r="H5516" s="2">
        <v>491</v>
      </c>
      <c r="I5516" s="2">
        <v>283</v>
      </c>
      <c r="J5516" s="2">
        <v>1641</v>
      </c>
      <c r="K5516" s="2">
        <v>4</v>
      </c>
      <c r="L5516" s="2">
        <v>493</v>
      </c>
    </row>
    <row r="5517" spans="1:12" x14ac:dyDescent="0.25">
      <c r="A5517" s="4" t="str">
        <f>HYPERLINK("http://www.rosaceae.org/Prunus/Prunus_persica/p.persica_gdr_reftransV1_0023627","p.persica_gdr_reftransV1_0023627")</f>
        <v>p.persica_gdr_reftransV1_0023627</v>
      </c>
      <c r="B5517" s="2">
        <v>2981</v>
      </c>
      <c r="C5517" s="4" t="str">
        <f>HYPERLINK("http://www.uniprot.org/uniprot/M5WQU1","M5WQU1")</f>
        <v>M5WQU1</v>
      </c>
      <c r="D5517" s="2" t="s">
        <v>5042</v>
      </c>
      <c r="E5517" s="3">
        <v>0</v>
      </c>
      <c r="F5517" s="2">
        <v>3590</v>
      </c>
      <c r="G5517" s="2">
        <v>100</v>
      </c>
      <c r="H5517" s="2">
        <v>816</v>
      </c>
      <c r="I5517" s="2">
        <v>154</v>
      </c>
      <c r="J5517" s="2">
        <v>2601</v>
      </c>
      <c r="K5517" s="2">
        <v>14</v>
      </c>
      <c r="L5517" s="2">
        <v>829</v>
      </c>
    </row>
    <row r="5518" spans="1:12" x14ac:dyDescent="0.25">
      <c r="A5518" s="4" t="str">
        <f>HYPERLINK("http://www.rosaceae.org/Prunus/Prunus_persica/p.persica_gdr_reftransV1_0024677","p.persica_gdr_reftransV1_0024677")</f>
        <v>p.persica_gdr_reftransV1_0024677</v>
      </c>
      <c r="B5518" s="2">
        <v>1902</v>
      </c>
      <c r="C5518" s="4" t="str">
        <f>HYPERLINK("http://www.uniprot.org/uniprot/M5X351","M5X351")</f>
        <v>M5X351</v>
      </c>
      <c r="D5518" s="2" t="s">
        <v>5043</v>
      </c>
      <c r="E5518" s="3">
        <v>5.5400000000000002E-63</v>
      </c>
      <c r="F5518" s="2">
        <v>572</v>
      </c>
      <c r="G5518" s="2">
        <v>100</v>
      </c>
      <c r="H5518" s="2">
        <v>140</v>
      </c>
      <c r="I5518" s="2">
        <v>1135</v>
      </c>
      <c r="J5518" s="2">
        <v>1554</v>
      </c>
      <c r="K5518" s="2">
        <v>73</v>
      </c>
      <c r="L5518" s="2">
        <v>212</v>
      </c>
    </row>
    <row r="5519" spans="1:12" x14ac:dyDescent="0.25">
      <c r="A5519" s="4" t="str">
        <f>HYPERLINK("http://www.rosaceae.org/Prunus/Prunus_persica/p.persica_gdr_reftransV1_0027477","p.persica_gdr_reftransV1_0027477")</f>
        <v>p.persica_gdr_reftransV1_0027477</v>
      </c>
      <c r="B5519" s="2">
        <v>459</v>
      </c>
      <c r="C5519" s="4" t="str">
        <f>HYPERLINK("http://www.uniprot.org/uniprot/M5VIJ1","M5VIJ1")</f>
        <v>M5VIJ1</v>
      </c>
      <c r="D5519" s="2" t="s">
        <v>744</v>
      </c>
      <c r="E5519" s="3">
        <v>1.82E-93</v>
      </c>
      <c r="F5519" s="2">
        <v>779</v>
      </c>
      <c r="G5519" s="2">
        <v>99</v>
      </c>
      <c r="H5519" s="2">
        <v>152</v>
      </c>
      <c r="I5519" s="2">
        <v>2</v>
      </c>
      <c r="J5519" s="2">
        <v>457</v>
      </c>
      <c r="K5519" s="2">
        <v>304</v>
      </c>
      <c r="L5519" s="2">
        <v>455</v>
      </c>
    </row>
    <row r="5520" spans="1:12" x14ac:dyDescent="0.25">
      <c r="A5520" s="4" t="str">
        <f>HYPERLINK("http://www.rosaceae.org/Prunus/Prunus_persica/p.persica_gdr_reftransV1_0027827","p.persica_gdr_reftransV1_0027827")</f>
        <v>p.persica_gdr_reftransV1_0027827</v>
      </c>
      <c r="B5520" s="2">
        <v>2821</v>
      </c>
      <c r="C5520" s="4" t="str">
        <f>HYPERLINK("http://www.uniprot.org/uniprot/M5Y678","M5Y678")</f>
        <v>M5Y678</v>
      </c>
      <c r="D5520" s="2" t="s">
        <v>5044</v>
      </c>
      <c r="E5520" s="3">
        <v>0</v>
      </c>
      <c r="F5520" s="2">
        <v>3485</v>
      </c>
      <c r="G5520" s="2">
        <v>99</v>
      </c>
      <c r="H5520" s="2">
        <v>717</v>
      </c>
      <c r="I5520" s="2">
        <v>149</v>
      </c>
      <c r="J5520" s="2">
        <v>2299</v>
      </c>
      <c r="K5520" s="2">
        <v>53</v>
      </c>
      <c r="L5520" s="2">
        <v>769</v>
      </c>
    </row>
    <row r="5521" spans="1:12" x14ac:dyDescent="0.25">
      <c r="A5521" s="4" t="str">
        <f>HYPERLINK("http://www.rosaceae.org/Prunus/Prunus_persica/p.persica_gdr_reftransV1_0031327","p.persica_gdr_reftransV1_0031327")</f>
        <v>p.persica_gdr_reftransV1_0031327</v>
      </c>
      <c r="B5521" s="2">
        <v>3171</v>
      </c>
      <c r="C5521" s="4" t="str">
        <f>HYPERLINK("http://www.uniprot.org/uniprot/M5WRK2","M5WRK2")</f>
        <v>M5WRK2</v>
      </c>
      <c r="D5521" s="2" t="s">
        <v>5045</v>
      </c>
      <c r="E5521" s="3">
        <v>0</v>
      </c>
      <c r="F5521" s="2">
        <v>3678</v>
      </c>
      <c r="G5521" s="2">
        <v>99</v>
      </c>
      <c r="H5521" s="2">
        <v>695</v>
      </c>
      <c r="I5521" s="2">
        <v>656</v>
      </c>
      <c r="J5521" s="2">
        <v>2740</v>
      </c>
      <c r="K5521" s="2">
        <v>20</v>
      </c>
      <c r="L5521" s="2">
        <v>714</v>
      </c>
    </row>
    <row r="5522" spans="1:12" x14ac:dyDescent="0.25">
      <c r="A5522" s="4" t="str">
        <f>HYPERLINK("http://www.rosaceae.org/Prunus/Prunus_persica/p.persica_gdr_reftransV1_0033427","p.persica_gdr_reftransV1_0033427")</f>
        <v>p.persica_gdr_reftransV1_0033427</v>
      </c>
      <c r="B5522" s="2">
        <v>2140</v>
      </c>
      <c r="C5522" s="4" t="str">
        <f>HYPERLINK("http://www.uniprot.org/uniprot/M5WDI3","M5WDI3")</f>
        <v>M5WDI3</v>
      </c>
      <c r="D5522" s="2" t="s">
        <v>5046</v>
      </c>
      <c r="E5522" s="3">
        <v>0</v>
      </c>
      <c r="F5522" s="2">
        <v>2291</v>
      </c>
      <c r="G5522" s="2">
        <v>100</v>
      </c>
      <c r="H5522" s="2">
        <v>479</v>
      </c>
      <c r="I5522" s="2">
        <v>381</v>
      </c>
      <c r="J5522" s="2">
        <v>1817</v>
      </c>
      <c r="K5522" s="2">
        <v>9</v>
      </c>
      <c r="L5522" s="2">
        <v>487</v>
      </c>
    </row>
    <row r="5523" spans="1:12" x14ac:dyDescent="0.25">
      <c r="A5523" s="4" t="str">
        <f>HYPERLINK("http://www.rosaceae.org/Prunus/Prunus_persica/p.persica_gdr_reftransV1_0034127","p.persica_gdr_reftransV1_0034127")</f>
        <v>p.persica_gdr_reftransV1_0034127</v>
      </c>
      <c r="B5523" s="2">
        <v>1587</v>
      </c>
      <c r="C5523" s="4" t="str">
        <f>HYPERLINK("http://www.uniprot.org/uniprot/M5VN77","M5VN77")</f>
        <v>M5VN77</v>
      </c>
      <c r="D5523" s="2" t="s">
        <v>5047</v>
      </c>
      <c r="E5523" s="3">
        <v>0</v>
      </c>
      <c r="F5523" s="2">
        <v>2009</v>
      </c>
      <c r="G5523" s="2">
        <v>100</v>
      </c>
      <c r="H5523" s="2">
        <v>391</v>
      </c>
      <c r="I5523" s="2">
        <v>282</v>
      </c>
      <c r="J5523" s="2">
        <v>1454</v>
      </c>
      <c r="K5523" s="2">
        <v>1</v>
      </c>
      <c r="L5523" s="2">
        <v>391</v>
      </c>
    </row>
    <row r="5524" spans="1:12" x14ac:dyDescent="0.25">
      <c r="A5524" s="4" t="str">
        <f>HYPERLINK("http://www.rosaceae.org/Prunus/Prunus_persica/p.persica_gdr_reftransV1_0035877","p.persica_gdr_reftransV1_0035877")</f>
        <v>p.persica_gdr_reftransV1_0035877</v>
      </c>
      <c r="B5524" s="2">
        <v>2649</v>
      </c>
      <c r="C5524" s="4" t="str">
        <f>HYPERLINK("http://www.uniprot.org/uniprot/M5Y8A6","M5Y8A6")</f>
        <v>M5Y8A6</v>
      </c>
      <c r="D5524" s="2" t="s">
        <v>1819</v>
      </c>
      <c r="E5524" s="3">
        <v>0</v>
      </c>
      <c r="F5524" s="2">
        <v>2788</v>
      </c>
      <c r="G5524" s="2">
        <v>98</v>
      </c>
      <c r="H5524" s="2">
        <v>556</v>
      </c>
      <c r="I5524" s="2">
        <v>981</v>
      </c>
      <c r="J5524" s="2">
        <v>2648</v>
      </c>
      <c r="K5524" s="2">
        <v>123</v>
      </c>
      <c r="L5524" s="2">
        <v>675</v>
      </c>
    </row>
    <row r="5525" spans="1:12" x14ac:dyDescent="0.25">
      <c r="A5525" s="4" t="str">
        <f>HYPERLINK("http://www.rosaceae.org/Prunus/Prunus_persica/p.persica_gdr_reftransV1_0038327","p.persica_gdr_reftransV1_0038327")</f>
        <v>p.persica_gdr_reftransV1_0038327</v>
      </c>
      <c r="B5525" s="2">
        <v>1706</v>
      </c>
      <c r="C5525" s="4" t="str">
        <f>HYPERLINK("http://www.uniprot.org/uniprot/M5WGN0","M5WGN0")</f>
        <v>M5WGN0</v>
      </c>
      <c r="D5525" s="2" t="s">
        <v>524</v>
      </c>
      <c r="E5525" s="3">
        <v>4.5499999999999998E-154</v>
      </c>
      <c r="F5525" s="2">
        <v>1171</v>
      </c>
      <c r="G5525" s="2">
        <v>98</v>
      </c>
      <c r="H5525" s="2">
        <v>226</v>
      </c>
      <c r="I5525" s="2">
        <v>703</v>
      </c>
      <c r="J5525" s="2">
        <v>1380</v>
      </c>
      <c r="K5525" s="2">
        <v>1</v>
      </c>
      <c r="L5525" s="2">
        <v>226</v>
      </c>
    </row>
    <row r="5526" spans="1:12" x14ac:dyDescent="0.25">
      <c r="A5526" s="4" t="str">
        <f>HYPERLINK("http://www.rosaceae.org/Prunus/Prunus_persica/p.persica_gdr_reftransV1_0039727","p.persica_gdr_reftransV1_0039727")</f>
        <v>p.persica_gdr_reftransV1_0039727</v>
      </c>
      <c r="B5526" s="2">
        <v>3069</v>
      </c>
      <c r="C5526" s="4" t="str">
        <f>HYPERLINK("http://www.uniprot.org/uniprot/M5XNP1","M5XNP1")</f>
        <v>M5XNP1</v>
      </c>
      <c r="D5526" s="2" t="s">
        <v>5048</v>
      </c>
      <c r="E5526" s="3">
        <v>0</v>
      </c>
      <c r="F5526" s="2">
        <v>3519</v>
      </c>
      <c r="G5526" s="2">
        <v>93</v>
      </c>
      <c r="H5526" s="2">
        <v>888</v>
      </c>
      <c r="I5526" s="2">
        <v>157</v>
      </c>
      <c r="J5526" s="2">
        <v>2820</v>
      </c>
      <c r="K5526" s="2">
        <v>1163</v>
      </c>
      <c r="L5526" s="2">
        <v>1989</v>
      </c>
    </row>
    <row r="5527" spans="1:12" x14ac:dyDescent="0.25">
      <c r="A5527" s="4" t="str">
        <f>HYPERLINK("http://www.rosaceae.org/Prunus/Prunus_persica/p.persica_gdr_reftransV1_0041827","p.persica_gdr_reftransV1_0041827")</f>
        <v>p.persica_gdr_reftransV1_0041827</v>
      </c>
      <c r="B5527" s="2">
        <v>3295</v>
      </c>
      <c r="C5527" s="4" t="str">
        <f>HYPERLINK("http://www.uniprot.org/uniprot/M5W616","M5W616")</f>
        <v>M5W616</v>
      </c>
      <c r="D5527" s="2" t="s">
        <v>5049</v>
      </c>
      <c r="E5527" s="3">
        <v>7.7199999999999994E-133</v>
      </c>
      <c r="F5527" s="2">
        <v>1085</v>
      </c>
      <c r="G5527" s="2">
        <v>100</v>
      </c>
      <c r="H5527" s="2">
        <v>213</v>
      </c>
      <c r="I5527" s="2">
        <v>585</v>
      </c>
      <c r="J5527" s="2">
        <v>1223</v>
      </c>
      <c r="K5527" s="2">
        <v>232</v>
      </c>
      <c r="L5527" s="2">
        <v>444</v>
      </c>
    </row>
    <row r="5528" spans="1:12" x14ac:dyDescent="0.25">
      <c r="A5528" s="4" t="str">
        <f>HYPERLINK("http://www.rosaceae.org/Prunus/Prunus_persica/p.persica_gdr_reftransV1_0043227","p.persica_gdr_reftransV1_0043227")</f>
        <v>p.persica_gdr_reftransV1_0043227</v>
      </c>
      <c r="B5528" s="2">
        <v>1171</v>
      </c>
      <c r="C5528" s="4" t="str">
        <f>HYPERLINK("http://www.uniprot.org/uniprot/M5XNM6","M5XNM6")</f>
        <v>M5XNM6</v>
      </c>
      <c r="D5528" s="2" t="s">
        <v>5050</v>
      </c>
      <c r="E5528" s="3">
        <v>0</v>
      </c>
      <c r="F5528" s="2">
        <v>1652</v>
      </c>
      <c r="G5528" s="2">
        <v>100</v>
      </c>
      <c r="H5528" s="2">
        <v>309</v>
      </c>
      <c r="I5528" s="2">
        <v>180</v>
      </c>
      <c r="J5528" s="2">
        <v>1106</v>
      </c>
      <c r="K5528" s="2">
        <v>1</v>
      </c>
      <c r="L5528" s="2">
        <v>309</v>
      </c>
    </row>
    <row r="5529" spans="1:12" x14ac:dyDescent="0.25">
      <c r="A5529" s="4" t="str">
        <f>HYPERLINK("http://www.rosaceae.org/Prunus/Prunus_persica/p.persica_gdr_reftransV1_0043577","p.persica_gdr_reftransV1_0043577")</f>
        <v>p.persica_gdr_reftransV1_0043577</v>
      </c>
      <c r="B5529" s="2">
        <v>1555</v>
      </c>
      <c r="C5529" s="4" t="str">
        <f>HYPERLINK("http://www.uniprot.org/uniprot/M5WAR6","M5WAR6")</f>
        <v>M5WAR6</v>
      </c>
      <c r="D5529" s="2" t="s">
        <v>5051</v>
      </c>
      <c r="E5529" s="3">
        <v>0</v>
      </c>
      <c r="F5529" s="2">
        <v>2169</v>
      </c>
      <c r="G5529" s="2">
        <v>100</v>
      </c>
      <c r="H5529" s="2">
        <v>403</v>
      </c>
      <c r="I5529" s="2">
        <v>191</v>
      </c>
      <c r="J5529" s="2">
        <v>1399</v>
      </c>
      <c r="K5529" s="2">
        <v>1</v>
      </c>
      <c r="L5529" s="2">
        <v>403</v>
      </c>
    </row>
    <row r="5530" spans="1:12" x14ac:dyDescent="0.25">
      <c r="A5530" s="4" t="str">
        <f>HYPERLINK("http://www.rosaceae.org/Prunus/Prunus_persica/p.persica_gdr_reftransV1_0043927","p.persica_gdr_reftransV1_0043927")</f>
        <v>p.persica_gdr_reftransV1_0043927</v>
      </c>
      <c r="B5530" s="2">
        <v>344</v>
      </c>
      <c r="C5530" s="4" t="str">
        <f>HYPERLINK("http://www.uniprot.org/uniprot/M5XXW6","M5XXW6")</f>
        <v>M5XXW6</v>
      </c>
      <c r="D5530" s="2" t="s">
        <v>5052</v>
      </c>
      <c r="E5530" s="3">
        <v>1.4400000000000001E-73</v>
      </c>
      <c r="F5530" s="2">
        <v>607</v>
      </c>
      <c r="G5530" s="2">
        <v>100</v>
      </c>
      <c r="H5530" s="2">
        <v>114</v>
      </c>
      <c r="I5530" s="2">
        <v>1</v>
      </c>
      <c r="J5530" s="2">
        <v>342</v>
      </c>
      <c r="K5530" s="2">
        <v>359</v>
      </c>
      <c r="L5530" s="2">
        <v>472</v>
      </c>
    </row>
    <row r="5531" spans="1:12" x14ac:dyDescent="0.25">
      <c r="A5531" s="4" t="str">
        <f>HYPERLINK("http://www.rosaceae.org/Prunus/Prunus_persica/p.persica_gdr_reftransV1_0044277","p.persica_gdr_reftransV1_0044277")</f>
        <v>p.persica_gdr_reftransV1_0044277</v>
      </c>
      <c r="B5531" s="2">
        <v>1988</v>
      </c>
      <c r="C5531" s="4" t="str">
        <f>HYPERLINK("http://www.uniprot.org/uniprot/M5WXL3","M5WXL3")</f>
        <v>M5WXL3</v>
      </c>
      <c r="D5531" s="2" t="s">
        <v>3660</v>
      </c>
      <c r="E5531" s="3">
        <v>0</v>
      </c>
      <c r="F5531" s="2">
        <v>2587</v>
      </c>
      <c r="G5531" s="2">
        <v>99</v>
      </c>
      <c r="H5531" s="2">
        <v>529</v>
      </c>
      <c r="I5531" s="2">
        <v>100</v>
      </c>
      <c r="J5531" s="2">
        <v>1686</v>
      </c>
      <c r="K5531" s="2">
        <v>1</v>
      </c>
      <c r="L5531" s="2">
        <v>529</v>
      </c>
    </row>
    <row r="5532" spans="1:12" x14ac:dyDescent="0.25">
      <c r="A5532" s="4" t="str">
        <f>HYPERLINK("http://www.rosaceae.org/Prunus/Prunus_persica/p.persica_gdr_reftransV1_0044627","p.persica_gdr_reftransV1_0044627")</f>
        <v>p.persica_gdr_reftransV1_0044627</v>
      </c>
      <c r="B5532" s="2">
        <v>1846</v>
      </c>
      <c r="C5532" s="4" t="str">
        <f>HYPERLINK("http://www.uniprot.org/uniprot/M5WM58","M5WM58")</f>
        <v>M5WM58</v>
      </c>
      <c r="D5532" s="2" t="s">
        <v>1979</v>
      </c>
      <c r="E5532" s="3">
        <v>0</v>
      </c>
      <c r="F5532" s="2">
        <v>2450</v>
      </c>
      <c r="G5532" s="2">
        <v>100</v>
      </c>
      <c r="H5532" s="2">
        <v>470</v>
      </c>
      <c r="I5532" s="2">
        <v>335</v>
      </c>
      <c r="J5532" s="2">
        <v>1744</v>
      </c>
      <c r="K5532" s="2">
        <v>139</v>
      </c>
      <c r="L5532" s="2">
        <v>608</v>
      </c>
    </row>
    <row r="5533" spans="1:12" x14ac:dyDescent="0.25">
      <c r="A5533" s="4" t="str">
        <f>HYPERLINK("http://www.rosaceae.org/Prunus/Prunus_persica/p.persica_gdr_reftransV1_0044977","p.persica_gdr_reftransV1_0044977")</f>
        <v>p.persica_gdr_reftransV1_0044977</v>
      </c>
      <c r="B5533" s="2">
        <v>1550</v>
      </c>
      <c r="C5533" s="4" t="str">
        <f>HYPERLINK("http://www.uniprot.org/uniprot/M5Y3B0","M5Y3B0")</f>
        <v>M5Y3B0</v>
      </c>
      <c r="D5533" s="2" t="s">
        <v>5053</v>
      </c>
      <c r="E5533" s="3">
        <v>0</v>
      </c>
      <c r="F5533" s="2">
        <v>2256</v>
      </c>
      <c r="G5533" s="2">
        <v>100</v>
      </c>
      <c r="H5533" s="2">
        <v>421</v>
      </c>
      <c r="I5533" s="2">
        <v>191</v>
      </c>
      <c r="J5533" s="2">
        <v>1453</v>
      </c>
      <c r="K5533" s="2">
        <v>1</v>
      </c>
      <c r="L5533" s="2">
        <v>421</v>
      </c>
    </row>
    <row r="5534" spans="1:12" x14ac:dyDescent="0.25">
      <c r="A5534" s="4" t="str">
        <f>HYPERLINK("http://www.rosaceae.org/Prunus/Prunus_persica/p.persica_gdr_reftransV1_0045327","p.persica_gdr_reftransV1_0045327")</f>
        <v>p.persica_gdr_reftransV1_0045327</v>
      </c>
      <c r="B5534" s="2">
        <v>5900</v>
      </c>
      <c r="C5534" s="4" t="str">
        <f>HYPERLINK("http://www.uniprot.org/uniprot/M5X2Q2","M5X2Q2")</f>
        <v>M5X2Q2</v>
      </c>
      <c r="D5534" s="2" t="s">
        <v>5054</v>
      </c>
      <c r="E5534" s="3">
        <v>0</v>
      </c>
      <c r="F5534" s="2">
        <v>7928</v>
      </c>
      <c r="G5534" s="2">
        <v>100</v>
      </c>
      <c r="H5534" s="2">
        <v>1750</v>
      </c>
      <c r="I5534" s="2">
        <v>368</v>
      </c>
      <c r="J5534" s="2">
        <v>5617</v>
      </c>
      <c r="K5534" s="2">
        <v>1</v>
      </c>
      <c r="L5534" s="2">
        <v>1748</v>
      </c>
    </row>
    <row r="5535" spans="1:12" x14ac:dyDescent="0.25">
      <c r="A5535" s="4" t="str">
        <f>HYPERLINK("http://www.rosaceae.org/Prunus/Prunus_persica/p.persica_gdr_reftransV1_0045677","p.persica_gdr_reftransV1_0045677")</f>
        <v>p.persica_gdr_reftransV1_0045677</v>
      </c>
      <c r="B5535" s="2">
        <v>793</v>
      </c>
      <c r="C5535" s="4" t="str">
        <f>HYPERLINK("http://www.uniprot.org/uniprot/M5XBY8","M5XBY8")</f>
        <v>M5XBY8</v>
      </c>
      <c r="D5535" s="2" t="s">
        <v>5055</v>
      </c>
      <c r="E5535" s="3">
        <v>6.6700000000000003E-134</v>
      </c>
      <c r="F5535" s="2">
        <v>1020</v>
      </c>
      <c r="G5535" s="2">
        <v>92</v>
      </c>
      <c r="H5535" s="2">
        <v>207</v>
      </c>
      <c r="I5535" s="2">
        <v>2</v>
      </c>
      <c r="J5535" s="2">
        <v>622</v>
      </c>
      <c r="K5535" s="2">
        <v>233</v>
      </c>
      <c r="L5535" s="2">
        <v>438</v>
      </c>
    </row>
    <row r="5536" spans="1:12" x14ac:dyDescent="0.25">
      <c r="A5536" s="4" t="str">
        <f>HYPERLINK("http://www.rosaceae.org/Prunus/Prunus_persica/p.persica_gdr_reftransV1_0046027","p.persica_gdr_reftransV1_0046027")</f>
        <v>p.persica_gdr_reftransV1_0046027</v>
      </c>
      <c r="B5536" s="2">
        <v>808</v>
      </c>
      <c r="C5536" s="4" t="str">
        <f>HYPERLINK("http://www.uniprot.org/uniprot/M5WHP1","M5WHP1")</f>
        <v>M5WHP1</v>
      </c>
      <c r="D5536" s="2" t="s">
        <v>5056</v>
      </c>
      <c r="E5536" s="3">
        <v>2.7600000000000002E-108</v>
      </c>
      <c r="F5536" s="2">
        <v>827</v>
      </c>
      <c r="G5536" s="2">
        <v>99</v>
      </c>
      <c r="H5536" s="2">
        <v>181</v>
      </c>
      <c r="I5536" s="2">
        <v>148</v>
      </c>
      <c r="J5536" s="2">
        <v>690</v>
      </c>
      <c r="K5536" s="2">
        <v>1</v>
      </c>
      <c r="L5536" s="2">
        <v>181</v>
      </c>
    </row>
    <row r="5537" spans="1:12" x14ac:dyDescent="0.25">
      <c r="A5537" s="4" t="str">
        <f>HYPERLINK("http://www.rosaceae.org/Prunus/Prunus_persica/p.persica_gdr_reftransV1_0046377","p.persica_gdr_reftransV1_0046377")</f>
        <v>p.persica_gdr_reftransV1_0046377</v>
      </c>
      <c r="B5537" s="2">
        <v>3919</v>
      </c>
      <c r="C5537" s="4" t="str">
        <f>HYPERLINK("http://www.uniprot.org/uniprot/M5XSQ0","M5XSQ0")</f>
        <v>M5XSQ0</v>
      </c>
      <c r="D5537" s="2" t="s">
        <v>5057</v>
      </c>
      <c r="E5537" s="3">
        <v>0</v>
      </c>
      <c r="F5537" s="2">
        <v>5940</v>
      </c>
      <c r="G5537" s="2">
        <v>100</v>
      </c>
      <c r="H5537" s="2">
        <v>1255</v>
      </c>
      <c r="I5537" s="2">
        <v>3</v>
      </c>
      <c r="J5537" s="2">
        <v>3767</v>
      </c>
      <c r="K5537" s="2">
        <v>4</v>
      </c>
      <c r="L5537" s="2">
        <v>1258</v>
      </c>
    </row>
    <row r="5538" spans="1:12" x14ac:dyDescent="0.25">
      <c r="A5538" s="4" t="str">
        <f>HYPERLINK("http://www.rosaceae.org/Prunus/Prunus_persica/p.persica_gdr_reftransV1_0046727","p.persica_gdr_reftransV1_0046727")</f>
        <v>p.persica_gdr_reftransV1_0046727</v>
      </c>
      <c r="B5538" s="2">
        <v>312</v>
      </c>
      <c r="C5538" s="4" t="str">
        <f>HYPERLINK("http://www.uniprot.org/uniprot/A0A068B3L0","A0A068B3L0")</f>
        <v>A0A068B3L0</v>
      </c>
      <c r="D5538" s="2" t="s">
        <v>5058</v>
      </c>
      <c r="E5538" s="3">
        <v>3.3500000000000001E-44</v>
      </c>
      <c r="F5538" s="2">
        <v>406</v>
      </c>
      <c r="G5538" s="2">
        <v>70</v>
      </c>
      <c r="H5538" s="2">
        <v>101</v>
      </c>
      <c r="I5538" s="2">
        <v>13</v>
      </c>
      <c r="J5538" s="2">
        <v>312</v>
      </c>
      <c r="K5538" s="2">
        <v>463</v>
      </c>
      <c r="L5538" s="2">
        <v>563</v>
      </c>
    </row>
    <row r="5539" spans="1:12" x14ac:dyDescent="0.25">
      <c r="A5539" s="4" t="str">
        <f>HYPERLINK("http://www.rosaceae.org/Prunus/Prunus_persica/p.persica_gdr_reftransV1_0047077","p.persica_gdr_reftransV1_0047077")</f>
        <v>p.persica_gdr_reftransV1_0047077</v>
      </c>
      <c r="B5539" s="2">
        <v>1488</v>
      </c>
      <c r="C5539" s="4" t="str">
        <f>HYPERLINK("http://www.uniprot.org/uniprot/M5WFQ0","M5WFQ0")</f>
        <v>M5WFQ0</v>
      </c>
      <c r="D5539" s="2" t="s">
        <v>5059</v>
      </c>
      <c r="E5539" s="3">
        <v>0</v>
      </c>
      <c r="F5539" s="2">
        <v>2121</v>
      </c>
      <c r="G5539" s="2">
        <v>96</v>
      </c>
      <c r="H5539" s="2">
        <v>417</v>
      </c>
      <c r="I5539" s="2">
        <v>236</v>
      </c>
      <c r="J5539" s="2">
        <v>1486</v>
      </c>
      <c r="K5539" s="2">
        <v>1306</v>
      </c>
      <c r="L5539" s="2">
        <v>1722</v>
      </c>
    </row>
    <row r="5540" spans="1:12" x14ac:dyDescent="0.25">
      <c r="A5540" s="4" t="str">
        <f>HYPERLINK("http://www.rosaceae.org/Prunus/Prunus_persica/p.persica_gdr_reftransV1_0047427","p.persica_gdr_reftransV1_0047427")</f>
        <v>p.persica_gdr_reftransV1_0047427</v>
      </c>
      <c r="B5540" s="2">
        <v>737</v>
      </c>
      <c r="C5540" s="4" t="str">
        <f>HYPERLINK("http://www.uniprot.org/uniprot/M5XZK5","M5XZK5")</f>
        <v>M5XZK5</v>
      </c>
      <c r="D5540" s="2" t="s">
        <v>69</v>
      </c>
      <c r="E5540" s="3">
        <v>1.05E-69</v>
      </c>
      <c r="F5540" s="2">
        <v>562</v>
      </c>
      <c r="G5540" s="2">
        <v>98</v>
      </c>
      <c r="H5540" s="2">
        <v>105</v>
      </c>
      <c r="I5540" s="2">
        <v>229</v>
      </c>
      <c r="J5540" s="2">
        <v>543</v>
      </c>
      <c r="K5540" s="2">
        <v>3</v>
      </c>
      <c r="L5540" s="2">
        <v>107</v>
      </c>
    </row>
    <row r="5541" spans="1:12" x14ac:dyDescent="0.25">
      <c r="A5541" s="4" t="str">
        <f>HYPERLINK("http://www.rosaceae.org/Prunus/Prunus_persica/p.persica_gdr_reftransV1_0048127","p.persica_gdr_reftransV1_0048127")</f>
        <v>p.persica_gdr_reftransV1_0048127</v>
      </c>
      <c r="B5541" s="2">
        <v>1587</v>
      </c>
      <c r="C5541" s="4" t="str">
        <f>HYPERLINK("http://www.uniprot.org/uniprot/M5WSY2","M5WSY2")</f>
        <v>M5WSY2</v>
      </c>
      <c r="D5541" s="2" t="s">
        <v>5060</v>
      </c>
      <c r="E5541" s="3">
        <v>0</v>
      </c>
      <c r="F5541" s="2">
        <v>1702</v>
      </c>
      <c r="G5541" s="2">
        <v>100</v>
      </c>
      <c r="H5541" s="2">
        <v>341</v>
      </c>
      <c r="I5541" s="2">
        <v>414</v>
      </c>
      <c r="J5541" s="2">
        <v>1436</v>
      </c>
      <c r="K5541" s="2">
        <v>16</v>
      </c>
      <c r="L5541" s="2">
        <v>356</v>
      </c>
    </row>
    <row r="5542" spans="1:12" x14ac:dyDescent="0.25">
      <c r="A5542" s="4" t="str">
        <f>HYPERLINK("http://www.rosaceae.org/Prunus/Prunus_persica/p.persica_gdr_reftransV1_0048477","p.persica_gdr_reftransV1_0048477")</f>
        <v>p.persica_gdr_reftransV1_0048477</v>
      </c>
      <c r="B5542" s="2">
        <v>1724</v>
      </c>
      <c r="C5542" s="4" t="str">
        <f>HYPERLINK("http://www.uniprot.org/uniprot/M5W539","M5W539")</f>
        <v>M5W539</v>
      </c>
      <c r="D5542" s="2" t="s">
        <v>2509</v>
      </c>
      <c r="E5542" s="3">
        <v>0</v>
      </c>
      <c r="F5542" s="2">
        <v>1783</v>
      </c>
      <c r="G5542" s="2">
        <v>95</v>
      </c>
      <c r="H5542" s="2">
        <v>447</v>
      </c>
      <c r="I5542" s="2">
        <v>91</v>
      </c>
      <c r="J5542" s="2">
        <v>1431</v>
      </c>
      <c r="K5542" s="2">
        <v>1</v>
      </c>
      <c r="L5542" s="2">
        <v>426</v>
      </c>
    </row>
    <row r="5543" spans="1:12" x14ac:dyDescent="0.25">
      <c r="A5543" s="4" t="str">
        <f>HYPERLINK("http://www.rosaceae.org/Prunus/Prunus_persica/p.persica_gdr_reftransV1_0048827","p.persica_gdr_reftransV1_0048827")</f>
        <v>p.persica_gdr_reftransV1_0048827</v>
      </c>
      <c r="B5543" s="2">
        <v>1980</v>
      </c>
      <c r="C5543" s="4" t="str">
        <f>HYPERLINK("http://www.uniprot.org/uniprot/M5WRR2","M5WRR2")</f>
        <v>M5WRR2</v>
      </c>
      <c r="D5543" s="2" t="s">
        <v>5061</v>
      </c>
      <c r="E5543" s="3">
        <v>0</v>
      </c>
      <c r="F5543" s="2">
        <v>2404</v>
      </c>
      <c r="G5543" s="2">
        <v>100</v>
      </c>
      <c r="H5543" s="2">
        <v>480</v>
      </c>
      <c r="I5543" s="2">
        <v>72</v>
      </c>
      <c r="J5543" s="2">
        <v>1511</v>
      </c>
      <c r="K5543" s="2">
        <v>8</v>
      </c>
      <c r="L5543" s="2">
        <v>487</v>
      </c>
    </row>
    <row r="5544" spans="1:12" x14ac:dyDescent="0.25">
      <c r="A5544" s="4" t="str">
        <f>HYPERLINK("http://www.rosaceae.org/Prunus/Prunus_persica/p.persica_gdr_reftransV1_0049177","p.persica_gdr_reftransV1_0049177")</f>
        <v>p.persica_gdr_reftransV1_0049177</v>
      </c>
      <c r="B5544" s="2">
        <v>1856</v>
      </c>
      <c r="C5544" s="4" t="str">
        <f>HYPERLINK("http://www.uniprot.org/uniprot/M5WGS6","M5WGS6")</f>
        <v>M5WGS6</v>
      </c>
      <c r="D5544" s="2" t="s">
        <v>5062</v>
      </c>
      <c r="E5544" s="3">
        <v>0</v>
      </c>
      <c r="F5544" s="2">
        <v>2293</v>
      </c>
      <c r="G5544" s="2">
        <v>100</v>
      </c>
      <c r="H5544" s="2">
        <v>427</v>
      </c>
      <c r="I5544" s="2">
        <v>354</v>
      </c>
      <c r="J5544" s="2">
        <v>1634</v>
      </c>
      <c r="K5544" s="2">
        <v>1</v>
      </c>
      <c r="L5544" s="2">
        <v>427</v>
      </c>
    </row>
    <row r="5545" spans="1:12" x14ac:dyDescent="0.25">
      <c r="A5545" s="4" t="str">
        <f>HYPERLINK("http://www.rosaceae.org/Prunus/Prunus_persica/p.persica_gdr_reftransV1_0000878","p.persica_gdr_reftransV1_0000878")</f>
        <v>p.persica_gdr_reftransV1_0000878</v>
      </c>
      <c r="B5545" s="2">
        <v>907</v>
      </c>
      <c r="C5545" s="4" t="str">
        <f>HYPERLINK("http://www.uniprot.org/uniprot/M5XGQ2","M5XGQ2")</f>
        <v>M5XGQ2</v>
      </c>
      <c r="D5545" s="2" t="s">
        <v>5063</v>
      </c>
      <c r="E5545" s="3">
        <v>5.2999999999999998E-133</v>
      </c>
      <c r="F5545" s="2">
        <v>996</v>
      </c>
      <c r="G5545" s="2">
        <v>100</v>
      </c>
      <c r="H5545" s="2">
        <v>204</v>
      </c>
      <c r="I5545" s="2">
        <v>199</v>
      </c>
      <c r="J5545" s="2">
        <v>810</v>
      </c>
      <c r="K5545" s="2">
        <v>1</v>
      </c>
      <c r="L5545" s="2">
        <v>204</v>
      </c>
    </row>
    <row r="5546" spans="1:12" x14ac:dyDescent="0.25">
      <c r="A5546" s="4" t="str">
        <f>HYPERLINK("http://www.rosaceae.org/Prunus/Prunus_persica/p.persica_gdr_reftransV1_0001228","p.persica_gdr_reftransV1_0001228")</f>
        <v>p.persica_gdr_reftransV1_0001228</v>
      </c>
      <c r="B5546" s="2">
        <v>2546</v>
      </c>
      <c r="C5546" s="4" t="str">
        <f>HYPERLINK("http://www.uniprot.org/uniprot/M5VIH1","M5VIH1")</f>
        <v>M5VIH1</v>
      </c>
      <c r="D5546" s="2" t="s">
        <v>5064</v>
      </c>
      <c r="E5546" s="3">
        <v>0</v>
      </c>
      <c r="F5546" s="2">
        <v>3379</v>
      </c>
      <c r="G5546" s="2">
        <v>100</v>
      </c>
      <c r="H5546" s="2">
        <v>682</v>
      </c>
      <c r="I5546" s="2">
        <v>375</v>
      </c>
      <c r="J5546" s="2">
        <v>2420</v>
      </c>
      <c r="K5546" s="2">
        <v>1</v>
      </c>
      <c r="L5546" s="2">
        <v>682</v>
      </c>
    </row>
    <row r="5547" spans="1:12" x14ac:dyDescent="0.25">
      <c r="A5547" s="4" t="str">
        <f>HYPERLINK("http://www.rosaceae.org/Prunus/Prunus_persica/p.persica_gdr_reftransV1_0001578","p.persica_gdr_reftransV1_0001578")</f>
        <v>p.persica_gdr_reftransV1_0001578</v>
      </c>
      <c r="B5547" s="2">
        <v>2892</v>
      </c>
      <c r="C5547" s="4" t="str">
        <f>HYPERLINK("http://www.uniprot.org/uniprot/M5XM41","M5XM41")</f>
        <v>M5XM41</v>
      </c>
      <c r="D5547" s="2" t="s">
        <v>3912</v>
      </c>
      <c r="E5547" s="3">
        <v>0</v>
      </c>
      <c r="F5547" s="2">
        <v>4066</v>
      </c>
      <c r="G5547" s="2">
        <v>100</v>
      </c>
      <c r="H5547" s="2">
        <v>773</v>
      </c>
      <c r="I5547" s="2">
        <v>177</v>
      </c>
      <c r="J5547" s="2">
        <v>2495</v>
      </c>
      <c r="K5547" s="2">
        <v>1</v>
      </c>
      <c r="L5547" s="2">
        <v>773</v>
      </c>
    </row>
    <row r="5548" spans="1:12" x14ac:dyDescent="0.25">
      <c r="A5548" s="4" t="str">
        <f>HYPERLINK("http://www.rosaceae.org/Prunus/Prunus_persica/p.persica_gdr_reftransV1_0002278","p.persica_gdr_reftransV1_0002278")</f>
        <v>p.persica_gdr_reftransV1_0002278</v>
      </c>
      <c r="B5548" s="2">
        <v>1146</v>
      </c>
      <c r="C5548" s="4" t="str">
        <f>HYPERLINK("http://www.uniprot.org/uniprot/M5XUT5","M5XUT5")</f>
        <v>M5XUT5</v>
      </c>
      <c r="D5548" s="2" t="s">
        <v>5065</v>
      </c>
      <c r="E5548" s="3">
        <v>7.8900000000000001E-80</v>
      </c>
      <c r="F5548" s="2">
        <v>672</v>
      </c>
      <c r="G5548" s="2">
        <v>98</v>
      </c>
      <c r="H5548" s="2">
        <v>149</v>
      </c>
      <c r="I5548" s="2">
        <v>427</v>
      </c>
      <c r="J5548" s="2">
        <v>873</v>
      </c>
      <c r="K5548" s="2">
        <v>2</v>
      </c>
      <c r="L5548" s="2">
        <v>150</v>
      </c>
    </row>
    <row r="5549" spans="1:12" x14ac:dyDescent="0.25">
      <c r="A5549" s="4" t="str">
        <f>HYPERLINK("http://www.rosaceae.org/Prunus/Prunus_persica/p.persica_gdr_reftransV1_0002628","p.persica_gdr_reftransV1_0002628")</f>
        <v>p.persica_gdr_reftransV1_0002628</v>
      </c>
      <c r="B5549" s="2">
        <v>1670</v>
      </c>
      <c r="C5549" s="4" t="str">
        <f>HYPERLINK("http://www.uniprot.org/uniprot/M5XXV4","M5XXV4")</f>
        <v>M5XXV4</v>
      </c>
      <c r="D5549" s="2" t="s">
        <v>5066</v>
      </c>
      <c r="E5549" s="3">
        <v>0</v>
      </c>
      <c r="F5549" s="2">
        <v>1586</v>
      </c>
      <c r="G5549" s="2">
        <v>100</v>
      </c>
      <c r="H5549" s="2">
        <v>318</v>
      </c>
      <c r="I5549" s="2">
        <v>524</v>
      </c>
      <c r="J5549" s="2">
        <v>1477</v>
      </c>
      <c r="K5549" s="2">
        <v>1</v>
      </c>
      <c r="L5549" s="2">
        <v>318</v>
      </c>
    </row>
    <row r="5550" spans="1:12" x14ac:dyDescent="0.25">
      <c r="A5550" s="4" t="str">
        <f>HYPERLINK("http://www.rosaceae.org/Prunus/Prunus_persica/p.persica_gdr_reftransV1_0002978","p.persica_gdr_reftransV1_0002978")</f>
        <v>p.persica_gdr_reftransV1_0002978</v>
      </c>
      <c r="B5550" s="2">
        <v>1008</v>
      </c>
      <c r="C5550" s="4" t="str">
        <f>HYPERLINK("http://www.uniprot.org/uniprot/M5XIX1","M5XIX1")</f>
        <v>M5XIX1</v>
      </c>
      <c r="D5550" s="2" t="s">
        <v>5067</v>
      </c>
      <c r="E5550" s="3">
        <v>1.7000000000000001E-104</v>
      </c>
      <c r="F5550" s="2">
        <v>808</v>
      </c>
      <c r="G5550" s="2">
        <v>100</v>
      </c>
      <c r="H5550" s="2">
        <v>173</v>
      </c>
      <c r="I5550" s="2">
        <v>182</v>
      </c>
      <c r="J5550" s="2">
        <v>700</v>
      </c>
      <c r="K5550" s="2">
        <v>5</v>
      </c>
      <c r="L5550" s="2">
        <v>177</v>
      </c>
    </row>
    <row r="5551" spans="1:12" x14ac:dyDescent="0.25">
      <c r="A5551" s="4" t="str">
        <f>HYPERLINK("http://www.rosaceae.org/Prunus/Prunus_persica/p.persica_gdr_reftransV1_0003678","p.persica_gdr_reftransV1_0003678")</f>
        <v>p.persica_gdr_reftransV1_0003678</v>
      </c>
      <c r="B5551" s="2">
        <v>1001</v>
      </c>
      <c r="C5551" s="4" t="str">
        <f>HYPERLINK("http://www.uniprot.org/uniprot/M5W7I7","M5W7I7")</f>
        <v>M5W7I7</v>
      </c>
      <c r="D5551" s="2" t="s">
        <v>4753</v>
      </c>
      <c r="E5551" s="3">
        <v>0</v>
      </c>
      <c r="F5551" s="2">
        <v>1672</v>
      </c>
      <c r="G5551" s="2">
        <v>95</v>
      </c>
      <c r="H5551" s="2">
        <v>333</v>
      </c>
      <c r="I5551" s="2">
        <v>1</v>
      </c>
      <c r="J5551" s="2">
        <v>999</v>
      </c>
      <c r="K5551" s="2">
        <v>35</v>
      </c>
      <c r="L5551" s="2">
        <v>352</v>
      </c>
    </row>
    <row r="5552" spans="1:12" x14ac:dyDescent="0.25">
      <c r="A5552" s="4" t="str">
        <f>HYPERLINK("http://www.rosaceae.org/Prunus/Prunus_persica/p.persica_gdr_reftransV1_0004028","p.persica_gdr_reftransV1_0004028")</f>
        <v>p.persica_gdr_reftransV1_0004028</v>
      </c>
      <c r="B5552" s="2">
        <v>593</v>
      </c>
      <c r="C5552" s="4" t="str">
        <f>HYPERLINK("http://www.uniprot.org/uniprot/M5XAU9","M5XAU9")</f>
        <v>M5XAU9</v>
      </c>
      <c r="D5552" s="2" t="s">
        <v>3356</v>
      </c>
      <c r="E5552" s="3">
        <v>2.81E-90</v>
      </c>
      <c r="F5552" s="2">
        <v>755</v>
      </c>
      <c r="G5552" s="2">
        <v>100</v>
      </c>
      <c r="H5552" s="2">
        <v>148</v>
      </c>
      <c r="I5552" s="2">
        <v>148</v>
      </c>
      <c r="J5552" s="2">
        <v>591</v>
      </c>
      <c r="K5552" s="2">
        <v>1</v>
      </c>
      <c r="L5552" s="2">
        <v>148</v>
      </c>
    </row>
    <row r="5553" spans="1:12" x14ac:dyDescent="0.25">
      <c r="A5553" s="4" t="str">
        <f>HYPERLINK("http://www.rosaceae.org/Prunus/Prunus_persica/p.persica_gdr_reftransV1_0004728","p.persica_gdr_reftransV1_0004728")</f>
        <v>p.persica_gdr_reftransV1_0004728</v>
      </c>
      <c r="B5553" s="2">
        <v>5442</v>
      </c>
      <c r="C5553" s="4" t="str">
        <f>HYPERLINK("http://www.uniprot.org/uniprot/M5VXI1","M5VXI1")</f>
        <v>M5VXI1</v>
      </c>
      <c r="D5553" s="2" t="s">
        <v>5068</v>
      </c>
      <c r="E5553" s="3">
        <v>0</v>
      </c>
      <c r="F5553" s="2">
        <v>6846</v>
      </c>
      <c r="G5553" s="2">
        <v>98</v>
      </c>
      <c r="H5553" s="2">
        <v>1393</v>
      </c>
      <c r="I5553" s="2">
        <v>1263</v>
      </c>
      <c r="J5553" s="2">
        <v>5441</v>
      </c>
      <c r="K5553" s="2">
        <v>407</v>
      </c>
      <c r="L5553" s="2">
        <v>1778</v>
      </c>
    </row>
    <row r="5554" spans="1:12" x14ac:dyDescent="0.25">
      <c r="A5554" s="4" t="str">
        <f>HYPERLINK("http://www.rosaceae.org/Prunus/Prunus_persica/p.persica_gdr_reftransV1_0005078","p.persica_gdr_reftransV1_0005078")</f>
        <v>p.persica_gdr_reftransV1_0005078</v>
      </c>
      <c r="B5554" s="2">
        <v>614</v>
      </c>
      <c r="C5554" s="4" t="str">
        <f>HYPERLINK("http://www.uniprot.org/uniprot/M5X4J7","M5X4J7")</f>
        <v>M5X4J7</v>
      </c>
      <c r="D5554" s="2" t="s">
        <v>5069</v>
      </c>
      <c r="E5554" s="3">
        <v>2.0199999999999999E-129</v>
      </c>
      <c r="F5554" s="2">
        <v>972</v>
      </c>
      <c r="G5554" s="2">
        <v>97</v>
      </c>
      <c r="H5554" s="2">
        <v>192</v>
      </c>
      <c r="I5554" s="2">
        <v>39</v>
      </c>
      <c r="J5554" s="2">
        <v>614</v>
      </c>
      <c r="K5554" s="2">
        <v>1</v>
      </c>
      <c r="L5554" s="2">
        <v>192</v>
      </c>
    </row>
    <row r="5555" spans="1:12" x14ac:dyDescent="0.25">
      <c r="A5555" s="4" t="str">
        <f>HYPERLINK("http://www.rosaceae.org/Prunus/Prunus_persica/p.persica_gdr_reftransV1_0005428","p.persica_gdr_reftransV1_0005428")</f>
        <v>p.persica_gdr_reftransV1_0005428</v>
      </c>
      <c r="B5555" s="2">
        <v>925</v>
      </c>
      <c r="C5555" s="4" t="str">
        <f>HYPERLINK("http://www.uniprot.org/uniprot/M5XGP1","M5XGP1")</f>
        <v>M5XGP1</v>
      </c>
      <c r="D5555" s="2" t="s">
        <v>5070</v>
      </c>
      <c r="E5555" s="3">
        <v>3.6699999999999998E-162</v>
      </c>
      <c r="F5555" s="2">
        <v>1191</v>
      </c>
      <c r="G5555" s="2">
        <v>100</v>
      </c>
      <c r="H5555" s="2">
        <v>228</v>
      </c>
      <c r="I5555" s="2">
        <v>36</v>
      </c>
      <c r="J5555" s="2">
        <v>719</v>
      </c>
      <c r="K5555" s="2">
        <v>1</v>
      </c>
      <c r="L5555" s="2">
        <v>228</v>
      </c>
    </row>
    <row r="5556" spans="1:12" x14ac:dyDescent="0.25">
      <c r="A5556" s="4" t="str">
        <f>HYPERLINK("http://www.rosaceae.org/Prunus/Prunus_persica/p.persica_gdr_reftransV1_0005778","p.persica_gdr_reftransV1_0005778")</f>
        <v>p.persica_gdr_reftransV1_0005778</v>
      </c>
      <c r="B5556" s="2">
        <v>479</v>
      </c>
      <c r="C5556" s="4" t="str">
        <f>HYPERLINK("http://www.uniprot.org/uniprot/M5XEP9","M5XEP9")</f>
        <v>M5XEP9</v>
      </c>
      <c r="D5556" s="2" t="s">
        <v>5071</v>
      </c>
      <c r="E5556" s="3">
        <v>6.4799999999999998E-52</v>
      </c>
      <c r="F5556" s="2">
        <v>475</v>
      </c>
      <c r="G5556" s="2">
        <v>63</v>
      </c>
      <c r="H5556" s="2">
        <v>156</v>
      </c>
      <c r="I5556" s="2">
        <v>3</v>
      </c>
      <c r="J5556" s="2">
        <v>470</v>
      </c>
      <c r="K5556" s="2">
        <v>426</v>
      </c>
      <c r="L5556" s="2">
        <v>581</v>
      </c>
    </row>
    <row r="5557" spans="1:12" x14ac:dyDescent="0.25">
      <c r="A5557" s="4" t="str">
        <f>HYPERLINK("http://www.rosaceae.org/Prunus/Prunus_persica/p.persica_gdr_reftransV1_0006128","p.persica_gdr_reftransV1_0006128")</f>
        <v>p.persica_gdr_reftransV1_0006128</v>
      </c>
      <c r="B5557" s="2">
        <v>482</v>
      </c>
      <c r="C5557" s="4" t="str">
        <f>HYPERLINK("http://www.uniprot.org/uniprot/A0A097P6G6","A0A097P6G6")</f>
        <v>A0A097P6G6</v>
      </c>
      <c r="D5557" s="2" t="s">
        <v>5072</v>
      </c>
      <c r="E5557" s="3">
        <v>1.7199999999999999E-108</v>
      </c>
      <c r="F5557" s="2">
        <v>854</v>
      </c>
      <c r="G5557" s="2">
        <v>96</v>
      </c>
      <c r="H5557" s="2">
        <v>160</v>
      </c>
      <c r="I5557" s="2">
        <v>2</v>
      </c>
      <c r="J5557" s="2">
        <v>481</v>
      </c>
      <c r="K5557" s="2">
        <v>381</v>
      </c>
      <c r="L5557" s="2">
        <v>540</v>
      </c>
    </row>
    <row r="5558" spans="1:12" x14ac:dyDescent="0.25">
      <c r="A5558" s="4" t="str">
        <f>HYPERLINK("http://www.rosaceae.org/Prunus/Prunus_persica/p.persica_gdr_reftransV1_0006828","p.persica_gdr_reftransV1_0006828")</f>
        <v>p.persica_gdr_reftransV1_0006828</v>
      </c>
      <c r="B5558" s="2">
        <v>1482</v>
      </c>
      <c r="C5558" s="4" t="str">
        <f>HYPERLINK("http://www.uniprot.org/uniprot/M5VP92","M5VP92")</f>
        <v>M5VP92</v>
      </c>
      <c r="D5558" s="2" t="s">
        <v>5073</v>
      </c>
      <c r="E5558" s="3">
        <v>3.0999999999999999E-37</v>
      </c>
      <c r="F5558" s="2">
        <v>368</v>
      </c>
      <c r="G5558" s="2">
        <v>99</v>
      </c>
      <c r="H5558" s="2">
        <v>71</v>
      </c>
      <c r="I5558" s="2">
        <v>129</v>
      </c>
      <c r="J5558" s="2">
        <v>341</v>
      </c>
      <c r="K5558" s="2">
        <v>1</v>
      </c>
      <c r="L5558" s="2">
        <v>71</v>
      </c>
    </row>
    <row r="5559" spans="1:12" x14ac:dyDescent="0.25">
      <c r="A5559" s="4" t="str">
        <f>HYPERLINK("http://www.rosaceae.org/Prunus/Prunus_persica/p.persica_gdr_reftransV1_0007178","p.persica_gdr_reftransV1_0007178")</f>
        <v>p.persica_gdr_reftransV1_0007178</v>
      </c>
      <c r="B5559" s="2">
        <v>588</v>
      </c>
      <c r="C5559" s="4" t="str">
        <f>HYPERLINK("http://www.uniprot.org/uniprot/M5VSJ5","M5VSJ5")</f>
        <v>M5VSJ5</v>
      </c>
      <c r="D5559" s="2" t="s">
        <v>5074</v>
      </c>
      <c r="E5559" s="3">
        <v>1.8099999999999999E-55</v>
      </c>
      <c r="F5559" s="2">
        <v>463</v>
      </c>
      <c r="G5559" s="2">
        <v>100</v>
      </c>
      <c r="H5559" s="2">
        <v>104</v>
      </c>
      <c r="I5559" s="2">
        <v>185</v>
      </c>
      <c r="J5559" s="2">
        <v>496</v>
      </c>
      <c r="K5559" s="2">
        <v>1</v>
      </c>
      <c r="L5559" s="2">
        <v>104</v>
      </c>
    </row>
    <row r="5560" spans="1:12" x14ac:dyDescent="0.25">
      <c r="A5560" s="4" t="str">
        <f>HYPERLINK("http://www.rosaceae.org/Prunus/Prunus_persica/p.persica_gdr_reftransV1_0007528","p.persica_gdr_reftransV1_0007528")</f>
        <v>p.persica_gdr_reftransV1_0007528</v>
      </c>
      <c r="B5560" s="2">
        <v>980</v>
      </c>
      <c r="C5560" s="4" t="str">
        <f>HYPERLINK("http://www.uniprot.org/uniprot/M5WLP0","M5WLP0")</f>
        <v>M5WLP0</v>
      </c>
      <c r="D5560" s="2" t="s">
        <v>5075</v>
      </c>
      <c r="E5560" s="3">
        <v>1.7299999999999999E-121</v>
      </c>
      <c r="F5560" s="2">
        <v>923</v>
      </c>
      <c r="G5560" s="2">
        <v>99</v>
      </c>
      <c r="H5560" s="2">
        <v>212</v>
      </c>
      <c r="I5560" s="2">
        <v>161</v>
      </c>
      <c r="J5560" s="2">
        <v>796</v>
      </c>
      <c r="K5560" s="2">
        <v>1</v>
      </c>
      <c r="L5560" s="2">
        <v>212</v>
      </c>
    </row>
    <row r="5561" spans="1:12" x14ac:dyDescent="0.25">
      <c r="A5561" s="4" t="str">
        <f>HYPERLINK("http://www.rosaceae.org/Prunus/Prunus_persica/p.persica_gdr_reftransV1_0008578","p.persica_gdr_reftransV1_0008578")</f>
        <v>p.persica_gdr_reftransV1_0008578</v>
      </c>
      <c r="B5561" s="2">
        <v>2557</v>
      </c>
      <c r="C5561" s="4" t="str">
        <f>HYPERLINK("http://www.uniprot.org/uniprot/M5W9A9","M5W9A9")</f>
        <v>M5W9A9</v>
      </c>
      <c r="D5561" s="2" t="s">
        <v>5076</v>
      </c>
      <c r="E5561" s="3">
        <v>0</v>
      </c>
      <c r="F5561" s="2">
        <v>3678</v>
      </c>
      <c r="G5561" s="2">
        <v>97</v>
      </c>
      <c r="H5561" s="2">
        <v>761</v>
      </c>
      <c r="I5561" s="2">
        <v>244</v>
      </c>
      <c r="J5561" s="2">
        <v>2457</v>
      </c>
      <c r="K5561" s="2">
        <v>20</v>
      </c>
      <c r="L5561" s="2">
        <v>780</v>
      </c>
    </row>
    <row r="5562" spans="1:12" x14ac:dyDescent="0.25">
      <c r="A5562" s="4" t="str">
        <f>HYPERLINK("http://www.rosaceae.org/Prunus/Prunus_persica/p.persica_gdr_reftransV1_0008928","p.persica_gdr_reftransV1_0008928")</f>
        <v>p.persica_gdr_reftransV1_0008928</v>
      </c>
      <c r="B5562" s="2">
        <v>1125</v>
      </c>
      <c r="C5562" s="4" t="str">
        <f>HYPERLINK("http://www.uniprot.org/uniprot/M5VL78","M5VL78")</f>
        <v>M5VL78</v>
      </c>
      <c r="D5562" s="2" t="s">
        <v>5077</v>
      </c>
      <c r="E5562" s="3">
        <v>1.79E-162</v>
      </c>
      <c r="F5562" s="2">
        <v>1200</v>
      </c>
      <c r="G5562" s="2">
        <v>100</v>
      </c>
      <c r="H5562" s="2">
        <v>227</v>
      </c>
      <c r="I5562" s="2">
        <v>334</v>
      </c>
      <c r="J5562" s="2">
        <v>1014</v>
      </c>
      <c r="K5562" s="2">
        <v>1</v>
      </c>
      <c r="L5562" s="2">
        <v>227</v>
      </c>
    </row>
    <row r="5563" spans="1:12" x14ac:dyDescent="0.25">
      <c r="A5563" s="4" t="str">
        <f>HYPERLINK("http://www.rosaceae.org/Prunus/Prunus_persica/p.persica_gdr_reftransV1_0010328","p.persica_gdr_reftransV1_0010328")</f>
        <v>p.persica_gdr_reftransV1_0010328</v>
      </c>
      <c r="B5563" s="2">
        <v>2451</v>
      </c>
      <c r="C5563" s="4" t="str">
        <f>HYPERLINK("http://www.uniprot.org/uniprot/M5W160","M5W160")</f>
        <v>M5W160</v>
      </c>
      <c r="D5563" s="2" t="s">
        <v>5078</v>
      </c>
      <c r="E5563" s="3">
        <v>0</v>
      </c>
      <c r="F5563" s="2">
        <v>2096</v>
      </c>
      <c r="G5563" s="2">
        <v>100</v>
      </c>
      <c r="H5563" s="2">
        <v>484</v>
      </c>
      <c r="I5563" s="2">
        <v>43</v>
      </c>
      <c r="J5563" s="2">
        <v>1494</v>
      </c>
      <c r="K5563" s="2">
        <v>500</v>
      </c>
      <c r="L5563" s="2">
        <v>983</v>
      </c>
    </row>
    <row r="5564" spans="1:12" x14ac:dyDescent="0.25">
      <c r="A5564" s="4" t="str">
        <f>HYPERLINK("http://www.rosaceae.org/Prunus/Prunus_persica/p.persica_gdr_reftransV1_0010678","p.persica_gdr_reftransV1_0010678")</f>
        <v>p.persica_gdr_reftransV1_0010678</v>
      </c>
      <c r="B5564" s="2">
        <v>568</v>
      </c>
      <c r="C5564" s="4" t="str">
        <f>HYPERLINK("http://www.uniprot.org/uniprot/M5WNF4","M5WNF4")</f>
        <v>M5WNF4</v>
      </c>
      <c r="D5564" s="2" t="s">
        <v>5079</v>
      </c>
      <c r="E5564" s="3">
        <v>1.64E-74</v>
      </c>
      <c r="F5564" s="2">
        <v>598</v>
      </c>
      <c r="G5564" s="2">
        <v>100</v>
      </c>
      <c r="H5564" s="2">
        <v>133</v>
      </c>
      <c r="I5564" s="2">
        <v>2</v>
      </c>
      <c r="J5564" s="2">
        <v>400</v>
      </c>
      <c r="K5564" s="2">
        <v>79</v>
      </c>
      <c r="L5564" s="2">
        <v>211</v>
      </c>
    </row>
    <row r="5565" spans="1:12" x14ac:dyDescent="0.25">
      <c r="A5565" s="4" t="str">
        <f>HYPERLINK("http://www.rosaceae.org/Prunus/Prunus_persica/p.persica_gdr_reftransV1_0011378","p.persica_gdr_reftransV1_0011378")</f>
        <v>p.persica_gdr_reftransV1_0011378</v>
      </c>
      <c r="B5565" s="2">
        <v>623</v>
      </c>
      <c r="C5565" s="4" t="str">
        <f>HYPERLINK("http://www.uniprot.org/uniprot/M5XTZ7","M5XTZ7")</f>
        <v>M5XTZ7</v>
      </c>
      <c r="D5565" s="2" t="s">
        <v>5080</v>
      </c>
      <c r="E5565" s="3">
        <v>2.4999999999999998E-41</v>
      </c>
      <c r="F5565" s="2">
        <v>368</v>
      </c>
      <c r="G5565" s="2">
        <v>100</v>
      </c>
      <c r="H5565" s="2">
        <v>79</v>
      </c>
      <c r="I5565" s="2">
        <v>264</v>
      </c>
      <c r="J5565" s="2">
        <v>500</v>
      </c>
      <c r="K5565" s="2">
        <v>1</v>
      </c>
      <c r="L5565" s="2">
        <v>79</v>
      </c>
    </row>
    <row r="5566" spans="1:12" x14ac:dyDescent="0.25">
      <c r="A5566" s="4" t="str">
        <f>HYPERLINK("http://www.rosaceae.org/Prunus/Prunus_persica/p.persica_gdr_reftransV1_0012428","p.persica_gdr_reftransV1_0012428")</f>
        <v>p.persica_gdr_reftransV1_0012428</v>
      </c>
      <c r="B5566" s="2">
        <v>355</v>
      </c>
      <c r="C5566" s="4" t="str">
        <f>HYPERLINK("http://www.uniprot.org/uniprot/M5WD09","M5WD09")</f>
        <v>M5WD09</v>
      </c>
      <c r="D5566" s="2" t="s">
        <v>5081</v>
      </c>
      <c r="E5566" s="3">
        <v>7.12E-78</v>
      </c>
      <c r="F5566" s="2">
        <v>660</v>
      </c>
      <c r="G5566" s="2">
        <v>100</v>
      </c>
      <c r="H5566" s="2">
        <v>118</v>
      </c>
      <c r="I5566" s="2">
        <v>1</v>
      </c>
      <c r="J5566" s="2">
        <v>354</v>
      </c>
      <c r="K5566" s="2">
        <v>550</v>
      </c>
      <c r="L5566" s="2">
        <v>667</v>
      </c>
    </row>
    <row r="5567" spans="1:12" x14ac:dyDescent="0.25">
      <c r="A5567" s="4" t="str">
        <f>HYPERLINK("http://www.rosaceae.org/Prunus/Prunus_persica/p.persica_gdr_reftransV1_0012778","p.persica_gdr_reftransV1_0012778")</f>
        <v>p.persica_gdr_reftransV1_0012778</v>
      </c>
      <c r="B5567" s="2">
        <v>2224</v>
      </c>
      <c r="C5567" s="4" t="str">
        <f>HYPERLINK("http://www.uniprot.org/uniprot/A0A0D2RY31","A0A0D2RY31")</f>
        <v>A0A0D2RY31</v>
      </c>
      <c r="D5567" s="2" t="s">
        <v>5082</v>
      </c>
      <c r="E5567" s="3">
        <v>6.2599999999999997E-92</v>
      </c>
      <c r="F5567" s="2">
        <v>528</v>
      </c>
      <c r="G5567" s="2">
        <v>64</v>
      </c>
      <c r="H5567" s="2">
        <v>158</v>
      </c>
      <c r="I5567" s="2">
        <v>1069</v>
      </c>
      <c r="J5567" s="2">
        <v>1542</v>
      </c>
      <c r="K5567" s="2">
        <v>117</v>
      </c>
      <c r="L5567" s="2">
        <v>274</v>
      </c>
    </row>
    <row r="5568" spans="1:12" x14ac:dyDescent="0.25">
      <c r="A5568" s="4" t="str">
        <f>HYPERLINK("http://www.rosaceae.org/Prunus/Prunus_persica/p.persica_gdr_reftransV1_0013128","p.persica_gdr_reftransV1_0013128")</f>
        <v>p.persica_gdr_reftransV1_0013128</v>
      </c>
      <c r="B5568" s="2">
        <v>1018</v>
      </c>
      <c r="C5568" s="4" t="str">
        <f>HYPERLINK("http://www.uniprot.org/uniprot/A5B781","A5B781")</f>
        <v>A5B781</v>
      </c>
      <c r="D5568" s="2" t="s">
        <v>198</v>
      </c>
      <c r="E5568" s="3">
        <v>1.2000000000000001E-65</v>
      </c>
      <c r="F5568" s="2">
        <v>564</v>
      </c>
      <c r="G5568" s="2">
        <v>67</v>
      </c>
      <c r="H5568" s="2">
        <v>147</v>
      </c>
      <c r="I5568" s="2">
        <v>3</v>
      </c>
      <c r="J5568" s="2">
        <v>443</v>
      </c>
      <c r="K5568" s="2">
        <v>4</v>
      </c>
      <c r="L5568" s="2">
        <v>149</v>
      </c>
    </row>
    <row r="5569" spans="1:12" x14ac:dyDescent="0.25">
      <c r="A5569" s="4" t="str">
        <f>HYPERLINK("http://www.rosaceae.org/Prunus/Prunus_persica/p.persica_gdr_reftransV1_0013478","p.persica_gdr_reftransV1_0013478")</f>
        <v>p.persica_gdr_reftransV1_0013478</v>
      </c>
      <c r="B5569" s="2">
        <v>2388</v>
      </c>
      <c r="C5569" s="4" t="str">
        <f>HYPERLINK("http://www.uniprot.org/uniprot/M5WFU0","M5WFU0")</f>
        <v>M5WFU0</v>
      </c>
      <c r="D5569" s="2" t="s">
        <v>5083</v>
      </c>
      <c r="E5569" s="3">
        <v>0</v>
      </c>
      <c r="F5569" s="2">
        <v>3139</v>
      </c>
      <c r="G5569" s="2">
        <v>100</v>
      </c>
      <c r="H5569" s="2">
        <v>632</v>
      </c>
      <c r="I5569" s="2">
        <v>256</v>
      </c>
      <c r="J5569" s="2">
        <v>2151</v>
      </c>
      <c r="K5569" s="2">
        <v>1</v>
      </c>
      <c r="L5569" s="2">
        <v>632</v>
      </c>
    </row>
    <row r="5570" spans="1:12" x14ac:dyDescent="0.25">
      <c r="A5570" s="4" t="str">
        <f>HYPERLINK("http://www.rosaceae.org/Prunus/Prunus_persica/p.persica_gdr_reftransV1_0013828","p.persica_gdr_reftransV1_0013828")</f>
        <v>p.persica_gdr_reftransV1_0013828</v>
      </c>
      <c r="B5570" s="2">
        <v>3494</v>
      </c>
      <c r="C5570" s="4" t="str">
        <f>HYPERLINK("http://www.uniprot.org/uniprot/M5VIJ3","M5VIJ3")</f>
        <v>M5VIJ3</v>
      </c>
      <c r="D5570" s="2" t="s">
        <v>5084</v>
      </c>
      <c r="E5570" s="3">
        <v>0</v>
      </c>
      <c r="F5570" s="2">
        <v>1788</v>
      </c>
      <c r="G5570" s="2">
        <v>100</v>
      </c>
      <c r="H5570" s="2">
        <v>325</v>
      </c>
      <c r="I5570" s="2">
        <v>407</v>
      </c>
      <c r="J5570" s="2">
        <v>1381</v>
      </c>
      <c r="K5570" s="2">
        <v>302</v>
      </c>
      <c r="L5570" s="2">
        <v>626</v>
      </c>
    </row>
    <row r="5571" spans="1:12" x14ac:dyDescent="0.25">
      <c r="A5571" s="4" t="str">
        <f>HYPERLINK("http://www.rosaceae.org/Prunus/Prunus_persica/p.persica_gdr_reftransV1_0014528","p.persica_gdr_reftransV1_0014528")</f>
        <v>p.persica_gdr_reftransV1_0014528</v>
      </c>
      <c r="B5571" s="2">
        <v>3279</v>
      </c>
      <c r="C5571" s="4" t="str">
        <f>HYPERLINK("http://www.uniprot.org/uniprot/M5WHE1","M5WHE1")</f>
        <v>M5WHE1</v>
      </c>
      <c r="D5571" s="2" t="s">
        <v>5085</v>
      </c>
      <c r="E5571" s="3">
        <v>2.8899999999999998E-88</v>
      </c>
      <c r="F5571" s="2">
        <v>773</v>
      </c>
      <c r="G5571" s="2">
        <v>97</v>
      </c>
      <c r="H5571" s="2">
        <v>180</v>
      </c>
      <c r="I5571" s="2">
        <v>1130</v>
      </c>
      <c r="J5571" s="2">
        <v>1669</v>
      </c>
      <c r="K5571" s="2">
        <v>130</v>
      </c>
      <c r="L5571" s="2">
        <v>309</v>
      </c>
    </row>
    <row r="5572" spans="1:12" x14ac:dyDescent="0.25">
      <c r="A5572" s="4" t="str">
        <f>HYPERLINK("http://www.rosaceae.org/Prunus/Prunus_persica/p.persica_gdr_reftransV1_0015228","p.persica_gdr_reftransV1_0015228")</f>
        <v>p.persica_gdr_reftransV1_0015228</v>
      </c>
      <c r="B5572" s="2">
        <v>1369</v>
      </c>
      <c r="C5572" s="4" t="str">
        <f>HYPERLINK("http://www.uniprot.org/uniprot/M5X652","M5X652")</f>
        <v>M5X652</v>
      </c>
      <c r="D5572" s="2" t="s">
        <v>5086</v>
      </c>
      <c r="E5572" s="3">
        <v>3.8399999999999999E-17</v>
      </c>
      <c r="F5572" s="2">
        <v>213</v>
      </c>
      <c r="G5572" s="2">
        <v>100</v>
      </c>
      <c r="H5572" s="2">
        <v>79</v>
      </c>
      <c r="I5572" s="2">
        <v>923</v>
      </c>
      <c r="J5572" s="2">
        <v>1159</v>
      </c>
      <c r="K5572" s="2">
        <v>18</v>
      </c>
      <c r="L5572" s="2">
        <v>96</v>
      </c>
    </row>
    <row r="5573" spans="1:12" x14ac:dyDescent="0.25">
      <c r="A5573" s="4" t="str">
        <f>HYPERLINK("http://www.rosaceae.org/Prunus/Prunus_persica/p.persica_gdr_reftransV1_0016628","p.persica_gdr_reftransV1_0016628")</f>
        <v>p.persica_gdr_reftransV1_0016628</v>
      </c>
      <c r="B5573" s="2">
        <v>1151</v>
      </c>
      <c r="C5573" s="4" t="str">
        <f>HYPERLINK("http://www.uniprot.org/uniprot/M5XHB3","M5XHB3")</f>
        <v>M5XHB3</v>
      </c>
      <c r="D5573" s="2" t="s">
        <v>5087</v>
      </c>
      <c r="E5573" s="3">
        <v>2.96E-133</v>
      </c>
      <c r="F5573" s="2">
        <v>1011</v>
      </c>
      <c r="G5573" s="2">
        <v>100</v>
      </c>
      <c r="H5573" s="2">
        <v>257</v>
      </c>
      <c r="I5573" s="2">
        <v>286</v>
      </c>
      <c r="J5573" s="2">
        <v>1056</v>
      </c>
      <c r="K5573" s="2">
        <v>1</v>
      </c>
      <c r="L5573" s="2">
        <v>257</v>
      </c>
    </row>
    <row r="5574" spans="1:12" x14ac:dyDescent="0.25">
      <c r="A5574" s="4" t="str">
        <f>HYPERLINK("http://www.rosaceae.org/Prunus/Prunus_persica/p.persica_gdr_reftransV1_0017328","p.persica_gdr_reftransV1_0017328")</f>
        <v>p.persica_gdr_reftransV1_0017328</v>
      </c>
      <c r="B5574" s="2">
        <v>1317</v>
      </c>
      <c r="C5574" s="4" t="str">
        <f>HYPERLINK("http://www.uniprot.org/uniprot/M5XMA7","M5XMA7")</f>
        <v>M5XMA7</v>
      </c>
      <c r="D5574" s="2" t="s">
        <v>5088</v>
      </c>
      <c r="E5574" s="3">
        <v>2.3399999999999998E-65</v>
      </c>
      <c r="F5574" s="2">
        <v>559</v>
      </c>
      <c r="G5574" s="2">
        <v>99</v>
      </c>
      <c r="H5574" s="2">
        <v>127</v>
      </c>
      <c r="I5574" s="2">
        <v>92</v>
      </c>
      <c r="J5574" s="2">
        <v>472</v>
      </c>
      <c r="K5574" s="2">
        <v>1</v>
      </c>
      <c r="L5574" s="2">
        <v>127</v>
      </c>
    </row>
    <row r="5575" spans="1:12" x14ac:dyDescent="0.25">
      <c r="A5575" s="4" t="str">
        <f>HYPERLINK("http://www.rosaceae.org/Prunus/Prunus_persica/p.persica_gdr_reftransV1_0018378","p.persica_gdr_reftransV1_0018378")</f>
        <v>p.persica_gdr_reftransV1_0018378</v>
      </c>
      <c r="B5575" s="2">
        <v>2676</v>
      </c>
      <c r="C5575" s="4" t="str">
        <f>HYPERLINK("http://www.uniprot.org/uniprot/M5VP61","M5VP61")</f>
        <v>M5VP61</v>
      </c>
      <c r="D5575" s="2" t="s">
        <v>5089</v>
      </c>
      <c r="E5575" s="3">
        <v>0</v>
      </c>
      <c r="F5575" s="2">
        <v>1633</v>
      </c>
      <c r="G5575" s="2">
        <v>79</v>
      </c>
      <c r="H5575" s="2">
        <v>397</v>
      </c>
      <c r="I5575" s="2">
        <v>3</v>
      </c>
      <c r="J5575" s="2">
        <v>1112</v>
      </c>
      <c r="K5575" s="2">
        <v>856</v>
      </c>
      <c r="L5575" s="2">
        <v>1219</v>
      </c>
    </row>
    <row r="5576" spans="1:12" x14ac:dyDescent="0.25">
      <c r="A5576" s="4" t="str">
        <f>HYPERLINK("http://www.rosaceae.org/Prunus/Prunus_persica/p.persica_gdr_reftransV1_0019078","p.persica_gdr_reftransV1_0019078")</f>
        <v>p.persica_gdr_reftransV1_0019078</v>
      </c>
      <c r="B5576" s="2">
        <v>1401</v>
      </c>
      <c r="C5576" s="4" t="str">
        <f>HYPERLINK("http://www.uniprot.org/uniprot/M5WVR6","M5WVR6")</f>
        <v>M5WVR6</v>
      </c>
      <c r="D5576" s="2" t="s">
        <v>5090</v>
      </c>
      <c r="E5576" s="3">
        <v>5.3500000000000001E-53</v>
      </c>
      <c r="F5576" s="2">
        <v>470</v>
      </c>
      <c r="G5576" s="2">
        <v>100</v>
      </c>
      <c r="H5576" s="2">
        <v>90</v>
      </c>
      <c r="I5576" s="2">
        <v>22</v>
      </c>
      <c r="J5576" s="2">
        <v>291</v>
      </c>
      <c r="K5576" s="2">
        <v>1</v>
      </c>
      <c r="L5576" s="2">
        <v>90</v>
      </c>
    </row>
    <row r="5577" spans="1:12" x14ac:dyDescent="0.25">
      <c r="A5577" s="4" t="str">
        <f>HYPERLINK("http://www.rosaceae.org/Prunus/Prunus_persica/p.persica_gdr_reftransV1_0019778","p.persica_gdr_reftransV1_0019778")</f>
        <v>p.persica_gdr_reftransV1_0019778</v>
      </c>
      <c r="B5577" s="2">
        <v>1302</v>
      </c>
      <c r="C5577" s="4" t="str">
        <f>HYPERLINK("http://www.uniprot.org/uniprot/M5VWW7","M5VWW7")</f>
        <v>M5VWW7</v>
      </c>
      <c r="D5577" s="2" t="s">
        <v>5091</v>
      </c>
      <c r="E5577" s="3">
        <v>2.99E-133</v>
      </c>
      <c r="F5577" s="2">
        <v>1016</v>
      </c>
      <c r="G5577" s="2">
        <v>100</v>
      </c>
      <c r="H5577" s="2">
        <v>256</v>
      </c>
      <c r="I5577" s="2">
        <v>239</v>
      </c>
      <c r="J5577" s="2">
        <v>1006</v>
      </c>
      <c r="K5577" s="2">
        <v>1</v>
      </c>
      <c r="L5577" s="2">
        <v>256</v>
      </c>
    </row>
    <row r="5578" spans="1:12" x14ac:dyDescent="0.25">
      <c r="A5578" s="4" t="str">
        <f>HYPERLINK("http://www.rosaceae.org/Prunus/Prunus_persica/p.persica_gdr_reftransV1_0020478","p.persica_gdr_reftransV1_0020478")</f>
        <v>p.persica_gdr_reftransV1_0020478</v>
      </c>
      <c r="B5578" s="2">
        <v>2075</v>
      </c>
      <c r="C5578" s="4" t="str">
        <f>HYPERLINK("http://www.uniprot.org/uniprot/M5XLP4","M5XLP4")</f>
        <v>M5XLP4</v>
      </c>
      <c r="D5578" s="2" t="s">
        <v>5092</v>
      </c>
      <c r="E5578" s="3">
        <v>3.3800000000000001E-134</v>
      </c>
      <c r="F5578" s="2">
        <v>1042</v>
      </c>
      <c r="G5578" s="2">
        <v>96</v>
      </c>
      <c r="H5578" s="2">
        <v>215</v>
      </c>
      <c r="I5578" s="2">
        <v>981</v>
      </c>
      <c r="J5578" s="2">
        <v>1625</v>
      </c>
      <c r="K5578" s="2">
        <v>3</v>
      </c>
      <c r="L5578" s="2">
        <v>217</v>
      </c>
    </row>
    <row r="5579" spans="1:12" x14ac:dyDescent="0.25">
      <c r="A5579" s="4" t="str">
        <f>HYPERLINK("http://www.rosaceae.org/Prunus/Prunus_persica/p.persica_gdr_reftransV1_0020828","p.persica_gdr_reftransV1_0020828")</f>
        <v>p.persica_gdr_reftransV1_0020828</v>
      </c>
      <c r="B5579" s="2">
        <v>2883</v>
      </c>
      <c r="C5579" s="4" t="str">
        <f>HYPERLINK("http://www.uniprot.org/uniprot/M5WPP9","M5WPP9")</f>
        <v>M5WPP9</v>
      </c>
      <c r="D5579" s="2" t="s">
        <v>5093</v>
      </c>
      <c r="E5579" s="3">
        <v>0</v>
      </c>
      <c r="F5579" s="2">
        <v>3367</v>
      </c>
      <c r="G5579" s="2">
        <v>100</v>
      </c>
      <c r="H5579" s="2">
        <v>645</v>
      </c>
      <c r="I5579" s="2">
        <v>816</v>
      </c>
      <c r="J5579" s="2">
        <v>2750</v>
      </c>
      <c r="K5579" s="2">
        <v>1</v>
      </c>
      <c r="L5579" s="2">
        <v>645</v>
      </c>
    </row>
    <row r="5580" spans="1:12" x14ac:dyDescent="0.25">
      <c r="A5580" s="4" t="str">
        <f>HYPERLINK("http://www.rosaceae.org/Prunus/Prunus_persica/p.persica_gdr_reftransV1_0021528","p.persica_gdr_reftransV1_0021528")</f>
        <v>p.persica_gdr_reftransV1_0021528</v>
      </c>
      <c r="B5580" s="2">
        <v>774</v>
      </c>
      <c r="C5580" s="4" t="str">
        <f>HYPERLINK("http://www.uniprot.org/uniprot/M5WRL8","M5WRL8")</f>
        <v>M5WRL8</v>
      </c>
      <c r="D5580" s="2" t="s">
        <v>5094</v>
      </c>
      <c r="E5580" s="3">
        <v>2.4400000000000001E-98</v>
      </c>
      <c r="F5580" s="2">
        <v>756</v>
      </c>
      <c r="G5580" s="2">
        <v>100</v>
      </c>
      <c r="H5580" s="2">
        <v>143</v>
      </c>
      <c r="I5580" s="2">
        <v>157</v>
      </c>
      <c r="J5580" s="2">
        <v>585</v>
      </c>
      <c r="K5580" s="2">
        <v>1</v>
      </c>
      <c r="L5580" s="2">
        <v>143</v>
      </c>
    </row>
    <row r="5581" spans="1:12" x14ac:dyDescent="0.25">
      <c r="A5581" s="4" t="str">
        <f>HYPERLINK("http://www.rosaceae.org/Prunus/Prunus_persica/p.persica_gdr_reftransV1_0022228","p.persica_gdr_reftransV1_0022228")</f>
        <v>p.persica_gdr_reftransV1_0022228</v>
      </c>
      <c r="B5581" s="2">
        <v>1567</v>
      </c>
      <c r="C5581" s="4" t="str">
        <f>HYPERLINK("http://www.uniprot.org/uniprot/M5XNI3","M5XNI3")</f>
        <v>M5XNI3</v>
      </c>
      <c r="D5581" s="2" t="s">
        <v>5095</v>
      </c>
      <c r="E5581" s="3">
        <v>0</v>
      </c>
      <c r="F5581" s="2">
        <v>1988</v>
      </c>
      <c r="G5581" s="2">
        <v>100</v>
      </c>
      <c r="H5581" s="2">
        <v>433</v>
      </c>
      <c r="I5581" s="2">
        <v>197</v>
      </c>
      <c r="J5581" s="2">
        <v>1495</v>
      </c>
      <c r="K5581" s="2">
        <v>7</v>
      </c>
      <c r="L5581" s="2">
        <v>439</v>
      </c>
    </row>
    <row r="5582" spans="1:12" x14ac:dyDescent="0.25">
      <c r="A5582" s="4" t="str">
        <f>HYPERLINK("http://www.rosaceae.org/Prunus/Prunus_persica/p.persica_gdr_reftransV1_0023628","p.persica_gdr_reftransV1_0023628")</f>
        <v>p.persica_gdr_reftransV1_0023628</v>
      </c>
      <c r="B5582" s="2">
        <v>1011</v>
      </c>
      <c r="C5582" s="4" t="str">
        <f>HYPERLINK("http://www.uniprot.org/uniprot/M5W9V7","M5W9V7")</f>
        <v>M5W9V7</v>
      </c>
      <c r="D5582" s="2" t="s">
        <v>4463</v>
      </c>
      <c r="E5582" s="3">
        <v>1.6099999999999999E-175</v>
      </c>
      <c r="F5582" s="2">
        <v>1295</v>
      </c>
      <c r="G5582" s="2">
        <v>100</v>
      </c>
      <c r="H5582" s="2">
        <v>248</v>
      </c>
      <c r="I5582" s="2">
        <v>270</v>
      </c>
      <c r="J5582" s="2">
        <v>1010</v>
      </c>
      <c r="K5582" s="2">
        <v>106</v>
      </c>
      <c r="L5582" s="2">
        <v>353</v>
      </c>
    </row>
    <row r="5583" spans="1:12" x14ac:dyDescent="0.25">
      <c r="A5583" s="4" t="str">
        <f>HYPERLINK("http://www.rosaceae.org/Prunus/Prunus_persica/p.persica_gdr_reftransV1_0025728","p.persica_gdr_reftransV1_0025728")</f>
        <v>p.persica_gdr_reftransV1_0025728</v>
      </c>
      <c r="B5583" s="2">
        <v>4814</v>
      </c>
      <c r="C5583" s="4" t="str">
        <f>HYPERLINK("http://www.uniprot.org/uniprot/M5XXT9","M5XXT9")</f>
        <v>M5XXT9</v>
      </c>
      <c r="D5583" s="2" t="s">
        <v>5096</v>
      </c>
      <c r="E5583" s="3">
        <v>0</v>
      </c>
      <c r="F5583" s="2">
        <v>4727</v>
      </c>
      <c r="G5583" s="2">
        <v>99</v>
      </c>
      <c r="H5583" s="2">
        <v>962</v>
      </c>
      <c r="I5583" s="2">
        <v>1753</v>
      </c>
      <c r="J5583" s="2">
        <v>4638</v>
      </c>
      <c r="K5583" s="2">
        <v>1</v>
      </c>
      <c r="L5583" s="2">
        <v>959</v>
      </c>
    </row>
    <row r="5584" spans="1:12" x14ac:dyDescent="0.25">
      <c r="A5584" s="4" t="str">
        <f>HYPERLINK("http://www.rosaceae.org/Prunus/Prunus_persica/p.persica_gdr_reftransV1_0026428","p.persica_gdr_reftransV1_0026428")</f>
        <v>p.persica_gdr_reftransV1_0026428</v>
      </c>
      <c r="B5584" s="2">
        <v>2334</v>
      </c>
      <c r="C5584" s="4" t="str">
        <f>HYPERLINK("http://www.uniprot.org/uniprot/M5WCZ6","M5WCZ6")</f>
        <v>M5WCZ6</v>
      </c>
      <c r="D5584" s="2" t="s">
        <v>5097</v>
      </c>
      <c r="E5584" s="3">
        <v>0</v>
      </c>
      <c r="F5584" s="2">
        <v>2269</v>
      </c>
      <c r="G5584" s="2">
        <v>90</v>
      </c>
      <c r="H5584" s="2">
        <v>532</v>
      </c>
      <c r="I5584" s="2">
        <v>325</v>
      </c>
      <c r="J5584" s="2">
        <v>1920</v>
      </c>
      <c r="K5584" s="2">
        <v>1</v>
      </c>
      <c r="L5584" s="2">
        <v>482</v>
      </c>
    </row>
    <row r="5585" spans="1:12" x14ac:dyDescent="0.25">
      <c r="A5585" s="4" t="str">
        <f>HYPERLINK("http://www.rosaceae.org/Prunus/Prunus_persica/p.persica_gdr_reftransV1_0026778","p.persica_gdr_reftransV1_0026778")</f>
        <v>p.persica_gdr_reftransV1_0026778</v>
      </c>
      <c r="B5585" s="2">
        <v>1723</v>
      </c>
      <c r="C5585" s="4" t="str">
        <f>HYPERLINK("http://www.uniprot.org/uniprot/M5VNE0","M5VNE0")</f>
        <v>M5VNE0</v>
      </c>
      <c r="D5585" s="2" t="s">
        <v>5098</v>
      </c>
      <c r="E5585" s="3">
        <v>9.8099999999999998E-170</v>
      </c>
      <c r="F5585" s="2">
        <v>1278</v>
      </c>
      <c r="G5585" s="2">
        <v>75</v>
      </c>
      <c r="H5585" s="2">
        <v>351</v>
      </c>
      <c r="I5585" s="2">
        <v>347</v>
      </c>
      <c r="J5585" s="2">
        <v>1363</v>
      </c>
      <c r="K5585" s="2">
        <v>1</v>
      </c>
      <c r="L5585" s="2">
        <v>321</v>
      </c>
    </row>
    <row r="5586" spans="1:12" x14ac:dyDescent="0.25">
      <c r="A5586" s="4" t="str">
        <f>HYPERLINK("http://www.rosaceae.org/Prunus/Prunus_persica/p.persica_gdr_reftransV1_0027128","p.persica_gdr_reftransV1_0027128")</f>
        <v>p.persica_gdr_reftransV1_0027128</v>
      </c>
      <c r="B5586" s="2">
        <v>2155</v>
      </c>
      <c r="C5586" s="4" t="str">
        <f>HYPERLINK("http://www.uniprot.org/uniprot/M5VRU3","M5VRU3")</f>
        <v>M5VRU3</v>
      </c>
      <c r="D5586" s="2" t="s">
        <v>5099</v>
      </c>
      <c r="E5586" s="3">
        <v>0</v>
      </c>
      <c r="F5586" s="2">
        <v>2107</v>
      </c>
      <c r="G5586" s="2">
        <v>100</v>
      </c>
      <c r="H5586" s="2">
        <v>398</v>
      </c>
      <c r="I5586" s="2">
        <v>961</v>
      </c>
      <c r="J5586" s="2">
        <v>2154</v>
      </c>
      <c r="K5586" s="2">
        <v>51</v>
      </c>
      <c r="L5586" s="2">
        <v>448</v>
      </c>
    </row>
    <row r="5587" spans="1:12" x14ac:dyDescent="0.25">
      <c r="A5587" s="4" t="str">
        <f>HYPERLINK("http://www.rosaceae.org/Prunus/Prunus_persica/p.persica_gdr_reftransV1_0027828","p.persica_gdr_reftransV1_0027828")</f>
        <v>p.persica_gdr_reftransV1_0027828</v>
      </c>
      <c r="B5587" s="2">
        <v>5068</v>
      </c>
      <c r="C5587" s="4" t="str">
        <f>HYPERLINK("http://www.uniprot.org/uniprot/M5WZ68","M5WZ68")</f>
        <v>M5WZ68</v>
      </c>
      <c r="D5587" s="2" t="s">
        <v>5100</v>
      </c>
      <c r="E5587" s="3">
        <v>0</v>
      </c>
      <c r="F5587" s="2">
        <v>6665</v>
      </c>
      <c r="G5587" s="2">
        <v>99</v>
      </c>
      <c r="H5587" s="2">
        <v>1293</v>
      </c>
      <c r="I5587" s="2">
        <v>1190</v>
      </c>
      <c r="J5587" s="2">
        <v>5068</v>
      </c>
      <c r="K5587" s="2">
        <v>62</v>
      </c>
      <c r="L5587" s="2">
        <v>1354</v>
      </c>
    </row>
    <row r="5588" spans="1:12" x14ac:dyDescent="0.25">
      <c r="A5588" s="4" t="str">
        <f>HYPERLINK("http://www.rosaceae.org/Prunus/Prunus_persica/p.persica_gdr_reftransV1_0029228","p.persica_gdr_reftransV1_0029228")</f>
        <v>p.persica_gdr_reftransV1_0029228</v>
      </c>
      <c r="B5588" s="2">
        <v>1409</v>
      </c>
      <c r="C5588" s="4" t="str">
        <f>HYPERLINK("http://www.uniprot.org/uniprot/M5WDR8","M5WDR8")</f>
        <v>M5WDR8</v>
      </c>
      <c r="D5588" s="2" t="s">
        <v>5101</v>
      </c>
      <c r="E5588" s="3">
        <v>2.2399999999999999E-176</v>
      </c>
      <c r="F5588" s="2">
        <v>1304</v>
      </c>
      <c r="G5588" s="2">
        <v>100</v>
      </c>
      <c r="H5588" s="2">
        <v>245</v>
      </c>
      <c r="I5588" s="2">
        <v>234</v>
      </c>
      <c r="J5588" s="2">
        <v>968</v>
      </c>
      <c r="K5588" s="2">
        <v>1</v>
      </c>
      <c r="L5588" s="2">
        <v>245</v>
      </c>
    </row>
    <row r="5589" spans="1:12" x14ac:dyDescent="0.25">
      <c r="A5589" s="4" t="str">
        <f>HYPERLINK("http://www.rosaceae.org/Prunus/Prunus_persica/p.persica_gdr_reftransV1_0029578","p.persica_gdr_reftransV1_0029578")</f>
        <v>p.persica_gdr_reftransV1_0029578</v>
      </c>
      <c r="B5589" s="2">
        <v>642</v>
      </c>
      <c r="C5589" s="4" t="str">
        <f>HYPERLINK("http://www.uniprot.org/uniprot/M5Y6V1","M5Y6V1")</f>
        <v>M5Y6V1</v>
      </c>
      <c r="D5589" s="2" t="s">
        <v>5102</v>
      </c>
      <c r="E5589" s="3">
        <v>1.8E-97</v>
      </c>
      <c r="F5589" s="2">
        <v>753</v>
      </c>
      <c r="G5589" s="2">
        <v>100</v>
      </c>
      <c r="H5589" s="2">
        <v>142</v>
      </c>
      <c r="I5589" s="2">
        <v>1</v>
      </c>
      <c r="J5589" s="2">
        <v>426</v>
      </c>
      <c r="K5589" s="2">
        <v>77</v>
      </c>
      <c r="L5589" s="2">
        <v>218</v>
      </c>
    </row>
    <row r="5590" spans="1:12" x14ac:dyDescent="0.25">
      <c r="A5590" s="4" t="str">
        <f>HYPERLINK("http://www.rosaceae.org/Prunus/Prunus_persica/p.persica_gdr_reftransV1_0031678","p.persica_gdr_reftransV1_0031678")</f>
        <v>p.persica_gdr_reftransV1_0031678</v>
      </c>
      <c r="B5590" s="2">
        <v>2226</v>
      </c>
      <c r="C5590" s="4" t="str">
        <f>HYPERLINK("http://www.uniprot.org/uniprot/M5XYN3","M5XYN3")</f>
        <v>M5XYN3</v>
      </c>
      <c r="D5590" s="2" t="s">
        <v>5103</v>
      </c>
      <c r="E5590" s="3">
        <v>1.7299999999999999E-38</v>
      </c>
      <c r="F5590" s="2">
        <v>391</v>
      </c>
      <c r="G5590" s="2">
        <v>100</v>
      </c>
      <c r="H5590" s="2">
        <v>78</v>
      </c>
      <c r="I5590" s="2">
        <v>67</v>
      </c>
      <c r="J5590" s="2">
        <v>300</v>
      </c>
      <c r="K5590" s="2">
        <v>1</v>
      </c>
      <c r="L5590" s="2">
        <v>78</v>
      </c>
    </row>
    <row r="5591" spans="1:12" x14ac:dyDescent="0.25">
      <c r="A5591" s="4" t="str">
        <f>HYPERLINK("http://www.rosaceae.org/Prunus/Prunus_persica/p.persica_gdr_reftransV1_0032378","p.persica_gdr_reftransV1_0032378")</f>
        <v>p.persica_gdr_reftransV1_0032378</v>
      </c>
      <c r="B5591" s="2">
        <v>1329</v>
      </c>
      <c r="C5591" s="4" t="str">
        <f>HYPERLINK("http://www.uniprot.org/uniprot/M5XC59","M5XC59")</f>
        <v>M5XC59</v>
      </c>
      <c r="D5591" s="2" t="s">
        <v>5104</v>
      </c>
      <c r="E5591" s="3">
        <v>0</v>
      </c>
      <c r="F5591" s="2">
        <v>1480</v>
      </c>
      <c r="G5591" s="2">
        <v>100</v>
      </c>
      <c r="H5591" s="2">
        <v>277</v>
      </c>
      <c r="I5591" s="2">
        <v>70</v>
      </c>
      <c r="J5591" s="2">
        <v>900</v>
      </c>
      <c r="K5591" s="2">
        <v>1</v>
      </c>
      <c r="L5591" s="2">
        <v>277</v>
      </c>
    </row>
    <row r="5592" spans="1:12" x14ac:dyDescent="0.25">
      <c r="A5592" s="4" t="str">
        <f>HYPERLINK("http://www.rosaceae.org/Prunus/Prunus_persica/p.persica_gdr_reftransV1_0032728","p.persica_gdr_reftransV1_0032728")</f>
        <v>p.persica_gdr_reftransV1_0032728</v>
      </c>
      <c r="B5592" s="2">
        <v>4053</v>
      </c>
      <c r="C5592" s="4" t="str">
        <f>HYPERLINK("http://www.uniprot.org/uniprot/M5XAP1","M5XAP1")</f>
        <v>M5XAP1</v>
      </c>
      <c r="D5592" s="2" t="s">
        <v>1928</v>
      </c>
      <c r="E5592" s="3">
        <v>0</v>
      </c>
      <c r="F5592" s="2">
        <v>4509</v>
      </c>
      <c r="G5592" s="2">
        <v>100</v>
      </c>
      <c r="H5592" s="2">
        <v>884</v>
      </c>
      <c r="I5592" s="2">
        <v>335</v>
      </c>
      <c r="J5592" s="2">
        <v>2986</v>
      </c>
      <c r="K5592" s="2">
        <v>1</v>
      </c>
      <c r="L5592" s="2">
        <v>884</v>
      </c>
    </row>
    <row r="5593" spans="1:12" x14ac:dyDescent="0.25">
      <c r="A5593" s="4" t="str">
        <f>HYPERLINK("http://www.rosaceae.org/Prunus/Prunus_persica/p.persica_gdr_reftransV1_0033428","p.persica_gdr_reftransV1_0033428")</f>
        <v>p.persica_gdr_reftransV1_0033428</v>
      </c>
      <c r="B5593" s="2">
        <v>998</v>
      </c>
      <c r="C5593" s="4" t="str">
        <f>HYPERLINK("http://www.uniprot.org/uniprot/M5XF93","M5XF93")</f>
        <v>M5XF93</v>
      </c>
      <c r="D5593" s="2" t="s">
        <v>5105</v>
      </c>
      <c r="E5593" s="3">
        <v>2.4200000000000001E-55</v>
      </c>
      <c r="F5593" s="2">
        <v>480</v>
      </c>
      <c r="G5593" s="2">
        <v>100</v>
      </c>
      <c r="H5593" s="2">
        <v>169</v>
      </c>
      <c r="I5593" s="2">
        <v>349</v>
      </c>
      <c r="J5593" s="2">
        <v>855</v>
      </c>
      <c r="K5593" s="2">
        <v>1</v>
      </c>
      <c r="L5593" s="2">
        <v>169</v>
      </c>
    </row>
    <row r="5594" spans="1:12" x14ac:dyDescent="0.25">
      <c r="A5594" s="4" t="str">
        <f>HYPERLINK("http://www.rosaceae.org/Prunus/Prunus_persica/p.persica_gdr_reftransV1_0034128","p.persica_gdr_reftransV1_0034128")</f>
        <v>p.persica_gdr_reftransV1_0034128</v>
      </c>
      <c r="B5594" s="2">
        <v>1131</v>
      </c>
      <c r="C5594" s="4" t="str">
        <f>HYPERLINK("http://www.uniprot.org/uniprot/M5XR99","M5XR99")</f>
        <v>M5XR99</v>
      </c>
      <c r="D5594" s="2" t="s">
        <v>473</v>
      </c>
      <c r="E5594" s="3">
        <v>6.5300000000000002E-113</v>
      </c>
      <c r="F5594" s="2">
        <v>900</v>
      </c>
      <c r="G5594" s="2">
        <v>82</v>
      </c>
      <c r="H5594" s="2">
        <v>227</v>
      </c>
      <c r="I5594" s="2">
        <v>3</v>
      </c>
      <c r="J5594" s="2">
        <v>674</v>
      </c>
      <c r="K5594" s="2">
        <v>294</v>
      </c>
      <c r="L5594" s="2">
        <v>517</v>
      </c>
    </row>
    <row r="5595" spans="1:12" x14ac:dyDescent="0.25">
      <c r="A5595" s="4" t="str">
        <f>HYPERLINK("http://www.rosaceae.org/Prunus/Prunus_persica/p.persica_gdr_reftransV1_0034828","p.persica_gdr_reftransV1_0034828")</f>
        <v>p.persica_gdr_reftransV1_0034828</v>
      </c>
      <c r="B5595" s="2">
        <v>1521</v>
      </c>
      <c r="C5595" s="4" t="str">
        <f>HYPERLINK("http://www.uniprot.org/uniprot/M5VTF2","M5VTF2")</f>
        <v>M5VTF2</v>
      </c>
      <c r="D5595" s="2" t="s">
        <v>5106</v>
      </c>
      <c r="E5595" s="3">
        <v>0</v>
      </c>
      <c r="F5595" s="2">
        <v>1475</v>
      </c>
      <c r="G5595" s="2">
        <v>98</v>
      </c>
      <c r="H5595" s="2">
        <v>317</v>
      </c>
      <c r="I5595" s="2">
        <v>210</v>
      </c>
      <c r="J5595" s="2">
        <v>1160</v>
      </c>
      <c r="K5595" s="2">
        <v>1</v>
      </c>
      <c r="L5595" s="2">
        <v>311</v>
      </c>
    </row>
    <row r="5596" spans="1:12" x14ac:dyDescent="0.25">
      <c r="A5596" s="4" t="str">
        <f>HYPERLINK("http://www.rosaceae.org/Prunus/Prunus_persica/p.persica_gdr_reftransV1_0035528","p.persica_gdr_reftransV1_0035528")</f>
        <v>p.persica_gdr_reftransV1_0035528</v>
      </c>
      <c r="B5596" s="2">
        <v>3949</v>
      </c>
      <c r="C5596" s="4" t="str">
        <f>HYPERLINK("http://www.uniprot.org/uniprot/M5VP20","M5VP20")</f>
        <v>M5VP20</v>
      </c>
      <c r="D5596" s="2" t="s">
        <v>5107</v>
      </c>
      <c r="E5596" s="3">
        <v>2.9199999999999998E-99</v>
      </c>
      <c r="F5596" s="2">
        <v>853</v>
      </c>
      <c r="G5596" s="2">
        <v>100</v>
      </c>
      <c r="H5596" s="2">
        <v>163</v>
      </c>
      <c r="I5596" s="2">
        <v>2361</v>
      </c>
      <c r="J5596" s="2">
        <v>2849</v>
      </c>
      <c r="K5596" s="2">
        <v>93</v>
      </c>
      <c r="L5596" s="2">
        <v>255</v>
      </c>
    </row>
    <row r="5597" spans="1:12" x14ac:dyDescent="0.25">
      <c r="A5597" s="4" t="str">
        <f>HYPERLINK("http://www.rosaceae.org/Prunus/Prunus_persica/p.persica_gdr_reftransV1_0036578","p.persica_gdr_reftransV1_0036578")</f>
        <v>p.persica_gdr_reftransV1_0036578</v>
      </c>
      <c r="B5597" s="2">
        <v>1391</v>
      </c>
      <c r="C5597" s="4" t="str">
        <f>HYPERLINK("http://www.uniprot.org/uniprot/M5VXR5","M5VXR5")</f>
        <v>M5VXR5</v>
      </c>
      <c r="D5597" s="2" t="s">
        <v>5108</v>
      </c>
      <c r="E5597" s="3">
        <v>0</v>
      </c>
      <c r="F5597" s="2">
        <v>1524</v>
      </c>
      <c r="G5597" s="2">
        <v>100</v>
      </c>
      <c r="H5597" s="2">
        <v>303</v>
      </c>
      <c r="I5597" s="2">
        <v>320</v>
      </c>
      <c r="J5597" s="2">
        <v>1228</v>
      </c>
      <c r="K5597" s="2">
        <v>202</v>
      </c>
      <c r="L5597" s="2">
        <v>504</v>
      </c>
    </row>
    <row r="5598" spans="1:12" x14ac:dyDescent="0.25">
      <c r="A5598" s="4" t="str">
        <f>HYPERLINK("http://www.rosaceae.org/Prunus/Prunus_persica/p.persica_gdr_reftransV1_0039378","p.persica_gdr_reftransV1_0039378")</f>
        <v>p.persica_gdr_reftransV1_0039378</v>
      </c>
      <c r="B5598" s="2">
        <v>1020</v>
      </c>
      <c r="C5598" s="4" t="str">
        <f>HYPERLINK("http://www.uniprot.org/uniprot/A0A061FXG6","A0A061FXG6")</f>
        <v>A0A061FXG6</v>
      </c>
      <c r="D5598" s="2" t="s">
        <v>5109</v>
      </c>
      <c r="E5598" s="3">
        <v>1.4999999999999999E-56</v>
      </c>
      <c r="F5598" s="2">
        <v>495</v>
      </c>
      <c r="G5598" s="2">
        <v>62</v>
      </c>
      <c r="H5598" s="2">
        <v>196</v>
      </c>
      <c r="I5598" s="2">
        <v>369</v>
      </c>
      <c r="J5598" s="2">
        <v>953</v>
      </c>
      <c r="K5598" s="2">
        <v>4</v>
      </c>
      <c r="L5598" s="2">
        <v>194</v>
      </c>
    </row>
    <row r="5599" spans="1:12" x14ac:dyDescent="0.25">
      <c r="A5599" s="4" t="str">
        <f>HYPERLINK("http://www.rosaceae.org/Prunus/Prunus_persica/p.persica_gdr_reftransV1_0042178","p.persica_gdr_reftransV1_0042178")</f>
        <v>p.persica_gdr_reftransV1_0042178</v>
      </c>
      <c r="B5599" s="2">
        <v>3684</v>
      </c>
      <c r="C5599" s="4" t="str">
        <f>HYPERLINK("http://www.uniprot.org/uniprot/M5X6C9","M5X6C9")</f>
        <v>M5X6C9</v>
      </c>
      <c r="D5599" s="2" t="s">
        <v>5110</v>
      </c>
      <c r="E5599" s="3">
        <v>0</v>
      </c>
      <c r="F5599" s="2">
        <v>5285</v>
      </c>
      <c r="G5599" s="2">
        <v>100</v>
      </c>
      <c r="H5599" s="2">
        <v>1034</v>
      </c>
      <c r="I5599" s="2">
        <v>208</v>
      </c>
      <c r="J5599" s="2">
        <v>3309</v>
      </c>
      <c r="K5599" s="2">
        <v>1</v>
      </c>
      <c r="L5599" s="2">
        <v>1034</v>
      </c>
    </row>
    <row r="5600" spans="1:12" x14ac:dyDescent="0.25">
      <c r="A5600" s="4" t="str">
        <f>HYPERLINK("http://www.rosaceae.org/Prunus/Prunus_persica/p.persica_gdr_reftransV1_0043228","p.persica_gdr_reftransV1_0043228")</f>
        <v>p.persica_gdr_reftransV1_0043228</v>
      </c>
      <c r="B5600" s="2">
        <v>656</v>
      </c>
      <c r="C5600" s="4" t="str">
        <f>HYPERLINK("http://www.uniprot.org/uniprot/M5VMH3","M5VMH3")</f>
        <v>M5VMH3</v>
      </c>
      <c r="D5600" s="2" t="s">
        <v>5111</v>
      </c>
      <c r="E5600" s="3">
        <v>3.9299999999999999E-39</v>
      </c>
      <c r="F5600" s="2">
        <v>360</v>
      </c>
      <c r="G5600" s="2">
        <v>54</v>
      </c>
      <c r="H5600" s="2">
        <v>190</v>
      </c>
      <c r="I5600" s="2">
        <v>87</v>
      </c>
      <c r="J5600" s="2">
        <v>656</v>
      </c>
      <c r="K5600" s="2">
        <v>1</v>
      </c>
      <c r="L5600" s="2">
        <v>115</v>
      </c>
    </row>
    <row r="5601" spans="1:12" x14ac:dyDescent="0.25">
      <c r="A5601" s="4" t="str">
        <f>HYPERLINK("http://www.rosaceae.org/Prunus/Prunus_persica/p.persica_gdr_reftransV1_0043578","p.persica_gdr_reftransV1_0043578")</f>
        <v>p.persica_gdr_reftransV1_0043578</v>
      </c>
      <c r="B5601" s="2">
        <v>1535</v>
      </c>
      <c r="C5601" s="4" t="str">
        <f>HYPERLINK("http://www.uniprot.org/uniprot/M5VKA1","M5VKA1")</f>
        <v>M5VKA1</v>
      </c>
      <c r="D5601" s="2" t="s">
        <v>5112</v>
      </c>
      <c r="E5601" s="3">
        <v>0</v>
      </c>
      <c r="F5601" s="2">
        <v>1619</v>
      </c>
      <c r="G5601" s="2">
        <v>100</v>
      </c>
      <c r="H5601" s="2">
        <v>342</v>
      </c>
      <c r="I5601" s="2">
        <v>293</v>
      </c>
      <c r="J5601" s="2">
        <v>1318</v>
      </c>
      <c r="K5601" s="2">
        <v>1</v>
      </c>
      <c r="L5601" s="2">
        <v>342</v>
      </c>
    </row>
    <row r="5602" spans="1:12" x14ac:dyDescent="0.25">
      <c r="A5602" s="4" t="str">
        <f>HYPERLINK("http://www.rosaceae.org/Prunus/Prunus_persica/p.persica_gdr_reftransV1_0043928","p.persica_gdr_reftransV1_0043928")</f>
        <v>p.persica_gdr_reftransV1_0043928</v>
      </c>
      <c r="B5602" s="2">
        <v>468</v>
      </c>
      <c r="C5602" s="4" t="str">
        <f>HYPERLINK("http://www.uniprot.org/uniprot/M5WYS7","M5WYS7")</f>
        <v>M5WYS7</v>
      </c>
      <c r="D5602" s="2" t="s">
        <v>5113</v>
      </c>
      <c r="E5602" s="3">
        <v>1.9E-13</v>
      </c>
      <c r="F5602" s="2">
        <v>177</v>
      </c>
      <c r="G5602" s="2">
        <v>92</v>
      </c>
      <c r="H5602" s="2">
        <v>37</v>
      </c>
      <c r="I5602" s="2">
        <v>1</v>
      </c>
      <c r="J5602" s="2">
        <v>111</v>
      </c>
      <c r="K5602" s="2">
        <v>7</v>
      </c>
      <c r="L5602" s="2">
        <v>43</v>
      </c>
    </row>
    <row r="5603" spans="1:12" x14ac:dyDescent="0.25">
      <c r="A5603" s="4" t="str">
        <f>HYPERLINK("http://www.rosaceae.org/Prunus/Prunus_persica/p.persica_gdr_reftransV1_0044278","p.persica_gdr_reftransV1_0044278")</f>
        <v>p.persica_gdr_reftransV1_0044278</v>
      </c>
      <c r="B5603" s="2">
        <v>2513</v>
      </c>
      <c r="C5603" s="4" t="str">
        <f>HYPERLINK("http://www.uniprot.org/uniprot/M5WWI2","M5WWI2")</f>
        <v>M5WWI2</v>
      </c>
      <c r="D5603" s="2" t="s">
        <v>5114</v>
      </c>
      <c r="E5603" s="3">
        <v>0</v>
      </c>
      <c r="F5603" s="2">
        <v>2395</v>
      </c>
      <c r="G5603" s="2">
        <v>100</v>
      </c>
      <c r="H5603" s="2">
        <v>476</v>
      </c>
      <c r="I5603" s="2">
        <v>173</v>
      </c>
      <c r="J5603" s="2">
        <v>1600</v>
      </c>
      <c r="K5603" s="2">
        <v>135</v>
      </c>
      <c r="L5603" s="2">
        <v>610</v>
      </c>
    </row>
    <row r="5604" spans="1:12" x14ac:dyDescent="0.25">
      <c r="A5604" s="4" t="str">
        <f>HYPERLINK("http://www.rosaceae.org/Prunus/Prunus_persica/p.persica_gdr_reftransV1_0044628","p.persica_gdr_reftransV1_0044628")</f>
        <v>p.persica_gdr_reftransV1_0044628</v>
      </c>
      <c r="B5604" s="2">
        <v>554</v>
      </c>
      <c r="C5604" s="4" t="str">
        <f>HYPERLINK("http://www.uniprot.org/uniprot/M5XTQ4","M5XTQ4")</f>
        <v>M5XTQ4</v>
      </c>
      <c r="D5604" s="2" t="s">
        <v>4868</v>
      </c>
      <c r="E5604" s="3">
        <v>1.9600000000000002E-46</v>
      </c>
      <c r="F5604" s="2">
        <v>423</v>
      </c>
      <c r="G5604" s="2">
        <v>99</v>
      </c>
      <c r="H5604" s="2">
        <v>136</v>
      </c>
      <c r="I5604" s="2">
        <v>1</v>
      </c>
      <c r="J5604" s="2">
        <v>408</v>
      </c>
      <c r="K5604" s="2">
        <v>260</v>
      </c>
      <c r="L5604" s="2">
        <v>395</v>
      </c>
    </row>
    <row r="5605" spans="1:12" x14ac:dyDescent="0.25">
      <c r="A5605" s="4" t="str">
        <f>HYPERLINK("http://www.rosaceae.org/Prunus/Prunus_persica/p.persica_gdr_reftransV1_0044978","p.persica_gdr_reftransV1_0044978")</f>
        <v>p.persica_gdr_reftransV1_0044978</v>
      </c>
      <c r="B5605" s="2">
        <v>403</v>
      </c>
      <c r="C5605" s="4" t="str">
        <f>HYPERLINK("http://www.uniprot.org/uniprot/M5VUW2","M5VUW2")</f>
        <v>M5VUW2</v>
      </c>
      <c r="D5605" s="2" t="s">
        <v>5115</v>
      </c>
      <c r="E5605" s="3">
        <v>3.9900000000000003E-90</v>
      </c>
      <c r="F5605" s="2">
        <v>715</v>
      </c>
      <c r="G5605" s="2">
        <v>100</v>
      </c>
      <c r="H5605" s="2">
        <v>133</v>
      </c>
      <c r="I5605" s="2">
        <v>3</v>
      </c>
      <c r="J5605" s="2">
        <v>401</v>
      </c>
      <c r="K5605" s="2">
        <v>40</v>
      </c>
      <c r="L5605" s="2">
        <v>172</v>
      </c>
    </row>
    <row r="5606" spans="1:12" x14ac:dyDescent="0.25">
      <c r="A5606" s="4" t="str">
        <f>HYPERLINK("http://www.rosaceae.org/Prunus/Prunus_persica/p.persica_gdr_reftransV1_0045328","p.persica_gdr_reftransV1_0045328")</f>
        <v>p.persica_gdr_reftransV1_0045328</v>
      </c>
      <c r="B5606" s="2">
        <v>1665</v>
      </c>
      <c r="C5606" s="4" t="str">
        <f>HYPERLINK("http://www.uniprot.org/uniprot/M5WRW9","M5WRW9")</f>
        <v>M5WRW9</v>
      </c>
      <c r="D5606" s="2" t="s">
        <v>5116</v>
      </c>
      <c r="E5606" s="3">
        <v>0</v>
      </c>
      <c r="F5606" s="2">
        <v>2276</v>
      </c>
      <c r="G5606" s="2">
        <v>100</v>
      </c>
      <c r="H5606" s="2">
        <v>462</v>
      </c>
      <c r="I5606" s="2">
        <v>201</v>
      </c>
      <c r="J5606" s="2">
        <v>1586</v>
      </c>
      <c r="K5606" s="2">
        <v>1</v>
      </c>
      <c r="L5606" s="2">
        <v>462</v>
      </c>
    </row>
    <row r="5607" spans="1:12" x14ac:dyDescent="0.25">
      <c r="A5607" s="4" t="str">
        <f>HYPERLINK("http://www.rosaceae.org/Prunus/Prunus_persica/p.persica_gdr_reftransV1_0046028","p.persica_gdr_reftransV1_0046028")</f>
        <v>p.persica_gdr_reftransV1_0046028</v>
      </c>
      <c r="B5607" s="2">
        <v>1836</v>
      </c>
      <c r="C5607" s="4" t="str">
        <f>HYPERLINK("http://www.uniprot.org/uniprot/M5WUD1","M5WUD1")</f>
        <v>M5WUD1</v>
      </c>
      <c r="D5607" s="2" t="s">
        <v>5117</v>
      </c>
      <c r="E5607" s="3">
        <v>0</v>
      </c>
      <c r="F5607" s="2">
        <v>1760</v>
      </c>
      <c r="G5607" s="2">
        <v>100</v>
      </c>
      <c r="H5607" s="2">
        <v>432</v>
      </c>
      <c r="I5607" s="2">
        <v>289</v>
      </c>
      <c r="J5607" s="2">
        <v>1584</v>
      </c>
      <c r="K5607" s="2">
        <v>1</v>
      </c>
      <c r="L5607" s="2">
        <v>432</v>
      </c>
    </row>
    <row r="5608" spans="1:12" x14ac:dyDescent="0.25">
      <c r="A5608" s="4" t="str">
        <f>HYPERLINK("http://www.rosaceae.org/Prunus/Prunus_persica/p.persica_gdr_reftransV1_0046378","p.persica_gdr_reftransV1_0046378")</f>
        <v>p.persica_gdr_reftransV1_0046378</v>
      </c>
      <c r="B5608" s="2">
        <v>1044</v>
      </c>
      <c r="C5608" s="4" t="str">
        <f>HYPERLINK("http://www.uniprot.org/uniprot/M5WUK6","M5WUK6")</f>
        <v>M5WUK6</v>
      </c>
      <c r="D5608" s="2" t="s">
        <v>5118</v>
      </c>
      <c r="E5608" s="3">
        <v>0</v>
      </c>
      <c r="F5608" s="2">
        <v>1354</v>
      </c>
      <c r="G5608" s="2">
        <v>93</v>
      </c>
      <c r="H5608" s="2">
        <v>347</v>
      </c>
      <c r="I5608" s="2">
        <v>2</v>
      </c>
      <c r="J5608" s="2">
        <v>1042</v>
      </c>
      <c r="K5608" s="2">
        <v>3</v>
      </c>
      <c r="L5608" s="2">
        <v>325</v>
      </c>
    </row>
    <row r="5609" spans="1:12" x14ac:dyDescent="0.25">
      <c r="A5609" s="4" t="str">
        <f>HYPERLINK("http://www.rosaceae.org/Prunus/Prunus_persica/p.persica_gdr_reftransV1_0047078","p.persica_gdr_reftransV1_0047078")</f>
        <v>p.persica_gdr_reftransV1_0047078</v>
      </c>
      <c r="B5609" s="2">
        <v>2088</v>
      </c>
      <c r="C5609" s="4" t="str">
        <f>HYPERLINK("http://www.uniprot.org/uniprot/M5VN11","M5VN11")</f>
        <v>M5VN11</v>
      </c>
      <c r="D5609" s="2" t="s">
        <v>5119</v>
      </c>
      <c r="E5609" s="3">
        <v>0</v>
      </c>
      <c r="F5609" s="2">
        <v>2017</v>
      </c>
      <c r="G5609" s="2">
        <v>97</v>
      </c>
      <c r="H5609" s="2">
        <v>387</v>
      </c>
      <c r="I5609" s="2">
        <v>426</v>
      </c>
      <c r="J5609" s="2">
        <v>1586</v>
      </c>
      <c r="K5609" s="2">
        <v>1</v>
      </c>
      <c r="L5609" s="2">
        <v>387</v>
      </c>
    </row>
    <row r="5610" spans="1:12" x14ac:dyDescent="0.25">
      <c r="A5610" s="4" t="str">
        <f>HYPERLINK("http://www.rosaceae.org/Prunus/Prunus_persica/p.persica_gdr_reftransV1_0047428","p.persica_gdr_reftransV1_0047428")</f>
        <v>p.persica_gdr_reftransV1_0047428</v>
      </c>
      <c r="B5610" s="2">
        <v>949</v>
      </c>
      <c r="C5610" s="4" t="str">
        <f>HYPERLINK("http://www.uniprot.org/uniprot/M5WAL0","M5WAL0")</f>
        <v>M5WAL0</v>
      </c>
      <c r="D5610" s="2" t="s">
        <v>5120</v>
      </c>
      <c r="E5610" s="3">
        <v>2.9600000000000003E-126</v>
      </c>
      <c r="F5610" s="2">
        <v>951</v>
      </c>
      <c r="G5610" s="2">
        <v>100</v>
      </c>
      <c r="H5610" s="2">
        <v>183</v>
      </c>
      <c r="I5610" s="2">
        <v>2</v>
      </c>
      <c r="J5610" s="2">
        <v>550</v>
      </c>
      <c r="K5610" s="2">
        <v>2</v>
      </c>
      <c r="L5610" s="2">
        <v>184</v>
      </c>
    </row>
    <row r="5611" spans="1:12" x14ac:dyDescent="0.25">
      <c r="A5611" s="4" t="str">
        <f>HYPERLINK("http://www.rosaceae.org/Prunus/Prunus_persica/p.persica_gdr_reftransV1_0047778","p.persica_gdr_reftransV1_0047778")</f>
        <v>p.persica_gdr_reftransV1_0047778</v>
      </c>
      <c r="B5611" s="2">
        <v>937</v>
      </c>
      <c r="C5611" s="4" t="str">
        <f>HYPERLINK("http://www.uniprot.org/uniprot/M5WIU3","M5WIU3")</f>
        <v>M5WIU3</v>
      </c>
      <c r="D5611" s="2" t="s">
        <v>3477</v>
      </c>
      <c r="E5611" s="3">
        <v>2.56E-117</v>
      </c>
      <c r="F5611" s="2">
        <v>895</v>
      </c>
      <c r="G5611" s="2">
        <v>100</v>
      </c>
      <c r="H5611" s="2">
        <v>225</v>
      </c>
      <c r="I5611" s="2">
        <v>74</v>
      </c>
      <c r="J5611" s="2">
        <v>748</v>
      </c>
      <c r="K5611" s="2">
        <v>1</v>
      </c>
      <c r="L5611" s="2">
        <v>225</v>
      </c>
    </row>
    <row r="5612" spans="1:12" x14ac:dyDescent="0.25">
      <c r="A5612" s="4" t="str">
        <f>HYPERLINK("http://www.rosaceae.org/Prunus/Prunus_persica/p.persica_gdr_reftransV1_0048128","p.persica_gdr_reftransV1_0048128")</f>
        <v>p.persica_gdr_reftransV1_0048128</v>
      </c>
      <c r="B5612" s="2">
        <v>1766</v>
      </c>
      <c r="C5612" s="4" t="str">
        <f>HYPERLINK("http://www.uniprot.org/uniprot/M5XEV5","M5XEV5")</f>
        <v>M5XEV5</v>
      </c>
      <c r="D5612" s="2" t="s">
        <v>5121</v>
      </c>
      <c r="E5612" s="3">
        <v>0</v>
      </c>
      <c r="F5612" s="2">
        <v>2010</v>
      </c>
      <c r="G5612" s="2">
        <v>100</v>
      </c>
      <c r="H5612" s="2">
        <v>402</v>
      </c>
      <c r="I5612" s="2">
        <v>403</v>
      </c>
      <c r="J5612" s="2">
        <v>1608</v>
      </c>
      <c r="K5612" s="2">
        <v>1</v>
      </c>
      <c r="L5612" s="2">
        <v>402</v>
      </c>
    </row>
    <row r="5613" spans="1:12" x14ac:dyDescent="0.25">
      <c r="A5613" s="4" t="str">
        <f>HYPERLINK("http://www.rosaceae.org/Prunus/Prunus_persica/p.persica_gdr_reftransV1_0048478","p.persica_gdr_reftransV1_0048478")</f>
        <v>p.persica_gdr_reftransV1_0048478</v>
      </c>
      <c r="B5613" s="2">
        <v>2246</v>
      </c>
      <c r="C5613" s="4" t="str">
        <f>HYPERLINK("http://www.uniprot.org/uniprot/M5VXK1","M5VXK1")</f>
        <v>M5VXK1</v>
      </c>
      <c r="D5613" s="2" t="s">
        <v>5122</v>
      </c>
      <c r="E5613" s="3">
        <v>0</v>
      </c>
      <c r="F5613" s="2">
        <v>4037</v>
      </c>
      <c r="G5613" s="2">
        <v>100</v>
      </c>
      <c r="H5613" s="2">
        <v>748</v>
      </c>
      <c r="I5613" s="2">
        <v>3</v>
      </c>
      <c r="J5613" s="2">
        <v>2246</v>
      </c>
      <c r="K5613" s="2">
        <v>24</v>
      </c>
      <c r="L5613" s="2">
        <v>771</v>
      </c>
    </row>
    <row r="5614" spans="1:12" x14ac:dyDescent="0.25">
      <c r="A5614" s="4" t="str">
        <f>HYPERLINK("http://www.rosaceae.org/Prunus/Prunus_persica/p.persica_gdr_reftransV1_0048828","p.persica_gdr_reftransV1_0048828")</f>
        <v>p.persica_gdr_reftransV1_0048828</v>
      </c>
      <c r="B5614" s="2">
        <v>2150</v>
      </c>
      <c r="C5614" s="4" t="str">
        <f>HYPERLINK("http://www.uniprot.org/uniprot/W9QSP3","W9QSP3")</f>
        <v>W9QSP3</v>
      </c>
      <c r="D5614" s="2" t="s">
        <v>5123</v>
      </c>
      <c r="E5614" s="3">
        <v>0</v>
      </c>
      <c r="F5614" s="2">
        <v>1924</v>
      </c>
      <c r="G5614" s="2">
        <v>69</v>
      </c>
      <c r="H5614" s="2">
        <v>560</v>
      </c>
      <c r="I5614" s="2">
        <v>476</v>
      </c>
      <c r="J5614" s="2">
        <v>2149</v>
      </c>
      <c r="K5614" s="2">
        <v>646</v>
      </c>
      <c r="L5614" s="2">
        <v>1178</v>
      </c>
    </row>
    <row r="5615" spans="1:12" x14ac:dyDescent="0.25">
      <c r="A5615" s="4" t="str">
        <f>HYPERLINK("http://www.rosaceae.org/Prunus/Prunus_persica/p.persica_gdr_reftransV1_0049178","p.persica_gdr_reftransV1_0049178")</f>
        <v>p.persica_gdr_reftransV1_0049178</v>
      </c>
      <c r="B5615" s="2">
        <v>1258</v>
      </c>
      <c r="C5615" s="4" t="str">
        <f>HYPERLINK("http://www.uniprot.org/uniprot/M5WU02","M5WU02")</f>
        <v>M5WU02</v>
      </c>
      <c r="D5615" s="2" t="s">
        <v>2360</v>
      </c>
      <c r="E5615" s="3">
        <v>0</v>
      </c>
      <c r="F5615" s="2">
        <v>1688</v>
      </c>
      <c r="G5615" s="2">
        <v>100</v>
      </c>
      <c r="H5615" s="2">
        <v>352</v>
      </c>
      <c r="I5615" s="2">
        <v>201</v>
      </c>
      <c r="J5615" s="2">
        <v>1256</v>
      </c>
      <c r="K5615" s="2">
        <v>1</v>
      </c>
      <c r="L5615" s="2">
        <v>352</v>
      </c>
    </row>
    <row r="5616" spans="1:12" x14ac:dyDescent="0.25">
      <c r="A5616" s="4" t="str">
        <f>HYPERLINK("http://www.rosaceae.org/Prunus/Prunus_persica/p.persica_gdr_reftransV1_0000179","p.persica_gdr_reftransV1_0000179")</f>
        <v>p.persica_gdr_reftransV1_0000179</v>
      </c>
      <c r="B5616" s="2">
        <v>3130</v>
      </c>
      <c r="C5616" s="4" t="str">
        <f>HYPERLINK("http://www.uniprot.org/uniprot/M5WL65","M5WL65")</f>
        <v>M5WL65</v>
      </c>
      <c r="D5616" s="2" t="s">
        <v>5124</v>
      </c>
      <c r="E5616" s="3">
        <v>0</v>
      </c>
      <c r="F5616" s="2">
        <v>3138</v>
      </c>
      <c r="G5616" s="2">
        <v>99</v>
      </c>
      <c r="H5616" s="2">
        <v>675</v>
      </c>
      <c r="I5616" s="2">
        <v>922</v>
      </c>
      <c r="J5616" s="2">
        <v>2946</v>
      </c>
      <c r="K5616" s="2">
        <v>1</v>
      </c>
      <c r="L5616" s="2">
        <v>675</v>
      </c>
    </row>
    <row r="5617" spans="1:12" x14ac:dyDescent="0.25">
      <c r="A5617" s="4" t="str">
        <f>HYPERLINK("http://www.rosaceae.org/Prunus/Prunus_persica/p.persica_gdr_reftransV1_0000529","p.persica_gdr_reftransV1_0000529")</f>
        <v>p.persica_gdr_reftransV1_0000529</v>
      </c>
      <c r="B5617" s="2">
        <v>350</v>
      </c>
      <c r="C5617" s="4" t="str">
        <f>HYPERLINK("http://www.uniprot.org/uniprot/M5X8R9","M5X8R9")</f>
        <v>M5X8R9</v>
      </c>
      <c r="D5617" s="2" t="s">
        <v>5125</v>
      </c>
      <c r="E5617" s="3">
        <v>2.3600000000000002E-18</v>
      </c>
      <c r="F5617" s="2">
        <v>216</v>
      </c>
      <c r="G5617" s="2">
        <v>69</v>
      </c>
      <c r="H5617" s="2">
        <v>54</v>
      </c>
      <c r="I5617" s="2">
        <v>1</v>
      </c>
      <c r="J5617" s="2">
        <v>162</v>
      </c>
      <c r="K5617" s="2">
        <v>284</v>
      </c>
      <c r="L5617" s="2">
        <v>337</v>
      </c>
    </row>
    <row r="5618" spans="1:12" x14ac:dyDescent="0.25">
      <c r="A5618" s="4" t="str">
        <f>HYPERLINK("http://www.rosaceae.org/Prunus/Prunus_persica/p.persica_gdr_reftransV1_0000879","p.persica_gdr_reftransV1_0000879")</f>
        <v>p.persica_gdr_reftransV1_0000879</v>
      </c>
      <c r="B5618" s="2">
        <v>684</v>
      </c>
      <c r="C5618" s="4" t="str">
        <f>HYPERLINK("http://www.uniprot.org/uniprot/M5XDP5","M5XDP5")</f>
        <v>M5XDP5</v>
      </c>
      <c r="D5618" s="2" t="s">
        <v>1241</v>
      </c>
      <c r="E5618" s="3">
        <v>2.01E-136</v>
      </c>
      <c r="F5618" s="2">
        <v>1045</v>
      </c>
      <c r="G5618" s="2">
        <v>84</v>
      </c>
      <c r="H5618" s="2">
        <v>228</v>
      </c>
      <c r="I5618" s="2">
        <v>1</v>
      </c>
      <c r="J5618" s="2">
        <v>684</v>
      </c>
      <c r="K5618" s="2">
        <v>219</v>
      </c>
      <c r="L5618" s="2">
        <v>446</v>
      </c>
    </row>
    <row r="5619" spans="1:12" x14ac:dyDescent="0.25">
      <c r="A5619" s="4" t="str">
        <f>HYPERLINK("http://www.rosaceae.org/Prunus/Prunus_persica/p.persica_gdr_reftransV1_0001229","p.persica_gdr_reftransV1_0001229")</f>
        <v>p.persica_gdr_reftransV1_0001229</v>
      </c>
      <c r="B5619" s="2">
        <v>1802</v>
      </c>
      <c r="C5619" s="4" t="str">
        <f>HYPERLINK("http://www.uniprot.org/uniprot/M5WK50","M5WK50")</f>
        <v>M5WK50</v>
      </c>
      <c r="D5619" s="2" t="s">
        <v>3793</v>
      </c>
      <c r="E5619" s="3">
        <v>0</v>
      </c>
      <c r="F5619" s="2">
        <v>1716</v>
      </c>
      <c r="G5619" s="2">
        <v>100</v>
      </c>
      <c r="H5619" s="2">
        <v>321</v>
      </c>
      <c r="I5619" s="2">
        <v>838</v>
      </c>
      <c r="J5619" s="2">
        <v>1800</v>
      </c>
      <c r="K5619" s="2">
        <v>768</v>
      </c>
      <c r="L5619" s="2">
        <v>1088</v>
      </c>
    </row>
    <row r="5620" spans="1:12" x14ac:dyDescent="0.25">
      <c r="A5620" s="4" t="str">
        <f>HYPERLINK("http://www.rosaceae.org/Prunus/Prunus_persica/p.persica_gdr_reftransV1_0001579","p.persica_gdr_reftransV1_0001579")</f>
        <v>p.persica_gdr_reftransV1_0001579</v>
      </c>
      <c r="B5620" s="2">
        <v>1967</v>
      </c>
      <c r="C5620" s="4" t="str">
        <f>HYPERLINK("http://www.uniprot.org/uniprot/M4QNR1","M4QNR1")</f>
        <v>M4QNR1</v>
      </c>
      <c r="D5620" s="2" t="s">
        <v>5126</v>
      </c>
      <c r="E5620" s="3">
        <v>0</v>
      </c>
      <c r="F5620" s="2">
        <v>2282</v>
      </c>
      <c r="G5620" s="2">
        <v>98</v>
      </c>
      <c r="H5620" s="2">
        <v>438</v>
      </c>
      <c r="I5620" s="2">
        <v>320</v>
      </c>
      <c r="J5620" s="2">
        <v>1615</v>
      </c>
      <c r="K5620" s="2">
        <v>1</v>
      </c>
      <c r="L5620" s="2">
        <v>438</v>
      </c>
    </row>
    <row r="5621" spans="1:12" x14ac:dyDescent="0.25">
      <c r="A5621" s="4" t="str">
        <f>HYPERLINK("http://www.rosaceae.org/Prunus/Prunus_persica/p.persica_gdr_reftransV1_0002279","p.persica_gdr_reftransV1_0002279")</f>
        <v>p.persica_gdr_reftransV1_0002279</v>
      </c>
      <c r="B5621" s="2">
        <v>1000</v>
      </c>
      <c r="C5621" s="4" t="str">
        <f>HYPERLINK("http://www.uniprot.org/uniprot/M5WP32","M5WP32")</f>
        <v>M5WP32</v>
      </c>
      <c r="D5621" s="2" t="s">
        <v>5127</v>
      </c>
      <c r="E5621" s="3">
        <v>0</v>
      </c>
      <c r="F5621" s="2">
        <v>1565</v>
      </c>
      <c r="G5621" s="2">
        <v>99</v>
      </c>
      <c r="H5621" s="2">
        <v>289</v>
      </c>
      <c r="I5621" s="2">
        <v>132</v>
      </c>
      <c r="J5621" s="2">
        <v>998</v>
      </c>
      <c r="K5621" s="2">
        <v>24</v>
      </c>
      <c r="L5621" s="2">
        <v>312</v>
      </c>
    </row>
    <row r="5622" spans="1:12" x14ac:dyDescent="0.25">
      <c r="A5622" s="4" t="str">
        <f>HYPERLINK("http://www.rosaceae.org/Prunus/Prunus_persica/p.persica_gdr_reftransV1_0002979","p.persica_gdr_reftransV1_0002979")</f>
        <v>p.persica_gdr_reftransV1_0002979</v>
      </c>
      <c r="B5622" s="2">
        <v>2054</v>
      </c>
      <c r="C5622" s="4" t="str">
        <f>HYPERLINK("http://www.uniprot.org/uniprot/A0A0A1CN66","A0A0A1CN66")</f>
        <v>A0A0A1CN66</v>
      </c>
      <c r="D5622" s="2" t="s">
        <v>5128</v>
      </c>
      <c r="E5622" s="3">
        <v>0</v>
      </c>
      <c r="F5622" s="2">
        <v>1950</v>
      </c>
      <c r="G5622" s="2">
        <v>100</v>
      </c>
      <c r="H5622" s="2">
        <v>417</v>
      </c>
      <c r="I5622" s="2">
        <v>422</v>
      </c>
      <c r="J5622" s="2">
        <v>1672</v>
      </c>
      <c r="K5622" s="2">
        <v>1</v>
      </c>
      <c r="L5622" s="2">
        <v>417</v>
      </c>
    </row>
    <row r="5623" spans="1:12" x14ac:dyDescent="0.25">
      <c r="A5623" s="4" t="str">
        <f>HYPERLINK("http://www.rosaceae.org/Prunus/Prunus_persica/p.persica_gdr_reftransV1_0003679","p.persica_gdr_reftransV1_0003679")</f>
        <v>p.persica_gdr_reftransV1_0003679</v>
      </c>
      <c r="B5623" s="2">
        <v>576</v>
      </c>
      <c r="C5623" s="4" t="str">
        <f>HYPERLINK("http://www.uniprot.org/uniprot/M5Y7D4","M5Y7D4")</f>
        <v>M5Y7D4</v>
      </c>
      <c r="D5623" s="2" t="s">
        <v>1393</v>
      </c>
      <c r="E5623" s="3">
        <v>5.3699999999999997E-125</v>
      </c>
      <c r="F5623" s="2">
        <v>1026</v>
      </c>
      <c r="G5623" s="2">
        <v>98</v>
      </c>
      <c r="H5623" s="2">
        <v>191</v>
      </c>
      <c r="I5623" s="2">
        <v>2</v>
      </c>
      <c r="J5623" s="2">
        <v>574</v>
      </c>
      <c r="K5623" s="2">
        <v>329</v>
      </c>
      <c r="L5623" s="2">
        <v>519</v>
      </c>
    </row>
    <row r="5624" spans="1:12" x14ac:dyDescent="0.25">
      <c r="A5624" s="4" t="str">
        <f>HYPERLINK("http://www.rosaceae.org/Prunus/Prunus_persica/p.persica_gdr_reftransV1_0004379","p.persica_gdr_reftransV1_0004379")</f>
        <v>p.persica_gdr_reftransV1_0004379</v>
      </c>
      <c r="B5624" s="2">
        <v>493</v>
      </c>
      <c r="C5624" s="4" t="str">
        <f>HYPERLINK("http://www.uniprot.org/uniprot/M5WC08","M5WC08")</f>
        <v>M5WC08</v>
      </c>
      <c r="D5624" s="2" t="s">
        <v>5129</v>
      </c>
      <c r="E5624" s="3">
        <v>9.1700000000000005E-108</v>
      </c>
      <c r="F5624" s="2">
        <v>859</v>
      </c>
      <c r="G5624" s="2">
        <v>100</v>
      </c>
      <c r="H5624" s="2">
        <v>164</v>
      </c>
      <c r="I5624" s="2">
        <v>1</v>
      </c>
      <c r="J5624" s="2">
        <v>492</v>
      </c>
      <c r="K5624" s="2">
        <v>473</v>
      </c>
      <c r="L5624" s="2">
        <v>636</v>
      </c>
    </row>
    <row r="5625" spans="1:12" x14ac:dyDescent="0.25">
      <c r="A5625" s="4" t="str">
        <f>HYPERLINK("http://www.rosaceae.org/Prunus/Prunus_persica/p.persica_gdr_reftransV1_0004729","p.persica_gdr_reftransV1_0004729")</f>
        <v>p.persica_gdr_reftransV1_0004729</v>
      </c>
      <c r="B5625" s="2">
        <v>1346</v>
      </c>
      <c r="C5625" s="4" t="str">
        <f>HYPERLINK("http://www.uniprot.org/uniprot/M5XL35","M5XL35")</f>
        <v>M5XL35</v>
      </c>
      <c r="D5625" s="2" t="s">
        <v>5130</v>
      </c>
      <c r="E5625" s="3">
        <v>4.9800000000000002E-71</v>
      </c>
      <c r="F5625" s="2">
        <v>489</v>
      </c>
      <c r="G5625" s="2">
        <v>98</v>
      </c>
      <c r="H5625" s="2">
        <v>95</v>
      </c>
      <c r="I5625" s="2">
        <v>928</v>
      </c>
      <c r="J5625" s="2">
        <v>1212</v>
      </c>
      <c r="K5625" s="2">
        <v>1</v>
      </c>
      <c r="L5625" s="2">
        <v>95</v>
      </c>
    </row>
    <row r="5626" spans="1:12" x14ac:dyDescent="0.25">
      <c r="A5626" s="4" t="str">
        <f>HYPERLINK("http://www.rosaceae.org/Prunus/Prunus_persica/p.persica_gdr_reftransV1_0005079","p.persica_gdr_reftransV1_0005079")</f>
        <v>p.persica_gdr_reftransV1_0005079</v>
      </c>
      <c r="B5626" s="2">
        <v>3176</v>
      </c>
      <c r="C5626" s="4" t="str">
        <f>HYPERLINK("http://www.uniprot.org/uniprot/M5XIW5","M5XIW5")</f>
        <v>M5XIW5</v>
      </c>
      <c r="D5626" s="2" t="s">
        <v>5131</v>
      </c>
      <c r="E5626" s="3">
        <v>0</v>
      </c>
      <c r="F5626" s="2">
        <v>1923</v>
      </c>
      <c r="G5626" s="2">
        <v>100</v>
      </c>
      <c r="H5626" s="2">
        <v>399</v>
      </c>
      <c r="I5626" s="2">
        <v>1584</v>
      </c>
      <c r="J5626" s="2">
        <v>2780</v>
      </c>
      <c r="K5626" s="2">
        <v>1</v>
      </c>
      <c r="L5626" s="2">
        <v>399</v>
      </c>
    </row>
    <row r="5627" spans="1:12" x14ac:dyDescent="0.25">
      <c r="A5627" s="4" t="str">
        <f>HYPERLINK("http://www.rosaceae.org/Prunus/Prunus_persica/p.persica_gdr_reftransV1_0005429","p.persica_gdr_reftransV1_0005429")</f>
        <v>p.persica_gdr_reftransV1_0005429</v>
      </c>
      <c r="B5627" s="2">
        <v>2751</v>
      </c>
      <c r="C5627" s="4" t="str">
        <f>HYPERLINK("http://www.uniprot.org/uniprot/M5WNL7","M5WNL7")</f>
        <v>M5WNL7</v>
      </c>
      <c r="D5627" s="2" t="s">
        <v>5132</v>
      </c>
      <c r="E5627" s="3">
        <v>0</v>
      </c>
      <c r="F5627" s="2">
        <v>3514</v>
      </c>
      <c r="G5627" s="2">
        <v>100</v>
      </c>
      <c r="H5627" s="2">
        <v>648</v>
      </c>
      <c r="I5627" s="2">
        <v>698</v>
      </c>
      <c r="J5627" s="2">
        <v>2641</v>
      </c>
      <c r="K5627" s="2">
        <v>1</v>
      </c>
      <c r="L5627" s="2">
        <v>648</v>
      </c>
    </row>
    <row r="5628" spans="1:12" x14ac:dyDescent="0.25">
      <c r="A5628" s="4" t="str">
        <f>HYPERLINK("http://www.rosaceae.org/Prunus/Prunus_persica/p.persica_gdr_reftransV1_0005779","p.persica_gdr_reftransV1_0005779")</f>
        <v>p.persica_gdr_reftransV1_0005779</v>
      </c>
      <c r="B5628" s="2">
        <v>745</v>
      </c>
      <c r="C5628" s="4" t="str">
        <f>HYPERLINK("http://www.uniprot.org/uniprot/M5X2R0","M5X2R0")</f>
        <v>M5X2R0</v>
      </c>
      <c r="D5628" s="2" t="s">
        <v>5133</v>
      </c>
      <c r="E5628" s="3">
        <v>4.8300000000000003E-20</v>
      </c>
      <c r="F5628" s="2">
        <v>230</v>
      </c>
      <c r="G5628" s="2">
        <v>48</v>
      </c>
      <c r="H5628" s="2">
        <v>141</v>
      </c>
      <c r="I5628" s="2">
        <v>265</v>
      </c>
      <c r="J5628" s="2">
        <v>639</v>
      </c>
      <c r="K5628" s="2">
        <v>1</v>
      </c>
      <c r="L5628" s="2">
        <v>138</v>
      </c>
    </row>
    <row r="5629" spans="1:12" x14ac:dyDescent="0.25">
      <c r="A5629" s="4" t="str">
        <f>HYPERLINK("http://www.rosaceae.org/Prunus/Prunus_persica/p.persica_gdr_reftransV1_0006129","p.persica_gdr_reftransV1_0006129")</f>
        <v>p.persica_gdr_reftransV1_0006129</v>
      </c>
      <c r="B5629" s="2">
        <v>525</v>
      </c>
      <c r="C5629" s="4" t="str">
        <f>HYPERLINK("http://www.uniprot.org/uniprot/M5W5S2","M5W5S2")</f>
        <v>M5W5S2</v>
      </c>
      <c r="D5629" s="2" t="s">
        <v>5134</v>
      </c>
      <c r="E5629" s="3">
        <v>1.33E-94</v>
      </c>
      <c r="F5629" s="2">
        <v>737</v>
      </c>
      <c r="G5629" s="2">
        <v>98</v>
      </c>
      <c r="H5629" s="2">
        <v>139</v>
      </c>
      <c r="I5629" s="2">
        <v>3</v>
      </c>
      <c r="J5629" s="2">
        <v>419</v>
      </c>
      <c r="K5629" s="2">
        <v>161</v>
      </c>
      <c r="L5629" s="2">
        <v>299</v>
      </c>
    </row>
    <row r="5630" spans="1:12" x14ac:dyDescent="0.25">
      <c r="A5630" s="4" t="str">
        <f>HYPERLINK("http://www.rosaceae.org/Prunus/Prunus_persica/p.persica_gdr_reftransV1_0007529","p.persica_gdr_reftransV1_0007529")</f>
        <v>p.persica_gdr_reftransV1_0007529</v>
      </c>
      <c r="B5630" s="2">
        <v>1093</v>
      </c>
      <c r="C5630" s="4" t="str">
        <f>HYPERLINK("http://www.uniprot.org/uniprot/M5VRW4","M5VRW4")</f>
        <v>M5VRW4</v>
      </c>
      <c r="D5630" s="2" t="s">
        <v>5135</v>
      </c>
      <c r="E5630" s="3">
        <v>1.03E-149</v>
      </c>
      <c r="F5630" s="2">
        <v>1113</v>
      </c>
      <c r="G5630" s="2">
        <v>100</v>
      </c>
      <c r="H5630" s="2">
        <v>212</v>
      </c>
      <c r="I5630" s="2">
        <v>138</v>
      </c>
      <c r="J5630" s="2">
        <v>773</v>
      </c>
      <c r="K5630" s="2">
        <v>1</v>
      </c>
      <c r="L5630" s="2">
        <v>212</v>
      </c>
    </row>
    <row r="5631" spans="1:12" x14ac:dyDescent="0.25">
      <c r="A5631" s="4" t="str">
        <f>HYPERLINK("http://www.rosaceae.org/Prunus/Prunus_persica/p.persica_gdr_reftransV1_0007879","p.persica_gdr_reftransV1_0007879")</f>
        <v>p.persica_gdr_reftransV1_0007879</v>
      </c>
      <c r="B5631" s="2">
        <v>935</v>
      </c>
      <c r="C5631" s="4" t="str">
        <f>HYPERLINK("http://www.uniprot.org/uniprot/M5X7F6","M5X7F6")</f>
        <v>M5X7F6</v>
      </c>
      <c r="D5631" s="2" t="s">
        <v>5136</v>
      </c>
      <c r="E5631" s="3">
        <v>3.3100000000000002E-154</v>
      </c>
      <c r="F5631" s="2">
        <v>1233</v>
      </c>
      <c r="G5631" s="2">
        <v>100</v>
      </c>
      <c r="H5631" s="2">
        <v>269</v>
      </c>
      <c r="I5631" s="2">
        <v>1</v>
      </c>
      <c r="J5631" s="2">
        <v>807</v>
      </c>
      <c r="K5631" s="2">
        <v>1174</v>
      </c>
      <c r="L5631" s="2">
        <v>1442</v>
      </c>
    </row>
    <row r="5632" spans="1:12" x14ac:dyDescent="0.25">
      <c r="A5632" s="4" t="str">
        <f>HYPERLINK("http://www.rosaceae.org/Prunus/Prunus_persica/p.persica_gdr_reftransV1_0008229","p.persica_gdr_reftransV1_0008229")</f>
        <v>p.persica_gdr_reftransV1_0008229</v>
      </c>
      <c r="B5632" s="2">
        <v>1467</v>
      </c>
      <c r="C5632" s="4" t="str">
        <f>HYPERLINK("http://www.uniprot.org/uniprot/M5VMK5","M5VMK5")</f>
        <v>M5VMK5</v>
      </c>
      <c r="D5632" s="2" t="s">
        <v>5137</v>
      </c>
      <c r="E5632" s="3">
        <v>2.5400000000000002E-65</v>
      </c>
      <c r="F5632" s="2">
        <v>567</v>
      </c>
      <c r="G5632" s="2">
        <v>98</v>
      </c>
      <c r="H5632" s="2">
        <v>133</v>
      </c>
      <c r="I5632" s="2">
        <v>493</v>
      </c>
      <c r="J5632" s="2">
        <v>891</v>
      </c>
      <c r="K5632" s="2">
        <v>115</v>
      </c>
      <c r="L5632" s="2">
        <v>247</v>
      </c>
    </row>
    <row r="5633" spans="1:12" x14ac:dyDescent="0.25">
      <c r="A5633" s="4" t="str">
        <f>HYPERLINK("http://www.rosaceae.org/Prunus/Prunus_persica/p.persica_gdr_reftransV1_0008579","p.persica_gdr_reftransV1_0008579")</f>
        <v>p.persica_gdr_reftransV1_0008579</v>
      </c>
      <c r="B5633" s="2">
        <v>1655</v>
      </c>
      <c r="C5633" s="4" t="str">
        <f>HYPERLINK("http://www.uniprot.org/uniprot/M5WG77","M5WG77")</f>
        <v>M5WG77</v>
      </c>
      <c r="D5633" s="2" t="s">
        <v>5138</v>
      </c>
      <c r="E5633" s="3">
        <v>0</v>
      </c>
      <c r="F5633" s="2">
        <v>1846</v>
      </c>
      <c r="G5633" s="2">
        <v>100</v>
      </c>
      <c r="H5633" s="2">
        <v>344</v>
      </c>
      <c r="I5633" s="2">
        <v>208</v>
      </c>
      <c r="J5633" s="2">
        <v>1239</v>
      </c>
      <c r="K5633" s="2">
        <v>1</v>
      </c>
      <c r="L5633" s="2">
        <v>344</v>
      </c>
    </row>
    <row r="5634" spans="1:12" x14ac:dyDescent="0.25">
      <c r="A5634" s="4" t="str">
        <f>HYPERLINK("http://www.rosaceae.org/Prunus/Prunus_persica/p.persica_gdr_reftransV1_0008929","p.persica_gdr_reftransV1_0008929")</f>
        <v>p.persica_gdr_reftransV1_0008929</v>
      </c>
      <c r="B5634" s="2">
        <v>1780</v>
      </c>
      <c r="C5634" s="4" t="str">
        <f>HYPERLINK("http://www.uniprot.org/uniprot/M5WAV6","M5WAV6")</f>
        <v>M5WAV6</v>
      </c>
      <c r="D5634" s="2" t="s">
        <v>5139</v>
      </c>
      <c r="E5634" s="3">
        <v>0</v>
      </c>
      <c r="F5634" s="2">
        <v>2220</v>
      </c>
      <c r="G5634" s="2">
        <v>100</v>
      </c>
      <c r="H5634" s="2">
        <v>430</v>
      </c>
      <c r="I5634" s="2">
        <v>314</v>
      </c>
      <c r="J5634" s="2">
        <v>1603</v>
      </c>
      <c r="K5634" s="2">
        <v>1</v>
      </c>
      <c r="L5634" s="2">
        <v>430</v>
      </c>
    </row>
    <row r="5635" spans="1:12" x14ac:dyDescent="0.25">
      <c r="A5635" s="4" t="str">
        <f>HYPERLINK("http://www.rosaceae.org/Prunus/Prunus_persica/p.persica_gdr_reftransV1_0009279","p.persica_gdr_reftransV1_0009279")</f>
        <v>p.persica_gdr_reftransV1_0009279</v>
      </c>
      <c r="B5635" s="2">
        <v>1229</v>
      </c>
      <c r="C5635" s="4" t="str">
        <f>HYPERLINK("http://www.uniprot.org/uniprot/M5X6N6","M5X6N6")</f>
        <v>M5X6N6</v>
      </c>
      <c r="D5635" s="2" t="s">
        <v>5140</v>
      </c>
      <c r="E5635" s="3">
        <v>0</v>
      </c>
      <c r="F5635" s="2">
        <v>1691</v>
      </c>
      <c r="G5635" s="2">
        <v>89</v>
      </c>
      <c r="H5635" s="2">
        <v>413</v>
      </c>
      <c r="I5635" s="2">
        <v>1</v>
      </c>
      <c r="J5635" s="2">
        <v>1227</v>
      </c>
      <c r="K5635" s="2">
        <v>625</v>
      </c>
      <c r="L5635" s="2">
        <v>1035</v>
      </c>
    </row>
    <row r="5636" spans="1:12" x14ac:dyDescent="0.25">
      <c r="A5636" s="4" t="str">
        <f>HYPERLINK("http://www.rosaceae.org/Prunus/Prunus_persica/p.persica_gdr_reftransV1_0009629","p.persica_gdr_reftransV1_0009629")</f>
        <v>p.persica_gdr_reftransV1_0009629</v>
      </c>
      <c r="B5636" s="2">
        <v>3165</v>
      </c>
      <c r="C5636" s="4" t="str">
        <f>HYPERLINK("http://www.uniprot.org/uniprot/M5Y3Q2","M5Y3Q2")</f>
        <v>M5Y3Q2</v>
      </c>
      <c r="D5636" s="2" t="s">
        <v>3933</v>
      </c>
      <c r="E5636" s="3">
        <v>0</v>
      </c>
      <c r="F5636" s="2">
        <v>3051</v>
      </c>
      <c r="G5636" s="2">
        <v>99</v>
      </c>
      <c r="H5636" s="2">
        <v>574</v>
      </c>
      <c r="I5636" s="2">
        <v>1102</v>
      </c>
      <c r="J5636" s="2">
        <v>2823</v>
      </c>
      <c r="K5636" s="2">
        <v>161</v>
      </c>
      <c r="L5636" s="2">
        <v>734</v>
      </c>
    </row>
    <row r="5637" spans="1:12" x14ac:dyDescent="0.25">
      <c r="A5637" s="4" t="str">
        <f>HYPERLINK("http://www.rosaceae.org/Prunus/Prunus_persica/p.persica_gdr_reftransV1_0010329","p.persica_gdr_reftransV1_0010329")</f>
        <v>p.persica_gdr_reftransV1_0010329</v>
      </c>
      <c r="B5637" s="2">
        <v>1678</v>
      </c>
      <c r="C5637" s="4" t="str">
        <f>HYPERLINK("http://www.uniprot.org/uniprot/M5WK86","M5WK86")</f>
        <v>M5WK86</v>
      </c>
      <c r="D5637" s="2" t="s">
        <v>5141</v>
      </c>
      <c r="E5637" s="3">
        <v>0</v>
      </c>
      <c r="F5637" s="2">
        <v>1967</v>
      </c>
      <c r="G5637" s="2">
        <v>99</v>
      </c>
      <c r="H5637" s="2">
        <v>394</v>
      </c>
      <c r="I5637" s="2">
        <v>227</v>
      </c>
      <c r="J5637" s="2">
        <v>1408</v>
      </c>
      <c r="K5637" s="2">
        <v>118</v>
      </c>
      <c r="L5637" s="2">
        <v>511</v>
      </c>
    </row>
    <row r="5638" spans="1:12" x14ac:dyDescent="0.25">
      <c r="A5638" s="4" t="str">
        <f>HYPERLINK("http://www.rosaceae.org/Prunus/Prunus_persica/p.persica_gdr_reftransV1_0010679","p.persica_gdr_reftransV1_0010679")</f>
        <v>p.persica_gdr_reftransV1_0010679</v>
      </c>
      <c r="B5638" s="2">
        <v>2463</v>
      </c>
      <c r="C5638" s="4" t="str">
        <f>HYPERLINK("http://www.uniprot.org/uniprot/M5WQ83","M5WQ83")</f>
        <v>M5WQ83</v>
      </c>
      <c r="D5638" s="2" t="s">
        <v>5142</v>
      </c>
      <c r="E5638" s="3">
        <v>0</v>
      </c>
      <c r="F5638" s="2">
        <v>3098</v>
      </c>
      <c r="G5638" s="2">
        <v>100</v>
      </c>
      <c r="H5638" s="2">
        <v>589</v>
      </c>
      <c r="I5638" s="2">
        <v>397</v>
      </c>
      <c r="J5638" s="2">
        <v>2163</v>
      </c>
      <c r="K5638" s="2">
        <v>1</v>
      </c>
      <c r="L5638" s="2">
        <v>589</v>
      </c>
    </row>
    <row r="5639" spans="1:12" x14ac:dyDescent="0.25">
      <c r="A5639" s="4" t="str">
        <f>HYPERLINK("http://www.rosaceae.org/Prunus/Prunus_persica/p.persica_gdr_reftransV1_0011379","p.persica_gdr_reftransV1_0011379")</f>
        <v>p.persica_gdr_reftransV1_0011379</v>
      </c>
      <c r="B5639" s="2">
        <v>2241</v>
      </c>
      <c r="C5639" s="4" t="str">
        <f>HYPERLINK("http://www.uniprot.org/uniprot/M5VR42","M5VR42")</f>
        <v>M5VR42</v>
      </c>
      <c r="D5639" s="2" t="s">
        <v>5143</v>
      </c>
      <c r="E5639" s="3">
        <v>6.8900000000000002E-115</v>
      </c>
      <c r="F5639" s="2">
        <v>916</v>
      </c>
      <c r="G5639" s="2">
        <v>100</v>
      </c>
      <c r="H5639" s="2">
        <v>209</v>
      </c>
      <c r="I5639" s="2">
        <v>272</v>
      </c>
      <c r="J5639" s="2">
        <v>898</v>
      </c>
      <c r="K5639" s="2">
        <v>1</v>
      </c>
      <c r="L5639" s="2">
        <v>209</v>
      </c>
    </row>
    <row r="5640" spans="1:12" x14ac:dyDescent="0.25">
      <c r="A5640" s="4" t="str">
        <f>HYPERLINK("http://www.rosaceae.org/Prunus/Prunus_persica/p.persica_gdr_reftransV1_0011729","p.persica_gdr_reftransV1_0011729")</f>
        <v>p.persica_gdr_reftransV1_0011729</v>
      </c>
      <c r="B5640" s="2">
        <v>2615</v>
      </c>
      <c r="C5640" s="4" t="str">
        <f>HYPERLINK("http://www.uniprot.org/uniprot/M5X2Q7","M5X2Q7")</f>
        <v>M5X2Q7</v>
      </c>
      <c r="D5640" s="2" t="s">
        <v>5144</v>
      </c>
      <c r="E5640" s="3">
        <v>0</v>
      </c>
      <c r="F5640" s="2">
        <v>2250</v>
      </c>
      <c r="G5640" s="2">
        <v>100</v>
      </c>
      <c r="H5640" s="2">
        <v>455</v>
      </c>
      <c r="I5640" s="2">
        <v>362</v>
      </c>
      <c r="J5640" s="2">
        <v>1726</v>
      </c>
      <c r="K5640" s="2">
        <v>1</v>
      </c>
      <c r="L5640" s="2">
        <v>455</v>
      </c>
    </row>
    <row r="5641" spans="1:12" x14ac:dyDescent="0.25">
      <c r="A5641" s="4" t="str">
        <f>HYPERLINK("http://www.rosaceae.org/Prunus/Prunus_persica/p.persica_gdr_reftransV1_0012079","p.persica_gdr_reftransV1_0012079")</f>
        <v>p.persica_gdr_reftransV1_0012079</v>
      </c>
      <c r="B5641" s="2">
        <v>2422</v>
      </c>
      <c r="C5641" s="4" t="str">
        <f>HYPERLINK("http://www.uniprot.org/uniprot/M5XQE6","M5XQE6")</f>
        <v>M5XQE6</v>
      </c>
      <c r="D5641" s="2" t="s">
        <v>5145</v>
      </c>
      <c r="E5641" s="3">
        <v>0</v>
      </c>
      <c r="F5641" s="2">
        <v>2400</v>
      </c>
      <c r="G5641" s="2">
        <v>100</v>
      </c>
      <c r="H5641" s="2">
        <v>446</v>
      </c>
      <c r="I5641" s="2">
        <v>491</v>
      </c>
      <c r="J5641" s="2">
        <v>1828</v>
      </c>
      <c r="K5641" s="2">
        <v>1</v>
      </c>
      <c r="L5641" s="2">
        <v>446</v>
      </c>
    </row>
    <row r="5642" spans="1:12" x14ac:dyDescent="0.25">
      <c r="A5642" s="4" t="str">
        <f>HYPERLINK("http://www.rosaceae.org/Prunus/Prunus_persica/p.persica_gdr_reftransV1_0012429","p.persica_gdr_reftransV1_0012429")</f>
        <v>p.persica_gdr_reftransV1_0012429</v>
      </c>
      <c r="B5642" s="2">
        <v>1826</v>
      </c>
      <c r="C5642" s="4" t="str">
        <f>HYPERLINK("http://www.uniprot.org/uniprot/M5VM49","M5VM49")</f>
        <v>M5VM49</v>
      </c>
      <c r="D5642" s="2" t="s">
        <v>5146</v>
      </c>
      <c r="E5642" s="3">
        <v>0</v>
      </c>
      <c r="F5642" s="2">
        <v>2003</v>
      </c>
      <c r="G5642" s="2">
        <v>100</v>
      </c>
      <c r="H5642" s="2">
        <v>377</v>
      </c>
      <c r="I5642" s="2">
        <v>461</v>
      </c>
      <c r="J5642" s="2">
        <v>1591</v>
      </c>
      <c r="K5642" s="2">
        <v>1</v>
      </c>
      <c r="L5642" s="2">
        <v>377</v>
      </c>
    </row>
    <row r="5643" spans="1:12" x14ac:dyDescent="0.25">
      <c r="A5643" s="4" t="str">
        <f>HYPERLINK("http://www.rosaceae.org/Prunus/Prunus_persica/p.persica_gdr_reftransV1_0013479","p.persica_gdr_reftransV1_0013479")</f>
        <v>p.persica_gdr_reftransV1_0013479</v>
      </c>
      <c r="B5643" s="2">
        <v>1393</v>
      </c>
      <c r="C5643" s="4" t="str">
        <f>HYPERLINK("http://www.uniprot.org/uniprot/M5XGP8","M5XGP8")</f>
        <v>M5XGP8</v>
      </c>
      <c r="D5643" s="2" t="s">
        <v>5147</v>
      </c>
      <c r="E5643" s="3">
        <v>3.6600000000000002E-108</v>
      </c>
      <c r="F5643" s="2">
        <v>884</v>
      </c>
      <c r="G5643" s="2">
        <v>100</v>
      </c>
      <c r="H5643" s="2">
        <v>168</v>
      </c>
      <c r="I5643" s="2">
        <v>890</v>
      </c>
      <c r="J5643" s="2">
        <v>1393</v>
      </c>
      <c r="K5643" s="2">
        <v>224</v>
      </c>
      <c r="L5643" s="2">
        <v>391</v>
      </c>
    </row>
    <row r="5644" spans="1:12" x14ac:dyDescent="0.25">
      <c r="A5644" s="4" t="str">
        <f>HYPERLINK("http://www.rosaceae.org/Prunus/Prunus_persica/p.persica_gdr_reftransV1_0015229","p.persica_gdr_reftransV1_0015229")</f>
        <v>p.persica_gdr_reftransV1_0015229</v>
      </c>
      <c r="B5644" s="2">
        <v>2326</v>
      </c>
      <c r="C5644" s="4" t="str">
        <f>HYPERLINK("http://www.uniprot.org/uniprot/M5VHJ3","M5VHJ3")</f>
        <v>M5VHJ3</v>
      </c>
      <c r="D5644" s="2" t="s">
        <v>5148</v>
      </c>
      <c r="E5644" s="3">
        <v>0</v>
      </c>
      <c r="F5644" s="2">
        <v>3395</v>
      </c>
      <c r="G5644" s="2">
        <v>100</v>
      </c>
      <c r="H5644" s="2">
        <v>653</v>
      </c>
      <c r="I5644" s="2">
        <v>75</v>
      </c>
      <c r="J5644" s="2">
        <v>2033</v>
      </c>
      <c r="K5644" s="2">
        <v>15</v>
      </c>
      <c r="L5644" s="2">
        <v>667</v>
      </c>
    </row>
    <row r="5645" spans="1:12" x14ac:dyDescent="0.25">
      <c r="A5645" s="4" t="str">
        <f>HYPERLINK("http://www.rosaceae.org/Prunus/Prunus_persica/p.persica_gdr_reftransV1_0017329","p.persica_gdr_reftransV1_0017329")</f>
        <v>p.persica_gdr_reftransV1_0017329</v>
      </c>
      <c r="B5645" s="2">
        <v>2282</v>
      </c>
      <c r="C5645" s="4" t="str">
        <f>HYPERLINK("http://www.uniprot.org/uniprot/M5W7F3","M5W7F3")</f>
        <v>M5W7F3</v>
      </c>
      <c r="D5645" s="2" t="s">
        <v>5149</v>
      </c>
      <c r="E5645" s="3">
        <v>0</v>
      </c>
      <c r="F5645" s="2">
        <v>2162</v>
      </c>
      <c r="G5645" s="2">
        <v>100</v>
      </c>
      <c r="H5645" s="2">
        <v>577</v>
      </c>
      <c r="I5645" s="2">
        <v>480</v>
      </c>
      <c r="J5645" s="2">
        <v>2210</v>
      </c>
      <c r="K5645" s="2">
        <v>26</v>
      </c>
      <c r="L5645" s="2">
        <v>602</v>
      </c>
    </row>
    <row r="5646" spans="1:12" x14ac:dyDescent="0.25">
      <c r="A5646" s="4" t="str">
        <f>HYPERLINK("http://www.rosaceae.org/Prunus/Prunus_persica/p.persica_gdr_reftransV1_0017679","p.persica_gdr_reftransV1_0017679")</f>
        <v>p.persica_gdr_reftransV1_0017679</v>
      </c>
      <c r="B5646" s="2">
        <v>2700</v>
      </c>
      <c r="C5646" s="4" t="str">
        <f>HYPERLINK("http://www.uniprot.org/uniprot/M5XJW4","M5XJW4")</f>
        <v>M5XJW4</v>
      </c>
      <c r="D5646" s="2" t="s">
        <v>5150</v>
      </c>
      <c r="E5646" s="3">
        <v>0</v>
      </c>
      <c r="F5646" s="2">
        <v>3478</v>
      </c>
      <c r="G5646" s="2">
        <v>100</v>
      </c>
      <c r="H5646" s="2">
        <v>683</v>
      </c>
      <c r="I5646" s="2">
        <v>287</v>
      </c>
      <c r="J5646" s="2">
        <v>2335</v>
      </c>
      <c r="K5646" s="2">
        <v>1</v>
      </c>
      <c r="L5646" s="2">
        <v>683</v>
      </c>
    </row>
    <row r="5647" spans="1:12" x14ac:dyDescent="0.25">
      <c r="A5647" s="4" t="str">
        <f>HYPERLINK("http://www.rosaceae.org/Prunus/Prunus_persica/p.persica_gdr_reftransV1_0019779","p.persica_gdr_reftransV1_0019779")</f>
        <v>p.persica_gdr_reftransV1_0019779</v>
      </c>
      <c r="B5647" s="2">
        <v>1205</v>
      </c>
      <c r="C5647" s="4" t="str">
        <f>HYPERLINK("http://www.uniprot.org/uniprot/M5XRX8","M5XRX8")</f>
        <v>M5XRX8</v>
      </c>
      <c r="D5647" s="2" t="s">
        <v>5151</v>
      </c>
      <c r="E5647" s="3">
        <v>0</v>
      </c>
      <c r="F5647" s="2">
        <v>1440</v>
      </c>
      <c r="G5647" s="2">
        <v>100</v>
      </c>
      <c r="H5647" s="2">
        <v>277</v>
      </c>
      <c r="I5647" s="2">
        <v>237</v>
      </c>
      <c r="J5647" s="2">
        <v>1067</v>
      </c>
      <c r="K5647" s="2">
        <v>1</v>
      </c>
      <c r="L5647" s="2">
        <v>277</v>
      </c>
    </row>
    <row r="5648" spans="1:12" x14ac:dyDescent="0.25">
      <c r="A5648" s="4" t="str">
        <f>HYPERLINK("http://www.rosaceae.org/Prunus/Prunus_persica/p.persica_gdr_reftransV1_0020129","p.persica_gdr_reftransV1_0020129")</f>
        <v>p.persica_gdr_reftransV1_0020129</v>
      </c>
      <c r="B5648" s="2">
        <v>1625</v>
      </c>
      <c r="C5648" s="4" t="str">
        <f>HYPERLINK("http://www.uniprot.org/uniprot/M5XU59","M5XU59")</f>
        <v>M5XU59</v>
      </c>
      <c r="D5648" s="2" t="s">
        <v>5152</v>
      </c>
      <c r="E5648" s="3">
        <v>0</v>
      </c>
      <c r="F5648" s="2">
        <v>1358</v>
      </c>
      <c r="G5648" s="2">
        <v>88</v>
      </c>
      <c r="H5648" s="2">
        <v>429</v>
      </c>
      <c r="I5648" s="2">
        <v>16</v>
      </c>
      <c r="J5648" s="2">
        <v>1302</v>
      </c>
      <c r="K5648" s="2">
        <v>1</v>
      </c>
      <c r="L5648" s="2">
        <v>379</v>
      </c>
    </row>
    <row r="5649" spans="1:12" x14ac:dyDescent="0.25">
      <c r="A5649" s="4" t="str">
        <f>HYPERLINK("http://www.rosaceae.org/Prunus/Prunus_persica/p.persica_gdr_reftransV1_0021179","p.persica_gdr_reftransV1_0021179")</f>
        <v>p.persica_gdr_reftransV1_0021179</v>
      </c>
      <c r="B5649" s="2">
        <v>2861</v>
      </c>
      <c r="C5649" s="4" t="str">
        <f>HYPERLINK("http://www.uniprot.org/uniprot/M5XPP9","M5XPP9")</f>
        <v>M5XPP9</v>
      </c>
      <c r="D5649" s="2" t="s">
        <v>5153</v>
      </c>
      <c r="E5649" s="3">
        <v>0</v>
      </c>
      <c r="F5649" s="2">
        <v>2077</v>
      </c>
      <c r="G5649" s="2">
        <v>100</v>
      </c>
      <c r="H5649" s="2">
        <v>387</v>
      </c>
      <c r="I5649" s="2">
        <v>262</v>
      </c>
      <c r="J5649" s="2">
        <v>1422</v>
      </c>
      <c r="K5649" s="2">
        <v>154</v>
      </c>
      <c r="L5649" s="2">
        <v>540</v>
      </c>
    </row>
    <row r="5650" spans="1:12" x14ac:dyDescent="0.25">
      <c r="A5650" s="4" t="str">
        <f>HYPERLINK("http://www.rosaceae.org/Prunus/Prunus_persica/p.persica_gdr_reftransV1_0021879","p.persica_gdr_reftransV1_0021879")</f>
        <v>p.persica_gdr_reftransV1_0021879</v>
      </c>
      <c r="B5650" s="2">
        <v>1264</v>
      </c>
      <c r="C5650" s="4" t="str">
        <f>HYPERLINK("http://www.uniprot.org/uniprot/M5WJ92","M5WJ92")</f>
        <v>M5WJ92</v>
      </c>
      <c r="D5650" s="2" t="s">
        <v>5154</v>
      </c>
      <c r="E5650" s="3">
        <v>1.3300000000000001E-84</v>
      </c>
      <c r="F5650" s="2">
        <v>684</v>
      </c>
      <c r="G5650" s="2">
        <v>100</v>
      </c>
      <c r="H5650" s="2">
        <v>177</v>
      </c>
      <c r="I5650" s="2">
        <v>629</v>
      </c>
      <c r="J5650" s="2">
        <v>1159</v>
      </c>
      <c r="K5650" s="2">
        <v>1</v>
      </c>
      <c r="L5650" s="2">
        <v>177</v>
      </c>
    </row>
    <row r="5651" spans="1:12" x14ac:dyDescent="0.25">
      <c r="A5651" s="4" t="str">
        <f>HYPERLINK("http://www.rosaceae.org/Prunus/Prunus_persica/p.persica_gdr_reftransV1_0023279","p.persica_gdr_reftransV1_0023279")</f>
        <v>p.persica_gdr_reftransV1_0023279</v>
      </c>
      <c r="B5651" s="2">
        <v>5448</v>
      </c>
      <c r="C5651" s="4" t="str">
        <f>HYPERLINK("http://www.uniprot.org/uniprot/M5VZQ5","M5VZQ5")</f>
        <v>M5VZQ5</v>
      </c>
      <c r="D5651" s="2" t="s">
        <v>2696</v>
      </c>
      <c r="E5651" s="3">
        <v>0</v>
      </c>
      <c r="F5651" s="2">
        <v>1500</v>
      </c>
      <c r="G5651" s="2">
        <v>99</v>
      </c>
      <c r="H5651" s="2">
        <v>344</v>
      </c>
      <c r="I5651" s="2">
        <v>3712</v>
      </c>
      <c r="J5651" s="2">
        <v>4743</v>
      </c>
      <c r="K5651" s="2">
        <v>1</v>
      </c>
      <c r="L5651" s="2">
        <v>344</v>
      </c>
    </row>
    <row r="5652" spans="1:12" x14ac:dyDescent="0.25">
      <c r="A5652" s="4" t="str">
        <f>HYPERLINK("http://www.rosaceae.org/Prunus/Prunus_persica/p.persica_gdr_reftransV1_0023629","p.persica_gdr_reftransV1_0023629")</f>
        <v>p.persica_gdr_reftransV1_0023629</v>
      </c>
      <c r="B5652" s="2">
        <v>1991</v>
      </c>
      <c r="C5652" s="4" t="str">
        <f>HYPERLINK("http://www.uniprot.org/uniprot/M5XIK9","M5XIK9")</f>
        <v>M5XIK9</v>
      </c>
      <c r="D5652" s="2" t="s">
        <v>5155</v>
      </c>
      <c r="E5652" s="3">
        <v>0</v>
      </c>
      <c r="F5652" s="2">
        <v>1902</v>
      </c>
      <c r="G5652" s="2">
        <v>93</v>
      </c>
      <c r="H5652" s="2">
        <v>425</v>
      </c>
      <c r="I5652" s="2">
        <v>257</v>
      </c>
      <c r="J5652" s="2">
        <v>1531</v>
      </c>
      <c r="K5652" s="2">
        <v>1</v>
      </c>
      <c r="L5652" s="2">
        <v>395</v>
      </c>
    </row>
    <row r="5653" spans="1:12" x14ac:dyDescent="0.25">
      <c r="A5653" s="4" t="str">
        <f>HYPERLINK("http://www.rosaceae.org/Prunus/Prunus_persica/p.persica_gdr_reftransV1_0024329","p.persica_gdr_reftransV1_0024329")</f>
        <v>p.persica_gdr_reftransV1_0024329</v>
      </c>
      <c r="B5653" s="2">
        <v>958</v>
      </c>
      <c r="C5653" s="4" t="str">
        <f>HYPERLINK("http://www.uniprot.org/uniprot/M5XFM6","M5XFM6")</f>
        <v>M5XFM6</v>
      </c>
      <c r="D5653" s="2" t="s">
        <v>5156</v>
      </c>
      <c r="E5653" s="3">
        <v>4.8000000000000003E-118</v>
      </c>
      <c r="F5653" s="2">
        <v>897</v>
      </c>
      <c r="G5653" s="2">
        <v>100</v>
      </c>
      <c r="H5653" s="2">
        <v>184</v>
      </c>
      <c r="I5653" s="2">
        <v>347</v>
      </c>
      <c r="J5653" s="2">
        <v>898</v>
      </c>
      <c r="K5653" s="2">
        <v>1</v>
      </c>
      <c r="L5653" s="2">
        <v>184</v>
      </c>
    </row>
    <row r="5654" spans="1:12" x14ac:dyDescent="0.25">
      <c r="A5654" s="4" t="str">
        <f>HYPERLINK("http://www.rosaceae.org/Prunus/Prunus_persica/p.persica_gdr_reftransV1_0024679","p.persica_gdr_reftransV1_0024679")</f>
        <v>p.persica_gdr_reftransV1_0024679</v>
      </c>
      <c r="B5654" s="2">
        <v>1883</v>
      </c>
      <c r="C5654" s="4" t="str">
        <f>HYPERLINK("http://www.uniprot.org/uniprot/M5XJC0","M5XJC0")</f>
        <v>M5XJC0</v>
      </c>
      <c r="D5654" s="2" t="s">
        <v>5157</v>
      </c>
      <c r="E5654" s="3">
        <v>0</v>
      </c>
      <c r="F5654" s="2">
        <v>2070</v>
      </c>
      <c r="G5654" s="2">
        <v>100</v>
      </c>
      <c r="H5654" s="2">
        <v>485</v>
      </c>
      <c r="I5654" s="2">
        <v>227</v>
      </c>
      <c r="J5654" s="2">
        <v>1681</v>
      </c>
      <c r="K5654" s="2">
        <v>1</v>
      </c>
      <c r="L5654" s="2">
        <v>485</v>
      </c>
    </row>
    <row r="5655" spans="1:12" x14ac:dyDescent="0.25">
      <c r="A5655" s="4" t="str">
        <f>HYPERLINK("http://www.rosaceae.org/Prunus/Prunus_persica/p.persica_gdr_reftransV1_0025379","p.persica_gdr_reftransV1_0025379")</f>
        <v>p.persica_gdr_reftransV1_0025379</v>
      </c>
      <c r="B5655" s="2">
        <v>3117</v>
      </c>
      <c r="C5655" s="4" t="str">
        <f>HYPERLINK("http://www.uniprot.org/uniprot/M5XHQ8","M5XHQ8")</f>
        <v>M5XHQ8</v>
      </c>
      <c r="D5655" s="2" t="s">
        <v>613</v>
      </c>
      <c r="E5655" s="3">
        <v>8.8999999999999995E-61</v>
      </c>
      <c r="F5655" s="2">
        <v>472</v>
      </c>
      <c r="G5655" s="2">
        <v>100</v>
      </c>
      <c r="H5655" s="2">
        <v>125</v>
      </c>
      <c r="I5655" s="2">
        <v>436</v>
      </c>
      <c r="J5655" s="2">
        <v>810</v>
      </c>
      <c r="K5655" s="2">
        <v>41</v>
      </c>
      <c r="L5655" s="2">
        <v>165</v>
      </c>
    </row>
    <row r="5656" spans="1:12" x14ac:dyDescent="0.25">
      <c r="A5656" s="4" t="str">
        <f>HYPERLINK("http://www.rosaceae.org/Prunus/Prunus_persica/p.persica_gdr_reftransV1_0027129","p.persica_gdr_reftransV1_0027129")</f>
        <v>p.persica_gdr_reftransV1_0027129</v>
      </c>
      <c r="B5656" s="2">
        <v>871</v>
      </c>
      <c r="C5656" s="4" t="str">
        <f>HYPERLINK("http://www.uniprot.org/uniprot/M5XB16","M5XB16")</f>
        <v>M5XB16</v>
      </c>
      <c r="D5656" s="2" t="s">
        <v>5158</v>
      </c>
      <c r="E5656" s="3">
        <v>2.5800000000000002E-101</v>
      </c>
      <c r="F5656" s="2">
        <v>808</v>
      </c>
      <c r="G5656" s="2">
        <v>99</v>
      </c>
      <c r="H5656" s="2">
        <v>169</v>
      </c>
      <c r="I5656" s="2">
        <v>365</v>
      </c>
      <c r="J5656" s="2">
        <v>871</v>
      </c>
      <c r="K5656" s="2">
        <v>281</v>
      </c>
      <c r="L5656" s="2">
        <v>449</v>
      </c>
    </row>
    <row r="5657" spans="1:12" x14ac:dyDescent="0.25">
      <c r="A5657" s="4" t="str">
        <f>HYPERLINK("http://www.rosaceae.org/Prunus/Prunus_persica/p.persica_gdr_reftransV1_0028179","p.persica_gdr_reftransV1_0028179")</f>
        <v>p.persica_gdr_reftransV1_0028179</v>
      </c>
      <c r="B5657" s="2">
        <v>912</v>
      </c>
      <c r="C5657" s="4" t="str">
        <f>HYPERLINK("http://www.uniprot.org/uniprot/M5WP35","M5WP35")</f>
        <v>M5WP35</v>
      </c>
      <c r="D5657" s="2" t="s">
        <v>5159</v>
      </c>
      <c r="E5657" s="3">
        <v>7.3500000000000004E-49</v>
      </c>
      <c r="F5657" s="2">
        <v>458</v>
      </c>
      <c r="G5657" s="2">
        <v>99</v>
      </c>
      <c r="H5657" s="2">
        <v>103</v>
      </c>
      <c r="I5657" s="2">
        <v>1</v>
      </c>
      <c r="J5657" s="2">
        <v>309</v>
      </c>
      <c r="K5657" s="2">
        <v>369</v>
      </c>
      <c r="L5657" s="2">
        <v>471</v>
      </c>
    </row>
    <row r="5658" spans="1:12" x14ac:dyDescent="0.25">
      <c r="A5658" s="4" t="str">
        <f>HYPERLINK("http://www.rosaceae.org/Prunus/Prunus_persica/p.persica_gdr_reftransV1_0028879","p.persica_gdr_reftransV1_0028879")</f>
        <v>p.persica_gdr_reftransV1_0028879</v>
      </c>
      <c r="B5658" s="2">
        <v>2099</v>
      </c>
      <c r="C5658" s="4" t="str">
        <f>HYPERLINK("http://www.uniprot.org/uniprot/M5XS73","M5XS73")</f>
        <v>M5XS73</v>
      </c>
      <c r="D5658" s="2" t="s">
        <v>5160</v>
      </c>
      <c r="E5658" s="3">
        <v>0</v>
      </c>
      <c r="F5658" s="2">
        <v>2959</v>
      </c>
      <c r="G5658" s="2">
        <v>100</v>
      </c>
      <c r="H5658" s="2">
        <v>571</v>
      </c>
      <c r="I5658" s="2">
        <v>175</v>
      </c>
      <c r="J5658" s="2">
        <v>1887</v>
      </c>
      <c r="K5658" s="2">
        <v>1</v>
      </c>
      <c r="L5658" s="2">
        <v>571</v>
      </c>
    </row>
    <row r="5659" spans="1:12" x14ac:dyDescent="0.25">
      <c r="A5659" s="4" t="str">
        <f>HYPERLINK("http://www.rosaceae.org/Prunus/Prunus_persica/p.persica_gdr_reftransV1_0029229","p.persica_gdr_reftransV1_0029229")</f>
        <v>p.persica_gdr_reftransV1_0029229</v>
      </c>
      <c r="B5659" s="2">
        <v>2598</v>
      </c>
      <c r="C5659" s="4" t="str">
        <f>HYPERLINK("http://www.uniprot.org/uniprot/M5VQZ8","M5VQZ8")</f>
        <v>M5VQZ8</v>
      </c>
      <c r="D5659" s="2" t="s">
        <v>5161</v>
      </c>
      <c r="E5659" s="3">
        <v>1.5100000000000001E-53</v>
      </c>
      <c r="F5659" s="2">
        <v>496</v>
      </c>
      <c r="G5659" s="2">
        <v>100</v>
      </c>
      <c r="H5659" s="2">
        <v>144</v>
      </c>
      <c r="I5659" s="2">
        <v>1421</v>
      </c>
      <c r="J5659" s="2">
        <v>1852</v>
      </c>
      <c r="K5659" s="2">
        <v>60</v>
      </c>
      <c r="L5659" s="2">
        <v>203</v>
      </c>
    </row>
    <row r="5660" spans="1:12" x14ac:dyDescent="0.25">
      <c r="A5660" s="4" t="str">
        <f>HYPERLINK("http://www.rosaceae.org/Prunus/Prunus_persica/p.persica_gdr_reftransV1_0030979","p.persica_gdr_reftransV1_0030979")</f>
        <v>p.persica_gdr_reftransV1_0030979</v>
      </c>
      <c r="B5660" s="2">
        <v>852</v>
      </c>
      <c r="C5660" s="4" t="str">
        <f>HYPERLINK("http://www.uniprot.org/uniprot/M5WNU6","M5WNU6")</f>
        <v>M5WNU6</v>
      </c>
      <c r="D5660" s="2" t="s">
        <v>2567</v>
      </c>
      <c r="E5660" s="3">
        <v>1.4000000000000001E-130</v>
      </c>
      <c r="F5660" s="2">
        <v>988</v>
      </c>
      <c r="G5660" s="2">
        <v>100</v>
      </c>
      <c r="H5660" s="2">
        <v>184</v>
      </c>
      <c r="I5660" s="2">
        <v>301</v>
      </c>
      <c r="J5660" s="2">
        <v>852</v>
      </c>
      <c r="K5660" s="2">
        <v>120</v>
      </c>
      <c r="L5660" s="2">
        <v>303</v>
      </c>
    </row>
    <row r="5661" spans="1:12" x14ac:dyDescent="0.25">
      <c r="A5661" s="4" t="str">
        <f>HYPERLINK("http://www.rosaceae.org/Prunus/Prunus_persica/p.persica_gdr_reftransV1_0032379","p.persica_gdr_reftransV1_0032379")</f>
        <v>p.persica_gdr_reftransV1_0032379</v>
      </c>
      <c r="B5661" s="2">
        <v>1799</v>
      </c>
      <c r="C5661" s="4" t="str">
        <f>HYPERLINK("http://www.uniprot.org/uniprot/M5XC12","M5XC12")</f>
        <v>M5XC12</v>
      </c>
      <c r="D5661" s="2" t="s">
        <v>5162</v>
      </c>
      <c r="E5661" s="3">
        <v>0</v>
      </c>
      <c r="F5661" s="2">
        <v>2250</v>
      </c>
      <c r="G5661" s="2">
        <v>100</v>
      </c>
      <c r="H5661" s="2">
        <v>425</v>
      </c>
      <c r="I5661" s="2">
        <v>113</v>
      </c>
      <c r="J5661" s="2">
        <v>1387</v>
      </c>
      <c r="K5661" s="2">
        <v>1</v>
      </c>
      <c r="L5661" s="2">
        <v>425</v>
      </c>
    </row>
    <row r="5662" spans="1:12" x14ac:dyDescent="0.25">
      <c r="A5662" s="4" t="str">
        <f>HYPERLINK("http://www.rosaceae.org/Prunus/Prunus_persica/p.persica_gdr_reftransV1_0032729","p.persica_gdr_reftransV1_0032729")</f>
        <v>p.persica_gdr_reftransV1_0032729</v>
      </c>
      <c r="B5662" s="2">
        <v>1339</v>
      </c>
      <c r="C5662" s="4" t="str">
        <f>HYPERLINK("http://www.uniprot.org/uniprot/M5VR12","M5VR12")</f>
        <v>M5VR12</v>
      </c>
      <c r="D5662" s="2" t="s">
        <v>5163</v>
      </c>
      <c r="E5662" s="3">
        <v>5.6599999999999996E-141</v>
      </c>
      <c r="F5662" s="2">
        <v>1064</v>
      </c>
      <c r="G5662" s="2">
        <v>85</v>
      </c>
      <c r="H5662" s="2">
        <v>246</v>
      </c>
      <c r="I5662" s="2">
        <v>233</v>
      </c>
      <c r="J5662" s="2">
        <v>970</v>
      </c>
      <c r="K5662" s="2">
        <v>1</v>
      </c>
      <c r="L5662" s="2">
        <v>210</v>
      </c>
    </row>
    <row r="5663" spans="1:12" x14ac:dyDescent="0.25">
      <c r="A5663" s="4" t="str">
        <f>HYPERLINK("http://www.rosaceae.org/Prunus/Prunus_persica/p.persica_gdr_reftransV1_0034129","p.persica_gdr_reftransV1_0034129")</f>
        <v>p.persica_gdr_reftransV1_0034129</v>
      </c>
      <c r="B5663" s="2">
        <v>1201</v>
      </c>
      <c r="C5663" s="4" t="str">
        <f>HYPERLINK("http://www.uniprot.org/uniprot/M5W6Q5","M5W6Q5")</f>
        <v>M5W6Q5</v>
      </c>
      <c r="D5663" s="2" t="s">
        <v>5164</v>
      </c>
      <c r="E5663" s="3">
        <v>4.8200000000000003E-101</v>
      </c>
      <c r="F5663" s="2">
        <v>790</v>
      </c>
      <c r="G5663" s="2">
        <v>100</v>
      </c>
      <c r="H5663" s="2">
        <v>163</v>
      </c>
      <c r="I5663" s="2">
        <v>518</v>
      </c>
      <c r="J5663" s="2">
        <v>1006</v>
      </c>
      <c r="K5663" s="2">
        <v>1</v>
      </c>
      <c r="L5663" s="2">
        <v>163</v>
      </c>
    </row>
    <row r="5664" spans="1:12" x14ac:dyDescent="0.25">
      <c r="A5664" s="4" t="str">
        <f>HYPERLINK("http://www.rosaceae.org/Prunus/Prunus_persica/p.persica_gdr_reftransV1_0034479","p.persica_gdr_reftransV1_0034479")</f>
        <v>p.persica_gdr_reftransV1_0034479</v>
      </c>
      <c r="B5664" s="2">
        <v>1510</v>
      </c>
      <c r="C5664" s="4" t="str">
        <f>HYPERLINK("http://www.uniprot.org/uniprot/M5VIB7","M5VIB7")</f>
        <v>M5VIB7</v>
      </c>
      <c r="D5664" s="2" t="s">
        <v>5165</v>
      </c>
      <c r="E5664" s="3">
        <v>0</v>
      </c>
      <c r="F5664" s="2">
        <v>2010</v>
      </c>
      <c r="G5664" s="2">
        <v>100</v>
      </c>
      <c r="H5664" s="2">
        <v>380</v>
      </c>
      <c r="I5664" s="2">
        <v>370</v>
      </c>
      <c r="J5664" s="2">
        <v>1509</v>
      </c>
      <c r="K5664" s="2">
        <v>1167</v>
      </c>
      <c r="L5664" s="2">
        <v>1546</v>
      </c>
    </row>
    <row r="5665" spans="1:12" x14ac:dyDescent="0.25">
      <c r="A5665" s="4" t="str">
        <f>HYPERLINK("http://www.rosaceae.org/Prunus/Prunus_persica/p.persica_gdr_reftransV1_0035179","p.persica_gdr_reftransV1_0035179")</f>
        <v>p.persica_gdr_reftransV1_0035179</v>
      </c>
      <c r="B5665" s="2">
        <v>556</v>
      </c>
      <c r="C5665" s="4" t="str">
        <f>HYPERLINK("http://www.uniprot.org/uniprot/M5XGV7","M5XGV7")</f>
        <v>M5XGV7</v>
      </c>
      <c r="D5665" s="2" t="s">
        <v>1943</v>
      </c>
      <c r="E5665" s="3">
        <v>1.1599999999999999E-114</v>
      </c>
      <c r="F5665" s="2">
        <v>953</v>
      </c>
      <c r="G5665" s="2">
        <v>98</v>
      </c>
      <c r="H5665" s="2">
        <v>184</v>
      </c>
      <c r="I5665" s="2">
        <v>3</v>
      </c>
      <c r="J5665" s="2">
        <v>554</v>
      </c>
      <c r="K5665" s="2">
        <v>1692</v>
      </c>
      <c r="L5665" s="2">
        <v>1872</v>
      </c>
    </row>
    <row r="5666" spans="1:12" x14ac:dyDescent="0.25">
      <c r="A5666" s="4" t="str">
        <f>HYPERLINK("http://www.rosaceae.org/Prunus/Prunus_persica/p.persica_gdr_reftransV1_0037629","p.persica_gdr_reftransV1_0037629")</f>
        <v>p.persica_gdr_reftransV1_0037629</v>
      </c>
      <c r="B5666" s="2">
        <v>2674</v>
      </c>
      <c r="C5666" s="4" t="str">
        <f>HYPERLINK("http://www.uniprot.org/uniprot/M5XGE2","M5XGE2")</f>
        <v>M5XGE2</v>
      </c>
      <c r="D5666" s="2" t="s">
        <v>5166</v>
      </c>
      <c r="E5666" s="3">
        <v>0</v>
      </c>
      <c r="F5666" s="2">
        <v>1747</v>
      </c>
      <c r="G5666" s="2">
        <v>100</v>
      </c>
      <c r="H5666" s="2">
        <v>323</v>
      </c>
      <c r="I5666" s="2">
        <v>65</v>
      </c>
      <c r="J5666" s="2">
        <v>1033</v>
      </c>
      <c r="K5666" s="2">
        <v>1</v>
      </c>
      <c r="L5666" s="2">
        <v>323</v>
      </c>
    </row>
    <row r="5667" spans="1:12" x14ac:dyDescent="0.25">
      <c r="A5667" s="4" t="str">
        <f>HYPERLINK("http://www.rosaceae.org/Prunus/Prunus_persica/p.persica_gdr_reftransV1_0038329","p.persica_gdr_reftransV1_0038329")</f>
        <v>p.persica_gdr_reftransV1_0038329</v>
      </c>
      <c r="B5667" s="2">
        <v>2740</v>
      </c>
      <c r="C5667" s="4" t="str">
        <f>HYPERLINK("http://www.uniprot.org/uniprot/M5Wid8","M5Wid8")</f>
        <v>M5Wid8</v>
      </c>
      <c r="D5667" s="2" t="s">
        <v>5167</v>
      </c>
      <c r="E5667" s="3">
        <v>0</v>
      </c>
      <c r="F5667" s="2">
        <v>1469</v>
      </c>
      <c r="G5667" s="2">
        <v>99</v>
      </c>
      <c r="H5667" s="2">
        <v>291</v>
      </c>
      <c r="I5667" s="2">
        <v>568</v>
      </c>
      <c r="J5667" s="2">
        <v>1440</v>
      </c>
      <c r="K5667" s="2">
        <v>1</v>
      </c>
      <c r="L5667" s="2">
        <v>291</v>
      </c>
    </row>
    <row r="5668" spans="1:12" x14ac:dyDescent="0.25">
      <c r="A5668" s="4" t="str">
        <f>HYPERLINK("http://www.rosaceae.org/Prunus/Prunus_persica/p.persica_gdr_reftransV1_0038679","p.persica_gdr_reftransV1_0038679")</f>
        <v>p.persica_gdr_reftransV1_0038679</v>
      </c>
      <c r="B5668" s="2">
        <v>2868</v>
      </c>
      <c r="C5668" s="4" t="str">
        <f>HYPERLINK("http://www.uniprot.org/uniprot/M5WPN1","M5WPN1")</f>
        <v>M5WPN1</v>
      </c>
      <c r="D5668" s="2" t="s">
        <v>5168</v>
      </c>
      <c r="E5668" s="3">
        <v>0</v>
      </c>
      <c r="F5668" s="2">
        <v>1593</v>
      </c>
      <c r="G5668" s="2">
        <v>90</v>
      </c>
      <c r="H5668" s="2">
        <v>341</v>
      </c>
      <c r="I5668" s="2">
        <v>467</v>
      </c>
      <c r="J5668" s="2">
        <v>1489</v>
      </c>
      <c r="K5668" s="2">
        <v>145</v>
      </c>
      <c r="L5668" s="2">
        <v>458</v>
      </c>
    </row>
    <row r="5669" spans="1:12" x14ac:dyDescent="0.25">
      <c r="A5669" s="4" t="str">
        <f>HYPERLINK("http://www.rosaceae.org/Prunus/Prunus_persica/p.persica_gdr_reftransV1_0039729","p.persica_gdr_reftransV1_0039729")</f>
        <v>p.persica_gdr_reftransV1_0039729</v>
      </c>
      <c r="B5669" s="2">
        <v>2514</v>
      </c>
      <c r="C5669" s="4" t="str">
        <f>HYPERLINK("http://www.uniprot.org/uniprot/M5WRZ3","M5WRZ3")</f>
        <v>M5WRZ3</v>
      </c>
      <c r="D5669" s="2" t="s">
        <v>5169</v>
      </c>
      <c r="E5669" s="3">
        <v>0</v>
      </c>
      <c r="F5669" s="2">
        <v>1073</v>
      </c>
      <c r="G5669" s="2">
        <v>100</v>
      </c>
      <c r="H5669" s="2">
        <v>244</v>
      </c>
      <c r="I5669" s="2">
        <v>919</v>
      </c>
      <c r="J5669" s="2">
        <v>1650</v>
      </c>
      <c r="K5669" s="2">
        <v>1</v>
      </c>
      <c r="L5669" s="2">
        <v>244</v>
      </c>
    </row>
    <row r="5670" spans="1:12" x14ac:dyDescent="0.25">
      <c r="A5670" s="4" t="str">
        <f>HYPERLINK("http://www.rosaceae.org/Prunus/Prunus_persica/p.persica_gdr_reftransV1_0040079","p.persica_gdr_reftransV1_0040079")</f>
        <v>p.persica_gdr_reftransV1_0040079</v>
      </c>
      <c r="B5670" s="2">
        <v>5362</v>
      </c>
      <c r="C5670" s="4" t="str">
        <f>HYPERLINK("http://www.uniprot.org/uniprot/M5WS48","M5WS48")</f>
        <v>M5WS48</v>
      </c>
      <c r="D5670" s="2" t="s">
        <v>5170</v>
      </c>
      <c r="E5670" s="3">
        <v>6.4700000000000006E-145</v>
      </c>
      <c r="F5670" s="2">
        <v>1204</v>
      </c>
      <c r="G5670" s="2">
        <v>100</v>
      </c>
      <c r="H5670" s="2">
        <v>244</v>
      </c>
      <c r="I5670" s="2">
        <v>2872</v>
      </c>
      <c r="J5670" s="2">
        <v>3603</v>
      </c>
      <c r="K5670" s="2">
        <v>209</v>
      </c>
      <c r="L5670" s="2">
        <v>452</v>
      </c>
    </row>
    <row r="5671" spans="1:12" x14ac:dyDescent="0.25">
      <c r="A5671" s="4" t="str">
        <f>HYPERLINK("http://www.rosaceae.org/Prunus/Prunus_persica/p.persica_gdr_reftransV1_0043229","p.persica_gdr_reftransV1_0043229")</f>
        <v>p.persica_gdr_reftransV1_0043229</v>
      </c>
      <c r="B5671" s="2">
        <v>708</v>
      </c>
      <c r="C5671" s="4" t="str">
        <f>HYPERLINK("http://www.uniprot.org/uniprot/M5X1E5","M5X1E5")</f>
        <v>M5X1E5</v>
      </c>
      <c r="D5671" s="2" t="s">
        <v>5171</v>
      </c>
      <c r="E5671" s="3">
        <v>4.9899999999999997E-111</v>
      </c>
      <c r="F5671" s="2">
        <v>839</v>
      </c>
      <c r="G5671" s="2">
        <v>100</v>
      </c>
      <c r="H5671" s="2">
        <v>156</v>
      </c>
      <c r="I5671" s="2">
        <v>215</v>
      </c>
      <c r="J5671" s="2">
        <v>682</v>
      </c>
      <c r="K5671" s="2">
        <v>1</v>
      </c>
      <c r="L5671" s="2">
        <v>156</v>
      </c>
    </row>
    <row r="5672" spans="1:12" x14ac:dyDescent="0.25">
      <c r="A5672" s="4" t="str">
        <f>HYPERLINK("http://www.rosaceae.org/Prunus/Prunus_persica/p.persica_gdr_reftransV1_0043579","p.persica_gdr_reftransV1_0043579")</f>
        <v>p.persica_gdr_reftransV1_0043579</v>
      </c>
      <c r="B5672" s="2">
        <v>2054</v>
      </c>
      <c r="C5672" s="4" t="str">
        <f>HYPERLINK("http://www.uniprot.org/uniprot/M5WZ64","M5WZ64")</f>
        <v>M5WZ64</v>
      </c>
      <c r="D5672" s="2" t="s">
        <v>1606</v>
      </c>
      <c r="E5672" s="3">
        <v>0</v>
      </c>
      <c r="F5672" s="2">
        <v>2660</v>
      </c>
      <c r="G5672" s="2">
        <v>99</v>
      </c>
      <c r="H5672" s="2">
        <v>523</v>
      </c>
      <c r="I5672" s="2">
        <v>11</v>
      </c>
      <c r="J5672" s="2">
        <v>1579</v>
      </c>
      <c r="K5672" s="2">
        <v>1</v>
      </c>
      <c r="L5672" s="2">
        <v>523</v>
      </c>
    </row>
    <row r="5673" spans="1:12" x14ac:dyDescent="0.25">
      <c r="A5673" s="4" t="str">
        <f>HYPERLINK("http://www.rosaceae.org/Prunus/Prunus_persica/p.persica_gdr_reftransV1_0043929","p.persica_gdr_reftransV1_0043929")</f>
        <v>p.persica_gdr_reftransV1_0043929</v>
      </c>
      <c r="B5673" s="2">
        <v>504</v>
      </c>
      <c r="C5673" s="4" t="str">
        <f>HYPERLINK("http://www.uniprot.org/uniprot/W9RE37","W9RE37")</f>
        <v>W9RE37</v>
      </c>
      <c r="D5673" s="2" t="s">
        <v>5172</v>
      </c>
      <c r="E5673" s="3">
        <v>5.5299999999999999E-42</v>
      </c>
      <c r="F5673" s="2">
        <v>379</v>
      </c>
      <c r="G5673" s="2">
        <v>79</v>
      </c>
      <c r="H5673" s="2">
        <v>124</v>
      </c>
      <c r="I5673" s="2">
        <v>117</v>
      </c>
      <c r="J5673" s="2">
        <v>485</v>
      </c>
      <c r="K5673" s="2">
        <v>1</v>
      </c>
      <c r="L5673" s="2">
        <v>124</v>
      </c>
    </row>
    <row r="5674" spans="1:12" x14ac:dyDescent="0.25">
      <c r="A5674" s="4" t="str">
        <f>HYPERLINK("http://www.rosaceae.org/Prunus/Prunus_persica/p.persica_gdr_reftransV1_0044979","p.persica_gdr_reftransV1_0044979")</f>
        <v>p.persica_gdr_reftransV1_0044979</v>
      </c>
      <c r="B5674" s="2">
        <v>928</v>
      </c>
      <c r="C5674" s="4" t="str">
        <f>HYPERLINK("http://www.uniprot.org/uniprot/M5WAM3","M5WAM3")</f>
        <v>M5WAM3</v>
      </c>
      <c r="D5674" s="2" t="s">
        <v>5173</v>
      </c>
      <c r="E5674" s="3">
        <v>3.5400000000000002E-62</v>
      </c>
      <c r="F5674" s="2">
        <v>527</v>
      </c>
      <c r="G5674" s="2">
        <v>100</v>
      </c>
      <c r="H5674" s="2">
        <v>100</v>
      </c>
      <c r="I5674" s="2">
        <v>125</v>
      </c>
      <c r="J5674" s="2">
        <v>424</v>
      </c>
      <c r="K5674" s="2">
        <v>40</v>
      </c>
      <c r="L5674" s="2">
        <v>139</v>
      </c>
    </row>
    <row r="5675" spans="1:12" x14ac:dyDescent="0.25">
      <c r="A5675" s="4" t="str">
        <f>HYPERLINK("http://www.rosaceae.org/Prunus/Prunus_persica/p.persica_gdr_reftransV1_0045329","p.persica_gdr_reftransV1_0045329")</f>
        <v>p.persica_gdr_reftransV1_0045329</v>
      </c>
      <c r="B5675" s="2">
        <v>596</v>
      </c>
      <c r="C5675" s="4" t="str">
        <f>HYPERLINK("http://www.uniprot.org/uniprot/M5W8L1","M5W8L1")</f>
        <v>M5W8L1</v>
      </c>
      <c r="D5675" s="2" t="s">
        <v>947</v>
      </c>
      <c r="E5675" s="3">
        <v>1.0899999999999999E-124</v>
      </c>
      <c r="F5675" s="2">
        <v>958</v>
      </c>
      <c r="G5675" s="2">
        <v>99</v>
      </c>
      <c r="H5675" s="2">
        <v>199</v>
      </c>
      <c r="I5675" s="2">
        <v>1</v>
      </c>
      <c r="J5675" s="2">
        <v>594</v>
      </c>
      <c r="K5675" s="2">
        <v>295</v>
      </c>
      <c r="L5675" s="2">
        <v>493</v>
      </c>
    </row>
    <row r="5676" spans="1:12" x14ac:dyDescent="0.25">
      <c r="A5676" s="4" t="str">
        <f>HYPERLINK("http://www.rosaceae.org/Prunus/Prunus_persica/p.persica_gdr_reftransV1_0046029","p.persica_gdr_reftransV1_0046029")</f>
        <v>p.persica_gdr_reftransV1_0046029</v>
      </c>
      <c r="B5676" s="2">
        <v>1957</v>
      </c>
      <c r="C5676" s="4" t="str">
        <f>HYPERLINK("http://www.uniprot.org/uniprot/F6HJC9","F6HJC9")</f>
        <v>F6HJC9</v>
      </c>
      <c r="D5676" s="2" t="s">
        <v>5174</v>
      </c>
      <c r="E5676" s="3">
        <v>0</v>
      </c>
      <c r="F5676" s="2">
        <v>1646</v>
      </c>
      <c r="G5676" s="2">
        <v>69</v>
      </c>
      <c r="H5676" s="2">
        <v>454</v>
      </c>
      <c r="I5676" s="2">
        <v>368</v>
      </c>
      <c r="J5676" s="2">
        <v>1720</v>
      </c>
      <c r="K5676" s="2">
        <v>2</v>
      </c>
      <c r="L5676" s="2">
        <v>447</v>
      </c>
    </row>
    <row r="5677" spans="1:12" x14ac:dyDescent="0.25">
      <c r="A5677" s="4" t="str">
        <f>HYPERLINK("http://www.rosaceae.org/Prunus/Prunus_persica/p.persica_gdr_reftransV1_0046379","p.persica_gdr_reftransV1_0046379")</f>
        <v>p.persica_gdr_reftransV1_0046379</v>
      </c>
      <c r="B5677" s="2">
        <v>1832</v>
      </c>
      <c r="C5677" s="4" t="str">
        <f>HYPERLINK("http://www.uniprot.org/uniprot/M5WPY9","M5WPY9")</f>
        <v>M5WPY9</v>
      </c>
      <c r="D5677" s="2" t="s">
        <v>5175</v>
      </c>
      <c r="E5677" s="3">
        <v>0</v>
      </c>
      <c r="F5677" s="2">
        <v>3011</v>
      </c>
      <c r="G5677" s="2">
        <v>100</v>
      </c>
      <c r="H5677" s="2">
        <v>578</v>
      </c>
      <c r="I5677" s="2">
        <v>99</v>
      </c>
      <c r="J5677" s="2">
        <v>1832</v>
      </c>
      <c r="K5677" s="2">
        <v>164</v>
      </c>
      <c r="L5677" s="2">
        <v>739</v>
      </c>
    </row>
    <row r="5678" spans="1:12" x14ac:dyDescent="0.25">
      <c r="A5678" s="4" t="str">
        <f>HYPERLINK("http://www.rosaceae.org/Prunus/Prunus_persica/p.persica_gdr_reftransV1_0046729","p.persica_gdr_reftransV1_0046729")</f>
        <v>p.persica_gdr_reftransV1_0046729</v>
      </c>
      <c r="B5678" s="2">
        <v>2022</v>
      </c>
      <c r="C5678" s="4" t="str">
        <f>HYPERLINK("http://www.uniprot.org/uniprot/A0A068B3L0","A0A068B3L0")</f>
        <v>A0A068B3L0</v>
      </c>
      <c r="D5678" s="2" t="s">
        <v>5058</v>
      </c>
      <c r="E5678" s="3">
        <v>0</v>
      </c>
      <c r="F5678" s="2">
        <v>1268</v>
      </c>
      <c r="G5678" s="2">
        <v>91</v>
      </c>
      <c r="H5678" s="2">
        <v>259</v>
      </c>
      <c r="I5678" s="2">
        <v>791</v>
      </c>
      <c r="J5678" s="2">
        <v>1567</v>
      </c>
      <c r="K5678" s="2">
        <v>124</v>
      </c>
      <c r="L5678" s="2">
        <v>382</v>
      </c>
    </row>
    <row r="5679" spans="1:12" x14ac:dyDescent="0.25">
      <c r="A5679" s="4" t="str">
        <f>HYPERLINK("http://www.rosaceae.org/Prunus/Prunus_persica/p.persica_gdr_reftransV1_0047079","p.persica_gdr_reftransV1_0047079")</f>
        <v>p.persica_gdr_reftransV1_0047079</v>
      </c>
      <c r="B5679" s="2">
        <v>1195</v>
      </c>
      <c r="C5679" s="4" t="str">
        <f>HYPERLINK("http://www.uniprot.org/uniprot/M5WA97","M5WA97")</f>
        <v>M5WA97</v>
      </c>
      <c r="D5679" s="2" t="s">
        <v>5176</v>
      </c>
      <c r="E5679" s="3">
        <v>2.1799999999999999E-144</v>
      </c>
      <c r="F5679" s="2">
        <v>1087</v>
      </c>
      <c r="G5679" s="2">
        <v>100</v>
      </c>
      <c r="H5679" s="2">
        <v>264</v>
      </c>
      <c r="I5679" s="2">
        <v>130</v>
      </c>
      <c r="J5679" s="2">
        <v>921</v>
      </c>
      <c r="K5679" s="2">
        <v>1</v>
      </c>
      <c r="L5679" s="2">
        <v>264</v>
      </c>
    </row>
    <row r="5680" spans="1:12" x14ac:dyDescent="0.25">
      <c r="A5680" s="4" t="str">
        <f>HYPERLINK("http://www.rosaceae.org/Prunus/Prunus_persica/p.persica_gdr_reftransV1_0047779","p.persica_gdr_reftransV1_0047779")</f>
        <v>p.persica_gdr_reftransV1_0047779</v>
      </c>
      <c r="B5680" s="2">
        <v>1396</v>
      </c>
      <c r="C5680" s="4" t="str">
        <f>HYPERLINK("http://www.uniprot.org/uniprot/M5W1V9","M5W1V9")</f>
        <v>M5W1V9</v>
      </c>
      <c r="D5680" s="2" t="s">
        <v>5177</v>
      </c>
      <c r="E5680" s="3">
        <v>0</v>
      </c>
      <c r="F5680" s="2">
        <v>1776</v>
      </c>
      <c r="G5680" s="2">
        <v>100</v>
      </c>
      <c r="H5680" s="2">
        <v>347</v>
      </c>
      <c r="I5680" s="2">
        <v>253</v>
      </c>
      <c r="J5680" s="2">
        <v>1293</v>
      </c>
      <c r="K5680" s="2">
        <v>1</v>
      </c>
      <c r="L5680" s="2">
        <v>347</v>
      </c>
    </row>
    <row r="5681" spans="1:12" x14ac:dyDescent="0.25">
      <c r="A5681" s="4" t="str">
        <f>HYPERLINK("http://www.rosaceae.org/Prunus/Prunus_persica/p.persica_gdr_reftransV1_0048129","p.persica_gdr_reftransV1_0048129")</f>
        <v>p.persica_gdr_reftransV1_0048129</v>
      </c>
      <c r="B5681" s="2">
        <v>1527</v>
      </c>
      <c r="C5681" s="4" t="str">
        <f>HYPERLINK("http://www.uniprot.org/uniprot/M5WTL7","M5WTL7")</f>
        <v>M5WTL7</v>
      </c>
      <c r="D5681" s="2" t="s">
        <v>2507</v>
      </c>
      <c r="E5681" s="3">
        <v>2.2299999999999999E-153</v>
      </c>
      <c r="F5681" s="2">
        <v>1176</v>
      </c>
      <c r="G5681" s="2">
        <v>100</v>
      </c>
      <c r="H5681" s="2">
        <v>373</v>
      </c>
      <c r="I5681" s="2">
        <v>2</v>
      </c>
      <c r="J5681" s="2">
        <v>1120</v>
      </c>
      <c r="K5681" s="2">
        <v>55</v>
      </c>
      <c r="L5681" s="2">
        <v>427</v>
      </c>
    </row>
    <row r="5682" spans="1:12" x14ac:dyDescent="0.25">
      <c r="A5682" s="4" t="str">
        <f>HYPERLINK("http://www.rosaceae.org/Prunus/Prunus_persica/p.persica_gdr_reftransV1_0048479","p.persica_gdr_reftransV1_0048479")</f>
        <v>p.persica_gdr_reftransV1_0048479</v>
      </c>
      <c r="B5682" s="2">
        <v>593</v>
      </c>
      <c r="C5682" s="4" t="str">
        <f>HYPERLINK("http://www.uniprot.org/uniprot/M5W5W8","M5W5W8")</f>
        <v>M5W5W8</v>
      </c>
      <c r="D5682" s="2" t="s">
        <v>5178</v>
      </c>
      <c r="E5682" s="3">
        <v>3.2800000000000002E-101</v>
      </c>
      <c r="F5682" s="2">
        <v>770</v>
      </c>
      <c r="G5682" s="2">
        <v>100</v>
      </c>
      <c r="H5682" s="2">
        <v>159</v>
      </c>
      <c r="I5682" s="2">
        <v>82</v>
      </c>
      <c r="J5682" s="2">
        <v>558</v>
      </c>
      <c r="K5682" s="2">
        <v>1</v>
      </c>
      <c r="L5682" s="2">
        <v>159</v>
      </c>
    </row>
    <row r="5683" spans="1:12" x14ac:dyDescent="0.25">
      <c r="A5683" s="4" t="str">
        <f>HYPERLINK("http://www.rosaceae.org/Prunus/Prunus_persica/p.persica_gdr_reftransV1_0048829","p.persica_gdr_reftransV1_0048829")</f>
        <v>p.persica_gdr_reftransV1_0048829</v>
      </c>
      <c r="B5683" s="2">
        <v>693</v>
      </c>
      <c r="C5683" s="4" t="str">
        <f>HYPERLINK("http://www.uniprot.org/uniprot/M5Y5M9","M5Y5M9")</f>
        <v>M5Y5M9</v>
      </c>
      <c r="D5683" s="2" t="s">
        <v>5179</v>
      </c>
      <c r="E5683" s="3">
        <v>1.6900000000000001E-98</v>
      </c>
      <c r="F5683" s="2">
        <v>755</v>
      </c>
      <c r="G5683" s="2">
        <v>100</v>
      </c>
      <c r="H5683" s="2">
        <v>145</v>
      </c>
      <c r="I5683" s="2">
        <v>67</v>
      </c>
      <c r="J5683" s="2">
        <v>501</v>
      </c>
      <c r="K5683" s="2">
        <v>1</v>
      </c>
      <c r="L5683" s="2">
        <v>145</v>
      </c>
    </row>
    <row r="5684" spans="1:12" x14ac:dyDescent="0.25">
      <c r="A5684" s="4" t="str">
        <f>HYPERLINK("http://www.rosaceae.org/Prunus/Prunus_persica/p.persica_gdr_reftransV1_0049179","p.persica_gdr_reftransV1_0049179")</f>
        <v>p.persica_gdr_reftransV1_0049179</v>
      </c>
      <c r="B5684" s="2">
        <v>454</v>
      </c>
      <c r="C5684" s="4" t="str">
        <f>HYPERLINK("http://www.uniprot.org/uniprot/W9SI02","W9SI02")</f>
        <v>W9SI02</v>
      </c>
      <c r="D5684" s="2" t="s">
        <v>5180</v>
      </c>
      <c r="E5684" s="3">
        <v>2.2E-55</v>
      </c>
      <c r="F5684" s="2">
        <v>489</v>
      </c>
      <c r="G5684" s="2">
        <v>68</v>
      </c>
      <c r="H5684" s="2">
        <v>148</v>
      </c>
      <c r="I5684" s="2">
        <v>9</v>
      </c>
      <c r="J5684" s="2">
        <v>452</v>
      </c>
      <c r="K5684" s="2">
        <v>65</v>
      </c>
      <c r="L5684" s="2">
        <v>212</v>
      </c>
    </row>
    <row r="5685" spans="1:12" x14ac:dyDescent="0.25">
      <c r="A5685" s="4" t="str">
        <f>HYPERLINK("http://www.rosaceae.org/Prunus/Prunus_persica/p.persica_gdr_reftransV1_0000180","p.persica_gdr_reftransV1_0000180")</f>
        <v>p.persica_gdr_reftransV1_0000180</v>
      </c>
      <c r="B5685" s="2">
        <v>656</v>
      </c>
      <c r="C5685" s="4" t="str">
        <f>HYPERLINK("http://www.uniprot.org/uniprot/M5W7W9","M5W7W9")</f>
        <v>M5W7W9</v>
      </c>
      <c r="D5685" s="2" t="s">
        <v>5181</v>
      </c>
      <c r="E5685" s="3">
        <v>1.96E-159</v>
      </c>
      <c r="F5685" s="2">
        <v>1170</v>
      </c>
      <c r="G5685" s="2">
        <v>100</v>
      </c>
      <c r="H5685" s="2">
        <v>218</v>
      </c>
      <c r="I5685" s="2">
        <v>1</v>
      </c>
      <c r="J5685" s="2">
        <v>654</v>
      </c>
      <c r="K5685" s="2">
        <v>38</v>
      </c>
      <c r="L5685" s="2">
        <v>255</v>
      </c>
    </row>
    <row r="5686" spans="1:12" x14ac:dyDescent="0.25">
      <c r="A5686" s="4" t="str">
        <f>HYPERLINK("http://www.rosaceae.org/Prunus/Prunus_persica/p.persica_gdr_reftransV1_0000530","p.persica_gdr_reftransV1_0000530")</f>
        <v>p.persica_gdr_reftransV1_0000530</v>
      </c>
      <c r="B5686" s="2">
        <v>1239</v>
      </c>
      <c r="C5686" s="4" t="str">
        <f>HYPERLINK("http://www.uniprot.org/uniprot/M5WR03","M5WR03")</f>
        <v>M5WR03</v>
      </c>
      <c r="D5686" s="2" t="s">
        <v>5182</v>
      </c>
      <c r="E5686" s="3">
        <v>0</v>
      </c>
      <c r="F5686" s="2">
        <v>1047</v>
      </c>
      <c r="G5686" s="2">
        <v>100</v>
      </c>
      <c r="H5686" s="2">
        <v>194</v>
      </c>
      <c r="I5686" s="2">
        <v>657</v>
      </c>
      <c r="J5686" s="2">
        <v>1238</v>
      </c>
      <c r="K5686" s="2">
        <v>327</v>
      </c>
      <c r="L5686" s="2">
        <v>520</v>
      </c>
    </row>
    <row r="5687" spans="1:12" x14ac:dyDescent="0.25">
      <c r="A5687" s="4" t="str">
        <f>HYPERLINK("http://www.rosaceae.org/Prunus/Prunus_persica/p.persica_gdr_reftransV1_0000880","p.persica_gdr_reftransV1_0000880")</f>
        <v>p.persica_gdr_reftransV1_0000880</v>
      </c>
      <c r="B5687" s="2">
        <v>4972</v>
      </c>
      <c r="C5687" s="4" t="str">
        <f>HYPERLINK("http://www.uniprot.org/uniprot/M5Y4E1","M5Y4E1")</f>
        <v>M5Y4E1</v>
      </c>
      <c r="D5687" s="2" t="s">
        <v>3403</v>
      </c>
      <c r="E5687" s="3">
        <v>0</v>
      </c>
      <c r="F5687" s="2">
        <v>6052</v>
      </c>
      <c r="G5687" s="2">
        <v>98</v>
      </c>
      <c r="H5687" s="2">
        <v>1251</v>
      </c>
      <c r="I5687" s="2">
        <v>589</v>
      </c>
      <c r="J5687" s="2">
        <v>4341</v>
      </c>
      <c r="K5687" s="2">
        <v>1</v>
      </c>
      <c r="L5687" s="2">
        <v>1249</v>
      </c>
    </row>
    <row r="5688" spans="1:12" x14ac:dyDescent="0.25">
      <c r="A5688" s="4" t="str">
        <f>HYPERLINK("http://www.rosaceae.org/Prunus/Prunus_persica/p.persica_gdr_reftransV1_0001230","p.persica_gdr_reftransV1_0001230")</f>
        <v>p.persica_gdr_reftransV1_0001230</v>
      </c>
      <c r="B5688" s="2">
        <v>1247</v>
      </c>
      <c r="C5688" s="4" t="str">
        <f>HYPERLINK("http://www.uniprot.org/uniprot/M5WU14","M5WU14")</f>
        <v>M5WU14</v>
      </c>
      <c r="D5688" s="2" t="s">
        <v>5183</v>
      </c>
      <c r="E5688" s="3">
        <v>0</v>
      </c>
      <c r="F5688" s="2">
        <v>1429</v>
      </c>
      <c r="G5688" s="2">
        <v>74</v>
      </c>
      <c r="H5688" s="2">
        <v>371</v>
      </c>
      <c r="I5688" s="2">
        <v>3</v>
      </c>
      <c r="J5688" s="2">
        <v>1115</v>
      </c>
      <c r="K5688" s="2">
        <v>346</v>
      </c>
      <c r="L5688" s="2">
        <v>711</v>
      </c>
    </row>
    <row r="5689" spans="1:12" x14ac:dyDescent="0.25">
      <c r="A5689" s="4" t="str">
        <f>HYPERLINK("http://www.rosaceae.org/Prunus/Prunus_persica/p.persica_gdr_reftransV1_0001580","p.persica_gdr_reftransV1_0001580")</f>
        <v>p.persica_gdr_reftransV1_0001580</v>
      </c>
      <c r="B5689" s="2">
        <v>1730</v>
      </c>
      <c r="C5689" s="4" t="str">
        <f>HYPERLINK("http://www.uniprot.org/uniprot/M5VW61","M5VW61")</f>
        <v>M5VW61</v>
      </c>
      <c r="D5689" s="2" t="s">
        <v>5184</v>
      </c>
      <c r="E5689" s="3">
        <v>0</v>
      </c>
      <c r="F5689" s="2">
        <v>2349</v>
      </c>
      <c r="G5689" s="2">
        <v>95</v>
      </c>
      <c r="H5689" s="2">
        <v>516</v>
      </c>
      <c r="I5689" s="2">
        <v>181</v>
      </c>
      <c r="J5689" s="2">
        <v>1728</v>
      </c>
      <c r="K5689" s="2">
        <v>21</v>
      </c>
      <c r="L5689" s="2">
        <v>511</v>
      </c>
    </row>
    <row r="5690" spans="1:12" x14ac:dyDescent="0.25">
      <c r="A5690" s="4" t="str">
        <f>HYPERLINK("http://www.rosaceae.org/Prunus/Prunus_persica/p.persica_gdr_reftransV1_0001930","p.persica_gdr_reftransV1_0001930")</f>
        <v>p.persica_gdr_reftransV1_0001930</v>
      </c>
      <c r="B5690" s="2">
        <v>3021</v>
      </c>
      <c r="C5690" s="4" t="str">
        <f>HYPERLINK("http://www.uniprot.org/uniprot/M5W8M3","M5W8M3")</f>
        <v>M5W8M3</v>
      </c>
      <c r="D5690" s="2" t="s">
        <v>5185</v>
      </c>
      <c r="E5690" s="3">
        <v>0</v>
      </c>
      <c r="F5690" s="2">
        <v>3011</v>
      </c>
      <c r="G5690" s="2">
        <v>100</v>
      </c>
      <c r="H5690" s="2">
        <v>591</v>
      </c>
      <c r="I5690" s="2">
        <v>701</v>
      </c>
      <c r="J5690" s="2">
        <v>2473</v>
      </c>
      <c r="K5690" s="2">
        <v>1</v>
      </c>
      <c r="L5690" s="2">
        <v>591</v>
      </c>
    </row>
    <row r="5691" spans="1:12" x14ac:dyDescent="0.25">
      <c r="A5691" s="4" t="str">
        <f>HYPERLINK("http://www.rosaceae.org/Prunus/Prunus_persica/p.persica_gdr_reftransV1_0002280","p.persica_gdr_reftransV1_0002280")</f>
        <v>p.persica_gdr_reftransV1_0002280</v>
      </c>
      <c r="B5691" s="2">
        <v>1465</v>
      </c>
      <c r="C5691" s="4" t="str">
        <f>HYPERLINK("http://www.uniprot.org/uniprot/M5WQI8","M5WQI8")</f>
        <v>M5WQI8</v>
      </c>
      <c r="D5691" s="2" t="s">
        <v>5186</v>
      </c>
      <c r="E5691" s="3">
        <v>1.91E-172</v>
      </c>
      <c r="F5691" s="2">
        <v>1342</v>
      </c>
      <c r="G5691" s="2">
        <v>97</v>
      </c>
      <c r="H5691" s="2">
        <v>289</v>
      </c>
      <c r="I5691" s="2">
        <v>592</v>
      </c>
      <c r="J5691" s="2">
        <v>1458</v>
      </c>
      <c r="K5691" s="2">
        <v>1</v>
      </c>
      <c r="L5691" s="2">
        <v>289</v>
      </c>
    </row>
    <row r="5692" spans="1:12" x14ac:dyDescent="0.25">
      <c r="A5692" s="4" t="str">
        <f>HYPERLINK("http://www.rosaceae.org/Prunus/Prunus_persica/p.persica_gdr_reftransV1_0002630","p.persica_gdr_reftransV1_0002630")</f>
        <v>p.persica_gdr_reftransV1_0002630</v>
      </c>
      <c r="B5692" s="2">
        <v>2200</v>
      </c>
      <c r="C5692" s="4" t="str">
        <f>HYPERLINK("http://www.uniprot.org/uniprot/M5XIR2","M5XIR2")</f>
        <v>M5XIR2</v>
      </c>
      <c r="D5692" s="2" t="s">
        <v>5187</v>
      </c>
      <c r="E5692" s="3">
        <v>0</v>
      </c>
      <c r="F5692" s="2">
        <v>2842</v>
      </c>
      <c r="G5692" s="2">
        <v>100</v>
      </c>
      <c r="H5692" s="2">
        <v>578</v>
      </c>
      <c r="I5692" s="2">
        <v>172</v>
      </c>
      <c r="J5692" s="2">
        <v>1905</v>
      </c>
      <c r="K5692" s="2">
        <v>1</v>
      </c>
      <c r="L5692" s="2">
        <v>578</v>
      </c>
    </row>
    <row r="5693" spans="1:12" x14ac:dyDescent="0.25">
      <c r="A5693" s="4" t="str">
        <f>HYPERLINK("http://www.rosaceae.org/Prunus/Prunus_persica/p.persica_gdr_reftransV1_0003330","p.persica_gdr_reftransV1_0003330")</f>
        <v>p.persica_gdr_reftransV1_0003330</v>
      </c>
      <c r="B5693" s="2">
        <v>3384</v>
      </c>
      <c r="C5693" s="4" t="str">
        <f>HYPERLINK("http://www.uniprot.org/uniprot/M5WFI7","M5WFI7")</f>
        <v>M5WFI7</v>
      </c>
      <c r="D5693" s="2" t="s">
        <v>4577</v>
      </c>
      <c r="E5693" s="3">
        <v>0</v>
      </c>
      <c r="F5693" s="2">
        <v>3555</v>
      </c>
      <c r="G5693" s="2">
        <v>92</v>
      </c>
      <c r="H5693" s="2">
        <v>773</v>
      </c>
      <c r="I5693" s="2">
        <v>451</v>
      </c>
      <c r="J5693" s="2">
        <v>2769</v>
      </c>
      <c r="K5693" s="2">
        <v>1</v>
      </c>
      <c r="L5693" s="2">
        <v>773</v>
      </c>
    </row>
    <row r="5694" spans="1:12" x14ac:dyDescent="0.25">
      <c r="A5694" s="4" t="str">
        <f>HYPERLINK("http://www.rosaceae.org/Prunus/Prunus_persica/p.persica_gdr_reftransV1_0003680","p.persica_gdr_reftransV1_0003680")</f>
        <v>p.persica_gdr_reftransV1_0003680</v>
      </c>
      <c r="B5694" s="2">
        <v>553</v>
      </c>
      <c r="C5694" s="4" t="str">
        <f>HYPERLINK("http://www.uniprot.org/uniprot/M5W3X8","M5W3X8")</f>
        <v>M5W3X8</v>
      </c>
      <c r="D5694" s="2" t="s">
        <v>5188</v>
      </c>
      <c r="E5694" s="3">
        <v>6.3399999999999997E-85</v>
      </c>
      <c r="F5694" s="2">
        <v>715</v>
      </c>
      <c r="G5694" s="2">
        <v>94</v>
      </c>
      <c r="H5694" s="2">
        <v>145</v>
      </c>
      <c r="I5694" s="2">
        <v>1</v>
      </c>
      <c r="J5694" s="2">
        <v>435</v>
      </c>
      <c r="K5694" s="2">
        <v>432</v>
      </c>
      <c r="L5694" s="2">
        <v>576</v>
      </c>
    </row>
    <row r="5695" spans="1:12" x14ac:dyDescent="0.25">
      <c r="A5695" s="4" t="str">
        <f>HYPERLINK("http://www.rosaceae.org/Prunus/Prunus_persica/p.persica_gdr_reftransV1_0004030","p.persica_gdr_reftransV1_0004030")</f>
        <v>p.persica_gdr_reftransV1_0004030</v>
      </c>
      <c r="B5695" s="2">
        <v>375</v>
      </c>
      <c r="C5695" s="4" t="str">
        <f>HYPERLINK("http://www.uniprot.org/uniprot/M5W4V7","M5W4V7")</f>
        <v>M5W4V7</v>
      </c>
      <c r="D5695" s="2" t="s">
        <v>5189</v>
      </c>
      <c r="E5695" s="3">
        <v>2.88E-9</v>
      </c>
      <c r="F5695" s="2">
        <v>146</v>
      </c>
      <c r="G5695" s="2">
        <v>100</v>
      </c>
      <c r="H5695" s="2">
        <v>96</v>
      </c>
      <c r="I5695" s="2">
        <v>7</v>
      </c>
      <c r="J5695" s="2">
        <v>294</v>
      </c>
      <c r="K5695" s="2">
        <v>1</v>
      </c>
      <c r="L5695" s="2">
        <v>96</v>
      </c>
    </row>
    <row r="5696" spans="1:12" x14ac:dyDescent="0.25">
      <c r="A5696" s="4" t="str">
        <f>HYPERLINK("http://www.rosaceae.org/Prunus/Prunus_persica/p.persica_gdr_reftransV1_0004380","p.persica_gdr_reftransV1_0004380")</f>
        <v>p.persica_gdr_reftransV1_0004380</v>
      </c>
      <c r="B5696" s="2">
        <v>1785</v>
      </c>
      <c r="C5696" s="4" t="str">
        <f>HYPERLINK("http://www.uniprot.org/uniprot/A0A067EK93","A0A067EK93")</f>
        <v>A0A067EK93</v>
      </c>
      <c r="D5696" s="2" t="s">
        <v>5190</v>
      </c>
      <c r="E5696" s="3">
        <v>0</v>
      </c>
      <c r="F5696" s="2">
        <v>1925</v>
      </c>
      <c r="G5696" s="2">
        <v>94</v>
      </c>
      <c r="H5696" s="2">
        <v>404</v>
      </c>
      <c r="I5696" s="2">
        <v>139</v>
      </c>
      <c r="J5696" s="2">
        <v>1350</v>
      </c>
      <c r="K5696" s="2">
        <v>123</v>
      </c>
      <c r="L5696" s="2">
        <v>526</v>
      </c>
    </row>
    <row r="5697" spans="1:12" x14ac:dyDescent="0.25">
      <c r="A5697" s="4" t="str">
        <f>HYPERLINK("http://www.rosaceae.org/Prunus/Prunus_persica/p.persica_gdr_reftransV1_0005080","p.persica_gdr_reftransV1_0005080")</f>
        <v>p.persica_gdr_reftransV1_0005080</v>
      </c>
      <c r="B5697" s="2">
        <v>673</v>
      </c>
      <c r="C5697" s="4" t="str">
        <f>HYPERLINK("http://www.uniprot.org/uniprot/A0A059D7Q1","A0A059D7Q1")</f>
        <v>A0A059D7Q1</v>
      </c>
      <c r="D5697" s="2" t="s">
        <v>5191</v>
      </c>
      <c r="E5697" s="3">
        <v>6.7999999999999994E-20</v>
      </c>
      <c r="F5697" s="2">
        <v>224</v>
      </c>
      <c r="G5697" s="2">
        <v>74</v>
      </c>
      <c r="H5697" s="2">
        <v>81</v>
      </c>
      <c r="I5697" s="2">
        <v>3</v>
      </c>
      <c r="J5697" s="2">
        <v>242</v>
      </c>
      <c r="K5697" s="2">
        <v>13</v>
      </c>
      <c r="L5697" s="2">
        <v>93</v>
      </c>
    </row>
    <row r="5698" spans="1:12" x14ac:dyDescent="0.25">
      <c r="A5698" s="4" t="str">
        <f>HYPERLINK("http://www.rosaceae.org/Prunus/Prunus_persica/p.persica_gdr_reftransV1_0006130","p.persica_gdr_reftransV1_0006130")</f>
        <v>p.persica_gdr_reftransV1_0006130</v>
      </c>
      <c r="B5698" s="2">
        <v>1005</v>
      </c>
      <c r="C5698" s="4" t="str">
        <f>HYPERLINK("http://www.uniprot.org/uniprot/M5WFG5","M5WFG5")</f>
        <v>M5WFG5</v>
      </c>
      <c r="D5698" s="2" t="s">
        <v>5192</v>
      </c>
      <c r="E5698" s="3">
        <v>2.1999999999999999E-151</v>
      </c>
      <c r="F5698" s="2">
        <v>1152</v>
      </c>
      <c r="G5698" s="2">
        <v>100</v>
      </c>
      <c r="H5698" s="2">
        <v>249</v>
      </c>
      <c r="I5698" s="2">
        <v>142</v>
      </c>
      <c r="J5698" s="2">
        <v>888</v>
      </c>
      <c r="K5698" s="2">
        <v>1</v>
      </c>
      <c r="L5698" s="2">
        <v>249</v>
      </c>
    </row>
    <row r="5699" spans="1:12" x14ac:dyDescent="0.25">
      <c r="A5699" s="4" t="str">
        <f>HYPERLINK("http://www.rosaceae.org/Prunus/Prunus_persica/p.persica_gdr_reftransV1_0006480","p.persica_gdr_reftransV1_0006480")</f>
        <v>p.persica_gdr_reftransV1_0006480</v>
      </c>
      <c r="B5699" s="2">
        <v>3510</v>
      </c>
      <c r="C5699" s="4" t="str">
        <f>HYPERLINK("http://www.uniprot.org/uniprot/M5X2Z2","M5X2Z2")</f>
        <v>M5X2Z2</v>
      </c>
      <c r="D5699" s="2" t="s">
        <v>5193</v>
      </c>
      <c r="E5699" s="3">
        <v>7.1300000000000004E-37</v>
      </c>
      <c r="F5699" s="2">
        <v>365</v>
      </c>
      <c r="G5699" s="2">
        <v>100</v>
      </c>
      <c r="H5699" s="2">
        <v>70</v>
      </c>
      <c r="I5699" s="2">
        <v>1238</v>
      </c>
      <c r="J5699" s="2">
        <v>1447</v>
      </c>
      <c r="K5699" s="2">
        <v>1</v>
      </c>
      <c r="L5699" s="2">
        <v>70</v>
      </c>
    </row>
    <row r="5700" spans="1:12" x14ac:dyDescent="0.25">
      <c r="A5700" s="4" t="str">
        <f>HYPERLINK("http://www.rosaceae.org/Prunus/Prunus_persica/p.persica_gdr_reftransV1_0007180","p.persica_gdr_reftransV1_0007180")</f>
        <v>p.persica_gdr_reftransV1_0007180</v>
      </c>
      <c r="B5700" s="2">
        <v>1427</v>
      </c>
      <c r="C5700" s="4" t="str">
        <f>HYPERLINK("http://www.uniprot.org/uniprot/M5WGK8","M5WGK8")</f>
        <v>M5WGK8</v>
      </c>
      <c r="D5700" s="2" t="s">
        <v>5194</v>
      </c>
      <c r="E5700" s="3">
        <v>0</v>
      </c>
      <c r="F5700" s="2">
        <v>1363</v>
      </c>
      <c r="G5700" s="2">
        <v>100</v>
      </c>
      <c r="H5700" s="2">
        <v>311</v>
      </c>
      <c r="I5700" s="2">
        <v>213</v>
      </c>
      <c r="J5700" s="2">
        <v>1145</v>
      </c>
      <c r="K5700" s="2">
        <v>1</v>
      </c>
      <c r="L5700" s="2">
        <v>311</v>
      </c>
    </row>
    <row r="5701" spans="1:12" x14ac:dyDescent="0.25">
      <c r="A5701" s="4" t="str">
        <f>HYPERLINK("http://www.rosaceae.org/Prunus/Prunus_persica/p.persica_gdr_reftransV1_0007530","p.persica_gdr_reftransV1_0007530")</f>
        <v>p.persica_gdr_reftransV1_0007530</v>
      </c>
      <c r="B5701" s="2">
        <v>1583</v>
      </c>
      <c r="C5701" s="4" t="str">
        <f>HYPERLINK("http://www.uniprot.org/uniprot/M5VNS6","M5VNS6")</f>
        <v>M5VNS6</v>
      </c>
      <c r="D5701" s="2" t="s">
        <v>5195</v>
      </c>
      <c r="E5701" s="3">
        <v>0</v>
      </c>
      <c r="F5701" s="2">
        <v>1919</v>
      </c>
      <c r="G5701" s="2">
        <v>100</v>
      </c>
      <c r="H5701" s="2">
        <v>376</v>
      </c>
      <c r="I5701" s="2">
        <v>324</v>
      </c>
      <c r="J5701" s="2">
        <v>1451</v>
      </c>
      <c r="K5701" s="2">
        <v>154</v>
      </c>
      <c r="L5701" s="2">
        <v>529</v>
      </c>
    </row>
    <row r="5702" spans="1:12" x14ac:dyDescent="0.25">
      <c r="A5702" s="4" t="str">
        <f>HYPERLINK("http://www.rosaceae.org/Prunus/Prunus_persica/p.persica_gdr_reftransV1_0007880","p.persica_gdr_reftransV1_0007880")</f>
        <v>p.persica_gdr_reftransV1_0007880</v>
      </c>
      <c r="B5702" s="2">
        <v>903</v>
      </c>
      <c r="C5702" s="4" t="str">
        <f>HYPERLINK("http://www.uniprot.org/uniprot/M5W7Q1","M5W7Q1")</f>
        <v>M5W7Q1</v>
      </c>
      <c r="D5702" s="2" t="s">
        <v>5196</v>
      </c>
      <c r="E5702" s="3">
        <v>1.09E-87</v>
      </c>
      <c r="F5702" s="2">
        <v>689</v>
      </c>
      <c r="G5702" s="2">
        <v>100</v>
      </c>
      <c r="H5702" s="2">
        <v>134</v>
      </c>
      <c r="I5702" s="2">
        <v>235</v>
      </c>
      <c r="J5702" s="2">
        <v>636</v>
      </c>
      <c r="K5702" s="2">
        <v>1</v>
      </c>
      <c r="L5702" s="2">
        <v>134</v>
      </c>
    </row>
    <row r="5703" spans="1:12" x14ac:dyDescent="0.25">
      <c r="A5703" s="4" t="str">
        <f>HYPERLINK("http://www.rosaceae.org/Prunus/Prunus_persica/p.persica_gdr_reftransV1_0008230","p.persica_gdr_reftransV1_0008230")</f>
        <v>p.persica_gdr_reftransV1_0008230</v>
      </c>
      <c r="B5703" s="2">
        <v>1770</v>
      </c>
      <c r="C5703" s="4" t="str">
        <f>HYPERLINK("http://www.uniprot.org/uniprot/M5X7F7","M5X7F7")</f>
        <v>M5X7F7</v>
      </c>
      <c r="D5703" s="2" t="s">
        <v>5197</v>
      </c>
      <c r="E5703" s="3">
        <v>0</v>
      </c>
      <c r="F5703" s="2">
        <v>1855</v>
      </c>
      <c r="G5703" s="2">
        <v>100</v>
      </c>
      <c r="H5703" s="2">
        <v>349</v>
      </c>
      <c r="I5703" s="2">
        <v>366</v>
      </c>
      <c r="J5703" s="2">
        <v>1412</v>
      </c>
      <c r="K5703" s="2">
        <v>1</v>
      </c>
      <c r="L5703" s="2">
        <v>349</v>
      </c>
    </row>
    <row r="5704" spans="1:12" x14ac:dyDescent="0.25">
      <c r="A5704" s="4" t="str">
        <f>HYPERLINK("http://www.rosaceae.org/Prunus/Prunus_persica/p.persica_gdr_reftransV1_0008580","p.persica_gdr_reftransV1_0008580")</f>
        <v>p.persica_gdr_reftransV1_0008580</v>
      </c>
      <c r="B5704" s="2">
        <v>990</v>
      </c>
      <c r="C5704" s="4" t="str">
        <f>HYPERLINK("http://www.uniprot.org/uniprot/M5Y8N0","M5Y8N0")</f>
        <v>M5Y8N0</v>
      </c>
      <c r="D5704" s="2" t="s">
        <v>5198</v>
      </c>
      <c r="E5704" s="3">
        <v>1.26E-170</v>
      </c>
      <c r="F5704" s="2">
        <v>1252</v>
      </c>
      <c r="G5704" s="2">
        <v>100</v>
      </c>
      <c r="H5704" s="2">
        <v>236</v>
      </c>
      <c r="I5704" s="2">
        <v>2</v>
      </c>
      <c r="J5704" s="2">
        <v>709</v>
      </c>
      <c r="K5704" s="2">
        <v>1</v>
      </c>
      <c r="L5704" s="2">
        <v>236</v>
      </c>
    </row>
    <row r="5705" spans="1:12" x14ac:dyDescent="0.25">
      <c r="A5705" s="4" t="str">
        <f>HYPERLINK("http://www.rosaceae.org/Prunus/Prunus_persica/p.persica_gdr_reftransV1_0010680","p.persica_gdr_reftransV1_0010680")</f>
        <v>p.persica_gdr_reftransV1_0010680</v>
      </c>
      <c r="B5705" s="2">
        <v>2026</v>
      </c>
      <c r="C5705" s="4" t="str">
        <f>HYPERLINK("http://www.uniprot.org/uniprot/M5WE92","M5WE92")</f>
        <v>M5WE92</v>
      </c>
      <c r="D5705" s="2" t="s">
        <v>5199</v>
      </c>
      <c r="E5705" s="3">
        <v>0</v>
      </c>
      <c r="F5705" s="2">
        <v>2633</v>
      </c>
      <c r="G5705" s="2">
        <v>100</v>
      </c>
      <c r="H5705" s="2">
        <v>496</v>
      </c>
      <c r="I5705" s="2">
        <v>358</v>
      </c>
      <c r="J5705" s="2">
        <v>1845</v>
      </c>
      <c r="K5705" s="2">
        <v>1</v>
      </c>
      <c r="L5705" s="2">
        <v>496</v>
      </c>
    </row>
    <row r="5706" spans="1:12" x14ac:dyDescent="0.25">
      <c r="A5706" s="4" t="str">
        <f>HYPERLINK("http://www.rosaceae.org/Prunus/Prunus_persica/p.persica_gdr_reftransV1_0011030","p.persica_gdr_reftransV1_0011030")</f>
        <v>p.persica_gdr_reftransV1_0011030</v>
      </c>
      <c r="B5706" s="2">
        <v>6330</v>
      </c>
      <c r="C5706" s="4" t="str">
        <f>HYPERLINK("http://www.uniprot.org/uniprot/M5Y4D1","M5Y4D1")</f>
        <v>M5Y4D1</v>
      </c>
      <c r="D5706" s="2" t="s">
        <v>5200</v>
      </c>
      <c r="E5706" s="3">
        <v>0</v>
      </c>
      <c r="F5706" s="2">
        <v>3384</v>
      </c>
      <c r="G5706" s="2">
        <v>100</v>
      </c>
      <c r="H5706" s="2">
        <v>688</v>
      </c>
      <c r="I5706" s="2">
        <v>2665</v>
      </c>
      <c r="J5706" s="2">
        <v>4728</v>
      </c>
      <c r="K5706" s="2">
        <v>618</v>
      </c>
      <c r="L5706" s="2">
        <v>1305</v>
      </c>
    </row>
    <row r="5707" spans="1:12" x14ac:dyDescent="0.25">
      <c r="A5707" s="4" t="str">
        <f>HYPERLINK("http://www.rosaceae.org/Prunus/Prunus_persica/p.persica_gdr_reftransV1_0011380","p.persica_gdr_reftransV1_0011380")</f>
        <v>p.persica_gdr_reftransV1_0011380</v>
      </c>
      <c r="B5707" s="2">
        <v>1192</v>
      </c>
      <c r="C5707" s="4" t="str">
        <f>HYPERLINK("http://www.uniprot.org/uniprot/M5W6P2","M5W6P2")</f>
        <v>M5W6P2</v>
      </c>
      <c r="D5707" s="2" t="s">
        <v>5201</v>
      </c>
      <c r="E5707" s="3">
        <v>2.15E-163</v>
      </c>
      <c r="F5707" s="2">
        <v>1232</v>
      </c>
      <c r="G5707" s="2">
        <v>84</v>
      </c>
      <c r="H5707" s="2">
        <v>357</v>
      </c>
      <c r="I5707" s="2">
        <v>121</v>
      </c>
      <c r="J5707" s="2">
        <v>1191</v>
      </c>
      <c r="K5707" s="2">
        <v>42</v>
      </c>
      <c r="L5707" s="2">
        <v>357</v>
      </c>
    </row>
    <row r="5708" spans="1:12" x14ac:dyDescent="0.25">
      <c r="A5708" s="4" t="str">
        <f>HYPERLINK("http://www.rosaceae.org/Prunus/Prunus_persica/p.persica_gdr_reftransV1_0011730","p.persica_gdr_reftransV1_0011730")</f>
        <v>p.persica_gdr_reftransV1_0011730</v>
      </c>
      <c r="B5708" s="2">
        <v>3030</v>
      </c>
      <c r="C5708" s="4" t="str">
        <f>HYPERLINK("http://www.uniprot.org/uniprot/M5VMH1","M5VMH1")</f>
        <v>M5VMH1</v>
      </c>
      <c r="D5708" s="2" t="s">
        <v>5202</v>
      </c>
      <c r="E5708" s="3">
        <v>0</v>
      </c>
      <c r="F5708" s="2">
        <v>2945</v>
      </c>
      <c r="G5708" s="2">
        <v>100</v>
      </c>
      <c r="H5708" s="2">
        <v>611</v>
      </c>
      <c r="I5708" s="2">
        <v>908</v>
      </c>
      <c r="J5708" s="2">
        <v>2740</v>
      </c>
      <c r="K5708" s="2">
        <v>1</v>
      </c>
      <c r="L5708" s="2">
        <v>611</v>
      </c>
    </row>
    <row r="5709" spans="1:12" x14ac:dyDescent="0.25">
      <c r="A5709" s="4" t="str">
        <f>HYPERLINK("http://www.rosaceae.org/Prunus/Prunus_persica/p.persica_gdr_reftransV1_0012080","p.persica_gdr_reftransV1_0012080")</f>
        <v>p.persica_gdr_reftransV1_0012080</v>
      </c>
      <c r="B5709" s="2">
        <v>2326</v>
      </c>
      <c r="C5709" s="4" t="str">
        <f>HYPERLINK("http://www.uniprot.org/uniprot/M5WR91","M5WR91")</f>
        <v>M5WR91</v>
      </c>
      <c r="D5709" s="2" t="s">
        <v>3551</v>
      </c>
      <c r="E5709" s="3">
        <v>0</v>
      </c>
      <c r="F5709" s="2">
        <v>3550</v>
      </c>
      <c r="G5709" s="2">
        <v>100</v>
      </c>
      <c r="H5709" s="2">
        <v>674</v>
      </c>
      <c r="I5709" s="2">
        <v>193</v>
      </c>
      <c r="J5709" s="2">
        <v>2214</v>
      </c>
      <c r="K5709" s="2">
        <v>1</v>
      </c>
      <c r="L5709" s="2">
        <v>674</v>
      </c>
    </row>
    <row r="5710" spans="1:12" x14ac:dyDescent="0.25">
      <c r="A5710" s="4" t="str">
        <f>HYPERLINK("http://www.rosaceae.org/Prunus/Prunus_persica/p.persica_gdr_reftransV1_0012430","p.persica_gdr_reftransV1_0012430")</f>
        <v>p.persica_gdr_reftransV1_0012430</v>
      </c>
      <c r="B5710" s="2">
        <v>1914</v>
      </c>
      <c r="C5710" s="4" t="str">
        <f>HYPERLINK("http://www.uniprot.org/uniprot/M5XD75","M5XD75")</f>
        <v>M5XD75</v>
      </c>
      <c r="D5710" s="2" t="s">
        <v>5203</v>
      </c>
      <c r="E5710" s="3">
        <v>4.1299999999999997E-163</v>
      </c>
      <c r="F5710" s="2">
        <v>1244</v>
      </c>
      <c r="G5710" s="2">
        <v>93</v>
      </c>
      <c r="H5710" s="2">
        <v>271</v>
      </c>
      <c r="I5710" s="2">
        <v>980</v>
      </c>
      <c r="J5710" s="2">
        <v>1780</v>
      </c>
      <c r="K5710" s="2">
        <v>1</v>
      </c>
      <c r="L5710" s="2">
        <v>271</v>
      </c>
    </row>
    <row r="5711" spans="1:12" x14ac:dyDescent="0.25">
      <c r="A5711" s="4" t="str">
        <f>HYPERLINK("http://www.rosaceae.org/Prunus/Prunus_persica/p.persica_gdr_reftransV1_0012780","p.persica_gdr_reftransV1_0012780")</f>
        <v>p.persica_gdr_reftransV1_0012780</v>
      </c>
      <c r="B5711" s="2">
        <v>4212</v>
      </c>
      <c r="C5711" s="4" t="str">
        <f>HYPERLINK("http://www.uniprot.org/uniprot/M5W7B0","M5W7B0")</f>
        <v>M5W7B0</v>
      </c>
      <c r="D5711" s="2" t="s">
        <v>5204</v>
      </c>
      <c r="E5711" s="3">
        <v>0</v>
      </c>
      <c r="F5711" s="2">
        <v>4617</v>
      </c>
      <c r="G5711" s="2">
        <v>100</v>
      </c>
      <c r="H5711" s="2">
        <v>1005</v>
      </c>
      <c r="I5711" s="2">
        <v>740</v>
      </c>
      <c r="J5711" s="2">
        <v>3754</v>
      </c>
      <c r="K5711" s="2">
        <v>1</v>
      </c>
      <c r="L5711" s="2">
        <v>1005</v>
      </c>
    </row>
    <row r="5712" spans="1:12" x14ac:dyDescent="0.25">
      <c r="A5712" s="4" t="str">
        <f>HYPERLINK("http://www.rosaceae.org/Prunus/Prunus_persica/p.persica_gdr_reftransV1_0013130","p.persica_gdr_reftransV1_0013130")</f>
        <v>p.persica_gdr_reftransV1_0013130</v>
      </c>
      <c r="B5712" s="2">
        <v>1979</v>
      </c>
      <c r="C5712" s="4" t="str">
        <f>HYPERLINK("http://www.uniprot.org/uniprot/M5X9T1","M5X9T1")</f>
        <v>M5X9T1</v>
      </c>
      <c r="D5712" s="2" t="s">
        <v>5205</v>
      </c>
      <c r="E5712" s="3">
        <v>0</v>
      </c>
      <c r="F5712" s="2">
        <v>1622</v>
      </c>
      <c r="G5712" s="2">
        <v>99</v>
      </c>
      <c r="H5712" s="2">
        <v>359</v>
      </c>
      <c r="I5712" s="2">
        <v>1</v>
      </c>
      <c r="J5712" s="2">
        <v>1077</v>
      </c>
      <c r="K5712" s="2">
        <v>439</v>
      </c>
      <c r="L5712" s="2">
        <v>797</v>
      </c>
    </row>
    <row r="5713" spans="1:12" x14ac:dyDescent="0.25">
      <c r="A5713" s="4" t="str">
        <f>HYPERLINK("http://www.rosaceae.org/Prunus/Prunus_persica/p.persica_gdr_reftransV1_0014530","p.persica_gdr_reftransV1_0014530")</f>
        <v>p.persica_gdr_reftransV1_0014530</v>
      </c>
      <c r="B5713" s="2">
        <v>3219</v>
      </c>
      <c r="C5713" s="4" t="str">
        <f>HYPERLINK("http://www.uniprot.org/uniprot/M5WCV7","M5WCV7")</f>
        <v>M5WCV7</v>
      </c>
      <c r="D5713" s="2" t="s">
        <v>5206</v>
      </c>
      <c r="E5713" s="3">
        <v>0</v>
      </c>
      <c r="F5713" s="2">
        <v>2987</v>
      </c>
      <c r="G5713" s="2">
        <v>99</v>
      </c>
      <c r="H5713" s="2">
        <v>611</v>
      </c>
      <c r="I5713" s="2">
        <v>533</v>
      </c>
      <c r="J5713" s="2">
        <v>2365</v>
      </c>
      <c r="K5713" s="2">
        <v>194</v>
      </c>
      <c r="L5713" s="2">
        <v>804</v>
      </c>
    </row>
    <row r="5714" spans="1:12" x14ac:dyDescent="0.25">
      <c r="A5714" s="4" t="str">
        <f>HYPERLINK("http://www.rosaceae.org/Prunus/Prunus_persica/p.persica_gdr_reftransV1_0014880","p.persica_gdr_reftransV1_0014880")</f>
        <v>p.persica_gdr_reftransV1_0014880</v>
      </c>
      <c r="B5714" s="2">
        <v>1434</v>
      </c>
      <c r="C5714" s="4" t="str">
        <f>HYPERLINK("http://www.uniprot.org/uniprot/W8SNL2","W8SNL2")</f>
        <v>W8SNL2</v>
      </c>
      <c r="D5714" s="2" t="s">
        <v>5207</v>
      </c>
      <c r="E5714" s="3">
        <v>1.09E-90</v>
      </c>
      <c r="F5714" s="2">
        <v>740</v>
      </c>
      <c r="G5714" s="2">
        <v>91</v>
      </c>
      <c r="H5714" s="2">
        <v>161</v>
      </c>
      <c r="I5714" s="2">
        <v>804</v>
      </c>
      <c r="J5714" s="2">
        <v>1283</v>
      </c>
      <c r="K5714" s="2">
        <v>12</v>
      </c>
      <c r="L5714" s="2">
        <v>171</v>
      </c>
    </row>
    <row r="5715" spans="1:12" x14ac:dyDescent="0.25">
      <c r="A5715" s="4" t="str">
        <f>HYPERLINK("http://www.rosaceae.org/Prunus/Prunus_persica/p.persica_gdr_reftransV1_0015930","p.persica_gdr_reftransV1_0015930")</f>
        <v>p.persica_gdr_reftransV1_0015930</v>
      </c>
      <c r="B5715" s="2">
        <v>1192</v>
      </c>
      <c r="C5715" s="4" t="str">
        <f>HYPERLINK("http://www.uniprot.org/uniprot/M5WJI5","M5WJI5")</f>
        <v>M5WJI5</v>
      </c>
      <c r="D5715" s="2" t="s">
        <v>5208</v>
      </c>
      <c r="E5715" s="3">
        <v>4.69E-52</v>
      </c>
      <c r="F5715" s="2">
        <v>458</v>
      </c>
      <c r="G5715" s="2">
        <v>99</v>
      </c>
      <c r="H5715" s="2">
        <v>92</v>
      </c>
      <c r="I5715" s="2">
        <v>279</v>
      </c>
      <c r="J5715" s="2">
        <v>554</v>
      </c>
      <c r="K5715" s="2">
        <v>1</v>
      </c>
      <c r="L5715" s="2">
        <v>92</v>
      </c>
    </row>
    <row r="5716" spans="1:12" x14ac:dyDescent="0.25">
      <c r="A5716" s="4" t="str">
        <f>HYPERLINK("http://www.rosaceae.org/Prunus/Prunus_persica/p.persica_gdr_reftransV1_0016280","p.persica_gdr_reftransV1_0016280")</f>
        <v>p.persica_gdr_reftransV1_0016280</v>
      </c>
      <c r="B5716" s="2">
        <v>847</v>
      </c>
      <c r="C5716" s="4" t="str">
        <f>HYPERLINK("http://www.uniprot.org/uniprot/M5VWM1","M5VWM1")</f>
        <v>M5VWM1</v>
      </c>
      <c r="D5716" s="2" t="s">
        <v>5209</v>
      </c>
      <c r="E5716" s="3">
        <v>1.72E-149</v>
      </c>
      <c r="F5716" s="2">
        <v>1158</v>
      </c>
      <c r="G5716" s="2">
        <v>100</v>
      </c>
      <c r="H5716" s="2">
        <v>212</v>
      </c>
      <c r="I5716" s="2">
        <v>211</v>
      </c>
      <c r="J5716" s="2">
        <v>846</v>
      </c>
      <c r="K5716" s="2">
        <v>607</v>
      </c>
      <c r="L5716" s="2">
        <v>818</v>
      </c>
    </row>
    <row r="5717" spans="1:12" x14ac:dyDescent="0.25">
      <c r="A5717" s="4" t="str">
        <f>HYPERLINK("http://www.rosaceae.org/Prunus/Prunus_persica/p.persica_gdr_reftransV1_0016630","p.persica_gdr_reftransV1_0016630")</f>
        <v>p.persica_gdr_reftransV1_0016630</v>
      </c>
      <c r="B5717" s="2">
        <v>2688</v>
      </c>
      <c r="C5717" s="4" t="str">
        <f>HYPERLINK("http://www.uniprot.org/uniprot/H6VVJ3","H6VVJ3")</f>
        <v>H6VVJ3</v>
      </c>
      <c r="D5717" s="2" t="s">
        <v>5210</v>
      </c>
      <c r="E5717" s="3">
        <v>0</v>
      </c>
      <c r="F5717" s="2">
        <v>3157</v>
      </c>
      <c r="G5717" s="2">
        <v>100</v>
      </c>
      <c r="H5717" s="2">
        <v>601</v>
      </c>
      <c r="I5717" s="2">
        <v>394</v>
      </c>
      <c r="J5717" s="2">
        <v>2196</v>
      </c>
      <c r="K5717" s="2">
        <v>18</v>
      </c>
      <c r="L5717" s="2">
        <v>618</v>
      </c>
    </row>
    <row r="5718" spans="1:12" x14ac:dyDescent="0.25">
      <c r="A5718" s="4" t="str">
        <f>HYPERLINK("http://www.rosaceae.org/Prunus/Prunus_persica/p.persica_gdr_reftransV1_0017330","p.persica_gdr_reftransV1_0017330")</f>
        <v>p.persica_gdr_reftransV1_0017330</v>
      </c>
      <c r="B5718" s="2">
        <v>1842</v>
      </c>
      <c r="C5718" s="4" t="str">
        <f>HYPERLINK("http://www.uniprot.org/uniprot/M5Xid1","M5Xid1")</f>
        <v>M5Xid1</v>
      </c>
      <c r="D5718" s="2" t="s">
        <v>5211</v>
      </c>
      <c r="E5718" s="3">
        <v>0</v>
      </c>
      <c r="F5718" s="2">
        <v>1658</v>
      </c>
      <c r="G5718" s="2">
        <v>98</v>
      </c>
      <c r="H5718" s="2">
        <v>322</v>
      </c>
      <c r="I5718" s="2">
        <v>876</v>
      </c>
      <c r="J5718" s="2">
        <v>1841</v>
      </c>
      <c r="K5718" s="2">
        <v>246</v>
      </c>
      <c r="L5718" s="2">
        <v>567</v>
      </c>
    </row>
    <row r="5719" spans="1:12" x14ac:dyDescent="0.25">
      <c r="A5719" s="4" t="str">
        <f>HYPERLINK("http://www.rosaceae.org/Prunus/Prunus_persica/p.persica_gdr_reftransV1_0017680","p.persica_gdr_reftransV1_0017680")</f>
        <v>p.persica_gdr_reftransV1_0017680</v>
      </c>
      <c r="B5719" s="2">
        <v>1151</v>
      </c>
      <c r="C5719" s="4" t="str">
        <f>HYPERLINK("http://www.uniprot.org/uniprot/M5W197","M5W197")</f>
        <v>M5W197</v>
      </c>
      <c r="D5719" s="2" t="s">
        <v>5212</v>
      </c>
      <c r="E5719" s="3">
        <v>2.1799999999999999E-115</v>
      </c>
      <c r="F5719" s="2">
        <v>885</v>
      </c>
      <c r="G5719" s="2">
        <v>97</v>
      </c>
      <c r="H5719" s="2">
        <v>177</v>
      </c>
      <c r="I5719" s="2">
        <v>318</v>
      </c>
      <c r="J5719" s="2">
        <v>848</v>
      </c>
      <c r="K5719" s="2">
        <v>1</v>
      </c>
      <c r="L5719" s="2">
        <v>176</v>
      </c>
    </row>
    <row r="5720" spans="1:12" x14ac:dyDescent="0.25">
      <c r="A5720" s="4" t="str">
        <f>HYPERLINK("http://www.rosaceae.org/Prunus/Prunus_persica/p.persica_gdr_reftransV1_0019430","p.persica_gdr_reftransV1_0019430")</f>
        <v>p.persica_gdr_reftransV1_0019430</v>
      </c>
      <c r="B5720" s="2">
        <v>821</v>
      </c>
      <c r="C5720" s="4" t="str">
        <f>HYPERLINK("http://www.uniprot.org/uniprot/M5X8V4","M5X8V4")</f>
        <v>M5X8V4</v>
      </c>
      <c r="D5720" s="2" t="s">
        <v>5213</v>
      </c>
      <c r="E5720" s="3">
        <v>4.53E-113</v>
      </c>
      <c r="F5720" s="2">
        <v>861</v>
      </c>
      <c r="G5720" s="2">
        <v>99</v>
      </c>
      <c r="H5720" s="2">
        <v>164</v>
      </c>
      <c r="I5720" s="2">
        <v>234</v>
      </c>
      <c r="J5720" s="2">
        <v>725</v>
      </c>
      <c r="K5720" s="2">
        <v>21</v>
      </c>
      <c r="L5720" s="2">
        <v>184</v>
      </c>
    </row>
    <row r="5721" spans="1:12" x14ac:dyDescent="0.25">
      <c r="A5721" s="4" t="str">
        <f>HYPERLINK("http://www.rosaceae.org/Prunus/Prunus_persica/p.persica_gdr_reftransV1_0019780","p.persica_gdr_reftransV1_0019780")</f>
        <v>p.persica_gdr_reftransV1_0019780</v>
      </c>
      <c r="B5721" s="2">
        <v>976</v>
      </c>
      <c r="C5721" s="4" t="str">
        <f>HYPERLINK("http://www.uniprot.org/uniprot/M5X3I0","M5X3I0")</f>
        <v>M5X3I0</v>
      </c>
      <c r="D5721" s="2" t="s">
        <v>5214</v>
      </c>
      <c r="E5721" s="3">
        <v>0</v>
      </c>
      <c r="F5721" s="2">
        <v>1594</v>
      </c>
      <c r="G5721" s="2">
        <v>100</v>
      </c>
      <c r="H5721" s="2">
        <v>296</v>
      </c>
      <c r="I5721" s="2">
        <v>89</v>
      </c>
      <c r="J5721" s="2">
        <v>976</v>
      </c>
      <c r="K5721" s="2">
        <v>175</v>
      </c>
      <c r="L5721" s="2">
        <v>470</v>
      </c>
    </row>
    <row r="5722" spans="1:12" x14ac:dyDescent="0.25">
      <c r="A5722" s="4" t="str">
        <f>HYPERLINK("http://www.rosaceae.org/Prunus/Prunus_persica/p.persica_gdr_reftransV1_0020130","p.persica_gdr_reftransV1_0020130")</f>
        <v>p.persica_gdr_reftransV1_0020130</v>
      </c>
      <c r="B5722" s="2">
        <v>1072</v>
      </c>
      <c r="C5722" s="4" t="str">
        <f>HYPERLINK("http://www.uniprot.org/uniprot/M5WIQ0","M5WIQ0")</f>
        <v>M5WIQ0</v>
      </c>
      <c r="D5722" s="2" t="s">
        <v>5215</v>
      </c>
      <c r="E5722" s="3">
        <v>1.8200000000000001E-60</v>
      </c>
      <c r="F5722" s="2">
        <v>519</v>
      </c>
      <c r="G5722" s="2">
        <v>83</v>
      </c>
      <c r="H5722" s="2">
        <v>175</v>
      </c>
      <c r="I5722" s="2">
        <v>296</v>
      </c>
      <c r="J5722" s="2">
        <v>814</v>
      </c>
      <c r="K5722" s="2">
        <v>21</v>
      </c>
      <c r="L5722" s="2">
        <v>195</v>
      </c>
    </row>
    <row r="5723" spans="1:12" x14ac:dyDescent="0.25">
      <c r="A5723" s="4" t="str">
        <f>HYPERLINK("http://www.rosaceae.org/Prunus/Prunus_persica/p.persica_gdr_reftransV1_0021880","p.persica_gdr_reftransV1_0021880")</f>
        <v>p.persica_gdr_reftransV1_0021880</v>
      </c>
      <c r="B5723" s="2">
        <v>3325</v>
      </c>
      <c r="C5723" s="4" t="str">
        <f>HYPERLINK("http://www.uniprot.org/uniprot/M5XRN7","M5XRN7")</f>
        <v>M5XRN7</v>
      </c>
      <c r="D5723" s="2" t="s">
        <v>2512</v>
      </c>
      <c r="E5723" s="3">
        <v>0</v>
      </c>
      <c r="F5723" s="2">
        <v>3046</v>
      </c>
      <c r="G5723" s="2">
        <v>100</v>
      </c>
      <c r="H5723" s="2">
        <v>579</v>
      </c>
      <c r="I5723" s="2">
        <v>1321</v>
      </c>
      <c r="J5723" s="2">
        <v>3057</v>
      </c>
      <c r="K5723" s="2">
        <v>18</v>
      </c>
      <c r="L5723" s="2">
        <v>596</v>
      </c>
    </row>
    <row r="5724" spans="1:12" x14ac:dyDescent="0.25">
      <c r="A5724" s="4" t="str">
        <f>HYPERLINK("http://www.rosaceae.org/Prunus/Prunus_persica/p.persica_gdr_reftransV1_0022930","p.persica_gdr_reftransV1_0022930")</f>
        <v>p.persica_gdr_reftransV1_0022930</v>
      </c>
      <c r="B5724" s="2">
        <v>1093</v>
      </c>
      <c r="C5724" s="4" t="str">
        <f>HYPERLINK("http://www.uniprot.org/uniprot/M5WU18","M5WU18")</f>
        <v>M5WU18</v>
      </c>
      <c r="D5724" s="2" t="s">
        <v>5216</v>
      </c>
      <c r="E5724" s="3">
        <v>2.0600000000000001E-144</v>
      </c>
      <c r="F5724" s="2">
        <v>1077</v>
      </c>
      <c r="G5724" s="2">
        <v>100</v>
      </c>
      <c r="H5724" s="2">
        <v>202</v>
      </c>
      <c r="I5724" s="2">
        <v>395</v>
      </c>
      <c r="J5724" s="2">
        <v>1000</v>
      </c>
      <c r="K5724" s="2">
        <v>1</v>
      </c>
      <c r="L5724" s="2">
        <v>202</v>
      </c>
    </row>
    <row r="5725" spans="1:12" x14ac:dyDescent="0.25">
      <c r="A5725" s="4" t="str">
        <f>HYPERLINK("http://www.rosaceae.org/Prunus/Prunus_persica/p.persica_gdr_reftransV1_0024330","p.persica_gdr_reftransV1_0024330")</f>
        <v>p.persica_gdr_reftransV1_0024330</v>
      </c>
      <c r="B5725" s="2">
        <v>1583</v>
      </c>
      <c r="C5725" s="4" t="str">
        <f>HYPERLINK("http://www.uniprot.org/uniprot/M5XLY2","M5XLY2")</f>
        <v>M5XLY2</v>
      </c>
      <c r="D5725" s="2" t="s">
        <v>5217</v>
      </c>
      <c r="E5725" s="3">
        <v>0</v>
      </c>
      <c r="F5725" s="2">
        <v>2144</v>
      </c>
      <c r="G5725" s="2">
        <v>100</v>
      </c>
      <c r="H5725" s="2">
        <v>445</v>
      </c>
      <c r="I5725" s="2">
        <v>69</v>
      </c>
      <c r="J5725" s="2">
        <v>1403</v>
      </c>
      <c r="K5725" s="2">
        <v>1</v>
      </c>
      <c r="L5725" s="2">
        <v>445</v>
      </c>
    </row>
    <row r="5726" spans="1:12" x14ac:dyDescent="0.25">
      <c r="A5726" s="4" t="str">
        <f>HYPERLINK("http://www.rosaceae.org/Prunus/Prunus_persica/p.persica_gdr_reftransV1_0024680","p.persica_gdr_reftransV1_0024680")</f>
        <v>p.persica_gdr_reftransV1_0024680</v>
      </c>
      <c r="B5726" s="2">
        <v>562</v>
      </c>
      <c r="C5726" s="4" t="str">
        <f>HYPERLINK("http://www.uniprot.org/uniprot/M5WHY5","M5WHY5")</f>
        <v>M5WHY5</v>
      </c>
      <c r="D5726" s="2" t="s">
        <v>5218</v>
      </c>
      <c r="E5726" s="3">
        <v>1.88E-64</v>
      </c>
      <c r="F5726" s="2">
        <v>528</v>
      </c>
      <c r="G5726" s="2">
        <v>100</v>
      </c>
      <c r="H5726" s="2">
        <v>111</v>
      </c>
      <c r="I5726" s="2">
        <v>2</v>
      </c>
      <c r="J5726" s="2">
        <v>334</v>
      </c>
      <c r="K5726" s="2">
        <v>21</v>
      </c>
      <c r="L5726" s="2">
        <v>131</v>
      </c>
    </row>
    <row r="5727" spans="1:12" x14ac:dyDescent="0.25">
      <c r="A5727" s="4" t="str">
        <f>HYPERLINK("http://www.rosaceae.org/Prunus/Prunus_persica/p.persica_gdr_reftransV1_0026080","p.persica_gdr_reftransV1_0026080")</f>
        <v>p.persica_gdr_reftransV1_0026080</v>
      </c>
      <c r="B5727" s="2">
        <v>3372</v>
      </c>
      <c r="C5727" s="4" t="str">
        <f>HYPERLINK("http://www.uniprot.org/uniprot/M5WA82","M5WA82")</f>
        <v>M5WA82</v>
      </c>
      <c r="D5727" s="2" t="s">
        <v>5219</v>
      </c>
      <c r="E5727" s="3">
        <v>8.3699999999999993E-136</v>
      </c>
      <c r="F5727" s="2">
        <v>1090</v>
      </c>
      <c r="G5727" s="2">
        <v>99</v>
      </c>
      <c r="H5727" s="2">
        <v>229</v>
      </c>
      <c r="I5727" s="2">
        <v>98</v>
      </c>
      <c r="J5727" s="2">
        <v>784</v>
      </c>
      <c r="K5727" s="2">
        <v>1</v>
      </c>
      <c r="L5727" s="2">
        <v>229</v>
      </c>
    </row>
    <row r="5728" spans="1:12" x14ac:dyDescent="0.25">
      <c r="A5728" s="4" t="str">
        <f>HYPERLINK("http://www.rosaceae.org/Prunus/Prunus_persica/p.persica_gdr_reftransV1_0026430","p.persica_gdr_reftransV1_0026430")</f>
        <v>p.persica_gdr_reftransV1_0026430</v>
      </c>
      <c r="B5728" s="2">
        <v>3510</v>
      </c>
      <c r="C5728" s="4" t="str">
        <f>HYPERLINK("http://www.uniprot.org/uniprot/M5W890","M5W890")</f>
        <v>M5W890</v>
      </c>
      <c r="D5728" s="2" t="s">
        <v>5220</v>
      </c>
      <c r="E5728" s="3">
        <v>0</v>
      </c>
      <c r="F5728" s="2">
        <v>3723</v>
      </c>
      <c r="G5728" s="2">
        <v>100</v>
      </c>
      <c r="H5728" s="2">
        <v>684</v>
      </c>
      <c r="I5728" s="2">
        <v>1451</v>
      </c>
      <c r="J5728" s="2">
        <v>3502</v>
      </c>
      <c r="K5728" s="2">
        <v>1</v>
      </c>
      <c r="L5728" s="2">
        <v>684</v>
      </c>
    </row>
    <row r="5729" spans="1:12" x14ac:dyDescent="0.25">
      <c r="A5729" s="4" t="str">
        <f>HYPERLINK("http://www.rosaceae.org/Prunus/Prunus_persica/p.persica_gdr_reftransV1_0026780","p.persica_gdr_reftransV1_0026780")</f>
        <v>p.persica_gdr_reftransV1_0026780</v>
      </c>
      <c r="B5729" s="2">
        <v>2289</v>
      </c>
      <c r="C5729" s="4" t="str">
        <f>HYPERLINK("http://www.uniprot.org/uniprot/M5WSF4","M5WSF4")</f>
        <v>M5WSF4</v>
      </c>
      <c r="D5729" s="2" t="s">
        <v>5221</v>
      </c>
      <c r="E5729" s="3">
        <v>5.4900000000000003E-179</v>
      </c>
      <c r="F5729" s="2">
        <v>1369</v>
      </c>
      <c r="G5729" s="2">
        <v>99</v>
      </c>
      <c r="H5729" s="2">
        <v>258</v>
      </c>
      <c r="I5729" s="2">
        <v>1102</v>
      </c>
      <c r="J5729" s="2">
        <v>1875</v>
      </c>
      <c r="K5729" s="2">
        <v>175</v>
      </c>
      <c r="L5729" s="2">
        <v>432</v>
      </c>
    </row>
    <row r="5730" spans="1:12" x14ac:dyDescent="0.25">
      <c r="A5730" s="4" t="str">
        <f>HYPERLINK("http://www.rosaceae.org/Prunus/Prunus_persica/p.persica_gdr_reftransV1_0028530","p.persica_gdr_reftransV1_0028530")</f>
        <v>p.persica_gdr_reftransV1_0028530</v>
      </c>
      <c r="B5730" s="2">
        <v>1248</v>
      </c>
      <c r="C5730" s="4" t="str">
        <f>HYPERLINK("http://www.uniprot.org/uniprot/M5VZS1","M5VZS1")</f>
        <v>M5VZS1</v>
      </c>
      <c r="D5730" s="2" t="s">
        <v>5222</v>
      </c>
      <c r="E5730" s="3">
        <v>4.11E-167</v>
      </c>
      <c r="F5730" s="2">
        <v>1237</v>
      </c>
      <c r="G5730" s="2">
        <v>100</v>
      </c>
      <c r="H5730" s="2">
        <v>250</v>
      </c>
      <c r="I5730" s="2">
        <v>301</v>
      </c>
      <c r="J5730" s="2">
        <v>1050</v>
      </c>
      <c r="K5730" s="2">
        <v>1</v>
      </c>
      <c r="L5730" s="2">
        <v>250</v>
      </c>
    </row>
    <row r="5731" spans="1:12" x14ac:dyDescent="0.25">
      <c r="A5731" s="4" t="str">
        <f>HYPERLINK("http://www.rosaceae.org/Prunus/Prunus_persica/p.persica_gdr_reftransV1_0030980","p.persica_gdr_reftransV1_0030980")</f>
        <v>p.persica_gdr_reftransV1_0030980</v>
      </c>
      <c r="B5731" s="2">
        <v>624</v>
      </c>
      <c r="C5731" s="4" t="str">
        <f>HYPERLINK("http://www.uniprot.org/uniprot/M5XS23","M5XS23")</f>
        <v>M5XS23</v>
      </c>
      <c r="D5731" s="2" t="s">
        <v>5223</v>
      </c>
      <c r="E5731" s="3">
        <v>4.7900000000000002E-26</v>
      </c>
      <c r="F5731" s="2">
        <v>264</v>
      </c>
      <c r="G5731" s="2">
        <v>100</v>
      </c>
      <c r="H5731" s="2">
        <v>49</v>
      </c>
      <c r="I5731" s="2">
        <v>149</v>
      </c>
      <c r="J5731" s="2">
        <v>295</v>
      </c>
      <c r="K5731" s="2">
        <v>9</v>
      </c>
      <c r="L5731" s="2">
        <v>57</v>
      </c>
    </row>
    <row r="5732" spans="1:12" x14ac:dyDescent="0.25">
      <c r="A5732" s="4" t="str">
        <f>HYPERLINK("http://www.rosaceae.org/Prunus/Prunus_persica/p.persica_gdr_reftransV1_0033430","p.persica_gdr_reftransV1_0033430")</f>
        <v>p.persica_gdr_reftransV1_0033430</v>
      </c>
      <c r="B5732" s="2">
        <v>1537</v>
      </c>
      <c r="C5732" s="4" t="str">
        <f>HYPERLINK("http://www.uniprot.org/uniprot/M5W0A5","M5W0A5")</f>
        <v>M5W0A5</v>
      </c>
      <c r="D5732" s="2" t="s">
        <v>5224</v>
      </c>
      <c r="E5732" s="3">
        <v>8.9799999999999998E-48</v>
      </c>
      <c r="F5732" s="2">
        <v>443</v>
      </c>
      <c r="G5732" s="2">
        <v>99</v>
      </c>
      <c r="H5732" s="2">
        <v>87</v>
      </c>
      <c r="I5732" s="2">
        <v>1145</v>
      </c>
      <c r="J5732" s="2">
        <v>1405</v>
      </c>
      <c r="K5732" s="2">
        <v>22</v>
      </c>
      <c r="L5732" s="2">
        <v>108</v>
      </c>
    </row>
    <row r="5733" spans="1:12" x14ac:dyDescent="0.25">
      <c r="A5733" s="4" t="str">
        <f>HYPERLINK("http://www.rosaceae.org/Prunus/Prunus_persica/p.persica_gdr_reftransV1_0033780","p.persica_gdr_reftransV1_0033780")</f>
        <v>p.persica_gdr_reftransV1_0033780</v>
      </c>
      <c r="B5733" s="2">
        <v>2492</v>
      </c>
      <c r="C5733" s="4" t="str">
        <f>HYPERLINK("http://www.uniprot.org/uniprot/M5XP94","M5XP94")</f>
        <v>M5XP94</v>
      </c>
      <c r="D5733" s="2" t="s">
        <v>5225</v>
      </c>
      <c r="E5733" s="3">
        <v>0</v>
      </c>
      <c r="F5733" s="2">
        <v>2466</v>
      </c>
      <c r="G5733" s="2">
        <v>100</v>
      </c>
      <c r="H5733" s="2">
        <v>481</v>
      </c>
      <c r="I5733" s="2">
        <v>276</v>
      </c>
      <c r="J5733" s="2">
        <v>1718</v>
      </c>
      <c r="K5733" s="2">
        <v>17</v>
      </c>
      <c r="L5733" s="2">
        <v>497</v>
      </c>
    </row>
    <row r="5734" spans="1:12" x14ac:dyDescent="0.25">
      <c r="A5734" s="4" t="str">
        <f>HYPERLINK("http://www.rosaceae.org/Prunus/Prunus_persica/p.persica_gdr_reftransV1_0034130","p.persica_gdr_reftransV1_0034130")</f>
        <v>p.persica_gdr_reftransV1_0034130</v>
      </c>
      <c r="B5734" s="2">
        <v>1563</v>
      </c>
      <c r="C5734" s="4" t="str">
        <f>HYPERLINK("http://www.uniprot.org/uniprot/M5VWW9","M5VWW9")</f>
        <v>M5VWW9</v>
      </c>
      <c r="D5734" s="2" t="s">
        <v>5226</v>
      </c>
      <c r="E5734" s="3">
        <v>0</v>
      </c>
      <c r="F5734" s="2">
        <v>1794</v>
      </c>
      <c r="G5734" s="2">
        <v>100</v>
      </c>
      <c r="H5734" s="2">
        <v>351</v>
      </c>
      <c r="I5734" s="2">
        <v>167</v>
      </c>
      <c r="J5734" s="2">
        <v>1219</v>
      </c>
      <c r="K5734" s="2">
        <v>1</v>
      </c>
      <c r="L5734" s="2">
        <v>351</v>
      </c>
    </row>
    <row r="5735" spans="1:12" x14ac:dyDescent="0.25">
      <c r="A5735" s="4" t="str">
        <f>HYPERLINK("http://www.rosaceae.org/Prunus/Prunus_persica/p.persica_gdr_reftransV1_0034830","p.persica_gdr_reftransV1_0034830")</f>
        <v>p.persica_gdr_reftransV1_0034830</v>
      </c>
      <c r="B5735" s="2">
        <v>3671</v>
      </c>
      <c r="C5735" s="4" t="str">
        <f>HYPERLINK("http://www.uniprot.org/uniprot/M5WWP7","M5WWP7")</f>
        <v>M5WWP7</v>
      </c>
      <c r="D5735" s="2" t="s">
        <v>5227</v>
      </c>
      <c r="E5735" s="3">
        <v>2.33E-8</v>
      </c>
      <c r="F5735" s="2">
        <v>163</v>
      </c>
      <c r="G5735" s="2">
        <v>74</v>
      </c>
      <c r="H5735" s="2">
        <v>39</v>
      </c>
      <c r="I5735" s="2">
        <v>320</v>
      </c>
      <c r="J5735" s="2">
        <v>436</v>
      </c>
      <c r="K5735" s="2">
        <v>1</v>
      </c>
      <c r="L5735" s="2">
        <v>39</v>
      </c>
    </row>
    <row r="5736" spans="1:12" x14ac:dyDescent="0.25">
      <c r="A5736" s="4" t="str">
        <f>HYPERLINK("http://www.rosaceae.org/Prunus/Prunus_persica/p.persica_gdr_reftransV1_0036230","p.persica_gdr_reftransV1_0036230")</f>
        <v>p.persica_gdr_reftransV1_0036230</v>
      </c>
      <c r="B5736" s="2">
        <v>1612</v>
      </c>
      <c r="C5736" s="4" t="str">
        <f>HYPERLINK("http://www.uniprot.org/uniprot/M5WZU3","M5WZU3")</f>
        <v>M5WZU3</v>
      </c>
      <c r="D5736" s="2" t="s">
        <v>5228</v>
      </c>
      <c r="E5736" s="3">
        <v>0</v>
      </c>
      <c r="F5736" s="2">
        <v>2011</v>
      </c>
      <c r="G5736" s="2">
        <v>100</v>
      </c>
      <c r="H5736" s="2">
        <v>376</v>
      </c>
      <c r="I5736" s="2">
        <v>222</v>
      </c>
      <c r="J5736" s="2">
        <v>1349</v>
      </c>
      <c r="K5736" s="2">
        <v>8</v>
      </c>
      <c r="L5736" s="2">
        <v>383</v>
      </c>
    </row>
    <row r="5737" spans="1:12" x14ac:dyDescent="0.25">
      <c r="A5737" s="4" t="str">
        <f>HYPERLINK("http://www.rosaceae.org/Prunus/Prunus_persica/p.persica_gdr_reftransV1_0036930","p.persica_gdr_reftransV1_0036930")</f>
        <v>p.persica_gdr_reftransV1_0036930</v>
      </c>
      <c r="B5737" s="2">
        <v>3484</v>
      </c>
      <c r="C5737" s="4" t="str">
        <f>HYPERLINK("http://www.uniprot.org/uniprot/M5WYR5","M5WYR5")</f>
        <v>M5WYR5</v>
      </c>
      <c r="D5737" s="2" t="s">
        <v>5229</v>
      </c>
      <c r="E5737" s="3">
        <v>0</v>
      </c>
      <c r="F5737" s="2">
        <v>1946</v>
      </c>
      <c r="G5737" s="2">
        <v>93</v>
      </c>
      <c r="H5737" s="2">
        <v>453</v>
      </c>
      <c r="I5737" s="2">
        <v>2020</v>
      </c>
      <c r="J5737" s="2">
        <v>3378</v>
      </c>
      <c r="K5737" s="2">
        <v>1</v>
      </c>
      <c r="L5737" s="2">
        <v>424</v>
      </c>
    </row>
    <row r="5738" spans="1:12" x14ac:dyDescent="0.25">
      <c r="A5738" s="4" t="str">
        <f>HYPERLINK("http://www.rosaceae.org/Prunus/Prunus_persica/p.persica_gdr_reftransV1_0039030","p.persica_gdr_reftransV1_0039030")</f>
        <v>p.persica_gdr_reftransV1_0039030</v>
      </c>
      <c r="B5738" s="2">
        <v>1573</v>
      </c>
      <c r="C5738" s="4" t="str">
        <f>HYPERLINK("http://www.uniprot.org/uniprot/M5X1D4","M5X1D4")</f>
        <v>M5X1D4</v>
      </c>
      <c r="D5738" s="2" t="s">
        <v>5230</v>
      </c>
      <c r="E5738" s="3">
        <v>0</v>
      </c>
      <c r="F5738" s="2">
        <v>1679</v>
      </c>
      <c r="G5738" s="2">
        <v>100</v>
      </c>
      <c r="H5738" s="2">
        <v>409</v>
      </c>
      <c r="I5738" s="2">
        <v>158</v>
      </c>
      <c r="J5738" s="2">
        <v>1384</v>
      </c>
      <c r="K5738" s="2">
        <v>1</v>
      </c>
      <c r="L5738" s="2">
        <v>409</v>
      </c>
    </row>
    <row r="5739" spans="1:12" x14ac:dyDescent="0.25">
      <c r="A5739" s="4" t="str">
        <f>HYPERLINK("http://www.rosaceae.org/Prunus/Prunus_persica/p.persica_gdr_reftransV1_0040430","p.persica_gdr_reftransV1_0040430")</f>
        <v>p.persica_gdr_reftransV1_0040430</v>
      </c>
      <c r="B5739" s="2">
        <v>3239</v>
      </c>
      <c r="C5739" s="4" t="str">
        <f>HYPERLINK("http://www.uniprot.org/uniprot/M5VZ29","M5VZ29")</f>
        <v>M5VZ29</v>
      </c>
      <c r="D5739" s="2" t="s">
        <v>3346</v>
      </c>
      <c r="E5739" s="3">
        <v>1.6E-112</v>
      </c>
      <c r="F5739" s="2">
        <v>944</v>
      </c>
      <c r="G5739" s="2">
        <v>100</v>
      </c>
      <c r="H5739" s="2">
        <v>248</v>
      </c>
      <c r="I5739" s="2">
        <v>65</v>
      </c>
      <c r="J5739" s="2">
        <v>808</v>
      </c>
      <c r="K5739" s="2">
        <v>38</v>
      </c>
      <c r="L5739" s="2">
        <v>285</v>
      </c>
    </row>
    <row r="5740" spans="1:12" x14ac:dyDescent="0.25">
      <c r="A5740" s="4" t="str">
        <f>HYPERLINK("http://www.rosaceae.org/Prunus/Prunus_persica/p.persica_gdr_reftransV1_0041130","p.persica_gdr_reftransV1_0041130")</f>
        <v>p.persica_gdr_reftransV1_0041130</v>
      </c>
      <c r="B5740" s="2">
        <v>3605</v>
      </c>
      <c r="C5740" s="4" t="str">
        <f>HYPERLINK("http://www.uniprot.org/uniprot/M5XHI4","M5XHI4")</f>
        <v>M5XHI4</v>
      </c>
      <c r="D5740" s="2" t="s">
        <v>5231</v>
      </c>
      <c r="E5740" s="3">
        <v>0</v>
      </c>
      <c r="F5740" s="2">
        <v>1961</v>
      </c>
      <c r="G5740" s="2">
        <v>100</v>
      </c>
      <c r="H5740" s="2">
        <v>393</v>
      </c>
      <c r="I5740" s="2">
        <v>2184</v>
      </c>
      <c r="J5740" s="2">
        <v>3362</v>
      </c>
      <c r="K5740" s="2">
        <v>244</v>
      </c>
      <c r="L5740" s="2">
        <v>636</v>
      </c>
    </row>
    <row r="5741" spans="1:12" x14ac:dyDescent="0.25">
      <c r="A5741" s="4" t="str">
        <f>HYPERLINK("http://www.rosaceae.org/Prunus/Prunus_persica/p.persica_gdr_reftransV1_0041480","p.persica_gdr_reftransV1_0041480")</f>
        <v>p.persica_gdr_reftransV1_0041480</v>
      </c>
      <c r="B5741" s="2">
        <v>2269</v>
      </c>
      <c r="C5741" s="4" t="str">
        <f>HYPERLINK("http://www.uniprot.org/uniprot/M5WEL0","M5WEL0")</f>
        <v>M5WEL0</v>
      </c>
      <c r="D5741" s="2" t="s">
        <v>813</v>
      </c>
      <c r="E5741" s="3">
        <v>0</v>
      </c>
      <c r="F5741" s="2">
        <v>1482</v>
      </c>
      <c r="G5741" s="2">
        <v>83</v>
      </c>
      <c r="H5741" s="2">
        <v>373</v>
      </c>
      <c r="I5741" s="2">
        <v>864</v>
      </c>
      <c r="J5741" s="2">
        <v>1982</v>
      </c>
      <c r="K5741" s="2">
        <v>24</v>
      </c>
      <c r="L5741" s="2">
        <v>340</v>
      </c>
    </row>
    <row r="5742" spans="1:12" x14ac:dyDescent="0.25">
      <c r="A5742" s="4" t="str">
        <f>HYPERLINK("http://www.rosaceae.org/Prunus/Prunus_persica/p.persica_gdr_reftransV1_0041830","p.persica_gdr_reftransV1_0041830")</f>
        <v>p.persica_gdr_reftransV1_0041830</v>
      </c>
      <c r="B5742" s="2">
        <v>2881</v>
      </c>
      <c r="C5742" s="4" t="str">
        <f>HYPERLINK("http://www.uniprot.org/uniprot/M5W8S7","M5W8S7")</f>
        <v>M5W8S7</v>
      </c>
      <c r="D5742" s="2" t="s">
        <v>5232</v>
      </c>
      <c r="E5742" s="3">
        <v>0</v>
      </c>
      <c r="F5742" s="2">
        <v>1791</v>
      </c>
      <c r="G5742" s="2">
        <v>93</v>
      </c>
      <c r="H5742" s="2">
        <v>396</v>
      </c>
      <c r="I5742" s="2">
        <v>170</v>
      </c>
      <c r="J5742" s="2">
        <v>1357</v>
      </c>
      <c r="K5742" s="2">
        <v>1</v>
      </c>
      <c r="L5742" s="2">
        <v>368</v>
      </c>
    </row>
    <row r="5743" spans="1:12" x14ac:dyDescent="0.25">
      <c r="A5743" s="4" t="str">
        <f>HYPERLINK("http://www.rosaceae.org/Prunus/Prunus_persica/p.persica_gdr_reftransV1_0042880","p.persica_gdr_reftransV1_0042880")</f>
        <v>p.persica_gdr_reftransV1_0042880</v>
      </c>
      <c r="B5743" s="2">
        <v>2547</v>
      </c>
      <c r="C5743" s="4" t="str">
        <f>HYPERLINK("http://www.uniprot.org/uniprot/M5XFR7","M5XFR7")</f>
        <v>M5XFR7</v>
      </c>
      <c r="D5743" s="2" t="s">
        <v>5233</v>
      </c>
      <c r="E5743" s="3">
        <v>7.6900000000000003E-50</v>
      </c>
      <c r="F5743" s="2">
        <v>463</v>
      </c>
      <c r="G5743" s="2">
        <v>95</v>
      </c>
      <c r="H5743" s="2">
        <v>93</v>
      </c>
      <c r="I5743" s="2">
        <v>1098</v>
      </c>
      <c r="J5743" s="2">
        <v>1376</v>
      </c>
      <c r="K5743" s="2">
        <v>1</v>
      </c>
      <c r="L5743" s="2">
        <v>93</v>
      </c>
    </row>
    <row r="5744" spans="1:12" x14ac:dyDescent="0.25">
      <c r="A5744" s="4" t="str">
        <f>HYPERLINK("http://www.rosaceae.org/Prunus/Prunus_persica/p.persica_gdr_reftransV1_0043230","p.persica_gdr_reftransV1_0043230")</f>
        <v>p.persica_gdr_reftransV1_0043230</v>
      </c>
      <c r="B5744" s="2">
        <v>1636</v>
      </c>
      <c r="C5744" s="4" t="str">
        <f>HYPERLINK("http://www.uniprot.org/uniprot/M5WCH9","M5WCH9")</f>
        <v>M5WCH9</v>
      </c>
      <c r="D5744" s="2" t="s">
        <v>4416</v>
      </c>
      <c r="E5744" s="3">
        <v>3.38E-124</v>
      </c>
      <c r="F5744" s="2">
        <v>966</v>
      </c>
      <c r="G5744" s="2">
        <v>100</v>
      </c>
      <c r="H5744" s="2">
        <v>213</v>
      </c>
      <c r="I5744" s="2">
        <v>290</v>
      </c>
      <c r="J5744" s="2">
        <v>928</v>
      </c>
      <c r="K5744" s="2">
        <v>1</v>
      </c>
      <c r="L5744" s="2">
        <v>213</v>
      </c>
    </row>
    <row r="5745" spans="1:12" x14ac:dyDescent="0.25">
      <c r="A5745" s="4" t="str">
        <f>HYPERLINK("http://www.rosaceae.org/Prunus/Prunus_persica/p.persica_gdr_reftransV1_0043580","p.persica_gdr_reftransV1_0043580")</f>
        <v>p.persica_gdr_reftransV1_0043580</v>
      </c>
      <c r="B5745" s="2">
        <v>339</v>
      </c>
      <c r="C5745" s="4" t="str">
        <f>HYPERLINK("http://www.uniprot.org/uniprot/M5VQA2","M5VQA2")</f>
        <v>M5VQA2</v>
      </c>
      <c r="D5745" s="2" t="s">
        <v>5234</v>
      </c>
      <c r="E5745" s="3">
        <v>4.0999999999999996E-77</v>
      </c>
      <c r="F5745" s="2">
        <v>616</v>
      </c>
      <c r="G5745" s="2">
        <v>100</v>
      </c>
      <c r="H5745" s="2">
        <v>112</v>
      </c>
      <c r="I5745" s="2">
        <v>3</v>
      </c>
      <c r="J5745" s="2">
        <v>338</v>
      </c>
      <c r="K5745" s="2">
        <v>1</v>
      </c>
      <c r="L5745" s="2">
        <v>112</v>
      </c>
    </row>
    <row r="5746" spans="1:12" x14ac:dyDescent="0.25">
      <c r="A5746" s="4" t="str">
        <f>HYPERLINK("http://www.rosaceae.org/Prunus/Prunus_persica/p.persica_gdr_reftransV1_0043930","p.persica_gdr_reftransV1_0043930")</f>
        <v>p.persica_gdr_reftransV1_0043930</v>
      </c>
      <c r="B5746" s="2">
        <v>1729</v>
      </c>
      <c r="C5746" s="4" t="str">
        <f>HYPERLINK("http://www.uniprot.org/uniprot/M5VM85","M5VM85")</f>
        <v>M5VM85</v>
      </c>
      <c r="D5746" s="2" t="s">
        <v>5235</v>
      </c>
      <c r="E5746" s="3">
        <v>0</v>
      </c>
      <c r="F5746" s="2">
        <v>2257</v>
      </c>
      <c r="G5746" s="2">
        <v>97</v>
      </c>
      <c r="H5746" s="2">
        <v>473</v>
      </c>
      <c r="I5746" s="2">
        <v>283</v>
      </c>
      <c r="J5746" s="2">
        <v>1701</v>
      </c>
      <c r="K5746" s="2">
        <v>1</v>
      </c>
      <c r="L5746" s="2">
        <v>473</v>
      </c>
    </row>
    <row r="5747" spans="1:12" x14ac:dyDescent="0.25">
      <c r="A5747" s="4" t="str">
        <f>HYPERLINK("http://www.rosaceae.org/Prunus/Prunus_persica/p.persica_gdr_reftransV1_0044280","p.persica_gdr_reftransV1_0044280")</f>
        <v>p.persica_gdr_reftransV1_0044280</v>
      </c>
      <c r="B5747" s="2">
        <v>328</v>
      </c>
      <c r="C5747" s="4" t="str">
        <f>HYPERLINK("http://www.uniprot.org/uniprot/M5XWL6","M5XWL6")</f>
        <v>M5XWL6</v>
      </c>
      <c r="D5747" s="2" t="s">
        <v>699</v>
      </c>
      <c r="E5747" s="3">
        <v>1.8799999999999999E-68</v>
      </c>
      <c r="F5747" s="2">
        <v>588</v>
      </c>
      <c r="G5747" s="2">
        <v>100</v>
      </c>
      <c r="H5747" s="2">
        <v>109</v>
      </c>
      <c r="I5747" s="2">
        <v>2</v>
      </c>
      <c r="J5747" s="2">
        <v>328</v>
      </c>
      <c r="K5747" s="2">
        <v>143</v>
      </c>
      <c r="L5747" s="2">
        <v>251</v>
      </c>
    </row>
    <row r="5748" spans="1:12" x14ac:dyDescent="0.25">
      <c r="A5748" s="4" t="str">
        <f>HYPERLINK("http://www.rosaceae.org/Prunus/Prunus_persica/p.persica_gdr_reftransV1_0044980","p.persica_gdr_reftransV1_0044980")</f>
        <v>p.persica_gdr_reftransV1_0044980</v>
      </c>
      <c r="B5748" s="2">
        <v>1468</v>
      </c>
      <c r="C5748" s="4" t="str">
        <f>HYPERLINK("http://www.uniprot.org/uniprot/M5WZB0","M5WZB0")</f>
        <v>M5WZB0</v>
      </c>
      <c r="D5748" s="2" t="s">
        <v>5236</v>
      </c>
      <c r="E5748" s="3">
        <v>0</v>
      </c>
      <c r="F5748" s="2">
        <v>2462</v>
      </c>
      <c r="G5748" s="2">
        <v>100</v>
      </c>
      <c r="H5748" s="2">
        <v>455</v>
      </c>
      <c r="I5748" s="2">
        <v>104</v>
      </c>
      <c r="J5748" s="2">
        <v>1468</v>
      </c>
      <c r="K5748" s="2">
        <v>2</v>
      </c>
      <c r="L5748" s="2">
        <v>456</v>
      </c>
    </row>
    <row r="5749" spans="1:12" x14ac:dyDescent="0.25">
      <c r="A5749" s="4" t="str">
        <f>HYPERLINK("http://www.rosaceae.org/Prunus/Prunus_persica/p.persica_gdr_reftransV1_0045330","p.persica_gdr_reftransV1_0045330")</f>
        <v>p.persica_gdr_reftransV1_0045330</v>
      </c>
      <c r="B5749" s="2">
        <v>805</v>
      </c>
      <c r="C5749" s="4" t="str">
        <f>HYPERLINK("http://www.uniprot.org/uniprot/M5WFL2","M5WFL2")</f>
        <v>M5WFL2</v>
      </c>
      <c r="D5749" s="2" t="s">
        <v>4926</v>
      </c>
      <c r="E5749" s="3">
        <v>1.8799999999999999E-99</v>
      </c>
      <c r="F5749" s="2">
        <v>782</v>
      </c>
      <c r="G5749" s="2">
        <v>99</v>
      </c>
      <c r="H5749" s="2">
        <v>146</v>
      </c>
      <c r="I5749" s="2">
        <v>121</v>
      </c>
      <c r="J5749" s="2">
        <v>558</v>
      </c>
      <c r="K5749" s="2">
        <v>183</v>
      </c>
      <c r="L5749" s="2">
        <v>328</v>
      </c>
    </row>
    <row r="5750" spans="1:12" x14ac:dyDescent="0.25">
      <c r="A5750" s="4" t="str">
        <f>HYPERLINK("http://www.rosaceae.org/Prunus/Prunus_persica/p.persica_gdr_reftransV1_0046730","p.persica_gdr_reftransV1_0046730")</f>
        <v>p.persica_gdr_reftransV1_0046730</v>
      </c>
      <c r="B5750" s="2">
        <v>981</v>
      </c>
      <c r="C5750" s="4" t="str">
        <f>HYPERLINK("http://www.uniprot.org/uniprot/M5Y478","M5Y478")</f>
        <v>M5Y478</v>
      </c>
      <c r="D5750" s="2" t="s">
        <v>5237</v>
      </c>
      <c r="E5750" s="3">
        <v>1.9899999999999999E-74</v>
      </c>
      <c r="F5750" s="2">
        <v>659</v>
      </c>
      <c r="G5750" s="2">
        <v>83</v>
      </c>
      <c r="H5750" s="2">
        <v>157</v>
      </c>
      <c r="I5750" s="2">
        <v>4</v>
      </c>
      <c r="J5750" s="2">
        <v>471</v>
      </c>
      <c r="K5750" s="2">
        <v>925</v>
      </c>
      <c r="L5750" s="2">
        <v>1078</v>
      </c>
    </row>
    <row r="5751" spans="1:12" x14ac:dyDescent="0.25">
      <c r="A5751" s="4" t="str">
        <f>HYPERLINK("http://www.rosaceae.org/Prunus/Prunus_persica/p.persica_gdr_reftransV1_0047080","p.persica_gdr_reftransV1_0047080")</f>
        <v>p.persica_gdr_reftransV1_0047080</v>
      </c>
      <c r="B5751" s="2">
        <v>2789</v>
      </c>
      <c r="C5751" s="4" t="str">
        <f>HYPERLINK("http://www.uniprot.org/uniprot/K4HUT4","K4HUT4")</f>
        <v>K4HUT4</v>
      </c>
      <c r="D5751" s="2" t="s">
        <v>5238</v>
      </c>
      <c r="E5751" s="3">
        <v>0</v>
      </c>
      <c r="F5751" s="2">
        <v>3898</v>
      </c>
      <c r="G5751" s="2">
        <v>88</v>
      </c>
      <c r="H5751" s="2">
        <v>810</v>
      </c>
      <c r="I5751" s="2">
        <v>269</v>
      </c>
      <c r="J5751" s="2">
        <v>2698</v>
      </c>
      <c r="K5751" s="2">
        <v>1</v>
      </c>
      <c r="L5751" s="2">
        <v>810</v>
      </c>
    </row>
    <row r="5752" spans="1:12" x14ac:dyDescent="0.25">
      <c r="A5752" s="4" t="str">
        <f>HYPERLINK("http://www.rosaceae.org/Prunus/Prunus_persica/p.persica_gdr_reftransV1_0047430","p.persica_gdr_reftransV1_0047430")</f>
        <v>p.persica_gdr_reftransV1_0047430</v>
      </c>
      <c r="B5752" s="2">
        <v>1274</v>
      </c>
      <c r="C5752" s="4" t="str">
        <f>HYPERLINK("http://www.uniprot.org/uniprot/M5XFV9","M5XFV9")</f>
        <v>M5XFV9</v>
      </c>
      <c r="D5752" s="2" t="s">
        <v>3587</v>
      </c>
      <c r="E5752" s="3">
        <v>2.6000000000000001E-168</v>
      </c>
      <c r="F5752" s="2">
        <v>1245</v>
      </c>
      <c r="G5752" s="2">
        <v>92</v>
      </c>
      <c r="H5752" s="2">
        <v>259</v>
      </c>
      <c r="I5752" s="2">
        <v>166</v>
      </c>
      <c r="J5752" s="2">
        <v>942</v>
      </c>
      <c r="K5752" s="2">
        <v>1</v>
      </c>
      <c r="L5752" s="2">
        <v>243</v>
      </c>
    </row>
    <row r="5753" spans="1:12" x14ac:dyDescent="0.25">
      <c r="A5753" s="4" t="str">
        <f>HYPERLINK("http://www.rosaceae.org/Prunus/Prunus_persica/p.persica_gdr_reftransV1_0047780","p.persica_gdr_reftransV1_0047780")</f>
        <v>p.persica_gdr_reftransV1_0047780</v>
      </c>
      <c r="B5753" s="2">
        <v>830</v>
      </c>
      <c r="C5753" s="4" t="str">
        <f>HYPERLINK("http://www.uniprot.org/uniprot/M5XD64","M5XD64")</f>
        <v>M5XD64</v>
      </c>
      <c r="D5753" s="2" t="s">
        <v>2308</v>
      </c>
      <c r="E5753" s="3">
        <v>2.36E-172</v>
      </c>
      <c r="F5753" s="2">
        <v>1258</v>
      </c>
      <c r="G5753" s="2">
        <v>100</v>
      </c>
      <c r="H5753" s="2">
        <v>243</v>
      </c>
      <c r="I5753" s="2">
        <v>1</v>
      </c>
      <c r="J5753" s="2">
        <v>729</v>
      </c>
      <c r="K5753" s="2">
        <v>1</v>
      </c>
      <c r="L5753" s="2">
        <v>243</v>
      </c>
    </row>
    <row r="5754" spans="1:12" x14ac:dyDescent="0.25">
      <c r="A5754" s="4" t="str">
        <f>HYPERLINK("http://www.rosaceae.org/Prunus/Prunus_persica/p.persica_gdr_reftransV1_0048130","p.persica_gdr_reftransV1_0048130")</f>
        <v>p.persica_gdr_reftransV1_0048130</v>
      </c>
      <c r="B5754" s="2">
        <v>1526</v>
      </c>
      <c r="C5754" s="4" t="str">
        <f>HYPERLINK("http://www.uniprot.org/uniprot/M5XR24","M5XR24")</f>
        <v>M5XR24</v>
      </c>
      <c r="D5754" s="2" t="s">
        <v>5239</v>
      </c>
      <c r="E5754" s="3">
        <v>0</v>
      </c>
      <c r="F5754" s="2">
        <v>2038</v>
      </c>
      <c r="G5754" s="2">
        <v>100</v>
      </c>
      <c r="H5754" s="2">
        <v>403</v>
      </c>
      <c r="I5754" s="2">
        <v>71</v>
      </c>
      <c r="J5754" s="2">
        <v>1279</v>
      </c>
      <c r="K5754" s="2">
        <v>1</v>
      </c>
      <c r="L5754" s="2">
        <v>403</v>
      </c>
    </row>
    <row r="5755" spans="1:12" x14ac:dyDescent="0.25">
      <c r="A5755" s="4" t="str">
        <f>HYPERLINK("http://www.rosaceae.org/Prunus/Prunus_persica/p.persica_gdr_reftransV1_0048480","p.persica_gdr_reftransV1_0048480")</f>
        <v>p.persica_gdr_reftransV1_0048480</v>
      </c>
      <c r="B5755" s="2">
        <v>2973</v>
      </c>
      <c r="C5755" s="4" t="str">
        <f>HYPERLINK("http://www.uniprot.org/uniprot/M5XKE4","M5XKE4")</f>
        <v>M5XKE4</v>
      </c>
      <c r="D5755" s="2" t="s">
        <v>5240</v>
      </c>
      <c r="E5755" s="3">
        <v>0</v>
      </c>
      <c r="F5755" s="2">
        <v>2582</v>
      </c>
      <c r="G5755" s="2">
        <v>100</v>
      </c>
      <c r="H5755" s="2">
        <v>497</v>
      </c>
      <c r="I5755" s="2">
        <v>1373</v>
      </c>
      <c r="J5755" s="2">
        <v>2863</v>
      </c>
      <c r="K5755" s="2">
        <v>1</v>
      </c>
      <c r="L5755" s="2">
        <v>497</v>
      </c>
    </row>
    <row r="5756" spans="1:12" x14ac:dyDescent="0.25">
      <c r="A5756" s="4" t="str">
        <f>HYPERLINK("http://www.rosaceae.org/Prunus/Prunus_persica/p.persica_gdr_reftransV1_0048830","p.persica_gdr_reftransV1_0048830")</f>
        <v>p.persica_gdr_reftransV1_0048830</v>
      </c>
      <c r="B5756" s="2">
        <v>709</v>
      </c>
      <c r="C5756" s="4" t="str">
        <f>HYPERLINK("http://www.uniprot.org/uniprot/M5VIL0","M5VIL0")</f>
        <v>M5VIL0</v>
      </c>
      <c r="D5756" s="2" t="s">
        <v>1556</v>
      </c>
      <c r="E5756" s="3">
        <v>5.6600000000000001E-13</v>
      </c>
      <c r="F5756" s="2">
        <v>191</v>
      </c>
      <c r="G5756" s="2">
        <v>100</v>
      </c>
      <c r="H5756" s="2">
        <v>69</v>
      </c>
      <c r="I5756" s="2">
        <v>357</v>
      </c>
      <c r="J5756" s="2">
        <v>563</v>
      </c>
      <c r="K5756" s="2">
        <v>1</v>
      </c>
      <c r="L5756" s="2">
        <v>69</v>
      </c>
    </row>
    <row r="5757" spans="1:12" x14ac:dyDescent="0.25">
      <c r="A5757" s="4" t="str">
        <f>HYPERLINK("http://www.rosaceae.org/Prunus/Prunus_persica/p.persica_gdr_reftransV1_0049180","p.persica_gdr_reftransV1_0049180")</f>
        <v>p.persica_gdr_reftransV1_0049180</v>
      </c>
      <c r="B5757" s="2">
        <v>866</v>
      </c>
      <c r="C5757" s="4" t="str">
        <f>HYPERLINK("http://www.uniprot.org/uniprot/M5X2Y1","M5X2Y1")</f>
        <v>M5X2Y1</v>
      </c>
      <c r="D5757" s="2" t="s">
        <v>5241</v>
      </c>
      <c r="E5757" s="3">
        <v>9.7699999999999993E-86</v>
      </c>
      <c r="F5757" s="2">
        <v>675</v>
      </c>
      <c r="G5757" s="2">
        <v>100</v>
      </c>
      <c r="H5757" s="2">
        <v>128</v>
      </c>
      <c r="I5757" s="2">
        <v>125</v>
      </c>
      <c r="J5757" s="2">
        <v>508</v>
      </c>
      <c r="K5757" s="2">
        <v>1</v>
      </c>
      <c r="L5757" s="2">
        <v>128</v>
      </c>
    </row>
    <row r="5758" spans="1:12" x14ac:dyDescent="0.25">
      <c r="A5758" s="4" t="str">
        <f>HYPERLINK("http://www.rosaceae.org/Prunus/Prunus_persica/p.persica_gdr_reftransV1_0000018","p.persica_gdr_reftransV1_0000018")</f>
        <v>p.persica_gdr_reftransV1_0000018</v>
      </c>
      <c r="B5758" s="2">
        <v>1049</v>
      </c>
      <c r="C5758" s="4" t="str">
        <f>HYPERLINK("http://www.uniprot.org/uniprot/M5XJF9","M5XJF9")</f>
        <v>M5XJF9</v>
      </c>
      <c r="D5758" s="2" t="s">
        <v>5242</v>
      </c>
      <c r="E5758" s="3">
        <v>0</v>
      </c>
      <c r="F5758" s="2">
        <v>1525</v>
      </c>
      <c r="G5758" s="2">
        <v>92</v>
      </c>
      <c r="H5758" s="2">
        <v>317</v>
      </c>
      <c r="I5758" s="2">
        <v>3</v>
      </c>
      <c r="J5758" s="2">
        <v>953</v>
      </c>
      <c r="K5758" s="2">
        <v>139</v>
      </c>
      <c r="L5758" s="2">
        <v>455</v>
      </c>
    </row>
    <row r="5759" spans="1:12" x14ac:dyDescent="0.25">
      <c r="A5759" s="4" t="str">
        <f>HYPERLINK("http://www.rosaceae.org/Prunus/Prunus_persica/p.persica_gdr_reftransV1_0000368","p.persica_gdr_reftransV1_0000368")</f>
        <v>p.persica_gdr_reftransV1_0000368</v>
      </c>
      <c r="B5759" s="2">
        <v>1737</v>
      </c>
      <c r="C5759" s="4" t="str">
        <f>HYPERLINK("http://www.uniprot.org/uniprot/M5XF44","M5XF44")</f>
        <v>M5XF44</v>
      </c>
      <c r="D5759" s="2" t="s">
        <v>5243</v>
      </c>
      <c r="E5759" s="3">
        <v>0</v>
      </c>
      <c r="F5759" s="2">
        <v>1847</v>
      </c>
      <c r="G5759" s="2">
        <v>92</v>
      </c>
      <c r="H5759" s="2">
        <v>401</v>
      </c>
      <c r="I5759" s="2">
        <v>456</v>
      </c>
      <c r="J5759" s="2">
        <v>1658</v>
      </c>
      <c r="K5759" s="2">
        <v>1</v>
      </c>
      <c r="L5759" s="2">
        <v>370</v>
      </c>
    </row>
    <row r="5760" spans="1:12" x14ac:dyDescent="0.25">
      <c r="A5760" s="4" t="str">
        <f>HYPERLINK("http://www.rosaceae.org/Prunus/Prunus_persica/p.persica_gdr_reftransV1_0000718","p.persica_gdr_reftransV1_0000718")</f>
        <v>p.persica_gdr_reftransV1_0000718</v>
      </c>
      <c r="B5760" s="2">
        <v>2186</v>
      </c>
      <c r="C5760" s="4" t="str">
        <f>HYPERLINK("http://www.uniprot.org/uniprot/M5Y2Q5","M5Y2Q5")</f>
        <v>M5Y2Q5</v>
      </c>
      <c r="D5760" s="2" t="s">
        <v>2334</v>
      </c>
      <c r="E5760" s="3">
        <v>1.3799999999999999E-177</v>
      </c>
      <c r="F5760" s="2">
        <v>1371</v>
      </c>
      <c r="G5760" s="2">
        <v>96</v>
      </c>
      <c r="H5760" s="2">
        <v>287</v>
      </c>
      <c r="I5760" s="2">
        <v>882</v>
      </c>
      <c r="J5760" s="2">
        <v>1733</v>
      </c>
      <c r="K5760" s="2">
        <v>298</v>
      </c>
      <c r="L5760" s="2">
        <v>584</v>
      </c>
    </row>
    <row r="5761" spans="1:12" x14ac:dyDescent="0.25">
      <c r="A5761" s="4" t="str">
        <f>HYPERLINK("http://www.rosaceae.org/Prunus/Prunus_persica/p.persica_gdr_reftransV1_0001068","p.persica_gdr_reftransV1_0001068")</f>
        <v>p.persica_gdr_reftransV1_0001068</v>
      </c>
      <c r="B5761" s="2">
        <v>1722</v>
      </c>
      <c r="C5761" s="4" t="str">
        <f>HYPERLINK("http://www.uniprot.org/uniprot/M5W9W3","M5W9W3")</f>
        <v>M5W9W3</v>
      </c>
      <c r="D5761" s="2" t="s">
        <v>5244</v>
      </c>
      <c r="E5761" s="3">
        <v>0</v>
      </c>
      <c r="F5761" s="2">
        <v>1791</v>
      </c>
      <c r="G5761" s="2">
        <v>100</v>
      </c>
      <c r="H5761" s="2">
        <v>345</v>
      </c>
      <c r="I5761" s="2">
        <v>357</v>
      </c>
      <c r="J5761" s="2">
        <v>1391</v>
      </c>
      <c r="K5761" s="2">
        <v>1</v>
      </c>
      <c r="L5761" s="2">
        <v>345</v>
      </c>
    </row>
    <row r="5762" spans="1:12" x14ac:dyDescent="0.25">
      <c r="A5762" s="4" t="str">
        <f>HYPERLINK("http://www.rosaceae.org/Prunus/Prunus_persica/p.persica_gdr_reftransV1_0001418","p.persica_gdr_reftransV1_0001418")</f>
        <v>p.persica_gdr_reftransV1_0001418</v>
      </c>
      <c r="B5762" s="2">
        <v>452</v>
      </c>
      <c r="C5762" s="4" t="str">
        <f>HYPERLINK("http://www.uniprot.org/uniprot/M5VVA2","M5VVA2")</f>
        <v>M5VVA2</v>
      </c>
      <c r="D5762" s="2" t="s">
        <v>2738</v>
      </c>
      <c r="E5762" s="3">
        <v>1.03E-72</v>
      </c>
      <c r="F5762" s="2">
        <v>591</v>
      </c>
      <c r="G5762" s="2">
        <v>100</v>
      </c>
      <c r="H5762" s="2">
        <v>118</v>
      </c>
      <c r="I5762" s="2">
        <v>3</v>
      </c>
      <c r="J5762" s="2">
        <v>356</v>
      </c>
      <c r="K5762" s="2">
        <v>77</v>
      </c>
      <c r="L5762" s="2">
        <v>194</v>
      </c>
    </row>
    <row r="5763" spans="1:12" x14ac:dyDescent="0.25">
      <c r="A5763" s="4" t="str">
        <f>HYPERLINK("http://www.rosaceae.org/Prunus/Prunus_persica/p.persica_gdr_reftransV1_0001768","p.persica_gdr_reftransV1_0001768")</f>
        <v>p.persica_gdr_reftransV1_0001768</v>
      </c>
      <c r="B5763" s="2">
        <v>1211</v>
      </c>
      <c r="C5763" s="4" t="str">
        <f>HYPERLINK("http://www.uniprot.org/uniprot/M5X4Q0","M5X4Q0")</f>
        <v>M5X4Q0</v>
      </c>
      <c r="D5763" s="2" t="s">
        <v>5245</v>
      </c>
      <c r="E5763" s="3">
        <v>0</v>
      </c>
      <c r="F5763" s="2">
        <v>1718</v>
      </c>
      <c r="G5763" s="2">
        <v>99</v>
      </c>
      <c r="H5763" s="2">
        <v>323</v>
      </c>
      <c r="I5763" s="2">
        <v>4</v>
      </c>
      <c r="J5763" s="2">
        <v>972</v>
      </c>
      <c r="K5763" s="2">
        <v>1</v>
      </c>
      <c r="L5763" s="2">
        <v>323</v>
      </c>
    </row>
    <row r="5764" spans="1:12" x14ac:dyDescent="0.25">
      <c r="A5764" s="4" t="str">
        <f>HYPERLINK("http://www.rosaceae.org/Prunus/Prunus_persica/p.persica_gdr_reftransV1_0002468","p.persica_gdr_reftransV1_0002468")</f>
        <v>p.persica_gdr_reftransV1_0002468</v>
      </c>
      <c r="B5764" s="2">
        <v>2439</v>
      </c>
      <c r="C5764" s="4" t="str">
        <f>HYPERLINK("http://www.uniprot.org/uniprot/M5VPK3","M5VPK3")</f>
        <v>M5VPK3</v>
      </c>
      <c r="D5764" s="2" t="s">
        <v>5246</v>
      </c>
      <c r="E5764" s="3">
        <v>0</v>
      </c>
      <c r="F5764" s="2">
        <v>2644</v>
      </c>
      <c r="G5764" s="2">
        <v>100</v>
      </c>
      <c r="H5764" s="2">
        <v>492</v>
      </c>
      <c r="I5764" s="2">
        <v>2</v>
      </c>
      <c r="J5764" s="2">
        <v>1477</v>
      </c>
      <c r="K5764" s="2">
        <v>59</v>
      </c>
      <c r="L5764" s="2">
        <v>550</v>
      </c>
    </row>
    <row r="5765" spans="1:12" x14ac:dyDescent="0.25">
      <c r="A5765" s="4" t="str">
        <f>HYPERLINK("http://www.rosaceae.org/Prunus/Prunus_persica/p.persica_gdr_reftransV1_0003518","p.persica_gdr_reftransV1_0003518")</f>
        <v>p.persica_gdr_reftransV1_0003518</v>
      </c>
      <c r="B5765" s="2">
        <v>2029</v>
      </c>
      <c r="C5765" s="4" t="str">
        <f>HYPERLINK("http://www.uniprot.org/uniprot/M5XSY0","M5XSY0")</f>
        <v>M5XSY0</v>
      </c>
      <c r="D5765" s="2" t="s">
        <v>5247</v>
      </c>
      <c r="E5765" s="3">
        <v>0</v>
      </c>
      <c r="F5765" s="2">
        <v>1690</v>
      </c>
      <c r="G5765" s="2">
        <v>100</v>
      </c>
      <c r="H5765" s="2">
        <v>327</v>
      </c>
      <c r="I5765" s="2">
        <v>908</v>
      </c>
      <c r="J5765" s="2">
        <v>1888</v>
      </c>
      <c r="K5765" s="2">
        <v>1</v>
      </c>
      <c r="L5765" s="2">
        <v>327</v>
      </c>
    </row>
    <row r="5766" spans="1:12" x14ac:dyDescent="0.25">
      <c r="A5766" s="4" t="str">
        <f>HYPERLINK("http://www.rosaceae.org/Prunus/Prunus_persica/p.persica_gdr_reftransV1_0003868","p.persica_gdr_reftransV1_0003868")</f>
        <v>p.persica_gdr_reftransV1_0003868</v>
      </c>
      <c r="B5766" s="2">
        <v>633</v>
      </c>
      <c r="C5766" s="4" t="str">
        <f>HYPERLINK("http://www.uniprot.org/uniprot/M5VR67","M5VR67")</f>
        <v>M5VR67</v>
      </c>
      <c r="D5766" s="2" t="s">
        <v>5248</v>
      </c>
      <c r="E5766" s="3">
        <v>3.0699999999999999E-109</v>
      </c>
      <c r="F5766" s="2">
        <v>843</v>
      </c>
      <c r="G5766" s="2">
        <v>85</v>
      </c>
      <c r="H5766" s="2">
        <v>189</v>
      </c>
      <c r="I5766" s="2">
        <v>2</v>
      </c>
      <c r="J5766" s="2">
        <v>568</v>
      </c>
      <c r="K5766" s="2">
        <v>1</v>
      </c>
      <c r="L5766" s="2">
        <v>161</v>
      </c>
    </row>
    <row r="5767" spans="1:12" x14ac:dyDescent="0.25">
      <c r="A5767" s="4" t="str">
        <f>HYPERLINK("http://www.rosaceae.org/Prunus/Prunus_persica/p.persica_gdr_reftransV1_0004218","p.persica_gdr_reftransV1_0004218")</f>
        <v>p.persica_gdr_reftransV1_0004218</v>
      </c>
      <c r="B5767" s="2">
        <v>2000</v>
      </c>
      <c r="C5767" s="4" t="str">
        <f>HYPERLINK("http://www.uniprot.org/uniprot/M5WP43","M5WP43")</f>
        <v>M5WP43</v>
      </c>
      <c r="D5767" s="2" t="s">
        <v>5249</v>
      </c>
      <c r="E5767" s="3">
        <v>0</v>
      </c>
      <c r="F5767" s="2">
        <v>1871</v>
      </c>
      <c r="G5767" s="2">
        <v>100</v>
      </c>
      <c r="H5767" s="2">
        <v>357</v>
      </c>
      <c r="I5767" s="2">
        <v>181</v>
      </c>
      <c r="J5767" s="2">
        <v>1251</v>
      </c>
      <c r="K5767" s="2">
        <v>95</v>
      </c>
      <c r="L5767" s="2">
        <v>451</v>
      </c>
    </row>
    <row r="5768" spans="1:12" x14ac:dyDescent="0.25">
      <c r="A5768" s="4" t="str">
        <f>HYPERLINK("http://www.rosaceae.org/Prunus/Prunus_persica/p.persica_gdr_reftransV1_0004568","p.persica_gdr_reftransV1_0004568")</f>
        <v>p.persica_gdr_reftransV1_0004568</v>
      </c>
      <c r="B5768" s="2">
        <v>1254</v>
      </c>
      <c r="C5768" s="4" t="str">
        <f>HYPERLINK("http://www.uniprot.org/uniprot/M5XJJ8","M5XJJ8")</f>
        <v>M5XJJ8</v>
      </c>
      <c r="D5768" s="2" t="s">
        <v>5250</v>
      </c>
      <c r="E5768" s="3">
        <v>6.5099999999999997E-54</v>
      </c>
      <c r="F5768" s="2">
        <v>498</v>
      </c>
      <c r="G5768" s="2">
        <v>100</v>
      </c>
      <c r="H5768" s="2">
        <v>92</v>
      </c>
      <c r="I5768" s="2">
        <v>534</v>
      </c>
      <c r="J5768" s="2">
        <v>809</v>
      </c>
      <c r="K5768" s="2">
        <v>351</v>
      </c>
      <c r="L5768" s="2">
        <v>442</v>
      </c>
    </row>
    <row r="5769" spans="1:12" x14ac:dyDescent="0.25">
      <c r="A5769" s="4" t="str">
        <f>HYPERLINK("http://www.rosaceae.org/Prunus/Prunus_persica/p.persica_gdr_reftransV1_0004918","p.persica_gdr_reftransV1_0004918")</f>
        <v>p.persica_gdr_reftransV1_0004918</v>
      </c>
      <c r="B5769" s="2">
        <v>3459</v>
      </c>
      <c r="C5769" s="4" t="str">
        <f>HYPERLINK("http://www.uniprot.org/uniprot/M5WHP2","M5WHP2")</f>
        <v>M5WHP2</v>
      </c>
      <c r="D5769" s="2" t="s">
        <v>1112</v>
      </c>
      <c r="E5769" s="3">
        <v>0</v>
      </c>
      <c r="F5769" s="2">
        <v>1591</v>
      </c>
      <c r="G5769" s="2">
        <v>100</v>
      </c>
      <c r="H5769" s="2">
        <v>498</v>
      </c>
      <c r="I5769" s="2">
        <v>1801</v>
      </c>
      <c r="J5769" s="2">
        <v>3294</v>
      </c>
      <c r="K5769" s="2">
        <v>1</v>
      </c>
      <c r="L5769" s="2">
        <v>498</v>
      </c>
    </row>
    <row r="5770" spans="1:12" x14ac:dyDescent="0.25">
      <c r="A5770" s="4" t="str">
        <f>HYPERLINK("http://www.rosaceae.org/Prunus/Prunus_persica/p.persica_gdr_reftransV1_0005268","p.persica_gdr_reftransV1_0005268")</f>
        <v>p.persica_gdr_reftransV1_0005268</v>
      </c>
      <c r="B5770" s="2">
        <v>2752</v>
      </c>
      <c r="C5770" s="4" t="str">
        <f>HYPERLINK("http://www.uniprot.org/uniprot/M5WRT2","M5WRT2")</f>
        <v>M5WRT2</v>
      </c>
      <c r="D5770" s="2" t="s">
        <v>5251</v>
      </c>
      <c r="E5770" s="3">
        <v>0</v>
      </c>
      <c r="F5770" s="2">
        <v>2895</v>
      </c>
      <c r="G5770" s="2">
        <v>97</v>
      </c>
      <c r="H5770" s="2">
        <v>579</v>
      </c>
      <c r="I5770" s="2">
        <v>804</v>
      </c>
      <c r="J5770" s="2">
        <v>2540</v>
      </c>
      <c r="K5770" s="2">
        <v>1</v>
      </c>
      <c r="L5770" s="2">
        <v>576</v>
      </c>
    </row>
    <row r="5771" spans="1:12" x14ac:dyDescent="0.25">
      <c r="A5771" s="4" t="str">
        <f>HYPERLINK("http://www.rosaceae.org/Prunus/Prunus_persica/p.persica_gdr_reftransV1_0005618","p.persica_gdr_reftransV1_0005618")</f>
        <v>p.persica_gdr_reftransV1_0005618</v>
      </c>
      <c r="B5771" s="2">
        <v>810</v>
      </c>
      <c r="C5771" s="4" t="str">
        <f>HYPERLINK("http://www.uniprot.org/uniprot/M5W5L1","M5W5L1")</f>
        <v>M5W5L1</v>
      </c>
      <c r="D5771" s="2" t="s">
        <v>5252</v>
      </c>
      <c r="E5771" s="3">
        <v>6.02E-20</v>
      </c>
      <c r="F5771" s="2">
        <v>238</v>
      </c>
      <c r="G5771" s="2">
        <v>100</v>
      </c>
      <c r="H5771" s="2">
        <v>101</v>
      </c>
      <c r="I5771" s="2">
        <v>465</v>
      </c>
      <c r="J5771" s="2">
        <v>767</v>
      </c>
      <c r="K5771" s="2">
        <v>177</v>
      </c>
      <c r="L5771" s="2">
        <v>277</v>
      </c>
    </row>
    <row r="5772" spans="1:12" x14ac:dyDescent="0.25">
      <c r="A5772" s="4" t="str">
        <f>HYPERLINK("http://www.rosaceae.org/Prunus/Prunus_persica/p.persica_gdr_reftransV1_0006318","p.persica_gdr_reftransV1_0006318")</f>
        <v>p.persica_gdr_reftransV1_0006318</v>
      </c>
      <c r="B5772" s="2">
        <v>458</v>
      </c>
      <c r="C5772" s="4" t="str">
        <f>HYPERLINK("http://www.uniprot.org/uniprot/M5WS65","M5WS65")</f>
        <v>M5WS65</v>
      </c>
      <c r="D5772" s="2" t="s">
        <v>5253</v>
      </c>
      <c r="E5772" s="3">
        <v>1.2199999999999999E-94</v>
      </c>
      <c r="F5772" s="2">
        <v>797</v>
      </c>
      <c r="G5772" s="2">
        <v>100</v>
      </c>
      <c r="H5772" s="2">
        <v>152</v>
      </c>
      <c r="I5772" s="2">
        <v>3</v>
      </c>
      <c r="J5772" s="2">
        <v>458</v>
      </c>
      <c r="K5772" s="2">
        <v>105</v>
      </c>
      <c r="L5772" s="2">
        <v>256</v>
      </c>
    </row>
    <row r="5773" spans="1:12" x14ac:dyDescent="0.25">
      <c r="A5773" s="4" t="str">
        <f>HYPERLINK("http://www.rosaceae.org/Prunus/Prunus_persica/p.persica_gdr_reftransV1_0006668","p.persica_gdr_reftransV1_0006668")</f>
        <v>p.persica_gdr_reftransV1_0006668</v>
      </c>
      <c r="B5773" s="2">
        <v>345</v>
      </c>
      <c r="C5773" s="4" t="str">
        <f>HYPERLINK("http://www.uniprot.org/uniprot/M5X8E8","M5X8E8")</f>
        <v>M5X8E8</v>
      </c>
      <c r="D5773" s="2" t="s">
        <v>5254</v>
      </c>
      <c r="E5773" s="3">
        <v>3.1700000000000003E-51</v>
      </c>
      <c r="F5773" s="2">
        <v>463</v>
      </c>
      <c r="G5773" s="2">
        <v>100</v>
      </c>
      <c r="H5773" s="2">
        <v>113</v>
      </c>
      <c r="I5773" s="2">
        <v>3</v>
      </c>
      <c r="J5773" s="2">
        <v>341</v>
      </c>
      <c r="K5773" s="2">
        <v>490</v>
      </c>
      <c r="L5773" s="2">
        <v>602</v>
      </c>
    </row>
    <row r="5774" spans="1:12" x14ac:dyDescent="0.25">
      <c r="A5774" s="4" t="str">
        <f>HYPERLINK("http://www.rosaceae.org/Prunus/Prunus_persica/p.persica_gdr_reftransV1_0007018","p.persica_gdr_reftransV1_0007018")</f>
        <v>p.persica_gdr_reftransV1_0007018</v>
      </c>
      <c r="B5774" s="2">
        <v>761</v>
      </c>
      <c r="C5774" s="4" t="str">
        <f>HYPERLINK("http://www.uniprot.org/uniprot/M5XP81","M5XP81")</f>
        <v>M5XP81</v>
      </c>
      <c r="D5774" s="2" t="s">
        <v>5255</v>
      </c>
      <c r="E5774" s="3">
        <v>4.8300000000000001E-133</v>
      </c>
      <c r="F5774" s="2">
        <v>989</v>
      </c>
      <c r="G5774" s="2">
        <v>100</v>
      </c>
      <c r="H5774" s="2">
        <v>185</v>
      </c>
      <c r="I5774" s="2">
        <v>89</v>
      </c>
      <c r="J5774" s="2">
        <v>643</v>
      </c>
      <c r="K5774" s="2">
        <v>1</v>
      </c>
      <c r="L5774" s="2">
        <v>185</v>
      </c>
    </row>
    <row r="5775" spans="1:12" x14ac:dyDescent="0.25">
      <c r="A5775" s="4" t="str">
        <f>HYPERLINK("http://www.rosaceae.org/Prunus/Prunus_persica/p.persica_gdr_reftransV1_0007718","p.persica_gdr_reftransV1_0007718")</f>
        <v>p.persica_gdr_reftransV1_0007718</v>
      </c>
      <c r="B5775" s="2">
        <v>410</v>
      </c>
      <c r="C5775" s="4" t="str">
        <f>HYPERLINK("http://www.uniprot.org/uniprot/J7G586","J7G586")</f>
        <v>J7G586</v>
      </c>
      <c r="D5775" s="2" t="s">
        <v>298</v>
      </c>
      <c r="E5775" s="3">
        <v>2.7900000000000001E-36</v>
      </c>
      <c r="F5775" s="2">
        <v>356</v>
      </c>
      <c r="G5775" s="2">
        <v>57</v>
      </c>
      <c r="H5775" s="2">
        <v>136</v>
      </c>
      <c r="I5775" s="2">
        <v>2</v>
      </c>
      <c r="J5775" s="2">
        <v>409</v>
      </c>
      <c r="K5775" s="2">
        <v>150</v>
      </c>
      <c r="L5775" s="2">
        <v>285</v>
      </c>
    </row>
    <row r="5776" spans="1:12" x14ac:dyDescent="0.25">
      <c r="A5776" s="4" t="str">
        <f>HYPERLINK("http://www.rosaceae.org/Prunus/Prunus_persica/p.persica_gdr_reftransV1_0008068","p.persica_gdr_reftransV1_0008068")</f>
        <v>p.persica_gdr_reftransV1_0008068</v>
      </c>
      <c r="B5776" s="2">
        <v>2502</v>
      </c>
      <c r="C5776" s="4" t="str">
        <f>HYPERLINK("http://www.uniprot.org/uniprot/M5W972","M5W972")</f>
        <v>M5W972</v>
      </c>
      <c r="D5776" s="2" t="s">
        <v>4479</v>
      </c>
      <c r="E5776" s="3">
        <v>3.1800000000000003E-148</v>
      </c>
      <c r="F5776" s="2">
        <v>1191</v>
      </c>
      <c r="G5776" s="2">
        <v>100</v>
      </c>
      <c r="H5776" s="2">
        <v>227</v>
      </c>
      <c r="I5776" s="2">
        <v>1464</v>
      </c>
      <c r="J5776" s="2">
        <v>2144</v>
      </c>
      <c r="K5776" s="2">
        <v>432</v>
      </c>
      <c r="L5776" s="2">
        <v>658</v>
      </c>
    </row>
    <row r="5777" spans="1:12" x14ac:dyDescent="0.25">
      <c r="A5777" s="4" t="str">
        <f>HYPERLINK("http://www.rosaceae.org/Prunus/Prunus_persica/p.persica_gdr_reftransV1_0009118","p.persica_gdr_reftransV1_0009118")</f>
        <v>p.persica_gdr_reftransV1_0009118</v>
      </c>
      <c r="B5777" s="2">
        <v>1331</v>
      </c>
      <c r="C5777" s="4" t="str">
        <f>HYPERLINK("http://www.uniprot.org/uniprot/M5W311","M5W311")</f>
        <v>M5W311</v>
      </c>
      <c r="D5777" s="2" t="s">
        <v>5256</v>
      </c>
      <c r="E5777" s="3">
        <v>0</v>
      </c>
      <c r="F5777" s="2">
        <v>1419</v>
      </c>
      <c r="G5777" s="2">
        <v>100</v>
      </c>
      <c r="H5777" s="2">
        <v>270</v>
      </c>
      <c r="I5777" s="2">
        <v>458</v>
      </c>
      <c r="J5777" s="2">
        <v>1267</v>
      </c>
      <c r="K5777" s="2">
        <v>1</v>
      </c>
      <c r="L5777" s="2">
        <v>270</v>
      </c>
    </row>
    <row r="5778" spans="1:12" x14ac:dyDescent="0.25">
      <c r="A5778" s="4" t="str">
        <f>HYPERLINK("http://www.rosaceae.org/Prunus/Prunus_persica/p.persica_gdr_reftransV1_0009468","p.persica_gdr_reftransV1_0009468")</f>
        <v>p.persica_gdr_reftransV1_0009468</v>
      </c>
      <c r="B5778" s="2">
        <v>3966</v>
      </c>
      <c r="C5778" s="4" t="str">
        <f>HYPERLINK("http://www.uniprot.org/uniprot/M5WMG5","M5WMG5")</f>
        <v>M5WMG5</v>
      </c>
      <c r="D5778" s="2" t="s">
        <v>5257</v>
      </c>
      <c r="E5778" s="3">
        <v>0</v>
      </c>
      <c r="F5778" s="2">
        <v>5148</v>
      </c>
      <c r="G5778" s="2">
        <v>98</v>
      </c>
      <c r="H5778" s="2">
        <v>1036</v>
      </c>
      <c r="I5778" s="2">
        <v>745</v>
      </c>
      <c r="J5778" s="2">
        <v>3792</v>
      </c>
      <c r="K5778" s="2">
        <v>1</v>
      </c>
      <c r="L5778" s="2">
        <v>1036</v>
      </c>
    </row>
    <row r="5779" spans="1:12" x14ac:dyDescent="0.25">
      <c r="A5779" s="4" t="str">
        <f>HYPERLINK("http://www.rosaceae.org/Prunus/Prunus_persica/p.persica_gdr_reftransV1_0009818","p.persica_gdr_reftransV1_0009818")</f>
        <v>p.persica_gdr_reftransV1_0009818</v>
      </c>
      <c r="B5779" s="2">
        <v>2634</v>
      </c>
      <c r="C5779" s="4" t="str">
        <f>HYPERLINK("http://www.uniprot.org/uniprot/M5W7C8","M5W7C8")</f>
        <v>M5W7C8</v>
      </c>
      <c r="D5779" s="2" t="s">
        <v>5258</v>
      </c>
      <c r="E5779" s="3">
        <v>0</v>
      </c>
      <c r="F5779" s="2">
        <v>2071</v>
      </c>
      <c r="G5779" s="2">
        <v>100</v>
      </c>
      <c r="H5779" s="2">
        <v>455</v>
      </c>
      <c r="I5779" s="2">
        <v>1154</v>
      </c>
      <c r="J5779" s="2">
        <v>2518</v>
      </c>
      <c r="K5779" s="2">
        <v>1</v>
      </c>
      <c r="L5779" s="2">
        <v>455</v>
      </c>
    </row>
    <row r="5780" spans="1:12" x14ac:dyDescent="0.25">
      <c r="A5780" s="4" t="str">
        <f>HYPERLINK("http://www.rosaceae.org/Prunus/Prunus_persica/p.persica_gdr_reftransV1_0010868","p.persica_gdr_reftransV1_0010868")</f>
        <v>p.persica_gdr_reftransV1_0010868</v>
      </c>
      <c r="B5780" s="2">
        <v>1128</v>
      </c>
      <c r="C5780" s="4" t="str">
        <f>HYPERLINK("http://www.uniprot.org/uniprot/M5VVC9","M5VVC9")</f>
        <v>M5VVC9</v>
      </c>
      <c r="D5780" s="2" t="s">
        <v>2239</v>
      </c>
      <c r="E5780" s="3">
        <v>0</v>
      </c>
      <c r="F5780" s="2">
        <v>1816</v>
      </c>
      <c r="G5780" s="2">
        <v>100</v>
      </c>
      <c r="H5780" s="2">
        <v>358</v>
      </c>
      <c r="I5780" s="2">
        <v>3</v>
      </c>
      <c r="J5780" s="2">
        <v>1076</v>
      </c>
      <c r="K5780" s="2">
        <v>3</v>
      </c>
      <c r="L5780" s="2">
        <v>360</v>
      </c>
    </row>
    <row r="5781" spans="1:12" x14ac:dyDescent="0.25">
      <c r="A5781" s="4" t="str">
        <f>HYPERLINK("http://www.rosaceae.org/Prunus/Prunus_persica/p.persica_gdr_reftransV1_0012968","p.persica_gdr_reftransV1_0012968")</f>
        <v>p.persica_gdr_reftransV1_0012968</v>
      </c>
      <c r="B5781" s="2">
        <v>771</v>
      </c>
      <c r="C5781" s="4" t="str">
        <f>HYPERLINK("http://www.uniprot.org/uniprot/M5WPJ5","M5WPJ5")</f>
        <v>M5WPJ5</v>
      </c>
      <c r="D5781" s="2" t="s">
        <v>5259</v>
      </c>
      <c r="E5781" s="3">
        <v>2.71E-117</v>
      </c>
      <c r="F5781" s="2">
        <v>885</v>
      </c>
      <c r="G5781" s="2">
        <v>100</v>
      </c>
      <c r="H5781" s="2">
        <v>181</v>
      </c>
      <c r="I5781" s="2">
        <v>129</v>
      </c>
      <c r="J5781" s="2">
        <v>671</v>
      </c>
      <c r="K5781" s="2">
        <v>1</v>
      </c>
      <c r="L5781" s="2">
        <v>181</v>
      </c>
    </row>
    <row r="5782" spans="1:12" x14ac:dyDescent="0.25">
      <c r="A5782" s="4" t="str">
        <f>HYPERLINK("http://www.rosaceae.org/Prunus/Prunus_persica/p.persica_gdr_reftransV1_0013668","p.persica_gdr_reftransV1_0013668")</f>
        <v>p.persica_gdr_reftransV1_0013668</v>
      </c>
      <c r="B5782" s="2">
        <v>556</v>
      </c>
      <c r="C5782" s="4" t="str">
        <f>HYPERLINK("http://www.uniprot.org/uniprot/M5VJN5","M5VJN5")</f>
        <v>M5VJN5</v>
      </c>
      <c r="D5782" s="2" t="s">
        <v>5260</v>
      </c>
      <c r="E5782" s="3">
        <v>3.5099999999999997E-119</v>
      </c>
      <c r="F5782" s="2">
        <v>950</v>
      </c>
      <c r="G5782" s="2">
        <v>100</v>
      </c>
      <c r="H5782" s="2">
        <v>185</v>
      </c>
      <c r="I5782" s="2">
        <v>2</v>
      </c>
      <c r="J5782" s="2">
        <v>556</v>
      </c>
      <c r="K5782" s="2">
        <v>313</v>
      </c>
      <c r="L5782" s="2">
        <v>497</v>
      </c>
    </row>
    <row r="5783" spans="1:12" x14ac:dyDescent="0.25">
      <c r="A5783" s="4" t="str">
        <f>HYPERLINK("http://www.rosaceae.org/Prunus/Prunus_persica/p.persica_gdr_reftransV1_0014718","p.persica_gdr_reftransV1_0014718")</f>
        <v>p.persica_gdr_reftransV1_0014718</v>
      </c>
      <c r="B5783" s="2">
        <v>1743</v>
      </c>
      <c r="C5783" s="4" t="str">
        <f>HYPERLINK("http://www.uniprot.org/uniprot/M5WSV8","M5WSV8")</f>
        <v>M5WSV8</v>
      </c>
      <c r="D5783" s="2" t="s">
        <v>5261</v>
      </c>
      <c r="E5783" s="3">
        <v>0</v>
      </c>
      <c r="F5783" s="2">
        <v>2248</v>
      </c>
      <c r="G5783" s="2">
        <v>100</v>
      </c>
      <c r="H5783" s="2">
        <v>453</v>
      </c>
      <c r="I5783" s="2">
        <v>210</v>
      </c>
      <c r="J5783" s="2">
        <v>1568</v>
      </c>
      <c r="K5783" s="2">
        <v>1</v>
      </c>
      <c r="L5783" s="2">
        <v>453</v>
      </c>
    </row>
    <row r="5784" spans="1:12" x14ac:dyDescent="0.25">
      <c r="A5784" s="4" t="str">
        <f>HYPERLINK("http://www.rosaceae.org/Prunus/Prunus_persica/p.persica_gdr_reftransV1_0015068","p.persica_gdr_reftransV1_0015068")</f>
        <v>p.persica_gdr_reftransV1_0015068</v>
      </c>
      <c r="B5784" s="2">
        <v>3089</v>
      </c>
      <c r="C5784" s="4" t="str">
        <f>HYPERLINK("http://www.uniprot.org/uniprot/M5WQZ2","M5WQZ2")</f>
        <v>M5WQZ2</v>
      </c>
      <c r="D5784" s="2" t="s">
        <v>1480</v>
      </c>
      <c r="E5784" s="3">
        <v>0</v>
      </c>
      <c r="F5784" s="2">
        <v>4926</v>
      </c>
      <c r="G5784" s="2">
        <v>99</v>
      </c>
      <c r="H5784" s="2">
        <v>1029</v>
      </c>
      <c r="I5784" s="2">
        <v>2</v>
      </c>
      <c r="J5784" s="2">
        <v>3088</v>
      </c>
      <c r="K5784" s="2">
        <v>936</v>
      </c>
      <c r="L5784" s="2">
        <v>1952</v>
      </c>
    </row>
    <row r="5785" spans="1:12" x14ac:dyDescent="0.25">
      <c r="A5785" s="4" t="str">
        <f>HYPERLINK("http://www.rosaceae.org/Prunus/Prunus_persica/p.persica_gdr_reftransV1_0016118","p.persica_gdr_reftransV1_0016118")</f>
        <v>p.persica_gdr_reftransV1_0016118</v>
      </c>
      <c r="B5785" s="2">
        <v>687</v>
      </c>
      <c r="C5785" s="4" t="str">
        <f>HYPERLINK("http://www.uniprot.org/uniprot/M5W7A0","M5W7A0")</f>
        <v>M5W7A0</v>
      </c>
      <c r="D5785" s="2" t="s">
        <v>567</v>
      </c>
      <c r="E5785" s="3">
        <v>7.52E-118</v>
      </c>
      <c r="F5785" s="2">
        <v>962</v>
      </c>
      <c r="G5785" s="2">
        <v>100</v>
      </c>
      <c r="H5785" s="2">
        <v>200</v>
      </c>
      <c r="I5785" s="2">
        <v>87</v>
      </c>
      <c r="J5785" s="2">
        <v>686</v>
      </c>
      <c r="K5785" s="2">
        <v>1</v>
      </c>
      <c r="L5785" s="2">
        <v>200</v>
      </c>
    </row>
    <row r="5786" spans="1:12" x14ac:dyDescent="0.25">
      <c r="A5786" s="4" t="str">
        <f>HYPERLINK("http://www.rosaceae.org/Prunus/Prunus_persica/p.persica_gdr_reftransV1_0016818","p.persica_gdr_reftransV1_0016818")</f>
        <v>p.persica_gdr_reftransV1_0016818</v>
      </c>
      <c r="B5786" s="2">
        <v>1539</v>
      </c>
      <c r="C5786" s="4" t="str">
        <f>HYPERLINK("http://www.uniprot.org/uniprot/M5W4K9","M5W4K9")</f>
        <v>M5W4K9</v>
      </c>
      <c r="D5786" s="2" t="s">
        <v>4054</v>
      </c>
      <c r="E5786" s="3">
        <v>2.8599999999999999E-131</v>
      </c>
      <c r="F5786" s="2">
        <v>1006</v>
      </c>
      <c r="G5786" s="2">
        <v>100</v>
      </c>
      <c r="H5786" s="2">
        <v>189</v>
      </c>
      <c r="I5786" s="2">
        <v>364</v>
      </c>
      <c r="J5786" s="2">
        <v>930</v>
      </c>
      <c r="K5786" s="2">
        <v>19</v>
      </c>
      <c r="L5786" s="2">
        <v>207</v>
      </c>
    </row>
    <row r="5787" spans="1:12" x14ac:dyDescent="0.25">
      <c r="A5787" s="4" t="str">
        <f>HYPERLINK("http://www.rosaceae.org/Prunus/Prunus_persica/p.persica_gdr_reftransV1_0017168","p.persica_gdr_reftransV1_0017168")</f>
        <v>p.persica_gdr_reftransV1_0017168</v>
      </c>
      <c r="B5787" s="2">
        <v>2123</v>
      </c>
      <c r="C5787" s="4" t="str">
        <f>HYPERLINK("http://www.uniprot.org/uniprot/M5XF00","M5XF00")</f>
        <v>M5XF00</v>
      </c>
      <c r="D5787" s="2" t="s">
        <v>2615</v>
      </c>
      <c r="E5787" s="3">
        <v>0</v>
      </c>
      <c r="F5787" s="2">
        <v>2476</v>
      </c>
      <c r="G5787" s="2">
        <v>100</v>
      </c>
      <c r="H5787" s="2">
        <v>476</v>
      </c>
      <c r="I5787" s="2">
        <v>473</v>
      </c>
      <c r="J5787" s="2">
        <v>1900</v>
      </c>
      <c r="K5787" s="2">
        <v>1</v>
      </c>
      <c r="L5787" s="2">
        <v>476</v>
      </c>
    </row>
    <row r="5788" spans="1:12" x14ac:dyDescent="0.25">
      <c r="A5788" s="4" t="str">
        <f>HYPERLINK("http://www.rosaceae.org/Prunus/Prunus_persica/p.persica_gdr_reftransV1_0017518","p.persica_gdr_reftransV1_0017518")</f>
        <v>p.persica_gdr_reftransV1_0017518</v>
      </c>
      <c r="B5788" s="2">
        <v>573</v>
      </c>
      <c r="C5788" s="4" t="str">
        <f>HYPERLINK("http://www.uniprot.org/uniprot/A0A067LCI3","A0A067LCI3")</f>
        <v>A0A067LCI3</v>
      </c>
      <c r="D5788" s="2" t="s">
        <v>5262</v>
      </c>
      <c r="E5788" s="3">
        <v>1.69E-22</v>
      </c>
      <c r="F5788" s="2">
        <v>260</v>
      </c>
      <c r="G5788" s="2">
        <v>46</v>
      </c>
      <c r="H5788" s="2">
        <v>122</v>
      </c>
      <c r="I5788" s="2">
        <v>1</v>
      </c>
      <c r="J5788" s="2">
        <v>315</v>
      </c>
      <c r="K5788" s="2">
        <v>1</v>
      </c>
      <c r="L5788" s="2">
        <v>120</v>
      </c>
    </row>
    <row r="5789" spans="1:12" x14ac:dyDescent="0.25">
      <c r="A5789" s="4" t="str">
        <f>HYPERLINK("http://www.rosaceae.org/Prunus/Prunus_persica/p.persica_gdr_reftransV1_0017868","p.persica_gdr_reftransV1_0017868")</f>
        <v>p.persica_gdr_reftransV1_0017868</v>
      </c>
      <c r="B5789" s="2">
        <v>2150</v>
      </c>
      <c r="C5789" s="4" t="str">
        <f>HYPERLINK("http://www.uniprot.org/uniprot/M5WCQ1","M5WCQ1")</f>
        <v>M5WCQ1</v>
      </c>
      <c r="D5789" s="2" t="s">
        <v>5263</v>
      </c>
      <c r="E5789" s="3">
        <v>1.37E-116</v>
      </c>
      <c r="F5789" s="2">
        <v>927</v>
      </c>
      <c r="G5789" s="2">
        <v>100</v>
      </c>
      <c r="H5789" s="2">
        <v>209</v>
      </c>
      <c r="I5789" s="2">
        <v>1386</v>
      </c>
      <c r="J5789" s="2">
        <v>2012</v>
      </c>
      <c r="K5789" s="2">
        <v>1</v>
      </c>
      <c r="L5789" s="2">
        <v>209</v>
      </c>
    </row>
    <row r="5790" spans="1:12" x14ac:dyDescent="0.25">
      <c r="A5790" s="4" t="str">
        <f>HYPERLINK("http://www.rosaceae.org/Prunus/Prunus_persica/p.persica_gdr_reftransV1_0018918","p.persica_gdr_reftransV1_0018918")</f>
        <v>p.persica_gdr_reftransV1_0018918</v>
      </c>
      <c r="B5790" s="2">
        <v>989</v>
      </c>
      <c r="C5790" s="4" t="str">
        <f>HYPERLINK("http://www.uniprot.org/uniprot/M5W0T9","M5W0T9")</f>
        <v>M5W0T9</v>
      </c>
      <c r="D5790" s="2" t="s">
        <v>5264</v>
      </c>
      <c r="E5790" s="3">
        <v>1.3100000000000001E-68</v>
      </c>
      <c r="F5790" s="2">
        <v>565</v>
      </c>
      <c r="G5790" s="2">
        <v>100</v>
      </c>
      <c r="H5790" s="2">
        <v>131</v>
      </c>
      <c r="I5790" s="2">
        <v>1</v>
      </c>
      <c r="J5790" s="2">
        <v>393</v>
      </c>
      <c r="K5790" s="2">
        <v>2</v>
      </c>
      <c r="L5790" s="2">
        <v>132</v>
      </c>
    </row>
    <row r="5791" spans="1:12" x14ac:dyDescent="0.25">
      <c r="A5791" s="4" t="str">
        <f>HYPERLINK("http://www.rosaceae.org/Prunus/Prunus_persica/p.persica_gdr_reftransV1_0019268","p.persica_gdr_reftransV1_0019268")</f>
        <v>p.persica_gdr_reftransV1_0019268</v>
      </c>
      <c r="B5791" s="2">
        <v>2555</v>
      </c>
      <c r="C5791" s="4" t="str">
        <f>HYPERLINK("http://www.uniprot.org/uniprot/A0A059AFS8","A0A059AFS8")</f>
        <v>A0A059AFS8</v>
      </c>
      <c r="D5791" s="2" t="s">
        <v>5265</v>
      </c>
      <c r="E5791" s="3">
        <v>0</v>
      </c>
      <c r="F5791" s="2">
        <v>1503</v>
      </c>
      <c r="G5791" s="2">
        <v>66</v>
      </c>
      <c r="H5791" s="2">
        <v>470</v>
      </c>
      <c r="I5791" s="2">
        <v>127</v>
      </c>
      <c r="J5791" s="2">
        <v>1536</v>
      </c>
      <c r="K5791" s="2">
        <v>1</v>
      </c>
      <c r="L5791" s="2">
        <v>413</v>
      </c>
    </row>
    <row r="5792" spans="1:12" x14ac:dyDescent="0.25">
      <c r="A5792" s="4" t="str">
        <f>HYPERLINK("http://www.rosaceae.org/Prunus/Prunus_persica/p.persica_gdr_reftransV1_0019618","p.persica_gdr_reftransV1_0019618")</f>
        <v>p.persica_gdr_reftransV1_0019618</v>
      </c>
      <c r="B5792" s="2">
        <v>4203</v>
      </c>
      <c r="C5792" s="4" t="str">
        <f>HYPERLINK("http://www.uniprot.org/uniprot/M5WJB8","M5WJB8")</f>
        <v>M5WJB8</v>
      </c>
      <c r="D5792" s="2" t="s">
        <v>200</v>
      </c>
      <c r="E5792" s="3">
        <v>0</v>
      </c>
      <c r="F5792" s="2">
        <v>5653</v>
      </c>
      <c r="G5792" s="2">
        <v>95</v>
      </c>
      <c r="H5792" s="2">
        <v>1155</v>
      </c>
      <c r="I5792" s="2">
        <v>334</v>
      </c>
      <c r="J5792" s="2">
        <v>3687</v>
      </c>
      <c r="K5792" s="2">
        <v>1</v>
      </c>
      <c r="L5792" s="2">
        <v>1145</v>
      </c>
    </row>
    <row r="5793" spans="1:12" x14ac:dyDescent="0.25">
      <c r="A5793" s="4" t="str">
        <f>HYPERLINK("http://www.rosaceae.org/Prunus/Prunus_persica/p.persica_gdr_reftransV1_0019968","p.persica_gdr_reftransV1_0019968")</f>
        <v>p.persica_gdr_reftransV1_0019968</v>
      </c>
      <c r="B5793" s="2">
        <v>3864</v>
      </c>
      <c r="C5793" s="4" t="str">
        <f>HYPERLINK("http://www.uniprot.org/uniprot/M5W5A9","M5W5A9")</f>
        <v>M5W5A9</v>
      </c>
      <c r="D5793" s="2" t="s">
        <v>5266</v>
      </c>
      <c r="E5793" s="3">
        <v>0</v>
      </c>
      <c r="F5793" s="2">
        <v>2530</v>
      </c>
      <c r="G5793" s="2">
        <v>95</v>
      </c>
      <c r="H5793" s="2">
        <v>510</v>
      </c>
      <c r="I5793" s="2">
        <v>1931</v>
      </c>
      <c r="J5793" s="2">
        <v>3460</v>
      </c>
      <c r="K5793" s="2">
        <v>330</v>
      </c>
      <c r="L5793" s="2">
        <v>816</v>
      </c>
    </row>
    <row r="5794" spans="1:12" x14ac:dyDescent="0.25">
      <c r="A5794" s="4" t="str">
        <f>HYPERLINK("http://www.rosaceae.org/Prunus/Prunus_persica/p.persica_gdr_reftransV1_0020318","p.persica_gdr_reftransV1_0020318")</f>
        <v>p.persica_gdr_reftransV1_0020318</v>
      </c>
      <c r="B5794" s="2">
        <v>642</v>
      </c>
      <c r="C5794" s="4" t="str">
        <f>HYPERLINK("http://www.uniprot.org/uniprot/M5WHP0","M5WHP0")</f>
        <v>M5WHP0</v>
      </c>
      <c r="D5794" s="2" t="s">
        <v>4202</v>
      </c>
      <c r="E5794" s="3">
        <v>9.3600000000000004E-93</v>
      </c>
      <c r="F5794" s="2">
        <v>743</v>
      </c>
      <c r="G5794" s="2">
        <v>100</v>
      </c>
      <c r="H5794" s="2">
        <v>169</v>
      </c>
      <c r="I5794" s="2">
        <v>135</v>
      </c>
      <c r="J5794" s="2">
        <v>641</v>
      </c>
      <c r="K5794" s="2">
        <v>21</v>
      </c>
      <c r="L5794" s="2">
        <v>189</v>
      </c>
    </row>
    <row r="5795" spans="1:12" x14ac:dyDescent="0.25">
      <c r="A5795" s="4" t="str">
        <f>HYPERLINK("http://www.rosaceae.org/Prunus/Prunus_persica/p.persica_gdr_reftransV1_0020668","p.persica_gdr_reftransV1_0020668")</f>
        <v>p.persica_gdr_reftransV1_0020668</v>
      </c>
      <c r="B5795" s="2">
        <v>3983</v>
      </c>
      <c r="C5795" s="4" t="str">
        <f>HYPERLINK("http://www.uniprot.org/uniprot/M5X2I6","M5X2I6")</f>
        <v>M5X2I6</v>
      </c>
      <c r="D5795" s="2" t="s">
        <v>5267</v>
      </c>
      <c r="E5795" s="3">
        <v>0</v>
      </c>
      <c r="F5795" s="2">
        <v>1740</v>
      </c>
      <c r="G5795" s="2">
        <v>100</v>
      </c>
      <c r="H5795" s="2">
        <v>402</v>
      </c>
      <c r="I5795" s="2">
        <v>2681</v>
      </c>
      <c r="J5795" s="2">
        <v>3886</v>
      </c>
      <c r="K5795" s="2">
        <v>1</v>
      </c>
      <c r="L5795" s="2">
        <v>402</v>
      </c>
    </row>
    <row r="5796" spans="1:12" x14ac:dyDescent="0.25">
      <c r="A5796" s="4" t="str">
        <f>HYPERLINK("http://www.rosaceae.org/Prunus/Prunus_persica/p.persica_gdr_reftransV1_0021368","p.persica_gdr_reftransV1_0021368")</f>
        <v>p.persica_gdr_reftransV1_0021368</v>
      </c>
      <c r="B5796" s="2">
        <v>1122</v>
      </c>
      <c r="C5796" s="4" t="str">
        <f>HYPERLINK("http://www.uniprot.org/uniprot/M5WHC8","M5WHC8")</f>
        <v>M5WHC8</v>
      </c>
      <c r="D5796" s="2" t="s">
        <v>5268</v>
      </c>
      <c r="E5796" s="3">
        <v>3.1800000000000001E-156</v>
      </c>
      <c r="F5796" s="2">
        <v>1161</v>
      </c>
      <c r="G5796" s="2">
        <v>86</v>
      </c>
      <c r="H5796" s="2">
        <v>263</v>
      </c>
      <c r="I5796" s="2">
        <v>226</v>
      </c>
      <c r="J5796" s="2">
        <v>1014</v>
      </c>
      <c r="K5796" s="2">
        <v>15</v>
      </c>
      <c r="L5796" s="2">
        <v>241</v>
      </c>
    </row>
    <row r="5797" spans="1:12" x14ac:dyDescent="0.25">
      <c r="A5797" s="4" t="str">
        <f>HYPERLINK("http://www.rosaceae.org/Prunus/Prunus_persica/p.persica_gdr_reftransV1_0022068","p.persica_gdr_reftransV1_0022068")</f>
        <v>p.persica_gdr_reftransV1_0022068</v>
      </c>
      <c r="B5797" s="2">
        <v>2675</v>
      </c>
      <c r="C5797" s="4" t="str">
        <f>HYPERLINK("http://www.uniprot.org/uniprot/M5VVT5","M5VVT5")</f>
        <v>M5VVT5</v>
      </c>
      <c r="D5797" s="2" t="s">
        <v>5269</v>
      </c>
      <c r="E5797" s="3">
        <v>1.2399999999999999E-165</v>
      </c>
      <c r="F5797" s="2">
        <v>1302</v>
      </c>
      <c r="G5797" s="2">
        <v>100</v>
      </c>
      <c r="H5797" s="2">
        <v>245</v>
      </c>
      <c r="I5797" s="2">
        <v>1345</v>
      </c>
      <c r="J5797" s="2">
        <v>2079</v>
      </c>
      <c r="K5797" s="2">
        <v>190</v>
      </c>
      <c r="L5797" s="2">
        <v>434</v>
      </c>
    </row>
    <row r="5798" spans="1:12" x14ac:dyDescent="0.25">
      <c r="A5798" s="4" t="str">
        <f>HYPERLINK("http://www.rosaceae.org/Prunus/Prunus_persica/p.persica_gdr_reftransV1_0022418","p.persica_gdr_reftransV1_0022418")</f>
        <v>p.persica_gdr_reftransV1_0022418</v>
      </c>
      <c r="B5798" s="2">
        <v>2922</v>
      </c>
      <c r="C5798" s="4" t="str">
        <f>HYPERLINK("http://www.uniprot.org/uniprot/M4QEJ8","M4QEJ8")</f>
        <v>M4QEJ8</v>
      </c>
      <c r="D5798" s="2" t="s">
        <v>5270</v>
      </c>
      <c r="E5798" s="3">
        <v>2.8300000000000001E-160</v>
      </c>
      <c r="F5798" s="2">
        <v>1260</v>
      </c>
      <c r="G5798" s="2">
        <v>100</v>
      </c>
      <c r="H5798" s="2">
        <v>246</v>
      </c>
      <c r="I5798" s="2">
        <v>594</v>
      </c>
      <c r="J5798" s="2">
        <v>1331</v>
      </c>
      <c r="K5798" s="2">
        <v>1</v>
      </c>
      <c r="L5798" s="2">
        <v>246</v>
      </c>
    </row>
    <row r="5799" spans="1:12" x14ac:dyDescent="0.25">
      <c r="A5799" s="4" t="str">
        <f>HYPERLINK("http://www.rosaceae.org/Prunus/Prunus_persica/p.persica_gdr_reftransV1_0022768","p.persica_gdr_reftransV1_0022768")</f>
        <v>p.persica_gdr_reftransV1_0022768</v>
      </c>
      <c r="B5799" s="2">
        <v>3298</v>
      </c>
      <c r="C5799" s="4" t="str">
        <f>HYPERLINK("http://www.uniprot.org/uniprot/M5XH26","M5XH26")</f>
        <v>M5XH26</v>
      </c>
      <c r="D5799" s="2" t="s">
        <v>5271</v>
      </c>
      <c r="E5799" s="3">
        <v>0</v>
      </c>
      <c r="F5799" s="2">
        <v>3509</v>
      </c>
      <c r="G5799" s="2">
        <v>100</v>
      </c>
      <c r="H5799" s="2">
        <v>655</v>
      </c>
      <c r="I5799" s="2">
        <v>429</v>
      </c>
      <c r="J5799" s="2">
        <v>2393</v>
      </c>
      <c r="K5799" s="2">
        <v>14</v>
      </c>
      <c r="L5799" s="2">
        <v>668</v>
      </c>
    </row>
    <row r="5800" spans="1:12" x14ac:dyDescent="0.25">
      <c r="A5800" s="4" t="str">
        <f>HYPERLINK("http://www.rosaceae.org/Prunus/Prunus_persica/p.persica_gdr_reftransV1_0024518","p.persica_gdr_reftransV1_0024518")</f>
        <v>p.persica_gdr_reftransV1_0024518</v>
      </c>
      <c r="B5800" s="2">
        <v>2220</v>
      </c>
      <c r="C5800" s="4" t="str">
        <f>HYPERLINK("http://www.uniprot.org/uniprot/M5WP78","M5WP78")</f>
        <v>M5WP78</v>
      </c>
      <c r="D5800" s="2" t="s">
        <v>5272</v>
      </c>
      <c r="E5800" s="3">
        <v>0</v>
      </c>
      <c r="F5800" s="2">
        <v>1974</v>
      </c>
      <c r="G5800" s="2">
        <v>100</v>
      </c>
      <c r="H5800" s="2">
        <v>525</v>
      </c>
      <c r="I5800" s="2">
        <v>526</v>
      </c>
      <c r="J5800" s="2">
        <v>2100</v>
      </c>
      <c r="K5800" s="2">
        <v>1</v>
      </c>
      <c r="L5800" s="2">
        <v>525</v>
      </c>
    </row>
    <row r="5801" spans="1:12" x14ac:dyDescent="0.25">
      <c r="A5801" s="4" t="str">
        <f>HYPERLINK("http://www.rosaceae.org/Prunus/Prunus_persica/p.persica_gdr_reftransV1_0024868","p.persica_gdr_reftransV1_0024868")</f>
        <v>p.persica_gdr_reftransV1_0024868</v>
      </c>
      <c r="B5801" s="2">
        <v>955</v>
      </c>
      <c r="C5801" s="4" t="str">
        <f>HYPERLINK("http://www.uniprot.org/uniprot/M5XGP8","M5XGP8")</f>
        <v>M5XGP8</v>
      </c>
      <c r="D5801" s="2" t="s">
        <v>5147</v>
      </c>
      <c r="E5801" s="3">
        <v>4.7400000000000001E-175</v>
      </c>
      <c r="F5801" s="2">
        <v>1314</v>
      </c>
      <c r="G5801" s="2">
        <v>100</v>
      </c>
      <c r="H5801" s="2">
        <v>246</v>
      </c>
      <c r="I5801" s="2">
        <v>3</v>
      </c>
      <c r="J5801" s="2">
        <v>740</v>
      </c>
      <c r="K5801" s="2">
        <v>364</v>
      </c>
      <c r="L5801" s="2">
        <v>609</v>
      </c>
    </row>
    <row r="5802" spans="1:12" x14ac:dyDescent="0.25">
      <c r="A5802" s="4" t="str">
        <f>HYPERLINK("http://www.rosaceae.org/Prunus/Prunus_persica/p.persica_gdr_reftransV1_0025918","p.persica_gdr_reftransV1_0025918")</f>
        <v>p.persica_gdr_reftransV1_0025918</v>
      </c>
      <c r="B5802" s="2">
        <v>1011</v>
      </c>
      <c r="C5802" s="4" t="str">
        <f>HYPERLINK("http://www.uniprot.org/uniprot/M5WAJ2","M5WAJ2")</f>
        <v>M5WAJ2</v>
      </c>
      <c r="D5802" s="2" t="s">
        <v>5273</v>
      </c>
      <c r="E5802" s="3">
        <v>0</v>
      </c>
      <c r="F5802" s="2">
        <v>1568</v>
      </c>
      <c r="G5802" s="2">
        <v>100</v>
      </c>
      <c r="H5802" s="2">
        <v>287</v>
      </c>
      <c r="I5802" s="2">
        <v>57</v>
      </c>
      <c r="J5802" s="2">
        <v>917</v>
      </c>
      <c r="K5802" s="2">
        <v>1</v>
      </c>
      <c r="L5802" s="2">
        <v>287</v>
      </c>
    </row>
    <row r="5803" spans="1:12" x14ac:dyDescent="0.25">
      <c r="A5803" s="4" t="str">
        <f>HYPERLINK("http://www.rosaceae.org/Prunus/Prunus_persica/p.persica_gdr_reftransV1_0027318","p.persica_gdr_reftransV1_0027318")</f>
        <v>p.persica_gdr_reftransV1_0027318</v>
      </c>
      <c r="B5803" s="2">
        <v>1341</v>
      </c>
      <c r="C5803" s="4" t="str">
        <f>HYPERLINK("http://www.uniprot.org/uniprot/M5W0R5","M5W0R5")</f>
        <v>M5W0R5</v>
      </c>
      <c r="D5803" s="2" t="s">
        <v>5274</v>
      </c>
      <c r="E5803" s="3">
        <v>4.5199999999999997E-129</v>
      </c>
      <c r="F5803" s="2">
        <v>990</v>
      </c>
      <c r="G5803" s="2">
        <v>100</v>
      </c>
      <c r="H5803" s="2">
        <v>257</v>
      </c>
      <c r="I5803" s="2">
        <v>310</v>
      </c>
      <c r="J5803" s="2">
        <v>1080</v>
      </c>
      <c r="K5803" s="2">
        <v>1</v>
      </c>
      <c r="L5803" s="2">
        <v>257</v>
      </c>
    </row>
    <row r="5804" spans="1:12" x14ac:dyDescent="0.25">
      <c r="A5804" s="4" t="str">
        <f>HYPERLINK("http://www.rosaceae.org/Prunus/Prunus_persica/p.persica_gdr_reftransV1_0027668","p.persica_gdr_reftransV1_0027668")</f>
        <v>p.persica_gdr_reftransV1_0027668</v>
      </c>
      <c r="B5804" s="2">
        <v>603</v>
      </c>
      <c r="C5804" s="4" t="str">
        <f>HYPERLINK("http://www.uniprot.org/uniprot/M5WC30","M5WC30")</f>
        <v>M5WC30</v>
      </c>
      <c r="D5804" s="2" t="s">
        <v>879</v>
      </c>
      <c r="E5804" s="3">
        <v>7.0900000000000004E-122</v>
      </c>
      <c r="F5804" s="2">
        <v>937</v>
      </c>
      <c r="G5804" s="2">
        <v>100</v>
      </c>
      <c r="H5804" s="2">
        <v>170</v>
      </c>
      <c r="I5804" s="2">
        <v>94</v>
      </c>
      <c r="J5804" s="2">
        <v>603</v>
      </c>
      <c r="K5804" s="2">
        <v>1</v>
      </c>
      <c r="L5804" s="2">
        <v>170</v>
      </c>
    </row>
    <row r="5805" spans="1:12" x14ac:dyDescent="0.25">
      <c r="A5805" s="4" t="str">
        <f>HYPERLINK("http://www.rosaceae.org/Prunus/Prunus_persica/p.persica_gdr_reftransV1_0028718","p.persica_gdr_reftransV1_0028718")</f>
        <v>p.persica_gdr_reftransV1_0028718</v>
      </c>
      <c r="B5805" s="2">
        <v>1714</v>
      </c>
      <c r="C5805" s="4" t="str">
        <f>HYPERLINK("http://www.uniprot.org/uniprot/M5XTS1","M5XTS1")</f>
        <v>M5XTS1</v>
      </c>
      <c r="D5805" s="2" t="s">
        <v>5275</v>
      </c>
      <c r="E5805" s="3">
        <v>1.5999999999999999E-71</v>
      </c>
      <c r="F5805" s="2">
        <v>613</v>
      </c>
      <c r="G5805" s="2">
        <v>99</v>
      </c>
      <c r="H5805" s="2">
        <v>115</v>
      </c>
      <c r="I5805" s="2">
        <v>211</v>
      </c>
      <c r="J5805" s="2">
        <v>555</v>
      </c>
      <c r="K5805" s="2">
        <v>1</v>
      </c>
      <c r="L5805" s="2">
        <v>115</v>
      </c>
    </row>
    <row r="5806" spans="1:12" x14ac:dyDescent="0.25">
      <c r="A5806" s="4" t="str">
        <f>HYPERLINK("http://www.rosaceae.org/Prunus/Prunus_persica/p.persica_gdr_reftransV1_0030118","p.persica_gdr_reftransV1_0030118")</f>
        <v>p.persica_gdr_reftransV1_0030118</v>
      </c>
      <c r="B5806" s="2">
        <v>2248</v>
      </c>
      <c r="C5806" s="4" t="str">
        <f>HYPERLINK("http://www.uniprot.org/uniprot/M5VNS8","M5VNS8")</f>
        <v>M5VNS8</v>
      </c>
      <c r="D5806" s="2" t="s">
        <v>5276</v>
      </c>
      <c r="E5806" s="3">
        <v>1.38E-84</v>
      </c>
      <c r="F5806" s="2">
        <v>725</v>
      </c>
      <c r="G5806" s="2">
        <v>100</v>
      </c>
      <c r="H5806" s="2">
        <v>155</v>
      </c>
      <c r="I5806" s="2">
        <v>1614</v>
      </c>
      <c r="J5806" s="2">
        <v>2078</v>
      </c>
      <c r="K5806" s="2">
        <v>206</v>
      </c>
      <c r="L5806" s="2">
        <v>360</v>
      </c>
    </row>
    <row r="5807" spans="1:12" x14ac:dyDescent="0.25">
      <c r="A5807" s="4" t="str">
        <f>HYPERLINK("http://www.rosaceae.org/Prunus/Prunus_persica/p.persica_gdr_reftransV1_0030468","p.persica_gdr_reftransV1_0030468")</f>
        <v>p.persica_gdr_reftransV1_0030468</v>
      </c>
      <c r="B5807" s="2">
        <v>2337</v>
      </c>
      <c r="C5807" s="4" t="str">
        <f>HYPERLINK("http://www.uniprot.org/uniprot/M5XH10","M5XH10")</f>
        <v>M5XH10</v>
      </c>
      <c r="D5807" s="2" t="s">
        <v>5277</v>
      </c>
      <c r="E5807" s="3">
        <v>1.1E-132</v>
      </c>
      <c r="F5807" s="2">
        <v>1039</v>
      </c>
      <c r="G5807" s="2">
        <v>100</v>
      </c>
      <c r="H5807" s="2">
        <v>209</v>
      </c>
      <c r="I5807" s="2">
        <v>543</v>
      </c>
      <c r="J5807" s="2">
        <v>1169</v>
      </c>
      <c r="K5807" s="2">
        <v>1</v>
      </c>
      <c r="L5807" s="2">
        <v>209</v>
      </c>
    </row>
    <row r="5808" spans="1:12" x14ac:dyDescent="0.25">
      <c r="A5808" s="4" t="str">
        <f>HYPERLINK("http://www.rosaceae.org/Prunus/Prunus_persica/p.persica_gdr_reftransV1_0031518","p.persica_gdr_reftransV1_0031518")</f>
        <v>p.persica_gdr_reftransV1_0031518</v>
      </c>
      <c r="B5808" s="2">
        <v>2865</v>
      </c>
      <c r="C5808" s="4" t="str">
        <f>HYPERLINK("http://www.uniprot.org/uniprot/A0A067KB43","A0A067KB43")</f>
        <v>A0A067KB43</v>
      </c>
      <c r="D5808" s="2" t="s">
        <v>5278</v>
      </c>
      <c r="E5808" s="3">
        <v>2.4700000000000001E-57</v>
      </c>
      <c r="F5808" s="2">
        <v>536</v>
      </c>
      <c r="G5808" s="2">
        <v>67</v>
      </c>
      <c r="H5808" s="2">
        <v>151</v>
      </c>
      <c r="I5808" s="2">
        <v>2348</v>
      </c>
      <c r="J5808" s="2">
        <v>2800</v>
      </c>
      <c r="K5808" s="2">
        <v>3</v>
      </c>
      <c r="L5808" s="2">
        <v>152</v>
      </c>
    </row>
    <row r="5809" spans="1:12" x14ac:dyDescent="0.25">
      <c r="A5809" s="4" t="str">
        <f>HYPERLINK("http://www.rosaceae.org/Prunus/Prunus_persica/p.persica_gdr_reftransV1_0031868","p.persica_gdr_reftransV1_0031868")</f>
        <v>p.persica_gdr_reftransV1_0031868</v>
      </c>
      <c r="B5809" s="2">
        <v>1903</v>
      </c>
      <c r="C5809" s="4" t="str">
        <f>HYPERLINK("http://www.uniprot.org/uniprot/M5VR33","M5VR33")</f>
        <v>M5VR33</v>
      </c>
      <c r="D5809" s="2" t="s">
        <v>5279</v>
      </c>
      <c r="E5809" s="3">
        <v>1.29E-139</v>
      </c>
      <c r="F5809" s="2">
        <v>1066</v>
      </c>
      <c r="G5809" s="2">
        <v>100</v>
      </c>
      <c r="H5809" s="2">
        <v>243</v>
      </c>
      <c r="I5809" s="2">
        <v>392</v>
      </c>
      <c r="J5809" s="2">
        <v>1120</v>
      </c>
      <c r="K5809" s="2">
        <v>75</v>
      </c>
      <c r="L5809" s="2">
        <v>317</v>
      </c>
    </row>
    <row r="5810" spans="1:12" x14ac:dyDescent="0.25">
      <c r="A5810" s="4" t="str">
        <f>HYPERLINK("http://www.rosaceae.org/Prunus/Prunus_persica/p.persica_gdr_reftransV1_0033618","p.persica_gdr_reftransV1_0033618")</f>
        <v>p.persica_gdr_reftransV1_0033618</v>
      </c>
      <c r="B5810" s="2">
        <v>4292</v>
      </c>
      <c r="C5810" s="4" t="str">
        <f>HYPERLINK("http://www.uniprot.org/uniprot/M5X3K8","M5X3K8")</f>
        <v>M5X3K8</v>
      </c>
      <c r="D5810" s="2" t="s">
        <v>5280</v>
      </c>
      <c r="E5810" s="3">
        <v>0</v>
      </c>
      <c r="F5810" s="2">
        <v>3786</v>
      </c>
      <c r="G5810" s="2">
        <v>98</v>
      </c>
      <c r="H5810" s="2">
        <v>770</v>
      </c>
      <c r="I5810" s="2">
        <v>1031</v>
      </c>
      <c r="J5810" s="2">
        <v>3340</v>
      </c>
      <c r="K5810" s="2">
        <v>205</v>
      </c>
      <c r="L5810" s="2">
        <v>961</v>
      </c>
    </row>
    <row r="5811" spans="1:12" x14ac:dyDescent="0.25">
      <c r="A5811" s="4" t="str">
        <f>HYPERLINK("http://www.rosaceae.org/Prunus/Prunus_persica/p.persica_gdr_reftransV1_0033968","p.persica_gdr_reftransV1_0033968")</f>
        <v>p.persica_gdr_reftransV1_0033968</v>
      </c>
      <c r="B5811" s="2">
        <v>2310</v>
      </c>
      <c r="C5811" s="4" t="str">
        <f>HYPERLINK("http://www.uniprot.org/uniprot/M5XNB8","M5XNB8")</f>
        <v>M5XNB8</v>
      </c>
      <c r="D5811" s="2" t="s">
        <v>5281</v>
      </c>
      <c r="E5811" s="3">
        <v>1.3499999999999999E-155</v>
      </c>
      <c r="F5811" s="2">
        <v>1213</v>
      </c>
      <c r="G5811" s="2">
        <v>84</v>
      </c>
      <c r="H5811" s="2">
        <v>274</v>
      </c>
      <c r="I5811" s="2">
        <v>1310</v>
      </c>
      <c r="J5811" s="2">
        <v>2131</v>
      </c>
      <c r="K5811" s="2">
        <v>169</v>
      </c>
      <c r="L5811" s="2">
        <v>416</v>
      </c>
    </row>
    <row r="5812" spans="1:12" x14ac:dyDescent="0.25">
      <c r="A5812" s="4" t="str">
        <f>HYPERLINK("http://www.rosaceae.org/Prunus/Prunus_persica/p.persica_gdr_reftransV1_0034318","p.persica_gdr_reftransV1_0034318")</f>
        <v>p.persica_gdr_reftransV1_0034318</v>
      </c>
      <c r="B5812" s="2">
        <v>1186</v>
      </c>
      <c r="C5812" s="4" t="str">
        <f>HYPERLINK("http://www.uniprot.org/uniprot/M5WJY6","M5WJY6")</f>
        <v>M5WJY6</v>
      </c>
      <c r="D5812" s="2" t="s">
        <v>5282</v>
      </c>
      <c r="E5812" s="3">
        <v>7.6099999999999999E-165</v>
      </c>
      <c r="F5812" s="2">
        <v>1224</v>
      </c>
      <c r="G5812" s="2">
        <v>100</v>
      </c>
      <c r="H5812" s="2">
        <v>225</v>
      </c>
      <c r="I5812" s="2">
        <v>107</v>
      </c>
      <c r="J5812" s="2">
        <v>781</v>
      </c>
      <c r="K5812" s="2">
        <v>1</v>
      </c>
      <c r="L5812" s="2">
        <v>225</v>
      </c>
    </row>
    <row r="5813" spans="1:12" x14ac:dyDescent="0.25">
      <c r="A5813" s="4" t="str">
        <f>HYPERLINK("http://www.rosaceae.org/Prunus/Prunus_persica/p.persica_gdr_reftransV1_0035368","p.persica_gdr_reftransV1_0035368")</f>
        <v>p.persica_gdr_reftransV1_0035368</v>
      </c>
      <c r="B5813" s="2">
        <v>6473</v>
      </c>
      <c r="C5813" s="4" t="str">
        <f>HYPERLINK("http://www.uniprot.org/uniprot/M5WA74","M5WA74")</f>
        <v>M5WA74</v>
      </c>
      <c r="D5813" s="2" t="s">
        <v>5283</v>
      </c>
      <c r="E5813" s="3">
        <v>0</v>
      </c>
      <c r="F5813" s="2">
        <v>3818</v>
      </c>
      <c r="G5813" s="2">
        <v>100</v>
      </c>
      <c r="H5813" s="2">
        <v>759</v>
      </c>
      <c r="I5813" s="2">
        <v>1254</v>
      </c>
      <c r="J5813" s="2">
        <v>3530</v>
      </c>
      <c r="K5813" s="2">
        <v>322</v>
      </c>
      <c r="L5813" s="2">
        <v>1080</v>
      </c>
    </row>
    <row r="5814" spans="1:12" x14ac:dyDescent="0.25">
      <c r="A5814" s="4" t="str">
        <f>HYPERLINK("http://www.rosaceae.org/Prunus/Prunus_persica/p.persica_gdr_reftransV1_0035718","p.persica_gdr_reftransV1_0035718")</f>
        <v>p.persica_gdr_reftransV1_0035718</v>
      </c>
      <c r="B5814" s="2">
        <v>599</v>
      </c>
      <c r="C5814" s="4" t="str">
        <f>HYPERLINK("http://www.uniprot.org/uniprot/M5WTD0","M5WTD0")</f>
        <v>M5WTD0</v>
      </c>
      <c r="D5814" s="2" t="s">
        <v>5284</v>
      </c>
      <c r="E5814" s="3">
        <v>1.3E-144</v>
      </c>
      <c r="F5814" s="2">
        <v>1078</v>
      </c>
      <c r="G5814" s="2">
        <v>100</v>
      </c>
      <c r="H5814" s="2">
        <v>199</v>
      </c>
      <c r="I5814" s="2">
        <v>2</v>
      </c>
      <c r="J5814" s="2">
        <v>598</v>
      </c>
      <c r="K5814" s="2">
        <v>154</v>
      </c>
      <c r="L5814" s="2">
        <v>352</v>
      </c>
    </row>
    <row r="5815" spans="1:12" x14ac:dyDescent="0.25">
      <c r="A5815" s="4" t="str">
        <f>HYPERLINK("http://www.rosaceae.org/Prunus/Prunus_persica/p.persica_gdr_reftransV1_0036768","p.persica_gdr_reftransV1_0036768")</f>
        <v>p.persica_gdr_reftransV1_0036768</v>
      </c>
      <c r="B5815" s="2">
        <v>2118</v>
      </c>
      <c r="C5815" s="4" t="str">
        <f>HYPERLINK("http://www.uniprot.org/uniprot/M5Y437","M5Y437")</f>
        <v>M5Y437</v>
      </c>
      <c r="D5815" s="2" t="s">
        <v>1938</v>
      </c>
      <c r="E5815" s="3">
        <v>0</v>
      </c>
      <c r="F5815" s="2">
        <v>3036</v>
      </c>
      <c r="G5815" s="2">
        <v>100</v>
      </c>
      <c r="H5815" s="2">
        <v>585</v>
      </c>
      <c r="I5815" s="2">
        <v>3</v>
      </c>
      <c r="J5815" s="2">
        <v>1757</v>
      </c>
      <c r="K5815" s="2">
        <v>375</v>
      </c>
      <c r="L5815" s="2">
        <v>959</v>
      </c>
    </row>
    <row r="5816" spans="1:12" x14ac:dyDescent="0.25">
      <c r="A5816" s="4" t="str">
        <f>HYPERLINK("http://www.rosaceae.org/Prunus/Prunus_persica/p.persica_gdr_reftransV1_0038168","p.persica_gdr_reftransV1_0038168")</f>
        <v>p.persica_gdr_reftransV1_0038168</v>
      </c>
      <c r="B5816" s="2">
        <v>1602</v>
      </c>
      <c r="C5816" s="4" t="str">
        <f>HYPERLINK("http://www.uniprot.org/uniprot/M5XK21","M5XK21")</f>
        <v>M5XK21</v>
      </c>
      <c r="D5816" s="2" t="s">
        <v>5285</v>
      </c>
      <c r="E5816" s="3">
        <v>0</v>
      </c>
      <c r="F5816" s="2">
        <v>1658</v>
      </c>
      <c r="G5816" s="2">
        <v>100</v>
      </c>
      <c r="H5816" s="2">
        <v>360</v>
      </c>
      <c r="I5816" s="2">
        <v>365</v>
      </c>
      <c r="J5816" s="2">
        <v>1444</v>
      </c>
      <c r="K5816" s="2">
        <v>1</v>
      </c>
      <c r="L5816" s="2">
        <v>360</v>
      </c>
    </row>
    <row r="5817" spans="1:12" x14ac:dyDescent="0.25">
      <c r="A5817" s="4" t="str">
        <f>HYPERLINK("http://www.rosaceae.org/Prunus/Prunus_persica/p.persica_gdr_reftransV1_0043068","p.persica_gdr_reftransV1_0043068")</f>
        <v>p.persica_gdr_reftransV1_0043068</v>
      </c>
      <c r="B5817" s="2">
        <v>3021</v>
      </c>
      <c r="C5817" s="4" t="str">
        <f>HYPERLINK("http://www.uniprot.org/uniprot/M5W5A9","M5W5A9")</f>
        <v>M5W5A9</v>
      </c>
      <c r="D5817" s="2" t="s">
        <v>5266</v>
      </c>
      <c r="E5817" s="3">
        <v>0</v>
      </c>
      <c r="F5817" s="2">
        <v>2284</v>
      </c>
      <c r="G5817" s="2">
        <v>100</v>
      </c>
      <c r="H5817" s="2">
        <v>431</v>
      </c>
      <c r="I5817" s="2">
        <v>154</v>
      </c>
      <c r="J5817" s="2">
        <v>1446</v>
      </c>
      <c r="K5817" s="2">
        <v>386</v>
      </c>
      <c r="L5817" s="2">
        <v>816</v>
      </c>
    </row>
    <row r="5818" spans="1:12" x14ac:dyDescent="0.25">
      <c r="A5818" s="4" t="str">
        <f>HYPERLINK("http://www.rosaceae.org/Prunus/Prunus_persica/p.persica_gdr_reftransV1_0043418","p.persica_gdr_reftransV1_0043418")</f>
        <v>p.persica_gdr_reftransV1_0043418</v>
      </c>
      <c r="B5818" s="2">
        <v>1804</v>
      </c>
      <c r="C5818" s="4" t="str">
        <f>HYPERLINK("http://www.uniprot.org/uniprot/M5VWC9","M5VWC9")</f>
        <v>M5VWC9</v>
      </c>
      <c r="D5818" s="2" t="s">
        <v>5286</v>
      </c>
      <c r="E5818" s="3">
        <v>0</v>
      </c>
      <c r="F5818" s="2">
        <v>2431</v>
      </c>
      <c r="G5818" s="2">
        <v>92</v>
      </c>
      <c r="H5818" s="2">
        <v>521</v>
      </c>
      <c r="I5818" s="2">
        <v>240</v>
      </c>
      <c r="J5818" s="2">
        <v>1802</v>
      </c>
      <c r="K5818" s="2">
        <v>90</v>
      </c>
      <c r="L5818" s="2">
        <v>566</v>
      </c>
    </row>
    <row r="5819" spans="1:12" x14ac:dyDescent="0.25">
      <c r="A5819" s="4" t="str">
        <f>HYPERLINK("http://www.rosaceae.org/Prunus/Prunus_persica/p.persica_gdr_reftransV1_0043768","p.persica_gdr_reftransV1_0043768")</f>
        <v>p.persica_gdr_reftransV1_0043768</v>
      </c>
      <c r="B5819" s="2">
        <v>4018</v>
      </c>
      <c r="C5819" s="4" t="str">
        <f>HYPERLINK("http://www.uniprot.org/uniprot/M5X1Y8","M5X1Y8")</f>
        <v>M5X1Y8</v>
      </c>
      <c r="D5819" s="2" t="s">
        <v>5287</v>
      </c>
      <c r="E5819" s="3">
        <v>0</v>
      </c>
      <c r="F5819" s="2">
        <v>5541</v>
      </c>
      <c r="G5819" s="2">
        <v>98</v>
      </c>
      <c r="H5819" s="2">
        <v>1223</v>
      </c>
      <c r="I5819" s="2">
        <v>107</v>
      </c>
      <c r="J5819" s="2">
        <v>3775</v>
      </c>
      <c r="K5819" s="2">
        <v>1</v>
      </c>
      <c r="L5819" s="2">
        <v>1200</v>
      </c>
    </row>
    <row r="5820" spans="1:12" x14ac:dyDescent="0.25">
      <c r="A5820" s="4" t="str">
        <f>HYPERLINK("http://www.rosaceae.org/Prunus/Prunus_persica/p.persica_gdr_reftransV1_0044118","p.persica_gdr_reftransV1_0044118")</f>
        <v>p.persica_gdr_reftransV1_0044118</v>
      </c>
      <c r="B5820" s="2">
        <v>316</v>
      </c>
      <c r="C5820" s="4" t="str">
        <f>HYPERLINK("http://www.uniprot.org/uniprot/M5WK41","M5WK41")</f>
        <v>M5WK41</v>
      </c>
      <c r="D5820" s="2" t="s">
        <v>5288</v>
      </c>
      <c r="E5820" s="3">
        <v>6.9300000000000001E-48</v>
      </c>
      <c r="F5820" s="2">
        <v>444</v>
      </c>
      <c r="G5820" s="2">
        <v>100</v>
      </c>
      <c r="H5820" s="2">
        <v>83</v>
      </c>
      <c r="I5820" s="2">
        <v>2</v>
      </c>
      <c r="J5820" s="2">
        <v>250</v>
      </c>
      <c r="K5820" s="2">
        <v>2</v>
      </c>
      <c r="L5820" s="2">
        <v>84</v>
      </c>
    </row>
    <row r="5821" spans="1:12" x14ac:dyDescent="0.25">
      <c r="A5821" s="4" t="str">
        <f>HYPERLINK("http://www.rosaceae.org/Prunus/Prunus_persica/p.persica_gdr_reftransV1_0044468","p.persica_gdr_reftransV1_0044468")</f>
        <v>p.persica_gdr_reftransV1_0044468</v>
      </c>
      <c r="B5821" s="2">
        <v>1347</v>
      </c>
      <c r="C5821" s="4" t="str">
        <f>HYPERLINK("http://www.uniprot.org/uniprot/W9QWU9","W9QWU9")</f>
        <v>W9QWU9</v>
      </c>
      <c r="D5821" s="2" t="s">
        <v>5289</v>
      </c>
      <c r="E5821" s="3">
        <v>3.4699999999999998E-130</v>
      </c>
      <c r="F5821" s="2">
        <v>999</v>
      </c>
      <c r="G5821" s="2">
        <v>81</v>
      </c>
      <c r="H5821" s="2">
        <v>253</v>
      </c>
      <c r="I5821" s="2">
        <v>287</v>
      </c>
      <c r="J5821" s="2">
        <v>1036</v>
      </c>
      <c r="K5821" s="2">
        <v>22</v>
      </c>
      <c r="L5821" s="2">
        <v>274</v>
      </c>
    </row>
    <row r="5822" spans="1:12" x14ac:dyDescent="0.25">
      <c r="A5822" s="4" t="str">
        <f>HYPERLINK("http://www.rosaceae.org/Prunus/Prunus_persica/p.persica_gdr_reftransV1_0044818","p.persica_gdr_reftransV1_0044818")</f>
        <v>p.persica_gdr_reftransV1_0044818</v>
      </c>
      <c r="B5822" s="2">
        <v>826</v>
      </c>
      <c r="C5822" s="4" t="str">
        <f>HYPERLINK("http://www.uniprot.org/uniprot/M5X2R0","M5X2R0")</f>
        <v>M5X2R0</v>
      </c>
      <c r="D5822" s="2" t="s">
        <v>5133</v>
      </c>
      <c r="E5822" s="3">
        <v>9.7299999999999994E-38</v>
      </c>
      <c r="F5822" s="2">
        <v>354</v>
      </c>
      <c r="G5822" s="2">
        <v>68</v>
      </c>
      <c r="H5822" s="2">
        <v>138</v>
      </c>
      <c r="I5822" s="2">
        <v>346</v>
      </c>
      <c r="J5822" s="2">
        <v>741</v>
      </c>
      <c r="K5822" s="2">
        <v>1</v>
      </c>
      <c r="L5822" s="2">
        <v>138</v>
      </c>
    </row>
    <row r="5823" spans="1:12" x14ac:dyDescent="0.25">
      <c r="A5823" s="4" t="str">
        <f>HYPERLINK("http://www.rosaceae.org/Prunus/Prunus_persica/p.persica_gdr_reftransV1_0045168","p.persica_gdr_reftransV1_0045168")</f>
        <v>p.persica_gdr_reftransV1_0045168</v>
      </c>
      <c r="B5823" s="2">
        <v>3334</v>
      </c>
      <c r="C5823" s="4" t="str">
        <f>HYPERLINK("http://www.uniprot.org/uniprot/M5Y493","M5Y493")</f>
        <v>M5Y493</v>
      </c>
      <c r="D5823" s="2" t="s">
        <v>5290</v>
      </c>
      <c r="E5823" s="3">
        <v>0</v>
      </c>
      <c r="F5823" s="2">
        <v>4342</v>
      </c>
      <c r="G5823" s="2">
        <v>98</v>
      </c>
      <c r="H5823" s="2">
        <v>998</v>
      </c>
      <c r="I5823" s="2">
        <v>15</v>
      </c>
      <c r="J5823" s="2">
        <v>3008</v>
      </c>
      <c r="K5823" s="2">
        <v>148</v>
      </c>
      <c r="L5823" s="2">
        <v>1137</v>
      </c>
    </row>
    <row r="5824" spans="1:12" x14ac:dyDescent="0.25">
      <c r="A5824" s="4" t="str">
        <f>HYPERLINK("http://www.rosaceae.org/Prunus/Prunus_persica/p.persica_gdr_reftransV1_0045868","p.persica_gdr_reftransV1_0045868")</f>
        <v>p.persica_gdr_reftransV1_0045868</v>
      </c>
      <c r="B5824" s="2">
        <v>3295</v>
      </c>
      <c r="C5824" s="4" t="str">
        <f>HYPERLINK("http://www.uniprot.org/uniprot/M5W4Z4","M5W4Z4")</f>
        <v>M5W4Z4</v>
      </c>
      <c r="D5824" s="2" t="s">
        <v>5291</v>
      </c>
      <c r="E5824" s="3">
        <v>0</v>
      </c>
      <c r="F5824" s="2">
        <v>3748</v>
      </c>
      <c r="G5824" s="2">
        <v>100</v>
      </c>
      <c r="H5824" s="2">
        <v>710</v>
      </c>
      <c r="I5824" s="2">
        <v>696</v>
      </c>
      <c r="J5824" s="2">
        <v>2825</v>
      </c>
      <c r="K5824" s="2">
        <v>1</v>
      </c>
      <c r="L5824" s="2">
        <v>710</v>
      </c>
    </row>
    <row r="5825" spans="1:12" x14ac:dyDescent="0.25">
      <c r="A5825" s="4" t="str">
        <f>HYPERLINK("http://www.rosaceae.org/Prunus/Prunus_persica/p.persica_gdr_reftransV1_0046218","p.persica_gdr_reftransV1_0046218")</f>
        <v>p.persica_gdr_reftransV1_0046218</v>
      </c>
      <c r="B5825" s="2">
        <v>523</v>
      </c>
      <c r="C5825" s="4" t="str">
        <f>HYPERLINK("http://www.uniprot.org/uniprot/M5XD75","M5XD75")</f>
        <v>M5XD75</v>
      </c>
      <c r="D5825" s="2" t="s">
        <v>5203</v>
      </c>
      <c r="E5825" s="3">
        <v>9.1100000000000002E-113</v>
      </c>
      <c r="F5825" s="2">
        <v>863</v>
      </c>
      <c r="G5825" s="2">
        <v>99</v>
      </c>
      <c r="H5825" s="2">
        <v>159</v>
      </c>
      <c r="I5825" s="2">
        <v>43</v>
      </c>
      <c r="J5825" s="2">
        <v>519</v>
      </c>
      <c r="K5825" s="2">
        <v>174</v>
      </c>
      <c r="L5825" s="2">
        <v>332</v>
      </c>
    </row>
    <row r="5826" spans="1:12" x14ac:dyDescent="0.25">
      <c r="A5826" s="4" t="str">
        <f>HYPERLINK("http://www.rosaceae.org/Prunus/Prunus_persica/p.persica_gdr_reftransV1_0046568","p.persica_gdr_reftransV1_0046568")</f>
        <v>p.persica_gdr_reftransV1_0046568</v>
      </c>
      <c r="B5826" s="2">
        <v>724</v>
      </c>
      <c r="C5826" s="4" t="str">
        <f>HYPERLINK("http://www.uniprot.org/uniprot/M5XQH3","M5XQH3")</f>
        <v>M5XQH3</v>
      </c>
      <c r="D5826" s="2" t="s">
        <v>5292</v>
      </c>
      <c r="E5826" s="3">
        <v>2.3299999999999999E-79</v>
      </c>
      <c r="F5826" s="2">
        <v>634</v>
      </c>
      <c r="G5826" s="2">
        <v>100</v>
      </c>
      <c r="H5826" s="2">
        <v>167</v>
      </c>
      <c r="I5826" s="2">
        <v>206</v>
      </c>
      <c r="J5826" s="2">
        <v>706</v>
      </c>
      <c r="K5826" s="2">
        <v>28</v>
      </c>
      <c r="L5826" s="2">
        <v>194</v>
      </c>
    </row>
    <row r="5827" spans="1:12" x14ac:dyDescent="0.25">
      <c r="A5827" s="4" t="str">
        <f>HYPERLINK("http://www.rosaceae.org/Prunus/Prunus_persica/p.persica_gdr_reftransV1_0046918","p.persica_gdr_reftransV1_0046918")</f>
        <v>p.persica_gdr_reftransV1_0046918</v>
      </c>
      <c r="B5827" s="2">
        <v>795</v>
      </c>
      <c r="C5827" s="4" t="str">
        <f>HYPERLINK("http://www.uniprot.org/uniprot/M5WAF3","M5WAF3")</f>
        <v>M5WAF3</v>
      </c>
      <c r="D5827" s="2" t="s">
        <v>5293</v>
      </c>
      <c r="E5827" s="3">
        <v>5.31E-112</v>
      </c>
      <c r="F5827" s="2">
        <v>857</v>
      </c>
      <c r="G5827" s="2">
        <v>100</v>
      </c>
      <c r="H5827" s="2">
        <v>170</v>
      </c>
      <c r="I5827" s="2">
        <v>3</v>
      </c>
      <c r="J5827" s="2">
        <v>512</v>
      </c>
      <c r="K5827" s="2">
        <v>71</v>
      </c>
      <c r="L5827" s="2">
        <v>240</v>
      </c>
    </row>
    <row r="5828" spans="1:12" x14ac:dyDescent="0.25">
      <c r="A5828" s="4" t="str">
        <f>HYPERLINK("http://www.rosaceae.org/Prunus/Prunus_persica/p.persica_gdr_reftransV1_0047268","p.persica_gdr_reftransV1_0047268")</f>
        <v>p.persica_gdr_reftransV1_0047268</v>
      </c>
      <c r="B5828" s="2">
        <v>2622</v>
      </c>
      <c r="C5828" s="4" t="str">
        <f>HYPERLINK("http://www.uniprot.org/uniprot/M5X617","M5X617")</f>
        <v>M5X617</v>
      </c>
      <c r="D5828" s="2" t="s">
        <v>5294</v>
      </c>
      <c r="E5828" s="3">
        <v>0</v>
      </c>
      <c r="F5828" s="2">
        <v>3045</v>
      </c>
      <c r="G5828" s="2">
        <v>93</v>
      </c>
      <c r="H5828" s="2">
        <v>607</v>
      </c>
      <c r="I5828" s="2">
        <v>333</v>
      </c>
      <c r="J5828" s="2">
        <v>2153</v>
      </c>
      <c r="K5828" s="2">
        <v>1</v>
      </c>
      <c r="L5828" s="2">
        <v>607</v>
      </c>
    </row>
    <row r="5829" spans="1:12" x14ac:dyDescent="0.25">
      <c r="A5829" s="4" t="str">
        <f>HYPERLINK("http://www.rosaceae.org/Prunus/Prunus_persica/p.persica_gdr_reftransV1_0047618","p.persica_gdr_reftransV1_0047618")</f>
        <v>p.persica_gdr_reftransV1_0047618</v>
      </c>
      <c r="B5829" s="2">
        <v>517</v>
      </c>
      <c r="C5829" s="4" t="str">
        <f>HYPERLINK("http://www.uniprot.org/uniprot/M5X4I5","M5X4I5")</f>
        <v>M5X4I5</v>
      </c>
      <c r="D5829" s="2" t="s">
        <v>4563</v>
      </c>
      <c r="E5829" s="3">
        <v>1.0500000000000001E-101</v>
      </c>
      <c r="F5829" s="2">
        <v>837</v>
      </c>
      <c r="G5829" s="2">
        <v>99</v>
      </c>
      <c r="H5829" s="2">
        <v>157</v>
      </c>
      <c r="I5829" s="2">
        <v>46</v>
      </c>
      <c r="J5829" s="2">
        <v>516</v>
      </c>
      <c r="K5829" s="2">
        <v>922</v>
      </c>
      <c r="L5829" s="2">
        <v>1078</v>
      </c>
    </row>
    <row r="5830" spans="1:12" x14ac:dyDescent="0.25">
      <c r="A5830" s="4" t="str">
        <f>HYPERLINK("http://www.rosaceae.org/Prunus/Prunus_persica/p.persica_gdr_reftransV1_0047968","p.persica_gdr_reftransV1_0047968")</f>
        <v>p.persica_gdr_reftransV1_0047968</v>
      </c>
      <c r="B5830" s="2">
        <v>393</v>
      </c>
      <c r="C5830" s="4" t="str">
        <f>HYPERLINK("http://www.uniprot.org/uniprot/M5X2J0","M5X2J0")</f>
        <v>M5X2J0</v>
      </c>
      <c r="D5830" s="2" t="s">
        <v>5295</v>
      </c>
      <c r="E5830" s="3">
        <v>1.51E-60</v>
      </c>
      <c r="F5830" s="2">
        <v>533</v>
      </c>
      <c r="G5830" s="2">
        <v>88</v>
      </c>
      <c r="H5830" s="2">
        <v>136</v>
      </c>
      <c r="I5830" s="2">
        <v>1</v>
      </c>
      <c r="J5830" s="2">
        <v>393</v>
      </c>
      <c r="K5830" s="2">
        <v>521</v>
      </c>
      <c r="L5830" s="2">
        <v>656</v>
      </c>
    </row>
    <row r="5831" spans="1:12" x14ac:dyDescent="0.25">
      <c r="A5831" s="4" t="str">
        <f>HYPERLINK("http://www.rosaceae.org/Prunus/Prunus_persica/p.persica_gdr_reftransV1_0049018","p.persica_gdr_reftransV1_0049018")</f>
        <v>p.persica_gdr_reftransV1_0049018</v>
      </c>
      <c r="B5831" s="2">
        <v>561</v>
      </c>
      <c r="C5831" s="4" t="str">
        <f>HYPERLINK("http://www.uniprot.org/uniprot/M5XGY4","M5XGY4")</f>
        <v>M5XGY4</v>
      </c>
      <c r="D5831" s="2" t="s">
        <v>5296</v>
      </c>
      <c r="E5831" s="3">
        <v>4.5799999999999999E-75</v>
      </c>
      <c r="F5831" s="2">
        <v>596</v>
      </c>
      <c r="G5831" s="2">
        <v>100</v>
      </c>
      <c r="H5831" s="2">
        <v>135</v>
      </c>
      <c r="I5831" s="2">
        <v>157</v>
      </c>
      <c r="J5831" s="2">
        <v>561</v>
      </c>
      <c r="K5831" s="2">
        <v>15</v>
      </c>
      <c r="L5831" s="2">
        <v>149</v>
      </c>
    </row>
    <row r="5832" spans="1:12" x14ac:dyDescent="0.25">
      <c r="A5832" s="4" t="str">
        <f>HYPERLINK("http://www.rosaceae.org/Prunus/Prunus_persica/p.persica_gdr_reftransV1_0000181","p.persica_gdr_reftransV1_0000181")</f>
        <v>p.persica_gdr_reftransV1_0000181</v>
      </c>
      <c r="B5832" s="2">
        <v>1312</v>
      </c>
      <c r="C5832" s="4" t="str">
        <f>HYPERLINK("http://www.uniprot.org/uniprot/M5XME1","M5XME1")</f>
        <v>M5XME1</v>
      </c>
      <c r="D5832" s="2" t="s">
        <v>5297</v>
      </c>
      <c r="E5832" s="3">
        <v>0</v>
      </c>
      <c r="F5832" s="2">
        <v>1879</v>
      </c>
      <c r="G5832" s="2">
        <v>100</v>
      </c>
      <c r="H5832" s="2">
        <v>356</v>
      </c>
      <c r="I5832" s="2">
        <v>244</v>
      </c>
      <c r="J5832" s="2">
        <v>1311</v>
      </c>
      <c r="K5832" s="2">
        <v>1</v>
      </c>
      <c r="L5832" s="2">
        <v>356</v>
      </c>
    </row>
    <row r="5833" spans="1:12" x14ac:dyDescent="0.25">
      <c r="A5833" s="4" t="str">
        <f>HYPERLINK("http://www.rosaceae.org/Prunus/Prunus_persica/p.persica_gdr_reftransV1_0000531","p.persica_gdr_reftransV1_0000531")</f>
        <v>p.persica_gdr_reftransV1_0000531</v>
      </c>
      <c r="B5833" s="2">
        <v>1031</v>
      </c>
      <c r="C5833" s="4" t="str">
        <f>HYPERLINK("http://www.uniprot.org/uniprot/M5X6U1","M5X6U1")</f>
        <v>M5X6U1</v>
      </c>
      <c r="D5833" s="2" t="s">
        <v>1217</v>
      </c>
      <c r="E5833" s="3">
        <v>0</v>
      </c>
      <c r="F5833" s="2">
        <v>1380</v>
      </c>
      <c r="G5833" s="2">
        <v>100</v>
      </c>
      <c r="H5833" s="2">
        <v>280</v>
      </c>
      <c r="I5833" s="2">
        <v>192</v>
      </c>
      <c r="J5833" s="2">
        <v>1031</v>
      </c>
      <c r="K5833" s="2">
        <v>1</v>
      </c>
      <c r="L5833" s="2">
        <v>280</v>
      </c>
    </row>
    <row r="5834" spans="1:12" x14ac:dyDescent="0.25">
      <c r="A5834" s="4" t="str">
        <f>HYPERLINK("http://www.rosaceae.org/Prunus/Prunus_persica/p.persica_gdr_reftransV1_0000881","p.persica_gdr_reftransV1_0000881")</f>
        <v>p.persica_gdr_reftransV1_0000881</v>
      </c>
      <c r="B5834" s="2">
        <v>1935</v>
      </c>
      <c r="C5834" s="4" t="str">
        <f>HYPERLINK("http://www.uniprot.org/uniprot/M5XBM0","M5XBM0")</f>
        <v>M5XBM0</v>
      </c>
      <c r="D5834" s="2" t="s">
        <v>5298</v>
      </c>
      <c r="E5834" s="3">
        <v>0</v>
      </c>
      <c r="F5834" s="2">
        <v>2657</v>
      </c>
      <c r="G5834" s="2">
        <v>100</v>
      </c>
      <c r="H5834" s="2">
        <v>495</v>
      </c>
      <c r="I5834" s="2">
        <v>175</v>
      </c>
      <c r="J5834" s="2">
        <v>1659</v>
      </c>
      <c r="K5834" s="2">
        <v>1</v>
      </c>
      <c r="L5834" s="2">
        <v>495</v>
      </c>
    </row>
    <row r="5835" spans="1:12" x14ac:dyDescent="0.25">
      <c r="A5835" s="4" t="str">
        <f>HYPERLINK("http://www.rosaceae.org/Prunus/Prunus_persica/p.persica_gdr_reftransV1_0001231","p.persica_gdr_reftransV1_0001231")</f>
        <v>p.persica_gdr_reftransV1_0001231</v>
      </c>
      <c r="B5835" s="2">
        <v>366</v>
      </c>
      <c r="C5835" s="4" t="str">
        <f>HYPERLINK("http://www.uniprot.org/uniprot/M5WAA8","M5WAA8")</f>
        <v>M5WAA8</v>
      </c>
      <c r="D5835" s="2" t="s">
        <v>5299</v>
      </c>
      <c r="E5835" s="3">
        <v>5.8600000000000003E-77</v>
      </c>
      <c r="F5835" s="2">
        <v>635</v>
      </c>
      <c r="G5835" s="2">
        <v>100</v>
      </c>
      <c r="H5835" s="2">
        <v>121</v>
      </c>
      <c r="I5835" s="2">
        <v>2</v>
      </c>
      <c r="J5835" s="2">
        <v>364</v>
      </c>
      <c r="K5835" s="2">
        <v>252</v>
      </c>
      <c r="L5835" s="2">
        <v>372</v>
      </c>
    </row>
    <row r="5836" spans="1:12" x14ac:dyDescent="0.25">
      <c r="A5836" s="4" t="str">
        <f>HYPERLINK("http://www.rosaceae.org/Prunus/Prunus_persica/p.persica_gdr_reftransV1_0001931","p.persica_gdr_reftransV1_0001931")</f>
        <v>p.persica_gdr_reftransV1_0001931</v>
      </c>
      <c r="B5836" s="2">
        <v>324</v>
      </c>
      <c r="C5836" s="4" t="str">
        <f>HYPERLINK("http://www.uniprot.org/uniprot/W9RGR0","W9RGR0")</f>
        <v>W9RGR0</v>
      </c>
      <c r="D5836" s="2" t="s">
        <v>5300</v>
      </c>
      <c r="E5836" s="3">
        <v>2.3600000000000002E-31</v>
      </c>
      <c r="F5836" s="2">
        <v>319</v>
      </c>
      <c r="G5836" s="2">
        <v>60</v>
      </c>
      <c r="H5836" s="2">
        <v>110</v>
      </c>
      <c r="I5836" s="2">
        <v>6</v>
      </c>
      <c r="J5836" s="2">
        <v>323</v>
      </c>
      <c r="K5836" s="2">
        <v>579</v>
      </c>
      <c r="L5836" s="2">
        <v>688</v>
      </c>
    </row>
    <row r="5837" spans="1:12" x14ac:dyDescent="0.25">
      <c r="A5837" s="4" t="str">
        <f>HYPERLINK("http://www.rosaceae.org/Prunus/Prunus_persica/p.persica_gdr_reftransV1_0002281","p.persica_gdr_reftransV1_0002281")</f>
        <v>p.persica_gdr_reftransV1_0002281</v>
      </c>
      <c r="B5837" s="2">
        <v>1251</v>
      </c>
      <c r="C5837" s="4" t="str">
        <f>HYPERLINK("http://www.uniprot.org/uniprot/M5VZ49","M5VZ49")</f>
        <v>M5VZ49</v>
      </c>
      <c r="D5837" s="2" t="s">
        <v>5301</v>
      </c>
      <c r="E5837" s="3">
        <v>0</v>
      </c>
      <c r="F5837" s="2">
        <v>1727</v>
      </c>
      <c r="G5837" s="2">
        <v>100</v>
      </c>
      <c r="H5837" s="2">
        <v>326</v>
      </c>
      <c r="I5837" s="2">
        <v>184</v>
      </c>
      <c r="J5837" s="2">
        <v>1161</v>
      </c>
      <c r="K5837" s="2">
        <v>1</v>
      </c>
      <c r="L5837" s="2">
        <v>326</v>
      </c>
    </row>
    <row r="5838" spans="1:12" x14ac:dyDescent="0.25">
      <c r="A5838" s="4" t="str">
        <f>HYPERLINK("http://www.rosaceae.org/Prunus/Prunus_persica/p.persica_gdr_reftransV1_0002981","p.persica_gdr_reftransV1_0002981")</f>
        <v>p.persica_gdr_reftransV1_0002981</v>
      </c>
      <c r="B5838" s="2">
        <v>564</v>
      </c>
      <c r="C5838" s="4" t="str">
        <f>HYPERLINK("http://www.uniprot.org/uniprot/M5WFP2","M5WFP2")</f>
        <v>M5WFP2</v>
      </c>
      <c r="D5838" s="2" t="s">
        <v>5302</v>
      </c>
      <c r="E5838" s="3">
        <v>3.76E-81</v>
      </c>
      <c r="F5838" s="2">
        <v>657</v>
      </c>
      <c r="G5838" s="2">
        <v>100</v>
      </c>
      <c r="H5838" s="2">
        <v>126</v>
      </c>
      <c r="I5838" s="2">
        <v>2</v>
      </c>
      <c r="J5838" s="2">
        <v>379</v>
      </c>
      <c r="K5838" s="2">
        <v>260</v>
      </c>
      <c r="L5838" s="2">
        <v>385</v>
      </c>
    </row>
    <row r="5839" spans="1:12" x14ac:dyDescent="0.25">
      <c r="A5839" s="4" t="str">
        <f>HYPERLINK("http://www.rosaceae.org/Prunus/Prunus_persica/p.persica_gdr_reftransV1_0003331","p.persica_gdr_reftransV1_0003331")</f>
        <v>p.persica_gdr_reftransV1_0003331</v>
      </c>
      <c r="B5839" s="2">
        <v>409</v>
      </c>
      <c r="C5839" s="4" t="str">
        <f>HYPERLINK("http://www.uniprot.org/uniprot/M5XDP8","M5XDP8")</f>
        <v>M5XDP8</v>
      </c>
      <c r="D5839" s="2" t="s">
        <v>5303</v>
      </c>
      <c r="E5839" s="3">
        <v>6.0499999999999999E-91</v>
      </c>
      <c r="F5839" s="2">
        <v>730</v>
      </c>
      <c r="G5839" s="2">
        <v>100</v>
      </c>
      <c r="H5839" s="2">
        <v>135</v>
      </c>
      <c r="I5839" s="2">
        <v>3</v>
      </c>
      <c r="J5839" s="2">
        <v>407</v>
      </c>
      <c r="K5839" s="2">
        <v>250</v>
      </c>
      <c r="L5839" s="2">
        <v>384</v>
      </c>
    </row>
    <row r="5840" spans="1:12" x14ac:dyDescent="0.25">
      <c r="A5840" s="4" t="str">
        <f>HYPERLINK("http://www.rosaceae.org/Prunus/Prunus_persica/p.persica_gdr_reftransV1_0003681","p.persica_gdr_reftransV1_0003681")</f>
        <v>p.persica_gdr_reftransV1_0003681</v>
      </c>
      <c r="B5840" s="2">
        <v>1117</v>
      </c>
      <c r="C5840" s="4" t="str">
        <f>HYPERLINK("http://www.uniprot.org/uniprot/M5XU45","M5XU45")</f>
        <v>M5XU45</v>
      </c>
      <c r="D5840" s="2" t="s">
        <v>5304</v>
      </c>
      <c r="E5840" s="3">
        <v>4.4999999999999996E-161</v>
      </c>
      <c r="F5840" s="2">
        <v>1190</v>
      </c>
      <c r="G5840" s="2">
        <v>100</v>
      </c>
      <c r="H5840" s="2">
        <v>221</v>
      </c>
      <c r="I5840" s="2">
        <v>142</v>
      </c>
      <c r="J5840" s="2">
        <v>804</v>
      </c>
      <c r="K5840" s="2">
        <v>1</v>
      </c>
      <c r="L5840" s="2">
        <v>221</v>
      </c>
    </row>
    <row r="5841" spans="1:12" x14ac:dyDescent="0.25">
      <c r="A5841" s="4" t="str">
        <f>HYPERLINK("http://www.rosaceae.org/Prunus/Prunus_persica/p.persica_gdr_reftransV1_0004031","p.persica_gdr_reftransV1_0004031")</f>
        <v>p.persica_gdr_reftransV1_0004031</v>
      </c>
      <c r="B5841" s="2">
        <v>795</v>
      </c>
      <c r="C5841" s="4" t="str">
        <f>HYPERLINK("http://www.uniprot.org/uniprot/M5XME8","M5XME8")</f>
        <v>M5XME8</v>
      </c>
      <c r="D5841" s="2" t="s">
        <v>5305</v>
      </c>
      <c r="E5841" s="3">
        <v>8.14E-94</v>
      </c>
      <c r="F5841" s="2">
        <v>732</v>
      </c>
      <c r="G5841" s="2">
        <v>100</v>
      </c>
      <c r="H5841" s="2">
        <v>179</v>
      </c>
      <c r="I5841" s="2">
        <v>194</v>
      </c>
      <c r="J5841" s="2">
        <v>730</v>
      </c>
      <c r="K5841" s="2">
        <v>15</v>
      </c>
      <c r="L5841" s="2">
        <v>193</v>
      </c>
    </row>
    <row r="5842" spans="1:12" x14ac:dyDescent="0.25">
      <c r="A5842" s="4" t="str">
        <f>HYPERLINK("http://www.rosaceae.org/Prunus/Prunus_persica/p.persica_gdr_reftransV1_0004381","p.persica_gdr_reftransV1_0004381")</f>
        <v>p.persica_gdr_reftransV1_0004381</v>
      </c>
      <c r="B5842" s="2">
        <v>1874</v>
      </c>
      <c r="C5842" s="4" t="str">
        <f>HYPERLINK("http://www.uniprot.org/uniprot/M5WZP6","M5WZP6")</f>
        <v>M5WZP6</v>
      </c>
      <c r="D5842" s="2" t="s">
        <v>5306</v>
      </c>
      <c r="E5842" s="3">
        <v>0</v>
      </c>
      <c r="F5842" s="2">
        <v>2443</v>
      </c>
      <c r="G5842" s="2">
        <v>99</v>
      </c>
      <c r="H5842" s="2">
        <v>459</v>
      </c>
      <c r="I5842" s="2">
        <v>154</v>
      </c>
      <c r="J5842" s="2">
        <v>1530</v>
      </c>
      <c r="K5842" s="2">
        <v>26</v>
      </c>
      <c r="L5842" s="2">
        <v>484</v>
      </c>
    </row>
    <row r="5843" spans="1:12" x14ac:dyDescent="0.25">
      <c r="A5843" s="4" t="str">
        <f>HYPERLINK("http://www.rosaceae.org/Prunus/Prunus_persica/p.persica_gdr_reftransV1_0005431","p.persica_gdr_reftransV1_0005431")</f>
        <v>p.persica_gdr_reftransV1_0005431</v>
      </c>
      <c r="B5843" s="2">
        <v>439</v>
      </c>
      <c r="C5843" s="4" t="str">
        <f>HYPERLINK("http://www.uniprot.org/uniprot/M5XDF2","M5XDF2")</f>
        <v>M5XDF2</v>
      </c>
      <c r="D5843" s="2" t="s">
        <v>5307</v>
      </c>
      <c r="E5843" s="3">
        <v>1.7600000000000002E-64</v>
      </c>
      <c r="F5843" s="2">
        <v>536</v>
      </c>
      <c r="G5843" s="2">
        <v>100</v>
      </c>
      <c r="H5843" s="2">
        <v>146</v>
      </c>
      <c r="I5843" s="2">
        <v>2</v>
      </c>
      <c r="J5843" s="2">
        <v>439</v>
      </c>
      <c r="K5843" s="2">
        <v>88</v>
      </c>
      <c r="L5843" s="2">
        <v>233</v>
      </c>
    </row>
    <row r="5844" spans="1:12" x14ac:dyDescent="0.25">
      <c r="A5844" s="4" t="str">
        <f>HYPERLINK("http://www.rosaceae.org/Prunus/Prunus_persica/p.persica_gdr_reftransV1_0006131","p.persica_gdr_reftransV1_0006131")</f>
        <v>p.persica_gdr_reftransV1_0006131</v>
      </c>
      <c r="B5844" s="2">
        <v>1036</v>
      </c>
      <c r="C5844" s="4" t="str">
        <f>HYPERLINK("http://www.uniprot.org/uniprot/M5W5F5","M5W5F5")</f>
        <v>M5W5F5</v>
      </c>
      <c r="D5844" s="2" t="s">
        <v>153</v>
      </c>
      <c r="E5844" s="3">
        <v>1.0800000000000001E-100</v>
      </c>
      <c r="F5844" s="2">
        <v>814</v>
      </c>
      <c r="G5844" s="2">
        <v>100</v>
      </c>
      <c r="H5844" s="2">
        <v>153</v>
      </c>
      <c r="I5844" s="2">
        <v>577</v>
      </c>
      <c r="J5844" s="2">
        <v>1035</v>
      </c>
      <c r="K5844" s="2">
        <v>1</v>
      </c>
      <c r="L5844" s="2">
        <v>153</v>
      </c>
    </row>
    <row r="5845" spans="1:12" x14ac:dyDescent="0.25">
      <c r="A5845" s="4" t="str">
        <f>HYPERLINK("http://www.rosaceae.org/Prunus/Prunus_persica/p.persica_gdr_reftransV1_0007531","p.persica_gdr_reftransV1_0007531")</f>
        <v>p.persica_gdr_reftransV1_0007531</v>
      </c>
      <c r="B5845" s="2">
        <v>1533</v>
      </c>
      <c r="C5845" s="4" t="str">
        <f>HYPERLINK("http://www.uniprot.org/uniprot/M5XZA9","M5XZA9")</f>
        <v>M5XZA9</v>
      </c>
      <c r="D5845" s="2" t="s">
        <v>5308</v>
      </c>
      <c r="E5845" s="3">
        <v>5.3999999999999998E-89</v>
      </c>
      <c r="F5845" s="2">
        <v>717</v>
      </c>
      <c r="G5845" s="2">
        <v>100</v>
      </c>
      <c r="H5845" s="2">
        <v>137</v>
      </c>
      <c r="I5845" s="2">
        <v>736</v>
      </c>
      <c r="J5845" s="2">
        <v>1146</v>
      </c>
      <c r="K5845" s="2">
        <v>1</v>
      </c>
      <c r="L5845" s="2">
        <v>137</v>
      </c>
    </row>
    <row r="5846" spans="1:12" x14ac:dyDescent="0.25">
      <c r="A5846" s="4" t="str">
        <f>HYPERLINK("http://www.rosaceae.org/Prunus/Prunus_persica/p.persica_gdr_reftransV1_0008581","p.persica_gdr_reftransV1_0008581")</f>
        <v>p.persica_gdr_reftransV1_0008581</v>
      </c>
      <c r="B5846" s="2">
        <v>3248</v>
      </c>
      <c r="C5846" s="4" t="str">
        <f>HYPERLINK("http://www.uniprot.org/uniprot/M5Y9A5","M5Y9A5")</f>
        <v>M5Y9A5</v>
      </c>
      <c r="D5846" s="2" t="s">
        <v>5309</v>
      </c>
      <c r="E5846" s="3">
        <v>0</v>
      </c>
      <c r="F5846" s="2">
        <v>3312</v>
      </c>
      <c r="G5846" s="2">
        <v>100</v>
      </c>
      <c r="H5846" s="2">
        <v>684</v>
      </c>
      <c r="I5846" s="2">
        <v>932</v>
      </c>
      <c r="J5846" s="2">
        <v>2983</v>
      </c>
      <c r="K5846" s="2">
        <v>1</v>
      </c>
      <c r="L5846" s="2">
        <v>684</v>
      </c>
    </row>
    <row r="5847" spans="1:12" x14ac:dyDescent="0.25">
      <c r="A5847" s="4" t="str">
        <f>HYPERLINK("http://www.rosaceae.org/Prunus/Prunus_persica/p.persica_gdr_reftransV1_0009631","p.persica_gdr_reftransV1_0009631")</f>
        <v>p.persica_gdr_reftransV1_0009631</v>
      </c>
      <c r="B5847" s="2">
        <v>887</v>
      </c>
      <c r="C5847" s="4" t="str">
        <f>HYPERLINK("http://www.uniprot.org/uniprot/M5XZP9","M5XZP9")</f>
        <v>M5XZP9</v>
      </c>
      <c r="D5847" s="2" t="s">
        <v>5310</v>
      </c>
      <c r="E5847" s="3">
        <v>3.2899999999999998E-98</v>
      </c>
      <c r="F5847" s="2">
        <v>762</v>
      </c>
      <c r="G5847" s="2">
        <v>100</v>
      </c>
      <c r="H5847" s="2">
        <v>168</v>
      </c>
      <c r="I5847" s="2">
        <v>243</v>
      </c>
      <c r="J5847" s="2">
        <v>746</v>
      </c>
      <c r="K5847" s="2">
        <v>1</v>
      </c>
      <c r="L5847" s="2">
        <v>168</v>
      </c>
    </row>
    <row r="5848" spans="1:12" x14ac:dyDescent="0.25">
      <c r="A5848" s="4" t="str">
        <f>HYPERLINK("http://www.rosaceae.org/Prunus/Prunus_persica/p.persica_gdr_reftransV1_0010331","p.persica_gdr_reftransV1_0010331")</f>
        <v>p.persica_gdr_reftransV1_0010331</v>
      </c>
      <c r="B5848" s="2">
        <v>1185</v>
      </c>
      <c r="C5848" s="4" t="str">
        <f>HYPERLINK("http://www.uniprot.org/uniprot/M5W923","M5W923")</f>
        <v>M5W923</v>
      </c>
      <c r="D5848" s="2" t="s">
        <v>5311</v>
      </c>
      <c r="E5848" s="3">
        <v>0</v>
      </c>
      <c r="F5848" s="2">
        <v>1503</v>
      </c>
      <c r="G5848" s="2">
        <v>100</v>
      </c>
      <c r="H5848" s="2">
        <v>322</v>
      </c>
      <c r="I5848" s="2">
        <v>24</v>
      </c>
      <c r="J5848" s="2">
        <v>989</v>
      </c>
      <c r="K5848" s="2">
        <v>1</v>
      </c>
      <c r="L5848" s="2">
        <v>322</v>
      </c>
    </row>
    <row r="5849" spans="1:12" x14ac:dyDescent="0.25">
      <c r="A5849" s="4" t="str">
        <f>HYPERLINK("http://www.rosaceae.org/Prunus/Prunus_persica/p.persica_gdr_reftransV1_0010681","p.persica_gdr_reftransV1_0010681")</f>
        <v>p.persica_gdr_reftransV1_0010681</v>
      </c>
      <c r="B5849" s="2">
        <v>3862</v>
      </c>
      <c r="C5849" s="4" t="str">
        <f>HYPERLINK("http://www.uniprot.org/uniprot/M5XXZ4","M5XXZ4")</f>
        <v>M5XXZ4</v>
      </c>
      <c r="D5849" s="2" t="s">
        <v>5312</v>
      </c>
      <c r="E5849" s="3">
        <v>0</v>
      </c>
      <c r="F5849" s="2">
        <v>5247</v>
      </c>
      <c r="G5849" s="2">
        <v>96</v>
      </c>
      <c r="H5849" s="2">
        <v>1125</v>
      </c>
      <c r="I5849" s="2">
        <v>105</v>
      </c>
      <c r="J5849" s="2">
        <v>3479</v>
      </c>
      <c r="K5849" s="2">
        <v>143</v>
      </c>
      <c r="L5849" s="2">
        <v>1227</v>
      </c>
    </row>
    <row r="5850" spans="1:12" x14ac:dyDescent="0.25">
      <c r="A5850" s="4" t="str">
        <f>HYPERLINK("http://www.rosaceae.org/Prunus/Prunus_persica/p.persica_gdr_reftransV1_0011381","p.persica_gdr_reftransV1_0011381")</f>
        <v>p.persica_gdr_reftransV1_0011381</v>
      </c>
      <c r="B5850" s="2">
        <v>1535</v>
      </c>
      <c r="C5850" s="4" t="str">
        <f>HYPERLINK("http://www.uniprot.org/uniprot/M5WBC5","M5WBC5")</f>
        <v>M5WBC5</v>
      </c>
      <c r="D5850" s="2" t="s">
        <v>3480</v>
      </c>
      <c r="E5850" s="3">
        <v>0</v>
      </c>
      <c r="F5850" s="2">
        <v>1894</v>
      </c>
      <c r="G5850" s="2">
        <v>100</v>
      </c>
      <c r="H5850" s="2">
        <v>376</v>
      </c>
      <c r="I5850" s="2">
        <v>66</v>
      </c>
      <c r="J5850" s="2">
        <v>1193</v>
      </c>
      <c r="K5850" s="2">
        <v>1</v>
      </c>
      <c r="L5850" s="2">
        <v>376</v>
      </c>
    </row>
    <row r="5851" spans="1:12" x14ac:dyDescent="0.25">
      <c r="A5851" s="4" t="str">
        <f>HYPERLINK("http://www.rosaceae.org/Prunus/Prunus_persica/p.persica_gdr_reftransV1_0011731","p.persica_gdr_reftransV1_0011731")</f>
        <v>p.persica_gdr_reftransV1_0011731</v>
      </c>
      <c r="B5851" s="2">
        <v>1188</v>
      </c>
      <c r="C5851" s="4" t="str">
        <f>HYPERLINK("http://www.uniprot.org/uniprot/W9RWZ2","W9RWZ2")</f>
        <v>W9RWZ2</v>
      </c>
      <c r="D5851" s="2" t="s">
        <v>5313</v>
      </c>
      <c r="E5851" s="3">
        <v>2.16E-76</v>
      </c>
      <c r="F5851" s="2">
        <v>633</v>
      </c>
      <c r="G5851" s="2">
        <v>54</v>
      </c>
      <c r="H5851" s="2">
        <v>224</v>
      </c>
      <c r="I5851" s="2">
        <v>220</v>
      </c>
      <c r="J5851" s="2">
        <v>888</v>
      </c>
      <c r="K5851" s="2">
        <v>9</v>
      </c>
      <c r="L5851" s="2">
        <v>232</v>
      </c>
    </row>
    <row r="5852" spans="1:12" x14ac:dyDescent="0.25">
      <c r="A5852" s="4" t="str">
        <f>HYPERLINK("http://www.rosaceae.org/Prunus/Prunus_persica/p.persica_gdr_reftransV1_0012081","p.persica_gdr_reftransV1_0012081")</f>
        <v>p.persica_gdr_reftransV1_0012081</v>
      </c>
      <c r="B5852" s="2">
        <v>787</v>
      </c>
      <c r="C5852" s="4" t="str">
        <f>HYPERLINK("http://www.uniprot.org/uniprot/M5XZV2","M5XZV2")</f>
        <v>M5XZV2</v>
      </c>
      <c r="D5852" s="2" t="s">
        <v>5314</v>
      </c>
      <c r="E5852" s="3">
        <v>1.2000000000000001E-103</v>
      </c>
      <c r="F5852" s="2">
        <v>793</v>
      </c>
      <c r="G5852" s="2">
        <v>100</v>
      </c>
      <c r="H5852" s="2">
        <v>152</v>
      </c>
      <c r="I5852" s="2">
        <v>50</v>
      </c>
      <c r="J5852" s="2">
        <v>505</v>
      </c>
      <c r="K5852" s="2">
        <v>1</v>
      </c>
      <c r="L5852" s="2">
        <v>152</v>
      </c>
    </row>
    <row r="5853" spans="1:12" x14ac:dyDescent="0.25">
      <c r="A5853" s="4" t="str">
        <f>HYPERLINK("http://www.rosaceae.org/Prunus/Prunus_persica/p.persica_gdr_reftransV1_0012781","p.persica_gdr_reftransV1_0012781")</f>
        <v>p.persica_gdr_reftransV1_0012781</v>
      </c>
      <c r="B5853" s="2">
        <v>2781</v>
      </c>
      <c r="C5853" s="4" t="str">
        <f>HYPERLINK("http://www.uniprot.org/uniprot/M5XTD2","M5XTD2")</f>
        <v>M5XTD2</v>
      </c>
      <c r="D5853" s="2" t="s">
        <v>5315</v>
      </c>
      <c r="E5853" s="3">
        <v>0</v>
      </c>
      <c r="F5853" s="2">
        <v>1852</v>
      </c>
      <c r="G5853" s="2">
        <v>91</v>
      </c>
      <c r="H5853" s="2">
        <v>419</v>
      </c>
      <c r="I5853" s="2">
        <v>1227</v>
      </c>
      <c r="J5853" s="2">
        <v>2393</v>
      </c>
      <c r="K5853" s="2">
        <v>8</v>
      </c>
      <c r="L5853" s="2">
        <v>426</v>
      </c>
    </row>
    <row r="5854" spans="1:12" x14ac:dyDescent="0.25">
      <c r="A5854" s="4" t="str">
        <f>HYPERLINK("http://www.rosaceae.org/Prunus/Prunus_persica/p.persica_gdr_reftransV1_0013131","p.persica_gdr_reftransV1_0013131")</f>
        <v>p.persica_gdr_reftransV1_0013131</v>
      </c>
      <c r="B5854" s="2">
        <v>1259</v>
      </c>
      <c r="C5854" s="4" t="str">
        <f>HYPERLINK("http://www.uniprot.org/uniprot/M5XKX9","M5XKX9")</f>
        <v>M5XKX9</v>
      </c>
      <c r="D5854" s="2" t="s">
        <v>5316</v>
      </c>
      <c r="E5854" s="3">
        <v>2.4799999999999999E-80</v>
      </c>
      <c r="F5854" s="2">
        <v>710</v>
      </c>
      <c r="G5854" s="2">
        <v>100</v>
      </c>
      <c r="H5854" s="2">
        <v>130</v>
      </c>
      <c r="I5854" s="2">
        <v>869</v>
      </c>
      <c r="J5854" s="2">
        <v>1258</v>
      </c>
      <c r="K5854" s="2">
        <v>1</v>
      </c>
      <c r="L5854" s="2">
        <v>130</v>
      </c>
    </row>
    <row r="5855" spans="1:12" x14ac:dyDescent="0.25">
      <c r="A5855" s="4" t="str">
        <f>HYPERLINK("http://www.rosaceae.org/Prunus/Prunus_persica/p.persica_gdr_reftransV1_0013831","p.persica_gdr_reftransV1_0013831")</f>
        <v>p.persica_gdr_reftransV1_0013831</v>
      </c>
      <c r="B5855" s="2">
        <v>1486</v>
      </c>
      <c r="C5855" s="4" t="str">
        <f>HYPERLINK("http://www.uniprot.org/uniprot/M5W566","M5W566")</f>
        <v>M5W566</v>
      </c>
      <c r="D5855" s="2" t="s">
        <v>5317</v>
      </c>
      <c r="E5855" s="3">
        <v>3.0400000000000002E-106</v>
      </c>
      <c r="F5855" s="2">
        <v>836</v>
      </c>
      <c r="G5855" s="2">
        <v>100</v>
      </c>
      <c r="H5855" s="2">
        <v>192</v>
      </c>
      <c r="I5855" s="2">
        <v>569</v>
      </c>
      <c r="J5855" s="2">
        <v>1144</v>
      </c>
      <c r="K5855" s="2">
        <v>1</v>
      </c>
      <c r="L5855" s="2">
        <v>192</v>
      </c>
    </row>
    <row r="5856" spans="1:12" x14ac:dyDescent="0.25">
      <c r="A5856" s="4" t="str">
        <f>HYPERLINK("http://www.rosaceae.org/Prunus/Prunus_persica/p.persica_gdr_reftransV1_0014881","p.persica_gdr_reftransV1_0014881")</f>
        <v>p.persica_gdr_reftransV1_0014881</v>
      </c>
      <c r="B5856" s="2">
        <v>1730</v>
      </c>
      <c r="C5856" s="4" t="str">
        <f>HYPERLINK("http://www.uniprot.org/uniprot/M5VQX0","M5VQX0")</f>
        <v>M5VQX0</v>
      </c>
      <c r="D5856" s="2" t="s">
        <v>5318</v>
      </c>
      <c r="E5856" s="3">
        <v>4.77E-140</v>
      </c>
      <c r="F5856" s="2">
        <v>1075</v>
      </c>
      <c r="G5856" s="2">
        <v>100</v>
      </c>
      <c r="H5856" s="2">
        <v>252</v>
      </c>
      <c r="I5856" s="2">
        <v>448</v>
      </c>
      <c r="J5856" s="2">
        <v>1203</v>
      </c>
      <c r="K5856" s="2">
        <v>1</v>
      </c>
      <c r="L5856" s="2">
        <v>252</v>
      </c>
    </row>
    <row r="5857" spans="1:12" x14ac:dyDescent="0.25">
      <c r="A5857" s="4" t="str">
        <f>HYPERLINK("http://www.rosaceae.org/Prunus/Prunus_persica/p.persica_gdr_reftransV1_0015581","p.persica_gdr_reftransV1_0015581")</f>
        <v>p.persica_gdr_reftransV1_0015581</v>
      </c>
      <c r="B5857" s="2">
        <v>822</v>
      </c>
      <c r="C5857" s="4" t="str">
        <f>HYPERLINK("http://www.uniprot.org/uniprot/M5VZ74","M5VZ74")</f>
        <v>M5VZ74</v>
      </c>
      <c r="D5857" s="2" t="s">
        <v>5319</v>
      </c>
      <c r="E5857" s="3">
        <v>1.8999999999999999E-110</v>
      </c>
      <c r="F5857" s="2">
        <v>856</v>
      </c>
      <c r="G5857" s="2">
        <v>100</v>
      </c>
      <c r="H5857" s="2">
        <v>204</v>
      </c>
      <c r="I5857" s="2">
        <v>196</v>
      </c>
      <c r="J5857" s="2">
        <v>807</v>
      </c>
      <c r="K5857" s="2">
        <v>1</v>
      </c>
      <c r="L5857" s="2">
        <v>204</v>
      </c>
    </row>
    <row r="5858" spans="1:12" x14ac:dyDescent="0.25">
      <c r="A5858" s="4" t="str">
        <f>HYPERLINK("http://www.rosaceae.org/Prunus/Prunus_persica/p.persica_gdr_reftransV1_0016281","p.persica_gdr_reftransV1_0016281")</f>
        <v>p.persica_gdr_reftransV1_0016281</v>
      </c>
      <c r="B5858" s="2">
        <v>2315</v>
      </c>
      <c r="C5858" s="4" t="str">
        <f>HYPERLINK("http://www.uniprot.org/uniprot/M5X392","M5X392")</f>
        <v>M5X392</v>
      </c>
      <c r="D5858" s="2" t="s">
        <v>5320</v>
      </c>
      <c r="E5858" s="3">
        <v>0</v>
      </c>
      <c r="F5858" s="2">
        <v>2500</v>
      </c>
      <c r="G5858" s="2">
        <v>96</v>
      </c>
      <c r="H5858" s="2">
        <v>522</v>
      </c>
      <c r="I5858" s="2">
        <v>297</v>
      </c>
      <c r="J5858" s="2">
        <v>1838</v>
      </c>
      <c r="K5858" s="2">
        <v>1</v>
      </c>
      <c r="L5858" s="2">
        <v>509</v>
      </c>
    </row>
    <row r="5859" spans="1:12" x14ac:dyDescent="0.25">
      <c r="A5859" s="4" t="str">
        <f>HYPERLINK("http://www.rosaceae.org/Prunus/Prunus_persica/p.persica_gdr_reftransV1_0016631","p.persica_gdr_reftransV1_0016631")</f>
        <v>p.persica_gdr_reftransV1_0016631</v>
      </c>
      <c r="B5859" s="2">
        <v>1723</v>
      </c>
      <c r="C5859" s="4" t="str">
        <f>HYPERLINK("http://www.uniprot.org/uniprot/M5X1K5","M5X1K5")</f>
        <v>M5X1K5</v>
      </c>
      <c r="D5859" s="2" t="s">
        <v>3702</v>
      </c>
      <c r="E5859" s="3">
        <v>2.5E-176</v>
      </c>
      <c r="F5859" s="2">
        <v>1332</v>
      </c>
      <c r="G5859" s="2">
        <v>99</v>
      </c>
      <c r="H5859" s="2">
        <v>279</v>
      </c>
      <c r="I5859" s="2">
        <v>683</v>
      </c>
      <c r="J5859" s="2">
        <v>1519</v>
      </c>
      <c r="K5859" s="2">
        <v>118</v>
      </c>
      <c r="L5859" s="2">
        <v>396</v>
      </c>
    </row>
    <row r="5860" spans="1:12" x14ac:dyDescent="0.25">
      <c r="A5860" s="4" t="str">
        <f>HYPERLINK("http://www.rosaceae.org/Prunus/Prunus_persica/p.persica_gdr_reftransV1_0017681","p.persica_gdr_reftransV1_0017681")</f>
        <v>p.persica_gdr_reftransV1_0017681</v>
      </c>
      <c r="B5860" s="2">
        <v>3280</v>
      </c>
      <c r="C5860" s="4" t="str">
        <f>HYPERLINK("http://www.uniprot.org/uniprot/M5XAM6","M5XAM6")</f>
        <v>M5XAM6</v>
      </c>
      <c r="D5860" s="2" t="s">
        <v>5321</v>
      </c>
      <c r="E5860" s="3">
        <v>0</v>
      </c>
      <c r="F5860" s="2">
        <v>5417</v>
      </c>
      <c r="G5860" s="2">
        <v>100</v>
      </c>
      <c r="H5860" s="2">
        <v>1038</v>
      </c>
      <c r="I5860" s="2">
        <v>126</v>
      </c>
      <c r="J5860" s="2">
        <v>3239</v>
      </c>
      <c r="K5860" s="2">
        <v>108</v>
      </c>
      <c r="L5860" s="2">
        <v>1145</v>
      </c>
    </row>
    <row r="5861" spans="1:12" x14ac:dyDescent="0.25">
      <c r="A5861" s="4" t="str">
        <f>HYPERLINK("http://www.rosaceae.org/Prunus/Prunus_persica/p.persica_gdr_reftransV1_0018031","p.persica_gdr_reftransV1_0018031")</f>
        <v>p.persica_gdr_reftransV1_0018031</v>
      </c>
      <c r="B5861" s="2">
        <v>2164</v>
      </c>
      <c r="C5861" s="4" t="str">
        <f>HYPERLINK("http://www.uniprot.org/uniprot/M5W325","M5W325")</f>
        <v>M5W325</v>
      </c>
      <c r="D5861" s="2" t="s">
        <v>5322</v>
      </c>
      <c r="E5861" s="3">
        <v>2.99E-173</v>
      </c>
      <c r="F5861" s="2">
        <v>1309</v>
      </c>
      <c r="G5861" s="2">
        <v>100</v>
      </c>
      <c r="H5861" s="2">
        <v>247</v>
      </c>
      <c r="I5861" s="2">
        <v>325</v>
      </c>
      <c r="J5861" s="2">
        <v>1065</v>
      </c>
      <c r="K5861" s="2">
        <v>7</v>
      </c>
      <c r="L5861" s="2">
        <v>253</v>
      </c>
    </row>
    <row r="5862" spans="1:12" x14ac:dyDescent="0.25">
      <c r="A5862" s="4" t="str">
        <f>HYPERLINK("http://www.rosaceae.org/Prunus/Prunus_persica/p.persica_gdr_reftransV1_0019781","p.persica_gdr_reftransV1_0019781")</f>
        <v>p.persica_gdr_reftransV1_0019781</v>
      </c>
      <c r="B5862" s="2">
        <v>446</v>
      </c>
      <c r="C5862" s="4" t="str">
        <f>HYPERLINK("http://www.uniprot.org/uniprot/M5WNF8","M5WNF8")</f>
        <v>M5WNF8</v>
      </c>
      <c r="D5862" s="2" t="s">
        <v>5323</v>
      </c>
      <c r="E5862" s="3">
        <v>4.3900000000000002E-21</v>
      </c>
      <c r="F5862" s="2">
        <v>245</v>
      </c>
      <c r="G5862" s="2">
        <v>53</v>
      </c>
      <c r="H5862" s="2">
        <v>107</v>
      </c>
      <c r="I5862" s="2">
        <v>3</v>
      </c>
      <c r="J5862" s="2">
        <v>320</v>
      </c>
      <c r="K5862" s="2">
        <v>490</v>
      </c>
      <c r="L5862" s="2">
        <v>596</v>
      </c>
    </row>
    <row r="5863" spans="1:12" x14ac:dyDescent="0.25">
      <c r="A5863" s="4" t="str">
        <f>HYPERLINK("http://www.rosaceae.org/Prunus/Prunus_persica/p.persica_gdr_reftransV1_0020131","p.persica_gdr_reftransV1_0020131")</f>
        <v>p.persica_gdr_reftransV1_0020131</v>
      </c>
      <c r="B5863" s="2">
        <v>1917</v>
      </c>
      <c r="C5863" s="4" t="str">
        <f>HYPERLINK("http://www.uniprot.org/uniprot/M5WFQ7","M5WFQ7")</f>
        <v>M5WFQ7</v>
      </c>
      <c r="D5863" s="2" t="s">
        <v>5324</v>
      </c>
      <c r="E5863" s="3">
        <v>0</v>
      </c>
      <c r="F5863" s="2">
        <v>1950</v>
      </c>
      <c r="G5863" s="2">
        <v>100</v>
      </c>
      <c r="H5863" s="2">
        <v>381</v>
      </c>
      <c r="I5863" s="2">
        <v>487</v>
      </c>
      <c r="J5863" s="2">
        <v>1629</v>
      </c>
      <c r="K5863" s="2">
        <v>1</v>
      </c>
      <c r="L5863" s="2">
        <v>381</v>
      </c>
    </row>
    <row r="5864" spans="1:12" x14ac:dyDescent="0.25">
      <c r="A5864" s="4" t="str">
        <f>HYPERLINK("http://www.rosaceae.org/Prunus/Prunus_persica/p.persica_gdr_reftransV1_0021531","p.persica_gdr_reftransV1_0021531")</f>
        <v>p.persica_gdr_reftransV1_0021531</v>
      </c>
      <c r="B5864" s="2">
        <v>2674</v>
      </c>
      <c r="C5864" s="4" t="str">
        <f>HYPERLINK("http://www.uniprot.org/uniprot/M5VPR8","M5VPR8")</f>
        <v>M5VPR8</v>
      </c>
      <c r="D5864" s="2" t="s">
        <v>5325</v>
      </c>
      <c r="E5864" s="3">
        <v>0</v>
      </c>
      <c r="F5864" s="2">
        <v>1714</v>
      </c>
      <c r="G5864" s="2">
        <v>100</v>
      </c>
      <c r="H5864" s="2">
        <v>332</v>
      </c>
      <c r="I5864" s="2">
        <v>223</v>
      </c>
      <c r="J5864" s="2">
        <v>1218</v>
      </c>
      <c r="K5864" s="2">
        <v>1</v>
      </c>
      <c r="L5864" s="2">
        <v>332</v>
      </c>
    </row>
    <row r="5865" spans="1:12" x14ac:dyDescent="0.25">
      <c r="A5865" s="4" t="str">
        <f>HYPERLINK("http://www.rosaceae.org/Prunus/Prunus_persica/p.persica_gdr_reftransV1_0021881","p.persica_gdr_reftransV1_0021881")</f>
        <v>p.persica_gdr_reftransV1_0021881</v>
      </c>
      <c r="B5865" s="2">
        <v>1818</v>
      </c>
      <c r="C5865" s="4" t="str">
        <f>HYPERLINK("http://www.uniprot.org/uniprot/M5WP98","M5WP98")</f>
        <v>M5WP98</v>
      </c>
      <c r="D5865" s="2" t="s">
        <v>2624</v>
      </c>
      <c r="E5865" s="3">
        <v>0</v>
      </c>
      <c r="F5865" s="2">
        <v>1795</v>
      </c>
      <c r="G5865" s="2">
        <v>100</v>
      </c>
      <c r="H5865" s="2">
        <v>355</v>
      </c>
      <c r="I5865" s="2">
        <v>359</v>
      </c>
      <c r="J5865" s="2">
        <v>1423</v>
      </c>
      <c r="K5865" s="2">
        <v>151</v>
      </c>
      <c r="L5865" s="2">
        <v>505</v>
      </c>
    </row>
    <row r="5866" spans="1:12" x14ac:dyDescent="0.25">
      <c r="A5866" s="4" t="str">
        <f>HYPERLINK("http://www.rosaceae.org/Prunus/Prunus_persica/p.persica_gdr_reftransV1_0022931","p.persica_gdr_reftransV1_0022931")</f>
        <v>p.persica_gdr_reftransV1_0022931</v>
      </c>
      <c r="B5866" s="2">
        <v>1709</v>
      </c>
      <c r="C5866" s="4" t="str">
        <f>HYPERLINK("http://www.uniprot.org/uniprot/M5WJM3","M5WJM3")</f>
        <v>M5WJM3</v>
      </c>
      <c r="D5866" s="2" t="s">
        <v>5326</v>
      </c>
      <c r="E5866" s="3">
        <v>5.5799999999999996E-164</v>
      </c>
      <c r="F5866" s="2">
        <v>1232</v>
      </c>
      <c r="G5866" s="2">
        <v>83</v>
      </c>
      <c r="H5866" s="2">
        <v>293</v>
      </c>
      <c r="I5866" s="2">
        <v>140</v>
      </c>
      <c r="J5866" s="2">
        <v>1018</v>
      </c>
      <c r="K5866" s="2">
        <v>1</v>
      </c>
      <c r="L5866" s="2">
        <v>243</v>
      </c>
    </row>
    <row r="5867" spans="1:12" x14ac:dyDescent="0.25">
      <c r="A5867" s="4" t="str">
        <f>HYPERLINK("http://www.rosaceae.org/Prunus/Prunus_persica/p.persica_gdr_reftransV1_0024331","p.persica_gdr_reftransV1_0024331")</f>
        <v>p.persica_gdr_reftransV1_0024331</v>
      </c>
      <c r="B5867" s="2">
        <v>1443</v>
      </c>
      <c r="C5867" s="4" t="str">
        <f>HYPERLINK("http://www.uniprot.org/uniprot/M5WTR3","M5WTR3")</f>
        <v>M5WTR3</v>
      </c>
      <c r="D5867" s="2" t="s">
        <v>5327</v>
      </c>
      <c r="E5867" s="3">
        <v>8.6599999999999994E-157</v>
      </c>
      <c r="F5867" s="2">
        <v>1176</v>
      </c>
      <c r="G5867" s="2">
        <v>100</v>
      </c>
      <c r="H5867" s="2">
        <v>247</v>
      </c>
      <c r="I5867" s="2">
        <v>579</v>
      </c>
      <c r="J5867" s="2">
        <v>1319</v>
      </c>
      <c r="K5867" s="2">
        <v>1</v>
      </c>
      <c r="L5867" s="2">
        <v>247</v>
      </c>
    </row>
    <row r="5868" spans="1:12" x14ac:dyDescent="0.25">
      <c r="A5868" s="4" t="str">
        <f>HYPERLINK("http://www.rosaceae.org/Prunus/Prunus_persica/p.persica_gdr_reftransV1_0024681","p.persica_gdr_reftransV1_0024681")</f>
        <v>p.persica_gdr_reftransV1_0024681</v>
      </c>
      <c r="B5868" s="2">
        <v>2139</v>
      </c>
      <c r="C5868" s="4" t="str">
        <f>HYPERLINK("http://www.uniprot.org/uniprot/M5VIA3","M5VIA3")</f>
        <v>M5VIA3</v>
      </c>
      <c r="D5868" s="2" t="s">
        <v>4803</v>
      </c>
      <c r="E5868" s="3">
        <v>0</v>
      </c>
      <c r="F5868" s="2">
        <v>2676</v>
      </c>
      <c r="G5868" s="2">
        <v>100</v>
      </c>
      <c r="H5868" s="2">
        <v>563</v>
      </c>
      <c r="I5868" s="2">
        <v>450</v>
      </c>
      <c r="J5868" s="2">
        <v>2138</v>
      </c>
      <c r="K5868" s="2">
        <v>9</v>
      </c>
      <c r="L5868" s="2">
        <v>571</v>
      </c>
    </row>
    <row r="5869" spans="1:12" x14ac:dyDescent="0.25">
      <c r="A5869" s="4" t="str">
        <f>HYPERLINK("http://www.rosaceae.org/Prunus/Prunus_persica/p.persica_gdr_reftransV1_0027481","p.persica_gdr_reftransV1_0027481")</f>
        <v>p.persica_gdr_reftransV1_0027481</v>
      </c>
      <c r="B5869" s="2">
        <v>1722</v>
      </c>
      <c r="C5869" s="4" t="str">
        <f>HYPERLINK("http://www.uniprot.org/uniprot/M5XPM9","M5XPM9")</f>
        <v>M5XPM9</v>
      </c>
      <c r="D5869" s="2" t="s">
        <v>5328</v>
      </c>
      <c r="E5869" s="3">
        <v>0</v>
      </c>
      <c r="F5869" s="2">
        <v>1863</v>
      </c>
      <c r="G5869" s="2">
        <v>100</v>
      </c>
      <c r="H5869" s="2">
        <v>349</v>
      </c>
      <c r="I5869" s="2">
        <v>496</v>
      </c>
      <c r="J5869" s="2">
        <v>1542</v>
      </c>
      <c r="K5869" s="2">
        <v>1</v>
      </c>
      <c r="L5869" s="2">
        <v>349</v>
      </c>
    </row>
    <row r="5870" spans="1:12" x14ac:dyDescent="0.25">
      <c r="A5870" s="4" t="str">
        <f>HYPERLINK("http://www.rosaceae.org/Prunus/Prunus_persica/p.persica_gdr_reftransV1_0029581","p.persica_gdr_reftransV1_0029581")</f>
        <v>p.persica_gdr_reftransV1_0029581</v>
      </c>
      <c r="B5870" s="2">
        <v>3690</v>
      </c>
      <c r="C5870" s="4" t="str">
        <f>HYPERLINK("http://www.uniprot.org/uniprot/M5WKV0","M5WKV0")</f>
        <v>M5WKV0</v>
      </c>
      <c r="D5870" s="2" t="s">
        <v>5329</v>
      </c>
      <c r="E5870" s="3">
        <v>7.74E-41</v>
      </c>
      <c r="F5870" s="2">
        <v>399</v>
      </c>
      <c r="G5870" s="2">
        <v>100</v>
      </c>
      <c r="H5870" s="2">
        <v>76</v>
      </c>
      <c r="I5870" s="2">
        <v>1940</v>
      </c>
      <c r="J5870" s="2">
        <v>2167</v>
      </c>
      <c r="K5870" s="2">
        <v>16</v>
      </c>
      <c r="L5870" s="2">
        <v>91</v>
      </c>
    </row>
    <row r="5871" spans="1:12" x14ac:dyDescent="0.25">
      <c r="A5871" s="4" t="str">
        <f>HYPERLINK("http://www.rosaceae.org/Prunus/Prunus_persica/p.persica_gdr_reftransV1_0030981","p.persica_gdr_reftransV1_0030981")</f>
        <v>p.persica_gdr_reftransV1_0030981</v>
      </c>
      <c r="B5871" s="2">
        <v>3085</v>
      </c>
      <c r="C5871" s="4" t="str">
        <f>HYPERLINK("http://www.uniprot.org/uniprot/M5XL15","M5XL15")</f>
        <v>M5XL15</v>
      </c>
      <c r="D5871" s="2" t="s">
        <v>5330</v>
      </c>
      <c r="E5871" s="3">
        <v>0</v>
      </c>
      <c r="F5871" s="2">
        <v>4818</v>
      </c>
      <c r="G5871" s="2">
        <v>100</v>
      </c>
      <c r="H5871" s="2">
        <v>973</v>
      </c>
      <c r="I5871" s="2">
        <v>81</v>
      </c>
      <c r="J5871" s="2">
        <v>2999</v>
      </c>
      <c r="K5871" s="2">
        <v>1</v>
      </c>
      <c r="L5871" s="2">
        <v>973</v>
      </c>
    </row>
    <row r="5872" spans="1:12" x14ac:dyDescent="0.25">
      <c r="A5872" s="4" t="str">
        <f>HYPERLINK("http://www.rosaceae.org/Prunus/Prunus_persica/p.persica_gdr_reftransV1_0032381","p.persica_gdr_reftransV1_0032381")</f>
        <v>p.persica_gdr_reftransV1_0032381</v>
      </c>
      <c r="B5872" s="2">
        <v>2190</v>
      </c>
      <c r="C5872" s="4" t="str">
        <f>HYPERLINK("http://www.uniprot.org/uniprot/M5W801","M5W801")</f>
        <v>M5W801</v>
      </c>
      <c r="D5872" s="2" t="s">
        <v>5331</v>
      </c>
      <c r="E5872" s="3">
        <v>0</v>
      </c>
      <c r="F5872" s="2">
        <v>2329</v>
      </c>
      <c r="G5872" s="2">
        <v>99</v>
      </c>
      <c r="H5872" s="2">
        <v>443</v>
      </c>
      <c r="I5872" s="2">
        <v>188</v>
      </c>
      <c r="J5872" s="2">
        <v>1516</v>
      </c>
      <c r="K5872" s="2">
        <v>1</v>
      </c>
      <c r="L5872" s="2">
        <v>443</v>
      </c>
    </row>
    <row r="5873" spans="1:12" x14ac:dyDescent="0.25">
      <c r="A5873" s="4" t="str">
        <f>HYPERLINK("http://www.rosaceae.org/Prunus/Prunus_persica/p.persica_gdr_reftransV1_0032731","p.persica_gdr_reftransV1_0032731")</f>
        <v>p.persica_gdr_reftransV1_0032731</v>
      </c>
      <c r="B5873" s="2">
        <v>831</v>
      </c>
      <c r="C5873" s="4" t="str">
        <f>HYPERLINK("http://www.uniprot.org/uniprot/M5WLR4","M5WLR4")</f>
        <v>M5WLR4</v>
      </c>
      <c r="D5873" s="2" t="s">
        <v>2002</v>
      </c>
      <c r="E5873" s="3">
        <v>1.0800000000000001E-120</v>
      </c>
      <c r="F5873" s="2">
        <v>935</v>
      </c>
      <c r="G5873" s="2">
        <v>99</v>
      </c>
      <c r="H5873" s="2">
        <v>171</v>
      </c>
      <c r="I5873" s="2">
        <v>317</v>
      </c>
      <c r="J5873" s="2">
        <v>829</v>
      </c>
      <c r="K5873" s="2">
        <v>273</v>
      </c>
      <c r="L5873" s="2">
        <v>443</v>
      </c>
    </row>
    <row r="5874" spans="1:12" x14ac:dyDescent="0.25">
      <c r="A5874" s="4" t="str">
        <f>HYPERLINK("http://www.rosaceae.org/Prunus/Prunus_persica/p.persica_gdr_reftransV1_0034481","p.persica_gdr_reftransV1_0034481")</f>
        <v>p.persica_gdr_reftransV1_0034481</v>
      </c>
      <c r="B5874" s="2">
        <v>1784</v>
      </c>
      <c r="C5874" s="4" t="str">
        <f>HYPERLINK("http://www.uniprot.org/uniprot/M5VLQ1","M5VLQ1")</f>
        <v>M5VLQ1</v>
      </c>
      <c r="D5874" s="2" t="s">
        <v>5332</v>
      </c>
      <c r="E5874" s="3">
        <v>3.0600000000000001E-123</v>
      </c>
      <c r="F5874" s="2">
        <v>964</v>
      </c>
      <c r="G5874" s="2">
        <v>95</v>
      </c>
      <c r="H5874" s="2">
        <v>195</v>
      </c>
      <c r="I5874" s="2">
        <v>792</v>
      </c>
      <c r="J5874" s="2">
        <v>1376</v>
      </c>
      <c r="K5874" s="2">
        <v>59</v>
      </c>
      <c r="L5874" s="2">
        <v>253</v>
      </c>
    </row>
    <row r="5875" spans="1:12" x14ac:dyDescent="0.25">
      <c r="A5875" s="4" t="str">
        <f>HYPERLINK("http://www.rosaceae.org/Prunus/Prunus_persica/p.persica_gdr_reftransV1_0038331","p.persica_gdr_reftransV1_0038331")</f>
        <v>p.persica_gdr_reftransV1_0038331</v>
      </c>
      <c r="B5875" s="2">
        <v>2264</v>
      </c>
      <c r="C5875" s="4" t="str">
        <f>HYPERLINK("http://www.uniprot.org/uniprot/M5VVV9","M5VVV9")</f>
        <v>M5VVV9</v>
      </c>
      <c r="D5875" s="2" t="s">
        <v>5333</v>
      </c>
      <c r="E5875" s="3">
        <v>0</v>
      </c>
      <c r="F5875" s="2">
        <v>2135</v>
      </c>
      <c r="G5875" s="2">
        <v>90</v>
      </c>
      <c r="H5875" s="2">
        <v>499</v>
      </c>
      <c r="I5875" s="2">
        <v>432</v>
      </c>
      <c r="J5875" s="2">
        <v>1928</v>
      </c>
      <c r="K5875" s="2">
        <v>1</v>
      </c>
      <c r="L5875" s="2">
        <v>449</v>
      </c>
    </row>
    <row r="5876" spans="1:12" x14ac:dyDescent="0.25">
      <c r="A5876" s="4" t="str">
        <f>HYPERLINK("http://www.rosaceae.org/Prunus/Prunus_persica/p.persica_gdr_reftransV1_0039381","p.persica_gdr_reftransV1_0039381")</f>
        <v>p.persica_gdr_reftransV1_0039381</v>
      </c>
      <c r="B5876" s="2">
        <v>2554</v>
      </c>
      <c r="C5876" s="4" t="str">
        <f>HYPERLINK("http://www.uniprot.org/uniprot/M5X078","M5X078")</f>
        <v>M5X078</v>
      </c>
      <c r="D5876" s="2" t="s">
        <v>5334</v>
      </c>
      <c r="E5876" s="3">
        <v>0</v>
      </c>
      <c r="F5876" s="2">
        <v>3132</v>
      </c>
      <c r="G5876" s="2">
        <v>100</v>
      </c>
      <c r="H5876" s="2">
        <v>584</v>
      </c>
      <c r="I5876" s="2">
        <v>509</v>
      </c>
      <c r="J5876" s="2">
        <v>2260</v>
      </c>
      <c r="K5876" s="2">
        <v>1</v>
      </c>
      <c r="L5876" s="2">
        <v>584</v>
      </c>
    </row>
    <row r="5877" spans="1:12" x14ac:dyDescent="0.25">
      <c r="A5877" s="4" t="str">
        <f>HYPERLINK("http://www.rosaceae.org/Prunus/Prunus_persica/p.persica_gdr_reftransV1_0043231","p.persica_gdr_reftransV1_0043231")</f>
        <v>p.persica_gdr_reftransV1_0043231</v>
      </c>
      <c r="B5877" s="2">
        <v>2366</v>
      </c>
      <c r="C5877" s="4" t="str">
        <f>HYPERLINK("http://www.uniprot.org/uniprot/M5W993","M5W993")</f>
        <v>M5W993</v>
      </c>
      <c r="D5877" s="2" t="s">
        <v>5335</v>
      </c>
      <c r="E5877" s="3">
        <v>0</v>
      </c>
      <c r="F5877" s="2">
        <v>2844</v>
      </c>
      <c r="G5877" s="2">
        <v>100</v>
      </c>
      <c r="H5877" s="2">
        <v>559</v>
      </c>
      <c r="I5877" s="2">
        <v>318</v>
      </c>
      <c r="J5877" s="2">
        <v>1994</v>
      </c>
      <c r="K5877" s="2">
        <v>1</v>
      </c>
      <c r="L5877" s="2">
        <v>559</v>
      </c>
    </row>
    <row r="5878" spans="1:12" x14ac:dyDescent="0.25">
      <c r="A5878" s="4" t="str">
        <f>HYPERLINK("http://www.rosaceae.org/Prunus/Prunus_persica/p.persica_gdr_reftransV1_0043581","p.persica_gdr_reftransV1_0043581")</f>
        <v>p.persica_gdr_reftransV1_0043581</v>
      </c>
      <c r="B5878" s="2">
        <v>527</v>
      </c>
      <c r="C5878" s="4" t="str">
        <f>HYPERLINK("http://www.uniprot.org/uniprot/B9SWM9","B9SWM9")</f>
        <v>B9SWM9</v>
      </c>
      <c r="D5878" s="2" t="s">
        <v>5336</v>
      </c>
      <c r="E5878" s="3">
        <v>6.4500000000000003E-63</v>
      </c>
      <c r="F5878" s="2">
        <v>539</v>
      </c>
      <c r="G5878" s="2">
        <v>68</v>
      </c>
      <c r="H5878" s="2">
        <v>167</v>
      </c>
      <c r="I5878" s="2">
        <v>24</v>
      </c>
      <c r="J5878" s="2">
        <v>524</v>
      </c>
      <c r="K5878" s="2">
        <v>71</v>
      </c>
      <c r="L5878" s="2">
        <v>236</v>
      </c>
    </row>
    <row r="5879" spans="1:12" x14ac:dyDescent="0.25">
      <c r="A5879" s="4" t="str">
        <f>HYPERLINK("http://www.rosaceae.org/Prunus/Prunus_persica/p.persica_gdr_reftransV1_0043931","p.persica_gdr_reftransV1_0043931")</f>
        <v>p.persica_gdr_reftransV1_0043931</v>
      </c>
      <c r="B5879" s="2">
        <v>820</v>
      </c>
      <c r="C5879" s="4" t="str">
        <f>HYPERLINK("http://www.uniprot.org/uniprot/M5X150","M5X150")</f>
        <v>M5X150</v>
      </c>
      <c r="D5879" s="2" t="s">
        <v>5337</v>
      </c>
      <c r="E5879" s="3">
        <v>7.3200000000000001E-81</v>
      </c>
      <c r="F5879" s="2">
        <v>640</v>
      </c>
      <c r="G5879" s="2">
        <v>100</v>
      </c>
      <c r="H5879" s="2">
        <v>122</v>
      </c>
      <c r="I5879" s="2">
        <v>348</v>
      </c>
      <c r="J5879" s="2">
        <v>713</v>
      </c>
      <c r="K5879" s="2">
        <v>1</v>
      </c>
      <c r="L5879" s="2">
        <v>122</v>
      </c>
    </row>
    <row r="5880" spans="1:12" x14ac:dyDescent="0.25">
      <c r="A5880" s="4" t="str">
        <f>HYPERLINK("http://www.rosaceae.org/Prunus/Prunus_persica/p.persica_gdr_reftransV1_0044281","p.persica_gdr_reftransV1_0044281")</f>
        <v>p.persica_gdr_reftransV1_0044281</v>
      </c>
      <c r="B5880" s="2">
        <v>730</v>
      </c>
      <c r="C5880" s="4" t="str">
        <f>HYPERLINK("http://www.uniprot.org/uniprot/M5XES6","M5XES6")</f>
        <v>M5XES6</v>
      </c>
      <c r="D5880" s="2" t="s">
        <v>5338</v>
      </c>
      <c r="E5880" s="3">
        <v>1.14E-127</v>
      </c>
      <c r="F5880" s="2">
        <v>960</v>
      </c>
      <c r="G5880" s="2">
        <v>100</v>
      </c>
      <c r="H5880" s="2">
        <v>185</v>
      </c>
      <c r="I5880" s="2">
        <v>93</v>
      </c>
      <c r="J5880" s="2">
        <v>647</v>
      </c>
      <c r="K5880" s="2">
        <v>77</v>
      </c>
      <c r="L5880" s="2">
        <v>261</v>
      </c>
    </row>
    <row r="5881" spans="1:12" x14ac:dyDescent="0.25">
      <c r="A5881" s="4" t="str">
        <f>HYPERLINK("http://www.rosaceae.org/Prunus/Prunus_persica/p.persica_gdr_reftransV1_0044631","p.persica_gdr_reftransV1_0044631")</f>
        <v>p.persica_gdr_reftransV1_0044631</v>
      </c>
      <c r="B5881" s="2">
        <v>1282</v>
      </c>
      <c r="C5881" s="4" t="str">
        <f>HYPERLINK("http://www.uniprot.org/uniprot/M5WUD8","M5WUD8")</f>
        <v>M5WUD8</v>
      </c>
      <c r="D5881" s="2" t="s">
        <v>5339</v>
      </c>
      <c r="E5881" s="3">
        <v>0</v>
      </c>
      <c r="F5881" s="2">
        <v>1364</v>
      </c>
      <c r="G5881" s="2">
        <v>78</v>
      </c>
      <c r="H5881" s="2">
        <v>340</v>
      </c>
      <c r="I5881" s="2">
        <v>228</v>
      </c>
      <c r="J5881" s="2">
        <v>1070</v>
      </c>
      <c r="K5881" s="2">
        <v>215</v>
      </c>
      <c r="L5881" s="2">
        <v>554</v>
      </c>
    </row>
    <row r="5882" spans="1:12" x14ac:dyDescent="0.25">
      <c r="A5882" s="4" t="str">
        <f>HYPERLINK("http://www.rosaceae.org/Prunus/Prunus_persica/p.persica_gdr_reftransV1_0044981","p.persica_gdr_reftransV1_0044981")</f>
        <v>p.persica_gdr_reftransV1_0044981</v>
      </c>
      <c r="B5882" s="2">
        <v>1049</v>
      </c>
      <c r="C5882" s="4" t="str">
        <f>HYPERLINK("http://www.uniprot.org/uniprot/M5XVG6","M5XVG6")</f>
        <v>M5XVG6</v>
      </c>
      <c r="D5882" s="2" t="s">
        <v>752</v>
      </c>
      <c r="E5882" s="3">
        <v>0</v>
      </c>
      <c r="F5882" s="2">
        <v>1875</v>
      </c>
      <c r="G5882" s="2">
        <v>100</v>
      </c>
      <c r="H5882" s="2">
        <v>349</v>
      </c>
      <c r="I5882" s="2">
        <v>1</v>
      </c>
      <c r="J5882" s="2">
        <v>1047</v>
      </c>
      <c r="K5882" s="2">
        <v>1242</v>
      </c>
      <c r="L5882" s="2">
        <v>1590</v>
      </c>
    </row>
    <row r="5883" spans="1:12" x14ac:dyDescent="0.25">
      <c r="A5883" s="4" t="str">
        <f>HYPERLINK("http://www.rosaceae.org/Prunus/Prunus_persica/p.persica_gdr_reftransV1_0045331","p.persica_gdr_reftransV1_0045331")</f>
        <v>p.persica_gdr_reftransV1_0045331</v>
      </c>
      <c r="B5883" s="2">
        <v>2574</v>
      </c>
      <c r="C5883" s="4" t="str">
        <f>HYPERLINK("http://www.uniprot.org/uniprot/W9RBZ8","W9RBZ8")</f>
        <v>W9RBZ8</v>
      </c>
      <c r="D5883" s="2" t="s">
        <v>5340</v>
      </c>
      <c r="E5883" s="3">
        <v>0</v>
      </c>
      <c r="F5883" s="2">
        <v>2122</v>
      </c>
      <c r="G5883" s="2">
        <v>73</v>
      </c>
      <c r="H5883" s="2">
        <v>616</v>
      </c>
      <c r="I5883" s="2">
        <v>612</v>
      </c>
      <c r="J5883" s="2">
        <v>2354</v>
      </c>
      <c r="K5883" s="2">
        <v>1</v>
      </c>
      <c r="L5883" s="2">
        <v>611</v>
      </c>
    </row>
    <row r="5884" spans="1:12" x14ac:dyDescent="0.25">
      <c r="A5884" s="4" t="str">
        <f>HYPERLINK("http://www.rosaceae.org/Prunus/Prunus_persica/p.persica_gdr_reftransV1_0045681","p.persica_gdr_reftransV1_0045681")</f>
        <v>p.persica_gdr_reftransV1_0045681</v>
      </c>
      <c r="B5884" s="2">
        <v>850</v>
      </c>
      <c r="C5884" s="4" t="str">
        <f>HYPERLINK("http://www.uniprot.org/uniprot/M5WT41","M5WT41")</f>
        <v>M5WT41</v>
      </c>
      <c r="D5884" s="2" t="s">
        <v>5341</v>
      </c>
      <c r="E5884" s="3">
        <v>1.3E-53</v>
      </c>
      <c r="F5884" s="2">
        <v>477</v>
      </c>
      <c r="G5884" s="2">
        <v>100</v>
      </c>
      <c r="H5884" s="2">
        <v>91</v>
      </c>
      <c r="I5884" s="2">
        <v>577</v>
      </c>
      <c r="J5884" s="2">
        <v>849</v>
      </c>
      <c r="K5884" s="2">
        <v>26</v>
      </c>
      <c r="L5884" s="2">
        <v>116</v>
      </c>
    </row>
    <row r="5885" spans="1:12" x14ac:dyDescent="0.25">
      <c r="A5885" s="4" t="str">
        <f>HYPERLINK("http://www.rosaceae.org/Prunus/Prunus_persica/p.persica_gdr_reftransV1_0046731","p.persica_gdr_reftransV1_0046731")</f>
        <v>p.persica_gdr_reftransV1_0046731</v>
      </c>
      <c r="B5885" s="2">
        <v>682</v>
      </c>
      <c r="C5885" s="4" t="str">
        <f>HYPERLINK("http://www.uniprot.org/uniprot/M5XF45","M5XF45")</f>
        <v>M5XF45</v>
      </c>
      <c r="D5885" s="2" t="s">
        <v>5342</v>
      </c>
      <c r="E5885" s="3">
        <v>1.15E-146</v>
      </c>
      <c r="F5885" s="2">
        <v>1089</v>
      </c>
      <c r="G5885" s="2">
        <v>100</v>
      </c>
      <c r="H5885" s="2">
        <v>205</v>
      </c>
      <c r="I5885" s="2">
        <v>4</v>
      </c>
      <c r="J5885" s="2">
        <v>618</v>
      </c>
      <c r="K5885" s="2">
        <v>114</v>
      </c>
      <c r="L5885" s="2">
        <v>318</v>
      </c>
    </row>
    <row r="5886" spans="1:12" x14ac:dyDescent="0.25">
      <c r="A5886" s="4" t="str">
        <f>HYPERLINK("http://www.rosaceae.org/Prunus/Prunus_persica/p.persica_gdr_reftransV1_0047081","p.persica_gdr_reftransV1_0047081")</f>
        <v>p.persica_gdr_reftransV1_0047081</v>
      </c>
      <c r="B5886" s="2">
        <v>326</v>
      </c>
      <c r="C5886" s="4" t="str">
        <f>HYPERLINK("http://www.uniprot.org/uniprot/M5XEH0","M5XEH0")</f>
        <v>M5XEH0</v>
      </c>
      <c r="D5886" s="2" t="s">
        <v>5343</v>
      </c>
      <c r="E5886" s="3">
        <v>7.5999999999999995E-69</v>
      </c>
      <c r="F5886" s="2">
        <v>560</v>
      </c>
      <c r="G5886" s="2">
        <v>99</v>
      </c>
      <c r="H5886" s="2">
        <v>108</v>
      </c>
      <c r="I5886" s="2">
        <v>3</v>
      </c>
      <c r="J5886" s="2">
        <v>326</v>
      </c>
      <c r="K5886" s="2">
        <v>132</v>
      </c>
      <c r="L5886" s="2">
        <v>239</v>
      </c>
    </row>
    <row r="5887" spans="1:12" x14ac:dyDescent="0.25">
      <c r="A5887" s="4" t="str">
        <f>HYPERLINK("http://www.rosaceae.org/Prunus/Prunus_persica/p.persica_gdr_reftransV1_0047431","p.persica_gdr_reftransV1_0047431")</f>
        <v>p.persica_gdr_reftransV1_0047431</v>
      </c>
      <c r="B5887" s="2">
        <v>986</v>
      </c>
      <c r="C5887" s="4" t="str">
        <f>HYPERLINK("http://www.uniprot.org/uniprot/M5W7L9","M5W7L9")</f>
        <v>M5W7L9</v>
      </c>
      <c r="D5887" s="2" t="s">
        <v>5344</v>
      </c>
      <c r="E5887" s="3">
        <v>1.0700000000000001E-88</v>
      </c>
      <c r="F5887" s="2">
        <v>503</v>
      </c>
      <c r="G5887" s="2">
        <v>85</v>
      </c>
      <c r="H5887" s="2">
        <v>151</v>
      </c>
      <c r="I5887" s="2">
        <v>13</v>
      </c>
      <c r="J5887" s="2">
        <v>429</v>
      </c>
      <c r="K5887" s="2">
        <v>840</v>
      </c>
      <c r="L5887" s="2">
        <v>990</v>
      </c>
    </row>
    <row r="5888" spans="1:12" x14ac:dyDescent="0.25">
      <c r="A5888" s="4" t="str">
        <f>HYPERLINK("http://www.rosaceae.org/Prunus/Prunus_persica/p.persica_gdr_reftransV1_0047781","p.persica_gdr_reftransV1_0047781")</f>
        <v>p.persica_gdr_reftransV1_0047781</v>
      </c>
      <c r="B5888" s="2">
        <v>1285</v>
      </c>
      <c r="C5888" s="4" t="str">
        <f>HYPERLINK("http://www.uniprot.org/uniprot/M5VRM0","M5VRM0")</f>
        <v>M5VRM0</v>
      </c>
      <c r="D5888" s="2" t="s">
        <v>5345</v>
      </c>
      <c r="E5888" s="3">
        <v>0</v>
      </c>
      <c r="F5888" s="2">
        <v>1356</v>
      </c>
      <c r="G5888" s="2">
        <v>100</v>
      </c>
      <c r="H5888" s="2">
        <v>264</v>
      </c>
      <c r="I5888" s="2">
        <v>143</v>
      </c>
      <c r="J5888" s="2">
        <v>934</v>
      </c>
      <c r="K5888" s="2">
        <v>1</v>
      </c>
      <c r="L5888" s="2">
        <v>264</v>
      </c>
    </row>
    <row r="5889" spans="1:12" x14ac:dyDescent="0.25">
      <c r="A5889" s="4" t="str">
        <f>HYPERLINK("http://www.rosaceae.org/Prunus/Prunus_persica/p.persica_gdr_reftransV1_0048131","p.persica_gdr_reftransV1_0048131")</f>
        <v>p.persica_gdr_reftransV1_0048131</v>
      </c>
      <c r="B5889" s="2">
        <v>666</v>
      </c>
      <c r="C5889" s="4" t="str">
        <f>HYPERLINK("http://www.uniprot.org/uniprot/M5XQM4","M5XQM4")</f>
        <v>M5XQM4</v>
      </c>
      <c r="D5889" s="2" t="s">
        <v>5346</v>
      </c>
      <c r="E5889" s="3">
        <v>4.8600000000000001E-39</v>
      </c>
      <c r="F5889" s="2">
        <v>353</v>
      </c>
      <c r="G5889" s="2">
        <v>100</v>
      </c>
      <c r="H5889" s="2">
        <v>79</v>
      </c>
      <c r="I5889" s="2">
        <v>254</v>
      </c>
      <c r="J5889" s="2">
        <v>490</v>
      </c>
      <c r="K5889" s="2">
        <v>1</v>
      </c>
      <c r="L5889" s="2">
        <v>79</v>
      </c>
    </row>
    <row r="5890" spans="1:12" x14ac:dyDescent="0.25">
      <c r="A5890" s="4" t="str">
        <f>HYPERLINK("http://www.rosaceae.org/Prunus/Prunus_persica/p.persica_gdr_reftransV1_0048481","p.persica_gdr_reftransV1_0048481")</f>
        <v>p.persica_gdr_reftransV1_0048481</v>
      </c>
      <c r="B5890" s="2">
        <v>763</v>
      </c>
      <c r="C5890" s="4" t="str">
        <f>HYPERLINK("http://www.uniprot.org/uniprot/M5VP59","M5VP59")</f>
        <v>M5VP59</v>
      </c>
      <c r="D5890" s="2" t="s">
        <v>5347</v>
      </c>
      <c r="E5890" s="3">
        <v>3.4800000000000002E-38</v>
      </c>
      <c r="F5890" s="2">
        <v>356</v>
      </c>
      <c r="G5890" s="2">
        <v>100</v>
      </c>
      <c r="H5890" s="2">
        <v>123</v>
      </c>
      <c r="I5890" s="2">
        <v>182</v>
      </c>
      <c r="J5890" s="2">
        <v>550</v>
      </c>
      <c r="K5890" s="2">
        <v>27</v>
      </c>
      <c r="L5890" s="2">
        <v>149</v>
      </c>
    </row>
    <row r="5891" spans="1:12" x14ac:dyDescent="0.25">
      <c r="A5891" s="4" t="str">
        <f>HYPERLINK("http://www.rosaceae.org/Prunus/Prunus_persica/p.persica_gdr_reftransV1_0048831","p.persica_gdr_reftransV1_0048831")</f>
        <v>p.persica_gdr_reftransV1_0048831</v>
      </c>
      <c r="B5891" s="2">
        <v>1879</v>
      </c>
      <c r="C5891" s="4" t="str">
        <f>HYPERLINK("http://www.uniprot.org/uniprot/M5XQ50","M5XQ50")</f>
        <v>M5XQ50</v>
      </c>
      <c r="D5891" s="2" t="s">
        <v>5348</v>
      </c>
      <c r="E5891" s="3">
        <v>0</v>
      </c>
      <c r="F5891" s="2">
        <v>2730</v>
      </c>
      <c r="G5891" s="2">
        <v>100</v>
      </c>
      <c r="H5891" s="2">
        <v>551</v>
      </c>
      <c r="I5891" s="2">
        <v>227</v>
      </c>
      <c r="J5891" s="2">
        <v>1879</v>
      </c>
      <c r="K5891" s="2">
        <v>21</v>
      </c>
      <c r="L5891" s="2">
        <v>569</v>
      </c>
    </row>
    <row r="5892" spans="1:12" x14ac:dyDescent="0.25">
      <c r="A5892" s="4" t="str">
        <f>HYPERLINK("http://www.rosaceae.org/Prunus/Prunus_persica/p.persica_gdr_reftransV1_0049181","p.persica_gdr_reftransV1_0049181")</f>
        <v>p.persica_gdr_reftransV1_0049181</v>
      </c>
      <c r="B5892" s="2">
        <v>1758</v>
      </c>
      <c r="C5892" s="4" t="str">
        <f>HYPERLINK("http://www.uniprot.org/uniprot/M5XS93","M5XS93")</f>
        <v>M5XS93</v>
      </c>
      <c r="D5892" s="2" t="s">
        <v>5349</v>
      </c>
      <c r="E5892" s="3">
        <v>0</v>
      </c>
      <c r="F5892" s="2">
        <v>2264</v>
      </c>
      <c r="G5892" s="2">
        <v>100</v>
      </c>
      <c r="H5892" s="2">
        <v>432</v>
      </c>
      <c r="I5892" s="2">
        <v>194</v>
      </c>
      <c r="J5892" s="2">
        <v>1489</v>
      </c>
      <c r="K5892" s="2">
        <v>16</v>
      </c>
      <c r="L5892" s="2">
        <v>447</v>
      </c>
    </row>
    <row r="5893" spans="1:12" x14ac:dyDescent="0.25">
      <c r="A5893" s="4" t="str">
        <f>HYPERLINK("http://www.rosaceae.org/Prunus/Prunus_persica/p.persica_gdr_reftransV1_0000182","p.persica_gdr_reftransV1_0000182")</f>
        <v>p.persica_gdr_reftransV1_0000182</v>
      </c>
      <c r="B5893" s="2">
        <v>2241</v>
      </c>
      <c r="C5893" s="4" t="str">
        <f>HYPERLINK("http://www.uniprot.org/uniprot/M5XA99","M5XA99")</f>
        <v>M5XA99</v>
      </c>
      <c r="D5893" s="2" t="s">
        <v>5004</v>
      </c>
      <c r="E5893" s="3">
        <v>0</v>
      </c>
      <c r="F5893" s="2">
        <v>2687</v>
      </c>
      <c r="G5893" s="2">
        <v>100</v>
      </c>
      <c r="H5893" s="2">
        <v>547</v>
      </c>
      <c r="I5893" s="2">
        <v>288</v>
      </c>
      <c r="J5893" s="2">
        <v>1928</v>
      </c>
      <c r="K5893" s="2">
        <v>1</v>
      </c>
      <c r="L5893" s="2">
        <v>547</v>
      </c>
    </row>
    <row r="5894" spans="1:12" x14ac:dyDescent="0.25">
      <c r="A5894" s="4" t="str">
        <f>HYPERLINK("http://www.rosaceae.org/Prunus/Prunus_persica/p.persica_gdr_reftransV1_0000882","p.persica_gdr_reftransV1_0000882")</f>
        <v>p.persica_gdr_reftransV1_0000882</v>
      </c>
      <c r="B5894" s="2">
        <v>854</v>
      </c>
      <c r="C5894" s="4" t="str">
        <f>HYPERLINK("http://www.uniprot.org/uniprot/B6CQU3","B6CQU3")</f>
        <v>B6CQU3</v>
      </c>
      <c r="D5894" s="2" t="s">
        <v>2600</v>
      </c>
      <c r="E5894" s="3">
        <v>7.8499999999999997E-72</v>
      </c>
      <c r="F5894" s="2">
        <v>581</v>
      </c>
      <c r="G5894" s="2">
        <v>100</v>
      </c>
      <c r="H5894" s="2">
        <v>117</v>
      </c>
      <c r="I5894" s="2">
        <v>125</v>
      </c>
      <c r="J5894" s="2">
        <v>475</v>
      </c>
      <c r="K5894" s="2">
        <v>1</v>
      </c>
      <c r="L5894" s="2">
        <v>117</v>
      </c>
    </row>
    <row r="5895" spans="1:12" x14ac:dyDescent="0.25">
      <c r="A5895" s="4" t="str">
        <f>HYPERLINK("http://www.rosaceae.org/Prunus/Prunus_persica/p.persica_gdr_reftransV1_0001582","p.persica_gdr_reftransV1_0001582")</f>
        <v>p.persica_gdr_reftransV1_0001582</v>
      </c>
      <c r="B5895" s="2">
        <v>456</v>
      </c>
      <c r="C5895" s="4" t="str">
        <f>HYPERLINK("http://www.uniprot.org/uniprot/A0A0D2XNZ3","A0A0D2XNZ3")</f>
        <v>A0A0D2XNZ3</v>
      </c>
      <c r="D5895" s="2" t="s">
        <v>5350</v>
      </c>
      <c r="E5895" s="3">
        <v>1.07E-56</v>
      </c>
      <c r="F5895" s="2">
        <v>472</v>
      </c>
      <c r="G5895" s="2">
        <v>76</v>
      </c>
      <c r="H5895" s="2">
        <v>137</v>
      </c>
      <c r="I5895" s="2">
        <v>1</v>
      </c>
      <c r="J5895" s="2">
        <v>411</v>
      </c>
      <c r="K5895" s="2">
        <v>27</v>
      </c>
      <c r="L5895" s="2">
        <v>163</v>
      </c>
    </row>
    <row r="5896" spans="1:12" x14ac:dyDescent="0.25">
      <c r="A5896" s="4" t="str">
        <f>HYPERLINK("http://www.rosaceae.org/Prunus/Prunus_persica/p.persica_gdr_reftransV1_0002282","p.persica_gdr_reftransV1_0002282")</f>
        <v>p.persica_gdr_reftransV1_0002282</v>
      </c>
      <c r="B5896" s="2">
        <v>1035</v>
      </c>
      <c r="C5896" s="4" t="str">
        <f>HYPERLINK("http://www.uniprot.org/uniprot/M5W5I9","M5W5I9")</f>
        <v>M5W5I9</v>
      </c>
      <c r="D5896" s="2" t="s">
        <v>5351</v>
      </c>
      <c r="E5896" s="3">
        <v>4.0199999999999998E-175</v>
      </c>
      <c r="F5896" s="2">
        <v>1299</v>
      </c>
      <c r="G5896" s="2">
        <v>100</v>
      </c>
      <c r="H5896" s="2">
        <v>284</v>
      </c>
      <c r="I5896" s="2">
        <v>1</v>
      </c>
      <c r="J5896" s="2">
        <v>852</v>
      </c>
      <c r="K5896" s="2">
        <v>129</v>
      </c>
      <c r="L5896" s="2">
        <v>412</v>
      </c>
    </row>
    <row r="5897" spans="1:12" x14ac:dyDescent="0.25">
      <c r="A5897" s="4" t="str">
        <f>HYPERLINK("http://www.rosaceae.org/Prunus/Prunus_persica/p.persica_gdr_reftransV1_0002632","p.persica_gdr_reftransV1_0002632")</f>
        <v>p.persica_gdr_reftransV1_0002632</v>
      </c>
      <c r="B5897" s="2">
        <v>2087</v>
      </c>
      <c r="C5897" s="4" t="str">
        <f>HYPERLINK("http://www.uniprot.org/uniprot/M5WH24","M5WH24")</f>
        <v>M5WH24</v>
      </c>
      <c r="D5897" s="2" t="s">
        <v>5352</v>
      </c>
      <c r="E5897" s="3">
        <v>0</v>
      </c>
      <c r="F5897" s="2">
        <v>2790</v>
      </c>
      <c r="G5897" s="2">
        <v>99</v>
      </c>
      <c r="H5897" s="2">
        <v>561</v>
      </c>
      <c r="I5897" s="2">
        <v>129</v>
      </c>
      <c r="J5897" s="2">
        <v>1811</v>
      </c>
      <c r="K5897" s="2">
        <v>1</v>
      </c>
      <c r="L5897" s="2">
        <v>561</v>
      </c>
    </row>
    <row r="5898" spans="1:12" x14ac:dyDescent="0.25">
      <c r="A5898" s="4" t="str">
        <f>HYPERLINK("http://www.rosaceae.org/Prunus/Prunus_persica/p.persica_gdr_reftransV1_0002982","p.persica_gdr_reftransV1_0002982")</f>
        <v>p.persica_gdr_reftransV1_0002982</v>
      </c>
      <c r="B5898" s="2">
        <v>433</v>
      </c>
      <c r="C5898" s="4" t="str">
        <f>HYPERLINK("http://www.uniprot.org/uniprot/M5VK58","M5VK58")</f>
        <v>M5VK58</v>
      </c>
      <c r="D5898" s="2" t="s">
        <v>5353</v>
      </c>
      <c r="E5898" s="3">
        <v>1.02E-88</v>
      </c>
      <c r="F5898" s="2">
        <v>706</v>
      </c>
      <c r="G5898" s="2">
        <v>100</v>
      </c>
      <c r="H5898" s="2">
        <v>130</v>
      </c>
      <c r="I5898" s="2">
        <v>2</v>
      </c>
      <c r="J5898" s="2">
        <v>391</v>
      </c>
      <c r="K5898" s="2">
        <v>187</v>
      </c>
      <c r="L5898" s="2">
        <v>316</v>
      </c>
    </row>
    <row r="5899" spans="1:12" x14ac:dyDescent="0.25">
      <c r="A5899" s="4" t="str">
        <f>HYPERLINK("http://www.rosaceae.org/Prunus/Prunus_persica/p.persica_gdr_reftransV1_0003332","p.persica_gdr_reftransV1_0003332")</f>
        <v>p.persica_gdr_reftransV1_0003332</v>
      </c>
      <c r="B5899" s="2">
        <v>411</v>
      </c>
      <c r="C5899" s="4" t="str">
        <f>HYPERLINK("http://www.uniprot.org/uniprot/M5XP48","M5XP48")</f>
        <v>M5XP48</v>
      </c>
      <c r="D5899" s="2" t="s">
        <v>5354</v>
      </c>
      <c r="E5899" s="3">
        <v>5.0800000000000001E-79</v>
      </c>
      <c r="F5899" s="2">
        <v>647</v>
      </c>
      <c r="G5899" s="2">
        <v>100</v>
      </c>
      <c r="H5899" s="2">
        <v>137</v>
      </c>
      <c r="I5899" s="2">
        <v>1</v>
      </c>
      <c r="J5899" s="2">
        <v>411</v>
      </c>
      <c r="K5899" s="2">
        <v>268</v>
      </c>
      <c r="L5899" s="2">
        <v>404</v>
      </c>
    </row>
    <row r="5900" spans="1:12" x14ac:dyDescent="0.25">
      <c r="A5900" s="4" t="str">
        <f>HYPERLINK("http://www.rosaceae.org/Prunus/Prunus_persica/p.persica_gdr_reftransV1_0003682","p.persica_gdr_reftransV1_0003682")</f>
        <v>p.persica_gdr_reftransV1_0003682</v>
      </c>
      <c r="B5900" s="2">
        <v>321</v>
      </c>
      <c r="C5900" s="4" t="str">
        <f>HYPERLINK("http://www.uniprot.org/uniprot/M5W2C0","M5W2C0")</f>
        <v>M5W2C0</v>
      </c>
      <c r="D5900" s="2" t="s">
        <v>5355</v>
      </c>
      <c r="E5900" s="3">
        <v>2.38E-17</v>
      </c>
      <c r="F5900" s="2">
        <v>206</v>
      </c>
      <c r="G5900" s="2">
        <v>100</v>
      </c>
      <c r="H5900" s="2">
        <v>76</v>
      </c>
      <c r="I5900" s="2">
        <v>94</v>
      </c>
      <c r="J5900" s="2">
        <v>321</v>
      </c>
      <c r="K5900" s="2">
        <v>1</v>
      </c>
      <c r="L5900" s="2">
        <v>76</v>
      </c>
    </row>
    <row r="5901" spans="1:12" x14ac:dyDescent="0.25">
      <c r="A5901" s="4" t="str">
        <f>HYPERLINK("http://www.rosaceae.org/Prunus/Prunus_persica/p.persica_gdr_reftransV1_0004032","p.persica_gdr_reftransV1_0004032")</f>
        <v>p.persica_gdr_reftransV1_0004032</v>
      </c>
      <c r="B5901" s="2">
        <v>1048</v>
      </c>
      <c r="C5901" s="4" t="str">
        <f>HYPERLINK("http://www.uniprot.org/uniprot/M5XDA3","M5XDA3")</f>
        <v>M5XDA3</v>
      </c>
      <c r="D5901" s="2" t="s">
        <v>5356</v>
      </c>
      <c r="E5901" s="3">
        <v>4.8700000000000002E-132</v>
      </c>
      <c r="F5901" s="2">
        <v>999</v>
      </c>
      <c r="G5901" s="2">
        <v>98</v>
      </c>
      <c r="H5901" s="2">
        <v>198</v>
      </c>
      <c r="I5901" s="2">
        <v>202</v>
      </c>
      <c r="J5901" s="2">
        <v>795</v>
      </c>
      <c r="K5901" s="2">
        <v>1</v>
      </c>
      <c r="L5901" s="2">
        <v>198</v>
      </c>
    </row>
    <row r="5902" spans="1:12" x14ac:dyDescent="0.25">
      <c r="A5902" s="4" t="str">
        <f>HYPERLINK("http://www.rosaceae.org/Prunus/Prunus_persica/p.persica_gdr_reftransV1_0004382","p.persica_gdr_reftransV1_0004382")</f>
        <v>p.persica_gdr_reftransV1_0004382</v>
      </c>
      <c r="B5902" s="2">
        <v>2101</v>
      </c>
      <c r="C5902" s="4" t="str">
        <f>HYPERLINK("http://www.uniprot.org/uniprot/M5XDK7","M5XDK7")</f>
        <v>M5XDK7</v>
      </c>
      <c r="D5902" s="2" t="s">
        <v>5357</v>
      </c>
      <c r="E5902" s="3">
        <v>0</v>
      </c>
      <c r="F5902" s="2">
        <v>2228</v>
      </c>
      <c r="G5902" s="2">
        <v>100</v>
      </c>
      <c r="H5902" s="2">
        <v>436</v>
      </c>
      <c r="I5902" s="2">
        <v>111</v>
      </c>
      <c r="J5902" s="2">
        <v>1418</v>
      </c>
      <c r="K5902" s="2">
        <v>1</v>
      </c>
      <c r="L5902" s="2">
        <v>436</v>
      </c>
    </row>
    <row r="5903" spans="1:12" x14ac:dyDescent="0.25">
      <c r="A5903" s="4" t="str">
        <f>HYPERLINK("http://www.rosaceae.org/Prunus/Prunus_persica/p.persica_gdr_reftransV1_0005082","p.persica_gdr_reftransV1_0005082")</f>
        <v>p.persica_gdr_reftransV1_0005082</v>
      </c>
      <c r="B5903" s="2">
        <v>2005</v>
      </c>
      <c r="C5903" s="4" t="str">
        <f>HYPERLINK("http://www.uniprot.org/uniprot/W9S3B9","W9S3B9")</f>
        <v>W9S3B9</v>
      </c>
      <c r="D5903" s="2" t="s">
        <v>5358</v>
      </c>
      <c r="E5903" s="3">
        <v>1.5300000000000001E-11</v>
      </c>
      <c r="F5903" s="2">
        <v>191</v>
      </c>
      <c r="G5903" s="2">
        <v>29</v>
      </c>
      <c r="H5903" s="2">
        <v>409</v>
      </c>
      <c r="I5903" s="2">
        <v>470</v>
      </c>
      <c r="J5903" s="2">
        <v>1636</v>
      </c>
      <c r="K5903" s="2">
        <v>792</v>
      </c>
      <c r="L5903" s="2">
        <v>1134</v>
      </c>
    </row>
    <row r="5904" spans="1:12" x14ac:dyDescent="0.25">
      <c r="A5904" s="4" t="str">
        <f>HYPERLINK("http://www.rosaceae.org/Prunus/Prunus_persica/p.persica_gdr_reftransV1_0005432","p.persica_gdr_reftransV1_0005432")</f>
        <v>p.persica_gdr_reftransV1_0005432</v>
      </c>
      <c r="B5904" s="2">
        <v>1685</v>
      </c>
      <c r="C5904" s="4" t="str">
        <f>HYPERLINK("http://www.uniprot.org/uniprot/M5WL68","M5WL68")</f>
        <v>M5WL68</v>
      </c>
      <c r="D5904" s="2" t="s">
        <v>373</v>
      </c>
      <c r="E5904" s="3">
        <v>0</v>
      </c>
      <c r="F5904" s="2">
        <v>2074</v>
      </c>
      <c r="G5904" s="2">
        <v>95</v>
      </c>
      <c r="H5904" s="2">
        <v>493</v>
      </c>
      <c r="I5904" s="2">
        <v>201</v>
      </c>
      <c r="J5904" s="2">
        <v>1679</v>
      </c>
      <c r="K5904" s="2">
        <v>160</v>
      </c>
      <c r="L5904" s="2">
        <v>628</v>
      </c>
    </row>
    <row r="5905" spans="1:12" x14ac:dyDescent="0.25">
      <c r="A5905" s="4" t="str">
        <f>HYPERLINK("http://www.rosaceae.org/Prunus/Prunus_persica/p.persica_gdr_reftransV1_0005782","p.persica_gdr_reftransV1_0005782")</f>
        <v>p.persica_gdr_reftransV1_0005782</v>
      </c>
      <c r="B5905" s="2">
        <v>1021</v>
      </c>
      <c r="C5905" s="4" t="str">
        <f>HYPERLINK("http://www.uniprot.org/uniprot/B2ZZ10","B2ZZ10")</f>
        <v>B2ZZ10</v>
      </c>
      <c r="D5905" s="2" t="s">
        <v>5359</v>
      </c>
      <c r="E5905" s="3">
        <v>9.9499999999999997E-93</v>
      </c>
      <c r="F5905" s="2">
        <v>735</v>
      </c>
      <c r="G5905" s="2">
        <v>78</v>
      </c>
      <c r="H5905" s="2">
        <v>214</v>
      </c>
      <c r="I5905" s="2">
        <v>337</v>
      </c>
      <c r="J5905" s="2">
        <v>975</v>
      </c>
      <c r="K5905" s="2">
        <v>1</v>
      </c>
      <c r="L5905" s="2">
        <v>213</v>
      </c>
    </row>
    <row r="5906" spans="1:12" x14ac:dyDescent="0.25">
      <c r="A5906" s="4" t="str">
        <f>HYPERLINK("http://www.rosaceae.org/Prunus/Prunus_persica/p.persica_gdr_reftransV1_0007182","p.persica_gdr_reftransV1_0007182")</f>
        <v>p.persica_gdr_reftransV1_0007182</v>
      </c>
      <c r="B5906" s="2">
        <v>2224</v>
      </c>
      <c r="C5906" s="4" t="str">
        <f>HYPERLINK("http://www.uniprot.org/uniprot/M5XRU2","M5XRU2")</f>
        <v>M5XRU2</v>
      </c>
      <c r="D5906" s="2" t="s">
        <v>5360</v>
      </c>
      <c r="E5906" s="3">
        <v>0</v>
      </c>
      <c r="F5906" s="2">
        <v>3119</v>
      </c>
      <c r="G5906" s="2">
        <v>92</v>
      </c>
      <c r="H5906" s="2">
        <v>672</v>
      </c>
      <c r="I5906" s="2">
        <v>8</v>
      </c>
      <c r="J5906" s="2">
        <v>2023</v>
      </c>
      <c r="K5906" s="2">
        <v>1</v>
      </c>
      <c r="L5906" s="2">
        <v>623</v>
      </c>
    </row>
    <row r="5907" spans="1:12" x14ac:dyDescent="0.25">
      <c r="A5907" s="4" t="str">
        <f>HYPERLINK("http://www.rosaceae.org/Prunus/Prunus_persica/p.persica_gdr_reftransV1_0007532","p.persica_gdr_reftransV1_0007532")</f>
        <v>p.persica_gdr_reftransV1_0007532</v>
      </c>
      <c r="B5907" s="2">
        <v>2101</v>
      </c>
      <c r="C5907" s="4" t="str">
        <f>HYPERLINK("http://www.uniprot.org/uniprot/M5WN38","M5WN38")</f>
        <v>M5WN38</v>
      </c>
      <c r="D5907" s="2" t="s">
        <v>5361</v>
      </c>
      <c r="E5907" s="3">
        <v>4.5399999999999997E-124</v>
      </c>
      <c r="F5907" s="2">
        <v>979</v>
      </c>
      <c r="G5907" s="2">
        <v>99</v>
      </c>
      <c r="H5907" s="2">
        <v>227</v>
      </c>
      <c r="I5907" s="2">
        <v>1323</v>
      </c>
      <c r="J5907" s="2">
        <v>2003</v>
      </c>
      <c r="K5907" s="2">
        <v>2</v>
      </c>
      <c r="L5907" s="2">
        <v>225</v>
      </c>
    </row>
    <row r="5908" spans="1:12" x14ac:dyDescent="0.25">
      <c r="A5908" s="4" t="str">
        <f>HYPERLINK("http://www.rosaceae.org/Prunus/Prunus_persica/p.persica_gdr_reftransV1_0007882","p.persica_gdr_reftransV1_0007882")</f>
        <v>p.persica_gdr_reftransV1_0007882</v>
      </c>
      <c r="B5908" s="2">
        <v>1252</v>
      </c>
      <c r="C5908" s="4" t="str">
        <f>HYPERLINK("http://www.uniprot.org/uniprot/M5WB56","M5WB56")</f>
        <v>M5WB56</v>
      </c>
      <c r="D5908" s="2" t="s">
        <v>5362</v>
      </c>
      <c r="E5908" s="3">
        <v>0</v>
      </c>
      <c r="F5908" s="2">
        <v>1436</v>
      </c>
      <c r="G5908" s="2">
        <v>97</v>
      </c>
      <c r="H5908" s="2">
        <v>282</v>
      </c>
      <c r="I5908" s="2">
        <v>359</v>
      </c>
      <c r="J5908" s="2">
        <v>1204</v>
      </c>
      <c r="K5908" s="2">
        <v>1</v>
      </c>
      <c r="L5908" s="2">
        <v>282</v>
      </c>
    </row>
    <row r="5909" spans="1:12" x14ac:dyDescent="0.25">
      <c r="A5909" s="4" t="str">
        <f>HYPERLINK("http://www.rosaceae.org/Prunus/Prunus_persica/p.persica_gdr_reftransV1_0009632","p.persica_gdr_reftransV1_0009632")</f>
        <v>p.persica_gdr_reftransV1_0009632</v>
      </c>
      <c r="B5909" s="2">
        <v>743</v>
      </c>
      <c r="C5909" s="4" t="str">
        <f>HYPERLINK("http://www.uniprot.org/uniprot/M5XR55","M5XR55")</f>
        <v>M5XR55</v>
      </c>
      <c r="D5909" s="2" t="s">
        <v>5363</v>
      </c>
      <c r="E5909" s="3">
        <v>7.2800000000000003E-109</v>
      </c>
      <c r="F5909" s="2">
        <v>886</v>
      </c>
      <c r="G5909" s="2">
        <v>83</v>
      </c>
      <c r="H5909" s="2">
        <v>247</v>
      </c>
      <c r="I5909" s="2">
        <v>2</v>
      </c>
      <c r="J5909" s="2">
        <v>742</v>
      </c>
      <c r="K5909" s="2">
        <v>589</v>
      </c>
      <c r="L5909" s="2">
        <v>804</v>
      </c>
    </row>
    <row r="5910" spans="1:12" x14ac:dyDescent="0.25">
      <c r="A5910" s="4" t="str">
        <f>HYPERLINK("http://www.rosaceae.org/Prunus/Prunus_persica/p.persica_gdr_reftransV1_0009982","p.persica_gdr_reftransV1_0009982")</f>
        <v>p.persica_gdr_reftransV1_0009982</v>
      </c>
      <c r="B5910" s="2">
        <v>3822</v>
      </c>
      <c r="C5910" s="4" t="str">
        <f>HYPERLINK("http://www.uniprot.org/uniprot/M5XPW4","M5XPW4")</f>
        <v>M5XPW4</v>
      </c>
      <c r="D5910" s="2" t="s">
        <v>5364</v>
      </c>
      <c r="E5910" s="3">
        <v>0</v>
      </c>
      <c r="F5910" s="2">
        <v>1591</v>
      </c>
      <c r="G5910" s="2">
        <v>99</v>
      </c>
      <c r="H5910" s="2">
        <v>347</v>
      </c>
      <c r="I5910" s="2">
        <v>2004</v>
      </c>
      <c r="J5910" s="2">
        <v>3044</v>
      </c>
      <c r="K5910" s="2">
        <v>189</v>
      </c>
      <c r="L5910" s="2">
        <v>535</v>
      </c>
    </row>
    <row r="5911" spans="1:12" x14ac:dyDescent="0.25">
      <c r="A5911" s="4" t="str">
        <f>HYPERLINK("http://www.rosaceae.org/Prunus/Prunus_persica/p.persica_gdr_reftransV1_0010332","p.persica_gdr_reftransV1_0010332")</f>
        <v>p.persica_gdr_reftransV1_0010332</v>
      </c>
      <c r="B5911" s="2">
        <v>4081</v>
      </c>
      <c r="C5911" s="4" t="str">
        <f>HYPERLINK("http://www.uniprot.org/uniprot/M5WR78","M5WR78")</f>
        <v>M5WR78</v>
      </c>
      <c r="D5911" s="2" t="s">
        <v>5365</v>
      </c>
      <c r="E5911" s="3">
        <v>0</v>
      </c>
      <c r="F5911" s="2">
        <v>6050</v>
      </c>
      <c r="G5911" s="2">
        <v>100</v>
      </c>
      <c r="H5911" s="2">
        <v>1202</v>
      </c>
      <c r="I5911" s="2">
        <v>149</v>
      </c>
      <c r="J5911" s="2">
        <v>3754</v>
      </c>
      <c r="K5911" s="2">
        <v>1</v>
      </c>
      <c r="L5911" s="2">
        <v>1202</v>
      </c>
    </row>
    <row r="5912" spans="1:12" x14ac:dyDescent="0.25">
      <c r="A5912" s="4" t="str">
        <f>HYPERLINK("http://www.rosaceae.org/Prunus/Prunus_persica/p.persica_gdr_reftransV1_0011032","p.persica_gdr_reftransV1_0011032")</f>
        <v>p.persica_gdr_reftransV1_0011032</v>
      </c>
      <c r="B5912" s="2">
        <v>989</v>
      </c>
      <c r="C5912" s="4" t="str">
        <f>HYPERLINK("http://www.uniprot.org/uniprot/M5XWG4","M5XWG4")</f>
        <v>M5XWG4</v>
      </c>
      <c r="D5912" s="2" t="s">
        <v>610</v>
      </c>
      <c r="E5912" s="3">
        <v>1.5599999999999999E-91</v>
      </c>
      <c r="F5912" s="2">
        <v>780</v>
      </c>
      <c r="G5912" s="2">
        <v>93</v>
      </c>
      <c r="H5912" s="2">
        <v>230</v>
      </c>
      <c r="I5912" s="2">
        <v>299</v>
      </c>
      <c r="J5912" s="2">
        <v>988</v>
      </c>
      <c r="K5912" s="2">
        <v>789</v>
      </c>
      <c r="L5912" s="2">
        <v>1004</v>
      </c>
    </row>
    <row r="5913" spans="1:12" x14ac:dyDescent="0.25">
      <c r="A5913" s="4" t="str">
        <f>HYPERLINK("http://www.rosaceae.org/Prunus/Prunus_persica/p.persica_gdr_reftransV1_0011382","p.persica_gdr_reftransV1_0011382")</f>
        <v>p.persica_gdr_reftransV1_0011382</v>
      </c>
      <c r="B5913" s="2">
        <v>1341</v>
      </c>
      <c r="C5913" s="4" t="str">
        <f>HYPERLINK("http://www.uniprot.org/uniprot/M5WA51","M5WA51")</f>
        <v>M5WA51</v>
      </c>
      <c r="D5913" s="2" t="s">
        <v>5366</v>
      </c>
      <c r="E5913" s="3">
        <v>1.4700000000000001E-153</v>
      </c>
      <c r="F5913" s="2">
        <v>1151</v>
      </c>
      <c r="G5913" s="2">
        <v>100</v>
      </c>
      <c r="H5913" s="2">
        <v>252</v>
      </c>
      <c r="I5913" s="2">
        <v>357</v>
      </c>
      <c r="J5913" s="2">
        <v>1112</v>
      </c>
      <c r="K5913" s="2">
        <v>1</v>
      </c>
      <c r="L5913" s="2">
        <v>252</v>
      </c>
    </row>
    <row r="5914" spans="1:12" x14ac:dyDescent="0.25">
      <c r="A5914" s="4" t="str">
        <f>HYPERLINK("http://www.rosaceae.org/Prunus/Prunus_persica/p.persica_gdr_reftransV1_0012082","p.persica_gdr_reftransV1_0012082")</f>
        <v>p.persica_gdr_reftransV1_0012082</v>
      </c>
      <c r="B5914" s="2">
        <v>971</v>
      </c>
      <c r="C5914" s="4" t="str">
        <f>HYPERLINK("http://www.uniprot.org/uniprot/M5WJ32","M5WJ32")</f>
        <v>M5WJ32</v>
      </c>
      <c r="D5914" s="2" t="s">
        <v>5367</v>
      </c>
      <c r="E5914" s="3">
        <v>4.4400000000000002E-134</v>
      </c>
      <c r="F5914" s="2">
        <v>1004</v>
      </c>
      <c r="G5914" s="2">
        <v>93</v>
      </c>
      <c r="H5914" s="2">
        <v>207</v>
      </c>
      <c r="I5914" s="2">
        <v>170</v>
      </c>
      <c r="J5914" s="2">
        <v>790</v>
      </c>
      <c r="K5914" s="2">
        <v>7</v>
      </c>
      <c r="L5914" s="2">
        <v>198</v>
      </c>
    </row>
    <row r="5915" spans="1:12" x14ac:dyDescent="0.25">
      <c r="A5915" s="4" t="str">
        <f>HYPERLINK("http://www.rosaceae.org/Prunus/Prunus_persica/p.persica_gdr_reftransV1_0012782","p.persica_gdr_reftransV1_0012782")</f>
        <v>p.persica_gdr_reftransV1_0012782</v>
      </c>
      <c r="B5915" s="2">
        <v>441</v>
      </c>
      <c r="C5915" s="4" t="str">
        <f>HYPERLINK("http://www.uniprot.org/uniprot/M5XU79","M5XU79")</f>
        <v>M5XU79</v>
      </c>
      <c r="D5915" s="2" t="s">
        <v>3237</v>
      </c>
      <c r="E5915" s="3">
        <v>5.0300000000000001E-60</v>
      </c>
      <c r="F5915" s="2">
        <v>531</v>
      </c>
      <c r="G5915" s="2">
        <v>100</v>
      </c>
      <c r="H5915" s="2">
        <v>135</v>
      </c>
      <c r="I5915" s="2">
        <v>1</v>
      </c>
      <c r="J5915" s="2">
        <v>405</v>
      </c>
      <c r="K5915" s="2">
        <v>1</v>
      </c>
      <c r="L5915" s="2">
        <v>135</v>
      </c>
    </row>
    <row r="5916" spans="1:12" x14ac:dyDescent="0.25">
      <c r="A5916" s="4" t="str">
        <f>HYPERLINK("http://www.rosaceae.org/Prunus/Prunus_persica/p.persica_gdr_reftransV1_0013132","p.persica_gdr_reftransV1_0013132")</f>
        <v>p.persica_gdr_reftransV1_0013132</v>
      </c>
      <c r="B5916" s="2">
        <v>2075</v>
      </c>
      <c r="C5916" s="4" t="str">
        <f>HYPERLINK("http://www.uniprot.org/uniprot/M5VZ27","M5VZ27")</f>
        <v>M5VZ27</v>
      </c>
      <c r="D5916" s="2" t="s">
        <v>5368</v>
      </c>
      <c r="E5916" s="3">
        <v>0</v>
      </c>
      <c r="F5916" s="2">
        <v>2309</v>
      </c>
      <c r="G5916" s="2">
        <v>100</v>
      </c>
      <c r="H5916" s="2">
        <v>460</v>
      </c>
      <c r="I5916" s="2">
        <v>143</v>
      </c>
      <c r="J5916" s="2">
        <v>1522</v>
      </c>
      <c r="K5916" s="2">
        <v>1</v>
      </c>
      <c r="L5916" s="2">
        <v>460</v>
      </c>
    </row>
    <row r="5917" spans="1:12" x14ac:dyDescent="0.25">
      <c r="A5917" s="4" t="str">
        <f>HYPERLINK("http://www.rosaceae.org/Prunus/Prunus_persica/p.persica_gdr_reftransV1_0013482","p.persica_gdr_reftransV1_0013482")</f>
        <v>p.persica_gdr_reftransV1_0013482</v>
      </c>
      <c r="B5917" s="2">
        <v>2441</v>
      </c>
      <c r="C5917" s="4" t="str">
        <f>HYPERLINK("http://www.uniprot.org/uniprot/M5VXL1","M5VXL1")</f>
        <v>M5VXL1</v>
      </c>
      <c r="D5917" s="2" t="s">
        <v>5369</v>
      </c>
      <c r="E5917" s="3">
        <v>0</v>
      </c>
      <c r="F5917" s="2">
        <v>3860</v>
      </c>
      <c r="G5917" s="2">
        <v>100</v>
      </c>
      <c r="H5917" s="2">
        <v>747</v>
      </c>
      <c r="I5917" s="2">
        <v>144</v>
      </c>
      <c r="J5917" s="2">
        <v>2384</v>
      </c>
      <c r="K5917" s="2">
        <v>8</v>
      </c>
      <c r="L5917" s="2">
        <v>754</v>
      </c>
    </row>
    <row r="5918" spans="1:12" x14ac:dyDescent="0.25">
      <c r="A5918" s="4" t="str">
        <f>HYPERLINK("http://www.rosaceae.org/Prunus/Prunus_persica/p.persica_gdr_reftransV1_0014882","p.persica_gdr_reftransV1_0014882")</f>
        <v>p.persica_gdr_reftransV1_0014882</v>
      </c>
      <c r="B5918" s="2">
        <v>1157</v>
      </c>
      <c r="C5918" s="4" t="str">
        <f>HYPERLINK("http://www.uniprot.org/uniprot/M5XZ13","M5XZ13")</f>
        <v>M5XZ13</v>
      </c>
      <c r="D5918" s="2" t="s">
        <v>5370</v>
      </c>
      <c r="E5918" s="3">
        <v>5.2600000000000001E-45</v>
      </c>
      <c r="F5918" s="2">
        <v>415</v>
      </c>
      <c r="G5918" s="2">
        <v>100</v>
      </c>
      <c r="H5918" s="2">
        <v>76</v>
      </c>
      <c r="I5918" s="2">
        <v>797</v>
      </c>
      <c r="J5918" s="2">
        <v>1024</v>
      </c>
      <c r="K5918" s="2">
        <v>15</v>
      </c>
      <c r="L5918" s="2">
        <v>90</v>
      </c>
    </row>
    <row r="5919" spans="1:12" x14ac:dyDescent="0.25">
      <c r="A5919" s="4" t="str">
        <f>HYPERLINK("http://www.rosaceae.org/Prunus/Prunus_persica/p.persica_gdr_reftransV1_0015232","p.persica_gdr_reftransV1_0015232")</f>
        <v>p.persica_gdr_reftransV1_0015232</v>
      </c>
      <c r="B5919" s="2">
        <v>2294</v>
      </c>
      <c r="C5919" s="4" t="str">
        <f>HYPERLINK("http://www.uniprot.org/uniprot/M5XCR1","M5XCR1")</f>
        <v>M5XCR1</v>
      </c>
      <c r="D5919" s="2" t="s">
        <v>5371</v>
      </c>
      <c r="E5919" s="3">
        <v>0</v>
      </c>
      <c r="F5919" s="2">
        <v>2735</v>
      </c>
      <c r="G5919" s="2">
        <v>100</v>
      </c>
      <c r="H5919" s="2">
        <v>537</v>
      </c>
      <c r="I5919" s="2">
        <v>582</v>
      </c>
      <c r="J5919" s="2">
        <v>2192</v>
      </c>
      <c r="K5919" s="2">
        <v>1</v>
      </c>
      <c r="L5919" s="2">
        <v>537</v>
      </c>
    </row>
    <row r="5920" spans="1:12" x14ac:dyDescent="0.25">
      <c r="A5920" s="4" t="str">
        <f>HYPERLINK("http://www.rosaceae.org/Prunus/Prunus_persica/p.persica_gdr_reftransV1_0017332","p.persica_gdr_reftransV1_0017332")</f>
        <v>p.persica_gdr_reftransV1_0017332</v>
      </c>
      <c r="B5920" s="2">
        <v>1218</v>
      </c>
      <c r="C5920" s="4" t="str">
        <f>HYPERLINK("http://www.uniprot.org/uniprot/M5W2U7","M5W2U7")</f>
        <v>M5W2U7</v>
      </c>
      <c r="D5920" s="2" t="s">
        <v>5372</v>
      </c>
      <c r="E5920" s="3">
        <v>0</v>
      </c>
      <c r="F5920" s="2">
        <v>1367</v>
      </c>
      <c r="G5920" s="2">
        <v>100</v>
      </c>
      <c r="H5920" s="2">
        <v>287</v>
      </c>
      <c r="I5920" s="2">
        <v>83</v>
      </c>
      <c r="J5920" s="2">
        <v>943</v>
      </c>
      <c r="K5920" s="2">
        <v>1</v>
      </c>
      <c r="L5920" s="2">
        <v>287</v>
      </c>
    </row>
    <row r="5921" spans="1:12" x14ac:dyDescent="0.25">
      <c r="A5921" s="4" t="str">
        <f>HYPERLINK("http://www.rosaceae.org/Prunus/Prunus_persica/p.persica_gdr_reftransV1_0018032","p.persica_gdr_reftransV1_0018032")</f>
        <v>p.persica_gdr_reftransV1_0018032</v>
      </c>
      <c r="B5921" s="2">
        <v>3770</v>
      </c>
      <c r="C5921" s="4" t="str">
        <f>HYPERLINK("http://www.uniprot.org/uniprot/M5XLM8","M5XLM8")</f>
        <v>M5XLM8</v>
      </c>
      <c r="D5921" s="2" t="s">
        <v>5373</v>
      </c>
      <c r="E5921" s="3">
        <v>0</v>
      </c>
      <c r="F5921" s="2">
        <v>3342</v>
      </c>
      <c r="G5921" s="2">
        <v>100</v>
      </c>
      <c r="H5921" s="2">
        <v>738</v>
      </c>
      <c r="I5921" s="2">
        <v>140</v>
      </c>
      <c r="J5921" s="2">
        <v>2353</v>
      </c>
      <c r="K5921" s="2">
        <v>1</v>
      </c>
      <c r="L5921" s="2">
        <v>738</v>
      </c>
    </row>
    <row r="5922" spans="1:12" x14ac:dyDescent="0.25">
      <c r="A5922" s="4" t="str">
        <f>HYPERLINK("http://www.rosaceae.org/Prunus/Prunus_persica/p.persica_gdr_reftransV1_0019432","p.persica_gdr_reftransV1_0019432")</f>
        <v>p.persica_gdr_reftransV1_0019432</v>
      </c>
      <c r="B5922" s="2">
        <v>2533</v>
      </c>
      <c r="C5922" s="4" t="str">
        <f>HYPERLINK("http://www.uniprot.org/uniprot/M5W7C5","M5W7C5")</f>
        <v>M5W7C5</v>
      </c>
      <c r="D5922" s="2" t="s">
        <v>5374</v>
      </c>
      <c r="E5922" s="3">
        <v>0</v>
      </c>
      <c r="F5922" s="2">
        <v>2465</v>
      </c>
      <c r="G5922" s="2">
        <v>100</v>
      </c>
      <c r="H5922" s="2">
        <v>460</v>
      </c>
      <c r="I5922" s="2">
        <v>553</v>
      </c>
      <c r="J5922" s="2">
        <v>1932</v>
      </c>
      <c r="K5922" s="2">
        <v>134</v>
      </c>
      <c r="L5922" s="2">
        <v>593</v>
      </c>
    </row>
    <row r="5923" spans="1:12" x14ac:dyDescent="0.25">
      <c r="A5923" s="4" t="str">
        <f>HYPERLINK("http://www.rosaceae.org/Prunus/Prunus_persica/p.persica_gdr_reftransV1_0019782","p.persica_gdr_reftransV1_0019782")</f>
        <v>p.persica_gdr_reftransV1_0019782</v>
      </c>
      <c r="B5923" s="2">
        <v>3423</v>
      </c>
      <c r="C5923" s="4" t="str">
        <f>HYPERLINK("http://www.uniprot.org/uniprot/M5XK81","M5XK81")</f>
        <v>M5XK81</v>
      </c>
      <c r="D5923" s="2" t="s">
        <v>5375</v>
      </c>
      <c r="E5923" s="3">
        <v>0</v>
      </c>
      <c r="F5923" s="2">
        <v>2288</v>
      </c>
      <c r="G5923" s="2">
        <v>100</v>
      </c>
      <c r="H5923" s="2">
        <v>468</v>
      </c>
      <c r="I5923" s="2">
        <v>1960</v>
      </c>
      <c r="J5923" s="2">
        <v>3363</v>
      </c>
      <c r="K5923" s="2">
        <v>1</v>
      </c>
      <c r="L5923" s="2">
        <v>468</v>
      </c>
    </row>
    <row r="5924" spans="1:12" x14ac:dyDescent="0.25">
      <c r="A5924" s="4" t="str">
        <f>HYPERLINK("http://www.rosaceae.org/Prunus/Prunus_persica/p.persica_gdr_reftransV1_0020132","p.persica_gdr_reftransV1_0020132")</f>
        <v>p.persica_gdr_reftransV1_0020132</v>
      </c>
      <c r="B5924" s="2">
        <v>1041</v>
      </c>
      <c r="C5924" s="4" t="str">
        <f>HYPERLINK("http://www.uniprot.org/uniprot/A0A059BYF4","A0A059BYF4")</f>
        <v>A0A059BYF4</v>
      </c>
      <c r="D5924" s="2" t="s">
        <v>5376</v>
      </c>
      <c r="E5924" s="3">
        <v>6.5499999999999998E-18</v>
      </c>
      <c r="F5924" s="2">
        <v>215</v>
      </c>
      <c r="G5924" s="2">
        <v>68</v>
      </c>
      <c r="H5924" s="2">
        <v>63</v>
      </c>
      <c r="I5924" s="2">
        <v>535</v>
      </c>
      <c r="J5924" s="2">
        <v>723</v>
      </c>
      <c r="K5924" s="2">
        <v>52</v>
      </c>
      <c r="L5924" s="2">
        <v>106</v>
      </c>
    </row>
    <row r="5925" spans="1:12" x14ac:dyDescent="0.25">
      <c r="A5925" s="4" t="str">
        <f>HYPERLINK("http://www.rosaceae.org/Prunus/Prunus_persica/p.persica_gdr_reftransV1_0021882","p.persica_gdr_reftransV1_0021882")</f>
        <v>p.persica_gdr_reftransV1_0021882</v>
      </c>
      <c r="B5925" s="2">
        <v>3729</v>
      </c>
      <c r="C5925" s="4" t="str">
        <f>HYPERLINK("http://www.uniprot.org/uniprot/M5W4U6","M5W4U6")</f>
        <v>M5W4U6</v>
      </c>
      <c r="D5925" s="2" t="s">
        <v>5377</v>
      </c>
      <c r="E5925" s="3">
        <v>0</v>
      </c>
      <c r="F5925" s="2">
        <v>5352</v>
      </c>
      <c r="G5925" s="2">
        <v>100</v>
      </c>
      <c r="H5925" s="2">
        <v>1020</v>
      </c>
      <c r="I5925" s="2">
        <v>367</v>
      </c>
      <c r="J5925" s="2">
        <v>3426</v>
      </c>
      <c r="K5925" s="2">
        <v>1</v>
      </c>
      <c r="L5925" s="2">
        <v>1020</v>
      </c>
    </row>
    <row r="5926" spans="1:12" x14ac:dyDescent="0.25">
      <c r="A5926" s="4" t="str">
        <f>HYPERLINK("http://www.rosaceae.org/Prunus/Prunus_persica/p.persica_gdr_reftransV1_0022232","p.persica_gdr_reftransV1_0022232")</f>
        <v>p.persica_gdr_reftransV1_0022232</v>
      </c>
      <c r="B5926" s="2">
        <v>2555</v>
      </c>
      <c r="C5926" s="4" t="str">
        <f>HYPERLINK("http://www.uniprot.org/uniprot/M5X579","M5X579")</f>
        <v>M5X579</v>
      </c>
      <c r="D5926" s="2" t="s">
        <v>5378</v>
      </c>
      <c r="E5926" s="3">
        <v>6.4200000000000004E-115</v>
      </c>
      <c r="F5926" s="2">
        <v>943</v>
      </c>
      <c r="G5926" s="2">
        <v>84</v>
      </c>
      <c r="H5926" s="2">
        <v>211</v>
      </c>
      <c r="I5926" s="2">
        <v>706</v>
      </c>
      <c r="J5926" s="2">
        <v>1338</v>
      </c>
      <c r="K5926" s="2">
        <v>148</v>
      </c>
      <c r="L5926" s="2">
        <v>352</v>
      </c>
    </row>
    <row r="5927" spans="1:12" x14ac:dyDescent="0.25">
      <c r="A5927" s="4" t="str">
        <f>HYPERLINK("http://www.rosaceae.org/Prunus/Prunus_persica/p.persica_gdr_reftransV1_0023632","p.persica_gdr_reftransV1_0023632")</f>
        <v>p.persica_gdr_reftransV1_0023632</v>
      </c>
      <c r="B5927" s="2">
        <v>1490</v>
      </c>
      <c r="C5927" s="4" t="str">
        <f>HYPERLINK("http://www.uniprot.org/uniprot/M5X0H5","M5X0H5")</f>
        <v>M5X0H5</v>
      </c>
      <c r="D5927" s="2" t="s">
        <v>5379</v>
      </c>
      <c r="E5927" s="3">
        <v>0</v>
      </c>
      <c r="F5927" s="2">
        <v>1592</v>
      </c>
      <c r="G5927" s="2">
        <v>88</v>
      </c>
      <c r="H5927" s="2">
        <v>375</v>
      </c>
      <c r="I5927" s="2">
        <v>193</v>
      </c>
      <c r="J5927" s="2">
        <v>1317</v>
      </c>
      <c r="K5927" s="2">
        <v>1</v>
      </c>
      <c r="L5927" s="2">
        <v>334</v>
      </c>
    </row>
    <row r="5928" spans="1:12" x14ac:dyDescent="0.25">
      <c r="A5928" s="4" t="str">
        <f>HYPERLINK("http://www.rosaceae.org/Prunus/Prunus_persica/p.persica_gdr_reftransV1_0023982","p.persica_gdr_reftransV1_0023982")</f>
        <v>p.persica_gdr_reftransV1_0023982</v>
      </c>
      <c r="B5928" s="2">
        <v>4138</v>
      </c>
      <c r="C5928" s="4" t="str">
        <f>HYPERLINK("http://www.uniprot.org/uniprot/M5WFQ6","M5WFQ6")</f>
        <v>M5WFQ6</v>
      </c>
      <c r="D5928" s="2" t="s">
        <v>5380</v>
      </c>
      <c r="E5928" s="3">
        <v>0</v>
      </c>
      <c r="F5928" s="2">
        <v>3241</v>
      </c>
      <c r="G5928" s="2">
        <v>100</v>
      </c>
      <c r="H5928" s="2">
        <v>804</v>
      </c>
      <c r="I5928" s="2">
        <v>260</v>
      </c>
      <c r="J5928" s="2">
        <v>2671</v>
      </c>
      <c r="K5928" s="2">
        <v>1</v>
      </c>
      <c r="L5928" s="2">
        <v>804</v>
      </c>
    </row>
    <row r="5929" spans="1:12" x14ac:dyDescent="0.25">
      <c r="A5929" s="4" t="str">
        <f>HYPERLINK("http://www.rosaceae.org/Prunus/Prunus_persica/p.persica_gdr_reftransV1_0024332","p.persica_gdr_reftransV1_0024332")</f>
        <v>p.persica_gdr_reftransV1_0024332</v>
      </c>
      <c r="B5929" s="2">
        <v>571</v>
      </c>
      <c r="C5929" s="4" t="str">
        <f>HYPERLINK("http://www.uniprot.org/uniprot/M5X407","M5X407")</f>
        <v>M5X407</v>
      </c>
      <c r="D5929" s="2" t="s">
        <v>5381</v>
      </c>
      <c r="E5929" s="3">
        <v>2.6599999999999999E-52</v>
      </c>
      <c r="F5929" s="2">
        <v>447</v>
      </c>
      <c r="G5929" s="2">
        <v>100</v>
      </c>
      <c r="H5929" s="2">
        <v>83</v>
      </c>
      <c r="I5929" s="2">
        <v>3</v>
      </c>
      <c r="J5929" s="2">
        <v>251</v>
      </c>
      <c r="K5929" s="2">
        <v>96</v>
      </c>
      <c r="L5929" s="2">
        <v>178</v>
      </c>
    </row>
    <row r="5930" spans="1:12" x14ac:dyDescent="0.25">
      <c r="A5930" s="4" t="str">
        <f>HYPERLINK("http://www.rosaceae.org/Prunus/Prunus_persica/p.persica_gdr_reftransV1_0024682","p.persica_gdr_reftransV1_0024682")</f>
        <v>p.persica_gdr_reftransV1_0024682</v>
      </c>
      <c r="B5930" s="2">
        <v>2081</v>
      </c>
      <c r="C5930" s="4" t="str">
        <f>HYPERLINK("http://www.uniprot.org/uniprot/M5VYV2","M5VYV2")</f>
        <v>M5VYV2</v>
      </c>
      <c r="D5930" s="2" t="s">
        <v>4503</v>
      </c>
      <c r="E5930" s="3">
        <v>2.8899999999999999E-110</v>
      </c>
      <c r="F5930" s="2">
        <v>896</v>
      </c>
      <c r="G5930" s="2">
        <v>98</v>
      </c>
      <c r="H5930" s="2">
        <v>171</v>
      </c>
      <c r="I5930" s="2">
        <v>1287</v>
      </c>
      <c r="J5930" s="2">
        <v>1799</v>
      </c>
      <c r="K5930" s="2">
        <v>186</v>
      </c>
      <c r="L5930" s="2">
        <v>356</v>
      </c>
    </row>
    <row r="5931" spans="1:12" x14ac:dyDescent="0.25">
      <c r="A5931" s="4" t="str">
        <f>HYPERLINK("http://www.rosaceae.org/Prunus/Prunus_persica/p.persica_gdr_reftransV1_0027132","p.persica_gdr_reftransV1_0027132")</f>
        <v>p.persica_gdr_reftransV1_0027132</v>
      </c>
      <c r="B5931" s="2">
        <v>1689</v>
      </c>
      <c r="C5931" s="4" t="str">
        <f>HYPERLINK("http://www.uniprot.org/uniprot/Q9MBD7","Q9MBD7")</f>
        <v>Q9MBD7</v>
      </c>
      <c r="D5931" s="2" t="s">
        <v>5382</v>
      </c>
      <c r="E5931" s="3">
        <v>0</v>
      </c>
      <c r="F5931" s="2">
        <v>1831</v>
      </c>
      <c r="G5931" s="2">
        <v>90</v>
      </c>
      <c r="H5931" s="2">
        <v>395</v>
      </c>
      <c r="I5931" s="2">
        <v>323</v>
      </c>
      <c r="J5931" s="2">
        <v>1507</v>
      </c>
      <c r="K5931" s="2">
        <v>12</v>
      </c>
      <c r="L5931" s="2">
        <v>367</v>
      </c>
    </row>
    <row r="5932" spans="1:12" x14ac:dyDescent="0.25">
      <c r="A5932" s="4" t="str">
        <f>HYPERLINK("http://www.rosaceae.org/Prunus/Prunus_persica/p.persica_gdr_reftransV1_0028182","p.persica_gdr_reftransV1_0028182")</f>
        <v>p.persica_gdr_reftransV1_0028182</v>
      </c>
      <c r="B5932" s="2">
        <v>944</v>
      </c>
      <c r="C5932" s="4" t="str">
        <f>HYPERLINK("http://www.uniprot.org/uniprot/M5W066","M5W066")</f>
        <v>M5W066</v>
      </c>
      <c r="D5932" s="2" t="s">
        <v>5383</v>
      </c>
      <c r="E5932" s="3">
        <v>1.37E-88</v>
      </c>
      <c r="F5932" s="2">
        <v>704</v>
      </c>
      <c r="G5932" s="2">
        <v>100</v>
      </c>
      <c r="H5932" s="2">
        <v>210</v>
      </c>
      <c r="I5932" s="2">
        <v>163</v>
      </c>
      <c r="J5932" s="2">
        <v>792</v>
      </c>
      <c r="K5932" s="2">
        <v>1</v>
      </c>
      <c r="L5932" s="2">
        <v>210</v>
      </c>
    </row>
    <row r="5933" spans="1:12" x14ac:dyDescent="0.25">
      <c r="A5933" s="4" t="str">
        <f>HYPERLINK("http://www.rosaceae.org/Prunus/Prunus_persica/p.persica_gdr_reftransV1_0028532","p.persica_gdr_reftransV1_0028532")</f>
        <v>p.persica_gdr_reftransV1_0028532</v>
      </c>
      <c r="B5933" s="2">
        <v>1044</v>
      </c>
      <c r="C5933" s="4" t="str">
        <f>HYPERLINK("http://www.uniprot.org/uniprot/M5Y5F1","M5Y5F1")</f>
        <v>M5Y5F1</v>
      </c>
      <c r="D5933" s="2" t="s">
        <v>5384</v>
      </c>
      <c r="E5933" s="3">
        <v>2.34E-122</v>
      </c>
      <c r="F5933" s="2">
        <v>929</v>
      </c>
      <c r="G5933" s="2">
        <v>100</v>
      </c>
      <c r="H5933" s="2">
        <v>187</v>
      </c>
      <c r="I5933" s="2">
        <v>91</v>
      </c>
      <c r="J5933" s="2">
        <v>651</v>
      </c>
      <c r="K5933" s="2">
        <v>1</v>
      </c>
      <c r="L5933" s="2">
        <v>187</v>
      </c>
    </row>
    <row r="5934" spans="1:12" x14ac:dyDescent="0.25">
      <c r="A5934" s="4" t="str">
        <f>HYPERLINK("http://www.rosaceae.org/Prunus/Prunus_persica/p.persica_gdr_reftransV1_0028882","p.persica_gdr_reftransV1_0028882")</f>
        <v>p.persica_gdr_reftransV1_0028882</v>
      </c>
      <c r="B5934" s="2">
        <v>2170</v>
      </c>
      <c r="C5934" s="4" t="str">
        <f>HYPERLINK("http://www.uniprot.org/uniprot/M5WBN6","M5WBN6")</f>
        <v>M5WBN6</v>
      </c>
      <c r="D5934" s="2" t="s">
        <v>5385</v>
      </c>
      <c r="E5934" s="3">
        <v>0</v>
      </c>
      <c r="F5934" s="2">
        <v>2486</v>
      </c>
      <c r="G5934" s="2">
        <v>97</v>
      </c>
      <c r="H5934" s="2">
        <v>494</v>
      </c>
      <c r="I5934" s="2">
        <v>258</v>
      </c>
      <c r="J5934" s="2">
        <v>1739</v>
      </c>
      <c r="K5934" s="2">
        <v>1</v>
      </c>
      <c r="L5934" s="2">
        <v>494</v>
      </c>
    </row>
    <row r="5935" spans="1:12" x14ac:dyDescent="0.25">
      <c r="A5935" s="4" t="str">
        <f>HYPERLINK("http://www.rosaceae.org/Prunus/Prunus_persica/p.persica_gdr_reftransV1_0030282","p.persica_gdr_reftransV1_0030282")</f>
        <v>p.persica_gdr_reftransV1_0030282</v>
      </c>
      <c r="B5935" s="2">
        <v>3416</v>
      </c>
      <c r="C5935" s="4" t="str">
        <f>HYPERLINK("http://www.uniprot.org/uniprot/M5VXN5","M5VXN5")</f>
        <v>M5VXN5</v>
      </c>
      <c r="D5935" s="2" t="s">
        <v>5386</v>
      </c>
      <c r="E5935" s="3">
        <v>0</v>
      </c>
      <c r="F5935" s="2">
        <v>1562</v>
      </c>
      <c r="G5935" s="2">
        <v>100</v>
      </c>
      <c r="H5935" s="2">
        <v>293</v>
      </c>
      <c r="I5935" s="2">
        <v>1098</v>
      </c>
      <c r="J5935" s="2">
        <v>1976</v>
      </c>
      <c r="K5935" s="2">
        <v>91</v>
      </c>
      <c r="L5935" s="2">
        <v>383</v>
      </c>
    </row>
    <row r="5936" spans="1:12" x14ac:dyDescent="0.25">
      <c r="A5936" s="4" t="str">
        <f>HYPERLINK("http://www.rosaceae.org/Prunus/Prunus_persica/p.persica_gdr_reftransV1_0030632","p.persica_gdr_reftransV1_0030632")</f>
        <v>p.persica_gdr_reftransV1_0030632</v>
      </c>
      <c r="B5936" s="2">
        <v>2069</v>
      </c>
      <c r="C5936" s="4" t="str">
        <f>HYPERLINK("http://www.uniprot.org/uniprot/M5WUR3","M5WUR3")</f>
        <v>M5WUR3</v>
      </c>
      <c r="D5936" s="2" t="s">
        <v>5387</v>
      </c>
      <c r="E5936" s="3">
        <v>2.46E-128</v>
      </c>
      <c r="F5936" s="2">
        <v>1016</v>
      </c>
      <c r="G5936" s="2">
        <v>99</v>
      </c>
      <c r="H5936" s="2">
        <v>193</v>
      </c>
      <c r="I5936" s="2">
        <v>246</v>
      </c>
      <c r="J5936" s="2">
        <v>824</v>
      </c>
      <c r="K5936" s="2">
        <v>42</v>
      </c>
      <c r="L5936" s="2">
        <v>234</v>
      </c>
    </row>
    <row r="5937" spans="1:12" x14ac:dyDescent="0.25">
      <c r="A5937" s="4" t="str">
        <f>HYPERLINK("http://www.rosaceae.org/Prunus/Prunus_persica/p.persica_gdr_reftransV1_0030982","p.persica_gdr_reftransV1_0030982")</f>
        <v>p.persica_gdr_reftransV1_0030982</v>
      </c>
      <c r="B5937" s="2">
        <v>579</v>
      </c>
      <c r="C5937" s="4" t="str">
        <f>HYPERLINK("http://www.uniprot.org/uniprot/M5WDW3","M5WDW3")</f>
        <v>M5WDW3</v>
      </c>
      <c r="D5937" s="2" t="s">
        <v>4544</v>
      </c>
      <c r="E5937" s="3">
        <v>1.56E-16</v>
      </c>
      <c r="F5937" s="2">
        <v>215</v>
      </c>
      <c r="G5937" s="2">
        <v>73</v>
      </c>
      <c r="H5937" s="2">
        <v>63</v>
      </c>
      <c r="I5937" s="2">
        <v>247</v>
      </c>
      <c r="J5937" s="2">
        <v>435</v>
      </c>
      <c r="K5937" s="2">
        <v>217</v>
      </c>
      <c r="L5937" s="2">
        <v>279</v>
      </c>
    </row>
    <row r="5938" spans="1:12" x14ac:dyDescent="0.25">
      <c r="A5938" s="4" t="str">
        <f>HYPERLINK("http://www.rosaceae.org/Prunus/Prunus_persica/p.persica_gdr_reftransV1_0031332","p.persica_gdr_reftransV1_0031332")</f>
        <v>p.persica_gdr_reftransV1_0031332</v>
      </c>
      <c r="B5938" s="2">
        <v>1725</v>
      </c>
      <c r="C5938" s="4" t="str">
        <f>HYPERLINK("http://www.uniprot.org/uniprot/M5XTJ1","M5XTJ1")</f>
        <v>M5XTJ1</v>
      </c>
      <c r="D5938" s="2" t="s">
        <v>5388</v>
      </c>
      <c r="E5938" s="3">
        <v>2.62E-159</v>
      </c>
      <c r="F5938" s="2">
        <v>1247</v>
      </c>
      <c r="G5938" s="2">
        <v>100</v>
      </c>
      <c r="H5938" s="2">
        <v>303</v>
      </c>
      <c r="I5938" s="2">
        <v>618</v>
      </c>
      <c r="J5938" s="2">
        <v>1526</v>
      </c>
      <c r="K5938" s="2">
        <v>1</v>
      </c>
      <c r="L5938" s="2">
        <v>303</v>
      </c>
    </row>
    <row r="5939" spans="1:12" x14ac:dyDescent="0.25">
      <c r="A5939" s="4" t="str">
        <f>HYPERLINK("http://www.rosaceae.org/Prunus/Prunus_persica/p.persica_gdr_reftransV1_0031682","p.persica_gdr_reftransV1_0031682")</f>
        <v>p.persica_gdr_reftransV1_0031682</v>
      </c>
      <c r="B5939" s="2">
        <v>1831</v>
      </c>
      <c r="C5939" s="4" t="str">
        <f>HYPERLINK("http://www.uniprot.org/uniprot/M5XD22","M5XD22")</f>
        <v>M5XD22</v>
      </c>
      <c r="D5939" s="2" t="s">
        <v>5389</v>
      </c>
      <c r="E5939" s="3">
        <v>0</v>
      </c>
      <c r="F5939" s="2">
        <v>1796</v>
      </c>
      <c r="G5939" s="2">
        <v>100</v>
      </c>
      <c r="H5939" s="2">
        <v>359</v>
      </c>
      <c r="I5939" s="2">
        <v>579</v>
      </c>
      <c r="J5939" s="2">
        <v>1655</v>
      </c>
      <c r="K5939" s="2">
        <v>1</v>
      </c>
      <c r="L5939" s="2">
        <v>359</v>
      </c>
    </row>
    <row r="5940" spans="1:12" x14ac:dyDescent="0.25">
      <c r="A5940" s="4" t="str">
        <f>HYPERLINK("http://www.rosaceae.org/Prunus/Prunus_persica/p.persica_gdr_reftransV1_0032732","p.persica_gdr_reftransV1_0032732")</f>
        <v>p.persica_gdr_reftransV1_0032732</v>
      </c>
      <c r="B5940" s="2">
        <v>2820</v>
      </c>
      <c r="C5940" s="4" t="str">
        <f>HYPERLINK("http://www.uniprot.org/uniprot/M5W2B4","M5W2B4")</f>
        <v>M5W2B4</v>
      </c>
      <c r="D5940" s="2" t="s">
        <v>2735</v>
      </c>
      <c r="E5940" s="3">
        <v>0</v>
      </c>
      <c r="F5940" s="2">
        <v>4248</v>
      </c>
      <c r="G5940" s="2">
        <v>97</v>
      </c>
      <c r="H5940" s="2">
        <v>831</v>
      </c>
      <c r="I5940" s="2">
        <v>2</v>
      </c>
      <c r="J5940" s="2">
        <v>2494</v>
      </c>
      <c r="K5940" s="2">
        <v>203</v>
      </c>
      <c r="L5940" s="2">
        <v>1010</v>
      </c>
    </row>
    <row r="5941" spans="1:12" x14ac:dyDescent="0.25">
      <c r="A5941" s="4" t="str">
        <f>HYPERLINK("http://www.rosaceae.org/Prunus/Prunus_persica/p.persica_gdr_reftransV1_0033432","p.persica_gdr_reftransV1_0033432")</f>
        <v>p.persica_gdr_reftransV1_0033432</v>
      </c>
      <c r="B5941" s="2">
        <v>4009</v>
      </c>
      <c r="C5941" s="4" t="str">
        <f>HYPERLINK("http://www.uniprot.org/uniprot/M5WCD0","M5WCD0")</f>
        <v>M5WCD0</v>
      </c>
      <c r="D5941" s="2" t="s">
        <v>5390</v>
      </c>
      <c r="E5941" s="3">
        <v>0</v>
      </c>
      <c r="F5941" s="2">
        <v>5252</v>
      </c>
      <c r="G5941" s="2">
        <v>99</v>
      </c>
      <c r="H5941" s="2">
        <v>1033</v>
      </c>
      <c r="I5941" s="2">
        <v>622</v>
      </c>
      <c r="J5941" s="2">
        <v>3720</v>
      </c>
      <c r="K5941" s="2">
        <v>1</v>
      </c>
      <c r="L5941" s="2">
        <v>1021</v>
      </c>
    </row>
    <row r="5942" spans="1:12" x14ac:dyDescent="0.25">
      <c r="A5942" s="4" t="str">
        <f>HYPERLINK("http://www.rosaceae.org/Prunus/Prunus_persica/p.persica_gdr_reftransV1_0035182","p.persica_gdr_reftransV1_0035182")</f>
        <v>p.persica_gdr_reftransV1_0035182</v>
      </c>
      <c r="B5942" s="2">
        <v>3078</v>
      </c>
      <c r="C5942" s="4" t="str">
        <f>HYPERLINK("http://www.uniprot.org/uniprot/M5WUY8","M5WUY8")</f>
        <v>M5WUY8</v>
      </c>
      <c r="D5942" s="2" t="s">
        <v>5391</v>
      </c>
      <c r="E5942" s="3">
        <v>1.7600000000000001E-147</v>
      </c>
      <c r="F5942" s="2">
        <v>1161</v>
      </c>
      <c r="G5942" s="2">
        <v>100</v>
      </c>
      <c r="H5942" s="2">
        <v>257</v>
      </c>
      <c r="I5942" s="2">
        <v>420</v>
      </c>
      <c r="J5942" s="2">
        <v>1190</v>
      </c>
      <c r="K5942" s="2">
        <v>1</v>
      </c>
      <c r="L5942" s="2">
        <v>257</v>
      </c>
    </row>
    <row r="5943" spans="1:12" x14ac:dyDescent="0.25">
      <c r="A5943" s="4" t="str">
        <f>HYPERLINK("http://www.rosaceae.org/Prunus/Prunus_persica/p.persica_gdr_reftransV1_0036582","p.persica_gdr_reftransV1_0036582")</f>
        <v>p.persica_gdr_reftransV1_0036582</v>
      </c>
      <c r="B5943" s="2">
        <v>2539</v>
      </c>
      <c r="C5943" s="4" t="str">
        <f>HYPERLINK("http://www.uniprot.org/uniprot/M5VWH6","M5VWH6")</f>
        <v>M5VWH6</v>
      </c>
      <c r="D5943" s="2" t="s">
        <v>5392</v>
      </c>
      <c r="E5943" s="3">
        <v>0</v>
      </c>
      <c r="F5943" s="2">
        <v>1650</v>
      </c>
      <c r="G5943" s="2">
        <v>100</v>
      </c>
      <c r="H5943" s="2">
        <v>308</v>
      </c>
      <c r="I5943" s="2">
        <v>219</v>
      </c>
      <c r="J5943" s="2">
        <v>1142</v>
      </c>
      <c r="K5943" s="2">
        <v>1</v>
      </c>
      <c r="L5943" s="2">
        <v>308</v>
      </c>
    </row>
    <row r="5944" spans="1:12" x14ac:dyDescent="0.25">
      <c r="A5944" s="4" t="str">
        <f>HYPERLINK("http://www.rosaceae.org/Prunus/Prunus_persica/p.persica_gdr_reftransV1_0039032","p.persica_gdr_reftransV1_0039032")</f>
        <v>p.persica_gdr_reftransV1_0039032</v>
      </c>
      <c r="B5944" s="2">
        <v>2002</v>
      </c>
      <c r="C5944" s="4" t="str">
        <f>HYPERLINK("http://www.uniprot.org/uniprot/M5X6Z5","M5X6Z5")</f>
        <v>M5X6Z5</v>
      </c>
      <c r="D5944" s="2" t="s">
        <v>5393</v>
      </c>
      <c r="E5944" s="3">
        <v>0</v>
      </c>
      <c r="F5944" s="2">
        <v>2622</v>
      </c>
      <c r="G5944" s="2">
        <v>98</v>
      </c>
      <c r="H5944" s="2">
        <v>496</v>
      </c>
      <c r="I5944" s="2">
        <v>231</v>
      </c>
      <c r="J5944" s="2">
        <v>1718</v>
      </c>
      <c r="K5944" s="2">
        <v>1</v>
      </c>
      <c r="L5944" s="2">
        <v>496</v>
      </c>
    </row>
    <row r="5945" spans="1:12" x14ac:dyDescent="0.25">
      <c r="A5945" s="4" t="str">
        <f>HYPERLINK("http://www.rosaceae.org/Prunus/Prunus_persica/p.persica_gdr_reftransV1_0039382","p.persica_gdr_reftransV1_0039382")</f>
        <v>p.persica_gdr_reftransV1_0039382</v>
      </c>
      <c r="B5945" s="2">
        <v>1021</v>
      </c>
      <c r="C5945" s="4" t="str">
        <f>HYPERLINK("http://www.uniprot.org/uniprot/M5WAG3","M5WAG3")</f>
        <v>M5WAG3</v>
      </c>
      <c r="D5945" s="2" t="s">
        <v>5394</v>
      </c>
      <c r="E5945" s="3">
        <v>1.6100000000000001E-157</v>
      </c>
      <c r="F5945" s="2">
        <v>1165</v>
      </c>
      <c r="G5945" s="2">
        <v>100</v>
      </c>
      <c r="H5945" s="2">
        <v>237</v>
      </c>
      <c r="I5945" s="2">
        <v>112</v>
      </c>
      <c r="J5945" s="2">
        <v>822</v>
      </c>
      <c r="K5945" s="2">
        <v>1</v>
      </c>
      <c r="L5945" s="2">
        <v>237</v>
      </c>
    </row>
    <row r="5946" spans="1:12" x14ac:dyDescent="0.25">
      <c r="A5946" s="4" t="str">
        <f>HYPERLINK("http://www.rosaceae.org/Prunus/Prunus_persica/p.persica_gdr_reftransV1_0043232","p.persica_gdr_reftransV1_0043232")</f>
        <v>p.persica_gdr_reftransV1_0043232</v>
      </c>
      <c r="B5946" s="2">
        <v>1851</v>
      </c>
      <c r="C5946" s="4" t="str">
        <f>HYPERLINK("http://www.uniprot.org/uniprot/M5VMQ6","M5VMQ6")</f>
        <v>M5VMQ6</v>
      </c>
      <c r="D5946" s="2" t="s">
        <v>5395</v>
      </c>
      <c r="E5946" s="3">
        <v>0</v>
      </c>
      <c r="F5946" s="2">
        <v>1592</v>
      </c>
      <c r="G5946" s="2">
        <v>100</v>
      </c>
      <c r="H5946" s="2">
        <v>325</v>
      </c>
      <c r="I5946" s="2">
        <v>502</v>
      </c>
      <c r="J5946" s="2">
        <v>1476</v>
      </c>
      <c r="K5946" s="2">
        <v>1</v>
      </c>
      <c r="L5946" s="2">
        <v>325</v>
      </c>
    </row>
    <row r="5947" spans="1:12" x14ac:dyDescent="0.25">
      <c r="A5947" s="4" t="str">
        <f>HYPERLINK("http://www.rosaceae.org/Prunus/Prunus_persica/p.persica_gdr_reftransV1_0043582","p.persica_gdr_reftransV1_0043582")</f>
        <v>p.persica_gdr_reftransV1_0043582</v>
      </c>
      <c r="B5947" s="2">
        <v>1915</v>
      </c>
      <c r="C5947" s="4" t="str">
        <f>HYPERLINK("http://www.uniprot.org/uniprot/M5XKC1","M5XKC1")</f>
        <v>M5XKC1</v>
      </c>
      <c r="D5947" s="2" t="s">
        <v>2111</v>
      </c>
      <c r="E5947" s="3">
        <v>0</v>
      </c>
      <c r="F5947" s="2">
        <v>1889</v>
      </c>
      <c r="G5947" s="2">
        <v>93</v>
      </c>
      <c r="H5947" s="2">
        <v>384</v>
      </c>
      <c r="I5947" s="2">
        <v>3</v>
      </c>
      <c r="J5947" s="2">
        <v>1154</v>
      </c>
      <c r="K5947" s="2">
        <v>675</v>
      </c>
      <c r="L5947" s="2">
        <v>1054</v>
      </c>
    </row>
    <row r="5948" spans="1:12" x14ac:dyDescent="0.25">
      <c r="A5948" s="4" t="str">
        <f>HYPERLINK("http://www.rosaceae.org/Prunus/Prunus_persica/p.persica_gdr_reftransV1_0043932","p.persica_gdr_reftransV1_0043932")</f>
        <v>p.persica_gdr_reftransV1_0043932</v>
      </c>
      <c r="B5948" s="2">
        <v>1189</v>
      </c>
      <c r="C5948" s="4" t="str">
        <f>HYPERLINK("http://www.uniprot.org/uniprot/M5XAK3","M5XAK3")</f>
        <v>M5XAK3</v>
      </c>
      <c r="D5948" s="2" t="s">
        <v>5396</v>
      </c>
      <c r="E5948" s="3">
        <v>0</v>
      </c>
      <c r="F5948" s="2">
        <v>1915</v>
      </c>
      <c r="G5948" s="2">
        <v>96</v>
      </c>
      <c r="H5948" s="2">
        <v>394</v>
      </c>
      <c r="I5948" s="2">
        <v>3</v>
      </c>
      <c r="J5948" s="2">
        <v>1184</v>
      </c>
      <c r="K5948" s="2">
        <v>327</v>
      </c>
      <c r="L5948" s="2">
        <v>720</v>
      </c>
    </row>
    <row r="5949" spans="1:12" x14ac:dyDescent="0.25">
      <c r="A5949" s="4" t="str">
        <f>HYPERLINK("http://www.rosaceae.org/Prunus/Prunus_persica/p.persica_gdr_reftransV1_0044282","p.persica_gdr_reftransV1_0044282")</f>
        <v>p.persica_gdr_reftransV1_0044282</v>
      </c>
      <c r="B5949" s="2">
        <v>1896</v>
      </c>
      <c r="C5949" s="4" t="str">
        <f>HYPERLINK("http://www.uniprot.org/uniprot/M5WZ78","M5WZ78")</f>
        <v>M5WZ78</v>
      </c>
      <c r="D5949" s="2" t="s">
        <v>5397</v>
      </c>
      <c r="E5949" s="3">
        <v>0</v>
      </c>
      <c r="F5949" s="2">
        <v>2427</v>
      </c>
      <c r="G5949" s="2">
        <v>100</v>
      </c>
      <c r="H5949" s="2">
        <v>466</v>
      </c>
      <c r="I5949" s="2">
        <v>233</v>
      </c>
      <c r="J5949" s="2">
        <v>1630</v>
      </c>
      <c r="K5949" s="2">
        <v>1</v>
      </c>
      <c r="L5949" s="2">
        <v>466</v>
      </c>
    </row>
    <row r="5950" spans="1:12" x14ac:dyDescent="0.25">
      <c r="A5950" s="4" t="str">
        <f>HYPERLINK("http://www.rosaceae.org/Prunus/Prunus_persica/p.persica_gdr_reftransV1_0044982","p.persica_gdr_reftransV1_0044982")</f>
        <v>p.persica_gdr_reftransV1_0044982</v>
      </c>
      <c r="B5950" s="2">
        <v>1341</v>
      </c>
      <c r="C5950" s="4" t="str">
        <f>HYPERLINK("http://www.uniprot.org/uniprot/M5X0H8","M5X0H8")</f>
        <v>M5X0H8</v>
      </c>
      <c r="D5950" s="2" t="s">
        <v>5398</v>
      </c>
      <c r="E5950" s="3">
        <v>0</v>
      </c>
      <c r="F5950" s="2">
        <v>1888</v>
      </c>
      <c r="G5950" s="2">
        <v>100</v>
      </c>
      <c r="H5950" s="2">
        <v>351</v>
      </c>
      <c r="I5950" s="2">
        <v>255</v>
      </c>
      <c r="J5950" s="2">
        <v>1307</v>
      </c>
      <c r="K5950" s="2">
        <v>1</v>
      </c>
      <c r="L5950" s="2">
        <v>351</v>
      </c>
    </row>
    <row r="5951" spans="1:12" x14ac:dyDescent="0.25">
      <c r="A5951" s="4" t="str">
        <f>HYPERLINK("http://www.rosaceae.org/Prunus/Prunus_persica/p.persica_gdr_reftransV1_0045332","p.persica_gdr_reftransV1_0045332")</f>
        <v>p.persica_gdr_reftransV1_0045332</v>
      </c>
      <c r="B5951" s="2">
        <v>1078</v>
      </c>
      <c r="C5951" s="4" t="str">
        <f>HYPERLINK("http://www.uniprot.org/uniprot/M5WTW6","M5WTW6")</f>
        <v>M5WTW6</v>
      </c>
      <c r="D5951" s="2" t="s">
        <v>5399</v>
      </c>
      <c r="E5951" s="3">
        <v>5.3399999999999999E-172</v>
      </c>
      <c r="F5951" s="2">
        <v>1268</v>
      </c>
      <c r="G5951" s="2">
        <v>100</v>
      </c>
      <c r="H5951" s="2">
        <v>260</v>
      </c>
      <c r="I5951" s="2">
        <v>119</v>
      </c>
      <c r="J5951" s="2">
        <v>898</v>
      </c>
      <c r="K5951" s="2">
        <v>31</v>
      </c>
      <c r="L5951" s="2">
        <v>290</v>
      </c>
    </row>
    <row r="5952" spans="1:12" x14ac:dyDescent="0.25">
      <c r="A5952" s="4" t="str">
        <f>HYPERLINK("http://www.rosaceae.org/Prunus/Prunus_persica/p.persica_gdr_reftransV1_0045682","p.persica_gdr_reftransV1_0045682")</f>
        <v>p.persica_gdr_reftransV1_0045682</v>
      </c>
      <c r="B5952" s="2">
        <v>349</v>
      </c>
      <c r="C5952" s="4" t="str">
        <f>HYPERLINK("http://www.uniprot.org/uniprot/M5WBG4","M5WBG4")</f>
        <v>M5WBG4</v>
      </c>
      <c r="D5952" s="2" t="s">
        <v>452</v>
      </c>
      <c r="E5952" s="3">
        <v>1.3300000000000001E-46</v>
      </c>
      <c r="F5952" s="2">
        <v>415</v>
      </c>
      <c r="G5952" s="2">
        <v>100</v>
      </c>
      <c r="H5952" s="2">
        <v>74</v>
      </c>
      <c r="I5952" s="2">
        <v>69</v>
      </c>
      <c r="J5952" s="2">
        <v>290</v>
      </c>
      <c r="K5952" s="2">
        <v>1</v>
      </c>
      <c r="L5952" s="2">
        <v>74</v>
      </c>
    </row>
    <row r="5953" spans="1:12" x14ac:dyDescent="0.25">
      <c r="A5953" s="4" t="str">
        <f>HYPERLINK("http://www.rosaceae.org/Prunus/Prunus_persica/p.persica_gdr_reftransV1_0046032","p.persica_gdr_reftransV1_0046032")</f>
        <v>p.persica_gdr_reftransV1_0046032</v>
      </c>
      <c r="B5953" s="2">
        <v>1371</v>
      </c>
      <c r="C5953" s="4" t="str">
        <f>HYPERLINK("http://www.uniprot.org/uniprot/M5WAW3","M5WAW3")</f>
        <v>M5WAW3</v>
      </c>
      <c r="D5953" s="2" t="s">
        <v>5400</v>
      </c>
      <c r="E5953" s="3">
        <v>4.5000000000000003E-99</v>
      </c>
      <c r="F5953" s="2">
        <v>783</v>
      </c>
      <c r="G5953" s="2">
        <v>99</v>
      </c>
      <c r="H5953" s="2">
        <v>149</v>
      </c>
      <c r="I5953" s="2">
        <v>89</v>
      </c>
      <c r="J5953" s="2">
        <v>535</v>
      </c>
      <c r="K5953" s="2">
        <v>22</v>
      </c>
      <c r="L5953" s="2">
        <v>170</v>
      </c>
    </row>
    <row r="5954" spans="1:12" x14ac:dyDescent="0.25">
      <c r="A5954" s="4" t="str">
        <f>HYPERLINK("http://www.rosaceae.org/Prunus/Prunus_persica/p.persica_gdr_reftransV1_0046382","p.persica_gdr_reftransV1_0046382")</f>
        <v>p.persica_gdr_reftransV1_0046382</v>
      </c>
      <c r="B5954" s="2">
        <v>2034</v>
      </c>
      <c r="C5954" s="4" t="str">
        <f>HYPERLINK("http://www.uniprot.org/uniprot/M5WYX2","M5WYX2")</f>
        <v>M5WYX2</v>
      </c>
      <c r="D5954" s="2" t="s">
        <v>5401</v>
      </c>
      <c r="E5954" s="3">
        <v>1.2000000000000001E-91</v>
      </c>
      <c r="F5954" s="2">
        <v>760</v>
      </c>
      <c r="G5954" s="2">
        <v>88</v>
      </c>
      <c r="H5954" s="2">
        <v>169</v>
      </c>
      <c r="I5954" s="2">
        <v>1343</v>
      </c>
      <c r="J5954" s="2">
        <v>1834</v>
      </c>
      <c r="K5954" s="2">
        <v>97</v>
      </c>
      <c r="L5954" s="2">
        <v>265</v>
      </c>
    </row>
    <row r="5955" spans="1:12" x14ac:dyDescent="0.25">
      <c r="A5955" s="4" t="str">
        <f>HYPERLINK("http://www.rosaceae.org/Prunus/Prunus_persica/p.persica_gdr_reftransV1_0047082","p.persica_gdr_reftransV1_0047082")</f>
        <v>p.persica_gdr_reftransV1_0047082</v>
      </c>
      <c r="B5955" s="2">
        <v>1819</v>
      </c>
      <c r="C5955" s="4" t="str">
        <f>HYPERLINK("http://www.uniprot.org/uniprot/M5XCM6","M5XCM6")</f>
        <v>M5XCM6</v>
      </c>
      <c r="D5955" s="2" t="s">
        <v>5402</v>
      </c>
      <c r="E5955" s="3">
        <v>0</v>
      </c>
      <c r="F5955" s="2">
        <v>1743</v>
      </c>
      <c r="G5955" s="2">
        <v>89</v>
      </c>
      <c r="H5955" s="2">
        <v>391</v>
      </c>
      <c r="I5955" s="2">
        <v>87</v>
      </c>
      <c r="J5955" s="2">
        <v>1256</v>
      </c>
      <c r="K5955" s="2">
        <v>1</v>
      </c>
      <c r="L5955" s="2">
        <v>391</v>
      </c>
    </row>
    <row r="5956" spans="1:12" x14ac:dyDescent="0.25">
      <c r="A5956" s="4" t="str">
        <f>HYPERLINK("http://www.rosaceae.org/Prunus/Prunus_persica/p.persica_gdr_reftransV1_0047782","p.persica_gdr_reftransV1_0047782")</f>
        <v>p.persica_gdr_reftransV1_0047782</v>
      </c>
      <c r="B5956" s="2">
        <v>913</v>
      </c>
      <c r="C5956" s="4" t="str">
        <f>HYPERLINK("http://www.uniprot.org/uniprot/M5WD51","M5WD51")</f>
        <v>M5WD51</v>
      </c>
      <c r="D5956" s="2" t="s">
        <v>5403</v>
      </c>
      <c r="E5956" s="3">
        <v>0</v>
      </c>
      <c r="F5956" s="2">
        <v>1479</v>
      </c>
      <c r="G5956" s="2">
        <v>100</v>
      </c>
      <c r="H5956" s="2">
        <v>304</v>
      </c>
      <c r="I5956" s="2">
        <v>2</v>
      </c>
      <c r="J5956" s="2">
        <v>913</v>
      </c>
      <c r="K5956" s="2">
        <v>393</v>
      </c>
      <c r="L5956" s="2">
        <v>696</v>
      </c>
    </row>
    <row r="5957" spans="1:12" x14ac:dyDescent="0.25">
      <c r="A5957" s="4" t="str">
        <f>HYPERLINK("http://www.rosaceae.org/Prunus/Prunus_persica/p.persica_gdr_reftransV1_0048132","p.persica_gdr_reftransV1_0048132")</f>
        <v>p.persica_gdr_reftransV1_0048132</v>
      </c>
      <c r="B5957" s="2">
        <v>1486</v>
      </c>
      <c r="C5957" s="4" t="str">
        <f>HYPERLINK("http://www.uniprot.org/uniprot/M5WTF8","M5WTF8")</f>
        <v>M5WTF8</v>
      </c>
      <c r="D5957" s="2" t="s">
        <v>5404</v>
      </c>
      <c r="E5957" s="3">
        <v>2.45E-147</v>
      </c>
      <c r="F5957" s="2">
        <v>1118</v>
      </c>
      <c r="G5957" s="2">
        <v>99</v>
      </c>
      <c r="H5957" s="2">
        <v>285</v>
      </c>
      <c r="I5957" s="2">
        <v>326</v>
      </c>
      <c r="J5957" s="2">
        <v>1180</v>
      </c>
      <c r="K5957" s="2">
        <v>1</v>
      </c>
      <c r="L5957" s="2">
        <v>285</v>
      </c>
    </row>
    <row r="5958" spans="1:12" x14ac:dyDescent="0.25">
      <c r="A5958" s="4" t="str">
        <f>HYPERLINK("http://www.rosaceae.org/Prunus/Prunus_persica/p.persica_gdr_reftransV1_0048482","p.persica_gdr_reftransV1_0048482")</f>
        <v>p.persica_gdr_reftransV1_0048482</v>
      </c>
      <c r="B5958" s="2">
        <v>1045</v>
      </c>
      <c r="C5958" s="4" t="str">
        <f>HYPERLINK("http://www.uniprot.org/uniprot/M5WEE9","M5WEE9")</f>
        <v>M5WEE9</v>
      </c>
      <c r="D5958" s="2" t="s">
        <v>5405</v>
      </c>
      <c r="E5958" s="3">
        <v>2.26E-80</v>
      </c>
      <c r="F5958" s="2">
        <v>650</v>
      </c>
      <c r="G5958" s="2">
        <v>100</v>
      </c>
      <c r="H5958" s="2">
        <v>184</v>
      </c>
      <c r="I5958" s="2">
        <v>335</v>
      </c>
      <c r="J5958" s="2">
        <v>886</v>
      </c>
      <c r="K5958" s="2">
        <v>1</v>
      </c>
      <c r="L5958" s="2">
        <v>184</v>
      </c>
    </row>
    <row r="5959" spans="1:12" x14ac:dyDescent="0.25">
      <c r="A5959" s="4" t="str">
        <f>HYPERLINK("http://www.rosaceae.org/Prunus/Prunus_persica/p.persica_gdr_reftransV1_0048832","p.persica_gdr_reftransV1_0048832")</f>
        <v>p.persica_gdr_reftransV1_0048832</v>
      </c>
      <c r="B5959" s="2">
        <v>1279</v>
      </c>
      <c r="C5959" s="4" t="str">
        <f>HYPERLINK("http://www.uniprot.org/uniprot/M5WB82","M5WB82")</f>
        <v>M5WB82</v>
      </c>
      <c r="D5959" s="2" t="s">
        <v>5406</v>
      </c>
      <c r="E5959" s="3">
        <v>0</v>
      </c>
      <c r="F5959" s="2">
        <v>1536</v>
      </c>
      <c r="G5959" s="2">
        <v>94</v>
      </c>
      <c r="H5959" s="2">
        <v>313</v>
      </c>
      <c r="I5959" s="2">
        <v>303</v>
      </c>
      <c r="J5959" s="2">
        <v>1187</v>
      </c>
      <c r="K5959" s="2">
        <v>1</v>
      </c>
      <c r="L5959" s="2">
        <v>313</v>
      </c>
    </row>
    <row r="5960" spans="1:12" x14ac:dyDescent="0.25">
      <c r="A5960" s="4" t="str">
        <f>HYPERLINK("http://www.rosaceae.org/Prunus/Prunus_persica/p.persica_gdr_reftransV1_0049182","p.persica_gdr_reftransV1_0049182")</f>
        <v>p.persica_gdr_reftransV1_0049182</v>
      </c>
      <c r="B5960" s="2">
        <v>912</v>
      </c>
      <c r="C5960" s="4" t="str">
        <f>HYPERLINK("http://www.uniprot.org/uniprot/M5X332","M5X332")</f>
        <v>M5X332</v>
      </c>
      <c r="D5960" s="2" t="s">
        <v>5407</v>
      </c>
      <c r="E5960" s="3">
        <v>8.0500000000000005E-69</v>
      </c>
      <c r="F5960" s="2">
        <v>562</v>
      </c>
      <c r="G5960" s="2">
        <v>100</v>
      </c>
      <c r="H5960" s="2">
        <v>107</v>
      </c>
      <c r="I5960" s="2">
        <v>203</v>
      </c>
      <c r="J5960" s="2">
        <v>523</v>
      </c>
      <c r="K5960" s="2">
        <v>1</v>
      </c>
      <c r="L5960" s="2">
        <v>107</v>
      </c>
    </row>
    <row r="5961" spans="1:12" x14ac:dyDescent="0.25">
      <c r="A5961" s="4" t="str">
        <f>HYPERLINK("http://www.rosaceae.org/Prunus/Prunus_persica/p.persica_gdr_reftransV1_0000533","p.persica_gdr_reftransV1_0000533")</f>
        <v>p.persica_gdr_reftransV1_0000533</v>
      </c>
      <c r="B5961" s="2">
        <v>1347</v>
      </c>
      <c r="C5961" s="4" t="str">
        <f>HYPERLINK("http://www.uniprot.org/uniprot/M5Y4H0","M5Y4H0")</f>
        <v>M5Y4H0</v>
      </c>
      <c r="D5961" s="2" t="s">
        <v>5408</v>
      </c>
      <c r="E5961" s="3">
        <v>0</v>
      </c>
      <c r="F5961" s="2">
        <v>1560</v>
      </c>
      <c r="G5961" s="2">
        <v>100</v>
      </c>
      <c r="H5961" s="2">
        <v>331</v>
      </c>
      <c r="I5961" s="2">
        <v>300</v>
      </c>
      <c r="J5961" s="2">
        <v>1292</v>
      </c>
      <c r="K5961" s="2">
        <v>1</v>
      </c>
      <c r="L5961" s="2">
        <v>331</v>
      </c>
    </row>
    <row r="5962" spans="1:12" x14ac:dyDescent="0.25">
      <c r="A5962" s="4" t="str">
        <f>HYPERLINK("http://www.rosaceae.org/Prunus/Prunus_persica/p.persica_gdr_reftransV1_0000883","p.persica_gdr_reftransV1_0000883")</f>
        <v>p.persica_gdr_reftransV1_0000883</v>
      </c>
      <c r="B5962" s="2">
        <v>906</v>
      </c>
      <c r="C5962" s="4" t="str">
        <f>HYPERLINK("http://www.uniprot.org/uniprot/M5WCY8","M5WCY8")</f>
        <v>M5WCY8</v>
      </c>
      <c r="D5962" s="2" t="s">
        <v>5409</v>
      </c>
      <c r="E5962" s="3">
        <v>1.24E-122</v>
      </c>
      <c r="F5962" s="2">
        <v>926</v>
      </c>
      <c r="G5962" s="2">
        <v>100</v>
      </c>
      <c r="H5962" s="2">
        <v>193</v>
      </c>
      <c r="I5962" s="2">
        <v>173</v>
      </c>
      <c r="J5962" s="2">
        <v>751</v>
      </c>
      <c r="K5962" s="2">
        <v>1</v>
      </c>
      <c r="L5962" s="2">
        <v>193</v>
      </c>
    </row>
    <row r="5963" spans="1:12" x14ac:dyDescent="0.25">
      <c r="A5963" s="4" t="str">
        <f>HYPERLINK("http://www.rosaceae.org/Prunus/Prunus_persica/p.persica_gdr_reftransV1_0001233","p.persica_gdr_reftransV1_0001233")</f>
        <v>p.persica_gdr_reftransV1_0001233</v>
      </c>
      <c r="B5963" s="2">
        <v>1668</v>
      </c>
      <c r="C5963" s="4" t="str">
        <f>HYPERLINK("http://www.uniprot.org/uniprot/M5WYF6","M5WYF6")</f>
        <v>M5WYF6</v>
      </c>
      <c r="D5963" s="2" t="s">
        <v>5410</v>
      </c>
      <c r="E5963" s="3">
        <v>0</v>
      </c>
      <c r="F5963" s="2">
        <v>1839</v>
      </c>
      <c r="G5963" s="2">
        <v>88</v>
      </c>
      <c r="H5963" s="2">
        <v>400</v>
      </c>
      <c r="I5963" s="2">
        <v>265</v>
      </c>
      <c r="J5963" s="2">
        <v>1461</v>
      </c>
      <c r="K5963" s="2">
        <v>1</v>
      </c>
      <c r="L5963" s="2">
        <v>391</v>
      </c>
    </row>
    <row r="5964" spans="1:12" x14ac:dyDescent="0.25">
      <c r="A5964" s="4" t="str">
        <f>HYPERLINK("http://www.rosaceae.org/Prunus/Prunus_persica/p.persica_gdr_reftransV1_0001583","p.persica_gdr_reftransV1_0001583")</f>
        <v>p.persica_gdr_reftransV1_0001583</v>
      </c>
      <c r="B5964" s="2">
        <v>2113</v>
      </c>
      <c r="C5964" s="4" t="str">
        <f>HYPERLINK("http://www.uniprot.org/uniprot/M5VZ66","M5VZ66")</f>
        <v>M5VZ66</v>
      </c>
      <c r="D5964" s="2" t="s">
        <v>5411</v>
      </c>
      <c r="E5964" s="3">
        <v>0</v>
      </c>
      <c r="F5964" s="2">
        <v>2213</v>
      </c>
      <c r="G5964" s="2">
        <v>100</v>
      </c>
      <c r="H5964" s="2">
        <v>442</v>
      </c>
      <c r="I5964" s="2">
        <v>436</v>
      </c>
      <c r="J5964" s="2">
        <v>1761</v>
      </c>
      <c r="K5964" s="2">
        <v>1</v>
      </c>
      <c r="L5964" s="2">
        <v>442</v>
      </c>
    </row>
    <row r="5965" spans="1:12" x14ac:dyDescent="0.25">
      <c r="A5965" s="4" t="str">
        <f>HYPERLINK("http://www.rosaceae.org/Prunus/Prunus_persica/p.persica_gdr_reftransV1_0002633","p.persica_gdr_reftransV1_0002633")</f>
        <v>p.persica_gdr_reftransV1_0002633</v>
      </c>
      <c r="B5965" s="2">
        <v>863</v>
      </c>
      <c r="C5965" s="4" t="str">
        <f>HYPERLINK("http://www.uniprot.org/uniprot/M5WGP1","M5WGP1")</f>
        <v>M5WGP1</v>
      </c>
      <c r="D5965" s="2" t="s">
        <v>5412</v>
      </c>
      <c r="E5965" s="3">
        <v>1.5199999999999999E-68</v>
      </c>
      <c r="F5965" s="2">
        <v>561</v>
      </c>
      <c r="G5965" s="2">
        <v>100</v>
      </c>
      <c r="H5965" s="2">
        <v>122</v>
      </c>
      <c r="I5965" s="2">
        <v>296</v>
      </c>
      <c r="J5965" s="2">
        <v>661</v>
      </c>
      <c r="K5965" s="2">
        <v>17</v>
      </c>
      <c r="L5965" s="2">
        <v>138</v>
      </c>
    </row>
    <row r="5966" spans="1:12" x14ac:dyDescent="0.25">
      <c r="A5966" s="4" t="str">
        <f>HYPERLINK("http://www.rosaceae.org/Prunus/Prunus_persica/p.persica_gdr_reftransV1_0003333","p.persica_gdr_reftransV1_0003333")</f>
        <v>p.persica_gdr_reftransV1_0003333</v>
      </c>
      <c r="B5966" s="2">
        <v>1885</v>
      </c>
      <c r="C5966" s="4" t="str">
        <f>HYPERLINK("http://www.uniprot.org/uniprot/M5XU94","M5XU94")</f>
        <v>M5XU94</v>
      </c>
      <c r="D5966" s="2" t="s">
        <v>740</v>
      </c>
      <c r="E5966" s="3">
        <v>0</v>
      </c>
      <c r="F5966" s="2">
        <v>2738</v>
      </c>
      <c r="G5966" s="2">
        <v>100</v>
      </c>
      <c r="H5966" s="2">
        <v>561</v>
      </c>
      <c r="I5966" s="2">
        <v>3</v>
      </c>
      <c r="J5966" s="2">
        <v>1685</v>
      </c>
      <c r="K5966" s="2">
        <v>1</v>
      </c>
      <c r="L5966" s="2">
        <v>561</v>
      </c>
    </row>
    <row r="5967" spans="1:12" x14ac:dyDescent="0.25">
      <c r="A5967" s="4" t="str">
        <f>HYPERLINK("http://www.rosaceae.org/Prunus/Prunus_persica/p.persica_gdr_reftransV1_0003683","p.persica_gdr_reftransV1_0003683")</f>
        <v>p.persica_gdr_reftransV1_0003683</v>
      </c>
      <c r="B5967" s="2">
        <v>561</v>
      </c>
      <c r="C5967" s="4" t="str">
        <f>HYPERLINK("http://www.uniprot.org/uniprot/M5WYH8","M5WYH8")</f>
        <v>M5WYH8</v>
      </c>
      <c r="D5967" s="2" t="s">
        <v>5413</v>
      </c>
      <c r="E5967" s="3">
        <v>9.7700000000000003E-55</v>
      </c>
      <c r="F5967" s="2">
        <v>498</v>
      </c>
      <c r="G5967" s="2">
        <v>100</v>
      </c>
      <c r="H5967" s="2">
        <v>102</v>
      </c>
      <c r="I5967" s="2">
        <v>256</v>
      </c>
      <c r="J5967" s="2">
        <v>561</v>
      </c>
      <c r="K5967" s="2">
        <v>1</v>
      </c>
      <c r="L5967" s="2">
        <v>102</v>
      </c>
    </row>
    <row r="5968" spans="1:12" x14ac:dyDescent="0.25">
      <c r="A5968" s="4" t="str">
        <f>HYPERLINK("http://www.rosaceae.org/Prunus/Prunus_persica/p.persica_gdr_reftransV1_0004383","p.persica_gdr_reftransV1_0004383")</f>
        <v>p.persica_gdr_reftransV1_0004383</v>
      </c>
      <c r="B5968" s="2">
        <v>3739</v>
      </c>
      <c r="C5968" s="4" t="str">
        <f>HYPERLINK("http://www.uniprot.org/uniprot/W9R7E4","W9R7E4")</f>
        <v>W9R7E4</v>
      </c>
      <c r="D5968" s="2" t="s">
        <v>5414</v>
      </c>
      <c r="E5968" s="3">
        <v>0</v>
      </c>
      <c r="F5968" s="2">
        <v>3471</v>
      </c>
      <c r="G5968" s="2">
        <v>70</v>
      </c>
      <c r="H5968" s="2">
        <v>1195</v>
      </c>
      <c r="I5968" s="2">
        <v>3</v>
      </c>
      <c r="J5968" s="2">
        <v>3551</v>
      </c>
      <c r="K5968" s="2">
        <v>208</v>
      </c>
      <c r="L5968" s="2">
        <v>1341</v>
      </c>
    </row>
    <row r="5969" spans="1:12" x14ac:dyDescent="0.25">
      <c r="A5969" s="4" t="str">
        <f>HYPERLINK("http://www.rosaceae.org/Prunus/Prunus_persica/p.persica_gdr_reftransV1_0005083","p.persica_gdr_reftransV1_0005083")</f>
        <v>p.persica_gdr_reftransV1_0005083</v>
      </c>
      <c r="B5969" s="2">
        <v>1339</v>
      </c>
      <c r="C5969" s="4" t="str">
        <f>HYPERLINK("http://www.uniprot.org/uniprot/M5XZ14","M5XZ14")</f>
        <v>M5XZ14</v>
      </c>
      <c r="D5969" s="2" t="s">
        <v>5415</v>
      </c>
      <c r="E5969" s="3">
        <v>0</v>
      </c>
      <c r="F5969" s="2">
        <v>1420</v>
      </c>
      <c r="G5969" s="2">
        <v>100</v>
      </c>
      <c r="H5969" s="2">
        <v>269</v>
      </c>
      <c r="I5969" s="2">
        <v>303</v>
      </c>
      <c r="J5969" s="2">
        <v>1109</v>
      </c>
      <c r="K5969" s="2">
        <v>106</v>
      </c>
      <c r="L5969" s="2">
        <v>374</v>
      </c>
    </row>
    <row r="5970" spans="1:12" x14ac:dyDescent="0.25">
      <c r="A5970" s="4" t="str">
        <f>HYPERLINK("http://www.rosaceae.org/Prunus/Prunus_persica/p.persica_gdr_reftransV1_0005433","p.persica_gdr_reftransV1_0005433")</f>
        <v>p.persica_gdr_reftransV1_0005433</v>
      </c>
      <c r="B5970" s="2">
        <v>435</v>
      </c>
      <c r="C5970" s="4" t="str">
        <f>HYPERLINK("http://www.uniprot.org/uniprot/M5VVV3","M5VVV3")</f>
        <v>M5VVV3</v>
      </c>
      <c r="D5970" s="2" t="s">
        <v>1121</v>
      </c>
      <c r="E5970" s="3">
        <v>4.9599999999999999E-82</v>
      </c>
      <c r="F5970" s="2">
        <v>653</v>
      </c>
      <c r="G5970" s="2">
        <v>100</v>
      </c>
      <c r="H5970" s="2">
        <v>144</v>
      </c>
      <c r="I5970" s="2">
        <v>3</v>
      </c>
      <c r="J5970" s="2">
        <v>434</v>
      </c>
      <c r="K5970" s="2">
        <v>152</v>
      </c>
      <c r="L5970" s="2">
        <v>295</v>
      </c>
    </row>
    <row r="5971" spans="1:12" x14ac:dyDescent="0.25">
      <c r="A5971" s="4" t="str">
        <f>HYPERLINK("http://www.rosaceae.org/Prunus/Prunus_persica/p.persica_gdr_reftransV1_0006833","p.persica_gdr_reftransV1_0006833")</f>
        <v>p.persica_gdr_reftransV1_0006833</v>
      </c>
      <c r="B5971" s="2">
        <v>431</v>
      </c>
      <c r="C5971" s="4" t="str">
        <f>HYPERLINK("http://www.uniprot.org/uniprot/M5VTF6","M5VTF6")</f>
        <v>M5VTF6</v>
      </c>
      <c r="D5971" s="2" t="s">
        <v>5416</v>
      </c>
      <c r="E5971" s="3">
        <v>2.0200000000000001E-45</v>
      </c>
      <c r="F5971" s="2">
        <v>396</v>
      </c>
      <c r="G5971" s="2">
        <v>65</v>
      </c>
      <c r="H5971" s="2">
        <v>134</v>
      </c>
      <c r="I5971" s="2">
        <v>2</v>
      </c>
      <c r="J5971" s="2">
        <v>394</v>
      </c>
      <c r="K5971" s="2">
        <v>22</v>
      </c>
      <c r="L5971" s="2">
        <v>155</v>
      </c>
    </row>
    <row r="5972" spans="1:12" x14ac:dyDescent="0.25">
      <c r="A5972" s="4" t="str">
        <f>HYPERLINK("http://www.rosaceae.org/Prunus/Prunus_persica/p.persica_gdr_reftransV1_0007533","p.persica_gdr_reftransV1_0007533")</f>
        <v>p.persica_gdr_reftransV1_0007533</v>
      </c>
      <c r="B5972" s="2">
        <v>1820</v>
      </c>
      <c r="C5972" s="4" t="str">
        <f>HYPERLINK("http://www.uniprot.org/uniprot/M5WFE9","M5WFE9")</f>
        <v>M5WFE9</v>
      </c>
      <c r="D5972" s="2" t="s">
        <v>5417</v>
      </c>
      <c r="E5972" s="3">
        <v>0</v>
      </c>
      <c r="F5972" s="2">
        <v>2586</v>
      </c>
      <c r="G5972" s="2">
        <v>100</v>
      </c>
      <c r="H5972" s="2">
        <v>480</v>
      </c>
      <c r="I5972" s="2">
        <v>120</v>
      </c>
      <c r="J5972" s="2">
        <v>1559</v>
      </c>
      <c r="K5972" s="2">
        <v>1</v>
      </c>
      <c r="L5972" s="2">
        <v>480</v>
      </c>
    </row>
    <row r="5973" spans="1:12" x14ac:dyDescent="0.25">
      <c r="A5973" s="4" t="str">
        <f>HYPERLINK("http://www.rosaceae.org/Prunus/Prunus_persica/p.persica_gdr_reftransV1_0008233","p.persica_gdr_reftransV1_0008233")</f>
        <v>p.persica_gdr_reftransV1_0008233</v>
      </c>
      <c r="B5973" s="2">
        <v>2252</v>
      </c>
      <c r="C5973" s="4" t="str">
        <f>HYPERLINK("http://www.uniprot.org/uniprot/M5Y329","M5Y329")</f>
        <v>M5Y329</v>
      </c>
      <c r="D5973" s="2" t="s">
        <v>5418</v>
      </c>
      <c r="E5973" s="3">
        <v>1.6899999999999999E-72</v>
      </c>
      <c r="F5973" s="2">
        <v>625</v>
      </c>
      <c r="G5973" s="2">
        <v>99</v>
      </c>
      <c r="H5973" s="2">
        <v>164</v>
      </c>
      <c r="I5973" s="2">
        <v>139</v>
      </c>
      <c r="J5973" s="2">
        <v>630</v>
      </c>
      <c r="K5973" s="2">
        <v>2</v>
      </c>
      <c r="L5973" s="2">
        <v>165</v>
      </c>
    </row>
    <row r="5974" spans="1:12" x14ac:dyDescent="0.25">
      <c r="A5974" s="4" t="str">
        <f>HYPERLINK("http://www.rosaceae.org/Prunus/Prunus_persica/p.persica_gdr_reftransV1_0008583","p.persica_gdr_reftransV1_0008583")</f>
        <v>p.persica_gdr_reftransV1_0008583</v>
      </c>
      <c r="B5974" s="2">
        <v>2094</v>
      </c>
      <c r="C5974" s="4" t="str">
        <f>HYPERLINK("http://www.uniprot.org/uniprot/M5XF99","M5XF99")</f>
        <v>M5XF99</v>
      </c>
      <c r="D5974" s="2" t="s">
        <v>5419</v>
      </c>
      <c r="E5974" s="3">
        <v>0</v>
      </c>
      <c r="F5974" s="2">
        <v>2422</v>
      </c>
      <c r="G5974" s="2">
        <v>100</v>
      </c>
      <c r="H5974" s="2">
        <v>468</v>
      </c>
      <c r="I5974" s="2">
        <v>578</v>
      </c>
      <c r="J5974" s="2">
        <v>1981</v>
      </c>
      <c r="K5974" s="2">
        <v>1</v>
      </c>
      <c r="L5974" s="2">
        <v>468</v>
      </c>
    </row>
    <row r="5975" spans="1:12" x14ac:dyDescent="0.25">
      <c r="A5975" s="4" t="str">
        <f>HYPERLINK("http://www.rosaceae.org/Prunus/Prunus_persica/p.persica_gdr_reftransV1_0008933","p.persica_gdr_reftransV1_0008933")</f>
        <v>p.persica_gdr_reftransV1_0008933</v>
      </c>
      <c r="B5975" s="2">
        <v>1083</v>
      </c>
      <c r="C5975" s="4" t="str">
        <f>HYPERLINK("http://www.uniprot.org/uniprot/M5XFR5","M5XFR5")</f>
        <v>M5XFR5</v>
      </c>
      <c r="D5975" s="2" t="s">
        <v>5420</v>
      </c>
      <c r="E5975" s="3">
        <v>0</v>
      </c>
      <c r="F5975" s="2">
        <v>1345</v>
      </c>
      <c r="G5975" s="2">
        <v>100</v>
      </c>
      <c r="H5975" s="2">
        <v>269</v>
      </c>
      <c r="I5975" s="2">
        <v>89</v>
      </c>
      <c r="J5975" s="2">
        <v>895</v>
      </c>
      <c r="K5975" s="2">
        <v>1</v>
      </c>
      <c r="L5975" s="2">
        <v>269</v>
      </c>
    </row>
    <row r="5976" spans="1:12" x14ac:dyDescent="0.25">
      <c r="A5976" s="4" t="str">
        <f>HYPERLINK("http://www.rosaceae.org/Prunus/Prunus_persica/p.persica_gdr_reftransV1_0010333","p.persica_gdr_reftransV1_0010333")</f>
        <v>p.persica_gdr_reftransV1_0010333</v>
      </c>
      <c r="B5976" s="2">
        <v>958</v>
      </c>
      <c r="C5976" s="4" t="str">
        <f>HYPERLINK("http://www.uniprot.org/uniprot/M5W1B4","M5W1B4")</f>
        <v>M5W1B4</v>
      </c>
      <c r="D5976" s="2" t="s">
        <v>5421</v>
      </c>
      <c r="E5976" s="3">
        <v>8.9500000000000008E-143</v>
      </c>
      <c r="F5976" s="2">
        <v>1064</v>
      </c>
      <c r="G5976" s="2">
        <v>100</v>
      </c>
      <c r="H5976" s="2">
        <v>228</v>
      </c>
      <c r="I5976" s="2">
        <v>209</v>
      </c>
      <c r="J5976" s="2">
        <v>892</v>
      </c>
      <c r="K5976" s="2">
        <v>1</v>
      </c>
      <c r="L5976" s="2">
        <v>228</v>
      </c>
    </row>
    <row r="5977" spans="1:12" x14ac:dyDescent="0.25">
      <c r="A5977" s="4" t="str">
        <f>HYPERLINK("http://www.rosaceae.org/Prunus/Prunus_persica/p.persica_gdr_reftransV1_0010683","p.persica_gdr_reftransV1_0010683")</f>
        <v>p.persica_gdr_reftransV1_0010683</v>
      </c>
      <c r="B5977" s="2">
        <v>1036</v>
      </c>
      <c r="C5977" s="4" t="str">
        <f>HYPERLINK("http://www.uniprot.org/uniprot/M5W146","M5W146")</f>
        <v>M5W146</v>
      </c>
      <c r="D5977" s="2" t="s">
        <v>5422</v>
      </c>
      <c r="E5977" s="3">
        <v>1.6900000000000001E-123</v>
      </c>
      <c r="F5977" s="2">
        <v>938</v>
      </c>
      <c r="G5977" s="2">
        <v>100</v>
      </c>
      <c r="H5977" s="2">
        <v>213</v>
      </c>
      <c r="I5977" s="2">
        <v>102</v>
      </c>
      <c r="J5977" s="2">
        <v>740</v>
      </c>
      <c r="K5977" s="2">
        <v>1</v>
      </c>
      <c r="L5977" s="2">
        <v>213</v>
      </c>
    </row>
    <row r="5978" spans="1:12" x14ac:dyDescent="0.25">
      <c r="A5978" s="4" t="str">
        <f>HYPERLINK("http://www.rosaceae.org/Prunus/Prunus_persica/p.persica_gdr_reftransV1_0011033","p.persica_gdr_reftransV1_0011033")</f>
        <v>p.persica_gdr_reftransV1_0011033</v>
      </c>
      <c r="B5978" s="2">
        <v>2853</v>
      </c>
      <c r="C5978" s="4" t="str">
        <f>HYPERLINK("http://www.uniprot.org/uniprot/M5XAM8","M5XAM8")</f>
        <v>M5XAM8</v>
      </c>
      <c r="D5978" s="2" t="s">
        <v>5423</v>
      </c>
      <c r="E5978" s="3">
        <v>0</v>
      </c>
      <c r="F5978" s="2">
        <v>3826</v>
      </c>
      <c r="G5978" s="2">
        <v>100</v>
      </c>
      <c r="H5978" s="2">
        <v>767</v>
      </c>
      <c r="I5978" s="2">
        <v>316</v>
      </c>
      <c r="J5978" s="2">
        <v>2616</v>
      </c>
      <c r="K5978" s="2">
        <v>1</v>
      </c>
      <c r="L5978" s="2">
        <v>767</v>
      </c>
    </row>
    <row r="5979" spans="1:12" x14ac:dyDescent="0.25">
      <c r="A5979" s="4" t="str">
        <f>HYPERLINK("http://www.rosaceae.org/Prunus/Prunus_persica/p.persica_gdr_reftransV1_0011733","p.persica_gdr_reftransV1_0011733")</f>
        <v>p.persica_gdr_reftransV1_0011733</v>
      </c>
      <c r="B5979" s="2">
        <v>1599</v>
      </c>
      <c r="C5979" s="4" t="str">
        <f>HYPERLINK("http://www.uniprot.org/uniprot/M5WK19","M5WK19")</f>
        <v>M5WK19</v>
      </c>
      <c r="D5979" s="2" t="s">
        <v>5424</v>
      </c>
      <c r="E5979" s="3">
        <v>6.8099999999999997E-53</v>
      </c>
      <c r="F5979" s="2">
        <v>473</v>
      </c>
      <c r="G5979" s="2">
        <v>100</v>
      </c>
      <c r="H5979" s="2">
        <v>105</v>
      </c>
      <c r="I5979" s="2">
        <v>752</v>
      </c>
      <c r="J5979" s="2">
        <v>1066</v>
      </c>
      <c r="K5979" s="2">
        <v>26</v>
      </c>
      <c r="L5979" s="2">
        <v>130</v>
      </c>
    </row>
    <row r="5980" spans="1:12" x14ac:dyDescent="0.25">
      <c r="A5980" s="4" t="str">
        <f>HYPERLINK("http://www.rosaceae.org/Prunus/Prunus_persica/p.persica_gdr_reftransV1_0012083","p.persica_gdr_reftransV1_0012083")</f>
        <v>p.persica_gdr_reftransV1_0012083</v>
      </c>
      <c r="B5980" s="2">
        <v>2784</v>
      </c>
      <c r="C5980" s="4" t="str">
        <f>HYPERLINK("http://www.uniprot.org/uniprot/M5XEV0","M5XEV0")</f>
        <v>M5XEV0</v>
      </c>
      <c r="D5980" s="2" t="s">
        <v>5425</v>
      </c>
      <c r="E5980" s="3">
        <v>0</v>
      </c>
      <c r="F5980" s="2">
        <v>2921</v>
      </c>
      <c r="G5980" s="2">
        <v>89</v>
      </c>
      <c r="H5980" s="2">
        <v>670</v>
      </c>
      <c r="I5980" s="2">
        <v>3</v>
      </c>
      <c r="J5980" s="2">
        <v>2003</v>
      </c>
      <c r="K5980" s="2">
        <v>311</v>
      </c>
      <c r="L5980" s="2">
        <v>965</v>
      </c>
    </row>
    <row r="5981" spans="1:12" x14ac:dyDescent="0.25">
      <c r="A5981" s="4" t="str">
        <f>HYPERLINK("http://www.rosaceae.org/Prunus/Prunus_persica/p.persica_gdr_reftransV1_0012433","p.persica_gdr_reftransV1_0012433")</f>
        <v>p.persica_gdr_reftransV1_0012433</v>
      </c>
      <c r="B5981" s="2">
        <v>943</v>
      </c>
      <c r="C5981" s="4" t="str">
        <f>HYPERLINK("http://www.uniprot.org/uniprot/M5WR98","M5WR98")</f>
        <v>M5WR98</v>
      </c>
      <c r="D5981" s="2" t="s">
        <v>5426</v>
      </c>
      <c r="E5981" s="3">
        <v>1.8000000000000001E-78</v>
      </c>
      <c r="F5981" s="2">
        <v>630</v>
      </c>
      <c r="G5981" s="2">
        <v>100</v>
      </c>
      <c r="H5981" s="2">
        <v>120</v>
      </c>
      <c r="I5981" s="2">
        <v>582</v>
      </c>
      <c r="J5981" s="2">
        <v>941</v>
      </c>
      <c r="K5981" s="2">
        <v>1</v>
      </c>
      <c r="L5981" s="2">
        <v>120</v>
      </c>
    </row>
    <row r="5982" spans="1:12" x14ac:dyDescent="0.25">
      <c r="A5982" s="4" t="str">
        <f>HYPERLINK("http://www.rosaceae.org/Prunus/Prunus_persica/p.persica_gdr_reftransV1_0012783","p.persica_gdr_reftransV1_0012783")</f>
        <v>p.persica_gdr_reftransV1_0012783</v>
      </c>
      <c r="B5982" s="2">
        <v>1670</v>
      </c>
      <c r="C5982" s="4" t="str">
        <f>HYPERLINK("http://www.uniprot.org/uniprot/M5VH22","M5VH22")</f>
        <v>M5VH22</v>
      </c>
      <c r="D5982" s="2" t="s">
        <v>5427</v>
      </c>
      <c r="E5982" s="3">
        <v>0</v>
      </c>
      <c r="F5982" s="2">
        <v>1957</v>
      </c>
      <c r="G5982" s="2">
        <v>100</v>
      </c>
      <c r="H5982" s="2">
        <v>364</v>
      </c>
      <c r="I5982" s="2">
        <v>119</v>
      </c>
      <c r="J5982" s="2">
        <v>1210</v>
      </c>
      <c r="K5982" s="2">
        <v>1</v>
      </c>
      <c r="L5982" s="2">
        <v>364</v>
      </c>
    </row>
    <row r="5983" spans="1:12" x14ac:dyDescent="0.25">
      <c r="A5983" s="4" t="str">
        <f>HYPERLINK("http://www.rosaceae.org/Prunus/Prunus_persica/p.persica_gdr_reftransV1_0015583","p.persica_gdr_reftransV1_0015583")</f>
        <v>p.persica_gdr_reftransV1_0015583</v>
      </c>
      <c r="B5983" s="2">
        <v>1528</v>
      </c>
      <c r="C5983" s="4" t="str">
        <f>HYPERLINK("http://www.uniprot.org/uniprot/M5W6K4","M5W6K4")</f>
        <v>M5W6K4</v>
      </c>
      <c r="D5983" s="2" t="s">
        <v>5428</v>
      </c>
      <c r="E5983" s="3">
        <v>0</v>
      </c>
      <c r="F5983" s="2">
        <v>2275</v>
      </c>
      <c r="G5983" s="2">
        <v>93</v>
      </c>
      <c r="H5983" s="2">
        <v>477</v>
      </c>
      <c r="I5983" s="2">
        <v>13</v>
      </c>
      <c r="J5983" s="2">
        <v>1431</v>
      </c>
      <c r="K5983" s="2">
        <v>158</v>
      </c>
      <c r="L5983" s="2">
        <v>634</v>
      </c>
    </row>
    <row r="5984" spans="1:12" x14ac:dyDescent="0.25">
      <c r="A5984" s="4" t="str">
        <f>HYPERLINK("http://www.rosaceae.org/Prunus/Prunus_persica/p.persica_gdr_reftransV1_0016633","p.persica_gdr_reftransV1_0016633")</f>
        <v>p.persica_gdr_reftransV1_0016633</v>
      </c>
      <c r="B5984" s="2">
        <v>2319</v>
      </c>
      <c r="C5984" s="4" t="str">
        <f>HYPERLINK("http://www.uniprot.org/uniprot/M5VUK4","M5VUK4")</f>
        <v>M5VUK4</v>
      </c>
      <c r="D5984" s="2" t="s">
        <v>252</v>
      </c>
      <c r="E5984" s="3">
        <v>0</v>
      </c>
      <c r="F5984" s="2">
        <v>2245</v>
      </c>
      <c r="G5984" s="2">
        <v>100</v>
      </c>
      <c r="H5984" s="2">
        <v>475</v>
      </c>
      <c r="I5984" s="2">
        <v>198</v>
      </c>
      <c r="J5984" s="2">
        <v>1622</v>
      </c>
      <c r="K5984" s="2">
        <v>1</v>
      </c>
      <c r="L5984" s="2">
        <v>475</v>
      </c>
    </row>
    <row r="5985" spans="1:12" x14ac:dyDescent="0.25">
      <c r="A5985" s="4" t="str">
        <f>HYPERLINK("http://www.rosaceae.org/Prunus/Prunus_persica/p.persica_gdr_reftransV1_0017333","p.persica_gdr_reftransV1_0017333")</f>
        <v>p.persica_gdr_reftransV1_0017333</v>
      </c>
      <c r="B5985" s="2">
        <v>3627</v>
      </c>
      <c r="C5985" s="4" t="str">
        <f>HYPERLINK("http://www.uniprot.org/uniprot/M5W6I0","M5W6I0")</f>
        <v>M5W6I0</v>
      </c>
      <c r="D5985" s="2" t="s">
        <v>5429</v>
      </c>
      <c r="E5985" s="3">
        <v>0</v>
      </c>
      <c r="F5985" s="2">
        <v>1959</v>
      </c>
      <c r="G5985" s="2">
        <v>99</v>
      </c>
      <c r="H5985" s="2">
        <v>379</v>
      </c>
      <c r="I5985" s="2">
        <v>2268</v>
      </c>
      <c r="J5985" s="2">
        <v>3404</v>
      </c>
      <c r="K5985" s="2">
        <v>1</v>
      </c>
      <c r="L5985" s="2">
        <v>379</v>
      </c>
    </row>
    <row r="5986" spans="1:12" x14ac:dyDescent="0.25">
      <c r="A5986" s="4" t="str">
        <f>HYPERLINK("http://www.rosaceae.org/Prunus/Prunus_persica/p.persica_gdr_reftransV1_0018033","p.persica_gdr_reftransV1_0018033")</f>
        <v>p.persica_gdr_reftransV1_0018033</v>
      </c>
      <c r="B5986" s="2">
        <v>719</v>
      </c>
      <c r="C5986" s="4" t="str">
        <f>HYPERLINK("http://www.uniprot.org/uniprot/M5XY43","M5XY43")</f>
        <v>M5XY43</v>
      </c>
      <c r="D5986" s="2" t="s">
        <v>5430</v>
      </c>
      <c r="E5986" s="3">
        <v>3.9900000000000003E-92</v>
      </c>
      <c r="F5986" s="2">
        <v>779</v>
      </c>
      <c r="G5986" s="2">
        <v>100</v>
      </c>
      <c r="H5986" s="2">
        <v>145</v>
      </c>
      <c r="I5986" s="2">
        <v>285</v>
      </c>
      <c r="J5986" s="2">
        <v>719</v>
      </c>
      <c r="K5986" s="2">
        <v>459</v>
      </c>
      <c r="L5986" s="2">
        <v>603</v>
      </c>
    </row>
    <row r="5987" spans="1:12" x14ac:dyDescent="0.25">
      <c r="A5987" s="4" t="str">
        <f>HYPERLINK("http://www.rosaceae.org/Prunus/Prunus_persica/p.persica_gdr_reftransV1_0018733","p.persica_gdr_reftransV1_0018733")</f>
        <v>p.persica_gdr_reftransV1_0018733</v>
      </c>
      <c r="B5987" s="2">
        <v>4399</v>
      </c>
      <c r="C5987" s="4" t="str">
        <f>HYPERLINK("http://www.uniprot.org/uniprot/M5Y6Q3","M5Y6Q3")</f>
        <v>M5Y6Q3</v>
      </c>
      <c r="D5987" s="2" t="s">
        <v>5431</v>
      </c>
      <c r="E5987" s="3">
        <v>1.2000000000000001E-165</v>
      </c>
      <c r="F5987" s="2">
        <v>1127</v>
      </c>
      <c r="G5987" s="2">
        <v>65</v>
      </c>
      <c r="H5987" s="2">
        <v>423</v>
      </c>
      <c r="I5987" s="2">
        <v>903</v>
      </c>
      <c r="J5987" s="2">
        <v>2135</v>
      </c>
      <c r="K5987" s="2">
        <v>210</v>
      </c>
      <c r="L5987" s="2">
        <v>596</v>
      </c>
    </row>
    <row r="5988" spans="1:12" x14ac:dyDescent="0.25">
      <c r="A5988" s="4" t="str">
        <f>HYPERLINK("http://www.rosaceae.org/Prunus/Prunus_persica/p.persica_gdr_reftransV1_0019083","p.persica_gdr_reftransV1_0019083")</f>
        <v>p.persica_gdr_reftransV1_0019083</v>
      </c>
      <c r="B5988" s="2">
        <v>1549</v>
      </c>
      <c r="C5988" s="4" t="str">
        <f>HYPERLINK("http://www.uniprot.org/uniprot/M5X7M0","M5X7M0")</f>
        <v>M5X7M0</v>
      </c>
      <c r="D5988" s="2" t="s">
        <v>5432</v>
      </c>
      <c r="E5988" s="3">
        <v>0</v>
      </c>
      <c r="F5988" s="2">
        <v>2078</v>
      </c>
      <c r="G5988" s="2">
        <v>100</v>
      </c>
      <c r="H5988" s="2">
        <v>385</v>
      </c>
      <c r="I5988" s="2">
        <v>302</v>
      </c>
      <c r="J5988" s="2">
        <v>1456</v>
      </c>
      <c r="K5988" s="2">
        <v>8</v>
      </c>
      <c r="L5988" s="2">
        <v>392</v>
      </c>
    </row>
    <row r="5989" spans="1:12" x14ac:dyDescent="0.25">
      <c r="A5989" s="4" t="str">
        <f>HYPERLINK("http://www.rosaceae.org/Prunus/Prunus_persica/p.persica_gdr_reftransV1_0019433","p.persica_gdr_reftransV1_0019433")</f>
        <v>p.persica_gdr_reftransV1_0019433</v>
      </c>
      <c r="B5989" s="2">
        <v>1567</v>
      </c>
      <c r="C5989" s="4" t="str">
        <f>HYPERLINK("http://www.uniprot.org/uniprot/M5W833","M5W833")</f>
        <v>M5W833</v>
      </c>
      <c r="D5989" s="2" t="s">
        <v>5433</v>
      </c>
      <c r="E5989" s="3">
        <v>8.3800000000000003E-122</v>
      </c>
      <c r="F5989" s="2">
        <v>1016</v>
      </c>
      <c r="G5989" s="2">
        <v>86</v>
      </c>
      <c r="H5989" s="2">
        <v>483</v>
      </c>
      <c r="I5989" s="2">
        <v>121</v>
      </c>
      <c r="J5989" s="2">
        <v>1566</v>
      </c>
      <c r="K5989" s="2">
        <v>16</v>
      </c>
      <c r="L5989" s="2">
        <v>455</v>
      </c>
    </row>
    <row r="5990" spans="1:12" x14ac:dyDescent="0.25">
      <c r="A5990" s="4" t="str">
        <f>HYPERLINK("http://www.rosaceae.org/Prunus/Prunus_persica/p.persica_gdr_reftransV1_0021183","p.persica_gdr_reftransV1_0021183")</f>
        <v>p.persica_gdr_reftransV1_0021183</v>
      </c>
      <c r="B5990" s="2">
        <v>2826</v>
      </c>
      <c r="C5990" s="4" t="str">
        <f>HYPERLINK("http://www.uniprot.org/uniprot/M5W957","M5W957")</f>
        <v>M5W957</v>
      </c>
      <c r="D5990" s="2" t="s">
        <v>5434</v>
      </c>
      <c r="E5990" s="3">
        <v>1.1800000000000001E-173</v>
      </c>
      <c r="F5990" s="2">
        <v>1366</v>
      </c>
      <c r="G5990" s="2">
        <v>100</v>
      </c>
      <c r="H5990" s="2">
        <v>272</v>
      </c>
      <c r="I5990" s="2">
        <v>20</v>
      </c>
      <c r="J5990" s="2">
        <v>835</v>
      </c>
      <c r="K5990" s="2">
        <v>1</v>
      </c>
      <c r="L5990" s="2">
        <v>272</v>
      </c>
    </row>
    <row r="5991" spans="1:12" x14ac:dyDescent="0.25">
      <c r="A5991" s="4" t="str">
        <f>HYPERLINK("http://www.rosaceae.org/Prunus/Prunus_persica/p.persica_gdr_reftransV1_0024683","p.persica_gdr_reftransV1_0024683")</f>
        <v>p.persica_gdr_reftransV1_0024683</v>
      </c>
      <c r="B5991" s="2">
        <v>3030</v>
      </c>
      <c r="C5991" s="4" t="str">
        <f>HYPERLINK("http://www.uniprot.org/uniprot/M5VPL2","M5VPL2")</f>
        <v>M5VPL2</v>
      </c>
      <c r="D5991" s="2" t="s">
        <v>5435</v>
      </c>
      <c r="E5991" s="3">
        <v>0</v>
      </c>
      <c r="F5991" s="2">
        <v>3941</v>
      </c>
      <c r="G5991" s="2">
        <v>100</v>
      </c>
      <c r="H5991" s="2">
        <v>892</v>
      </c>
      <c r="I5991" s="2">
        <v>294</v>
      </c>
      <c r="J5991" s="2">
        <v>2969</v>
      </c>
      <c r="K5991" s="2">
        <v>1</v>
      </c>
      <c r="L5991" s="2">
        <v>892</v>
      </c>
    </row>
    <row r="5992" spans="1:12" x14ac:dyDescent="0.25">
      <c r="A5992" s="4" t="str">
        <f>HYPERLINK("http://www.rosaceae.org/Prunus/Prunus_persica/p.persica_gdr_reftransV1_0025383","p.persica_gdr_reftransV1_0025383")</f>
        <v>p.persica_gdr_reftransV1_0025383</v>
      </c>
      <c r="B5992" s="2">
        <v>1240</v>
      </c>
      <c r="C5992" s="4" t="str">
        <f>HYPERLINK("http://www.uniprot.org/uniprot/M5VWC5","M5VWC5")</f>
        <v>M5VWC5</v>
      </c>
      <c r="D5992" s="2" t="s">
        <v>5436</v>
      </c>
      <c r="E5992" s="3">
        <v>0</v>
      </c>
      <c r="F5992" s="2">
        <v>1708</v>
      </c>
      <c r="G5992" s="2">
        <v>98</v>
      </c>
      <c r="H5992" s="2">
        <v>395</v>
      </c>
      <c r="I5992" s="2">
        <v>2</v>
      </c>
      <c r="J5992" s="2">
        <v>1186</v>
      </c>
      <c r="K5992" s="2">
        <v>20</v>
      </c>
      <c r="L5992" s="2">
        <v>410</v>
      </c>
    </row>
    <row r="5993" spans="1:12" x14ac:dyDescent="0.25">
      <c r="A5993" s="4" t="str">
        <f>HYPERLINK("http://www.rosaceae.org/Prunus/Prunus_persica/p.persica_gdr_reftransV1_0026083","p.persica_gdr_reftransV1_0026083")</f>
        <v>p.persica_gdr_reftransV1_0026083</v>
      </c>
      <c r="B5993" s="2">
        <v>1258</v>
      </c>
      <c r="C5993" s="4" t="str">
        <f>HYPERLINK("http://www.uniprot.org/uniprot/M5XI85","M5XI85")</f>
        <v>M5XI85</v>
      </c>
      <c r="D5993" s="2" t="s">
        <v>5437</v>
      </c>
      <c r="E5993" s="3">
        <v>1.31E-172</v>
      </c>
      <c r="F5993" s="2">
        <v>1273</v>
      </c>
      <c r="G5993" s="2">
        <v>100</v>
      </c>
      <c r="H5993" s="2">
        <v>239</v>
      </c>
      <c r="I5993" s="2">
        <v>180</v>
      </c>
      <c r="J5993" s="2">
        <v>896</v>
      </c>
      <c r="K5993" s="2">
        <v>1</v>
      </c>
      <c r="L5993" s="2">
        <v>239</v>
      </c>
    </row>
    <row r="5994" spans="1:12" x14ac:dyDescent="0.25">
      <c r="A5994" s="4" t="str">
        <f>HYPERLINK("http://www.rosaceae.org/Prunus/Prunus_persica/p.persica_gdr_reftransV1_0027133","p.persica_gdr_reftransV1_0027133")</f>
        <v>p.persica_gdr_reftransV1_0027133</v>
      </c>
      <c r="B5994" s="2">
        <v>2514</v>
      </c>
      <c r="C5994" s="4" t="str">
        <f>HYPERLINK("http://www.uniprot.org/uniprot/M5XCQ8","M5XCQ8")</f>
        <v>M5XCQ8</v>
      </c>
      <c r="D5994" s="2" t="s">
        <v>5438</v>
      </c>
      <c r="E5994" s="3">
        <v>0</v>
      </c>
      <c r="F5994" s="2">
        <v>2785</v>
      </c>
      <c r="G5994" s="2">
        <v>99</v>
      </c>
      <c r="H5994" s="2">
        <v>613</v>
      </c>
      <c r="I5994" s="2">
        <v>393</v>
      </c>
      <c r="J5994" s="2">
        <v>2219</v>
      </c>
      <c r="K5994" s="2">
        <v>1</v>
      </c>
      <c r="L5994" s="2">
        <v>613</v>
      </c>
    </row>
    <row r="5995" spans="1:12" x14ac:dyDescent="0.25">
      <c r="A5995" s="4" t="str">
        <f>HYPERLINK("http://www.rosaceae.org/Prunus/Prunus_persica/p.persica_gdr_reftransV1_0027483","p.persica_gdr_reftransV1_0027483")</f>
        <v>p.persica_gdr_reftransV1_0027483</v>
      </c>
      <c r="B5995" s="2">
        <v>1334</v>
      </c>
      <c r="C5995" s="4" t="str">
        <f>HYPERLINK("http://www.uniprot.org/uniprot/M5WNN8","M5WNN8")</f>
        <v>M5WNN8</v>
      </c>
      <c r="D5995" s="2" t="s">
        <v>5439</v>
      </c>
      <c r="E5995" s="3">
        <v>4.3700000000000004E-78</v>
      </c>
      <c r="F5995" s="2">
        <v>642</v>
      </c>
      <c r="G5995" s="2">
        <v>100</v>
      </c>
      <c r="H5995" s="2">
        <v>121</v>
      </c>
      <c r="I5995" s="2">
        <v>560</v>
      </c>
      <c r="J5995" s="2">
        <v>922</v>
      </c>
      <c r="K5995" s="2">
        <v>31</v>
      </c>
      <c r="L5995" s="2">
        <v>151</v>
      </c>
    </row>
    <row r="5996" spans="1:12" x14ac:dyDescent="0.25">
      <c r="A5996" s="4" t="str">
        <f>HYPERLINK("http://www.rosaceae.org/Prunus/Prunus_persica/p.persica_gdr_reftransV1_0028183","p.persica_gdr_reftransV1_0028183")</f>
        <v>p.persica_gdr_reftransV1_0028183</v>
      </c>
      <c r="B5996" s="2">
        <v>1875</v>
      </c>
      <c r="C5996" s="4" t="str">
        <f>HYPERLINK("http://www.uniprot.org/uniprot/M5W2N7","M5W2N7")</f>
        <v>M5W2N7</v>
      </c>
      <c r="D5996" s="2" t="s">
        <v>5440</v>
      </c>
      <c r="E5996" s="3">
        <v>0</v>
      </c>
      <c r="F5996" s="2">
        <v>1755</v>
      </c>
      <c r="G5996" s="2">
        <v>100</v>
      </c>
      <c r="H5996" s="2">
        <v>324</v>
      </c>
      <c r="I5996" s="2">
        <v>152</v>
      </c>
      <c r="J5996" s="2">
        <v>1123</v>
      </c>
      <c r="K5996" s="2">
        <v>177</v>
      </c>
      <c r="L5996" s="2">
        <v>500</v>
      </c>
    </row>
    <row r="5997" spans="1:12" x14ac:dyDescent="0.25">
      <c r="A5997" s="4" t="str">
        <f>HYPERLINK("http://www.rosaceae.org/Prunus/Prunus_persica/p.persica_gdr_reftransV1_0028533","p.persica_gdr_reftransV1_0028533")</f>
        <v>p.persica_gdr_reftransV1_0028533</v>
      </c>
      <c r="B5997" s="2">
        <v>2315</v>
      </c>
      <c r="C5997" s="4" t="str">
        <f>HYPERLINK("http://www.uniprot.org/uniprot/M5WBH2","M5WBH2")</f>
        <v>M5WBH2</v>
      </c>
      <c r="D5997" s="2" t="s">
        <v>5441</v>
      </c>
      <c r="E5997" s="3">
        <v>0</v>
      </c>
      <c r="F5997" s="2">
        <v>1486</v>
      </c>
      <c r="G5997" s="2">
        <v>100</v>
      </c>
      <c r="H5997" s="2">
        <v>280</v>
      </c>
      <c r="I5997" s="2">
        <v>1335</v>
      </c>
      <c r="J5997" s="2">
        <v>2174</v>
      </c>
      <c r="K5997" s="2">
        <v>267</v>
      </c>
      <c r="L5997" s="2">
        <v>546</v>
      </c>
    </row>
    <row r="5998" spans="1:12" x14ac:dyDescent="0.25">
      <c r="A5998" s="4" t="str">
        <f>HYPERLINK("http://www.rosaceae.org/Prunus/Prunus_persica/p.persica_gdr_reftransV1_0030283","p.persica_gdr_reftransV1_0030283")</f>
        <v>p.persica_gdr_reftransV1_0030283</v>
      </c>
      <c r="B5998" s="2">
        <v>3338</v>
      </c>
      <c r="C5998" s="4" t="str">
        <f>HYPERLINK("http://www.uniprot.org/uniprot/M5X794","M5X794")</f>
        <v>M5X794</v>
      </c>
      <c r="D5998" s="2" t="s">
        <v>2687</v>
      </c>
      <c r="E5998" s="3">
        <v>0</v>
      </c>
      <c r="F5998" s="2">
        <v>3420</v>
      </c>
      <c r="G5998" s="2">
        <v>100</v>
      </c>
      <c r="H5998" s="2">
        <v>699</v>
      </c>
      <c r="I5998" s="2">
        <v>691</v>
      </c>
      <c r="J5998" s="2">
        <v>2787</v>
      </c>
      <c r="K5998" s="2">
        <v>1</v>
      </c>
      <c r="L5998" s="2">
        <v>699</v>
      </c>
    </row>
    <row r="5999" spans="1:12" x14ac:dyDescent="0.25">
      <c r="A5999" s="4" t="str">
        <f>HYPERLINK("http://www.rosaceae.org/Prunus/Prunus_persica/p.persica_gdr_reftransV1_0034133","p.persica_gdr_reftransV1_0034133")</f>
        <v>p.persica_gdr_reftransV1_0034133</v>
      </c>
      <c r="B5999" s="2">
        <v>2711</v>
      </c>
      <c r="C5999" s="4" t="str">
        <f>HYPERLINK("http://www.uniprot.org/uniprot/M5WR10","M5WR10")</f>
        <v>M5WR10</v>
      </c>
      <c r="D5999" s="2" t="s">
        <v>5442</v>
      </c>
      <c r="E5999" s="3">
        <v>0</v>
      </c>
      <c r="F5999" s="2">
        <v>1937</v>
      </c>
      <c r="G5999" s="2">
        <v>90</v>
      </c>
      <c r="H5999" s="2">
        <v>412</v>
      </c>
      <c r="I5999" s="2">
        <v>916</v>
      </c>
      <c r="J5999" s="2">
        <v>2151</v>
      </c>
      <c r="K5999" s="2">
        <v>10</v>
      </c>
      <c r="L5999" s="2">
        <v>382</v>
      </c>
    </row>
    <row r="6000" spans="1:12" x14ac:dyDescent="0.25">
      <c r="A6000" s="4" t="str">
        <f>HYPERLINK("http://www.rosaceae.org/Prunus/Prunus_persica/p.persica_gdr_reftransV1_0034483","p.persica_gdr_reftransV1_0034483")</f>
        <v>p.persica_gdr_reftransV1_0034483</v>
      </c>
      <c r="B6000" s="2">
        <v>1687</v>
      </c>
      <c r="C6000" s="4" t="str">
        <f>HYPERLINK("http://www.uniprot.org/uniprot/M5WBM5","M5WBM5")</f>
        <v>M5WBM5</v>
      </c>
      <c r="D6000" s="2" t="s">
        <v>5443</v>
      </c>
      <c r="E6000" s="3">
        <v>6.18E-123</v>
      </c>
      <c r="F6000" s="2">
        <v>965</v>
      </c>
      <c r="G6000" s="2">
        <v>98</v>
      </c>
      <c r="H6000" s="2">
        <v>221</v>
      </c>
      <c r="I6000" s="2">
        <v>108</v>
      </c>
      <c r="J6000" s="2">
        <v>770</v>
      </c>
      <c r="K6000" s="2">
        <v>1</v>
      </c>
      <c r="L6000" s="2">
        <v>221</v>
      </c>
    </row>
    <row r="6001" spans="1:12" x14ac:dyDescent="0.25">
      <c r="A6001" s="4" t="str">
        <f>HYPERLINK("http://www.rosaceae.org/Prunus/Prunus_persica/p.persica_gdr_reftransV1_0034833","p.persica_gdr_reftransV1_0034833")</f>
        <v>p.persica_gdr_reftransV1_0034833</v>
      </c>
      <c r="B6001" s="2">
        <v>6684</v>
      </c>
      <c r="C6001" s="4" t="str">
        <f>HYPERLINK("http://www.uniprot.org/uniprot/M5Y2N7","M5Y2N7")</f>
        <v>M5Y2N7</v>
      </c>
      <c r="D6001" s="2" t="s">
        <v>5444</v>
      </c>
      <c r="E6001" s="3">
        <v>0</v>
      </c>
      <c r="F6001" s="2">
        <v>3722</v>
      </c>
      <c r="G6001" s="2">
        <v>100</v>
      </c>
      <c r="H6001" s="2">
        <v>919</v>
      </c>
      <c r="I6001" s="2">
        <v>1796</v>
      </c>
      <c r="J6001" s="2">
        <v>4552</v>
      </c>
      <c r="K6001" s="2">
        <v>86</v>
      </c>
      <c r="L6001" s="2">
        <v>1004</v>
      </c>
    </row>
    <row r="6002" spans="1:12" x14ac:dyDescent="0.25">
      <c r="A6002" s="4" t="str">
        <f>HYPERLINK("http://www.rosaceae.org/Prunus/Prunus_persica/p.persica_gdr_reftransV1_0036933","p.persica_gdr_reftransV1_0036933")</f>
        <v>p.persica_gdr_reftransV1_0036933</v>
      </c>
      <c r="B6002" s="2">
        <v>1948</v>
      </c>
      <c r="C6002" s="4" t="str">
        <f>HYPERLINK("http://www.uniprot.org/uniprot/M5XND8","M5XND8")</f>
        <v>M5XND8</v>
      </c>
      <c r="D6002" s="2" t="s">
        <v>5445</v>
      </c>
      <c r="E6002" s="3">
        <v>0</v>
      </c>
      <c r="F6002" s="2">
        <v>2919</v>
      </c>
      <c r="G6002" s="2">
        <v>100</v>
      </c>
      <c r="H6002" s="2">
        <v>548</v>
      </c>
      <c r="I6002" s="2">
        <v>118</v>
      </c>
      <c r="J6002" s="2">
        <v>1761</v>
      </c>
      <c r="K6002" s="2">
        <v>19</v>
      </c>
      <c r="L6002" s="2">
        <v>566</v>
      </c>
    </row>
    <row r="6003" spans="1:12" x14ac:dyDescent="0.25">
      <c r="A6003" s="4" t="str">
        <f>HYPERLINK("http://www.rosaceae.org/Prunus/Prunus_persica/p.persica_gdr_reftransV1_0039383","p.persica_gdr_reftransV1_0039383")</f>
        <v>p.persica_gdr_reftransV1_0039383</v>
      </c>
      <c r="B6003" s="2">
        <v>1424</v>
      </c>
      <c r="C6003" s="4" t="str">
        <f>HYPERLINK("http://www.uniprot.org/uniprot/M5X0W3","M5X0W3")</f>
        <v>M5X0W3</v>
      </c>
      <c r="D6003" s="2" t="s">
        <v>5446</v>
      </c>
      <c r="E6003" s="3">
        <v>0</v>
      </c>
      <c r="F6003" s="2">
        <v>1719</v>
      </c>
      <c r="G6003" s="2">
        <v>100</v>
      </c>
      <c r="H6003" s="2">
        <v>352</v>
      </c>
      <c r="I6003" s="2">
        <v>89</v>
      </c>
      <c r="J6003" s="2">
        <v>1144</v>
      </c>
      <c r="K6003" s="2">
        <v>1</v>
      </c>
      <c r="L6003" s="2">
        <v>352</v>
      </c>
    </row>
    <row r="6004" spans="1:12" x14ac:dyDescent="0.25">
      <c r="A6004" s="4" t="str">
        <f>HYPERLINK("http://www.rosaceae.org/Prunus/Prunus_persica/p.persica_gdr_reftransV1_0040433","p.persica_gdr_reftransV1_0040433")</f>
        <v>p.persica_gdr_reftransV1_0040433</v>
      </c>
      <c r="B6004" s="2">
        <v>1454</v>
      </c>
      <c r="C6004" s="4" t="str">
        <f>HYPERLINK("http://www.uniprot.org/uniprot/M5WUV1","M5WUV1")</f>
        <v>M5WUV1</v>
      </c>
      <c r="D6004" s="2" t="s">
        <v>5447</v>
      </c>
      <c r="E6004" s="3">
        <v>0</v>
      </c>
      <c r="F6004" s="2">
        <v>1519</v>
      </c>
      <c r="G6004" s="2">
        <v>100</v>
      </c>
      <c r="H6004" s="2">
        <v>314</v>
      </c>
      <c r="I6004" s="2">
        <v>446</v>
      </c>
      <c r="J6004" s="2">
        <v>1387</v>
      </c>
      <c r="K6004" s="2">
        <v>1</v>
      </c>
      <c r="L6004" s="2">
        <v>314</v>
      </c>
    </row>
    <row r="6005" spans="1:12" x14ac:dyDescent="0.25">
      <c r="A6005" s="4" t="str">
        <f>HYPERLINK("http://www.rosaceae.org/Prunus/Prunus_persica/p.persica_gdr_reftransV1_0040783","p.persica_gdr_reftransV1_0040783")</f>
        <v>p.persica_gdr_reftransV1_0040783</v>
      </c>
      <c r="B6005" s="2">
        <v>2395</v>
      </c>
      <c r="C6005" s="4" t="str">
        <f>HYPERLINK("http://www.uniprot.org/uniprot/M5VZQ3","M5VZQ3")</f>
        <v>M5VZQ3</v>
      </c>
      <c r="D6005" s="2" t="s">
        <v>5448</v>
      </c>
      <c r="E6005" s="3">
        <v>2.26E-139</v>
      </c>
      <c r="F6005" s="2">
        <v>1101</v>
      </c>
      <c r="G6005" s="2">
        <v>95</v>
      </c>
      <c r="H6005" s="2">
        <v>219</v>
      </c>
      <c r="I6005" s="2">
        <v>409</v>
      </c>
      <c r="J6005" s="2">
        <v>1062</v>
      </c>
      <c r="K6005" s="2">
        <v>148</v>
      </c>
      <c r="L6005" s="2">
        <v>366</v>
      </c>
    </row>
    <row r="6006" spans="1:12" x14ac:dyDescent="0.25">
      <c r="A6006" s="4" t="str">
        <f>HYPERLINK("http://www.rosaceae.org/Prunus/Prunus_persica/p.persica_gdr_reftransV1_0042533","p.persica_gdr_reftransV1_0042533")</f>
        <v>p.persica_gdr_reftransV1_0042533</v>
      </c>
      <c r="B6006" s="2">
        <v>2654</v>
      </c>
      <c r="C6006" s="4" t="str">
        <f>HYPERLINK("http://www.uniprot.org/uniprot/M5WXC6","M5WXC6")</f>
        <v>M5WXC6</v>
      </c>
      <c r="D6006" s="2" t="s">
        <v>5449</v>
      </c>
      <c r="E6006" s="3">
        <v>1.03E-136</v>
      </c>
      <c r="F6006" s="2">
        <v>728</v>
      </c>
      <c r="G6006" s="2">
        <v>99</v>
      </c>
      <c r="H6006" s="2">
        <v>145</v>
      </c>
      <c r="I6006" s="2">
        <v>2094</v>
      </c>
      <c r="J6006" s="2">
        <v>2528</v>
      </c>
      <c r="K6006" s="2">
        <v>1</v>
      </c>
      <c r="L6006" s="2">
        <v>145</v>
      </c>
    </row>
    <row r="6007" spans="1:12" x14ac:dyDescent="0.25">
      <c r="A6007" s="4" t="str">
        <f>HYPERLINK("http://www.rosaceae.org/Prunus/Prunus_persica/p.persica_gdr_reftransV1_0042883","p.persica_gdr_reftransV1_0042883")</f>
        <v>p.persica_gdr_reftransV1_0042883</v>
      </c>
      <c r="B6007" s="2">
        <v>2001</v>
      </c>
      <c r="C6007" s="4" t="str">
        <f>HYPERLINK("http://www.uniprot.org/uniprot/M5XC41","M5XC41")</f>
        <v>M5XC41</v>
      </c>
      <c r="D6007" s="2" t="s">
        <v>5450</v>
      </c>
      <c r="E6007" s="3">
        <v>0</v>
      </c>
      <c r="F6007" s="2">
        <v>1973</v>
      </c>
      <c r="G6007" s="2">
        <v>100</v>
      </c>
      <c r="H6007" s="2">
        <v>366</v>
      </c>
      <c r="I6007" s="2">
        <v>709</v>
      </c>
      <c r="J6007" s="2">
        <v>1806</v>
      </c>
      <c r="K6007" s="2">
        <v>1</v>
      </c>
      <c r="L6007" s="2">
        <v>366</v>
      </c>
    </row>
    <row r="6008" spans="1:12" x14ac:dyDescent="0.25">
      <c r="A6008" s="4" t="str">
        <f>HYPERLINK("http://www.rosaceae.org/Prunus/Prunus_persica/p.persica_gdr_reftransV1_0043233","p.persica_gdr_reftransV1_0043233")</f>
        <v>p.persica_gdr_reftransV1_0043233</v>
      </c>
      <c r="B6008" s="2">
        <v>1247</v>
      </c>
      <c r="C6008" s="4" t="str">
        <f>HYPERLINK("http://www.uniprot.org/uniprot/M5WXA2","M5WXA2")</f>
        <v>M5WXA2</v>
      </c>
      <c r="D6008" s="2" t="s">
        <v>5451</v>
      </c>
      <c r="E6008" s="3">
        <v>0</v>
      </c>
      <c r="F6008" s="2">
        <v>1852</v>
      </c>
      <c r="G6008" s="2">
        <v>100</v>
      </c>
      <c r="H6008" s="2">
        <v>367</v>
      </c>
      <c r="I6008" s="2">
        <v>141</v>
      </c>
      <c r="J6008" s="2">
        <v>1241</v>
      </c>
      <c r="K6008" s="2">
        <v>1</v>
      </c>
      <c r="L6008" s="2">
        <v>367</v>
      </c>
    </row>
    <row r="6009" spans="1:12" x14ac:dyDescent="0.25">
      <c r="A6009" s="4" t="str">
        <f>HYPERLINK("http://www.rosaceae.org/Prunus/Prunus_persica/p.persica_gdr_reftransV1_0043933","p.persica_gdr_reftransV1_0043933")</f>
        <v>p.persica_gdr_reftransV1_0043933</v>
      </c>
      <c r="B6009" s="2">
        <v>474</v>
      </c>
      <c r="C6009" s="4" t="str">
        <f>HYPERLINK("http://www.uniprot.org/uniprot/M5WYK7","M5WYK7")</f>
        <v>M5WYK7</v>
      </c>
      <c r="D6009" s="2" t="s">
        <v>5452</v>
      </c>
      <c r="E6009" s="3">
        <v>5.0200000000000003E-40</v>
      </c>
      <c r="F6009" s="2">
        <v>353</v>
      </c>
      <c r="G6009" s="2">
        <v>100</v>
      </c>
      <c r="H6009" s="2">
        <v>67</v>
      </c>
      <c r="I6009" s="2">
        <v>37</v>
      </c>
      <c r="J6009" s="2">
        <v>237</v>
      </c>
      <c r="K6009" s="2">
        <v>1</v>
      </c>
      <c r="L6009" s="2">
        <v>67</v>
      </c>
    </row>
    <row r="6010" spans="1:12" x14ac:dyDescent="0.25">
      <c r="A6010" s="4" t="str">
        <f>HYPERLINK("http://www.rosaceae.org/Prunus/Prunus_persica/p.persica_gdr_reftransV1_0044283","p.persica_gdr_reftransV1_0044283")</f>
        <v>p.persica_gdr_reftransV1_0044283</v>
      </c>
      <c r="B6010" s="2">
        <v>994</v>
      </c>
      <c r="C6010" s="4" t="str">
        <f>HYPERLINK("http://www.uniprot.org/uniprot/M5W274","M5W274")</f>
        <v>M5W274</v>
      </c>
      <c r="D6010" s="2" t="s">
        <v>5453</v>
      </c>
      <c r="E6010" s="3">
        <v>1.01E-100</v>
      </c>
      <c r="F6010" s="2">
        <v>795</v>
      </c>
      <c r="G6010" s="2">
        <v>87</v>
      </c>
      <c r="H6010" s="2">
        <v>177</v>
      </c>
      <c r="I6010" s="2">
        <v>292</v>
      </c>
      <c r="J6010" s="2">
        <v>804</v>
      </c>
      <c r="K6010" s="2">
        <v>122</v>
      </c>
      <c r="L6010" s="2">
        <v>298</v>
      </c>
    </row>
    <row r="6011" spans="1:12" x14ac:dyDescent="0.25">
      <c r="A6011" s="4" t="str">
        <f>HYPERLINK("http://www.rosaceae.org/Prunus/Prunus_persica/p.persica_gdr_reftransV1_0044983","p.persica_gdr_reftransV1_0044983")</f>
        <v>p.persica_gdr_reftransV1_0044983</v>
      </c>
      <c r="B6011" s="2">
        <v>2865</v>
      </c>
      <c r="C6011" s="4" t="str">
        <f>HYPERLINK("http://www.uniprot.org/uniprot/V4SRW7","V4SRW7")</f>
        <v>V4SRW7</v>
      </c>
      <c r="D6011" s="2" t="s">
        <v>5454</v>
      </c>
      <c r="E6011" s="3">
        <v>0</v>
      </c>
      <c r="F6011" s="2">
        <v>3848</v>
      </c>
      <c r="G6011" s="2">
        <v>92</v>
      </c>
      <c r="H6011" s="2">
        <v>845</v>
      </c>
      <c r="I6011" s="2">
        <v>273</v>
      </c>
      <c r="J6011" s="2">
        <v>2804</v>
      </c>
      <c r="K6011" s="2">
        <v>26</v>
      </c>
      <c r="L6011" s="2">
        <v>864</v>
      </c>
    </row>
    <row r="6012" spans="1:12" x14ac:dyDescent="0.25">
      <c r="A6012" s="4" t="str">
        <f>HYPERLINK("http://www.rosaceae.org/Prunus/Prunus_persica/p.persica_gdr_reftransV1_0045333","p.persica_gdr_reftransV1_0045333")</f>
        <v>p.persica_gdr_reftransV1_0045333</v>
      </c>
      <c r="B6012" s="2">
        <v>441</v>
      </c>
      <c r="C6012" s="4" t="str">
        <f>HYPERLINK("http://www.uniprot.org/uniprot/M5WVH0","M5WVH0")</f>
        <v>M5WVH0</v>
      </c>
      <c r="D6012" s="2" t="s">
        <v>5455</v>
      </c>
      <c r="E6012" s="3">
        <v>6.8399999999999996E-75</v>
      </c>
      <c r="F6012" s="2">
        <v>597</v>
      </c>
      <c r="G6012" s="2">
        <v>100</v>
      </c>
      <c r="H6012" s="2">
        <v>114</v>
      </c>
      <c r="I6012" s="2">
        <v>98</v>
      </c>
      <c r="J6012" s="2">
        <v>439</v>
      </c>
      <c r="K6012" s="2">
        <v>1</v>
      </c>
      <c r="L6012" s="2">
        <v>114</v>
      </c>
    </row>
    <row r="6013" spans="1:12" x14ac:dyDescent="0.25">
      <c r="A6013" s="4" t="str">
        <f>HYPERLINK("http://www.rosaceae.org/Prunus/Prunus_persica/p.persica_gdr_reftransV1_0045683","p.persica_gdr_reftransV1_0045683")</f>
        <v>p.persica_gdr_reftransV1_0045683</v>
      </c>
      <c r="B6013" s="2">
        <v>1100</v>
      </c>
      <c r="C6013" s="4" t="str">
        <f>HYPERLINK("http://www.uniprot.org/uniprot/F2VR46","F2VR46")</f>
        <v>F2VR46</v>
      </c>
      <c r="D6013" s="2" t="s">
        <v>5456</v>
      </c>
      <c r="E6013" s="3">
        <v>3.3500000000000001E-156</v>
      </c>
      <c r="F6013" s="2">
        <v>1158</v>
      </c>
      <c r="G6013" s="2">
        <v>97</v>
      </c>
      <c r="H6013" s="2">
        <v>232</v>
      </c>
      <c r="I6013" s="2">
        <v>156</v>
      </c>
      <c r="J6013" s="2">
        <v>851</v>
      </c>
      <c r="K6013" s="2">
        <v>1</v>
      </c>
      <c r="L6013" s="2">
        <v>232</v>
      </c>
    </row>
    <row r="6014" spans="1:12" x14ac:dyDescent="0.25">
      <c r="A6014" s="4" t="str">
        <f>HYPERLINK("http://www.rosaceae.org/Prunus/Prunus_persica/p.persica_gdr_reftransV1_0047083","p.persica_gdr_reftransV1_0047083")</f>
        <v>p.persica_gdr_reftransV1_0047083</v>
      </c>
      <c r="B6014" s="2">
        <v>2844</v>
      </c>
      <c r="C6014" s="4" t="str">
        <f>HYPERLINK("http://www.uniprot.org/uniprot/M5X8I4","M5X8I4")</f>
        <v>M5X8I4</v>
      </c>
      <c r="D6014" s="2" t="s">
        <v>5457</v>
      </c>
      <c r="E6014" s="3">
        <v>0</v>
      </c>
      <c r="F6014" s="2">
        <v>3195</v>
      </c>
      <c r="G6014" s="2">
        <v>98</v>
      </c>
      <c r="H6014" s="2">
        <v>792</v>
      </c>
      <c r="I6014" s="2">
        <v>3</v>
      </c>
      <c r="J6014" s="2">
        <v>2378</v>
      </c>
      <c r="K6014" s="2">
        <v>660</v>
      </c>
      <c r="L6014" s="2">
        <v>1450</v>
      </c>
    </row>
    <row r="6015" spans="1:12" x14ac:dyDescent="0.25">
      <c r="A6015" s="4" t="str">
        <f>HYPERLINK("http://www.rosaceae.org/Prunus/Prunus_persica/p.persica_gdr_reftransV1_0047433","p.persica_gdr_reftransV1_0047433")</f>
        <v>p.persica_gdr_reftransV1_0047433</v>
      </c>
      <c r="B6015" s="2">
        <v>3510</v>
      </c>
      <c r="C6015" s="4" t="str">
        <f>HYPERLINK("http://www.uniprot.org/uniprot/M5WK60","M5WK60")</f>
        <v>M5WK60</v>
      </c>
      <c r="D6015" s="2" t="s">
        <v>5458</v>
      </c>
      <c r="E6015" s="3">
        <v>0</v>
      </c>
      <c r="F6015" s="2">
        <v>4616</v>
      </c>
      <c r="G6015" s="2">
        <v>100</v>
      </c>
      <c r="H6015" s="2">
        <v>893</v>
      </c>
      <c r="I6015" s="2">
        <v>704</v>
      </c>
      <c r="J6015" s="2">
        <v>3382</v>
      </c>
      <c r="K6015" s="2">
        <v>1</v>
      </c>
      <c r="L6015" s="2">
        <v>893</v>
      </c>
    </row>
    <row r="6016" spans="1:12" x14ac:dyDescent="0.25">
      <c r="A6016" s="4" t="str">
        <f>HYPERLINK("http://www.rosaceae.org/Prunus/Prunus_persica/p.persica_gdr_reftransV1_0048133","p.persica_gdr_reftransV1_0048133")</f>
        <v>p.persica_gdr_reftransV1_0048133</v>
      </c>
      <c r="B6016" s="2">
        <v>1981</v>
      </c>
      <c r="C6016" s="4" t="str">
        <f>HYPERLINK("http://www.uniprot.org/uniprot/M5Y4W8","M5Y4W8")</f>
        <v>M5Y4W8</v>
      </c>
      <c r="D6016" s="2" t="s">
        <v>979</v>
      </c>
      <c r="E6016" s="3">
        <v>5.1900000000000001E-155</v>
      </c>
      <c r="F6016" s="2">
        <v>1197</v>
      </c>
      <c r="G6016" s="2">
        <v>98</v>
      </c>
      <c r="H6016" s="2">
        <v>227</v>
      </c>
      <c r="I6016" s="2">
        <v>879</v>
      </c>
      <c r="J6016" s="2">
        <v>1559</v>
      </c>
      <c r="K6016" s="2">
        <v>180</v>
      </c>
      <c r="L6016" s="2">
        <v>406</v>
      </c>
    </row>
    <row r="6017" spans="1:12" x14ac:dyDescent="0.25">
      <c r="A6017" s="4" t="str">
        <f>HYPERLINK("http://www.rosaceae.org/Prunus/Prunus_persica/p.persica_gdr_reftransV1_0048483","p.persica_gdr_reftransV1_0048483")</f>
        <v>p.persica_gdr_reftransV1_0048483</v>
      </c>
      <c r="B6017" s="2">
        <v>3207</v>
      </c>
      <c r="C6017" s="4" t="str">
        <f>HYPERLINK("http://www.uniprot.org/uniprot/M5WPW2","M5WPW2")</f>
        <v>M5WPW2</v>
      </c>
      <c r="D6017" s="2" t="s">
        <v>5459</v>
      </c>
      <c r="E6017" s="3">
        <v>0</v>
      </c>
      <c r="F6017" s="2">
        <v>4234</v>
      </c>
      <c r="G6017" s="2">
        <v>100</v>
      </c>
      <c r="H6017" s="2">
        <v>839</v>
      </c>
      <c r="I6017" s="2">
        <v>433</v>
      </c>
      <c r="J6017" s="2">
        <v>2949</v>
      </c>
      <c r="K6017" s="2">
        <v>1</v>
      </c>
      <c r="L6017" s="2">
        <v>838</v>
      </c>
    </row>
    <row r="6018" spans="1:12" x14ac:dyDescent="0.25">
      <c r="A6018" s="4" t="str">
        <f>HYPERLINK("http://www.rosaceae.org/Prunus/Prunus_persica/p.persica_gdr_reftransV1_0048833","p.persica_gdr_reftransV1_0048833")</f>
        <v>p.persica_gdr_reftransV1_0048833</v>
      </c>
      <c r="B6018" s="2">
        <v>636</v>
      </c>
      <c r="C6018" s="4" t="str">
        <f>HYPERLINK("http://www.uniprot.org/uniprot/M5X367","M5X367")</f>
        <v>M5X367</v>
      </c>
      <c r="D6018" s="2" t="s">
        <v>5460</v>
      </c>
      <c r="E6018" s="3">
        <v>1.4500000000000001E-129</v>
      </c>
      <c r="F6018" s="2">
        <v>993</v>
      </c>
      <c r="G6018" s="2">
        <v>100</v>
      </c>
      <c r="H6018" s="2">
        <v>211</v>
      </c>
      <c r="I6018" s="2">
        <v>2</v>
      </c>
      <c r="J6018" s="2">
        <v>634</v>
      </c>
      <c r="K6018" s="2">
        <v>132</v>
      </c>
      <c r="L6018" s="2">
        <v>342</v>
      </c>
    </row>
    <row r="6019" spans="1:12" x14ac:dyDescent="0.25">
      <c r="A6019" s="4" t="str">
        <f>HYPERLINK("http://www.rosaceae.org/Prunus/Prunus_persica/p.persica_gdr_reftransV1_0049183","p.persica_gdr_reftransV1_0049183")</f>
        <v>p.persica_gdr_reftransV1_0049183</v>
      </c>
      <c r="B6019" s="2">
        <v>3788</v>
      </c>
      <c r="C6019" s="4" t="str">
        <f>HYPERLINK("http://www.uniprot.org/uniprot/M5W6N0","M5W6N0")</f>
        <v>M5W6N0</v>
      </c>
      <c r="D6019" s="2" t="s">
        <v>5461</v>
      </c>
      <c r="E6019" s="3">
        <v>0</v>
      </c>
      <c r="F6019" s="2">
        <v>5409</v>
      </c>
      <c r="G6019" s="2">
        <v>100</v>
      </c>
      <c r="H6019" s="2">
        <v>1057</v>
      </c>
      <c r="I6019" s="2">
        <v>192</v>
      </c>
      <c r="J6019" s="2">
        <v>3362</v>
      </c>
      <c r="K6019" s="2">
        <v>16</v>
      </c>
      <c r="L6019" s="2">
        <v>1072</v>
      </c>
    </row>
    <row r="6020" spans="1:12" x14ac:dyDescent="0.25">
      <c r="A6020" s="4" t="str">
        <f>HYPERLINK("http://www.rosaceae.org/Prunus/Prunus_persica/p.persica_gdr_reftransV1_0000534","p.persica_gdr_reftransV1_0000534")</f>
        <v>p.persica_gdr_reftransV1_0000534</v>
      </c>
      <c r="B6020" s="2">
        <v>3625</v>
      </c>
      <c r="C6020" s="4" t="str">
        <f>HYPERLINK("http://www.uniprot.org/uniprot/D7SJG2","D7SJG2")</f>
        <v>D7SJG2</v>
      </c>
      <c r="D6020" s="2" t="s">
        <v>1299</v>
      </c>
      <c r="E6020" s="3">
        <v>0</v>
      </c>
      <c r="F6020" s="2">
        <v>3198</v>
      </c>
      <c r="G6020" s="2">
        <v>81</v>
      </c>
      <c r="H6020" s="2">
        <v>722</v>
      </c>
      <c r="I6020" s="2">
        <v>93</v>
      </c>
      <c r="J6020" s="2">
        <v>2258</v>
      </c>
      <c r="K6020" s="2">
        <v>1</v>
      </c>
      <c r="L6020" s="2">
        <v>722</v>
      </c>
    </row>
    <row r="6021" spans="1:12" x14ac:dyDescent="0.25">
      <c r="A6021" s="4" t="str">
        <f>HYPERLINK("http://www.rosaceae.org/Prunus/Prunus_persica/p.persica_gdr_reftransV1_0002284","p.persica_gdr_reftransV1_0002284")</f>
        <v>p.persica_gdr_reftransV1_0002284</v>
      </c>
      <c r="B6021" s="2">
        <v>1828</v>
      </c>
      <c r="C6021" s="4" t="str">
        <f>HYPERLINK("http://www.uniprot.org/uniprot/M5WAC6","M5WAC6")</f>
        <v>M5WAC6</v>
      </c>
      <c r="D6021" s="2" t="s">
        <v>5462</v>
      </c>
      <c r="E6021" s="3">
        <v>0</v>
      </c>
      <c r="F6021" s="2">
        <v>2775</v>
      </c>
      <c r="G6021" s="2">
        <v>97</v>
      </c>
      <c r="H6021" s="2">
        <v>564</v>
      </c>
      <c r="I6021" s="2">
        <v>48</v>
      </c>
      <c r="J6021" s="2">
        <v>1739</v>
      </c>
      <c r="K6021" s="2">
        <v>1</v>
      </c>
      <c r="L6021" s="2">
        <v>564</v>
      </c>
    </row>
    <row r="6022" spans="1:12" x14ac:dyDescent="0.25">
      <c r="A6022" s="4" t="str">
        <f>HYPERLINK("http://www.rosaceae.org/Prunus/Prunus_persica/p.persica_gdr_reftransV1_0002984","p.persica_gdr_reftransV1_0002984")</f>
        <v>p.persica_gdr_reftransV1_0002984</v>
      </c>
      <c r="B6022" s="2">
        <v>3848</v>
      </c>
      <c r="C6022" s="4" t="str">
        <f>HYPERLINK("http://www.uniprot.org/uniprot/M5WCE2","M5WCE2")</f>
        <v>M5WCE2</v>
      </c>
      <c r="D6022" s="2" t="s">
        <v>3222</v>
      </c>
      <c r="E6022" s="3">
        <v>0</v>
      </c>
      <c r="F6022" s="2">
        <v>3091</v>
      </c>
      <c r="G6022" s="2">
        <v>100</v>
      </c>
      <c r="H6022" s="2">
        <v>588</v>
      </c>
      <c r="I6022" s="2">
        <v>317</v>
      </c>
      <c r="J6022" s="2">
        <v>2080</v>
      </c>
      <c r="K6022" s="2">
        <v>10</v>
      </c>
      <c r="L6022" s="2">
        <v>597</v>
      </c>
    </row>
    <row r="6023" spans="1:12" x14ac:dyDescent="0.25">
      <c r="A6023" s="4" t="str">
        <f>HYPERLINK("http://www.rosaceae.org/Prunus/Prunus_persica/p.persica_gdr_reftransV1_0003334","p.persica_gdr_reftransV1_0003334")</f>
        <v>p.persica_gdr_reftransV1_0003334</v>
      </c>
      <c r="B6023" s="2">
        <v>853</v>
      </c>
      <c r="C6023" s="4" t="str">
        <f>HYPERLINK("http://www.uniprot.org/uniprot/M5WEV8","M5WEV8")</f>
        <v>M5WEV8</v>
      </c>
      <c r="D6023" s="2" t="s">
        <v>5463</v>
      </c>
      <c r="E6023" s="3">
        <v>4.4699999999999999E-100</v>
      </c>
      <c r="F6023" s="2">
        <v>772</v>
      </c>
      <c r="G6023" s="2">
        <v>100</v>
      </c>
      <c r="H6023" s="2">
        <v>160</v>
      </c>
      <c r="I6023" s="2">
        <v>152</v>
      </c>
      <c r="J6023" s="2">
        <v>631</v>
      </c>
      <c r="K6023" s="2">
        <v>1</v>
      </c>
      <c r="L6023" s="2">
        <v>160</v>
      </c>
    </row>
    <row r="6024" spans="1:12" x14ac:dyDescent="0.25">
      <c r="A6024" s="4" t="str">
        <f>HYPERLINK("http://www.rosaceae.org/Prunus/Prunus_persica/p.persica_gdr_reftransV1_0003684","p.persica_gdr_reftransV1_0003684")</f>
        <v>p.persica_gdr_reftransV1_0003684</v>
      </c>
      <c r="B6024" s="2">
        <v>1510</v>
      </c>
      <c r="C6024" s="4" t="str">
        <f>HYPERLINK("http://www.uniprot.org/uniprot/M5W990","M5W990")</f>
        <v>M5W990</v>
      </c>
      <c r="D6024" s="2" t="s">
        <v>5464</v>
      </c>
      <c r="E6024" s="3">
        <v>0</v>
      </c>
      <c r="F6024" s="2">
        <v>1914</v>
      </c>
      <c r="G6024" s="2">
        <v>100</v>
      </c>
      <c r="H6024" s="2">
        <v>371</v>
      </c>
      <c r="I6024" s="2">
        <v>1</v>
      </c>
      <c r="J6024" s="2">
        <v>1113</v>
      </c>
      <c r="K6024" s="2">
        <v>39</v>
      </c>
      <c r="L6024" s="2">
        <v>409</v>
      </c>
    </row>
    <row r="6025" spans="1:12" x14ac:dyDescent="0.25">
      <c r="A6025" s="4" t="str">
        <f>HYPERLINK("http://www.rosaceae.org/Prunus/Prunus_persica/p.persica_gdr_reftransV1_0004034","p.persica_gdr_reftransV1_0004034")</f>
        <v>p.persica_gdr_reftransV1_0004034</v>
      </c>
      <c r="B6025" s="2">
        <v>1585</v>
      </c>
      <c r="C6025" s="4" t="str">
        <f>HYPERLINK("http://www.uniprot.org/uniprot/M5VQ40","M5VQ40")</f>
        <v>M5VQ40</v>
      </c>
      <c r="D6025" s="2" t="s">
        <v>685</v>
      </c>
      <c r="E6025" s="3">
        <v>1.46E-152</v>
      </c>
      <c r="F6025" s="2">
        <v>1156</v>
      </c>
      <c r="G6025" s="2">
        <v>96</v>
      </c>
      <c r="H6025" s="2">
        <v>285</v>
      </c>
      <c r="I6025" s="2">
        <v>137</v>
      </c>
      <c r="J6025" s="2">
        <v>985</v>
      </c>
      <c r="K6025" s="2">
        <v>1</v>
      </c>
      <c r="L6025" s="2">
        <v>285</v>
      </c>
    </row>
    <row r="6026" spans="1:12" x14ac:dyDescent="0.25">
      <c r="A6026" s="4" t="str">
        <f>HYPERLINK("http://www.rosaceae.org/Prunus/Prunus_persica/p.persica_gdr_reftransV1_0004384","p.persica_gdr_reftransV1_0004384")</f>
        <v>p.persica_gdr_reftransV1_0004384</v>
      </c>
      <c r="B6026" s="2">
        <v>553</v>
      </c>
      <c r="C6026" s="4" t="str">
        <f>HYPERLINK("http://www.uniprot.org/uniprot/M5W6D3","M5W6D3")</f>
        <v>M5W6D3</v>
      </c>
      <c r="D6026" s="2" t="s">
        <v>1572</v>
      </c>
      <c r="E6026" s="3">
        <v>4.6000000000000003E-87</v>
      </c>
      <c r="F6026" s="2">
        <v>729</v>
      </c>
      <c r="G6026" s="2">
        <v>89</v>
      </c>
      <c r="H6026" s="2">
        <v>184</v>
      </c>
      <c r="I6026" s="2">
        <v>1</v>
      </c>
      <c r="J6026" s="2">
        <v>552</v>
      </c>
      <c r="K6026" s="2">
        <v>111</v>
      </c>
      <c r="L6026" s="2">
        <v>275</v>
      </c>
    </row>
    <row r="6027" spans="1:12" x14ac:dyDescent="0.25">
      <c r="A6027" s="4" t="str">
        <f>HYPERLINK("http://www.rosaceae.org/Prunus/Prunus_persica/p.persica_gdr_reftransV1_0005084","p.persica_gdr_reftransV1_0005084")</f>
        <v>p.persica_gdr_reftransV1_0005084</v>
      </c>
      <c r="B6027" s="2">
        <v>969</v>
      </c>
      <c r="C6027" s="4" t="str">
        <f>HYPERLINK("http://www.uniprot.org/uniprot/M5XTA2","M5XTA2")</f>
        <v>M5XTA2</v>
      </c>
      <c r="D6027" s="2" t="s">
        <v>5465</v>
      </c>
      <c r="E6027" s="3">
        <v>1.9399999999999998E-8</v>
      </c>
      <c r="F6027" s="2">
        <v>150</v>
      </c>
      <c r="G6027" s="2">
        <v>100</v>
      </c>
      <c r="H6027" s="2">
        <v>31</v>
      </c>
      <c r="I6027" s="2">
        <v>280</v>
      </c>
      <c r="J6027" s="2">
        <v>372</v>
      </c>
      <c r="K6027" s="2">
        <v>123</v>
      </c>
      <c r="L6027" s="2">
        <v>153</v>
      </c>
    </row>
    <row r="6028" spans="1:12" x14ac:dyDescent="0.25">
      <c r="A6028" s="4" t="str">
        <f>HYPERLINK("http://www.rosaceae.org/Prunus/Prunus_persica/p.persica_gdr_reftransV1_0005434","p.persica_gdr_reftransV1_0005434")</f>
        <v>p.persica_gdr_reftransV1_0005434</v>
      </c>
      <c r="B6028" s="2">
        <v>1220</v>
      </c>
      <c r="C6028" s="4" t="str">
        <f>HYPERLINK("http://www.uniprot.org/uniprot/M5Y0J5","M5Y0J5")</f>
        <v>M5Y0J5</v>
      </c>
      <c r="D6028" s="2" t="s">
        <v>5466</v>
      </c>
      <c r="E6028" s="3">
        <v>8.7600000000000007E-139</v>
      </c>
      <c r="F6028" s="2">
        <v>1061</v>
      </c>
      <c r="G6028" s="2">
        <v>100</v>
      </c>
      <c r="H6028" s="2">
        <v>241</v>
      </c>
      <c r="I6028" s="2">
        <v>273</v>
      </c>
      <c r="J6028" s="2">
        <v>995</v>
      </c>
      <c r="K6028" s="2">
        <v>113</v>
      </c>
      <c r="L6028" s="2">
        <v>353</v>
      </c>
    </row>
    <row r="6029" spans="1:12" x14ac:dyDescent="0.25">
      <c r="A6029" s="4" t="str">
        <f>HYPERLINK("http://www.rosaceae.org/Prunus/Prunus_persica/p.persica_gdr_reftransV1_0005784","p.persica_gdr_reftransV1_0005784")</f>
        <v>p.persica_gdr_reftransV1_0005784</v>
      </c>
      <c r="B6029" s="2">
        <v>890</v>
      </c>
      <c r="C6029" s="4" t="str">
        <f>HYPERLINK("http://www.uniprot.org/uniprot/M5XMH6","M5XMH6")</f>
        <v>M5XMH6</v>
      </c>
      <c r="D6029" s="2" t="s">
        <v>5467</v>
      </c>
      <c r="E6029" s="3">
        <v>5.8200000000000002E-102</v>
      </c>
      <c r="F6029" s="2">
        <v>828</v>
      </c>
      <c r="G6029" s="2">
        <v>69</v>
      </c>
      <c r="H6029" s="2">
        <v>271</v>
      </c>
      <c r="I6029" s="2">
        <v>3</v>
      </c>
      <c r="J6029" s="2">
        <v>815</v>
      </c>
      <c r="K6029" s="2">
        <v>288</v>
      </c>
      <c r="L6029" s="2">
        <v>527</v>
      </c>
    </row>
    <row r="6030" spans="1:12" x14ac:dyDescent="0.25">
      <c r="A6030" s="4" t="str">
        <f>HYPERLINK("http://www.rosaceae.org/Prunus/Prunus_persica/p.persica_gdr_reftransV1_0007184","p.persica_gdr_reftransV1_0007184")</f>
        <v>p.persica_gdr_reftransV1_0007184</v>
      </c>
      <c r="B6030" s="2">
        <v>1017</v>
      </c>
      <c r="C6030" s="4" t="str">
        <f>HYPERLINK("http://www.uniprot.org/uniprot/M5XE81","M5XE81")</f>
        <v>M5XE81</v>
      </c>
      <c r="D6030" s="2" t="s">
        <v>5468</v>
      </c>
      <c r="E6030" s="3">
        <v>6.71E-77</v>
      </c>
      <c r="F6030" s="2">
        <v>620</v>
      </c>
      <c r="G6030" s="2">
        <v>100</v>
      </c>
      <c r="H6030" s="2">
        <v>116</v>
      </c>
      <c r="I6030" s="2">
        <v>200</v>
      </c>
      <c r="J6030" s="2">
        <v>547</v>
      </c>
      <c r="K6030" s="2">
        <v>1</v>
      </c>
      <c r="L6030" s="2">
        <v>116</v>
      </c>
    </row>
    <row r="6031" spans="1:12" x14ac:dyDescent="0.25">
      <c r="A6031" s="4" t="str">
        <f>HYPERLINK("http://www.rosaceae.org/Prunus/Prunus_persica/p.persica_gdr_reftransV1_0007534","p.persica_gdr_reftransV1_0007534")</f>
        <v>p.persica_gdr_reftransV1_0007534</v>
      </c>
      <c r="B6031" s="2">
        <v>3118</v>
      </c>
      <c r="C6031" s="4" t="str">
        <f>HYPERLINK("http://www.uniprot.org/uniprot/F6H743","F6H743")</f>
        <v>F6H743</v>
      </c>
      <c r="D6031" s="2" t="s">
        <v>5469</v>
      </c>
      <c r="E6031" s="3">
        <v>0</v>
      </c>
      <c r="F6031" s="2">
        <v>2379</v>
      </c>
      <c r="G6031" s="2">
        <v>64</v>
      </c>
      <c r="H6031" s="2">
        <v>702</v>
      </c>
      <c r="I6031" s="2">
        <v>71</v>
      </c>
      <c r="J6031" s="2">
        <v>2158</v>
      </c>
      <c r="K6031" s="2">
        <v>16</v>
      </c>
      <c r="L6031" s="2">
        <v>708</v>
      </c>
    </row>
    <row r="6032" spans="1:12" x14ac:dyDescent="0.25">
      <c r="A6032" s="4" t="str">
        <f>HYPERLINK("http://www.rosaceae.org/Prunus/Prunus_persica/p.persica_gdr_reftransV1_0008584","p.persica_gdr_reftransV1_0008584")</f>
        <v>p.persica_gdr_reftransV1_0008584</v>
      </c>
      <c r="B6032" s="2">
        <v>872</v>
      </c>
      <c r="C6032" s="4" t="str">
        <f>HYPERLINK("http://www.uniprot.org/uniprot/M5XC95","M5XC95")</f>
        <v>M5XC95</v>
      </c>
      <c r="D6032" s="2" t="s">
        <v>5470</v>
      </c>
      <c r="E6032" s="3">
        <v>1.05E-94</v>
      </c>
      <c r="F6032" s="2">
        <v>754</v>
      </c>
      <c r="G6032" s="2">
        <v>100</v>
      </c>
      <c r="H6032" s="2">
        <v>157</v>
      </c>
      <c r="I6032" s="2">
        <v>401</v>
      </c>
      <c r="J6032" s="2">
        <v>871</v>
      </c>
      <c r="K6032" s="2">
        <v>1</v>
      </c>
      <c r="L6032" s="2">
        <v>157</v>
      </c>
    </row>
    <row r="6033" spans="1:12" x14ac:dyDescent="0.25">
      <c r="A6033" s="4" t="str">
        <f>HYPERLINK("http://www.rosaceae.org/Prunus/Prunus_persica/p.persica_gdr_reftransV1_0008934","p.persica_gdr_reftransV1_0008934")</f>
        <v>p.persica_gdr_reftransV1_0008934</v>
      </c>
      <c r="B6033" s="2">
        <v>426</v>
      </c>
      <c r="C6033" s="4" t="str">
        <f>HYPERLINK("http://www.uniprot.org/uniprot/M5XG06","M5XG06")</f>
        <v>M5XG06</v>
      </c>
      <c r="D6033" s="2" t="s">
        <v>5471</v>
      </c>
      <c r="E6033" s="3">
        <v>6.5500000000000002E-87</v>
      </c>
      <c r="F6033" s="2">
        <v>679</v>
      </c>
      <c r="G6033" s="2">
        <v>100</v>
      </c>
      <c r="H6033" s="2">
        <v>125</v>
      </c>
      <c r="I6033" s="2">
        <v>51</v>
      </c>
      <c r="J6033" s="2">
        <v>425</v>
      </c>
      <c r="K6033" s="2">
        <v>44</v>
      </c>
      <c r="L6033" s="2">
        <v>168</v>
      </c>
    </row>
    <row r="6034" spans="1:12" x14ac:dyDescent="0.25">
      <c r="A6034" s="4" t="str">
        <f>HYPERLINK("http://www.rosaceae.org/Prunus/Prunus_persica/p.persica_gdr_reftransV1_0009984","p.persica_gdr_reftransV1_0009984")</f>
        <v>p.persica_gdr_reftransV1_0009984</v>
      </c>
      <c r="B6034" s="2">
        <v>1636</v>
      </c>
      <c r="C6034" s="4" t="str">
        <f>HYPERLINK("http://www.uniprot.org/uniprot/A0A061GZR7","A0A061GZR7")</f>
        <v>A0A061GZR7</v>
      </c>
      <c r="D6034" s="2" t="s">
        <v>5472</v>
      </c>
      <c r="E6034" s="3">
        <v>1.83E-26</v>
      </c>
      <c r="F6034" s="2">
        <v>287</v>
      </c>
      <c r="G6034" s="2">
        <v>50</v>
      </c>
      <c r="H6034" s="2">
        <v>109</v>
      </c>
      <c r="I6034" s="2">
        <v>1003</v>
      </c>
      <c r="J6034" s="2">
        <v>1326</v>
      </c>
      <c r="K6034" s="2">
        <v>3</v>
      </c>
      <c r="L6034" s="2">
        <v>111</v>
      </c>
    </row>
    <row r="6035" spans="1:12" x14ac:dyDescent="0.25">
      <c r="A6035" s="4" t="str">
        <f>HYPERLINK("http://www.rosaceae.org/Prunus/Prunus_persica/p.persica_gdr_reftransV1_0010334","p.persica_gdr_reftransV1_0010334")</f>
        <v>p.persica_gdr_reftransV1_0010334</v>
      </c>
      <c r="B6035" s="2">
        <v>1889</v>
      </c>
      <c r="C6035" s="4" t="str">
        <f>HYPERLINK("http://www.uniprot.org/uniprot/M5XB85","M5XB85")</f>
        <v>M5XB85</v>
      </c>
      <c r="D6035" s="2" t="s">
        <v>5473</v>
      </c>
      <c r="E6035" s="3">
        <v>0</v>
      </c>
      <c r="F6035" s="2">
        <v>2248</v>
      </c>
      <c r="G6035" s="2">
        <v>100</v>
      </c>
      <c r="H6035" s="2">
        <v>442</v>
      </c>
      <c r="I6035" s="2">
        <v>266</v>
      </c>
      <c r="J6035" s="2">
        <v>1591</v>
      </c>
      <c r="K6035" s="2">
        <v>1</v>
      </c>
      <c r="L6035" s="2">
        <v>442</v>
      </c>
    </row>
    <row r="6036" spans="1:12" x14ac:dyDescent="0.25">
      <c r="A6036" s="4" t="str">
        <f>HYPERLINK("http://www.rosaceae.org/Prunus/Prunus_persica/p.persica_gdr_reftransV1_0010684","p.persica_gdr_reftransV1_0010684")</f>
        <v>p.persica_gdr_reftransV1_0010684</v>
      </c>
      <c r="B6036" s="2">
        <v>3960</v>
      </c>
      <c r="C6036" s="4" t="str">
        <f>HYPERLINK("http://www.uniprot.org/uniprot/M5X837","M5X837")</f>
        <v>M5X837</v>
      </c>
      <c r="D6036" s="2" t="s">
        <v>5474</v>
      </c>
      <c r="E6036" s="3">
        <v>0</v>
      </c>
      <c r="F6036" s="2">
        <v>5821</v>
      </c>
      <c r="G6036" s="2">
        <v>100</v>
      </c>
      <c r="H6036" s="2">
        <v>1175</v>
      </c>
      <c r="I6036" s="2">
        <v>299</v>
      </c>
      <c r="J6036" s="2">
        <v>3823</v>
      </c>
      <c r="K6036" s="2">
        <v>1</v>
      </c>
      <c r="L6036" s="2">
        <v>1175</v>
      </c>
    </row>
    <row r="6037" spans="1:12" x14ac:dyDescent="0.25">
      <c r="A6037" s="4" t="str">
        <f>HYPERLINK("http://www.rosaceae.org/Prunus/Prunus_persica/p.persica_gdr_reftransV1_0011034","p.persica_gdr_reftransV1_0011034")</f>
        <v>p.persica_gdr_reftransV1_0011034</v>
      </c>
      <c r="B6037" s="2">
        <v>653</v>
      </c>
      <c r="C6037" s="4" t="str">
        <f>HYPERLINK("http://www.uniprot.org/uniprot/A0A067K0U5","A0A067K0U5")</f>
        <v>A0A067K0U5</v>
      </c>
      <c r="D6037" s="2" t="s">
        <v>5475</v>
      </c>
      <c r="E6037" s="3">
        <v>4.1799999999999998E-27</v>
      </c>
      <c r="F6037" s="2">
        <v>214</v>
      </c>
      <c r="G6037" s="2">
        <v>69</v>
      </c>
      <c r="H6037" s="2">
        <v>68</v>
      </c>
      <c r="I6037" s="2">
        <v>131</v>
      </c>
      <c r="J6037" s="2">
        <v>334</v>
      </c>
      <c r="K6037" s="2">
        <v>224</v>
      </c>
      <c r="L6037" s="2">
        <v>288</v>
      </c>
    </row>
    <row r="6038" spans="1:12" x14ac:dyDescent="0.25">
      <c r="A6038" s="4" t="str">
        <f>HYPERLINK("http://www.rosaceae.org/Prunus/Prunus_persica/p.persica_gdr_reftransV1_0011384","p.persica_gdr_reftransV1_0011384")</f>
        <v>p.persica_gdr_reftransV1_0011384</v>
      </c>
      <c r="B6038" s="2">
        <v>2516</v>
      </c>
      <c r="C6038" s="4" t="str">
        <f>HYPERLINK("http://www.uniprot.org/uniprot/M5WEZ8","M5WEZ8")</f>
        <v>M5WEZ8</v>
      </c>
      <c r="D6038" s="2" t="s">
        <v>5476</v>
      </c>
      <c r="E6038" s="3">
        <v>0</v>
      </c>
      <c r="F6038" s="2">
        <v>2357</v>
      </c>
      <c r="G6038" s="2">
        <v>98</v>
      </c>
      <c r="H6038" s="2">
        <v>457</v>
      </c>
      <c r="I6038" s="2">
        <v>273</v>
      </c>
      <c r="J6038" s="2">
        <v>1640</v>
      </c>
      <c r="K6038" s="2">
        <v>237</v>
      </c>
      <c r="L6038" s="2">
        <v>693</v>
      </c>
    </row>
    <row r="6039" spans="1:12" x14ac:dyDescent="0.25">
      <c r="A6039" s="4" t="str">
        <f>HYPERLINK("http://www.rosaceae.org/Prunus/Prunus_persica/p.persica_gdr_reftransV1_0011734","p.persica_gdr_reftransV1_0011734")</f>
        <v>p.persica_gdr_reftransV1_0011734</v>
      </c>
      <c r="B6039" s="2">
        <v>850</v>
      </c>
      <c r="C6039" s="4" t="str">
        <f>HYPERLINK("http://www.uniprot.org/uniprot/M5Y394","M5Y394")</f>
        <v>M5Y394</v>
      </c>
      <c r="D6039" s="2" t="s">
        <v>5477</v>
      </c>
      <c r="E6039" s="3">
        <v>0</v>
      </c>
      <c r="F6039" s="2">
        <v>1422</v>
      </c>
      <c r="G6039" s="2">
        <v>100</v>
      </c>
      <c r="H6039" s="2">
        <v>282</v>
      </c>
      <c r="I6039" s="2">
        <v>3</v>
      </c>
      <c r="J6039" s="2">
        <v>848</v>
      </c>
      <c r="K6039" s="2">
        <v>213</v>
      </c>
      <c r="L6039" s="2">
        <v>494</v>
      </c>
    </row>
    <row r="6040" spans="1:12" x14ac:dyDescent="0.25">
      <c r="A6040" s="4" t="str">
        <f>HYPERLINK("http://www.rosaceae.org/Prunus/Prunus_persica/p.persica_gdr_reftransV1_0013134","p.persica_gdr_reftransV1_0013134")</f>
        <v>p.persica_gdr_reftransV1_0013134</v>
      </c>
      <c r="B6040" s="2">
        <v>3108</v>
      </c>
      <c r="C6040" s="4" t="str">
        <f>HYPERLINK("http://www.uniprot.org/uniprot/M5X740","M5X740")</f>
        <v>M5X740</v>
      </c>
      <c r="D6040" s="2" t="s">
        <v>5478</v>
      </c>
      <c r="E6040" s="3">
        <v>0</v>
      </c>
      <c r="F6040" s="2">
        <v>3374</v>
      </c>
      <c r="G6040" s="2">
        <v>100</v>
      </c>
      <c r="H6040" s="2">
        <v>830</v>
      </c>
      <c r="I6040" s="2">
        <v>390</v>
      </c>
      <c r="J6040" s="2">
        <v>2879</v>
      </c>
      <c r="K6040" s="2">
        <v>56</v>
      </c>
      <c r="L6040" s="2">
        <v>885</v>
      </c>
    </row>
    <row r="6041" spans="1:12" x14ac:dyDescent="0.25">
      <c r="A6041" s="4" t="str">
        <f>HYPERLINK("http://www.rosaceae.org/Prunus/Prunus_persica/p.persica_gdr_reftransV1_0013484","p.persica_gdr_reftransV1_0013484")</f>
        <v>p.persica_gdr_reftransV1_0013484</v>
      </c>
      <c r="B6041" s="2">
        <v>1238</v>
      </c>
      <c r="C6041" s="4" t="str">
        <f>HYPERLINK("http://www.uniprot.org/uniprot/M5W939","M5W939")</f>
        <v>M5W939</v>
      </c>
      <c r="D6041" s="2" t="s">
        <v>5479</v>
      </c>
      <c r="E6041" s="3">
        <v>0</v>
      </c>
      <c r="F6041" s="2">
        <v>1357</v>
      </c>
      <c r="G6041" s="2">
        <v>89</v>
      </c>
      <c r="H6041" s="2">
        <v>297</v>
      </c>
      <c r="I6041" s="2">
        <v>2</v>
      </c>
      <c r="J6041" s="2">
        <v>892</v>
      </c>
      <c r="K6041" s="2">
        <v>50</v>
      </c>
      <c r="L6041" s="2">
        <v>314</v>
      </c>
    </row>
    <row r="6042" spans="1:12" x14ac:dyDescent="0.25">
      <c r="A6042" s="4" t="str">
        <f>HYPERLINK("http://www.rosaceae.org/Prunus/Prunus_persica/p.persica_gdr_reftransV1_0014534","p.persica_gdr_reftransV1_0014534")</f>
        <v>p.persica_gdr_reftransV1_0014534</v>
      </c>
      <c r="B6042" s="2">
        <v>1628</v>
      </c>
      <c r="C6042" s="4" t="str">
        <f>HYPERLINK("http://www.uniprot.org/uniprot/M5WBL2","M5WBL2")</f>
        <v>M5WBL2</v>
      </c>
      <c r="D6042" s="2" t="s">
        <v>5480</v>
      </c>
      <c r="E6042" s="3">
        <v>0</v>
      </c>
      <c r="F6042" s="2">
        <v>1542</v>
      </c>
      <c r="G6042" s="2">
        <v>98</v>
      </c>
      <c r="H6042" s="2">
        <v>358</v>
      </c>
      <c r="I6042" s="2">
        <v>442</v>
      </c>
      <c r="J6042" s="2">
        <v>1515</v>
      </c>
      <c r="K6042" s="2">
        <v>1</v>
      </c>
      <c r="L6042" s="2">
        <v>352</v>
      </c>
    </row>
    <row r="6043" spans="1:12" x14ac:dyDescent="0.25">
      <c r="A6043" s="4" t="str">
        <f>HYPERLINK("http://www.rosaceae.org/Prunus/Prunus_persica/p.persica_gdr_reftransV1_0015234","p.persica_gdr_reftransV1_0015234")</f>
        <v>p.persica_gdr_reftransV1_0015234</v>
      </c>
      <c r="B6043" s="2">
        <v>2664</v>
      </c>
      <c r="C6043" s="4" t="str">
        <f>HYPERLINK("http://www.uniprot.org/uniprot/M5WHP5","M5WHP5")</f>
        <v>M5WHP5</v>
      </c>
      <c r="D6043" s="2" t="s">
        <v>5481</v>
      </c>
      <c r="E6043" s="3">
        <v>0</v>
      </c>
      <c r="F6043" s="2">
        <v>1402</v>
      </c>
      <c r="G6043" s="2">
        <v>100</v>
      </c>
      <c r="H6043" s="2">
        <v>279</v>
      </c>
      <c r="I6043" s="2">
        <v>284</v>
      </c>
      <c r="J6043" s="2">
        <v>1120</v>
      </c>
      <c r="K6043" s="2">
        <v>1</v>
      </c>
      <c r="L6043" s="2">
        <v>279</v>
      </c>
    </row>
    <row r="6044" spans="1:12" x14ac:dyDescent="0.25">
      <c r="A6044" s="4" t="str">
        <f>HYPERLINK("http://www.rosaceae.org/Prunus/Prunus_persica/p.persica_gdr_reftransV1_0015584","p.persica_gdr_reftransV1_0015584")</f>
        <v>p.persica_gdr_reftransV1_0015584</v>
      </c>
      <c r="B6044" s="2">
        <v>677</v>
      </c>
      <c r="C6044" s="4" t="str">
        <f>HYPERLINK("http://www.uniprot.org/uniprot/M5X342","M5X342")</f>
        <v>M5X342</v>
      </c>
      <c r="D6044" s="2" t="s">
        <v>5482</v>
      </c>
      <c r="E6044" s="3">
        <v>2.2900000000000001E-104</v>
      </c>
      <c r="F6044" s="2">
        <v>793</v>
      </c>
      <c r="G6044" s="2">
        <v>100</v>
      </c>
      <c r="H6044" s="2">
        <v>152</v>
      </c>
      <c r="I6044" s="2">
        <v>153</v>
      </c>
      <c r="J6044" s="2">
        <v>608</v>
      </c>
      <c r="K6044" s="2">
        <v>1</v>
      </c>
      <c r="L6044" s="2">
        <v>152</v>
      </c>
    </row>
    <row r="6045" spans="1:12" x14ac:dyDescent="0.25">
      <c r="A6045" s="4" t="str">
        <f>HYPERLINK("http://www.rosaceae.org/Prunus/Prunus_persica/p.persica_gdr_reftransV1_0015934","p.persica_gdr_reftransV1_0015934")</f>
        <v>p.persica_gdr_reftransV1_0015934</v>
      </c>
      <c r="B6045" s="2">
        <v>5425</v>
      </c>
      <c r="C6045" s="4" t="str">
        <f>HYPERLINK("http://www.uniprot.org/uniprot/M5W279","M5W279")</f>
        <v>M5W279</v>
      </c>
      <c r="D6045" s="2" t="s">
        <v>5483</v>
      </c>
      <c r="E6045" s="3">
        <v>0</v>
      </c>
      <c r="F6045" s="2">
        <v>4767</v>
      </c>
      <c r="G6045" s="2">
        <v>95</v>
      </c>
      <c r="H6045" s="2">
        <v>1022</v>
      </c>
      <c r="I6045" s="2">
        <v>308</v>
      </c>
      <c r="J6045" s="2">
        <v>3373</v>
      </c>
      <c r="K6045" s="2">
        <v>1</v>
      </c>
      <c r="L6045" s="2">
        <v>985</v>
      </c>
    </row>
    <row r="6046" spans="1:12" x14ac:dyDescent="0.25">
      <c r="A6046" s="4" t="str">
        <f>HYPERLINK("http://www.rosaceae.org/Prunus/Prunus_persica/p.persica_gdr_reftransV1_0016284","p.persica_gdr_reftransV1_0016284")</f>
        <v>p.persica_gdr_reftransV1_0016284</v>
      </c>
      <c r="B6046" s="2">
        <v>1477</v>
      </c>
      <c r="C6046" s="4" t="str">
        <f>HYPERLINK("http://www.uniprot.org/uniprot/M5WBK6","M5WBK6")</f>
        <v>M5WBK6</v>
      </c>
      <c r="D6046" s="2" t="s">
        <v>5484</v>
      </c>
      <c r="E6046" s="3">
        <v>7.0900000000000003E-83</v>
      </c>
      <c r="F6046" s="2">
        <v>686</v>
      </c>
      <c r="G6046" s="2">
        <v>100</v>
      </c>
      <c r="H6046" s="2">
        <v>131</v>
      </c>
      <c r="I6046" s="2">
        <v>637</v>
      </c>
      <c r="J6046" s="2">
        <v>1029</v>
      </c>
      <c r="K6046" s="2">
        <v>128</v>
      </c>
      <c r="L6046" s="2">
        <v>258</v>
      </c>
    </row>
    <row r="6047" spans="1:12" x14ac:dyDescent="0.25">
      <c r="A6047" s="4" t="str">
        <f>HYPERLINK("http://www.rosaceae.org/Prunus/Prunus_persica/p.persica_gdr_reftransV1_0016634","p.persica_gdr_reftransV1_0016634")</f>
        <v>p.persica_gdr_reftransV1_0016634</v>
      </c>
      <c r="B6047" s="2">
        <v>1746</v>
      </c>
      <c r="C6047" s="4" t="str">
        <f>HYPERLINK("http://www.uniprot.org/uniprot/M5XAC9","M5XAC9")</f>
        <v>M5XAC9</v>
      </c>
      <c r="D6047" s="2" t="s">
        <v>5485</v>
      </c>
      <c r="E6047" s="3">
        <v>0</v>
      </c>
      <c r="F6047" s="2">
        <v>2390</v>
      </c>
      <c r="G6047" s="2">
        <v>93</v>
      </c>
      <c r="H6047" s="2">
        <v>480</v>
      </c>
      <c r="I6047" s="2">
        <v>178</v>
      </c>
      <c r="J6047" s="2">
        <v>1617</v>
      </c>
      <c r="K6047" s="2">
        <v>1</v>
      </c>
      <c r="L6047" s="2">
        <v>480</v>
      </c>
    </row>
    <row r="6048" spans="1:12" x14ac:dyDescent="0.25">
      <c r="A6048" s="4" t="str">
        <f>HYPERLINK("http://www.rosaceae.org/Prunus/Prunus_persica/p.persica_gdr_reftransV1_0016984","p.persica_gdr_reftransV1_0016984")</f>
        <v>p.persica_gdr_reftransV1_0016984</v>
      </c>
      <c r="B6048" s="2">
        <v>4051</v>
      </c>
      <c r="C6048" s="4" t="str">
        <f>HYPERLINK("http://www.uniprot.org/uniprot/M5WGG7","M5WGG7")</f>
        <v>M5WGG7</v>
      </c>
      <c r="D6048" s="2" t="s">
        <v>5486</v>
      </c>
      <c r="E6048" s="3">
        <v>0</v>
      </c>
      <c r="F6048" s="2">
        <v>2919</v>
      </c>
      <c r="G6048" s="2">
        <v>99</v>
      </c>
      <c r="H6048" s="2">
        <v>557</v>
      </c>
      <c r="I6048" s="2">
        <v>198</v>
      </c>
      <c r="J6048" s="2">
        <v>1868</v>
      </c>
      <c r="K6048" s="2">
        <v>1</v>
      </c>
      <c r="L6048" s="2">
        <v>557</v>
      </c>
    </row>
    <row r="6049" spans="1:12" x14ac:dyDescent="0.25">
      <c r="A6049" s="4" t="str">
        <f>HYPERLINK("http://www.rosaceae.org/Prunus/Prunus_persica/p.persica_gdr_reftransV1_0017334","p.persica_gdr_reftransV1_0017334")</f>
        <v>p.persica_gdr_reftransV1_0017334</v>
      </c>
      <c r="B6049" s="2">
        <v>618</v>
      </c>
      <c r="C6049" s="4" t="str">
        <f>HYPERLINK("http://www.uniprot.org/uniprot/M5WT01","M5WT01")</f>
        <v>M5WT01</v>
      </c>
      <c r="D6049" s="2" t="s">
        <v>5487</v>
      </c>
      <c r="E6049" s="3">
        <v>2.4100000000000001E-84</v>
      </c>
      <c r="F6049" s="2">
        <v>657</v>
      </c>
      <c r="G6049" s="2">
        <v>100</v>
      </c>
      <c r="H6049" s="2">
        <v>131</v>
      </c>
      <c r="I6049" s="2">
        <v>119</v>
      </c>
      <c r="J6049" s="2">
        <v>511</v>
      </c>
      <c r="K6049" s="2">
        <v>1</v>
      </c>
      <c r="L6049" s="2">
        <v>131</v>
      </c>
    </row>
    <row r="6050" spans="1:12" x14ac:dyDescent="0.25">
      <c r="A6050" s="4" t="str">
        <f>HYPERLINK("http://www.rosaceae.org/Prunus/Prunus_persica/p.persica_gdr_reftransV1_0017684","p.persica_gdr_reftransV1_0017684")</f>
        <v>p.persica_gdr_reftransV1_0017684</v>
      </c>
      <c r="B6050" s="2">
        <v>2709</v>
      </c>
      <c r="C6050" s="4" t="str">
        <f>HYPERLINK("http://www.uniprot.org/uniprot/M5WNZ5","M5WNZ5")</f>
        <v>M5WNZ5</v>
      </c>
      <c r="D6050" s="2" t="s">
        <v>5488</v>
      </c>
      <c r="E6050" s="3">
        <v>0</v>
      </c>
      <c r="F6050" s="2">
        <v>1719</v>
      </c>
      <c r="G6050" s="2">
        <v>100</v>
      </c>
      <c r="H6050" s="2">
        <v>356</v>
      </c>
      <c r="I6050" s="2">
        <v>975</v>
      </c>
      <c r="J6050" s="2">
        <v>2042</v>
      </c>
      <c r="K6050" s="2">
        <v>1</v>
      </c>
      <c r="L6050" s="2">
        <v>356</v>
      </c>
    </row>
    <row r="6051" spans="1:12" x14ac:dyDescent="0.25">
      <c r="A6051" s="4" t="str">
        <f>HYPERLINK("http://www.rosaceae.org/Prunus/Prunus_persica/p.persica_gdr_reftransV1_0018734","p.persica_gdr_reftransV1_0018734")</f>
        <v>p.persica_gdr_reftransV1_0018734</v>
      </c>
      <c r="B6051" s="2">
        <v>2168</v>
      </c>
      <c r="C6051" s="4" t="str">
        <f>HYPERLINK("http://www.uniprot.org/uniprot/M5WXA0","M5WXA0")</f>
        <v>M5WXA0</v>
      </c>
      <c r="D6051" s="2" t="s">
        <v>5489</v>
      </c>
      <c r="E6051" s="3">
        <v>0</v>
      </c>
      <c r="F6051" s="2">
        <v>2387</v>
      </c>
      <c r="G6051" s="2">
        <v>100</v>
      </c>
      <c r="H6051" s="2">
        <v>445</v>
      </c>
      <c r="I6051" s="2">
        <v>603</v>
      </c>
      <c r="J6051" s="2">
        <v>1937</v>
      </c>
      <c r="K6051" s="2">
        <v>1</v>
      </c>
      <c r="L6051" s="2">
        <v>445</v>
      </c>
    </row>
    <row r="6052" spans="1:12" x14ac:dyDescent="0.25">
      <c r="A6052" s="4" t="str">
        <f>HYPERLINK("http://www.rosaceae.org/Prunus/Prunus_persica/p.persica_gdr_reftransV1_0019434","p.persica_gdr_reftransV1_0019434")</f>
        <v>p.persica_gdr_reftransV1_0019434</v>
      </c>
      <c r="B6052" s="2">
        <v>889</v>
      </c>
      <c r="C6052" s="4" t="str">
        <f>HYPERLINK("http://www.uniprot.org/uniprot/M5X421","M5X421")</f>
        <v>M5X421</v>
      </c>
      <c r="D6052" s="2" t="s">
        <v>132</v>
      </c>
      <c r="E6052" s="3">
        <v>0</v>
      </c>
      <c r="F6052" s="2">
        <v>1591</v>
      </c>
      <c r="G6052" s="2">
        <v>100</v>
      </c>
      <c r="H6052" s="2">
        <v>295</v>
      </c>
      <c r="I6052" s="2">
        <v>1</v>
      </c>
      <c r="J6052" s="2">
        <v>885</v>
      </c>
      <c r="K6052" s="2">
        <v>395</v>
      </c>
      <c r="L6052" s="2">
        <v>689</v>
      </c>
    </row>
    <row r="6053" spans="1:12" x14ac:dyDescent="0.25">
      <c r="A6053" s="4" t="str">
        <f>HYPERLINK("http://www.rosaceae.org/Prunus/Prunus_persica/p.persica_gdr_reftransV1_0019784","p.persica_gdr_reftransV1_0019784")</f>
        <v>p.persica_gdr_reftransV1_0019784</v>
      </c>
      <c r="B6053" s="2">
        <v>633</v>
      </c>
      <c r="C6053" s="4" t="str">
        <f>HYPERLINK("http://www.uniprot.org/uniprot/M5Y8M5","M5Y8M5")</f>
        <v>M5Y8M5</v>
      </c>
      <c r="D6053" s="2" t="s">
        <v>4939</v>
      </c>
      <c r="E6053" s="3">
        <v>9.9999999999999995E-144</v>
      </c>
      <c r="F6053" s="2">
        <v>1067</v>
      </c>
      <c r="G6053" s="2">
        <v>100</v>
      </c>
      <c r="H6053" s="2">
        <v>211</v>
      </c>
      <c r="I6053" s="2">
        <v>1</v>
      </c>
      <c r="J6053" s="2">
        <v>633</v>
      </c>
      <c r="K6053" s="2">
        <v>94</v>
      </c>
      <c r="L6053" s="2">
        <v>304</v>
      </c>
    </row>
    <row r="6054" spans="1:12" x14ac:dyDescent="0.25">
      <c r="A6054" s="4" t="str">
        <f>HYPERLINK("http://www.rosaceae.org/Prunus/Prunus_persica/p.persica_gdr_reftransV1_0020134","p.persica_gdr_reftransV1_0020134")</f>
        <v>p.persica_gdr_reftransV1_0020134</v>
      </c>
      <c r="B6054" s="2">
        <v>643</v>
      </c>
      <c r="C6054" s="4" t="str">
        <f>HYPERLINK("http://www.uniprot.org/uniprot/M5Y1J6","M5Y1J6")</f>
        <v>M5Y1J6</v>
      </c>
      <c r="D6054" s="2" t="s">
        <v>2022</v>
      </c>
      <c r="E6054" s="3">
        <v>6.2800000000000004E-92</v>
      </c>
      <c r="F6054" s="2">
        <v>731</v>
      </c>
      <c r="G6054" s="2">
        <v>100</v>
      </c>
      <c r="H6054" s="2">
        <v>151</v>
      </c>
      <c r="I6054" s="2">
        <v>1</v>
      </c>
      <c r="J6054" s="2">
        <v>453</v>
      </c>
      <c r="K6054" s="2">
        <v>1</v>
      </c>
      <c r="L6054" s="2">
        <v>151</v>
      </c>
    </row>
    <row r="6055" spans="1:12" x14ac:dyDescent="0.25">
      <c r="A6055" s="4" t="str">
        <f>HYPERLINK("http://www.rosaceae.org/Prunus/Prunus_persica/p.persica_gdr_reftransV1_0021884","p.persica_gdr_reftransV1_0021884")</f>
        <v>p.persica_gdr_reftransV1_0021884</v>
      </c>
      <c r="B6055" s="2">
        <v>839</v>
      </c>
      <c r="C6055" s="4" t="str">
        <f>HYPERLINK("http://www.uniprot.org/uniprot/M5WJH8","M5WJH8")</f>
        <v>M5WJH8</v>
      </c>
      <c r="D6055" s="2" t="s">
        <v>5490</v>
      </c>
      <c r="E6055" s="3">
        <v>0</v>
      </c>
      <c r="F6055" s="2">
        <v>1350</v>
      </c>
      <c r="G6055" s="2">
        <v>100</v>
      </c>
      <c r="H6055" s="2">
        <v>279</v>
      </c>
      <c r="I6055" s="2">
        <v>3</v>
      </c>
      <c r="J6055" s="2">
        <v>839</v>
      </c>
      <c r="K6055" s="2">
        <v>3</v>
      </c>
      <c r="L6055" s="2">
        <v>281</v>
      </c>
    </row>
    <row r="6056" spans="1:12" x14ac:dyDescent="0.25">
      <c r="A6056" s="4" t="str">
        <f>HYPERLINK("http://www.rosaceae.org/Prunus/Prunus_persica/p.persica_gdr_reftransV1_0022934","p.persica_gdr_reftransV1_0022934")</f>
        <v>p.persica_gdr_reftransV1_0022934</v>
      </c>
      <c r="B6056" s="2">
        <v>1921</v>
      </c>
      <c r="C6056" s="4" t="str">
        <f>HYPERLINK("http://www.uniprot.org/uniprot/M5W9B9","M5W9B9")</f>
        <v>M5W9B9</v>
      </c>
      <c r="D6056" s="2" t="s">
        <v>5491</v>
      </c>
      <c r="E6056" s="3">
        <v>0</v>
      </c>
      <c r="F6056" s="2">
        <v>1566</v>
      </c>
      <c r="G6056" s="2">
        <v>92</v>
      </c>
      <c r="H6056" s="2">
        <v>335</v>
      </c>
      <c r="I6056" s="2">
        <v>50</v>
      </c>
      <c r="J6056" s="2">
        <v>1054</v>
      </c>
      <c r="K6056" s="2">
        <v>1</v>
      </c>
      <c r="L6056" s="2">
        <v>308</v>
      </c>
    </row>
    <row r="6057" spans="1:12" x14ac:dyDescent="0.25">
      <c r="A6057" s="4" t="str">
        <f>HYPERLINK("http://www.rosaceae.org/Prunus/Prunus_persica/p.persica_gdr_reftransV1_0023284","p.persica_gdr_reftransV1_0023284")</f>
        <v>p.persica_gdr_reftransV1_0023284</v>
      </c>
      <c r="B6057" s="2">
        <v>2296</v>
      </c>
      <c r="C6057" s="4" t="str">
        <f>HYPERLINK("http://www.uniprot.org/uniprot/M5W6D7","M5W6D7")</f>
        <v>M5W6D7</v>
      </c>
      <c r="D6057" s="2" t="s">
        <v>5492</v>
      </c>
      <c r="E6057" s="3">
        <v>0</v>
      </c>
      <c r="F6057" s="2">
        <v>3016</v>
      </c>
      <c r="G6057" s="2">
        <v>100</v>
      </c>
      <c r="H6057" s="2">
        <v>582</v>
      </c>
      <c r="I6057" s="2">
        <v>186</v>
      </c>
      <c r="J6057" s="2">
        <v>1931</v>
      </c>
      <c r="K6057" s="2">
        <v>1</v>
      </c>
      <c r="L6057" s="2">
        <v>582</v>
      </c>
    </row>
    <row r="6058" spans="1:12" x14ac:dyDescent="0.25">
      <c r="A6058" s="4" t="str">
        <f>HYPERLINK("http://www.rosaceae.org/Prunus/Prunus_persica/p.persica_gdr_reftransV1_0023634","p.persica_gdr_reftransV1_0023634")</f>
        <v>p.persica_gdr_reftransV1_0023634</v>
      </c>
      <c r="B6058" s="2">
        <v>2885</v>
      </c>
      <c r="C6058" s="4" t="str">
        <f>HYPERLINK("http://www.uniprot.org/uniprot/M5XAA8","M5XAA8")</f>
        <v>M5XAA8</v>
      </c>
      <c r="D6058" s="2" t="s">
        <v>4863</v>
      </c>
      <c r="E6058" s="3">
        <v>0</v>
      </c>
      <c r="F6058" s="2">
        <v>3055</v>
      </c>
      <c r="G6058" s="2">
        <v>100</v>
      </c>
      <c r="H6058" s="2">
        <v>617</v>
      </c>
      <c r="I6058" s="2">
        <v>205</v>
      </c>
      <c r="J6058" s="2">
        <v>2055</v>
      </c>
      <c r="K6058" s="2">
        <v>1</v>
      </c>
      <c r="L6058" s="2">
        <v>617</v>
      </c>
    </row>
    <row r="6059" spans="1:12" x14ac:dyDescent="0.25">
      <c r="A6059" s="4" t="str">
        <f>HYPERLINK("http://www.rosaceae.org/Prunus/Prunus_persica/p.persica_gdr_reftransV1_0025034","p.persica_gdr_reftransV1_0025034")</f>
        <v>p.persica_gdr_reftransV1_0025034</v>
      </c>
      <c r="B6059" s="2">
        <v>1232</v>
      </c>
      <c r="C6059" s="4" t="str">
        <f>HYPERLINK("http://www.uniprot.org/uniprot/M5X0P3","M5X0P3")</f>
        <v>M5X0P3</v>
      </c>
      <c r="D6059" s="2" t="s">
        <v>5493</v>
      </c>
      <c r="E6059" s="3">
        <v>1.49E-124</v>
      </c>
      <c r="F6059" s="2">
        <v>950</v>
      </c>
      <c r="G6059" s="2">
        <v>100</v>
      </c>
      <c r="H6059" s="2">
        <v>195</v>
      </c>
      <c r="I6059" s="2">
        <v>308</v>
      </c>
      <c r="J6059" s="2">
        <v>892</v>
      </c>
      <c r="K6059" s="2">
        <v>1</v>
      </c>
      <c r="L6059" s="2">
        <v>195</v>
      </c>
    </row>
    <row r="6060" spans="1:12" x14ac:dyDescent="0.25">
      <c r="A6060" s="4" t="str">
        <f>HYPERLINK("http://www.rosaceae.org/Prunus/Prunus_persica/p.persica_gdr_reftransV1_0025384","p.persica_gdr_reftransV1_0025384")</f>
        <v>p.persica_gdr_reftransV1_0025384</v>
      </c>
      <c r="B6060" s="2">
        <v>708</v>
      </c>
      <c r="C6060" s="4" t="str">
        <f>HYPERLINK("http://www.uniprot.org/uniprot/M5WXI3","M5WXI3")</f>
        <v>M5WXI3</v>
      </c>
      <c r="D6060" s="2" t="s">
        <v>5494</v>
      </c>
      <c r="E6060" s="3">
        <v>5.4699999999999994E-26</v>
      </c>
      <c r="F6060" s="2">
        <v>290</v>
      </c>
      <c r="G6060" s="2">
        <v>100</v>
      </c>
      <c r="H6060" s="2">
        <v>59</v>
      </c>
      <c r="I6060" s="2">
        <v>224</v>
      </c>
      <c r="J6060" s="2">
        <v>400</v>
      </c>
      <c r="K6060" s="2">
        <v>1</v>
      </c>
      <c r="L6060" s="2">
        <v>59</v>
      </c>
    </row>
    <row r="6061" spans="1:12" x14ac:dyDescent="0.25">
      <c r="A6061" s="4" t="str">
        <f>HYPERLINK("http://www.rosaceae.org/Prunus/Prunus_persica/p.persica_gdr_reftransV1_0025734","p.persica_gdr_reftransV1_0025734")</f>
        <v>p.persica_gdr_reftransV1_0025734</v>
      </c>
      <c r="B6061" s="2">
        <v>5003</v>
      </c>
      <c r="C6061" s="4" t="str">
        <f>HYPERLINK("http://www.uniprot.org/uniprot/M5XKH6","M5XKH6")</f>
        <v>M5XKH6</v>
      </c>
      <c r="D6061" s="2" t="s">
        <v>5495</v>
      </c>
      <c r="E6061" s="3">
        <v>0</v>
      </c>
      <c r="F6061" s="2">
        <v>4701</v>
      </c>
      <c r="G6061" s="2">
        <v>95</v>
      </c>
      <c r="H6061" s="2">
        <v>958</v>
      </c>
      <c r="I6061" s="2">
        <v>1661</v>
      </c>
      <c r="J6061" s="2">
        <v>4534</v>
      </c>
      <c r="K6061" s="2">
        <v>59</v>
      </c>
      <c r="L6061" s="2">
        <v>1016</v>
      </c>
    </row>
    <row r="6062" spans="1:12" x14ac:dyDescent="0.25">
      <c r="A6062" s="4" t="str">
        <f>HYPERLINK("http://www.rosaceae.org/Prunus/Prunus_persica/p.persica_gdr_reftransV1_0026434","p.persica_gdr_reftransV1_0026434")</f>
        <v>p.persica_gdr_reftransV1_0026434</v>
      </c>
      <c r="B6062" s="2">
        <v>1401</v>
      </c>
      <c r="C6062" s="4" t="str">
        <f>HYPERLINK("http://www.uniprot.org/uniprot/M5X2L6","M5X2L6")</f>
        <v>M5X2L6</v>
      </c>
      <c r="D6062" s="2" t="s">
        <v>5496</v>
      </c>
      <c r="E6062" s="3">
        <v>7.2900000000000004E-78</v>
      </c>
      <c r="F6062" s="2">
        <v>641</v>
      </c>
      <c r="G6062" s="2">
        <v>99</v>
      </c>
      <c r="H6062" s="2">
        <v>134</v>
      </c>
      <c r="I6062" s="2">
        <v>128</v>
      </c>
      <c r="J6062" s="2">
        <v>529</v>
      </c>
      <c r="K6062" s="2">
        <v>1</v>
      </c>
      <c r="L6062" s="2">
        <v>134</v>
      </c>
    </row>
    <row r="6063" spans="1:12" x14ac:dyDescent="0.25">
      <c r="A6063" s="4" t="str">
        <f>HYPERLINK("http://www.rosaceae.org/Prunus/Prunus_persica/p.persica_gdr_reftransV1_0026784","p.persica_gdr_reftransV1_0026784")</f>
        <v>p.persica_gdr_reftransV1_0026784</v>
      </c>
      <c r="B6063" s="2">
        <v>1802</v>
      </c>
      <c r="C6063" s="4" t="str">
        <f>HYPERLINK("http://www.uniprot.org/uniprot/M5WN85","M5WN85")</f>
        <v>M5WN85</v>
      </c>
      <c r="D6063" s="2" t="s">
        <v>5497</v>
      </c>
      <c r="E6063" s="3">
        <v>4.5799999999999996E-142</v>
      </c>
      <c r="F6063" s="2">
        <v>1090</v>
      </c>
      <c r="G6063" s="2">
        <v>99</v>
      </c>
      <c r="H6063" s="2">
        <v>227</v>
      </c>
      <c r="I6063" s="2">
        <v>882</v>
      </c>
      <c r="J6063" s="2">
        <v>1562</v>
      </c>
      <c r="K6063" s="2">
        <v>1</v>
      </c>
      <c r="L6063" s="2">
        <v>227</v>
      </c>
    </row>
    <row r="6064" spans="1:12" x14ac:dyDescent="0.25">
      <c r="A6064" s="4" t="str">
        <f>HYPERLINK("http://www.rosaceae.org/Prunus/Prunus_persica/p.persica_gdr_reftransV1_0027134","p.persica_gdr_reftransV1_0027134")</f>
        <v>p.persica_gdr_reftransV1_0027134</v>
      </c>
      <c r="B6064" s="2">
        <v>1439</v>
      </c>
      <c r="C6064" s="4" t="str">
        <f>HYPERLINK("http://www.uniprot.org/uniprot/M5WSJ6","M5WSJ6")</f>
        <v>M5WSJ6</v>
      </c>
      <c r="D6064" s="2" t="s">
        <v>5498</v>
      </c>
      <c r="E6064" s="3">
        <v>0</v>
      </c>
      <c r="F6064" s="2">
        <v>1931</v>
      </c>
      <c r="G6064" s="2">
        <v>100</v>
      </c>
      <c r="H6064" s="2">
        <v>361</v>
      </c>
      <c r="I6064" s="2">
        <v>107</v>
      </c>
      <c r="J6064" s="2">
        <v>1189</v>
      </c>
      <c r="K6064" s="2">
        <v>1</v>
      </c>
      <c r="L6064" s="2">
        <v>361</v>
      </c>
    </row>
    <row r="6065" spans="1:12" x14ac:dyDescent="0.25">
      <c r="A6065" s="4" t="str">
        <f>HYPERLINK("http://www.rosaceae.org/Prunus/Prunus_persica/p.persica_gdr_reftransV1_0028534","p.persica_gdr_reftransV1_0028534")</f>
        <v>p.persica_gdr_reftransV1_0028534</v>
      </c>
      <c r="B6065" s="2">
        <v>2141</v>
      </c>
      <c r="C6065" s="4" t="str">
        <f>HYPERLINK("http://www.uniprot.org/uniprot/M5X470","M5X470")</f>
        <v>M5X470</v>
      </c>
      <c r="D6065" s="2" t="s">
        <v>5499</v>
      </c>
      <c r="E6065" s="3">
        <v>2.8599999999999999E-15</v>
      </c>
      <c r="F6065" s="2">
        <v>207</v>
      </c>
      <c r="G6065" s="2">
        <v>100</v>
      </c>
      <c r="H6065" s="2">
        <v>56</v>
      </c>
      <c r="I6065" s="2">
        <v>189</v>
      </c>
      <c r="J6065" s="2">
        <v>356</v>
      </c>
      <c r="K6065" s="2">
        <v>11</v>
      </c>
      <c r="L6065" s="2">
        <v>66</v>
      </c>
    </row>
    <row r="6066" spans="1:12" x14ac:dyDescent="0.25">
      <c r="A6066" s="4" t="str">
        <f>HYPERLINK("http://www.rosaceae.org/Prunus/Prunus_persica/p.persica_gdr_reftransV1_0030284","p.persica_gdr_reftransV1_0030284")</f>
        <v>p.persica_gdr_reftransV1_0030284</v>
      </c>
      <c r="B6066" s="2">
        <v>1942</v>
      </c>
      <c r="C6066" s="4" t="str">
        <f>HYPERLINK("http://www.uniprot.org/uniprot/M5WRD4","M5WRD4")</f>
        <v>M5WRD4</v>
      </c>
      <c r="D6066" s="2" t="s">
        <v>5500</v>
      </c>
      <c r="E6066" s="3">
        <v>0</v>
      </c>
      <c r="F6066" s="2">
        <v>1858</v>
      </c>
      <c r="G6066" s="2">
        <v>88</v>
      </c>
      <c r="H6066" s="2">
        <v>417</v>
      </c>
      <c r="I6066" s="2">
        <v>156</v>
      </c>
      <c r="J6066" s="2">
        <v>1400</v>
      </c>
      <c r="K6066" s="2">
        <v>311</v>
      </c>
      <c r="L6066" s="2">
        <v>691</v>
      </c>
    </row>
    <row r="6067" spans="1:12" x14ac:dyDescent="0.25">
      <c r="A6067" s="4" t="str">
        <f>HYPERLINK("http://www.rosaceae.org/Prunus/Prunus_persica/p.persica_gdr_reftransV1_0030634","p.persica_gdr_reftransV1_0030634")</f>
        <v>p.persica_gdr_reftransV1_0030634</v>
      </c>
      <c r="B6067" s="2">
        <v>2189</v>
      </c>
      <c r="C6067" s="4" t="str">
        <f>HYPERLINK("http://www.uniprot.org/uniprot/M5W4A5","M5W4A5")</f>
        <v>M5W4A5</v>
      </c>
      <c r="D6067" s="2" t="s">
        <v>5501</v>
      </c>
      <c r="E6067" s="3">
        <v>0</v>
      </c>
      <c r="F6067" s="2">
        <v>2175</v>
      </c>
      <c r="G6067" s="2">
        <v>100</v>
      </c>
      <c r="H6067" s="2">
        <v>442</v>
      </c>
      <c r="I6067" s="2">
        <v>538</v>
      </c>
      <c r="J6067" s="2">
        <v>1863</v>
      </c>
      <c r="K6067" s="2">
        <v>1</v>
      </c>
      <c r="L6067" s="2">
        <v>442</v>
      </c>
    </row>
    <row r="6068" spans="1:12" x14ac:dyDescent="0.25">
      <c r="A6068" s="4" t="str">
        <f>HYPERLINK("http://www.rosaceae.org/Prunus/Prunus_persica/p.persica_gdr_reftransV1_0030984","p.persica_gdr_reftransV1_0030984")</f>
        <v>p.persica_gdr_reftransV1_0030984</v>
      </c>
      <c r="B6068" s="2">
        <v>3979</v>
      </c>
      <c r="C6068" s="4" t="str">
        <f>HYPERLINK("http://www.uniprot.org/uniprot/M5XDC0","M5XDC0")</f>
        <v>M5XDC0</v>
      </c>
      <c r="D6068" s="2" t="s">
        <v>5502</v>
      </c>
      <c r="E6068" s="3">
        <v>0</v>
      </c>
      <c r="F6068" s="2">
        <v>2640</v>
      </c>
      <c r="G6068" s="2">
        <v>100</v>
      </c>
      <c r="H6068" s="2">
        <v>493</v>
      </c>
      <c r="I6068" s="2">
        <v>1366</v>
      </c>
      <c r="J6068" s="2">
        <v>2844</v>
      </c>
      <c r="K6068" s="2">
        <v>1</v>
      </c>
      <c r="L6068" s="2">
        <v>493</v>
      </c>
    </row>
    <row r="6069" spans="1:12" x14ac:dyDescent="0.25">
      <c r="A6069" s="4" t="str">
        <f>HYPERLINK("http://www.rosaceae.org/Prunus/Prunus_persica/p.persica_gdr_reftransV1_0031334","p.persica_gdr_reftransV1_0031334")</f>
        <v>p.persica_gdr_reftransV1_0031334</v>
      </c>
      <c r="B6069" s="2">
        <v>2240</v>
      </c>
      <c r="C6069" s="4" t="str">
        <f>HYPERLINK("http://www.uniprot.org/uniprot/M5X3V9","M5X3V9")</f>
        <v>M5X3V9</v>
      </c>
      <c r="D6069" s="2" t="s">
        <v>5503</v>
      </c>
      <c r="E6069" s="3">
        <v>0</v>
      </c>
      <c r="F6069" s="2">
        <v>2724</v>
      </c>
      <c r="G6069" s="2">
        <v>100</v>
      </c>
      <c r="H6069" s="2">
        <v>534</v>
      </c>
      <c r="I6069" s="2">
        <v>202</v>
      </c>
      <c r="J6069" s="2">
        <v>1803</v>
      </c>
      <c r="K6069" s="2">
        <v>1</v>
      </c>
      <c r="L6069" s="2">
        <v>534</v>
      </c>
    </row>
    <row r="6070" spans="1:12" x14ac:dyDescent="0.25">
      <c r="A6070" s="4" t="str">
        <f>HYPERLINK("http://www.rosaceae.org/Prunus/Prunus_persica/p.persica_gdr_reftransV1_0031684","p.persica_gdr_reftransV1_0031684")</f>
        <v>p.persica_gdr_reftransV1_0031684</v>
      </c>
      <c r="B6070" s="2">
        <v>1359</v>
      </c>
      <c r="C6070" s="4" t="str">
        <f>HYPERLINK("http://www.uniprot.org/uniprot/M5WBY4","M5WBY4")</f>
        <v>M5WBY4</v>
      </c>
      <c r="D6070" s="2" t="s">
        <v>1453</v>
      </c>
      <c r="E6070" s="3">
        <v>3.4800000000000002E-110</v>
      </c>
      <c r="F6070" s="2">
        <v>624</v>
      </c>
      <c r="G6070" s="2">
        <v>100</v>
      </c>
      <c r="H6070" s="2">
        <v>117</v>
      </c>
      <c r="I6070" s="2">
        <v>463</v>
      </c>
      <c r="J6070" s="2">
        <v>813</v>
      </c>
      <c r="K6070" s="2">
        <v>86</v>
      </c>
      <c r="L6070" s="2">
        <v>202</v>
      </c>
    </row>
    <row r="6071" spans="1:12" x14ac:dyDescent="0.25">
      <c r="A6071" s="4" t="str">
        <f>HYPERLINK("http://www.rosaceae.org/Prunus/Prunus_persica/p.persica_gdr_reftransV1_0033084","p.persica_gdr_reftransV1_0033084")</f>
        <v>p.persica_gdr_reftransV1_0033084</v>
      </c>
      <c r="B6071" s="2">
        <v>3348</v>
      </c>
      <c r="C6071" s="4" t="str">
        <f>HYPERLINK("http://www.uniprot.org/uniprot/M5WQV3","M5WQV3")</f>
        <v>M5WQV3</v>
      </c>
      <c r="D6071" s="2" t="s">
        <v>5504</v>
      </c>
      <c r="E6071" s="3">
        <v>0</v>
      </c>
      <c r="F6071" s="2">
        <v>3162</v>
      </c>
      <c r="G6071" s="2">
        <v>100</v>
      </c>
      <c r="H6071" s="2">
        <v>658</v>
      </c>
      <c r="I6071" s="2">
        <v>126</v>
      </c>
      <c r="J6071" s="2">
        <v>2099</v>
      </c>
      <c r="K6071" s="2">
        <v>1</v>
      </c>
      <c r="L6071" s="2">
        <v>657</v>
      </c>
    </row>
    <row r="6072" spans="1:12" x14ac:dyDescent="0.25">
      <c r="A6072" s="4" t="str">
        <f>HYPERLINK("http://www.rosaceae.org/Prunus/Prunus_persica/p.persica_gdr_reftransV1_0033434","p.persica_gdr_reftransV1_0033434")</f>
        <v>p.persica_gdr_reftransV1_0033434</v>
      </c>
      <c r="B6072" s="2">
        <v>1488</v>
      </c>
      <c r="C6072" s="4" t="str">
        <f>HYPERLINK("http://www.uniprot.org/uniprot/M5W7G1","M5W7G1")</f>
        <v>M5W7G1</v>
      </c>
      <c r="D6072" s="2" t="s">
        <v>5505</v>
      </c>
      <c r="E6072" s="3">
        <v>1.0200000000000001E-80</v>
      </c>
      <c r="F6072" s="2">
        <v>669</v>
      </c>
      <c r="G6072" s="2">
        <v>100</v>
      </c>
      <c r="H6072" s="2">
        <v>204</v>
      </c>
      <c r="I6072" s="2">
        <v>498</v>
      </c>
      <c r="J6072" s="2">
        <v>1109</v>
      </c>
      <c r="K6072" s="2">
        <v>1</v>
      </c>
      <c r="L6072" s="2">
        <v>204</v>
      </c>
    </row>
    <row r="6073" spans="1:12" x14ac:dyDescent="0.25">
      <c r="A6073" s="4" t="str">
        <f>HYPERLINK("http://www.rosaceae.org/Prunus/Prunus_persica/p.persica_gdr_reftransV1_0035884","p.persica_gdr_reftransV1_0035884")</f>
        <v>p.persica_gdr_reftransV1_0035884</v>
      </c>
      <c r="B6073" s="2">
        <v>2356</v>
      </c>
      <c r="C6073" s="4" t="str">
        <f>HYPERLINK("http://www.uniprot.org/uniprot/M5VWC9","M5VWC9")</f>
        <v>M5VWC9</v>
      </c>
      <c r="D6073" s="2" t="s">
        <v>5286</v>
      </c>
      <c r="E6073" s="3">
        <v>0</v>
      </c>
      <c r="F6073" s="2">
        <v>1806</v>
      </c>
      <c r="G6073" s="2">
        <v>89</v>
      </c>
      <c r="H6073" s="2">
        <v>413</v>
      </c>
      <c r="I6073" s="2">
        <v>796</v>
      </c>
      <c r="J6073" s="2">
        <v>2034</v>
      </c>
      <c r="K6073" s="2">
        <v>198</v>
      </c>
      <c r="L6073" s="2">
        <v>566</v>
      </c>
    </row>
    <row r="6074" spans="1:12" x14ac:dyDescent="0.25">
      <c r="A6074" s="4" t="str">
        <f>HYPERLINK("http://www.rosaceae.org/Prunus/Prunus_persica/p.persica_gdr_reftransV1_0037984","p.persica_gdr_reftransV1_0037984")</f>
        <v>p.persica_gdr_reftransV1_0037984</v>
      </c>
      <c r="B6074" s="2">
        <v>3643</v>
      </c>
      <c r="C6074" s="4" t="str">
        <f>HYPERLINK("http://www.uniprot.org/uniprot/M5XNQ2","M5XNQ2")</f>
        <v>M5XNQ2</v>
      </c>
      <c r="D6074" s="2" t="s">
        <v>5506</v>
      </c>
      <c r="E6074" s="3">
        <v>0</v>
      </c>
      <c r="F6074" s="2">
        <v>1453</v>
      </c>
      <c r="G6074" s="2">
        <v>100</v>
      </c>
      <c r="H6074" s="2">
        <v>343</v>
      </c>
      <c r="I6074" s="2">
        <v>867</v>
      </c>
      <c r="J6074" s="2">
        <v>1895</v>
      </c>
      <c r="K6074" s="2">
        <v>229</v>
      </c>
      <c r="L6074" s="2">
        <v>571</v>
      </c>
    </row>
    <row r="6075" spans="1:12" x14ac:dyDescent="0.25">
      <c r="A6075" s="4" t="str">
        <f>HYPERLINK("http://www.rosaceae.org/Prunus/Prunus_persica/p.persica_gdr_reftransV1_0039034","p.persica_gdr_reftransV1_0039034")</f>
        <v>p.persica_gdr_reftransV1_0039034</v>
      </c>
      <c r="B6075" s="2">
        <v>2898</v>
      </c>
      <c r="C6075" s="4" t="str">
        <f>HYPERLINK("http://www.uniprot.org/uniprot/M5W6G1","M5W6G1")</f>
        <v>M5W6G1</v>
      </c>
      <c r="D6075" s="2" t="s">
        <v>4814</v>
      </c>
      <c r="E6075" s="3">
        <v>7.8800000000000001E-159</v>
      </c>
      <c r="F6075" s="2">
        <v>1260</v>
      </c>
      <c r="G6075" s="2">
        <v>99</v>
      </c>
      <c r="H6075" s="2">
        <v>243</v>
      </c>
      <c r="I6075" s="2">
        <v>299</v>
      </c>
      <c r="J6075" s="2">
        <v>1027</v>
      </c>
      <c r="K6075" s="2">
        <v>3</v>
      </c>
      <c r="L6075" s="2">
        <v>245</v>
      </c>
    </row>
    <row r="6076" spans="1:12" x14ac:dyDescent="0.25">
      <c r="A6076" s="4" t="str">
        <f>HYPERLINK("http://www.rosaceae.org/Prunus/Prunus_persica/p.persica_gdr_reftransV1_0039384","p.persica_gdr_reftransV1_0039384")</f>
        <v>p.persica_gdr_reftransV1_0039384</v>
      </c>
      <c r="B6076" s="2">
        <v>1959</v>
      </c>
      <c r="C6076" s="4" t="str">
        <f>HYPERLINK("http://www.uniprot.org/uniprot/M5WSR0","M5WSR0")</f>
        <v>M5WSR0</v>
      </c>
      <c r="D6076" s="2" t="s">
        <v>5507</v>
      </c>
      <c r="E6076" s="3">
        <v>0</v>
      </c>
      <c r="F6076" s="2">
        <v>1728</v>
      </c>
      <c r="G6076" s="2">
        <v>100</v>
      </c>
      <c r="H6076" s="2">
        <v>381</v>
      </c>
      <c r="I6076" s="2">
        <v>56</v>
      </c>
      <c r="J6076" s="2">
        <v>1198</v>
      </c>
      <c r="K6076" s="2">
        <v>1</v>
      </c>
      <c r="L6076" s="2">
        <v>381</v>
      </c>
    </row>
    <row r="6077" spans="1:12" x14ac:dyDescent="0.25">
      <c r="A6077" s="4" t="str">
        <f>HYPERLINK("http://www.rosaceae.org/Prunus/Prunus_persica/p.persica_gdr_reftransV1_0040434","p.persica_gdr_reftransV1_0040434")</f>
        <v>p.persica_gdr_reftransV1_0040434</v>
      </c>
      <c r="B6077" s="2">
        <v>5144</v>
      </c>
      <c r="C6077" s="4" t="str">
        <f>HYPERLINK("http://www.uniprot.org/uniprot/M5XEZ7","M5XEZ7")</f>
        <v>M5XEZ7</v>
      </c>
      <c r="D6077" s="2" t="s">
        <v>3763</v>
      </c>
      <c r="E6077" s="3">
        <v>0</v>
      </c>
      <c r="F6077" s="2">
        <v>2395</v>
      </c>
      <c r="G6077" s="2">
        <v>87</v>
      </c>
      <c r="H6077" s="2">
        <v>598</v>
      </c>
      <c r="I6077" s="2">
        <v>1841</v>
      </c>
      <c r="J6077" s="2">
        <v>3634</v>
      </c>
      <c r="K6077" s="2">
        <v>347</v>
      </c>
      <c r="L6077" s="2">
        <v>876</v>
      </c>
    </row>
    <row r="6078" spans="1:12" x14ac:dyDescent="0.25">
      <c r="A6078" s="4" t="str">
        <f>HYPERLINK("http://www.rosaceae.org/Prunus/Prunus_persica/p.persica_gdr_reftransV1_0043234","p.persica_gdr_reftransV1_0043234")</f>
        <v>p.persica_gdr_reftransV1_0043234</v>
      </c>
      <c r="B6078" s="2">
        <v>688</v>
      </c>
      <c r="C6078" s="4" t="str">
        <f>HYPERLINK("http://www.uniprot.org/uniprot/B9RML3","B9RML3")</f>
        <v>B9RML3</v>
      </c>
      <c r="D6078" s="2" t="s">
        <v>5508</v>
      </c>
      <c r="E6078" s="3">
        <v>7.2600000000000002E-62</v>
      </c>
      <c r="F6078" s="2">
        <v>536</v>
      </c>
      <c r="G6078" s="2">
        <v>51</v>
      </c>
      <c r="H6078" s="2">
        <v>226</v>
      </c>
      <c r="I6078" s="2">
        <v>27</v>
      </c>
      <c r="J6078" s="2">
        <v>686</v>
      </c>
      <c r="K6078" s="2">
        <v>213</v>
      </c>
      <c r="L6078" s="2">
        <v>432</v>
      </c>
    </row>
    <row r="6079" spans="1:12" x14ac:dyDescent="0.25">
      <c r="A6079" s="4" t="str">
        <f>HYPERLINK("http://www.rosaceae.org/Prunus/Prunus_persica/p.persica_gdr_reftransV1_0043584","p.persica_gdr_reftransV1_0043584")</f>
        <v>p.persica_gdr_reftransV1_0043584</v>
      </c>
      <c r="B6079" s="2">
        <v>1235</v>
      </c>
      <c r="C6079" s="4" t="str">
        <f>HYPERLINK("http://www.uniprot.org/uniprot/M5VWQ1","M5VWQ1")</f>
        <v>M5VWQ1</v>
      </c>
      <c r="D6079" s="2" t="s">
        <v>5509</v>
      </c>
      <c r="E6079" s="3">
        <v>0</v>
      </c>
      <c r="F6079" s="2">
        <v>1695</v>
      </c>
      <c r="G6079" s="2">
        <v>100</v>
      </c>
      <c r="H6079" s="2">
        <v>319</v>
      </c>
      <c r="I6079" s="2">
        <v>54</v>
      </c>
      <c r="J6079" s="2">
        <v>1010</v>
      </c>
      <c r="K6079" s="2">
        <v>1</v>
      </c>
      <c r="L6079" s="2">
        <v>319</v>
      </c>
    </row>
    <row r="6080" spans="1:12" x14ac:dyDescent="0.25">
      <c r="A6080" s="4" t="str">
        <f>HYPERLINK("http://www.rosaceae.org/Prunus/Prunus_persica/p.persica_gdr_reftransV1_0043934","p.persica_gdr_reftransV1_0043934")</f>
        <v>p.persica_gdr_reftransV1_0043934</v>
      </c>
      <c r="B6080" s="2">
        <v>1866</v>
      </c>
      <c r="C6080" s="4" t="str">
        <f>HYPERLINK("http://www.uniprot.org/uniprot/M5WZA3","M5WZA3")</f>
        <v>M5WZA3</v>
      </c>
      <c r="D6080" s="2" t="s">
        <v>4581</v>
      </c>
      <c r="E6080" s="3">
        <v>0</v>
      </c>
      <c r="F6080" s="2">
        <v>2329</v>
      </c>
      <c r="G6080" s="2">
        <v>100</v>
      </c>
      <c r="H6080" s="2">
        <v>482</v>
      </c>
      <c r="I6080" s="2">
        <v>257</v>
      </c>
      <c r="J6080" s="2">
        <v>1702</v>
      </c>
      <c r="K6080" s="2">
        <v>1</v>
      </c>
      <c r="L6080" s="2">
        <v>482</v>
      </c>
    </row>
    <row r="6081" spans="1:12" x14ac:dyDescent="0.25">
      <c r="A6081" s="4" t="str">
        <f>HYPERLINK("http://www.rosaceae.org/Prunus/Prunus_persica/p.persica_gdr_reftransV1_0044284","p.persica_gdr_reftransV1_0044284")</f>
        <v>p.persica_gdr_reftransV1_0044284</v>
      </c>
      <c r="B6081" s="2">
        <v>501</v>
      </c>
      <c r="C6081" s="4" t="str">
        <f>HYPERLINK("http://www.uniprot.org/uniprot/M5WIQ7","M5WIQ7")</f>
        <v>M5WIQ7</v>
      </c>
      <c r="D6081" s="2" t="s">
        <v>5510</v>
      </c>
      <c r="E6081" s="3">
        <v>2.5700000000000001E-76</v>
      </c>
      <c r="F6081" s="2">
        <v>657</v>
      </c>
      <c r="G6081" s="2">
        <v>93</v>
      </c>
      <c r="H6081" s="2">
        <v>165</v>
      </c>
      <c r="I6081" s="2">
        <v>2</v>
      </c>
      <c r="J6081" s="2">
        <v>493</v>
      </c>
      <c r="K6081" s="2">
        <v>132</v>
      </c>
      <c r="L6081" s="2">
        <v>296</v>
      </c>
    </row>
    <row r="6082" spans="1:12" x14ac:dyDescent="0.25">
      <c r="A6082" s="4" t="str">
        <f>HYPERLINK("http://www.rosaceae.org/Prunus/Prunus_persica/p.persica_gdr_reftransV1_0044634","p.persica_gdr_reftransV1_0044634")</f>
        <v>p.persica_gdr_reftransV1_0044634</v>
      </c>
      <c r="B6082" s="2">
        <v>1401</v>
      </c>
      <c r="C6082" s="4" t="str">
        <f>HYPERLINK("http://www.uniprot.org/uniprot/M5W9Y8","M5W9Y8")</f>
        <v>M5W9Y8</v>
      </c>
      <c r="D6082" s="2" t="s">
        <v>5511</v>
      </c>
      <c r="E6082" s="3">
        <v>0</v>
      </c>
      <c r="F6082" s="2">
        <v>1655</v>
      </c>
      <c r="G6082" s="2">
        <v>98</v>
      </c>
      <c r="H6082" s="2">
        <v>312</v>
      </c>
      <c r="I6082" s="2">
        <v>50</v>
      </c>
      <c r="J6082" s="2">
        <v>985</v>
      </c>
      <c r="K6082" s="2">
        <v>1</v>
      </c>
      <c r="L6082" s="2">
        <v>312</v>
      </c>
    </row>
    <row r="6083" spans="1:12" x14ac:dyDescent="0.25">
      <c r="A6083" s="4" t="str">
        <f>HYPERLINK("http://www.rosaceae.org/Prunus/Prunus_persica/p.persica_gdr_reftransV1_0046034","p.persica_gdr_reftransV1_0046034")</f>
        <v>p.persica_gdr_reftransV1_0046034</v>
      </c>
      <c r="B6083" s="2">
        <v>1779</v>
      </c>
      <c r="C6083" s="4" t="str">
        <f>HYPERLINK("http://www.uniprot.org/uniprot/M5WCW0","M5WCW0")</f>
        <v>M5WCW0</v>
      </c>
      <c r="D6083" s="2" t="s">
        <v>5512</v>
      </c>
      <c r="E6083" s="3">
        <v>0</v>
      </c>
      <c r="F6083" s="2">
        <v>2178</v>
      </c>
      <c r="G6083" s="2">
        <v>100</v>
      </c>
      <c r="H6083" s="2">
        <v>496</v>
      </c>
      <c r="I6083" s="2">
        <v>100</v>
      </c>
      <c r="J6083" s="2">
        <v>1587</v>
      </c>
      <c r="K6083" s="2">
        <v>1</v>
      </c>
      <c r="L6083" s="2">
        <v>496</v>
      </c>
    </row>
    <row r="6084" spans="1:12" x14ac:dyDescent="0.25">
      <c r="A6084" s="4" t="str">
        <f>HYPERLINK("http://www.rosaceae.org/Prunus/Prunus_persica/p.persica_gdr_reftransV1_0046734","p.persica_gdr_reftransV1_0046734")</f>
        <v>p.persica_gdr_reftransV1_0046734</v>
      </c>
      <c r="B6084" s="2">
        <v>1911</v>
      </c>
      <c r="C6084" s="4" t="str">
        <f>HYPERLINK("http://www.uniprot.org/uniprot/M5XDU7","M5XDU7")</f>
        <v>M5XDU7</v>
      </c>
      <c r="D6084" s="2" t="s">
        <v>5513</v>
      </c>
      <c r="E6084" s="3">
        <v>2.32E-120</v>
      </c>
      <c r="F6084" s="2">
        <v>991</v>
      </c>
      <c r="G6084" s="2">
        <v>100</v>
      </c>
      <c r="H6084" s="2">
        <v>247</v>
      </c>
      <c r="I6084" s="2">
        <v>1030</v>
      </c>
      <c r="J6084" s="2">
        <v>1770</v>
      </c>
      <c r="K6084" s="2">
        <v>478</v>
      </c>
      <c r="L6084" s="2">
        <v>724</v>
      </c>
    </row>
    <row r="6085" spans="1:12" x14ac:dyDescent="0.25">
      <c r="A6085" s="4" t="str">
        <f>HYPERLINK("http://www.rosaceae.org/Prunus/Prunus_persica/p.persica_gdr_reftransV1_0047084","p.persica_gdr_reftransV1_0047084")</f>
        <v>p.persica_gdr_reftransV1_0047084</v>
      </c>
      <c r="B6085" s="2">
        <v>1755</v>
      </c>
      <c r="C6085" s="4" t="str">
        <f>HYPERLINK("http://www.uniprot.org/uniprot/M5XUR5","M5XUR5")</f>
        <v>M5XUR5</v>
      </c>
      <c r="D6085" s="2" t="s">
        <v>5514</v>
      </c>
      <c r="E6085" s="3">
        <v>0</v>
      </c>
      <c r="F6085" s="2">
        <v>2483</v>
      </c>
      <c r="G6085" s="2">
        <v>99</v>
      </c>
      <c r="H6085" s="2">
        <v>466</v>
      </c>
      <c r="I6085" s="2">
        <v>136</v>
      </c>
      <c r="J6085" s="2">
        <v>1533</v>
      </c>
      <c r="K6085" s="2">
        <v>1</v>
      </c>
      <c r="L6085" s="2">
        <v>463</v>
      </c>
    </row>
    <row r="6086" spans="1:12" x14ac:dyDescent="0.25">
      <c r="A6086" s="4" t="str">
        <f>HYPERLINK("http://www.rosaceae.org/Prunus/Prunus_persica/p.persica_gdr_reftransV1_0047784","p.persica_gdr_reftransV1_0047784")</f>
        <v>p.persica_gdr_reftransV1_0047784</v>
      </c>
      <c r="B6086" s="2">
        <v>550</v>
      </c>
      <c r="C6086" s="4" t="str">
        <f>HYPERLINK("http://www.uniprot.org/uniprot/M5WH16","M5WH16")</f>
        <v>M5WH16</v>
      </c>
      <c r="D6086" s="2" t="s">
        <v>5515</v>
      </c>
      <c r="E6086" s="3">
        <v>2.72E-73</v>
      </c>
      <c r="F6086" s="2">
        <v>606</v>
      </c>
      <c r="G6086" s="2">
        <v>80</v>
      </c>
      <c r="H6086" s="2">
        <v>158</v>
      </c>
      <c r="I6086" s="2">
        <v>3</v>
      </c>
      <c r="J6086" s="2">
        <v>476</v>
      </c>
      <c r="K6086" s="2">
        <v>10</v>
      </c>
      <c r="L6086" s="2">
        <v>135</v>
      </c>
    </row>
    <row r="6087" spans="1:12" x14ac:dyDescent="0.25">
      <c r="A6087" s="4" t="str">
        <f>HYPERLINK("http://www.rosaceae.org/Prunus/Prunus_persica/p.persica_gdr_reftransV1_0048134","p.persica_gdr_reftransV1_0048134")</f>
        <v>p.persica_gdr_reftransV1_0048134</v>
      </c>
      <c r="B6087" s="2">
        <v>412</v>
      </c>
      <c r="C6087" s="4" t="str">
        <f>HYPERLINK("http://www.uniprot.org/uniprot/M5X2R3","M5X2R3")</f>
        <v>M5X2R3</v>
      </c>
      <c r="D6087" s="2" t="s">
        <v>5516</v>
      </c>
      <c r="E6087" s="3">
        <v>7.8300000000000008E-93</v>
      </c>
      <c r="F6087" s="2">
        <v>740</v>
      </c>
      <c r="G6087" s="2">
        <v>97</v>
      </c>
      <c r="H6087" s="2">
        <v>137</v>
      </c>
      <c r="I6087" s="2">
        <v>2</v>
      </c>
      <c r="J6087" s="2">
        <v>412</v>
      </c>
      <c r="K6087" s="2">
        <v>136</v>
      </c>
      <c r="L6087" s="2">
        <v>272</v>
      </c>
    </row>
    <row r="6088" spans="1:12" x14ac:dyDescent="0.25">
      <c r="A6088" s="4" t="str">
        <f>HYPERLINK("http://www.rosaceae.org/Prunus/Prunus_persica/p.persica_gdr_reftransV1_0048484","p.persica_gdr_reftransV1_0048484")</f>
        <v>p.persica_gdr_reftransV1_0048484</v>
      </c>
      <c r="B6088" s="2">
        <v>354</v>
      </c>
      <c r="C6088" s="4" t="str">
        <f>HYPERLINK("http://www.uniprot.org/uniprot/M5WE45","M5WE45")</f>
        <v>M5WE45</v>
      </c>
      <c r="D6088" s="2" t="s">
        <v>5517</v>
      </c>
      <c r="E6088" s="3">
        <v>4.4E-73</v>
      </c>
      <c r="F6088" s="2">
        <v>622</v>
      </c>
      <c r="G6088" s="2">
        <v>100</v>
      </c>
      <c r="H6088" s="2">
        <v>117</v>
      </c>
      <c r="I6088" s="2">
        <v>3</v>
      </c>
      <c r="J6088" s="2">
        <v>353</v>
      </c>
      <c r="K6088" s="2">
        <v>2</v>
      </c>
      <c r="L6088" s="2">
        <v>118</v>
      </c>
    </row>
    <row r="6089" spans="1:12" x14ac:dyDescent="0.25">
      <c r="A6089" s="4" t="str">
        <f>HYPERLINK("http://www.rosaceae.org/Prunus/Prunus_persica/p.persica_gdr_reftransV1_0048834","p.persica_gdr_reftransV1_0048834")</f>
        <v>p.persica_gdr_reftransV1_0048834</v>
      </c>
      <c r="B6089" s="2">
        <v>3240</v>
      </c>
      <c r="C6089" s="4" t="str">
        <f>HYPERLINK("http://www.uniprot.org/uniprot/A0A097F6G8","A0A097F6G8")</f>
        <v>A0A097F6G8</v>
      </c>
      <c r="D6089" s="2" t="s">
        <v>5518</v>
      </c>
      <c r="E6089" s="3">
        <v>0</v>
      </c>
      <c r="F6089" s="2">
        <v>3064</v>
      </c>
      <c r="G6089" s="2">
        <v>98</v>
      </c>
      <c r="H6089" s="2">
        <v>610</v>
      </c>
      <c r="I6089" s="2">
        <v>1072</v>
      </c>
      <c r="J6089" s="2">
        <v>2901</v>
      </c>
      <c r="K6089" s="2">
        <v>23</v>
      </c>
      <c r="L6089" s="2">
        <v>632</v>
      </c>
    </row>
    <row r="6090" spans="1:12" x14ac:dyDescent="0.25">
      <c r="A6090" s="4" t="str">
        <f>HYPERLINK("http://www.rosaceae.org/Prunus/Prunus_persica/p.persica_gdr_reftransV1_0049184","p.persica_gdr_reftransV1_0049184")</f>
        <v>p.persica_gdr_reftransV1_0049184</v>
      </c>
      <c r="B6090" s="2">
        <v>2892</v>
      </c>
      <c r="C6090" s="4" t="str">
        <f>HYPERLINK("http://www.uniprot.org/uniprot/M5WR87","M5WR87")</f>
        <v>M5WR87</v>
      </c>
      <c r="D6090" s="2" t="s">
        <v>5519</v>
      </c>
      <c r="E6090" s="3">
        <v>0</v>
      </c>
      <c r="F6090" s="2">
        <v>3458</v>
      </c>
      <c r="G6090" s="2">
        <v>100</v>
      </c>
      <c r="H6090" s="2">
        <v>695</v>
      </c>
      <c r="I6090" s="2">
        <v>421</v>
      </c>
      <c r="J6090" s="2">
        <v>2505</v>
      </c>
      <c r="K6090" s="2">
        <v>1</v>
      </c>
      <c r="L6090" s="2">
        <v>695</v>
      </c>
    </row>
    <row r="6091" spans="1:12" x14ac:dyDescent="0.25">
      <c r="A6091" s="4" t="str">
        <f>HYPERLINK("http://www.rosaceae.org/Prunus/Prunus_persica/p.persica_gdr_reftransV1_0000535","p.persica_gdr_reftransV1_0000535")</f>
        <v>p.persica_gdr_reftransV1_0000535</v>
      </c>
      <c r="B6091" s="2">
        <v>1565</v>
      </c>
      <c r="C6091" s="4" t="str">
        <f>HYPERLINK("http://www.uniprot.org/uniprot/M5VLU3","M5VLU3")</f>
        <v>M5VLU3</v>
      </c>
      <c r="D6091" s="2" t="s">
        <v>1589</v>
      </c>
      <c r="E6091" s="3">
        <v>0</v>
      </c>
      <c r="F6091" s="2">
        <v>2530</v>
      </c>
      <c r="G6091" s="2">
        <v>98</v>
      </c>
      <c r="H6091" s="2">
        <v>521</v>
      </c>
      <c r="I6091" s="2">
        <v>3</v>
      </c>
      <c r="J6091" s="2">
        <v>1565</v>
      </c>
      <c r="K6091" s="2">
        <v>850</v>
      </c>
      <c r="L6091" s="2">
        <v>1357</v>
      </c>
    </row>
    <row r="6092" spans="1:12" x14ac:dyDescent="0.25">
      <c r="A6092" s="4" t="str">
        <f>HYPERLINK("http://www.rosaceae.org/Prunus/Prunus_persica/p.persica_gdr_reftransV1_0000885","p.persica_gdr_reftransV1_0000885")</f>
        <v>p.persica_gdr_reftransV1_0000885</v>
      </c>
      <c r="B6092" s="2">
        <v>3385</v>
      </c>
      <c r="C6092" s="4" t="str">
        <f>HYPERLINK("http://www.uniprot.org/uniprot/M5XML4","M5XML4")</f>
        <v>M5XML4</v>
      </c>
      <c r="D6092" s="2" t="s">
        <v>5520</v>
      </c>
      <c r="E6092" s="3">
        <v>0</v>
      </c>
      <c r="F6092" s="2">
        <v>3231</v>
      </c>
      <c r="G6092" s="2">
        <v>100</v>
      </c>
      <c r="H6092" s="2">
        <v>653</v>
      </c>
      <c r="I6092" s="2">
        <v>280</v>
      </c>
      <c r="J6092" s="2">
        <v>2238</v>
      </c>
      <c r="K6092" s="2">
        <v>1</v>
      </c>
      <c r="L6092" s="2">
        <v>653</v>
      </c>
    </row>
    <row r="6093" spans="1:12" x14ac:dyDescent="0.25">
      <c r="A6093" s="4" t="str">
        <f>HYPERLINK("http://www.rosaceae.org/Prunus/Prunus_persica/p.persica_gdr_reftransV1_0001935","p.persica_gdr_reftransV1_0001935")</f>
        <v>p.persica_gdr_reftransV1_0001935</v>
      </c>
      <c r="B6093" s="2">
        <v>2777</v>
      </c>
      <c r="C6093" s="4" t="str">
        <f>HYPERLINK("http://www.uniprot.org/uniprot/M5WNI3","M5WNI3")</f>
        <v>M5WNI3</v>
      </c>
      <c r="D6093" s="2" t="s">
        <v>5521</v>
      </c>
      <c r="E6093" s="3">
        <v>0</v>
      </c>
      <c r="F6093" s="2">
        <v>3784</v>
      </c>
      <c r="G6093" s="2">
        <v>92</v>
      </c>
      <c r="H6093" s="2">
        <v>792</v>
      </c>
      <c r="I6093" s="2">
        <v>15</v>
      </c>
      <c r="J6093" s="2">
        <v>2387</v>
      </c>
      <c r="K6093" s="2">
        <v>1</v>
      </c>
      <c r="L6093" s="2">
        <v>760</v>
      </c>
    </row>
    <row r="6094" spans="1:12" x14ac:dyDescent="0.25">
      <c r="A6094" s="4" t="str">
        <f>HYPERLINK("http://www.rosaceae.org/Prunus/Prunus_persica/p.persica_gdr_reftransV1_0002285","p.persica_gdr_reftransV1_0002285")</f>
        <v>p.persica_gdr_reftransV1_0002285</v>
      </c>
      <c r="B6094" s="2">
        <v>799</v>
      </c>
      <c r="C6094" s="4" t="str">
        <f>HYPERLINK("http://www.uniprot.org/uniprot/V6RK66","V6RK66")</f>
        <v>V6RK66</v>
      </c>
      <c r="D6094" s="2" t="s">
        <v>5522</v>
      </c>
      <c r="E6094" s="3">
        <v>1.5300000000000001E-167</v>
      </c>
      <c r="F6094" s="2">
        <v>1252</v>
      </c>
      <c r="G6094" s="2">
        <v>95</v>
      </c>
      <c r="H6094" s="2">
        <v>266</v>
      </c>
      <c r="I6094" s="2">
        <v>2</v>
      </c>
      <c r="J6094" s="2">
        <v>799</v>
      </c>
      <c r="K6094" s="2">
        <v>135</v>
      </c>
      <c r="L6094" s="2">
        <v>400</v>
      </c>
    </row>
    <row r="6095" spans="1:12" x14ac:dyDescent="0.25">
      <c r="A6095" s="4" t="str">
        <f>HYPERLINK("http://www.rosaceae.org/Prunus/Prunus_persica/p.persica_gdr_reftransV1_0002635","p.persica_gdr_reftransV1_0002635")</f>
        <v>p.persica_gdr_reftransV1_0002635</v>
      </c>
      <c r="B6095" s="2">
        <v>323</v>
      </c>
      <c r="C6095" s="4" t="str">
        <f>HYPERLINK("http://www.uniprot.org/uniprot/A0A084R8S5","A0A084R8S5")</f>
        <v>A0A084R8S5</v>
      </c>
      <c r="D6095" s="2" t="s">
        <v>5523</v>
      </c>
      <c r="E6095" s="3">
        <v>7.8699999999999995E-73</v>
      </c>
      <c r="F6095" s="2">
        <v>578</v>
      </c>
      <c r="G6095" s="2">
        <v>100</v>
      </c>
      <c r="H6095" s="2">
        <v>107</v>
      </c>
      <c r="I6095" s="2">
        <v>2</v>
      </c>
      <c r="J6095" s="2">
        <v>322</v>
      </c>
      <c r="K6095" s="2">
        <v>79</v>
      </c>
      <c r="L6095" s="2">
        <v>185</v>
      </c>
    </row>
    <row r="6096" spans="1:12" x14ac:dyDescent="0.25">
      <c r="A6096" s="4" t="str">
        <f>HYPERLINK("http://www.rosaceae.org/Prunus/Prunus_persica/p.persica_gdr_reftransV1_0003335","p.persica_gdr_reftransV1_0003335")</f>
        <v>p.persica_gdr_reftransV1_0003335</v>
      </c>
      <c r="B6096" s="2">
        <v>2271</v>
      </c>
      <c r="C6096" s="4" t="str">
        <f>HYPERLINK("http://www.uniprot.org/uniprot/M5WMV6","M5WMV6")</f>
        <v>M5WMV6</v>
      </c>
      <c r="D6096" s="2" t="s">
        <v>5524</v>
      </c>
      <c r="E6096" s="3">
        <v>0</v>
      </c>
      <c r="F6096" s="2">
        <v>2699</v>
      </c>
      <c r="G6096" s="2">
        <v>100</v>
      </c>
      <c r="H6096" s="2">
        <v>510</v>
      </c>
      <c r="I6096" s="2">
        <v>312</v>
      </c>
      <c r="J6096" s="2">
        <v>1841</v>
      </c>
      <c r="K6096" s="2">
        <v>1</v>
      </c>
      <c r="L6096" s="2">
        <v>510</v>
      </c>
    </row>
    <row r="6097" spans="1:12" x14ac:dyDescent="0.25">
      <c r="A6097" s="4" t="str">
        <f>HYPERLINK("http://www.rosaceae.org/Prunus/Prunus_persica/p.persica_gdr_reftransV1_0003685","p.persica_gdr_reftransV1_0003685")</f>
        <v>p.persica_gdr_reftransV1_0003685</v>
      </c>
      <c r="B6097" s="2">
        <v>3894</v>
      </c>
      <c r="C6097" s="4" t="str">
        <f>HYPERLINK("http://www.uniprot.org/uniprot/M5W570","M5W570")</f>
        <v>M5W570</v>
      </c>
      <c r="D6097" s="2" t="s">
        <v>5525</v>
      </c>
      <c r="E6097" s="3">
        <v>0</v>
      </c>
      <c r="F6097" s="2">
        <v>3553</v>
      </c>
      <c r="G6097" s="2">
        <v>100</v>
      </c>
      <c r="H6097" s="2">
        <v>749</v>
      </c>
      <c r="I6097" s="2">
        <v>265</v>
      </c>
      <c r="J6097" s="2">
        <v>2511</v>
      </c>
      <c r="K6097" s="2">
        <v>367</v>
      </c>
      <c r="L6097" s="2">
        <v>1115</v>
      </c>
    </row>
    <row r="6098" spans="1:12" x14ac:dyDescent="0.25">
      <c r="A6098" s="4" t="str">
        <f>HYPERLINK("http://www.rosaceae.org/Prunus/Prunus_persica/p.persica_gdr_reftransV1_0004035","p.persica_gdr_reftransV1_0004035")</f>
        <v>p.persica_gdr_reftransV1_0004035</v>
      </c>
      <c r="B6098" s="2">
        <v>302</v>
      </c>
      <c r="C6098" s="4" t="str">
        <f>HYPERLINK("http://www.uniprot.org/uniprot/I1S269","I1S269")</f>
        <v>I1S269</v>
      </c>
      <c r="D6098" s="2" t="s">
        <v>5526</v>
      </c>
      <c r="E6098" s="3">
        <v>7.1800000000000003E-59</v>
      </c>
      <c r="F6098" s="2">
        <v>496</v>
      </c>
      <c r="G6098" s="2">
        <v>95</v>
      </c>
      <c r="H6098" s="2">
        <v>100</v>
      </c>
      <c r="I6098" s="2">
        <v>1</v>
      </c>
      <c r="J6098" s="2">
        <v>300</v>
      </c>
      <c r="K6098" s="2">
        <v>189</v>
      </c>
      <c r="L6098" s="2">
        <v>288</v>
      </c>
    </row>
    <row r="6099" spans="1:12" x14ac:dyDescent="0.25">
      <c r="A6099" s="4" t="str">
        <f>HYPERLINK("http://www.rosaceae.org/Prunus/Prunus_persica/p.persica_gdr_reftransV1_0004385","p.persica_gdr_reftransV1_0004385")</f>
        <v>p.persica_gdr_reftransV1_0004385</v>
      </c>
      <c r="B6099" s="2">
        <v>713</v>
      </c>
      <c r="C6099" s="4" t="str">
        <f>HYPERLINK("http://www.uniprot.org/uniprot/M5W2C0","M5W2C0")</f>
        <v>M5W2C0</v>
      </c>
      <c r="D6099" s="2" t="s">
        <v>5355</v>
      </c>
      <c r="E6099" s="3">
        <v>2.3499999999999998E-109</v>
      </c>
      <c r="F6099" s="2">
        <v>837</v>
      </c>
      <c r="G6099" s="2">
        <v>100</v>
      </c>
      <c r="H6099" s="2">
        <v>191</v>
      </c>
      <c r="I6099" s="2">
        <v>141</v>
      </c>
      <c r="J6099" s="2">
        <v>713</v>
      </c>
      <c r="K6099" s="2">
        <v>57</v>
      </c>
      <c r="L6099" s="2">
        <v>247</v>
      </c>
    </row>
    <row r="6100" spans="1:12" x14ac:dyDescent="0.25">
      <c r="A6100" s="4" t="str">
        <f>HYPERLINK("http://www.rosaceae.org/Prunus/Prunus_persica/p.persica_gdr_reftransV1_0005085","p.persica_gdr_reftransV1_0005085")</f>
        <v>p.persica_gdr_reftransV1_0005085</v>
      </c>
      <c r="B6100" s="2">
        <v>2496</v>
      </c>
      <c r="C6100" s="4" t="str">
        <f>HYPERLINK("http://www.uniprot.org/uniprot/M5XQZ5","M5XQZ5")</f>
        <v>M5XQZ5</v>
      </c>
      <c r="D6100" s="2" t="s">
        <v>4583</v>
      </c>
      <c r="E6100" s="3">
        <v>0</v>
      </c>
      <c r="F6100" s="2">
        <v>2488</v>
      </c>
      <c r="G6100" s="2">
        <v>100</v>
      </c>
      <c r="H6100" s="2">
        <v>483</v>
      </c>
      <c r="I6100" s="2">
        <v>558</v>
      </c>
      <c r="J6100" s="2">
        <v>2006</v>
      </c>
      <c r="K6100" s="2">
        <v>1</v>
      </c>
      <c r="L6100" s="2">
        <v>483</v>
      </c>
    </row>
    <row r="6101" spans="1:12" x14ac:dyDescent="0.25">
      <c r="A6101" s="4" t="str">
        <f>HYPERLINK("http://www.rosaceae.org/Prunus/Prunus_persica/p.persica_gdr_reftransV1_0005435","p.persica_gdr_reftransV1_0005435")</f>
        <v>p.persica_gdr_reftransV1_0005435</v>
      </c>
      <c r="B6101" s="2">
        <v>1142</v>
      </c>
      <c r="C6101" s="4" t="str">
        <f>HYPERLINK("http://www.uniprot.org/uniprot/M5W7A5","M5W7A5")</f>
        <v>M5W7A5</v>
      </c>
      <c r="D6101" s="2" t="s">
        <v>228</v>
      </c>
      <c r="E6101" s="3">
        <v>0</v>
      </c>
      <c r="F6101" s="2">
        <v>1773</v>
      </c>
      <c r="G6101" s="2">
        <v>100</v>
      </c>
      <c r="H6101" s="2">
        <v>336</v>
      </c>
      <c r="I6101" s="2">
        <v>125</v>
      </c>
      <c r="J6101" s="2">
        <v>1132</v>
      </c>
      <c r="K6101" s="2">
        <v>1</v>
      </c>
      <c r="L6101" s="2">
        <v>336</v>
      </c>
    </row>
    <row r="6102" spans="1:12" x14ac:dyDescent="0.25">
      <c r="A6102" s="4" t="str">
        <f>HYPERLINK("http://www.rosaceae.org/Prunus/Prunus_persica/p.persica_gdr_reftransV1_0005785","p.persica_gdr_reftransV1_0005785")</f>
        <v>p.persica_gdr_reftransV1_0005785</v>
      </c>
      <c r="B6102" s="2">
        <v>309</v>
      </c>
      <c r="C6102" s="4" t="str">
        <f>HYPERLINK("http://www.uniprot.org/uniprot/M5WVD5","M5WVD5")</f>
        <v>M5WVD5</v>
      </c>
      <c r="D6102" s="2" t="s">
        <v>5527</v>
      </c>
      <c r="E6102" s="3">
        <v>8.2400000000000001E-53</v>
      </c>
      <c r="F6102" s="2">
        <v>463</v>
      </c>
      <c r="G6102" s="2">
        <v>100</v>
      </c>
      <c r="H6102" s="2">
        <v>102</v>
      </c>
      <c r="I6102" s="2">
        <v>2</v>
      </c>
      <c r="J6102" s="2">
        <v>307</v>
      </c>
      <c r="K6102" s="2">
        <v>17</v>
      </c>
      <c r="L6102" s="2">
        <v>118</v>
      </c>
    </row>
    <row r="6103" spans="1:12" x14ac:dyDescent="0.25">
      <c r="A6103" s="4" t="str">
        <f>HYPERLINK("http://www.rosaceae.org/Prunus/Prunus_persica/p.persica_gdr_reftransV1_0007185","p.persica_gdr_reftransV1_0007185")</f>
        <v>p.persica_gdr_reftransV1_0007185</v>
      </c>
      <c r="B6103" s="2">
        <v>650</v>
      </c>
      <c r="C6103" s="4" t="str">
        <f>HYPERLINK("http://www.uniprot.org/uniprot/M5XF08","M5XF08")</f>
        <v>M5XF08</v>
      </c>
      <c r="D6103" s="2" t="s">
        <v>5528</v>
      </c>
      <c r="E6103" s="3">
        <v>1.15E-72</v>
      </c>
      <c r="F6103" s="2">
        <v>603</v>
      </c>
      <c r="G6103" s="2">
        <v>100</v>
      </c>
      <c r="H6103" s="2">
        <v>114</v>
      </c>
      <c r="I6103" s="2">
        <v>308</v>
      </c>
      <c r="J6103" s="2">
        <v>649</v>
      </c>
      <c r="K6103" s="2">
        <v>1</v>
      </c>
      <c r="L6103" s="2">
        <v>114</v>
      </c>
    </row>
    <row r="6104" spans="1:12" x14ac:dyDescent="0.25">
      <c r="A6104" s="4" t="str">
        <f>HYPERLINK("http://www.rosaceae.org/Prunus/Prunus_persica/p.persica_gdr_reftransV1_0007535","p.persica_gdr_reftransV1_0007535")</f>
        <v>p.persica_gdr_reftransV1_0007535</v>
      </c>
      <c r="B6104" s="2">
        <v>647</v>
      </c>
      <c r="C6104" s="4" t="str">
        <f>HYPERLINK("http://www.uniprot.org/uniprot/M5WCE9","M5WCE9")</f>
        <v>M5WCE9</v>
      </c>
      <c r="D6104" s="2" t="s">
        <v>5529</v>
      </c>
      <c r="E6104" s="3">
        <v>2.32E-45</v>
      </c>
      <c r="F6104" s="2">
        <v>420</v>
      </c>
      <c r="G6104" s="2">
        <v>57</v>
      </c>
      <c r="H6104" s="2">
        <v>143</v>
      </c>
      <c r="I6104" s="2">
        <v>168</v>
      </c>
      <c r="J6104" s="2">
        <v>593</v>
      </c>
      <c r="K6104" s="2">
        <v>149</v>
      </c>
      <c r="L6104" s="2">
        <v>291</v>
      </c>
    </row>
    <row r="6105" spans="1:12" x14ac:dyDescent="0.25">
      <c r="A6105" s="4" t="str">
        <f>HYPERLINK("http://www.rosaceae.org/Prunus/Prunus_persica/p.persica_gdr_reftransV1_0007885","p.persica_gdr_reftransV1_0007885")</f>
        <v>p.persica_gdr_reftransV1_0007885</v>
      </c>
      <c r="B6105" s="2">
        <v>2120</v>
      </c>
      <c r="C6105" s="4" t="str">
        <f>HYPERLINK("http://www.uniprot.org/uniprot/M5XUV0","M5XUV0")</f>
        <v>M5XUV0</v>
      </c>
      <c r="D6105" s="2" t="s">
        <v>5530</v>
      </c>
      <c r="E6105" s="3">
        <v>0</v>
      </c>
      <c r="F6105" s="2">
        <v>2502</v>
      </c>
      <c r="G6105" s="2">
        <v>100</v>
      </c>
      <c r="H6105" s="2">
        <v>464</v>
      </c>
      <c r="I6105" s="2">
        <v>578</v>
      </c>
      <c r="J6105" s="2">
        <v>1969</v>
      </c>
      <c r="K6105" s="2">
        <v>1</v>
      </c>
      <c r="L6105" s="2">
        <v>464</v>
      </c>
    </row>
    <row r="6106" spans="1:12" x14ac:dyDescent="0.25">
      <c r="A6106" s="4" t="str">
        <f>HYPERLINK("http://www.rosaceae.org/Prunus/Prunus_persica/p.persica_gdr_reftransV1_0008935","p.persica_gdr_reftransV1_0008935")</f>
        <v>p.persica_gdr_reftransV1_0008935</v>
      </c>
      <c r="B6106" s="2">
        <v>1087</v>
      </c>
      <c r="C6106" s="4" t="str">
        <f>HYPERLINK("http://www.uniprot.org/uniprot/M5VVT9","M5VVT9")</f>
        <v>M5VVT9</v>
      </c>
      <c r="D6106" s="2" t="s">
        <v>45</v>
      </c>
      <c r="E6106" s="3">
        <v>1.36E-68</v>
      </c>
      <c r="F6106" s="2">
        <v>600</v>
      </c>
      <c r="G6106" s="2">
        <v>100</v>
      </c>
      <c r="H6106" s="2">
        <v>149</v>
      </c>
      <c r="I6106" s="2">
        <v>641</v>
      </c>
      <c r="J6106" s="2">
        <v>1087</v>
      </c>
      <c r="K6106" s="2">
        <v>1</v>
      </c>
      <c r="L6106" s="2">
        <v>149</v>
      </c>
    </row>
    <row r="6107" spans="1:12" x14ac:dyDescent="0.25">
      <c r="A6107" s="4" t="str">
        <f>HYPERLINK("http://www.rosaceae.org/Prunus/Prunus_persica/p.persica_gdr_reftransV1_0009285","p.persica_gdr_reftransV1_0009285")</f>
        <v>p.persica_gdr_reftransV1_0009285</v>
      </c>
      <c r="B6107" s="2">
        <v>1460</v>
      </c>
      <c r="C6107" s="4" t="str">
        <f>HYPERLINK("http://www.uniprot.org/uniprot/M5XPF8","M5XPF8")</f>
        <v>M5XPF8</v>
      </c>
      <c r="D6107" s="2" t="s">
        <v>5531</v>
      </c>
      <c r="E6107" s="3">
        <v>1.7300000000000001E-168</v>
      </c>
      <c r="F6107" s="2">
        <v>940</v>
      </c>
      <c r="G6107" s="2">
        <v>100</v>
      </c>
      <c r="H6107" s="2">
        <v>192</v>
      </c>
      <c r="I6107" s="2">
        <v>50</v>
      </c>
      <c r="J6107" s="2">
        <v>625</v>
      </c>
      <c r="K6107" s="2">
        <v>1</v>
      </c>
      <c r="L6107" s="2">
        <v>192</v>
      </c>
    </row>
    <row r="6108" spans="1:12" x14ac:dyDescent="0.25">
      <c r="A6108" s="4" t="str">
        <f>HYPERLINK("http://www.rosaceae.org/Prunus/Prunus_persica/p.persica_gdr_reftransV1_0009635","p.persica_gdr_reftransV1_0009635")</f>
        <v>p.persica_gdr_reftransV1_0009635</v>
      </c>
      <c r="B6108" s="2">
        <v>3753</v>
      </c>
      <c r="C6108" s="4" t="str">
        <f>HYPERLINK("http://www.uniprot.org/uniprot/M5VTY7","M5VTY7")</f>
        <v>M5VTY7</v>
      </c>
      <c r="D6108" s="2" t="s">
        <v>5532</v>
      </c>
      <c r="E6108" s="3">
        <v>0</v>
      </c>
      <c r="F6108" s="2">
        <v>3972</v>
      </c>
      <c r="G6108" s="2">
        <v>100</v>
      </c>
      <c r="H6108" s="2">
        <v>768</v>
      </c>
      <c r="I6108" s="2">
        <v>275</v>
      </c>
      <c r="J6108" s="2">
        <v>2578</v>
      </c>
      <c r="K6108" s="2">
        <v>83</v>
      </c>
      <c r="L6108" s="2">
        <v>850</v>
      </c>
    </row>
    <row r="6109" spans="1:12" x14ac:dyDescent="0.25">
      <c r="A6109" s="4" t="str">
        <f>HYPERLINK("http://www.rosaceae.org/Prunus/Prunus_persica/p.persica_gdr_reftransV1_0010685","p.persica_gdr_reftransV1_0010685")</f>
        <v>p.persica_gdr_reftransV1_0010685</v>
      </c>
      <c r="B6109" s="2">
        <v>454</v>
      </c>
      <c r="C6109" s="4" t="str">
        <f>HYPERLINK("http://www.uniprot.org/uniprot/M5VVK6","M5VVK6")</f>
        <v>M5VVK6</v>
      </c>
      <c r="D6109" s="2" t="s">
        <v>2206</v>
      </c>
      <c r="E6109" s="3">
        <v>9.7299999999999992E-68</v>
      </c>
      <c r="F6109" s="2">
        <v>597</v>
      </c>
      <c r="G6109" s="2">
        <v>100</v>
      </c>
      <c r="H6109" s="2">
        <v>150</v>
      </c>
      <c r="I6109" s="2">
        <v>3</v>
      </c>
      <c r="J6109" s="2">
        <v>452</v>
      </c>
      <c r="K6109" s="2">
        <v>943</v>
      </c>
      <c r="L6109" s="2">
        <v>1092</v>
      </c>
    </row>
    <row r="6110" spans="1:12" x14ac:dyDescent="0.25">
      <c r="A6110" s="4" t="str">
        <f>HYPERLINK("http://www.rosaceae.org/Prunus/Prunus_persica/p.persica_gdr_reftransV1_0011035","p.persica_gdr_reftransV1_0011035")</f>
        <v>p.persica_gdr_reftransV1_0011035</v>
      </c>
      <c r="B6110" s="2">
        <v>1146</v>
      </c>
      <c r="C6110" s="4" t="str">
        <f>HYPERLINK("http://www.uniprot.org/uniprot/M5WRK9","M5WRK9")</f>
        <v>M5WRK9</v>
      </c>
      <c r="D6110" s="2" t="s">
        <v>5533</v>
      </c>
      <c r="E6110" s="3">
        <v>1.13E-96</v>
      </c>
      <c r="F6110" s="2">
        <v>758</v>
      </c>
      <c r="G6110" s="2">
        <v>100</v>
      </c>
      <c r="H6110" s="2">
        <v>147</v>
      </c>
      <c r="I6110" s="2">
        <v>298</v>
      </c>
      <c r="J6110" s="2">
        <v>738</v>
      </c>
      <c r="K6110" s="2">
        <v>1</v>
      </c>
      <c r="L6110" s="2">
        <v>147</v>
      </c>
    </row>
    <row r="6111" spans="1:12" x14ac:dyDescent="0.25">
      <c r="A6111" s="4" t="str">
        <f>HYPERLINK("http://www.rosaceae.org/Prunus/Prunus_persica/p.persica_gdr_reftransV1_0012785","p.persica_gdr_reftransV1_0012785")</f>
        <v>p.persica_gdr_reftransV1_0012785</v>
      </c>
      <c r="B6111" s="2">
        <v>2828</v>
      </c>
      <c r="C6111" s="4" t="str">
        <f>HYPERLINK("http://www.uniprot.org/uniprot/M5WCU3","M5WCU3")</f>
        <v>M5WCU3</v>
      </c>
      <c r="D6111" s="2" t="s">
        <v>5534</v>
      </c>
      <c r="E6111" s="3">
        <v>0</v>
      </c>
      <c r="F6111" s="2">
        <v>3829</v>
      </c>
      <c r="G6111" s="2">
        <v>100</v>
      </c>
      <c r="H6111" s="2">
        <v>741</v>
      </c>
      <c r="I6111" s="2">
        <v>263</v>
      </c>
      <c r="J6111" s="2">
        <v>2485</v>
      </c>
      <c r="K6111" s="2">
        <v>20</v>
      </c>
      <c r="L6111" s="2">
        <v>760</v>
      </c>
    </row>
    <row r="6112" spans="1:12" x14ac:dyDescent="0.25">
      <c r="A6112" s="4" t="str">
        <f>HYPERLINK("http://www.rosaceae.org/Prunus/Prunus_persica/p.persica_gdr_reftransV1_0013485","p.persica_gdr_reftransV1_0013485")</f>
        <v>p.persica_gdr_reftransV1_0013485</v>
      </c>
      <c r="B6112" s="2">
        <v>795</v>
      </c>
      <c r="C6112" s="4" t="str">
        <f>HYPERLINK("http://www.uniprot.org/uniprot/M5Y7A3","M5Y7A3")</f>
        <v>M5Y7A3</v>
      </c>
      <c r="D6112" s="2" t="s">
        <v>3115</v>
      </c>
      <c r="E6112" s="3">
        <v>8.7499999999999996E-117</v>
      </c>
      <c r="F6112" s="2">
        <v>736</v>
      </c>
      <c r="G6112" s="2">
        <v>99</v>
      </c>
      <c r="H6112" s="2">
        <v>138</v>
      </c>
      <c r="I6112" s="2">
        <v>3</v>
      </c>
      <c r="J6112" s="2">
        <v>416</v>
      </c>
      <c r="K6112" s="2">
        <v>173</v>
      </c>
      <c r="L6112" s="2">
        <v>310</v>
      </c>
    </row>
    <row r="6113" spans="1:12" x14ac:dyDescent="0.25">
      <c r="A6113" s="4" t="str">
        <f>HYPERLINK("http://www.rosaceae.org/Prunus/Prunus_persica/p.persica_gdr_reftransV1_0014885","p.persica_gdr_reftransV1_0014885")</f>
        <v>p.persica_gdr_reftransV1_0014885</v>
      </c>
      <c r="B6113" s="2">
        <v>2811</v>
      </c>
      <c r="C6113" s="4" t="str">
        <f>HYPERLINK("http://www.uniprot.org/uniprot/M5XD37","M5XD37")</f>
        <v>M5XD37</v>
      </c>
      <c r="D6113" s="2" t="s">
        <v>5535</v>
      </c>
      <c r="E6113" s="3">
        <v>6.4000000000000003E-172</v>
      </c>
      <c r="F6113" s="2">
        <v>1341</v>
      </c>
      <c r="G6113" s="2">
        <v>95</v>
      </c>
      <c r="H6113" s="2">
        <v>266</v>
      </c>
      <c r="I6113" s="2">
        <v>1710</v>
      </c>
      <c r="J6113" s="2">
        <v>2507</v>
      </c>
      <c r="K6113" s="2">
        <v>217</v>
      </c>
      <c r="L6113" s="2">
        <v>477</v>
      </c>
    </row>
    <row r="6114" spans="1:12" x14ac:dyDescent="0.25">
      <c r="A6114" s="4" t="str">
        <f>HYPERLINK("http://www.rosaceae.org/Prunus/Prunus_persica/p.persica_gdr_reftransV1_0015585","p.persica_gdr_reftransV1_0015585")</f>
        <v>p.persica_gdr_reftransV1_0015585</v>
      </c>
      <c r="B6114" s="2">
        <v>1271</v>
      </c>
      <c r="C6114" s="4" t="str">
        <f>HYPERLINK("http://www.uniprot.org/uniprot/M5XR43","M5XR43")</f>
        <v>M5XR43</v>
      </c>
      <c r="D6114" s="2" t="s">
        <v>5536</v>
      </c>
      <c r="E6114" s="3">
        <v>2.0900000000000001E-142</v>
      </c>
      <c r="F6114" s="2">
        <v>1070</v>
      </c>
      <c r="G6114" s="2">
        <v>100</v>
      </c>
      <c r="H6114" s="2">
        <v>200</v>
      </c>
      <c r="I6114" s="2">
        <v>126</v>
      </c>
      <c r="J6114" s="2">
        <v>725</v>
      </c>
      <c r="K6114" s="2">
        <v>1</v>
      </c>
      <c r="L6114" s="2">
        <v>200</v>
      </c>
    </row>
    <row r="6115" spans="1:12" x14ac:dyDescent="0.25">
      <c r="A6115" s="4" t="str">
        <f>HYPERLINK("http://www.rosaceae.org/Prunus/Prunus_persica/p.persica_gdr_reftransV1_0016635","p.persica_gdr_reftransV1_0016635")</f>
        <v>p.persica_gdr_reftransV1_0016635</v>
      </c>
      <c r="B6115" s="2">
        <v>2284</v>
      </c>
      <c r="C6115" s="4" t="str">
        <f>HYPERLINK("http://www.uniprot.org/uniprot/M5VWU1","M5VWU1")</f>
        <v>M5VWU1</v>
      </c>
      <c r="D6115" s="2" t="s">
        <v>5537</v>
      </c>
      <c r="E6115" s="3">
        <v>0</v>
      </c>
      <c r="F6115" s="2">
        <v>2135</v>
      </c>
      <c r="G6115" s="2">
        <v>100</v>
      </c>
      <c r="H6115" s="2">
        <v>449</v>
      </c>
      <c r="I6115" s="2">
        <v>54</v>
      </c>
      <c r="J6115" s="2">
        <v>1400</v>
      </c>
      <c r="K6115" s="2">
        <v>1</v>
      </c>
      <c r="L6115" s="2">
        <v>449</v>
      </c>
    </row>
    <row r="6116" spans="1:12" x14ac:dyDescent="0.25">
      <c r="A6116" s="4" t="str">
        <f>HYPERLINK("http://www.rosaceae.org/Prunus/Prunus_persica/p.persica_gdr_reftransV1_0017685","p.persica_gdr_reftransV1_0017685")</f>
        <v>p.persica_gdr_reftransV1_0017685</v>
      </c>
      <c r="B6116" s="2">
        <v>546</v>
      </c>
      <c r="C6116" s="4" t="str">
        <f>HYPERLINK("http://www.uniprot.org/uniprot/M5WK68","M5WK68")</f>
        <v>M5WK68</v>
      </c>
      <c r="D6116" s="2" t="s">
        <v>5538</v>
      </c>
      <c r="E6116" s="3">
        <v>1.92E-46</v>
      </c>
      <c r="F6116" s="2">
        <v>432</v>
      </c>
      <c r="G6116" s="2">
        <v>100</v>
      </c>
      <c r="H6116" s="2">
        <v>74</v>
      </c>
      <c r="I6116" s="2">
        <v>3</v>
      </c>
      <c r="J6116" s="2">
        <v>224</v>
      </c>
      <c r="K6116" s="2">
        <v>559</v>
      </c>
      <c r="L6116" s="2">
        <v>632</v>
      </c>
    </row>
    <row r="6117" spans="1:12" x14ac:dyDescent="0.25">
      <c r="A6117" s="4" t="str">
        <f>HYPERLINK("http://www.rosaceae.org/Prunus/Prunus_persica/p.persica_gdr_reftransV1_0019085","p.persica_gdr_reftransV1_0019085")</f>
        <v>p.persica_gdr_reftransV1_0019085</v>
      </c>
      <c r="B6117" s="2">
        <v>1742</v>
      </c>
      <c r="C6117" s="4" t="str">
        <f>HYPERLINK("http://www.uniprot.org/uniprot/M5XSJ8","M5XSJ8")</f>
        <v>M5XSJ8</v>
      </c>
      <c r="D6117" s="2" t="s">
        <v>5539</v>
      </c>
      <c r="E6117" s="3">
        <v>0</v>
      </c>
      <c r="F6117" s="2">
        <v>1018</v>
      </c>
      <c r="G6117" s="2">
        <v>99</v>
      </c>
      <c r="H6117" s="2">
        <v>196</v>
      </c>
      <c r="I6117" s="2">
        <v>234</v>
      </c>
      <c r="J6117" s="2">
        <v>818</v>
      </c>
      <c r="K6117" s="2">
        <v>215</v>
      </c>
      <c r="L6117" s="2">
        <v>410</v>
      </c>
    </row>
    <row r="6118" spans="1:12" x14ac:dyDescent="0.25">
      <c r="A6118" s="4" t="str">
        <f>HYPERLINK("http://www.rosaceae.org/Prunus/Prunus_persica/p.persica_gdr_reftransV1_0019435","p.persica_gdr_reftransV1_0019435")</f>
        <v>p.persica_gdr_reftransV1_0019435</v>
      </c>
      <c r="B6118" s="2">
        <v>2090</v>
      </c>
      <c r="C6118" s="4" t="str">
        <f>HYPERLINK("http://www.uniprot.org/uniprot/M5W276","M5W276")</f>
        <v>M5W276</v>
      </c>
      <c r="D6118" s="2" t="s">
        <v>5540</v>
      </c>
      <c r="E6118" s="3">
        <v>0</v>
      </c>
      <c r="F6118" s="2">
        <v>1446</v>
      </c>
      <c r="G6118" s="2">
        <v>95</v>
      </c>
      <c r="H6118" s="2">
        <v>326</v>
      </c>
      <c r="I6118" s="2">
        <v>769</v>
      </c>
      <c r="J6118" s="2">
        <v>1746</v>
      </c>
      <c r="K6118" s="2">
        <v>1</v>
      </c>
      <c r="L6118" s="2">
        <v>326</v>
      </c>
    </row>
    <row r="6119" spans="1:12" x14ac:dyDescent="0.25">
      <c r="A6119" s="4" t="str">
        <f>HYPERLINK("http://www.rosaceae.org/Prunus/Prunus_persica/p.persica_gdr_reftransV1_0025385","p.persica_gdr_reftransV1_0025385")</f>
        <v>p.persica_gdr_reftransV1_0025385</v>
      </c>
      <c r="B6119" s="2">
        <v>464</v>
      </c>
      <c r="C6119" s="4" t="str">
        <f>HYPERLINK("http://www.uniprot.org/uniprot/M5VY19","M5VY19")</f>
        <v>M5VY19</v>
      </c>
      <c r="D6119" s="2" t="s">
        <v>5541</v>
      </c>
      <c r="E6119" s="3">
        <v>1.6900000000000001E-92</v>
      </c>
      <c r="F6119" s="2">
        <v>735</v>
      </c>
      <c r="G6119" s="2">
        <v>100</v>
      </c>
      <c r="H6119" s="2">
        <v>136</v>
      </c>
      <c r="I6119" s="2">
        <v>1</v>
      </c>
      <c r="J6119" s="2">
        <v>408</v>
      </c>
      <c r="K6119" s="2">
        <v>328</v>
      </c>
      <c r="L6119" s="2">
        <v>463</v>
      </c>
    </row>
    <row r="6120" spans="1:12" x14ac:dyDescent="0.25">
      <c r="A6120" s="4" t="str">
        <f>HYPERLINK("http://www.rosaceae.org/Prunus/Prunus_persica/p.persica_gdr_reftransV1_0026435","p.persica_gdr_reftransV1_0026435")</f>
        <v>p.persica_gdr_reftransV1_0026435</v>
      </c>
      <c r="B6120" s="2">
        <v>2840</v>
      </c>
      <c r="C6120" s="4" t="str">
        <f>HYPERLINK("http://www.uniprot.org/uniprot/M5XK84","M5XK84")</f>
        <v>M5XK84</v>
      </c>
      <c r="D6120" s="2" t="s">
        <v>3710</v>
      </c>
      <c r="E6120" s="3">
        <v>0</v>
      </c>
      <c r="F6120" s="2">
        <v>2305</v>
      </c>
      <c r="G6120" s="2">
        <v>100</v>
      </c>
      <c r="H6120" s="2">
        <v>440</v>
      </c>
      <c r="I6120" s="2">
        <v>676</v>
      </c>
      <c r="J6120" s="2">
        <v>1995</v>
      </c>
      <c r="K6120" s="2">
        <v>237</v>
      </c>
      <c r="L6120" s="2">
        <v>675</v>
      </c>
    </row>
    <row r="6121" spans="1:12" x14ac:dyDescent="0.25">
      <c r="A6121" s="4" t="str">
        <f>HYPERLINK("http://www.rosaceae.org/Prunus/Prunus_persica/p.persica_gdr_reftransV1_0027135","p.persica_gdr_reftransV1_0027135")</f>
        <v>p.persica_gdr_reftransV1_0027135</v>
      </c>
      <c r="B6121" s="2">
        <v>2156</v>
      </c>
      <c r="C6121" s="4" t="str">
        <f>HYPERLINK("http://www.uniprot.org/uniprot/M5Y697","M5Y697")</f>
        <v>M5Y697</v>
      </c>
      <c r="D6121" s="2" t="s">
        <v>5542</v>
      </c>
      <c r="E6121" s="3">
        <v>1.4E-126</v>
      </c>
      <c r="F6121" s="2">
        <v>1042</v>
      </c>
      <c r="G6121" s="2">
        <v>100</v>
      </c>
      <c r="H6121" s="2">
        <v>192</v>
      </c>
      <c r="I6121" s="2">
        <v>1581</v>
      </c>
      <c r="J6121" s="2">
        <v>2156</v>
      </c>
      <c r="K6121" s="2">
        <v>561</v>
      </c>
      <c r="L6121" s="2">
        <v>752</v>
      </c>
    </row>
    <row r="6122" spans="1:12" x14ac:dyDescent="0.25">
      <c r="A6122" s="4" t="str">
        <f>HYPERLINK("http://www.rosaceae.org/Prunus/Prunus_persica/p.persica_gdr_reftransV1_0028885","p.persica_gdr_reftransV1_0028885")</f>
        <v>p.persica_gdr_reftransV1_0028885</v>
      </c>
      <c r="B6122" s="2">
        <v>1781</v>
      </c>
      <c r="C6122" s="4" t="str">
        <f>HYPERLINK("http://www.uniprot.org/uniprot/M5VZP5","M5VZP5")</f>
        <v>M5VZP5</v>
      </c>
      <c r="D6122" s="2" t="s">
        <v>5543</v>
      </c>
      <c r="E6122" s="3">
        <v>0</v>
      </c>
      <c r="F6122" s="2">
        <v>1351</v>
      </c>
      <c r="G6122" s="2">
        <v>100</v>
      </c>
      <c r="H6122" s="2">
        <v>257</v>
      </c>
      <c r="I6122" s="2">
        <v>897</v>
      </c>
      <c r="J6122" s="2">
        <v>1667</v>
      </c>
      <c r="K6122" s="2">
        <v>1</v>
      </c>
      <c r="L6122" s="2">
        <v>257</v>
      </c>
    </row>
    <row r="6123" spans="1:12" x14ac:dyDescent="0.25">
      <c r="A6123" s="4" t="str">
        <f>HYPERLINK("http://www.rosaceae.org/Prunus/Prunus_persica/p.persica_gdr_reftransV1_0032385","p.persica_gdr_reftransV1_0032385")</f>
        <v>p.persica_gdr_reftransV1_0032385</v>
      </c>
      <c r="B6123" s="2">
        <v>3205</v>
      </c>
      <c r="C6123" s="4" t="str">
        <f>HYPERLINK("http://www.uniprot.org/uniprot/M5VWK6","M5VWK6")</f>
        <v>M5VWK6</v>
      </c>
      <c r="D6123" s="2" t="s">
        <v>5544</v>
      </c>
      <c r="E6123" s="3">
        <v>0</v>
      </c>
      <c r="F6123" s="2">
        <v>1934</v>
      </c>
      <c r="G6123" s="2">
        <v>100</v>
      </c>
      <c r="H6123" s="2">
        <v>405</v>
      </c>
      <c r="I6123" s="2">
        <v>1665</v>
      </c>
      <c r="J6123" s="2">
        <v>2879</v>
      </c>
      <c r="K6123" s="2">
        <v>1</v>
      </c>
      <c r="L6123" s="2">
        <v>405</v>
      </c>
    </row>
    <row r="6124" spans="1:12" x14ac:dyDescent="0.25">
      <c r="A6124" s="4" t="str">
        <f>HYPERLINK("http://www.rosaceae.org/Prunus/Prunus_persica/p.persica_gdr_reftransV1_0034485","p.persica_gdr_reftransV1_0034485")</f>
        <v>p.persica_gdr_reftransV1_0034485</v>
      </c>
      <c r="B6124" s="2">
        <v>3272</v>
      </c>
      <c r="C6124" s="4" t="str">
        <f>HYPERLINK("http://www.uniprot.org/uniprot/M5X0H9","M5X0H9")</f>
        <v>M5X0H9</v>
      </c>
      <c r="D6124" s="2" t="s">
        <v>5545</v>
      </c>
      <c r="E6124" s="3">
        <v>0</v>
      </c>
      <c r="F6124" s="2">
        <v>2433</v>
      </c>
      <c r="G6124" s="2">
        <v>100</v>
      </c>
      <c r="H6124" s="2">
        <v>732</v>
      </c>
      <c r="I6124" s="2">
        <v>102</v>
      </c>
      <c r="J6124" s="2">
        <v>2297</v>
      </c>
      <c r="K6124" s="2">
        <v>1</v>
      </c>
      <c r="L6124" s="2">
        <v>732</v>
      </c>
    </row>
    <row r="6125" spans="1:12" x14ac:dyDescent="0.25">
      <c r="A6125" s="4" t="str">
        <f>HYPERLINK("http://www.rosaceae.org/Prunus/Prunus_persica/p.persica_gdr_reftransV1_0039385","p.persica_gdr_reftransV1_0039385")</f>
        <v>p.persica_gdr_reftransV1_0039385</v>
      </c>
      <c r="B6125" s="2">
        <v>3770</v>
      </c>
      <c r="C6125" s="4" t="str">
        <f>HYPERLINK("http://www.uniprot.org/uniprot/M5XJX4","M5XJX4")</f>
        <v>M5XJX4</v>
      </c>
      <c r="D6125" s="2" t="s">
        <v>5546</v>
      </c>
      <c r="E6125" s="3">
        <v>0</v>
      </c>
      <c r="F6125" s="2">
        <v>3506</v>
      </c>
      <c r="G6125" s="2">
        <v>100</v>
      </c>
      <c r="H6125" s="2">
        <v>693</v>
      </c>
      <c r="I6125" s="2">
        <v>1402</v>
      </c>
      <c r="J6125" s="2">
        <v>3480</v>
      </c>
      <c r="K6125" s="2">
        <v>1</v>
      </c>
      <c r="L6125" s="2">
        <v>693</v>
      </c>
    </row>
    <row r="6126" spans="1:12" x14ac:dyDescent="0.25">
      <c r="A6126" s="4" t="str">
        <f>HYPERLINK("http://www.rosaceae.org/Prunus/Prunus_persica/p.persica_gdr_reftransV1_0039735","p.persica_gdr_reftransV1_0039735")</f>
        <v>p.persica_gdr_reftransV1_0039735</v>
      </c>
      <c r="B6126" s="2">
        <v>1967</v>
      </c>
      <c r="C6126" s="4" t="str">
        <f>HYPERLINK("http://www.uniprot.org/uniprot/M5W9P7","M5W9P7")</f>
        <v>M5W9P7</v>
      </c>
      <c r="D6126" s="2" t="s">
        <v>5547</v>
      </c>
      <c r="E6126" s="3">
        <v>0</v>
      </c>
      <c r="F6126" s="2">
        <v>1576</v>
      </c>
      <c r="G6126" s="2">
        <v>100</v>
      </c>
      <c r="H6126" s="2">
        <v>368</v>
      </c>
      <c r="I6126" s="2">
        <v>400</v>
      </c>
      <c r="J6126" s="2">
        <v>1503</v>
      </c>
      <c r="K6126" s="2">
        <v>1</v>
      </c>
      <c r="L6126" s="2">
        <v>368</v>
      </c>
    </row>
    <row r="6127" spans="1:12" x14ac:dyDescent="0.25">
      <c r="A6127" s="4" t="str">
        <f>HYPERLINK("http://www.rosaceae.org/Prunus/Prunus_persica/p.persica_gdr_reftransV1_0040785","p.persica_gdr_reftransV1_0040785")</f>
        <v>p.persica_gdr_reftransV1_0040785</v>
      </c>
      <c r="B6127" s="2">
        <v>2551</v>
      </c>
      <c r="C6127" s="4" t="str">
        <f>HYPERLINK("http://www.uniprot.org/uniprot/M5VVL8","M5VVL8")</f>
        <v>M5VVL8</v>
      </c>
      <c r="D6127" s="2" t="s">
        <v>5548</v>
      </c>
      <c r="E6127" s="3">
        <v>0</v>
      </c>
      <c r="F6127" s="2">
        <v>2503</v>
      </c>
      <c r="G6127" s="2">
        <v>100</v>
      </c>
      <c r="H6127" s="2">
        <v>471</v>
      </c>
      <c r="I6127" s="2">
        <v>890</v>
      </c>
      <c r="J6127" s="2">
        <v>2302</v>
      </c>
      <c r="K6127" s="2">
        <v>194</v>
      </c>
      <c r="L6127" s="2">
        <v>664</v>
      </c>
    </row>
    <row r="6128" spans="1:12" x14ac:dyDescent="0.25">
      <c r="A6128" s="4" t="str">
        <f>HYPERLINK("http://www.rosaceae.org/Prunus/Prunus_persica/p.persica_gdr_reftransV1_0043235","p.persica_gdr_reftransV1_0043235")</f>
        <v>p.persica_gdr_reftransV1_0043235</v>
      </c>
      <c r="B6128" s="2">
        <v>997</v>
      </c>
      <c r="C6128" s="4" t="str">
        <f>HYPERLINK("http://www.uniprot.org/uniprot/M5VU67","M5VU67")</f>
        <v>M5VU67</v>
      </c>
      <c r="D6128" s="2" t="s">
        <v>5549</v>
      </c>
      <c r="E6128" s="3">
        <v>1.2199999999999999E-164</v>
      </c>
      <c r="F6128" s="2">
        <v>1210</v>
      </c>
      <c r="G6128" s="2">
        <v>100</v>
      </c>
      <c r="H6128" s="2">
        <v>225</v>
      </c>
      <c r="I6128" s="2">
        <v>55</v>
      </c>
      <c r="J6128" s="2">
        <v>729</v>
      </c>
      <c r="K6128" s="2">
        <v>1</v>
      </c>
      <c r="L6128" s="2">
        <v>225</v>
      </c>
    </row>
    <row r="6129" spans="1:12" x14ac:dyDescent="0.25">
      <c r="A6129" s="4" t="str">
        <f>HYPERLINK("http://www.rosaceae.org/Prunus/Prunus_persica/p.persica_gdr_reftransV1_0043585","p.persica_gdr_reftransV1_0043585")</f>
        <v>p.persica_gdr_reftransV1_0043585</v>
      </c>
      <c r="B6129" s="2">
        <v>659</v>
      </c>
      <c r="C6129" s="4" t="str">
        <f>HYPERLINK("http://www.uniprot.org/uniprot/M5Y5W3","M5Y5W3")</f>
        <v>M5Y5W3</v>
      </c>
      <c r="D6129" s="2" t="s">
        <v>5550</v>
      </c>
      <c r="E6129" s="3">
        <v>1.6400000000000001E-67</v>
      </c>
      <c r="F6129" s="2">
        <v>557</v>
      </c>
      <c r="G6129" s="2">
        <v>100</v>
      </c>
      <c r="H6129" s="2">
        <v>130</v>
      </c>
      <c r="I6129" s="2">
        <v>269</v>
      </c>
      <c r="J6129" s="2">
        <v>658</v>
      </c>
      <c r="K6129" s="2">
        <v>96</v>
      </c>
      <c r="L6129" s="2">
        <v>225</v>
      </c>
    </row>
    <row r="6130" spans="1:12" x14ac:dyDescent="0.25">
      <c r="A6130" s="4" t="str">
        <f>HYPERLINK("http://www.rosaceae.org/Prunus/Prunus_persica/p.persica_gdr_reftransV1_0044635","p.persica_gdr_reftransV1_0044635")</f>
        <v>p.persica_gdr_reftransV1_0044635</v>
      </c>
      <c r="B6130" s="2">
        <v>1451</v>
      </c>
      <c r="C6130" s="4" t="str">
        <f>HYPERLINK("http://www.uniprot.org/uniprot/M5WTC8","M5WTC8")</f>
        <v>M5WTC8</v>
      </c>
      <c r="D6130" s="2" t="s">
        <v>5551</v>
      </c>
      <c r="E6130" s="3">
        <v>0</v>
      </c>
      <c r="F6130" s="2">
        <v>1573</v>
      </c>
      <c r="G6130" s="2">
        <v>89</v>
      </c>
      <c r="H6130" s="2">
        <v>331</v>
      </c>
      <c r="I6130" s="2">
        <v>2</v>
      </c>
      <c r="J6130" s="2">
        <v>988</v>
      </c>
      <c r="K6130" s="2">
        <v>96</v>
      </c>
      <c r="L6130" s="2">
        <v>425</v>
      </c>
    </row>
    <row r="6131" spans="1:12" x14ac:dyDescent="0.25">
      <c r="A6131" s="4" t="str">
        <f>HYPERLINK("http://www.rosaceae.org/Prunus/Prunus_persica/p.persica_gdr_reftransV1_0044985","p.persica_gdr_reftransV1_0044985")</f>
        <v>p.persica_gdr_reftransV1_0044985</v>
      </c>
      <c r="B6131" s="2">
        <v>1195</v>
      </c>
      <c r="C6131" s="4" t="str">
        <f>HYPERLINK("http://www.uniprot.org/uniprot/M5VSI2","M5VSI2")</f>
        <v>M5VSI2</v>
      </c>
      <c r="D6131" s="2" t="s">
        <v>5552</v>
      </c>
      <c r="E6131" s="3">
        <v>1.14E-146</v>
      </c>
      <c r="F6131" s="2">
        <v>1115</v>
      </c>
      <c r="G6131" s="2">
        <v>98</v>
      </c>
      <c r="H6131" s="2">
        <v>246</v>
      </c>
      <c r="I6131" s="2">
        <v>405</v>
      </c>
      <c r="J6131" s="2">
        <v>1142</v>
      </c>
      <c r="K6131" s="2">
        <v>1</v>
      </c>
      <c r="L6131" s="2">
        <v>246</v>
      </c>
    </row>
    <row r="6132" spans="1:12" x14ac:dyDescent="0.25">
      <c r="A6132" s="4" t="str">
        <f>HYPERLINK("http://www.rosaceae.org/Prunus/Prunus_persica/p.persica_gdr_reftransV1_0045335","p.persica_gdr_reftransV1_0045335")</f>
        <v>p.persica_gdr_reftransV1_0045335</v>
      </c>
      <c r="B6132" s="2">
        <v>1599</v>
      </c>
      <c r="C6132" s="4" t="str">
        <f>HYPERLINK("http://www.uniprot.org/uniprot/M5WB31","M5WB31")</f>
        <v>M5WB31</v>
      </c>
      <c r="D6132" s="2" t="s">
        <v>5553</v>
      </c>
      <c r="E6132" s="3">
        <v>2.6399999999999998E-131</v>
      </c>
      <c r="F6132" s="2">
        <v>1021</v>
      </c>
      <c r="G6132" s="2">
        <v>98</v>
      </c>
      <c r="H6132" s="2">
        <v>271</v>
      </c>
      <c r="I6132" s="2">
        <v>645</v>
      </c>
      <c r="J6132" s="2">
        <v>1457</v>
      </c>
      <c r="K6132" s="2">
        <v>1</v>
      </c>
      <c r="L6132" s="2">
        <v>271</v>
      </c>
    </row>
    <row r="6133" spans="1:12" x14ac:dyDescent="0.25">
      <c r="A6133" s="4" t="str">
        <f>HYPERLINK("http://www.rosaceae.org/Prunus/Prunus_persica/p.persica_gdr_reftransV1_0046385","p.persica_gdr_reftransV1_0046385")</f>
        <v>p.persica_gdr_reftransV1_0046385</v>
      </c>
      <c r="B6133" s="2">
        <v>1164</v>
      </c>
      <c r="C6133" s="4" t="str">
        <f>HYPERLINK("http://www.uniprot.org/uniprot/M5VZF0","M5VZF0")</f>
        <v>M5VZF0</v>
      </c>
      <c r="D6133" s="2" t="s">
        <v>5554</v>
      </c>
      <c r="E6133" s="3">
        <v>1.61E-161</v>
      </c>
      <c r="F6133" s="2">
        <v>1203</v>
      </c>
      <c r="G6133" s="2">
        <v>100</v>
      </c>
      <c r="H6133" s="2">
        <v>260</v>
      </c>
      <c r="I6133" s="2">
        <v>96</v>
      </c>
      <c r="J6133" s="2">
        <v>875</v>
      </c>
      <c r="K6133" s="2">
        <v>40</v>
      </c>
      <c r="L6133" s="2">
        <v>299</v>
      </c>
    </row>
    <row r="6134" spans="1:12" x14ac:dyDescent="0.25">
      <c r="A6134" s="4" t="str">
        <f>HYPERLINK("http://www.rosaceae.org/Prunus/Prunus_persica/p.persica_gdr_reftransV1_0046735","p.persica_gdr_reftransV1_0046735")</f>
        <v>p.persica_gdr_reftransV1_0046735</v>
      </c>
      <c r="B6134" s="2">
        <v>427</v>
      </c>
      <c r="C6134" s="4" t="str">
        <f>HYPERLINK("http://www.uniprot.org/uniprot/M5WWH8","M5WWH8")</f>
        <v>M5WWH8</v>
      </c>
      <c r="D6134" s="2" t="s">
        <v>5555</v>
      </c>
      <c r="E6134" s="3">
        <v>3.0999999999999999E-96</v>
      </c>
      <c r="F6134" s="2">
        <v>759</v>
      </c>
      <c r="G6134" s="2">
        <v>97</v>
      </c>
      <c r="H6134" s="2">
        <v>142</v>
      </c>
      <c r="I6134" s="2">
        <v>1</v>
      </c>
      <c r="J6134" s="2">
        <v>426</v>
      </c>
      <c r="K6134" s="2">
        <v>220</v>
      </c>
      <c r="L6134" s="2">
        <v>361</v>
      </c>
    </row>
    <row r="6135" spans="1:12" x14ac:dyDescent="0.25">
      <c r="A6135" s="4" t="str">
        <f>HYPERLINK("http://www.rosaceae.org/Prunus/Prunus_persica/p.persica_gdr_reftransV1_0047085","p.persica_gdr_reftransV1_0047085")</f>
        <v>p.persica_gdr_reftransV1_0047085</v>
      </c>
      <c r="B6135" s="2">
        <v>1303</v>
      </c>
      <c r="C6135" s="4" t="str">
        <f>HYPERLINK("http://www.uniprot.org/uniprot/M5WJ69","M5WJ69")</f>
        <v>M5WJ69</v>
      </c>
      <c r="D6135" s="2" t="s">
        <v>5556</v>
      </c>
      <c r="E6135" s="3">
        <v>0</v>
      </c>
      <c r="F6135" s="2">
        <v>1373</v>
      </c>
      <c r="G6135" s="2">
        <v>100</v>
      </c>
      <c r="H6135" s="2">
        <v>295</v>
      </c>
      <c r="I6135" s="2">
        <v>304</v>
      </c>
      <c r="J6135" s="2">
        <v>1188</v>
      </c>
      <c r="K6135" s="2">
        <v>1</v>
      </c>
      <c r="L6135" s="2">
        <v>295</v>
      </c>
    </row>
    <row r="6136" spans="1:12" x14ac:dyDescent="0.25">
      <c r="A6136" s="4" t="str">
        <f>HYPERLINK("http://www.rosaceae.org/Prunus/Prunus_persica/p.persica_gdr_reftransV1_0047435","p.persica_gdr_reftransV1_0047435")</f>
        <v>p.persica_gdr_reftransV1_0047435</v>
      </c>
      <c r="B6136" s="2">
        <v>592</v>
      </c>
      <c r="C6136" s="4" t="str">
        <f>HYPERLINK("http://www.uniprot.org/uniprot/M5WKZ1","M5WKZ1")</f>
        <v>M5WKZ1</v>
      </c>
      <c r="D6136" s="2" t="s">
        <v>5557</v>
      </c>
      <c r="E6136" s="3">
        <v>5.5000000000000005E-54</v>
      </c>
      <c r="F6136" s="2">
        <v>453</v>
      </c>
      <c r="G6136" s="2">
        <v>99</v>
      </c>
      <c r="H6136" s="2">
        <v>89</v>
      </c>
      <c r="I6136" s="2">
        <v>3</v>
      </c>
      <c r="J6136" s="2">
        <v>269</v>
      </c>
      <c r="K6136" s="2">
        <v>22</v>
      </c>
      <c r="L6136" s="2">
        <v>110</v>
      </c>
    </row>
    <row r="6137" spans="1:12" x14ac:dyDescent="0.25">
      <c r="A6137" s="4" t="str">
        <f>HYPERLINK("http://www.rosaceae.org/Prunus/Prunus_persica/p.persica_gdr_reftransV1_0047785","p.persica_gdr_reftransV1_0047785")</f>
        <v>p.persica_gdr_reftransV1_0047785</v>
      </c>
      <c r="B6137" s="2">
        <v>1297</v>
      </c>
      <c r="C6137" s="4" t="str">
        <f>HYPERLINK("http://www.uniprot.org/uniprot/M5WHW1","M5WHW1")</f>
        <v>M5WHW1</v>
      </c>
      <c r="D6137" s="2" t="s">
        <v>5558</v>
      </c>
      <c r="E6137" s="3">
        <v>4.4099999999999998E-178</v>
      </c>
      <c r="F6137" s="2">
        <v>1317</v>
      </c>
      <c r="G6137" s="2">
        <v>100</v>
      </c>
      <c r="H6137" s="2">
        <v>296</v>
      </c>
      <c r="I6137" s="2">
        <v>384</v>
      </c>
      <c r="J6137" s="2">
        <v>1271</v>
      </c>
      <c r="K6137" s="2">
        <v>12</v>
      </c>
      <c r="L6137" s="2">
        <v>307</v>
      </c>
    </row>
    <row r="6138" spans="1:12" x14ac:dyDescent="0.25">
      <c r="A6138" s="4" t="str">
        <f>HYPERLINK("http://www.rosaceae.org/Prunus/Prunus_persica/p.persica_gdr_reftransV1_0048135","p.persica_gdr_reftransV1_0048135")</f>
        <v>p.persica_gdr_reftransV1_0048135</v>
      </c>
      <c r="B6138" s="2">
        <v>2092</v>
      </c>
      <c r="C6138" s="4" t="str">
        <f>HYPERLINK("http://www.uniprot.org/uniprot/M5VPQ2","M5VPQ2")</f>
        <v>M5VPQ2</v>
      </c>
      <c r="D6138" s="2" t="s">
        <v>5559</v>
      </c>
      <c r="E6138" s="3">
        <v>0</v>
      </c>
      <c r="F6138" s="2">
        <v>2280</v>
      </c>
      <c r="G6138" s="2">
        <v>100</v>
      </c>
      <c r="H6138" s="2">
        <v>422</v>
      </c>
      <c r="I6138" s="2">
        <v>257</v>
      </c>
      <c r="J6138" s="2">
        <v>1522</v>
      </c>
      <c r="K6138" s="2">
        <v>7</v>
      </c>
      <c r="L6138" s="2">
        <v>428</v>
      </c>
    </row>
    <row r="6139" spans="1:12" x14ac:dyDescent="0.25">
      <c r="A6139" s="4" t="str">
        <f>HYPERLINK("http://www.rosaceae.org/Prunus/Prunus_persica/p.persica_gdr_reftransV1_0048485","p.persica_gdr_reftransV1_0048485")</f>
        <v>p.persica_gdr_reftransV1_0048485</v>
      </c>
      <c r="B6139" s="2">
        <v>1560</v>
      </c>
      <c r="C6139" s="4" t="str">
        <f>HYPERLINK("http://www.uniprot.org/uniprot/M5VZ20","M5VZ20")</f>
        <v>M5VZ20</v>
      </c>
      <c r="D6139" s="2" t="s">
        <v>5560</v>
      </c>
      <c r="E6139" s="3">
        <v>0</v>
      </c>
      <c r="F6139" s="2">
        <v>1615</v>
      </c>
      <c r="G6139" s="2">
        <v>100</v>
      </c>
      <c r="H6139" s="2">
        <v>342</v>
      </c>
      <c r="I6139" s="2">
        <v>303</v>
      </c>
      <c r="J6139" s="2">
        <v>1328</v>
      </c>
      <c r="K6139" s="2">
        <v>1</v>
      </c>
      <c r="L6139" s="2">
        <v>342</v>
      </c>
    </row>
    <row r="6140" spans="1:12" x14ac:dyDescent="0.25">
      <c r="A6140" s="4" t="str">
        <f>HYPERLINK("http://www.rosaceae.org/Prunus/Prunus_persica/p.persica_gdr_reftransV1_0048835","p.persica_gdr_reftransV1_0048835")</f>
        <v>p.persica_gdr_reftransV1_0048835</v>
      </c>
      <c r="B6140" s="2">
        <v>644</v>
      </c>
      <c r="C6140" s="4" t="str">
        <f>HYPERLINK("http://www.uniprot.org/uniprot/M5XZ97","M5XZ97")</f>
        <v>M5XZ97</v>
      </c>
      <c r="D6140" s="2" t="s">
        <v>5561</v>
      </c>
      <c r="E6140" s="3">
        <v>1.32E-9</v>
      </c>
      <c r="F6140" s="2">
        <v>152</v>
      </c>
      <c r="G6140" s="2">
        <v>39</v>
      </c>
      <c r="H6140" s="2">
        <v>118</v>
      </c>
      <c r="I6140" s="2">
        <v>268</v>
      </c>
      <c r="J6140" s="2">
        <v>609</v>
      </c>
      <c r="K6140" s="2">
        <v>22</v>
      </c>
      <c r="L6140" s="2">
        <v>128</v>
      </c>
    </row>
    <row r="6141" spans="1:12" x14ac:dyDescent="0.25">
      <c r="A6141" s="4" t="str">
        <f>HYPERLINK("http://www.rosaceae.org/Prunus/Prunus_persica/p.persica_gdr_reftransV1_0049185","p.persica_gdr_reftransV1_0049185")</f>
        <v>p.persica_gdr_reftransV1_0049185</v>
      </c>
      <c r="B6141" s="2">
        <v>1618</v>
      </c>
      <c r="C6141" s="4" t="str">
        <f>HYPERLINK("http://www.uniprot.org/uniprot/Q2LAF3","Q2LAF3")</f>
        <v>Q2LAF3</v>
      </c>
      <c r="D6141" s="2" t="s">
        <v>814</v>
      </c>
      <c r="E6141" s="3">
        <v>0</v>
      </c>
      <c r="F6141" s="2">
        <v>2088</v>
      </c>
      <c r="G6141" s="2">
        <v>100</v>
      </c>
      <c r="H6141" s="2">
        <v>393</v>
      </c>
      <c r="I6141" s="2">
        <v>104</v>
      </c>
      <c r="J6141" s="2">
        <v>1282</v>
      </c>
      <c r="K6141" s="2">
        <v>1</v>
      </c>
      <c r="L6141" s="2">
        <v>393</v>
      </c>
    </row>
    <row r="6142" spans="1:12" x14ac:dyDescent="0.25">
      <c r="A6142" s="4" t="str">
        <f>HYPERLINK("http://www.rosaceae.org/Prunus/Prunus_persica/p.persica_gdr_reftransV1_0000186","p.persica_gdr_reftransV1_0000186")</f>
        <v>p.persica_gdr_reftransV1_0000186</v>
      </c>
      <c r="B6142" s="2">
        <v>6162</v>
      </c>
      <c r="C6142" s="4" t="str">
        <f>HYPERLINK("http://www.uniprot.org/uniprot/M5WS08","M5WS08")</f>
        <v>M5WS08</v>
      </c>
      <c r="D6142" s="2" t="s">
        <v>5562</v>
      </c>
      <c r="E6142" s="3">
        <v>0</v>
      </c>
      <c r="F6142" s="2">
        <v>6973</v>
      </c>
      <c r="G6142" s="2">
        <v>98</v>
      </c>
      <c r="H6142" s="2">
        <v>1401</v>
      </c>
      <c r="I6142" s="2">
        <v>313</v>
      </c>
      <c r="J6142" s="2">
        <v>4515</v>
      </c>
      <c r="K6142" s="2">
        <v>1</v>
      </c>
      <c r="L6142" s="2">
        <v>1375</v>
      </c>
    </row>
    <row r="6143" spans="1:12" x14ac:dyDescent="0.25">
      <c r="A6143" s="4" t="str">
        <f>HYPERLINK("http://www.rosaceae.org/Prunus/Prunus_persica/p.persica_gdr_reftransV1_0000536","p.persica_gdr_reftransV1_0000536")</f>
        <v>p.persica_gdr_reftransV1_0000536</v>
      </c>
      <c r="B6143" s="2">
        <v>718</v>
      </c>
      <c r="C6143" s="4" t="str">
        <f>HYPERLINK("http://www.uniprot.org/uniprot/I3WEU4","I3WEU4")</f>
        <v>I3WEU4</v>
      </c>
      <c r="D6143" s="2" t="s">
        <v>5563</v>
      </c>
      <c r="E6143" s="3">
        <v>5.7000000000000002E-74</v>
      </c>
      <c r="F6143" s="2">
        <v>590</v>
      </c>
      <c r="G6143" s="2">
        <v>100</v>
      </c>
      <c r="H6143" s="2">
        <v>112</v>
      </c>
      <c r="I6143" s="2">
        <v>158</v>
      </c>
      <c r="J6143" s="2">
        <v>493</v>
      </c>
      <c r="K6143" s="2">
        <v>1</v>
      </c>
      <c r="L6143" s="2">
        <v>112</v>
      </c>
    </row>
    <row r="6144" spans="1:12" x14ac:dyDescent="0.25">
      <c r="A6144" s="4" t="str">
        <f>HYPERLINK("http://www.rosaceae.org/Prunus/Prunus_persica/p.persica_gdr_reftransV1_0000886","p.persica_gdr_reftransV1_0000886")</f>
        <v>p.persica_gdr_reftransV1_0000886</v>
      </c>
      <c r="B6144" s="2">
        <v>760</v>
      </c>
      <c r="C6144" s="4" t="str">
        <f>HYPERLINK("http://www.uniprot.org/uniprot/M5X421","M5X421")</f>
        <v>M5X421</v>
      </c>
      <c r="D6144" s="2" t="s">
        <v>132</v>
      </c>
      <c r="E6144" s="3">
        <v>1.8799999999999999E-179</v>
      </c>
      <c r="F6144" s="2">
        <v>1343</v>
      </c>
      <c r="G6144" s="2">
        <v>99</v>
      </c>
      <c r="H6144" s="2">
        <v>252</v>
      </c>
      <c r="I6144" s="2">
        <v>3</v>
      </c>
      <c r="J6144" s="2">
        <v>758</v>
      </c>
      <c r="K6144" s="2">
        <v>310</v>
      </c>
      <c r="L6144" s="2">
        <v>561</v>
      </c>
    </row>
    <row r="6145" spans="1:12" x14ac:dyDescent="0.25">
      <c r="A6145" s="4" t="str">
        <f>HYPERLINK("http://www.rosaceae.org/Prunus/Prunus_persica/p.persica_gdr_reftransV1_0002286","p.persica_gdr_reftransV1_0002286")</f>
        <v>p.persica_gdr_reftransV1_0002286</v>
      </c>
      <c r="B6145" s="2">
        <v>1669</v>
      </c>
      <c r="C6145" s="4" t="str">
        <f>HYPERLINK("http://www.uniprot.org/uniprot/M5WAS6","M5WAS6")</f>
        <v>M5WAS6</v>
      </c>
      <c r="D6145" s="2" t="s">
        <v>5564</v>
      </c>
      <c r="E6145" s="3">
        <v>0</v>
      </c>
      <c r="F6145" s="2">
        <v>2079</v>
      </c>
      <c r="G6145" s="2">
        <v>100</v>
      </c>
      <c r="H6145" s="2">
        <v>398</v>
      </c>
      <c r="I6145" s="2">
        <v>193</v>
      </c>
      <c r="J6145" s="2">
        <v>1386</v>
      </c>
      <c r="K6145" s="2">
        <v>1</v>
      </c>
      <c r="L6145" s="2">
        <v>398</v>
      </c>
    </row>
    <row r="6146" spans="1:12" x14ac:dyDescent="0.25">
      <c r="A6146" s="4" t="str">
        <f>HYPERLINK("http://www.rosaceae.org/Prunus/Prunus_persica/p.persica_gdr_reftransV1_0002636","p.persica_gdr_reftransV1_0002636")</f>
        <v>p.persica_gdr_reftransV1_0002636</v>
      </c>
      <c r="B6146" s="2">
        <v>2808</v>
      </c>
      <c r="C6146" s="4" t="str">
        <f>HYPERLINK("http://www.uniprot.org/uniprot/D7TW14","D7TW14")</f>
        <v>D7TW14</v>
      </c>
      <c r="D6146" s="2" t="s">
        <v>5565</v>
      </c>
      <c r="E6146" s="3">
        <v>0</v>
      </c>
      <c r="F6146" s="2">
        <v>2731</v>
      </c>
      <c r="G6146" s="2">
        <v>79</v>
      </c>
      <c r="H6146" s="2">
        <v>645</v>
      </c>
      <c r="I6146" s="2">
        <v>275</v>
      </c>
      <c r="J6146" s="2">
        <v>2209</v>
      </c>
      <c r="K6146" s="2">
        <v>1</v>
      </c>
      <c r="L6146" s="2">
        <v>645</v>
      </c>
    </row>
    <row r="6147" spans="1:12" x14ac:dyDescent="0.25">
      <c r="A6147" s="4" t="str">
        <f>HYPERLINK("http://www.rosaceae.org/Prunus/Prunus_persica/p.persica_gdr_reftransV1_0002986","p.persica_gdr_reftransV1_0002986")</f>
        <v>p.persica_gdr_reftransV1_0002986</v>
      </c>
      <c r="B6147" s="2">
        <v>2783</v>
      </c>
      <c r="C6147" s="4" t="str">
        <f>HYPERLINK("http://www.uniprot.org/uniprot/M5X7W3","M5X7W3")</f>
        <v>M5X7W3</v>
      </c>
      <c r="D6147" s="2" t="s">
        <v>1239</v>
      </c>
      <c r="E6147" s="3">
        <v>0</v>
      </c>
      <c r="F6147" s="2">
        <v>3496</v>
      </c>
      <c r="G6147" s="2">
        <v>96</v>
      </c>
      <c r="H6147" s="2">
        <v>724</v>
      </c>
      <c r="I6147" s="2">
        <v>367</v>
      </c>
      <c r="J6147" s="2">
        <v>2529</v>
      </c>
      <c r="K6147" s="2">
        <v>1</v>
      </c>
      <c r="L6147" s="2">
        <v>701</v>
      </c>
    </row>
    <row r="6148" spans="1:12" x14ac:dyDescent="0.25">
      <c r="A6148" s="4" t="str">
        <f>HYPERLINK("http://www.rosaceae.org/Prunus/Prunus_persica/p.persica_gdr_reftransV1_0003336","p.persica_gdr_reftransV1_0003336")</f>
        <v>p.persica_gdr_reftransV1_0003336</v>
      </c>
      <c r="B6148" s="2">
        <v>1054</v>
      </c>
      <c r="C6148" s="4" t="str">
        <f>HYPERLINK("http://www.uniprot.org/uniprot/M5XTH2","M5XTH2")</f>
        <v>M5XTH2</v>
      </c>
      <c r="D6148" s="2" t="s">
        <v>5566</v>
      </c>
      <c r="E6148" s="3">
        <v>2.3399999999999999E-150</v>
      </c>
      <c r="F6148" s="2">
        <v>1121</v>
      </c>
      <c r="G6148" s="2">
        <v>91</v>
      </c>
      <c r="H6148" s="2">
        <v>236</v>
      </c>
      <c r="I6148" s="2">
        <v>244</v>
      </c>
      <c r="J6148" s="2">
        <v>951</v>
      </c>
      <c r="K6148" s="2">
        <v>21</v>
      </c>
      <c r="L6148" s="2">
        <v>256</v>
      </c>
    </row>
    <row r="6149" spans="1:12" x14ac:dyDescent="0.25">
      <c r="A6149" s="4" t="str">
        <f>HYPERLINK("http://www.rosaceae.org/Prunus/Prunus_persica/p.persica_gdr_reftransV1_0003686","p.persica_gdr_reftransV1_0003686")</f>
        <v>p.persica_gdr_reftransV1_0003686</v>
      </c>
      <c r="B6149" s="2">
        <v>330</v>
      </c>
      <c r="C6149" s="4" t="str">
        <f>HYPERLINK("http://www.uniprot.org/uniprot/M5XH96","M5XH96")</f>
        <v>M5XH96</v>
      </c>
      <c r="D6149" s="2" t="s">
        <v>5567</v>
      </c>
      <c r="E6149" s="3">
        <v>2.57E-51</v>
      </c>
      <c r="F6149" s="2">
        <v>464</v>
      </c>
      <c r="G6149" s="2">
        <v>84</v>
      </c>
      <c r="H6149" s="2">
        <v>109</v>
      </c>
      <c r="I6149" s="2">
        <v>2</v>
      </c>
      <c r="J6149" s="2">
        <v>328</v>
      </c>
      <c r="K6149" s="2">
        <v>622</v>
      </c>
      <c r="L6149" s="2">
        <v>713</v>
      </c>
    </row>
    <row r="6150" spans="1:12" x14ac:dyDescent="0.25">
      <c r="A6150" s="4" t="str">
        <f>HYPERLINK("http://www.rosaceae.org/Prunus/Prunus_persica/p.persica_gdr_reftransV1_0004386","p.persica_gdr_reftransV1_0004386")</f>
        <v>p.persica_gdr_reftransV1_0004386</v>
      </c>
      <c r="B6150" s="2">
        <v>2159</v>
      </c>
      <c r="C6150" s="4" t="str">
        <f>HYPERLINK("http://www.uniprot.org/uniprot/M5WHX6","M5WHX6")</f>
        <v>M5WHX6</v>
      </c>
      <c r="D6150" s="2" t="s">
        <v>5568</v>
      </c>
      <c r="E6150" s="3">
        <v>0</v>
      </c>
      <c r="F6150" s="2">
        <v>1940</v>
      </c>
      <c r="G6150" s="2">
        <v>100</v>
      </c>
      <c r="H6150" s="2">
        <v>416</v>
      </c>
      <c r="I6150" s="2">
        <v>789</v>
      </c>
      <c r="J6150" s="2">
        <v>2036</v>
      </c>
      <c r="K6150" s="2">
        <v>23</v>
      </c>
      <c r="L6150" s="2">
        <v>438</v>
      </c>
    </row>
    <row r="6151" spans="1:12" x14ac:dyDescent="0.25">
      <c r="A6151" s="4" t="str">
        <f>HYPERLINK("http://www.rosaceae.org/Prunus/Prunus_persica/p.persica_gdr_reftransV1_0004736","p.persica_gdr_reftransV1_0004736")</f>
        <v>p.persica_gdr_reftransV1_0004736</v>
      </c>
      <c r="B6151" s="2">
        <v>1764</v>
      </c>
      <c r="C6151" s="4" t="str">
        <f>HYPERLINK("http://www.uniprot.org/uniprot/M5X1J2","M5X1J2")</f>
        <v>M5X1J2</v>
      </c>
      <c r="D6151" s="2" t="s">
        <v>5569</v>
      </c>
      <c r="E6151" s="3">
        <v>3.1000000000000001E-110</v>
      </c>
      <c r="F6151" s="2">
        <v>881</v>
      </c>
      <c r="G6151" s="2">
        <v>99</v>
      </c>
      <c r="H6151" s="2">
        <v>184</v>
      </c>
      <c r="I6151" s="2">
        <v>417</v>
      </c>
      <c r="J6151" s="2">
        <v>968</v>
      </c>
      <c r="K6151" s="2">
        <v>115</v>
      </c>
      <c r="L6151" s="2">
        <v>298</v>
      </c>
    </row>
    <row r="6152" spans="1:12" x14ac:dyDescent="0.25">
      <c r="A6152" s="4" t="str">
        <f>HYPERLINK("http://www.rosaceae.org/Prunus/Prunus_persica/p.persica_gdr_reftransV1_0005086","p.persica_gdr_reftransV1_0005086")</f>
        <v>p.persica_gdr_reftransV1_0005086</v>
      </c>
      <c r="B6152" s="2">
        <v>657</v>
      </c>
      <c r="C6152" s="4" t="str">
        <f>HYPERLINK("http://www.uniprot.org/uniprot/M5Y7S6","M5Y7S6")</f>
        <v>M5Y7S6</v>
      </c>
      <c r="D6152" s="2" t="s">
        <v>5570</v>
      </c>
      <c r="E6152" s="3">
        <v>3E-98</v>
      </c>
      <c r="F6152" s="2">
        <v>819</v>
      </c>
      <c r="G6152" s="2">
        <v>81</v>
      </c>
      <c r="H6152" s="2">
        <v>214</v>
      </c>
      <c r="I6152" s="2">
        <v>24</v>
      </c>
      <c r="J6152" s="2">
        <v>653</v>
      </c>
      <c r="K6152" s="2">
        <v>821</v>
      </c>
      <c r="L6152" s="2">
        <v>1032</v>
      </c>
    </row>
    <row r="6153" spans="1:12" x14ac:dyDescent="0.25">
      <c r="A6153" s="4" t="str">
        <f>HYPERLINK("http://www.rosaceae.org/Prunus/Prunus_persica/p.persica_gdr_reftransV1_0005436","p.persica_gdr_reftransV1_0005436")</f>
        <v>p.persica_gdr_reftransV1_0005436</v>
      </c>
      <c r="B6153" s="2">
        <v>777</v>
      </c>
      <c r="C6153" s="4" t="str">
        <f>HYPERLINK("http://www.uniprot.org/uniprot/M5WAW2","M5WAW2")</f>
        <v>M5WAW2</v>
      </c>
      <c r="D6153" s="2" t="s">
        <v>5571</v>
      </c>
      <c r="E6153" s="3">
        <v>1.3E-80</v>
      </c>
      <c r="F6153" s="2">
        <v>639</v>
      </c>
      <c r="G6153" s="2">
        <v>100</v>
      </c>
      <c r="H6153" s="2">
        <v>123</v>
      </c>
      <c r="I6153" s="2">
        <v>62</v>
      </c>
      <c r="J6153" s="2">
        <v>430</v>
      </c>
      <c r="K6153" s="2">
        <v>1</v>
      </c>
      <c r="L6153" s="2">
        <v>123</v>
      </c>
    </row>
    <row r="6154" spans="1:12" x14ac:dyDescent="0.25">
      <c r="A6154" s="4" t="str">
        <f>HYPERLINK("http://www.rosaceae.org/Prunus/Prunus_persica/p.persica_gdr_reftransV1_0006136","p.persica_gdr_reftransV1_0006136")</f>
        <v>p.persica_gdr_reftransV1_0006136</v>
      </c>
      <c r="B6154" s="2">
        <v>1931</v>
      </c>
      <c r="C6154" s="4" t="str">
        <f>HYPERLINK("http://www.uniprot.org/uniprot/M5VVS3","M5VVS3")</f>
        <v>M5VVS3</v>
      </c>
      <c r="D6154" s="2" t="s">
        <v>4757</v>
      </c>
      <c r="E6154" s="3">
        <v>0</v>
      </c>
      <c r="F6154" s="2">
        <v>1554</v>
      </c>
      <c r="G6154" s="2">
        <v>100</v>
      </c>
      <c r="H6154" s="2">
        <v>292</v>
      </c>
      <c r="I6154" s="2">
        <v>279</v>
      </c>
      <c r="J6154" s="2">
        <v>1154</v>
      </c>
      <c r="K6154" s="2">
        <v>89</v>
      </c>
      <c r="L6154" s="2">
        <v>380</v>
      </c>
    </row>
    <row r="6155" spans="1:12" x14ac:dyDescent="0.25">
      <c r="A6155" s="4" t="str">
        <f>HYPERLINK("http://www.rosaceae.org/Prunus/Prunus_persica/p.persica_gdr_reftransV1_0007186","p.persica_gdr_reftransV1_0007186")</f>
        <v>p.persica_gdr_reftransV1_0007186</v>
      </c>
      <c r="B6155" s="2">
        <v>2612</v>
      </c>
      <c r="C6155" s="4" t="str">
        <f>HYPERLINK("http://www.uniprot.org/uniprot/M5VMN9","M5VMN9")</f>
        <v>M5VMN9</v>
      </c>
      <c r="D6155" s="2" t="s">
        <v>5572</v>
      </c>
      <c r="E6155" s="3">
        <v>1.39E-84</v>
      </c>
      <c r="F6155" s="2">
        <v>720</v>
      </c>
      <c r="G6155" s="2">
        <v>100</v>
      </c>
      <c r="H6155" s="2">
        <v>150</v>
      </c>
      <c r="I6155" s="2">
        <v>742</v>
      </c>
      <c r="J6155" s="2">
        <v>1191</v>
      </c>
      <c r="K6155" s="2">
        <v>85</v>
      </c>
      <c r="L6155" s="2">
        <v>234</v>
      </c>
    </row>
    <row r="6156" spans="1:12" x14ac:dyDescent="0.25">
      <c r="A6156" s="4" t="str">
        <f>HYPERLINK("http://www.rosaceae.org/Prunus/Prunus_persica/p.persica_gdr_reftransV1_0007536","p.persica_gdr_reftransV1_0007536")</f>
        <v>p.persica_gdr_reftransV1_0007536</v>
      </c>
      <c r="B6156" s="2">
        <v>2127</v>
      </c>
      <c r="C6156" s="4" t="str">
        <f>HYPERLINK("http://www.uniprot.org/uniprot/M5W9F8","M5W9F8")</f>
        <v>M5W9F8</v>
      </c>
      <c r="D6156" s="2" t="s">
        <v>5573</v>
      </c>
      <c r="E6156" s="3">
        <v>0</v>
      </c>
      <c r="F6156" s="2">
        <v>1966</v>
      </c>
      <c r="G6156" s="2">
        <v>96</v>
      </c>
      <c r="H6156" s="2">
        <v>436</v>
      </c>
      <c r="I6156" s="2">
        <v>328</v>
      </c>
      <c r="J6156" s="2">
        <v>1635</v>
      </c>
      <c r="K6156" s="2">
        <v>1</v>
      </c>
      <c r="L6156" s="2">
        <v>419</v>
      </c>
    </row>
    <row r="6157" spans="1:12" x14ac:dyDescent="0.25">
      <c r="A6157" s="4" t="str">
        <f>HYPERLINK("http://www.rosaceae.org/Prunus/Prunus_persica/p.persica_gdr_reftransV1_0007886","p.persica_gdr_reftransV1_0007886")</f>
        <v>p.persica_gdr_reftransV1_0007886</v>
      </c>
      <c r="B6157" s="2">
        <v>761</v>
      </c>
      <c r="C6157" s="4" t="str">
        <f>HYPERLINK("http://www.uniprot.org/uniprot/M5VHK0","M5VHK0")</f>
        <v>M5VHK0</v>
      </c>
      <c r="D6157" s="2" t="s">
        <v>5574</v>
      </c>
      <c r="E6157" s="3">
        <v>3.8900000000000002E-21</v>
      </c>
      <c r="F6157" s="2">
        <v>247</v>
      </c>
      <c r="G6157" s="2">
        <v>100</v>
      </c>
      <c r="H6157" s="2">
        <v>48</v>
      </c>
      <c r="I6157" s="2">
        <v>551</v>
      </c>
      <c r="J6157" s="2">
        <v>694</v>
      </c>
      <c r="K6157" s="2">
        <v>233</v>
      </c>
      <c r="L6157" s="2">
        <v>280</v>
      </c>
    </row>
    <row r="6158" spans="1:12" x14ac:dyDescent="0.25">
      <c r="A6158" s="4" t="str">
        <f>HYPERLINK("http://www.rosaceae.org/Prunus/Prunus_persica/p.persica_gdr_reftransV1_0008936","p.persica_gdr_reftransV1_0008936")</f>
        <v>p.persica_gdr_reftransV1_0008936</v>
      </c>
      <c r="B6158" s="2">
        <v>2220</v>
      </c>
      <c r="C6158" s="4" t="str">
        <f>HYPERLINK("http://www.uniprot.org/uniprot/M5WF62","M5WF62")</f>
        <v>M5WF62</v>
      </c>
      <c r="D6158" s="2" t="s">
        <v>5575</v>
      </c>
      <c r="E6158" s="3">
        <v>0</v>
      </c>
      <c r="F6158" s="2">
        <v>2684</v>
      </c>
      <c r="G6158" s="2">
        <v>100</v>
      </c>
      <c r="H6158" s="2">
        <v>522</v>
      </c>
      <c r="I6158" s="2">
        <v>336</v>
      </c>
      <c r="J6158" s="2">
        <v>1901</v>
      </c>
      <c r="K6158" s="2">
        <v>1</v>
      </c>
      <c r="L6158" s="2">
        <v>522</v>
      </c>
    </row>
    <row r="6159" spans="1:12" x14ac:dyDescent="0.25">
      <c r="A6159" s="4" t="str">
        <f>HYPERLINK("http://www.rosaceae.org/Prunus/Prunus_persica/p.persica_gdr_reftransV1_0009636","p.persica_gdr_reftransV1_0009636")</f>
        <v>p.persica_gdr_reftransV1_0009636</v>
      </c>
      <c r="B6159" s="2">
        <v>1186</v>
      </c>
      <c r="C6159" s="4" t="str">
        <f>HYPERLINK("http://www.uniprot.org/uniprot/M5X5R0","M5X5R0")</f>
        <v>M5X5R0</v>
      </c>
      <c r="D6159" s="2" t="s">
        <v>5576</v>
      </c>
      <c r="E6159" s="3">
        <v>2.6600000000000001E-119</v>
      </c>
      <c r="F6159" s="2">
        <v>945</v>
      </c>
      <c r="G6159" s="2">
        <v>86</v>
      </c>
      <c r="H6159" s="2">
        <v>243</v>
      </c>
      <c r="I6159" s="2">
        <v>128</v>
      </c>
      <c r="J6159" s="2">
        <v>790</v>
      </c>
      <c r="K6159" s="2">
        <v>1</v>
      </c>
      <c r="L6159" s="2">
        <v>243</v>
      </c>
    </row>
    <row r="6160" spans="1:12" x14ac:dyDescent="0.25">
      <c r="A6160" s="4" t="str">
        <f>HYPERLINK("http://www.rosaceae.org/Prunus/Prunus_persica/p.persica_gdr_reftransV1_0009986","p.persica_gdr_reftransV1_0009986")</f>
        <v>p.persica_gdr_reftransV1_0009986</v>
      </c>
      <c r="B6160" s="2">
        <v>1041</v>
      </c>
      <c r="C6160" s="4" t="str">
        <f>HYPERLINK("http://www.uniprot.org/uniprot/V4TLA5","V4TLA5")</f>
        <v>V4TLA5</v>
      </c>
      <c r="D6160" s="2" t="s">
        <v>5577</v>
      </c>
      <c r="E6160" s="3">
        <v>4.7199999999999998E-50</v>
      </c>
      <c r="F6160" s="2">
        <v>442</v>
      </c>
      <c r="G6160" s="2">
        <v>84</v>
      </c>
      <c r="H6160" s="2">
        <v>96</v>
      </c>
      <c r="I6160" s="2">
        <v>477</v>
      </c>
      <c r="J6160" s="2">
        <v>764</v>
      </c>
      <c r="K6160" s="2">
        <v>31</v>
      </c>
      <c r="L6160" s="2">
        <v>126</v>
      </c>
    </row>
    <row r="6161" spans="1:12" x14ac:dyDescent="0.25">
      <c r="A6161" s="4" t="str">
        <f>HYPERLINK("http://www.rosaceae.org/Prunus/Prunus_persica/p.persica_gdr_reftransV1_0010336","p.persica_gdr_reftransV1_0010336")</f>
        <v>p.persica_gdr_reftransV1_0010336</v>
      </c>
      <c r="B6161" s="2">
        <v>1780</v>
      </c>
      <c r="C6161" s="4" t="str">
        <f>HYPERLINK("http://www.uniprot.org/uniprot/M5X1F8","M5X1F8")</f>
        <v>M5X1F8</v>
      </c>
      <c r="D6161" s="2" t="s">
        <v>5578</v>
      </c>
      <c r="E6161" s="3">
        <v>0</v>
      </c>
      <c r="F6161" s="2">
        <v>1169</v>
      </c>
      <c r="G6161" s="2">
        <v>99</v>
      </c>
      <c r="H6161" s="2">
        <v>244</v>
      </c>
      <c r="I6161" s="2">
        <v>939</v>
      </c>
      <c r="J6161" s="2">
        <v>1670</v>
      </c>
      <c r="K6161" s="2">
        <v>1</v>
      </c>
      <c r="L6161" s="2">
        <v>244</v>
      </c>
    </row>
    <row r="6162" spans="1:12" x14ac:dyDescent="0.25">
      <c r="A6162" s="4" t="str">
        <f>HYPERLINK("http://www.rosaceae.org/Prunus/Prunus_persica/p.persica_gdr_reftransV1_0010686","p.persica_gdr_reftransV1_0010686")</f>
        <v>p.persica_gdr_reftransV1_0010686</v>
      </c>
      <c r="B6162" s="2">
        <v>562</v>
      </c>
      <c r="C6162" s="4" t="str">
        <f>HYPERLINK("http://www.uniprot.org/uniprot/M5W6K9","M5W6K9")</f>
        <v>M5W6K9</v>
      </c>
      <c r="D6162" s="2" t="s">
        <v>5579</v>
      </c>
      <c r="E6162" s="3">
        <v>1.14E-116</v>
      </c>
      <c r="F6162" s="2">
        <v>885</v>
      </c>
      <c r="G6162" s="2">
        <v>100</v>
      </c>
      <c r="H6162" s="2">
        <v>163</v>
      </c>
      <c r="I6162" s="2">
        <v>1</v>
      </c>
      <c r="J6162" s="2">
        <v>489</v>
      </c>
      <c r="K6162" s="2">
        <v>140</v>
      </c>
      <c r="L6162" s="2">
        <v>302</v>
      </c>
    </row>
    <row r="6163" spans="1:12" x14ac:dyDescent="0.25">
      <c r="A6163" s="4" t="str">
        <f>HYPERLINK("http://www.rosaceae.org/Prunus/Prunus_persica/p.persica_gdr_reftransV1_0011036","p.persica_gdr_reftransV1_0011036")</f>
        <v>p.persica_gdr_reftransV1_0011036</v>
      </c>
      <c r="B6163" s="2">
        <v>532</v>
      </c>
      <c r="C6163" s="4" t="str">
        <f>HYPERLINK("http://www.uniprot.org/uniprot/M5VMU8","M5VMU8")</f>
        <v>M5VMU8</v>
      </c>
      <c r="D6163" s="2" t="s">
        <v>1346</v>
      </c>
      <c r="E6163" s="3">
        <v>4.6600000000000002E-84</v>
      </c>
      <c r="F6163" s="2">
        <v>673</v>
      </c>
      <c r="G6163" s="2">
        <v>100</v>
      </c>
      <c r="H6163" s="2">
        <v>139</v>
      </c>
      <c r="I6163" s="2">
        <v>114</v>
      </c>
      <c r="J6163" s="2">
        <v>530</v>
      </c>
      <c r="K6163" s="2">
        <v>1</v>
      </c>
      <c r="L6163" s="2">
        <v>139</v>
      </c>
    </row>
    <row r="6164" spans="1:12" x14ac:dyDescent="0.25">
      <c r="A6164" s="4" t="str">
        <f>HYPERLINK("http://www.rosaceae.org/Prunus/Prunus_persica/p.persica_gdr_reftransV1_0012786","p.persica_gdr_reftransV1_0012786")</f>
        <v>p.persica_gdr_reftransV1_0012786</v>
      </c>
      <c r="B6164" s="2">
        <v>1501</v>
      </c>
      <c r="C6164" s="4" t="str">
        <f>HYPERLINK("http://www.uniprot.org/uniprot/M5WBR3","M5WBR3")</f>
        <v>M5WBR3</v>
      </c>
      <c r="D6164" s="2" t="s">
        <v>5580</v>
      </c>
      <c r="E6164" s="3">
        <v>0</v>
      </c>
      <c r="F6164" s="2">
        <v>1883</v>
      </c>
      <c r="G6164" s="2">
        <v>100</v>
      </c>
      <c r="H6164" s="2">
        <v>377</v>
      </c>
      <c r="I6164" s="2">
        <v>179</v>
      </c>
      <c r="J6164" s="2">
        <v>1309</v>
      </c>
      <c r="K6164" s="2">
        <v>296</v>
      </c>
      <c r="L6164" s="2">
        <v>672</v>
      </c>
    </row>
    <row r="6165" spans="1:12" x14ac:dyDescent="0.25">
      <c r="A6165" s="4" t="str">
        <f>HYPERLINK("http://www.rosaceae.org/Prunus/Prunus_persica/p.persica_gdr_reftransV1_0013136","p.persica_gdr_reftransV1_0013136")</f>
        <v>p.persica_gdr_reftransV1_0013136</v>
      </c>
      <c r="B6165" s="2">
        <v>2201</v>
      </c>
      <c r="C6165" s="4" t="str">
        <f>HYPERLINK("http://www.uniprot.org/uniprot/M5XRT5","M5XRT5")</f>
        <v>M5XRT5</v>
      </c>
      <c r="D6165" s="2" t="s">
        <v>5581</v>
      </c>
      <c r="E6165" s="3">
        <v>0</v>
      </c>
      <c r="F6165" s="2">
        <v>2960</v>
      </c>
      <c r="G6165" s="2">
        <v>100</v>
      </c>
      <c r="H6165" s="2">
        <v>553</v>
      </c>
      <c r="I6165" s="2">
        <v>103</v>
      </c>
      <c r="J6165" s="2">
        <v>1761</v>
      </c>
      <c r="K6165" s="2">
        <v>1</v>
      </c>
      <c r="L6165" s="2">
        <v>553</v>
      </c>
    </row>
    <row r="6166" spans="1:12" x14ac:dyDescent="0.25">
      <c r="A6166" s="4" t="str">
        <f>HYPERLINK("http://www.rosaceae.org/Prunus/Prunus_persica/p.persica_gdr_reftransV1_0013486","p.persica_gdr_reftransV1_0013486")</f>
        <v>p.persica_gdr_reftransV1_0013486</v>
      </c>
      <c r="B6166" s="2">
        <v>2637</v>
      </c>
      <c r="C6166" s="4" t="str">
        <f>HYPERLINK("http://www.uniprot.org/uniprot/M5WV13","M5WV13")</f>
        <v>M5WV13</v>
      </c>
      <c r="D6166" s="2" t="s">
        <v>5582</v>
      </c>
      <c r="E6166" s="3">
        <v>2.8700000000000001E-92</v>
      </c>
      <c r="F6166" s="2">
        <v>779</v>
      </c>
      <c r="G6166" s="2">
        <v>100</v>
      </c>
      <c r="H6166" s="2">
        <v>147</v>
      </c>
      <c r="I6166" s="2">
        <v>1886</v>
      </c>
      <c r="J6166" s="2">
        <v>2326</v>
      </c>
      <c r="K6166" s="2">
        <v>1</v>
      </c>
      <c r="L6166" s="2">
        <v>147</v>
      </c>
    </row>
    <row r="6167" spans="1:12" x14ac:dyDescent="0.25">
      <c r="A6167" s="4" t="str">
        <f>HYPERLINK("http://www.rosaceae.org/Prunus/Prunus_persica/p.persica_gdr_reftransV1_0016286","p.persica_gdr_reftransV1_0016286")</f>
        <v>p.persica_gdr_reftransV1_0016286</v>
      </c>
      <c r="B6167" s="2">
        <v>2509</v>
      </c>
      <c r="C6167" s="4" t="str">
        <f>HYPERLINK("http://www.uniprot.org/uniprot/M5W865","M5W865")</f>
        <v>M5W865</v>
      </c>
      <c r="D6167" s="2" t="s">
        <v>5583</v>
      </c>
      <c r="E6167" s="3">
        <v>0</v>
      </c>
      <c r="F6167" s="2">
        <v>3055</v>
      </c>
      <c r="G6167" s="2">
        <v>100</v>
      </c>
      <c r="H6167" s="2">
        <v>583</v>
      </c>
      <c r="I6167" s="2">
        <v>621</v>
      </c>
      <c r="J6167" s="2">
        <v>2369</v>
      </c>
      <c r="K6167" s="2">
        <v>19</v>
      </c>
      <c r="L6167" s="2">
        <v>601</v>
      </c>
    </row>
    <row r="6168" spans="1:12" x14ac:dyDescent="0.25">
      <c r="A6168" s="4" t="str">
        <f>HYPERLINK("http://www.rosaceae.org/Prunus/Prunus_persica/p.persica_gdr_reftransV1_0016986","p.persica_gdr_reftransV1_0016986")</f>
        <v>p.persica_gdr_reftransV1_0016986</v>
      </c>
      <c r="B6168" s="2">
        <v>3466</v>
      </c>
      <c r="C6168" s="4" t="str">
        <f>HYPERLINK("http://www.uniprot.org/uniprot/A0A067KDU4","A0A067KDU4")</f>
        <v>A0A067KDU4</v>
      </c>
      <c r="D6168" s="2" t="s">
        <v>5584</v>
      </c>
      <c r="E6168" s="3">
        <v>0</v>
      </c>
      <c r="F6168" s="2">
        <v>4421</v>
      </c>
      <c r="G6168" s="2">
        <v>85</v>
      </c>
      <c r="H6168" s="2">
        <v>968</v>
      </c>
      <c r="I6168" s="2">
        <v>73</v>
      </c>
      <c r="J6168" s="2">
        <v>2976</v>
      </c>
      <c r="K6168" s="2">
        <v>1</v>
      </c>
      <c r="L6168" s="2">
        <v>964</v>
      </c>
    </row>
    <row r="6169" spans="1:12" x14ac:dyDescent="0.25">
      <c r="A6169" s="4" t="str">
        <f>HYPERLINK("http://www.rosaceae.org/Prunus/Prunus_persica/p.persica_gdr_reftransV1_0017336","p.persica_gdr_reftransV1_0017336")</f>
        <v>p.persica_gdr_reftransV1_0017336</v>
      </c>
      <c r="B6169" s="2">
        <v>1922</v>
      </c>
      <c r="C6169" s="4" t="str">
        <f>HYPERLINK("http://www.uniprot.org/uniprot/M5X357","M5X357")</f>
        <v>M5X357</v>
      </c>
      <c r="D6169" s="2" t="s">
        <v>5585</v>
      </c>
      <c r="E6169" s="3">
        <v>0</v>
      </c>
      <c r="F6169" s="2">
        <v>1657</v>
      </c>
      <c r="G6169" s="2">
        <v>100</v>
      </c>
      <c r="H6169" s="2">
        <v>305</v>
      </c>
      <c r="I6169" s="2">
        <v>307</v>
      </c>
      <c r="J6169" s="2">
        <v>1221</v>
      </c>
      <c r="K6169" s="2">
        <v>1</v>
      </c>
      <c r="L6169" s="2">
        <v>305</v>
      </c>
    </row>
    <row r="6170" spans="1:12" x14ac:dyDescent="0.25">
      <c r="A6170" s="4" t="str">
        <f>HYPERLINK("http://www.rosaceae.org/Prunus/Prunus_persica/p.persica_gdr_reftransV1_0018386","p.persica_gdr_reftransV1_0018386")</f>
        <v>p.persica_gdr_reftransV1_0018386</v>
      </c>
      <c r="B6170" s="2">
        <v>2442</v>
      </c>
      <c r="C6170" s="4" t="str">
        <f>HYPERLINK("http://www.uniprot.org/uniprot/M5XJM8","M5XJM8")</f>
        <v>M5XJM8</v>
      </c>
      <c r="D6170" s="2" t="s">
        <v>2952</v>
      </c>
      <c r="E6170" s="3">
        <v>8.1499999999999998E-116</v>
      </c>
      <c r="F6170" s="2">
        <v>949</v>
      </c>
      <c r="G6170" s="2">
        <v>100</v>
      </c>
      <c r="H6170" s="2">
        <v>174</v>
      </c>
      <c r="I6170" s="2">
        <v>137</v>
      </c>
      <c r="J6170" s="2">
        <v>658</v>
      </c>
      <c r="K6170" s="2">
        <v>256</v>
      </c>
      <c r="L6170" s="2">
        <v>429</v>
      </c>
    </row>
    <row r="6171" spans="1:12" x14ac:dyDescent="0.25">
      <c r="A6171" s="4" t="str">
        <f>HYPERLINK("http://www.rosaceae.org/Prunus/Prunus_persica/p.persica_gdr_reftransV1_0020136","p.persica_gdr_reftransV1_0020136")</f>
        <v>p.persica_gdr_reftransV1_0020136</v>
      </c>
      <c r="B6171" s="2">
        <v>1158</v>
      </c>
      <c r="C6171" s="4" t="str">
        <f>HYPERLINK("http://www.uniprot.org/uniprot/M5VUC7","M5VUC7")</f>
        <v>M5VUC7</v>
      </c>
      <c r="D6171" s="2" t="s">
        <v>131</v>
      </c>
      <c r="E6171" s="3">
        <v>2.2800000000000001E-111</v>
      </c>
      <c r="F6171" s="2">
        <v>925</v>
      </c>
      <c r="G6171" s="2">
        <v>100</v>
      </c>
      <c r="H6171" s="2">
        <v>190</v>
      </c>
      <c r="I6171" s="2">
        <v>587</v>
      </c>
      <c r="J6171" s="2">
        <v>1156</v>
      </c>
      <c r="K6171" s="2">
        <v>833</v>
      </c>
      <c r="L6171" s="2">
        <v>1022</v>
      </c>
    </row>
    <row r="6172" spans="1:12" x14ac:dyDescent="0.25">
      <c r="A6172" s="4" t="str">
        <f>HYPERLINK("http://www.rosaceae.org/Prunus/Prunus_persica/p.persica_gdr_reftransV1_0020486","p.persica_gdr_reftransV1_0020486")</f>
        <v>p.persica_gdr_reftransV1_0020486</v>
      </c>
      <c r="B6172" s="2">
        <v>2701</v>
      </c>
      <c r="C6172" s="4" t="str">
        <f>HYPERLINK("http://www.uniprot.org/uniprot/M5WEX7","M5WEX7")</f>
        <v>M5WEX7</v>
      </c>
      <c r="D6172" s="2" t="s">
        <v>4281</v>
      </c>
      <c r="E6172" s="3">
        <v>0</v>
      </c>
      <c r="F6172" s="2">
        <v>4478</v>
      </c>
      <c r="G6172" s="2">
        <v>97</v>
      </c>
      <c r="H6172" s="2">
        <v>896</v>
      </c>
      <c r="I6172" s="2">
        <v>70</v>
      </c>
      <c r="J6172" s="2">
        <v>2700</v>
      </c>
      <c r="K6172" s="2">
        <v>268</v>
      </c>
      <c r="L6172" s="2">
        <v>1152</v>
      </c>
    </row>
    <row r="6173" spans="1:12" x14ac:dyDescent="0.25">
      <c r="A6173" s="4" t="str">
        <f>HYPERLINK("http://www.rosaceae.org/Prunus/Prunus_persica/p.persica_gdr_reftransV1_0022236","p.persica_gdr_reftransV1_0022236")</f>
        <v>p.persica_gdr_reftransV1_0022236</v>
      </c>
      <c r="B6173" s="2">
        <v>1687</v>
      </c>
      <c r="C6173" s="4" t="str">
        <f>HYPERLINK("http://www.uniprot.org/uniprot/M5XQX7","M5XQX7")</f>
        <v>M5XQX7</v>
      </c>
      <c r="D6173" s="2" t="s">
        <v>5586</v>
      </c>
      <c r="E6173" s="3">
        <v>0</v>
      </c>
      <c r="F6173" s="2">
        <v>1710</v>
      </c>
      <c r="G6173" s="2">
        <v>100</v>
      </c>
      <c r="H6173" s="2">
        <v>321</v>
      </c>
      <c r="I6173" s="2">
        <v>260</v>
      </c>
      <c r="J6173" s="2">
        <v>1222</v>
      </c>
      <c r="K6173" s="2">
        <v>1</v>
      </c>
      <c r="L6173" s="2">
        <v>321</v>
      </c>
    </row>
    <row r="6174" spans="1:12" x14ac:dyDescent="0.25">
      <c r="A6174" s="4" t="str">
        <f>HYPERLINK("http://www.rosaceae.org/Prunus/Prunus_persica/p.persica_gdr_reftransV1_0023286","p.persica_gdr_reftransV1_0023286")</f>
        <v>p.persica_gdr_reftransV1_0023286</v>
      </c>
      <c r="B6174" s="2">
        <v>1744</v>
      </c>
      <c r="C6174" s="4" t="str">
        <f>HYPERLINK("http://www.uniprot.org/uniprot/M5XDD2","M5XDD2")</f>
        <v>M5XDD2</v>
      </c>
      <c r="D6174" s="2" t="s">
        <v>5587</v>
      </c>
      <c r="E6174" s="3">
        <v>6.2100000000000001E-133</v>
      </c>
      <c r="F6174" s="2">
        <v>1026</v>
      </c>
      <c r="G6174" s="2">
        <v>100</v>
      </c>
      <c r="H6174" s="2">
        <v>194</v>
      </c>
      <c r="I6174" s="2">
        <v>323</v>
      </c>
      <c r="J6174" s="2">
        <v>904</v>
      </c>
      <c r="K6174" s="2">
        <v>38</v>
      </c>
      <c r="L6174" s="2">
        <v>231</v>
      </c>
    </row>
    <row r="6175" spans="1:12" x14ac:dyDescent="0.25">
      <c r="A6175" s="4" t="str">
        <f>HYPERLINK("http://www.rosaceae.org/Prunus/Prunus_persica/p.persica_gdr_reftransV1_0024336","p.persica_gdr_reftransV1_0024336")</f>
        <v>p.persica_gdr_reftransV1_0024336</v>
      </c>
      <c r="B6175" s="2">
        <v>1344</v>
      </c>
      <c r="C6175" s="4" t="str">
        <f>HYPERLINK("http://www.uniprot.org/uniprot/M5VYT6","M5VYT6")</f>
        <v>M5VYT6</v>
      </c>
      <c r="D6175" s="2" t="s">
        <v>5588</v>
      </c>
      <c r="E6175" s="3">
        <v>0</v>
      </c>
      <c r="F6175" s="2">
        <v>1788</v>
      </c>
      <c r="G6175" s="2">
        <v>99</v>
      </c>
      <c r="H6175" s="2">
        <v>361</v>
      </c>
      <c r="I6175" s="2">
        <v>92</v>
      </c>
      <c r="J6175" s="2">
        <v>1174</v>
      </c>
      <c r="K6175" s="2">
        <v>1</v>
      </c>
      <c r="L6175" s="2">
        <v>361</v>
      </c>
    </row>
    <row r="6176" spans="1:12" x14ac:dyDescent="0.25">
      <c r="A6176" s="4" t="str">
        <f>HYPERLINK("http://www.rosaceae.org/Prunus/Prunus_persica/p.persica_gdr_reftransV1_0024686","p.persica_gdr_reftransV1_0024686")</f>
        <v>p.persica_gdr_reftransV1_0024686</v>
      </c>
      <c r="B6176" s="2">
        <v>4153</v>
      </c>
      <c r="C6176" s="4" t="str">
        <f>HYPERLINK("http://www.uniprot.org/uniprot/M5XHI0","M5XHI0")</f>
        <v>M5XHI0</v>
      </c>
      <c r="D6176" s="2" t="s">
        <v>5589</v>
      </c>
      <c r="E6176" s="3">
        <v>0</v>
      </c>
      <c r="F6176" s="2">
        <v>1501</v>
      </c>
      <c r="G6176" s="2">
        <v>100</v>
      </c>
      <c r="H6176" s="2">
        <v>298</v>
      </c>
      <c r="I6176" s="2">
        <v>3158</v>
      </c>
      <c r="J6176" s="2">
        <v>4051</v>
      </c>
      <c r="K6176" s="2">
        <v>15</v>
      </c>
      <c r="L6176" s="2">
        <v>312</v>
      </c>
    </row>
    <row r="6177" spans="1:12" x14ac:dyDescent="0.25">
      <c r="A6177" s="4" t="str">
        <f>HYPERLINK("http://www.rosaceae.org/Prunus/Prunus_persica/p.persica_gdr_reftransV1_0025036","p.persica_gdr_reftransV1_0025036")</f>
        <v>p.persica_gdr_reftransV1_0025036</v>
      </c>
      <c r="B6177" s="2">
        <v>3121</v>
      </c>
      <c r="C6177" s="4" t="str">
        <f>HYPERLINK("http://www.uniprot.org/uniprot/M5X9N2","M5X9N2")</f>
        <v>M5X9N2</v>
      </c>
      <c r="D6177" s="2" t="s">
        <v>143</v>
      </c>
      <c r="E6177" s="3">
        <v>0</v>
      </c>
      <c r="F6177" s="2">
        <v>4712</v>
      </c>
      <c r="G6177" s="2">
        <v>97</v>
      </c>
      <c r="H6177" s="2">
        <v>977</v>
      </c>
      <c r="I6177" s="2">
        <v>189</v>
      </c>
      <c r="J6177" s="2">
        <v>3119</v>
      </c>
      <c r="K6177" s="2">
        <v>213</v>
      </c>
      <c r="L6177" s="2">
        <v>1165</v>
      </c>
    </row>
    <row r="6178" spans="1:12" x14ac:dyDescent="0.25">
      <c r="A6178" s="4" t="str">
        <f>HYPERLINK("http://www.rosaceae.org/Prunus/Prunus_persica/p.persica_gdr_reftransV1_0025386","p.persica_gdr_reftransV1_0025386")</f>
        <v>p.persica_gdr_reftransV1_0025386</v>
      </c>
      <c r="B6178" s="2">
        <v>3026</v>
      </c>
      <c r="C6178" s="4" t="str">
        <f>HYPERLINK("http://www.uniprot.org/uniprot/M5W948","M5W948")</f>
        <v>M5W948</v>
      </c>
      <c r="D6178" s="2" t="s">
        <v>5590</v>
      </c>
      <c r="E6178" s="3">
        <v>0</v>
      </c>
      <c r="F6178" s="2">
        <v>1658</v>
      </c>
      <c r="G6178" s="2">
        <v>100</v>
      </c>
      <c r="H6178" s="2">
        <v>313</v>
      </c>
      <c r="I6178" s="2">
        <v>748</v>
      </c>
      <c r="J6178" s="2">
        <v>1686</v>
      </c>
      <c r="K6178" s="2">
        <v>272</v>
      </c>
      <c r="L6178" s="2">
        <v>584</v>
      </c>
    </row>
    <row r="6179" spans="1:12" x14ac:dyDescent="0.25">
      <c r="A6179" s="4" t="str">
        <f>HYPERLINK("http://www.rosaceae.org/Prunus/Prunus_persica/p.persica_gdr_reftransV1_0027486","p.persica_gdr_reftransV1_0027486")</f>
        <v>p.persica_gdr_reftransV1_0027486</v>
      </c>
      <c r="B6179" s="2">
        <v>2392</v>
      </c>
      <c r="C6179" s="4" t="str">
        <f>HYPERLINK("http://www.uniprot.org/uniprot/M5W1M6","M5W1M6")</f>
        <v>M5W1M6</v>
      </c>
      <c r="D6179" s="2" t="s">
        <v>5591</v>
      </c>
      <c r="E6179" s="3">
        <v>0</v>
      </c>
      <c r="F6179" s="2">
        <v>3331</v>
      </c>
      <c r="G6179" s="2">
        <v>100</v>
      </c>
      <c r="H6179" s="2">
        <v>652</v>
      </c>
      <c r="I6179" s="2">
        <v>227</v>
      </c>
      <c r="J6179" s="2">
        <v>2182</v>
      </c>
      <c r="K6179" s="2">
        <v>1</v>
      </c>
      <c r="L6179" s="2">
        <v>652</v>
      </c>
    </row>
    <row r="6180" spans="1:12" x14ac:dyDescent="0.25">
      <c r="A6180" s="4" t="str">
        <f>HYPERLINK("http://www.rosaceae.org/Prunus/Prunus_persica/p.persica_gdr_reftransV1_0027836","p.persica_gdr_reftransV1_0027836")</f>
        <v>p.persica_gdr_reftransV1_0027836</v>
      </c>
      <c r="B6180" s="2">
        <v>9301</v>
      </c>
      <c r="C6180" s="4" t="str">
        <f>HYPERLINK("http://www.uniprot.org/uniprot/M5XRX2","M5XRX2")</f>
        <v>M5XRX2</v>
      </c>
      <c r="D6180" s="2" t="s">
        <v>5592</v>
      </c>
      <c r="E6180" s="3">
        <v>0</v>
      </c>
      <c r="F6180" s="2">
        <v>9480</v>
      </c>
      <c r="G6180" s="2">
        <v>100</v>
      </c>
      <c r="H6180" s="2">
        <v>1899</v>
      </c>
      <c r="I6180" s="2">
        <v>1709</v>
      </c>
      <c r="J6180" s="2">
        <v>7405</v>
      </c>
      <c r="K6180" s="2">
        <v>309</v>
      </c>
      <c r="L6180" s="2">
        <v>2207</v>
      </c>
    </row>
    <row r="6181" spans="1:12" x14ac:dyDescent="0.25">
      <c r="A6181" s="4" t="str">
        <f>HYPERLINK("http://www.rosaceae.org/Prunus/Prunus_persica/p.persica_gdr_reftransV1_0028186","p.persica_gdr_reftransV1_0028186")</f>
        <v>p.persica_gdr_reftransV1_0028186</v>
      </c>
      <c r="B6181" s="2">
        <v>1885</v>
      </c>
      <c r="C6181" s="4" t="str">
        <f>HYPERLINK("http://www.uniprot.org/uniprot/M5WJC1","M5WJC1")</f>
        <v>M5WJC1</v>
      </c>
      <c r="D6181" s="2" t="s">
        <v>5593</v>
      </c>
      <c r="E6181" s="3">
        <v>1.67E-90</v>
      </c>
      <c r="F6181" s="2">
        <v>750</v>
      </c>
      <c r="G6181" s="2">
        <v>88</v>
      </c>
      <c r="H6181" s="2">
        <v>163</v>
      </c>
      <c r="I6181" s="2">
        <v>398</v>
      </c>
      <c r="J6181" s="2">
        <v>883</v>
      </c>
      <c r="K6181" s="2">
        <v>11</v>
      </c>
      <c r="L6181" s="2">
        <v>173</v>
      </c>
    </row>
    <row r="6182" spans="1:12" x14ac:dyDescent="0.25">
      <c r="A6182" s="4" t="str">
        <f>HYPERLINK("http://www.rosaceae.org/Prunus/Prunus_persica/p.persica_gdr_reftransV1_0028886","p.persica_gdr_reftransV1_0028886")</f>
        <v>p.persica_gdr_reftransV1_0028886</v>
      </c>
      <c r="B6182" s="2">
        <v>1351</v>
      </c>
      <c r="C6182" s="4" t="str">
        <f>HYPERLINK("http://www.uniprot.org/uniprot/M5Y2L9","M5Y2L9")</f>
        <v>M5Y2L9</v>
      </c>
      <c r="D6182" s="2" t="s">
        <v>5594</v>
      </c>
      <c r="E6182" s="3">
        <v>0</v>
      </c>
      <c r="F6182" s="2">
        <v>2221</v>
      </c>
      <c r="G6182" s="2">
        <v>100</v>
      </c>
      <c r="H6182" s="2">
        <v>413</v>
      </c>
      <c r="I6182" s="2">
        <v>111</v>
      </c>
      <c r="J6182" s="2">
        <v>1349</v>
      </c>
      <c r="K6182" s="2">
        <v>1</v>
      </c>
      <c r="L6182" s="2">
        <v>413</v>
      </c>
    </row>
    <row r="6183" spans="1:12" x14ac:dyDescent="0.25">
      <c r="A6183" s="4" t="str">
        <f>HYPERLINK("http://www.rosaceae.org/Prunus/Prunus_persica/p.persica_gdr_reftransV1_0030636","p.persica_gdr_reftransV1_0030636")</f>
        <v>p.persica_gdr_reftransV1_0030636</v>
      </c>
      <c r="B6183" s="2">
        <v>3060</v>
      </c>
      <c r="C6183" s="4" t="str">
        <f>HYPERLINK("http://www.uniprot.org/uniprot/M5W2J4","M5W2J4")</f>
        <v>M5W2J4</v>
      </c>
      <c r="D6183" s="2" t="s">
        <v>5595</v>
      </c>
      <c r="E6183" s="3">
        <v>0</v>
      </c>
      <c r="F6183" s="2">
        <v>2652</v>
      </c>
      <c r="G6183" s="2">
        <v>100</v>
      </c>
      <c r="H6183" s="2">
        <v>538</v>
      </c>
      <c r="I6183" s="2">
        <v>355</v>
      </c>
      <c r="J6183" s="2">
        <v>1968</v>
      </c>
      <c r="K6183" s="2">
        <v>1</v>
      </c>
      <c r="L6183" s="2">
        <v>538</v>
      </c>
    </row>
    <row r="6184" spans="1:12" x14ac:dyDescent="0.25">
      <c r="A6184" s="4" t="str">
        <f>HYPERLINK("http://www.rosaceae.org/Prunus/Prunus_persica/p.persica_gdr_reftransV1_0030986","p.persica_gdr_reftransV1_0030986")</f>
        <v>p.persica_gdr_reftransV1_0030986</v>
      </c>
      <c r="B6184" s="2">
        <v>927</v>
      </c>
      <c r="C6184" s="4" t="str">
        <f>HYPERLINK("http://www.uniprot.org/uniprot/M5VLJ1","M5VLJ1")</f>
        <v>M5VLJ1</v>
      </c>
      <c r="D6184" s="2" t="s">
        <v>3069</v>
      </c>
      <c r="E6184" s="3">
        <v>2.1800000000000001E-173</v>
      </c>
      <c r="F6184" s="2">
        <v>1335</v>
      </c>
      <c r="G6184" s="2">
        <v>100</v>
      </c>
      <c r="H6184" s="2">
        <v>309</v>
      </c>
      <c r="I6184" s="2">
        <v>1</v>
      </c>
      <c r="J6184" s="2">
        <v>927</v>
      </c>
      <c r="K6184" s="2">
        <v>213</v>
      </c>
      <c r="L6184" s="2">
        <v>521</v>
      </c>
    </row>
    <row r="6185" spans="1:12" x14ac:dyDescent="0.25">
      <c r="A6185" s="4" t="str">
        <f>HYPERLINK("http://www.rosaceae.org/Prunus/Prunus_persica/p.persica_gdr_reftransV1_0032386","p.persica_gdr_reftransV1_0032386")</f>
        <v>p.persica_gdr_reftransV1_0032386</v>
      </c>
      <c r="B6185" s="2">
        <v>1778</v>
      </c>
      <c r="C6185" s="4" t="str">
        <f>HYPERLINK("http://www.uniprot.org/uniprot/M5VPS0","M5VPS0")</f>
        <v>M5VPS0</v>
      </c>
      <c r="D6185" s="2" t="s">
        <v>5596</v>
      </c>
      <c r="E6185" s="3">
        <v>0</v>
      </c>
      <c r="F6185" s="2">
        <v>2119</v>
      </c>
      <c r="G6185" s="2">
        <v>100</v>
      </c>
      <c r="H6185" s="2">
        <v>394</v>
      </c>
      <c r="I6185" s="2">
        <v>166</v>
      </c>
      <c r="J6185" s="2">
        <v>1347</v>
      </c>
      <c r="K6185" s="2">
        <v>1</v>
      </c>
      <c r="L6185" s="2">
        <v>394</v>
      </c>
    </row>
    <row r="6186" spans="1:12" x14ac:dyDescent="0.25">
      <c r="A6186" s="4" t="str">
        <f>HYPERLINK("http://www.rosaceae.org/Prunus/Prunus_persica/p.persica_gdr_reftransV1_0033436","p.persica_gdr_reftransV1_0033436")</f>
        <v>p.persica_gdr_reftransV1_0033436</v>
      </c>
      <c r="B6186" s="2">
        <v>2295</v>
      </c>
      <c r="C6186" s="4" t="str">
        <f>HYPERLINK("http://www.uniprot.org/uniprot/M5W2I3","M5W2I3")</f>
        <v>M5W2I3</v>
      </c>
      <c r="D6186" s="2" t="s">
        <v>5597</v>
      </c>
      <c r="E6186" s="3">
        <v>0</v>
      </c>
      <c r="F6186" s="2">
        <v>1806</v>
      </c>
      <c r="G6186" s="2">
        <v>93</v>
      </c>
      <c r="H6186" s="2">
        <v>399</v>
      </c>
      <c r="I6186" s="2">
        <v>522</v>
      </c>
      <c r="J6186" s="2">
        <v>1718</v>
      </c>
      <c r="K6186" s="2">
        <v>1</v>
      </c>
      <c r="L6186" s="2">
        <v>371</v>
      </c>
    </row>
    <row r="6187" spans="1:12" x14ac:dyDescent="0.25">
      <c r="A6187" s="4" t="str">
        <f>HYPERLINK("http://www.rosaceae.org/Prunus/Prunus_persica/p.persica_gdr_reftransV1_0033786","p.persica_gdr_reftransV1_0033786")</f>
        <v>p.persica_gdr_reftransV1_0033786</v>
      </c>
      <c r="B6187" s="2">
        <v>3718</v>
      </c>
      <c r="C6187" s="4" t="str">
        <f>HYPERLINK("http://www.uniprot.org/uniprot/M5XZ15","M5XZ15")</f>
        <v>M5XZ15</v>
      </c>
      <c r="D6187" s="2" t="s">
        <v>181</v>
      </c>
      <c r="E6187" s="3">
        <v>2.6200000000000001E-111</v>
      </c>
      <c r="F6187" s="2">
        <v>916</v>
      </c>
      <c r="G6187" s="2">
        <v>99</v>
      </c>
      <c r="H6187" s="2">
        <v>175</v>
      </c>
      <c r="I6187" s="2">
        <v>2872</v>
      </c>
      <c r="J6187" s="2">
        <v>3396</v>
      </c>
      <c r="K6187" s="2">
        <v>1</v>
      </c>
      <c r="L6187" s="2">
        <v>175</v>
      </c>
    </row>
    <row r="6188" spans="1:12" x14ac:dyDescent="0.25">
      <c r="A6188" s="4" t="str">
        <f>HYPERLINK("http://www.rosaceae.org/Prunus/Prunus_persica/p.persica_gdr_reftransV1_0034136","p.persica_gdr_reftransV1_0034136")</f>
        <v>p.persica_gdr_reftransV1_0034136</v>
      </c>
      <c r="B6188" s="2">
        <v>4574</v>
      </c>
      <c r="C6188" s="4" t="str">
        <f>HYPERLINK("http://www.uniprot.org/uniprot/M5XZU2","M5XZU2")</f>
        <v>M5XZU2</v>
      </c>
      <c r="D6188" s="2" t="s">
        <v>5598</v>
      </c>
      <c r="E6188" s="3">
        <v>0</v>
      </c>
      <c r="F6188" s="2">
        <v>6502</v>
      </c>
      <c r="G6188" s="2">
        <v>94</v>
      </c>
      <c r="H6188" s="2">
        <v>1420</v>
      </c>
      <c r="I6188" s="2">
        <v>3</v>
      </c>
      <c r="J6188" s="2">
        <v>4262</v>
      </c>
      <c r="K6188" s="2">
        <v>861</v>
      </c>
      <c r="L6188" s="2">
        <v>2195</v>
      </c>
    </row>
    <row r="6189" spans="1:12" x14ac:dyDescent="0.25">
      <c r="A6189" s="4" t="str">
        <f>HYPERLINK("http://www.rosaceae.org/Prunus/Prunus_persica/p.persica_gdr_reftransV1_0035536","p.persica_gdr_reftransV1_0035536")</f>
        <v>p.persica_gdr_reftransV1_0035536</v>
      </c>
      <c r="B6189" s="2">
        <v>3567</v>
      </c>
      <c r="C6189" s="4" t="str">
        <f>HYPERLINK("http://www.uniprot.org/uniprot/M5W3Z9","M5W3Z9")</f>
        <v>M5W3Z9</v>
      </c>
      <c r="D6189" s="2" t="s">
        <v>5599</v>
      </c>
      <c r="E6189" s="3">
        <v>0</v>
      </c>
      <c r="F6189" s="2">
        <v>3162</v>
      </c>
      <c r="G6189" s="2">
        <v>100</v>
      </c>
      <c r="H6189" s="2">
        <v>628</v>
      </c>
      <c r="I6189" s="2">
        <v>1659</v>
      </c>
      <c r="J6189" s="2">
        <v>3542</v>
      </c>
      <c r="K6189" s="2">
        <v>1</v>
      </c>
      <c r="L6189" s="2">
        <v>628</v>
      </c>
    </row>
    <row r="6190" spans="1:12" x14ac:dyDescent="0.25">
      <c r="A6190" s="4" t="str">
        <f>HYPERLINK("http://www.rosaceae.org/Prunus/Prunus_persica/p.persica_gdr_reftransV1_0036936","p.persica_gdr_reftransV1_0036936")</f>
        <v>p.persica_gdr_reftransV1_0036936</v>
      </c>
      <c r="B6190" s="2">
        <v>2834</v>
      </c>
      <c r="C6190" s="4" t="str">
        <f>HYPERLINK("http://www.uniprot.org/uniprot/M5X4N6","M5X4N6")</f>
        <v>M5X4N6</v>
      </c>
      <c r="D6190" s="2" t="s">
        <v>5600</v>
      </c>
      <c r="E6190" s="3">
        <v>0</v>
      </c>
      <c r="F6190" s="2">
        <v>1587</v>
      </c>
      <c r="G6190" s="2">
        <v>100</v>
      </c>
      <c r="H6190" s="2">
        <v>295</v>
      </c>
      <c r="I6190" s="2">
        <v>1524</v>
      </c>
      <c r="J6190" s="2">
        <v>2408</v>
      </c>
      <c r="K6190" s="2">
        <v>187</v>
      </c>
      <c r="L6190" s="2">
        <v>481</v>
      </c>
    </row>
    <row r="6191" spans="1:12" x14ac:dyDescent="0.25">
      <c r="A6191" s="4" t="str">
        <f>HYPERLINK("http://www.rosaceae.org/Prunus/Prunus_persica/p.persica_gdr_reftransV1_0039036","p.persica_gdr_reftransV1_0039036")</f>
        <v>p.persica_gdr_reftransV1_0039036</v>
      </c>
      <c r="B6191" s="2">
        <v>1874</v>
      </c>
      <c r="C6191" s="4" t="str">
        <f>HYPERLINK("http://www.uniprot.org/uniprot/V9PBJ9","V9PBJ9")</f>
        <v>V9PBJ9</v>
      </c>
      <c r="D6191" s="2" t="s">
        <v>5601</v>
      </c>
      <c r="E6191" s="3">
        <v>1.73E-68</v>
      </c>
      <c r="F6191" s="2">
        <v>604</v>
      </c>
      <c r="G6191" s="2">
        <v>95</v>
      </c>
      <c r="H6191" s="2">
        <v>128</v>
      </c>
      <c r="I6191" s="2">
        <v>779</v>
      </c>
      <c r="J6191" s="2">
        <v>1150</v>
      </c>
      <c r="K6191" s="2">
        <v>130</v>
      </c>
      <c r="L6191" s="2">
        <v>257</v>
      </c>
    </row>
    <row r="6192" spans="1:12" x14ac:dyDescent="0.25">
      <c r="A6192" s="4" t="str">
        <f>HYPERLINK("http://www.rosaceae.org/Prunus/Prunus_persica/p.persica_gdr_reftransV1_0041486","p.persica_gdr_reftransV1_0041486")</f>
        <v>p.persica_gdr_reftransV1_0041486</v>
      </c>
      <c r="B6192" s="2">
        <v>1710</v>
      </c>
      <c r="C6192" s="4" t="str">
        <f>HYPERLINK("http://www.uniprot.org/uniprot/M5VYG9","M5VYG9")</f>
        <v>M5VYG9</v>
      </c>
      <c r="D6192" s="2" t="s">
        <v>5602</v>
      </c>
      <c r="E6192" s="3">
        <v>0</v>
      </c>
      <c r="F6192" s="2">
        <v>1432</v>
      </c>
      <c r="G6192" s="2">
        <v>100</v>
      </c>
      <c r="H6192" s="2">
        <v>294</v>
      </c>
      <c r="I6192" s="2">
        <v>735</v>
      </c>
      <c r="J6192" s="2">
        <v>1616</v>
      </c>
      <c r="K6192" s="2">
        <v>1</v>
      </c>
      <c r="L6192" s="2">
        <v>294</v>
      </c>
    </row>
    <row r="6193" spans="1:12" x14ac:dyDescent="0.25">
      <c r="A6193" s="4" t="str">
        <f>HYPERLINK("http://www.rosaceae.org/Prunus/Prunus_persica/p.persica_gdr_reftransV1_0042886","p.persica_gdr_reftransV1_0042886")</f>
        <v>p.persica_gdr_reftransV1_0042886</v>
      </c>
      <c r="B6193" s="2">
        <v>1262</v>
      </c>
      <c r="C6193" s="4" t="str">
        <f>HYPERLINK("http://www.uniprot.org/uniprot/M5VVZ6","M5VVZ6")</f>
        <v>M5VVZ6</v>
      </c>
      <c r="D6193" s="2" t="s">
        <v>5603</v>
      </c>
      <c r="E6193" s="3">
        <v>0</v>
      </c>
      <c r="F6193" s="2">
        <v>1638</v>
      </c>
      <c r="G6193" s="2">
        <v>100</v>
      </c>
      <c r="H6193" s="2">
        <v>306</v>
      </c>
      <c r="I6193" s="2">
        <v>62</v>
      </c>
      <c r="J6193" s="2">
        <v>979</v>
      </c>
      <c r="K6193" s="2">
        <v>30</v>
      </c>
      <c r="L6193" s="2">
        <v>335</v>
      </c>
    </row>
    <row r="6194" spans="1:12" x14ac:dyDescent="0.25">
      <c r="A6194" s="4" t="str">
        <f>HYPERLINK("http://www.rosaceae.org/Prunus/Prunus_persica/p.persica_gdr_reftransV1_0043236","p.persica_gdr_reftransV1_0043236")</f>
        <v>p.persica_gdr_reftransV1_0043236</v>
      </c>
      <c r="B6194" s="2">
        <v>1046</v>
      </c>
      <c r="C6194" s="4" t="str">
        <f>HYPERLINK("http://www.uniprot.org/uniprot/M5WPZ3","M5WPZ3")</f>
        <v>M5WPZ3</v>
      </c>
      <c r="D6194" s="2" t="s">
        <v>5604</v>
      </c>
      <c r="E6194" s="3">
        <v>0</v>
      </c>
      <c r="F6194" s="2">
        <v>1392</v>
      </c>
      <c r="G6194" s="2">
        <v>100</v>
      </c>
      <c r="H6194" s="2">
        <v>259</v>
      </c>
      <c r="I6194" s="2">
        <v>1</v>
      </c>
      <c r="J6194" s="2">
        <v>777</v>
      </c>
      <c r="K6194" s="2">
        <v>284</v>
      </c>
      <c r="L6194" s="2">
        <v>542</v>
      </c>
    </row>
    <row r="6195" spans="1:12" x14ac:dyDescent="0.25">
      <c r="A6195" s="4" t="str">
        <f>HYPERLINK("http://www.rosaceae.org/Prunus/Prunus_persica/p.persica_gdr_reftransV1_0044286","p.persica_gdr_reftransV1_0044286")</f>
        <v>p.persica_gdr_reftransV1_0044286</v>
      </c>
      <c r="B6195" s="2">
        <v>688</v>
      </c>
      <c r="C6195" s="4" t="str">
        <f>HYPERLINK("http://www.uniprot.org/uniprot/M5VJM1","M5VJM1")</f>
        <v>M5VJM1</v>
      </c>
      <c r="D6195" s="2" t="s">
        <v>5605</v>
      </c>
      <c r="E6195" s="3">
        <v>6.4800000000000001E-85</v>
      </c>
      <c r="F6195" s="2">
        <v>663</v>
      </c>
      <c r="G6195" s="2">
        <v>100</v>
      </c>
      <c r="H6195" s="2">
        <v>125</v>
      </c>
      <c r="I6195" s="2">
        <v>258</v>
      </c>
      <c r="J6195" s="2">
        <v>632</v>
      </c>
      <c r="K6195" s="2">
        <v>1</v>
      </c>
      <c r="L6195" s="2">
        <v>125</v>
      </c>
    </row>
    <row r="6196" spans="1:12" x14ac:dyDescent="0.25">
      <c r="A6196" s="4" t="str">
        <f>HYPERLINK("http://www.rosaceae.org/Prunus/Prunus_persica/p.persica_gdr_reftransV1_0044986","p.persica_gdr_reftransV1_0044986")</f>
        <v>p.persica_gdr_reftransV1_0044986</v>
      </c>
      <c r="B6196" s="2">
        <v>907</v>
      </c>
      <c r="C6196" s="4" t="str">
        <f>HYPERLINK("http://www.uniprot.org/uniprot/M5VSI2","M5VSI2")</f>
        <v>M5VSI2</v>
      </c>
      <c r="D6196" s="2" t="s">
        <v>5552</v>
      </c>
      <c r="E6196" s="3">
        <v>8.9200000000000002E-97</v>
      </c>
      <c r="F6196" s="2">
        <v>774</v>
      </c>
      <c r="G6196" s="2">
        <v>99</v>
      </c>
      <c r="H6196" s="2">
        <v>169</v>
      </c>
      <c r="I6196" s="2">
        <v>1</v>
      </c>
      <c r="J6196" s="2">
        <v>507</v>
      </c>
      <c r="K6196" s="2">
        <v>224</v>
      </c>
      <c r="L6196" s="2">
        <v>392</v>
      </c>
    </row>
    <row r="6197" spans="1:12" x14ac:dyDescent="0.25">
      <c r="A6197" s="4" t="str">
        <f>HYPERLINK("http://www.rosaceae.org/Prunus/Prunus_persica/p.persica_gdr_reftransV1_0046036","p.persica_gdr_reftransV1_0046036")</f>
        <v>p.persica_gdr_reftransV1_0046036</v>
      </c>
      <c r="B6197" s="2">
        <v>950</v>
      </c>
      <c r="C6197" s="4" t="str">
        <f>HYPERLINK("http://www.uniprot.org/uniprot/M5WF91","M5WF91")</f>
        <v>M5WF91</v>
      </c>
      <c r="D6197" s="2" t="s">
        <v>3254</v>
      </c>
      <c r="E6197" s="3">
        <v>2.2700000000000001E-92</v>
      </c>
      <c r="F6197" s="2">
        <v>745</v>
      </c>
      <c r="G6197" s="2">
        <v>100</v>
      </c>
      <c r="H6197" s="2">
        <v>140</v>
      </c>
      <c r="I6197" s="2">
        <v>3</v>
      </c>
      <c r="J6197" s="2">
        <v>422</v>
      </c>
      <c r="K6197" s="2">
        <v>248</v>
      </c>
      <c r="L6197" s="2">
        <v>387</v>
      </c>
    </row>
    <row r="6198" spans="1:12" x14ac:dyDescent="0.25">
      <c r="A6198" s="4" t="str">
        <f>HYPERLINK("http://www.rosaceae.org/Prunus/Prunus_persica/p.persica_gdr_reftransV1_0046736","p.persica_gdr_reftransV1_0046736")</f>
        <v>p.persica_gdr_reftransV1_0046736</v>
      </c>
      <c r="B6198" s="2">
        <v>330</v>
      </c>
      <c r="C6198" s="4" t="str">
        <f>HYPERLINK("http://www.uniprot.org/uniprot/M5WWH8","M5WWH8")</f>
        <v>M5WWH8</v>
      </c>
      <c r="D6198" s="2" t="s">
        <v>5555</v>
      </c>
      <c r="E6198" s="3">
        <v>4.54E-70</v>
      </c>
      <c r="F6198" s="2">
        <v>580</v>
      </c>
      <c r="G6198" s="2">
        <v>98</v>
      </c>
      <c r="H6198" s="2">
        <v>110</v>
      </c>
      <c r="I6198" s="2">
        <v>1</v>
      </c>
      <c r="J6198" s="2">
        <v>330</v>
      </c>
      <c r="K6198" s="2">
        <v>87</v>
      </c>
      <c r="L6198" s="2">
        <v>196</v>
      </c>
    </row>
    <row r="6199" spans="1:12" x14ac:dyDescent="0.25">
      <c r="A6199" s="4" t="str">
        <f>HYPERLINK("http://www.rosaceae.org/Prunus/Prunus_persica/p.persica_gdr_reftransV1_0047086","p.persica_gdr_reftransV1_0047086")</f>
        <v>p.persica_gdr_reftransV1_0047086</v>
      </c>
      <c r="B6199" s="2">
        <v>1502</v>
      </c>
      <c r="C6199" s="4" t="str">
        <f>HYPERLINK("http://www.uniprot.org/uniprot/M5WUM4","M5WUM4")</f>
        <v>M5WUM4</v>
      </c>
      <c r="D6199" s="2" t="s">
        <v>5606</v>
      </c>
      <c r="E6199" s="3">
        <v>0</v>
      </c>
      <c r="F6199" s="2">
        <v>1573</v>
      </c>
      <c r="G6199" s="2">
        <v>100</v>
      </c>
      <c r="H6199" s="2">
        <v>300</v>
      </c>
      <c r="I6199" s="2">
        <v>222</v>
      </c>
      <c r="J6199" s="2">
        <v>1121</v>
      </c>
      <c r="K6199" s="2">
        <v>1</v>
      </c>
      <c r="L6199" s="2">
        <v>300</v>
      </c>
    </row>
    <row r="6200" spans="1:12" x14ac:dyDescent="0.25">
      <c r="A6200" s="4" t="str">
        <f>HYPERLINK("http://www.rosaceae.org/Prunus/Prunus_persica/p.persica_gdr_reftransV1_0047436","p.persica_gdr_reftransV1_0047436")</f>
        <v>p.persica_gdr_reftransV1_0047436</v>
      </c>
      <c r="B6200" s="2">
        <v>1064</v>
      </c>
      <c r="C6200" s="4" t="str">
        <f>HYPERLINK("http://www.uniprot.org/uniprot/M5VU27","M5VU27")</f>
        <v>M5VU27</v>
      </c>
      <c r="D6200" s="2" t="s">
        <v>5607</v>
      </c>
      <c r="E6200" s="3">
        <v>0</v>
      </c>
      <c r="F6200" s="2">
        <v>1322</v>
      </c>
      <c r="G6200" s="2">
        <v>100</v>
      </c>
      <c r="H6200" s="2">
        <v>258</v>
      </c>
      <c r="I6200" s="2">
        <v>180</v>
      </c>
      <c r="J6200" s="2">
        <v>953</v>
      </c>
      <c r="K6200" s="2">
        <v>1</v>
      </c>
      <c r="L6200" s="2">
        <v>258</v>
      </c>
    </row>
    <row r="6201" spans="1:12" x14ac:dyDescent="0.25">
      <c r="A6201" s="4" t="str">
        <f>HYPERLINK("http://www.rosaceae.org/Prunus/Prunus_persica/p.persica_gdr_reftransV1_0047786","p.persica_gdr_reftransV1_0047786")</f>
        <v>p.persica_gdr_reftransV1_0047786</v>
      </c>
      <c r="B6201" s="2">
        <v>430</v>
      </c>
      <c r="C6201" s="4" t="str">
        <f>HYPERLINK("http://www.uniprot.org/uniprot/M5X8M8","M5X8M8")</f>
        <v>M5X8M8</v>
      </c>
      <c r="D6201" s="2" t="s">
        <v>5608</v>
      </c>
      <c r="E6201" s="3">
        <v>3.9299999999999999E-100</v>
      </c>
      <c r="F6201" s="2">
        <v>801</v>
      </c>
      <c r="G6201" s="2">
        <v>100</v>
      </c>
      <c r="H6201" s="2">
        <v>142</v>
      </c>
      <c r="I6201" s="2">
        <v>3</v>
      </c>
      <c r="J6201" s="2">
        <v>428</v>
      </c>
      <c r="K6201" s="2">
        <v>34</v>
      </c>
      <c r="L6201" s="2">
        <v>175</v>
      </c>
    </row>
    <row r="6202" spans="1:12" x14ac:dyDescent="0.25">
      <c r="A6202" s="4" t="str">
        <f>HYPERLINK("http://www.rosaceae.org/Prunus/Prunus_persica/p.persica_gdr_reftransV1_0048136","p.persica_gdr_reftransV1_0048136")</f>
        <v>p.persica_gdr_reftransV1_0048136</v>
      </c>
      <c r="B6202" s="2">
        <v>1311</v>
      </c>
      <c r="C6202" s="4" t="str">
        <f>HYPERLINK("http://www.uniprot.org/uniprot/M5WLS2","M5WLS2")</f>
        <v>M5WLS2</v>
      </c>
      <c r="D6202" s="2" t="s">
        <v>5609</v>
      </c>
      <c r="E6202" s="3">
        <v>7.9800000000000005E-123</v>
      </c>
      <c r="F6202" s="2">
        <v>962</v>
      </c>
      <c r="G6202" s="2">
        <v>98</v>
      </c>
      <c r="H6202" s="2">
        <v>213</v>
      </c>
      <c r="I6202" s="2">
        <v>411</v>
      </c>
      <c r="J6202" s="2">
        <v>1049</v>
      </c>
      <c r="K6202" s="2">
        <v>121</v>
      </c>
      <c r="L6202" s="2">
        <v>333</v>
      </c>
    </row>
    <row r="6203" spans="1:12" x14ac:dyDescent="0.25">
      <c r="A6203" s="4" t="str">
        <f>HYPERLINK("http://www.rosaceae.org/Prunus/Prunus_persica/p.persica_gdr_reftransV1_0048836","p.persica_gdr_reftransV1_0048836")</f>
        <v>p.persica_gdr_reftransV1_0048836</v>
      </c>
      <c r="B6203" s="2">
        <v>1518</v>
      </c>
      <c r="C6203" s="4" t="str">
        <f>HYPERLINK("http://www.uniprot.org/uniprot/M5XIJ2","M5XIJ2")</f>
        <v>M5XIJ2</v>
      </c>
      <c r="D6203" s="2" t="s">
        <v>5610</v>
      </c>
      <c r="E6203" s="3">
        <v>0</v>
      </c>
      <c r="F6203" s="2">
        <v>2019</v>
      </c>
      <c r="G6203" s="2">
        <v>93</v>
      </c>
      <c r="H6203" s="2">
        <v>434</v>
      </c>
      <c r="I6203" s="2">
        <v>2</v>
      </c>
      <c r="J6203" s="2">
        <v>1303</v>
      </c>
      <c r="K6203" s="2">
        <v>42</v>
      </c>
      <c r="L6203" s="2">
        <v>446</v>
      </c>
    </row>
    <row r="6204" spans="1:12" x14ac:dyDescent="0.25">
      <c r="A6204" s="4" t="str">
        <f>HYPERLINK("http://www.rosaceae.org/Prunus/Prunus_persica/p.persica_gdr_reftransV1_0049186","p.persica_gdr_reftransV1_0049186")</f>
        <v>p.persica_gdr_reftransV1_0049186</v>
      </c>
      <c r="B6204" s="2">
        <v>646</v>
      </c>
      <c r="C6204" s="4" t="str">
        <f>HYPERLINK("http://www.uniprot.org/uniprot/M5WF19","M5WF19")</f>
        <v>M5WF19</v>
      </c>
      <c r="D6204" s="2" t="s">
        <v>4398</v>
      </c>
      <c r="E6204" s="3">
        <v>5.8299999999999999E-148</v>
      </c>
      <c r="F6204" s="2">
        <v>1129</v>
      </c>
      <c r="G6204" s="2">
        <v>100</v>
      </c>
      <c r="H6204" s="2">
        <v>215</v>
      </c>
      <c r="I6204" s="2">
        <v>1</v>
      </c>
      <c r="J6204" s="2">
        <v>645</v>
      </c>
      <c r="K6204" s="2">
        <v>24</v>
      </c>
      <c r="L6204" s="2">
        <v>238</v>
      </c>
    </row>
    <row r="6205" spans="1:12" x14ac:dyDescent="0.25">
      <c r="A6205" s="4" t="str">
        <f>HYPERLINK("http://www.rosaceae.org/Prunus/Prunus_persica/p.persica_gdr_reftransV1_0000537","p.persica_gdr_reftransV1_0000537")</f>
        <v>p.persica_gdr_reftransV1_0000537</v>
      </c>
      <c r="B6205" s="2">
        <v>2989</v>
      </c>
      <c r="C6205" s="4" t="str">
        <f>HYPERLINK("http://www.uniprot.org/uniprot/M5Y2B2","M5Y2B2")</f>
        <v>M5Y2B2</v>
      </c>
      <c r="D6205" s="2" t="s">
        <v>5611</v>
      </c>
      <c r="E6205" s="3">
        <v>0</v>
      </c>
      <c r="F6205" s="2">
        <v>2552</v>
      </c>
      <c r="G6205" s="2">
        <v>100</v>
      </c>
      <c r="H6205" s="2">
        <v>524</v>
      </c>
      <c r="I6205" s="2">
        <v>26</v>
      </c>
      <c r="J6205" s="2">
        <v>1597</v>
      </c>
      <c r="K6205" s="2">
        <v>296</v>
      </c>
      <c r="L6205" s="2">
        <v>819</v>
      </c>
    </row>
    <row r="6206" spans="1:12" x14ac:dyDescent="0.25">
      <c r="A6206" s="4" t="str">
        <f>HYPERLINK("http://www.rosaceae.org/Prunus/Prunus_persica/p.persica_gdr_reftransV1_0000887","p.persica_gdr_reftransV1_0000887")</f>
        <v>p.persica_gdr_reftransV1_0000887</v>
      </c>
      <c r="B6206" s="2">
        <v>655</v>
      </c>
      <c r="C6206" s="4" t="str">
        <f>HYPERLINK("http://www.uniprot.org/uniprot/M5WIV5","M5WIV5")</f>
        <v>M5WIV5</v>
      </c>
      <c r="D6206" s="2" t="s">
        <v>5612</v>
      </c>
      <c r="E6206" s="3">
        <v>4.5400000000000002E-77</v>
      </c>
      <c r="F6206" s="2">
        <v>610</v>
      </c>
      <c r="G6206" s="2">
        <v>100</v>
      </c>
      <c r="H6206" s="2">
        <v>115</v>
      </c>
      <c r="I6206" s="2">
        <v>250</v>
      </c>
      <c r="J6206" s="2">
        <v>594</v>
      </c>
      <c r="K6206" s="2">
        <v>13</v>
      </c>
      <c r="L6206" s="2">
        <v>127</v>
      </c>
    </row>
    <row r="6207" spans="1:12" x14ac:dyDescent="0.25">
      <c r="A6207" s="4" t="str">
        <f>HYPERLINK("http://www.rosaceae.org/Prunus/Prunus_persica/p.persica_gdr_reftransV1_0001587","p.persica_gdr_reftransV1_0001587")</f>
        <v>p.persica_gdr_reftransV1_0001587</v>
      </c>
      <c r="B6207" s="2">
        <v>2558</v>
      </c>
      <c r="C6207" s="4" t="str">
        <f>HYPERLINK("http://www.uniprot.org/uniprot/G9JLP7","G9JLP7")</f>
        <v>G9JLP7</v>
      </c>
      <c r="D6207" s="2" t="s">
        <v>5613</v>
      </c>
      <c r="E6207" s="3">
        <v>1.94E-111</v>
      </c>
      <c r="F6207" s="2">
        <v>943</v>
      </c>
      <c r="G6207" s="2">
        <v>99</v>
      </c>
      <c r="H6207" s="2">
        <v>180</v>
      </c>
      <c r="I6207" s="2">
        <v>1651</v>
      </c>
      <c r="J6207" s="2">
        <v>2190</v>
      </c>
      <c r="K6207" s="2">
        <v>490</v>
      </c>
      <c r="L6207" s="2">
        <v>669</v>
      </c>
    </row>
    <row r="6208" spans="1:12" x14ac:dyDescent="0.25">
      <c r="A6208" s="4" t="str">
        <f>HYPERLINK("http://www.rosaceae.org/Prunus/Prunus_persica/p.persica_gdr_reftransV1_0002287","p.persica_gdr_reftransV1_0002287")</f>
        <v>p.persica_gdr_reftransV1_0002287</v>
      </c>
      <c r="B6208" s="2">
        <v>4190</v>
      </c>
      <c r="C6208" s="4" t="str">
        <f>HYPERLINK("http://www.uniprot.org/uniprot/M5XKU3","M5XKU3")</f>
        <v>M5XKU3</v>
      </c>
      <c r="D6208" s="2" t="s">
        <v>5614</v>
      </c>
      <c r="E6208" s="3">
        <v>0</v>
      </c>
      <c r="F6208" s="2">
        <v>4634</v>
      </c>
      <c r="G6208" s="2">
        <v>100</v>
      </c>
      <c r="H6208" s="2">
        <v>920</v>
      </c>
      <c r="I6208" s="2">
        <v>237</v>
      </c>
      <c r="J6208" s="2">
        <v>2996</v>
      </c>
      <c r="K6208" s="2">
        <v>1</v>
      </c>
      <c r="L6208" s="2">
        <v>920</v>
      </c>
    </row>
    <row r="6209" spans="1:12" x14ac:dyDescent="0.25">
      <c r="A6209" s="4" t="str">
        <f>HYPERLINK("http://www.rosaceae.org/Prunus/Prunus_persica/p.persica_gdr_reftransV1_0002637","p.persica_gdr_reftransV1_0002637")</f>
        <v>p.persica_gdr_reftransV1_0002637</v>
      </c>
      <c r="B6209" s="2">
        <v>2017</v>
      </c>
      <c r="C6209" s="4" t="str">
        <f>HYPERLINK("http://www.uniprot.org/uniprot/M5W8P7","M5W8P7")</f>
        <v>M5W8P7</v>
      </c>
      <c r="D6209" s="2" t="s">
        <v>5615</v>
      </c>
      <c r="E6209" s="3">
        <v>0</v>
      </c>
      <c r="F6209" s="2">
        <v>2230</v>
      </c>
      <c r="G6209" s="2">
        <v>96</v>
      </c>
      <c r="H6209" s="2">
        <v>485</v>
      </c>
      <c r="I6209" s="2">
        <v>361</v>
      </c>
      <c r="J6209" s="2">
        <v>1770</v>
      </c>
      <c r="K6209" s="2">
        <v>1</v>
      </c>
      <c r="L6209" s="2">
        <v>485</v>
      </c>
    </row>
    <row r="6210" spans="1:12" x14ac:dyDescent="0.25">
      <c r="A6210" s="4" t="str">
        <f>HYPERLINK("http://www.rosaceae.org/Prunus/Prunus_persica/p.persica_gdr_reftransV1_0002987","p.persica_gdr_reftransV1_0002987")</f>
        <v>p.persica_gdr_reftransV1_0002987</v>
      </c>
      <c r="B6210" s="2">
        <v>647</v>
      </c>
      <c r="C6210" s="4" t="str">
        <f>HYPERLINK("http://www.uniprot.org/uniprot/M5WUI0","M5WUI0")</f>
        <v>M5WUI0</v>
      </c>
      <c r="D6210" s="2" t="s">
        <v>5616</v>
      </c>
      <c r="E6210" s="3">
        <v>6.0899999999999999E-75</v>
      </c>
      <c r="F6210" s="2">
        <v>610</v>
      </c>
      <c r="G6210" s="2">
        <v>100</v>
      </c>
      <c r="H6210" s="2">
        <v>109</v>
      </c>
      <c r="I6210" s="2">
        <v>133</v>
      </c>
      <c r="J6210" s="2">
        <v>459</v>
      </c>
      <c r="K6210" s="2">
        <v>1</v>
      </c>
      <c r="L6210" s="2">
        <v>109</v>
      </c>
    </row>
    <row r="6211" spans="1:12" x14ac:dyDescent="0.25">
      <c r="A6211" s="4" t="str">
        <f>HYPERLINK("http://www.rosaceae.org/Prunus/Prunus_persica/p.persica_gdr_reftransV1_0003687","p.persica_gdr_reftransV1_0003687")</f>
        <v>p.persica_gdr_reftransV1_0003687</v>
      </c>
      <c r="B6211" s="2">
        <v>775</v>
      </c>
      <c r="C6211" s="4" t="str">
        <f>HYPERLINK("http://www.uniprot.org/uniprot/M5X4B5","M5X4B5")</f>
        <v>M5X4B5</v>
      </c>
      <c r="D6211" s="2" t="s">
        <v>3163</v>
      </c>
      <c r="E6211" s="3">
        <v>1.4400000000000001E-171</v>
      </c>
      <c r="F6211" s="2">
        <v>1320</v>
      </c>
      <c r="G6211" s="2">
        <v>100</v>
      </c>
      <c r="H6211" s="2">
        <v>258</v>
      </c>
      <c r="I6211" s="2">
        <v>2</v>
      </c>
      <c r="J6211" s="2">
        <v>775</v>
      </c>
      <c r="K6211" s="2">
        <v>777</v>
      </c>
      <c r="L6211" s="2">
        <v>1034</v>
      </c>
    </row>
    <row r="6212" spans="1:12" x14ac:dyDescent="0.25">
      <c r="A6212" s="4" t="str">
        <f>HYPERLINK("http://www.rosaceae.org/Prunus/Prunus_persica/p.persica_gdr_reftransV1_0004037","p.persica_gdr_reftransV1_0004037")</f>
        <v>p.persica_gdr_reftransV1_0004037</v>
      </c>
      <c r="B6212" s="2">
        <v>1803</v>
      </c>
      <c r="C6212" s="4" t="str">
        <f>HYPERLINK("http://www.uniprot.org/uniprot/M5WJ19","M5WJ19")</f>
        <v>M5WJ19</v>
      </c>
      <c r="D6212" s="2" t="s">
        <v>5617</v>
      </c>
      <c r="E6212" s="3">
        <v>0</v>
      </c>
      <c r="F6212" s="2">
        <v>1672</v>
      </c>
      <c r="G6212" s="2">
        <v>100</v>
      </c>
      <c r="H6212" s="2">
        <v>308</v>
      </c>
      <c r="I6212" s="2">
        <v>598</v>
      </c>
      <c r="J6212" s="2">
        <v>1521</v>
      </c>
      <c r="K6212" s="2">
        <v>1</v>
      </c>
      <c r="L6212" s="2">
        <v>308</v>
      </c>
    </row>
    <row r="6213" spans="1:12" x14ac:dyDescent="0.25">
      <c r="A6213" s="4" t="str">
        <f>HYPERLINK("http://www.rosaceae.org/Prunus/Prunus_persica/p.persica_gdr_reftransV1_0005437","p.persica_gdr_reftransV1_0005437")</f>
        <v>p.persica_gdr_reftransV1_0005437</v>
      </c>
      <c r="B6213" s="2">
        <v>1873</v>
      </c>
      <c r="C6213" s="4" t="str">
        <f>HYPERLINK("http://www.uniprot.org/uniprot/M5VXR2","M5VXR2")</f>
        <v>M5VXR2</v>
      </c>
      <c r="D6213" s="2" t="s">
        <v>5618</v>
      </c>
      <c r="E6213" s="3">
        <v>0</v>
      </c>
      <c r="F6213" s="2">
        <v>2850</v>
      </c>
      <c r="G6213" s="2">
        <v>100</v>
      </c>
      <c r="H6213" s="2">
        <v>559</v>
      </c>
      <c r="I6213" s="2">
        <v>65</v>
      </c>
      <c r="J6213" s="2">
        <v>1741</v>
      </c>
      <c r="K6213" s="2">
        <v>1</v>
      </c>
      <c r="L6213" s="2">
        <v>559</v>
      </c>
    </row>
    <row r="6214" spans="1:12" x14ac:dyDescent="0.25">
      <c r="A6214" s="4" t="str">
        <f>HYPERLINK("http://www.rosaceae.org/Prunus/Prunus_persica/p.persica_gdr_reftransV1_0005787","p.persica_gdr_reftransV1_0005787")</f>
        <v>p.persica_gdr_reftransV1_0005787</v>
      </c>
      <c r="B6214" s="2">
        <v>1022</v>
      </c>
      <c r="C6214" s="4" t="str">
        <f>HYPERLINK("http://www.uniprot.org/uniprot/M5XJV4","M5XJV4")</f>
        <v>M5XJV4</v>
      </c>
      <c r="D6214" s="2" t="s">
        <v>2622</v>
      </c>
      <c r="E6214" s="3">
        <v>1.18E-154</v>
      </c>
      <c r="F6214" s="2">
        <v>1202</v>
      </c>
      <c r="G6214" s="2">
        <v>100</v>
      </c>
      <c r="H6214" s="2">
        <v>251</v>
      </c>
      <c r="I6214" s="2">
        <v>2</v>
      </c>
      <c r="J6214" s="2">
        <v>754</v>
      </c>
      <c r="K6214" s="2">
        <v>439</v>
      </c>
      <c r="L6214" s="2">
        <v>689</v>
      </c>
    </row>
    <row r="6215" spans="1:12" x14ac:dyDescent="0.25">
      <c r="A6215" s="4" t="str">
        <f>HYPERLINK("http://www.rosaceae.org/Prunus/Prunus_persica/p.persica_gdr_reftransV1_0007187","p.persica_gdr_reftransV1_0007187")</f>
        <v>p.persica_gdr_reftransV1_0007187</v>
      </c>
      <c r="B6215" s="2">
        <v>1006</v>
      </c>
      <c r="C6215" s="4" t="str">
        <f>HYPERLINK("http://www.uniprot.org/uniprot/M5XNP3","M5XNP3")</f>
        <v>M5XNP3</v>
      </c>
      <c r="D6215" s="2" t="s">
        <v>5619</v>
      </c>
      <c r="E6215" s="3">
        <v>5.37E-79</v>
      </c>
      <c r="F6215" s="2">
        <v>640</v>
      </c>
      <c r="G6215" s="2">
        <v>100</v>
      </c>
      <c r="H6215" s="2">
        <v>119</v>
      </c>
      <c r="I6215" s="2">
        <v>315</v>
      </c>
      <c r="J6215" s="2">
        <v>671</v>
      </c>
      <c r="K6215" s="2">
        <v>67</v>
      </c>
      <c r="L6215" s="2">
        <v>185</v>
      </c>
    </row>
    <row r="6216" spans="1:12" x14ac:dyDescent="0.25">
      <c r="A6216" s="4" t="str">
        <f>HYPERLINK("http://www.rosaceae.org/Prunus/Prunus_persica/p.persica_gdr_reftransV1_0007537","p.persica_gdr_reftransV1_0007537")</f>
        <v>p.persica_gdr_reftransV1_0007537</v>
      </c>
      <c r="B6216" s="2">
        <v>2273</v>
      </c>
      <c r="C6216" s="4" t="str">
        <f>HYPERLINK("http://www.uniprot.org/uniprot/M5XRD2","M5XRD2")</f>
        <v>M5XRD2</v>
      </c>
      <c r="D6216" s="2" t="s">
        <v>5620</v>
      </c>
      <c r="E6216" s="3">
        <v>0</v>
      </c>
      <c r="F6216" s="2">
        <v>3460</v>
      </c>
      <c r="G6216" s="2">
        <v>100</v>
      </c>
      <c r="H6216" s="2">
        <v>658</v>
      </c>
      <c r="I6216" s="2">
        <v>2</v>
      </c>
      <c r="J6216" s="2">
        <v>1975</v>
      </c>
      <c r="K6216" s="2">
        <v>9</v>
      </c>
      <c r="L6216" s="2">
        <v>666</v>
      </c>
    </row>
    <row r="6217" spans="1:12" x14ac:dyDescent="0.25">
      <c r="A6217" s="4" t="str">
        <f>HYPERLINK("http://www.rosaceae.org/Prunus/Prunus_persica/p.persica_gdr_reftransV1_0007887","p.persica_gdr_reftransV1_0007887")</f>
        <v>p.persica_gdr_reftransV1_0007887</v>
      </c>
      <c r="B6217" s="2">
        <v>1315</v>
      </c>
      <c r="C6217" s="4" t="str">
        <f>HYPERLINK("http://www.uniprot.org/uniprot/M5XGQ6","M5XGQ6")</f>
        <v>M5XGQ6</v>
      </c>
      <c r="D6217" s="2" t="s">
        <v>5621</v>
      </c>
      <c r="E6217" s="3">
        <v>4.7399999999999996E-143</v>
      </c>
      <c r="F6217" s="2">
        <v>1076</v>
      </c>
      <c r="G6217" s="2">
        <v>100</v>
      </c>
      <c r="H6217" s="2">
        <v>204</v>
      </c>
      <c r="I6217" s="2">
        <v>202</v>
      </c>
      <c r="J6217" s="2">
        <v>813</v>
      </c>
      <c r="K6217" s="2">
        <v>1</v>
      </c>
      <c r="L6217" s="2">
        <v>204</v>
      </c>
    </row>
    <row r="6218" spans="1:12" x14ac:dyDescent="0.25">
      <c r="A6218" s="4" t="str">
        <f>HYPERLINK("http://www.rosaceae.org/Prunus/Prunus_persica/p.persica_gdr_reftransV1_0008237","p.persica_gdr_reftransV1_0008237")</f>
        <v>p.persica_gdr_reftransV1_0008237</v>
      </c>
      <c r="B6218" s="2">
        <v>2918</v>
      </c>
      <c r="C6218" s="4" t="str">
        <f>HYPERLINK("http://www.uniprot.org/uniprot/W9QZV9","W9QZV9")</f>
        <v>W9QZV9</v>
      </c>
      <c r="D6218" s="2" t="s">
        <v>5622</v>
      </c>
      <c r="E6218" s="3">
        <v>0</v>
      </c>
      <c r="F6218" s="2">
        <v>2835</v>
      </c>
      <c r="G6218" s="2">
        <v>83</v>
      </c>
      <c r="H6218" s="2">
        <v>730</v>
      </c>
      <c r="I6218" s="2">
        <v>475</v>
      </c>
      <c r="J6218" s="2">
        <v>2634</v>
      </c>
      <c r="K6218" s="2">
        <v>1</v>
      </c>
      <c r="L6218" s="2">
        <v>724</v>
      </c>
    </row>
    <row r="6219" spans="1:12" x14ac:dyDescent="0.25">
      <c r="A6219" s="4" t="str">
        <f>HYPERLINK("http://www.rosaceae.org/Prunus/Prunus_persica/p.persica_gdr_reftransV1_0008937","p.persica_gdr_reftransV1_0008937")</f>
        <v>p.persica_gdr_reftransV1_0008937</v>
      </c>
      <c r="B6219" s="2">
        <v>1024</v>
      </c>
      <c r="C6219" s="4" t="str">
        <f>HYPERLINK("http://www.uniprot.org/uniprot/M5WZR1","M5WZR1")</f>
        <v>M5WZR1</v>
      </c>
      <c r="D6219" s="2" t="s">
        <v>5623</v>
      </c>
      <c r="E6219" s="3">
        <v>0</v>
      </c>
      <c r="F6219" s="2">
        <v>1370</v>
      </c>
      <c r="G6219" s="2">
        <v>100</v>
      </c>
      <c r="H6219" s="2">
        <v>256</v>
      </c>
      <c r="I6219" s="2">
        <v>2</v>
      </c>
      <c r="J6219" s="2">
        <v>769</v>
      </c>
      <c r="K6219" s="2">
        <v>221</v>
      </c>
      <c r="L6219" s="2">
        <v>476</v>
      </c>
    </row>
    <row r="6220" spans="1:12" x14ac:dyDescent="0.25">
      <c r="A6220" s="4" t="str">
        <f>HYPERLINK("http://www.rosaceae.org/Prunus/Prunus_persica/p.persica_gdr_reftransV1_0009637","p.persica_gdr_reftransV1_0009637")</f>
        <v>p.persica_gdr_reftransV1_0009637</v>
      </c>
      <c r="B6220" s="2">
        <v>5819</v>
      </c>
      <c r="C6220" s="4" t="str">
        <f>HYPERLINK("http://www.uniprot.org/uniprot/Q8V2F7","Q8V2F7")</f>
        <v>Q8V2F7</v>
      </c>
      <c r="D6220" s="2" t="s">
        <v>5624</v>
      </c>
      <c r="E6220" s="3">
        <v>0</v>
      </c>
      <c r="F6220" s="2">
        <v>2096</v>
      </c>
      <c r="G6220" s="2">
        <v>74</v>
      </c>
      <c r="H6220" s="2">
        <v>519</v>
      </c>
      <c r="I6220" s="2">
        <v>1199</v>
      </c>
      <c r="J6220" s="2">
        <v>2755</v>
      </c>
      <c r="K6220" s="2">
        <v>368</v>
      </c>
      <c r="L6220" s="2">
        <v>886</v>
      </c>
    </row>
    <row r="6221" spans="1:12" x14ac:dyDescent="0.25">
      <c r="A6221" s="4" t="str">
        <f>HYPERLINK("http://www.rosaceae.org/Prunus/Prunus_persica/p.persica_gdr_reftransV1_0009987","p.persica_gdr_reftransV1_0009987")</f>
        <v>p.persica_gdr_reftransV1_0009987</v>
      </c>
      <c r="B6221" s="2">
        <v>1744</v>
      </c>
      <c r="C6221" s="4" t="str">
        <f>HYPERLINK("http://www.uniprot.org/uniprot/M5XBZ6","M5XBZ6")</f>
        <v>M5XBZ6</v>
      </c>
      <c r="D6221" s="2" t="s">
        <v>5625</v>
      </c>
      <c r="E6221" s="3">
        <v>0</v>
      </c>
      <c r="F6221" s="2">
        <v>1853</v>
      </c>
      <c r="G6221" s="2">
        <v>100</v>
      </c>
      <c r="H6221" s="2">
        <v>433</v>
      </c>
      <c r="I6221" s="2">
        <v>116</v>
      </c>
      <c r="J6221" s="2">
        <v>1414</v>
      </c>
      <c r="K6221" s="2">
        <v>1</v>
      </c>
      <c r="L6221" s="2">
        <v>433</v>
      </c>
    </row>
    <row r="6222" spans="1:12" x14ac:dyDescent="0.25">
      <c r="A6222" s="4" t="str">
        <f>HYPERLINK("http://www.rosaceae.org/Prunus/Prunus_persica/p.persica_gdr_reftransV1_0010337","p.persica_gdr_reftransV1_0010337")</f>
        <v>p.persica_gdr_reftransV1_0010337</v>
      </c>
      <c r="B6222" s="2">
        <v>813</v>
      </c>
      <c r="C6222" s="4" t="str">
        <f>HYPERLINK("http://www.uniprot.org/uniprot/M5W2M1","M5W2M1")</f>
        <v>M5W2M1</v>
      </c>
      <c r="D6222" s="2" t="s">
        <v>5626</v>
      </c>
      <c r="E6222" s="3">
        <v>1.71E-82</v>
      </c>
      <c r="F6222" s="2">
        <v>652</v>
      </c>
      <c r="G6222" s="2">
        <v>100</v>
      </c>
      <c r="H6222" s="2">
        <v>135</v>
      </c>
      <c r="I6222" s="2">
        <v>360</v>
      </c>
      <c r="J6222" s="2">
        <v>764</v>
      </c>
      <c r="K6222" s="2">
        <v>1</v>
      </c>
      <c r="L6222" s="2">
        <v>135</v>
      </c>
    </row>
    <row r="6223" spans="1:12" x14ac:dyDescent="0.25">
      <c r="A6223" s="4" t="str">
        <f>HYPERLINK("http://www.rosaceae.org/Prunus/Prunus_persica/p.persica_gdr_reftransV1_0011037","p.persica_gdr_reftransV1_0011037")</f>
        <v>p.persica_gdr_reftransV1_0011037</v>
      </c>
      <c r="B6223" s="2">
        <v>1162</v>
      </c>
      <c r="C6223" s="4" t="str">
        <f>HYPERLINK("http://www.uniprot.org/uniprot/A0A061EMY0","A0A061EMY0")</f>
        <v>A0A061EMY0</v>
      </c>
      <c r="D6223" s="2" t="s">
        <v>5627</v>
      </c>
      <c r="E6223" s="3">
        <v>0</v>
      </c>
      <c r="F6223" s="2">
        <v>1453</v>
      </c>
      <c r="G6223" s="2">
        <v>77</v>
      </c>
      <c r="H6223" s="2">
        <v>342</v>
      </c>
      <c r="I6223" s="2">
        <v>1</v>
      </c>
      <c r="J6223" s="2">
        <v>1026</v>
      </c>
      <c r="K6223" s="2">
        <v>381</v>
      </c>
      <c r="L6223" s="2">
        <v>722</v>
      </c>
    </row>
    <row r="6224" spans="1:12" x14ac:dyDescent="0.25">
      <c r="A6224" s="4" t="str">
        <f>HYPERLINK("http://www.rosaceae.org/Prunus/Prunus_persica/p.persica_gdr_reftransV1_0011387","p.persica_gdr_reftransV1_0011387")</f>
        <v>p.persica_gdr_reftransV1_0011387</v>
      </c>
      <c r="B6224" s="2">
        <v>2208</v>
      </c>
      <c r="C6224" s="4" t="str">
        <f>HYPERLINK("http://www.uniprot.org/uniprot/M5WPE4","M5WPE4")</f>
        <v>M5WPE4</v>
      </c>
      <c r="D6224" s="2" t="s">
        <v>5628</v>
      </c>
      <c r="E6224" s="3">
        <v>0</v>
      </c>
      <c r="F6224" s="2">
        <v>2413</v>
      </c>
      <c r="G6224" s="2">
        <v>100</v>
      </c>
      <c r="H6224" s="2">
        <v>481</v>
      </c>
      <c r="I6224" s="2">
        <v>450</v>
      </c>
      <c r="J6224" s="2">
        <v>1892</v>
      </c>
      <c r="K6224" s="2">
        <v>1</v>
      </c>
      <c r="L6224" s="2">
        <v>481</v>
      </c>
    </row>
    <row r="6225" spans="1:12" x14ac:dyDescent="0.25">
      <c r="A6225" s="4" t="str">
        <f>HYPERLINK("http://www.rosaceae.org/Prunus/Prunus_persica/p.persica_gdr_reftransV1_0013137","p.persica_gdr_reftransV1_0013137")</f>
        <v>p.persica_gdr_reftransV1_0013137</v>
      </c>
      <c r="B6225" s="2">
        <v>3210</v>
      </c>
      <c r="C6225" s="4" t="str">
        <f>HYPERLINK("http://www.uniprot.org/uniprot/M5W9V4","M5W9V4")</f>
        <v>M5W9V4</v>
      </c>
      <c r="D6225" s="2" t="s">
        <v>5629</v>
      </c>
      <c r="E6225" s="3">
        <v>2.1099999999999999E-141</v>
      </c>
      <c r="F6225" s="2">
        <v>1131</v>
      </c>
      <c r="G6225" s="2">
        <v>88</v>
      </c>
      <c r="H6225" s="2">
        <v>365</v>
      </c>
      <c r="I6225" s="2">
        <v>1910</v>
      </c>
      <c r="J6225" s="2">
        <v>3004</v>
      </c>
      <c r="K6225" s="2">
        <v>14</v>
      </c>
      <c r="L6225" s="2">
        <v>336</v>
      </c>
    </row>
    <row r="6226" spans="1:12" x14ac:dyDescent="0.25">
      <c r="A6226" s="4" t="str">
        <f>HYPERLINK("http://www.rosaceae.org/Prunus/Prunus_persica/p.persica_gdr_reftransV1_0015237","p.persica_gdr_reftransV1_0015237")</f>
        <v>p.persica_gdr_reftransV1_0015237</v>
      </c>
      <c r="B6226" s="2">
        <v>849</v>
      </c>
      <c r="C6226" s="4" t="str">
        <f>HYPERLINK("http://www.uniprot.org/uniprot/M5VZE7","M5VZE7")</f>
        <v>M5VZE7</v>
      </c>
      <c r="D6226" s="2" t="s">
        <v>5630</v>
      </c>
      <c r="E6226" s="3">
        <v>2.1700000000000001E-54</v>
      </c>
      <c r="F6226" s="2">
        <v>480</v>
      </c>
      <c r="G6226" s="2">
        <v>90</v>
      </c>
      <c r="H6226" s="2">
        <v>101</v>
      </c>
      <c r="I6226" s="2">
        <v>1</v>
      </c>
      <c r="J6226" s="2">
        <v>303</v>
      </c>
      <c r="K6226" s="2">
        <v>164</v>
      </c>
      <c r="L6226" s="2">
        <v>264</v>
      </c>
    </row>
    <row r="6227" spans="1:12" x14ac:dyDescent="0.25">
      <c r="A6227" s="4" t="str">
        <f>HYPERLINK("http://www.rosaceae.org/Prunus/Prunus_persica/p.persica_gdr_reftransV1_0015587","p.persica_gdr_reftransV1_0015587")</f>
        <v>p.persica_gdr_reftransV1_0015587</v>
      </c>
      <c r="B6227" s="2">
        <v>1445</v>
      </c>
      <c r="C6227" s="4" t="str">
        <f>HYPERLINK("http://www.uniprot.org/uniprot/M5Y2F5","M5Y2F5")</f>
        <v>M5Y2F5</v>
      </c>
      <c r="D6227" s="2" t="s">
        <v>5631</v>
      </c>
      <c r="E6227" s="3">
        <v>6.3499999999999998E-159</v>
      </c>
      <c r="F6227" s="2">
        <v>1201</v>
      </c>
      <c r="G6227" s="2">
        <v>100</v>
      </c>
      <c r="H6227" s="2">
        <v>229</v>
      </c>
      <c r="I6227" s="2">
        <v>1</v>
      </c>
      <c r="J6227" s="2">
        <v>687</v>
      </c>
      <c r="K6227" s="2">
        <v>112</v>
      </c>
      <c r="L6227" s="2">
        <v>340</v>
      </c>
    </row>
    <row r="6228" spans="1:12" x14ac:dyDescent="0.25">
      <c r="A6228" s="4" t="str">
        <f>HYPERLINK("http://www.rosaceae.org/Prunus/Prunus_persica/p.persica_gdr_reftransV1_0016637","p.persica_gdr_reftransV1_0016637")</f>
        <v>p.persica_gdr_reftransV1_0016637</v>
      </c>
      <c r="B6228" s="2">
        <v>968</v>
      </c>
      <c r="C6228" s="4" t="str">
        <f>HYPERLINK("http://www.uniprot.org/uniprot/M5WVL8","M5WVL8")</f>
        <v>M5WVL8</v>
      </c>
      <c r="D6228" s="2" t="s">
        <v>5632</v>
      </c>
      <c r="E6228" s="3">
        <v>6.05E-179</v>
      </c>
      <c r="F6228" s="2">
        <v>1340</v>
      </c>
      <c r="G6228" s="2">
        <v>100</v>
      </c>
      <c r="H6228" s="2">
        <v>282</v>
      </c>
      <c r="I6228" s="2">
        <v>121</v>
      </c>
      <c r="J6228" s="2">
        <v>966</v>
      </c>
      <c r="K6228" s="2">
        <v>316</v>
      </c>
      <c r="L6228" s="2">
        <v>597</v>
      </c>
    </row>
    <row r="6229" spans="1:12" x14ac:dyDescent="0.25">
      <c r="A6229" s="4" t="str">
        <f>HYPERLINK("http://www.rosaceae.org/Prunus/Prunus_persica/p.persica_gdr_reftransV1_0017687","p.persica_gdr_reftransV1_0017687")</f>
        <v>p.persica_gdr_reftransV1_0017687</v>
      </c>
      <c r="B6229" s="2">
        <v>2409</v>
      </c>
      <c r="C6229" s="4" t="str">
        <f>HYPERLINK("http://www.uniprot.org/uniprot/M5XLS1","M5XLS1")</f>
        <v>M5XLS1</v>
      </c>
      <c r="D6229" s="2" t="s">
        <v>5633</v>
      </c>
      <c r="E6229" s="3">
        <v>1.91E-90</v>
      </c>
      <c r="F6229" s="2">
        <v>761</v>
      </c>
      <c r="G6229" s="2">
        <v>100</v>
      </c>
      <c r="H6229" s="2">
        <v>145</v>
      </c>
      <c r="I6229" s="2">
        <v>1476</v>
      </c>
      <c r="J6229" s="2">
        <v>1910</v>
      </c>
      <c r="K6229" s="2">
        <v>1</v>
      </c>
      <c r="L6229" s="2">
        <v>145</v>
      </c>
    </row>
    <row r="6230" spans="1:12" x14ac:dyDescent="0.25">
      <c r="A6230" s="4" t="str">
        <f>HYPERLINK("http://www.rosaceae.org/Prunus/Prunus_persica/p.persica_gdr_reftransV1_0018037","p.persica_gdr_reftransV1_0018037")</f>
        <v>p.persica_gdr_reftransV1_0018037</v>
      </c>
      <c r="B6230" s="2">
        <v>1886</v>
      </c>
      <c r="C6230" s="4" t="str">
        <f>HYPERLINK("http://www.uniprot.org/uniprot/M5W9F1","M5W9F1")</f>
        <v>M5W9F1</v>
      </c>
      <c r="D6230" s="2" t="s">
        <v>5634</v>
      </c>
      <c r="E6230" s="3">
        <v>0</v>
      </c>
      <c r="F6230" s="2">
        <v>1555</v>
      </c>
      <c r="G6230" s="2">
        <v>96</v>
      </c>
      <c r="H6230" s="2">
        <v>324</v>
      </c>
      <c r="I6230" s="2">
        <v>722</v>
      </c>
      <c r="J6230" s="2">
        <v>1693</v>
      </c>
      <c r="K6230" s="2">
        <v>1</v>
      </c>
      <c r="L6230" s="2">
        <v>324</v>
      </c>
    </row>
    <row r="6231" spans="1:12" x14ac:dyDescent="0.25">
      <c r="A6231" s="4" t="str">
        <f>HYPERLINK("http://www.rosaceae.org/Prunus/Prunus_persica/p.persica_gdr_reftransV1_0019437","p.persica_gdr_reftransV1_0019437")</f>
        <v>p.persica_gdr_reftransV1_0019437</v>
      </c>
      <c r="B6231" s="2">
        <v>1509</v>
      </c>
      <c r="C6231" s="4" t="str">
        <f>HYPERLINK("http://www.uniprot.org/uniprot/M5X9Y3","M5X9Y3")</f>
        <v>M5X9Y3</v>
      </c>
      <c r="D6231" s="2" t="s">
        <v>5635</v>
      </c>
      <c r="E6231" s="3">
        <v>0</v>
      </c>
      <c r="F6231" s="2">
        <v>2257</v>
      </c>
      <c r="G6231" s="2">
        <v>100</v>
      </c>
      <c r="H6231" s="2">
        <v>429</v>
      </c>
      <c r="I6231" s="2">
        <v>222</v>
      </c>
      <c r="J6231" s="2">
        <v>1508</v>
      </c>
      <c r="K6231" s="2">
        <v>690</v>
      </c>
      <c r="L6231" s="2">
        <v>1118</v>
      </c>
    </row>
    <row r="6232" spans="1:12" x14ac:dyDescent="0.25">
      <c r="A6232" s="4" t="str">
        <f>HYPERLINK("http://www.rosaceae.org/Prunus/Prunus_persica/p.persica_gdr_reftransV1_0019787","p.persica_gdr_reftransV1_0019787")</f>
        <v>p.persica_gdr_reftransV1_0019787</v>
      </c>
      <c r="B6232" s="2">
        <v>2951</v>
      </c>
      <c r="C6232" s="4" t="str">
        <f>HYPERLINK("http://www.uniprot.org/uniprot/M5VYZ2","M5VYZ2")</f>
        <v>M5VYZ2</v>
      </c>
      <c r="D6232" s="2" t="s">
        <v>5636</v>
      </c>
      <c r="E6232" s="3">
        <v>6.8800000000000002E-177</v>
      </c>
      <c r="F6232" s="2">
        <v>1379</v>
      </c>
      <c r="G6232" s="2">
        <v>98</v>
      </c>
      <c r="H6232" s="2">
        <v>271</v>
      </c>
      <c r="I6232" s="2">
        <v>1479</v>
      </c>
      <c r="J6232" s="2">
        <v>2291</v>
      </c>
      <c r="K6232" s="2">
        <v>213</v>
      </c>
      <c r="L6232" s="2">
        <v>483</v>
      </c>
    </row>
    <row r="6233" spans="1:12" x14ac:dyDescent="0.25">
      <c r="A6233" s="4" t="str">
        <f>HYPERLINK("http://www.rosaceae.org/Prunus/Prunus_persica/p.persica_gdr_reftransV1_0020487","p.persica_gdr_reftransV1_0020487")</f>
        <v>p.persica_gdr_reftransV1_0020487</v>
      </c>
      <c r="B6233" s="2">
        <v>2203</v>
      </c>
      <c r="C6233" s="4" t="str">
        <f>HYPERLINK("http://www.uniprot.org/uniprot/M5W471","M5W471")</f>
        <v>M5W471</v>
      </c>
      <c r="D6233" s="2" t="s">
        <v>2740</v>
      </c>
      <c r="E6233" s="3">
        <v>0</v>
      </c>
      <c r="F6233" s="2">
        <v>1899</v>
      </c>
      <c r="G6233" s="2">
        <v>81</v>
      </c>
      <c r="H6233" s="2">
        <v>432</v>
      </c>
      <c r="I6233" s="2">
        <v>2</v>
      </c>
      <c r="J6233" s="2">
        <v>1297</v>
      </c>
      <c r="K6233" s="2">
        <v>28</v>
      </c>
      <c r="L6233" s="2">
        <v>459</v>
      </c>
    </row>
    <row r="6234" spans="1:12" x14ac:dyDescent="0.25">
      <c r="A6234" s="4" t="str">
        <f>HYPERLINK("http://www.rosaceae.org/Prunus/Prunus_persica/p.persica_gdr_reftransV1_0021537","p.persica_gdr_reftransV1_0021537")</f>
        <v>p.persica_gdr_reftransV1_0021537</v>
      </c>
      <c r="B6234" s="2">
        <v>2358</v>
      </c>
      <c r="C6234" s="4" t="str">
        <f>HYPERLINK("http://www.uniprot.org/uniprot/M5WCZ9","M5WCZ9")</f>
        <v>M5WCZ9</v>
      </c>
      <c r="D6234" s="2" t="s">
        <v>3156</v>
      </c>
      <c r="E6234" s="3">
        <v>0</v>
      </c>
      <c r="F6234" s="2">
        <v>2202</v>
      </c>
      <c r="G6234" s="2">
        <v>100</v>
      </c>
      <c r="H6234" s="2">
        <v>428</v>
      </c>
      <c r="I6234" s="2">
        <v>1073</v>
      </c>
      <c r="J6234" s="2">
        <v>2356</v>
      </c>
      <c r="K6234" s="2">
        <v>519</v>
      </c>
      <c r="L6234" s="2">
        <v>946</v>
      </c>
    </row>
    <row r="6235" spans="1:12" x14ac:dyDescent="0.25">
      <c r="A6235" s="4" t="str">
        <f>HYPERLINK("http://www.rosaceae.org/Prunus/Prunus_persica/p.persica_gdr_reftransV1_0021887","p.persica_gdr_reftransV1_0021887")</f>
        <v>p.persica_gdr_reftransV1_0021887</v>
      </c>
      <c r="B6235" s="2">
        <v>3164</v>
      </c>
      <c r="C6235" s="4" t="str">
        <f>HYPERLINK("http://www.uniprot.org/uniprot/B9R827","B9R827")</f>
        <v>B9R827</v>
      </c>
      <c r="D6235" s="2" t="s">
        <v>2698</v>
      </c>
      <c r="E6235" s="3">
        <v>0</v>
      </c>
      <c r="F6235" s="2">
        <v>2515</v>
      </c>
      <c r="G6235" s="2">
        <v>86</v>
      </c>
      <c r="H6235" s="2">
        <v>584</v>
      </c>
      <c r="I6235" s="2">
        <v>1181</v>
      </c>
      <c r="J6235" s="2">
        <v>2932</v>
      </c>
      <c r="K6235" s="2">
        <v>227</v>
      </c>
      <c r="L6235" s="2">
        <v>810</v>
      </c>
    </row>
    <row r="6236" spans="1:12" x14ac:dyDescent="0.25">
      <c r="A6236" s="4" t="str">
        <f>HYPERLINK("http://www.rosaceae.org/Prunus/Prunus_persica/p.persica_gdr_reftransV1_0022237","p.persica_gdr_reftransV1_0022237")</f>
        <v>p.persica_gdr_reftransV1_0022237</v>
      </c>
      <c r="B6236" s="2">
        <v>850</v>
      </c>
      <c r="C6236" s="4" t="str">
        <f>HYPERLINK("http://www.uniprot.org/uniprot/A0A067KYI8","A0A067KYI8")</f>
        <v>A0A067KYI8</v>
      </c>
      <c r="D6236" s="2" t="s">
        <v>5637</v>
      </c>
      <c r="E6236" s="3">
        <v>7.7099999999999999E-96</v>
      </c>
      <c r="F6236" s="2">
        <v>742</v>
      </c>
      <c r="G6236" s="2">
        <v>100</v>
      </c>
      <c r="H6236" s="2">
        <v>142</v>
      </c>
      <c r="I6236" s="2">
        <v>173</v>
      </c>
      <c r="J6236" s="2">
        <v>598</v>
      </c>
      <c r="K6236" s="2">
        <v>1</v>
      </c>
      <c r="L6236" s="2">
        <v>142</v>
      </c>
    </row>
    <row r="6237" spans="1:12" x14ac:dyDescent="0.25">
      <c r="A6237" s="4" t="str">
        <f>HYPERLINK("http://www.rosaceae.org/Prunus/Prunus_persica/p.persica_gdr_reftransV1_0022937","p.persica_gdr_reftransV1_0022937")</f>
        <v>p.persica_gdr_reftransV1_0022937</v>
      </c>
      <c r="B6237" s="2">
        <v>3229</v>
      </c>
      <c r="C6237" s="4" t="str">
        <f>HYPERLINK("http://www.uniprot.org/uniprot/M5XJR3","M5XJR3")</f>
        <v>M5XJR3</v>
      </c>
      <c r="D6237" s="2" t="s">
        <v>5638</v>
      </c>
      <c r="E6237" s="3">
        <v>0</v>
      </c>
      <c r="F6237" s="2">
        <v>1470</v>
      </c>
      <c r="G6237" s="2">
        <v>100</v>
      </c>
      <c r="H6237" s="2">
        <v>297</v>
      </c>
      <c r="I6237" s="2">
        <v>1985</v>
      </c>
      <c r="J6237" s="2">
        <v>2875</v>
      </c>
      <c r="K6237" s="2">
        <v>1</v>
      </c>
      <c r="L6237" s="2">
        <v>297</v>
      </c>
    </row>
    <row r="6238" spans="1:12" x14ac:dyDescent="0.25">
      <c r="A6238" s="4" t="str">
        <f>HYPERLINK("http://www.rosaceae.org/Prunus/Prunus_persica/p.persica_gdr_reftransV1_0023287","p.persica_gdr_reftransV1_0023287")</f>
        <v>p.persica_gdr_reftransV1_0023287</v>
      </c>
      <c r="B6238" s="2">
        <v>1061</v>
      </c>
      <c r="C6238" s="4" t="str">
        <f>HYPERLINK("http://www.uniprot.org/uniprot/M5Y125","M5Y125")</f>
        <v>M5Y125</v>
      </c>
      <c r="D6238" s="2" t="s">
        <v>889</v>
      </c>
      <c r="E6238" s="3">
        <v>0</v>
      </c>
      <c r="F6238" s="2">
        <v>1831</v>
      </c>
      <c r="G6238" s="2">
        <v>100</v>
      </c>
      <c r="H6238" s="2">
        <v>353</v>
      </c>
      <c r="I6238" s="2">
        <v>1</v>
      </c>
      <c r="J6238" s="2">
        <v>1059</v>
      </c>
      <c r="K6238" s="2">
        <v>196</v>
      </c>
      <c r="L6238" s="2">
        <v>548</v>
      </c>
    </row>
    <row r="6239" spans="1:12" x14ac:dyDescent="0.25">
      <c r="A6239" s="4" t="str">
        <f>HYPERLINK("http://www.rosaceae.org/Prunus/Prunus_persica/p.persica_gdr_reftransV1_0023637","p.persica_gdr_reftransV1_0023637")</f>
        <v>p.persica_gdr_reftransV1_0023637</v>
      </c>
      <c r="B6239" s="2">
        <v>2200</v>
      </c>
      <c r="C6239" s="4" t="str">
        <f>HYPERLINK("http://www.uniprot.org/uniprot/A0A0A0L141","A0A0A0L141")</f>
        <v>A0A0A0L141</v>
      </c>
      <c r="D6239" s="2" t="s">
        <v>5639</v>
      </c>
      <c r="E6239" s="3">
        <v>1.5099999999999999E-92</v>
      </c>
      <c r="F6239" s="2">
        <v>557</v>
      </c>
      <c r="G6239" s="2">
        <v>55</v>
      </c>
      <c r="H6239" s="2">
        <v>229</v>
      </c>
      <c r="I6239" s="2">
        <v>366</v>
      </c>
      <c r="J6239" s="2">
        <v>1034</v>
      </c>
      <c r="K6239" s="2">
        <v>110</v>
      </c>
      <c r="L6239" s="2">
        <v>309</v>
      </c>
    </row>
    <row r="6240" spans="1:12" x14ac:dyDescent="0.25">
      <c r="A6240" s="4" t="str">
        <f>HYPERLINK("http://www.rosaceae.org/Prunus/Prunus_persica/p.persica_gdr_reftransV1_0024337","p.persica_gdr_reftransV1_0024337")</f>
        <v>p.persica_gdr_reftransV1_0024337</v>
      </c>
      <c r="B6240" s="2">
        <v>1481</v>
      </c>
      <c r="C6240" s="4" t="str">
        <f>HYPERLINK("http://www.uniprot.org/uniprot/M5WUA8","M5WUA8")</f>
        <v>M5WUA8</v>
      </c>
      <c r="D6240" s="2" t="s">
        <v>5640</v>
      </c>
      <c r="E6240" s="3">
        <v>0</v>
      </c>
      <c r="F6240" s="2">
        <v>1758</v>
      </c>
      <c r="G6240" s="2">
        <v>100</v>
      </c>
      <c r="H6240" s="2">
        <v>349</v>
      </c>
      <c r="I6240" s="2">
        <v>293</v>
      </c>
      <c r="J6240" s="2">
        <v>1339</v>
      </c>
      <c r="K6240" s="2">
        <v>1</v>
      </c>
      <c r="L6240" s="2">
        <v>349</v>
      </c>
    </row>
    <row r="6241" spans="1:12" x14ac:dyDescent="0.25">
      <c r="A6241" s="4" t="str">
        <f>HYPERLINK("http://www.rosaceae.org/Prunus/Prunus_persica/p.persica_gdr_reftransV1_0027487","p.persica_gdr_reftransV1_0027487")</f>
        <v>p.persica_gdr_reftransV1_0027487</v>
      </c>
      <c r="B6241" s="2">
        <v>2249</v>
      </c>
      <c r="C6241" s="4" t="str">
        <f>HYPERLINK("http://www.uniprot.org/uniprot/A0A061GYQ3","A0A061GYQ3")</f>
        <v>A0A061GYQ3</v>
      </c>
      <c r="D6241" s="2" t="s">
        <v>5641</v>
      </c>
      <c r="E6241" s="3">
        <v>2.1699999999999999E-66</v>
      </c>
      <c r="F6241" s="2">
        <v>589</v>
      </c>
      <c r="G6241" s="2">
        <v>89</v>
      </c>
      <c r="H6241" s="2">
        <v>124</v>
      </c>
      <c r="I6241" s="2">
        <v>1876</v>
      </c>
      <c r="J6241" s="2">
        <v>2247</v>
      </c>
      <c r="K6241" s="2">
        <v>5</v>
      </c>
      <c r="L6241" s="2">
        <v>128</v>
      </c>
    </row>
    <row r="6242" spans="1:12" x14ac:dyDescent="0.25">
      <c r="A6242" s="4" t="str">
        <f>HYPERLINK("http://www.rosaceae.org/Prunus/Prunus_persica/p.persica_gdr_reftransV1_0028187","p.persica_gdr_reftransV1_0028187")</f>
        <v>p.persica_gdr_reftransV1_0028187</v>
      </c>
      <c r="B6242" s="2">
        <v>1130</v>
      </c>
      <c r="C6242" s="4" t="str">
        <f>HYPERLINK("http://www.uniprot.org/uniprot/M5W491","M5W491")</f>
        <v>M5W491</v>
      </c>
      <c r="D6242" s="2" t="s">
        <v>5642</v>
      </c>
      <c r="E6242" s="3">
        <v>5.6400000000000002E-163</v>
      </c>
      <c r="F6242" s="2">
        <v>1204</v>
      </c>
      <c r="G6242" s="2">
        <v>94</v>
      </c>
      <c r="H6242" s="2">
        <v>242</v>
      </c>
      <c r="I6242" s="2">
        <v>58</v>
      </c>
      <c r="J6242" s="2">
        <v>783</v>
      </c>
      <c r="K6242" s="2">
        <v>1</v>
      </c>
      <c r="L6242" s="2">
        <v>229</v>
      </c>
    </row>
    <row r="6243" spans="1:12" x14ac:dyDescent="0.25">
      <c r="A6243" s="4" t="str">
        <f>HYPERLINK("http://www.rosaceae.org/Prunus/Prunus_persica/p.persica_gdr_reftransV1_0028887","p.persica_gdr_reftransV1_0028887")</f>
        <v>p.persica_gdr_reftransV1_0028887</v>
      </c>
      <c r="B6243" s="2">
        <v>2008</v>
      </c>
      <c r="C6243" s="4" t="str">
        <f>HYPERLINK("http://www.uniprot.org/uniprot/M5W943","M5W943")</f>
        <v>M5W943</v>
      </c>
      <c r="D6243" s="2" t="s">
        <v>5643</v>
      </c>
      <c r="E6243" s="3">
        <v>0</v>
      </c>
      <c r="F6243" s="2">
        <v>2222</v>
      </c>
      <c r="G6243" s="2">
        <v>100</v>
      </c>
      <c r="H6243" s="2">
        <v>419</v>
      </c>
      <c r="I6243" s="2">
        <v>700</v>
      </c>
      <c r="J6243" s="2">
        <v>1956</v>
      </c>
      <c r="K6243" s="2">
        <v>1</v>
      </c>
      <c r="L6243" s="2">
        <v>419</v>
      </c>
    </row>
    <row r="6244" spans="1:12" x14ac:dyDescent="0.25">
      <c r="A6244" s="4" t="str">
        <f>HYPERLINK("http://www.rosaceae.org/Prunus/Prunus_persica/p.persica_gdr_reftransV1_0030287","p.persica_gdr_reftransV1_0030287")</f>
        <v>p.persica_gdr_reftransV1_0030287</v>
      </c>
      <c r="B6244" s="2">
        <v>1794</v>
      </c>
      <c r="C6244" s="4" t="str">
        <f>HYPERLINK("http://www.uniprot.org/uniprot/M5XYL0","M5XYL0")</f>
        <v>M5XYL0</v>
      </c>
      <c r="D6244" s="2" t="s">
        <v>5644</v>
      </c>
      <c r="E6244" s="3">
        <v>0</v>
      </c>
      <c r="F6244" s="2">
        <v>1642</v>
      </c>
      <c r="G6244" s="2">
        <v>100</v>
      </c>
      <c r="H6244" s="2">
        <v>329</v>
      </c>
      <c r="I6244" s="2">
        <v>808</v>
      </c>
      <c r="J6244" s="2">
        <v>1794</v>
      </c>
      <c r="K6244" s="2">
        <v>189</v>
      </c>
      <c r="L6244" s="2">
        <v>517</v>
      </c>
    </row>
    <row r="6245" spans="1:12" x14ac:dyDescent="0.25">
      <c r="A6245" s="4" t="str">
        <f>HYPERLINK("http://www.rosaceae.org/Prunus/Prunus_persica/p.persica_gdr_reftransV1_0030637","p.persica_gdr_reftransV1_0030637")</f>
        <v>p.persica_gdr_reftransV1_0030637</v>
      </c>
      <c r="B6245" s="2">
        <v>705</v>
      </c>
      <c r="C6245" s="4" t="str">
        <f>HYPERLINK("http://www.uniprot.org/uniprot/M5WMH9","M5WMH9")</f>
        <v>M5WMH9</v>
      </c>
      <c r="D6245" s="2" t="s">
        <v>5645</v>
      </c>
      <c r="E6245" s="3">
        <v>3.1099999999999998E-31</v>
      </c>
      <c r="F6245" s="2">
        <v>236</v>
      </c>
      <c r="G6245" s="2">
        <v>81</v>
      </c>
      <c r="H6245" s="2">
        <v>53</v>
      </c>
      <c r="I6245" s="2">
        <v>81</v>
      </c>
      <c r="J6245" s="2">
        <v>239</v>
      </c>
      <c r="K6245" s="2">
        <v>137</v>
      </c>
      <c r="L6245" s="2">
        <v>189</v>
      </c>
    </row>
    <row r="6246" spans="1:12" x14ac:dyDescent="0.25">
      <c r="A6246" s="4" t="str">
        <f>HYPERLINK("http://www.rosaceae.org/Prunus/Prunus_persica/p.persica_gdr_reftransV1_0030987","p.persica_gdr_reftransV1_0030987")</f>
        <v>p.persica_gdr_reftransV1_0030987</v>
      </c>
      <c r="B6246" s="2">
        <v>2183</v>
      </c>
      <c r="C6246" s="4" t="str">
        <f>HYPERLINK("http://www.uniprot.org/uniprot/M5XCU6","M5XCU6")</f>
        <v>M5XCU6</v>
      </c>
      <c r="D6246" s="2" t="s">
        <v>5646</v>
      </c>
      <c r="E6246" s="3">
        <v>0</v>
      </c>
      <c r="F6246" s="2">
        <v>2736</v>
      </c>
      <c r="G6246" s="2">
        <v>100</v>
      </c>
      <c r="H6246" s="2">
        <v>590</v>
      </c>
      <c r="I6246" s="2">
        <v>248</v>
      </c>
      <c r="J6246" s="2">
        <v>2017</v>
      </c>
      <c r="K6246" s="2">
        <v>1</v>
      </c>
      <c r="L6246" s="2">
        <v>590</v>
      </c>
    </row>
    <row r="6247" spans="1:12" x14ac:dyDescent="0.25">
      <c r="A6247" s="4" t="str">
        <f>HYPERLINK("http://www.rosaceae.org/Prunus/Prunus_persica/p.persica_gdr_reftransV1_0032387","p.persica_gdr_reftransV1_0032387")</f>
        <v>p.persica_gdr_reftransV1_0032387</v>
      </c>
      <c r="B6247" s="2">
        <v>1583</v>
      </c>
      <c r="C6247" s="4" t="str">
        <f>HYPERLINK("http://www.uniprot.org/uniprot/M5W964","M5W964")</f>
        <v>M5W964</v>
      </c>
      <c r="D6247" s="2" t="s">
        <v>5647</v>
      </c>
      <c r="E6247" s="3">
        <v>0</v>
      </c>
      <c r="F6247" s="2">
        <v>1611</v>
      </c>
      <c r="G6247" s="2">
        <v>100</v>
      </c>
      <c r="H6247" s="2">
        <v>385</v>
      </c>
      <c r="I6247" s="2">
        <v>153</v>
      </c>
      <c r="J6247" s="2">
        <v>1307</v>
      </c>
      <c r="K6247" s="2">
        <v>1</v>
      </c>
      <c r="L6247" s="2">
        <v>385</v>
      </c>
    </row>
    <row r="6248" spans="1:12" x14ac:dyDescent="0.25">
      <c r="A6248" s="4" t="str">
        <f>HYPERLINK("http://www.rosaceae.org/Prunus/Prunus_persica/p.persica_gdr_reftransV1_0033087","p.persica_gdr_reftransV1_0033087")</f>
        <v>p.persica_gdr_reftransV1_0033087</v>
      </c>
      <c r="B6248" s="2">
        <v>3232</v>
      </c>
      <c r="C6248" s="4" t="str">
        <f>HYPERLINK("http://www.uniprot.org/uniprot/M5X1J8","M5X1J8")</f>
        <v>M5X1J8</v>
      </c>
      <c r="D6248" s="2" t="s">
        <v>5648</v>
      </c>
      <c r="E6248" s="3">
        <v>0</v>
      </c>
      <c r="F6248" s="2">
        <v>2984</v>
      </c>
      <c r="G6248" s="2">
        <v>100</v>
      </c>
      <c r="H6248" s="2">
        <v>563</v>
      </c>
      <c r="I6248" s="2">
        <v>1423</v>
      </c>
      <c r="J6248" s="2">
        <v>3111</v>
      </c>
      <c r="K6248" s="2">
        <v>1</v>
      </c>
      <c r="L6248" s="2">
        <v>563</v>
      </c>
    </row>
    <row r="6249" spans="1:12" x14ac:dyDescent="0.25">
      <c r="A6249" s="4" t="str">
        <f>HYPERLINK("http://www.rosaceae.org/Prunus/Prunus_persica/p.persica_gdr_reftransV1_0033437","p.persica_gdr_reftransV1_0033437")</f>
        <v>p.persica_gdr_reftransV1_0033437</v>
      </c>
      <c r="B6249" s="2">
        <v>986</v>
      </c>
      <c r="C6249" s="4" t="str">
        <f>HYPERLINK("http://www.uniprot.org/uniprot/M5W9N3","M5W9N3")</f>
        <v>M5W9N3</v>
      </c>
      <c r="D6249" s="2" t="s">
        <v>5649</v>
      </c>
      <c r="E6249" s="3">
        <v>1.5800000000000001E-84</v>
      </c>
      <c r="F6249" s="2">
        <v>675</v>
      </c>
      <c r="G6249" s="2">
        <v>100</v>
      </c>
      <c r="H6249" s="2">
        <v>180</v>
      </c>
      <c r="I6249" s="2">
        <v>225</v>
      </c>
      <c r="J6249" s="2">
        <v>764</v>
      </c>
      <c r="K6249" s="2">
        <v>1</v>
      </c>
      <c r="L6249" s="2">
        <v>180</v>
      </c>
    </row>
    <row r="6250" spans="1:12" x14ac:dyDescent="0.25">
      <c r="A6250" s="4" t="str">
        <f>HYPERLINK("http://www.rosaceae.org/Prunus/Prunus_persica/p.persica_gdr_reftransV1_0034487","p.persica_gdr_reftransV1_0034487")</f>
        <v>p.persica_gdr_reftransV1_0034487</v>
      </c>
      <c r="B6250" s="2">
        <v>1373</v>
      </c>
      <c r="C6250" s="4" t="str">
        <f>HYPERLINK("http://www.uniprot.org/uniprot/M5WY01","M5WY01")</f>
        <v>M5WY01</v>
      </c>
      <c r="D6250" s="2" t="s">
        <v>5650</v>
      </c>
      <c r="E6250" s="3">
        <v>0</v>
      </c>
      <c r="F6250" s="2">
        <v>1932</v>
      </c>
      <c r="G6250" s="2">
        <v>100</v>
      </c>
      <c r="H6250" s="2">
        <v>364</v>
      </c>
      <c r="I6250" s="2">
        <v>272</v>
      </c>
      <c r="J6250" s="2">
        <v>1363</v>
      </c>
      <c r="K6250" s="2">
        <v>1</v>
      </c>
      <c r="L6250" s="2">
        <v>364</v>
      </c>
    </row>
    <row r="6251" spans="1:12" x14ac:dyDescent="0.25">
      <c r="A6251" s="4" t="str">
        <f>HYPERLINK("http://www.rosaceae.org/Prunus/Prunus_persica/p.persica_gdr_reftransV1_0036587","p.persica_gdr_reftransV1_0036587")</f>
        <v>p.persica_gdr_reftransV1_0036587</v>
      </c>
      <c r="B6251" s="2">
        <v>519</v>
      </c>
      <c r="C6251" s="4" t="str">
        <f>HYPERLINK("http://www.uniprot.org/uniprot/M5X5M5","M5X5M5")</f>
        <v>M5X5M5</v>
      </c>
      <c r="D6251" s="2" t="s">
        <v>5651</v>
      </c>
      <c r="E6251" s="3">
        <v>2.49E-108</v>
      </c>
      <c r="F6251" s="2">
        <v>854</v>
      </c>
      <c r="G6251" s="2">
        <v>100</v>
      </c>
      <c r="H6251" s="2">
        <v>159</v>
      </c>
      <c r="I6251" s="2">
        <v>2</v>
      </c>
      <c r="J6251" s="2">
        <v>478</v>
      </c>
      <c r="K6251" s="2">
        <v>1</v>
      </c>
      <c r="L6251" s="2">
        <v>159</v>
      </c>
    </row>
    <row r="6252" spans="1:12" x14ac:dyDescent="0.25">
      <c r="A6252" s="4" t="str">
        <f>HYPERLINK("http://www.rosaceae.org/Prunus/Prunus_persica/p.persica_gdr_reftransV1_0036937","p.persica_gdr_reftransV1_0036937")</f>
        <v>p.persica_gdr_reftransV1_0036937</v>
      </c>
      <c r="B6252" s="2">
        <v>5063</v>
      </c>
      <c r="C6252" s="4" t="str">
        <f>HYPERLINK("http://www.uniprot.org/uniprot/M5XWI7","M5XWI7")</f>
        <v>M5XWI7</v>
      </c>
      <c r="D6252" s="2" t="s">
        <v>5652</v>
      </c>
      <c r="E6252" s="3">
        <v>0</v>
      </c>
      <c r="F6252" s="2">
        <v>2480</v>
      </c>
      <c r="G6252" s="2">
        <v>100</v>
      </c>
      <c r="H6252" s="2">
        <v>475</v>
      </c>
      <c r="I6252" s="2">
        <v>896</v>
      </c>
      <c r="J6252" s="2">
        <v>2320</v>
      </c>
      <c r="K6252" s="2">
        <v>1</v>
      </c>
      <c r="L6252" s="2">
        <v>475</v>
      </c>
    </row>
    <row r="6253" spans="1:12" x14ac:dyDescent="0.25">
      <c r="A6253" s="4" t="str">
        <f>HYPERLINK("http://www.rosaceae.org/Prunus/Prunus_persica/p.persica_gdr_reftransV1_0037287","p.persica_gdr_reftransV1_0037287")</f>
        <v>p.persica_gdr_reftransV1_0037287</v>
      </c>
      <c r="B6253" s="2">
        <v>1428</v>
      </c>
      <c r="C6253" s="4" t="str">
        <f>HYPERLINK("http://www.uniprot.org/uniprot/M5VX64","M5VX64")</f>
        <v>M5VX64</v>
      </c>
      <c r="D6253" s="2" t="s">
        <v>5653</v>
      </c>
      <c r="E6253" s="3">
        <v>0</v>
      </c>
      <c r="F6253" s="2">
        <v>1662</v>
      </c>
      <c r="G6253" s="2">
        <v>100</v>
      </c>
      <c r="H6253" s="2">
        <v>368</v>
      </c>
      <c r="I6253" s="2">
        <v>324</v>
      </c>
      <c r="J6253" s="2">
        <v>1427</v>
      </c>
      <c r="K6253" s="2">
        <v>127</v>
      </c>
      <c r="L6253" s="2">
        <v>494</v>
      </c>
    </row>
    <row r="6254" spans="1:12" x14ac:dyDescent="0.25">
      <c r="A6254" s="4" t="str">
        <f>HYPERLINK("http://www.rosaceae.org/Prunus/Prunus_persica/p.persica_gdr_reftransV1_0038337","p.persica_gdr_reftransV1_0038337")</f>
        <v>p.persica_gdr_reftransV1_0038337</v>
      </c>
      <c r="B6254" s="2">
        <v>4115</v>
      </c>
      <c r="C6254" s="4" t="str">
        <f>HYPERLINK("http://www.uniprot.org/uniprot/M5XSP6","M5XSP6")</f>
        <v>M5XSP6</v>
      </c>
      <c r="D6254" s="2" t="s">
        <v>5654</v>
      </c>
      <c r="E6254" s="3">
        <v>0</v>
      </c>
      <c r="F6254" s="2">
        <v>3874</v>
      </c>
      <c r="G6254" s="2">
        <v>91</v>
      </c>
      <c r="H6254" s="2">
        <v>878</v>
      </c>
      <c r="I6254" s="2">
        <v>522</v>
      </c>
      <c r="J6254" s="2">
        <v>3137</v>
      </c>
      <c r="K6254" s="2">
        <v>242</v>
      </c>
      <c r="L6254" s="2">
        <v>1104</v>
      </c>
    </row>
    <row r="6255" spans="1:12" x14ac:dyDescent="0.25">
      <c r="A6255" s="4" t="str">
        <f>HYPERLINK("http://www.rosaceae.org/Prunus/Prunus_persica/p.persica_gdr_reftransV1_0038687","p.persica_gdr_reftransV1_0038687")</f>
        <v>p.persica_gdr_reftransV1_0038687</v>
      </c>
      <c r="B6255" s="2">
        <v>2542</v>
      </c>
      <c r="C6255" s="4" t="str">
        <f>HYPERLINK("http://www.uniprot.org/uniprot/M5WS62","M5WS62")</f>
        <v>M5WS62</v>
      </c>
      <c r="D6255" s="2" t="s">
        <v>5655</v>
      </c>
      <c r="E6255" s="3">
        <v>0</v>
      </c>
      <c r="F6255" s="2">
        <v>1882</v>
      </c>
      <c r="G6255" s="2">
        <v>92</v>
      </c>
      <c r="H6255" s="2">
        <v>439</v>
      </c>
      <c r="I6255" s="2">
        <v>225</v>
      </c>
      <c r="J6255" s="2">
        <v>1541</v>
      </c>
      <c r="K6255" s="2">
        <v>1</v>
      </c>
      <c r="L6255" s="2">
        <v>403</v>
      </c>
    </row>
    <row r="6256" spans="1:12" x14ac:dyDescent="0.25">
      <c r="A6256" s="4" t="str">
        <f>HYPERLINK("http://www.rosaceae.org/Prunus/Prunus_persica/p.persica_gdr_reftransV1_0041837","p.persica_gdr_reftransV1_0041837")</f>
        <v>p.persica_gdr_reftransV1_0041837</v>
      </c>
      <c r="B6256" s="2">
        <v>2766</v>
      </c>
      <c r="C6256" s="4" t="str">
        <f>HYPERLINK("http://www.uniprot.org/uniprot/M5WDF7","M5WDF7")</f>
        <v>M5WDF7</v>
      </c>
      <c r="D6256" s="2" t="s">
        <v>3100</v>
      </c>
      <c r="E6256" s="3">
        <v>0</v>
      </c>
      <c r="F6256" s="2">
        <v>2061</v>
      </c>
      <c r="G6256" s="2">
        <v>100</v>
      </c>
      <c r="H6256" s="2">
        <v>399</v>
      </c>
      <c r="I6256" s="2">
        <v>922</v>
      </c>
      <c r="J6256" s="2">
        <v>2118</v>
      </c>
      <c r="K6256" s="2">
        <v>1</v>
      </c>
      <c r="L6256" s="2">
        <v>399</v>
      </c>
    </row>
    <row r="6257" spans="1:12" x14ac:dyDescent="0.25">
      <c r="A6257" s="4" t="str">
        <f>HYPERLINK("http://www.rosaceae.org/Prunus/Prunus_persica/p.persica_gdr_reftransV1_0043237","p.persica_gdr_reftransV1_0043237")</f>
        <v>p.persica_gdr_reftransV1_0043237</v>
      </c>
      <c r="B6257" s="2">
        <v>2833</v>
      </c>
      <c r="C6257" s="4" t="str">
        <f>HYPERLINK("http://www.uniprot.org/uniprot/M5XKA1","M5XKA1")</f>
        <v>M5XKA1</v>
      </c>
      <c r="D6257" s="2" t="s">
        <v>5656</v>
      </c>
      <c r="E6257" s="3">
        <v>0</v>
      </c>
      <c r="F6257" s="2">
        <v>4301</v>
      </c>
      <c r="G6257" s="2">
        <v>100</v>
      </c>
      <c r="H6257" s="2">
        <v>823</v>
      </c>
      <c r="I6257" s="2">
        <v>124</v>
      </c>
      <c r="J6257" s="2">
        <v>2592</v>
      </c>
      <c r="K6257" s="2">
        <v>23</v>
      </c>
      <c r="L6257" s="2">
        <v>845</v>
      </c>
    </row>
    <row r="6258" spans="1:12" x14ac:dyDescent="0.25">
      <c r="A6258" s="4" t="str">
        <f>HYPERLINK("http://www.rosaceae.org/Prunus/Prunus_persica/p.persica_gdr_reftransV1_0043587","p.persica_gdr_reftransV1_0043587")</f>
        <v>p.persica_gdr_reftransV1_0043587</v>
      </c>
      <c r="B6258" s="2">
        <v>2063</v>
      </c>
      <c r="C6258" s="4" t="str">
        <f>HYPERLINK("http://www.uniprot.org/uniprot/M5X120","M5X120")</f>
        <v>M5X120</v>
      </c>
      <c r="D6258" s="2" t="s">
        <v>5657</v>
      </c>
      <c r="E6258" s="3">
        <v>0</v>
      </c>
      <c r="F6258" s="2">
        <v>2712</v>
      </c>
      <c r="G6258" s="2">
        <v>98</v>
      </c>
      <c r="H6258" s="2">
        <v>538</v>
      </c>
      <c r="I6258" s="2">
        <v>136</v>
      </c>
      <c r="J6258" s="2">
        <v>1749</v>
      </c>
      <c r="K6258" s="2">
        <v>1</v>
      </c>
      <c r="L6258" s="2">
        <v>527</v>
      </c>
    </row>
    <row r="6259" spans="1:12" x14ac:dyDescent="0.25">
      <c r="A6259" s="4" t="str">
        <f>HYPERLINK("http://www.rosaceae.org/Prunus/Prunus_persica/p.persica_gdr_reftransV1_0043937","p.persica_gdr_reftransV1_0043937")</f>
        <v>p.persica_gdr_reftransV1_0043937</v>
      </c>
      <c r="B6259" s="2">
        <v>2423</v>
      </c>
      <c r="C6259" s="4" t="str">
        <f>HYPERLINK("http://www.uniprot.org/uniprot/M5VNW0","M5VNW0")</f>
        <v>M5VNW0</v>
      </c>
      <c r="D6259" s="2" t="s">
        <v>5658</v>
      </c>
      <c r="E6259" s="3">
        <v>0</v>
      </c>
      <c r="F6259" s="2">
        <v>2640</v>
      </c>
      <c r="G6259" s="2">
        <v>100</v>
      </c>
      <c r="H6259" s="2">
        <v>491</v>
      </c>
      <c r="I6259" s="2">
        <v>53</v>
      </c>
      <c r="J6259" s="2">
        <v>1525</v>
      </c>
      <c r="K6259" s="2">
        <v>1</v>
      </c>
      <c r="L6259" s="2">
        <v>491</v>
      </c>
    </row>
    <row r="6260" spans="1:12" x14ac:dyDescent="0.25">
      <c r="A6260" s="4" t="str">
        <f>HYPERLINK("http://www.rosaceae.org/Prunus/Prunus_persica/p.persica_gdr_reftransV1_0044287","p.persica_gdr_reftransV1_0044287")</f>
        <v>p.persica_gdr_reftransV1_0044287</v>
      </c>
      <c r="B6260" s="2">
        <v>402</v>
      </c>
      <c r="C6260" s="4" t="str">
        <f>HYPERLINK("http://www.uniprot.org/uniprot/M5VY07","M5VY07")</f>
        <v>M5VY07</v>
      </c>
      <c r="D6260" s="2" t="s">
        <v>5659</v>
      </c>
      <c r="E6260" s="3">
        <v>7.2700000000000006E-80</v>
      </c>
      <c r="F6260" s="2">
        <v>649</v>
      </c>
      <c r="G6260" s="2">
        <v>90</v>
      </c>
      <c r="H6260" s="2">
        <v>148</v>
      </c>
      <c r="I6260" s="2">
        <v>3</v>
      </c>
      <c r="J6260" s="2">
        <v>401</v>
      </c>
      <c r="K6260" s="2">
        <v>144</v>
      </c>
      <c r="L6260" s="2">
        <v>291</v>
      </c>
    </row>
    <row r="6261" spans="1:12" x14ac:dyDescent="0.25">
      <c r="A6261" s="4" t="str">
        <f>HYPERLINK("http://www.rosaceae.org/Prunus/Prunus_persica/p.persica_gdr_reftransV1_0044637","p.persica_gdr_reftransV1_0044637")</f>
        <v>p.persica_gdr_reftransV1_0044637</v>
      </c>
      <c r="B6261" s="2">
        <v>1591</v>
      </c>
      <c r="C6261" s="4" t="str">
        <f>HYPERLINK("http://www.uniprot.org/uniprot/M5XGZ5","M5XGZ5")</f>
        <v>M5XGZ5</v>
      </c>
      <c r="D6261" s="2" t="s">
        <v>5660</v>
      </c>
      <c r="E6261" s="3">
        <v>0</v>
      </c>
      <c r="F6261" s="2">
        <v>2576</v>
      </c>
      <c r="G6261" s="2">
        <v>100</v>
      </c>
      <c r="H6261" s="2">
        <v>514</v>
      </c>
      <c r="I6261" s="2">
        <v>3</v>
      </c>
      <c r="J6261" s="2">
        <v>1544</v>
      </c>
      <c r="K6261" s="2">
        <v>13</v>
      </c>
      <c r="L6261" s="2">
        <v>526</v>
      </c>
    </row>
    <row r="6262" spans="1:12" x14ac:dyDescent="0.25">
      <c r="A6262" s="4" t="str">
        <f>HYPERLINK("http://www.rosaceae.org/Prunus/Prunus_persica/p.persica_gdr_reftransV1_0044987","p.persica_gdr_reftransV1_0044987")</f>
        <v>p.persica_gdr_reftransV1_0044987</v>
      </c>
      <c r="B6262" s="2">
        <v>1695</v>
      </c>
      <c r="C6262" s="4" t="str">
        <f>HYPERLINK("http://www.uniprot.org/uniprot/M5WMA5","M5WMA5")</f>
        <v>M5WMA5</v>
      </c>
      <c r="D6262" s="2" t="s">
        <v>5661</v>
      </c>
      <c r="E6262" s="3">
        <v>0</v>
      </c>
      <c r="F6262" s="2">
        <v>1841</v>
      </c>
      <c r="G6262" s="2">
        <v>90</v>
      </c>
      <c r="H6262" s="2">
        <v>406</v>
      </c>
      <c r="I6262" s="2">
        <v>295</v>
      </c>
      <c r="J6262" s="2">
        <v>1479</v>
      </c>
      <c r="K6262" s="2">
        <v>1</v>
      </c>
      <c r="L6262" s="2">
        <v>406</v>
      </c>
    </row>
    <row r="6263" spans="1:12" x14ac:dyDescent="0.25">
      <c r="A6263" s="4" t="str">
        <f>HYPERLINK("http://www.rosaceae.org/Prunus/Prunus_persica/p.persica_gdr_reftransV1_0045687","p.persica_gdr_reftransV1_0045687")</f>
        <v>p.persica_gdr_reftransV1_0045687</v>
      </c>
      <c r="B6263" s="2">
        <v>1525</v>
      </c>
      <c r="C6263" s="4" t="str">
        <f>HYPERLINK("http://www.uniprot.org/uniprot/M5VIS3","M5VIS3")</f>
        <v>M5VIS3</v>
      </c>
      <c r="D6263" s="2" t="s">
        <v>2414</v>
      </c>
      <c r="E6263" s="3">
        <v>3.3100000000000002E-145</v>
      </c>
      <c r="F6263" s="2">
        <v>1098</v>
      </c>
      <c r="G6263" s="2">
        <v>100</v>
      </c>
      <c r="H6263" s="2">
        <v>212</v>
      </c>
      <c r="I6263" s="2">
        <v>526</v>
      </c>
      <c r="J6263" s="2">
        <v>1161</v>
      </c>
      <c r="K6263" s="2">
        <v>1</v>
      </c>
      <c r="L6263" s="2">
        <v>212</v>
      </c>
    </row>
    <row r="6264" spans="1:12" x14ac:dyDescent="0.25">
      <c r="A6264" s="4" t="str">
        <f>HYPERLINK("http://www.rosaceae.org/Prunus/Prunus_persica/p.persica_gdr_reftransV1_0046387","p.persica_gdr_reftransV1_0046387")</f>
        <v>p.persica_gdr_reftransV1_0046387</v>
      </c>
      <c r="B6264" s="2">
        <v>1142</v>
      </c>
      <c r="C6264" s="4" t="str">
        <f>HYPERLINK("http://www.uniprot.org/uniprot/M5XCB4","M5XCB4")</f>
        <v>M5XCB4</v>
      </c>
      <c r="D6264" s="2" t="s">
        <v>1644</v>
      </c>
      <c r="E6264" s="3">
        <v>3.6500000000000001E-119</v>
      </c>
      <c r="F6264" s="2">
        <v>929</v>
      </c>
      <c r="G6264" s="2">
        <v>98</v>
      </c>
      <c r="H6264" s="2">
        <v>234</v>
      </c>
      <c r="I6264" s="2">
        <v>293</v>
      </c>
      <c r="J6264" s="2">
        <v>982</v>
      </c>
      <c r="K6264" s="2">
        <v>131</v>
      </c>
      <c r="L6264" s="2">
        <v>364</v>
      </c>
    </row>
    <row r="6265" spans="1:12" x14ac:dyDescent="0.25">
      <c r="A6265" s="4" t="str">
        <f>HYPERLINK("http://www.rosaceae.org/Prunus/Prunus_persica/p.persica_gdr_reftransV1_0046737","p.persica_gdr_reftransV1_0046737")</f>
        <v>p.persica_gdr_reftransV1_0046737</v>
      </c>
      <c r="B6265" s="2">
        <v>568</v>
      </c>
      <c r="C6265" s="4" t="str">
        <f>HYPERLINK("http://www.uniprot.org/uniprot/M5X7M9","M5X7M9")</f>
        <v>M5X7M9</v>
      </c>
      <c r="D6265" s="2" t="s">
        <v>5662</v>
      </c>
      <c r="E6265" s="3">
        <v>1.9999999999999999E-75</v>
      </c>
      <c r="F6265" s="2">
        <v>621</v>
      </c>
      <c r="G6265" s="2">
        <v>97</v>
      </c>
      <c r="H6265" s="2">
        <v>145</v>
      </c>
      <c r="I6265" s="2">
        <v>3</v>
      </c>
      <c r="J6265" s="2">
        <v>434</v>
      </c>
      <c r="K6265" s="2">
        <v>1</v>
      </c>
      <c r="L6265" s="2">
        <v>145</v>
      </c>
    </row>
    <row r="6266" spans="1:12" x14ac:dyDescent="0.25">
      <c r="A6266" s="4" t="str">
        <f>HYPERLINK("http://www.rosaceae.org/Prunus/Prunus_persica/p.persica_gdr_reftransV1_0047087","p.persica_gdr_reftransV1_0047087")</f>
        <v>p.persica_gdr_reftransV1_0047087</v>
      </c>
      <c r="B6266" s="2">
        <v>358</v>
      </c>
      <c r="C6266" s="4" t="str">
        <f>HYPERLINK("http://www.uniprot.org/uniprot/M5WNP0","M5WNP0")</f>
        <v>M5WNP0</v>
      </c>
      <c r="D6266" s="2" t="s">
        <v>5663</v>
      </c>
      <c r="E6266" s="3">
        <v>3.3200000000000002E-58</v>
      </c>
      <c r="F6266" s="2">
        <v>515</v>
      </c>
      <c r="G6266" s="2">
        <v>99</v>
      </c>
      <c r="H6266" s="2">
        <v>119</v>
      </c>
      <c r="I6266" s="2">
        <v>2</v>
      </c>
      <c r="J6266" s="2">
        <v>358</v>
      </c>
      <c r="K6266" s="2">
        <v>510</v>
      </c>
      <c r="L6266" s="2">
        <v>628</v>
      </c>
    </row>
    <row r="6267" spans="1:12" x14ac:dyDescent="0.25">
      <c r="A6267" s="4" t="str">
        <f>HYPERLINK("http://www.rosaceae.org/Prunus/Prunus_persica/p.persica_gdr_reftransV1_0047787","p.persica_gdr_reftransV1_0047787")</f>
        <v>p.persica_gdr_reftransV1_0047787</v>
      </c>
      <c r="B6267" s="2">
        <v>1429</v>
      </c>
      <c r="C6267" s="4" t="str">
        <f>HYPERLINK("http://www.uniprot.org/uniprot/M5X1K4","M5X1K4")</f>
        <v>M5X1K4</v>
      </c>
      <c r="D6267" s="2" t="s">
        <v>5664</v>
      </c>
      <c r="E6267" s="3">
        <v>0</v>
      </c>
      <c r="F6267" s="2">
        <v>1953</v>
      </c>
      <c r="G6267" s="2">
        <v>100</v>
      </c>
      <c r="H6267" s="2">
        <v>365</v>
      </c>
      <c r="I6267" s="2">
        <v>281</v>
      </c>
      <c r="J6267" s="2">
        <v>1375</v>
      </c>
      <c r="K6267" s="2">
        <v>1</v>
      </c>
      <c r="L6267" s="2">
        <v>365</v>
      </c>
    </row>
    <row r="6268" spans="1:12" x14ac:dyDescent="0.25">
      <c r="A6268" s="4" t="str">
        <f>HYPERLINK("http://www.rosaceae.org/Prunus/Prunus_persica/p.persica_gdr_reftransV1_0048137","p.persica_gdr_reftransV1_0048137")</f>
        <v>p.persica_gdr_reftransV1_0048137</v>
      </c>
      <c r="B6268" s="2">
        <v>825</v>
      </c>
      <c r="C6268" s="4" t="str">
        <f>HYPERLINK("http://www.uniprot.org/uniprot/M5XM44","M5XM44")</f>
        <v>M5XM44</v>
      </c>
      <c r="D6268" s="2" t="s">
        <v>5665</v>
      </c>
      <c r="E6268" s="3">
        <v>6.5900000000000002E-107</v>
      </c>
      <c r="F6268" s="2">
        <v>816</v>
      </c>
      <c r="G6268" s="2">
        <v>100</v>
      </c>
      <c r="H6268" s="2">
        <v>159</v>
      </c>
      <c r="I6268" s="2">
        <v>225</v>
      </c>
      <c r="J6268" s="2">
        <v>701</v>
      </c>
      <c r="K6268" s="2">
        <v>1</v>
      </c>
      <c r="L6268" s="2">
        <v>159</v>
      </c>
    </row>
    <row r="6269" spans="1:12" x14ac:dyDescent="0.25">
      <c r="A6269" s="4" t="str">
        <f>HYPERLINK("http://www.rosaceae.org/Prunus/Prunus_persica/p.persica_gdr_reftransV1_0048487","p.persica_gdr_reftransV1_0048487")</f>
        <v>p.persica_gdr_reftransV1_0048487</v>
      </c>
      <c r="B6269" s="2">
        <v>741</v>
      </c>
      <c r="C6269" s="4" t="str">
        <f>HYPERLINK("http://www.uniprot.org/uniprot/M5VK49","M5VK49")</f>
        <v>M5VK49</v>
      </c>
      <c r="D6269" s="2" t="s">
        <v>2482</v>
      </c>
      <c r="E6269" s="3">
        <v>4.1300000000000001E-145</v>
      </c>
      <c r="F6269" s="2">
        <v>1100</v>
      </c>
      <c r="G6269" s="2">
        <v>91</v>
      </c>
      <c r="H6269" s="2">
        <v>221</v>
      </c>
      <c r="I6269" s="2">
        <v>77</v>
      </c>
      <c r="J6269" s="2">
        <v>739</v>
      </c>
      <c r="K6269" s="2">
        <v>21</v>
      </c>
      <c r="L6269" s="2">
        <v>241</v>
      </c>
    </row>
    <row r="6270" spans="1:12" x14ac:dyDescent="0.25">
      <c r="A6270" s="4" t="str">
        <f>HYPERLINK("http://www.rosaceae.org/Prunus/Prunus_persica/p.persica_gdr_reftransV1_0048837","p.persica_gdr_reftransV1_0048837")</f>
        <v>p.persica_gdr_reftransV1_0048837</v>
      </c>
      <c r="B6270" s="2">
        <v>2425</v>
      </c>
      <c r="C6270" s="4" t="str">
        <f>HYPERLINK("http://www.uniprot.org/uniprot/M5WI86","M5WI86")</f>
        <v>M5WI86</v>
      </c>
      <c r="D6270" s="2" t="s">
        <v>5666</v>
      </c>
      <c r="E6270" s="3">
        <v>0</v>
      </c>
      <c r="F6270" s="2">
        <v>2004</v>
      </c>
      <c r="G6270" s="2">
        <v>100</v>
      </c>
      <c r="H6270" s="2">
        <v>395</v>
      </c>
      <c r="I6270" s="2">
        <v>162</v>
      </c>
      <c r="J6270" s="2">
        <v>1346</v>
      </c>
      <c r="K6270" s="2">
        <v>1</v>
      </c>
      <c r="L6270" s="2">
        <v>395</v>
      </c>
    </row>
    <row r="6271" spans="1:12" x14ac:dyDescent="0.25">
      <c r="A6271" s="4" t="str">
        <f>HYPERLINK("http://www.rosaceae.org/Prunus/Prunus_persica/p.persica_gdr_reftransV1_0049187","p.persica_gdr_reftransV1_0049187")</f>
        <v>p.persica_gdr_reftransV1_0049187</v>
      </c>
      <c r="B6271" s="2">
        <v>2448</v>
      </c>
      <c r="C6271" s="4" t="str">
        <f>HYPERLINK("http://www.uniprot.org/uniprot/M5VWK1","M5VWK1")</f>
        <v>M5VWK1</v>
      </c>
      <c r="D6271" s="2" t="s">
        <v>5667</v>
      </c>
      <c r="E6271" s="3">
        <v>0</v>
      </c>
      <c r="F6271" s="2">
        <v>3021</v>
      </c>
      <c r="G6271" s="2">
        <v>100</v>
      </c>
      <c r="H6271" s="2">
        <v>602</v>
      </c>
      <c r="I6271" s="2">
        <v>386</v>
      </c>
      <c r="J6271" s="2">
        <v>2191</v>
      </c>
      <c r="K6271" s="2">
        <v>1</v>
      </c>
      <c r="L6271" s="2">
        <v>602</v>
      </c>
    </row>
    <row r="6272" spans="1:12" x14ac:dyDescent="0.25">
      <c r="A6272" s="4" t="str">
        <f>HYPERLINK("http://www.rosaceae.org/Prunus/Prunus_persica/p.persica_gdr_reftransV1_0000188","p.persica_gdr_reftransV1_0000188")</f>
        <v>p.persica_gdr_reftransV1_0000188</v>
      </c>
      <c r="B6272" s="2">
        <v>4482</v>
      </c>
      <c r="C6272" s="4" t="str">
        <f>HYPERLINK("http://www.uniprot.org/uniprot/M5VVV1","M5VVV1")</f>
        <v>M5VVV1</v>
      </c>
      <c r="D6272" s="2" t="s">
        <v>5668</v>
      </c>
      <c r="E6272" s="3">
        <v>0</v>
      </c>
      <c r="F6272" s="2">
        <v>7340</v>
      </c>
      <c r="G6272" s="2">
        <v>100</v>
      </c>
      <c r="H6272" s="2">
        <v>1420</v>
      </c>
      <c r="I6272" s="2">
        <v>69</v>
      </c>
      <c r="J6272" s="2">
        <v>4328</v>
      </c>
      <c r="K6272" s="2">
        <v>1</v>
      </c>
      <c r="L6272" s="2">
        <v>1420</v>
      </c>
    </row>
    <row r="6273" spans="1:12" x14ac:dyDescent="0.25">
      <c r="A6273" s="4" t="str">
        <f>HYPERLINK("http://www.rosaceae.org/Prunus/Prunus_persica/p.persica_gdr_reftransV1_0000538","p.persica_gdr_reftransV1_0000538")</f>
        <v>p.persica_gdr_reftransV1_0000538</v>
      </c>
      <c r="B6273" s="2">
        <v>2594</v>
      </c>
      <c r="C6273" s="4" t="str">
        <f>HYPERLINK("http://www.uniprot.org/uniprot/M5XTC0","M5XTC0")</f>
        <v>M5XTC0</v>
      </c>
      <c r="D6273" s="2" t="s">
        <v>2197</v>
      </c>
      <c r="E6273" s="3">
        <v>0</v>
      </c>
      <c r="F6273" s="2">
        <v>4424</v>
      </c>
      <c r="G6273" s="2">
        <v>100</v>
      </c>
      <c r="H6273" s="2">
        <v>841</v>
      </c>
      <c r="I6273" s="2">
        <v>3</v>
      </c>
      <c r="J6273" s="2">
        <v>2525</v>
      </c>
      <c r="K6273" s="2">
        <v>811</v>
      </c>
      <c r="L6273" s="2">
        <v>1651</v>
      </c>
    </row>
    <row r="6274" spans="1:12" x14ac:dyDescent="0.25">
      <c r="A6274" s="4" t="str">
        <f>HYPERLINK("http://www.rosaceae.org/Prunus/Prunus_persica/p.persica_gdr_reftransV1_0000888","p.persica_gdr_reftransV1_0000888")</f>
        <v>p.persica_gdr_reftransV1_0000888</v>
      </c>
      <c r="B6274" s="2">
        <v>468</v>
      </c>
      <c r="C6274" s="4" t="str">
        <f>HYPERLINK("http://www.uniprot.org/uniprot/M5X391","M5X391")</f>
        <v>M5X391</v>
      </c>
      <c r="D6274" s="2" t="s">
        <v>1768</v>
      </c>
      <c r="E6274" s="3">
        <v>8.2000000000000003E-48</v>
      </c>
      <c r="F6274" s="2">
        <v>443</v>
      </c>
      <c r="G6274" s="2">
        <v>71</v>
      </c>
      <c r="H6274" s="2">
        <v>156</v>
      </c>
      <c r="I6274" s="2">
        <v>3</v>
      </c>
      <c r="J6274" s="2">
        <v>467</v>
      </c>
      <c r="K6274" s="2">
        <v>452</v>
      </c>
      <c r="L6274" s="2">
        <v>606</v>
      </c>
    </row>
    <row r="6275" spans="1:12" x14ac:dyDescent="0.25">
      <c r="A6275" s="4" t="str">
        <f>HYPERLINK("http://www.rosaceae.org/Prunus/Prunus_persica/p.persica_gdr_reftransV1_0001588","p.persica_gdr_reftransV1_0001588")</f>
        <v>p.persica_gdr_reftransV1_0001588</v>
      </c>
      <c r="B6275" s="2">
        <v>1802</v>
      </c>
      <c r="C6275" s="4" t="str">
        <f>HYPERLINK("http://www.uniprot.org/uniprot/M5XJY8","M5XJY8")</f>
        <v>M5XJY8</v>
      </c>
      <c r="D6275" s="2" t="s">
        <v>5669</v>
      </c>
      <c r="E6275" s="3">
        <v>0</v>
      </c>
      <c r="F6275" s="2">
        <v>1748</v>
      </c>
      <c r="G6275" s="2">
        <v>100</v>
      </c>
      <c r="H6275" s="2">
        <v>370</v>
      </c>
      <c r="I6275" s="2">
        <v>27</v>
      </c>
      <c r="J6275" s="2">
        <v>1136</v>
      </c>
      <c r="K6275" s="2">
        <v>1</v>
      </c>
      <c r="L6275" s="2">
        <v>370</v>
      </c>
    </row>
    <row r="6276" spans="1:12" x14ac:dyDescent="0.25">
      <c r="A6276" s="4" t="str">
        <f>HYPERLINK("http://www.rosaceae.org/Prunus/Prunus_persica/p.persica_gdr_reftransV1_0002288","p.persica_gdr_reftransV1_0002288")</f>
        <v>p.persica_gdr_reftransV1_0002288</v>
      </c>
      <c r="B6276" s="2">
        <v>3321</v>
      </c>
      <c r="C6276" s="4" t="str">
        <f>HYPERLINK("http://www.uniprot.org/uniprot/M5WRC0","M5WRC0")</f>
        <v>M5WRC0</v>
      </c>
      <c r="D6276" s="2" t="s">
        <v>5670</v>
      </c>
      <c r="E6276" s="3">
        <v>0</v>
      </c>
      <c r="F6276" s="2">
        <v>4060</v>
      </c>
      <c r="G6276" s="2">
        <v>95</v>
      </c>
      <c r="H6276" s="2">
        <v>870</v>
      </c>
      <c r="I6276" s="2">
        <v>402</v>
      </c>
      <c r="J6276" s="2">
        <v>3011</v>
      </c>
      <c r="K6276" s="2">
        <v>1</v>
      </c>
      <c r="L6276" s="2">
        <v>825</v>
      </c>
    </row>
    <row r="6277" spans="1:12" x14ac:dyDescent="0.25">
      <c r="A6277" s="4" t="str">
        <f>HYPERLINK("http://www.rosaceae.org/Prunus/Prunus_persica/p.persica_gdr_reftransV1_0002988","p.persica_gdr_reftransV1_0002988")</f>
        <v>p.persica_gdr_reftransV1_0002988</v>
      </c>
      <c r="B6277" s="2">
        <v>973</v>
      </c>
      <c r="C6277" s="4" t="str">
        <f>HYPERLINK("http://www.uniprot.org/uniprot/M5XEW0","M5XEW0")</f>
        <v>M5XEW0</v>
      </c>
      <c r="D6277" s="2" t="s">
        <v>5671</v>
      </c>
      <c r="E6277" s="3">
        <v>7.5300000000000003E-147</v>
      </c>
      <c r="F6277" s="2">
        <v>1089</v>
      </c>
      <c r="G6277" s="2">
        <v>100</v>
      </c>
      <c r="H6277" s="2">
        <v>203</v>
      </c>
      <c r="I6277" s="2">
        <v>87</v>
      </c>
      <c r="J6277" s="2">
        <v>695</v>
      </c>
      <c r="K6277" s="2">
        <v>1</v>
      </c>
      <c r="L6277" s="2">
        <v>203</v>
      </c>
    </row>
    <row r="6278" spans="1:12" x14ac:dyDescent="0.25">
      <c r="A6278" s="4" t="str">
        <f>HYPERLINK("http://www.rosaceae.org/Prunus/Prunus_persica/p.persica_gdr_reftransV1_0003338","p.persica_gdr_reftransV1_0003338")</f>
        <v>p.persica_gdr_reftransV1_0003338</v>
      </c>
      <c r="B6278" s="2">
        <v>884</v>
      </c>
      <c r="C6278" s="4" t="str">
        <f>HYPERLINK("http://www.uniprot.org/uniprot/M5VLG5","M5VLG5")</f>
        <v>M5VLG5</v>
      </c>
      <c r="D6278" s="2" t="s">
        <v>5672</v>
      </c>
      <c r="E6278" s="3">
        <v>1.79E-145</v>
      </c>
      <c r="F6278" s="2">
        <v>1136</v>
      </c>
      <c r="G6278" s="2">
        <v>99</v>
      </c>
      <c r="H6278" s="2">
        <v>212</v>
      </c>
      <c r="I6278" s="2">
        <v>247</v>
      </c>
      <c r="J6278" s="2">
        <v>882</v>
      </c>
      <c r="K6278" s="2">
        <v>1</v>
      </c>
      <c r="L6278" s="2">
        <v>212</v>
      </c>
    </row>
    <row r="6279" spans="1:12" x14ac:dyDescent="0.25">
      <c r="A6279" s="4" t="str">
        <f>HYPERLINK("http://www.rosaceae.org/Prunus/Prunus_persica/p.persica_gdr_reftransV1_0003688","p.persica_gdr_reftransV1_0003688")</f>
        <v>p.persica_gdr_reftransV1_0003688</v>
      </c>
      <c r="B6279" s="2">
        <v>1247</v>
      </c>
      <c r="C6279" s="4" t="str">
        <f>HYPERLINK("http://www.uniprot.org/uniprot/M5XBM1","M5XBM1")</f>
        <v>M5XBM1</v>
      </c>
      <c r="D6279" s="2" t="s">
        <v>5673</v>
      </c>
      <c r="E6279" s="3">
        <v>0</v>
      </c>
      <c r="F6279" s="2">
        <v>1470</v>
      </c>
      <c r="G6279" s="2">
        <v>99</v>
      </c>
      <c r="H6279" s="2">
        <v>294</v>
      </c>
      <c r="I6279" s="2">
        <v>365</v>
      </c>
      <c r="J6279" s="2">
        <v>1246</v>
      </c>
      <c r="K6279" s="2">
        <v>1</v>
      </c>
      <c r="L6279" s="2">
        <v>294</v>
      </c>
    </row>
    <row r="6280" spans="1:12" x14ac:dyDescent="0.25">
      <c r="A6280" s="4" t="str">
        <f>HYPERLINK("http://www.rosaceae.org/Prunus/Prunus_persica/p.persica_gdr_reftransV1_0004038","p.persica_gdr_reftransV1_0004038")</f>
        <v>p.persica_gdr_reftransV1_0004038</v>
      </c>
      <c r="B6280" s="2">
        <v>632</v>
      </c>
      <c r="C6280" s="4" t="str">
        <f>HYPERLINK("http://www.uniprot.org/uniprot/M5Y7D4","M5Y7D4")</f>
        <v>M5Y7D4</v>
      </c>
      <c r="D6280" s="2" t="s">
        <v>1393</v>
      </c>
      <c r="E6280" s="3">
        <v>9.6099999999999995E-138</v>
      </c>
      <c r="F6280" s="2">
        <v>1121</v>
      </c>
      <c r="G6280" s="2">
        <v>100</v>
      </c>
      <c r="H6280" s="2">
        <v>210</v>
      </c>
      <c r="I6280" s="2">
        <v>3</v>
      </c>
      <c r="J6280" s="2">
        <v>632</v>
      </c>
      <c r="K6280" s="2">
        <v>140</v>
      </c>
      <c r="L6280" s="2">
        <v>349</v>
      </c>
    </row>
    <row r="6281" spans="1:12" x14ac:dyDescent="0.25">
      <c r="A6281" s="4" t="str">
        <f>HYPERLINK("http://www.rosaceae.org/Prunus/Prunus_persica/p.persica_gdr_reftransV1_0005088","p.persica_gdr_reftransV1_0005088")</f>
        <v>p.persica_gdr_reftransV1_0005088</v>
      </c>
      <c r="B6281" s="2">
        <v>1649</v>
      </c>
      <c r="C6281" s="4" t="str">
        <f>HYPERLINK("http://www.uniprot.org/uniprot/M5Y9C1","M5Y9C1")</f>
        <v>M5Y9C1</v>
      </c>
      <c r="D6281" s="2" t="s">
        <v>5674</v>
      </c>
      <c r="E6281" s="3">
        <v>0</v>
      </c>
      <c r="F6281" s="2">
        <v>1705</v>
      </c>
      <c r="G6281" s="2">
        <v>100</v>
      </c>
      <c r="H6281" s="2">
        <v>332</v>
      </c>
      <c r="I6281" s="2">
        <v>453</v>
      </c>
      <c r="J6281" s="2">
        <v>1448</v>
      </c>
      <c r="K6281" s="2">
        <v>1</v>
      </c>
      <c r="L6281" s="2">
        <v>332</v>
      </c>
    </row>
    <row r="6282" spans="1:12" x14ac:dyDescent="0.25">
      <c r="A6282" s="4" t="str">
        <f>HYPERLINK("http://www.rosaceae.org/Prunus/Prunus_persica/p.persica_gdr_reftransV1_0005438","p.persica_gdr_reftransV1_0005438")</f>
        <v>p.persica_gdr_reftransV1_0005438</v>
      </c>
      <c r="B6282" s="2">
        <v>1440</v>
      </c>
      <c r="C6282" s="4" t="str">
        <f>HYPERLINK("http://www.uniprot.org/uniprot/M5WF36","M5WF36")</f>
        <v>M5WF36</v>
      </c>
      <c r="D6282" s="2" t="s">
        <v>5675</v>
      </c>
      <c r="E6282" s="3">
        <v>0</v>
      </c>
      <c r="F6282" s="2">
        <v>1624</v>
      </c>
      <c r="G6282" s="2">
        <v>100</v>
      </c>
      <c r="H6282" s="2">
        <v>335</v>
      </c>
      <c r="I6282" s="2">
        <v>285</v>
      </c>
      <c r="J6282" s="2">
        <v>1289</v>
      </c>
      <c r="K6282" s="2">
        <v>1</v>
      </c>
      <c r="L6282" s="2">
        <v>335</v>
      </c>
    </row>
    <row r="6283" spans="1:12" x14ac:dyDescent="0.25">
      <c r="A6283" s="4" t="str">
        <f>HYPERLINK("http://www.rosaceae.org/Prunus/Prunus_persica/p.persica_gdr_reftransV1_0005788","p.persica_gdr_reftransV1_0005788")</f>
        <v>p.persica_gdr_reftransV1_0005788</v>
      </c>
      <c r="B6283" s="2">
        <v>2213</v>
      </c>
      <c r="C6283" s="4" t="str">
        <f>HYPERLINK("http://www.uniprot.org/uniprot/M5WJB3","M5WJB3")</f>
        <v>M5WJB3</v>
      </c>
      <c r="D6283" s="2" t="s">
        <v>5676</v>
      </c>
      <c r="E6283" s="3">
        <v>0</v>
      </c>
      <c r="F6283" s="2">
        <v>3107</v>
      </c>
      <c r="G6283" s="2">
        <v>100</v>
      </c>
      <c r="H6283" s="2">
        <v>610</v>
      </c>
      <c r="I6283" s="2">
        <v>3</v>
      </c>
      <c r="J6283" s="2">
        <v>1832</v>
      </c>
      <c r="K6283" s="2">
        <v>483</v>
      </c>
      <c r="L6283" s="2">
        <v>1092</v>
      </c>
    </row>
    <row r="6284" spans="1:12" x14ac:dyDescent="0.25">
      <c r="A6284" s="4" t="str">
        <f>HYPERLINK("http://www.rosaceae.org/Prunus/Prunus_persica/p.persica_gdr_reftransV1_0007188","p.persica_gdr_reftransV1_0007188")</f>
        <v>p.persica_gdr_reftransV1_0007188</v>
      </c>
      <c r="B6284" s="2">
        <v>1836</v>
      </c>
      <c r="C6284" s="4" t="str">
        <f>HYPERLINK("http://www.uniprot.org/uniprot/M5VJ09","M5VJ09")</f>
        <v>M5VJ09</v>
      </c>
      <c r="D6284" s="2" t="s">
        <v>3943</v>
      </c>
      <c r="E6284" s="3">
        <v>0</v>
      </c>
      <c r="F6284" s="2">
        <v>1844</v>
      </c>
      <c r="G6284" s="2">
        <v>97</v>
      </c>
      <c r="H6284" s="2">
        <v>438</v>
      </c>
      <c r="I6284" s="2">
        <v>203</v>
      </c>
      <c r="J6284" s="2">
        <v>1492</v>
      </c>
      <c r="K6284" s="2">
        <v>1</v>
      </c>
      <c r="L6284" s="2">
        <v>438</v>
      </c>
    </row>
    <row r="6285" spans="1:12" x14ac:dyDescent="0.25">
      <c r="A6285" s="4" t="str">
        <f>HYPERLINK("http://www.rosaceae.org/Prunus/Prunus_persica/p.persica_gdr_reftransV1_0007538","p.persica_gdr_reftransV1_0007538")</f>
        <v>p.persica_gdr_reftransV1_0007538</v>
      </c>
      <c r="B6285" s="2">
        <v>789</v>
      </c>
      <c r="C6285" s="4" t="str">
        <f>HYPERLINK("http://www.uniprot.org/uniprot/M5W0B5","M5W0B5")</f>
        <v>M5W0B5</v>
      </c>
      <c r="D6285" s="2" t="s">
        <v>5677</v>
      </c>
      <c r="E6285" s="3">
        <v>3.31E-128</v>
      </c>
      <c r="F6285" s="2">
        <v>959</v>
      </c>
      <c r="G6285" s="2">
        <v>100</v>
      </c>
      <c r="H6285" s="2">
        <v>186</v>
      </c>
      <c r="I6285" s="2">
        <v>31</v>
      </c>
      <c r="J6285" s="2">
        <v>588</v>
      </c>
      <c r="K6285" s="2">
        <v>1</v>
      </c>
      <c r="L6285" s="2">
        <v>186</v>
      </c>
    </row>
    <row r="6286" spans="1:12" x14ac:dyDescent="0.25">
      <c r="A6286" s="4" t="str">
        <f>HYPERLINK("http://www.rosaceae.org/Prunus/Prunus_persica/p.persica_gdr_reftransV1_0008238","p.persica_gdr_reftransV1_0008238")</f>
        <v>p.persica_gdr_reftransV1_0008238</v>
      </c>
      <c r="B6286" s="2">
        <v>770</v>
      </c>
      <c r="C6286" s="4" t="str">
        <f>HYPERLINK("http://www.uniprot.org/uniprot/M5WA80","M5WA80")</f>
        <v>M5WA80</v>
      </c>
      <c r="D6286" s="2" t="s">
        <v>2478</v>
      </c>
      <c r="E6286" s="3">
        <v>4.8600000000000001E-22</v>
      </c>
      <c r="F6286" s="2">
        <v>251</v>
      </c>
      <c r="G6286" s="2">
        <v>100</v>
      </c>
      <c r="H6286" s="2">
        <v>65</v>
      </c>
      <c r="I6286" s="2">
        <v>398</v>
      </c>
      <c r="J6286" s="2">
        <v>592</v>
      </c>
      <c r="K6286" s="2">
        <v>173</v>
      </c>
      <c r="L6286" s="2">
        <v>237</v>
      </c>
    </row>
    <row r="6287" spans="1:12" x14ac:dyDescent="0.25">
      <c r="A6287" s="4" t="str">
        <f>HYPERLINK("http://www.rosaceae.org/Prunus/Prunus_persica/p.persica_gdr_reftransV1_0011738","p.persica_gdr_reftransV1_0011738")</f>
        <v>p.persica_gdr_reftransV1_0011738</v>
      </c>
      <c r="B6287" s="2">
        <v>1142</v>
      </c>
      <c r="C6287" s="4" t="str">
        <f>HYPERLINK("http://www.uniprot.org/uniprot/M5XHZ9","M5XHZ9")</f>
        <v>M5XHZ9</v>
      </c>
      <c r="D6287" s="2" t="s">
        <v>5678</v>
      </c>
      <c r="E6287" s="3">
        <v>5.7100000000000004E-141</v>
      </c>
      <c r="F6287" s="2">
        <v>1059</v>
      </c>
      <c r="G6287" s="2">
        <v>100</v>
      </c>
      <c r="H6287" s="2">
        <v>224</v>
      </c>
      <c r="I6287" s="2">
        <v>262</v>
      </c>
      <c r="J6287" s="2">
        <v>933</v>
      </c>
      <c r="K6287" s="2">
        <v>1</v>
      </c>
      <c r="L6287" s="2">
        <v>224</v>
      </c>
    </row>
    <row r="6288" spans="1:12" x14ac:dyDescent="0.25">
      <c r="A6288" s="4" t="str">
        <f>HYPERLINK("http://www.rosaceae.org/Prunus/Prunus_persica/p.persica_gdr_reftransV1_0012088","p.persica_gdr_reftransV1_0012088")</f>
        <v>p.persica_gdr_reftransV1_0012088</v>
      </c>
      <c r="B6288" s="2">
        <v>4225</v>
      </c>
      <c r="C6288" s="4" t="str">
        <f>HYPERLINK("http://www.uniprot.org/uniprot/M5WCU6","M5WCU6")</f>
        <v>M5WCU6</v>
      </c>
      <c r="D6288" s="2" t="s">
        <v>4171</v>
      </c>
      <c r="E6288" s="3">
        <v>0</v>
      </c>
      <c r="F6288" s="2">
        <v>2397</v>
      </c>
      <c r="G6288" s="2">
        <v>100</v>
      </c>
      <c r="H6288" s="2">
        <v>458</v>
      </c>
      <c r="I6288" s="2">
        <v>2306</v>
      </c>
      <c r="J6288" s="2">
        <v>3679</v>
      </c>
      <c r="K6288" s="2">
        <v>432</v>
      </c>
      <c r="L6288" s="2">
        <v>889</v>
      </c>
    </row>
    <row r="6289" spans="1:12" x14ac:dyDescent="0.25">
      <c r="A6289" s="4" t="str">
        <f>HYPERLINK("http://www.rosaceae.org/Prunus/Prunus_persica/p.persica_gdr_reftransV1_0012438","p.persica_gdr_reftransV1_0012438")</f>
        <v>p.persica_gdr_reftransV1_0012438</v>
      </c>
      <c r="B6289" s="2">
        <v>3002</v>
      </c>
      <c r="C6289" s="4" t="str">
        <f>HYPERLINK("http://www.uniprot.org/uniprot/M5VWK5","M5VWK5")</f>
        <v>M5VWK5</v>
      </c>
      <c r="D6289" s="2" t="s">
        <v>5679</v>
      </c>
      <c r="E6289" s="3">
        <v>0</v>
      </c>
      <c r="F6289" s="2">
        <v>2425</v>
      </c>
      <c r="G6289" s="2">
        <v>100</v>
      </c>
      <c r="H6289" s="2">
        <v>615</v>
      </c>
      <c r="I6289" s="2">
        <v>809</v>
      </c>
      <c r="J6289" s="2">
        <v>2653</v>
      </c>
      <c r="K6289" s="2">
        <v>1</v>
      </c>
      <c r="L6289" s="2">
        <v>615</v>
      </c>
    </row>
    <row r="6290" spans="1:12" x14ac:dyDescent="0.25">
      <c r="A6290" s="4" t="str">
        <f>HYPERLINK("http://www.rosaceae.org/Prunus/Prunus_persica/p.persica_gdr_reftransV1_0012788","p.persica_gdr_reftransV1_0012788")</f>
        <v>p.persica_gdr_reftransV1_0012788</v>
      </c>
      <c r="B6290" s="2">
        <v>503</v>
      </c>
      <c r="C6290" s="4" t="str">
        <f>HYPERLINK("http://www.uniprot.org/uniprot/M5WCP5","M5WCP5")</f>
        <v>M5WCP5</v>
      </c>
      <c r="D6290" s="2" t="s">
        <v>5680</v>
      </c>
      <c r="E6290" s="3">
        <v>5.4299999999999996E-62</v>
      </c>
      <c r="F6290" s="2">
        <v>542</v>
      </c>
      <c r="G6290" s="2">
        <v>100</v>
      </c>
      <c r="H6290" s="2">
        <v>99</v>
      </c>
      <c r="I6290" s="2">
        <v>1</v>
      </c>
      <c r="J6290" s="2">
        <v>297</v>
      </c>
      <c r="K6290" s="2">
        <v>558</v>
      </c>
      <c r="L6290" s="2">
        <v>656</v>
      </c>
    </row>
    <row r="6291" spans="1:12" x14ac:dyDescent="0.25">
      <c r="A6291" s="4" t="str">
        <f>HYPERLINK("http://www.rosaceae.org/Prunus/Prunus_persica/p.persica_gdr_reftransV1_0015588","p.persica_gdr_reftransV1_0015588")</f>
        <v>p.persica_gdr_reftransV1_0015588</v>
      </c>
      <c r="B6291" s="2">
        <v>2709</v>
      </c>
      <c r="C6291" s="4" t="str">
        <f>HYPERLINK("http://www.uniprot.org/uniprot/M5X3X6","M5X3X6")</f>
        <v>M5X3X6</v>
      </c>
      <c r="D6291" s="2" t="s">
        <v>5681</v>
      </c>
      <c r="E6291" s="3">
        <v>0</v>
      </c>
      <c r="F6291" s="2">
        <v>2702</v>
      </c>
      <c r="G6291" s="2">
        <v>94</v>
      </c>
      <c r="H6291" s="2">
        <v>555</v>
      </c>
      <c r="I6291" s="2">
        <v>698</v>
      </c>
      <c r="J6291" s="2">
        <v>2362</v>
      </c>
      <c r="K6291" s="2">
        <v>1</v>
      </c>
      <c r="L6291" s="2">
        <v>520</v>
      </c>
    </row>
    <row r="6292" spans="1:12" x14ac:dyDescent="0.25">
      <c r="A6292" s="4" t="str">
        <f>HYPERLINK("http://www.rosaceae.org/Prunus/Prunus_persica/p.persica_gdr_reftransV1_0015938","p.persica_gdr_reftransV1_0015938")</f>
        <v>p.persica_gdr_reftransV1_0015938</v>
      </c>
      <c r="B6292" s="2">
        <v>3197</v>
      </c>
      <c r="C6292" s="4" t="str">
        <f>HYPERLINK("http://www.uniprot.org/uniprot/M5XXV5","M5XXV5")</f>
        <v>M5XXV5</v>
      </c>
      <c r="D6292" s="2" t="s">
        <v>5682</v>
      </c>
      <c r="E6292" s="3">
        <v>0</v>
      </c>
      <c r="F6292" s="2">
        <v>4880</v>
      </c>
      <c r="G6292" s="2">
        <v>100</v>
      </c>
      <c r="H6292" s="2">
        <v>979</v>
      </c>
      <c r="I6292" s="2">
        <v>261</v>
      </c>
      <c r="J6292" s="2">
        <v>3197</v>
      </c>
      <c r="K6292" s="2">
        <v>37</v>
      </c>
      <c r="L6292" s="2">
        <v>1015</v>
      </c>
    </row>
    <row r="6293" spans="1:12" x14ac:dyDescent="0.25">
      <c r="A6293" s="4" t="str">
        <f>HYPERLINK("http://www.rosaceae.org/Prunus/Prunus_persica/p.persica_gdr_reftransV1_0016288","p.persica_gdr_reftransV1_0016288")</f>
        <v>p.persica_gdr_reftransV1_0016288</v>
      </c>
      <c r="B6293" s="2">
        <v>702</v>
      </c>
      <c r="C6293" s="4" t="str">
        <f>HYPERLINK("http://www.uniprot.org/uniprot/M5Y1M0","M5Y1M0")</f>
        <v>M5Y1M0</v>
      </c>
      <c r="D6293" s="2" t="s">
        <v>5683</v>
      </c>
      <c r="E6293" s="3">
        <v>1.89E-81</v>
      </c>
      <c r="F6293" s="2">
        <v>642</v>
      </c>
      <c r="G6293" s="2">
        <v>100</v>
      </c>
      <c r="H6293" s="2">
        <v>139</v>
      </c>
      <c r="I6293" s="2">
        <v>210</v>
      </c>
      <c r="J6293" s="2">
        <v>626</v>
      </c>
      <c r="K6293" s="2">
        <v>1</v>
      </c>
      <c r="L6293" s="2">
        <v>139</v>
      </c>
    </row>
    <row r="6294" spans="1:12" x14ac:dyDescent="0.25">
      <c r="A6294" s="4" t="str">
        <f>HYPERLINK("http://www.rosaceae.org/Prunus/Prunus_persica/p.persica_gdr_reftransV1_0016638","p.persica_gdr_reftransV1_0016638")</f>
        <v>p.persica_gdr_reftransV1_0016638</v>
      </c>
      <c r="B6294" s="2">
        <v>1796</v>
      </c>
      <c r="C6294" s="4" t="str">
        <f>HYPERLINK("http://www.uniprot.org/uniprot/M5WRM4","M5WRM4")</f>
        <v>M5WRM4</v>
      </c>
      <c r="D6294" s="2" t="s">
        <v>5684</v>
      </c>
      <c r="E6294" s="3">
        <v>0</v>
      </c>
      <c r="F6294" s="2">
        <v>2574</v>
      </c>
      <c r="G6294" s="2">
        <v>100</v>
      </c>
      <c r="H6294" s="2">
        <v>504</v>
      </c>
      <c r="I6294" s="2">
        <v>192</v>
      </c>
      <c r="J6294" s="2">
        <v>1703</v>
      </c>
      <c r="K6294" s="2">
        <v>1</v>
      </c>
      <c r="L6294" s="2">
        <v>504</v>
      </c>
    </row>
    <row r="6295" spans="1:12" x14ac:dyDescent="0.25">
      <c r="A6295" s="4" t="str">
        <f>HYPERLINK("http://www.rosaceae.org/Prunus/Prunus_persica/p.persica_gdr_reftransV1_0016988","p.persica_gdr_reftransV1_0016988")</f>
        <v>p.persica_gdr_reftransV1_0016988</v>
      </c>
      <c r="B6295" s="2">
        <v>5884</v>
      </c>
      <c r="C6295" s="4" t="str">
        <f>HYPERLINK("http://www.uniprot.org/uniprot/M5WYU0","M5WYU0")</f>
        <v>M5WYU0</v>
      </c>
      <c r="D6295" s="2" t="s">
        <v>5685</v>
      </c>
      <c r="E6295" s="3">
        <v>0</v>
      </c>
      <c r="F6295" s="2">
        <v>9205</v>
      </c>
      <c r="G6295" s="2">
        <v>100</v>
      </c>
      <c r="H6295" s="2">
        <v>1824</v>
      </c>
      <c r="I6295" s="2">
        <v>87</v>
      </c>
      <c r="J6295" s="2">
        <v>5558</v>
      </c>
      <c r="K6295" s="2">
        <v>1</v>
      </c>
      <c r="L6295" s="2">
        <v>1824</v>
      </c>
    </row>
    <row r="6296" spans="1:12" x14ac:dyDescent="0.25">
      <c r="A6296" s="4" t="str">
        <f>HYPERLINK("http://www.rosaceae.org/Prunus/Prunus_persica/p.persica_gdr_reftransV1_0018038","p.persica_gdr_reftransV1_0018038")</f>
        <v>p.persica_gdr_reftransV1_0018038</v>
      </c>
      <c r="B6296" s="2">
        <v>4383</v>
      </c>
      <c r="C6296" s="4" t="str">
        <f>HYPERLINK("http://www.uniprot.org/uniprot/M5W570","M5W570")</f>
        <v>M5W570</v>
      </c>
      <c r="D6296" s="2" t="s">
        <v>5525</v>
      </c>
      <c r="E6296" s="3">
        <v>0</v>
      </c>
      <c r="F6296" s="2">
        <v>5203</v>
      </c>
      <c r="G6296" s="2">
        <v>100</v>
      </c>
      <c r="H6296" s="2">
        <v>1050</v>
      </c>
      <c r="I6296" s="2">
        <v>734</v>
      </c>
      <c r="J6296" s="2">
        <v>3883</v>
      </c>
      <c r="K6296" s="2">
        <v>66</v>
      </c>
      <c r="L6296" s="2">
        <v>1115</v>
      </c>
    </row>
    <row r="6297" spans="1:12" x14ac:dyDescent="0.25">
      <c r="A6297" s="4" t="str">
        <f>HYPERLINK("http://www.rosaceae.org/Prunus/Prunus_persica/p.persica_gdr_reftransV1_0018738","p.persica_gdr_reftransV1_0018738")</f>
        <v>p.persica_gdr_reftransV1_0018738</v>
      </c>
      <c r="B6297" s="2">
        <v>1987</v>
      </c>
      <c r="C6297" s="4" t="str">
        <f>HYPERLINK("http://www.uniprot.org/uniprot/M5X1Q9","M5X1Q9")</f>
        <v>M5X1Q9</v>
      </c>
      <c r="D6297" s="2" t="s">
        <v>1767</v>
      </c>
      <c r="E6297" s="3">
        <v>8.82E-112</v>
      </c>
      <c r="F6297" s="2">
        <v>875</v>
      </c>
      <c r="G6297" s="2">
        <v>100</v>
      </c>
      <c r="H6297" s="2">
        <v>165</v>
      </c>
      <c r="I6297" s="2">
        <v>1321</v>
      </c>
      <c r="J6297" s="2">
        <v>1815</v>
      </c>
      <c r="K6297" s="2">
        <v>1</v>
      </c>
      <c r="L6297" s="2">
        <v>165</v>
      </c>
    </row>
    <row r="6298" spans="1:12" x14ac:dyDescent="0.25">
      <c r="A6298" s="4" t="str">
        <f>HYPERLINK("http://www.rosaceae.org/Prunus/Prunus_persica/p.persica_gdr_reftransV1_0019438","p.persica_gdr_reftransV1_0019438")</f>
        <v>p.persica_gdr_reftransV1_0019438</v>
      </c>
      <c r="B6298" s="2">
        <v>902</v>
      </c>
      <c r="C6298" s="4" t="str">
        <f>HYPERLINK("http://www.uniprot.org/uniprot/M5XM85","M5XM85")</f>
        <v>M5XM85</v>
      </c>
      <c r="D6298" s="2" t="s">
        <v>5686</v>
      </c>
      <c r="E6298" s="3">
        <v>8.2499999999999996E-85</v>
      </c>
      <c r="F6298" s="2">
        <v>671</v>
      </c>
      <c r="G6298" s="2">
        <v>100</v>
      </c>
      <c r="H6298" s="2">
        <v>142</v>
      </c>
      <c r="I6298" s="2">
        <v>287</v>
      </c>
      <c r="J6298" s="2">
        <v>712</v>
      </c>
      <c r="K6298" s="2">
        <v>1</v>
      </c>
      <c r="L6298" s="2">
        <v>142</v>
      </c>
    </row>
    <row r="6299" spans="1:12" x14ac:dyDescent="0.25">
      <c r="A6299" s="4" t="str">
        <f>HYPERLINK("http://www.rosaceae.org/Prunus/Prunus_persica/p.persica_gdr_reftransV1_0020488","p.persica_gdr_reftransV1_0020488")</f>
        <v>p.persica_gdr_reftransV1_0020488</v>
      </c>
      <c r="B6299" s="2">
        <v>1538</v>
      </c>
      <c r="C6299" s="4" t="str">
        <f>HYPERLINK("http://www.uniprot.org/uniprot/M5XB94","M5XB94")</f>
        <v>M5XB94</v>
      </c>
      <c r="D6299" s="2" t="s">
        <v>4969</v>
      </c>
      <c r="E6299" s="3">
        <v>0</v>
      </c>
      <c r="F6299" s="2">
        <v>1400</v>
      </c>
      <c r="G6299" s="2">
        <v>100</v>
      </c>
      <c r="H6299" s="2">
        <v>278</v>
      </c>
      <c r="I6299" s="2">
        <v>705</v>
      </c>
      <c r="J6299" s="2">
        <v>1538</v>
      </c>
      <c r="K6299" s="2">
        <v>1</v>
      </c>
      <c r="L6299" s="2">
        <v>278</v>
      </c>
    </row>
    <row r="6300" spans="1:12" x14ac:dyDescent="0.25">
      <c r="A6300" s="4" t="str">
        <f>HYPERLINK("http://www.rosaceae.org/Prunus/Prunus_persica/p.persica_gdr_reftransV1_0020838","p.persica_gdr_reftransV1_0020838")</f>
        <v>p.persica_gdr_reftransV1_0020838</v>
      </c>
      <c r="B6300" s="2">
        <v>2361</v>
      </c>
      <c r="C6300" s="4" t="str">
        <f>HYPERLINK("http://www.uniprot.org/uniprot/M5WW81","M5WW81")</f>
        <v>M5WW81</v>
      </c>
      <c r="D6300" s="2" t="s">
        <v>4022</v>
      </c>
      <c r="E6300" s="3">
        <v>1.8399999999999999E-146</v>
      </c>
      <c r="F6300" s="2">
        <v>1158</v>
      </c>
      <c r="G6300" s="2">
        <v>89</v>
      </c>
      <c r="H6300" s="2">
        <v>247</v>
      </c>
      <c r="I6300" s="2">
        <v>236</v>
      </c>
      <c r="J6300" s="2">
        <v>973</v>
      </c>
      <c r="K6300" s="2">
        <v>217</v>
      </c>
      <c r="L6300" s="2">
        <v>458</v>
      </c>
    </row>
    <row r="6301" spans="1:12" x14ac:dyDescent="0.25">
      <c r="A6301" s="4" t="str">
        <f>HYPERLINK("http://www.rosaceae.org/Prunus/Prunus_persica/p.persica_gdr_reftransV1_0021188","p.persica_gdr_reftransV1_0021188")</f>
        <v>p.persica_gdr_reftransV1_0021188</v>
      </c>
      <c r="B6301" s="2">
        <v>1101</v>
      </c>
      <c r="C6301" s="4" t="str">
        <f>HYPERLINK("http://www.uniprot.org/uniprot/M5XA31","M5XA31")</f>
        <v>M5XA31</v>
      </c>
      <c r="D6301" s="2" t="s">
        <v>5687</v>
      </c>
      <c r="E6301" s="3">
        <v>7.4799999999999998E-93</v>
      </c>
      <c r="F6301" s="2">
        <v>735</v>
      </c>
      <c r="G6301" s="2">
        <v>100</v>
      </c>
      <c r="H6301" s="2">
        <v>175</v>
      </c>
      <c r="I6301" s="2">
        <v>453</v>
      </c>
      <c r="J6301" s="2">
        <v>977</v>
      </c>
      <c r="K6301" s="2">
        <v>13</v>
      </c>
      <c r="L6301" s="2">
        <v>187</v>
      </c>
    </row>
    <row r="6302" spans="1:12" x14ac:dyDescent="0.25">
      <c r="A6302" s="4" t="str">
        <f>HYPERLINK("http://www.rosaceae.org/Prunus/Prunus_persica/p.persica_gdr_reftransV1_0021538","p.persica_gdr_reftransV1_0021538")</f>
        <v>p.persica_gdr_reftransV1_0021538</v>
      </c>
      <c r="B6302" s="2">
        <v>2025</v>
      </c>
      <c r="C6302" s="4" t="str">
        <f>HYPERLINK("http://www.uniprot.org/uniprot/M5VKD8","M5VKD8")</f>
        <v>M5VKD8</v>
      </c>
      <c r="D6302" s="2" t="s">
        <v>4450</v>
      </c>
      <c r="E6302" s="3">
        <v>0</v>
      </c>
      <c r="F6302" s="2">
        <v>1462</v>
      </c>
      <c r="G6302" s="2">
        <v>87</v>
      </c>
      <c r="H6302" s="2">
        <v>335</v>
      </c>
      <c r="I6302" s="2">
        <v>66</v>
      </c>
      <c r="J6302" s="2">
        <v>1070</v>
      </c>
      <c r="K6302" s="2">
        <v>40</v>
      </c>
      <c r="L6302" s="2">
        <v>329</v>
      </c>
    </row>
    <row r="6303" spans="1:12" x14ac:dyDescent="0.25">
      <c r="A6303" s="4" t="str">
        <f>HYPERLINK("http://www.rosaceae.org/Prunus/Prunus_persica/p.persica_gdr_reftransV1_0025038","p.persica_gdr_reftransV1_0025038")</f>
        <v>p.persica_gdr_reftransV1_0025038</v>
      </c>
      <c r="B6303" s="2">
        <v>2237</v>
      </c>
      <c r="C6303" s="4" t="str">
        <f>HYPERLINK("http://www.uniprot.org/uniprot/M5VRX3","M5VRX3")</f>
        <v>M5VRX3</v>
      </c>
      <c r="D6303" s="2" t="s">
        <v>5688</v>
      </c>
      <c r="E6303" s="3">
        <v>1.8500000000000001E-116</v>
      </c>
      <c r="F6303" s="2">
        <v>831</v>
      </c>
      <c r="G6303" s="2">
        <v>98</v>
      </c>
      <c r="H6303" s="2">
        <v>173</v>
      </c>
      <c r="I6303" s="2">
        <v>228</v>
      </c>
      <c r="J6303" s="2">
        <v>746</v>
      </c>
      <c r="K6303" s="2">
        <v>161</v>
      </c>
      <c r="L6303" s="2">
        <v>333</v>
      </c>
    </row>
    <row r="6304" spans="1:12" x14ac:dyDescent="0.25">
      <c r="A6304" s="4" t="str">
        <f>HYPERLINK("http://www.rosaceae.org/Prunus/Prunus_persica/p.persica_gdr_reftransV1_0026788","p.persica_gdr_reftransV1_0026788")</f>
        <v>p.persica_gdr_reftransV1_0026788</v>
      </c>
      <c r="B6304" s="2">
        <v>1253</v>
      </c>
      <c r="C6304" s="4" t="str">
        <f>HYPERLINK("http://www.uniprot.org/uniprot/W9S2H3","W9S2H3")</f>
        <v>W9S2H3</v>
      </c>
      <c r="D6304" s="2" t="s">
        <v>5689</v>
      </c>
      <c r="E6304" s="3">
        <v>2.4299999999999999E-46</v>
      </c>
      <c r="F6304" s="2">
        <v>438</v>
      </c>
      <c r="G6304" s="2">
        <v>49</v>
      </c>
      <c r="H6304" s="2">
        <v>186</v>
      </c>
      <c r="I6304" s="2">
        <v>140</v>
      </c>
      <c r="J6304" s="2">
        <v>694</v>
      </c>
      <c r="K6304" s="2">
        <v>5</v>
      </c>
      <c r="L6304" s="2">
        <v>189</v>
      </c>
    </row>
    <row r="6305" spans="1:12" x14ac:dyDescent="0.25">
      <c r="A6305" s="4" t="str">
        <f>HYPERLINK("http://www.rosaceae.org/Prunus/Prunus_persica/p.persica_gdr_reftransV1_0027138","p.persica_gdr_reftransV1_0027138")</f>
        <v>p.persica_gdr_reftransV1_0027138</v>
      </c>
      <c r="B6305" s="2">
        <v>1086</v>
      </c>
      <c r="C6305" s="4" t="str">
        <f>HYPERLINK("http://www.uniprot.org/uniprot/M5WYG8","M5WYG8")</f>
        <v>M5WYG8</v>
      </c>
      <c r="D6305" s="2" t="s">
        <v>158</v>
      </c>
      <c r="E6305" s="3">
        <v>0</v>
      </c>
      <c r="F6305" s="2">
        <v>1520</v>
      </c>
      <c r="G6305" s="2">
        <v>100</v>
      </c>
      <c r="H6305" s="2">
        <v>292</v>
      </c>
      <c r="I6305" s="2">
        <v>3</v>
      </c>
      <c r="J6305" s="2">
        <v>878</v>
      </c>
      <c r="K6305" s="2">
        <v>381</v>
      </c>
      <c r="L6305" s="2">
        <v>672</v>
      </c>
    </row>
    <row r="6306" spans="1:12" x14ac:dyDescent="0.25">
      <c r="A6306" s="4" t="str">
        <f>HYPERLINK("http://www.rosaceae.org/Prunus/Prunus_persica/p.persica_gdr_reftransV1_0027488","p.persica_gdr_reftransV1_0027488")</f>
        <v>p.persica_gdr_reftransV1_0027488</v>
      </c>
      <c r="B6306" s="2">
        <v>640</v>
      </c>
      <c r="C6306" s="4" t="str">
        <f>HYPERLINK("http://www.uniprot.org/uniprot/M5W2L3","M5W2L3")</f>
        <v>M5W2L3</v>
      </c>
      <c r="D6306" s="2" t="s">
        <v>5690</v>
      </c>
      <c r="E6306" s="3">
        <v>1.08E-87</v>
      </c>
      <c r="F6306" s="2">
        <v>688</v>
      </c>
      <c r="G6306" s="2">
        <v>100</v>
      </c>
      <c r="H6306" s="2">
        <v>129</v>
      </c>
      <c r="I6306" s="2">
        <v>1</v>
      </c>
      <c r="J6306" s="2">
        <v>387</v>
      </c>
      <c r="K6306" s="2">
        <v>90</v>
      </c>
      <c r="L6306" s="2">
        <v>218</v>
      </c>
    </row>
    <row r="6307" spans="1:12" x14ac:dyDescent="0.25">
      <c r="A6307" s="4" t="str">
        <f>HYPERLINK("http://www.rosaceae.org/Prunus/Prunus_persica/p.persica_gdr_reftransV1_0028188","p.persica_gdr_reftransV1_0028188")</f>
        <v>p.persica_gdr_reftransV1_0028188</v>
      </c>
      <c r="B6307" s="2">
        <v>2640</v>
      </c>
      <c r="C6307" s="4" t="str">
        <f>HYPERLINK("http://www.uniprot.org/uniprot/M5VUD7","M5VUD7")</f>
        <v>M5VUD7</v>
      </c>
      <c r="D6307" s="2" t="s">
        <v>5691</v>
      </c>
      <c r="E6307" s="3">
        <v>0</v>
      </c>
      <c r="F6307" s="2">
        <v>3452</v>
      </c>
      <c r="G6307" s="2">
        <v>100</v>
      </c>
      <c r="H6307" s="2">
        <v>750</v>
      </c>
      <c r="I6307" s="2">
        <v>151</v>
      </c>
      <c r="J6307" s="2">
        <v>2400</v>
      </c>
      <c r="K6307" s="2">
        <v>1</v>
      </c>
      <c r="L6307" s="2">
        <v>750</v>
      </c>
    </row>
    <row r="6308" spans="1:12" x14ac:dyDescent="0.25">
      <c r="A6308" s="4" t="str">
        <f>HYPERLINK("http://www.rosaceae.org/Prunus/Prunus_persica/p.persica_gdr_reftransV1_0028888","p.persica_gdr_reftransV1_0028888")</f>
        <v>p.persica_gdr_reftransV1_0028888</v>
      </c>
      <c r="B6308" s="2">
        <v>837</v>
      </c>
      <c r="C6308" s="4" t="str">
        <f>HYPERLINK("http://www.uniprot.org/uniprot/M5VHB2","M5VHB2")</f>
        <v>M5VHB2</v>
      </c>
      <c r="D6308" s="2" t="s">
        <v>5692</v>
      </c>
      <c r="E6308" s="3">
        <v>1.6699999999999999E-101</v>
      </c>
      <c r="F6308" s="2">
        <v>812</v>
      </c>
      <c r="G6308" s="2">
        <v>100</v>
      </c>
      <c r="H6308" s="2">
        <v>149</v>
      </c>
      <c r="I6308" s="2">
        <v>3</v>
      </c>
      <c r="J6308" s="2">
        <v>449</v>
      </c>
      <c r="K6308" s="2">
        <v>352</v>
      </c>
      <c r="L6308" s="2">
        <v>500</v>
      </c>
    </row>
    <row r="6309" spans="1:12" x14ac:dyDescent="0.25">
      <c r="A6309" s="4" t="str">
        <f>HYPERLINK("http://www.rosaceae.org/Prunus/Prunus_persica/p.persica_gdr_reftransV1_0029238","p.persica_gdr_reftransV1_0029238")</f>
        <v>p.persica_gdr_reftransV1_0029238</v>
      </c>
      <c r="B6309" s="2">
        <v>3542</v>
      </c>
      <c r="C6309" s="4" t="str">
        <f>HYPERLINK("http://www.uniprot.org/uniprot/M5X9F5","M5X9F5")</f>
        <v>M5X9F5</v>
      </c>
      <c r="D6309" s="2" t="s">
        <v>5022</v>
      </c>
      <c r="E6309" s="3">
        <v>0</v>
      </c>
      <c r="F6309" s="2">
        <v>2422</v>
      </c>
      <c r="G6309" s="2">
        <v>100</v>
      </c>
      <c r="H6309" s="2">
        <v>460</v>
      </c>
      <c r="I6309" s="2">
        <v>1158</v>
      </c>
      <c r="J6309" s="2">
        <v>2537</v>
      </c>
      <c r="K6309" s="2">
        <v>1</v>
      </c>
      <c r="L6309" s="2">
        <v>460</v>
      </c>
    </row>
    <row r="6310" spans="1:12" x14ac:dyDescent="0.25">
      <c r="A6310" s="4" t="str">
        <f>HYPERLINK("http://www.rosaceae.org/Prunus/Prunus_persica/p.persica_gdr_reftransV1_0029938","p.persica_gdr_reftransV1_0029938")</f>
        <v>p.persica_gdr_reftransV1_0029938</v>
      </c>
      <c r="B6310" s="2">
        <v>3714</v>
      </c>
      <c r="C6310" s="4" t="str">
        <f>HYPERLINK("http://www.uniprot.org/uniprot/M5W9N9","M5W9N9")</f>
        <v>M5W9N9</v>
      </c>
      <c r="D6310" s="2" t="s">
        <v>5693</v>
      </c>
      <c r="E6310" s="3">
        <v>0</v>
      </c>
      <c r="F6310" s="2">
        <v>1489</v>
      </c>
      <c r="G6310" s="2">
        <v>100</v>
      </c>
      <c r="H6310" s="2">
        <v>276</v>
      </c>
      <c r="I6310" s="2">
        <v>2626</v>
      </c>
      <c r="J6310" s="2">
        <v>3453</v>
      </c>
      <c r="K6310" s="2">
        <v>101</v>
      </c>
      <c r="L6310" s="2">
        <v>376</v>
      </c>
    </row>
    <row r="6311" spans="1:12" x14ac:dyDescent="0.25">
      <c r="A6311" s="4" t="str">
        <f>HYPERLINK("http://www.rosaceae.org/Prunus/Prunus_persica/p.persica_gdr_reftransV1_0030638","p.persica_gdr_reftransV1_0030638")</f>
        <v>p.persica_gdr_reftransV1_0030638</v>
      </c>
      <c r="B6311" s="2">
        <v>570</v>
      </c>
      <c r="C6311" s="4" t="str">
        <f>HYPERLINK("http://www.uniprot.org/uniprot/M5VIG0","M5VIG0")</f>
        <v>M5VIG0</v>
      </c>
      <c r="D6311" s="2" t="s">
        <v>5694</v>
      </c>
      <c r="E6311" s="3">
        <v>5.4299999999999998E-50</v>
      </c>
      <c r="F6311" s="2">
        <v>429</v>
      </c>
      <c r="G6311" s="2">
        <v>95</v>
      </c>
      <c r="H6311" s="2">
        <v>79</v>
      </c>
      <c r="I6311" s="2">
        <v>2</v>
      </c>
      <c r="J6311" s="2">
        <v>238</v>
      </c>
      <c r="K6311" s="2">
        <v>70</v>
      </c>
      <c r="L6311" s="2">
        <v>148</v>
      </c>
    </row>
    <row r="6312" spans="1:12" x14ac:dyDescent="0.25">
      <c r="A6312" s="4" t="str">
        <f>HYPERLINK("http://www.rosaceae.org/Prunus/Prunus_persica/p.persica_gdr_reftransV1_0034138","p.persica_gdr_reftransV1_0034138")</f>
        <v>p.persica_gdr_reftransV1_0034138</v>
      </c>
      <c r="B6312" s="2">
        <v>3253</v>
      </c>
      <c r="C6312" s="4" t="str">
        <f>HYPERLINK("http://www.uniprot.org/uniprot/A0A061ENY3","A0A061ENY3")</f>
        <v>A0A061ENY3</v>
      </c>
      <c r="D6312" s="2" t="s">
        <v>5695</v>
      </c>
      <c r="E6312" s="3">
        <v>0</v>
      </c>
      <c r="F6312" s="2">
        <v>1792</v>
      </c>
      <c r="G6312" s="2">
        <v>89</v>
      </c>
      <c r="H6312" s="2">
        <v>380</v>
      </c>
      <c r="I6312" s="2">
        <v>278</v>
      </c>
      <c r="J6312" s="2">
        <v>1414</v>
      </c>
      <c r="K6312" s="2">
        <v>1</v>
      </c>
      <c r="L6312" s="2">
        <v>379</v>
      </c>
    </row>
    <row r="6313" spans="1:12" x14ac:dyDescent="0.25">
      <c r="A6313" s="4" t="str">
        <f>HYPERLINK("http://www.rosaceae.org/Prunus/Prunus_persica/p.persica_gdr_reftransV1_0034488","p.persica_gdr_reftransV1_0034488")</f>
        <v>p.persica_gdr_reftransV1_0034488</v>
      </c>
      <c r="B6313" s="2">
        <v>414</v>
      </c>
      <c r="C6313" s="4" t="str">
        <f>HYPERLINK("http://www.uniprot.org/uniprot/M5XP30","M5XP30")</f>
        <v>M5XP30</v>
      </c>
      <c r="D6313" s="2" t="s">
        <v>5696</v>
      </c>
      <c r="E6313" s="3">
        <v>1.9700000000000001E-48</v>
      </c>
      <c r="F6313" s="2">
        <v>440</v>
      </c>
      <c r="G6313" s="2">
        <v>95</v>
      </c>
      <c r="H6313" s="2">
        <v>85</v>
      </c>
      <c r="I6313" s="2">
        <v>2</v>
      </c>
      <c r="J6313" s="2">
        <v>256</v>
      </c>
      <c r="K6313" s="2">
        <v>1</v>
      </c>
      <c r="L6313" s="2">
        <v>85</v>
      </c>
    </row>
    <row r="6314" spans="1:12" x14ac:dyDescent="0.25">
      <c r="A6314" s="4" t="str">
        <f>HYPERLINK("http://www.rosaceae.org/Prunus/Prunus_persica/p.persica_gdr_reftransV1_0035538","p.persica_gdr_reftransV1_0035538")</f>
        <v>p.persica_gdr_reftransV1_0035538</v>
      </c>
      <c r="B6314" s="2">
        <v>2702</v>
      </c>
      <c r="C6314" s="4" t="str">
        <f>HYPERLINK("http://www.uniprot.org/uniprot/M5VJX2","M5VJX2")</f>
        <v>M5VJX2</v>
      </c>
      <c r="D6314" s="2" t="s">
        <v>5697</v>
      </c>
      <c r="E6314" s="3">
        <v>1.5000000000000001E-174</v>
      </c>
      <c r="F6314" s="2">
        <v>1347</v>
      </c>
      <c r="G6314" s="2">
        <v>100</v>
      </c>
      <c r="H6314" s="2">
        <v>250</v>
      </c>
      <c r="I6314" s="2">
        <v>1041</v>
      </c>
      <c r="J6314" s="2">
        <v>1790</v>
      </c>
      <c r="K6314" s="2">
        <v>145</v>
      </c>
      <c r="L6314" s="2">
        <v>394</v>
      </c>
    </row>
    <row r="6315" spans="1:12" x14ac:dyDescent="0.25">
      <c r="A6315" s="4" t="str">
        <f>HYPERLINK("http://www.rosaceae.org/Prunus/Prunus_persica/p.persica_gdr_reftransV1_0035888","p.persica_gdr_reftransV1_0035888")</f>
        <v>p.persica_gdr_reftransV1_0035888</v>
      </c>
      <c r="B6315" s="2">
        <v>2720</v>
      </c>
      <c r="C6315" s="4" t="str">
        <f>HYPERLINK("http://www.uniprot.org/uniprot/M5WAD7","M5WAD7")</f>
        <v>M5WAD7</v>
      </c>
      <c r="D6315" s="2" t="s">
        <v>5698</v>
      </c>
      <c r="E6315" s="3">
        <v>2.3299999999999998E-136</v>
      </c>
      <c r="F6315" s="2">
        <v>1078</v>
      </c>
      <c r="G6315" s="2">
        <v>100</v>
      </c>
      <c r="H6315" s="2">
        <v>204</v>
      </c>
      <c r="I6315" s="2">
        <v>2040</v>
      </c>
      <c r="J6315" s="2">
        <v>2651</v>
      </c>
      <c r="K6315" s="2">
        <v>1</v>
      </c>
      <c r="L6315" s="2">
        <v>204</v>
      </c>
    </row>
    <row r="6316" spans="1:12" x14ac:dyDescent="0.25">
      <c r="A6316" s="4" t="str">
        <f>HYPERLINK("http://www.rosaceae.org/Prunus/Prunus_persica/p.persica_gdr_reftransV1_0037288","p.persica_gdr_reftransV1_0037288")</f>
        <v>p.persica_gdr_reftransV1_0037288</v>
      </c>
      <c r="B6316" s="2">
        <v>3074</v>
      </c>
      <c r="C6316" s="4" t="str">
        <f>HYPERLINK("http://www.uniprot.org/uniprot/M5W4J9","M5W4J9")</f>
        <v>M5W4J9</v>
      </c>
      <c r="D6316" s="2" t="s">
        <v>5699</v>
      </c>
      <c r="E6316" s="3">
        <v>0</v>
      </c>
      <c r="F6316" s="2">
        <v>2597</v>
      </c>
      <c r="G6316" s="2">
        <v>100</v>
      </c>
      <c r="H6316" s="2">
        <v>488</v>
      </c>
      <c r="I6316" s="2">
        <v>1082</v>
      </c>
      <c r="J6316" s="2">
        <v>2545</v>
      </c>
      <c r="K6316" s="2">
        <v>1</v>
      </c>
      <c r="L6316" s="2">
        <v>488</v>
      </c>
    </row>
    <row r="6317" spans="1:12" x14ac:dyDescent="0.25">
      <c r="A6317" s="4" t="str">
        <f>HYPERLINK("http://www.rosaceae.org/Prunus/Prunus_persica/p.persica_gdr_reftransV1_0037638","p.persica_gdr_reftransV1_0037638")</f>
        <v>p.persica_gdr_reftransV1_0037638</v>
      </c>
      <c r="B6317" s="2">
        <v>4278</v>
      </c>
      <c r="C6317" s="4" t="str">
        <f>HYPERLINK("http://www.uniprot.org/uniprot/M5XVV9","M5XVV9")</f>
        <v>M5XVV9</v>
      </c>
      <c r="D6317" s="2" t="s">
        <v>5700</v>
      </c>
      <c r="E6317" s="3">
        <v>0</v>
      </c>
      <c r="F6317" s="2">
        <v>2276</v>
      </c>
      <c r="G6317" s="2">
        <v>98</v>
      </c>
      <c r="H6317" s="2">
        <v>448</v>
      </c>
      <c r="I6317" s="2">
        <v>615</v>
      </c>
      <c r="J6317" s="2">
        <v>1955</v>
      </c>
      <c r="K6317" s="2">
        <v>1</v>
      </c>
      <c r="L6317" s="2">
        <v>448</v>
      </c>
    </row>
    <row r="6318" spans="1:12" x14ac:dyDescent="0.25">
      <c r="A6318" s="4" t="str">
        <f>HYPERLINK("http://www.rosaceae.org/Prunus/Prunus_persica/p.persica_gdr_reftransV1_0037988","p.persica_gdr_reftransV1_0037988")</f>
        <v>p.persica_gdr_reftransV1_0037988</v>
      </c>
      <c r="B6318" s="2">
        <v>587</v>
      </c>
      <c r="C6318" s="4" t="str">
        <f>HYPERLINK("http://www.uniprot.org/uniprot/M5VHF7","M5VHF7")</f>
        <v>M5VHF7</v>
      </c>
      <c r="D6318" s="2" t="s">
        <v>5701</v>
      </c>
      <c r="E6318" s="3">
        <v>3.73E-112</v>
      </c>
      <c r="F6318" s="2">
        <v>891</v>
      </c>
      <c r="G6318" s="2">
        <v>100</v>
      </c>
      <c r="H6318" s="2">
        <v>195</v>
      </c>
      <c r="I6318" s="2">
        <v>1</v>
      </c>
      <c r="J6318" s="2">
        <v>585</v>
      </c>
      <c r="K6318" s="2">
        <v>532</v>
      </c>
      <c r="L6318" s="2">
        <v>726</v>
      </c>
    </row>
    <row r="6319" spans="1:12" x14ac:dyDescent="0.25">
      <c r="A6319" s="4" t="str">
        <f>HYPERLINK("http://www.rosaceae.org/Prunus/Prunus_persica/p.persica_gdr_reftransV1_0039738","p.persica_gdr_reftransV1_0039738")</f>
        <v>p.persica_gdr_reftransV1_0039738</v>
      </c>
      <c r="B6319" s="2">
        <v>2797</v>
      </c>
      <c r="C6319" s="4" t="str">
        <f>HYPERLINK("http://www.uniprot.org/uniprot/M5WGZ0","M5WGZ0")</f>
        <v>M5WGZ0</v>
      </c>
      <c r="D6319" s="2" t="s">
        <v>5702</v>
      </c>
      <c r="E6319" s="3">
        <v>0</v>
      </c>
      <c r="F6319" s="2">
        <v>2073</v>
      </c>
      <c r="G6319" s="2">
        <v>100</v>
      </c>
      <c r="H6319" s="2">
        <v>422</v>
      </c>
      <c r="I6319" s="2">
        <v>790</v>
      </c>
      <c r="J6319" s="2">
        <v>2055</v>
      </c>
      <c r="K6319" s="2">
        <v>1</v>
      </c>
      <c r="L6319" s="2">
        <v>422</v>
      </c>
    </row>
    <row r="6320" spans="1:12" x14ac:dyDescent="0.25">
      <c r="A6320" s="4" t="str">
        <f>HYPERLINK("http://www.rosaceae.org/Prunus/Prunus_persica/p.persica_gdr_reftransV1_0040088","p.persica_gdr_reftransV1_0040088")</f>
        <v>p.persica_gdr_reftransV1_0040088</v>
      </c>
      <c r="B6320" s="2">
        <v>1787</v>
      </c>
      <c r="C6320" s="4" t="str">
        <f>HYPERLINK("http://www.uniprot.org/uniprot/M5WLH1","M5WLH1")</f>
        <v>M5WLH1</v>
      </c>
      <c r="D6320" s="2" t="s">
        <v>5703</v>
      </c>
      <c r="E6320" s="3">
        <v>0</v>
      </c>
      <c r="F6320" s="2">
        <v>1488</v>
      </c>
      <c r="G6320" s="2">
        <v>100</v>
      </c>
      <c r="H6320" s="2">
        <v>324</v>
      </c>
      <c r="I6320" s="2">
        <v>262</v>
      </c>
      <c r="J6320" s="2">
        <v>1233</v>
      </c>
      <c r="K6320" s="2">
        <v>1</v>
      </c>
      <c r="L6320" s="2">
        <v>324</v>
      </c>
    </row>
    <row r="6321" spans="1:12" x14ac:dyDescent="0.25">
      <c r="A6321" s="4" t="str">
        <f>HYPERLINK("http://www.rosaceae.org/Prunus/Prunus_persica/p.persica_gdr_reftransV1_0040438","p.persica_gdr_reftransV1_0040438")</f>
        <v>p.persica_gdr_reftransV1_0040438</v>
      </c>
      <c r="B6321" s="2">
        <v>1066</v>
      </c>
      <c r="C6321" s="4" t="str">
        <f>HYPERLINK("http://www.uniprot.org/uniprot/M5VSZ0","M5VSZ0")</f>
        <v>M5VSZ0</v>
      </c>
      <c r="D6321" s="2" t="s">
        <v>5704</v>
      </c>
      <c r="E6321" s="3">
        <v>0</v>
      </c>
      <c r="F6321" s="2">
        <v>1734</v>
      </c>
      <c r="G6321" s="2">
        <v>99</v>
      </c>
      <c r="H6321" s="2">
        <v>331</v>
      </c>
      <c r="I6321" s="2">
        <v>73</v>
      </c>
      <c r="J6321" s="2">
        <v>1065</v>
      </c>
      <c r="K6321" s="2">
        <v>1</v>
      </c>
      <c r="L6321" s="2">
        <v>331</v>
      </c>
    </row>
    <row r="6322" spans="1:12" x14ac:dyDescent="0.25">
      <c r="A6322" s="4" t="str">
        <f>HYPERLINK("http://www.rosaceae.org/Prunus/Prunus_persica/p.persica_gdr_reftransV1_0041488","p.persica_gdr_reftransV1_0041488")</f>
        <v>p.persica_gdr_reftransV1_0041488</v>
      </c>
      <c r="B6322" s="2">
        <v>4312</v>
      </c>
      <c r="C6322" s="4" t="str">
        <f>HYPERLINK("http://www.uniprot.org/uniprot/M4QEK2","M4QEK2")</f>
        <v>M4QEK2</v>
      </c>
      <c r="D6322" s="2" t="s">
        <v>5705</v>
      </c>
      <c r="E6322" s="3">
        <v>0</v>
      </c>
      <c r="F6322" s="2">
        <v>1570</v>
      </c>
      <c r="G6322" s="2">
        <v>100</v>
      </c>
      <c r="H6322" s="2">
        <v>298</v>
      </c>
      <c r="I6322" s="2">
        <v>487</v>
      </c>
      <c r="J6322" s="2">
        <v>1380</v>
      </c>
      <c r="K6322" s="2">
        <v>1</v>
      </c>
      <c r="L6322" s="2">
        <v>298</v>
      </c>
    </row>
    <row r="6323" spans="1:12" x14ac:dyDescent="0.25">
      <c r="A6323" s="4" t="str">
        <f>HYPERLINK("http://www.rosaceae.org/Prunus/Prunus_persica/p.persica_gdr_reftransV1_0042538","p.persica_gdr_reftransV1_0042538")</f>
        <v>p.persica_gdr_reftransV1_0042538</v>
      </c>
      <c r="B6323" s="2">
        <v>923</v>
      </c>
      <c r="C6323" s="4" t="str">
        <f>HYPERLINK("http://www.uniprot.org/uniprot/M5W195","M5W195")</f>
        <v>M5W195</v>
      </c>
      <c r="D6323" s="2" t="s">
        <v>5706</v>
      </c>
      <c r="E6323" s="3">
        <v>1.07E-116</v>
      </c>
      <c r="F6323" s="2">
        <v>887</v>
      </c>
      <c r="G6323" s="2">
        <v>100</v>
      </c>
      <c r="H6323" s="2">
        <v>188</v>
      </c>
      <c r="I6323" s="2">
        <v>64</v>
      </c>
      <c r="J6323" s="2">
        <v>627</v>
      </c>
      <c r="K6323" s="2">
        <v>1</v>
      </c>
      <c r="L6323" s="2">
        <v>188</v>
      </c>
    </row>
    <row r="6324" spans="1:12" x14ac:dyDescent="0.25">
      <c r="A6324" s="4" t="str">
        <f>HYPERLINK("http://www.rosaceae.org/Prunus/Prunus_persica/p.persica_gdr_reftransV1_0043238","p.persica_gdr_reftransV1_0043238")</f>
        <v>p.persica_gdr_reftransV1_0043238</v>
      </c>
      <c r="B6324" s="2">
        <v>987</v>
      </c>
      <c r="C6324" s="4" t="str">
        <f>HYPERLINK("http://www.uniprot.org/uniprot/M5WKD7","M5WKD7")</f>
        <v>M5WKD7</v>
      </c>
      <c r="D6324" s="2" t="s">
        <v>5707</v>
      </c>
      <c r="E6324" s="3">
        <v>8.8599999999999999E-88</v>
      </c>
      <c r="F6324" s="2">
        <v>694</v>
      </c>
      <c r="G6324" s="2">
        <v>99</v>
      </c>
      <c r="H6324" s="2">
        <v>141</v>
      </c>
      <c r="I6324" s="2">
        <v>198</v>
      </c>
      <c r="J6324" s="2">
        <v>620</v>
      </c>
      <c r="K6324" s="2">
        <v>1</v>
      </c>
      <c r="L6324" s="2">
        <v>141</v>
      </c>
    </row>
    <row r="6325" spans="1:12" x14ac:dyDescent="0.25">
      <c r="A6325" s="4" t="str">
        <f>HYPERLINK("http://www.rosaceae.org/Prunus/Prunus_persica/p.persica_gdr_reftransV1_0043588","p.persica_gdr_reftransV1_0043588")</f>
        <v>p.persica_gdr_reftransV1_0043588</v>
      </c>
      <c r="B6325" s="2">
        <v>3305</v>
      </c>
      <c r="C6325" s="4" t="str">
        <f>HYPERLINK("http://www.uniprot.org/uniprot/M5WCZ4","M5WCZ4")</f>
        <v>M5WCZ4</v>
      </c>
      <c r="D6325" s="2" t="s">
        <v>5708</v>
      </c>
      <c r="E6325" s="3">
        <v>0</v>
      </c>
      <c r="F6325" s="2">
        <v>5063</v>
      </c>
      <c r="G6325" s="2">
        <v>100</v>
      </c>
      <c r="H6325" s="2">
        <v>976</v>
      </c>
      <c r="I6325" s="2">
        <v>188</v>
      </c>
      <c r="J6325" s="2">
        <v>3115</v>
      </c>
      <c r="K6325" s="2">
        <v>1</v>
      </c>
      <c r="L6325" s="2">
        <v>976</v>
      </c>
    </row>
    <row r="6326" spans="1:12" x14ac:dyDescent="0.25">
      <c r="A6326" s="4" t="str">
        <f>HYPERLINK("http://www.rosaceae.org/Prunus/Prunus_persica/p.persica_gdr_reftransV1_0044288","p.persica_gdr_reftransV1_0044288")</f>
        <v>p.persica_gdr_reftransV1_0044288</v>
      </c>
      <c r="B6326" s="2">
        <v>2088</v>
      </c>
      <c r="C6326" s="4" t="str">
        <f>HYPERLINK("http://www.uniprot.org/uniprot/B6V864","B6V864")</f>
        <v>B6V864</v>
      </c>
      <c r="D6326" s="2" t="s">
        <v>5709</v>
      </c>
      <c r="E6326" s="3">
        <v>0</v>
      </c>
      <c r="F6326" s="2">
        <v>2330</v>
      </c>
      <c r="G6326" s="2">
        <v>100</v>
      </c>
      <c r="H6326" s="2">
        <v>436</v>
      </c>
      <c r="I6326" s="2">
        <v>225</v>
      </c>
      <c r="J6326" s="2">
        <v>1532</v>
      </c>
      <c r="K6326" s="2">
        <v>1</v>
      </c>
      <c r="L6326" s="2">
        <v>436</v>
      </c>
    </row>
    <row r="6327" spans="1:12" x14ac:dyDescent="0.25">
      <c r="A6327" s="4" t="str">
        <f>HYPERLINK("http://www.rosaceae.org/Prunus/Prunus_persica/p.persica_gdr_reftransV1_0044638","p.persica_gdr_reftransV1_0044638")</f>
        <v>p.persica_gdr_reftransV1_0044638</v>
      </c>
      <c r="B6327" s="2">
        <v>961</v>
      </c>
      <c r="C6327" s="4" t="str">
        <f>HYPERLINK("http://www.uniprot.org/uniprot/A6XN04","A6XN04")</f>
        <v>A6XN04</v>
      </c>
      <c r="D6327" s="2" t="s">
        <v>2264</v>
      </c>
      <c r="E6327" s="3">
        <v>1.6399999999999999E-149</v>
      </c>
      <c r="F6327" s="2">
        <v>1110</v>
      </c>
      <c r="G6327" s="2">
        <v>100</v>
      </c>
      <c r="H6327" s="2">
        <v>238</v>
      </c>
      <c r="I6327" s="2">
        <v>86</v>
      </c>
      <c r="J6327" s="2">
        <v>799</v>
      </c>
      <c r="K6327" s="2">
        <v>1</v>
      </c>
      <c r="L6327" s="2">
        <v>238</v>
      </c>
    </row>
    <row r="6328" spans="1:12" x14ac:dyDescent="0.25">
      <c r="A6328" s="4" t="str">
        <f>HYPERLINK("http://www.rosaceae.org/Prunus/Prunus_persica/p.persica_gdr_reftransV1_0044988","p.persica_gdr_reftransV1_0044988")</f>
        <v>p.persica_gdr_reftransV1_0044988</v>
      </c>
      <c r="B6328" s="2">
        <v>315</v>
      </c>
      <c r="C6328" s="4" t="str">
        <f>HYPERLINK("http://www.uniprot.org/uniprot/M5X1K2","M5X1K2")</f>
        <v>M5X1K2</v>
      </c>
      <c r="D6328" s="2" t="s">
        <v>5710</v>
      </c>
      <c r="E6328" s="3">
        <v>1.21E-54</v>
      </c>
      <c r="F6328" s="2">
        <v>484</v>
      </c>
      <c r="G6328" s="2">
        <v>91</v>
      </c>
      <c r="H6328" s="2">
        <v>104</v>
      </c>
      <c r="I6328" s="2">
        <v>3</v>
      </c>
      <c r="J6328" s="2">
        <v>314</v>
      </c>
      <c r="K6328" s="2">
        <v>481</v>
      </c>
      <c r="L6328" s="2">
        <v>575</v>
      </c>
    </row>
    <row r="6329" spans="1:12" x14ac:dyDescent="0.25">
      <c r="A6329" s="4" t="str">
        <f>HYPERLINK("http://www.rosaceae.org/Prunus/Prunus_persica/p.persica_gdr_reftransV1_0045688","p.persica_gdr_reftransV1_0045688")</f>
        <v>p.persica_gdr_reftransV1_0045688</v>
      </c>
      <c r="B6329" s="2">
        <v>4116</v>
      </c>
      <c r="C6329" s="4" t="str">
        <f>HYPERLINK("http://www.uniprot.org/uniprot/M5VVE4","M5VVE4")</f>
        <v>M5VVE4</v>
      </c>
      <c r="D6329" s="2" t="s">
        <v>5711</v>
      </c>
      <c r="E6329" s="3">
        <v>0</v>
      </c>
      <c r="F6329" s="2">
        <v>5425</v>
      </c>
      <c r="G6329" s="2">
        <v>100</v>
      </c>
      <c r="H6329" s="2">
        <v>1096</v>
      </c>
      <c r="I6329" s="2">
        <v>266</v>
      </c>
      <c r="J6329" s="2">
        <v>3553</v>
      </c>
      <c r="K6329" s="2">
        <v>1</v>
      </c>
      <c r="L6329" s="2">
        <v>1096</v>
      </c>
    </row>
    <row r="6330" spans="1:12" x14ac:dyDescent="0.25">
      <c r="A6330" s="4" t="str">
        <f>HYPERLINK("http://www.rosaceae.org/Prunus/Prunus_persica/p.persica_gdr_reftransV1_0046038","p.persica_gdr_reftransV1_0046038")</f>
        <v>p.persica_gdr_reftransV1_0046038</v>
      </c>
      <c r="B6330" s="2">
        <v>6157</v>
      </c>
      <c r="C6330" s="4" t="str">
        <f>HYPERLINK("http://www.uniprot.org/uniprot/W9QMU2","W9QMU2")</f>
        <v>W9QMU2</v>
      </c>
      <c r="D6330" s="2" t="s">
        <v>5712</v>
      </c>
      <c r="E6330" s="3">
        <v>0</v>
      </c>
      <c r="F6330" s="2">
        <v>9254</v>
      </c>
      <c r="G6330" s="2">
        <v>89</v>
      </c>
      <c r="H6330" s="2">
        <v>1938</v>
      </c>
      <c r="I6330" s="2">
        <v>347</v>
      </c>
      <c r="J6330" s="2">
        <v>6157</v>
      </c>
      <c r="K6330" s="2">
        <v>19</v>
      </c>
      <c r="L6330" s="2">
        <v>1951</v>
      </c>
    </row>
    <row r="6331" spans="1:12" x14ac:dyDescent="0.25">
      <c r="A6331" s="4" t="str">
        <f>HYPERLINK("http://www.rosaceae.org/Prunus/Prunus_persica/p.persica_gdr_reftransV1_0046388","p.persica_gdr_reftransV1_0046388")</f>
        <v>p.persica_gdr_reftransV1_0046388</v>
      </c>
      <c r="B6331" s="2">
        <v>390</v>
      </c>
      <c r="C6331" s="4" t="str">
        <f>HYPERLINK("http://www.uniprot.org/uniprot/M5VK99","M5VK99")</f>
        <v>M5VK99</v>
      </c>
      <c r="D6331" s="2" t="s">
        <v>5713</v>
      </c>
      <c r="E6331" s="3">
        <v>2.7799999999999998E-63</v>
      </c>
      <c r="F6331" s="2">
        <v>553</v>
      </c>
      <c r="G6331" s="2">
        <v>87</v>
      </c>
      <c r="H6331" s="2">
        <v>130</v>
      </c>
      <c r="I6331" s="2">
        <v>2</v>
      </c>
      <c r="J6331" s="2">
        <v>388</v>
      </c>
      <c r="K6331" s="2">
        <v>350</v>
      </c>
      <c r="L6331" s="2">
        <v>479</v>
      </c>
    </row>
    <row r="6332" spans="1:12" x14ac:dyDescent="0.25">
      <c r="A6332" s="4" t="str">
        <f>HYPERLINK("http://www.rosaceae.org/Prunus/Prunus_persica/p.persica_gdr_reftransV1_0047088","p.persica_gdr_reftransV1_0047088")</f>
        <v>p.persica_gdr_reftransV1_0047088</v>
      </c>
      <c r="B6332" s="2">
        <v>1900</v>
      </c>
      <c r="C6332" s="4" t="str">
        <f>HYPERLINK("http://www.uniprot.org/uniprot/M5XC77","M5XC77")</f>
        <v>M5XC77</v>
      </c>
      <c r="D6332" s="2" t="s">
        <v>5714</v>
      </c>
      <c r="E6332" s="3">
        <v>0</v>
      </c>
      <c r="F6332" s="2">
        <v>2319</v>
      </c>
      <c r="G6332" s="2">
        <v>100</v>
      </c>
      <c r="H6332" s="2">
        <v>447</v>
      </c>
      <c r="I6332" s="2">
        <v>216</v>
      </c>
      <c r="J6332" s="2">
        <v>1556</v>
      </c>
      <c r="K6332" s="2">
        <v>90</v>
      </c>
      <c r="L6332" s="2">
        <v>536</v>
      </c>
    </row>
    <row r="6333" spans="1:12" x14ac:dyDescent="0.25">
      <c r="A6333" s="4" t="str">
        <f>HYPERLINK("http://www.rosaceae.org/Prunus/Prunus_persica/p.persica_gdr_reftransV1_0047438","p.persica_gdr_reftransV1_0047438")</f>
        <v>p.persica_gdr_reftransV1_0047438</v>
      </c>
      <c r="B6333" s="2">
        <v>3213</v>
      </c>
      <c r="C6333" s="4" t="str">
        <f>HYPERLINK("http://www.uniprot.org/uniprot/M5X7R2","M5X7R2")</f>
        <v>M5X7R2</v>
      </c>
      <c r="D6333" s="2" t="s">
        <v>5715</v>
      </c>
      <c r="E6333" s="3">
        <v>0</v>
      </c>
      <c r="F6333" s="2">
        <v>3011</v>
      </c>
      <c r="G6333" s="2">
        <v>88</v>
      </c>
      <c r="H6333" s="2">
        <v>760</v>
      </c>
      <c r="I6333" s="2">
        <v>934</v>
      </c>
      <c r="J6333" s="2">
        <v>3213</v>
      </c>
      <c r="K6333" s="2">
        <v>652</v>
      </c>
      <c r="L6333" s="2">
        <v>1407</v>
      </c>
    </row>
    <row r="6334" spans="1:12" x14ac:dyDescent="0.25">
      <c r="A6334" s="4" t="str">
        <f>HYPERLINK("http://www.rosaceae.org/Prunus/Prunus_persica/p.persica_gdr_reftransV1_0047788","p.persica_gdr_reftransV1_0047788")</f>
        <v>p.persica_gdr_reftransV1_0047788</v>
      </c>
      <c r="B6334" s="2">
        <v>1124</v>
      </c>
      <c r="C6334" s="4" t="str">
        <f>HYPERLINK("http://www.uniprot.org/uniprot/A6XN05","A6XN05")</f>
        <v>A6XN05</v>
      </c>
      <c r="D6334" s="2" t="s">
        <v>2264</v>
      </c>
      <c r="E6334" s="3">
        <v>0</v>
      </c>
      <c r="F6334" s="2">
        <v>1577</v>
      </c>
      <c r="G6334" s="2">
        <v>81</v>
      </c>
      <c r="H6334" s="2">
        <v>370</v>
      </c>
      <c r="I6334" s="2">
        <v>1</v>
      </c>
      <c r="J6334" s="2">
        <v>1110</v>
      </c>
      <c r="K6334" s="2">
        <v>57</v>
      </c>
      <c r="L6334" s="2">
        <v>426</v>
      </c>
    </row>
    <row r="6335" spans="1:12" x14ac:dyDescent="0.25">
      <c r="A6335" s="4" t="str">
        <f>HYPERLINK("http://www.rosaceae.org/Prunus/Prunus_persica/p.persica_gdr_reftransV1_0048138","p.persica_gdr_reftransV1_0048138")</f>
        <v>p.persica_gdr_reftransV1_0048138</v>
      </c>
      <c r="B6335" s="2">
        <v>1882</v>
      </c>
      <c r="C6335" s="4" t="str">
        <f>HYPERLINK("http://www.uniprot.org/uniprot/M5WQW1","M5WQW1")</f>
        <v>M5WQW1</v>
      </c>
      <c r="D6335" s="2" t="s">
        <v>1917</v>
      </c>
      <c r="E6335" s="3">
        <v>0</v>
      </c>
      <c r="F6335" s="2">
        <v>2677</v>
      </c>
      <c r="G6335" s="2">
        <v>100</v>
      </c>
      <c r="H6335" s="2">
        <v>524</v>
      </c>
      <c r="I6335" s="2">
        <v>289</v>
      </c>
      <c r="J6335" s="2">
        <v>1860</v>
      </c>
      <c r="K6335" s="2">
        <v>1</v>
      </c>
      <c r="L6335" s="2">
        <v>524</v>
      </c>
    </row>
    <row r="6336" spans="1:12" x14ac:dyDescent="0.25">
      <c r="A6336" s="4" t="str">
        <f>HYPERLINK("http://www.rosaceae.org/Prunus/Prunus_persica/p.persica_gdr_reftransV1_0048488","p.persica_gdr_reftransV1_0048488")</f>
        <v>p.persica_gdr_reftransV1_0048488</v>
      </c>
      <c r="B6336" s="2">
        <v>781</v>
      </c>
      <c r="C6336" s="4" t="str">
        <f>HYPERLINK("http://www.uniprot.org/uniprot/M5XMD1","M5XMD1")</f>
        <v>M5XMD1</v>
      </c>
      <c r="D6336" s="2" t="s">
        <v>5716</v>
      </c>
      <c r="E6336" s="3">
        <v>1.68E-156</v>
      </c>
      <c r="F6336" s="2">
        <v>1183</v>
      </c>
      <c r="G6336" s="2">
        <v>100</v>
      </c>
      <c r="H6336" s="2">
        <v>216</v>
      </c>
      <c r="I6336" s="2">
        <v>134</v>
      </c>
      <c r="J6336" s="2">
        <v>781</v>
      </c>
      <c r="K6336" s="2">
        <v>365</v>
      </c>
      <c r="L6336" s="2">
        <v>580</v>
      </c>
    </row>
    <row r="6337" spans="1:12" x14ac:dyDescent="0.25">
      <c r="A6337" s="4" t="str">
        <f>HYPERLINK("http://www.rosaceae.org/Prunus/Prunus_persica/p.persica_gdr_reftransV1_0048838","p.persica_gdr_reftransV1_0048838")</f>
        <v>p.persica_gdr_reftransV1_0048838</v>
      </c>
      <c r="B6337" s="2">
        <v>1993</v>
      </c>
      <c r="C6337" s="4" t="str">
        <f>HYPERLINK("http://www.uniprot.org/uniprot/M5W9U3","M5W9U3")</f>
        <v>M5W9U3</v>
      </c>
      <c r="D6337" s="2" t="s">
        <v>5717</v>
      </c>
      <c r="E6337" s="3">
        <v>0</v>
      </c>
      <c r="F6337" s="2">
        <v>1824</v>
      </c>
      <c r="G6337" s="2">
        <v>100</v>
      </c>
      <c r="H6337" s="2">
        <v>358</v>
      </c>
      <c r="I6337" s="2">
        <v>569</v>
      </c>
      <c r="J6337" s="2">
        <v>1642</v>
      </c>
      <c r="K6337" s="2">
        <v>1</v>
      </c>
      <c r="L6337" s="2">
        <v>358</v>
      </c>
    </row>
    <row r="6338" spans="1:12" x14ac:dyDescent="0.25">
      <c r="A6338" s="4" t="str">
        <f>HYPERLINK("http://www.rosaceae.org/Prunus/Prunus_persica/p.persica_gdr_reftransV1_0049188","p.persica_gdr_reftransV1_0049188")</f>
        <v>p.persica_gdr_reftransV1_0049188</v>
      </c>
      <c r="B6338" s="2">
        <v>4315</v>
      </c>
      <c r="C6338" s="4" t="str">
        <f>HYPERLINK("http://www.uniprot.org/uniprot/M5WXZ1","M5WXZ1")</f>
        <v>M5WXZ1</v>
      </c>
      <c r="D6338" s="2" t="s">
        <v>4978</v>
      </c>
      <c r="E6338" s="3">
        <v>0</v>
      </c>
      <c r="F6338" s="2">
        <v>5746</v>
      </c>
      <c r="G6338" s="2">
        <v>93</v>
      </c>
      <c r="H6338" s="2">
        <v>1194</v>
      </c>
      <c r="I6338" s="2">
        <v>480</v>
      </c>
      <c r="J6338" s="2">
        <v>4061</v>
      </c>
      <c r="K6338" s="2">
        <v>1</v>
      </c>
      <c r="L6338" s="2">
        <v>1194</v>
      </c>
    </row>
    <row r="6339" spans="1:12" x14ac:dyDescent="0.25">
      <c r="A6339" s="4" t="str">
        <f>HYPERLINK("http://www.rosaceae.org/Prunus/Prunus_persica/p.persica_gdr_reftransV1_0000189","p.persica_gdr_reftransV1_0000189")</f>
        <v>p.persica_gdr_reftransV1_0000189</v>
      </c>
      <c r="B6339" s="2">
        <v>2101</v>
      </c>
      <c r="C6339" s="4" t="str">
        <f>HYPERLINK("http://www.uniprot.org/uniprot/M5XMF7","M5XMF7")</f>
        <v>M5XMF7</v>
      </c>
      <c r="D6339" s="2" t="s">
        <v>5718</v>
      </c>
      <c r="E6339" s="3">
        <v>0</v>
      </c>
      <c r="F6339" s="2">
        <v>2416</v>
      </c>
      <c r="G6339" s="2">
        <v>100</v>
      </c>
      <c r="H6339" s="2">
        <v>499</v>
      </c>
      <c r="I6339" s="2">
        <v>310</v>
      </c>
      <c r="J6339" s="2">
        <v>1806</v>
      </c>
      <c r="K6339" s="2">
        <v>1</v>
      </c>
      <c r="L6339" s="2">
        <v>499</v>
      </c>
    </row>
    <row r="6340" spans="1:12" x14ac:dyDescent="0.25">
      <c r="A6340" s="4" t="str">
        <f>HYPERLINK("http://www.rosaceae.org/Prunus/Prunus_persica/p.persica_gdr_reftransV1_0000539","p.persica_gdr_reftransV1_0000539")</f>
        <v>p.persica_gdr_reftransV1_0000539</v>
      </c>
      <c r="B6340" s="2">
        <v>2812</v>
      </c>
      <c r="C6340" s="4" t="str">
        <f>HYPERLINK("http://www.uniprot.org/uniprot/M5X9Y9","M5X9Y9")</f>
        <v>M5X9Y9</v>
      </c>
      <c r="D6340" s="2" t="s">
        <v>5719</v>
      </c>
      <c r="E6340" s="3">
        <v>0</v>
      </c>
      <c r="F6340" s="2">
        <v>3154</v>
      </c>
      <c r="G6340" s="2">
        <v>100</v>
      </c>
      <c r="H6340" s="2">
        <v>585</v>
      </c>
      <c r="I6340" s="2">
        <v>461</v>
      </c>
      <c r="J6340" s="2">
        <v>2215</v>
      </c>
      <c r="K6340" s="2">
        <v>1</v>
      </c>
      <c r="L6340" s="2">
        <v>585</v>
      </c>
    </row>
    <row r="6341" spans="1:12" x14ac:dyDescent="0.25">
      <c r="A6341" s="4" t="str">
        <f>HYPERLINK("http://www.rosaceae.org/Prunus/Prunus_persica/p.persica_gdr_reftransV1_0000889","p.persica_gdr_reftransV1_0000889")</f>
        <v>p.persica_gdr_reftransV1_0000889</v>
      </c>
      <c r="B6341" s="2">
        <v>620</v>
      </c>
      <c r="C6341" s="4" t="str">
        <f>HYPERLINK("http://www.uniprot.org/uniprot/Q2LAF3","Q2LAF3")</f>
        <v>Q2LAF3</v>
      </c>
      <c r="D6341" s="2" t="s">
        <v>814</v>
      </c>
      <c r="E6341" s="3">
        <v>1.7300000000000001E-115</v>
      </c>
      <c r="F6341" s="2">
        <v>888</v>
      </c>
      <c r="G6341" s="2">
        <v>99</v>
      </c>
      <c r="H6341" s="2">
        <v>171</v>
      </c>
      <c r="I6341" s="2">
        <v>89</v>
      </c>
      <c r="J6341" s="2">
        <v>601</v>
      </c>
      <c r="K6341" s="2">
        <v>1</v>
      </c>
      <c r="L6341" s="2">
        <v>171</v>
      </c>
    </row>
    <row r="6342" spans="1:12" x14ac:dyDescent="0.25">
      <c r="A6342" s="4" t="str">
        <f>HYPERLINK("http://www.rosaceae.org/Prunus/Prunus_persica/p.persica_gdr_reftransV1_0001939","p.persica_gdr_reftransV1_0001939")</f>
        <v>p.persica_gdr_reftransV1_0001939</v>
      </c>
      <c r="B6342" s="2">
        <v>4013</v>
      </c>
      <c r="C6342" s="4" t="str">
        <f>HYPERLINK("http://www.uniprot.org/uniprot/W9RXU1","W9RXU1")</f>
        <v>W9RXU1</v>
      </c>
      <c r="D6342" s="2" t="s">
        <v>3961</v>
      </c>
      <c r="E6342" s="3">
        <v>0</v>
      </c>
      <c r="F6342" s="2">
        <v>4012</v>
      </c>
      <c r="G6342" s="2">
        <v>70</v>
      </c>
      <c r="H6342" s="2">
        <v>1084</v>
      </c>
      <c r="I6342" s="2">
        <v>763</v>
      </c>
      <c r="J6342" s="2">
        <v>4011</v>
      </c>
      <c r="K6342" s="2">
        <v>832</v>
      </c>
      <c r="L6342" s="2">
        <v>1914</v>
      </c>
    </row>
    <row r="6343" spans="1:12" x14ac:dyDescent="0.25">
      <c r="A6343" s="4" t="str">
        <f>HYPERLINK("http://www.rosaceae.org/Prunus/Prunus_persica/p.persica_gdr_reftransV1_0002639","p.persica_gdr_reftransV1_0002639")</f>
        <v>p.persica_gdr_reftransV1_0002639</v>
      </c>
      <c r="B6343" s="2">
        <v>726</v>
      </c>
      <c r="C6343" s="4" t="str">
        <f>HYPERLINK("http://www.uniprot.org/uniprot/M5VVK6","M5VVK6")</f>
        <v>M5VVK6</v>
      </c>
      <c r="D6343" s="2" t="s">
        <v>2206</v>
      </c>
      <c r="E6343" s="3">
        <v>1.04E-162</v>
      </c>
      <c r="F6343" s="2">
        <v>1301</v>
      </c>
      <c r="G6343" s="2">
        <v>100</v>
      </c>
      <c r="H6343" s="2">
        <v>242</v>
      </c>
      <c r="I6343" s="2">
        <v>1</v>
      </c>
      <c r="J6343" s="2">
        <v>726</v>
      </c>
      <c r="K6343" s="2">
        <v>1380</v>
      </c>
      <c r="L6343" s="2">
        <v>1621</v>
      </c>
    </row>
    <row r="6344" spans="1:12" x14ac:dyDescent="0.25">
      <c r="A6344" s="4" t="str">
        <f>HYPERLINK("http://www.rosaceae.org/Prunus/Prunus_persica/p.persica_gdr_reftransV1_0002989","p.persica_gdr_reftransV1_0002989")</f>
        <v>p.persica_gdr_reftransV1_0002989</v>
      </c>
      <c r="B6344" s="2">
        <v>304</v>
      </c>
      <c r="C6344" s="4" t="str">
        <f>HYPERLINK("http://www.uniprot.org/uniprot/B9IAW6","B9IAW6")</f>
        <v>B9IAW6</v>
      </c>
      <c r="D6344" s="2" t="s">
        <v>5720</v>
      </c>
      <c r="E6344" s="3">
        <v>1.1E-46</v>
      </c>
      <c r="F6344" s="2">
        <v>419</v>
      </c>
      <c r="G6344" s="2">
        <v>82</v>
      </c>
      <c r="H6344" s="2">
        <v>89</v>
      </c>
      <c r="I6344" s="2">
        <v>37</v>
      </c>
      <c r="J6344" s="2">
        <v>303</v>
      </c>
      <c r="K6344" s="2">
        <v>62</v>
      </c>
      <c r="L6344" s="2">
        <v>150</v>
      </c>
    </row>
    <row r="6345" spans="1:12" x14ac:dyDescent="0.25">
      <c r="A6345" s="4" t="str">
        <f>HYPERLINK("http://www.rosaceae.org/Prunus/Prunus_persica/p.persica_gdr_reftransV1_0003339","p.persica_gdr_reftransV1_0003339")</f>
        <v>p.persica_gdr_reftransV1_0003339</v>
      </c>
      <c r="B6345" s="2">
        <v>362</v>
      </c>
      <c r="C6345" s="4" t="str">
        <f>HYPERLINK("http://www.uniprot.org/uniprot/M5VJD5","M5VJD5")</f>
        <v>M5VJD5</v>
      </c>
      <c r="D6345" s="2" t="s">
        <v>5721</v>
      </c>
      <c r="E6345" s="3">
        <v>2.6199999999999998E-65</v>
      </c>
      <c r="F6345" s="2">
        <v>550</v>
      </c>
      <c r="G6345" s="2">
        <v>100</v>
      </c>
      <c r="H6345" s="2">
        <v>110</v>
      </c>
      <c r="I6345" s="2">
        <v>2</v>
      </c>
      <c r="J6345" s="2">
        <v>331</v>
      </c>
      <c r="K6345" s="2">
        <v>1</v>
      </c>
      <c r="L6345" s="2">
        <v>110</v>
      </c>
    </row>
    <row r="6346" spans="1:12" x14ac:dyDescent="0.25">
      <c r="A6346" s="4" t="str">
        <f>HYPERLINK("http://www.rosaceae.org/Prunus/Prunus_persica/p.persica_gdr_reftransV1_0004039","p.persica_gdr_reftransV1_0004039")</f>
        <v>p.persica_gdr_reftransV1_0004039</v>
      </c>
      <c r="B6346" s="2">
        <v>1959</v>
      </c>
      <c r="C6346" s="4" t="str">
        <f>HYPERLINK("http://www.uniprot.org/uniprot/M5XLE0","M5XLE0")</f>
        <v>M5XLE0</v>
      </c>
      <c r="D6346" s="2" t="s">
        <v>5722</v>
      </c>
      <c r="E6346" s="3">
        <v>0</v>
      </c>
      <c r="F6346" s="2">
        <v>1576</v>
      </c>
      <c r="G6346" s="2">
        <v>88</v>
      </c>
      <c r="H6346" s="2">
        <v>384</v>
      </c>
      <c r="I6346" s="2">
        <v>2</v>
      </c>
      <c r="J6346" s="2">
        <v>1153</v>
      </c>
      <c r="K6346" s="2">
        <v>7</v>
      </c>
      <c r="L6346" s="2">
        <v>343</v>
      </c>
    </row>
    <row r="6347" spans="1:12" x14ac:dyDescent="0.25">
      <c r="A6347" s="4" t="str">
        <f>HYPERLINK("http://www.rosaceae.org/Prunus/Prunus_persica/p.persica_gdr_reftransV1_0004739","p.persica_gdr_reftransV1_0004739")</f>
        <v>p.persica_gdr_reftransV1_0004739</v>
      </c>
      <c r="B6347" s="2">
        <v>2112</v>
      </c>
      <c r="C6347" s="4" t="str">
        <f>HYPERLINK("http://www.uniprot.org/uniprot/M5VXG7","M5VXG7")</f>
        <v>M5VXG7</v>
      </c>
      <c r="D6347" s="2" t="s">
        <v>5723</v>
      </c>
      <c r="E6347" s="3">
        <v>1.4899999999999999E-119</v>
      </c>
      <c r="F6347" s="2">
        <v>592</v>
      </c>
      <c r="G6347" s="2">
        <v>91</v>
      </c>
      <c r="H6347" s="2">
        <v>119</v>
      </c>
      <c r="I6347" s="2">
        <v>724</v>
      </c>
      <c r="J6347" s="2">
        <v>1080</v>
      </c>
      <c r="K6347" s="2">
        <v>133</v>
      </c>
      <c r="L6347" s="2">
        <v>251</v>
      </c>
    </row>
    <row r="6348" spans="1:12" x14ac:dyDescent="0.25">
      <c r="A6348" s="4" t="str">
        <f>HYPERLINK("http://www.rosaceae.org/Prunus/Prunus_persica/p.persica_gdr_reftransV1_0005089","p.persica_gdr_reftransV1_0005089")</f>
        <v>p.persica_gdr_reftransV1_0005089</v>
      </c>
      <c r="B6348" s="2">
        <v>1573</v>
      </c>
      <c r="C6348" s="4" t="str">
        <f>HYPERLINK("http://www.uniprot.org/uniprot/M5X0R6","M5X0R6")</f>
        <v>M5X0R6</v>
      </c>
      <c r="D6348" s="2" t="s">
        <v>2532</v>
      </c>
      <c r="E6348" s="3">
        <v>0</v>
      </c>
      <c r="F6348" s="2">
        <v>1899</v>
      </c>
      <c r="G6348" s="2">
        <v>100</v>
      </c>
      <c r="H6348" s="2">
        <v>373</v>
      </c>
      <c r="I6348" s="2">
        <v>316</v>
      </c>
      <c r="J6348" s="2">
        <v>1434</v>
      </c>
      <c r="K6348" s="2">
        <v>1</v>
      </c>
      <c r="L6348" s="2">
        <v>373</v>
      </c>
    </row>
    <row r="6349" spans="1:12" x14ac:dyDescent="0.25">
      <c r="A6349" s="4" t="str">
        <f>HYPERLINK("http://www.rosaceae.org/Prunus/Prunus_persica/p.persica_gdr_reftransV1_0005439","p.persica_gdr_reftransV1_0005439")</f>
        <v>p.persica_gdr_reftransV1_0005439</v>
      </c>
      <c r="B6349" s="2">
        <v>1288</v>
      </c>
      <c r="C6349" s="4" t="str">
        <f>HYPERLINK("http://www.uniprot.org/uniprot/W9RQS5","W9RQS5")</f>
        <v>W9RQS5</v>
      </c>
      <c r="D6349" s="2" t="s">
        <v>5724</v>
      </c>
      <c r="E6349" s="3">
        <v>1.3400000000000001E-97</v>
      </c>
      <c r="F6349" s="2">
        <v>672</v>
      </c>
      <c r="G6349" s="2">
        <v>58</v>
      </c>
      <c r="H6349" s="2">
        <v>249</v>
      </c>
      <c r="I6349" s="2">
        <v>106</v>
      </c>
      <c r="J6349" s="2">
        <v>831</v>
      </c>
      <c r="K6349" s="2">
        <v>226</v>
      </c>
      <c r="L6349" s="2">
        <v>458</v>
      </c>
    </row>
    <row r="6350" spans="1:12" x14ac:dyDescent="0.25">
      <c r="A6350" s="4" t="str">
        <f>HYPERLINK("http://www.rosaceae.org/Prunus/Prunus_persica/p.persica_gdr_reftransV1_0005789","p.persica_gdr_reftransV1_0005789")</f>
        <v>p.persica_gdr_reftransV1_0005789</v>
      </c>
      <c r="B6350" s="2">
        <v>2229</v>
      </c>
      <c r="C6350" s="4" t="str">
        <f>HYPERLINK("http://www.uniprot.org/uniprot/M5WY42","M5WY42")</f>
        <v>M5WY42</v>
      </c>
      <c r="D6350" s="2" t="s">
        <v>5725</v>
      </c>
      <c r="E6350" s="3">
        <v>0</v>
      </c>
      <c r="F6350" s="2">
        <v>2986</v>
      </c>
      <c r="G6350" s="2">
        <v>96</v>
      </c>
      <c r="H6350" s="2">
        <v>623</v>
      </c>
      <c r="I6350" s="2">
        <v>1</v>
      </c>
      <c r="J6350" s="2">
        <v>1833</v>
      </c>
      <c r="K6350" s="2">
        <v>98</v>
      </c>
      <c r="L6350" s="2">
        <v>720</v>
      </c>
    </row>
    <row r="6351" spans="1:12" x14ac:dyDescent="0.25">
      <c r="A6351" s="4" t="str">
        <f>HYPERLINK("http://www.rosaceae.org/Prunus/Prunus_persica/p.persica_gdr_reftransV1_0007189","p.persica_gdr_reftransV1_0007189")</f>
        <v>p.persica_gdr_reftransV1_0007189</v>
      </c>
      <c r="B6351" s="2">
        <v>875</v>
      </c>
      <c r="C6351" s="4" t="str">
        <f>HYPERLINK("http://www.uniprot.org/uniprot/M5WHS6","M5WHS6")</f>
        <v>M5WHS6</v>
      </c>
      <c r="D6351" s="2" t="s">
        <v>5726</v>
      </c>
      <c r="E6351" s="3">
        <v>3.5299999999999998E-114</v>
      </c>
      <c r="F6351" s="2">
        <v>870</v>
      </c>
      <c r="G6351" s="2">
        <v>100</v>
      </c>
      <c r="H6351" s="2">
        <v>203</v>
      </c>
      <c r="I6351" s="2">
        <v>169</v>
      </c>
      <c r="J6351" s="2">
        <v>777</v>
      </c>
      <c r="K6351" s="2">
        <v>1</v>
      </c>
      <c r="L6351" s="2">
        <v>203</v>
      </c>
    </row>
    <row r="6352" spans="1:12" x14ac:dyDescent="0.25">
      <c r="A6352" s="4" t="str">
        <f>HYPERLINK("http://www.rosaceae.org/Prunus/Prunus_persica/p.persica_gdr_reftransV1_0007539","p.persica_gdr_reftransV1_0007539")</f>
        <v>p.persica_gdr_reftransV1_0007539</v>
      </c>
      <c r="B6352" s="2">
        <v>1349</v>
      </c>
      <c r="C6352" s="4" t="str">
        <f>HYPERLINK("http://www.uniprot.org/uniprot/M5XLX1","M5XLX1")</f>
        <v>M5XLX1</v>
      </c>
      <c r="D6352" s="2" t="s">
        <v>5727</v>
      </c>
      <c r="E6352" s="3">
        <v>7.2500000000000002E-109</v>
      </c>
      <c r="F6352" s="2">
        <v>850</v>
      </c>
      <c r="G6352" s="2">
        <v>99</v>
      </c>
      <c r="H6352" s="2">
        <v>192</v>
      </c>
      <c r="I6352" s="2">
        <v>407</v>
      </c>
      <c r="J6352" s="2">
        <v>982</v>
      </c>
      <c r="K6352" s="2">
        <v>1</v>
      </c>
      <c r="L6352" s="2">
        <v>192</v>
      </c>
    </row>
    <row r="6353" spans="1:12" x14ac:dyDescent="0.25">
      <c r="A6353" s="4" t="str">
        <f>HYPERLINK("http://www.rosaceae.org/Prunus/Prunus_persica/p.persica_gdr_reftransV1_0007889","p.persica_gdr_reftransV1_0007889")</f>
        <v>p.persica_gdr_reftransV1_0007889</v>
      </c>
      <c r="B6353" s="2">
        <v>1558</v>
      </c>
      <c r="C6353" s="4" t="str">
        <f>HYPERLINK("http://www.uniprot.org/uniprot/M5WH07","M5WH07")</f>
        <v>M5WH07</v>
      </c>
      <c r="D6353" s="2" t="s">
        <v>1531</v>
      </c>
      <c r="E6353" s="3">
        <v>0</v>
      </c>
      <c r="F6353" s="2">
        <v>1358</v>
      </c>
      <c r="G6353" s="2">
        <v>100</v>
      </c>
      <c r="H6353" s="2">
        <v>253</v>
      </c>
      <c r="I6353" s="2">
        <v>491</v>
      </c>
      <c r="J6353" s="2">
        <v>1249</v>
      </c>
      <c r="K6353" s="2">
        <v>1</v>
      </c>
      <c r="L6353" s="2">
        <v>253</v>
      </c>
    </row>
    <row r="6354" spans="1:12" x14ac:dyDescent="0.25">
      <c r="A6354" s="4" t="str">
        <f>HYPERLINK("http://www.rosaceae.org/Prunus/Prunus_persica/p.persica_gdr_reftransV1_0008239","p.persica_gdr_reftransV1_0008239")</f>
        <v>p.persica_gdr_reftransV1_0008239</v>
      </c>
      <c r="B6354" s="2">
        <v>1971</v>
      </c>
      <c r="C6354" s="4" t="str">
        <f>HYPERLINK("http://www.uniprot.org/uniprot/M5W191","M5W191")</f>
        <v>M5W191</v>
      </c>
      <c r="D6354" s="2" t="s">
        <v>5728</v>
      </c>
      <c r="E6354" s="3">
        <v>0</v>
      </c>
      <c r="F6354" s="2">
        <v>2349</v>
      </c>
      <c r="G6354" s="2">
        <v>100</v>
      </c>
      <c r="H6354" s="2">
        <v>476</v>
      </c>
      <c r="I6354" s="2">
        <v>371</v>
      </c>
      <c r="J6354" s="2">
        <v>1798</v>
      </c>
      <c r="K6354" s="2">
        <v>1</v>
      </c>
      <c r="L6354" s="2">
        <v>476</v>
      </c>
    </row>
    <row r="6355" spans="1:12" x14ac:dyDescent="0.25">
      <c r="A6355" s="4" t="str">
        <f>HYPERLINK("http://www.rosaceae.org/Prunus/Prunus_persica/p.persica_gdr_reftransV1_0009639","p.persica_gdr_reftransV1_0009639")</f>
        <v>p.persica_gdr_reftransV1_0009639</v>
      </c>
      <c r="B6355" s="2">
        <v>1727</v>
      </c>
      <c r="C6355" s="4" t="str">
        <f>HYPERLINK("http://www.uniprot.org/uniprot/M5X252","M5X252")</f>
        <v>M5X252</v>
      </c>
      <c r="D6355" s="2" t="s">
        <v>5729</v>
      </c>
      <c r="E6355" s="3">
        <v>0</v>
      </c>
      <c r="F6355" s="2">
        <v>2086</v>
      </c>
      <c r="G6355" s="2">
        <v>100</v>
      </c>
      <c r="H6355" s="2">
        <v>394</v>
      </c>
      <c r="I6355" s="2">
        <v>271</v>
      </c>
      <c r="J6355" s="2">
        <v>1452</v>
      </c>
      <c r="K6355" s="2">
        <v>162</v>
      </c>
      <c r="L6355" s="2">
        <v>555</v>
      </c>
    </row>
    <row r="6356" spans="1:12" x14ac:dyDescent="0.25">
      <c r="A6356" s="4" t="str">
        <f>HYPERLINK("http://www.rosaceae.org/Prunus/Prunus_persica/p.persica_gdr_reftransV1_0009989","p.persica_gdr_reftransV1_0009989")</f>
        <v>p.persica_gdr_reftransV1_0009989</v>
      </c>
      <c r="B6356" s="2">
        <v>954</v>
      </c>
      <c r="C6356" s="4" t="str">
        <f>HYPERLINK("http://www.uniprot.org/uniprot/M5X495","M5X495")</f>
        <v>M5X495</v>
      </c>
      <c r="D6356" s="2" t="s">
        <v>5730</v>
      </c>
      <c r="E6356" s="3">
        <v>3.14E-32</v>
      </c>
      <c r="F6356" s="2">
        <v>318</v>
      </c>
      <c r="G6356" s="2">
        <v>96</v>
      </c>
      <c r="H6356" s="2">
        <v>73</v>
      </c>
      <c r="I6356" s="2">
        <v>285</v>
      </c>
      <c r="J6356" s="2">
        <v>503</v>
      </c>
      <c r="K6356" s="2">
        <v>56</v>
      </c>
      <c r="L6356" s="2">
        <v>128</v>
      </c>
    </row>
    <row r="6357" spans="1:12" x14ac:dyDescent="0.25">
      <c r="A6357" s="4" t="str">
        <f>HYPERLINK("http://www.rosaceae.org/Prunus/Prunus_persica/p.persica_gdr_reftransV1_0010689","p.persica_gdr_reftransV1_0010689")</f>
        <v>p.persica_gdr_reftransV1_0010689</v>
      </c>
      <c r="B6357" s="2">
        <v>582</v>
      </c>
      <c r="C6357" s="4" t="str">
        <f>HYPERLINK("http://www.uniprot.org/uniprot/M5VWX6","M5VWX6")</f>
        <v>M5VWX6</v>
      </c>
      <c r="D6357" s="2" t="s">
        <v>5731</v>
      </c>
      <c r="E6357" s="3">
        <v>2.7200000000000001E-98</v>
      </c>
      <c r="F6357" s="2">
        <v>756</v>
      </c>
      <c r="G6357" s="2">
        <v>86</v>
      </c>
      <c r="H6357" s="2">
        <v>170</v>
      </c>
      <c r="I6357" s="2">
        <v>80</v>
      </c>
      <c r="J6357" s="2">
        <v>580</v>
      </c>
      <c r="K6357" s="2">
        <v>34</v>
      </c>
      <c r="L6357" s="2">
        <v>200</v>
      </c>
    </row>
    <row r="6358" spans="1:12" x14ac:dyDescent="0.25">
      <c r="A6358" s="4" t="str">
        <f>HYPERLINK("http://www.rosaceae.org/Prunus/Prunus_persica/p.persica_gdr_reftransV1_0012439","p.persica_gdr_reftransV1_0012439")</f>
        <v>p.persica_gdr_reftransV1_0012439</v>
      </c>
      <c r="B6358" s="2">
        <v>1469</v>
      </c>
      <c r="C6358" s="4" t="str">
        <f>HYPERLINK("http://www.uniprot.org/uniprot/M5XL86","M5XL86")</f>
        <v>M5XL86</v>
      </c>
      <c r="D6358" s="2" t="s">
        <v>5732</v>
      </c>
      <c r="E6358" s="3">
        <v>7.0599999999999998E-155</v>
      </c>
      <c r="F6358" s="2">
        <v>1168</v>
      </c>
      <c r="G6358" s="2">
        <v>82</v>
      </c>
      <c r="H6358" s="2">
        <v>288</v>
      </c>
      <c r="I6358" s="2">
        <v>436</v>
      </c>
      <c r="J6358" s="2">
        <v>1221</v>
      </c>
      <c r="K6358" s="2">
        <v>1</v>
      </c>
      <c r="L6358" s="2">
        <v>288</v>
      </c>
    </row>
    <row r="6359" spans="1:12" x14ac:dyDescent="0.25">
      <c r="A6359" s="4" t="str">
        <f>HYPERLINK("http://www.rosaceae.org/Prunus/Prunus_persica/p.persica_gdr_reftransV1_0012789","p.persica_gdr_reftransV1_0012789")</f>
        <v>p.persica_gdr_reftransV1_0012789</v>
      </c>
      <c r="B6359" s="2">
        <v>4120</v>
      </c>
      <c r="C6359" s="4" t="str">
        <f>HYPERLINK("http://www.uniprot.org/uniprot/M5VTW5","M5VTW5")</f>
        <v>M5VTW5</v>
      </c>
      <c r="D6359" s="2" t="s">
        <v>4284</v>
      </c>
      <c r="E6359" s="3">
        <v>6.8500000000000003E-164</v>
      </c>
      <c r="F6359" s="2">
        <v>1324</v>
      </c>
      <c r="G6359" s="2">
        <v>100</v>
      </c>
      <c r="H6359" s="2">
        <v>248</v>
      </c>
      <c r="I6359" s="2">
        <v>2575</v>
      </c>
      <c r="J6359" s="2">
        <v>3318</v>
      </c>
      <c r="K6359" s="2">
        <v>1</v>
      </c>
      <c r="L6359" s="2">
        <v>248</v>
      </c>
    </row>
    <row r="6360" spans="1:12" x14ac:dyDescent="0.25">
      <c r="A6360" s="4" t="str">
        <f>HYPERLINK("http://www.rosaceae.org/Prunus/Prunus_persica/p.persica_gdr_reftransV1_0015239","p.persica_gdr_reftransV1_0015239")</f>
        <v>p.persica_gdr_reftransV1_0015239</v>
      </c>
      <c r="B6360" s="2">
        <v>1011</v>
      </c>
      <c r="C6360" s="4" t="str">
        <f>HYPERLINK("http://www.uniprot.org/uniprot/M5W1N5","M5W1N5")</f>
        <v>M5W1N5</v>
      </c>
      <c r="D6360" s="2" t="s">
        <v>5733</v>
      </c>
      <c r="E6360" s="3">
        <v>2.94E-72</v>
      </c>
      <c r="F6360" s="2">
        <v>592</v>
      </c>
      <c r="G6360" s="2">
        <v>100</v>
      </c>
      <c r="H6360" s="2">
        <v>149</v>
      </c>
      <c r="I6360" s="2">
        <v>126</v>
      </c>
      <c r="J6360" s="2">
        <v>572</v>
      </c>
      <c r="K6360" s="2">
        <v>1</v>
      </c>
      <c r="L6360" s="2">
        <v>149</v>
      </c>
    </row>
    <row r="6361" spans="1:12" x14ac:dyDescent="0.25">
      <c r="A6361" s="4" t="str">
        <f>HYPERLINK("http://www.rosaceae.org/Prunus/Prunus_persica/p.persica_gdr_reftransV1_0015589","p.persica_gdr_reftransV1_0015589")</f>
        <v>p.persica_gdr_reftransV1_0015589</v>
      </c>
      <c r="B6361" s="2">
        <v>610</v>
      </c>
      <c r="C6361" s="4" t="str">
        <f>HYPERLINK("http://www.uniprot.org/uniprot/M5XJE2","M5XJE2")</f>
        <v>M5XJE2</v>
      </c>
      <c r="D6361" s="2" t="s">
        <v>5734</v>
      </c>
      <c r="E6361" s="3">
        <v>3.2600000000000001E-122</v>
      </c>
      <c r="F6361" s="2">
        <v>910</v>
      </c>
      <c r="G6361" s="2">
        <v>100</v>
      </c>
      <c r="H6361" s="2">
        <v>170</v>
      </c>
      <c r="I6361" s="2">
        <v>28</v>
      </c>
      <c r="J6361" s="2">
        <v>537</v>
      </c>
      <c r="K6361" s="2">
        <v>1</v>
      </c>
      <c r="L6361" s="2">
        <v>170</v>
      </c>
    </row>
    <row r="6362" spans="1:12" x14ac:dyDescent="0.25">
      <c r="A6362" s="4" t="str">
        <f>HYPERLINK("http://www.rosaceae.org/Prunus/Prunus_persica/p.persica_gdr_reftransV1_0016289","p.persica_gdr_reftransV1_0016289")</f>
        <v>p.persica_gdr_reftransV1_0016289</v>
      </c>
      <c r="B6362" s="2">
        <v>2082</v>
      </c>
      <c r="C6362" s="4" t="str">
        <f>HYPERLINK("http://www.uniprot.org/uniprot/M5VZZ9","M5VZZ9")</f>
        <v>M5VZZ9</v>
      </c>
      <c r="D6362" s="2" t="s">
        <v>5735</v>
      </c>
      <c r="E6362" s="3">
        <v>4.1799999999999997E-160</v>
      </c>
      <c r="F6362" s="2">
        <v>1227</v>
      </c>
      <c r="G6362" s="2">
        <v>100</v>
      </c>
      <c r="H6362" s="2">
        <v>296</v>
      </c>
      <c r="I6362" s="2">
        <v>359</v>
      </c>
      <c r="J6362" s="2">
        <v>1246</v>
      </c>
      <c r="K6362" s="2">
        <v>45</v>
      </c>
      <c r="L6362" s="2">
        <v>340</v>
      </c>
    </row>
    <row r="6363" spans="1:12" x14ac:dyDescent="0.25">
      <c r="A6363" s="4" t="str">
        <f>HYPERLINK("http://www.rosaceae.org/Prunus/Prunus_persica/p.persica_gdr_reftransV1_0016639","p.persica_gdr_reftransV1_0016639")</f>
        <v>p.persica_gdr_reftransV1_0016639</v>
      </c>
      <c r="B6363" s="2">
        <v>1608</v>
      </c>
      <c r="C6363" s="4" t="str">
        <f>HYPERLINK("http://www.uniprot.org/uniprot/M5VIJ7","M5VIJ7")</f>
        <v>M5VIJ7</v>
      </c>
      <c r="D6363" s="2" t="s">
        <v>5736</v>
      </c>
      <c r="E6363" s="3">
        <v>0</v>
      </c>
      <c r="F6363" s="2">
        <v>2108</v>
      </c>
      <c r="G6363" s="2">
        <v>100</v>
      </c>
      <c r="H6363" s="2">
        <v>415</v>
      </c>
      <c r="I6363" s="2">
        <v>1</v>
      </c>
      <c r="J6363" s="2">
        <v>1245</v>
      </c>
      <c r="K6363" s="2">
        <v>1</v>
      </c>
      <c r="L6363" s="2">
        <v>415</v>
      </c>
    </row>
    <row r="6364" spans="1:12" x14ac:dyDescent="0.25">
      <c r="A6364" s="4" t="str">
        <f>HYPERLINK("http://www.rosaceae.org/Prunus/Prunus_persica/p.persica_gdr_reftransV1_0016989","p.persica_gdr_reftransV1_0016989")</f>
        <v>p.persica_gdr_reftransV1_0016989</v>
      </c>
      <c r="B6364" s="2">
        <v>1600</v>
      </c>
      <c r="C6364" s="4" t="str">
        <f>HYPERLINK("http://www.uniprot.org/uniprot/M5WY68","M5WY68")</f>
        <v>M5WY68</v>
      </c>
      <c r="D6364" s="2" t="s">
        <v>5737</v>
      </c>
      <c r="E6364" s="3">
        <v>0</v>
      </c>
      <c r="F6364" s="2">
        <v>1750</v>
      </c>
      <c r="G6364" s="2">
        <v>100</v>
      </c>
      <c r="H6364" s="2">
        <v>323</v>
      </c>
      <c r="I6364" s="2">
        <v>3</v>
      </c>
      <c r="J6364" s="2">
        <v>971</v>
      </c>
      <c r="K6364" s="2">
        <v>382</v>
      </c>
      <c r="L6364" s="2">
        <v>704</v>
      </c>
    </row>
    <row r="6365" spans="1:12" x14ac:dyDescent="0.25">
      <c r="A6365" s="4" t="str">
        <f>HYPERLINK("http://www.rosaceae.org/Prunus/Prunus_persica/p.persica_gdr_reftransV1_0017689","p.persica_gdr_reftransV1_0017689")</f>
        <v>p.persica_gdr_reftransV1_0017689</v>
      </c>
      <c r="B6365" s="2">
        <v>3030</v>
      </c>
      <c r="C6365" s="4" t="str">
        <f>HYPERLINK("http://www.uniprot.org/uniprot/M5W042","M5W042")</f>
        <v>M5W042</v>
      </c>
      <c r="D6365" s="2" t="s">
        <v>5738</v>
      </c>
      <c r="E6365" s="3">
        <v>3.0100000000000002E-123</v>
      </c>
      <c r="F6365" s="2">
        <v>991</v>
      </c>
      <c r="G6365" s="2">
        <v>100</v>
      </c>
      <c r="H6365" s="2">
        <v>215</v>
      </c>
      <c r="I6365" s="2">
        <v>1713</v>
      </c>
      <c r="J6365" s="2">
        <v>2357</v>
      </c>
      <c r="K6365" s="2">
        <v>1</v>
      </c>
      <c r="L6365" s="2">
        <v>215</v>
      </c>
    </row>
    <row r="6366" spans="1:12" x14ac:dyDescent="0.25">
      <c r="A6366" s="4" t="str">
        <f>HYPERLINK("http://www.rosaceae.org/Prunus/Prunus_persica/p.persica_gdr_reftransV1_0018039","p.persica_gdr_reftransV1_0018039")</f>
        <v>p.persica_gdr_reftransV1_0018039</v>
      </c>
      <c r="B6366" s="2">
        <v>1793</v>
      </c>
      <c r="C6366" s="4" t="str">
        <f>HYPERLINK("http://www.uniprot.org/uniprot/M5XPZ7","M5XPZ7")</f>
        <v>M5XPZ7</v>
      </c>
      <c r="D6366" s="2" t="s">
        <v>5739</v>
      </c>
      <c r="E6366" s="3">
        <v>0</v>
      </c>
      <c r="F6366" s="2">
        <v>1837</v>
      </c>
      <c r="G6366" s="2">
        <v>100</v>
      </c>
      <c r="H6366" s="2">
        <v>343</v>
      </c>
      <c r="I6366" s="2">
        <v>369</v>
      </c>
      <c r="J6366" s="2">
        <v>1397</v>
      </c>
      <c r="K6366" s="2">
        <v>1</v>
      </c>
      <c r="L6366" s="2">
        <v>343</v>
      </c>
    </row>
    <row r="6367" spans="1:12" x14ac:dyDescent="0.25">
      <c r="A6367" s="4" t="str">
        <f>HYPERLINK("http://www.rosaceae.org/Prunus/Prunus_persica/p.persica_gdr_reftransV1_0019089","p.persica_gdr_reftransV1_0019089")</f>
        <v>p.persica_gdr_reftransV1_0019089</v>
      </c>
      <c r="B6367" s="2">
        <v>1586</v>
      </c>
      <c r="C6367" s="4" t="str">
        <f>HYPERLINK("http://www.uniprot.org/uniprot/M5XPQ0","M5XPQ0")</f>
        <v>M5XPQ0</v>
      </c>
      <c r="D6367" s="2" t="s">
        <v>5740</v>
      </c>
      <c r="E6367" s="3">
        <v>0</v>
      </c>
      <c r="F6367" s="2">
        <v>1533</v>
      </c>
      <c r="G6367" s="2">
        <v>100</v>
      </c>
      <c r="H6367" s="2">
        <v>360</v>
      </c>
      <c r="I6367" s="2">
        <v>159</v>
      </c>
      <c r="J6367" s="2">
        <v>1238</v>
      </c>
      <c r="K6367" s="2">
        <v>1</v>
      </c>
      <c r="L6367" s="2">
        <v>360</v>
      </c>
    </row>
    <row r="6368" spans="1:12" x14ac:dyDescent="0.25">
      <c r="A6368" s="4" t="str">
        <f>HYPERLINK("http://www.rosaceae.org/Prunus/Prunus_persica/p.persica_gdr_reftransV1_0020489","p.persica_gdr_reftransV1_0020489")</f>
        <v>p.persica_gdr_reftransV1_0020489</v>
      </c>
      <c r="B6368" s="2">
        <v>1045</v>
      </c>
      <c r="C6368" s="4" t="str">
        <f>HYPERLINK("http://www.uniprot.org/uniprot/M5VW46","M5VW46")</f>
        <v>M5VW46</v>
      </c>
      <c r="D6368" s="2" t="s">
        <v>5741</v>
      </c>
      <c r="E6368" s="3">
        <v>6.4800000000000005E-160</v>
      </c>
      <c r="F6368" s="2">
        <v>1180</v>
      </c>
      <c r="G6368" s="2">
        <v>100</v>
      </c>
      <c r="H6368" s="2">
        <v>222</v>
      </c>
      <c r="I6368" s="2">
        <v>246</v>
      </c>
      <c r="J6368" s="2">
        <v>911</v>
      </c>
      <c r="K6368" s="2">
        <v>5</v>
      </c>
      <c r="L6368" s="2">
        <v>226</v>
      </c>
    </row>
    <row r="6369" spans="1:12" x14ac:dyDescent="0.25">
      <c r="A6369" s="4" t="str">
        <f>HYPERLINK("http://www.rosaceae.org/Prunus/Prunus_persica/p.persica_gdr_reftransV1_0021189","p.persica_gdr_reftransV1_0021189")</f>
        <v>p.persica_gdr_reftransV1_0021189</v>
      </c>
      <c r="B6369" s="2">
        <v>2299</v>
      </c>
      <c r="C6369" s="4" t="str">
        <f>HYPERLINK("http://www.uniprot.org/uniprot/M5WNX6","M5WNX6")</f>
        <v>M5WNX6</v>
      </c>
      <c r="D6369" s="2" t="s">
        <v>5742</v>
      </c>
      <c r="E6369" s="3">
        <v>0</v>
      </c>
      <c r="F6369" s="2">
        <v>2401</v>
      </c>
      <c r="G6369" s="2">
        <v>100</v>
      </c>
      <c r="H6369" s="2">
        <v>562</v>
      </c>
      <c r="I6369" s="2">
        <v>466</v>
      </c>
      <c r="J6369" s="2">
        <v>2151</v>
      </c>
      <c r="K6369" s="2">
        <v>1</v>
      </c>
      <c r="L6369" s="2">
        <v>562</v>
      </c>
    </row>
    <row r="6370" spans="1:12" x14ac:dyDescent="0.25">
      <c r="A6370" s="4" t="str">
        <f>HYPERLINK("http://www.rosaceae.org/Prunus/Prunus_persica/p.persica_gdr_reftransV1_0022239","p.persica_gdr_reftransV1_0022239")</f>
        <v>p.persica_gdr_reftransV1_0022239</v>
      </c>
      <c r="B6370" s="2">
        <v>4822</v>
      </c>
      <c r="C6370" s="4" t="str">
        <f>HYPERLINK("http://www.uniprot.org/uniprot/M5VVC9","M5VVC9")</f>
        <v>M5VVC9</v>
      </c>
      <c r="D6370" s="2" t="s">
        <v>2239</v>
      </c>
      <c r="E6370" s="3">
        <v>0</v>
      </c>
      <c r="F6370" s="2">
        <v>6852</v>
      </c>
      <c r="G6370" s="2">
        <v>90</v>
      </c>
      <c r="H6370" s="2">
        <v>1560</v>
      </c>
      <c r="I6370" s="2">
        <v>250</v>
      </c>
      <c r="J6370" s="2">
        <v>4821</v>
      </c>
      <c r="K6370" s="2">
        <v>355</v>
      </c>
      <c r="L6370" s="2">
        <v>1814</v>
      </c>
    </row>
    <row r="6371" spans="1:12" x14ac:dyDescent="0.25">
      <c r="A6371" s="4" t="str">
        <f>HYPERLINK("http://www.rosaceae.org/Prunus/Prunus_persica/p.persica_gdr_reftransV1_0022589","p.persica_gdr_reftransV1_0022589")</f>
        <v>p.persica_gdr_reftransV1_0022589</v>
      </c>
      <c r="B6371" s="2">
        <v>1953</v>
      </c>
      <c r="C6371" s="4" t="str">
        <f>HYPERLINK("http://www.uniprot.org/uniprot/M5XD40","M5XD40")</f>
        <v>M5XD40</v>
      </c>
      <c r="D6371" s="2" t="s">
        <v>5743</v>
      </c>
      <c r="E6371" s="3">
        <v>0</v>
      </c>
      <c r="F6371" s="2">
        <v>1837</v>
      </c>
      <c r="G6371" s="2">
        <v>100</v>
      </c>
      <c r="H6371" s="2">
        <v>356</v>
      </c>
      <c r="I6371" s="2">
        <v>570</v>
      </c>
      <c r="J6371" s="2">
        <v>1637</v>
      </c>
      <c r="K6371" s="2">
        <v>1</v>
      </c>
      <c r="L6371" s="2">
        <v>356</v>
      </c>
    </row>
    <row r="6372" spans="1:12" x14ac:dyDescent="0.25">
      <c r="A6372" s="4" t="str">
        <f>HYPERLINK("http://www.rosaceae.org/Prunus/Prunus_persica/p.persica_gdr_reftransV1_0023289","p.persica_gdr_reftransV1_0023289")</f>
        <v>p.persica_gdr_reftransV1_0023289</v>
      </c>
      <c r="B6372" s="2">
        <v>2003</v>
      </c>
      <c r="C6372" s="4" t="str">
        <f>HYPERLINK("http://www.uniprot.org/uniprot/M5WGZ4","M5WGZ4")</f>
        <v>M5WGZ4</v>
      </c>
      <c r="D6372" s="2" t="s">
        <v>5744</v>
      </c>
      <c r="E6372" s="3">
        <v>0</v>
      </c>
      <c r="F6372" s="2">
        <v>2803</v>
      </c>
      <c r="G6372" s="2">
        <v>99</v>
      </c>
      <c r="H6372" s="2">
        <v>586</v>
      </c>
      <c r="I6372" s="2">
        <v>217</v>
      </c>
      <c r="J6372" s="2">
        <v>1974</v>
      </c>
      <c r="K6372" s="2">
        <v>208</v>
      </c>
      <c r="L6372" s="2">
        <v>793</v>
      </c>
    </row>
    <row r="6373" spans="1:12" x14ac:dyDescent="0.25">
      <c r="A6373" s="4" t="str">
        <f>HYPERLINK("http://www.rosaceae.org/Prunus/Prunus_persica/p.persica_gdr_reftransV1_0024339","p.persica_gdr_reftransV1_0024339")</f>
        <v>p.persica_gdr_reftransV1_0024339</v>
      </c>
      <c r="B6373" s="2">
        <v>2191</v>
      </c>
      <c r="C6373" s="4" t="str">
        <f>HYPERLINK("http://www.uniprot.org/uniprot/M5VIX4","M5VIX4")</f>
        <v>M5VIX4</v>
      </c>
      <c r="D6373" s="2" t="s">
        <v>5745</v>
      </c>
      <c r="E6373" s="3">
        <v>0</v>
      </c>
      <c r="F6373" s="2">
        <v>1859</v>
      </c>
      <c r="G6373" s="2">
        <v>100</v>
      </c>
      <c r="H6373" s="2">
        <v>353</v>
      </c>
      <c r="I6373" s="2">
        <v>280</v>
      </c>
      <c r="J6373" s="2">
        <v>1338</v>
      </c>
      <c r="K6373" s="2">
        <v>1</v>
      </c>
      <c r="L6373" s="2">
        <v>353</v>
      </c>
    </row>
    <row r="6374" spans="1:12" x14ac:dyDescent="0.25">
      <c r="A6374" s="4" t="str">
        <f>HYPERLINK("http://www.rosaceae.org/Prunus/Prunus_persica/p.persica_gdr_reftransV1_0025739","p.persica_gdr_reftransV1_0025739")</f>
        <v>p.persica_gdr_reftransV1_0025739</v>
      </c>
      <c r="B6374" s="2">
        <v>1832</v>
      </c>
      <c r="C6374" s="4" t="str">
        <f>HYPERLINK("http://www.uniprot.org/uniprot/M5XY62","M5XY62")</f>
        <v>M5XY62</v>
      </c>
      <c r="D6374" s="2" t="s">
        <v>5746</v>
      </c>
      <c r="E6374" s="3">
        <v>9.8999999999999995E-161</v>
      </c>
      <c r="F6374" s="2">
        <v>1221</v>
      </c>
      <c r="G6374" s="2">
        <v>89</v>
      </c>
      <c r="H6374" s="2">
        <v>352</v>
      </c>
      <c r="I6374" s="2">
        <v>143</v>
      </c>
      <c r="J6374" s="2">
        <v>1198</v>
      </c>
      <c r="K6374" s="2">
        <v>1</v>
      </c>
      <c r="L6374" s="2">
        <v>312</v>
      </c>
    </row>
    <row r="6375" spans="1:12" x14ac:dyDescent="0.25">
      <c r="A6375" s="4" t="str">
        <f>HYPERLINK("http://www.rosaceae.org/Prunus/Prunus_persica/p.persica_gdr_reftransV1_0026789","p.persica_gdr_reftransV1_0026789")</f>
        <v>p.persica_gdr_reftransV1_0026789</v>
      </c>
      <c r="B6375" s="2">
        <v>468</v>
      </c>
      <c r="C6375" s="4" t="str">
        <f>HYPERLINK("http://www.uniprot.org/uniprot/M5W931","M5W931")</f>
        <v>M5W931</v>
      </c>
      <c r="D6375" s="2" t="s">
        <v>5747</v>
      </c>
      <c r="E6375" s="3">
        <v>6.7499999999999998E-87</v>
      </c>
      <c r="F6375" s="2">
        <v>705</v>
      </c>
      <c r="G6375" s="2">
        <v>99</v>
      </c>
      <c r="H6375" s="2">
        <v>156</v>
      </c>
      <c r="I6375" s="2">
        <v>1</v>
      </c>
      <c r="J6375" s="2">
        <v>468</v>
      </c>
      <c r="K6375" s="2">
        <v>2</v>
      </c>
      <c r="L6375" s="2">
        <v>157</v>
      </c>
    </row>
    <row r="6376" spans="1:12" x14ac:dyDescent="0.25">
      <c r="A6376" s="4" t="str">
        <f>HYPERLINK("http://www.rosaceae.org/Prunus/Prunus_persica/p.persica_gdr_reftransV1_0028889","p.persica_gdr_reftransV1_0028889")</f>
        <v>p.persica_gdr_reftransV1_0028889</v>
      </c>
      <c r="B6376" s="2">
        <v>4218</v>
      </c>
      <c r="C6376" s="4" t="str">
        <f>HYPERLINK("http://www.uniprot.org/uniprot/M5WRK5","M5WRK5")</f>
        <v>M5WRK5</v>
      </c>
      <c r="D6376" s="2" t="s">
        <v>5748</v>
      </c>
      <c r="E6376" s="3">
        <v>0</v>
      </c>
      <c r="F6376" s="2">
        <v>4595</v>
      </c>
      <c r="G6376" s="2">
        <v>100</v>
      </c>
      <c r="H6376" s="2">
        <v>914</v>
      </c>
      <c r="I6376" s="2">
        <v>995</v>
      </c>
      <c r="J6376" s="2">
        <v>3736</v>
      </c>
      <c r="K6376" s="2">
        <v>1</v>
      </c>
      <c r="L6376" s="2">
        <v>914</v>
      </c>
    </row>
    <row r="6377" spans="1:12" x14ac:dyDescent="0.25">
      <c r="A6377" s="4" t="str">
        <f>HYPERLINK("http://www.rosaceae.org/Prunus/Prunus_persica/p.persica_gdr_reftransV1_0030639","p.persica_gdr_reftransV1_0030639")</f>
        <v>p.persica_gdr_reftransV1_0030639</v>
      </c>
      <c r="B6377" s="2">
        <v>1043</v>
      </c>
      <c r="C6377" s="4" t="str">
        <f>HYPERLINK("http://www.uniprot.org/uniprot/M5WKS8","M5WKS8")</f>
        <v>M5WKS8</v>
      </c>
      <c r="D6377" s="2" t="s">
        <v>5749</v>
      </c>
      <c r="E6377" s="3">
        <v>5.6200000000000002E-111</v>
      </c>
      <c r="F6377" s="2">
        <v>854</v>
      </c>
      <c r="G6377" s="2">
        <v>100</v>
      </c>
      <c r="H6377" s="2">
        <v>187</v>
      </c>
      <c r="I6377" s="2">
        <v>221</v>
      </c>
      <c r="J6377" s="2">
        <v>781</v>
      </c>
      <c r="K6377" s="2">
        <v>1</v>
      </c>
      <c r="L6377" s="2">
        <v>187</v>
      </c>
    </row>
    <row r="6378" spans="1:12" x14ac:dyDescent="0.25">
      <c r="A6378" s="4" t="str">
        <f>HYPERLINK("http://www.rosaceae.org/Prunus/Prunus_persica/p.persica_gdr_reftransV1_0031689","p.persica_gdr_reftransV1_0031689")</f>
        <v>p.persica_gdr_reftransV1_0031689</v>
      </c>
      <c r="B6378" s="2">
        <v>4059</v>
      </c>
      <c r="C6378" s="4" t="str">
        <f>HYPERLINK("http://www.uniprot.org/uniprot/M5W514","M5W514")</f>
        <v>M5W514</v>
      </c>
      <c r="D6378" s="2" t="s">
        <v>5750</v>
      </c>
      <c r="E6378" s="3">
        <v>0</v>
      </c>
      <c r="F6378" s="2">
        <v>4698</v>
      </c>
      <c r="G6378" s="2">
        <v>100</v>
      </c>
      <c r="H6378" s="2">
        <v>893</v>
      </c>
      <c r="I6378" s="2">
        <v>1379</v>
      </c>
      <c r="J6378" s="2">
        <v>4057</v>
      </c>
      <c r="K6378" s="2">
        <v>134</v>
      </c>
      <c r="L6378" s="2">
        <v>1026</v>
      </c>
    </row>
    <row r="6379" spans="1:12" x14ac:dyDescent="0.25">
      <c r="A6379" s="4" t="str">
        <f>HYPERLINK("http://www.rosaceae.org/Prunus/Prunus_persica/p.persica_gdr_reftransV1_0032389","p.persica_gdr_reftransV1_0032389")</f>
        <v>p.persica_gdr_reftransV1_0032389</v>
      </c>
      <c r="B6379" s="2">
        <v>3205</v>
      </c>
      <c r="C6379" s="4" t="str">
        <f>HYPERLINK("http://www.uniprot.org/uniprot/M5WQJ4","M5WQJ4")</f>
        <v>M5WQJ4</v>
      </c>
      <c r="D6379" s="2" t="s">
        <v>5751</v>
      </c>
      <c r="E6379" s="3">
        <v>0</v>
      </c>
      <c r="F6379" s="2">
        <v>2304</v>
      </c>
      <c r="G6379" s="2">
        <v>100</v>
      </c>
      <c r="H6379" s="2">
        <v>528</v>
      </c>
      <c r="I6379" s="2">
        <v>1509</v>
      </c>
      <c r="J6379" s="2">
        <v>3092</v>
      </c>
      <c r="K6379" s="2">
        <v>56</v>
      </c>
      <c r="L6379" s="2">
        <v>583</v>
      </c>
    </row>
    <row r="6380" spans="1:12" x14ac:dyDescent="0.25">
      <c r="A6380" s="4" t="str">
        <f>HYPERLINK("http://www.rosaceae.org/Prunus/Prunus_persica/p.persica_gdr_reftransV1_0033439","p.persica_gdr_reftransV1_0033439")</f>
        <v>p.persica_gdr_reftransV1_0033439</v>
      </c>
      <c r="B6380" s="2">
        <v>3086</v>
      </c>
      <c r="C6380" s="4" t="str">
        <f>HYPERLINK("http://www.uniprot.org/uniprot/M5XAL7","M5XAL7")</f>
        <v>M5XAL7</v>
      </c>
      <c r="D6380" s="2" t="s">
        <v>5752</v>
      </c>
      <c r="E6380" s="3">
        <v>0</v>
      </c>
      <c r="F6380" s="2">
        <v>3729</v>
      </c>
      <c r="G6380" s="2">
        <v>90</v>
      </c>
      <c r="H6380" s="2">
        <v>822</v>
      </c>
      <c r="I6380" s="2">
        <v>519</v>
      </c>
      <c r="J6380" s="2">
        <v>2837</v>
      </c>
      <c r="K6380" s="2">
        <v>1</v>
      </c>
      <c r="L6380" s="2">
        <v>788</v>
      </c>
    </row>
    <row r="6381" spans="1:12" x14ac:dyDescent="0.25">
      <c r="A6381" s="4" t="str">
        <f>HYPERLINK("http://www.rosaceae.org/Prunus/Prunus_persica/p.persica_gdr_reftransV1_0033789","p.persica_gdr_reftransV1_0033789")</f>
        <v>p.persica_gdr_reftransV1_0033789</v>
      </c>
      <c r="B6381" s="2">
        <v>908</v>
      </c>
      <c r="C6381" s="4" t="str">
        <f>HYPERLINK("http://www.uniprot.org/uniprot/M5W4W0","M5W4W0")</f>
        <v>M5W4W0</v>
      </c>
      <c r="D6381" s="2" t="s">
        <v>5753</v>
      </c>
      <c r="E6381" s="3">
        <v>3.2899999999999999E-79</v>
      </c>
      <c r="F6381" s="2">
        <v>632</v>
      </c>
      <c r="G6381" s="2">
        <v>100</v>
      </c>
      <c r="H6381" s="2">
        <v>122</v>
      </c>
      <c r="I6381" s="2">
        <v>384</v>
      </c>
      <c r="J6381" s="2">
        <v>749</v>
      </c>
      <c r="K6381" s="2">
        <v>1</v>
      </c>
      <c r="L6381" s="2">
        <v>122</v>
      </c>
    </row>
    <row r="6382" spans="1:12" x14ac:dyDescent="0.25">
      <c r="A6382" s="4" t="str">
        <f>HYPERLINK("http://www.rosaceae.org/Prunus/Prunus_persica/p.persica_gdr_reftransV1_0034489","p.persica_gdr_reftransV1_0034489")</f>
        <v>p.persica_gdr_reftransV1_0034489</v>
      </c>
      <c r="B6382" s="2">
        <v>1710</v>
      </c>
      <c r="C6382" s="4" t="str">
        <f>HYPERLINK("http://www.uniprot.org/uniprot/M5VZL0","M5VZL0")</f>
        <v>M5VZL0</v>
      </c>
      <c r="D6382" s="2" t="s">
        <v>5754</v>
      </c>
      <c r="E6382" s="3">
        <v>0</v>
      </c>
      <c r="F6382" s="2">
        <v>1813</v>
      </c>
      <c r="G6382" s="2">
        <v>99</v>
      </c>
      <c r="H6382" s="2">
        <v>339</v>
      </c>
      <c r="I6382" s="2">
        <v>284</v>
      </c>
      <c r="J6382" s="2">
        <v>1300</v>
      </c>
      <c r="K6382" s="2">
        <v>7</v>
      </c>
      <c r="L6382" s="2">
        <v>345</v>
      </c>
    </row>
    <row r="6383" spans="1:12" x14ac:dyDescent="0.25">
      <c r="A6383" s="4" t="str">
        <f>HYPERLINK("http://www.rosaceae.org/Prunus/Prunus_persica/p.persica_gdr_reftransV1_0036239","p.persica_gdr_reftransV1_0036239")</f>
        <v>p.persica_gdr_reftransV1_0036239</v>
      </c>
      <c r="B6383" s="2">
        <v>4812</v>
      </c>
      <c r="C6383" s="4" t="str">
        <f>HYPERLINK("http://www.uniprot.org/uniprot/M5X1R2","M5X1R2")</f>
        <v>M5X1R2</v>
      </c>
      <c r="D6383" s="2" t="s">
        <v>5755</v>
      </c>
      <c r="E6383" s="3">
        <v>0</v>
      </c>
      <c r="F6383" s="2">
        <v>1896</v>
      </c>
      <c r="G6383" s="2">
        <v>88</v>
      </c>
      <c r="H6383" s="2">
        <v>440</v>
      </c>
      <c r="I6383" s="2">
        <v>848</v>
      </c>
      <c r="J6383" s="2">
        <v>2167</v>
      </c>
      <c r="K6383" s="2">
        <v>1</v>
      </c>
      <c r="L6383" s="2">
        <v>416</v>
      </c>
    </row>
    <row r="6384" spans="1:12" x14ac:dyDescent="0.25">
      <c r="A6384" s="4" t="str">
        <f>HYPERLINK("http://www.rosaceae.org/Prunus/Prunus_persica/p.persica_gdr_reftransV1_0036589","p.persica_gdr_reftransV1_0036589")</f>
        <v>p.persica_gdr_reftransV1_0036589</v>
      </c>
      <c r="B6384" s="2">
        <v>3139</v>
      </c>
      <c r="C6384" s="4" t="str">
        <f>HYPERLINK("http://www.uniprot.org/uniprot/W9SKU2","W9SKU2")</f>
        <v>W9SKU2</v>
      </c>
      <c r="D6384" s="2" t="s">
        <v>5756</v>
      </c>
      <c r="E6384" s="3">
        <v>0</v>
      </c>
      <c r="F6384" s="2">
        <v>2286</v>
      </c>
      <c r="G6384" s="2">
        <v>69</v>
      </c>
      <c r="H6384" s="2">
        <v>698</v>
      </c>
      <c r="I6384" s="2">
        <v>103</v>
      </c>
      <c r="J6384" s="2">
        <v>2160</v>
      </c>
      <c r="K6384" s="2">
        <v>342</v>
      </c>
      <c r="L6384" s="2">
        <v>1039</v>
      </c>
    </row>
    <row r="6385" spans="1:12" x14ac:dyDescent="0.25">
      <c r="A6385" s="4" t="str">
        <f>HYPERLINK("http://www.rosaceae.org/Prunus/Prunus_persica/p.persica_gdr_reftransV1_0038339","p.persica_gdr_reftransV1_0038339")</f>
        <v>p.persica_gdr_reftransV1_0038339</v>
      </c>
      <c r="B6385" s="2">
        <v>1661</v>
      </c>
      <c r="C6385" s="4" t="str">
        <f>HYPERLINK("http://www.uniprot.org/uniprot/M5XEQ7","M5XEQ7")</f>
        <v>M5XEQ7</v>
      </c>
      <c r="D6385" s="2" t="s">
        <v>5757</v>
      </c>
      <c r="E6385" s="3">
        <v>0</v>
      </c>
      <c r="F6385" s="2">
        <v>1968</v>
      </c>
      <c r="G6385" s="2">
        <v>93</v>
      </c>
      <c r="H6385" s="2">
        <v>438</v>
      </c>
      <c r="I6385" s="2">
        <v>129</v>
      </c>
      <c r="J6385" s="2">
        <v>1442</v>
      </c>
      <c r="K6385" s="2">
        <v>1</v>
      </c>
      <c r="L6385" s="2">
        <v>407</v>
      </c>
    </row>
    <row r="6386" spans="1:12" x14ac:dyDescent="0.25">
      <c r="A6386" s="4" t="str">
        <f>HYPERLINK("http://www.rosaceae.org/Prunus/Prunus_persica/p.persica_gdr_reftransV1_0039389","p.persica_gdr_reftransV1_0039389")</f>
        <v>p.persica_gdr_reftransV1_0039389</v>
      </c>
      <c r="B6386" s="2">
        <v>1849</v>
      </c>
      <c r="C6386" s="4" t="str">
        <f>HYPERLINK("http://www.uniprot.org/uniprot/M5VXS4","M5VXS4")</f>
        <v>M5VXS4</v>
      </c>
      <c r="D6386" s="2" t="s">
        <v>1126</v>
      </c>
      <c r="E6386" s="3">
        <v>0</v>
      </c>
      <c r="F6386" s="2">
        <v>2524</v>
      </c>
      <c r="G6386" s="2">
        <v>95</v>
      </c>
      <c r="H6386" s="2">
        <v>514</v>
      </c>
      <c r="I6386" s="2">
        <v>223</v>
      </c>
      <c r="J6386" s="2">
        <v>1764</v>
      </c>
      <c r="K6386" s="2">
        <v>4</v>
      </c>
      <c r="L6386" s="2">
        <v>517</v>
      </c>
    </row>
    <row r="6387" spans="1:12" x14ac:dyDescent="0.25">
      <c r="A6387" s="4" t="str">
        <f>HYPERLINK("http://www.rosaceae.org/Prunus/Prunus_persica/p.persica_gdr_reftransV1_0040089","p.persica_gdr_reftransV1_0040089")</f>
        <v>p.persica_gdr_reftransV1_0040089</v>
      </c>
      <c r="B6387" s="2">
        <v>969</v>
      </c>
      <c r="C6387" s="4" t="str">
        <f>HYPERLINK("http://www.uniprot.org/uniprot/M5W889","M5W889")</f>
        <v>M5W889</v>
      </c>
      <c r="D6387" s="2" t="s">
        <v>5758</v>
      </c>
      <c r="E6387" s="3">
        <v>8.9900000000000002E-72</v>
      </c>
      <c r="F6387" s="2">
        <v>593</v>
      </c>
      <c r="G6387" s="2">
        <v>99</v>
      </c>
      <c r="H6387" s="2">
        <v>171</v>
      </c>
      <c r="I6387" s="2">
        <v>100</v>
      </c>
      <c r="J6387" s="2">
        <v>612</v>
      </c>
      <c r="K6387" s="2">
        <v>20</v>
      </c>
      <c r="L6387" s="2">
        <v>190</v>
      </c>
    </row>
    <row r="6388" spans="1:12" x14ac:dyDescent="0.25">
      <c r="A6388" s="4" t="str">
        <f>HYPERLINK("http://www.rosaceae.org/Prunus/Prunus_persica/p.persica_gdr_reftransV1_0040439","p.persica_gdr_reftransV1_0040439")</f>
        <v>p.persica_gdr_reftransV1_0040439</v>
      </c>
      <c r="B6388" s="2">
        <v>1635</v>
      </c>
      <c r="C6388" s="4" t="str">
        <f>HYPERLINK("http://www.uniprot.org/uniprot/M5VQW0","M5VQW0")</f>
        <v>M5VQW0</v>
      </c>
      <c r="D6388" s="2" t="s">
        <v>5759</v>
      </c>
      <c r="E6388" s="3">
        <v>4.2300000000000003E-148</v>
      </c>
      <c r="F6388" s="2">
        <v>1126</v>
      </c>
      <c r="G6388" s="2">
        <v>100</v>
      </c>
      <c r="H6388" s="2">
        <v>213</v>
      </c>
      <c r="I6388" s="2">
        <v>411</v>
      </c>
      <c r="J6388" s="2">
        <v>1049</v>
      </c>
      <c r="K6388" s="2">
        <v>50</v>
      </c>
      <c r="L6388" s="2">
        <v>262</v>
      </c>
    </row>
    <row r="6389" spans="1:12" x14ac:dyDescent="0.25">
      <c r="A6389" s="4" t="str">
        <f>HYPERLINK("http://www.rosaceae.org/Prunus/Prunus_persica/p.persica_gdr_reftransV1_0041139","p.persica_gdr_reftransV1_0041139")</f>
        <v>p.persica_gdr_reftransV1_0041139</v>
      </c>
      <c r="B6389" s="2">
        <v>2575</v>
      </c>
      <c r="C6389" s="4" t="str">
        <f>HYPERLINK("http://www.uniprot.org/uniprot/M5XWU7","M5XWU7")</f>
        <v>M5XWU7</v>
      </c>
      <c r="D6389" s="2" t="s">
        <v>5760</v>
      </c>
      <c r="E6389" s="3">
        <v>1.3400000000000001E-116</v>
      </c>
      <c r="F6389" s="2">
        <v>788</v>
      </c>
      <c r="G6389" s="2">
        <v>98</v>
      </c>
      <c r="H6389" s="2">
        <v>163</v>
      </c>
      <c r="I6389" s="2">
        <v>677</v>
      </c>
      <c r="J6389" s="2">
        <v>1165</v>
      </c>
      <c r="K6389" s="2">
        <v>1</v>
      </c>
      <c r="L6389" s="2">
        <v>163</v>
      </c>
    </row>
    <row r="6390" spans="1:12" x14ac:dyDescent="0.25">
      <c r="A6390" s="4" t="str">
        <f>HYPERLINK("http://www.rosaceae.org/Prunus/Prunus_persica/p.persica_gdr_reftransV1_0043239","p.persica_gdr_reftransV1_0043239")</f>
        <v>p.persica_gdr_reftransV1_0043239</v>
      </c>
      <c r="B6390" s="2">
        <v>1167</v>
      </c>
      <c r="C6390" s="4" t="str">
        <f>HYPERLINK("http://www.uniprot.org/uniprot/M5X3Y1","M5X3Y1")</f>
        <v>M5X3Y1</v>
      </c>
      <c r="D6390" s="2" t="s">
        <v>5761</v>
      </c>
      <c r="E6390" s="3">
        <v>0</v>
      </c>
      <c r="F6390" s="2">
        <v>1788</v>
      </c>
      <c r="G6390" s="2">
        <v>100</v>
      </c>
      <c r="H6390" s="2">
        <v>348</v>
      </c>
      <c r="I6390" s="2">
        <v>122</v>
      </c>
      <c r="J6390" s="2">
        <v>1165</v>
      </c>
      <c r="K6390" s="2">
        <v>170</v>
      </c>
      <c r="L6390" s="2">
        <v>517</v>
      </c>
    </row>
    <row r="6391" spans="1:12" x14ac:dyDescent="0.25">
      <c r="A6391" s="4" t="str">
        <f>HYPERLINK("http://www.rosaceae.org/Prunus/Prunus_persica/p.persica_gdr_reftransV1_0043589","p.persica_gdr_reftransV1_0043589")</f>
        <v>p.persica_gdr_reftransV1_0043589</v>
      </c>
      <c r="B6391" s="2">
        <v>608</v>
      </c>
      <c r="C6391" s="4" t="str">
        <f>HYPERLINK("http://www.uniprot.org/uniprot/M5WI83","M5WI83")</f>
        <v>M5WI83</v>
      </c>
      <c r="D6391" s="2" t="s">
        <v>54</v>
      </c>
      <c r="E6391" s="3">
        <v>5.3899999999999998E-82</v>
      </c>
      <c r="F6391" s="2">
        <v>675</v>
      </c>
      <c r="G6391" s="2">
        <v>100</v>
      </c>
      <c r="H6391" s="2">
        <v>173</v>
      </c>
      <c r="I6391" s="2">
        <v>8</v>
      </c>
      <c r="J6391" s="2">
        <v>526</v>
      </c>
      <c r="K6391" s="2">
        <v>1</v>
      </c>
      <c r="L6391" s="2">
        <v>173</v>
      </c>
    </row>
    <row r="6392" spans="1:12" x14ac:dyDescent="0.25">
      <c r="A6392" s="4" t="str">
        <f>HYPERLINK("http://www.rosaceae.org/Prunus/Prunus_persica/p.persica_gdr_reftransV1_0044289","p.persica_gdr_reftransV1_0044289")</f>
        <v>p.persica_gdr_reftransV1_0044289</v>
      </c>
      <c r="B6392" s="2">
        <v>1099</v>
      </c>
      <c r="C6392" s="4" t="str">
        <f>HYPERLINK("http://www.uniprot.org/uniprot/M5VXE5","M5VXE5")</f>
        <v>M5VXE5</v>
      </c>
      <c r="D6392" s="2" t="s">
        <v>5762</v>
      </c>
      <c r="E6392" s="3">
        <v>0</v>
      </c>
      <c r="F6392" s="2">
        <v>1401</v>
      </c>
      <c r="G6392" s="2">
        <v>80</v>
      </c>
      <c r="H6392" s="2">
        <v>345</v>
      </c>
      <c r="I6392" s="2">
        <v>81</v>
      </c>
      <c r="J6392" s="2">
        <v>962</v>
      </c>
      <c r="K6392" s="2">
        <v>194</v>
      </c>
      <c r="L6392" s="2">
        <v>538</v>
      </c>
    </row>
    <row r="6393" spans="1:12" x14ac:dyDescent="0.25">
      <c r="A6393" s="4" t="str">
        <f>HYPERLINK("http://www.rosaceae.org/Prunus/Prunus_persica/p.persica_gdr_reftransV1_0044639","p.persica_gdr_reftransV1_0044639")</f>
        <v>p.persica_gdr_reftransV1_0044639</v>
      </c>
      <c r="B6393" s="2">
        <v>328</v>
      </c>
      <c r="C6393" s="4" t="str">
        <f>HYPERLINK("http://www.uniprot.org/uniprot/M5X0F7","M5X0F7")</f>
        <v>M5X0F7</v>
      </c>
      <c r="D6393" s="2" t="s">
        <v>5763</v>
      </c>
      <c r="E6393" s="3">
        <v>1.07E-48</v>
      </c>
      <c r="F6393" s="2">
        <v>428</v>
      </c>
      <c r="G6393" s="2">
        <v>81</v>
      </c>
      <c r="H6393" s="2">
        <v>94</v>
      </c>
      <c r="I6393" s="2">
        <v>2</v>
      </c>
      <c r="J6393" s="2">
        <v>283</v>
      </c>
      <c r="K6393" s="2">
        <v>8</v>
      </c>
      <c r="L6393" s="2">
        <v>101</v>
      </c>
    </row>
    <row r="6394" spans="1:12" x14ac:dyDescent="0.25">
      <c r="A6394" s="4" t="str">
        <f>HYPERLINK("http://www.rosaceae.org/Prunus/Prunus_persica/p.persica_gdr_reftransV1_0044989","p.persica_gdr_reftransV1_0044989")</f>
        <v>p.persica_gdr_reftransV1_0044989</v>
      </c>
      <c r="B6394" s="2">
        <v>1078</v>
      </c>
      <c r="C6394" s="4" t="str">
        <f>HYPERLINK("http://www.uniprot.org/uniprot/M5VYB3","M5VYB3")</f>
        <v>M5VYB3</v>
      </c>
      <c r="D6394" s="2" t="s">
        <v>5764</v>
      </c>
      <c r="E6394" s="3">
        <v>2.4799999999999998E-137</v>
      </c>
      <c r="F6394" s="2">
        <v>1037</v>
      </c>
      <c r="G6394" s="2">
        <v>99</v>
      </c>
      <c r="H6394" s="2">
        <v>249</v>
      </c>
      <c r="I6394" s="2">
        <v>88</v>
      </c>
      <c r="J6394" s="2">
        <v>831</v>
      </c>
      <c r="K6394" s="2">
        <v>1</v>
      </c>
      <c r="L6394" s="2">
        <v>249</v>
      </c>
    </row>
    <row r="6395" spans="1:12" x14ac:dyDescent="0.25">
      <c r="A6395" s="4" t="str">
        <f>HYPERLINK("http://www.rosaceae.org/Prunus/Prunus_persica/p.persica_gdr_reftransV1_0045689","p.persica_gdr_reftransV1_0045689")</f>
        <v>p.persica_gdr_reftransV1_0045689</v>
      </c>
      <c r="B6395" s="2">
        <v>2408</v>
      </c>
      <c r="C6395" s="4" t="str">
        <f>HYPERLINK("http://www.uniprot.org/uniprot/M5WEB8","M5WEB8")</f>
        <v>M5WEB8</v>
      </c>
      <c r="D6395" s="2" t="s">
        <v>5765</v>
      </c>
      <c r="E6395" s="3">
        <v>0</v>
      </c>
      <c r="F6395" s="2">
        <v>3056</v>
      </c>
      <c r="G6395" s="2">
        <v>100</v>
      </c>
      <c r="H6395" s="2">
        <v>626</v>
      </c>
      <c r="I6395" s="2">
        <v>183</v>
      </c>
      <c r="J6395" s="2">
        <v>2060</v>
      </c>
      <c r="K6395" s="2">
        <v>1</v>
      </c>
      <c r="L6395" s="2">
        <v>626</v>
      </c>
    </row>
    <row r="6396" spans="1:12" x14ac:dyDescent="0.25">
      <c r="A6396" s="4" t="str">
        <f>HYPERLINK("http://www.rosaceae.org/Prunus/Prunus_persica/p.persica_gdr_reftransV1_0046039","p.persica_gdr_reftransV1_0046039")</f>
        <v>p.persica_gdr_reftransV1_0046039</v>
      </c>
      <c r="B6396" s="2">
        <v>789</v>
      </c>
      <c r="C6396" s="4" t="str">
        <f>HYPERLINK("http://www.uniprot.org/uniprot/M5WWY5","M5WWY5")</f>
        <v>M5WWY5</v>
      </c>
      <c r="D6396" s="2" t="s">
        <v>5766</v>
      </c>
      <c r="E6396" s="3">
        <v>8.2400000000000003E-100</v>
      </c>
      <c r="F6396" s="2">
        <v>801</v>
      </c>
      <c r="G6396" s="2">
        <v>100</v>
      </c>
      <c r="H6396" s="2">
        <v>231</v>
      </c>
      <c r="I6396" s="2">
        <v>96</v>
      </c>
      <c r="J6396" s="2">
        <v>788</v>
      </c>
      <c r="K6396" s="2">
        <v>1</v>
      </c>
      <c r="L6396" s="2">
        <v>231</v>
      </c>
    </row>
    <row r="6397" spans="1:12" x14ac:dyDescent="0.25">
      <c r="A6397" s="4" t="str">
        <f>HYPERLINK("http://www.rosaceae.org/Prunus/Prunus_persica/p.persica_gdr_reftransV1_0046389","p.persica_gdr_reftransV1_0046389")</f>
        <v>p.persica_gdr_reftransV1_0046389</v>
      </c>
      <c r="B6397" s="2">
        <v>2887</v>
      </c>
      <c r="C6397" s="4" t="str">
        <f>HYPERLINK("http://www.uniprot.org/uniprot/M5XJV3","M5XJV3")</f>
        <v>M5XJV3</v>
      </c>
      <c r="D6397" s="2" t="s">
        <v>5767</v>
      </c>
      <c r="E6397" s="3">
        <v>0</v>
      </c>
      <c r="F6397" s="2">
        <v>3475</v>
      </c>
      <c r="G6397" s="2">
        <v>100</v>
      </c>
      <c r="H6397" s="2">
        <v>678</v>
      </c>
      <c r="I6397" s="2">
        <v>664</v>
      </c>
      <c r="J6397" s="2">
        <v>2697</v>
      </c>
      <c r="K6397" s="2">
        <v>1</v>
      </c>
      <c r="L6397" s="2">
        <v>678</v>
      </c>
    </row>
    <row r="6398" spans="1:12" x14ac:dyDescent="0.25">
      <c r="A6398" s="4" t="str">
        <f>HYPERLINK("http://www.rosaceae.org/Prunus/Prunus_persica/p.persica_gdr_reftransV1_0046739","p.persica_gdr_reftransV1_0046739")</f>
        <v>p.persica_gdr_reftransV1_0046739</v>
      </c>
      <c r="B6398" s="2">
        <v>706</v>
      </c>
      <c r="C6398" s="4" t="str">
        <f>HYPERLINK("http://www.uniprot.org/uniprot/M5XTF3","M5XTF3")</f>
        <v>M5XTF3</v>
      </c>
      <c r="D6398" s="2" t="s">
        <v>5768</v>
      </c>
      <c r="E6398" s="3">
        <v>1.56E-107</v>
      </c>
      <c r="F6398" s="2">
        <v>815</v>
      </c>
      <c r="G6398" s="2">
        <v>100</v>
      </c>
      <c r="H6398" s="2">
        <v>153</v>
      </c>
      <c r="I6398" s="2">
        <v>198</v>
      </c>
      <c r="J6398" s="2">
        <v>656</v>
      </c>
      <c r="K6398" s="2">
        <v>1</v>
      </c>
      <c r="L6398" s="2">
        <v>153</v>
      </c>
    </row>
    <row r="6399" spans="1:12" x14ac:dyDescent="0.25">
      <c r="A6399" s="4" t="str">
        <f>HYPERLINK("http://www.rosaceae.org/Prunus/Prunus_persica/p.persica_gdr_reftransV1_0047089","p.persica_gdr_reftransV1_0047089")</f>
        <v>p.persica_gdr_reftransV1_0047089</v>
      </c>
      <c r="B6399" s="2">
        <v>769</v>
      </c>
      <c r="C6399" s="4" t="str">
        <f>HYPERLINK("http://www.uniprot.org/uniprot/M5VZ69","M5VZ69")</f>
        <v>M5VZ69</v>
      </c>
      <c r="D6399" s="2" t="s">
        <v>4319</v>
      </c>
      <c r="E6399" s="3">
        <v>3.5300000000000002E-100</v>
      </c>
      <c r="F6399" s="2">
        <v>785</v>
      </c>
      <c r="G6399" s="2">
        <v>99</v>
      </c>
      <c r="H6399" s="2">
        <v>164</v>
      </c>
      <c r="I6399" s="2">
        <v>219</v>
      </c>
      <c r="J6399" s="2">
        <v>710</v>
      </c>
      <c r="K6399" s="2">
        <v>160</v>
      </c>
      <c r="L6399" s="2">
        <v>323</v>
      </c>
    </row>
    <row r="6400" spans="1:12" x14ac:dyDescent="0.25">
      <c r="A6400" s="4" t="str">
        <f>HYPERLINK("http://www.rosaceae.org/Prunus/Prunus_persica/p.persica_gdr_reftransV1_0047789","p.persica_gdr_reftransV1_0047789")</f>
        <v>p.persica_gdr_reftransV1_0047789</v>
      </c>
      <c r="B6400" s="2">
        <v>947</v>
      </c>
      <c r="C6400" s="4" t="str">
        <f>HYPERLINK("http://www.uniprot.org/uniprot/M5X8E8","M5X8E8")</f>
        <v>M5X8E8</v>
      </c>
      <c r="D6400" s="2" t="s">
        <v>5254</v>
      </c>
      <c r="E6400" s="3">
        <v>8.22E-84</v>
      </c>
      <c r="F6400" s="2">
        <v>720</v>
      </c>
      <c r="G6400" s="2">
        <v>89</v>
      </c>
      <c r="H6400" s="2">
        <v>177</v>
      </c>
      <c r="I6400" s="2">
        <v>444</v>
      </c>
      <c r="J6400" s="2">
        <v>947</v>
      </c>
      <c r="K6400" s="2">
        <v>1</v>
      </c>
      <c r="L6400" s="2">
        <v>177</v>
      </c>
    </row>
    <row r="6401" spans="1:12" x14ac:dyDescent="0.25">
      <c r="A6401" s="4" t="str">
        <f>HYPERLINK("http://www.rosaceae.org/Prunus/Prunus_persica/p.persica_gdr_reftransV1_0048139","p.persica_gdr_reftransV1_0048139")</f>
        <v>p.persica_gdr_reftransV1_0048139</v>
      </c>
      <c r="B6401" s="2">
        <v>1982</v>
      </c>
      <c r="C6401" s="4" t="str">
        <f>HYPERLINK("http://www.uniprot.org/uniprot/M5XVG2","M5XVG2")</f>
        <v>M5XVG2</v>
      </c>
      <c r="D6401" s="2" t="s">
        <v>1990</v>
      </c>
      <c r="E6401" s="3">
        <v>0</v>
      </c>
      <c r="F6401" s="2">
        <v>1484</v>
      </c>
      <c r="G6401" s="2">
        <v>90</v>
      </c>
      <c r="H6401" s="2">
        <v>346</v>
      </c>
      <c r="I6401" s="2">
        <v>302</v>
      </c>
      <c r="J6401" s="2">
        <v>1339</v>
      </c>
      <c r="K6401" s="2">
        <v>1782</v>
      </c>
      <c r="L6401" s="2">
        <v>2092</v>
      </c>
    </row>
    <row r="6402" spans="1:12" x14ac:dyDescent="0.25">
      <c r="A6402" s="4" t="str">
        <f>HYPERLINK("http://www.rosaceae.org/Prunus/Prunus_persica/p.persica_gdr_reftransV1_0048489","p.persica_gdr_reftransV1_0048489")</f>
        <v>p.persica_gdr_reftransV1_0048489</v>
      </c>
      <c r="B6402" s="2">
        <v>6573</v>
      </c>
      <c r="C6402" s="4" t="str">
        <f>HYPERLINK("http://www.uniprot.org/uniprot/M5VYG0","M5VYG0")</f>
        <v>M5VYG0</v>
      </c>
      <c r="D6402" s="2" t="s">
        <v>5001</v>
      </c>
      <c r="E6402" s="3">
        <v>0</v>
      </c>
      <c r="F6402" s="2">
        <v>5294</v>
      </c>
      <c r="G6402" s="2">
        <v>93</v>
      </c>
      <c r="H6402" s="2">
        <v>1147</v>
      </c>
      <c r="I6402" s="2">
        <v>400</v>
      </c>
      <c r="J6402" s="2">
        <v>3840</v>
      </c>
      <c r="K6402" s="2">
        <v>1</v>
      </c>
      <c r="L6402" s="2">
        <v>1073</v>
      </c>
    </row>
    <row r="6403" spans="1:12" x14ac:dyDescent="0.25">
      <c r="A6403" s="4" t="str">
        <f>HYPERLINK("http://www.rosaceae.org/Prunus/Prunus_persica/p.persica_gdr_reftransV1_0048839","p.persica_gdr_reftransV1_0048839")</f>
        <v>p.persica_gdr_reftransV1_0048839</v>
      </c>
      <c r="B6403" s="2">
        <v>519</v>
      </c>
      <c r="C6403" s="4" t="str">
        <f>HYPERLINK("http://www.uniprot.org/uniprot/M5WH76","M5WH76")</f>
        <v>M5WH76</v>
      </c>
      <c r="D6403" s="2" t="s">
        <v>5769</v>
      </c>
      <c r="E6403" s="3">
        <v>1.96E-17</v>
      </c>
      <c r="F6403" s="2">
        <v>202</v>
      </c>
      <c r="G6403" s="2">
        <v>95</v>
      </c>
      <c r="H6403" s="2">
        <v>57</v>
      </c>
      <c r="I6403" s="2">
        <v>300</v>
      </c>
      <c r="J6403" s="2">
        <v>470</v>
      </c>
      <c r="K6403" s="2">
        <v>1</v>
      </c>
      <c r="L6403" s="2">
        <v>57</v>
      </c>
    </row>
    <row r="6404" spans="1:12" x14ac:dyDescent="0.25">
      <c r="A6404" s="4" t="str">
        <f>HYPERLINK("http://www.rosaceae.org/Prunus/Prunus_persica/p.persica_gdr_reftransV1_0049189","p.persica_gdr_reftransV1_0049189")</f>
        <v>p.persica_gdr_reftransV1_0049189</v>
      </c>
      <c r="B6404" s="2">
        <v>1339</v>
      </c>
      <c r="C6404" s="4" t="str">
        <f>HYPERLINK("http://www.uniprot.org/uniprot/M5X2V1","M5X2V1")</f>
        <v>M5X2V1</v>
      </c>
      <c r="D6404" s="2" t="s">
        <v>5770</v>
      </c>
      <c r="E6404" s="3">
        <v>3.7299999999999999E-179</v>
      </c>
      <c r="F6404" s="2">
        <v>1358</v>
      </c>
      <c r="G6404" s="2">
        <v>99</v>
      </c>
      <c r="H6404" s="2">
        <v>268</v>
      </c>
      <c r="I6404" s="2">
        <v>146</v>
      </c>
      <c r="J6404" s="2">
        <v>949</v>
      </c>
      <c r="K6404" s="2">
        <v>363</v>
      </c>
      <c r="L6404" s="2">
        <v>630</v>
      </c>
    </row>
    <row r="6405" spans="1:12" x14ac:dyDescent="0.25">
      <c r="A6405" s="4" t="str">
        <f>HYPERLINK("http://www.rosaceae.org/Prunus/Prunus_persica/p.persica_gdr_reftransV1_0000190","p.persica_gdr_reftransV1_0000190")</f>
        <v>p.persica_gdr_reftransV1_0000190</v>
      </c>
      <c r="B6405" s="2">
        <v>2058</v>
      </c>
      <c r="C6405" s="4" t="str">
        <f>HYPERLINK("http://www.uniprot.org/uniprot/M5XUT0","M5XUT0")</f>
        <v>M5XUT0</v>
      </c>
      <c r="D6405" s="2" t="s">
        <v>5771</v>
      </c>
      <c r="E6405" s="3">
        <v>0</v>
      </c>
      <c r="F6405" s="2">
        <v>3000</v>
      </c>
      <c r="G6405" s="2">
        <v>100</v>
      </c>
      <c r="H6405" s="2">
        <v>603</v>
      </c>
      <c r="I6405" s="2">
        <v>201</v>
      </c>
      <c r="J6405" s="2">
        <v>2009</v>
      </c>
      <c r="K6405" s="2">
        <v>1</v>
      </c>
      <c r="L6405" s="2">
        <v>603</v>
      </c>
    </row>
    <row r="6406" spans="1:12" x14ac:dyDescent="0.25">
      <c r="A6406" s="4" t="str">
        <f>HYPERLINK("http://www.rosaceae.org/Prunus/Prunus_persica/p.persica_gdr_reftransV1_0000890","p.persica_gdr_reftransV1_0000890")</f>
        <v>p.persica_gdr_reftransV1_0000890</v>
      </c>
      <c r="B6406" s="2">
        <v>3433</v>
      </c>
      <c r="C6406" s="4" t="str">
        <f>HYPERLINK("http://www.uniprot.org/uniprot/M5VVP8","M5VVP8")</f>
        <v>M5VVP8</v>
      </c>
      <c r="D6406" s="2" t="s">
        <v>5772</v>
      </c>
      <c r="E6406" s="3">
        <v>0</v>
      </c>
      <c r="F6406" s="2">
        <v>3885</v>
      </c>
      <c r="G6406" s="2">
        <v>100</v>
      </c>
      <c r="H6406" s="2">
        <v>721</v>
      </c>
      <c r="I6406" s="2">
        <v>831</v>
      </c>
      <c r="J6406" s="2">
        <v>2993</v>
      </c>
      <c r="K6406" s="2">
        <v>1</v>
      </c>
      <c r="L6406" s="2">
        <v>721</v>
      </c>
    </row>
    <row r="6407" spans="1:12" x14ac:dyDescent="0.25">
      <c r="A6407" s="4" t="str">
        <f>HYPERLINK("http://www.rosaceae.org/Prunus/Prunus_persica/p.persica_gdr_reftransV1_0001240","p.persica_gdr_reftransV1_0001240")</f>
        <v>p.persica_gdr_reftransV1_0001240</v>
      </c>
      <c r="B6407" s="2">
        <v>2511</v>
      </c>
      <c r="C6407" s="4" t="str">
        <f>HYPERLINK("http://www.uniprot.org/uniprot/M5WZP0","M5WZP0")</f>
        <v>M5WZP0</v>
      </c>
      <c r="D6407" s="2" t="s">
        <v>5773</v>
      </c>
      <c r="E6407" s="3">
        <v>0</v>
      </c>
      <c r="F6407" s="2">
        <v>1652</v>
      </c>
      <c r="G6407" s="2">
        <v>100</v>
      </c>
      <c r="H6407" s="2">
        <v>351</v>
      </c>
      <c r="I6407" s="2">
        <v>423</v>
      </c>
      <c r="J6407" s="2">
        <v>1475</v>
      </c>
      <c r="K6407" s="2">
        <v>259</v>
      </c>
      <c r="L6407" s="2">
        <v>609</v>
      </c>
    </row>
    <row r="6408" spans="1:12" x14ac:dyDescent="0.25">
      <c r="A6408" s="4" t="str">
        <f>HYPERLINK("http://www.rosaceae.org/Prunus/Prunus_persica/p.persica_gdr_reftransV1_0001590","p.persica_gdr_reftransV1_0001590")</f>
        <v>p.persica_gdr_reftransV1_0001590</v>
      </c>
      <c r="B6408" s="2">
        <v>867</v>
      </c>
      <c r="C6408" s="4" t="str">
        <f>HYPERLINK("http://www.uniprot.org/uniprot/M5WI70","M5WI70")</f>
        <v>M5WI70</v>
      </c>
      <c r="D6408" s="2" t="s">
        <v>5774</v>
      </c>
      <c r="E6408" s="3">
        <v>6.3100000000000003E-77</v>
      </c>
      <c r="F6408" s="2">
        <v>616</v>
      </c>
      <c r="G6408" s="2">
        <v>100</v>
      </c>
      <c r="H6408" s="2">
        <v>118</v>
      </c>
      <c r="I6408" s="2">
        <v>343</v>
      </c>
      <c r="J6408" s="2">
        <v>696</v>
      </c>
      <c r="K6408" s="2">
        <v>1</v>
      </c>
      <c r="L6408" s="2">
        <v>118</v>
      </c>
    </row>
    <row r="6409" spans="1:12" x14ac:dyDescent="0.25">
      <c r="A6409" s="4" t="str">
        <f>HYPERLINK("http://www.rosaceae.org/Prunus/Prunus_persica/p.persica_gdr_reftransV1_0001940","p.persica_gdr_reftransV1_0001940")</f>
        <v>p.persica_gdr_reftransV1_0001940</v>
      </c>
      <c r="B6409" s="2">
        <v>4070</v>
      </c>
      <c r="C6409" s="4" t="str">
        <f>HYPERLINK("http://www.uniprot.org/uniprot/M5X614","M5X614")</f>
        <v>M5X614</v>
      </c>
      <c r="D6409" s="2" t="s">
        <v>5775</v>
      </c>
      <c r="E6409" s="3">
        <v>0</v>
      </c>
      <c r="F6409" s="2">
        <v>5505</v>
      </c>
      <c r="G6409" s="2">
        <v>100</v>
      </c>
      <c r="H6409" s="2">
        <v>1082</v>
      </c>
      <c r="I6409" s="2">
        <v>319</v>
      </c>
      <c r="J6409" s="2">
        <v>3564</v>
      </c>
      <c r="K6409" s="2">
        <v>1</v>
      </c>
      <c r="L6409" s="2">
        <v>1082</v>
      </c>
    </row>
    <row r="6410" spans="1:12" x14ac:dyDescent="0.25">
      <c r="A6410" s="4" t="str">
        <f>HYPERLINK("http://www.rosaceae.org/Prunus/Prunus_persica/p.persica_gdr_reftransV1_0002290","p.persica_gdr_reftransV1_0002290")</f>
        <v>p.persica_gdr_reftransV1_0002290</v>
      </c>
      <c r="B6410" s="2">
        <v>1125</v>
      </c>
      <c r="C6410" s="4" t="str">
        <f>HYPERLINK("http://www.uniprot.org/uniprot/M5XSA6","M5XSA6")</f>
        <v>M5XSA6</v>
      </c>
      <c r="D6410" s="2" t="s">
        <v>3749</v>
      </c>
      <c r="E6410" s="3">
        <v>0</v>
      </c>
      <c r="F6410" s="2">
        <v>1829</v>
      </c>
      <c r="G6410" s="2">
        <v>99</v>
      </c>
      <c r="H6410" s="2">
        <v>341</v>
      </c>
      <c r="I6410" s="2">
        <v>101</v>
      </c>
      <c r="J6410" s="2">
        <v>1123</v>
      </c>
      <c r="K6410" s="2">
        <v>29</v>
      </c>
      <c r="L6410" s="2">
        <v>369</v>
      </c>
    </row>
    <row r="6411" spans="1:12" x14ac:dyDescent="0.25">
      <c r="A6411" s="4" t="str">
        <f>HYPERLINK("http://www.rosaceae.org/Prunus/Prunus_persica/p.persica_gdr_reftransV1_0002640","p.persica_gdr_reftransV1_0002640")</f>
        <v>p.persica_gdr_reftransV1_0002640</v>
      </c>
      <c r="B6411" s="2">
        <v>1781</v>
      </c>
      <c r="C6411" s="4" t="str">
        <f>HYPERLINK("http://www.uniprot.org/uniprot/M5W231","M5W231")</f>
        <v>M5W231</v>
      </c>
      <c r="D6411" s="2" t="s">
        <v>5776</v>
      </c>
      <c r="E6411" s="3">
        <v>0</v>
      </c>
      <c r="F6411" s="2">
        <v>1770</v>
      </c>
      <c r="G6411" s="2">
        <v>100</v>
      </c>
      <c r="H6411" s="2">
        <v>331</v>
      </c>
      <c r="I6411" s="2">
        <v>1</v>
      </c>
      <c r="J6411" s="2">
        <v>993</v>
      </c>
      <c r="K6411" s="2">
        <v>1</v>
      </c>
      <c r="L6411" s="2">
        <v>331</v>
      </c>
    </row>
    <row r="6412" spans="1:12" x14ac:dyDescent="0.25">
      <c r="A6412" s="4" t="str">
        <f>HYPERLINK("http://www.rosaceae.org/Prunus/Prunus_persica/p.persica_gdr_reftransV1_0002990","p.persica_gdr_reftransV1_0002990")</f>
        <v>p.persica_gdr_reftransV1_0002990</v>
      </c>
      <c r="B6412" s="2">
        <v>1404</v>
      </c>
      <c r="C6412" s="4" t="str">
        <f>HYPERLINK("http://www.uniprot.org/uniprot/M5WFS5","M5WFS5")</f>
        <v>M5WFS5</v>
      </c>
      <c r="D6412" s="2" t="s">
        <v>5777</v>
      </c>
      <c r="E6412" s="3">
        <v>0</v>
      </c>
      <c r="F6412" s="2">
        <v>1790</v>
      </c>
      <c r="G6412" s="2">
        <v>100</v>
      </c>
      <c r="H6412" s="2">
        <v>381</v>
      </c>
      <c r="I6412" s="2">
        <v>260</v>
      </c>
      <c r="J6412" s="2">
        <v>1402</v>
      </c>
      <c r="K6412" s="2">
        <v>1</v>
      </c>
      <c r="L6412" s="2">
        <v>381</v>
      </c>
    </row>
    <row r="6413" spans="1:12" x14ac:dyDescent="0.25">
      <c r="A6413" s="4" t="str">
        <f>HYPERLINK("http://www.rosaceae.org/Prunus/Prunus_persica/p.persica_gdr_reftransV1_0003690","p.persica_gdr_reftransV1_0003690")</f>
        <v>p.persica_gdr_reftransV1_0003690</v>
      </c>
      <c r="B6413" s="2">
        <v>904</v>
      </c>
      <c r="C6413" s="4" t="str">
        <f>HYPERLINK("http://www.uniprot.org/uniprot/M5W0N0","M5W0N0")</f>
        <v>M5W0N0</v>
      </c>
      <c r="D6413" s="2" t="s">
        <v>5778</v>
      </c>
      <c r="E6413" s="3">
        <v>1.0899999999999999E-97</v>
      </c>
      <c r="F6413" s="2">
        <v>757</v>
      </c>
      <c r="G6413" s="2">
        <v>100</v>
      </c>
      <c r="H6413" s="2">
        <v>144</v>
      </c>
      <c r="I6413" s="2">
        <v>175</v>
      </c>
      <c r="J6413" s="2">
        <v>606</v>
      </c>
      <c r="K6413" s="2">
        <v>2</v>
      </c>
      <c r="L6413" s="2">
        <v>145</v>
      </c>
    </row>
    <row r="6414" spans="1:12" x14ac:dyDescent="0.25">
      <c r="A6414" s="4" t="str">
        <f>HYPERLINK("http://www.rosaceae.org/Prunus/Prunus_persica/p.persica_gdr_reftransV1_0004390","p.persica_gdr_reftransV1_0004390")</f>
        <v>p.persica_gdr_reftransV1_0004390</v>
      </c>
      <c r="B6414" s="2">
        <v>1949</v>
      </c>
      <c r="C6414" s="4" t="str">
        <f>HYPERLINK("http://www.uniprot.org/uniprot/M5VZ46","M5VZ46")</f>
        <v>M5VZ46</v>
      </c>
      <c r="D6414" s="2" t="s">
        <v>5779</v>
      </c>
      <c r="E6414" s="3">
        <v>0</v>
      </c>
      <c r="F6414" s="2">
        <v>2399</v>
      </c>
      <c r="G6414" s="2">
        <v>100</v>
      </c>
      <c r="H6414" s="2">
        <v>451</v>
      </c>
      <c r="I6414" s="2">
        <v>445</v>
      </c>
      <c r="J6414" s="2">
        <v>1797</v>
      </c>
      <c r="K6414" s="2">
        <v>1</v>
      </c>
      <c r="L6414" s="2">
        <v>451</v>
      </c>
    </row>
    <row r="6415" spans="1:12" x14ac:dyDescent="0.25">
      <c r="A6415" s="4" t="str">
        <f>HYPERLINK("http://www.rosaceae.org/Prunus/Prunus_persica/p.persica_gdr_reftransV1_0005090","p.persica_gdr_reftransV1_0005090")</f>
        <v>p.persica_gdr_reftransV1_0005090</v>
      </c>
      <c r="B6415" s="2">
        <v>622</v>
      </c>
      <c r="C6415" s="4" t="str">
        <f>HYPERLINK("http://www.uniprot.org/uniprot/M5WC93","M5WC93")</f>
        <v>M5WC93</v>
      </c>
      <c r="D6415" s="2" t="s">
        <v>5780</v>
      </c>
      <c r="E6415" s="3">
        <v>6.9999999999999997E-107</v>
      </c>
      <c r="F6415" s="2">
        <v>814</v>
      </c>
      <c r="G6415" s="2">
        <v>100</v>
      </c>
      <c r="H6415" s="2">
        <v>153</v>
      </c>
      <c r="I6415" s="2">
        <v>81</v>
      </c>
      <c r="J6415" s="2">
        <v>539</v>
      </c>
      <c r="K6415" s="2">
        <v>1</v>
      </c>
      <c r="L6415" s="2">
        <v>153</v>
      </c>
    </row>
    <row r="6416" spans="1:12" x14ac:dyDescent="0.25">
      <c r="A6416" s="4" t="str">
        <f>HYPERLINK("http://www.rosaceae.org/Prunus/Prunus_persica/p.persica_gdr_reftransV1_0005440","p.persica_gdr_reftransV1_0005440")</f>
        <v>p.persica_gdr_reftransV1_0005440</v>
      </c>
      <c r="B6416" s="2">
        <v>329</v>
      </c>
      <c r="C6416" s="4" t="str">
        <f>HYPERLINK("http://www.uniprot.org/uniprot/M5W9S4","M5W9S4")</f>
        <v>M5W9S4</v>
      </c>
      <c r="D6416" s="2" t="s">
        <v>5781</v>
      </c>
      <c r="E6416" s="3">
        <v>1.3099999999999999E-67</v>
      </c>
      <c r="F6416" s="2">
        <v>590</v>
      </c>
      <c r="G6416" s="2">
        <v>100</v>
      </c>
      <c r="H6416" s="2">
        <v>109</v>
      </c>
      <c r="I6416" s="2">
        <v>2</v>
      </c>
      <c r="J6416" s="2">
        <v>328</v>
      </c>
      <c r="K6416" s="2">
        <v>261</v>
      </c>
      <c r="L6416" s="2">
        <v>369</v>
      </c>
    </row>
    <row r="6417" spans="1:12" x14ac:dyDescent="0.25">
      <c r="A6417" s="4" t="str">
        <f>HYPERLINK("http://www.rosaceae.org/Prunus/Prunus_persica/p.persica_gdr_reftransV1_0005790","p.persica_gdr_reftransV1_0005790")</f>
        <v>p.persica_gdr_reftransV1_0005790</v>
      </c>
      <c r="B6417" s="2">
        <v>424</v>
      </c>
      <c r="C6417" s="4" t="str">
        <f>HYPERLINK("http://www.uniprot.org/uniprot/M5X7N0","M5X7N0")</f>
        <v>M5X7N0</v>
      </c>
      <c r="D6417" s="2" t="s">
        <v>4865</v>
      </c>
      <c r="E6417" s="3">
        <v>5.52E-74</v>
      </c>
      <c r="F6417" s="2">
        <v>632</v>
      </c>
      <c r="G6417" s="2">
        <v>100</v>
      </c>
      <c r="H6417" s="2">
        <v>130</v>
      </c>
      <c r="I6417" s="2">
        <v>33</v>
      </c>
      <c r="J6417" s="2">
        <v>422</v>
      </c>
      <c r="K6417" s="2">
        <v>804</v>
      </c>
      <c r="L6417" s="2">
        <v>933</v>
      </c>
    </row>
    <row r="6418" spans="1:12" x14ac:dyDescent="0.25">
      <c r="A6418" s="4" t="str">
        <f>HYPERLINK("http://www.rosaceae.org/Prunus/Prunus_persica/p.persica_gdr_reftransV1_0006490","p.persica_gdr_reftransV1_0006490")</f>
        <v>p.persica_gdr_reftransV1_0006490</v>
      </c>
      <c r="B6418" s="2">
        <v>699</v>
      </c>
      <c r="C6418" s="4" t="str">
        <f>HYPERLINK("http://www.uniprot.org/uniprot/M5VMD5","M5VMD5")</f>
        <v>M5VMD5</v>
      </c>
      <c r="D6418" s="2" t="s">
        <v>5782</v>
      </c>
      <c r="E6418" s="3">
        <v>2.8400000000000001E-156</v>
      </c>
      <c r="F6418" s="2">
        <v>1174</v>
      </c>
      <c r="G6418" s="2">
        <v>100</v>
      </c>
      <c r="H6418" s="2">
        <v>233</v>
      </c>
      <c r="I6418" s="2">
        <v>1</v>
      </c>
      <c r="J6418" s="2">
        <v>699</v>
      </c>
      <c r="K6418" s="2">
        <v>37</v>
      </c>
      <c r="L6418" s="2">
        <v>269</v>
      </c>
    </row>
    <row r="6419" spans="1:12" x14ac:dyDescent="0.25">
      <c r="A6419" s="4" t="str">
        <f>HYPERLINK("http://www.rosaceae.org/Prunus/Prunus_persica/p.persica_gdr_reftransV1_0007190","p.persica_gdr_reftransV1_0007190")</f>
        <v>p.persica_gdr_reftransV1_0007190</v>
      </c>
      <c r="B6419" s="2">
        <v>555</v>
      </c>
      <c r="C6419" s="4" t="str">
        <f>HYPERLINK("http://www.uniprot.org/uniprot/M5XEG7","M5XEG7")</f>
        <v>M5XEG7</v>
      </c>
      <c r="D6419" s="2" t="s">
        <v>5783</v>
      </c>
      <c r="E6419" s="3">
        <v>4.8200000000000003E-62</v>
      </c>
      <c r="F6419" s="2">
        <v>524</v>
      </c>
      <c r="G6419" s="2">
        <v>100</v>
      </c>
      <c r="H6419" s="2">
        <v>113</v>
      </c>
      <c r="I6419" s="2">
        <v>215</v>
      </c>
      <c r="J6419" s="2">
        <v>553</v>
      </c>
      <c r="K6419" s="2">
        <v>214</v>
      </c>
      <c r="L6419" s="2">
        <v>326</v>
      </c>
    </row>
    <row r="6420" spans="1:12" x14ac:dyDescent="0.25">
      <c r="A6420" s="4" t="str">
        <f>HYPERLINK("http://www.rosaceae.org/Prunus/Prunus_persica/p.persica_gdr_reftransV1_0007540","p.persica_gdr_reftransV1_0007540")</f>
        <v>p.persica_gdr_reftransV1_0007540</v>
      </c>
      <c r="B6420" s="2">
        <v>617</v>
      </c>
      <c r="C6420" s="4" t="str">
        <f>HYPERLINK("http://www.uniprot.org/uniprot/M5WWT4","M5WWT4")</f>
        <v>M5WWT4</v>
      </c>
      <c r="D6420" s="2" t="s">
        <v>3245</v>
      </c>
      <c r="E6420" s="3">
        <v>1.7100000000000001E-113</v>
      </c>
      <c r="F6420" s="2">
        <v>873</v>
      </c>
      <c r="G6420" s="2">
        <v>100</v>
      </c>
      <c r="H6420" s="2">
        <v>162</v>
      </c>
      <c r="I6420" s="2">
        <v>130</v>
      </c>
      <c r="J6420" s="2">
        <v>615</v>
      </c>
      <c r="K6420" s="2">
        <v>1</v>
      </c>
      <c r="L6420" s="2">
        <v>162</v>
      </c>
    </row>
    <row r="6421" spans="1:12" x14ac:dyDescent="0.25">
      <c r="A6421" s="4" t="str">
        <f>HYPERLINK("http://www.rosaceae.org/Prunus/Prunus_persica/p.persica_gdr_reftransV1_0007890","p.persica_gdr_reftransV1_0007890")</f>
        <v>p.persica_gdr_reftransV1_0007890</v>
      </c>
      <c r="B6421" s="2">
        <v>809</v>
      </c>
      <c r="C6421" s="4" t="str">
        <f>HYPERLINK("http://www.uniprot.org/uniprot/M5WNT7","M5WNT7")</f>
        <v>M5WNT7</v>
      </c>
      <c r="D6421" s="2" t="s">
        <v>5784</v>
      </c>
      <c r="E6421" s="3">
        <v>7.6300000000000002E-62</v>
      </c>
      <c r="F6421" s="2">
        <v>515</v>
      </c>
      <c r="G6421" s="2">
        <v>100</v>
      </c>
      <c r="H6421" s="2">
        <v>113</v>
      </c>
      <c r="I6421" s="2">
        <v>100</v>
      </c>
      <c r="J6421" s="2">
        <v>438</v>
      </c>
      <c r="K6421" s="2">
        <v>1</v>
      </c>
      <c r="L6421" s="2">
        <v>113</v>
      </c>
    </row>
    <row r="6422" spans="1:12" x14ac:dyDescent="0.25">
      <c r="A6422" s="4" t="str">
        <f>HYPERLINK("http://www.rosaceae.org/Prunus/Prunus_persica/p.persica_gdr_reftransV1_0008240","p.persica_gdr_reftransV1_0008240")</f>
        <v>p.persica_gdr_reftransV1_0008240</v>
      </c>
      <c r="B6422" s="2">
        <v>445</v>
      </c>
      <c r="C6422" s="4" t="str">
        <f>HYPERLINK("http://www.uniprot.org/uniprot/M5XH30","M5XH30")</f>
        <v>M5XH30</v>
      </c>
      <c r="D6422" s="2" t="s">
        <v>5785</v>
      </c>
      <c r="E6422" s="3">
        <v>8.8600000000000005E-99</v>
      </c>
      <c r="F6422" s="2">
        <v>800</v>
      </c>
      <c r="G6422" s="2">
        <v>100</v>
      </c>
      <c r="H6422" s="2">
        <v>147</v>
      </c>
      <c r="I6422" s="2">
        <v>3</v>
      </c>
      <c r="J6422" s="2">
        <v>443</v>
      </c>
      <c r="K6422" s="2">
        <v>299</v>
      </c>
      <c r="L6422" s="2">
        <v>445</v>
      </c>
    </row>
    <row r="6423" spans="1:12" x14ac:dyDescent="0.25">
      <c r="A6423" s="4" t="str">
        <f>HYPERLINK("http://www.rosaceae.org/Prunus/Prunus_persica/p.persica_gdr_reftransV1_0008940","p.persica_gdr_reftransV1_0008940")</f>
        <v>p.persica_gdr_reftransV1_0008940</v>
      </c>
      <c r="B6423" s="2">
        <v>3102</v>
      </c>
      <c r="C6423" s="4" t="str">
        <f>HYPERLINK("http://www.uniprot.org/uniprot/M5Y3S1","M5Y3S1")</f>
        <v>M5Y3S1</v>
      </c>
      <c r="D6423" s="2" t="s">
        <v>5786</v>
      </c>
      <c r="E6423" s="3">
        <v>0</v>
      </c>
      <c r="F6423" s="2">
        <v>1982</v>
      </c>
      <c r="G6423" s="2">
        <v>99</v>
      </c>
      <c r="H6423" s="2">
        <v>390</v>
      </c>
      <c r="I6423" s="2">
        <v>146</v>
      </c>
      <c r="J6423" s="2">
        <v>1315</v>
      </c>
      <c r="K6423" s="2">
        <v>364</v>
      </c>
      <c r="L6423" s="2">
        <v>753</v>
      </c>
    </row>
    <row r="6424" spans="1:12" x14ac:dyDescent="0.25">
      <c r="A6424" s="4" t="str">
        <f>HYPERLINK("http://www.rosaceae.org/Prunus/Prunus_persica/p.persica_gdr_reftransV1_0009640","p.persica_gdr_reftransV1_0009640")</f>
        <v>p.persica_gdr_reftransV1_0009640</v>
      </c>
      <c r="B6424" s="2">
        <v>1577</v>
      </c>
      <c r="C6424" s="4" t="str">
        <f>HYPERLINK("http://www.uniprot.org/uniprot/M5WB81","M5WB81")</f>
        <v>M5WB81</v>
      </c>
      <c r="D6424" s="2" t="s">
        <v>5787</v>
      </c>
      <c r="E6424" s="3">
        <v>0</v>
      </c>
      <c r="F6424" s="2">
        <v>1867</v>
      </c>
      <c r="G6424" s="2">
        <v>99</v>
      </c>
      <c r="H6424" s="2">
        <v>389</v>
      </c>
      <c r="I6424" s="2">
        <v>198</v>
      </c>
      <c r="J6424" s="2">
        <v>1364</v>
      </c>
      <c r="K6424" s="2">
        <v>1</v>
      </c>
      <c r="L6424" s="2">
        <v>389</v>
      </c>
    </row>
    <row r="6425" spans="1:12" x14ac:dyDescent="0.25">
      <c r="A6425" s="4" t="str">
        <f>HYPERLINK("http://www.rosaceae.org/Prunus/Prunus_persica/p.persica_gdr_reftransV1_0009990","p.persica_gdr_reftransV1_0009990")</f>
        <v>p.persica_gdr_reftransV1_0009990</v>
      </c>
      <c r="B6425" s="2">
        <v>4600</v>
      </c>
      <c r="C6425" s="4" t="str">
        <f>HYPERLINK("http://www.uniprot.org/uniprot/M5VWS9","M5VWS9")</f>
        <v>M5VWS9</v>
      </c>
      <c r="D6425" s="2" t="s">
        <v>5788</v>
      </c>
      <c r="E6425" s="3">
        <v>0</v>
      </c>
      <c r="F6425" s="2">
        <v>6163</v>
      </c>
      <c r="G6425" s="2">
        <v>100</v>
      </c>
      <c r="H6425" s="2">
        <v>1296</v>
      </c>
      <c r="I6425" s="2">
        <v>303</v>
      </c>
      <c r="J6425" s="2">
        <v>4190</v>
      </c>
      <c r="K6425" s="2">
        <v>1</v>
      </c>
      <c r="L6425" s="2">
        <v>1296</v>
      </c>
    </row>
    <row r="6426" spans="1:12" x14ac:dyDescent="0.25">
      <c r="A6426" s="4" t="str">
        <f>HYPERLINK("http://www.rosaceae.org/Prunus/Prunus_persica/p.persica_gdr_reftransV1_0010340","p.persica_gdr_reftransV1_0010340")</f>
        <v>p.persica_gdr_reftransV1_0010340</v>
      </c>
      <c r="B6426" s="2">
        <v>2760</v>
      </c>
      <c r="C6426" s="4" t="str">
        <f>HYPERLINK("http://www.uniprot.org/uniprot/M5XLF5","M5XLF5")</f>
        <v>M5XLF5</v>
      </c>
      <c r="D6426" s="2" t="s">
        <v>5789</v>
      </c>
      <c r="E6426" s="3">
        <v>0</v>
      </c>
      <c r="F6426" s="2">
        <v>2924</v>
      </c>
      <c r="G6426" s="2">
        <v>97</v>
      </c>
      <c r="H6426" s="2">
        <v>689</v>
      </c>
      <c r="I6426" s="2">
        <v>279</v>
      </c>
      <c r="J6426" s="2">
        <v>2345</v>
      </c>
      <c r="K6426" s="2">
        <v>1</v>
      </c>
      <c r="L6426" s="2">
        <v>668</v>
      </c>
    </row>
    <row r="6427" spans="1:12" x14ac:dyDescent="0.25">
      <c r="A6427" s="4" t="str">
        <f>HYPERLINK("http://www.rosaceae.org/Prunus/Prunus_persica/p.persica_gdr_reftransV1_0011040","p.persica_gdr_reftransV1_0011040")</f>
        <v>p.persica_gdr_reftransV1_0011040</v>
      </c>
      <c r="B6427" s="2">
        <v>304</v>
      </c>
      <c r="C6427" s="4" t="str">
        <f>HYPERLINK("http://www.uniprot.org/uniprot/M5XIA3","M5XIA3")</f>
        <v>M5XIA3</v>
      </c>
      <c r="D6427" s="2" t="s">
        <v>5790</v>
      </c>
      <c r="E6427" s="3">
        <v>7.86E-56</v>
      </c>
      <c r="F6427" s="2">
        <v>465</v>
      </c>
      <c r="G6427" s="2">
        <v>100</v>
      </c>
      <c r="H6427" s="2">
        <v>90</v>
      </c>
      <c r="I6427" s="2">
        <v>1</v>
      </c>
      <c r="J6427" s="2">
        <v>270</v>
      </c>
      <c r="K6427" s="2">
        <v>1</v>
      </c>
      <c r="L6427" s="2">
        <v>90</v>
      </c>
    </row>
    <row r="6428" spans="1:12" x14ac:dyDescent="0.25">
      <c r="A6428" s="4" t="str">
        <f>HYPERLINK("http://www.rosaceae.org/Prunus/Prunus_persica/p.persica_gdr_reftransV1_0011740","p.persica_gdr_reftransV1_0011740")</f>
        <v>p.persica_gdr_reftransV1_0011740</v>
      </c>
      <c r="B6428" s="2">
        <v>2244</v>
      </c>
      <c r="C6428" s="4" t="str">
        <f>HYPERLINK("http://www.uniprot.org/uniprot/M5X844","M5X844")</f>
        <v>M5X844</v>
      </c>
      <c r="D6428" s="2" t="s">
        <v>5791</v>
      </c>
      <c r="E6428" s="3">
        <v>0</v>
      </c>
      <c r="F6428" s="2">
        <v>1534</v>
      </c>
      <c r="G6428" s="2">
        <v>100</v>
      </c>
      <c r="H6428" s="2">
        <v>381</v>
      </c>
      <c r="I6428" s="2">
        <v>388</v>
      </c>
      <c r="J6428" s="2">
        <v>1530</v>
      </c>
      <c r="K6428" s="2">
        <v>1</v>
      </c>
      <c r="L6428" s="2">
        <v>381</v>
      </c>
    </row>
    <row r="6429" spans="1:12" x14ac:dyDescent="0.25">
      <c r="A6429" s="4" t="str">
        <f>HYPERLINK("http://www.rosaceae.org/Prunus/Prunus_persica/p.persica_gdr_reftransV1_0012090","p.persica_gdr_reftransV1_0012090")</f>
        <v>p.persica_gdr_reftransV1_0012090</v>
      </c>
      <c r="B6429" s="2">
        <v>1506</v>
      </c>
      <c r="C6429" s="4" t="str">
        <f>HYPERLINK("http://www.uniprot.org/uniprot/M5XIN8","M5XIN8")</f>
        <v>M5XIN8</v>
      </c>
      <c r="D6429" s="2" t="s">
        <v>5792</v>
      </c>
      <c r="E6429" s="3">
        <v>8.4999999999999993E-177</v>
      </c>
      <c r="F6429" s="2">
        <v>1390</v>
      </c>
      <c r="G6429" s="2">
        <v>64</v>
      </c>
      <c r="H6429" s="2">
        <v>494</v>
      </c>
      <c r="I6429" s="2">
        <v>3</v>
      </c>
      <c r="J6429" s="2">
        <v>1373</v>
      </c>
      <c r="K6429" s="2">
        <v>638</v>
      </c>
      <c r="L6429" s="2">
        <v>1070</v>
      </c>
    </row>
    <row r="6430" spans="1:12" x14ac:dyDescent="0.25">
      <c r="A6430" s="4" t="str">
        <f>HYPERLINK("http://www.rosaceae.org/Prunus/Prunus_persica/p.persica_gdr_reftransV1_0013840","p.persica_gdr_reftransV1_0013840")</f>
        <v>p.persica_gdr_reftransV1_0013840</v>
      </c>
      <c r="B6430" s="2">
        <v>2514</v>
      </c>
      <c r="C6430" s="4" t="str">
        <f>HYPERLINK("http://www.uniprot.org/uniprot/M5WMV8","M5WMV8")</f>
        <v>M5WMV8</v>
      </c>
      <c r="D6430" s="2" t="s">
        <v>5793</v>
      </c>
      <c r="E6430" s="3">
        <v>3.96E-147</v>
      </c>
      <c r="F6430" s="2">
        <v>701</v>
      </c>
      <c r="G6430" s="2">
        <v>100</v>
      </c>
      <c r="H6430" s="2">
        <v>148</v>
      </c>
      <c r="I6430" s="2">
        <v>1829</v>
      </c>
      <c r="J6430" s="2">
        <v>2272</v>
      </c>
      <c r="K6430" s="2">
        <v>357</v>
      </c>
      <c r="L6430" s="2">
        <v>504</v>
      </c>
    </row>
    <row r="6431" spans="1:12" x14ac:dyDescent="0.25">
      <c r="A6431" s="4" t="str">
        <f>HYPERLINK("http://www.rosaceae.org/Prunus/Prunus_persica/p.persica_gdr_reftransV1_0014540","p.persica_gdr_reftransV1_0014540")</f>
        <v>p.persica_gdr_reftransV1_0014540</v>
      </c>
      <c r="B6431" s="2">
        <v>1800</v>
      </c>
      <c r="C6431" s="4" t="str">
        <f>HYPERLINK("http://www.uniprot.org/uniprot/M5WIH3","M5WIH3")</f>
        <v>M5WIH3</v>
      </c>
      <c r="D6431" s="2" t="s">
        <v>5794</v>
      </c>
      <c r="E6431" s="3">
        <v>2.05E-84</v>
      </c>
      <c r="F6431" s="2">
        <v>705</v>
      </c>
      <c r="G6431" s="2">
        <v>100</v>
      </c>
      <c r="H6431" s="2">
        <v>175</v>
      </c>
      <c r="I6431" s="2">
        <v>1137</v>
      </c>
      <c r="J6431" s="2">
        <v>1661</v>
      </c>
      <c r="K6431" s="2">
        <v>1</v>
      </c>
      <c r="L6431" s="2">
        <v>175</v>
      </c>
    </row>
    <row r="6432" spans="1:12" x14ac:dyDescent="0.25">
      <c r="A6432" s="4" t="str">
        <f>HYPERLINK("http://www.rosaceae.org/Prunus/Prunus_persica/p.persica_gdr_reftransV1_0015240","p.persica_gdr_reftransV1_0015240")</f>
        <v>p.persica_gdr_reftransV1_0015240</v>
      </c>
      <c r="B6432" s="2">
        <v>1486</v>
      </c>
      <c r="C6432" s="4" t="str">
        <f>HYPERLINK("http://www.uniprot.org/uniprot/M5W2K1","M5W2K1")</f>
        <v>M5W2K1</v>
      </c>
      <c r="D6432" s="2" t="s">
        <v>5795</v>
      </c>
      <c r="E6432" s="3">
        <v>0</v>
      </c>
      <c r="F6432" s="2">
        <v>1588</v>
      </c>
      <c r="G6432" s="2">
        <v>100</v>
      </c>
      <c r="H6432" s="2">
        <v>307</v>
      </c>
      <c r="I6432" s="2">
        <v>111</v>
      </c>
      <c r="J6432" s="2">
        <v>1031</v>
      </c>
      <c r="K6432" s="2">
        <v>9</v>
      </c>
      <c r="L6432" s="2">
        <v>315</v>
      </c>
    </row>
    <row r="6433" spans="1:12" x14ac:dyDescent="0.25">
      <c r="A6433" s="4" t="str">
        <f>HYPERLINK("http://www.rosaceae.org/Prunus/Prunus_persica/p.persica_gdr_reftransV1_0016290","p.persica_gdr_reftransV1_0016290")</f>
        <v>p.persica_gdr_reftransV1_0016290</v>
      </c>
      <c r="B6433" s="2">
        <v>2240</v>
      </c>
      <c r="C6433" s="4" t="str">
        <f>HYPERLINK("http://www.uniprot.org/uniprot/D7SNG1","D7SNG1")</f>
        <v>D7SNG1</v>
      </c>
      <c r="D6433" s="2" t="s">
        <v>5796</v>
      </c>
      <c r="E6433" s="3">
        <v>5.33E-142</v>
      </c>
      <c r="F6433" s="2">
        <v>1120</v>
      </c>
      <c r="G6433" s="2">
        <v>85</v>
      </c>
      <c r="H6433" s="2">
        <v>255</v>
      </c>
      <c r="I6433" s="2">
        <v>1138</v>
      </c>
      <c r="J6433" s="2">
        <v>1902</v>
      </c>
      <c r="K6433" s="2">
        <v>168</v>
      </c>
      <c r="L6433" s="2">
        <v>422</v>
      </c>
    </row>
    <row r="6434" spans="1:12" x14ac:dyDescent="0.25">
      <c r="A6434" s="4" t="str">
        <f>HYPERLINK("http://www.rosaceae.org/Prunus/Prunus_persica/p.persica_gdr_reftransV1_0016990","p.persica_gdr_reftransV1_0016990")</f>
        <v>p.persica_gdr_reftransV1_0016990</v>
      </c>
      <c r="B6434" s="2">
        <v>979</v>
      </c>
      <c r="C6434" s="4" t="str">
        <f>HYPERLINK("http://www.uniprot.org/uniprot/M5XL21","M5XL21")</f>
        <v>M5XL21</v>
      </c>
      <c r="D6434" s="2" t="s">
        <v>5797</v>
      </c>
      <c r="E6434" s="3">
        <v>1.7499999999999999E-107</v>
      </c>
      <c r="F6434" s="2">
        <v>825</v>
      </c>
      <c r="G6434" s="2">
        <v>100</v>
      </c>
      <c r="H6434" s="2">
        <v>156</v>
      </c>
      <c r="I6434" s="2">
        <v>299</v>
      </c>
      <c r="J6434" s="2">
        <v>766</v>
      </c>
      <c r="K6434" s="2">
        <v>1</v>
      </c>
      <c r="L6434" s="2">
        <v>156</v>
      </c>
    </row>
    <row r="6435" spans="1:12" x14ac:dyDescent="0.25">
      <c r="A6435" s="4" t="str">
        <f>HYPERLINK("http://www.rosaceae.org/Prunus/Prunus_persica/p.persica_gdr_reftransV1_0017690","p.persica_gdr_reftransV1_0017690")</f>
        <v>p.persica_gdr_reftransV1_0017690</v>
      </c>
      <c r="B6435" s="2">
        <v>1324</v>
      </c>
      <c r="C6435" s="4" t="str">
        <f>HYPERLINK("http://www.uniprot.org/uniprot/W9RZ95","W9RZ95")</f>
        <v>W9RZ95</v>
      </c>
      <c r="D6435" s="2" t="s">
        <v>5798</v>
      </c>
      <c r="E6435" s="3">
        <v>0</v>
      </c>
      <c r="F6435" s="2">
        <v>1375</v>
      </c>
      <c r="G6435" s="2">
        <v>77</v>
      </c>
      <c r="H6435" s="2">
        <v>387</v>
      </c>
      <c r="I6435" s="2">
        <v>2</v>
      </c>
      <c r="J6435" s="2">
        <v>1156</v>
      </c>
      <c r="K6435" s="2">
        <v>52</v>
      </c>
      <c r="L6435" s="2">
        <v>418</v>
      </c>
    </row>
    <row r="6436" spans="1:12" x14ac:dyDescent="0.25">
      <c r="A6436" s="4" t="str">
        <f>HYPERLINK("http://www.rosaceae.org/Prunus/Prunus_persica/p.persica_gdr_reftransV1_0018040","p.persica_gdr_reftransV1_0018040")</f>
        <v>p.persica_gdr_reftransV1_0018040</v>
      </c>
      <c r="B6436" s="2">
        <v>2615</v>
      </c>
      <c r="C6436" s="4" t="str">
        <f>HYPERLINK("http://www.uniprot.org/uniprot/M5W4A2","M5W4A2")</f>
        <v>M5W4A2</v>
      </c>
      <c r="D6436" s="2" t="s">
        <v>5799</v>
      </c>
      <c r="E6436" s="3">
        <v>0</v>
      </c>
      <c r="F6436" s="2">
        <v>2671</v>
      </c>
      <c r="G6436" s="2">
        <v>100</v>
      </c>
      <c r="H6436" s="2">
        <v>515</v>
      </c>
      <c r="I6436" s="2">
        <v>458</v>
      </c>
      <c r="J6436" s="2">
        <v>2002</v>
      </c>
      <c r="K6436" s="2">
        <v>1</v>
      </c>
      <c r="L6436" s="2">
        <v>515</v>
      </c>
    </row>
    <row r="6437" spans="1:12" x14ac:dyDescent="0.25">
      <c r="A6437" s="4" t="str">
        <f>HYPERLINK("http://www.rosaceae.org/Prunus/Prunus_persica/p.persica_gdr_reftransV1_0019090","p.persica_gdr_reftransV1_0019090")</f>
        <v>p.persica_gdr_reftransV1_0019090</v>
      </c>
      <c r="B6437" s="2">
        <v>1072</v>
      </c>
      <c r="C6437" s="4" t="str">
        <f>HYPERLINK("http://www.uniprot.org/uniprot/M5WU23","M5WU23")</f>
        <v>M5WU23</v>
      </c>
      <c r="D6437" s="2" t="s">
        <v>5800</v>
      </c>
      <c r="E6437" s="3">
        <v>9.4199999999999995E-142</v>
      </c>
      <c r="F6437" s="2">
        <v>1059</v>
      </c>
      <c r="G6437" s="2">
        <v>99</v>
      </c>
      <c r="H6437" s="2">
        <v>199</v>
      </c>
      <c r="I6437" s="2">
        <v>370</v>
      </c>
      <c r="J6437" s="2">
        <v>966</v>
      </c>
      <c r="K6437" s="2">
        <v>1</v>
      </c>
      <c r="L6437" s="2">
        <v>199</v>
      </c>
    </row>
    <row r="6438" spans="1:12" x14ac:dyDescent="0.25">
      <c r="A6438" s="4" t="str">
        <f>HYPERLINK("http://www.rosaceae.org/Prunus/Prunus_persica/p.persica_gdr_reftransV1_0019440","p.persica_gdr_reftransV1_0019440")</f>
        <v>p.persica_gdr_reftransV1_0019440</v>
      </c>
      <c r="B6438" s="2">
        <v>3655</v>
      </c>
      <c r="C6438" s="4" t="str">
        <f>HYPERLINK("http://www.uniprot.org/uniprot/M5WXS2","M5WXS2")</f>
        <v>M5WXS2</v>
      </c>
      <c r="D6438" s="2" t="s">
        <v>5801</v>
      </c>
      <c r="E6438" s="3">
        <v>0</v>
      </c>
      <c r="F6438" s="2">
        <v>6158</v>
      </c>
      <c r="G6438" s="2">
        <v>98</v>
      </c>
      <c r="H6438" s="2">
        <v>1194</v>
      </c>
      <c r="I6438" s="2">
        <v>73</v>
      </c>
      <c r="J6438" s="2">
        <v>3654</v>
      </c>
      <c r="K6438" s="2">
        <v>1</v>
      </c>
      <c r="L6438" s="2">
        <v>1176</v>
      </c>
    </row>
    <row r="6439" spans="1:12" x14ac:dyDescent="0.25">
      <c r="A6439" s="4" t="str">
        <f>HYPERLINK("http://www.rosaceae.org/Prunus/Prunus_persica/p.persica_gdr_reftransV1_0019790","p.persica_gdr_reftransV1_0019790")</f>
        <v>p.persica_gdr_reftransV1_0019790</v>
      </c>
      <c r="B6439" s="2">
        <v>2804</v>
      </c>
      <c r="C6439" s="4" t="str">
        <f>HYPERLINK("http://www.uniprot.org/uniprot/M5WZQ9","M5WZQ9")</f>
        <v>M5WZQ9</v>
      </c>
      <c r="D6439" s="2" t="s">
        <v>3813</v>
      </c>
      <c r="E6439" s="3">
        <v>0</v>
      </c>
      <c r="F6439" s="2">
        <v>2476</v>
      </c>
      <c r="G6439" s="2">
        <v>100</v>
      </c>
      <c r="H6439" s="2">
        <v>474</v>
      </c>
      <c r="I6439" s="2">
        <v>79</v>
      </c>
      <c r="J6439" s="2">
        <v>1500</v>
      </c>
      <c r="K6439" s="2">
        <v>1</v>
      </c>
      <c r="L6439" s="2">
        <v>474</v>
      </c>
    </row>
    <row r="6440" spans="1:12" x14ac:dyDescent="0.25">
      <c r="A6440" s="4" t="str">
        <f>HYPERLINK("http://www.rosaceae.org/Prunus/Prunus_persica/p.persica_gdr_reftransV1_0020490","p.persica_gdr_reftransV1_0020490")</f>
        <v>p.persica_gdr_reftransV1_0020490</v>
      </c>
      <c r="B6440" s="2">
        <v>3452</v>
      </c>
      <c r="C6440" s="4" t="str">
        <f>HYPERLINK("http://www.uniprot.org/uniprot/M5XAN1","M5XAN1")</f>
        <v>M5XAN1</v>
      </c>
      <c r="D6440" s="2" t="s">
        <v>1594</v>
      </c>
      <c r="E6440" s="3">
        <v>0</v>
      </c>
      <c r="F6440" s="2">
        <v>4678</v>
      </c>
      <c r="G6440" s="2">
        <v>100</v>
      </c>
      <c r="H6440" s="2">
        <v>903</v>
      </c>
      <c r="I6440" s="2">
        <v>742</v>
      </c>
      <c r="J6440" s="2">
        <v>3450</v>
      </c>
      <c r="K6440" s="2">
        <v>165</v>
      </c>
      <c r="L6440" s="2">
        <v>1067</v>
      </c>
    </row>
    <row r="6441" spans="1:12" x14ac:dyDescent="0.25">
      <c r="A6441" s="4" t="str">
        <f>HYPERLINK("http://www.rosaceae.org/Prunus/Prunus_persica/p.persica_gdr_reftransV1_0022590","p.persica_gdr_reftransV1_0022590")</f>
        <v>p.persica_gdr_reftransV1_0022590</v>
      </c>
      <c r="B6441" s="2">
        <v>2767</v>
      </c>
      <c r="C6441" s="4" t="str">
        <f>HYPERLINK("http://www.uniprot.org/uniprot/M5W4S4","M5W4S4")</f>
        <v>M5W4S4</v>
      </c>
      <c r="D6441" s="2" t="s">
        <v>5802</v>
      </c>
      <c r="E6441" s="3">
        <v>0</v>
      </c>
      <c r="F6441" s="2">
        <v>1538</v>
      </c>
      <c r="G6441" s="2">
        <v>90</v>
      </c>
      <c r="H6441" s="2">
        <v>357</v>
      </c>
      <c r="I6441" s="2">
        <v>1427</v>
      </c>
      <c r="J6441" s="2">
        <v>2497</v>
      </c>
      <c r="K6441" s="2">
        <v>1</v>
      </c>
      <c r="L6441" s="2">
        <v>357</v>
      </c>
    </row>
    <row r="6442" spans="1:12" x14ac:dyDescent="0.25">
      <c r="A6442" s="4" t="str">
        <f>HYPERLINK("http://www.rosaceae.org/Prunus/Prunus_persica/p.persica_gdr_reftransV1_0023290","p.persica_gdr_reftransV1_0023290")</f>
        <v>p.persica_gdr_reftransV1_0023290</v>
      </c>
      <c r="B6442" s="2">
        <v>982</v>
      </c>
      <c r="C6442" s="4" t="str">
        <f>HYPERLINK("http://www.uniprot.org/uniprot/M5WLW2","M5WLW2")</f>
        <v>M5WLW2</v>
      </c>
      <c r="D6442" s="2" t="s">
        <v>5803</v>
      </c>
      <c r="E6442" s="3">
        <v>3.2099999999999999E-78</v>
      </c>
      <c r="F6442" s="2">
        <v>657</v>
      </c>
      <c r="G6442" s="2">
        <v>47</v>
      </c>
      <c r="H6442" s="2">
        <v>331</v>
      </c>
      <c r="I6442" s="2">
        <v>2</v>
      </c>
      <c r="J6442" s="2">
        <v>982</v>
      </c>
      <c r="K6442" s="2">
        <v>202</v>
      </c>
      <c r="L6442" s="2">
        <v>435</v>
      </c>
    </row>
    <row r="6443" spans="1:12" x14ac:dyDescent="0.25">
      <c r="A6443" s="4" t="str">
        <f>HYPERLINK("http://www.rosaceae.org/Prunus/Prunus_persica/p.persica_gdr_reftransV1_0023990","p.persica_gdr_reftransV1_0023990")</f>
        <v>p.persica_gdr_reftransV1_0023990</v>
      </c>
      <c r="B6443" s="2">
        <v>1415</v>
      </c>
      <c r="C6443" s="4" t="str">
        <f>HYPERLINK("http://www.uniprot.org/uniprot/M5VQK5","M5VQK5")</f>
        <v>M5VQK5</v>
      </c>
      <c r="D6443" s="2" t="s">
        <v>5804</v>
      </c>
      <c r="E6443" s="3">
        <v>1.2500000000000001E-167</v>
      </c>
      <c r="F6443" s="2">
        <v>980</v>
      </c>
      <c r="G6443" s="2">
        <v>96</v>
      </c>
      <c r="H6443" s="2">
        <v>193</v>
      </c>
      <c r="I6443" s="2">
        <v>172</v>
      </c>
      <c r="J6443" s="2">
        <v>750</v>
      </c>
      <c r="K6443" s="2">
        <v>1</v>
      </c>
      <c r="L6443" s="2">
        <v>185</v>
      </c>
    </row>
    <row r="6444" spans="1:12" x14ac:dyDescent="0.25">
      <c r="A6444" s="4" t="str">
        <f>HYPERLINK("http://www.rosaceae.org/Prunus/Prunus_persica/p.persica_gdr_reftransV1_0026790","p.persica_gdr_reftransV1_0026790")</f>
        <v>p.persica_gdr_reftransV1_0026790</v>
      </c>
      <c r="B6444" s="2">
        <v>1865</v>
      </c>
      <c r="C6444" s="4" t="str">
        <f>HYPERLINK("http://www.uniprot.org/uniprot/M5WMS9","M5WMS9")</f>
        <v>M5WMS9</v>
      </c>
      <c r="D6444" s="2" t="s">
        <v>5805</v>
      </c>
      <c r="E6444" s="3">
        <v>5.7999999999999998E-112</v>
      </c>
      <c r="F6444" s="2">
        <v>897</v>
      </c>
      <c r="G6444" s="2">
        <v>95</v>
      </c>
      <c r="H6444" s="2">
        <v>210</v>
      </c>
      <c r="I6444" s="2">
        <v>26</v>
      </c>
      <c r="J6444" s="2">
        <v>643</v>
      </c>
      <c r="K6444" s="2">
        <v>1</v>
      </c>
      <c r="L6444" s="2">
        <v>210</v>
      </c>
    </row>
    <row r="6445" spans="1:12" x14ac:dyDescent="0.25">
      <c r="A6445" s="4" t="str">
        <f>HYPERLINK("http://www.rosaceae.org/Prunus/Prunus_persica/p.persica_gdr_reftransV1_0027490","p.persica_gdr_reftransV1_0027490")</f>
        <v>p.persica_gdr_reftransV1_0027490</v>
      </c>
      <c r="B6445" s="2">
        <v>2609</v>
      </c>
      <c r="C6445" s="4" t="str">
        <f>HYPERLINK("http://www.uniprot.org/uniprot/M5XGL9","M5XGL9")</f>
        <v>M5XGL9</v>
      </c>
      <c r="D6445" s="2" t="s">
        <v>5806</v>
      </c>
      <c r="E6445" s="3">
        <v>0</v>
      </c>
      <c r="F6445" s="2">
        <v>3468</v>
      </c>
      <c r="G6445" s="2">
        <v>97</v>
      </c>
      <c r="H6445" s="2">
        <v>719</v>
      </c>
      <c r="I6445" s="2">
        <v>287</v>
      </c>
      <c r="J6445" s="2">
        <v>2443</v>
      </c>
      <c r="K6445" s="2">
        <v>1</v>
      </c>
      <c r="L6445" s="2">
        <v>698</v>
      </c>
    </row>
    <row r="6446" spans="1:12" x14ac:dyDescent="0.25">
      <c r="A6446" s="4" t="str">
        <f>HYPERLINK("http://www.rosaceae.org/Prunus/Prunus_persica/p.persica_gdr_reftransV1_0027840","p.persica_gdr_reftransV1_0027840")</f>
        <v>p.persica_gdr_reftransV1_0027840</v>
      </c>
      <c r="B6446" s="2">
        <v>2291</v>
      </c>
      <c r="C6446" s="4" t="str">
        <f>HYPERLINK("http://www.uniprot.org/uniprot/M5WYZ1","M5WYZ1")</f>
        <v>M5WYZ1</v>
      </c>
      <c r="D6446" s="2" t="s">
        <v>5807</v>
      </c>
      <c r="E6446" s="3">
        <v>0</v>
      </c>
      <c r="F6446" s="2">
        <v>1891</v>
      </c>
      <c r="G6446" s="2">
        <v>89</v>
      </c>
      <c r="H6446" s="2">
        <v>412</v>
      </c>
      <c r="I6446" s="2">
        <v>972</v>
      </c>
      <c r="J6446" s="2">
        <v>2204</v>
      </c>
      <c r="K6446" s="2">
        <v>1</v>
      </c>
      <c r="L6446" s="2">
        <v>403</v>
      </c>
    </row>
    <row r="6447" spans="1:12" x14ac:dyDescent="0.25">
      <c r="A6447" s="4" t="str">
        <f>HYPERLINK("http://www.rosaceae.org/Prunus/Prunus_persica/p.persica_gdr_reftransV1_0030990","p.persica_gdr_reftransV1_0030990")</f>
        <v>p.persica_gdr_reftransV1_0030990</v>
      </c>
      <c r="B6447" s="2">
        <v>3061</v>
      </c>
      <c r="C6447" s="4" t="str">
        <f>HYPERLINK("http://www.uniprot.org/uniprot/M5WRZ6","M5WRZ6")</f>
        <v>M5WRZ6</v>
      </c>
      <c r="D6447" s="2" t="s">
        <v>5808</v>
      </c>
      <c r="E6447" s="3">
        <v>0</v>
      </c>
      <c r="F6447" s="2">
        <v>3307</v>
      </c>
      <c r="G6447" s="2">
        <v>95</v>
      </c>
      <c r="H6447" s="2">
        <v>796</v>
      </c>
      <c r="I6447" s="2">
        <v>312</v>
      </c>
      <c r="J6447" s="2">
        <v>2699</v>
      </c>
      <c r="K6447" s="2">
        <v>1</v>
      </c>
      <c r="L6447" s="2">
        <v>756</v>
      </c>
    </row>
    <row r="6448" spans="1:12" x14ac:dyDescent="0.25">
      <c r="A6448" s="4" t="str">
        <f>HYPERLINK("http://www.rosaceae.org/Prunus/Prunus_persica/p.persica_gdr_reftransV1_0032740","p.persica_gdr_reftransV1_0032740")</f>
        <v>p.persica_gdr_reftransV1_0032740</v>
      </c>
      <c r="B6448" s="2">
        <v>1944</v>
      </c>
      <c r="C6448" s="4" t="str">
        <f>HYPERLINK("http://www.uniprot.org/uniprot/M5XY78","M5XY78")</f>
        <v>M5XY78</v>
      </c>
      <c r="D6448" s="2" t="s">
        <v>5809</v>
      </c>
      <c r="E6448" s="3">
        <v>2.1900000000000001E-124</v>
      </c>
      <c r="F6448" s="2">
        <v>991</v>
      </c>
      <c r="G6448" s="2">
        <v>100</v>
      </c>
      <c r="H6448" s="2">
        <v>209</v>
      </c>
      <c r="I6448" s="2">
        <v>151</v>
      </c>
      <c r="J6448" s="2">
        <v>777</v>
      </c>
      <c r="K6448" s="2">
        <v>1</v>
      </c>
      <c r="L6448" s="2">
        <v>209</v>
      </c>
    </row>
    <row r="6449" spans="1:12" x14ac:dyDescent="0.25">
      <c r="A6449" s="4" t="str">
        <f>HYPERLINK("http://www.rosaceae.org/Prunus/Prunus_persica/p.persica_gdr_reftransV1_0033090","p.persica_gdr_reftransV1_0033090")</f>
        <v>p.persica_gdr_reftransV1_0033090</v>
      </c>
      <c r="B6449" s="2">
        <v>2204</v>
      </c>
      <c r="C6449" s="4" t="str">
        <f>HYPERLINK("http://www.uniprot.org/uniprot/M5XJF0","M5XJF0")</f>
        <v>M5XJF0</v>
      </c>
      <c r="D6449" s="2" t="s">
        <v>5810</v>
      </c>
      <c r="E6449" s="3">
        <v>0</v>
      </c>
      <c r="F6449" s="2">
        <v>1910</v>
      </c>
      <c r="G6449" s="2">
        <v>93</v>
      </c>
      <c r="H6449" s="2">
        <v>422</v>
      </c>
      <c r="I6449" s="2">
        <v>822</v>
      </c>
      <c r="J6449" s="2">
        <v>2087</v>
      </c>
      <c r="K6449" s="2">
        <v>78</v>
      </c>
      <c r="L6449" s="2">
        <v>471</v>
      </c>
    </row>
    <row r="6450" spans="1:12" x14ac:dyDescent="0.25">
      <c r="A6450" s="4" t="str">
        <f>HYPERLINK("http://www.rosaceae.org/Prunus/Prunus_persica/p.persica_gdr_reftransV1_0034840","p.persica_gdr_reftransV1_0034840")</f>
        <v>p.persica_gdr_reftransV1_0034840</v>
      </c>
      <c r="B6450" s="2">
        <v>3144</v>
      </c>
      <c r="C6450" s="4" t="str">
        <f>HYPERLINK("http://www.uniprot.org/uniprot/M5XMA5","M5XMA5")</f>
        <v>M5XMA5</v>
      </c>
      <c r="D6450" s="2" t="s">
        <v>5811</v>
      </c>
      <c r="E6450" s="3">
        <v>0</v>
      </c>
      <c r="F6450" s="2">
        <v>1998</v>
      </c>
      <c r="G6450" s="2">
        <v>100</v>
      </c>
      <c r="H6450" s="2">
        <v>388</v>
      </c>
      <c r="I6450" s="2">
        <v>1442</v>
      </c>
      <c r="J6450" s="2">
        <v>2605</v>
      </c>
      <c r="K6450" s="2">
        <v>1</v>
      </c>
      <c r="L6450" s="2">
        <v>388</v>
      </c>
    </row>
    <row r="6451" spans="1:12" x14ac:dyDescent="0.25">
      <c r="A6451" s="4" t="str">
        <f>HYPERLINK("http://www.rosaceae.org/Prunus/Prunus_persica/p.persica_gdr_reftransV1_0038690","p.persica_gdr_reftransV1_0038690")</f>
        <v>p.persica_gdr_reftransV1_0038690</v>
      </c>
      <c r="B6451" s="2">
        <v>2995</v>
      </c>
      <c r="C6451" s="4" t="str">
        <f>HYPERLINK("http://www.uniprot.org/uniprot/M5XS71","M5XS71")</f>
        <v>M5XS71</v>
      </c>
      <c r="D6451" s="2" t="s">
        <v>5812</v>
      </c>
      <c r="E6451" s="3">
        <v>0</v>
      </c>
      <c r="F6451" s="2">
        <v>1753</v>
      </c>
      <c r="G6451" s="2">
        <v>93</v>
      </c>
      <c r="H6451" s="2">
        <v>367</v>
      </c>
      <c r="I6451" s="2">
        <v>258</v>
      </c>
      <c r="J6451" s="2">
        <v>1358</v>
      </c>
      <c r="K6451" s="2">
        <v>6</v>
      </c>
      <c r="L6451" s="2">
        <v>349</v>
      </c>
    </row>
    <row r="6452" spans="1:12" x14ac:dyDescent="0.25">
      <c r="A6452" s="4" t="str">
        <f>HYPERLINK("http://www.rosaceae.org/Prunus/Prunus_persica/p.persica_gdr_reftransV1_0039740","p.persica_gdr_reftransV1_0039740")</f>
        <v>p.persica_gdr_reftransV1_0039740</v>
      </c>
      <c r="B6452" s="2">
        <v>4973</v>
      </c>
      <c r="C6452" s="4" t="str">
        <f>HYPERLINK("http://www.uniprot.org/uniprot/M5XU34","M5XU34")</f>
        <v>M5XU34</v>
      </c>
      <c r="D6452" s="2" t="s">
        <v>2129</v>
      </c>
      <c r="E6452" s="3">
        <v>0</v>
      </c>
      <c r="F6452" s="2">
        <v>4553</v>
      </c>
      <c r="G6452" s="2">
        <v>100</v>
      </c>
      <c r="H6452" s="2">
        <v>886</v>
      </c>
      <c r="I6452" s="2">
        <v>196</v>
      </c>
      <c r="J6452" s="2">
        <v>2853</v>
      </c>
      <c r="K6452" s="2">
        <v>1</v>
      </c>
      <c r="L6452" s="2">
        <v>886</v>
      </c>
    </row>
    <row r="6453" spans="1:12" x14ac:dyDescent="0.25">
      <c r="A6453" s="4" t="str">
        <f>HYPERLINK("http://www.rosaceae.org/Prunus/Prunus_persica/p.persica_gdr_reftransV1_0042890","p.persica_gdr_reftransV1_0042890")</f>
        <v>p.persica_gdr_reftransV1_0042890</v>
      </c>
      <c r="B6453" s="2">
        <v>2422</v>
      </c>
      <c r="C6453" s="4" t="str">
        <f>HYPERLINK("http://www.uniprot.org/uniprot/M5XGN1","M5XGN1")</f>
        <v>M5XGN1</v>
      </c>
      <c r="D6453" s="2" t="s">
        <v>5813</v>
      </c>
      <c r="E6453" s="3">
        <v>3.6499999999999999E-79</v>
      </c>
      <c r="F6453" s="2">
        <v>679</v>
      </c>
      <c r="G6453" s="2">
        <v>99</v>
      </c>
      <c r="H6453" s="2">
        <v>161</v>
      </c>
      <c r="I6453" s="2">
        <v>364</v>
      </c>
      <c r="J6453" s="2">
        <v>846</v>
      </c>
      <c r="K6453" s="2">
        <v>3</v>
      </c>
      <c r="L6453" s="2">
        <v>163</v>
      </c>
    </row>
    <row r="6454" spans="1:12" x14ac:dyDescent="0.25">
      <c r="A6454" s="4" t="str">
        <f>HYPERLINK("http://www.rosaceae.org/Prunus/Prunus_persica/p.persica_gdr_reftransV1_0043240","p.persica_gdr_reftransV1_0043240")</f>
        <v>p.persica_gdr_reftransV1_0043240</v>
      </c>
      <c r="B6454" s="2">
        <v>416</v>
      </c>
      <c r="C6454" s="4" t="str">
        <f>HYPERLINK("http://www.uniprot.org/uniprot/M5XHH6","M5XHH6")</f>
        <v>M5XHH6</v>
      </c>
      <c r="D6454" s="2" t="s">
        <v>5814</v>
      </c>
      <c r="E6454" s="3">
        <v>9.8399999999999998E-92</v>
      </c>
      <c r="F6454" s="2">
        <v>744</v>
      </c>
      <c r="G6454" s="2">
        <v>100</v>
      </c>
      <c r="H6454" s="2">
        <v>138</v>
      </c>
      <c r="I6454" s="2">
        <v>2</v>
      </c>
      <c r="J6454" s="2">
        <v>415</v>
      </c>
      <c r="K6454" s="2">
        <v>146</v>
      </c>
      <c r="L6454" s="2">
        <v>283</v>
      </c>
    </row>
    <row r="6455" spans="1:12" x14ac:dyDescent="0.25">
      <c r="A6455" s="4" t="str">
        <f>HYPERLINK("http://www.rosaceae.org/Prunus/Prunus_persica/p.persica_gdr_reftransV1_0043590","p.persica_gdr_reftransV1_0043590")</f>
        <v>p.persica_gdr_reftransV1_0043590</v>
      </c>
      <c r="B6455" s="2">
        <v>1440</v>
      </c>
      <c r="C6455" s="4" t="str">
        <f>HYPERLINK("http://www.uniprot.org/uniprot/M5X4W5","M5X4W5")</f>
        <v>M5X4W5</v>
      </c>
      <c r="D6455" s="2" t="s">
        <v>5815</v>
      </c>
      <c r="E6455" s="3">
        <v>0</v>
      </c>
      <c r="F6455" s="2">
        <v>2250</v>
      </c>
      <c r="G6455" s="2">
        <v>100</v>
      </c>
      <c r="H6455" s="2">
        <v>435</v>
      </c>
      <c r="I6455" s="2">
        <v>134</v>
      </c>
      <c r="J6455" s="2">
        <v>1438</v>
      </c>
      <c r="K6455" s="2">
        <v>1</v>
      </c>
      <c r="L6455" s="2">
        <v>435</v>
      </c>
    </row>
    <row r="6456" spans="1:12" x14ac:dyDescent="0.25">
      <c r="A6456" s="4" t="str">
        <f>HYPERLINK("http://www.rosaceae.org/Prunus/Prunus_persica/p.persica_gdr_reftransV1_0044290","p.persica_gdr_reftransV1_0044290")</f>
        <v>p.persica_gdr_reftransV1_0044290</v>
      </c>
      <c r="B6456" s="2">
        <v>4455</v>
      </c>
      <c r="C6456" s="4" t="str">
        <f>HYPERLINK("http://www.uniprot.org/uniprot/M5X031","M5X031")</f>
        <v>M5X031</v>
      </c>
      <c r="D6456" s="2" t="s">
        <v>5816</v>
      </c>
      <c r="E6456" s="3">
        <v>0</v>
      </c>
      <c r="F6456" s="2">
        <v>4915</v>
      </c>
      <c r="G6456" s="2">
        <v>96</v>
      </c>
      <c r="H6456" s="2">
        <v>1285</v>
      </c>
      <c r="I6456" s="2">
        <v>39</v>
      </c>
      <c r="J6456" s="2">
        <v>3890</v>
      </c>
      <c r="K6456" s="2">
        <v>14</v>
      </c>
      <c r="L6456" s="2">
        <v>1291</v>
      </c>
    </row>
    <row r="6457" spans="1:12" x14ac:dyDescent="0.25">
      <c r="A6457" s="4" t="str">
        <f>HYPERLINK("http://www.rosaceae.org/Prunus/Prunus_persica/p.persica_gdr_reftransV1_0044640","p.persica_gdr_reftransV1_0044640")</f>
        <v>p.persica_gdr_reftransV1_0044640</v>
      </c>
      <c r="B6457" s="2">
        <v>2901</v>
      </c>
      <c r="C6457" s="4" t="str">
        <f>HYPERLINK("http://www.uniprot.org/uniprot/M5XTD2","M5XTD2")</f>
        <v>M5XTD2</v>
      </c>
      <c r="D6457" s="2" t="s">
        <v>5315</v>
      </c>
      <c r="E6457" s="3">
        <v>0</v>
      </c>
      <c r="F6457" s="2">
        <v>2017</v>
      </c>
      <c r="G6457" s="2">
        <v>100</v>
      </c>
      <c r="H6457" s="2">
        <v>419</v>
      </c>
      <c r="I6457" s="2">
        <v>1272</v>
      </c>
      <c r="J6457" s="2">
        <v>2528</v>
      </c>
      <c r="K6457" s="2">
        <v>8</v>
      </c>
      <c r="L6457" s="2">
        <v>426</v>
      </c>
    </row>
    <row r="6458" spans="1:12" x14ac:dyDescent="0.25">
      <c r="A6458" s="4" t="str">
        <f>HYPERLINK("http://www.rosaceae.org/Prunus/Prunus_persica/p.persica_gdr_reftransV1_0045690","p.persica_gdr_reftransV1_0045690")</f>
        <v>p.persica_gdr_reftransV1_0045690</v>
      </c>
      <c r="B6458" s="2">
        <v>1492</v>
      </c>
      <c r="C6458" s="4" t="str">
        <f>HYPERLINK("http://www.uniprot.org/uniprot/M5XVY5","M5XVY5")</f>
        <v>M5XVY5</v>
      </c>
      <c r="D6458" s="2" t="s">
        <v>5817</v>
      </c>
      <c r="E6458" s="3">
        <v>0</v>
      </c>
      <c r="F6458" s="2">
        <v>1916</v>
      </c>
      <c r="G6458" s="2">
        <v>100</v>
      </c>
      <c r="H6458" s="2">
        <v>358</v>
      </c>
      <c r="I6458" s="2">
        <v>262</v>
      </c>
      <c r="J6458" s="2">
        <v>1335</v>
      </c>
      <c r="K6458" s="2">
        <v>10</v>
      </c>
      <c r="L6458" s="2">
        <v>367</v>
      </c>
    </row>
    <row r="6459" spans="1:12" x14ac:dyDescent="0.25">
      <c r="A6459" s="4" t="str">
        <f>HYPERLINK("http://www.rosaceae.org/Prunus/Prunus_persica/p.persica_gdr_reftransV1_0046040","p.persica_gdr_reftransV1_0046040")</f>
        <v>p.persica_gdr_reftransV1_0046040</v>
      </c>
      <c r="B6459" s="2">
        <v>659</v>
      </c>
      <c r="C6459" s="4" t="str">
        <f>HYPERLINK("http://www.uniprot.org/uniprot/A0A059BTB1","A0A059BTB1")</f>
        <v>A0A059BTB1</v>
      </c>
      <c r="D6459" s="2" t="s">
        <v>5818</v>
      </c>
      <c r="E6459" s="3">
        <v>2.5300000000000001E-114</v>
      </c>
      <c r="F6459" s="2">
        <v>876</v>
      </c>
      <c r="G6459" s="2">
        <v>87</v>
      </c>
      <c r="H6459" s="2">
        <v>183</v>
      </c>
      <c r="I6459" s="2">
        <v>87</v>
      </c>
      <c r="J6459" s="2">
        <v>635</v>
      </c>
      <c r="K6459" s="2">
        <v>151</v>
      </c>
      <c r="L6459" s="2">
        <v>333</v>
      </c>
    </row>
    <row r="6460" spans="1:12" x14ac:dyDescent="0.25">
      <c r="A6460" s="4" t="str">
        <f>HYPERLINK("http://www.rosaceae.org/Prunus/Prunus_persica/p.persica_gdr_reftransV1_0046740","p.persica_gdr_reftransV1_0046740")</f>
        <v>p.persica_gdr_reftransV1_0046740</v>
      </c>
      <c r="B6460" s="2">
        <v>2365</v>
      </c>
      <c r="C6460" s="4" t="str">
        <f>HYPERLINK("http://www.uniprot.org/uniprot/M5X0K9","M5X0K9")</f>
        <v>M5X0K9</v>
      </c>
      <c r="D6460" s="2" t="s">
        <v>502</v>
      </c>
      <c r="E6460" s="3">
        <v>0</v>
      </c>
      <c r="F6460" s="2">
        <v>3099</v>
      </c>
      <c r="G6460" s="2">
        <v>100</v>
      </c>
      <c r="H6460" s="2">
        <v>601</v>
      </c>
      <c r="I6460" s="2">
        <v>203</v>
      </c>
      <c r="J6460" s="2">
        <v>2005</v>
      </c>
      <c r="K6460" s="2">
        <v>1</v>
      </c>
      <c r="L6460" s="2">
        <v>601</v>
      </c>
    </row>
    <row r="6461" spans="1:12" x14ac:dyDescent="0.25">
      <c r="A6461" s="4" t="str">
        <f>HYPERLINK("http://www.rosaceae.org/Prunus/Prunus_persica/p.persica_gdr_reftransV1_0047090","p.persica_gdr_reftransV1_0047090")</f>
        <v>p.persica_gdr_reftransV1_0047090</v>
      </c>
      <c r="B6461" s="2">
        <v>822</v>
      </c>
      <c r="C6461" s="4" t="str">
        <f>HYPERLINK("http://www.uniprot.org/uniprot/M5Y115","M5Y115")</f>
        <v>M5Y115</v>
      </c>
      <c r="D6461" s="2" t="s">
        <v>5819</v>
      </c>
      <c r="E6461" s="3">
        <v>3.9099999999999997E-167</v>
      </c>
      <c r="F6461" s="2">
        <v>1253</v>
      </c>
      <c r="G6461" s="2">
        <v>100</v>
      </c>
      <c r="H6461" s="2">
        <v>268</v>
      </c>
      <c r="I6461" s="2">
        <v>3</v>
      </c>
      <c r="J6461" s="2">
        <v>806</v>
      </c>
      <c r="K6461" s="2">
        <v>69</v>
      </c>
      <c r="L6461" s="2">
        <v>336</v>
      </c>
    </row>
    <row r="6462" spans="1:12" x14ac:dyDescent="0.25">
      <c r="A6462" s="4" t="str">
        <f>HYPERLINK("http://www.rosaceae.org/Prunus/Prunus_persica/p.persica_gdr_reftransV1_0047790","p.persica_gdr_reftransV1_0047790")</f>
        <v>p.persica_gdr_reftransV1_0047790</v>
      </c>
      <c r="B6462" s="2">
        <v>2963</v>
      </c>
      <c r="C6462" s="4" t="str">
        <f>HYPERLINK("http://www.uniprot.org/uniprot/M5XK84","M5XK84")</f>
        <v>M5XK84</v>
      </c>
      <c r="D6462" s="2" t="s">
        <v>3710</v>
      </c>
      <c r="E6462" s="3">
        <v>0</v>
      </c>
      <c r="F6462" s="2">
        <v>3378</v>
      </c>
      <c r="G6462" s="2">
        <v>100</v>
      </c>
      <c r="H6462" s="2">
        <v>654</v>
      </c>
      <c r="I6462" s="2">
        <v>662</v>
      </c>
      <c r="J6462" s="2">
        <v>2623</v>
      </c>
      <c r="K6462" s="2">
        <v>23</v>
      </c>
      <c r="L6462" s="2">
        <v>675</v>
      </c>
    </row>
    <row r="6463" spans="1:12" x14ac:dyDescent="0.25">
      <c r="A6463" s="4" t="str">
        <f>HYPERLINK("http://www.rosaceae.org/Prunus/Prunus_persica/p.persica_gdr_reftransV1_0048490","p.persica_gdr_reftransV1_0048490")</f>
        <v>p.persica_gdr_reftransV1_0048490</v>
      </c>
      <c r="B6463" s="2">
        <v>1364</v>
      </c>
      <c r="C6463" s="4" t="str">
        <f>HYPERLINK("http://www.uniprot.org/uniprot/M5XF70","M5XF70")</f>
        <v>M5XF70</v>
      </c>
      <c r="D6463" s="2" t="s">
        <v>5820</v>
      </c>
      <c r="E6463" s="3">
        <v>2.6499999999999999E-108</v>
      </c>
      <c r="F6463" s="2">
        <v>871</v>
      </c>
      <c r="G6463" s="2">
        <v>100</v>
      </c>
      <c r="H6463" s="2">
        <v>180</v>
      </c>
      <c r="I6463" s="2">
        <v>825</v>
      </c>
      <c r="J6463" s="2">
        <v>1364</v>
      </c>
      <c r="K6463" s="2">
        <v>1</v>
      </c>
      <c r="L6463" s="2">
        <v>180</v>
      </c>
    </row>
    <row r="6464" spans="1:12" x14ac:dyDescent="0.25">
      <c r="A6464" s="4" t="str">
        <f>HYPERLINK("http://www.rosaceae.org/Prunus/Prunus_persica/p.persica_gdr_reftransV1_0048840","p.persica_gdr_reftransV1_0048840")</f>
        <v>p.persica_gdr_reftransV1_0048840</v>
      </c>
      <c r="B6464" s="2">
        <v>2637</v>
      </c>
      <c r="C6464" s="4" t="str">
        <f>HYPERLINK("http://www.uniprot.org/uniprot/M5XTC5","M5XTC5")</f>
        <v>M5XTC5</v>
      </c>
      <c r="D6464" s="2" t="s">
        <v>122</v>
      </c>
      <c r="E6464" s="3">
        <v>0</v>
      </c>
      <c r="F6464" s="2">
        <v>4215</v>
      </c>
      <c r="G6464" s="2">
        <v>98</v>
      </c>
      <c r="H6464" s="2">
        <v>873</v>
      </c>
      <c r="I6464" s="2">
        <v>18</v>
      </c>
      <c r="J6464" s="2">
        <v>2636</v>
      </c>
      <c r="K6464" s="2">
        <v>136</v>
      </c>
      <c r="L6464" s="2">
        <v>992</v>
      </c>
    </row>
    <row r="6465" spans="1:12" x14ac:dyDescent="0.25">
      <c r="A6465" s="4" t="str">
        <f>HYPERLINK("http://www.rosaceae.org/Prunus/Prunus_persica/p.persica_gdr_reftransV1_0000019","p.persica_gdr_reftransV1_0000019")</f>
        <v>p.persica_gdr_reftransV1_0000019</v>
      </c>
      <c r="B6465" s="2">
        <v>1501</v>
      </c>
      <c r="C6465" s="4" t="str">
        <f>HYPERLINK("http://www.uniprot.org/uniprot/M5WW44","M5WW44")</f>
        <v>M5WW44</v>
      </c>
      <c r="D6465" s="2" t="s">
        <v>760</v>
      </c>
      <c r="E6465" s="3">
        <v>0</v>
      </c>
      <c r="F6465" s="2">
        <v>1578</v>
      </c>
      <c r="G6465" s="2">
        <v>98</v>
      </c>
      <c r="H6465" s="2">
        <v>320</v>
      </c>
      <c r="I6465" s="2">
        <v>559</v>
      </c>
      <c r="J6465" s="2">
        <v>1500</v>
      </c>
      <c r="K6465" s="2">
        <v>226</v>
      </c>
      <c r="L6465" s="2">
        <v>545</v>
      </c>
    </row>
    <row r="6466" spans="1:12" x14ac:dyDescent="0.25">
      <c r="A6466" s="4" t="str">
        <f>HYPERLINK("http://www.rosaceae.org/Prunus/Prunus_persica/p.persica_gdr_reftransV1_0000719","p.persica_gdr_reftransV1_0000719")</f>
        <v>p.persica_gdr_reftransV1_0000719</v>
      </c>
      <c r="B6466" s="2">
        <v>7674</v>
      </c>
      <c r="C6466" s="4" t="str">
        <f>HYPERLINK("http://www.uniprot.org/uniprot/W9S0R5","W9S0R5")</f>
        <v>W9S0R5</v>
      </c>
      <c r="D6466" s="2" t="s">
        <v>5821</v>
      </c>
      <c r="E6466" s="3">
        <v>0</v>
      </c>
      <c r="F6466" s="2">
        <v>8036</v>
      </c>
      <c r="G6466" s="2">
        <v>73</v>
      </c>
      <c r="H6466" s="2">
        <v>2285</v>
      </c>
      <c r="I6466" s="2">
        <v>414</v>
      </c>
      <c r="J6466" s="2">
        <v>7244</v>
      </c>
      <c r="K6466" s="2">
        <v>1</v>
      </c>
      <c r="L6466" s="2">
        <v>2274</v>
      </c>
    </row>
    <row r="6467" spans="1:12" x14ac:dyDescent="0.25">
      <c r="A6467" s="4" t="str">
        <f>HYPERLINK("http://www.rosaceae.org/Prunus/Prunus_persica/p.persica_gdr_reftransV1_0001069","p.persica_gdr_reftransV1_0001069")</f>
        <v>p.persica_gdr_reftransV1_0001069</v>
      </c>
      <c r="B6467" s="2">
        <v>1693</v>
      </c>
      <c r="C6467" s="4" t="str">
        <f>HYPERLINK("http://www.uniprot.org/uniprot/M5WSE7","M5WSE7")</f>
        <v>M5WSE7</v>
      </c>
      <c r="D6467" s="2" t="s">
        <v>5822</v>
      </c>
      <c r="E6467" s="3">
        <v>0</v>
      </c>
      <c r="F6467" s="2">
        <v>1431</v>
      </c>
      <c r="G6467" s="2">
        <v>100</v>
      </c>
      <c r="H6467" s="2">
        <v>267</v>
      </c>
      <c r="I6467" s="2">
        <v>399</v>
      </c>
      <c r="J6467" s="2">
        <v>1199</v>
      </c>
      <c r="K6467" s="2">
        <v>112</v>
      </c>
      <c r="L6467" s="2">
        <v>378</v>
      </c>
    </row>
    <row r="6468" spans="1:12" x14ac:dyDescent="0.25">
      <c r="A6468" s="4" t="str">
        <f>HYPERLINK("http://www.rosaceae.org/Prunus/Prunus_persica/p.persica_gdr_reftransV1_0001419","p.persica_gdr_reftransV1_0001419")</f>
        <v>p.persica_gdr_reftransV1_0001419</v>
      </c>
      <c r="B6468" s="2">
        <v>1657</v>
      </c>
      <c r="C6468" s="4" t="str">
        <f>HYPERLINK("http://www.uniprot.org/uniprot/M5VPR2","M5VPR2")</f>
        <v>M5VPR2</v>
      </c>
      <c r="D6468" s="2" t="s">
        <v>5823</v>
      </c>
      <c r="E6468" s="3">
        <v>0</v>
      </c>
      <c r="F6468" s="2">
        <v>1987</v>
      </c>
      <c r="G6468" s="2">
        <v>100</v>
      </c>
      <c r="H6468" s="2">
        <v>368</v>
      </c>
      <c r="I6468" s="2">
        <v>293</v>
      </c>
      <c r="J6468" s="2">
        <v>1396</v>
      </c>
      <c r="K6468" s="2">
        <v>1</v>
      </c>
      <c r="L6468" s="2">
        <v>368</v>
      </c>
    </row>
    <row r="6469" spans="1:12" x14ac:dyDescent="0.25">
      <c r="A6469" s="4" t="str">
        <f>HYPERLINK("http://www.rosaceae.org/Prunus/Prunus_persica/p.persica_gdr_reftransV1_0001769","p.persica_gdr_reftransV1_0001769")</f>
        <v>p.persica_gdr_reftransV1_0001769</v>
      </c>
      <c r="B6469" s="2">
        <v>1440</v>
      </c>
      <c r="C6469" s="4" t="str">
        <f>HYPERLINK("http://www.uniprot.org/uniprot/M5XA34","M5XA34")</f>
        <v>M5XA34</v>
      </c>
      <c r="D6469" s="2" t="s">
        <v>5824</v>
      </c>
      <c r="E6469" s="3">
        <v>0</v>
      </c>
      <c r="F6469" s="2">
        <v>1700</v>
      </c>
      <c r="G6469" s="2">
        <v>100</v>
      </c>
      <c r="H6469" s="2">
        <v>341</v>
      </c>
      <c r="I6469" s="2">
        <v>79</v>
      </c>
      <c r="J6469" s="2">
        <v>1101</v>
      </c>
      <c r="K6469" s="2">
        <v>1</v>
      </c>
      <c r="L6469" s="2">
        <v>341</v>
      </c>
    </row>
    <row r="6470" spans="1:12" x14ac:dyDescent="0.25">
      <c r="A6470" s="4" t="str">
        <f>HYPERLINK("http://www.rosaceae.org/Prunus/Prunus_persica/p.persica_gdr_reftransV1_0002469","p.persica_gdr_reftransV1_0002469")</f>
        <v>p.persica_gdr_reftransV1_0002469</v>
      </c>
      <c r="B6470" s="2">
        <v>3757</v>
      </c>
      <c r="C6470" s="4" t="str">
        <f>HYPERLINK("http://www.uniprot.org/uniprot/M5XF18","M5XF18")</f>
        <v>M5XF18</v>
      </c>
      <c r="D6470" s="2" t="s">
        <v>5825</v>
      </c>
      <c r="E6470" s="3">
        <v>0</v>
      </c>
      <c r="F6470" s="2">
        <v>5877</v>
      </c>
      <c r="G6470" s="2">
        <v>100</v>
      </c>
      <c r="H6470" s="2">
        <v>1111</v>
      </c>
      <c r="I6470" s="2">
        <v>159</v>
      </c>
      <c r="J6470" s="2">
        <v>3491</v>
      </c>
      <c r="K6470" s="2">
        <v>1</v>
      </c>
      <c r="L6470" s="2">
        <v>1111</v>
      </c>
    </row>
    <row r="6471" spans="1:12" x14ac:dyDescent="0.25">
      <c r="A6471" s="4" t="str">
        <f>HYPERLINK("http://www.rosaceae.org/Prunus/Prunus_persica/p.persica_gdr_reftransV1_0003169","p.persica_gdr_reftransV1_0003169")</f>
        <v>p.persica_gdr_reftransV1_0003169</v>
      </c>
      <c r="B6471" s="2">
        <v>897</v>
      </c>
      <c r="C6471" s="4" t="str">
        <f>HYPERLINK("http://www.uniprot.org/uniprot/M5WS26","M5WS26")</f>
        <v>M5WS26</v>
      </c>
      <c r="D6471" s="2" t="s">
        <v>2232</v>
      </c>
      <c r="E6471" s="3">
        <v>0</v>
      </c>
      <c r="F6471" s="2">
        <v>1524</v>
      </c>
      <c r="G6471" s="2">
        <v>98</v>
      </c>
      <c r="H6471" s="2">
        <v>287</v>
      </c>
      <c r="I6471" s="2">
        <v>37</v>
      </c>
      <c r="J6471" s="2">
        <v>897</v>
      </c>
      <c r="K6471" s="2">
        <v>297</v>
      </c>
      <c r="L6471" s="2">
        <v>583</v>
      </c>
    </row>
    <row r="6472" spans="1:12" x14ac:dyDescent="0.25">
      <c r="A6472" s="4" t="str">
        <f>HYPERLINK("http://www.rosaceae.org/Prunus/Prunus_persica/p.persica_gdr_reftransV1_0003869","p.persica_gdr_reftransV1_0003869")</f>
        <v>p.persica_gdr_reftransV1_0003869</v>
      </c>
      <c r="B6472" s="2">
        <v>2779</v>
      </c>
      <c r="C6472" s="4" t="str">
        <f>HYPERLINK("http://www.uniprot.org/uniprot/M5X661","M5X661")</f>
        <v>M5X661</v>
      </c>
      <c r="D6472" s="2" t="s">
        <v>5826</v>
      </c>
      <c r="E6472" s="3">
        <v>0</v>
      </c>
      <c r="F6472" s="2">
        <v>3795</v>
      </c>
      <c r="G6472" s="2">
        <v>100</v>
      </c>
      <c r="H6472" s="2">
        <v>752</v>
      </c>
      <c r="I6472" s="2">
        <v>414</v>
      </c>
      <c r="J6472" s="2">
        <v>2669</v>
      </c>
      <c r="K6472" s="2">
        <v>1</v>
      </c>
      <c r="L6472" s="2">
        <v>752</v>
      </c>
    </row>
    <row r="6473" spans="1:12" x14ac:dyDescent="0.25">
      <c r="A6473" s="4" t="str">
        <f>HYPERLINK("http://www.rosaceae.org/Prunus/Prunus_persica/p.persica_gdr_reftransV1_0004219","p.persica_gdr_reftransV1_0004219")</f>
        <v>p.persica_gdr_reftransV1_0004219</v>
      </c>
      <c r="B6473" s="2">
        <v>813</v>
      </c>
      <c r="C6473" s="4" t="str">
        <f>HYPERLINK("http://www.uniprot.org/uniprot/M5VRU8","M5VRU8")</f>
        <v>M5VRU8</v>
      </c>
      <c r="D6473" s="2" t="s">
        <v>4195</v>
      </c>
      <c r="E6473" s="3">
        <v>1.56E-23</v>
      </c>
      <c r="F6473" s="2">
        <v>251</v>
      </c>
      <c r="G6473" s="2">
        <v>76</v>
      </c>
      <c r="H6473" s="2">
        <v>67</v>
      </c>
      <c r="I6473" s="2">
        <v>463</v>
      </c>
      <c r="J6473" s="2">
        <v>663</v>
      </c>
      <c r="K6473" s="2">
        <v>6</v>
      </c>
      <c r="L6473" s="2">
        <v>72</v>
      </c>
    </row>
    <row r="6474" spans="1:12" x14ac:dyDescent="0.25">
      <c r="A6474" s="4" t="str">
        <f>HYPERLINK("http://www.rosaceae.org/Prunus/Prunus_persica/p.persica_gdr_reftransV1_0004569","p.persica_gdr_reftransV1_0004569")</f>
        <v>p.persica_gdr_reftransV1_0004569</v>
      </c>
      <c r="B6474" s="2">
        <v>402</v>
      </c>
      <c r="C6474" s="4" t="str">
        <f>HYPERLINK("http://www.uniprot.org/uniprot/M5WC08","M5WC08")</f>
        <v>M5WC08</v>
      </c>
      <c r="D6474" s="2" t="s">
        <v>5129</v>
      </c>
      <c r="E6474" s="3">
        <v>2.85E-91</v>
      </c>
      <c r="F6474" s="2">
        <v>743</v>
      </c>
      <c r="G6474" s="2">
        <v>100</v>
      </c>
      <c r="H6474" s="2">
        <v>134</v>
      </c>
      <c r="I6474" s="2">
        <v>1</v>
      </c>
      <c r="J6474" s="2">
        <v>402</v>
      </c>
      <c r="K6474" s="2">
        <v>213</v>
      </c>
      <c r="L6474" s="2">
        <v>346</v>
      </c>
    </row>
    <row r="6475" spans="1:12" x14ac:dyDescent="0.25">
      <c r="A6475" s="4" t="str">
        <f>HYPERLINK("http://www.rosaceae.org/Prunus/Prunus_persica/p.persica_gdr_reftransV1_0004919","p.persica_gdr_reftransV1_0004919")</f>
        <v>p.persica_gdr_reftransV1_0004919</v>
      </c>
      <c r="B6475" s="2">
        <v>4226</v>
      </c>
      <c r="C6475" s="4" t="str">
        <f>HYPERLINK("http://www.uniprot.org/uniprot/M5WGG3","M5WGG3")</f>
        <v>M5WGG3</v>
      </c>
      <c r="D6475" s="2" t="s">
        <v>5827</v>
      </c>
      <c r="E6475" s="3">
        <v>0</v>
      </c>
      <c r="F6475" s="2">
        <v>3159</v>
      </c>
      <c r="G6475" s="2">
        <v>100</v>
      </c>
      <c r="H6475" s="2">
        <v>716</v>
      </c>
      <c r="I6475" s="2">
        <v>1662</v>
      </c>
      <c r="J6475" s="2">
        <v>3809</v>
      </c>
      <c r="K6475" s="2">
        <v>571</v>
      </c>
      <c r="L6475" s="2">
        <v>1286</v>
      </c>
    </row>
    <row r="6476" spans="1:12" x14ac:dyDescent="0.25">
      <c r="A6476" s="4" t="str">
        <f>HYPERLINK("http://www.rosaceae.org/Prunus/Prunus_persica/p.persica_gdr_reftransV1_0005269","p.persica_gdr_reftransV1_0005269")</f>
        <v>p.persica_gdr_reftransV1_0005269</v>
      </c>
      <c r="B6476" s="2">
        <v>1606</v>
      </c>
      <c r="C6476" s="4" t="str">
        <f>HYPERLINK("http://www.uniprot.org/uniprot/M5Y497","M5Y497")</f>
        <v>M5Y497</v>
      </c>
      <c r="D6476" s="2" t="s">
        <v>5828</v>
      </c>
      <c r="E6476" s="3">
        <v>0</v>
      </c>
      <c r="F6476" s="2">
        <v>2689</v>
      </c>
      <c r="G6476" s="2">
        <v>99</v>
      </c>
      <c r="H6476" s="2">
        <v>534</v>
      </c>
      <c r="I6476" s="2">
        <v>4</v>
      </c>
      <c r="J6476" s="2">
        <v>1605</v>
      </c>
      <c r="K6476" s="2">
        <v>277</v>
      </c>
      <c r="L6476" s="2">
        <v>810</v>
      </c>
    </row>
    <row r="6477" spans="1:12" x14ac:dyDescent="0.25">
      <c r="A6477" s="4" t="str">
        <f>HYPERLINK("http://www.rosaceae.org/Prunus/Prunus_persica/p.persica_gdr_reftransV1_0005969","p.persica_gdr_reftransV1_0005969")</f>
        <v>p.persica_gdr_reftransV1_0005969</v>
      </c>
      <c r="B6477" s="2">
        <v>2376</v>
      </c>
      <c r="C6477" s="4" t="str">
        <f>HYPERLINK("http://www.uniprot.org/uniprot/M5WLM3","M5WLM3")</f>
        <v>M5WLM3</v>
      </c>
      <c r="D6477" s="2" t="s">
        <v>5829</v>
      </c>
      <c r="E6477" s="3">
        <v>8.8400000000000002E-174</v>
      </c>
      <c r="F6477" s="2">
        <v>1342</v>
      </c>
      <c r="G6477" s="2">
        <v>99</v>
      </c>
      <c r="H6477" s="2">
        <v>277</v>
      </c>
      <c r="I6477" s="2">
        <v>876</v>
      </c>
      <c r="J6477" s="2">
        <v>1706</v>
      </c>
      <c r="K6477" s="2">
        <v>29</v>
      </c>
      <c r="L6477" s="2">
        <v>305</v>
      </c>
    </row>
    <row r="6478" spans="1:12" x14ac:dyDescent="0.25">
      <c r="A6478" s="4" t="str">
        <f>HYPERLINK("http://www.rosaceae.org/Prunus/Prunus_persica/p.persica_gdr_reftransV1_0006669","p.persica_gdr_reftransV1_0006669")</f>
        <v>p.persica_gdr_reftransV1_0006669</v>
      </c>
      <c r="B6478" s="2">
        <v>937</v>
      </c>
      <c r="C6478" s="4" t="str">
        <f>HYPERLINK("http://www.uniprot.org/uniprot/M5Y600","M5Y600")</f>
        <v>M5Y600</v>
      </c>
      <c r="D6478" s="2" t="s">
        <v>5830</v>
      </c>
      <c r="E6478" s="3">
        <v>3.0300000000000003E-150</v>
      </c>
      <c r="F6478" s="2">
        <v>1178</v>
      </c>
      <c r="G6478" s="2">
        <v>100</v>
      </c>
      <c r="H6478" s="2">
        <v>233</v>
      </c>
      <c r="I6478" s="2">
        <v>1</v>
      </c>
      <c r="J6478" s="2">
        <v>699</v>
      </c>
      <c r="K6478" s="2">
        <v>738</v>
      </c>
      <c r="L6478" s="2">
        <v>970</v>
      </c>
    </row>
    <row r="6479" spans="1:12" x14ac:dyDescent="0.25">
      <c r="A6479" s="4" t="str">
        <f>HYPERLINK("http://www.rosaceae.org/Prunus/Prunus_persica/p.persica_gdr_reftransV1_0007019","p.persica_gdr_reftransV1_0007019")</f>
        <v>p.persica_gdr_reftransV1_0007019</v>
      </c>
      <c r="B6479" s="2">
        <v>337</v>
      </c>
      <c r="C6479" s="4" t="str">
        <f>HYPERLINK("http://www.uniprot.org/uniprot/M5WE36","M5WE36")</f>
        <v>M5WE36</v>
      </c>
      <c r="D6479" s="2" t="s">
        <v>2013</v>
      </c>
      <c r="E6479" s="3">
        <v>5.2700000000000004E-74</v>
      </c>
      <c r="F6479" s="2">
        <v>618</v>
      </c>
      <c r="G6479" s="2">
        <v>100</v>
      </c>
      <c r="H6479" s="2">
        <v>112</v>
      </c>
      <c r="I6479" s="2">
        <v>1</v>
      </c>
      <c r="J6479" s="2">
        <v>336</v>
      </c>
      <c r="K6479" s="2">
        <v>175</v>
      </c>
      <c r="L6479" s="2">
        <v>286</v>
      </c>
    </row>
    <row r="6480" spans="1:12" x14ac:dyDescent="0.25">
      <c r="A6480" s="4" t="str">
        <f>HYPERLINK("http://www.rosaceae.org/Prunus/Prunus_persica/p.persica_gdr_reftransV1_0007369","p.persica_gdr_reftransV1_0007369")</f>
        <v>p.persica_gdr_reftransV1_0007369</v>
      </c>
      <c r="B6480" s="2">
        <v>3331</v>
      </c>
      <c r="C6480" s="4" t="str">
        <f>HYPERLINK("http://www.uniprot.org/uniprot/M5WF54","M5WF54")</f>
        <v>M5WF54</v>
      </c>
      <c r="D6480" s="2" t="s">
        <v>5831</v>
      </c>
      <c r="E6480" s="3">
        <v>0</v>
      </c>
      <c r="F6480" s="2">
        <v>2894</v>
      </c>
      <c r="G6480" s="2">
        <v>92</v>
      </c>
      <c r="H6480" s="2">
        <v>608</v>
      </c>
      <c r="I6480" s="2">
        <v>1</v>
      </c>
      <c r="J6480" s="2">
        <v>1824</v>
      </c>
      <c r="K6480" s="2">
        <v>6</v>
      </c>
      <c r="L6480" s="2">
        <v>567</v>
      </c>
    </row>
    <row r="6481" spans="1:12" x14ac:dyDescent="0.25">
      <c r="A6481" s="4" t="str">
        <f>HYPERLINK("http://www.rosaceae.org/Prunus/Prunus_persica/p.persica_gdr_reftransV1_0008069","p.persica_gdr_reftransV1_0008069")</f>
        <v>p.persica_gdr_reftransV1_0008069</v>
      </c>
      <c r="B6481" s="2">
        <v>1991</v>
      </c>
      <c r="C6481" s="4" t="str">
        <f>HYPERLINK("http://www.uniprot.org/uniprot/M5XDY1","M5XDY1")</f>
        <v>M5XDY1</v>
      </c>
      <c r="D6481" s="2" t="s">
        <v>5832</v>
      </c>
      <c r="E6481" s="3">
        <v>1.33E-89</v>
      </c>
      <c r="F6481" s="2">
        <v>735</v>
      </c>
      <c r="G6481" s="2">
        <v>100</v>
      </c>
      <c r="H6481" s="2">
        <v>155</v>
      </c>
      <c r="I6481" s="2">
        <v>220</v>
      </c>
      <c r="J6481" s="2">
        <v>684</v>
      </c>
      <c r="K6481" s="2">
        <v>1</v>
      </c>
      <c r="L6481" s="2">
        <v>155</v>
      </c>
    </row>
    <row r="6482" spans="1:12" x14ac:dyDescent="0.25">
      <c r="A6482" s="4" t="str">
        <f>HYPERLINK("http://www.rosaceae.org/Prunus/Prunus_persica/p.persica_gdr_reftransV1_0008419","p.persica_gdr_reftransV1_0008419")</f>
        <v>p.persica_gdr_reftransV1_0008419</v>
      </c>
      <c r="B6482" s="2">
        <v>1863</v>
      </c>
      <c r="C6482" s="4" t="str">
        <f>HYPERLINK("http://www.uniprot.org/uniprot/M5XKC0","M5XKC0")</f>
        <v>M5XKC0</v>
      </c>
      <c r="D6482" s="2" t="s">
        <v>5833</v>
      </c>
      <c r="E6482" s="3">
        <v>0</v>
      </c>
      <c r="F6482" s="2">
        <v>1766</v>
      </c>
      <c r="G6482" s="2">
        <v>100</v>
      </c>
      <c r="H6482" s="2">
        <v>338</v>
      </c>
      <c r="I6482" s="2">
        <v>561</v>
      </c>
      <c r="J6482" s="2">
        <v>1574</v>
      </c>
      <c r="K6482" s="2">
        <v>1</v>
      </c>
      <c r="L6482" s="2">
        <v>338</v>
      </c>
    </row>
    <row r="6483" spans="1:12" x14ac:dyDescent="0.25">
      <c r="A6483" s="4" t="str">
        <f>HYPERLINK("http://www.rosaceae.org/Prunus/Prunus_persica/p.persica_gdr_reftransV1_0008769","p.persica_gdr_reftransV1_0008769")</f>
        <v>p.persica_gdr_reftransV1_0008769</v>
      </c>
      <c r="B6483" s="2">
        <v>1780</v>
      </c>
      <c r="C6483" s="4" t="str">
        <f>HYPERLINK("http://www.uniprot.org/uniprot/M5W1L9","M5W1L9")</f>
        <v>M5W1L9</v>
      </c>
      <c r="D6483" s="2" t="s">
        <v>5834</v>
      </c>
      <c r="E6483" s="3">
        <v>1.46E-79</v>
      </c>
      <c r="F6483" s="2">
        <v>668</v>
      </c>
      <c r="G6483" s="2">
        <v>100</v>
      </c>
      <c r="H6483" s="2">
        <v>217</v>
      </c>
      <c r="I6483" s="2">
        <v>509</v>
      </c>
      <c r="J6483" s="2">
        <v>1159</v>
      </c>
      <c r="K6483" s="2">
        <v>1</v>
      </c>
      <c r="L6483" s="2">
        <v>217</v>
      </c>
    </row>
    <row r="6484" spans="1:12" x14ac:dyDescent="0.25">
      <c r="A6484" s="4" t="str">
        <f>HYPERLINK("http://www.rosaceae.org/Prunus/Prunus_persica/p.persica_gdr_reftransV1_0009119","p.persica_gdr_reftransV1_0009119")</f>
        <v>p.persica_gdr_reftransV1_0009119</v>
      </c>
      <c r="B6484" s="2">
        <v>2794</v>
      </c>
      <c r="C6484" s="4" t="str">
        <f>HYPERLINK("http://www.uniprot.org/uniprot/M5W688","M5W688")</f>
        <v>M5W688</v>
      </c>
      <c r="D6484" s="2" t="s">
        <v>5835</v>
      </c>
      <c r="E6484" s="3">
        <v>0</v>
      </c>
      <c r="F6484" s="2">
        <v>3490</v>
      </c>
      <c r="G6484" s="2">
        <v>100</v>
      </c>
      <c r="H6484" s="2">
        <v>739</v>
      </c>
      <c r="I6484" s="2">
        <v>121</v>
      </c>
      <c r="J6484" s="2">
        <v>2337</v>
      </c>
      <c r="K6484" s="2">
        <v>1</v>
      </c>
      <c r="L6484" s="2">
        <v>739</v>
      </c>
    </row>
    <row r="6485" spans="1:12" x14ac:dyDescent="0.25">
      <c r="A6485" s="4" t="str">
        <f>HYPERLINK("http://www.rosaceae.org/Prunus/Prunus_persica/p.persica_gdr_reftransV1_0009469","p.persica_gdr_reftransV1_0009469")</f>
        <v>p.persica_gdr_reftransV1_0009469</v>
      </c>
      <c r="B6485" s="2">
        <v>1919</v>
      </c>
      <c r="C6485" s="4" t="str">
        <f>HYPERLINK("http://www.uniprot.org/uniprot/M5XLS9","M5XLS9")</f>
        <v>M5XLS9</v>
      </c>
      <c r="D6485" s="2" t="s">
        <v>5836</v>
      </c>
      <c r="E6485" s="3">
        <v>0</v>
      </c>
      <c r="F6485" s="2">
        <v>2737</v>
      </c>
      <c r="G6485" s="2">
        <v>100</v>
      </c>
      <c r="H6485" s="2">
        <v>565</v>
      </c>
      <c r="I6485" s="2">
        <v>179</v>
      </c>
      <c r="J6485" s="2">
        <v>1873</v>
      </c>
      <c r="K6485" s="2">
        <v>1</v>
      </c>
      <c r="L6485" s="2">
        <v>565</v>
      </c>
    </row>
    <row r="6486" spans="1:12" x14ac:dyDescent="0.25">
      <c r="A6486" s="4" t="str">
        <f>HYPERLINK("http://www.rosaceae.org/Prunus/Prunus_persica/p.persica_gdr_reftransV1_0010519","p.persica_gdr_reftransV1_0010519")</f>
        <v>p.persica_gdr_reftransV1_0010519</v>
      </c>
      <c r="B6486" s="2">
        <v>2209</v>
      </c>
      <c r="C6486" s="4" t="str">
        <f>HYPERLINK("http://www.uniprot.org/uniprot/A0A061FY77","A0A061FY77")</f>
        <v>A0A061FY77</v>
      </c>
      <c r="D6486" s="2" t="s">
        <v>5837</v>
      </c>
      <c r="E6486" s="3">
        <v>0</v>
      </c>
      <c r="F6486" s="2">
        <v>2389</v>
      </c>
      <c r="G6486" s="2">
        <v>89</v>
      </c>
      <c r="H6486" s="2">
        <v>493</v>
      </c>
      <c r="I6486" s="2">
        <v>317</v>
      </c>
      <c r="J6486" s="2">
        <v>1795</v>
      </c>
      <c r="K6486" s="2">
        <v>29</v>
      </c>
      <c r="L6486" s="2">
        <v>521</v>
      </c>
    </row>
    <row r="6487" spans="1:12" x14ac:dyDescent="0.25">
      <c r="A6487" s="4" t="str">
        <f>HYPERLINK("http://www.rosaceae.org/Prunus/Prunus_persica/p.persica_gdr_reftransV1_0010869","p.persica_gdr_reftransV1_0010869")</f>
        <v>p.persica_gdr_reftransV1_0010869</v>
      </c>
      <c r="B6487" s="2">
        <v>2911</v>
      </c>
      <c r="C6487" s="4" t="str">
        <f>HYPERLINK("http://www.uniprot.org/uniprot/M5XJY4","M5XJY4")</f>
        <v>M5XJY4</v>
      </c>
      <c r="D6487" s="2" t="s">
        <v>4756</v>
      </c>
      <c r="E6487" s="3">
        <v>0</v>
      </c>
      <c r="F6487" s="2">
        <v>2672</v>
      </c>
      <c r="G6487" s="2">
        <v>100</v>
      </c>
      <c r="H6487" s="2">
        <v>517</v>
      </c>
      <c r="I6487" s="2">
        <v>1068</v>
      </c>
      <c r="J6487" s="2">
        <v>2618</v>
      </c>
      <c r="K6487" s="2">
        <v>190</v>
      </c>
      <c r="L6487" s="2">
        <v>706</v>
      </c>
    </row>
    <row r="6488" spans="1:12" x14ac:dyDescent="0.25">
      <c r="A6488" s="4" t="str">
        <f>HYPERLINK("http://www.rosaceae.org/Prunus/Prunus_persica/p.persica_gdr_reftransV1_0011569","p.persica_gdr_reftransV1_0011569")</f>
        <v>p.persica_gdr_reftransV1_0011569</v>
      </c>
      <c r="B6488" s="2">
        <v>950</v>
      </c>
      <c r="C6488" s="4" t="str">
        <f>HYPERLINK("http://www.uniprot.org/uniprot/M5W021","M5W021")</f>
        <v>M5W021</v>
      </c>
      <c r="D6488" s="2" t="s">
        <v>5838</v>
      </c>
      <c r="E6488" s="3">
        <v>1.5600000000000001E-53</v>
      </c>
      <c r="F6488" s="2">
        <v>471</v>
      </c>
      <c r="G6488" s="2">
        <v>100</v>
      </c>
      <c r="H6488" s="2">
        <v>107</v>
      </c>
      <c r="I6488" s="2">
        <v>224</v>
      </c>
      <c r="J6488" s="2">
        <v>544</v>
      </c>
      <c r="K6488" s="2">
        <v>1</v>
      </c>
      <c r="L6488" s="2">
        <v>107</v>
      </c>
    </row>
    <row r="6489" spans="1:12" x14ac:dyDescent="0.25">
      <c r="A6489" s="4" t="str">
        <f>HYPERLINK("http://www.rosaceae.org/Prunus/Prunus_persica/p.persica_gdr_reftransV1_0011919","p.persica_gdr_reftransV1_0011919")</f>
        <v>p.persica_gdr_reftransV1_0011919</v>
      </c>
      <c r="B6489" s="2">
        <v>1368</v>
      </c>
      <c r="C6489" s="4" t="str">
        <f>HYPERLINK("http://www.uniprot.org/uniprot/M5VX99","M5VX99")</f>
        <v>M5VX99</v>
      </c>
      <c r="D6489" s="2" t="s">
        <v>929</v>
      </c>
      <c r="E6489" s="3">
        <v>5.8199999999999998E-92</v>
      </c>
      <c r="F6489" s="2">
        <v>736</v>
      </c>
      <c r="G6489" s="2">
        <v>100</v>
      </c>
      <c r="H6489" s="2">
        <v>139</v>
      </c>
      <c r="I6489" s="2">
        <v>924</v>
      </c>
      <c r="J6489" s="2">
        <v>1340</v>
      </c>
      <c r="K6489" s="2">
        <v>1</v>
      </c>
      <c r="L6489" s="2">
        <v>139</v>
      </c>
    </row>
    <row r="6490" spans="1:12" x14ac:dyDescent="0.25">
      <c r="A6490" s="4" t="str">
        <f>HYPERLINK("http://www.rosaceae.org/Prunus/Prunus_persica/p.persica_gdr_reftransV1_0012969","p.persica_gdr_reftransV1_0012969")</f>
        <v>p.persica_gdr_reftransV1_0012969</v>
      </c>
      <c r="B6490" s="2">
        <v>2017</v>
      </c>
      <c r="C6490" s="4" t="str">
        <f>HYPERLINK("http://www.uniprot.org/uniprot/M5XIY2","M5XIY2")</f>
        <v>M5XIY2</v>
      </c>
      <c r="D6490" s="2" t="s">
        <v>5839</v>
      </c>
      <c r="E6490" s="3">
        <v>0</v>
      </c>
      <c r="F6490" s="2">
        <v>1415</v>
      </c>
      <c r="G6490" s="2">
        <v>66</v>
      </c>
      <c r="H6490" s="2">
        <v>417</v>
      </c>
      <c r="I6490" s="2">
        <v>192</v>
      </c>
      <c r="J6490" s="2">
        <v>1439</v>
      </c>
      <c r="K6490" s="2">
        <v>27</v>
      </c>
      <c r="L6490" s="2">
        <v>420</v>
      </c>
    </row>
    <row r="6491" spans="1:12" x14ac:dyDescent="0.25">
      <c r="A6491" s="4" t="str">
        <f>HYPERLINK("http://www.rosaceae.org/Prunus/Prunus_persica/p.persica_gdr_reftransV1_0013669","p.persica_gdr_reftransV1_0013669")</f>
        <v>p.persica_gdr_reftransV1_0013669</v>
      </c>
      <c r="B6491" s="2">
        <v>880</v>
      </c>
      <c r="C6491" s="4" t="str">
        <f>HYPERLINK("http://www.uniprot.org/uniprot/M5WVU4","M5WVU4")</f>
        <v>M5WVU4</v>
      </c>
      <c r="D6491" s="2" t="s">
        <v>5840</v>
      </c>
      <c r="E6491" s="3">
        <v>2.3099999999999999E-179</v>
      </c>
      <c r="F6491" s="2">
        <v>1320</v>
      </c>
      <c r="G6491" s="2">
        <v>100</v>
      </c>
      <c r="H6491" s="2">
        <v>259</v>
      </c>
      <c r="I6491" s="2">
        <v>103</v>
      </c>
      <c r="J6491" s="2">
        <v>879</v>
      </c>
      <c r="K6491" s="2">
        <v>1</v>
      </c>
      <c r="L6491" s="2">
        <v>259</v>
      </c>
    </row>
    <row r="6492" spans="1:12" x14ac:dyDescent="0.25">
      <c r="A6492" s="4" t="str">
        <f>HYPERLINK("http://www.rosaceae.org/Prunus/Prunus_persica/p.persica_gdr_reftransV1_0014719","p.persica_gdr_reftransV1_0014719")</f>
        <v>p.persica_gdr_reftransV1_0014719</v>
      </c>
      <c r="B6492" s="2">
        <v>2745</v>
      </c>
      <c r="C6492" s="4" t="str">
        <f>HYPERLINK("http://www.uniprot.org/uniprot/M5WVC4","M5WVC4")</f>
        <v>M5WVC4</v>
      </c>
      <c r="D6492" s="2" t="s">
        <v>5841</v>
      </c>
      <c r="E6492" s="3">
        <v>0</v>
      </c>
      <c r="F6492" s="2">
        <v>2569</v>
      </c>
      <c r="G6492" s="2">
        <v>100</v>
      </c>
      <c r="H6492" s="2">
        <v>476</v>
      </c>
      <c r="I6492" s="2">
        <v>1160</v>
      </c>
      <c r="J6492" s="2">
        <v>2587</v>
      </c>
      <c r="K6492" s="2">
        <v>1</v>
      </c>
      <c r="L6492" s="2">
        <v>476</v>
      </c>
    </row>
    <row r="6493" spans="1:12" x14ac:dyDescent="0.25">
      <c r="A6493" s="4" t="str">
        <f>HYPERLINK("http://www.rosaceae.org/Prunus/Prunus_persica/p.persica_gdr_reftransV1_0015069","p.persica_gdr_reftransV1_0015069")</f>
        <v>p.persica_gdr_reftransV1_0015069</v>
      </c>
      <c r="B6493" s="2">
        <v>1723</v>
      </c>
      <c r="C6493" s="4" t="str">
        <f>HYPERLINK("http://www.uniprot.org/uniprot/M5XYC3","M5XYC3")</f>
        <v>M5XYC3</v>
      </c>
      <c r="D6493" s="2" t="s">
        <v>3999</v>
      </c>
      <c r="E6493" s="3">
        <v>0</v>
      </c>
      <c r="F6493" s="2">
        <v>1789</v>
      </c>
      <c r="G6493" s="2">
        <v>100</v>
      </c>
      <c r="H6493" s="2">
        <v>361</v>
      </c>
      <c r="I6493" s="2">
        <v>448</v>
      </c>
      <c r="J6493" s="2">
        <v>1530</v>
      </c>
      <c r="K6493" s="2">
        <v>29</v>
      </c>
      <c r="L6493" s="2">
        <v>389</v>
      </c>
    </row>
    <row r="6494" spans="1:12" x14ac:dyDescent="0.25">
      <c r="A6494" s="4" t="str">
        <f>HYPERLINK("http://www.rosaceae.org/Prunus/Prunus_persica/p.persica_gdr_reftransV1_0015419","p.persica_gdr_reftransV1_0015419")</f>
        <v>p.persica_gdr_reftransV1_0015419</v>
      </c>
      <c r="B6494" s="2">
        <v>887</v>
      </c>
      <c r="C6494" s="4" t="str">
        <f>HYPERLINK("http://www.uniprot.org/uniprot/A0A0D3AQT1","A0A0D3AQT1")</f>
        <v>A0A0D3AQT1</v>
      </c>
      <c r="D6494" s="2" t="s">
        <v>2493</v>
      </c>
      <c r="E6494" s="3">
        <v>4.1000000000000003E-90</v>
      </c>
      <c r="F6494" s="2">
        <v>708</v>
      </c>
      <c r="G6494" s="2">
        <v>99</v>
      </c>
      <c r="H6494" s="2">
        <v>138</v>
      </c>
      <c r="I6494" s="2">
        <v>271</v>
      </c>
      <c r="J6494" s="2">
        <v>684</v>
      </c>
      <c r="K6494" s="2">
        <v>34</v>
      </c>
      <c r="L6494" s="2">
        <v>171</v>
      </c>
    </row>
    <row r="6495" spans="1:12" x14ac:dyDescent="0.25">
      <c r="A6495" s="4" t="str">
        <f>HYPERLINK("http://www.rosaceae.org/Prunus/Prunus_persica/p.persica_gdr_reftransV1_0015769","p.persica_gdr_reftransV1_0015769")</f>
        <v>p.persica_gdr_reftransV1_0015769</v>
      </c>
      <c r="B6495" s="2">
        <v>2998</v>
      </c>
      <c r="C6495" s="4" t="str">
        <f>HYPERLINK("http://www.uniprot.org/uniprot/M5WYB9","M5WYB9")</f>
        <v>M5WYB9</v>
      </c>
      <c r="D6495" s="2" t="s">
        <v>5842</v>
      </c>
      <c r="E6495" s="3">
        <v>0</v>
      </c>
      <c r="F6495" s="2">
        <v>3621</v>
      </c>
      <c r="G6495" s="2">
        <v>96</v>
      </c>
      <c r="H6495" s="2">
        <v>745</v>
      </c>
      <c r="I6495" s="2">
        <v>275</v>
      </c>
      <c r="J6495" s="2">
        <v>2509</v>
      </c>
      <c r="K6495" s="2">
        <v>1</v>
      </c>
      <c r="L6495" s="2">
        <v>716</v>
      </c>
    </row>
    <row r="6496" spans="1:12" x14ac:dyDescent="0.25">
      <c r="A6496" s="4" t="str">
        <f>HYPERLINK("http://www.rosaceae.org/Prunus/Prunus_persica/p.persica_gdr_reftransV1_0017169","p.persica_gdr_reftransV1_0017169")</f>
        <v>p.persica_gdr_reftransV1_0017169</v>
      </c>
      <c r="B6496" s="2">
        <v>5795</v>
      </c>
      <c r="C6496" s="4" t="str">
        <f>HYPERLINK("http://www.uniprot.org/uniprot/M5X8H4","M5X8H4")</f>
        <v>M5X8H4</v>
      </c>
      <c r="D6496" s="2" t="s">
        <v>5843</v>
      </c>
      <c r="E6496" s="3">
        <v>0</v>
      </c>
      <c r="F6496" s="2">
        <v>7803</v>
      </c>
      <c r="G6496" s="2">
        <v>100</v>
      </c>
      <c r="H6496" s="2">
        <v>1577</v>
      </c>
      <c r="I6496" s="2">
        <v>288</v>
      </c>
      <c r="J6496" s="2">
        <v>5018</v>
      </c>
      <c r="K6496" s="2">
        <v>560</v>
      </c>
      <c r="L6496" s="2">
        <v>2136</v>
      </c>
    </row>
    <row r="6497" spans="1:12" x14ac:dyDescent="0.25">
      <c r="A6497" s="4" t="str">
        <f>HYPERLINK("http://www.rosaceae.org/Prunus/Prunus_persica/p.persica_gdr_reftransV1_0018219","p.persica_gdr_reftransV1_0018219")</f>
        <v>p.persica_gdr_reftransV1_0018219</v>
      </c>
      <c r="B6497" s="2">
        <v>2153</v>
      </c>
      <c r="C6497" s="4" t="str">
        <f>HYPERLINK("http://www.uniprot.org/uniprot/M5VUR6","M5VUR6")</f>
        <v>M5VUR6</v>
      </c>
      <c r="D6497" s="2" t="s">
        <v>5844</v>
      </c>
      <c r="E6497" s="3">
        <v>0</v>
      </c>
      <c r="F6497" s="2">
        <v>2665</v>
      </c>
      <c r="G6497" s="2">
        <v>94</v>
      </c>
      <c r="H6497" s="2">
        <v>578</v>
      </c>
      <c r="I6497" s="2">
        <v>247</v>
      </c>
      <c r="J6497" s="2">
        <v>1980</v>
      </c>
      <c r="K6497" s="2">
        <v>1</v>
      </c>
      <c r="L6497" s="2">
        <v>548</v>
      </c>
    </row>
    <row r="6498" spans="1:12" x14ac:dyDescent="0.25">
      <c r="A6498" s="4" t="str">
        <f>HYPERLINK("http://www.rosaceae.org/Prunus/Prunus_persica/p.persica_gdr_reftransV1_0018569","p.persica_gdr_reftransV1_0018569")</f>
        <v>p.persica_gdr_reftransV1_0018569</v>
      </c>
      <c r="B6498" s="2">
        <v>1100</v>
      </c>
      <c r="C6498" s="4" t="str">
        <f>HYPERLINK("http://www.uniprot.org/uniprot/M5Y0X3","M5Y0X3")</f>
        <v>M5Y0X3</v>
      </c>
      <c r="D6498" s="2" t="s">
        <v>5845</v>
      </c>
      <c r="E6498" s="3">
        <v>0</v>
      </c>
      <c r="F6498" s="2">
        <v>1366</v>
      </c>
      <c r="G6498" s="2">
        <v>100</v>
      </c>
      <c r="H6498" s="2">
        <v>260</v>
      </c>
      <c r="I6498" s="2">
        <v>73</v>
      </c>
      <c r="J6498" s="2">
        <v>852</v>
      </c>
      <c r="K6498" s="2">
        <v>14</v>
      </c>
      <c r="L6498" s="2">
        <v>273</v>
      </c>
    </row>
    <row r="6499" spans="1:12" x14ac:dyDescent="0.25">
      <c r="A6499" s="4" t="str">
        <f>HYPERLINK("http://www.rosaceae.org/Prunus/Prunus_persica/p.persica_gdr_reftransV1_0018919","p.persica_gdr_reftransV1_0018919")</f>
        <v>p.persica_gdr_reftransV1_0018919</v>
      </c>
      <c r="B6499" s="2">
        <v>951</v>
      </c>
      <c r="C6499" s="4" t="str">
        <f>HYPERLINK("http://www.uniprot.org/uniprot/M5VIJ7","M5VIJ7")</f>
        <v>M5VIJ7</v>
      </c>
      <c r="D6499" s="2" t="s">
        <v>5736</v>
      </c>
      <c r="E6499" s="3">
        <v>2.0699999999999999E-130</v>
      </c>
      <c r="F6499" s="2">
        <v>1015</v>
      </c>
      <c r="G6499" s="2">
        <v>100</v>
      </c>
      <c r="H6499" s="2">
        <v>190</v>
      </c>
      <c r="I6499" s="2">
        <v>3</v>
      </c>
      <c r="J6499" s="2">
        <v>572</v>
      </c>
      <c r="K6499" s="2">
        <v>386</v>
      </c>
      <c r="L6499" s="2">
        <v>575</v>
      </c>
    </row>
    <row r="6500" spans="1:12" x14ac:dyDescent="0.25">
      <c r="A6500" s="4" t="str">
        <f>HYPERLINK("http://www.rosaceae.org/Prunus/Prunus_persica/p.persica_gdr_reftransV1_0019269","p.persica_gdr_reftransV1_0019269")</f>
        <v>p.persica_gdr_reftransV1_0019269</v>
      </c>
      <c r="B6500" s="2">
        <v>3879</v>
      </c>
      <c r="C6500" s="4" t="str">
        <f>HYPERLINK("http://www.uniprot.org/uniprot/M5X738","M5X738")</f>
        <v>M5X738</v>
      </c>
      <c r="D6500" s="2" t="s">
        <v>5846</v>
      </c>
      <c r="E6500" s="3">
        <v>0</v>
      </c>
      <c r="F6500" s="2">
        <v>2528</v>
      </c>
      <c r="G6500" s="2">
        <v>99</v>
      </c>
      <c r="H6500" s="2">
        <v>585</v>
      </c>
      <c r="I6500" s="2">
        <v>1743</v>
      </c>
      <c r="J6500" s="2">
        <v>3497</v>
      </c>
      <c r="K6500" s="2">
        <v>1</v>
      </c>
      <c r="L6500" s="2">
        <v>585</v>
      </c>
    </row>
    <row r="6501" spans="1:12" x14ac:dyDescent="0.25">
      <c r="A6501" s="4" t="str">
        <f>HYPERLINK("http://www.rosaceae.org/Prunus/Prunus_persica/p.persica_gdr_reftransV1_0021019","p.persica_gdr_reftransV1_0021019")</f>
        <v>p.persica_gdr_reftransV1_0021019</v>
      </c>
      <c r="B6501" s="2">
        <v>3068</v>
      </c>
      <c r="C6501" s="4" t="str">
        <f>HYPERLINK("http://www.uniprot.org/uniprot/M5XVI5","M5XVI5")</f>
        <v>M5XVI5</v>
      </c>
      <c r="D6501" s="2" t="s">
        <v>5847</v>
      </c>
      <c r="E6501" s="3">
        <v>0</v>
      </c>
      <c r="F6501" s="2">
        <v>1952</v>
      </c>
      <c r="G6501" s="2">
        <v>99</v>
      </c>
      <c r="H6501" s="2">
        <v>365</v>
      </c>
      <c r="I6501" s="2">
        <v>588</v>
      </c>
      <c r="J6501" s="2">
        <v>1682</v>
      </c>
      <c r="K6501" s="2">
        <v>408</v>
      </c>
      <c r="L6501" s="2">
        <v>772</v>
      </c>
    </row>
    <row r="6502" spans="1:12" x14ac:dyDescent="0.25">
      <c r="A6502" s="4" t="str">
        <f>HYPERLINK("http://www.rosaceae.org/Prunus/Prunus_persica/p.persica_gdr_reftransV1_0023469","p.persica_gdr_reftransV1_0023469")</f>
        <v>p.persica_gdr_reftransV1_0023469</v>
      </c>
      <c r="B6502" s="2">
        <v>3322</v>
      </c>
      <c r="C6502" s="4" t="str">
        <f>HYPERLINK("http://www.uniprot.org/uniprot/M5WJ67","M5WJ67")</f>
        <v>M5WJ67</v>
      </c>
      <c r="D6502" s="2" t="s">
        <v>5848</v>
      </c>
      <c r="E6502" s="3">
        <v>0</v>
      </c>
      <c r="F6502" s="2">
        <v>4190</v>
      </c>
      <c r="G6502" s="2">
        <v>100</v>
      </c>
      <c r="H6502" s="2">
        <v>803</v>
      </c>
      <c r="I6502" s="2">
        <v>149</v>
      </c>
      <c r="J6502" s="2">
        <v>2557</v>
      </c>
      <c r="K6502" s="2">
        <v>1</v>
      </c>
      <c r="L6502" s="2">
        <v>803</v>
      </c>
    </row>
    <row r="6503" spans="1:12" x14ac:dyDescent="0.25">
      <c r="A6503" s="4" t="str">
        <f>HYPERLINK("http://www.rosaceae.org/Prunus/Prunus_persica/p.persica_gdr_reftransV1_0024869","p.persica_gdr_reftransV1_0024869")</f>
        <v>p.persica_gdr_reftransV1_0024869</v>
      </c>
      <c r="B6503" s="2">
        <v>596</v>
      </c>
      <c r="C6503" s="4" t="str">
        <f>HYPERLINK("http://www.uniprot.org/uniprot/M5XDV3","M5XDV3")</f>
        <v>M5XDV3</v>
      </c>
      <c r="D6503" s="2" t="s">
        <v>5849</v>
      </c>
      <c r="E6503" s="3">
        <v>1.7899999999999999E-17</v>
      </c>
      <c r="F6503" s="2">
        <v>218</v>
      </c>
      <c r="G6503" s="2">
        <v>100</v>
      </c>
      <c r="H6503" s="2">
        <v>76</v>
      </c>
      <c r="I6503" s="2">
        <v>2</v>
      </c>
      <c r="J6503" s="2">
        <v>229</v>
      </c>
      <c r="K6503" s="2">
        <v>1</v>
      </c>
      <c r="L6503" s="2">
        <v>76</v>
      </c>
    </row>
    <row r="6504" spans="1:12" x14ac:dyDescent="0.25">
      <c r="A6504" s="4" t="str">
        <f>HYPERLINK("http://www.rosaceae.org/Prunus/Prunus_persica/p.persica_gdr_reftransV1_0025569","p.persica_gdr_reftransV1_0025569")</f>
        <v>p.persica_gdr_reftransV1_0025569</v>
      </c>
      <c r="B6504" s="2">
        <v>1949</v>
      </c>
      <c r="C6504" s="4" t="str">
        <f>HYPERLINK("http://www.uniprot.org/uniprot/M5XVY7","M5XVY7")</f>
        <v>M5XVY7</v>
      </c>
      <c r="D6504" s="2" t="s">
        <v>5850</v>
      </c>
      <c r="E6504" s="3">
        <v>0</v>
      </c>
      <c r="F6504" s="2">
        <v>1776</v>
      </c>
      <c r="G6504" s="2">
        <v>94</v>
      </c>
      <c r="H6504" s="2">
        <v>451</v>
      </c>
      <c r="I6504" s="2">
        <v>425</v>
      </c>
      <c r="J6504" s="2">
        <v>1777</v>
      </c>
      <c r="K6504" s="2">
        <v>21</v>
      </c>
      <c r="L6504" s="2">
        <v>447</v>
      </c>
    </row>
    <row r="6505" spans="1:12" x14ac:dyDescent="0.25">
      <c r="A6505" s="4" t="str">
        <f>HYPERLINK("http://www.rosaceae.org/Prunus/Prunus_persica/p.persica_gdr_reftransV1_0025919","p.persica_gdr_reftransV1_0025919")</f>
        <v>p.persica_gdr_reftransV1_0025919</v>
      </c>
      <c r="B6505" s="2">
        <v>5623</v>
      </c>
      <c r="C6505" s="4" t="str">
        <f>HYPERLINK("http://www.uniprot.org/uniprot/M5VSG7","M5VSG7")</f>
        <v>M5VSG7</v>
      </c>
      <c r="D6505" s="2" t="s">
        <v>5851</v>
      </c>
      <c r="E6505" s="3">
        <v>0</v>
      </c>
      <c r="F6505" s="2">
        <v>7610</v>
      </c>
      <c r="G6505" s="2">
        <v>100</v>
      </c>
      <c r="H6505" s="2">
        <v>1509</v>
      </c>
      <c r="I6505" s="2">
        <v>453</v>
      </c>
      <c r="J6505" s="2">
        <v>4961</v>
      </c>
      <c r="K6505" s="2">
        <v>1</v>
      </c>
      <c r="L6505" s="2">
        <v>1509</v>
      </c>
    </row>
    <row r="6506" spans="1:12" x14ac:dyDescent="0.25">
      <c r="A6506" s="4" t="str">
        <f>HYPERLINK("http://www.rosaceae.org/Prunus/Prunus_persica/p.persica_gdr_reftransV1_0026619","p.persica_gdr_reftransV1_0026619")</f>
        <v>p.persica_gdr_reftransV1_0026619</v>
      </c>
      <c r="B6506" s="2">
        <v>3626</v>
      </c>
      <c r="C6506" s="4" t="str">
        <f>HYPERLINK("http://www.uniprot.org/uniprot/M5XK13","M5XK13")</f>
        <v>M5XK13</v>
      </c>
      <c r="D6506" s="2" t="s">
        <v>5852</v>
      </c>
      <c r="E6506" s="3">
        <v>0</v>
      </c>
      <c r="F6506" s="2">
        <v>2554</v>
      </c>
      <c r="G6506" s="2">
        <v>100</v>
      </c>
      <c r="H6506" s="2">
        <v>493</v>
      </c>
      <c r="I6506" s="2">
        <v>1834</v>
      </c>
      <c r="J6506" s="2">
        <v>3312</v>
      </c>
      <c r="K6506" s="2">
        <v>1</v>
      </c>
      <c r="L6506" s="2">
        <v>493</v>
      </c>
    </row>
    <row r="6507" spans="1:12" x14ac:dyDescent="0.25">
      <c r="A6507" s="4" t="str">
        <f>HYPERLINK("http://www.rosaceae.org/Prunus/Prunus_persica/p.persica_gdr_reftransV1_0027319","p.persica_gdr_reftransV1_0027319")</f>
        <v>p.persica_gdr_reftransV1_0027319</v>
      </c>
      <c r="B6507" s="2">
        <v>902</v>
      </c>
      <c r="C6507" s="4" t="str">
        <f>HYPERLINK("http://www.uniprot.org/uniprot/M5VTM1","M5VTM1")</f>
        <v>M5VTM1</v>
      </c>
      <c r="D6507" s="2" t="s">
        <v>5853</v>
      </c>
      <c r="E6507" s="3">
        <v>2.8599999999999998E-102</v>
      </c>
      <c r="F6507" s="2">
        <v>789</v>
      </c>
      <c r="G6507" s="2">
        <v>99</v>
      </c>
      <c r="H6507" s="2">
        <v>163</v>
      </c>
      <c r="I6507" s="2">
        <v>310</v>
      </c>
      <c r="J6507" s="2">
        <v>798</v>
      </c>
      <c r="K6507" s="2">
        <v>1</v>
      </c>
      <c r="L6507" s="2">
        <v>163</v>
      </c>
    </row>
    <row r="6508" spans="1:12" x14ac:dyDescent="0.25">
      <c r="A6508" s="4" t="str">
        <f>HYPERLINK("http://www.rosaceae.org/Prunus/Prunus_persica/p.persica_gdr_reftransV1_0027669","p.persica_gdr_reftransV1_0027669")</f>
        <v>p.persica_gdr_reftransV1_0027669</v>
      </c>
      <c r="B6508" s="2">
        <v>2446</v>
      </c>
      <c r="C6508" s="4" t="str">
        <f>HYPERLINK("http://www.uniprot.org/uniprot/M5XAR1","M5XAR1")</f>
        <v>M5XAR1</v>
      </c>
      <c r="D6508" s="2" t="s">
        <v>5854</v>
      </c>
      <c r="E6508" s="3">
        <v>0</v>
      </c>
      <c r="F6508" s="2">
        <v>2520</v>
      </c>
      <c r="G6508" s="2">
        <v>100</v>
      </c>
      <c r="H6508" s="2">
        <v>478</v>
      </c>
      <c r="I6508" s="2">
        <v>291</v>
      </c>
      <c r="J6508" s="2">
        <v>1724</v>
      </c>
      <c r="K6508" s="2">
        <v>155</v>
      </c>
      <c r="L6508" s="2">
        <v>632</v>
      </c>
    </row>
    <row r="6509" spans="1:12" x14ac:dyDescent="0.25">
      <c r="A6509" s="4" t="str">
        <f>HYPERLINK("http://www.rosaceae.org/Prunus/Prunus_persica/p.persica_gdr_reftransV1_0028369","p.persica_gdr_reftransV1_0028369")</f>
        <v>p.persica_gdr_reftransV1_0028369</v>
      </c>
      <c r="B6509" s="2">
        <v>1902</v>
      </c>
      <c r="C6509" s="4" t="str">
        <f>HYPERLINK("http://www.uniprot.org/uniprot/I1JHJ4","I1JHJ4")</f>
        <v>I1JHJ4</v>
      </c>
      <c r="D6509" s="2" t="s">
        <v>5855</v>
      </c>
      <c r="E6509" s="3">
        <v>0</v>
      </c>
      <c r="F6509" s="2">
        <v>1562</v>
      </c>
      <c r="G6509" s="2">
        <v>68</v>
      </c>
      <c r="H6509" s="2">
        <v>528</v>
      </c>
      <c r="I6509" s="2">
        <v>301</v>
      </c>
      <c r="J6509" s="2">
        <v>1863</v>
      </c>
      <c r="K6509" s="2">
        <v>5</v>
      </c>
      <c r="L6509" s="2">
        <v>524</v>
      </c>
    </row>
    <row r="6510" spans="1:12" x14ac:dyDescent="0.25">
      <c r="A6510" s="4" t="str">
        <f>HYPERLINK("http://www.rosaceae.org/Prunus/Prunus_persica/p.persica_gdr_reftransV1_0028719","p.persica_gdr_reftransV1_0028719")</f>
        <v>p.persica_gdr_reftransV1_0028719</v>
      </c>
      <c r="B6510" s="2">
        <v>2547</v>
      </c>
      <c r="C6510" s="4" t="str">
        <f>HYPERLINK("http://www.uniprot.org/uniprot/M5WQE0","M5WQE0")</f>
        <v>M5WQE0</v>
      </c>
      <c r="D6510" s="2" t="s">
        <v>5856</v>
      </c>
      <c r="E6510" s="3">
        <v>0</v>
      </c>
      <c r="F6510" s="2">
        <v>3521</v>
      </c>
      <c r="G6510" s="2">
        <v>100</v>
      </c>
      <c r="H6510" s="2">
        <v>700</v>
      </c>
      <c r="I6510" s="2">
        <v>279</v>
      </c>
      <c r="J6510" s="2">
        <v>2378</v>
      </c>
      <c r="K6510" s="2">
        <v>1</v>
      </c>
      <c r="L6510" s="2">
        <v>700</v>
      </c>
    </row>
    <row r="6511" spans="1:12" x14ac:dyDescent="0.25">
      <c r="A6511" s="4" t="str">
        <f>HYPERLINK("http://www.rosaceae.org/Prunus/Prunus_persica/p.persica_gdr_reftransV1_0029069","p.persica_gdr_reftransV1_0029069")</f>
        <v>p.persica_gdr_reftransV1_0029069</v>
      </c>
      <c r="B6511" s="2">
        <v>1684</v>
      </c>
      <c r="C6511" s="4" t="str">
        <f>HYPERLINK("http://www.uniprot.org/uniprot/M5WPL7","M5WPL7")</f>
        <v>M5WPL7</v>
      </c>
      <c r="D6511" s="2" t="s">
        <v>5857</v>
      </c>
      <c r="E6511" s="3">
        <v>0</v>
      </c>
      <c r="F6511" s="2">
        <v>1732</v>
      </c>
      <c r="G6511" s="2">
        <v>99</v>
      </c>
      <c r="H6511" s="2">
        <v>328</v>
      </c>
      <c r="I6511" s="2">
        <v>3</v>
      </c>
      <c r="J6511" s="2">
        <v>986</v>
      </c>
      <c r="K6511" s="2">
        <v>410</v>
      </c>
      <c r="L6511" s="2">
        <v>737</v>
      </c>
    </row>
    <row r="6512" spans="1:12" x14ac:dyDescent="0.25">
      <c r="A6512" s="4" t="str">
        <f>HYPERLINK("http://www.rosaceae.org/Prunus/Prunus_persica/p.persica_gdr_reftransV1_0031869","p.persica_gdr_reftransV1_0031869")</f>
        <v>p.persica_gdr_reftransV1_0031869</v>
      </c>
      <c r="B6512" s="2">
        <v>1693</v>
      </c>
      <c r="C6512" s="4" t="str">
        <f>HYPERLINK("http://www.uniprot.org/uniprot/M5WQW3","M5WQW3")</f>
        <v>M5WQW3</v>
      </c>
      <c r="D6512" s="2" t="s">
        <v>5858</v>
      </c>
      <c r="E6512" s="3">
        <v>0</v>
      </c>
      <c r="F6512" s="2">
        <v>2632</v>
      </c>
      <c r="G6512" s="2">
        <v>100</v>
      </c>
      <c r="H6512" s="2">
        <v>503</v>
      </c>
      <c r="I6512" s="2">
        <v>184</v>
      </c>
      <c r="J6512" s="2">
        <v>1692</v>
      </c>
      <c r="K6512" s="2">
        <v>1</v>
      </c>
      <c r="L6512" s="2">
        <v>503</v>
      </c>
    </row>
    <row r="6513" spans="1:12" x14ac:dyDescent="0.25">
      <c r="A6513" s="4" t="str">
        <f>HYPERLINK("http://www.rosaceae.org/Prunus/Prunus_persica/p.persica_gdr_reftransV1_0032919","p.persica_gdr_reftransV1_0032919")</f>
        <v>p.persica_gdr_reftransV1_0032919</v>
      </c>
      <c r="B6513" s="2">
        <v>1794</v>
      </c>
      <c r="C6513" s="4" t="str">
        <f>HYPERLINK("http://www.uniprot.org/uniprot/M5WSI0","M5WSI0")</f>
        <v>M5WSI0</v>
      </c>
      <c r="D6513" s="2" t="s">
        <v>5859</v>
      </c>
      <c r="E6513" s="3">
        <v>2.6100000000000001E-155</v>
      </c>
      <c r="F6513" s="2">
        <v>1189</v>
      </c>
      <c r="G6513" s="2">
        <v>100</v>
      </c>
      <c r="H6513" s="2">
        <v>220</v>
      </c>
      <c r="I6513" s="2">
        <v>864</v>
      </c>
      <c r="J6513" s="2">
        <v>1523</v>
      </c>
      <c r="K6513" s="2">
        <v>147</v>
      </c>
      <c r="L6513" s="2">
        <v>366</v>
      </c>
    </row>
    <row r="6514" spans="1:12" x14ac:dyDescent="0.25">
      <c r="A6514" s="4" t="str">
        <f>HYPERLINK("http://www.rosaceae.org/Prunus/Prunus_persica/p.persica_gdr_reftransV1_0034319","p.persica_gdr_reftransV1_0034319")</f>
        <v>p.persica_gdr_reftransV1_0034319</v>
      </c>
      <c r="B6514" s="2">
        <v>2198</v>
      </c>
      <c r="C6514" s="4" t="str">
        <f>HYPERLINK("http://www.uniprot.org/uniprot/M5WR48","M5WR48")</f>
        <v>M5WR48</v>
      </c>
      <c r="D6514" s="2" t="s">
        <v>5860</v>
      </c>
      <c r="E6514" s="3">
        <v>0</v>
      </c>
      <c r="F6514" s="2">
        <v>2402</v>
      </c>
      <c r="G6514" s="2">
        <v>100</v>
      </c>
      <c r="H6514" s="2">
        <v>553</v>
      </c>
      <c r="I6514" s="2">
        <v>155</v>
      </c>
      <c r="J6514" s="2">
        <v>1813</v>
      </c>
      <c r="K6514" s="2">
        <v>42</v>
      </c>
      <c r="L6514" s="2">
        <v>594</v>
      </c>
    </row>
    <row r="6515" spans="1:12" x14ac:dyDescent="0.25">
      <c r="A6515" s="4" t="str">
        <f>HYPERLINK("http://www.rosaceae.org/Prunus/Prunus_persica/p.persica_gdr_reftransV1_0035019","p.persica_gdr_reftransV1_0035019")</f>
        <v>p.persica_gdr_reftransV1_0035019</v>
      </c>
      <c r="B6515" s="2">
        <v>2299</v>
      </c>
      <c r="C6515" s="4" t="str">
        <f>HYPERLINK("http://www.uniprot.org/uniprot/M5XTY2","M5XTY2")</f>
        <v>M5XTY2</v>
      </c>
      <c r="D6515" s="2" t="s">
        <v>5861</v>
      </c>
      <c r="E6515" s="3">
        <v>0</v>
      </c>
      <c r="F6515" s="2">
        <v>1757</v>
      </c>
      <c r="G6515" s="2">
        <v>93</v>
      </c>
      <c r="H6515" s="2">
        <v>363</v>
      </c>
      <c r="I6515" s="2">
        <v>350</v>
      </c>
      <c r="J6515" s="2">
        <v>1438</v>
      </c>
      <c r="K6515" s="2">
        <v>101</v>
      </c>
      <c r="L6515" s="2">
        <v>439</v>
      </c>
    </row>
    <row r="6516" spans="1:12" x14ac:dyDescent="0.25">
      <c r="A6516" s="4" t="str">
        <f>HYPERLINK("http://www.rosaceae.org/Prunus/Prunus_persica/p.persica_gdr_reftransV1_0036419","p.persica_gdr_reftransV1_0036419")</f>
        <v>p.persica_gdr_reftransV1_0036419</v>
      </c>
      <c r="B6516" s="2">
        <v>3899</v>
      </c>
      <c r="C6516" s="4" t="str">
        <f>HYPERLINK("http://www.uniprot.org/uniprot/M5W2Q4","M5W2Q4")</f>
        <v>M5W2Q4</v>
      </c>
      <c r="D6516" s="2" t="s">
        <v>5862</v>
      </c>
      <c r="E6516" s="3">
        <v>7.6400000000000006E-176</v>
      </c>
      <c r="F6516" s="2">
        <v>1370</v>
      </c>
      <c r="G6516" s="2">
        <v>98</v>
      </c>
      <c r="H6516" s="2">
        <v>286</v>
      </c>
      <c r="I6516" s="2">
        <v>2680</v>
      </c>
      <c r="J6516" s="2">
        <v>3537</v>
      </c>
      <c r="K6516" s="2">
        <v>1</v>
      </c>
      <c r="L6516" s="2">
        <v>282</v>
      </c>
    </row>
    <row r="6517" spans="1:12" x14ac:dyDescent="0.25">
      <c r="A6517" s="4" t="str">
        <f>HYPERLINK("http://www.rosaceae.org/Prunus/Prunus_persica/p.persica_gdr_reftransV1_0036769","p.persica_gdr_reftransV1_0036769")</f>
        <v>p.persica_gdr_reftransV1_0036769</v>
      </c>
      <c r="B6517" s="2">
        <v>927</v>
      </c>
      <c r="C6517" s="4" t="str">
        <f>HYPERLINK("http://www.uniprot.org/uniprot/M5Y0C2","M5Y0C2")</f>
        <v>M5Y0C2</v>
      </c>
      <c r="D6517" s="2" t="s">
        <v>334</v>
      </c>
      <c r="E6517" s="3">
        <v>3.1800000000000002E-76</v>
      </c>
      <c r="F6517" s="2">
        <v>623</v>
      </c>
      <c r="G6517" s="2">
        <v>100</v>
      </c>
      <c r="H6517" s="2">
        <v>120</v>
      </c>
      <c r="I6517" s="2">
        <v>567</v>
      </c>
      <c r="J6517" s="2">
        <v>926</v>
      </c>
      <c r="K6517" s="2">
        <v>1</v>
      </c>
      <c r="L6517" s="2">
        <v>120</v>
      </c>
    </row>
    <row r="6518" spans="1:12" x14ac:dyDescent="0.25">
      <c r="A6518" s="4" t="str">
        <f>HYPERLINK("http://www.rosaceae.org/Prunus/Prunus_persica/p.persica_gdr_reftransV1_0039569","p.persica_gdr_reftransV1_0039569")</f>
        <v>p.persica_gdr_reftransV1_0039569</v>
      </c>
      <c r="B6518" s="2">
        <v>2677</v>
      </c>
      <c r="C6518" s="4" t="str">
        <f>HYPERLINK("http://www.uniprot.org/uniprot/M5XEF8","M5XEF8")</f>
        <v>M5XEF8</v>
      </c>
      <c r="D6518" s="2" t="s">
        <v>5863</v>
      </c>
      <c r="E6518" s="3">
        <v>0</v>
      </c>
      <c r="F6518" s="2">
        <v>1819</v>
      </c>
      <c r="G6518" s="2">
        <v>100</v>
      </c>
      <c r="H6518" s="2">
        <v>399</v>
      </c>
      <c r="I6518" s="2">
        <v>345</v>
      </c>
      <c r="J6518" s="2">
        <v>1541</v>
      </c>
      <c r="K6518" s="2">
        <v>1</v>
      </c>
      <c r="L6518" s="2">
        <v>399</v>
      </c>
    </row>
    <row r="6519" spans="1:12" x14ac:dyDescent="0.25">
      <c r="A6519" s="4" t="str">
        <f>HYPERLINK("http://www.rosaceae.org/Prunus/Prunus_persica/p.persica_gdr_reftransV1_0040269","p.persica_gdr_reftransV1_0040269")</f>
        <v>p.persica_gdr_reftransV1_0040269</v>
      </c>
      <c r="B6519" s="2">
        <v>896</v>
      </c>
      <c r="C6519" s="4" t="str">
        <f>HYPERLINK("http://www.uniprot.org/uniprot/V5RPQ2","V5RPQ2")</f>
        <v>V5RPQ2</v>
      </c>
      <c r="D6519" s="2" t="s">
        <v>5864</v>
      </c>
      <c r="E6519" s="3">
        <v>2.7300000000000001E-51</v>
      </c>
      <c r="F6519" s="2">
        <v>454</v>
      </c>
      <c r="G6519" s="2">
        <v>100</v>
      </c>
      <c r="H6519" s="2">
        <v>103</v>
      </c>
      <c r="I6519" s="2">
        <v>588</v>
      </c>
      <c r="J6519" s="2">
        <v>896</v>
      </c>
      <c r="K6519" s="2">
        <v>119</v>
      </c>
      <c r="L6519" s="2">
        <v>221</v>
      </c>
    </row>
    <row r="6520" spans="1:12" x14ac:dyDescent="0.25">
      <c r="A6520" s="4" t="str">
        <f>HYPERLINK("http://www.rosaceae.org/Prunus/Prunus_persica/p.persica_gdr_reftransV1_0040619","p.persica_gdr_reftransV1_0040619")</f>
        <v>p.persica_gdr_reftransV1_0040619</v>
      </c>
      <c r="B6520" s="2">
        <v>646</v>
      </c>
      <c r="C6520" s="4" t="str">
        <f>HYPERLINK("http://www.uniprot.org/uniprot/M5XKM3","M5XKM3")</f>
        <v>M5XKM3</v>
      </c>
      <c r="D6520" s="2" t="s">
        <v>5865</v>
      </c>
      <c r="E6520" s="3">
        <v>1.1E-16</v>
      </c>
      <c r="F6520" s="2">
        <v>206</v>
      </c>
      <c r="G6520" s="2">
        <v>100</v>
      </c>
      <c r="H6520" s="2">
        <v>41</v>
      </c>
      <c r="I6520" s="2">
        <v>1</v>
      </c>
      <c r="J6520" s="2">
        <v>123</v>
      </c>
      <c r="K6520" s="2">
        <v>130</v>
      </c>
      <c r="L6520" s="2">
        <v>170</v>
      </c>
    </row>
    <row r="6521" spans="1:12" x14ac:dyDescent="0.25">
      <c r="A6521" s="4" t="str">
        <f>HYPERLINK("http://www.rosaceae.org/Prunus/Prunus_persica/p.persica_gdr_reftransV1_0040969","p.persica_gdr_reftransV1_0040969")</f>
        <v>p.persica_gdr_reftransV1_0040969</v>
      </c>
      <c r="B6521" s="2">
        <v>6865</v>
      </c>
      <c r="C6521" s="4" t="str">
        <f>HYPERLINK("http://www.uniprot.org/uniprot/M5XJT0","M5XJT0")</f>
        <v>M5XJT0</v>
      </c>
      <c r="D6521" s="2" t="s">
        <v>4928</v>
      </c>
      <c r="E6521" s="3">
        <v>0</v>
      </c>
      <c r="F6521" s="2">
        <v>5727</v>
      </c>
      <c r="G6521" s="2">
        <v>100</v>
      </c>
      <c r="H6521" s="2">
        <v>1103</v>
      </c>
      <c r="I6521" s="2">
        <v>721</v>
      </c>
      <c r="J6521" s="2">
        <v>4029</v>
      </c>
      <c r="K6521" s="2">
        <v>61</v>
      </c>
      <c r="L6521" s="2">
        <v>1163</v>
      </c>
    </row>
    <row r="6522" spans="1:12" x14ac:dyDescent="0.25">
      <c r="A6522" s="4" t="str">
        <f>HYPERLINK("http://www.rosaceae.org/Prunus/Prunus_persica/p.persica_gdr_reftransV1_0042719","p.persica_gdr_reftransV1_0042719")</f>
        <v>p.persica_gdr_reftransV1_0042719</v>
      </c>
      <c r="B6522" s="2">
        <v>3478</v>
      </c>
      <c r="C6522" s="4" t="str">
        <f>HYPERLINK("http://www.uniprot.org/uniprot/M5VSW8","M5VSW8")</f>
        <v>M5VSW8</v>
      </c>
      <c r="D6522" s="2" t="s">
        <v>5866</v>
      </c>
      <c r="E6522" s="3">
        <v>0</v>
      </c>
      <c r="F6522" s="2">
        <v>4702</v>
      </c>
      <c r="G6522" s="2">
        <v>97</v>
      </c>
      <c r="H6522" s="2">
        <v>927</v>
      </c>
      <c r="I6522" s="2">
        <v>190</v>
      </c>
      <c r="J6522" s="2">
        <v>2970</v>
      </c>
      <c r="K6522" s="2">
        <v>1</v>
      </c>
      <c r="L6522" s="2">
        <v>898</v>
      </c>
    </row>
    <row r="6523" spans="1:12" x14ac:dyDescent="0.25">
      <c r="A6523" s="4" t="str">
        <f>HYPERLINK("http://www.rosaceae.org/Prunus/Prunus_persica/p.persica_gdr_reftransV1_0043069","p.persica_gdr_reftransV1_0043069")</f>
        <v>p.persica_gdr_reftransV1_0043069</v>
      </c>
      <c r="B6523" s="2">
        <v>1995</v>
      </c>
      <c r="C6523" s="4" t="str">
        <f>HYPERLINK("http://www.uniprot.org/uniprot/A0A090J861","A0A090J861")</f>
        <v>A0A090J861</v>
      </c>
      <c r="D6523" s="2" t="s">
        <v>5867</v>
      </c>
      <c r="E6523" s="3">
        <v>0</v>
      </c>
      <c r="F6523" s="2">
        <v>3438</v>
      </c>
      <c r="G6523" s="2">
        <v>100</v>
      </c>
      <c r="H6523" s="2">
        <v>664</v>
      </c>
      <c r="I6523" s="2">
        <v>4</v>
      </c>
      <c r="J6523" s="2">
        <v>1995</v>
      </c>
      <c r="K6523" s="2">
        <v>147</v>
      </c>
      <c r="L6523" s="2">
        <v>810</v>
      </c>
    </row>
    <row r="6524" spans="1:12" x14ac:dyDescent="0.25">
      <c r="A6524" s="4" t="str">
        <f>HYPERLINK("http://www.rosaceae.org/Prunus/Prunus_persica/p.persica_gdr_reftransV1_0043769","p.persica_gdr_reftransV1_0043769")</f>
        <v>p.persica_gdr_reftransV1_0043769</v>
      </c>
      <c r="B6524" s="2">
        <v>3001</v>
      </c>
      <c r="C6524" s="4" t="str">
        <f>HYPERLINK("http://www.uniprot.org/uniprot/M5W4N5","M5W4N5")</f>
        <v>M5W4N5</v>
      </c>
      <c r="D6524" s="2" t="s">
        <v>3635</v>
      </c>
      <c r="E6524" s="3">
        <v>0</v>
      </c>
      <c r="F6524" s="2">
        <v>4375</v>
      </c>
      <c r="G6524" s="2">
        <v>98</v>
      </c>
      <c r="H6524" s="2">
        <v>847</v>
      </c>
      <c r="I6524" s="2">
        <v>155</v>
      </c>
      <c r="J6524" s="2">
        <v>2695</v>
      </c>
      <c r="K6524" s="2">
        <v>1</v>
      </c>
      <c r="L6524" s="2">
        <v>834</v>
      </c>
    </row>
    <row r="6525" spans="1:12" x14ac:dyDescent="0.25">
      <c r="A6525" s="4" t="str">
        <f>HYPERLINK("http://www.rosaceae.org/Prunus/Prunus_persica/p.persica_gdr_reftransV1_0044119","p.persica_gdr_reftransV1_0044119")</f>
        <v>p.persica_gdr_reftransV1_0044119</v>
      </c>
      <c r="B6525" s="2">
        <v>706</v>
      </c>
      <c r="C6525" s="4" t="str">
        <f>HYPERLINK("http://www.uniprot.org/uniprot/M5XG32","M5XG32")</f>
        <v>M5XG32</v>
      </c>
      <c r="D6525" s="2" t="s">
        <v>5868</v>
      </c>
      <c r="E6525" s="3">
        <v>2.59E-44</v>
      </c>
      <c r="F6525" s="2">
        <v>390</v>
      </c>
      <c r="G6525" s="2">
        <v>100</v>
      </c>
      <c r="H6525" s="2">
        <v>72</v>
      </c>
      <c r="I6525" s="2">
        <v>99</v>
      </c>
      <c r="J6525" s="2">
        <v>314</v>
      </c>
      <c r="K6525" s="2">
        <v>1</v>
      </c>
      <c r="L6525" s="2">
        <v>72</v>
      </c>
    </row>
    <row r="6526" spans="1:12" x14ac:dyDescent="0.25">
      <c r="A6526" s="4" t="str">
        <f>HYPERLINK("http://www.rosaceae.org/Prunus/Prunus_persica/p.persica_gdr_reftransV1_0044469","p.persica_gdr_reftransV1_0044469")</f>
        <v>p.persica_gdr_reftransV1_0044469</v>
      </c>
      <c r="B6526" s="2">
        <v>450</v>
      </c>
      <c r="C6526" s="4" t="str">
        <f>HYPERLINK("http://www.uniprot.org/uniprot/M5W9A8","M5W9A8")</f>
        <v>M5W9A8</v>
      </c>
      <c r="D6526" s="2" t="s">
        <v>5869</v>
      </c>
      <c r="E6526" s="3">
        <v>6.0199999999999999E-100</v>
      </c>
      <c r="F6526" s="2">
        <v>788</v>
      </c>
      <c r="G6526" s="2">
        <v>99</v>
      </c>
      <c r="H6526" s="2">
        <v>148</v>
      </c>
      <c r="I6526" s="2">
        <v>1</v>
      </c>
      <c r="J6526" s="2">
        <v>444</v>
      </c>
      <c r="K6526" s="2">
        <v>284</v>
      </c>
      <c r="L6526" s="2">
        <v>431</v>
      </c>
    </row>
    <row r="6527" spans="1:12" x14ac:dyDescent="0.25">
      <c r="A6527" s="4" t="str">
        <f>HYPERLINK("http://www.rosaceae.org/Prunus/Prunus_persica/p.persica_gdr_reftransV1_0045169","p.persica_gdr_reftransV1_0045169")</f>
        <v>p.persica_gdr_reftransV1_0045169</v>
      </c>
      <c r="B6527" s="2">
        <v>1070</v>
      </c>
      <c r="C6527" s="4" t="str">
        <f>HYPERLINK("http://www.uniprot.org/uniprot/M5W8W3","M5W8W3")</f>
        <v>M5W8W3</v>
      </c>
      <c r="D6527" s="2" t="s">
        <v>5870</v>
      </c>
      <c r="E6527" s="3">
        <v>3.34E-102</v>
      </c>
      <c r="F6527" s="2">
        <v>793</v>
      </c>
      <c r="G6527" s="2">
        <v>100</v>
      </c>
      <c r="H6527" s="2">
        <v>153</v>
      </c>
      <c r="I6527" s="2">
        <v>263</v>
      </c>
      <c r="J6527" s="2">
        <v>721</v>
      </c>
      <c r="K6527" s="2">
        <v>1</v>
      </c>
      <c r="L6527" s="2">
        <v>153</v>
      </c>
    </row>
    <row r="6528" spans="1:12" x14ac:dyDescent="0.25">
      <c r="A6528" s="4" t="str">
        <f>HYPERLINK("http://www.rosaceae.org/Prunus/Prunus_persica/p.persica_gdr_reftransV1_0045519","p.persica_gdr_reftransV1_0045519")</f>
        <v>p.persica_gdr_reftransV1_0045519</v>
      </c>
      <c r="B6528" s="2">
        <v>910</v>
      </c>
      <c r="C6528" s="4" t="str">
        <f>HYPERLINK("http://www.uniprot.org/uniprot/M5XS28","M5XS28")</f>
        <v>M5XS28</v>
      </c>
      <c r="D6528" s="2" t="s">
        <v>5871</v>
      </c>
      <c r="E6528" s="3">
        <v>1.6E-119</v>
      </c>
      <c r="F6528" s="2">
        <v>905</v>
      </c>
      <c r="G6528" s="2">
        <v>100</v>
      </c>
      <c r="H6528" s="2">
        <v>183</v>
      </c>
      <c r="I6528" s="2">
        <v>286</v>
      </c>
      <c r="J6528" s="2">
        <v>834</v>
      </c>
      <c r="K6528" s="2">
        <v>1</v>
      </c>
      <c r="L6528" s="2">
        <v>183</v>
      </c>
    </row>
    <row r="6529" spans="1:12" x14ac:dyDescent="0.25">
      <c r="A6529" s="4" t="str">
        <f>HYPERLINK("http://www.rosaceae.org/Prunus/Prunus_persica/p.persica_gdr_reftransV1_0045869","p.persica_gdr_reftransV1_0045869")</f>
        <v>p.persica_gdr_reftransV1_0045869</v>
      </c>
      <c r="B6529" s="2">
        <v>909</v>
      </c>
      <c r="C6529" s="4" t="str">
        <f>HYPERLINK("http://www.uniprot.org/uniprot/M5WV98","M5WV98")</f>
        <v>M5WV98</v>
      </c>
      <c r="D6529" s="2" t="s">
        <v>5872</v>
      </c>
      <c r="E6529" s="3">
        <v>7.5500000000000003E-86</v>
      </c>
      <c r="F6529" s="2">
        <v>685</v>
      </c>
      <c r="G6529" s="2">
        <v>100</v>
      </c>
      <c r="H6529" s="2">
        <v>142</v>
      </c>
      <c r="I6529" s="2">
        <v>220</v>
      </c>
      <c r="J6529" s="2">
        <v>645</v>
      </c>
      <c r="K6529" s="2">
        <v>56</v>
      </c>
      <c r="L6529" s="2">
        <v>197</v>
      </c>
    </row>
    <row r="6530" spans="1:12" x14ac:dyDescent="0.25">
      <c r="A6530" s="4" t="str">
        <f>HYPERLINK("http://www.rosaceae.org/Prunus/Prunus_persica/p.persica_gdr_reftransV1_0046569","p.persica_gdr_reftransV1_0046569")</f>
        <v>p.persica_gdr_reftransV1_0046569</v>
      </c>
      <c r="B6530" s="2">
        <v>1459</v>
      </c>
      <c r="C6530" s="4" t="str">
        <f>HYPERLINK("http://www.uniprot.org/uniprot/M5VLU3","M5VLU3")</f>
        <v>M5VLU3</v>
      </c>
      <c r="D6530" s="2" t="s">
        <v>1589</v>
      </c>
      <c r="E6530" s="3">
        <v>0</v>
      </c>
      <c r="F6530" s="2">
        <v>2032</v>
      </c>
      <c r="G6530" s="2">
        <v>100</v>
      </c>
      <c r="H6530" s="2">
        <v>432</v>
      </c>
      <c r="I6530" s="2">
        <v>164</v>
      </c>
      <c r="J6530" s="2">
        <v>1459</v>
      </c>
      <c r="K6530" s="2">
        <v>2487</v>
      </c>
      <c r="L6530" s="2">
        <v>2918</v>
      </c>
    </row>
    <row r="6531" spans="1:12" x14ac:dyDescent="0.25">
      <c r="A6531" s="4" t="str">
        <f>HYPERLINK("http://www.rosaceae.org/Prunus/Prunus_persica/p.persica_gdr_reftransV1_0046919","p.persica_gdr_reftransV1_0046919")</f>
        <v>p.persica_gdr_reftransV1_0046919</v>
      </c>
      <c r="B6531" s="2">
        <v>880</v>
      </c>
      <c r="C6531" s="4" t="str">
        <f>HYPERLINK("http://www.uniprot.org/uniprot/K4C9U5","K4C9U5")</f>
        <v>K4C9U5</v>
      </c>
      <c r="D6531" s="2" t="s">
        <v>5873</v>
      </c>
      <c r="E6531" s="3">
        <v>4.6499999999999996E-56</v>
      </c>
      <c r="F6531" s="2">
        <v>479</v>
      </c>
      <c r="G6531" s="2">
        <v>100</v>
      </c>
      <c r="H6531" s="2">
        <v>91</v>
      </c>
      <c r="I6531" s="2">
        <v>354</v>
      </c>
      <c r="J6531" s="2">
        <v>626</v>
      </c>
      <c r="K6531" s="2">
        <v>56</v>
      </c>
      <c r="L6531" s="2">
        <v>146</v>
      </c>
    </row>
    <row r="6532" spans="1:12" x14ac:dyDescent="0.25">
      <c r="A6532" s="4" t="str">
        <f>HYPERLINK("http://www.rosaceae.org/Prunus/Prunus_persica/p.persica_gdr_reftransV1_0047619","p.persica_gdr_reftransV1_0047619")</f>
        <v>p.persica_gdr_reftransV1_0047619</v>
      </c>
      <c r="B6532" s="2">
        <v>994</v>
      </c>
      <c r="C6532" s="4" t="str">
        <f>HYPERLINK("http://www.uniprot.org/uniprot/M5WB16","M5WB16")</f>
        <v>M5WB16</v>
      </c>
      <c r="D6532" s="2" t="s">
        <v>5874</v>
      </c>
      <c r="E6532" s="3">
        <v>0</v>
      </c>
      <c r="F6532" s="2">
        <v>1434</v>
      </c>
      <c r="G6532" s="2">
        <v>100</v>
      </c>
      <c r="H6532" s="2">
        <v>268</v>
      </c>
      <c r="I6532" s="2">
        <v>189</v>
      </c>
      <c r="J6532" s="2">
        <v>992</v>
      </c>
      <c r="K6532" s="2">
        <v>78</v>
      </c>
      <c r="L6532" s="2">
        <v>345</v>
      </c>
    </row>
    <row r="6533" spans="1:12" x14ac:dyDescent="0.25">
      <c r="A6533" s="4" t="str">
        <f>HYPERLINK("http://www.rosaceae.org/Prunus/Prunus_persica/p.persica_gdr_reftransV1_0047969","p.persica_gdr_reftransV1_0047969")</f>
        <v>p.persica_gdr_reftransV1_0047969</v>
      </c>
      <c r="B6533" s="2">
        <v>392</v>
      </c>
      <c r="C6533" s="4" t="str">
        <f>HYPERLINK("http://www.uniprot.org/uniprot/M4CZ43","M4CZ43")</f>
        <v>M4CZ43</v>
      </c>
      <c r="D6533" s="2" t="s">
        <v>5875</v>
      </c>
      <c r="E6533" s="3">
        <v>3.8499999999999998E-24</v>
      </c>
      <c r="F6533" s="2">
        <v>267</v>
      </c>
      <c r="G6533" s="2">
        <v>52</v>
      </c>
      <c r="H6533" s="2">
        <v>116</v>
      </c>
      <c r="I6533" s="2">
        <v>39</v>
      </c>
      <c r="J6533" s="2">
        <v>383</v>
      </c>
      <c r="K6533" s="2">
        <v>15</v>
      </c>
      <c r="L6533" s="2">
        <v>118</v>
      </c>
    </row>
    <row r="6534" spans="1:12" x14ac:dyDescent="0.25">
      <c r="A6534" s="4" t="str">
        <f>HYPERLINK("http://www.rosaceae.org/Prunus/Prunus_persica/p.persica_gdr_reftransV1_0048669","p.persica_gdr_reftransV1_0048669")</f>
        <v>p.persica_gdr_reftransV1_0048669</v>
      </c>
      <c r="B6534" s="2">
        <v>453</v>
      </c>
      <c r="C6534" s="4" t="str">
        <f>HYPERLINK("http://www.uniprot.org/uniprot/M5XKG4","M5XKG4")</f>
        <v>M5XKG4</v>
      </c>
      <c r="D6534" s="2" t="s">
        <v>5876</v>
      </c>
      <c r="E6534" s="3">
        <v>7.3199999999999996E-87</v>
      </c>
      <c r="F6534" s="2">
        <v>686</v>
      </c>
      <c r="G6534" s="2">
        <v>93</v>
      </c>
      <c r="H6534" s="2">
        <v>134</v>
      </c>
      <c r="I6534" s="2">
        <v>3</v>
      </c>
      <c r="J6534" s="2">
        <v>404</v>
      </c>
      <c r="K6534" s="2">
        <v>1</v>
      </c>
      <c r="L6534" s="2">
        <v>134</v>
      </c>
    </row>
    <row r="6535" spans="1:12" x14ac:dyDescent="0.25">
      <c r="A6535" s="4" t="str">
        <f>HYPERLINK("http://www.rosaceae.org/Prunus/Prunus_persica/p.persica_gdr_reftransV1_0049019","p.persica_gdr_reftransV1_0049019")</f>
        <v>p.persica_gdr_reftransV1_0049019</v>
      </c>
      <c r="B6535" s="2">
        <v>315</v>
      </c>
      <c r="C6535" s="4" t="str">
        <f>HYPERLINK("http://www.uniprot.org/uniprot/M5WXA6","M5WXA6")</f>
        <v>M5WXA6</v>
      </c>
      <c r="D6535" s="2" t="s">
        <v>5877</v>
      </c>
      <c r="E6535" s="3">
        <v>1.89E-68</v>
      </c>
      <c r="F6535" s="2">
        <v>569</v>
      </c>
      <c r="G6535" s="2">
        <v>100</v>
      </c>
      <c r="H6535" s="2">
        <v>104</v>
      </c>
      <c r="I6535" s="2">
        <v>2</v>
      </c>
      <c r="J6535" s="2">
        <v>313</v>
      </c>
      <c r="K6535" s="2">
        <v>320</v>
      </c>
      <c r="L6535" s="2">
        <v>423</v>
      </c>
    </row>
    <row r="6536" spans="1:12" x14ac:dyDescent="0.25">
      <c r="A6536" s="4" t="str">
        <f>HYPERLINK("http://www.rosaceae.org/Prunus/Prunus_persica/p.persica_gdr_reftransV1_0000191","p.persica_gdr_reftransV1_0000191")</f>
        <v>p.persica_gdr_reftransV1_0000191</v>
      </c>
      <c r="B6536" s="2">
        <v>1000</v>
      </c>
      <c r="C6536" s="4" t="str">
        <f>HYPERLINK("http://www.uniprot.org/uniprot/M5VS34","M5VS34")</f>
        <v>M5VS34</v>
      </c>
      <c r="D6536" s="2" t="s">
        <v>5878</v>
      </c>
      <c r="E6536" s="3">
        <v>3.1100000000000001E-120</v>
      </c>
      <c r="F6536" s="2">
        <v>913</v>
      </c>
      <c r="G6536" s="2">
        <v>100</v>
      </c>
      <c r="H6536" s="2">
        <v>184</v>
      </c>
      <c r="I6536" s="2">
        <v>316</v>
      </c>
      <c r="J6536" s="2">
        <v>867</v>
      </c>
      <c r="K6536" s="2">
        <v>1</v>
      </c>
      <c r="L6536" s="2">
        <v>184</v>
      </c>
    </row>
    <row r="6537" spans="1:12" x14ac:dyDescent="0.25">
      <c r="A6537" s="4" t="str">
        <f>HYPERLINK("http://www.rosaceae.org/Prunus/Prunus_persica/p.persica_gdr_reftransV1_0000541","p.persica_gdr_reftransV1_0000541")</f>
        <v>p.persica_gdr_reftransV1_0000541</v>
      </c>
      <c r="B6537" s="2">
        <v>417</v>
      </c>
      <c r="C6537" s="4" t="str">
        <f>HYPERLINK("http://www.uniprot.org/uniprot/M5WJW7","M5WJW7")</f>
        <v>M5WJW7</v>
      </c>
      <c r="D6537" s="2" t="s">
        <v>5879</v>
      </c>
      <c r="E6537" s="3">
        <v>1.54E-73</v>
      </c>
      <c r="F6537" s="2">
        <v>627</v>
      </c>
      <c r="G6537" s="2">
        <v>88</v>
      </c>
      <c r="H6537" s="2">
        <v>139</v>
      </c>
      <c r="I6537" s="2">
        <v>1</v>
      </c>
      <c r="J6537" s="2">
        <v>417</v>
      </c>
      <c r="K6537" s="2">
        <v>462</v>
      </c>
      <c r="L6537" s="2">
        <v>600</v>
      </c>
    </row>
    <row r="6538" spans="1:12" x14ac:dyDescent="0.25">
      <c r="A6538" s="4" t="str">
        <f>HYPERLINK("http://www.rosaceae.org/Prunus/Prunus_persica/p.persica_gdr_reftransV1_0001591","p.persica_gdr_reftransV1_0001591")</f>
        <v>p.persica_gdr_reftransV1_0001591</v>
      </c>
      <c r="B6538" s="2">
        <v>2262</v>
      </c>
      <c r="C6538" s="4" t="str">
        <f>HYPERLINK("http://www.uniprot.org/uniprot/M5VGT9","M5VGT9")</f>
        <v>M5VGT9</v>
      </c>
      <c r="D6538" s="2" t="s">
        <v>5880</v>
      </c>
      <c r="E6538" s="3">
        <v>0</v>
      </c>
      <c r="F6538" s="2">
        <v>1947</v>
      </c>
      <c r="G6538" s="2">
        <v>100</v>
      </c>
      <c r="H6538" s="2">
        <v>362</v>
      </c>
      <c r="I6538" s="2">
        <v>1065</v>
      </c>
      <c r="J6538" s="2">
        <v>2150</v>
      </c>
      <c r="K6538" s="2">
        <v>1</v>
      </c>
      <c r="L6538" s="2">
        <v>362</v>
      </c>
    </row>
    <row r="6539" spans="1:12" x14ac:dyDescent="0.25">
      <c r="A6539" s="4" t="str">
        <f>HYPERLINK("http://www.rosaceae.org/Prunus/Prunus_persica/p.persica_gdr_reftransV1_0001941","p.persica_gdr_reftransV1_0001941")</f>
        <v>p.persica_gdr_reftransV1_0001941</v>
      </c>
      <c r="B6539" s="2">
        <v>3529</v>
      </c>
      <c r="C6539" s="4" t="str">
        <f>HYPERLINK("http://www.uniprot.org/uniprot/M5W416","M5W416")</f>
        <v>M5W416</v>
      </c>
      <c r="D6539" s="2" t="s">
        <v>5881</v>
      </c>
      <c r="E6539" s="3">
        <v>0</v>
      </c>
      <c r="F6539" s="2">
        <v>4299</v>
      </c>
      <c r="G6539" s="2">
        <v>95</v>
      </c>
      <c r="H6539" s="2">
        <v>982</v>
      </c>
      <c r="I6539" s="2">
        <v>7</v>
      </c>
      <c r="J6539" s="2">
        <v>2943</v>
      </c>
      <c r="K6539" s="2">
        <v>87</v>
      </c>
      <c r="L6539" s="2">
        <v>1054</v>
      </c>
    </row>
    <row r="6540" spans="1:12" x14ac:dyDescent="0.25">
      <c r="A6540" s="4" t="str">
        <f>HYPERLINK("http://www.rosaceae.org/Prunus/Prunus_persica/p.persica_gdr_reftransV1_0002991","p.persica_gdr_reftransV1_0002991")</f>
        <v>p.persica_gdr_reftransV1_0002991</v>
      </c>
      <c r="B6540" s="2">
        <v>532</v>
      </c>
      <c r="C6540" s="4" t="str">
        <f>HYPERLINK("http://www.uniprot.org/uniprot/M5WSE4","M5WSE4")</f>
        <v>M5WSE4</v>
      </c>
      <c r="D6540" s="2" t="s">
        <v>5882</v>
      </c>
      <c r="E6540" s="3">
        <v>1.17E-48</v>
      </c>
      <c r="F6540" s="2">
        <v>434</v>
      </c>
      <c r="G6540" s="2">
        <v>100</v>
      </c>
      <c r="H6540" s="2">
        <v>127</v>
      </c>
      <c r="I6540" s="2">
        <v>35</v>
      </c>
      <c r="J6540" s="2">
        <v>415</v>
      </c>
      <c r="K6540" s="2">
        <v>1</v>
      </c>
      <c r="L6540" s="2">
        <v>127</v>
      </c>
    </row>
    <row r="6541" spans="1:12" x14ac:dyDescent="0.25">
      <c r="A6541" s="4" t="str">
        <f>HYPERLINK("http://www.rosaceae.org/Prunus/Prunus_persica/p.persica_gdr_reftransV1_0003341","p.persica_gdr_reftransV1_0003341")</f>
        <v>p.persica_gdr_reftransV1_0003341</v>
      </c>
      <c r="B6541" s="2">
        <v>2143</v>
      </c>
      <c r="C6541" s="4" t="str">
        <f>HYPERLINK("http://www.uniprot.org/uniprot/M5WXF8","M5WXF8")</f>
        <v>M5WXF8</v>
      </c>
      <c r="D6541" s="2" t="s">
        <v>1058</v>
      </c>
      <c r="E6541" s="3">
        <v>0</v>
      </c>
      <c r="F6541" s="2">
        <v>3167</v>
      </c>
      <c r="G6541" s="2">
        <v>100</v>
      </c>
      <c r="H6541" s="2">
        <v>599</v>
      </c>
      <c r="I6541" s="2">
        <v>345</v>
      </c>
      <c r="J6541" s="2">
        <v>2141</v>
      </c>
      <c r="K6541" s="2">
        <v>19</v>
      </c>
      <c r="L6541" s="2">
        <v>617</v>
      </c>
    </row>
    <row r="6542" spans="1:12" x14ac:dyDescent="0.25">
      <c r="A6542" s="4" t="str">
        <f>HYPERLINK("http://www.rosaceae.org/Prunus/Prunus_persica/p.persica_gdr_reftransV1_0003691","p.persica_gdr_reftransV1_0003691")</f>
        <v>p.persica_gdr_reftransV1_0003691</v>
      </c>
      <c r="B6542" s="2">
        <v>1677</v>
      </c>
      <c r="C6542" s="4" t="str">
        <f>HYPERLINK("http://www.uniprot.org/uniprot/M5XC57","M5XC57")</f>
        <v>M5XC57</v>
      </c>
      <c r="D6542" s="2" t="s">
        <v>5883</v>
      </c>
      <c r="E6542" s="3">
        <v>0</v>
      </c>
      <c r="F6542" s="2">
        <v>2058</v>
      </c>
      <c r="G6542" s="2">
        <v>100</v>
      </c>
      <c r="H6542" s="2">
        <v>391</v>
      </c>
      <c r="I6542" s="2">
        <v>290</v>
      </c>
      <c r="J6542" s="2">
        <v>1462</v>
      </c>
      <c r="K6542" s="2">
        <v>1</v>
      </c>
      <c r="L6542" s="2">
        <v>391</v>
      </c>
    </row>
    <row r="6543" spans="1:12" x14ac:dyDescent="0.25">
      <c r="A6543" s="4" t="str">
        <f>HYPERLINK("http://www.rosaceae.org/Prunus/Prunus_persica/p.persica_gdr_reftransV1_0005091","p.persica_gdr_reftransV1_0005091")</f>
        <v>p.persica_gdr_reftransV1_0005091</v>
      </c>
      <c r="B6543" s="2">
        <v>1089</v>
      </c>
      <c r="C6543" s="4" t="str">
        <f>HYPERLINK("http://www.uniprot.org/uniprot/M5VP51","M5VP51")</f>
        <v>M5VP51</v>
      </c>
      <c r="D6543" s="2" t="s">
        <v>5884</v>
      </c>
      <c r="E6543" s="3">
        <v>8.3700000000000005E-102</v>
      </c>
      <c r="F6543" s="2">
        <v>797</v>
      </c>
      <c r="G6543" s="2">
        <v>99</v>
      </c>
      <c r="H6543" s="2">
        <v>151</v>
      </c>
      <c r="I6543" s="2">
        <v>333</v>
      </c>
      <c r="J6543" s="2">
        <v>785</v>
      </c>
      <c r="K6543" s="2">
        <v>65</v>
      </c>
      <c r="L6543" s="2">
        <v>215</v>
      </c>
    </row>
    <row r="6544" spans="1:12" x14ac:dyDescent="0.25">
      <c r="A6544" s="4" t="str">
        <f>HYPERLINK("http://www.rosaceae.org/Prunus/Prunus_persica/p.persica_gdr_reftransV1_0005791","p.persica_gdr_reftransV1_0005791")</f>
        <v>p.persica_gdr_reftransV1_0005791</v>
      </c>
      <c r="B6544" s="2">
        <v>2094</v>
      </c>
      <c r="C6544" s="4" t="str">
        <f>HYPERLINK("http://www.uniprot.org/uniprot/M5WK81","M5WK81")</f>
        <v>M5WK81</v>
      </c>
      <c r="D6544" s="2" t="s">
        <v>5885</v>
      </c>
      <c r="E6544" s="3">
        <v>0</v>
      </c>
      <c r="F6544" s="2">
        <v>2689</v>
      </c>
      <c r="G6544" s="2">
        <v>97</v>
      </c>
      <c r="H6544" s="2">
        <v>544</v>
      </c>
      <c r="I6544" s="2">
        <v>423</v>
      </c>
      <c r="J6544" s="2">
        <v>2054</v>
      </c>
      <c r="K6544" s="2">
        <v>1</v>
      </c>
      <c r="L6544" s="2">
        <v>544</v>
      </c>
    </row>
    <row r="6545" spans="1:12" x14ac:dyDescent="0.25">
      <c r="A6545" s="4" t="str">
        <f>HYPERLINK("http://www.rosaceae.org/Prunus/Prunus_persica/p.persica_gdr_reftransV1_0006491","p.persica_gdr_reftransV1_0006491")</f>
        <v>p.persica_gdr_reftransV1_0006491</v>
      </c>
      <c r="B6545" s="2">
        <v>1641</v>
      </c>
      <c r="C6545" s="4" t="str">
        <f>HYPERLINK("http://www.uniprot.org/uniprot/M5VT17","M5VT17")</f>
        <v>M5VT17</v>
      </c>
      <c r="D6545" s="2" t="s">
        <v>5886</v>
      </c>
      <c r="E6545" s="3">
        <v>8.7500000000000002E-16</v>
      </c>
      <c r="F6545" s="2">
        <v>163</v>
      </c>
      <c r="G6545" s="2">
        <v>81</v>
      </c>
      <c r="H6545" s="2">
        <v>48</v>
      </c>
      <c r="I6545" s="2">
        <v>1132</v>
      </c>
      <c r="J6545" s="2">
        <v>1275</v>
      </c>
      <c r="K6545" s="2">
        <v>1</v>
      </c>
      <c r="L6545" s="2">
        <v>48</v>
      </c>
    </row>
    <row r="6546" spans="1:12" x14ac:dyDescent="0.25">
      <c r="A6546" s="4" t="str">
        <f>HYPERLINK("http://www.rosaceae.org/Prunus/Prunus_persica/p.persica_gdr_reftransV1_0007191","p.persica_gdr_reftransV1_0007191")</f>
        <v>p.persica_gdr_reftransV1_0007191</v>
      </c>
      <c r="B6546" s="2">
        <v>1272</v>
      </c>
      <c r="C6546" s="4" t="str">
        <f>HYPERLINK("http://www.uniprot.org/uniprot/M5XJR6","M5XJR6")</f>
        <v>M5XJR6</v>
      </c>
      <c r="D6546" s="2" t="s">
        <v>4970</v>
      </c>
      <c r="E6546" s="3">
        <v>0</v>
      </c>
      <c r="F6546" s="2">
        <v>1752</v>
      </c>
      <c r="G6546" s="2">
        <v>100</v>
      </c>
      <c r="H6546" s="2">
        <v>388</v>
      </c>
      <c r="I6546" s="2">
        <v>1</v>
      </c>
      <c r="J6546" s="2">
        <v>1164</v>
      </c>
      <c r="K6546" s="2">
        <v>1</v>
      </c>
      <c r="L6546" s="2">
        <v>388</v>
      </c>
    </row>
    <row r="6547" spans="1:12" x14ac:dyDescent="0.25">
      <c r="A6547" s="4" t="str">
        <f>HYPERLINK("http://www.rosaceae.org/Prunus/Prunus_persica/p.persica_gdr_reftransV1_0007541","p.persica_gdr_reftransV1_0007541")</f>
        <v>p.persica_gdr_reftransV1_0007541</v>
      </c>
      <c r="B6547" s="2">
        <v>811</v>
      </c>
      <c r="C6547" s="4" t="str">
        <f>HYPERLINK("http://www.uniprot.org/uniprot/M5WHZ7","M5WHZ7")</f>
        <v>M5WHZ7</v>
      </c>
      <c r="D6547" s="2" t="s">
        <v>5887</v>
      </c>
      <c r="E6547" s="3">
        <v>3.2199999999999998E-64</v>
      </c>
      <c r="F6547" s="2">
        <v>530</v>
      </c>
      <c r="G6547" s="2">
        <v>100</v>
      </c>
      <c r="H6547" s="2">
        <v>125</v>
      </c>
      <c r="I6547" s="2">
        <v>189</v>
      </c>
      <c r="J6547" s="2">
        <v>563</v>
      </c>
      <c r="K6547" s="2">
        <v>1</v>
      </c>
      <c r="L6547" s="2">
        <v>125</v>
      </c>
    </row>
    <row r="6548" spans="1:12" x14ac:dyDescent="0.25">
      <c r="A6548" s="4" t="str">
        <f>HYPERLINK("http://www.rosaceae.org/Prunus/Prunus_persica/p.persica_gdr_reftransV1_0007891","p.persica_gdr_reftransV1_0007891")</f>
        <v>p.persica_gdr_reftransV1_0007891</v>
      </c>
      <c r="B6548" s="2">
        <v>2712</v>
      </c>
      <c r="C6548" s="4" t="str">
        <f>HYPERLINK("http://www.uniprot.org/uniprot/M5WNK9","M5WNK9")</f>
        <v>M5WNK9</v>
      </c>
      <c r="D6548" s="2" t="s">
        <v>5888</v>
      </c>
      <c r="E6548" s="3">
        <v>0</v>
      </c>
      <c r="F6548" s="2">
        <v>3692</v>
      </c>
      <c r="G6548" s="2">
        <v>100</v>
      </c>
      <c r="H6548" s="2">
        <v>765</v>
      </c>
      <c r="I6548" s="2">
        <v>238</v>
      </c>
      <c r="J6548" s="2">
        <v>2532</v>
      </c>
      <c r="K6548" s="2">
        <v>1</v>
      </c>
      <c r="L6548" s="2">
        <v>765</v>
      </c>
    </row>
    <row r="6549" spans="1:12" x14ac:dyDescent="0.25">
      <c r="A6549" s="4" t="str">
        <f>HYPERLINK("http://www.rosaceae.org/Prunus/Prunus_persica/p.persica_gdr_reftransV1_0009291","p.persica_gdr_reftransV1_0009291")</f>
        <v>p.persica_gdr_reftransV1_0009291</v>
      </c>
      <c r="B6549" s="2">
        <v>2229</v>
      </c>
      <c r="C6549" s="4" t="str">
        <f>HYPERLINK("http://www.uniprot.org/uniprot/M5VVK4","M5VVK4")</f>
        <v>M5VVK4</v>
      </c>
      <c r="D6549" s="2" t="s">
        <v>5889</v>
      </c>
      <c r="E6549" s="3">
        <v>0</v>
      </c>
      <c r="F6549" s="2">
        <v>3374</v>
      </c>
      <c r="G6549" s="2">
        <v>100</v>
      </c>
      <c r="H6549" s="2">
        <v>624</v>
      </c>
      <c r="I6549" s="2">
        <v>1</v>
      </c>
      <c r="J6549" s="2">
        <v>1872</v>
      </c>
      <c r="K6549" s="2">
        <v>12</v>
      </c>
      <c r="L6549" s="2">
        <v>635</v>
      </c>
    </row>
    <row r="6550" spans="1:12" x14ac:dyDescent="0.25">
      <c r="A6550" s="4" t="str">
        <f>HYPERLINK("http://www.rosaceae.org/Prunus/Prunus_persica/p.persica_gdr_reftransV1_0009641","p.persica_gdr_reftransV1_0009641")</f>
        <v>p.persica_gdr_reftransV1_0009641</v>
      </c>
      <c r="B6550" s="2">
        <v>1689</v>
      </c>
      <c r="C6550" s="4" t="str">
        <f>HYPERLINK("http://www.uniprot.org/uniprot/M5XPG4","M5XPG4")</f>
        <v>M5XPG4</v>
      </c>
      <c r="D6550" s="2" t="s">
        <v>5890</v>
      </c>
      <c r="E6550" s="3">
        <v>0</v>
      </c>
      <c r="F6550" s="2">
        <v>1608</v>
      </c>
      <c r="G6550" s="2">
        <v>95</v>
      </c>
      <c r="H6550" s="2">
        <v>418</v>
      </c>
      <c r="I6550" s="2">
        <v>321</v>
      </c>
      <c r="J6550" s="2">
        <v>1574</v>
      </c>
      <c r="K6550" s="2">
        <v>1</v>
      </c>
      <c r="L6550" s="2">
        <v>396</v>
      </c>
    </row>
    <row r="6551" spans="1:12" x14ac:dyDescent="0.25">
      <c r="A6551" s="4" t="str">
        <f>HYPERLINK("http://www.rosaceae.org/Prunus/Prunus_persica/p.persica_gdr_reftransV1_0009991","p.persica_gdr_reftransV1_0009991")</f>
        <v>p.persica_gdr_reftransV1_0009991</v>
      </c>
      <c r="B6551" s="2">
        <v>1470</v>
      </c>
      <c r="C6551" s="4" t="str">
        <f>HYPERLINK("http://www.uniprot.org/uniprot/M5VGY6","M5VGY6")</f>
        <v>M5VGY6</v>
      </c>
      <c r="D6551" s="2" t="s">
        <v>5891</v>
      </c>
      <c r="E6551" s="3">
        <v>1.11E-23</v>
      </c>
      <c r="F6551" s="2">
        <v>269</v>
      </c>
      <c r="G6551" s="2">
        <v>52</v>
      </c>
      <c r="H6551" s="2">
        <v>120</v>
      </c>
      <c r="I6551" s="2">
        <v>18</v>
      </c>
      <c r="J6551" s="2">
        <v>377</v>
      </c>
      <c r="K6551" s="2">
        <v>18</v>
      </c>
      <c r="L6551" s="2">
        <v>137</v>
      </c>
    </row>
    <row r="6552" spans="1:12" x14ac:dyDescent="0.25">
      <c r="A6552" s="4" t="str">
        <f>HYPERLINK("http://www.rosaceae.org/Prunus/Prunus_persica/p.persica_gdr_reftransV1_0010341","p.persica_gdr_reftransV1_0010341")</f>
        <v>p.persica_gdr_reftransV1_0010341</v>
      </c>
      <c r="B6552" s="2">
        <v>914</v>
      </c>
      <c r="C6552" s="4" t="str">
        <f>HYPERLINK("http://www.uniprot.org/uniprot/M5WSV0","M5WSV0")</f>
        <v>M5WSV0</v>
      </c>
      <c r="D6552" s="2" t="s">
        <v>5892</v>
      </c>
      <c r="E6552" s="3">
        <v>9.3500000000000005E-134</v>
      </c>
      <c r="F6552" s="2">
        <v>1050</v>
      </c>
      <c r="G6552" s="2">
        <v>100</v>
      </c>
      <c r="H6552" s="2">
        <v>200</v>
      </c>
      <c r="I6552" s="2">
        <v>314</v>
      </c>
      <c r="J6552" s="2">
        <v>913</v>
      </c>
      <c r="K6552" s="2">
        <v>524</v>
      </c>
      <c r="L6552" s="2">
        <v>723</v>
      </c>
    </row>
    <row r="6553" spans="1:12" x14ac:dyDescent="0.25">
      <c r="A6553" s="4" t="str">
        <f>HYPERLINK("http://www.rosaceae.org/Prunus/Prunus_persica/p.persica_gdr_reftransV1_0010691","p.persica_gdr_reftransV1_0010691")</f>
        <v>p.persica_gdr_reftransV1_0010691</v>
      </c>
      <c r="B6553" s="2">
        <v>1008</v>
      </c>
      <c r="C6553" s="4" t="str">
        <f>HYPERLINK("http://www.uniprot.org/uniprot/M5XBM5","M5XBM5")</f>
        <v>M5XBM5</v>
      </c>
      <c r="D6553" s="2" t="s">
        <v>4804</v>
      </c>
      <c r="E6553" s="3">
        <v>2.74E-71</v>
      </c>
      <c r="F6553" s="2">
        <v>611</v>
      </c>
      <c r="G6553" s="2">
        <v>100</v>
      </c>
      <c r="H6553" s="2">
        <v>227</v>
      </c>
      <c r="I6553" s="2">
        <v>2</v>
      </c>
      <c r="J6553" s="2">
        <v>682</v>
      </c>
      <c r="K6553" s="2">
        <v>220</v>
      </c>
      <c r="L6553" s="2">
        <v>446</v>
      </c>
    </row>
    <row r="6554" spans="1:12" x14ac:dyDescent="0.25">
      <c r="A6554" s="4" t="str">
        <f>HYPERLINK("http://www.rosaceae.org/Prunus/Prunus_persica/p.persica_gdr_reftransV1_0011391","p.persica_gdr_reftransV1_0011391")</f>
        <v>p.persica_gdr_reftransV1_0011391</v>
      </c>
      <c r="B6554" s="2">
        <v>1831</v>
      </c>
      <c r="C6554" s="4" t="str">
        <f>HYPERLINK("http://www.uniprot.org/uniprot/M5WKJ8","M5WKJ8")</f>
        <v>M5WKJ8</v>
      </c>
      <c r="D6554" s="2" t="s">
        <v>5893</v>
      </c>
      <c r="E6554" s="3">
        <v>0</v>
      </c>
      <c r="F6554" s="2">
        <v>1637</v>
      </c>
      <c r="G6554" s="2">
        <v>100</v>
      </c>
      <c r="H6554" s="2">
        <v>360</v>
      </c>
      <c r="I6554" s="2">
        <v>104</v>
      </c>
      <c r="J6554" s="2">
        <v>1183</v>
      </c>
      <c r="K6554" s="2">
        <v>1</v>
      </c>
      <c r="L6554" s="2">
        <v>360</v>
      </c>
    </row>
    <row r="6555" spans="1:12" x14ac:dyDescent="0.25">
      <c r="A6555" s="4" t="str">
        <f>HYPERLINK("http://www.rosaceae.org/Prunus/Prunus_persica/p.persica_gdr_reftransV1_0011741","p.persica_gdr_reftransV1_0011741")</f>
        <v>p.persica_gdr_reftransV1_0011741</v>
      </c>
      <c r="B6555" s="2">
        <v>791</v>
      </c>
      <c r="C6555" s="4" t="str">
        <f>HYPERLINK("http://www.uniprot.org/uniprot/M5VVA2","M5VVA2")</f>
        <v>M5VVA2</v>
      </c>
      <c r="D6555" s="2" t="s">
        <v>2738</v>
      </c>
      <c r="E6555" s="3">
        <v>1.35E-160</v>
      </c>
      <c r="F6555" s="2">
        <v>1185</v>
      </c>
      <c r="G6555" s="2">
        <v>100</v>
      </c>
      <c r="H6555" s="2">
        <v>244</v>
      </c>
      <c r="I6555" s="2">
        <v>58</v>
      </c>
      <c r="J6555" s="2">
        <v>789</v>
      </c>
      <c r="K6555" s="2">
        <v>74</v>
      </c>
      <c r="L6555" s="2">
        <v>317</v>
      </c>
    </row>
    <row r="6556" spans="1:12" x14ac:dyDescent="0.25">
      <c r="A6556" s="4" t="str">
        <f>HYPERLINK("http://www.rosaceae.org/Prunus/Prunus_persica/p.persica_gdr_reftransV1_0012441","p.persica_gdr_reftransV1_0012441")</f>
        <v>p.persica_gdr_reftransV1_0012441</v>
      </c>
      <c r="B6556" s="2">
        <v>1893</v>
      </c>
      <c r="C6556" s="4" t="str">
        <f>HYPERLINK("http://www.uniprot.org/uniprot/M5VXP6","M5VXP6")</f>
        <v>M5VXP6</v>
      </c>
      <c r="D6556" s="2" t="s">
        <v>5894</v>
      </c>
      <c r="E6556" s="3">
        <v>0</v>
      </c>
      <c r="F6556" s="2">
        <v>2486</v>
      </c>
      <c r="G6556" s="2">
        <v>100</v>
      </c>
      <c r="H6556" s="2">
        <v>522</v>
      </c>
      <c r="I6556" s="2">
        <v>191</v>
      </c>
      <c r="J6556" s="2">
        <v>1756</v>
      </c>
      <c r="K6556" s="2">
        <v>1</v>
      </c>
      <c r="L6556" s="2">
        <v>522</v>
      </c>
    </row>
    <row r="6557" spans="1:12" x14ac:dyDescent="0.25">
      <c r="A6557" s="4" t="str">
        <f>HYPERLINK("http://www.rosaceae.org/Prunus/Prunus_persica/p.persica_gdr_reftransV1_0013141","p.persica_gdr_reftransV1_0013141")</f>
        <v>p.persica_gdr_reftransV1_0013141</v>
      </c>
      <c r="B6557" s="2">
        <v>1237</v>
      </c>
      <c r="C6557" s="4" t="str">
        <f>HYPERLINK("http://www.uniprot.org/uniprot/M5XNF1","M5XNF1")</f>
        <v>M5XNF1</v>
      </c>
      <c r="D6557" s="2" t="s">
        <v>1488</v>
      </c>
      <c r="E6557" s="3">
        <v>1.3200000000000001E-81</v>
      </c>
      <c r="F6557" s="2">
        <v>664</v>
      </c>
      <c r="G6557" s="2">
        <v>100</v>
      </c>
      <c r="H6557" s="2">
        <v>173</v>
      </c>
      <c r="I6557" s="2">
        <v>523</v>
      </c>
      <c r="J6557" s="2">
        <v>1041</v>
      </c>
      <c r="K6557" s="2">
        <v>1</v>
      </c>
      <c r="L6557" s="2">
        <v>173</v>
      </c>
    </row>
    <row r="6558" spans="1:12" x14ac:dyDescent="0.25">
      <c r="A6558" s="4" t="str">
        <f>HYPERLINK("http://www.rosaceae.org/Prunus/Prunus_persica/p.persica_gdr_reftransV1_0014191","p.persica_gdr_reftransV1_0014191")</f>
        <v>p.persica_gdr_reftransV1_0014191</v>
      </c>
      <c r="B6558" s="2">
        <v>2111</v>
      </c>
      <c r="C6558" s="4" t="str">
        <f>HYPERLINK("http://www.uniprot.org/uniprot/M5XNT1","M5XNT1")</f>
        <v>M5XNT1</v>
      </c>
      <c r="D6558" s="2" t="s">
        <v>5895</v>
      </c>
      <c r="E6558" s="3">
        <v>0</v>
      </c>
      <c r="F6558" s="2">
        <v>3169</v>
      </c>
      <c r="G6558" s="2">
        <v>100</v>
      </c>
      <c r="H6558" s="2">
        <v>615</v>
      </c>
      <c r="I6558" s="2">
        <v>2</v>
      </c>
      <c r="J6558" s="2">
        <v>1846</v>
      </c>
      <c r="K6558" s="2">
        <v>25</v>
      </c>
      <c r="L6558" s="2">
        <v>639</v>
      </c>
    </row>
    <row r="6559" spans="1:12" x14ac:dyDescent="0.25">
      <c r="A6559" s="4" t="str">
        <f>HYPERLINK("http://www.rosaceae.org/Prunus/Prunus_persica/p.persica_gdr_reftransV1_0015591","p.persica_gdr_reftransV1_0015591")</f>
        <v>p.persica_gdr_reftransV1_0015591</v>
      </c>
      <c r="B6559" s="2">
        <v>1407</v>
      </c>
      <c r="C6559" s="4" t="str">
        <f>HYPERLINK("http://www.uniprot.org/uniprot/M5WA21","M5WA21")</f>
        <v>M5WA21</v>
      </c>
      <c r="D6559" s="2" t="s">
        <v>5896</v>
      </c>
      <c r="E6559" s="3">
        <v>6.5999999999999999E-167</v>
      </c>
      <c r="F6559" s="2">
        <v>1244</v>
      </c>
      <c r="G6559" s="2">
        <v>98</v>
      </c>
      <c r="H6559" s="2">
        <v>254</v>
      </c>
      <c r="I6559" s="2">
        <v>308</v>
      </c>
      <c r="J6559" s="2">
        <v>1069</v>
      </c>
      <c r="K6559" s="2">
        <v>1</v>
      </c>
      <c r="L6559" s="2">
        <v>249</v>
      </c>
    </row>
    <row r="6560" spans="1:12" x14ac:dyDescent="0.25">
      <c r="A6560" s="4" t="str">
        <f>HYPERLINK("http://www.rosaceae.org/Prunus/Prunus_persica/p.persica_gdr_reftransV1_0016641","p.persica_gdr_reftransV1_0016641")</f>
        <v>p.persica_gdr_reftransV1_0016641</v>
      </c>
      <c r="B6560" s="2">
        <v>1079</v>
      </c>
      <c r="C6560" s="4" t="str">
        <f>HYPERLINK("http://www.uniprot.org/uniprot/M5XWB8","M5XWB8")</f>
        <v>M5XWB8</v>
      </c>
      <c r="D6560" s="2" t="s">
        <v>5897</v>
      </c>
      <c r="E6560" s="3">
        <v>1.13E-100</v>
      </c>
      <c r="F6560" s="2">
        <v>783</v>
      </c>
      <c r="G6560" s="2">
        <v>98</v>
      </c>
      <c r="H6560" s="2">
        <v>157</v>
      </c>
      <c r="I6560" s="2">
        <v>342</v>
      </c>
      <c r="J6560" s="2">
        <v>812</v>
      </c>
      <c r="K6560" s="2">
        <v>1</v>
      </c>
      <c r="L6560" s="2">
        <v>157</v>
      </c>
    </row>
    <row r="6561" spans="1:12" x14ac:dyDescent="0.25">
      <c r="A6561" s="4" t="str">
        <f>HYPERLINK("http://www.rosaceae.org/Prunus/Prunus_persica/p.persica_gdr_reftransV1_0016991","p.persica_gdr_reftransV1_0016991")</f>
        <v>p.persica_gdr_reftransV1_0016991</v>
      </c>
      <c r="B6561" s="2">
        <v>1367</v>
      </c>
      <c r="C6561" s="4" t="str">
        <f>HYPERLINK("http://www.uniprot.org/uniprot/M5WBT5","M5WBT5")</f>
        <v>M5WBT5</v>
      </c>
      <c r="D6561" s="2" t="s">
        <v>5898</v>
      </c>
      <c r="E6561" s="3">
        <v>2.6700000000000001E-12</v>
      </c>
      <c r="F6561" s="2">
        <v>185</v>
      </c>
      <c r="G6561" s="2">
        <v>37</v>
      </c>
      <c r="H6561" s="2">
        <v>100</v>
      </c>
      <c r="I6561" s="2">
        <v>91</v>
      </c>
      <c r="J6561" s="2">
        <v>390</v>
      </c>
      <c r="K6561" s="2">
        <v>125</v>
      </c>
      <c r="L6561" s="2">
        <v>224</v>
      </c>
    </row>
    <row r="6562" spans="1:12" x14ac:dyDescent="0.25">
      <c r="A6562" s="4" t="str">
        <f>HYPERLINK("http://www.rosaceae.org/Prunus/Prunus_persica/p.persica_gdr_reftransV1_0017691","p.persica_gdr_reftransV1_0017691")</f>
        <v>p.persica_gdr_reftransV1_0017691</v>
      </c>
      <c r="B6562" s="2">
        <v>2551</v>
      </c>
      <c r="C6562" s="4" t="str">
        <f>HYPERLINK("http://www.uniprot.org/uniprot/M5W670","M5W670")</f>
        <v>M5W670</v>
      </c>
      <c r="D6562" s="2" t="s">
        <v>5899</v>
      </c>
      <c r="E6562" s="3">
        <v>0</v>
      </c>
      <c r="F6562" s="2">
        <v>3086</v>
      </c>
      <c r="G6562" s="2">
        <v>100</v>
      </c>
      <c r="H6562" s="2">
        <v>622</v>
      </c>
      <c r="I6562" s="2">
        <v>403</v>
      </c>
      <c r="J6562" s="2">
        <v>2268</v>
      </c>
      <c r="K6562" s="2">
        <v>1</v>
      </c>
      <c r="L6562" s="2">
        <v>622</v>
      </c>
    </row>
    <row r="6563" spans="1:12" x14ac:dyDescent="0.25">
      <c r="A6563" s="4" t="str">
        <f>HYPERLINK("http://www.rosaceae.org/Prunus/Prunus_persica/p.persica_gdr_reftransV1_0018041","p.persica_gdr_reftransV1_0018041")</f>
        <v>p.persica_gdr_reftransV1_0018041</v>
      </c>
      <c r="B6563" s="2">
        <v>1150</v>
      </c>
      <c r="C6563" s="4" t="str">
        <f>HYPERLINK("http://www.uniprot.org/uniprot/M5WB71","M5WB71")</f>
        <v>M5WB71</v>
      </c>
      <c r="D6563" s="2" t="s">
        <v>3109</v>
      </c>
      <c r="E6563" s="3">
        <v>6.2200000000000001E-88</v>
      </c>
      <c r="F6563" s="2">
        <v>723</v>
      </c>
      <c r="G6563" s="2">
        <v>98</v>
      </c>
      <c r="H6563" s="2">
        <v>139</v>
      </c>
      <c r="I6563" s="2">
        <v>344</v>
      </c>
      <c r="J6563" s="2">
        <v>760</v>
      </c>
      <c r="K6563" s="2">
        <v>255</v>
      </c>
      <c r="L6563" s="2">
        <v>393</v>
      </c>
    </row>
    <row r="6564" spans="1:12" x14ac:dyDescent="0.25">
      <c r="A6564" s="4" t="str">
        <f>HYPERLINK("http://www.rosaceae.org/Prunus/Prunus_persica/p.persica_gdr_reftransV1_0018391","p.persica_gdr_reftransV1_0018391")</f>
        <v>p.persica_gdr_reftransV1_0018391</v>
      </c>
      <c r="B6564" s="2">
        <v>1588</v>
      </c>
      <c r="C6564" s="4" t="str">
        <f>HYPERLINK("http://www.uniprot.org/uniprot/M5WAN6","M5WAN6")</f>
        <v>M5WAN6</v>
      </c>
      <c r="D6564" s="2" t="s">
        <v>5900</v>
      </c>
      <c r="E6564" s="3">
        <v>2.98E-124</v>
      </c>
      <c r="F6564" s="2">
        <v>962</v>
      </c>
      <c r="G6564" s="2">
        <v>99</v>
      </c>
      <c r="H6564" s="2">
        <v>186</v>
      </c>
      <c r="I6564" s="2">
        <v>459</v>
      </c>
      <c r="J6564" s="2">
        <v>1016</v>
      </c>
      <c r="K6564" s="2">
        <v>1</v>
      </c>
      <c r="L6564" s="2">
        <v>186</v>
      </c>
    </row>
    <row r="6565" spans="1:12" x14ac:dyDescent="0.25">
      <c r="A6565" s="4" t="str">
        <f>HYPERLINK("http://www.rosaceae.org/Prunus/Prunus_persica/p.persica_gdr_reftransV1_0019091","p.persica_gdr_reftransV1_0019091")</f>
        <v>p.persica_gdr_reftransV1_0019091</v>
      </c>
      <c r="B6565" s="2">
        <v>2593</v>
      </c>
      <c r="C6565" s="4" t="str">
        <f>HYPERLINK("http://www.uniprot.org/uniprot/M5VUL1","M5VUL1")</f>
        <v>M5VUL1</v>
      </c>
      <c r="D6565" s="2" t="s">
        <v>5901</v>
      </c>
      <c r="E6565" s="3">
        <v>0</v>
      </c>
      <c r="F6565" s="2">
        <v>2444</v>
      </c>
      <c r="G6565" s="2">
        <v>100</v>
      </c>
      <c r="H6565" s="2">
        <v>496</v>
      </c>
      <c r="I6565" s="2">
        <v>612</v>
      </c>
      <c r="J6565" s="2">
        <v>2099</v>
      </c>
      <c r="K6565" s="2">
        <v>1</v>
      </c>
      <c r="L6565" s="2">
        <v>496</v>
      </c>
    </row>
    <row r="6566" spans="1:12" x14ac:dyDescent="0.25">
      <c r="A6566" s="4" t="str">
        <f>HYPERLINK("http://www.rosaceae.org/Prunus/Prunus_persica/p.persica_gdr_reftransV1_0020491","p.persica_gdr_reftransV1_0020491")</f>
        <v>p.persica_gdr_reftransV1_0020491</v>
      </c>
      <c r="B6566" s="2">
        <v>1758</v>
      </c>
      <c r="C6566" s="4" t="str">
        <f>HYPERLINK("http://www.uniprot.org/uniprot/M5XJI2","M5XJI2")</f>
        <v>M5XJI2</v>
      </c>
      <c r="D6566" s="2" t="s">
        <v>5902</v>
      </c>
      <c r="E6566" s="3">
        <v>0</v>
      </c>
      <c r="F6566" s="2">
        <v>1723</v>
      </c>
      <c r="G6566" s="2">
        <v>97</v>
      </c>
      <c r="H6566" s="2">
        <v>336</v>
      </c>
      <c r="I6566" s="2">
        <v>243</v>
      </c>
      <c r="J6566" s="2">
        <v>1250</v>
      </c>
      <c r="K6566" s="2">
        <v>152</v>
      </c>
      <c r="L6566" s="2">
        <v>487</v>
      </c>
    </row>
    <row r="6567" spans="1:12" x14ac:dyDescent="0.25">
      <c r="A6567" s="4" t="str">
        <f>HYPERLINK("http://www.rosaceae.org/Prunus/Prunus_persica/p.persica_gdr_reftransV1_0021191","p.persica_gdr_reftransV1_0021191")</f>
        <v>p.persica_gdr_reftransV1_0021191</v>
      </c>
      <c r="B6567" s="2">
        <v>820</v>
      </c>
      <c r="C6567" s="4" t="str">
        <f>HYPERLINK("http://www.uniprot.org/uniprot/M5XZR8","M5XZR8")</f>
        <v>M5XZR8</v>
      </c>
      <c r="D6567" s="2" t="s">
        <v>5903</v>
      </c>
      <c r="E6567" s="3">
        <v>3.6799999999999999E-113</v>
      </c>
      <c r="F6567" s="2">
        <v>857</v>
      </c>
      <c r="G6567" s="2">
        <v>100</v>
      </c>
      <c r="H6567" s="2">
        <v>162</v>
      </c>
      <c r="I6567" s="2">
        <v>255</v>
      </c>
      <c r="J6567" s="2">
        <v>740</v>
      </c>
      <c r="K6567" s="2">
        <v>1</v>
      </c>
      <c r="L6567" s="2">
        <v>162</v>
      </c>
    </row>
    <row r="6568" spans="1:12" x14ac:dyDescent="0.25">
      <c r="A6568" s="4" t="str">
        <f>HYPERLINK("http://www.rosaceae.org/Prunus/Prunus_persica/p.persica_gdr_reftransV1_0021891","p.persica_gdr_reftransV1_0021891")</f>
        <v>p.persica_gdr_reftransV1_0021891</v>
      </c>
      <c r="B6568" s="2">
        <v>3056</v>
      </c>
      <c r="C6568" s="4" t="str">
        <f>HYPERLINK("http://www.uniprot.org/uniprot/M5XPV6","M5XPV6")</f>
        <v>M5XPV6</v>
      </c>
      <c r="D6568" s="2" t="s">
        <v>5904</v>
      </c>
      <c r="E6568" s="3">
        <v>0</v>
      </c>
      <c r="F6568" s="2">
        <v>3048</v>
      </c>
      <c r="G6568" s="2">
        <v>100</v>
      </c>
      <c r="H6568" s="2">
        <v>578</v>
      </c>
      <c r="I6568" s="2">
        <v>205</v>
      </c>
      <c r="J6568" s="2">
        <v>1938</v>
      </c>
      <c r="K6568" s="2">
        <v>1</v>
      </c>
      <c r="L6568" s="2">
        <v>578</v>
      </c>
    </row>
    <row r="6569" spans="1:12" x14ac:dyDescent="0.25">
      <c r="A6569" s="4" t="str">
        <f>HYPERLINK("http://www.rosaceae.org/Prunus/Prunus_persica/p.persica_gdr_reftransV1_0023641","p.persica_gdr_reftransV1_0023641")</f>
        <v>p.persica_gdr_reftransV1_0023641</v>
      </c>
      <c r="B6569" s="2">
        <v>2392</v>
      </c>
      <c r="C6569" s="4" t="str">
        <f>HYPERLINK("http://www.uniprot.org/uniprot/M5X144","M5X144")</f>
        <v>M5X144</v>
      </c>
      <c r="D6569" s="2" t="s">
        <v>5905</v>
      </c>
      <c r="E6569" s="3">
        <v>7.3699999999999998E-140</v>
      </c>
      <c r="F6569" s="2">
        <v>1100</v>
      </c>
      <c r="G6569" s="2">
        <v>85</v>
      </c>
      <c r="H6569" s="2">
        <v>312</v>
      </c>
      <c r="I6569" s="2">
        <v>855</v>
      </c>
      <c r="J6569" s="2">
        <v>1790</v>
      </c>
      <c r="K6569" s="2">
        <v>1</v>
      </c>
      <c r="L6569" s="2">
        <v>268</v>
      </c>
    </row>
    <row r="6570" spans="1:12" x14ac:dyDescent="0.25">
      <c r="A6570" s="4" t="str">
        <f>HYPERLINK("http://www.rosaceae.org/Prunus/Prunus_persica/p.persica_gdr_reftransV1_0023991","p.persica_gdr_reftransV1_0023991")</f>
        <v>p.persica_gdr_reftransV1_0023991</v>
      </c>
      <c r="B6570" s="2">
        <v>500</v>
      </c>
      <c r="C6570" s="4" t="str">
        <f>HYPERLINK("http://www.uniprot.org/uniprot/M5W3Y1","M5W3Y1")</f>
        <v>M5W3Y1</v>
      </c>
      <c r="D6570" s="2" t="s">
        <v>5906</v>
      </c>
      <c r="E6570" s="3">
        <v>3.0300000000000002E-81</v>
      </c>
      <c r="F6570" s="2">
        <v>650</v>
      </c>
      <c r="G6570" s="2">
        <v>99</v>
      </c>
      <c r="H6570" s="2">
        <v>124</v>
      </c>
      <c r="I6570" s="2">
        <v>1</v>
      </c>
      <c r="J6570" s="2">
        <v>372</v>
      </c>
      <c r="K6570" s="2">
        <v>1</v>
      </c>
      <c r="L6570" s="2">
        <v>124</v>
      </c>
    </row>
    <row r="6571" spans="1:12" x14ac:dyDescent="0.25">
      <c r="A6571" s="4" t="str">
        <f>HYPERLINK("http://www.rosaceae.org/Prunus/Prunus_persica/p.persica_gdr_reftransV1_0024341","p.persica_gdr_reftransV1_0024341")</f>
        <v>p.persica_gdr_reftransV1_0024341</v>
      </c>
      <c r="B6571" s="2">
        <v>1579</v>
      </c>
      <c r="C6571" s="4" t="str">
        <f>HYPERLINK("http://www.uniprot.org/uniprot/A0A022RDS6","A0A022RDS6")</f>
        <v>A0A022RDS6</v>
      </c>
      <c r="D6571" s="2" t="s">
        <v>5907</v>
      </c>
      <c r="E6571" s="3">
        <v>4.2900000000000002E-159</v>
      </c>
      <c r="F6571" s="2">
        <v>901</v>
      </c>
      <c r="G6571" s="2">
        <v>73</v>
      </c>
      <c r="H6571" s="2">
        <v>231</v>
      </c>
      <c r="I6571" s="2">
        <v>885</v>
      </c>
      <c r="J6571" s="2">
        <v>1577</v>
      </c>
      <c r="K6571" s="2">
        <v>359</v>
      </c>
      <c r="L6571" s="2">
        <v>588</v>
      </c>
    </row>
    <row r="6572" spans="1:12" x14ac:dyDescent="0.25">
      <c r="A6572" s="4" t="str">
        <f>HYPERLINK("http://www.rosaceae.org/Prunus/Prunus_persica/p.persica_gdr_reftransV1_0025041","p.persica_gdr_reftransV1_0025041")</f>
        <v>p.persica_gdr_reftransV1_0025041</v>
      </c>
      <c r="B6572" s="2">
        <v>2699</v>
      </c>
      <c r="C6572" s="4" t="str">
        <f>HYPERLINK("http://www.uniprot.org/uniprot/M5XKY8","M5XKY8")</f>
        <v>M5XKY8</v>
      </c>
      <c r="D6572" s="2" t="s">
        <v>5908</v>
      </c>
      <c r="E6572" s="3">
        <v>0</v>
      </c>
      <c r="F6572" s="2">
        <v>1993</v>
      </c>
      <c r="G6572" s="2">
        <v>100</v>
      </c>
      <c r="H6572" s="2">
        <v>449</v>
      </c>
      <c r="I6572" s="2">
        <v>1297</v>
      </c>
      <c r="J6572" s="2">
        <v>2643</v>
      </c>
      <c r="K6572" s="2">
        <v>1</v>
      </c>
      <c r="L6572" s="2">
        <v>449</v>
      </c>
    </row>
    <row r="6573" spans="1:12" x14ac:dyDescent="0.25">
      <c r="A6573" s="4" t="str">
        <f>HYPERLINK("http://www.rosaceae.org/Prunus/Prunus_persica/p.persica_gdr_reftransV1_0025391","p.persica_gdr_reftransV1_0025391")</f>
        <v>p.persica_gdr_reftransV1_0025391</v>
      </c>
      <c r="B6573" s="2">
        <v>2840</v>
      </c>
      <c r="C6573" s="4" t="str">
        <f>HYPERLINK("http://www.uniprot.org/uniprot/M5VRA9","M5VRA9")</f>
        <v>M5VRA9</v>
      </c>
      <c r="D6573" s="2" t="s">
        <v>5909</v>
      </c>
      <c r="E6573" s="3">
        <v>4.9800000000000002E-68</v>
      </c>
      <c r="F6573" s="2">
        <v>597</v>
      </c>
      <c r="G6573" s="2">
        <v>100</v>
      </c>
      <c r="H6573" s="2">
        <v>114</v>
      </c>
      <c r="I6573" s="2">
        <v>159</v>
      </c>
      <c r="J6573" s="2">
        <v>500</v>
      </c>
      <c r="K6573" s="2">
        <v>1</v>
      </c>
      <c r="L6573" s="2">
        <v>114</v>
      </c>
    </row>
    <row r="6574" spans="1:12" x14ac:dyDescent="0.25">
      <c r="A6574" s="4" t="str">
        <f>HYPERLINK("http://www.rosaceae.org/Prunus/Prunus_persica/p.persica_gdr_reftransV1_0026091","p.persica_gdr_reftransV1_0026091")</f>
        <v>p.persica_gdr_reftransV1_0026091</v>
      </c>
      <c r="B6574" s="2">
        <v>3083</v>
      </c>
      <c r="C6574" s="4" t="str">
        <f>HYPERLINK("http://www.uniprot.org/uniprot/M5VZ01","M5VZ01")</f>
        <v>M5VZ01</v>
      </c>
      <c r="D6574" s="2" t="s">
        <v>5910</v>
      </c>
      <c r="E6574" s="3">
        <v>0</v>
      </c>
      <c r="F6574" s="2">
        <v>1837</v>
      </c>
      <c r="G6574" s="2">
        <v>100</v>
      </c>
      <c r="H6574" s="2">
        <v>352</v>
      </c>
      <c r="I6574" s="2">
        <v>1390</v>
      </c>
      <c r="J6574" s="2">
        <v>2445</v>
      </c>
      <c r="K6574" s="2">
        <v>117</v>
      </c>
      <c r="L6574" s="2">
        <v>468</v>
      </c>
    </row>
    <row r="6575" spans="1:12" x14ac:dyDescent="0.25">
      <c r="A6575" s="4" t="str">
        <f>HYPERLINK("http://www.rosaceae.org/Prunus/Prunus_persica/p.persica_gdr_reftransV1_0027491","p.persica_gdr_reftransV1_0027491")</f>
        <v>p.persica_gdr_reftransV1_0027491</v>
      </c>
      <c r="B6575" s="2">
        <v>3420</v>
      </c>
      <c r="C6575" s="4" t="str">
        <f>HYPERLINK("http://www.uniprot.org/uniprot/M5X0X1","M5X0X1")</f>
        <v>M5X0X1</v>
      </c>
      <c r="D6575" s="2" t="s">
        <v>5911</v>
      </c>
      <c r="E6575" s="3">
        <v>0</v>
      </c>
      <c r="F6575" s="2">
        <v>2128</v>
      </c>
      <c r="G6575" s="2">
        <v>100</v>
      </c>
      <c r="H6575" s="2">
        <v>416</v>
      </c>
      <c r="I6575" s="2">
        <v>46</v>
      </c>
      <c r="J6575" s="2">
        <v>1293</v>
      </c>
      <c r="K6575" s="2">
        <v>1</v>
      </c>
      <c r="L6575" s="2">
        <v>416</v>
      </c>
    </row>
    <row r="6576" spans="1:12" x14ac:dyDescent="0.25">
      <c r="A6576" s="4" t="str">
        <f>HYPERLINK("http://www.rosaceae.org/Prunus/Prunus_persica/p.persica_gdr_reftransV1_0028191","p.persica_gdr_reftransV1_0028191")</f>
        <v>p.persica_gdr_reftransV1_0028191</v>
      </c>
      <c r="B6576" s="2">
        <v>1498</v>
      </c>
      <c r="C6576" s="4" t="str">
        <f>HYPERLINK("http://www.uniprot.org/uniprot/M5WYE6","M5WYE6")</f>
        <v>M5WYE6</v>
      </c>
      <c r="D6576" s="2" t="s">
        <v>5912</v>
      </c>
      <c r="E6576" s="3">
        <v>4.1E-142</v>
      </c>
      <c r="F6576" s="2">
        <v>1081</v>
      </c>
      <c r="G6576" s="2">
        <v>100</v>
      </c>
      <c r="H6576" s="2">
        <v>210</v>
      </c>
      <c r="I6576" s="2">
        <v>683</v>
      </c>
      <c r="J6576" s="2">
        <v>1312</v>
      </c>
      <c r="K6576" s="2">
        <v>1</v>
      </c>
      <c r="L6576" s="2">
        <v>210</v>
      </c>
    </row>
    <row r="6577" spans="1:12" x14ac:dyDescent="0.25">
      <c r="A6577" s="4" t="str">
        <f>HYPERLINK("http://www.rosaceae.org/Prunus/Prunus_persica/p.persica_gdr_reftransV1_0029591","p.persica_gdr_reftransV1_0029591")</f>
        <v>p.persica_gdr_reftransV1_0029591</v>
      </c>
      <c r="B6577" s="2">
        <v>4117</v>
      </c>
      <c r="C6577" s="4" t="str">
        <f>HYPERLINK("http://www.uniprot.org/uniprot/M5XED1","M5XED1")</f>
        <v>M5XED1</v>
      </c>
      <c r="D6577" s="2" t="s">
        <v>5913</v>
      </c>
      <c r="E6577" s="3">
        <v>0</v>
      </c>
      <c r="F6577" s="2">
        <v>1905</v>
      </c>
      <c r="G6577" s="2">
        <v>94</v>
      </c>
      <c r="H6577" s="2">
        <v>397</v>
      </c>
      <c r="I6577" s="2">
        <v>336</v>
      </c>
      <c r="J6577" s="2">
        <v>1526</v>
      </c>
      <c r="K6577" s="2">
        <v>1</v>
      </c>
      <c r="L6577" s="2">
        <v>386</v>
      </c>
    </row>
    <row r="6578" spans="1:12" x14ac:dyDescent="0.25">
      <c r="A6578" s="4" t="str">
        <f>HYPERLINK("http://www.rosaceae.org/Prunus/Prunus_persica/p.persica_gdr_reftransV1_0030641","p.persica_gdr_reftransV1_0030641")</f>
        <v>p.persica_gdr_reftransV1_0030641</v>
      </c>
      <c r="B6578" s="2">
        <v>1566</v>
      </c>
      <c r="C6578" s="4" t="str">
        <f>HYPERLINK("http://www.uniprot.org/uniprot/D9ZJ84","D9ZJ84")</f>
        <v>D9ZJ84</v>
      </c>
      <c r="D6578" s="2" t="s">
        <v>5914</v>
      </c>
      <c r="E6578" s="3">
        <v>0</v>
      </c>
      <c r="F6578" s="2">
        <v>1360</v>
      </c>
      <c r="G6578" s="2">
        <v>92</v>
      </c>
      <c r="H6578" s="2">
        <v>311</v>
      </c>
      <c r="I6578" s="2">
        <v>414</v>
      </c>
      <c r="J6578" s="2">
        <v>1346</v>
      </c>
      <c r="K6578" s="2">
        <v>1</v>
      </c>
      <c r="L6578" s="2">
        <v>307</v>
      </c>
    </row>
    <row r="6579" spans="1:12" x14ac:dyDescent="0.25">
      <c r="A6579" s="4" t="str">
        <f>HYPERLINK("http://www.rosaceae.org/Prunus/Prunus_persica/p.persica_gdr_reftransV1_0032041","p.persica_gdr_reftransV1_0032041")</f>
        <v>p.persica_gdr_reftransV1_0032041</v>
      </c>
      <c r="B6579" s="2">
        <v>2844</v>
      </c>
      <c r="C6579" s="4" t="str">
        <f>HYPERLINK("http://www.uniprot.org/uniprot/M5WX33","M5WX33")</f>
        <v>M5WX33</v>
      </c>
      <c r="D6579" s="2" t="s">
        <v>5915</v>
      </c>
      <c r="E6579" s="3">
        <v>0</v>
      </c>
      <c r="F6579" s="2">
        <v>3064</v>
      </c>
      <c r="G6579" s="2">
        <v>93</v>
      </c>
      <c r="H6579" s="2">
        <v>772</v>
      </c>
      <c r="I6579" s="2">
        <v>68</v>
      </c>
      <c r="J6579" s="2">
        <v>2383</v>
      </c>
      <c r="K6579" s="2">
        <v>1</v>
      </c>
      <c r="L6579" s="2">
        <v>729</v>
      </c>
    </row>
    <row r="6580" spans="1:12" x14ac:dyDescent="0.25">
      <c r="A6580" s="4" t="str">
        <f>HYPERLINK("http://www.rosaceae.org/Prunus/Prunus_persica/p.persica_gdr_reftransV1_0032391","p.persica_gdr_reftransV1_0032391")</f>
        <v>p.persica_gdr_reftransV1_0032391</v>
      </c>
      <c r="B6580" s="2">
        <v>574</v>
      </c>
      <c r="C6580" s="4" t="str">
        <f>HYPERLINK("http://www.uniprot.org/uniprot/M5WPI5","M5WPI5")</f>
        <v>M5WPI5</v>
      </c>
      <c r="D6580" s="2" t="s">
        <v>5916</v>
      </c>
      <c r="E6580" s="3">
        <v>3.3E-53</v>
      </c>
      <c r="F6580" s="2">
        <v>445</v>
      </c>
      <c r="G6580" s="2">
        <v>100</v>
      </c>
      <c r="H6580" s="2">
        <v>82</v>
      </c>
      <c r="I6580" s="2">
        <v>204</v>
      </c>
      <c r="J6580" s="2">
        <v>449</v>
      </c>
      <c r="K6580" s="2">
        <v>1</v>
      </c>
      <c r="L6580" s="2">
        <v>82</v>
      </c>
    </row>
    <row r="6581" spans="1:12" x14ac:dyDescent="0.25">
      <c r="A6581" s="4" t="str">
        <f>HYPERLINK("http://www.rosaceae.org/Prunus/Prunus_persica/p.persica_gdr_reftransV1_0035541","p.persica_gdr_reftransV1_0035541")</f>
        <v>p.persica_gdr_reftransV1_0035541</v>
      </c>
      <c r="B6581" s="2">
        <v>545</v>
      </c>
      <c r="C6581" s="4" t="str">
        <f>HYPERLINK("http://www.uniprot.org/uniprot/M5XB21","M5XB21")</f>
        <v>M5XB21</v>
      </c>
      <c r="D6581" s="2" t="s">
        <v>5917</v>
      </c>
      <c r="E6581" s="3">
        <v>7.5999999999999994E-43</v>
      </c>
      <c r="F6581" s="2">
        <v>392</v>
      </c>
      <c r="G6581" s="2">
        <v>100</v>
      </c>
      <c r="H6581" s="2">
        <v>99</v>
      </c>
      <c r="I6581" s="2">
        <v>1</v>
      </c>
      <c r="J6581" s="2">
        <v>297</v>
      </c>
      <c r="K6581" s="2">
        <v>188</v>
      </c>
      <c r="L6581" s="2">
        <v>286</v>
      </c>
    </row>
    <row r="6582" spans="1:12" x14ac:dyDescent="0.25">
      <c r="A6582" s="4" t="str">
        <f>HYPERLINK("http://www.rosaceae.org/Prunus/Prunus_persica/p.persica_gdr_reftransV1_0037291","p.persica_gdr_reftransV1_0037291")</f>
        <v>p.persica_gdr_reftransV1_0037291</v>
      </c>
      <c r="B6582" s="2">
        <v>2825</v>
      </c>
      <c r="C6582" s="4" t="str">
        <f>HYPERLINK("http://www.uniprot.org/uniprot/M5WP43","M5WP43")</f>
        <v>M5WP43</v>
      </c>
      <c r="D6582" s="2" t="s">
        <v>5249</v>
      </c>
      <c r="E6582" s="3">
        <v>0</v>
      </c>
      <c r="F6582" s="2">
        <v>1761</v>
      </c>
      <c r="G6582" s="2">
        <v>99</v>
      </c>
      <c r="H6582" s="2">
        <v>342</v>
      </c>
      <c r="I6582" s="2">
        <v>736</v>
      </c>
      <c r="J6582" s="2">
        <v>1761</v>
      </c>
      <c r="K6582" s="2">
        <v>34</v>
      </c>
      <c r="L6582" s="2">
        <v>375</v>
      </c>
    </row>
    <row r="6583" spans="1:12" x14ac:dyDescent="0.25">
      <c r="A6583" s="4" t="str">
        <f>HYPERLINK("http://www.rosaceae.org/Prunus/Prunus_persica/p.persica_gdr_reftransV1_0037641","p.persica_gdr_reftransV1_0037641")</f>
        <v>p.persica_gdr_reftransV1_0037641</v>
      </c>
      <c r="B6583" s="2">
        <v>772</v>
      </c>
      <c r="C6583" s="4" t="str">
        <f>HYPERLINK("http://www.uniprot.org/uniprot/Q93WZ6","Q93WZ6")</f>
        <v>Q93WZ6</v>
      </c>
      <c r="D6583" s="2" t="s">
        <v>4124</v>
      </c>
      <c r="E6583" s="3">
        <v>1.1899999999999999E-34</v>
      </c>
      <c r="F6583" s="2">
        <v>336</v>
      </c>
      <c r="G6583" s="2">
        <v>100</v>
      </c>
      <c r="H6583" s="2">
        <v>168</v>
      </c>
      <c r="I6583" s="2">
        <v>66</v>
      </c>
      <c r="J6583" s="2">
        <v>569</v>
      </c>
      <c r="K6583" s="2">
        <v>1</v>
      </c>
      <c r="L6583" s="2">
        <v>168</v>
      </c>
    </row>
    <row r="6584" spans="1:12" x14ac:dyDescent="0.25">
      <c r="A6584" s="4" t="str">
        <f>HYPERLINK("http://www.rosaceae.org/Prunus/Prunus_persica/p.persica_gdr_reftransV1_0037991","p.persica_gdr_reftransV1_0037991")</f>
        <v>p.persica_gdr_reftransV1_0037991</v>
      </c>
      <c r="B6584" s="2">
        <v>1787</v>
      </c>
      <c r="C6584" s="4" t="str">
        <f>HYPERLINK("http://www.uniprot.org/uniprot/M5X8C2","M5X8C2")</f>
        <v>M5X8C2</v>
      </c>
      <c r="D6584" s="2" t="s">
        <v>5918</v>
      </c>
      <c r="E6584" s="3">
        <v>1.24E-88</v>
      </c>
      <c r="F6584" s="2">
        <v>732</v>
      </c>
      <c r="G6584" s="2">
        <v>99</v>
      </c>
      <c r="H6584" s="2">
        <v>135</v>
      </c>
      <c r="I6584" s="2">
        <v>1028</v>
      </c>
      <c r="J6584" s="2">
        <v>1432</v>
      </c>
      <c r="K6584" s="2">
        <v>1</v>
      </c>
      <c r="L6584" s="2">
        <v>135</v>
      </c>
    </row>
    <row r="6585" spans="1:12" x14ac:dyDescent="0.25">
      <c r="A6585" s="4" t="str">
        <f>HYPERLINK("http://www.rosaceae.org/Prunus/Prunus_persica/p.persica_gdr_reftransV1_0038691","p.persica_gdr_reftransV1_0038691")</f>
        <v>p.persica_gdr_reftransV1_0038691</v>
      </c>
      <c r="B6585" s="2">
        <v>2135</v>
      </c>
      <c r="C6585" s="4" t="str">
        <f>HYPERLINK("http://www.uniprot.org/uniprot/M5W735","M5W735")</f>
        <v>M5W735</v>
      </c>
      <c r="D6585" s="2" t="s">
        <v>5919</v>
      </c>
      <c r="E6585" s="3">
        <v>0</v>
      </c>
      <c r="F6585" s="2">
        <v>2624</v>
      </c>
      <c r="G6585" s="2">
        <v>100</v>
      </c>
      <c r="H6585" s="2">
        <v>491</v>
      </c>
      <c r="I6585" s="2">
        <v>359</v>
      </c>
      <c r="J6585" s="2">
        <v>1831</v>
      </c>
      <c r="K6585" s="2">
        <v>1</v>
      </c>
      <c r="L6585" s="2">
        <v>491</v>
      </c>
    </row>
    <row r="6586" spans="1:12" x14ac:dyDescent="0.25">
      <c r="A6586" s="4" t="str">
        <f>HYPERLINK("http://www.rosaceae.org/Prunus/Prunus_persica/p.persica_gdr_reftransV1_0042541","p.persica_gdr_reftransV1_0042541")</f>
        <v>p.persica_gdr_reftransV1_0042541</v>
      </c>
      <c r="B6586" s="2">
        <v>2268</v>
      </c>
      <c r="C6586" s="4" t="str">
        <f>HYPERLINK("http://www.uniprot.org/uniprot/M5XX36","M5XX36")</f>
        <v>M5XX36</v>
      </c>
      <c r="D6586" s="2" t="s">
        <v>5920</v>
      </c>
      <c r="E6586" s="3">
        <v>3.4499999999999999E-125</v>
      </c>
      <c r="F6586" s="2">
        <v>1007</v>
      </c>
      <c r="G6586" s="2">
        <v>100</v>
      </c>
      <c r="H6586" s="2">
        <v>216</v>
      </c>
      <c r="I6586" s="2">
        <v>1418</v>
      </c>
      <c r="J6586" s="2">
        <v>2065</v>
      </c>
      <c r="K6586" s="2">
        <v>44</v>
      </c>
      <c r="L6586" s="2">
        <v>259</v>
      </c>
    </row>
    <row r="6587" spans="1:12" x14ac:dyDescent="0.25">
      <c r="A6587" s="4" t="str">
        <f>HYPERLINK("http://www.rosaceae.org/Prunus/Prunus_persica/p.persica_gdr_reftransV1_0043241","p.persica_gdr_reftransV1_0043241")</f>
        <v>p.persica_gdr_reftransV1_0043241</v>
      </c>
      <c r="B6587" s="2">
        <v>346</v>
      </c>
      <c r="C6587" s="4" t="str">
        <f>HYPERLINK("http://www.uniprot.org/uniprot/M5W1C5","M5W1C5")</f>
        <v>M5W1C5</v>
      </c>
      <c r="D6587" s="2" t="s">
        <v>5921</v>
      </c>
      <c r="E6587" s="3">
        <v>1.3900000000000001E-56</v>
      </c>
      <c r="F6587" s="2">
        <v>508</v>
      </c>
      <c r="G6587" s="2">
        <v>100</v>
      </c>
      <c r="H6587" s="2">
        <v>97</v>
      </c>
      <c r="I6587" s="2">
        <v>2</v>
      </c>
      <c r="J6587" s="2">
        <v>292</v>
      </c>
      <c r="K6587" s="2">
        <v>4</v>
      </c>
      <c r="L6587" s="2">
        <v>100</v>
      </c>
    </row>
    <row r="6588" spans="1:12" x14ac:dyDescent="0.25">
      <c r="A6588" s="4" t="str">
        <f>HYPERLINK("http://www.rosaceae.org/Prunus/Prunus_persica/p.persica_gdr_reftransV1_0043591","p.persica_gdr_reftransV1_0043591")</f>
        <v>p.persica_gdr_reftransV1_0043591</v>
      </c>
      <c r="B6588" s="2">
        <v>1759</v>
      </c>
      <c r="C6588" s="4" t="str">
        <f>HYPERLINK("http://www.uniprot.org/uniprot/A9QVH4","A9QVH4")</f>
        <v>A9QVH4</v>
      </c>
      <c r="D6588" s="2" t="s">
        <v>5922</v>
      </c>
      <c r="E6588" s="3">
        <v>0</v>
      </c>
      <c r="F6588" s="2">
        <v>2228</v>
      </c>
      <c r="G6588" s="2">
        <v>100</v>
      </c>
      <c r="H6588" s="2">
        <v>431</v>
      </c>
      <c r="I6588" s="2">
        <v>115</v>
      </c>
      <c r="J6588" s="2">
        <v>1407</v>
      </c>
      <c r="K6588" s="2">
        <v>1</v>
      </c>
      <c r="L6588" s="2">
        <v>431</v>
      </c>
    </row>
    <row r="6589" spans="1:12" x14ac:dyDescent="0.25">
      <c r="A6589" s="4" t="str">
        <f>HYPERLINK("http://www.rosaceae.org/Prunus/Prunus_persica/p.persica_gdr_reftransV1_0043941","p.persica_gdr_reftransV1_0043941")</f>
        <v>p.persica_gdr_reftransV1_0043941</v>
      </c>
      <c r="B6589" s="2">
        <v>1388</v>
      </c>
      <c r="C6589" s="4" t="str">
        <f>HYPERLINK("http://www.uniprot.org/uniprot/M5VGJ4","M5VGJ4")</f>
        <v>M5VGJ4</v>
      </c>
      <c r="D6589" s="2" t="s">
        <v>1186</v>
      </c>
      <c r="E6589" s="3">
        <v>0</v>
      </c>
      <c r="F6589" s="2">
        <v>1470</v>
      </c>
      <c r="G6589" s="2">
        <v>100</v>
      </c>
      <c r="H6589" s="2">
        <v>290</v>
      </c>
      <c r="I6589" s="2">
        <v>142</v>
      </c>
      <c r="J6589" s="2">
        <v>1011</v>
      </c>
      <c r="K6589" s="2">
        <v>1</v>
      </c>
      <c r="L6589" s="2">
        <v>290</v>
      </c>
    </row>
    <row r="6590" spans="1:12" x14ac:dyDescent="0.25">
      <c r="A6590" s="4" t="str">
        <f>HYPERLINK("http://www.rosaceae.org/Prunus/Prunus_persica/p.persica_gdr_reftransV1_0044291","p.persica_gdr_reftransV1_0044291")</f>
        <v>p.persica_gdr_reftransV1_0044291</v>
      </c>
      <c r="B6590" s="2">
        <v>2654</v>
      </c>
      <c r="C6590" s="4" t="str">
        <f>HYPERLINK("http://www.uniprot.org/uniprot/M5VII2","M5VII2")</f>
        <v>M5VII2</v>
      </c>
      <c r="D6590" s="2" t="s">
        <v>5923</v>
      </c>
      <c r="E6590" s="3">
        <v>0</v>
      </c>
      <c r="F6590" s="2">
        <v>2706</v>
      </c>
      <c r="G6590" s="2">
        <v>100</v>
      </c>
      <c r="H6590" s="2">
        <v>662</v>
      </c>
      <c r="I6590" s="2">
        <v>369</v>
      </c>
      <c r="J6590" s="2">
        <v>2354</v>
      </c>
      <c r="K6590" s="2">
        <v>1</v>
      </c>
      <c r="L6590" s="2">
        <v>662</v>
      </c>
    </row>
    <row r="6591" spans="1:12" x14ac:dyDescent="0.25">
      <c r="A6591" s="4" t="str">
        <f>HYPERLINK("http://www.rosaceae.org/Prunus/Prunus_persica/p.persica_gdr_reftransV1_0044641","p.persica_gdr_reftransV1_0044641")</f>
        <v>p.persica_gdr_reftransV1_0044641</v>
      </c>
      <c r="B6591" s="2">
        <v>1275</v>
      </c>
      <c r="C6591" s="4" t="str">
        <f>HYPERLINK("http://www.uniprot.org/uniprot/M5WJ94","M5WJ94")</f>
        <v>M5WJ94</v>
      </c>
      <c r="D6591" s="2" t="s">
        <v>5924</v>
      </c>
      <c r="E6591" s="3">
        <v>0</v>
      </c>
      <c r="F6591" s="2">
        <v>1416</v>
      </c>
      <c r="G6591" s="2">
        <v>94</v>
      </c>
      <c r="H6591" s="2">
        <v>284</v>
      </c>
      <c r="I6591" s="2">
        <v>62</v>
      </c>
      <c r="J6591" s="2">
        <v>913</v>
      </c>
      <c r="K6591" s="2">
        <v>1</v>
      </c>
      <c r="L6591" s="2">
        <v>284</v>
      </c>
    </row>
    <row r="6592" spans="1:12" x14ac:dyDescent="0.25">
      <c r="A6592" s="4" t="str">
        <f>HYPERLINK("http://www.rosaceae.org/Prunus/Prunus_persica/p.persica_gdr_reftransV1_0044991","p.persica_gdr_reftransV1_0044991")</f>
        <v>p.persica_gdr_reftransV1_0044991</v>
      </c>
      <c r="B6592" s="2">
        <v>394</v>
      </c>
      <c r="C6592" s="4" t="str">
        <f>HYPERLINK("http://www.uniprot.org/uniprot/M5WRB3","M5WRB3")</f>
        <v>M5WRB3</v>
      </c>
      <c r="D6592" s="2" t="s">
        <v>5925</v>
      </c>
      <c r="E6592" s="3">
        <v>1.53E-61</v>
      </c>
      <c r="F6592" s="2">
        <v>546</v>
      </c>
      <c r="G6592" s="2">
        <v>100</v>
      </c>
      <c r="H6592" s="2">
        <v>102</v>
      </c>
      <c r="I6592" s="2">
        <v>87</v>
      </c>
      <c r="J6592" s="2">
        <v>392</v>
      </c>
      <c r="K6592" s="2">
        <v>17</v>
      </c>
      <c r="L6592" s="2">
        <v>118</v>
      </c>
    </row>
    <row r="6593" spans="1:12" x14ac:dyDescent="0.25">
      <c r="A6593" s="4" t="str">
        <f>HYPERLINK("http://www.rosaceae.org/Prunus/Prunus_persica/p.persica_gdr_reftransV1_0045341","p.persica_gdr_reftransV1_0045341")</f>
        <v>p.persica_gdr_reftransV1_0045341</v>
      </c>
      <c r="B6593" s="2">
        <v>1009</v>
      </c>
      <c r="C6593" s="4" t="str">
        <f>HYPERLINK("http://www.uniprot.org/uniprot/M5XCK9","M5XCK9")</f>
        <v>M5XCK9</v>
      </c>
      <c r="D6593" s="2" t="s">
        <v>5926</v>
      </c>
      <c r="E6593" s="3">
        <v>9.5099999999999997E-103</v>
      </c>
      <c r="F6593" s="2">
        <v>832</v>
      </c>
      <c r="G6593" s="2">
        <v>99</v>
      </c>
      <c r="H6593" s="2">
        <v>156</v>
      </c>
      <c r="I6593" s="2">
        <v>157</v>
      </c>
      <c r="J6593" s="2">
        <v>624</v>
      </c>
      <c r="K6593" s="2">
        <v>407</v>
      </c>
      <c r="L6593" s="2">
        <v>562</v>
      </c>
    </row>
    <row r="6594" spans="1:12" x14ac:dyDescent="0.25">
      <c r="A6594" s="4" t="str">
        <f>HYPERLINK("http://www.rosaceae.org/Prunus/Prunus_persica/p.persica_gdr_reftransV1_0045691","p.persica_gdr_reftransV1_0045691")</f>
        <v>p.persica_gdr_reftransV1_0045691</v>
      </c>
      <c r="B6594" s="2">
        <v>1917</v>
      </c>
      <c r="C6594" s="4" t="str">
        <f>HYPERLINK("http://www.uniprot.org/uniprot/G8IFS5","G8IFS5")</f>
        <v>G8IFS5</v>
      </c>
      <c r="D6594" s="2" t="s">
        <v>5927</v>
      </c>
      <c r="E6594" s="3">
        <v>0</v>
      </c>
      <c r="F6594" s="2">
        <v>1525</v>
      </c>
      <c r="G6594" s="2">
        <v>85</v>
      </c>
      <c r="H6594" s="2">
        <v>361</v>
      </c>
      <c r="I6594" s="2">
        <v>367</v>
      </c>
      <c r="J6594" s="2">
        <v>1449</v>
      </c>
      <c r="K6594" s="2">
        <v>1</v>
      </c>
      <c r="L6594" s="2">
        <v>360</v>
      </c>
    </row>
    <row r="6595" spans="1:12" x14ac:dyDescent="0.25">
      <c r="A6595" s="4" t="str">
        <f>HYPERLINK("http://www.rosaceae.org/Prunus/Prunus_persica/p.persica_gdr_reftransV1_0046041","p.persica_gdr_reftransV1_0046041")</f>
        <v>p.persica_gdr_reftransV1_0046041</v>
      </c>
      <c r="B6595" s="2">
        <v>1536</v>
      </c>
      <c r="C6595" s="4" t="str">
        <f>HYPERLINK("http://www.uniprot.org/uniprot/W9QRL8","W9QRL8")</f>
        <v>W9QRL8</v>
      </c>
      <c r="D6595" s="2" t="s">
        <v>5928</v>
      </c>
      <c r="E6595" s="3">
        <v>1.7799999999999999E-129</v>
      </c>
      <c r="F6595" s="2">
        <v>1001</v>
      </c>
      <c r="G6595" s="2">
        <v>71</v>
      </c>
      <c r="H6595" s="2">
        <v>260</v>
      </c>
      <c r="I6595" s="2">
        <v>356</v>
      </c>
      <c r="J6595" s="2">
        <v>1129</v>
      </c>
      <c r="K6595" s="2">
        <v>1</v>
      </c>
      <c r="L6595" s="2">
        <v>258</v>
      </c>
    </row>
    <row r="6596" spans="1:12" x14ac:dyDescent="0.25">
      <c r="A6596" s="4" t="str">
        <f>HYPERLINK("http://www.rosaceae.org/Prunus/Prunus_persica/p.persica_gdr_reftransV1_0046741","p.persica_gdr_reftransV1_0046741")</f>
        <v>p.persica_gdr_reftransV1_0046741</v>
      </c>
      <c r="B6596" s="2">
        <v>428</v>
      </c>
      <c r="C6596" s="4" t="str">
        <f>HYPERLINK("http://www.uniprot.org/uniprot/M5W545","M5W545")</f>
        <v>M5W545</v>
      </c>
      <c r="D6596" s="2" t="s">
        <v>1958</v>
      </c>
      <c r="E6596" s="3">
        <v>2.5300000000000001E-72</v>
      </c>
      <c r="F6596" s="2">
        <v>616</v>
      </c>
      <c r="G6596" s="2">
        <v>100</v>
      </c>
      <c r="H6596" s="2">
        <v>117</v>
      </c>
      <c r="I6596" s="2">
        <v>1</v>
      </c>
      <c r="J6596" s="2">
        <v>351</v>
      </c>
      <c r="K6596" s="2">
        <v>190</v>
      </c>
      <c r="L6596" s="2">
        <v>306</v>
      </c>
    </row>
    <row r="6597" spans="1:12" x14ac:dyDescent="0.25">
      <c r="A6597" s="4" t="str">
        <f>HYPERLINK("http://www.rosaceae.org/Prunus/Prunus_persica/p.persica_gdr_reftransV1_0047091","p.persica_gdr_reftransV1_0047091")</f>
        <v>p.persica_gdr_reftransV1_0047091</v>
      </c>
      <c r="B6597" s="2">
        <v>2161</v>
      </c>
      <c r="C6597" s="4" t="str">
        <f>HYPERLINK("http://www.uniprot.org/uniprot/M5XD85","M5XD85")</f>
        <v>M5XD85</v>
      </c>
      <c r="D6597" s="2" t="s">
        <v>5929</v>
      </c>
      <c r="E6597" s="3">
        <v>0</v>
      </c>
      <c r="F6597" s="2">
        <v>2349</v>
      </c>
      <c r="G6597" s="2">
        <v>100</v>
      </c>
      <c r="H6597" s="2">
        <v>440</v>
      </c>
      <c r="I6597" s="2">
        <v>622</v>
      </c>
      <c r="J6597" s="2">
        <v>1941</v>
      </c>
      <c r="K6597" s="2">
        <v>1</v>
      </c>
      <c r="L6597" s="2">
        <v>440</v>
      </c>
    </row>
    <row r="6598" spans="1:12" x14ac:dyDescent="0.25">
      <c r="A6598" s="4" t="str">
        <f>HYPERLINK("http://www.rosaceae.org/Prunus/Prunus_persica/p.persica_gdr_reftransV1_0047441","p.persica_gdr_reftransV1_0047441")</f>
        <v>p.persica_gdr_reftransV1_0047441</v>
      </c>
      <c r="B6598" s="2">
        <v>1385</v>
      </c>
      <c r="C6598" s="4" t="str">
        <f>HYPERLINK("http://www.uniprot.org/uniprot/M5WC05","M5WC05")</f>
        <v>M5WC05</v>
      </c>
      <c r="D6598" s="2" t="s">
        <v>5930</v>
      </c>
      <c r="E6598" s="3">
        <v>0</v>
      </c>
      <c r="F6598" s="2">
        <v>1623</v>
      </c>
      <c r="G6598" s="2">
        <v>100</v>
      </c>
      <c r="H6598" s="2">
        <v>310</v>
      </c>
      <c r="I6598" s="2">
        <v>111</v>
      </c>
      <c r="J6598" s="2">
        <v>1040</v>
      </c>
      <c r="K6598" s="2">
        <v>1</v>
      </c>
      <c r="L6598" s="2">
        <v>310</v>
      </c>
    </row>
    <row r="6599" spans="1:12" x14ac:dyDescent="0.25">
      <c r="A6599" s="4" t="str">
        <f>HYPERLINK("http://www.rosaceae.org/Prunus/Prunus_persica/p.persica_gdr_reftransV1_0047791","p.persica_gdr_reftransV1_0047791")</f>
        <v>p.persica_gdr_reftransV1_0047791</v>
      </c>
      <c r="B6599" s="2">
        <v>1046</v>
      </c>
      <c r="C6599" s="4" t="str">
        <f>HYPERLINK("http://www.uniprot.org/uniprot/M5WYR0","M5WYR0")</f>
        <v>M5WYR0</v>
      </c>
      <c r="D6599" s="2" t="s">
        <v>5931</v>
      </c>
      <c r="E6599" s="3">
        <v>4.7300000000000003E-135</v>
      </c>
      <c r="F6599" s="2">
        <v>1057</v>
      </c>
      <c r="G6599" s="2">
        <v>100</v>
      </c>
      <c r="H6599" s="2">
        <v>220</v>
      </c>
      <c r="I6599" s="2">
        <v>3</v>
      </c>
      <c r="J6599" s="2">
        <v>662</v>
      </c>
      <c r="K6599" s="2">
        <v>440</v>
      </c>
      <c r="L6599" s="2">
        <v>659</v>
      </c>
    </row>
    <row r="6600" spans="1:12" x14ac:dyDescent="0.25">
      <c r="A6600" s="4" t="str">
        <f>HYPERLINK("http://www.rosaceae.org/Prunus/Prunus_persica/p.persica_gdr_reftransV1_0048491","p.persica_gdr_reftransV1_0048491")</f>
        <v>p.persica_gdr_reftransV1_0048491</v>
      </c>
      <c r="B6600" s="2">
        <v>447</v>
      </c>
      <c r="C6600" s="4" t="str">
        <f>HYPERLINK("http://www.uniprot.org/uniprot/M5X9Z0","M5X9Z0")</f>
        <v>M5X9Z0</v>
      </c>
      <c r="D6600" s="2" t="s">
        <v>5932</v>
      </c>
      <c r="E6600" s="3">
        <v>2.0100000000000001E-52</v>
      </c>
      <c r="F6600" s="2">
        <v>463</v>
      </c>
      <c r="G6600" s="2">
        <v>100</v>
      </c>
      <c r="H6600" s="2">
        <v>88</v>
      </c>
      <c r="I6600" s="2">
        <v>182</v>
      </c>
      <c r="J6600" s="2">
        <v>445</v>
      </c>
      <c r="K6600" s="2">
        <v>29</v>
      </c>
      <c r="L6600" s="2">
        <v>116</v>
      </c>
    </row>
    <row r="6601" spans="1:12" x14ac:dyDescent="0.25">
      <c r="A6601" s="4" t="str">
        <f>HYPERLINK("http://www.rosaceae.org/Prunus/Prunus_persica/p.persica_gdr_reftransV1_0048841","p.persica_gdr_reftransV1_0048841")</f>
        <v>p.persica_gdr_reftransV1_0048841</v>
      </c>
      <c r="B6601" s="2">
        <v>1421</v>
      </c>
      <c r="C6601" s="4" t="str">
        <f>HYPERLINK("http://www.uniprot.org/uniprot/M5WIZ3","M5WIZ3")</f>
        <v>M5WIZ3</v>
      </c>
      <c r="D6601" s="2" t="s">
        <v>5933</v>
      </c>
      <c r="E6601" s="3">
        <v>0</v>
      </c>
      <c r="F6601" s="2">
        <v>1506</v>
      </c>
      <c r="G6601" s="2">
        <v>100</v>
      </c>
      <c r="H6601" s="2">
        <v>304</v>
      </c>
      <c r="I6601" s="2">
        <v>181</v>
      </c>
      <c r="J6601" s="2">
        <v>1092</v>
      </c>
      <c r="K6601" s="2">
        <v>1</v>
      </c>
      <c r="L6601" s="2">
        <v>304</v>
      </c>
    </row>
    <row r="6602" spans="1:12" x14ac:dyDescent="0.25">
      <c r="A6602" s="4" t="str">
        <f>HYPERLINK("http://www.rosaceae.org/Prunus/Prunus_persica/p.persica_gdr_reftransV1_0049191","p.persica_gdr_reftransV1_0049191")</f>
        <v>p.persica_gdr_reftransV1_0049191</v>
      </c>
      <c r="B6602" s="2">
        <v>826</v>
      </c>
      <c r="C6602" s="4" t="str">
        <f>HYPERLINK("http://www.uniprot.org/uniprot/B6CQS0","B6CQS0")</f>
        <v>B6CQS0</v>
      </c>
      <c r="D6602" s="2" t="s">
        <v>5934</v>
      </c>
      <c r="E6602" s="3">
        <v>1.75E-106</v>
      </c>
      <c r="F6602" s="2">
        <v>814</v>
      </c>
      <c r="G6602" s="2">
        <v>100</v>
      </c>
      <c r="H6602" s="2">
        <v>160</v>
      </c>
      <c r="I6602" s="2">
        <v>241</v>
      </c>
      <c r="J6602" s="2">
        <v>720</v>
      </c>
      <c r="K6602" s="2">
        <v>1</v>
      </c>
      <c r="L6602" s="2">
        <v>160</v>
      </c>
    </row>
    <row r="6603" spans="1:12" x14ac:dyDescent="0.25">
      <c r="A6603" s="4" t="str">
        <f>HYPERLINK("http://www.rosaceae.org/Prunus/Prunus_persica/p.persica_gdr_reftransV1_0000542","p.persica_gdr_reftransV1_0000542")</f>
        <v>p.persica_gdr_reftransV1_0000542</v>
      </c>
      <c r="B6603" s="2">
        <v>302</v>
      </c>
      <c r="C6603" s="4" t="str">
        <f>HYPERLINK("http://www.uniprot.org/uniprot/M5X628","M5X628")</f>
        <v>M5X628</v>
      </c>
      <c r="D6603" s="2" t="s">
        <v>5935</v>
      </c>
      <c r="E6603" s="3">
        <v>4.2899999999999998E-52</v>
      </c>
      <c r="F6603" s="2">
        <v>464</v>
      </c>
      <c r="G6603" s="2">
        <v>100</v>
      </c>
      <c r="H6603" s="2">
        <v>100</v>
      </c>
      <c r="I6603" s="2">
        <v>2</v>
      </c>
      <c r="J6603" s="2">
        <v>301</v>
      </c>
      <c r="K6603" s="2">
        <v>535</v>
      </c>
      <c r="L6603" s="2">
        <v>634</v>
      </c>
    </row>
    <row r="6604" spans="1:12" x14ac:dyDescent="0.25">
      <c r="A6604" s="4" t="str">
        <f>HYPERLINK("http://www.rosaceae.org/Prunus/Prunus_persica/p.persica_gdr_reftransV1_0000892","p.persica_gdr_reftransV1_0000892")</f>
        <v>p.persica_gdr_reftransV1_0000892</v>
      </c>
      <c r="B6604" s="2">
        <v>3170</v>
      </c>
      <c r="C6604" s="4" t="str">
        <f>HYPERLINK("http://www.uniprot.org/uniprot/M5WWS6","M5WWS6")</f>
        <v>M5WWS6</v>
      </c>
      <c r="D6604" s="2" t="s">
        <v>5936</v>
      </c>
      <c r="E6604" s="3">
        <v>0</v>
      </c>
      <c r="F6604" s="2">
        <v>4035</v>
      </c>
      <c r="G6604" s="2">
        <v>100</v>
      </c>
      <c r="H6604" s="2">
        <v>879</v>
      </c>
      <c r="I6604" s="2">
        <v>124</v>
      </c>
      <c r="J6604" s="2">
        <v>2760</v>
      </c>
      <c r="K6604" s="2">
        <v>15</v>
      </c>
      <c r="L6604" s="2">
        <v>893</v>
      </c>
    </row>
    <row r="6605" spans="1:12" x14ac:dyDescent="0.25">
      <c r="A6605" s="4" t="str">
        <f>HYPERLINK("http://www.rosaceae.org/Prunus/Prunus_persica/p.persica_gdr_reftransV1_0001242","p.persica_gdr_reftransV1_0001242")</f>
        <v>p.persica_gdr_reftransV1_0001242</v>
      </c>
      <c r="B6605" s="2">
        <v>804</v>
      </c>
      <c r="C6605" s="4" t="str">
        <f>HYPERLINK("http://www.uniprot.org/uniprot/M5WEP8","M5WEP8")</f>
        <v>M5WEP8</v>
      </c>
      <c r="D6605" s="2" t="s">
        <v>5937</v>
      </c>
      <c r="E6605" s="3">
        <v>7.08E-131</v>
      </c>
      <c r="F6605" s="2">
        <v>976</v>
      </c>
      <c r="G6605" s="2">
        <v>100</v>
      </c>
      <c r="H6605" s="2">
        <v>186</v>
      </c>
      <c r="I6605" s="2">
        <v>144</v>
      </c>
      <c r="J6605" s="2">
        <v>701</v>
      </c>
      <c r="K6605" s="2">
        <v>1</v>
      </c>
      <c r="L6605" s="2">
        <v>186</v>
      </c>
    </row>
    <row r="6606" spans="1:12" x14ac:dyDescent="0.25">
      <c r="A6606" s="4" t="str">
        <f>HYPERLINK("http://www.rosaceae.org/Prunus/Prunus_persica/p.persica_gdr_reftransV1_0001592","p.persica_gdr_reftransV1_0001592")</f>
        <v>p.persica_gdr_reftransV1_0001592</v>
      </c>
      <c r="B6606" s="2">
        <v>2619</v>
      </c>
      <c r="C6606" s="4" t="str">
        <f>HYPERLINK("http://www.uniprot.org/uniprot/M5W7M6","M5W7M6")</f>
        <v>M5W7M6</v>
      </c>
      <c r="D6606" s="2" t="s">
        <v>5938</v>
      </c>
      <c r="E6606" s="3">
        <v>2.4100000000000001E-113</v>
      </c>
      <c r="F6606" s="2">
        <v>939</v>
      </c>
      <c r="G6606" s="2">
        <v>97</v>
      </c>
      <c r="H6606" s="2">
        <v>271</v>
      </c>
      <c r="I6606" s="2">
        <v>71</v>
      </c>
      <c r="J6606" s="2">
        <v>883</v>
      </c>
      <c r="K6606" s="2">
        <v>1</v>
      </c>
      <c r="L6606" s="2">
        <v>271</v>
      </c>
    </row>
    <row r="6607" spans="1:12" x14ac:dyDescent="0.25">
      <c r="A6607" s="4" t="str">
        <f>HYPERLINK("http://www.rosaceae.org/Prunus/Prunus_persica/p.persica_gdr_reftransV1_0001942","p.persica_gdr_reftransV1_0001942")</f>
        <v>p.persica_gdr_reftransV1_0001942</v>
      </c>
      <c r="B6607" s="2">
        <v>305</v>
      </c>
      <c r="C6607" s="4" t="str">
        <f>HYPERLINK("http://www.uniprot.org/uniprot/A0A067KZC6","A0A067KZC6")</f>
        <v>A0A067KZC6</v>
      </c>
      <c r="D6607" s="2" t="s">
        <v>5939</v>
      </c>
      <c r="E6607" s="3">
        <v>3.34E-30</v>
      </c>
      <c r="F6607" s="2">
        <v>300</v>
      </c>
      <c r="G6607" s="2">
        <v>62</v>
      </c>
      <c r="H6607" s="2">
        <v>95</v>
      </c>
      <c r="I6607" s="2">
        <v>15</v>
      </c>
      <c r="J6607" s="2">
        <v>299</v>
      </c>
      <c r="K6607" s="2">
        <v>5</v>
      </c>
      <c r="L6607" s="2">
        <v>96</v>
      </c>
    </row>
    <row r="6608" spans="1:12" x14ac:dyDescent="0.25">
      <c r="A6608" s="4" t="str">
        <f>HYPERLINK("http://www.rosaceae.org/Prunus/Prunus_persica/p.persica_gdr_reftransV1_0002292","p.persica_gdr_reftransV1_0002292")</f>
        <v>p.persica_gdr_reftransV1_0002292</v>
      </c>
      <c r="B6608" s="2">
        <v>1035</v>
      </c>
      <c r="C6608" s="4" t="str">
        <f>HYPERLINK("http://www.uniprot.org/uniprot/M5VQX8","M5VQX8")</f>
        <v>M5VQX8</v>
      </c>
      <c r="D6608" s="2" t="s">
        <v>5940</v>
      </c>
      <c r="E6608" s="3">
        <v>4.6899999999999999E-144</v>
      </c>
      <c r="F6608" s="2">
        <v>1076</v>
      </c>
      <c r="G6608" s="2">
        <v>100</v>
      </c>
      <c r="H6608" s="2">
        <v>215</v>
      </c>
      <c r="I6608" s="2">
        <v>140</v>
      </c>
      <c r="J6608" s="2">
        <v>784</v>
      </c>
      <c r="K6608" s="2">
        <v>14</v>
      </c>
      <c r="L6608" s="2">
        <v>228</v>
      </c>
    </row>
    <row r="6609" spans="1:12" x14ac:dyDescent="0.25">
      <c r="A6609" s="4" t="str">
        <f>HYPERLINK("http://www.rosaceae.org/Prunus/Prunus_persica/p.persica_gdr_reftransV1_0002642","p.persica_gdr_reftransV1_0002642")</f>
        <v>p.persica_gdr_reftransV1_0002642</v>
      </c>
      <c r="B6609" s="2">
        <v>3479</v>
      </c>
      <c r="C6609" s="4" t="str">
        <f>HYPERLINK("http://www.uniprot.org/uniprot/M5Y431","M5Y431")</f>
        <v>M5Y431</v>
      </c>
      <c r="D6609" s="2" t="s">
        <v>5941</v>
      </c>
      <c r="E6609" s="3">
        <v>0</v>
      </c>
      <c r="F6609" s="2">
        <v>4263</v>
      </c>
      <c r="G6609" s="2">
        <v>99</v>
      </c>
      <c r="H6609" s="2">
        <v>944</v>
      </c>
      <c r="I6609" s="2">
        <v>351</v>
      </c>
      <c r="J6609" s="2">
        <v>3182</v>
      </c>
      <c r="K6609" s="2">
        <v>1</v>
      </c>
      <c r="L6609" s="2">
        <v>938</v>
      </c>
    </row>
    <row r="6610" spans="1:12" x14ac:dyDescent="0.25">
      <c r="A6610" s="4" t="str">
        <f>HYPERLINK("http://www.rosaceae.org/Prunus/Prunus_persica/p.persica_gdr_reftransV1_0002992","p.persica_gdr_reftransV1_0002992")</f>
        <v>p.persica_gdr_reftransV1_0002992</v>
      </c>
      <c r="B6610" s="2">
        <v>2018</v>
      </c>
      <c r="C6610" s="4" t="str">
        <f>HYPERLINK("http://www.uniprot.org/uniprot/M5WBJ6","M5WBJ6")</f>
        <v>M5WBJ6</v>
      </c>
      <c r="D6610" s="2" t="s">
        <v>5942</v>
      </c>
      <c r="E6610" s="3">
        <v>0</v>
      </c>
      <c r="F6610" s="2">
        <v>2473</v>
      </c>
      <c r="G6610" s="2">
        <v>100</v>
      </c>
      <c r="H6610" s="2">
        <v>503</v>
      </c>
      <c r="I6610" s="2">
        <v>465</v>
      </c>
      <c r="J6610" s="2">
        <v>1973</v>
      </c>
      <c r="K6610" s="2">
        <v>1</v>
      </c>
      <c r="L6610" s="2">
        <v>503</v>
      </c>
    </row>
    <row r="6611" spans="1:12" x14ac:dyDescent="0.25">
      <c r="A6611" s="4" t="str">
        <f>HYPERLINK("http://www.rosaceae.org/Prunus/Prunus_persica/p.persica_gdr_reftransV1_0003342","p.persica_gdr_reftransV1_0003342")</f>
        <v>p.persica_gdr_reftransV1_0003342</v>
      </c>
      <c r="B6611" s="2">
        <v>1024</v>
      </c>
      <c r="C6611" s="4" t="str">
        <f>HYPERLINK("http://www.uniprot.org/uniprot/M5XIT0","M5XIT0")</f>
        <v>M5XIT0</v>
      </c>
      <c r="D6611" s="2" t="s">
        <v>5943</v>
      </c>
      <c r="E6611" s="3">
        <v>3.6200000000000002E-178</v>
      </c>
      <c r="F6611" s="2">
        <v>1347</v>
      </c>
      <c r="G6611" s="2">
        <v>96</v>
      </c>
      <c r="H6611" s="2">
        <v>281</v>
      </c>
      <c r="I6611" s="2">
        <v>182</v>
      </c>
      <c r="J6611" s="2">
        <v>1024</v>
      </c>
      <c r="K6611" s="2">
        <v>1</v>
      </c>
      <c r="L6611" s="2">
        <v>281</v>
      </c>
    </row>
    <row r="6612" spans="1:12" x14ac:dyDescent="0.25">
      <c r="A6612" s="4" t="str">
        <f>HYPERLINK("http://www.rosaceae.org/Prunus/Prunus_persica/p.persica_gdr_reftransV1_0003692","p.persica_gdr_reftransV1_0003692")</f>
        <v>p.persica_gdr_reftransV1_0003692</v>
      </c>
      <c r="B6612" s="2">
        <v>3615</v>
      </c>
      <c r="C6612" s="4" t="str">
        <f>HYPERLINK("http://www.uniprot.org/uniprot/M5XWY4","M5XWY4")</f>
        <v>M5XWY4</v>
      </c>
      <c r="D6612" s="2" t="s">
        <v>5944</v>
      </c>
      <c r="E6612" s="3">
        <v>0</v>
      </c>
      <c r="F6612" s="2">
        <v>2757</v>
      </c>
      <c r="G6612" s="2">
        <v>100</v>
      </c>
      <c r="H6612" s="2">
        <v>527</v>
      </c>
      <c r="I6612" s="2">
        <v>438</v>
      </c>
      <c r="J6612" s="2">
        <v>2018</v>
      </c>
      <c r="K6612" s="2">
        <v>1</v>
      </c>
      <c r="L6612" s="2">
        <v>527</v>
      </c>
    </row>
    <row r="6613" spans="1:12" x14ac:dyDescent="0.25">
      <c r="A6613" s="4" t="str">
        <f>HYPERLINK("http://www.rosaceae.org/Prunus/Prunus_persica/p.persica_gdr_reftransV1_0004392","p.persica_gdr_reftransV1_0004392")</f>
        <v>p.persica_gdr_reftransV1_0004392</v>
      </c>
      <c r="B6613" s="2">
        <v>1384</v>
      </c>
      <c r="C6613" s="4" t="str">
        <f>HYPERLINK("http://www.uniprot.org/uniprot/M5XKP8","M5XKP8")</f>
        <v>M5XKP8</v>
      </c>
      <c r="D6613" s="2" t="s">
        <v>5945</v>
      </c>
      <c r="E6613" s="3">
        <v>3.8800000000000003E-132</v>
      </c>
      <c r="F6613" s="2">
        <v>1098</v>
      </c>
      <c r="G6613" s="2">
        <v>100</v>
      </c>
      <c r="H6613" s="2">
        <v>247</v>
      </c>
      <c r="I6613" s="2">
        <v>522</v>
      </c>
      <c r="J6613" s="2">
        <v>1262</v>
      </c>
      <c r="K6613" s="2">
        <v>1234</v>
      </c>
      <c r="L6613" s="2">
        <v>1480</v>
      </c>
    </row>
    <row r="6614" spans="1:12" x14ac:dyDescent="0.25">
      <c r="A6614" s="4" t="str">
        <f>HYPERLINK("http://www.rosaceae.org/Prunus/Prunus_persica/p.persica_gdr_reftransV1_0004742","p.persica_gdr_reftransV1_0004742")</f>
        <v>p.persica_gdr_reftransV1_0004742</v>
      </c>
      <c r="B6614" s="2">
        <v>604</v>
      </c>
      <c r="C6614" s="4" t="str">
        <f>HYPERLINK("http://www.uniprot.org/uniprot/M5VZK7","M5VZK7")</f>
        <v>M5VZK7</v>
      </c>
      <c r="D6614" s="2" t="s">
        <v>3581</v>
      </c>
      <c r="E6614" s="3">
        <v>1.1599999999999999E-61</v>
      </c>
      <c r="F6614" s="2">
        <v>528</v>
      </c>
      <c r="G6614" s="2">
        <v>99</v>
      </c>
      <c r="H6614" s="2">
        <v>99</v>
      </c>
      <c r="I6614" s="2">
        <v>54</v>
      </c>
      <c r="J6614" s="2">
        <v>350</v>
      </c>
      <c r="K6614" s="2">
        <v>275</v>
      </c>
      <c r="L6614" s="2">
        <v>373</v>
      </c>
    </row>
    <row r="6615" spans="1:12" x14ac:dyDescent="0.25">
      <c r="A6615" s="4" t="str">
        <f>HYPERLINK("http://www.rosaceae.org/Prunus/Prunus_persica/p.persica_gdr_reftransV1_0005092","p.persica_gdr_reftransV1_0005092")</f>
        <v>p.persica_gdr_reftransV1_0005092</v>
      </c>
      <c r="B6615" s="2">
        <v>2615</v>
      </c>
      <c r="C6615" s="4" t="str">
        <f>HYPERLINK("http://www.uniprot.org/uniprot/M5VWJ7","M5VWJ7")</f>
        <v>M5VWJ7</v>
      </c>
      <c r="D6615" s="2" t="s">
        <v>5946</v>
      </c>
      <c r="E6615" s="3">
        <v>0</v>
      </c>
      <c r="F6615" s="2">
        <v>2978</v>
      </c>
      <c r="G6615" s="2">
        <v>93</v>
      </c>
      <c r="H6615" s="2">
        <v>640</v>
      </c>
      <c r="I6615" s="2">
        <v>196</v>
      </c>
      <c r="J6615" s="2">
        <v>2115</v>
      </c>
      <c r="K6615" s="2">
        <v>1</v>
      </c>
      <c r="L6615" s="2">
        <v>595</v>
      </c>
    </row>
    <row r="6616" spans="1:12" x14ac:dyDescent="0.25">
      <c r="A6616" s="4" t="str">
        <f>HYPERLINK("http://www.rosaceae.org/Prunus/Prunus_persica/p.persica_gdr_reftransV1_0005442","p.persica_gdr_reftransV1_0005442")</f>
        <v>p.persica_gdr_reftransV1_0005442</v>
      </c>
      <c r="B6616" s="2">
        <v>508</v>
      </c>
      <c r="C6616" s="4" t="str">
        <f>HYPERLINK("http://www.uniprot.org/uniprot/M5W876","M5W876")</f>
        <v>M5W876</v>
      </c>
      <c r="D6616" s="2" t="s">
        <v>5947</v>
      </c>
      <c r="E6616" s="3">
        <v>1.1099999999999999E-111</v>
      </c>
      <c r="F6616" s="2">
        <v>888</v>
      </c>
      <c r="G6616" s="2">
        <v>100</v>
      </c>
      <c r="H6616" s="2">
        <v>169</v>
      </c>
      <c r="I6616" s="2">
        <v>1</v>
      </c>
      <c r="J6616" s="2">
        <v>507</v>
      </c>
      <c r="K6616" s="2">
        <v>324</v>
      </c>
      <c r="L6616" s="2">
        <v>492</v>
      </c>
    </row>
    <row r="6617" spans="1:12" x14ac:dyDescent="0.25">
      <c r="A6617" s="4" t="str">
        <f>HYPERLINK("http://www.rosaceae.org/Prunus/Prunus_persica/p.persica_gdr_reftransV1_0005792","p.persica_gdr_reftransV1_0005792")</f>
        <v>p.persica_gdr_reftransV1_0005792</v>
      </c>
      <c r="B6617" s="2">
        <v>577</v>
      </c>
      <c r="C6617" s="4" t="str">
        <f>HYPERLINK("http://www.uniprot.org/uniprot/M5VU87","M5VU87")</f>
        <v>M5VU87</v>
      </c>
      <c r="D6617" s="2" t="s">
        <v>5948</v>
      </c>
      <c r="E6617" s="3">
        <v>6.8900000000000001E-62</v>
      </c>
      <c r="F6617" s="2">
        <v>504</v>
      </c>
      <c r="G6617" s="2">
        <v>100</v>
      </c>
      <c r="H6617" s="2">
        <v>97</v>
      </c>
      <c r="I6617" s="2">
        <v>63</v>
      </c>
      <c r="J6617" s="2">
        <v>353</v>
      </c>
      <c r="K6617" s="2">
        <v>1</v>
      </c>
      <c r="L6617" s="2">
        <v>97</v>
      </c>
    </row>
    <row r="6618" spans="1:12" x14ac:dyDescent="0.25">
      <c r="A6618" s="4" t="str">
        <f>HYPERLINK("http://www.rosaceae.org/Prunus/Prunus_persica/p.persica_gdr_reftransV1_0007192","p.persica_gdr_reftransV1_0007192")</f>
        <v>p.persica_gdr_reftransV1_0007192</v>
      </c>
      <c r="B6618" s="2">
        <v>615</v>
      </c>
      <c r="C6618" s="4" t="str">
        <f>HYPERLINK("http://www.uniprot.org/uniprot/M5VIH9","M5VIH9")</f>
        <v>M5VIH9</v>
      </c>
      <c r="D6618" s="2" t="s">
        <v>5949</v>
      </c>
      <c r="E6618" s="3">
        <v>4.8399999999999998E-89</v>
      </c>
      <c r="F6618" s="2">
        <v>693</v>
      </c>
      <c r="G6618" s="2">
        <v>100</v>
      </c>
      <c r="H6618" s="2">
        <v>132</v>
      </c>
      <c r="I6618" s="2">
        <v>2</v>
      </c>
      <c r="J6618" s="2">
        <v>397</v>
      </c>
      <c r="K6618" s="2">
        <v>54</v>
      </c>
      <c r="L6618" s="2">
        <v>185</v>
      </c>
    </row>
    <row r="6619" spans="1:12" x14ac:dyDescent="0.25">
      <c r="A6619" s="4" t="str">
        <f>HYPERLINK("http://www.rosaceae.org/Prunus/Prunus_persica/p.persica_gdr_reftransV1_0007542","p.persica_gdr_reftransV1_0007542")</f>
        <v>p.persica_gdr_reftransV1_0007542</v>
      </c>
      <c r="B6619" s="2">
        <v>2417</v>
      </c>
      <c r="C6619" s="4" t="str">
        <f>HYPERLINK("http://www.uniprot.org/uniprot/M5X1C4","M5X1C4")</f>
        <v>M5X1C4</v>
      </c>
      <c r="D6619" s="2" t="s">
        <v>5950</v>
      </c>
      <c r="E6619" s="3">
        <v>0</v>
      </c>
      <c r="F6619" s="2">
        <v>2083</v>
      </c>
      <c r="G6619" s="2">
        <v>100</v>
      </c>
      <c r="H6619" s="2">
        <v>400</v>
      </c>
      <c r="I6619" s="2">
        <v>403</v>
      </c>
      <c r="J6619" s="2">
        <v>1602</v>
      </c>
      <c r="K6619" s="2">
        <v>1</v>
      </c>
      <c r="L6619" s="2">
        <v>400</v>
      </c>
    </row>
    <row r="6620" spans="1:12" x14ac:dyDescent="0.25">
      <c r="A6620" s="4" t="str">
        <f>HYPERLINK("http://www.rosaceae.org/Prunus/Prunus_persica/p.persica_gdr_reftransV1_0007892","p.persica_gdr_reftransV1_0007892")</f>
        <v>p.persica_gdr_reftransV1_0007892</v>
      </c>
      <c r="B6620" s="2">
        <v>2356</v>
      </c>
      <c r="C6620" s="4" t="str">
        <f>HYPERLINK("http://www.uniprot.org/uniprot/M5XEM9","M5XEM9")</f>
        <v>M5XEM9</v>
      </c>
      <c r="D6620" s="2" t="s">
        <v>5951</v>
      </c>
      <c r="E6620" s="3">
        <v>0</v>
      </c>
      <c r="F6620" s="2">
        <v>2185</v>
      </c>
      <c r="G6620" s="2">
        <v>89</v>
      </c>
      <c r="H6620" s="2">
        <v>479</v>
      </c>
      <c r="I6620" s="2">
        <v>468</v>
      </c>
      <c r="J6620" s="2">
        <v>1904</v>
      </c>
      <c r="K6620" s="2">
        <v>1</v>
      </c>
      <c r="L6620" s="2">
        <v>428</v>
      </c>
    </row>
    <row r="6621" spans="1:12" x14ac:dyDescent="0.25">
      <c r="A6621" s="4" t="str">
        <f>HYPERLINK("http://www.rosaceae.org/Prunus/Prunus_persica/p.persica_gdr_reftransV1_0008242","p.persica_gdr_reftransV1_0008242")</f>
        <v>p.persica_gdr_reftransV1_0008242</v>
      </c>
      <c r="B6621" s="2">
        <v>1629</v>
      </c>
      <c r="C6621" s="4" t="str">
        <f>HYPERLINK("http://www.uniprot.org/uniprot/M5W244","M5W244")</f>
        <v>M5W244</v>
      </c>
      <c r="D6621" s="2" t="s">
        <v>5952</v>
      </c>
      <c r="E6621" s="3">
        <v>0</v>
      </c>
      <c r="F6621" s="2">
        <v>1843</v>
      </c>
      <c r="G6621" s="2">
        <v>100</v>
      </c>
      <c r="H6621" s="2">
        <v>349</v>
      </c>
      <c r="I6621" s="2">
        <v>394</v>
      </c>
      <c r="J6621" s="2">
        <v>1440</v>
      </c>
      <c r="K6621" s="2">
        <v>1</v>
      </c>
      <c r="L6621" s="2">
        <v>349</v>
      </c>
    </row>
    <row r="6622" spans="1:12" x14ac:dyDescent="0.25">
      <c r="A6622" s="4" t="str">
        <f>HYPERLINK("http://www.rosaceae.org/Prunus/Prunus_persica/p.persica_gdr_reftransV1_0009642","p.persica_gdr_reftransV1_0009642")</f>
        <v>p.persica_gdr_reftransV1_0009642</v>
      </c>
      <c r="B6622" s="2">
        <v>1784</v>
      </c>
      <c r="C6622" s="4" t="str">
        <f>HYPERLINK("http://www.uniprot.org/uniprot/M5WZN2","M5WZN2")</f>
        <v>M5WZN2</v>
      </c>
      <c r="D6622" s="2" t="s">
        <v>5953</v>
      </c>
      <c r="E6622" s="3">
        <v>0</v>
      </c>
      <c r="F6622" s="2">
        <v>1844</v>
      </c>
      <c r="G6622" s="2">
        <v>100</v>
      </c>
      <c r="H6622" s="2">
        <v>362</v>
      </c>
      <c r="I6622" s="2">
        <v>148</v>
      </c>
      <c r="J6622" s="2">
        <v>1233</v>
      </c>
      <c r="K6622" s="2">
        <v>1</v>
      </c>
      <c r="L6622" s="2">
        <v>362</v>
      </c>
    </row>
    <row r="6623" spans="1:12" x14ac:dyDescent="0.25">
      <c r="A6623" s="4" t="str">
        <f>HYPERLINK("http://www.rosaceae.org/Prunus/Prunus_persica/p.persica_gdr_reftransV1_0009992","p.persica_gdr_reftransV1_0009992")</f>
        <v>p.persica_gdr_reftransV1_0009992</v>
      </c>
      <c r="B6623" s="2">
        <v>981</v>
      </c>
      <c r="C6623" s="4" t="str">
        <f>HYPERLINK("http://www.uniprot.org/uniprot/M5X2M3","M5X2M3")</f>
        <v>M5X2M3</v>
      </c>
      <c r="D6623" s="2" t="s">
        <v>5954</v>
      </c>
      <c r="E6623" s="3">
        <v>2.9599999999999998E-112</v>
      </c>
      <c r="F6623" s="2">
        <v>860</v>
      </c>
      <c r="G6623" s="2">
        <v>98</v>
      </c>
      <c r="H6623" s="2">
        <v>167</v>
      </c>
      <c r="I6623" s="2">
        <v>456</v>
      </c>
      <c r="J6623" s="2">
        <v>956</v>
      </c>
      <c r="K6623" s="2">
        <v>22</v>
      </c>
      <c r="L6623" s="2">
        <v>188</v>
      </c>
    </row>
    <row r="6624" spans="1:12" x14ac:dyDescent="0.25">
      <c r="A6624" s="4" t="str">
        <f>HYPERLINK("http://www.rosaceae.org/Prunus/Prunus_persica/p.persica_gdr_reftransV1_0012792","p.persica_gdr_reftransV1_0012792")</f>
        <v>p.persica_gdr_reftransV1_0012792</v>
      </c>
      <c r="B6624" s="2">
        <v>2133</v>
      </c>
      <c r="C6624" s="4" t="str">
        <f>HYPERLINK("http://www.uniprot.org/uniprot/M5XF84","M5XF84")</f>
        <v>M5XF84</v>
      </c>
      <c r="D6624" s="2" t="s">
        <v>5955</v>
      </c>
      <c r="E6624" s="3">
        <v>0</v>
      </c>
      <c r="F6624" s="2">
        <v>2758</v>
      </c>
      <c r="G6624" s="2">
        <v>100</v>
      </c>
      <c r="H6624" s="2">
        <v>555</v>
      </c>
      <c r="I6624" s="2">
        <v>169</v>
      </c>
      <c r="J6624" s="2">
        <v>1833</v>
      </c>
      <c r="K6624" s="2">
        <v>1</v>
      </c>
      <c r="L6624" s="2">
        <v>555</v>
      </c>
    </row>
    <row r="6625" spans="1:12" x14ac:dyDescent="0.25">
      <c r="A6625" s="4" t="str">
        <f>HYPERLINK("http://www.rosaceae.org/Prunus/Prunus_persica/p.persica_gdr_reftransV1_0013142","p.persica_gdr_reftransV1_0013142")</f>
        <v>p.persica_gdr_reftransV1_0013142</v>
      </c>
      <c r="B6625" s="2">
        <v>1291</v>
      </c>
      <c r="C6625" s="4" t="str">
        <f>HYPERLINK("http://www.uniprot.org/uniprot/M5Y563","M5Y563")</f>
        <v>M5Y563</v>
      </c>
      <c r="D6625" s="2" t="s">
        <v>5956</v>
      </c>
      <c r="E6625" s="3">
        <v>6.7499999999999996E-65</v>
      </c>
      <c r="F6625" s="2">
        <v>548</v>
      </c>
      <c r="G6625" s="2">
        <v>100</v>
      </c>
      <c r="H6625" s="2">
        <v>124</v>
      </c>
      <c r="I6625" s="2">
        <v>196</v>
      </c>
      <c r="J6625" s="2">
        <v>567</v>
      </c>
      <c r="K6625" s="2">
        <v>1</v>
      </c>
      <c r="L6625" s="2">
        <v>124</v>
      </c>
    </row>
    <row r="6626" spans="1:12" x14ac:dyDescent="0.25">
      <c r="A6626" s="4" t="str">
        <f>HYPERLINK("http://www.rosaceae.org/Prunus/Prunus_persica/p.persica_gdr_reftransV1_0013842","p.persica_gdr_reftransV1_0013842")</f>
        <v>p.persica_gdr_reftransV1_0013842</v>
      </c>
      <c r="B6626" s="2">
        <v>2762</v>
      </c>
      <c r="C6626" s="4" t="str">
        <f>HYPERLINK("http://www.uniprot.org/uniprot/M5W3X5","M5W3X5")</f>
        <v>M5W3X5</v>
      </c>
      <c r="D6626" s="2" t="s">
        <v>5957</v>
      </c>
      <c r="E6626" s="3">
        <v>0</v>
      </c>
      <c r="F6626" s="2">
        <v>4241</v>
      </c>
      <c r="G6626" s="2">
        <v>100</v>
      </c>
      <c r="H6626" s="2">
        <v>807</v>
      </c>
      <c r="I6626" s="2">
        <v>2</v>
      </c>
      <c r="J6626" s="2">
        <v>2422</v>
      </c>
      <c r="K6626" s="2">
        <v>125</v>
      </c>
      <c r="L6626" s="2">
        <v>931</v>
      </c>
    </row>
    <row r="6627" spans="1:12" x14ac:dyDescent="0.25">
      <c r="A6627" s="4" t="str">
        <f>HYPERLINK("http://www.rosaceae.org/Prunus/Prunus_persica/p.persica_gdr_reftransV1_0014892","p.persica_gdr_reftransV1_0014892")</f>
        <v>p.persica_gdr_reftransV1_0014892</v>
      </c>
      <c r="B6627" s="2">
        <v>4600</v>
      </c>
      <c r="C6627" s="4" t="str">
        <f>HYPERLINK("http://www.uniprot.org/uniprot/M5Y442","M5Y442")</f>
        <v>M5Y442</v>
      </c>
      <c r="D6627" s="2" t="s">
        <v>5958</v>
      </c>
      <c r="E6627" s="3">
        <v>0</v>
      </c>
      <c r="F6627" s="2">
        <v>4556</v>
      </c>
      <c r="G6627" s="2">
        <v>97</v>
      </c>
      <c r="H6627" s="2">
        <v>972</v>
      </c>
      <c r="I6627" s="2">
        <v>912</v>
      </c>
      <c r="J6627" s="2">
        <v>3827</v>
      </c>
      <c r="K6627" s="2">
        <v>1</v>
      </c>
      <c r="L6627" s="2">
        <v>950</v>
      </c>
    </row>
    <row r="6628" spans="1:12" x14ac:dyDescent="0.25">
      <c r="A6628" s="4" t="str">
        <f>HYPERLINK("http://www.rosaceae.org/Prunus/Prunus_persica/p.persica_gdr_reftransV1_0015242","p.persica_gdr_reftransV1_0015242")</f>
        <v>p.persica_gdr_reftransV1_0015242</v>
      </c>
      <c r="B6628" s="2">
        <v>2833</v>
      </c>
      <c r="C6628" s="4" t="str">
        <f>HYPERLINK("http://www.uniprot.org/uniprot/M5W5K0","M5W5K0")</f>
        <v>M5W5K0</v>
      </c>
      <c r="D6628" s="2" t="s">
        <v>5959</v>
      </c>
      <c r="E6628" s="3">
        <v>0</v>
      </c>
      <c r="F6628" s="2">
        <v>1425</v>
      </c>
      <c r="G6628" s="2">
        <v>100</v>
      </c>
      <c r="H6628" s="2">
        <v>270</v>
      </c>
      <c r="I6628" s="2">
        <v>1704</v>
      </c>
      <c r="J6628" s="2">
        <v>2513</v>
      </c>
      <c r="K6628" s="2">
        <v>226</v>
      </c>
      <c r="L6628" s="2">
        <v>495</v>
      </c>
    </row>
    <row r="6629" spans="1:12" x14ac:dyDescent="0.25">
      <c r="A6629" s="4" t="str">
        <f>HYPERLINK("http://www.rosaceae.org/Prunus/Prunus_persica/p.persica_gdr_reftransV1_0015942","p.persica_gdr_reftransV1_0015942")</f>
        <v>p.persica_gdr_reftransV1_0015942</v>
      </c>
      <c r="B6629" s="2">
        <v>1655</v>
      </c>
      <c r="C6629" s="4" t="str">
        <f>HYPERLINK("http://www.uniprot.org/uniprot/M5Y4H4","M5Y4H4")</f>
        <v>M5Y4H4</v>
      </c>
      <c r="D6629" s="2" t="s">
        <v>5960</v>
      </c>
      <c r="E6629" s="3">
        <v>0</v>
      </c>
      <c r="F6629" s="2">
        <v>1514</v>
      </c>
      <c r="G6629" s="2">
        <v>100</v>
      </c>
      <c r="H6629" s="2">
        <v>302</v>
      </c>
      <c r="I6629" s="2">
        <v>448</v>
      </c>
      <c r="J6629" s="2">
        <v>1353</v>
      </c>
      <c r="K6629" s="2">
        <v>1</v>
      </c>
      <c r="L6629" s="2">
        <v>302</v>
      </c>
    </row>
    <row r="6630" spans="1:12" x14ac:dyDescent="0.25">
      <c r="A6630" s="4" t="str">
        <f>HYPERLINK("http://www.rosaceae.org/Prunus/Prunus_persica/p.persica_gdr_reftransV1_0016642","p.persica_gdr_reftransV1_0016642")</f>
        <v>p.persica_gdr_reftransV1_0016642</v>
      </c>
      <c r="B6630" s="2">
        <v>2033</v>
      </c>
      <c r="C6630" s="4" t="str">
        <f>HYPERLINK("http://www.uniprot.org/uniprot/M5WD51","M5WD51")</f>
        <v>M5WD51</v>
      </c>
      <c r="D6630" s="2" t="s">
        <v>5403</v>
      </c>
      <c r="E6630" s="3">
        <v>0</v>
      </c>
      <c r="F6630" s="2">
        <v>3155</v>
      </c>
      <c r="G6630" s="2">
        <v>100</v>
      </c>
      <c r="H6630" s="2">
        <v>631</v>
      </c>
      <c r="I6630" s="2">
        <v>140</v>
      </c>
      <c r="J6630" s="2">
        <v>2032</v>
      </c>
      <c r="K6630" s="2">
        <v>1</v>
      </c>
      <c r="L6630" s="2">
        <v>631</v>
      </c>
    </row>
    <row r="6631" spans="1:12" x14ac:dyDescent="0.25">
      <c r="A6631" s="4" t="str">
        <f>HYPERLINK("http://www.rosaceae.org/Prunus/Prunus_persica/p.persica_gdr_reftransV1_0018042","p.persica_gdr_reftransV1_0018042")</f>
        <v>p.persica_gdr_reftransV1_0018042</v>
      </c>
      <c r="B6631" s="2">
        <v>1521</v>
      </c>
      <c r="C6631" s="4" t="str">
        <f>HYPERLINK("http://www.uniprot.org/uniprot/M5XE47","M5XE47")</f>
        <v>M5XE47</v>
      </c>
      <c r="D6631" s="2" t="s">
        <v>5961</v>
      </c>
      <c r="E6631" s="3">
        <v>1.9399999999999999E-153</v>
      </c>
      <c r="F6631" s="2">
        <v>1159</v>
      </c>
      <c r="G6631" s="2">
        <v>100</v>
      </c>
      <c r="H6631" s="2">
        <v>253</v>
      </c>
      <c r="I6631" s="2">
        <v>114</v>
      </c>
      <c r="J6631" s="2">
        <v>872</v>
      </c>
      <c r="K6631" s="2">
        <v>22</v>
      </c>
      <c r="L6631" s="2">
        <v>274</v>
      </c>
    </row>
    <row r="6632" spans="1:12" x14ac:dyDescent="0.25">
      <c r="A6632" s="4" t="str">
        <f>HYPERLINK("http://www.rosaceae.org/Prunus/Prunus_persica/p.persica_gdr_reftransV1_0019442","p.persica_gdr_reftransV1_0019442")</f>
        <v>p.persica_gdr_reftransV1_0019442</v>
      </c>
      <c r="B6632" s="2">
        <v>610</v>
      </c>
      <c r="C6632" s="4" t="str">
        <f>HYPERLINK("http://www.uniprot.org/uniprot/M5X6B7","M5X6B7")</f>
        <v>M5X6B7</v>
      </c>
      <c r="D6632" s="2" t="s">
        <v>5962</v>
      </c>
      <c r="E6632" s="3">
        <v>4.3400000000000003E-61</v>
      </c>
      <c r="F6632" s="2">
        <v>538</v>
      </c>
      <c r="G6632" s="2">
        <v>92</v>
      </c>
      <c r="H6632" s="2">
        <v>138</v>
      </c>
      <c r="I6632" s="2">
        <v>192</v>
      </c>
      <c r="J6632" s="2">
        <v>605</v>
      </c>
      <c r="K6632" s="2">
        <v>476</v>
      </c>
      <c r="L6632" s="2">
        <v>613</v>
      </c>
    </row>
    <row r="6633" spans="1:12" x14ac:dyDescent="0.25">
      <c r="A6633" s="4" t="str">
        <f>HYPERLINK("http://www.rosaceae.org/Prunus/Prunus_persica/p.persica_gdr_reftransV1_0020492","p.persica_gdr_reftransV1_0020492")</f>
        <v>p.persica_gdr_reftransV1_0020492</v>
      </c>
      <c r="B6633" s="2">
        <v>8591</v>
      </c>
      <c r="C6633" s="4" t="str">
        <f>HYPERLINK("http://www.uniprot.org/uniprot/M5VSF2","M5VSF2")</f>
        <v>M5VSF2</v>
      </c>
      <c r="D6633" s="2" t="s">
        <v>5963</v>
      </c>
      <c r="E6633" s="3">
        <v>0</v>
      </c>
      <c r="F6633" s="2">
        <v>12459</v>
      </c>
      <c r="G6633" s="2">
        <v>99</v>
      </c>
      <c r="H6633" s="2">
        <v>2622</v>
      </c>
      <c r="I6633" s="2">
        <v>415</v>
      </c>
      <c r="J6633" s="2">
        <v>8169</v>
      </c>
      <c r="K6633" s="2">
        <v>1</v>
      </c>
      <c r="L6633" s="2">
        <v>2622</v>
      </c>
    </row>
    <row r="6634" spans="1:12" x14ac:dyDescent="0.25">
      <c r="A6634" s="4" t="str">
        <f>HYPERLINK("http://www.rosaceae.org/Prunus/Prunus_persica/p.persica_gdr_reftransV1_0021192","p.persica_gdr_reftransV1_0021192")</f>
        <v>p.persica_gdr_reftransV1_0021192</v>
      </c>
      <c r="B6634" s="2">
        <v>1735</v>
      </c>
      <c r="C6634" s="4" t="str">
        <f>HYPERLINK("http://www.uniprot.org/uniprot/M5XNZ5","M5XNZ5")</f>
        <v>M5XNZ5</v>
      </c>
      <c r="D6634" s="2" t="s">
        <v>5964</v>
      </c>
      <c r="E6634" s="3">
        <v>0</v>
      </c>
      <c r="F6634" s="2">
        <v>1857</v>
      </c>
      <c r="G6634" s="2">
        <v>100</v>
      </c>
      <c r="H6634" s="2">
        <v>424</v>
      </c>
      <c r="I6634" s="2">
        <v>298</v>
      </c>
      <c r="J6634" s="2">
        <v>1569</v>
      </c>
      <c r="K6634" s="2">
        <v>1</v>
      </c>
      <c r="L6634" s="2">
        <v>424</v>
      </c>
    </row>
    <row r="6635" spans="1:12" x14ac:dyDescent="0.25">
      <c r="A6635" s="4" t="str">
        <f>HYPERLINK("http://www.rosaceae.org/Prunus/Prunus_persica/p.persica_gdr_reftransV1_0021892","p.persica_gdr_reftransV1_0021892")</f>
        <v>p.persica_gdr_reftransV1_0021892</v>
      </c>
      <c r="B6635" s="2">
        <v>1600</v>
      </c>
      <c r="C6635" s="4" t="str">
        <f>HYPERLINK("http://www.uniprot.org/uniprot/Q0PUW9","Q0PUW9")</f>
        <v>Q0PUW9</v>
      </c>
      <c r="D6635" s="2" t="s">
        <v>5965</v>
      </c>
      <c r="E6635" s="3">
        <v>0</v>
      </c>
      <c r="F6635" s="2">
        <v>2448</v>
      </c>
      <c r="G6635" s="2">
        <v>99</v>
      </c>
      <c r="H6635" s="2">
        <v>532</v>
      </c>
      <c r="I6635" s="2">
        <v>3</v>
      </c>
      <c r="J6635" s="2">
        <v>1598</v>
      </c>
      <c r="K6635" s="2">
        <v>1168</v>
      </c>
      <c r="L6635" s="2">
        <v>1699</v>
      </c>
    </row>
    <row r="6636" spans="1:12" x14ac:dyDescent="0.25">
      <c r="A6636" s="4" t="str">
        <f>HYPERLINK("http://www.rosaceae.org/Prunus/Prunus_persica/p.persica_gdr_reftransV1_0022942","p.persica_gdr_reftransV1_0022942")</f>
        <v>p.persica_gdr_reftransV1_0022942</v>
      </c>
      <c r="B6636" s="2">
        <v>2719</v>
      </c>
      <c r="C6636" s="4" t="str">
        <f>HYPERLINK("http://www.uniprot.org/uniprot/M5X7A6","M5X7A6")</f>
        <v>M5X7A6</v>
      </c>
      <c r="D6636" s="2" t="s">
        <v>5966</v>
      </c>
      <c r="E6636" s="3">
        <v>0</v>
      </c>
      <c r="F6636" s="2">
        <v>3380</v>
      </c>
      <c r="G6636" s="2">
        <v>100</v>
      </c>
      <c r="H6636" s="2">
        <v>645</v>
      </c>
      <c r="I6636" s="2">
        <v>551</v>
      </c>
      <c r="J6636" s="2">
        <v>2485</v>
      </c>
      <c r="K6636" s="2">
        <v>1</v>
      </c>
      <c r="L6636" s="2">
        <v>645</v>
      </c>
    </row>
    <row r="6637" spans="1:12" x14ac:dyDescent="0.25">
      <c r="A6637" s="4" t="str">
        <f>HYPERLINK("http://www.rosaceae.org/Prunus/Prunus_persica/p.persica_gdr_reftransV1_0023292","p.persica_gdr_reftransV1_0023292")</f>
        <v>p.persica_gdr_reftransV1_0023292</v>
      </c>
      <c r="B6637" s="2">
        <v>6966</v>
      </c>
      <c r="C6637" s="4" t="str">
        <f>HYPERLINK("http://www.uniprot.org/uniprot/M5XC97","M5XC97")</f>
        <v>M5XC97</v>
      </c>
      <c r="D6637" s="2" t="s">
        <v>5967</v>
      </c>
      <c r="E6637" s="3">
        <v>0</v>
      </c>
      <c r="F6637" s="2">
        <v>2438</v>
      </c>
      <c r="G6637" s="2">
        <v>100</v>
      </c>
      <c r="H6637" s="2">
        <v>482</v>
      </c>
      <c r="I6637" s="2">
        <v>232</v>
      </c>
      <c r="J6637" s="2">
        <v>1677</v>
      </c>
      <c r="K6637" s="2">
        <v>1</v>
      </c>
      <c r="L6637" s="2">
        <v>482</v>
      </c>
    </row>
    <row r="6638" spans="1:12" x14ac:dyDescent="0.25">
      <c r="A6638" s="4" t="str">
        <f>HYPERLINK("http://www.rosaceae.org/Prunus/Prunus_persica/p.persica_gdr_reftransV1_0023992","p.persica_gdr_reftransV1_0023992")</f>
        <v>p.persica_gdr_reftransV1_0023992</v>
      </c>
      <c r="B6638" s="2">
        <v>1988</v>
      </c>
      <c r="C6638" s="4" t="str">
        <f>HYPERLINK("http://www.uniprot.org/uniprot/D7SNQ8","D7SNQ8")</f>
        <v>D7SNQ8</v>
      </c>
      <c r="D6638" s="2" t="s">
        <v>5968</v>
      </c>
      <c r="E6638" s="3">
        <v>2.0100000000000001E-30</v>
      </c>
      <c r="F6638" s="2">
        <v>339</v>
      </c>
      <c r="G6638" s="2">
        <v>50</v>
      </c>
      <c r="H6638" s="2">
        <v>161</v>
      </c>
      <c r="I6638" s="2">
        <v>1268</v>
      </c>
      <c r="J6638" s="2">
        <v>1732</v>
      </c>
      <c r="K6638" s="2">
        <v>90</v>
      </c>
      <c r="L6638" s="2">
        <v>250</v>
      </c>
    </row>
    <row r="6639" spans="1:12" x14ac:dyDescent="0.25">
      <c r="A6639" s="4" t="str">
        <f>HYPERLINK("http://www.rosaceae.org/Prunus/Prunus_persica/p.persica_gdr_reftransV1_0024342","p.persica_gdr_reftransV1_0024342")</f>
        <v>p.persica_gdr_reftransV1_0024342</v>
      </c>
      <c r="B6639" s="2">
        <v>3122</v>
      </c>
      <c r="C6639" s="4" t="str">
        <f>HYPERLINK("http://www.uniprot.org/uniprot/M5VPE1","M5VPE1")</f>
        <v>M5VPE1</v>
      </c>
      <c r="D6639" s="2" t="s">
        <v>5969</v>
      </c>
      <c r="E6639" s="3">
        <v>0</v>
      </c>
      <c r="F6639" s="2">
        <v>3927</v>
      </c>
      <c r="G6639" s="2">
        <v>100</v>
      </c>
      <c r="H6639" s="2">
        <v>794</v>
      </c>
      <c r="I6639" s="2">
        <v>505</v>
      </c>
      <c r="J6639" s="2">
        <v>2886</v>
      </c>
      <c r="K6639" s="2">
        <v>1</v>
      </c>
      <c r="L6639" s="2">
        <v>794</v>
      </c>
    </row>
    <row r="6640" spans="1:12" x14ac:dyDescent="0.25">
      <c r="A6640" s="4" t="str">
        <f>HYPERLINK("http://www.rosaceae.org/Prunus/Prunus_persica/p.persica_gdr_reftransV1_0025392","p.persica_gdr_reftransV1_0025392")</f>
        <v>p.persica_gdr_reftransV1_0025392</v>
      </c>
      <c r="B6640" s="2">
        <v>858</v>
      </c>
      <c r="C6640" s="4" t="str">
        <f>HYPERLINK("http://www.uniprot.org/uniprot/M5WAV9","M5WAV9")</f>
        <v>M5WAV9</v>
      </c>
      <c r="D6640" s="2" t="s">
        <v>5970</v>
      </c>
      <c r="E6640" s="3">
        <v>4.6600000000000001E-125</v>
      </c>
      <c r="F6640" s="2">
        <v>939</v>
      </c>
      <c r="G6640" s="2">
        <v>99</v>
      </c>
      <c r="H6640" s="2">
        <v>183</v>
      </c>
      <c r="I6640" s="2">
        <v>188</v>
      </c>
      <c r="J6640" s="2">
        <v>736</v>
      </c>
      <c r="K6640" s="2">
        <v>1</v>
      </c>
      <c r="L6640" s="2">
        <v>183</v>
      </c>
    </row>
    <row r="6641" spans="1:12" x14ac:dyDescent="0.25">
      <c r="A6641" s="4" t="str">
        <f>HYPERLINK("http://www.rosaceae.org/Prunus/Prunus_persica/p.persica_gdr_reftransV1_0025742","p.persica_gdr_reftransV1_0025742")</f>
        <v>p.persica_gdr_reftransV1_0025742</v>
      </c>
      <c r="B6641" s="2">
        <v>473</v>
      </c>
      <c r="C6641" s="4" t="str">
        <f>HYPERLINK("http://www.uniprot.org/uniprot/F6HZZ6","F6HZZ6")</f>
        <v>F6HZZ6</v>
      </c>
      <c r="D6641" s="2" t="s">
        <v>5971</v>
      </c>
      <c r="E6641" s="3">
        <v>2.5599999999999999E-18</v>
      </c>
      <c r="F6641" s="2">
        <v>223</v>
      </c>
      <c r="G6641" s="2">
        <v>47</v>
      </c>
      <c r="H6641" s="2">
        <v>110</v>
      </c>
      <c r="I6641" s="2">
        <v>146</v>
      </c>
      <c r="J6641" s="2">
        <v>469</v>
      </c>
      <c r="K6641" s="2">
        <v>347</v>
      </c>
      <c r="L6641" s="2">
        <v>450</v>
      </c>
    </row>
    <row r="6642" spans="1:12" x14ac:dyDescent="0.25">
      <c r="A6642" s="4" t="str">
        <f>HYPERLINK("http://www.rosaceae.org/Prunus/Prunus_persica/p.persica_gdr_reftransV1_0028192","p.persica_gdr_reftransV1_0028192")</f>
        <v>p.persica_gdr_reftransV1_0028192</v>
      </c>
      <c r="B6642" s="2">
        <v>5427</v>
      </c>
      <c r="C6642" s="4" t="str">
        <f>HYPERLINK("http://www.uniprot.org/uniprot/M5X6T4","M5X6T4")</f>
        <v>M5X6T4</v>
      </c>
      <c r="D6642" s="2" t="s">
        <v>4551</v>
      </c>
      <c r="E6642" s="3">
        <v>0</v>
      </c>
      <c r="F6642" s="2">
        <v>6052</v>
      </c>
      <c r="G6642" s="2">
        <v>95</v>
      </c>
      <c r="H6642" s="2">
        <v>1221</v>
      </c>
      <c r="I6642" s="2">
        <v>1307</v>
      </c>
      <c r="J6642" s="2">
        <v>4969</v>
      </c>
      <c r="K6642" s="2">
        <v>235</v>
      </c>
      <c r="L6642" s="2">
        <v>1402</v>
      </c>
    </row>
    <row r="6643" spans="1:12" x14ac:dyDescent="0.25">
      <c r="A6643" s="4" t="str">
        <f>HYPERLINK("http://www.rosaceae.org/Prunus/Prunus_persica/p.persica_gdr_reftransV1_0029242","p.persica_gdr_reftransV1_0029242")</f>
        <v>p.persica_gdr_reftransV1_0029242</v>
      </c>
      <c r="B6643" s="2">
        <v>890</v>
      </c>
      <c r="C6643" s="4" t="str">
        <f>HYPERLINK("http://www.uniprot.org/uniprot/M5XHE7","M5XHE7")</f>
        <v>M5XHE7</v>
      </c>
      <c r="D6643" s="2" t="s">
        <v>5972</v>
      </c>
      <c r="E6643" s="3">
        <v>2.2400000000000001E-82</v>
      </c>
      <c r="F6643" s="2">
        <v>654</v>
      </c>
      <c r="G6643" s="2">
        <v>100</v>
      </c>
      <c r="H6643" s="2">
        <v>135</v>
      </c>
      <c r="I6643" s="2">
        <v>473</v>
      </c>
      <c r="J6643" s="2">
        <v>877</v>
      </c>
      <c r="K6643" s="2">
        <v>1</v>
      </c>
      <c r="L6643" s="2">
        <v>135</v>
      </c>
    </row>
    <row r="6644" spans="1:12" x14ac:dyDescent="0.25">
      <c r="A6644" s="4" t="str">
        <f>HYPERLINK("http://www.rosaceae.org/Prunus/Prunus_persica/p.persica_gdr_reftransV1_0032392","p.persica_gdr_reftransV1_0032392")</f>
        <v>p.persica_gdr_reftransV1_0032392</v>
      </c>
      <c r="B6644" s="2">
        <v>2237</v>
      </c>
      <c r="C6644" s="4" t="str">
        <f>HYPERLINK("http://www.uniprot.org/uniprot/M5VM30","M5VM30")</f>
        <v>M5VM30</v>
      </c>
      <c r="D6644" s="2" t="s">
        <v>5973</v>
      </c>
      <c r="E6644" s="3">
        <v>0</v>
      </c>
      <c r="F6644" s="2">
        <v>1431</v>
      </c>
      <c r="G6644" s="2">
        <v>98</v>
      </c>
      <c r="H6644" s="2">
        <v>290</v>
      </c>
      <c r="I6644" s="2">
        <v>20</v>
      </c>
      <c r="J6644" s="2">
        <v>877</v>
      </c>
      <c r="K6644" s="2">
        <v>137</v>
      </c>
      <c r="L6644" s="2">
        <v>426</v>
      </c>
    </row>
    <row r="6645" spans="1:12" x14ac:dyDescent="0.25">
      <c r="A6645" s="4" t="str">
        <f>HYPERLINK("http://www.rosaceae.org/Prunus/Prunus_persica/p.persica_gdr_reftransV1_0032742","p.persica_gdr_reftransV1_0032742")</f>
        <v>p.persica_gdr_reftransV1_0032742</v>
      </c>
      <c r="B6645" s="2">
        <v>1457</v>
      </c>
      <c r="C6645" s="4" t="str">
        <f>HYPERLINK("http://www.uniprot.org/uniprot/M5WCB8","M5WCB8")</f>
        <v>M5WCB8</v>
      </c>
      <c r="D6645" s="2" t="s">
        <v>5974</v>
      </c>
      <c r="E6645" s="3">
        <v>2.8299999999999999E-143</v>
      </c>
      <c r="F6645" s="2">
        <v>852</v>
      </c>
      <c r="G6645" s="2">
        <v>99</v>
      </c>
      <c r="H6645" s="2">
        <v>158</v>
      </c>
      <c r="I6645" s="2">
        <v>753</v>
      </c>
      <c r="J6645" s="2">
        <v>1226</v>
      </c>
      <c r="K6645" s="2">
        <v>112</v>
      </c>
      <c r="L6645" s="2">
        <v>269</v>
      </c>
    </row>
    <row r="6646" spans="1:12" x14ac:dyDescent="0.25">
      <c r="A6646" s="4" t="str">
        <f>HYPERLINK("http://www.rosaceae.org/Prunus/Prunus_persica/p.persica_gdr_reftransV1_0033442","p.persica_gdr_reftransV1_0033442")</f>
        <v>p.persica_gdr_reftransV1_0033442</v>
      </c>
      <c r="B6646" s="2">
        <v>1002</v>
      </c>
      <c r="C6646" s="4" t="str">
        <f>HYPERLINK("http://www.uniprot.org/uniprot/M5WMM6","M5WMM6")</f>
        <v>M5WMM6</v>
      </c>
      <c r="D6646" s="2" t="s">
        <v>5975</v>
      </c>
      <c r="E6646" s="3">
        <v>1.9200000000000001E-104</v>
      </c>
      <c r="F6646" s="2">
        <v>805</v>
      </c>
      <c r="G6646" s="2">
        <v>100</v>
      </c>
      <c r="H6646" s="2">
        <v>153</v>
      </c>
      <c r="I6646" s="2">
        <v>96</v>
      </c>
      <c r="J6646" s="2">
        <v>554</v>
      </c>
      <c r="K6646" s="2">
        <v>1</v>
      </c>
      <c r="L6646" s="2">
        <v>153</v>
      </c>
    </row>
    <row r="6647" spans="1:12" x14ac:dyDescent="0.25">
      <c r="A6647" s="4" t="str">
        <f>HYPERLINK("http://www.rosaceae.org/Prunus/Prunus_persica/p.persica_gdr_reftransV1_0034142","p.persica_gdr_reftransV1_0034142")</f>
        <v>p.persica_gdr_reftransV1_0034142</v>
      </c>
      <c r="B6647" s="2">
        <v>2512</v>
      </c>
      <c r="C6647" s="4" t="str">
        <f>HYPERLINK("http://www.uniprot.org/uniprot/M5W4E3","M5W4E3")</f>
        <v>M5W4E3</v>
      </c>
      <c r="D6647" s="2" t="s">
        <v>2072</v>
      </c>
      <c r="E6647" s="3">
        <v>0</v>
      </c>
      <c r="F6647" s="2">
        <v>2394</v>
      </c>
      <c r="G6647" s="2">
        <v>86</v>
      </c>
      <c r="H6647" s="2">
        <v>565</v>
      </c>
      <c r="I6647" s="2">
        <v>407</v>
      </c>
      <c r="J6647" s="2">
        <v>2101</v>
      </c>
      <c r="K6647" s="2">
        <v>1</v>
      </c>
      <c r="L6647" s="2">
        <v>505</v>
      </c>
    </row>
    <row r="6648" spans="1:12" x14ac:dyDescent="0.25">
      <c r="A6648" s="4" t="str">
        <f>HYPERLINK("http://www.rosaceae.org/Prunus/Prunus_persica/p.persica_gdr_reftransV1_0034492","p.persica_gdr_reftransV1_0034492")</f>
        <v>p.persica_gdr_reftransV1_0034492</v>
      </c>
      <c r="B6648" s="2">
        <v>3218</v>
      </c>
      <c r="C6648" s="4" t="str">
        <f>HYPERLINK("http://www.uniprot.org/uniprot/M5WYE5","M5WYE5")</f>
        <v>M5WYE5</v>
      </c>
      <c r="D6648" s="2" t="s">
        <v>5976</v>
      </c>
      <c r="E6648" s="3">
        <v>0</v>
      </c>
      <c r="F6648" s="2">
        <v>4353</v>
      </c>
      <c r="G6648" s="2">
        <v>100</v>
      </c>
      <c r="H6648" s="2">
        <v>810</v>
      </c>
      <c r="I6648" s="2">
        <v>329</v>
      </c>
      <c r="J6648" s="2">
        <v>2758</v>
      </c>
      <c r="K6648" s="2">
        <v>1</v>
      </c>
      <c r="L6648" s="2">
        <v>810</v>
      </c>
    </row>
    <row r="6649" spans="1:12" x14ac:dyDescent="0.25">
      <c r="A6649" s="4" t="str">
        <f>HYPERLINK("http://www.rosaceae.org/Prunus/Prunus_persica/p.persica_gdr_reftransV1_0038692","p.persica_gdr_reftransV1_0038692")</f>
        <v>p.persica_gdr_reftransV1_0038692</v>
      </c>
      <c r="B6649" s="2">
        <v>7157</v>
      </c>
      <c r="C6649" s="4" t="str">
        <f>HYPERLINK("http://www.uniprot.org/uniprot/M5XAJ8","M5XAJ8")</f>
        <v>M5XAJ8</v>
      </c>
      <c r="D6649" s="2" t="s">
        <v>5977</v>
      </c>
      <c r="E6649" s="3">
        <v>0</v>
      </c>
      <c r="F6649" s="2">
        <v>10016</v>
      </c>
      <c r="G6649" s="2">
        <v>98</v>
      </c>
      <c r="H6649" s="2">
        <v>2068</v>
      </c>
      <c r="I6649" s="2">
        <v>313</v>
      </c>
      <c r="J6649" s="2">
        <v>6450</v>
      </c>
      <c r="K6649" s="2">
        <v>1</v>
      </c>
      <c r="L6649" s="2">
        <v>2061</v>
      </c>
    </row>
    <row r="6650" spans="1:12" x14ac:dyDescent="0.25">
      <c r="A6650" s="4" t="str">
        <f>HYPERLINK("http://www.rosaceae.org/Prunus/Prunus_persica/p.persica_gdr_reftransV1_0039392","p.persica_gdr_reftransV1_0039392")</f>
        <v>p.persica_gdr_reftransV1_0039392</v>
      </c>
      <c r="B6650" s="2">
        <v>3008</v>
      </c>
      <c r="C6650" s="4" t="str">
        <f>HYPERLINK("http://www.uniprot.org/uniprot/M5WFV0","M5WFV0")</f>
        <v>M5WFV0</v>
      </c>
      <c r="D6650" s="2" t="s">
        <v>5978</v>
      </c>
      <c r="E6650" s="3">
        <v>0</v>
      </c>
      <c r="F6650" s="2">
        <v>1829</v>
      </c>
      <c r="G6650" s="2">
        <v>93</v>
      </c>
      <c r="H6650" s="2">
        <v>373</v>
      </c>
      <c r="I6650" s="2">
        <v>244</v>
      </c>
      <c r="J6650" s="2">
        <v>1362</v>
      </c>
      <c r="K6650" s="2">
        <v>19</v>
      </c>
      <c r="L6650" s="2">
        <v>367</v>
      </c>
    </row>
    <row r="6651" spans="1:12" x14ac:dyDescent="0.25">
      <c r="A6651" s="4" t="str">
        <f>HYPERLINK("http://www.rosaceae.org/Prunus/Prunus_persica/p.persica_gdr_reftransV1_0040092","p.persica_gdr_reftransV1_0040092")</f>
        <v>p.persica_gdr_reftransV1_0040092</v>
      </c>
      <c r="B6651" s="2">
        <v>2294</v>
      </c>
      <c r="C6651" s="4" t="str">
        <f>HYPERLINK("http://www.uniprot.org/uniprot/M5X214","M5X214")</f>
        <v>M5X214</v>
      </c>
      <c r="D6651" s="2" t="s">
        <v>5979</v>
      </c>
      <c r="E6651" s="3">
        <v>2.2200000000000002E-56</v>
      </c>
      <c r="F6651" s="2">
        <v>518</v>
      </c>
      <c r="G6651" s="2">
        <v>97</v>
      </c>
      <c r="H6651" s="2">
        <v>98</v>
      </c>
      <c r="I6651" s="2">
        <v>1842</v>
      </c>
      <c r="J6651" s="2">
        <v>2135</v>
      </c>
      <c r="K6651" s="2">
        <v>1</v>
      </c>
      <c r="L6651" s="2">
        <v>98</v>
      </c>
    </row>
    <row r="6652" spans="1:12" x14ac:dyDescent="0.25">
      <c r="A6652" s="4" t="str">
        <f>HYPERLINK("http://www.rosaceae.org/Prunus/Prunus_persica/p.persica_gdr_reftransV1_0040442","p.persica_gdr_reftransV1_0040442")</f>
        <v>p.persica_gdr_reftransV1_0040442</v>
      </c>
      <c r="B6652" s="2">
        <v>1490</v>
      </c>
      <c r="C6652" s="4" t="str">
        <f>HYPERLINK("http://www.uniprot.org/uniprot/M5XHH8","M5XHH8")</f>
        <v>M5XHH8</v>
      </c>
      <c r="D6652" s="2" t="s">
        <v>5980</v>
      </c>
      <c r="E6652" s="3">
        <v>3.0100000000000001E-149</v>
      </c>
      <c r="F6652" s="2">
        <v>1127</v>
      </c>
      <c r="G6652" s="2">
        <v>99</v>
      </c>
      <c r="H6652" s="2">
        <v>213</v>
      </c>
      <c r="I6652" s="2">
        <v>692</v>
      </c>
      <c r="J6652" s="2">
        <v>1330</v>
      </c>
      <c r="K6652" s="2">
        <v>25</v>
      </c>
      <c r="L6652" s="2">
        <v>237</v>
      </c>
    </row>
    <row r="6653" spans="1:12" x14ac:dyDescent="0.25">
      <c r="A6653" s="4" t="str">
        <f>HYPERLINK("http://www.rosaceae.org/Prunus/Prunus_persica/p.persica_gdr_reftransV1_0040792","p.persica_gdr_reftransV1_0040792")</f>
        <v>p.persica_gdr_reftransV1_0040792</v>
      </c>
      <c r="B6653" s="2">
        <v>5121</v>
      </c>
      <c r="C6653" s="4" t="str">
        <f>HYPERLINK("http://www.uniprot.org/uniprot/M5WV23","M5WV23")</f>
        <v>M5WV23</v>
      </c>
      <c r="D6653" s="2" t="s">
        <v>5981</v>
      </c>
      <c r="E6653" s="3">
        <v>0</v>
      </c>
      <c r="F6653" s="2">
        <v>2605</v>
      </c>
      <c r="G6653" s="2">
        <v>97</v>
      </c>
      <c r="H6653" s="2">
        <v>504</v>
      </c>
      <c r="I6653" s="2">
        <v>366</v>
      </c>
      <c r="J6653" s="2">
        <v>1877</v>
      </c>
      <c r="K6653" s="2">
        <v>1</v>
      </c>
      <c r="L6653" s="2">
        <v>503</v>
      </c>
    </row>
    <row r="6654" spans="1:12" x14ac:dyDescent="0.25">
      <c r="A6654" s="4" t="str">
        <f>HYPERLINK("http://www.rosaceae.org/Prunus/Prunus_persica/p.persica_gdr_reftransV1_0042192","p.persica_gdr_reftransV1_0042192")</f>
        <v>p.persica_gdr_reftransV1_0042192</v>
      </c>
      <c r="B6654" s="2">
        <v>3883</v>
      </c>
      <c r="C6654" s="4" t="str">
        <f>HYPERLINK("http://www.uniprot.org/uniprot/M5VRM0","M5VRM0")</f>
        <v>M5VRM0</v>
      </c>
      <c r="D6654" s="2" t="s">
        <v>5345</v>
      </c>
      <c r="E6654" s="3">
        <v>8.5799999999999998E-43</v>
      </c>
      <c r="F6654" s="2">
        <v>427</v>
      </c>
      <c r="G6654" s="2">
        <v>74</v>
      </c>
      <c r="H6654" s="2">
        <v>122</v>
      </c>
      <c r="I6654" s="2">
        <v>1314</v>
      </c>
      <c r="J6654" s="2">
        <v>1679</v>
      </c>
      <c r="K6654" s="2">
        <v>104</v>
      </c>
      <c r="L6654" s="2">
        <v>196</v>
      </c>
    </row>
    <row r="6655" spans="1:12" x14ac:dyDescent="0.25">
      <c r="A6655" s="4" t="str">
        <f>HYPERLINK("http://www.rosaceae.org/Prunus/Prunus_persica/p.persica_gdr_reftransV1_0043242","p.persica_gdr_reftransV1_0043242")</f>
        <v>p.persica_gdr_reftransV1_0043242</v>
      </c>
      <c r="B6655" s="2">
        <v>2126</v>
      </c>
      <c r="C6655" s="4" t="str">
        <f>HYPERLINK("http://www.uniprot.org/uniprot/M5Y0P1","M5Y0P1")</f>
        <v>M5Y0P1</v>
      </c>
      <c r="D6655" s="2" t="s">
        <v>5982</v>
      </c>
      <c r="E6655" s="3">
        <v>0</v>
      </c>
      <c r="F6655" s="2">
        <v>2869</v>
      </c>
      <c r="G6655" s="2">
        <v>100</v>
      </c>
      <c r="H6655" s="2">
        <v>597</v>
      </c>
      <c r="I6655" s="2">
        <v>256</v>
      </c>
      <c r="J6655" s="2">
        <v>2046</v>
      </c>
      <c r="K6655" s="2">
        <v>1</v>
      </c>
      <c r="L6655" s="2">
        <v>596</v>
      </c>
    </row>
    <row r="6656" spans="1:12" x14ac:dyDescent="0.25">
      <c r="A6656" s="4" t="str">
        <f>HYPERLINK("http://www.rosaceae.org/Prunus/Prunus_persica/p.persica_gdr_reftransV1_0043592","p.persica_gdr_reftransV1_0043592")</f>
        <v>p.persica_gdr_reftransV1_0043592</v>
      </c>
      <c r="B6656" s="2">
        <v>342</v>
      </c>
      <c r="C6656" s="4" t="str">
        <f>HYPERLINK("http://www.uniprot.org/uniprot/M5WDH5","M5WDH5")</f>
        <v>M5WDH5</v>
      </c>
      <c r="D6656" s="2" t="s">
        <v>5983</v>
      </c>
      <c r="E6656" s="3">
        <v>7.2900000000000002E-75</v>
      </c>
      <c r="F6656" s="2">
        <v>601</v>
      </c>
      <c r="G6656" s="2">
        <v>100</v>
      </c>
      <c r="H6656" s="2">
        <v>113</v>
      </c>
      <c r="I6656" s="2">
        <v>1</v>
      </c>
      <c r="J6656" s="2">
        <v>339</v>
      </c>
      <c r="K6656" s="2">
        <v>127</v>
      </c>
      <c r="L6656" s="2">
        <v>239</v>
      </c>
    </row>
    <row r="6657" spans="1:12" x14ac:dyDescent="0.25">
      <c r="A6657" s="4" t="str">
        <f>HYPERLINK("http://www.rosaceae.org/Prunus/Prunus_persica/p.persica_gdr_reftransV1_0043942","p.persica_gdr_reftransV1_0043942")</f>
        <v>p.persica_gdr_reftransV1_0043942</v>
      </c>
      <c r="B6657" s="2">
        <v>1386</v>
      </c>
      <c r="C6657" s="4" t="str">
        <f>HYPERLINK("http://www.uniprot.org/uniprot/M5X715","M5X715")</f>
        <v>M5X715</v>
      </c>
      <c r="D6657" s="2" t="s">
        <v>5984</v>
      </c>
      <c r="E6657" s="3">
        <v>0</v>
      </c>
      <c r="F6657" s="2">
        <v>1903</v>
      </c>
      <c r="G6657" s="2">
        <v>100</v>
      </c>
      <c r="H6657" s="2">
        <v>379</v>
      </c>
      <c r="I6657" s="2">
        <v>145</v>
      </c>
      <c r="J6657" s="2">
        <v>1281</v>
      </c>
      <c r="K6657" s="2">
        <v>567</v>
      </c>
      <c r="L6657" s="2">
        <v>945</v>
      </c>
    </row>
    <row r="6658" spans="1:12" x14ac:dyDescent="0.25">
      <c r="A6658" s="4" t="str">
        <f>HYPERLINK("http://www.rosaceae.org/Prunus/Prunus_persica/p.persica_gdr_reftransV1_0044292","p.persica_gdr_reftransV1_0044292")</f>
        <v>p.persica_gdr_reftransV1_0044292</v>
      </c>
      <c r="B6658" s="2">
        <v>472</v>
      </c>
      <c r="C6658" s="4" t="str">
        <f>HYPERLINK("http://www.uniprot.org/uniprot/M5XQ75","M5XQ75")</f>
        <v>M5XQ75</v>
      </c>
      <c r="D6658" s="2" t="s">
        <v>332</v>
      </c>
      <c r="E6658" s="3">
        <v>7.4300000000000003E-42</v>
      </c>
      <c r="F6658" s="2">
        <v>405</v>
      </c>
      <c r="G6658" s="2">
        <v>93</v>
      </c>
      <c r="H6658" s="2">
        <v>107</v>
      </c>
      <c r="I6658" s="2">
        <v>55</v>
      </c>
      <c r="J6658" s="2">
        <v>375</v>
      </c>
      <c r="K6658" s="2">
        <v>1</v>
      </c>
      <c r="L6658" s="2">
        <v>107</v>
      </c>
    </row>
    <row r="6659" spans="1:12" x14ac:dyDescent="0.25">
      <c r="A6659" s="4" t="str">
        <f>HYPERLINK("http://www.rosaceae.org/Prunus/Prunus_persica/p.persica_gdr_reftransV1_0044642","p.persica_gdr_reftransV1_0044642")</f>
        <v>p.persica_gdr_reftransV1_0044642</v>
      </c>
      <c r="B6659" s="2">
        <v>494</v>
      </c>
      <c r="C6659" s="4" t="str">
        <f>HYPERLINK("http://www.uniprot.org/uniprot/M5W0G2","M5W0G2")</f>
        <v>M5W0G2</v>
      </c>
      <c r="D6659" s="2" t="s">
        <v>5985</v>
      </c>
      <c r="E6659" s="3">
        <v>6.19E-86</v>
      </c>
      <c r="F6659" s="2">
        <v>675</v>
      </c>
      <c r="G6659" s="2">
        <v>100</v>
      </c>
      <c r="H6659" s="2">
        <v>147</v>
      </c>
      <c r="I6659" s="2">
        <v>2</v>
      </c>
      <c r="J6659" s="2">
        <v>442</v>
      </c>
      <c r="K6659" s="2">
        <v>114</v>
      </c>
      <c r="L6659" s="2">
        <v>260</v>
      </c>
    </row>
    <row r="6660" spans="1:12" x14ac:dyDescent="0.25">
      <c r="A6660" s="4" t="str">
        <f>HYPERLINK("http://www.rosaceae.org/Prunus/Prunus_persica/p.persica_gdr_reftransV1_0044992","p.persica_gdr_reftransV1_0044992")</f>
        <v>p.persica_gdr_reftransV1_0044992</v>
      </c>
      <c r="B6660" s="2">
        <v>793</v>
      </c>
      <c r="C6660" s="4" t="str">
        <f>HYPERLINK("http://www.uniprot.org/uniprot/M5XPQ2","M5XPQ2")</f>
        <v>M5XPQ2</v>
      </c>
      <c r="D6660" s="2" t="s">
        <v>2753</v>
      </c>
      <c r="E6660" s="3">
        <v>3.8100000000000001E-180</v>
      </c>
      <c r="F6660" s="2">
        <v>1403</v>
      </c>
      <c r="G6660" s="2">
        <v>100</v>
      </c>
      <c r="H6660" s="2">
        <v>264</v>
      </c>
      <c r="I6660" s="2">
        <v>1</v>
      </c>
      <c r="J6660" s="2">
        <v>792</v>
      </c>
      <c r="K6660" s="2">
        <v>703</v>
      </c>
      <c r="L6660" s="2">
        <v>966</v>
      </c>
    </row>
    <row r="6661" spans="1:12" x14ac:dyDescent="0.25">
      <c r="A6661" s="4" t="str">
        <f>HYPERLINK("http://www.rosaceae.org/Prunus/Prunus_persica/p.persica_gdr_reftransV1_0045342","p.persica_gdr_reftransV1_0045342")</f>
        <v>p.persica_gdr_reftransV1_0045342</v>
      </c>
      <c r="B6661" s="2">
        <v>1053</v>
      </c>
      <c r="C6661" s="4" t="str">
        <f>HYPERLINK("http://www.uniprot.org/uniprot/M5W1Y1","M5W1Y1")</f>
        <v>M5W1Y1</v>
      </c>
      <c r="D6661" s="2" t="s">
        <v>5986</v>
      </c>
      <c r="E6661" s="3">
        <v>0</v>
      </c>
      <c r="F6661" s="2">
        <v>1403</v>
      </c>
      <c r="G6661" s="2">
        <v>97</v>
      </c>
      <c r="H6661" s="2">
        <v>268</v>
      </c>
      <c r="I6661" s="2">
        <v>77</v>
      </c>
      <c r="J6661" s="2">
        <v>880</v>
      </c>
      <c r="K6661" s="2">
        <v>1</v>
      </c>
      <c r="L6661" s="2">
        <v>268</v>
      </c>
    </row>
    <row r="6662" spans="1:12" x14ac:dyDescent="0.25">
      <c r="A6662" s="4" t="str">
        <f>HYPERLINK("http://www.rosaceae.org/Prunus/Prunus_persica/p.persica_gdr_reftransV1_0045692","p.persica_gdr_reftransV1_0045692")</f>
        <v>p.persica_gdr_reftransV1_0045692</v>
      </c>
      <c r="B6662" s="2">
        <v>1165</v>
      </c>
      <c r="C6662" s="4" t="str">
        <f>HYPERLINK("http://www.uniprot.org/uniprot/M5XD67","M5XD67")</f>
        <v>M5XD67</v>
      </c>
      <c r="D6662" s="2" t="s">
        <v>5987</v>
      </c>
      <c r="E6662" s="3">
        <v>4.4699999999999999E-138</v>
      </c>
      <c r="F6662" s="2">
        <v>1046</v>
      </c>
      <c r="G6662" s="2">
        <v>100</v>
      </c>
      <c r="H6662" s="2">
        <v>265</v>
      </c>
      <c r="I6662" s="2">
        <v>93</v>
      </c>
      <c r="J6662" s="2">
        <v>887</v>
      </c>
      <c r="K6662" s="2">
        <v>18</v>
      </c>
      <c r="L6662" s="2">
        <v>282</v>
      </c>
    </row>
    <row r="6663" spans="1:12" x14ac:dyDescent="0.25">
      <c r="A6663" s="4" t="str">
        <f>HYPERLINK("http://www.rosaceae.org/Prunus/Prunus_persica/p.persica_gdr_reftransV1_0046042","p.persica_gdr_reftransV1_0046042")</f>
        <v>p.persica_gdr_reftransV1_0046042</v>
      </c>
      <c r="B6663" s="2">
        <v>1014</v>
      </c>
      <c r="C6663" s="4" t="str">
        <f>HYPERLINK("http://www.uniprot.org/uniprot/M5WTN6","M5WTN6")</f>
        <v>M5WTN6</v>
      </c>
      <c r="D6663" s="2" t="s">
        <v>5988</v>
      </c>
      <c r="E6663" s="3">
        <v>2.51E-136</v>
      </c>
      <c r="F6663" s="2">
        <v>1020</v>
      </c>
      <c r="G6663" s="2">
        <v>100</v>
      </c>
      <c r="H6663" s="2">
        <v>190</v>
      </c>
      <c r="I6663" s="2">
        <v>119</v>
      </c>
      <c r="J6663" s="2">
        <v>688</v>
      </c>
      <c r="K6663" s="2">
        <v>1</v>
      </c>
      <c r="L6663" s="2">
        <v>190</v>
      </c>
    </row>
    <row r="6664" spans="1:12" x14ac:dyDescent="0.25">
      <c r="A6664" s="4" t="str">
        <f>HYPERLINK("http://www.rosaceae.org/Prunus/Prunus_persica/p.persica_gdr_reftransV1_0046392","p.persica_gdr_reftransV1_0046392")</f>
        <v>p.persica_gdr_reftransV1_0046392</v>
      </c>
      <c r="B6664" s="2">
        <v>625</v>
      </c>
      <c r="C6664" s="4" t="str">
        <f>HYPERLINK("http://www.uniprot.org/uniprot/M5XHZ4","M5XHZ4")</f>
        <v>M5XHZ4</v>
      </c>
      <c r="D6664" s="2" t="s">
        <v>4555</v>
      </c>
      <c r="E6664" s="3">
        <v>5.4599999999999996E-68</v>
      </c>
      <c r="F6664" s="2">
        <v>558</v>
      </c>
      <c r="G6664" s="2">
        <v>100</v>
      </c>
      <c r="H6664" s="2">
        <v>101</v>
      </c>
      <c r="I6664" s="2">
        <v>3</v>
      </c>
      <c r="J6664" s="2">
        <v>305</v>
      </c>
      <c r="K6664" s="2">
        <v>1</v>
      </c>
      <c r="L6664" s="2">
        <v>101</v>
      </c>
    </row>
    <row r="6665" spans="1:12" x14ac:dyDescent="0.25">
      <c r="A6665" s="4" t="str">
        <f>HYPERLINK("http://www.rosaceae.org/Prunus/Prunus_persica/p.persica_gdr_reftransV1_0046742","p.persica_gdr_reftransV1_0046742")</f>
        <v>p.persica_gdr_reftransV1_0046742</v>
      </c>
      <c r="B6665" s="2">
        <v>705</v>
      </c>
      <c r="C6665" s="4" t="str">
        <f>HYPERLINK("http://www.uniprot.org/uniprot/M5X177","M5X177")</f>
        <v>M5X177</v>
      </c>
      <c r="D6665" s="2" t="s">
        <v>5989</v>
      </c>
      <c r="E6665" s="3">
        <v>3.3999999999999997E-35</v>
      </c>
      <c r="F6665" s="2">
        <v>331</v>
      </c>
      <c r="G6665" s="2">
        <v>100</v>
      </c>
      <c r="H6665" s="2">
        <v>110</v>
      </c>
      <c r="I6665" s="2">
        <v>266</v>
      </c>
      <c r="J6665" s="2">
        <v>595</v>
      </c>
      <c r="K6665" s="2">
        <v>1</v>
      </c>
      <c r="L6665" s="2">
        <v>110</v>
      </c>
    </row>
    <row r="6666" spans="1:12" x14ac:dyDescent="0.25">
      <c r="A6666" s="4" t="str">
        <f>HYPERLINK("http://www.rosaceae.org/Prunus/Prunus_persica/p.persica_gdr_reftransV1_0047092","p.persica_gdr_reftransV1_0047092")</f>
        <v>p.persica_gdr_reftransV1_0047092</v>
      </c>
      <c r="B6666" s="2">
        <v>406</v>
      </c>
      <c r="C6666" s="4" t="str">
        <f>HYPERLINK("http://www.uniprot.org/uniprot/M5WP69","M5WP69")</f>
        <v>M5WP69</v>
      </c>
      <c r="D6666" s="2" t="s">
        <v>234</v>
      </c>
      <c r="E6666" s="3">
        <v>7.82E-27</v>
      </c>
      <c r="F6666" s="2">
        <v>274</v>
      </c>
      <c r="G6666" s="2">
        <v>94</v>
      </c>
      <c r="H6666" s="2">
        <v>113</v>
      </c>
      <c r="I6666" s="2">
        <v>1</v>
      </c>
      <c r="J6666" s="2">
        <v>339</v>
      </c>
      <c r="K6666" s="2">
        <v>1</v>
      </c>
      <c r="L6666" s="2">
        <v>112</v>
      </c>
    </row>
    <row r="6667" spans="1:12" x14ac:dyDescent="0.25">
      <c r="A6667" s="4" t="str">
        <f>HYPERLINK("http://www.rosaceae.org/Prunus/Prunus_persica/p.persica_gdr_reftransV1_0047792","p.persica_gdr_reftransV1_0047792")</f>
        <v>p.persica_gdr_reftransV1_0047792</v>
      </c>
      <c r="B6667" s="2">
        <v>1211</v>
      </c>
      <c r="C6667" s="4" t="str">
        <f>HYPERLINK("http://www.uniprot.org/uniprot/M5WYQ3","M5WYQ3")</f>
        <v>M5WYQ3</v>
      </c>
      <c r="D6667" s="2" t="s">
        <v>5990</v>
      </c>
      <c r="E6667" s="3">
        <v>0</v>
      </c>
      <c r="F6667" s="2">
        <v>1835</v>
      </c>
      <c r="G6667" s="2">
        <v>100</v>
      </c>
      <c r="H6667" s="2">
        <v>343</v>
      </c>
      <c r="I6667" s="2">
        <v>181</v>
      </c>
      <c r="J6667" s="2">
        <v>1209</v>
      </c>
      <c r="K6667" s="2">
        <v>1</v>
      </c>
      <c r="L6667" s="2">
        <v>343</v>
      </c>
    </row>
    <row r="6668" spans="1:12" x14ac:dyDescent="0.25">
      <c r="A6668" s="4" t="str">
        <f>HYPERLINK("http://www.rosaceae.org/Prunus/Prunus_persica/p.persica_gdr_reftransV1_0048492","p.persica_gdr_reftransV1_0048492")</f>
        <v>p.persica_gdr_reftransV1_0048492</v>
      </c>
      <c r="B6668" s="2">
        <v>551</v>
      </c>
      <c r="C6668" s="4" t="str">
        <f>HYPERLINK("http://www.uniprot.org/uniprot/M5XAU7","M5XAU7")</f>
        <v>M5XAU7</v>
      </c>
      <c r="D6668" s="2" t="s">
        <v>5991</v>
      </c>
      <c r="E6668" s="3">
        <v>2.6699999999999998E-66</v>
      </c>
      <c r="F6668" s="2">
        <v>578</v>
      </c>
      <c r="G6668" s="2">
        <v>100</v>
      </c>
      <c r="H6668" s="2">
        <v>129</v>
      </c>
      <c r="I6668" s="2">
        <v>164</v>
      </c>
      <c r="J6668" s="2">
        <v>550</v>
      </c>
      <c r="K6668" s="2">
        <v>1</v>
      </c>
      <c r="L6668" s="2">
        <v>129</v>
      </c>
    </row>
    <row r="6669" spans="1:12" x14ac:dyDescent="0.25">
      <c r="A6669" s="4" t="str">
        <f>HYPERLINK("http://www.rosaceae.org/Prunus/Prunus_persica/p.persica_gdr_reftransV1_0048842","p.persica_gdr_reftransV1_0048842")</f>
        <v>p.persica_gdr_reftransV1_0048842</v>
      </c>
      <c r="B6669" s="2">
        <v>2396</v>
      </c>
      <c r="C6669" s="4" t="str">
        <f>HYPERLINK("http://www.uniprot.org/uniprot/M5X8L3","M5X8L3")</f>
        <v>M5X8L3</v>
      </c>
      <c r="D6669" s="2" t="s">
        <v>5992</v>
      </c>
      <c r="E6669" s="3">
        <v>0</v>
      </c>
      <c r="F6669" s="2">
        <v>3410</v>
      </c>
      <c r="G6669" s="2">
        <v>100</v>
      </c>
      <c r="H6669" s="2">
        <v>724</v>
      </c>
      <c r="I6669" s="2">
        <v>171</v>
      </c>
      <c r="J6669" s="2">
        <v>2342</v>
      </c>
      <c r="K6669" s="2">
        <v>1</v>
      </c>
      <c r="L6669" s="2">
        <v>724</v>
      </c>
    </row>
    <row r="6670" spans="1:12" x14ac:dyDescent="0.25">
      <c r="A6670" s="4" t="str">
        <f>HYPERLINK("http://www.rosaceae.org/Prunus/Prunus_persica/p.persica_gdr_reftransV1_0000193","p.persica_gdr_reftransV1_0000193")</f>
        <v>p.persica_gdr_reftransV1_0000193</v>
      </c>
      <c r="B6670" s="2">
        <v>2569</v>
      </c>
      <c r="C6670" s="4" t="str">
        <f>HYPERLINK("http://www.uniprot.org/uniprot/M5WYP3","M5WYP3")</f>
        <v>M5WYP3</v>
      </c>
      <c r="D6670" s="2" t="s">
        <v>5993</v>
      </c>
      <c r="E6670" s="3">
        <v>0</v>
      </c>
      <c r="F6670" s="2">
        <v>1553</v>
      </c>
      <c r="G6670" s="2">
        <v>100</v>
      </c>
      <c r="H6670" s="2">
        <v>358</v>
      </c>
      <c r="I6670" s="2">
        <v>437</v>
      </c>
      <c r="J6670" s="2">
        <v>1510</v>
      </c>
      <c r="K6670" s="2">
        <v>138</v>
      </c>
      <c r="L6670" s="2">
        <v>495</v>
      </c>
    </row>
    <row r="6671" spans="1:12" x14ac:dyDescent="0.25">
      <c r="A6671" s="4" t="str">
        <f>HYPERLINK("http://www.rosaceae.org/Prunus/Prunus_persica/p.persica_gdr_reftransV1_0000543","p.persica_gdr_reftransV1_0000543")</f>
        <v>p.persica_gdr_reftransV1_0000543</v>
      </c>
      <c r="B6671" s="2">
        <v>543</v>
      </c>
      <c r="C6671" s="4" t="str">
        <f>HYPERLINK("http://www.uniprot.org/uniprot/M5XMQ9","M5XMQ9")</f>
        <v>M5XMQ9</v>
      </c>
      <c r="D6671" s="2" t="s">
        <v>5994</v>
      </c>
      <c r="E6671" s="3">
        <v>3.8300000000000001E-70</v>
      </c>
      <c r="F6671" s="2">
        <v>573</v>
      </c>
      <c r="G6671" s="2">
        <v>100</v>
      </c>
      <c r="H6671" s="2">
        <v>107</v>
      </c>
      <c r="I6671" s="2">
        <v>223</v>
      </c>
      <c r="J6671" s="2">
        <v>543</v>
      </c>
      <c r="K6671" s="2">
        <v>157</v>
      </c>
      <c r="L6671" s="2">
        <v>263</v>
      </c>
    </row>
    <row r="6672" spans="1:12" x14ac:dyDescent="0.25">
      <c r="A6672" s="4" t="str">
        <f>HYPERLINK("http://www.rosaceae.org/Prunus/Prunus_persica/p.persica_gdr_reftransV1_0000893","p.persica_gdr_reftransV1_0000893")</f>
        <v>p.persica_gdr_reftransV1_0000893</v>
      </c>
      <c r="B6672" s="2">
        <v>1894</v>
      </c>
      <c r="C6672" s="4" t="str">
        <f>HYPERLINK("http://www.uniprot.org/uniprot/M5WSU0","M5WSU0")</f>
        <v>M5WSU0</v>
      </c>
      <c r="D6672" s="2" t="s">
        <v>5995</v>
      </c>
      <c r="E6672" s="3">
        <v>0</v>
      </c>
      <c r="F6672" s="2">
        <v>1475</v>
      </c>
      <c r="G6672" s="2">
        <v>100</v>
      </c>
      <c r="H6672" s="2">
        <v>369</v>
      </c>
      <c r="I6672" s="2">
        <v>273</v>
      </c>
      <c r="J6672" s="2">
        <v>1379</v>
      </c>
      <c r="K6672" s="2">
        <v>1</v>
      </c>
      <c r="L6672" s="2">
        <v>369</v>
      </c>
    </row>
    <row r="6673" spans="1:12" x14ac:dyDescent="0.25">
      <c r="A6673" s="4" t="str">
        <f>HYPERLINK("http://www.rosaceae.org/Prunus/Prunus_persica/p.persica_gdr_reftransV1_0001243","p.persica_gdr_reftransV1_0001243")</f>
        <v>p.persica_gdr_reftransV1_0001243</v>
      </c>
      <c r="B6673" s="2">
        <v>1000</v>
      </c>
      <c r="C6673" s="4" t="str">
        <f>HYPERLINK("http://www.uniprot.org/uniprot/M5VGF0","M5VGF0")</f>
        <v>M5VGF0</v>
      </c>
      <c r="D6673" s="2" t="s">
        <v>5996</v>
      </c>
      <c r="E6673" s="3">
        <v>1.5499999999999999E-157</v>
      </c>
      <c r="F6673" s="2">
        <v>1170</v>
      </c>
      <c r="G6673" s="2">
        <v>97</v>
      </c>
      <c r="H6673" s="2">
        <v>231</v>
      </c>
      <c r="I6673" s="2">
        <v>83</v>
      </c>
      <c r="J6673" s="2">
        <v>775</v>
      </c>
      <c r="K6673" s="2">
        <v>1</v>
      </c>
      <c r="L6673" s="2">
        <v>231</v>
      </c>
    </row>
    <row r="6674" spans="1:12" x14ac:dyDescent="0.25">
      <c r="A6674" s="4" t="str">
        <f>HYPERLINK("http://www.rosaceae.org/Prunus/Prunus_persica/p.persica_gdr_reftransV1_0001943","p.persica_gdr_reftransV1_0001943")</f>
        <v>p.persica_gdr_reftransV1_0001943</v>
      </c>
      <c r="B6674" s="2">
        <v>959</v>
      </c>
      <c r="C6674" s="4" t="str">
        <f>HYPERLINK("http://www.uniprot.org/uniprot/M5XS36","M5XS36")</f>
        <v>M5XS36</v>
      </c>
      <c r="D6674" s="2" t="s">
        <v>116</v>
      </c>
      <c r="E6674" s="3">
        <v>0</v>
      </c>
      <c r="F6674" s="2">
        <v>1727</v>
      </c>
      <c r="G6674" s="2">
        <v>100</v>
      </c>
      <c r="H6674" s="2">
        <v>319</v>
      </c>
      <c r="I6674" s="2">
        <v>2</v>
      </c>
      <c r="J6674" s="2">
        <v>958</v>
      </c>
      <c r="K6674" s="2">
        <v>97</v>
      </c>
      <c r="L6674" s="2">
        <v>415</v>
      </c>
    </row>
    <row r="6675" spans="1:12" x14ac:dyDescent="0.25">
      <c r="A6675" s="4" t="str">
        <f>HYPERLINK("http://www.rosaceae.org/Prunus/Prunus_persica/p.persica_gdr_reftransV1_0002293","p.persica_gdr_reftransV1_0002293")</f>
        <v>p.persica_gdr_reftransV1_0002293</v>
      </c>
      <c r="B6675" s="2">
        <v>420</v>
      </c>
      <c r="C6675" s="4" t="str">
        <f>HYPERLINK("http://www.uniprot.org/uniprot/M5WW37","M5WW37")</f>
        <v>M5WW37</v>
      </c>
      <c r="D6675" s="2" t="s">
        <v>5997</v>
      </c>
      <c r="E6675" s="3">
        <v>8.8600000000000003E-81</v>
      </c>
      <c r="F6675" s="2">
        <v>650</v>
      </c>
      <c r="G6675" s="2">
        <v>89</v>
      </c>
      <c r="H6675" s="2">
        <v>140</v>
      </c>
      <c r="I6675" s="2">
        <v>1</v>
      </c>
      <c r="J6675" s="2">
        <v>420</v>
      </c>
      <c r="K6675" s="2">
        <v>71</v>
      </c>
      <c r="L6675" s="2">
        <v>194</v>
      </c>
    </row>
    <row r="6676" spans="1:12" x14ac:dyDescent="0.25">
      <c r="A6676" s="4" t="str">
        <f>HYPERLINK("http://www.rosaceae.org/Prunus/Prunus_persica/p.persica_gdr_reftransV1_0002643","p.persica_gdr_reftransV1_0002643")</f>
        <v>p.persica_gdr_reftransV1_0002643</v>
      </c>
      <c r="B6676" s="2">
        <v>794</v>
      </c>
      <c r="C6676" s="4" t="str">
        <f>HYPERLINK("http://www.uniprot.org/uniprot/M5W9R8","M5W9R8")</f>
        <v>M5W9R8</v>
      </c>
      <c r="D6676" s="2" t="s">
        <v>5998</v>
      </c>
      <c r="E6676" s="3">
        <v>6.5000000000000006E-135</v>
      </c>
      <c r="F6676" s="2">
        <v>1019</v>
      </c>
      <c r="G6676" s="2">
        <v>100</v>
      </c>
      <c r="H6676" s="2">
        <v>217</v>
      </c>
      <c r="I6676" s="2">
        <v>1</v>
      </c>
      <c r="J6676" s="2">
        <v>651</v>
      </c>
      <c r="K6676" s="2">
        <v>16</v>
      </c>
      <c r="L6676" s="2">
        <v>232</v>
      </c>
    </row>
    <row r="6677" spans="1:12" x14ac:dyDescent="0.25">
      <c r="A6677" s="4" t="str">
        <f>HYPERLINK("http://www.rosaceae.org/Prunus/Prunus_persica/p.persica_gdr_reftransV1_0002993","p.persica_gdr_reftransV1_0002993")</f>
        <v>p.persica_gdr_reftransV1_0002993</v>
      </c>
      <c r="B6677" s="2">
        <v>1350</v>
      </c>
      <c r="C6677" s="4" t="str">
        <f>HYPERLINK("http://www.uniprot.org/uniprot/M5Y590","M5Y590")</f>
        <v>M5Y590</v>
      </c>
      <c r="D6677" s="2" t="s">
        <v>253</v>
      </c>
      <c r="E6677" s="3">
        <v>2.5799999999999998E-119</v>
      </c>
      <c r="F6677" s="2">
        <v>920</v>
      </c>
      <c r="G6677" s="2">
        <v>100</v>
      </c>
      <c r="H6677" s="2">
        <v>187</v>
      </c>
      <c r="I6677" s="2">
        <v>3</v>
      </c>
      <c r="J6677" s="2">
        <v>563</v>
      </c>
      <c r="K6677" s="2">
        <v>16</v>
      </c>
      <c r="L6677" s="2">
        <v>202</v>
      </c>
    </row>
    <row r="6678" spans="1:12" x14ac:dyDescent="0.25">
      <c r="A6678" s="4" t="str">
        <f>HYPERLINK("http://www.rosaceae.org/Prunus/Prunus_persica/p.persica_gdr_reftransV1_0003343","p.persica_gdr_reftransV1_0003343")</f>
        <v>p.persica_gdr_reftransV1_0003343</v>
      </c>
      <c r="B6678" s="2">
        <v>467</v>
      </c>
      <c r="C6678" s="4" t="str">
        <f>HYPERLINK("http://www.uniprot.org/uniprot/M5XCQ1","M5XCQ1")</f>
        <v>M5XCQ1</v>
      </c>
      <c r="D6678" s="2" t="s">
        <v>5999</v>
      </c>
      <c r="E6678" s="3">
        <v>1.9700000000000001E-98</v>
      </c>
      <c r="F6678" s="2">
        <v>763</v>
      </c>
      <c r="G6678" s="2">
        <v>100</v>
      </c>
      <c r="H6678" s="2">
        <v>155</v>
      </c>
      <c r="I6678" s="2">
        <v>1</v>
      </c>
      <c r="J6678" s="2">
        <v>465</v>
      </c>
      <c r="K6678" s="2">
        <v>62</v>
      </c>
      <c r="L6678" s="2">
        <v>216</v>
      </c>
    </row>
    <row r="6679" spans="1:12" x14ac:dyDescent="0.25">
      <c r="A6679" s="4" t="str">
        <f>HYPERLINK("http://www.rosaceae.org/Prunus/Prunus_persica/p.persica_gdr_reftransV1_0003693","p.persica_gdr_reftransV1_0003693")</f>
        <v>p.persica_gdr_reftransV1_0003693</v>
      </c>
      <c r="B6679" s="2">
        <v>1494</v>
      </c>
      <c r="C6679" s="4" t="str">
        <f>HYPERLINK("http://www.uniprot.org/uniprot/M5WX48","M5WX48")</f>
        <v>M5WX48</v>
      </c>
      <c r="D6679" s="2" t="s">
        <v>2681</v>
      </c>
      <c r="E6679" s="3">
        <v>0</v>
      </c>
      <c r="F6679" s="2">
        <v>2509</v>
      </c>
      <c r="G6679" s="2">
        <v>100</v>
      </c>
      <c r="H6679" s="2">
        <v>485</v>
      </c>
      <c r="I6679" s="2">
        <v>3</v>
      </c>
      <c r="J6679" s="2">
        <v>1457</v>
      </c>
      <c r="K6679" s="2">
        <v>1</v>
      </c>
      <c r="L6679" s="2">
        <v>485</v>
      </c>
    </row>
    <row r="6680" spans="1:12" x14ac:dyDescent="0.25">
      <c r="A6680" s="4" t="str">
        <f>HYPERLINK("http://www.rosaceae.org/Prunus/Prunus_persica/p.persica_gdr_reftransV1_0004043","p.persica_gdr_reftransV1_0004043")</f>
        <v>p.persica_gdr_reftransV1_0004043</v>
      </c>
      <c r="B6680" s="2">
        <v>3611</v>
      </c>
      <c r="C6680" s="4" t="str">
        <f>HYPERLINK("http://www.uniprot.org/uniprot/M5WQJ8","M5WQJ8")</f>
        <v>M5WQJ8</v>
      </c>
      <c r="D6680" s="2" t="s">
        <v>2842</v>
      </c>
      <c r="E6680" s="3">
        <v>0</v>
      </c>
      <c r="F6680" s="2">
        <v>5024</v>
      </c>
      <c r="G6680" s="2">
        <v>97</v>
      </c>
      <c r="H6680" s="2">
        <v>991</v>
      </c>
      <c r="I6680" s="2">
        <v>227</v>
      </c>
      <c r="J6680" s="2">
        <v>3199</v>
      </c>
      <c r="K6680" s="2">
        <v>1</v>
      </c>
      <c r="L6680" s="2">
        <v>959</v>
      </c>
    </row>
    <row r="6681" spans="1:12" x14ac:dyDescent="0.25">
      <c r="A6681" s="4" t="str">
        <f>HYPERLINK("http://www.rosaceae.org/Prunus/Prunus_persica/p.persica_gdr_reftransV1_0004393","p.persica_gdr_reftransV1_0004393")</f>
        <v>p.persica_gdr_reftransV1_0004393</v>
      </c>
      <c r="B6681" s="2">
        <v>842</v>
      </c>
      <c r="C6681" s="4" t="str">
        <f>HYPERLINK("http://www.uniprot.org/uniprot/M5WX26","M5WX26")</f>
        <v>M5WX26</v>
      </c>
      <c r="D6681" s="2" t="s">
        <v>6000</v>
      </c>
      <c r="E6681" s="3">
        <v>0</v>
      </c>
      <c r="F6681" s="2">
        <v>1478</v>
      </c>
      <c r="G6681" s="2">
        <v>100</v>
      </c>
      <c r="H6681" s="2">
        <v>280</v>
      </c>
      <c r="I6681" s="2">
        <v>1</v>
      </c>
      <c r="J6681" s="2">
        <v>840</v>
      </c>
      <c r="K6681" s="2">
        <v>94</v>
      </c>
      <c r="L6681" s="2">
        <v>373</v>
      </c>
    </row>
    <row r="6682" spans="1:12" x14ac:dyDescent="0.25">
      <c r="A6682" s="4" t="str">
        <f>HYPERLINK("http://www.rosaceae.org/Prunus/Prunus_persica/p.persica_gdr_reftransV1_0005443","p.persica_gdr_reftransV1_0005443")</f>
        <v>p.persica_gdr_reftransV1_0005443</v>
      </c>
      <c r="B6682" s="2">
        <v>1264</v>
      </c>
      <c r="C6682" s="4" t="str">
        <f>HYPERLINK("http://www.uniprot.org/uniprot/M5WH27","M5WH27")</f>
        <v>M5WH27</v>
      </c>
      <c r="D6682" s="2" t="s">
        <v>6001</v>
      </c>
      <c r="E6682" s="3">
        <v>7.1199999999999996E-165</v>
      </c>
      <c r="F6682" s="2">
        <v>1223</v>
      </c>
      <c r="G6682" s="2">
        <v>100</v>
      </c>
      <c r="H6682" s="2">
        <v>227</v>
      </c>
      <c r="I6682" s="2">
        <v>368</v>
      </c>
      <c r="J6682" s="2">
        <v>1048</v>
      </c>
      <c r="K6682" s="2">
        <v>17</v>
      </c>
      <c r="L6682" s="2">
        <v>243</v>
      </c>
    </row>
    <row r="6683" spans="1:12" x14ac:dyDescent="0.25">
      <c r="A6683" s="4" t="str">
        <f>HYPERLINK("http://www.rosaceae.org/Prunus/Prunus_persica/p.persica_gdr_reftransV1_0006493","p.persica_gdr_reftransV1_0006493")</f>
        <v>p.persica_gdr_reftransV1_0006493</v>
      </c>
      <c r="B6683" s="2">
        <v>1181</v>
      </c>
      <c r="C6683" s="4" t="str">
        <f>HYPERLINK("http://www.uniprot.org/uniprot/M5X8G0","M5X8G0")</f>
        <v>M5X8G0</v>
      </c>
      <c r="D6683" s="2" t="s">
        <v>6002</v>
      </c>
      <c r="E6683" s="3">
        <v>3.18E-169</v>
      </c>
      <c r="F6683" s="2">
        <v>1283</v>
      </c>
      <c r="G6683" s="2">
        <v>76</v>
      </c>
      <c r="H6683" s="2">
        <v>306</v>
      </c>
      <c r="I6683" s="2">
        <v>263</v>
      </c>
      <c r="J6683" s="2">
        <v>1180</v>
      </c>
      <c r="K6683" s="2">
        <v>278</v>
      </c>
      <c r="L6683" s="2">
        <v>581</v>
      </c>
    </row>
    <row r="6684" spans="1:12" x14ac:dyDescent="0.25">
      <c r="A6684" s="4" t="str">
        <f>HYPERLINK("http://www.rosaceae.org/Prunus/Prunus_persica/p.persica_gdr_reftransV1_0007543","p.persica_gdr_reftransV1_0007543")</f>
        <v>p.persica_gdr_reftransV1_0007543</v>
      </c>
      <c r="B6684" s="2">
        <v>781</v>
      </c>
      <c r="C6684" s="4" t="str">
        <f>HYPERLINK("http://www.uniprot.org/uniprot/M5XB13","M5XB13")</f>
        <v>M5XB13</v>
      </c>
      <c r="D6684" s="2" t="s">
        <v>3061</v>
      </c>
      <c r="E6684" s="3">
        <v>2.7900000000000001E-168</v>
      </c>
      <c r="F6684" s="2">
        <v>1354</v>
      </c>
      <c r="G6684" s="2">
        <v>97</v>
      </c>
      <c r="H6684" s="2">
        <v>266</v>
      </c>
      <c r="I6684" s="2">
        <v>1</v>
      </c>
      <c r="J6684" s="2">
        <v>780</v>
      </c>
      <c r="K6684" s="2">
        <v>1948</v>
      </c>
      <c r="L6684" s="2">
        <v>2213</v>
      </c>
    </row>
    <row r="6685" spans="1:12" x14ac:dyDescent="0.25">
      <c r="A6685" s="4" t="str">
        <f>HYPERLINK("http://www.rosaceae.org/Prunus/Prunus_persica/p.persica_gdr_reftransV1_0008243","p.persica_gdr_reftransV1_0008243")</f>
        <v>p.persica_gdr_reftransV1_0008243</v>
      </c>
      <c r="B6685" s="2">
        <v>524</v>
      </c>
      <c r="C6685" s="4" t="str">
        <f>HYPERLINK("http://www.uniprot.org/uniprot/K4C9U5","K4C9U5")</f>
        <v>K4C9U5</v>
      </c>
      <c r="D6685" s="2" t="s">
        <v>5873</v>
      </c>
      <c r="E6685" s="3">
        <v>2.7799999999999999E-53</v>
      </c>
      <c r="F6685" s="2">
        <v>450</v>
      </c>
      <c r="G6685" s="2">
        <v>100</v>
      </c>
      <c r="H6685" s="2">
        <v>85</v>
      </c>
      <c r="I6685" s="2">
        <v>249</v>
      </c>
      <c r="J6685" s="2">
        <v>503</v>
      </c>
      <c r="K6685" s="2">
        <v>62</v>
      </c>
      <c r="L6685" s="2">
        <v>146</v>
      </c>
    </row>
    <row r="6686" spans="1:12" x14ac:dyDescent="0.25">
      <c r="A6686" s="4" t="str">
        <f>HYPERLINK("http://www.rosaceae.org/Prunus/Prunus_persica/p.persica_gdr_reftransV1_0008943","p.persica_gdr_reftransV1_0008943")</f>
        <v>p.persica_gdr_reftransV1_0008943</v>
      </c>
      <c r="B6686" s="2">
        <v>2142</v>
      </c>
      <c r="C6686" s="4" t="str">
        <f>HYPERLINK("http://www.uniprot.org/uniprot/M5XXF6","M5XXF6")</f>
        <v>M5XXF6</v>
      </c>
      <c r="D6686" s="2" t="s">
        <v>6003</v>
      </c>
      <c r="E6686" s="3">
        <v>0</v>
      </c>
      <c r="F6686" s="2">
        <v>1292</v>
      </c>
      <c r="G6686" s="2">
        <v>100</v>
      </c>
      <c r="H6686" s="2">
        <v>271</v>
      </c>
      <c r="I6686" s="2">
        <v>1046</v>
      </c>
      <c r="J6686" s="2">
        <v>1858</v>
      </c>
      <c r="K6686" s="2">
        <v>1</v>
      </c>
      <c r="L6686" s="2">
        <v>271</v>
      </c>
    </row>
    <row r="6687" spans="1:12" x14ac:dyDescent="0.25">
      <c r="A6687" s="4" t="str">
        <f>HYPERLINK("http://www.rosaceae.org/Prunus/Prunus_persica/p.persica_gdr_reftransV1_0009643","p.persica_gdr_reftransV1_0009643")</f>
        <v>p.persica_gdr_reftransV1_0009643</v>
      </c>
      <c r="B6687" s="2">
        <v>1247</v>
      </c>
      <c r="C6687" s="4" t="str">
        <f>HYPERLINK("http://www.uniprot.org/uniprot/M5W340","M5W340")</f>
        <v>M5W340</v>
      </c>
      <c r="D6687" s="2" t="s">
        <v>6004</v>
      </c>
      <c r="E6687" s="3">
        <v>6.9600000000000002E-162</v>
      </c>
      <c r="F6687" s="2">
        <v>1203</v>
      </c>
      <c r="G6687" s="2">
        <v>100</v>
      </c>
      <c r="H6687" s="2">
        <v>256</v>
      </c>
      <c r="I6687" s="2">
        <v>257</v>
      </c>
      <c r="J6687" s="2">
        <v>1024</v>
      </c>
      <c r="K6687" s="2">
        <v>1</v>
      </c>
      <c r="L6687" s="2">
        <v>256</v>
      </c>
    </row>
    <row r="6688" spans="1:12" x14ac:dyDescent="0.25">
      <c r="A6688" s="4" t="str">
        <f>HYPERLINK("http://www.rosaceae.org/Prunus/Prunus_persica/p.persica_gdr_reftransV1_0009993","p.persica_gdr_reftransV1_0009993")</f>
        <v>p.persica_gdr_reftransV1_0009993</v>
      </c>
      <c r="B6688" s="2">
        <v>1251</v>
      </c>
      <c r="C6688" s="4" t="str">
        <f>HYPERLINK("http://www.uniprot.org/uniprot/M5W2K7","M5W2K7")</f>
        <v>M5W2K7</v>
      </c>
      <c r="D6688" s="2" t="s">
        <v>6005</v>
      </c>
      <c r="E6688" s="3">
        <v>3.0399999999999999E-125</v>
      </c>
      <c r="F6688" s="2">
        <v>636</v>
      </c>
      <c r="G6688" s="2">
        <v>100</v>
      </c>
      <c r="H6688" s="2">
        <v>164</v>
      </c>
      <c r="I6688" s="2">
        <v>222</v>
      </c>
      <c r="J6688" s="2">
        <v>713</v>
      </c>
      <c r="K6688" s="2">
        <v>145</v>
      </c>
      <c r="L6688" s="2">
        <v>308</v>
      </c>
    </row>
    <row r="6689" spans="1:12" x14ac:dyDescent="0.25">
      <c r="A6689" s="4" t="str">
        <f>HYPERLINK("http://www.rosaceae.org/Prunus/Prunus_persica/p.persica_gdr_reftransV1_0010693","p.persica_gdr_reftransV1_0010693")</f>
        <v>p.persica_gdr_reftransV1_0010693</v>
      </c>
      <c r="B6689" s="2">
        <v>2677</v>
      </c>
      <c r="C6689" s="4" t="str">
        <f>HYPERLINK("http://www.uniprot.org/uniprot/M5WNT3","M5WNT3")</f>
        <v>M5WNT3</v>
      </c>
      <c r="D6689" s="2" t="s">
        <v>6006</v>
      </c>
      <c r="E6689" s="3">
        <v>0</v>
      </c>
      <c r="F6689" s="2">
        <v>2547</v>
      </c>
      <c r="G6689" s="2">
        <v>100</v>
      </c>
      <c r="H6689" s="2">
        <v>695</v>
      </c>
      <c r="I6689" s="2">
        <v>291</v>
      </c>
      <c r="J6689" s="2">
        <v>2375</v>
      </c>
      <c r="K6689" s="2">
        <v>1</v>
      </c>
      <c r="L6689" s="2">
        <v>695</v>
      </c>
    </row>
    <row r="6690" spans="1:12" x14ac:dyDescent="0.25">
      <c r="A6690" s="4" t="str">
        <f>HYPERLINK("http://www.rosaceae.org/Prunus/Prunus_persica/p.persica_gdr_reftransV1_0011743","p.persica_gdr_reftransV1_0011743")</f>
        <v>p.persica_gdr_reftransV1_0011743</v>
      </c>
      <c r="B6690" s="2">
        <v>1456</v>
      </c>
      <c r="C6690" s="4" t="str">
        <f>HYPERLINK("http://www.uniprot.org/uniprot/M5X4N9","M5X4N9")</f>
        <v>M5X4N9</v>
      </c>
      <c r="D6690" s="2" t="s">
        <v>6007</v>
      </c>
      <c r="E6690" s="3">
        <v>1.6599999999999999E-111</v>
      </c>
      <c r="F6690" s="2">
        <v>919</v>
      </c>
      <c r="G6690" s="2">
        <v>51</v>
      </c>
      <c r="H6690" s="2">
        <v>481</v>
      </c>
      <c r="I6690" s="2">
        <v>4</v>
      </c>
      <c r="J6690" s="2">
        <v>1419</v>
      </c>
      <c r="K6690" s="2">
        <v>1</v>
      </c>
      <c r="L6690" s="2">
        <v>436</v>
      </c>
    </row>
    <row r="6691" spans="1:12" x14ac:dyDescent="0.25">
      <c r="A6691" s="4" t="str">
        <f>HYPERLINK("http://www.rosaceae.org/Prunus/Prunus_persica/p.persica_gdr_reftransV1_0012443","p.persica_gdr_reftransV1_0012443")</f>
        <v>p.persica_gdr_reftransV1_0012443</v>
      </c>
      <c r="B6691" s="2">
        <v>1983</v>
      </c>
      <c r="C6691" s="4" t="str">
        <f>HYPERLINK("http://www.uniprot.org/uniprot/M5X2D4","M5X2D4")</f>
        <v>M5X2D4</v>
      </c>
      <c r="D6691" s="2" t="s">
        <v>6008</v>
      </c>
      <c r="E6691" s="3">
        <v>0</v>
      </c>
      <c r="F6691" s="2">
        <v>2393</v>
      </c>
      <c r="G6691" s="2">
        <v>100</v>
      </c>
      <c r="H6691" s="2">
        <v>496</v>
      </c>
      <c r="I6691" s="2">
        <v>168</v>
      </c>
      <c r="J6691" s="2">
        <v>1655</v>
      </c>
      <c r="K6691" s="2">
        <v>1</v>
      </c>
      <c r="L6691" s="2">
        <v>496</v>
      </c>
    </row>
    <row r="6692" spans="1:12" x14ac:dyDescent="0.25">
      <c r="A6692" s="4" t="str">
        <f>HYPERLINK("http://www.rosaceae.org/Prunus/Prunus_persica/p.persica_gdr_reftransV1_0013143","p.persica_gdr_reftransV1_0013143")</f>
        <v>p.persica_gdr_reftransV1_0013143</v>
      </c>
      <c r="B6692" s="2">
        <v>2669</v>
      </c>
      <c r="C6692" s="4" t="str">
        <f>HYPERLINK("http://www.uniprot.org/uniprot/M5WBI9","M5WBI9")</f>
        <v>M5WBI9</v>
      </c>
      <c r="D6692" s="2" t="s">
        <v>6009</v>
      </c>
      <c r="E6692" s="3">
        <v>0</v>
      </c>
      <c r="F6692" s="2">
        <v>2706</v>
      </c>
      <c r="G6692" s="2">
        <v>100</v>
      </c>
      <c r="H6692" s="2">
        <v>519</v>
      </c>
      <c r="I6692" s="2">
        <v>667</v>
      </c>
      <c r="J6692" s="2">
        <v>2223</v>
      </c>
      <c r="K6692" s="2">
        <v>16</v>
      </c>
      <c r="L6692" s="2">
        <v>534</v>
      </c>
    </row>
    <row r="6693" spans="1:12" x14ac:dyDescent="0.25">
      <c r="A6693" s="4" t="str">
        <f>HYPERLINK("http://www.rosaceae.org/Prunus/Prunus_persica/p.persica_gdr_reftransV1_0013843","p.persica_gdr_reftransV1_0013843")</f>
        <v>p.persica_gdr_reftransV1_0013843</v>
      </c>
      <c r="B6693" s="2">
        <v>2728</v>
      </c>
      <c r="C6693" s="4" t="str">
        <f>HYPERLINK("http://www.uniprot.org/uniprot/M5W8B5","M5W8B5")</f>
        <v>M5W8B5</v>
      </c>
      <c r="D6693" s="2" t="s">
        <v>6010</v>
      </c>
      <c r="E6693" s="3">
        <v>4.0099999999999999E-141</v>
      </c>
      <c r="F6693" s="2">
        <v>1105</v>
      </c>
      <c r="G6693" s="2">
        <v>100</v>
      </c>
      <c r="H6693" s="2">
        <v>205</v>
      </c>
      <c r="I6693" s="2">
        <v>1909</v>
      </c>
      <c r="J6693" s="2">
        <v>2523</v>
      </c>
      <c r="K6693" s="2">
        <v>1</v>
      </c>
      <c r="L6693" s="2">
        <v>205</v>
      </c>
    </row>
    <row r="6694" spans="1:12" x14ac:dyDescent="0.25">
      <c r="A6694" s="4" t="str">
        <f>HYPERLINK("http://www.rosaceae.org/Prunus/Prunus_persica/p.persica_gdr_reftransV1_0014193","p.persica_gdr_reftransV1_0014193")</f>
        <v>p.persica_gdr_reftransV1_0014193</v>
      </c>
      <c r="B6694" s="2">
        <v>2970</v>
      </c>
      <c r="C6694" s="4" t="str">
        <f>HYPERLINK("http://www.uniprot.org/uniprot/K4BRT9","K4BRT9")</f>
        <v>K4BRT9</v>
      </c>
      <c r="D6694" s="2" t="s">
        <v>6011</v>
      </c>
      <c r="E6694" s="3">
        <v>0</v>
      </c>
      <c r="F6694" s="2">
        <v>2495</v>
      </c>
      <c r="G6694" s="2">
        <v>64</v>
      </c>
      <c r="H6694" s="2">
        <v>738</v>
      </c>
      <c r="I6694" s="2">
        <v>560</v>
      </c>
      <c r="J6694" s="2">
        <v>2773</v>
      </c>
      <c r="K6694" s="2">
        <v>49</v>
      </c>
      <c r="L6694" s="2">
        <v>722</v>
      </c>
    </row>
    <row r="6695" spans="1:12" x14ac:dyDescent="0.25">
      <c r="A6695" s="4" t="str">
        <f>HYPERLINK("http://www.rosaceae.org/Prunus/Prunus_persica/p.persica_gdr_reftransV1_0014543","p.persica_gdr_reftransV1_0014543")</f>
        <v>p.persica_gdr_reftransV1_0014543</v>
      </c>
      <c r="B6695" s="2">
        <v>487</v>
      </c>
      <c r="C6695" s="4" t="str">
        <f>HYPERLINK("http://www.uniprot.org/uniprot/M5VQ42","M5VQ42")</f>
        <v>M5VQ42</v>
      </c>
      <c r="D6695" s="2" t="s">
        <v>1521</v>
      </c>
      <c r="E6695" s="3">
        <v>1.7599999999999999E-99</v>
      </c>
      <c r="F6695" s="2">
        <v>771</v>
      </c>
      <c r="G6695" s="2">
        <v>100</v>
      </c>
      <c r="H6695" s="2">
        <v>145</v>
      </c>
      <c r="I6695" s="2">
        <v>51</v>
      </c>
      <c r="J6695" s="2">
        <v>485</v>
      </c>
      <c r="K6695" s="2">
        <v>1</v>
      </c>
      <c r="L6695" s="2">
        <v>145</v>
      </c>
    </row>
    <row r="6696" spans="1:12" x14ac:dyDescent="0.25">
      <c r="A6696" s="4" t="str">
        <f>HYPERLINK("http://www.rosaceae.org/Prunus/Prunus_persica/p.persica_gdr_reftransV1_0016293","p.persica_gdr_reftransV1_0016293")</f>
        <v>p.persica_gdr_reftransV1_0016293</v>
      </c>
      <c r="B6696" s="2">
        <v>1409</v>
      </c>
      <c r="C6696" s="4" t="str">
        <f>HYPERLINK("http://www.uniprot.org/uniprot/M5VXJ3","M5VXJ3")</f>
        <v>M5VXJ3</v>
      </c>
      <c r="D6696" s="2" t="s">
        <v>6012</v>
      </c>
      <c r="E6696" s="3">
        <v>5.5E-154</v>
      </c>
      <c r="F6696" s="2">
        <v>1162</v>
      </c>
      <c r="G6696" s="2">
        <v>82</v>
      </c>
      <c r="H6696" s="2">
        <v>356</v>
      </c>
      <c r="I6696" s="2">
        <v>76</v>
      </c>
      <c r="J6696" s="2">
        <v>1143</v>
      </c>
      <c r="K6696" s="2">
        <v>1</v>
      </c>
      <c r="L6696" s="2">
        <v>308</v>
      </c>
    </row>
    <row r="6697" spans="1:12" x14ac:dyDescent="0.25">
      <c r="A6697" s="4" t="str">
        <f>HYPERLINK("http://www.rosaceae.org/Prunus/Prunus_persica/p.persica_gdr_reftransV1_0017693","p.persica_gdr_reftransV1_0017693")</f>
        <v>p.persica_gdr_reftransV1_0017693</v>
      </c>
      <c r="B6697" s="2">
        <v>1355</v>
      </c>
      <c r="C6697" s="4" t="str">
        <f>HYPERLINK("http://www.uniprot.org/uniprot/M5WE88","M5WE88")</f>
        <v>M5WE88</v>
      </c>
      <c r="D6697" s="2" t="s">
        <v>6013</v>
      </c>
      <c r="E6697" s="3">
        <v>4.0700000000000003E-98</v>
      </c>
      <c r="F6697" s="2">
        <v>786</v>
      </c>
      <c r="G6697" s="2">
        <v>88</v>
      </c>
      <c r="H6697" s="2">
        <v>164</v>
      </c>
      <c r="I6697" s="2">
        <v>862</v>
      </c>
      <c r="J6697" s="2">
        <v>1353</v>
      </c>
      <c r="K6697" s="2">
        <v>33</v>
      </c>
      <c r="L6697" s="2">
        <v>196</v>
      </c>
    </row>
    <row r="6698" spans="1:12" x14ac:dyDescent="0.25">
      <c r="A6698" s="4" t="str">
        <f>HYPERLINK("http://www.rosaceae.org/Prunus/Prunus_persica/p.persica_gdr_reftransV1_0018393","p.persica_gdr_reftransV1_0018393")</f>
        <v>p.persica_gdr_reftransV1_0018393</v>
      </c>
      <c r="B6698" s="2">
        <v>830</v>
      </c>
      <c r="C6698" s="4" t="str">
        <f>HYPERLINK("http://www.uniprot.org/uniprot/M5X1G6","M5X1G6")</f>
        <v>M5X1G6</v>
      </c>
      <c r="D6698" s="2" t="s">
        <v>6014</v>
      </c>
      <c r="E6698" s="3">
        <v>7.3999999999999999E-83</v>
      </c>
      <c r="F6698" s="2">
        <v>707</v>
      </c>
      <c r="G6698" s="2">
        <v>91</v>
      </c>
      <c r="H6698" s="2">
        <v>167</v>
      </c>
      <c r="I6698" s="2">
        <v>1</v>
      </c>
      <c r="J6698" s="2">
        <v>501</v>
      </c>
      <c r="K6698" s="2">
        <v>664</v>
      </c>
      <c r="L6698" s="2">
        <v>830</v>
      </c>
    </row>
    <row r="6699" spans="1:12" x14ac:dyDescent="0.25">
      <c r="A6699" s="4" t="str">
        <f>HYPERLINK("http://www.rosaceae.org/Prunus/Prunus_persica/p.persica_gdr_reftransV1_0019093","p.persica_gdr_reftransV1_0019093")</f>
        <v>p.persica_gdr_reftransV1_0019093</v>
      </c>
      <c r="B6699" s="2">
        <v>2096</v>
      </c>
      <c r="C6699" s="4" t="str">
        <f>HYPERLINK("http://www.uniprot.org/uniprot/M5XDA4","M5XDA4")</f>
        <v>M5XDA4</v>
      </c>
      <c r="D6699" s="2" t="s">
        <v>6015</v>
      </c>
      <c r="E6699" s="3">
        <v>0</v>
      </c>
      <c r="F6699" s="2">
        <v>2602</v>
      </c>
      <c r="G6699" s="2">
        <v>100</v>
      </c>
      <c r="H6699" s="2">
        <v>499</v>
      </c>
      <c r="I6699" s="2">
        <v>330</v>
      </c>
      <c r="J6699" s="2">
        <v>1826</v>
      </c>
      <c r="K6699" s="2">
        <v>48</v>
      </c>
      <c r="L6699" s="2">
        <v>546</v>
      </c>
    </row>
    <row r="6700" spans="1:12" x14ac:dyDescent="0.25">
      <c r="A6700" s="4" t="str">
        <f>HYPERLINK("http://www.rosaceae.org/Prunus/Prunus_persica/p.persica_gdr_reftransV1_0019793","p.persica_gdr_reftransV1_0019793")</f>
        <v>p.persica_gdr_reftransV1_0019793</v>
      </c>
      <c r="B6700" s="2">
        <v>1395</v>
      </c>
      <c r="C6700" s="4" t="str">
        <f>HYPERLINK("http://www.uniprot.org/uniprot/M5VZI6","M5VZI6")</f>
        <v>M5VZI6</v>
      </c>
      <c r="D6700" s="2" t="s">
        <v>6016</v>
      </c>
      <c r="E6700" s="3">
        <v>1.8600000000000001E-81</v>
      </c>
      <c r="F6700" s="2">
        <v>677</v>
      </c>
      <c r="G6700" s="2">
        <v>93</v>
      </c>
      <c r="H6700" s="2">
        <v>192</v>
      </c>
      <c r="I6700" s="2">
        <v>163</v>
      </c>
      <c r="J6700" s="2">
        <v>738</v>
      </c>
      <c r="K6700" s="2">
        <v>107</v>
      </c>
      <c r="L6700" s="2">
        <v>285</v>
      </c>
    </row>
    <row r="6701" spans="1:12" x14ac:dyDescent="0.25">
      <c r="A6701" s="4" t="str">
        <f>HYPERLINK("http://www.rosaceae.org/Prunus/Prunus_persica/p.persica_gdr_reftransV1_0020843","p.persica_gdr_reftransV1_0020843")</f>
        <v>p.persica_gdr_reftransV1_0020843</v>
      </c>
      <c r="B6701" s="2">
        <v>3088</v>
      </c>
      <c r="C6701" s="4" t="str">
        <f>HYPERLINK("http://www.uniprot.org/uniprot/M5W9D2","M5W9D2")</f>
        <v>M5W9D2</v>
      </c>
      <c r="D6701" s="2" t="s">
        <v>6017</v>
      </c>
      <c r="E6701" s="3">
        <v>0</v>
      </c>
      <c r="F6701" s="2">
        <v>2397</v>
      </c>
      <c r="G6701" s="2">
        <v>100</v>
      </c>
      <c r="H6701" s="2">
        <v>454</v>
      </c>
      <c r="I6701" s="2">
        <v>89</v>
      </c>
      <c r="J6701" s="2">
        <v>1450</v>
      </c>
      <c r="K6701" s="2">
        <v>1</v>
      </c>
      <c r="L6701" s="2">
        <v>454</v>
      </c>
    </row>
    <row r="6702" spans="1:12" x14ac:dyDescent="0.25">
      <c r="A6702" s="4" t="str">
        <f>HYPERLINK("http://www.rosaceae.org/Prunus/Prunus_persica/p.persica_gdr_reftransV1_0021193","p.persica_gdr_reftransV1_0021193")</f>
        <v>p.persica_gdr_reftransV1_0021193</v>
      </c>
      <c r="B6702" s="2">
        <v>1086</v>
      </c>
      <c r="C6702" s="4" t="str">
        <f>HYPERLINK("http://www.uniprot.org/uniprot/M5X4U4","M5X4U4")</f>
        <v>M5X4U4</v>
      </c>
      <c r="D6702" s="2" t="s">
        <v>6018</v>
      </c>
      <c r="E6702" s="3">
        <v>7.6299999999999999E-123</v>
      </c>
      <c r="F6702" s="2">
        <v>960</v>
      </c>
      <c r="G6702" s="2">
        <v>100</v>
      </c>
      <c r="H6702" s="2">
        <v>195</v>
      </c>
      <c r="I6702" s="2">
        <v>446</v>
      </c>
      <c r="J6702" s="2">
        <v>1030</v>
      </c>
      <c r="K6702" s="2">
        <v>1</v>
      </c>
      <c r="L6702" s="2">
        <v>195</v>
      </c>
    </row>
    <row r="6703" spans="1:12" x14ac:dyDescent="0.25">
      <c r="A6703" s="4" t="str">
        <f>HYPERLINK("http://www.rosaceae.org/Prunus/Prunus_persica/p.persica_gdr_reftransV1_0021893","p.persica_gdr_reftransV1_0021893")</f>
        <v>p.persica_gdr_reftransV1_0021893</v>
      </c>
      <c r="B6703" s="2">
        <v>451</v>
      </c>
      <c r="C6703" s="4" t="str">
        <f>HYPERLINK("http://www.uniprot.org/uniprot/M5XG18","M5XG18")</f>
        <v>M5XG18</v>
      </c>
      <c r="D6703" s="2" t="s">
        <v>6019</v>
      </c>
      <c r="E6703" s="3">
        <v>5.29E-80</v>
      </c>
      <c r="F6703" s="2">
        <v>632</v>
      </c>
      <c r="G6703" s="2">
        <v>100</v>
      </c>
      <c r="H6703" s="2">
        <v>150</v>
      </c>
      <c r="I6703" s="2">
        <v>1</v>
      </c>
      <c r="J6703" s="2">
        <v>450</v>
      </c>
      <c r="K6703" s="2">
        <v>34</v>
      </c>
      <c r="L6703" s="2">
        <v>183</v>
      </c>
    </row>
    <row r="6704" spans="1:12" x14ac:dyDescent="0.25">
      <c r="A6704" s="4" t="str">
        <f>HYPERLINK("http://www.rosaceae.org/Prunus/Prunus_persica/p.persica_gdr_reftransV1_0024343","p.persica_gdr_reftransV1_0024343")</f>
        <v>p.persica_gdr_reftransV1_0024343</v>
      </c>
      <c r="B6704" s="2">
        <v>2909</v>
      </c>
      <c r="C6704" s="4" t="str">
        <f>HYPERLINK("http://www.uniprot.org/uniprot/M5XDW8","M5XDW8")</f>
        <v>M5XDW8</v>
      </c>
      <c r="D6704" s="2" t="s">
        <v>6020</v>
      </c>
      <c r="E6704" s="3">
        <v>0</v>
      </c>
      <c r="F6704" s="2">
        <v>2115</v>
      </c>
      <c r="G6704" s="2">
        <v>95</v>
      </c>
      <c r="H6704" s="2">
        <v>417</v>
      </c>
      <c r="I6704" s="2">
        <v>1286</v>
      </c>
      <c r="J6704" s="2">
        <v>2515</v>
      </c>
      <c r="K6704" s="2">
        <v>8</v>
      </c>
      <c r="L6704" s="2">
        <v>424</v>
      </c>
    </row>
    <row r="6705" spans="1:12" x14ac:dyDescent="0.25">
      <c r="A6705" s="4" t="str">
        <f>HYPERLINK("http://www.rosaceae.org/Prunus/Prunus_persica/p.persica_gdr_reftransV1_0025393","p.persica_gdr_reftransV1_0025393")</f>
        <v>p.persica_gdr_reftransV1_0025393</v>
      </c>
      <c r="B6705" s="2">
        <v>2512</v>
      </c>
      <c r="C6705" s="4" t="str">
        <f>HYPERLINK("http://www.uniprot.org/uniprot/V4VJA2","V4VJA2")</f>
        <v>V4VJA2</v>
      </c>
      <c r="D6705" s="2" t="s">
        <v>6021</v>
      </c>
      <c r="E6705" s="3">
        <v>2.8799999999999998E-48</v>
      </c>
      <c r="F6705" s="2">
        <v>456</v>
      </c>
      <c r="G6705" s="2">
        <v>56</v>
      </c>
      <c r="H6705" s="2">
        <v>181</v>
      </c>
      <c r="I6705" s="2">
        <v>496</v>
      </c>
      <c r="J6705" s="2">
        <v>1026</v>
      </c>
      <c r="K6705" s="2">
        <v>32</v>
      </c>
      <c r="L6705" s="2">
        <v>200</v>
      </c>
    </row>
    <row r="6706" spans="1:12" x14ac:dyDescent="0.25">
      <c r="A6706" s="4" t="str">
        <f>HYPERLINK("http://www.rosaceae.org/Prunus/Prunus_persica/p.persica_gdr_reftransV1_0025743","p.persica_gdr_reftransV1_0025743")</f>
        <v>p.persica_gdr_reftransV1_0025743</v>
      </c>
      <c r="B6706" s="2">
        <v>995</v>
      </c>
      <c r="C6706" s="4" t="str">
        <f>HYPERLINK("http://www.uniprot.org/uniprot/M0RJV1","M0RJV1")</f>
        <v>M0RJV1</v>
      </c>
      <c r="D6706" s="2" t="s">
        <v>6022</v>
      </c>
      <c r="E6706" s="3">
        <v>9.4400000000000003E-23</v>
      </c>
      <c r="F6706" s="2">
        <v>262</v>
      </c>
      <c r="G6706" s="2">
        <v>34</v>
      </c>
      <c r="H6706" s="2">
        <v>222</v>
      </c>
      <c r="I6706" s="2">
        <v>98</v>
      </c>
      <c r="J6706" s="2">
        <v>730</v>
      </c>
      <c r="K6706" s="2">
        <v>72</v>
      </c>
      <c r="L6706" s="2">
        <v>287</v>
      </c>
    </row>
    <row r="6707" spans="1:12" x14ac:dyDescent="0.25">
      <c r="A6707" s="4" t="str">
        <f>HYPERLINK("http://www.rosaceae.org/Prunus/Prunus_persica/p.persica_gdr_reftransV1_0029243","p.persica_gdr_reftransV1_0029243")</f>
        <v>p.persica_gdr_reftransV1_0029243</v>
      </c>
      <c r="B6707" s="2">
        <v>2248</v>
      </c>
      <c r="C6707" s="4" t="str">
        <f>HYPERLINK("http://www.uniprot.org/uniprot/M5VYQ0","M5VYQ0")</f>
        <v>M5VYQ0</v>
      </c>
      <c r="D6707" s="2" t="s">
        <v>6023</v>
      </c>
      <c r="E6707" s="3">
        <v>0</v>
      </c>
      <c r="F6707" s="2">
        <v>2646</v>
      </c>
      <c r="G6707" s="2">
        <v>99</v>
      </c>
      <c r="H6707" s="2">
        <v>525</v>
      </c>
      <c r="I6707" s="2">
        <v>12</v>
      </c>
      <c r="J6707" s="2">
        <v>1586</v>
      </c>
      <c r="K6707" s="2">
        <v>1</v>
      </c>
      <c r="L6707" s="2">
        <v>525</v>
      </c>
    </row>
    <row r="6708" spans="1:12" x14ac:dyDescent="0.25">
      <c r="A6708" s="4" t="str">
        <f>HYPERLINK("http://www.rosaceae.org/Prunus/Prunus_persica/p.persica_gdr_reftransV1_0029943","p.persica_gdr_reftransV1_0029943")</f>
        <v>p.persica_gdr_reftransV1_0029943</v>
      </c>
      <c r="B6708" s="2">
        <v>4454</v>
      </c>
      <c r="C6708" s="4" t="str">
        <f>HYPERLINK("http://www.uniprot.org/uniprot/M5X071","M5X071")</f>
        <v>M5X071</v>
      </c>
      <c r="D6708" s="2" t="s">
        <v>6024</v>
      </c>
      <c r="E6708" s="3">
        <v>0</v>
      </c>
      <c r="F6708" s="2">
        <v>1442</v>
      </c>
      <c r="G6708" s="2">
        <v>100</v>
      </c>
      <c r="H6708" s="2">
        <v>284</v>
      </c>
      <c r="I6708" s="2">
        <v>1752</v>
      </c>
      <c r="J6708" s="2">
        <v>2603</v>
      </c>
      <c r="K6708" s="2">
        <v>1</v>
      </c>
      <c r="L6708" s="2">
        <v>284</v>
      </c>
    </row>
    <row r="6709" spans="1:12" x14ac:dyDescent="0.25">
      <c r="A6709" s="4" t="str">
        <f>HYPERLINK("http://www.rosaceae.org/Prunus/Prunus_persica/p.persica_gdr_reftransV1_0031343","p.persica_gdr_reftransV1_0031343")</f>
        <v>p.persica_gdr_reftransV1_0031343</v>
      </c>
      <c r="B6709" s="2">
        <v>2810</v>
      </c>
      <c r="C6709" s="4" t="str">
        <f>HYPERLINK("http://www.uniprot.org/uniprot/M5X7A3","M5X7A3")</f>
        <v>M5X7A3</v>
      </c>
      <c r="D6709" s="2" t="s">
        <v>3485</v>
      </c>
      <c r="E6709" s="3">
        <v>0</v>
      </c>
      <c r="F6709" s="2">
        <v>1652</v>
      </c>
      <c r="G6709" s="2">
        <v>99</v>
      </c>
      <c r="H6709" s="2">
        <v>309</v>
      </c>
      <c r="I6709" s="2">
        <v>1531</v>
      </c>
      <c r="J6709" s="2">
        <v>2457</v>
      </c>
      <c r="K6709" s="2">
        <v>354</v>
      </c>
      <c r="L6709" s="2">
        <v>662</v>
      </c>
    </row>
    <row r="6710" spans="1:12" x14ac:dyDescent="0.25">
      <c r="A6710" s="4" t="str">
        <f>HYPERLINK("http://www.rosaceae.org/Prunus/Prunus_persica/p.persica_gdr_reftransV1_0031693","p.persica_gdr_reftransV1_0031693")</f>
        <v>p.persica_gdr_reftransV1_0031693</v>
      </c>
      <c r="B6710" s="2">
        <v>889</v>
      </c>
      <c r="C6710" s="4" t="str">
        <f>HYPERLINK("http://www.uniprot.org/uniprot/M5XCA0","M5XCA0")</f>
        <v>M5XCA0</v>
      </c>
      <c r="D6710" s="2" t="s">
        <v>6025</v>
      </c>
      <c r="E6710" s="3">
        <v>3.29E-146</v>
      </c>
      <c r="F6710" s="2">
        <v>1104</v>
      </c>
      <c r="G6710" s="2">
        <v>100</v>
      </c>
      <c r="H6710" s="2">
        <v>208</v>
      </c>
      <c r="I6710" s="2">
        <v>2</v>
      </c>
      <c r="J6710" s="2">
        <v>625</v>
      </c>
      <c r="K6710" s="2">
        <v>138</v>
      </c>
      <c r="L6710" s="2">
        <v>345</v>
      </c>
    </row>
    <row r="6711" spans="1:12" x14ac:dyDescent="0.25">
      <c r="A6711" s="4" t="str">
        <f>HYPERLINK("http://www.rosaceae.org/Prunus/Prunus_persica/p.persica_gdr_reftransV1_0032043","p.persica_gdr_reftransV1_0032043")</f>
        <v>p.persica_gdr_reftransV1_0032043</v>
      </c>
      <c r="B6711" s="2">
        <v>1845</v>
      </c>
      <c r="C6711" s="4" t="str">
        <f>HYPERLINK("http://www.uniprot.org/uniprot/M5XGY6","M5XGY6")</f>
        <v>M5XGY6</v>
      </c>
      <c r="D6711" s="2" t="s">
        <v>6026</v>
      </c>
      <c r="E6711" s="3">
        <v>2.9199999999999999E-113</v>
      </c>
      <c r="F6711" s="2">
        <v>892</v>
      </c>
      <c r="G6711" s="2">
        <v>100</v>
      </c>
      <c r="H6711" s="2">
        <v>182</v>
      </c>
      <c r="I6711" s="2">
        <v>105</v>
      </c>
      <c r="J6711" s="2">
        <v>650</v>
      </c>
      <c r="K6711" s="2">
        <v>1</v>
      </c>
      <c r="L6711" s="2">
        <v>182</v>
      </c>
    </row>
    <row r="6712" spans="1:12" x14ac:dyDescent="0.25">
      <c r="A6712" s="4" t="str">
        <f>HYPERLINK("http://www.rosaceae.org/Prunus/Prunus_persica/p.persica_gdr_reftransV1_0034843","p.persica_gdr_reftransV1_0034843")</f>
        <v>p.persica_gdr_reftransV1_0034843</v>
      </c>
      <c r="B6712" s="2">
        <v>1523</v>
      </c>
      <c r="C6712" s="4" t="str">
        <f>HYPERLINK("http://www.uniprot.org/uniprot/M5VNU1","M5VNU1")</f>
        <v>M5VNU1</v>
      </c>
      <c r="D6712" s="2" t="s">
        <v>1408</v>
      </c>
      <c r="E6712" s="3">
        <v>0</v>
      </c>
      <c r="F6712" s="2">
        <v>2143</v>
      </c>
      <c r="G6712" s="2">
        <v>100</v>
      </c>
      <c r="H6712" s="2">
        <v>420</v>
      </c>
      <c r="I6712" s="2">
        <v>3</v>
      </c>
      <c r="J6712" s="2">
        <v>1262</v>
      </c>
      <c r="K6712" s="2">
        <v>152</v>
      </c>
      <c r="L6712" s="2">
        <v>571</v>
      </c>
    </row>
    <row r="6713" spans="1:12" x14ac:dyDescent="0.25">
      <c r="A6713" s="4" t="str">
        <f>HYPERLINK("http://www.rosaceae.org/Prunus/Prunus_persica/p.persica_gdr_reftransV1_0035543","p.persica_gdr_reftransV1_0035543")</f>
        <v>p.persica_gdr_reftransV1_0035543</v>
      </c>
      <c r="B6713" s="2">
        <v>1885</v>
      </c>
      <c r="C6713" s="4" t="str">
        <f>HYPERLINK("http://www.uniprot.org/uniprot/M5XBI8","M5XBI8")</f>
        <v>M5XBI8</v>
      </c>
      <c r="D6713" s="2" t="s">
        <v>6027</v>
      </c>
      <c r="E6713" s="3">
        <v>1.13E-125</v>
      </c>
      <c r="F6713" s="2">
        <v>994</v>
      </c>
      <c r="G6713" s="2">
        <v>100</v>
      </c>
      <c r="H6713" s="2">
        <v>199</v>
      </c>
      <c r="I6713" s="2">
        <v>1109</v>
      </c>
      <c r="J6713" s="2">
        <v>1705</v>
      </c>
      <c r="K6713" s="2">
        <v>1</v>
      </c>
      <c r="L6713" s="2">
        <v>199</v>
      </c>
    </row>
    <row r="6714" spans="1:12" x14ac:dyDescent="0.25">
      <c r="A6714" s="4" t="str">
        <f>HYPERLINK("http://www.rosaceae.org/Prunus/Prunus_persica/p.persica_gdr_reftransV1_0036593","p.persica_gdr_reftransV1_0036593")</f>
        <v>p.persica_gdr_reftransV1_0036593</v>
      </c>
      <c r="B6714" s="2">
        <v>1635</v>
      </c>
      <c r="C6714" s="4" t="str">
        <f>HYPERLINK("http://www.uniprot.org/uniprot/M5X1U0","M5X1U0")</f>
        <v>M5X1U0</v>
      </c>
      <c r="D6714" s="2" t="s">
        <v>6028</v>
      </c>
      <c r="E6714" s="3">
        <v>8.3199999999999997E-175</v>
      </c>
      <c r="F6714" s="2">
        <v>1302</v>
      </c>
      <c r="G6714" s="2">
        <v>93</v>
      </c>
      <c r="H6714" s="2">
        <v>268</v>
      </c>
      <c r="I6714" s="2">
        <v>355</v>
      </c>
      <c r="J6714" s="2">
        <v>1158</v>
      </c>
      <c r="K6714" s="2">
        <v>1</v>
      </c>
      <c r="L6714" s="2">
        <v>249</v>
      </c>
    </row>
    <row r="6715" spans="1:12" x14ac:dyDescent="0.25">
      <c r="A6715" s="4" t="str">
        <f>HYPERLINK("http://www.rosaceae.org/Prunus/Prunus_persica/p.persica_gdr_reftransV1_0036943","p.persica_gdr_reftransV1_0036943")</f>
        <v>p.persica_gdr_reftransV1_0036943</v>
      </c>
      <c r="B6715" s="2">
        <v>2460</v>
      </c>
      <c r="C6715" s="4" t="str">
        <f>HYPERLINK("http://www.uniprot.org/uniprot/M5XNX8","M5XNX8")</f>
        <v>M5XNX8</v>
      </c>
      <c r="D6715" s="2" t="s">
        <v>2628</v>
      </c>
      <c r="E6715" s="3">
        <v>3.2599999999999999E-59</v>
      </c>
      <c r="F6715" s="2">
        <v>540</v>
      </c>
      <c r="G6715" s="2">
        <v>100</v>
      </c>
      <c r="H6715" s="2">
        <v>107</v>
      </c>
      <c r="I6715" s="2">
        <v>796</v>
      </c>
      <c r="J6715" s="2">
        <v>1116</v>
      </c>
      <c r="K6715" s="2">
        <v>58</v>
      </c>
      <c r="L6715" s="2">
        <v>164</v>
      </c>
    </row>
    <row r="6716" spans="1:12" x14ac:dyDescent="0.25">
      <c r="A6716" s="4" t="str">
        <f>HYPERLINK("http://www.rosaceae.org/Prunus/Prunus_persica/p.persica_gdr_reftransV1_0040443","p.persica_gdr_reftransV1_0040443")</f>
        <v>p.persica_gdr_reftransV1_0040443</v>
      </c>
      <c r="B6716" s="2">
        <v>805</v>
      </c>
      <c r="C6716" s="4" t="str">
        <f>HYPERLINK("http://www.uniprot.org/uniprot/M5WTH5","M5WTH5")</f>
        <v>M5WTH5</v>
      </c>
      <c r="D6716" s="2" t="s">
        <v>6029</v>
      </c>
      <c r="E6716" s="3">
        <v>1.8299999999999999E-63</v>
      </c>
      <c r="F6716" s="2">
        <v>525</v>
      </c>
      <c r="G6716" s="2">
        <v>99</v>
      </c>
      <c r="H6716" s="2">
        <v>127</v>
      </c>
      <c r="I6716" s="2">
        <v>274</v>
      </c>
      <c r="J6716" s="2">
        <v>654</v>
      </c>
      <c r="K6716" s="2">
        <v>1</v>
      </c>
      <c r="L6716" s="2">
        <v>127</v>
      </c>
    </row>
    <row r="6717" spans="1:12" x14ac:dyDescent="0.25">
      <c r="A6717" s="4" t="str">
        <f>HYPERLINK("http://www.rosaceae.org/Prunus/Prunus_persica/p.persica_gdr_reftransV1_0040793","p.persica_gdr_reftransV1_0040793")</f>
        <v>p.persica_gdr_reftransV1_0040793</v>
      </c>
      <c r="B6717" s="2">
        <v>2012</v>
      </c>
      <c r="C6717" s="4" t="str">
        <f>HYPERLINK("http://www.uniprot.org/uniprot/M5X4W8","M5X4W8")</f>
        <v>M5X4W8</v>
      </c>
      <c r="D6717" s="2" t="s">
        <v>6030</v>
      </c>
      <c r="E6717" s="3">
        <v>1.55E-178</v>
      </c>
      <c r="F6717" s="2">
        <v>1359</v>
      </c>
      <c r="G6717" s="2">
        <v>94</v>
      </c>
      <c r="H6717" s="2">
        <v>453</v>
      </c>
      <c r="I6717" s="2">
        <v>654</v>
      </c>
      <c r="J6717" s="2">
        <v>2012</v>
      </c>
      <c r="K6717" s="2">
        <v>17</v>
      </c>
      <c r="L6717" s="2">
        <v>447</v>
      </c>
    </row>
    <row r="6718" spans="1:12" x14ac:dyDescent="0.25">
      <c r="A6718" s="4" t="str">
        <f>HYPERLINK("http://www.rosaceae.org/Prunus/Prunus_persica/p.persica_gdr_reftransV1_0043243","p.persica_gdr_reftransV1_0043243")</f>
        <v>p.persica_gdr_reftransV1_0043243</v>
      </c>
      <c r="B6718" s="2">
        <v>1047</v>
      </c>
      <c r="C6718" s="4" t="str">
        <f>HYPERLINK("http://www.uniprot.org/uniprot/M5WW44","M5WW44")</f>
        <v>M5WW44</v>
      </c>
      <c r="D6718" s="2" t="s">
        <v>760</v>
      </c>
      <c r="E6718" s="3">
        <v>2.6000000000000001E-88</v>
      </c>
      <c r="F6718" s="2">
        <v>746</v>
      </c>
      <c r="G6718" s="2">
        <v>99</v>
      </c>
      <c r="H6718" s="2">
        <v>136</v>
      </c>
      <c r="I6718" s="2">
        <v>2</v>
      </c>
      <c r="J6718" s="2">
        <v>409</v>
      </c>
      <c r="K6718" s="2">
        <v>410</v>
      </c>
      <c r="L6718" s="2">
        <v>545</v>
      </c>
    </row>
    <row r="6719" spans="1:12" x14ac:dyDescent="0.25">
      <c r="A6719" s="4" t="str">
        <f>HYPERLINK("http://www.rosaceae.org/Prunus/Prunus_persica/p.persica_gdr_reftransV1_0043593","p.persica_gdr_reftransV1_0043593")</f>
        <v>p.persica_gdr_reftransV1_0043593</v>
      </c>
      <c r="B6719" s="2">
        <v>928</v>
      </c>
      <c r="C6719" s="4" t="str">
        <f>HYPERLINK("http://www.uniprot.org/uniprot/M5W7W0","M5W7W0")</f>
        <v>M5W7W0</v>
      </c>
      <c r="D6719" s="2" t="s">
        <v>6031</v>
      </c>
      <c r="E6719" s="3">
        <v>2.08E-150</v>
      </c>
      <c r="F6719" s="2">
        <v>1114</v>
      </c>
      <c r="G6719" s="2">
        <v>100</v>
      </c>
      <c r="H6719" s="2">
        <v>231</v>
      </c>
      <c r="I6719" s="2">
        <v>196</v>
      </c>
      <c r="J6719" s="2">
        <v>888</v>
      </c>
      <c r="K6719" s="2">
        <v>1</v>
      </c>
      <c r="L6719" s="2">
        <v>231</v>
      </c>
    </row>
    <row r="6720" spans="1:12" x14ac:dyDescent="0.25">
      <c r="A6720" s="4" t="str">
        <f>HYPERLINK("http://www.rosaceae.org/Prunus/Prunus_persica/p.persica_gdr_reftransV1_0043943","p.persica_gdr_reftransV1_0043943")</f>
        <v>p.persica_gdr_reftransV1_0043943</v>
      </c>
      <c r="B6720" s="2">
        <v>1260</v>
      </c>
      <c r="C6720" s="4" t="str">
        <f>HYPERLINK("http://www.uniprot.org/uniprot/M5XZM7","M5XZM7")</f>
        <v>M5XZM7</v>
      </c>
      <c r="D6720" s="2" t="s">
        <v>3876</v>
      </c>
      <c r="E6720" s="3">
        <v>2.6E-90</v>
      </c>
      <c r="F6720" s="2">
        <v>722</v>
      </c>
      <c r="G6720" s="2">
        <v>90</v>
      </c>
      <c r="H6720" s="2">
        <v>177</v>
      </c>
      <c r="I6720" s="2">
        <v>239</v>
      </c>
      <c r="J6720" s="2">
        <v>760</v>
      </c>
      <c r="K6720" s="2">
        <v>1</v>
      </c>
      <c r="L6720" s="2">
        <v>177</v>
      </c>
    </row>
    <row r="6721" spans="1:12" x14ac:dyDescent="0.25">
      <c r="A6721" s="4" t="str">
        <f>HYPERLINK("http://www.rosaceae.org/Prunus/Prunus_persica/p.persica_gdr_reftransV1_0044643","p.persica_gdr_reftransV1_0044643")</f>
        <v>p.persica_gdr_reftransV1_0044643</v>
      </c>
      <c r="B6721" s="2">
        <v>388</v>
      </c>
      <c r="C6721" s="4" t="str">
        <f>HYPERLINK("http://www.uniprot.org/uniprot/M5W834","M5W834")</f>
        <v>M5W834</v>
      </c>
      <c r="D6721" s="2" t="s">
        <v>6032</v>
      </c>
      <c r="E6721" s="3">
        <v>4.2199999999999999E-84</v>
      </c>
      <c r="F6721" s="2">
        <v>680</v>
      </c>
      <c r="G6721" s="2">
        <v>100</v>
      </c>
      <c r="H6721" s="2">
        <v>129</v>
      </c>
      <c r="I6721" s="2">
        <v>1</v>
      </c>
      <c r="J6721" s="2">
        <v>387</v>
      </c>
      <c r="K6721" s="2">
        <v>1</v>
      </c>
      <c r="L6721" s="2">
        <v>129</v>
      </c>
    </row>
    <row r="6722" spans="1:12" x14ac:dyDescent="0.25">
      <c r="A6722" s="4" t="str">
        <f>HYPERLINK("http://www.rosaceae.org/Prunus/Prunus_persica/p.persica_gdr_reftransV1_0044993","p.persica_gdr_reftransV1_0044993")</f>
        <v>p.persica_gdr_reftransV1_0044993</v>
      </c>
      <c r="B6722" s="2">
        <v>794</v>
      </c>
      <c r="C6722" s="4" t="str">
        <f>HYPERLINK("http://www.uniprot.org/uniprot/M5Y9M4","M5Y9M4")</f>
        <v>M5Y9M4</v>
      </c>
      <c r="D6722" s="2" t="s">
        <v>6033</v>
      </c>
      <c r="E6722" s="3">
        <v>2.5600000000000001E-137</v>
      </c>
      <c r="F6722" s="2">
        <v>1025</v>
      </c>
      <c r="G6722" s="2">
        <v>100</v>
      </c>
      <c r="H6722" s="2">
        <v>253</v>
      </c>
      <c r="I6722" s="2">
        <v>27</v>
      </c>
      <c r="J6722" s="2">
        <v>785</v>
      </c>
      <c r="K6722" s="2">
        <v>1</v>
      </c>
      <c r="L6722" s="2">
        <v>253</v>
      </c>
    </row>
    <row r="6723" spans="1:12" x14ac:dyDescent="0.25">
      <c r="A6723" s="4" t="str">
        <f>HYPERLINK("http://www.rosaceae.org/Prunus/Prunus_persica/p.persica_gdr_reftransV1_0045343","p.persica_gdr_reftransV1_0045343")</f>
        <v>p.persica_gdr_reftransV1_0045343</v>
      </c>
      <c r="B6723" s="2">
        <v>484</v>
      </c>
      <c r="C6723" s="4" t="str">
        <f>HYPERLINK("http://www.uniprot.org/uniprot/M4QFW7","M4QFW7")</f>
        <v>M4QFW7</v>
      </c>
      <c r="D6723" s="2" t="s">
        <v>2751</v>
      </c>
      <c r="E6723" s="3">
        <v>1.6400000000000001E-59</v>
      </c>
      <c r="F6723" s="2">
        <v>498</v>
      </c>
      <c r="G6723" s="2">
        <v>100</v>
      </c>
      <c r="H6723" s="2">
        <v>98</v>
      </c>
      <c r="I6723" s="2">
        <v>42</v>
      </c>
      <c r="J6723" s="2">
        <v>335</v>
      </c>
      <c r="K6723" s="2">
        <v>1</v>
      </c>
      <c r="L6723" s="2">
        <v>98</v>
      </c>
    </row>
    <row r="6724" spans="1:12" x14ac:dyDescent="0.25">
      <c r="A6724" s="4" t="str">
        <f>HYPERLINK("http://www.rosaceae.org/Prunus/Prunus_persica/p.persica_gdr_reftransV1_0045693","p.persica_gdr_reftransV1_0045693")</f>
        <v>p.persica_gdr_reftransV1_0045693</v>
      </c>
      <c r="B6724" s="2">
        <v>1038</v>
      </c>
      <c r="C6724" s="4" t="str">
        <f>HYPERLINK("http://www.uniprot.org/uniprot/M5XYQ1","M5XYQ1")</f>
        <v>M5XYQ1</v>
      </c>
      <c r="D6724" s="2" t="s">
        <v>6034</v>
      </c>
      <c r="E6724" s="3">
        <v>1.9800000000000002E-123</v>
      </c>
      <c r="F6724" s="2">
        <v>945</v>
      </c>
      <c r="G6724" s="2">
        <v>100</v>
      </c>
      <c r="H6724" s="2">
        <v>203</v>
      </c>
      <c r="I6724" s="2">
        <v>155</v>
      </c>
      <c r="J6724" s="2">
        <v>763</v>
      </c>
      <c r="K6724" s="2">
        <v>36</v>
      </c>
      <c r="L6724" s="2">
        <v>238</v>
      </c>
    </row>
    <row r="6725" spans="1:12" x14ac:dyDescent="0.25">
      <c r="A6725" s="4" t="str">
        <f>HYPERLINK("http://www.rosaceae.org/Prunus/Prunus_persica/p.persica_gdr_reftransV1_0046043","p.persica_gdr_reftransV1_0046043")</f>
        <v>p.persica_gdr_reftransV1_0046043</v>
      </c>
      <c r="B6725" s="2">
        <v>518</v>
      </c>
      <c r="C6725" s="4" t="str">
        <f>HYPERLINK("http://www.uniprot.org/uniprot/M5XG93","M5XG93")</f>
        <v>M5XG93</v>
      </c>
      <c r="D6725" s="2" t="s">
        <v>6035</v>
      </c>
      <c r="E6725" s="3">
        <v>6.9300000000000003E-94</v>
      </c>
      <c r="F6725" s="2">
        <v>725</v>
      </c>
      <c r="G6725" s="2">
        <v>99</v>
      </c>
      <c r="H6725" s="2">
        <v>136</v>
      </c>
      <c r="I6725" s="2">
        <v>13</v>
      </c>
      <c r="J6725" s="2">
        <v>420</v>
      </c>
      <c r="K6725" s="2">
        <v>1</v>
      </c>
      <c r="L6725" s="2">
        <v>136</v>
      </c>
    </row>
    <row r="6726" spans="1:12" x14ac:dyDescent="0.25">
      <c r="A6726" s="4" t="str">
        <f>HYPERLINK("http://www.rosaceae.org/Prunus/Prunus_persica/p.persica_gdr_reftransV1_0046393","p.persica_gdr_reftransV1_0046393")</f>
        <v>p.persica_gdr_reftransV1_0046393</v>
      </c>
      <c r="B6726" s="2">
        <v>4003</v>
      </c>
      <c r="C6726" s="4" t="str">
        <f>HYPERLINK("http://www.uniprot.org/uniprot/M5W283","M5W283")</f>
        <v>M5W283</v>
      </c>
      <c r="D6726" s="2" t="s">
        <v>219</v>
      </c>
      <c r="E6726" s="3">
        <v>0</v>
      </c>
      <c r="F6726" s="2">
        <v>5418</v>
      </c>
      <c r="G6726" s="2">
        <v>98</v>
      </c>
      <c r="H6726" s="2">
        <v>1204</v>
      </c>
      <c r="I6726" s="2">
        <v>135</v>
      </c>
      <c r="J6726" s="2">
        <v>3746</v>
      </c>
      <c r="K6726" s="2">
        <v>1</v>
      </c>
      <c r="L6726" s="2">
        <v>1189</v>
      </c>
    </row>
    <row r="6727" spans="1:12" x14ac:dyDescent="0.25">
      <c r="A6727" s="4" t="str">
        <f>HYPERLINK("http://www.rosaceae.org/Prunus/Prunus_persica/p.persica_gdr_reftransV1_0046743","p.persica_gdr_reftransV1_0046743")</f>
        <v>p.persica_gdr_reftransV1_0046743</v>
      </c>
      <c r="B6727" s="2">
        <v>325</v>
      </c>
      <c r="C6727" s="4" t="str">
        <f>HYPERLINK("http://www.uniprot.org/uniprot/M5VZA4","M5VZA4")</f>
        <v>M5VZA4</v>
      </c>
      <c r="D6727" s="2" t="s">
        <v>6036</v>
      </c>
      <c r="E6727" s="3">
        <v>5.5400000000000003E-61</v>
      </c>
      <c r="F6727" s="2">
        <v>516</v>
      </c>
      <c r="G6727" s="2">
        <v>100</v>
      </c>
      <c r="H6727" s="2">
        <v>107</v>
      </c>
      <c r="I6727" s="2">
        <v>3</v>
      </c>
      <c r="J6727" s="2">
        <v>323</v>
      </c>
      <c r="K6727" s="2">
        <v>85</v>
      </c>
      <c r="L6727" s="2">
        <v>191</v>
      </c>
    </row>
    <row r="6728" spans="1:12" x14ac:dyDescent="0.25">
      <c r="A6728" s="4" t="str">
        <f>HYPERLINK("http://www.rosaceae.org/Prunus/Prunus_persica/p.persica_gdr_reftransV1_0047093","p.persica_gdr_reftransV1_0047093")</f>
        <v>p.persica_gdr_reftransV1_0047093</v>
      </c>
      <c r="B6728" s="2">
        <v>575</v>
      </c>
      <c r="C6728" s="4" t="str">
        <f>HYPERLINK("http://www.uniprot.org/uniprot/M5XZQ6","M5XZQ6")</f>
        <v>M5XZQ6</v>
      </c>
      <c r="D6728" s="2" t="s">
        <v>6037</v>
      </c>
      <c r="E6728" s="3">
        <v>3.7000000000000002E-66</v>
      </c>
      <c r="F6728" s="2">
        <v>580</v>
      </c>
      <c r="G6728" s="2">
        <v>79</v>
      </c>
      <c r="H6728" s="2">
        <v>156</v>
      </c>
      <c r="I6728" s="2">
        <v>116</v>
      </c>
      <c r="J6728" s="2">
        <v>574</v>
      </c>
      <c r="K6728" s="2">
        <v>17</v>
      </c>
      <c r="L6728" s="2">
        <v>169</v>
      </c>
    </row>
    <row r="6729" spans="1:12" x14ac:dyDescent="0.25">
      <c r="A6729" s="4" t="str">
        <f>HYPERLINK("http://www.rosaceae.org/Prunus/Prunus_persica/p.persica_gdr_reftransV1_0047443","p.persica_gdr_reftransV1_0047443")</f>
        <v>p.persica_gdr_reftransV1_0047443</v>
      </c>
      <c r="B6729" s="2">
        <v>2078</v>
      </c>
      <c r="C6729" s="4" t="str">
        <f>HYPERLINK("http://www.uniprot.org/uniprot/M5XGJ0","M5XGJ0")</f>
        <v>M5XGJ0</v>
      </c>
      <c r="D6729" s="2" t="s">
        <v>2583</v>
      </c>
      <c r="E6729" s="3">
        <v>0</v>
      </c>
      <c r="F6729" s="2">
        <v>3018</v>
      </c>
      <c r="G6729" s="2">
        <v>100</v>
      </c>
      <c r="H6729" s="2">
        <v>586</v>
      </c>
      <c r="I6729" s="2">
        <v>321</v>
      </c>
      <c r="J6729" s="2">
        <v>2078</v>
      </c>
      <c r="K6729" s="2">
        <v>40</v>
      </c>
      <c r="L6729" s="2">
        <v>625</v>
      </c>
    </row>
    <row r="6730" spans="1:12" x14ac:dyDescent="0.25">
      <c r="A6730" s="4" t="str">
        <f>HYPERLINK("http://www.rosaceae.org/Prunus/Prunus_persica/p.persica_gdr_reftransV1_0048143","p.persica_gdr_reftransV1_0048143")</f>
        <v>p.persica_gdr_reftransV1_0048143</v>
      </c>
      <c r="B6730" s="2">
        <v>1114</v>
      </c>
      <c r="C6730" s="4" t="str">
        <f>HYPERLINK("http://www.uniprot.org/uniprot/M5WVG1","M5WVG1")</f>
        <v>M5WVG1</v>
      </c>
      <c r="D6730" s="2" t="s">
        <v>6038</v>
      </c>
      <c r="E6730" s="3">
        <v>3.8700000000000002E-122</v>
      </c>
      <c r="F6730" s="2">
        <v>933</v>
      </c>
      <c r="G6730" s="2">
        <v>98</v>
      </c>
      <c r="H6730" s="2">
        <v>178</v>
      </c>
      <c r="I6730" s="2">
        <v>320</v>
      </c>
      <c r="J6730" s="2">
        <v>853</v>
      </c>
      <c r="K6730" s="2">
        <v>45</v>
      </c>
      <c r="L6730" s="2">
        <v>222</v>
      </c>
    </row>
    <row r="6731" spans="1:12" x14ac:dyDescent="0.25">
      <c r="A6731" s="4" t="str">
        <f>HYPERLINK("http://www.rosaceae.org/Prunus/Prunus_persica/p.persica_gdr_reftransV1_0048493","p.persica_gdr_reftransV1_0048493")</f>
        <v>p.persica_gdr_reftransV1_0048493</v>
      </c>
      <c r="B6731" s="2">
        <v>1329</v>
      </c>
      <c r="C6731" s="4" t="str">
        <f>HYPERLINK("http://www.uniprot.org/uniprot/M5VKW7","M5VKW7")</f>
        <v>M5VKW7</v>
      </c>
      <c r="D6731" s="2" t="s">
        <v>6039</v>
      </c>
      <c r="E6731" s="3">
        <v>1.78E-173</v>
      </c>
      <c r="F6731" s="2">
        <v>1283</v>
      </c>
      <c r="G6731" s="2">
        <v>100</v>
      </c>
      <c r="H6731" s="2">
        <v>261</v>
      </c>
      <c r="I6731" s="2">
        <v>176</v>
      </c>
      <c r="J6731" s="2">
        <v>958</v>
      </c>
      <c r="K6731" s="2">
        <v>1</v>
      </c>
      <c r="L6731" s="2">
        <v>261</v>
      </c>
    </row>
    <row r="6732" spans="1:12" x14ac:dyDescent="0.25">
      <c r="A6732" s="4" t="str">
        <f>HYPERLINK("http://www.rosaceae.org/Prunus/Prunus_persica/p.persica_gdr_reftransV1_0048843","p.persica_gdr_reftransV1_0048843")</f>
        <v>p.persica_gdr_reftransV1_0048843</v>
      </c>
      <c r="B6732" s="2">
        <v>2256</v>
      </c>
      <c r="C6732" s="4" t="str">
        <f>HYPERLINK("http://www.uniprot.org/uniprot/M5XCR0","M5XCR0")</f>
        <v>M5XCR0</v>
      </c>
      <c r="D6732" s="2" t="s">
        <v>6040</v>
      </c>
      <c r="E6732" s="3">
        <v>0</v>
      </c>
      <c r="F6732" s="2">
        <v>2656</v>
      </c>
      <c r="G6732" s="2">
        <v>100</v>
      </c>
      <c r="H6732" s="2">
        <v>528</v>
      </c>
      <c r="I6732" s="2">
        <v>301</v>
      </c>
      <c r="J6732" s="2">
        <v>1884</v>
      </c>
      <c r="K6732" s="2">
        <v>1</v>
      </c>
      <c r="L6732" s="2">
        <v>528</v>
      </c>
    </row>
    <row r="6733" spans="1:12" x14ac:dyDescent="0.25">
      <c r="A6733" s="4" t="str">
        <f>HYPERLINK("http://www.rosaceae.org/Prunus/Prunus_persica/p.persica_gdr_reftransV1_0049193","p.persica_gdr_reftransV1_0049193")</f>
        <v>p.persica_gdr_reftransV1_0049193</v>
      </c>
      <c r="B6733" s="2">
        <v>1192</v>
      </c>
      <c r="C6733" s="4" t="str">
        <f>HYPERLINK("http://www.uniprot.org/uniprot/M5WE45","M5WE45")</f>
        <v>M5WE45</v>
      </c>
      <c r="D6733" s="2" t="s">
        <v>5517</v>
      </c>
      <c r="E6733" s="3">
        <v>0</v>
      </c>
      <c r="F6733" s="2">
        <v>1985</v>
      </c>
      <c r="G6733" s="2">
        <v>100</v>
      </c>
      <c r="H6733" s="2">
        <v>396</v>
      </c>
      <c r="I6733" s="2">
        <v>3</v>
      </c>
      <c r="J6733" s="2">
        <v>1190</v>
      </c>
      <c r="K6733" s="2">
        <v>209</v>
      </c>
      <c r="L6733" s="2">
        <v>604</v>
      </c>
    </row>
    <row r="6734" spans="1:12" x14ac:dyDescent="0.25">
      <c r="A6734" s="4" t="str">
        <f>HYPERLINK("http://www.rosaceae.org/Prunus/Prunus_persica/p.persica_gdr_reftransV1_0000544","p.persica_gdr_reftransV1_0000544")</f>
        <v>p.persica_gdr_reftransV1_0000544</v>
      </c>
      <c r="B6734" s="2">
        <v>1770</v>
      </c>
      <c r="C6734" s="4" t="str">
        <f>HYPERLINK("http://www.uniprot.org/uniprot/M5WJE7","M5WJE7")</f>
        <v>M5WJE7</v>
      </c>
      <c r="D6734" s="2" t="s">
        <v>6041</v>
      </c>
      <c r="E6734" s="3">
        <v>3.02E-140</v>
      </c>
      <c r="F6734" s="2">
        <v>1078</v>
      </c>
      <c r="G6734" s="2">
        <v>100</v>
      </c>
      <c r="H6734" s="2">
        <v>265</v>
      </c>
      <c r="I6734" s="2">
        <v>870</v>
      </c>
      <c r="J6734" s="2">
        <v>1664</v>
      </c>
      <c r="K6734" s="2">
        <v>1</v>
      </c>
      <c r="L6734" s="2">
        <v>265</v>
      </c>
    </row>
    <row r="6735" spans="1:12" x14ac:dyDescent="0.25">
      <c r="A6735" s="4" t="str">
        <f>HYPERLINK("http://www.rosaceae.org/Prunus/Prunus_persica/p.persica_gdr_reftransV1_0001244","p.persica_gdr_reftransV1_0001244")</f>
        <v>p.persica_gdr_reftransV1_0001244</v>
      </c>
      <c r="B6735" s="2">
        <v>1483</v>
      </c>
      <c r="C6735" s="4" t="str">
        <f>HYPERLINK("http://www.uniprot.org/uniprot/M5WQN9","M5WQN9")</f>
        <v>M5WQN9</v>
      </c>
      <c r="D6735" s="2" t="s">
        <v>6042</v>
      </c>
      <c r="E6735" s="3">
        <v>0</v>
      </c>
      <c r="F6735" s="2">
        <v>2109</v>
      </c>
      <c r="G6735" s="2">
        <v>93</v>
      </c>
      <c r="H6735" s="2">
        <v>427</v>
      </c>
      <c r="I6735" s="2">
        <v>53</v>
      </c>
      <c r="J6735" s="2">
        <v>1327</v>
      </c>
      <c r="K6735" s="2">
        <v>37</v>
      </c>
      <c r="L6735" s="2">
        <v>463</v>
      </c>
    </row>
    <row r="6736" spans="1:12" x14ac:dyDescent="0.25">
      <c r="A6736" s="4" t="str">
        <f>HYPERLINK("http://www.rosaceae.org/Prunus/Prunus_persica/p.persica_gdr_reftransV1_0002294","p.persica_gdr_reftransV1_0002294")</f>
        <v>p.persica_gdr_reftransV1_0002294</v>
      </c>
      <c r="B6736" s="2">
        <v>2070</v>
      </c>
      <c r="C6736" s="4" t="str">
        <f>HYPERLINK("http://www.uniprot.org/uniprot/M5VYR8","M5VYR8")</f>
        <v>M5VYR8</v>
      </c>
      <c r="D6736" s="2" t="s">
        <v>6043</v>
      </c>
      <c r="E6736" s="3">
        <v>0</v>
      </c>
      <c r="F6736" s="2">
        <v>1918</v>
      </c>
      <c r="G6736" s="2">
        <v>100</v>
      </c>
      <c r="H6736" s="2">
        <v>366</v>
      </c>
      <c r="I6736" s="2">
        <v>636</v>
      </c>
      <c r="J6736" s="2">
        <v>1733</v>
      </c>
      <c r="K6736" s="2">
        <v>1</v>
      </c>
      <c r="L6736" s="2">
        <v>366</v>
      </c>
    </row>
    <row r="6737" spans="1:12" x14ac:dyDescent="0.25">
      <c r="A6737" s="4" t="str">
        <f>HYPERLINK("http://www.rosaceae.org/Prunus/Prunus_persica/p.persica_gdr_reftransV1_0002644","p.persica_gdr_reftransV1_0002644")</f>
        <v>p.persica_gdr_reftransV1_0002644</v>
      </c>
      <c r="B6737" s="2">
        <v>405</v>
      </c>
      <c r="C6737" s="4" t="str">
        <f>HYPERLINK("http://www.uniprot.org/uniprot/A0A0D2SG12","A0A0D2SG12")</f>
        <v>A0A0D2SG12</v>
      </c>
      <c r="D6737" s="2" t="s">
        <v>6044</v>
      </c>
      <c r="E6737" s="3">
        <v>1.41E-37</v>
      </c>
      <c r="F6737" s="2">
        <v>352</v>
      </c>
      <c r="G6737" s="2">
        <v>70</v>
      </c>
      <c r="H6737" s="2">
        <v>87</v>
      </c>
      <c r="I6737" s="2">
        <v>116</v>
      </c>
      <c r="J6737" s="2">
        <v>376</v>
      </c>
      <c r="K6737" s="2">
        <v>43</v>
      </c>
      <c r="L6737" s="2">
        <v>129</v>
      </c>
    </row>
    <row r="6738" spans="1:12" x14ac:dyDescent="0.25">
      <c r="A6738" s="4" t="str">
        <f>HYPERLINK("http://www.rosaceae.org/Prunus/Prunus_persica/p.persica_gdr_reftransV1_0002994","p.persica_gdr_reftransV1_0002994")</f>
        <v>p.persica_gdr_reftransV1_0002994</v>
      </c>
      <c r="B6738" s="2">
        <v>591</v>
      </c>
      <c r="C6738" s="4" t="str">
        <f>HYPERLINK("http://www.uniprot.org/uniprot/M5WJU4","M5WJU4")</f>
        <v>M5WJU4</v>
      </c>
      <c r="D6738" s="2" t="s">
        <v>6045</v>
      </c>
      <c r="E6738" s="3">
        <v>2.7600000000000001E-57</v>
      </c>
      <c r="F6738" s="2">
        <v>476</v>
      </c>
      <c r="G6738" s="2">
        <v>100</v>
      </c>
      <c r="H6738" s="2">
        <v>122</v>
      </c>
      <c r="I6738" s="2">
        <v>136</v>
      </c>
      <c r="J6738" s="2">
        <v>501</v>
      </c>
      <c r="K6738" s="2">
        <v>1</v>
      </c>
      <c r="L6738" s="2">
        <v>122</v>
      </c>
    </row>
    <row r="6739" spans="1:12" x14ac:dyDescent="0.25">
      <c r="A6739" s="4" t="str">
        <f>HYPERLINK("http://www.rosaceae.org/Prunus/Prunus_persica/p.persica_gdr_reftransV1_0003344","p.persica_gdr_reftransV1_0003344")</f>
        <v>p.persica_gdr_reftransV1_0003344</v>
      </c>
      <c r="B6739" s="2">
        <v>1585</v>
      </c>
      <c r="C6739" s="4" t="str">
        <f>HYPERLINK("http://www.uniprot.org/uniprot/M5X362","M5X362")</f>
        <v>M5X362</v>
      </c>
      <c r="D6739" s="2" t="s">
        <v>6046</v>
      </c>
      <c r="E6739" s="3">
        <v>1.59E-137</v>
      </c>
      <c r="F6739" s="2">
        <v>792</v>
      </c>
      <c r="G6739" s="2">
        <v>99</v>
      </c>
      <c r="H6739" s="2">
        <v>165</v>
      </c>
      <c r="I6739" s="2">
        <v>637</v>
      </c>
      <c r="J6739" s="2">
        <v>1131</v>
      </c>
      <c r="K6739" s="2">
        <v>139</v>
      </c>
      <c r="L6739" s="2">
        <v>303</v>
      </c>
    </row>
    <row r="6740" spans="1:12" x14ac:dyDescent="0.25">
      <c r="A6740" s="4" t="str">
        <f>HYPERLINK("http://www.rosaceae.org/Prunus/Prunus_persica/p.persica_gdr_reftransV1_0003694","p.persica_gdr_reftransV1_0003694")</f>
        <v>p.persica_gdr_reftransV1_0003694</v>
      </c>
      <c r="B6740" s="2">
        <v>1208</v>
      </c>
      <c r="C6740" s="4" t="str">
        <f>HYPERLINK("http://www.uniprot.org/uniprot/M5W325","M5W325")</f>
        <v>M5W325</v>
      </c>
      <c r="D6740" s="2" t="s">
        <v>5322</v>
      </c>
      <c r="E6740" s="3">
        <v>0</v>
      </c>
      <c r="F6740" s="2">
        <v>1341</v>
      </c>
      <c r="G6740" s="2">
        <v>100</v>
      </c>
      <c r="H6740" s="2">
        <v>253</v>
      </c>
      <c r="I6740" s="2">
        <v>325</v>
      </c>
      <c r="J6740" s="2">
        <v>1083</v>
      </c>
      <c r="K6740" s="2">
        <v>1</v>
      </c>
      <c r="L6740" s="2">
        <v>253</v>
      </c>
    </row>
    <row r="6741" spans="1:12" x14ac:dyDescent="0.25">
      <c r="A6741" s="4" t="str">
        <f>HYPERLINK("http://www.rosaceae.org/Prunus/Prunus_persica/p.persica_gdr_reftransV1_0004044","p.persica_gdr_reftransV1_0004044")</f>
        <v>p.persica_gdr_reftransV1_0004044</v>
      </c>
      <c r="B6741" s="2">
        <v>1975</v>
      </c>
      <c r="C6741" s="4" t="str">
        <f>HYPERLINK("http://www.uniprot.org/uniprot/M5WHG4","M5WHG4")</f>
        <v>M5WHG4</v>
      </c>
      <c r="D6741" s="2" t="s">
        <v>6047</v>
      </c>
      <c r="E6741" s="3">
        <v>0</v>
      </c>
      <c r="F6741" s="2">
        <v>2610</v>
      </c>
      <c r="G6741" s="2">
        <v>100</v>
      </c>
      <c r="H6741" s="2">
        <v>546</v>
      </c>
      <c r="I6741" s="2">
        <v>124</v>
      </c>
      <c r="J6741" s="2">
        <v>1761</v>
      </c>
      <c r="K6741" s="2">
        <v>1</v>
      </c>
      <c r="L6741" s="2">
        <v>546</v>
      </c>
    </row>
    <row r="6742" spans="1:12" x14ac:dyDescent="0.25">
      <c r="A6742" s="4" t="str">
        <f>HYPERLINK("http://www.rosaceae.org/Prunus/Prunus_persica/p.persica_gdr_reftransV1_0004394","p.persica_gdr_reftransV1_0004394")</f>
        <v>p.persica_gdr_reftransV1_0004394</v>
      </c>
      <c r="B6742" s="2">
        <v>2372</v>
      </c>
      <c r="C6742" s="4" t="str">
        <f>HYPERLINK("http://www.uniprot.org/uniprot/M5WFX8","M5WFX8")</f>
        <v>M5WFX8</v>
      </c>
      <c r="D6742" s="2" t="s">
        <v>6048</v>
      </c>
      <c r="E6742" s="3">
        <v>0</v>
      </c>
      <c r="F6742" s="2">
        <v>2398</v>
      </c>
      <c r="G6742" s="2">
        <v>100</v>
      </c>
      <c r="H6742" s="2">
        <v>464</v>
      </c>
      <c r="I6742" s="2">
        <v>293</v>
      </c>
      <c r="J6742" s="2">
        <v>1684</v>
      </c>
      <c r="K6742" s="2">
        <v>1</v>
      </c>
      <c r="L6742" s="2">
        <v>464</v>
      </c>
    </row>
    <row r="6743" spans="1:12" x14ac:dyDescent="0.25">
      <c r="A6743" s="4" t="str">
        <f>HYPERLINK("http://www.rosaceae.org/Prunus/Prunus_persica/p.persica_gdr_reftransV1_0005094","p.persica_gdr_reftransV1_0005094")</f>
        <v>p.persica_gdr_reftransV1_0005094</v>
      </c>
      <c r="B6743" s="2">
        <v>986</v>
      </c>
      <c r="C6743" s="4" t="str">
        <f>HYPERLINK("http://www.uniprot.org/uniprot/M5XPN8","M5XPN8")</f>
        <v>M5XPN8</v>
      </c>
      <c r="D6743" s="2" t="s">
        <v>6049</v>
      </c>
      <c r="E6743" s="3">
        <v>1.3900000000000001E-107</v>
      </c>
      <c r="F6743" s="2">
        <v>827</v>
      </c>
      <c r="G6743" s="2">
        <v>100</v>
      </c>
      <c r="H6743" s="2">
        <v>166</v>
      </c>
      <c r="I6743" s="2">
        <v>428</v>
      </c>
      <c r="J6743" s="2">
        <v>925</v>
      </c>
      <c r="K6743" s="2">
        <v>1</v>
      </c>
      <c r="L6743" s="2">
        <v>166</v>
      </c>
    </row>
    <row r="6744" spans="1:12" x14ac:dyDescent="0.25">
      <c r="A6744" s="4" t="str">
        <f>HYPERLINK("http://www.rosaceae.org/Prunus/Prunus_persica/p.persica_gdr_reftransV1_0005444","p.persica_gdr_reftransV1_0005444")</f>
        <v>p.persica_gdr_reftransV1_0005444</v>
      </c>
      <c r="B6744" s="2">
        <v>1999</v>
      </c>
      <c r="C6744" s="4" t="str">
        <f>HYPERLINK("http://www.uniprot.org/uniprot/M5WBZ5","M5WBZ5")</f>
        <v>M5WBZ5</v>
      </c>
      <c r="D6744" s="2" t="s">
        <v>6050</v>
      </c>
      <c r="E6744" s="3">
        <v>0</v>
      </c>
      <c r="F6744" s="2">
        <v>1677</v>
      </c>
      <c r="G6744" s="2">
        <v>100</v>
      </c>
      <c r="H6744" s="2">
        <v>315</v>
      </c>
      <c r="I6744" s="2">
        <v>414</v>
      </c>
      <c r="J6744" s="2">
        <v>1358</v>
      </c>
      <c r="K6744" s="2">
        <v>1</v>
      </c>
      <c r="L6744" s="2">
        <v>315</v>
      </c>
    </row>
    <row r="6745" spans="1:12" x14ac:dyDescent="0.25">
      <c r="A6745" s="4" t="str">
        <f>HYPERLINK("http://www.rosaceae.org/Prunus/Prunus_persica/p.persica_gdr_reftransV1_0007194","p.persica_gdr_reftransV1_0007194")</f>
        <v>p.persica_gdr_reftransV1_0007194</v>
      </c>
      <c r="B6745" s="2">
        <v>2365</v>
      </c>
      <c r="C6745" s="4" t="str">
        <f>HYPERLINK("http://www.uniprot.org/uniprot/M5XPJ6","M5XPJ6")</f>
        <v>M5XPJ6</v>
      </c>
      <c r="D6745" s="2" t="s">
        <v>6051</v>
      </c>
      <c r="E6745" s="3">
        <v>0</v>
      </c>
      <c r="F6745" s="2">
        <v>2279</v>
      </c>
      <c r="G6745" s="2">
        <v>100</v>
      </c>
      <c r="H6745" s="2">
        <v>487</v>
      </c>
      <c r="I6745" s="2">
        <v>554</v>
      </c>
      <c r="J6745" s="2">
        <v>2014</v>
      </c>
      <c r="K6745" s="2">
        <v>1</v>
      </c>
      <c r="L6745" s="2">
        <v>487</v>
      </c>
    </row>
    <row r="6746" spans="1:12" x14ac:dyDescent="0.25">
      <c r="A6746" s="4" t="str">
        <f>HYPERLINK("http://www.rosaceae.org/Prunus/Prunus_persica/p.persica_gdr_reftransV1_0007544","p.persica_gdr_reftransV1_0007544")</f>
        <v>p.persica_gdr_reftransV1_0007544</v>
      </c>
      <c r="B6746" s="2">
        <v>1853</v>
      </c>
      <c r="C6746" s="4" t="str">
        <f>HYPERLINK("http://www.uniprot.org/uniprot/M5X040","M5X040")</f>
        <v>M5X040</v>
      </c>
      <c r="D6746" s="2" t="s">
        <v>6052</v>
      </c>
      <c r="E6746" s="3">
        <v>0</v>
      </c>
      <c r="F6746" s="2">
        <v>2053</v>
      </c>
      <c r="G6746" s="2">
        <v>100</v>
      </c>
      <c r="H6746" s="2">
        <v>412</v>
      </c>
      <c r="I6746" s="2">
        <v>561</v>
      </c>
      <c r="J6746" s="2">
        <v>1796</v>
      </c>
      <c r="K6746" s="2">
        <v>1</v>
      </c>
      <c r="L6746" s="2">
        <v>412</v>
      </c>
    </row>
    <row r="6747" spans="1:12" x14ac:dyDescent="0.25">
      <c r="A6747" s="4" t="str">
        <f>HYPERLINK("http://www.rosaceae.org/Prunus/Prunus_persica/p.persica_gdr_reftransV1_0008244","p.persica_gdr_reftransV1_0008244")</f>
        <v>p.persica_gdr_reftransV1_0008244</v>
      </c>
      <c r="B6747" s="2">
        <v>1899</v>
      </c>
      <c r="C6747" s="4" t="str">
        <f>HYPERLINK("http://www.uniprot.org/uniprot/M5W124","M5W124")</f>
        <v>M5W124</v>
      </c>
      <c r="D6747" s="2" t="s">
        <v>6053</v>
      </c>
      <c r="E6747" s="3">
        <v>5.2699999999999998E-123</v>
      </c>
      <c r="F6747" s="2">
        <v>963</v>
      </c>
      <c r="G6747" s="2">
        <v>100</v>
      </c>
      <c r="H6747" s="2">
        <v>219</v>
      </c>
      <c r="I6747" s="2">
        <v>826</v>
      </c>
      <c r="J6747" s="2">
        <v>1482</v>
      </c>
      <c r="K6747" s="2">
        <v>1</v>
      </c>
      <c r="L6747" s="2">
        <v>219</v>
      </c>
    </row>
    <row r="6748" spans="1:12" x14ac:dyDescent="0.25">
      <c r="A6748" s="4" t="str">
        <f>HYPERLINK("http://www.rosaceae.org/Prunus/Prunus_persica/p.persica_gdr_reftransV1_0008594","p.persica_gdr_reftransV1_0008594")</f>
        <v>p.persica_gdr_reftransV1_0008594</v>
      </c>
      <c r="B6748" s="2">
        <v>2212</v>
      </c>
      <c r="C6748" s="4" t="str">
        <f>HYPERLINK("http://www.uniprot.org/uniprot/M5X282","M5X282")</f>
        <v>M5X282</v>
      </c>
      <c r="D6748" s="2" t="s">
        <v>6054</v>
      </c>
      <c r="E6748" s="3">
        <v>3.4999999999999999E-99</v>
      </c>
      <c r="F6748" s="2">
        <v>552</v>
      </c>
      <c r="G6748" s="2">
        <v>99</v>
      </c>
      <c r="H6748" s="2">
        <v>102</v>
      </c>
      <c r="I6748" s="2">
        <v>1516</v>
      </c>
      <c r="J6748" s="2">
        <v>1821</v>
      </c>
      <c r="K6748" s="2">
        <v>1</v>
      </c>
      <c r="L6748" s="2">
        <v>102</v>
      </c>
    </row>
    <row r="6749" spans="1:12" x14ac:dyDescent="0.25">
      <c r="A6749" s="4" t="str">
        <f>HYPERLINK("http://www.rosaceae.org/Prunus/Prunus_persica/p.persica_gdr_reftransV1_0009644","p.persica_gdr_reftransV1_0009644")</f>
        <v>p.persica_gdr_reftransV1_0009644</v>
      </c>
      <c r="B6749" s="2">
        <v>2947</v>
      </c>
      <c r="C6749" s="4" t="str">
        <f>HYPERLINK("http://www.uniprot.org/uniprot/M5WSE8","M5WSE8")</f>
        <v>M5WSE8</v>
      </c>
      <c r="D6749" s="2" t="s">
        <v>1772</v>
      </c>
      <c r="E6749" s="3">
        <v>0</v>
      </c>
      <c r="F6749" s="2">
        <v>2757</v>
      </c>
      <c r="G6749" s="2">
        <v>100</v>
      </c>
      <c r="H6749" s="2">
        <v>625</v>
      </c>
      <c r="I6749" s="2">
        <v>270</v>
      </c>
      <c r="J6749" s="2">
        <v>2141</v>
      </c>
      <c r="K6749" s="2">
        <v>12</v>
      </c>
      <c r="L6749" s="2">
        <v>636</v>
      </c>
    </row>
    <row r="6750" spans="1:12" x14ac:dyDescent="0.25">
      <c r="A6750" s="4" t="str">
        <f>HYPERLINK("http://www.rosaceae.org/Prunus/Prunus_persica/p.persica_gdr_reftransV1_0009994","p.persica_gdr_reftransV1_0009994")</f>
        <v>p.persica_gdr_reftransV1_0009994</v>
      </c>
      <c r="B6750" s="2">
        <v>1593</v>
      </c>
      <c r="C6750" s="4" t="str">
        <f>HYPERLINK("http://www.uniprot.org/uniprot/M5VYC8","M5VYC8")</f>
        <v>M5VYC8</v>
      </c>
      <c r="D6750" s="2" t="s">
        <v>6055</v>
      </c>
      <c r="E6750" s="3">
        <v>0</v>
      </c>
      <c r="F6750" s="2">
        <v>1699</v>
      </c>
      <c r="G6750" s="2">
        <v>100</v>
      </c>
      <c r="H6750" s="2">
        <v>351</v>
      </c>
      <c r="I6750" s="2">
        <v>237</v>
      </c>
      <c r="J6750" s="2">
        <v>1289</v>
      </c>
      <c r="K6750" s="2">
        <v>1</v>
      </c>
      <c r="L6750" s="2">
        <v>351</v>
      </c>
    </row>
    <row r="6751" spans="1:12" x14ac:dyDescent="0.25">
      <c r="A6751" s="4" t="str">
        <f>HYPERLINK("http://www.rosaceae.org/Prunus/Prunus_persica/p.persica_gdr_reftransV1_0011744","p.persica_gdr_reftransV1_0011744")</f>
        <v>p.persica_gdr_reftransV1_0011744</v>
      </c>
      <c r="B6751" s="2">
        <v>1556</v>
      </c>
      <c r="C6751" s="4" t="str">
        <f>HYPERLINK("http://www.uniprot.org/uniprot/M5WA36","M5WA36")</f>
        <v>M5WA36</v>
      </c>
      <c r="D6751" s="2" t="s">
        <v>6056</v>
      </c>
      <c r="E6751" s="3">
        <v>4.5999999999999998E-157</v>
      </c>
      <c r="F6751" s="2">
        <v>1183</v>
      </c>
      <c r="G6751" s="2">
        <v>100</v>
      </c>
      <c r="H6751" s="2">
        <v>263</v>
      </c>
      <c r="I6751" s="2">
        <v>687</v>
      </c>
      <c r="J6751" s="2">
        <v>1475</v>
      </c>
      <c r="K6751" s="2">
        <v>1</v>
      </c>
      <c r="L6751" s="2">
        <v>263</v>
      </c>
    </row>
    <row r="6752" spans="1:12" x14ac:dyDescent="0.25">
      <c r="A6752" s="4" t="str">
        <f>HYPERLINK("http://www.rosaceae.org/Prunus/Prunus_persica/p.persica_gdr_reftransV1_0012094","p.persica_gdr_reftransV1_0012094")</f>
        <v>p.persica_gdr_reftransV1_0012094</v>
      </c>
      <c r="B6752" s="2">
        <v>1175</v>
      </c>
      <c r="C6752" s="4" t="str">
        <f>HYPERLINK("http://www.uniprot.org/uniprot/M5WTV6","M5WTV6")</f>
        <v>M5WTV6</v>
      </c>
      <c r="D6752" s="2" t="s">
        <v>6057</v>
      </c>
      <c r="E6752" s="3">
        <v>2.55E-157</v>
      </c>
      <c r="F6752" s="2">
        <v>1168</v>
      </c>
      <c r="G6752" s="2">
        <v>100</v>
      </c>
      <c r="H6752" s="2">
        <v>232</v>
      </c>
      <c r="I6752" s="2">
        <v>227</v>
      </c>
      <c r="J6752" s="2">
        <v>922</v>
      </c>
      <c r="K6752" s="2">
        <v>1</v>
      </c>
      <c r="L6752" s="2">
        <v>232</v>
      </c>
    </row>
    <row r="6753" spans="1:12" x14ac:dyDescent="0.25">
      <c r="A6753" s="4" t="str">
        <f>HYPERLINK("http://www.rosaceae.org/Prunus/Prunus_persica/p.persica_gdr_reftransV1_0012444","p.persica_gdr_reftransV1_0012444")</f>
        <v>p.persica_gdr_reftransV1_0012444</v>
      </c>
      <c r="B6753" s="2">
        <v>2054</v>
      </c>
      <c r="C6753" s="4" t="str">
        <f>HYPERLINK("http://www.uniprot.org/uniprot/M5VNC9","M5VNC9")</f>
        <v>M5VNC9</v>
      </c>
      <c r="D6753" s="2" t="s">
        <v>6058</v>
      </c>
      <c r="E6753" s="3">
        <v>0</v>
      </c>
      <c r="F6753" s="2">
        <v>2788</v>
      </c>
      <c r="G6753" s="2">
        <v>100</v>
      </c>
      <c r="H6753" s="2">
        <v>611</v>
      </c>
      <c r="I6753" s="2">
        <v>148</v>
      </c>
      <c r="J6753" s="2">
        <v>1980</v>
      </c>
      <c r="K6753" s="2">
        <v>25</v>
      </c>
      <c r="L6753" s="2">
        <v>635</v>
      </c>
    </row>
    <row r="6754" spans="1:12" x14ac:dyDescent="0.25">
      <c r="A6754" s="4" t="str">
        <f>HYPERLINK("http://www.rosaceae.org/Prunus/Prunus_persica/p.persica_gdr_reftransV1_0013494","p.persica_gdr_reftransV1_0013494")</f>
        <v>p.persica_gdr_reftransV1_0013494</v>
      </c>
      <c r="B6754" s="2">
        <v>1052</v>
      </c>
      <c r="C6754" s="4" t="str">
        <f>HYPERLINK("http://www.uniprot.org/uniprot/M5XR07","M5XR07")</f>
        <v>M5XR07</v>
      </c>
      <c r="D6754" s="2" t="s">
        <v>6059</v>
      </c>
      <c r="E6754" s="3">
        <v>3.5200000000000001E-57</v>
      </c>
      <c r="F6754" s="2">
        <v>493</v>
      </c>
      <c r="G6754" s="2">
        <v>100</v>
      </c>
      <c r="H6754" s="2">
        <v>111</v>
      </c>
      <c r="I6754" s="2">
        <v>74</v>
      </c>
      <c r="J6754" s="2">
        <v>406</v>
      </c>
      <c r="K6754" s="2">
        <v>14</v>
      </c>
      <c r="L6754" s="2">
        <v>124</v>
      </c>
    </row>
    <row r="6755" spans="1:12" x14ac:dyDescent="0.25">
      <c r="A6755" s="4" t="str">
        <f>HYPERLINK("http://www.rosaceae.org/Prunus/Prunus_persica/p.persica_gdr_reftransV1_0013844","p.persica_gdr_reftransV1_0013844")</f>
        <v>p.persica_gdr_reftransV1_0013844</v>
      </c>
      <c r="B6755" s="2">
        <v>1131</v>
      </c>
      <c r="C6755" s="4" t="str">
        <f>HYPERLINK("http://www.uniprot.org/uniprot/M5W542","M5W542")</f>
        <v>M5W542</v>
      </c>
      <c r="D6755" s="2" t="s">
        <v>1374</v>
      </c>
      <c r="E6755" s="3">
        <v>4.7600000000000001E-9</v>
      </c>
      <c r="F6755" s="2">
        <v>156</v>
      </c>
      <c r="G6755" s="2">
        <v>45</v>
      </c>
      <c r="H6755" s="2">
        <v>83</v>
      </c>
      <c r="I6755" s="2">
        <v>664</v>
      </c>
      <c r="J6755" s="2">
        <v>891</v>
      </c>
      <c r="K6755" s="2">
        <v>79</v>
      </c>
      <c r="L6755" s="2">
        <v>160</v>
      </c>
    </row>
    <row r="6756" spans="1:12" x14ac:dyDescent="0.25">
      <c r="A6756" s="4" t="str">
        <f>HYPERLINK("http://www.rosaceae.org/Prunus/Prunus_persica/p.persica_gdr_reftransV1_0014544","p.persica_gdr_reftransV1_0014544")</f>
        <v>p.persica_gdr_reftransV1_0014544</v>
      </c>
      <c r="B6756" s="2">
        <v>1521</v>
      </c>
      <c r="C6756" s="4" t="str">
        <f>HYPERLINK("http://www.uniprot.org/uniprot/M5VZJ1","M5VZJ1")</f>
        <v>M5VZJ1</v>
      </c>
      <c r="D6756" s="2" t="s">
        <v>6060</v>
      </c>
      <c r="E6756" s="3">
        <v>0</v>
      </c>
      <c r="F6756" s="2">
        <v>1449</v>
      </c>
      <c r="G6756" s="2">
        <v>100</v>
      </c>
      <c r="H6756" s="2">
        <v>279</v>
      </c>
      <c r="I6756" s="2">
        <v>388</v>
      </c>
      <c r="J6756" s="2">
        <v>1224</v>
      </c>
      <c r="K6756" s="2">
        <v>1</v>
      </c>
      <c r="L6756" s="2">
        <v>279</v>
      </c>
    </row>
    <row r="6757" spans="1:12" x14ac:dyDescent="0.25">
      <c r="A6757" s="4" t="str">
        <f>HYPERLINK("http://www.rosaceae.org/Prunus/Prunus_persica/p.persica_gdr_reftransV1_0014894","p.persica_gdr_reftransV1_0014894")</f>
        <v>p.persica_gdr_reftransV1_0014894</v>
      </c>
      <c r="B6757" s="2">
        <v>2380</v>
      </c>
      <c r="C6757" s="4" t="str">
        <f>HYPERLINK("http://www.uniprot.org/uniprot/M5VQX7","M5VQX7")</f>
        <v>M5VQX7</v>
      </c>
      <c r="D6757" s="2" t="s">
        <v>6061</v>
      </c>
      <c r="E6757" s="3">
        <v>1.4399999999999999E-162</v>
      </c>
      <c r="F6757" s="2">
        <v>1243</v>
      </c>
      <c r="G6757" s="2">
        <v>100</v>
      </c>
      <c r="H6757" s="2">
        <v>246</v>
      </c>
      <c r="I6757" s="2">
        <v>144</v>
      </c>
      <c r="J6757" s="2">
        <v>881</v>
      </c>
      <c r="K6757" s="2">
        <v>1</v>
      </c>
      <c r="L6757" s="2">
        <v>246</v>
      </c>
    </row>
    <row r="6758" spans="1:12" x14ac:dyDescent="0.25">
      <c r="A6758" s="4" t="str">
        <f>HYPERLINK("http://www.rosaceae.org/Prunus/Prunus_persica/p.persica_gdr_reftransV1_0016644","p.persica_gdr_reftransV1_0016644")</f>
        <v>p.persica_gdr_reftransV1_0016644</v>
      </c>
      <c r="B6758" s="2">
        <v>2444</v>
      </c>
      <c r="C6758" s="4" t="str">
        <f>HYPERLINK("http://www.uniprot.org/uniprot/M5W8J6","M5W8J6")</f>
        <v>M5W8J6</v>
      </c>
      <c r="D6758" s="2" t="s">
        <v>6062</v>
      </c>
      <c r="E6758" s="3">
        <v>0</v>
      </c>
      <c r="F6758" s="2">
        <v>1485</v>
      </c>
      <c r="G6758" s="2">
        <v>100</v>
      </c>
      <c r="H6758" s="2">
        <v>274</v>
      </c>
      <c r="I6758" s="2">
        <v>373</v>
      </c>
      <c r="J6758" s="2">
        <v>1194</v>
      </c>
      <c r="K6758" s="2">
        <v>266</v>
      </c>
      <c r="L6758" s="2">
        <v>539</v>
      </c>
    </row>
    <row r="6759" spans="1:12" x14ac:dyDescent="0.25">
      <c r="A6759" s="4" t="str">
        <f>HYPERLINK("http://www.rosaceae.org/Prunus/Prunus_persica/p.persica_gdr_reftransV1_0017694","p.persica_gdr_reftransV1_0017694")</f>
        <v>p.persica_gdr_reftransV1_0017694</v>
      </c>
      <c r="B6759" s="2">
        <v>360</v>
      </c>
      <c r="C6759" s="4" t="str">
        <f>HYPERLINK("http://www.uniprot.org/uniprot/M5XJX8","M5XJX8")</f>
        <v>M5XJX8</v>
      </c>
      <c r="D6759" s="2" t="s">
        <v>6063</v>
      </c>
      <c r="E6759" s="3">
        <v>2.81E-75</v>
      </c>
      <c r="F6759" s="2">
        <v>630</v>
      </c>
      <c r="G6759" s="2">
        <v>100</v>
      </c>
      <c r="H6759" s="2">
        <v>120</v>
      </c>
      <c r="I6759" s="2">
        <v>1</v>
      </c>
      <c r="J6759" s="2">
        <v>360</v>
      </c>
      <c r="K6759" s="2">
        <v>176</v>
      </c>
      <c r="L6759" s="2">
        <v>295</v>
      </c>
    </row>
    <row r="6760" spans="1:12" x14ac:dyDescent="0.25">
      <c r="A6760" s="4" t="str">
        <f>HYPERLINK("http://www.rosaceae.org/Prunus/Prunus_persica/p.persica_gdr_reftransV1_0018394","p.persica_gdr_reftransV1_0018394")</f>
        <v>p.persica_gdr_reftransV1_0018394</v>
      </c>
      <c r="B6760" s="2">
        <v>1848</v>
      </c>
      <c r="C6760" s="4" t="str">
        <f>HYPERLINK("http://www.uniprot.org/uniprot/M5XS65","M5XS65")</f>
        <v>M5XS65</v>
      </c>
      <c r="D6760" s="2" t="s">
        <v>6064</v>
      </c>
      <c r="E6760" s="3">
        <v>9.0800000000000005E-132</v>
      </c>
      <c r="F6760" s="2">
        <v>1022</v>
      </c>
      <c r="G6760" s="2">
        <v>100</v>
      </c>
      <c r="H6760" s="2">
        <v>219</v>
      </c>
      <c r="I6760" s="2">
        <v>153</v>
      </c>
      <c r="J6760" s="2">
        <v>809</v>
      </c>
      <c r="K6760" s="2">
        <v>1</v>
      </c>
      <c r="L6760" s="2">
        <v>219</v>
      </c>
    </row>
    <row r="6761" spans="1:12" x14ac:dyDescent="0.25">
      <c r="A6761" s="4" t="str">
        <f>HYPERLINK("http://www.rosaceae.org/Prunus/Prunus_persica/p.persica_gdr_reftransV1_0019794","p.persica_gdr_reftransV1_0019794")</f>
        <v>p.persica_gdr_reftransV1_0019794</v>
      </c>
      <c r="B6761" s="2">
        <v>3707</v>
      </c>
      <c r="C6761" s="4" t="str">
        <f>HYPERLINK("http://www.uniprot.org/uniprot/M5X756","M5X756")</f>
        <v>M5X756</v>
      </c>
      <c r="D6761" s="2" t="s">
        <v>2198</v>
      </c>
      <c r="E6761" s="3">
        <v>0</v>
      </c>
      <c r="F6761" s="2">
        <v>5180</v>
      </c>
      <c r="G6761" s="2">
        <v>98</v>
      </c>
      <c r="H6761" s="2">
        <v>1051</v>
      </c>
      <c r="I6761" s="2">
        <v>310</v>
      </c>
      <c r="J6761" s="2">
        <v>3462</v>
      </c>
      <c r="K6761" s="2">
        <v>17</v>
      </c>
      <c r="L6761" s="2">
        <v>1050</v>
      </c>
    </row>
    <row r="6762" spans="1:12" x14ac:dyDescent="0.25">
      <c r="A6762" s="4" t="str">
        <f>HYPERLINK("http://www.rosaceae.org/Prunus/Prunus_persica/p.persica_gdr_reftransV1_0021194","p.persica_gdr_reftransV1_0021194")</f>
        <v>p.persica_gdr_reftransV1_0021194</v>
      </c>
      <c r="B6762" s="2">
        <v>7527</v>
      </c>
      <c r="C6762" s="4" t="str">
        <f>HYPERLINK("http://www.uniprot.org/uniprot/M5XCG0","M5XCG0")</f>
        <v>M5XCG0</v>
      </c>
      <c r="D6762" s="2" t="s">
        <v>6065</v>
      </c>
      <c r="E6762" s="3">
        <v>0</v>
      </c>
      <c r="F6762" s="2">
        <v>10511</v>
      </c>
      <c r="G6762" s="2">
        <v>95</v>
      </c>
      <c r="H6762" s="2">
        <v>2175</v>
      </c>
      <c r="I6762" s="2">
        <v>744</v>
      </c>
      <c r="J6762" s="2">
        <v>7268</v>
      </c>
      <c r="K6762" s="2">
        <v>1</v>
      </c>
      <c r="L6762" s="2">
        <v>2092</v>
      </c>
    </row>
    <row r="6763" spans="1:12" x14ac:dyDescent="0.25">
      <c r="A6763" s="4" t="str">
        <f>HYPERLINK("http://www.rosaceae.org/Prunus/Prunus_persica/p.persica_gdr_reftransV1_0022944","p.persica_gdr_reftransV1_0022944")</f>
        <v>p.persica_gdr_reftransV1_0022944</v>
      </c>
      <c r="B6763" s="2">
        <v>950</v>
      </c>
      <c r="C6763" s="4" t="str">
        <f>HYPERLINK("http://www.uniprot.org/uniprot/M5X1F9","M5X1F9")</f>
        <v>M5X1F9</v>
      </c>
      <c r="D6763" s="2" t="s">
        <v>6066</v>
      </c>
      <c r="E6763" s="3">
        <v>1.92E-86</v>
      </c>
      <c r="F6763" s="2">
        <v>684</v>
      </c>
      <c r="G6763" s="2">
        <v>100</v>
      </c>
      <c r="H6763" s="2">
        <v>150</v>
      </c>
      <c r="I6763" s="2">
        <v>324</v>
      </c>
      <c r="J6763" s="2">
        <v>773</v>
      </c>
      <c r="K6763" s="2">
        <v>1</v>
      </c>
      <c r="L6763" s="2">
        <v>150</v>
      </c>
    </row>
    <row r="6764" spans="1:12" x14ac:dyDescent="0.25">
      <c r="A6764" s="4" t="str">
        <f>HYPERLINK("http://www.rosaceae.org/Prunus/Prunus_persica/p.persica_gdr_reftransV1_0023994","p.persica_gdr_reftransV1_0023994")</f>
        <v>p.persica_gdr_reftransV1_0023994</v>
      </c>
      <c r="B6764" s="2">
        <v>1047</v>
      </c>
      <c r="C6764" s="4" t="str">
        <f>HYPERLINK("http://www.uniprot.org/uniprot/M5X2K8","M5X2K8")</f>
        <v>M5X2K8</v>
      </c>
      <c r="D6764" s="2" t="s">
        <v>6067</v>
      </c>
      <c r="E6764" s="3">
        <v>1.2500000000000001E-102</v>
      </c>
      <c r="F6764" s="2">
        <v>799</v>
      </c>
      <c r="G6764" s="2">
        <v>76</v>
      </c>
      <c r="H6764" s="2">
        <v>198</v>
      </c>
      <c r="I6764" s="2">
        <v>397</v>
      </c>
      <c r="J6764" s="2">
        <v>984</v>
      </c>
      <c r="K6764" s="2">
        <v>1</v>
      </c>
      <c r="L6764" s="2">
        <v>197</v>
      </c>
    </row>
    <row r="6765" spans="1:12" x14ac:dyDescent="0.25">
      <c r="A6765" s="4" t="str">
        <f>HYPERLINK("http://www.rosaceae.org/Prunus/Prunus_persica/p.persica_gdr_reftransV1_0025044","p.persica_gdr_reftransV1_0025044")</f>
        <v>p.persica_gdr_reftransV1_0025044</v>
      </c>
      <c r="B6765" s="2">
        <v>2496</v>
      </c>
      <c r="C6765" s="4" t="str">
        <f>HYPERLINK("http://www.uniprot.org/uniprot/M5WFH0","M5WFH0")</f>
        <v>M5WFH0</v>
      </c>
      <c r="D6765" s="2" t="s">
        <v>6068</v>
      </c>
      <c r="E6765" s="3">
        <v>7.8200000000000003E-174</v>
      </c>
      <c r="F6765" s="2">
        <v>1349</v>
      </c>
      <c r="G6765" s="2">
        <v>100</v>
      </c>
      <c r="H6765" s="2">
        <v>284</v>
      </c>
      <c r="I6765" s="2">
        <v>199</v>
      </c>
      <c r="J6765" s="2">
        <v>1050</v>
      </c>
      <c r="K6765" s="2">
        <v>1</v>
      </c>
      <c r="L6765" s="2">
        <v>284</v>
      </c>
    </row>
    <row r="6766" spans="1:12" x14ac:dyDescent="0.25">
      <c r="A6766" s="4" t="str">
        <f>HYPERLINK("http://www.rosaceae.org/Prunus/Prunus_persica/p.persica_gdr_reftransV1_0026444","p.persica_gdr_reftransV1_0026444")</f>
        <v>p.persica_gdr_reftransV1_0026444</v>
      </c>
      <c r="B6766" s="2">
        <v>2906</v>
      </c>
      <c r="C6766" s="4" t="str">
        <f>HYPERLINK("http://www.uniprot.org/uniprot/M5WD41","M5WD41")</f>
        <v>M5WD41</v>
      </c>
      <c r="D6766" s="2" t="s">
        <v>6069</v>
      </c>
      <c r="E6766" s="3">
        <v>6.4800000000000004E-100</v>
      </c>
      <c r="F6766" s="2">
        <v>845</v>
      </c>
      <c r="G6766" s="2">
        <v>100</v>
      </c>
      <c r="H6766" s="2">
        <v>180</v>
      </c>
      <c r="I6766" s="2">
        <v>2000</v>
      </c>
      <c r="J6766" s="2">
        <v>2539</v>
      </c>
      <c r="K6766" s="2">
        <v>199</v>
      </c>
      <c r="L6766" s="2">
        <v>378</v>
      </c>
    </row>
    <row r="6767" spans="1:12" x14ac:dyDescent="0.25">
      <c r="A6767" s="4" t="str">
        <f>HYPERLINK("http://www.rosaceae.org/Prunus/Prunus_persica/p.persica_gdr_reftransV1_0027144","p.persica_gdr_reftransV1_0027144")</f>
        <v>p.persica_gdr_reftransV1_0027144</v>
      </c>
      <c r="B6767" s="2">
        <v>1721</v>
      </c>
      <c r="C6767" s="4" t="str">
        <f>HYPERLINK("http://www.uniprot.org/uniprot/D8L7V9","D8L7V9")</f>
        <v>D8L7V9</v>
      </c>
      <c r="D6767" s="2" t="s">
        <v>442</v>
      </c>
      <c r="E6767" s="3">
        <v>2.9E-109</v>
      </c>
      <c r="F6767" s="2">
        <v>835</v>
      </c>
      <c r="G6767" s="2">
        <v>99</v>
      </c>
      <c r="H6767" s="2">
        <v>163</v>
      </c>
      <c r="I6767" s="2">
        <v>1066</v>
      </c>
      <c r="J6767" s="2">
        <v>1551</v>
      </c>
      <c r="K6767" s="2">
        <v>152</v>
      </c>
      <c r="L6767" s="2">
        <v>314</v>
      </c>
    </row>
    <row r="6768" spans="1:12" x14ac:dyDescent="0.25">
      <c r="A6768" s="4" t="str">
        <f>HYPERLINK("http://www.rosaceae.org/Prunus/Prunus_persica/p.persica_gdr_reftransV1_0027844","p.persica_gdr_reftransV1_0027844")</f>
        <v>p.persica_gdr_reftransV1_0027844</v>
      </c>
      <c r="B6768" s="2">
        <v>1726</v>
      </c>
      <c r="C6768" s="4" t="str">
        <f>HYPERLINK("http://www.uniprot.org/uniprot/M5VZR9","M5VZR9")</f>
        <v>M5VZR9</v>
      </c>
      <c r="D6768" s="2" t="s">
        <v>6070</v>
      </c>
      <c r="E6768" s="3">
        <v>2.8100000000000002E-130</v>
      </c>
      <c r="F6768" s="2">
        <v>1009</v>
      </c>
      <c r="G6768" s="2">
        <v>100</v>
      </c>
      <c r="H6768" s="2">
        <v>191</v>
      </c>
      <c r="I6768" s="2">
        <v>348</v>
      </c>
      <c r="J6768" s="2">
        <v>920</v>
      </c>
      <c r="K6768" s="2">
        <v>62</v>
      </c>
      <c r="L6768" s="2">
        <v>252</v>
      </c>
    </row>
    <row r="6769" spans="1:12" x14ac:dyDescent="0.25">
      <c r="A6769" s="4" t="str">
        <f>HYPERLINK("http://www.rosaceae.org/Prunus/Prunus_persica/p.persica_gdr_reftransV1_0029594","p.persica_gdr_reftransV1_0029594")</f>
        <v>p.persica_gdr_reftransV1_0029594</v>
      </c>
      <c r="B6769" s="2">
        <v>3883</v>
      </c>
      <c r="C6769" s="4" t="str">
        <f>HYPERLINK("http://www.uniprot.org/uniprot/M5WFP0","M5WFP0")</f>
        <v>M5WFP0</v>
      </c>
      <c r="D6769" s="2" t="s">
        <v>3884</v>
      </c>
      <c r="E6769" s="3">
        <v>0</v>
      </c>
      <c r="F6769" s="2">
        <v>4170</v>
      </c>
      <c r="G6769" s="2">
        <v>94</v>
      </c>
      <c r="H6769" s="2">
        <v>910</v>
      </c>
      <c r="I6769" s="2">
        <v>706</v>
      </c>
      <c r="J6769" s="2">
        <v>3435</v>
      </c>
      <c r="K6769" s="2">
        <v>143</v>
      </c>
      <c r="L6769" s="2">
        <v>1000</v>
      </c>
    </row>
    <row r="6770" spans="1:12" x14ac:dyDescent="0.25">
      <c r="A6770" s="4" t="str">
        <f>HYPERLINK("http://www.rosaceae.org/Prunus/Prunus_persica/p.persica_gdr_reftransV1_0030294","p.persica_gdr_reftransV1_0030294")</f>
        <v>p.persica_gdr_reftransV1_0030294</v>
      </c>
      <c r="B6770" s="2">
        <v>4853</v>
      </c>
      <c r="C6770" s="4" t="str">
        <f>HYPERLINK("http://www.uniprot.org/uniprot/M5VPY8","M5VPY8")</f>
        <v>M5VPY8</v>
      </c>
      <c r="D6770" s="2" t="s">
        <v>6071</v>
      </c>
      <c r="E6770" s="3">
        <v>0</v>
      </c>
      <c r="F6770" s="2">
        <v>2539</v>
      </c>
      <c r="G6770" s="2">
        <v>100</v>
      </c>
      <c r="H6770" s="2">
        <v>487</v>
      </c>
      <c r="I6770" s="2">
        <v>3328</v>
      </c>
      <c r="J6770" s="2">
        <v>4788</v>
      </c>
      <c r="K6770" s="2">
        <v>1</v>
      </c>
      <c r="L6770" s="2">
        <v>487</v>
      </c>
    </row>
    <row r="6771" spans="1:12" x14ac:dyDescent="0.25">
      <c r="A6771" s="4" t="str">
        <f>HYPERLINK("http://www.rosaceae.org/Prunus/Prunus_persica/p.persica_gdr_reftransV1_0032044","p.persica_gdr_reftransV1_0032044")</f>
        <v>p.persica_gdr_reftransV1_0032044</v>
      </c>
      <c r="B6771" s="2">
        <v>1091</v>
      </c>
      <c r="C6771" s="4" t="str">
        <f>HYPERLINK("http://www.uniprot.org/uniprot/B9RB81","B9RB81")</f>
        <v>B9RB81</v>
      </c>
      <c r="D6771" s="2" t="s">
        <v>6072</v>
      </c>
      <c r="E6771" s="3">
        <v>1.3400000000000001E-123</v>
      </c>
      <c r="F6771" s="2">
        <v>949</v>
      </c>
      <c r="G6771" s="2">
        <v>73</v>
      </c>
      <c r="H6771" s="2">
        <v>280</v>
      </c>
      <c r="I6771" s="2">
        <v>244</v>
      </c>
      <c r="J6771" s="2">
        <v>1083</v>
      </c>
      <c r="K6771" s="2">
        <v>8</v>
      </c>
      <c r="L6771" s="2">
        <v>278</v>
      </c>
    </row>
    <row r="6772" spans="1:12" x14ac:dyDescent="0.25">
      <c r="A6772" s="4" t="str">
        <f>HYPERLINK("http://www.rosaceae.org/Prunus/Prunus_persica/p.persica_gdr_reftransV1_0032394","p.persica_gdr_reftransV1_0032394")</f>
        <v>p.persica_gdr_reftransV1_0032394</v>
      </c>
      <c r="B6772" s="2">
        <v>891</v>
      </c>
      <c r="C6772" s="4" t="str">
        <f>HYPERLINK("http://www.uniprot.org/uniprot/M5XH14","M5XH14")</f>
        <v>M5XH14</v>
      </c>
      <c r="D6772" s="2" t="s">
        <v>6073</v>
      </c>
      <c r="E6772" s="3">
        <v>2.4E-101</v>
      </c>
      <c r="F6772" s="2">
        <v>783</v>
      </c>
      <c r="G6772" s="2">
        <v>100</v>
      </c>
      <c r="H6772" s="2">
        <v>175</v>
      </c>
      <c r="I6772" s="2">
        <v>144</v>
      </c>
      <c r="J6772" s="2">
        <v>668</v>
      </c>
      <c r="K6772" s="2">
        <v>1</v>
      </c>
      <c r="L6772" s="2">
        <v>175</v>
      </c>
    </row>
    <row r="6773" spans="1:12" x14ac:dyDescent="0.25">
      <c r="A6773" s="4" t="str">
        <f>HYPERLINK("http://www.rosaceae.org/Prunus/Prunus_persica/p.persica_gdr_reftransV1_0033444","p.persica_gdr_reftransV1_0033444")</f>
        <v>p.persica_gdr_reftransV1_0033444</v>
      </c>
      <c r="B6773" s="2">
        <v>1427</v>
      </c>
      <c r="C6773" s="4" t="str">
        <f>HYPERLINK("http://www.uniprot.org/uniprot/M5VNN1","M5VNN1")</f>
        <v>M5VNN1</v>
      </c>
      <c r="D6773" s="2" t="s">
        <v>6074</v>
      </c>
      <c r="E6773" s="3">
        <v>6.0699999999999996E-109</v>
      </c>
      <c r="F6773" s="2">
        <v>850</v>
      </c>
      <c r="G6773" s="2">
        <v>100</v>
      </c>
      <c r="H6773" s="2">
        <v>162</v>
      </c>
      <c r="I6773" s="2">
        <v>555</v>
      </c>
      <c r="J6773" s="2">
        <v>1040</v>
      </c>
      <c r="K6773" s="2">
        <v>1</v>
      </c>
      <c r="L6773" s="2">
        <v>162</v>
      </c>
    </row>
    <row r="6774" spans="1:12" x14ac:dyDescent="0.25">
      <c r="A6774" s="4" t="str">
        <f>HYPERLINK("http://www.rosaceae.org/Prunus/Prunus_persica/p.persica_gdr_reftransV1_0033794","p.persica_gdr_reftransV1_0033794")</f>
        <v>p.persica_gdr_reftransV1_0033794</v>
      </c>
      <c r="B6774" s="2">
        <v>394</v>
      </c>
      <c r="C6774" s="4" t="str">
        <f>HYPERLINK("http://www.uniprot.org/uniprot/M5XM20","M5XM20")</f>
        <v>M5XM20</v>
      </c>
      <c r="D6774" s="2" t="s">
        <v>6075</v>
      </c>
      <c r="E6774" s="3">
        <v>2.5100000000000001E-41</v>
      </c>
      <c r="F6774" s="2">
        <v>396</v>
      </c>
      <c r="G6774" s="2">
        <v>92</v>
      </c>
      <c r="H6774" s="2">
        <v>123</v>
      </c>
      <c r="I6774" s="2">
        <v>10</v>
      </c>
      <c r="J6774" s="2">
        <v>375</v>
      </c>
      <c r="K6774" s="2">
        <v>51</v>
      </c>
      <c r="L6774" s="2">
        <v>173</v>
      </c>
    </row>
    <row r="6775" spans="1:12" x14ac:dyDescent="0.25">
      <c r="A6775" s="4" t="str">
        <f>HYPERLINK("http://www.rosaceae.org/Prunus/Prunus_persica/p.persica_gdr_reftransV1_0034494","p.persica_gdr_reftransV1_0034494")</f>
        <v>p.persica_gdr_reftransV1_0034494</v>
      </c>
      <c r="B6775" s="2">
        <v>1441</v>
      </c>
      <c r="C6775" s="4" t="str">
        <f>HYPERLINK("http://www.uniprot.org/uniprot/M5X341","M5X341")</f>
        <v>M5X341</v>
      </c>
      <c r="D6775" s="2" t="s">
        <v>6076</v>
      </c>
      <c r="E6775" s="3">
        <v>0</v>
      </c>
      <c r="F6775" s="2">
        <v>1491</v>
      </c>
      <c r="G6775" s="2">
        <v>100</v>
      </c>
      <c r="H6775" s="2">
        <v>310</v>
      </c>
      <c r="I6775" s="2">
        <v>288</v>
      </c>
      <c r="J6775" s="2">
        <v>1217</v>
      </c>
      <c r="K6775" s="2">
        <v>1</v>
      </c>
      <c r="L6775" s="2">
        <v>310</v>
      </c>
    </row>
    <row r="6776" spans="1:12" x14ac:dyDescent="0.25">
      <c r="A6776" s="4" t="str">
        <f>HYPERLINK("http://www.rosaceae.org/Prunus/Prunus_persica/p.persica_gdr_reftransV1_0034844","p.persica_gdr_reftransV1_0034844")</f>
        <v>p.persica_gdr_reftransV1_0034844</v>
      </c>
      <c r="B6776" s="2">
        <v>671</v>
      </c>
      <c r="C6776" s="4" t="str">
        <f>HYPERLINK("http://www.uniprot.org/uniprot/M5WNJ6","M5WNJ6")</f>
        <v>M5WNJ6</v>
      </c>
      <c r="D6776" s="2" t="s">
        <v>1392</v>
      </c>
      <c r="E6776" s="3">
        <v>2.27E-158</v>
      </c>
      <c r="F6776" s="2">
        <v>1203</v>
      </c>
      <c r="G6776" s="2">
        <v>100</v>
      </c>
      <c r="H6776" s="2">
        <v>223</v>
      </c>
      <c r="I6776" s="2">
        <v>2</v>
      </c>
      <c r="J6776" s="2">
        <v>670</v>
      </c>
      <c r="K6776" s="2">
        <v>149</v>
      </c>
      <c r="L6776" s="2">
        <v>371</v>
      </c>
    </row>
    <row r="6777" spans="1:12" x14ac:dyDescent="0.25">
      <c r="A6777" s="4" t="str">
        <f>HYPERLINK("http://www.rosaceae.org/Prunus/Prunus_persica/p.persica_gdr_reftransV1_0035194","p.persica_gdr_reftransV1_0035194")</f>
        <v>p.persica_gdr_reftransV1_0035194</v>
      </c>
      <c r="B6777" s="2">
        <v>5003</v>
      </c>
      <c r="C6777" s="4" t="str">
        <f>HYPERLINK("http://www.uniprot.org/uniprot/M5XLG9","M5XLG9")</f>
        <v>M5XLG9</v>
      </c>
      <c r="D6777" s="2" t="s">
        <v>4064</v>
      </c>
      <c r="E6777" s="3">
        <v>0</v>
      </c>
      <c r="F6777" s="2">
        <v>1683</v>
      </c>
      <c r="G6777" s="2">
        <v>86</v>
      </c>
      <c r="H6777" s="2">
        <v>418</v>
      </c>
      <c r="I6777" s="2">
        <v>3087</v>
      </c>
      <c r="J6777" s="2">
        <v>4337</v>
      </c>
      <c r="K6777" s="2">
        <v>287</v>
      </c>
      <c r="L6777" s="2">
        <v>657</v>
      </c>
    </row>
    <row r="6778" spans="1:12" x14ac:dyDescent="0.25">
      <c r="A6778" s="4" t="str">
        <f>HYPERLINK("http://www.rosaceae.org/Prunus/Prunus_persica/p.persica_gdr_reftransV1_0037294","p.persica_gdr_reftransV1_0037294")</f>
        <v>p.persica_gdr_reftransV1_0037294</v>
      </c>
      <c r="B6778" s="2">
        <v>2745</v>
      </c>
      <c r="C6778" s="4" t="str">
        <f>HYPERLINK("http://www.uniprot.org/uniprot/M5X0B1","M5X0B1")</f>
        <v>M5X0B1</v>
      </c>
      <c r="D6778" s="2" t="s">
        <v>3596</v>
      </c>
      <c r="E6778" s="3">
        <v>0</v>
      </c>
      <c r="F6778" s="2">
        <v>3094</v>
      </c>
      <c r="G6778" s="2">
        <v>100</v>
      </c>
      <c r="H6778" s="2">
        <v>576</v>
      </c>
      <c r="I6778" s="2">
        <v>541</v>
      </c>
      <c r="J6778" s="2">
        <v>2268</v>
      </c>
      <c r="K6778" s="2">
        <v>1</v>
      </c>
      <c r="L6778" s="2">
        <v>576</v>
      </c>
    </row>
    <row r="6779" spans="1:12" x14ac:dyDescent="0.25">
      <c r="A6779" s="4" t="str">
        <f>HYPERLINK("http://www.rosaceae.org/Prunus/Prunus_persica/p.persica_gdr_reftransV1_0037994","p.persica_gdr_reftransV1_0037994")</f>
        <v>p.persica_gdr_reftransV1_0037994</v>
      </c>
      <c r="B6779" s="2">
        <v>3349</v>
      </c>
      <c r="C6779" s="4" t="str">
        <f>HYPERLINK("http://www.uniprot.org/uniprot/M5X9R6","M5X9R6")</f>
        <v>M5X9R6</v>
      </c>
      <c r="D6779" s="2" t="s">
        <v>6077</v>
      </c>
      <c r="E6779" s="3">
        <v>0</v>
      </c>
      <c r="F6779" s="2">
        <v>4784</v>
      </c>
      <c r="G6779" s="2">
        <v>100</v>
      </c>
      <c r="H6779" s="2">
        <v>893</v>
      </c>
      <c r="I6779" s="2">
        <v>131</v>
      </c>
      <c r="J6779" s="2">
        <v>2809</v>
      </c>
      <c r="K6779" s="2">
        <v>1</v>
      </c>
      <c r="L6779" s="2">
        <v>893</v>
      </c>
    </row>
    <row r="6780" spans="1:12" x14ac:dyDescent="0.25">
      <c r="A6780" s="4" t="str">
        <f>HYPERLINK("http://www.rosaceae.org/Prunus/Prunus_persica/p.persica_gdr_reftransV1_0039744","p.persica_gdr_reftransV1_0039744")</f>
        <v>p.persica_gdr_reftransV1_0039744</v>
      </c>
      <c r="B6780" s="2">
        <v>4594</v>
      </c>
      <c r="C6780" s="4" t="str">
        <f>HYPERLINK("http://www.uniprot.org/uniprot/M5WQ40","M5WQ40")</f>
        <v>M5WQ40</v>
      </c>
      <c r="D6780" s="2" t="s">
        <v>6078</v>
      </c>
      <c r="E6780" s="3">
        <v>0</v>
      </c>
      <c r="F6780" s="2">
        <v>4470</v>
      </c>
      <c r="G6780" s="2">
        <v>100</v>
      </c>
      <c r="H6780" s="2">
        <v>843</v>
      </c>
      <c r="I6780" s="2">
        <v>130</v>
      </c>
      <c r="J6780" s="2">
        <v>2658</v>
      </c>
      <c r="K6780" s="2">
        <v>1</v>
      </c>
      <c r="L6780" s="2">
        <v>843</v>
      </c>
    </row>
    <row r="6781" spans="1:12" x14ac:dyDescent="0.25">
      <c r="A6781" s="4" t="str">
        <f>HYPERLINK("http://www.rosaceae.org/Prunus/Prunus_persica/p.persica_gdr_reftransV1_0040094","p.persica_gdr_reftransV1_0040094")</f>
        <v>p.persica_gdr_reftransV1_0040094</v>
      </c>
      <c r="B6781" s="2">
        <v>4191</v>
      </c>
      <c r="C6781" s="4" t="str">
        <f>HYPERLINK("http://www.uniprot.org/uniprot/M5XHT6","M5XHT6")</f>
        <v>M5XHT6</v>
      </c>
      <c r="D6781" s="2" t="s">
        <v>6079</v>
      </c>
      <c r="E6781" s="3">
        <v>0</v>
      </c>
      <c r="F6781" s="2">
        <v>3990</v>
      </c>
      <c r="G6781" s="2">
        <v>98</v>
      </c>
      <c r="H6781" s="2">
        <v>756</v>
      </c>
      <c r="I6781" s="2">
        <v>1790</v>
      </c>
      <c r="J6781" s="2">
        <v>4057</v>
      </c>
      <c r="K6781" s="2">
        <v>1</v>
      </c>
      <c r="L6781" s="2">
        <v>749</v>
      </c>
    </row>
    <row r="6782" spans="1:12" x14ac:dyDescent="0.25">
      <c r="A6782" s="4" t="str">
        <f>HYPERLINK("http://www.rosaceae.org/Prunus/Prunus_persica/p.persica_gdr_reftransV1_0040794","p.persica_gdr_reftransV1_0040794")</f>
        <v>p.persica_gdr_reftransV1_0040794</v>
      </c>
      <c r="B6782" s="2">
        <v>342</v>
      </c>
      <c r="C6782" s="4" t="str">
        <f>HYPERLINK("http://www.uniprot.org/uniprot/M5W2F0","M5W2F0")</f>
        <v>M5W2F0</v>
      </c>
      <c r="D6782" s="2" t="s">
        <v>6080</v>
      </c>
      <c r="E6782" s="3">
        <v>8.2899999999999996E-44</v>
      </c>
      <c r="F6782" s="2">
        <v>375</v>
      </c>
      <c r="G6782" s="2">
        <v>100</v>
      </c>
      <c r="H6782" s="2">
        <v>70</v>
      </c>
      <c r="I6782" s="2">
        <v>132</v>
      </c>
      <c r="J6782" s="2">
        <v>341</v>
      </c>
      <c r="K6782" s="2">
        <v>1</v>
      </c>
      <c r="L6782" s="2">
        <v>70</v>
      </c>
    </row>
    <row r="6783" spans="1:12" x14ac:dyDescent="0.25">
      <c r="A6783" s="4" t="str">
        <f>HYPERLINK("http://www.rosaceae.org/Prunus/Prunus_persica/p.persica_gdr_reftransV1_0041494","p.persica_gdr_reftransV1_0041494")</f>
        <v>p.persica_gdr_reftransV1_0041494</v>
      </c>
      <c r="B6783" s="2">
        <v>1926</v>
      </c>
      <c r="C6783" s="4" t="str">
        <f>HYPERLINK("http://www.uniprot.org/uniprot/M5XW21","M5XW21")</f>
        <v>M5XW21</v>
      </c>
      <c r="D6783" s="2" t="s">
        <v>6081</v>
      </c>
      <c r="E6783" s="3">
        <v>0</v>
      </c>
      <c r="F6783" s="2">
        <v>1407</v>
      </c>
      <c r="G6783" s="2">
        <v>100</v>
      </c>
      <c r="H6783" s="2">
        <v>284</v>
      </c>
      <c r="I6783" s="2">
        <v>265</v>
      </c>
      <c r="J6783" s="2">
        <v>1116</v>
      </c>
      <c r="K6783" s="2">
        <v>1</v>
      </c>
      <c r="L6783" s="2">
        <v>284</v>
      </c>
    </row>
    <row r="6784" spans="1:12" x14ac:dyDescent="0.25">
      <c r="A6784" s="4" t="str">
        <f>HYPERLINK("http://www.rosaceae.org/Prunus/Prunus_persica/p.persica_gdr_reftransV1_0043244","p.persica_gdr_reftransV1_0043244")</f>
        <v>p.persica_gdr_reftransV1_0043244</v>
      </c>
      <c r="B6784" s="2">
        <v>774</v>
      </c>
      <c r="C6784" s="4" t="str">
        <f>HYPERLINK("http://www.uniprot.org/uniprot/M5XZC8","M5XZC8")</f>
        <v>M5XZC8</v>
      </c>
      <c r="D6784" s="2" t="s">
        <v>6082</v>
      </c>
      <c r="E6784" s="3">
        <v>1.3800000000000001E-76</v>
      </c>
      <c r="F6784" s="2">
        <v>612</v>
      </c>
      <c r="G6784" s="2">
        <v>100</v>
      </c>
      <c r="H6784" s="2">
        <v>134</v>
      </c>
      <c r="I6784" s="2">
        <v>250</v>
      </c>
      <c r="J6784" s="2">
        <v>651</v>
      </c>
      <c r="K6784" s="2">
        <v>1</v>
      </c>
      <c r="L6784" s="2">
        <v>134</v>
      </c>
    </row>
    <row r="6785" spans="1:12" x14ac:dyDescent="0.25">
      <c r="A6785" s="4" t="str">
        <f>HYPERLINK("http://www.rosaceae.org/Prunus/Prunus_persica/p.persica_gdr_reftransV1_0043594","p.persica_gdr_reftransV1_0043594")</f>
        <v>p.persica_gdr_reftransV1_0043594</v>
      </c>
      <c r="B6785" s="2">
        <v>1644</v>
      </c>
      <c r="C6785" s="4" t="str">
        <f>HYPERLINK("http://www.uniprot.org/uniprot/M5XCA0","M5XCA0")</f>
        <v>M5XCA0</v>
      </c>
      <c r="D6785" s="2" t="s">
        <v>6025</v>
      </c>
      <c r="E6785" s="3">
        <v>0</v>
      </c>
      <c r="F6785" s="2">
        <v>1756</v>
      </c>
      <c r="G6785" s="2">
        <v>100</v>
      </c>
      <c r="H6785" s="2">
        <v>332</v>
      </c>
      <c r="I6785" s="2">
        <v>518</v>
      </c>
      <c r="J6785" s="2">
        <v>1513</v>
      </c>
      <c r="K6785" s="2">
        <v>28</v>
      </c>
      <c r="L6785" s="2">
        <v>359</v>
      </c>
    </row>
    <row r="6786" spans="1:12" x14ac:dyDescent="0.25">
      <c r="A6786" s="4" t="str">
        <f>HYPERLINK("http://www.rosaceae.org/Prunus/Prunus_persica/p.persica_gdr_reftransV1_0043944","p.persica_gdr_reftransV1_0043944")</f>
        <v>p.persica_gdr_reftransV1_0043944</v>
      </c>
      <c r="B6786" s="2">
        <v>880</v>
      </c>
      <c r="C6786" s="4" t="str">
        <f>HYPERLINK("http://www.uniprot.org/uniprot/Q2L360","Q2L360")</f>
        <v>Q2L360</v>
      </c>
      <c r="D6786" s="2" t="s">
        <v>6083</v>
      </c>
      <c r="E6786" s="3">
        <v>1.6900000000000001E-139</v>
      </c>
      <c r="F6786" s="2">
        <v>1083</v>
      </c>
      <c r="G6786" s="2">
        <v>69</v>
      </c>
      <c r="H6786" s="2">
        <v>290</v>
      </c>
      <c r="I6786" s="2">
        <v>9</v>
      </c>
      <c r="J6786" s="2">
        <v>875</v>
      </c>
      <c r="K6786" s="2">
        <v>180</v>
      </c>
      <c r="L6786" s="2">
        <v>463</v>
      </c>
    </row>
    <row r="6787" spans="1:12" x14ac:dyDescent="0.25">
      <c r="A6787" s="4" t="str">
        <f>HYPERLINK("http://www.rosaceae.org/Prunus/Prunus_persica/p.persica_gdr_reftransV1_0044294","p.persica_gdr_reftransV1_0044294")</f>
        <v>p.persica_gdr_reftransV1_0044294</v>
      </c>
      <c r="B6787" s="2">
        <v>768</v>
      </c>
      <c r="C6787" s="4" t="str">
        <f>HYPERLINK("http://www.uniprot.org/uniprot/M5X109","M5X109")</f>
        <v>M5X109</v>
      </c>
      <c r="D6787" s="2" t="s">
        <v>6084</v>
      </c>
      <c r="E6787" s="3">
        <v>7.5999999999999993E-55</v>
      </c>
      <c r="F6787" s="2">
        <v>468</v>
      </c>
      <c r="G6787" s="2">
        <v>100</v>
      </c>
      <c r="H6787" s="2">
        <v>126</v>
      </c>
      <c r="I6787" s="2">
        <v>234</v>
      </c>
      <c r="J6787" s="2">
        <v>611</v>
      </c>
      <c r="K6787" s="2">
        <v>1</v>
      </c>
      <c r="L6787" s="2">
        <v>126</v>
      </c>
    </row>
    <row r="6788" spans="1:12" x14ac:dyDescent="0.25">
      <c r="A6788" s="4" t="str">
        <f>HYPERLINK("http://www.rosaceae.org/Prunus/Prunus_persica/p.persica_gdr_reftransV1_0044644","p.persica_gdr_reftransV1_0044644")</f>
        <v>p.persica_gdr_reftransV1_0044644</v>
      </c>
      <c r="B6788" s="2">
        <v>586</v>
      </c>
      <c r="C6788" s="4" t="str">
        <f>HYPERLINK("http://www.uniprot.org/uniprot/M5VSI1","M5VSI1")</f>
        <v>M5VSI1</v>
      </c>
      <c r="D6788" s="2" t="s">
        <v>6085</v>
      </c>
      <c r="E6788" s="3">
        <v>2.0800000000000001E-77</v>
      </c>
      <c r="F6788" s="2">
        <v>609</v>
      </c>
      <c r="G6788" s="2">
        <v>100</v>
      </c>
      <c r="H6788" s="2">
        <v>114</v>
      </c>
      <c r="I6788" s="2">
        <v>154</v>
      </c>
      <c r="J6788" s="2">
        <v>495</v>
      </c>
      <c r="K6788" s="2">
        <v>1</v>
      </c>
      <c r="L6788" s="2">
        <v>114</v>
      </c>
    </row>
    <row r="6789" spans="1:12" x14ac:dyDescent="0.25">
      <c r="A6789" s="4" t="str">
        <f>HYPERLINK("http://www.rosaceae.org/Prunus/Prunus_persica/p.persica_gdr_reftransV1_0044994","p.persica_gdr_reftransV1_0044994")</f>
        <v>p.persica_gdr_reftransV1_0044994</v>
      </c>
      <c r="B6789" s="2">
        <v>497</v>
      </c>
      <c r="C6789" s="4" t="str">
        <f>HYPERLINK("http://www.uniprot.org/uniprot/M5WE24","M5WE24")</f>
        <v>M5WE24</v>
      </c>
      <c r="D6789" s="2" t="s">
        <v>1890</v>
      </c>
      <c r="E6789" s="3">
        <v>1.6199999999999999E-64</v>
      </c>
      <c r="F6789" s="2">
        <v>572</v>
      </c>
      <c r="G6789" s="2">
        <v>100</v>
      </c>
      <c r="H6789" s="2">
        <v>125</v>
      </c>
      <c r="I6789" s="2">
        <v>121</v>
      </c>
      <c r="J6789" s="2">
        <v>495</v>
      </c>
      <c r="K6789" s="2">
        <v>1124</v>
      </c>
      <c r="L6789" s="2">
        <v>1248</v>
      </c>
    </row>
    <row r="6790" spans="1:12" x14ac:dyDescent="0.25">
      <c r="A6790" s="4" t="str">
        <f>HYPERLINK("http://www.rosaceae.org/Prunus/Prunus_persica/p.persica_gdr_reftransV1_0045344","p.persica_gdr_reftransV1_0045344")</f>
        <v>p.persica_gdr_reftransV1_0045344</v>
      </c>
      <c r="B6790" s="2">
        <v>2669</v>
      </c>
      <c r="C6790" s="4" t="str">
        <f>HYPERLINK("http://www.uniprot.org/uniprot/M5WWP9","M5WWP9")</f>
        <v>M5WWP9</v>
      </c>
      <c r="D6790" s="2" t="s">
        <v>6086</v>
      </c>
      <c r="E6790" s="3">
        <v>0</v>
      </c>
      <c r="F6790" s="2">
        <v>3945</v>
      </c>
      <c r="G6790" s="2">
        <v>100</v>
      </c>
      <c r="H6790" s="2">
        <v>767</v>
      </c>
      <c r="I6790" s="2">
        <v>71</v>
      </c>
      <c r="J6790" s="2">
        <v>2371</v>
      </c>
      <c r="K6790" s="2">
        <v>21</v>
      </c>
      <c r="L6790" s="2">
        <v>787</v>
      </c>
    </row>
    <row r="6791" spans="1:12" x14ac:dyDescent="0.25">
      <c r="A6791" s="4" t="str">
        <f>HYPERLINK("http://www.rosaceae.org/Prunus/Prunus_persica/p.persica_gdr_reftransV1_0045694","p.persica_gdr_reftransV1_0045694")</f>
        <v>p.persica_gdr_reftransV1_0045694</v>
      </c>
      <c r="B6791" s="2">
        <v>1041</v>
      </c>
      <c r="C6791" s="4" t="str">
        <f>HYPERLINK("http://www.uniprot.org/uniprot/M5W3G0","M5W3G0")</f>
        <v>M5W3G0</v>
      </c>
      <c r="D6791" s="2" t="s">
        <v>6087</v>
      </c>
      <c r="E6791" s="3">
        <v>6.4399999999999998E-146</v>
      </c>
      <c r="F6791" s="2">
        <v>1086</v>
      </c>
      <c r="G6791" s="2">
        <v>100</v>
      </c>
      <c r="H6791" s="2">
        <v>203</v>
      </c>
      <c r="I6791" s="2">
        <v>70</v>
      </c>
      <c r="J6791" s="2">
        <v>678</v>
      </c>
      <c r="K6791" s="2">
        <v>1</v>
      </c>
      <c r="L6791" s="2">
        <v>203</v>
      </c>
    </row>
    <row r="6792" spans="1:12" x14ac:dyDescent="0.25">
      <c r="A6792" s="4" t="str">
        <f>HYPERLINK("http://www.rosaceae.org/Prunus/Prunus_persica/p.persica_gdr_reftransV1_0046044","p.persica_gdr_reftransV1_0046044")</f>
        <v>p.persica_gdr_reftransV1_0046044</v>
      </c>
      <c r="B6792" s="2">
        <v>2431</v>
      </c>
      <c r="C6792" s="4" t="str">
        <f>HYPERLINK("http://www.uniprot.org/uniprot/M5XNX4","M5XNX4")</f>
        <v>M5XNX4</v>
      </c>
      <c r="D6792" s="2" t="s">
        <v>6088</v>
      </c>
      <c r="E6792" s="3">
        <v>0</v>
      </c>
      <c r="F6792" s="2">
        <v>3176</v>
      </c>
      <c r="G6792" s="2">
        <v>100</v>
      </c>
      <c r="H6792" s="2">
        <v>618</v>
      </c>
      <c r="I6792" s="2">
        <v>363</v>
      </c>
      <c r="J6792" s="2">
        <v>2216</v>
      </c>
      <c r="K6792" s="2">
        <v>1</v>
      </c>
      <c r="L6792" s="2">
        <v>618</v>
      </c>
    </row>
    <row r="6793" spans="1:12" x14ac:dyDescent="0.25">
      <c r="A6793" s="4" t="str">
        <f>HYPERLINK("http://www.rosaceae.org/Prunus/Prunus_persica/p.persica_gdr_reftransV1_0046744","p.persica_gdr_reftransV1_0046744")</f>
        <v>p.persica_gdr_reftransV1_0046744</v>
      </c>
      <c r="B6793" s="2">
        <v>967</v>
      </c>
      <c r="C6793" s="4" t="str">
        <f>HYPERLINK("http://www.uniprot.org/uniprot/M5VZA4","M5VZA4")</f>
        <v>M5VZA4</v>
      </c>
      <c r="D6793" s="2" t="s">
        <v>6036</v>
      </c>
      <c r="E6793" s="3">
        <v>2.3600000000000002E-133</v>
      </c>
      <c r="F6793" s="2">
        <v>1022</v>
      </c>
      <c r="G6793" s="2">
        <v>85</v>
      </c>
      <c r="H6793" s="2">
        <v>258</v>
      </c>
      <c r="I6793" s="2">
        <v>1</v>
      </c>
      <c r="J6793" s="2">
        <v>663</v>
      </c>
      <c r="K6793" s="2">
        <v>170</v>
      </c>
      <c r="L6793" s="2">
        <v>427</v>
      </c>
    </row>
    <row r="6794" spans="1:12" x14ac:dyDescent="0.25">
      <c r="A6794" s="4" t="str">
        <f>HYPERLINK("http://www.rosaceae.org/Prunus/Prunus_persica/p.persica_gdr_reftransV1_0047094","p.persica_gdr_reftransV1_0047094")</f>
        <v>p.persica_gdr_reftransV1_0047094</v>
      </c>
      <c r="B6794" s="2">
        <v>715</v>
      </c>
      <c r="C6794" s="4" t="str">
        <f>HYPERLINK("http://www.uniprot.org/uniprot/M5XH50","M5XH50")</f>
        <v>M5XH50</v>
      </c>
      <c r="D6794" s="2" t="s">
        <v>6089</v>
      </c>
      <c r="E6794" s="3">
        <v>1.1799999999999999E-36</v>
      </c>
      <c r="F6794" s="2">
        <v>341</v>
      </c>
      <c r="G6794" s="2">
        <v>65</v>
      </c>
      <c r="H6794" s="2">
        <v>116</v>
      </c>
      <c r="I6794" s="2">
        <v>294</v>
      </c>
      <c r="J6794" s="2">
        <v>641</v>
      </c>
      <c r="K6794" s="2">
        <v>27</v>
      </c>
      <c r="L6794" s="2">
        <v>103</v>
      </c>
    </row>
    <row r="6795" spans="1:12" x14ac:dyDescent="0.25">
      <c r="A6795" s="4" t="str">
        <f>HYPERLINK("http://www.rosaceae.org/Prunus/Prunus_persica/p.persica_gdr_reftransV1_0047444","p.persica_gdr_reftransV1_0047444")</f>
        <v>p.persica_gdr_reftransV1_0047444</v>
      </c>
      <c r="B6795" s="2">
        <v>349</v>
      </c>
      <c r="C6795" s="4" t="str">
        <f>HYPERLINK("http://www.uniprot.org/uniprot/M5W8I0","M5W8I0")</f>
        <v>M5W8I0</v>
      </c>
      <c r="D6795" s="2" t="s">
        <v>617</v>
      </c>
      <c r="E6795" s="3">
        <v>3.1100000000000002E-73</v>
      </c>
      <c r="F6795" s="2">
        <v>624</v>
      </c>
      <c r="G6795" s="2">
        <v>100</v>
      </c>
      <c r="H6795" s="2">
        <v>116</v>
      </c>
      <c r="I6795" s="2">
        <v>2</v>
      </c>
      <c r="J6795" s="2">
        <v>349</v>
      </c>
      <c r="K6795" s="2">
        <v>321</v>
      </c>
      <c r="L6795" s="2">
        <v>436</v>
      </c>
    </row>
    <row r="6796" spans="1:12" x14ac:dyDescent="0.25">
      <c r="A6796" s="4" t="str">
        <f>HYPERLINK("http://www.rosaceae.org/Prunus/Prunus_persica/p.persica_gdr_reftransV1_0047794","p.persica_gdr_reftransV1_0047794")</f>
        <v>p.persica_gdr_reftransV1_0047794</v>
      </c>
      <c r="B6796" s="2">
        <v>1041</v>
      </c>
      <c r="C6796" s="4" t="str">
        <f>HYPERLINK("http://www.uniprot.org/uniprot/M5XLT9","M5XLT9")</f>
        <v>M5XLT9</v>
      </c>
      <c r="D6796" s="2" t="s">
        <v>6090</v>
      </c>
      <c r="E6796" s="3">
        <v>4.76E-106</v>
      </c>
      <c r="F6796" s="2">
        <v>822</v>
      </c>
      <c r="G6796" s="2">
        <v>100</v>
      </c>
      <c r="H6796" s="2">
        <v>197</v>
      </c>
      <c r="I6796" s="2">
        <v>386</v>
      </c>
      <c r="J6796" s="2">
        <v>976</v>
      </c>
      <c r="K6796" s="2">
        <v>1</v>
      </c>
      <c r="L6796" s="2">
        <v>197</v>
      </c>
    </row>
    <row r="6797" spans="1:12" x14ac:dyDescent="0.25">
      <c r="A6797" s="4" t="str">
        <f>HYPERLINK("http://www.rosaceae.org/Prunus/Prunus_persica/p.persica_gdr_reftransV1_0048144","p.persica_gdr_reftransV1_0048144")</f>
        <v>p.persica_gdr_reftransV1_0048144</v>
      </c>
      <c r="B6797" s="2">
        <v>2008</v>
      </c>
      <c r="C6797" s="4" t="str">
        <f>HYPERLINK("http://www.uniprot.org/uniprot/M5VYP1","M5VYP1")</f>
        <v>M5VYP1</v>
      </c>
      <c r="D6797" s="2" t="s">
        <v>6091</v>
      </c>
      <c r="E6797" s="3">
        <v>0</v>
      </c>
      <c r="F6797" s="2">
        <v>2542</v>
      </c>
      <c r="G6797" s="2">
        <v>100</v>
      </c>
      <c r="H6797" s="2">
        <v>535</v>
      </c>
      <c r="I6797" s="2">
        <v>273</v>
      </c>
      <c r="J6797" s="2">
        <v>1877</v>
      </c>
      <c r="K6797" s="2">
        <v>1</v>
      </c>
      <c r="L6797" s="2">
        <v>535</v>
      </c>
    </row>
    <row r="6798" spans="1:12" x14ac:dyDescent="0.25">
      <c r="A6798" s="4" t="str">
        <f>HYPERLINK("http://www.rosaceae.org/Prunus/Prunus_persica/p.persica_gdr_reftransV1_0048494","p.persica_gdr_reftransV1_0048494")</f>
        <v>p.persica_gdr_reftransV1_0048494</v>
      </c>
      <c r="B6798" s="2">
        <v>2207</v>
      </c>
      <c r="C6798" s="4" t="str">
        <f>HYPERLINK("http://www.uniprot.org/uniprot/M5XR78","M5XR78")</f>
        <v>M5XR78</v>
      </c>
      <c r="D6798" s="2" t="s">
        <v>6092</v>
      </c>
      <c r="E6798" s="3">
        <v>0</v>
      </c>
      <c r="F6798" s="2">
        <v>2471</v>
      </c>
      <c r="G6798" s="2">
        <v>98</v>
      </c>
      <c r="H6798" s="2">
        <v>483</v>
      </c>
      <c r="I6798" s="2">
        <v>172</v>
      </c>
      <c r="J6798" s="2">
        <v>1620</v>
      </c>
      <c r="K6798" s="2">
        <v>1</v>
      </c>
      <c r="L6798" s="2">
        <v>483</v>
      </c>
    </row>
    <row r="6799" spans="1:12" x14ac:dyDescent="0.25">
      <c r="A6799" s="4" t="str">
        <f>HYPERLINK("http://www.rosaceae.org/Prunus/Prunus_persica/p.persica_gdr_reftransV1_0049194","p.persica_gdr_reftransV1_0049194")</f>
        <v>p.persica_gdr_reftransV1_0049194</v>
      </c>
      <c r="B6799" s="2">
        <v>1754</v>
      </c>
      <c r="C6799" s="4" t="str">
        <f>HYPERLINK("http://www.uniprot.org/uniprot/M5VJ80","M5VJ80")</f>
        <v>M5VJ80</v>
      </c>
      <c r="D6799" s="2" t="s">
        <v>6093</v>
      </c>
      <c r="E6799" s="3">
        <v>0</v>
      </c>
      <c r="F6799" s="2">
        <v>2606</v>
      </c>
      <c r="G6799" s="2">
        <v>94</v>
      </c>
      <c r="H6799" s="2">
        <v>520</v>
      </c>
      <c r="I6799" s="2">
        <v>1</v>
      </c>
      <c r="J6799" s="2">
        <v>1560</v>
      </c>
      <c r="K6799" s="2">
        <v>9</v>
      </c>
      <c r="L6799" s="2">
        <v>513</v>
      </c>
    </row>
    <row r="6800" spans="1:12" x14ac:dyDescent="0.25">
      <c r="A6800" s="4" t="str">
        <f>HYPERLINK("http://www.rosaceae.org/Prunus/Prunus_persica/p.persica_gdr_reftransV1_0000195","p.persica_gdr_reftransV1_0000195")</f>
        <v>p.persica_gdr_reftransV1_0000195</v>
      </c>
      <c r="B6800" s="2">
        <v>2894</v>
      </c>
      <c r="C6800" s="4" t="str">
        <f>HYPERLINK("http://www.uniprot.org/uniprot/I1W1T9","I1W1T9")</f>
        <v>I1W1T9</v>
      </c>
      <c r="D6800" s="2" t="s">
        <v>1909</v>
      </c>
      <c r="E6800" s="3">
        <v>0</v>
      </c>
      <c r="F6800" s="2">
        <v>3123</v>
      </c>
      <c r="G6800" s="2">
        <v>92</v>
      </c>
      <c r="H6800" s="2">
        <v>680</v>
      </c>
      <c r="I6800" s="2">
        <v>510</v>
      </c>
      <c r="J6800" s="2">
        <v>2549</v>
      </c>
      <c r="K6800" s="2">
        <v>1</v>
      </c>
      <c r="L6800" s="2">
        <v>628</v>
      </c>
    </row>
    <row r="6801" spans="1:12" x14ac:dyDescent="0.25">
      <c r="A6801" s="4" t="str">
        <f>HYPERLINK("http://www.rosaceae.org/Prunus/Prunus_persica/p.persica_gdr_reftransV1_0000545","p.persica_gdr_reftransV1_0000545")</f>
        <v>p.persica_gdr_reftransV1_0000545</v>
      </c>
      <c r="B6801" s="2">
        <v>2909</v>
      </c>
      <c r="C6801" s="4" t="str">
        <f>HYPERLINK("http://www.uniprot.org/uniprot/M5W704","M5W704")</f>
        <v>M5W704</v>
      </c>
      <c r="D6801" s="2" t="s">
        <v>6094</v>
      </c>
      <c r="E6801" s="3">
        <v>0</v>
      </c>
      <c r="F6801" s="2">
        <v>2651</v>
      </c>
      <c r="G6801" s="2">
        <v>92</v>
      </c>
      <c r="H6801" s="2">
        <v>593</v>
      </c>
      <c r="I6801" s="2">
        <v>258</v>
      </c>
      <c r="J6801" s="2">
        <v>2033</v>
      </c>
      <c r="K6801" s="2">
        <v>85</v>
      </c>
      <c r="L6801" s="2">
        <v>658</v>
      </c>
    </row>
    <row r="6802" spans="1:12" x14ac:dyDescent="0.25">
      <c r="A6802" s="4" t="str">
        <f>HYPERLINK("http://www.rosaceae.org/Prunus/Prunus_persica/p.persica_gdr_reftransV1_0001245","p.persica_gdr_reftransV1_0001245")</f>
        <v>p.persica_gdr_reftransV1_0001245</v>
      </c>
      <c r="B6802" s="2">
        <v>1923</v>
      </c>
      <c r="C6802" s="4" t="str">
        <f>HYPERLINK("http://www.uniprot.org/uniprot/M5WRZ2","M5WRZ2")</f>
        <v>M5WRZ2</v>
      </c>
      <c r="D6802" s="2" t="s">
        <v>6095</v>
      </c>
      <c r="E6802" s="3">
        <v>0</v>
      </c>
      <c r="F6802" s="2">
        <v>2646</v>
      </c>
      <c r="G6802" s="2">
        <v>92</v>
      </c>
      <c r="H6802" s="2">
        <v>559</v>
      </c>
      <c r="I6802" s="2">
        <v>149</v>
      </c>
      <c r="J6802" s="2">
        <v>1825</v>
      </c>
      <c r="K6802" s="2">
        <v>1</v>
      </c>
      <c r="L6802" s="2">
        <v>512</v>
      </c>
    </row>
    <row r="6803" spans="1:12" x14ac:dyDescent="0.25">
      <c r="A6803" s="4" t="str">
        <f>HYPERLINK("http://www.rosaceae.org/Prunus/Prunus_persica/p.persica_gdr_reftransV1_0001595","p.persica_gdr_reftransV1_0001595")</f>
        <v>p.persica_gdr_reftransV1_0001595</v>
      </c>
      <c r="B6803" s="2">
        <v>1164</v>
      </c>
      <c r="C6803" s="4" t="str">
        <f>HYPERLINK("http://www.uniprot.org/uniprot/M5WLU3","M5WLU3")</f>
        <v>M5WLU3</v>
      </c>
      <c r="D6803" s="2" t="s">
        <v>6096</v>
      </c>
      <c r="E6803" s="3">
        <v>0</v>
      </c>
      <c r="F6803" s="2">
        <v>1725</v>
      </c>
      <c r="G6803" s="2">
        <v>100</v>
      </c>
      <c r="H6803" s="2">
        <v>337</v>
      </c>
      <c r="I6803" s="2">
        <v>35</v>
      </c>
      <c r="J6803" s="2">
        <v>1045</v>
      </c>
      <c r="K6803" s="2">
        <v>186</v>
      </c>
      <c r="L6803" s="2">
        <v>522</v>
      </c>
    </row>
    <row r="6804" spans="1:12" x14ac:dyDescent="0.25">
      <c r="A6804" s="4" t="str">
        <f>HYPERLINK("http://www.rosaceae.org/Prunus/Prunus_persica/p.persica_gdr_reftransV1_0001945","p.persica_gdr_reftransV1_0001945")</f>
        <v>p.persica_gdr_reftransV1_0001945</v>
      </c>
      <c r="B6804" s="2">
        <v>1337</v>
      </c>
      <c r="C6804" s="4" t="str">
        <f>HYPERLINK("http://www.uniprot.org/uniprot/M5W4R9","M5W4R9")</f>
        <v>M5W4R9</v>
      </c>
      <c r="D6804" s="2" t="s">
        <v>6097</v>
      </c>
      <c r="E6804" s="3">
        <v>4.0899999999999999E-179</v>
      </c>
      <c r="F6804" s="2">
        <v>1321</v>
      </c>
      <c r="G6804" s="2">
        <v>100</v>
      </c>
      <c r="H6804" s="2">
        <v>249</v>
      </c>
      <c r="I6804" s="2">
        <v>107</v>
      </c>
      <c r="J6804" s="2">
        <v>853</v>
      </c>
      <c r="K6804" s="2">
        <v>1</v>
      </c>
      <c r="L6804" s="2">
        <v>249</v>
      </c>
    </row>
    <row r="6805" spans="1:12" x14ac:dyDescent="0.25">
      <c r="A6805" s="4" t="str">
        <f>HYPERLINK("http://www.rosaceae.org/Prunus/Prunus_persica/p.persica_gdr_reftransV1_0002295","p.persica_gdr_reftransV1_0002295")</f>
        <v>p.persica_gdr_reftransV1_0002295</v>
      </c>
      <c r="B6805" s="2">
        <v>451</v>
      </c>
      <c r="C6805" s="4" t="str">
        <f>HYPERLINK("http://www.uniprot.org/uniprot/M5X6F3","M5X6F3")</f>
        <v>M5X6F3</v>
      </c>
      <c r="D6805" s="2" t="s">
        <v>6098</v>
      </c>
      <c r="E6805" s="3">
        <v>2.09E-100</v>
      </c>
      <c r="F6805" s="2">
        <v>792</v>
      </c>
      <c r="G6805" s="2">
        <v>100</v>
      </c>
      <c r="H6805" s="2">
        <v>150</v>
      </c>
      <c r="I6805" s="2">
        <v>1</v>
      </c>
      <c r="J6805" s="2">
        <v>450</v>
      </c>
      <c r="K6805" s="2">
        <v>4</v>
      </c>
      <c r="L6805" s="2">
        <v>153</v>
      </c>
    </row>
    <row r="6806" spans="1:12" x14ac:dyDescent="0.25">
      <c r="A6806" s="4" t="str">
        <f>HYPERLINK("http://www.rosaceae.org/Prunus/Prunus_persica/p.persica_gdr_reftransV1_0002645","p.persica_gdr_reftransV1_0002645")</f>
        <v>p.persica_gdr_reftransV1_0002645</v>
      </c>
      <c r="B6806" s="2">
        <v>1613</v>
      </c>
      <c r="C6806" s="4" t="str">
        <f>HYPERLINK("http://www.uniprot.org/uniprot/M5XBW5","M5XBW5")</f>
        <v>M5XBW5</v>
      </c>
      <c r="D6806" s="2" t="s">
        <v>775</v>
      </c>
      <c r="E6806" s="3">
        <v>0</v>
      </c>
      <c r="F6806" s="2">
        <v>1717</v>
      </c>
      <c r="G6806" s="2">
        <v>100</v>
      </c>
      <c r="H6806" s="2">
        <v>352</v>
      </c>
      <c r="I6806" s="2">
        <v>352</v>
      </c>
      <c r="J6806" s="2">
        <v>1407</v>
      </c>
      <c r="K6806" s="2">
        <v>1</v>
      </c>
      <c r="L6806" s="2">
        <v>352</v>
      </c>
    </row>
    <row r="6807" spans="1:12" x14ac:dyDescent="0.25">
      <c r="A6807" s="4" t="str">
        <f>HYPERLINK("http://www.rosaceae.org/Prunus/Prunus_persica/p.persica_gdr_reftransV1_0002995","p.persica_gdr_reftransV1_0002995")</f>
        <v>p.persica_gdr_reftransV1_0002995</v>
      </c>
      <c r="B6807" s="2">
        <v>1462</v>
      </c>
      <c r="C6807" s="4" t="str">
        <f>HYPERLINK("http://www.uniprot.org/uniprot/M5VZ00","M5VZ00")</f>
        <v>M5VZ00</v>
      </c>
      <c r="D6807" s="2" t="s">
        <v>6099</v>
      </c>
      <c r="E6807" s="3">
        <v>0</v>
      </c>
      <c r="F6807" s="2">
        <v>1846</v>
      </c>
      <c r="G6807" s="2">
        <v>100</v>
      </c>
      <c r="H6807" s="2">
        <v>364</v>
      </c>
      <c r="I6807" s="2">
        <v>29</v>
      </c>
      <c r="J6807" s="2">
        <v>1120</v>
      </c>
      <c r="K6807" s="2">
        <v>23</v>
      </c>
      <c r="L6807" s="2">
        <v>386</v>
      </c>
    </row>
    <row r="6808" spans="1:12" x14ac:dyDescent="0.25">
      <c r="A6808" s="4" t="str">
        <f>HYPERLINK("http://www.rosaceae.org/Prunus/Prunus_persica/p.persica_gdr_reftransV1_0003345","p.persica_gdr_reftransV1_0003345")</f>
        <v>p.persica_gdr_reftransV1_0003345</v>
      </c>
      <c r="B6808" s="2">
        <v>510</v>
      </c>
      <c r="C6808" s="4" t="str">
        <f>HYPERLINK("http://www.uniprot.org/uniprot/M5X396","M5X396")</f>
        <v>M5X396</v>
      </c>
      <c r="D6808" s="2" t="s">
        <v>6100</v>
      </c>
      <c r="E6808" s="3">
        <v>2.98E-71</v>
      </c>
      <c r="F6808" s="2">
        <v>575</v>
      </c>
      <c r="G6808" s="2">
        <v>99</v>
      </c>
      <c r="H6808" s="2">
        <v>108</v>
      </c>
      <c r="I6808" s="2">
        <v>2</v>
      </c>
      <c r="J6808" s="2">
        <v>325</v>
      </c>
      <c r="K6808" s="2">
        <v>57</v>
      </c>
      <c r="L6808" s="2">
        <v>164</v>
      </c>
    </row>
    <row r="6809" spans="1:12" x14ac:dyDescent="0.25">
      <c r="A6809" s="4" t="str">
        <f>HYPERLINK("http://www.rosaceae.org/Prunus/Prunus_persica/p.persica_gdr_reftransV1_0003695","p.persica_gdr_reftransV1_0003695")</f>
        <v>p.persica_gdr_reftransV1_0003695</v>
      </c>
      <c r="B6809" s="2">
        <v>1877</v>
      </c>
      <c r="C6809" s="4" t="str">
        <f>HYPERLINK("http://www.uniprot.org/uniprot/M5XX62","M5XX62")</f>
        <v>M5XX62</v>
      </c>
      <c r="D6809" s="2" t="s">
        <v>6101</v>
      </c>
      <c r="E6809" s="3">
        <v>0</v>
      </c>
      <c r="F6809" s="2">
        <v>2297</v>
      </c>
      <c r="G6809" s="2">
        <v>95</v>
      </c>
      <c r="H6809" s="2">
        <v>488</v>
      </c>
      <c r="I6809" s="2">
        <v>249</v>
      </c>
      <c r="J6809" s="2">
        <v>1712</v>
      </c>
      <c r="K6809" s="2">
        <v>1</v>
      </c>
      <c r="L6809" s="2">
        <v>484</v>
      </c>
    </row>
    <row r="6810" spans="1:12" x14ac:dyDescent="0.25">
      <c r="A6810" s="4" t="str">
        <f>HYPERLINK("http://www.rosaceae.org/Prunus/Prunus_persica/p.persica_gdr_reftransV1_0004045","p.persica_gdr_reftransV1_0004045")</f>
        <v>p.persica_gdr_reftransV1_0004045</v>
      </c>
      <c r="B6810" s="2">
        <v>1567</v>
      </c>
      <c r="C6810" s="4" t="str">
        <f>HYPERLINK("http://www.uniprot.org/uniprot/M5X1B9","M5X1B9")</f>
        <v>M5X1B9</v>
      </c>
      <c r="D6810" s="2" t="s">
        <v>6102</v>
      </c>
      <c r="E6810" s="3">
        <v>0</v>
      </c>
      <c r="F6810" s="2">
        <v>1985</v>
      </c>
      <c r="G6810" s="2">
        <v>100</v>
      </c>
      <c r="H6810" s="2">
        <v>392</v>
      </c>
      <c r="I6810" s="2">
        <v>108</v>
      </c>
      <c r="J6810" s="2">
        <v>1283</v>
      </c>
      <c r="K6810" s="2">
        <v>1</v>
      </c>
      <c r="L6810" s="2">
        <v>392</v>
      </c>
    </row>
    <row r="6811" spans="1:12" x14ac:dyDescent="0.25">
      <c r="A6811" s="4" t="str">
        <f>HYPERLINK("http://www.rosaceae.org/Prunus/Prunus_persica/p.persica_gdr_reftransV1_0004395","p.persica_gdr_reftransV1_0004395")</f>
        <v>p.persica_gdr_reftransV1_0004395</v>
      </c>
      <c r="B6811" s="2">
        <v>1873</v>
      </c>
      <c r="C6811" s="4" t="str">
        <f>HYPERLINK("http://www.uniprot.org/uniprot/M5W8K1","M5W8K1")</f>
        <v>M5W8K1</v>
      </c>
      <c r="D6811" s="2" t="s">
        <v>6103</v>
      </c>
      <c r="E6811" s="3">
        <v>0</v>
      </c>
      <c r="F6811" s="2">
        <v>2702</v>
      </c>
      <c r="G6811" s="2">
        <v>100</v>
      </c>
      <c r="H6811" s="2">
        <v>536</v>
      </c>
      <c r="I6811" s="2">
        <v>139</v>
      </c>
      <c r="J6811" s="2">
        <v>1746</v>
      </c>
      <c r="K6811" s="2">
        <v>1</v>
      </c>
      <c r="L6811" s="2">
        <v>536</v>
      </c>
    </row>
    <row r="6812" spans="1:12" x14ac:dyDescent="0.25">
      <c r="A6812" s="4" t="str">
        <f>HYPERLINK("http://www.rosaceae.org/Prunus/Prunus_persica/p.persica_gdr_reftransV1_0004745","p.persica_gdr_reftransV1_0004745")</f>
        <v>p.persica_gdr_reftransV1_0004745</v>
      </c>
      <c r="B6812" s="2">
        <v>719</v>
      </c>
      <c r="C6812" s="4" t="str">
        <f>HYPERLINK("http://www.uniprot.org/uniprot/M5WC49","M5WC49")</f>
        <v>M5WC49</v>
      </c>
      <c r="D6812" s="2" t="s">
        <v>6104</v>
      </c>
      <c r="E6812" s="3">
        <v>3.1600000000000001E-46</v>
      </c>
      <c r="F6812" s="2">
        <v>421</v>
      </c>
      <c r="G6812" s="2">
        <v>95</v>
      </c>
      <c r="H6812" s="2">
        <v>84</v>
      </c>
      <c r="I6812" s="2">
        <v>397</v>
      </c>
      <c r="J6812" s="2">
        <v>648</v>
      </c>
      <c r="K6812" s="2">
        <v>119</v>
      </c>
      <c r="L6812" s="2">
        <v>202</v>
      </c>
    </row>
    <row r="6813" spans="1:12" x14ac:dyDescent="0.25">
      <c r="A6813" s="4" t="str">
        <f>HYPERLINK("http://www.rosaceae.org/Prunus/Prunus_persica/p.persica_gdr_reftransV1_0005095","p.persica_gdr_reftransV1_0005095")</f>
        <v>p.persica_gdr_reftransV1_0005095</v>
      </c>
      <c r="B6813" s="2">
        <v>1736</v>
      </c>
      <c r="C6813" s="4" t="str">
        <f>HYPERLINK("http://www.uniprot.org/uniprot/V4SXR6","V4SXR6")</f>
        <v>V4SXR6</v>
      </c>
      <c r="D6813" s="2" t="s">
        <v>6105</v>
      </c>
      <c r="E6813" s="3">
        <v>0</v>
      </c>
      <c r="F6813" s="2">
        <v>1653</v>
      </c>
      <c r="G6813" s="2">
        <v>65</v>
      </c>
      <c r="H6813" s="2">
        <v>533</v>
      </c>
      <c r="I6813" s="2">
        <v>144</v>
      </c>
      <c r="J6813" s="2">
        <v>1730</v>
      </c>
      <c r="K6813" s="2">
        <v>30</v>
      </c>
      <c r="L6813" s="2">
        <v>556</v>
      </c>
    </row>
    <row r="6814" spans="1:12" x14ac:dyDescent="0.25">
      <c r="A6814" s="4" t="str">
        <f>HYPERLINK("http://www.rosaceae.org/Prunus/Prunus_persica/p.persica_gdr_reftransV1_0005445","p.persica_gdr_reftransV1_0005445")</f>
        <v>p.persica_gdr_reftransV1_0005445</v>
      </c>
      <c r="B6814" s="2">
        <v>1503</v>
      </c>
      <c r="C6814" s="4" t="str">
        <f>HYPERLINK("http://www.uniprot.org/uniprot/M5WV40","M5WV40")</f>
        <v>M5WV40</v>
      </c>
      <c r="D6814" s="2" t="s">
        <v>6106</v>
      </c>
      <c r="E6814" s="3">
        <v>1.2200000000000001E-132</v>
      </c>
      <c r="F6814" s="2">
        <v>1021</v>
      </c>
      <c r="G6814" s="2">
        <v>93</v>
      </c>
      <c r="H6814" s="2">
        <v>223</v>
      </c>
      <c r="I6814" s="2">
        <v>439</v>
      </c>
      <c r="J6814" s="2">
        <v>1092</v>
      </c>
      <c r="K6814" s="2">
        <v>57</v>
      </c>
      <c r="L6814" s="2">
        <v>279</v>
      </c>
    </row>
    <row r="6815" spans="1:12" x14ac:dyDescent="0.25">
      <c r="A6815" s="4" t="str">
        <f>HYPERLINK("http://www.rosaceae.org/Prunus/Prunus_persica/p.persica_gdr_reftransV1_0007195","p.persica_gdr_reftransV1_0007195")</f>
        <v>p.persica_gdr_reftransV1_0007195</v>
      </c>
      <c r="B6815" s="2">
        <v>1645</v>
      </c>
      <c r="C6815" s="4" t="str">
        <f>HYPERLINK("http://www.uniprot.org/uniprot/M5WHX0","M5WHX0")</f>
        <v>M5WHX0</v>
      </c>
      <c r="D6815" s="2" t="s">
        <v>6107</v>
      </c>
      <c r="E6815" s="3">
        <v>4.2199999999999997E-81</v>
      </c>
      <c r="F6815" s="2">
        <v>668</v>
      </c>
      <c r="G6815" s="2">
        <v>100</v>
      </c>
      <c r="H6815" s="2">
        <v>144</v>
      </c>
      <c r="I6815" s="2">
        <v>727</v>
      </c>
      <c r="J6815" s="2">
        <v>1158</v>
      </c>
      <c r="K6815" s="2">
        <v>1</v>
      </c>
      <c r="L6815" s="2">
        <v>144</v>
      </c>
    </row>
    <row r="6816" spans="1:12" x14ac:dyDescent="0.25">
      <c r="A6816" s="4" t="str">
        <f>HYPERLINK("http://www.rosaceae.org/Prunus/Prunus_persica/p.persica_gdr_reftransV1_0007545","p.persica_gdr_reftransV1_0007545")</f>
        <v>p.persica_gdr_reftransV1_0007545</v>
      </c>
      <c r="B6816" s="2">
        <v>1010</v>
      </c>
      <c r="C6816" s="4" t="str">
        <f>HYPERLINK("http://www.uniprot.org/uniprot/M5XZQ2","M5XZQ2")</f>
        <v>M5XZQ2</v>
      </c>
      <c r="D6816" s="2" t="s">
        <v>6108</v>
      </c>
      <c r="E6816" s="3">
        <v>1.4499999999999999E-100</v>
      </c>
      <c r="F6816" s="2">
        <v>781</v>
      </c>
      <c r="G6816" s="2">
        <v>100</v>
      </c>
      <c r="H6816" s="2">
        <v>147</v>
      </c>
      <c r="I6816" s="2">
        <v>446</v>
      </c>
      <c r="J6816" s="2">
        <v>886</v>
      </c>
      <c r="K6816" s="2">
        <v>20</v>
      </c>
      <c r="L6816" s="2">
        <v>166</v>
      </c>
    </row>
    <row r="6817" spans="1:12" x14ac:dyDescent="0.25">
      <c r="A6817" s="4" t="str">
        <f>HYPERLINK("http://www.rosaceae.org/Prunus/Prunus_persica/p.persica_gdr_reftransV1_0007895","p.persica_gdr_reftransV1_0007895")</f>
        <v>p.persica_gdr_reftransV1_0007895</v>
      </c>
      <c r="B6817" s="2">
        <v>925</v>
      </c>
      <c r="C6817" s="4" t="str">
        <f>HYPERLINK("http://www.uniprot.org/uniprot/M5Y011","M5Y011")</f>
        <v>M5Y011</v>
      </c>
      <c r="D6817" s="2" t="s">
        <v>6109</v>
      </c>
      <c r="E6817" s="3">
        <v>2.31E-163</v>
      </c>
      <c r="F6817" s="2">
        <v>1201</v>
      </c>
      <c r="G6817" s="2">
        <v>100</v>
      </c>
      <c r="H6817" s="2">
        <v>249</v>
      </c>
      <c r="I6817" s="2">
        <v>102</v>
      </c>
      <c r="J6817" s="2">
        <v>848</v>
      </c>
      <c r="K6817" s="2">
        <v>1</v>
      </c>
      <c r="L6817" s="2">
        <v>249</v>
      </c>
    </row>
    <row r="6818" spans="1:12" x14ac:dyDescent="0.25">
      <c r="A6818" s="4" t="str">
        <f>HYPERLINK("http://www.rosaceae.org/Prunus/Prunus_persica/p.persica_gdr_reftransV1_0008245","p.persica_gdr_reftransV1_0008245")</f>
        <v>p.persica_gdr_reftransV1_0008245</v>
      </c>
      <c r="B6818" s="2">
        <v>1891</v>
      </c>
      <c r="C6818" s="4" t="str">
        <f>HYPERLINK("http://www.uniprot.org/uniprot/W9R1K2","W9R1K2")</f>
        <v>W9R1K2</v>
      </c>
      <c r="D6818" s="2" t="s">
        <v>6110</v>
      </c>
      <c r="E6818" s="3">
        <v>3.1900000000000001E-149</v>
      </c>
      <c r="F6818" s="2">
        <v>1161</v>
      </c>
      <c r="G6818" s="2">
        <v>67</v>
      </c>
      <c r="H6818" s="2">
        <v>466</v>
      </c>
      <c r="I6818" s="2">
        <v>402</v>
      </c>
      <c r="J6818" s="2">
        <v>1712</v>
      </c>
      <c r="K6818" s="2">
        <v>2</v>
      </c>
      <c r="L6818" s="2">
        <v>458</v>
      </c>
    </row>
    <row r="6819" spans="1:12" x14ac:dyDescent="0.25">
      <c r="A6819" s="4" t="str">
        <f>HYPERLINK("http://www.rosaceae.org/Prunus/Prunus_persica/p.persica_gdr_reftransV1_0008945","p.persica_gdr_reftransV1_0008945")</f>
        <v>p.persica_gdr_reftransV1_0008945</v>
      </c>
      <c r="B6819" s="2">
        <v>2374</v>
      </c>
      <c r="C6819" s="4" t="str">
        <f>HYPERLINK("http://www.uniprot.org/uniprot/M5VX42","M5VX42")</f>
        <v>M5VX42</v>
      </c>
      <c r="D6819" s="2" t="s">
        <v>6111</v>
      </c>
      <c r="E6819" s="3">
        <v>0</v>
      </c>
      <c r="F6819" s="2">
        <v>2877</v>
      </c>
      <c r="G6819" s="2">
        <v>100</v>
      </c>
      <c r="H6819" s="2">
        <v>568</v>
      </c>
      <c r="I6819" s="2">
        <v>448</v>
      </c>
      <c r="J6819" s="2">
        <v>2151</v>
      </c>
      <c r="K6819" s="2">
        <v>1</v>
      </c>
      <c r="L6819" s="2">
        <v>568</v>
      </c>
    </row>
    <row r="6820" spans="1:12" x14ac:dyDescent="0.25">
      <c r="A6820" s="4" t="str">
        <f>HYPERLINK("http://www.rosaceae.org/Prunus/Prunus_persica/p.persica_gdr_reftransV1_0009295","p.persica_gdr_reftransV1_0009295")</f>
        <v>p.persica_gdr_reftransV1_0009295</v>
      </c>
      <c r="B6820" s="2">
        <v>1454</v>
      </c>
      <c r="C6820" s="4" t="str">
        <f>HYPERLINK("http://www.uniprot.org/uniprot/M5VZV7","M5VZV7")</f>
        <v>M5VZV7</v>
      </c>
      <c r="D6820" s="2" t="s">
        <v>6112</v>
      </c>
      <c r="E6820" s="3">
        <v>1.96E-172</v>
      </c>
      <c r="F6820" s="2">
        <v>1279</v>
      </c>
      <c r="G6820" s="2">
        <v>99</v>
      </c>
      <c r="H6820" s="2">
        <v>244</v>
      </c>
      <c r="I6820" s="2">
        <v>155</v>
      </c>
      <c r="J6820" s="2">
        <v>886</v>
      </c>
      <c r="K6820" s="2">
        <v>1</v>
      </c>
      <c r="L6820" s="2">
        <v>244</v>
      </c>
    </row>
    <row r="6821" spans="1:12" x14ac:dyDescent="0.25">
      <c r="A6821" s="4" t="str">
        <f>HYPERLINK("http://www.rosaceae.org/Prunus/Prunus_persica/p.persica_gdr_reftransV1_0009645","p.persica_gdr_reftransV1_0009645")</f>
        <v>p.persica_gdr_reftransV1_0009645</v>
      </c>
      <c r="B6821" s="2">
        <v>2473</v>
      </c>
      <c r="C6821" s="4" t="str">
        <f>HYPERLINK("http://www.uniprot.org/uniprot/M5XVR9","M5XVR9")</f>
        <v>M5XVR9</v>
      </c>
      <c r="D6821" s="2" t="s">
        <v>6113</v>
      </c>
      <c r="E6821" s="3">
        <v>0</v>
      </c>
      <c r="F6821" s="2">
        <v>2431</v>
      </c>
      <c r="G6821" s="2">
        <v>100</v>
      </c>
      <c r="H6821" s="2">
        <v>467</v>
      </c>
      <c r="I6821" s="2">
        <v>362</v>
      </c>
      <c r="J6821" s="2">
        <v>1762</v>
      </c>
      <c r="K6821" s="2">
        <v>131</v>
      </c>
      <c r="L6821" s="2">
        <v>597</v>
      </c>
    </row>
    <row r="6822" spans="1:12" x14ac:dyDescent="0.25">
      <c r="A6822" s="4" t="str">
        <f>HYPERLINK("http://www.rosaceae.org/Prunus/Prunus_persica/p.persica_gdr_reftransV1_0010345","p.persica_gdr_reftransV1_0010345")</f>
        <v>p.persica_gdr_reftransV1_0010345</v>
      </c>
      <c r="B6822" s="2">
        <v>2440</v>
      </c>
      <c r="C6822" s="4" t="str">
        <f>HYPERLINK("http://www.uniprot.org/uniprot/M5Y5P7","M5Y5P7")</f>
        <v>M5Y5P7</v>
      </c>
      <c r="D6822" s="2" t="s">
        <v>6114</v>
      </c>
      <c r="E6822" s="3">
        <v>5.1600000000000004E-85</v>
      </c>
      <c r="F6822" s="2">
        <v>711</v>
      </c>
      <c r="G6822" s="2">
        <v>100</v>
      </c>
      <c r="H6822" s="2">
        <v>133</v>
      </c>
      <c r="I6822" s="2">
        <v>159</v>
      </c>
      <c r="J6822" s="2">
        <v>557</v>
      </c>
      <c r="K6822" s="2">
        <v>1</v>
      </c>
      <c r="L6822" s="2">
        <v>133</v>
      </c>
    </row>
    <row r="6823" spans="1:12" x14ac:dyDescent="0.25">
      <c r="A6823" s="4" t="str">
        <f>HYPERLINK("http://www.rosaceae.org/Prunus/Prunus_persica/p.persica_gdr_reftransV1_0010695","p.persica_gdr_reftransV1_0010695")</f>
        <v>p.persica_gdr_reftransV1_0010695</v>
      </c>
      <c r="B6823" s="2">
        <v>485</v>
      </c>
      <c r="C6823" s="4" t="str">
        <f>HYPERLINK("http://www.uniprot.org/uniprot/M5Y165","M5Y165")</f>
        <v>M5Y165</v>
      </c>
      <c r="D6823" s="2" t="s">
        <v>6115</v>
      </c>
      <c r="E6823" s="3">
        <v>3.0300000000000002E-100</v>
      </c>
      <c r="F6823" s="2">
        <v>800</v>
      </c>
      <c r="G6823" s="2">
        <v>100</v>
      </c>
      <c r="H6823" s="2">
        <v>161</v>
      </c>
      <c r="I6823" s="2">
        <v>2</v>
      </c>
      <c r="J6823" s="2">
        <v>484</v>
      </c>
      <c r="K6823" s="2">
        <v>406</v>
      </c>
      <c r="L6823" s="2">
        <v>566</v>
      </c>
    </row>
    <row r="6824" spans="1:12" x14ac:dyDescent="0.25">
      <c r="A6824" s="4" t="str">
        <f>HYPERLINK("http://www.rosaceae.org/Prunus/Prunus_persica/p.persica_gdr_reftransV1_0011395","p.persica_gdr_reftransV1_0011395")</f>
        <v>p.persica_gdr_reftransV1_0011395</v>
      </c>
      <c r="B6824" s="2">
        <v>1480</v>
      </c>
      <c r="C6824" s="4" t="str">
        <f>HYPERLINK("http://www.uniprot.org/uniprot/M5W1J1","M5W1J1")</f>
        <v>M5W1J1</v>
      </c>
      <c r="D6824" s="2" t="s">
        <v>6116</v>
      </c>
      <c r="E6824" s="3">
        <v>0</v>
      </c>
      <c r="F6824" s="2">
        <v>1688</v>
      </c>
      <c r="G6824" s="2">
        <v>100</v>
      </c>
      <c r="H6824" s="2">
        <v>312</v>
      </c>
      <c r="I6824" s="2">
        <v>201</v>
      </c>
      <c r="J6824" s="2">
        <v>1136</v>
      </c>
      <c r="K6824" s="2">
        <v>1</v>
      </c>
      <c r="L6824" s="2">
        <v>312</v>
      </c>
    </row>
    <row r="6825" spans="1:12" x14ac:dyDescent="0.25">
      <c r="A6825" s="4" t="str">
        <f>HYPERLINK("http://www.rosaceae.org/Prunus/Prunus_persica/p.persica_gdr_reftransV1_0011745","p.persica_gdr_reftransV1_0011745")</f>
        <v>p.persica_gdr_reftransV1_0011745</v>
      </c>
      <c r="B6825" s="2">
        <v>524</v>
      </c>
      <c r="C6825" s="4" t="str">
        <f>HYPERLINK("http://www.uniprot.org/uniprot/M5XPM1","M5XPM1")</f>
        <v>M5XPM1</v>
      </c>
      <c r="D6825" s="2" t="s">
        <v>1441</v>
      </c>
      <c r="E6825" s="3">
        <v>6.19E-87</v>
      </c>
      <c r="F6825" s="2">
        <v>691</v>
      </c>
      <c r="G6825" s="2">
        <v>100</v>
      </c>
      <c r="H6825" s="2">
        <v>145</v>
      </c>
      <c r="I6825" s="2">
        <v>88</v>
      </c>
      <c r="J6825" s="2">
        <v>522</v>
      </c>
      <c r="K6825" s="2">
        <v>66</v>
      </c>
      <c r="L6825" s="2">
        <v>210</v>
      </c>
    </row>
    <row r="6826" spans="1:12" x14ac:dyDescent="0.25">
      <c r="A6826" s="4" t="str">
        <f>HYPERLINK("http://www.rosaceae.org/Prunus/Prunus_persica/p.persica_gdr_reftransV1_0012795","p.persica_gdr_reftransV1_0012795")</f>
        <v>p.persica_gdr_reftransV1_0012795</v>
      </c>
      <c r="B6826" s="2">
        <v>1308</v>
      </c>
      <c r="C6826" s="4" t="str">
        <f>HYPERLINK("http://www.uniprot.org/uniprot/M5XHE8","M5XHE8")</f>
        <v>M5XHE8</v>
      </c>
      <c r="D6826" s="2" t="s">
        <v>6117</v>
      </c>
      <c r="E6826" s="3">
        <v>1.4300000000000001E-136</v>
      </c>
      <c r="F6826" s="2">
        <v>1038</v>
      </c>
      <c r="G6826" s="2">
        <v>100</v>
      </c>
      <c r="H6826" s="2">
        <v>250</v>
      </c>
      <c r="I6826" s="2">
        <v>343</v>
      </c>
      <c r="J6826" s="2">
        <v>1092</v>
      </c>
      <c r="K6826" s="2">
        <v>1</v>
      </c>
      <c r="L6826" s="2">
        <v>250</v>
      </c>
    </row>
    <row r="6827" spans="1:12" x14ac:dyDescent="0.25">
      <c r="A6827" s="4" t="str">
        <f>HYPERLINK("http://www.rosaceae.org/Prunus/Prunus_persica/p.persica_gdr_reftransV1_0014195","p.persica_gdr_reftransV1_0014195")</f>
        <v>p.persica_gdr_reftransV1_0014195</v>
      </c>
      <c r="B6827" s="2">
        <v>4634</v>
      </c>
      <c r="C6827" s="4" t="str">
        <f>HYPERLINK("http://www.uniprot.org/uniprot/A0A061ECG6","A0A061ECG6")</f>
        <v>A0A061ECG6</v>
      </c>
      <c r="D6827" s="2" t="s">
        <v>6118</v>
      </c>
      <c r="E6827" s="3">
        <v>0</v>
      </c>
      <c r="F6827" s="2">
        <v>3592</v>
      </c>
      <c r="G6827" s="2">
        <v>53</v>
      </c>
      <c r="H6827" s="2">
        <v>1647</v>
      </c>
      <c r="I6827" s="2">
        <v>3</v>
      </c>
      <c r="J6827" s="2">
        <v>4589</v>
      </c>
      <c r="K6827" s="2">
        <v>1</v>
      </c>
      <c r="L6827" s="2">
        <v>1565</v>
      </c>
    </row>
    <row r="6828" spans="1:12" x14ac:dyDescent="0.25">
      <c r="A6828" s="4" t="str">
        <f>HYPERLINK("http://www.rosaceae.org/Prunus/Prunus_persica/p.persica_gdr_reftransV1_0014895","p.persica_gdr_reftransV1_0014895")</f>
        <v>p.persica_gdr_reftransV1_0014895</v>
      </c>
      <c r="B6828" s="2">
        <v>2131</v>
      </c>
      <c r="C6828" s="4" t="str">
        <f>HYPERLINK("http://www.uniprot.org/uniprot/M5WTK0","M5WTK0")</f>
        <v>M5WTK0</v>
      </c>
      <c r="D6828" s="2" t="s">
        <v>6119</v>
      </c>
      <c r="E6828" s="3">
        <v>0</v>
      </c>
      <c r="F6828" s="2">
        <v>1703</v>
      </c>
      <c r="G6828" s="2">
        <v>100</v>
      </c>
      <c r="H6828" s="2">
        <v>352</v>
      </c>
      <c r="I6828" s="2">
        <v>803</v>
      </c>
      <c r="J6828" s="2">
        <v>1858</v>
      </c>
      <c r="K6828" s="2">
        <v>27</v>
      </c>
      <c r="L6828" s="2">
        <v>378</v>
      </c>
    </row>
    <row r="6829" spans="1:12" x14ac:dyDescent="0.25">
      <c r="A6829" s="4" t="str">
        <f>HYPERLINK("http://www.rosaceae.org/Prunus/Prunus_persica/p.persica_gdr_reftransV1_0015245","p.persica_gdr_reftransV1_0015245")</f>
        <v>p.persica_gdr_reftransV1_0015245</v>
      </c>
      <c r="B6829" s="2">
        <v>796</v>
      </c>
      <c r="C6829" s="4" t="str">
        <f>HYPERLINK("http://www.uniprot.org/uniprot/M5WM65","M5WM65")</f>
        <v>M5WM65</v>
      </c>
      <c r="D6829" s="2" t="s">
        <v>6120</v>
      </c>
      <c r="E6829" s="3">
        <v>1.6799999999999999E-47</v>
      </c>
      <c r="F6829" s="2">
        <v>455</v>
      </c>
      <c r="G6829" s="2">
        <v>100</v>
      </c>
      <c r="H6829" s="2">
        <v>83</v>
      </c>
      <c r="I6829" s="2">
        <v>547</v>
      </c>
      <c r="J6829" s="2">
        <v>795</v>
      </c>
      <c r="K6829" s="2">
        <v>1</v>
      </c>
      <c r="L6829" s="2">
        <v>83</v>
      </c>
    </row>
    <row r="6830" spans="1:12" x14ac:dyDescent="0.25">
      <c r="A6830" s="4" t="str">
        <f>HYPERLINK("http://www.rosaceae.org/Prunus/Prunus_persica/p.persica_gdr_reftransV1_0015595","p.persica_gdr_reftransV1_0015595")</f>
        <v>p.persica_gdr_reftransV1_0015595</v>
      </c>
      <c r="B6830" s="2">
        <v>1242</v>
      </c>
      <c r="C6830" s="4" t="str">
        <f>HYPERLINK("http://www.uniprot.org/uniprot/M5XB93","M5XB93")</f>
        <v>M5XB93</v>
      </c>
      <c r="D6830" s="2" t="s">
        <v>6088</v>
      </c>
      <c r="E6830" s="3">
        <v>5.9700000000000004E-87</v>
      </c>
      <c r="F6830" s="2">
        <v>729</v>
      </c>
      <c r="G6830" s="2">
        <v>100</v>
      </c>
      <c r="H6830" s="2">
        <v>134</v>
      </c>
      <c r="I6830" s="2">
        <v>839</v>
      </c>
      <c r="J6830" s="2">
        <v>1240</v>
      </c>
      <c r="K6830" s="2">
        <v>4</v>
      </c>
      <c r="L6830" s="2">
        <v>137</v>
      </c>
    </row>
    <row r="6831" spans="1:12" x14ac:dyDescent="0.25">
      <c r="A6831" s="4" t="str">
        <f>HYPERLINK("http://www.rosaceae.org/Prunus/Prunus_persica/p.persica_gdr_reftransV1_0015945","p.persica_gdr_reftransV1_0015945")</f>
        <v>p.persica_gdr_reftransV1_0015945</v>
      </c>
      <c r="B6831" s="2">
        <v>1660</v>
      </c>
      <c r="C6831" s="4" t="str">
        <f>HYPERLINK("http://www.uniprot.org/uniprot/M5VZM0","M5VZM0")</f>
        <v>M5VZM0</v>
      </c>
      <c r="D6831" s="2" t="s">
        <v>3354</v>
      </c>
      <c r="E6831" s="3">
        <v>8.4599999999999999E-175</v>
      </c>
      <c r="F6831" s="2">
        <v>1302</v>
      </c>
      <c r="G6831" s="2">
        <v>100</v>
      </c>
      <c r="H6831" s="2">
        <v>247</v>
      </c>
      <c r="I6831" s="2">
        <v>85</v>
      </c>
      <c r="J6831" s="2">
        <v>825</v>
      </c>
      <c r="K6831" s="2">
        <v>1</v>
      </c>
      <c r="L6831" s="2">
        <v>247</v>
      </c>
    </row>
    <row r="6832" spans="1:12" x14ac:dyDescent="0.25">
      <c r="A6832" s="4" t="str">
        <f>HYPERLINK("http://www.rosaceae.org/Prunus/Prunus_persica/p.persica_gdr_reftransV1_0016295","p.persica_gdr_reftransV1_0016295")</f>
        <v>p.persica_gdr_reftransV1_0016295</v>
      </c>
      <c r="B6832" s="2">
        <v>1688</v>
      </c>
      <c r="C6832" s="4" t="str">
        <f>HYPERLINK("http://www.uniprot.org/uniprot/M5VZM1","M5VZM1")</f>
        <v>M5VZM1</v>
      </c>
      <c r="D6832" s="2" t="s">
        <v>6121</v>
      </c>
      <c r="E6832" s="3">
        <v>0</v>
      </c>
      <c r="F6832" s="2">
        <v>1881</v>
      </c>
      <c r="G6832" s="2">
        <v>100</v>
      </c>
      <c r="H6832" s="2">
        <v>378</v>
      </c>
      <c r="I6832" s="2">
        <v>328</v>
      </c>
      <c r="J6832" s="2">
        <v>1461</v>
      </c>
      <c r="K6832" s="2">
        <v>1</v>
      </c>
      <c r="L6832" s="2">
        <v>378</v>
      </c>
    </row>
    <row r="6833" spans="1:12" x14ac:dyDescent="0.25">
      <c r="A6833" s="4" t="str">
        <f>HYPERLINK("http://www.rosaceae.org/Prunus/Prunus_persica/p.persica_gdr_reftransV1_0017695","p.persica_gdr_reftransV1_0017695")</f>
        <v>p.persica_gdr_reftransV1_0017695</v>
      </c>
      <c r="B6833" s="2">
        <v>3199</v>
      </c>
      <c r="C6833" s="4" t="str">
        <f>HYPERLINK("http://www.uniprot.org/uniprot/M5W3S8","M5W3S8")</f>
        <v>M5W3S8</v>
      </c>
      <c r="D6833" s="2" t="s">
        <v>6122</v>
      </c>
      <c r="E6833" s="3">
        <v>0</v>
      </c>
      <c r="F6833" s="2">
        <v>3772</v>
      </c>
      <c r="G6833" s="2">
        <v>100</v>
      </c>
      <c r="H6833" s="2">
        <v>742</v>
      </c>
      <c r="I6833" s="2">
        <v>337</v>
      </c>
      <c r="J6833" s="2">
        <v>2562</v>
      </c>
      <c r="K6833" s="2">
        <v>1</v>
      </c>
      <c r="L6833" s="2">
        <v>742</v>
      </c>
    </row>
    <row r="6834" spans="1:12" x14ac:dyDescent="0.25">
      <c r="A6834" s="4" t="str">
        <f>HYPERLINK("http://www.rosaceae.org/Prunus/Prunus_persica/p.persica_gdr_reftransV1_0019095","p.persica_gdr_reftransV1_0019095")</f>
        <v>p.persica_gdr_reftransV1_0019095</v>
      </c>
      <c r="B6834" s="2">
        <v>3066</v>
      </c>
      <c r="C6834" s="4" t="str">
        <f>HYPERLINK("http://www.uniprot.org/uniprot/M5VMJ9","M5VMJ9")</f>
        <v>M5VMJ9</v>
      </c>
      <c r="D6834" s="2" t="s">
        <v>6123</v>
      </c>
      <c r="E6834" s="3">
        <v>0</v>
      </c>
      <c r="F6834" s="2">
        <v>4159</v>
      </c>
      <c r="G6834" s="2">
        <v>100</v>
      </c>
      <c r="H6834" s="2">
        <v>921</v>
      </c>
      <c r="I6834" s="2">
        <v>96</v>
      </c>
      <c r="J6834" s="2">
        <v>2858</v>
      </c>
      <c r="K6834" s="2">
        <v>1</v>
      </c>
      <c r="L6834" s="2">
        <v>921</v>
      </c>
    </row>
    <row r="6835" spans="1:12" x14ac:dyDescent="0.25">
      <c r="A6835" s="4" t="str">
        <f>HYPERLINK("http://www.rosaceae.org/Prunus/Prunus_persica/p.persica_gdr_reftransV1_0020495","p.persica_gdr_reftransV1_0020495")</f>
        <v>p.persica_gdr_reftransV1_0020495</v>
      </c>
      <c r="B6835" s="2">
        <v>4361</v>
      </c>
      <c r="C6835" s="4" t="str">
        <f>HYPERLINK("http://www.uniprot.org/uniprot/M5X359","M5X359")</f>
        <v>M5X359</v>
      </c>
      <c r="D6835" s="2" t="s">
        <v>6124</v>
      </c>
      <c r="E6835" s="3">
        <v>6.1499999999999996E-85</v>
      </c>
      <c r="F6835" s="2">
        <v>753</v>
      </c>
      <c r="G6835" s="2">
        <v>94</v>
      </c>
      <c r="H6835" s="2">
        <v>148</v>
      </c>
      <c r="I6835" s="2">
        <v>3750</v>
      </c>
      <c r="J6835" s="2">
        <v>4193</v>
      </c>
      <c r="K6835" s="2">
        <v>25</v>
      </c>
      <c r="L6835" s="2">
        <v>172</v>
      </c>
    </row>
    <row r="6836" spans="1:12" x14ac:dyDescent="0.25">
      <c r="A6836" s="4" t="str">
        <f>HYPERLINK("http://www.rosaceae.org/Prunus/Prunus_persica/p.persica_gdr_reftransV1_0020845","p.persica_gdr_reftransV1_0020845")</f>
        <v>p.persica_gdr_reftransV1_0020845</v>
      </c>
      <c r="B6836" s="2">
        <v>2758</v>
      </c>
      <c r="C6836" s="4" t="str">
        <f>HYPERLINK("http://www.uniprot.org/uniprot/M5XAA3","M5XAA3")</f>
        <v>M5XAA3</v>
      </c>
      <c r="D6836" s="2" t="s">
        <v>6125</v>
      </c>
      <c r="E6836" s="3">
        <v>0</v>
      </c>
      <c r="F6836" s="2">
        <v>2551</v>
      </c>
      <c r="G6836" s="2">
        <v>100</v>
      </c>
      <c r="H6836" s="2">
        <v>541</v>
      </c>
      <c r="I6836" s="2">
        <v>494</v>
      </c>
      <c r="J6836" s="2">
        <v>2116</v>
      </c>
      <c r="K6836" s="2">
        <v>1</v>
      </c>
      <c r="L6836" s="2">
        <v>541</v>
      </c>
    </row>
    <row r="6837" spans="1:12" x14ac:dyDescent="0.25">
      <c r="A6837" s="4" t="str">
        <f>HYPERLINK("http://www.rosaceae.org/Prunus/Prunus_persica/p.persica_gdr_reftransV1_0021895","p.persica_gdr_reftransV1_0021895")</f>
        <v>p.persica_gdr_reftransV1_0021895</v>
      </c>
      <c r="B6837" s="2">
        <v>599</v>
      </c>
      <c r="C6837" s="4" t="str">
        <f>HYPERLINK("http://www.uniprot.org/uniprot/M5WGM4","M5WGM4")</f>
        <v>M5WGM4</v>
      </c>
      <c r="D6837" s="2" t="s">
        <v>6126</v>
      </c>
      <c r="E6837" s="3">
        <v>4.5700000000000001E-29</v>
      </c>
      <c r="F6837" s="2">
        <v>300</v>
      </c>
      <c r="G6837" s="2">
        <v>95</v>
      </c>
      <c r="H6837" s="2">
        <v>88</v>
      </c>
      <c r="I6837" s="2">
        <v>206</v>
      </c>
      <c r="J6837" s="2">
        <v>469</v>
      </c>
      <c r="K6837" s="2">
        <v>218</v>
      </c>
      <c r="L6837" s="2">
        <v>305</v>
      </c>
    </row>
    <row r="6838" spans="1:12" x14ac:dyDescent="0.25">
      <c r="A6838" s="4" t="str">
        <f>HYPERLINK("http://www.rosaceae.org/Prunus/Prunus_persica/p.persica_gdr_reftransV1_0022595","p.persica_gdr_reftransV1_0022595")</f>
        <v>p.persica_gdr_reftransV1_0022595</v>
      </c>
      <c r="B6838" s="2">
        <v>2712</v>
      </c>
      <c r="C6838" s="4" t="str">
        <f>HYPERLINK("http://www.uniprot.org/uniprot/M5W8P2","M5W8P2")</f>
        <v>M5W8P2</v>
      </c>
      <c r="D6838" s="2" t="s">
        <v>6127</v>
      </c>
      <c r="E6838" s="3">
        <v>0</v>
      </c>
      <c r="F6838" s="2">
        <v>2374</v>
      </c>
      <c r="G6838" s="2">
        <v>100</v>
      </c>
      <c r="H6838" s="2">
        <v>483</v>
      </c>
      <c r="I6838" s="2">
        <v>643</v>
      </c>
      <c r="J6838" s="2">
        <v>2091</v>
      </c>
      <c r="K6838" s="2">
        <v>6</v>
      </c>
      <c r="L6838" s="2">
        <v>488</v>
      </c>
    </row>
    <row r="6839" spans="1:12" x14ac:dyDescent="0.25">
      <c r="A6839" s="4" t="str">
        <f>HYPERLINK("http://www.rosaceae.org/Prunus/Prunus_persica/p.persica_gdr_reftransV1_0022945","p.persica_gdr_reftransV1_0022945")</f>
        <v>p.persica_gdr_reftransV1_0022945</v>
      </c>
      <c r="B6839" s="2">
        <v>1156</v>
      </c>
      <c r="C6839" s="4" t="str">
        <f>HYPERLINK("http://www.uniprot.org/uniprot/M5WAZ7","M5WAZ7")</f>
        <v>M5WAZ7</v>
      </c>
      <c r="D6839" s="2" t="s">
        <v>6128</v>
      </c>
      <c r="E6839" s="3">
        <v>4.0099999999999999E-116</v>
      </c>
      <c r="F6839" s="2">
        <v>889</v>
      </c>
      <c r="G6839" s="2">
        <v>100</v>
      </c>
      <c r="H6839" s="2">
        <v>168</v>
      </c>
      <c r="I6839" s="2">
        <v>157</v>
      </c>
      <c r="J6839" s="2">
        <v>660</v>
      </c>
      <c r="K6839" s="2">
        <v>1</v>
      </c>
      <c r="L6839" s="2">
        <v>168</v>
      </c>
    </row>
    <row r="6840" spans="1:12" x14ac:dyDescent="0.25">
      <c r="A6840" s="4" t="str">
        <f>HYPERLINK("http://www.rosaceae.org/Prunus/Prunus_persica/p.persica_gdr_reftransV1_0023995","p.persica_gdr_reftransV1_0023995")</f>
        <v>p.persica_gdr_reftransV1_0023995</v>
      </c>
      <c r="B6840" s="2">
        <v>1406</v>
      </c>
      <c r="C6840" s="4" t="str">
        <f>HYPERLINK("http://www.uniprot.org/uniprot/M5XAU9","M5XAU9")</f>
        <v>M5XAU9</v>
      </c>
      <c r="D6840" s="2" t="s">
        <v>3356</v>
      </c>
      <c r="E6840" s="3">
        <v>0</v>
      </c>
      <c r="F6840" s="2">
        <v>2353</v>
      </c>
      <c r="G6840" s="2">
        <v>100</v>
      </c>
      <c r="H6840" s="2">
        <v>468</v>
      </c>
      <c r="I6840" s="2">
        <v>2</v>
      </c>
      <c r="J6840" s="2">
        <v>1405</v>
      </c>
      <c r="K6840" s="2">
        <v>229</v>
      </c>
      <c r="L6840" s="2">
        <v>696</v>
      </c>
    </row>
    <row r="6841" spans="1:12" x14ac:dyDescent="0.25">
      <c r="A6841" s="4" t="str">
        <f>HYPERLINK("http://www.rosaceae.org/Prunus/Prunus_persica/p.persica_gdr_reftransV1_0024695","p.persica_gdr_reftransV1_0024695")</f>
        <v>p.persica_gdr_reftransV1_0024695</v>
      </c>
      <c r="B6841" s="2">
        <v>3519</v>
      </c>
      <c r="C6841" s="4" t="str">
        <f>HYPERLINK("http://www.uniprot.org/uniprot/M5WZ60","M5WZ60")</f>
        <v>M5WZ60</v>
      </c>
      <c r="D6841" s="2" t="s">
        <v>6129</v>
      </c>
      <c r="E6841" s="3">
        <v>0</v>
      </c>
      <c r="F6841" s="2">
        <v>5091</v>
      </c>
      <c r="G6841" s="2">
        <v>100</v>
      </c>
      <c r="H6841" s="2">
        <v>986</v>
      </c>
      <c r="I6841" s="2">
        <v>216</v>
      </c>
      <c r="J6841" s="2">
        <v>3173</v>
      </c>
      <c r="K6841" s="2">
        <v>1</v>
      </c>
      <c r="L6841" s="2">
        <v>986</v>
      </c>
    </row>
    <row r="6842" spans="1:12" x14ac:dyDescent="0.25">
      <c r="A6842" s="4" t="str">
        <f>HYPERLINK("http://www.rosaceae.org/Prunus/Prunus_persica/p.persica_gdr_reftransV1_0025045","p.persica_gdr_reftransV1_0025045")</f>
        <v>p.persica_gdr_reftransV1_0025045</v>
      </c>
      <c r="B6842" s="2">
        <v>2538</v>
      </c>
      <c r="C6842" s="4" t="str">
        <f>HYPERLINK("http://www.uniprot.org/uniprot/M5VIC8","M5VIC8")</f>
        <v>M5VIC8</v>
      </c>
      <c r="D6842" s="2" t="s">
        <v>6130</v>
      </c>
      <c r="E6842" s="3">
        <v>0</v>
      </c>
      <c r="F6842" s="2">
        <v>1531</v>
      </c>
      <c r="G6842" s="2">
        <v>100</v>
      </c>
      <c r="H6842" s="2">
        <v>670</v>
      </c>
      <c r="I6842" s="2">
        <v>441</v>
      </c>
      <c r="J6842" s="2">
        <v>2450</v>
      </c>
      <c r="K6842" s="2">
        <v>1</v>
      </c>
      <c r="L6842" s="2">
        <v>670</v>
      </c>
    </row>
    <row r="6843" spans="1:12" x14ac:dyDescent="0.25">
      <c r="A6843" s="4" t="str">
        <f>HYPERLINK("http://www.rosaceae.org/Prunus/Prunus_persica/p.persica_gdr_reftransV1_0027845","p.persica_gdr_reftransV1_0027845")</f>
        <v>p.persica_gdr_reftransV1_0027845</v>
      </c>
      <c r="B6843" s="2">
        <v>1945</v>
      </c>
      <c r="C6843" s="4" t="str">
        <f>HYPERLINK("http://www.uniprot.org/uniprot/M5WZU4","M5WZU4")</f>
        <v>M5WZU4</v>
      </c>
      <c r="D6843" s="2" t="s">
        <v>6131</v>
      </c>
      <c r="E6843" s="3">
        <v>0</v>
      </c>
      <c r="F6843" s="2">
        <v>2389</v>
      </c>
      <c r="G6843" s="2">
        <v>100</v>
      </c>
      <c r="H6843" s="2">
        <v>447</v>
      </c>
      <c r="I6843" s="2">
        <v>255</v>
      </c>
      <c r="J6843" s="2">
        <v>1595</v>
      </c>
      <c r="K6843" s="2">
        <v>1</v>
      </c>
      <c r="L6843" s="2">
        <v>447</v>
      </c>
    </row>
    <row r="6844" spans="1:12" x14ac:dyDescent="0.25">
      <c r="A6844" s="4" t="str">
        <f>HYPERLINK("http://www.rosaceae.org/Prunus/Prunus_persica/p.persica_gdr_reftransV1_0029595","p.persica_gdr_reftransV1_0029595")</f>
        <v>p.persica_gdr_reftransV1_0029595</v>
      </c>
      <c r="B6844" s="2">
        <v>3226</v>
      </c>
      <c r="C6844" s="4" t="str">
        <f>HYPERLINK("http://www.uniprot.org/uniprot/M5WBG7","M5WBG7")</f>
        <v>M5WBG7</v>
      </c>
      <c r="D6844" s="2" t="s">
        <v>6132</v>
      </c>
      <c r="E6844" s="3">
        <v>0</v>
      </c>
      <c r="F6844" s="2">
        <v>2027</v>
      </c>
      <c r="G6844" s="2">
        <v>99</v>
      </c>
      <c r="H6844" s="2">
        <v>392</v>
      </c>
      <c r="I6844" s="2">
        <v>1236</v>
      </c>
      <c r="J6844" s="2">
        <v>2411</v>
      </c>
      <c r="K6844" s="2">
        <v>37</v>
      </c>
      <c r="L6844" s="2">
        <v>428</v>
      </c>
    </row>
    <row r="6845" spans="1:12" x14ac:dyDescent="0.25">
      <c r="A6845" s="4" t="str">
        <f>HYPERLINK("http://www.rosaceae.org/Prunus/Prunus_persica/p.persica_gdr_reftransV1_0031695","p.persica_gdr_reftransV1_0031695")</f>
        <v>p.persica_gdr_reftransV1_0031695</v>
      </c>
      <c r="B6845" s="2">
        <v>2250</v>
      </c>
      <c r="C6845" s="4" t="str">
        <f>HYPERLINK("http://www.uniprot.org/uniprot/M5XS06","M5XS06")</f>
        <v>M5XS06</v>
      </c>
      <c r="D6845" s="2" t="s">
        <v>6133</v>
      </c>
      <c r="E6845" s="3">
        <v>2.3099999999999999E-127</v>
      </c>
      <c r="F6845" s="2">
        <v>1001</v>
      </c>
      <c r="G6845" s="2">
        <v>100</v>
      </c>
      <c r="H6845" s="2">
        <v>190</v>
      </c>
      <c r="I6845" s="2">
        <v>1073</v>
      </c>
      <c r="J6845" s="2">
        <v>1642</v>
      </c>
      <c r="K6845" s="2">
        <v>12</v>
      </c>
      <c r="L6845" s="2">
        <v>201</v>
      </c>
    </row>
    <row r="6846" spans="1:12" x14ac:dyDescent="0.25">
      <c r="A6846" s="4" t="str">
        <f>HYPERLINK("http://www.rosaceae.org/Prunus/Prunus_persica/p.persica_gdr_reftransV1_0032045","p.persica_gdr_reftransV1_0032045")</f>
        <v>p.persica_gdr_reftransV1_0032045</v>
      </c>
      <c r="B6846" s="2">
        <v>1381</v>
      </c>
      <c r="C6846" s="4" t="str">
        <f>HYPERLINK("http://www.uniprot.org/uniprot/M5XAH7","M5XAH7")</f>
        <v>M5XAH7</v>
      </c>
      <c r="D6846" s="2" t="s">
        <v>6134</v>
      </c>
      <c r="E6846" s="3">
        <v>2.0000000000000001E-146</v>
      </c>
      <c r="F6846" s="2">
        <v>1108</v>
      </c>
      <c r="G6846" s="2">
        <v>99</v>
      </c>
      <c r="H6846" s="2">
        <v>222</v>
      </c>
      <c r="I6846" s="2">
        <v>166</v>
      </c>
      <c r="J6846" s="2">
        <v>831</v>
      </c>
      <c r="K6846" s="2">
        <v>3</v>
      </c>
      <c r="L6846" s="2">
        <v>224</v>
      </c>
    </row>
    <row r="6847" spans="1:12" x14ac:dyDescent="0.25">
      <c r="A6847" s="4" t="str">
        <f>HYPERLINK("http://www.rosaceae.org/Prunus/Prunus_persica/p.persica_gdr_reftransV1_0033445","p.persica_gdr_reftransV1_0033445")</f>
        <v>p.persica_gdr_reftransV1_0033445</v>
      </c>
      <c r="B6847" s="2">
        <v>1502</v>
      </c>
      <c r="C6847" s="4" t="str">
        <f>HYPERLINK("http://www.uniprot.org/uniprot/M5VZB4","M5VZB4")</f>
        <v>M5VZB4</v>
      </c>
      <c r="D6847" s="2" t="s">
        <v>6135</v>
      </c>
      <c r="E6847" s="3">
        <v>0</v>
      </c>
      <c r="F6847" s="2">
        <v>1571</v>
      </c>
      <c r="G6847" s="2">
        <v>100</v>
      </c>
      <c r="H6847" s="2">
        <v>308</v>
      </c>
      <c r="I6847" s="2">
        <v>316</v>
      </c>
      <c r="J6847" s="2">
        <v>1239</v>
      </c>
      <c r="K6847" s="2">
        <v>1</v>
      </c>
      <c r="L6847" s="2">
        <v>308</v>
      </c>
    </row>
    <row r="6848" spans="1:12" x14ac:dyDescent="0.25">
      <c r="A6848" s="4" t="str">
        <f>HYPERLINK("http://www.rosaceae.org/Prunus/Prunus_persica/p.persica_gdr_reftransV1_0033795","p.persica_gdr_reftransV1_0033795")</f>
        <v>p.persica_gdr_reftransV1_0033795</v>
      </c>
      <c r="B6848" s="2">
        <v>2633</v>
      </c>
      <c r="C6848" s="4" t="str">
        <f>HYPERLINK("http://www.uniprot.org/uniprot/M5WPV6","M5WPV6")</f>
        <v>M5WPV6</v>
      </c>
      <c r="D6848" s="2" t="s">
        <v>6136</v>
      </c>
      <c r="E6848" s="3">
        <v>0</v>
      </c>
      <c r="F6848" s="2">
        <v>2840</v>
      </c>
      <c r="G6848" s="2">
        <v>99</v>
      </c>
      <c r="H6848" s="2">
        <v>541</v>
      </c>
      <c r="I6848" s="2">
        <v>125</v>
      </c>
      <c r="J6848" s="2">
        <v>1747</v>
      </c>
      <c r="K6848" s="2">
        <v>1</v>
      </c>
      <c r="L6848" s="2">
        <v>541</v>
      </c>
    </row>
    <row r="6849" spans="1:12" x14ac:dyDescent="0.25">
      <c r="A6849" s="4" t="str">
        <f>HYPERLINK("http://www.rosaceae.org/Prunus/Prunus_persica/p.persica_gdr_reftransV1_0034845","p.persica_gdr_reftransV1_0034845")</f>
        <v>p.persica_gdr_reftransV1_0034845</v>
      </c>
      <c r="B6849" s="2">
        <v>1086</v>
      </c>
      <c r="C6849" s="4" t="str">
        <f>HYPERLINK("http://www.uniprot.org/uniprot/M5XYU4","M5XYU4")</f>
        <v>M5XYU4</v>
      </c>
      <c r="D6849" s="2" t="s">
        <v>6137</v>
      </c>
      <c r="E6849" s="3">
        <v>8.8299999999999999E-45</v>
      </c>
      <c r="F6849" s="2">
        <v>407</v>
      </c>
      <c r="G6849" s="2">
        <v>99</v>
      </c>
      <c r="H6849" s="2">
        <v>105</v>
      </c>
      <c r="I6849" s="2">
        <v>441</v>
      </c>
      <c r="J6849" s="2">
        <v>755</v>
      </c>
      <c r="K6849" s="2">
        <v>1</v>
      </c>
      <c r="L6849" s="2">
        <v>105</v>
      </c>
    </row>
    <row r="6850" spans="1:12" x14ac:dyDescent="0.25">
      <c r="A6850" s="4" t="str">
        <f>HYPERLINK("http://www.rosaceae.org/Prunus/Prunus_persica/p.persica_gdr_reftransV1_0035545","p.persica_gdr_reftransV1_0035545")</f>
        <v>p.persica_gdr_reftransV1_0035545</v>
      </c>
      <c r="B6850" s="2">
        <v>1974</v>
      </c>
      <c r="C6850" s="4" t="str">
        <f>HYPERLINK("http://www.uniprot.org/uniprot/M5XV75","M5XV75")</f>
        <v>M5XV75</v>
      </c>
      <c r="D6850" s="2" t="s">
        <v>6138</v>
      </c>
      <c r="E6850" s="3">
        <v>0</v>
      </c>
      <c r="F6850" s="2">
        <v>1945</v>
      </c>
      <c r="G6850" s="2">
        <v>100</v>
      </c>
      <c r="H6850" s="2">
        <v>425</v>
      </c>
      <c r="I6850" s="2">
        <v>327</v>
      </c>
      <c r="J6850" s="2">
        <v>1601</v>
      </c>
      <c r="K6850" s="2">
        <v>1</v>
      </c>
      <c r="L6850" s="2">
        <v>425</v>
      </c>
    </row>
    <row r="6851" spans="1:12" x14ac:dyDescent="0.25">
      <c r="A6851" s="4" t="str">
        <f>HYPERLINK("http://www.rosaceae.org/Prunus/Prunus_persica/p.persica_gdr_reftransV1_0039395","p.persica_gdr_reftransV1_0039395")</f>
        <v>p.persica_gdr_reftransV1_0039395</v>
      </c>
      <c r="B6851" s="2">
        <v>2101</v>
      </c>
      <c r="C6851" s="4" t="str">
        <f>HYPERLINK("http://www.uniprot.org/uniprot/M5WHY3","M5WHY3")</f>
        <v>M5WHY3</v>
      </c>
      <c r="D6851" s="2" t="s">
        <v>6139</v>
      </c>
      <c r="E6851" s="3">
        <v>0</v>
      </c>
      <c r="F6851" s="2">
        <v>1875</v>
      </c>
      <c r="G6851" s="2">
        <v>100</v>
      </c>
      <c r="H6851" s="2">
        <v>360</v>
      </c>
      <c r="I6851" s="2">
        <v>298</v>
      </c>
      <c r="J6851" s="2">
        <v>1377</v>
      </c>
      <c r="K6851" s="2">
        <v>1</v>
      </c>
      <c r="L6851" s="2">
        <v>360</v>
      </c>
    </row>
    <row r="6852" spans="1:12" x14ac:dyDescent="0.25">
      <c r="A6852" s="4" t="str">
        <f>HYPERLINK("http://www.rosaceae.org/Prunus/Prunus_persica/p.persica_gdr_reftransV1_0040795","p.persica_gdr_reftransV1_0040795")</f>
        <v>p.persica_gdr_reftransV1_0040795</v>
      </c>
      <c r="B6852" s="2">
        <v>1222</v>
      </c>
      <c r="C6852" s="4" t="str">
        <f>HYPERLINK("http://www.uniprot.org/uniprot/M5XCB5","M5XCB5")</f>
        <v>M5XCB5</v>
      </c>
      <c r="D6852" s="2" t="s">
        <v>6140</v>
      </c>
      <c r="E6852" s="3">
        <v>3.8300000000000001E-112</v>
      </c>
      <c r="F6852" s="2">
        <v>881</v>
      </c>
      <c r="G6852" s="2">
        <v>99</v>
      </c>
      <c r="H6852" s="2">
        <v>186</v>
      </c>
      <c r="I6852" s="2">
        <v>162</v>
      </c>
      <c r="J6852" s="2">
        <v>719</v>
      </c>
      <c r="K6852" s="2">
        <v>1</v>
      </c>
      <c r="L6852" s="2">
        <v>186</v>
      </c>
    </row>
    <row r="6853" spans="1:12" x14ac:dyDescent="0.25">
      <c r="A6853" s="4" t="str">
        <f>HYPERLINK("http://www.rosaceae.org/Prunus/Prunus_persica/p.persica_gdr_reftransV1_0041495","p.persica_gdr_reftransV1_0041495")</f>
        <v>p.persica_gdr_reftransV1_0041495</v>
      </c>
      <c r="B6853" s="2">
        <v>2079</v>
      </c>
      <c r="C6853" s="4" t="str">
        <f>HYPERLINK("http://www.uniprot.org/uniprot/M5WZ47","M5WZ47")</f>
        <v>M5WZ47</v>
      </c>
      <c r="D6853" s="2" t="s">
        <v>6141</v>
      </c>
      <c r="E6853" s="3">
        <v>0</v>
      </c>
      <c r="F6853" s="2">
        <v>2698</v>
      </c>
      <c r="G6853" s="2">
        <v>93</v>
      </c>
      <c r="H6853" s="2">
        <v>565</v>
      </c>
      <c r="I6853" s="2">
        <v>383</v>
      </c>
      <c r="J6853" s="2">
        <v>2077</v>
      </c>
      <c r="K6853" s="2">
        <v>232</v>
      </c>
      <c r="L6853" s="2">
        <v>758</v>
      </c>
    </row>
    <row r="6854" spans="1:12" x14ac:dyDescent="0.25">
      <c r="A6854" s="4" t="str">
        <f>HYPERLINK("http://www.rosaceae.org/Prunus/Prunus_persica/p.persica_gdr_reftransV1_0041845","p.persica_gdr_reftransV1_0041845")</f>
        <v>p.persica_gdr_reftransV1_0041845</v>
      </c>
      <c r="B6854" s="2">
        <v>3273</v>
      </c>
      <c r="C6854" s="4" t="str">
        <f>HYPERLINK("http://www.uniprot.org/uniprot/M5VZ54","M5VZ54")</f>
        <v>M5VZ54</v>
      </c>
      <c r="D6854" s="2" t="s">
        <v>6142</v>
      </c>
      <c r="E6854" s="3">
        <v>0</v>
      </c>
      <c r="F6854" s="2">
        <v>1706</v>
      </c>
      <c r="G6854" s="2">
        <v>90</v>
      </c>
      <c r="H6854" s="2">
        <v>363</v>
      </c>
      <c r="I6854" s="2">
        <v>1724</v>
      </c>
      <c r="J6854" s="2">
        <v>2812</v>
      </c>
      <c r="K6854" s="2">
        <v>1</v>
      </c>
      <c r="L6854" s="2">
        <v>326</v>
      </c>
    </row>
    <row r="6855" spans="1:12" x14ac:dyDescent="0.25">
      <c r="A6855" s="4" t="str">
        <f>HYPERLINK("http://www.rosaceae.org/Prunus/Prunus_persica/p.persica_gdr_reftransV1_0043245","p.persica_gdr_reftransV1_0043245")</f>
        <v>p.persica_gdr_reftransV1_0043245</v>
      </c>
      <c r="B6855" s="2">
        <v>726</v>
      </c>
      <c r="C6855" s="4" t="str">
        <f>HYPERLINK("http://www.uniprot.org/uniprot/D7SZI9","D7SZI9")</f>
        <v>D7SZI9</v>
      </c>
      <c r="D6855" s="2" t="s">
        <v>6143</v>
      </c>
      <c r="E6855" s="3">
        <v>3.3400000000000002E-81</v>
      </c>
      <c r="F6855" s="2">
        <v>649</v>
      </c>
      <c r="G6855" s="2">
        <v>81</v>
      </c>
      <c r="H6855" s="2">
        <v>152</v>
      </c>
      <c r="I6855" s="2">
        <v>25</v>
      </c>
      <c r="J6855" s="2">
        <v>480</v>
      </c>
      <c r="K6855" s="2">
        <v>69</v>
      </c>
      <c r="L6855" s="2">
        <v>220</v>
      </c>
    </row>
    <row r="6856" spans="1:12" x14ac:dyDescent="0.25">
      <c r="A6856" s="4" t="str">
        <f>HYPERLINK("http://www.rosaceae.org/Prunus/Prunus_persica/p.persica_gdr_reftransV1_0043595","p.persica_gdr_reftransV1_0043595")</f>
        <v>p.persica_gdr_reftransV1_0043595</v>
      </c>
      <c r="B6856" s="2">
        <v>1949</v>
      </c>
      <c r="C6856" s="4" t="str">
        <f>HYPERLINK("http://www.uniprot.org/uniprot/M5WBE8","M5WBE8")</f>
        <v>M5WBE8</v>
      </c>
      <c r="D6856" s="2" t="s">
        <v>6144</v>
      </c>
      <c r="E6856" s="3">
        <v>0</v>
      </c>
      <c r="F6856" s="2">
        <v>2335</v>
      </c>
      <c r="G6856" s="2">
        <v>100</v>
      </c>
      <c r="H6856" s="2">
        <v>505</v>
      </c>
      <c r="I6856" s="2">
        <v>53</v>
      </c>
      <c r="J6856" s="2">
        <v>1567</v>
      </c>
      <c r="K6856" s="2">
        <v>1</v>
      </c>
      <c r="L6856" s="2">
        <v>505</v>
      </c>
    </row>
    <row r="6857" spans="1:12" x14ac:dyDescent="0.25">
      <c r="A6857" s="4" t="str">
        <f>HYPERLINK("http://www.rosaceae.org/Prunus/Prunus_persica/p.persica_gdr_reftransV1_0043945","p.persica_gdr_reftransV1_0043945")</f>
        <v>p.persica_gdr_reftransV1_0043945</v>
      </c>
      <c r="B6857" s="2">
        <v>1984</v>
      </c>
      <c r="C6857" s="4" t="str">
        <f>HYPERLINK("http://www.uniprot.org/uniprot/M5WGE9","M5WGE9")</f>
        <v>M5WGE9</v>
      </c>
      <c r="D6857" s="2" t="s">
        <v>6145</v>
      </c>
      <c r="E6857" s="3">
        <v>0</v>
      </c>
      <c r="F6857" s="2">
        <v>2636</v>
      </c>
      <c r="G6857" s="2">
        <v>100</v>
      </c>
      <c r="H6857" s="2">
        <v>571</v>
      </c>
      <c r="I6857" s="2">
        <v>3</v>
      </c>
      <c r="J6857" s="2">
        <v>1715</v>
      </c>
      <c r="K6857" s="2">
        <v>16</v>
      </c>
      <c r="L6857" s="2">
        <v>586</v>
      </c>
    </row>
    <row r="6858" spans="1:12" x14ac:dyDescent="0.25">
      <c r="A6858" s="4" t="str">
        <f>HYPERLINK("http://www.rosaceae.org/Prunus/Prunus_persica/p.persica_gdr_reftransV1_0044295","p.persica_gdr_reftransV1_0044295")</f>
        <v>p.persica_gdr_reftransV1_0044295</v>
      </c>
      <c r="B6858" s="2">
        <v>2535</v>
      </c>
      <c r="C6858" s="4" t="str">
        <f>HYPERLINK("http://www.uniprot.org/uniprot/M5W9C6","M5W9C6")</f>
        <v>M5W9C6</v>
      </c>
      <c r="D6858" s="2" t="s">
        <v>6146</v>
      </c>
      <c r="E6858" s="3">
        <v>0</v>
      </c>
      <c r="F6858" s="2">
        <v>2339</v>
      </c>
      <c r="G6858" s="2">
        <v>100</v>
      </c>
      <c r="H6858" s="2">
        <v>442</v>
      </c>
      <c r="I6858" s="2">
        <v>135</v>
      </c>
      <c r="J6858" s="2">
        <v>1460</v>
      </c>
      <c r="K6858" s="2">
        <v>1</v>
      </c>
      <c r="L6858" s="2">
        <v>442</v>
      </c>
    </row>
    <row r="6859" spans="1:12" x14ac:dyDescent="0.25">
      <c r="A6859" s="4" t="str">
        <f>HYPERLINK("http://www.rosaceae.org/Prunus/Prunus_persica/p.persica_gdr_reftransV1_0044645","p.persica_gdr_reftransV1_0044645")</f>
        <v>p.persica_gdr_reftransV1_0044645</v>
      </c>
      <c r="B6859" s="2">
        <v>748</v>
      </c>
      <c r="C6859" s="4" t="str">
        <f>HYPERLINK("http://www.uniprot.org/uniprot/M5XMH8","M5XMH8")</f>
        <v>M5XMH8</v>
      </c>
      <c r="D6859" s="2" t="s">
        <v>6147</v>
      </c>
      <c r="E6859" s="3">
        <v>2.7100000000000002E-73</v>
      </c>
      <c r="F6859" s="2">
        <v>590</v>
      </c>
      <c r="G6859" s="2">
        <v>100</v>
      </c>
      <c r="H6859" s="2">
        <v>146</v>
      </c>
      <c r="I6859" s="2">
        <v>70</v>
      </c>
      <c r="J6859" s="2">
        <v>507</v>
      </c>
      <c r="K6859" s="2">
        <v>1</v>
      </c>
      <c r="L6859" s="2">
        <v>146</v>
      </c>
    </row>
    <row r="6860" spans="1:12" x14ac:dyDescent="0.25">
      <c r="A6860" s="4" t="str">
        <f>HYPERLINK("http://www.rosaceae.org/Prunus/Prunus_persica/p.persica_gdr_reftransV1_0044995","p.persica_gdr_reftransV1_0044995")</f>
        <v>p.persica_gdr_reftransV1_0044995</v>
      </c>
      <c r="B6860" s="2">
        <v>1111</v>
      </c>
      <c r="C6860" s="4" t="str">
        <f>HYPERLINK("http://www.uniprot.org/uniprot/M5XP57","M5XP57")</f>
        <v>M5XP57</v>
      </c>
      <c r="D6860" s="2" t="s">
        <v>6148</v>
      </c>
      <c r="E6860" s="3">
        <v>7.4400000000000004E-137</v>
      </c>
      <c r="F6860" s="2">
        <v>1031</v>
      </c>
      <c r="G6860" s="2">
        <v>100</v>
      </c>
      <c r="H6860" s="2">
        <v>222</v>
      </c>
      <c r="I6860" s="2">
        <v>409</v>
      </c>
      <c r="J6860" s="2">
        <v>1074</v>
      </c>
      <c r="K6860" s="2">
        <v>5</v>
      </c>
      <c r="L6860" s="2">
        <v>226</v>
      </c>
    </row>
    <row r="6861" spans="1:12" x14ac:dyDescent="0.25">
      <c r="A6861" s="4" t="str">
        <f>HYPERLINK("http://www.rosaceae.org/Prunus/Prunus_persica/p.persica_gdr_reftransV1_0045345","p.persica_gdr_reftransV1_0045345")</f>
        <v>p.persica_gdr_reftransV1_0045345</v>
      </c>
      <c r="B6861" s="2">
        <v>1548</v>
      </c>
      <c r="C6861" s="4" t="str">
        <f>HYPERLINK("http://www.uniprot.org/uniprot/M5XSK7","M5XSK7")</f>
        <v>M5XSK7</v>
      </c>
      <c r="D6861" s="2" t="s">
        <v>6149</v>
      </c>
      <c r="E6861" s="3">
        <v>0</v>
      </c>
      <c r="F6861" s="2">
        <v>1490</v>
      </c>
      <c r="G6861" s="2">
        <v>85</v>
      </c>
      <c r="H6861" s="2">
        <v>377</v>
      </c>
      <c r="I6861" s="2">
        <v>51</v>
      </c>
      <c r="J6861" s="2">
        <v>1175</v>
      </c>
      <c r="K6861" s="2">
        <v>1</v>
      </c>
      <c r="L6861" s="2">
        <v>368</v>
      </c>
    </row>
    <row r="6862" spans="1:12" x14ac:dyDescent="0.25">
      <c r="A6862" s="4" t="str">
        <f>HYPERLINK("http://www.rosaceae.org/Prunus/Prunus_persica/p.persica_gdr_reftransV1_0046045","p.persica_gdr_reftransV1_0046045")</f>
        <v>p.persica_gdr_reftransV1_0046045</v>
      </c>
      <c r="B6862" s="2">
        <v>1298</v>
      </c>
      <c r="C6862" s="4" t="str">
        <f>HYPERLINK("http://www.uniprot.org/uniprot/M5XZ72","M5XZ72")</f>
        <v>M5XZ72</v>
      </c>
      <c r="D6862" s="2" t="s">
        <v>4953</v>
      </c>
      <c r="E6862" s="3">
        <v>0</v>
      </c>
      <c r="F6862" s="2">
        <v>1525</v>
      </c>
      <c r="G6862" s="2">
        <v>100</v>
      </c>
      <c r="H6862" s="2">
        <v>286</v>
      </c>
      <c r="I6862" s="2">
        <v>268</v>
      </c>
      <c r="J6862" s="2">
        <v>1125</v>
      </c>
      <c r="K6862" s="2">
        <v>1</v>
      </c>
      <c r="L6862" s="2">
        <v>286</v>
      </c>
    </row>
    <row r="6863" spans="1:12" x14ac:dyDescent="0.25">
      <c r="A6863" s="4" t="str">
        <f>HYPERLINK("http://www.rosaceae.org/Prunus/Prunus_persica/p.persica_gdr_reftransV1_0046395","p.persica_gdr_reftransV1_0046395")</f>
        <v>p.persica_gdr_reftransV1_0046395</v>
      </c>
      <c r="B6863" s="2">
        <v>766</v>
      </c>
      <c r="C6863" s="4" t="str">
        <f>HYPERLINK("http://www.uniprot.org/uniprot/M5W829","M5W829")</f>
        <v>M5W829</v>
      </c>
      <c r="D6863" s="2" t="s">
        <v>2809</v>
      </c>
      <c r="E6863" s="3">
        <v>1.99E-105</v>
      </c>
      <c r="F6863" s="2">
        <v>815</v>
      </c>
      <c r="G6863" s="2">
        <v>100</v>
      </c>
      <c r="H6863" s="2">
        <v>175</v>
      </c>
      <c r="I6863" s="2">
        <v>238</v>
      </c>
      <c r="J6863" s="2">
        <v>762</v>
      </c>
      <c r="K6863" s="2">
        <v>98</v>
      </c>
      <c r="L6863" s="2">
        <v>272</v>
      </c>
    </row>
    <row r="6864" spans="1:12" x14ac:dyDescent="0.25">
      <c r="A6864" s="4" t="str">
        <f>HYPERLINK("http://www.rosaceae.org/Prunus/Prunus_persica/p.persica_gdr_reftransV1_0046745","p.persica_gdr_reftransV1_0046745")</f>
        <v>p.persica_gdr_reftransV1_0046745</v>
      </c>
      <c r="B6864" s="2">
        <v>1228</v>
      </c>
      <c r="C6864" s="4" t="str">
        <f>HYPERLINK("http://www.uniprot.org/uniprot/M5VWR6","M5VWR6")</f>
        <v>M5VWR6</v>
      </c>
      <c r="D6864" s="2" t="s">
        <v>6150</v>
      </c>
      <c r="E6864" s="3">
        <v>1.5399999999999999E-146</v>
      </c>
      <c r="F6864" s="2">
        <v>1103</v>
      </c>
      <c r="G6864" s="2">
        <v>100</v>
      </c>
      <c r="H6864" s="2">
        <v>264</v>
      </c>
      <c r="I6864" s="2">
        <v>68</v>
      </c>
      <c r="J6864" s="2">
        <v>859</v>
      </c>
      <c r="K6864" s="2">
        <v>1</v>
      </c>
      <c r="L6864" s="2">
        <v>264</v>
      </c>
    </row>
    <row r="6865" spans="1:12" x14ac:dyDescent="0.25">
      <c r="A6865" s="4" t="str">
        <f>HYPERLINK("http://www.rosaceae.org/Prunus/Prunus_persica/p.persica_gdr_reftransV1_0047445","p.persica_gdr_reftransV1_0047445")</f>
        <v>p.persica_gdr_reftransV1_0047445</v>
      </c>
      <c r="B6865" s="2">
        <v>673</v>
      </c>
      <c r="C6865" s="4" t="str">
        <f>HYPERLINK("http://www.uniprot.org/uniprot/M5W7S5","M5W7S5")</f>
        <v>M5W7S5</v>
      </c>
      <c r="D6865" s="2" t="s">
        <v>6151</v>
      </c>
      <c r="E6865" s="3">
        <v>2.2899999999999999E-144</v>
      </c>
      <c r="F6865" s="2">
        <v>1086</v>
      </c>
      <c r="G6865" s="2">
        <v>95</v>
      </c>
      <c r="H6865" s="2">
        <v>221</v>
      </c>
      <c r="I6865" s="2">
        <v>2</v>
      </c>
      <c r="J6865" s="2">
        <v>664</v>
      </c>
      <c r="K6865" s="2">
        <v>56</v>
      </c>
      <c r="L6865" s="2">
        <v>276</v>
      </c>
    </row>
    <row r="6866" spans="1:12" x14ac:dyDescent="0.25">
      <c r="A6866" s="4" t="str">
        <f>HYPERLINK("http://www.rosaceae.org/Prunus/Prunus_persica/p.persica_gdr_reftransV1_0047795","p.persica_gdr_reftransV1_0047795")</f>
        <v>p.persica_gdr_reftransV1_0047795</v>
      </c>
      <c r="B6866" s="2">
        <v>366</v>
      </c>
      <c r="C6866" s="4" t="str">
        <f>HYPERLINK("http://www.uniprot.org/uniprot/M5VVK5","M5VVK5")</f>
        <v>M5VVK5</v>
      </c>
      <c r="D6866" s="2" t="s">
        <v>681</v>
      </c>
      <c r="E6866" s="3">
        <v>4.9100000000000004E-37</v>
      </c>
      <c r="F6866" s="2">
        <v>357</v>
      </c>
      <c r="G6866" s="2">
        <v>100</v>
      </c>
      <c r="H6866" s="2">
        <v>65</v>
      </c>
      <c r="I6866" s="2">
        <v>3</v>
      </c>
      <c r="J6866" s="2">
        <v>197</v>
      </c>
      <c r="K6866" s="2">
        <v>1</v>
      </c>
      <c r="L6866" s="2">
        <v>65</v>
      </c>
    </row>
    <row r="6867" spans="1:12" x14ac:dyDescent="0.25">
      <c r="A6867" s="4" t="str">
        <f>HYPERLINK("http://www.rosaceae.org/Prunus/Prunus_persica/p.persica_gdr_reftransV1_0048145","p.persica_gdr_reftransV1_0048145")</f>
        <v>p.persica_gdr_reftransV1_0048145</v>
      </c>
      <c r="B6867" s="2">
        <v>908</v>
      </c>
      <c r="C6867" s="4" t="str">
        <f>HYPERLINK("http://www.uniprot.org/uniprot/M5WCH7","M5WCH7")</f>
        <v>M5WCH7</v>
      </c>
      <c r="D6867" s="2" t="s">
        <v>6152</v>
      </c>
      <c r="E6867" s="3">
        <v>5.8500000000000003E-56</v>
      </c>
      <c r="F6867" s="2">
        <v>479</v>
      </c>
      <c r="G6867" s="2">
        <v>100</v>
      </c>
      <c r="H6867" s="2">
        <v>143</v>
      </c>
      <c r="I6867" s="2">
        <v>434</v>
      </c>
      <c r="J6867" s="2">
        <v>862</v>
      </c>
      <c r="K6867" s="2">
        <v>1</v>
      </c>
      <c r="L6867" s="2">
        <v>143</v>
      </c>
    </row>
    <row r="6868" spans="1:12" x14ac:dyDescent="0.25">
      <c r="A6868" s="4" t="str">
        <f>HYPERLINK("http://www.rosaceae.org/Prunus/Prunus_persica/p.persica_gdr_reftransV1_0048495","p.persica_gdr_reftransV1_0048495")</f>
        <v>p.persica_gdr_reftransV1_0048495</v>
      </c>
      <c r="B6868" s="2">
        <v>1781</v>
      </c>
      <c r="C6868" s="4" t="str">
        <f>HYPERLINK("http://www.uniprot.org/uniprot/M5VM12","M5VM12")</f>
        <v>M5VM12</v>
      </c>
      <c r="D6868" s="2" t="s">
        <v>6153</v>
      </c>
      <c r="E6868" s="3">
        <v>0</v>
      </c>
      <c r="F6868" s="2">
        <v>2384</v>
      </c>
      <c r="G6868" s="2">
        <v>100</v>
      </c>
      <c r="H6868" s="2">
        <v>462</v>
      </c>
      <c r="I6868" s="2">
        <v>121</v>
      </c>
      <c r="J6868" s="2">
        <v>1506</v>
      </c>
      <c r="K6868" s="2">
        <v>1</v>
      </c>
      <c r="L6868" s="2">
        <v>462</v>
      </c>
    </row>
    <row r="6869" spans="1:12" x14ac:dyDescent="0.25">
      <c r="A6869" s="4" t="str">
        <f>HYPERLINK("http://www.rosaceae.org/Prunus/Prunus_persica/p.persica_gdr_reftransV1_0048845","p.persica_gdr_reftransV1_0048845")</f>
        <v>p.persica_gdr_reftransV1_0048845</v>
      </c>
      <c r="B6869" s="2">
        <v>1505</v>
      </c>
      <c r="C6869" s="4" t="str">
        <f>HYPERLINK("http://www.uniprot.org/uniprot/M5WC75","M5WC75")</f>
        <v>M5WC75</v>
      </c>
      <c r="D6869" s="2" t="s">
        <v>6154</v>
      </c>
      <c r="E6869" s="3">
        <v>2.0999999999999999E-107</v>
      </c>
      <c r="F6869" s="2">
        <v>854</v>
      </c>
      <c r="G6869" s="2">
        <v>100</v>
      </c>
      <c r="H6869" s="2">
        <v>162</v>
      </c>
      <c r="I6869" s="2">
        <v>808</v>
      </c>
      <c r="J6869" s="2">
        <v>1293</v>
      </c>
      <c r="K6869" s="2">
        <v>1</v>
      </c>
      <c r="L6869" s="2">
        <v>162</v>
      </c>
    </row>
    <row r="6870" spans="1:12" x14ac:dyDescent="0.25">
      <c r="A6870" s="4" t="str">
        <f>HYPERLINK("http://www.rosaceae.org/Prunus/Prunus_persica/p.persica_gdr_reftransV1_0049195","p.persica_gdr_reftransV1_0049195")</f>
        <v>p.persica_gdr_reftransV1_0049195</v>
      </c>
      <c r="B6870" s="2">
        <v>407</v>
      </c>
      <c r="C6870" s="4" t="str">
        <f>HYPERLINK("http://www.uniprot.org/uniprot/M5XUI9","M5XUI9")</f>
        <v>M5XUI9</v>
      </c>
      <c r="D6870" s="2" t="s">
        <v>590</v>
      </c>
      <c r="E6870" s="3">
        <v>1.5499999999999999E-86</v>
      </c>
      <c r="F6870" s="2">
        <v>716</v>
      </c>
      <c r="G6870" s="2">
        <v>100</v>
      </c>
      <c r="H6870" s="2">
        <v>135</v>
      </c>
      <c r="I6870" s="2">
        <v>1</v>
      </c>
      <c r="J6870" s="2">
        <v>405</v>
      </c>
      <c r="K6870" s="2">
        <v>243</v>
      </c>
      <c r="L6870" s="2">
        <v>377</v>
      </c>
    </row>
    <row r="6871" spans="1:12" x14ac:dyDescent="0.25">
      <c r="A6871" s="4" t="str">
        <f>HYPERLINK("http://www.rosaceae.org/Prunus/Prunus_persica/p.persica_gdr_reftransV1_0000196","p.persica_gdr_reftransV1_0000196")</f>
        <v>p.persica_gdr_reftransV1_0000196</v>
      </c>
      <c r="B6871" s="2">
        <v>458</v>
      </c>
      <c r="C6871" s="4" t="str">
        <f>HYPERLINK("http://www.uniprot.org/uniprot/W9SH81","W9SH81")</f>
        <v>W9SH81</v>
      </c>
      <c r="D6871" s="2" t="s">
        <v>6155</v>
      </c>
      <c r="E6871" s="3">
        <v>1.13E-61</v>
      </c>
      <c r="F6871" s="2">
        <v>540</v>
      </c>
      <c r="G6871" s="2">
        <v>79</v>
      </c>
      <c r="H6871" s="2">
        <v>123</v>
      </c>
      <c r="I6871" s="2">
        <v>89</v>
      </c>
      <c r="J6871" s="2">
        <v>457</v>
      </c>
      <c r="K6871" s="2">
        <v>51</v>
      </c>
      <c r="L6871" s="2">
        <v>173</v>
      </c>
    </row>
    <row r="6872" spans="1:12" x14ac:dyDescent="0.25">
      <c r="A6872" s="4" t="str">
        <f>HYPERLINK("http://www.rosaceae.org/Prunus/Prunus_persica/p.persica_gdr_reftransV1_0000546","p.persica_gdr_reftransV1_0000546")</f>
        <v>p.persica_gdr_reftransV1_0000546</v>
      </c>
      <c r="B6872" s="2">
        <v>2625</v>
      </c>
      <c r="C6872" s="4" t="str">
        <f>HYPERLINK("http://www.uniprot.org/uniprot/M5X0J8","M5X0J8")</f>
        <v>M5X0J8</v>
      </c>
      <c r="D6872" s="2" t="s">
        <v>6156</v>
      </c>
      <c r="E6872" s="3">
        <v>0</v>
      </c>
      <c r="F6872" s="2">
        <v>3037</v>
      </c>
      <c r="G6872" s="2">
        <v>100</v>
      </c>
      <c r="H6872" s="2">
        <v>561</v>
      </c>
      <c r="I6872" s="2">
        <v>591</v>
      </c>
      <c r="J6872" s="2">
        <v>2273</v>
      </c>
      <c r="K6872" s="2">
        <v>91</v>
      </c>
      <c r="L6872" s="2">
        <v>651</v>
      </c>
    </row>
    <row r="6873" spans="1:12" x14ac:dyDescent="0.25">
      <c r="A6873" s="4" t="str">
        <f>HYPERLINK("http://www.rosaceae.org/Prunus/Prunus_persica/p.persica_gdr_reftransV1_0000896","p.persica_gdr_reftransV1_0000896")</f>
        <v>p.persica_gdr_reftransV1_0000896</v>
      </c>
      <c r="B6873" s="2">
        <v>1046</v>
      </c>
      <c r="C6873" s="4" t="str">
        <f>HYPERLINK("http://www.uniprot.org/uniprot/M5WDV8","M5WDV8")</f>
        <v>M5WDV8</v>
      </c>
      <c r="D6873" s="2" t="s">
        <v>6157</v>
      </c>
      <c r="E6873" s="3">
        <v>6.2900000000000004E-93</v>
      </c>
      <c r="F6873" s="2">
        <v>732</v>
      </c>
      <c r="G6873" s="2">
        <v>100</v>
      </c>
      <c r="H6873" s="2">
        <v>139</v>
      </c>
      <c r="I6873" s="2">
        <v>568</v>
      </c>
      <c r="J6873" s="2">
        <v>984</v>
      </c>
      <c r="K6873" s="2">
        <v>1</v>
      </c>
      <c r="L6873" s="2">
        <v>139</v>
      </c>
    </row>
    <row r="6874" spans="1:12" x14ac:dyDescent="0.25">
      <c r="A6874" s="4" t="str">
        <f>HYPERLINK("http://www.rosaceae.org/Prunus/Prunus_persica/p.persica_gdr_reftransV1_0001246","p.persica_gdr_reftransV1_0001246")</f>
        <v>p.persica_gdr_reftransV1_0001246</v>
      </c>
      <c r="B6874" s="2">
        <v>1443</v>
      </c>
      <c r="C6874" s="4" t="str">
        <f>HYPERLINK("http://www.uniprot.org/uniprot/M5XCZ8","M5XCZ8")</f>
        <v>M5XCZ8</v>
      </c>
      <c r="D6874" s="2" t="s">
        <v>6158</v>
      </c>
      <c r="E6874" s="3">
        <v>0</v>
      </c>
      <c r="F6874" s="2">
        <v>1679</v>
      </c>
      <c r="G6874" s="2">
        <v>93</v>
      </c>
      <c r="H6874" s="2">
        <v>375</v>
      </c>
      <c r="I6874" s="2">
        <v>101</v>
      </c>
      <c r="J6874" s="2">
        <v>1225</v>
      </c>
      <c r="K6874" s="2">
        <v>12</v>
      </c>
      <c r="L6874" s="2">
        <v>359</v>
      </c>
    </row>
    <row r="6875" spans="1:12" x14ac:dyDescent="0.25">
      <c r="A6875" s="4" t="str">
        <f>HYPERLINK("http://www.rosaceae.org/Prunus/Prunus_persica/p.persica_gdr_reftransV1_0001596","p.persica_gdr_reftransV1_0001596")</f>
        <v>p.persica_gdr_reftransV1_0001596</v>
      </c>
      <c r="B6875" s="2">
        <v>2362</v>
      </c>
      <c r="C6875" s="4" t="str">
        <f>HYPERLINK("http://www.uniprot.org/uniprot/M5VX83","M5VX83")</f>
        <v>M5VX83</v>
      </c>
      <c r="D6875" s="2" t="s">
        <v>6159</v>
      </c>
      <c r="E6875" s="3">
        <v>0</v>
      </c>
      <c r="F6875" s="2">
        <v>1770</v>
      </c>
      <c r="G6875" s="2">
        <v>87</v>
      </c>
      <c r="H6875" s="2">
        <v>415</v>
      </c>
      <c r="I6875" s="2">
        <v>789</v>
      </c>
      <c r="J6875" s="2">
        <v>2033</v>
      </c>
      <c r="K6875" s="2">
        <v>1</v>
      </c>
      <c r="L6875" s="2">
        <v>383</v>
      </c>
    </row>
    <row r="6876" spans="1:12" x14ac:dyDescent="0.25">
      <c r="A6876" s="4" t="str">
        <f>HYPERLINK("http://www.rosaceae.org/Prunus/Prunus_persica/p.persica_gdr_reftransV1_0001946","p.persica_gdr_reftransV1_0001946")</f>
        <v>p.persica_gdr_reftransV1_0001946</v>
      </c>
      <c r="B6876" s="2">
        <v>539</v>
      </c>
      <c r="C6876" s="4" t="str">
        <f>HYPERLINK("http://www.uniprot.org/uniprot/M5WPN0","M5WPN0")</f>
        <v>M5WPN0</v>
      </c>
      <c r="D6876" s="2" t="s">
        <v>3157</v>
      </c>
      <c r="E6876" s="3">
        <v>1.1599999999999999E-70</v>
      </c>
      <c r="F6876" s="2">
        <v>573</v>
      </c>
      <c r="G6876" s="2">
        <v>72</v>
      </c>
      <c r="H6876" s="2">
        <v>179</v>
      </c>
      <c r="I6876" s="2">
        <v>3</v>
      </c>
      <c r="J6876" s="2">
        <v>539</v>
      </c>
      <c r="K6876" s="2">
        <v>99</v>
      </c>
      <c r="L6876" s="2">
        <v>226</v>
      </c>
    </row>
    <row r="6877" spans="1:12" x14ac:dyDescent="0.25">
      <c r="A6877" s="4" t="str">
        <f>HYPERLINK("http://www.rosaceae.org/Prunus/Prunus_persica/p.persica_gdr_reftransV1_0002646","p.persica_gdr_reftransV1_0002646")</f>
        <v>p.persica_gdr_reftransV1_0002646</v>
      </c>
      <c r="B6877" s="2">
        <v>443</v>
      </c>
      <c r="C6877" s="4" t="str">
        <f>HYPERLINK("http://www.uniprot.org/uniprot/M5WPB4","M5WPB4")</f>
        <v>M5WPB4</v>
      </c>
      <c r="D6877" s="2" t="s">
        <v>6160</v>
      </c>
      <c r="E6877" s="3">
        <v>6.86E-93</v>
      </c>
      <c r="F6877" s="2">
        <v>737</v>
      </c>
      <c r="G6877" s="2">
        <v>100</v>
      </c>
      <c r="H6877" s="2">
        <v>138</v>
      </c>
      <c r="I6877" s="2">
        <v>28</v>
      </c>
      <c r="J6877" s="2">
        <v>441</v>
      </c>
      <c r="K6877" s="2">
        <v>106</v>
      </c>
      <c r="L6877" s="2">
        <v>243</v>
      </c>
    </row>
    <row r="6878" spans="1:12" x14ac:dyDescent="0.25">
      <c r="A6878" s="4" t="str">
        <f>HYPERLINK("http://www.rosaceae.org/Prunus/Prunus_persica/p.persica_gdr_reftransV1_0002996","p.persica_gdr_reftransV1_0002996")</f>
        <v>p.persica_gdr_reftransV1_0002996</v>
      </c>
      <c r="B6878" s="2">
        <v>1276</v>
      </c>
      <c r="C6878" s="4" t="str">
        <f>HYPERLINK("http://www.uniprot.org/uniprot/M5WGG6","M5WGG6")</f>
        <v>M5WGG6</v>
      </c>
      <c r="D6878" s="2" t="s">
        <v>6161</v>
      </c>
      <c r="E6878" s="3">
        <v>0</v>
      </c>
      <c r="F6878" s="2">
        <v>1452</v>
      </c>
      <c r="G6878" s="2">
        <v>100</v>
      </c>
      <c r="H6878" s="2">
        <v>304</v>
      </c>
      <c r="I6878" s="2">
        <v>131</v>
      </c>
      <c r="J6878" s="2">
        <v>1042</v>
      </c>
      <c r="K6878" s="2">
        <v>1</v>
      </c>
      <c r="L6878" s="2">
        <v>304</v>
      </c>
    </row>
    <row r="6879" spans="1:12" x14ac:dyDescent="0.25">
      <c r="A6879" s="4" t="str">
        <f>HYPERLINK("http://www.rosaceae.org/Prunus/Prunus_persica/p.persica_gdr_reftransV1_0003346","p.persica_gdr_reftransV1_0003346")</f>
        <v>p.persica_gdr_reftransV1_0003346</v>
      </c>
      <c r="B6879" s="2">
        <v>4098</v>
      </c>
      <c r="C6879" s="4" t="str">
        <f>HYPERLINK("http://www.uniprot.org/uniprot/M5XXK2","M5XXK2")</f>
        <v>M5XXK2</v>
      </c>
      <c r="D6879" s="2" t="s">
        <v>6162</v>
      </c>
      <c r="E6879" s="3">
        <v>0</v>
      </c>
      <c r="F6879" s="2">
        <v>4216</v>
      </c>
      <c r="G6879" s="2">
        <v>100</v>
      </c>
      <c r="H6879" s="2">
        <v>798</v>
      </c>
      <c r="I6879" s="2">
        <v>726</v>
      </c>
      <c r="J6879" s="2">
        <v>3119</v>
      </c>
      <c r="K6879" s="2">
        <v>6</v>
      </c>
      <c r="L6879" s="2">
        <v>803</v>
      </c>
    </row>
    <row r="6880" spans="1:12" x14ac:dyDescent="0.25">
      <c r="A6880" s="4" t="str">
        <f>HYPERLINK("http://www.rosaceae.org/Prunus/Prunus_persica/p.persica_gdr_reftransV1_0003696","p.persica_gdr_reftransV1_0003696")</f>
        <v>p.persica_gdr_reftransV1_0003696</v>
      </c>
      <c r="B6880" s="2">
        <v>2125</v>
      </c>
      <c r="C6880" s="4" t="str">
        <f>HYPERLINK("http://www.uniprot.org/uniprot/M5WVM3","M5WVM3")</f>
        <v>M5WVM3</v>
      </c>
      <c r="D6880" s="2" t="s">
        <v>6163</v>
      </c>
      <c r="E6880" s="3">
        <v>0</v>
      </c>
      <c r="F6880" s="2">
        <v>2073</v>
      </c>
      <c r="G6880" s="2">
        <v>100</v>
      </c>
      <c r="H6880" s="2">
        <v>455</v>
      </c>
      <c r="I6880" s="2">
        <v>192</v>
      </c>
      <c r="J6880" s="2">
        <v>1556</v>
      </c>
      <c r="K6880" s="2">
        <v>1</v>
      </c>
      <c r="L6880" s="2">
        <v>455</v>
      </c>
    </row>
    <row r="6881" spans="1:12" x14ac:dyDescent="0.25">
      <c r="A6881" s="4" t="str">
        <f>HYPERLINK("http://www.rosaceae.org/Prunus/Prunus_persica/p.persica_gdr_reftransV1_0004046","p.persica_gdr_reftransV1_0004046")</f>
        <v>p.persica_gdr_reftransV1_0004046</v>
      </c>
      <c r="B6881" s="2">
        <v>1331</v>
      </c>
      <c r="C6881" s="4" t="str">
        <f>HYPERLINK("http://www.uniprot.org/uniprot/M5WNQ7","M5WNQ7")</f>
        <v>M5WNQ7</v>
      </c>
      <c r="D6881" s="2" t="s">
        <v>3770</v>
      </c>
      <c r="E6881" s="3">
        <v>1.59E-84</v>
      </c>
      <c r="F6881" s="2">
        <v>684</v>
      </c>
      <c r="G6881" s="2">
        <v>100</v>
      </c>
      <c r="H6881" s="2">
        <v>163</v>
      </c>
      <c r="I6881" s="2">
        <v>178</v>
      </c>
      <c r="J6881" s="2">
        <v>666</v>
      </c>
      <c r="K6881" s="2">
        <v>1</v>
      </c>
      <c r="L6881" s="2">
        <v>163</v>
      </c>
    </row>
    <row r="6882" spans="1:12" x14ac:dyDescent="0.25">
      <c r="A6882" s="4" t="str">
        <f>HYPERLINK("http://www.rosaceae.org/Prunus/Prunus_persica/p.persica_gdr_reftransV1_0004396","p.persica_gdr_reftransV1_0004396")</f>
        <v>p.persica_gdr_reftransV1_0004396</v>
      </c>
      <c r="B6882" s="2">
        <v>2567</v>
      </c>
      <c r="C6882" s="4" t="str">
        <f>HYPERLINK("http://www.uniprot.org/uniprot/M5W3D4","M5W3D4")</f>
        <v>M5W3D4</v>
      </c>
      <c r="D6882" s="2" t="s">
        <v>6164</v>
      </c>
      <c r="E6882" s="3">
        <v>0</v>
      </c>
      <c r="F6882" s="2">
        <v>2258</v>
      </c>
      <c r="G6882" s="2">
        <v>100</v>
      </c>
      <c r="H6882" s="2">
        <v>466</v>
      </c>
      <c r="I6882" s="2">
        <v>1094</v>
      </c>
      <c r="J6882" s="2">
        <v>2491</v>
      </c>
      <c r="K6882" s="2">
        <v>4</v>
      </c>
      <c r="L6882" s="2">
        <v>469</v>
      </c>
    </row>
    <row r="6883" spans="1:12" x14ac:dyDescent="0.25">
      <c r="A6883" s="4" t="str">
        <f>HYPERLINK("http://www.rosaceae.org/Prunus/Prunus_persica/p.persica_gdr_reftransV1_0004746","p.persica_gdr_reftransV1_0004746")</f>
        <v>p.persica_gdr_reftransV1_0004746</v>
      </c>
      <c r="B6883" s="2">
        <v>2789</v>
      </c>
      <c r="C6883" s="4" t="str">
        <f>HYPERLINK("http://www.uniprot.org/uniprot/M5WRI8","M5WRI8")</f>
        <v>M5WRI8</v>
      </c>
      <c r="D6883" s="2" t="s">
        <v>4594</v>
      </c>
      <c r="E6883" s="3">
        <v>0</v>
      </c>
      <c r="F6883" s="2">
        <v>4027</v>
      </c>
      <c r="G6883" s="2">
        <v>100</v>
      </c>
      <c r="H6883" s="2">
        <v>801</v>
      </c>
      <c r="I6883" s="2">
        <v>187</v>
      </c>
      <c r="J6883" s="2">
        <v>2589</v>
      </c>
      <c r="K6883" s="2">
        <v>1</v>
      </c>
      <c r="L6883" s="2">
        <v>801</v>
      </c>
    </row>
    <row r="6884" spans="1:12" x14ac:dyDescent="0.25">
      <c r="A6884" s="4" t="str">
        <f>HYPERLINK("http://www.rosaceae.org/Prunus/Prunus_persica/p.persica_gdr_reftransV1_0005096","p.persica_gdr_reftransV1_0005096")</f>
        <v>p.persica_gdr_reftransV1_0005096</v>
      </c>
      <c r="B6884" s="2">
        <v>1282</v>
      </c>
      <c r="C6884" s="4" t="str">
        <f>HYPERLINK("http://www.uniprot.org/uniprot/M5XTT9","M5XTT9")</f>
        <v>M5XTT9</v>
      </c>
      <c r="D6884" s="2" t="s">
        <v>6165</v>
      </c>
      <c r="E6884" s="3">
        <v>1.31E-166</v>
      </c>
      <c r="F6884" s="2">
        <v>1234</v>
      </c>
      <c r="G6884" s="2">
        <v>100</v>
      </c>
      <c r="H6884" s="2">
        <v>241</v>
      </c>
      <c r="I6884" s="2">
        <v>195</v>
      </c>
      <c r="J6884" s="2">
        <v>917</v>
      </c>
      <c r="K6884" s="2">
        <v>1</v>
      </c>
      <c r="L6884" s="2">
        <v>241</v>
      </c>
    </row>
    <row r="6885" spans="1:12" x14ac:dyDescent="0.25">
      <c r="A6885" s="4" t="str">
        <f>HYPERLINK("http://www.rosaceae.org/Prunus/Prunus_persica/p.persica_gdr_reftransV1_0005446","p.persica_gdr_reftransV1_0005446")</f>
        <v>p.persica_gdr_reftransV1_0005446</v>
      </c>
      <c r="B6885" s="2">
        <v>777</v>
      </c>
      <c r="C6885" s="4" t="str">
        <f>HYPERLINK("http://www.uniprot.org/uniprot/M5WS92","M5WS92")</f>
        <v>M5WS92</v>
      </c>
      <c r="D6885" s="2" t="s">
        <v>6166</v>
      </c>
      <c r="E6885" s="3">
        <v>3.6300000000000002E-80</v>
      </c>
      <c r="F6885" s="2">
        <v>645</v>
      </c>
      <c r="G6885" s="2">
        <v>100</v>
      </c>
      <c r="H6885" s="2">
        <v>170</v>
      </c>
      <c r="I6885" s="2">
        <v>266</v>
      </c>
      <c r="J6885" s="2">
        <v>775</v>
      </c>
      <c r="K6885" s="2">
        <v>71</v>
      </c>
      <c r="L6885" s="2">
        <v>240</v>
      </c>
    </row>
    <row r="6886" spans="1:12" x14ac:dyDescent="0.25">
      <c r="A6886" s="4" t="str">
        <f>HYPERLINK("http://www.rosaceae.org/Prunus/Prunus_persica/p.persica_gdr_reftransV1_0005796","p.persica_gdr_reftransV1_0005796")</f>
        <v>p.persica_gdr_reftransV1_0005796</v>
      </c>
      <c r="B6886" s="2">
        <v>2112</v>
      </c>
      <c r="C6886" s="4" t="str">
        <f>HYPERLINK("http://www.uniprot.org/uniprot/M5VWP1","M5VWP1")</f>
        <v>M5VWP1</v>
      </c>
      <c r="D6886" s="2" t="s">
        <v>6167</v>
      </c>
      <c r="E6886" s="3">
        <v>0</v>
      </c>
      <c r="F6886" s="2">
        <v>1810</v>
      </c>
      <c r="G6886" s="2">
        <v>90</v>
      </c>
      <c r="H6886" s="2">
        <v>388</v>
      </c>
      <c r="I6886" s="2">
        <v>240</v>
      </c>
      <c r="J6886" s="2">
        <v>1403</v>
      </c>
      <c r="K6886" s="2">
        <v>1</v>
      </c>
      <c r="L6886" s="2">
        <v>353</v>
      </c>
    </row>
    <row r="6887" spans="1:12" x14ac:dyDescent="0.25">
      <c r="A6887" s="4" t="str">
        <f>HYPERLINK("http://www.rosaceae.org/Prunus/Prunus_persica/p.persica_gdr_reftransV1_0006496","p.persica_gdr_reftransV1_0006496")</f>
        <v>p.persica_gdr_reftransV1_0006496</v>
      </c>
      <c r="B6887" s="2">
        <v>1048</v>
      </c>
      <c r="C6887" s="4" t="str">
        <f>HYPERLINK("http://www.uniprot.org/uniprot/M5WCG4","M5WCG4")</f>
        <v>M5WCG4</v>
      </c>
      <c r="D6887" s="2" t="s">
        <v>6168</v>
      </c>
      <c r="E6887" s="3">
        <v>1.69E-144</v>
      </c>
      <c r="F6887" s="2">
        <v>1082</v>
      </c>
      <c r="G6887" s="2">
        <v>94</v>
      </c>
      <c r="H6887" s="2">
        <v>276</v>
      </c>
      <c r="I6887" s="2">
        <v>161</v>
      </c>
      <c r="J6887" s="2">
        <v>988</v>
      </c>
      <c r="K6887" s="2">
        <v>1</v>
      </c>
      <c r="L6887" s="2">
        <v>259</v>
      </c>
    </row>
    <row r="6888" spans="1:12" x14ac:dyDescent="0.25">
      <c r="A6888" s="4" t="str">
        <f>HYPERLINK("http://www.rosaceae.org/Prunus/Prunus_persica/p.persica_gdr_reftransV1_0007196","p.persica_gdr_reftransV1_0007196")</f>
        <v>p.persica_gdr_reftransV1_0007196</v>
      </c>
      <c r="B6888" s="2">
        <v>1862</v>
      </c>
      <c r="C6888" s="4" t="str">
        <f>HYPERLINK("http://www.uniprot.org/uniprot/M5WD57","M5WD57")</f>
        <v>M5WD57</v>
      </c>
      <c r="D6888" s="2" t="s">
        <v>6169</v>
      </c>
      <c r="E6888" s="3">
        <v>0</v>
      </c>
      <c r="F6888" s="2">
        <v>2501</v>
      </c>
      <c r="G6888" s="2">
        <v>100</v>
      </c>
      <c r="H6888" s="2">
        <v>496</v>
      </c>
      <c r="I6888" s="2">
        <v>131</v>
      </c>
      <c r="J6888" s="2">
        <v>1618</v>
      </c>
      <c r="K6888" s="2">
        <v>1</v>
      </c>
      <c r="L6888" s="2">
        <v>496</v>
      </c>
    </row>
    <row r="6889" spans="1:12" x14ac:dyDescent="0.25">
      <c r="A6889" s="4" t="str">
        <f>HYPERLINK("http://www.rosaceae.org/Prunus/Prunus_persica/p.persica_gdr_reftransV1_0007896","p.persica_gdr_reftransV1_0007896")</f>
        <v>p.persica_gdr_reftransV1_0007896</v>
      </c>
      <c r="B6889" s="2">
        <v>2164</v>
      </c>
      <c r="C6889" s="4" t="str">
        <f>HYPERLINK("http://www.uniprot.org/uniprot/M5WHE1","M5WHE1")</f>
        <v>M5WHE1</v>
      </c>
      <c r="D6889" s="2" t="s">
        <v>5085</v>
      </c>
      <c r="E6889" s="3">
        <v>0</v>
      </c>
      <c r="F6889" s="2">
        <v>1929</v>
      </c>
      <c r="G6889" s="2">
        <v>100</v>
      </c>
      <c r="H6889" s="2">
        <v>421</v>
      </c>
      <c r="I6889" s="2">
        <v>436</v>
      </c>
      <c r="J6889" s="2">
        <v>1698</v>
      </c>
      <c r="K6889" s="2">
        <v>1</v>
      </c>
      <c r="L6889" s="2">
        <v>421</v>
      </c>
    </row>
    <row r="6890" spans="1:12" x14ac:dyDescent="0.25">
      <c r="A6890" s="4" t="str">
        <f>HYPERLINK("http://www.rosaceae.org/Prunus/Prunus_persica/p.persica_gdr_reftransV1_0009646","p.persica_gdr_reftransV1_0009646")</f>
        <v>p.persica_gdr_reftransV1_0009646</v>
      </c>
      <c r="B6890" s="2">
        <v>1162</v>
      </c>
      <c r="C6890" s="4" t="str">
        <f>HYPERLINK("http://www.uniprot.org/uniprot/M5W1F5","M5W1F5")</f>
        <v>M5W1F5</v>
      </c>
      <c r="D6890" s="2" t="s">
        <v>6170</v>
      </c>
      <c r="E6890" s="3">
        <v>0</v>
      </c>
      <c r="F6890" s="2">
        <v>1370</v>
      </c>
      <c r="G6890" s="2">
        <v>96</v>
      </c>
      <c r="H6890" s="2">
        <v>296</v>
      </c>
      <c r="I6890" s="2">
        <v>231</v>
      </c>
      <c r="J6890" s="2">
        <v>1118</v>
      </c>
      <c r="K6890" s="2">
        <v>1</v>
      </c>
      <c r="L6890" s="2">
        <v>286</v>
      </c>
    </row>
    <row r="6891" spans="1:12" x14ac:dyDescent="0.25">
      <c r="A6891" s="4" t="str">
        <f>HYPERLINK("http://www.rosaceae.org/Prunus/Prunus_persica/p.persica_gdr_reftransV1_0009996","p.persica_gdr_reftransV1_0009996")</f>
        <v>p.persica_gdr_reftransV1_0009996</v>
      </c>
      <c r="B6891" s="2">
        <v>1304</v>
      </c>
      <c r="C6891" s="4" t="str">
        <f>HYPERLINK("http://www.uniprot.org/uniprot/G8XUU9","G8XUU9")</f>
        <v>G8XUU9</v>
      </c>
      <c r="D6891" s="2" t="s">
        <v>6171</v>
      </c>
      <c r="E6891" s="3">
        <v>6.2600000000000001E-122</v>
      </c>
      <c r="F6891" s="2">
        <v>938</v>
      </c>
      <c r="G6891" s="2">
        <v>85</v>
      </c>
      <c r="H6891" s="2">
        <v>225</v>
      </c>
      <c r="I6891" s="2">
        <v>276</v>
      </c>
      <c r="J6891" s="2">
        <v>950</v>
      </c>
      <c r="K6891" s="2">
        <v>1</v>
      </c>
      <c r="L6891" s="2">
        <v>225</v>
      </c>
    </row>
    <row r="6892" spans="1:12" x14ac:dyDescent="0.25">
      <c r="A6892" s="4" t="str">
        <f>HYPERLINK("http://www.rosaceae.org/Prunus/Prunus_persica/p.persica_gdr_reftransV1_0010346","p.persica_gdr_reftransV1_0010346")</f>
        <v>p.persica_gdr_reftransV1_0010346</v>
      </c>
      <c r="B6892" s="2">
        <v>1609</v>
      </c>
      <c r="C6892" s="4" t="str">
        <f>HYPERLINK("http://www.uniprot.org/uniprot/M5XKJ8","M5XKJ8")</f>
        <v>M5XKJ8</v>
      </c>
      <c r="D6892" s="2" t="s">
        <v>4968</v>
      </c>
      <c r="E6892" s="3">
        <v>3.9700000000000001E-179</v>
      </c>
      <c r="F6892" s="2">
        <v>1433</v>
      </c>
      <c r="G6892" s="2">
        <v>99</v>
      </c>
      <c r="H6892" s="2">
        <v>336</v>
      </c>
      <c r="I6892" s="2">
        <v>3</v>
      </c>
      <c r="J6892" s="2">
        <v>1010</v>
      </c>
      <c r="K6892" s="2">
        <v>759</v>
      </c>
      <c r="L6892" s="2">
        <v>1094</v>
      </c>
    </row>
    <row r="6893" spans="1:12" x14ac:dyDescent="0.25">
      <c r="A6893" s="4" t="str">
        <f>HYPERLINK("http://www.rosaceae.org/Prunus/Prunus_persica/p.persica_gdr_reftransV1_0010696","p.persica_gdr_reftransV1_0010696")</f>
        <v>p.persica_gdr_reftransV1_0010696</v>
      </c>
      <c r="B6893" s="2">
        <v>1482</v>
      </c>
      <c r="C6893" s="4" t="str">
        <f>HYPERLINK("http://www.uniprot.org/uniprot/M5WLV6","M5WLV6")</f>
        <v>M5WLV6</v>
      </c>
      <c r="D6893" s="2" t="s">
        <v>6172</v>
      </c>
      <c r="E6893" s="3">
        <v>2.5699999999999999E-141</v>
      </c>
      <c r="F6893" s="2">
        <v>1074</v>
      </c>
      <c r="G6893" s="2">
        <v>98</v>
      </c>
      <c r="H6893" s="2">
        <v>234</v>
      </c>
      <c r="I6893" s="2">
        <v>383</v>
      </c>
      <c r="J6893" s="2">
        <v>1084</v>
      </c>
      <c r="K6893" s="2">
        <v>4</v>
      </c>
      <c r="L6893" s="2">
        <v>237</v>
      </c>
    </row>
    <row r="6894" spans="1:12" x14ac:dyDescent="0.25">
      <c r="A6894" s="4" t="str">
        <f>HYPERLINK("http://www.rosaceae.org/Prunus/Prunus_persica/p.persica_gdr_reftransV1_0011396","p.persica_gdr_reftransV1_0011396")</f>
        <v>p.persica_gdr_reftransV1_0011396</v>
      </c>
      <c r="B6894" s="2">
        <v>855</v>
      </c>
      <c r="C6894" s="4" t="str">
        <f>HYPERLINK("http://www.uniprot.org/uniprot/M5WI47","M5WI47")</f>
        <v>M5WI47</v>
      </c>
      <c r="D6894" s="2" t="s">
        <v>2547</v>
      </c>
      <c r="E6894" s="3">
        <v>3.4200000000000002E-102</v>
      </c>
      <c r="F6894" s="2">
        <v>785</v>
      </c>
      <c r="G6894" s="2">
        <v>100</v>
      </c>
      <c r="H6894" s="2">
        <v>147</v>
      </c>
      <c r="I6894" s="2">
        <v>35</v>
      </c>
      <c r="J6894" s="2">
        <v>475</v>
      </c>
      <c r="K6894" s="2">
        <v>1</v>
      </c>
      <c r="L6894" s="2">
        <v>147</v>
      </c>
    </row>
    <row r="6895" spans="1:12" x14ac:dyDescent="0.25">
      <c r="A6895" s="4" t="str">
        <f>HYPERLINK("http://www.rosaceae.org/Prunus/Prunus_persica/p.persica_gdr_reftransV1_0012096","p.persica_gdr_reftransV1_0012096")</f>
        <v>p.persica_gdr_reftransV1_0012096</v>
      </c>
      <c r="B6895" s="2">
        <v>3698</v>
      </c>
      <c r="C6895" s="4" t="str">
        <f>HYPERLINK("http://www.uniprot.org/uniprot/M5WFD7","M5WFD7")</f>
        <v>M5WFD7</v>
      </c>
      <c r="D6895" s="2" t="s">
        <v>6173</v>
      </c>
      <c r="E6895" s="3">
        <v>0</v>
      </c>
      <c r="F6895" s="2">
        <v>2456</v>
      </c>
      <c r="G6895" s="2">
        <v>94</v>
      </c>
      <c r="H6895" s="2">
        <v>540</v>
      </c>
      <c r="I6895" s="2">
        <v>769</v>
      </c>
      <c r="J6895" s="2">
        <v>2388</v>
      </c>
      <c r="K6895" s="2">
        <v>1</v>
      </c>
      <c r="L6895" s="2">
        <v>517</v>
      </c>
    </row>
    <row r="6896" spans="1:12" x14ac:dyDescent="0.25">
      <c r="A6896" s="4" t="str">
        <f>HYPERLINK("http://www.rosaceae.org/Prunus/Prunus_persica/p.persica_gdr_reftransV1_0012446","p.persica_gdr_reftransV1_0012446")</f>
        <v>p.persica_gdr_reftransV1_0012446</v>
      </c>
      <c r="B6896" s="2">
        <v>1164</v>
      </c>
      <c r="C6896" s="4" t="str">
        <f>HYPERLINK("http://www.uniprot.org/uniprot/M5VQG2","M5VQG2")</f>
        <v>M5VQG2</v>
      </c>
      <c r="D6896" s="2" t="s">
        <v>6174</v>
      </c>
      <c r="E6896" s="3">
        <v>1.4400000000000001E-137</v>
      </c>
      <c r="F6896" s="2">
        <v>1045</v>
      </c>
      <c r="G6896" s="2">
        <v>100</v>
      </c>
      <c r="H6896" s="2">
        <v>212</v>
      </c>
      <c r="I6896" s="2">
        <v>3</v>
      </c>
      <c r="J6896" s="2">
        <v>638</v>
      </c>
      <c r="K6896" s="2">
        <v>1</v>
      </c>
      <c r="L6896" s="2">
        <v>212</v>
      </c>
    </row>
    <row r="6897" spans="1:12" x14ac:dyDescent="0.25">
      <c r="A6897" s="4" t="str">
        <f>HYPERLINK("http://www.rosaceae.org/Prunus/Prunus_persica/p.persica_gdr_reftransV1_0013846","p.persica_gdr_reftransV1_0013846")</f>
        <v>p.persica_gdr_reftransV1_0013846</v>
      </c>
      <c r="B6897" s="2">
        <v>1566</v>
      </c>
      <c r="C6897" s="4" t="str">
        <f>HYPERLINK("http://www.uniprot.org/uniprot/M5XTD0","M5XTD0")</f>
        <v>M5XTD0</v>
      </c>
      <c r="D6897" s="2" t="s">
        <v>6175</v>
      </c>
      <c r="E6897" s="3">
        <v>0</v>
      </c>
      <c r="F6897" s="2">
        <v>1660</v>
      </c>
      <c r="G6897" s="2">
        <v>99</v>
      </c>
      <c r="H6897" s="2">
        <v>315</v>
      </c>
      <c r="I6897" s="2">
        <v>143</v>
      </c>
      <c r="J6897" s="2">
        <v>1087</v>
      </c>
      <c r="K6897" s="2">
        <v>24</v>
      </c>
      <c r="L6897" s="2">
        <v>338</v>
      </c>
    </row>
    <row r="6898" spans="1:12" x14ac:dyDescent="0.25">
      <c r="A6898" s="4" t="str">
        <f>HYPERLINK("http://www.rosaceae.org/Prunus/Prunus_persica/p.persica_gdr_reftransV1_0014196","p.persica_gdr_reftransV1_0014196")</f>
        <v>p.persica_gdr_reftransV1_0014196</v>
      </c>
      <c r="B6898" s="2">
        <v>3231</v>
      </c>
      <c r="C6898" s="4" t="str">
        <f>HYPERLINK("http://www.uniprot.org/uniprot/F6HBG1","F6HBG1")</f>
        <v>F6HBG1</v>
      </c>
      <c r="D6898" s="2" t="s">
        <v>6176</v>
      </c>
      <c r="E6898" s="3">
        <v>0</v>
      </c>
      <c r="F6898" s="2">
        <v>3617</v>
      </c>
      <c r="G6898" s="2">
        <v>81</v>
      </c>
      <c r="H6898" s="2">
        <v>825</v>
      </c>
      <c r="I6898" s="2">
        <v>226</v>
      </c>
      <c r="J6898" s="2">
        <v>2676</v>
      </c>
      <c r="K6898" s="2">
        <v>76</v>
      </c>
      <c r="L6898" s="2">
        <v>885</v>
      </c>
    </row>
    <row r="6899" spans="1:12" x14ac:dyDescent="0.25">
      <c r="A6899" s="4" t="str">
        <f>HYPERLINK("http://www.rosaceae.org/Prunus/Prunus_persica/p.persica_gdr_reftransV1_0014896","p.persica_gdr_reftransV1_0014896")</f>
        <v>p.persica_gdr_reftransV1_0014896</v>
      </c>
      <c r="B6899" s="2">
        <v>1094</v>
      </c>
      <c r="C6899" s="4" t="str">
        <f>HYPERLINK("http://www.uniprot.org/uniprot/M5XHP1","M5XHP1")</f>
        <v>M5XHP1</v>
      </c>
      <c r="D6899" s="2" t="s">
        <v>6177</v>
      </c>
      <c r="E6899" s="3">
        <v>3.7599999999999999E-91</v>
      </c>
      <c r="F6899" s="2">
        <v>740</v>
      </c>
      <c r="G6899" s="2">
        <v>88</v>
      </c>
      <c r="H6899" s="2">
        <v>179</v>
      </c>
      <c r="I6899" s="2">
        <v>396</v>
      </c>
      <c r="J6899" s="2">
        <v>932</v>
      </c>
      <c r="K6899" s="2">
        <v>183</v>
      </c>
      <c r="L6899" s="2">
        <v>361</v>
      </c>
    </row>
    <row r="6900" spans="1:12" x14ac:dyDescent="0.25">
      <c r="A6900" s="4" t="str">
        <f>HYPERLINK("http://www.rosaceae.org/Prunus/Prunus_persica/p.persica_gdr_reftransV1_0015246","p.persica_gdr_reftransV1_0015246")</f>
        <v>p.persica_gdr_reftransV1_0015246</v>
      </c>
      <c r="B6900" s="2">
        <v>2037</v>
      </c>
      <c r="C6900" s="4" t="str">
        <f>HYPERLINK("http://www.uniprot.org/uniprot/M5XC65","M5XC65")</f>
        <v>M5XC65</v>
      </c>
      <c r="D6900" s="2" t="s">
        <v>6178</v>
      </c>
      <c r="E6900" s="3">
        <v>0</v>
      </c>
      <c r="F6900" s="2">
        <v>2681</v>
      </c>
      <c r="G6900" s="2">
        <v>100</v>
      </c>
      <c r="H6900" s="2">
        <v>516</v>
      </c>
      <c r="I6900" s="2">
        <v>1</v>
      </c>
      <c r="J6900" s="2">
        <v>1548</v>
      </c>
      <c r="K6900" s="2">
        <v>23</v>
      </c>
      <c r="L6900" s="2">
        <v>538</v>
      </c>
    </row>
    <row r="6901" spans="1:12" x14ac:dyDescent="0.25">
      <c r="A6901" s="4" t="str">
        <f>HYPERLINK("http://www.rosaceae.org/Prunus/Prunus_persica/p.persica_gdr_reftransV1_0016646","p.persica_gdr_reftransV1_0016646")</f>
        <v>p.persica_gdr_reftransV1_0016646</v>
      </c>
      <c r="B6901" s="2">
        <v>1649</v>
      </c>
      <c r="C6901" s="4" t="str">
        <f>HYPERLINK("http://www.uniprot.org/uniprot/M5XF44","M5XF44")</f>
        <v>M5XF44</v>
      </c>
      <c r="D6901" s="2" t="s">
        <v>5243</v>
      </c>
      <c r="E6901" s="3">
        <v>0</v>
      </c>
      <c r="F6901" s="2">
        <v>1846</v>
      </c>
      <c r="G6901" s="2">
        <v>92</v>
      </c>
      <c r="H6901" s="2">
        <v>401</v>
      </c>
      <c r="I6901" s="2">
        <v>119</v>
      </c>
      <c r="J6901" s="2">
        <v>1321</v>
      </c>
      <c r="K6901" s="2">
        <v>1</v>
      </c>
      <c r="L6901" s="2">
        <v>370</v>
      </c>
    </row>
    <row r="6902" spans="1:12" x14ac:dyDescent="0.25">
      <c r="A6902" s="4" t="str">
        <f>HYPERLINK("http://www.rosaceae.org/Prunus/Prunus_persica/p.persica_gdr_reftransV1_0018046","p.persica_gdr_reftransV1_0018046")</f>
        <v>p.persica_gdr_reftransV1_0018046</v>
      </c>
      <c r="B6902" s="2">
        <v>1079</v>
      </c>
      <c r="C6902" s="4" t="str">
        <f>HYPERLINK("http://www.uniprot.org/uniprot/M5W0H1","M5W0H1")</f>
        <v>M5W0H1</v>
      </c>
      <c r="D6902" s="2" t="s">
        <v>6179</v>
      </c>
      <c r="E6902" s="3">
        <v>5.5900000000000003E-110</v>
      </c>
      <c r="F6902" s="2">
        <v>846</v>
      </c>
      <c r="G6902" s="2">
        <v>100</v>
      </c>
      <c r="H6902" s="2">
        <v>172</v>
      </c>
      <c r="I6902" s="2">
        <v>228</v>
      </c>
      <c r="J6902" s="2">
        <v>743</v>
      </c>
      <c r="K6902" s="2">
        <v>1</v>
      </c>
      <c r="L6902" s="2">
        <v>172</v>
      </c>
    </row>
    <row r="6903" spans="1:12" x14ac:dyDescent="0.25">
      <c r="A6903" s="4" t="str">
        <f>HYPERLINK("http://www.rosaceae.org/Prunus/Prunus_persica/p.persica_gdr_reftransV1_0019096","p.persica_gdr_reftransV1_0019096")</f>
        <v>p.persica_gdr_reftransV1_0019096</v>
      </c>
      <c r="B6903" s="2">
        <v>554</v>
      </c>
      <c r="C6903" s="4" t="str">
        <f>HYPERLINK("http://www.uniprot.org/uniprot/M5VVI5","M5VVI5")</f>
        <v>M5VVI5</v>
      </c>
      <c r="D6903" s="2" t="s">
        <v>2773</v>
      </c>
      <c r="E6903" s="3">
        <v>5.1500000000000001E-67</v>
      </c>
      <c r="F6903" s="2">
        <v>557</v>
      </c>
      <c r="G6903" s="2">
        <v>100</v>
      </c>
      <c r="H6903" s="2">
        <v>103</v>
      </c>
      <c r="I6903" s="2">
        <v>244</v>
      </c>
      <c r="J6903" s="2">
        <v>552</v>
      </c>
      <c r="K6903" s="2">
        <v>216</v>
      </c>
      <c r="L6903" s="2">
        <v>318</v>
      </c>
    </row>
    <row r="6904" spans="1:12" x14ac:dyDescent="0.25">
      <c r="A6904" s="4" t="str">
        <f>HYPERLINK("http://www.rosaceae.org/Prunus/Prunus_persica/p.persica_gdr_reftransV1_0020146","p.persica_gdr_reftransV1_0020146")</f>
        <v>p.persica_gdr_reftransV1_0020146</v>
      </c>
      <c r="B6904" s="2">
        <v>5428</v>
      </c>
      <c r="C6904" s="4" t="str">
        <f>HYPERLINK("http://www.uniprot.org/uniprot/M5WFE1","M5WFE1")</f>
        <v>M5WFE1</v>
      </c>
      <c r="D6904" s="2" t="s">
        <v>6180</v>
      </c>
      <c r="E6904" s="3">
        <v>0</v>
      </c>
      <c r="F6904" s="2">
        <v>2821</v>
      </c>
      <c r="G6904" s="2">
        <v>100</v>
      </c>
      <c r="H6904" s="2">
        <v>560</v>
      </c>
      <c r="I6904" s="2">
        <v>563</v>
      </c>
      <c r="J6904" s="2">
        <v>2242</v>
      </c>
      <c r="K6904" s="2">
        <v>358</v>
      </c>
      <c r="L6904" s="2">
        <v>917</v>
      </c>
    </row>
    <row r="6905" spans="1:12" x14ac:dyDescent="0.25">
      <c r="A6905" s="4" t="str">
        <f>HYPERLINK("http://www.rosaceae.org/Prunus/Prunus_persica/p.persica_gdr_reftransV1_0021196","p.persica_gdr_reftransV1_0021196")</f>
        <v>p.persica_gdr_reftransV1_0021196</v>
      </c>
      <c r="B6905" s="2">
        <v>3329</v>
      </c>
      <c r="C6905" s="4" t="str">
        <f>HYPERLINK("http://www.uniprot.org/uniprot/M5XR61","M5XR61")</f>
        <v>M5XR61</v>
      </c>
      <c r="D6905" s="2" t="s">
        <v>6181</v>
      </c>
      <c r="E6905" s="3">
        <v>0</v>
      </c>
      <c r="F6905" s="2">
        <v>5522</v>
      </c>
      <c r="G6905" s="2">
        <v>99</v>
      </c>
      <c r="H6905" s="2">
        <v>1091</v>
      </c>
      <c r="I6905" s="2">
        <v>57</v>
      </c>
      <c r="J6905" s="2">
        <v>3329</v>
      </c>
      <c r="K6905" s="2">
        <v>1</v>
      </c>
      <c r="L6905" s="2">
        <v>1084</v>
      </c>
    </row>
    <row r="6906" spans="1:12" x14ac:dyDescent="0.25">
      <c r="A6906" s="4" t="str">
        <f>HYPERLINK("http://www.rosaceae.org/Prunus/Prunus_persica/p.persica_gdr_reftransV1_0022596","p.persica_gdr_reftransV1_0022596")</f>
        <v>p.persica_gdr_reftransV1_0022596</v>
      </c>
      <c r="B6906" s="2">
        <v>870</v>
      </c>
      <c r="C6906" s="4" t="str">
        <f>HYPERLINK("http://www.uniprot.org/uniprot/M5WJM8","M5WJM8")</f>
        <v>M5WJM8</v>
      </c>
      <c r="D6906" s="2" t="s">
        <v>6182</v>
      </c>
      <c r="E6906" s="3">
        <v>7.18E-164</v>
      </c>
      <c r="F6906" s="2">
        <v>1201</v>
      </c>
      <c r="G6906" s="2">
        <v>100</v>
      </c>
      <c r="H6906" s="2">
        <v>219</v>
      </c>
      <c r="I6906" s="2">
        <v>1</v>
      </c>
      <c r="J6906" s="2">
        <v>657</v>
      </c>
      <c r="K6906" s="2">
        <v>11</v>
      </c>
      <c r="L6906" s="2">
        <v>229</v>
      </c>
    </row>
    <row r="6907" spans="1:12" x14ac:dyDescent="0.25">
      <c r="A6907" s="4" t="str">
        <f>HYPERLINK("http://www.rosaceae.org/Prunus/Prunus_persica/p.persica_gdr_reftransV1_0022946","p.persica_gdr_reftransV1_0022946")</f>
        <v>p.persica_gdr_reftransV1_0022946</v>
      </c>
      <c r="B6907" s="2">
        <v>1809</v>
      </c>
      <c r="C6907" s="4" t="str">
        <f>HYPERLINK("http://www.uniprot.org/uniprot/M5VY69","M5VY69")</f>
        <v>M5VY69</v>
      </c>
      <c r="D6907" s="2" t="s">
        <v>6183</v>
      </c>
      <c r="E6907" s="3">
        <v>0</v>
      </c>
      <c r="F6907" s="2">
        <v>1390</v>
      </c>
      <c r="G6907" s="2">
        <v>100</v>
      </c>
      <c r="H6907" s="2">
        <v>442</v>
      </c>
      <c r="I6907" s="2">
        <v>369</v>
      </c>
      <c r="J6907" s="2">
        <v>1694</v>
      </c>
      <c r="K6907" s="2">
        <v>1</v>
      </c>
      <c r="L6907" s="2">
        <v>442</v>
      </c>
    </row>
    <row r="6908" spans="1:12" x14ac:dyDescent="0.25">
      <c r="A6908" s="4" t="str">
        <f>HYPERLINK("http://www.rosaceae.org/Prunus/Prunus_persica/p.persica_gdr_reftransV1_0023996","p.persica_gdr_reftransV1_0023996")</f>
        <v>p.persica_gdr_reftransV1_0023996</v>
      </c>
      <c r="B6908" s="2">
        <v>3973</v>
      </c>
      <c r="C6908" s="4" t="str">
        <f>HYPERLINK("http://www.uniprot.org/uniprot/M5X2F6","M5X2F6")</f>
        <v>M5X2F6</v>
      </c>
      <c r="D6908" s="2" t="s">
        <v>6184</v>
      </c>
      <c r="E6908" s="3">
        <v>0</v>
      </c>
      <c r="F6908" s="2">
        <v>5510</v>
      </c>
      <c r="G6908" s="2">
        <v>100</v>
      </c>
      <c r="H6908" s="2">
        <v>1115</v>
      </c>
      <c r="I6908" s="2">
        <v>336</v>
      </c>
      <c r="J6908" s="2">
        <v>3680</v>
      </c>
      <c r="K6908" s="2">
        <v>20</v>
      </c>
      <c r="L6908" s="2">
        <v>1134</v>
      </c>
    </row>
    <row r="6909" spans="1:12" x14ac:dyDescent="0.25">
      <c r="A6909" s="4" t="str">
        <f>HYPERLINK("http://www.rosaceae.org/Prunus/Prunus_persica/p.persica_gdr_reftransV1_0024696","p.persica_gdr_reftransV1_0024696")</f>
        <v>p.persica_gdr_reftransV1_0024696</v>
      </c>
      <c r="B6909" s="2">
        <v>1685</v>
      </c>
      <c r="C6909" s="4" t="str">
        <f>HYPERLINK("http://www.uniprot.org/uniprot/M5WHE3","M5WHE3")</f>
        <v>M5WHE3</v>
      </c>
      <c r="D6909" s="2" t="s">
        <v>6185</v>
      </c>
      <c r="E6909" s="3">
        <v>0</v>
      </c>
      <c r="F6909" s="2">
        <v>1886</v>
      </c>
      <c r="G6909" s="2">
        <v>100</v>
      </c>
      <c r="H6909" s="2">
        <v>354</v>
      </c>
      <c r="I6909" s="2">
        <v>230</v>
      </c>
      <c r="J6909" s="2">
        <v>1291</v>
      </c>
      <c r="K6909" s="2">
        <v>1</v>
      </c>
      <c r="L6909" s="2">
        <v>354</v>
      </c>
    </row>
    <row r="6910" spans="1:12" x14ac:dyDescent="0.25">
      <c r="A6910" s="4" t="str">
        <f>HYPERLINK("http://www.rosaceae.org/Prunus/Prunus_persica/p.persica_gdr_reftransV1_0025046","p.persica_gdr_reftransV1_0025046")</f>
        <v>p.persica_gdr_reftransV1_0025046</v>
      </c>
      <c r="B6910" s="2">
        <v>949</v>
      </c>
      <c r="C6910" s="4" t="str">
        <f>HYPERLINK("http://www.uniprot.org/uniprot/M5WHB1","M5WHB1")</f>
        <v>M5WHB1</v>
      </c>
      <c r="D6910" s="2" t="s">
        <v>6186</v>
      </c>
      <c r="E6910" s="3">
        <v>2.25E-133</v>
      </c>
      <c r="F6910" s="2">
        <v>1001</v>
      </c>
      <c r="G6910" s="2">
        <v>94</v>
      </c>
      <c r="H6910" s="2">
        <v>236</v>
      </c>
      <c r="I6910" s="2">
        <v>39</v>
      </c>
      <c r="J6910" s="2">
        <v>746</v>
      </c>
      <c r="K6910" s="2">
        <v>1</v>
      </c>
      <c r="L6910" s="2">
        <v>222</v>
      </c>
    </row>
    <row r="6911" spans="1:12" x14ac:dyDescent="0.25">
      <c r="A6911" s="4" t="str">
        <f>HYPERLINK("http://www.rosaceae.org/Prunus/Prunus_persica/p.persica_gdr_reftransV1_0026796","p.persica_gdr_reftransV1_0026796")</f>
        <v>p.persica_gdr_reftransV1_0026796</v>
      </c>
      <c r="B6911" s="2">
        <v>1207</v>
      </c>
      <c r="C6911" s="4" t="str">
        <f>HYPERLINK("http://www.uniprot.org/uniprot/M5VZT3","M5VZT3")</f>
        <v>M5VZT3</v>
      </c>
      <c r="D6911" s="2" t="s">
        <v>6187</v>
      </c>
      <c r="E6911" s="3">
        <v>8.6900000000000002E-144</v>
      </c>
      <c r="F6911" s="2">
        <v>1082</v>
      </c>
      <c r="G6911" s="2">
        <v>97</v>
      </c>
      <c r="H6911" s="2">
        <v>252</v>
      </c>
      <c r="I6911" s="2">
        <v>174</v>
      </c>
      <c r="J6911" s="2">
        <v>929</v>
      </c>
      <c r="K6911" s="2">
        <v>1</v>
      </c>
      <c r="L6911" s="2">
        <v>252</v>
      </c>
    </row>
    <row r="6912" spans="1:12" x14ac:dyDescent="0.25">
      <c r="A6912" s="4" t="str">
        <f>HYPERLINK("http://www.rosaceae.org/Prunus/Prunus_persica/p.persica_gdr_reftransV1_0027496","p.persica_gdr_reftransV1_0027496")</f>
        <v>p.persica_gdr_reftransV1_0027496</v>
      </c>
      <c r="B6912" s="2">
        <v>4128</v>
      </c>
      <c r="C6912" s="4" t="str">
        <f>HYPERLINK("http://www.uniprot.org/uniprot/M5W7J5","M5W7J5")</f>
        <v>M5W7J5</v>
      </c>
      <c r="D6912" s="2" t="s">
        <v>6188</v>
      </c>
      <c r="E6912" s="3">
        <v>0</v>
      </c>
      <c r="F6912" s="2">
        <v>2748</v>
      </c>
      <c r="G6912" s="2">
        <v>100</v>
      </c>
      <c r="H6912" s="2">
        <v>509</v>
      </c>
      <c r="I6912" s="2">
        <v>201</v>
      </c>
      <c r="J6912" s="2">
        <v>1727</v>
      </c>
      <c r="K6912" s="2">
        <v>1</v>
      </c>
      <c r="L6912" s="2">
        <v>509</v>
      </c>
    </row>
    <row r="6913" spans="1:12" x14ac:dyDescent="0.25">
      <c r="A6913" s="4" t="str">
        <f>HYPERLINK("http://www.rosaceae.org/Prunus/Prunus_persica/p.persica_gdr_reftransV1_0028196","p.persica_gdr_reftransV1_0028196")</f>
        <v>p.persica_gdr_reftransV1_0028196</v>
      </c>
      <c r="B6913" s="2">
        <v>4522</v>
      </c>
      <c r="C6913" s="4" t="str">
        <f>HYPERLINK("http://www.uniprot.org/uniprot/M5XT61","M5XT61")</f>
        <v>M5XT61</v>
      </c>
      <c r="D6913" s="2" t="s">
        <v>6189</v>
      </c>
      <c r="E6913" s="3">
        <v>0</v>
      </c>
      <c r="F6913" s="2">
        <v>2400</v>
      </c>
      <c r="G6913" s="2">
        <v>58</v>
      </c>
      <c r="H6913" s="2">
        <v>934</v>
      </c>
      <c r="I6913" s="2">
        <v>1536</v>
      </c>
      <c r="J6913" s="2">
        <v>4253</v>
      </c>
      <c r="K6913" s="2">
        <v>2</v>
      </c>
      <c r="L6913" s="2">
        <v>847</v>
      </c>
    </row>
    <row r="6914" spans="1:12" x14ac:dyDescent="0.25">
      <c r="A6914" s="4" t="str">
        <f>HYPERLINK("http://www.rosaceae.org/Prunus/Prunus_persica/p.persica_gdr_reftransV1_0030296","p.persica_gdr_reftransV1_0030296")</f>
        <v>p.persica_gdr_reftransV1_0030296</v>
      </c>
      <c r="B6914" s="2">
        <v>1581</v>
      </c>
      <c r="C6914" s="4" t="str">
        <f>HYPERLINK("http://www.uniprot.org/uniprot/M5W5Z2","M5W5Z2")</f>
        <v>M5W5Z2</v>
      </c>
      <c r="D6914" s="2" t="s">
        <v>6190</v>
      </c>
      <c r="E6914" s="3">
        <v>0</v>
      </c>
      <c r="F6914" s="2">
        <v>2199</v>
      </c>
      <c r="G6914" s="2">
        <v>98</v>
      </c>
      <c r="H6914" s="2">
        <v>463</v>
      </c>
      <c r="I6914" s="2">
        <v>163</v>
      </c>
      <c r="J6914" s="2">
        <v>1551</v>
      </c>
      <c r="K6914" s="2">
        <v>1</v>
      </c>
      <c r="L6914" s="2">
        <v>463</v>
      </c>
    </row>
    <row r="6915" spans="1:12" x14ac:dyDescent="0.25">
      <c r="A6915" s="4" t="str">
        <f>HYPERLINK("http://www.rosaceae.org/Prunus/Prunus_persica/p.persica_gdr_reftransV1_0030646","p.persica_gdr_reftransV1_0030646")</f>
        <v>p.persica_gdr_reftransV1_0030646</v>
      </c>
      <c r="B6915" s="2">
        <v>2894</v>
      </c>
      <c r="C6915" s="4" t="str">
        <f>HYPERLINK("http://www.uniprot.org/uniprot/M5X9J2","M5X9J2")</f>
        <v>M5X9J2</v>
      </c>
      <c r="D6915" s="2" t="s">
        <v>6191</v>
      </c>
      <c r="E6915" s="3">
        <v>0</v>
      </c>
      <c r="F6915" s="2">
        <v>1466</v>
      </c>
      <c r="G6915" s="2">
        <v>100</v>
      </c>
      <c r="H6915" s="2">
        <v>567</v>
      </c>
      <c r="I6915" s="2">
        <v>152</v>
      </c>
      <c r="J6915" s="2">
        <v>1852</v>
      </c>
      <c r="K6915" s="2">
        <v>1</v>
      </c>
      <c r="L6915" s="2">
        <v>567</v>
      </c>
    </row>
    <row r="6916" spans="1:12" x14ac:dyDescent="0.25">
      <c r="A6916" s="4" t="str">
        <f>HYPERLINK("http://www.rosaceae.org/Prunus/Prunus_persica/p.persica_gdr_reftransV1_0032396","p.persica_gdr_reftransV1_0032396")</f>
        <v>p.persica_gdr_reftransV1_0032396</v>
      </c>
      <c r="B6916" s="2">
        <v>2302</v>
      </c>
      <c r="C6916" s="4" t="str">
        <f>HYPERLINK("http://www.uniprot.org/uniprot/M5X9Z1","M5X9Z1")</f>
        <v>M5X9Z1</v>
      </c>
      <c r="D6916" s="2" t="s">
        <v>6192</v>
      </c>
      <c r="E6916" s="3">
        <v>7.1699999999999996E-103</v>
      </c>
      <c r="F6916" s="2">
        <v>926</v>
      </c>
      <c r="G6916" s="2">
        <v>80</v>
      </c>
      <c r="H6916" s="2">
        <v>259</v>
      </c>
      <c r="I6916" s="2">
        <v>3</v>
      </c>
      <c r="J6916" s="2">
        <v>779</v>
      </c>
      <c r="K6916" s="2">
        <v>1</v>
      </c>
      <c r="L6916" s="2">
        <v>207</v>
      </c>
    </row>
    <row r="6917" spans="1:12" x14ac:dyDescent="0.25">
      <c r="A6917" s="4" t="str">
        <f>HYPERLINK("http://www.rosaceae.org/Prunus/Prunus_persica/p.persica_gdr_reftransV1_0034496","p.persica_gdr_reftransV1_0034496")</f>
        <v>p.persica_gdr_reftransV1_0034496</v>
      </c>
      <c r="B6917" s="2">
        <v>1427</v>
      </c>
      <c r="C6917" s="4" t="str">
        <f>HYPERLINK("http://www.uniprot.org/uniprot/W9QT72","W9QT72")</f>
        <v>W9QT72</v>
      </c>
      <c r="D6917" s="2" t="s">
        <v>6193</v>
      </c>
      <c r="E6917" s="3">
        <v>1.32E-120</v>
      </c>
      <c r="F6917" s="2">
        <v>942</v>
      </c>
      <c r="G6917" s="2">
        <v>76</v>
      </c>
      <c r="H6917" s="2">
        <v>267</v>
      </c>
      <c r="I6917" s="2">
        <v>387</v>
      </c>
      <c r="J6917" s="2">
        <v>1187</v>
      </c>
      <c r="K6917" s="2">
        <v>4</v>
      </c>
      <c r="L6917" s="2">
        <v>254</v>
      </c>
    </row>
    <row r="6918" spans="1:12" x14ac:dyDescent="0.25">
      <c r="A6918" s="4" t="str">
        <f>HYPERLINK("http://www.rosaceae.org/Prunus/Prunus_persica/p.persica_gdr_reftransV1_0034846","p.persica_gdr_reftransV1_0034846")</f>
        <v>p.persica_gdr_reftransV1_0034846</v>
      </c>
      <c r="B6918" s="2">
        <v>5787</v>
      </c>
      <c r="C6918" s="4" t="str">
        <f>HYPERLINK("http://www.uniprot.org/uniprot/M5WF65","M5WF65")</f>
        <v>M5WF65</v>
      </c>
      <c r="D6918" s="2" t="s">
        <v>6194</v>
      </c>
      <c r="E6918" s="3">
        <v>0</v>
      </c>
      <c r="F6918" s="2">
        <v>6019</v>
      </c>
      <c r="G6918" s="2">
        <v>99</v>
      </c>
      <c r="H6918" s="2">
        <v>1167</v>
      </c>
      <c r="I6918" s="2">
        <v>1</v>
      </c>
      <c r="J6918" s="2">
        <v>3474</v>
      </c>
      <c r="K6918" s="2">
        <v>187</v>
      </c>
      <c r="L6918" s="2">
        <v>1353</v>
      </c>
    </row>
    <row r="6919" spans="1:12" x14ac:dyDescent="0.25">
      <c r="A6919" s="4" t="str">
        <f>HYPERLINK("http://www.rosaceae.org/Prunus/Prunus_persica/p.persica_gdr_reftransV1_0035546","p.persica_gdr_reftransV1_0035546")</f>
        <v>p.persica_gdr_reftransV1_0035546</v>
      </c>
      <c r="B6919" s="2">
        <v>1178</v>
      </c>
      <c r="C6919" s="4" t="str">
        <f>HYPERLINK("http://www.uniprot.org/uniprot/M5XM92","M5XM92")</f>
        <v>M5XM92</v>
      </c>
      <c r="D6919" s="2" t="s">
        <v>6195</v>
      </c>
      <c r="E6919" s="3">
        <v>6.2699999999999999E-76</v>
      </c>
      <c r="F6919" s="2">
        <v>619</v>
      </c>
      <c r="G6919" s="2">
        <v>100</v>
      </c>
      <c r="H6919" s="2">
        <v>117</v>
      </c>
      <c r="I6919" s="2">
        <v>414</v>
      </c>
      <c r="J6919" s="2">
        <v>764</v>
      </c>
      <c r="K6919" s="2">
        <v>5</v>
      </c>
      <c r="L6919" s="2">
        <v>121</v>
      </c>
    </row>
    <row r="6920" spans="1:12" x14ac:dyDescent="0.25">
      <c r="A6920" s="4" t="str">
        <f>HYPERLINK("http://www.rosaceae.org/Prunus/Prunus_persica/p.persica_gdr_reftransV1_0036946","p.persica_gdr_reftransV1_0036946")</f>
        <v>p.persica_gdr_reftransV1_0036946</v>
      </c>
      <c r="B6920" s="2">
        <v>587</v>
      </c>
      <c r="C6920" s="4" t="str">
        <f>HYPERLINK("http://www.uniprot.org/uniprot/M5VSG6","M5VSG6")</f>
        <v>M5VSG6</v>
      </c>
      <c r="D6920" s="2" t="s">
        <v>1919</v>
      </c>
      <c r="E6920" s="3">
        <v>2.3900000000000001E-132</v>
      </c>
      <c r="F6920" s="2">
        <v>1016</v>
      </c>
      <c r="G6920" s="2">
        <v>100</v>
      </c>
      <c r="H6920" s="2">
        <v>195</v>
      </c>
      <c r="I6920" s="2">
        <v>3</v>
      </c>
      <c r="J6920" s="2">
        <v>587</v>
      </c>
      <c r="K6920" s="2">
        <v>225</v>
      </c>
      <c r="L6920" s="2">
        <v>419</v>
      </c>
    </row>
    <row r="6921" spans="1:12" x14ac:dyDescent="0.25">
      <c r="A6921" s="4" t="str">
        <f>HYPERLINK("http://www.rosaceae.org/Prunus/Prunus_persica/p.persica_gdr_reftransV1_0037996","p.persica_gdr_reftransV1_0037996")</f>
        <v>p.persica_gdr_reftransV1_0037996</v>
      </c>
      <c r="B6921" s="2">
        <v>1876</v>
      </c>
      <c r="C6921" s="4" t="str">
        <f>HYPERLINK("http://www.uniprot.org/uniprot/M5WT35","M5WT35")</f>
        <v>M5WT35</v>
      </c>
      <c r="D6921" s="2" t="s">
        <v>6196</v>
      </c>
      <c r="E6921" s="3">
        <v>1.72E-162</v>
      </c>
      <c r="F6921" s="2">
        <v>1231</v>
      </c>
      <c r="G6921" s="2">
        <v>100</v>
      </c>
      <c r="H6921" s="2">
        <v>241</v>
      </c>
      <c r="I6921" s="2">
        <v>436</v>
      </c>
      <c r="J6921" s="2">
        <v>1158</v>
      </c>
      <c r="K6921" s="2">
        <v>1</v>
      </c>
      <c r="L6921" s="2">
        <v>241</v>
      </c>
    </row>
    <row r="6922" spans="1:12" x14ac:dyDescent="0.25">
      <c r="A6922" s="4" t="str">
        <f>HYPERLINK("http://www.rosaceae.org/Prunus/Prunus_persica/p.persica_gdr_reftransV1_0039396","p.persica_gdr_reftransV1_0039396")</f>
        <v>p.persica_gdr_reftransV1_0039396</v>
      </c>
      <c r="B6922" s="2">
        <v>1059</v>
      </c>
      <c r="C6922" s="4" t="str">
        <f>HYPERLINK("http://www.uniprot.org/uniprot/M5W3T4","M5W3T4")</f>
        <v>M5W3T4</v>
      </c>
      <c r="D6922" s="2" t="s">
        <v>6197</v>
      </c>
      <c r="E6922" s="3">
        <v>5.6699999999999999E-75</v>
      </c>
      <c r="F6922" s="2">
        <v>612</v>
      </c>
      <c r="G6922" s="2">
        <v>100</v>
      </c>
      <c r="H6922" s="2">
        <v>152</v>
      </c>
      <c r="I6922" s="2">
        <v>386</v>
      </c>
      <c r="J6922" s="2">
        <v>841</v>
      </c>
      <c r="K6922" s="2">
        <v>1</v>
      </c>
      <c r="L6922" s="2">
        <v>152</v>
      </c>
    </row>
    <row r="6923" spans="1:12" x14ac:dyDescent="0.25">
      <c r="A6923" s="4" t="str">
        <f>HYPERLINK("http://www.rosaceae.org/Prunus/Prunus_persica/p.persica_gdr_reftransV1_0039746","p.persica_gdr_reftransV1_0039746")</f>
        <v>p.persica_gdr_reftransV1_0039746</v>
      </c>
      <c r="B6923" s="2">
        <v>885</v>
      </c>
      <c r="C6923" s="4" t="str">
        <f>HYPERLINK("http://www.uniprot.org/uniprot/M5WUG7","M5WUG7")</f>
        <v>M5WUG7</v>
      </c>
      <c r="D6923" s="2" t="s">
        <v>6198</v>
      </c>
      <c r="E6923" s="3">
        <v>1.75E-128</v>
      </c>
      <c r="F6923" s="2">
        <v>983</v>
      </c>
      <c r="G6923" s="2">
        <v>99</v>
      </c>
      <c r="H6923" s="2">
        <v>227</v>
      </c>
      <c r="I6923" s="2">
        <v>167</v>
      </c>
      <c r="J6923" s="2">
        <v>847</v>
      </c>
      <c r="K6923" s="2">
        <v>1</v>
      </c>
      <c r="L6923" s="2">
        <v>227</v>
      </c>
    </row>
    <row r="6924" spans="1:12" x14ac:dyDescent="0.25">
      <c r="A6924" s="4" t="str">
        <f>HYPERLINK("http://www.rosaceae.org/Prunus/Prunus_persica/p.persica_gdr_reftransV1_0040096","p.persica_gdr_reftransV1_0040096")</f>
        <v>p.persica_gdr_reftransV1_0040096</v>
      </c>
      <c r="B6924" s="2">
        <v>1651</v>
      </c>
      <c r="C6924" s="4" t="str">
        <f>HYPERLINK("http://www.uniprot.org/uniprot/M5W9L4","M5W9L4")</f>
        <v>M5W9L4</v>
      </c>
      <c r="D6924" s="2" t="s">
        <v>6199</v>
      </c>
      <c r="E6924" s="3">
        <v>5.8000000000000005E-122</v>
      </c>
      <c r="F6924" s="2">
        <v>966</v>
      </c>
      <c r="G6924" s="2">
        <v>86</v>
      </c>
      <c r="H6924" s="2">
        <v>419</v>
      </c>
      <c r="I6924" s="2">
        <v>325</v>
      </c>
      <c r="J6924" s="2">
        <v>1581</v>
      </c>
      <c r="K6924" s="2">
        <v>1</v>
      </c>
      <c r="L6924" s="2">
        <v>377</v>
      </c>
    </row>
    <row r="6925" spans="1:12" x14ac:dyDescent="0.25">
      <c r="A6925" s="4" t="str">
        <f>HYPERLINK("http://www.rosaceae.org/Prunus/Prunus_persica/p.persica_gdr_reftransV1_0041496","p.persica_gdr_reftransV1_0041496")</f>
        <v>p.persica_gdr_reftransV1_0041496</v>
      </c>
      <c r="B6925" s="2">
        <v>1226</v>
      </c>
      <c r="C6925" s="4" t="str">
        <f>HYPERLINK("http://www.uniprot.org/uniprot/M5XLV0","M5XLV0")</f>
        <v>M5XLV0</v>
      </c>
      <c r="D6925" s="2" t="s">
        <v>6200</v>
      </c>
      <c r="E6925" s="3">
        <v>0</v>
      </c>
      <c r="F6925" s="2">
        <v>1394</v>
      </c>
      <c r="G6925" s="2">
        <v>100</v>
      </c>
      <c r="H6925" s="2">
        <v>262</v>
      </c>
      <c r="I6925" s="2">
        <v>11</v>
      </c>
      <c r="J6925" s="2">
        <v>796</v>
      </c>
      <c r="K6925" s="2">
        <v>1</v>
      </c>
      <c r="L6925" s="2">
        <v>262</v>
      </c>
    </row>
    <row r="6926" spans="1:12" x14ac:dyDescent="0.25">
      <c r="A6926" s="4" t="str">
        <f>HYPERLINK("http://www.rosaceae.org/Prunus/Prunus_persica/p.persica_gdr_reftransV1_0042896","p.persica_gdr_reftransV1_0042896")</f>
        <v>p.persica_gdr_reftransV1_0042896</v>
      </c>
      <c r="B6926" s="2">
        <v>966</v>
      </c>
      <c r="C6926" s="4" t="str">
        <f>HYPERLINK("http://www.uniprot.org/uniprot/M5X6F9","M5X6F9")</f>
        <v>M5X6F9</v>
      </c>
      <c r="D6926" s="2" t="s">
        <v>4831</v>
      </c>
      <c r="E6926" s="3">
        <v>2.4100000000000002E-22</v>
      </c>
      <c r="F6926" s="2">
        <v>258</v>
      </c>
      <c r="G6926" s="2">
        <v>100</v>
      </c>
      <c r="H6926" s="2">
        <v>51</v>
      </c>
      <c r="I6926" s="2">
        <v>696</v>
      </c>
      <c r="J6926" s="2">
        <v>848</v>
      </c>
      <c r="K6926" s="2">
        <v>3</v>
      </c>
      <c r="L6926" s="2">
        <v>53</v>
      </c>
    </row>
    <row r="6927" spans="1:12" x14ac:dyDescent="0.25">
      <c r="A6927" s="4" t="str">
        <f>HYPERLINK("http://www.rosaceae.org/Prunus/Prunus_persica/p.persica_gdr_reftransV1_0043246","p.persica_gdr_reftransV1_0043246")</f>
        <v>p.persica_gdr_reftransV1_0043246</v>
      </c>
      <c r="B6927" s="2">
        <v>572</v>
      </c>
      <c r="C6927" s="4" t="str">
        <f>HYPERLINK("http://www.uniprot.org/uniprot/B6CQS9","B6CQS9")</f>
        <v>B6CQS9</v>
      </c>
      <c r="D6927" s="2" t="s">
        <v>6201</v>
      </c>
      <c r="E6927" s="3">
        <v>1.5500000000000001E-107</v>
      </c>
      <c r="F6927" s="2">
        <v>811</v>
      </c>
      <c r="G6927" s="2">
        <v>99</v>
      </c>
      <c r="H6927" s="2">
        <v>160</v>
      </c>
      <c r="I6927" s="2">
        <v>8</v>
      </c>
      <c r="J6927" s="2">
        <v>487</v>
      </c>
      <c r="K6927" s="2">
        <v>1</v>
      </c>
      <c r="L6927" s="2">
        <v>160</v>
      </c>
    </row>
    <row r="6928" spans="1:12" x14ac:dyDescent="0.25">
      <c r="A6928" s="4" t="str">
        <f>HYPERLINK("http://www.rosaceae.org/Prunus/Prunus_persica/p.persica_gdr_reftransV1_0043596","p.persica_gdr_reftransV1_0043596")</f>
        <v>p.persica_gdr_reftransV1_0043596</v>
      </c>
      <c r="B6928" s="2">
        <v>525</v>
      </c>
      <c r="C6928" s="4" t="str">
        <f>HYPERLINK("http://www.uniprot.org/uniprot/D7TSN2","D7TSN2")</f>
        <v>D7TSN2</v>
      </c>
      <c r="D6928" s="2" t="s">
        <v>6202</v>
      </c>
      <c r="E6928" s="3">
        <v>2.8999999999999999E-56</v>
      </c>
      <c r="F6928" s="2">
        <v>485</v>
      </c>
      <c r="G6928" s="2">
        <v>80</v>
      </c>
      <c r="H6928" s="2">
        <v>132</v>
      </c>
      <c r="I6928" s="2">
        <v>129</v>
      </c>
      <c r="J6928" s="2">
        <v>524</v>
      </c>
      <c r="K6928" s="2">
        <v>3</v>
      </c>
      <c r="L6928" s="2">
        <v>131</v>
      </c>
    </row>
    <row r="6929" spans="1:12" x14ac:dyDescent="0.25">
      <c r="A6929" s="4" t="str">
        <f>HYPERLINK("http://www.rosaceae.org/Prunus/Prunus_persica/p.persica_gdr_reftransV1_0043946","p.persica_gdr_reftransV1_0043946")</f>
        <v>p.persica_gdr_reftransV1_0043946</v>
      </c>
      <c r="B6929" s="2">
        <v>1285</v>
      </c>
      <c r="C6929" s="4" t="str">
        <f>HYPERLINK("http://www.uniprot.org/uniprot/M5VRD8","M5VRD8")</f>
        <v>M5VRD8</v>
      </c>
      <c r="D6929" s="2" t="s">
        <v>6203</v>
      </c>
      <c r="E6929" s="3">
        <v>2.15E-78</v>
      </c>
      <c r="F6929" s="2">
        <v>641</v>
      </c>
      <c r="G6929" s="2">
        <v>100</v>
      </c>
      <c r="H6929" s="2">
        <v>145</v>
      </c>
      <c r="I6929" s="2">
        <v>57</v>
      </c>
      <c r="J6929" s="2">
        <v>491</v>
      </c>
      <c r="K6929" s="2">
        <v>1</v>
      </c>
      <c r="L6929" s="2">
        <v>145</v>
      </c>
    </row>
    <row r="6930" spans="1:12" x14ac:dyDescent="0.25">
      <c r="A6930" s="4" t="str">
        <f>HYPERLINK("http://www.rosaceae.org/Prunus/Prunus_persica/p.persica_gdr_reftransV1_0044296","p.persica_gdr_reftransV1_0044296")</f>
        <v>p.persica_gdr_reftransV1_0044296</v>
      </c>
      <c r="B6930" s="2">
        <v>1949</v>
      </c>
      <c r="C6930" s="4" t="str">
        <f>HYPERLINK("http://www.uniprot.org/uniprot/M5WRW3","M5WRW3")</f>
        <v>M5WRW3</v>
      </c>
      <c r="D6930" s="2" t="s">
        <v>6204</v>
      </c>
      <c r="E6930" s="3">
        <v>0</v>
      </c>
      <c r="F6930" s="2">
        <v>1765</v>
      </c>
      <c r="G6930" s="2">
        <v>95</v>
      </c>
      <c r="H6930" s="2">
        <v>470</v>
      </c>
      <c r="I6930" s="2">
        <v>198</v>
      </c>
      <c r="J6930" s="2">
        <v>1607</v>
      </c>
      <c r="K6930" s="2">
        <v>12</v>
      </c>
      <c r="L6930" s="2">
        <v>467</v>
      </c>
    </row>
    <row r="6931" spans="1:12" x14ac:dyDescent="0.25">
      <c r="A6931" s="4" t="str">
        <f>HYPERLINK("http://www.rosaceae.org/Prunus/Prunus_persica/p.persica_gdr_reftransV1_0044646","p.persica_gdr_reftransV1_0044646")</f>
        <v>p.persica_gdr_reftransV1_0044646</v>
      </c>
      <c r="B6931" s="2">
        <v>329</v>
      </c>
      <c r="C6931" s="4" t="str">
        <f>HYPERLINK("http://www.uniprot.org/uniprot/M5WQG7","M5WQG7")</f>
        <v>M5WQG7</v>
      </c>
      <c r="D6931" s="2" t="s">
        <v>4268</v>
      </c>
      <c r="E6931" s="3">
        <v>8.8099999999999994E-67</v>
      </c>
      <c r="F6931" s="2">
        <v>573</v>
      </c>
      <c r="G6931" s="2">
        <v>99</v>
      </c>
      <c r="H6931" s="2">
        <v>109</v>
      </c>
      <c r="I6931" s="2">
        <v>1</v>
      </c>
      <c r="J6931" s="2">
        <v>327</v>
      </c>
      <c r="K6931" s="2">
        <v>671</v>
      </c>
      <c r="L6931" s="2">
        <v>779</v>
      </c>
    </row>
    <row r="6932" spans="1:12" x14ac:dyDescent="0.25">
      <c r="A6932" s="4" t="str">
        <f>HYPERLINK("http://www.rosaceae.org/Prunus/Prunus_persica/p.persica_gdr_reftransV1_0044996","p.persica_gdr_reftransV1_0044996")</f>
        <v>p.persica_gdr_reftransV1_0044996</v>
      </c>
      <c r="B6932" s="2">
        <v>1117</v>
      </c>
      <c r="C6932" s="4" t="str">
        <f>HYPERLINK("http://www.uniprot.org/uniprot/M5X7H2","M5X7H2")</f>
        <v>M5X7H2</v>
      </c>
      <c r="D6932" s="2" t="s">
        <v>6205</v>
      </c>
      <c r="E6932" s="3">
        <v>0</v>
      </c>
      <c r="F6932" s="2">
        <v>1331</v>
      </c>
      <c r="G6932" s="2">
        <v>100</v>
      </c>
      <c r="H6932" s="2">
        <v>282</v>
      </c>
      <c r="I6932" s="2">
        <v>185</v>
      </c>
      <c r="J6932" s="2">
        <v>1030</v>
      </c>
      <c r="K6932" s="2">
        <v>1</v>
      </c>
      <c r="L6932" s="2">
        <v>282</v>
      </c>
    </row>
    <row r="6933" spans="1:12" x14ac:dyDescent="0.25">
      <c r="A6933" s="4" t="str">
        <f>HYPERLINK("http://www.rosaceae.org/Prunus/Prunus_persica/p.persica_gdr_reftransV1_0045346","p.persica_gdr_reftransV1_0045346")</f>
        <v>p.persica_gdr_reftransV1_0045346</v>
      </c>
      <c r="B6933" s="2">
        <v>955</v>
      </c>
      <c r="C6933" s="4" t="str">
        <f>HYPERLINK("http://www.uniprot.org/uniprot/F6HMT9","F6HMT9")</f>
        <v>F6HMT9</v>
      </c>
      <c r="D6933" s="2" t="s">
        <v>6206</v>
      </c>
      <c r="E6933" s="3">
        <v>2.7999999999999999E-120</v>
      </c>
      <c r="F6933" s="2">
        <v>916</v>
      </c>
      <c r="G6933" s="2">
        <v>81</v>
      </c>
      <c r="H6933" s="2">
        <v>230</v>
      </c>
      <c r="I6933" s="2">
        <v>71</v>
      </c>
      <c r="J6933" s="2">
        <v>760</v>
      </c>
      <c r="K6933" s="2">
        <v>1</v>
      </c>
      <c r="L6933" s="2">
        <v>230</v>
      </c>
    </row>
    <row r="6934" spans="1:12" x14ac:dyDescent="0.25">
      <c r="A6934" s="4" t="str">
        <f>HYPERLINK("http://www.rosaceae.org/Prunus/Prunus_persica/p.persica_gdr_reftransV1_0045696","p.persica_gdr_reftransV1_0045696")</f>
        <v>p.persica_gdr_reftransV1_0045696</v>
      </c>
      <c r="B6934" s="2">
        <v>695</v>
      </c>
      <c r="C6934" s="4" t="str">
        <f>HYPERLINK("http://www.uniprot.org/uniprot/M5XF20","M5XF20")</f>
        <v>M5XF20</v>
      </c>
      <c r="D6934" s="2" t="s">
        <v>6207</v>
      </c>
      <c r="E6934" s="3">
        <v>7.3999999999999998E-35</v>
      </c>
      <c r="F6934" s="2">
        <v>335</v>
      </c>
      <c r="G6934" s="2">
        <v>100</v>
      </c>
      <c r="H6934" s="2">
        <v>76</v>
      </c>
      <c r="I6934" s="2">
        <v>85</v>
      </c>
      <c r="J6934" s="2">
        <v>312</v>
      </c>
      <c r="K6934" s="2">
        <v>113</v>
      </c>
      <c r="L6934" s="2">
        <v>188</v>
      </c>
    </row>
    <row r="6935" spans="1:12" x14ac:dyDescent="0.25">
      <c r="A6935" s="4" t="str">
        <f>HYPERLINK("http://www.rosaceae.org/Prunus/Prunus_persica/p.persica_gdr_reftransV1_0046396","p.persica_gdr_reftransV1_0046396")</f>
        <v>p.persica_gdr_reftransV1_0046396</v>
      </c>
      <c r="B6935" s="2">
        <v>356</v>
      </c>
      <c r="C6935" s="4" t="str">
        <f>HYPERLINK("http://www.uniprot.org/uniprot/M5WH36","M5WH36")</f>
        <v>M5WH36</v>
      </c>
      <c r="D6935" s="2" t="s">
        <v>2252</v>
      </c>
      <c r="E6935" s="3">
        <v>2.93E-67</v>
      </c>
      <c r="F6935" s="2">
        <v>564</v>
      </c>
      <c r="G6935" s="2">
        <v>100</v>
      </c>
      <c r="H6935" s="2">
        <v>107</v>
      </c>
      <c r="I6935" s="2">
        <v>2</v>
      </c>
      <c r="J6935" s="2">
        <v>322</v>
      </c>
      <c r="K6935" s="2">
        <v>220</v>
      </c>
      <c r="L6935" s="2">
        <v>326</v>
      </c>
    </row>
    <row r="6936" spans="1:12" x14ac:dyDescent="0.25">
      <c r="A6936" s="4" t="str">
        <f>HYPERLINK("http://www.rosaceae.org/Prunus/Prunus_persica/p.persica_gdr_reftransV1_0046746","p.persica_gdr_reftransV1_0046746")</f>
        <v>p.persica_gdr_reftransV1_0046746</v>
      </c>
      <c r="B6936" s="2">
        <v>2293</v>
      </c>
      <c r="C6936" s="4" t="str">
        <f>HYPERLINK("http://www.uniprot.org/uniprot/M5WW92","M5WW92")</f>
        <v>M5WW92</v>
      </c>
      <c r="D6936" s="2" t="s">
        <v>6208</v>
      </c>
      <c r="E6936" s="3">
        <v>0</v>
      </c>
      <c r="F6936" s="2">
        <v>3761</v>
      </c>
      <c r="G6936" s="2">
        <v>100</v>
      </c>
      <c r="H6936" s="2">
        <v>721</v>
      </c>
      <c r="I6936" s="2">
        <v>2</v>
      </c>
      <c r="J6936" s="2">
        <v>2164</v>
      </c>
      <c r="K6936" s="2">
        <v>111</v>
      </c>
      <c r="L6936" s="2">
        <v>831</v>
      </c>
    </row>
    <row r="6937" spans="1:12" x14ac:dyDescent="0.25">
      <c r="A6937" s="4" t="str">
        <f>HYPERLINK("http://www.rosaceae.org/Prunus/Prunus_persica/p.persica_gdr_reftransV1_0047096","p.persica_gdr_reftransV1_0047096")</f>
        <v>p.persica_gdr_reftransV1_0047096</v>
      </c>
      <c r="B6937" s="2">
        <v>308</v>
      </c>
      <c r="C6937" s="4" t="str">
        <f>HYPERLINK("http://www.uniprot.org/uniprot/M5Y4T9","M5Y4T9")</f>
        <v>M5Y4T9</v>
      </c>
      <c r="D6937" s="2" t="s">
        <v>1705</v>
      </c>
      <c r="E6937" s="3">
        <v>6.8800000000000005E-60</v>
      </c>
      <c r="F6937" s="2">
        <v>533</v>
      </c>
      <c r="G6937" s="2">
        <v>100</v>
      </c>
      <c r="H6937" s="2">
        <v>102</v>
      </c>
      <c r="I6937" s="2">
        <v>2</v>
      </c>
      <c r="J6937" s="2">
        <v>307</v>
      </c>
      <c r="K6937" s="2">
        <v>140</v>
      </c>
      <c r="L6937" s="2">
        <v>241</v>
      </c>
    </row>
    <row r="6938" spans="1:12" x14ac:dyDescent="0.25">
      <c r="A6938" s="4" t="str">
        <f>HYPERLINK("http://www.rosaceae.org/Prunus/Prunus_persica/p.persica_gdr_reftransV1_0047446","p.persica_gdr_reftransV1_0047446")</f>
        <v>p.persica_gdr_reftransV1_0047446</v>
      </c>
      <c r="B6938" s="2">
        <v>600</v>
      </c>
      <c r="C6938" s="4" t="str">
        <f>HYPERLINK("http://www.uniprot.org/uniprot/M5X3B4","M5X3B4")</f>
        <v>M5X3B4</v>
      </c>
      <c r="D6938" s="2" t="s">
        <v>6209</v>
      </c>
      <c r="E6938" s="3">
        <v>5.7199999999999998E-131</v>
      </c>
      <c r="F6938" s="2">
        <v>1011</v>
      </c>
      <c r="G6938" s="2">
        <v>100</v>
      </c>
      <c r="H6938" s="2">
        <v>194</v>
      </c>
      <c r="I6938" s="2">
        <v>1</v>
      </c>
      <c r="J6938" s="2">
        <v>582</v>
      </c>
      <c r="K6938" s="2">
        <v>439</v>
      </c>
      <c r="L6938" s="2">
        <v>632</v>
      </c>
    </row>
    <row r="6939" spans="1:12" x14ac:dyDescent="0.25">
      <c r="A6939" s="4" t="str">
        <f>HYPERLINK("http://www.rosaceae.org/Prunus/Prunus_persica/p.persica_gdr_reftransV1_0047796","p.persica_gdr_reftransV1_0047796")</f>
        <v>p.persica_gdr_reftransV1_0047796</v>
      </c>
      <c r="B6939" s="2">
        <v>3269</v>
      </c>
      <c r="C6939" s="4" t="str">
        <f>HYPERLINK("http://www.uniprot.org/uniprot/M5W293","M5W293")</f>
        <v>M5W293</v>
      </c>
      <c r="D6939" s="2" t="s">
        <v>6210</v>
      </c>
      <c r="E6939" s="3">
        <v>0</v>
      </c>
      <c r="F6939" s="2">
        <v>4814</v>
      </c>
      <c r="G6939" s="2">
        <v>100</v>
      </c>
      <c r="H6939" s="2">
        <v>954</v>
      </c>
      <c r="I6939" s="2">
        <v>3</v>
      </c>
      <c r="J6939" s="2">
        <v>2864</v>
      </c>
      <c r="K6939" s="2">
        <v>34</v>
      </c>
      <c r="L6939" s="2">
        <v>987</v>
      </c>
    </row>
    <row r="6940" spans="1:12" x14ac:dyDescent="0.25">
      <c r="A6940" s="4" t="str">
        <f>HYPERLINK("http://www.rosaceae.org/Prunus/Prunus_persica/p.persica_gdr_reftransV1_0048146","p.persica_gdr_reftransV1_0048146")</f>
        <v>p.persica_gdr_reftransV1_0048146</v>
      </c>
      <c r="B6940" s="2">
        <v>1434</v>
      </c>
      <c r="C6940" s="4" t="str">
        <f>HYPERLINK("http://www.uniprot.org/uniprot/M5WCF9","M5WCF9")</f>
        <v>M5WCF9</v>
      </c>
      <c r="D6940" s="2" t="s">
        <v>6211</v>
      </c>
      <c r="E6940" s="3">
        <v>0</v>
      </c>
      <c r="F6940" s="2">
        <v>1926</v>
      </c>
      <c r="G6940" s="2">
        <v>100</v>
      </c>
      <c r="H6940" s="2">
        <v>361</v>
      </c>
      <c r="I6940" s="2">
        <v>3</v>
      </c>
      <c r="J6940" s="2">
        <v>1085</v>
      </c>
      <c r="K6940" s="2">
        <v>1</v>
      </c>
      <c r="L6940" s="2">
        <v>361</v>
      </c>
    </row>
    <row r="6941" spans="1:12" x14ac:dyDescent="0.25">
      <c r="A6941" s="4" t="str">
        <f>HYPERLINK("http://www.rosaceae.org/Prunus/Prunus_persica/p.persica_gdr_reftransV1_0048496","p.persica_gdr_reftransV1_0048496")</f>
        <v>p.persica_gdr_reftransV1_0048496</v>
      </c>
      <c r="B6941" s="2">
        <v>1665</v>
      </c>
      <c r="C6941" s="4" t="str">
        <f>HYPERLINK("http://www.uniprot.org/uniprot/M5WAM0","M5WAM0")</f>
        <v>M5WAM0</v>
      </c>
      <c r="D6941" s="2" t="s">
        <v>6212</v>
      </c>
      <c r="E6941" s="3">
        <v>1.9399999999999999E-142</v>
      </c>
      <c r="F6941" s="2">
        <v>1106</v>
      </c>
      <c r="G6941" s="2">
        <v>100</v>
      </c>
      <c r="H6941" s="2">
        <v>203</v>
      </c>
      <c r="I6941" s="2">
        <v>2</v>
      </c>
      <c r="J6941" s="2">
        <v>610</v>
      </c>
      <c r="K6941" s="2">
        <v>195</v>
      </c>
      <c r="L6941" s="2">
        <v>397</v>
      </c>
    </row>
    <row r="6942" spans="1:12" x14ac:dyDescent="0.25">
      <c r="A6942" s="4" t="str">
        <f>HYPERLINK("http://www.rosaceae.org/Prunus/Prunus_persica/p.persica_gdr_reftransV1_0048846","p.persica_gdr_reftransV1_0048846")</f>
        <v>p.persica_gdr_reftransV1_0048846</v>
      </c>
      <c r="B6942" s="2">
        <v>2142</v>
      </c>
      <c r="C6942" s="4" t="str">
        <f>HYPERLINK("http://www.uniprot.org/uniprot/M5XMN1","M5XMN1")</f>
        <v>M5XMN1</v>
      </c>
      <c r="D6942" s="2" t="s">
        <v>6213</v>
      </c>
      <c r="E6942" s="3">
        <v>0</v>
      </c>
      <c r="F6942" s="2">
        <v>2185</v>
      </c>
      <c r="G6942" s="2">
        <v>98</v>
      </c>
      <c r="H6942" s="2">
        <v>467</v>
      </c>
      <c r="I6942" s="2">
        <v>105</v>
      </c>
      <c r="J6942" s="2">
        <v>1505</v>
      </c>
      <c r="K6942" s="2">
        <v>1</v>
      </c>
      <c r="L6942" s="2">
        <v>467</v>
      </c>
    </row>
    <row r="6943" spans="1:12" x14ac:dyDescent="0.25">
      <c r="A6943" s="4" t="str">
        <f>HYPERLINK("http://www.rosaceae.org/Prunus/Prunus_persica/p.persica_gdr_reftransV1_0049196","p.persica_gdr_reftransV1_0049196")</f>
        <v>p.persica_gdr_reftransV1_0049196</v>
      </c>
      <c r="B6943" s="2">
        <v>483</v>
      </c>
      <c r="C6943" s="4" t="str">
        <f>HYPERLINK("http://www.uniprot.org/uniprot/M5X907","M5X907")</f>
        <v>M5X907</v>
      </c>
      <c r="D6943" s="2" t="s">
        <v>898</v>
      </c>
      <c r="E6943" s="3">
        <v>2.4E-101</v>
      </c>
      <c r="F6943" s="2">
        <v>847</v>
      </c>
      <c r="G6943" s="2">
        <v>100</v>
      </c>
      <c r="H6943" s="2">
        <v>160</v>
      </c>
      <c r="I6943" s="2">
        <v>2</v>
      </c>
      <c r="J6943" s="2">
        <v>481</v>
      </c>
      <c r="K6943" s="2">
        <v>1003</v>
      </c>
      <c r="L6943" s="2">
        <v>1162</v>
      </c>
    </row>
    <row r="6944" spans="1:12" x14ac:dyDescent="0.25">
      <c r="A6944" s="4" t="str">
        <f>HYPERLINK("http://www.rosaceae.org/Prunus/Prunus_persica/p.persica_gdr_reftransV1_0000197","p.persica_gdr_reftransV1_0000197")</f>
        <v>p.persica_gdr_reftransV1_0000197</v>
      </c>
      <c r="B6944" s="2">
        <v>1030</v>
      </c>
      <c r="C6944" s="4" t="str">
        <f>HYPERLINK("http://www.uniprot.org/uniprot/M5X616","M5X616")</f>
        <v>M5X616</v>
      </c>
      <c r="D6944" s="2" t="s">
        <v>6214</v>
      </c>
      <c r="E6944" s="3">
        <v>5.5000000000000003E-158</v>
      </c>
      <c r="F6944" s="2">
        <v>1173</v>
      </c>
      <c r="G6944" s="2">
        <v>99</v>
      </c>
      <c r="H6944" s="2">
        <v>231</v>
      </c>
      <c r="I6944" s="2">
        <v>319</v>
      </c>
      <c r="J6944" s="2">
        <v>1011</v>
      </c>
      <c r="K6944" s="2">
        <v>1</v>
      </c>
      <c r="L6944" s="2">
        <v>229</v>
      </c>
    </row>
    <row r="6945" spans="1:12" x14ac:dyDescent="0.25">
      <c r="A6945" s="4" t="str">
        <f>HYPERLINK("http://www.rosaceae.org/Prunus/Prunus_persica/p.persica_gdr_reftransV1_0000547","p.persica_gdr_reftransV1_0000547")</f>
        <v>p.persica_gdr_reftransV1_0000547</v>
      </c>
      <c r="B6945" s="2">
        <v>1042</v>
      </c>
      <c r="C6945" s="4" t="str">
        <f>HYPERLINK("http://www.uniprot.org/uniprot/M5WV81","M5WV81")</f>
        <v>M5WV81</v>
      </c>
      <c r="D6945" s="2" t="s">
        <v>6215</v>
      </c>
      <c r="E6945" s="3">
        <v>5.4400000000000001E-132</v>
      </c>
      <c r="F6945" s="2">
        <v>999</v>
      </c>
      <c r="G6945" s="2">
        <v>100</v>
      </c>
      <c r="H6945" s="2">
        <v>234</v>
      </c>
      <c r="I6945" s="2">
        <v>89</v>
      </c>
      <c r="J6945" s="2">
        <v>790</v>
      </c>
      <c r="K6945" s="2">
        <v>24</v>
      </c>
      <c r="L6945" s="2">
        <v>257</v>
      </c>
    </row>
    <row r="6946" spans="1:12" x14ac:dyDescent="0.25">
      <c r="A6946" s="4" t="str">
        <f>HYPERLINK("http://www.rosaceae.org/Prunus/Prunus_persica/p.persica_gdr_reftransV1_0000897","p.persica_gdr_reftransV1_0000897")</f>
        <v>p.persica_gdr_reftransV1_0000897</v>
      </c>
      <c r="B6946" s="2">
        <v>618</v>
      </c>
      <c r="C6946" s="4" t="str">
        <f>HYPERLINK("http://www.uniprot.org/uniprot/M5WNB4","M5WNB4")</f>
        <v>M5WNB4</v>
      </c>
      <c r="D6946" s="2" t="s">
        <v>6216</v>
      </c>
      <c r="E6946" s="3">
        <v>2.25E-46</v>
      </c>
      <c r="F6946" s="2">
        <v>401</v>
      </c>
      <c r="G6946" s="2">
        <v>100</v>
      </c>
      <c r="H6946" s="2">
        <v>76</v>
      </c>
      <c r="I6946" s="2">
        <v>107</v>
      </c>
      <c r="J6946" s="2">
        <v>334</v>
      </c>
      <c r="K6946" s="2">
        <v>6</v>
      </c>
      <c r="L6946" s="2">
        <v>81</v>
      </c>
    </row>
    <row r="6947" spans="1:12" x14ac:dyDescent="0.25">
      <c r="A6947" s="4" t="str">
        <f>HYPERLINK("http://www.rosaceae.org/Prunus/Prunus_persica/p.persica_gdr_reftransV1_0001247","p.persica_gdr_reftransV1_0001247")</f>
        <v>p.persica_gdr_reftransV1_0001247</v>
      </c>
      <c r="B6947" s="2">
        <v>1423</v>
      </c>
      <c r="C6947" s="4" t="str">
        <f>HYPERLINK("http://www.uniprot.org/uniprot/M5WAV3","M5WAV3")</f>
        <v>M5WAV3</v>
      </c>
      <c r="D6947" s="2" t="s">
        <v>6217</v>
      </c>
      <c r="E6947" s="3">
        <v>5.5800000000000004E-65</v>
      </c>
      <c r="F6947" s="2">
        <v>556</v>
      </c>
      <c r="G6947" s="2">
        <v>100</v>
      </c>
      <c r="H6947" s="2">
        <v>174</v>
      </c>
      <c r="I6947" s="2">
        <v>636</v>
      </c>
      <c r="J6947" s="2">
        <v>1157</v>
      </c>
      <c r="K6947" s="2">
        <v>1</v>
      </c>
      <c r="L6947" s="2">
        <v>174</v>
      </c>
    </row>
    <row r="6948" spans="1:12" x14ac:dyDescent="0.25">
      <c r="A6948" s="4" t="str">
        <f>HYPERLINK("http://www.rosaceae.org/Prunus/Prunus_persica/p.persica_gdr_reftransV1_0001597","p.persica_gdr_reftransV1_0001597")</f>
        <v>p.persica_gdr_reftransV1_0001597</v>
      </c>
      <c r="B6948" s="2">
        <v>2054</v>
      </c>
      <c r="C6948" s="4" t="str">
        <f>HYPERLINK("http://www.uniprot.org/uniprot/M5WZP7","M5WZP7")</f>
        <v>M5WZP7</v>
      </c>
      <c r="D6948" s="2" t="s">
        <v>6218</v>
      </c>
      <c r="E6948" s="3">
        <v>0</v>
      </c>
      <c r="F6948" s="2">
        <v>1737</v>
      </c>
      <c r="G6948" s="2">
        <v>100</v>
      </c>
      <c r="H6948" s="2">
        <v>413</v>
      </c>
      <c r="I6948" s="2">
        <v>196</v>
      </c>
      <c r="J6948" s="2">
        <v>1434</v>
      </c>
      <c r="K6948" s="2">
        <v>1</v>
      </c>
      <c r="L6948" s="2">
        <v>413</v>
      </c>
    </row>
    <row r="6949" spans="1:12" x14ac:dyDescent="0.25">
      <c r="A6949" s="4" t="str">
        <f>HYPERLINK("http://www.rosaceae.org/Prunus/Prunus_persica/p.persica_gdr_reftransV1_0001947","p.persica_gdr_reftransV1_0001947")</f>
        <v>p.persica_gdr_reftransV1_0001947</v>
      </c>
      <c r="B6949" s="2">
        <v>323</v>
      </c>
      <c r="C6949" s="4" t="str">
        <f>HYPERLINK("http://www.uniprot.org/uniprot/M5WSC0","M5WSC0")</f>
        <v>M5WSC0</v>
      </c>
      <c r="D6949" s="2" t="s">
        <v>6219</v>
      </c>
      <c r="E6949" s="3">
        <v>4.9400000000000004E-22</v>
      </c>
      <c r="F6949" s="2">
        <v>241</v>
      </c>
      <c r="G6949" s="2">
        <v>94</v>
      </c>
      <c r="H6949" s="2">
        <v>48</v>
      </c>
      <c r="I6949" s="2">
        <v>112</v>
      </c>
      <c r="J6949" s="2">
        <v>255</v>
      </c>
      <c r="K6949" s="2">
        <v>7</v>
      </c>
      <c r="L6949" s="2">
        <v>54</v>
      </c>
    </row>
    <row r="6950" spans="1:12" x14ac:dyDescent="0.25">
      <c r="A6950" s="4" t="str">
        <f>HYPERLINK("http://www.rosaceae.org/Prunus/Prunus_persica/p.persica_gdr_reftransV1_0002647","p.persica_gdr_reftransV1_0002647")</f>
        <v>p.persica_gdr_reftransV1_0002647</v>
      </c>
      <c r="B6950" s="2">
        <v>1455</v>
      </c>
      <c r="C6950" s="4" t="str">
        <f>HYPERLINK("http://www.uniprot.org/uniprot/I6MK31","I6MK31")</f>
        <v>I6MK31</v>
      </c>
      <c r="D6950" s="2" t="s">
        <v>6220</v>
      </c>
      <c r="E6950" s="3">
        <v>8.2799999999999999E-90</v>
      </c>
      <c r="F6950" s="2">
        <v>722</v>
      </c>
      <c r="G6950" s="2">
        <v>100</v>
      </c>
      <c r="H6950" s="2">
        <v>138</v>
      </c>
      <c r="I6950" s="2">
        <v>761</v>
      </c>
      <c r="J6950" s="2">
        <v>1174</v>
      </c>
      <c r="K6950" s="2">
        <v>20</v>
      </c>
      <c r="L6950" s="2">
        <v>157</v>
      </c>
    </row>
    <row r="6951" spans="1:12" x14ac:dyDescent="0.25">
      <c r="A6951" s="4" t="str">
        <f>HYPERLINK("http://www.rosaceae.org/Prunus/Prunus_persica/p.persica_gdr_reftransV1_0002997","p.persica_gdr_reftransV1_0002997")</f>
        <v>p.persica_gdr_reftransV1_0002997</v>
      </c>
      <c r="B6951" s="2">
        <v>852</v>
      </c>
      <c r="C6951" s="4" t="str">
        <f>HYPERLINK("http://www.uniprot.org/uniprot/M5XNI6","M5XNI6")</f>
        <v>M5XNI6</v>
      </c>
      <c r="D6951" s="2" t="s">
        <v>4151</v>
      </c>
      <c r="E6951" s="3">
        <v>3.0299999999999999E-107</v>
      </c>
      <c r="F6951" s="2">
        <v>823</v>
      </c>
      <c r="G6951" s="2">
        <v>97</v>
      </c>
      <c r="H6951" s="2">
        <v>186</v>
      </c>
      <c r="I6951" s="2">
        <v>168</v>
      </c>
      <c r="J6951" s="2">
        <v>725</v>
      </c>
      <c r="K6951" s="2">
        <v>11</v>
      </c>
      <c r="L6951" s="2">
        <v>196</v>
      </c>
    </row>
    <row r="6952" spans="1:12" x14ac:dyDescent="0.25">
      <c r="A6952" s="4" t="str">
        <f>HYPERLINK("http://www.rosaceae.org/Prunus/Prunus_persica/p.persica_gdr_reftransV1_0003697","p.persica_gdr_reftransV1_0003697")</f>
        <v>p.persica_gdr_reftransV1_0003697</v>
      </c>
      <c r="B6952" s="2">
        <v>335</v>
      </c>
      <c r="C6952" s="4" t="str">
        <f>HYPERLINK("http://www.uniprot.org/uniprot/M5WDT6","M5WDT6")</f>
        <v>M5WDT6</v>
      </c>
      <c r="D6952" s="2" t="s">
        <v>6221</v>
      </c>
      <c r="E6952" s="3">
        <v>5.6200000000000002E-22</v>
      </c>
      <c r="F6952" s="2">
        <v>248</v>
      </c>
      <c r="G6952" s="2">
        <v>47</v>
      </c>
      <c r="H6952" s="2">
        <v>102</v>
      </c>
      <c r="I6952" s="2">
        <v>18</v>
      </c>
      <c r="J6952" s="2">
        <v>323</v>
      </c>
      <c r="K6952" s="2">
        <v>47</v>
      </c>
      <c r="L6952" s="2">
        <v>148</v>
      </c>
    </row>
    <row r="6953" spans="1:12" x14ac:dyDescent="0.25">
      <c r="A6953" s="4" t="str">
        <f>HYPERLINK("http://www.rosaceae.org/Prunus/Prunus_persica/p.persica_gdr_reftransV1_0004047","p.persica_gdr_reftransV1_0004047")</f>
        <v>p.persica_gdr_reftransV1_0004047</v>
      </c>
      <c r="B6953" s="2">
        <v>924</v>
      </c>
      <c r="C6953" s="4" t="str">
        <f>HYPERLINK("http://www.uniprot.org/uniprot/M5W7T9","M5W7T9")</f>
        <v>M5W7T9</v>
      </c>
      <c r="D6953" s="2" t="s">
        <v>6222</v>
      </c>
      <c r="E6953" s="3">
        <v>1.37E-116</v>
      </c>
      <c r="F6953" s="2">
        <v>887</v>
      </c>
      <c r="G6953" s="2">
        <v>100</v>
      </c>
      <c r="H6953" s="2">
        <v>196</v>
      </c>
      <c r="I6953" s="2">
        <v>34</v>
      </c>
      <c r="J6953" s="2">
        <v>621</v>
      </c>
      <c r="K6953" s="2">
        <v>1</v>
      </c>
      <c r="L6953" s="2">
        <v>196</v>
      </c>
    </row>
    <row r="6954" spans="1:12" x14ac:dyDescent="0.25">
      <c r="A6954" s="4" t="str">
        <f>HYPERLINK("http://www.rosaceae.org/Prunus/Prunus_persica/p.persica_gdr_reftransV1_0004397","p.persica_gdr_reftransV1_0004397")</f>
        <v>p.persica_gdr_reftransV1_0004397</v>
      </c>
      <c r="B6954" s="2">
        <v>1046</v>
      </c>
      <c r="C6954" s="4" t="str">
        <f>HYPERLINK("http://www.uniprot.org/uniprot/M5XJ55","M5XJ55")</f>
        <v>M5XJ55</v>
      </c>
      <c r="D6954" s="2" t="s">
        <v>6223</v>
      </c>
      <c r="E6954" s="3">
        <v>2.1E-109</v>
      </c>
      <c r="F6954" s="2">
        <v>891</v>
      </c>
      <c r="G6954" s="2">
        <v>100</v>
      </c>
      <c r="H6954" s="2">
        <v>166</v>
      </c>
      <c r="I6954" s="2">
        <v>1</v>
      </c>
      <c r="J6954" s="2">
        <v>498</v>
      </c>
      <c r="K6954" s="2">
        <v>546</v>
      </c>
      <c r="L6954" s="2">
        <v>711</v>
      </c>
    </row>
    <row r="6955" spans="1:12" x14ac:dyDescent="0.25">
      <c r="A6955" s="4" t="str">
        <f>HYPERLINK("http://www.rosaceae.org/Prunus/Prunus_persica/p.persica_gdr_reftransV1_0007197","p.persica_gdr_reftransV1_0007197")</f>
        <v>p.persica_gdr_reftransV1_0007197</v>
      </c>
      <c r="B6955" s="2">
        <v>3544</v>
      </c>
      <c r="C6955" s="4" t="str">
        <f>HYPERLINK("http://www.uniprot.org/uniprot/M5VYF9","M5VYF9")</f>
        <v>M5VYF9</v>
      </c>
      <c r="D6955" s="2" t="s">
        <v>14</v>
      </c>
      <c r="E6955" s="3">
        <v>0</v>
      </c>
      <c r="F6955" s="2">
        <v>4486</v>
      </c>
      <c r="G6955" s="2">
        <v>95</v>
      </c>
      <c r="H6955" s="2">
        <v>962</v>
      </c>
      <c r="I6955" s="2">
        <v>659</v>
      </c>
      <c r="J6955" s="2">
        <v>3544</v>
      </c>
      <c r="K6955" s="2">
        <v>419</v>
      </c>
      <c r="L6955" s="2">
        <v>1339</v>
      </c>
    </row>
    <row r="6956" spans="1:12" x14ac:dyDescent="0.25">
      <c r="A6956" s="4" t="str">
        <f>HYPERLINK("http://www.rosaceae.org/Prunus/Prunus_persica/p.persica_gdr_reftransV1_0007547","p.persica_gdr_reftransV1_0007547")</f>
        <v>p.persica_gdr_reftransV1_0007547</v>
      </c>
      <c r="B6956" s="2">
        <v>2166</v>
      </c>
      <c r="C6956" s="4" t="str">
        <f>HYPERLINK("http://www.uniprot.org/uniprot/M5W9P5","M5W9P5")</f>
        <v>M5W9P5</v>
      </c>
      <c r="D6956" s="2" t="s">
        <v>6224</v>
      </c>
      <c r="E6956" s="3">
        <v>1.93E-177</v>
      </c>
      <c r="F6956" s="2">
        <v>1346</v>
      </c>
      <c r="G6956" s="2">
        <v>99</v>
      </c>
      <c r="H6956" s="2">
        <v>268</v>
      </c>
      <c r="I6956" s="2">
        <v>934</v>
      </c>
      <c r="J6956" s="2">
        <v>1737</v>
      </c>
      <c r="K6956" s="2">
        <v>1</v>
      </c>
      <c r="L6956" s="2">
        <v>267</v>
      </c>
    </row>
    <row r="6957" spans="1:12" x14ac:dyDescent="0.25">
      <c r="A6957" s="4" t="str">
        <f>HYPERLINK("http://www.rosaceae.org/Prunus/Prunus_persica/p.persica_gdr_reftransV1_0007897","p.persica_gdr_reftransV1_0007897")</f>
        <v>p.persica_gdr_reftransV1_0007897</v>
      </c>
      <c r="B6957" s="2">
        <v>1190</v>
      </c>
      <c r="C6957" s="4" t="str">
        <f>HYPERLINK("http://www.uniprot.org/uniprot/M5XE72","M5XE72")</f>
        <v>M5XE72</v>
      </c>
      <c r="D6957" s="2" t="s">
        <v>6225</v>
      </c>
      <c r="E6957" s="3">
        <v>0</v>
      </c>
      <c r="F6957" s="2">
        <v>1418</v>
      </c>
      <c r="G6957" s="2">
        <v>93</v>
      </c>
      <c r="H6957" s="2">
        <v>296</v>
      </c>
      <c r="I6957" s="2">
        <v>87</v>
      </c>
      <c r="J6957" s="2">
        <v>974</v>
      </c>
      <c r="K6957" s="2">
        <v>1</v>
      </c>
      <c r="L6957" s="2">
        <v>275</v>
      </c>
    </row>
    <row r="6958" spans="1:12" x14ac:dyDescent="0.25">
      <c r="A6958" s="4" t="str">
        <f>HYPERLINK("http://www.rosaceae.org/Prunus/Prunus_persica/p.persica_gdr_reftransV1_0008597","p.persica_gdr_reftransV1_0008597")</f>
        <v>p.persica_gdr_reftransV1_0008597</v>
      </c>
      <c r="B6958" s="2">
        <v>2098</v>
      </c>
      <c r="C6958" s="4" t="str">
        <f>HYPERLINK("http://www.uniprot.org/uniprot/M5W8S4","M5W8S4")</f>
        <v>M5W8S4</v>
      </c>
      <c r="D6958" s="2" t="s">
        <v>6226</v>
      </c>
      <c r="E6958" s="3">
        <v>3.1499999999999999E-142</v>
      </c>
      <c r="F6958" s="2">
        <v>1122</v>
      </c>
      <c r="G6958" s="2">
        <v>99</v>
      </c>
      <c r="H6958" s="2">
        <v>343</v>
      </c>
      <c r="I6958" s="2">
        <v>932</v>
      </c>
      <c r="J6958" s="2">
        <v>1960</v>
      </c>
      <c r="K6958" s="2">
        <v>1</v>
      </c>
      <c r="L6958" s="2">
        <v>343</v>
      </c>
    </row>
    <row r="6959" spans="1:12" x14ac:dyDescent="0.25">
      <c r="A6959" s="4" t="str">
        <f>HYPERLINK("http://www.rosaceae.org/Prunus/Prunus_persica/p.persica_gdr_reftransV1_0008947","p.persica_gdr_reftransV1_0008947")</f>
        <v>p.persica_gdr_reftransV1_0008947</v>
      </c>
      <c r="B6959" s="2">
        <v>2029</v>
      </c>
      <c r="C6959" s="4" t="str">
        <f>HYPERLINK("http://www.uniprot.org/uniprot/M5WMS0","M5WMS0")</f>
        <v>M5WMS0</v>
      </c>
      <c r="D6959" s="2" t="s">
        <v>6227</v>
      </c>
      <c r="E6959" s="3">
        <v>0</v>
      </c>
      <c r="F6959" s="2">
        <v>2748</v>
      </c>
      <c r="G6959" s="2">
        <v>100</v>
      </c>
      <c r="H6959" s="2">
        <v>547</v>
      </c>
      <c r="I6959" s="2">
        <v>223</v>
      </c>
      <c r="J6959" s="2">
        <v>1863</v>
      </c>
      <c r="K6959" s="2">
        <v>1</v>
      </c>
      <c r="L6959" s="2">
        <v>547</v>
      </c>
    </row>
    <row r="6960" spans="1:12" x14ac:dyDescent="0.25">
      <c r="A6960" s="4" t="str">
        <f>HYPERLINK("http://www.rosaceae.org/Prunus/Prunus_persica/p.persica_gdr_reftransV1_0012447","p.persica_gdr_reftransV1_0012447")</f>
        <v>p.persica_gdr_reftransV1_0012447</v>
      </c>
      <c r="B6960" s="2">
        <v>2866</v>
      </c>
      <c r="C6960" s="4" t="str">
        <f>HYPERLINK("http://www.uniprot.org/uniprot/M5XEP6","M5XEP6")</f>
        <v>M5XEP6</v>
      </c>
      <c r="D6960" s="2" t="s">
        <v>4396</v>
      </c>
      <c r="E6960" s="3">
        <v>0</v>
      </c>
      <c r="F6960" s="2">
        <v>2257</v>
      </c>
      <c r="G6960" s="2">
        <v>100</v>
      </c>
      <c r="H6960" s="2">
        <v>475</v>
      </c>
      <c r="I6960" s="2">
        <v>277</v>
      </c>
      <c r="J6960" s="2">
        <v>1701</v>
      </c>
      <c r="K6960" s="2">
        <v>25</v>
      </c>
      <c r="L6960" s="2">
        <v>499</v>
      </c>
    </row>
    <row r="6961" spans="1:12" x14ac:dyDescent="0.25">
      <c r="A6961" s="4" t="str">
        <f>HYPERLINK("http://www.rosaceae.org/Prunus/Prunus_persica/p.persica_gdr_reftransV1_0013147","p.persica_gdr_reftransV1_0013147")</f>
        <v>p.persica_gdr_reftransV1_0013147</v>
      </c>
      <c r="B6961" s="2">
        <v>1482</v>
      </c>
      <c r="C6961" s="4" t="str">
        <f>HYPERLINK("http://www.uniprot.org/uniprot/M5VXE5","M5VXE5")</f>
        <v>M5VXE5</v>
      </c>
      <c r="D6961" s="2" t="s">
        <v>5762</v>
      </c>
      <c r="E6961" s="3">
        <v>0</v>
      </c>
      <c r="F6961" s="2">
        <v>1737</v>
      </c>
      <c r="G6961" s="2">
        <v>81</v>
      </c>
      <c r="H6961" s="2">
        <v>435</v>
      </c>
      <c r="I6961" s="2">
        <v>1</v>
      </c>
      <c r="J6961" s="2">
        <v>1152</v>
      </c>
      <c r="K6961" s="2">
        <v>1</v>
      </c>
      <c r="L6961" s="2">
        <v>435</v>
      </c>
    </row>
    <row r="6962" spans="1:12" x14ac:dyDescent="0.25">
      <c r="A6962" s="4" t="str">
        <f>HYPERLINK("http://www.rosaceae.org/Prunus/Prunus_persica/p.persica_gdr_reftransV1_0013497","p.persica_gdr_reftransV1_0013497")</f>
        <v>p.persica_gdr_reftransV1_0013497</v>
      </c>
      <c r="B6962" s="2">
        <v>1916</v>
      </c>
      <c r="C6962" s="4" t="str">
        <f>HYPERLINK("http://www.uniprot.org/uniprot/M5WZD4","M5WZD4")</f>
        <v>M5WZD4</v>
      </c>
      <c r="D6962" s="2" t="s">
        <v>6228</v>
      </c>
      <c r="E6962" s="3">
        <v>0</v>
      </c>
      <c r="F6962" s="2">
        <v>2079</v>
      </c>
      <c r="G6962" s="2">
        <v>100</v>
      </c>
      <c r="H6962" s="2">
        <v>454</v>
      </c>
      <c r="I6962" s="2">
        <v>427</v>
      </c>
      <c r="J6962" s="2">
        <v>1788</v>
      </c>
      <c r="K6962" s="2">
        <v>1</v>
      </c>
      <c r="L6962" s="2">
        <v>454</v>
      </c>
    </row>
    <row r="6963" spans="1:12" x14ac:dyDescent="0.25">
      <c r="A6963" s="4" t="str">
        <f>HYPERLINK("http://www.rosaceae.org/Prunus/Prunus_persica/p.persica_gdr_reftransV1_0013847","p.persica_gdr_reftransV1_0013847")</f>
        <v>p.persica_gdr_reftransV1_0013847</v>
      </c>
      <c r="B6963" s="2">
        <v>1184</v>
      </c>
      <c r="C6963" s="4" t="str">
        <f>HYPERLINK("http://www.uniprot.org/uniprot/M5XZZ7","M5XZZ7")</f>
        <v>M5XZZ7</v>
      </c>
      <c r="D6963" s="2" t="s">
        <v>6229</v>
      </c>
      <c r="E6963" s="3">
        <v>4.7E-178</v>
      </c>
      <c r="F6963" s="2">
        <v>1307</v>
      </c>
      <c r="G6963" s="2">
        <v>100</v>
      </c>
      <c r="H6963" s="2">
        <v>251</v>
      </c>
      <c r="I6963" s="2">
        <v>119</v>
      </c>
      <c r="J6963" s="2">
        <v>871</v>
      </c>
      <c r="K6963" s="2">
        <v>1</v>
      </c>
      <c r="L6963" s="2">
        <v>251</v>
      </c>
    </row>
    <row r="6964" spans="1:12" x14ac:dyDescent="0.25">
      <c r="A6964" s="4" t="str">
        <f>HYPERLINK("http://www.rosaceae.org/Prunus/Prunus_persica/p.persica_gdr_reftransV1_0014897","p.persica_gdr_reftransV1_0014897")</f>
        <v>p.persica_gdr_reftransV1_0014897</v>
      </c>
      <c r="B6964" s="2">
        <v>2862</v>
      </c>
      <c r="C6964" s="4" t="str">
        <f>HYPERLINK("http://www.uniprot.org/uniprot/M5XH18","M5XH18")</f>
        <v>M5XH18</v>
      </c>
      <c r="D6964" s="2" t="s">
        <v>6230</v>
      </c>
      <c r="E6964" s="3">
        <v>0</v>
      </c>
      <c r="F6964" s="2">
        <v>3761</v>
      </c>
      <c r="G6964" s="2">
        <v>100</v>
      </c>
      <c r="H6964" s="2">
        <v>750</v>
      </c>
      <c r="I6964" s="2">
        <v>366</v>
      </c>
      <c r="J6964" s="2">
        <v>2615</v>
      </c>
      <c r="K6964" s="2">
        <v>23</v>
      </c>
      <c r="L6964" s="2">
        <v>772</v>
      </c>
    </row>
    <row r="6965" spans="1:12" x14ac:dyDescent="0.25">
      <c r="A6965" s="4" t="str">
        <f>HYPERLINK("http://www.rosaceae.org/Prunus/Prunus_persica/p.persica_gdr_reftransV1_0015247","p.persica_gdr_reftransV1_0015247")</f>
        <v>p.persica_gdr_reftransV1_0015247</v>
      </c>
      <c r="B6965" s="2">
        <v>1323</v>
      </c>
      <c r="C6965" s="4" t="str">
        <f>HYPERLINK("http://www.uniprot.org/uniprot/M5X5P4","M5X5P4")</f>
        <v>M5X5P4</v>
      </c>
      <c r="D6965" s="2" t="s">
        <v>6231</v>
      </c>
      <c r="E6965" s="3">
        <v>2.4499999999999998E-165</v>
      </c>
      <c r="F6965" s="2">
        <v>1232</v>
      </c>
      <c r="G6965" s="2">
        <v>100</v>
      </c>
      <c r="H6965" s="2">
        <v>284</v>
      </c>
      <c r="I6965" s="2">
        <v>179</v>
      </c>
      <c r="J6965" s="2">
        <v>1030</v>
      </c>
      <c r="K6965" s="2">
        <v>1</v>
      </c>
      <c r="L6965" s="2">
        <v>284</v>
      </c>
    </row>
    <row r="6966" spans="1:12" x14ac:dyDescent="0.25">
      <c r="A6966" s="4" t="str">
        <f>HYPERLINK("http://www.rosaceae.org/Prunus/Prunus_persica/p.persica_gdr_reftransV1_0015947","p.persica_gdr_reftransV1_0015947")</f>
        <v>p.persica_gdr_reftransV1_0015947</v>
      </c>
      <c r="B6966" s="2">
        <v>1859</v>
      </c>
      <c r="C6966" s="4" t="str">
        <f>HYPERLINK("http://www.uniprot.org/uniprot/M5VYN6","M5VYN6")</f>
        <v>M5VYN6</v>
      </c>
      <c r="D6966" s="2" t="s">
        <v>6232</v>
      </c>
      <c r="E6966" s="3">
        <v>0</v>
      </c>
      <c r="F6966" s="2">
        <v>1406</v>
      </c>
      <c r="G6966" s="2">
        <v>100</v>
      </c>
      <c r="H6966" s="2">
        <v>286</v>
      </c>
      <c r="I6966" s="2">
        <v>828</v>
      </c>
      <c r="J6966" s="2">
        <v>1685</v>
      </c>
      <c r="K6966" s="2">
        <v>1</v>
      </c>
      <c r="L6966" s="2">
        <v>286</v>
      </c>
    </row>
    <row r="6967" spans="1:12" x14ac:dyDescent="0.25">
      <c r="A6967" s="4" t="str">
        <f>HYPERLINK("http://www.rosaceae.org/Prunus/Prunus_persica/p.persica_gdr_reftransV1_0016297","p.persica_gdr_reftransV1_0016297")</f>
        <v>p.persica_gdr_reftransV1_0016297</v>
      </c>
      <c r="B6967" s="2">
        <v>3902</v>
      </c>
      <c r="C6967" s="4" t="str">
        <f>HYPERLINK("http://www.uniprot.org/uniprot/M5WNM2","M5WNM2")</f>
        <v>M5WNM2</v>
      </c>
      <c r="D6967" s="2" t="s">
        <v>6233</v>
      </c>
      <c r="E6967" s="3">
        <v>0</v>
      </c>
      <c r="F6967" s="2">
        <v>3281</v>
      </c>
      <c r="G6967" s="2">
        <v>100</v>
      </c>
      <c r="H6967" s="2">
        <v>688</v>
      </c>
      <c r="I6967" s="2">
        <v>1008</v>
      </c>
      <c r="J6967" s="2">
        <v>3071</v>
      </c>
      <c r="K6967" s="2">
        <v>1</v>
      </c>
      <c r="L6967" s="2">
        <v>688</v>
      </c>
    </row>
    <row r="6968" spans="1:12" x14ac:dyDescent="0.25">
      <c r="A6968" s="4" t="str">
        <f>HYPERLINK("http://www.rosaceae.org/Prunus/Prunus_persica/p.persica_gdr_reftransV1_0017697","p.persica_gdr_reftransV1_0017697")</f>
        <v>p.persica_gdr_reftransV1_0017697</v>
      </c>
      <c r="B6968" s="2">
        <v>2158</v>
      </c>
      <c r="C6968" s="4" t="str">
        <f>HYPERLINK("http://www.uniprot.org/uniprot/M5XY82","M5XY82")</f>
        <v>M5XY82</v>
      </c>
      <c r="D6968" s="2" t="s">
        <v>6234</v>
      </c>
      <c r="E6968" s="3">
        <v>0</v>
      </c>
      <c r="F6968" s="2">
        <v>1445</v>
      </c>
      <c r="G6968" s="2">
        <v>100</v>
      </c>
      <c r="H6968" s="2">
        <v>268</v>
      </c>
      <c r="I6968" s="2">
        <v>1102</v>
      </c>
      <c r="J6968" s="2">
        <v>1905</v>
      </c>
      <c r="K6968" s="2">
        <v>1</v>
      </c>
      <c r="L6968" s="2">
        <v>268</v>
      </c>
    </row>
    <row r="6969" spans="1:12" x14ac:dyDescent="0.25">
      <c r="A6969" s="4" t="str">
        <f>HYPERLINK("http://www.rosaceae.org/Prunus/Prunus_persica/p.persica_gdr_reftransV1_0018047","p.persica_gdr_reftransV1_0018047")</f>
        <v>p.persica_gdr_reftransV1_0018047</v>
      </c>
      <c r="B6969" s="2">
        <v>2035</v>
      </c>
      <c r="C6969" s="4" t="str">
        <f>HYPERLINK("http://www.uniprot.org/uniprot/M5XA62","M5XA62")</f>
        <v>M5XA62</v>
      </c>
      <c r="D6969" s="2" t="s">
        <v>6235</v>
      </c>
      <c r="E6969" s="3">
        <v>0</v>
      </c>
      <c r="F6969" s="2">
        <v>2050</v>
      </c>
      <c r="G6969" s="2">
        <v>99</v>
      </c>
      <c r="H6969" s="2">
        <v>489</v>
      </c>
      <c r="I6969" s="2">
        <v>521</v>
      </c>
      <c r="J6969" s="2">
        <v>1987</v>
      </c>
      <c r="K6969" s="2">
        <v>1</v>
      </c>
      <c r="L6969" s="2">
        <v>489</v>
      </c>
    </row>
    <row r="6970" spans="1:12" x14ac:dyDescent="0.25">
      <c r="A6970" s="4" t="str">
        <f>HYPERLINK("http://www.rosaceae.org/Prunus/Prunus_persica/p.persica_gdr_reftransV1_0018397","p.persica_gdr_reftransV1_0018397")</f>
        <v>p.persica_gdr_reftransV1_0018397</v>
      </c>
      <c r="B6970" s="2">
        <v>1311</v>
      </c>
      <c r="C6970" s="4" t="str">
        <f>HYPERLINK("http://www.uniprot.org/uniprot/M5Y356","M5Y356")</f>
        <v>M5Y356</v>
      </c>
      <c r="D6970" s="2" t="s">
        <v>6236</v>
      </c>
      <c r="E6970" s="3">
        <v>4.4599999999999999E-131</v>
      </c>
      <c r="F6970" s="2">
        <v>1001</v>
      </c>
      <c r="G6970" s="2">
        <v>100</v>
      </c>
      <c r="H6970" s="2">
        <v>242</v>
      </c>
      <c r="I6970" s="2">
        <v>347</v>
      </c>
      <c r="J6970" s="2">
        <v>1072</v>
      </c>
      <c r="K6970" s="2">
        <v>1</v>
      </c>
      <c r="L6970" s="2">
        <v>242</v>
      </c>
    </row>
    <row r="6971" spans="1:12" x14ac:dyDescent="0.25">
      <c r="A6971" s="4" t="str">
        <f>HYPERLINK("http://www.rosaceae.org/Prunus/Prunus_persica/p.persica_gdr_reftransV1_0019797","p.persica_gdr_reftransV1_0019797")</f>
        <v>p.persica_gdr_reftransV1_0019797</v>
      </c>
      <c r="B6971" s="2">
        <v>1361</v>
      </c>
      <c r="C6971" s="4" t="str">
        <f>HYPERLINK("http://www.uniprot.org/uniprot/A0A061EIS8","A0A061EIS8")</f>
        <v>A0A061EIS8</v>
      </c>
      <c r="D6971" s="2" t="s">
        <v>2991</v>
      </c>
      <c r="E6971" s="3">
        <v>1.03E-51</v>
      </c>
      <c r="F6971" s="2">
        <v>501</v>
      </c>
      <c r="G6971" s="2">
        <v>83</v>
      </c>
      <c r="H6971" s="2">
        <v>131</v>
      </c>
      <c r="I6971" s="2">
        <v>357</v>
      </c>
      <c r="J6971" s="2">
        <v>749</v>
      </c>
      <c r="K6971" s="2">
        <v>234</v>
      </c>
      <c r="L6971" s="2">
        <v>364</v>
      </c>
    </row>
    <row r="6972" spans="1:12" x14ac:dyDescent="0.25">
      <c r="A6972" s="4" t="str">
        <f>HYPERLINK("http://www.rosaceae.org/Prunus/Prunus_persica/p.persica_gdr_reftransV1_0021197","p.persica_gdr_reftransV1_0021197")</f>
        <v>p.persica_gdr_reftransV1_0021197</v>
      </c>
      <c r="B6972" s="2">
        <v>1913</v>
      </c>
      <c r="C6972" s="4" t="str">
        <f>HYPERLINK("http://www.uniprot.org/uniprot/M5WZY2","M5WZY2")</f>
        <v>M5WZY2</v>
      </c>
      <c r="D6972" s="2" t="s">
        <v>6237</v>
      </c>
      <c r="E6972" s="3">
        <v>3.7199999999999998E-120</v>
      </c>
      <c r="F6972" s="2">
        <v>959</v>
      </c>
      <c r="G6972" s="2">
        <v>75</v>
      </c>
      <c r="H6972" s="2">
        <v>277</v>
      </c>
      <c r="I6972" s="2">
        <v>196</v>
      </c>
      <c r="J6972" s="2">
        <v>1026</v>
      </c>
      <c r="K6972" s="2">
        <v>96</v>
      </c>
      <c r="L6972" s="2">
        <v>372</v>
      </c>
    </row>
    <row r="6973" spans="1:12" x14ac:dyDescent="0.25">
      <c r="A6973" s="4" t="str">
        <f>HYPERLINK("http://www.rosaceae.org/Prunus/Prunus_persica/p.persica_gdr_reftransV1_0022597","p.persica_gdr_reftransV1_0022597")</f>
        <v>p.persica_gdr_reftransV1_0022597</v>
      </c>
      <c r="B6973" s="2">
        <v>2552</v>
      </c>
      <c r="C6973" s="4" t="str">
        <f>HYPERLINK("http://www.uniprot.org/uniprot/M5WU15","M5WU15")</f>
        <v>M5WU15</v>
      </c>
      <c r="D6973" s="2" t="s">
        <v>6238</v>
      </c>
      <c r="E6973" s="3">
        <v>0</v>
      </c>
      <c r="F6973" s="2">
        <v>2224</v>
      </c>
      <c r="G6973" s="2">
        <v>100</v>
      </c>
      <c r="H6973" s="2">
        <v>420</v>
      </c>
      <c r="I6973" s="2">
        <v>974</v>
      </c>
      <c r="J6973" s="2">
        <v>2233</v>
      </c>
      <c r="K6973" s="2">
        <v>1</v>
      </c>
      <c r="L6973" s="2">
        <v>420</v>
      </c>
    </row>
    <row r="6974" spans="1:12" x14ac:dyDescent="0.25">
      <c r="A6974" s="4" t="str">
        <f>HYPERLINK("http://www.rosaceae.org/Prunus/Prunus_persica/p.persica_gdr_reftransV1_0022947","p.persica_gdr_reftransV1_0022947")</f>
        <v>p.persica_gdr_reftransV1_0022947</v>
      </c>
      <c r="B6974" s="2">
        <v>643</v>
      </c>
      <c r="C6974" s="4" t="str">
        <f>HYPERLINK("http://www.uniprot.org/uniprot/M5W025","M5W025")</f>
        <v>M5W025</v>
      </c>
      <c r="D6974" s="2" t="s">
        <v>6239</v>
      </c>
      <c r="E6974" s="3">
        <v>7.2899999999999999E-83</v>
      </c>
      <c r="F6974" s="2">
        <v>667</v>
      </c>
      <c r="G6974" s="2">
        <v>99</v>
      </c>
      <c r="H6974" s="2">
        <v>122</v>
      </c>
      <c r="I6974" s="2">
        <v>3</v>
      </c>
      <c r="J6974" s="2">
        <v>368</v>
      </c>
      <c r="K6974" s="2">
        <v>1</v>
      </c>
      <c r="L6974" s="2">
        <v>122</v>
      </c>
    </row>
    <row r="6975" spans="1:12" x14ac:dyDescent="0.25">
      <c r="A6975" s="4" t="str">
        <f>HYPERLINK("http://www.rosaceae.org/Prunus/Prunus_persica/p.persica_gdr_reftransV1_0023647","p.persica_gdr_reftransV1_0023647")</f>
        <v>p.persica_gdr_reftransV1_0023647</v>
      </c>
      <c r="B6975" s="2">
        <v>778</v>
      </c>
      <c r="C6975" s="4" t="str">
        <f>HYPERLINK("http://www.uniprot.org/uniprot/M5WW46","M5WW46")</f>
        <v>M5WW46</v>
      </c>
      <c r="D6975" s="2" t="s">
        <v>6240</v>
      </c>
      <c r="E6975" s="3">
        <v>2.0100000000000001E-90</v>
      </c>
      <c r="F6975" s="2">
        <v>704</v>
      </c>
      <c r="G6975" s="2">
        <v>100</v>
      </c>
      <c r="H6975" s="2">
        <v>148</v>
      </c>
      <c r="I6975" s="2">
        <v>294</v>
      </c>
      <c r="J6975" s="2">
        <v>737</v>
      </c>
      <c r="K6975" s="2">
        <v>1</v>
      </c>
      <c r="L6975" s="2">
        <v>148</v>
      </c>
    </row>
    <row r="6976" spans="1:12" x14ac:dyDescent="0.25">
      <c r="A6976" s="4" t="str">
        <f>HYPERLINK("http://www.rosaceae.org/Prunus/Prunus_persica/p.persica_gdr_reftransV1_0024697","p.persica_gdr_reftransV1_0024697")</f>
        <v>p.persica_gdr_reftransV1_0024697</v>
      </c>
      <c r="B6976" s="2">
        <v>990</v>
      </c>
      <c r="C6976" s="4" t="str">
        <f>HYPERLINK("http://www.uniprot.org/uniprot/M5VSG1","M5VSG1")</f>
        <v>M5VSG1</v>
      </c>
      <c r="D6976" s="2" t="s">
        <v>6241</v>
      </c>
      <c r="E6976" s="3">
        <v>9.1700000000000003E-157</v>
      </c>
      <c r="F6976" s="2">
        <v>1157</v>
      </c>
      <c r="G6976" s="2">
        <v>100</v>
      </c>
      <c r="H6976" s="2">
        <v>218</v>
      </c>
      <c r="I6976" s="2">
        <v>96</v>
      </c>
      <c r="J6976" s="2">
        <v>749</v>
      </c>
      <c r="K6976" s="2">
        <v>1</v>
      </c>
      <c r="L6976" s="2">
        <v>218</v>
      </c>
    </row>
    <row r="6977" spans="1:12" x14ac:dyDescent="0.25">
      <c r="A6977" s="4" t="str">
        <f>HYPERLINK("http://www.rosaceae.org/Prunus/Prunus_persica/p.persica_gdr_reftransV1_0025397","p.persica_gdr_reftransV1_0025397")</f>
        <v>p.persica_gdr_reftransV1_0025397</v>
      </c>
      <c r="B6977" s="2">
        <v>428</v>
      </c>
      <c r="C6977" s="4" t="str">
        <f>HYPERLINK("http://www.uniprot.org/uniprot/M5VU99","M5VU99")</f>
        <v>M5VU99</v>
      </c>
      <c r="D6977" s="2" t="s">
        <v>6242</v>
      </c>
      <c r="E6977" s="3">
        <v>7.2099999999999997E-69</v>
      </c>
      <c r="F6977" s="2">
        <v>576</v>
      </c>
      <c r="G6977" s="2">
        <v>100</v>
      </c>
      <c r="H6977" s="2">
        <v>136</v>
      </c>
      <c r="I6977" s="2">
        <v>19</v>
      </c>
      <c r="J6977" s="2">
        <v>426</v>
      </c>
      <c r="K6977" s="2">
        <v>1</v>
      </c>
      <c r="L6977" s="2">
        <v>136</v>
      </c>
    </row>
    <row r="6978" spans="1:12" x14ac:dyDescent="0.25">
      <c r="A6978" s="4" t="str">
        <f>HYPERLINK("http://www.rosaceae.org/Prunus/Prunus_persica/p.persica_gdr_reftransV1_0025747","p.persica_gdr_reftransV1_0025747")</f>
        <v>p.persica_gdr_reftransV1_0025747</v>
      </c>
      <c r="B6978" s="2">
        <v>3142</v>
      </c>
      <c r="C6978" s="4" t="str">
        <f>HYPERLINK("http://www.uniprot.org/uniprot/M5VWK0","M5VWK0")</f>
        <v>M5VWK0</v>
      </c>
      <c r="D6978" s="2" t="s">
        <v>6243</v>
      </c>
      <c r="E6978" s="3">
        <v>0</v>
      </c>
      <c r="F6978" s="2">
        <v>4640</v>
      </c>
      <c r="G6978" s="2">
        <v>98</v>
      </c>
      <c r="H6978" s="2">
        <v>951</v>
      </c>
      <c r="I6978" s="2">
        <v>2</v>
      </c>
      <c r="J6978" s="2">
        <v>2854</v>
      </c>
      <c r="K6978" s="2">
        <v>623</v>
      </c>
      <c r="L6978" s="2">
        <v>1563</v>
      </c>
    </row>
    <row r="6979" spans="1:12" x14ac:dyDescent="0.25">
      <c r="A6979" s="4" t="str">
        <f>HYPERLINK("http://www.rosaceae.org/Prunus/Prunus_persica/p.persica_gdr_reftransV1_0026097","p.persica_gdr_reftransV1_0026097")</f>
        <v>p.persica_gdr_reftransV1_0026097</v>
      </c>
      <c r="B6979" s="2">
        <v>5019</v>
      </c>
      <c r="C6979" s="4" t="str">
        <f>HYPERLINK("http://www.uniprot.org/uniprot/M5XKP3","M5XKP3")</f>
        <v>M5XKP3</v>
      </c>
      <c r="D6979" s="2" t="s">
        <v>6244</v>
      </c>
      <c r="E6979" s="3">
        <v>0</v>
      </c>
      <c r="F6979" s="2">
        <v>7470</v>
      </c>
      <c r="G6979" s="2">
        <v>97</v>
      </c>
      <c r="H6979" s="2">
        <v>1454</v>
      </c>
      <c r="I6979" s="2">
        <v>353</v>
      </c>
      <c r="J6979" s="2">
        <v>4714</v>
      </c>
      <c r="K6979" s="2">
        <v>1</v>
      </c>
      <c r="L6979" s="2">
        <v>1415</v>
      </c>
    </row>
    <row r="6980" spans="1:12" x14ac:dyDescent="0.25">
      <c r="A6980" s="4" t="str">
        <f>HYPERLINK("http://www.rosaceae.org/Prunus/Prunus_persica/p.persica_gdr_reftransV1_0026447","p.persica_gdr_reftransV1_0026447")</f>
        <v>p.persica_gdr_reftransV1_0026447</v>
      </c>
      <c r="B6980" s="2">
        <v>1216</v>
      </c>
      <c r="C6980" s="4" t="str">
        <f>HYPERLINK("http://www.uniprot.org/uniprot/M5X3R2","M5X3R2")</f>
        <v>M5X3R2</v>
      </c>
      <c r="D6980" s="2" t="s">
        <v>6245</v>
      </c>
      <c r="E6980" s="3">
        <v>3.4200000000000001E-124</v>
      </c>
      <c r="F6980" s="2">
        <v>967</v>
      </c>
      <c r="G6980" s="2">
        <v>100</v>
      </c>
      <c r="H6980" s="2">
        <v>248</v>
      </c>
      <c r="I6980" s="2">
        <v>471</v>
      </c>
      <c r="J6980" s="2">
        <v>1214</v>
      </c>
      <c r="K6980" s="2">
        <v>153</v>
      </c>
      <c r="L6980" s="2">
        <v>400</v>
      </c>
    </row>
    <row r="6981" spans="1:12" x14ac:dyDescent="0.25">
      <c r="A6981" s="4" t="str">
        <f>HYPERLINK("http://www.rosaceae.org/Prunus/Prunus_persica/p.persica_gdr_reftransV1_0027147","p.persica_gdr_reftransV1_0027147")</f>
        <v>p.persica_gdr_reftransV1_0027147</v>
      </c>
      <c r="B6981" s="2">
        <v>1242</v>
      </c>
      <c r="C6981" s="4" t="str">
        <f>HYPERLINK("http://www.uniprot.org/uniprot/M5WT93","M5WT93")</f>
        <v>M5WT93</v>
      </c>
      <c r="D6981" s="2" t="s">
        <v>6246</v>
      </c>
      <c r="E6981" s="3">
        <v>2.8199999999999999E-154</v>
      </c>
      <c r="F6981" s="2">
        <v>1153</v>
      </c>
      <c r="G6981" s="2">
        <v>100</v>
      </c>
      <c r="H6981" s="2">
        <v>256</v>
      </c>
      <c r="I6981" s="2">
        <v>321</v>
      </c>
      <c r="J6981" s="2">
        <v>1088</v>
      </c>
      <c r="K6981" s="2">
        <v>1</v>
      </c>
      <c r="L6981" s="2">
        <v>256</v>
      </c>
    </row>
    <row r="6982" spans="1:12" x14ac:dyDescent="0.25">
      <c r="A6982" s="4" t="str">
        <f>HYPERLINK("http://www.rosaceae.org/Prunus/Prunus_persica/p.persica_gdr_reftransV1_0027847","p.persica_gdr_reftransV1_0027847")</f>
        <v>p.persica_gdr_reftransV1_0027847</v>
      </c>
      <c r="B6982" s="2">
        <v>2376</v>
      </c>
      <c r="C6982" s="4" t="str">
        <f>HYPERLINK("http://www.uniprot.org/uniprot/M5VJN6","M5VJN6")</f>
        <v>M5VJN6</v>
      </c>
      <c r="D6982" s="2" t="s">
        <v>6247</v>
      </c>
      <c r="E6982" s="3">
        <v>0</v>
      </c>
      <c r="F6982" s="2">
        <v>1757</v>
      </c>
      <c r="G6982" s="2">
        <v>100</v>
      </c>
      <c r="H6982" s="2">
        <v>330</v>
      </c>
      <c r="I6982" s="2">
        <v>1346</v>
      </c>
      <c r="J6982" s="2">
        <v>2335</v>
      </c>
      <c r="K6982" s="2">
        <v>1</v>
      </c>
      <c r="L6982" s="2">
        <v>330</v>
      </c>
    </row>
    <row r="6983" spans="1:12" x14ac:dyDescent="0.25">
      <c r="A6983" s="4" t="str">
        <f>HYPERLINK("http://www.rosaceae.org/Prunus/Prunus_persica/p.persica_gdr_reftransV1_0029247","p.persica_gdr_reftransV1_0029247")</f>
        <v>p.persica_gdr_reftransV1_0029247</v>
      </c>
      <c r="B6983" s="2">
        <v>2518</v>
      </c>
      <c r="C6983" s="4" t="str">
        <f>HYPERLINK("http://www.uniprot.org/uniprot/M5VPP9","M5VPP9")</f>
        <v>M5VPP9</v>
      </c>
      <c r="D6983" s="2" t="s">
        <v>6248</v>
      </c>
      <c r="E6983" s="3">
        <v>1.7799999999999999E-158</v>
      </c>
      <c r="F6983" s="2">
        <v>1250</v>
      </c>
      <c r="G6983" s="2">
        <v>100</v>
      </c>
      <c r="H6983" s="2">
        <v>227</v>
      </c>
      <c r="I6983" s="2">
        <v>214</v>
      </c>
      <c r="J6983" s="2">
        <v>894</v>
      </c>
      <c r="K6983" s="2">
        <v>324</v>
      </c>
      <c r="L6983" s="2">
        <v>550</v>
      </c>
    </row>
    <row r="6984" spans="1:12" x14ac:dyDescent="0.25">
      <c r="A6984" s="4" t="str">
        <f>HYPERLINK("http://www.rosaceae.org/Prunus/Prunus_persica/p.persica_gdr_reftransV1_0029597","p.persica_gdr_reftransV1_0029597")</f>
        <v>p.persica_gdr_reftransV1_0029597</v>
      </c>
      <c r="B6984" s="2">
        <v>2449</v>
      </c>
      <c r="C6984" s="4" t="str">
        <f>HYPERLINK("http://www.uniprot.org/uniprot/M5X090","M5X090")</f>
        <v>M5X090</v>
      </c>
      <c r="D6984" s="2" t="s">
        <v>6249</v>
      </c>
      <c r="E6984" s="3">
        <v>1.22E-179</v>
      </c>
      <c r="F6984" s="2">
        <v>1372</v>
      </c>
      <c r="G6984" s="2">
        <v>99</v>
      </c>
      <c r="H6984" s="2">
        <v>273</v>
      </c>
      <c r="I6984" s="2">
        <v>1322</v>
      </c>
      <c r="J6984" s="2">
        <v>2140</v>
      </c>
      <c r="K6984" s="2">
        <v>1</v>
      </c>
      <c r="L6984" s="2">
        <v>273</v>
      </c>
    </row>
    <row r="6985" spans="1:12" x14ac:dyDescent="0.25">
      <c r="A6985" s="4" t="str">
        <f>HYPERLINK("http://www.rosaceae.org/Prunus/Prunus_persica/p.persica_gdr_reftransV1_0030297","p.persica_gdr_reftransV1_0030297")</f>
        <v>p.persica_gdr_reftransV1_0030297</v>
      </c>
      <c r="B6985" s="2">
        <v>3005</v>
      </c>
      <c r="C6985" s="4" t="str">
        <f>HYPERLINK("http://www.uniprot.org/uniprot/M5WLY9","M5WLY9")</f>
        <v>M5WLY9</v>
      </c>
      <c r="D6985" s="2" t="s">
        <v>6250</v>
      </c>
      <c r="E6985" s="3">
        <v>0</v>
      </c>
      <c r="F6985" s="2">
        <v>3440</v>
      </c>
      <c r="G6985" s="2">
        <v>100</v>
      </c>
      <c r="H6985" s="2">
        <v>684</v>
      </c>
      <c r="I6985" s="2">
        <v>344</v>
      </c>
      <c r="J6985" s="2">
        <v>2395</v>
      </c>
      <c r="K6985" s="2">
        <v>1</v>
      </c>
      <c r="L6985" s="2">
        <v>684</v>
      </c>
    </row>
    <row r="6986" spans="1:12" x14ac:dyDescent="0.25">
      <c r="A6986" s="4" t="str">
        <f>HYPERLINK("http://www.rosaceae.org/Prunus/Prunus_persica/p.persica_gdr_reftransV1_0033447","p.persica_gdr_reftransV1_0033447")</f>
        <v>p.persica_gdr_reftransV1_0033447</v>
      </c>
      <c r="B6986" s="2">
        <v>2154</v>
      </c>
      <c r="C6986" s="4" t="str">
        <f>HYPERLINK("http://www.uniprot.org/uniprot/M5X0R7","M5X0R7")</f>
        <v>M5X0R7</v>
      </c>
      <c r="D6986" s="2" t="s">
        <v>6251</v>
      </c>
      <c r="E6986" s="3">
        <v>1.6599999999999999E-125</v>
      </c>
      <c r="F6986" s="2">
        <v>983</v>
      </c>
      <c r="G6986" s="2">
        <v>100</v>
      </c>
      <c r="H6986" s="2">
        <v>187</v>
      </c>
      <c r="I6986" s="2">
        <v>116</v>
      </c>
      <c r="J6986" s="2">
        <v>676</v>
      </c>
      <c r="K6986" s="2">
        <v>1</v>
      </c>
      <c r="L6986" s="2">
        <v>187</v>
      </c>
    </row>
    <row r="6987" spans="1:12" x14ac:dyDescent="0.25">
      <c r="A6987" s="4" t="str">
        <f>HYPERLINK("http://www.rosaceae.org/Prunus/Prunus_persica/p.persica_gdr_reftransV1_0034497","p.persica_gdr_reftransV1_0034497")</f>
        <v>p.persica_gdr_reftransV1_0034497</v>
      </c>
      <c r="B6987" s="2">
        <v>1293</v>
      </c>
      <c r="C6987" s="4" t="str">
        <f>HYPERLINK("http://www.uniprot.org/uniprot/M5XPE7","M5XPE7")</f>
        <v>M5XPE7</v>
      </c>
      <c r="D6987" s="2" t="s">
        <v>6252</v>
      </c>
      <c r="E6987" s="3">
        <v>3.0300000000000001E-85</v>
      </c>
      <c r="F6987" s="2">
        <v>698</v>
      </c>
      <c r="G6987" s="2">
        <v>99</v>
      </c>
      <c r="H6987" s="2">
        <v>218</v>
      </c>
      <c r="I6987" s="2">
        <v>71</v>
      </c>
      <c r="J6987" s="2">
        <v>724</v>
      </c>
      <c r="K6987" s="2">
        <v>39</v>
      </c>
      <c r="L6987" s="2">
        <v>256</v>
      </c>
    </row>
    <row r="6988" spans="1:12" x14ac:dyDescent="0.25">
      <c r="A6988" s="4" t="str">
        <f>HYPERLINK("http://www.rosaceae.org/Prunus/Prunus_persica/p.persica_gdr_reftransV1_0036947","p.persica_gdr_reftransV1_0036947")</f>
        <v>p.persica_gdr_reftransV1_0036947</v>
      </c>
      <c r="B6988" s="2">
        <v>1767</v>
      </c>
      <c r="C6988" s="4" t="str">
        <f>HYPERLINK("http://www.uniprot.org/uniprot/M5WGS0","M5WGS0")</f>
        <v>M5WGS0</v>
      </c>
      <c r="D6988" s="2" t="s">
        <v>6253</v>
      </c>
      <c r="E6988" s="3">
        <v>0</v>
      </c>
      <c r="F6988" s="2">
        <v>2225</v>
      </c>
      <c r="G6988" s="2">
        <v>100</v>
      </c>
      <c r="H6988" s="2">
        <v>432</v>
      </c>
      <c r="I6988" s="2">
        <v>115</v>
      </c>
      <c r="J6988" s="2">
        <v>1410</v>
      </c>
      <c r="K6988" s="2">
        <v>1</v>
      </c>
      <c r="L6988" s="2">
        <v>432</v>
      </c>
    </row>
    <row r="6989" spans="1:12" x14ac:dyDescent="0.25">
      <c r="A6989" s="4" t="str">
        <f>HYPERLINK("http://www.rosaceae.org/Prunus/Prunus_persica/p.persica_gdr_reftransV1_0037647","p.persica_gdr_reftransV1_0037647")</f>
        <v>p.persica_gdr_reftransV1_0037647</v>
      </c>
      <c r="B6989" s="2">
        <v>1955</v>
      </c>
      <c r="C6989" s="4" t="str">
        <f>HYPERLINK("http://www.uniprot.org/uniprot/M5XDH2","M5XDH2")</f>
        <v>M5XDH2</v>
      </c>
      <c r="D6989" s="2" t="s">
        <v>6254</v>
      </c>
      <c r="E6989" s="3">
        <v>1.8000000000000001E-141</v>
      </c>
      <c r="F6989" s="2">
        <v>1097</v>
      </c>
      <c r="G6989" s="2">
        <v>100</v>
      </c>
      <c r="H6989" s="2">
        <v>206</v>
      </c>
      <c r="I6989" s="2">
        <v>219</v>
      </c>
      <c r="J6989" s="2">
        <v>836</v>
      </c>
      <c r="K6989" s="2">
        <v>1</v>
      </c>
      <c r="L6989" s="2">
        <v>206</v>
      </c>
    </row>
    <row r="6990" spans="1:12" x14ac:dyDescent="0.25">
      <c r="A6990" s="4" t="str">
        <f>HYPERLINK("http://www.rosaceae.org/Prunus/Prunus_persica/p.persica_gdr_reftransV1_0037997","p.persica_gdr_reftransV1_0037997")</f>
        <v>p.persica_gdr_reftransV1_0037997</v>
      </c>
      <c r="B6990" s="2">
        <v>1114</v>
      </c>
      <c r="C6990" s="4" t="str">
        <f>HYPERLINK("http://www.uniprot.org/uniprot/M5VZY7","M5VZY7")</f>
        <v>M5VZY7</v>
      </c>
      <c r="D6990" s="2" t="s">
        <v>6255</v>
      </c>
      <c r="E6990" s="3">
        <v>5.9399999999999996E-137</v>
      </c>
      <c r="F6990" s="2">
        <v>1031</v>
      </c>
      <c r="G6990" s="2">
        <v>100</v>
      </c>
      <c r="H6990" s="2">
        <v>226</v>
      </c>
      <c r="I6990" s="2">
        <v>142</v>
      </c>
      <c r="J6990" s="2">
        <v>819</v>
      </c>
      <c r="K6990" s="2">
        <v>1</v>
      </c>
      <c r="L6990" s="2">
        <v>226</v>
      </c>
    </row>
    <row r="6991" spans="1:12" x14ac:dyDescent="0.25">
      <c r="A6991" s="4" t="str">
        <f>HYPERLINK("http://www.rosaceae.org/Prunus/Prunus_persica/p.persica_gdr_reftransV1_0040097","p.persica_gdr_reftransV1_0040097")</f>
        <v>p.persica_gdr_reftransV1_0040097</v>
      </c>
      <c r="B6991" s="2">
        <v>2487</v>
      </c>
      <c r="C6991" s="4" t="str">
        <f>HYPERLINK("http://www.uniprot.org/uniprot/M5WBP5","M5WBP5")</f>
        <v>M5WBP5</v>
      </c>
      <c r="D6991" s="2" t="s">
        <v>6256</v>
      </c>
      <c r="E6991" s="3">
        <v>0</v>
      </c>
      <c r="F6991" s="2">
        <v>2064</v>
      </c>
      <c r="G6991" s="2">
        <v>100</v>
      </c>
      <c r="H6991" s="2">
        <v>383</v>
      </c>
      <c r="I6991" s="2">
        <v>132</v>
      </c>
      <c r="J6991" s="2">
        <v>1280</v>
      </c>
      <c r="K6991" s="2">
        <v>1</v>
      </c>
      <c r="L6991" s="2">
        <v>383</v>
      </c>
    </row>
    <row r="6992" spans="1:12" x14ac:dyDescent="0.25">
      <c r="A6992" s="4" t="str">
        <f>HYPERLINK("http://www.rosaceae.org/Prunus/Prunus_persica/p.persica_gdr_reftransV1_0040797","p.persica_gdr_reftransV1_0040797")</f>
        <v>p.persica_gdr_reftransV1_0040797</v>
      </c>
      <c r="B6992" s="2">
        <v>1546</v>
      </c>
      <c r="C6992" s="4" t="str">
        <f>HYPERLINK("http://www.uniprot.org/uniprot/M5XEU4","M5XEU4")</f>
        <v>M5XEU4</v>
      </c>
      <c r="D6992" s="2" t="s">
        <v>6257</v>
      </c>
      <c r="E6992" s="3">
        <v>3.7100000000000001E-92</v>
      </c>
      <c r="F6992" s="2">
        <v>751</v>
      </c>
      <c r="G6992" s="2">
        <v>88</v>
      </c>
      <c r="H6992" s="2">
        <v>182</v>
      </c>
      <c r="I6992" s="2">
        <v>950</v>
      </c>
      <c r="J6992" s="2">
        <v>1492</v>
      </c>
      <c r="K6992" s="2">
        <v>1</v>
      </c>
      <c r="L6992" s="2">
        <v>173</v>
      </c>
    </row>
    <row r="6993" spans="1:12" x14ac:dyDescent="0.25">
      <c r="A6993" s="4" t="str">
        <f>HYPERLINK("http://www.rosaceae.org/Prunus/Prunus_persica/p.persica_gdr_reftransV1_0041147","p.persica_gdr_reftransV1_0041147")</f>
        <v>p.persica_gdr_reftransV1_0041147</v>
      </c>
      <c r="B6993" s="2">
        <v>6442</v>
      </c>
      <c r="C6993" s="4" t="str">
        <f>HYPERLINK("http://www.uniprot.org/uniprot/M5X9U5","M5X9U5")</f>
        <v>M5X9U5</v>
      </c>
      <c r="D6993" s="2" t="s">
        <v>6258</v>
      </c>
      <c r="E6993" s="3">
        <v>0</v>
      </c>
      <c r="F6993" s="2">
        <v>4546</v>
      </c>
      <c r="G6993" s="2">
        <v>100</v>
      </c>
      <c r="H6993" s="2">
        <v>910</v>
      </c>
      <c r="I6993" s="2">
        <v>2137</v>
      </c>
      <c r="J6993" s="2">
        <v>4866</v>
      </c>
      <c r="K6993" s="2">
        <v>373</v>
      </c>
      <c r="L6993" s="2">
        <v>1282</v>
      </c>
    </row>
    <row r="6994" spans="1:12" x14ac:dyDescent="0.25">
      <c r="A6994" s="4" t="str">
        <f>HYPERLINK("http://www.rosaceae.org/Prunus/Prunus_persica/p.persica_gdr_reftransV1_0041847","p.persica_gdr_reftransV1_0041847")</f>
        <v>p.persica_gdr_reftransV1_0041847</v>
      </c>
      <c r="B6994" s="2">
        <v>2674</v>
      </c>
      <c r="C6994" s="4" t="str">
        <f>HYPERLINK("http://www.uniprot.org/uniprot/M5WXC0","M5WXC0")</f>
        <v>M5WXC0</v>
      </c>
      <c r="D6994" s="2" t="s">
        <v>6259</v>
      </c>
      <c r="E6994" s="3">
        <v>0</v>
      </c>
      <c r="F6994" s="2">
        <v>2503</v>
      </c>
      <c r="G6994" s="2">
        <v>100</v>
      </c>
      <c r="H6994" s="2">
        <v>506</v>
      </c>
      <c r="I6994" s="2">
        <v>169</v>
      </c>
      <c r="J6994" s="2">
        <v>1686</v>
      </c>
      <c r="K6994" s="2">
        <v>1</v>
      </c>
      <c r="L6994" s="2">
        <v>506</v>
      </c>
    </row>
    <row r="6995" spans="1:12" x14ac:dyDescent="0.25">
      <c r="A6995" s="4" t="str">
        <f>HYPERLINK("http://www.rosaceae.org/Prunus/Prunus_persica/p.persica_gdr_reftransV1_0042547","p.persica_gdr_reftransV1_0042547")</f>
        <v>p.persica_gdr_reftransV1_0042547</v>
      </c>
      <c r="B6995" s="2">
        <v>4185</v>
      </c>
      <c r="C6995" s="4" t="str">
        <f>HYPERLINK("http://www.uniprot.org/uniprot/M5XDN9","M5XDN9")</f>
        <v>M5XDN9</v>
      </c>
      <c r="D6995" s="2" t="s">
        <v>6260</v>
      </c>
      <c r="E6995" s="3">
        <v>5.8799999999999997E-66</v>
      </c>
      <c r="F6995" s="2">
        <v>618</v>
      </c>
      <c r="G6995" s="2">
        <v>98</v>
      </c>
      <c r="H6995" s="2">
        <v>132</v>
      </c>
      <c r="I6995" s="2">
        <v>3625</v>
      </c>
      <c r="J6995" s="2">
        <v>4020</v>
      </c>
      <c r="K6995" s="2">
        <v>1</v>
      </c>
      <c r="L6995" s="2">
        <v>132</v>
      </c>
    </row>
    <row r="6996" spans="1:12" x14ac:dyDescent="0.25">
      <c r="A6996" s="4" t="str">
        <f>HYPERLINK("http://www.rosaceae.org/Prunus/Prunus_persica/p.persica_gdr_reftransV1_0043247","p.persica_gdr_reftransV1_0043247")</f>
        <v>p.persica_gdr_reftransV1_0043247</v>
      </c>
      <c r="B6996" s="2">
        <v>401</v>
      </c>
      <c r="C6996" s="4" t="str">
        <f>HYPERLINK("http://www.uniprot.org/uniprot/M5WYD6","M5WYD6")</f>
        <v>M5WYD6</v>
      </c>
      <c r="D6996" s="2" t="s">
        <v>6261</v>
      </c>
      <c r="E6996" s="3">
        <v>1.7799999999999999E-64</v>
      </c>
      <c r="F6996" s="2">
        <v>563</v>
      </c>
      <c r="G6996" s="2">
        <v>99</v>
      </c>
      <c r="H6996" s="2">
        <v>127</v>
      </c>
      <c r="I6996" s="2">
        <v>3</v>
      </c>
      <c r="J6996" s="2">
        <v>383</v>
      </c>
      <c r="K6996" s="2">
        <v>1</v>
      </c>
      <c r="L6996" s="2">
        <v>127</v>
      </c>
    </row>
    <row r="6997" spans="1:12" x14ac:dyDescent="0.25">
      <c r="A6997" s="4" t="str">
        <f>HYPERLINK("http://www.rosaceae.org/Prunus/Prunus_persica/p.persica_gdr_reftransV1_0043597","p.persica_gdr_reftransV1_0043597")</f>
        <v>p.persica_gdr_reftransV1_0043597</v>
      </c>
      <c r="B6997" s="2">
        <v>395</v>
      </c>
      <c r="C6997" s="4" t="str">
        <f>HYPERLINK("http://www.uniprot.org/uniprot/M5X664","M5X664")</f>
        <v>M5X664</v>
      </c>
      <c r="D6997" s="2" t="s">
        <v>6262</v>
      </c>
      <c r="E6997" s="3">
        <v>4.8599999999999998E-63</v>
      </c>
      <c r="F6997" s="2">
        <v>527</v>
      </c>
      <c r="G6997" s="2">
        <v>100</v>
      </c>
      <c r="H6997" s="2">
        <v>131</v>
      </c>
      <c r="I6997" s="2">
        <v>3</v>
      </c>
      <c r="J6997" s="2">
        <v>395</v>
      </c>
      <c r="K6997" s="2">
        <v>100</v>
      </c>
      <c r="L6997" s="2">
        <v>230</v>
      </c>
    </row>
    <row r="6998" spans="1:12" x14ac:dyDescent="0.25">
      <c r="A6998" s="4" t="str">
        <f>HYPERLINK("http://www.rosaceae.org/Prunus/Prunus_persica/p.persica_gdr_reftransV1_0043947","p.persica_gdr_reftransV1_0043947")</f>
        <v>p.persica_gdr_reftransV1_0043947</v>
      </c>
      <c r="B6998" s="2">
        <v>314</v>
      </c>
      <c r="C6998" s="4" t="str">
        <f>HYPERLINK("http://www.uniprot.org/uniprot/M5VT17","M5VT17")</f>
        <v>M5VT17</v>
      </c>
      <c r="D6998" s="2" t="s">
        <v>5886</v>
      </c>
      <c r="E6998" s="3">
        <v>1.03E-9</v>
      </c>
      <c r="F6998" s="2">
        <v>149</v>
      </c>
      <c r="G6998" s="2">
        <v>41</v>
      </c>
      <c r="H6998" s="2">
        <v>111</v>
      </c>
      <c r="I6998" s="2">
        <v>1</v>
      </c>
      <c r="J6998" s="2">
        <v>231</v>
      </c>
      <c r="K6998" s="2">
        <v>62</v>
      </c>
      <c r="L6998" s="2">
        <v>172</v>
      </c>
    </row>
    <row r="6999" spans="1:12" x14ac:dyDescent="0.25">
      <c r="A6999" s="4" t="str">
        <f>HYPERLINK("http://www.rosaceae.org/Prunus/Prunus_persica/p.persica_gdr_reftransV1_0044297","p.persica_gdr_reftransV1_0044297")</f>
        <v>p.persica_gdr_reftransV1_0044297</v>
      </c>
      <c r="B6999" s="2">
        <v>2419</v>
      </c>
      <c r="C6999" s="4" t="str">
        <f>HYPERLINK("http://www.uniprot.org/uniprot/M5XQ07","M5XQ07")</f>
        <v>M5XQ07</v>
      </c>
      <c r="D6999" s="2" t="s">
        <v>2956</v>
      </c>
      <c r="E6999" s="3">
        <v>0</v>
      </c>
      <c r="F6999" s="2">
        <v>3121</v>
      </c>
      <c r="G6999" s="2">
        <v>94</v>
      </c>
      <c r="H6999" s="2">
        <v>672</v>
      </c>
      <c r="I6999" s="2">
        <v>1</v>
      </c>
      <c r="J6999" s="2">
        <v>2016</v>
      </c>
      <c r="K6999" s="2">
        <v>23</v>
      </c>
      <c r="L6999" s="2">
        <v>693</v>
      </c>
    </row>
    <row r="7000" spans="1:12" x14ac:dyDescent="0.25">
      <c r="A7000" s="4" t="str">
        <f>HYPERLINK("http://www.rosaceae.org/Prunus/Prunus_persica/p.persica_gdr_reftransV1_0044647","p.persica_gdr_reftransV1_0044647")</f>
        <v>p.persica_gdr_reftransV1_0044647</v>
      </c>
      <c r="B7000" s="2">
        <v>1458</v>
      </c>
      <c r="C7000" s="4" t="str">
        <f>HYPERLINK("http://www.uniprot.org/uniprot/M5VZK7","M5VZK7")</f>
        <v>M5VZK7</v>
      </c>
      <c r="D7000" s="2" t="s">
        <v>3581</v>
      </c>
      <c r="E7000" s="3">
        <v>0</v>
      </c>
      <c r="F7000" s="2">
        <v>2012</v>
      </c>
      <c r="G7000" s="2">
        <v>100</v>
      </c>
      <c r="H7000" s="2">
        <v>373</v>
      </c>
      <c r="I7000" s="2">
        <v>249</v>
      </c>
      <c r="J7000" s="2">
        <v>1367</v>
      </c>
      <c r="K7000" s="2">
        <v>1</v>
      </c>
      <c r="L7000" s="2">
        <v>373</v>
      </c>
    </row>
    <row r="7001" spans="1:12" x14ac:dyDescent="0.25">
      <c r="A7001" s="4" t="str">
        <f>HYPERLINK("http://www.rosaceae.org/Prunus/Prunus_persica/p.persica_gdr_reftransV1_0044997","p.persica_gdr_reftransV1_0044997")</f>
        <v>p.persica_gdr_reftransV1_0044997</v>
      </c>
      <c r="B7001" s="2">
        <v>1292</v>
      </c>
      <c r="C7001" s="4" t="str">
        <f>HYPERLINK("http://www.uniprot.org/uniprot/M5XYN8","M5XYN8")</f>
        <v>M5XYN8</v>
      </c>
      <c r="D7001" s="2" t="s">
        <v>6263</v>
      </c>
      <c r="E7001" s="3">
        <v>0</v>
      </c>
      <c r="F7001" s="2">
        <v>1392</v>
      </c>
      <c r="G7001" s="2">
        <v>100</v>
      </c>
      <c r="H7001" s="2">
        <v>300</v>
      </c>
      <c r="I7001" s="2">
        <v>225</v>
      </c>
      <c r="J7001" s="2">
        <v>1124</v>
      </c>
      <c r="K7001" s="2">
        <v>1</v>
      </c>
      <c r="L7001" s="2">
        <v>300</v>
      </c>
    </row>
    <row r="7002" spans="1:12" x14ac:dyDescent="0.25">
      <c r="A7002" s="4" t="str">
        <f>HYPERLINK("http://www.rosaceae.org/Prunus/Prunus_persica/p.persica_gdr_reftransV1_0045347","p.persica_gdr_reftransV1_0045347")</f>
        <v>p.persica_gdr_reftransV1_0045347</v>
      </c>
      <c r="B7002" s="2">
        <v>2625</v>
      </c>
      <c r="C7002" s="4" t="str">
        <f>HYPERLINK("http://www.uniprot.org/uniprot/M5X3U8","M5X3U8")</f>
        <v>M5X3U8</v>
      </c>
      <c r="D7002" s="2" t="s">
        <v>6264</v>
      </c>
      <c r="E7002" s="3">
        <v>0</v>
      </c>
      <c r="F7002" s="2">
        <v>3402</v>
      </c>
      <c r="G7002" s="2">
        <v>100</v>
      </c>
      <c r="H7002" s="2">
        <v>664</v>
      </c>
      <c r="I7002" s="2">
        <v>528</v>
      </c>
      <c r="J7002" s="2">
        <v>2519</v>
      </c>
      <c r="K7002" s="2">
        <v>1</v>
      </c>
      <c r="L7002" s="2">
        <v>664</v>
      </c>
    </row>
    <row r="7003" spans="1:12" x14ac:dyDescent="0.25">
      <c r="A7003" s="4" t="str">
        <f>HYPERLINK("http://www.rosaceae.org/Prunus/Prunus_persica/p.persica_gdr_reftransV1_0045697","p.persica_gdr_reftransV1_0045697")</f>
        <v>p.persica_gdr_reftransV1_0045697</v>
      </c>
      <c r="B7003" s="2">
        <v>693</v>
      </c>
      <c r="C7003" s="4" t="str">
        <f>HYPERLINK("http://www.uniprot.org/uniprot/M5VRI2","M5VRI2")</f>
        <v>M5VRI2</v>
      </c>
      <c r="D7003" s="2" t="s">
        <v>6265</v>
      </c>
      <c r="E7003" s="3">
        <v>7.3800000000000003E-56</v>
      </c>
      <c r="F7003" s="2">
        <v>473</v>
      </c>
      <c r="G7003" s="2">
        <v>90</v>
      </c>
      <c r="H7003" s="2">
        <v>143</v>
      </c>
      <c r="I7003" s="2">
        <v>26</v>
      </c>
      <c r="J7003" s="2">
        <v>454</v>
      </c>
      <c r="K7003" s="2">
        <v>14</v>
      </c>
      <c r="L7003" s="2">
        <v>154</v>
      </c>
    </row>
    <row r="7004" spans="1:12" x14ac:dyDescent="0.25">
      <c r="A7004" s="4" t="str">
        <f>HYPERLINK("http://www.rosaceae.org/Prunus/Prunus_persica/p.persica_gdr_reftransV1_0046397","p.persica_gdr_reftransV1_0046397")</f>
        <v>p.persica_gdr_reftransV1_0046397</v>
      </c>
      <c r="B7004" s="2">
        <v>2454</v>
      </c>
      <c r="C7004" s="4" t="str">
        <f>HYPERLINK("http://www.uniprot.org/uniprot/M5WBB5","M5WBB5")</f>
        <v>M5WBB5</v>
      </c>
      <c r="D7004" s="2" t="s">
        <v>6266</v>
      </c>
      <c r="E7004" s="3">
        <v>0</v>
      </c>
      <c r="F7004" s="2">
        <v>1840</v>
      </c>
      <c r="G7004" s="2">
        <v>100</v>
      </c>
      <c r="H7004" s="2">
        <v>378</v>
      </c>
      <c r="I7004" s="2">
        <v>685</v>
      </c>
      <c r="J7004" s="2">
        <v>1818</v>
      </c>
      <c r="K7004" s="2">
        <v>1</v>
      </c>
      <c r="L7004" s="2">
        <v>378</v>
      </c>
    </row>
    <row r="7005" spans="1:12" x14ac:dyDescent="0.25">
      <c r="A7005" s="4" t="str">
        <f>HYPERLINK("http://www.rosaceae.org/Prunus/Prunus_persica/p.persica_gdr_reftransV1_0046747","p.persica_gdr_reftransV1_0046747")</f>
        <v>p.persica_gdr_reftransV1_0046747</v>
      </c>
      <c r="B7005" s="2">
        <v>625</v>
      </c>
      <c r="C7005" s="4" t="str">
        <f>HYPERLINK("http://www.uniprot.org/uniprot/M5WX67","M5WX67")</f>
        <v>M5WX67</v>
      </c>
      <c r="D7005" s="2" t="s">
        <v>6267</v>
      </c>
      <c r="E7005" s="3">
        <v>1.9699999999999999E-64</v>
      </c>
      <c r="F7005" s="2">
        <v>524</v>
      </c>
      <c r="G7005" s="2">
        <v>100</v>
      </c>
      <c r="H7005" s="2">
        <v>98</v>
      </c>
      <c r="I7005" s="2">
        <v>108</v>
      </c>
      <c r="J7005" s="2">
        <v>401</v>
      </c>
      <c r="K7005" s="2">
        <v>1</v>
      </c>
      <c r="L7005" s="2">
        <v>98</v>
      </c>
    </row>
    <row r="7006" spans="1:12" x14ac:dyDescent="0.25">
      <c r="A7006" s="4" t="str">
        <f>HYPERLINK("http://www.rosaceae.org/Prunus/Prunus_persica/p.persica_gdr_reftransV1_0047097","p.persica_gdr_reftransV1_0047097")</f>
        <v>p.persica_gdr_reftransV1_0047097</v>
      </c>
      <c r="B7006" s="2">
        <v>1588</v>
      </c>
      <c r="C7006" s="4" t="str">
        <f>HYPERLINK("http://www.uniprot.org/uniprot/M5XWP2","M5XWP2")</f>
        <v>M5XWP2</v>
      </c>
      <c r="D7006" s="2" t="s">
        <v>6268</v>
      </c>
      <c r="E7006" s="3">
        <v>0</v>
      </c>
      <c r="F7006" s="2">
        <v>1832</v>
      </c>
      <c r="G7006" s="2">
        <v>100</v>
      </c>
      <c r="H7006" s="2">
        <v>343</v>
      </c>
      <c r="I7006" s="2">
        <v>419</v>
      </c>
      <c r="J7006" s="2">
        <v>1447</v>
      </c>
      <c r="K7006" s="2">
        <v>1</v>
      </c>
      <c r="L7006" s="2">
        <v>343</v>
      </c>
    </row>
    <row r="7007" spans="1:12" x14ac:dyDescent="0.25">
      <c r="A7007" s="4" t="str">
        <f>HYPERLINK("http://www.rosaceae.org/Prunus/Prunus_persica/p.persica_gdr_reftransV1_0047797","p.persica_gdr_reftransV1_0047797")</f>
        <v>p.persica_gdr_reftransV1_0047797</v>
      </c>
      <c r="B7007" s="2">
        <v>377</v>
      </c>
      <c r="C7007" s="4" t="str">
        <f>HYPERLINK("http://www.uniprot.org/uniprot/M5VH00","M5VH00")</f>
        <v>M5VH00</v>
      </c>
      <c r="D7007" s="2" t="s">
        <v>6269</v>
      </c>
      <c r="E7007" s="3">
        <v>3.1199999999999999E-80</v>
      </c>
      <c r="F7007" s="2">
        <v>682</v>
      </c>
      <c r="G7007" s="2">
        <v>100</v>
      </c>
      <c r="H7007" s="2">
        <v>125</v>
      </c>
      <c r="I7007" s="2">
        <v>2</v>
      </c>
      <c r="J7007" s="2">
        <v>376</v>
      </c>
      <c r="K7007" s="2">
        <v>705</v>
      </c>
      <c r="L7007" s="2">
        <v>829</v>
      </c>
    </row>
    <row r="7008" spans="1:12" x14ac:dyDescent="0.25">
      <c r="A7008" s="4" t="str">
        <f>HYPERLINK("http://www.rosaceae.org/Prunus/Prunus_persica/p.persica_gdr_reftransV1_0048147","p.persica_gdr_reftransV1_0048147")</f>
        <v>p.persica_gdr_reftransV1_0048147</v>
      </c>
      <c r="B7008" s="2">
        <v>6050</v>
      </c>
      <c r="C7008" s="4" t="str">
        <f>HYPERLINK("http://www.uniprot.org/uniprot/M5VX77","M5VX77")</f>
        <v>M5VX77</v>
      </c>
      <c r="D7008" s="2" t="s">
        <v>6270</v>
      </c>
      <c r="E7008" s="3">
        <v>0</v>
      </c>
      <c r="F7008" s="2">
        <v>6121</v>
      </c>
      <c r="G7008" s="2">
        <v>96</v>
      </c>
      <c r="H7008" s="2">
        <v>1320</v>
      </c>
      <c r="I7008" s="2">
        <v>423</v>
      </c>
      <c r="J7008" s="2">
        <v>4382</v>
      </c>
      <c r="K7008" s="2">
        <v>1</v>
      </c>
      <c r="L7008" s="2">
        <v>1267</v>
      </c>
    </row>
    <row r="7009" spans="1:12" x14ac:dyDescent="0.25">
      <c r="A7009" s="4" t="str">
        <f>HYPERLINK("http://www.rosaceae.org/Prunus/Prunus_persica/p.persica_gdr_reftransV1_0048497","p.persica_gdr_reftransV1_0048497")</f>
        <v>p.persica_gdr_reftransV1_0048497</v>
      </c>
      <c r="B7009" s="2">
        <v>2234</v>
      </c>
      <c r="C7009" s="4" t="str">
        <f>HYPERLINK("http://www.uniprot.org/uniprot/M5W6Y1","M5W6Y1")</f>
        <v>M5W6Y1</v>
      </c>
      <c r="D7009" s="2" t="s">
        <v>6271</v>
      </c>
      <c r="E7009" s="3">
        <v>0</v>
      </c>
      <c r="F7009" s="2">
        <v>2473</v>
      </c>
      <c r="G7009" s="2">
        <v>100</v>
      </c>
      <c r="H7009" s="2">
        <v>553</v>
      </c>
      <c r="I7009" s="2">
        <v>348</v>
      </c>
      <c r="J7009" s="2">
        <v>2006</v>
      </c>
      <c r="K7009" s="2">
        <v>23</v>
      </c>
      <c r="L7009" s="2">
        <v>575</v>
      </c>
    </row>
    <row r="7010" spans="1:12" x14ac:dyDescent="0.25">
      <c r="A7010" s="4" t="str">
        <f>HYPERLINK("http://www.rosaceae.org/Prunus/Prunus_persica/p.persica_gdr_reftransV1_0048847","p.persica_gdr_reftransV1_0048847")</f>
        <v>p.persica_gdr_reftransV1_0048847</v>
      </c>
      <c r="B7010" s="2">
        <v>789</v>
      </c>
      <c r="C7010" s="4" t="str">
        <f>HYPERLINK("http://www.uniprot.org/uniprot/M5XHF3","M5XHF3")</f>
        <v>M5XHF3</v>
      </c>
      <c r="D7010" s="2" t="s">
        <v>6272</v>
      </c>
      <c r="E7010" s="3">
        <v>0</v>
      </c>
      <c r="F7010" s="2">
        <v>1400</v>
      </c>
      <c r="G7010" s="2">
        <v>100</v>
      </c>
      <c r="H7010" s="2">
        <v>263</v>
      </c>
      <c r="I7010" s="2">
        <v>1</v>
      </c>
      <c r="J7010" s="2">
        <v>789</v>
      </c>
      <c r="K7010" s="2">
        <v>108</v>
      </c>
      <c r="L7010" s="2">
        <v>370</v>
      </c>
    </row>
    <row r="7011" spans="1:12" x14ac:dyDescent="0.25">
      <c r="A7011" s="4" t="str">
        <f>HYPERLINK("http://www.rosaceae.org/Prunus/Prunus_persica/p.persica_gdr_reftransV1_0049197","p.persica_gdr_reftransV1_0049197")</f>
        <v>p.persica_gdr_reftransV1_0049197</v>
      </c>
      <c r="B7011" s="2">
        <v>3534</v>
      </c>
      <c r="C7011" s="4" t="str">
        <f>HYPERLINK("http://www.uniprot.org/uniprot/M5Y2N7","M5Y2N7")</f>
        <v>M5Y2N7</v>
      </c>
      <c r="D7011" s="2" t="s">
        <v>5444</v>
      </c>
      <c r="E7011" s="3">
        <v>0</v>
      </c>
      <c r="F7011" s="2">
        <v>3917</v>
      </c>
      <c r="G7011" s="2">
        <v>99</v>
      </c>
      <c r="H7011" s="2">
        <v>1004</v>
      </c>
      <c r="I7011" s="2">
        <v>397</v>
      </c>
      <c r="J7011" s="2">
        <v>3378</v>
      </c>
      <c r="K7011" s="2">
        <v>1</v>
      </c>
      <c r="L7011" s="2">
        <v>1004</v>
      </c>
    </row>
    <row r="7012" spans="1:12" x14ac:dyDescent="0.25">
      <c r="A7012" s="4" t="str">
        <f>HYPERLINK("http://www.rosaceae.org/Prunus/Prunus_persica/p.persica_gdr_reftransV1_0000198","p.persica_gdr_reftransV1_0000198")</f>
        <v>p.persica_gdr_reftransV1_0000198</v>
      </c>
      <c r="B7012" s="2">
        <v>791</v>
      </c>
      <c r="C7012" s="4" t="str">
        <f>HYPERLINK("http://www.uniprot.org/uniprot/M5XIP9","M5XIP9")</f>
        <v>M5XIP9</v>
      </c>
      <c r="D7012" s="2" t="s">
        <v>3436</v>
      </c>
      <c r="E7012" s="3">
        <v>6.2200000000000003E-171</v>
      </c>
      <c r="F7012" s="2">
        <v>1306</v>
      </c>
      <c r="G7012" s="2">
        <v>95</v>
      </c>
      <c r="H7012" s="2">
        <v>263</v>
      </c>
      <c r="I7012" s="2">
        <v>3</v>
      </c>
      <c r="J7012" s="2">
        <v>791</v>
      </c>
      <c r="K7012" s="2">
        <v>327</v>
      </c>
      <c r="L7012" s="2">
        <v>575</v>
      </c>
    </row>
    <row r="7013" spans="1:12" x14ac:dyDescent="0.25">
      <c r="A7013" s="4" t="str">
        <f>HYPERLINK("http://www.rosaceae.org/Prunus/Prunus_persica/p.persica_gdr_reftransV1_0000548","p.persica_gdr_reftransV1_0000548")</f>
        <v>p.persica_gdr_reftransV1_0000548</v>
      </c>
      <c r="B7013" s="2">
        <v>3779</v>
      </c>
      <c r="C7013" s="4" t="str">
        <f>HYPERLINK("http://www.uniprot.org/uniprot/M5WWS1","M5WWS1")</f>
        <v>M5WWS1</v>
      </c>
      <c r="D7013" s="2" t="s">
        <v>6273</v>
      </c>
      <c r="E7013" s="3">
        <v>0</v>
      </c>
      <c r="F7013" s="2">
        <v>3668</v>
      </c>
      <c r="G7013" s="2">
        <v>94</v>
      </c>
      <c r="H7013" s="2">
        <v>883</v>
      </c>
      <c r="I7013" s="2">
        <v>265</v>
      </c>
      <c r="J7013" s="2">
        <v>2787</v>
      </c>
      <c r="K7013" s="2">
        <v>1</v>
      </c>
      <c r="L7013" s="2">
        <v>883</v>
      </c>
    </row>
    <row r="7014" spans="1:12" x14ac:dyDescent="0.25">
      <c r="A7014" s="4" t="str">
        <f>HYPERLINK("http://www.rosaceae.org/Prunus/Prunus_persica/p.persica_gdr_reftransV1_0001248","p.persica_gdr_reftransV1_0001248")</f>
        <v>p.persica_gdr_reftransV1_0001248</v>
      </c>
      <c r="B7014" s="2">
        <v>1071</v>
      </c>
      <c r="C7014" s="4" t="str">
        <f>HYPERLINK("http://www.uniprot.org/uniprot/S5NUB5","S5NUB5")</f>
        <v>S5NUB5</v>
      </c>
      <c r="D7014" s="2" t="s">
        <v>6274</v>
      </c>
      <c r="E7014" s="3">
        <v>0</v>
      </c>
      <c r="F7014" s="2">
        <v>1419</v>
      </c>
      <c r="G7014" s="2">
        <v>87</v>
      </c>
      <c r="H7014" s="2">
        <v>325</v>
      </c>
      <c r="I7014" s="2">
        <v>1</v>
      </c>
      <c r="J7014" s="2">
        <v>975</v>
      </c>
      <c r="K7014" s="2">
        <v>134</v>
      </c>
      <c r="L7014" s="2">
        <v>458</v>
      </c>
    </row>
    <row r="7015" spans="1:12" x14ac:dyDescent="0.25">
      <c r="A7015" s="4" t="str">
        <f>HYPERLINK("http://www.rosaceae.org/Prunus/Prunus_persica/p.persica_gdr_reftransV1_0001598","p.persica_gdr_reftransV1_0001598")</f>
        <v>p.persica_gdr_reftransV1_0001598</v>
      </c>
      <c r="B7015" s="2">
        <v>811</v>
      </c>
      <c r="C7015" s="4" t="str">
        <f>HYPERLINK("http://www.uniprot.org/uniprot/M5VKK5","M5VKK5")</f>
        <v>M5VKK5</v>
      </c>
      <c r="D7015" s="2" t="s">
        <v>6275</v>
      </c>
      <c r="E7015" s="3">
        <v>7.15E-88</v>
      </c>
      <c r="F7015" s="2">
        <v>695</v>
      </c>
      <c r="G7015" s="2">
        <v>90</v>
      </c>
      <c r="H7015" s="2">
        <v>171</v>
      </c>
      <c r="I7015" s="2">
        <v>298</v>
      </c>
      <c r="J7015" s="2">
        <v>810</v>
      </c>
      <c r="K7015" s="2">
        <v>54</v>
      </c>
      <c r="L7015" s="2">
        <v>207</v>
      </c>
    </row>
    <row r="7016" spans="1:12" x14ac:dyDescent="0.25">
      <c r="A7016" s="4" t="str">
        <f>HYPERLINK("http://www.rosaceae.org/Prunus/Prunus_persica/p.persica_gdr_reftransV1_0001948","p.persica_gdr_reftransV1_0001948")</f>
        <v>p.persica_gdr_reftransV1_0001948</v>
      </c>
      <c r="B7016" s="2">
        <v>917</v>
      </c>
      <c r="C7016" s="4" t="str">
        <f>HYPERLINK("http://www.uniprot.org/uniprot/M5VN35","M5VN35")</f>
        <v>M5VN35</v>
      </c>
      <c r="D7016" s="2" t="s">
        <v>6276</v>
      </c>
      <c r="E7016" s="3">
        <v>7.5099999999999999E-78</v>
      </c>
      <c r="F7016" s="2">
        <v>623</v>
      </c>
      <c r="G7016" s="2">
        <v>100</v>
      </c>
      <c r="H7016" s="2">
        <v>116</v>
      </c>
      <c r="I7016" s="2">
        <v>324</v>
      </c>
      <c r="J7016" s="2">
        <v>671</v>
      </c>
      <c r="K7016" s="2">
        <v>1</v>
      </c>
      <c r="L7016" s="2">
        <v>116</v>
      </c>
    </row>
    <row r="7017" spans="1:12" x14ac:dyDescent="0.25">
      <c r="A7017" s="4" t="str">
        <f>HYPERLINK("http://www.rosaceae.org/Prunus/Prunus_persica/p.persica_gdr_reftransV1_0002648","p.persica_gdr_reftransV1_0002648")</f>
        <v>p.persica_gdr_reftransV1_0002648</v>
      </c>
      <c r="B7017" s="2">
        <v>2719</v>
      </c>
      <c r="C7017" s="4" t="str">
        <f>HYPERLINK("http://www.uniprot.org/uniprot/M5XIT5","M5XIT5")</f>
        <v>M5XIT5</v>
      </c>
      <c r="D7017" s="2" t="s">
        <v>3406</v>
      </c>
      <c r="E7017" s="3">
        <v>0</v>
      </c>
      <c r="F7017" s="2">
        <v>3746</v>
      </c>
      <c r="G7017" s="2">
        <v>100</v>
      </c>
      <c r="H7017" s="2">
        <v>711</v>
      </c>
      <c r="I7017" s="2">
        <v>205</v>
      </c>
      <c r="J7017" s="2">
        <v>2337</v>
      </c>
      <c r="K7017" s="2">
        <v>1</v>
      </c>
      <c r="L7017" s="2">
        <v>711</v>
      </c>
    </row>
    <row r="7018" spans="1:12" x14ac:dyDescent="0.25">
      <c r="A7018" s="4" t="str">
        <f>HYPERLINK("http://www.rosaceae.org/Prunus/Prunus_persica/p.persica_gdr_reftransV1_0003348","p.persica_gdr_reftransV1_0003348")</f>
        <v>p.persica_gdr_reftransV1_0003348</v>
      </c>
      <c r="B7018" s="2">
        <v>1066</v>
      </c>
      <c r="C7018" s="4" t="str">
        <f>HYPERLINK("http://www.uniprot.org/uniprot/M5WNA2","M5WNA2")</f>
        <v>M5WNA2</v>
      </c>
      <c r="D7018" s="2" t="s">
        <v>6277</v>
      </c>
      <c r="E7018" s="3">
        <v>1.32E-51</v>
      </c>
      <c r="F7018" s="2">
        <v>452</v>
      </c>
      <c r="G7018" s="2">
        <v>100</v>
      </c>
      <c r="H7018" s="2">
        <v>114</v>
      </c>
      <c r="I7018" s="2">
        <v>508</v>
      </c>
      <c r="J7018" s="2">
        <v>849</v>
      </c>
      <c r="K7018" s="2">
        <v>1</v>
      </c>
      <c r="L7018" s="2">
        <v>114</v>
      </c>
    </row>
    <row r="7019" spans="1:12" x14ac:dyDescent="0.25">
      <c r="A7019" s="4" t="str">
        <f>HYPERLINK("http://www.rosaceae.org/Prunus/Prunus_persica/p.persica_gdr_reftransV1_0003698","p.persica_gdr_reftransV1_0003698")</f>
        <v>p.persica_gdr_reftransV1_0003698</v>
      </c>
      <c r="B7019" s="2">
        <v>3220</v>
      </c>
      <c r="C7019" s="4" t="str">
        <f>HYPERLINK("http://www.uniprot.org/uniprot/M5X6Z5","M5X6Z5")</f>
        <v>M5X6Z5</v>
      </c>
      <c r="D7019" s="2" t="s">
        <v>5393</v>
      </c>
      <c r="E7019" s="3">
        <v>0</v>
      </c>
      <c r="F7019" s="2">
        <v>4128</v>
      </c>
      <c r="G7019" s="2">
        <v>98</v>
      </c>
      <c r="H7019" s="2">
        <v>784</v>
      </c>
      <c r="I7019" s="2">
        <v>244</v>
      </c>
      <c r="J7019" s="2">
        <v>2592</v>
      </c>
      <c r="K7019" s="2">
        <v>1</v>
      </c>
      <c r="L7019" s="2">
        <v>784</v>
      </c>
    </row>
    <row r="7020" spans="1:12" x14ac:dyDescent="0.25">
      <c r="A7020" s="4" t="str">
        <f>HYPERLINK("http://www.rosaceae.org/Prunus/Prunus_persica/p.persica_gdr_reftransV1_0004048","p.persica_gdr_reftransV1_0004048")</f>
        <v>p.persica_gdr_reftransV1_0004048</v>
      </c>
      <c r="B7020" s="2">
        <v>309</v>
      </c>
      <c r="C7020" s="4" t="str">
        <f>HYPERLINK("http://www.uniprot.org/uniprot/A0A061E2D7","A0A061E2D7")</f>
        <v>A0A061E2D7</v>
      </c>
      <c r="D7020" s="2" t="s">
        <v>6278</v>
      </c>
      <c r="E7020" s="3">
        <v>1.08E-23</v>
      </c>
      <c r="F7020" s="2">
        <v>258</v>
      </c>
      <c r="G7020" s="2">
        <v>71</v>
      </c>
      <c r="H7020" s="2">
        <v>68</v>
      </c>
      <c r="I7020" s="2">
        <v>2</v>
      </c>
      <c r="J7020" s="2">
        <v>205</v>
      </c>
      <c r="K7020" s="2">
        <v>35</v>
      </c>
      <c r="L7020" s="2">
        <v>99</v>
      </c>
    </row>
    <row r="7021" spans="1:12" x14ac:dyDescent="0.25">
      <c r="A7021" s="4" t="str">
        <f>HYPERLINK("http://www.rosaceae.org/Prunus/Prunus_persica/p.persica_gdr_reftransV1_0004398","p.persica_gdr_reftransV1_0004398")</f>
        <v>p.persica_gdr_reftransV1_0004398</v>
      </c>
      <c r="B7021" s="2">
        <v>2224</v>
      </c>
      <c r="C7021" s="4" t="str">
        <f>HYPERLINK("http://www.uniprot.org/uniprot/M5X8L8","M5X8L8")</f>
        <v>M5X8L8</v>
      </c>
      <c r="D7021" s="2" t="s">
        <v>2237</v>
      </c>
      <c r="E7021" s="3">
        <v>0</v>
      </c>
      <c r="F7021" s="2">
        <v>2230</v>
      </c>
      <c r="G7021" s="2">
        <v>100</v>
      </c>
      <c r="H7021" s="2">
        <v>413</v>
      </c>
      <c r="I7021" s="2">
        <v>86</v>
      </c>
      <c r="J7021" s="2">
        <v>1324</v>
      </c>
      <c r="K7021" s="2">
        <v>1</v>
      </c>
      <c r="L7021" s="2">
        <v>413</v>
      </c>
    </row>
    <row r="7022" spans="1:12" x14ac:dyDescent="0.25">
      <c r="A7022" s="4" t="str">
        <f>HYPERLINK("http://www.rosaceae.org/Prunus/Prunus_persica/p.persica_gdr_reftransV1_0004748","p.persica_gdr_reftransV1_0004748")</f>
        <v>p.persica_gdr_reftransV1_0004748</v>
      </c>
      <c r="B7022" s="2">
        <v>2403</v>
      </c>
      <c r="C7022" s="4" t="str">
        <f>HYPERLINK("http://www.uniprot.org/uniprot/M5WIZ5","M5WIZ5")</f>
        <v>M5WIZ5</v>
      </c>
      <c r="D7022" s="2" t="s">
        <v>6279</v>
      </c>
      <c r="E7022" s="3">
        <v>0</v>
      </c>
      <c r="F7022" s="2">
        <v>2473</v>
      </c>
      <c r="G7022" s="2">
        <v>100</v>
      </c>
      <c r="H7022" s="2">
        <v>549</v>
      </c>
      <c r="I7022" s="2">
        <v>324</v>
      </c>
      <c r="J7022" s="2">
        <v>1970</v>
      </c>
      <c r="K7022" s="2">
        <v>1</v>
      </c>
      <c r="L7022" s="2">
        <v>549</v>
      </c>
    </row>
    <row r="7023" spans="1:12" x14ac:dyDescent="0.25">
      <c r="A7023" s="4" t="str">
        <f>HYPERLINK("http://www.rosaceae.org/Prunus/Prunus_persica/p.persica_gdr_reftransV1_0005098","p.persica_gdr_reftransV1_0005098")</f>
        <v>p.persica_gdr_reftransV1_0005098</v>
      </c>
      <c r="B7023" s="2">
        <v>356</v>
      </c>
      <c r="C7023" s="4" t="str">
        <f>HYPERLINK("http://www.uniprot.org/uniprot/M5W2Z4","M5W2Z4")</f>
        <v>M5W2Z4</v>
      </c>
      <c r="D7023" s="2" t="s">
        <v>6280</v>
      </c>
      <c r="E7023" s="3">
        <v>2.9199999999999999E-64</v>
      </c>
      <c r="F7023" s="2">
        <v>553</v>
      </c>
      <c r="G7023" s="2">
        <v>100</v>
      </c>
      <c r="H7023" s="2">
        <v>118</v>
      </c>
      <c r="I7023" s="2">
        <v>2</v>
      </c>
      <c r="J7023" s="2">
        <v>355</v>
      </c>
      <c r="K7023" s="2">
        <v>246</v>
      </c>
      <c r="L7023" s="2">
        <v>363</v>
      </c>
    </row>
    <row r="7024" spans="1:12" x14ac:dyDescent="0.25">
      <c r="A7024" s="4" t="str">
        <f>HYPERLINK("http://www.rosaceae.org/Prunus/Prunus_persica/p.persica_gdr_reftransV1_0006848","p.persica_gdr_reftransV1_0006848")</f>
        <v>p.persica_gdr_reftransV1_0006848</v>
      </c>
      <c r="B7024" s="2">
        <v>2318</v>
      </c>
      <c r="C7024" s="4" t="str">
        <f>HYPERLINK("http://www.uniprot.org/uniprot/M5WLR2","M5WLR2")</f>
        <v>M5WLR2</v>
      </c>
      <c r="D7024" s="2" t="s">
        <v>6281</v>
      </c>
      <c r="E7024" s="3">
        <v>0</v>
      </c>
      <c r="F7024" s="2">
        <v>1477</v>
      </c>
      <c r="G7024" s="2">
        <v>95</v>
      </c>
      <c r="H7024" s="2">
        <v>287</v>
      </c>
      <c r="I7024" s="2">
        <v>1457</v>
      </c>
      <c r="J7024" s="2">
        <v>2317</v>
      </c>
      <c r="K7024" s="2">
        <v>319</v>
      </c>
      <c r="L7024" s="2">
        <v>605</v>
      </c>
    </row>
    <row r="7025" spans="1:12" x14ac:dyDescent="0.25">
      <c r="A7025" s="4" t="str">
        <f>HYPERLINK("http://www.rosaceae.org/Prunus/Prunus_persica/p.persica_gdr_reftransV1_0007198","p.persica_gdr_reftransV1_0007198")</f>
        <v>p.persica_gdr_reftransV1_0007198</v>
      </c>
      <c r="B7025" s="2">
        <v>953</v>
      </c>
      <c r="C7025" s="4" t="str">
        <f>HYPERLINK("http://www.uniprot.org/uniprot/M5WKH1","M5WKH1")</f>
        <v>M5WKH1</v>
      </c>
      <c r="D7025" s="2" t="s">
        <v>6282</v>
      </c>
      <c r="E7025" s="3">
        <v>5.8599999999999997E-78</v>
      </c>
      <c r="F7025" s="2">
        <v>627</v>
      </c>
      <c r="G7025" s="2">
        <v>100</v>
      </c>
      <c r="H7025" s="2">
        <v>143</v>
      </c>
      <c r="I7025" s="2">
        <v>311</v>
      </c>
      <c r="J7025" s="2">
        <v>739</v>
      </c>
      <c r="K7025" s="2">
        <v>1</v>
      </c>
      <c r="L7025" s="2">
        <v>143</v>
      </c>
    </row>
    <row r="7026" spans="1:12" x14ac:dyDescent="0.25">
      <c r="A7026" s="4" t="str">
        <f>HYPERLINK("http://www.rosaceae.org/Prunus/Prunus_persica/p.persica_gdr_reftransV1_0007898","p.persica_gdr_reftransV1_0007898")</f>
        <v>p.persica_gdr_reftransV1_0007898</v>
      </c>
      <c r="B7026" s="2">
        <v>1638</v>
      </c>
      <c r="C7026" s="4" t="str">
        <f>HYPERLINK("http://www.uniprot.org/uniprot/M5X4V5","M5X4V5")</f>
        <v>M5X4V5</v>
      </c>
      <c r="D7026" s="2" t="s">
        <v>6283</v>
      </c>
      <c r="E7026" s="3">
        <v>3.3999999999999998E-141</v>
      </c>
      <c r="F7026" s="2">
        <v>1087</v>
      </c>
      <c r="G7026" s="2">
        <v>97</v>
      </c>
      <c r="H7026" s="2">
        <v>250</v>
      </c>
      <c r="I7026" s="2">
        <v>817</v>
      </c>
      <c r="J7026" s="2">
        <v>1566</v>
      </c>
      <c r="K7026" s="2">
        <v>83</v>
      </c>
      <c r="L7026" s="2">
        <v>332</v>
      </c>
    </row>
    <row r="7027" spans="1:12" x14ac:dyDescent="0.25">
      <c r="A7027" s="4" t="str">
        <f>HYPERLINK("http://www.rosaceae.org/Prunus/Prunus_persica/p.persica_gdr_reftransV1_0008248","p.persica_gdr_reftransV1_0008248")</f>
        <v>p.persica_gdr_reftransV1_0008248</v>
      </c>
      <c r="B7027" s="2">
        <v>2434</v>
      </c>
      <c r="C7027" s="4" t="str">
        <f>HYPERLINK("http://www.uniprot.org/uniprot/M5W2D3","M5W2D3")</f>
        <v>M5W2D3</v>
      </c>
      <c r="D7027" s="2" t="s">
        <v>6284</v>
      </c>
      <c r="E7027" s="3">
        <v>0</v>
      </c>
      <c r="F7027" s="2">
        <v>2635</v>
      </c>
      <c r="G7027" s="2">
        <v>100</v>
      </c>
      <c r="H7027" s="2">
        <v>515</v>
      </c>
      <c r="I7027" s="2">
        <v>645</v>
      </c>
      <c r="J7027" s="2">
        <v>2189</v>
      </c>
      <c r="K7027" s="2">
        <v>131</v>
      </c>
      <c r="L7027" s="2">
        <v>645</v>
      </c>
    </row>
    <row r="7028" spans="1:12" x14ac:dyDescent="0.25">
      <c r="A7028" s="4" t="str">
        <f>HYPERLINK("http://www.rosaceae.org/Prunus/Prunus_persica/p.persica_gdr_reftransV1_0008948","p.persica_gdr_reftransV1_0008948")</f>
        <v>p.persica_gdr_reftransV1_0008948</v>
      </c>
      <c r="B7028" s="2">
        <v>885</v>
      </c>
      <c r="C7028" s="4" t="str">
        <f>HYPERLINK("http://www.uniprot.org/uniprot/M5XGA6","M5XGA6")</f>
        <v>M5XGA6</v>
      </c>
      <c r="D7028" s="2" t="s">
        <v>6285</v>
      </c>
      <c r="E7028" s="3">
        <v>1.24E-175</v>
      </c>
      <c r="F7028" s="2">
        <v>1304</v>
      </c>
      <c r="G7028" s="2">
        <v>100</v>
      </c>
      <c r="H7028" s="2">
        <v>295</v>
      </c>
      <c r="I7028" s="2">
        <v>1</v>
      </c>
      <c r="J7028" s="2">
        <v>885</v>
      </c>
      <c r="K7028" s="2">
        <v>41</v>
      </c>
      <c r="L7028" s="2">
        <v>335</v>
      </c>
    </row>
    <row r="7029" spans="1:12" x14ac:dyDescent="0.25">
      <c r="A7029" s="4" t="str">
        <f>HYPERLINK("http://www.rosaceae.org/Prunus/Prunus_persica/p.persica_gdr_reftransV1_0009298","p.persica_gdr_reftransV1_0009298")</f>
        <v>p.persica_gdr_reftransV1_0009298</v>
      </c>
      <c r="B7029" s="2">
        <v>1778</v>
      </c>
      <c r="C7029" s="4" t="str">
        <f>HYPERLINK("http://www.uniprot.org/uniprot/M5XJK8","M5XJK8")</f>
        <v>M5XJK8</v>
      </c>
      <c r="D7029" s="2" t="s">
        <v>6286</v>
      </c>
      <c r="E7029" s="3">
        <v>0</v>
      </c>
      <c r="F7029" s="2">
        <v>2214</v>
      </c>
      <c r="G7029" s="2">
        <v>96</v>
      </c>
      <c r="H7029" s="2">
        <v>453</v>
      </c>
      <c r="I7029" s="2">
        <v>401</v>
      </c>
      <c r="J7029" s="2">
        <v>1759</v>
      </c>
      <c r="K7029" s="2">
        <v>1</v>
      </c>
      <c r="L7029" s="2">
        <v>437</v>
      </c>
    </row>
    <row r="7030" spans="1:12" x14ac:dyDescent="0.25">
      <c r="A7030" s="4" t="str">
        <f>HYPERLINK("http://www.rosaceae.org/Prunus/Prunus_persica/p.persica_gdr_reftransV1_0009648","p.persica_gdr_reftransV1_0009648")</f>
        <v>p.persica_gdr_reftransV1_0009648</v>
      </c>
      <c r="B7030" s="2">
        <v>2975</v>
      </c>
      <c r="C7030" s="4" t="str">
        <f>HYPERLINK("http://www.uniprot.org/uniprot/M5W112","M5W112")</f>
        <v>M5W112</v>
      </c>
      <c r="D7030" s="2" t="s">
        <v>6287</v>
      </c>
      <c r="E7030" s="3">
        <v>0</v>
      </c>
      <c r="F7030" s="2">
        <v>2992</v>
      </c>
      <c r="G7030" s="2">
        <v>97</v>
      </c>
      <c r="H7030" s="2">
        <v>571</v>
      </c>
      <c r="I7030" s="2">
        <v>872</v>
      </c>
      <c r="J7030" s="2">
        <v>2584</v>
      </c>
      <c r="K7030" s="2">
        <v>1</v>
      </c>
      <c r="L7030" s="2">
        <v>571</v>
      </c>
    </row>
    <row r="7031" spans="1:12" x14ac:dyDescent="0.25">
      <c r="A7031" s="4" t="str">
        <f>HYPERLINK("http://www.rosaceae.org/Prunus/Prunus_persica/p.persica_gdr_reftransV1_0010348","p.persica_gdr_reftransV1_0010348")</f>
        <v>p.persica_gdr_reftransV1_0010348</v>
      </c>
      <c r="B7031" s="2">
        <v>1164</v>
      </c>
      <c r="C7031" s="4" t="str">
        <f>HYPERLINK("http://www.uniprot.org/uniprot/M5XR21","M5XR21")</f>
        <v>M5XR21</v>
      </c>
      <c r="D7031" s="2" t="s">
        <v>6288</v>
      </c>
      <c r="E7031" s="3">
        <v>0</v>
      </c>
      <c r="F7031" s="2">
        <v>1594</v>
      </c>
      <c r="G7031" s="2">
        <v>93</v>
      </c>
      <c r="H7031" s="2">
        <v>349</v>
      </c>
      <c r="I7031" s="2">
        <v>33</v>
      </c>
      <c r="J7031" s="2">
        <v>1079</v>
      </c>
      <c r="K7031" s="2">
        <v>1</v>
      </c>
      <c r="L7031" s="2">
        <v>326</v>
      </c>
    </row>
    <row r="7032" spans="1:12" x14ac:dyDescent="0.25">
      <c r="A7032" s="4" t="str">
        <f>HYPERLINK("http://www.rosaceae.org/Prunus/Prunus_persica/p.persica_gdr_reftransV1_0010698","p.persica_gdr_reftransV1_0010698")</f>
        <v>p.persica_gdr_reftransV1_0010698</v>
      </c>
      <c r="B7032" s="2">
        <v>1541</v>
      </c>
      <c r="C7032" s="4" t="str">
        <f>HYPERLINK("http://www.uniprot.org/uniprot/M5WZ45","M5WZ45")</f>
        <v>M5WZ45</v>
      </c>
      <c r="D7032" s="2" t="s">
        <v>6289</v>
      </c>
      <c r="E7032" s="3">
        <v>0</v>
      </c>
      <c r="F7032" s="2">
        <v>1573</v>
      </c>
      <c r="G7032" s="2">
        <v>100</v>
      </c>
      <c r="H7032" s="2">
        <v>311</v>
      </c>
      <c r="I7032" s="2">
        <v>402</v>
      </c>
      <c r="J7032" s="2">
        <v>1334</v>
      </c>
      <c r="K7032" s="2">
        <v>1</v>
      </c>
      <c r="L7032" s="2">
        <v>311</v>
      </c>
    </row>
    <row r="7033" spans="1:12" x14ac:dyDescent="0.25">
      <c r="A7033" s="4" t="str">
        <f>HYPERLINK("http://www.rosaceae.org/Prunus/Prunus_persica/p.persica_gdr_reftransV1_0011048","p.persica_gdr_reftransV1_0011048")</f>
        <v>p.persica_gdr_reftransV1_0011048</v>
      </c>
      <c r="B7033" s="2">
        <v>1097</v>
      </c>
      <c r="C7033" s="4" t="str">
        <f>HYPERLINK("http://www.uniprot.org/uniprot/M5VMB3","M5VMB3")</f>
        <v>M5VMB3</v>
      </c>
      <c r="D7033" s="2" t="s">
        <v>6290</v>
      </c>
      <c r="E7033" s="3">
        <v>0</v>
      </c>
      <c r="F7033" s="2">
        <v>1827</v>
      </c>
      <c r="G7033" s="2">
        <v>100</v>
      </c>
      <c r="H7033" s="2">
        <v>349</v>
      </c>
      <c r="I7033" s="2">
        <v>3</v>
      </c>
      <c r="J7033" s="2">
        <v>1049</v>
      </c>
      <c r="K7033" s="2">
        <v>1</v>
      </c>
      <c r="L7033" s="2">
        <v>349</v>
      </c>
    </row>
    <row r="7034" spans="1:12" x14ac:dyDescent="0.25">
      <c r="A7034" s="4" t="str">
        <f>HYPERLINK("http://www.rosaceae.org/Prunus/Prunus_persica/p.persica_gdr_reftransV1_0011398","p.persica_gdr_reftransV1_0011398")</f>
        <v>p.persica_gdr_reftransV1_0011398</v>
      </c>
      <c r="B7034" s="2">
        <v>2341</v>
      </c>
      <c r="C7034" s="4" t="str">
        <f>HYPERLINK("http://www.uniprot.org/uniprot/M5VNA0","M5VNA0")</f>
        <v>M5VNA0</v>
      </c>
      <c r="D7034" s="2" t="s">
        <v>6291</v>
      </c>
      <c r="E7034" s="3">
        <v>0</v>
      </c>
      <c r="F7034" s="2">
        <v>1464</v>
      </c>
      <c r="G7034" s="2">
        <v>100</v>
      </c>
      <c r="H7034" s="2">
        <v>321</v>
      </c>
      <c r="I7034" s="2">
        <v>277</v>
      </c>
      <c r="J7034" s="2">
        <v>1239</v>
      </c>
      <c r="K7034" s="2">
        <v>1</v>
      </c>
      <c r="L7034" s="2">
        <v>321</v>
      </c>
    </row>
    <row r="7035" spans="1:12" x14ac:dyDescent="0.25">
      <c r="A7035" s="4" t="str">
        <f>HYPERLINK("http://www.rosaceae.org/Prunus/Prunus_persica/p.persica_gdr_reftransV1_0013148","p.persica_gdr_reftransV1_0013148")</f>
        <v>p.persica_gdr_reftransV1_0013148</v>
      </c>
      <c r="B7035" s="2">
        <v>1999</v>
      </c>
      <c r="C7035" s="4" t="str">
        <f>HYPERLINK("http://www.uniprot.org/uniprot/M5Y0Y9","M5Y0Y9")</f>
        <v>M5Y0Y9</v>
      </c>
      <c r="D7035" s="2" t="s">
        <v>6292</v>
      </c>
      <c r="E7035" s="3">
        <v>0</v>
      </c>
      <c r="F7035" s="2">
        <v>2090</v>
      </c>
      <c r="G7035" s="2">
        <v>100</v>
      </c>
      <c r="H7035" s="2">
        <v>445</v>
      </c>
      <c r="I7035" s="2">
        <v>425</v>
      </c>
      <c r="J7035" s="2">
        <v>1759</v>
      </c>
      <c r="K7035" s="2">
        <v>1</v>
      </c>
      <c r="L7035" s="2">
        <v>445</v>
      </c>
    </row>
    <row r="7036" spans="1:12" x14ac:dyDescent="0.25">
      <c r="A7036" s="4" t="str">
        <f>HYPERLINK("http://www.rosaceae.org/Prunus/Prunus_persica/p.persica_gdr_reftransV1_0013498","p.persica_gdr_reftransV1_0013498")</f>
        <v>p.persica_gdr_reftransV1_0013498</v>
      </c>
      <c r="B7036" s="2">
        <v>1566</v>
      </c>
      <c r="C7036" s="4" t="str">
        <f>HYPERLINK("http://www.uniprot.org/uniprot/M5X1W2","M5X1W2")</f>
        <v>M5X1W2</v>
      </c>
      <c r="D7036" s="2" t="s">
        <v>6293</v>
      </c>
      <c r="E7036" s="3">
        <v>0</v>
      </c>
      <c r="F7036" s="2">
        <v>1548</v>
      </c>
      <c r="G7036" s="2">
        <v>100</v>
      </c>
      <c r="H7036" s="2">
        <v>308</v>
      </c>
      <c r="I7036" s="2">
        <v>159</v>
      </c>
      <c r="J7036" s="2">
        <v>1082</v>
      </c>
      <c r="K7036" s="2">
        <v>1</v>
      </c>
      <c r="L7036" s="2">
        <v>308</v>
      </c>
    </row>
    <row r="7037" spans="1:12" x14ac:dyDescent="0.25">
      <c r="A7037" s="4" t="str">
        <f>HYPERLINK("http://www.rosaceae.org/Prunus/Prunus_persica/p.persica_gdr_reftransV1_0014898","p.persica_gdr_reftransV1_0014898")</f>
        <v>p.persica_gdr_reftransV1_0014898</v>
      </c>
      <c r="B7037" s="2">
        <v>1598</v>
      </c>
      <c r="C7037" s="4" t="str">
        <f>HYPERLINK("http://www.uniprot.org/uniprot/W9QNH1","W9QNH1")</f>
        <v>W9QNH1</v>
      </c>
      <c r="D7037" s="2" t="s">
        <v>6294</v>
      </c>
      <c r="E7037" s="3">
        <v>1.4099999999999999E-112</v>
      </c>
      <c r="F7037" s="2">
        <v>893</v>
      </c>
      <c r="G7037" s="2">
        <v>60</v>
      </c>
      <c r="H7037" s="2">
        <v>305</v>
      </c>
      <c r="I7037" s="2">
        <v>254</v>
      </c>
      <c r="J7037" s="2">
        <v>1126</v>
      </c>
      <c r="K7037" s="2">
        <v>2</v>
      </c>
      <c r="L7037" s="2">
        <v>306</v>
      </c>
    </row>
    <row r="7038" spans="1:12" x14ac:dyDescent="0.25">
      <c r="A7038" s="4" t="str">
        <f>HYPERLINK("http://www.rosaceae.org/Prunus/Prunus_persica/p.persica_gdr_reftransV1_0015248","p.persica_gdr_reftransV1_0015248")</f>
        <v>p.persica_gdr_reftransV1_0015248</v>
      </c>
      <c r="B7038" s="2">
        <v>1256</v>
      </c>
      <c r="C7038" s="4" t="str">
        <f>HYPERLINK("http://www.uniprot.org/uniprot/M5XFG5","M5XFG5")</f>
        <v>M5XFG5</v>
      </c>
      <c r="D7038" s="2" t="s">
        <v>6295</v>
      </c>
      <c r="E7038" s="3">
        <v>1.5400000000000001E-106</v>
      </c>
      <c r="F7038" s="2">
        <v>597</v>
      </c>
      <c r="G7038" s="2">
        <v>100</v>
      </c>
      <c r="H7038" s="2">
        <v>112</v>
      </c>
      <c r="I7038" s="2">
        <v>763</v>
      </c>
      <c r="J7038" s="2">
        <v>1098</v>
      </c>
      <c r="K7038" s="2">
        <v>1</v>
      </c>
      <c r="L7038" s="2">
        <v>112</v>
      </c>
    </row>
    <row r="7039" spans="1:12" x14ac:dyDescent="0.25">
      <c r="A7039" s="4" t="str">
        <f>HYPERLINK("http://www.rosaceae.org/Prunus/Prunus_persica/p.persica_gdr_reftransV1_0016648","p.persica_gdr_reftransV1_0016648")</f>
        <v>p.persica_gdr_reftransV1_0016648</v>
      </c>
      <c r="B7039" s="2">
        <v>592</v>
      </c>
      <c r="C7039" s="4" t="str">
        <f>HYPERLINK("http://www.uniprot.org/uniprot/M5Y9T4","M5Y9T4")</f>
        <v>M5Y9T4</v>
      </c>
      <c r="D7039" s="2" t="s">
        <v>864</v>
      </c>
      <c r="E7039" s="3">
        <v>5.2899999999999996E-60</v>
      </c>
      <c r="F7039" s="2">
        <v>493</v>
      </c>
      <c r="G7039" s="2">
        <v>100</v>
      </c>
      <c r="H7039" s="2">
        <v>95</v>
      </c>
      <c r="I7039" s="2">
        <v>165</v>
      </c>
      <c r="J7039" s="2">
        <v>449</v>
      </c>
      <c r="K7039" s="2">
        <v>1</v>
      </c>
      <c r="L7039" s="2">
        <v>95</v>
      </c>
    </row>
    <row r="7040" spans="1:12" x14ac:dyDescent="0.25">
      <c r="A7040" s="4" t="str">
        <f>HYPERLINK("http://www.rosaceae.org/Prunus/Prunus_persica/p.persica_gdr_reftransV1_0018048","p.persica_gdr_reftransV1_0018048")</f>
        <v>p.persica_gdr_reftransV1_0018048</v>
      </c>
      <c r="B7040" s="2">
        <v>1035</v>
      </c>
      <c r="C7040" s="4" t="str">
        <f>HYPERLINK("http://www.uniprot.org/uniprot/M5WDS8","M5WDS8")</f>
        <v>M5WDS8</v>
      </c>
      <c r="D7040" s="2" t="s">
        <v>6296</v>
      </c>
      <c r="E7040" s="3">
        <v>6.8000000000000001E-28</v>
      </c>
      <c r="F7040" s="2">
        <v>285</v>
      </c>
      <c r="G7040" s="2">
        <v>100</v>
      </c>
      <c r="H7040" s="2">
        <v>69</v>
      </c>
      <c r="I7040" s="2">
        <v>254</v>
      </c>
      <c r="J7040" s="2">
        <v>460</v>
      </c>
      <c r="K7040" s="2">
        <v>1</v>
      </c>
      <c r="L7040" s="2">
        <v>69</v>
      </c>
    </row>
    <row r="7041" spans="1:12" x14ac:dyDescent="0.25">
      <c r="A7041" s="4" t="str">
        <f>HYPERLINK("http://www.rosaceae.org/Prunus/Prunus_persica/p.persica_gdr_reftransV1_0019798","p.persica_gdr_reftransV1_0019798")</f>
        <v>p.persica_gdr_reftransV1_0019798</v>
      </c>
      <c r="B7041" s="2">
        <v>628</v>
      </c>
      <c r="C7041" s="4" t="str">
        <f>HYPERLINK("http://www.uniprot.org/uniprot/M5VTN8","M5VTN8")</f>
        <v>M5VTN8</v>
      </c>
      <c r="D7041" s="2" t="s">
        <v>6297</v>
      </c>
      <c r="E7041" s="3">
        <v>1.19E-144</v>
      </c>
      <c r="F7041" s="2">
        <v>1107</v>
      </c>
      <c r="G7041" s="2">
        <v>99</v>
      </c>
      <c r="H7041" s="2">
        <v>208</v>
      </c>
      <c r="I7041" s="2">
        <v>3</v>
      </c>
      <c r="J7041" s="2">
        <v>626</v>
      </c>
      <c r="K7041" s="2">
        <v>149</v>
      </c>
      <c r="L7041" s="2">
        <v>356</v>
      </c>
    </row>
    <row r="7042" spans="1:12" x14ac:dyDescent="0.25">
      <c r="A7042" s="4" t="str">
        <f>HYPERLINK("http://www.rosaceae.org/Prunus/Prunus_persica/p.persica_gdr_reftransV1_0020848","p.persica_gdr_reftransV1_0020848")</f>
        <v>p.persica_gdr_reftransV1_0020848</v>
      </c>
      <c r="B7042" s="2">
        <v>3181</v>
      </c>
      <c r="C7042" s="4" t="str">
        <f>HYPERLINK("http://www.uniprot.org/uniprot/M5VVR1","M5VVR1")</f>
        <v>M5VVR1</v>
      </c>
      <c r="D7042" s="2" t="s">
        <v>5</v>
      </c>
      <c r="E7042" s="3">
        <v>0</v>
      </c>
      <c r="F7042" s="2">
        <v>4367</v>
      </c>
      <c r="G7042" s="2">
        <v>96</v>
      </c>
      <c r="H7042" s="2">
        <v>922</v>
      </c>
      <c r="I7042" s="2">
        <v>362</v>
      </c>
      <c r="J7042" s="2">
        <v>3127</v>
      </c>
      <c r="K7042" s="2">
        <v>4</v>
      </c>
      <c r="L7042" s="2">
        <v>885</v>
      </c>
    </row>
    <row r="7043" spans="1:12" x14ac:dyDescent="0.25">
      <c r="A7043" s="4" t="str">
        <f>HYPERLINK("http://www.rosaceae.org/Prunus/Prunus_persica/p.persica_gdr_reftransV1_0023648","p.persica_gdr_reftransV1_0023648")</f>
        <v>p.persica_gdr_reftransV1_0023648</v>
      </c>
      <c r="B7043" s="2">
        <v>1086</v>
      </c>
      <c r="C7043" s="4" t="str">
        <f>HYPERLINK("http://www.uniprot.org/uniprot/M5W2Y6","M5W2Y6")</f>
        <v>M5W2Y6</v>
      </c>
      <c r="D7043" s="2" t="s">
        <v>6298</v>
      </c>
      <c r="E7043" s="3">
        <v>1.51E-172</v>
      </c>
      <c r="F7043" s="2">
        <v>1284</v>
      </c>
      <c r="G7043" s="2">
        <v>98</v>
      </c>
      <c r="H7043" s="2">
        <v>258</v>
      </c>
      <c r="I7043" s="2">
        <v>145</v>
      </c>
      <c r="J7043" s="2">
        <v>918</v>
      </c>
      <c r="K7043" s="2">
        <v>1</v>
      </c>
      <c r="L7043" s="2">
        <v>258</v>
      </c>
    </row>
    <row r="7044" spans="1:12" x14ac:dyDescent="0.25">
      <c r="A7044" s="4" t="str">
        <f>HYPERLINK("http://www.rosaceae.org/Prunus/Prunus_persica/p.persica_gdr_reftransV1_0025048","p.persica_gdr_reftransV1_0025048")</f>
        <v>p.persica_gdr_reftransV1_0025048</v>
      </c>
      <c r="B7044" s="2">
        <v>1802</v>
      </c>
      <c r="C7044" s="4" t="str">
        <f>HYPERLINK("http://www.uniprot.org/uniprot/M5WMX7","M5WMX7")</f>
        <v>M5WMX7</v>
      </c>
      <c r="D7044" s="2" t="s">
        <v>3582</v>
      </c>
      <c r="E7044" s="3">
        <v>0</v>
      </c>
      <c r="F7044" s="2">
        <v>2323</v>
      </c>
      <c r="G7044" s="2">
        <v>100</v>
      </c>
      <c r="H7044" s="2">
        <v>485</v>
      </c>
      <c r="I7044" s="2">
        <v>3</v>
      </c>
      <c r="J7044" s="2">
        <v>1457</v>
      </c>
      <c r="K7044" s="2">
        <v>80</v>
      </c>
      <c r="L7044" s="2">
        <v>564</v>
      </c>
    </row>
    <row r="7045" spans="1:12" x14ac:dyDescent="0.25">
      <c r="A7045" s="4" t="str">
        <f>HYPERLINK("http://www.rosaceae.org/Prunus/Prunus_persica/p.persica_gdr_reftransV1_0025398","p.persica_gdr_reftransV1_0025398")</f>
        <v>p.persica_gdr_reftransV1_0025398</v>
      </c>
      <c r="B7045" s="2">
        <v>1572</v>
      </c>
      <c r="C7045" s="4" t="str">
        <f>HYPERLINK("http://www.uniprot.org/uniprot/M5WMW6","M5WMW6")</f>
        <v>M5WMW6</v>
      </c>
      <c r="D7045" s="2" t="s">
        <v>6299</v>
      </c>
      <c r="E7045" s="3">
        <v>0</v>
      </c>
      <c r="F7045" s="2">
        <v>2216</v>
      </c>
      <c r="G7045" s="2">
        <v>100</v>
      </c>
      <c r="H7045" s="2">
        <v>415</v>
      </c>
      <c r="I7045" s="2">
        <v>281</v>
      </c>
      <c r="J7045" s="2">
        <v>1525</v>
      </c>
      <c r="K7045" s="2">
        <v>159</v>
      </c>
      <c r="L7045" s="2">
        <v>573</v>
      </c>
    </row>
    <row r="7046" spans="1:12" x14ac:dyDescent="0.25">
      <c r="A7046" s="4" t="str">
        <f>HYPERLINK("http://www.rosaceae.org/Prunus/Prunus_persica/p.persica_gdr_reftransV1_0025748","p.persica_gdr_reftransV1_0025748")</f>
        <v>p.persica_gdr_reftransV1_0025748</v>
      </c>
      <c r="B7046" s="2">
        <v>668</v>
      </c>
      <c r="C7046" s="4" t="str">
        <f>HYPERLINK("http://www.uniprot.org/uniprot/M5X5S8","M5X5S8")</f>
        <v>M5X5S8</v>
      </c>
      <c r="D7046" s="2" t="s">
        <v>758</v>
      </c>
      <c r="E7046" s="3">
        <v>4.4700000000000001E-157</v>
      </c>
      <c r="F7046" s="2">
        <v>1190</v>
      </c>
      <c r="G7046" s="2">
        <v>100</v>
      </c>
      <c r="H7046" s="2">
        <v>222</v>
      </c>
      <c r="I7046" s="2">
        <v>1</v>
      </c>
      <c r="J7046" s="2">
        <v>666</v>
      </c>
      <c r="K7046" s="2">
        <v>201</v>
      </c>
      <c r="L7046" s="2">
        <v>422</v>
      </c>
    </row>
    <row r="7047" spans="1:12" x14ac:dyDescent="0.25">
      <c r="A7047" s="4" t="str">
        <f>HYPERLINK("http://www.rosaceae.org/Prunus/Prunus_persica/p.persica_gdr_reftransV1_0027498","p.persica_gdr_reftransV1_0027498")</f>
        <v>p.persica_gdr_reftransV1_0027498</v>
      </c>
      <c r="B7047" s="2">
        <v>2160</v>
      </c>
      <c r="C7047" s="4" t="str">
        <f>HYPERLINK("http://www.uniprot.org/uniprot/M5XSC6","M5XSC6")</f>
        <v>M5XSC6</v>
      </c>
      <c r="D7047" s="2" t="s">
        <v>6300</v>
      </c>
      <c r="E7047" s="3">
        <v>2.6200000000000001E-158</v>
      </c>
      <c r="F7047" s="2">
        <v>1213</v>
      </c>
      <c r="G7047" s="2">
        <v>100</v>
      </c>
      <c r="H7047" s="2">
        <v>251</v>
      </c>
      <c r="I7047" s="2">
        <v>1324</v>
      </c>
      <c r="J7047" s="2">
        <v>2076</v>
      </c>
      <c r="K7047" s="2">
        <v>1</v>
      </c>
      <c r="L7047" s="2">
        <v>251</v>
      </c>
    </row>
    <row r="7048" spans="1:12" x14ac:dyDescent="0.25">
      <c r="A7048" s="4" t="str">
        <f>HYPERLINK("http://www.rosaceae.org/Prunus/Prunus_persica/p.persica_gdr_reftransV1_0032048","p.persica_gdr_reftransV1_0032048")</f>
        <v>p.persica_gdr_reftransV1_0032048</v>
      </c>
      <c r="B7048" s="2">
        <v>2300</v>
      </c>
      <c r="C7048" s="4" t="str">
        <f>HYPERLINK("http://www.uniprot.org/uniprot/M5XDM6","M5XDM6")</f>
        <v>M5XDM6</v>
      </c>
      <c r="D7048" s="2" t="s">
        <v>6301</v>
      </c>
      <c r="E7048" s="3">
        <v>0</v>
      </c>
      <c r="F7048" s="2">
        <v>1425</v>
      </c>
      <c r="G7048" s="2">
        <v>100</v>
      </c>
      <c r="H7048" s="2">
        <v>305</v>
      </c>
      <c r="I7048" s="2">
        <v>1071</v>
      </c>
      <c r="J7048" s="2">
        <v>1985</v>
      </c>
      <c r="K7048" s="2">
        <v>186</v>
      </c>
      <c r="L7048" s="2">
        <v>490</v>
      </c>
    </row>
    <row r="7049" spans="1:12" x14ac:dyDescent="0.25">
      <c r="A7049" s="4" t="str">
        <f>HYPERLINK("http://www.rosaceae.org/Prunus/Prunus_persica/p.persica_gdr_reftransV1_0032748","p.persica_gdr_reftransV1_0032748")</f>
        <v>p.persica_gdr_reftransV1_0032748</v>
      </c>
      <c r="B7049" s="2">
        <v>2089</v>
      </c>
      <c r="C7049" s="4" t="str">
        <f>HYPERLINK("http://www.uniprot.org/uniprot/M5XRU6","M5XRU6")</f>
        <v>M5XRU6</v>
      </c>
      <c r="D7049" s="2" t="s">
        <v>6302</v>
      </c>
      <c r="E7049" s="3">
        <v>0</v>
      </c>
      <c r="F7049" s="2">
        <v>2077</v>
      </c>
      <c r="G7049" s="2">
        <v>100</v>
      </c>
      <c r="H7049" s="2">
        <v>427</v>
      </c>
      <c r="I7049" s="2">
        <v>808</v>
      </c>
      <c r="J7049" s="2">
        <v>2088</v>
      </c>
      <c r="K7049" s="2">
        <v>1</v>
      </c>
      <c r="L7049" s="2">
        <v>427</v>
      </c>
    </row>
    <row r="7050" spans="1:12" x14ac:dyDescent="0.25">
      <c r="A7050" s="4" t="str">
        <f>HYPERLINK("http://www.rosaceae.org/Prunus/Prunus_persica/p.persica_gdr_reftransV1_0033098","p.persica_gdr_reftransV1_0033098")</f>
        <v>p.persica_gdr_reftransV1_0033098</v>
      </c>
      <c r="B7050" s="2">
        <v>966</v>
      </c>
      <c r="C7050" s="4" t="str">
        <f>HYPERLINK("http://www.uniprot.org/uniprot/M5W1M5","M5W1M5")</f>
        <v>M5W1M5</v>
      </c>
      <c r="D7050" s="2" t="s">
        <v>694</v>
      </c>
      <c r="E7050" s="3">
        <v>2.7100000000000002E-60</v>
      </c>
      <c r="F7050" s="2">
        <v>511</v>
      </c>
      <c r="G7050" s="2">
        <v>100</v>
      </c>
      <c r="H7050" s="2">
        <v>122</v>
      </c>
      <c r="I7050" s="2">
        <v>221</v>
      </c>
      <c r="J7050" s="2">
        <v>586</v>
      </c>
      <c r="K7050" s="2">
        <v>25</v>
      </c>
      <c r="L7050" s="2">
        <v>146</v>
      </c>
    </row>
    <row r="7051" spans="1:12" x14ac:dyDescent="0.25">
      <c r="A7051" s="4" t="str">
        <f>HYPERLINK("http://www.rosaceae.org/Prunus/Prunus_persica/p.persica_gdr_reftransV1_0033448","p.persica_gdr_reftransV1_0033448")</f>
        <v>p.persica_gdr_reftransV1_0033448</v>
      </c>
      <c r="B7051" s="2">
        <v>1527</v>
      </c>
      <c r="C7051" s="4" t="str">
        <f>HYPERLINK("http://www.uniprot.org/uniprot/M5WFM5","M5WFM5")</f>
        <v>M5WFM5</v>
      </c>
      <c r="D7051" s="2" t="s">
        <v>6303</v>
      </c>
      <c r="E7051" s="3">
        <v>1.29E-88</v>
      </c>
      <c r="F7051" s="2">
        <v>754</v>
      </c>
      <c r="G7051" s="2">
        <v>100</v>
      </c>
      <c r="H7051" s="2">
        <v>143</v>
      </c>
      <c r="I7051" s="2">
        <v>635</v>
      </c>
      <c r="J7051" s="2">
        <v>1063</v>
      </c>
      <c r="K7051" s="2">
        <v>446</v>
      </c>
      <c r="L7051" s="2">
        <v>588</v>
      </c>
    </row>
    <row r="7052" spans="1:12" x14ac:dyDescent="0.25">
      <c r="A7052" s="4" t="str">
        <f>HYPERLINK("http://www.rosaceae.org/Prunus/Prunus_persica/p.persica_gdr_reftransV1_0033798","p.persica_gdr_reftransV1_0033798")</f>
        <v>p.persica_gdr_reftransV1_0033798</v>
      </c>
      <c r="B7052" s="2">
        <v>5417</v>
      </c>
      <c r="C7052" s="4" t="str">
        <f>HYPERLINK("http://www.uniprot.org/uniprot/M5XS10","M5XS10")</f>
        <v>M5XS10</v>
      </c>
      <c r="D7052" s="2" t="s">
        <v>6304</v>
      </c>
      <c r="E7052" s="3">
        <v>0</v>
      </c>
      <c r="F7052" s="2">
        <v>2154</v>
      </c>
      <c r="G7052" s="2">
        <v>94</v>
      </c>
      <c r="H7052" s="2">
        <v>438</v>
      </c>
      <c r="I7052" s="2">
        <v>240</v>
      </c>
      <c r="J7052" s="2">
        <v>1553</v>
      </c>
      <c r="K7052" s="2">
        <v>49</v>
      </c>
      <c r="L7052" s="2">
        <v>459</v>
      </c>
    </row>
    <row r="7053" spans="1:12" x14ac:dyDescent="0.25">
      <c r="A7053" s="4" t="str">
        <f>HYPERLINK("http://www.rosaceae.org/Prunus/Prunus_persica/p.persica_gdr_reftransV1_0034498","p.persica_gdr_reftransV1_0034498")</f>
        <v>p.persica_gdr_reftransV1_0034498</v>
      </c>
      <c r="B7053" s="2">
        <v>3082</v>
      </c>
      <c r="C7053" s="4" t="str">
        <f>HYPERLINK("http://www.uniprot.org/uniprot/M5VK90","M5VK90")</f>
        <v>M5VK90</v>
      </c>
      <c r="D7053" s="2" t="s">
        <v>6305</v>
      </c>
      <c r="E7053" s="3">
        <v>0</v>
      </c>
      <c r="F7053" s="2">
        <v>3963</v>
      </c>
      <c r="G7053" s="2">
        <v>99</v>
      </c>
      <c r="H7053" s="2">
        <v>742</v>
      </c>
      <c r="I7053" s="2">
        <v>302</v>
      </c>
      <c r="J7053" s="2">
        <v>2527</v>
      </c>
      <c r="K7053" s="2">
        <v>1</v>
      </c>
      <c r="L7053" s="2">
        <v>738</v>
      </c>
    </row>
    <row r="7054" spans="1:12" x14ac:dyDescent="0.25">
      <c r="A7054" s="4" t="str">
        <f>HYPERLINK("http://www.rosaceae.org/Prunus/Prunus_persica/p.persica_gdr_reftransV1_0035898","p.persica_gdr_reftransV1_0035898")</f>
        <v>p.persica_gdr_reftransV1_0035898</v>
      </c>
      <c r="B7054" s="2">
        <v>1324</v>
      </c>
      <c r="C7054" s="4" t="str">
        <f>HYPERLINK("http://www.uniprot.org/uniprot/M5W0I2","M5W0I2")</f>
        <v>M5W0I2</v>
      </c>
      <c r="D7054" s="2" t="s">
        <v>6306</v>
      </c>
      <c r="E7054" s="3">
        <v>0</v>
      </c>
      <c r="F7054" s="2">
        <v>1417</v>
      </c>
      <c r="G7054" s="2">
        <v>99</v>
      </c>
      <c r="H7054" s="2">
        <v>277</v>
      </c>
      <c r="I7054" s="2">
        <v>274</v>
      </c>
      <c r="J7054" s="2">
        <v>1104</v>
      </c>
      <c r="K7054" s="2">
        <v>1</v>
      </c>
      <c r="L7054" s="2">
        <v>277</v>
      </c>
    </row>
    <row r="7055" spans="1:12" x14ac:dyDescent="0.25">
      <c r="A7055" s="4" t="str">
        <f>HYPERLINK("http://www.rosaceae.org/Prunus/Prunus_persica/p.persica_gdr_reftransV1_0036598","p.persica_gdr_reftransV1_0036598")</f>
        <v>p.persica_gdr_reftransV1_0036598</v>
      </c>
      <c r="B7055" s="2">
        <v>3680</v>
      </c>
      <c r="C7055" s="4" t="str">
        <f>HYPERLINK("http://www.uniprot.org/uniprot/M5Y2W2","M5Y2W2")</f>
        <v>M5Y2W2</v>
      </c>
      <c r="D7055" s="2" t="s">
        <v>6307</v>
      </c>
      <c r="E7055" s="3">
        <v>0</v>
      </c>
      <c r="F7055" s="2">
        <v>2432</v>
      </c>
      <c r="G7055" s="2">
        <v>100</v>
      </c>
      <c r="H7055" s="2">
        <v>465</v>
      </c>
      <c r="I7055" s="2">
        <v>104</v>
      </c>
      <c r="J7055" s="2">
        <v>1498</v>
      </c>
      <c r="K7055" s="2">
        <v>1</v>
      </c>
      <c r="L7055" s="2">
        <v>465</v>
      </c>
    </row>
    <row r="7056" spans="1:12" x14ac:dyDescent="0.25">
      <c r="A7056" s="4" t="str">
        <f>HYPERLINK("http://www.rosaceae.org/Prunus/Prunus_persica/p.persica_gdr_reftransV1_0037298","p.persica_gdr_reftransV1_0037298")</f>
        <v>p.persica_gdr_reftransV1_0037298</v>
      </c>
      <c r="B7056" s="2">
        <v>1331</v>
      </c>
      <c r="C7056" s="4" t="str">
        <f>HYPERLINK("http://www.uniprot.org/uniprot/M5VTK2","M5VTK2")</f>
        <v>M5VTK2</v>
      </c>
      <c r="D7056" s="2" t="s">
        <v>2377</v>
      </c>
      <c r="E7056" s="3">
        <v>2.89E-115</v>
      </c>
      <c r="F7056" s="2">
        <v>656</v>
      </c>
      <c r="G7056" s="2">
        <v>89</v>
      </c>
      <c r="H7056" s="2">
        <v>170</v>
      </c>
      <c r="I7056" s="2">
        <v>443</v>
      </c>
      <c r="J7056" s="2">
        <v>931</v>
      </c>
      <c r="K7056" s="2">
        <v>1</v>
      </c>
      <c r="L7056" s="2">
        <v>170</v>
      </c>
    </row>
    <row r="7057" spans="1:12" x14ac:dyDescent="0.25">
      <c r="A7057" s="4" t="str">
        <f>HYPERLINK("http://www.rosaceae.org/Prunus/Prunus_persica/p.persica_gdr_reftransV1_0037998","p.persica_gdr_reftransV1_0037998")</f>
        <v>p.persica_gdr_reftransV1_0037998</v>
      </c>
      <c r="B7057" s="2">
        <v>1835</v>
      </c>
      <c r="C7057" s="4" t="str">
        <f>HYPERLINK("http://www.uniprot.org/uniprot/M5WA43","M5WA43")</f>
        <v>M5WA43</v>
      </c>
      <c r="D7057" s="2" t="s">
        <v>6308</v>
      </c>
      <c r="E7057" s="3">
        <v>3.7200000000000001E-91</v>
      </c>
      <c r="F7057" s="2">
        <v>756</v>
      </c>
      <c r="G7057" s="2">
        <v>99</v>
      </c>
      <c r="H7057" s="2">
        <v>150</v>
      </c>
      <c r="I7057" s="2">
        <v>376</v>
      </c>
      <c r="J7057" s="2">
        <v>825</v>
      </c>
      <c r="K7057" s="2">
        <v>156</v>
      </c>
      <c r="L7057" s="2">
        <v>305</v>
      </c>
    </row>
    <row r="7058" spans="1:12" x14ac:dyDescent="0.25">
      <c r="A7058" s="4" t="str">
        <f>HYPERLINK("http://www.rosaceae.org/Prunus/Prunus_persica/p.persica_gdr_reftransV1_0038348","p.persica_gdr_reftransV1_0038348")</f>
        <v>p.persica_gdr_reftransV1_0038348</v>
      </c>
      <c r="B7058" s="2">
        <v>4285</v>
      </c>
      <c r="C7058" s="4" t="str">
        <f>HYPERLINK("http://www.uniprot.org/uniprot/M5WQP6","M5WQP6")</f>
        <v>M5WQP6</v>
      </c>
      <c r="D7058" s="2" t="s">
        <v>6309</v>
      </c>
      <c r="E7058" s="3">
        <v>0</v>
      </c>
      <c r="F7058" s="2">
        <v>2039</v>
      </c>
      <c r="G7058" s="2">
        <v>100</v>
      </c>
      <c r="H7058" s="2">
        <v>376</v>
      </c>
      <c r="I7058" s="2">
        <v>2589</v>
      </c>
      <c r="J7058" s="2">
        <v>3716</v>
      </c>
      <c r="K7058" s="2">
        <v>1</v>
      </c>
      <c r="L7058" s="2">
        <v>376</v>
      </c>
    </row>
    <row r="7059" spans="1:12" x14ac:dyDescent="0.25">
      <c r="A7059" s="4" t="str">
        <f>HYPERLINK("http://www.rosaceae.org/Prunus/Prunus_persica/p.persica_gdr_reftransV1_0041498","p.persica_gdr_reftransV1_0041498")</f>
        <v>p.persica_gdr_reftransV1_0041498</v>
      </c>
      <c r="B7059" s="2">
        <v>3604</v>
      </c>
      <c r="C7059" s="4" t="str">
        <f>HYPERLINK("http://www.uniprot.org/uniprot/M5XIL9","M5XIL9")</f>
        <v>M5XIL9</v>
      </c>
      <c r="D7059" s="2" t="s">
        <v>6310</v>
      </c>
      <c r="E7059" s="3">
        <v>0</v>
      </c>
      <c r="F7059" s="2">
        <v>3853</v>
      </c>
      <c r="G7059" s="2">
        <v>100</v>
      </c>
      <c r="H7059" s="2">
        <v>774</v>
      </c>
      <c r="I7059" s="2">
        <v>366</v>
      </c>
      <c r="J7059" s="2">
        <v>2687</v>
      </c>
      <c r="K7059" s="2">
        <v>1</v>
      </c>
      <c r="L7059" s="2">
        <v>774</v>
      </c>
    </row>
    <row r="7060" spans="1:12" x14ac:dyDescent="0.25">
      <c r="A7060" s="4" t="str">
        <f>HYPERLINK("http://www.rosaceae.org/Prunus/Prunus_persica/p.persica_gdr_reftransV1_0041848","p.persica_gdr_reftransV1_0041848")</f>
        <v>p.persica_gdr_reftransV1_0041848</v>
      </c>
      <c r="B7060" s="2">
        <v>2333</v>
      </c>
      <c r="C7060" s="4" t="str">
        <f>HYPERLINK("http://www.uniprot.org/uniprot/M5XCG7","M5XCG7")</f>
        <v>M5XCG7</v>
      </c>
      <c r="D7060" s="2" t="s">
        <v>6311</v>
      </c>
      <c r="E7060" s="3">
        <v>0</v>
      </c>
      <c r="F7060" s="2">
        <v>1378</v>
      </c>
      <c r="G7060" s="2">
        <v>88</v>
      </c>
      <c r="H7060" s="2">
        <v>324</v>
      </c>
      <c r="I7060" s="2">
        <v>55</v>
      </c>
      <c r="J7060" s="2">
        <v>1026</v>
      </c>
      <c r="K7060" s="2">
        <v>1</v>
      </c>
      <c r="L7060" s="2">
        <v>285</v>
      </c>
    </row>
    <row r="7061" spans="1:12" x14ac:dyDescent="0.25">
      <c r="A7061" s="4" t="str">
        <f>HYPERLINK("http://www.rosaceae.org/Prunus/Prunus_persica/p.persica_gdr_reftransV1_0043248","p.persica_gdr_reftransV1_0043248")</f>
        <v>p.persica_gdr_reftransV1_0043248</v>
      </c>
      <c r="B7061" s="2">
        <v>417</v>
      </c>
      <c r="C7061" s="4" t="str">
        <f>HYPERLINK("http://www.uniprot.org/uniprot/M5Y489","M5Y489")</f>
        <v>M5Y489</v>
      </c>
      <c r="D7061" s="2" t="s">
        <v>1199</v>
      </c>
      <c r="E7061" s="3">
        <v>3.67E-68</v>
      </c>
      <c r="F7061" s="2">
        <v>593</v>
      </c>
      <c r="G7061" s="2">
        <v>100</v>
      </c>
      <c r="H7061" s="2">
        <v>125</v>
      </c>
      <c r="I7061" s="2">
        <v>43</v>
      </c>
      <c r="J7061" s="2">
        <v>417</v>
      </c>
      <c r="K7061" s="2">
        <v>1003</v>
      </c>
      <c r="L7061" s="2">
        <v>1127</v>
      </c>
    </row>
    <row r="7062" spans="1:12" x14ac:dyDescent="0.25">
      <c r="A7062" s="4" t="str">
        <f>HYPERLINK("http://www.rosaceae.org/Prunus/Prunus_persica/p.persica_gdr_reftransV1_0043598","p.persica_gdr_reftransV1_0043598")</f>
        <v>p.persica_gdr_reftransV1_0043598</v>
      </c>
      <c r="B7062" s="2">
        <v>1426</v>
      </c>
      <c r="C7062" s="4" t="str">
        <f>HYPERLINK("http://www.uniprot.org/uniprot/M5W0X6","M5W0X6")</f>
        <v>M5W0X6</v>
      </c>
      <c r="D7062" s="2" t="s">
        <v>6312</v>
      </c>
      <c r="E7062" s="3">
        <v>0</v>
      </c>
      <c r="F7062" s="2">
        <v>1952</v>
      </c>
      <c r="G7062" s="2">
        <v>95</v>
      </c>
      <c r="H7062" s="2">
        <v>413</v>
      </c>
      <c r="I7062" s="2">
        <v>2</v>
      </c>
      <c r="J7062" s="2">
        <v>1240</v>
      </c>
      <c r="K7062" s="2">
        <v>290</v>
      </c>
      <c r="L7062" s="2">
        <v>696</v>
      </c>
    </row>
    <row r="7063" spans="1:12" x14ac:dyDescent="0.25">
      <c r="A7063" s="4" t="str">
        <f>HYPERLINK("http://www.rosaceae.org/Prunus/Prunus_persica/p.persica_gdr_reftransV1_0043948","p.persica_gdr_reftransV1_0043948")</f>
        <v>p.persica_gdr_reftransV1_0043948</v>
      </c>
      <c r="B7063" s="2">
        <v>1141</v>
      </c>
      <c r="C7063" s="4" t="str">
        <f>HYPERLINK("http://www.uniprot.org/uniprot/M5X3Q2","M5X3Q2")</f>
        <v>M5X3Q2</v>
      </c>
      <c r="D7063" s="2" t="s">
        <v>6313</v>
      </c>
      <c r="E7063" s="3">
        <v>0</v>
      </c>
      <c r="F7063" s="2">
        <v>1715</v>
      </c>
      <c r="G7063" s="2">
        <v>100</v>
      </c>
      <c r="H7063" s="2">
        <v>337</v>
      </c>
      <c r="I7063" s="2">
        <v>3</v>
      </c>
      <c r="J7063" s="2">
        <v>1013</v>
      </c>
      <c r="K7063" s="2">
        <v>44</v>
      </c>
      <c r="L7063" s="2">
        <v>380</v>
      </c>
    </row>
    <row r="7064" spans="1:12" x14ac:dyDescent="0.25">
      <c r="A7064" s="4" t="str">
        <f>HYPERLINK("http://www.rosaceae.org/Prunus/Prunus_persica/p.persica_gdr_reftransV1_0044648","p.persica_gdr_reftransV1_0044648")</f>
        <v>p.persica_gdr_reftransV1_0044648</v>
      </c>
      <c r="B7064" s="2">
        <v>1677</v>
      </c>
      <c r="C7064" s="4" t="str">
        <f>HYPERLINK("http://www.uniprot.org/uniprot/M5WZY6","M5WZY6")</f>
        <v>M5WZY6</v>
      </c>
      <c r="D7064" s="2" t="s">
        <v>6314</v>
      </c>
      <c r="E7064" s="3">
        <v>0</v>
      </c>
      <c r="F7064" s="2">
        <v>2014</v>
      </c>
      <c r="G7064" s="2">
        <v>88</v>
      </c>
      <c r="H7064" s="2">
        <v>433</v>
      </c>
      <c r="I7064" s="2">
        <v>185</v>
      </c>
      <c r="J7064" s="2">
        <v>1444</v>
      </c>
      <c r="K7064" s="2">
        <v>1</v>
      </c>
      <c r="L7064" s="2">
        <v>433</v>
      </c>
    </row>
    <row r="7065" spans="1:12" x14ac:dyDescent="0.25">
      <c r="A7065" s="4" t="str">
        <f>HYPERLINK("http://www.rosaceae.org/Prunus/Prunus_persica/p.persica_gdr_reftransV1_0044998","p.persica_gdr_reftransV1_0044998")</f>
        <v>p.persica_gdr_reftransV1_0044998</v>
      </c>
      <c r="B7065" s="2">
        <v>353</v>
      </c>
      <c r="C7065" s="4" t="str">
        <f>HYPERLINK("http://www.uniprot.org/uniprot/M5XDV7","M5XDV7")</f>
        <v>M5XDV7</v>
      </c>
      <c r="D7065" s="2" t="s">
        <v>6315</v>
      </c>
      <c r="E7065" s="3">
        <v>2.0400000000000001E-62</v>
      </c>
      <c r="F7065" s="2">
        <v>514</v>
      </c>
      <c r="G7065" s="2">
        <v>100</v>
      </c>
      <c r="H7065" s="2">
        <v>100</v>
      </c>
      <c r="I7065" s="2">
        <v>3</v>
      </c>
      <c r="J7065" s="2">
        <v>302</v>
      </c>
      <c r="K7065" s="2">
        <v>165</v>
      </c>
      <c r="L7065" s="2">
        <v>264</v>
      </c>
    </row>
    <row r="7066" spans="1:12" x14ac:dyDescent="0.25">
      <c r="A7066" s="4" t="str">
        <f>HYPERLINK("http://www.rosaceae.org/Prunus/Prunus_persica/p.persica_gdr_reftransV1_0045348","p.persica_gdr_reftransV1_0045348")</f>
        <v>p.persica_gdr_reftransV1_0045348</v>
      </c>
      <c r="B7066" s="2">
        <v>976</v>
      </c>
      <c r="C7066" s="4" t="str">
        <f>HYPERLINK("http://www.uniprot.org/uniprot/M5X0Z1","M5X0Z1")</f>
        <v>M5X0Z1</v>
      </c>
      <c r="D7066" s="2" t="s">
        <v>6316</v>
      </c>
      <c r="E7066" s="3">
        <v>0</v>
      </c>
      <c r="F7066" s="2">
        <v>1411</v>
      </c>
      <c r="G7066" s="2">
        <v>100</v>
      </c>
      <c r="H7066" s="2">
        <v>278</v>
      </c>
      <c r="I7066" s="2">
        <v>3</v>
      </c>
      <c r="J7066" s="2">
        <v>836</v>
      </c>
      <c r="K7066" s="2">
        <v>201</v>
      </c>
      <c r="L7066" s="2">
        <v>478</v>
      </c>
    </row>
    <row r="7067" spans="1:12" x14ac:dyDescent="0.25">
      <c r="A7067" s="4" t="str">
        <f>HYPERLINK("http://www.rosaceae.org/Prunus/Prunus_persica/p.persica_gdr_reftransV1_0045698","p.persica_gdr_reftransV1_0045698")</f>
        <v>p.persica_gdr_reftransV1_0045698</v>
      </c>
      <c r="B7067" s="2">
        <v>1021</v>
      </c>
      <c r="C7067" s="4" t="str">
        <f>HYPERLINK("http://www.uniprot.org/uniprot/M5WCA4","M5WCA4")</f>
        <v>M5WCA4</v>
      </c>
      <c r="D7067" s="2" t="s">
        <v>6317</v>
      </c>
      <c r="E7067" s="3">
        <v>0</v>
      </c>
      <c r="F7067" s="2">
        <v>1480</v>
      </c>
      <c r="G7067" s="2">
        <v>100</v>
      </c>
      <c r="H7067" s="2">
        <v>275</v>
      </c>
      <c r="I7067" s="2">
        <v>111</v>
      </c>
      <c r="J7067" s="2">
        <v>935</v>
      </c>
      <c r="K7067" s="2">
        <v>1</v>
      </c>
      <c r="L7067" s="2">
        <v>275</v>
      </c>
    </row>
    <row r="7068" spans="1:12" x14ac:dyDescent="0.25">
      <c r="A7068" s="4" t="str">
        <f>HYPERLINK("http://www.rosaceae.org/Prunus/Prunus_persica/p.persica_gdr_reftransV1_0046048","p.persica_gdr_reftransV1_0046048")</f>
        <v>p.persica_gdr_reftransV1_0046048</v>
      </c>
      <c r="B7068" s="2">
        <v>1190</v>
      </c>
      <c r="C7068" s="4" t="str">
        <f>HYPERLINK("http://www.uniprot.org/uniprot/M5X4P5","M5X4P5")</f>
        <v>M5X4P5</v>
      </c>
      <c r="D7068" s="2" t="s">
        <v>6318</v>
      </c>
      <c r="E7068" s="3">
        <v>0</v>
      </c>
      <c r="F7068" s="2">
        <v>1655</v>
      </c>
      <c r="G7068" s="2">
        <v>100</v>
      </c>
      <c r="H7068" s="2">
        <v>311</v>
      </c>
      <c r="I7068" s="2">
        <v>3</v>
      </c>
      <c r="J7068" s="2">
        <v>935</v>
      </c>
      <c r="K7068" s="2">
        <v>1</v>
      </c>
      <c r="L7068" s="2">
        <v>311</v>
      </c>
    </row>
    <row r="7069" spans="1:12" x14ac:dyDescent="0.25">
      <c r="A7069" s="4" t="str">
        <f>HYPERLINK("http://www.rosaceae.org/Prunus/Prunus_persica/p.persica_gdr_reftransV1_0046398","p.persica_gdr_reftransV1_0046398")</f>
        <v>p.persica_gdr_reftransV1_0046398</v>
      </c>
      <c r="B7069" s="2">
        <v>1532</v>
      </c>
      <c r="C7069" s="4" t="str">
        <f>HYPERLINK("http://www.uniprot.org/uniprot/M5VYI9","M5VYI9")</f>
        <v>M5VYI9</v>
      </c>
      <c r="D7069" s="2" t="s">
        <v>3918</v>
      </c>
      <c r="E7069" s="3">
        <v>0</v>
      </c>
      <c r="F7069" s="2">
        <v>1958</v>
      </c>
      <c r="G7069" s="2">
        <v>98</v>
      </c>
      <c r="H7069" s="2">
        <v>411</v>
      </c>
      <c r="I7069" s="2">
        <v>275</v>
      </c>
      <c r="J7069" s="2">
        <v>1507</v>
      </c>
      <c r="K7069" s="2">
        <v>1</v>
      </c>
      <c r="L7069" s="2">
        <v>401</v>
      </c>
    </row>
    <row r="7070" spans="1:12" x14ac:dyDescent="0.25">
      <c r="A7070" s="4" t="str">
        <f>HYPERLINK("http://www.rosaceae.org/Prunus/Prunus_persica/p.persica_gdr_reftransV1_0046748","p.persica_gdr_reftransV1_0046748")</f>
        <v>p.persica_gdr_reftransV1_0046748</v>
      </c>
      <c r="B7070" s="2">
        <v>1954</v>
      </c>
      <c r="C7070" s="4" t="str">
        <f>HYPERLINK("http://www.uniprot.org/uniprot/M5WHC5","M5WHC5")</f>
        <v>M5WHC5</v>
      </c>
      <c r="D7070" s="2" t="s">
        <v>6319</v>
      </c>
      <c r="E7070" s="3">
        <v>0</v>
      </c>
      <c r="F7070" s="2">
        <v>2447</v>
      </c>
      <c r="G7070" s="2">
        <v>100</v>
      </c>
      <c r="H7070" s="2">
        <v>472</v>
      </c>
      <c r="I7070" s="2">
        <v>329</v>
      </c>
      <c r="J7070" s="2">
        <v>1744</v>
      </c>
      <c r="K7070" s="2">
        <v>18</v>
      </c>
      <c r="L7070" s="2">
        <v>488</v>
      </c>
    </row>
    <row r="7071" spans="1:12" x14ac:dyDescent="0.25">
      <c r="A7071" s="4" t="str">
        <f>HYPERLINK("http://www.rosaceae.org/Prunus/Prunus_persica/p.persica_gdr_reftransV1_0047098","p.persica_gdr_reftransV1_0047098")</f>
        <v>p.persica_gdr_reftransV1_0047098</v>
      </c>
      <c r="B7071" s="2">
        <v>1113</v>
      </c>
      <c r="C7071" s="4" t="str">
        <f>HYPERLINK("http://www.uniprot.org/uniprot/M5WIZ9","M5WIZ9")</f>
        <v>M5WIZ9</v>
      </c>
      <c r="D7071" s="2" t="s">
        <v>6320</v>
      </c>
      <c r="E7071" s="3">
        <v>4.9100000000000001E-165</v>
      </c>
      <c r="F7071" s="2">
        <v>1218</v>
      </c>
      <c r="G7071" s="2">
        <v>100</v>
      </c>
      <c r="H7071" s="2">
        <v>230</v>
      </c>
      <c r="I7071" s="2">
        <v>191</v>
      </c>
      <c r="J7071" s="2">
        <v>880</v>
      </c>
      <c r="K7071" s="2">
        <v>14</v>
      </c>
      <c r="L7071" s="2">
        <v>243</v>
      </c>
    </row>
    <row r="7072" spans="1:12" x14ac:dyDescent="0.25">
      <c r="A7072" s="4" t="str">
        <f>HYPERLINK("http://www.rosaceae.org/Prunus/Prunus_persica/p.persica_gdr_reftransV1_0047448","p.persica_gdr_reftransV1_0047448")</f>
        <v>p.persica_gdr_reftransV1_0047448</v>
      </c>
      <c r="B7072" s="2">
        <v>935</v>
      </c>
      <c r="C7072" s="4" t="str">
        <f>HYPERLINK("http://www.uniprot.org/uniprot/M5WKJ5","M5WKJ5")</f>
        <v>M5WKJ5</v>
      </c>
      <c r="D7072" s="2" t="s">
        <v>6321</v>
      </c>
      <c r="E7072" s="3">
        <v>8.1900000000000004E-71</v>
      </c>
      <c r="F7072" s="2">
        <v>578</v>
      </c>
      <c r="G7072" s="2">
        <v>100</v>
      </c>
      <c r="H7072" s="2">
        <v>133</v>
      </c>
      <c r="I7072" s="2">
        <v>202</v>
      </c>
      <c r="J7072" s="2">
        <v>600</v>
      </c>
      <c r="K7072" s="2">
        <v>1</v>
      </c>
      <c r="L7072" s="2">
        <v>133</v>
      </c>
    </row>
    <row r="7073" spans="1:12" x14ac:dyDescent="0.25">
      <c r="A7073" s="4" t="str">
        <f>HYPERLINK("http://www.rosaceae.org/Prunus/Prunus_persica/p.persica_gdr_reftransV1_0047798","p.persica_gdr_reftransV1_0047798")</f>
        <v>p.persica_gdr_reftransV1_0047798</v>
      </c>
      <c r="B7073" s="2">
        <v>8234</v>
      </c>
      <c r="C7073" s="4" t="str">
        <f>HYPERLINK("http://www.uniprot.org/uniprot/M5XGV7","M5XGV7")</f>
        <v>M5XGV7</v>
      </c>
      <c r="D7073" s="2" t="s">
        <v>1943</v>
      </c>
      <c r="E7073" s="3">
        <v>0</v>
      </c>
      <c r="F7073" s="2">
        <v>13524</v>
      </c>
      <c r="G7073" s="2">
        <v>97</v>
      </c>
      <c r="H7073" s="2">
        <v>2697</v>
      </c>
      <c r="I7073" s="2">
        <v>218</v>
      </c>
      <c r="J7073" s="2">
        <v>8233</v>
      </c>
      <c r="K7073" s="2">
        <v>2614</v>
      </c>
      <c r="L7073" s="2">
        <v>5245</v>
      </c>
    </row>
    <row r="7074" spans="1:12" x14ac:dyDescent="0.25">
      <c r="A7074" s="4" t="str">
        <f>HYPERLINK("http://www.rosaceae.org/Prunus/Prunus_persica/p.persica_gdr_reftransV1_0048148","p.persica_gdr_reftransV1_0048148")</f>
        <v>p.persica_gdr_reftransV1_0048148</v>
      </c>
      <c r="B7074" s="2">
        <v>961</v>
      </c>
      <c r="C7074" s="4" t="str">
        <f>HYPERLINK("http://www.uniprot.org/uniprot/Q58A12","Q58A12")</f>
        <v>Q58A12</v>
      </c>
      <c r="D7074" s="2" t="s">
        <v>6322</v>
      </c>
      <c r="E7074" s="3">
        <v>5.4600000000000002E-19</v>
      </c>
      <c r="F7074" s="2">
        <v>224</v>
      </c>
      <c r="G7074" s="2">
        <v>64</v>
      </c>
      <c r="H7074" s="2">
        <v>69</v>
      </c>
      <c r="I7074" s="2">
        <v>451</v>
      </c>
      <c r="J7074" s="2">
        <v>657</v>
      </c>
      <c r="K7074" s="2">
        <v>38</v>
      </c>
      <c r="L7074" s="2">
        <v>106</v>
      </c>
    </row>
    <row r="7075" spans="1:12" x14ac:dyDescent="0.25">
      <c r="A7075" s="4" t="str">
        <f>HYPERLINK("http://www.rosaceae.org/Prunus/Prunus_persica/p.persica_gdr_reftransV1_0048498","p.persica_gdr_reftransV1_0048498")</f>
        <v>p.persica_gdr_reftransV1_0048498</v>
      </c>
      <c r="B7075" s="2">
        <v>3133</v>
      </c>
      <c r="C7075" s="4" t="str">
        <f>HYPERLINK("http://www.uniprot.org/uniprot/M5VMJ9","M5VMJ9")</f>
        <v>M5VMJ9</v>
      </c>
      <c r="D7075" s="2" t="s">
        <v>6123</v>
      </c>
      <c r="E7075" s="3">
        <v>0</v>
      </c>
      <c r="F7075" s="2">
        <v>2623</v>
      </c>
      <c r="G7075" s="2">
        <v>100</v>
      </c>
      <c r="H7075" s="2">
        <v>549</v>
      </c>
      <c r="I7075" s="2">
        <v>1271</v>
      </c>
      <c r="J7075" s="2">
        <v>2917</v>
      </c>
      <c r="K7075" s="2">
        <v>373</v>
      </c>
      <c r="L7075" s="2">
        <v>921</v>
      </c>
    </row>
    <row r="7076" spans="1:12" x14ac:dyDescent="0.25">
      <c r="A7076" s="4" t="str">
        <f>HYPERLINK("http://www.rosaceae.org/Prunus/Prunus_persica/p.persica_gdr_reftransV1_0048848","p.persica_gdr_reftransV1_0048848")</f>
        <v>p.persica_gdr_reftransV1_0048848</v>
      </c>
      <c r="B7076" s="2">
        <v>823</v>
      </c>
      <c r="C7076" s="4" t="str">
        <f>HYPERLINK("http://www.uniprot.org/uniprot/M5WKN8","M5WKN8")</f>
        <v>M5WKN8</v>
      </c>
      <c r="D7076" s="2" t="s">
        <v>3284</v>
      </c>
      <c r="E7076" s="3">
        <v>0</v>
      </c>
      <c r="F7076" s="2">
        <v>1391</v>
      </c>
      <c r="G7076" s="2">
        <v>100</v>
      </c>
      <c r="H7076" s="2">
        <v>273</v>
      </c>
      <c r="I7076" s="2">
        <v>5</v>
      </c>
      <c r="J7076" s="2">
        <v>823</v>
      </c>
      <c r="K7076" s="2">
        <v>249</v>
      </c>
      <c r="L7076" s="2">
        <v>521</v>
      </c>
    </row>
    <row r="7077" spans="1:12" x14ac:dyDescent="0.25">
      <c r="A7077" s="4" t="str">
        <f>HYPERLINK("http://www.rosaceae.org/Prunus/Prunus_persica/p.persica_gdr_reftransV1_0049198","p.persica_gdr_reftransV1_0049198")</f>
        <v>p.persica_gdr_reftransV1_0049198</v>
      </c>
      <c r="B7077" s="2">
        <v>798</v>
      </c>
      <c r="C7077" s="4" t="str">
        <f>HYPERLINK("http://www.uniprot.org/uniprot/M5XY16","M5XY16")</f>
        <v>M5XY16</v>
      </c>
      <c r="D7077" s="2" t="s">
        <v>2076</v>
      </c>
      <c r="E7077" s="3">
        <v>8.4400000000000003E-107</v>
      </c>
      <c r="F7077" s="2">
        <v>894</v>
      </c>
      <c r="G7077" s="2">
        <v>100</v>
      </c>
      <c r="H7077" s="2">
        <v>187</v>
      </c>
      <c r="I7077" s="2">
        <v>227</v>
      </c>
      <c r="J7077" s="2">
        <v>787</v>
      </c>
      <c r="K7077" s="2">
        <v>1308</v>
      </c>
      <c r="L7077" s="2">
        <v>1494</v>
      </c>
    </row>
    <row r="7078" spans="1:12" x14ac:dyDescent="0.25">
      <c r="A7078" s="4" t="str">
        <f>HYPERLINK("http://www.rosaceae.org/Prunus/Prunus_persica/p.persica_gdr_reftransV1_0000549","p.persica_gdr_reftransV1_0000549")</f>
        <v>p.persica_gdr_reftransV1_0000549</v>
      </c>
      <c r="B7078" s="2">
        <v>1183</v>
      </c>
      <c r="C7078" s="4" t="str">
        <f>HYPERLINK("http://www.uniprot.org/uniprot/A0A067GDW9","A0A067GDW9")</f>
        <v>A0A067GDW9</v>
      </c>
      <c r="D7078" s="2" t="s">
        <v>6323</v>
      </c>
      <c r="E7078" s="3">
        <v>4.8900000000000001E-90</v>
      </c>
      <c r="F7078" s="2">
        <v>733</v>
      </c>
      <c r="G7078" s="2">
        <v>55</v>
      </c>
      <c r="H7078" s="2">
        <v>300</v>
      </c>
      <c r="I7078" s="2">
        <v>2</v>
      </c>
      <c r="J7078" s="2">
        <v>877</v>
      </c>
      <c r="K7078" s="2">
        <v>31</v>
      </c>
      <c r="L7078" s="2">
        <v>327</v>
      </c>
    </row>
    <row r="7079" spans="1:12" x14ac:dyDescent="0.25">
      <c r="A7079" s="4" t="str">
        <f>HYPERLINK("http://www.rosaceae.org/Prunus/Prunus_persica/p.persica_gdr_reftransV1_0000899","p.persica_gdr_reftransV1_0000899")</f>
        <v>p.persica_gdr_reftransV1_0000899</v>
      </c>
      <c r="B7079" s="2">
        <v>1874</v>
      </c>
      <c r="C7079" s="4" t="str">
        <f>HYPERLINK("http://www.uniprot.org/uniprot/M5W3F9","M5W3F9")</f>
        <v>M5W3F9</v>
      </c>
      <c r="D7079" s="2" t="s">
        <v>6324</v>
      </c>
      <c r="E7079" s="3">
        <v>0</v>
      </c>
      <c r="F7079" s="2">
        <v>2471</v>
      </c>
      <c r="G7079" s="2">
        <v>88</v>
      </c>
      <c r="H7079" s="2">
        <v>525</v>
      </c>
      <c r="I7079" s="2">
        <v>204</v>
      </c>
      <c r="J7079" s="2">
        <v>1778</v>
      </c>
      <c r="K7079" s="2">
        <v>1</v>
      </c>
      <c r="L7079" s="2">
        <v>515</v>
      </c>
    </row>
    <row r="7080" spans="1:12" x14ac:dyDescent="0.25">
      <c r="A7080" s="4" t="str">
        <f>HYPERLINK("http://www.rosaceae.org/Prunus/Prunus_persica/p.persica_gdr_reftransV1_0001249","p.persica_gdr_reftransV1_0001249")</f>
        <v>p.persica_gdr_reftransV1_0001249</v>
      </c>
      <c r="B7080" s="2">
        <v>960</v>
      </c>
      <c r="C7080" s="4" t="str">
        <f>HYPERLINK("http://www.uniprot.org/uniprot/M5XHX6","M5XHX6")</f>
        <v>M5XHX6</v>
      </c>
      <c r="D7080" s="2" t="s">
        <v>6325</v>
      </c>
      <c r="E7080" s="3">
        <v>1.3E-160</v>
      </c>
      <c r="F7080" s="2">
        <v>1182</v>
      </c>
      <c r="G7080" s="2">
        <v>100</v>
      </c>
      <c r="H7080" s="2">
        <v>220</v>
      </c>
      <c r="I7080" s="2">
        <v>291</v>
      </c>
      <c r="J7080" s="2">
        <v>950</v>
      </c>
      <c r="K7080" s="2">
        <v>4</v>
      </c>
      <c r="L7080" s="2">
        <v>223</v>
      </c>
    </row>
    <row r="7081" spans="1:12" x14ac:dyDescent="0.25">
      <c r="A7081" s="4" t="str">
        <f>HYPERLINK("http://www.rosaceae.org/Prunus/Prunus_persica/p.persica_gdr_reftransV1_0001599","p.persica_gdr_reftransV1_0001599")</f>
        <v>p.persica_gdr_reftransV1_0001599</v>
      </c>
      <c r="B7081" s="2">
        <v>1073</v>
      </c>
      <c r="C7081" s="4" t="str">
        <f>HYPERLINK("http://www.uniprot.org/uniprot/M5WQ22","M5WQ22")</f>
        <v>M5WQ22</v>
      </c>
      <c r="D7081" s="2" t="s">
        <v>6326</v>
      </c>
      <c r="E7081" s="3">
        <v>0</v>
      </c>
      <c r="F7081" s="2">
        <v>1550</v>
      </c>
      <c r="G7081" s="2">
        <v>100</v>
      </c>
      <c r="H7081" s="2">
        <v>307</v>
      </c>
      <c r="I7081" s="2">
        <v>151</v>
      </c>
      <c r="J7081" s="2">
        <v>1071</v>
      </c>
      <c r="K7081" s="2">
        <v>14</v>
      </c>
      <c r="L7081" s="2">
        <v>320</v>
      </c>
    </row>
    <row r="7082" spans="1:12" x14ac:dyDescent="0.25">
      <c r="A7082" s="4" t="str">
        <f>HYPERLINK("http://www.rosaceae.org/Prunus/Prunus_persica/p.persica_gdr_reftransV1_0002649","p.persica_gdr_reftransV1_0002649")</f>
        <v>p.persica_gdr_reftransV1_0002649</v>
      </c>
      <c r="B7082" s="2">
        <v>308</v>
      </c>
      <c r="C7082" s="4" t="str">
        <f>HYPERLINK("http://www.uniprot.org/uniprot/M5X1Z9","M5X1Z9")</f>
        <v>M5X1Z9</v>
      </c>
      <c r="D7082" s="2" t="s">
        <v>6327</v>
      </c>
      <c r="E7082" s="3">
        <v>7.1299999999999999E-31</v>
      </c>
      <c r="F7082" s="2">
        <v>304</v>
      </c>
      <c r="G7082" s="2">
        <v>70</v>
      </c>
      <c r="H7082" s="2">
        <v>100</v>
      </c>
      <c r="I7082" s="2">
        <v>3</v>
      </c>
      <c r="J7082" s="2">
        <v>299</v>
      </c>
      <c r="K7082" s="2">
        <v>18</v>
      </c>
      <c r="L7082" s="2">
        <v>106</v>
      </c>
    </row>
    <row r="7083" spans="1:12" x14ac:dyDescent="0.25">
      <c r="A7083" s="4" t="str">
        <f>HYPERLINK("http://www.rosaceae.org/Prunus/Prunus_persica/p.persica_gdr_reftransV1_0002999","p.persica_gdr_reftransV1_0002999")</f>
        <v>p.persica_gdr_reftransV1_0002999</v>
      </c>
      <c r="B7083" s="2">
        <v>407</v>
      </c>
      <c r="C7083" s="4" t="str">
        <f>HYPERLINK("http://www.uniprot.org/uniprot/M5VUT3","M5VUT3")</f>
        <v>M5VUT3</v>
      </c>
      <c r="D7083" s="2" t="s">
        <v>270</v>
      </c>
      <c r="E7083" s="3">
        <v>1.35E-78</v>
      </c>
      <c r="F7083" s="2">
        <v>667</v>
      </c>
      <c r="G7083" s="2">
        <v>94</v>
      </c>
      <c r="H7083" s="2">
        <v>135</v>
      </c>
      <c r="I7083" s="2">
        <v>3</v>
      </c>
      <c r="J7083" s="2">
        <v>407</v>
      </c>
      <c r="K7083" s="2">
        <v>322</v>
      </c>
      <c r="L7083" s="2">
        <v>456</v>
      </c>
    </row>
    <row r="7084" spans="1:12" x14ac:dyDescent="0.25">
      <c r="A7084" s="4" t="str">
        <f>HYPERLINK("http://www.rosaceae.org/Prunus/Prunus_persica/p.persica_gdr_reftransV1_0004049","p.persica_gdr_reftransV1_0004049")</f>
        <v>p.persica_gdr_reftransV1_0004049</v>
      </c>
      <c r="B7084" s="2">
        <v>1530</v>
      </c>
      <c r="C7084" s="4" t="str">
        <f>HYPERLINK("http://www.uniprot.org/uniprot/C1J9J7","C1J9J7")</f>
        <v>C1J9J7</v>
      </c>
      <c r="D7084" s="2" t="s">
        <v>6328</v>
      </c>
      <c r="E7084" s="3">
        <v>1.9199999999999999E-165</v>
      </c>
      <c r="F7084" s="2">
        <v>1358</v>
      </c>
      <c r="G7084" s="2">
        <v>53</v>
      </c>
      <c r="H7084" s="2">
        <v>503</v>
      </c>
      <c r="I7084" s="2">
        <v>1</v>
      </c>
      <c r="J7084" s="2">
        <v>1500</v>
      </c>
      <c r="K7084" s="2">
        <v>736</v>
      </c>
      <c r="L7084" s="2">
        <v>1231</v>
      </c>
    </row>
    <row r="7085" spans="1:12" x14ac:dyDescent="0.25">
      <c r="A7085" s="4" t="str">
        <f>HYPERLINK("http://www.rosaceae.org/Prunus/Prunus_persica/p.persica_gdr_reftransV1_0004399","p.persica_gdr_reftransV1_0004399")</f>
        <v>p.persica_gdr_reftransV1_0004399</v>
      </c>
      <c r="B7085" s="2">
        <v>3655</v>
      </c>
      <c r="C7085" s="4" t="str">
        <f>HYPERLINK("http://www.uniprot.org/uniprot/M5X5X3","M5X5X3")</f>
        <v>M5X5X3</v>
      </c>
      <c r="D7085" s="2" t="s">
        <v>6329</v>
      </c>
      <c r="E7085" s="3">
        <v>0</v>
      </c>
      <c r="F7085" s="2">
        <v>3923</v>
      </c>
      <c r="G7085" s="2">
        <v>100</v>
      </c>
      <c r="H7085" s="2">
        <v>828</v>
      </c>
      <c r="I7085" s="2">
        <v>771</v>
      </c>
      <c r="J7085" s="2">
        <v>3254</v>
      </c>
      <c r="K7085" s="2">
        <v>1</v>
      </c>
      <c r="L7085" s="2">
        <v>828</v>
      </c>
    </row>
    <row r="7086" spans="1:12" x14ac:dyDescent="0.25">
      <c r="A7086" s="4" t="str">
        <f>HYPERLINK("http://www.rosaceae.org/Prunus/Prunus_persica/p.persica_gdr_reftransV1_0004749","p.persica_gdr_reftransV1_0004749")</f>
        <v>p.persica_gdr_reftransV1_0004749</v>
      </c>
      <c r="B7086" s="2">
        <v>559</v>
      </c>
      <c r="C7086" s="4" t="str">
        <f>HYPERLINK("http://www.uniprot.org/uniprot/B9RQL6","B9RQL6")</f>
        <v>B9RQL6</v>
      </c>
      <c r="D7086" s="2" t="s">
        <v>6330</v>
      </c>
      <c r="E7086" s="3">
        <v>1.81E-71</v>
      </c>
      <c r="F7086" s="2">
        <v>599</v>
      </c>
      <c r="G7086" s="2">
        <v>75</v>
      </c>
      <c r="H7086" s="2">
        <v>162</v>
      </c>
      <c r="I7086" s="2">
        <v>21</v>
      </c>
      <c r="J7086" s="2">
        <v>506</v>
      </c>
      <c r="K7086" s="2">
        <v>107</v>
      </c>
      <c r="L7086" s="2">
        <v>268</v>
      </c>
    </row>
    <row r="7087" spans="1:12" x14ac:dyDescent="0.25">
      <c r="A7087" s="4" t="str">
        <f>HYPERLINK("http://www.rosaceae.org/Prunus/Prunus_persica/p.persica_gdr_reftransV1_0005099","p.persica_gdr_reftransV1_0005099")</f>
        <v>p.persica_gdr_reftransV1_0005099</v>
      </c>
      <c r="B7087" s="2">
        <v>1944</v>
      </c>
      <c r="C7087" s="4" t="str">
        <f>HYPERLINK("http://www.uniprot.org/uniprot/M5VJH2","M5VJH2")</f>
        <v>M5VJH2</v>
      </c>
      <c r="D7087" s="2" t="s">
        <v>6331</v>
      </c>
      <c r="E7087" s="3">
        <v>0</v>
      </c>
      <c r="F7087" s="2">
        <v>3040</v>
      </c>
      <c r="G7087" s="2">
        <v>100</v>
      </c>
      <c r="H7087" s="2">
        <v>594</v>
      </c>
      <c r="I7087" s="2">
        <v>6</v>
      </c>
      <c r="J7087" s="2">
        <v>1787</v>
      </c>
      <c r="K7087" s="2">
        <v>32</v>
      </c>
      <c r="L7087" s="2">
        <v>625</v>
      </c>
    </row>
    <row r="7088" spans="1:12" x14ac:dyDescent="0.25">
      <c r="A7088" s="4" t="str">
        <f>HYPERLINK("http://www.rosaceae.org/Prunus/Prunus_persica/p.persica_gdr_reftransV1_0006499","p.persica_gdr_reftransV1_0006499")</f>
        <v>p.persica_gdr_reftransV1_0006499</v>
      </c>
      <c r="B7088" s="2">
        <v>1592</v>
      </c>
      <c r="C7088" s="4" t="str">
        <f>HYPERLINK("http://www.uniprot.org/uniprot/M5X0L4","M5X0L4")</f>
        <v>M5X0L4</v>
      </c>
      <c r="D7088" s="2" t="s">
        <v>6332</v>
      </c>
      <c r="E7088" s="3">
        <v>0</v>
      </c>
      <c r="F7088" s="2">
        <v>2290</v>
      </c>
      <c r="G7088" s="2">
        <v>100</v>
      </c>
      <c r="H7088" s="2">
        <v>458</v>
      </c>
      <c r="I7088" s="2">
        <v>85</v>
      </c>
      <c r="J7088" s="2">
        <v>1458</v>
      </c>
      <c r="K7088" s="2">
        <v>1</v>
      </c>
      <c r="L7088" s="2">
        <v>458</v>
      </c>
    </row>
    <row r="7089" spans="1:12" x14ac:dyDescent="0.25">
      <c r="A7089" s="4" t="str">
        <f>HYPERLINK("http://www.rosaceae.org/Prunus/Prunus_persica/p.persica_gdr_reftransV1_0007199","p.persica_gdr_reftransV1_0007199")</f>
        <v>p.persica_gdr_reftransV1_0007199</v>
      </c>
      <c r="B7089" s="2">
        <v>7708</v>
      </c>
      <c r="C7089" s="4" t="str">
        <f>HYPERLINK("http://www.uniprot.org/uniprot/M5VLW1","M5VLW1")</f>
        <v>M5VLW1</v>
      </c>
      <c r="D7089" s="2" t="s">
        <v>6333</v>
      </c>
      <c r="E7089" s="3">
        <v>0</v>
      </c>
      <c r="F7089" s="2">
        <v>12538</v>
      </c>
      <c r="G7089" s="2">
        <v>100</v>
      </c>
      <c r="H7089" s="2">
        <v>2470</v>
      </c>
      <c r="I7089" s="2">
        <v>266</v>
      </c>
      <c r="J7089" s="2">
        <v>7672</v>
      </c>
      <c r="K7089" s="2">
        <v>1</v>
      </c>
      <c r="L7089" s="2">
        <v>2470</v>
      </c>
    </row>
    <row r="7090" spans="1:12" x14ac:dyDescent="0.25">
      <c r="A7090" s="4" t="str">
        <f>HYPERLINK("http://www.rosaceae.org/Prunus/Prunus_persica/p.persica_gdr_reftransV1_0007549","p.persica_gdr_reftransV1_0007549")</f>
        <v>p.persica_gdr_reftransV1_0007549</v>
      </c>
      <c r="B7090" s="2">
        <v>2541</v>
      </c>
      <c r="C7090" s="4" t="str">
        <f>HYPERLINK("http://www.uniprot.org/uniprot/W9RTH5","W9RTH5")</f>
        <v>W9RTH5</v>
      </c>
      <c r="D7090" s="2" t="s">
        <v>6334</v>
      </c>
      <c r="E7090" s="3">
        <v>0</v>
      </c>
      <c r="F7090" s="2">
        <v>2857</v>
      </c>
      <c r="G7090" s="2">
        <v>71</v>
      </c>
      <c r="H7090" s="2">
        <v>751</v>
      </c>
      <c r="I7090" s="2">
        <v>2</v>
      </c>
      <c r="J7090" s="2">
        <v>2248</v>
      </c>
      <c r="K7090" s="2">
        <v>97</v>
      </c>
      <c r="L7090" s="2">
        <v>847</v>
      </c>
    </row>
    <row r="7091" spans="1:12" x14ac:dyDescent="0.25">
      <c r="A7091" s="4" t="str">
        <f>HYPERLINK("http://www.rosaceae.org/Prunus/Prunus_persica/p.persica_gdr_reftransV1_0009299","p.persica_gdr_reftransV1_0009299")</f>
        <v>p.persica_gdr_reftransV1_0009299</v>
      </c>
      <c r="B7091" s="2">
        <v>516</v>
      </c>
      <c r="C7091" s="4" t="str">
        <f>HYPERLINK("http://www.uniprot.org/uniprot/V4M602","V4M602")</f>
        <v>V4M602</v>
      </c>
      <c r="D7091" s="2" t="s">
        <v>6335</v>
      </c>
      <c r="E7091" s="3">
        <v>8.0899999999999999E-69</v>
      </c>
      <c r="F7091" s="2">
        <v>591</v>
      </c>
      <c r="G7091" s="2">
        <v>72</v>
      </c>
      <c r="H7091" s="2">
        <v>151</v>
      </c>
      <c r="I7091" s="2">
        <v>63</v>
      </c>
      <c r="J7091" s="2">
        <v>515</v>
      </c>
      <c r="K7091" s="2">
        <v>171</v>
      </c>
      <c r="L7091" s="2">
        <v>321</v>
      </c>
    </row>
    <row r="7092" spans="1:12" x14ac:dyDescent="0.25">
      <c r="A7092" s="4" t="str">
        <f>HYPERLINK("http://www.rosaceae.org/Prunus/Prunus_persica/p.persica_gdr_reftransV1_0009999","p.persica_gdr_reftransV1_0009999")</f>
        <v>p.persica_gdr_reftransV1_0009999</v>
      </c>
      <c r="B7092" s="2">
        <v>3232</v>
      </c>
      <c r="C7092" s="4" t="str">
        <f>HYPERLINK("http://www.uniprot.org/uniprot/M5X2D1","M5X2D1")</f>
        <v>M5X2D1</v>
      </c>
      <c r="D7092" s="2" t="s">
        <v>6336</v>
      </c>
      <c r="E7092" s="3">
        <v>0</v>
      </c>
      <c r="F7092" s="2">
        <v>876</v>
      </c>
      <c r="G7092" s="2">
        <v>100</v>
      </c>
      <c r="H7092" s="2">
        <v>210</v>
      </c>
      <c r="I7092" s="2">
        <v>142</v>
      </c>
      <c r="J7092" s="2">
        <v>771</v>
      </c>
      <c r="K7092" s="2">
        <v>1</v>
      </c>
      <c r="L7092" s="2">
        <v>210</v>
      </c>
    </row>
    <row r="7093" spans="1:12" x14ac:dyDescent="0.25">
      <c r="A7093" s="4" t="str">
        <f>HYPERLINK("http://www.rosaceae.org/Prunus/Prunus_persica/p.persica_gdr_reftransV1_0010349","p.persica_gdr_reftransV1_0010349")</f>
        <v>p.persica_gdr_reftransV1_0010349</v>
      </c>
      <c r="B7093" s="2">
        <v>1241</v>
      </c>
      <c r="C7093" s="4" t="str">
        <f>HYPERLINK("http://www.uniprot.org/uniprot/M5XDF6","M5XDF6")</f>
        <v>M5XDF6</v>
      </c>
      <c r="D7093" s="2" t="s">
        <v>6337</v>
      </c>
      <c r="E7093" s="3">
        <v>0</v>
      </c>
      <c r="F7093" s="2">
        <v>1663</v>
      </c>
      <c r="G7093" s="2">
        <v>100</v>
      </c>
      <c r="H7093" s="2">
        <v>319</v>
      </c>
      <c r="I7093" s="2">
        <v>126</v>
      </c>
      <c r="J7093" s="2">
        <v>1082</v>
      </c>
      <c r="K7093" s="2">
        <v>1</v>
      </c>
      <c r="L7093" s="2">
        <v>319</v>
      </c>
    </row>
    <row r="7094" spans="1:12" x14ac:dyDescent="0.25">
      <c r="A7094" s="4" t="str">
        <f>HYPERLINK("http://www.rosaceae.org/Prunus/Prunus_persica/p.persica_gdr_reftransV1_0011049","p.persica_gdr_reftransV1_0011049")</f>
        <v>p.persica_gdr_reftransV1_0011049</v>
      </c>
      <c r="B7094" s="2">
        <v>2206</v>
      </c>
      <c r="C7094" s="4" t="str">
        <f>HYPERLINK("http://www.uniprot.org/uniprot/M5WS74","M5WS74")</f>
        <v>M5WS74</v>
      </c>
      <c r="D7094" s="2" t="s">
        <v>6338</v>
      </c>
      <c r="E7094" s="3">
        <v>0</v>
      </c>
      <c r="F7094" s="2">
        <v>1402</v>
      </c>
      <c r="G7094" s="2">
        <v>94</v>
      </c>
      <c r="H7094" s="2">
        <v>280</v>
      </c>
      <c r="I7094" s="2">
        <v>1188</v>
      </c>
      <c r="J7094" s="2">
        <v>2027</v>
      </c>
      <c r="K7094" s="2">
        <v>8</v>
      </c>
      <c r="L7094" s="2">
        <v>287</v>
      </c>
    </row>
    <row r="7095" spans="1:12" x14ac:dyDescent="0.25">
      <c r="A7095" s="4" t="str">
        <f>HYPERLINK("http://www.rosaceae.org/Prunus/Prunus_persica/p.persica_gdr_reftransV1_0011399","p.persica_gdr_reftransV1_0011399")</f>
        <v>p.persica_gdr_reftransV1_0011399</v>
      </c>
      <c r="B7095" s="2">
        <v>1193</v>
      </c>
      <c r="C7095" s="4" t="str">
        <f>HYPERLINK("http://www.uniprot.org/uniprot/M1BK02","M1BK02")</f>
        <v>M1BK02</v>
      </c>
      <c r="D7095" s="2" t="s">
        <v>6339</v>
      </c>
      <c r="E7095" s="3">
        <v>6.4200000000000001E-55</v>
      </c>
      <c r="F7095" s="2">
        <v>492</v>
      </c>
      <c r="G7095" s="2">
        <v>73</v>
      </c>
      <c r="H7095" s="2">
        <v>120</v>
      </c>
      <c r="I7095" s="2">
        <v>285</v>
      </c>
      <c r="J7095" s="2">
        <v>644</v>
      </c>
      <c r="K7095" s="2">
        <v>55</v>
      </c>
      <c r="L7095" s="2">
        <v>174</v>
      </c>
    </row>
    <row r="7096" spans="1:12" x14ac:dyDescent="0.25">
      <c r="A7096" s="4" t="str">
        <f>HYPERLINK("http://www.rosaceae.org/Prunus/Prunus_persica/p.persica_gdr_reftransV1_0011749","p.persica_gdr_reftransV1_0011749")</f>
        <v>p.persica_gdr_reftransV1_0011749</v>
      </c>
      <c r="B7096" s="2">
        <v>1516</v>
      </c>
      <c r="C7096" s="4" t="str">
        <f>HYPERLINK("http://www.uniprot.org/uniprot/M5WKB8","M5WKB8")</f>
        <v>M5WKB8</v>
      </c>
      <c r="D7096" s="2" t="s">
        <v>6340</v>
      </c>
      <c r="E7096" s="3">
        <v>3.73E-56</v>
      </c>
      <c r="F7096" s="2">
        <v>497</v>
      </c>
      <c r="G7096" s="2">
        <v>95</v>
      </c>
      <c r="H7096" s="2">
        <v>116</v>
      </c>
      <c r="I7096" s="2">
        <v>850</v>
      </c>
      <c r="J7096" s="2">
        <v>1197</v>
      </c>
      <c r="K7096" s="2">
        <v>10</v>
      </c>
      <c r="L7096" s="2">
        <v>125</v>
      </c>
    </row>
    <row r="7097" spans="1:12" x14ac:dyDescent="0.25">
      <c r="A7097" s="4" t="str">
        <f>HYPERLINK("http://www.rosaceae.org/Prunus/Prunus_persica/p.persica_gdr_reftransV1_0012099","p.persica_gdr_reftransV1_0012099")</f>
        <v>p.persica_gdr_reftransV1_0012099</v>
      </c>
      <c r="B7097" s="2">
        <v>1471</v>
      </c>
      <c r="C7097" s="4" t="str">
        <f>HYPERLINK("http://www.uniprot.org/uniprot/M5VLF8","M5VLF8")</f>
        <v>M5VLF8</v>
      </c>
      <c r="D7097" s="2" t="s">
        <v>6341</v>
      </c>
      <c r="E7097" s="3">
        <v>2.02E-169</v>
      </c>
      <c r="F7097" s="2">
        <v>1262</v>
      </c>
      <c r="G7097" s="2">
        <v>100</v>
      </c>
      <c r="H7097" s="2">
        <v>266</v>
      </c>
      <c r="I7097" s="2">
        <v>386</v>
      </c>
      <c r="J7097" s="2">
        <v>1183</v>
      </c>
      <c r="K7097" s="2">
        <v>1</v>
      </c>
      <c r="L7097" s="2">
        <v>266</v>
      </c>
    </row>
    <row r="7098" spans="1:12" x14ac:dyDescent="0.25">
      <c r="A7098" s="4" t="str">
        <f>HYPERLINK("http://www.rosaceae.org/Prunus/Prunus_persica/p.persica_gdr_reftransV1_0012799","p.persica_gdr_reftransV1_0012799")</f>
        <v>p.persica_gdr_reftransV1_0012799</v>
      </c>
      <c r="B7098" s="2">
        <v>2128</v>
      </c>
      <c r="C7098" s="4" t="str">
        <f>HYPERLINK("http://www.uniprot.org/uniprot/M5VPX9","M5VPX9")</f>
        <v>M5VPX9</v>
      </c>
      <c r="D7098" s="2" t="s">
        <v>4347</v>
      </c>
      <c r="E7098" s="3">
        <v>0</v>
      </c>
      <c r="F7098" s="2">
        <v>1428</v>
      </c>
      <c r="G7098" s="2">
        <v>100</v>
      </c>
      <c r="H7098" s="2">
        <v>266</v>
      </c>
      <c r="I7098" s="2">
        <v>225</v>
      </c>
      <c r="J7098" s="2">
        <v>1022</v>
      </c>
      <c r="K7098" s="2">
        <v>111</v>
      </c>
      <c r="L7098" s="2">
        <v>376</v>
      </c>
    </row>
    <row r="7099" spans="1:12" x14ac:dyDescent="0.25">
      <c r="A7099" s="4" t="str">
        <f>HYPERLINK("http://www.rosaceae.org/Prunus/Prunus_persica/p.persica_gdr_reftransV1_0013149","p.persica_gdr_reftransV1_0013149")</f>
        <v>p.persica_gdr_reftransV1_0013149</v>
      </c>
      <c r="B7099" s="2">
        <v>3605</v>
      </c>
      <c r="C7099" s="4" t="str">
        <f>HYPERLINK("http://www.uniprot.org/uniprot/B9I906","B9I906")</f>
        <v>B9I906</v>
      </c>
      <c r="D7099" s="2" t="s">
        <v>6342</v>
      </c>
      <c r="E7099" s="3">
        <v>0</v>
      </c>
      <c r="F7099" s="2">
        <v>4554</v>
      </c>
      <c r="G7099" s="2">
        <v>80</v>
      </c>
      <c r="H7099" s="2">
        <v>1082</v>
      </c>
      <c r="I7099" s="2">
        <v>81</v>
      </c>
      <c r="J7099" s="2">
        <v>3293</v>
      </c>
      <c r="K7099" s="2">
        <v>1</v>
      </c>
      <c r="L7099" s="2">
        <v>1078</v>
      </c>
    </row>
    <row r="7100" spans="1:12" x14ac:dyDescent="0.25">
      <c r="A7100" s="4" t="str">
        <f>HYPERLINK("http://www.rosaceae.org/Prunus/Prunus_persica/p.persica_gdr_reftransV1_0013499","p.persica_gdr_reftransV1_0013499")</f>
        <v>p.persica_gdr_reftransV1_0013499</v>
      </c>
      <c r="B7100" s="2">
        <v>2444</v>
      </c>
      <c r="C7100" s="4" t="str">
        <f>HYPERLINK("http://www.uniprot.org/uniprot/M5WDD1","M5WDD1")</f>
        <v>M5WDD1</v>
      </c>
      <c r="D7100" s="2" t="s">
        <v>6343</v>
      </c>
      <c r="E7100" s="3">
        <v>0</v>
      </c>
      <c r="F7100" s="2">
        <v>2724</v>
      </c>
      <c r="G7100" s="2">
        <v>100</v>
      </c>
      <c r="H7100" s="2">
        <v>514</v>
      </c>
      <c r="I7100" s="2">
        <v>800</v>
      </c>
      <c r="J7100" s="2">
        <v>2341</v>
      </c>
      <c r="K7100" s="2">
        <v>1</v>
      </c>
      <c r="L7100" s="2">
        <v>514</v>
      </c>
    </row>
    <row r="7101" spans="1:12" x14ac:dyDescent="0.25">
      <c r="A7101" s="4" t="str">
        <f>HYPERLINK("http://www.rosaceae.org/Prunus/Prunus_persica/p.persica_gdr_reftransV1_0015599","p.persica_gdr_reftransV1_0015599")</f>
        <v>p.persica_gdr_reftransV1_0015599</v>
      </c>
      <c r="B7101" s="2">
        <v>1244</v>
      </c>
      <c r="C7101" s="4" t="str">
        <f>HYPERLINK("http://www.uniprot.org/uniprot/M5WC82","M5WC82")</f>
        <v>M5WC82</v>
      </c>
      <c r="D7101" s="2" t="s">
        <v>6344</v>
      </c>
      <c r="E7101" s="3">
        <v>0</v>
      </c>
      <c r="F7101" s="2">
        <v>1792</v>
      </c>
      <c r="G7101" s="2">
        <v>99</v>
      </c>
      <c r="H7101" s="2">
        <v>363</v>
      </c>
      <c r="I7101" s="2">
        <v>15</v>
      </c>
      <c r="J7101" s="2">
        <v>1103</v>
      </c>
      <c r="K7101" s="2">
        <v>358</v>
      </c>
      <c r="L7101" s="2">
        <v>720</v>
      </c>
    </row>
    <row r="7102" spans="1:12" x14ac:dyDescent="0.25">
      <c r="A7102" s="4" t="str">
        <f>HYPERLINK("http://www.rosaceae.org/Prunus/Prunus_persica/p.persica_gdr_reftransV1_0016299","p.persica_gdr_reftransV1_0016299")</f>
        <v>p.persica_gdr_reftransV1_0016299</v>
      </c>
      <c r="B7102" s="2">
        <v>1629</v>
      </c>
      <c r="C7102" s="4" t="str">
        <f>HYPERLINK("http://www.uniprot.org/uniprot/M5X7S0","M5X7S0")</f>
        <v>M5X7S0</v>
      </c>
      <c r="D7102" s="2" t="s">
        <v>6345</v>
      </c>
      <c r="E7102" s="3">
        <v>0</v>
      </c>
      <c r="F7102" s="2">
        <v>1824</v>
      </c>
      <c r="G7102" s="2">
        <v>93</v>
      </c>
      <c r="H7102" s="2">
        <v>383</v>
      </c>
      <c r="I7102" s="2">
        <v>182</v>
      </c>
      <c r="J7102" s="2">
        <v>1330</v>
      </c>
      <c r="K7102" s="2">
        <v>1</v>
      </c>
      <c r="L7102" s="2">
        <v>357</v>
      </c>
    </row>
    <row r="7103" spans="1:12" x14ac:dyDescent="0.25">
      <c r="A7103" s="4" t="str">
        <f>HYPERLINK("http://www.rosaceae.org/Prunus/Prunus_persica/p.persica_gdr_reftransV1_0016649","p.persica_gdr_reftransV1_0016649")</f>
        <v>p.persica_gdr_reftransV1_0016649</v>
      </c>
      <c r="B7103" s="2">
        <v>969</v>
      </c>
      <c r="C7103" s="4" t="str">
        <f>HYPERLINK("http://www.uniprot.org/uniprot/M5WRN4","M5WRN4")</f>
        <v>M5WRN4</v>
      </c>
      <c r="D7103" s="2" t="s">
        <v>6346</v>
      </c>
      <c r="E7103" s="3">
        <v>2.2200000000000001E-178</v>
      </c>
      <c r="F7103" s="2">
        <v>1315</v>
      </c>
      <c r="G7103" s="2">
        <v>100</v>
      </c>
      <c r="H7103" s="2">
        <v>248</v>
      </c>
      <c r="I7103" s="2">
        <v>224</v>
      </c>
      <c r="J7103" s="2">
        <v>967</v>
      </c>
      <c r="K7103" s="2">
        <v>1</v>
      </c>
      <c r="L7103" s="2">
        <v>248</v>
      </c>
    </row>
    <row r="7104" spans="1:12" x14ac:dyDescent="0.25">
      <c r="A7104" s="4" t="str">
        <f>HYPERLINK("http://www.rosaceae.org/Prunus/Prunus_persica/p.persica_gdr_reftransV1_0016999","p.persica_gdr_reftransV1_0016999")</f>
        <v>p.persica_gdr_reftransV1_0016999</v>
      </c>
      <c r="B7104" s="2">
        <v>2811</v>
      </c>
      <c r="C7104" s="4" t="str">
        <f>HYPERLINK("http://www.uniprot.org/uniprot/M5W9H7","M5W9H7")</f>
        <v>M5W9H7</v>
      </c>
      <c r="D7104" s="2" t="s">
        <v>6347</v>
      </c>
      <c r="E7104" s="3">
        <v>0</v>
      </c>
      <c r="F7104" s="2">
        <v>1895</v>
      </c>
      <c r="G7104" s="2">
        <v>100</v>
      </c>
      <c r="H7104" s="2">
        <v>411</v>
      </c>
      <c r="I7104" s="2">
        <v>879</v>
      </c>
      <c r="J7104" s="2">
        <v>2111</v>
      </c>
      <c r="K7104" s="2">
        <v>1</v>
      </c>
      <c r="L7104" s="2">
        <v>411</v>
      </c>
    </row>
    <row r="7105" spans="1:12" x14ac:dyDescent="0.25">
      <c r="A7105" s="4" t="str">
        <f>HYPERLINK("http://www.rosaceae.org/Prunus/Prunus_persica/p.persica_gdr_reftransV1_0017699","p.persica_gdr_reftransV1_0017699")</f>
        <v>p.persica_gdr_reftransV1_0017699</v>
      </c>
      <c r="B7105" s="2">
        <v>1493</v>
      </c>
      <c r="C7105" s="4" t="str">
        <f>HYPERLINK("http://www.uniprot.org/uniprot/M5XF16","M5XF16")</f>
        <v>M5XF16</v>
      </c>
      <c r="D7105" s="2" t="s">
        <v>6348</v>
      </c>
      <c r="E7105" s="3">
        <v>0</v>
      </c>
      <c r="F7105" s="2">
        <v>1701</v>
      </c>
      <c r="G7105" s="2">
        <v>100</v>
      </c>
      <c r="H7105" s="2">
        <v>315</v>
      </c>
      <c r="I7105" s="2">
        <v>326</v>
      </c>
      <c r="J7105" s="2">
        <v>1270</v>
      </c>
      <c r="K7105" s="2">
        <v>1</v>
      </c>
      <c r="L7105" s="2">
        <v>315</v>
      </c>
    </row>
    <row r="7106" spans="1:12" x14ac:dyDescent="0.25">
      <c r="A7106" s="4" t="str">
        <f>HYPERLINK("http://www.rosaceae.org/Prunus/Prunus_persica/p.persica_gdr_reftransV1_0018399","p.persica_gdr_reftransV1_0018399")</f>
        <v>p.persica_gdr_reftransV1_0018399</v>
      </c>
      <c r="B7106" s="2">
        <v>2799</v>
      </c>
      <c r="C7106" s="4" t="str">
        <f>HYPERLINK("http://www.uniprot.org/uniprot/M5X2E5","M5X2E5")</f>
        <v>M5X2E5</v>
      </c>
      <c r="D7106" s="2" t="s">
        <v>6349</v>
      </c>
      <c r="E7106" s="3">
        <v>9.090000000000001E-78</v>
      </c>
      <c r="F7106" s="2">
        <v>671</v>
      </c>
      <c r="G7106" s="2">
        <v>100</v>
      </c>
      <c r="H7106" s="2">
        <v>147</v>
      </c>
      <c r="I7106" s="2">
        <v>1228</v>
      </c>
      <c r="J7106" s="2">
        <v>1668</v>
      </c>
      <c r="K7106" s="2">
        <v>1</v>
      </c>
      <c r="L7106" s="2">
        <v>147</v>
      </c>
    </row>
    <row r="7107" spans="1:12" x14ac:dyDescent="0.25">
      <c r="A7107" s="4" t="str">
        <f>HYPERLINK("http://www.rosaceae.org/Prunus/Prunus_persica/p.persica_gdr_reftransV1_0020149","p.persica_gdr_reftransV1_0020149")</f>
        <v>p.persica_gdr_reftransV1_0020149</v>
      </c>
      <c r="B7107" s="2">
        <v>817</v>
      </c>
      <c r="C7107" s="4" t="str">
        <f>HYPERLINK("http://www.uniprot.org/uniprot/M5X6Y0","M5X6Y0")</f>
        <v>M5X6Y0</v>
      </c>
      <c r="D7107" s="2" t="s">
        <v>887</v>
      </c>
      <c r="E7107" s="3">
        <v>3.3100000000000002E-122</v>
      </c>
      <c r="F7107" s="2">
        <v>969</v>
      </c>
      <c r="G7107" s="2">
        <v>100</v>
      </c>
      <c r="H7107" s="2">
        <v>198</v>
      </c>
      <c r="I7107" s="2">
        <v>223</v>
      </c>
      <c r="J7107" s="2">
        <v>816</v>
      </c>
      <c r="K7107" s="2">
        <v>7</v>
      </c>
      <c r="L7107" s="2">
        <v>204</v>
      </c>
    </row>
    <row r="7108" spans="1:12" x14ac:dyDescent="0.25">
      <c r="A7108" s="4" t="str">
        <f>HYPERLINK("http://www.rosaceae.org/Prunus/Prunus_persica/p.persica_gdr_reftransV1_0020499","p.persica_gdr_reftransV1_0020499")</f>
        <v>p.persica_gdr_reftransV1_0020499</v>
      </c>
      <c r="B7108" s="2">
        <v>4513</v>
      </c>
      <c r="C7108" s="4" t="str">
        <f>HYPERLINK("http://www.uniprot.org/uniprot/D7SWB0","D7SWB0")</f>
        <v>D7SWB0</v>
      </c>
      <c r="D7108" s="2" t="s">
        <v>6350</v>
      </c>
      <c r="E7108" s="3">
        <v>0</v>
      </c>
      <c r="F7108" s="2">
        <v>5057</v>
      </c>
      <c r="G7108" s="2">
        <v>83</v>
      </c>
      <c r="H7108" s="2">
        <v>1240</v>
      </c>
      <c r="I7108" s="2">
        <v>616</v>
      </c>
      <c r="J7108" s="2">
        <v>4242</v>
      </c>
      <c r="K7108" s="2">
        <v>1</v>
      </c>
      <c r="L7108" s="2">
        <v>1214</v>
      </c>
    </row>
    <row r="7109" spans="1:12" x14ac:dyDescent="0.25">
      <c r="A7109" s="4" t="str">
        <f>HYPERLINK("http://www.rosaceae.org/Prunus/Prunus_persica/p.persica_gdr_reftransV1_0021899","p.persica_gdr_reftransV1_0021899")</f>
        <v>p.persica_gdr_reftransV1_0021899</v>
      </c>
      <c r="B7109" s="2">
        <v>856</v>
      </c>
      <c r="C7109" s="4" t="str">
        <f>HYPERLINK("http://www.uniprot.org/uniprot/M5XE15","M5XE15")</f>
        <v>M5XE15</v>
      </c>
      <c r="D7109" s="2" t="s">
        <v>6351</v>
      </c>
      <c r="E7109" s="3">
        <v>2.15E-76</v>
      </c>
      <c r="F7109" s="2">
        <v>614</v>
      </c>
      <c r="G7109" s="2">
        <v>100</v>
      </c>
      <c r="H7109" s="2">
        <v>119</v>
      </c>
      <c r="I7109" s="2">
        <v>249</v>
      </c>
      <c r="J7109" s="2">
        <v>605</v>
      </c>
      <c r="K7109" s="2">
        <v>33</v>
      </c>
      <c r="L7109" s="2">
        <v>151</v>
      </c>
    </row>
    <row r="7110" spans="1:12" x14ac:dyDescent="0.25">
      <c r="A7110" s="4" t="str">
        <f>HYPERLINK("http://www.rosaceae.org/Prunus/Prunus_persica/p.persica_gdr_reftransV1_0024349","p.persica_gdr_reftransV1_0024349")</f>
        <v>p.persica_gdr_reftransV1_0024349</v>
      </c>
      <c r="B7110" s="2">
        <v>1136</v>
      </c>
      <c r="C7110" s="4" t="str">
        <f>HYPERLINK("http://www.uniprot.org/uniprot/M5VMQ3","M5VMQ3")</f>
        <v>M5VMQ3</v>
      </c>
      <c r="D7110" s="2" t="s">
        <v>6352</v>
      </c>
      <c r="E7110" s="3">
        <v>2.0000000000000001E-68</v>
      </c>
      <c r="F7110" s="2">
        <v>568</v>
      </c>
      <c r="G7110" s="2">
        <v>96</v>
      </c>
      <c r="H7110" s="2">
        <v>131</v>
      </c>
      <c r="I7110" s="2">
        <v>298</v>
      </c>
      <c r="J7110" s="2">
        <v>690</v>
      </c>
      <c r="K7110" s="2">
        <v>1</v>
      </c>
      <c r="L7110" s="2">
        <v>131</v>
      </c>
    </row>
    <row r="7111" spans="1:12" x14ac:dyDescent="0.25">
      <c r="A7111" s="4" t="str">
        <f>HYPERLINK("http://www.rosaceae.org/Prunus/Prunus_persica/p.persica_gdr_reftransV1_0025049","p.persica_gdr_reftransV1_0025049")</f>
        <v>p.persica_gdr_reftransV1_0025049</v>
      </c>
      <c r="B7111" s="2">
        <v>1343</v>
      </c>
      <c r="C7111" s="4" t="str">
        <f>HYPERLINK("http://www.uniprot.org/uniprot/A4GVG3","A4GVG3")</f>
        <v>A4GVG3</v>
      </c>
      <c r="D7111" s="2" t="s">
        <v>3806</v>
      </c>
      <c r="E7111" s="3">
        <v>2.6100000000000001E-173</v>
      </c>
      <c r="F7111" s="2">
        <v>1281</v>
      </c>
      <c r="G7111" s="2">
        <v>100</v>
      </c>
      <c r="H7111" s="2">
        <v>240</v>
      </c>
      <c r="I7111" s="2">
        <v>282</v>
      </c>
      <c r="J7111" s="2">
        <v>1001</v>
      </c>
      <c r="K7111" s="2">
        <v>1</v>
      </c>
      <c r="L7111" s="2">
        <v>240</v>
      </c>
    </row>
    <row r="7112" spans="1:12" x14ac:dyDescent="0.25">
      <c r="A7112" s="4" t="str">
        <f>HYPERLINK("http://www.rosaceae.org/Prunus/Prunus_persica/p.persica_gdr_reftransV1_0026099","p.persica_gdr_reftransV1_0026099")</f>
        <v>p.persica_gdr_reftransV1_0026099</v>
      </c>
      <c r="B7112" s="2">
        <v>1739</v>
      </c>
      <c r="C7112" s="4" t="str">
        <f>HYPERLINK("http://www.uniprot.org/uniprot/M5XCL4","M5XCL4")</f>
        <v>M5XCL4</v>
      </c>
      <c r="D7112" s="2" t="s">
        <v>6353</v>
      </c>
      <c r="E7112" s="3">
        <v>0</v>
      </c>
      <c r="F7112" s="2">
        <v>1619</v>
      </c>
      <c r="G7112" s="2">
        <v>100</v>
      </c>
      <c r="H7112" s="2">
        <v>341</v>
      </c>
      <c r="I7112" s="2">
        <v>263</v>
      </c>
      <c r="J7112" s="2">
        <v>1285</v>
      </c>
      <c r="K7112" s="2">
        <v>1</v>
      </c>
      <c r="L7112" s="2">
        <v>341</v>
      </c>
    </row>
    <row r="7113" spans="1:12" x14ac:dyDescent="0.25">
      <c r="A7113" s="4" t="str">
        <f>HYPERLINK("http://www.rosaceae.org/Prunus/Prunus_persica/p.persica_gdr_reftransV1_0026799","p.persica_gdr_reftransV1_0026799")</f>
        <v>p.persica_gdr_reftransV1_0026799</v>
      </c>
      <c r="B7113" s="2">
        <v>3632</v>
      </c>
      <c r="C7113" s="4" t="str">
        <f>HYPERLINK("http://www.uniprot.org/uniprot/M5WI81","M5WI81")</f>
        <v>M5WI81</v>
      </c>
      <c r="D7113" s="2" t="s">
        <v>6354</v>
      </c>
      <c r="E7113" s="3">
        <v>0</v>
      </c>
      <c r="F7113" s="2">
        <v>1435</v>
      </c>
      <c r="G7113" s="2">
        <v>100</v>
      </c>
      <c r="H7113" s="2">
        <v>305</v>
      </c>
      <c r="I7113" s="2">
        <v>1969</v>
      </c>
      <c r="J7113" s="2">
        <v>2883</v>
      </c>
      <c r="K7113" s="2">
        <v>1</v>
      </c>
      <c r="L7113" s="2">
        <v>305</v>
      </c>
    </row>
    <row r="7114" spans="1:12" x14ac:dyDescent="0.25">
      <c r="A7114" s="4" t="str">
        <f>HYPERLINK("http://www.rosaceae.org/Prunus/Prunus_persica/p.persica_gdr_reftransV1_0027149","p.persica_gdr_reftransV1_0027149")</f>
        <v>p.persica_gdr_reftransV1_0027149</v>
      </c>
      <c r="B7114" s="2">
        <v>3329</v>
      </c>
      <c r="C7114" s="4" t="str">
        <f>HYPERLINK("http://www.uniprot.org/uniprot/M5W8B6","M5W8B6")</f>
        <v>M5W8B6</v>
      </c>
      <c r="D7114" s="2" t="s">
        <v>6355</v>
      </c>
      <c r="E7114" s="3">
        <v>0</v>
      </c>
      <c r="F7114" s="2">
        <v>5170</v>
      </c>
      <c r="G7114" s="2">
        <v>100</v>
      </c>
      <c r="H7114" s="2">
        <v>974</v>
      </c>
      <c r="I7114" s="2">
        <v>170</v>
      </c>
      <c r="J7114" s="2">
        <v>3091</v>
      </c>
      <c r="K7114" s="2">
        <v>1</v>
      </c>
      <c r="L7114" s="2">
        <v>974</v>
      </c>
    </row>
    <row r="7115" spans="1:12" x14ac:dyDescent="0.25">
      <c r="A7115" s="4" t="str">
        <f>HYPERLINK("http://www.rosaceae.org/Prunus/Prunus_persica/p.persica_gdr_reftransV1_0028549","p.persica_gdr_reftransV1_0028549")</f>
        <v>p.persica_gdr_reftransV1_0028549</v>
      </c>
      <c r="B7115" s="2">
        <v>2496</v>
      </c>
      <c r="C7115" s="4" t="str">
        <f>HYPERLINK("http://www.uniprot.org/uniprot/M5XR87","M5XR87")</f>
        <v>M5XR87</v>
      </c>
      <c r="D7115" s="2" t="s">
        <v>6356</v>
      </c>
      <c r="E7115" s="3">
        <v>2.78E-105</v>
      </c>
      <c r="F7115" s="2">
        <v>868</v>
      </c>
      <c r="G7115" s="2">
        <v>100</v>
      </c>
      <c r="H7115" s="2">
        <v>161</v>
      </c>
      <c r="I7115" s="2">
        <v>1872</v>
      </c>
      <c r="J7115" s="2">
        <v>2354</v>
      </c>
      <c r="K7115" s="2">
        <v>1</v>
      </c>
      <c r="L7115" s="2">
        <v>161</v>
      </c>
    </row>
    <row r="7116" spans="1:12" x14ac:dyDescent="0.25">
      <c r="A7116" s="4" t="str">
        <f>HYPERLINK("http://www.rosaceae.org/Prunus/Prunus_persica/p.persica_gdr_reftransV1_0029949","p.persica_gdr_reftransV1_0029949")</f>
        <v>p.persica_gdr_reftransV1_0029949</v>
      </c>
      <c r="B7116" s="2">
        <v>2635</v>
      </c>
      <c r="C7116" s="4" t="str">
        <f>HYPERLINK("http://www.uniprot.org/uniprot/M5X568","M5X568")</f>
        <v>M5X568</v>
      </c>
      <c r="D7116" s="2" t="s">
        <v>6357</v>
      </c>
      <c r="E7116" s="3">
        <v>3.5899999999999997E-151</v>
      </c>
      <c r="F7116" s="2">
        <v>1190</v>
      </c>
      <c r="G7116" s="2">
        <v>99</v>
      </c>
      <c r="H7116" s="2">
        <v>256</v>
      </c>
      <c r="I7116" s="2">
        <v>1413</v>
      </c>
      <c r="J7116" s="2">
        <v>2180</v>
      </c>
      <c r="K7116" s="2">
        <v>1</v>
      </c>
      <c r="L7116" s="2">
        <v>256</v>
      </c>
    </row>
    <row r="7117" spans="1:12" x14ac:dyDescent="0.25">
      <c r="A7117" s="4" t="str">
        <f>HYPERLINK("http://www.rosaceae.org/Prunus/Prunus_persica/p.persica_gdr_reftransV1_0031349","p.persica_gdr_reftransV1_0031349")</f>
        <v>p.persica_gdr_reftransV1_0031349</v>
      </c>
      <c r="B7117" s="2">
        <v>1595</v>
      </c>
      <c r="C7117" s="4" t="str">
        <f>HYPERLINK("http://www.uniprot.org/uniprot/V4SQU2","V4SQU2")</f>
        <v>V4SQU2</v>
      </c>
      <c r="D7117" s="2" t="s">
        <v>6358</v>
      </c>
      <c r="E7117" s="3">
        <v>6.34E-147</v>
      </c>
      <c r="F7117" s="2">
        <v>693</v>
      </c>
      <c r="G7117" s="2">
        <v>73</v>
      </c>
      <c r="H7117" s="2">
        <v>181</v>
      </c>
      <c r="I7117" s="2">
        <v>1034</v>
      </c>
      <c r="J7117" s="2">
        <v>1513</v>
      </c>
      <c r="K7117" s="2">
        <v>1</v>
      </c>
      <c r="L7117" s="2">
        <v>181</v>
      </c>
    </row>
    <row r="7118" spans="1:12" x14ac:dyDescent="0.25">
      <c r="A7118" s="4" t="str">
        <f>HYPERLINK("http://www.rosaceae.org/Prunus/Prunus_persica/p.persica_gdr_reftransV1_0032399","p.persica_gdr_reftransV1_0032399")</f>
        <v>p.persica_gdr_reftransV1_0032399</v>
      </c>
      <c r="B7118" s="2">
        <v>2378</v>
      </c>
      <c r="C7118" s="4" t="str">
        <f>HYPERLINK("http://www.uniprot.org/uniprot/M5WZ26","M5WZ26")</f>
        <v>M5WZ26</v>
      </c>
      <c r="D7118" s="2" t="s">
        <v>6359</v>
      </c>
      <c r="E7118" s="3">
        <v>5.1999999999999997E-143</v>
      </c>
      <c r="F7118" s="2">
        <v>1130</v>
      </c>
      <c r="G7118" s="2">
        <v>86</v>
      </c>
      <c r="H7118" s="2">
        <v>256</v>
      </c>
      <c r="I7118" s="2">
        <v>125</v>
      </c>
      <c r="J7118" s="2">
        <v>892</v>
      </c>
      <c r="K7118" s="2">
        <v>198</v>
      </c>
      <c r="L7118" s="2">
        <v>423</v>
      </c>
    </row>
    <row r="7119" spans="1:12" x14ac:dyDescent="0.25">
      <c r="A7119" s="4" t="str">
        <f>HYPERLINK("http://www.rosaceae.org/Prunus/Prunus_persica/p.persica_gdr_reftransV1_0032749","p.persica_gdr_reftransV1_0032749")</f>
        <v>p.persica_gdr_reftransV1_0032749</v>
      </c>
      <c r="B7119" s="2">
        <v>767</v>
      </c>
      <c r="C7119" s="4" t="str">
        <f>HYPERLINK("http://www.uniprot.org/uniprot/M5W0J2","M5W0J2")</f>
        <v>M5W0J2</v>
      </c>
      <c r="D7119" s="2" t="s">
        <v>6360</v>
      </c>
      <c r="E7119" s="3">
        <v>3.4900000000000002E-100</v>
      </c>
      <c r="F7119" s="2">
        <v>770</v>
      </c>
      <c r="G7119" s="2">
        <v>100</v>
      </c>
      <c r="H7119" s="2">
        <v>159</v>
      </c>
      <c r="I7119" s="2">
        <v>38</v>
      </c>
      <c r="J7119" s="2">
        <v>514</v>
      </c>
      <c r="K7119" s="2">
        <v>1</v>
      </c>
      <c r="L7119" s="2">
        <v>159</v>
      </c>
    </row>
    <row r="7120" spans="1:12" x14ac:dyDescent="0.25">
      <c r="A7120" s="4" t="str">
        <f>HYPERLINK("http://www.rosaceae.org/Prunus/Prunus_persica/p.persica_gdr_reftransV1_0034499","p.persica_gdr_reftransV1_0034499")</f>
        <v>p.persica_gdr_reftransV1_0034499</v>
      </c>
      <c r="B7120" s="2">
        <v>3004</v>
      </c>
      <c r="C7120" s="4" t="str">
        <f>HYPERLINK("http://www.uniprot.org/uniprot/M5X0N4","M5X0N4")</f>
        <v>M5X0N4</v>
      </c>
      <c r="D7120" s="2" t="s">
        <v>6361</v>
      </c>
      <c r="E7120" s="3">
        <v>0</v>
      </c>
      <c r="F7120" s="2">
        <v>2619</v>
      </c>
      <c r="G7120" s="2">
        <v>99</v>
      </c>
      <c r="H7120" s="2">
        <v>510</v>
      </c>
      <c r="I7120" s="2">
        <v>1096</v>
      </c>
      <c r="J7120" s="2">
        <v>2625</v>
      </c>
      <c r="K7120" s="2">
        <v>1</v>
      </c>
      <c r="L7120" s="2">
        <v>510</v>
      </c>
    </row>
    <row r="7121" spans="1:12" x14ac:dyDescent="0.25">
      <c r="A7121" s="4" t="str">
        <f>HYPERLINK("http://www.rosaceae.org/Prunus/Prunus_persica/p.persica_gdr_reftransV1_0035199","p.persica_gdr_reftransV1_0035199")</f>
        <v>p.persica_gdr_reftransV1_0035199</v>
      </c>
      <c r="B7121" s="2">
        <v>3410</v>
      </c>
      <c r="C7121" s="4" t="str">
        <f>HYPERLINK("http://www.uniprot.org/uniprot/M5WWM0","M5WWM0")</f>
        <v>M5WWM0</v>
      </c>
      <c r="D7121" s="2" t="s">
        <v>6362</v>
      </c>
      <c r="E7121" s="3">
        <v>0</v>
      </c>
      <c r="F7121" s="2">
        <v>1912</v>
      </c>
      <c r="G7121" s="2">
        <v>100</v>
      </c>
      <c r="H7121" s="2">
        <v>372</v>
      </c>
      <c r="I7121" s="2">
        <v>1099</v>
      </c>
      <c r="J7121" s="2">
        <v>2214</v>
      </c>
      <c r="K7121" s="2">
        <v>181</v>
      </c>
      <c r="L7121" s="2">
        <v>552</v>
      </c>
    </row>
    <row r="7122" spans="1:12" x14ac:dyDescent="0.25">
      <c r="A7122" s="4" t="str">
        <f>HYPERLINK("http://www.rosaceae.org/Prunus/Prunus_persica/p.persica_gdr_reftransV1_0035549","p.persica_gdr_reftransV1_0035549")</f>
        <v>p.persica_gdr_reftransV1_0035549</v>
      </c>
      <c r="B7122" s="2">
        <v>1575</v>
      </c>
      <c r="C7122" s="4" t="str">
        <f>HYPERLINK("http://www.uniprot.org/uniprot/M5XT00","M5XT00")</f>
        <v>M5XT00</v>
      </c>
      <c r="D7122" s="2" t="s">
        <v>6363</v>
      </c>
      <c r="E7122" s="3">
        <v>9.4199999999999993E-161</v>
      </c>
      <c r="F7122" s="2">
        <v>873</v>
      </c>
      <c r="G7122" s="2">
        <v>99</v>
      </c>
      <c r="H7122" s="2">
        <v>166</v>
      </c>
      <c r="I7122" s="2">
        <v>866</v>
      </c>
      <c r="J7122" s="2">
        <v>1363</v>
      </c>
      <c r="K7122" s="2">
        <v>1</v>
      </c>
      <c r="L7122" s="2">
        <v>166</v>
      </c>
    </row>
    <row r="7123" spans="1:12" x14ac:dyDescent="0.25">
      <c r="A7123" s="4" t="str">
        <f>HYPERLINK("http://www.rosaceae.org/Prunus/Prunus_persica/p.persica_gdr_reftransV1_0036249","p.persica_gdr_reftransV1_0036249")</f>
        <v>p.persica_gdr_reftransV1_0036249</v>
      </c>
      <c r="B7123" s="2">
        <v>692</v>
      </c>
      <c r="C7123" s="4" t="str">
        <f>HYPERLINK("http://www.uniprot.org/uniprot/M5XKZ5","M5XKZ5")</f>
        <v>M5XKZ5</v>
      </c>
      <c r="D7123" s="2" t="s">
        <v>2244</v>
      </c>
      <c r="E7123" s="3">
        <v>2.35E-66</v>
      </c>
      <c r="F7123" s="2">
        <v>564</v>
      </c>
      <c r="G7123" s="2">
        <v>100</v>
      </c>
      <c r="H7123" s="2">
        <v>104</v>
      </c>
      <c r="I7123" s="2">
        <v>2</v>
      </c>
      <c r="J7123" s="2">
        <v>313</v>
      </c>
      <c r="K7123" s="2">
        <v>1</v>
      </c>
      <c r="L7123" s="2">
        <v>104</v>
      </c>
    </row>
    <row r="7124" spans="1:12" x14ac:dyDescent="0.25">
      <c r="A7124" s="4" t="str">
        <f>HYPERLINK("http://www.rosaceae.org/Prunus/Prunus_persica/p.persica_gdr_reftransV1_0043249","p.persica_gdr_reftransV1_0043249")</f>
        <v>p.persica_gdr_reftransV1_0043249</v>
      </c>
      <c r="B7124" s="2">
        <v>2400</v>
      </c>
      <c r="C7124" s="4" t="str">
        <f>HYPERLINK("http://www.uniprot.org/uniprot/M5WNH3","M5WNH3")</f>
        <v>M5WNH3</v>
      </c>
      <c r="D7124" s="2" t="s">
        <v>6364</v>
      </c>
      <c r="E7124" s="3">
        <v>0</v>
      </c>
      <c r="F7124" s="2">
        <v>3623</v>
      </c>
      <c r="G7124" s="2">
        <v>100</v>
      </c>
      <c r="H7124" s="2">
        <v>674</v>
      </c>
      <c r="I7124" s="2">
        <v>202</v>
      </c>
      <c r="J7124" s="2">
        <v>2223</v>
      </c>
      <c r="K7124" s="2">
        <v>1</v>
      </c>
      <c r="L7124" s="2">
        <v>674</v>
      </c>
    </row>
    <row r="7125" spans="1:12" x14ac:dyDescent="0.25">
      <c r="A7125" s="4" t="str">
        <f>HYPERLINK("http://www.rosaceae.org/Prunus/Prunus_persica/p.persica_gdr_reftransV1_0043599","p.persica_gdr_reftransV1_0043599")</f>
        <v>p.persica_gdr_reftransV1_0043599</v>
      </c>
      <c r="B7125" s="2">
        <v>2124</v>
      </c>
      <c r="C7125" s="4" t="str">
        <f>HYPERLINK("http://www.uniprot.org/uniprot/M5WXL4","M5WXL4")</f>
        <v>M5WXL4</v>
      </c>
      <c r="D7125" s="2" t="s">
        <v>6365</v>
      </c>
      <c r="E7125" s="3">
        <v>0</v>
      </c>
      <c r="F7125" s="2">
        <v>2555</v>
      </c>
      <c r="G7125" s="2">
        <v>100</v>
      </c>
      <c r="H7125" s="2">
        <v>514</v>
      </c>
      <c r="I7125" s="2">
        <v>416</v>
      </c>
      <c r="J7125" s="2">
        <v>1957</v>
      </c>
      <c r="K7125" s="2">
        <v>1</v>
      </c>
      <c r="L7125" s="2">
        <v>514</v>
      </c>
    </row>
    <row r="7126" spans="1:12" x14ac:dyDescent="0.25">
      <c r="A7126" s="4" t="str">
        <f>HYPERLINK("http://www.rosaceae.org/Prunus/Prunus_persica/p.persica_gdr_reftransV1_0043949","p.persica_gdr_reftransV1_0043949")</f>
        <v>p.persica_gdr_reftransV1_0043949</v>
      </c>
      <c r="B7126" s="2">
        <v>958</v>
      </c>
      <c r="C7126" s="4" t="str">
        <f>HYPERLINK("http://www.uniprot.org/uniprot/M5WKF1","M5WKF1")</f>
        <v>M5WKF1</v>
      </c>
      <c r="D7126" s="2" t="s">
        <v>6366</v>
      </c>
      <c r="E7126" s="3">
        <v>3.8199999999999999E-102</v>
      </c>
      <c r="F7126" s="2">
        <v>788</v>
      </c>
      <c r="G7126" s="2">
        <v>100</v>
      </c>
      <c r="H7126" s="2">
        <v>148</v>
      </c>
      <c r="I7126" s="2">
        <v>223</v>
      </c>
      <c r="J7126" s="2">
        <v>666</v>
      </c>
      <c r="K7126" s="2">
        <v>1</v>
      </c>
      <c r="L7126" s="2">
        <v>148</v>
      </c>
    </row>
    <row r="7127" spans="1:12" x14ac:dyDescent="0.25">
      <c r="A7127" s="4" t="str">
        <f>HYPERLINK("http://www.rosaceae.org/Prunus/Prunus_persica/p.persica_gdr_reftransV1_0044299","p.persica_gdr_reftransV1_0044299")</f>
        <v>p.persica_gdr_reftransV1_0044299</v>
      </c>
      <c r="B7127" s="2">
        <v>1599</v>
      </c>
      <c r="C7127" s="4" t="str">
        <f>HYPERLINK("http://www.uniprot.org/uniprot/M5XMJ8","M5XMJ8")</f>
        <v>M5XMJ8</v>
      </c>
      <c r="D7127" s="2" t="s">
        <v>6367</v>
      </c>
      <c r="E7127" s="3">
        <v>3.14E-139</v>
      </c>
      <c r="F7127" s="2">
        <v>1068</v>
      </c>
      <c r="G7127" s="2">
        <v>78</v>
      </c>
      <c r="H7127" s="2">
        <v>318</v>
      </c>
      <c r="I7127" s="2">
        <v>489</v>
      </c>
      <c r="J7127" s="2">
        <v>1442</v>
      </c>
      <c r="K7127" s="2">
        <v>31</v>
      </c>
      <c r="L7127" s="2">
        <v>282</v>
      </c>
    </row>
    <row r="7128" spans="1:12" x14ac:dyDescent="0.25">
      <c r="A7128" s="4" t="str">
        <f>HYPERLINK("http://www.rosaceae.org/Prunus/Prunus_persica/p.persica_gdr_reftransV1_0044999","p.persica_gdr_reftransV1_0044999")</f>
        <v>p.persica_gdr_reftransV1_0044999</v>
      </c>
      <c r="B7128" s="2">
        <v>3438</v>
      </c>
      <c r="C7128" s="4" t="str">
        <f>HYPERLINK("http://www.uniprot.org/uniprot/M5XK43","M5XK43")</f>
        <v>M5XK43</v>
      </c>
      <c r="D7128" s="2" t="s">
        <v>6368</v>
      </c>
      <c r="E7128" s="3">
        <v>0</v>
      </c>
      <c r="F7128" s="2">
        <v>5478</v>
      </c>
      <c r="G7128" s="2">
        <v>98</v>
      </c>
      <c r="H7128" s="2">
        <v>1070</v>
      </c>
      <c r="I7128" s="2">
        <v>56</v>
      </c>
      <c r="J7128" s="2">
        <v>3232</v>
      </c>
      <c r="K7128" s="2">
        <v>1</v>
      </c>
      <c r="L7128" s="2">
        <v>1063</v>
      </c>
    </row>
    <row r="7129" spans="1:12" x14ac:dyDescent="0.25">
      <c r="A7129" s="4" t="str">
        <f>HYPERLINK("http://www.rosaceae.org/Prunus/Prunus_persica/p.persica_gdr_reftransV1_0045349","p.persica_gdr_reftransV1_0045349")</f>
        <v>p.persica_gdr_reftransV1_0045349</v>
      </c>
      <c r="B7129" s="2">
        <v>399</v>
      </c>
      <c r="C7129" s="4" t="str">
        <f>HYPERLINK("http://www.uniprot.org/uniprot/A0A067EUB7","A0A067EUB7")</f>
        <v>A0A067EUB7</v>
      </c>
      <c r="D7129" s="2" t="s">
        <v>6369</v>
      </c>
      <c r="E7129" s="3">
        <v>1.14E-59</v>
      </c>
      <c r="F7129" s="2">
        <v>494</v>
      </c>
      <c r="G7129" s="2">
        <v>92</v>
      </c>
      <c r="H7129" s="2">
        <v>114</v>
      </c>
      <c r="I7129" s="2">
        <v>2</v>
      </c>
      <c r="J7129" s="2">
        <v>343</v>
      </c>
      <c r="K7129" s="2">
        <v>103</v>
      </c>
      <c r="L7129" s="2">
        <v>216</v>
      </c>
    </row>
    <row r="7130" spans="1:12" x14ac:dyDescent="0.25">
      <c r="A7130" s="4" t="str">
        <f>HYPERLINK("http://www.rosaceae.org/Prunus/Prunus_persica/p.persica_gdr_reftransV1_0045699","p.persica_gdr_reftransV1_0045699")</f>
        <v>p.persica_gdr_reftransV1_0045699</v>
      </c>
      <c r="B7130" s="2">
        <v>2920</v>
      </c>
      <c r="C7130" s="4" t="str">
        <f>HYPERLINK("http://www.uniprot.org/uniprot/M5WC82","M5WC82")</f>
        <v>M5WC82</v>
      </c>
      <c r="D7130" s="2" t="s">
        <v>6344</v>
      </c>
      <c r="E7130" s="3">
        <v>0</v>
      </c>
      <c r="F7130" s="2">
        <v>4026</v>
      </c>
      <c r="G7130" s="2">
        <v>100</v>
      </c>
      <c r="H7130" s="2">
        <v>778</v>
      </c>
      <c r="I7130" s="2">
        <v>430</v>
      </c>
      <c r="J7130" s="2">
        <v>2763</v>
      </c>
      <c r="K7130" s="2">
        <v>1</v>
      </c>
      <c r="L7130" s="2">
        <v>778</v>
      </c>
    </row>
    <row r="7131" spans="1:12" x14ac:dyDescent="0.25">
      <c r="A7131" s="4" t="str">
        <f>HYPERLINK("http://www.rosaceae.org/Prunus/Prunus_persica/p.persica_gdr_reftransV1_0046049","p.persica_gdr_reftransV1_0046049")</f>
        <v>p.persica_gdr_reftransV1_0046049</v>
      </c>
      <c r="B7131" s="2">
        <v>375</v>
      </c>
      <c r="C7131" s="4" t="str">
        <f>HYPERLINK("http://www.uniprot.org/uniprot/M5WP67","M5WP67")</f>
        <v>M5WP67</v>
      </c>
      <c r="D7131" s="2" t="s">
        <v>6370</v>
      </c>
      <c r="E7131" s="3">
        <v>2.31E-63</v>
      </c>
      <c r="F7131" s="2">
        <v>508</v>
      </c>
      <c r="G7131" s="2">
        <v>100</v>
      </c>
      <c r="H7131" s="2">
        <v>99</v>
      </c>
      <c r="I7131" s="2">
        <v>79</v>
      </c>
      <c r="J7131" s="2">
        <v>375</v>
      </c>
      <c r="K7131" s="2">
        <v>10</v>
      </c>
      <c r="L7131" s="2">
        <v>108</v>
      </c>
    </row>
    <row r="7132" spans="1:12" x14ac:dyDescent="0.25">
      <c r="A7132" s="4" t="str">
        <f>HYPERLINK("http://www.rosaceae.org/Prunus/Prunus_persica/p.persica_gdr_reftransV1_0046749","p.persica_gdr_reftransV1_0046749")</f>
        <v>p.persica_gdr_reftransV1_0046749</v>
      </c>
      <c r="B7132" s="2">
        <v>723</v>
      </c>
      <c r="C7132" s="4" t="str">
        <f>HYPERLINK("http://www.uniprot.org/uniprot/M5XB89","M5XB89")</f>
        <v>M5XB89</v>
      </c>
      <c r="D7132" s="2" t="s">
        <v>6371</v>
      </c>
      <c r="E7132" s="3">
        <v>2.1E-88</v>
      </c>
      <c r="F7132" s="2">
        <v>709</v>
      </c>
      <c r="G7132" s="2">
        <v>100</v>
      </c>
      <c r="H7132" s="2">
        <v>131</v>
      </c>
      <c r="I7132" s="2">
        <v>331</v>
      </c>
      <c r="J7132" s="2">
        <v>723</v>
      </c>
      <c r="K7132" s="2">
        <v>221</v>
      </c>
      <c r="L7132" s="2">
        <v>351</v>
      </c>
    </row>
    <row r="7133" spans="1:12" x14ac:dyDescent="0.25">
      <c r="A7133" s="4" t="str">
        <f>HYPERLINK("http://www.rosaceae.org/Prunus/Prunus_persica/p.persica_gdr_reftransV1_0047099","p.persica_gdr_reftransV1_0047099")</f>
        <v>p.persica_gdr_reftransV1_0047099</v>
      </c>
      <c r="B7133" s="2">
        <v>848</v>
      </c>
      <c r="C7133" s="4" t="str">
        <f>HYPERLINK("http://www.uniprot.org/uniprot/W9RNG7","W9RNG7")</f>
        <v>W9RNG7</v>
      </c>
      <c r="D7133" s="2" t="s">
        <v>6372</v>
      </c>
      <c r="E7133" s="3">
        <v>2.3200000000000002E-33</v>
      </c>
      <c r="F7133" s="2">
        <v>324</v>
      </c>
      <c r="G7133" s="2">
        <v>63</v>
      </c>
      <c r="H7133" s="2">
        <v>100</v>
      </c>
      <c r="I7133" s="2">
        <v>206</v>
      </c>
      <c r="J7133" s="2">
        <v>502</v>
      </c>
      <c r="K7133" s="2">
        <v>33</v>
      </c>
      <c r="L7133" s="2">
        <v>132</v>
      </c>
    </row>
    <row r="7134" spans="1:12" x14ac:dyDescent="0.25">
      <c r="A7134" s="4" t="str">
        <f>HYPERLINK("http://www.rosaceae.org/Prunus/Prunus_persica/p.persica_gdr_reftransV1_0047449","p.persica_gdr_reftransV1_0047449")</f>
        <v>p.persica_gdr_reftransV1_0047449</v>
      </c>
      <c r="B7134" s="2">
        <v>1196</v>
      </c>
      <c r="C7134" s="4" t="str">
        <f>HYPERLINK("http://www.uniprot.org/uniprot/M5WWK9","M5WWK9")</f>
        <v>M5WWK9</v>
      </c>
      <c r="D7134" s="2" t="s">
        <v>6373</v>
      </c>
      <c r="E7134" s="3">
        <v>2.2199999999999999E-85</v>
      </c>
      <c r="F7134" s="2">
        <v>691</v>
      </c>
      <c r="G7134" s="2">
        <v>75</v>
      </c>
      <c r="H7134" s="2">
        <v>211</v>
      </c>
      <c r="I7134" s="2">
        <v>164</v>
      </c>
      <c r="J7134" s="2">
        <v>790</v>
      </c>
      <c r="K7134" s="2">
        <v>1</v>
      </c>
      <c r="L7134" s="2">
        <v>211</v>
      </c>
    </row>
    <row r="7135" spans="1:12" x14ac:dyDescent="0.25">
      <c r="A7135" s="4" t="str">
        <f>HYPERLINK("http://www.rosaceae.org/Prunus/Prunus_persica/p.persica_gdr_reftransV1_0047799","p.persica_gdr_reftransV1_0047799")</f>
        <v>p.persica_gdr_reftransV1_0047799</v>
      </c>
      <c r="B7135" s="2">
        <v>1068</v>
      </c>
      <c r="C7135" s="4" t="str">
        <f>HYPERLINK("http://www.uniprot.org/uniprot/M5XFM2","M5XFM2")</f>
        <v>M5XFM2</v>
      </c>
      <c r="D7135" s="2" t="s">
        <v>6374</v>
      </c>
      <c r="E7135" s="3">
        <v>3.7799999999999999E-81</v>
      </c>
      <c r="F7135" s="2">
        <v>656</v>
      </c>
      <c r="G7135" s="2">
        <v>100</v>
      </c>
      <c r="H7135" s="2">
        <v>186</v>
      </c>
      <c r="I7135" s="2">
        <v>260</v>
      </c>
      <c r="J7135" s="2">
        <v>817</v>
      </c>
      <c r="K7135" s="2">
        <v>1</v>
      </c>
      <c r="L7135" s="2">
        <v>186</v>
      </c>
    </row>
    <row r="7136" spans="1:12" x14ac:dyDescent="0.25">
      <c r="A7136" s="4" t="str">
        <f>HYPERLINK("http://www.rosaceae.org/Prunus/Prunus_persica/p.persica_gdr_reftransV1_0048499","p.persica_gdr_reftransV1_0048499")</f>
        <v>p.persica_gdr_reftransV1_0048499</v>
      </c>
      <c r="B7136" s="2">
        <v>1843</v>
      </c>
      <c r="C7136" s="4" t="str">
        <f>HYPERLINK("http://www.uniprot.org/uniprot/M5XDF3","M5XDF3")</f>
        <v>M5XDF3</v>
      </c>
      <c r="D7136" s="2" t="s">
        <v>6375</v>
      </c>
      <c r="E7136" s="3">
        <v>1.0299999999999999E-159</v>
      </c>
      <c r="F7136" s="2">
        <v>1206</v>
      </c>
      <c r="G7136" s="2">
        <v>100</v>
      </c>
      <c r="H7136" s="2">
        <v>227</v>
      </c>
      <c r="I7136" s="2">
        <v>1099</v>
      </c>
      <c r="J7136" s="2">
        <v>1779</v>
      </c>
      <c r="K7136" s="2">
        <v>1</v>
      </c>
      <c r="L7136" s="2">
        <v>227</v>
      </c>
    </row>
    <row r="7137" spans="1:12" x14ac:dyDescent="0.25">
      <c r="A7137" s="4" t="str">
        <f>HYPERLINK("http://www.rosaceae.org/Prunus/Prunus_persica/p.persica_gdr_reftransV1_0048849","p.persica_gdr_reftransV1_0048849")</f>
        <v>p.persica_gdr_reftransV1_0048849</v>
      </c>
      <c r="B7137" s="2">
        <v>681</v>
      </c>
      <c r="C7137" s="4" t="str">
        <f>HYPERLINK("http://www.uniprot.org/uniprot/M5WBH6","M5WBH6")</f>
        <v>M5WBH6</v>
      </c>
      <c r="D7137" s="2" t="s">
        <v>6376</v>
      </c>
      <c r="E7137" s="3">
        <v>2.9599999999999999E-162</v>
      </c>
      <c r="F7137" s="2">
        <v>1211</v>
      </c>
      <c r="G7137" s="2">
        <v>100</v>
      </c>
      <c r="H7137" s="2">
        <v>226</v>
      </c>
      <c r="I7137" s="2">
        <v>3</v>
      </c>
      <c r="J7137" s="2">
        <v>680</v>
      </c>
      <c r="K7137" s="2">
        <v>219</v>
      </c>
      <c r="L7137" s="2">
        <v>444</v>
      </c>
    </row>
    <row r="7138" spans="1:12" x14ac:dyDescent="0.25">
      <c r="A7138" s="4" t="str">
        <f>HYPERLINK("http://www.rosaceae.org/Prunus/Prunus_persica/p.persica_gdr_reftransV1_0049199","p.persica_gdr_reftransV1_0049199")</f>
        <v>p.persica_gdr_reftransV1_0049199</v>
      </c>
      <c r="B7138" s="2">
        <v>2355</v>
      </c>
      <c r="C7138" s="4" t="str">
        <f>HYPERLINK("http://www.uniprot.org/uniprot/M5XJT9","M5XJT9")</f>
        <v>M5XJT9</v>
      </c>
      <c r="D7138" s="2" t="s">
        <v>6377</v>
      </c>
      <c r="E7138" s="3">
        <v>0</v>
      </c>
      <c r="F7138" s="2">
        <v>3132</v>
      </c>
      <c r="G7138" s="2">
        <v>89</v>
      </c>
      <c r="H7138" s="2">
        <v>666</v>
      </c>
      <c r="I7138" s="2">
        <v>88</v>
      </c>
      <c r="J7138" s="2">
        <v>2085</v>
      </c>
      <c r="K7138" s="2">
        <v>1</v>
      </c>
      <c r="L7138" s="2">
        <v>664</v>
      </c>
    </row>
    <row r="7139" spans="1:12" x14ac:dyDescent="0.25">
      <c r="A7139" s="4" t="str">
        <f>HYPERLINK("http://www.rosaceae.org/Prunus/Prunus_persica/p.persica_gdr_reftransV1_0000550","p.persica_gdr_reftransV1_0000550")</f>
        <v>p.persica_gdr_reftransV1_0000550</v>
      </c>
      <c r="B7139" s="2">
        <v>557</v>
      </c>
      <c r="C7139" s="4" t="str">
        <f>HYPERLINK("http://www.uniprot.org/uniprot/M5XR58","M5XR58")</f>
        <v>M5XR58</v>
      </c>
      <c r="D7139" s="2" t="s">
        <v>6378</v>
      </c>
      <c r="E7139" s="3">
        <v>1.8600000000000002E-101</v>
      </c>
      <c r="F7139" s="2">
        <v>769</v>
      </c>
      <c r="G7139" s="2">
        <v>100</v>
      </c>
      <c r="H7139" s="2">
        <v>143</v>
      </c>
      <c r="I7139" s="2">
        <v>10</v>
      </c>
      <c r="J7139" s="2">
        <v>438</v>
      </c>
      <c r="K7139" s="2">
        <v>1</v>
      </c>
      <c r="L7139" s="2">
        <v>143</v>
      </c>
    </row>
    <row r="7140" spans="1:12" x14ac:dyDescent="0.25">
      <c r="A7140" s="4" t="str">
        <f>HYPERLINK("http://www.rosaceae.org/Prunus/Prunus_persica/p.persica_gdr_reftransV1_0000900","p.persica_gdr_reftransV1_0000900")</f>
        <v>p.persica_gdr_reftransV1_0000900</v>
      </c>
      <c r="B7140" s="2">
        <v>579</v>
      </c>
      <c r="C7140" s="4" t="str">
        <f>HYPERLINK("http://www.uniprot.org/uniprot/M5VUT3","M5VUT3")</f>
        <v>M5VUT3</v>
      </c>
      <c r="D7140" s="2" t="s">
        <v>270</v>
      </c>
      <c r="E7140" s="3">
        <v>2.0100000000000001E-108</v>
      </c>
      <c r="F7140" s="2">
        <v>885</v>
      </c>
      <c r="G7140" s="2">
        <v>100</v>
      </c>
      <c r="H7140" s="2">
        <v>192</v>
      </c>
      <c r="I7140" s="2">
        <v>3</v>
      </c>
      <c r="J7140" s="2">
        <v>578</v>
      </c>
      <c r="K7140" s="2">
        <v>702</v>
      </c>
      <c r="L7140" s="2">
        <v>893</v>
      </c>
    </row>
    <row r="7141" spans="1:12" x14ac:dyDescent="0.25">
      <c r="A7141" s="4" t="str">
        <f>HYPERLINK("http://www.rosaceae.org/Prunus/Prunus_persica/p.persica_gdr_reftransV1_0001250","p.persica_gdr_reftransV1_0001250")</f>
        <v>p.persica_gdr_reftransV1_0001250</v>
      </c>
      <c r="B7141" s="2">
        <v>4948</v>
      </c>
      <c r="C7141" s="4" t="str">
        <f>HYPERLINK("http://www.uniprot.org/uniprot/M5VXK5","M5VXK5")</f>
        <v>M5VXK5</v>
      </c>
      <c r="D7141" s="2" t="s">
        <v>6379</v>
      </c>
      <c r="E7141" s="3">
        <v>0</v>
      </c>
      <c r="F7141" s="2">
        <v>4351</v>
      </c>
      <c r="G7141" s="2">
        <v>96</v>
      </c>
      <c r="H7141" s="2">
        <v>1019</v>
      </c>
      <c r="I7141" s="2">
        <v>1262</v>
      </c>
      <c r="J7141" s="2">
        <v>4315</v>
      </c>
      <c r="K7141" s="2">
        <v>330</v>
      </c>
      <c r="L7141" s="2">
        <v>1334</v>
      </c>
    </row>
    <row r="7142" spans="1:12" x14ac:dyDescent="0.25">
      <c r="A7142" s="4" t="str">
        <f>HYPERLINK("http://www.rosaceae.org/Prunus/Prunus_persica/p.persica_gdr_reftransV1_0001600","p.persica_gdr_reftransV1_0001600")</f>
        <v>p.persica_gdr_reftransV1_0001600</v>
      </c>
      <c r="B7142" s="2">
        <v>1584</v>
      </c>
      <c r="C7142" s="4" t="str">
        <f>HYPERLINK("http://www.uniprot.org/uniprot/M5WI23","M5WI23")</f>
        <v>M5WI23</v>
      </c>
      <c r="D7142" s="2" t="s">
        <v>6380</v>
      </c>
      <c r="E7142" s="3">
        <v>0</v>
      </c>
      <c r="F7142" s="2">
        <v>2036</v>
      </c>
      <c r="G7142" s="2">
        <v>100</v>
      </c>
      <c r="H7142" s="2">
        <v>408</v>
      </c>
      <c r="I7142" s="2">
        <v>180</v>
      </c>
      <c r="J7142" s="2">
        <v>1403</v>
      </c>
      <c r="K7142" s="2">
        <v>24</v>
      </c>
      <c r="L7142" s="2">
        <v>431</v>
      </c>
    </row>
    <row r="7143" spans="1:12" x14ac:dyDescent="0.25">
      <c r="A7143" s="4" t="str">
        <f>HYPERLINK("http://www.rosaceae.org/Prunus/Prunus_persica/p.persica_gdr_reftransV1_0001950","p.persica_gdr_reftransV1_0001950")</f>
        <v>p.persica_gdr_reftransV1_0001950</v>
      </c>
      <c r="B7143" s="2">
        <v>1289</v>
      </c>
      <c r="C7143" s="4" t="str">
        <f>HYPERLINK("http://www.uniprot.org/uniprot/M5WIJ4","M5WIJ4")</f>
        <v>M5WIJ4</v>
      </c>
      <c r="D7143" s="2" t="s">
        <v>6381</v>
      </c>
      <c r="E7143" s="3">
        <v>0</v>
      </c>
      <c r="F7143" s="2">
        <v>1532</v>
      </c>
      <c r="G7143" s="2">
        <v>98</v>
      </c>
      <c r="H7143" s="2">
        <v>327</v>
      </c>
      <c r="I7143" s="2">
        <v>218</v>
      </c>
      <c r="J7143" s="2">
        <v>1198</v>
      </c>
      <c r="K7143" s="2">
        <v>39</v>
      </c>
      <c r="L7143" s="2">
        <v>358</v>
      </c>
    </row>
    <row r="7144" spans="1:12" x14ac:dyDescent="0.25">
      <c r="A7144" s="4" t="str">
        <f>HYPERLINK("http://www.rosaceae.org/Prunus/Prunus_persica/p.persica_gdr_reftransV1_0002300","p.persica_gdr_reftransV1_0002300")</f>
        <v>p.persica_gdr_reftransV1_0002300</v>
      </c>
      <c r="B7144" s="2">
        <v>3590</v>
      </c>
      <c r="C7144" s="4" t="str">
        <f>HYPERLINK("http://www.uniprot.org/uniprot/M5W8J6","M5W8J6")</f>
        <v>M5W8J6</v>
      </c>
      <c r="D7144" s="2" t="s">
        <v>6062</v>
      </c>
      <c r="E7144" s="3">
        <v>0</v>
      </c>
      <c r="F7144" s="2">
        <v>2896</v>
      </c>
      <c r="G7144" s="2">
        <v>100</v>
      </c>
      <c r="H7144" s="2">
        <v>539</v>
      </c>
      <c r="I7144" s="2">
        <v>1592</v>
      </c>
      <c r="J7144" s="2">
        <v>3208</v>
      </c>
      <c r="K7144" s="2">
        <v>1</v>
      </c>
      <c r="L7144" s="2">
        <v>539</v>
      </c>
    </row>
    <row r="7145" spans="1:12" x14ac:dyDescent="0.25">
      <c r="A7145" s="4" t="str">
        <f>HYPERLINK("http://www.rosaceae.org/Prunus/Prunus_persica/p.persica_gdr_reftransV1_0002650","p.persica_gdr_reftransV1_0002650")</f>
        <v>p.persica_gdr_reftransV1_0002650</v>
      </c>
      <c r="B7145" s="2">
        <v>592</v>
      </c>
      <c r="C7145" s="4" t="str">
        <f>HYPERLINK("http://www.uniprot.org/uniprot/A0A061F0D6","A0A061F0D6")</f>
        <v>A0A061F0D6</v>
      </c>
      <c r="D7145" s="2" t="s">
        <v>6382</v>
      </c>
      <c r="E7145" s="3">
        <v>5.6400000000000002E-106</v>
      </c>
      <c r="F7145" s="2">
        <v>871</v>
      </c>
      <c r="G7145" s="2">
        <v>87</v>
      </c>
      <c r="H7145" s="2">
        <v>181</v>
      </c>
      <c r="I7145" s="2">
        <v>2</v>
      </c>
      <c r="J7145" s="2">
        <v>544</v>
      </c>
      <c r="K7145" s="2">
        <v>934</v>
      </c>
      <c r="L7145" s="2">
        <v>1114</v>
      </c>
    </row>
    <row r="7146" spans="1:12" x14ac:dyDescent="0.25">
      <c r="A7146" s="4" t="str">
        <f>HYPERLINK("http://www.rosaceae.org/Prunus/Prunus_persica/p.persica_gdr_reftransV1_0003000","p.persica_gdr_reftransV1_0003000")</f>
        <v>p.persica_gdr_reftransV1_0003000</v>
      </c>
      <c r="B7146" s="2">
        <v>776</v>
      </c>
      <c r="C7146" s="4" t="str">
        <f>HYPERLINK("http://www.uniprot.org/uniprot/M5W7J8","M5W7J8")</f>
        <v>M5W7J8</v>
      </c>
      <c r="D7146" s="2" t="s">
        <v>6383</v>
      </c>
      <c r="E7146" s="3">
        <v>1.7E-33</v>
      </c>
      <c r="F7146" s="2">
        <v>322</v>
      </c>
      <c r="G7146" s="2">
        <v>100</v>
      </c>
      <c r="H7146" s="2">
        <v>60</v>
      </c>
      <c r="I7146" s="2">
        <v>1</v>
      </c>
      <c r="J7146" s="2">
        <v>180</v>
      </c>
      <c r="K7146" s="2">
        <v>38</v>
      </c>
      <c r="L7146" s="2">
        <v>97</v>
      </c>
    </row>
    <row r="7147" spans="1:12" x14ac:dyDescent="0.25">
      <c r="A7147" s="4" t="str">
        <f>HYPERLINK("http://www.rosaceae.org/Prunus/Prunus_persica/p.persica_gdr_reftransV1_0003350","p.persica_gdr_reftransV1_0003350")</f>
        <v>p.persica_gdr_reftransV1_0003350</v>
      </c>
      <c r="B7147" s="2">
        <v>374</v>
      </c>
      <c r="C7147" s="4" t="str">
        <f>HYPERLINK("http://www.uniprot.org/uniprot/M5Y091","M5Y091")</f>
        <v>M5Y091</v>
      </c>
      <c r="D7147" s="2" t="s">
        <v>6384</v>
      </c>
      <c r="E7147" s="3">
        <v>2.8399999999999999E-58</v>
      </c>
      <c r="F7147" s="2">
        <v>467</v>
      </c>
      <c r="G7147" s="2">
        <v>100</v>
      </c>
      <c r="H7147" s="2">
        <v>89</v>
      </c>
      <c r="I7147" s="2">
        <v>3</v>
      </c>
      <c r="J7147" s="2">
        <v>269</v>
      </c>
      <c r="K7147" s="2">
        <v>153</v>
      </c>
      <c r="L7147" s="2">
        <v>241</v>
      </c>
    </row>
    <row r="7148" spans="1:12" x14ac:dyDescent="0.25">
      <c r="A7148" s="4" t="str">
        <f>HYPERLINK("http://www.rosaceae.org/Prunus/Prunus_persica/p.persica_gdr_reftransV1_0004050","p.persica_gdr_reftransV1_0004050")</f>
        <v>p.persica_gdr_reftransV1_0004050</v>
      </c>
      <c r="B7148" s="2">
        <v>3280</v>
      </c>
      <c r="C7148" s="4" t="str">
        <f>HYPERLINK("http://www.uniprot.org/uniprot/M5XR41","M5XR41")</f>
        <v>M5XR41</v>
      </c>
      <c r="D7148" s="2" t="s">
        <v>6385</v>
      </c>
      <c r="E7148" s="3">
        <v>0</v>
      </c>
      <c r="F7148" s="2">
        <v>5006</v>
      </c>
      <c r="G7148" s="2">
        <v>100</v>
      </c>
      <c r="H7148" s="2">
        <v>977</v>
      </c>
      <c r="I7148" s="2">
        <v>3</v>
      </c>
      <c r="J7148" s="2">
        <v>2933</v>
      </c>
      <c r="K7148" s="2">
        <v>32</v>
      </c>
      <c r="L7148" s="2">
        <v>1008</v>
      </c>
    </row>
    <row r="7149" spans="1:12" x14ac:dyDescent="0.25">
      <c r="A7149" s="4" t="str">
        <f>HYPERLINK("http://www.rosaceae.org/Prunus/Prunus_persica/p.persica_gdr_reftransV1_0004400","p.persica_gdr_reftransV1_0004400")</f>
        <v>p.persica_gdr_reftransV1_0004400</v>
      </c>
      <c r="B7149" s="2">
        <v>4481</v>
      </c>
      <c r="C7149" s="4" t="str">
        <f>HYPERLINK("http://www.uniprot.org/uniprot/M5VXL6","M5VXL6")</f>
        <v>M5VXL6</v>
      </c>
      <c r="D7149" s="2" t="s">
        <v>6386</v>
      </c>
      <c r="E7149" s="3">
        <v>0</v>
      </c>
      <c r="F7149" s="2">
        <v>2964</v>
      </c>
      <c r="G7149" s="2">
        <v>100</v>
      </c>
      <c r="H7149" s="2">
        <v>573</v>
      </c>
      <c r="I7149" s="2">
        <v>297</v>
      </c>
      <c r="J7149" s="2">
        <v>2015</v>
      </c>
      <c r="K7149" s="2">
        <v>1</v>
      </c>
      <c r="L7149" s="2">
        <v>573</v>
      </c>
    </row>
    <row r="7150" spans="1:12" x14ac:dyDescent="0.25">
      <c r="A7150" s="4" t="str">
        <f>HYPERLINK("http://www.rosaceae.org/Prunus/Prunus_persica/p.persica_gdr_reftransV1_0004750","p.persica_gdr_reftransV1_0004750")</f>
        <v>p.persica_gdr_reftransV1_0004750</v>
      </c>
      <c r="B7150" s="2">
        <v>1509</v>
      </c>
      <c r="C7150" s="4" t="str">
        <f>HYPERLINK("http://www.uniprot.org/uniprot/M5XZC3","M5XZC3")</f>
        <v>M5XZC3</v>
      </c>
      <c r="D7150" s="2" t="s">
        <v>1931</v>
      </c>
      <c r="E7150" s="3">
        <v>7.9799999999999997E-65</v>
      </c>
      <c r="F7150" s="2">
        <v>554</v>
      </c>
      <c r="G7150" s="2">
        <v>100</v>
      </c>
      <c r="H7150" s="2">
        <v>120</v>
      </c>
      <c r="I7150" s="2">
        <v>951</v>
      </c>
      <c r="J7150" s="2">
        <v>1310</v>
      </c>
      <c r="K7150" s="2">
        <v>16</v>
      </c>
      <c r="L7150" s="2">
        <v>135</v>
      </c>
    </row>
    <row r="7151" spans="1:12" x14ac:dyDescent="0.25">
      <c r="A7151" s="4" t="str">
        <f>HYPERLINK("http://www.rosaceae.org/Prunus/Prunus_persica/p.persica_gdr_reftransV1_0005800","p.persica_gdr_reftransV1_0005800")</f>
        <v>p.persica_gdr_reftransV1_0005800</v>
      </c>
      <c r="B7151" s="2">
        <v>2056</v>
      </c>
      <c r="C7151" s="4" t="str">
        <f>HYPERLINK("http://www.uniprot.org/uniprot/M5XWJ5","M5XWJ5")</f>
        <v>M5XWJ5</v>
      </c>
      <c r="D7151" s="2" t="s">
        <v>6387</v>
      </c>
      <c r="E7151" s="3">
        <v>5.58E-88</v>
      </c>
      <c r="F7151" s="2">
        <v>737</v>
      </c>
      <c r="G7151" s="2">
        <v>95</v>
      </c>
      <c r="H7151" s="2">
        <v>174</v>
      </c>
      <c r="I7151" s="2">
        <v>301</v>
      </c>
      <c r="J7151" s="2">
        <v>822</v>
      </c>
      <c r="K7151" s="2">
        <v>106</v>
      </c>
      <c r="L7151" s="2">
        <v>279</v>
      </c>
    </row>
    <row r="7152" spans="1:12" x14ac:dyDescent="0.25">
      <c r="A7152" s="4" t="str">
        <f>HYPERLINK("http://www.rosaceae.org/Prunus/Prunus_persica/p.persica_gdr_reftransV1_0006150","p.persica_gdr_reftransV1_0006150")</f>
        <v>p.persica_gdr_reftransV1_0006150</v>
      </c>
      <c r="B7152" s="2">
        <v>511</v>
      </c>
      <c r="C7152" s="4" t="str">
        <f>HYPERLINK("http://www.uniprot.org/uniprot/M5WQ98","M5WQ98")</f>
        <v>M5WQ98</v>
      </c>
      <c r="D7152" s="2" t="s">
        <v>6388</v>
      </c>
      <c r="E7152" s="3">
        <v>1.5099999999999999E-100</v>
      </c>
      <c r="F7152" s="2">
        <v>783</v>
      </c>
      <c r="G7152" s="2">
        <v>99</v>
      </c>
      <c r="H7152" s="2">
        <v>148</v>
      </c>
      <c r="I7152" s="2">
        <v>1</v>
      </c>
      <c r="J7152" s="2">
        <v>444</v>
      </c>
      <c r="K7152" s="2">
        <v>229</v>
      </c>
      <c r="L7152" s="2">
        <v>376</v>
      </c>
    </row>
    <row r="7153" spans="1:12" x14ac:dyDescent="0.25">
      <c r="A7153" s="4" t="str">
        <f>HYPERLINK("http://www.rosaceae.org/Prunus/Prunus_persica/p.persica_gdr_reftransV1_0006500","p.persica_gdr_reftransV1_0006500")</f>
        <v>p.persica_gdr_reftransV1_0006500</v>
      </c>
      <c r="B7153" s="2">
        <v>1177</v>
      </c>
      <c r="C7153" s="4" t="str">
        <f>HYPERLINK("http://www.uniprot.org/uniprot/M5VMQ9","M5VMQ9")</f>
        <v>M5VMQ9</v>
      </c>
      <c r="D7153" s="2" t="s">
        <v>6389</v>
      </c>
      <c r="E7153" s="3">
        <v>6.0200000000000001E-105</v>
      </c>
      <c r="F7153" s="2">
        <v>815</v>
      </c>
      <c r="G7153" s="2">
        <v>100</v>
      </c>
      <c r="H7153" s="2">
        <v>157</v>
      </c>
      <c r="I7153" s="2">
        <v>456</v>
      </c>
      <c r="J7153" s="2">
        <v>926</v>
      </c>
      <c r="K7153" s="2">
        <v>1</v>
      </c>
      <c r="L7153" s="2">
        <v>157</v>
      </c>
    </row>
    <row r="7154" spans="1:12" x14ac:dyDescent="0.25">
      <c r="A7154" s="4" t="str">
        <f>HYPERLINK("http://www.rosaceae.org/Prunus/Prunus_persica/p.persica_gdr_reftransV1_0007200","p.persica_gdr_reftransV1_0007200")</f>
        <v>p.persica_gdr_reftransV1_0007200</v>
      </c>
      <c r="B7154" s="2">
        <v>1024</v>
      </c>
      <c r="C7154" s="4" t="str">
        <f>HYPERLINK("http://www.uniprot.org/uniprot/M5W5U7","M5W5U7")</f>
        <v>M5W5U7</v>
      </c>
      <c r="D7154" s="2" t="s">
        <v>6390</v>
      </c>
      <c r="E7154" s="3">
        <v>6.4700000000000001E-59</v>
      </c>
      <c r="F7154" s="2">
        <v>498</v>
      </c>
      <c r="G7154" s="2">
        <v>100</v>
      </c>
      <c r="H7154" s="2">
        <v>94</v>
      </c>
      <c r="I7154" s="2">
        <v>685</v>
      </c>
      <c r="J7154" s="2">
        <v>966</v>
      </c>
      <c r="K7154" s="2">
        <v>1</v>
      </c>
      <c r="L7154" s="2">
        <v>94</v>
      </c>
    </row>
    <row r="7155" spans="1:12" x14ac:dyDescent="0.25">
      <c r="A7155" s="4" t="str">
        <f>HYPERLINK("http://www.rosaceae.org/Prunus/Prunus_persica/p.persica_gdr_reftransV1_0007900","p.persica_gdr_reftransV1_0007900")</f>
        <v>p.persica_gdr_reftransV1_0007900</v>
      </c>
      <c r="B7155" s="2">
        <v>716</v>
      </c>
      <c r="C7155" s="4" t="str">
        <f>HYPERLINK("http://www.uniprot.org/uniprot/M5Y320","M5Y320")</f>
        <v>M5Y320</v>
      </c>
      <c r="D7155" s="2" t="s">
        <v>1536</v>
      </c>
      <c r="E7155" s="3">
        <v>2.5799999999999999E-60</v>
      </c>
      <c r="F7155" s="2">
        <v>500</v>
      </c>
      <c r="G7155" s="2">
        <v>100</v>
      </c>
      <c r="H7155" s="2">
        <v>96</v>
      </c>
      <c r="I7155" s="2">
        <v>52</v>
      </c>
      <c r="J7155" s="2">
        <v>339</v>
      </c>
      <c r="K7155" s="2">
        <v>1</v>
      </c>
      <c r="L7155" s="2">
        <v>96</v>
      </c>
    </row>
    <row r="7156" spans="1:12" x14ac:dyDescent="0.25">
      <c r="A7156" s="4" t="str">
        <f>HYPERLINK("http://www.rosaceae.org/Prunus/Prunus_persica/p.persica_gdr_reftransV1_0008950","p.persica_gdr_reftransV1_0008950")</f>
        <v>p.persica_gdr_reftransV1_0008950</v>
      </c>
      <c r="B7156" s="2">
        <v>1200</v>
      </c>
      <c r="C7156" s="4" t="str">
        <f>HYPERLINK("http://www.uniprot.org/uniprot/M5XD56","M5XD56")</f>
        <v>M5XD56</v>
      </c>
      <c r="D7156" s="2" t="s">
        <v>6391</v>
      </c>
      <c r="E7156" s="3">
        <v>9.2799999999999996E-178</v>
      </c>
      <c r="F7156" s="2">
        <v>1308</v>
      </c>
      <c r="G7156" s="2">
        <v>100</v>
      </c>
      <c r="H7156" s="2">
        <v>267</v>
      </c>
      <c r="I7156" s="2">
        <v>395</v>
      </c>
      <c r="J7156" s="2">
        <v>1195</v>
      </c>
      <c r="K7156" s="2">
        <v>1</v>
      </c>
      <c r="L7156" s="2">
        <v>267</v>
      </c>
    </row>
    <row r="7157" spans="1:12" x14ac:dyDescent="0.25">
      <c r="A7157" s="4" t="str">
        <f>HYPERLINK("http://www.rosaceae.org/Prunus/Prunus_persica/p.persica_gdr_reftransV1_0009300","p.persica_gdr_reftransV1_0009300")</f>
        <v>p.persica_gdr_reftransV1_0009300</v>
      </c>
      <c r="B7157" s="2">
        <v>2006</v>
      </c>
      <c r="C7157" s="4" t="str">
        <f>HYPERLINK("http://www.uniprot.org/uniprot/A0A097PM12","A0A097PM12")</f>
        <v>A0A097PM12</v>
      </c>
      <c r="D7157" s="2" t="s">
        <v>6392</v>
      </c>
      <c r="E7157" s="3">
        <v>0</v>
      </c>
      <c r="F7157" s="2">
        <v>1841</v>
      </c>
      <c r="G7157" s="2">
        <v>83</v>
      </c>
      <c r="H7157" s="2">
        <v>414</v>
      </c>
      <c r="I7157" s="2">
        <v>339</v>
      </c>
      <c r="J7157" s="2">
        <v>1580</v>
      </c>
      <c r="K7157" s="2">
        <v>1</v>
      </c>
      <c r="L7157" s="2">
        <v>404</v>
      </c>
    </row>
    <row r="7158" spans="1:12" x14ac:dyDescent="0.25">
      <c r="A7158" s="4" t="str">
        <f>HYPERLINK("http://www.rosaceae.org/Prunus/Prunus_persica/p.persica_gdr_reftransV1_0009650","p.persica_gdr_reftransV1_0009650")</f>
        <v>p.persica_gdr_reftransV1_0009650</v>
      </c>
      <c r="B7158" s="2">
        <v>1566</v>
      </c>
      <c r="C7158" s="4" t="str">
        <f>HYPERLINK("http://www.uniprot.org/uniprot/M5XCT4","M5XCT4")</f>
        <v>M5XCT4</v>
      </c>
      <c r="D7158" s="2" t="s">
        <v>1820</v>
      </c>
      <c r="E7158" s="3">
        <v>8.0499999999999997E-169</v>
      </c>
      <c r="F7158" s="2">
        <v>1190</v>
      </c>
      <c r="G7158" s="2">
        <v>99</v>
      </c>
      <c r="H7158" s="2">
        <v>245</v>
      </c>
      <c r="I7158" s="2">
        <v>629</v>
      </c>
      <c r="J7158" s="2">
        <v>1363</v>
      </c>
      <c r="K7158" s="2">
        <v>78</v>
      </c>
      <c r="L7158" s="2">
        <v>322</v>
      </c>
    </row>
    <row r="7159" spans="1:12" x14ac:dyDescent="0.25">
      <c r="A7159" s="4" t="str">
        <f>HYPERLINK("http://www.rosaceae.org/Prunus/Prunus_persica/p.persica_gdr_reftransV1_0010000","p.persica_gdr_reftransV1_0010000")</f>
        <v>p.persica_gdr_reftransV1_0010000</v>
      </c>
      <c r="B7159" s="2">
        <v>780</v>
      </c>
      <c r="C7159" s="4" t="str">
        <f>HYPERLINK("http://www.uniprot.org/uniprot/A5BFG0","A5BFG0")</f>
        <v>A5BFG0</v>
      </c>
      <c r="D7159" s="2" t="s">
        <v>6393</v>
      </c>
      <c r="E7159" s="3">
        <v>2.2399999999999998E-127</v>
      </c>
      <c r="F7159" s="2">
        <v>997</v>
      </c>
      <c r="G7159" s="2">
        <v>69</v>
      </c>
      <c r="H7159" s="2">
        <v>259</v>
      </c>
      <c r="I7159" s="2">
        <v>6</v>
      </c>
      <c r="J7159" s="2">
        <v>779</v>
      </c>
      <c r="K7159" s="2">
        <v>262</v>
      </c>
      <c r="L7159" s="2">
        <v>520</v>
      </c>
    </row>
    <row r="7160" spans="1:12" x14ac:dyDescent="0.25">
      <c r="A7160" s="4" t="str">
        <f>HYPERLINK("http://www.rosaceae.org/Prunus/Prunus_persica/p.persica_gdr_reftransV1_0010700","p.persica_gdr_reftransV1_0010700")</f>
        <v>p.persica_gdr_reftransV1_0010700</v>
      </c>
      <c r="B7160" s="2">
        <v>2360</v>
      </c>
      <c r="C7160" s="4" t="str">
        <f>HYPERLINK("http://www.uniprot.org/uniprot/U5GCT7","U5GCT7")</f>
        <v>U5GCT7</v>
      </c>
      <c r="D7160" s="2" t="s">
        <v>6394</v>
      </c>
      <c r="E7160" s="3">
        <v>1.41E-26</v>
      </c>
      <c r="F7160" s="2">
        <v>316</v>
      </c>
      <c r="G7160" s="2">
        <v>40</v>
      </c>
      <c r="H7160" s="2">
        <v>441</v>
      </c>
      <c r="I7160" s="2">
        <v>757</v>
      </c>
      <c r="J7160" s="2">
        <v>1995</v>
      </c>
      <c r="K7160" s="2">
        <v>353</v>
      </c>
      <c r="L7160" s="2">
        <v>749</v>
      </c>
    </row>
    <row r="7161" spans="1:12" x14ac:dyDescent="0.25">
      <c r="A7161" s="4" t="str">
        <f>HYPERLINK("http://www.rosaceae.org/Prunus/Prunus_persica/p.persica_gdr_reftransV1_0011400","p.persica_gdr_reftransV1_0011400")</f>
        <v>p.persica_gdr_reftransV1_0011400</v>
      </c>
      <c r="B7161" s="2">
        <v>1439</v>
      </c>
      <c r="C7161" s="4" t="str">
        <f>HYPERLINK("http://www.uniprot.org/uniprot/M5X5W7","M5X5W7")</f>
        <v>M5X5W7</v>
      </c>
      <c r="D7161" s="2" t="s">
        <v>6395</v>
      </c>
      <c r="E7161" s="3">
        <v>0</v>
      </c>
      <c r="F7161" s="2">
        <v>1489</v>
      </c>
      <c r="G7161" s="2">
        <v>100</v>
      </c>
      <c r="H7161" s="2">
        <v>311</v>
      </c>
      <c r="I7161" s="2">
        <v>149</v>
      </c>
      <c r="J7161" s="2">
        <v>1081</v>
      </c>
      <c r="K7161" s="2">
        <v>1</v>
      </c>
      <c r="L7161" s="2">
        <v>311</v>
      </c>
    </row>
    <row r="7162" spans="1:12" x14ac:dyDescent="0.25">
      <c r="A7162" s="4" t="str">
        <f>HYPERLINK("http://www.rosaceae.org/Prunus/Prunus_persica/p.persica_gdr_reftransV1_0012100","p.persica_gdr_reftransV1_0012100")</f>
        <v>p.persica_gdr_reftransV1_0012100</v>
      </c>
      <c r="B7162" s="2">
        <v>937</v>
      </c>
      <c r="C7162" s="4" t="str">
        <f>HYPERLINK("http://www.uniprot.org/uniprot/M5WYZ3","M5WYZ3")</f>
        <v>M5WYZ3</v>
      </c>
      <c r="D7162" s="2" t="s">
        <v>6396</v>
      </c>
      <c r="E7162" s="3">
        <v>6.2699999999999997E-150</v>
      </c>
      <c r="F7162" s="2">
        <v>1111</v>
      </c>
      <c r="G7162" s="2">
        <v>100</v>
      </c>
      <c r="H7162" s="2">
        <v>226</v>
      </c>
      <c r="I7162" s="2">
        <v>170</v>
      </c>
      <c r="J7162" s="2">
        <v>847</v>
      </c>
      <c r="K7162" s="2">
        <v>1</v>
      </c>
      <c r="L7162" s="2">
        <v>226</v>
      </c>
    </row>
    <row r="7163" spans="1:12" x14ac:dyDescent="0.25">
      <c r="A7163" s="4" t="str">
        <f>HYPERLINK("http://www.rosaceae.org/Prunus/Prunus_persica/p.persica_gdr_reftransV1_0012800","p.persica_gdr_reftransV1_0012800")</f>
        <v>p.persica_gdr_reftransV1_0012800</v>
      </c>
      <c r="B7163" s="2">
        <v>1670</v>
      </c>
      <c r="C7163" s="4" t="str">
        <f>HYPERLINK("http://www.uniprot.org/uniprot/M5Y307","M5Y307")</f>
        <v>M5Y307</v>
      </c>
      <c r="D7163" s="2" t="s">
        <v>6397</v>
      </c>
      <c r="E7163" s="3">
        <v>0</v>
      </c>
      <c r="F7163" s="2">
        <v>1637</v>
      </c>
      <c r="G7163" s="2">
        <v>95</v>
      </c>
      <c r="H7163" s="2">
        <v>404</v>
      </c>
      <c r="I7163" s="2">
        <v>390</v>
      </c>
      <c r="J7163" s="2">
        <v>1601</v>
      </c>
      <c r="K7163" s="2">
        <v>48</v>
      </c>
      <c r="L7163" s="2">
        <v>431</v>
      </c>
    </row>
    <row r="7164" spans="1:12" x14ac:dyDescent="0.25">
      <c r="A7164" s="4" t="str">
        <f>HYPERLINK("http://www.rosaceae.org/Prunus/Prunus_persica/p.persica_gdr_reftransV1_0013500","p.persica_gdr_reftransV1_0013500")</f>
        <v>p.persica_gdr_reftransV1_0013500</v>
      </c>
      <c r="B7164" s="2">
        <v>723</v>
      </c>
      <c r="C7164" s="4" t="str">
        <f>HYPERLINK("http://www.uniprot.org/uniprot/M5WDR2","M5WDR2")</f>
        <v>M5WDR2</v>
      </c>
      <c r="D7164" s="2" t="s">
        <v>6398</v>
      </c>
      <c r="E7164" s="3">
        <v>1.22E-177</v>
      </c>
      <c r="F7164" s="2">
        <v>1298</v>
      </c>
      <c r="G7164" s="2">
        <v>100</v>
      </c>
      <c r="H7164" s="2">
        <v>240</v>
      </c>
      <c r="I7164" s="2">
        <v>3</v>
      </c>
      <c r="J7164" s="2">
        <v>722</v>
      </c>
      <c r="K7164" s="2">
        <v>100</v>
      </c>
      <c r="L7164" s="2">
        <v>339</v>
      </c>
    </row>
    <row r="7165" spans="1:12" x14ac:dyDescent="0.25">
      <c r="A7165" s="4" t="str">
        <f>HYPERLINK("http://www.rosaceae.org/Prunus/Prunus_persica/p.persica_gdr_reftransV1_0014200","p.persica_gdr_reftransV1_0014200")</f>
        <v>p.persica_gdr_reftransV1_0014200</v>
      </c>
      <c r="B7165" s="2">
        <v>2125</v>
      </c>
      <c r="C7165" s="4" t="str">
        <f>HYPERLINK("http://www.uniprot.org/uniprot/A0A089VES8","A0A089VES8")</f>
        <v>A0A089VES8</v>
      </c>
      <c r="D7165" s="2" t="s">
        <v>6399</v>
      </c>
      <c r="E7165" s="3">
        <v>0</v>
      </c>
      <c r="F7165" s="2">
        <v>2301</v>
      </c>
      <c r="G7165" s="2">
        <v>95</v>
      </c>
      <c r="H7165" s="2">
        <v>474</v>
      </c>
      <c r="I7165" s="2">
        <v>337</v>
      </c>
      <c r="J7165" s="2">
        <v>1755</v>
      </c>
      <c r="K7165" s="2">
        <v>1</v>
      </c>
      <c r="L7165" s="2">
        <v>470</v>
      </c>
    </row>
    <row r="7166" spans="1:12" x14ac:dyDescent="0.25">
      <c r="A7166" s="4" t="str">
        <f>HYPERLINK("http://www.rosaceae.org/Prunus/Prunus_persica/p.persica_gdr_reftransV1_0014550","p.persica_gdr_reftransV1_0014550")</f>
        <v>p.persica_gdr_reftransV1_0014550</v>
      </c>
      <c r="B7166" s="2">
        <v>1512</v>
      </c>
      <c r="C7166" s="4" t="str">
        <f>HYPERLINK("http://www.uniprot.org/uniprot/M5VKE6","M5VKE6")</f>
        <v>M5VKE6</v>
      </c>
      <c r="D7166" s="2" t="s">
        <v>6400</v>
      </c>
      <c r="E7166" s="3">
        <v>5.0999999999999995E-162</v>
      </c>
      <c r="F7166" s="2">
        <v>1211</v>
      </c>
      <c r="G7166" s="2">
        <v>100</v>
      </c>
      <c r="H7166" s="2">
        <v>229</v>
      </c>
      <c r="I7166" s="2">
        <v>266</v>
      </c>
      <c r="J7166" s="2">
        <v>952</v>
      </c>
      <c r="K7166" s="2">
        <v>1</v>
      </c>
      <c r="L7166" s="2">
        <v>229</v>
      </c>
    </row>
    <row r="7167" spans="1:12" x14ac:dyDescent="0.25">
      <c r="A7167" s="4" t="str">
        <f>HYPERLINK("http://www.rosaceae.org/Prunus/Prunus_persica/p.persica_gdr_reftransV1_0014900","p.persica_gdr_reftransV1_0014900")</f>
        <v>p.persica_gdr_reftransV1_0014900</v>
      </c>
      <c r="B7167" s="2">
        <v>879</v>
      </c>
      <c r="C7167" s="4" t="str">
        <f>HYPERLINK("http://www.uniprot.org/uniprot/M5WVG4","M5WVG4")</f>
        <v>M5WVG4</v>
      </c>
      <c r="D7167" s="2" t="s">
        <v>6401</v>
      </c>
      <c r="E7167" s="3">
        <v>1.18E-113</v>
      </c>
      <c r="F7167" s="2">
        <v>865</v>
      </c>
      <c r="G7167" s="2">
        <v>100</v>
      </c>
      <c r="H7167" s="2">
        <v>181</v>
      </c>
      <c r="I7167" s="2">
        <v>104</v>
      </c>
      <c r="J7167" s="2">
        <v>646</v>
      </c>
      <c r="K7167" s="2">
        <v>1</v>
      </c>
      <c r="L7167" s="2">
        <v>181</v>
      </c>
    </row>
    <row r="7168" spans="1:12" x14ac:dyDescent="0.25">
      <c r="A7168" s="4" t="str">
        <f>HYPERLINK("http://www.rosaceae.org/Prunus/Prunus_persica/p.persica_gdr_reftransV1_0015600","p.persica_gdr_reftransV1_0015600")</f>
        <v>p.persica_gdr_reftransV1_0015600</v>
      </c>
      <c r="B7168" s="2">
        <v>1922</v>
      </c>
      <c r="C7168" s="4" t="str">
        <f>HYPERLINK("http://www.uniprot.org/uniprot/M5XYK3","M5XYK3")</f>
        <v>M5XYK3</v>
      </c>
      <c r="D7168" s="2" t="s">
        <v>6402</v>
      </c>
      <c r="E7168" s="3">
        <v>0</v>
      </c>
      <c r="F7168" s="2">
        <v>2349</v>
      </c>
      <c r="G7168" s="2">
        <v>99</v>
      </c>
      <c r="H7168" s="2">
        <v>465</v>
      </c>
      <c r="I7168" s="2">
        <v>277</v>
      </c>
      <c r="J7168" s="2">
        <v>1671</v>
      </c>
      <c r="K7168" s="2">
        <v>1</v>
      </c>
      <c r="L7168" s="2">
        <v>459</v>
      </c>
    </row>
    <row r="7169" spans="1:12" x14ac:dyDescent="0.25">
      <c r="A7169" s="4" t="str">
        <f>HYPERLINK("http://www.rosaceae.org/Prunus/Prunus_persica/p.persica_gdr_reftransV1_0016650","p.persica_gdr_reftransV1_0016650")</f>
        <v>p.persica_gdr_reftransV1_0016650</v>
      </c>
      <c r="B7169" s="2">
        <v>2884</v>
      </c>
      <c r="C7169" s="4" t="str">
        <f>HYPERLINK("http://www.uniprot.org/uniprot/M5WZY4","M5WZY4")</f>
        <v>M5WZY4</v>
      </c>
      <c r="D7169" s="2" t="s">
        <v>6403</v>
      </c>
      <c r="E7169" s="3">
        <v>0</v>
      </c>
      <c r="F7169" s="2">
        <v>1689</v>
      </c>
      <c r="G7169" s="2">
        <v>100</v>
      </c>
      <c r="H7169" s="2">
        <v>344</v>
      </c>
      <c r="I7169" s="2">
        <v>177</v>
      </c>
      <c r="J7169" s="2">
        <v>1208</v>
      </c>
      <c r="K7169" s="2">
        <v>22</v>
      </c>
      <c r="L7169" s="2">
        <v>365</v>
      </c>
    </row>
    <row r="7170" spans="1:12" x14ac:dyDescent="0.25">
      <c r="A7170" s="4" t="str">
        <f>HYPERLINK("http://www.rosaceae.org/Prunus/Prunus_persica/p.persica_gdr_reftransV1_0017000","p.persica_gdr_reftransV1_0017000")</f>
        <v>p.persica_gdr_reftransV1_0017000</v>
      </c>
      <c r="B7170" s="2">
        <v>2276</v>
      </c>
      <c r="C7170" s="4" t="str">
        <f>HYPERLINK("http://www.uniprot.org/uniprot/M5XC33","M5XC33")</f>
        <v>M5XC33</v>
      </c>
      <c r="D7170" s="2" t="s">
        <v>6404</v>
      </c>
      <c r="E7170" s="3">
        <v>0</v>
      </c>
      <c r="F7170" s="2">
        <v>2323</v>
      </c>
      <c r="G7170" s="2">
        <v>100</v>
      </c>
      <c r="H7170" s="2">
        <v>531</v>
      </c>
      <c r="I7170" s="2">
        <v>74</v>
      </c>
      <c r="J7170" s="2">
        <v>1666</v>
      </c>
      <c r="K7170" s="2">
        <v>1</v>
      </c>
      <c r="L7170" s="2">
        <v>531</v>
      </c>
    </row>
    <row r="7171" spans="1:12" x14ac:dyDescent="0.25">
      <c r="A7171" s="4" t="str">
        <f>HYPERLINK("http://www.rosaceae.org/Prunus/Prunus_persica/p.persica_gdr_reftransV1_0017700","p.persica_gdr_reftransV1_0017700")</f>
        <v>p.persica_gdr_reftransV1_0017700</v>
      </c>
      <c r="B7171" s="2">
        <v>3109</v>
      </c>
      <c r="C7171" s="4" t="str">
        <f>HYPERLINK("http://www.uniprot.org/uniprot/D7TA84","D7TA84")</f>
        <v>D7TA84</v>
      </c>
      <c r="D7171" s="2" t="s">
        <v>6405</v>
      </c>
      <c r="E7171" s="3">
        <v>0</v>
      </c>
      <c r="F7171" s="2">
        <v>2746</v>
      </c>
      <c r="G7171" s="2">
        <v>64</v>
      </c>
      <c r="H7171" s="2">
        <v>829</v>
      </c>
      <c r="I7171" s="2">
        <v>70</v>
      </c>
      <c r="J7171" s="2">
        <v>2556</v>
      </c>
      <c r="K7171" s="2">
        <v>1</v>
      </c>
      <c r="L7171" s="2">
        <v>819</v>
      </c>
    </row>
    <row r="7172" spans="1:12" x14ac:dyDescent="0.25">
      <c r="A7172" s="4" t="str">
        <f>HYPERLINK("http://www.rosaceae.org/Prunus/Prunus_persica/p.persica_gdr_reftransV1_0019800","p.persica_gdr_reftransV1_0019800")</f>
        <v>p.persica_gdr_reftransV1_0019800</v>
      </c>
      <c r="B7172" s="2">
        <v>1338</v>
      </c>
      <c r="C7172" s="4" t="str">
        <f>HYPERLINK("http://www.uniprot.org/uniprot/M5W3Z1","M5W3Z1")</f>
        <v>M5W3Z1</v>
      </c>
      <c r="D7172" s="2" t="s">
        <v>6406</v>
      </c>
      <c r="E7172" s="3">
        <v>1.8200000000000001E-34</v>
      </c>
      <c r="F7172" s="2">
        <v>339</v>
      </c>
      <c r="G7172" s="2">
        <v>100</v>
      </c>
      <c r="H7172" s="2">
        <v>110</v>
      </c>
      <c r="I7172" s="2">
        <v>121</v>
      </c>
      <c r="J7172" s="2">
        <v>450</v>
      </c>
      <c r="K7172" s="2">
        <v>1</v>
      </c>
      <c r="L7172" s="2">
        <v>110</v>
      </c>
    </row>
    <row r="7173" spans="1:12" x14ac:dyDescent="0.25">
      <c r="A7173" s="4" t="str">
        <f>HYPERLINK("http://www.rosaceae.org/Prunus/Prunus_persica/p.persica_gdr_reftransV1_0020500","p.persica_gdr_reftransV1_0020500")</f>
        <v>p.persica_gdr_reftransV1_0020500</v>
      </c>
      <c r="B7173" s="2">
        <v>1617</v>
      </c>
      <c r="C7173" s="4" t="str">
        <f>HYPERLINK("http://www.uniprot.org/uniprot/M5VZK2","M5VZK2")</f>
        <v>M5VZK2</v>
      </c>
      <c r="D7173" s="2" t="s">
        <v>3226</v>
      </c>
      <c r="E7173" s="3">
        <v>2.0700000000000001E-79</v>
      </c>
      <c r="F7173" s="2">
        <v>669</v>
      </c>
      <c r="G7173" s="2">
        <v>100</v>
      </c>
      <c r="H7173" s="2">
        <v>128</v>
      </c>
      <c r="I7173" s="2">
        <v>962</v>
      </c>
      <c r="J7173" s="2">
        <v>1345</v>
      </c>
      <c r="K7173" s="2">
        <v>153</v>
      </c>
      <c r="L7173" s="2">
        <v>280</v>
      </c>
    </row>
    <row r="7174" spans="1:12" x14ac:dyDescent="0.25">
      <c r="A7174" s="4" t="str">
        <f>HYPERLINK("http://www.rosaceae.org/Prunus/Prunus_persica/p.persica_gdr_reftransV1_0020850","p.persica_gdr_reftransV1_0020850")</f>
        <v>p.persica_gdr_reftransV1_0020850</v>
      </c>
      <c r="B7174" s="2">
        <v>2195</v>
      </c>
      <c r="C7174" s="4" t="str">
        <f>HYPERLINK("http://www.uniprot.org/uniprot/M5W937","M5W937")</f>
        <v>M5W937</v>
      </c>
      <c r="D7174" s="2" t="s">
        <v>6407</v>
      </c>
      <c r="E7174" s="3">
        <v>0</v>
      </c>
      <c r="F7174" s="2">
        <v>1658</v>
      </c>
      <c r="G7174" s="2">
        <v>100</v>
      </c>
      <c r="H7174" s="2">
        <v>379</v>
      </c>
      <c r="I7174" s="2">
        <v>1058</v>
      </c>
      <c r="J7174" s="2">
        <v>2194</v>
      </c>
      <c r="K7174" s="2">
        <v>12</v>
      </c>
      <c r="L7174" s="2">
        <v>390</v>
      </c>
    </row>
    <row r="7175" spans="1:12" x14ac:dyDescent="0.25">
      <c r="A7175" s="4" t="str">
        <f>HYPERLINK("http://www.rosaceae.org/Prunus/Prunus_persica/p.persica_gdr_reftransV1_0021550","p.persica_gdr_reftransV1_0021550")</f>
        <v>p.persica_gdr_reftransV1_0021550</v>
      </c>
      <c r="B7175" s="2">
        <v>3108</v>
      </c>
      <c r="C7175" s="4" t="str">
        <f>HYPERLINK("http://www.uniprot.org/uniprot/M5VP75","M5VP75")</f>
        <v>M5VP75</v>
      </c>
      <c r="D7175" s="2" t="s">
        <v>1694</v>
      </c>
      <c r="E7175" s="3">
        <v>1.04E-143</v>
      </c>
      <c r="F7175" s="2">
        <v>1141</v>
      </c>
      <c r="G7175" s="2">
        <v>96</v>
      </c>
      <c r="H7175" s="2">
        <v>224</v>
      </c>
      <c r="I7175" s="2">
        <v>1636</v>
      </c>
      <c r="J7175" s="2">
        <v>2307</v>
      </c>
      <c r="K7175" s="2">
        <v>77</v>
      </c>
      <c r="L7175" s="2">
        <v>300</v>
      </c>
    </row>
    <row r="7176" spans="1:12" x14ac:dyDescent="0.25">
      <c r="A7176" s="4" t="str">
        <f>HYPERLINK("http://www.rosaceae.org/Prunus/Prunus_persica/p.persica_gdr_reftransV1_0023300","p.persica_gdr_reftransV1_0023300")</f>
        <v>p.persica_gdr_reftransV1_0023300</v>
      </c>
      <c r="B7176" s="2">
        <v>1822</v>
      </c>
      <c r="C7176" s="4" t="str">
        <f>HYPERLINK("http://www.uniprot.org/uniprot/M5X5G7","M5X5G7")</f>
        <v>M5X5G7</v>
      </c>
      <c r="D7176" s="2" t="s">
        <v>6408</v>
      </c>
      <c r="E7176" s="3">
        <v>0</v>
      </c>
      <c r="F7176" s="2">
        <v>1753</v>
      </c>
      <c r="G7176" s="2">
        <v>100</v>
      </c>
      <c r="H7176" s="2">
        <v>365</v>
      </c>
      <c r="I7176" s="2">
        <v>365</v>
      </c>
      <c r="J7176" s="2">
        <v>1459</v>
      </c>
      <c r="K7176" s="2">
        <v>1</v>
      </c>
      <c r="L7176" s="2">
        <v>365</v>
      </c>
    </row>
    <row r="7177" spans="1:12" x14ac:dyDescent="0.25">
      <c r="A7177" s="4" t="str">
        <f>HYPERLINK("http://www.rosaceae.org/Prunus/Prunus_persica/p.persica_gdr_reftransV1_0023650","p.persica_gdr_reftransV1_0023650")</f>
        <v>p.persica_gdr_reftransV1_0023650</v>
      </c>
      <c r="B7177" s="2">
        <v>1800</v>
      </c>
      <c r="C7177" s="4" t="str">
        <f>HYPERLINK("http://www.uniprot.org/uniprot/M5XCA7","M5XCA7")</f>
        <v>M5XCA7</v>
      </c>
      <c r="D7177" s="2" t="s">
        <v>3630</v>
      </c>
      <c r="E7177" s="3">
        <v>0</v>
      </c>
      <c r="F7177" s="2">
        <v>2543</v>
      </c>
      <c r="G7177" s="2">
        <v>100</v>
      </c>
      <c r="H7177" s="2">
        <v>477</v>
      </c>
      <c r="I7177" s="2">
        <v>132</v>
      </c>
      <c r="J7177" s="2">
        <v>1562</v>
      </c>
      <c r="K7177" s="2">
        <v>1</v>
      </c>
      <c r="L7177" s="2">
        <v>477</v>
      </c>
    </row>
    <row r="7178" spans="1:12" x14ac:dyDescent="0.25">
      <c r="A7178" s="4" t="str">
        <f>HYPERLINK("http://www.rosaceae.org/Prunus/Prunus_persica/p.persica_gdr_reftransV1_0026800","p.persica_gdr_reftransV1_0026800")</f>
        <v>p.persica_gdr_reftransV1_0026800</v>
      </c>
      <c r="B7178" s="2">
        <v>1903</v>
      </c>
      <c r="C7178" s="4" t="str">
        <f>HYPERLINK("http://www.uniprot.org/uniprot/M5VYC5","M5VYC5")</f>
        <v>M5VYC5</v>
      </c>
      <c r="D7178" s="2" t="s">
        <v>6409</v>
      </c>
      <c r="E7178" s="3">
        <v>0</v>
      </c>
      <c r="F7178" s="2">
        <v>1934</v>
      </c>
      <c r="G7178" s="2">
        <v>99</v>
      </c>
      <c r="H7178" s="2">
        <v>420</v>
      </c>
      <c r="I7178" s="2">
        <v>47</v>
      </c>
      <c r="J7178" s="2">
        <v>1306</v>
      </c>
      <c r="K7178" s="2">
        <v>1</v>
      </c>
      <c r="L7178" s="2">
        <v>420</v>
      </c>
    </row>
    <row r="7179" spans="1:12" x14ac:dyDescent="0.25">
      <c r="A7179" s="4" t="str">
        <f>HYPERLINK("http://www.rosaceae.org/Prunus/Prunus_persica/p.persica_gdr_reftransV1_0027500","p.persica_gdr_reftransV1_0027500")</f>
        <v>p.persica_gdr_reftransV1_0027500</v>
      </c>
      <c r="B7179" s="2">
        <v>3439</v>
      </c>
      <c r="C7179" s="4" t="str">
        <f>HYPERLINK("http://www.uniprot.org/uniprot/M5XKQ0","M5XKQ0")</f>
        <v>M5XKQ0</v>
      </c>
      <c r="D7179" s="2" t="s">
        <v>6410</v>
      </c>
      <c r="E7179" s="3">
        <v>0</v>
      </c>
      <c r="F7179" s="2">
        <v>4342</v>
      </c>
      <c r="G7179" s="2">
        <v>100</v>
      </c>
      <c r="H7179" s="2">
        <v>842</v>
      </c>
      <c r="I7179" s="2">
        <v>575</v>
      </c>
      <c r="J7179" s="2">
        <v>3100</v>
      </c>
      <c r="K7179" s="2">
        <v>1</v>
      </c>
      <c r="L7179" s="2">
        <v>842</v>
      </c>
    </row>
    <row r="7180" spans="1:12" x14ac:dyDescent="0.25">
      <c r="A7180" s="4" t="str">
        <f>HYPERLINK("http://www.rosaceae.org/Prunus/Prunus_persica/p.persica_gdr_reftransV1_0027850","p.persica_gdr_reftransV1_0027850")</f>
        <v>p.persica_gdr_reftransV1_0027850</v>
      </c>
      <c r="B7180" s="2">
        <v>6176</v>
      </c>
      <c r="C7180" s="4" t="str">
        <f>HYPERLINK("http://www.uniprot.org/uniprot/M5WNG8","M5WNG8")</f>
        <v>M5WNG8</v>
      </c>
      <c r="D7180" s="2" t="s">
        <v>6411</v>
      </c>
      <c r="E7180" s="3">
        <v>0</v>
      </c>
      <c r="F7180" s="2">
        <v>7581</v>
      </c>
      <c r="G7180" s="2">
        <v>92</v>
      </c>
      <c r="H7180" s="2">
        <v>1650</v>
      </c>
      <c r="I7180" s="2">
        <v>169</v>
      </c>
      <c r="J7180" s="2">
        <v>5043</v>
      </c>
      <c r="K7180" s="2">
        <v>1</v>
      </c>
      <c r="L7180" s="2">
        <v>1547</v>
      </c>
    </row>
    <row r="7181" spans="1:12" x14ac:dyDescent="0.25">
      <c r="A7181" s="4" t="str">
        <f>HYPERLINK("http://www.rosaceae.org/Prunus/Prunus_persica/p.persica_gdr_reftransV1_0031000","p.persica_gdr_reftransV1_0031000")</f>
        <v>p.persica_gdr_reftransV1_0031000</v>
      </c>
      <c r="B7181" s="2">
        <v>2803</v>
      </c>
      <c r="C7181" s="4" t="str">
        <f>HYPERLINK("http://www.uniprot.org/uniprot/M5VVX4","M5VVX4")</f>
        <v>M5VVX4</v>
      </c>
      <c r="D7181" s="2" t="s">
        <v>6412</v>
      </c>
      <c r="E7181" s="3">
        <v>0</v>
      </c>
      <c r="F7181" s="2">
        <v>1471</v>
      </c>
      <c r="G7181" s="2">
        <v>100</v>
      </c>
      <c r="H7181" s="2">
        <v>311</v>
      </c>
      <c r="I7181" s="2">
        <v>146</v>
      </c>
      <c r="J7181" s="2">
        <v>1075</v>
      </c>
      <c r="K7181" s="2">
        <v>1</v>
      </c>
      <c r="L7181" s="2">
        <v>311</v>
      </c>
    </row>
    <row r="7182" spans="1:12" x14ac:dyDescent="0.25">
      <c r="A7182" s="4" t="str">
        <f>HYPERLINK("http://www.rosaceae.org/Prunus/Prunus_persica/p.persica_gdr_reftransV1_0031700","p.persica_gdr_reftransV1_0031700")</f>
        <v>p.persica_gdr_reftransV1_0031700</v>
      </c>
      <c r="B7182" s="2">
        <v>2764</v>
      </c>
      <c r="C7182" s="4" t="str">
        <f>HYPERLINK("http://www.uniprot.org/uniprot/M5XIE1","M5XIE1")</f>
        <v>M5XIE1</v>
      </c>
      <c r="D7182" s="2" t="s">
        <v>1660</v>
      </c>
      <c r="E7182" s="3">
        <v>0</v>
      </c>
      <c r="F7182" s="2">
        <v>1165</v>
      </c>
      <c r="G7182" s="2">
        <v>99</v>
      </c>
      <c r="H7182" s="2">
        <v>248</v>
      </c>
      <c r="I7182" s="2">
        <v>858</v>
      </c>
      <c r="J7182" s="2">
        <v>1601</v>
      </c>
      <c r="K7182" s="2">
        <v>207</v>
      </c>
      <c r="L7182" s="2">
        <v>454</v>
      </c>
    </row>
    <row r="7183" spans="1:12" x14ac:dyDescent="0.25">
      <c r="A7183" s="4" t="str">
        <f>HYPERLINK("http://www.rosaceae.org/Prunus/Prunus_persica/p.persica_gdr_reftransV1_0033100","p.persica_gdr_reftransV1_0033100")</f>
        <v>p.persica_gdr_reftransV1_0033100</v>
      </c>
      <c r="B7183" s="2">
        <v>1519</v>
      </c>
      <c r="C7183" s="4" t="str">
        <f>HYPERLINK("http://www.uniprot.org/uniprot/M5WAH8","M5WAH8")</f>
        <v>M5WAH8</v>
      </c>
      <c r="D7183" s="2" t="s">
        <v>6413</v>
      </c>
      <c r="E7183" s="3">
        <v>4.8399999999999999E-109</v>
      </c>
      <c r="F7183" s="2">
        <v>860</v>
      </c>
      <c r="G7183" s="2">
        <v>100</v>
      </c>
      <c r="H7183" s="2">
        <v>162</v>
      </c>
      <c r="I7183" s="2">
        <v>327</v>
      </c>
      <c r="J7183" s="2">
        <v>812</v>
      </c>
      <c r="K7183" s="2">
        <v>69</v>
      </c>
      <c r="L7183" s="2">
        <v>230</v>
      </c>
    </row>
    <row r="7184" spans="1:12" x14ac:dyDescent="0.25">
      <c r="A7184" s="4" t="str">
        <f>HYPERLINK("http://www.rosaceae.org/Prunus/Prunus_persica/p.persica_gdr_reftransV1_0034150","p.persica_gdr_reftransV1_0034150")</f>
        <v>p.persica_gdr_reftransV1_0034150</v>
      </c>
      <c r="B7184" s="2">
        <v>3082</v>
      </c>
      <c r="C7184" s="4" t="str">
        <f>HYPERLINK("http://www.uniprot.org/uniprot/M5XC66","M5XC66")</f>
        <v>M5XC66</v>
      </c>
      <c r="D7184" s="2" t="s">
        <v>238</v>
      </c>
      <c r="E7184" s="3">
        <v>0</v>
      </c>
      <c r="F7184" s="2">
        <v>2065</v>
      </c>
      <c r="G7184" s="2">
        <v>95</v>
      </c>
      <c r="H7184" s="2">
        <v>433</v>
      </c>
      <c r="I7184" s="2">
        <v>19</v>
      </c>
      <c r="J7184" s="2">
        <v>1311</v>
      </c>
      <c r="K7184" s="2">
        <v>1</v>
      </c>
      <c r="L7184" s="2">
        <v>415</v>
      </c>
    </row>
    <row r="7185" spans="1:12" x14ac:dyDescent="0.25">
      <c r="A7185" s="4" t="str">
        <f>HYPERLINK("http://www.rosaceae.org/Prunus/Prunus_persica/p.persica_gdr_reftransV1_0037300","p.persica_gdr_reftransV1_0037300")</f>
        <v>p.persica_gdr_reftransV1_0037300</v>
      </c>
      <c r="B7185" s="2">
        <v>1333</v>
      </c>
      <c r="C7185" s="4" t="str">
        <f>HYPERLINK("http://www.uniprot.org/uniprot/M5XD57","M5XD57")</f>
        <v>M5XD57</v>
      </c>
      <c r="D7185" s="2" t="s">
        <v>6414</v>
      </c>
      <c r="E7185" s="3">
        <v>2.6E-163</v>
      </c>
      <c r="F7185" s="2">
        <v>1217</v>
      </c>
      <c r="G7185" s="2">
        <v>100</v>
      </c>
      <c r="H7185" s="2">
        <v>270</v>
      </c>
      <c r="I7185" s="2">
        <v>198</v>
      </c>
      <c r="J7185" s="2">
        <v>1007</v>
      </c>
      <c r="K7185" s="2">
        <v>1</v>
      </c>
      <c r="L7185" s="2">
        <v>270</v>
      </c>
    </row>
    <row r="7186" spans="1:12" x14ac:dyDescent="0.25">
      <c r="A7186" s="4" t="str">
        <f>HYPERLINK("http://www.rosaceae.org/Prunus/Prunus_persica/p.persica_gdr_reftransV1_0038000","p.persica_gdr_reftransV1_0038000")</f>
        <v>p.persica_gdr_reftransV1_0038000</v>
      </c>
      <c r="B7186" s="2">
        <v>1206</v>
      </c>
      <c r="C7186" s="4" t="str">
        <f>HYPERLINK("http://www.uniprot.org/uniprot/M5VRV1","M5VRV1")</f>
        <v>M5VRV1</v>
      </c>
      <c r="D7186" s="2" t="s">
        <v>6415</v>
      </c>
      <c r="E7186" s="3">
        <v>1.3199999999999999E-160</v>
      </c>
      <c r="F7186" s="2">
        <v>1190</v>
      </c>
      <c r="G7186" s="2">
        <v>100</v>
      </c>
      <c r="H7186" s="2">
        <v>221</v>
      </c>
      <c r="I7186" s="2">
        <v>339</v>
      </c>
      <c r="J7186" s="2">
        <v>1001</v>
      </c>
      <c r="K7186" s="2">
        <v>1</v>
      </c>
      <c r="L7186" s="2">
        <v>221</v>
      </c>
    </row>
    <row r="7187" spans="1:12" x14ac:dyDescent="0.25">
      <c r="A7187" s="4" t="str">
        <f>HYPERLINK("http://www.rosaceae.org/Prunus/Prunus_persica/p.persica_gdr_reftransV1_0040100","p.persica_gdr_reftransV1_0040100")</f>
        <v>p.persica_gdr_reftransV1_0040100</v>
      </c>
      <c r="B7187" s="2">
        <v>1350</v>
      </c>
      <c r="C7187" s="4" t="str">
        <f>HYPERLINK("http://www.uniprot.org/uniprot/M5WAH4","M5WAH4")</f>
        <v>M5WAH4</v>
      </c>
      <c r="D7187" s="2" t="s">
        <v>2734</v>
      </c>
      <c r="E7187" s="3">
        <v>0</v>
      </c>
      <c r="F7187" s="2">
        <v>1647</v>
      </c>
      <c r="G7187" s="2">
        <v>100</v>
      </c>
      <c r="H7187" s="2">
        <v>318</v>
      </c>
      <c r="I7187" s="2">
        <v>2</v>
      </c>
      <c r="J7187" s="2">
        <v>955</v>
      </c>
      <c r="K7187" s="2">
        <v>1</v>
      </c>
      <c r="L7187" s="2">
        <v>318</v>
      </c>
    </row>
    <row r="7188" spans="1:12" x14ac:dyDescent="0.25">
      <c r="A7188" s="4" t="str">
        <f>HYPERLINK("http://www.rosaceae.org/Prunus/Prunus_persica/p.persica_gdr_reftransV1_0040800","p.persica_gdr_reftransV1_0040800")</f>
        <v>p.persica_gdr_reftransV1_0040800</v>
      </c>
      <c r="B7188" s="2">
        <v>2938</v>
      </c>
      <c r="C7188" s="4" t="str">
        <f>HYPERLINK("http://www.uniprot.org/uniprot/M5X5W0","M5X5W0")</f>
        <v>M5X5W0</v>
      </c>
      <c r="D7188" s="2" t="s">
        <v>6416</v>
      </c>
      <c r="E7188" s="3">
        <v>0</v>
      </c>
      <c r="F7188" s="2">
        <v>3647</v>
      </c>
      <c r="G7188" s="2">
        <v>96</v>
      </c>
      <c r="H7188" s="2">
        <v>789</v>
      </c>
      <c r="I7188" s="2">
        <v>340</v>
      </c>
      <c r="J7188" s="2">
        <v>2706</v>
      </c>
      <c r="K7188" s="2">
        <v>1</v>
      </c>
      <c r="L7188" s="2">
        <v>763</v>
      </c>
    </row>
    <row r="7189" spans="1:12" x14ac:dyDescent="0.25">
      <c r="A7189" s="4" t="str">
        <f>HYPERLINK("http://www.rosaceae.org/Prunus/Prunus_persica/p.persica_gdr_reftransV1_0041500","p.persica_gdr_reftransV1_0041500")</f>
        <v>p.persica_gdr_reftransV1_0041500</v>
      </c>
      <c r="B7189" s="2">
        <v>3625</v>
      </c>
      <c r="C7189" s="4" t="str">
        <f>HYPERLINK("http://www.uniprot.org/uniprot/M5VVR3","M5VVR3")</f>
        <v>M5VVR3</v>
      </c>
      <c r="D7189" s="2" t="s">
        <v>6417</v>
      </c>
      <c r="E7189" s="3">
        <v>0</v>
      </c>
      <c r="F7189" s="2">
        <v>4466</v>
      </c>
      <c r="G7189" s="2">
        <v>100</v>
      </c>
      <c r="H7189" s="2">
        <v>868</v>
      </c>
      <c r="I7189" s="2">
        <v>707</v>
      </c>
      <c r="J7189" s="2">
        <v>3310</v>
      </c>
      <c r="K7189" s="2">
        <v>1</v>
      </c>
      <c r="L7189" s="2">
        <v>868</v>
      </c>
    </row>
    <row r="7190" spans="1:12" x14ac:dyDescent="0.25">
      <c r="A7190" s="4" t="str">
        <f>HYPERLINK("http://www.rosaceae.org/Prunus/Prunus_persica/p.persica_gdr_reftransV1_0043250","p.persica_gdr_reftransV1_0043250")</f>
        <v>p.persica_gdr_reftransV1_0043250</v>
      </c>
      <c r="B7190" s="2">
        <v>4385</v>
      </c>
      <c r="C7190" s="4" t="str">
        <f>HYPERLINK("http://www.uniprot.org/uniprot/M5X3K6","M5X3K6")</f>
        <v>M5X3K6</v>
      </c>
      <c r="D7190" s="2" t="s">
        <v>6418</v>
      </c>
      <c r="E7190" s="3">
        <v>0</v>
      </c>
      <c r="F7190" s="2">
        <v>6522</v>
      </c>
      <c r="G7190" s="2">
        <v>100</v>
      </c>
      <c r="H7190" s="2">
        <v>1290</v>
      </c>
      <c r="I7190" s="2">
        <v>25</v>
      </c>
      <c r="J7190" s="2">
        <v>3894</v>
      </c>
      <c r="K7190" s="2">
        <v>374</v>
      </c>
      <c r="L7190" s="2">
        <v>1663</v>
      </c>
    </row>
    <row r="7191" spans="1:12" x14ac:dyDescent="0.25">
      <c r="A7191" s="4" t="str">
        <f>HYPERLINK("http://www.rosaceae.org/Prunus/Prunus_persica/p.persica_gdr_reftransV1_0043600","p.persica_gdr_reftransV1_0043600")</f>
        <v>p.persica_gdr_reftransV1_0043600</v>
      </c>
      <c r="B7191" s="2">
        <v>2590</v>
      </c>
      <c r="C7191" s="4" t="str">
        <f>HYPERLINK("http://www.uniprot.org/uniprot/M5VVM6","M5VVM6")</f>
        <v>M5VVM6</v>
      </c>
      <c r="D7191" s="2" t="s">
        <v>6419</v>
      </c>
      <c r="E7191" s="3">
        <v>0</v>
      </c>
      <c r="F7191" s="2">
        <v>3422</v>
      </c>
      <c r="G7191" s="2">
        <v>100</v>
      </c>
      <c r="H7191" s="2">
        <v>710</v>
      </c>
      <c r="I7191" s="2">
        <v>262</v>
      </c>
      <c r="J7191" s="2">
        <v>2391</v>
      </c>
      <c r="K7191" s="2">
        <v>1</v>
      </c>
      <c r="L7191" s="2">
        <v>710</v>
      </c>
    </row>
    <row r="7192" spans="1:12" x14ac:dyDescent="0.25">
      <c r="A7192" s="4" t="str">
        <f>HYPERLINK("http://www.rosaceae.org/Prunus/Prunus_persica/p.persica_gdr_reftransV1_0043950","p.persica_gdr_reftransV1_0043950")</f>
        <v>p.persica_gdr_reftransV1_0043950</v>
      </c>
      <c r="B7192" s="2">
        <v>2257</v>
      </c>
      <c r="C7192" s="4" t="str">
        <f>HYPERLINK("http://www.uniprot.org/uniprot/M5WR28","M5WR28")</f>
        <v>M5WR28</v>
      </c>
      <c r="D7192" s="2" t="s">
        <v>6420</v>
      </c>
      <c r="E7192" s="3">
        <v>0</v>
      </c>
      <c r="F7192" s="2">
        <v>3049</v>
      </c>
      <c r="G7192" s="2">
        <v>100</v>
      </c>
      <c r="H7192" s="2">
        <v>562</v>
      </c>
      <c r="I7192" s="2">
        <v>572</v>
      </c>
      <c r="J7192" s="2">
        <v>2257</v>
      </c>
      <c r="K7192" s="2">
        <v>280</v>
      </c>
      <c r="L7192" s="2">
        <v>841</v>
      </c>
    </row>
    <row r="7193" spans="1:12" x14ac:dyDescent="0.25">
      <c r="A7193" s="4" t="str">
        <f>HYPERLINK("http://www.rosaceae.org/Prunus/Prunus_persica/p.persica_gdr_reftransV1_0044650","p.persica_gdr_reftransV1_0044650")</f>
        <v>p.persica_gdr_reftransV1_0044650</v>
      </c>
      <c r="B7193" s="2">
        <v>1943</v>
      </c>
      <c r="C7193" s="4" t="str">
        <f>HYPERLINK("http://www.uniprot.org/uniprot/M5VY86","M5VY86")</f>
        <v>M5VY86</v>
      </c>
      <c r="D7193" s="2" t="s">
        <v>6421</v>
      </c>
      <c r="E7193" s="3">
        <v>0</v>
      </c>
      <c r="F7193" s="2">
        <v>2251</v>
      </c>
      <c r="G7193" s="2">
        <v>100</v>
      </c>
      <c r="H7193" s="2">
        <v>448</v>
      </c>
      <c r="I7193" s="2">
        <v>168</v>
      </c>
      <c r="J7193" s="2">
        <v>1511</v>
      </c>
      <c r="K7193" s="2">
        <v>1</v>
      </c>
      <c r="L7193" s="2">
        <v>448</v>
      </c>
    </row>
    <row r="7194" spans="1:12" x14ac:dyDescent="0.25">
      <c r="A7194" s="4" t="str">
        <f>HYPERLINK("http://www.rosaceae.org/Prunus/Prunus_persica/p.persica_gdr_reftransV1_0045000","p.persica_gdr_reftransV1_0045000")</f>
        <v>p.persica_gdr_reftransV1_0045000</v>
      </c>
      <c r="B7194" s="2">
        <v>1211</v>
      </c>
      <c r="C7194" s="4" t="str">
        <f>HYPERLINK("http://www.uniprot.org/uniprot/A0A0A0K5C0","A0A0A0K5C0")</f>
        <v>A0A0A0K5C0</v>
      </c>
      <c r="D7194" s="2" t="s">
        <v>6422</v>
      </c>
      <c r="E7194" s="3">
        <v>3.63E-107</v>
      </c>
      <c r="F7194" s="2">
        <v>836</v>
      </c>
      <c r="G7194" s="2">
        <v>92</v>
      </c>
      <c r="H7194" s="2">
        <v>212</v>
      </c>
      <c r="I7194" s="2">
        <v>104</v>
      </c>
      <c r="J7194" s="2">
        <v>739</v>
      </c>
      <c r="K7194" s="2">
        <v>1</v>
      </c>
      <c r="L7194" s="2">
        <v>212</v>
      </c>
    </row>
    <row r="7195" spans="1:12" x14ac:dyDescent="0.25">
      <c r="A7195" s="4" t="str">
        <f>HYPERLINK("http://www.rosaceae.org/Prunus/Prunus_persica/p.persica_gdr_reftransV1_0045350","p.persica_gdr_reftransV1_0045350")</f>
        <v>p.persica_gdr_reftransV1_0045350</v>
      </c>
      <c r="B7195" s="2">
        <v>904</v>
      </c>
      <c r="C7195" s="4" t="str">
        <f>HYPERLINK("http://www.uniprot.org/uniprot/M5WHT9","M5WHT9")</f>
        <v>M5WHT9</v>
      </c>
      <c r="D7195" s="2" t="s">
        <v>735</v>
      </c>
      <c r="E7195" s="3">
        <v>2.4600000000000001E-107</v>
      </c>
      <c r="F7195" s="2">
        <v>822</v>
      </c>
      <c r="G7195" s="2">
        <v>100</v>
      </c>
      <c r="H7195" s="2">
        <v>160</v>
      </c>
      <c r="I7195" s="2">
        <v>137</v>
      </c>
      <c r="J7195" s="2">
        <v>616</v>
      </c>
      <c r="K7195" s="2">
        <v>1</v>
      </c>
      <c r="L7195" s="2">
        <v>160</v>
      </c>
    </row>
    <row r="7196" spans="1:12" x14ac:dyDescent="0.25">
      <c r="A7196" s="4" t="str">
        <f>HYPERLINK("http://www.rosaceae.org/Prunus/Prunus_persica/p.persica_gdr_reftransV1_0046050","p.persica_gdr_reftransV1_0046050")</f>
        <v>p.persica_gdr_reftransV1_0046050</v>
      </c>
      <c r="B7196" s="2">
        <v>1349</v>
      </c>
      <c r="C7196" s="4" t="str">
        <f>HYPERLINK("http://www.uniprot.org/uniprot/M5W2N0","M5W2N0")</f>
        <v>M5W2N0</v>
      </c>
      <c r="D7196" s="2" t="s">
        <v>1246</v>
      </c>
      <c r="E7196" s="3">
        <v>0</v>
      </c>
      <c r="F7196" s="2">
        <v>2342</v>
      </c>
      <c r="G7196" s="2">
        <v>100</v>
      </c>
      <c r="H7196" s="2">
        <v>430</v>
      </c>
      <c r="I7196" s="2">
        <v>58</v>
      </c>
      <c r="J7196" s="2">
        <v>1347</v>
      </c>
      <c r="K7196" s="2">
        <v>311</v>
      </c>
      <c r="L7196" s="2">
        <v>740</v>
      </c>
    </row>
    <row r="7197" spans="1:12" x14ac:dyDescent="0.25">
      <c r="A7197" s="4" t="str">
        <f>HYPERLINK("http://www.rosaceae.org/Prunus/Prunus_persica/p.persica_gdr_reftransV1_0046400","p.persica_gdr_reftransV1_0046400")</f>
        <v>p.persica_gdr_reftransV1_0046400</v>
      </c>
      <c r="B7197" s="2">
        <v>2082</v>
      </c>
      <c r="C7197" s="4" t="str">
        <f>HYPERLINK("http://www.uniprot.org/uniprot/M5WQG8","M5WQG8")</f>
        <v>M5WQG8</v>
      </c>
      <c r="D7197" s="2" t="s">
        <v>6423</v>
      </c>
      <c r="E7197" s="3">
        <v>0</v>
      </c>
      <c r="F7197" s="2">
        <v>3092</v>
      </c>
      <c r="G7197" s="2">
        <v>99</v>
      </c>
      <c r="H7197" s="2">
        <v>675</v>
      </c>
      <c r="I7197" s="2">
        <v>3</v>
      </c>
      <c r="J7197" s="2">
        <v>2027</v>
      </c>
      <c r="K7197" s="2">
        <v>1</v>
      </c>
      <c r="L7197" s="2">
        <v>673</v>
      </c>
    </row>
    <row r="7198" spans="1:12" x14ac:dyDescent="0.25">
      <c r="A7198" s="4" t="str">
        <f>HYPERLINK("http://www.rosaceae.org/Prunus/Prunus_persica/p.persica_gdr_reftransV1_0046750","p.persica_gdr_reftransV1_0046750")</f>
        <v>p.persica_gdr_reftransV1_0046750</v>
      </c>
      <c r="B7198" s="2">
        <v>764</v>
      </c>
      <c r="C7198" s="4" t="str">
        <f>HYPERLINK("http://www.uniprot.org/uniprot/M5XK17","M5XK17")</f>
        <v>M5XK17</v>
      </c>
      <c r="D7198" s="2" t="s">
        <v>6424</v>
      </c>
      <c r="E7198" s="3">
        <v>9.3100000000000005E-78</v>
      </c>
      <c r="F7198" s="2">
        <v>619</v>
      </c>
      <c r="G7198" s="2">
        <v>100</v>
      </c>
      <c r="H7198" s="2">
        <v>131</v>
      </c>
      <c r="I7198" s="2">
        <v>145</v>
      </c>
      <c r="J7198" s="2">
        <v>537</v>
      </c>
      <c r="K7198" s="2">
        <v>1</v>
      </c>
      <c r="L7198" s="2">
        <v>131</v>
      </c>
    </row>
    <row r="7199" spans="1:12" x14ac:dyDescent="0.25">
      <c r="A7199" s="4" t="str">
        <f>HYPERLINK("http://www.rosaceae.org/Prunus/Prunus_persica/p.persica_gdr_reftransV1_0047100","p.persica_gdr_reftransV1_0047100")</f>
        <v>p.persica_gdr_reftransV1_0047100</v>
      </c>
      <c r="B7199" s="2">
        <v>667</v>
      </c>
      <c r="C7199" s="4" t="str">
        <f>HYPERLINK("http://www.uniprot.org/uniprot/M5WZT9","M5WZT9")</f>
        <v>M5WZT9</v>
      </c>
      <c r="D7199" s="2" t="s">
        <v>6425</v>
      </c>
      <c r="E7199" s="3">
        <v>9.8700000000000005E-145</v>
      </c>
      <c r="F7199" s="2">
        <v>1089</v>
      </c>
      <c r="G7199" s="2">
        <v>95</v>
      </c>
      <c r="H7199" s="2">
        <v>220</v>
      </c>
      <c r="I7199" s="2">
        <v>8</v>
      </c>
      <c r="J7199" s="2">
        <v>667</v>
      </c>
      <c r="K7199" s="2">
        <v>242</v>
      </c>
      <c r="L7199" s="2">
        <v>461</v>
      </c>
    </row>
    <row r="7200" spans="1:12" x14ac:dyDescent="0.25">
      <c r="A7200" s="4" t="str">
        <f>HYPERLINK("http://www.rosaceae.org/Prunus/Prunus_persica/p.persica_gdr_reftransV1_0047450","p.persica_gdr_reftransV1_0047450")</f>
        <v>p.persica_gdr_reftransV1_0047450</v>
      </c>
      <c r="B7200" s="2">
        <v>343</v>
      </c>
      <c r="C7200" s="4" t="str">
        <f>HYPERLINK("http://www.uniprot.org/uniprot/M5W5X5","M5W5X5")</f>
        <v>M5W5X5</v>
      </c>
      <c r="D7200" s="2" t="s">
        <v>6426</v>
      </c>
      <c r="E7200" s="3">
        <v>4.6400000000000004E-56</v>
      </c>
      <c r="F7200" s="2">
        <v>484</v>
      </c>
      <c r="G7200" s="2">
        <v>100</v>
      </c>
      <c r="H7200" s="2">
        <v>114</v>
      </c>
      <c r="I7200" s="2">
        <v>1</v>
      </c>
      <c r="J7200" s="2">
        <v>342</v>
      </c>
      <c r="K7200" s="2">
        <v>221</v>
      </c>
      <c r="L7200" s="2">
        <v>334</v>
      </c>
    </row>
    <row r="7201" spans="1:12" x14ac:dyDescent="0.25">
      <c r="A7201" s="4" t="str">
        <f>HYPERLINK("http://www.rosaceae.org/Prunus/Prunus_persica/p.persica_gdr_reftransV1_0047800","p.persica_gdr_reftransV1_0047800")</f>
        <v>p.persica_gdr_reftransV1_0047800</v>
      </c>
      <c r="B7201" s="2">
        <v>2040</v>
      </c>
      <c r="C7201" s="4" t="str">
        <f>HYPERLINK("http://www.uniprot.org/uniprot/M5XWL1","M5XWL1")</f>
        <v>M5XWL1</v>
      </c>
      <c r="D7201" s="2" t="s">
        <v>6427</v>
      </c>
      <c r="E7201" s="3">
        <v>0</v>
      </c>
      <c r="F7201" s="2">
        <v>2754</v>
      </c>
      <c r="G7201" s="2">
        <v>100</v>
      </c>
      <c r="H7201" s="2">
        <v>535</v>
      </c>
      <c r="I7201" s="2">
        <v>160</v>
      </c>
      <c r="J7201" s="2">
        <v>1764</v>
      </c>
      <c r="K7201" s="2">
        <v>1</v>
      </c>
      <c r="L7201" s="2">
        <v>535</v>
      </c>
    </row>
    <row r="7202" spans="1:12" x14ac:dyDescent="0.25">
      <c r="A7202" s="4" t="str">
        <f>HYPERLINK("http://www.rosaceae.org/Prunus/Prunus_persica/p.persica_gdr_reftransV1_0048150","p.persica_gdr_reftransV1_0048150")</f>
        <v>p.persica_gdr_reftransV1_0048150</v>
      </c>
      <c r="B7202" s="2">
        <v>1108</v>
      </c>
      <c r="C7202" s="4" t="str">
        <f>HYPERLINK("http://www.uniprot.org/uniprot/M5WAZ1","M5WAZ1")</f>
        <v>M5WAZ1</v>
      </c>
      <c r="D7202" s="2" t="s">
        <v>6428</v>
      </c>
      <c r="E7202" s="3">
        <v>4.6200000000000004E-84</v>
      </c>
      <c r="F7202" s="2">
        <v>674</v>
      </c>
      <c r="G7202" s="2">
        <v>100</v>
      </c>
      <c r="H7202" s="2">
        <v>154</v>
      </c>
      <c r="I7202" s="2">
        <v>328</v>
      </c>
      <c r="J7202" s="2">
        <v>789</v>
      </c>
      <c r="K7202" s="2">
        <v>1</v>
      </c>
      <c r="L7202" s="2">
        <v>154</v>
      </c>
    </row>
    <row r="7203" spans="1:12" x14ac:dyDescent="0.25">
      <c r="A7203" s="4" t="str">
        <f>HYPERLINK("http://www.rosaceae.org/Prunus/Prunus_persica/p.persica_gdr_reftransV1_0048850","p.persica_gdr_reftransV1_0048850")</f>
        <v>p.persica_gdr_reftransV1_0048850</v>
      </c>
      <c r="B7203" s="2">
        <v>1011</v>
      </c>
      <c r="C7203" s="4" t="str">
        <f>HYPERLINK("http://www.uniprot.org/uniprot/M5XM20","M5XM20")</f>
        <v>M5XM20</v>
      </c>
      <c r="D7203" s="2" t="s">
        <v>6075</v>
      </c>
      <c r="E7203" s="3">
        <v>0</v>
      </c>
      <c r="F7203" s="2">
        <v>1600</v>
      </c>
      <c r="G7203" s="2">
        <v>92</v>
      </c>
      <c r="H7203" s="2">
        <v>336</v>
      </c>
      <c r="I7203" s="2">
        <v>3</v>
      </c>
      <c r="J7203" s="2">
        <v>1010</v>
      </c>
      <c r="K7203" s="2">
        <v>214</v>
      </c>
      <c r="L7203" s="2">
        <v>521</v>
      </c>
    </row>
    <row r="7204" spans="1:12" x14ac:dyDescent="0.25">
      <c r="A7204" s="4" t="str">
        <f>HYPERLINK("http://www.rosaceae.org/Prunus/Prunus_persica/p.persica_gdr_reftransV1_0049200","p.persica_gdr_reftransV1_0049200")</f>
        <v>p.persica_gdr_reftransV1_0049200</v>
      </c>
      <c r="B7204" s="2">
        <v>1091</v>
      </c>
      <c r="C7204" s="4" t="str">
        <f>HYPERLINK("http://www.uniprot.org/uniprot/M5WTM3","M5WTM3")</f>
        <v>M5WTM3</v>
      </c>
      <c r="D7204" s="2" t="s">
        <v>6429</v>
      </c>
      <c r="E7204" s="3">
        <v>4.32E-151</v>
      </c>
      <c r="F7204" s="2">
        <v>1138</v>
      </c>
      <c r="G7204" s="2">
        <v>100</v>
      </c>
      <c r="H7204" s="2">
        <v>295</v>
      </c>
      <c r="I7204" s="2">
        <v>205</v>
      </c>
      <c r="J7204" s="2">
        <v>1089</v>
      </c>
      <c r="K7204" s="2">
        <v>74</v>
      </c>
      <c r="L7204" s="2">
        <v>368</v>
      </c>
    </row>
    <row r="7205" spans="1:12" x14ac:dyDescent="0.25">
      <c r="A7205" s="4" t="str">
        <f>HYPERLINK("http://www.rosaceae.org/Prunus/Prunus_persica/p.persica_gdr_reftransV1_0000020","p.persica_gdr_reftransV1_0000020")</f>
        <v>p.persica_gdr_reftransV1_0000020</v>
      </c>
      <c r="B7205" s="2">
        <v>1211</v>
      </c>
      <c r="C7205" s="4" t="str">
        <f>HYPERLINK("http://www.uniprot.org/uniprot/M5X1H7","M5X1H7")</f>
        <v>M5X1H7</v>
      </c>
      <c r="D7205" s="2" t="s">
        <v>6430</v>
      </c>
      <c r="E7205" s="3">
        <v>0</v>
      </c>
      <c r="F7205" s="2">
        <v>1396</v>
      </c>
      <c r="G7205" s="2">
        <v>99</v>
      </c>
      <c r="H7205" s="2">
        <v>306</v>
      </c>
      <c r="I7205" s="2">
        <v>187</v>
      </c>
      <c r="J7205" s="2">
        <v>1104</v>
      </c>
      <c r="K7205" s="2">
        <v>1</v>
      </c>
      <c r="L7205" s="2">
        <v>306</v>
      </c>
    </row>
    <row r="7206" spans="1:12" x14ac:dyDescent="0.25">
      <c r="A7206" s="4" t="str">
        <f>HYPERLINK("http://www.rosaceae.org/Prunus/Prunus_persica/p.persica_gdr_reftransV1_0000370","p.persica_gdr_reftransV1_0000370")</f>
        <v>p.persica_gdr_reftransV1_0000370</v>
      </c>
      <c r="B7206" s="2">
        <v>1166</v>
      </c>
      <c r="C7206" s="4" t="str">
        <f>HYPERLINK("http://www.uniprot.org/uniprot/M5VMG1","M5VMG1")</f>
        <v>M5VMG1</v>
      </c>
      <c r="D7206" s="2" t="s">
        <v>6431</v>
      </c>
      <c r="E7206" s="3">
        <v>0</v>
      </c>
      <c r="F7206" s="2">
        <v>1674</v>
      </c>
      <c r="G7206" s="2">
        <v>100</v>
      </c>
      <c r="H7206" s="2">
        <v>331</v>
      </c>
      <c r="I7206" s="2">
        <v>1</v>
      </c>
      <c r="J7206" s="2">
        <v>993</v>
      </c>
      <c r="K7206" s="2">
        <v>496</v>
      </c>
      <c r="L7206" s="2">
        <v>826</v>
      </c>
    </row>
    <row r="7207" spans="1:12" x14ac:dyDescent="0.25">
      <c r="A7207" s="4" t="str">
        <f>HYPERLINK("http://www.rosaceae.org/Prunus/Prunus_persica/p.persica_gdr_reftransV1_0000720","p.persica_gdr_reftransV1_0000720")</f>
        <v>p.persica_gdr_reftransV1_0000720</v>
      </c>
      <c r="B7207" s="2">
        <v>1153</v>
      </c>
      <c r="C7207" s="4" t="str">
        <f>HYPERLINK("http://www.uniprot.org/uniprot/M5VP42","M5VP42")</f>
        <v>M5VP42</v>
      </c>
      <c r="D7207" s="2" t="s">
        <v>400</v>
      </c>
      <c r="E7207" s="3">
        <v>1.0199999999999999E-89</v>
      </c>
      <c r="F7207" s="2">
        <v>718</v>
      </c>
      <c r="G7207" s="2">
        <v>100</v>
      </c>
      <c r="H7207" s="2">
        <v>159</v>
      </c>
      <c r="I7207" s="2">
        <v>170</v>
      </c>
      <c r="J7207" s="2">
        <v>646</v>
      </c>
      <c r="K7207" s="2">
        <v>1</v>
      </c>
      <c r="L7207" s="2">
        <v>159</v>
      </c>
    </row>
    <row r="7208" spans="1:12" x14ac:dyDescent="0.25">
      <c r="A7208" s="4" t="str">
        <f>HYPERLINK("http://www.rosaceae.org/Prunus/Prunus_persica/p.persica_gdr_reftransV1_0001070","p.persica_gdr_reftransV1_0001070")</f>
        <v>p.persica_gdr_reftransV1_0001070</v>
      </c>
      <c r="B7208" s="2">
        <v>308</v>
      </c>
      <c r="C7208" s="4" t="str">
        <f>HYPERLINK("http://www.uniprot.org/uniprot/M5XJ88","M5XJ88")</f>
        <v>M5XJ88</v>
      </c>
      <c r="D7208" s="2" t="s">
        <v>1338</v>
      </c>
      <c r="E7208" s="3">
        <v>9.9599999999999995E-60</v>
      </c>
      <c r="F7208" s="2">
        <v>527</v>
      </c>
      <c r="G7208" s="2">
        <v>100</v>
      </c>
      <c r="H7208" s="2">
        <v>99</v>
      </c>
      <c r="I7208" s="2">
        <v>10</v>
      </c>
      <c r="J7208" s="2">
        <v>306</v>
      </c>
      <c r="K7208" s="2">
        <v>511</v>
      </c>
      <c r="L7208" s="2">
        <v>609</v>
      </c>
    </row>
    <row r="7209" spans="1:12" x14ac:dyDescent="0.25">
      <c r="A7209" s="4" t="str">
        <f>HYPERLINK("http://www.rosaceae.org/Prunus/Prunus_persica/p.persica_gdr_reftransV1_0001420","p.persica_gdr_reftransV1_0001420")</f>
        <v>p.persica_gdr_reftransV1_0001420</v>
      </c>
      <c r="B7209" s="2">
        <v>625</v>
      </c>
      <c r="C7209" s="4" t="str">
        <f>HYPERLINK("http://www.uniprot.org/uniprot/M5W9B1","M5W9B1")</f>
        <v>M5W9B1</v>
      </c>
      <c r="D7209" s="2" t="s">
        <v>6432</v>
      </c>
      <c r="E7209" s="3">
        <v>2.35E-87</v>
      </c>
      <c r="F7209" s="2">
        <v>706</v>
      </c>
      <c r="G7209" s="2">
        <v>79</v>
      </c>
      <c r="H7209" s="2">
        <v>204</v>
      </c>
      <c r="I7209" s="2">
        <v>2</v>
      </c>
      <c r="J7209" s="2">
        <v>613</v>
      </c>
      <c r="K7209" s="2">
        <v>135</v>
      </c>
      <c r="L7209" s="2">
        <v>295</v>
      </c>
    </row>
    <row r="7210" spans="1:12" x14ac:dyDescent="0.25">
      <c r="A7210" s="4" t="str">
        <f>HYPERLINK("http://www.rosaceae.org/Prunus/Prunus_persica/p.persica_gdr_reftransV1_0001770","p.persica_gdr_reftransV1_0001770")</f>
        <v>p.persica_gdr_reftransV1_0001770</v>
      </c>
      <c r="B7210" s="2">
        <v>912</v>
      </c>
      <c r="C7210" s="4" t="str">
        <f>HYPERLINK("http://www.uniprot.org/uniprot/M5XNK9","M5XNK9")</f>
        <v>M5XNK9</v>
      </c>
      <c r="D7210" s="2" t="s">
        <v>6433</v>
      </c>
      <c r="E7210" s="3">
        <v>2.2599999999999999E-63</v>
      </c>
      <c r="F7210" s="2">
        <v>534</v>
      </c>
      <c r="G7210" s="2">
        <v>100</v>
      </c>
      <c r="H7210" s="2">
        <v>194</v>
      </c>
      <c r="I7210" s="2">
        <v>295</v>
      </c>
      <c r="J7210" s="2">
        <v>876</v>
      </c>
      <c r="K7210" s="2">
        <v>1</v>
      </c>
      <c r="L7210" s="2">
        <v>194</v>
      </c>
    </row>
    <row r="7211" spans="1:12" x14ac:dyDescent="0.25">
      <c r="A7211" s="4" t="str">
        <f>HYPERLINK("http://www.rosaceae.org/Prunus/Prunus_persica/p.persica_gdr_reftransV1_0002120","p.persica_gdr_reftransV1_0002120")</f>
        <v>p.persica_gdr_reftransV1_0002120</v>
      </c>
      <c r="B7211" s="2">
        <v>714</v>
      </c>
      <c r="C7211" s="4" t="str">
        <f>HYPERLINK("http://www.uniprot.org/uniprot/M5VLU7","M5VLU7")</f>
        <v>M5VLU7</v>
      </c>
      <c r="D7211" s="2" t="s">
        <v>6434</v>
      </c>
      <c r="E7211" s="3">
        <v>3.3199999999999999E-115</v>
      </c>
      <c r="F7211" s="2">
        <v>871</v>
      </c>
      <c r="G7211" s="2">
        <v>100</v>
      </c>
      <c r="H7211" s="2">
        <v>204</v>
      </c>
      <c r="I7211" s="2">
        <v>7</v>
      </c>
      <c r="J7211" s="2">
        <v>618</v>
      </c>
      <c r="K7211" s="2">
        <v>1</v>
      </c>
      <c r="L7211" s="2">
        <v>204</v>
      </c>
    </row>
    <row r="7212" spans="1:12" x14ac:dyDescent="0.25">
      <c r="A7212" s="4" t="str">
        <f>HYPERLINK("http://www.rosaceae.org/Prunus/Prunus_persica/p.persica_gdr_reftransV1_0002470","p.persica_gdr_reftransV1_0002470")</f>
        <v>p.persica_gdr_reftransV1_0002470</v>
      </c>
      <c r="B7212" s="2">
        <v>1286</v>
      </c>
      <c r="C7212" s="4" t="str">
        <f>HYPERLINK("http://www.uniprot.org/uniprot/I7K8K8","I7K8K8")</f>
        <v>I7K8K8</v>
      </c>
      <c r="D7212" s="2" t="s">
        <v>1613</v>
      </c>
      <c r="E7212" s="3">
        <v>3.3300000000000001E-63</v>
      </c>
      <c r="F7212" s="2">
        <v>422</v>
      </c>
      <c r="G7212" s="2">
        <v>39</v>
      </c>
      <c r="H7212" s="2">
        <v>334</v>
      </c>
      <c r="I7212" s="2">
        <v>322</v>
      </c>
      <c r="J7212" s="2">
        <v>1284</v>
      </c>
      <c r="K7212" s="2">
        <v>366</v>
      </c>
      <c r="L7212" s="2">
        <v>679</v>
      </c>
    </row>
    <row r="7213" spans="1:12" x14ac:dyDescent="0.25">
      <c r="A7213" s="4" t="str">
        <f>HYPERLINK("http://www.rosaceae.org/Prunus/Prunus_persica/p.persica_gdr_reftransV1_0002820","p.persica_gdr_reftransV1_0002820")</f>
        <v>p.persica_gdr_reftransV1_0002820</v>
      </c>
      <c r="B7213" s="2">
        <v>2920</v>
      </c>
      <c r="C7213" s="4" t="str">
        <f>HYPERLINK("http://www.uniprot.org/uniprot/M5X6U4","M5X6U4")</f>
        <v>M5X6U4</v>
      </c>
      <c r="D7213" s="2" t="s">
        <v>5011</v>
      </c>
      <c r="E7213" s="3">
        <v>0</v>
      </c>
      <c r="F7213" s="2">
        <v>3124</v>
      </c>
      <c r="G7213" s="2">
        <v>98</v>
      </c>
      <c r="H7213" s="2">
        <v>684</v>
      </c>
      <c r="I7213" s="2">
        <v>576</v>
      </c>
      <c r="J7213" s="2">
        <v>2627</v>
      </c>
      <c r="K7213" s="2">
        <v>1</v>
      </c>
      <c r="L7213" s="2">
        <v>670</v>
      </c>
    </row>
    <row r="7214" spans="1:12" x14ac:dyDescent="0.25">
      <c r="A7214" s="4" t="str">
        <f>HYPERLINK("http://www.rosaceae.org/Prunus/Prunus_persica/p.persica_gdr_reftransV1_0003520","p.persica_gdr_reftransV1_0003520")</f>
        <v>p.persica_gdr_reftransV1_0003520</v>
      </c>
      <c r="B7214" s="2">
        <v>2152</v>
      </c>
      <c r="C7214" s="4" t="str">
        <f>HYPERLINK("http://www.uniprot.org/uniprot/M5WS68","M5WS68")</f>
        <v>M5WS68</v>
      </c>
      <c r="D7214" s="2" t="s">
        <v>6435</v>
      </c>
      <c r="E7214" s="3">
        <v>0</v>
      </c>
      <c r="F7214" s="2">
        <v>1679</v>
      </c>
      <c r="G7214" s="2">
        <v>99</v>
      </c>
      <c r="H7214" s="2">
        <v>346</v>
      </c>
      <c r="I7214" s="2">
        <v>990</v>
      </c>
      <c r="J7214" s="2">
        <v>2027</v>
      </c>
      <c r="K7214" s="2">
        <v>1</v>
      </c>
      <c r="L7214" s="2">
        <v>346</v>
      </c>
    </row>
    <row r="7215" spans="1:12" x14ac:dyDescent="0.25">
      <c r="A7215" s="4" t="str">
        <f>HYPERLINK("http://www.rosaceae.org/Prunus/Prunus_persica/p.persica_gdr_reftransV1_0003870","p.persica_gdr_reftransV1_0003870")</f>
        <v>p.persica_gdr_reftransV1_0003870</v>
      </c>
      <c r="B7215" s="2">
        <v>393</v>
      </c>
      <c r="C7215" s="4" t="str">
        <f>HYPERLINK("http://www.uniprot.org/uniprot/M5VYV9","M5VYV9")</f>
        <v>M5VYV9</v>
      </c>
      <c r="D7215" s="2" t="s">
        <v>1726</v>
      </c>
      <c r="E7215" s="3">
        <v>4.3799999999999998E-87</v>
      </c>
      <c r="F7215" s="2">
        <v>701</v>
      </c>
      <c r="G7215" s="2">
        <v>100</v>
      </c>
      <c r="H7215" s="2">
        <v>130</v>
      </c>
      <c r="I7215" s="2">
        <v>3</v>
      </c>
      <c r="J7215" s="2">
        <v>392</v>
      </c>
      <c r="K7215" s="2">
        <v>10</v>
      </c>
      <c r="L7215" s="2">
        <v>139</v>
      </c>
    </row>
    <row r="7216" spans="1:12" x14ac:dyDescent="0.25">
      <c r="A7216" s="4" t="str">
        <f>HYPERLINK("http://www.rosaceae.org/Prunus/Prunus_persica/p.persica_gdr_reftransV1_0004570","p.persica_gdr_reftransV1_0004570")</f>
        <v>p.persica_gdr_reftransV1_0004570</v>
      </c>
      <c r="B7216" s="2">
        <v>1264</v>
      </c>
      <c r="C7216" s="4" t="str">
        <f>HYPERLINK("http://www.uniprot.org/uniprot/M5WND6","M5WND6")</f>
        <v>M5WND6</v>
      </c>
      <c r="D7216" s="2" t="s">
        <v>3287</v>
      </c>
      <c r="E7216" s="3">
        <v>0</v>
      </c>
      <c r="F7216" s="2">
        <v>1927</v>
      </c>
      <c r="G7216" s="2">
        <v>99</v>
      </c>
      <c r="H7216" s="2">
        <v>382</v>
      </c>
      <c r="I7216" s="2">
        <v>1</v>
      </c>
      <c r="J7216" s="2">
        <v>1146</v>
      </c>
      <c r="K7216" s="2">
        <v>84</v>
      </c>
      <c r="L7216" s="2">
        <v>464</v>
      </c>
    </row>
    <row r="7217" spans="1:12" x14ac:dyDescent="0.25">
      <c r="A7217" s="4" t="str">
        <f>HYPERLINK("http://www.rosaceae.org/Prunus/Prunus_persica/p.persica_gdr_reftransV1_0004920","p.persica_gdr_reftransV1_0004920")</f>
        <v>p.persica_gdr_reftransV1_0004920</v>
      </c>
      <c r="B7217" s="2">
        <v>595</v>
      </c>
      <c r="C7217" s="4" t="str">
        <f>HYPERLINK("http://www.uniprot.org/uniprot/G2XLQ0","G2XLQ0")</f>
        <v>G2XLQ0</v>
      </c>
      <c r="D7217" s="2" t="s">
        <v>6436</v>
      </c>
      <c r="E7217" s="3">
        <v>5.3899999999999995E-94</v>
      </c>
      <c r="F7217" s="2">
        <v>727</v>
      </c>
      <c r="G7217" s="2">
        <v>97</v>
      </c>
      <c r="H7217" s="2">
        <v>188</v>
      </c>
      <c r="I7217" s="2">
        <v>32</v>
      </c>
      <c r="J7217" s="2">
        <v>595</v>
      </c>
      <c r="K7217" s="2">
        <v>1</v>
      </c>
      <c r="L7217" s="2">
        <v>188</v>
      </c>
    </row>
    <row r="7218" spans="1:12" x14ac:dyDescent="0.25">
      <c r="A7218" s="4" t="str">
        <f>HYPERLINK("http://www.rosaceae.org/Prunus/Prunus_persica/p.persica_gdr_reftransV1_0005620","p.persica_gdr_reftransV1_0005620")</f>
        <v>p.persica_gdr_reftransV1_0005620</v>
      </c>
      <c r="B7218" s="2">
        <v>443</v>
      </c>
      <c r="C7218" s="4" t="str">
        <f>HYPERLINK("http://www.uniprot.org/uniprot/M5XT14","M5XT14")</f>
        <v>M5XT14</v>
      </c>
      <c r="D7218" s="2" t="s">
        <v>6437</v>
      </c>
      <c r="E7218" s="3">
        <v>1.0799999999999999E-63</v>
      </c>
      <c r="F7218" s="2">
        <v>558</v>
      </c>
      <c r="G7218" s="2">
        <v>99</v>
      </c>
      <c r="H7218" s="2">
        <v>108</v>
      </c>
      <c r="I7218" s="2">
        <v>107</v>
      </c>
      <c r="J7218" s="2">
        <v>430</v>
      </c>
      <c r="K7218" s="2">
        <v>1</v>
      </c>
      <c r="L7218" s="2">
        <v>108</v>
      </c>
    </row>
    <row r="7219" spans="1:12" x14ac:dyDescent="0.25">
      <c r="A7219" s="4" t="str">
        <f>HYPERLINK("http://www.rosaceae.org/Prunus/Prunus_persica/p.persica_gdr_reftransV1_0005970","p.persica_gdr_reftransV1_0005970")</f>
        <v>p.persica_gdr_reftransV1_0005970</v>
      </c>
      <c r="B7219" s="2">
        <v>699</v>
      </c>
      <c r="C7219" s="4" t="str">
        <f>HYPERLINK("http://www.uniprot.org/uniprot/M5XI52","M5XI52")</f>
        <v>M5XI52</v>
      </c>
      <c r="D7219" s="2" t="s">
        <v>6438</v>
      </c>
      <c r="E7219" s="3">
        <v>5.41E-30</v>
      </c>
      <c r="F7219" s="2">
        <v>314</v>
      </c>
      <c r="G7219" s="2">
        <v>100</v>
      </c>
      <c r="H7219" s="2">
        <v>79</v>
      </c>
      <c r="I7219" s="2">
        <v>172</v>
      </c>
      <c r="J7219" s="2">
        <v>408</v>
      </c>
      <c r="K7219" s="2">
        <v>1</v>
      </c>
      <c r="L7219" s="2">
        <v>79</v>
      </c>
    </row>
    <row r="7220" spans="1:12" x14ac:dyDescent="0.25">
      <c r="A7220" s="4" t="str">
        <f>HYPERLINK("http://www.rosaceae.org/Prunus/Prunus_persica/p.persica_gdr_reftransV1_0006670","p.persica_gdr_reftransV1_0006670")</f>
        <v>p.persica_gdr_reftransV1_0006670</v>
      </c>
      <c r="B7220" s="2">
        <v>1316</v>
      </c>
      <c r="C7220" s="4" t="str">
        <f>HYPERLINK("http://www.uniprot.org/uniprot/M5WBU6","M5WBU6")</f>
        <v>M5WBU6</v>
      </c>
      <c r="D7220" s="2" t="s">
        <v>6439</v>
      </c>
      <c r="E7220" s="3">
        <v>0</v>
      </c>
      <c r="F7220" s="2">
        <v>1718</v>
      </c>
      <c r="G7220" s="2">
        <v>100</v>
      </c>
      <c r="H7220" s="2">
        <v>326</v>
      </c>
      <c r="I7220" s="2">
        <v>279</v>
      </c>
      <c r="J7220" s="2">
        <v>1256</v>
      </c>
      <c r="K7220" s="2">
        <v>1</v>
      </c>
      <c r="L7220" s="2">
        <v>326</v>
      </c>
    </row>
    <row r="7221" spans="1:12" x14ac:dyDescent="0.25">
      <c r="A7221" s="4" t="str">
        <f>HYPERLINK("http://www.rosaceae.org/Prunus/Prunus_persica/p.persica_gdr_reftransV1_0007370","p.persica_gdr_reftransV1_0007370")</f>
        <v>p.persica_gdr_reftransV1_0007370</v>
      </c>
      <c r="B7221" s="2">
        <v>987</v>
      </c>
      <c r="C7221" s="4" t="str">
        <f>HYPERLINK("http://www.uniprot.org/uniprot/M5VIF0","M5VIF0")</f>
        <v>M5VIF0</v>
      </c>
      <c r="D7221" s="2" t="s">
        <v>695</v>
      </c>
      <c r="E7221" s="3">
        <v>7.9100000000000003E-73</v>
      </c>
      <c r="F7221" s="2">
        <v>481</v>
      </c>
      <c r="G7221" s="2">
        <v>66</v>
      </c>
      <c r="H7221" s="2">
        <v>172</v>
      </c>
      <c r="I7221" s="2">
        <v>453</v>
      </c>
      <c r="J7221" s="2">
        <v>953</v>
      </c>
      <c r="K7221" s="2">
        <v>753</v>
      </c>
      <c r="L7221" s="2">
        <v>901</v>
      </c>
    </row>
    <row r="7222" spans="1:12" x14ac:dyDescent="0.25">
      <c r="A7222" s="4" t="str">
        <f>HYPERLINK("http://www.rosaceae.org/Prunus/Prunus_persica/p.persica_gdr_reftransV1_0007720","p.persica_gdr_reftransV1_0007720")</f>
        <v>p.persica_gdr_reftransV1_0007720</v>
      </c>
      <c r="B7222" s="2">
        <v>685</v>
      </c>
      <c r="C7222" s="4" t="str">
        <f>HYPERLINK("http://www.uniprot.org/uniprot/M5W059","M5W059")</f>
        <v>M5W059</v>
      </c>
      <c r="D7222" s="2" t="s">
        <v>6440</v>
      </c>
      <c r="E7222" s="3">
        <v>3.4500000000000001E-127</v>
      </c>
      <c r="F7222" s="2">
        <v>950</v>
      </c>
      <c r="G7222" s="2">
        <v>97</v>
      </c>
      <c r="H7222" s="2">
        <v>182</v>
      </c>
      <c r="I7222" s="2">
        <v>103</v>
      </c>
      <c r="J7222" s="2">
        <v>648</v>
      </c>
      <c r="K7222" s="2">
        <v>1</v>
      </c>
      <c r="L7222" s="2">
        <v>182</v>
      </c>
    </row>
    <row r="7223" spans="1:12" x14ac:dyDescent="0.25">
      <c r="A7223" s="4" t="str">
        <f>HYPERLINK("http://www.rosaceae.org/Prunus/Prunus_persica/p.persica_gdr_reftransV1_0008070","p.persica_gdr_reftransV1_0008070")</f>
        <v>p.persica_gdr_reftransV1_0008070</v>
      </c>
      <c r="B7223" s="2">
        <v>2814</v>
      </c>
      <c r="C7223" s="4" t="str">
        <f>HYPERLINK("http://www.uniprot.org/uniprot/M5VIK5","M5VIK5")</f>
        <v>M5VIK5</v>
      </c>
      <c r="D7223" s="2" t="s">
        <v>6441</v>
      </c>
      <c r="E7223" s="3">
        <v>0</v>
      </c>
      <c r="F7223" s="2">
        <v>4100</v>
      </c>
      <c r="G7223" s="2">
        <v>100</v>
      </c>
      <c r="H7223" s="2">
        <v>820</v>
      </c>
      <c r="I7223" s="2">
        <v>155</v>
      </c>
      <c r="J7223" s="2">
        <v>2611</v>
      </c>
      <c r="K7223" s="2">
        <v>1</v>
      </c>
      <c r="L7223" s="2">
        <v>820</v>
      </c>
    </row>
    <row r="7224" spans="1:12" x14ac:dyDescent="0.25">
      <c r="A7224" s="4" t="str">
        <f>HYPERLINK("http://www.rosaceae.org/Prunus/Prunus_persica/p.persica_gdr_reftransV1_0009120","p.persica_gdr_reftransV1_0009120")</f>
        <v>p.persica_gdr_reftransV1_0009120</v>
      </c>
      <c r="B7224" s="2">
        <v>2100</v>
      </c>
      <c r="C7224" s="4" t="str">
        <f>HYPERLINK("http://www.uniprot.org/uniprot/M5XQV9","M5XQV9")</f>
        <v>M5XQV9</v>
      </c>
      <c r="D7224" s="2" t="s">
        <v>6442</v>
      </c>
      <c r="E7224" s="3">
        <v>0</v>
      </c>
      <c r="F7224" s="2">
        <v>2579</v>
      </c>
      <c r="G7224" s="2">
        <v>100</v>
      </c>
      <c r="H7224" s="2">
        <v>543</v>
      </c>
      <c r="I7224" s="2">
        <v>415</v>
      </c>
      <c r="J7224" s="2">
        <v>2043</v>
      </c>
      <c r="K7224" s="2">
        <v>149</v>
      </c>
      <c r="L7224" s="2">
        <v>691</v>
      </c>
    </row>
    <row r="7225" spans="1:12" x14ac:dyDescent="0.25">
      <c r="A7225" s="4" t="str">
        <f>HYPERLINK("http://www.rosaceae.org/Prunus/Prunus_persica/p.persica_gdr_reftransV1_0009470","p.persica_gdr_reftransV1_0009470")</f>
        <v>p.persica_gdr_reftransV1_0009470</v>
      </c>
      <c r="B7225" s="2">
        <v>3910</v>
      </c>
      <c r="C7225" s="4" t="str">
        <f>HYPERLINK("http://www.uniprot.org/uniprot/M5VZ90","M5VZ90")</f>
        <v>M5VZ90</v>
      </c>
      <c r="D7225" s="2" t="s">
        <v>6443</v>
      </c>
      <c r="E7225" s="3">
        <v>8.9499999999999997E-148</v>
      </c>
      <c r="F7225" s="2">
        <v>1199</v>
      </c>
      <c r="G7225" s="2">
        <v>100</v>
      </c>
      <c r="H7225" s="2">
        <v>252</v>
      </c>
      <c r="I7225" s="2">
        <v>3001</v>
      </c>
      <c r="J7225" s="2">
        <v>3756</v>
      </c>
      <c r="K7225" s="2">
        <v>1</v>
      </c>
      <c r="L7225" s="2">
        <v>252</v>
      </c>
    </row>
    <row r="7226" spans="1:12" x14ac:dyDescent="0.25">
      <c r="A7226" s="4" t="str">
        <f>HYPERLINK("http://www.rosaceae.org/Prunus/Prunus_persica/p.persica_gdr_reftransV1_0009820","p.persica_gdr_reftransV1_0009820")</f>
        <v>p.persica_gdr_reftransV1_0009820</v>
      </c>
      <c r="B7226" s="2">
        <v>1655</v>
      </c>
      <c r="C7226" s="4" t="str">
        <f>HYPERLINK("http://www.uniprot.org/uniprot/M5VMD1","M5VMD1")</f>
        <v>M5VMD1</v>
      </c>
      <c r="D7226" s="2" t="s">
        <v>6444</v>
      </c>
      <c r="E7226" s="3">
        <v>1.24E-141</v>
      </c>
      <c r="F7226" s="2">
        <v>1079</v>
      </c>
      <c r="G7226" s="2">
        <v>100</v>
      </c>
      <c r="H7226" s="2">
        <v>216</v>
      </c>
      <c r="I7226" s="2">
        <v>178</v>
      </c>
      <c r="J7226" s="2">
        <v>825</v>
      </c>
      <c r="K7226" s="2">
        <v>1</v>
      </c>
      <c r="L7226" s="2">
        <v>216</v>
      </c>
    </row>
    <row r="7227" spans="1:12" x14ac:dyDescent="0.25">
      <c r="A7227" s="4" t="str">
        <f>HYPERLINK("http://www.rosaceae.org/Prunus/Prunus_persica/p.persica_gdr_reftransV1_0010170","p.persica_gdr_reftransV1_0010170")</f>
        <v>p.persica_gdr_reftransV1_0010170</v>
      </c>
      <c r="B7227" s="2">
        <v>2343</v>
      </c>
      <c r="C7227" s="4" t="str">
        <f>HYPERLINK("http://www.uniprot.org/uniprot/M5XAS4","M5XAS4")</f>
        <v>M5XAS4</v>
      </c>
      <c r="D7227" s="2" t="s">
        <v>6445</v>
      </c>
      <c r="E7227" s="3">
        <v>0</v>
      </c>
      <c r="F7227" s="2">
        <v>3089</v>
      </c>
      <c r="G7227" s="2">
        <v>96</v>
      </c>
      <c r="H7227" s="2">
        <v>647</v>
      </c>
      <c r="I7227" s="2">
        <v>86</v>
      </c>
      <c r="J7227" s="2">
        <v>2026</v>
      </c>
      <c r="K7227" s="2">
        <v>1</v>
      </c>
      <c r="L7227" s="2">
        <v>623</v>
      </c>
    </row>
    <row r="7228" spans="1:12" x14ac:dyDescent="0.25">
      <c r="A7228" s="4" t="str">
        <f>HYPERLINK("http://www.rosaceae.org/Prunus/Prunus_persica/p.persica_gdr_reftransV1_0011220","p.persica_gdr_reftransV1_0011220")</f>
        <v>p.persica_gdr_reftransV1_0011220</v>
      </c>
      <c r="B7228" s="2">
        <v>2413</v>
      </c>
      <c r="C7228" s="4" t="str">
        <f>HYPERLINK("http://www.uniprot.org/uniprot/M5W2B3","M5W2B3")</f>
        <v>M5W2B3</v>
      </c>
      <c r="D7228" s="2" t="s">
        <v>596</v>
      </c>
      <c r="E7228" s="3">
        <v>0</v>
      </c>
      <c r="F7228" s="2">
        <v>1804</v>
      </c>
      <c r="G7228" s="2">
        <v>89</v>
      </c>
      <c r="H7228" s="2">
        <v>406</v>
      </c>
      <c r="I7228" s="2">
        <v>284</v>
      </c>
      <c r="J7228" s="2">
        <v>1501</v>
      </c>
      <c r="K7228" s="2">
        <v>14</v>
      </c>
      <c r="L7228" s="2">
        <v>384</v>
      </c>
    </row>
    <row r="7229" spans="1:12" x14ac:dyDescent="0.25">
      <c r="A7229" s="4" t="str">
        <f>HYPERLINK("http://www.rosaceae.org/Prunus/Prunus_persica/p.persica_gdr_reftransV1_0011570","p.persica_gdr_reftransV1_0011570")</f>
        <v>p.persica_gdr_reftransV1_0011570</v>
      </c>
      <c r="B7229" s="2">
        <v>1397</v>
      </c>
      <c r="C7229" s="4" t="str">
        <f>HYPERLINK("http://www.uniprot.org/uniprot/M5WNK1","M5WNK1")</f>
        <v>M5WNK1</v>
      </c>
      <c r="D7229" s="2" t="s">
        <v>6446</v>
      </c>
      <c r="E7229" s="3">
        <v>0</v>
      </c>
      <c r="F7229" s="2">
        <v>2277</v>
      </c>
      <c r="G7229" s="2">
        <v>99</v>
      </c>
      <c r="H7229" s="2">
        <v>429</v>
      </c>
      <c r="I7229" s="2">
        <v>2</v>
      </c>
      <c r="J7229" s="2">
        <v>1288</v>
      </c>
      <c r="K7229" s="2">
        <v>162</v>
      </c>
      <c r="L7229" s="2">
        <v>590</v>
      </c>
    </row>
    <row r="7230" spans="1:12" x14ac:dyDescent="0.25">
      <c r="A7230" s="4" t="str">
        <f>HYPERLINK("http://www.rosaceae.org/Prunus/Prunus_persica/p.persica_gdr_reftransV1_0011920","p.persica_gdr_reftransV1_0011920")</f>
        <v>p.persica_gdr_reftransV1_0011920</v>
      </c>
      <c r="B7230" s="2">
        <v>934</v>
      </c>
      <c r="C7230" s="4" t="str">
        <f>HYPERLINK("http://www.uniprot.org/uniprot/M5X154","M5X154")</f>
        <v>M5X154</v>
      </c>
      <c r="D7230" s="2" t="s">
        <v>6447</v>
      </c>
      <c r="E7230" s="3">
        <v>1.26E-136</v>
      </c>
      <c r="F7230" s="2">
        <v>1046</v>
      </c>
      <c r="G7230" s="2">
        <v>100</v>
      </c>
      <c r="H7230" s="2">
        <v>200</v>
      </c>
      <c r="I7230" s="2">
        <v>277</v>
      </c>
      <c r="J7230" s="2">
        <v>876</v>
      </c>
      <c r="K7230" s="2">
        <v>263</v>
      </c>
      <c r="L7230" s="2">
        <v>462</v>
      </c>
    </row>
    <row r="7231" spans="1:12" x14ac:dyDescent="0.25">
      <c r="A7231" s="4" t="str">
        <f>HYPERLINK("http://www.rosaceae.org/Prunus/Prunus_persica/p.persica_gdr_reftransV1_0012270","p.persica_gdr_reftransV1_0012270")</f>
        <v>p.persica_gdr_reftransV1_0012270</v>
      </c>
      <c r="B7231" s="2">
        <v>1033</v>
      </c>
      <c r="C7231" s="4" t="str">
        <f>HYPERLINK("http://www.uniprot.org/uniprot/M5W4Z8","M5W4Z8")</f>
        <v>M5W4Z8</v>
      </c>
      <c r="D7231" s="2" t="s">
        <v>6448</v>
      </c>
      <c r="E7231" s="3">
        <v>3.11E-38</v>
      </c>
      <c r="F7231" s="2">
        <v>359</v>
      </c>
      <c r="G7231" s="2">
        <v>100</v>
      </c>
      <c r="H7231" s="2">
        <v>83</v>
      </c>
      <c r="I7231" s="2">
        <v>532</v>
      </c>
      <c r="J7231" s="2">
        <v>780</v>
      </c>
      <c r="K7231" s="2">
        <v>1</v>
      </c>
      <c r="L7231" s="2">
        <v>83</v>
      </c>
    </row>
    <row r="7232" spans="1:12" x14ac:dyDescent="0.25">
      <c r="A7232" s="4" t="str">
        <f>HYPERLINK("http://www.rosaceae.org/Prunus/Prunus_persica/p.persica_gdr_reftransV1_0012620","p.persica_gdr_reftransV1_0012620")</f>
        <v>p.persica_gdr_reftransV1_0012620</v>
      </c>
      <c r="B7232" s="2">
        <v>2722</v>
      </c>
      <c r="C7232" s="4" t="str">
        <f>HYPERLINK("http://www.uniprot.org/uniprot/M5W1P3","M5W1P3")</f>
        <v>M5W1P3</v>
      </c>
      <c r="D7232" s="2" t="s">
        <v>6449</v>
      </c>
      <c r="E7232" s="3">
        <v>0</v>
      </c>
      <c r="F7232" s="2">
        <v>4124</v>
      </c>
      <c r="G7232" s="2">
        <v>100</v>
      </c>
      <c r="H7232" s="2">
        <v>798</v>
      </c>
      <c r="I7232" s="2">
        <v>136</v>
      </c>
      <c r="J7232" s="2">
        <v>2529</v>
      </c>
      <c r="K7232" s="2">
        <v>1</v>
      </c>
      <c r="L7232" s="2">
        <v>798</v>
      </c>
    </row>
    <row r="7233" spans="1:12" x14ac:dyDescent="0.25">
      <c r="A7233" s="4" t="str">
        <f>HYPERLINK("http://www.rosaceae.org/Prunus/Prunus_persica/p.persica_gdr_reftransV1_0012970","p.persica_gdr_reftransV1_0012970")</f>
        <v>p.persica_gdr_reftransV1_0012970</v>
      </c>
      <c r="B7233" s="2">
        <v>695</v>
      </c>
      <c r="C7233" s="4" t="str">
        <f>HYPERLINK("http://www.uniprot.org/uniprot/M5Y7A3","M5Y7A3")</f>
        <v>M5Y7A3</v>
      </c>
      <c r="D7233" s="2" t="s">
        <v>3115</v>
      </c>
      <c r="E7233" s="3">
        <v>5.8800000000000003E-112</v>
      </c>
      <c r="F7233" s="2">
        <v>875</v>
      </c>
      <c r="G7233" s="2">
        <v>100</v>
      </c>
      <c r="H7233" s="2">
        <v>164</v>
      </c>
      <c r="I7233" s="2">
        <v>2</v>
      </c>
      <c r="J7233" s="2">
        <v>493</v>
      </c>
      <c r="K7233" s="2">
        <v>307</v>
      </c>
      <c r="L7233" s="2">
        <v>470</v>
      </c>
    </row>
    <row r="7234" spans="1:12" x14ac:dyDescent="0.25">
      <c r="A7234" s="4" t="str">
        <f>HYPERLINK("http://www.rosaceae.org/Prunus/Prunus_persica/p.persica_gdr_reftransV1_0013320","p.persica_gdr_reftransV1_0013320")</f>
        <v>p.persica_gdr_reftransV1_0013320</v>
      </c>
      <c r="B7234" s="2">
        <v>2409</v>
      </c>
      <c r="C7234" s="4" t="str">
        <f>HYPERLINK("http://www.uniprot.org/uniprot/M5XD08","M5XD08")</f>
        <v>M5XD08</v>
      </c>
      <c r="D7234" s="2" t="s">
        <v>6450</v>
      </c>
      <c r="E7234" s="3">
        <v>0</v>
      </c>
      <c r="F7234" s="2">
        <v>1366</v>
      </c>
      <c r="G7234" s="2">
        <v>100</v>
      </c>
      <c r="H7234" s="2">
        <v>257</v>
      </c>
      <c r="I7234" s="2">
        <v>386</v>
      </c>
      <c r="J7234" s="2">
        <v>1156</v>
      </c>
      <c r="K7234" s="2">
        <v>91</v>
      </c>
      <c r="L7234" s="2">
        <v>347</v>
      </c>
    </row>
    <row r="7235" spans="1:12" x14ac:dyDescent="0.25">
      <c r="A7235" s="4" t="str">
        <f>HYPERLINK("http://www.rosaceae.org/Prunus/Prunus_persica/p.persica_gdr_reftransV1_0013670","p.persica_gdr_reftransV1_0013670")</f>
        <v>p.persica_gdr_reftransV1_0013670</v>
      </c>
      <c r="B7235" s="2">
        <v>1693</v>
      </c>
      <c r="C7235" s="4" t="str">
        <f>HYPERLINK("http://www.uniprot.org/uniprot/M5XBN6","M5XBN6")</f>
        <v>M5XBN6</v>
      </c>
      <c r="D7235" s="2" t="s">
        <v>6451</v>
      </c>
      <c r="E7235" s="3">
        <v>0</v>
      </c>
      <c r="F7235" s="2">
        <v>1826</v>
      </c>
      <c r="G7235" s="2">
        <v>100</v>
      </c>
      <c r="H7235" s="2">
        <v>356</v>
      </c>
      <c r="I7235" s="2">
        <v>215</v>
      </c>
      <c r="J7235" s="2">
        <v>1282</v>
      </c>
      <c r="K7235" s="2">
        <v>33</v>
      </c>
      <c r="L7235" s="2">
        <v>388</v>
      </c>
    </row>
    <row r="7236" spans="1:12" x14ac:dyDescent="0.25">
      <c r="A7236" s="4" t="str">
        <f>HYPERLINK("http://www.rosaceae.org/Prunus/Prunus_persica/p.persica_gdr_reftransV1_0014370","p.persica_gdr_reftransV1_0014370")</f>
        <v>p.persica_gdr_reftransV1_0014370</v>
      </c>
      <c r="B7236" s="2">
        <v>773</v>
      </c>
      <c r="C7236" s="4" t="str">
        <f>HYPERLINK("http://www.uniprot.org/uniprot/M5X3G0","M5X3G0")</f>
        <v>M5X3G0</v>
      </c>
      <c r="D7236" s="2" t="s">
        <v>6452</v>
      </c>
      <c r="E7236" s="3">
        <v>7.6500000000000006E-61</v>
      </c>
      <c r="F7236" s="2">
        <v>504</v>
      </c>
      <c r="G7236" s="2">
        <v>100</v>
      </c>
      <c r="H7236" s="2">
        <v>98</v>
      </c>
      <c r="I7236" s="2">
        <v>389</v>
      </c>
      <c r="J7236" s="2">
        <v>682</v>
      </c>
      <c r="K7236" s="2">
        <v>1</v>
      </c>
      <c r="L7236" s="2">
        <v>98</v>
      </c>
    </row>
    <row r="7237" spans="1:12" x14ac:dyDescent="0.25">
      <c r="A7237" s="4" t="str">
        <f>HYPERLINK("http://www.rosaceae.org/Prunus/Prunus_persica/p.persica_gdr_reftransV1_0014720","p.persica_gdr_reftransV1_0014720")</f>
        <v>p.persica_gdr_reftransV1_0014720</v>
      </c>
      <c r="B7237" s="2">
        <v>1455</v>
      </c>
      <c r="C7237" s="4" t="str">
        <f>HYPERLINK("http://www.uniprot.org/uniprot/M5X6P7","M5X6P7")</f>
        <v>M5X6P7</v>
      </c>
      <c r="D7237" s="2" t="s">
        <v>6453</v>
      </c>
      <c r="E7237" s="3">
        <v>0</v>
      </c>
      <c r="F7237" s="2">
        <v>1938</v>
      </c>
      <c r="G7237" s="2">
        <v>100</v>
      </c>
      <c r="H7237" s="2">
        <v>361</v>
      </c>
      <c r="I7237" s="2">
        <v>175</v>
      </c>
      <c r="J7237" s="2">
        <v>1257</v>
      </c>
      <c r="K7237" s="2">
        <v>20</v>
      </c>
      <c r="L7237" s="2">
        <v>380</v>
      </c>
    </row>
    <row r="7238" spans="1:12" x14ac:dyDescent="0.25">
      <c r="A7238" s="4" t="str">
        <f>HYPERLINK("http://www.rosaceae.org/Prunus/Prunus_persica/p.persica_gdr_reftransV1_0015770","p.persica_gdr_reftransV1_0015770")</f>
        <v>p.persica_gdr_reftransV1_0015770</v>
      </c>
      <c r="B7238" s="2">
        <v>897</v>
      </c>
      <c r="C7238" s="4" t="str">
        <f>HYPERLINK("http://www.uniprot.org/uniprot/M5W099","M5W099")</f>
        <v>M5W099</v>
      </c>
      <c r="D7238" s="2" t="s">
        <v>6454</v>
      </c>
      <c r="E7238" s="3">
        <v>1.6800000000000001E-127</v>
      </c>
      <c r="F7238" s="2">
        <v>975</v>
      </c>
      <c r="G7238" s="2">
        <v>98</v>
      </c>
      <c r="H7238" s="2">
        <v>230</v>
      </c>
      <c r="I7238" s="2">
        <v>208</v>
      </c>
      <c r="J7238" s="2">
        <v>897</v>
      </c>
      <c r="K7238" s="2">
        <v>135</v>
      </c>
      <c r="L7238" s="2">
        <v>364</v>
      </c>
    </row>
    <row r="7239" spans="1:12" x14ac:dyDescent="0.25">
      <c r="A7239" s="4" t="str">
        <f>HYPERLINK("http://www.rosaceae.org/Prunus/Prunus_persica/p.persica_gdr_reftransV1_0016820","p.persica_gdr_reftransV1_0016820")</f>
        <v>p.persica_gdr_reftransV1_0016820</v>
      </c>
      <c r="B7239" s="2">
        <v>2073</v>
      </c>
      <c r="C7239" s="4" t="str">
        <f>HYPERLINK("http://www.uniprot.org/uniprot/M5VQN6","M5VQN6")</f>
        <v>M5VQN6</v>
      </c>
      <c r="D7239" s="2" t="s">
        <v>6455</v>
      </c>
      <c r="E7239" s="3">
        <v>7.3699999999999998E-85</v>
      </c>
      <c r="F7239" s="2">
        <v>716</v>
      </c>
      <c r="G7239" s="2">
        <v>100</v>
      </c>
      <c r="H7239" s="2">
        <v>134</v>
      </c>
      <c r="I7239" s="2">
        <v>51</v>
      </c>
      <c r="J7239" s="2">
        <v>452</v>
      </c>
      <c r="K7239" s="2">
        <v>1</v>
      </c>
      <c r="L7239" s="2">
        <v>134</v>
      </c>
    </row>
    <row r="7240" spans="1:12" x14ac:dyDescent="0.25">
      <c r="A7240" s="4" t="str">
        <f>HYPERLINK("http://www.rosaceae.org/Prunus/Prunus_persica/p.persica_gdr_reftransV1_0017870","p.persica_gdr_reftransV1_0017870")</f>
        <v>p.persica_gdr_reftransV1_0017870</v>
      </c>
      <c r="B7240" s="2">
        <v>522</v>
      </c>
      <c r="C7240" s="4" t="str">
        <f>HYPERLINK("http://www.uniprot.org/uniprot/M5W530","M5W530")</f>
        <v>M5W530</v>
      </c>
      <c r="D7240" s="2" t="s">
        <v>6456</v>
      </c>
      <c r="E7240" s="3">
        <v>2.26E-54</v>
      </c>
      <c r="F7240" s="2">
        <v>480</v>
      </c>
      <c r="G7240" s="2">
        <v>100</v>
      </c>
      <c r="H7240" s="2">
        <v>102</v>
      </c>
      <c r="I7240" s="2">
        <v>72</v>
      </c>
      <c r="J7240" s="2">
        <v>377</v>
      </c>
      <c r="K7240" s="2">
        <v>361</v>
      </c>
      <c r="L7240" s="2">
        <v>462</v>
      </c>
    </row>
    <row r="7241" spans="1:12" x14ac:dyDescent="0.25">
      <c r="A7241" s="4" t="str">
        <f>HYPERLINK("http://www.rosaceae.org/Prunus/Prunus_persica/p.persica_gdr_reftransV1_0018570","p.persica_gdr_reftransV1_0018570")</f>
        <v>p.persica_gdr_reftransV1_0018570</v>
      </c>
      <c r="B7241" s="2">
        <v>2609</v>
      </c>
      <c r="C7241" s="4" t="str">
        <f>HYPERLINK("http://www.uniprot.org/uniprot/M5W537","M5W537")</f>
        <v>M5W537</v>
      </c>
      <c r="D7241" s="2" t="s">
        <v>6457</v>
      </c>
      <c r="E7241" s="3">
        <v>0</v>
      </c>
      <c r="F7241" s="2">
        <v>3615</v>
      </c>
      <c r="G7241" s="2">
        <v>100</v>
      </c>
      <c r="H7241" s="2">
        <v>700</v>
      </c>
      <c r="I7241" s="2">
        <v>508</v>
      </c>
      <c r="J7241" s="2">
        <v>2607</v>
      </c>
      <c r="K7241" s="2">
        <v>66</v>
      </c>
      <c r="L7241" s="2">
        <v>765</v>
      </c>
    </row>
    <row r="7242" spans="1:12" x14ac:dyDescent="0.25">
      <c r="A7242" s="4" t="str">
        <f>HYPERLINK("http://www.rosaceae.org/Prunus/Prunus_persica/p.persica_gdr_reftransV1_0020320","p.persica_gdr_reftransV1_0020320")</f>
        <v>p.persica_gdr_reftransV1_0020320</v>
      </c>
      <c r="B7242" s="2">
        <v>2359</v>
      </c>
      <c r="C7242" s="4" t="str">
        <f>HYPERLINK("http://www.uniprot.org/uniprot/M5WNW0","M5WNW0")</f>
        <v>M5WNW0</v>
      </c>
      <c r="D7242" s="2" t="s">
        <v>6458</v>
      </c>
      <c r="E7242" s="3">
        <v>0</v>
      </c>
      <c r="F7242" s="2">
        <v>3102</v>
      </c>
      <c r="G7242" s="2">
        <v>100</v>
      </c>
      <c r="H7242" s="2">
        <v>611</v>
      </c>
      <c r="I7242" s="2">
        <v>3</v>
      </c>
      <c r="J7242" s="2">
        <v>1835</v>
      </c>
      <c r="K7242" s="2">
        <v>97</v>
      </c>
      <c r="L7242" s="2">
        <v>707</v>
      </c>
    </row>
    <row r="7243" spans="1:12" x14ac:dyDescent="0.25">
      <c r="A7243" s="4" t="str">
        <f>HYPERLINK("http://www.rosaceae.org/Prunus/Prunus_persica/p.persica_gdr_reftransV1_0021720","p.persica_gdr_reftransV1_0021720")</f>
        <v>p.persica_gdr_reftransV1_0021720</v>
      </c>
      <c r="B7243" s="2">
        <v>1085</v>
      </c>
      <c r="C7243" s="4" t="str">
        <f>HYPERLINK("http://www.uniprot.org/uniprot/M5W9Y6","M5W9Y6")</f>
        <v>M5W9Y6</v>
      </c>
      <c r="D7243" s="2" t="s">
        <v>6459</v>
      </c>
      <c r="E7243" s="3">
        <v>2.7599999999999998E-65</v>
      </c>
      <c r="F7243" s="2">
        <v>554</v>
      </c>
      <c r="G7243" s="2">
        <v>68</v>
      </c>
      <c r="H7243" s="2">
        <v>178</v>
      </c>
      <c r="I7243" s="2">
        <v>306</v>
      </c>
      <c r="J7243" s="2">
        <v>818</v>
      </c>
      <c r="K7243" s="2">
        <v>2</v>
      </c>
      <c r="L7243" s="2">
        <v>172</v>
      </c>
    </row>
    <row r="7244" spans="1:12" x14ac:dyDescent="0.25">
      <c r="A7244" s="4" t="str">
        <f>HYPERLINK("http://www.rosaceae.org/Prunus/Prunus_persica/p.persica_gdr_reftransV1_0022770","p.persica_gdr_reftransV1_0022770")</f>
        <v>p.persica_gdr_reftransV1_0022770</v>
      </c>
      <c r="B7244" s="2">
        <v>1050</v>
      </c>
      <c r="C7244" s="4" t="str">
        <f>HYPERLINK("http://www.uniprot.org/uniprot/M5W010","M5W010")</f>
        <v>M5W010</v>
      </c>
      <c r="D7244" s="2" t="s">
        <v>6460</v>
      </c>
      <c r="E7244" s="3">
        <v>2.9199999999999999E-102</v>
      </c>
      <c r="F7244" s="2">
        <v>794</v>
      </c>
      <c r="G7244" s="2">
        <v>100</v>
      </c>
      <c r="H7244" s="2">
        <v>167</v>
      </c>
      <c r="I7244" s="2">
        <v>396</v>
      </c>
      <c r="J7244" s="2">
        <v>896</v>
      </c>
      <c r="K7244" s="2">
        <v>1</v>
      </c>
      <c r="L7244" s="2">
        <v>167</v>
      </c>
    </row>
    <row r="7245" spans="1:12" x14ac:dyDescent="0.25">
      <c r="A7245" s="4" t="str">
        <f>HYPERLINK("http://www.rosaceae.org/Prunus/Prunus_persica/p.persica_gdr_reftransV1_0024520","p.persica_gdr_reftransV1_0024520")</f>
        <v>p.persica_gdr_reftransV1_0024520</v>
      </c>
      <c r="B7245" s="2">
        <v>3213</v>
      </c>
      <c r="C7245" s="4" t="str">
        <f>HYPERLINK("http://www.uniprot.org/uniprot/M5XJY7","M5XJY7")</f>
        <v>M5XJY7</v>
      </c>
      <c r="D7245" s="2" t="s">
        <v>6461</v>
      </c>
      <c r="E7245" s="3">
        <v>0</v>
      </c>
      <c r="F7245" s="2">
        <v>3083</v>
      </c>
      <c r="G7245" s="2">
        <v>100</v>
      </c>
      <c r="H7245" s="2">
        <v>597</v>
      </c>
      <c r="I7245" s="2">
        <v>175</v>
      </c>
      <c r="J7245" s="2">
        <v>1965</v>
      </c>
      <c r="K7245" s="2">
        <v>1</v>
      </c>
      <c r="L7245" s="2">
        <v>597</v>
      </c>
    </row>
    <row r="7246" spans="1:12" x14ac:dyDescent="0.25">
      <c r="A7246" s="4" t="str">
        <f>HYPERLINK("http://www.rosaceae.org/Prunus/Prunus_persica/p.persica_gdr_reftransV1_0024870","p.persica_gdr_reftransV1_0024870")</f>
        <v>p.persica_gdr_reftransV1_0024870</v>
      </c>
      <c r="B7246" s="2">
        <v>1157</v>
      </c>
      <c r="C7246" s="4" t="str">
        <f>HYPERLINK("http://www.uniprot.org/uniprot/M5WM72","M5WM72")</f>
        <v>M5WM72</v>
      </c>
      <c r="D7246" s="2" t="s">
        <v>6462</v>
      </c>
      <c r="E7246" s="3">
        <v>4.1799999999999999E-133</v>
      </c>
      <c r="F7246" s="2">
        <v>1027</v>
      </c>
      <c r="G7246" s="2">
        <v>100</v>
      </c>
      <c r="H7246" s="2">
        <v>286</v>
      </c>
      <c r="I7246" s="2">
        <v>121</v>
      </c>
      <c r="J7246" s="2">
        <v>978</v>
      </c>
      <c r="K7246" s="2">
        <v>1</v>
      </c>
      <c r="L7246" s="2">
        <v>286</v>
      </c>
    </row>
    <row r="7247" spans="1:12" x14ac:dyDescent="0.25">
      <c r="A7247" s="4" t="str">
        <f>HYPERLINK("http://www.rosaceae.org/Prunus/Prunus_persica/p.persica_gdr_reftransV1_0025220","p.persica_gdr_reftransV1_0025220")</f>
        <v>p.persica_gdr_reftransV1_0025220</v>
      </c>
      <c r="B7247" s="2">
        <v>2038</v>
      </c>
      <c r="C7247" s="4" t="str">
        <f>HYPERLINK("http://www.uniprot.org/uniprot/W9S8I9","W9S8I9")</f>
        <v>W9S8I9</v>
      </c>
      <c r="D7247" s="2" t="s">
        <v>6463</v>
      </c>
      <c r="E7247" s="3">
        <v>0</v>
      </c>
      <c r="F7247" s="2">
        <v>1101</v>
      </c>
      <c r="G7247" s="2">
        <v>76</v>
      </c>
      <c r="H7247" s="2">
        <v>270</v>
      </c>
      <c r="I7247" s="2">
        <v>166</v>
      </c>
      <c r="J7247" s="2">
        <v>972</v>
      </c>
      <c r="K7247" s="2">
        <v>1</v>
      </c>
      <c r="L7247" s="2">
        <v>270</v>
      </c>
    </row>
    <row r="7248" spans="1:12" x14ac:dyDescent="0.25">
      <c r="A7248" s="4" t="str">
        <f>HYPERLINK("http://www.rosaceae.org/Prunus/Prunus_persica/p.persica_gdr_reftransV1_0025920","p.persica_gdr_reftransV1_0025920")</f>
        <v>p.persica_gdr_reftransV1_0025920</v>
      </c>
      <c r="B7248" s="2">
        <v>5648</v>
      </c>
      <c r="C7248" s="4" t="str">
        <f>HYPERLINK("http://www.uniprot.org/uniprot/M5WCV1","M5WCV1")</f>
        <v>M5WCV1</v>
      </c>
      <c r="D7248" s="2" t="s">
        <v>6464</v>
      </c>
      <c r="E7248" s="3">
        <v>0</v>
      </c>
      <c r="F7248" s="2">
        <v>4765</v>
      </c>
      <c r="G7248" s="2">
        <v>100</v>
      </c>
      <c r="H7248" s="2">
        <v>936</v>
      </c>
      <c r="I7248" s="2">
        <v>528</v>
      </c>
      <c r="J7248" s="2">
        <v>3335</v>
      </c>
      <c r="K7248" s="2">
        <v>1</v>
      </c>
      <c r="L7248" s="2">
        <v>936</v>
      </c>
    </row>
    <row r="7249" spans="1:12" x14ac:dyDescent="0.25">
      <c r="A7249" s="4" t="str">
        <f>HYPERLINK("http://www.rosaceae.org/Prunus/Prunus_persica/p.persica_gdr_reftransV1_0028720","p.persica_gdr_reftransV1_0028720")</f>
        <v>p.persica_gdr_reftransV1_0028720</v>
      </c>
      <c r="B7249" s="2">
        <v>2834</v>
      </c>
      <c r="C7249" s="4" t="str">
        <f>HYPERLINK("http://www.uniprot.org/uniprot/M5WJE6","M5WJE6")</f>
        <v>M5WJE6</v>
      </c>
      <c r="D7249" s="2" t="s">
        <v>6465</v>
      </c>
      <c r="E7249" s="3">
        <v>0</v>
      </c>
      <c r="F7249" s="2">
        <v>2999</v>
      </c>
      <c r="G7249" s="2">
        <v>99</v>
      </c>
      <c r="H7249" s="2">
        <v>618</v>
      </c>
      <c r="I7249" s="2">
        <v>319</v>
      </c>
      <c r="J7249" s="2">
        <v>2172</v>
      </c>
      <c r="K7249" s="2">
        <v>1</v>
      </c>
      <c r="L7249" s="2">
        <v>618</v>
      </c>
    </row>
    <row r="7250" spans="1:12" x14ac:dyDescent="0.25">
      <c r="A7250" s="4" t="str">
        <f>HYPERLINK("http://www.rosaceae.org/Prunus/Prunus_persica/p.persica_gdr_reftransV1_0029770","p.persica_gdr_reftransV1_0029770")</f>
        <v>p.persica_gdr_reftransV1_0029770</v>
      </c>
      <c r="B7250" s="2">
        <v>4247</v>
      </c>
      <c r="C7250" s="4" t="str">
        <f>HYPERLINK("http://www.uniprot.org/uniprot/M5XBK0","M5XBK0")</f>
        <v>M5XBK0</v>
      </c>
      <c r="D7250" s="2" t="s">
        <v>6466</v>
      </c>
      <c r="E7250" s="3">
        <v>0</v>
      </c>
      <c r="F7250" s="2">
        <v>2637</v>
      </c>
      <c r="G7250" s="2">
        <v>100</v>
      </c>
      <c r="H7250" s="2">
        <v>508</v>
      </c>
      <c r="I7250" s="2">
        <v>2644</v>
      </c>
      <c r="J7250" s="2">
        <v>4167</v>
      </c>
      <c r="K7250" s="2">
        <v>1</v>
      </c>
      <c r="L7250" s="2">
        <v>508</v>
      </c>
    </row>
    <row r="7251" spans="1:12" x14ac:dyDescent="0.25">
      <c r="A7251" s="4" t="str">
        <f>HYPERLINK("http://www.rosaceae.org/Prunus/Prunus_persica/p.persica_gdr_reftransV1_0031170","p.persica_gdr_reftransV1_0031170")</f>
        <v>p.persica_gdr_reftransV1_0031170</v>
      </c>
      <c r="B7251" s="2">
        <v>2209</v>
      </c>
      <c r="C7251" s="4" t="str">
        <f>HYPERLINK("http://www.uniprot.org/uniprot/M5WAT6","M5WAT6")</f>
        <v>M5WAT6</v>
      </c>
      <c r="D7251" s="2" t="s">
        <v>6467</v>
      </c>
      <c r="E7251" s="3">
        <v>0</v>
      </c>
      <c r="F7251" s="2">
        <v>2113</v>
      </c>
      <c r="G7251" s="2">
        <v>100</v>
      </c>
      <c r="H7251" s="2">
        <v>390</v>
      </c>
      <c r="I7251" s="2">
        <v>256</v>
      </c>
      <c r="J7251" s="2">
        <v>1425</v>
      </c>
      <c r="K7251" s="2">
        <v>1</v>
      </c>
      <c r="L7251" s="2">
        <v>390</v>
      </c>
    </row>
    <row r="7252" spans="1:12" x14ac:dyDescent="0.25">
      <c r="A7252" s="4" t="str">
        <f>HYPERLINK("http://www.rosaceae.org/Prunus/Prunus_persica/p.persica_gdr_reftransV1_0031520","p.persica_gdr_reftransV1_0031520")</f>
        <v>p.persica_gdr_reftransV1_0031520</v>
      </c>
      <c r="B7252" s="2">
        <v>1817</v>
      </c>
      <c r="C7252" s="4" t="str">
        <f>HYPERLINK("http://www.uniprot.org/uniprot/M5WZL9","M5WZL9")</f>
        <v>M5WZL9</v>
      </c>
      <c r="D7252" s="2" t="s">
        <v>6468</v>
      </c>
      <c r="E7252" s="3">
        <v>0</v>
      </c>
      <c r="F7252" s="2">
        <v>2126</v>
      </c>
      <c r="G7252" s="2">
        <v>100</v>
      </c>
      <c r="H7252" s="2">
        <v>413</v>
      </c>
      <c r="I7252" s="2">
        <v>38</v>
      </c>
      <c r="J7252" s="2">
        <v>1276</v>
      </c>
      <c r="K7252" s="2">
        <v>1</v>
      </c>
      <c r="L7252" s="2">
        <v>413</v>
      </c>
    </row>
    <row r="7253" spans="1:12" x14ac:dyDescent="0.25">
      <c r="A7253" s="4" t="str">
        <f>HYPERLINK("http://www.rosaceae.org/Prunus/Prunus_persica/p.persica_gdr_reftransV1_0031870","p.persica_gdr_reftransV1_0031870")</f>
        <v>p.persica_gdr_reftransV1_0031870</v>
      </c>
      <c r="B7253" s="2">
        <v>1905</v>
      </c>
      <c r="C7253" s="4" t="str">
        <f>HYPERLINK("http://www.uniprot.org/uniprot/M5WPQ8","M5WPQ8")</f>
        <v>M5WPQ8</v>
      </c>
      <c r="D7253" s="2" t="s">
        <v>6469</v>
      </c>
      <c r="E7253" s="3">
        <v>0</v>
      </c>
      <c r="F7253" s="2">
        <v>1412</v>
      </c>
      <c r="G7253" s="2">
        <v>99</v>
      </c>
      <c r="H7253" s="2">
        <v>303</v>
      </c>
      <c r="I7253" s="2">
        <v>701</v>
      </c>
      <c r="J7253" s="2">
        <v>1609</v>
      </c>
      <c r="K7253" s="2">
        <v>1</v>
      </c>
      <c r="L7253" s="2">
        <v>303</v>
      </c>
    </row>
    <row r="7254" spans="1:12" x14ac:dyDescent="0.25">
      <c r="A7254" s="4" t="str">
        <f>HYPERLINK("http://www.rosaceae.org/Prunus/Prunus_persica/p.persica_gdr_reftransV1_0033970","p.persica_gdr_reftransV1_0033970")</f>
        <v>p.persica_gdr_reftransV1_0033970</v>
      </c>
      <c r="B7254" s="2">
        <v>2516</v>
      </c>
      <c r="C7254" s="4" t="str">
        <f>HYPERLINK("http://www.uniprot.org/uniprot/M5WG57","M5WG57")</f>
        <v>M5WG57</v>
      </c>
      <c r="D7254" s="2" t="s">
        <v>1587</v>
      </c>
      <c r="E7254" s="3">
        <v>1.09E-168</v>
      </c>
      <c r="F7254" s="2">
        <v>1299</v>
      </c>
      <c r="G7254" s="2">
        <v>99</v>
      </c>
      <c r="H7254" s="2">
        <v>246</v>
      </c>
      <c r="I7254" s="2">
        <v>1479</v>
      </c>
      <c r="J7254" s="2">
        <v>2216</v>
      </c>
      <c r="K7254" s="2">
        <v>106</v>
      </c>
      <c r="L7254" s="2">
        <v>351</v>
      </c>
    </row>
    <row r="7255" spans="1:12" x14ac:dyDescent="0.25">
      <c r="A7255" s="4" t="str">
        <f>HYPERLINK("http://www.rosaceae.org/Prunus/Prunus_persica/p.persica_gdr_reftransV1_0037120","p.persica_gdr_reftransV1_0037120")</f>
        <v>p.persica_gdr_reftransV1_0037120</v>
      </c>
      <c r="B7255" s="2">
        <v>2940</v>
      </c>
      <c r="C7255" s="4" t="str">
        <f>HYPERLINK("http://www.uniprot.org/uniprot/M5VL40","M5VL40")</f>
        <v>M5VL40</v>
      </c>
      <c r="D7255" s="2" t="s">
        <v>505</v>
      </c>
      <c r="E7255" s="3">
        <v>7.6900000000000004E-107</v>
      </c>
      <c r="F7255" s="2">
        <v>890</v>
      </c>
      <c r="G7255" s="2">
        <v>100</v>
      </c>
      <c r="H7255" s="2">
        <v>165</v>
      </c>
      <c r="I7255" s="2">
        <v>501</v>
      </c>
      <c r="J7255" s="2">
        <v>995</v>
      </c>
      <c r="K7255" s="2">
        <v>101</v>
      </c>
      <c r="L7255" s="2">
        <v>265</v>
      </c>
    </row>
    <row r="7256" spans="1:12" x14ac:dyDescent="0.25">
      <c r="A7256" s="4" t="str">
        <f>HYPERLINK("http://www.rosaceae.org/Prunus/Prunus_persica/p.persica_gdr_reftransV1_0038520","p.persica_gdr_reftransV1_0038520")</f>
        <v>p.persica_gdr_reftransV1_0038520</v>
      </c>
      <c r="B7256" s="2">
        <v>4380</v>
      </c>
      <c r="C7256" s="4" t="str">
        <f>HYPERLINK("http://www.uniprot.org/uniprot/M5VWD4","M5VWD4")</f>
        <v>M5VWD4</v>
      </c>
      <c r="D7256" s="2" t="s">
        <v>6470</v>
      </c>
      <c r="E7256" s="3">
        <v>1.7500000000000001E-122</v>
      </c>
      <c r="F7256" s="2">
        <v>1043</v>
      </c>
      <c r="G7256" s="2">
        <v>96</v>
      </c>
      <c r="H7256" s="2">
        <v>204</v>
      </c>
      <c r="I7256" s="2">
        <v>174</v>
      </c>
      <c r="J7256" s="2">
        <v>785</v>
      </c>
      <c r="K7256" s="2">
        <v>1</v>
      </c>
      <c r="L7256" s="2">
        <v>204</v>
      </c>
    </row>
    <row r="7257" spans="1:12" x14ac:dyDescent="0.25">
      <c r="A7257" s="4" t="str">
        <f>HYPERLINK("http://www.rosaceae.org/Prunus/Prunus_persica/p.persica_gdr_reftransV1_0039570","p.persica_gdr_reftransV1_0039570")</f>
        <v>p.persica_gdr_reftransV1_0039570</v>
      </c>
      <c r="B7257" s="2">
        <v>1142</v>
      </c>
      <c r="C7257" s="4" t="str">
        <f>HYPERLINK("http://www.uniprot.org/uniprot/M5WL28","M5WL28")</f>
        <v>M5WL28</v>
      </c>
      <c r="D7257" s="2" t="s">
        <v>4279</v>
      </c>
      <c r="E7257" s="3">
        <v>0</v>
      </c>
      <c r="F7257" s="2">
        <v>1781</v>
      </c>
      <c r="G7257" s="2">
        <v>100</v>
      </c>
      <c r="H7257" s="2">
        <v>328</v>
      </c>
      <c r="I7257" s="2">
        <v>157</v>
      </c>
      <c r="J7257" s="2">
        <v>1140</v>
      </c>
      <c r="K7257" s="2">
        <v>354</v>
      </c>
      <c r="L7257" s="2">
        <v>681</v>
      </c>
    </row>
    <row r="7258" spans="1:12" x14ac:dyDescent="0.25">
      <c r="A7258" s="4" t="str">
        <f>HYPERLINK("http://www.rosaceae.org/Prunus/Prunus_persica/p.persica_gdr_reftransV1_0039920","p.persica_gdr_reftransV1_0039920")</f>
        <v>p.persica_gdr_reftransV1_0039920</v>
      </c>
      <c r="B7258" s="2">
        <v>1796</v>
      </c>
      <c r="C7258" s="4" t="str">
        <f>HYPERLINK("http://www.uniprot.org/uniprot/M5W8H7","M5W8H7")</f>
        <v>M5W8H7</v>
      </c>
      <c r="D7258" s="2" t="s">
        <v>6471</v>
      </c>
      <c r="E7258" s="3">
        <v>0</v>
      </c>
      <c r="F7258" s="2">
        <v>2097</v>
      </c>
      <c r="G7258" s="2">
        <v>100</v>
      </c>
      <c r="H7258" s="2">
        <v>392</v>
      </c>
      <c r="I7258" s="2">
        <v>523</v>
      </c>
      <c r="J7258" s="2">
        <v>1698</v>
      </c>
      <c r="K7258" s="2">
        <v>1</v>
      </c>
      <c r="L7258" s="2">
        <v>392</v>
      </c>
    </row>
    <row r="7259" spans="1:12" x14ac:dyDescent="0.25">
      <c r="A7259" s="4" t="str">
        <f>HYPERLINK("http://www.rosaceae.org/Prunus/Prunus_persica/p.persica_gdr_reftransV1_0040270","p.persica_gdr_reftransV1_0040270")</f>
        <v>p.persica_gdr_reftransV1_0040270</v>
      </c>
      <c r="B7259" s="2">
        <v>456</v>
      </c>
      <c r="C7259" s="4" t="str">
        <f>HYPERLINK("http://www.uniprot.org/uniprot/M5WWT2","M5WWT2")</f>
        <v>M5WWT2</v>
      </c>
      <c r="D7259" s="2" t="s">
        <v>1134</v>
      </c>
      <c r="E7259" s="3">
        <v>1.2E-56</v>
      </c>
      <c r="F7259" s="2">
        <v>511</v>
      </c>
      <c r="G7259" s="2">
        <v>100</v>
      </c>
      <c r="H7259" s="2">
        <v>97</v>
      </c>
      <c r="I7259" s="2">
        <v>2</v>
      </c>
      <c r="J7259" s="2">
        <v>292</v>
      </c>
      <c r="K7259" s="2">
        <v>22</v>
      </c>
      <c r="L7259" s="2">
        <v>118</v>
      </c>
    </row>
    <row r="7260" spans="1:12" x14ac:dyDescent="0.25">
      <c r="A7260" s="4" t="str">
        <f>HYPERLINK("http://www.rosaceae.org/Prunus/Prunus_persica/p.persica_gdr_reftransV1_0040620","p.persica_gdr_reftransV1_0040620")</f>
        <v>p.persica_gdr_reftransV1_0040620</v>
      </c>
      <c r="B7260" s="2">
        <v>1346</v>
      </c>
      <c r="C7260" s="4" t="str">
        <f>HYPERLINK("http://www.uniprot.org/uniprot/M5XX71","M5XX71")</f>
        <v>M5XX71</v>
      </c>
      <c r="D7260" s="2" t="s">
        <v>6472</v>
      </c>
      <c r="E7260" s="3">
        <v>0</v>
      </c>
      <c r="F7260" s="2">
        <v>1408</v>
      </c>
      <c r="G7260" s="2">
        <v>91</v>
      </c>
      <c r="H7260" s="2">
        <v>344</v>
      </c>
      <c r="I7260" s="2">
        <v>235</v>
      </c>
      <c r="J7260" s="2">
        <v>1266</v>
      </c>
      <c r="K7260" s="2">
        <v>1</v>
      </c>
      <c r="L7260" s="2">
        <v>312</v>
      </c>
    </row>
    <row r="7261" spans="1:12" x14ac:dyDescent="0.25">
      <c r="A7261" s="4" t="str">
        <f>HYPERLINK("http://www.rosaceae.org/Prunus/Prunus_persica/p.persica_gdr_reftransV1_0042720","p.persica_gdr_reftransV1_0042720")</f>
        <v>p.persica_gdr_reftransV1_0042720</v>
      </c>
      <c r="B7261" s="2">
        <v>1780</v>
      </c>
      <c r="C7261" s="4" t="str">
        <f>HYPERLINK("http://www.uniprot.org/uniprot/M5WUM7","M5WUM7")</f>
        <v>M5WUM7</v>
      </c>
      <c r="D7261" s="2" t="s">
        <v>1532</v>
      </c>
      <c r="E7261" s="3">
        <v>0</v>
      </c>
      <c r="F7261" s="2">
        <v>2120</v>
      </c>
      <c r="G7261" s="2">
        <v>100</v>
      </c>
      <c r="H7261" s="2">
        <v>448</v>
      </c>
      <c r="I7261" s="2">
        <v>437</v>
      </c>
      <c r="J7261" s="2">
        <v>1780</v>
      </c>
      <c r="K7261" s="2">
        <v>56</v>
      </c>
      <c r="L7261" s="2">
        <v>503</v>
      </c>
    </row>
    <row r="7262" spans="1:12" x14ac:dyDescent="0.25">
      <c r="A7262" s="4" t="str">
        <f>HYPERLINK("http://www.rosaceae.org/Prunus/Prunus_persica/p.persica_gdr_reftransV1_0043070","p.persica_gdr_reftransV1_0043070")</f>
        <v>p.persica_gdr_reftransV1_0043070</v>
      </c>
      <c r="B7262" s="2">
        <v>392</v>
      </c>
      <c r="C7262" s="4" t="str">
        <f>HYPERLINK("http://www.uniprot.org/uniprot/M5Y3A6","M5Y3A6")</f>
        <v>M5Y3A6</v>
      </c>
      <c r="D7262" s="2" t="s">
        <v>6473</v>
      </c>
      <c r="E7262" s="3">
        <v>1.5800000000000001E-79</v>
      </c>
      <c r="F7262" s="2">
        <v>671</v>
      </c>
      <c r="G7262" s="2">
        <v>100</v>
      </c>
      <c r="H7262" s="2">
        <v>130</v>
      </c>
      <c r="I7262" s="2">
        <v>1</v>
      </c>
      <c r="J7262" s="2">
        <v>390</v>
      </c>
      <c r="K7262" s="2">
        <v>137</v>
      </c>
      <c r="L7262" s="2">
        <v>266</v>
      </c>
    </row>
    <row r="7263" spans="1:12" x14ac:dyDescent="0.25">
      <c r="A7263" s="4" t="str">
        <f>HYPERLINK("http://www.rosaceae.org/Prunus/Prunus_persica/p.persica_gdr_reftransV1_0043420","p.persica_gdr_reftransV1_0043420")</f>
        <v>p.persica_gdr_reftransV1_0043420</v>
      </c>
      <c r="B7263" s="2">
        <v>811</v>
      </c>
      <c r="C7263" s="4" t="str">
        <f>HYPERLINK("http://www.uniprot.org/uniprot/M5WU13","M5WU13")</f>
        <v>M5WU13</v>
      </c>
      <c r="D7263" s="2" t="s">
        <v>637</v>
      </c>
      <c r="E7263" s="3">
        <v>5.8800000000000001E-133</v>
      </c>
      <c r="F7263" s="2">
        <v>992</v>
      </c>
      <c r="G7263" s="2">
        <v>100</v>
      </c>
      <c r="H7263" s="2">
        <v>204</v>
      </c>
      <c r="I7263" s="2">
        <v>40</v>
      </c>
      <c r="J7263" s="2">
        <v>651</v>
      </c>
      <c r="K7263" s="2">
        <v>1</v>
      </c>
      <c r="L7263" s="2">
        <v>204</v>
      </c>
    </row>
    <row r="7264" spans="1:12" x14ac:dyDescent="0.25">
      <c r="A7264" s="4" t="str">
        <f>HYPERLINK("http://www.rosaceae.org/Prunus/Prunus_persica/p.persica_gdr_reftransV1_0043770","p.persica_gdr_reftransV1_0043770")</f>
        <v>p.persica_gdr_reftransV1_0043770</v>
      </c>
      <c r="B7264" s="2">
        <v>820</v>
      </c>
      <c r="C7264" s="4" t="str">
        <f>HYPERLINK("http://www.uniprot.org/uniprot/M5XH65","M5XH65")</f>
        <v>M5XH65</v>
      </c>
      <c r="D7264" s="2" t="s">
        <v>6474</v>
      </c>
      <c r="E7264" s="3">
        <v>1.27E-113</v>
      </c>
      <c r="F7264" s="2">
        <v>861</v>
      </c>
      <c r="G7264" s="2">
        <v>100</v>
      </c>
      <c r="H7264" s="2">
        <v>164</v>
      </c>
      <c r="I7264" s="2">
        <v>158</v>
      </c>
      <c r="J7264" s="2">
        <v>649</v>
      </c>
      <c r="K7264" s="2">
        <v>1</v>
      </c>
      <c r="L7264" s="2">
        <v>164</v>
      </c>
    </row>
    <row r="7265" spans="1:12" x14ac:dyDescent="0.25">
      <c r="A7265" s="4" t="str">
        <f>HYPERLINK("http://www.rosaceae.org/Prunus/Prunus_persica/p.persica_gdr_reftransV1_0044470","p.persica_gdr_reftransV1_0044470")</f>
        <v>p.persica_gdr_reftransV1_0044470</v>
      </c>
      <c r="B7265" s="2">
        <v>328</v>
      </c>
      <c r="C7265" s="4" t="str">
        <f>HYPERLINK("http://www.uniprot.org/uniprot/A0A067KJ38","A0A067KJ38")</f>
        <v>A0A067KJ38</v>
      </c>
      <c r="D7265" s="2" t="s">
        <v>6475</v>
      </c>
      <c r="E7265" s="3">
        <v>2.5199999999999998E-44</v>
      </c>
      <c r="F7265" s="2">
        <v>400</v>
      </c>
      <c r="G7265" s="2">
        <v>78</v>
      </c>
      <c r="H7265" s="2">
        <v>96</v>
      </c>
      <c r="I7265" s="2">
        <v>41</v>
      </c>
      <c r="J7265" s="2">
        <v>328</v>
      </c>
      <c r="K7265" s="2">
        <v>13</v>
      </c>
      <c r="L7265" s="2">
        <v>108</v>
      </c>
    </row>
    <row r="7266" spans="1:12" x14ac:dyDescent="0.25">
      <c r="A7266" s="4" t="str">
        <f>HYPERLINK("http://www.rosaceae.org/Prunus/Prunus_persica/p.persica_gdr_reftransV1_0045170","p.persica_gdr_reftransV1_0045170")</f>
        <v>p.persica_gdr_reftransV1_0045170</v>
      </c>
      <c r="B7266" s="2">
        <v>1348</v>
      </c>
      <c r="C7266" s="4" t="str">
        <f>HYPERLINK("http://www.uniprot.org/uniprot/W9QQC8","W9QQC8")</f>
        <v>W9QQC8</v>
      </c>
      <c r="D7266" s="2" t="s">
        <v>2824</v>
      </c>
      <c r="E7266" s="3">
        <v>6.44E-83</v>
      </c>
      <c r="F7266" s="2">
        <v>682</v>
      </c>
      <c r="G7266" s="2">
        <v>66</v>
      </c>
      <c r="H7266" s="2">
        <v>239</v>
      </c>
      <c r="I7266" s="2">
        <v>130</v>
      </c>
      <c r="J7266" s="2">
        <v>834</v>
      </c>
      <c r="K7266" s="2">
        <v>1</v>
      </c>
      <c r="L7266" s="2">
        <v>232</v>
      </c>
    </row>
    <row r="7267" spans="1:12" x14ac:dyDescent="0.25">
      <c r="A7267" s="4" t="str">
        <f>HYPERLINK("http://www.rosaceae.org/Prunus/Prunus_persica/p.persica_gdr_reftransV1_0045520","p.persica_gdr_reftransV1_0045520")</f>
        <v>p.persica_gdr_reftransV1_0045520</v>
      </c>
      <c r="B7267" s="2">
        <v>353</v>
      </c>
      <c r="C7267" s="4" t="str">
        <f>HYPERLINK("http://www.uniprot.org/uniprot/M5XLA3","M5XLA3")</f>
        <v>M5XLA3</v>
      </c>
      <c r="D7267" s="2" t="s">
        <v>6476</v>
      </c>
      <c r="E7267" s="3">
        <v>2.12E-41</v>
      </c>
      <c r="F7267" s="2">
        <v>362</v>
      </c>
      <c r="G7267" s="2">
        <v>100</v>
      </c>
      <c r="H7267" s="2">
        <v>83</v>
      </c>
      <c r="I7267" s="2">
        <v>103</v>
      </c>
      <c r="J7267" s="2">
        <v>351</v>
      </c>
      <c r="K7267" s="2">
        <v>1</v>
      </c>
      <c r="L7267" s="2">
        <v>83</v>
      </c>
    </row>
    <row r="7268" spans="1:12" x14ac:dyDescent="0.25">
      <c r="A7268" s="4" t="str">
        <f>HYPERLINK("http://www.rosaceae.org/Prunus/Prunus_persica/p.persica_gdr_reftransV1_0045870","p.persica_gdr_reftransV1_0045870")</f>
        <v>p.persica_gdr_reftransV1_0045870</v>
      </c>
      <c r="B7268" s="2">
        <v>1781</v>
      </c>
      <c r="C7268" s="4" t="str">
        <f>HYPERLINK("http://www.uniprot.org/uniprot/M5XMG5","M5XMG5")</f>
        <v>M5XMG5</v>
      </c>
      <c r="D7268" s="2" t="s">
        <v>3532</v>
      </c>
      <c r="E7268" s="3">
        <v>0</v>
      </c>
      <c r="F7268" s="2">
        <v>2848</v>
      </c>
      <c r="G7268" s="2">
        <v>100</v>
      </c>
      <c r="H7268" s="2">
        <v>531</v>
      </c>
      <c r="I7268" s="2">
        <v>3</v>
      </c>
      <c r="J7268" s="2">
        <v>1595</v>
      </c>
      <c r="K7268" s="2">
        <v>420</v>
      </c>
      <c r="L7268" s="2">
        <v>950</v>
      </c>
    </row>
    <row r="7269" spans="1:12" x14ac:dyDescent="0.25">
      <c r="A7269" s="4" t="str">
        <f>HYPERLINK("http://www.rosaceae.org/Prunus/Prunus_persica/p.persica_gdr_reftransV1_0046570","p.persica_gdr_reftransV1_0046570")</f>
        <v>p.persica_gdr_reftransV1_0046570</v>
      </c>
      <c r="B7269" s="2">
        <v>671</v>
      </c>
      <c r="C7269" s="4" t="str">
        <f>HYPERLINK("http://www.uniprot.org/uniprot/M5WY35","M5WY35")</f>
        <v>M5WY35</v>
      </c>
      <c r="D7269" s="2" t="s">
        <v>6477</v>
      </c>
      <c r="E7269" s="3">
        <v>3.58E-112</v>
      </c>
      <c r="F7269" s="2">
        <v>850</v>
      </c>
      <c r="G7269" s="2">
        <v>100</v>
      </c>
      <c r="H7269" s="2">
        <v>160</v>
      </c>
      <c r="I7269" s="2">
        <v>191</v>
      </c>
      <c r="J7269" s="2">
        <v>670</v>
      </c>
      <c r="K7269" s="2">
        <v>46</v>
      </c>
      <c r="L7269" s="2">
        <v>205</v>
      </c>
    </row>
    <row r="7270" spans="1:12" x14ac:dyDescent="0.25">
      <c r="A7270" s="4" t="str">
        <f>HYPERLINK("http://www.rosaceae.org/Prunus/Prunus_persica/p.persica_gdr_reftransV1_0047270","p.persica_gdr_reftransV1_0047270")</f>
        <v>p.persica_gdr_reftransV1_0047270</v>
      </c>
      <c r="B7270" s="2">
        <v>1417</v>
      </c>
      <c r="C7270" s="4" t="str">
        <f>HYPERLINK("http://www.uniprot.org/uniprot/M5WTM8","M5WTM8")</f>
        <v>M5WTM8</v>
      </c>
      <c r="D7270" s="2" t="s">
        <v>6478</v>
      </c>
      <c r="E7270" s="3">
        <v>3.8900000000000001E-178</v>
      </c>
      <c r="F7270" s="2">
        <v>1328</v>
      </c>
      <c r="G7270" s="2">
        <v>88</v>
      </c>
      <c r="H7270" s="2">
        <v>322</v>
      </c>
      <c r="I7270" s="2">
        <v>251</v>
      </c>
      <c r="J7270" s="2">
        <v>1204</v>
      </c>
      <c r="K7270" s="2">
        <v>50</v>
      </c>
      <c r="L7270" s="2">
        <v>365</v>
      </c>
    </row>
    <row r="7271" spans="1:12" x14ac:dyDescent="0.25">
      <c r="A7271" s="4" t="str">
        <f>HYPERLINK("http://www.rosaceae.org/Prunus/Prunus_persica/p.persica_gdr_reftransV1_0047620","p.persica_gdr_reftransV1_0047620")</f>
        <v>p.persica_gdr_reftransV1_0047620</v>
      </c>
      <c r="B7271" s="2">
        <v>3008</v>
      </c>
      <c r="C7271" s="4" t="str">
        <f>HYPERLINK("http://www.uniprot.org/uniprot/M5WEC6","M5WEC6")</f>
        <v>M5WEC6</v>
      </c>
      <c r="D7271" s="2" t="s">
        <v>6479</v>
      </c>
      <c r="E7271" s="3">
        <v>0</v>
      </c>
      <c r="F7271" s="2">
        <v>4010</v>
      </c>
      <c r="G7271" s="2">
        <v>100</v>
      </c>
      <c r="H7271" s="2">
        <v>816</v>
      </c>
      <c r="I7271" s="2">
        <v>506</v>
      </c>
      <c r="J7271" s="2">
        <v>2953</v>
      </c>
      <c r="K7271" s="2">
        <v>1</v>
      </c>
      <c r="L7271" s="2">
        <v>816</v>
      </c>
    </row>
    <row r="7272" spans="1:12" x14ac:dyDescent="0.25">
      <c r="A7272" s="4" t="str">
        <f>HYPERLINK("http://www.rosaceae.org/Prunus/Prunus_persica/p.persica_gdr_reftransV1_0047970","p.persica_gdr_reftransV1_0047970")</f>
        <v>p.persica_gdr_reftransV1_0047970</v>
      </c>
      <c r="B7272" s="2">
        <v>618</v>
      </c>
      <c r="C7272" s="4" t="str">
        <f>HYPERLINK("http://www.uniprot.org/uniprot/M5WHH7","M5WHH7")</f>
        <v>M5WHH7</v>
      </c>
      <c r="D7272" s="2" t="s">
        <v>6480</v>
      </c>
      <c r="E7272" s="3">
        <v>1.47E-33</v>
      </c>
      <c r="F7272" s="2">
        <v>317</v>
      </c>
      <c r="G7272" s="2">
        <v>100</v>
      </c>
      <c r="H7272" s="2">
        <v>101</v>
      </c>
      <c r="I7272" s="2">
        <v>43</v>
      </c>
      <c r="J7272" s="2">
        <v>345</v>
      </c>
      <c r="K7272" s="2">
        <v>1</v>
      </c>
      <c r="L7272" s="2">
        <v>101</v>
      </c>
    </row>
    <row r="7273" spans="1:12" x14ac:dyDescent="0.25">
      <c r="A7273" s="4" t="str">
        <f>HYPERLINK("http://www.rosaceae.org/Prunus/Prunus_persica/p.persica_gdr_reftransV1_0048320","p.persica_gdr_reftransV1_0048320")</f>
        <v>p.persica_gdr_reftransV1_0048320</v>
      </c>
      <c r="B7273" s="2">
        <v>974</v>
      </c>
      <c r="C7273" s="4" t="str">
        <f>HYPERLINK("http://www.uniprot.org/uniprot/M5X520","M5X520")</f>
        <v>M5X520</v>
      </c>
      <c r="D7273" s="2" t="s">
        <v>6481</v>
      </c>
      <c r="E7273" s="3">
        <v>0</v>
      </c>
      <c r="F7273" s="2">
        <v>1655</v>
      </c>
      <c r="G7273" s="2">
        <v>100</v>
      </c>
      <c r="H7273" s="2">
        <v>311</v>
      </c>
      <c r="I7273" s="2">
        <v>2</v>
      </c>
      <c r="J7273" s="2">
        <v>934</v>
      </c>
      <c r="K7273" s="2">
        <v>167</v>
      </c>
      <c r="L7273" s="2">
        <v>477</v>
      </c>
    </row>
    <row r="7274" spans="1:12" x14ac:dyDescent="0.25">
      <c r="A7274" s="4" t="str">
        <f>HYPERLINK("http://www.rosaceae.org/Prunus/Prunus_persica/p.persica_gdr_reftransV1_0048670","p.persica_gdr_reftransV1_0048670")</f>
        <v>p.persica_gdr_reftransV1_0048670</v>
      </c>
      <c r="B7274" s="2">
        <v>1819</v>
      </c>
      <c r="C7274" s="4" t="str">
        <f>HYPERLINK("http://www.uniprot.org/uniprot/M5VY89","M5VY89")</f>
        <v>M5VY89</v>
      </c>
      <c r="D7274" s="2" t="s">
        <v>6482</v>
      </c>
      <c r="E7274" s="3">
        <v>0</v>
      </c>
      <c r="F7274" s="2">
        <v>2157</v>
      </c>
      <c r="G7274" s="2">
        <v>100</v>
      </c>
      <c r="H7274" s="2">
        <v>435</v>
      </c>
      <c r="I7274" s="2">
        <v>342</v>
      </c>
      <c r="J7274" s="2">
        <v>1646</v>
      </c>
      <c r="K7274" s="2">
        <v>1</v>
      </c>
      <c r="L7274" s="2">
        <v>435</v>
      </c>
    </row>
    <row r="7275" spans="1:12" x14ac:dyDescent="0.25">
      <c r="A7275" s="4" t="str">
        <f>HYPERLINK("http://www.rosaceae.org/Prunus/Prunus_persica/p.persica_gdr_reftransV1_0000002","p.persica_gdr_reftransV1_0000002")</f>
        <v>p.persica_gdr_reftransV1_0000002</v>
      </c>
      <c r="B7275" s="2">
        <v>2431</v>
      </c>
      <c r="C7275" s="4" t="str">
        <f>HYPERLINK("http://www.uniprot.org/uniprot/M5VPG8","M5VPG8")</f>
        <v>M5VPG8</v>
      </c>
      <c r="D7275" s="2" t="s">
        <v>6483</v>
      </c>
      <c r="E7275" s="3">
        <v>0</v>
      </c>
      <c r="F7275" s="2">
        <v>2490</v>
      </c>
      <c r="G7275" s="2">
        <v>100</v>
      </c>
      <c r="H7275" s="2">
        <v>503</v>
      </c>
      <c r="I7275" s="2">
        <v>705</v>
      </c>
      <c r="J7275" s="2">
        <v>2213</v>
      </c>
      <c r="K7275" s="2">
        <v>1</v>
      </c>
      <c r="L7275" s="2">
        <v>503</v>
      </c>
    </row>
    <row r="7276" spans="1:12" x14ac:dyDescent="0.25">
      <c r="A7276" s="4" t="str">
        <f>HYPERLINK("http://www.rosaceae.org/Prunus/Prunus_persica/p.persica_gdr_reftransV1_0000352","p.persica_gdr_reftransV1_0000352")</f>
        <v>p.persica_gdr_reftransV1_0000352</v>
      </c>
      <c r="B7276" s="2">
        <v>1265</v>
      </c>
      <c r="C7276" s="4" t="str">
        <f>HYPERLINK("http://www.uniprot.org/uniprot/M5XDL0","M5XDL0")</f>
        <v>M5XDL0</v>
      </c>
      <c r="D7276" s="2" t="s">
        <v>4548</v>
      </c>
      <c r="E7276" s="3">
        <v>9.5699999999999993E-142</v>
      </c>
      <c r="F7276" s="2">
        <v>1067</v>
      </c>
      <c r="G7276" s="2">
        <v>100</v>
      </c>
      <c r="H7276" s="2">
        <v>203</v>
      </c>
      <c r="I7276" s="2">
        <v>265</v>
      </c>
      <c r="J7276" s="2">
        <v>873</v>
      </c>
      <c r="K7276" s="2">
        <v>1</v>
      </c>
      <c r="L7276" s="2">
        <v>203</v>
      </c>
    </row>
    <row r="7277" spans="1:12" x14ac:dyDescent="0.25">
      <c r="A7277" s="4" t="str">
        <f>HYPERLINK("http://www.rosaceae.org/Prunus/Prunus_persica/p.persica_gdr_reftransV1_0000702","p.persica_gdr_reftransV1_0000702")</f>
        <v>p.persica_gdr_reftransV1_0000702</v>
      </c>
      <c r="B7277" s="2">
        <v>1044</v>
      </c>
      <c r="C7277" s="4" t="str">
        <f>HYPERLINK("http://www.uniprot.org/uniprot/M5XCW3","M5XCW3")</f>
        <v>M5XCW3</v>
      </c>
      <c r="D7277" s="2" t="s">
        <v>928</v>
      </c>
      <c r="E7277" s="3">
        <v>0</v>
      </c>
      <c r="F7277" s="2">
        <v>1477</v>
      </c>
      <c r="G7277" s="2">
        <v>100</v>
      </c>
      <c r="H7277" s="2">
        <v>289</v>
      </c>
      <c r="I7277" s="2">
        <v>178</v>
      </c>
      <c r="J7277" s="2">
        <v>1044</v>
      </c>
      <c r="K7277" s="2">
        <v>1</v>
      </c>
      <c r="L7277" s="2">
        <v>289</v>
      </c>
    </row>
    <row r="7278" spans="1:12" x14ac:dyDescent="0.25">
      <c r="A7278" s="4" t="str">
        <f>HYPERLINK("http://www.rosaceae.org/Prunus/Prunus_persica/p.persica_gdr_reftransV1_0001052","p.persica_gdr_reftransV1_0001052")</f>
        <v>p.persica_gdr_reftransV1_0001052</v>
      </c>
      <c r="B7278" s="2">
        <v>1236</v>
      </c>
      <c r="C7278" s="4" t="str">
        <f>HYPERLINK("http://www.uniprot.org/uniprot/M5X2X3","M5X2X3")</f>
        <v>M5X2X3</v>
      </c>
      <c r="D7278" s="2" t="s">
        <v>6484</v>
      </c>
      <c r="E7278" s="3">
        <v>0</v>
      </c>
      <c r="F7278" s="2">
        <v>1871</v>
      </c>
      <c r="G7278" s="2">
        <v>100</v>
      </c>
      <c r="H7278" s="2">
        <v>369</v>
      </c>
      <c r="I7278" s="2">
        <v>2</v>
      </c>
      <c r="J7278" s="2">
        <v>1108</v>
      </c>
      <c r="K7278" s="2">
        <v>215</v>
      </c>
      <c r="L7278" s="2">
        <v>583</v>
      </c>
    </row>
    <row r="7279" spans="1:12" x14ac:dyDescent="0.25">
      <c r="A7279" s="4" t="str">
        <f>HYPERLINK("http://www.rosaceae.org/Prunus/Prunus_persica/p.persica_gdr_reftransV1_0001402","p.persica_gdr_reftransV1_0001402")</f>
        <v>p.persica_gdr_reftransV1_0001402</v>
      </c>
      <c r="B7279" s="2">
        <v>2488</v>
      </c>
      <c r="C7279" s="4" t="str">
        <f>HYPERLINK("http://www.uniprot.org/uniprot/M5WA31","M5WA31")</f>
        <v>M5WA31</v>
      </c>
      <c r="D7279" s="2" t="s">
        <v>6485</v>
      </c>
      <c r="E7279" s="3">
        <v>0</v>
      </c>
      <c r="F7279" s="2">
        <v>1396</v>
      </c>
      <c r="G7279" s="2">
        <v>100</v>
      </c>
      <c r="H7279" s="2">
        <v>265</v>
      </c>
      <c r="I7279" s="2">
        <v>1584</v>
      </c>
      <c r="J7279" s="2">
        <v>2378</v>
      </c>
      <c r="K7279" s="2">
        <v>1</v>
      </c>
      <c r="L7279" s="2">
        <v>265</v>
      </c>
    </row>
    <row r="7280" spans="1:12" x14ac:dyDescent="0.25">
      <c r="A7280" s="4" t="str">
        <f>HYPERLINK("http://www.rosaceae.org/Prunus/Prunus_persica/p.persica_gdr_reftransV1_0002102","p.persica_gdr_reftransV1_0002102")</f>
        <v>p.persica_gdr_reftransV1_0002102</v>
      </c>
      <c r="B7280" s="2">
        <v>990</v>
      </c>
      <c r="C7280" s="4" t="str">
        <f>HYPERLINK("http://www.uniprot.org/uniprot/M5Y2W8","M5Y2W8")</f>
        <v>M5Y2W8</v>
      </c>
      <c r="D7280" s="2" t="s">
        <v>6486</v>
      </c>
      <c r="E7280" s="3">
        <v>5.8999999999999996E-133</v>
      </c>
      <c r="F7280" s="2">
        <v>1008</v>
      </c>
      <c r="G7280" s="2">
        <v>85</v>
      </c>
      <c r="H7280" s="2">
        <v>217</v>
      </c>
      <c r="I7280" s="2">
        <v>179</v>
      </c>
      <c r="J7280" s="2">
        <v>829</v>
      </c>
      <c r="K7280" s="2">
        <v>84</v>
      </c>
      <c r="L7280" s="2">
        <v>300</v>
      </c>
    </row>
    <row r="7281" spans="1:12" x14ac:dyDescent="0.25">
      <c r="A7281" s="4" t="str">
        <f>HYPERLINK("http://www.rosaceae.org/Prunus/Prunus_persica/p.persica_gdr_reftransV1_0002802","p.persica_gdr_reftransV1_0002802")</f>
        <v>p.persica_gdr_reftransV1_0002802</v>
      </c>
      <c r="B7281" s="2">
        <v>2110</v>
      </c>
      <c r="C7281" s="4" t="str">
        <f>HYPERLINK("http://www.uniprot.org/uniprot/M5X2Z2","M5X2Z2")</f>
        <v>M5X2Z2</v>
      </c>
      <c r="D7281" s="2" t="s">
        <v>5193</v>
      </c>
      <c r="E7281" s="3">
        <v>1.04E-30</v>
      </c>
      <c r="F7281" s="2">
        <v>315</v>
      </c>
      <c r="G7281" s="2">
        <v>88</v>
      </c>
      <c r="H7281" s="2">
        <v>69</v>
      </c>
      <c r="I7281" s="2">
        <v>1216</v>
      </c>
      <c r="J7281" s="2">
        <v>1422</v>
      </c>
      <c r="K7281" s="2">
        <v>1</v>
      </c>
      <c r="L7281" s="2">
        <v>69</v>
      </c>
    </row>
    <row r="7282" spans="1:12" x14ac:dyDescent="0.25">
      <c r="A7282" s="4" t="str">
        <f>HYPERLINK("http://www.rosaceae.org/Prunus/Prunus_persica/p.persica_gdr_reftransV1_0003502","p.persica_gdr_reftransV1_0003502")</f>
        <v>p.persica_gdr_reftransV1_0003502</v>
      </c>
      <c r="B7282" s="2">
        <v>510</v>
      </c>
      <c r="C7282" s="4" t="str">
        <f>HYPERLINK("http://www.uniprot.org/uniprot/M5WLI6","M5WLI6")</f>
        <v>M5WLI6</v>
      </c>
      <c r="D7282" s="2" t="s">
        <v>6487</v>
      </c>
      <c r="E7282" s="3">
        <v>7.9799999999999998E-81</v>
      </c>
      <c r="F7282" s="2">
        <v>639</v>
      </c>
      <c r="G7282" s="2">
        <v>100</v>
      </c>
      <c r="H7282" s="2">
        <v>123</v>
      </c>
      <c r="I7282" s="2">
        <v>1</v>
      </c>
      <c r="J7282" s="2">
        <v>369</v>
      </c>
      <c r="K7282" s="2">
        <v>108</v>
      </c>
      <c r="L7282" s="2">
        <v>230</v>
      </c>
    </row>
    <row r="7283" spans="1:12" x14ac:dyDescent="0.25">
      <c r="A7283" s="4" t="str">
        <f>HYPERLINK("http://www.rosaceae.org/Prunus/Prunus_persica/p.persica_gdr_reftransV1_0004202","p.persica_gdr_reftransV1_0004202")</f>
        <v>p.persica_gdr_reftransV1_0004202</v>
      </c>
      <c r="B7283" s="2">
        <v>691</v>
      </c>
      <c r="C7283" s="4" t="str">
        <f>HYPERLINK("http://www.uniprot.org/uniprot/M5WEL4","M5WEL4")</f>
        <v>M5WEL4</v>
      </c>
      <c r="D7283" s="2" t="s">
        <v>6488</v>
      </c>
      <c r="E7283" s="3">
        <v>1.0400000000000001E-113</v>
      </c>
      <c r="F7283" s="2">
        <v>865</v>
      </c>
      <c r="G7283" s="2">
        <v>100</v>
      </c>
      <c r="H7283" s="2">
        <v>191</v>
      </c>
      <c r="I7283" s="2">
        <v>38</v>
      </c>
      <c r="J7283" s="2">
        <v>610</v>
      </c>
      <c r="K7283" s="2">
        <v>1</v>
      </c>
      <c r="L7283" s="2">
        <v>191</v>
      </c>
    </row>
    <row r="7284" spans="1:12" x14ac:dyDescent="0.25">
      <c r="A7284" s="4" t="str">
        <f>HYPERLINK("http://www.rosaceae.org/Prunus/Prunus_persica/p.persica_gdr_reftransV1_0005252","p.persica_gdr_reftransV1_0005252")</f>
        <v>p.persica_gdr_reftransV1_0005252</v>
      </c>
      <c r="B7284" s="2">
        <v>1983</v>
      </c>
      <c r="C7284" s="4" t="str">
        <f>HYPERLINK("http://www.uniprot.org/uniprot/M5WAE5","M5WAE5")</f>
        <v>M5WAE5</v>
      </c>
      <c r="D7284" s="2" t="s">
        <v>6489</v>
      </c>
      <c r="E7284" s="3">
        <v>0</v>
      </c>
      <c r="F7284" s="2">
        <v>1466</v>
      </c>
      <c r="G7284" s="2">
        <v>95</v>
      </c>
      <c r="H7284" s="2">
        <v>380</v>
      </c>
      <c r="I7284" s="2">
        <v>77</v>
      </c>
      <c r="J7284" s="2">
        <v>1216</v>
      </c>
      <c r="K7284" s="2">
        <v>1</v>
      </c>
      <c r="L7284" s="2">
        <v>360</v>
      </c>
    </row>
    <row r="7285" spans="1:12" x14ac:dyDescent="0.25">
      <c r="A7285" s="4" t="str">
        <f>HYPERLINK("http://www.rosaceae.org/Prunus/Prunus_persica/p.persica_gdr_reftransV1_0005602","p.persica_gdr_reftransV1_0005602")</f>
        <v>p.persica_gdr_reftransV1_0005602</v>
      </c>
      <c r="B7285" s="2">
        <v>431</v>
      </c>
      <c r="C7285" s="4" t="str">
        <f>HYPERLINK("http://www.uniprot.org/uniprot/M5VM23","M5VM23")</f>
        <v>M5VM23</v>
      </c>
      <c r="D7285" s="2" t="s">
        <v>6490</v>
      </c>
      <c r="E7285" s="3">
        <v>2.1300000000000001E-67</v>
      </c>
      <c r="F7285" s="2">
        <v>565</v>
      </c>
      <c r="G7285" s="2">
        <v>77</v>
      </c>
      <c r="H7285" s="2">
        <v>137</v>
      </c>
      <c r="I7285" s="2">
        <v>24</v>
      </c>
      <c r="J7285" s="2">
        <v>431</v>
      </c>
      <c r="K7285" s="2">
        <v>95</v>
      </c>
      <c r="L7285" s="2">
        <v>231</v>
      </c>
    </row>
    <row r="7286" spans="1:12" x14ac:dyDescent="0.25">
      <c r="A7286" s="4" t="str">
        <f>HYPERLINK("http://www.rosaceae.org/Prunus/Prunus_persica/p.persica_gdr_reftransV1_0006302","p.persica_gdr_reftransV1_0006302")</f>
        <v>p.persica_gdr_reftransV1_0006302</v>
      </c>
      <c r="B7286" s="2">
        <v>477</v>
      </c>
      <c r="C7286" s="4" t="str">
        <f>HYPERLINK("http://www.uniprot.org/uniprot/F6HKH1","F6HKH1")</f>
        <v>F6HKH1</v>
      </c>
      <c r="D7286" s="2" t="s">
        <v>6491</v>
      </c>
      <c r="E7286" s="3">
        <v>9.1499999999999999E-29</v>
      </c>
      <c r="F7286" s="2">
        <v>304</v>
      </c>
      <c r="G7286" s="2">
        <v>67</v>
      </c>
      <c r="H7286" s="2">
        <v>86</v>
      </c>
      <c r="I7286" s="2">
        <v>4</v>
      </c>
      <c r="J7286" s="2">
        <v>261</v>
      </c>
      <c r="K7286" s="2">
        <v>55</v>
      </c>
      <c r="L7286" s="2">
        <v>140</v>
      </c>
    </row>
    <row r="7287" spans="1:12" x14ac:dyDescent="0.25">
      <c r="A7287" s="4" t="str">
        <f>HYPERLINK("http://www.rosaceae.org/Prunus/Prunus_persica/p.persica_gdr_reftransV1_0007002","p.persica_gdr_reftransV1_0007002")</f>
        <v>p.persica_gdr_reftransV1_0007002</v>
      </c>
      <c r="B7287" s="2">
        <v>722</v>
      </c>
      <c r="C7287" s="4" t="str">
        <f>HYPERLINK("http://www.uniprot.org/uniprot/M5XM67","M5XM67")</f>
        <v>M5XM67</v>
      </c>
      <c r="D7287" s="2" t="s">
        <v>596</v>
      </c>
      <c r="E7287" s="3">
        <v>4.6599999999999999E-107</v>
      </c>
      <c r="F7287" s="2">
        <v>851</v>
      </c>
      <c r="G7287" s="2">
        <v>100</v>
      </c>
      <c r="H7287" s="2">
        <v>159</v>
      </c>
      <c r="I7287" s="2">
        <v>246</v>
      </c>
      <c r="J7287" s="2">
        <v>722</v>
      </c>
      <c r="K7287" s="2">
        <v>414</v>
      </c>
      <c r="L7287" s="2">
        <v>572</v>
      </c>
    </row>
    <row r="7288" spans="1:12" x14ac:dyDescent="0.25">
      <c r="A7288" s="4" t="str">
        <f>HYPERLINK("http://www.rosaceae.org/Prunus/Prunus_persica/p.persica_gdr_reftransV1_0007352","p.persica_gdr_reftransV1_0007352")</f>
        <v>p.persica_gdr_reftransV1_0007352</v>
      </c>
      <c r="B7288" s="2">
        <v>1419</v>
      </c>
      <c r="C7288" s="4" t="str">
        <f>HYPERLINK("http://www.uniprot.org/uniprot/M5VJV5","M5VJV5")</f>
        <v>M5VJV5</v>
      </c>
      <c r="D7288" s="2" t="s">
        <v>6492</v>
      </c>
      <c r="E7288" s="3">
        <v>6.1399999999999996E-155</v>
      </c>
      <c r="F7288" s="2">
        <v>1176</v>
      </c>
      <c r="G7288" s="2">
        <v>100</v>
      </c>
      <c r="H7288" s="2">
        <v>250</v>
      </c>
      <c r="I7288" s="2">
        <v>669</v>
      </c>
      <c r="J7288" s="2">
        <v>1418</v>
      </c>
      <c r="K7288" s="2">
        <v>1</v>
      </c>
      <c r="L7288" s="2">
        <v>250</v>
      </c>
    </row>
    <row r="7289" spans="1:12" x14ac:dyDescent="0.25">
      <c r="A7289" s="4" t="str">
        <f>HYPERLINK("http://www.rosaceae.org/Prunus/Prunus_persica/p.persica_gdr_reftransV1_0007702","p.persica_gdr_reftransV1_0007702")</f>
        <v>p.persica_gdr_reftransV1_0007702</v>
      </c>
      <c r="B7289" s="2">
        <v>1384</v>
      </c>
      <c r="C7289" s="4" t="str">
        <f>HYPERLINK("http://www.uniprot.org/uniprot/M5WSV5","M5WSV5")</f>
        <v>M5WSV5</v>
      </c>
      <c r="D7289" s="2" t="s">
        <v>6493</v>
      </c>
      <c r="E7289" s="3">
        <v>0</v>
      </c>
      <c r="F7289" s="2">
        <v>1644</v>
      </c>
      <c r="G7289" s="2">
        <v>100</v>
      </c>
      <c r="H7289" s="2">
        <v>316</v>
      </c>
      <c r="I7289" s="2">
        <v>301</v>
      </c>
      <c r="J7289" s="2">
        <v>1248</v>
      </c>
      <c r="K7289" s="2">
        <v>1</v>
      </c>
      <c r="L7289" s="2">
        <v>316</v>
      </c>
    </row>
    <row r="7290" spans="1:12" x14ac:dyDescent="0.25">
      <c r="A7290" s="4" t="str">
        <f>HYPERLINK("http://www.rosaceae.org/Prunus/Prunus_persica/p.persica_gdr_reftransV1_0008052","p.persica_gdr_reftransV1_0008052")</f>
        <v>p.persica_gdr_reftransV1_0008052</v>
      </c>
      <c r="B7290" s="2">
        <v>818</v>
      </c>
      <c r="C7290" s="4" t="str">
        <f>HYPERLINK("http://www.uniprot.org/uniprot/M5XIR4","M5XIR4")</f>
        <v>M5XIR4</v>
      </c>
      <c r="D7290" s="2" t="s">
        <v>6494</v>
      </c>
      <c r="E7290" s="3">
        <v>6.5999999999999999E-144</v>
      </c>
      <c r="F7290" s="2">
        <v>1067</v>
      </c>
      <c r="G7290" s="2">
        <v>100</v>
      </c>
      <c r="H7290" s="2">
        <v>232</v>
      </c>
      <c r="I7290" s="2">
        <v>54</v>
      </c>
      <c r="J7290" s="2">
        <v>749</v>
      </c>
      <c r="K7290" s="2">
        <v>1</v>
      </c>
      <c r="L7290" s="2">
        <v>232</v>
      </c>
    </row>
    <row r="7291" spans="1:12" x14ac:dyDescent="0.25">
      <c r="A7291" s="4" t="str">
        <f>HYPERLINK("http://www.rosaceae.org/Prunus/Prunus_persica/p.persica_gdr_reftransV1_0009452","p.persica_gdr_reftransV1_0009452")</f>
        <v>p.persica_gdr_reftransV1_0009452</v>
      </c>
      <c r="B7291" s="2">
        <v>3979</v>
      </c>
      <c r="C7291" s="4" t="str">
        <f>HYPERLINK("http://www.uniprot.org/uniprot/M5X1U3","M5X1U3")</f>
        <v>M5X1U3</v>
      </c>
      <c r="D7291" s="2" t="s">
        <v>1874</v>
      </c>
      <c r="E7291" s="3">
        <v>0</v>
      </c>
      <c r="F7291" s="2">
        <v>1950</v>
      </c>
      <c r="G7291" s="2">
        <v>100</v>
      </c>
      <c r="H7291" s="2">
        <v>417</v>
      </c>
      <c r="I7291" s="2">
        <v>260</v>
      </c>
      <c r="J7291" s="2">
        <v>1510</v>
      </c>
      <c r="K7291" s="2">
        <v>92</v>
      </c>
      <c r="L7291" s="2">
        <v>508</v>
      </c>
    </row>
    <row r="7292" spans="1:12" x14ac:dyDescent="0.25">
      <c r="A7292" s="4" t="str">
        <f>HYPERLINK("http://www.rosaceae.org/Prunus/Prunus_persica/p.persica_gdr_reftransV1_0009802","p.persica_gdr_reftransV1_0009802")</f>
        <v>p.persica_gdr_reftransV1_0009802</v>
      </c>
      <c r="B7292" s="2">
        <v>3791</v>
      </c>
      <c r="C7292" s="4" t="str">
        <f>HYPERLINK("http://www.uniprot.org/uniprot/M5X9F6","M5X9F6")</f>
        <v>M5X9F6</v>
      </c>
      <c r="D7292" s="2" t="s">
        <v>6495</v>
      </c>
      <c r="E7292" s="3">
        <v>0</v>
      </c>
      <c r="F7292" s="2">
        <v>1866</v>
      </c>
      <c r="G7292" s="2">
        <v>95</v>
      </c>
      <c r="H7292" s="2">
        <v>416</v>
      </c>
      <c r="I7292" s="2">
        <v>144</v>
      </c>
      <c r="J7292" s="2">
        <v>1379</v>
      </c>
      <c r="K7292" s="2">
        <v>1</v>
      </c>
      <c r="L7292" s="2">
        <v>401</v>
      </c>
    </row>
    <row r="7293" spans="1:12" x14ac:dyDescent="0.25">
      <c r="A7293" s="4" t="str">
        <f>HYPERLINK("http://www.rosaceae.org/Prunus/Prunus_persica/p.persica_gdr_reftransV1_0010152","p.persica_gdr_reftransV1_0010152")</f>
        <v>p.persica_gdr_reftransV1_0010152</v>
      </c>
      <c r="B7293" s="2">
        <v>897</v>
      </c>
      <c r="C7293" s="4" t="str">
        <f>HYPERLINK("http://www.uniprot.org/uniprot/M5W1W5","M5W1W5")</f>
        <v>M5W1W5</v>
      </c>
      <c r="D7293" s="2" t="s">
        <v>6496</v>
      </c>
      <c r="E7293" s="3">
        <v>3.9800000000000001E-60</v>
      </c>
      <c r="F7293" s="2">
        <v>504</v>
      </c>
      <c r="G7293" s="2">
        <v>100</v>
      </c>
      <c r="H7293" s="2">
        <v>116</v>
      </c>
      <c r="I7293" s="2">
        <v>92</v>
      </c>
      <c r="J7293" s="2">
        <v>439</v>
      </c>
      <c r="K7293" s="2">
        <v>1</v>
      </c>
      <c r="L7293" s="2">
        <v>116</v>
      </c>
    </row>
    <row r="7294" spans="1:12" x14ac:dyDescent="0.25">
      <c r="A7294" s="4" t="str">
        <f>HYPERLINK("http://www.rosaceae.org/Prunus/Prunus_persica/p.persica_gdr_reftransV1_0010502","p.persica_gdr_reftransV1_0010502")</f>
        <v>p.persica_gdr_reftransV1_0010502</v>
      </c>
      <c r="B7294" s="2">
        <v>1264</v>
      </c>
      <c r="C7294" s="4" t="str">
        <f>HYPERLINK("http://www.uniprot.org/uniprot/M5X1L8","M5X1L8")</f>
        <v>M5X1L8</v>
      </c>
      <c r="D7294" s="2" t="s">
        <v>6497</v>
      </c>
      <c r="E7294" s="3">
        <v>0</v>
      </c>
      <c r="F7294" s="2">
        <v>1524</v>
      </c>
      <c r="G7294" s="2">
        <v>100</v>
      </c>
      <c r="H7294" s="2">
        <v>290</v>
      </c>
      <c r="I7294" s="2">
        <v>260</v>
      </c>
      <c r="J7294" s="2">
        <v>1129</v>
      </c>
      <c r="K7294" s="2">
        <v>1</v>
      </c>
      <c r="L7294" s="2">
        <v>290</v>
      </c>
    </row>
    <row r="7295" spans="1:12" x14ac:dyDescent="0.25">
      <c r="A7295" s="4" t="str">
        <f>HYPERLINK("http://www.rosaceae.org/Prunus/Prunus_persica/p.persica_gdr_reftransV1_0010852","p.persica_gdr_reftransV1_0010852")</f>
        <v>p.persica_gdr_reftransV1_0010852</v>
      </c>
      <c r="B7295" s="2">
        <v>2133</v>
      </c>
      <c r="C7295" s="4" t="str">
        <f>HYPERLINK("http://www.uniprot.org/uniprot/M5WM59","M5WM59")</f>
        <v>M5WM59</v>
      </c>
      <c r="D7295" s="2" t="s">
        <v>6498</v>
      </c>
      <c r="E7295" s="3">
        <v>0</v>
      </c>
      <c r="F7295" s="2">
        <v>1954</v>
      </c>
      <c r="G7295" s="2">
        <v>100</v>
      </c>
      <c r="H7295" s="2">
        <v>420</v>
      </c>
      <c r="I7295" s="2">
        <v>522</v>
      </c>
      <c r="J7295" s="2">
        <v>1781</v>
      </c>
      <c r="K7295" s="2">
        <v>18</v>
      </c>
      <c r="L7295" s="2">
        <v>436</v>
      </c>
    </row>
    <row r="7296" spans="1:12" x14ac:dyDescent="0.25">
      <c r="A7296" s="4" t="str">
        <f>HYPERLINK("http://www.rosaceae.org/Prunus/Prunus_persica/p.persica_gdr_reftransV1_0011202","p.persica_gdr_reftransV1_0011202")</f>
        <v>p.persica_gdr_reftransV1_0011202</v>
      </c>
      <c r="B7296" s="2">
        <v>6564</v>
      </c>
      <c r="C7296" s="4" t="str">
        <f>HYPERLINK("http://www.uniprot.org/uniprot/M5X0A4","M5X0A4")</f>
        <v>M5X0A4</v>
      </c>
      <c r="D7296" s="2" t="s">
        <v>431</v>
      </c>
      <c r="E7296" s="3">
        <v>2.61E-111</v>
      </c>
      <c r="F7296" s="2">
        <v>952</v>
      </c>
      <c r="G7296" s="2">
        <v>99</v>
      </c>
      <c r="H7296" s="2">
        <v>181</v>
      </c>
      <c r="I7296" s="2">
        <v>116</v>
      </c>
      <c r="J7296" s="2">
        <v>658</v>
      </c>
      <c r="K7296" s="2">
        <v>16</v>
      </c>
      <c r="L7296" s="2">
        <v>196</v>
      </c>
    </row>
    <row r="7297" spans="1:12" x14ac:dyDescent="0.25">
      <c r="A7297" s="4" t="str">
        <f>HYPERLINK("http://www.rosaceae.org/Prunus/Prunus_persica/p.persica_gdr_reftransV1_0012252","p.persica_gdr_reftransV1_0012252")</f>
        <v>p.persica_gdr_reftransV1_0012252</v>
      </c>
      <c r="B7297" s="2">
        <v>2751</v>
      </c>
      <c r="C7297" s="4" t="str">
        <f>HYPERLINK("http://www.uniprot.org/uniprot/M5WGY2","M5WGY2")</f>
        <v>M5WGY2</v>
      </c>
      <c r="D7297" s="2" t="s">
        <v>2494</v>
      </c>
      <c r="E7297" s="3">
        <v>0</v>
      </c>
      <c r="F7297" s="2">
        <v>2424</v>
      </c>
      <c r="G7297" s="2">
        <v>96</v>
      </c>
      <c r="H7297" s="2">
        <v>516</v>
      </c>
      <c r="I7297" s="2">
        <v>776</v>
      </c>
      <c r="J7297" s="2">
        <v>2269</v>
      </c>
      <c r="K7297" s="2">
        <v>1</v>
      </c>
      <c r="L7297" s="2">
        <v>516</v>
      </c>
    </row>
    <row r="7298" spans="1:12" x14ac:dyDescent="0.25">
      <c r="A7298" s="4" t="str">
        <f>HYPERLINK("http://www.rosaceae.org/Prunus/Prunus_persica/p.persica_gdr_reftransV1_0012952","p.persica_gdr_reftransV1_0012952")</f>
        <v>p.persica_gdr_reftransV1_0012952</v>
      </c>
      <c r="B7298" s="2">
        <v>797</v>
      </c>
      <c r="C7298" s="4" t="str">
        <f>HYPERLINK("http://www.uniprot.org/uniprot/M5Y256","M5Y256")</f>
        <v>M5Y256</v>
      </c>
      <c r="D7298" s="2" t="s">
        <v>6499</v>
      </c>
      <c r="E7298" s="3">
        <v>4.1599999999999999E-160</v>
      </c>
      <c r="F7298" s="2">
        <v>1172</v>
      </c>
      <c r="G7298" s="2">
        <v>100</v>
      </c>
      <c r="H7298" s="2">
        <v>224</v>
      </c>
      <c r="I7298" s="2">
        <v>67</v>
      </c>
      <c r="J7298" s="2">
        <v>738</v>
      </c>
      <c r="K7298" s="2">
        <v>1</v>
      </c>
      <c r="L7298" s="2">
        <v>224</v>
      </c>
    </row>
    <row r="7299" spans="1:12" x14ac:dyDescent="0.25">
      <c r="A7299" s="4" t="str">
        <f>HYPERLINK("http://www.rosaceae.org/Prunus/Prunus_persica/p.persica_gdr_reftransV1_0014002","p.persica_gdr_reftransV1_0014002")</f>
        <v>p.persica_gdr_reftransV1_0014002</v>
      </c>
      <c r="B7299" s="2">
        <v>1497</v>
      </c>
      <c r="C7299" s="4" t="str">
        <f>HYPERLINK("http://www.uniprot.org/uniprot/M5XQR7","M5XQR7")</f>
        <v>M5XQR7</v>
      </c>
      <c r="D7299" s="2" t="s">
        <v>6500</v>
      </c>
      <c r="E7299" s="3">
        <v>0</v>
      </c>
      <c r="F7299" s="2">
        <v>1883</v>
      </c>
      <c r="G7299" s="2">
        <v>100</v>
      </c>
      <c r="H7299" s="2">
        <v>387</v>
      </c>
      <c r="I7299" s="2">
        <v>255</v>
      </c>
      <c r="J7299" s="2">
        <v>1415</v>
      </c>
      <c r="K7299" s="2">
        <v>1</v>
      </c>
      <c r="L7299" s="2">
        <v>387</v>
      </c>
    </row>
    <row r="7300" spans="1:12" x14ac:dyDescent="0.25">
      <c r="A7300" s="4" t="str">
        <f>HYPERLINK("http://www.rosaceae.org/Prunus/Prunus_persica/p.persica_gdr_reftransV1_0014702","p.persica_gdr_reftransV1_0014702")</f>
        <v>p.persica_gdr_reftransV1_0014702</v>
      </c>
      <c r="B7300" s="2">
        <v>1378</v>
      </c>
      <c r="C7300" s="4" t="str">
        <f>HYPERLINK("http://www.uniprot.org/uniprot/M5WN53","M5WN53")</f>
        <v>M5WN53</v>
      </c>
      <c r="D7300" s="2" t="s">
        <v>6501</v>
      </c>
      <c r="E7300" s="3">
        <v>3.7900000000000002E-128</v>
      </c>
      <c r="F7300" s="2">
        <v>984</v>
      </c>
      <c r="G7300" s="2">
        <v>100</v>
      </c>
      <c r="H7300" s="2">
        <v>198</v>
      </c>
      <c r="I7300" s="2">
        <v>456</v>
      </c>
      <c r="J7300" s="2">
        <v>1049</v>
      </c>
      <c r="K7300" s="2">
        <v>1</v>
      </c>
      <c r="L7300" s="2">
        <v>198</v>
      </c>
    </row>
    <row r="7301" spans="1:12" x14ac:dyDescent="0.25">
      <c r="A7301" s="4" t="str">
        <f>HYPERLINK("http://www.rosaceae.org/Prunus/Prunus_persica/p.persica_gdr_reftransV1_0015402","p.persica_gdr_reftransV1_0015402")</f>
        <v>p.persica_gdr_reftransV1_0015402</v>
      </c>
      <c r="B7301" s="2">
        <v>2310</v>
      </c>
      <c r="C7301" s="4" t="str">
        <f>HYPERLINK("http://www.uniprot.org/uniprot/M5X518","M5X518")</f>
        <v>M5X518</v>
      </c>
      <c r="D7301" s="2" t="s">
        <v>6502</v>
      </c>
      <c r="E7301" s="3">
        <v>0</v>
      </c>
      <c r="F7301" s="2">
        <v>2080</v>
      </c>
      <c r="G7301" s="2">
        <v>100</v>
      </c>
      <c r="H7301" s="2">
        <v>428</v>
      </c>
      <c r="I7301" s="2">
        <v>399</v>
      </c>
      <c r="J7301" s="2">
        <v>1682</v>
      </c>
      <c r="K7301" s="2">
        <v>1</v>
      </c>
      <c r="L7301" s="2">
        <v>428</v>
      </c>
    </row>
    <row r="7302" spans="1:12" x14ac:dyDescent="0.25">
      <c r="A7302" s="4" t="str">
        <f>HYPERLINK("http://www.rosaceae.org/Prunus/Prunus_persica/p.persica_gdr_reftransV1_0015752","p.persica_gdr_reftransV1_0015752")</f>
        <v>p.persica_gdr_reftransV1_0015752</v>
      </c>
      <c r="B7302" s="2">
        <v>4169</v>
      </c>
      <c r="C7302" s="4" t="str">
        <f>HYPERLINK("http://www.uniprot.org/uniprot/M5VWG5","M5VWG5")</f>
        <v>M5VWG5</v>
      </c>
      <c r="D7302" s="2" t="s">
        <v>6503</v>
      </c>
      <c r="E7302" s="3">
        <v>0</v>
      </c>
      <c r="F7302" s="2">
        <v>2935</v>
      </c>
      <c r="G7302" s="2">
        <v>100</v>
      </c>
      <c r="H7302" s="2">
        <v>550</v>
      </c>
      <c r="I7302" s="2">
        <v>2021</v>
      </c>
      <c r="J7302" s="2">
        <v>3670</v>
      </c>
      <c r="K7302" s="2">
        <v>15</v>
      </c>
      <c r="L7302" s="2">
        <v>564</v>
      </c>
    </row>
    <row r="7303" spans="1:12" x14ac:dyDescent="0.25">
      <c r="A7303" s="4" t="str">
        <f>HYPERLINK("http://www.rosaceae.org/Prunus/Prunus_persica/p.persica_gdr_reftransV1_0016102","p.persica_gdr_reftransV1_0016102")</f>
        <v>p.persica_gdr_reftransV1_0016102</v>
      </c>
      <c r="B7303" s="2">
        <v>1454</v>
      </c>
      <c r="C7303" s="4" t="str">
        <f>HYPERLINK("http://www.uniprot.org/uniprot/M5W3F5","M5W3F5")</f>
        <v>M5W3F5</v>
      </c>
      <c r="D7303" s="2" t="s">
        <v>4658</v>
      </c>
      <c r="E7303" s="3">
        <v>9.3900000000000005E-71</v>
      </c>
      <c r="F7303" s="2">
        <v>599</v>
      </c>
      <c r="G7303" s="2">
        <v>68</v>
      </c>
      <c r="H7303" s="2">
        <v>185</v>
      </c>
      <c r="I7303" s="2">
        <v>613</v>
      </c>
      <c r="J7303" s="2">
        <v>1167</v>
      </c>
      <c r="K7303" s="2">
        <v>4</v>
      </c>
      <c r="L7303" s="2">
        <v>167</v>
      </c>
    </row>
    <row r="7304" spans="1:12" x14ac:dyDescent="0.25">
      <c r="A7304" s="4" t="str">
        <f>HYPERLINK("http://www.rosaceae.org/Prunus/Prunus_persica/p.persica_gdr_reftransV1_0016452","p.persica_gdr_reftransV1_0016452")</f>
        <v>p.persica_gdr_reftransV1_0016452</v>
      </c>
      <c r="B7304" s="2">
        <v>2253</v>
      </c>
      <c r="C7304" s="4" t="str">
        <f>HYPERLINK("http://www.uniprot.org/uniprot/M5XCA2","M5XCA2")</f>
        <v>M5XCA2</v>
      </c>
      <c r="D7304" s="2" t="s">
        <v>6504</v>
      </c>
      <c r="E7304" s="3">
        <v>0</v>
      </c>
      <c r="F7304" s="2">
        <v>2457</v>
      </c>
      <c r="G7304" s="2">
        <v>100</v>
      </c>
      <c r="H7304" s="2">
        <v>479</v>
      </c>
      <c r="I7304" s="2">
        <v>575</v>
      </c>
      <c r="J7304" s="2">
        <v>2011</v>
      </c>
      <c r="K7304" s="2">
        <v>1</v>
      </c>
      <c r="L7304" s="2">
        <v>479</v>
      </c>
    </row>
    <row r="7305" spans="1:12" x14ac:dyDescent="0.25">
      <c r="A7305" s="4" t="str">
        <f>HYPERLINK("http://www.rosaceae.org/Prunus/Prunus_persica/p.persica_gdr_reftransV1_0017152","p.persica_gdr_reftransV1_0017152")</f>
        <v>p.persica_gdr_reftransV1_0017152</v>
      </c>
      <c r="B7305" s="2">
        <v>1850</v>
      </c>
      <c r="C7305" s="4" t="str">
        <f>HYPERLINK("http://www.uniprot.org/uniprot/M5WYW8","M5WYW8")</f>
        <v>M5WYW8</v>
      </c>
      <c r="D7305" s="2" t="s">
        <v>6505</v>
      </c>
      <c r="E7305" s="3">
        <v>0</v>
      </c>
      <c r="F7305" s="2">
        <v>1890</v>
      </c>
      <c r="G7305" s="2">
        <v>100</v>
      </c>
      <c r="H7305" s="2">
        <v>455</v>
      </c>
      <c r="I7305" s="2">
        <v>101</v>
      </c>
      <c r="J7305" s="2">
        <v>1465</v>
      </c>
      <c r="K7305" s="2">
        <v>1</v>
      </c>
      <c r="L7305" s="2">
        <v>455</v>
      </c>
    </row>
    <row r="7306" spans="1:12" x14ac:dyDescent="0.25">
      <c r="A7306" s="4" t="str">
        <f>HYPERLINK("http://www.rosaceae.org/Prunus/Prunus_persica/p.persica_gdr_reftransV1_0018202","p.persica_gdr_reftransV1_0018202")</f>
        <v>p.persica_gdr_reftransV1_0018202</v>
      </c>
      <c r="B7306" s="2">
        <v>769</v>
      </c>
      <c r="C7306" s="4" t="str">
        <f>HYPERLINK("http://www.uniprot.org/uniprot/M5XFU4","M5XFU4")</f>
        <v>M5XFU4</v>
      </c>
      <c r="D7306" s="2" t="s">
        <v>6506</v>
      </c>
      <c r="E7306" s="3">
        <v>4.7600000000000002E-82</v>
      </c>
      <c r="F7306" s="2">
        <v>650</v>
      </c>
      <c r="G7306" s="2">
        <v>100</v>
      </c>
      <c r="H7306" s="2">
        <v>147</v>
      </c>
      <c r="I7306" s="2">
        <v>2</v>
      </c>
      <c r="J7306" s="2">
        <v>442</v>
      </c>
      <c r="K7306" s="2">
        <v>18</v>
      </c>
      <c r="L7306" s="2">
        <v>164</v>
      </c>
    </row>
    <row r="7307" spans="1:12" x14ac:dyDescent="0.25">
      <c r="A7307" s="4" t="str">
        <f>HYPERLINK("http://www.rosaceae.org/Prunus/Prunus_persica/p.persica_gdr_reftransV1_0019252","p.persica_gdr_reftransV1_0019252")</f>
        <v>p.persica_gdr_reftransV1_0019252</v>
      </c>
      <c r="B7307" s="2">
        <v>3261</v>
      </c>
      <c r="C7307" s="4" t="str">
        <f>HYPERLINK("http://www.uniprot.org/uniprot/M5VL53","M5VL53")</f>
        <v>M5VL53</v>
      </c>
      <c r="D7307" s="2" t="s">
        <v>562</v>
      </c>
      <c r="E7307" s="3">
        <v>0</v>
      </c>
      <c r="F7307" s="2">
        <v>1625</v>
      </c>
      <c r="G7307" s="2">
        <v>100</v>
      </c>
      <c r="H7307" s="2">
        <v>333</v>
      </c>
      <c r="I7307" s="2">
        <v>362</v>
      </c>
      <c r="J7307" s="2">
        <v>1360</v>
      </c>
      <c r="K7307" s="2">
        <v>1</v>
      </c>
      <c r="L7307" s="2">
        <v>333</v>
      </c>
    </row>
    <row r="7308" spans="1:12" x14ac:dyDescent="0.25">
      <c r="A7308" s="4" t="str">
        <f>HYPERLINK("http://www.rosaceae.org/Prunus/Prunus_persica/p.persica_gdr_reftransV1_0021002","p.persica_gdr_reftransV1_0021002")</f>
        <v>p.persica_gdr_reftransV1_0021002</v>
      </c>
      <c r="B7308" s="2">
        <v>4474</v>
      </c>
      <c r="C7308" s="4" t="str">
        <f>HYPERLINK("http://www.uniprot.org/uniprot/M5Y3L9","M5Y3L9")</f>
        <v>M5Y3L9</v>
      </c>
      <c r="D7308" s="2" t="s">
        <v>751</v>
      </c>
      <c r="E7308" s="3">
        <v>0</v>
      </c>
      <c r="F7308" s="2">
        <v>2122</v>
      </c>
      <c r="G7308" s="2">
        <v>100</v>
      </c>
      <c r="H7308" s="2">
        <v>445</v>
      </c>
      <c r="I7308" s="2">
        <v>2100</v>
      </c>
      <c r="J7308" s="2">
        <v>3434</v>
      </c>
      <c r="K7308" s="2">
        <v>1</v>
      </c>
      <c r="L7308" s="2">
        <v>445</v>
      </c>
    </row>
    <row r="7309" spans="1:12" x14ac:dyDescent="0.25">
      <c r="A7309" s="4" t="str">
        <f>HYPERLINK("http://www.rosaceae.org/Prunus/Prunus_persica/p.persica_gdr_reftransV1_0022752","p.persica_gdr_reftransV1_0022752")</f>
        <v>p.persica_gdr_reftransV1_0022752</v>
      </c>
      <c r="B7309" s="2">
        <v>2222</v>
      </c>
      <c r="C7309" s="4" t="str">
        <f>HYPERLINK("http://www.uniprot.org/uniprot/M5XSU4","M5XSU4")</f>
        <v>M5XSU4</v>
      </c>
      <c r="D7309" s="2" t="s">
        <v>6507</v>
      </c>
      <c r="E7309" s="3">
        <v>0</v>
      </c>
      <c r="F7309" s="2">
        <v>3340</v>
      </c>
      <c r="G7309" s="2">
        <v>100</v>
      </c>
      <c r="H7309" s="2">
        <v>655</v>
      </c>
      <c r="I7309" s="2">
        <v>1</v>
      </c>
      <c r="J7309" s="2">
        <v>1965</v>
      </c>
      <c r="K7309" s="2">
        <v>1</v>
      </c>
      <c r="L7309" s="2">
        <v>655</v>
      </c>
    </row>
    <row r="7310" spans="1:12" x14ac:dyDescent="0.25">
      <c r="A7310" s="4" t="str">
        <f>HYPERLINK("http://www.rosaceae.org/Prunus/Prunus_persica/p.persica_gdr_reftransV1_0023102","p.persica_gdr_reftransV1_0023102")</f>
        <v>p.persica_gdr_reftransV1_0023102</v>
      </c>
      <c r="B7310" s="2">
        <v>1312</v>
      </c>
      <c r="C7310" s="4" t="str">
        <f>HYPERLINK("http://www.uniprot.org/uniprot/M5XV95","M5XV95")</f>
        <v>M5XV95</v>
      </c>
      <c r="D7310" s="2" t="s">
        <v>6508</v>
      </c>
      <c r="E7310" s="3">
        <v>7.7400000000000004E-97</v>
      </c>
      <c r="F7310" s="2">
        <v>811</v>
      </c>
      <c r="G7310" s="2">
        <v>100</v>
      </c>
      <c r="H7310" s="2">
        <v>168</v>
      </c>
      <c r="I7310" s="2">
        <v>2</v>
      </c>
      <c r="J7310" s="2">
        <v>505</v>
      </c>
      <c r="K7310" s="2">
        <v>524</v>
      </c>
      <c r="L7310" s="2">
        <v>691</v>
      </c>
    </row>
    <row r="7311" spans="1:12" x14ac:dyDescent="0.25">
      <c r="A7311" s="4" t="str">
        <f>HYPERLINK("http://www.rosaceae.org/Prunus/Prunus_persica/p.persica_gdr_reftransV1_0023452","p.persica_gdr_reftransV1_0023452")</f>
        <v>p.persica_gdr_reftransV1_0023452</v>
      </c>
      <c r="B7311" s="2">
        <v>1498</v>
      </c>
      <c r="C7311" s="4" t="str">
        <f>HYPERLINK("http://www.uniprot.org/uniprot/M5XEH7","M5XEH7")</f>
        <v>M5XEH7</v>
      </c>
      <c r="D7311" s="2" t="s">
        <v>6509</v>
      </c>
      <c r="E7311" s="3">
        <v>2.74E-156</v>
      </c>
      <c r="F7311" s="2">
        <v>1182</v>
      </c>
      <c r="G7311" s="2">
        <v>100</v>
      </c>
      <c r="H7311" s="2">
        <v>256</v>
      </c>
      <c r="I7311" s="2">
        <v>305</v>
      </c>
      <c r="J7311" s="2">
        <v>1072</v>
      </c>
      <c r="K7311" s="2">
        <v>70</v>
      </c>
      <c r="L7311" s="2">
        <v>325</v>
      </c>
    </row>
    <row r="7312" spans="1:12" x14ac:dyDescent="0.25">
      <c r="A7312" s="4" t="str">
        <f>HYPERLINK("http://www.rosaceae.org/Prunus/Prunus_persica/p.persica_gdr_reftransV1_0024152","p.persica_gdr_reftransV1_0024152")</f>
        <v>p.persica_gdr_reftransV1_0024152</v>
      </c>
      <c r="B7312" s="2">
        <v>1982</v>
      </c>
      <c r="C7312" s="4" t="str">
        <f>HYPERLINK("http://www.uniprot.org/uniprot/M5WT12","M5WT12")</f>
        <v>M5WT12</v>
      </c>
      <c r="D7312" s="2" t="s">
        <v>6510</v>
      </c>
      <c r="E7312" s="3">
        <v>0</v>
      </c>
      <c r="F7312" s="2">
        <v>2662</v>
      </c>
      <c r="G7312" s="2">
        <v>100</v>
      </c>
      <c r="H7312" s="2">
        <v>522</v>
      </c>
      <c r="I7312" s="2">
        <v>57</v>
      </c>
      <c r="J7312" s="2">
        <v>1622</v>
      </c>
      <c r="K7312" s="2">
        <v>1</v>
      </c>
      <c r="L7312" s="2">
        <v>522</v>
      </c>
    </row>
    <row r="7313" spans="1:12" x14ac:dyDescent="0.25">
      <c r="A7313" s="4" t="str">
        <f>HYPERLINK("http://www.rosaceae.org/Prunus/Prunus_persica/p.persica_gdr_reftransV1_0024852","p.persica_gdr_reftransV1_0024852")</f>
        <v>p.persica_gdr_reftransV1_0024852</v>
      </c>
      <c r="B7313" s="2">
        <v>476</v>
      </c>
      <c r="C7313" s="4" t="str">
        <f>HYPERLINK("http://www.uniprot.org/uniprot/M5XA68","M5XA68")</f>
        <v>M5XA68</v>
      </c>
      <c r="D7313" s="2" t="s">
        <v>6511</v>
      </c>
      <c r="E7313" s="3">
        <v>1.08E-85</v>
      </c>
      <c r="F7313" s="2">
        <v>674</v>
      </c>
      <c r="G7313" s="2">
        <v>98</v>
      </c>
      <c r="H7313" s="2">
        <v>131</v>
      </c>
      <c r="I7313" s="2">
        <v>83</v>
      </c>
      <c r="J7313" s="2">
        <v>475</v>
      </c>
      <c r="K7313" s="2">
        <v>147</v>
      </c>
      <c r="L7313" s="2">
        <v>277</v>
      </c>
    </row>
    <row r="7314" spans="1:12" x14ac:dyDescent="0.25">
      <c r="A7314" s="4" t="str">
        <f>HYPERLINK("http://www.rosaceae.org/Prunus/Prunus_persica/p.persica_gdr_reftransV1_0025552","p.persica_gdr_reftransV1_0025552")</f>
        <v>p.persica_gdr_reftransV1_0025552</v>
      </c>
      <c r="B7314" s="2">
        <v>5176</v>
      </c>
      <c r="C7314" s="4" t="str">
        <f>HYPERLINK("http://www.uniprot.org/uniprot/M5Y8A9","M5Y8A9")</f>
        <v>M5Y8A9</v>
      </c>
      <c r="D7314" s="2" t="s">
        <v>6512</v>
      </c>
      <c r="E7314" s="3">
        <v>0</v>
      </c>
      <c r="F7314" s="2">
        <v>2368</v>
      </c>
      <c r="G7314" s="2">
        <v>99</v>
      </c>
      <c r="H7314" s="2">
        <v>449</v>
      </c>
      <c r="I7314" s="2">
        <v>290</v>
      </c>
      <c r="J7314" s="2">
        <v>1636</v>
      </c>
      <c r="K7314" s="2">
        <v>1</v>
      </c>
      <c r="L7314" s="2">
        <v>449</v>
      </c>
    </row>
    <row r="7315" spans="1:12" x14ac:dyDescent="0.25">
      <c r="A7315" s="4" t="str">
        <f>HYPERLINK("http://www.rosaceae.org/Prunus/Prunus_persica/p.persica_gdr_reftransV1_0026952","p.persica_gdr_reftransV1_0026952")</f>
        <v>p.persica_gdr_reftransV1_0026952</v>
      </c>
      <c r="B7315" s="2">
        <v>2136</v>
      </c>
      <c r="C7315" s="4" t="str">
        <f>HYPERLINK("http://www.uniprot.org/uniprot/M5Y8Q7","M5Y8Q7")</f>
        <v>M5Y8Q7</v>
      </c>
      <c r="D7315" s="2" t="s">
        <v>6513</v>
      </c>
      <c r="E7315" s="3">
        <v>0</v>
      </c>
      <c r="F7315" s="2">
        <v>1243</v>
      </c>
      <c r="G7315" s="2">
        <v>100</v>
      </c>
      <c r="H7315" s="2">
        <v>231</v>
      </c>
      <c r="I7315" s="2">
        <v>733</v>
      </c>
      <c r="J7315" s="2">
        <v>1425</v>
      </c>
      <c r="K7315" s="2">
        <v>200</v>
      </c>
      <c r="L7315" s="2">
        <v>430</v>
      </c>
    </row>
    <row r="7316" spans="1:12" x14ac:dyDescent="0.25">
      <c r="A7316" s="4" t="str">
        <f>HYPERLINK("http://www.rosaceae.org/Prunus/Prunus_persica/p.persica_gdr_reftransV1_0028002","p.persica_gdr_reftransV1_0028002")</f>
        <v>p.persica_gdr_reftransV1_0028002</v>
      </c>
      <c r="B7316" s="2">
        <v>3419</v>
      </c>
      <c r="C7316" s="4" t="str">
        <f>HYPERLINK("http://www.uniprot.org/uniprot/M5W3C7","M5W3C7")</f>
        <v>M5W3C7</v>
      </c>
      <c r="D7316" s="2" t="s">
        <v>6514</v>
      </c>
      <c r="E7316" s="3">
        <v>0</v>
      </c>
      <c r="F7316" s="2">
        <v>1867</v>
      </c>
      <c r="G7316" s="2">
        <v>100</v>
      </c>
      <c r="H7316" s="2">
        <v>363</v>
      </c>
      <c r="I7316" s="2">
        <v>2126</v>
      </c>
      <c r="J7316" s="2">
        <v>3214</v>
      </c>
      <c r="K7316" s="2">
        <v>1</v>
      </c>
      <c r="L7316" s="2">
        <v>363</v>
      </c>
    </row>
    <row r="7317" spans="1:12" x14ac:dyDescent="0.25">
      <c r="A7317" s="4" t="str">
        <f>HYPERLINK("http://www.rosaceae.org/Prunus/Prunus_persica/p.persica_gdr_reftransV1_0028352","p.persica_gdr_reftransV1_0028352")</f>
        <v>p.persica_gdr_reftransV1_0028352</v>
      </c>
      <c r="B7317" s="2">
        <v>2881</v>
      </c>
      <c r="C7317" s="4" t="str">
        <f>HYPERLINK("http://www.uniprot.org/uniprot/M5WSF8","M5WSF8")</f>
        <v>M5WSF8</v>
      </c>
      <c r="D7317" s="2" t="s">
        <v>6515</v>
      </c>
      <c r="E7317" s="3">
        <v>0</v>
      </c>
      <c r="F7317" s="2">
        <v>1768</v>
      </c>
      <c r="G7317" s="2">
        <v>99</v>
      </c>
      <c r="H7317" s="2">
        <v>370</v>
      </c>
      <c r="I7317" s="2">
        <v>1619</v>
      </c>
      <c r="J7317" s="2">
        <v>2728</v>
      </c>
      <c r="K7317" s="2">
        <v>1</v>
      </c>
      <c r="L7317" s="2">
        <v>370</v>
      </c>
    </row>
    <row r="7318" spans="1:12" x14ac:dyDescent="0.25">
      <c r="A7318" s="4" t="str">
        <f>HYPERLINK("http://www.rosaceae.org/Prunus/Prunus_persica/p.persica_gdr_reftransV1_0032202","p.persica_gdr_reftransV1_0032202")</f>
        <v>p.persica_gdr_reftransV1_0032202</v>
      </c>
      <c r="B7318" s="2">
        <v>3141</v>
      </c>
      <c r="C7318" s="4" t="str">
        <f>HYPERLINK("http://www.uniprot.org/uniprot/M5XRW2","M5XRW2")</f>
        <v>M5XRW2</v>
      </c>
      <c r="D7318" s="2" t="s">
        <v>6516</v>
      </c>
      <c r="E7318" s="3">
        <v>0</v>
      </c>
      <c r="F7318" s="2">
        <v>1377</v>
      </c>
      <c r="G7318" s="2">
        <v>99</v>
      </c>
      <c r="H7318" s="2">
        <v>270</v>
      </c>
      <c r="I7318" s="2">
        <v>910</v>
      </c>
      <c r="J7318" s="2">
        <v>1719</v>
      </c>
      <c r="K7318" s="2">
        <v>177</v>
      </c>
      <c r="L7318" s="2">
        <v>446</v>
      </c>
    </row>
    <row r="7319" spans="1:12" x14ac:dyDescent="0.25">
      <c r="A7319" s="4" t="str">
        <f>HYPERLINK("http://www.rosaceae.org/Prunus/Prunus_persica/p.persica_gdr_reftransV1_0033952","p.persica_gdr_reftransV1_0033952")</f>
        <v>p.persica_gdr_reftransV1_0033952</v>
      </c>
      <c r="B7319" s="2">
        <v>895</v>
      </c>
      <c r="C7319" s="4" t="str">
        <f>HYPERLINK("http://www.uniprot.org/uniprot/A0A059CMT5","A0A059CMT5")</f>
        <v>A0A059CMT5</v>
      </c>
      <c r="D7319" s="2" t="s">
        <v>6517</v>
      </c>
      <c r="E7319" s="3">
        <v>1.8699999999999999E-59</v>
      </c>
      <c r="F7319" s="2">
        <v>509</v>
      </c>
      <c r="G7319" s="2">
        <v>55</v>
      </c>
      <c r="H7319" s="2">
        <v>222</v>
      </c>
      <c r="I7319" s="2">
        <v>146</v>
      </c>
      <c r="J7319" s="2">
        <v>802</v>
      </c>
      <c r="K7319" s="2">
        <v>10</v>
      </c>
      <c r="L7319" s="2">
        <v>212</v>
      </c>
    </row>
    <row r="7320" spans="1:12" x14ac:dyDescent="0.25">
      <c r="A7320" s="4" t="str">
        <f>HYPERLINK("http://www.rosaceae.org/Prunus/Prunus_persica/p.persica_gdr_reftransV1_0035002","p.persica_gdr_reftransV1_0035002")</f>
        <v>p.persica_gdr_reftransV1_0035002</v>
      </c>
      <c r="B7320" s="2">
        <v>1908</v>
      </c>
      <c r="C7320" s="4" t="str">
        <f>HYPERLINK("http://www.uniprot.org/uniprot/M5WH39","M5WH39")</f>
        <v>M5WH39</v>
      </c>
      <c r="D7320" s="2" t="s">
        <v>6518</v>
      </c>
      <c r="E7320" s="3">
        <v>1.02E-106</v>
      </c>
      <c r="F7320" s="2">
        <v>831</v>
      </c>
      <c r="G7320" s="2">
        <v>99</v>
      </c>
      <c r="H7320" s="2">
        <v>208</v>
      </c>
      <c r="I7320" s="2">
        <v>407</v>
      </c>
      <c r="J7320" s="2">
        <v>1030</v>
      </c>
      <c r="K7320" s="2">
        <v>119</v>
      </c>
      <c r="L7320" s="2">
        <v>326</v>
      </c>
    </row>
    <row r="7321" spans="1:12" x14ac:dyDescent="0.25">
      <c r="A7321" s="4" t="str">
        <f>HYPERLINK("http://www.rosaceae.org/Prunus/Prunus_persica/p.persica_gdr_reftransV1_0038502","p.persica_gdr_reftransV1_0038502")</f>
        <v>p.persica_gdr_reftransV1_0038502</v>
      </c>
      <c r="B7321" s="2">
        <v>1786</v>
      </c>
      <c r="C7321" s="4" t="str">
        <f>HYPERLINK("http://www.uniprot.org/uniprot/I1JCJ4","I1JCJ4")</f>
        <v>I1JCJ4</v>
      </c>
      <c r="D7321" s="2" t="s">
        <v>1584</v>
      </c>
      <c r="E7321" s="3">
        <v>7.1700000000000004E-47</v>
      </c>
      <c r="F7321" s="2">
        <v>435</v>
      </c>
      <c r="G7321" s="2">
        <v>90</v>
      </c>
      <c r="H7321" s="2">
        <v>139</v>
      </c>
      <c r="I7321" s="2">
        <v>1358</v>
      </c>
      <c r="J7321" s="2">
        <v>1774</v>
      </c>
      <c r="K7321" s="2">
        <v>2</v>
      </c>
      <c r="L7321" s="2">
        <v>140</v>
      </c>
    </row>
    <row r="7322" spans="1:12" x14ac:dyDescent="0.25">
      <c r="A7322" s="4" t="str">
        <f>HYPERLINK("http://www.rosaceae.org/Prunus/Prunus_persica/p.persica_gdr_reftransV1_0039202","p.persica_gdr_reftransV1_0039202")</f>
        <v>p.persica_gdr_reftransV1_0039202</v>
      </c>
      <c r="B7322" s="2">
        <v>5239</v>
      </c>
      <c r="C7322" s="4" t="str">
        <f>HYPERLINK("http://www.uniprot.org/uniprot/M5XBL4","M5XBL4")</f>
        <v>M5XBL4</v>
      </c>
      <c r="D7322" s="2" t="s">
        <v>6519</v>
      </c>
      <c r="E7322" s="3">
        <v>1.0799999999999999E-141</v>
      </c>
      <c r="F7322" s="2">
        <v>1175</v>
      </c>
      <c r="G7322" s="2">
        <v>74</v>
      </c>
      <c r="H7322" s="2">
        <v>319</v>
      </c>
      <c r="I7322" s="2">
        <v>3597</v>
      </c>
      <c r="J7322" s="2">
        <v>4553</v>
      </c>
      <c r="K7322" s="2">
        <v>201</v>
      </c>
      <c r="L7322" s="2">
        <v>437</v>
      </c>
    </row>
    <row r="7323" spans="1:12" x14ac:dyDescent="0.25">
      <c r="A7323" s="4" t="str">
        <f>HYPERLINK("http://www.rosaceae.org/Prunus/Prunus_persica/p.persica_gdr_reftransV1_0042002","p.persica_gdr_reftransV1_0042002")</f>
        <v>p.persica_gdr_reftransV1_0042002</v>
      </c>
      <c r="B7323" s="2">
        <v>3441</v>
      </c>
      <c r="C7323" s="4" t="str">
        <f>HYPERLINK("http://www.uniprot.org/uniprot/M5WM47","M5WM47")</f>
        <v>M5WM47</v>
      </c>
      <c r="D7323" s="2" t="s">
        <v>6520</v>
      </c>
      <c r="E7323" s="3">
        <v>0</v>
      </c>
      <c r="F7323" s="2">
        <v>4763</v>
      </c>
      <c r="G7323" s="2">
        <v>100</v>
      </c>
      <c r="H7323" s="2">
        <v>910</v>
      </c>
      <c r="I7323" s="2">
        <v>470</v>
      </c>
      <c r="J7323" s="2">
        <v>3199</v>
      </c>
      <c r="K7323" s="2">
        <v>5</v>
      </c>
      <c r="L7323" s="2">
        <v>914</v>
      </c>
    </row>
    <row r="7324" spans="1:12" x14ac:dyDescent="0.25">
      <c r="A7324" s="4" t="str">
        <f>HYPERLINK("http://www.rosaceae.org/Prunus/Prunus_persica/p.persica_gdr_reftransV1_0043052","p.persica_gdr_reftransV1_0043052")</f>
        <v>p.persica_gdr_reftransV1_0043052</v>
      </c>
      <c r="B7324" s="2">
        <v>440</v>
      </c>
      <c r="C7324" s="4" t="str">
        <f>HYPERLINK("http://www.uniprot.org/uniprot/M5WPZ2","M5WPZ2")</f>
        <v>M5WPZ2</v>
      </c>
      <c r="D7324" s="2" t="s">
        <v>439</v>
      </c>
      <c r="E7324" s="3">
        <v>3.2900000000000003E-89</v>
      </c>
      <c r="F7324" s="2">
        <v>745</v>
      </c>
      <c r="G7324" s="2">
        <v>100</v>
      </c>
      <c r="H7324" s="2">
        <v>146</v>
      </c>
      <c r="I7324" s="2">
        <v>1</v>
      </c>
      <c r="J7324" s="2">
        <v>438</v>
      </c>
      <c r="K7324" s="2">
        <v>152</v>
      </c>
      <c r="L7324" s="2">
        <v>297</v>
      </c>
    </row>
    <row r="7325" spans="1:12" x14ac:dyDescent="0.25">
      <c r="A7325" s="4" t="str">
        <f>HYPERLINK("http://www.rosaceae.org/Prunus/Prunus_persica/p.persica_gdr_reftransV1_0043402","p.persica_gdr_reftransV1_0043402")</f>
        <v>p.persica_gdr_reftransV1_0043402</v>
      </c>
      <c r="B7325" s="2">
        <v>583</v>
      </c>
      <c r="C7325" s="4" t="str">
        <f>HYPERLINK("http://www.uniprot.org/uniprot/M5W3K3","M5W3K3")</f>
        <v>M5W3K3</v>
      </c>
      <c r="D7325" s="2" t="s">
        <v>6521</v>
      </c>
      <c r="E7325" s="3">
        <v>3.1499999999999998E-80</v>
      </c>
      <c r="F7325" s="2">
        <v>644</v>
      </c>
      <c r="G7325" s="2">
        <v>100</v>
      </c>
      <c r="H7325" s="2">
        <v>123</v>
      </c>
      <c r="I7325" s="2">
        <v>1</v>
      </c>
      <c r="J7325" s="2">
        <v>369</v>
      </c>
      <c r="K7325" s="2">
        <v>177</v>
      </c>
      <c r="L7325" s="2">
        <v>299</v>
      </c>
    </row>
    <row r="7326" spans="1:12" x14ac:dyDescent="0.25">
      <c r="A7326" s="4" t="str">
        <f>HYPERLINK("http://www.rosaceae.org/Prunus/Prunus_persica/p.persica_gdr_reftransV1_0044102","p.persica_gdr_reftransV1_0044102")</f>
        <v>p.persica_gdr_reftransV1_0044102</v>
      </c>
      <c r="B7326" s="2">
        <v>728</v>
      </c>
      <c r="C7326" s="4" t="str">
        <f>HYPERLINK("http://www.uniprot.org/uniprot/M5XKD1","M5XKD1")</f>
        <v>M5XKD1</v>
      </c>
      <c r="D7326" s="2" t="s">
        <v>6522</v>
      </c>
      <c r="E7326" s="3">
        <v>4.2199999999999996E-127</v>
      </c>
      <c r="F7326" s="2">
        <v>954</v>
      </c>
      <c r="G7326" s="2">
        <v>90</v>
      </c>
      <c r="H7326" s="2">
        <v>199</v>
      </c>
      <c r="I7326" s="2">
        <v>28</v>
      </c>
      <c r="J7326" s="2">
        <v>624</v>
      </c>
      <c r="K7326" s="2">
        <v>18</v>
      </c>
      <c r="L7326" s="2">
        <v>216</v>
      </c>
    </row>
    <row r="7327" spans="1:12" x14ac:dyDescent="0.25">
      <c r="A7327" s="4" t="str">
        <f>HYPERLINK("http://www.rosaceae.org/Prunus/Prunus_persica/p.persica_gdr_reftransV1_0044452","p.persica_gdr_reftransV1_0044452")</f>
        <v>p.persica_gdr_reftransV1_0044452</v>
      </c>
      <c r="B7327" s="2">
        <v>2126</v>
      </c>
      <c r="C7327" s="4" t="str">
        <f>HYPERLINK("http://www.uniprot.org/uniprot/M5XDK9","M5XDK9")</f>
        <v>M5XDK9</v>
      </c>
      <c r="D7327" s="2" t="s">
        <v>6523</v>
      </c>
      <c r="E7327" s="3">
        <v>0</v>
      </c>
      <c r="F7327" s="2">
        <v>2338</v>
      </c>
      <c r="G7327" s="2">
        <v>100</v>
      </c>
      <c r="H7327" s="2">
        <v>481</v>
      </c>
      <c r="I7327" s="2">
        <v>398</v>
      </c>
      <c r="J7327" s="2">
        <v>1840</v>
      </c>
      <c r="K7327" s="2">
        <v>1</v>
      </c>
      <c r="L7327" s="2">
        <v>481</v>
      </c>
    </row>
    <row r="7328" spans="1:12" x14ac:dyDescent="0.25">
      <c r="A7328" s="4" t="str">
        <f>HYPERLINK("http://www.rosaceae.org/Prunus/Prunus_persica/p.persica_gdr_reftransV1_0044802","p.persica_gdr_reftransV1_0044802")</f>
        <v>p.persica_gdr_reftransV1_0044802</v>
      </c>
      <c r="B7328" s="2">
        <v>423</v>
      </c>
      <c r="C7328" s="4" t="str">
        <f>HYPERLINK("http://www.uniprot.org/uniprot/M5VR85","M5VR85")</f>
        <v>M5VR85</v>
      </c>
      <c r="D7328" s="2" t="s">
        <v>6524</v>
      </c>
      <c r="E7328" s="3">
        <v>1.33E-34</v>
      </c>
      <c r="F7328" s="2">
        <v>333</v>
      </c>
      <c r="G7328" s="2">
        <v>100</v>
      </c>
      <c r="H7328" s="2">
        <v>85</v>
      </c>
      <c r="I7328" s="2">
        <v>39</v>
      </c>
      <c r="J7328" s="2">
        <v>293</v>
      </c>
      <c r="K7328" s="2">
        <v>1</v>
      </c>
      <c r="L7328" s="2">
        <v>85</v>
      </c>
    </row>
    <row r="7329" spans="1:12" x14ac:dyDescent="0.25">
      <c r="A7329" s="4" t="str">
        <f>HYPERLINK("http://www.rosaceae.org/Prunus/Prunus_persica/p.persica_gdr_reftransV1_0045152","p.persica_gdr_reftransV1_0045152")</f>
        <v>p.persica_gdr_reftransV1_0045152</v>
      </c>
      <c r="B7329" s="2">
        <v>2295</v>
      </c>
      <c r="C7329" s="4" t="str">
        <f>HYPERLINK("http://www.uniprot.org/uniprot/M5XXZ8","M5XXZ8")</f>
        <v>M5XXZ8</v>
      </c>
      <c r="D7329" s="2" t="s">
        <v>6525</v>
      </c>
      <c r="E7329" s="3">
        <v>0</v>
      </c>
      <c r="F7329" s="2">
        <v>3099</v>
      </c>
      <c r="G7329" s="2">
        <v>100</v>
      </c>
      <c r="H7329" s="2">
        <v>640</v>
      </c>
      <c r="I7329" s="2">
        <v>254</v>
      </c>
      <c r="J7329" s="2">
        <v>2173</v>
      </c>
      <c r="K7329" s="2">
        <v>626</v>
      </c>
      <c r="L7329" s="2">
        <v>1265</v>
      </c>
    </row>
    <row r="7330" spans="1:12" x14ac:dyDescent="0.25">
      <c r="A7330" s="4" t="str">
        <f>HYPERLINK("http://www.rosaceae.org/Prunus/Prunus_persica/p.persica_gdr_reftransV1_0045502","p.persica_gdr_reftransV1_0045502")</f>
        <v>p.persica_gdr_reftransV1_0045502</v>
      </c>
      <c r="B7330" s="2">
        <v>557</v>
      </c>
      <c r="C7330" s="4" t="str">
        <f>HYPERLINK("http://www.uniprot.org/uniprot/M5X7K2","M5X7K2")</f>
        <v>M5X7K2</v>
      </c>
      <c r="D7330" s="2" t="s">
        <v>4231</v>
      </c>
      <c r="E7330" s="3">
        <v>7.5599999999999996E-53</v>
      </c>
      <c r="F7330" s="2">
        <v>461</v>
      </c>
      <c r="G7330" s="2">
        <v>100</v>
      </c>
      <c r="H7330" s="2">
        <v>129</v>
      </c>
      <c r="I7330" s="2">
        <v>2</v>
      </c>
      <c r="J7330" s="2">
        <v>388</v>
      </c>
      <c r="K7330" s="2">
        <v>1</v>
      </c>
      <c r="L7330" s="2">
        <v>129</v>
      </c>
    </row>
    <row r="7331" spans="1:12" x14ac:dyDescent="0.25">
      <c r="A7331" s="4" t="str">
        <f>HYPERLINK("http://www.rosaceae.org/Prunus/Prunus_persica/p.persica_gdr_reftransV1_0045852","p.persica_gdr_reftransV1_0045852")</f>
        <v>p.persica_gdr_reftransV1_0045852</v>
      </c>
      <c r="B7331" s="2">
        <v>1020</v>
      </c>
      <c r="C7331" s="4" t="str">
        <f>HYPERLINK("http://www.uniprot.org/uniprot/M5XSQ6","M5XSQ6")</f>
        <v>M5XSQ6</v>
      </c>
      <c r="D7331" s="2" t="s">
        <v>6526</v>
      </c>
      <c r="E7331" s="3">
        <v>4.4800000000000001E-63</v>
      </c>
      <c r="F7331" s="2">
        <v>529</v>
      </c>
      <c r="G7331" s="2">
        <v>100</v>
      </c>
      <c r="H7331" s="2">
        <v>97</v>
      </c>
      <c r="I7331" s="2">
        <v>728</v>
      </c>
      <c r="J7331" s="2">
        <v>1018</v>
      </c>
      <c r="K7331" s="2">
        <v>1</v>
      </c>
      <c r="L7331" s="2">
        <v>97</v>
      </c>
    </row>
    <row r="7332" spans="1:12" x14ac:dyDescent="0.25">
      <c r="A7332" s="4" t="str">
        <f>HYPERLINK("http://www.rosaceae.org/Prunus/Prunus_persica/p.persica_gdr_reftransV1_0046202","p.persica_gdr_reftransV1_0046202")</f>
        <v>p.persica_gdr_reftransV1_0046202</v>
      </c>
      <c r="B7332" s="2">
        <v>495</v>
      </c>
      <c r="C7332" s="4" t="str">
        <f>HYPERLINK("http://www.uniprot.org/uniprot/M5XFD1","M5XFD1")</f>
        <v>M5XFD1</v>
      </c>
      <c r="D7332" s="2" t="s">
        <v>6527</v>
      </c>
      <c r="E7332" s="3">
        <v>2.6800000000000002E-65</v>
      </c>
      <c r="F7332" s="2">
        <v>557</v>
      </c>
      <c r="G7332" s="2">
        <v>100</v>
      </c>
      <c r="H7332" s="2">
        <v>106</v>
      </c>
      <c r="I7332" s="2">
        <v>178</v>
      </c>
      <c r="J7332" s="2">
        <v>495</v>
      </c>
      <c r="K7332" s="2">
        <v>410</v>
      </c>
      <c r="L7332" s="2">
        <v>515</v>
      </c>
    </row>
    <row r="7333" spans="1:12" x14ac:dyDescent="0.25">
      <c r="A7333" s="4" t="str">
        <f>HYPERLINK("http://www.rosaceae.org/Prunus/Prunus_persica/p.persica_gdr_reftransV1_0046902","p.persica_gdr_reftransV1_0046902")</f>
        <v>p.persica_gdr_reftransV1_0046902</v>
      </c>
      <c r="B7333" s="2">
        <v>3348</v>
      </c>
      <c r="C7333" s="4" t="str">
        <f>HYPERLINK("http://www.uniprot.org/uniprot/M5XKS7","M5XKS7")</f>
        <v>M5XKS7</v>
      </c>
      <c r="D7333" s="2" t="s">
        <v>6528</v>
      </c>
      <c r="E7333" s="3">
        <v>0</v>
      </c>
      <c r="F7333" s="2">
        <v>4582</v>
      </c>
      <c r="G7333" s="2">
        <v>96</v>
      </c>
      <c r="H7333" s="2">
        <v>903</v>
      </c>
      <c r="I7333" s="2">
        <v>168</v>
      </c>
      <c r="J7333" s="2">
        <v>2876</v>
      </c>
      <c r="K7333" s="2">
        <v>24</v>
      </c>
      <c r="L7333" s="2">
        <v>890</v>
      </c>
    </row>
    <row r="7334" spans="1:12" x14ac:dyDescent="0.25">
      <c r="A7334" s="4" t="str">
        <f>HYPERLINK("http://www.rosaceae.org/Prunus/Prunus_persica/p.persica_gdr_reftransV1_0047252","p.persica_gdr_reftransV1_0047252")</f>
        <v>p.persica_gdr_reftransV1_0047252</v>
      </c>
      <c r="B7334" s="2">
        <v>1380</v>
      </c>
      <c r="C7334" s="4" t="str">
        <f>HYPERLINK("http://www.uniprot.org/uniprot/M5X0X0","M5X0X0")</f>
        <v>M5X0X0</v>
      </c>
      <c r="D7334" s="2" t="s">
        <v>6529</v>
      </c>
      <c r="E7334" s="3">
        <v>9.2600000000000007E-80</v>
      </c>
      <c r="F7334" s="2">
        <v>660</v>
      </c>
      <c r="G7334" s="2">
        <v>100</v>
      </c>
      <c r="H7334" s="2">
        <v>228</v>
      </c>
      <c r="I7334" s="2">
        <v>572</v>
      </c>
      <c r="J7334" s="2">
        <v>1255</v>
      </c>
      <c r="K7334" s="2">
        <v>1</v>
      </c>
      <c r="L7334" s="2">
        <v>228</v>
      </c>
    </row>
    <row r="7335" spans="1:12" x14ac:dyDescent="0.25">
      <c r="A7335" s="4" t="str">
        <f>HYPERLINK("http://www.rosaceae.org/Prunus/Prunus_persica/p.persica_gdr_reftransV1_0047602","p.persica_gdr_reftransV1_0047602")</f>
        <v>p.persica_gdr_reftransV1_0047602</v>
      </c>
      <c r="B7335" s="2">
        <v>813</v>
      </c>
      <c r="C7335" s="4" t="str">
        <f>HYPERLINK("http://www.uniprot.org/uniprot/Q6YNS1","Q6YNS1")</f>
        <v>Q6YNS1</v>
      </c>
      <c r="D7335" s="2" t="s">
        <v>6530</v>
      </c>
      <c r="E7335" s="3">
        <v>3.9200000000000002E-53</v>
      </c>
      <c r="F7335" s="2">
        <v>461</v>
      </c>
      <c r="G7335" s="2">
        <v>100</v>
      </c>
      <c r="H7335" s="2">
        <v>85</v>
      </c>
      <c r="I7335" s="2">
        <v>49</v>
      </c>
      <c r="J7335" s="2">
        <v>303</v>
      </c>
      <c r="K7335" s="2">
        <v>1</v>
      </c>
      <c r="L7335" s="2">
        <v>85</v>
      </c>
    </row>
    <row r="7336" spans="1:12" x14ac:dyDescent="0.25">
      <c r="A7336" s="4" t="str">
        <f>HYPERLINK("http://www.rosaceae.org/Prunus/Prunus_persica/p.persica_gdr_reftransV1_0047952","p.persica_gdr_reftransV1_0047952")</f>
        <v>p.persica_gdr_reftransV1_0047952</v>
      </c>
      <c r="B7336" s="2">
        <v>765</v>
      </c>
      <c r="C7336" s="4" t="str">
        <f>HYPERLINK("http://www.uniprot.org/uniprot/M5XE55","M5XE55")</f>
        <v>M5XE55</v>
      </c>
      <c r="D7336" s="2" t="s">
        <v>6531</v>
      </c>
      <c r="E7336" s="3">
        <v>1.4200000000000001E-42</v>
      </c>
      <c r="F7336" s="2">
        <v>384</v>
      </c>
      <c r="G7336" s="2">
        <v>100</v>
      </c>
      <c r="H7336" s="2">
        <v>107</v>
      </c>
      <c r="I7336" s="2">
        <v>181</v>
      </c>
      <c r="J7336" s="2">
        <v>501</v>
      </c>
      <c r="K7336" s="2">
        <v>1</v>
      </c>
      <c r="L7336" s="2">
        <v>107</v>
      </c>
    </row>
    <row r="7337" spans="1:12" x14ac:dyDescent="0.25">
      <c r="A7337" s="4" t="str">
        <f>HYPERLINK("http://www.rosaceae.org/Prunus/Prunus_persica/p.persica_gdr_reftransV1_0048302","p.persica_gdr_reftransV1_0048302")</f>
        <v>p.persica_gdr_reftransV1_0048302</v>
      </c>
      <c r="B7337" s="2">
        <v>809</v>
      </c>
      <c r="C7337" s="4" t="str">
        <f>HYPERLINK("http://www.uniprot.org/uniprot/M5W2M2","M5W2M2")</f>
        <v>M5W2M2</v>
      </c>
      <c r="D7337" s="2" t="s">
        <v>6532</v>
      </c>
      <c r="E7337" s="3">
        <v>1.8300000000000001E-82</v>
      </c>
      <c r="F7337" s="2">
        <v>653</v>
      </c>
      <c r="G7337" s="2">
        <v>100</v>
      </c>
      <c r="H7337" s="2">
        <v>139</v>
      </c>
      <c r="I7337" s="2">
        <v>153</v>
      </c>
      <c r="J7337" s="2">
        <v>569</v>
      </c>
      <c r="K7337" s="2">
        <v>1</v>
      </c>
      <c r="L7337" s="2">
        <v>139</v>
      </c>
    </row>
    <row r="7338" spans="1:12" x14ac:dyDescent="0.25">
      <c r="A7338" s="4" t="str">
        <f>HYPERLINK("http://www.rosaceae.org/Prunus/Prunus_persica/p.persica_gdr_reftransV1_0048652","p.persica_gdr_reftransV1_0048652")</f>
        <v>p.persica_gdr_reftransV1_0048652</v>
      </c>
      <c r="B7338" s="2">
        <v>2258</v>
      </c>
      <c r="C7338" s="4" t="str">
        <f>HYPERLINK("http://www.uniprot.org/uniprot/M5XA94","M5XA94")</f>
        <v>M5XA94</v>
      </c>
      <c r="D7338" s="2" t="s">
        <v>6533</v>
      </c>
      <c r="E7338" s="3">
        <v>0</v>
      </c>
      <c r="F7338" s="2">
        <v>1892</v>
      </c>
      <c r="G7338" s="2">
        <v>100</v>
      </c>
      <c r="H7338" s="2">
        <v>372</v>
      </c>
      <c r="I7338" s="2">
        <v>181</v>
      </c>
      <c r="J7338" s="2">
        <v>1296</v>
      </c>
      <c r="K7338" s="2">
        <v>1</v>
      </c>
      <c r="L7338" s="2">
        <v>372</v>
      </c>
    </row>
    <row r="7339" spans="1:12" x14ac:dyDescent="0.25">
      <c r="A7339" s="4" t="str">
        <f>HYPERLINK("http://www.rosaceae.org/Prunus/Prunus_persica/p.persica_gdr_reftransV1_0049002","p.persica_gdr_reftransV1_0049002")</f>
        <v>p.persica_gdr_reftransV1_0049002</v>
      </c>
      <c r="B7339" s="2">
        <v>854</v>
      </c>
      <c r="C7339" s="4" t="str">
        <f>HYPERLINK("http://www.uniprot.org/uniprot/R0HVC4","R0HVC4")</f>
        <v>R0HVC4</v>
      </c>
      <c r="D7339" s="2" t="s">
        <v>6534</v>
      </c>
      <c r="E7339" s="3">
        <v>3.31E-101</v>
      </c>
      <c r="F7339" s="2">
        <v>781</v>
      </c>
      <c r="G7339" s="2">
        <v>98</v>
      </c>
      <c r="H7339" s="2">
        <v>153</v>
      </c>
      <c r="I7339" s="2">
        <v>65</v>
      </c>
      <c r="J7339" s="2">
        <v>523</v>
      </c>
      <c r="K7339" s="2">
        <v>19</v>
      </c>
      <c r="L7339" s="2">
        <v>171</v>
      </c>
    </row>
    <row r="7340" spans="1:12" x14ac:dyDescent="0.25">
      <c r="A7340" s="4" t="str">
        <f>HYPERLINK("http://www.rosaceae.org/Prunus/Prunus_persica/p.persica_gdr_reftransV1_0000201","p.persica_gdr_reftransV1_0000201")</f>
        <v>p.persica_gdr_reftransV1_0000201</v>
      </c>
      <c r="B7340" s="2">
        <v>2016</v>
      </c>
      <c r="C7340" s="4" t="str">
        <f>HYPERLINK("http://www.uniprot.org/uniprot/M5XXP0","M5XXP0")</f>
        <v>M5XXP0</v>
      </c>
      <c r="D7340" s="2" t="s">
        <v>6535</v>
      </c>
      <c r="E7340" s="3">
        <v>0</v>
      </c>
      <c r="F7340" s="2">
        <v>1916</v>
      </c>
      <c r="G7340" s="2">
        <v>100</v>
      </c>
      <c r="H7340" s="2">
        <v>403</v>
      </c>
      <c r="I7340" s="2">
        <v>510</v>
      </c>
      <c r="J7340" s="2">
        <v>1718</v>
      </c>
      <c r="K7340" s="2">
        <v>1</v>
      </c>
      <c r="L7340" s="2">
        <v>403</v>
      </c>
    </row>
    <row r="7341" spans="1:12" x14ac:dyDescent="0.25">
      <c r="A7341" s="4" t="str">
        <f>HYPERLINK("http://www.rosaceae.org/Prunus/Prunus_persica/p.persica_gdr_reftransV1_0000551","p.persica_gdr_reftransV1_0000551")</f>
        <v>p.persica_gdr_reftransV1_0000551</v>
      </c>
      <c r="B7341" s="2">
        <v>716</v>
      </c>
      <c r="C7341" s="4" t="str">
        <f>HYPERLINK("http://www.uniprot.org/uniprot/M5X985","M5X985")</f>
        <v>M5X985</v>
      </c>
      <c r="D7341" s="2" t="s">
        <v>6536</v>
      </c>
      <c r="E7341" s="3">
        <v>6.5E-52</v>
      </c>
      <c r="F7341" s="2">
        <v>441</v>
      </c>
      <c r="G7341" s="2">
        <v>100</v>
      </c>
      <c r="H7341" s="2">
        <v>85</v>
      </c>
      <c r="I7341" s="2">
        <v>332</v>
      </c>
      <c r="J7341" s="2">
        <v>586</v>
      </c>
      <c r="K7341" s="2">
        <v>1</v>
      </c>
      <c r="L7341" s="2">
        <v>85</v>
      </c>
    </row>
    <row r="7342" spans="1:12" x14ac:dyDescent="0.25">
      <c r="A7342" s="4" t="str">
        <f>HYPERLINK("http://www.rosaceae.org/Prunus/Prunus_persica/p.persica_gdr_reftransV1_0000901","p.persica_gdr_reftransV1_0000901")</f>
        <v>p.persica_gdr_reftransV1_0000901</v>
      </c>
      <c r="B7342" s="2">
        <v>1752</v>
      </c>
      <c r="C7342" s="4" t="str">
        <f>HYPERLINK("http://www.uniprot.org/uniprot/M5VT50","M5VT50")</f>
        <v>M5VT50</v>
      </c>
      <c r="D7342" s="2" t="s">
        <v>6537</v>
      </c>
      <c r="E7342" s="3">
        <v>0</v>
      </c>
      <c r="F7342" s="2">
        <v>2292</v>
      </c>
      <c r="G7342" s="2">
        <v>99</v>
      </c>
      <c r="H7342" s="2">
        <v>469</v>
      </c>
      <c r="I7342" s="2">
        <v>163</v>
      </c>
      <c r="J7342" s="2">
        <v>1569</v>
      </c>
      <c r="K7342" s="2">
        <v>42</v>
      </c>
      <c r="L7342" s="2">
        <v>510</v>
      </c>
    </row>
    <row r="7343" spans="1:12" x14ac:dyDescent="0.25">
      <c r="A7343" s="4" t="str">
        <f>HYPERLINK("http://www.rosaceae.org/Prunus/Prunus_persica/p.persica_gdr_reftransV1_0001251","p.persica_gdr_reftransV1_0001251")</f>
        <v>p.persica_gdr_reftransV1_0001251</v>
      </c>
      <c r="B7343" s="2">
        <v>1133</v>
      </c>
      <c r="C7343" s="4" t="str">
        <f>HYPERLINK("http://www.uniprot.org/uniprot/M5WA43","M5WA43")</f>
        <v>M5WA43</v>
      </c>
      <c r="D7343" s="2" t="s">
        <v>6308</v>
      </c>
      <c r="E7343" s="3">
        <v>0</v>
      </c>
      <c r="F7343" s="2">
        <v>1423</v>
      </c>
      <c r="G7343" s="2">
        <v>100</v>
      </c>
      <c r="H7343" s="2">
        <v>305</v>
      </c>
      <c r="I7343" s="2">
        <v>50</v>
      </c>
      <c r="J7343" s="2">
        <v>964</v>
      </c>
      <c r="K7343" s="2">
        <v>1</v>
      </c>
      <c r="L7343" s="2">
        <v>305</v>
      </c>
    </row>
    <row r="7344" spans="1:12" x14ac:dyDescent="0.25">
      <c r="A7344" s="4" t="str">
        <f>HYPERLINK("http://www.rosaceae.org/Prunus/Prunus_persica/p.persica_gdr_reftransV1_0001601","p.persica_gdr_reftransV1_0001601")</f>
        <v>p.persica_gdr_reftransV1_0001601</v>
      </c>
      <c r="B7344" s="2">
        <v>1885</v>
      </c>
      <c r="C7344" s="4" t="str">
        <f>HYPERLINK("http://www.uniprot.org/uniprot/M5WFM0","M5WFM0")</f>
        <v>M5WFM0</v>
      </c>
      <c r="D7344" s="2" t="s">
        <v>6538</v>
      </c>
      <c r="E7344" s="3">
        <v>0</v>
      </c>
      <c r="F7344" s="2">
        <v>1796</v>
      </c>
      <c r="G7344" s="2">
        <v>100</v>
      </c>
      <c r="H7344" s="2">
        <v>370</v>
      </c>
      <c r="I7344" s="2">
        <v>389</v>
      </c>
      <c r="J7344" s="2">
        <v>1498</v>
      </c>
      <c r="K7344" s="2">
        <v>1</v>
      </c>
      <c r="L7344" s="2">
        <v>370</v>
      </c>
    </row>
    <row r="7345" spans="1:12" x14ac:dyDescent="0.25">
      <c r="A7345" s="4" t="str">
        <f>HYPERLINK("http://www.rosaceae.org/Prunus/Prunus_persica/p.persica_gdr_reftransV1_0002301","p.persica_gdr_reftransV1_0002301")</f>
        <v>p.persica_gdr_reftransV1_0002301</v>
      </c>
      <c r="B7345" s="2">
        <v>1138</v>
      </c>
      <c r="C7345" s="4" t="str">
        <f>HYPERLINK("http://www.uniprot.org/uniprot/W9QW38","W9QW38")</f>
        <v>W9QW38</v>
      </c>
      <c r="D7345" s="2" t="s">
        <v>6539</v>
      </c>
      <c r="E7345" s="3">
        <v>0</v>
      </c>
      <c r="F7345" s="2">
        <v>1382</v>
      </c>
      <c r="G7345" s="2">
        <v>84</v>
      </c>
      <c r="H7345" s="2">
        <v>328</v>
      </c>
      <c r="I7345" s="2">
        <v>71</v>
      </c>
      <c r="J7345" s="2">
        <v>1018</v>
      </c>
      <c r="K7345" s="2">
        <v>1</v>
      </c>
      <c r="L7345" s="2">
        <v>327</v>
      </c>
    </row>
    <row r="7346" spans="1:12" x14ac:dyDescent="0.25">
      <c r="A7346" s="4" t="str">
        <f>HYPERLINK("http://www.rosaceae.org/Prunus/Prunus_persica/p.persica_gdr_reftransV1_0002651","p.persica_gdr_reftransV1_0002651")</f>
        <v>p.persica_gdr_reftransV1_0002651</v>
      </c>
      <c r="B7346" s="2">
        <v>1336</v>
      </c>
      <c r="C7346" s="4" t="str">
        <f>HYPERLINK("http://www.uniprot.org/uniprot/M5Y9C9","M5Y9C9")</f>
        <v>M5Y9C9</v>
      </c>
      <c r="D7346" s="2" t="s">
        <v>6540</v>
      </c>
      <c r="E7346" s="3">
        <v>0</v>
      </c>
      <c r="F7346" s="2">
        <v>1698</v>
      </c>
      <c r="G7346" s="2">
        <v>100</v>
      </c>
      <c r="H7346" s="2">
        <v>319</v>
      </c>
      <c r="I7346" s="2">
        <v>221</v>
      </c>
      <c r="J7346" s="2">
        <v>1177</v>
      </c>
      <c r="K7346" s="2">
        <v>1</v>
      </c>
      <c r="L7346" s="2">
        <v>319</v>
      </c>
    </row>
    <row r="7347" spans="1:12" x14ac:dyDescent="0.25">
      <c r="A7347" s="4" t="str">
        <f>HYPERLINK("http://www.rosaceae.org/Prunus/Prunus_persica/p.persica_gdr_reftransV1_0003001","p.persica_gdr_reftransV1_0003001")</f>
        <v>p.persica_gdr_reftransV1_0003001</v>
      </c>
      <c r="B7347" s="2">
        <v>495</v>
      </c>
      <c r="C7347" s="4" t="str">
        <f>HYPERLINK("http://www.uniprot.org/uniprot/M5WWM2","M5WWM2")</f>
        <v>M5WWM2</v>
      </c>
      <c r="D7347" s="2" t="s">
        <v>6541</v>
      </c>
      <c r="E7347" s="3">
        <v>1.7800000000000001E-54</v>
      </c>
      <c r="F7347" s="2">
        <v>452</v>
      </c>
      <c r="G7347" s="2">
        <v>100</v>
      </c>
      <c r="H7347" s="2">
        <v>87</v>
      </c>
      <c r="I7347" s="2">
        <v>235</v>
      </c>
      <c r="J7347" s="2">
        <v>495</v>
      </c>
      <c r="K7347" s="2">
        <v>8</v>
      </c>
      <c r="L7347" s="2">
        <v>94</v>
      </c>
    </row>
    <row r="7348" spans="1:12" x14ac:dyDescent="0.25">
      <c r="A7348" s="4" t="str">
        <f>HYPERLINK("http://www.rosaceae.org/Prunus/Prunus_persica/p.persica_gdr_reftransV1_0003351","p.persica_gdr_reftransV1_0003351")</f>
        <v>p.persica_gdr_reftransV1_0003351</v>
      </c>
      <c r="B7348" s="2">
        <v>2179</v>
      </c>
      <c r="C7348" s="4" t="str">
        <f>HYPERLINK("http://www.uniprot.org/uniprot/M5WR00","M5WR00")</f>
        <v>M5WR00</v>
      </c>
      <c r="D7348" s="2" t="s">
        <v>6542</v>
      </c>
      <c r="E7348" s="3">
        <v>0</v>
      </c>
      <c r="F7348" s="2">
        <v>3111</v>
      </c>
      <c r="G7348" s="2">
        <v>100</v>
      </c>
      <c r="H7348" s="2">
        <v>587</v>
      </c>
      <c r="I7348" s="2">
        <v>356</v>
      </c>
      <c r="J7348" s="2">
        <v>2116</v>
      </c>
      <c r="K7348" s="2">
        <v>1</v>
      </c>
      <c r="L7348" s="2">
        <v>587</v>
      </c>
    </row>
    <row r="7349" spans="1:12" x14ac:dyDescent="0.25">
      <c r="A7349" s="4" t="str">
        <f>HYPERLINK("http://www.rosaceae.org/Prunus/Prunus_persica/p.persica_gdr_reftransV1_0004051","p.persica_gdr_reftransV1_0004051")</f>
        <v>p.persica_gdr_reftransV1_0004051</v>
      </c>
      <c r="B7349" s="2">
        <v>1260</v>
      </c>
      <c r="C7349" s="4" t="str">
        <f>HYPERLINK("http://www.uniprot.org/uniprot/D6N0W3","D6N0W3")</f>
        <v>D6N0W3</v>
      </c>
      <c r="D7349" s="2" t="s">
        <v>6543</v>
      </c>
      <c r="E7349" s="3">
        <v>2.41E-135</v>
      </c>
      <c r="F7349" s="2">
        <v>1042</v>
      </c>
      <c r="G7349" s="2">
        <v>97</v>
      </c>
      <c r="H7349" s="2">
        <v>222</v>
      </c>
      <c r="I7349" s="2">
        <v>595</v>
      </c>
      <c r="J7349" s="2">
        <v>1260</v>
      </c>
      <c r="K7349" s="2">
        <v>105</v>
      </c>
      <c r="L7349" s="2">
        <v>326</v>
      </c>
    </row>
    <row r="7350" spans="1:12" x14ac:dyDescent="0.25">
      <c r="A7350" s="4" t="str">
        <f>HYPERLINK("http://www.rosaceae.org/Prunus/Prunus_persica/p.persica_gdr_reftransV1_0005801","p.persica_gdr_reftransV1_0005801")</f>
        <v>p.persica_gdr_reftransV1_0005801</v>
      </c>
      <c r="B7350" s="2">
        <v>628</v>
      </c>
      <c r="C7350" s="4" t="str">
        <f>HYPERLINK("http://www.uniprot.org/uniprot/M5X5W9","M5X5W9")</f>
        <v>M5X5W9</v>
      </c>
      <c r="D7350" s="2" t="s">
        <v>6544</v>
      </c>
      <c r="E7350" s="3">
        <v>1.3999999999999999E-109</v>
      </c>
      <c r="F7350" s="2">
        <v>846</v>
      </c>
      <c r="G7350" s="2">
        <v>95</v>
      </c>
      <c r="H7350" s="2">
        <v>168</v>
      </c>
      <c r="I7350" s="2">
        <v>123</v>
      </c>
      <c r="J7350" s="2">
        <v>626</v>
      </c>
      <c r="K7350" s="2">
        <v>195</v>
      </c>
      <c r="L7350" s="2">
        <v>362</v>
      </c>
    </row>
    <row r="7351" spans="1:12" x14ac:dyDescent="0.25">
      <c r="A7351" s="4" t="str">
        <f>HYPERLINK("http://www.rosaceae.org/Prunus/Prunus_persica/p.persica_gdr_reftransV1_0006151","p.persica_gdr_reftransV1_0006151")</f>
        <v>p.persica_gdr_reftransV1_0006151</v>
      </c>
      <c r="B7351" s="2">
        <v>429</v>
      </c>
      <c r="C7351" s="4" t="str">
        <f>HYPERLINK("http://www.uniprot.org/uniprot/M5WUY3","M5WUY3")</f>
        <v>M5WUY3</v>
      </c>
      <c r="D7351" s="2" t="s">
        <v>6545</v>
      </c>
      <c r="E7351" s="3">
        <v>1.63E-101</v>
      </c>
      <c r="F7351" s="2">
        <v>780</v>
      </c>
      <c r="G7351" s="2">
        <v>100</v>
      </c>
      <c r="H7351" s="2">
        <v>143</v>
      </c>
      <c r="I7351" s="2">
        <v>1</v>
      </c>
      <c r="J7351" s="2">
        <v>429</v>
      </c>
      <c r="K7351" s="2">
        <v>61</v>
      </c>
      <c r="L7351" s="2">
        <v>203</v>
      </c>
    </row>
    <row r="7352" spans="1:12" x14ac:dyDescent="0.25">
      <c r="A7352" s="4" t="str">
        <f>HYPERLINK("http://www.rosaceae.org/Prunus/Prunus_persica/p.persica_gdr_reftransV1_0006501","p.persica_gdr_reftransV1_0006501")</f>
        <v>p.persica_gdr_reftransV1_0006501</v>
      </c>
      <c r="B7352" s="2">
        <v>500</v>
      </c>
      <c r="C7352" s="4" t="str">
        <f>HYPERLINK("http://www.uniprot.org/uniprot/M5W0W0","M5W0W0")</f>
        <v>M5W0W0</v>
      </c>
      <c r="D7352" s="2" t="s">
        <v>6546</v>
      </c>
      <c r="E7352" s="3">
        <v>2.7900000000000001E-36</v>
      </c>
      <c r="F7352" s="2">
        <v>330</v>
      </c>
      <c r="G7352" s="2">
        <v>100</v>
      </c>
      <c r="H7352" s="2">
        <v>81</v>
      </c>
      <c r="I7352" s="2">
        <v>168</v>
      </c>
      <c r="J7352" s="2">
        <v>410</v>
      </c>
      <c r="K7352" s="2">
        <v>1</v>
      </c>
      <c r="L7352" s="2">
        <v>81</v>
      </c>
    </row>
    <row r="7353" spans="1:12" x14ac:dyDescent="0.25">
      <c r="A7353" s="4" t="str">
        <f>HYPERLINK("http://www.rosaceae.org/Prunus/Prunus_persica/p.persica_gdr_reftransV1_0006851","p.persica_gdr_reftransV1_0006851")</f>
        <v>p.persica_gdr_reftransV1_0006851</v>
      </c>
      <c r="B7353" s="2">
        <v>885</v>
      </c>
      <c r="C7353" s="4" t="str">
        <f>HYPERLINK("http://www.uniprot.org/uniprot/M5XMP7","M5XMP7")</f>
        <v>M5XMP7</v>
      </c>
      <c r="D7353" s="2" t="s">
        <v>6547</v>
      </c>
      <c r="E7353" s="3">
        <v>3.3200000000000003E-135</v>
      </c>
      <c r="F7353" s="2">
        <v>1011</v>
      </c>
      <c r="G7353" s="2">
        <v>99</v>
      </c>
      <c r="H7353" s="2">
        <v>203</v>
      </c>
      <c r="I7353" s="2">
        <v>43</v>
      </c>
      <c r="J7353" s="2">
        <v>651</v>
      </c>
      <c r="K7353" s="2">
        <v>17</v>
      </c>
      <c r="L7353" s="2">
        <v>219</v>
      </c>
    </row>
    <row r="7354" spans="1:12" x14ac:dyDescent="0.25">
      <c r="A7354" s="4" t="str">
        <f>HYPERLINK("http://www.rosaceae.org/Prunus/Prunus_persica/p.persica_gdr_reftransV1_0007551","p.persica_gdr_reftransV1_0007551")</f>
        <v>p.persica_gdr_reftransV1_0007551</v>
      </c>
      <c r="B7354" s="2">
        <v>788</v>
      </c>
      <c r="C7354" s="4" t="str">
        <f>HYPERLINK("http://www.uniprot.org/uniprot/M5W3T7","M5W3T7")</f>
        <v>M5W3T7</v>
      </c>
      <c r="D7354" s="2" t="s">
        <v>6548</v>
      </c>
      <c r="E7354" s="3">
        <v>2.42E-91</v>
      </c>
      <c r="F7354" s="2">
        <v>710</v>
      </c>
      <c r="G7354" s="2">
        <v>100</v>
      </c>
      <c r="H7354" s="2">
        <v>135</v>
      </c>
      <c r="I7354" s="2">
        <v>158</v>
      </c>
      <c r="J7354" s="2">
        <v>562</v>
      </c>
      <c r="K7354" s="2">
        <v>1</v>
      </c>
      <c r="L7354" s="2">
        <v>135</v>
      </c>
    </row>
    <row r="7355" spans="1:12" x14ac:dyDescent="0.25">
      <c r="A7355" s="4" t="str">
        <f>HYPERLINK("http://www.rosaceae.org/Prunus/Prunus_persica/p.persica_gdr_reftransV1_0008951","p.persica_gdr_reftransV1_0008951")</f>
        <v>p.persica_gdr_reftransV1_0008951</v>
      </c>
      <c r="B7355" s="2">
        <v>1208</v>
      </c>
      <c r="C7355" s="4" t="str">
        <f>HYPERLINK("http://www.uniprot.org/uniprot/M5W591","M5W591")</f>
        <v>M5W591</v>
      </c>
      <c r="D7355" s="2" t="s">
        <v>6549</v>
      </c>
      <c r="E7355" s="3">
        <v>0</v>
      </c>
      <c r="F7355" s="2">
        <v>1798</v>
      </c>
      <c r="G7355" s="2">
        <v>100</v>
      </c>
      <c r="H7355" s="2">
        <v>331</v>
      </c>
      <c r="I7355" s="2">
        <v>1</v>
      </c>
      <c r="J7355" s="2">
        <v>993</v>
      </c>
      <c r="K7355" s="2">
        <v>603</v>
      </c>
      <c r="L7355" s="2">
        <v>933</v>
      </c>
    </row>
    <row r="7356" spans="1:12" x14ac:dyDescent="0.25">
      <c r="A7356" s="4" t="str">
        <f>HYPERLINK("http://www.rosaceae.org/Prunus/Prunus_persica/p.persica_gdr_reftransV1_0009301","p.persica_gdr_reftransV1_0009301")</f>
        <v>p.persica_gdr_reftransV1_0009301</v>
      </c>
      <c r="B7356" s="2">
        <v>493</v>
      </c>
      <c r="C7356" s="4" t="str">
        <f>HYPERLINK("http://www.uniprot.org/uniprot/M5VLR2","M5VLR2")</f>
        <v>M5VLR2</v>
      </c>
      <c r="D7356" s="2" t="s">
        <v>1784</v>
      </c>
      <c r="E7356" s="3">
        <v>3.08E-95</v>
      </c>
      <c r="F7356" s="2">
        <v>777</v>
      </c>
      <c r="G7356" s="2">
        <v>100</v>
      </c>
      <c r="H7356" s="2">
        <v>164</v>
      </c>
      <c r="I7356" s="2">
        <v>1</v>
      </c>
      <c r="J7356" s="2">
        <v>492</v>
      </c>
      <c r="K7356" s="2">
        <v>169</v>
      </c>
      <c r="L7356" s="2">
        <v>332</v>
      </c>
    </row>
    <row r="7357" spans="1:12" x14ac:dyDescent="0.25">
      <c r="A7357" s="4" t="str">
        <f>HYPERLINK("http://www.rosaceae.org/Prunus/Prunus_persica/p.persica_gdr_reftransV1_0009651","p.persica_gdr_reftransV1_0009651")</f>
        <v>p.persica_gdr_reftransV1_0009651</v>
      </c>
      <c r="B7357" s="2">
        <v>2408</v>
      </c>
      <c r="C7357" s="4" t="str">
        <f>HYPERLINK("http://www.uniprot.org/uniprot/M5WXI3","M5WXI3")</f>
        <v>M5WXI3</v>
      </c>
      <c r="D7357" s="2" t="s">
        <v>5494</v>
      </c>
      <c r="E7357" s="3">
        <v>0</v>
      </c>
      <c r="F7357" s="2">
        <v>3235</v>
      </c>
      <c r="G7357" s="2">
        <v>100</v>
      </c>
      <c r="H7357" s="2">
        <v>630</v>
      </c>
      <c r="I7357" s="2">
        <v>374</v>
      </c>
      <c r="J7357" s="2">
        <v>2263</v>
      </c>
      <c r="K7357" s="2">
        <v>71</v>
      </c>
      <c r="L7357" s="2">
        <v>700</v>
      </c>
    </row>
    <row r="7358" spans="1:12" x14ac:dyDescent="0.25">
      <c r="A7358" s="4" t="str">
        <f>HYPERLINK("http://www.rosaceae.org/Prunus/Prunus_persica/p.persica_gdr_reftransV1_0010001","p.persica_gdr_reftransV1_0010001")</f>
        <v>p.persica_gdr_reftransV1_0010001</v>
      </c>
      <c r="B7358" s="2">
        <v>1945</v>
      </c>
      <c r="C7358" s="4" t="str">
        <f>HYPERLINK("http://www.uniprot.org/uniprot/M5XD01","M5XD01")</f>
        <v>M5XD01</v>
      </c>
      <c r="D7358" s="2" t="s">
        <v>6550</v>
      </c>
      <c r="E7358" s="3">
        <v>0</v>
      </c>
      <c r="F7358" s="2">
        <v>1461</v>
      </c>
      <c r="G7358" s="2">
        <v>100</v>
      </c>
      <c r="H7358" s="2">
        <v>270</v>
      </c>
      <c r="I7358" s="2">
        <v>540</v>
      </c>
      <c r="J7358" s="2">
        <v>1349</v>
      </c>
      <c r="K7358" s="2">
        <v>134</v>
      </c>
      <c r="L7358" s="2">
        <v>403</v>
      </c>
    </row>
    <row r="7359" spans="1:12" x14ac:dyDescent="0.25">
      <c r="A7359" s="4" t="str">
        <f>HYPERLINK("http://www.rosaceae.org/Prunus/Prunus_persica/p.persica_gdr_reftransV1_0011401","p.persica_gdr_reftransV1_0011401")</f>
        <v>p.persica_gdr_reftransV1_0011401</v>
      </c>
      <c r="B7359" s="2">
        <v>521</v>
      </c>
      <c r="C7359" s="4" t="str">
        <f>HYPERLINK("http://www.uniprot.org/uniprot/M5VP74","M5VP74")</f>
        <v>M5VP74</v>
      </c>
      <c r="D7359" s="2" t="s">
        <v>6551</v>
      </c>
      <c r="E7359" s="3">
        <v>6.5E-119</v>
      </c>
      <c r="F7359" s="2">
        <v>927</v>
      </c>
      <c r="G7359" s="2">
        <v>100</v>
      </c>
      <c r="H7359" s="2">
        <v>173</v>
      </c>
      <c r="I7359" s="2">
        <v>1</v>
      </c>
      <c r="J7359" s="2">
        <v>519</v>
      </c>
      <c r="K7359" s="2">
        <v>143</v>
      </c>
      <c r="L7359" s="2">
        <v>315</v>
      </c>
    </row>
    <row r="7360" spans="1:12" x14ac:dyDescent="0.25">
      <c r="A7360" s="4" t="str">
        <f>HYPERLINK("http://www.rosaceae.org/Prunus/Prunus_persica/p.persica_gdr_reftransV1_0012101","p.persica_gdr_reftransV1_0012101")</f>
        <v>p.persica_gdr_reftransV1_0012101</v>
      </c>
      <c r="B7360" s="2">
        <v>2089</v>
      </c>
      <c r="C7360" s="4" t="str">
        <f>HYPERLINK("http://www.uniprot.org/uniprot/M5XFH1","M5XFH1")</f>
        <v>M5XFH1</v>
      </c>
      <c r="D7360" s="2" t="s">
        <v>6552</v>
      </c>
      <c r="E7360" s="3">
        <v>0</v>
      </c>
      <c r="F7360" s="2">
        <v>1422</v>
      </c>
      <c r="G7360" s="2">
        <v>98</v>
      </c>
      <c r="H7360" s="2">
        <v>265</v>
      </c>
      <c r="I7360" s="2">
        <v>1083</v>
      </c>
      <c r="J7360" s="2">
        <v>1877</v>
      </c>
      <c r="K7360" s="2">
        <v>1</v>
      </c>
      <c r="L7360" s="2">
        <v>265</v>
      </c>
    </row>
    <row r="7361" spans="1:12" x14ac:dyDescent="0.25">
      <c r="A7361" s="4" t="str">
        <f>HYPERLINK("http://www.rosaceae.org/Prunus/Prunus_persica/p.persica_gdr_reftransV1_0012451","p.persica_gdr_reftransV1_0012451")</f>
        <v>p.persica_gdr_reftransV1_0012451</v>
      </c>
      <c r="B7361" s="2">
        <v>5342</v>
      </c>
      <c r="C7361" s="4" t="str">
        <f>HYPERLINK("http://www.uniprot.org/uniprot/M5X4H0","M5X4H0")</f>
        <v>M5X4H0</v>
      </c>
      <c r="D7361" s="2" t="s">
        <v>6553</v>
      </c>
      <c r="E7361" s="3">
        <v>0</v>
      </c>
      <c r="F7361" s="2">
        <v>4421</v>
      </c>
      <c r="G7361" s="2">
        <v>100</v>
      </c>
      <c r="H7361" s="2">
        <v>921</v>
      </c>
      <c r="I7361" s="2">
        <v>26</v>
      </c>
      <c r="J7361" s="2">
        <v>2788</v>
      </c>
      <c r="K7361" s="2">
        <v>1</v>
      </c>
      <c r="L7361" s="2">
        <v>921</v>
      </c>
    </row>
    <row r="7362" spans="1:12" x14ac:dyDescent="0.25">
      <c r="A7362" s="4" t="str">
        <f>HYPERLINK("http://www.rosaceae.org/Prunus/Prunus_persica/p.persica_gdr_reftransV1_0012801","p.persica_gdr_reftransV1_0012801")</f>
        <v>p.persica_gdr_reftransV1_0012801</v>
      </c>
      <c r="B7362" s="2">
        <v>5051</v>
      </c>
      <c r="C7362" s="4" t="str">
        <f>HYPERLINK("http://www.uniprot.org/uniprot/M5VWM8","M5VWM8")</f>
        <v>M5VWM8</v>
      </c>
      <c r="D7362" s="2" t="s">
        <v>6554</v>
      </c>
      <c r="E7362" s="3">
        <v>0</v>
      </c>
      <c r="F7362" s="2">
        <v>1797</v>
      </c>
      <c r="G7362" s="2">
        <v>100</v>
      </c>
      <c r="H7362" s="2">
        <v>344</v>
      </c>
      <c r="I7362" s="2">
        <v>3847</v>
      </c>
      <c r="J7362" s="2">
        <v>4878</v>
      </c>
      <c r="K7362" s="2">
        <v>364</v>
      </c>
      <c r="L7362" s="2">
        <v>707</v>
      </c>
    </row>
    <row r="7363" spans="1:12" x14ac:dyDescent="0.25">
      <c r="A7363" s="4" t="str">
        <f>HYPERLINK("http://www.rosaceae.org/Prunus/Prunus_persica/p.persica_gdr_reftransV1_0013851","p.persica_gdr_reftransV1_0013851")</f>
        <v>p.persica_gdr_reftransV1_0013851</v>
      </c>
      <c r="B7363" s="2">
        <v>4616</v>
      </c>
      <c r="C7363" s="4" t="str">
        <f>HYPERLINK("http://www.uniprot.org/uniprot/M5X5X3","M5X5X3")</f>
        <v>M5X5X3</v>
      </c>
      <c r="D7363" s="2" t="s">
        <v>6329</v>
      </c>
      <c r="E7363" s="3">
        <v>0</v>
      </c>
      <c r="F7363" s="2">
        <v>2617</v>
      </c>
      <c r="G7363" s="2">
        <v>100</v>
      </c>
      <c r="H7363" s="2">
        <v>569</v>
      </c>
      <c r="I7363" s="2">
        <v>610</v>
      </c>
      <c r="J7363" s="2">
        <v>2316</v>
      </c>
      <c r="K7363" s="2">
        <v>1</v>
      </c>
      <c r="L7363" s="2">
        <v>569</v>
      </c>
    </row>
    <row r="7364" spans="1:12" x14ac:dyDescent="0.25">
      <c r="A7364" s="4" t="str">
        <f>HYPERLINK("http://www.rosaceae.org/Prunus/Prunus_persica/p.persica_gdr_reftransV1_0015951","p.persica_gdr_reftransV1_0015951")</f>
        <v>p.persica_gdr_reftransV1_0015951</v>
      </c>
      <c r="B7364" s="2">
        <v>2426</v>
      </c>
      <c r="C7364" s="4" t="str">
        <f>HYPERLINK("http://www.uniprot.org/uniprot/M5VJ30","M5VJ30")</f>
        <v>M5VJ30</v>
      </c>
      <c r="D7364" s="2" t="s">
        <v>52</v>
      </c>
      <c r="E7364" s="3">
        <v>0</v>
      </c>
      <c r="F7364" s="2">
        <v>2334</v>
      </c>
      <c r="G7364" s="2">
        <v>100</v>
      </c>
      <c r="H7364" s="2">
        <v>447</v>
      </c>
      <c r="I7364" s="2">
        <v>855</v>
      </c>
      <c r="J7364" s="2">
        <v>2195</v>
      </c>
      <c r="K7364" s="2">
        <v>1</v>
      </c>
      <c r="L7364" s="2">
        <v>447</v>
      </c>
    </row>
    <row r="7365" spans="1:12" x14ac:dyDescent="0.25">
      <c r="A7365" s="4" t="str">
        <f>HYPERLINK("http://www.rosaceae.org/Prunus/Prunus_persica/p.persica_gdr_reftransV1_0017701","p.persica_gdr_reftransV1_0017701")</f>
        <v>p.persica_gdr_reftransV1_0017701</v>
      </c>
      <c r="B7365" s="2">
        <v>2340</v>
      </c>
      <c r="C7365" s="4" t="str">
        <f>HYPERLINK("http://www.uniprot.org/uniprot/M5WN10","M5WN10")</f>
        <v>M5WN10</v>
      </c>
      <c r="D7365" s="2" t="s">
        <v>6555</v>
      </c>
      <c r="E7365" s="3">
        <v>0</v>
      </c>
      <c r="F7365" s="2">
        <v>2088</v>
      </c>
      <c r="G7365" s="2">
        <v>100</v>
      </c>
      <c r="H7365" s="2">
        <v>392</v>
      </c>
      <c r="I7365" s="2">
        <v>369</v>
      </c>
      <c r="J7365" s="2">
        <v>1544</v>
      </c>
      <c r="K7365" s="2">
        <v>1</v>
      </c>
      <c r="L7365" s="2">
        <v>392</v>
      </c>
    </row>
    <row r="7366" spans="1:12" x14ac:dyDescent="0.25">
      <c r="A7366" s="4" t="str">
        <f>HYPERLINK("http://www.rosaceae.org/Prunus/Prunus_persica/p.persica_gdr_reftransV1_0018051","p.persica_gdr_reftransV1_0018051")</f>
        <v>p.persica_gdr_reftransV1_0018051</v>
      </c>
      <c r="B7366" s="2">
        <v>1625</v>
      </c>
      <c r="C7366" s="4" t="str">
        <f>HYPERLINK("http://www.uniprot.org/uniprot/M5W8B1","M5W8B1")</f>
        <v>M5W8B1</v>
      </c>
      <c r="D7366" s="2" t="s">
        <v>3212</v>
      </c>
      <c r="E7366" s="3">
        <v>7.2500000000000005E-145</v>
      </c>
      <c r="F7366" s="2">
        <v>1159</v>
      </c>
      <c r="G7366" s="2">
        <v>100</v>
      </c>
      <c r="H7366" s="2">
        <v>236</v>
      </c>
      <c r="I7366" s="2">
        <v>450</v>
      </c>
      <c r="J7366" s="2">
        <v>1157</v>
      </c>
      <c r="K7366" s="2">
        <v>47</v>
      </c>
      <c r="L7366" s="2">
        <v>282</v>
      </c>
    </row>
    <row r="7367" spans="1:12" x14ac:dyDescent="0.25">
      <c r="A7367" s="4" t="str">
        <f>HYPERLINK("http://www.rosaceae.org/Prunus/Prunus_persica/p.persica_gdr_reftransV1_0019801","p.persica_gdr_reftransV1_0019801")</f>
        <v>p.persica_gdr_reftransV1_0019801</v>
      </c>
      <c r="B7367" s="2">
        <v>1638</v>
      </c>
      <c r="C7367" s="4" t="str">
        <f>HYPERLINK("http://www.uniprot.org/uniprot/M5WH15","M5WH15")</f>
        <v>M5WH15</v>
      </c>
      <c r="D7367" s="2" t="s">
        <v>6556</v>
      </c>
      <c r="E7367" s="3">
        <v>2.7200000000000001E-128</v>
      </c>
      <c r="F7367" s="2">
        <v>992</v>
      </c>
      <c r="G7367" s="2">
        <v>98</v>
      </c>
      <c r="H7367" s="2">
        <v>212</v>
      </c>
      <c r="I7367" s="2">
        <v>832</v>
      </c>
      <c r="J7367" s="2">
        <v>1467</v>
      </c>
      <c r="K7367" s="2">
        <v>1</v>
      </c>
      <c r="L7367" s="2">
        <v>211</v>
      </c>
    </row>
    <row r="7368" spans="1:12" x14ac:dyDescent="0.25">
      <c r="A7368" s="4" t="str">
        <f>HYPERLINK("http://www.rosaceae.org/Prunus/Prunus_persica/p.persica_gdr_reftransV1_0020151","p.persica_gdr_reftransV1_0020151")</f>
        <v>p.persica_gdr_reftransV1_0020151</v>
      </c>
      <c r="B7368" s="2">
        <v>1978</v>
      </c>
      <c r="C7368" s="4" t="str">
        <f>HYPERLINK("http://www.uniprot.org/uniprot/M5WAT0","M5WAT0")</f>
        <v>M5WAT0</v>
      </c>
      <c r="D7368" s="2" t="s">
        <v>6557</v>
      </c>
      <c r="E7368" s="3">
        <v>1.7799999999999999E-100</v>
      </c>
      <c r="F7368" s="2">
        <v>811</v>
      </c>
      <c r="G7368" s="2">
        <v>99</v>
      </c>
      <c r="H7368" s="2">
        <v>154</v>
      </c>
      <c r="I7368" s="2">
        <v>439</v>
      </c>
      <c r="J7368" s="2">
        <v>900</v>
      </c>
      <c r="K7368" s="2">
        <v>41</v>
      </c>
      <c r="L7368" s="2">
        <v>194</v>
      </c>
    </row>
    <row r="7369" spans="1:12" x14ac:dyDescent="0.25">
      <c r="A7369" s="4" t="str">
        <f>HYPERLINK("http://www.rosaceae.org/Prunus/Prunus_persica/p.persica_gdr_reftransV1_0020851","p.persica_gdr_reftransV1_0020851")</f>
        <v>p.persica_gdr_reftransV1_0020851</v>
      </c>
      <c r="B7369" s="2">
        <v>1641</v>
      </c>
      <c r="C7369" s="4" t="str">
        <f>HYPERLINK("http://www.uniprot.org/uniprot/M5VYI2","M5VYI2")</f>
        <v>M5VYI2</v>
      </c>
      <c r="D7369" s="2" t="s">
        <v>6558</v>
      </c>
      <c r="E7369" s="3">
        <v>0</v>
      </c>
      <c r="F7369" s="2">
        <v>1888</v>
      </c>
      <c r="G7369" s="2">
        <v>100</v>
      </c>
      <c r="H7369" s="2">
        <v>394</v>
      </c>
      <c r="I7369" s="2">
        <v>295</v>
      </c>
      <c r="J7369" s="2">
        <v>1476</v>
      </c>
      <c r="K7369" s="2">
        <v>1</v>
      </c>
      <c r="L7369" s="2">
        <v>394</v>
      </c>
    </row>
    <row r="7370" spans="1:12" x14ac:dyDescent="0.25">
      <c r="A7370" s="4" t="str">
        <f>HYPERLINK("http://www.rosaceae.org/Prunus/Prunus_persica/p.persica_gdr_reftransV1_0021901","p.persica_gdr_reftransV1_0021901")</f>
        <v>p.persica_gdr_reftransV1_0021901</v>
      </c>
      <c r="B7370" s="2">
        <v>1837</v>
      </c>
      <c r="C7370" s="4" t="str">
        <f>HYPERLINK("http://www.uniprot.org/uniprot/M5XN01","M5XN01")</f>
        <v>M5XN01</v>
      </c>
      <c r="D7370" s="2" t="s">
        <v>6559</v>
      </c>
      <c r="E7370" s="3">
        <v>1.7199999999999999E-73</v>
      </c>
      <c r="F7370" s="2">
        <v>619</v>
      </c>
      <c r="G7370" s="2">
        <v>100</v>
      </c>
      <c r="H7370" s="2">
        <v>130</v>
      </c>
      <c r="I7370" s="2">
        <v>100</v>
      </c>
      <c r="J7370" s="2">
        <v>489</v>
      </c>
      <c r="K7370" s="2">
        <v>1</v>
      </c>
      <c r="L7370" s="2">
        <v>130</v>
      </c>
    </row>
    <row r="7371" spans="1:12" x14ac:dyDescent="0.25">
      <c r="A7371" s="4" t="str">
        <f>HYPERLINK("http://www.rosaceae.org/Prunus/Prunus_persica/p.persica_gdr_reftransV1_0024001","p.persica_gdr_reftransV1_0024001")</f>
        <v>p.persica_gdr_reftransV1_0024001</v>
      </c>
      <c r="B7371" s="2">
        <v>3645</v>
      </c>
      <c r="C7371" s="4" t="str">
        <f>HYPERLINK("http://www.uniprot.org/uniprot/M5XXE1","M5XXE1")</f>
        <v>M5XXE1</v>
      </c>
      <c r="D7371" s="2" t="s">
        <v>6560</v>
      </c>
      <c r="E7371" s="3">
        <v>0</v>
      </c>
      <c r="F7371" s="2">
        <v>2685</v>
      </c>
      <c r="G7371" s="2">
        <v>92</v>
      </c>
      <c r="H7371" s="2">
        <v>570</v>
      </c>
      <c r="I7371" s="2">
        <v>177</v>
      </c>
      <c r="J7371" s="2">
        <v>1886</v>
      </c>
      <c r="K7371" s="2">
        <v>196</v>
      </c>
      <c r="L7371" s="2">
        <v>723</v>
      </c>
    </row>
    <row r="7372" spans="1:12" x14ac:dyDescent="0.25">
      <c r="A7372" s="4" t="str">
        <f>HYPERLINK("http://www.rosaceae.org/Prunus/Prunus_persica/p.persica_gdr_reftransV1_0025051","p.persica_gdr_reftransV1_0025051")</f>
        <v>p.persica_gdr_reftransV1_0025051</v>
      </c>
      <c r="B7372" s="2">
        <v>1635</v>
      </c>
      <c r="C7372" s="4" t="str">
        <f>HYPERLINK("http://www.uniprot.org/uniprot/M5X655","M5X655")</f>
        <v>M5X655</v>
      </c>
      <c r="D7372" s="2" t="s">
        <v>6561</v>
      </c>
      <c r="E7372" s="3">
        <v>0</v>
      </c>
      <c r="F7372" s="2">
        <v>1926</v>
      </c>
      <c r="G7372" s="2">
        <v>99</v>
      </c>
      <c r="H7372" s="2">
        <v>378</v>
      </c>
      <c r="I7372" s="2">
        <v>501</v>
      </c>
      <c r="J7372" s="2">
        <v>1634</v>
      </c>
      <c r="K7372" s="2">
        <v>321</v>
      </c>
      <c r="L7372" s="2">
        <v>698</v>
      </c>
    </row>
    <row r="7373" spans="1:12" x14ac:dyDescent="0.25">
      <c r="A7373" s="4" t="str">
        <f>HYPERLINK("http://www.rosaceae.org/Prunus/Prunus_persica/p.persica_gdr_reftransV1_0025751","p.persica_gdr_reftransV1_0025751")</f>
        <v>p.persica_gdr_reftransV1_0025751</v>
      </c>
      <c r="B7373" s="2">
        <v>1678</v>
      </c>
      <c r="C7373" s="4" t="str">
        <f>HYPERLINK("http://www.uniprot.org/uniprot/M5W2G7","M5W2G7")</f>
        <v>M5W2G7</v>
      </c>
      <c r="D7373" s="2" t="s">
        <v>6562</v>
      </c>
      <c r="E7373" s="3">
        <v>1.1899999999999999E-174</v>
      </c>
      <c r="F7373" s="2">
        <v>1337</v>
      </c>
      <c r="G7373" s="2">
        <v>77</v>
      </c>
      <c r="H7373" s="2">
        <v>334</v>
      </c>
      <c r="I7373" s="2">
        <v>1</v>
      </c>
      <c r="J7373" s="2">
        <v>1002</v>
      </c>
      <c r="K7373" s="2">
        <v>33</v>
      </c>
      <c r="L7373" s="2">
        <v>330</v>
      </c>
    </row>
    <row r="7374" spans="1:12" x14ac:dyDescent="0.25">
      <c r="A7374" s="4" t="str">
        <f>HYPERLINK("http://www.rosaceae.org/Prunus/Prunus_persica/p.persica_gdr_reftransV1_0026801","p.persica_gdr_reftransV1_0026801")</f>
        <v>p.persica_gdr_reftransV1_0026801</v>
      </c>
      <c r="B7374" s="2">
        <v>2699</v>
      </c>
      <c r="C7374" s="4" t="str">
        <f>HYPERLINK("http://www.uniprot.org/uniprot/M5VJD9","M5VJD9")</f>
        <v>M5VJD9</v>
      </c>
      <c r="D7374" s="2" t="s">
        <v>6563</v>
      </c>
      <c r="E7374" s="3">
        <v>0</v>
      </c>
      <c r="F7374" s="2">
        <v>3217</v>
      </c>
      <c r="G7374" s="2">
        <v>100</v>
      </c>
      <c r="H7374" s="2">
        <v>705</v>
      </c>
      <c r="I7374" s="2">
        <v>125</v>
      </c>
      <c r="J7374" s="2">
        <v>2239</v>
      </c>
      <c r="K7374" s="2">
        <v>1</v>
      </c>
      <c r="L7374" s="2">
        <v>705</v>
      </c>
    </row>
    <row r="7375" spans="1:12" x14ac:dyDescent="0.25">
      <c r="A7375" s="4" t="str">
        <f>HYPERLINK("http://www.rosaceae.org/Prunus/Prunus_persica/p.persica_gdr_reftransV1_0030301","p.persica_gdr_reftransV1_0030301")</f>
        <v>p.persica_gdr_reftransV1_0030301</v>
      </c>
      <c r="B7375" s="2">
        <v>1641</v>
      </c>
      <c r="C7375" s="4" t="str">
        <f>HYPERLINK("http://www.uniprot.org/uniprot/M5WHN5","M5WHN5")</f>
        <v>M5WHN5</v>
      </c>
      <c r="D7375" s="2" t="s">
        <v>2078</v>
      </c>
      <c r="E7375" s="3">
        <v>0</v>
      </c>
      <c r="F7375" s="2">
        <v>1482</v>
      </c>
      <c r="G7375" s="2">
        <v>100</v>
      </c>
      <c r="H7375" s="2">
        <v>278</v>
      </c>
      <c r="I7375" s="2">
        <v>97</v>
      </c>
      <c r="J7375" s="2">
        <v>930</v>
      </c>
      <c r="K7375" s="2">
        <v>1</v>
      </c>
      <c r="L7375" s="2">
        <v>278</v>
      </c>
    </row>
    <row r="7376" spans="1:12" x14ac:dyDescent="0.25">
      <c r="A7376" s="4" t="str">
        <f>HYPERLINK("http://www.rosaceae.org/Prunus/Prunus_persica/p.persica_gdr_reftransV1_0030651","p.persica_gdr_reftransV1_0030651")</f>
        <v>p.persica_gdr_reftransV1_0030651</v>
      </c>
      <c r="B7376" s="2">
        <v>2145</v>
      </c>
      <c r="C7376" s="4" t="str">
        <f>HYPERLINK("http://www.uniprot.org/uniprot/M5XM68","M5XM68")</f>
        <v>M5XM68</v>
      </c>
      <c r="D7376" s="2" t="s">
        <v>6564</v>
      </c>
      <c r="E7376" s="3">
        <v>5.1400000000000003E-57</v>
      </c>
      <c r="F7376" s="2">
        <v>386</v>
      </c>
      <c r="G7376" s="2">
        <v>97</v>
      </c>
      <c r="H7376" s="2">
        <v>75</v>
      </c>
      <c r="I7376" s="2">
        <v>686</v>
      </c>
      <c r="J7376" s="2">
        <v>910</v>
      </c>
      <c r="K7376" s="2">
        <v>148</v>
      </c>
      <c r="L7376" s="2">
        <v>222</v>
      </c>
    </row>
    <row r="7377" spans="1:12" x14ac:dyDescent="0.25">
      <c r="A7377" s="4" t="str">
        <f>HYPERLINK("http://www.rosaceae.org/Prunus/Prunus_persica/p.persica_gdr_reftransV1_0031351","p.persica_gdr_reftransV1_0031351")</f>
        <v>p.persica_gdr_reftransV1_0031351</v>
      </c>
      <c r="B7377" s="2">
        <v>2711</v>
      </c>
      <c r="C7377" s="4" t="str">
        <f>HYPERLINK("http://www.uniprot.org/uniprot/M5WWM5","M5WWM5")</f>
        <v>M5WWM5</v>
      </c>
      <c r="D7377" s="2" t="s">
        <v>6565</v>
      </c>
      <c r="E7377" s="3">
        <v>0</v>
      </c>
      <c r="F7377" s="2">
        <v>3702</v>
      </c>
      <c r="G7377" s="2">
        <v>100</v>
      </c>
      <c r="H7377" s="2">
        <v>706</v>
      </c>
      <c r="I7377" s="2">
        <v>368</v>
      </c>
      <c r="J7377" s="2">
        <v>2485</v>
      </c>
      <c r="K7377" s="2">
        <v>1</v>
      </c>
      <c r="L7377" s="2">
        <v>706</v>
      </c>
    </row>
    <row r="7378" spans="1:12" x14ac:dyDescent="0.25">
      <c r="A7378" s="4" t="str">
        <f>HYPERLINK("http://www.rosaceae.org/Prunus/Prunus_persica/p.persica_gdr_reftransV1_0032051","p.persica_gdr_reftransV1_0032051")</f>
        <v>p.persica_gdr_reftransV1_0032051</v>
      </c>
      <c r="B7378" s="2">
        <v>919</v>
      </c>
      <c r="C7378" s="4" t="str">
        <f>HYPERLINK("http://www.uniprot.org/uniprot/M5WRP5","M5WRP5")</f>
        <v>M5WRP5</v>
      </c>
      <c r="D7378" s="2" t="s">
        <v>6566</v>
      </c>
      <c r="E7378" s="3">
        <v>7.5000000000000007E-43</v>
      </c>
      <c r="F7378" s="2">
        <v>390</v>
      </c>
      <c r="G7378" s="2">
        <v>56</v>
      </c>
      <c r="H7378" s="2">
        <v>171</v>
      </c>
      <c r="I7378" s="2">
        <v>167</v>
      </c>
      <c r="J7378" s="2">
        <v>670</v>
      </c>
      <c r="K7378" s="2">
        <v>137</v>
      </c>
      <c r="L7378" s="2">
        <v>307</v>
      </c>
    </row>
    <row r="7379" spans="1:12" x14ac:dyDescent="0.25">
      <c r="A7379" s="4" t="str">
        <f>HYPERLINK("http://www.rosaceae.org/Prunus/Prunus_persica/p.persica_gdr_reftransV1_0033451","p.persica_gdr_reftransV1_0033451")</f>
        <v>p.persica_gdr_reftransV1_0033451</v>
      </c>
      <c r="B7379" s="2">
        <v>761</v>
      </c>
      <c r="C7379" s="4" t="str">
        <f>HYPERLINK("http://www.uniprot.org/uniprot/M5W4V4","M5W4V4")</f>
        <v>M5W4V4</v>
      </c>
      <c r="D7379" s="2" t="s">
        <v>6567</v>
      </c>
      <c r="E7379" s="3">
        <v>7.7599999999999998E-153</v>
      </c>
      <c r="F7379" s="2">
        <v>1121</v>
      </c>
      <c r="G7379" s="2">
        <v>100</v>
      </c>
      <c r="H7379" s="2">
        <v>207</v>
      </c>
      <c r="I7379" s="2">
        <v>85</v>
      </c>
      <c r="J7379" s="2">
        <v>705</v>
      </c>
      <c r="K7379" s="2">
        <v>1</v>
      </c>
      <c r="L7379" s="2">
        <v>207</v>
      </c>
    </row>
    <row r="7380" spans="1:12" x14ac:dyDescent="0.25">
      <c r="A7380" s="4" t="str">
        <f>HYPERLINK("http://www.rosaceae.org/Prunus/Prunus_persica/p.persica_gdr_reftransV1_0035551","p.persica_gdr_reftransV1_0035551")</f>
        <v>p.persica_gdr_reftransV1_0035551</v>
      </c>
      <c r="B7380" s="2">
        <v>1631</v>
      </c>
      <c r="C7380" s="4" t="str">
        <f>HYPERLINK("http://www.uniprot.org/uniprot/M5XWS5","M5XWS5")</f>
        <v>M5XWS5</v>
      </c>
      <c r="D7380" s="2" t="s">
        <v>6568</v>
      </c>
      <c r="E7380" s="3">
        <v>0</v>
      </c>
      <c r="F7380" s="2">
        <v>1485</v>
      </c>
      <c r="G7380" s="2">
        <v>97</v>
      </c>
      <c r="H7380" s="2">
        <v>397</v>
      </c>
      <c r="I7380" s="2">
        <v>272</v>
      </c>
      <c r="J7380" s="2">
        <v>1462</v>
      </c>
      <c r="K7380" s="2">
        <v>40</v>
      </c>
      <c r="L7380" s="2">
        <v>423</v>
      </c>
    </row>
    <row r="7381" spans="1:12" x14ac:dyDescent="0.25">
      <c r="A7381" s="4" t="str">
        <f>HYPERLINK("http://www.rosaceae.org/Prunus/Prunus_persica/p.persica_gdr_reftransV1_0036951","p.persica_gdr_reftransV1_0036951")</f>
        <v>p.persica_gdr_reftransV1_0036951</v>
      </c>
      <c r="B7381" s="2">
        <v>2190</v>
      </c>
      <c r="C7381" s="4" t="str">
        <f>HYPERLINK("http://www.uniprot.org/uniprot/M5XRH0","M5XRH0")</f>
        <v>M5XRH0</v>
      </c>
      <c r="D7381" s="2" t="s">
        <v>6569</v>
      </c>
      <c r="E7381" s="3">
        <v>1.3800000000000001E-103</v>
      </c>
      <c r="F7381" s="2">
        <v>850</v>
      </c>
      <c r="G7381" s="2">
        <v>100</v>
      </c>
      <c r="H7381" s="2">
        <v>160</v>
      </c>
      <c r="I7381" s="2">
        <v>1501</v>
      </c>
      <c r="J7381" s="2">
        <v>1980</v>
      </c>
      <c r="K7381" s="2">
        <v>1</v>
      </c>
      <c r="L7381" s="2">
        <v>160</v>
      </c>
    </row>
    <row r="7382" spans="1:12" x14ac:dyDescent="0.25">
      <c r="A7382" s="4" t="str">
        <f>HYPERLINK("http://www.rosaceae.org/Prunus/Prunus_persica/p.persica_gdr_reftransV1_0037651","p.persica_gdr_reftransV1_0037651")</f>
        <v>p.persica_gdr_reftransV1_0037651</v>
      </c>
      <c r="B7382" s="2">
        <v>890</v>
      </c>
      <c r="C7382" s="4" t="str">
        <f>HYPERLINK("http://www.uniprot.org/uniprot/G7I8Y6","G7I8Y6")</f>
        <v>G7I8Y6</v>
      </c>
      <c r="D7382" s="2" t="s">
        <v>6570</v>
      </c>
      <c r="E7382" s="3">
        <v>5.47E-8</v>
      </c>
      <c r="F7382" s="2">
        <v>149</v>
      </c>
      <c r="G7382" s="2">
        <v>50</v>
      </c>
      <c r="H7382" s="2">
        <v>60</v>
      </c>
      <c r="I7382" s="2">
        <v>102</v>
      </c>
      <c r="J7382" s="2">
        <v>275</v>
      </c>
      <c r="K7382" s="2">
        <v>1</v>
      </c>
      <c r="L7382" s="2">
        <v>60</v>
      </c>
    </row>
    <row r="7383" spans="1:12" x14ac:dyDescent="0.25">
      <c r="A7383" s="4" t="str">
        <f>HYPERLINK("http://www.rosaceae.org/Prunus/Prunus_persica/p.persica_gdr_reftransV1_0040101","p.persica_gdr_reftransV1_0040101")</f>
        <v>p.persica_gdr_reftransV1_0040101</v>
      </c>
      <c r="B7383" s="2">
        <v>3675</v>
      </c>
      <c r="C7383" s="4" t="str">
        <f>HYPERLINK("http://www.uniprot.org/uniprot/M5VX50","M5VX50")</f>
        <v>M5VX50</v>
      </c>
      <c r="D7383" s="2" t="s">
        <v>6571</v>
      </c>
      <c r="E7383" s="3">
        <v>0</v>
      </c>
      <c r="F7383" s="2">
        <v>4513</v>
      </c>
      <c r="G7383" s="2">
        <v>100</v>
      </c>
      <c r="H7383" s="2">
        <v>924</v>
      </c>
      <c r="I7383" s="2">
        <v>206</v>
      </c>
      <c r="J7383" s="2">
        <v>2977</v>
      </c>
      <c r="K7383" s="2">
        <v>1</v>
      </c>
      <c r="L7383" s="2">
        <v>924</v>
      </c>
    </row>
    <row r="7384" spans="1:12" x14ac:dyDescent="0.25">
      <c r="A7384" s="4" t="str">
        <f>HYPERLINK("http://www.rosaceae.org/Prunus/Prunus_persica/p.persica_gdr_reftransV1_0040801","p.persica_gdr_reftransV1_0040801")</f>
        <v>p.persica_gdr_reftransV1_0040801</v>
      </c>
      <c r="B7384" s="2">
        <v>1103</v>
      </c>
      <c r="C7384" s="4" t="str">
        <f>HYPERLINK("http://www.uniprot.org/uniprot/M5WP60","M5WP60")</f>
        <v>M5WP60</v>
      </c>
      <c r="D7384" s="2" t="s">
        <v>6572</v>
      </c>
      <c r="E7384" s="3">
        <v>1.4299999999999999E-178</v>
      </c>
      <c r="F7384" s="2">
        <v>1309</v>
      </c>
      <c r="G7384" s="2">
        <v>100</v>
      </c>
      <c r="H7384" s="2">
        <v>249</v>
      </c>
      <c r="I7384" s="2">
        <v>48</v>
      </c>
      <c r="J7384" s="2">
        <v>794</v>
      </c>
      <c r="K7384" s="2">
        <v>1</v>
      </c>
      <c r="L7384" s="2">
        <v>249</v>
      </c>
    </row>
    <row r="7385" spans="1:12" x14ac:dyDescent="0.25">
      <c r="A7385" s="4" t="str">
        <f>HYPERLINK("http://www.rosaceae.org/Prunus/Prunus_persica/p.persica_gdr_reftransV1_0041851","p.persica_gdr_reftransV1_0041851")</f>
        <v>p.persica_gdr_reftransV1_0041851</v>
      </c>
      <c r="B7385" s="2">
        <v>1680</v>
      </c>
      <c r="C7385" s="4" t="str">
        <f>HYPERLINK("http://www.uniprot.org/uniprot/M5VKU9","M5VKU9")</f>
        <v>M5VKU9</v>
      </c>
      <c r="D7385" s="2" t="s">
        <v>6573</v>
      </c>
      <c r="E7385" s="3">
        <v>0</v>
      </c>
      <c r="F7385" s="2">
        <v>1475</v>
      </c>
      <c r="G7385" s="2">
        <v>100</v>
      </c>
      <c r="H7385" s="2">
        <v>276</v>
      </c>
      <c r="I7385" s="2">
        <v>562</v>
      </c>
      <c r="J7385" s="2">
        <v>1389</v>
      </c>
      <c r="K7385" s="2">
        <v>1</v>
      </c>
      <c r="L7385" s="2">
        <v>276</v>
      </c>
    </row>
    <row r="7386" spans="1:12" x14ac:dyDescent="0.25">
      <c r="A7386" s="4" t="str">
        <f>HYPERLINK("http://www.rosaceae.org/Prunus/Prunus_persica/p.persica_gdr_reftransV1_0042901","p.persica_gdr_reftransV1_0042901")</f>
        <v>p.persica_gdr_reftransV1_0042901</v>
      </c>
      <c r="B7386" s="2">
        <v>2194</v>
      </c>
      <c r="C7386" s="4" t="str">
        <f>HYPERLINK("http://www.uniprot.org/uniprot/M5WCH1","M5WCH1")</f>
        <v>M5WCH1</v>
      </c>
      <c r="D7386" s="2" t="s">
        <v>6574</v>
      </c>
      <c r="E7386" s="3">
        <v>1.07E-73</v>
      </c>
      <c r="F7386" s="2">
        <v>638</v>
      </c>
      <c r="G7386" s="2">
        <v>100</v>
      </c>
      <c r="H7386" s="2">
        <v>120</v>
      </c>
      <c r="I7386" s="2">
        <v>1712</v>
      </c>
      <c r="J7386" s="2">
        <v>2071</v>
      </c>
      <c r="K7386" s="2">
        <v>1</v>
      </c>
      <c r="L7386" s="2">
        <v>120</v>
      </c>
    </row>
    <row r="7387" spans="1:12" x14ac:dyDescent="0.25">
      <c r="A7387" s="4" t="str">
        <f>HYPERLINK("http://www.rosaceae.org/Prunus/Prunus_persica/p.persica_gdr_reftransV1_0043251","p.persica_gdr_reftransV1_0043251")</f>
        <v>p.persica_gdr_reftransV1_0043251</v>
      </c>
      <c r="B7387" s="2">
        <v>781</v>
      </c>
      <c r="C7387" s="4" t="str">
        <f>HYPERLINK("http://www.uniprot.org/uniprot/M5XQ70","M5XQ70")</f>
        <v>M5XQ70</v>
      </c>
      <c r="D7387" s="2" t="s">
        <v>6575</v>
      </c>
      <c r="E7387" s="3">
        <v>1.3299999999999999E-167</v>
      </c>
      <c r="F7387" s="2">
        <v>1309</v>
      </c>
      <c r="G7387" s="2">
        <v>100</v>
      </c>
      <c r="H7387" s="2">
        <v>260</v>
      </c>
      <c r="I7387" s="2">
        <v>1</v>
      </c>
      <c r="J7387" s="2">
        <v>780</v>
      </c>
      <c r="K7387" s="2">
        <v>353</v>
      </c>
      <c r="L7387" s="2">
        <v>612</v>
      </c>
    </row>
    <row r="7388" spans="1:12" x14ac:dyDescent="0.25">
      <c r="A7388" s="4" t="str">
        <f>HYPERLINK("http://www.rosaceae.org/Prunus/Prunus_persica/p.persica_gdr_reftransV1_0043951","p.persica_gdr_reftransV1_0043951")</f>
        <v>p.persica_gdr_reftransV1_0043951</v>
      </c>
      <c r="B7388" s="2">
        <v>379</v>
      </c>
      <c r="C7388" s="4" t="str">
        <f>HYPERLINK("http://www.uniprot.org/uniprot/M5W2W5","M5W2W5")</f>
        <v>M5W2W5</v>
      </c>
      <c r="D7388" s="2" t="s">
        <v>6576</v>
      </c>
      <c r="E7388" s="3">
        <v>7.7799999999999993E-65</v>
      </c>
      <c r="F7388" s="2">
        <v>540</v>
      </c>
      <c r="G7388" s="2">
        <v>100</v>
      </c>
      <c r="H7388" s="2">
        <v>103</v>
      </c>
      <c r="I7388" s="2">
        <v>2</v>
      </c>
      <c r="J7388" s="2">
        <v>310</v>
      </c>
      <c r="K7388" s="2">
        <v>1</v>
      </c>
      <c r="L7388" s="2">
        <v>103</v>
      </c>
    </row>
    <row r="7389" spans="1:12" x14ac:dyDescent="0.25">
      <c r="A7389" s="4" t="str">
        <f>HYPERLINK("http://www.rosaceae.org/Prunus/Prunus_persica/p.persica_gdr_reftransV1_0044651","p.persica_gdr_reftransV1_0044651")</f>
        <v>p.persica_gdr_reftransV1_0044651</v>
      </c>
      <c r="B7389" s="2">
        <v>1123</v>
      </c>
      <c r="C7389" s="4" t="str">
        <f>HYPERLINK("http://www.uniprot.org/uniprot/M5WCB5","M5WCB5")</f>
        <v>M5WCB5</v>
      </c>
      <c r="D7389" s="2" t="s">
        <v>2012</v>
      </c>
      <c r="E7389" s="3">
        <v>0</v>
      </c>
      <c r="F7389" s="2">
        <v>1739</v>
      </c>
      <c r="G7389" s="2">
        <v>100</v>
      </c>
      <c r="H7389" s="2">
        <v>373</v>
      </c>
      <c r="I7389" s="2">
        <v>3</v>
      </c>
      <c r="J7389" s="2">
        <v>1121</v>
      </c>
      <c r="K7389" s="2">
        <v>327</v>
      </c>
      <c r="L7389" s="2">
        <v>699</v>
      </c>
    </row>
    <row r="7390" spans="1:12" x14ac:dyDescent="0.25">
      <c r="A7390" s="4" t="str">
        <f>HYPERLINK("http://www.rosaceae.org/Prunus/Prunus_persica/p.persica_gdr_reftransV1_0045001","p.persica_gdr_reftransV1_0045001")</f>
        <v>p.persica_gdr_reftransV1_0045001</v>
      </c>
      <c r="B7390" s="2">
        <v>1583</v>
      </c>
      <c r="C7390" s="4" t="str">
        <f>HYPERLINK("http://www.uniprot.org/uniprot/H6U9S9","H6U9S9")</f>
        <v>H6U9S9</v>
      </c>
      <c r="D7390" s="2" t="s">
        <v>6577</v>
      </c>
      <c r="E7390" s="3">
        <v>0</v>
      </c>
      <c r="F7390" s="2">
        <v>2130</v>
      </c>
      <c r="G7390" s="2">
        <v>92</v>
      </c>
      <c r="H7390" s="2">
        <v>508</v>
      </c>
      <c r="I7390" s="2">
        <v>55</v>
      </c>
      <c r="J7390" s="2">
        <v>1578</v>
      </c>
      <c r="K7390" s="2">
        <v>7</v>
      </c>
      <c r="L7390" s="2">
        <v>514</v>
      </c>
    </row>
    <row r="7391" spans="1:12" x14ac:dyDescent="0.25">
      <c r="A7391" s="4" t="str">
        <f>HYPERLINK("http://www.rosaceae.org/Prunus/Prunus_persica/p.persica_gdr_reftransV1_0045351","p.persica_gdr_reftransV1_0045351")</f>
        <v>p.persica_gdr_reftransV1_0045351</v>
      </c>
      <c r="B7391" s="2">
        <v>1667</v>
      </c>
      <c r="C7391" s="4" t="str">
        <f>HYPERLINK("http://www.uniprot.org/uniprot/M5X5H7","M5X5H7")</f>
        <v>M5X5H7</v>
      </c>
      <c r="D7391" s="2" t="s">
        <v>6578</v>
      </c>
      <c r="E7391" s="3">
        <v>0</v>
      </c>
      <c r="F7391" s="2">
        <v>1689</v>
      </c>
      <c r="G7391" s="2">
        <v>100</v>
      </c>
      <c r="H7391" s="2">
        <v>363</v>
      </c>
      <c r="I7391" s="2">
        <v>250</v>
      </c>
      <c r="J7391" s="2">
        <v>1338</v>
      </c>
      <c r="K7391" s="2">
        <v>1</v>
      </c>
      <c r="L7391" s="2">
        <v>363</v>
      </c>
    </row>
    <row r="7392" spans="1:12" x14ac:dyDescent="0.25">
      <c r="A7392" s="4" t="str">
        <f>HYPERLINK("http://www.rosaceae.org/Prunus/Prunus_persica/p.persica_gdr_reftransV1_0045701","p.persica_gdr_reftransV1_0045701")</f>
        <v>p.persica_gdr_reftransV1_0045701</v>
      </c>
      <c r="B7392" s="2">
        <v>2619</v>
      </c>
      <c r="C7392" s="4" t="str">
        <f>HYPERLINK("http://www.uniprot.org/uniprot/M5W7F9","M5W7F9")</f>
        <v>M5W7F9</v>
      </c>
      <c r="D7392" s="2" t="s">
        <v>6579</v>
      </c>
      <c r="E7392" s="3">
        <v>0</v>
      </c>
      <c r="F7392" s="2">
        <v>3204</v>
      </c>
      <c r="G7392" s="2">
        <v>100</v>
      </c>
      <c r="H7392" s="2">
        <v>628</v>
      </c>
      <c r="I7392" s="2">
        <v>253</v>
      </c>
      <c r="J7392" s="2">
        <v>2136</v>
      </c>
      <c r="K7392" s="2">
        <v>1</v>
      </c>
      <c r="L7392" s="2">
        <v>628</v>
      </c>
    </row>
    <row r="7393" spans="1:12" x14ac:dyDescent="0.25">
      <c r="A7393" s="4" t="str">
        <f>HYPERLINK("http://www.rosaceae.org/Prunus/Prunus_persica/p.persica_gdr_reftransV1_0046051","p.persica_gdr_reftransV1_0046051")</f>
        <v>p.persica_gdr_reftransV1_0046051</v>
      </c>
      <c r="B7393" s="2">
        <v>3169</v>
      </c>
      <c r="C7393" s="4" t="str">
        <f>HYPERLINK("http://www.uniprot.org/uniprot/M5VGN0","M5VGN0")</f>
        <v>M5VGN0</v>
      </c>
      <c r="D7393" s="2" t="s">
        <v>6580</v>
      </c>
      <c r="E7393" s="3">
        <v>0</v>
      </c>
      <c r="F7393" s="2">
        <v>4287</v>
      </c>
      <c r="G7393" s="2">
        <v>100</v>
      </c>
      <c r="H7393" s="2">
        <v>892</v>
      </c>
      <c r="I7393" s="2">
        <v>423</v>
      </c>
      <c r="J7393" s="2">
        <v>3098</v>
      </c>
      <c r="K7393" s="2">
        <v>1</v>
      </c>
      <c r="L7393" s="2">
        <v>892</v>
      </c>
    </row>
    <row r="7394" spans="1:12" x14ac:dyDescent="0.25">
      <c r="A7394" s="4" t="str">
        <f>HYPERLINK("http://www.rosaceae.org/Prunus/Prunus_persica/p.persica_gdr_reftransV1_0047101","p.persica_gdr_reftransV1_0047101")</f>
        <v>p.persica_gdr_reftransV1_0047101</v>
      </c>
      <c r="B7394" s="2">
        <v>686</v>
      </c>
      <c r="C7394" s="4" t="str">
        <f>HYPERLINK("http://www.uniprot.org/uniprot/M5WRC2","M5WRC2")</f>
        <v>M5WRC2</v>
      </c>
      <c r="D7394" s="2" t="s">
        <v>6581</v>
      </c>
      <c r="E7394" s="3">
        <v>1.26E-41</v>
      </c>
      <c r="F7394" s="2">
        <v>375</v>
      </c>
      <c r="G7394" s="2">
        <v>92</v>
      </c>
      <c r="H7394" s="2">
        <v>118</v>
      </c>
      <c r="I7394" s="2">
        <v>175</v>
      </c>
      <c r="J7394" s="2">
        <v>528</v>
      </c>
      <c r="K7394" s="2">
        <v>1</v>
      </c>
      <c r="L7394" s="2">
        <v>118</v>
      </c>
    </row>
    <row r="7395" spans="1:12" x14ac:dyDescent="0.25">
      <c r="A7395" s="4" t="str">
        <f>HYPERLINK("http://www.rosaceae.org/Prunus/Prunus_persica/p.persica_gdr_reftransV1_0047451","p.persica_gdr_reftransV1_0047451")</f>
        <v>p.persica_gdr_reftransV1_0047451</v>
      </c>
      <c r="B7395" s="2">
        <v>1482</v>
      </c>
      <c r="C7395" s="4" t="str">
        <f>HYPERLINK("http://www.uniprot.org/uniprot/M5XJX8","M5XJX8")</f>
        <v>M5XJX8</v>
      </c>
      <c r="D7395" s="2" t="s">
        <v>6063</v>
      </c>
      <c r="E7395" s="3">
        <v>0</v>
      </c>
      <c r="F7395" s="2">
        <v>2105</v>
      </c>
      <c r="G7395" s="2">
        <v>100</v>
      </c>
      <c r="H7395" s="2">
        <v>427</v>
      </c>
      <c r="I7395" s="2">
        <v>3</v>
      </c>
      <c r="J7395" s="2">
        <v>1283</v>
      </c>
      <c r="K7395" s="2">
        <v>273</v>
      </c>
      <c r="L7395" s="2">
        <v>699</v>
      </c>
    </row>
    <row r="7396" spans="1:12" x14ac:dyDescent="0.25">
      <c r="A7396" s="4" t="str">
        <f>HYPERLINK("http://www.rosaceae.org/Prunus/Prunus_persica/p.persica_gdr_reftransV1_0047801","p.persica_gdr_reftransV1_0047801")</f>
        <v>p.persica_gdr_reftransV1_0047801</v>
      </c>
      <c r="B7396" s="2">
        <v>480</v>
      </c>
      <c r="C7396" s="4" t="str">
        <f>HYPERLINK("http://www.uniprot.org/uniprot/M5WMF7","M5WMF7")</f>
        <v>M5WMF7</v>
      </c>
      <c r="D7396" s="2" t="s">
        <v>6582</v>
      </c>
      <c r="E7396" s="3">
        <v>3.6800000000000002E-104</v>
      </c>
      <c r="F7396" s="2">
        <v>836</v>
      </c>
      <c r="G7396" s="2">
        <v>100</v>
      </c>
      <c r="H7396" s="2">
        <v>159</v>
      </c>
      <c r="I7396" s="2">
        <v>2</v>
      </c>
      <c r="J7396" s="2">
        <v>478</v>
      </c>
      <c r="K7396" s="2">
        <v>438</v>
      </c>
      <c r="L7396" s="2">
        <v>596</v>
      </c>
    </row>
    <row r="7397" spans="1:12" x14ac:dyDescent="0.25">
      <c r="A7397" s="4" t="str">
        <f>HYPERLINK("http://www.rosaceae.org/Prunus/Prunus_persica/p.persica_gdr_reftransV1_0048151","p.persica_gdr_reftransV1_0048151")</f>
        <v>p.persica_gdr_reftransV1_0048151</v>
      </c>
      <c r="B7397" s="2">
        <v>2117</v>
      </c>
      <c r="C7397" s="4" t="str">
        <f>HYPERLINK("http://www.uniprot.org/uniprot/M5WP73","M5WP73")</f>
        <v>M5WP73</v>
      </c>
      <c r="D7397" s="2" t="s">
        <v>6583</v>
      </c>
      <c r="E7397" s="3">
        <v>0</v>
      </c>
      <c r="F7397" s="2">
        <v>2832</v>
      </c>
      <c r="G7397" s="2">
        <v>100</v>
      </c>
      <c r="H7397" s="2">
        <v>526</v>
      </c>
      <c r="I7397" s="2">
        <v>349</v>
      </c>
      <c r="J7397" s="2">
        <v>1926</v>
      </c>
      <c r="K7397" s="2">
        <v>1</v>
      </c>
      <c r="L7397" s="2">
        <v>526</v>
      </c>
    </row>
    <row r="7398" spans="1:12" x14ac:dyDescent="0.25">
      <c r="A7398" s="4" t="str">
        <f>HYPERLINK("http://www.rosaceae.org/Prunus/Prunus_persica/p.persica_gdr_reftransV1_0048501","p.persica_gdr_reftransV1_0048501")</f>
        <v>p.persica_gdr_reftransV1_0048501</v>
      </c>
      <c r="B7398" s="2">
        <v>2749</v>
      </c>
      <c r="C7398" s="4" t="str">
        <f>HYPERLINK("http://www.uniprot.org/uniprot/A0A0B0NI42","A0A0B0NI42")</f>
        <v>A0A0B0NI42</v>
      </c>
      <c r="D7398" s="2" t="s">
        <v>6584</v>
      </c>
      <c r="E7398" s="3">
        <v>0</v>
      </c>
      <c r="F7398" s="2">
        <v>2279</v>
      </c>
      <c r="G7398" s="2">
        <v>80</v>
      </c>
      <c r="H7398" s="2">
        <v>585</v>
      </c>
      <c r="I7398" s="2">
        <v>703</v>
      </c>
      <c r="J7398" s="2">
        <v>2457</v>
      </c>
      <c r="K7398" s="2">
        <v>1</v>
      </c>
      <c r="L7398" s="2">
        <v>580</v>
      </c>
    </row>
    <row r="7399" spans="1:12" x14ac:dyDescent="0.25">
      <c r="A7399" s="4" t="str">
        <f>HYPERLINK("http://www.rosaceae.org/Prunus/Prunus_persica/p.persica_gdr_reftransV1_0048851","p.persica_gdr_reftransV1_0048851")</f>
        <v>p.persica_gdr_reftransV1_0048851</v>
      </c>
      <c r="B7399" s="2">
        <v>944</v>
      </c>
      <c r="C7399" s="4" t="str">
        <f>HYPERLINK("http://www.uniprot.org/uniprot/M5W6F2","M5W6F2")</f>
        <v>M5W6F2</v>
      </c>
      <c r="D7399" s="2" t="s">
        <v>4223</v>
      </c>
      <c r="E7399" s="3">
        <v>1.4900000000000001E-165</v>
      </c>
      <c r="F7399" s="2">
        <v>1263</v>
      </c>
      <c r="G7399" s="2">
        <v>99</v>
      </c>
      <c r="H7399" s="2">
        <v>240</v>
      </c>
      <c r="I7399" s="2">
        <v>223</v>
      </c>
      <c r="J7399" s="2">
        <v>942</v>
      </c>
      <c r="K7399" s="2">
        <v>46</v>
      </c>
      <c r="L7399" s="2">
        <v>285</v>
      </c>
    </row>
    <row r="7400" spans="1:12" x14ac:dyDescent="0.25">
      <c r="A7400" s="4" t="str">
        <f>HYPERLINK("http://www.rosaceae.org/Prunus/Prunus_persica/p.persica_gdr_reftransV1_0049201","p.persica_gdr_reftransV1_0049201")</f>
        <v>p.persica_gdr_reftransV1_0049201</v>
      </c>
      <c r="B7400" s="2">
        <v>1628</v>
      </c>
      <c r="C7400" s="4" t="str">
        <f>HYPERLINK("http://www.uniprot.org/uniprot/M5XUK2","M5XUK2")</f>
        <v>M5XUK2</v>
      </c>
      <c r="D7400" s="2" t="s">
        <v>6585</v>
      </c>
      <c r="E7400" s="3">
        <v>0</v>
      </c>
      <c r="F7400" s="2">
        <v>1834</v>
      </c>
      <c r="G7400" s="2">
        <v>77</v>
      </c>
      <c r="H7400" s="2">
        <v>450</v>
      </c>
      <c r="I7400" s="2">
        <v>40</v>
      </c>
      <c r="J7400" s="2">
        <v>1383</v>
      </c>
      <c r="K7400" s="2">
        <v>1</v>
      </c>
      <c r="L7400" s="2">
        <v>449</v>
      </c>
    </row>
    <row r="7401" spans="1:12" x14ac:dyDescent="0.25">
      <c r="A7401" s="4" t="str">
        <f>HYPERLINK("http://www.rosaceae.org/Prunus/Prunus_persica/p.persica_gdr_reftransV1_0000202","p.persica_gdr_reftransV1_0000202")</f>
        <v>p.persica_gdr_reftransV1_0000202</v>
      </c>
      <c r="B7401" s="2">
        <v>763</v>
      </c>
      <c r="C7401" s="4" t="str">
        <f>HYPERLINK("http://www.uniprot.org/uniprot/M5VVH0","M5VVH0")</f>
        <v>M5VVH0</v>
      </c>
      <c r="D7401" s="2" t="s">
        <v>6586</v>
      </c>
      <c r="E7401" s="3">
        <v>7.9000000000000001E-72</v>
      </c>
      <c r="F7401" s="2">
        <v>614</v>
      </c>
      <c r="G7401" s="2">
        <v>96</v>
      </c>
      <c r="H7401" s="2">
        <v>135</v>
      </c>
      <c r="I7401" s="2">
        <v>1</v>
      </c>
      <c r="J7401" s="2">
        <v>405</v>
      </c>
      <c r="K7401" s="2">
        <v>391</v>
      </c>
      <c r="L7401" s="2">
        <v>525</v>
      </c>
    </row>
    <row r="7402" spans="1:12" x14ac:dyDescent="0.25">
      <c r="A7402" s="4" t="str">
        <f>HYPERLINK("http://www.rosaceae.org/Prunus/Prunus_persica/p.persica_gdr_reftransV1_0000902","p.persica_gdr_reftransV1_0000902")</f>
        <v>p.persica_gdr_reftransV1_0000902</v>
      </c>
      <c r="B7402" s="2">
        <v>1236</v>
      </c>
      <c r="C7402" s="4" t="str">
        <f>HYPERLINK("http://www.uniprot.org/uniprot/U5GT26","U5GT26")</f>
        <v>U5GT26</v>
      </c>
      <c r="D7402" s="2" t="s">
        <v>6587</v>
      </c>
      <c r="E7402" s="3">
        <v>3.3400000000000002E-31</v>
      </c>
      <c r="F7402" s="2">
        <v>319</v>
      </c>
      <c r="G7402" s="2">
        <v>87</v>
      </c>
      <c r="H7402" s="2">
        <v>70</v>
      </c>
      <c r="I7402" s="2">
        <v>284</v>
      </c>
      <c r="J7402" s="2">
        <v>493</v>
      </c>
      <c r="K7402" s="2">
        <v>1</v>
      </c>
      <c r="L7402" s="2">
        <v>70</v>
      </c>
    </row>
    <row r="7403" spans="1:12" x14ac:dyDescent="0.25">
      <c r="A7403" s="4" t="str">
        <f>HYPERLINK("http://www.rosaceae.org/Prunus/Prunus_persica/p.persica_gdr_reftransV1_0001252","p.persica_gdr_reftransV1_0001252")</f>
        <v>p.persica_gdr_reftransV1_0001252</v>
      </c>
      <c r="B7403" s="2">
        <v>1495</v>
      </c>
      <c r="C7403" s="4" t="str">
        <f>HYPERLINK("http://www.uniprot.org/uniprot/M5WI21","M5WI21")</f>
        <v>M5WI21</v>
      </c>
      <c r="D7403" s="2" t="s">
        <v>6588</v>
      </c>
      <c r="E7403" s="3">
        <v>0</v>
      </c>
      <c r="F7403" s="2">
        <v>1644</v>
      </c>
      <c r="G7403" s="2">
        <v>100</v>
      </c>
      <c r="H7403" s="2">
        <v>302</v>
      </c>
      <c r="I7403" s="2">
        <v>129</v>
      </c>
      <c r="J7403" s="2">
        <v>1034</v>
      </c>
      <c r="K7403" s="2">
        <v>272</v>
      </c>
      <c r="L7403" s="2">
        <v>573</v>
      </c>
    </row>
    <row r="7404" spans="1:12" x14ac:dyDescent="0.25">
      <c r="A7404" s="4" t="str">
        <f>HYPERLINK("http://www.rosaceae.org/Prunus/Prunus_persica/p.persica_gdr_reftransV1_0001602","p.persica_gdr_reftransV1_0001602")</f>
        <v>p.persica_gdr_reftransV1_0001602</v>
      </c>
      <c r="B7404" s="2">
        <v>299</v>
      </c>
      <c r="C7404" s="4" t="str">
        <f>HYPERLINK("http://www.uniprot.org/uniprot/A0A0G4LIQ2","A0A0G4LIQ2")</f>
        <v>A0A0G4LIQ2</v>
      </c>
      <c r="D7404" s="2" t="s">
        <v>6589</v>
      </c>
      <c r="E7404" s="3">
        <v>2.03E-51</v>
      </c>
      <c r="F7404" s="2">
        <v>470</v>
      </c>
      <c r="G7404" s="2">
        <v>83</v>
      </c>
      <c r="H7404" s="2">
        <v>98</v>
      </c>
      <c r="I7404" s="2">
        <v>4</v>
      </c>
      <c r="J7404" s="2">
        <v>297</v>
      </c>
      <c r="K7404" s="2">
        <v>2333</v>
      </c>
      <c r="L7404" s="2">
        <v>2430</v>
      </c>
    </row>
    <row r="7405" spans="1:12" x14ac:dyDescent="0.25">
      <c r="A7405" s="4" t="str">
        <f>HYPERLINK("http://www.rosaceae.org/Prunus/Prunus_persica/p.persica_gdr_reftransV1_0002652","p.persica_gdr_reftransV1_0002652")</f>
        <v>p.persica_gdr_reftransV1_0002652</v>
      </c>
      <c r="B7405" s="2">
        <v>730</v>
      </c>
      <c r="C7405" s="4" t="str">
        <f>HYPERLINK("http://www.uniprot.org/uniprot/M5XZU2","M5XZU2")</f>
        <v>M5XZU2</v>
      </c>
      <c r="D7405" s="2" t="s">
        <v>5598</v>
      </c>
      <c r="E7405" s="3">
        <v>7.4700000000000003E-167</v>
      </c>
      <c r="F7405" s="2">
        <v>1338</v>
      </c>
      <c r="G7405" s="2">
        <v>100</v>
      </c>
      <c r="H7405" s="2">
        <v>242</v>
      </c>
      <c r="I7405" s="2">
        <v>3</v>
      </c>
      <c r="J7405" s="2">
        <v>728</v>
      </c>
      <c r="K7405" s="2">
        <v>201</v>
      </c>
      <c r="L7405" s="2">
        <v>442</v>
      </c>
    </row>
    <row r="7406" spans="1:12" x14ac:dyDescent="0.25">
      <c r="A7406" s="4" t="str">
        <f>HYPERLINK("http://www.rosaceae.org/Prunus/Prunus_persica/p.persica_gdr_reftransV1_0003002","p.persica_gdr_reftransV1_0003002")</f>
        <v>p.persica_gdr_reftransV1_0003002</v>
      </c>
      <c r="B7406" s="2">
        <v>858</v>
      </c>
      <c r="C7406" s="4" t="str">
        <f>HYPERLINK("http://www.uniprot.org/uniprot/M5WCB5","M5WCB5")</f>
        <v>M5WCB5</v>
      </c>
      <c r="D7406" s="2" t="s">
        <v>2012</v>
      </c>
      <c r="E7406" s="3">
        <v>0</v>
      </c>
      <c r="F7406" s="2">
        <v>1446</v>
      </c>
      <c r="G7406" s="2">
        <v>100</v>
      </c>
      <c r="H7406" s="2">
        <v>285</v>
      </c>
      <c r="I7406" s="2">
        <v>2</v>
      </c>
      <c r="J7406" s="2">
        <v>856</v>
      </c>
      <c r="K7406" s="2">
        <v>295</v>
      </c>
      <c r="L7406" s="2">
        <v>579</v>
      </c>
    </row>
    <row r="7407" spans="1:12" x14ac:dyDescent="0.25">
      <c r="A7407" s="4" t="str">
        <f>HYPERLINK("http://www.rosaceae.org/Prunus/Prunus_persica/p.persica_gdr_reftransV1_0003352","p.persica_gdr_reftransV1_0003352")</f>
        <v>p.persica_gdr_reftransV1_0003352</v>
      </c>
      <c r="B7407" s="2">
        <v>1721</v>
      </c>
      <c r="C7407" s="4" t="str">
        <f>HYPERLINK("http://www.uniprot.org/uniprot/M5WF08","M5WF08")</f>
        <v>M5WF08</v>
      </c>
      <c r="D7407" s="2" t="s">
        <v>6590</v>
      </c>
      <c r="E7407" s="3">
        <v>0</v>
      </c>
      <c r="F7407" s="2">
        <v>1473</v>
      </c>
      <c r="G7407" s="2">
        <v>88</v>
      </c>
      <c r="H7407" s="2">
        <v>320</v>
      </c>
      <c r="I7407" s="2">
        <v>2</v>
      </c>
      <c r="J7407" s="2">
        <v>901</v>
      </c>
      <c r="K7407" s="2">
        <v>78</v>
      </c>
      <c r="L7407" s="2">
        <v>381</v>
      </c>
    </row>
    <row r="7408" spans="1:12" x14ac:dyDescent="0.25">
      <c r="A7408" s="4" t="str">
        <f>HYPERLINK("http://www.rosaceae.org/Prunus/Prunus_persica/p.persica_gdr_reftransV1_0004052","p.persica_gdr_reftransV1_0004052")</f>
        <v>p.persica_gdr_reftransV1_0004052</v>
      </c>
      <c r="B7408" s="2">
        <v>2111</v>
      </c>
      <c r="C7408" s="4" t="str">
        <f>HYPERLINK("http://www.uniprot.org/uniprot/M5XMD3","M5XMD3")</f>
        <v>M5XMD3</v>
      </c>
      <c r="D7408" s="2" t="s">
        <v>6591</v>
      </c>
      <c r="E7408" s="3">
        <v>1.0799999999999999E-133</v>
      </c>
      <c r="F7408" s="2">
        <v>1042</v>
      </c>
      <c r="G7408" s="2">
        <v>100</v>
      </c>
      <c r="H7408" s="2">
        <v>238</v>
      </c>
      <c r="I7408" s="2">
        <v>1252</v>
      </c>
      <c r="J7408" s="2">
        <v>1965</v>
      </c>
      <c r="K7408" s="2">
        <v>1</v>
      </c>
      <c r="L7408" s="2">
        <v>238</v>
      </c>
    </row>
    <row r="7409" spans="1:12" x14ac:dyDescent="0.25">
      <c r="A7409" s="4" t="str">
        <f>HYPERLINK("http://www.rosaceae.org/Prunus/Prunus_persica/p.persica_gdr_reftransV1_0005802","p.persica_gdr_reftransV1_0005802")</f>
        <v>p.persica_gdr_reftransV1_0005802</v>
      </c>
      <c r="B7409" s="2">
        <v>496</v>
      </c>
      <c r="C7409" s="4" t="str">
        <f>HYPERLINK("http://www.uniprot.org/uniprot/M5W0B3","M5W0B3")</f>
        <v>M5W0B3</v>
      </c>
      <c r="D7409" s="2" t="s">
        <v>6592</v>
      </c>
      <c r="E7409" s="3">
        <v>4.1099999999999998E-10</v>
      </c>
      <c r="F7409" s="2">
        <v>154</v>
      </c>
      <c r="G7409" s="2">
        <v>53</v>
      </c>
      <c r="H7409" s="2">
        <v>79</v>
      </c>
      <c r="I7409" s="2">
        <v>167</v>
      </c>
      <c r="J7409" s="2">
        <v>403</v>
      </c>
      <c r="K7409" s="2">
        <v>1</v>
      </c>
      <c r="L7409" s="2">
        <v>68</v>
      </c>
    </row>
    <row r="7410" spans="1:12" x14ac:dyDescent="0.25">
      <c r="A7410" s="4" t="str">
        <f>HYPERLINK("http://www.rosaceae.org/Prunus/Prunus_persica/p.persica_gdr_reftransV1_0006152","p.persica_gdr_reftransV1_0006152")</f>
        <v>p.persica_gdr_reftransV1_0006152</v>
      </c>
      <c r="B7410" s="2">
        <v>525</v>
      </c>
      <c r="C7410" s="4" t="str">
        <f>HYPERLINK("http://www.uniprot.org/uniprot/M5X909","M5X909")</f>
        <v>M5X909</v>
      </c>
      <c r="D7410" s="2" t="s">
        <v>6593</v>
      </c>
      <c r="E7410" s="3">
        <v>2.7499999999999998E-28</v>
      </c>
      <c r="F7410" s="2">
        <v>277</v>
      </c>
      <c r="G7410" s="2">
        <v>100</v>
      </c>
      <c r="H7410" s="2">
        <v>73</v>
      </c>
      <c r="I7410" s="2">
        <v>87</v>
      </c>
      <c r="J7410" s="2">
        <v>305</v>
      </c>
      <c r="K7410" s="2">
        <v>1</v>
      </c>
      <c r="L7410" s="2">
        <v>73</v>
      </c>
    </row>
    <row r="7411" spans="1:12" x14ac:dyDescent="0.25">
      <c r="A7411" s="4" t="str">
        <f>HYPERLINK("http://www.rosaceae.org/Prunus/Prunus_persica/p.persica_gdr_reftransV1_0007202","p.persica_gdr_reftransV1_0007202")</f>
        <v>p.persica_gdr_reftransV1_0007202</v>
      </c>
      <c r="B7411" s="2">
        <v>814</v>
      </c>
      <c r="C7411" s="4" t="str">
        <f>HYPERLINK("http://www.uniprot.org/uniprot/M5W743","M5W743")</f>
        <v>M5W743</v>
      </c>
      <c r="D7411" s="2" t="s">
        <v>6594</v>
      </c>
      <c r="E7411" s="3">
        <v>2.92E-68</v>
      </c>
      <c r="F7411" s="2">
        <v>555</v>
      </c>
      <c r="G7411" s="2">
        <v>100</v>
      </c>
      <c r="H7411" s="2">
        <v>104</v>
      </c>
      <c r="I7411" s="2">
        <v>406</v>
      </c>
      <c r="J7411" s="2">
        <v>717</v>
      </c>
      <c r="K7411" s="2">
        <v>1</v>
      </c>
      <c r="L7411" s="2">
        <v>104</v>
      </c>
    </row>
    <row r="7412" spans="1:12" x14ac:dyDescent="0.25">
      <c r="A7412" s="4" t="str">
        <f>HYPERLINK("http://www.rosaceae.org/Prunus/Prunus_persica/p.persica_gdr_reftransV1_0007552","p.persica_gdr_reftransV1_0007552")</f>
        <v>p.persica_gdr_reftransV1_0007552</v>
      </c>
      <c r="B7412" s="2">
        <v>1101</v>
      </c>
      <c r="C7412" s="4" t="str">
        <f>HYPERLINK("http://www.uniprot.org/uniprot/A0A061FJD4","A0A061FJD4")</f>
        <v>A0A061FJD4</v>
      </c>
      <c r="D7412" s="2" t="s">
        <v>6595</v>
      </c>
      <c r="E7412" s="3">
        <v>8.63E-21</v>
      </c>
      <c r="F7412" s="2">
        <v>259</v>
      </c>
      <c r="G7412" s="2">
        <v>33</v>
      </c>
      <c r="H7412" s="2">
        <v>345</v>
      </c>
      <c r="I7412" s="2">
        <v>3</v>
      </c>
      <c r="J7412" s="2">
        <v>986</v>
      </c>
      <c r="K7412" s="2">
        <v>1</v>
      </c>
      <c r="L7412" s="2">
        <v>320</v>
      </c>
    </row>
    <row r="7413" spans="1:12" x14ac:dyDescent="0.25">
      <c r="A7413" s="4" t="str">
        <f>HYPERLINK("http://www.rosaceae.org/Prunus/Prunus_persica/p.persica_gdr_reftransV1_0007902","p.persica_gdr_reftransV1_0007902")</f>
        <v>p.persica_gdr_reftransV1_0007902</v>
      </c>
      <c r="B7413" s="2">
        <v>4524</v>
      </c>
      <c r="C7413" s="4" t="str">
        <f>HYPERLINK("http://www.uniprot.org/uniprot/M5W2E7","M5W2E7")</f>
        <v>M5W2E7</v>
      </c>
      <c r="D7413" s="2" t="s">
        <v>6596</v>
      </c>
      <c r="E7413" s="3">
        <v>0</v>
      </c>
      <c r="F7413" s="2">
        <v>2434</v>
      </c>
      <c r="G7413" s="2">
        <v>100</v>
      </c>
      <c r="H7413" s="2">
        <v>543</v>
      </c>
      <c r="I7413" s="2">
        <v>192</v>
      </c>
      <c r="J7413" s="2">
        <v>1820</v>
      </c>
      <c r="K7413" s="2">
        <v>1</v>
      </c>
      <c r="L7413" s="2">
        <v>543</v>
      </c>
    </row>
    <row r="7414" spans="1:12" x14ac:dyDescent="0.25">
      <c r="A7414" s="4" t="str">
        <f>HYPERLINK("http://www.rosaceae.org/Prunus/Prunus_persica/p.persica_gdr_reftransV1_0008602","p.persica_gdr_reftransV1_0008602")</f>
        <v>p.persica_gdr_reftransV1_0008602</v>
      </c>
      <c r="B7414" s="2">
        <v>3174</v>
      </c>
      <c r="C7414" s="4" t="str">
        <f>HYPERLINK("http://www.uniprot.org/uniprot/M5VZ71","M5VZ71")</f>
        <v>M5VZ71</v>
      </c>
      <c r="D7414" s="2" t="s">
        <v>6597</v>
      </c>
      <c r="E7414" s="3">
        <v>0</v>
      </c>
      <c r="F7414" s="2">
        <v>2068</v>
      </c>
      <c r="G7414" s="2">
        <v>100</v>
      </c>
      <c r="H7414" s="2">
        <v>388</v>
      </c>
      <c r="I7414" s="2">
        <v>374</v>
      </c>
      <c r="J7414" s="2">
        <v>1537</v>
      </c>
      <c r="K7414" s="2">
        <v>1</v>
      </c>
      <c r="L7414" s="2">
        <v>388</v>
      </c>
    </row>
    <row r="7415" spans="1:12" x14ac:dyDescent="0.25">
      <c r="A7415" s="4" t="str">
        <f>HYPERLINK("http://www.rosaceae.org/Prunus/Prunus_persica/p.persica_gdr_reftransV1_0008952","p.persica_gdr_reftransV1_0008952")</f>
        <v>p.persica_gdr_reftransV1_0008952</v>
      </c>
      <c r="B7415" s="2">
        <v>1737</v>
      </c>
      <c r="C7415" s="4" t="str">
        <f>HYPERLINK("http://www.uniprot.org/uniprot/M5XCI0","M5XCI0")</f>
        <v>M5XCI0</v>
      </c>
      <c r="D7415" s="2" t="s">
        <v>6598</v>
      </c>
      <c r="E7415" s="3">
        <v>0</v>
      </c>
      <c r="F7415" s="2">
        <v>2106</v>
      </c>
      <c r="G7415" s="2">
        <v>100</v>
      </c>
      <c r="H7415" s="2">
        <v>439</v>
      </c>
      <c r="I7415" s="2">
        <v>221</v>
      </c>
      <c r="J7415" s="2">
        <v>1537</v>
      </c>
      <c r="K7415" s="2">
        <v>1</v>
      </c>
      <c r="L7415" s="2">
        <v>439</v>
      </c>
    </row>
    <row r="7416" spans="1:12" x14ac:dyDescent="0.25">
      <c r="A7416" s="4" t="str">
        <f>HYPERLINK("http://www.rosaceae.org/Prunus/Prunus_persica/p.persica_gdr_reftransV1_0009302","p.persica_gdr_reftransV1_0009302")</f>
        <v>p.persica_gdr_reftransV1_0009302</v>
      </c>
      <c r="B7416" s="2">
        <v>983</v>
      </c>
      <c r="C7416" s="4" t="str">
        <f>HYPERLINK("http://www.uniprot.org/uniprot/M5W3S5","M5W3S5")</f>
        <v>M5W3S5</v>
      </c>
      <c r="D7416" s="2" t="s">
        <v>6599</v>
      </c>
      <c r="E7416" s="3">
        <v>4.1899999999999998E-73</v>
      </c>
      <c r="F7416" s="2">
        <v>597</v>
      </c>
      <c r="G7416" s="2">
        <v>100</v>
      </c>
      <c r="H7416" s="2">
        <v>145</v>
      </c>
      <c r="I7416" s="2">
        <v>342</v>
      </c>
      <c r="J7416" s="2">
        <v>776</v>
      </c>
      <c r="K7416" s="2">
        <v>1</v>
      </c>
      <c r="L7416" s="2">
        <v>145</v>
      </c>
    </row>
    <row r="7417" spans="1:12" x14ac:dyDescent="0.25">
      <c r="A7417" s="4" t="str">
        <f>HYPERLINK("http://www.rosaceae.org/Prunus/Prunus_persica/p.persica_gdr_reftransV1_0010002","p.persica_gdr_reftransV1_0010002")</f>
        <v>p.persica_gdr_reftransV1_0010002</v>
      </c>
      <c r="B7417" s="2">
        <v>780</v>
      </c>
      <c r="C7417" s="4" t="str">
        <f>HYPERLINK("http://www.uniprot.org/uniprot/M5WED9","M5WED9")</f>
        <v>M5WED9</v>
      </c>
      <c r="D7417" s="2" t="s">
        <v>4817</v>
      </c>
      <c r="E7417" s="3">
        <v>1.6100000000000001E-141</v>
      </c>
      <c r="F7417" s="2">
        <v>1079</v>
      </c>
      <c r="G7417" s="2">
        <v>100</v>
      </c>
      <c r="H7417" s="2">
        <v>257</v>
      </c>
      <c r="I7417" s="2">
        <v>10</v>
      </c>
      <c r="J7417" s="2">
        <v>780</v>
      </c>
      <c r="K7417" s="2">
        <v>169</v>
      </c>
      <c r="L7417" s="2">
        <v>425</v>
      </c>
    </row>
    <row r="7418" spans="1:12" x14ac:dyDescent="0.25">
      <c r="A7418" s="4" t="str">
        <f>HYPERLINK("http://www.rosaceae.org/Prunus/Prunus_persica/p.persica_gdr_reftransV1_0010352","p.persica_gdr_reftransV1_0010352")</f>
        <v>p.persica_gdr_reftransV1_0010352</v>
      </c>
      <c r="B7418" s="2">
        <v>1830</v>
      </c>
      <c r="C7418" s="4" t="str">
        <f>HYPERLINK("http://www.uniprot.org/uniprot/M5W3W9","M5W3W9")</f>
        <v>M5W3W9</v>
      </c>
      <c r="D7418" s="2" t="s">
        <v>6600</v>
      </c>
      <c r="E7418" s="3">
        <v>0</v>
      </c>
      <c r="F7418" s="2">
        <v>1867</v>
      </c>
      <c r="G7418" s="2">
        <v>100</v>
      </c>
      <c r="H7418" s="2">
        <v>354</v>
      </c>
      <c r="I7418" s="2">
        <v>496</v>
      </c>
      <c r="J7418" s="2">
        <v>1557</v>
      </c>
      <c r="K7418" s="2">
        <v>1</v>
      </c>
      <c r="L7418" s="2">
        <v>354</v>
      </c>
    </row>
    <row r="7419" spans="1:12" x14ac:dyDescent="0.25">
      <c r="A7419" s="4" t="str">
        <f>HYPERLINK("http://www.rosaceae.org/Prunus/Prunus_persica/p.persica_gdr_reftransV1_0011052","p.persica_gdr_reftransV1_0011052")</f>
        <v>p.persica_gdr_reftransV1_0011052</v>
      </c>
      <c r="B7419" s="2">
        <v>2815</v>
      </c>
      <c r="C7419" s="4" t="str">
        <f>HYPERLINK("http://www.uniprot.org/uniprot/M5WX92","M5WX92")</f>
        <v>M5WX92</v>
      </c>
      <c r="D7419" s="2" t="s">
        <v>6601</v>
      </c>
      <c r="E7419" s="3">
        <v>0</v>
      </c>
      <c r="F7419" s="2">
        <v>2508</v>
      </c>
      <c r="G7419" s="2">
        <v>100</v>
      </c>
      <c r="H7419" s="2">
        <v>488</v>
      </c>
      <c r="I7419" s="2">
        <v>968</v>
      </c>
      <c r="J7419" s="2">
        <v>2431</v>
      </c>
      <c r="K7419" s="2">
        <v>1</v>
      </c>
      <c r="L7419" s="2">
        <v>488</v>
      </c>
    </row>
    <row r="7420" spans="1:12" x14ac:dyDescent="0.25">
      <c r="A7420" s="4" t="str">
        <f>HYPERLINK("http://www.rosaceae.org/Prunus/Prunus_persica/p.persica_gdr_reftransV1_0011402","p.persica_gdr_reftransV1_0011402")</f>
        <v>p.persica_gdr_reftransV1_0011402</v>
      </c>
      <c r="B7420" s="2">
        <v>492</v>
      </c>
      <c r="C7420" s="4" t="str">
        <f>HYPERLINK("http://www.uniprot.org/uniprot/Q41255","Q41255")</f>
        <v>Q41255</v>
      </c>
      <c r="D7420" s="2" t="s">
        <v>2924</v>
      </c>
      <c r="E7420" s="3">
        <v>5.0400000000000002E-22</v>
      </c>
      <c r="F7420" s="2">
        <v>246</v>
      </c>
      <c r="G7420" s="2">
        <v>65</v>
      </c>
      <c r="H7420" s="2">
        <v>92</v>
      </c>
      <c r="I7420" s="2">
        <v>199</v>
      </c>
      <c r="J7420" s="2">
        <v>468</v>
      </c>
      <c r="K7420" s="2">
        <v>50</v>
      </c>
      <c r="L7420" s="2">
        <v>139</v>
      </c>
    </row>
    <row r="7421" spans="1:12" x14ac:dyDescent="0.25">
      <c r="A7421" s="4" t="str">
        <f>HYPERLINK("http://www.rosaceae.org/Prunus/Prunus_persica/p.persica_gdr_reftransV1_0012102","p.persica_gdr_reftransV1_0012102")</f>
        <v>p.persica_gdr_reftransV1_0012102</v>
      </c>
      <c r="B7421" s="2">
        <v>840</v>
      </c>
      <c r="C7421" s="4" t="str">
        <f>HYPERLINK("http://www.uniprot.org/uniprot/M5WAM2","M5WAM2")</f>
        <v>M5WAM2</v>
      </c>
      <c r="D7421" s="2" t="s">
        <v>6602</v>
      </c>
      <c r="E7421" s="3">
        <v>1.1299999999999999E-122</v>
      </c>
      <c r="F7421" s="2">
        <v>923</v>
      </c>
      <c r="G7421" s="2">
        <v>100</v>
      </c>
      <c r="H7421" s="2">
        <v>182</v>
      </c>
      <c r="I7421" s="2">
        <v>264</v>
      </c>
      <c r="J7421" s="2">
        <v>809</v>
      </c>
      <c r="K7421" s="2">
        <v>1</v>
      </c>
      <c r="L7421" s="2">
        <v>182</v>
      </c>
    </row>
    <row r="7422" spans="1:12" x14ac:dyDescent="0.25">
      <c r="A7422" s="4" t="str">
        <f>HYPERLINK("http://www.rosaceae.org/Prunus/Prunus_persica/p.persica_gdr_reftransV1_0013502","p.persica_gdr_reftransV1_0013502")</f>
        <v>p.persica_gdr_reftransV1_0013502</v>
      </c>
      <c r="B7422" s="2">
        <v>2600</v>
      </c>
      <c r="C7422" s="4" t="str">
        <f>HYPERLINK("http://www.uniprot.org/uniprot/M5XLN4","M5XLN4")</f>
        <v>M5XLN4</v>
      </c>
      <c r="D7422" s="2" t="s">
        <v>6603</v>
      </c>
      <c r="E7422" s="3">
        <v>0</v>
      </c>
      <c r="F7422" s="2">
        <v>2403</v>
      </c>
      <c r="G7422" s="2">
        <v>100</v>
      </c>
      <c r="H7422" s="2">
        <v>499</v>
      </c>
      <c r="I7422" s="2">
        <v>188</v>
      </c>
      <c r="J7422" s="2">
        <v>1684</v>
      </c>
      <c r="K7422" s="2">
        <v>1</v>
      </c>
      <c r="L7422" s="2">
        <v>499</v>
      </c>
    </row>
    <row r="7423" spans="1:12" x14ac:dyDescent="0.25">
      <c r="A7423" s="4" t="str">
        <f>HYPERLINK("http://www.rosaceae.org/Prunus/Prunus_persica/p.persica_gdr_reftransV1_0017702","p.persica_gdr_reftransV1_0017702")</f>
        <v>p.persica_gdr_reftransV1_0017702</v>
      </c>
      <c r="B7423" s="2">
        <v>1697</v>
      </c>
      <c r="C7423" s="4" t="str">
        <f>HYPERLINK("http://www.uniprot.org/uniprot/M5W9N4","M5W9N4")</f>
        <v>M5W9N4</v>
      </c>
      <c r="D7423" s="2" t="s">
        <v>6604</v>
      </c>
      <c r="E7423" s="3">
        <v>0</v>
      </c>
      <c r="F7423" s="2">
        <v>1750</v>
      </c>
      <c r="G7423" s="2">
        <v>100</v>
      </c>
      <c r="H7423" s="2">
        <v>347</v>
      </c>
      <c r="I7423" s="2">
        <v>305</v>
      </c>
      <c r="J7423" s="2">
        <v>1345</v>
      </c>
      <c r="K7423" s="2">
        <v>7</v>
      </c>
      <c r="L7423" s="2">
        <v>353</v>
      </c>
    </row>
    <row r="7424" spans="1:12" x14ac:dyDescent="0.25">
      <c r="A7424" s="4" t="str">
        <f>HYPERLINK("http://www.rosaceae.org/Prunus/Prunus_persica/p.persica_gdr_reftransV1_0018052","p.persica_gdr_reftransV1_0018052")</f>
        <v>p.persica_gdr_reftransV1_0018052</v>
      </c>
      <c r="B7424" s="2">
        <v>2660</v>
      </c>
      <c r="C7424" s="4" t="str">
        <f>HYPERLINK("http://www.uniprot.org/uniprot/M5VQM1","M5VQM1")</f>
        <v>M5VQM1</v>
      </c>
      <c r="D7424" s="2" t="s">
        <v>4385</v>
      </c>
      <c r="E7424" s="3">
        <v>0</v>
      </c>
      <c r="F7424" s="2">
        <v>1468</v>
      </c>
      <c r="G7424" s="2">
        <v>100</v>
      </c>
      <c r="H7424" s="2">
        <v>302</v>
      </c>
      <c r="I7424" s="2">
        <v>23</v>
      </c>
      <c r="J7424" s="2">
        <v>928</v>
      </c>
      <c r="K7424" s="2">
        <v>1</v>
      </c>
      <c r="L7424" s="2">
        <v>302</v>
      </c>
    </row>
    <row r="7425" spans="1:12" x14ac:dyDescent="0.25">
      <c r="A7425" s="4" t="str">
        <f>HYPERLINK("http://www.rosaceae.org/Prunus/Prunus_persica/p.persica_gdr_reftransV1_0020152","p.persica_gdr_reftransV1_0020152")</f>
        <v>p.persica_gdr_reftransV1_0020152</v>
      </c>
      <c r="B7425" s="2">
        <v>1504</v>
      </c>
      <c r="C7425" s="4" t="str">
        <f>HYPERLINK("http://www.uniprot.org/uniprot/M5WZK9","M5WZK9")</f>
        <v>M5WZK9</v>
      </c>
      <c r="D7425" s="2" t="s">
        <v>6605</v>
      </c>
      <c r="E7425" s="3">
        <v>0</v>
      </c>
      <c r="F7425" s="2">
        <v>1899</v>
      </c>
      <c r="G7425" s="2">
        <v>99</v>
      </c>
      <c r="H7425" s="2">
        <v>356</v>
      </c>
      <c r="I7425" s="2">
        <v>435</v>
      </c>
      <c r="J7425" s="2">
        <v>1502</v>
      </c>
      <c r="K7425" s="2">
        <v>72</v>
      </c>
      <c r="L7425" s="2">
        <v>427</v>
      </c>
    </row>
    <row r="7426" spans="1:12" x14ac:dyDescent="0.25">
      <c r="A7426" s="4" t="str">
        <f>HYPERLINK("http://www.rosaceae.org/Prunus/Prunus_persica/p.persica_gdr_reftransV1_0020502","p.persica_gdr_reftransV1_0020502")</f>
        <v>p.persica_gdr_reftransV1_0020502</v>
      </c>
      <c r="B7426" s="2">
        <v>1667</v>
      </c>
      <c r="C7426" s="4" t="str">
        <f>HYPERLINK("http://www.uniprot.org/uniprot/M5WMJ9","M5WMJ9")</f>
        <v>M5WMJ9</v>
      </c>
      <c r="D7426" s="2" t="s">
        <v>6606</v>
      </c>
      <c r="E7426" s="3">
        <v>0</v>
      </c>
      <c r="F7426" s="2">
        <v>1362</v>
      </c>
      <c r="G7426" s="2">
        <v>76</v>
      </c>
      <c r="H7426" s="2">
        <v>399</v>
      </c>
      <c r="I7426" s="2">
        <v>39</v>
      </c>
      <c r="J7426" s="2">
        <v>1235</v>
      </c>
      <c r="K7426" s="2">
        <v>1</v>
      </c>
      <c r="L7426" s="2">
        <v>333</v>
      </c>
    </row>
    <row r="7427" spans="1:12" x14ac:dyDescent="0.25">
      <c r="A7427" s="4" t="str">
        <f>HYPERLINK("http://www.rosaceae.org/Prunus/Prunus_persica/p.persica_gdr_reftransV1_0021902","p.persica_gdr_reftransV1_0021902")</f>
        <v>p.persica_gdr_reftransV1_0021902</v>
      </c>
      <c r="B7427" s="2">
        <v>459</v>
      </c>
      <c r="C7427" s="4" t="str">
        <f>HYPERLINK("http://www.uniprot.org/uniprot/M5WB51","M5WB51")</f>
        <v>M5WB51</v>
      </c>
      <c r="D7427" s="2" t="s">
        <v>3117</v>
      </c>
      <c r="E7427" s="3">
        <v>1.3500000000000001E-67</v>
      </c>
      <c r="F7427" s="2">
        <v>564</v>
      </c>
      <c r="G7427" s="2">
        <v>100</v>
      </c>
      <c r="H7427" s="2">
        <v>104</v>
      </c>
      <c r="I7427" s="2">
        <v>147</v>
      </c>
      <c r="J7427" s="2">
        <v>458</v>
      </c>
      <c r="K7427" s="2">
        <v>1</v>
      </c>
      <c r="L7427" s="2">
        <v>104</v>
      </c>
    </row>
    <row r="7428" spans="1:12" x14ac:dyDescent="0.25">
      <c r="A7428" s="4" t="str">
        <f>HYPERLINK("http://www.rosaceae.org/Prunus/Prunus_persica/p.persica_gdr_reftransV1_0022602","p.persica_gdr_reftransV1_0022602")</f>
        <v>p.persica_gdr_reftransV1_0022602</v>
      </c>
      <c r="B7428" s="2">
        <v>3463</v>
      </c>
      <c r="C7428" s="4" t="str">
        <f>HYPERLINK("http://www.uniprot.org/uniprot/M5X9G5","M5X9G5")</f>
        <v>M5X9G5</v>
      </c>
      <c r="D7428" s="2" t="s">
        <v>6607</v>
      </c>
      <c r="E7428" s="3">
        <v>5.0799999999999999E-151</v>
      </c>
      <c r="F7428" s="2">
        <v>1219</v>
      </c>
      <c r="G7428" s="2">
        <v>97</v>
      </c>
      <c r="H7428" s="2">
        <v>238</v>
      </c>
      <c r="I7428" s="2">
        <v>2349</v>
      </c>
      <c r="J7428" s="2">
        <v>3062</v>
      </c>
      <c r="K7428" s="2">
        <v>265</v>
      </c>
      <c r="L7428" s="2">
        <v>502</v>
      </c>
    </row>
    <row r="7429" spans="1:12" x14ac:dyDescent="0.25">
      <c r="A7429" s="4" t="str">
        <f>HYPERLINK("http://www.rosaceae.org/Prunus/Prunus_persica/p.persica_gdr_reftransV1_0023302","p.persica_gdr_reftransV1_0023302")</f>
        <v>p.persica_gdr_reftransV1_0023302</v>
      </c>
      <c r="B7429" s="2">
        <v>2091</v>
      </c>
      <c r="C7429" s="4" t="str">
        <f>HYPERLINK("http://www.uniprot.org/uniprot/M5XHU7","M5XHU7")</f>
        <v>M5XHU7</v>
      </c>
      <c r="D7429" s="2" t="s">
        <v>6608</v>
      </c>
      <c r="E7429" s="3">
        <v>1.22E-109</v>
      </c>
      <c r="F7429" s="2">
        <v>878</v>
      </c>
      <c r="G7429" s="2">
        <v>100</v>
      </c>
      <c r="H7429" s="2">
        <v>213</v>
      </c>
      <c r="I7429" s="2">
        <v>559</v>
      </c>
      <c r="J7429" s="2">
        <v>1197</v>
      </c>
      <c r="K7429" s="2">
        <v>1</v>
      </c>
      <c r="L7429" s="2">
        <v>213</v>
      </c>
    </row>
    <row r="7430" spans="1:12" x14ac:dyDescent="0.25">
      <c r="A7430" s="4" t="str">
        <f>HYPERLINK("http://www.rosaceae.org/Prunus/Prunus_persica/p.persica_gdr_reftransV1_0025052","p.persica_gdr_reftransV1_0025052")</f>
        <v>p.persica_gdr_reftransV1_0025052</v>
      </c>
      <c r="B7430" s="2">
        <v>3728</v>
      </c>
      <c r="C7430" s="4" t="str">
        <f>HYPERLINK("http://www.uniprot.org/uniprot/M5WT90","M5WT90")</f>
        <v>M5WT90</v>
      </c>
      <c r="D7430" s="2" t="s">
        <v>2953</v>
      </c>
      <c r="E7430" s="3">
        <v>0</v>
      </c>
      <c r="F7430" s="2">
        <v>5487</v>
      </c>
      <c r="G7430" s="2">
        <v>99</v>
      </c>
      <c r="H7430" s="2">
        <v>1142</v>
      </c>
      <c r="I7430" s="2">
        <v>301</v>
      </c>
      <c r="J7430" s="2">
        <v>3726</v>
      </c>
      <c r="K7430" s="2">
        <v>13</v>
      </c>
      <c r="L7430" s="2">
        <v>1142</v>
      </c>
    </row>
    <row r="7431" spans="1:12" x14ac:dyDescent="0.25">
      <c r="A7431" s="4" t="str">
        <f>HYPERLINK("http://www.rosaceae.org/Prunus/Prunus_persica/p.persica_gdr_reftransV1_0026102","p.persica_gdr_reftransV1_0026102")</f>
        <v>p.persica_gdr_reftransV1_0026102</v>
      </c>
      <c r="B7431" s="2">
        <v>2973</v>
      </c>
      <c r="C7431" s="4" t="str">
        <f>HYPERLINK("http://www.uniprot.org/uniprot/M5VYW2","M5VYW2")</f>
        <v>M5VYW2</v>
      </c>
      <c r="D7431" s="2" t="s">
        <v>6381</v>
      </c>
      <c r="E7431" s="3">
        <v>4.4200000000000001E-65</v>
      </c>
      <c r="F7431" s="2">
        <v>595</v>
      </c>
      <c r="G7431" s="2">
        <v>100</v>
      </c>
      <c r="H7431" s="2">
        <v>112</v>
      </c>
      <c r="I7431" s="2">
        <v>2638</v>
      </c>
      <c r="J7431" s="2">
        <v>2973</v>
      </c>
      <c r="K7431" s="2">
        <v>82</v>
      </c>
      <c r="L7431" s="2">
        <v>193</v>
      </c>
    </row>
    <row r="7432" spans="1:12" x14ac:dyDescent="0.25">
      <c r="A7432" s="4" t="str">
        <f>HYPERLINK("http://www.rosaceae.org/Prunus/Prunus_persica/p.persica_gdr_reftransV1_0026802","p.persica_gdr_reftransV1_0026802")</f>
        <v>p.persica_gdr_reftransV1_0026802</v>
      </c>
      <c r="B7432" s="2">
        <v>1189</v>
      </c>
      <c r="C7432" s="4" t="str">
        <f>HYPERLINK("http://www.uniprot.org/uniprot/M5WQJ4","M5WQJ4")</f>
        <v>M5WQJ4</v>
      </c>
      <c r="D7432" s="2" t="s">
        <v>5751</v>
      </c>
      <c r="E7432" s="3">
        <v>1.6099999999999999E-33</v>
      </c>
      <c r="F7432" s="2">
        <v>360</v>
      </c>
      <c r="G7432" s="2">
        <v>100</v>
      </c>
      <c r="H7432" s="2">
        <v>117</v>
      </c>
      <c r="I7432" s="2">
        <v>190</v>
      </c>
      <c r="J7432" s="2">
        <v>540</v>
      </c>
      <c r="K7432" s="2">
        <v>812</v>
      </c>
      <c r="L7432" s="2">
        <v>928</v>
      </c>
    </row>
    <row r="7433" spans="1:12" x14ac:dyDescent="0.25">
      <c r="A7433" s="4" t="str">
        <f>HYPERLINK("http://www.rosaceae.org/Prunus/Prunus_persica/p.persica_gdr_reftransV1_0027852","p.persica_gdr_reftransV1_0027852")</f>
        <v>p.persica_gdr_reftransV1_0027852</v>
      </c>
      <c r="B7433" s="2">
        <v>2493</v>
      </c>
      <c r="C7433" s="4" t="str">
        <f>HYPERLINK("http://www.uniprot.org/uniprot/M5XB84","M5XB84")</f>
        <v>M5XB84</v>
      </c>
      <c r="D7433" s="2" t="s">
        <v>1571</v>
      </c>
      <c r="E7433" s="3">
        <v>1.8799999999999999E-147</v>
      </c>
      <c r="F7433" s="2">
        <v>1182</v>
      </c>
      <c r="G7433" s="2">
        <v>100</v>
      </c>
      <c r="H7433" s="2">
        <v>278</v>
      </c>
      <c r="I7433" s="2">
        <v>3</v>
      </c>
      <c r="J7433" s="2">
        <v>836</v>
      </c>
      <c r="K7433" s="2">
        <v>232</v>
      </c>
      <c r="L7433" s="2">
        <v>509</v>
      </c>
    </row>
    <row r="7434" spans="1:12" x14ac:dyDescent="0.25">
      <c r="A7434" s="4" t="str">
        <f>HYPERLINK("http://www.rosaceae.org/Prunus/Prunus_persica/p.persica_gdr_reftransV1_0029602","p.persica_gdr_reftransV1_0029602")</f>
        <v>p.persica_gdr_reftransV1_0029602</v>
      </c>
      <c r="B7434" s="2">
        <v>1586</v>
      </c>
      <c r="C7434" s="4" t="str">
        <f>HYPERLINK("http://www.uniprot.org/uniprot/M5XIS0","M5XIS0")</f>
        <v>M5XIS0</v>
      </c>
      <c r="D7434" s="2" t="s">
        <v>2208</v>
      </c>
      <c r="E7434" s="3">
        <v>0</v>
      </c>
      <c r="F7434" s="2">
        <v>1626</v>
      </c>
      <c r="G7434" s="2">
        <v>100</v>
      </c>
      <c r="H7434" s="2">
        <v>420</v>
      </c>
      <c r="I7434" s="2">
        <v>58</v>
      </c>
      <c r="J7434" s="2">
        <v>1317</v>
      </c>
      <c r="K7434" s="2">
        <v>1</v>
      </c>
      <c r="L7434" s="2">
        <v>420</v>
      </c>
    </row>
    <row r="7435" spans="1:12" x14ac:dyDescent="0.25">
      <c r="A7435" s="4" t="str">
        <f>HYPERLINK("http://www.rosaceae.org/Prunus/Prunus_persica/p.persica_gdr_reftransV1_0030302","p.persica_gdr_reftransV1_0030302")</f>
        <v>p.persica_gdr_reftransV1_0030302</v>
      </c>
      <c r="B7435" s="2">
        <v>1192</v>
      </c>
      <c r="C7435" s="4" t="str">
        <f>HYPERLINK("http://www.uniprot.org/uniprot/M5VWK9","M5VWK9")</f>
        <v>M5VWK9</v>
      </c>
      <c r="D7435" s="2" t="s">
        <v>689</v>
      </c>
      <c r="E7435" s="3">
        <v>1.1299999999999999E-171</v>
      </c>
      <c r="F7435" s="2">
        <v>1303</v>
      </c>
      <c r="G7435" s="2">
        <v>98</v>
      </c>
      <c r="H7435" s="2">
        <v>303</v>
      </c>
      <c r="I7435" s="2">
        <v>293</v>
      </c>
      <c r="J7435" s="2">
        <v>1192</v>
      </c>
      <c r="K7435" s="2">
        <v>329</v>
      </c>
      <c r="L7435" s="2">
        <v>631</v>
      </c>
    </row>
    <row r="7436" spans="1:12" x14ac:dyDescent="0.25">
      <c r="A7436" s="4" t="str">
        <f>HYPERLINK("http://www.rosaceae.org/Prunus/Prunus_persica/p.persica_gdr_reftransV1_0031352","p.persica_gdr_reftransV1_0031352")</f>
        <v>p.persica_gdr_reftransV1_0031352</v>
      </c>
      <c r="B7436" s="2">
        <v>2729</v>
      </c>
      <c r="C7436" s="4" t="str">
        <f>HYPERLINK("http://www.uniprot.org/uniprot/M5XLY4","M5XLY4")</f>
        <v>M5XLY4</v>
      </c>
      <c r="D7436" s="2" t="s">
        <v>6609</v>
      </c>
      <c r="E7436" s="3">
        <v>0</v>
      </c>
      <c r="F7436" s="2">
        <v>2226</v>
      </c>
      <c r="G7436" s="2">
        <v>92</v>
      </c>
      <c r="H7436" s="2">
        <v>509</v>
      </c>
      <c r="I7436" s="2">
        <v>1203</v>
      </c>
      <c r="J7436" s="2">
        <v>2729</v>
      </c>
      <c r="K7436" s="2">
        <v>182</v>
      </c>
      <c r="L7436" s="2">
        <v>651</v>
      </c>
    </row>
    <row r="7437" spans="1:12" x14ac:dyDescent="0.25">
      <c r="A7437" s="4" t="str">
        <f>HYPERLINK("http://www.rosaceae.org/Prunus/Prunus_persica/p.persica_gdr_reftransV1_0032052","p.persica_gdr_reftransV1_0032052")</f>
        <v>p.persica_gdr_reftransV1_0032052</v>
      </c>
      <c r="B7437" s="2">
        <v>2022</v>
      </c>
      <c r="C7437" s="4" t="str">
        <f>HYPERLINK("http://www.uniprot.org/uniprot/F6HKN7","F6HKN7")</f>
        <v>F6HKN7</v>
      </c>
      <c r="D7437" s="2" t="s">
        <v>6610</v>
      </c>
      <c r="E7437" s="3">
        <v>0</v>
      </c>
      <c r="F7437" s="2">
        <v>1598</v>
      </c>
      <c r="G7437" s="2">
        <v>77</v>
      </c>
      <c r="H7437" s="2">
        <v>371</v>
      </c>
      <c r="I7437" s="2">
        <v>127</v>
      </c>
      <c r="J7437" s="2">
        <v>1233</v>
      </c>
      <c r="K7437" s="2">
        <v>136</v>
      </c>
      <c r="L7437" s="2">
        <v>506</v>
      </c>
    </row>
    <row r="7438" spans="1:12" x14ac:dyDescent="0.25">
      <c r="A7438" s="4" t="str">
        <f>HYPERLINK("http://www.rosaceae.org/Prunus/Prunus_persica/p.persica_gdr_reftransV1_0033102","p.persica_gdr_reftransV1_0033102")</f>
        <v>p.persica_gdr_reftransV1_0033102</v>
      </c>
      <c r="B7438" s="2">
        <v>2994</v>
      </c>
      <c r="C7438" s="4" t="str">
        <f>HYPERLINK("http://www.uniprot.org/uniprot/M5XVK1","M5XVK1")</f>
        <v>M5XVK1</v>
      </c>
      <c r="D7438" s="2" t="s">
        <v>6611</v>
      </c>
      <c r="E7438" s="3">
        <v>0</v>
      </c>
      <c r="F7438" s="2">
        <v>3194</v>
      </c>
      <c r="G7438" s="2">
        <v>91</v>
      </c>
      <c r="H7438" s="2">
        <v>675</v>
      </c>
      <c r="I7438" s="2">
        <v>850</v>
      </c>
      <c r="J7438" s="2">
        <v>2874</v>
      </c>
      <c r="K7438" s="2">
        <v>1</v>
      </c>
      <c r="L7438" s="2">
        <v>633</v>
      </c>
    </row>
    <row r="7439" spans="1:12" x14ac:dyDescent="0.25">
      <c r="A7439" s="4" t="str">
        <f>HYPERLINK("http://www.rosaceae.org/Prunus/Prunus_persica/p.persica_gdr_reftransV1_0033452","p.persica_gdr_reftransV1_0033452")</f>
        <v>p.persica_gdr_reftransV1_0033452</v>
      </c>
      <c r="B7439" s="2">
        <v>1503</v>
      </c>
      <c r="C7439" s="4" t="str">
        <f>HYPERLINK("http://www.uniprot.org/uniprot/M5WK35","M5WK35")</f>
        <v>M5WK35</v>
      </c>
      <c r="D7439" s="2" t="s">
        <v>6612</v>
      </c>
      <c r="E7439" s="3">
        <v>1.8900000000000001E-60</v>
      </c>
      <c r="F7439" s="2">
        <v>528</v>
      </c>
      <c r="G7439" s="2">
        <v>100</v>
      </c>
      <c r="H7439" s="2">
        <v>100</v>
      </c>
      <c r="I7439" s="2">
        <v>161</v>
      </c>
      <c r="J7439" s="2">
        <v>460</v>
      </c>
      <c r="K7439" s="2">
        <v>1</v>
      </c>
      <c r="L7439" s="2">
        <v>100</v>
      </c>
    </row>
    <row r="7440" spans="1:12" x14ac:dyDescent="0.25">
      <c r="A7440" s="4" t="str">
        <f>HYPERLINK("http://www.rosaceae.org/Prunus/Prunus_persica/p.persica_gdr_reftransV1_0038002","p.persica_gdr_reftransV1_0038002")</f>
        <v>p.persica_gdr_reftransV1_0038002</v>
      </c>
      <c r="B7440" s="2">
        <v>1272</v>
      </c>
      <c r="C7440" s="4" t="str">
        <f>HYPERLINK("http://www.uniprot.org/uniprot/M5XSZ7","M5XSZ7")</f>
        <v>M5XSZ7</v>
      </c>
      <c r="D7440" s="2" t="s">
        <v>6613</v>
      </c>
      <c r="E7440" s="3">
        <v>2.8599999999999999E-99</v>
      </c>
      <c r="F7440" s="2">
        <v>784</v>
      </c>
      <c r="G7440" s="2">
        <v>100</v>
      </c>
      <c r="H7440" s="2">
        <v>195</v>
      </c>
      <c r="I7440" s="2">
        <v>236</v>
      </c>
      <c r="J7440" s="2">
        <v>820</v>
      </c>
      <c r="K7440" s="2">
        <v>1</v>
      </c>
      <c r="L7440" s="2">
        <v>195</v>
      </c>
    </row>
    <row r="7441" spans="1:12" x14ac:dyDescent="0.25">
      <c r="A7441" s="4" t="str">
        <f>HYPERLINK("http://www.rosaceae.org/Prunus/Prunus_persica/p.persica_gdr_reftransV1_0038352","p.persica_gdr_reftransV1_0038352")</f>
        <v>p.persica_gdr_reftransV1_0038352</v>
      </c>
      <c r="B7441" s="2">
        <v>1316</v>
      </c>
      <c r="C7441" s="4" t="str">
        <f>HYPERLINK("http://www.uniprot.org/uniprot/M5W7K8","M5W7K8")</f>
        <v>M5W7K8</v>
      </c>
      <c r="D7441" s="2" t="s">
        <v>6614</v>
      </c>
      <c r="E7441" s="3">
        <v>1.1600000000000001E-109</v>
      </c>
      <c r="F7441" s="2">
        <v>851</v>
      </c>
      <c r="G7441" s="2">
        <v>100</v>
      </c>
      <c r="H7441" s="2">
        <v>159</v>
      </c>
      <c r="I7441" s="2">
        <v>278</v>
      </c>
      <c r="J7441" s="2">
        <v>754</v>
      </c>
      <c r="K7441" s="2">
        <v>1</v>
      </c>
      <c r="L7441" s="2">
        <v>159</v>
      </c>
    </row>
    <row r="7442" spans="1:12" x14ac:dyDescent="0.25">
      <c r="A7442" s="4" t="str">
        <f>HYPERLINK("http://www.rosaceae.org/Prunus/Prunus_persica/p.persica_gdr_reftransV1_0039052","p.persica_gdr_reftransV1_0039052")</f>
        <v>p.persica_gdr_reftransV1_0039052</v>
      </c>
      <c r="B7442" s="2">
        <v>3261</v>
      </c>
      <c r="C7442" s="4" t="str">
        <f>HYPERLINK("http://www.uniprot.org/uniprot/M5W994","M5W994")</f>
        <v>M5W994</v>
      </c>
      <c r="D7442" s="2" t="s">
        <v>6615</v>
      </c>
      <c r="E7442" s="3">
        <v>7.7800000000000001E-141</v>
      </c>
      <c r="F7442" s="2">
        <v>1125</v>
      </c>
      <c r="G7442" s="2">
        <v>98</v>
      </c>
      <c r="H7442" s="2">
        <v>215</v>
      </c>
      <c r="I7442" s="2">
        <v>2177</v>
      </c>
      <c r="J7442" s="2">
        <v>2821</v>
      </c>
      <c r="K7442" s="2">
        <v>1</v>
      </c>
      <c r="L7442" s="2">
        <v>215</v>
      </c>
    </row>
    <row r="7443" spans="1:12" x14ac:dyDescent="0.25">
      <c r="A7443" s="4" t="str">
        <f>HYPERLINK("http://www.rosaceae.org/Prunus/Prunus_persica/p.persica_gdr_reftransV1_0040102","p.persica_gdr_reftransV1_0040102")</f>
        <v>p.persica_gdr_reftransV1_0040102</v>
      </c>
      <c r="B7443" s="2">
        <v>1082</v>
      </c>
      <c r="C7443" s="4" t="str">
        <f>HYPERLINK("http://www.uniprot.org/uniprot/M5W6U2","M5W6U2")</f>
        <v>M5W6U2</v>
      </c>
      <c r="D7443" s="2" t="s">
        <v>2873</v>
      </c>
      <c r="E7443" s="3">
        <v>4.7599999999999996E-96</v>
      </c>
      <c r="F7443" s="2">
        <v>772</v>
      </c>
      <c r="G7443" s="2">
        <v>88</v>
      </c>
      <c r="H7443" s="2">
        <v>252</v>
      </c>
      <c r="I7443" s="2">
        <v>100</v>
      </c>
      <c r="J7443" s="2">
        <v>855</v>
      </c>
      <c r="K7443" s="2">
        <v>1</v>
      </c>
      <c r="L7443" s="2">
        <v>243</v>
      </c>
    </row>
    <row r="7444" spans="1:12" x14ac:dyDescent="0.25">
      <c r="A7444" s="4" t="str">
        <f>HYPERLINK("http://www.rosaceae.org/Prunus/Prunus_persica/p.persica_gdr_reftransV1_0041502","p.persica_gdr_reftransV1_0041502")</f>
        <v>p.persica_gdr_reftransV1_0041502</v>
      </c>
      <c r="B7444" s="2">
        <v>1846</v>
      </c>
      <c r="C7444" s="4" t="str">
        <f>HYPERLINK("http://www.uniprot.org/uniprot/W9QDH9","W9QDH9")</f>
        <v>W9QDH9</v>
      </c>
      <c r="D7444" s="2" t="s">
        <v>6616</v>
      </c>
      <c r="E7444" s="3">
        <v>7.74E-146</v>
      </c>
      <c r="F7444" s="2">
        <v>774</v>
      </c>
      <c r="G7444" s="2">
        <v>68</v>
      </c>
      <c r="H7444" s="2">
        <v>220</v>
      </c>
      <c r="I7444" s="2">
        <v>225</v>
      </c>
      <c r="J7444" s="2">
        <v>881</v>
      </c>
      <c r="K7444" s="2">
        <v>248</v>
      </c>
      <c r="L7444" s="2">
        <v>467</v>
      </c>
    </row>
    <row r="7445" spans="1:12" x14ac:dyDescent="0.25">
      <c r="A7445" s="4" t="str">
        <f>HYPERLINK("http://www.rosaceae.org/Prunus/Prunus_persica/p.persica_gdr_reftransV1_0043252","p.persica_gdr_reftransV1_0043252")</f>
        <v>p.persica_gdr_reftransV1_0043252</v>
      </c>
      <c r="B7445" s="2">
        <v>2609</v>
      </c>
      <c r="C7445" s="4" t="str">
        <f>HYPERLINK("http://www.uniprot.org/uniprot/M5WYD6","M5WYD6")</f>
        <v>M5WYD6</v>
      </c>
      <c r="D7445" s="2" t="s">
        <v>6261</v>
      </c>
      <c r="E7445" s="3">
        <v>0</v>
      </c>
      <c r="F7445" s="2">
        <v>3815</v>
      </c>
      <c r="G7445" s="2">
        <v>96</v>
      </c>
      <c r="H7445" s="2">
        <v>741</v>
      </c>
      <c r="I7445" s="2">
        <v>53</v>
      </c>
      <c r="J7445" s="2">
        <v>2275</v>
      </c>
      <c r="K7445" s="2">
        <v>283</v>
      </c>
      <c r="L7445" s="2">
        <v>992</v>
      </c>
    </row>
    <row r="7446" spans="1:12" x14ac:dyDescent="0.25">
      <c r="A7446" s="4" t="str">
        <f>HYPERLINK("http://www.rosaceae.org/Prunus/Prunus_persica/p.persica_gdr_reftransV1_0043602","p.persica_gdr_reftransV1_0043602")</f>
        <v>p.persica_gdr_reftransV1_0043602</v>
      </c>
      <c r="B7446" s="2">
        <v>1207</v>
      </c>
      <c r="C7446" s="4" t="str">
        <f>HYPERLINK("http://www.uniprot.org/uniprot/M5VXP5","M5VXP5")</f>
        <v>M5VXP5</v>
      </c>
      <c r="D7446" s="2" t="s">
        <v>6617</v>
      </c>
      <c r="E7446" s="3">
        <v>5.4499999999999999E-147</v>
      </c>
      <c r="F7446" s="2">
        <v>1099</v>
      </c>
      <c r="G7446" s="2">
        <v>100</v>
      </c>
      <c r="H7446" s="2">
        <v>206</v>
      </c>
      <c r="I7446" s="2">
        <v>446</v>
      </c>
      <c r="J7446" s="2">
        <v>1063</v>
      </c>
      <c r="K7446" s="2">
        <v>1</v>
      </c>
      <c r="L7446" s="2">
        <v>206</v>
      </c>
    </row>
    <row r="7447" spans="1:12" x14ac:dyDescent="0.25">
      <c r="A7447" s="4" t="str">
        <f>HYPERLINK("http://www.rosaceae.org/Prunus/Prunus_persica/p.persica_gdr_reftransV1_0043952","p.persica_gdr_reftransV1_0043952")</f>
        <v>p.persica_gdr_reftransV1_0043952</v>
      </c>
      <c r="B7447" s="2">
        <v>1425</v>
      </c>
      <c r="C7447" s="4" t="str">
        <f>HYPERLINK("http://www.uniprot.org/uniprot/M5Y543","M5Y543")</f>
        <v>M5Y543</v>
      </c>
      <c r="D7447" s="2" t="s">
        <v>6618</v>
      </c>
      <c r="E7447" s="3">
        <v>0</v>
      </c>
      <c r="F7447" s="2">
        <v>1796</v>
      </c>
      <c r="G7447" s="2">
        <v>100</v>
      </c>
      <c r="H7447" s="2">
        <v>367</v>
      </c>
      <c r="I7447" s="2">
        <v>72</v>
      </c>
      <c r="J7447" s="2">
        <v>1172</v>
      </c>
      <c r="K7447" s="2">
        <v>1</v>
      </c>
      <c r="L7447" s="2">
        <v>367</v>
      </c>
    </row>
    <row r="7448" spans="1:12" x14ac:dyDescent="0.25">
      <c r="A7448" s="4" t="str">
        <f>HYPERLINK("http://www.rosaceae.org/Prunus/Prunus_persica/p.persica_gdr_reftransV1_0044652","p.persica_gdr_reftransV1_0044652")</f>
        <v>p.persica_gdr_reftransV1_0044652</v>
      </c>
      <c r="B7448" s="2">
        <v>307</v>
      </c>
      <c r="C7448" s="4" t="str">
        <f>HYPERLINK("http://www.uniprot.org/uniprot/M5Y104","M5Y104")</f>
        <v>M5Y104</v>
      </c>
      <c r="D7448" s="2" t="s">
        <v>511</v>
      </c>
      <c r="E7448" s="3">
        <v>9.1900000000000006E-59</v>
      </c>
      <c r="F7448" s="2">
        <v>521</v>
      </c>
      <c r="G7448" s="2">
        <v>100</v>
      </c>
      <c r="H7448" s="2">
        <v>102</v>
      </c>
      <c r="I7448" s="2">
        <v>2</v>
      </c>
      <c r="J7448" s="2">
        <v>307</v>
      </c>
      <c r="K7448" s="2">
        <v>670</v>
      </c>
      <c r="L7448" s="2">
        <v>771</v>
      </c>
    </row>
    <row r="7449" spans="1:12" x14ac:dyDescent="0.25">
      <c r="A7449" s="4" t="str">
        <f>HYPERLINK("http://www.rosaceae.org/Prunus/Prunus_persica/p.persica_gdr_reftransV1_0045002","p.persica_gdr_reftransV1_0045002")</f>
        <v>p.persica_gdr_reftransV1_0045002</v>
      </c>
      <c r="B7449" s="2">
        <v>544</v>
      </c>
      <c r="C7449" s="4" t="str">
        <f>HYPERLINK("http://www.uniprot.org/uniprot/M5X374","M5X374")</f>
        <v>M5X374</v>
      </c>
      <c r="D7449" s="2" t="s">
        <v>1425</v>
      </c>
      <c r="E7449" s="3">
        <v>1.02E-8</v>
      </c>
      <c r="F7449" s="2">
        <v>151</v>
      </c>
      <c r="G7449" s="2">
        <v>100</v>
      </c>
      <c r="H7449" s="2">
        <v>47</v>
      </c>
      <c r="I7449" s="2">
        <v>404</v>
      </c>
      <c r="J7449" s="2">
        <v>544</v>
      </c>
      <c r="K7449" s="2">
        <v>278</v>
      </c>
      <c r="L7449" s="2">
        <v>324</v>
      </c>
    </row>
    <row r="7450" spans="1:12" x14ac:dyDescent="0.25">
      <c r="A7450" s="4" t="str">
        <f>HYPERLINK("http://www.rosaceae.org/Prunus/Prunus_persica/p.persica_gdr_reftransV1_0045352","p.persica_gdr_reftransV1_0045352")</f>
        <v>p.persica_gdr_reftransV1_0045352</v>
      </c>
      <c r="B7450" s="2">
        <v>1187</v>
      </c>
      <c r="C7450" s="4" t="str">
        <f>HYPERLINK("http://www.uniprot.org/uniprot/W9RXT1","W9RXT1")</f>
        <v>W9RXT1</v>
      </c>
      <c r="D7450" s="2" t="s">
        <v>6619</v>
      </c>
      <c r="E7450" s="3">
        <v>5.6500000000000002E-13</v>
      </c>
      <c r="F7450" s="2">
        <v>195</v>
      </c>
      <c r="G7450" s="2">
        <v>34</v>
      </c>
      <c r="H7450" s="2">
        <v>356</v>
      </c>
      <c r="I7450" s="2">
        <v>231</v>
      </c>
      <c r="J7450" s="2">
        <v>1088</v>
      </c>
      <c r="K7450" s="2">
        <v>57</v>
      </c>
      <c r="L7450" s="2">
        <v>389</v>
      </c>
    </row>
    <row r="7451" spans="1:12" x14ac:dyDescent="0.25">
      <c r="A7451" s="4" t="str">
        <f>HYPERLINK("http://www.rosaceae.org/Prunus/Prunus_persica/p.persica_gdr_reftransV1_0046052","p.persica_gdr_reftransV1_0046052")</f>
        <v>p.persica_gdr_reftransV1_0046052</v>
      </c>
      <c r="B7451" s="2">
        <v>1508</v>
      </c>
      <c r="C7451" s="4" t="str">
        <f>HYPERLINK("http://www.uniprot.org/uniprot/M5W9Q8","M5W9Q8")</f>
        <v>M5W9Q8</v>
      </c>
      <c r="D7451" s="2" t="s">
        <v>6620</v>
      </c>
      <c r="E7451" s="3">
        <v>0</v>
      </c>
      <c r="F7451" s="2">
        <v>1647</v>
      </c>
      <c r="G7451" s="2">
        <v>100</v>
      </c>
      <c r="H7451" s="2">
        <v>345</v>
      </c>
      <c r="I7451" s="2">
        <v>474</v>
      </c>
      <c r="J7451" s="2">
        <v>1508</v>
      </c>
      <c r="K7451" s="2">
        <v>2</v>
      </c>
      <c r="L7451" s="2">
        <v>346</v>
      </c>
    </row>
    <row r="7452" spans="1:12" x14ac:dyDescent="0.25">
      <c r="A7452" s="4" t="str">
        <f>HYPERLINK("http://www.rosaceae.org/Prunus/Prunus_persica/p.persica_gdr_reftransV1_0047102","p.persica_gdr_reftransV1_0047102")</f>
        <v>p.persica_gdr_reftransV1_0047102</v>
      </c>
      <c r="B7452" s="2">
        <v>1122</v>
      </c>
      <c r="C7452" s="4" t="str">
        <f>HYPERLINK("http://www.uniprot.org/uniprot/M5W2Z7","M5W2Z7")</f>
        <v>M5W2Z7</v>
      </c>
      <c r="D7452" s="2" t="s">
        <v>3253</v>
      </c>
      <c r="E7452" s="3">
        <v>0</v>
      </c>
      <c r="F7452" s="2">
        <v>1424</v>
      </c>
      <c r="G7452" s="2">
        <v>100</v>
      </c>
      <c r="H7452" s="2">
        <v>276</v>
      </c>
      <c r="I7452" s="2">
        <v>210</v>
      </c>
      <c r="J7452" s="2">
        <v>1037</v>
      </c>
      <c r="K7452" s="2">
        <v>1</v>
      </c>
      <c r="L7452" s="2">
        <v>276</v>
      </c>
    </row>
    <row r="7453" spans="1:12" x14ac:dyDescent="0.25">
      <c r="A7453" s="4" t="str">
        <f>HYPERLINK("http://www.rosaceae.org/Prunus/Prunus_persica/p.persica_gdr_reftransV1_0047452","p.persica_gdr_reftransV1_0047452")</f>
        <v>p.persica_gdr_reftransV1_0047452</v>
      </c>
      <c r="B7453" s="2">
        <v>1826</v>
      </c>
      <c r="C7453" s="4" t="str">
        <f>HYPERLINK("http://www.uniprot.org/uniprot/M5VQG3","M5VQG3")</f>
        <v>M5VQG3</v>
      </c>
      <c r="D7453" s="2" t="s">
        <v>6621</v>
      </c>
      <c r="E7453" s="3">
        <v>0</v>
      </c>
      <c r="F7453" s="2">
        <v>2046</v>
      </c>
      <c r="G7453" s="2">
        <v>100</v>
      </c>
      <c r="H7453" s="2">
        <v>482</v>
      </c>
      <c r="I7453" s="2">
        <v>155</v>
      </c>
      <c r="J7453" s="2">
        <v>1600</v>
      </c>
      <c r="K7453" s="2">
        <v>1</v>
      </c>
      <c r="L7453" s="2">
        <v>482</v>
      </c>
    </row>
    <row r="7454" spans="1:12" x14ac:dyDescent="0.25">
      <c r="A7454" s="4" t="str">
        <f>HYPERLINK("http://www.rosaceae.org/Prunus/Prunus_persica/p.persica_gdr_reftransV1_0047802","p.persica_gdr_reftransV1_0047802")</f>
        <v>p.persica_gdr_reftransV1_0047802</v>
      </c>
      <c r="B7454" s="2">
        <v>927</v>
      </c>
      <c r="C7454" s="4" t="str">
        <f>HYPERLINK("http://www.uniprot.org/uniprot/M5W0F3","M5W0F3")</f>
        <v>M5W0F3</v>
      </c>
      <c r="D7454" s="2" t="s">
        <v>6622</v>
      </c>
      <c r="E7454" s="3">
        <v>1.4799999999999999E-113</v>
      </c>
      <c r="F7454" s="2">
        <v>865</v>
      </c>
      <c r="G7454" s="2">
        <v>100</v>
      </c>
      <c r="H7454" s="2">
        <v>178</v>
      </c>
      <c r="I7454" s="2">
        <v>254</v>
      </c>
      <c r="J7454" s="2">
        <v>787</v>
      </c>
      <c r="K7454" s="2">
        <v>1</v>
      </c>
      <c r="L7454" s="2">
        <v>178</v>
      </c>
    </row>
    <row r="7455" spans="1:12" x14ac:dyDescent="0.25">
      <c r="A7455" s="4" t="str">
        <f>HYPERLINK("http://www.rosaceae.org/Prunus/Prunus_persica/p.persica_gdr_reftransV1_0048152","p.persica_gdr_reftransV1_0048152")</f>
        <v>p.persica_gdr_reftransV1_0048152</v>
      </c>
      <c r="B7455" s="2">
        <v>464</v>
      </c>
      <c r="C7455" s="4" t="str">
        <f>HYPERLINK("http://www.uniprot.org/uniprot/M5X9T9","M5X9T9")</f>
        <v>M5X9T9</v>
      </c>
      <c r="D7455" s="2" t="s">
        <v>6623</v>
      </c>
      <c r="E7455" s="3">
        <v>1.01E-103</v>
      </c>
      <c r="F7455" s="2">
        <v>837</v>
      </c>
      <c r="G7455" s="2">
        <v>100</v>
      </c>
      <c r="H7455" s="2">
        <v>154</v>
      </c>
      <c r="I7455" s="2">
        <v>1</v>
      </c>
      <c r="J7455" s="2">
        <v>462</v>
      </c>
      <c r="K7455" s="2">
        <v>105</v>
      </c>
      <c r="L7455" s="2">
        <v>258</v>
      </c>
    </row>
    <row r="7456" spans="1:12" x14ac:dyDescent="0.25">
      <c r="A7456" s="4" t="str">
        <f>HYPERLINK("http://www.rosaceae.org/Prunus/Prunus_persica/p.persica_gdr_reftransV1_0048502","p.persica_gdr_reftransV1_0048502")</f>
        <v>p.persica_gdr_reftransV1_0048502</v>
      </c>
      <c r="B7456" s="2">
        <v>2800</v>
      </c>
      <c r="C7456" s="4" t="str">
        <f>HYPERLINK("http://www.uniprot.org/uniprot/M5WEZ6","M5WEZ6")</f>
        <v>M5WEZ6</v>
      </c>
      <c r="D7456" s="2" t="s">
        <v>4049</v>
      </c>
      <c r="E7456" s="3">
        <v>0</v>
      </c>
      <c r="F7456" s="2">
        <v>3616</v>
      </c>
      <c r="G7456" s="2">
        <v>97</v>
      </c>
      <c r="H7456" s="2">
        <v>709</v>
      </c>
      <c r="I7456" s="2">
        <v>672</v>
      </c>
      <c r="J7456" s="2">
        <v>2798</v>
      </c>
      <c r="K7456" s="2">
        <v>1</v>
      </c>
      <c r="L7456" s="2">
        <v>691</v>
      </c>
    </row>
    <row r="7457" spans="1:12" x14ac:dyDescent="0.25">
      <c r="A7457" s="4" t="str">
        <f>HYPERLINK("http://www.rosaceae.org/Prunus/Prunus_persica/p.persica_gdr_reftransV1_0049202","p.persica_gdr_reftransV1_0049202")</f>
        <v>p.persica_gdr_reftransV1_0049202</v>
      </c>
      <c r="B7457" s="2">
        <v>1868</v>
      </c>
      <c r="C7457" s="4" t="str">
        <f>HYPERLINK("http://www.uniprot.org/uniprot/M5VLW0","M5VLW0")</f>
        <v>M5VLW0</v>
      </c>
      <c r="D7457" s="2" t="s">
        <v>6624</v>
      </c>
      <c r="E7457" s="3">
        <v>0</v>
      </c>
      <c r="F7457" s="2">
        <v>2616</v>
      </c>
      <c r="G7457" s="2">
        <v>99</v>
      </c>
      <c r="H7457" s="2">
        <v>542</v>
      </c>
      <c r="I7457" s="2">
        <v>130</v>
      </c>
      <c r="J7457" s="2">
        <v>1755</v>
      </c>
      <c r="K7457" s="2">
        <v>1</v>
      </c>
      <c r="L7457" s="2">
        <v>536</v>
      </c>
    </row>
    <row r="7458" spans="1:12" x14ac:dyDescent="0.25">
      <c r="A7458" s="4" t="str">
        <f>HYPERLINK("http://www.rosaceae.org/Prunus/Prunus_persica/p.persica_gdr_reftransV1_0000203","p.persica_gdr_reftransV1_0000203")</f>
        <v>p.persica_gdr_reftransV1_0000203</v>
      </c>
      <c r="B7458" s="2">
        <v>1958</v>
      </c>
      <c r="C7458" s="4" t="str">
        <f>HYPERLINK("http://www.uniprot.org/uniprot/M5VPZ0","M5VPZ0")</f>
        <v>M5VPZ0</v>
      </c>
      <c r="D7458" s="2" t="s">
        <v>6625</v>
      </c>
      <c r="E7458" s="3">
        <v>0</v>
      </c>
      <c r="F7458" s="2">
        <v>2192</v>
      </c>
      <c r="G7458" s="2">
        <v>100</v>
      </c>
      <c r="H7458" s="2">
        <v>411</v>
      </c>
      <c r="I7458" s="2">
        <v>159</v>
      </c>
      <c r="J7458" s="2">
        <v>1391</v>
      </c>
      <c r="K7458" s="2">
        <v>1</v>
      </c>
      <c r="L7458" s="2">
        <v>411</v>
      </c>
    </row>
    <row r="7459" spans="1:12" x14ac:dyDescent="0.25">
      <c r="A7459" s="4" t="str">
        <f>HYPERLINK("http://www.rosaceae.org/Prunus/Prunus_persica/p.persica_gdr_reftransV1_0000553","p.persica_gdr_reftransV1_0000553")</f>
        <v>p.persica_gdr_reftransV1_0000553</v>
      </c>
      <c r="B7459" s="2">
        <v>2131</v>
      </c>
      <c r="C7459" s="4" t="str">
        <f>HYPERLINK("http://www.uniprot.org/uniprot/M5VY85","M5VY85")</f>
        <v>M5VY85</v>
      </c>
      <c r="D7459" s="2" t="s">
        <v>2366</v>
      </c>
      <c r="E7459" s="3">
        <v>0</v>
      </c>
      <c r="F7459" s="2">
        <v>3062</v>
      </c>
      <c r="G7459" s="2">
        <v>96</v>
      </c>
      <c r="H7459" s="2">
        <v>665</v>
      </c>
      <c r="I7459" s="2">
        <v>86</v>
      </c>
      <c r="J7459" s="2">
        <v>2080</v>
      </c>
      <c r="K7459" s="2">
        <v>1</v>
      </c>
      <c r="L7459" s="2">
        <v>637</v>
      </c>
    </row>
    <row r="7460" spans="1:12" x14ac:dyDescent="0.25">
      <c r="A7460" s="4" t="str">
        <f>HYPERLINK("http://www.rosaceae.org/Prunus/Prunus_persica/p.persica_gdr_reftransV1_0000903","p.persica_gdr_reftransV1_0000903")</f>
        <v>p.persica_gdr_reftransV1_0000903</v>
      </c>
      <c r="B7460" s="2">
        <v>672</v>
      </c>
      <c r="C7460" s="4" t="str">
        <f>HYPERLINK("http://www.uniprot.org/uniprot/M5WE76","M5WE76")</f>
        <v>M5WE76</v>
      </c>
      <c r="D7460" s="2" t="s">
        <v>6626</v>
      </c>
      <c r="E7460" s="3">
        <v>6.1199999999999996E-84</v>
      </c>
      <c r="F7460" s="2">
        <v>656</v>
      </c>
      <c r="G7460" s="2">
        <v>100</v>
      </c>
      <c r="H7460" s="2">
        <v>125</v>
      </c>
      <c r="I7460" s="2">
        <v>110</v>
      </c>
      <c r="J7460" s="2">
        <v>484</v>
      </c>
      <c r="K7460" s="2">
        <v>1</v>
      </c>
      <c r="L7460" s="2">
        <v>125</v>
      </c>
    </row>
    <row r="7461" spans="1:12" x14ac:dyDescent="0.25">
      <c r="A7461" s="4" t="str">
        <f>HYPERLINK("http://www.rosaceae.org/Prunus/Prunus_persica/p.persica_gdr_reftransV1_0001253","p.persica_gdr_reftransV1_0001253")</f>
        <v>p.persica_gdr_reftransV1_0001253</v>
      </c>
      <c r="B7461" s="2">
        <v>452</v>
      </c>
      <c r="C7461" s="4" t="str">
        <f>HYPERLINK("http://www.uniprot.org/uniprot/M5WK57","M5WK57")</f>
        <v>M5WK57</v>
      </c>
      <c r="D7461" s="2" t="s">
        <v>6627</v>
      </c>
      <c r="E7461" s="3">
        <v>6.6899999999999998E-90</v>
      </c>
      <c r="F7461" s="2">
        <v>733</v>
      </c>
      <c r="G7461" s="2">
        <v>93</v>
      </c>
      <c r="H7461" s="2">
        <v>150</v>
      </c>
      <c r="I7461" s="2">
        <v>2</v>
      </c>
      <c r="J7461" s="2">
        <v>451</v>
      </c>
      <c r="K7461" s="2">
        <v>258</v>
      </c>
      <c r="L7461" s="2">
        <v>397</v>
      </c>
    </row>
    <row r="7462" spans="1:12" x14ac:dyDescent="0.25">
      <c r="A7462" s="4" t="str">
        <f>HYPERLINK("http://www.rosaceae.org/Prunus/Prunus_persica/p.persica_gdr_reftransV1_0001603","p.persica_gdr_reftransV1_0001603")</f>
        <v>p.persica_gdr_reftransV1_0001603</v>
      </c>
      <c r="B7462" s="2">
        <v>1106</v>
      </c>
      <c r="C7462" s="4" t="str">
        <f>HYPERLINK("http://www.uniprot.org/uniprot/M5XAK7","M5XAK7")</f>
        <v>M5XAK7</v>
      </c>
      <c r="D7462" s="2" t="s">
        <v>2609</v>
      </c>
      <c r="E7462" s="3">
        <v>0</v>
      </c>
      <c r="F7462" s="2">
        <v>1470</v>
      </c>
      <c r="G7462" s="2">
        <v>100</v>
      </c>
      <c r="H7462" s="2">
        <v>340</v>
      </c>
      <c r="I7462" s="2">
        <v>86</v>
      </c>
      <c r="J7462" s="2">
        <v>1105</v>
      </c>
      <c r="K7462" s="2">
        <v>1</v>
      </c>
      <c r="L7462" s="2">
        <v>340</v>
      </c>
    </row>
    <row r="7463" spans="1:12" x14ac:dyDescent="0.25">
      <c r="A7463" s="4" t="str">
        <f>HYPERLINK("http://www.rosaceae.org/Prunus/Prunus_persica/p.persica_gdr_reftransV1_0001953","p.persica_gdr_reftransV1_0001953")</f>
        <v>p.persica_gdr_reftransV1_0001953</v>
      </c>
      <c r="B7463" s="2">
        <v>1735</v>
      </c>
      <c r="C7463" s="4" t="str">
        <f>HYPERLINK("http://www.uniprot.org/uniprot/M5W866","M5W866")</f>
        <v>M5W866</v>
      </c>
      <c r="D7463" s="2" t="s">
        <v>6628</v>
      </c>
      <c r="E7463" s="3">
        <v>0</v>
      </c>
      <c r="F7463" s="2">
        <v>1560</v>
      </c>
      <c r="G7463" s="2">
        <v>100</v>
      </c>
      <c r="H7463" s="2">
        <v>320</v>
      </c>
      <c r="I7463" s="2">
        <v>472</v>
      </c>
      <c r="J7463" s="2">
        <v>1431</v>
      </c>
      <c r="K7463" s="2">
        <v>168</v>
      </c>
      <c r="L7463" s="2">
        <v>487</v>
      </c>
    </row>
    <row r="7464" spans="1:12" x14ac:dyDescent="0.25">
      <c r="A7464" s="4" t="str">
        <f>HYPERLINK("http://www.rosaceae.org/Prunus/Prunus_persica/p.persica_gdr_reftransV1_0002303","p.persica_gdr_reftransV1_0002303")</f>
        <v>p.persica_gdr_reftransV1_0002303</v>
      </c>
      <c r="B7464" s="2">
        <v>953</v>
      </c>
      <c r="C7464" s="4" t="str">
        <f>HYPERLINK("http://www.uniprot.org/uniprot/M5WCE3","M5WCE3")</f>
        <v>M5WCE3</v>
      </c>
      <c r="D7464" s="2" t="s">
        <v>3103</v>
      </c>
      <c r="E7464" s="3">
        <v>1.62E-12</v>
      </c>
      <c r="F7464" s="2">
        <v>177</v>
      </c>
      <c r="G7464" s="2">
        <v>95</v>
      </c>
      <c r="H7464" s="2">
        <v>58</v>
      </c>
      <c r="I7464" s="2">
        <v>156</v>
      </c>
      <c r="J7464" s="2">
        <v>329</v>
      </c>
      <c r="K7464" s="2">
        <v>6</v>
      </c>
      <c r="L7464" s="2">
        <v>63</v>
      </c>
    </row>
    <row r="7465" spans="1:12" x14ac:dyDescent="0.25">
      <c r="A7465" s="4" t="str">
        <f>HYPERLINK("http://www.rosaceae.org/Prunus/Prunus_persica/p.persica_gdr_reftransV1_0002653","p.persica_gdr_reftransV1_0002653")</f>
        <v>p.persica_gdr_reftransV1_0002653</v>
      </c>
      <c r="B7465" s="2">
        <v>406</v>
      </c>
      <c r="C7465" s="4" t="str">
        <f>HYPERLINK("http://www.uniprot.org/uniprot/M5WS65","M5WS65")</f>
        <v>M5WS65</v>
      </c>
      <c r="D7465" s="2" t="s">
        <v>5253</v>
      </c>
      <c r="E7465" s="3">
        <v>2.32E-36</v>
      </c>
      <c r="F7465" s="2">
        <v>361</v>
      </c>
      <c r="G7465" s="2">
        <v>100</v>
      </c>
      <c r="H7465" s="2">
        <v>105</v>
      </c>
      <c r="I7465" s="2">
        <v>2</v>
      </c>
      <c r="J7465" s="2">
        <v>316</v>
      </c>
      <c r="K7465" s="2">
        <v>1</v>
      </c>
      <c r="L7465" s="2">
        <v>105</v>
      </c>
    </row>
    <row r="7466" spans="1:12" x14ac:dyDescent="0.25">
      <c r="A7466" s="4" t="str">
        <f>HYPERLINK("http://www.rosaceae.org/Prunus/Prunus_persica/p.persica_gdr_reftransV1_0003003","p.persica_gdr_reftransV1_0003003")</f>
        <v>p.persica_gdr_reftransV1_0003003</v>
      </c>
      <c r="B7466" s="2">
        <v>814</v>
      </c>
      <c r="C7466" s="4" t="str">
        <f>HYPERLINK("http://www.uniprot.org/uniprot/A0A061GLK1","A0A061GLK1")</f>
        <v>A0A061GLK1</v>
      </c>
      <c r="D7466" s="2" t="s">
        <v>6629</v>
      </c>
      <c r="E7466" s="3">
        <v>1.0099999999999999E-79</v>
      </c>
      <c r="F7466" s="2">
        <v>645</v>
      </c>
      <c r="G7466" s="2">
        <v>65</v>
      </c>
      <c r="H7466" s="2">
        <v>242</v>
      </c>
      <c r="I7466" s="2">
        <v>51</v>
      </c>
      <c r="J7466" s="2">
        <v>758</v>
      </c>
      <c r="K7466" s="2">
        <v>1</v>
      </c>
      <c r="L7466" s="2">
        <v>240</v>
      </c>
    </row>
    <row r="7467" spans="1:12" x14ac:dyDescent="0.25">
      <c r="A7467" s="4" t="str">
        <f>HYPERLINK("http://www.rosaceae.org/Prunus/Prunus_persica/p.persica_gdr_reftransV1_0004053","p.persica_gdr_reftransV1_0004053")</f>
        <v>p.persica_gdr_reftransV1_0004053</v>
      </c>
      <c r="B7467" s="2">
        <v>1008</v>
      </c>
      <c r="C7467" s="4" t="str">
        <f>HYPERLINK("http://www.uniprot.org/uniprot/M5WR28","M5WR28")</f>
        <v>M5WR28</v>
      </c>
      <c r="D7467" s="2" t="s">
        <v>6420</v>
      </c>
      <c r="E7467" s="3">
        <v>3.81E-79</v>
      </c>
      <c r="F7467" s="2">
        <v>688</v>
      </c>
      <c r="G7467" s="2">
        <v>99</v>
      </c>
      <c r="H7467" s="2">
        <v>128</v>
      </c>
      <c r="I7467" s="2">
        <v>3</v>
      </c>
      <c r="J7467" s="2">
        <v>386</v>
      </c>
      <c r="K7467" s="2">
        <v>714</v>
      </c>
      <c r="L7467" s="2">
        <v>841</v>
      </c>
    </row>
    <row r="7468" spans="1:12" x14ac:dyDescent="0.25">
      <c r="A7468" s="4" t="str">
        <f>HYPERLINK("http://www.rosaceae.org/Prunus/Prunus_persica/p.persica_gdr_reftransV1_0004403","p.persica_gdr_reftransV1_0004403")</f>
        <v>p.persica_gdr_reftransV1_0004403</v>
      </c>
      <c r="B7468" s="2">
        <v>1548</v>
      </c>
      <c r="C7468" s="4" t="str">
        <f>HYPERLINK("http://www.uniprot.org/uniprot/M5WJX3","M5WJX3")</f>
        <v>M5WJX3</v>
      </c>
      <c r="D7468" s="2" t="s">
        <v>6630</v>
      </c>
      <c r="E7468" s="3">
        <v>0</v>
      </c>
      <c r="F7468" s="2">
        <v>2590</v>
      </c>
      <c r="G7468" s="2">
        <v>100</v>
      </c>
      <c r="H7468" s="2">
        <v>516</v>
      </c>
      <c r="I7468" s="2">
        <v>1</v>
      </c>
      <c r="J7468" s="2">
        <v>1548</v>
      </c>
      <c r="K7468" s="2">
        <v>115</v>
      </c>
      <c r="L7468" s="2">
        <v>630</v>
      </c>
    </row>
    <row r="7469" spans="1:12" x14ac:dyDescent="0.25">
      <c r="A7469" s="4" t="str">
        <f>HYPERLINK("http://www.rosaceae.org/Prunus/Prunus_persica/p.persica_gdr_reftransV1_0005103","p.persica_gdr_reftransV1_0005103")</f>
        <v>p.persica_gdr_reftransV1_0005103</v>
      </c>
      <c r="B7469" s="2">
        <v>4214</v>
      </c>
      <c r="C7469" s="4" t="str">
        <f>HYPERLINK("http://www.uniprot.org/uniprot/M5VX23","M5VX23")</f>
        <v>M5VX23</v>
      </c>
      <c r="D7469" s="2" t="s">
        <v>6631</v>
      </c>
      <c r="E7469" s="3">
        <v>0</v>
      </c>
      <c r="F7469" s="2">
        <v>5436</v>
      </c>
      <c r="G7469" s="2">
        <v>90</v>
      </c>
      <c r="H7469" s="2">
        <v>1264</v>
      </c>
      <c r="I7469" s="2">
        <v>324</v>
      </c>
      <c r="J7469" s="2">
        <v>4115</v>
      </c>
      <c r="K7469" s="2">
        <v>1</v>
      </c>
      <c r="L7469" s="2">
        <v>1174</v>
      </c>
    </row>
    <row r="7470" spans="1:12" x14ac:dyDescent="0.25">
      <c r="A7470" s="4" t="str">
        <f>HYPERLINK("http://www.rosaceae.org/Prunus/Prunus_persica/p.persica_gdr_reftransV1_0005803","p.persica_gdr_reftransV1_0005803")</f>
        <v>p.persica_gdr_reftransV1_0005803</v>
      </c>
      <c r="B7470" s="2">
        <v>393</v>
      </c>
      <c r="C7470" s="4" t="str">
        <f>HYPERLINK("http://www.uniprot.org/uniprot/M5XAY0","M5XAY0")</f>
        <v>M5XAY0</v>
      </c>
      <c r="D7470" s="2" t="s">
        <v>6632</v>
      </c>
      <c r="E7470" s="3">
        <v>5.1699999999999999E-74</v>
      </c>
      <c r="F7470" s="2">
        <v>621</v>
      </c>
      <c r="G7470" s="2">
        <v>100</v>
      </c>
      <c r="H7470" s="2">
        <v>121</v>
      </c>
      <c r="I7470" s="2">
        <v>1</v>
      </c>
      <c r="J7470" s="2">
        <v>363</v>
      </c>
      <c r="K7470" s="2">
        <v>1</v>
      </c>
      <c r="L7470" s="2">
        <v>121</v>
      </c>
    </row>
    <row r="7471" spans="1:12" x14ac:dyDescent="0.25">
      <c r="A7471" s="4" t="str">
        <f>HYPERLINK("http://www.rosaceae.org/Prunus/Prunus_persica/p.persica_gdr_reftransV1_0006503","p.persica_gdr_reftransV1_0006503")</f>
        <v>p.persica_gdr_reftransV1_0006503</v>
      </c>
      <c r="B7471" s="2">
        <v>796</v>
      </c>
      <c r="C7471" s="4" t="str">
        <f>HYPERLINK("http://www.uniprot.org/uniprot/M5W8J7","M5W8J7")</f>
        <v>M5W8J7</v>
      </c>
      <c r="D7471" s="2" t="s">
        <v>6633</v>
      </c>
      <c r="E7471" s="3">
        <v>4.2899999999999999E-160</v>
      </c>
      <c r="F7471" s="2">
        <v>1188</v>
      </c>
      <c r="G7471" s="2">
        <v>99</v>
      </c>
      <c r="H7471" s="2">
        <v>226</v>
      </c>
      <c r="I7471" s="2">
        <v>2</v>
      </c>
      <c r="J7471" s="2">
        <v>679</v>
      </c>
      <c r="K7471" s="2">
        <v>154</v>
      </c>
      <c r="L7471" s="2">
        <v>379</v>
      </c>
    </row>
    <row r="7472" spans="1:12" x14ac:dyDescent="0.25">
      <c r="A7472" s="4" t="str">
        <f>HYPERLINK("http://www.rosaceae.org/Prunus/Prunus_persica/p.persica_gdr_reftransV1_0006853","p.persica_gdr_reftransV1_0006853")</f>
        <v>p.persica_gdr_reftransV1_0006853</v>
      </c>
      <c r="B7472" s="2">
        <v>1090</v>
      </c>
      <c r="C7472" s="4" t="str">
        <f>HYPERLINK("http://www.uniprot.org/uniprot/M5XHJ2","M5XHJ2")</f>
        <v>M5XHJ2</v>
      </c>
      <c r="D7472" s="2" t="s">
        <v>6634</v>
      </c>
      <c r="E7472" s="3">
        <v>0</v>
      </c>
      <c r="F7472" s="2">
        <v>1566</v>
      </c>
      <c r="G7472" s="2">
        <v>99</v>
      </c>
      <c r="H7472" s="2">
        <v>338</v>
      </c>
      <c r="I7472" s="2">
        <v>77</v>
      </c>
      <c r="J7472" s="2">
        <v>1090</v>
      </c>
      <c r="K7472" s="2">
        <v>812</v>
      </c>
      <c r="L7472" s="2">
        <v>1149</v>
      </c>
    </row>
    <row r="7473" spans="1:12" x14ac:dyDescent="0.25">
      <c r="A7473" s="4" t="str">
        <f>HYPERLINK("http://www.rosaceae.org/Prunus/Prunus_persica/p.persica_gdr_reftransV1_0007553","p.persica_gdr_reftransV1_0007553")</f>
        <v>p.persica_gdr_reftransV1_0007553</v>
      </c>
      <c r="B7473" s="2">
        <v>723</v>
      </c>
      <c r="C7473" s="4" t="str">
        <f>HYPERLINK("http://www.uniprot.org/uniprot/M5WEW5","M5WEW5")</f>
        <v>M5WEW5</v>
      </c>
      <c r="D7473" s="2" t="s">
        <v>6635</v>
      </c>
      <c r="E7473" s="3">
        <v>6.7799999999999996E-80</v>
      </c>
      <c r="F7473" s="2">
        <v>633</v>
      </c>
      <c r="G7473" s="2">
        <v>98</v>
      </c>
      <c r="H7473" s="2">
        <v>138</v>
      </c>
      <c r="I7473" s="2">
        <v>309</v>
      </c>
      <c r="J7473" s="2">
        <v>722</v>
      </c>
      <c r="K7473" s="2">
        <v>13</v>
      </c>
      <c r="L7473" s="2">
        <v>150</v>
      </c>
    </row>
    <row r="7474" spans="1:12" x14ac:dyDescent="0.25">
      <c r="A7474" s="4" t="str">
        <f>HYPERLINK("http://www.rosaceae.org/Prunus/Prunus_persica/p.persica_gdr_reftransV1_0008603","p.persica_gdr_reftransV1_0008603")</f>
        <v>p.persica_gdr_reftransV1_0008603</v>
      </c>
      <c r="B7474" s="2">
        <v>2512</v>
      </c>
      <c r="C7474" s="4" t="str">
        <f>HYPERLINK("http://www.uniprot.org/uniprot/M5VUC2","M5VUC2")</f>
        <v>M5VUC2</v>
      </c>
      <c r="D7474" s="2" t="s">
        <v>6636</v>
      </c>
      <c r="E7474" s="3">
        <v>0</v>
      </c>
      <c r="F7474" s="2">
        <v>3105</v>
      </c>
      <c r="G7474" s="2">
        <v>100</v>
      </c>
      <c r="H7474" s="2">
        <v>607</v>
      </c>
      <c r="I7474" s="2">
        <v>414</v>
      </c>
      <c r="J7474" s="2">
        <v>2234</v>
      </c>
      <c r="K7474" s="2">
        <v>1</v>
      </c>
      <c r="L7474" s="2">
        <v>607</v>
      </c>
    </row>
    <row r="7475" spans="1:12" x14ac:dyDescent="0.25">
      <c r="A7475" s="4" t="str">
        <f>HYPERLINK("http://www.rosaceae.org/Prunus/Prunus_persica/p.persica_gdr_reftransV1_0008953","p.persica_gdr_reftransV1_0008953")</f>
        <v>p.persica_gdr_reftransV1_0008953</v>
      </c>
      <c r="B7475" s="2">
        <v>1568</v>
      </c>
      <c r="C7475" s="4" t="str">
        <f>HYPERLINK("http://www.uniprot.org/uniprot/M5X3G1","M5X3G1")</f>
        <v>M5X3G1</v>
      </c>
      <c r="D7475" s="2" t="s">
        <v>6637</v>
      </c>
      <c r="E7475" s="3">
        <v>0</v>
      </c>
      <c r="F7475" s="2">
        <v>1936</v>
      </c>
      <c r="G7475" s="2">
        <v>98</v>
      </c>
      <c r="H7475" s="2">
        <v>427</v>
      </c>
      <c r="I7475" s="2">
        <v>123</v>
      </c>
      <c r="J7475" s="2">
        <v>1403</v>
      </c>
      <c r="K7475" s="2">
        <v>1</v>
      </c>
      <c r="L7475" s="2">
        <v>420</v>
      </c>
    </row>
    <row r="7476" spans="1:12" x14ac:dyDescent="0.25">
      <c r="A7476" s="4" t="str">
        <f>HYPERLINK("http://www.rosaceae.org/Prunus/Prunus_persica/p.persica_gdr_reftransV1_0009303","p.persica_gdr_reftransV1_0009303")</f>
        <v>p.persica_gdr_reftransV1_0009303</v>
      </c>
      <c r="B7476" s="2">
        <v>1916</v>
      </c>
      <c r="C7476" s="4" t="str">
        <f>HYPERLINK("http://www.uniprot.org/uniprot/M5Y3H7","M5Y3H7")</f>
        <v>M5Y3H7</v>
      </c>
      <c r="D7476" s="2" t="s">
        <v>6638</v>
      </c>
      <c r="E7476" s="3">
        <v>0</v>
      </c>
      <c r="F7476" s="2">
        <v>2558</v>
      </c>
      <c r="G7476" s="2">
        <v>100</v>
      </c>
      <c r="H7476" s="2">
        <v>558</v>
      </c>
      <c r="I7476" s="2">
        <v>241</v>
      </c>
      <c r="J7476" s="2">
        <v>1914</v>
      </c>
      <c r="K7476" s="2">
        <v>1</v>
      </c>
      <c r="L7476" s="2">
        <v>558</v>
      </c>
    </row>
    <row r="7477" spans="1:12" x14ac:dyDescent="0.25">
      <c r="A7477" s="4" t="str">
        <f>HYPERLINK("http://www.rosaceae.org/Prunus/Prunus_persica/p.persica_gdr_reftransV1_0010003","p.persica_gdr_reftransV1_0010003")</f>
        <v>p.persica_gdr_reftransV1_0010003</v>
      </c>
      <c r="B7477" s="2">
        <v>1691</v>
      </c>
      <c r="C7477" s="4" t="str">
        <f>HYPERLINK("http://www.uniprot.org/uniprot/M5VZ76","M5VZ76")</f>
        <v>M5VZ76</v>
      </c>
      <c r="D7477" s="2" t="s">
        <v>6639</v>
      </c>
      <c r="E7477" s="3">
        <v>0</v>
      </c>
      <c r="F7477" s="2">
        <v>1585</v>
      </c>
      <c r="G7477" s="2">
        <v>100</v>
      </c>
      <c r="H7477" s="2">
        <v>356</v>
      </c>
      <c r="I7477" s="2">
        <v>36</v>
      </c>
      <c r="J7477" s="2">
        <v>1103</v>
      </c>
      <c r="K7477" s="2">
        <v>83</v>
      </c>
      <c r="L7477" s="2">
        <v>438</v>
      </c>
    </row>
    <row r="7478" spans="1:12" x14ac:dyDescent="0.25">
      <c r="A7478" s="4" t="str">
        <f>HYPERLINK("http://www.rosaceae.org/Prunus/Prunus_persica/p.persica_gdr_reftransV1_0010353","p.persica_gdr_reftransV1_0010353")</f>
        <v>p.persica_gdr_reftransV1_0010353</v>
      </c>
      <c r="B7478" s="2">
        <v>3015</v>
      </c>
      <c r="C7478" s="4" t="str">
        <f>HYPERLINK("http://www.uniprot.org/uniprot/M5WCR3","M5WCR3")</f>
        <v>M5WCR3</v>
      </c>
      <c r="D7478" s="2" t="s">
        <v>6640</v>
      </c>
      <c r="E7478" s="3">
        <v>0</v>
      </c>
      <c r="F7478" s="2">
        <v>3429</v>
      </c>
      <c r="G7478" s="2">
        <v>94</v>
      </c>
      <c r="H7478" s="2">
        <v>741</v>
      </c>
      <c r="I7478" s="2">
        <v>93</v>
      </c>
      <c r="J7478" s="2">
        <v>2309</v>
      </c>
      <c r="K7478" s="2">
        <v>1</v>
      </c>
      <c r="L7478" s="2">
        <v>741</v>
      </c>
    </row>
    <row r="7479" spans="1:12" x14ac:dyDescent="0.25">
      <c r="A7479" s="4" t="str">
        <f>HYPERLINK("http://www.rosaceae.org/Prunus/Prunus_persica/p.persica_gdr_reftransV1_0010703","p.persica_gdr_reftransV1_0010703")</f>
        <v>p.persica_gdr_reftransV1_0010703</v>
      </c>
      <c r="B7479" s="2">
        <v>1575</v>
      </c>
      <c r="C7479" s="4" t="str">
        <f>HYPERLINK("http://www.uniprot.org/uniprot/M5WC89","M5WC89")</f>
        <v>M5WC89</v>
      </c>
      <c r="D7479" s="2" t="s">
        <v>6641</v>
      </c>
      <c r="E7479" s="3">
        <v>1.7700000000000001E-93</v>
      </c>
      <c r="F7479" s="2">
        <v>751</v>
      </c>
      <c r="G7479" s="2">
        <v>100</v>
      </c>
      <c r="H7479" s="2">
        <v>163</v>
      </c>
      <c r="I7479" s="2">
        <v>668</v>
      </c>
      <c r="J7479" s="2">
        <v>1156</v>
      </c>
      <c r="K7479" s="2">
        <v>1</v>
      </c>
      <c r="L7479" s="2">
        <v>163</v>
      </c>
    </row>
    <row r="7480" spans="1:12" x14ac:dyDescent="0.25">
      <c r="A7480" s="4" t="str">
        <f>HYPERLINK("http://www.rosaceae.org/Prunus/Prunus_persica/p.persica_gdr_reftransV1_0011053","p.persica_gdr_reftransV1_0011053")</f>
        <v>p.persica_gdr_reftransV1_0011053</v>
      </c>
      <c r="B7480" s="2">
        <v>760</v>
      </c>
      <c r="C7480" s="4" t="str">
        <f>HYPERLINK("http://www.uniprot.org/uniprot/M5W940","M5W940")</f>
        <v>M5W940</v>
      </c>
      <c r="D7480" s="2" t="s">
        <v>6642</v>
      </c>
      <c r="E7480" s="3">
        <v>1.33E-56</v>
      </c>
      <c r="F7480" s="2">
        <v>509</v>
      </c>
      <c r="G7480" s="2">
        <v>100</v>
      </c>
      <c r="H7480" s="2">
        <v>101</v>
      </c>
      <c r="I7480" s="2">
        <v>2</v>
      </c>
      <c r="J7480" s="2">
        <v>304</v>
      </c>
      <c r="K7480" s="2">
        <v>460</v>
      </c>
      <c r="L7480" s="2">
        <v>560</v>
      </c>
    </row>
    <row r="7481" spans="1:12" x14ac:dyDescent="0.25">
      <c r="A7481" s="4" t="str">
        <f>HYPERLINK("http://www.rosaceae.org/Prunus/Prunus_persica/p.persica_gdr_reftransV1_0011403","p.persica_gdr_reftransV1_0011403")</f>
        <v>p.persica_gdr_reftransV1_0011403</v>
      </c>
      <c r="B7481" s="2">
        <v>967</v>
      </c>
      <c r="C7481" s="4" t="str">
        <f>HYPERLINK("http://www.uniprot.org/uniprot/M5WB18","M5WB18")</f>
        <v>M5WB18</v>
      </c>
      <c r="D7481" s="2" t="s">
        <v>6643</v>
      </c>
      <c r="E7481" s="3">
        <v>2.8399999999999998E-110</v>
      </c>
      <c r="F7481" s="2">
        <v>843</v>
      </c>
      <c r="G7481" s="2">
        <v>100</v>
      </c>
      <c r="H7481" s="2">
        <v>157</v>
      </c>
      <c r="I7481" s="2">
        <v>88</v>
      </c>
      <c r="J7481" s="2">
        <v>558</v>
      </c>
      <c r="K7481" s="2">
        <v>1</v>
      </c>
      <c r="L7481" s="2">
        <v>157</v>
      </c>
    </row>
    <row r="7482" spans="1:12" x14ac:dyDescent="0.25">
      <c r="A7482" s="4" t="str">
        <f>HYPERLINK("http://www.rosaceae.org/Prunus/Prunus_persica/p.persica_gdr_reftransV1_0011753","p.persica_gdr_reftransV1_0011753")</f>
        <v>p.persica_gdr_reftransV1_0011753</v>
      </c>
      <c r="B7482" s="2">
        <v>1119</v>
      </c>
      <c r="C7482" s="4" t="str">
        <f>HYPERLINK("http://www.uniprot.org/uniprot/M5VSU1","M5VSU1")</f>
        <v>M5VSU1</v>
      </c>
      <c r="D7482" s="2" t="s">
        <v>4438</v>
      </c>
      <c r="E7482" s="3">
        <v>0</v>
      </c>
      <c r="F7482" s="2">
        <v>1552</v>
      </c>
      <c r="G7482" s="2">
        <v>87</v>
      </c>
      <c r="H7482" s="2">
        <v>372</v>
      </c>
      <c r="I7482" s="2">
        <v>2</v>
      </c>
      <c r="J7482" s="2">
        <v>1117</v>
      </c>
      <c r="K7482" s="2">
        <v>1045</v>
      </c>
      <c r="L7482" s="2">
        <v>1369</v>
      </c>
    </row>
    <row r="7483" spans="1:12" x14ac:dyDescent="0.25">
      <c r="A7483" s="4" t="str">
        <f>HYPERLINK("http://www.rosaceae.org/Prunus/Prunus_persica/p.persica_gdr_reftransV1_0012103","p.persica_gdr_reftransV1_0012103")</f>
        <v>p.persica_gdr_reftransV1_0012103</v>
      </c>
      <c r="B7483" s="2">
        <v>2153</v>
      </c>
      <c r="C7483" s="4" t="str">
        <f>HYPERLINK("http://www.uniprot.org/uniprot/M5W8K1","M5W8K1")</f>
        <v>M5W8K1</v>
      </c>
      <c r="D7483" s="2" t="s">
        <v>6103</v>
      </c>
      <c r="E7483" s="3">
        <v>0</v>
      </c>
      <c r="F7483" s="2">
        <v>2639</v>
      </c>
      <c r="G7483" s="2">
        <v>94</v>
      </c>
      <c r="H7483" s="2">
        <v>571</v>
      </c>
      <c r="I7483" s="2">
        <v>328</v>
      </c>
      <c r="J7483" s="2">
        <v>2040</v>
      </c>
      <c r="K7483" s="2">
        <v>1</v>
      </c>
      <c r="L7483" s="2">
        <v>536</v>
      </c>
    </row>
    <row r="7484" spans="1:12" x14ac:dyDescent="0.25">
      <c r="A7484" s="4" t="str">
        <f>HYPERLINK("http://www.rosaceae.org/Prunus/Prunus_persica/p.persica_gdr_reftransV1_0013853","p.persica_gdr_reftransV1_0013853")</f>
        <v>p.persica_gdr_reftransV1_0013853</v>
      </c>
      <c r="B7484" s="2">
        <v>1560</v>
      </c>
      <c r="C7484" s="4" t="str">
        <f>HYPERLINK("http://www.uniprot.org/uniprot/M5VQI5","M5VQI5")</f>
        <v>M5VQI5</v>
      </c>
      <c r="D7484" s="2" t="s">
        <v>6644</v>
      </c>
      <c r="E7484" s="3">
        <v>0</v>
      </c>
      <c r="F7484" s="2">
        <v>1481</v>
      </c>
      <c r="G7484" s="2">
        <v>100</v>
      </c>
      <c r="H7484" s="2">
        <v>276</v>
      </c>
      <c r="I7484" s="2">
        <v>563</v>
      </c>
      <c r="J7484" s="2">
        <v>1390</v>
      </c>
      <c r="K7484" s="2">
        <v>28</v>
      </c>
      <c r="L7484" s="2">
        <v>303</v>
      </c>
    </row>
    <row r="7485" spans="1:12" x14ac:dyDescent="0.25">
      <c r="A7485" s="4" t="str">
        <f>HYPERLINK("http://www.rosaceae.org/Prunus/Prunus_persica/p.persica_gdr_reftransV1_0014553","p.persica_gdr_reftransV1_0014553")</f>
        <v>p.persica_gdr_reftransV1_0014553</v>
      </c>
      <c r="B7485" s="2">
        <v>458</v>
      </c>
      <c r="C7485" s="4" t="str">
        <f>HYPERLINK("http://www.uniprot.org/uniprot/M5XP90","M5XP90")</f>
        <v>M5XP90</v>
      </c>
      <c r="D7485" s="2" t="s">
        <v>6645</v>
      </c>
      <c r="E7485" s="3">
        <v>8.9299999999999998E-84</v>
      </c>
      <c r="F7485" s="2">
        <v>671</v>
      </c>
      <c r="G7485" s="2">
        <v>98</v>
      </c>
      <c r="H7485" s="2">
        <v>126</v>
      </c>
      <c r="I7485" s="2">
        <v>69</v>
      </c>
      <c r="J7485" s="2">
        <v>446</v>
      </c>
      <c r="K7485" s="2">
        <v>267</v>
      </c>
      <c r="L7485" s="2">
        <v>392</v>
      </c>
    </row>
    <row r="7486" spans="1:12" x14ac:dyDescent="0.25">
      <c r="A7486" s="4" t="str">
        <f>HYPERLINK("http://www.rosaceae.org/Prunus/Prunus_persica/p.persica_gdr_reftransV1_0014903","p.persica_gdr_reftransV1_0014903")</f>
        <v>p.persica_gdr_reftransV1_0014903</v>
      </c>
      <c r="B7486" s="2">
        <v>2752</v>
      </c>
      <c r="C7486" s="4" t="str">
        <f>HYPERLINK("http://www.uniprot.org/uniprot/W9QJQ1","W9QJQ1")</f>
        <v>W9QJQ1</v>
      </c>
      <c r="D7486" s="2" t="s">
        <v>186</v>
      </c>
      <c r="E7486" s="3">
        <v>0</v>
      </c>
      <c r="F7486" s="2">
        <v>1191</v>
      </c>
      <c r="G7486" s="2">
        <v>79</v>
      </c>
      <c r="H7486" s="2">
        <v>307</v>
      </c>
      <c r="I7486" s="2">
        <v>1832</v>
      </c>
      <c r="J7486" s="2">
        <v>2752</v>
      </c>
      <c r="K7486" s="2">
        <v>568</v>
      </c>
      <c r="L7486" s="2">
        <v>874</v>
      </c>
    </row>
    <row r="7487" spans="1:12" x14ac:dyDescent="0.25">
      <c r="A7487" s="4" t="str">
        <f>HYPERLINK("http://www.rosaceae.org/Prunus/Prunus_persica/p.persica_gdr_reftransV1_0015953","p.persica_gdr_reftransV1_0015953")</f>
        <v>p.persica_gdr_reftransV1_0015953</v>
      </c>
      <c r="B7487" s="2">
        <v>3581</v>
      </c>
      <c r="C7487" s="4" t="str">
        <f>HYPERLINK("http://www.uniprot.org/uniprot/M5XLK2","M5XLK2")</f>
        <v>M5XLK2</v>
      </c>
      <c r="D7487" s="2" t="s">
        <v>559</v>
      </c>
      <c r="E7487" s="3">
        <v>0</v>
      </c>
      <c r="F7487" s="2">
        <v>3544</v>
      </c>
      <c r="G7487" s="2">
        <v>100</v>
      </c>
      <c r="H7487" s="2">
        <v>716</v>
      </c>
      <c r="I7487" s="2">
        <v>904</v>
      </c>
      <c r="J7487" s="2">
        <v>3051</v>
      </c>
      <c r="K7487" s="2">
        <v>1</v>
      </c>
      <c r="L7487" s="2">
        <v>716</v>
      </c>
    </row>
    <row r="7488" spans="1:12" x14ac:dyDescent="0.25">
      <c r="A7488" s="4" t="str">
        <f>HYPERLINK("http://www.rosaceae.org/Prunus/Prunus_persica/p.persica_gdr_reftransV1_0018053","p.persica_gdr_reftransV1_0018053")</f>
        <v>p.persica_gdr_reftransV1_0018053</v>
      </c>
      <c r="B7488" s="2">
        <v>2554</v>
      </c>
      <c r="C7488" s="4" t="str">
        <f>HYPERLINK("http://www.uniprot.org/uniprot/M5X9I7","M5X9I7")</f>
        <v>M5X9I7</v>
      </c>
      <c r="D7488" s="2" t="s">
        <v>1136</v>
      </c>
      <c r="E7488" s="3">
        <v>0</v>
      </c>
      <c r="F7488" s="2">
        <v>1982</v>
      </c>
      <c r="G7488" s="2">
        <v>99</v>
      </c>
      <c r="H7488" s="2">
        <v>397</v>
      </c>
      <c r="I7488" s="2">
        <v>1</v>
      </c>
      <c r="J7488" s="2">
        <v>1191</v>
      </c>
      <c r="K7488" s="2">
        <v>22</v>
      </c>
      <c r="L7488" s="2">
        <v>418</v>
      </c>
    </row>
    <row r="7489" spans="1:12" x14ac:dyDescent="0.25">
      <c r="A7489" s="4" t="str">
        <f>HYPERLINK("http://www.rosaceae.org/Prunus/Prunus_persica/p.persica_gdr_reftransV1_0020153","p.persica_gdr_reftransV1_0020153")</f>
        <v>p.persica_gdr_reftransV1_0020153</v>
      </c>
      <c r="B7489" s="2">
        <v>1609</v>
      </c>
      <c r="C7489" s="4" t="str">
        <f>HYPERLINK("http://www.uniprot.org/uniprot/M5W4Z6","M5W4Z6")</f>
        <v>M5W4Z6</v>
      </c>
      <c r="D7489" s="2" t="s">
        <v>6646</v>
      </c>
      <c r="E7489" s="3">
        <v>0</v>
      </c>
      <c r="F7489" s="2">
        <v>2244</v>
      </c>
      <c r="G7489" s="2">
        <v>100</v>
      </c>
      <c r="H7489" s="2">
        <v>419</v>
      </c>
      <c r="I7489" s="2">
        <v>150</v>
      </c>
      <c r="J7489" s="2">
        <v>1406</v>
      </c>
      <c r="K7489" s="2">
        <v>1</v>
      </c>
      <c r="L7489" s="2">
        <v>419</v>
      </c>
    </row>
    <row r="7490" spans="1:12" x14ac:dyDescent="0.25">
      <c r="A7490" s="4" t="str">
        <f>HYPERLINK("http://www.rosaceae.org/Prunus/Prunus_persica/p.persica_gdr_reftransV1_0020503","p.persica_gdr_reftransV1_0020503")</f>
        <v>p.persica_gdr_reftransV1_0020503</v>
      </c>
      <c r="B7490" s="2">
        <v>1695</v>
      </c>
      <c r="C7490" s="4" t="str">
        <f>HYPERLINK("http://www.uniprot.org/uniprot/M5XDB0","M5XDB0")</f>
        <v>M5XDB0</v>
      </c>
      <c r="D7490" s="2" t="s">
        <v>6647</v>
      </c>
      <c r="E7490" s="3">
        <v>0</v>
      </c>
      <c r="F7490" s="2">
        <v>1478</v>
      </c>
      <c r="G7490" s="2">
        <v>100</v>
      </c>
      <c r="H7490" s="2">
        <v>316</v>
      </c>
      <c r="I7490" s="2">
        <v>426</v>
      </c>
      <c r="J7490" s="2">
        <v>1373</v>
      </c>
      <c r="K7490" s="2">
        <v>1</v>
      </c>
      <c r="L7490" s="2">
        <v>316</v>
      </c>
    </row>
    <row r="7491" spans="1:12" x14ac:dyDescent="0.25">
      <c r="A7491" s="4" t="str">
        <f>HYPERLINK("http://www.rosaceae.org/Prunus/Prunus_persica/p.persica_gdr_reftransV1_0020853","p.persica_gdr_reftransV1_0020853")</f>
        <v>p.persica_gdr_reftransV1_0020853</v>
      </c>
      <c r="B7491" s="2">
        <v>2675</v>
      </c>
      <c r="C7491" s="4" t="str">
        <f>HYPERLINK("http://www.uniprot.org/uniprot/M5X7Q3","M5X7Q3")</f>
        <v>M5X7Q3</v>
      </c>
      <c r="D7491" s="2" t="s">
        <v>6648</v>
      </c>
      <c r="E7491" s="3">
        <v>0</v>
      </c>
      <c r="F7491" s="2">
        <v>1867</v>
      </c>
      <c r="G7491" s="2">
        <v>100</v>
      </c>
      <c r="H7491" s="2">
        <v>372</v>
      </c>
      <c r="I7491" s="2">
        <v>1201</v>
      </c>
      <c r="J7491" s="2">
        <v>2316</v>
      </c>
      <c r="K7491" s="2">
        <v>1</v>
      </c>
      <c r="L7491" s="2">
        <v>372</v>
      </c>
    </row>
    <row r="7492" spans="1:12" x14ac:dyDescent="0.25">
      <c r="A7492" s="4" t="str">
        <f>HYPERLINK("http://www.rosaceae.org/Prunus/Prunus_persica/p.persica_gdr_reftransV1_0021553","p.persica_gdr_reftransV1_0021553")</f>
        <v>p.persica_gdr_reftransV1_0021553</v>
      </c>
      <c r="B7492" s="2">
        <v>4134</v>
      </c>
      <c r="C7492" s="4" t="str">
        <f>HYPERLINK("http://www.uniprot.org/uniprot/M5VJD4","M5VJD4")</f>
        <v>M5VJD4</v>
      </c>
      <c r="D7492" s="2" t="s">
        <v>6649</v>
      </c>
      <c r="E7492" s="3">
        <v>0</v>
      </c>
      <c r="F7492" s="2">
        <v>3179</v>
      </c>
      <c r="G7492" s="2">
        <v>100</v>
      </c>
      <c r="H7492" s="2">
        <v>702</v>
      </c>
      <c r="I7492" s="2">
        <v>1853</v>
      </c>
      <c r="J7492" s="2">
        <v>3958</v>
      </c>
      <c r="K7492" s="2">
        <v>23</v>
      </c>
      <c r="L7492" s="2">
        <v>724</v>
      </c>
    </row>
    <row r="7493" spans="1:12" x14ac:dyDescent="0.25">
      <c r="A7493" s="4" t="str">
        <f>HYPERLINK("http://www.rosaceae.org/Prunus/Prunus_persica/p.persica_gdr_reftransV1_0021903","p.persica_gdr_reftransV1_0021903")</f>
        <v>p.persica_gdr_reftransV1_0021903</v>
      </c>
      <c r="B7493" s="2">
        <v>1095</v>
      </c>
      <c r="C7493" s="4" t="str">
        <f>HYPERLINK("http://www.uniprot.org/uniprot/M5WLD7","M5WLD7")</f>
        <v>M5WLD7</v>
      </c>
      <c r="D7493" s="2" t="s">
        <v>264</v>
      </c>
      <c r="E7493" s="3">
        <v>3.3000000000000001E-121</v>
      </c>
      <c r="F7493" s="2">
        <v>928</v>
      </c>
      <c r="G7493" s="2">
        <v>100</v>
      </c>
      <c r="H7493" s="2">
        <v>206</v>
      </c>
      <c r="I7493" s="2">
        <v>94</v>
      </c>
      <c r="J7493" s="2">
        <v>711</v>
      </c>
      <c r="K7493" s="2">
        <v>31</v>
      </c>
      <c r="L7493" s="2">
        <v>236</v>
      </c>
    </row>
    <row r="7494" spans="1:12" x14ac:dyDescent="0.25">
      <c r="A7494" s="4" t="str">
        <f>HYPERLINK("http://www.rosaceae.org/Prunus/Prunus_persica/p.persica_gdr_reftransV1_0023303","p.persica_gdr_reftransV1_0023303")</f>
        <v>p.persica_gdr_reftransV1_0023303</v>
      </c>
      <c r="B7494" s="2">
        <v>2116</v>
      </c>
      <c r="C7494" s="4" t="str">
        <f>HYPERLINK("http://www.uniprot.org/uniprot/M5X5N7","M5X5N7")</f>
        <v>M5X5N7</v>
      </c>
      <c r="D7494" s="2" t="s">
        <v>6650</v>
      </c>
      <c r="E7494" s="3">
        <v>0</v>
      </c>
      <c r="F7494" s="2">
        <v>2726</v>
      </c>
      <c r="G7494" s="2">
        <v>100</v>
      </c>
      <c r="H7494" s="2">
        <v>542</v>
      </c>
      <c r="I7494" s="2">
        <v>274</v>
      </c>
      <c r="J7494" s="2">
        <v>1899</v>
      </c>
      <c r="K7494" s="2">
        <v>1</v>
      </c>
      <c r="L7494" s="2">
        <v>542</v>
      </c>
    </row>
    <row r="7495" spans="1:12" x14ac:dyDescent="0.25">
      <c r="A7495" s="4" t="str">
        <f>HYPERLINK("http://www.rosaceae.org/Prunus/Prunus_persica/p.persica_gdr_reftransV1_0024353","p.persica_gdr_reftransV1_0024353")</f>
        <v>p.persica_gdr_reftransV1_0024353</v>
      </c>
      <c r="B7495" s="2">
        <v>2001</v>
      </c>
      <c r="C7495" s="4" t="str">
        <f>HYPERLINK("http://www.uniprot.org/uniprot/M5XER6","M5XER6")</f>
        <v>M5XER6</v>
      </c>
      <c r="D7495" s="2" t="s">
        <v>6651</v>
      </c>
      <c r="E7495" s="3">
        <v>1.0799999999999999E-98</v>
      </c>
      <c r="F7495" s="2">
        <v>808</v>
      </c>
      <c r="G7495" s="2">
        <v>95</v>
      </c>
      <c r="H7495" s="2">
        <v>179</v>
      </c>
      <c r="I7495" s="2">
        <v>1198</v>
      </c>
      <c r="J7495" s="2">
        <v>1722</v>
      </c>
      <c r="K7495" s="2">
        <v>101</v>
      </c>
      <c r="L7495" s="2">
        <v>279</v>
      </c>
    </row>
    <row r="7496" spans="1:12" x14ac:dyDescent="0.25">
      <c r="A7496" s="4" t="str">
        <f>HYPERLINK("http://www.rosaceae.org/Prunus/Prunus_persica/p.persica_gdr_reftransV1_0025753","p.persica_gdr_reftransV1_0025753")</f>
        <v>p.persica_gdr_reftransV1_0025753</v>
      </c>
      <c r="B7496" s="2">
        <v>1827</v>
      </c>
      <c r="C7496" s="4" t="str">
        <f>HYPERLINK("http://www.uniprot.org/uniprot/M5WP84","M5WP84")</f>
        <v>M5WP84</v>
      </c>
      <c r="D7496" s="2" t="s">
        <v>6652</v>
      </c>
      <c r="E7496" s="3">
        <v>0</v>
      </c>
      <c r="F7496" s="2">
        <v>2405</v>
      </c>
      <c r="G7496" s="2">
        <v>100</v>
      </c>
      <c r="H7496" s="2">
        <v>480</v>
      </c>
      <c r="I7496" s="2">
        <v>302</v>
      </c>
      <c r="J7496" s="2">
        <v>1741</v>
      </c>
      <c r="K7496" s="2">
        <v>1</v>
      </c>
      <c r="L7496" s="2">
        <v>480</v>
      </c>
    </row>
    <row r="7497" spans="1:12" x14ac:dyDescent="0.25">
      <c r="A7497" s="4" t="str">
        <f>HYPERLINK("http://www.rosaceae.org/Prunus/Prunus_persica/p.persica_gdr_reftransV1_0026453","p.persica_gdr_reftransV1_0026453")</f>
        <v>p.persica_gdr_reftransV1_0026453</v>
      </c>
      <c r="B7497" s="2">
        <v>3137</v>
      </c>
      <c r="C7497" s="4" t="str">
        <f>HYPERLINK("http://www.uniprot.org/uniprot/M5X4I5","M5X4I5")</f>
        <v>M5X4I5</v>
      </c>
      <c r="D7497" s="2" t="s">
        <v>4563</v>
      </c>
      <c r="E7497" s="3">
        <v>0</v>
      </c>
      <c r="F7497" s="2">
        <v>1707</v>
      </c>
      <c r="G7497" s="2">
        <v>87</v>
      </c>
      <c r="H7497" s="2">
        <v>444</v>
      </c>
      <c r="I7497" s="2">
        <v>1878</v>
      </c>
      <c r="J7497" s="2">
        <v>3137</v>
      </c>
      <c r="K7497" s="2">
        <v>155</v>
      </c>
      <c r="L7497" s="2">
        <v>598</v>
      </c>
    </row>
    <row r="7498" spans="1:12" x14ac:dyDescent="0.25">
      <c r="A7498" s="4" t="str">
        <f>HYPERLINK("http://www.rosaceae.org/Prunus/Prunus_persica/p.persica_gdr_reftransV1_0029603","p.persica_gdr_reftransV1_0029603")</f>
        <v>p.persica_gdr_reftransV1_0029603</v>
      </c>
      <c r="B7498" s="2">
        <v>1040</v>
      </c>
      <c r="C7498" s="4" t="str">
        <f>HYPERLINK("http://www.uniprot.org/uniprot/M5X1X5","M5X1X5")</f>
        <v>M5X1X5</v>
      </c>
      <c r="D7498" s="2" t="s">
        <v>6653</v>
      </c>
      <c r="E7498" s="3">
        <v>7.5400000000000006E-170</v>
      </c>
      <c r="F7498" s="2">
        <v>1257</v>
      </c>
      <c r="G7498" s="2">
        <v>100</v>
      </c>
      <c r="H7498" s="2">
        <v>238</v>
      </c>
      <c r="I7498" s="2">
        <v>150</v>
      </c>
      <c r="J7498" s="2">
        <v>863</v>
      </c>
      <c r="K7498" s="2">
        <v>22</v>
      </c>
      <c r="L7498" s="2">
        <v>259</v>
      </c>
    </row>
    <row r="7499" spans="1:12" x14ac:dyDescent="0.25">
      <c r="A7499" s="4" t="str">
        <f>HYPERLINK("http://www.rosaceae.org/Prunus/Prunus_persica/p.persica_gdr_reftransV1_0032753","p.persica_gdr_reftransV1_0032753")</f>
        <v>p.persica_gdr_reftransV1_0032753</v>
      </c>
      <c r="B7499" s="2">
        <v>3058</v>
      </c>
      <c r="C7499" s="4" t="str">
        <f>HYPERLINK("http://www.uniprot.org/uniprot/M5WFC0","M5WFC0")</f>
        <v>M5WFC0</v>
      </c>
      <c r="D7499" s="2" t="s">
        <v>6654</v>
      </c>
      <c r="E7499" s="3">
        <v>0</v>
      </c>
      <c r="F7499" s="2">
        <v>1635</v>
      </c>
      <c r="G7499" s="2">
        <v>100</v>
      </c>
      <c r="H7499" s="2">
        <v>334</v>
      </c>
      <c r="I7499" s="2">
        <v>120</v>
      </c>
      <c r="J7499" s="2">
        <v>1121</v>
      </c>
      <c r="K7499" s="2">
        <v>4</v>
      </c>
      <c r="L7499" s="2">
        <v>337</v>
      </c>
    </row>
    <row r="7500" spans="1:12" x14ac:dyDescent="0.25">
      <c r="A7500" s="4" t="str">
        <f>HYPERLINK("http://www.rosaceae.org/Prunus/Prunus_persica/p.persica_gdr_reftransV1_0034503","p.persica_gdr_reftransV1_0034503")</f>
        <v>p.persica_gdr_reftransV1_0034503</v>
      </c>
      <c r="B7500" s="2">
        <v>1756</v>
      </c>
      <c r="C7500" s="4" t="str">
        <f>HYPERLINK("http://www.uniprot.org/uniprot/M5VJA6","M5VJA6")</f>
        <v>M5VJA6</v>
      </c>
      <c r="D7500" s="2" t="s">
        <v>4286</v>
      </c>
      <c r="E7500" s="3">
        <v>0</v>
      </c>
      <c r="F7500" s="2">
        <v>1601</v>
      </c>
      <c r="G7500" s="2">
        <v>99</v>
      </c>
      <c r="H7500" s="2">
        <v>301</v>
      </c>
      <c r="I7500" s="2">
        <v>852</v>
      </c>
      <c r="J7500" s="2">
        <v>1754</v>
      </c>
      <c r="K7500" s="2">
        <v>342</v>
      </c>
      <c r="L7500" s="2">
        <v>642</v>
      </c>
    </row>
    <row r="7501" spans="1:12" x14ac:dyDescent="0.25">
      <c r="A7501" s="4" t="str">
        <f>HYPERLINK("http://www.rosaceae.org/Prunus/Prunus_persica/p.persica_gdr_reftransV1_0036603","p.persica_gdr_reftransV1_0036603")</f>
        <v>p.persica_gdr_reftransV1_0036603</v>
      </c>
      <c r="B7501" s="2">
        <v>2626</v>
      </c>
      <c r="C7501" s="4" t="str">
        <f>HYPERLINK("http://www.uniprot.org/uniprot/M5VLX5","M5VLX5")</f>
        <v>M5VLX5</v>
      </c>
      <c r="D7501" s="2" t="s">
        <v>6655</v>
      </c>
      <c r="E7501" s="3">
        <v>0</v>
      </c>
      <c r="F7501" s="2">
        <v>2520</v>
      </c>
      <c r="G7501" s="2">
        <v>100</v>
      </c>
      <c r="H7501" s="2">
        <v>519</v>
      </c>
      <c r="I7501" s="2">
        <v>980</v>
      </c>
      <c r="J7501" s="2">
        <v>2536</v>
      </c>
      <c r="K7501" s="2">
        <v>1</v>
      </c>
      <c r="L7501" s="2">
        <v>519</v>
      </c>
    </row>
    <row r="7502" spans="1:12" x14ac:dyDescent="0.25">
      <c r="A7502" s="4" t="str">
        <f>HYPERLINK("http://www.rosaceae.org/Prunus/Prunus_persica/p.persica_gdr_reftransV1_0039053","p.persica_gdr_reftransV1_0039053")</f>
        <v>p.persica_gdr_reftransV1_0039053</v>
      </c>
      <c r="B7502" s="2">
        <v>2310</v>
      </c>
      <c r="C7502" s="4" t="str">
        <f>HYPERLINK("http://www.uniprot.org/uniprot/M5WKZ6","M5WKZ6")</f>
        <v>M5WKZ6</v>
      </c>
      <c r="D7502" s="2" t="s">
        <v>6656</v>
      </c>
      <c r="E7502" s="3">
        <v>0</v>
      </c>
      <c r="F7502" s="2">
        <v>2414</v>
      </c>
      <c r="G7502" s="2">
        <v>100</v>
      </c>
      <c r="H7502" s="2">
        <v>447</v>
      </c>
      <c r="I7502" s="2">
        <v>665</v>
      </c>
      <c r="J7502" s="2">
        <v>2005</v>
      </c>
      <c r="K7502" s="2">
        <v>1</v>
      </c>
      <c r="L7502" s="2">
        <v>447</v>
      </c>
    </row>
    <row r="7503" spans="1:12" x14ac:dyDescent="0.25">
      <c r="A7503" s="4" t="str">
        <f>HYPERLINK("http://www.rosaceae.org/Prunus/Prunus_persica/p.persica_gdr_reftransV1_0039403","p.persica_gdr_reftransV1_0039403")</f>
        <v>p.persica_gdr_reftransV1_0039403</v>
      </c>
      <c r="B7503" s="2">
        <v>2686</v>
      </c>
      <c r="C7503" s="4" t="str">
        <f>HYPERLINK("http://www.uniprot.org/uniprot/M5XEH4","M5XEH4")</f>
        <v>M5XEH4</v>
      </c>
      <c r="D7503" s="2" t="s">
        <v>6657</v>
      </c>
      <c r="E7503" s="3">
        <v>5.0500000000000001E-157</v>
      </c>
      <c r="F7503" s="2">
        <v>1236</v>
      </c>
      <c r="G7503" s="2">
        <v>97</v>
      </c>
      <c r="H7503" s="2">
        <v>318</v>
      </c>
      <c r="I7503" s="2">
        <v>1631</v>
      </c>
      <c r="J7503" s="2">
        <v>2578</v>
      </c>
      <c r="K7503" s="2">
        <v>1</v>
      </c>
      <c r="L7503" s="2">
        <v>318</v>
      </c>
    </row>
    <row r="7504" spans="1:12" x14ac:dyDescent="0.25">
      <c r="A7504" s="4" t="str">
        <f>HYPERLINK("http://www.rosaceae.org/Prunus/Prunus_persica/p.persica_gdr_reftransV1_0039753","p.persica_gdr_reftransV1_0039753")</f>
        <v>p.persica_gdr_reftransV1_0039753</v>
      </c>
      <c r="B7504" s="2">
        <v>3526</v>
      </c>
      <c r="C7504" s="4" t="str">
        <f>HYPERLINK("http://www.uniprot.org/uniprot/M5VQM9","M5VQM9")</f>
        <v>M5VQM9</v>
      </c>
      <c r="D7504" s="2" t="s">
        <v>6658</v>
      </c>
      <c r="E7504" s="3">
        <v>0</v>
      </c>
      <c r="F7504" s="2">
        <v>1735</v>
      </c>
      <c r="G7504" s="2">
        <v>100</v>
      </c>
      <c r="H7504" s="2">
        <v>349</v>
      </c>
      <c r="I7504" s="2">
        <v>580</v>
      </c>
      <c r="J7504" s="2">
        <v>1626</v>
      </c>
      <c r="K7504" s="2">
        <v>18</v>
      </c>
      <c r="L7504" s="2">
        <v>366</v>
      </c>
    </row>
    <row r="7505" spans="1:12" x14ac:dyDescent="0.25">
      <c r="A7505" s="4" t="str">
        <f>HYPERLINK("http://www.rosaceae.org/Prunus/Prunus_persica/p.persica_gdr_reftransV1_0041153","p.persica_gdr_reftransV1_0041153")</f>
        <v>p.persica_gdr_reftransV1_0041153</v>
      </c>
      <c r="B7505" s="2">
        <v>693</v>
      </c>
      <c r="C7505" s="4" t="str">
        <f>HYPERLINK("http://www.uniprot.org/uniprot/M5X774","M5X774")</f>
        <v>M5X774</v>
      </c>
      <c r="D7505" s="2" t="s">
        <v>6659</v>
      </c>
      <c r="E7505" s="3">
        <v>8.9299999999999994E-21</v>
      </c>
      <c r="F7505" s="2">
        <v>240</v>
      </c>
      <c r="G7505" s="2">
        <v>100</v>
      </c>
      <c r="H7505" s="2">
        <v>42</v>
      </c>
      <c r="I7505" s="2">
        <v>308</v>
      </c>
      <c r="J7505" s="2">
        <v>433</v>
      </c>
      <c r="K7505" s="2">
        <v>186</v>
      </c>
      <c r="L7505" s="2">
        <v>227</v>
      </c>
    </row>
    <row r="7506" spans="1:12" x14ac:dyDescent="0.25">
      <c r="A7506" s="4" t="str">
        <f>HYPERLINK("http://www.rosaceae.org/Prunus/Prunus_persica/p.persica_gdr_reftransV1_0041853","p.persica_gdr_reftransV1_0041853")</f>
        <v>p.persica_gdr_reftransV1_0041853</v>
      </c>
      <c r="B7506" s="2">
        <v>3462</v>
      </c>
      <c r="C7506" s="4" t="str">
        <f>HYPERLINK("http://www.uniprot.org/uniprot/M5XP16","M5XP16")</f>
        <v>M5XP16</v>
      </c>
      <c r="D7506" s="2" t="s">
        <v>6660</v>
      </c>
      <c r="E7506" s="3">
        <v>0</v>
      </c>
      <c r="F7506" s="2">
        <v>2788</v>
      </c>
      <c r="G7506" s="2">
        <v>93</v>
      </c>
      <c r="H7506" s="2">
        <v>640</v>
      </c>
      <c r="I7506" s="2">
        <v>1295</v>
      </c>
      <c r="J7506" s="2">
        <v>3214</v>
      </c>
      <c r="K7506" s="2">
        <v>1</v>
      </c>
      <c r="L7506" s="2">
        <v>594</v>
      </c>
    </row>
    <row r="7507" spans="1:12" x14ac:dyDescent="0.25">
      <c r="A7507" s="4" t="str">
        <f>HYPERLINK("http://www.rosaceae.org/Prunus/Prunus_persica/p.persica_gdr_reftransV1_0043253","p.persica_gdr_reftransV1_0043253")</f>
        <v>p.persica_gdr_reftransV1_0043253</v>
      </c>
      <c r="B7507" s="2">
        <v>945</v>
      </c>
      <c r="C7507" s="4" t="str">
        <f>HYPERLINK("http://www.uniprot.org/uniprot/M5VUN2","M5VUN2")</f>
        <v>M5VUN2</v>
      </c>
      <c r="D7507" s="2" t="s">
        <v>6661</v>
      </c>
      <c r="E7507" s="3">
        <v>6.6900000000000002E-118</v>
      </c>
      <c r="F7507" s="2">
        <v>895</v>
      </c>
      <c r="G7507" s="2">
        <v>100</v>
      </c>
      <c r="H7507" s="2">
        <v>180</v>
      </c>
      <c r="I7507" s="2">
        <v>95</v>
      </c>
      <c r="J7507" s="2">
        <v>634</v>
      </c>
      <c r="K7507" s="2">
        <v>6</v>
      </c>
      <c r="L7507" s="2">
        <v>185</v>
      </c>
    </row>
    <row r="7508" spans="1:12" x14ac:dyDescent="0.25">
      <c r="A7508" s="4" t="str">
        <f>HYPERLINK("http://www.rosaceae.org/Prunus/Prunus_persica/p.persica_gdr_reftransV1_0043603","p.persica_gdr_reftransV1_0043603")</f>
        <v>p.persica_gdr_reftransV1_0043603</v>
      </c>
      <c r="B7508" s="2">
        <v>721</v>
      </c>
      <c r="C7508" s="4" t="str">
        <f>HYPERLINK("http://www.uniprot.org/uniprot/M5XHL1","M5XHL1")</f>
        <v>M5XHL1</v>
      </c>
      <c r="D7508" s="2" t="s">
        <v>6662</v>
      </c>
      <c r="E7508" s="3">
        <v>4.35E-59</v>
      </c>
      <c r="F7508" s="2">
        <v>490</v>
      </c>
      <c r="G7508" s="2">
        <v>100</v>
      </c>
      <c r="H7508" s="2">
        <v>97</v>
      </c>
      <c r="I7508" s="2">
        <v>150</v>
      </c>
      <c r="J7508" s="2">
        <v>440</v>
      </c>
      <c r="K7508" s="2">
        <v>1</v>
      </c>
      <c r="L7508" s="2">
        <v>97</v>
      </c>
    </row>
    <row r="7509" spans="1:12" x14ac:dyDescent="0.25">
      <c r="A7509" s="4" t="str">
        <f>HYPERLINK("http://www.rosaceae.org/Prunus/Prunus_persica/p.persica_gdr_reftransV1_0043953","p.persica_gdr_reftransV1_0043953")</f>
        <v>p.persica_gdr_reftransV1_0043953</v>
      </c>
      <c r="B7509" s="2">
        <v>421</v>
      </c>
      <c r="C7509" s="4" t="str">
        <f>HYPERLINK("http://www.uniprot.org/uniprot/M5WWX2","M5WWX2")</f>
        <v>M5WWX2</v>
      </c>
      <c r="D7509" s="2" t="s">
        <v>319</v>
      </c>
      <c r="E7509" s="3">
        <v>2.3799999999999999E-91</v>
      </c>
      <c r="F7509" s="2">
        <v>740</v>
      </c>
      <c r="G7509" s="2">
        <v>100</v>
      </c>
      <c r="H7509" s="2">
        <v>140</v>
      </c>
      <c r="I7509" s="2">
        <v>2</v>
      </c>
      <c r="J7509" s="2">
        <v>421</v>
      </c>
      <c r="K7509" s="2">
        <v>47</v>
      </c>
      <c r="L7509" s="2">
        <v>186</v>
      </c>
    </row>
    <row r="7510" spans="1:12" x14ac:dyDescent="0.25">
      <c r="A7510" s="4" t="str">
        <f>HYPERLINK("http://www.rosaceae.org/Prunus/Prunus_persica/p.persica_gdr_reftransV1_0044303","p.persica_gdr_reftransV1_0044303")</f>
        <v>p.persica_gdr_reftransV1_0044303</v>
      </c>
      <c r="B7510" s="2">
        <v>1688</v>
      </c>
      <c r="C7510" s="4" t="str">
        <f>HYPERLINK("http://www.uniprot.org/uniprot/M5W6T8","M5W6T8")</f>
        <v>M5W6T8</v>
      </c>
      <c r="D7510" s="2" t="s">
        <v>6663</v>
      </c>
      <c r="E7510" s="3">
        <v>0</v>
      </c>
      <c r="F7510" s="2">
        <v>2410</v>
      </c>
      <c r="G7510" s="2">
        <v>92</v>
      </c>
      <c r="H7510" s="2">
        <v>482</v>
      </c>
      <c r="I7510" s="2">
        <v>81</v>
      </c>
      <c r="J7510" s="2">
        <v>1526</v>
      </c>
      <c r="K7510" s="2">
        <v>5</v>
      </c>
      <c r="L7510" s="2">
        <v>486</v>
      </c>
    </row>
    <row r="7511" spans="1:12" x14ac:dyDescent="0.25">
      <c r="A7511" s="4" t="str">
        <f>HYPERLINK("http://www.rosaceae.org/Prunus/Prunus_persica/p.persica_gdr_reftransV1_0044653","p.persica_gdr_reftransV1_0044653")</f>
        <v>p.persica_gdr_reftransV1_0044653</v>
      </c>
      <c r="B7511" s="2">
        <v>3540</v>
      </c>
      <c r="C7511" s="4" t="str">
        <f>HYPERLINK("http://www.uniprot.org/uniprot/M5WEE4","M5WEE4")</f>
        <v>M5WEE4</v>
      </c>
      <c r="D7511" s="2" t="s">
        <v>6664</v>
      </c>
      <c r="E7511" s="3">
        <v>0</v>
      </c>
      <c r="F7511" s="2">
        <v>4971</v>
      </c>
      <c r="G7511" s="2">
        <v>92</v>
      </c>
      <c r="H7511" s="2">
        <v>1111</v>
      </c>
      <c r="I7511" s="2">
        <v>56</v>
      </c>
      <c r="J7511" s="2">
        <v>3388</v>
      </c>
      <c r="K7511" s="2">
        <v>1</v>
      </c>
      <c r="L7511" s="2">
        <v>1039</v>
      </c>
    </row>
    <row r="7512" spans="1:12" x14ac:dyDescent="0.25">
      <c r="A7512" s="4" t="str">
        <f>HYPERLINK("http://www.rosaceae.org/Prunus/Prunus_persica/p.persica_gdr_reftransV1_0045003","p.persica_gdr_reftransV1_0045003")</f>
        <v>p.persica_gdr_reftransV1_0045003</v>
      </c>
      <c r="B7512" s="2">
        <v>1076</v>
      </c>
      <c r="C7512" s="4" t="str">
        <f>HYPERLINK("http://www.uniprot.org/uniprot/C6SX93","C6SX93")</f>
        <v>C6SX93</v>
      </c>
      <c r="D7512" s="2" t="s">
        <v>6665</v>
      </c>
      <c r="E7512" s="3">
        <v>2.19E-46</v>
      </c>
      <c r="F7512" s="2">
        <v>420</v>
      </c>
      <c r="G7512" s="2">
        <v>68</v>
      </c>
      <c r="H7512" s="2">
        <v>155</v>
      </c>
      <c r="I7512" s="2">
        <v>119</v>
      </c>
      <c r="J7512" s="2">
        <v>583</v>
      </c>
      <c r="K7512" s="2">
        <v>1</v>
      </c>
      <c r="L7512" s="2">
        <v>151</v>
      </c>
    </row>
    <row r="7513" spans="1:12" x14ac:dyDescent="0.25">
      <c r="A7513" s="4" t="str">
        <f>HYPERLINK("http://www.rosaceae.org/Prunus/Prunus_persica/p.persica_gdr_reftransV1_0045353","p.persica_gdr_reftransV1_0045353")</f>
        <v>p.persica_gdr_reftransV1_0045353</v>
      </c>
      <c r="B7513" s="2">
        <v>1071</v>
      </c>
      <c r="C7513" s="4" t="str">
        <f>HYPERLINK("http://www.uniprot.org/uniprot/M5W953","M5W953")</f>
        <v>M5W953</v>
      </c>
      <c r="D7513" s="2" t="s">
        <v>6666</v>
      </c>
      <c r="E7513" s="3">
        <v>1.1299999999999999E-161</v>
      </c>
      <c r="F7513" s="2">
        <v>1213</v>
      </c>
      <c r="G7513" s="2">
        <v>100</v>
      </c>
      <c r="H7513" s="2">
        <v>234</v>
      </c>
      <c r="I7513" s="2">
        <v>233</v>
      </c>
      <c r="J7513" s="2">
        <v>934</v>
      </c>
      <c r="K7513" s="2">
        <v>1</v>
      </c>
      <c r="L7513" s="2">
        <v>234</v>
      </c>
    </row>
    <row r="7514" spans="1:12" x14ac:dyDescent="0.25">
      <c r="A7514" s="4" t="str">
        <f>HYPERLINK("http://www.rosaceae.org/Prunus/Prunus_persica/p.persica_gdr_reftransV1_0045703","p.persica_gdr_reftransV1_0045703")</f>
        <v>p.persica_gdr_reftransV1_0045703</v>
      </c>
      <c r="B7514" s="2">
        <v>3165</v>
      </c>
      <c r="C7514" s="4" t="str">
        <f>HYPERLINK("http://www.uniprot.org/uniprot/M5XFW0","M5XFW0")</f>
        <v>M5XFW0</v>
      </c>
      <c r="D7514" s="2" t="s">
        <v>6667</v>
      </c>
      <c r="E7514" s="3">
        <v>0</v>
      </c>
      <c r="F7514" s="2">
        <v>2494</v>
      </c>
      <c r="G7514" s="2">
        <v>100</v>
      </c>
      <c r="H7514" s="2">
        <v>493</v>
      </c>
      <c r="I7514" s="2">
        <v>1345</v>
      </c>
      <c r="J7514" s="2">
        <v>2823</v>
      </c>
      <c r="K7514" s="2">
        <v>1</v>
      </c>
      <c r="L7514" s="2">
        <v>493</v>
      </c>
    </row>
    <row r="7515" spans="1:12" x14ac:dyDescent="0.25">
      <c r="A7515" s="4" t="str">
        <f>HYPERLINK("http://www.rosaceae.org/Prunus/Prunus_persica/p.persica_gdr_reftransV1_0046053","p.persica_gdr_reftransV1_0046053")</f>
        <v>p.persica_gdr_reftransV1_0046053</v>
      </c>
      <c r="B7515" s="2">
        <v>855</v>
      </c>
      <c r="C7515" s="4" t="str">
        <f>HYPERLINK("http://www.uniprot.org/uniprot/A0A0B0MLM9","A0A0B0MLM9")</f>
        <v>A0A0B0MLM9</v>
      </c>
      <c r="D7515" s="2" t="s">
        <v>1358</v>
      </c>
      <c r="E7515" s="3">
        <v>1.1599999999999999E-92</v>
      </c>
      <c r="F7515" s="2">
        <v>722</v>
      </c>
      <c r="G7515" s="2">
        <v>100</v>
      </c>
      <c r="H7515" s="2">
        <v>139</v>
      </c>
      <c r="I7515" s="2">
        <v>248</v>
      </c>
      <c r="J7515" s="2">
        <v>664</v>
      </c>
      <c r="K7515" s="2">
        <v>14</v>
      </c>
      <c r="L7515" s="2">
        <v>152</v>
      </c>
    </row>
    <row r="7516" spans="1:12" x14ac:dyDescent="0.25">
      <c r="A7516" s="4" t="str">
        <f>HYPERLINK("http://www.rosaceae.org/Prunus/Prunus_persica/p.persica_gdr_reftransV1_0046753","p.persica_gdr_reftransV1_0046753")</f>
        <v>p.persica_gdr_reftransV1_0046753</v>
      </c>
      <c r="B7516" s="2">
        <v>862</v>
      </c>
      <c r="C7516" s="4" t="str">
        <f>HYPERLINK("http://www.uniprot.org/uniprot/M5XB89","M5XB89")</f>
        <v>M5XB89</v>
      </c>
      <c r="D7516" s="2" t="s">
        <v>6371</v>
      </c>
      <c r="E7516" s="3">
        <v>2.1700000000000001E-82</v>
      </c>
      <c r="F7516" s="2">
        <v>673</v>
      </c>
      <c r="G7516" s="2">
        <v>88</v>
      </c>
      <c r="H7516" s="2">
        <v>150</v>
      </c>
      <c r="I7516" s="2">
        <v>307</v>
      </c>
      <c r="J7516" s="2">
        <v>753</v>
      </c>
      <c r="K7516" s="2">
        <v>1</v>
      </c>
      <c r="L7516" s="2">
        <v>150</v>
      </c>
    </row>
    <row r="7517" spans="1:12" x14ac:dyDescent="0.25">
      <c r="A7517" s="4" t="str">
        <f>HYPERLINK("http://www.rosaceae.org/Prunus/Prunus_persica/p.persica_gdr_reftransV1_0047103","p.persica_gdr_reftransV1_0047103")</f>
        <v>p.persica_gdr_reftransV1_0047103</v>
      </c>
      <c r="B7517" s="2">
        <v>1245</v>
      </c>
      <c r="C7517" s="4" t="str">
        <f>HYPERLINK("http://www.uniprot.org/uniprot/V4TBN5","V4TBN5")</f>
        <v>V4TBN5</v>
      </c>
      <c r="D7517" s="2" t="s">
        <v>6668</v>
      </c>
      <c r="E7517" s="3">
        <v>9.2200000000000004E-117</v>
      </c>
      <c r="F7517" s="2">
        <v>910</v>
      </c>
      <c r="G7517" s="2">
        <v>61</v>
      </c>
      <c r="H7517" s="2">
        <v>303</v>
      </c>
      <c r="I7517" s="2">
        <v>77</v>
      </c>
      <c r="J7517" s="2">
        <v>802</v>
      </c>
      <c r="K7517" s="2">
        <v>1</v>
      </c>
      <c r="L7517" s="2">
        <v>303</v>
      </c>
    </row>
    <row r="7518" spans="1:12" x14ac:dyDescent="0.25">
      <c r="A7518" s="4" t="str">
        <f>HYPERLINK("http://www.rosaceae.org/Prunus/Prunus_persica/p.persica_gdr_reftransV1_0047803","p.persica_gdr_reftransV1_0047803")</f>
        <v>p.persica_gdr_reftransV1_0047803</v>
      </c>
      <c r="B7518" s="2">
        <v>1157</v>
      </c>
      <c r="C7518" s="4" t="str">
        <f>HYPERLINK("http://www.uniprot.org/uniprot/M5X8S6","M5X8S6")</f>
        <v>M5X8S6</v>
      </c>
      <c r="D7518" s="2" t="s">
        <v>6669</v>
      </c>
      <c r="E7518" s="3">
        <v>6.4299999999999996E-155</v>
      </c>
      <c r="F7518" s="2">
        <v>1157</v>
      </c>
      <c r="G7518" s="2">
        <v>100</v>
      </c>
      <c r="H7518" s="2">
        <v>247</v>
      </c>
      <c r="I7518" s="2">
        <v>255</v>
      </c>
      <c r="J7518" s="2">
        <v>995</v>
      </c>
      <c r="K7518" s="2">
        <v>1</v>
      </c>
      <c r="L7518" s="2">
        <v>247</v>
      </c>
    </row>
    <row r="7519" spans="1:12" x14ac:dyDescent="0.25">
      <c r="A7519" s="4" t="str">
        <f>HYPERLINK("http://www.rosaceae.org/Prunus/Prunus_persica/p.persica_gdr_reftransV1_0048153","p.persica_gdr_reftransV1_0048153")</f>
        <v>p.persica_gdr_reftransV1_0048153</v>
      </c>
      <c r="B7519" s="2">
        <v>1854</v>
      </c>
      <c r="C7519" s="4" t="str">
        <f>HYPERLINK("http://www.uniprot.org/uniprot/M5X2N9","M5X2N9")</f>
        <v>M5X2N9</v>
      </c>
      <c r="D7519" s="2" t="s">
        <v>6670</v>
      </c>
      <c r="E7519" s="3">
        <v>0</v>
      </c>
      <c r="F7519" s="2">
        <v>2379</v>
      </c>
      <c r="G7519" s="2">
        <v>100</v>
      </c>
      <c r="H7519" s="2">
        <v>485</v>
      </c>
      <c r="I7519" s="2">
        <v>235</v>
      </c>
      <c r="J7519" s="2">
        <v>1689</v>
      </c>
      <c r="K7519" s="2">
        <v>51</v>
      </c>
      <c r="L7519" s="2">
        <v>535</v>
      </c>
    </row>
    <row r="7520" spans="1:12" x14ac:dyDescent="0.25">
      <c r="A7520" s="4" t="str">
        <f>HYPERLINK("http://www.rosaceae.org/Prunus/Prunus_persica/p.persica_gdr_reftransV1_0048503","p.persica_gdr_reftransV1_0048503")</f>
        <v>p.persica_gdr_reftransV1_0048503</v>
      </c>
      <c r="B7520" s="2">
        <v>2634</v>
      </c>
      <c r="C7520" s="4" t="str">
        <f>HYPERLINK("http://www.uniprot.org/uniprot/D7TW83","D7TW83")</f>
        <v>D7TW83</v>
      </c>
      <c r="D7520" s="2" t="s">
        <v>6671</v>
      </c>
      <c r="E7520" s="3">
        <v>0</v>
      </c>
      <c r="F7520" s="2">
        <v>3000</v>
      </c>
      <c r="G7520" s="2">
        <v>86</v>
      </c>
      <c r="H7520" s="2">
        <v>699</v>
      </c>
      <c r="I7520" s="2">
        <v>280</v>
      </c>
      <c r="J7520" s="2">
        <v>2370</v>
      </c>
      <c r="K7520" s="2">
        <v>1</v>
      </c>
      <c r="L7520" s="2">
        <v>698</v>
      </c>
    </row>
    <row r="7521" spans="1:12" x14ac:dyDescent="0.25">
      <c r="A7521" s="4" t="str">
        <f>HYPERLINK("http://www.rosaceae.org/Prunus/Prunus_persica/p.persica_gdr_reftransV1_0048853","p.persica_gdr_reftransV1_0048853")</f>
        <v>p.persica_gdr_reftransV1_0048853</v>
      </c>
      <c r="B7521" s="2">
        <v>1915</v>
      </c>
      <c r="C7521" s="4" t="str">
        <f>HYPERLINK("http://www.uniprot.org/uniprot/M5XK16","M5XK16")</f>
        <v>M5XK16</v>
      </c>
      <c r="D7521" s="2" t="s">
        <v>6672</v>
      </c>
      <c r="E7521" s="3">
        <v>5.2899999999999996E-164</v>
      </c>
      <c r="F7521" s="2">
        <v>917</v>
      </c>
      <c r="G7521" s="2">
        <v>100</v>
      </c>
      <c r="H7521" s="2">
        <v>171</v>
      </c>
      <c r="I7521" s="2">
        <v>162</v>
      </c>
      <c r="J7521" s="2">
        <v>674</v>
      </c>
      <c r="K7521" s="2">
        <v>41</v>
      </c>
      <c r="L7521" s="2">
        <v>211</v>
      </c>
    </row>
    <row r="7522" spans="1:12" x14ac:dyDescent="0.25">
      <c r="A7522" s="4" t="str">
        <f>HYPERLINK("http://www.rosaceae.org/Prunus/Prunus_persica/p.persica_gdr_reftransV1_0000904","p.persica_gdr_reftransV1_0000904")</f>
        <v>p.persica_gdr_reftransV1_0000904</v>
      </c>
      <c r="B7522" s="2">
        <v>558</v>
      </c>
      <c r="C7522" s="4" t="str">
        <f>HYPERLINK("http://www.uniprot.org/uniprot/M5WPK9","M5WPK9")</f>
        <v>M5WPK9</v>
      </c>
      <c r="D7522" s="2" t="s">
        <v>6673</v>
      </c>
      <c r="E7522" s="3">
        <v>6.0800000000000002E-16</v>
      </c>
      <c r="F7522" s="2">
        <v>196</v>
      </c>
      <c r="G7522" s="2">
        <v>64</v>
      </c>
      <c r="H7522" s="2">
        <v>98</v>
      </c>
      <c r="I7522" s="2">
        <v>71</v>
      </c>
      <c r="J7522" s="2">
        <v>346</v>
      </c>
      <c r="K7522" s="2">
        <v>1</v>
      </c>
      <c r="L7522" s="2">
        <v>98</v>
      </c>
    </row>
    <row r="7523" spans="1:12" x14ac:dyDescent="0.25">
      <c r="A7523" s="4" t="str">
        <f>HYPERLINK("http://www.rosaceae.org/Prunus/Prunus_persica/p.persica_gdr_reftransV1_0001254","p.persica_gdr_reftransV1_0001254")</f>
        <v>p.persica_gdr_reftransV1_0001254</v>
      </c>
      <c r="B7523" s="2">
        <v>401</v>
      </c>
      <c r="C7523" s="4" t="str">
        <f>HYPERLINK("http://www.uniprot.org/uniprot/G1RHE3","G1RHE3")</f>
        <v>G1RHE3</v>
      </c>
      <c r="D7523" s="2" t="s">
        <v>6674</v>
      </c>
      <c r="E7523" s="3">
        <v>6.8600000000000004E-81</v>
      </c>
      <c r="F7523" s="2">
        <v>626</v>
      </c>
      <c r="G7523" s="2">
        <v>97</v>
      </c>
      <c r="H7523" s="2">
        <v>122</v>
      </c>
      <c r="I7523" s="2">
        <v>1</v>
      </c>
      <c r="J7523" s="2">
        <v>366</v>
      </c>
      <c r="K7523" s="2">
        <v>5</v>
      </c>
      <c r="L7523" s="2">
        <v>126</v>
      </c>
    </row>
    <row r="7524" spans="1:12" x14ac:dyDescent="0.25">
      <c r="A7524" s="4" t="str">
        <f>HYPERLINK("http://www.rosaceae.org/Prunus/Prunus_persica/p.persica_gdr_reftransV1_0001604","p.persica_gdr_reftransV1_0001604")</f>
        <v>p.persica_gdr_reftransV1_0001604</v>
      </c>
      <c r="B7524" s="2">
        <v>1082</v>
      </c>
      <c r="C7524" s="4" t="str">
        <f>HYPERLINK("http://www.uniprot.org/uniprot/M5XI76","M5XI76")</f>
        <v>M5XI76</v>
      </c>
      <c r="D7524" s="2" t="s">
        <v>6675</v>
      </c>
      <c r="E7524" s="3">
        <v>2.0600000000000001E-171</v>
      </c>
      <c r="F7524" s="2">
        <v>1280</v>
      </c>
      <c r="G7524" s="2">
        <v>100</v>
      </c>
      <c r="H7524" s="2">
        <v>264</v>
      </c>
      <c r="I7524" s="2">
        <v>218</v>
      </c>
      <c r="J7524" s="2">
        <v>1009</v>
      </c>
      <c r="K7524" s="2">
        <v>183</v>
      </c>
      <c r="L7524" s="2">
        <v>446</v>
      </c>
    </row>
    <row r="7525" spans="1:12" x14ac:dyDescent="0.25">
      <c r="A7525" s="4" t="str">
        <f>HYPERLINK("http://www.rosaceae.org/Prunus/Prunus_persica/p.persica_gdr_reftransV1_0001954","p.persica_gdr_reftransV1_0001954")</f>
        <v>p.persica_gdr_reftransV1_0001954</v>
      </c>
      <c r="B7525" s="2">
        <v>361</v>
      </c>
      <c r="C7525" s="4" t="str">
        <f>HYPERLINK("http://www.uniprot.org/uniprot/M5X3B2","M5X3B2")</f>
        <v>M5X3B2</v>
      </c>
      <c r="D7525" s="2" t="s">
        <v>6676</v>
      </c>
      <c r="E7525" s="3">
        <v>7.6600000000000002E-54</v>
      </c>
      <c r="F7525" s="2">
        <v>451</v>
      </c>
      <c r="G7525" s="2">
        <v>100</v>
      </c>
      <c r="H7525" s="2">
        <v>120</v>
      </c>
      <c r="I7525" s="2">
        <v>2</v>
      </c>
      <c r="J7525" s="2">
        <v>361</v>
      </c>
      <c r="K7525" s="2">
        <v>44</v>
      </c>
      <c r="L7525" s="2">
        <v>163</v>
      </c>
    </row>
    <row r="7526" spans="1:12" x14ac:dyDescent="0.25">
      <c r="A7526" s="4" t="str">
        <f>HYPERLINK("http://www.rosaceae.org/Prunus/Prunus_persica/p.persica_gdr_reftransV1_0002304","p.persica_gdr_reftransV1_0002304")</f>
        <v>p.persica_gdr_reftransV1_0002304</v>
      </c>
      <c r="B7526" s="2">
        <v>3669</v>
      </c>
      <c r="C7526" s="4" t="str">
        <f>HYPERLINK("http://www.uniprot.org/uniprot/M5XH74","M5XH74")</f>
        <v>M5XH74</v>
      </c>
      <c r="D7526" s="2" t="s">
        <v>6677</v>
      </c>
      <c r="E7526" s="3">
        <v>0</v>
      </c>
      <c r="F7526" s="2">
        <v>1458</v>
      </c>
      <c r="G7526" s="2">
        <v>99</v>
      </c>
      <c r="H7526" s="2">
        <v>316</v>
      </c>
      <c r="I7526" s="2">
        <v>1015</v>
      </c>
      <c r="J7526" s="2">
        <v>1962</v>
      </c>
      <c r="K7526" s="2">
        <v>174</v>
      </c>
      <c r="L7526" s="2">
        <v>489</v>
      </c>
    </row>
    <row r="7527" spans="1:12" x14ac:dyDescent="0.25">
      <c r="A7527" s="4" t="str">
        <f>HYPERLINK("http://www.rosaceae.org/Prunus/Prunus_persica/p.persica_gdr_reftransV1_0002654","p.persica_gdr_reftransV1_0002654")</f>
        <v>p.persica_gdr_reftransV1_0002654</v>
      </c>
      <c r="B7527" s="2">
        <v>704</v>
      </c>
      <c r="C7527" s="4" t="str">
        <f>HYPERLINK("http://www.uniprot.org/uniprot/M5XK01","M5XK01")</f>
        <v>M5XK01</v>
      </c>
      <c r="D7527" s="2" t="s">
        <v>6678</v>
      </c>
      <c r="E7527" s="3">
        <v>2.5199999999999999E-129</v>
      </c>
      <c r="F7527" s="2">
        <v>998</v>
      </c>
      <c r="G7527" s="2">
        <v>100</v>
      </c>
      <c r="H7527" s="2">
        <v>200</v>
      </c>
      <c r="I7527" s="2">
        <v>103</v>
      </c>
      <c r="J7527" s="2">
        <v>702</v>
      </c>
      <c r="K7527" s="2">
        <v>358</v>
      </c>
      <c r="L7527" s="2">
        <v>557</v>
      </c>
    </row>
    <row r="7528" spans="1:12" x14ac:dyDescent="0.25">
      <c r="A7528" s="4" t="str">
        <f>HYPERLINK("http://www.rosaceae.org/Prunus/Prunus_persica/p.persica_gdr_reftransV1_0003004","p.persica_gdr_reftransV1_0003004")</f>
        <v>p.persica_gdr_reftransV1_0003004</v>
      </c>
      <c r="B7528" s="2">
        <v>513</v>
      </c>
      <c r="C7528" s="4" t="str">
        <f>HYPERLINK("http://www.uniprot.org/uniprot/A0A090N635","A0A090N635")</f>
        <v>A0A090N635</v>
      </c>
      <c r="D7528" s="2" t="s">
        <v>6679</v>
      </c>
      <c r="E7528" s="3">
        <v>9.2899999999999993E-121</v>
      </c>
      <c r="F7528" s="2">
        <v>913</v>
      </c>
      <c r="G7528" s="2">
        <v>100</v>
      </c>
      <c r="H7528" s="2">
        <v>170</v>
      </c>
      <c r="I7528" s="2">
        <v>3</v>
      </c>
      <c r="J7528" s="2">
        <v>512</v>
      </c>
      <c r="K7528" s="2">
        <v>76</v>
      </c>
      <c r="L7528" s="2">
        <v>245</v>
      </c>
    </row>
    <row r="7529" spans="1:12" x14ac:dyDescent="0.25">
      <c r="A7529" s="4" t="str">
        <f>HYPERLINK("http://www.rosaceae.org/Prunus/Prunus_persica/p.persica_gdr_reftransV1_0003354","p.persica_gdr_reftransV1_0003354")</f>
        <v>p.persica_gdr_reftransV1_0003354</v>
      </c>
      <c r="B7529" s="2">
        <v>815</v>
      </c>
      <c r="C7529" s="4" t="str">
        <f>HYPERLINK("http://www.uniprot.org/uniprot/M5W8U2","M5W8U2")</f>
        <v>M5W8U2</v>
      </c>
      <c r="D7529" s="2" t="s">
        <v>6680</v>
      </c>
      <c r="E7529" s="3">
        <v>0</v>
      </c>
      <c r="F7529" s="2">
        <v>1374</v>
      </c>
      <c r="G7529" s="2">
        <v>100</v>
      </c>
      <c r="H7529" s="2">
        <v>258</v>
      </c>
      <c r="I7529" s="2">
        <v>40</v>
      </c>
      <c r="J7529" s="2">
        <v>813</v>
      </c>
      <c r="K7529" s="2">
        <v>85</v>
      </c>
      <c r="L7529" s="2">
        <v>342</v>
      </c>
    </row>
    <row r="7530" spans="1:12" x14ac:dyDescent="0.25">
      <c r="A7530" s="4" t="str">
        <f>HYPERLINK("http://www.rosaceae.org/Prunus/Prunus_persica/p.persica_gdr_reftransV1_0004054","p.persica_gdr_reftransV1_0004054")</f>
        <v>p.persica_gdr_reftransV1_0004054</v>
      </c>
      <c r="B7530" s="2">
        <v>835</v>
      </c>
      <c r="C7530" s="4" t="str">
        <f>HYPERLINK("http://www.uniprot.org/uniprot/M5XKT0","M5XKT0")</f>
        <v>M5XKT0</v>
      </c>
      <c r="D7530" s="2" t="s">
        <v>6681</v>
      </c>
      <c r="E7530" s="3">
        <v>1.86E-124</v>
      </c>
      <c r="F7530" s="2">
        <v>936</v>
      </c>
      <c r="G7530" s="2">
        <v>100</v>
      </c>
      <c r="H7530" s="2">
        <v>198</v>
      </c>
      <c r="I7530" s="2">
        <v>163</v>
      </c>
      <c r="J7530" s="2">
        <v>756</v>
      </c>
      <c r="K7530" s="2">
        <v>1</v>
      </c>
      <c r="L7530" s="2">
        <v>198</v>
      </c>
    </row>
    <row r="7531" spans="1:12" x14ac:dyDescent="0.25">
      <c r="A7531" s="4" t="str">
        <f>HYPERLINK("http://www.rosaceae.org/Prunus/Prunus_persica/p.persica_gdr_reftransV1_0004404","p.persica_gdr_reftransV1_0004404")</f>
        <v>p.persica_gdr_reftransV1_0004404</v>
      </c>
      <c r="B7531" s="2">
        <v>428</v>
      </c>
      <c r="C7531" s="4" t="str">
        <f>HYPERLINK("http://www.uniprot.org/uniprot/M5XVK2","M5XVK2")</f>
        <v>M5XVK2</v>
      </c>
      <c r="D7531" s="2" t="s">
        <v>1339</v>
      </c>
      <c r="E7531" s="3">
        <v>5.25E-87</v>
      </c>
      <c r="F7531" s="2">
        <v>712</v>
      </c>
      <c r="G7531" s="2">
        <v>100</v>
      </c>
      <c r="H7531" s="2">
        <v>142</v>
      </c>
      <c r="I7531" s="2">
        <v>2</v>
      </c>
      <c r="J7531" s="2">
        <v>427</v>
      </c>
      <c r="K7531" s="2">
        <v>8</v>
      </c>
      <c r="L7531" s="2">
        <v>149</v>
      </c>
    </row>
    <row r="7532" spans="1:12" x14ac:dyDescent="0.25">
      <c r="A7532" s="4" t="str">
        <f>HYPERLINK("http://www.rosaceae.org/Prunus/Prunus_persica/p.persica_gdr_reftransV1_0005104","p.persica_gdr_reftransV1_0005104")</f>
        <v>p.persica_gdr_reftransV1_0005104</v>
      </c>
      <c r="B7532" s="2">
        <v>1320</v>
      </c>
      <c r="C7532" s="4" t="str">
        <f>HYPERLINK("http://www.uniprot.org/uniprot/M5VZL0","M5VZL0")</f>
        <v>M5VZL0</v>
      </c>
      <c r="D7532" s="2" t="s">
        <v>5754</v>
      </c>
      <c r="E7532" s="3">
        <v>0</v>
      </c>
      <c r="F7532" s="2">
        <v>1867</v>
      </c>
      <c r="G7532" s="2">
        <v>100</v>
      </c>
      <c r="H7532" s="2">
        <v>345</v>
      </c>
      <c r="I7532" s="2">
        <v>184</v>
      </c>
      <c r="J7532" s="2">
        <v>1218</v>
      </c>
      <c r="K7532" s="2">
        <v>1</v>
      </c>
      <c r="L7532" s="2">
        <v>345</v>
      </c>
    </row>
    <row r="7533" spans="1:12" x14ac:dyDescent="0.25">
      <c r="A7533" s="4" t="str">
        <f>HYPERLINK("http://www.rosaceae.org/Prunus/Prunus_persica/p.persica_gdr_reftransV1_0006504","p.persica_gdr_reftransV1_0006504")</f>
        <v>p.persica_gdr_reftransV1_0006504</v>
      </c>
      <c r="B7533" s="2">
        <v>1709</v>
      </c>
      <c r="C7533" s="4" t="str">
        <f>HYPERLINK("http://www.uniprot.org/uniprot/M5WGK2","M5WGK2")</f>
        <v>M5WGK2</v>
      </c>
      <c r="D7533" s="2" t="s">
        <v>6682</v>
      </c>
      <c r="E7533" s="3">
        <v>0</v>
      </c>
      <c r="F7533" s="2">
        <v>2383</v>
      </c>
      <c r="G7533" s="2">
        <v>90</v>
      </c>
      <c r="H7533" s="2">
        <v>482</v>
      </c>
      <c r="I7533" s="2">
        <v>27</v>
      </c>
      <c r="J7533" s="2">
        <v>1469</v>
      </c>
      <c r="K7533" s="2">
        <v>1</v>
      </c>
      <c r="L7533" s="2">
        <v>482</v>
      </c>
    </row>
    <row r="7534" spans="1:12" x14ac:dyDescent="0.25">
      <c r="A7534" s="4" t="str">
        <f>HYPERLINK("http://www.rosaceae.org/Prunus/Prunus_persica/p.persica_gdr_reftransV1_0007204","p.persica_gdr_reftransV1_0007204")</f>
        <v>p.persica_gdr_reftransV1_0007204</v>
      </c>
      <c r="B7534" s="2">
        <v>2885</v>
      </c>
      <c r="C7534" s="4" t="str">
        <f>HYPERLINK("http://www.uniprot.org/uniprot/M5W1N8","M5W1N8")</f>
        <v>M5W1N8</v>
      </c>
      <c r="D7534" s="2" t="s">
        <v>6683</v>
      </c>
      <c r="E7534" s="3">
        <v>0</v>
      </c>
      <c r="F7534" s="2">
        <v>3812</v>
      </c>
      <c r="G7534" s="2">
        <v>99</v>
      </c>
      <c r="H7534" s="2">
        <v>744</v>
      </c>
      <c r="I7534" s="2">
        <v>275</v>
      </c>
      <c r="J7534" s="2">
        <v>2506</v>
      </c>
      <c r="K7534" s="2">
        <v>1</v>
      </c>
      <c r="L7534" s="2">
        <v>735</v>
      </c>
    </row>
    <row r="7535" spans="1:12" x14ac:dyDescent="0.25">
      <c r="A7535" s="4" t="str">
        <f>HYPERLINK("http://www.rosaceae.org/Prunus/Prunus_persica/p.persica_gdr_reftransV1_0007554","p.persica_gdr_reftransV1_0007554")</f>
        <v>p.persica_gdr_reftransV1_0007554</v>
      </c>
      <c r="B7535" s="2">
        <v>1955</v>
      </c>
      <c r="C7535" s="4" t="str">
        <f>HYPERLINK("http://www.uniprot.org/uniprot/M5WQW3","M5WQW3")</f>
        <v>M5WQW3</v>
      </c>
      <c r="D7535" s="2" t="s">
        <v>5858</v>
      </c>
      <c r="E7535" s="3">
        <v>0</v>
      </c>
      <c r="F7535" s="2">
        <v>3161</v>
      </c>
      <c r="G7535" s="2">
        <v>100</v>
      </c>
      <c r="H7535" s="2">
        <v>592</v>
      </c>
      <c r="I7535" s="2">
        <v>180</v>
      </c>
      <c r="J7535" s="2">
        <v>1955</v>
      </c>
      <c r="K7535" s="2">
        <v>164</v>
      </c>
      <c r="L7535" s="2">
        <v>755</v>
      </c>
    </row>
    <row r="7536" spans="1:12" x14ac:dyDescent="0.25">
      <c r="A7536" s="4" t="str">
        <f>HYPERLINK("http://www.rosaceae.org/Prunus/Prunus_persica/p.persica_gdr_reftransV1_0007904","p.persica_gdr_reftransV1_0007904")</f>
        <v>p.persica_gdr_reftransV1_0007904</v>
      </c>
      <c r="B7536" s="2">
        <v>2351</v>
      </c>
      <c r="C7536" s="4" t="str">
        <f>HYPERLINK("http://www.uniprot.org/uniprot/M5VL36","M5VL36")</f>
        <v>M5VL36</v>
      </c>
      <c r="D7536" s="2" t="s">
        <v>6684</v>
      </c>
      <c r="E7536" s="3">
        <v>2.2299999999999999E-76</v>
      </c>
      <c r="F7536" s="2">
        <v>660</v>
      </c>
      <c r="G7536" s="2">
        <v>100</v>
      </c>
      <c r="H7536" s="2">
        <v>123</v>
      </c>
      <c r="I7536" s="2">
        <v>1885</v>
      </c>
      <c r="J7536" s="2">
        <v>2253</v>
      </c>
      <c r="K7536" s="2">
        <v>1</v>
      </c>
      <c r="L7536" s="2">
        <v>123</v>
      </c>
    </row>
    <row r="7537" spans="1:12" x14ac:dyDescent="0.25">
      <c r="A7537" s="4" t="str">
        <f>HYPERLINK("http://www.rosaceae.org/Prunus/Prunus_persica/p.persica_gdr_reftransV1_0008254","p.persica_gdr_reftransV1_0008254")</f>
        <v>p.persica_gdr_reftransV1_0008254</v>
      </c>
      <c r="B7537" s="2">
        <v>1436</v>
      </c>
      <c r="C7537" s="4" t="str">
        <f>HYPERLINK("http://www.uniprot.org/uniprot/M5WKA7","M5WKA7")</f>
        <v>M5WKA7</v>
      </c>
      <c r="D7537" s="2" t="s">
        <v>6685</v>
      </c>
      <c r="E7537" s="3">
        <v>3.9800000000000003E-114</v>
      </c>
      <c r="F7537" s="2">
        <v>894</v>
      </c>
      <c r="G7537" s="2">
        <v>99</v>
      </c>
      <c r="H7537" s="2">
        <v>213</v>
      </c>
      <c r="I7537" s="2">
        <v>383</v>
      </c>
      <c r="J7537" s="2">
        <v>1021</v>
      </c>
      <c r="K7537" s="2">
        <v>35</v>
      </c>
      <c r="L7537" s="2">
        <v>246</v>
      </c>
    </row>
    <row r="7538" spans="1:12" x14ac:dyDescent="0.25">
      <c r="A7538" s="4" t="str">
        <f>HYPERLINK("http://www.rosaceae.org/Prunus/Prunus_persica/p.persica_gdr_reftransV1_0009304","p.persica_gdr_reftransV1_0009304")</f>
        <v>p.persica_gdr_reftransV1_0009304</v>
      </c>
      <c r="B7538" s="2">
        <v>779</v>
      </c>
      <c r="C7538" s="4" t="str">
        <f>HYPERLINK("http://www.uniprot.org/uniprot/M5WVG1","M5WVG1")</f>
        <v>M5WVG1</v>
      </c>
      <c r="D7538" s="2" t="s">
        <v>6038</v>
      </c>
      <c r="E7538" s="3">
        <v>9.7900000000000002E-69</v>
      </c>
      <c r="F7538" s="2">
        <v>568</v>
      </c>
      <c r="G7538" s="2">
        <v>92</v>
      </c>
      <c r="H7538" s="2">
        <v>117</v>
      </c>
      <c r="I7538" s="2">
        <v>284</v>
      </c>
      <c r="J7538" s="2">
        <v>631</v>
      </c>
      <c r="K7538" s="2">
        <v>45</v>
      </c>
      <c r="L7538" s="2">
        <v>161</v>
      </c>
    </row>
    <row r="7539" spans="1:12" x14ac:dyDescent="0.25">
      <c r="A7539" s="4" t="str">
        <f>HYPERLINK("http://www.rosaceae.org/Prunus/Prunus_persica/p.persica_gdr_reftransV1_0010004","p.persica_gdr_reftransV1_0010004")</f>
        <v>p.persica_gdr_reftransV1_0010004</v>
      </c>
      <c r="B7539" s="2">
        <v>2412</v>
      </c>
      <c r="C7539" s="4" t="str">
        <f>HYPERLINK("http://www.uniprot.org/uniprot/M5VPR0","M5VPR0")</f>
        <v>M5VPR0</v>
      </c>
      <c r="D7539" s="2" t="s">
        <v>6686</v>
      </c>
      <c r="E7539" s="3">
        <v>0</v>
      </c>
      <c r="F7539" s="2">
        <v>2238</v>
      </c>
      <c r="G7539" s="2">
        <v>100</v>
      </c>
      <c r="H7539" s="2">
        <v>427</v>
      </c>
      <c r="I7539" s="2">
        <v>352</v>
      </c>
      <c r="J7539" s="2">
        <v>1632</v>
      </c>
      <c r="K7539" s="2">
        <v>19</v>
      </c>
      <c r="L7539" s="2">
        <v>445</v>
      </c>
    </row>
    <row r="7540" spans="1:12" x14ac:dyDescent="0.25">
      <c r="A7540" s="4" t="str">
        <f>HYPERLINK("http://www.rosaceae.org/Prunus/Prunus_persica/p.persica_gdr_reftransV1_0010354","p.persica_gdr_reftransV1_0010354")</f>
        <v>p.persica_gdr_reftransV1_0010354</v>
      </c>
      <c r="B7540" s="2">
        <v>812</v>
      </c>
      <c r="C7540" s="4" t="str">
        <f>HYPERLINK("http://www.uniprot.org/uniprot/M5VRU3","M5VRU3")</f>
        <v>M5VRU3</v>
      </c>
      <c r="D7540" s="2" t="s">
        <v>5099</v>
      </c>
      <c r="E7540" s="3">
        <v>5.2600000000000005E-44</v>
      </c>
      <c r="F7540" s="2">
        <v>418</v>
      </c>
      <c r="G7540" s="2">
        <v>100</v>
      </c>
      <c r="H7540" s="2">
        <v>77</v>
      </c>
      <c r="I7540" s="2">
        <v>577</v>
      </c>
      <c r="J7540" s="2">
        <v>807</v>
      </c>
      <c r="K7540" s="2">
        <v>1</v>
      </c>
      <c r="L7540" s="2">
        <v>77</v>
      </c>
    </row>
    <row r="7541" spans="1:12" x14ac:dyDescent="0.25">
      <c r="A7541" s="4" t="str">
        <f>HYPERLINK("http://www.rosaceae.org/Prunus/Prunus_persica/p.persica_gdr_reftransV1_0011054","p.persica_gdr_reftransV1_0011054")</f>
        <v>p.persica_gdr_reftransV1_0011054</v>
      </c>
      <c r="B7541" s="2">
        <v>1238</v>
      </c>
      <c r="C7541" s="4" t="str">
        <f>HYPERLINK("http://www.uniprot.org/uniprot/O49821","O49821")</f>
        <v>O49821</v>
      </c>
      <c r="D7541" s="2" t="s">
        <v>6687</v>
      </c>
      <c r="E7541" s="3">
        <v>3.4900000000000001E-124</v>
      </c>
      <c r="F7541" s="2">
        <v>950</v>
      </c>
      <c r="G7541" s="2">
        <v>79</v>
      </c>
      <c r="H7541" s="2">
        <v>218</v>
      </c>
      <c r="I7541" s="2">
        <v>168</v>
      </c>
      <c r="J7541" s="2">
        <v>821</v>
      </c>
      <c r="K7541" s="2">
        <v>1</v>
      </c>
      <c r="L7541" s="2">
        <v>218</v>
      </c>
    </row>
    <row r="7542" spans="1:12" x14ac:dyDescent="0.25">
      <c r="A7542" s="4" t="str">
        <f>HYPERLINK("http://www.rosaceae.org/Prunus/Prunus_persica/p.persica_gdr_reftransV1_0011404","p.persica_gdr_reftransV1_0011404")</f>
        <v>p.persica_gdr_reftransV1_0011404</v>
      </c>
      <c r="B7542" s="2">
        <v>6513</v>
      </c>
      <c r="C7542" s="4" t="str">
        <f>HYPERLINK("http://www.uniprot.org/uniprot/M5X9J0","M5X9J0")</f>
        <v>M5X9J0</v>
      </c>
      <c r="D7542" s="2" t="s">
        <v>6688</v>
      </c>
      <c r="E7542" s="3">
        <v>0</v>
      </c>
      <c r="F7542" s="2">
        <v>3269</v>
      </c>
      <c r="G7542" s="2">
        <v>100</v>
      </c>
      <c r="H7542" s="2">
        <v>696</v>
      </c>
      <c r="I7542" s="2">
        <v>4006</v>
      </c>
      <c r="J7542" s="2">
        <v>6093</v>
      </c>
      <c r="K7542" s="2">
        <v>127</v>
      </c>
      <c r="L7542" s="2">
        <v>822</v>
      </c>
    </row>
    <row r="7543" spans="1:12" x14ac:dyDescent="0.25">
      <c r="A7543" s="4" t="str">
        <f>HYPERLINK("http://www.rosaceae.org/Prunus/Prunus_persica/p.persica_gdr_reftransV1_0011754","p.persica_gdr_reftransV1_0011754")</f>
        <v>p.persica_gdr_reftransV1_0011754</v>
      </c>
      <c r="B7543" s="2">
        <v>2711</v>
      </c>
      <c r="C7543" s="4" t="str">
        <f>HYPERLINK("http://www.uniprot.org/uniprot/M5XF47","M5XF47")</f>
        <v>M5XF47</v>
      </c>
      <c r="D7543" s="2" t="s">
        <v>6689</v>
      </c>
      <c r="E7543" s="3">
        <v>0</v>
      </c>
      <c r="F7543" s="2">
        <v>3690</v>
      </c>
      <c r="G7543" s="2">
        <v>100</v>
      </c>
      <c r="H7543" s="2">
        <v>692</v>
      </c>
      <c r="I7543" s="2">
        <v>270</v>
      </c>
      <c r="J7543" s="2">
        <v>2345</v>
      </c>
      <c r="K7543" s="2">
        <v>6</v>
      </c>
      <c r="L7543" s="2">
        <v>697</v>
      </c>
    </row>
    <row r="7544" spans="1:12" x14ac:dyDescent="0.25">
      <c r="A7544" s="4" t="str">
        <f>HYPERLINK("http://www.rosaceae.org/Prunus/Prunus_persica/p.persica_gdr_reftransV1_0012104","p.persica_gdr_reftransV1_0012104")</f>
        <v>p.persica_gdr_reftransV1_0012104</v>
      </c>
      <c r="B7544" s="2">
        <v>1227</v>
      </c>
      <c r="C7544" s="4" t="str">
        <f>HYPERLINK("http://www.uniprot.org/uniprot/M5X8K4","M5X8K4")</f>
        <v>M5X8K4</v>
      </c>
      <c r="D7544" s="2" t="s">
        <v>6690</v>
      </c>
      <c r="E7544" s="3">
        <v>3.2600000000000002E-140</v>
      </c>
      <c r="F7544" s="2">
        <v>1086</v>
      </c>
      <c r="G7544" s="2">
        <v>100</v>
      </c>
      <c r="H7544" s="2">
        <v>251</v>
      </c>
      <c r="I7544" s="2">
        <v>179</v>
      </c>
      <c r="J7544" s="2">
        <v>931</v>
      </c>
      <c r="K7544" s="2">
        <v>1</v>
      </c>
      <c r="L7544" s="2">
        <v>251</v>
      </c>
    </row>
    <row r="7545" spans="1:12" x14ac:dyDescent="0.25">
      <c r="A7545" s="4" t="str">
        <f>HYPERLINK("http://www.rosaceae.org/Prunus/Prunus_persica/p.persica_gdr_reftransV1_0012454","p.persica_gdr_reftransV1_0012454")</f>
        <v>p.persica_gdr_reftransV1_0012454</v>
      </c>
      <c r="B7545" s="2">
        <v>2913</v>
      </c>
      <c r="C7545" s="4" t="str">
        <f>HYPERLINK("http://www.uniprot.org/uniprot/A0A0D2V0M6","A0A0D2V0M6")</f>
        <v>A0A0D2V0M6</v>
      </c>
      <c r="D7545" s="2" t="s">
        <v>6691</v>
      </c>
      <c r="E7545" s="3">
        <v>0</v>
      </c>
      <c r="F7545" s="2">
        <v>2101</v>
      </c>
      <c r="G7545" s="2">
        <v>86</v>
      </c>
      <c r="H7545" s="2">
        <v>460</v>
      </c>
      <c r="I7545" s="2">
        <v>1120</v>
      </c>
      <c r="J7545" s="2">
        <v>2499</v>
      </c>
      <c r="K7545" s="2">
        <v>205</v>
      </c>
      <c r="L7545" s="2">
        <v>663</v>
      </c>
    </row>
    <row r="7546" spans="1:12" x14ac:dyDescent="0.25">
      <c r="A7546" s="4" t="str">
        <f>HYPERLINK("http://www.rosaceae.org/Prunus/Prunus_persica/p.persica_gdr_reftransV1_0012804","p.persica_gdr_reftransV1_0012804")</f>
        <v>p.persica_gdr_reftransV1_0012804</v>
      </c>
      <c r="B7546" s="2">
        <v>2832</v>
      </c>
      <c r="C7546" s="4" t="str">
        <f>HYPERLINK("http://www.uniprot.org/uniprot/M5W765","M5W765")</f>
        <v>M5W765</v>
      </c>
      <c r="D7546" s="2" t="s">
        <v>6692</v>
      </c>
      <c r="E7546" s="3">
        <v>0</v>
      </c>
      <c r="F7546" s="2">
        <v>3696</v>
      </c>
      <c r="G7546" s="2">
        <v>100</v>
      </c>
      <c r="H7546" s="2">
        <v>691</v>
      </c>
      <c r="I7546" s="2">
        <v>306</v>
      </c>
      <c r="J7546" s="2">
        <v>2378</v>
      </c>
      <c r="K7546" s="2">
        <v>33</v>
      </c>
      <c r="L7546" s="2">
        <v>723</v>
      </c>
    </row>
    <row r="7547" spans="1:12" x14ac:dyDescent="0.25">
      <c r="A7547" s="4" t="str">
        <f>HYPERLINK("http://www.rosaceae.org/Prunus/Prunus_persica/p.persica_gdr_reftransV1_0013504","p.persica_gdr_reftransV1_0013504")</f>
        <v>p.persica_gdr_reftransV1_0013504</v>
      </c>
      <c r="B7547" s="2">
        <v>1373</v>
      </c>
      <c r="C7547" s="4" t="str">
        <f>HYPERLINK("http://www.uniprot.org/uniprot/M5WAD5","M5WAD5")</f>
        <v>M5WAD5</v>
      </c>
      <c r="D7547" s="2" t="s">
        <v>6693</v>
      </c>
      <c r="E7547" s="3">
        <v>0</v>
      </c>
      <c r="F7547" s="2">
        <v>2162</v>
      </c>
      <c r="G7547" s="2">
        <v>100</v>
      </c>
      <c r="H7547" s="2">
        <v>423</v>
      </c>
      <c r="I7547" s="2">
        <v>1</v>
      </c>
      <c r="J7547" s="2">
        <v>1269</v>
      </c>
      <c r="K7547" s="2">
        <v>134</v>
      </c>
      <c r="L7547" s="2">
        <v>556</v>
      </c>
    </row>
    <row r="7548" spans="1:12" x14ac:dyDescent="0.25">
      <c r="A7548" s="4" t="str">
        <f>HYPERLINK("http://www.rosaceae.org/Prunus/Prunus_persica/p.persica_gdr_reftransV1_0014204","p.persica_gdr_reftransV1_0014204")</f>
        <v>p.persica_gdr_reftransV1_0014204</v>
      </c>
      <c r="B7548" s="2">
        <v>4071</v>
      </c>
      <c r="C7548" s="4" t="str">
        <f>HYPERLINK("http://www.uniprot.org/uniprot/M5WPQ2","M5WPQ2")</f>
        <v>M5WPQ2</v>
      </c>
      <c r="D7548" s="2" t="s">
        <v>6694</v>
      </c>
      <c r="E7548" s="3">
        <v>0</v>
      </c>
      <c r="F7548" s="2">
        <v>2789</v>
      </c>
      <c r="G7548" s="2">
        <v>99</v>
      </c>
      <c r="H7548" s="2">
        <v>588</v>
      </c>
      <c r="I7548" s="2">
        <v>2061</v>
      </c>
      <c r="J7548" s="2">
        <v>3824</v>
      </c>
      <c r="K7548" s="2">
        <v>1</v>
      </c>
      <c r="L7548" s="2">
        <v>588</v>
      </c>
    </row>
    <row r="7549" spans="1:12" x14ac:dyDescent="0.25">
      <c r="A7549" s="4" t="str">
        <f>HYPERLINK("http://www.rosaceae.org/Prunus/Prunus_persica/p.persica_gdr_reftransV1_0014904","p.persica_gdr_reftransV1_0014904")</f>
        <v>p.persica_gdr_reftransV1_0014904</v>
      </c>
      <c r="B7549" s="2">
        <v>1400</v>
      </c>
      <c r="C7549" s="4" t="str">
        <f>HYPERLINK("http://www.uniprot.org/uniprot/M5X3G3","M5X3G3")</f>
        <v>M5X3G3</v>
      </c>
      <c r="D7549" s="2" t="s">
        <v>6695</v>
      </c>
      <c r="E7549" s="3">
        <v>1.82E-165</v>
      </c>
      <c r="F7549" s="2">
        <v>1233</v>
      </c>
      <c r="G7549" s="2">
        <v>100</v>
      </c>
      <c r="H7549" s="2">
        <v>260</v>
      </c>
      <c r="I7549" s="2">
        <v>178</v>
      </c>
      <c r="J7549" s="2">
        <v>957</v>
      </c>
      <c r="K7549" s="2">
        <v>1</v>
      </c>
      <c r="L7549" s="2">
        <v>260</v>
      </c>
    </row>
    <row r="7550" spans="1:12" x14ac:dyDescent="0.25">
      <c r="A7550" s="4" t="str">
        <f>HYPERLINK("http://www.rosaceae.org/Prunus/Prunus_persica/p.persica_gdr_reftransV1_0017354","p.persica_gdr_reftransV1_0017354")</f>
        <v>p.persica_gdr_reftransV1_0017354</v>
      </c>
      <c r="B7550" s="2">
        <v>4333</v>
      </c>
      <c r="C7550" s="4" t="str">
        <f>HYPERLINK("http://www.uniprot.org/uniprot/M5XRQ7","M5XRQ7")</f>
        <v>M5XRQ7</v>
      </c>
      <c r="D7550" s="2" t="s">
        <v>6696</v>
      </c>
      <c r="E7550" s="3">
        <v>0</v>
      </c>
      <c r="F7550" s="2">
        <v>2447</v>
      </c>
      <c r="G7550" s="2">
        <v>99</v>
      </c>
      <c r="H7550" s="2">
        <v>456</v>
      </c>
      <c r="I7550" s="2">
        <v>1173</v>
      </c>
      <c r="J7550" s="2">
        <v>2540</v>
      </c>
      <c r="K7550" s="2">
        <v>257</v>
      </c>
      <c r="L7550" s="2">
        <v>712</v>
      </c>
    </row>
    <row r="7551" spans="1:12" x14ac:dyDescent="0.25">
      <c r="A7551" s="4" t="str">
        <f>HYPERLINK("http://www.rosaceae.org/Prunus/Prunus_persica/p.persica_gdr_reftransV1_0018054","p.persica_gdr_reftransV1_0018054")</f>
        <v>p.persica_gdr_reftransV1_0018054</v>
      </c>
      <c r="B7551" s="2">
        <v>924</v>
      </c>
      <c r="C7551" s="4" t="str">
        <f>HYPERLINK("http://www.uniprot.org/uniprot/M5XLD9","M5XLD9")</f>
        <v>M5XLD9</v>
      </c>
      <c r="D7551" s="2" t="s">
        <v>3745</v>
      </c>
      <c r="E7551" s="3">
        <v>7.4999999999999993E-108</v>
      </c>
      <c r="F7551" s="2">
        <v>870</v>
      </c>
      <c r="G7551" s="2">
        <v>100</v>
      </c>
      <c r="H7551" s="2">
        <v>164</v>
      </c>
      <c r="I7551" s="2">
        <v>431</v>
      </c>
      <c r="J7551" s="2">
        <v>922</v>
      </c>
      <c r="K7551" s="2">
        <v>1</v>
      </c>
      <c r="L7551" s="2">
        <v>164</v>
      </c>
    </row>
    <row r="7552" spans="1:12" x14ac:dyDescent="0.25">
      <c r="A7552" s="4" t="str">
        <f>HYPERLINK("http://www.rosaceae.org/Prunus/Prunus_persica/p.persica_gdr_reftransV1_0019804","p.persica_gdr_reftransV1_0019804")</f>
        <v>p.persica_gdr_reftransV1_0019804</v>
      </c>
      <c r="B7552" s="2">
        <v>2106</v>
      </c>
      <c r="C7552" s="4" t="str">
        <f>HYPERLINK("http://www.uniprot.org/uniprot/M5WFL0","M5WFL0")</f>
        <v>M5WFL0</v>
      </c>
      <c r="D7552" s="2" t="s">
        <v>6697</v>
      </c>
      <c r="E7552" s="3">
        <v>0</v>
      </c>
      <c r="F7552" s="2">
        <v>1953</v>
      </c>
      <c r="G7552" s="2">
        <v>99</v>
      </c>
      <c r="H7552" s="2">
        <v>370</v>
      </c>
      <c r="I7552" s="2">
        <v>931</v>
      </c>
      <c r="J7552" s="2">
        <v>2040</v>
      </c>
      <c r="K7552" s="2">
        <v>89</v>
      </c>
      <c r="L7552" s="2">
        <v>458</v>
      </c>
    </row>
    <row r="7553" spans="1:12" x14ac:dyDescent="0.25">
      <c r="A7553" s="4" t="str">
        <f>HYPERLINK("http://www.rosaceae.org/Prunus/Prunus_persica/p.persica_gdr_reftransV1_0020154","p.persica_gdr_reftransV1_0020154")</f>
        <v>p.persica_gdr_reftransV1_0020154</v>
      </c>
      <c r="B7553" s="2">
        <v>1365</v>
      </c>
      <c r="C7553" s="4" t="str">
        <f>HYPERLINK("http://www.uniprot.org/uniprot/M5XPE0","M5XPE0")</f>
        <v>M5XPE0</v>
      </c>
      <c r="D7553" s="2" t="s">
        <v>6698</v>
      </c>
      <c r="E7553" s="3">
        <v>6.3399999999999999E-155</v>
      </c>
      <c r="F7553" s="2">
        <v>1158</v>
      </c>
      <c r="G7553" s="2">
        <v>100</v>
      </c>
      <c r="H7553" s="2">
        <v>220</v>
      </c>
      <c r="I7553" s="2">
        <v>487</v>
      </c>
      <c r="J7553" s="2">
        <v>1146</v>
      </c>
      <c r="K7553" s="2">
        <v>1</v>
      </c>
      <c r="L7553" s="2">
        <v>220</v>
      </c>
    </row>
    <row r="7554" spans="1:12" x14ac:dyDescent="0.25">
      <c r="A7554" s="4" t="str">
        <f>HYPERLINK("http://www.rosaceae.org/Prunus/Prunus_persica/p.persica_gdr_reftransV1_0020854","p.persica_gdr_reftransV1_0020854")</f>
        <v>p.persica_gdr_reftransV1_0020854</v>
      </c>
      <c r="B7554" s="2">
        <v>3571</v>
      </c>
      <c r="C7554" s="4" t="str">
        <f>HYPERLINK("http://www.uniprot.org/uniprot/M5XIY0","M5XIY0")</f>
        <v>M5XIY0</v>
      </c>
      <c r="D7554" s="2" t="s">
        <v>6699</v>
      </c>
      <c r="E7554" s="3">
        <v>0</v>
      </c>
      <c r="F7554" s="2">
        <v>4372</v>
      </c>
      <c r="G7554" s="2">
        <v>96</v>
      </c>
      <c r="H7554" s="2">
        <v>937</v>
      </c>
      <c r="I7554" s="2">
        <v>278</v>
      </c>
      <c r="J7554" s="2">
        <v>3088</v>
      </c>
      <c r="K7554" s="2">
        <v>1</v>
      </c>
      <c r="L7554" s="2">
        <v>906</v>
      </c>
    </row>
    <row r="7555" spans="1:12" x14ac:dyDescent="0.25">
      <c r="A7555" s="4" t="str">
        <f>HYPERLINK("http://www.rosaceae.org/Prunus/Prunus_persica/p.persica_gdr_reftransV1_0021904","p.persica_gdr_reftransV1_0021904")</f>
        <v>p.persica_gdr_reftransV1_0021904</v>
      </c>
      <c r="B7555" s="2">
        <v>3162</v>
      </c>
      <c r="C7555" s="4" t="str">
        <f>HYPERLINK("http://www.uniprot.org/uniprot/M5WGW2","M5WGW2")</f>
        <v>M5WGW2</v>
      </c>
      <c r="D7555" s="2" t="s">
        <v>6700</v>
      </c>
      <c r="E7555" s="3">
        <v>0</v>
      </c>
      <c r="F7555" s="2">
        <v>3026</v>
      </c>
      <c r="G7555" s="2">
        <v>94</v>
      </c>
      <c r="H7555" s="2">
        <v>615</v>
      </c>
      <c r="I7555" s="2">
        <v>112</v>
      </c>
      <c r="J7555" s="2">
        <v>1956</v>
      </c>
      <c r="K7555" s="2">
        <v>1</v>
      </c>
      <c r="L7555" s="2">
        <v>579</v>
      </c>
    </row>
    <row r="7556" spans="1:12" x14ac:dyDescent="0.25">
      <c r="A7556" s="4" t="str">
        <f>HYPERLINK("http://www.rosaceae.org/Prunus/Prunus_persica/p.persica_gdr_reftransV1_0023654","p.persica_gdr_reftransV1_0023654")</f>
        <v>p.persica_gdr_reftransV1_0023654</v>
      </c>
      <c r="B7556" s="2">
        <v>1827</v>
      </c>
      <c r="C7556" s="4" t="str">
        <f>HYPERLINK("http://www.uniprot.org/uniprot/M5WWD4","M5WWD4")</f>
        <v>M5WWD4</v>
      </c>
      <c r="D7556" s="2" t="s">
        <v>6701</v>
      </c>
      <c r="E7556" s="3">
        <v>0</v>
      </c>
      <c r="F7556" s="2">
        <v>2840</v>
      </c>
      <c r="G7556" s="2">
        <v>100</v>
      </c>
      <c r="H7556" s="2">
        <v>526</v>
      </c>
      <c r="I7556" s="2">
        <v>120</v>
      </c>
      <c r="J7556" s="2">
        <v>1697</v>
      </c>
      <c r="K7556" s="2">
        <v>1</v>
      </c>
      <c r="L7556" s="2">
        <v>526</v>
      </c>
    </row>
    <row r="7557" spans="1:12" x14ac:dyDescent="0.25">
      <c r="A7557" s="4" t="str">
        <f>HYPERLINK("http://www.rosaceae.org/Prunus/Prunus_persica/p.persica_gdr_reftransV1_0024354","p.persica_gdr_reftransV1_0024354")</f>
        <v>p.persica_gdr_reftransV1_0024354</v>
      </c>
      <c r="B7557" s="2">
        <v>2379</v>
      </c>
      <c r="C7557" s="4" t="str">
        <f>HYPERLINK("http://www.uniprot.org/uniprot/M5XYD0","M5XYD0")</f>
        <v>M5XYD0</v>
      </c>
      <c r="D7557" s="2" t="s">
        <v>6702</v>
      </c>
      <c r="E7557" s="3">
        <v>0</v>
      </c>
      <c r="F7557" s="2">
        <v>3112</v>
      </c>
      <c r="G7557" s="2">
        <v>96</v>
      </c>
      <c r="H7557" s="2">
        <v>617</v>
      </c>
      <c r="I7557" s="2">
        <v>174</v>
      </c>
      <c r="J7557" s="2">
        <v>2024</v>
      </c>
      <c r="K7557" s="2">
        <v>1</v>
      </c>
      <c r="L7557" s="2">
        <v>592</v>
      </c>
    </row>
    <row r="7558" spans="1:12" x14ac:dyDescent="0.25">
      <c r="A7558" s="4" t="str">
        <f>HYPERLINK("http://www.rosaceae.org/Prunus/Prunus_persica/p.persica_gdr_reftransV1_0025754","p.persica_gdr_reftransV1_0025754")</f>
        <v>p.persica_gdr_reftransV1_0025754</v>
      </c>
      <c r="B7558" s="2">
        <v>4699</v>
      </c>
      <c r="C7558" s="4" t="str">
        <f>HYPERLINK("http://www.uniprot.org/uniprot/M5X992","M5X992")</f>
        <v>M5X992</v>
      </c>
      <c r="D7558" s="2" t="s">
        <v>6703</v>
      </c>
      <c r="E7558" s="3">
        <v>0</v>
      </c>
      <c r="F7558" s="2">
        <v>5031</v>
      </c>
      <c r="G7558" s="2">
        <v>99</v>
      </c>
      <c r="H7558" s="2">
        <v>972</v>
      </c>
      <c r="I7558" s="2">
        <v>1413</v>
      </c>
      <c r="J7558" s="2">
        <v>4298</v>
      </c>
      <c r="K7558" s="2">
        <v>1</v>
      </c>
      <c r="L7558" s="2">
        <v>972</v>
      </c>
    </row>
    <row r="7559" spans="1:12" x14ac:dyDescent="0.25">
      <c r="A7559" s="4" t="str">
        <f>HYPERLINK("http://www.rosaceae.org/Prunus/Prunus_persica/p.persica_gdr_reftransV1_0026104","p.persica_gdr_reftransV1_0026104")</f>
        <v>p.persica_gdr_reftransV1_0026104</v>
      </c>
      <c r="B7559" s="2">
        <v>631</v>
      </c>
      <c r="C7559" s="4" t="str">
        <f>HYPERLINK("http://www.uniprot.org/uniprot/M5XGI6","M5XGI6")</f>
        <v>M5XGI6</v>
      </c>
      <c r="D7559" s="2" t="s">
        <v>6704</v>
      </c>
      <c r="E7559" s="3">
        <v>4.85E-69</v>
      </c>
      <c r="F7559" s="2">
        <v>566</v>
      </c>
      <c r="G7559" s="2">
        <v>100</v>
      </c>
      <c r="H7559" s="2">
        <v>107</v>
      </c>
      <c r="I7559" s="2">
        <v>310</v>
      </c>
      <c r="J7559" s="2">
        <v>630</v>
      </c>
      <c r="K7559" s="2">
        <v>130</v>
      </c>
      <c r="L7559" s="2">
        <v>236</v>
      </c>
    </row>
    <row r="7560" spans="1:12" x14ac:dyDescent="0.25">
      <c r="A7560" s="4" t="str">
        <f>HYPERLINK("http://www.rosaceae.org/Prunus/Prunus_persica/p.persica_gdr_reftransV1_0027504","p.persica_gdr_reftransV1_0027504")</f>
        <v>p.persica_gdr_reftransV1_0027504</v>
      </c>
      <c r="B7560" s="2">
        <v>2693</v>
      </c>
      <c r="C7560" s="4" t="str">
        <f>HYPERLINK("http://www.uniprot.org/uniprot/M5VK55","M5VK55")</f>
        <v>M5VK55</v>
      </c>
      <c r="D7560" s="2" t="s">
        <v>6705</v>
      </c>
      <c r="E7560" s="3">
        <v>0</v>
      </c>
      <c r="F7560" s="2">
        <v>2944</v>
      </c>
      <c r="G7560" s="2">
        <v>94</v>
      </c>
      <c r="H7560" s="2">
        <v>629</v>
      </c>
      <c r="I7560" s="2">
        <v>474</v>
      </c>
      <c r="J7560" s="2">
        <v>2360</v>
      </c>
      <c r="K7560" s="2">
        <v>1</v>
      </c>
      <c r="L7560" s="2">
        <v>589</v>
      </c>
    </row>
    <row r="7561" spans="1:12" x14ac:dyDescent="0.25">
      <c r="A7561" s="4" t="str">
        <f>HYPERLINK("http://www.rosaceae.org/Prunus/Prunus_persica/p.persica_gdr_reftransV1_0027854","p.persica_gdr_reftransV1_0027854")</f>
        <v>p.persica_gdr_reftransV1_0027854</v>
      </c>
      <c r="B7561" s="2">
        <v>2579</v>
      </c>
      <c r="C7561" s="4" t="str">
        <f>HYPERLINK("http://www.uniprot.org/uniprot/M5XBD0","M5XBD0")</f>
        <v>M5XBD0</v>
      </c>
      <c r="D7561" s="2" t="s">
        <v>6706</v>
      </c>
      <c r="E7561" s="3">
        <v>0</v>
      </c>
      <c r="F7561" s="2">
        <v>3209</v>
      </c>
      <c r="G7561" s="2">
        <v>99</v>
      </c>
      <c r="H7561" s="2">
        <v>608</v>
      </c>
      <c r="I7561" s="2">
        <v>506</v>
      </c>
      <c r="J7561" s="2">
        <v>2329</v>
      </c>
      <c r="K7561" s="2">
        <v>1</v>
      </c>
      <c r="L7561" s="2">
        <v>602</v>
      </c>
    </row>
    <row r="7562" spans="1:12" x14ac:dyDescent="0.25">
      <c r="A7562" s="4" t="str">
        <f>HYPERLINK("http://www.rosaceae.org/Prunus/Prunus_persica/p.persica_gdr_reftransV1_0028554","p.persica_gdr_reftransV1_0028554")</f>
        <v>p.persica_gdr_reftransV1_0028554</v>
      </c>
      <c r="B7562" s="2">
        <v>3704</v>
      </c>
      <c r="C7562" s="4" t="str">
        <f>HYPERLINK("http://www.uniprot.org/uniprot/M5XB32","M5XB32")</f>
        <v>M5XB32</v>
      </c>
      <c r="D7562" s="2" t="s">
        <v>6707</v>
      </c>
      <c r="E7562" s="3">
        <v>0</v>
      </c>
      <c r="F7562" s="2">
        <v>2714</v>
      </c>
      <c r="G7562" s="2">
        <v>100</v>
      </c>
      <c r="H7562" s="2">
        <v>543</v>
      </c>
      <c r="I7562" s="2">
        <v>2067</v>
      </c>
      <c r="J7562" s="2">
        <v>3695</v>
      </c>
      <c r="K7562" s="2">
        <v>1</v>
      </c>
      <c r="L7562" s="2">
        <v>543</v>
      </c>
    </row>
    <row r="7563" spans="1:12" x14ac:dyDescent="0.25">
      <c r="A7563" s="4" t="str">
        <f>HYPERLINK("http://www.rosaceae.org/Prunus/Prunus_persica/p.persica_gdr_reftransV1_0028904","p.persica_gdr_reftransV1_0028904")</f>
        <v>p.persica_gdr_reftransV1_0028904</v>
      </c>
      <c r="B7563" s="2">
        <v>1543</v>
      </c>
      <c r="C7563" s="4" t="str">
        <f>HYPERLINK("http://www.uniprot.org/uniprot/M5X115","M5X115")</f>
        <v>M5X115</v>
      </c>
      <c r="D7563" s="2" t="s">
        <v>6708</v>
      </c>
      <c r="E7563" s="3">
        <v>1.49E-90</v>
      </c>
      <c r="F7563" s="2">
        <v>728</v>
      </c>
      <c r="G7563" s="2">
        <v>100</v>
      </c>
      <c r="H7563" s="2">
        <v>138</v>
      </c>
      <c r="I7563" s="2">
        <v>240</v>
      </c>
      <c r="J7563" s="2">
        <v>653</v>
      </c>
      <c r="K7563" s="2">
        <v>2</v>
      </c>
      <c r="L7563" s="2">
        <v>139</v>
      </c>
    </row>
    <row r="7564" spans="1:12" x14ac:dyDescent="0.25">
      <c r="A7564" s="4" t="str">
        <f>HYPERLINK("http://www.rosaceae.org/Prunus/Prunus_persica/p.persica_gdr_reftransV1_0029254","p.persica_gdr_reftransV1_0029254")</f>
        <v>p.persica_gdr_reftransV1_0029254</v>
      </c>
      <c r="B7564" s="2">
        <v>2381</v>
      </c>
      <c r="C7564" s="4" t="str">
        <f>HYPERLINK("http://www.uniprot.org/uniprot/M5W2F2","M5W2F2")</f>
        <v>M5W2F2</v>
      </c>
      <c r="D7564" s="2" t="s">
        <v>6709</v>
      </c>
      <c r="E7564" s="3">
        <v>0</v>
      </c>
      <c r="F7564" s="2">
        <v>2995</v>
      </c>
      <c r="G7564" s="2">
        <v>100</v>
      </c>
      <c r="H7564" s="2">
        <v>620</v>
      </c>
      <c r="I7564" s="2">
        <v>128</v>
      </c>
      <c r="J7564" s="2">
        <v>1987</v>
      </c>
      <c r="K7564" s="2">
        <v>1</v>
      </c>
      <c r="L7564" s="2">
        <v>620</v>
      </c>
    </row>
    <row r="7565" spans="1:12" x14ac:dyDescent="0.25">
      <c r="A7565" s="4" t="str">
        <f>HYPERLINK("http://www.rosaceae.org/Prunus/Prunus_persica/p.persica_gdr_reftransV1_0029604","p.persica_gdr_reftransV1_0029604")</f>
        <v>p.persica_gdr_reftransV1_0029604</v>
      </c>
      <c r="B7565" s="2">
        <v>3166</v>
      </c>
      <c r="C7565" s="4" t="str">
        <f>HYPERLINK("http://www.uniprot.org/uniprot/M5W9I0","M5W9I0")</f>
        <v>M5W9I0</v>
      </c>
      <c r="D7565" s="2" t="s">
        <v>6710</v>
      </c>
      <c r="E7565" s="3">
        <v>0</v>
      </c>
      <c r="F7565" s="2">
        <v>2191</v>
      </c>
      <c r="G7565" s="2">
        <v>100</v>
      </c>
      <c r="H7565" s="2">
        <v>409</v>
      </c>
      <c r="I7565" s="2">
        <v>1625</v>
      </c>
      <c r="J7565" s="2">
        <v>2851</v>
      </c>
      <c r="K7565" s="2">
        <v>1</v>
      </c>
      <c r="L7565" s="2">
        <v>409</v>
      </c>
    </row>
    <row r="7566" spans="1:12" x14ac:dyDescent="0.25">
      <c r="A7566" s="4" t="str">
        <f>HYPERLINK("http://www.rosaceae.org/Prunus/Prunus_persica/p.persica_gdr_reftransV1_0030304","p.persica_gdr_reftransV1_0030304")</f>
        <v>p.persica_gdr_reftransV1_0030304</v>
      </c>
      <c r="B7566" s="2">
        <v>1862</v>
      </c>
      <c r="C7566" s="4" t="str">
        <f>HYPERLINK("http://www.uniprot.org/uniprot/M5VZU2","M5VZU2")</f>
        <v>M5VZU2</v>
      </c>
      <c r="D7566" s="2" t="s">
        <v>6711</v>
      </c>
      <c r="E7566" s="3">
        <v>0</v>
      </c>
      <c r="F7566" s="2">
        <v>1553</v>
      </c>
      <c r="G7566" s="2">
        <v>100</v>
      </c>
      <c r="H7566" s="2">
        <v>354</v>
      </c>
      <c r="I7566" s="2">
        <v>619</v>
      </c>
      <c r="J7566" s="2">
        <v>1680</v>
      </c>
      <c r="K7566" s="2">
        <v>1</v>
      </c>
      <c r="L7566" s="2">
        <v>354</v>
      </c>
    </row>
    <row r="7567" spans="1:12" x14ac:dyDescent="0.25">
      <c r="A7567" s="4" t="str">
        <f>HYPERLINK("http://www.rosaceae.org/Prunus/Prunus_persica/p.persica_gdr_reftransV1_0031004","p.persica_gdr_reftransV1_0031004")</f>
        <v>p.persica_gdr_reftransV1_0031004</v>
      </c>
      <c r="B7567" s="2">
        <v>2056</v>
      </c>
      <c r="C7567" s="4" t="str">
        <f>HYPERLINK("http://www.uniprot.org/uniprot/M5X6I5","M5X6I5")</f>
        <v>M5X6I5</v>
      </c>
      <c r="D7567" s="2" t="s">
        <v>3604</v>
      </c>
      <c r="E7567" s="3">
        <v>0</v>
      </c>
      <c r="F7567" s="2">
        <v>1442</v>
      </c>
      <c r="G7567" s="2">
        <v>100</v>
      </c>
      <c r="H7567" s="2">
        <v>270</v>
      </c>
      <c r="I7567" s="2">
        <v>432</v>
      </c>
      <c r="J7567" s="2">
        <v>1241</v>
      </c>
      <c r="K7567" s="2">
        <v>1</v>
      </c>
      <c r="L7567" s="2">
        <v>270</v>
      </c>
    </row>
    <row r="7568" spans="1:12" x14ac:dyDescent="0.25">
      <c r="A7568" s="4" t="str">
        <f>HYPERLINK("http://www.rosaceae.org/Prunus/Prunus_persica/p.persica_gdr_reftransV1_0033454","p.persica_gdr_reftransV1_0033454")</f>
        <v>p.persica_gdr_reftransV1_0033454</v>
      </c>
      <c r="B7568" s="2">
        <v>1977</v>
      </c>
      <c r="C7568" s="4" t="str">
        <f>HYPERLINK("http://www.uniprot.org/uniprot/M5W2Q3","M5W2Q3")</f>
        <v>M5W2Q3</v>
      </c>
      <c r="D7568" s="2" t="s">
        <v>6712</v>
      </c>
      <c r="E7568" s="3">
        <v>3.01E-108</v>
      </c>
      <c r="F7568" s="2">
        <v>878</v>
      </c>
      <c r="G7568" s="2">
        <v>100</v>
      </c>
      <c r="H7568" s="2">
        <v>172</v>
      </c>
      <c r="I7568" s="2">
        <v>976</v>
      </c>
      <c r="J7568" s="2">
        <v>1491</v>
      </c>
      <c r="K7568" s="2">
        <v>172</v>
      </c>
      <c r="L7568" s="2">
        <v>343</v>
      </c>
    </row>
    <row r="7569" spans="1:12" x14ac:dyDescent="0.25">
      <c r="A7569" s="4" t="str">
        <f>HYPERLINK("http://www.rosaceae.org/Prunus/Prunus_persica/p.persica_gdr_reftransV1_0034504","p.persica_gdr_reftransV1_0034504")</f>
        <v>p.persica_gdr_reftransV1_0034504</v>
      </c>
      <c r="B7569" s="2">
        <v>1281</v>
      </c>
      <c r="C7569" s="4" t="str">
        <f>HYPERLINK("http://www.uniprot.org/uniprot/M5WQP7","M5WQP7")</f>
        <v>M5WQP7</v>
      </c>
      <c r="D7569" s="2" t="s">
        <v>4137</v>
      </c>
      <c r="E7569" s="3">
        <v>7.5599999999999996E-166</v>
      </c>
      <c r="F7569" s="2">
        <v>1300</v>
      </c>
      <c r="G7569" s="2">
        <v>100</v>
      </c>
      <c r="H7569" s="2">
        <v>241</v>
      </c>
      <c r="I7569" s="2">
        <v>2</v>
      </c>
      <c r="J7569" s="2">
        <v>724</v>
      </c>
      <c r="K7569" s="2">
        <v>784</v>
      </c>
      <c r="L7569" s="2">
        <v>1024</v>
      </c>
    </row>
    <row r="7570" spans="1:12" x14ac:dyDescent="0.25">
      <c r="A7570" s="4" t="str">
        <f>HYPERLINK("http://www.rosaceae.org/Prunus/Prunus_persica/p.persica_gdr_reftransV1_0038004","p.persica_gdr_reftransV1_0038004")</f>
        <v>p.persica_gdr_reftransV1_0038004</v>
      </c>
      <c r="B7570" s="2">
        <v>1943</v>
      </c>
      <c r="C7570" s="4" t="str">
        <f>HYPERLINK("http://www.uniprot.org/uniprot/M5WAA7","M5WAA7")</f>
        <v>M5WAA7</v>
      </c>
      <c r="D7570" s="2" t="s">
        <v>6713</v>
      </c>
      <c r="E7570" s="3">
        <v>2.2999999999999999E-123</v>
      </c>
      <c r="F7570" s="2">
        <v>970</v>
      </c>
      <c r="G7570" s="2">
        <v>100</v>
      </c>
      <c r="H7570" s="2">
        <v>213</v>
      </c>
      <c r="I7570" s="2">
        <v>239</v>
      </c>
      <c r="J7570" s="2">
        <v>877</v>
      </c>
      <c r="K7570" s="2">
        <v>6</v>
      </c>
      <c r="L7570" s="2">
        <v>218</v>
      </c>
    </row>
    <row r="7571" spans="1:12" x14ac:dyDescent="0.25">
      <c r="A7571" s="4" t="str">
        <f>HYPERLINK("http://www.rosaceae.org/Prunus/Prunus_persica/p.persica_gdr_reftransV1_0038354","p.persica_gdr_reftransV1_0038354")</f>
        <v>p.persica_gdr_reftransV1_0038354</v>
      </c>
      <c r="B7571" s="2">
        <v>2526</v>
      </c>
      <c r="C7571" s="4" t="str">
        <f>HYPERLINK("http://www.uniprot.org/uniprot/M5VKT7","M5VKT7")</f>
        <v>M5VKT7</v>
      </c>
      <c r="D7571" s="2" t="s">
        <v>6714</v>
      </c>
      <c r="E7571" s="3">
        <v>2.7100000000000002E-136</v>
      </c>
      <c r="F7571" s="2">
        <v>1075</v>
      </c>
      <c r="G7571" s="2">
        <v>100</v>
      </c>
      <c r="H7571" s="2">
        <v>286</v>
      </c>
      <c r="I7571" s="2">
        <v>438</v>
      </c>
      <c r="J7571" s="2">
        <v>1295</v>
      </c>
      <c r="K7571" s="2">
        <v>1</v>
      </c>
      <c r="L7571" s="2">
        <v>286</v>
      </c>
    </row>
    <row r="7572" spans="1:12" x14ac:dyDescent="0.25">
      <c r="A7572" s="4" t="str">
        <f>HYPERLINK("http://www.rosaceae.org/Prunus/Prunus_persica/p.persica_gdr_reftransV1_0038704","p.persica_gdr_reftransV1_0038704")</f>
        <v>p.persica_gdr_reftransV1_0038704</v>
      </c>
      <c r="B7572" s="2">
        <v>2367</v>
      </c>
      <c r="C7572" s="4" t="str">
        <f>HYPERLINK("http://www.uniprot.org/uniprot/M5VY76","M5VY76")</f>
        <v>M5VY76</v>
      </c>
      <c r="D7572" s="2" t="s">
        <v>6715</v>
      </c>
      <c r="E7572" s="3">
        <v>3.3200000000000002E-114</v>
      </c>
      <c r="F7572" s="2">
        <v>664</v>
      </c>
      <c r="G7572" s="2">
        <v>100</v>
      </c>
      <c r="H7572" s="2">
        <v>131</v>
      </c>
      <c r="I7572" s="2">
        <v>1417</v>
      </c>
      <c r="J7572" s="2">
        <v>1809</v>
      </c>
      <c r="K7572" s="2">
        <v>124</v>
      </c>
      <c r="L7572" s="2">
        <v>254</v>
      </c>
    </row>
    <row r="7573" spans="1:12" x14ac:dyDescent="0.25">
      <c r="A7573" s="4" t="str">
        <f>HYPERLINK("http://www.rosaceae.org/Prunus/Prunus_persica/p.persica_gdr_reftransV1_0039404","p.persica_gdr_reftransV1_0039404")</f>
        <v>p.persica_gdr_reftransV1_0039404</v>
      </c>
      <c r="B7573" s="2">
        <v>383</v>
      </c>
      <c r="C7573" s="4" t="str">
        <f>HYPERLINK("http://www.uniprot.org/uniprot/M5VTK0","M5VTK0")</f>
        <v>M5VTK0</v>
      </c>
      <c r="D7573" s="2" t="s">
        <v>6716</v>
      </c>
      <c r="E7573" s="3">
        <v>6.1800000000000004E-48</v>
      </c>
      <c r="F7573" s="2">
        <v>445</v>
      </c>
      <c r="G7573" s="2">
        <v>85</v>
      </c>
      <c r="H7573" s="2">
        <v>126</v>
      </c>
      <c r="I7573" s="2">
        <v>4</v>
      </c>
      <c r="J7573" s="2">
        <v>381</v>
      </c>
      <c r="K7573" s="2">
        <v>477</v>
      </c>
      <c r="L7573" s="2">
        <v>602</v>
      </c>
    </row>
    <row r="7574" spans="1:12" x14ac:dyDescent="0.25">
      <c r="A7574" s="4" t="str">
        <f>HYPERLINK("http://www.rosaceae.org/Prunus/Prunus_persica/p.persica_gdr_reftransV1_0040104","p.persica_gdr_reftransV1_0040104")</f>
        <v>p.persica_gdr_reftransV1_0040104</v>
      </c>
      <c r="B7574" s="2">
        <v>1113</v>
      </c>
      <c r="C7574" s="4" t="str">
        <f>HYPERLINK("http://www.uniprot.org/uniprot/M5VJX4","M5VJX4")</f>
        <v>M5VJX4</v>
      </c>
      <c r="D7574" s="2" t="s">
        <v>6717</v>
      </c>
      <c r="E7574" s="3">
        <v>0</v>
      </c>
      <c r="F7574" s="2">
        <v>1712</v>
      </c>
      <c r="G7574" s="2">
        <v>86</v>
      </c>
      <c r="H7574" s="2">
        <v>395</v>
      </c>
      <c r="I7574" s="2">
        <v>3</v>
      </c>
      <c r="J7574" s="2">
        <v>1112</v>
      </c>
      <c r="K7574" s="2">
        <v>489</v>
      </c>
      <c r="L7574" s="2">
        <v>873</v>
      </c>
    </row>
    <row r="7575" spans="1:12" x14ac:dyDescent="0.25">
      <c r="A7575" s="4" t="str">
        <f>HYPERLINK("http://www.rosaceae.org/Prunus/Prunus_persica/p.persica_gdr_reftransV1_0040804","p.persica_gdr_reftransV1_0040804")</f>
        <v>p.persica_gdr_reftransV1_0040804</v>
      </c>
      <c r="B7575" s="2">
        <v>2554</v>
      </c>
      <c r="C7575" s="4" t="str">
        <f>HYPERLINK("http://www.uniprot.org/uniprot/M5WAR3","M5WAR3")</f>
        <v>M5WAR3</v>
      </c>
      <c r="D7575" s="2" t="s">
        <v>6718</v>
      </c>
      <c r="E7575" s="3">
        <v>0</v>
      </c>
      <c r="F7575" s="2">
        <v>1453</v>
      </c>
      <c r="G7575" s="2">
        <v>100</v>
      </c>
      <c r="H7575" s="2">
        <v>267</v>
      </c>
      <c r="I7575" s="2">
        <v>1290</v>
      </c>
      <c r="J7575" s="2">
        <v>2090</v>
      </c>
      <c r="K7575" s="2">
        <v>205</v>
      </c>
      <c r="L7575" s="2">
        <v>471</v>
      </c>
    </row>
    <row r="7576" spans="1:12" x14ac:dyDescent="0.25">
      <c r="A7576" s="4" t="str">
        <f>HYPERLINK("http://www.rosaceae.org/Prunus/Prunus_persica/p.persica_gdr_reftransV1_0041154","p.persica_gdr_reftransV1_0041154")</f>
        <v>p.persica_gdr_reftransV1_0041154</v>
      </c>
      <c r="B7576" s="2">
        <v>1804</v>
      </c>
      <c r="C7576" s="4" t="str">
        <f>HYPERLINK("http://www.uniprot.org/uniprot/M5WV46","M5WV46")</f>
        <v>M5WV46</v>
      </c>
      <c r="D7576" s="2" t="s">
        <v>2975</v>
      </c>
      <c r="E7576" s="3">
        <v>0</v>
      </c>
      <c r="F7576" s="2">
        <v>2072</v>
      </c>
      <c r="G7576" s="2">
        <v>100</v>
      </c>
      <c r="H7576" s="2">
        <v>382</v>
      </c>
      <c r="I7576" s="2">
        <v>2</v>
      </c>
      <c r="J7576" s="2">
        <v>1147</v>
      </c>
      <c r="K7576" s="2">
        <v>145</v>
      </c>
      <c r="L7576" s="2">
        <v>526</v>
      </c>
    </row>
    <row r="7577" spans="1:12" x14ac:dyDescent="0.25">
      <c r="A7577" s="4" t="str">
        <f>HYPERLINK("http://www.rosaceae.org/Prunus/Prunus_persica/p.persica_gdr_reftransV1_0042904","p.persica_gdr_reftransV1_0042904")</f>
        <v>p.persica_gdr_reftransV1_0042904</v>
      </c>
      <c r="B7577" s="2">
        <v>2733</v>
      </c>
      <c r="C7577" s="4" t="str">
        <f>HYPERLINK("http://www.uniprot.org/uniprot/M5W354","M5W354")</f>
        <v>M5W354</v>
      </c>
      <c r="D7577" s="2" t="s">
        <v>6719</v>
      </c>
      <c r="E7577" s="3">
        <v>0</v>
      </c>
      <c r="F7577" s="2">
        <v>1405</v>
      </c>
      <c r="G7577" s="2">
        <v>96</v>
      </c>
      <c r="H7577" s="2">
        <v>290</v>
      </c>
      <c r="I7577" s="2">
        <v>1540</v>
      </c>
      <c r="J7577" s="2">
        <v>2409</v>
      </c>
      <c r="K7577" s="2">
        <v>1</v>
      </c>
      <c r="L7577" s="2">
        <v>290</v>
      </c>
    </row>
    <row r="7578" spans="1:12" x14ac:dyDescent="0.25">
      <c r="A7578" s="4" t="str">
        <f>HYPERLINK("http://www.rosaceae.org/Prunus/Prunus_persica/p.persica_gdr_reftransV1_0043254","p.persica_gdr_reftransV1_0043254")</f>
        <v>p.persica_gdr_reftransV1_0043254</v>
      </c>
      <c r="B7578" s="2">
        <v>934</v>
      </c>
      <c r="C7578" s="4" t="str">
        <f>HYPERLINK("http://www.uniprot.org/uniprot/M5VN05","M5VN05")</f>
        <v>M5VN05</v>
      </c>
      <c r="D7578" s="2" t="s">
        <v>6720</v>
      </c>
      <c r="E7578" s="3">
        <v>1.5E-98</v>
      </c>
      <c r="F7578" s="2">
        <v>766</v>
      </c>
      <c r="G7578" s="2">
        <v>100</v>
      </c>
      <c r="H7578" s="2">
        <v>177</v>
      </c>
      <c r="I7578" s="2">
        <v>9</v>
      </c>
      <c r="J7578" s="2">
        <v>539</v>
      </c>
      <c r="K7578" s="2">
        <v>1</v>
      </c>
      <c r="L7578" s="2">
        <v>177</v>
      </c>
    </row>
    <row r="7579" spans="1:12" x14ac:dyDescent="0.25">
      <c r="A7579" s="4" t="str">
        <f>HYPERLINK("http://www.rosaceae.org/Prunus/Prunus_persica/p.persica_gdr_reftransV1_0043954","p.persica_gdr_reftransV1_0043954")</f>
        <v>p.persica_gdr_reftransV1_0043954</v>
      </c>
      <c r="B7579" s="2">
        <v>1309</v>
      </c>
      <c r="C7579" s="4" t="str">
        <f>HYPERLINK("http://www.uniprot.org/uniprot/M5XVB2","M5XVB2")</f>
        <v>M5XVB2</v>
      </c>
      <c r="D7579" s="2" t="s">
        <v>6721</v>
      </c>
      <c r="E7579" s="3">
        <v>1.7099999999999998E-179</v>
      </c>
      <c r="F7579" s="2">
        <v>1325</v>
      </c>
      <c r="G7579" s="2">
        <v>96</v>
      </c>
      <c r="H7579" s="2">
        <v>301</v>
      </c>
      <c r="I7579" s="2">
        <v>269</v>
      </c>
      <c r="J7579" s="2">
        <v>1171</v>
      </c>
      <c r="K7579" s="2">
        <v>1</v>
      </c>
      <c r="L7579" s="2">
        <v>291</v>
      </c>
    </row>
    <row r="7580" spans="1:12" x14ac:dyDescent="0.25">
      <c r="A7580" s="4" t="str">
        <f>HYPERLINK("http://www.rosaceae.org/Prunus/Prunus_persica/p.persica_gdr_reftransV1_0044304","p.persica_gdr_reftransV1_0044304")</f>
        <v>p.persica_gdr_reftransV1_0044304</v>
      </c>
      <c r="B7580" s="2">
        <v>1645</v>
      </c>
      <c r="C7580" s="4" t="str">
        <f>HYPERLINK("http://www.uniprot.org/uniprot/M5Y7H4","M5Y7H4")</f>
        <v>M5Y7H4</v>
      </c>
      <c r="D7580" s="2" t="s">
        <v>1732</v>
      </c>
      <c r="E7580" s="3">
        <v>0</v>
      </c>
      <c r="F7580" s="2">
        <v>2043</v>
      </c>
      <c r="G7580" s="2">
        <v>100</v>
      </c>
      <c r="H7580" s="2">
        <v>413</v>
      </c>
      <c r="I7580" s="2">
        <v>406</v>
      </c>
      <c r="J7580" s="2">
        <v>1644</v>
      </c>
      <c r="K7580" s="2">
        <v>36</v>
      </c>
      <c r="L7580" s="2">
        <v>448</v>
      </c>
    </row>
    <row r="7581" spans="1:12" x14ac:dyDescent="0.25">
      <c r="A7581" s="4" t="str">
        <f>HYPERLINK("http://www.rosaceae.org/Prunus/Prunus_persica/p.persica_gdr_reftransV1_0044654","p.persica_gdr_reftransV1_0044654")</f>
        <v>p.persica_gdr_reftransV1_0044654</v>
      </c>
      <c r="B7581" s="2">
        <v>1740</v>
      </c>
      <c r="C7581" s="4" t="str">
        <f>HYPERLINK("http://www.uniprot.org/uniprot/M5W5Z8","M5W5Z8")</f>
        <v>M5W5Z8</v>
      </c>
      <c r="D7581" s="2" t="s">
        <v>6722</v>
      </c>
      <c r="E7581" s="3">
        <v>0</v>
      </c>
      <c r="F7581" s="2">
        <v>2507</v>
      </c>
      <c r="G7581" s="2">
        <v>100</v>
      </c>
      <c r="H7581" s="2">
        <v>482</v>
      </c>
      <c r="I7581" s="2">
        <v>259</v>
      </c>
      <c r="J7581" s="2">
        <v>1704</v>
      </c>
      <c r="K7581" s="2">
        <v>1</v>
      </c>
      <c r="L7581" s="2">
        <v>482</v>
      </c>
    </row>
    <row r="7582" spans="1:12" x14ac:dyDescent="0.25">
      <c r="A7582" s="4" t="str">
        <f>HYPERLINK("http://www.rosaceae.org/Prunus/Prunus_persica/p.persica_gdr_reftransV1_0045004","p.persica_gdr_reftransV1_0045004")</f>
        <v>p.persica_gdr_reftransV1_0045004</v>
      </c>
      <c r="B7582" s="2">
        <v>778</v>
      </c>
      <c r="C7582" s="4" t="str">
        <f>HYPERLINK("http://www.uniprot.org/uniprot/M5Y6F9","M5Y6F9")</f>
        <v>M5Y6F9</v>
      </c>
      <c r="D7582" s="2" t="s">
        <v>552</v>
      </c>
      <c r="E7582" s="3">
        <v>9.6800000000000003E-161</v>
      </c>
      <c r="F7582" s="2">
        <v>1217</v>
      </c>
      <c r="G7582" s="2">
        <v>100</v>
      </c>
      <c r="H7582" s="2">
        <v>231</v>
      </c>
      <c r="I7582" s="2">
        <v>1</v>
      </c>
      <c r="J7582" s="2">
        <v>693</v>
      </c>
      <c r="K7582" s="2">
        <v>1</v>
      </c>
      <c r="L7582" s="2">
        <v>231</v>
      </c>
    </row>
    <row r="7583" spans="1:12" x14ac:dyDescent="0.25">
      <c r="A7583" s="4" t="str">
        <f>HYPERLINK("http://www.rosaceae.org/Prunus/Prunus_persica/p.persica_gdr_reftransV1_0045704","p.persica_gdr_reftransV1_0045704")</f>
        <v>p.persica_gdr_reftransV1_0045704</v>
      </c>
      <c r="B7583" s="2">
        <v>1126</v>
      </c>
      <c r="C7583" s="4" t="str">
        <f>HYPERLINK("http://www.uniprot.org/uniprot/M5VZS9","M5VZS9")</f>
        <v>M5VZS9</v>
      </c>
      <c r="D7583" s="2" t="s">
        <v>6723</v>
      </c>
      <c r="E7583" s="3">
        <v>1.3899999999999999E-143</v>
      </c>
      <c r="F7583" s="2">
        <v>1078</v>
      </c>
      <c r="G7583" s="2">
        <v>100</v>
      </c>
      <c r="H7583" s="2">
        <v>247</v>
      </c>
      <c r="I7583" s="2">
        <v>309</v>
      </c>
      <c r="J7583" s="2">
        <v>1049</v>
      </c>
      <c r="K7583" s="2">
        <v>1</v>
      </c>
      <c r="L7583" s="2">
        <v>247</v>
      </c>
    </row>
    <row r="7584" spans="1:12" x14ac:dyDescent="0.25">
      <c r="A7584" s="4" t="str">
        <f>HYPERLINK("http://www.rosaceae.org/Prunus/Prunus_persica/p.persica_gdr_reftransV1_0046754","p.persica_gdr_reftransV1_0046754")</f>
        <v>p.persica_gdr_reftransV1_0046754</v>
      </c>
      <c r="B7584" s="2">
        <v>346</v>
      </c>
      <c r="C7584" s="4" t="str">
        <f>HYPERLINK("http://www.uniprot.org/uniprot/M5WCS4","M5WCS4")</f>
        <v>M5WCS4</v>
      </c>
      <c r="D7584" s="2" t="s">
        <v>6724</v>
      </c>
      <c r="E7584" s="3">
        <v>4.2799999999999998E-74</v>
      </c>
      <c r="F7584" s="2">
        <v>623</v>
      </c>
      <c r="G7584" s="2">
        <v>100</v>
      </c>
      <c r="H7584" s="2">
        <v>115</v>
      </c>
      <c r="I7584" s="2">
        <v>2</v>
      </c>
      <c r="J7584" s="2">
        <v>346</v>
      </c>
      <c r="K7584" s="2">
        <v>372</v>
      </c>
      <c r="L7584" s="2">
        <v>486</v>
      </c>
    </row>
    <row r="7585" spans="1:12" x14ac:dyDescent="0.25">
      <c r="A7585" s="4" t="str">
        <f>HYPERLINK("http://www.rosaceae.org/Prunus/Prunus_persica/p.persica_gdr_reftransV1_0047104","p.persica_gdr_reftransV1_0047104")</f>
        <v>p.persica_gdr_reftransV1_0047104</v>
      </c>
      <c r="B7585" s="2">
        <v>1341</v>
      </c>
      <c r="C7585" s="4" t="str">
        <f>HYPERLINK("http://www.uniprot.org/uniprot/J3ML17","J3ML17")</f>
        <v>J3ML17</v>
      </c>
      <c r="D7585" s="2" t="s">
        <v>6725</v>
      </c>
      <c r="E7585" s="3">
        <v>9.0299999999999992E-84</v>
      </c>
      <c r="F7585" s="2">
        <v>684</v>
      </c>
      <c r="G7585" s="2">
        <v>100</v>
      </c>
      <c r="H7585" s="2">
        <v>130</v>
      </c>
      <c r="I7585" s="2">
        <v>211</v>
      </c>
      <c r="J7585" s="2">
        <v>600</v>
      </c>
      <c r="K7585" s="2">
        <v>1</v>
      </c>
      <c r="L7585" s="2">
        <v>130</v>
      </c>
    </row>
    <row r="7586" spans="1:12" x14ac:dyDescent="0.25">
      <c r="A7586" s="4" t="str">
        <f>HYPERLINK("http://www.rosaceae.org/Prunus/Prunus_persica/p.persica_gdr_reftransV1_0047454","p.persica_gdr_reftransV1_0047454")</f>
        <v>p.persica_gdr_reftransV1_0047454</v>
      </c>
      <c r="B7586" s="2">
        <v>1847</v>
      </c>
      <c r="C7586" s="4" t="str">
        <f>HYPERLINK("http://www.uniprot.org/uniprot/M5WI97","M5WI97")</f>
        <v>M5WI97</v>
      </c>
      <c r="D7586" s="2" t="s">
        <v>6726</v>
      </c>
      <c r="E7586" s="3">
        <v>0</v>
      </c>
      <c r="F7586" s="2">
        <v>2134</v>
      </c>
      <c r="G7586" s="2">
        <v>100</v>
      </c>
      <c r="H7586" s="2">
        <v>393</v>
      </c>
      <c r="I7586" s="2">
        <v>482</v>
      </c>
      <c r="J7586" s="2">
        <v>1660</v>
      </c>
      <c r="K7586" s="2">
        <v>1</v>
      </c>
      <c r="L7586" s="2">
        <v>393</v>
      </c>
    </row>
    <row r="7587" spans="1:12" x14ac:dyDescent="0.25">
      <c r="A7587" s="4" t="str">
        <f>HYPERLINK("http://www.rosaceae.org/Prunus/Prunus_persica/p.persica_gdr_reftransV1_0048154","p.persica_gdr_reftransV1_0048154")</f>
        <v>p.persica_gdr_reftransV1_0048154</v>
      </c>
      <c r="B7587" s="2">
        <v>1583</v>
      </c>
      <c r="C7587" s="4" t="str">
        <f>HYPERLINK("http://www.uniprot.org/uniprot/M5XDL8","M5XDL8")</f>
        <v>M5XDL8</v>
      </c>
      <c r="D7587" s="2" t="s">
        <v>6727</v>
      </c>
      <c r="E7587" s="3">
        <v>0</v>
      </c>
      <c r="F7587" s="2">
        <v>1791</v>
      </c>
      <c r="G7587" s="2">
        <v>100</v>
      </c>
      <c r="H7587" s="2">
        <v>393</v>
      </c>
      <c r="I7587" s="2">
        <v>301</v>
      </c>
      <c r="J7587" s="2">
        <v>1479</v>
      </c>
      <c r="K7587" s="2">
        <v>1</v>
      </c>
      <c r="L7587" s="2">
        <v>393</v>
      </c>
    </row>
    <row r="7588" spans="1:12" x14ac:dyDescent="0.25">
      <c r="A7588" s="4" t="str">
        <f>HYPERLINK("http://www.rosaceae.org/Prunus/Prunus_persica/p.persica_gdr_reftransV1_0048504","p.persica_gdr_reftransV1_0048504")</f>
        <v>p.persica_gdr_reftransV1_0048504</v>
      </c>
      <c r="B7588" s="2">
        <v>620</v>
      </c>
      <c r="C7588" s="4" t="str">
        <f>HYPERLINK("http://www.uniprot.org/uniprot/M5W5H7","M5W5H7")</f>
        <v>M5W5H7</v>
      </c>
      <c r="D7588" s="2" t="s">
        <v>6728</v>
      </c>
      <c r="E7588" s="3">
        <v>6.2699999999999997E-80</v>
      </c>
      <c r="F7588" s="2">
        <v>629</v>
      </c>
      <c r="G7588" s="2">
        <v>100</v>
      </c>
      <c r="H7588" s="2">
        <v>144</v>
      </c>
      <c r="I7588" s="2">
        <v>8</v>
      </c>
      <c r="J7588" s="2">
        <v>439</v>
      </c>
      <c r="K7588" s="2">
        <v>1</v>
      </c>
      <c r="L7588" s="2">
        <v>144</v>
      </c>
    </row>
    <row r="7589" spans="1:12" x14ac:dyDescent="0.25">
      <c r="A7589" s="4" t="str">
        <f>HYPERLINK("http://www.rosaceae.org/Prunus/Prunus_persica/p.persica_gdr_reftransV1_0048854","p.persica_gdr_reftransV1_0048854")</f>
        <v>p.persica_gdr_reftransV1_0048854</v>
      </c>
      <c r="B7589" s="2">
        <v>501</v>
      </c>
      <c r="C7589" s="4" t="str">
        <f>HYPERLINK("http://www.uniprot.org/uniprot/A0A067ERH3","A0A067ERH3")</f>
        <v>A0A067ERH3</v>
      </c>
      <c r="D7589" s="2" t="s">
        <v>6729</v>
      </c>
      <c r="E7589" s="3">
        <v>1.5700000000000001E-61</v>
      </c>
      <c r="F7589" s="2">
        <v>543</v>
      </c>
      <c r="G7589" s="2">
        <v>73</v>
      </c>
      <c r="H7589" s="2">
        <v>142</v>
      </c>
      <c r="I7589" s="2">
        <v>76</v>
      </c>
      <c r="J7589" s="2">
        <v>501</v>
      </c>
      <c r="K7589" s="2">
        <v>647</v>
      </c>
      <c r="L7589" s="2">
        <v>788</v>
      </c>
    </row>
    <row r="7590" spans="1:12" x14ac:dyDescent="0.25">
      <c r="A7590" s="4" t="str">
        <f>HYPERLINK("http://www.rosaceae.org/Prunus/Prunus_persica/p.persica_gdr_reftransV1_0000205","p.persica_gdr_reftransV1_0000205")</f>
        <v>p.persica_gdr_reftransV1_0000205</v>
      </c>
      <c r="B7590" s="2">
        <v>2279</v>
      </c>
      <c r="C7590" s="4" t="str">
        <f>HYPERLINK("http://www.uniprot.org/uniprot/M5WQH2","M5WQH2")</f>
        <v>M5WQH2</v>
      </c>
      <c r="D7590" s="2" t="s">
        <v>6730</v>
      </c>
      <c r="E7590" s="3">
        <v>0</v>
      </c>
      <c r="F7590" s="2">
        <v>3058</v>
      </c>
      <c r="G7590" s="2">
        <v>96</v>
      </c>
      <c r="H7590" s="2">
        <v>682</v>
      </c>
      <c r="I7590" s="2">
        <v>302</v>
      </c>
      <c r="J7590" s="2">
        <v>2260</v>
      </c>
      <c r="K7590" s="2">
        <v>110</v>
      </c>
      <c r="L7590" s="2">
        <v>791</v>
      </c>
    </row>
    <row r="7591" spans="1:12" x14ac:dyDescent="0.25">
      <c r="A7591" s="4" t="str">
        <f>HYPERLINK("http://www.rosaceae.org/Prunus/Prunus_persica/p.persica_gdr_reftransV1_0000555","p.persica_gdr_reftransV1_0000555")</f>
        <v>p.persica_gdr_reftransV1_0000555</v>
      </c>
      <c r="B7591" s="2">
        <v>1892</v>
      </c>
      <c r="C7591" s="4" t="str">
        <f>HYPERLINK("http://www.uniprot.org/uniprot/M5WN25","M5WN25")</f>
        <v>M5WN25</v>
      </c>
      <c r="D7591" s="2" t="s">
        <v>6731</v>
      </c>
      <c r="E7591" s="3">
        <v>0</v>
      </c>
      <c r="F7591" s="2">
        <v>2895</v>
      </c>
      <c r="G7591" s="2">
        <v>100</v>
      </c>
      <c r="H7591" s="2">
        <v>557</v>
      </c>
      <c r="I7591" s="2">
        <v>51</v>
      </c>
      <c r="J7591" s="2">
        <v>1721</v>
      </c>
      <c r="K7591" s="2">
        <v>1</v>
      </c>
      <c r="L7591" s="2">
        <v>557</v>
      </c>
    </row>
    <row r="7592" spans="1:12" x14ac:dyDescent="0.25">
      <c r="A7592" s="4" t="str">
        <f>HYPERLINK("http://www.rosaceae.org/Prunus/Prunus_persica/p.persica_gdr_reftransV1_0000905","p.persica_gdr_reftransV1_0000905")</f>
        <v>p.persica_gdr_reftransV1_0000905</v>
      </c>
      <c r="B7592" s="2">
        <v>1627</v>
      </c>
      <c r="C7592" s="4" t="str">
        <f>HYPERLINK("http://www.uniprot.org/uniprot/M5XP18","M5XP18")</f>
        <v>M5XP18</v>
      </c>
      <c r="D7592" s="2" t="s">
        <v>6732</v>
      </c>
      <c r="E7592" s="3">
        <v>0</v>
      </c>
      <c r="F7592" s="2">
        <v>2323</v>
      </c>
      <c r="G7592" s="2">
        <v>89</v>
      </c>
      <c r="H7592" s="2">
        <v>511</v>
      </c>
      <c r="I7592" s="2">
        <v>1</v>
      </c>
      <c r="J7592" s="2">
        <v>1533</v>
      </c>
      <c r="K7592" s="2">
        <v>29</v>
      </c>
      <c r="L7592" s="2">
        <v>539</v>
      </c>
    </row>
    <row r="7593" spans="1:12" x14ac:dyDescent="0.25">
      <c r="A7593" s="4" t="str">
        <f>HYPERLINK("http://www.rosaceae.org/Prunus/Prunus_persica/p.persica_gdr_reftransV1_0001255","p.persica_gdr_reftransV1_0001255")</f>
        <v>p.persica_gdr_reftransV1_0001255</v>
      </c>
      <c r="B7593" s="2">
        <v>1244</v>
      </c>
      <c r="C7593" s="4" t="str">
        <f>HYPERLINK("http://www.uniprot.org/uniprot/F6HK80","F6HK80")</f>
        <v>F6HK80</v>
      </c>
      <c r="D7593" s="2" t="s">
        <v>6733</v>
      </c>
      <c r="E7593" s="3">
        <v>8.8600000000000007E-96</v>
      </c>
      <c r="F7593" s="2">
        <v>779</v>
      </c>
      <c r="G7593" s="2">
        <v>60</v>
      </c>
      <c r="H7593" s="2">
        <v>312</v>
      </c>
      <c r="I7593" s="2">
        <v>342</v>
      </c>
      <c r="J7593" s="2">
        <v>1238</v>
      </c>
      <c r="K7593" s="2">
        <v>67</v>
      </c>
      <c r="L7593" s="2">
        <v>366</v>
      </c>
    </row>
    <row r="7594" spans="1:12" x14ac:dyDescent="0.25">
      <c r="A7594" s="4" t="str">
        <f>HYPERLINK("http://www.rosaceae.org/Prunus/Prunus_persica/p.persica_gdr_reftransV1_0001605","p.persica_gdr_reftransV1_0001605")</f>
        <v>p.persica_gdr_reftransV1_0001605</v>
      </c>
      <c r="B7594" s="2">
        <v>896</v>
      </c>
      <c r="C7594" s="4" t="str">
        <f>HYPERLINK("http://www.uniprot.org/uniprot/M5XNU1","M5XNU1")</f>
        <v>M5XNU1</v>
      </c>
      <c r="D7594" s="2" t="s">
        <v>6734</v>
      </c>
      <c r="E7594" s="3">
        <v>1.54E-110</v>
      </c>
      <c r="F7594" s="2">
        <v>843</v>
      </c>
      <c r="G7594" s="2">
        <v>100</v>
      </c>
      <c r="H7594" s="2">
        <v>159</v>
      </c>
      <c r="I7594" s="2">
        <v>219</v>
      </c>
      <c r="J7594" s="2">
        <v>695</v>
      </c>
      <c r="K7594" s="2">
        <v>1</v>
      </c>
      <c r="L7594" s="2">
        <v>159</v>
      </c>
    </row>
    <row r="7595" spans="1:12" x14ac:dyDescent="0.25">
      <c r="A7595" s="4" t="str">
        <f>HYPERLINK("http://www.rosaceae.org/Prunus/Prunus_persica/p.persica_gdr_reftransV1_0001955","p.persica_gdr_reftransV1_0001955")</f>
        <v>p.persica_gdr_reftransV1_0001955</v>
      </c>
      <c r="B7595" s="2">
        <v>752</v>
      </c>
      <c r="C7595" s="4" t="str">
        <f>HYPERLINK("http://www.uniprot.org/uniprot/M5WWT2","M5WWT2")</f>
        <v>M5WWT2</v>
      </c>
      <c r="D7595" s="2" t="s">
        <v>1134</v>
      </c>
      <c r="E7595" s="3">
        <v>2.3099999999999999E-110</v>
      </c>
      <c r="F7595" s="2">
        <v>908</v>
      </c>
      <c r="G7595" s="2">
        <v>99</v>
      </c>
      <c r="H7595" s="2">
        <v>186</v>
      </c>
      <c r="I7595" s="2">
        <v>193</v>
      </c>
      <c r="J7595" s="2">
        <v>750</v>
      </c>
      <c r="K7595" s="2">
        <v>884</v>
      </c>
      <c r="L7595" s="2">
        <v>1069</v>
      </c>
    </row>
    <row r="7596" spans="1:12" x14ac:dyDescent="0.25">
      <c r="A7596" s="4" t="str">
        <f>HYPERLINK("http://www.rosaceae.org/Prunus/Prunus_persica/p.persica_gdr_reftransV1_0002655","p.persica_gdr_reftransV1_0002655")</f>
        <v>p.persica_gdr_reftransV1_0002655</v>
      </c>
      <c r="B7596" s="2">
        <v>712</v>
      </c>
      <c r="C7596" s="4" t="str">
        <f>HYPERLINK("http://www.uniprot.org/uniprot/M5VHF3","M5VHF3")</f>
        <v>M5VHF3</v>
      </c>
      <c r="D7596" s="2" t="s">
        <v>6735</v>
      </c>
      <c r="E7596" s="3">
        <v>7.1999999999999999E-88</v>
      </c>
      <c r="F7596" s="2">
        <v>687</v>
      </c>
      <c r="G7596" s="2">
        <v>100</v>
      </c>
      <c r="H7596" s="2">
        <v>148</v>
      </c>
      <c r="I7596" s="2">
        <v>149</v>
      </c>
      <c r="J7596" s="2">
        <v>592</v>
      </c>
      <c r="K7596" s="2">
        <v>1</v>
      </c>
      <c r="L7596" s="2">
        <v>148</v>
      </c>
    </row>
    <row r="7597" spans="1:12" x14ac:dyDescent="0.25">
      <c r="A7597" s="4" t="str">
        <f>HYPERLINK("http://www.rosaceae.org/Prunus/Prunus_persica/p.persica_gdr_reftransV1_0003005","p.persica_gdr_reftransV1_0003005")</f>
        <v>p.persica_gdr_reftransV1_0003005</v>
      </c>
      <c r="B7597" s="2">
        <v>613</v>
      </c>
      <c r="C7597" s="4" t="str">
        <f>HYPERLINK("http://www.uniprot.org/uniprot/M5VUV1","M5VUV1")</f>
        <v>M5VUV1</v>
      </c>
      <c r="D7597" s="2" t="s">
        <v>6736</v>
      </c>
      <c r="E7597" s="3">
        <v>6.6900000000000002E-63</v>
      </c>
      <c r="F7597" s="2">
        <v>512</v>
      </c>
      <c r="G7597" s="2">
        <v>100</v>
      </c>
      <c r="H7597" s="2">
        <v>99</v>
      </c>
      <c r="I7597" s="2">
        <v>19</v>
      </c>
      <c r="J7597" s="2">
        <v>315</v>
      </c>
      <c r="K7597" s="2">
        <v>1</v>
      </c>
      <c r="L7597" s="2">
        <v>99</v>
      </c>
    </row>
    <row r="7598" spans="1:12" x14ac:dyDescent="0.25">
      <c r="A7598" s="4" t="str">
        <f>HYPERLINK("http://www.rosaceae.org/Prunus/Prunus_persica/p.persica_gdr_reftransV1_0003355","p.persica_gdr_reftransV1_0003355")</f>
        <v>p.persica_gdr_reftransV1_0003355</v>
      </c>
      <c r="B7598" s="2">
        <v>1587</v>
      </c>
      <c r="C7598" s="4" t="str">
        <f>HYPERLINK("http://www.uniprot.org/uniprot/M5WBB0","M5WBB0")</f>
        <v>M5WBB0</v>
      </c>
      <c r="D7598" s="2" t="s">
        <v>4745</v>
      </c>
      <c r="E7598" s="3">
        <v>0</v>
      </c>
      <c r="F7598" s="2">
        <v>2001</v>
      </c>
      <c r="G7598" s="2">
        <v>100</v>
      </c>
      <c r="H7598" s="2">
        <v>379</v>
      </c>
      <c r="I7598" s="2">
        <v>329</v>
      </c>
      <c r="J7598" s="2">
        <v>1465</v>
      </c>
      <c r="K7598" s="2">
        <v>1</v>
      </c>
      <c r="L7598" s="2">
        <v>379</v>
      </c>
    </row>
    <row r="7599" spans="1:12" x14ac:dyDescent="0.25">
      <c r="A7599" s="4" t="str">
        <f>HYPERLINK("http://www.rosaceae.org/Prunus/Prunus_persica/p.persica_gdr_reftransV1_0003705","p.persica_gdr_reftransV1_0003705")</f>
        <v>p.persica_gdr_reftransV1_0003705</v>
      </c>
      <c r="B7599" s="2">
        <v>2878</v>
      </c>
      <c r="C7599" s="4" t="str">
        <f>HYPERLINK("http://www.uniprot.org/uniprot/M5VVT9","M5VVT9")</f>
        <v>M5VVT9</v>
      </c>
      <c r="D7599" s="2" t="s">
        <v>45</v>
      </c>
      <c r="E7599" s="3">
        <v>0</v>
      </c>
      <c r="F7599" s="2">
        <v>1882</v>
      </c>
      <c r="G7599" s="2">
        <v>100</v>
      </c>
      <c r="H7599" s="2">
        <v>517</v>
      </c>
      <c r="I7599" s="2">
        <v>817</v>
      </c>
      <c r="J7599" s="2">
        <v>2367</v>
      </c>
      <c r="K7599" s="2">
        <v>1</v>
      </c>
      <c r="L7599" s="2">
        <v>517</v>
      </c>
    </row>
    <row r="7600" spans="1:12" x14ac:dyDescent="0.25">
      <c r="A7600" s="4" t="str">
        <f>HYPERLINK("http://www.rosaceae.org/Prunus/Prunus_persica/p.persica_gdr_reftransV1_0004055","p.persica_gdr_reftransV1_0004055")</f>
        <v>p.persica_gdr_reftransV1_0004055</v>
      </c>
      <c r="B7600" s="2">
        <v>4552</v>
      </c>
      <c r="C7600" s="4" t="str">
        <f>HYPERLINK("http://www.uniprot.org/uniprot/M5XQS9","M5XQS9")</f>
        <v>M5XQS9</v>
      </c>
      <c r="D7600" s="2" t="s">
        <v>6737</v>
      </c>
      <c r="E7600" s="3">
        <v>0</v>
      </c>
      <c r="F7600" s="2">
        <v>5879</v>
      </c>
      <c r="G7600" s="2">
        <v>94</v>
      </c>
      <c r="H7600" s="2">
        <v>1187</v>
      </c>
      <c r="I7600" s="2">
        <v>256</v>
      </c>
      <c r="J7600" s="2">
        <v>3807</v>
      </c>
      <c r="K7600" s="2">
        <v>1</v>
      </c>
      <c r="L7600" s="2">
        <v>1145</v>
      </c>
    </row>
    <row r="7601" spans="1:12" x14ac:dyDescent="0.25">
      <c r="A7601" s="4" t="str">
        <f>HYPERLINK("http://www.rosaceae.org/Prunus/Prunus_persica/p.persica_gdr_reftransV1_0004405","p.persica_gdr_reftransV1_0004405")</f>
        <v>p.persica_gdr_reftransV1_0004405</v>
      </c>
      <c r="B7601" s="2">
        <v>1888</v>
      </c>
      <c r="C7601" s="4" t="str">
        <f>HYPERLINK("http://www.uniprot.org/uniprot/M1QDP5","M1QDP5")</f>
        <v>M1QDP5</v>
      </c>
      <c r="D7601" s="2" t="s">
        <v>6738</v>
      </c>
      <c r="E7601" s="3">
        <v>0</v>
      </c>
      <c r="F7601" s="2">
        <v>1990</v>
      </c>
      <c r="G7601" s="2">
        <v>98</v>
      </c>
      <c r="H7601" s="2">
        <v>393</v>
      </c>
      <c r="I7601" s="2">
        <v>557</v>
      </c>
      <c r="J7601" s="2">
        <v>1735</v>
      </c>
      <c r="K7601" s="2">
        <v>1</v>
      </c>
      <c r="L7601" s="2">
        <v>393</v>
      </c>
    </row>
    <row r="7602" spans="1:12" x14ac:dyDescent="0.25">
      <c r="A7602" s="4" t="str">
        <f>HYPERLINK("http://www.rosaceae.org/Prunus/Prunus_persica/p.persica_gdr_reftransV1_0004755","p.persica_gdr_reftransV1_0004755")</f>
        <v>p.persica_gdr_reftransV1_0004755</v>
      </c>
      <c r="B7602" s="2">
        <v>574</v>
      </c>
      <c r="C7602" s="4" t="str">
        <f>HYPERLINK("http://www.uniprot.org/uniprot/M5XGH1","M5XGH1")</f>
        <v>M5XGH1</v>
      </c>
      <c r="D7602" s="2" t="s">
        <v>161</v>
      </c>
      <c r="E7602" s="3">
        <v>1.3899999999999999E-134</v>
      </c>
      <c r="F7602" s="2">
        <v>1010</v>
      </c>
      <c r="G7602" s="2">
        <v>98</v>
      </c>
      <c r="H7602" s="2">
        <v>191</v>
      </c>
      <c r="I7602" s="2">
        <v>1</v>
      </c>
      <c r="J7602" s="2">
        <v>573</v>
      </c>
      <c r="K7602" s="2">
        <v>100</v>
      </c>
      <c r="L7602" s="2">
        <v>290</v>
      </c>
    </row>
    <row r="7603" spans="1:12" x14ac:dyDescent="0.25">
      <c r="A7603" s="4" t="str">
        <f>HYPERLINK("http://www.rosaceae.org/Prunus/Prunus_persica/p.persica_gdr_reftransV1_0005105","p.persica_gdr_reftransV1_0005105")</f>
        <v>p.persica_gdr_reftransV1_0005105</v>
      </c>
      <c r="B7603" s="2">
        <v>351</v>
      </c>
      <c r="C7603" s="4" t="str">
        <f>HYPERLINK("http://www.uniprot.org/uniprot/M5WPR2","M5WPR2")</f>
        <v>M5WPR2</v>
      </c>
      <c r="D7603" s="2" t="s">
        <v>3041</v>
      </c>
      <c r="E7603" s="3">
        <v>4.6600000000000003E-63</v>
      </c>
      <c r="F7603" s="2">
        <v>554</v>
      </c>
      <c r="G7603" s="2">
        <v>100</v>
      </c>
      <c r="H7603" s="2">
        <v>116</v>
      </c>
      <c r="I7603" s="2">
        <v>2</v>
      </c>
      <c r="J7603" s="2">
        <v>349</v>
      </c>
      <c r="K7603" s="2">
        <v>251</v>
      </c>
      <c r="L7603" s="2">
        <v>366</v>
      </c>
    </row>
    <row r="7604" spans="1:12" x14ac:dyDescent="0.25">
      <c r="A7604" s="4" t="str">
        <f>HYPERLINK("http://www.rosaceae.org/Prunus/Prunus_persica/p.persica_gdr_reftransV1_0006155","p.persica_gdr_reftransV1_0006155")</f>
        <v>p.persica_gdr_reftransV1_0006155</v>
      </c>
      <c r="B7604" s="2">
        <v>1019</v>
      </c>
      <c r="C7604" s="4" t="str">
        <f>HYPERLINK("http://www.uniprot.org/uniprot/M5WNI7","M5WNI7")</f>
        <v>M5WNI7</v>
      </c>
      <c r="D7604" s="2" t="s">
        <v>6739</v>
      </c>
      <c r="E7604" s="3">
        <v>6.0100000000000001E-69</v>
      </c>
      <c r="F7604" s="2">
        <v>574</v>
      </c>
      <c r="G7604" s="2">
        <v>100</v>
      </c>
      <c r="H7604" s="2">
        <v>121</v>
      </c>
      <c r="I7604" s="2">
        <v>375</v>
      </c>
      <c r="J7604" s="2">
        <v>737</v>
      </c>
      <c r="K7604" s="2">
        <v>55</v>
      </c>
      <c r="L7604" s="2">
        <v>175</v>
      </c>
    </row>
    <row r="7605" spans="1:12" x14ac:dyDescent="0.25">
      <c r="A7605" s="4" t="str">
        <f>HYPERLINK("http://www.rosaceae.org/Prunus/Prunus_persica/p.persica_gdr_reftransV1_0006855","p.persica_gdr_reftransV1_0006855")</f>
        <v>p.persica_gdr_reftransV1_0006855</v>
      </c>
      <c r="B7605" s="2">
        <v>652</v>
      </c>
      <c r="C7605" s="4" t="str">
        <f>HYPERLINK("http://www.uniprot.org/uniprot/M5XFJ4","M5XFJ4")</f>
        <v>M5XFJ4</v>
      </c>
      <c r="D7605" s="2" t="s">
        <v>6740</v>
      </c>
      <c r="E7605" s="3">
        <v>4.8100000000000004E-78</v>
      </c>
      <c r="F7605" s="2">
        <v>615</v>
      </c>
      <c r="G7605" s="2">
        <v>99</v>
      </c>
      <c r="H7605" s="2">
        <v>117</v>
      </c>
      <c r="I7605" s="2">
        <v>108</v>
      </c>
      <c r="J7605" s="2">
        <v>458</v>
      </c>
      <c r="K7605" s="2">
        <v>1</v>
      </c>
      <c r="L7605" s="2">
        <v>117</v>
      </c>
    </row>
    <row r="7606" spans="1:12" x14ac:dyDescent="0.25">
      <c r="A7606" s="4" t="str">
        <f>HYPERLINK("http://www.rosaceae.org/Prunus/Prunus_persica/p.persica_gdr_reftransV1_0007205","p.persica_gdr_reftransV1_0007205")</f>
        <v>p.persica_gdr_reftransV1_0007205</v>
      </c>
      <c r="B7606" s="2">
        <v>914</v>
      </c>
      <c r="C7606" s="4" t="str">
        <f>HYPERLINK("http://www.uniprot.org/uniprot/M5WAJ6","M5WAJ6")</f>
        <v>M5WAJ6</v>
      </c>
      <c r="D7606" s="2" t="s">
        <v>6741</v>
      </c>
      <c r="E7606" s="3">
        <v>1.05E-135</v>
      </c>
      <c r="F7606" s="2">
        <v>1012</v>
      </c>
      <c r="G7606" s="2">
        <v>100</v>
      </c>
      <c r="H7606" s="2">
        <v>190</v>
      </c>
      <c r="I7606" s="2">
        <v>233</v>
      </c>
      <c r="J7606" s="2">
        <v>802</v>
      </c>
      <c r="K7606" s="2">
        <v>1</v>
      </c>
      <c r="L7606" s="2">
        <v>190</v>
      </c>
    </row>
    <row r="7607" spans="1:12" x14ac:dyDescent="0.25">
      <c r="A7607" s="4" t="str">
        <f>HYPERLINK("http://www.rosaceae.org/Prunus/Prunus_persica/p.persica_gdr_reftransV1_0007555","p.persica_gdr_reftransV1_0007555")</f>
        <v>p.persica_gdr_reftransV1_0007555</v>
      </c>
      <c r="B7607" s="2">
        <v>718</v>
      </c>
      <c r="C7607" s="4" t="str">
        <f>HYPERLINK("http://www.uniprot.org/uniprot/M5X8N3","M5X8N3")</f>
        <v>M5X8N3</v>
      </c>
      <c r="D7607" s="2" t="s">
        <v>6742</v>
      </c>
      <c r="E7607" s="3">
        <v>6.2199999999999999E-87</v>
      </c>
      <c r="F7607" s="2">
        <v>703</v>
      </c>
      <c r="G7607" s="2">
        <v>100</v>
      </c>
      <c r="H7607" s="2">
        <v>217</v>
      </c>
      <c r="I7607" s="2">
        <v>1</v>
      </c>
      <c r="J7607" s="2">
        <v>651</v>
      </c>
      <c r="K7607" s="2">
        <v>188</v>
      </c>
      <c r="L7607" s="2">
        <v>404</v>
      </c>
    </row>
    <row r="7608" spans="1:12" x14ac:dyDescent="0.25">
      <c r="A7608" s="4" t="str">
        <f>HYPERLINK("http://www.rosaceae.org/Prunus/Prunus_persica/p.persica_gdr_reftransV1_0007905","p.persica_gdr_reftransV1_0007905")</f>
        <v>p.persica_gdr_reftransV1_0007905</v>
      </c>
      <c r="B7608" s="2">
        <v>2789</v>
      </c>
      <c r="C7608" s="4" t="str">
        <f>HYPERLINK("http://www.uniprot.org/uniprot/W9RNV6","W9RNV6")</f>
        <v>W9RNV6</v>
      </c>
      <c r="D7608" s="2" t="s">
        <v>6743</v>
      </c>
      <c r="E7608" s="3">
        <v>0</v>
      </c>
      <c r="F7608" s="2">
        <v>2550</v>
      </c>
      <c r="G7608" s="2">
        <v>81</v>
      </c>
      <c r="H7608" s="2">
        <v>621</v>
      </c>
      <c r="I7608" s="2">
        <v>334</v>
      </c>
      <c r="J7608" s="2">
        <v>2172</v>
      </c>
      <c r="K7608" s="2">
        <v>1</v>
      </c>
      <c r="L7608" s="2">
        <v>610</v>
      </c>
    </row>
    <row r="7609" spans="1:12" x14ac:dyDescent="0.25">
      <c r="A7609" s="4" t="str">
        <f>HYPERLINK("http://www.rosaceae.org/Prunus/Prunus_persica/p.persica_gdr_reftransV1_0008255","p.persica_gdr_reftransV1_0008255")</f>
        <v>p.persica_gdr_reftransV1_0008255</v>
      </c>
      <c r="B7609" s="2">
        <v>2526</v>
      </c>
      <c r="C7609" s="4" t="str">
        <f>HYPERLINK("http://www.uniprot.org/uniprot/M5WPC8","M5WPC8")</f>
        <v>M5WPC8</v>
      </c>
      <c r="D7609" s="2" t="s">
        <v>6744</v>
      </c>
      <c r="E7609" s="3">
        <v>0</v>
      </c>
      <c r="F7609" s="2">
        <v>2665</v>
      </c>
      <c r="G7609" s="2">
        <v>100</v>
      </c>
      <c r="H7609" s="2">
        <v>490</v>
      </c>
      <c r="I7609" s="2">
        <v>431</v>
      </c>
      <c r="J7609" s="2">
        <v>1900</v>
      </c>
      <c r="K7609" s="2">
        <v>1</v>
      </c>
      <c r="L7609" s="2">
        <v>490</v>
      </c>
    </row>
    <row r="7610" spans="1:12" x14ac:dyDescent="0.25">
      <c r="A7610" s="4" t="str">
        <f>HYPERLINK("http://www.rosaceae.org/Prunus/Prunus_persica/p.persica_gdr_reftransV1_0008605","p.persica_gdr_reftransV1_0008605")</f>
        <v>p.persica_gdr_reftransV1_0008605</v>
      </c>
      <c r="B7610" s="2">
        <v>1058</v>
      </c>
      <c r="C7610" s="4" t="str">
        <f>HYPERLINK("http://www.uniprot.org/uniprot/U5G5V3","U5G5V3")</f>
        <v>U5G5V3</v>
      </c>
      <c r="D7610" s="2" t="s">
        <v>6745</v>
      </c>
      <c r="E7610" s="3">
        <v>1.34E-86</v>
      </c>
      <c r="F7610" s="2">
        <v>692</v>
      </c>
      <c r="G7610" s="2">
        <v>69</v>
      </c>
      <c r="H7610" s="2">
        <v>181</v>
      </c>
      <c r="I7610" s="2">
        <v>280</v>
      </c>
      <c r="J7610" s="2">
        <v>816</v>
      </c>
      <c r="K7610" s="2">
        <v>4</v>
      </c>
      <c r="L7610" s="2">
        <v>184</v>
      </c>
    </row>
    <row r="7611" spans="1:12" x14ac:dyDescent="0.25">
      <c r="A7611" s="4" t="str">
        <f>HYPERLINK("http://www.rosaceae.org/Prunus/Prunus_persica/p.persica_gdr_reftransV1_0008955","p.persica_gdr_reftransV1_0008955")</f>
        <v>p.persica_gdr_reftransV1_0008955</v>
      </c>
      <c r="B7611" s="2">
        <v>2046</v>
      </c>
      <c r="C7611" s="4" t="str">
        <f>HYPERLINK("http://www.uniprot.org/uniprot/M5X831","M5X831")</f>
        <v>M5X831</v>
      </c>
      <c r="D7611" s="2" t="s">
        <v>6746</v>
      </c>
      <c r="E7611" s="3">
        <v>7.7599999999999997E-98</v>
      </c>
      <c r="F7611" s="2">
        <v>806</v>
      </c>
      <c r="G7611" s="2">
        <v>99</v>
      </c>
      <c r="H7611" s="2">
        <v>155</v>
      </c>
      <c r="I7611" s="2">
        <v>719</v>
      </c>
      <c r="J7611" s="2">
        <v>1183</v>
      </c>
      <c r="K7611" s="2">
        <v>89</v>
      </c>
      <c r="L7611" s="2">
        <v>243</v>
      </c>
    </row>
    <row r="7612" spans="1:12" x14ac:dyDescent="0.25">
      <c r="A7612" s="4" t="str">
        <f>HYPERLINK("http://www.rosaceae.org/Prunus/Prunus_persica/p.persica_gdr_reftransV1_0009305","p.persica_gdr_reftransV1_0009305")</f>
        <v>p.persica_gdr_reftransV1_0009305</v>
      </c>
      <c r="B7612" s="2">
        <v>996</v>
      </c>
      <c r="C7612" s="4" t="str">
        <f>HYPERLINK("http://www.uniprot.org/uniprot/V7AQT1","V7AQT1")</f>
        <v>V7AQT1</v>
      </c>
      <c r="D7612" s="2" t="s">
        <v>6747</v>
      </c>
      <c r="E7612" s="3">
        <v>2.0699999999999999E-106</v>
      </c>
      <c r="F7612" s="2">
        <v>829</v>
      </c>
      <c r="G7612" s="2">
        <v>93</v>
      </c>
      <c r="H7612" s="2">
        <v>176</v>
      </c>
      <c r="I7612" s="2">
        <v>464</v>
      </c>
      <c r="J7612" s="2">
        <v>991</v>
      </c>
      <c r="K7612" s="2">
        <v>16</v>
      </c>
      <c r="L7612" s="2">
        <v>190</v>
      </c>
    </row>
    <row r="7613" spans="1:12" x14ac:dyDescent="0.25">
      <c r="A7613" s="4" t="str">
        <f>HYPERLINK("http://www.rosaceae.org/Prunus/Prunus_persica/p.persica_gdr_reftransV1_0010005","p.persica_gdr_reftransV1_0010005")</f>
        <v>p.persica_gdr_reftransV1_0010005</v>
      </c>
      <c r="B7613" s="2">
        <v>1362</v>
      </c>
      <c r="C7613" s="4" t="str">
        <f>HYPERLINK("http://www.uniprot.org/uniprot/M5W6E9","M5W6E9")</f>
        <v>M5W6E9</v>
      </c>
      <c r="D7613" s="2" t="s">
        <v>6748</v>
      </c>
      <c r="E7613" s="3">
        <v>0</v>
      </c>
      <c r="F7613" s="2">
        <v>2099</v>
      </c>
      <c r="G7613" s="2">
        <v>100</v>
      </c>
      <c r="H7613" s="2">
        <v>410</v>
      </c>
      <c r="I7613" s="2">
        <v>1</v>
      </c>
      <c r="J7613" s="2">
        <v>1230</v>
      </c>
      <c r="K7613" s="2">
        <v>405</v>
      </c>
      <c r="L7613" s="2">
        <v>814</v>
      </c>
    </row>
    <row r="7614" spans="1:12" x14ac:dyDescent="0.25">
      <c r="A7614" s="4" t="str">
        <f>HYPERLINK("http://www.rosaceae.org/Prunus/Prunus_persica/p.persica_gdr_reftransV1_0010355","p.persica_gdr_reftransV1_0010355")</f>
        <v>p.persica_gdr_reftransV1_0010355</v>
      </c>
      <c r="B7614" s="2">
        <v>460</v>
      </c>
      <c r="C7614" s="4" t="str">
        <f>HYPERLINK("http://www.uniprot.org/uniprot/M5W174","M5W174")</f>
        <v>M5W174</v>
      </c>
      <c r="D7614" s="2" t="s">
        <v>6749</v>
      </c>
      <c r="E7614" s="3">
        <v>3.1399999999999999E-9</v>
      </c>
      <c r="F7614" s="2">
        <v>149</v>
      </c>
      <c r="G7614" s="2">
        <v>100</v>
      </c>
      <c r="H7614" s="2">
        <v>29</v>
      </c>
      <c r="I7614" s="2">
        <v>2</v>
      </c>
      <c r="J7614" s="2">
        <v>88</v>
      </c>
      <c r="K7614" s="2">
        <v>171</v>
      </c>
      <c r="L7614" s="2">
        <v>199</v>
      </c>
    </row>
    <row r="7615" spans="1:12" x14ac:dyDescent="0.25">
      <c r="A7615" s="4" t="str">
        <f>HYPERLINK("http://www.rosaceae.org/Prunus/Prunus_persica/p.persica_gdr_reftransV1_0010705","p.persica_gdr_reftransV1_0010705")</f>
        <v>p.persica_gdr_reftransV1_0010705</v>
      </c>
      <c r="B7615" s="2">
        <v>685</v>
      </c>
      <c r="C7615" s="4" t="str">
        <f>HYPERLINK("http://www.uniprot.org/uniprot/M5WXV5","M5WXV5")</f>
        <v>M5WXV5</v>
      </c>
      <c r="D7615" s="2" t="s">
        <v>6750</v>
      </c>
      <c r="E7615" s="3">
        <v>2.05E-75</v>
      </c>
      <c r="F7615" s="2">
        <v>609</v>
      </c>
      <c r="G7615" s="2">
        <v>100</v>
      </c>
      <c r="H7615" s="2">
        <v>126</v>
      </c>
      <c r="I7615" s="2">
        <v>306</v>
      </c>
      <c r="J7615" s="2">
        <v>683</v>
      </c>
      <c r="K7615" s="2">
        <v>94</v>
      </c>
      <c r="L7615" s="2">
        <v>219</v>
      </c>
    </row>
    <row r="7616" spans="1:12" x14ac:dyDescent="0.25">
      <c r="A7616" s="4" t="str">
        <f>HYPERLINK("http://www.rosaceae.org/Prunus/Prunus_persica/p.persica_gdr_reftransV1_0012105","p.persica_gdr_reftransV1_0012105")</f>
        <v>p.persica_gdr_reftransV1_0012105</v>
      </c>
      <c r="B7616" s="2">
        <v>1536</v>
      </c>
      <c r="C7616" s="4" t="str">
        <f>HYPERLINK("http://www.uniprot.org/uniprot/M5XC79","M5XC79")</f>
        <v>M5XC79</v>
      </c>
      <c r="D7616" s="2" t="s">
        <v>6751</v>
      </c>
      <c r="E7616" s="3">
        <v>0</v>
      </c>
      <c r="F7616" s="2">
        <v>1661</v>
      </c>
      <c r="G7616" s="2">
        <v>100</v>
      </c>
      <c r="H7616" s="2">
        <v>345</v>
      </c>
      <c r="I7616" s="2">
        <v>74</v>
      </c>
      <c r="J7616" s="2">
        <v>1108</v>
      </c>
      <c r="K7616" s="2">
        <v>1</v>
      </c>
      <c r="L7616" s="2">
        <v>345</v>
      </c>
    </row>
    <row r="7617" spans="1:12" x14ac:dyDescent="0.25">
      <c r="A7617" s="4" t="str">
        <f>HYPERLINK("http://www.rosaceae.org/Prunus/Prunus_persica/p.persica_gdr_reftransV1_0012455","p.persica_gdr_reftransV1_0012455")</f>
        <v>p.persica_gdr_reftransV1_0012455</v>
      </c>
      <c r="B7617" s="2">
        <v>1331</v>
      </c>
      <c r="C7617" s="4" t="str">
        <f>HYPERLINK("http://www.uniprot.org/uniprot/M5WVA2","M5WVA2")</f>
        <v>M5WVA2</v>
      </c>
      <c r="D7617" s="2" t="s">
        <v>6752</v>
      </c>
      <c r="E7617" s="3">
        <v>0</v>
      </c>
      <c r="F7617" s="2">
        <v>1863</v>
      </c>
      <c r="G7617" s="2">
        <v>100</v>
      </c>
      <c r="H7617" s="2">
        <v>357</v>
      </c>
      <c r="I7617" s="2">
        <v>187</v>
      </c>
      <c r="J7617" s="2">
        <v>1257</v>
      </c>
      <c r="K7617" s="2">
        <v>1</v>
      </c>
      <c r="L7617" s="2">
        <v>357</v>
      </c>
    </row>
    <row r="7618" spans="1:12" x14ac:dyDescent="0.25">
      <c r="A7618" s="4" t="str">
        <f>HYPERLINK("http://www.rosaceae.org/Prunus/Prunus_persica/p.persica_gdr_reftransV1_0012805","p.persica_gdr_reftransV1_0012805")</f>
        <v>p.persica_gdr_reftransV1_0012805</v>
      </c>
      <c r="B7618" s="2">
        <v>2828</v>
      </c>
      <c r="C7618" s="4" t="str">
        <f>HYPERLINK("http://www.uniprot.org/uniprot/M5XM70","M5XM70")</f>
        <v>M5XM70</v>
      </c>
      <c r="D7618" s="2" t="s">
        <v>6753</v>
      </c>
      <c r="E7618" s="3">
        <v>0</v>
      </c>
      <c r="F7618" s="2">
        <v>2719</v>
      </c>
      <c r="G7618" s="2">
        <v>85</v>
      </c>
      <c r="H7618" s="2">
        <v>624</v>
      </c>
      <c r="I7618" s="2">
        <v>680</v>
      </c>
      <c r="J7618" s="2">
        <v>2551</v>
      </c>
      <c r="K7618" s="2">
        <v>1</v>
      </c>
      <c r="L7618" s="2">
        <v>566</v>
      </c>
    </row>
    <row r="7619" spans="1:12" x14ac:dyDescent="0.25">
      <c r="A7619" s="4" t="str">
        <f>HYPERLINK("http://www.rosaceae.org/Prunus/Prunus_persica/p.persica_gdr_reftransV1_0013505","p.persica_gdr_reftransV1_0013505")</f>
        <v>p.persica_gdr_reftransV1_0013505</v>
      </c>
      <c r="B7619" s="2">
        <v>417</v>
      </c>
      <c r="C7619" s="4" t="str">
        <f>HYPERLINK("http://www.uniprot.org/uniprot/M5WX73","M5WX73")</f>
        <v>M5WX73</v>
      </c>
      <c r="D7619" s="2" t="s">
        <v>6754</v>
      </c>
      <c r="E7619" s="3">
        <v>4.7900000000000004E-96</v>
      </c>
      <c r="F7619" s="2">
        <v>744</v>
      </c>
      <c r="G7619" s="2">
        <v>100</v>
      </c>
      <c r="H7619" s="2">
        <v>138</v>
      </c>
      <c r="I7619" s="2">
        <v>3</v>
      </c>
      <c r="J7619" s="2">
        <v>416</v>
      </c>
      <c r="K7619" s="2">
        <v>58</v>
      </c>
      <c r="L7619" s="2">
        <v>195</v>
      </c>
    </row>
    <row r="7620" spans="1:12" x14ac:dyDescent="0.25">
      <c r="A7620" s="4" t="str">
        <f>HYPERLINK("http://www.rosaceae.org/Prunus/Prunus_persica/p.persica_gdr_reftransV1_0013855","p.persica_gdr_reftransV1_0013855")</f>
        <v>p.persica_gdr_reftransV1_0013855</v>
      </c>
      <c r="B7620" s="2">
        <v>529</v>
      </c>
      <c r="C7620" s="4" t="str">
        <f>HYPERLINK("http://www.uniprot.org/uniprot/M5Y9M9","M5Y9M9")</f>
        <v>M5Y9M9</v>
      </c>
      <c r="D7620" s="2" t="s">
        <v>6755</v>
      </c>
      <c r="E7620" s="3">
        <v>5.7500000000000001E-68</v>
      </c>
      <c r="F7620" s="2">
        <v>590</v>
      </c>
      <c r="G7620" s="2">
        <v>100</v>
      </c>
      <c r="H7620" s="2">
        <v>106</v>
      </c>
      <c r="I7620" s="2">
        <v>1</v>
      </c>
      <c r="J7620" s="2">
        <v>318</v>
      </c>
      <c r="K7620" s="2">
        <v>680</v>
      </c>
      <c r="L7620" s="2">
        <v>785</v>
      </c>
    </row>
    <row r="7621" spans="1:12" x14ac:dyDescent="0.25">
      <c r="A7621" s="4" t="str">
        <f>HYPERLINK("http://www.rosaceae.org/Prunus/Prunus_persica/p.persica_gdr_reftransV1_0014905","p.persica_gdr_reftransV1_0014905")</f>
        <v>p.persica_gdr_reftransV1_0014905</v>
      </c>
      <c r="B7621" s="2">
        <v>998</v>
      </c>
      <c r="C7621" s="4" t="str">
        <f>HYPERLINK("http://www.uniprot.org/uniprot/M5WCR1","M5WCR1")</f>
        <v>M5WCR1</v>
      </c>
      <c r="D7621" s="2" t="s">
        <v>6756</v>
      </c>
      <c r="E7621" s="3">
        <v>2.7799999999999999E-110</v>
      </c>
      <c r="F7621" s="2">
        <v>850</v>
      </c>
      <c r="G7621" s="2">
        <v>100</v>
      </c>
      <c r="H7621" s="2">
        <v>218</v>
      </c>
      <c r="I7621" s="2">
        <v>184</v>
      </c>
      <c r="J7621" s="2">
        <v>837</v>
      </c>
      <c r="K7621" s="2">
        <v>1</v>
      </c>
      <c r="L7621" s="2">
        <v>218</v>
      </c>
    </row>
    <row r="7622" spans="1:12" x14ac:dyDescent="0.25">
      <c r="A7622" s="4" t="str">
        <f>HYPERLINK("http://www.rosaceae.org/Prunus/Prunus_persica/p.persica_gdr_reftransV1_0015255","p.persica_gdr_reftransV1_0015255")</f>
        <v>p.persica_gdr_reftransV1_0015255</v>
      </c>
      <c r="B7622" s="2">
        <v>634</v>
      </c>
      <c r="C7622" s="4" t="str">
        <f>HYPERLINK("http://www.uniprot.org/uniprot/M5XQW5","M5XQW5")</f>
        <v>M5XQW5</v>
      </c>
      <c r="D7622" s="2" t="s">
        <v>1650</v>
      </c>
      <c r="E7622" s="3">
        <v>2.4899999999999999E-40</v>
      </c>
      <c r="F7622" s="2">
        <v>379</v>
      </c>
      <c r="G7622" s="2">
        <v>100</v>
      </c>
      <c r="H7622" s="2">
        <v>109</v>
      </c>
      <c r="I7622" s="2">
        <v>183</v>
      </c>
      <c r="J7622" s="2">
        <v>509</v>
      </c>
      <c r="K7622" s="2">
        <v>1</v>
      </c>
      <c r="L7622" s="2">
        <v>109</v>
      </c>
    </row>
    <row r="7623" spans="1:12" x14ac:dyDescent="0.25">
      <c r="A7623" s="4" t="str">
        <f>HYPERLINK("http://www.rosaceae.org/Prunus/Prunus_persica/p.persica_gdr_reftransV1_0015605","p.persica_gdr_reftransV1_0015605")</f>
        <v>p.persica_gdr_reftransV1_0015605</v>
      </c>
      <c r="B7623" s="2">
        <v>2855</v>
      </c>
      <c r="C7623" s="4" t="str">
        <f>HYPERLINK("http://www.uniprot.org/uniprot/M5XEM8","M5XEM8")</f>
        <v>M5XEM8</v>
      </c>
      <c r="D7623" s="2" t="s">
        <v>6757</v>
      </c>
      <c r="E7623" s="3">
        <v>3.8400000000000003E-89</v>
      </c>
      <c r="F7623" s="2">
        <v>761</v>
      </c>
      <c r="G7623" s="2">
        <v>100</v>
      </c>
      <c r="H7623" s="2">
        <v>141</v>
      </c>
      <c r="I7623" s="2">
        <v>1403</v>
      </c>
      <c r="J7623" s="2">
        <v>1825</v>
      </c>
      <c r="K7623" s="2">
        <v>63</v>
      </c>
      <c r="L7623" s="2">
        <v>203</v>
      </c>
    </row>
    <row r="7624" spans="1:12" x14ac:dyDescent="0.25">
      <c r="A7624" s="4" t="str">
        <f>HYPERLINK("http://www.rosaceae.org/Prunus/Prunus_persica/p.persica_gdr_reftransV1_0015955","p.persica_gdr_reftransV1_0015955")</f>
        <v>p.persica_gdr_reftransV1_0015955</v>
      </c>
      <c r="B7624" s="2">
        <v>1900</v>
      </c>
      <c r="C7624" s="4" t="str">
        <f>HYPERLINK("http://www.uniprot.org/uniprot/M5W8W3","M5W8W3")</f>
        <v>M5W8W3</v>
      </c>
      <c r="D7624" s="2" t="s">
        <v>5870</v>
      </c>
      <c r="E7624" s="3">
        <v>1.3499999999999999E-98</v>
      </c>
      <c r="F7624" s="2">
        <v>793</v>
      </c>
      <c r="G7624" s="2">
        <v>100</v>
      </c>
      <c r="H7624" s="2">
        <v>153</v>
      </c>
      <c r="I7624" s="2">
        <v>1088</v>
      </c>
      <c r="J7624" s="2">
        <v>1546</v>
      </c>
      <c r="K7624" s="2">
        <v>1</v>
      </c>
      <c r="L7624" s="2">
        <v>153</v>
      </c>
    </row>
    <row r="7625" spans="1:12" x14ac:dyDescent="0.25">
      <c r="A7625" s="4" t="str">
        <f>HYPERLINK("http://www.rosaceae.org/Prunus/Prunus_persica/p.persica_gdr_reftransV1_0016305","p.persica_gdr_reftransV1_0016305")</f>
        <v>p.persica_gdr_reftransV1_0016305</v>
      </c>
      <c r="B7625" s="2">
        <v>6980</v>
      </c>
      <c r="C7625" s="4" t="str">
        <f>HYPERLINK("http://www.uniprot.org/uniprot/M5X2S3","M5X2S3")</f>
        <v>M5X2S3</v>
      </c>
      <c r="D7625" s="2" t="s">
        <v>3597</v>
      </c>
      <c r="E7625" s="3">
        <v>0</v>
      </c>
      <c r="F7625" s="2">
        <v>2740</v>
      </c>
      <c r="G7625" s="2">
        <v>100</v>
      </c>
      <c r="H7625" s="2">
        <v>543</v>
      </c>
      <c r="I7625" s="2">
        <v>4683</v>
      </c>
      <c r="J7625" s="2">
        <v>6311</v>
      </c>
      <c r="K7625" s="2">
        <v>78</v>
      </c>
      <c r="L7625" s="2">
        <v>620</v>
      </c>
    </row>
    <row r="7626" spans="1:12" x14ac:dyDescent="0.25">
      <c r="A7626" s="4" t="str">
        <f>HYPERLINK("http://www.rosaceae.org/Prunus/Prunus_persica/p.persica_gdr_reftransV1_0017355","p.persica_gdr_reftransV1_0017355")</f>
        <v>p.persica_gdr_reftransV1_0017355</v>
      </c>
      <c r="B7626" s="2">
        <v>2269</v>
      </c>
      <c r="C7626" s="4" t="str">
        <f>HYPERLINK("http://www.uniprot.org/uniprot/M5VXS9","M5VXS9")</f>
        <v>M5VXS9</v>
      </c>
      <c r="D7626" s="2" t="s">
        <v>6758</v>
      </c>
      <c r="E7626" s="3">
        <v>0</v>
      </c>
      <c r="F7626" s="2">
        <v>2140</v>
      </c>
      <c r="G7626" s="2">
        <v>93</v>
      </c>
      <c r="H7626" s="2">
        <v>469</v>
      </c>
      <c r="I7626" s="2">
        <v>480</v>
      </c>
      <c r="J7626" s="2">
        <v>1886</v>
      </c>
      <c r="K7626" s="2">
        <v>76</v>
      </c>
      <c r="L7626" s="2">
        <v>533</v>
      </c>
    </row>
    <row r="7627" spans="1:12" x14ac:dyDescent="0.25">
      <c r="A7627" s="4" t="str">
        <f>HYPERLINK("http://www.rosaceae.org/Prunus/Prunus_persica/p.persica_gdr_reftransV1_0017705","p.persica_gdr_reftransV1_0017705")</f>
        <v>p.persica_gdr_reftransV1_0017705</v>
      </c>
      <c r="B7627" s="2">
        <v>1630</v>
      </c>
      <c r="C7627" s="4" t="str">
        <f>HYPERLINK("http://www.uniprot.org/uniprot/M5VG84","M5VG84")</f>
        <v>M5VG84</v>
      </c>
      <c r="D7627" s="2" t="s">
        <v>6759</v>
      </c>
      <c r="E7627" s="3">
        <v>3.2099999999999998E-128</v>
      </c>
      <c r="F7627" s="2">
        <v>993</v>
      </c>
      <c r="G7627" s="2">
        <v>100</v>
      </c>
      <c r="H7627" s="2">
        <v>243</v>
      </c>
      <c r="I7627" s="2">
        <v>56</v>
      </c>
      <c r="J7627" s="2">
        <v>784</v>
      </c>
      <c r="K7627" s="2">
        <v>1</v>
      </c>
      <c r="L7627" s="2">
        <v>243</v>
      </c>
    </row>
    <row r="7628" spans="1:12" x14ac:dyDescent="0.25">
      <c r="A7628" s="4" t="str">
        <f>HYPERLINK("http://www.rosaceae.org/Prunus/Prunus_persica/p.persica_gdr_reftransV1_0018055","p.persica_gdr_reftransV1_0018055")</f>
        <v>p.persica_gdr_reftransV1_0018055</v>
      </c>
      <c r="B7628" s="2">
        <v>1258</v>
      </c>
      <c r="C7628" s="4" t="str">
        <f>HYPERLINK("http://www.uniprot.org/uniprot/M5X886","M5X886")</f>
        <v>M5X886</v>
      </c>
      <c r="D7628" s="2" t="s">
        <v>6760</v>
      </c>
      <c r="E7628" s="3">
        <v>5.0199999999999996E-43</v>
      </c>
      <c r="F7628" s="2">
        <v>397</v>
      </c>
      <c r="G7628" s="2">
        <v>100</v>
      </c>
      <c r="H7628" s="2">
        <v>75</v>
      </c>
      <c r="I7628" s="2">
        <v>253</v>
      </c>
      <c r="J7628" s="2">
        <v>477</v>
      </c>
      <c r="K7628" s="2">
        <v>32</v>
      </c>
      <c r="L7628" s="2">
        <v>106</v>
      </c>
    </row>
    <row r="7629" spans="1:12" x14ac:dyDescent="0.25">
      <c r="A7629" s="4" t="str">
        <f>HYPERLINK("http://www.rosaceae.org/Prunus/Prunus_persica/p.persica_gdr_reftransV1_0018755","p.persica_gdr_reftransV1_0018755")</f>
        <v>p.persica_gdr_reftransV1_0018755</v>
      </c>
      <c r="B7629" s="2">
        <v>4398</v>
      </c>
      <c r="C7629" s="4" t="str">
        <f>HYPERLINK("http://www.uniprot.org/uniprot/M5VY79","M5VY79")</f>
        <v>M5VY79</v>
      </c>
      <c r="D7629" s="2" t="s">
        <v>6761</v>
      </c>
      <c r="E7629" s="3">
        <v>6.6499999999999999E-48</v>
      </c>
      <c r="F7629" s="2">
        <v>450</v>
      </c>
      <c r="G7629" s="2">
        <v>97</v>
      </c>
      <c r="H7629" s="2">
        <v>90</v>
      </c>
      <c r="I7629" s="2">
        <v>474</v>
      </c>
      <c r="J7629" s="2">
        <v>743</v>
      </c>
      <c r="K7629" s="2">
        <v>2</v>
      </c>
      <c r="L7629" s="2">
        <v>91</v>
      </c>
    </row>
    <row r="7630" spans="1:12" x14ac:dyDescent="0.25">
      <c r="A7630" s="4" t="str">
        <f>HYPERLINK("http://www.rosaceae.org/Prunus/Prunus_persica/p.persica_gdr_reftransV1_0020155","p.persica_gdr_reftransV1_0020155")</f>
        <v>p.persica_gdr_reftransV1_0020155</v>
      </c>
      <c r="B7630" s="2">
        <v>1245</v>
      </c>
      <c r="C7630" s="4" t="str">
        <f>HYPERLINK("http://www.uniprot.org/uniprot/M5W0J8","M5W0J8")</f>
        <v>M5W0J8</v>
      </c>
      <c r="D7630" s="2" t="s">
        <v>6762</v>
      </c>
      <c r="E7630" s="3">
        <v>0</v>
      </c>
      <c r="F7630" s="2">
        <v>1456</v>
      </c>
      <c r="G7630" s="2">
        <v>100</v>
      </c>
      <c r="H7630" s="2">
        <v>282</v>
      </c>
      <c r="I7630" s="2">
        <v>257</v>
      </c>
      <c r="J7630" s="2">
        <v>1102</v>
      </c>
      <c r="K7630" s="2">
        <v>1</v>
      </c>
      <c r="L7630" s="2">
        <v>282</v>
      </c>
    </row>
    <row r="7631" spans="1:12" x14ac:dyDescent="0.25">
      <c r="A7631" s="4" t="str">
        <f>HYPERLINK("http://www.rosaceae.org/Prunus/Prunus_persica/p.persica_gdr_reftransV1_0020505","p.persica_gdr_reftransV1_0020505")</f>
        <v>p.persica_gdr_reftransV1_0020505</v>
      </c>
      <c r="B7631" s="2">
        <v>637</v>
      </c>
      <c r="C7631" s="4" t="str">
        <f>HYPERLINK("http://www.uniprot.org/uniprot/A0A078CBG8","A0A078CBG8")</f>
        <v>A0A078CBG8</v>
      </c>
      <c r="D7631" s="2" t="s">
        <v>6763</v>
      </c>
      <c r="E7631" s="3">
        <v>2.94E-55</v>
      </c>
      <c r="F7631" s="2">
        <v>468</v>
      </c>
      <c r="G7631" s="2">
        <v>97</v>
      </c>
      <c r="H7631" s="2">
        <v>88</v>
      </c>
      <c r="I7631" s="2">
        <v>83</v>
      </c>
      <c r="J7631" s="2">
        <v>346</v>
      </c>
      <c r="K7631" s="2">
        <v>1</v>
      </c>
      <c r="L7631" s="2">
        <v>88</v>
      </c>
    </row>
    <row r="7632" spans="1:12" x14ac:dyDescent="0.25">
      <c r="A7632" s="4" t="str">
        <f>HYPERLINK("http://www.rosaceae.org/Prunus/Prunus_persica/p.persica_gdr_reftransV1_0021555","p.persica_gdr_reftransV1_0021555")</f>
        <v>p.persica_gdr_reftransV1_0021555</v>
      </c>
      <c r="B7632" s="2">
        <v>1525</v>
      </c>
      <c r="C7632" s="4" t="str">
        <f>HYPERLINK("http://www.uniprot.org/uniprot/M5WEF2","M5WEF2")</f>
        <v>M5WEF2</v>
      </c>
      <c r="D7632" s="2" t="s">
        <v>6764</v>
      </c>
      <c r="E7632" s="3">
        <v>0</v>
      </c>
      <c r="F7632" s="2">
        <v>2544</v>
      </c>
      <c r="G7632" s="2">
        <v>100</v>
      </c>
      <c r="H7632" s="2">
        <v>508</v>
      </c>
      <c r="I7632" s="2">
        <v>1</v>
      </c>
      <c r="J7632" s="2">
        <v>1524</v>
      </c>
      <c r="K7632" s="2">
        <v>165</v>
      </c>
      <c r="L7632" s="2">
        <v>672</v>
      </c>
    </row>
    <row r="7633" spans="1:12" x14ac:dyDescent="0.25">
      <c r="A7633" s="4" t="str">
        <f>HYPERLINK("http://www.rosaceae.org/Prunus/Prunus_persica/p.persica_gdr_reftransV1_0022255","p.persica_gdr_reftransV1_0022255")</f>
        <v>p.persica_gdr_reftransV1_0022255</v>
      </c>
      <c r="B7633" s="2">
        <v>2149</v>
      </c>
      <c r="C7633" s="4" t="str">
        <f>HYPERLINK("http://www.uniprot.org/uniprot/M5WPI9","M5WPI9")</f>
        <v>M5WPI9</v>
      </c>
      <c r="D7633" s="2" t="s">
        <v>6765</v>
      </c>
      <c r="E7633" s="3">
        <v>0</v>
      </c>
      <c r="F7633" s="2">
        <v>2280</v>
      </c>
      <c r="G7633" s="2">
        <v>98</v>
      </c>
      <c r="H7633" s="2">
        <v>492</v>
      </c>
      <c r="I7633" s="2">
        <v>360</v>
      </c>
      <c r="J7633" s="2">
        <v>1835</v>
      </c>
      <c r="K7633" s="2">
        <v>1</v>
      </c>
      <c r="L7633" s="2">
        <v>482</v>
      </c>
    </row>
    <row r="7634" spans="1:12" x14ac:dyDescent="0.25">
      <c r="A7634" s="4" t="str">
        <f>HYPERLINK("http://www.rosaceae.org/Prunus/Prunus_persica/p.persica_gdr_reftransV1_0022605","p.persica_gdr_reftransV1_0022605")</f>
        <v>p.persica_gdr_reftransV1_0022605</v>
      </c>
      <c r="B7634" s="2">
        <v>1786</v>
      </c>
      <c r="C7634" s="4" t="str">
        <f>HYPERLINK("http://www.uniprot.org/uniprot/M5WVD4","M5WVD4")</f>
        <v>M5WVD4</v>
      </c>
      <c r="D7634" s="2" t="s">
        <v>6766</v>
      </c>
      <c r="E7634" s="3">
        <v>1.67E-51</v>
      </c>
      <c r="F7634" s="2">
        <v>473</v>
      </c>
      <c r="G7634" s="2">
        <v>100</v>
      </c>
      <c r="H7634" s="2">
        <v>112</v>
      </c>
      <c r="I7634" s="2">
        <v>412</v>
      </c>
      <c r="J7634" s="2">
        <v>747</v>
      </c>
      <c r="K7634" s="2">
        <v>84</v>
      </c>
      <c r="L7634" s="2">
        <v>195</v>
      </c>
    </row>
    <row r="7635" spans="1:12" x14ac:dyDescent="0.25">
      <c r="A7635" s="4" t="str">
        <f>HYPERLINK("http://www.rosaceae.org/Prunus/Prunus_persica/p.persica_gdr_reftransV1_0023305","p.persica_gdr_reftransV1_0023305")</f>
        <v>p.persica_gdr_reftransV1_0023305</v>
      </c>
      <c r="B7635" s="2">
        <v>4221</v>
      </c>
      <c r="C7635" s="4" t="str">
        <f>HYPERLINK("http://www.uniprot.org/uniprot/M5XXU3","M5XXU3")</f>
        <v>M5XXU3</v>
      </c>
      <c r="D7635" s="2" t="s">
        <v>6767</v>
      </c>
      <c r="E7635" s="3">
        <v>0</v>
      </c>
      <c r="F7635" s="2">
        <v>4137</v>
      </c>
      <c r="G7635" s="2">
        <v>100</v>
      </c>
      <c r="H7635" s="2">
        <v>786</v>
      </c>
      <c r="I7635" s="2">
        <v>1671</v>
      </c>
      <c r="J7635" s="2">
        <v>4028</v>
      </c>
      <c r="K7635" s="2">
        <v>1</v>
      </c>
      <c r="L7635" s="2">
        <v>786</v>
      </c>
    </row>
    <row r="7636" spans="1:12" x14ac:dyDescent="0.25">
      <c r="A7636" s="4" t="str">
        <f>HYPERLINK("http://www.rosaceae.org/Prunus/Prunus_persica/p.persica_gdr_reftransV1_0024005","p.persica_gdr_reftransV1_0024005")</f>
        <v>p.persica_gdr_reftransV1_0024005</v>
      </c>
      <c r="B7636" s="2">
        <v>1100</v>
      </c>
      <c r="C7636" s="4" t="str">
        <f>HYPERLINK("http://www.uniprot.org/uniprot/M5XFQ2","M5XFQ2")</f>
        <v>M5XFQ2</v>
      </c>
      <c r="D7636" s="2" t="s">
        <v>6768</v>
      </c>
      <c r="E7636" s="3">
        <v>1.2199999999999999E-83</v>
      </c>
      <c r="F7636" s="2">
        <v>673</v>
      </c>
      <c r="G7636" s="2">
        <v>100</v>
      </c>
      <c r="H7636" s="2">
        <v>178</v>
      </c>
      <c r="I7636" s="2">
        <v>451</v>
      </c>
      <c r="J7636" s="2">
        <v>984</v>
      </c>
      <c r="K7636" s="2">
        <v>1</v>
      </c>
      <c r="L7636" s="2">
        <v>178</v>
      </c>
    </row>
    <row r="7637" spans="1:12" x14ac:dyDescent="0.25">
      <c r="A7637" s="4" t="str">
        <f>HYPERLINK("http://www.rosaceae.org/Prunus/Prunus_persica/p.persica_gdr_reftransV1_0025055","p.persica_gdr_reftransV1_0025055")</f>
        <v>p.persica_gdr_reftransV1_0025055</v>
      </c>
      <c r="B7637" s="2">
        <v>408</v>
      </c>
      <c r="C7637" s="4" t="str">
        <f>HYPERLINK("http://www.uniprot.org/uniprot/M5WZC4","M5WZC4")</f>
        <v>M5WZC4</v>
      </c>
      <c r="D7637" s="2" t="s">
        <v>6769</v>
      </c>
      <c r="E7637" s="3">
        <v>1.09E-66</v>
      </c>
      <c r="F7637" s="2">
        <v>573</v>
      </c>
      <c r="G7637" s="2">
        <v>100</v>
      </c>
      <c r="H7637" s="2">
        <v>106</v>
      </c>
      <c r="I7637" s="2">
        <v>1</v>
      </c>
      <c r="J7637" s="2">
        <v>318</v>
      </c>
      <c r="K7637" s="2">
        <v>116</v>
      </c>
      <c r="L7637" s="2">
        <v>221</v>
      </c>
    </row>
    <row r="7638" spans="1:12" x14ac:dyDescent="0.25">
      <c r="A7638" s="4" t="str">
        <f>HYPERLINK("http://www.rosaceae.org/Prunus/Prunus_persica/p.persica_gdr_reftransV1_0026105","p.persica_gdr_reftransV1_0026105")</f>
        <v>p.persica_gdr_reftransV1_0026105</v>
      </c>
      <c r="B7638" s="2">
        <v>861</v>
      </c>
      <c r="C7638" s="4" t="str">
        <f>HYPERLINK("http://www.uniprot.org/uniprot/M5Y174","M5Y174")</f>
        <v>M5Y174</v>
      </c>
      <c r="D7638" s="2" t="s">
        <v>6770</v>
      </c>
      <c r="E7638" s="3">
        <v>4.8099999999999997E-36</v>
      </c>
      <c r="F7638" s="2">
        <v>342</v>
      </c>
      <c r="G7638" s="2">
        <v>100</v>
      </c>
      <c r="H7638" s="2">
        <v>126</v>
      </c>
      <c r="I7638" s="2">
        <v>115</v>
      </c>
      <c r="J7638" s="2">
        <v>492</v>
      </c>
      <c r="K7638" s="2">
        <v>1</v>
      </c>
      <c r="L7638" s="2">
        <v>126</v>
      </c>
    </row>
    <row r="7639" spans="1:12" x14ac:dyDescent="0.25">
      <c r="A7639" s="4" t="str">
        <f>HYPERLINK("http://www.rosaceae.org/Prunus/Prunus_persica/p.persica_gdr_reftransV1_0026805","p.persica_gdr_reftransV1_0026805")</f>
        <v>p.persica_gdr_reftransV1_0026805</v>
      </c>
      <c r="B7639" s="2">
        <v>3086</v>
      </c>
      <c r="C7639" s="4" t="str">
        <f>HYPERLINK("http://www.uniprot.org/uniprot/M5VYA7","M5VYA7")</f>
        <v>M5VYA7</v>
      </c>
      <c r="D7639" s="2" t="s">
        <v>6771</v>
      </c>
      <c r="E7639" s="3">
        <v>0</v>
      </c>
      <c r="F7639" s="2">
        <v>3102</v>
      </c>
      <c r="G7639" s="2">
        <v>100</v>
      </c>
      <c r="H7639" s="2">
        <v>598</v>
      </c>
      <c r="I7639" s="2">
        <v>616</v>
      </c>
      <c r="J7639" s="2">
        <v>2409</v>
      </c>
      <c r="K7639" s="2">
        <v>1</v>
      </c>
      <c r="L7639" s="2">
        <v>598</v>
      </c>
    </row>
    <row r="7640" spans="1:12" x14ac:dyDescent="0.25">
      <c r="A7640" s="4" t="str">
        <f>HYPERLINK("http://www.rosaceae.org/Prunus/Prunus_persica/p.persica_gdr_reftransV1_0027155","p.persica_gdr_reftransV1_0027155")</f>
        <v>p.persica_gdr_reftransV1_0027155</v>
      </c>
      <c r="B7640" s="2">
        <v>3938</v>
      </c>
      <c r="C7640" s="4" t="str">
        <f>HYPERLINK("http://www.uniprot.org/uniprot/M5X9P7","M5X9P7")</f>
        <v>M5X9P7</v>
      </c>
      <c r="D7640" s="2" t="s">
        <v>6772</v>
      </c>
      <c r="E7640" s="3">
        <v>0</v>
      </c>
      <c r="F7640" s="2">
        <v>2723</v>
      </c>
      <c r="G7640" s="2">
        <v>91</v>
      </c>
      <c r="H7640" s="2">
        <v>608</v>
      </c>
      <c r="I7640" s="2">
        <v>711</v>
      </c>
      <c r="J7640" s="2">
        <v>2534</v>
      </c>
      <c r="K7640" s="2">
        <v>1</v>
      </c>
      <c r="L7640" s="2">
        <v>562</v>
      </c>
    </row>
    <row r="7641" spans="1:12" x14ac:dyDescent="0.25">
      <c r="A7641" s="4" t="str">
        <f>HYPERLINK("http://www.rosaceae.org/Prunus/Prunus_persica/p.persica_gdr_reftransV1_0027855","p.persica_gdr_reftransV1_0027855")</f>
        <v>p.persica_gdr_reftransV1_0027855</v>
      </c>
      <c r="B7641" s="2">
        <v>1600</v>
      </c>
      <c r="C7641" s="4" t="str">
        <f>HYPERLINK("http://www.uniprot.org/uniprot/M5XJC7","M5XJC7")</f>
        <v>M5XJC7</v>
      </c>
      <c r="D7641" s="2" t="s">
        <v>6773</v>
      </c>
      <c r="E7641" s="3">
        <v>2.5199999999999999E-90</v>
      </c>
      <c r="F7641" s="2">
        <v>739</v>
      </c>
      <c r="G7641" s="2">
        <v>99</v>
      </c>
      <c r="H7641" s="2">
        <v>167</v>
      </c>
      <c r="I7641" s="2">
        <v>989</v>
      </c>
      <c r="J7641" s="2">
        <v>1489</v>
      </c>
      <c r="K7641" s="2">
        <v>1</v>
      </c>
      <c r="L7641" s="2">
        <v>167</v>
      </c>
    </row>
    <row r="7642" spans="1:12" x14ac:dyDescent="0.25">
      <c r="A7642" s="4" t="str">
        <f>HYPERLINK("http://www.rosaceae.org/Prunus/Prunus_persica/p.persica_gdr_reftransV1_0028555","p.persica_gdr_reftransV1_0028555")</f>
        <v>p.persica_gdr_reftransV1_0028555</v>
      </c>
      <c r="B7642" s="2">
        <v>2266</v>
      </c>
      <c r="C7642" s="4" t="str">
        <f>HYPERLINK("http://www.uniprot.org/uniprot/M5XZF5","M5XZF5")</f>
        <v>M5XZF5</v>
      </c>
      <c r="D7642" s="2" t="s">
        <v>6774</v>
      </c>
      <c r="E7642" s="3">
        <v>1.4900000000000001E-84</v>
      </c>
      <c r="F7642" s="2">
        <v>713</v>
      </c>
      <c r="G7642" s="2">
        <v>100</v>
      </c>
      <c r="H7642" s="2">
        <v>135</v>
      </c>
      <c r="I7642" s="2">
        <v>96</v>
      </c>
      <c r="J7642" s="2">
        <v>500</v>
      </c>
      <c r="K7642" s="2">
        <v>17</v>
      </c>
      <c r="L7642" s="2">
        <v>151</v>
      </c>
    </row>
    <row r="7643" spans="1:12" x14ac:dyDescent="0.25">
      <c r="A7643" s="4" t="str">
        <f>HYPERLINK("http://www.rosaceae.org/Prunus/Prunus_persica/p.persica_gdr_reftransV1_0029255","p.persica_gdr_reftransV1_0029255")</f>
        <v>p.persica_gdr_reftransV1_0029255</v>
      </c>
      <c r="B7643" s="2">
        <v>734</v>
      </c>
      <c r="C7643" s="4" t="str">
        <f>HYPERLINK("http://www.uniprot.org/uniprot/M5WDQ3","M5WDQ3")</f>
        <v>M5WDQ3</v>
      </c>
      <c r="D7643" s="2" t="s">
        <v>6775</v>
      </c>
      <c r="E7643" s="3">
        <v>5.93E-76</v>
      </c>
      <c r="F7643" s="2">
        <v>661</v>
      </c>
      <c r="G7643" s="2">
        <v>99</v>
      </c>
      <c r="H7643" s="2">
        <v>166</v>
      </c>
      <c r="I7643" s="2">
        <v>2</v>
      </c>
      <c r="J7643" s="2">
        <v>499</v>
      </c>
      <c r="K7643" s="2">
        <v>905</v>
      </c>
      <c r="L7643" s="2">
        <v>1070</v>
      </c>
    </row>
    <row r="7644" spans="1:12" x14ac:dyDescent="0.25">
      <c r="A7644" s="4" t="str">
        <f>HYPERLINK("http://www.rosaceae.org/Prunus/Prunus_persica/p.persica_gdr_reftransV1_0031005","p.persica_gdr_reftransV1_0031005")</f>
        <v>p.persica_gdr_reftransV1_0031005</v>
      </c>
      <c r="B7644" s="2">
        <v>781</v>
      </c>
      <c r="C7644" s="4" t="str">
        <f>HYPERLINK("http://www.uniprot.org/uniprot/M5XBU1","M5XBU1")</f>
        <v>M5XBU1</v>
      </c>
      <c r="D7644" s="2" t="s">
        <v>6776</v>
      </c>
      <c r="E7644" s="3">
        <v>1.8200000000000001E-155</v>
      </c>
      <c r="F7644" s="2">
        <v>1165</v>
      </c>
      <c r="G7644" s="2">
        <v>98</v>
      </c>
      <c r="H7644" s="2">
        <v>226</v>
      </c>
      <c r="I7644" s="2">
        <v>68</v>
      </c>
      <c r="J7644" s="2">
        <v>745</v>
      </c>
      <c r="K7644" s="2">
        <v>30</v>
      </c>
      <c r="L7644" s="2">
        <v>254</v>
      </c>
    </row>
    <row r="7645" spans="1:12" x14ac:dyDescent="0.25">
      <c r="A7645" s="4" t="str">
        <f>HYPERLINK("http://www.rosaceae.org/Prunus/Prunus_persica/p.persica_gdr_reftransV1_0031705","p.persica_gdr_reftransV1_0031705")</f>
        <v>p.persica_gdr_reftransV1_0031705</v>
      </c>
      <c r="B7645" s="2">
        <v>492</v>
      </c>
      <c r="C7645" s="4" t="str">
        <f>HYPERLINK("http://www.uniprot.org/uniprot/M5XCL3","M5XCL3")</f>
        <v>M5XCL3</v>
      </c>
      <c r="D7645" s="2" t="s">
        <v>6777</v>
      </c>
      <c r="E7645" s="3">
        <v>1.8699999999999999E-110</v>
      </c>
      <c r="F7645" s="2">
        <v>857</v>
      </c>
      <c r="G7645" s="2">
        <v>99</v>
      </c>
      <c r="H7645" s="2">
        <v>162</v>
      </c>
      <c r="I7645" s="2">
        <v>1</v>
      </c>
      <c r="J7645" s="2">
        <v>486</v>
      </c>
      <c r="K7645" s="2">
        <v>171</v>
      </c>
      <c r="L7645" s="2">
        <v>332</v>
      </c>
    </row>
    <row r="7646" spans="1:12" x14ac:dyDescent="0.25">
      <c r="A7646" s="4" t="str">
        <f>HYPERLINK("http://www.rosaceae.org/Prunus/Prunus_persica/p.persica_gdr_reftransV1_0033805","p.persica_gdr_reftransV1_0033805")</f>
        <v>p.persica_gdr_reftransV1_0033805</v>
      </c>
      <c r="B7646" s="2">
        <v>2648</v>
      </c>
      <c r="C7646" s="4" t="str">
        <f>HYPERLINK("http://www.uniprot.org/uniprot/M5X862","M5X862")</f>
        <v>M5X862</v>
      </c>
      <c r="D7646" s="2" t="s">
        <v>6778</v>
      </c>
      <c r="E7646" s="3">
        <v>0</v>
      </c>
      <c r="F7646" s="2">
        <v>1895</v>
      </c>
      <c r="G7646" s="2">
        <v>95</v>
      </c>
      <c r="H7646" s="2">
        <v>396</v>
      </c>
      <c r="I7646" s="2">
        <v>988</v>
      </c>
      <c r="J7646" s="2">
        <v>2172</v>
      </c>
      <c r="K7646" s="2">
        <v>1</v>
      </c>
      <c r="L7646" s="2">
        <v>383</v>
      </c>
    </row>
    <row r="7647" spans="1:12" x14ac:dyDescent="0.25">
      <c r="A7647" s="4" t="str">
        <f>HYPERLINK("http://www.rosaceae.org/Prunus/Prunus_persica/p.persica_gdr_reftransV1_0034855","p.persica_gdr_reftransV1_0034855")</f>
        <v>p.persica_gdr_reftransV1_0034855</v>
      </c>
      <c r="B7647" s="2">
        <v>5253</v>
      </c>
      <c r="C7647" s="4" t="str">
        <f>HYPERLINK("http://www.uniprot.org/uniprot/M5X5C4","M5X5C4")</f>
        <v>M5X5C4</v>
      </c>
      <c r="D7647" s="2" t="s">
        <v>1932</v>
      </c>
      <c r="E7647" s="3">
        <v>0</v>
      </c>
      <c r="F7647" s="2">
        <v>1644</v>
      </c>
      <c r="G7647" s="2">
        <v>98</v>
      </c>
      <c r="H7647" s="2">
        <v>322</v>
      </c>
      <c r="I7647" s="2">
        <v>3366</v>
      </c>
      <c r="J7647" s="2">
        <v>4331</v>
      </c>
      <c r="K7647" s="2">
        <v>1</v>
      </c>
      <c r="L7647" s="2">
        <v>322</v>
      </c>
    </row>
    <row r="7648" spans="1:12" x14ac:dyDescent="0.25">
      <c r="A7648" s="4" t="str">
        <f>HYPERLINK("http://www.rosaceae.org/Prunus/Prunus_persica/p.persica_gdr_reftransV1_0035205","p.persica_gdr_reftransV1_0035205")</f>
        <v>p.persica_gdr_reftransV1_0035205</v>
      </c>
      <c r="B7648" s="2">
        <v>768</v>
      </c>
      <c r="C7648" s="4" t="str">
        <f>HYPERLINK("http://www.uniprot.org/uniprot/M5XM36","M5XM36")</f>
        <v>M5XM36</v>
      </c>
      <c r="D7648" s="2" t="s">
        <v>6779</v>
      </c>
      <c r="E7648" s="3">
        <v>1.57E-58</v>
      </c>
      <c r="F7648" s="2">
        <v>489</v>
      </c>
      <c r="G7648" s="2">
        <v>100</v>
      </c>
      <c r="H7648" s="2">
        <v>95</v>
      </c>
      <c r="I7648" s="2">
        <v>294</v>
      </c>
      <c r="J7648" s="2">
        <v>578</v>
      </c>
      <c r="K7648" s="2">
        <v>1</v>
      </c>
      <c r="L7648" s="2">
        <v>95</v>
      </c>
    </row>
    <row r="7649" spans="1:12" x14ac:dyDescent="0.25">
      <c r="A7649" s="4" t="str">
        <f>HYPERLINK("http://www.rosaceae.org/Prunus/Prunus_persica/p.persica_gdr_reftransV1_0035905","p.persica_gdr_reftransV1_0035905")</f>
        <v>p.persica_gdr_reftransV1_0035905</v>
      </c>
      <c r="B7649" s="2">
        <v>3000</v>
      </c>
      <c r="C7649" s="4" t="str">
        <f>HYPERLINK("http://www.uniprot.org/uniprot/M5W664","M5W664")</f>
        <v>M5W664</v>
      </c>
      <c r="D7649" s="2" t="s">
        <v>6780</v>
      </c>
      <c r="E7649" s="3">
        <v>8.8699999999999999E-108</v>
      </c>
      <c r="F7649" s="2">
        <v>902</v>
      </c>
      <c r="G7649" s="2">
        <v>100</v>
      </c>
      <c r="H7649" s="2">
        <v>201</v>
      </c>
      <c r="I7649" s="2">
        <v>914</v>
      </c>
      <c r="J7649" s="2">
        <v>1516</v>
      </c>
      <c r="K7649" s="2">
        <v>1</v>
      </c>
      <c r="L7649" s="2">
        <v>201</v>
      </c>
    </row>
    <row r="7650" spans="1:12" x14ac:dyDescent="0.25">
      <c r="A7650" s="4" t="str">
        <f>HYPERLINK("http://www.rosaceae.org/Prunus/Prunus_persica/p.persica_gdr_reftransV1_0036605","p.persica_gdr_reftransV1_0036605")</f>
        <v>p.persica_gdr_reftransV1_0036605</v>
      </c>
      <c r="B7650" s="2">
        <v>1766</v>
      </c>
      <c r="C7650" s="4" t="str">
        <f>HYPERLINK("http://www.uniprot.org/uniprot/M5VWV8","M5VWV8")</f>
        <v>M5VWV8</v>
      </c>
      <c r="D7650" s="2" t="s">
        <v>6781</v>
      </c>
      <c r="E7650" s="3">
        <v>0</v>
      </c>
      <c r="F7650" s="2">
        <v>1410</v>
      </c>
      <c r="G7650" s="2">
        <v>80</v>
      </c>
      <c r="H7650" s="2">
        <v>399</v>
      </c>
      <c r="I7650" s="2">
        <v>523</v>
      </c>
      <c r="J7650" s="2">
        <v>1692</v>
      </c>
      <c r="K7650" s="2">
        <v>1</v>
      </c>
      <c r="L7650" s="2">
        <v>374</v>
      </c>
    </row>
    <row r="7651" spans="1:12" x14ac:dyDescent="0.25">
      <c r="A7651" s="4" t="str">
        <f>HYPERLINK("http://www.rosaceae.org/Prunus/Prunus_persica/p.persica_gdr_reftransV1_0039755","p.persica_gdr_reftransV1_0039755")</f>
        <v>p.persica_gdr_reftransV1_0039755</v>
      </c>
      <c r="B7651" s="2">
        <v>6004</v>
      </c>
      <c r="C7651" s="4" t="str">
        <f>HYPERLINK("http://www.uniprot.org/uniprot/M5VIL0","M5VIL0")</f>
        <v>M5VIL0</v>
      </c>
      <c r="D7651" s="2" t="s">
        <v>1556</v>
      </c>
      <c r="E7651" s="3">
        <v>0</v>
      </c>
      <c r="F7651" s="2">
        <v>8066</v>
      </c>
      <c r="G7651" s="2">
        <v>100</v>
      </c>
      <c r="H7651" s="2">
        <v>1751</v>
      </c>
      <c r="I7651" s="2">
        <v>102</v>
      </c>
      <c r="J7651" s="2">
        <v>5354</v>
      </c>
      <c r="K7651" s="2">
        <v>146</v>
      </c>
      <c r="L7651" s="2">
        <v>1896</v>
      </c>
    </row>
    <row r="7652" spans="1:12" x14ac:dyDescent="0.25">
      <c r="A7652" s="4" t="str">
        <f>HYPERLINK("http://www.rosaceae.org/Prunus/Prunus_persica/p.persica_gdr_reftransV1_0040805","p.persica_gdr_reftransV1_0040805")</f>
        <v>p.persica_gdr_reftransV1_0040805</v>
      </c>
      <c r="B7652" s="2">
        <v>2199</v>
      </c>
      <c r="C7652" s="4" t="str">
        <f>HYPERLINK("http://www.uniprot.org/uniprot/M5XQL1","M5XQL1")</f>
        <v>M5XQL1</v>
      </c>
      <c r="D7652" s="2" t="s">
        <v>6782</v>
      </c>
      <c r="E7652" s="3">
        <v>0</v>
      </c>
      <c r="F7652" s="2">
        <v>2440</v>
      </c>
      <c r="G7652" s="2">
        <v>95</v>
      </c>
      <c r="H7652" s="2">
        <v>553</v>
      </c>
      <c r="I7652" s="2">
        <v>240</v>
      </c>
      <c r="J7652" s="2">
        <v>1898</v>
      </c>
      <c r="K7652" s="2">
        <v>1</v>
      </c>
      <c r="L7652" s="2">
        <v>525</v>
      </c>
    </row>
    <row r="7653" spans="1:12" x14ac:dyDescent="0.25">
      <c r="A7653" s="4" t="str">
        <f>HYPERLINK("http://www.rosaceae.org/Prunus/Prunus_persica/p.persica_gdr_reftransV1_0041155","p.persica_gdr_reftransV1_0041155")</f>
        <v>p.persica_gdr_reftransV1_0041155</v>
      </c>
      <c r="B7653" s="2">
        <v>1626</v>
      </c>
      <c r="C7653" s="4" t="str">
        <f>HYPERLINK("http://www.uniprot.org/uniprot/M5WWU3","M5WWU3")</f>
        <v>M5WWU3</v>
      </c>
      <c r="D7653" s="2" t="s">
        <v>6783</v>
      </c>
      <c r="E7653" s="3">
        <v>0</v>
      </c>
      <c r="F7653" s="2">
        <v>2229</v>
      </c>
      <c r="G7653" s="2">
        <v>100</v>
      </c>
      <c r="H7653" s="2">
        <v>426</v>
      </c>
      <c r="I7653" s="2">
        <v>348</v>
      </c>
      <c r="J7653" s="2">
        <v>1625</v>
      </c>
      <c r="K7653" s="2">
        <v>153</v>
      </c>
      <c r="L7653" s="2">
        <v>578</v>
      </c>
    </row>
    <row r="7654" spans="1:12" x14ac:dyDescent="0.25">
      <c r="A7654" s="4" t="str">
        <f>HYPERLINK("http://www.rosaceae.org/Prunus/Prunus_persica/p.persica_gdr_reftransV1_0043255","p.persica_gdr_reftransV1_0043255")</f>
        <v>p.persica_gdr_reftransV1_0043255</v>
      </c>
      <c r="B7654" s="2">
        <v>850</v>
      </c>
      <c r="C7654" s="4" t="str">
        <f>HYPERLINK("http://www.uniprot.org/uniprot/M5WXX2","M5WXX2")</f>
        <v>M5WXX2</v>
      </c>
      <c r="D7654" s="2" t="s">
        <v>6784</v>
      </c>
      <c r="E7654" s="3">
        <v>0</v>
      </c>
      <c r="F7654" s="2">
        <v>1451</v>
      </c>
      <c r="G7654" s="2">
        <v>100</v>
      </c>
      <c r="H7654" s="2">
        <v>267</v>
      </c>
      <c r="I7654" s="2">
        <v>48</v>
      </c>
      <c r="J7654" s="2">
        <v>848</v>
      </c>
      <c r="K7654" s="2">
        <v>93</v>
      </c>
      <c r="L7654" s="2">
        <v>359</v>
      </c>
    </row>
    <row r="7655" spans="1:12" x14ac:dyDescent="0.25">
      <c r="A7655" s="4" t="str">
        <f>HYPERLINK("http://www.rosaceae.org/Prunus/Prunus_persica/p.persica_gdr_reftransV1_0043605","p.persica_gdr_reftransV1_0043605")</f>
        <v>p.persica_gdr_reftransV1_0043605</v>
      </c>
      <c r="B7655" s="2">
        <v>1557</v>
      </c>
      <c r="C7655" s="4" t="str">
        <f>HYPERLINK("http://www.uniprot.org/uniprot/M5VZG2","M5VZG2")</f>
        <v>M5VZG2</v>
      </c>
      <c r="D7655" s="2" t="s">
        <v>6785</v>
      </c>
      <c r="E7655" s="3">
        <v>8.7900000000000002E-150</v>
      </c>
      <c r="F7655" s="2">
        <v>1138</v>
      </c>
      <c r="G7655" s="2">
        <v>95</v>
      </c>
      <c r="H7655" s="2">
        <v>310</v>
      </c>
      <c r="I7655" s="2">
        <v>169</v>
      </c>
      <c r="J7655" s="2">
        <v>1098</v>
      </c>
      <c r="K7655" s="2">
        <v>1</v>
      </c>
      <c r="L7655" s="2">
        <v>296</v>
      </c>
    </row>
    <row r="7656" spans="1:12" x14ac:dyDescent="0.25">
      <c r="A7656" s="4" t="str">
        <f>HYPERLINK("http://www.rosaceae.org/Prunus/Prunus_persica/p.persica_gdr_reftransV1_0043955","p.persica_gdr_reftransV1_0043955")</f>
        <v>p.persica_gdr_reftransV1_0043955</v>
      </c>
      <c r="B7656" s="2">
        <v>472</v>
      </c>
      <c r="C7656" s="4" t="str">
        <f>HYPERLINK("http://www.uniprot.org/uniprot/M5XRH4","M5XRH4")</f>
        <v>M5XRH4</v>
      </c>
      <c r="D7656" s="2" t="s">
        <v>6786</v>
      </c>
      <c r="E7656" s="3">
        <v>7.4999999999999999E-99</v>
      </c>
      <c r="F7656" s="2">
        <v>766</v>
      </c>
      <c r="G7656" s="2">
        <v>100</v>
      </c>
      <c r="H7656" s="2">
        <v>142</v>
      </c>
      <c r="I7656" s="2">
        <v>46</v>
      </c>
      <c r="J7656" s="2">
        <v>471</v>
      </c>
      <c r="K7656" s="2">
        <v>146</v>
      </c>
      <c r="L7656" s="2">
        <v>287</v>
      </c>
    </row>
    <row r="7657" spans="1:12" x14ac:dyDescent="0.25">
      <c r="A7657" s="4" t="str">
        <f>HYPERLINK("http://www.rosaceae.org/Prunus/Prunus_persica/p.persica_gdr_reftransV1_0044305","p.persica_gdr_reftransV1_0044305")</f>
        <v>p.persica_gdr_reftransV1_0044305</v>
      </c>
      <c r="B7657" s="2">
        <v>469</v>
      </c>
      <c r="C7657" s="4" t="str">
        <f>HYPERLINK("http://www.uniprot.org/uniprot/M5Y342","M5Y342")</f>
        <v>M5Y342</v>
      </c>
      <c r="D7657" s="2" t="s">
        <v>4188</v>
      </c>
      <c r="E7657" s="3">
        <v>9.4199999999999996E-43</v>
      </c>
      <c r="F7657" s="2">
        <v>386</v>
      </c>
      <c r="G7657" s="2">
        <v>100</v>
      </c>
      <c r="H7657" s="2">
        <v>104</v>
      </c>
      <c r="I7657" s="2">
        <v>3</v>
      </c>
      <c r="J7657" s="2">
        <v>314</v>
      </c>
      <c r="K7657" s="2">
        <v>1</v>
      </c>
      <c r="L7657" s="2">
        <v>104</v>
      </c>
    </row>
    <row r="7658" spans="1:12" x14ac:dyDescent="0.25">
      <c r="A7658" s="4" t="str">
        <f>HYPERLINK("http://www.rosaceae.org/Prunus/Prunus_persica/p.persica_gdr_reftransV1_0044655","p.persica_gdr_reftransV1_0044655")</f>
        <v>p.persica_gdr_reftransV1_0044655</v>
      </c>
      <c r="B7658" s="2">
        <v>1021</v>
      </c>
      <c r="C7658" s="4" t="str">
        <f>HYPERLINK("http://www.uniprot.org/uniprot/M5WIL2","M5WIL2")</f>
        <v>M5WIL2</v>
      </c>
      <c r="D7658" s="2" t="s">
        <v>6787</v>
      </c>
      <c r="E7658" s="3">
        <v>6.7700000000000004E-150</v>
      </c>
      <c r="F7658" s="2">
        <v>1115</v>
      </c>
      <c r="G7658" s="2">
        <v>100</v>
      </c>
      <c r="H7658" s="2">
        <v>226</v>
      </c>
      <c r="I7658" s="2">
        <v>340</v>
      </c>
      <c r="J7658" s="2">
        <v>1017</v>
      </c>
      <c r="K7658" s="2">
        <v>15</v>
      </c>
      <c r="L7658" s="2">
        <v>240</v>
      </c>
    </row>
    <row r="7659" spans="1:12" x14ac:dyDescent="0.25">
      <c r="A7659" s="4" t="str">
        <f>HYPERLINK("http://www.rosaceae.org/Prunus/Prunus_persica/p.persica_gdr_reftransV1_0045355","p.persica_gdr_reftransV1_0045355")</f>
        <v>p.persica_gdr_reftransV1_0045355</v>
      </c>
      <c r="B7659" s="2">
        <v>1423</v>
      </c>
      <c r="C7659" s="4" t="str">
        <f>HYPERLINK("http://www.uniprot.org/uniprot/M5VQZ0","M5VQZ0")</f>
        <v>M5VQZ0</v>
      </c>
      <c r="D7659" s="2" t="s">
        <v>6788</v>
      </c>
      <c r="E7659" s="3">
        <v>4.1700000000000003E-46</v>
      </c>
      <c r="F7659" s="2">
        <v>433</v>
      </c>
      <c r="G7659" s="2">
        <v>100</v>
      </c>
      <c r="H7659" s="2">
        <v>81</v>
      </c>
      <c r="I7659" s="2">
        <v>908</v>
      </c>
      <c r="J7659" s="2">
        <v>1150</v>
      </c>
      <c r="K7659" s="2">
        <v>62</v>
      </c>
      <c r="L7659" s="2">
        <v>142</v>
      </c>
    </row>
    <row r="7660" spans="1:12" x14ac:dyDescent="0.25">
      <c r="A7660" s="4" t="str">
        <f>HYPERLINK("http://www.rosaceae.org/Prunus/Prunus_persica/p.persica_gdr_reftransV1_0046055","p.persica_gdr_reftransV1_0046055")</f>
        <v>p.persica_gdr_reftransV1_0046055</v>
      </c>
      <c r="B7660" s="2">
        <v>1595</v>
      </c>
      <c r="C7660" s="4" t="str">
        <f>HYPERLINK("http://www.uniprot.org/uniprot/M5VJT9","M5VJT9")</f>
        <v>M5VJT9</v>
      </c>
      <c r="D7660" s="2" t="s">
        <v>6789</v>
      </c>
      <c r="E7660" s="3">
        <v>0</v>
      </c>
      <c r="F7660" s="2">
        <v>1680</v>
      </c>
      <c r="G7660" s="2">
        <v>99</v>
      </c>
      <c r="H7660" s="2">
        <v>429</v>
      </c>
      <c r="I7660" s="2">
        <v>176</v>
      </c>
      <c r="J7660" s="2">
        <v>1462</v>
      </c>
      <c r="K7660" s="2">
        <v>1</v>
      </c>
      <c r="L7660" s="2">
        <v>429</v>
      </c>
    </row>
    <row r="7661" spans="1:12" x14ac:dyDescent="0.25">
      <c r="A7661" s="4" t="str">
        <f>HYPERLINK("http://www.rosaceae.org/Prunus/Prunus_persica/p.persica_gdr_reftransV1_0046405","p.persica_gdr_reftransV1_0046405")</f>
        <v>p.persica_gdr_reftransV1_0046405</v>
      </c>
      <c r="B7661" s="2">
        <v>1710</v>
      </c>
      <c r="C7661" s="4" t="str">
        <f>HYPERLINK("http://www.uniprot.org/uniprot/M5XCV6","M5XCV6")</f>
        <v>M5XCV6</v>
      </c>
      <c r="D7661" s="2" t="s">
        <v>6790</v>
      </c>
      <c r="E7661" s="3">
        <v>0</v>
      </c>
      <c r="F7661" s="2">
        <v>1530</v>
      </c>
      <c r="G7661" s="2">
        <v>97</v>
      </c>
      <c r="H7661" s="2">
        <v>419</v>
      </c>
      <c r="I7661" s="2">
        <v>297</v>
      </c>
      <c r="J7661" s="2">
        <v>1553</v>
      </c>
      <c r="K7661" s="2">
        <v>1</v>
      </c>
      <c r="L7661" s="2">
        <v>409</v>
      </c>
    </row>
    <row r="7662" spans="1:12" x14ac:dyDescent="0.25">
      <c r="A7662" s="4" t="str">
        <f>HYPERLINK("http://www.rosaceae.org/Prunus/Prunus_persica/p.persica_gdr_reftransV1_0046755","p.persica_gdr_reftransV1_0046755")</f>
        <v>p.persica_gdr_reftransV1_0046755</v>
      </c>
      <c r="B7662" s="2">
        <v>313</v>
      </c>
      <c r="C7662" s="4" t="str">
        <f>HYPERLINK("http://www.uniprot.org/uniprot/M5XC76","M5XC76")</f>
        <v>M5XC76</v>
      </c>
      <c r="D7662" s="2" t="s">
        <v>6791</v>
      </c>
      <c r="E7662" s="3">
        <v>1.0399999999999999E-67</v>
      </c>
      <c r="F7662" s="2">
        <v>558</v>
      </c>
      <c r="G7662" s="2">
        <v>100</v>
      </c>
      <c r="H7662" s="2">
        <v>104</v>
      </c>
      <c r="I7662" s="2">
        <v>2</v>
      </c>
      <c r="J7662" s="2">
        <v>313</v>
      </c>
      <c r="K7662" s="2">
        <v>13</v>
      </c>
      <c r="L7662" s="2">
        <v>116</v>
      </c>
    </row>
    <row r="7663" spans="1:12" x14ac:dyDescent="0.25">
      <c r="A7663" s="4" t="str">
        <f>HYPERLINK("http://www.rosaceae.org/Prunus/Prunus_persica/p.persica_gdr_reftransV1_0047105","p.persica_gdr_reftransV1_0047105")</f>
        <v>p.persica_gdr_reftransV1_0047105</v>
      </c>
      <c r="B7663" s="2">
        <v>1011</v>
      </c>
      <c r="C7663" s="4" t="str">
        <f>HYPERLINK("http://www.uniprot.org/uniprot/M5WAM8","M5WAM8")</f>
        <v>M5WAM8</v>
      </c>
      <c r="D7663" s="2" t="s">
        <v>6792</v>
      </c>
      <c r="E7663" s="3">
        <v>3.4500000000000001E-131</v>
      </c>
      <c r="F7663" s="2">
        <v>988</v>
      </c>
      <c r="G7663" s="2">
        <v>99</v>
      </c>
      <c r="H7663" s="2">
        <v>192</v>
      </c>
      <c r="I7663" s="2">
        <v>344</v>
      </c>
      <c r="J7663" s="2">
        <v>919</v>
      </c>
      <c r="K7663" s="2">
        <v>1</v>
      </c>
      <c r="L7663" s="2">
        <v>192</v>
      </c>
    </row>
    <row r="7664" spans="1:12" x14ac:dyDescent="0.25">
      <c r="A7664" s="4" t="str">
        <f>HYPERLINK("http://www.rosaceae.org/Prunus/Prunus_persica/p.persica_gdr_reftransV1_0047455","p.persica_gdr_reftransV1_0047455")</f>
        <v>p.persica_gdr_reftransV1_0047455</v>
      </c>
      <c r="B7664" s="2">
        <v>315</v>
      </c>
      <c r="C7664" s="4" t="str">
        <f>HYPERLINK("http://www.uniprot.org/uniprot/A0A067DGQ8","A0A067DGQ8")</f>
        <v>A0A067DGQ8</v>
      </c>
      <c r="D7664" s="2" t="s">
        <v>6793</v>
      </c>
      <c r="E7664" s="3">
        <v>1.3999999999999999E-28</v>
      </c>
      <c r="F7664" s="2">
        <v>295</v>
      </c>
      <c r="G7664" s="2">
        <v>62</v>
      </c>
      <c r="H7664" s="2">
        <v>103</v>
      </c>
      <c r="I7664" s="2">
        <v>7</v>
      </c>
      <c r="J7664" s="2">
        <v>315</v>
      </c>
      <c r="K7664" s="2">
        <v>18</v>
      </c>
      <c r="L7664" s="2">
        <v>120</v>
      </c>
    </row>
    <row r="7665" spans="1:12" x14ac:dyDescent="0.25">
      <c r="A7665" s="4" t="str">
        <f>HYPERLINK("http://www.rosaceae.org/Prunus/Prunus_persica/p.persica_gdr_reftransV1_0048155","p.persica_gdr_reftransV1_0048155")</f>
        <v>p.persica_gdr_reftransV1_0048155</v>
      </c>
      <c r="B7665" s="2">
        <v>633</v>
      </c>
      <c r="C7665" s="4" t="str">
        <f>HYPERLINK("http://www.uniprot.org/uniprot/M5WYB1","M5WYB1")</f>
        <v>M5WYB1</v>
      </c>
      <c r="D7665" s="2" t="s">
        <v>6794</v>
      </c>
      <c r="E7665" s="3">
        <v>3.9199999999999999E-79</v>
      </c>
      <c r="F7665" s="2">
        <v>634</v>
      </c>
      <c r="G7665" s="2">
        <v>100</v>
      </c>
      <c r="H7665" s="2">
        <v>124</v>
      </c>
      <c r="I7665" s="2">
        <v>105</v>
      </c>
      <c r="J7665" s="2">
        <v>476</v>
      </c>
      <c r="K7665" s="2">
        <v>1</v>
      </c>
      <c r="L7665" s="2">
        <v>124</v>
      </c>
    </row>
    <row r="7666" spans="1:12" x14ac:dyDescent="0.25">
      <c r="A7666" s="4" t="str">
        <f>HYPERLINK("http://www.rosaceae.org/Prunus/Prunus_persica/p.persica_gdr_reftransV1_0048505","p.persica_gdr_reftransV1_0048505")</f>
        <v>p.persica_gdr_reftransV1_0048505</v>
      </c>
      <c r="B7666" s="2">
        <v>972</v>
      </c>
      <c r="C7666" s="4" t="str">
        <f>HYPERLINK("http://www.uniprot.org/uniprot/M5XSQ2","M5XSQ2")</f>
        <v>M5XSQ2</v>
      </c>
      <c r="D7666" s="2" t="s">
        <v>6795</v>
      </c>
      <c r="E7666" s="3">
        <v>1.6800000000000001E-148</v>
      </c>
      <c r="F7666" s="2">
        <v>1102</v>
      </c>
      <c r="G7666" s="2">
        <v>100</v>
      </c>
      <c r="H7666" s="2">
        <v>212</v>
      </c>
      <c r="I7666" s="2">
        <v>90</v>
      </c>
      <c r="J7666" s="2">
        <v>725</v>
      </c>
      <c r="K7666" s="2">
        <v>1</v>
      </c>
      <c r="L7666" s="2">
        <v>212</v>
      </c>
    </row>
    <row r="7667" spans="1:12" x14ac:dyDescent="0.25">
      <c r="A7667" s="4" t="str">
        <f>HYPERLINK("http://www.rosaceae.org/Prunus/Prunus_persica/p.persica_gdr_reftransV1_0048855","p.persica_gdr_reftransV1_0048855")</f>
        <v>p.persica_gdr_reftransV1_0048855</v>
      </c>
      <c r="B7667" s="2">
        <v>2210</v>
      </c>
      <c r="C7667" s="4" t="str">
        <f>HYPERLINK("http://www.uniprot.org/uniprot/M5VW31","M5VW31")</f>
        <v>M5VW31</v>
      </c>
      <c r="D7667" s="2" t="s">
        <v>6796</v>
      </c>
      <c r="E7667" s="3">
        <v>0</v>
      </c>
      <c r="F7667" s="2">
        <v>2675</v>
      </c>
      <c r="G7667" s="2">
        <v>100</v>
      </c>
      <c r="H7667" s="2">
        <v>503</v>
      </c>
      <c r="I7667" s="2">
        <v>355</v>
      </c>
      <c r="J7667" s="2">
        <v>1863</v>
      </c>
      <c r="K7667" s="2">
        <v>25</v>
      </c>
      <c r="L7667" s="2">
        <v>527</v>
      </c>
    </row>
    <row r="7668" spans="1:12" x14ac:dyDescent="0.25">
      <c r="A7668" s="4" t="str">
        <f>HYPERLINK("http://www.rosaceae.org/Prunus/Prunus_persica/p.persica_gdr_reftransV1_0000556","p.persica_gdr_reftransV1_0000556")</f>
        <v>p.persica_gdr_reftransV1_0000556</v>
      </c>
      <c r="B7668" s="2">
        <v>360</v>
      </c>
      <c r="C7668" s="4" t="str">
        <f>HYPERLINK("http://www.uniprot.org/uniprot/M5VVQ9","M5VVQ9")</f>
        <v>M5VVQ9</v>
      </c>
      <c r="D7668" s="2" t="s">
        <v>1770</v>
      </c>
      <c r="E7668" s="3">
        <v>3.87E-64</v>
      </c>
      <c r="F7668" s="2">
        <v>565</v>
      </c>
      <c r="G7668" s="2">
        <v>100</v>
      </c>
      <c r="H7668" s="2">
        <v>107</v>
      </c>
      <c r="I7668" s="2">
        <v>3</v>
      </c>
      <c r="J7668" s="2">
        <v>323</v>
      </c>
      <c r="K7668" s="2">
        <v>1259</v>
      </c>
      <c r="L7668" s="2">
        <v>1365</v>
      </c>
    </row>
    <row r="7669" spans="1:12" x14ac:dyDescent="0.25">
      <c r="A7669" s="4" t="str">
        <f>HYPERLINK("http://www.rosaceae.org/Prunus/Prunus_persica/p.persica_gdr_reftransV1_0000906","p.persica_gdr_reftransV1_0000906")</f>
        <v>p.persica_gdr_reftransV1_0000906</v>
      </c>
      <c r="B7669" s="2">
        <v>2312</v>
      </c>
      <c r="C7669" s="4" t="str">
        <f>HYPERLINK("http://www.uniprot.org/uniprot/A0A0F6PY33","A0A0F6PY33")</f>
        <v>A0A0F6PY33</v>
      </c>
      <c r="D7669" s="2" t="s">
        <v>6797</v>
      </c>
      <c r="E7669" s="3">
        <v>0</v>
      </c>
      <c r="F7669" s="2">
        <v>3553</v>
      </c>
      <c r="G7669" s="2">
        <v>97</v>
      </c>
      <c r="H7669" s="2">
        <v>737</v>
      </c>
      <c r="I7669" s="2">
        <v>101</v>
      </c>
      <c r="J7669" s="2">
        <v>2311</v>
      </c>
      <c r="K7669" s="2">
        <v>309</v>
      </c>
      <c r="L7669" s="2">
        <v>1044</v>
      </c>
    </row>
    <row r="7670" spans="1:12" x14ac:dyDescent="0.25">
      <c r="A7670" s="4" t="str">
        <f>HYPERLINK("http://www.rosaceae.org/Prunus/Prunus_persica/p.persica_gdr_reftransV1_0001256","p.persica_gdr_reftransV1_0001256")</f>
        <v>p.persica_gdr_reftransV1_0001256</v>
      </c>
      <c r="B7670" s="2">
        <v>448</v>
      </c>
      <c r="C7670" s="4" t="str">
        <f>HYPERLINK("http://www.uniprot.org/uniprot/M5X3X9","M5X3X9")</f>
        <v>M5X3X9</v>
      </c>
      <c r="D7670" s="2" t="s">
        <v>1071</v>
      </c>
      <c r="E7670" s="3">
        <v>5.2700000000000004E-43</v>
      </c>
      <c r="F7670" s="2">
        <v>401</v>
      </c>
      <c r="G7670" s="2">
        <v>100</v>
      </c>
      <c r="H7670" s="2">
        <v>77</v>
      </c>
      <c r="I7670" s="2">
        <v>67</v>
      </c>
      <c r="J7670" s="2">
        <v>297</v>
      </c>
      <c r="K7670" s="2">
        <v>13</v>
      </c>
      <c r="L7670" s="2">
        <v>89</v>
      </c>
    </row>
    <row r="7671" spans="1:12" x14ac:dyDescent="0.25">
      <c r="A7671" s="4" t="str">
        <f>HYPERLINK("http://www.rosaceae.org/Prunus/Prunus_persica/p.persica_gdr_reftransV1_0002656","p.persica_gdr_reftransV1_0002656")</f>
        <v>p.persica_gdr_reftransV1_0002656</v>
      </c>
      <c r="B7671" s="2">
        <v>1577</v>
      </c>
      <c r="C7671" s="4" t="str">
        <f>HYPERLINK("http://www.uniprot.org/uniprot/M5XBG4","M5XBG4")</f>
        <v>M5XBG4</v>
      </c>
      <c r="D7671" s="2" t="s">
        <v>865</v>
      </c>
      <c r="E7671" s="3">
        <v>0</v>
      </c>
      <c r="F7671" s="2">
        <v>2253</v>
      </c>
      <c r="G7671" s="2">
        <v>100</v>
      </c>
      <c r="H7671" s="2">
        <v>426</v>
      </c>
      <c r="I7671" s="2">
        <v>2</v>
      </c>
      <c r="J7671" s="2">
        <v>1279</v>
      </c>
      <c r="K7671" s="2">
        <v>826</v>
      </c>
      <c r="L7671" s="2">
        <v>1251</v>
      </c>
    </row>
    <row r="7672" spans="1:12" x14ac:dyDescent="0.25">
      <c r="A7672" s="4" t="str">
        <f>HYPERLINK("http://www.rosaceae.org/Prunus/Prunus_persica/p.persica_gdr_reftransV1_0003006","p.persica_gdr_reftransV1_0003006")</f>
        <v>p.persica_gdr_reftransV1_0003006</v>
      </c>
      <c r="B7672" s="2">
        <v>2015</v>
      </c>
      <c r="C7672" s="4" t="str">
        <f>HYPERLINK("http://www.uniprot.org/uniprot/M5WGU3","M5WGU3")</f>
        <v>M5WGU3</v>
      </c>
      <c r="D7672" s="2" t="s">
        <v>6798</v>
      </c>
      <c r="E7672" s="3">
        <v>0</v>
      </c>
      <c r="F7672" s="2">
        <v>1501</v>
      </c>
      <c r="G7672" s="2">
        <v>99</v>
      </c>
      <c r="H7672" s="2">
        <v>283</v>
      </c>
      <c r="I7672" s="2">
        <v>692</v>
      </c>
      <c r="J7672" s="2">
        <v>1540</v>
      </c>
      <c r="K7672" s="2">
        <v>1</v>
      </c>
      <c r="L7672" s="2">
        <v>283</v>
      </c>
    </row>
    <row r="7673" spans="1:12" x14ac:dyDescent="0.25">
      <c r="A7673" s="4" t="str">
        <f>HYPERLINK("http://www.rosaceae.org/Prunus/Prunus_persica/p.persica_gdr_reftransV1_0003706","p.persica_gdr_reftransV1_0003706")</f>
        <v>p.persica_gdr_reftransV1_0003706</v>
      </c>
      <c r="B7673" s="2">
        <v>3175</v>
      </c>
      <c r="C7673" s="4" t="str">
        <f>HYPERLINK("http://www.uniprot.org/uniprot/M5XF22","M5XF22")</f>
        <v>M5XF22</v>
      </c>
      <c r="D7673" s="2" t="s">
        <v>6799</v>
      </c>
      <c r="E7673" s="3">
        <v>0</v>
      </c>
      <c r="F7673" s="2">
        <v>4747</v>
      </c>
      <c r="G7673" s="2">
        <v>100</v>
      </c>
      <c r="H7673" s="2">
        <v>901</v>
      </c>
      <c r="I7673" s="2">
        <v>375</v>
      </c>
      <c r="J7673" s="2">
        <v>3077</v>
      </c>
      <c r="K7673" s="2">
        <v>162</v>
      </c>
      <c r="L7673" s="2">
        <v>1062</v>
      </c>
    </row>
    <row r="7674" spans="1:12" x14ac:dyDescent="0.25">
      <c r="A7674" s="4" t="str">
        <f>HYPERLINK("http://www.rosaceae.org/Prunus/Prunus_persica/p.persica_gdr_reftransV1_0004056","p.persica_gdr_reftransV1_0004056")</f>
        <v>p.persica_gdr_reftransV1_0004056</v>
      </c>
      <c r="B7674" s="2">
        <v>1321</v>
      </c>
      <c r="C7674" s="4" t="str">
        <f>HYPERLINK("http://www.uniprot.org/uniprot/M5VYT4","M5VYT4")</f>
        <v>M5VYT4</v>
      </c>
      <c r="D7674" s="2" t="s">
        <v>6800</v>
      </c>
      <c r="E7674" s="3">
        <v>0</v>
      </c>
      <c r="F7674" s="2">
        <v>1930</v>
      </c>
      <c r="G7674" s="2">
        <v>100</v>
      </c>
      <c r="H7674" s="2">
        <v>367</v>
      </c>
      <c r="I7674" s="2">
        <v>63</v>
      </c>
      <c r="J7674" s="2">
        <v>1163</v>
      </c>
      <c r="K7674" s="2">
        <v>1</v>
      </c>
      <c r="L7674" s="2">
        <v>367</v>
      </c>
    </row>
    <row r="7675" spans="1:12" x14ac:dyDescent="0.25">
      <c r="A7675" s="4" t="str">
        <f>HYPERLINK("http://www.rosaceae.org/Prunus/Prunus_persica/p.persica_gdr_reftransV1_0004756","p.persica_gdr_reftransV1_0004756")</f>
        <v>p.persica_gdr_reftransV1_0004756</v>
      </c>
      <c r="B7675" s="2">
        <v>1560</v>
      </c>
      <c r="C7675" s="4" t="str">
        <f>HYPERLINK("http://www.uniprot.org/uniprot/M5VKR3","M5VKR3")</f>
        <v>M5VKR3</v>
      </c>
      <c r="D7675" s="2" t="s">
        <v>6341</v>
      </c>
      <c r="E7675" s="3">
        <v>0</v>
      </c>
      <c r="F7675" s="2">
        <v>1404</v>
      </c>
      <c r="G7675" s="2">
        <v>100</v>
      </c>
      <c r="H7675" s="2">
        <v>294</v>
      </c>
      <c r="I7675" s="2">
        <v>330</v>
      </c>
      <c r="J7675" s="2">
        <v>1211</v>
      </c>
      <c r="K7675" s="2">
        <v>1</v>
      </c>
      <c r="L7675" s="2">
        <v>294</v>
      </c>
    </row>
    <row r="7676" spans="1:12" x14ac:dyDescent="0.25">
      <c r="A7676" s="4" t="str">
        <f>HYPERLINK("http://www.rosaceae.org/Prunus/Prunus_persica/p.persica_gdr_reftransV1_0006156","p.persica_gdr_reftransV1_0006156")</f>
        <v>p.persica_gdr_reftransV1_0006156</v>
      </c>
      <c r="B7676" s="2">
        <v>635</v>
      </c>
      <c r="C7676" s="4" t="str">
        <f>HYPERLINK("http://www.uniprot.org/uniprot/A0A067JCJ2","A0A067JCJ2")</f>
        <v>A0A067JCJ2</v>
      </c>
      <c r="D7676" s="2" t="s">
        <v>6801</v>
      </c>
      <c r="E7676" s="3">
        <v>3.56E-32</v>
      </c>
      <c r="F7676" s="2">
        <v>309</v>
      </c>
      <c r="G7676" s="2">
        <v>84</v>
      </c>
      <c r="H7676" s="2">
        <v>79</v>
      </c>
      <c r="I7676" s="2">
        <v>2</v>
      </c>
      <c r="J7676" s="2">
        <v>238</v>
      </c>
      <c r="K7676" s="2">
        <v>5</v>
      </c>
      <c r="L7676" s="2">
        <v>83</v>
      </c>
    </row>
    <row r="7677" spans="1:12" x14ac:dyDescent="0.25">
      <c r="A7677" s="4" t="str">
        <f>HYPERLINK("http://www.rosaceae.org/Prunus/Prunus_persica/p.persica_gdr_reftransV1_0007206","p.persica_gdr_reftransV1_0007206")</f>
        <v>p.persica_gdr_reftransV1_0007206</v>
      </c>
      <c r="B7677" s="2">
        <v>2024</v>
      </c>
      <c r="C7677" s="4" t="str">
        <f>HYPERLINK("http://www.uniprot.org/uniprot/M5X983","M5X983")</f>
        <v>M5X983</v>
      </c>
      <c r="D7677" s="2" t="s">
        <v>6802</v>
      </c>
      <c r="E7677" s="3">
        <v>0</v>
      </c>
      <c r="F7677" s="2">
        <v>2641</v>
      </c>
      <c r="G7677" s="2">
        <v>92</v>
      </c>
      <c r="H7677" s="2">
        <v>582</v>
      </c>
      <c r="I7677" s="2">
        <v>1</v>
      </c>
      <c r="J7677" s="2">
        <v>1746</v>
      </c>
      <c r="K7677" s="2">
        <v>20</v>
      </c>
      <c r="L7677" s="2">
        <v>560</v>
      </c>
    </row>
    <row r="7678" spans="1:12" x14ac:dyDescent="0.25">
      <c r="A7678" s="4" t="str">
        <f>HYPERLINK("http://www.rosaceae.org/Prunus/Prunus_persica/p.persica_gdr_reftransV1_0008256","p.persica_gdr_reftransV1_0008256")</f>
        <v>p.persica_gdr_reftransV1_0008256</v>
      </c>
      <c r="B7678" s="2">
        <v>846</v>
      </c>
      <c r="C7678" s="4" t="str">
        <f>HYPERLINK("http://www.uniprot.org/uniprot/M5XDR0","M5XDR0")</f>
        <v>M5XDR0</v>
      </c>
      <c r="D7678" s="2" t="s">
        <v>6803</v>
      </c>
      <c r="E7678" s="3">
        <v>3.5200000000000001E-104</v>
      </c>
      <c r="F7678" s="2">
        <v>803</v>
      </c>
      <c r="G7678" s="2">
        <v>100</v>
      </c>
      <c r="H7678" s="2">
        <v>197</v>
      </c>
      <c r="I7678" s="2">
        <v>173</v>
      </c>
      <c r="J7678" s="2">
        <v>763</v>
      </c>
      <c r="K7678" s="2">
        <v>1</v>
      </c>
      <c r="L7678" s="2">
        <v>197</v>
      </c>
    </row>
    <row r="7679" spans="1:12" x14ac:dyDescent="0.25">
      <c r="A7679" s="4" t="str">
        <f>HYPERLINK("http://www.rosaceae.org/Prunus/Prunus_persica/p.persica_gdr_reftransV1_0008606","p.persica_gdr_reftransV1_0008606")</f>
        <v>p.persica_gdr_reftransV1_0008606</v>
      </c>
      <c r="B7679" s="2">
        <v>917</v>
      </c>
      <c r="C7679" s="4" t="str">
        <f>HYPERLINK("http://www.uniprot.org/uniprot/M5VPZ7","M5VPZ7")</f>
        <v>M5VPZ7</v>
      </c>
      <c r="D7679" s="2" t="s">
        <v>6804</v>
      </c>
      <c r="E7679" s="3">
        <v>1.55E-93</v>
      </c>
      <c r="F7679" s="2">
        <v>732</v>
      </c>
      <c r="G7679" s="2">
        <v>99</v>
      </c>
      <c r="H7679" s="2">
        <v>168</v>
      </c>
      <c r="I7679" s="2">
        <v>156</v>
      </c>
      <c r="J7679" s="2">
        <v>659</v>
      </c>
      <c r="K7679" s="2">
        <v>1</v>
      </c>
      <c r="L7679" s="2">
        <v>168</v>
      </c>
    </row>
    <row r="7680" spans="1:12" x14ac:dyDescent="0.25">
      <c r="A7680" s="4" t="str">
        <f>HYPERLINK("http://www.rosaceae.org/Prunus/Prunus_persica/p.persica_gdr_reftransV1_0010006","p.persica_gdr_reftransV1_0010006")</f>
        <v>p.persica_gdr_reftransV1_0010006</v>
      </c>
      <c r="B7680" s="2">
        <v>2547</v>
      </c>
      <c r="C7680" s="4" t="str">
        <f>HYPERLINK("http://www.uniprot.org/uniprot/M5XAZ5","M5XAZ5")</f>
        <v>M5XAZ5</v>
      </c>
      <c r="D7680" s="2" t="s">
        <v>6805</v>
      </c>
      <c r="E7680" s="3">
        <v>0</v>
      </c>
      <c r="F7680" s="2">
        <v>2105</v>
      </c>
      <c r="G7680" s="2">
        <v>96</v>
      </c>
      <c r="H7680" s="2">
        <v>517</v>
      </c>
      <c r="I7680" s="2">
        <v>312</v>
      </c>
      <c r="J7680" s="2">
        <v>1862</v>
      </c>
      <c r="K7680" s="2">
        <v>1</v>
      </c>
      <c r="L7680" s="2">
        <v>517</v>
      </c>
    </row>
    <row r="7681" spans="1:12" x14ac:dyDescent="0.25">
      <c r="A7681" s="4" t="str">
        <f>HYPERLINK("http://www.rosaceae.org/Prunus/Prunus_persica/p.persica_gdr_reftransV1_0010356","p.persica_gdr_reftransV1_0010356")</f>
        <v>p.persica_gdr_reftransV1_0010356</v>
      </c>
      <c r="B7681" s="2">
        <v>1895</v>
      </c>
      <c r="C7681" s="4" t="str">
        <f>HYPERLINK("http://www.uniprot.org/uniprot/M5XX26","M5XX26")</f>
        <v>M5XX26</v>
      </c>
      <c r="D7681" s="2" t="s">
        <v>6806</v>
      </c>
      <c r="E7681" s="3">
        <v>0</v>
      </c>
      <c r="F7681" s="2">
        <v>1626</v>
      </c>
      <c r="G7681" s="2">
        <v>100</v>
      </c>
      <c r="H7681" s="2">
        <v>332</v>
      </c>
      <c r="I7681" s="2">
        <v>420</v>
      </c>
      <c r="J7681" s="2">
        <v>1415</v>
      </c>
      <c r="K7681" s="2">
        <v>1</v>
      </c>
      <c r="L7681" s="2">
        <v>332</v>
      </c>
    </row>
    <row r="7682" spans="1:12" x14ac:dyDescent="0.25">
      <c r="A7682" s="4" t="str">
        <f>HYPERLINK("http://www.rosaceae.org/Prunus/Prunus_persica/p.persica_gdr_reftransV1_0010706","p.persica_gdr_reftransV1_0010706")</f>
        <v>p.persica_gdr_reftransV1_0010706</v>
      </c>
      <c r="B7682" s="2">
        <v>1212</v>
      </c>
      <c r="C7682" s="4" t="str">
        <f>HYPERLINK("http://www.uniprot.org/uniprot/M5XT46","M5XT46")</f>
        <v>M5XT46</v>
      </c>
      <c r="D7682" s="2" t="s">
        <v>745</v>
      </c>
      <c r="E7682" s="3">
        <v>2.6399999999999999E-164</v>
      </c>
      <c r="F7682" s="2">
        <v>1259</v>
      </c>
      <c r="G7682" s="2">
        <v>100</v>
      </c>
      <c r="H7682" s="2">
        <v>267</v>
      </c>
      <c r="I7682" s="2">
        <v>3</v>
      </c>
      <c r="J7682" s="2">
        <v>803</v>
      </c>
      <c r="K7682" s="2">
        <v>20</v>
      </c>
      <c r="L7682" s="2">
        <v>286</v>
      </c>
    </row>
    <row r="7683" spans="1:12" x14ac:dyDescent="0.25">
      <c r="A7683" s="4" t="str">
        <f>HYPERLINK("http://www.rosaceae.org/Prunus/Prunus_persica/p.persica_gdr_reftransV1_0011056","p.persica_gdr_reftransV1_0011056")</f>
        <v>p.persica_gdr_reftransV1_0011056</v>
      </c>
      <c r="B7683" s="2">
        <v>543</v>
      </c>
      <c r="C7683" s="4" t="str">
        <f>HYPERLINK("http://www.uniprot.org/uniprot/D7TIN4","D7TIN4")</f>
        <v>D7TIN4</v>
      </c>
      <c r="D7683" s="2" t="s">
        <v>6807</v>
      </c>
      <c r="E7683" s="3">
        <v>5.4800000000000004E-60</v>
      </c>
      <c r="F7683" s="2">
        <v>540</v>
      </c>
      <c r="G7683" s="2">
        <v>72</v>
      </c>
      <c r="H7683" s="2">
        <v>181</v>
      </c>
      <c r="I7683" s="2">
        <v>3</v>
      </c>
      <c r="J7683" s="2">
        <v>542</v>
      </c>
      <c r="K7683" s="2">
        <v>349</v>
      </c>
      <c r="L7683" s="2">
        <v>526</v>
      </c>
    </row>
    <row r="7684" spans="1:12" x14ac:dyDescent="0.25">
      <c r="A7684" s="4" t="str">
        <f>HYPERLINK("http://www.rosaceae.org/Prunus/Prunus_persica/p.persica_gdr_reftransV1_0011406","p.persica_gdr_reftransV1_0011406")</f>
        <v>p.persica_gdr_reftransV1_0011406</v>
      </c>
      <c r="B7684" s="2">
        <v>1854</v>
      </c>
      <c r="C7684" s="4" t="str">
        <f>HYPERLINK("http://www.uniprot.org/uniprot/A6XN06","A6XN06")</f>
        <v>A6XN06</v>
      </c>
      <c r="D7684" s="2" t="s">
        <v>2264</v>
      </c>
      <c r="E7684" s="3">
        <v>2.0299999999999998E-139</v>
      </c>
      <c r="F7684" s="2">
        <v>1078</v>
      </c>
      <c r="G7684" s="2">
        <v>74</v>
      </c>
      <c r="H7684" s="2">
        <v>293</v>
      </c>
      <c r="I7684" s="2">
        <v>865</v>
      </c>
      <c r="J7684" s="2">
        <v>1722</v>
      </c>
      <c r="K7684" s="2">
        <v>1</v>
      </c>
      <c r="L7684" s="2">
        <v>293</v>
      </c>
    </row>
    <row r="7685" spans="1:12" x14ac:dyDescent="0.25">
      <c r="A7685" s="4" t="str">
        <f>HYPERLINK("http://www.rosaceae.org/Prunus/Prunus_persica/p.persica_gdr_reftransV1_0011756","p.persica_gdr_reftransV1_0011756")</f>
        <v>p.persica_gdr_reftransV1_0011756</v>
      </c>
      <c r="B7685" s="2">
        <v>1234</v>
      </c>
      <c r="C7685" s="4" t="str">
        <f>HYPERLINK("http://www.uniprot.org/uniprot/M5VXL7","M5VXL7")</f>
        <v>M5VXL7</v>
      </c>
      <c r="D7685" s="2" t="s">
        <v>6808</v>
      </c>
      <c r="E7685" s="3">
        <v>2.27E-153</v>
      </c>
      <c r="F7685" s="2">
        <v>1151</v>
      </c>
      <c r="G7685" s="2">
        <v>100</v>
      </c>
      <c r="H7685" s="2">
        <v>266</v>
      </c>
      <c r="I7685" s="2">
        <v>348</v>
      </c>
      <c r="J7685" s="2">
        <v>1145</v>
      </c>
      <c r="K7685" s="2">
        <v>35</v>
      </c>
      <c r="L7685" s="2">
        <v>300</v>
      </c>
    </row>
    <row r="7686" spans="1:12" x14ac:dyDescent="0.25">
      <c r="A7686" s="4" t="str">
        <f>HYPERLINK("http://www.rosaceae.org/Prunus/Prunus_persica/p.persica_gdr_reftransV1_0012106","p.persica_gdr_reftransV1_0012106")</f>
        <v>p.persica_gdr_reftransV1_0012106</v>
      </c>
      <c r="B7686" s="2">
        <v>1689</v>
      </c>
      <c r="C7686" s="4" t="str">
        <f>HYPERLINK("http://www.uniprot.org/uniprot/M5Y366","M5Y366")</f>
        <v>M5Y366</v>
      </c>
      <c r="D7686" s="2" t="s">
        <v>6809</v>
      </c>
      <c r="E7686" s="3">
        <v>3.2200000000000001E-59</v>
      </c>
      <c r="F7686" s="2">
        <v>519</v>
      </c>
      <c r="G7686" s="2">
        <v>100</v>
      </c>
      <c r="H7686" s="2">
        <v>129</v>
      </c>
      <c r="I7686" s="2">
        <v>527</v>
      </c>
      <c r="J7686" s="2">
        <v>913</v>
      </c>
      <c r="K7686" s="2">
        <v>1</v>
      </c>
      <c r="L7686" s="2">
        <v>129</v>
      </c>
    </row>
    <row r="7687" spans="1:12" x14ac:dyDescent="0.25">
      <c r="A7687" s="4" t="str">
        <f>HYPERLINK("http://www.rosaceae.org/Prunus/Prunus_persica/p.persica_gdr_reftransV1_0012456","p.persica_gdr_reftransV1_0012456")</f>
        <v>p.persica_gdr_reftransV1_0012456</v>
      </c>
      <c r="B7687" s="2">
        <v>3086</v>
      </c>
      <c r="C7687" s="4" t="str">
        <f>HYPERLINK("http://www.uniprot.org/uniprot/M5WC85","M5WC85")</f>
        <v>M5WC85</v>
      </c>
      <c r="D7687" s="2" t="s">
        <v>6810</v>
      </c>
      <c r="E7687" s="3">
        <v>0</v>
      </c>
      <c r="F7687" s="2">
        <v>3716</v>
      </c>
      <c r="G7687" s="2">
        <v>100</v>
      </c>
      <c r="H7687" s="2">
        <v>732</v>
      </c>
      <c r="I7687" s="2">
        <v>569</v>
      </c>
      <c r="J7687" s="2">
        <v>2764</v>
      </c>
      <c r="K7687" s="2">
        <v>1</v>
      </c>
      <c r="L7687" s="2">
        <v>732</v>
      </c>
    </row>
    <row r="7688" spans="1:12" x14ac:dyDescent="0.25">
      <c r="A7688" s="4" t="str">
        <f>HYPERLINK("http://www.rosaceae.org/Prunus/Prunus_persica/p.persica_gdr_reftransV1_0012806","p.persica_gdr_reftransV1_0012806")</f>
        <v>p.persica_gdr_reftransV1_0012806</v>
      </c>
      <c r="B7688" s="2">
        <v>781</v>
      </c>
      <c r="C7688" s="4" t="str">
        <f>HYPERLINK("http://www.uniprot.org/uniprot/M5Y6E5","M5Y6E5")</f>
        <v>M5Y6E5</v>
      </c>
      <c r="D7688" s="2" t="s">
        <v>6811</v>
      </c>
      <c r="E7688" s="3">
        <v>4.5100000000000001E-169</v>
      </c>
      <c r="F7688" s="2">
        <v>1313</v>
      </c>
      <c r="G7688" s="2">
        <v>100</v>
      </c>
      <c r="H7688" s="2">
        <v>260</v>
      </c>
      <c r="I7688" s="2">
        <v>2</v>
      </c>
      <c r="J7688" s="2">
        <v>781</v>
      </c>
      <c r="K7688" s="2">
        <v>654</v>
      </c>
      <c r="L7688" s="2">
        <v>913</v>
      </c>
    </row>
    <row r="7689" spans="1:12" x14ac:dyDescent="0.25">
      <c r="A7689" s="4" t="str">
        <f>HYPERLINK("http://www.rosaceae.org/Prunus/Prunus_persica/p.persica_gdr_reftransV1_0013506","p.persica_gdr_reftransV1_0013506")</f>
        <v>p.persica_gdr_reftransV1_0013506</v>
      </c>
      <c r="B7689" s="2">
        <v>740</v>
      </c>
      <c r="C7689" s="4" t="str">
        <f>HYPERLINK("http://www.uniprot.org/uniprot/M5X1A8","M5X1A8")</f>
        <v>M5X1A8</v>
      </c>
      <c r="D7689" s="2" t="s">
        <v>6812</v>
      </c>
      <c r="E7689" s="3">
        <v>7.3299999999999996E-112</v>
      </c>
      <c r="F7689" s="2">
        <v>847</v>
      </c>
      <c r="G7689" s="2">
        <v>91</v>
      </c>
      <c r="H7689" s="2">
        <v>187</v>
      </c>
      <c r="I7689" s="2">
        <v>56</v>
      </c>
      <c r="J7689" s="2">
        <v>616</v>
      </c>
      <c r="K7689" s="2">
        <v>1</v>
      </c>
      <c r="L7689" s="2">
        <v>174</v>
      </c>
    </row>
    <row r="7690" spans="1:12" x14ac:dyDescent="0.25">
      <c r="A7690" s="4" t="str">
        <f>HYPERLINK("http://www.rosaceae.org/Prunus/Prunus_persica/p.persica_gdr_reftransV1_0013856","p.persica_gdr_reftransV1_0013856")</f>
        <v>p.persica_gdr_reftransV1_0013856</v>
      </c>
      <c r="B7690" s="2">
        <v>554</v>
      </c>
      <c r="C7690" s="4" t="str">
        <f>HYPERLINK("http://www.uniprot.org/uniprot/M5WAW1","M5WAW1")</f>
        <v>M5WAW1</v>
      </c>
      <c r="D7690" s="2" t="s">
        <v>2261</v>
      </c>
      <c r="E7690" s="3">
        <v>2.2400000000000001E-84</v>
      </c>
      <c r="F7690" s="2">
        <v>683</v>
      </c>
      <c r="G7690" s="2">
        <v>100</v>
      </c>
      <c r="H7690" s="2">
        <v>125</v>
      </c>
      <c r="I7690" s="2">
        <v>114</v>
      </c>
      <c r="J7690" s="2">
        <v>488</v>
      </c>
      <c r="K7690" s="2">
        <v>1</v>
      </c>
      <c r="L7690" s="2">
        <v>125</v>
      </c>
    </row>
    <row r="7691" spans="1:12" x14ac:dyDescent="0.25">
      <c r="A7691" s="4" t="str">
        <f>HYPERLINK("http://www.rosaceae.org/Prunus/Prunus_persica/p.persica_gdr_reftransV1_0019456","p.persica_gdr_reftransV1_0019456")</f>
        <v>p.persica_gdr_reftransV1_0019456</v>
      </c>
      <c r="B7691" s="2">
        <v>1598</v>
      </c>
      <c r="C7691" s="4" t="str">
        <f>HYPERLINK("http://www.uniprot.org/uniprot/M5WB97","M5WB97")</f>
        <v>M5WB97</v>
      </c>
      <c r="D7691" s="2" t="s">
        <v>6813</v>
      </c>
      <c r="E7691" s="3">
        <v>2.9300000000000001E-173</v>
      </c>
      <c r="F7691" s="2">
        <v>1296</v>
      </c>
      <c r="G7691" s="2">
        <v>99</v>
      </c>
      <c r="H7691" s="2">
        <v>303</v>
      </c>
      <c r="I7691" s="2">
        <v>451</v>
      </c>
      <c r="J7691" s="2">
        <v>1359</v>
      </c>
      <c r="K7691" s="2">
        <v>1</v>
      </c>
      <c r="L7691" s="2">
        <v>303</v>
      </c>
    </row>
    <row r="7692" spans="1:12" x14ac:dyDescent="0.25">
      <c r="A7692" s="4" t="str">
        <f>HYPERLINK("http://www.rosaceae.org/Prunus/Prunus_persica/p.persica_gdr_reftransV1_0019806","p.persica_gdr_reftransV1_0019806")</f>
        <v>p.persica_gdr_reftransV1_0019806</v>
      </c>
      <c r="B7692" s="2">
        <v>3236</v>
      </c>
      <c r="C7692" s="4" t="str">
        <f>HYPERLINK("http://www.uniprot.org/uniprot/M5WK36","M5WK36")</f>
        <v>M5WK36</v>
      </c>
      <c r="D7692" s="2" t="s">
        <v>6814</v>
      </c>
      <c r="E7692" s="3">
        <v>0</v>
      </c>
      <c r="F7692" s="2">
        <v>4350</v>
      </c>
      <c r="G7692" s="2">
        <v>100</v>
      </c>
      <c r="H7692" s="2">
        <v>846</v>
      </c>
      <c r="I7692" s="2">
        <v>398</v>
      </c>
      <c r="J7692" s="2">
        <v>2935</v>
      </c>
      <c r="K7692" s="2">
        <v>1</v>
      </c>
      <c r="L7692" s="2">
        <v>846</v>
      </c>
    </row>
    <row r="7693" spans="1:12" x14ac:dyDescent="0.25">
      <c r="A7693" s="4" t="str">
        <f>HYPERLINK("http://www.rosaceae.org/Prunus/Prunus_persica/p.persica_gdr_reftransV1_0020506","p.persica_gdr_reftransV1_0020506")</f>
        <v>p.persica_gdr_reftransV1_0020506</v>
      </c>
      <c r="B7693" s="2">
        <v>1494</v>
      </c>
      <c r="C7693" s="4" t="str">
        <f>HYPERLINK("http://www.uniprot.org/uniprot/M5XJT2","M5XJT2")</f>
        <v>M5XJT2</v>
      </c>
      <c r="D7693" s="2" t="s">
        <v>6815</v>
      </c>
      <c r="E7693" s="3">
        <v>0</v>
      </c>
      <c r="F7693" s="2">
        <v>2072</v>
      </c>
      <c r="G7693" s="2">
        <v>100</v>
      </c>
      <c r="H7693" s="2">
        <v>402</v>
      </c>
      <c r="I7693" s="2">
        <v>107</v>
      </c>
      <c r="J7693" s="2">
        <v>1312</v>
      </c>
      <c r="K7693" s="2">
        <v>1</v>
      </c>
      <c r="L7693" s="2">
        <v>402</v>
      </c>
    </row>
    <row r="7694" spans="1:12" x14ac:dyDescent="0.25">
      <c r="A7694" s="4" t="str">
        <f>HYPERLINK("http://www.rosaceae.org/Prunus/Prunus_persica/p.persica_gdr_reftransV1_0021206","p.persica_gdr_reftransV1_0021206")</f>
        <v>p.persica_gdr_reftransV1_0021206</v>
      </c>
      <c r="B7694" s="2">
        <v>5271</v>
      </c>
      <c r="C7694" s="4" t="str">
        <f>HYPERLINK("http://www.uniprot.org/uniprot/M5XC91","M5XC91")</f>
        <v>M5XC91</v>
      </c>
      <c r="D7694" s="2" t="s">
        <v>1120</v>
      </c>
      <c r="E7694" s="3">
        <v>3.7099999999999999E-112</v>
      </c>
      <c r="F7694" s="2">
        <v>965</v>
      </c>
      <c r="G7694" s="2">
        <v>99</v>
      </c>
      <c r="H7694" s="2">
        <v>183</v>
      </c>
      <c r="I7694" s="2">
        <v>4586</v>
      </c>
      <c r="J7694" s="2">
        <v>5134</v>
      </c>
      <c r="K7694" s="2">
        <v>1</v>
      </c>
      <c r="L7694" s="2">
        <v>183</v>
      </c>
    </row>
    <row r="7695" spans="1:12" x14ac:dyDescent="0.25">
      <c r="A7695" s="4" t="str">
        <f>HYPERLINK("http://www.rosaceae.org/Prunus/Prunus_persica/p.persica_gdr_reftransV1_0021556","p.persica_gdr_reftransV1_0021556")</f>
        <v>p.persica_gdr_reftransV1_0021556</v>
      </c>
      <c r="B7695" s="2">
        <v>3210</v>
      </c>
      <c r="C7695" s="4" t="str">
        <f>HYPERLINK("http://www.uniprot.org/uniprot/M5XRI3","M5XRI3")</f>
        <v>M5XRI3</v>
      </c>
      <c r="D7695" s="2" t="s">
        <v>6816</v>
      </c>
      <c r="E7695" s="3">
        <v>0</v>
      </c>
      <c r="F7695" s="2">
        <v>4391</v>
      </c>
      <c r="G7695" s="2">
        <v>100</v>
      </c>
      <c r="H7695" s="2">
        <v>848</v>
      </c>
      <c r="I7695" s="2">
        <v>178</v>
      </c>
      <c r="J7695" s="2">
        <v>2721</v>
      </c>
      <c r="K7695" s="2">
        <v>1</v>
      </c>
      <c r="L7695" s="2">
        <v>848</v>
      </c>
    </row>
    <row r="7696" spans="1:12" x14ac:dyDescent="0.25">
      <c r="A7696" s="4" t="str">
        <f>HYPERLINK("http://www.rosaceae.org/Prunus/Prunus_persica/p.persica_gdr_reftransV1_0021906","p.persica_gdr_reftransV1_0021906")</f>
        <v>p.persica_gdr_reftransV1_0021906</v>
      </c>
      <c r="B7696" s="2">
        <v>627</v>
      </c>
      <c r="C7696" s="4" t="str">
        <f>HYPERLINK("http://www.uniprot.org/uniprot/M5WW56","M5WW56")</f>
        <v>M5WW56</v>
      </c>
      <c r="D7696" s="2" t="s">
        <v>6817</v>
      </c>
      <c r="E7696" s="3">
        <v>3.7899999999999998E-72</v>
      </c>
      <c r="F7696" s="2">
        <v>575</v>
      </c>
      <c r="G7696" s="2">
        <v>100</v>
      </c>
      <c r="H7696" s="2">
        <v>112</v>
      </c>
      <c r="I7696" s="2">
        <v>249</v>
      </c>
      <c r="J7696" s="2">
        <v>584</v>
      </c>
      <c r="K7696" s="2">
        <v>1</v>
      </c>
      <c r="L7696" s="2">
        <v>112</v>
      </c>
    </row>
    <row r="7697" spans="1:12" x14ac:dyDescent="0.25">
      <c r="A7697" s="4" t="str">
        <f>HYPERLINK("http://www.rosaceae.org/Prunus/Prunus_persica/p.persica_gdr_reftransV1_0022606","p.persica_gdr_reftransV1_0022606")</f>
        <v>p.persica_gdr_reftransV1_0022606</v>
      </c>
      <c r="B7697" s="2">
        <v>517</v>
      </c>
      <c r="C7697" s="4" t="str">
        <f>HYPERLINK("http://www.uniprot.org/uniprot/A0A061EFK1","A0A061EFK1")</f>
        <v>A0A061EFK1</v>
      </c>
      <c r="D7697" s="2" t="s">
        <v>6818</v>
      </c>
      <c r="E7697" s="3">
        <v>6E-65</v>
      </c>
      <c r="F7697" s="2">
        <v>570</v>
      </c>
      <c r="G7697" s="2">
        <v>65</v>
      </c>
      <c r="H7697" s="2">
        <v>170</v>
      </c>
      <c r="I7697" s="2">
        <v>3</v>
      </c>
      <c r="J7697" s="2">
        <v>512</v>
      </c>
      <c r="K7697" s="2">
        <v>369</v>
      </c>
      <c r="L7697" s="2">
        <v>536</v>
      </c>
    </row>
    <row r="7698" spans="1:12" x14ac:dyDescent="0.25">
      <c r="A7698" s="4" t="str">
        <f>HYPERLINK("http://www.rosaceae.org/Prunus/Prunus_persica/p.persica_gdr_reftransV1_0022956","p.persica_gdr_reftransV1_0022956")</f>
        <v>p.persica_gdr_reftransV1_0022956</v>
      </c>
      <c r="B7698" s="2">
        <v>2396</v>
      </c>
      <c r="C7698" s="4" t="str">
        <f>HYPERLINK("http://www.uniprot.org/uniprot/M5W9C4","M5W9C4")</f>
        <v>M5W9C4</v>
      </c>
      <c r="D7698" s="2" t="s">
        <v>6819</v>
      </c>
      <c r="E7698" s="3">
        <v>0</v>
      </c>
      <c r="F7698" s="2">
        <v>1705</v>
      </c>
      <c r="G7698" s="2">
        <v>99</v>
      </c>
      <c r="H7698" s="2">
        <v>316</v>
      </c>
      <c r="I7698" s="2">
        <v>922</v>
      </c>
      <c r="J7698" s="2">
        <v>1869</v>
      </c>
      <c r="K7698" s="2">
        <v>145</v>
      </c>
      <c r="L7698" s="2">
        <v>460</v>
      </c>
    </row>
    <row r="7699" spans="1:12" x14ac:dyDescent="0.25">
      <c r="A7699" s="4" t="str">
        <f>HYPERLINK("http://www.rosaceae.org/Prunus/Prunus_persica/p.persica_gdr_reftransV1_0023656","p.persica_gdr_reftransV1_0023656")</f>
        <v>p.persica_gdr_reftransV1_0023656</v>
      </c>
      <c r="B7699" s="2">
        <v>3764</v>
      </c>
      <c r="C7699" s="4" t="str">
        <f>HYPERLINK("http://www.uniprot.org/uniprot/M5VVG5","M5VVG5")</f>
        <v>M5VVG5</v>
      </c>
      <c r="D7699" s="2" t="s">
        <v>6820</v>
      </c>
      <c r="E7699" s="3">
        <v>0</v>
      </c>
      <c r="F7699" s="2">
        <v>1897</v>
      </c>
      <c r="G7699" s="2">
        <v>100</v>
      </c>
      <c r="H7699" s="2">
        <v>389</v>
      </c>
      <c r="I7699" s="2">
        <v>1223</v>
      </c>
      <c r="J7699" s="2">
        <v>2389</v>
      </c>
      <c r="K7699" s="2">
        <v>1</v>
      </c>
      <c r="L7699" s="2">
        <v>389</v>
      </c>
    </row>
    <row r="7700" spans="1:12" x14ac:dyDescent="0.25">
      <c r="A7700" s="4" t="str">
        <f>HYPERLINK("http://www.rosaceae.org/Prunus/Prunus_persica/p.persica_gdr_reftransV1_0024356","p.persica_gdr_reftransV1_0024356")</f>
        <v>p.persica_gdr_reftransV1_0024356</v>
      </c>
      <c r="B7700" s="2">
        <v>1956</v>
      </c>
      <c r="C7700" s="4" t="str">
        <f>HYPERLINK("http://www.uniprot.org/uniprot/M5WS72","M5WS72")</f>
        <v>M5WS72</v>
      </c>
      <c r="D7700" s="2" t="s">
        <v>6821</v>
      </c>
      <c r="E7700" s="3">
        <v>1.3099999999999999E-156</v>
      </c>
      <c r="F7700" s="2">
        <v>1208</v>
      </c>
      <c r="G7700" s="2">
        <v>100</v>
      </c>
      <c r="H7700" s="2">
        <v>231</v>
      </c>
      <c r="I7700" s="2">
        <v>927</v>
      </c>
      <c r="J7700" s="2">
        <v>1619</v>
      </c>
      <c r="K7700" s="2">
        <v>1</v>
      </c>
      <c r="L7700" s="2">
        <v>231</v>
      </c>
    </row>
    <row r="7701" spans="1:12" x14ac:dyDescent="0.25">
      <c r="A7701" s="4" t="str">
        <f>HYPERLINK("http://www.rosaceae.org/Prunus/Prunus_persica/p.persica_gdr_reftransV1_0026106","p.persica_gdr_reftransV1_0026106")</f>
        <v>p.persica_gdr_reftransV1_0026106</v>
      </c>
      <c r="B7701" s="2">
        <v>727</v>
      </c>
      <c r="C7701" s="4" t="str">
        <f>HYPERLINK("http://www.uniprot.org/uniprot/M5XQV5","M5XQV5")</f>
        <v>M5XQV5</v>
      </c>
      <c r="D7701" s="2" t="s">
        <v>6822</v>
      </c>
      <c r="E7701" s="3">
        <v>2.1699999999999999E-87</v>
      </c>
      <c r="F7701" s="2">
        <v>701</v>
      </c>
      <c r="G7701" s="2">
        <v>100</v>
      </c>
      <c r="H7701" s="2">
        <v>156</v>
      </c>
      <c r="I7701" s="2">
        <v>2</v>
      </c>
      <c r="J7701" s="2">
        <v>469</v>
      </c>
      <c r="K7701" s="2">
        <v>188</v>
      </c>
      <c r="L7701" s="2">
        <v>343</v>
      </c>
    </row>
    <row r="7702" spans="1:12" x14ac:dyDescent="0.25">
      <c r="A7702" s="4" t="str">
        <f>HYPERLINK("http://www.rosaceae.org/Prunus/Prunus_persica/p.persica_gdr_reftransV1_0026806","p.persica_gdr_reftransV1_0026806")</f>
        <v>p.persica_gdr_reftransV1_0026806</v>
      </c>
      <c r="B7702" s="2">
        <v>2076</v>
      </c>
      <c r="C7702" s="4" t="str">
        <f>HYPERLINK("http://www.uniprot.org/uniprot/M5WKE4","M5WKE4")</f>
        <v>M5WKE4</v>
      </c>
      <c r="D7702" s="2" t="s">
        <v>6823</v>
      </c>
      <c r="E7702" s="3">
        <v>0</v>
      </c>
      <c r="F7702" s="2">
        <v>3309</v>
      </c>
      <c r="G7702" s="2">
        <v>100</v>
      </c>
      <c r="H7702" s="2">
        <v>639</v>
      </c>
      <c r="I7702" s="2">
        <v>159</v>
      </c>
      <c r="J7702" s="2">
        <v>2075</v>
      </c>
      <c r="K7702" s="2">
        <v>75</v>
      </c>
      <c r="L7702" s="2">
        <v>713</v>
      </c>
    </row>
    <row r="7703" spans="1:12" x14ac:dyDescent="0.25">
      <c r="A7703" s="4" t="str">
        <f>HYPERLINK("http://www.rosaceae.org/Prunus/Prunus_persica/p.persica_gdr_reftransV1_0027506","p.persica_gdr_reftransV1_0027506")</f>
        <v>p.persica_gdr_reftransV1_0027506</v>
      </c>
      <c r="B7703" s="2">
        <v>3311</v>
      </c>
      <c r="C7703" s="4" t="str">
        <f>HYPERLINK("http://www.uniprot.org/uniprot/M5XEF4","M5XEF4")</f>
        <v>M5XEF4</v>
      </c>
      <c r="D7703" s="2" t="s">
        <v>6824</v>
      </c>
      <c r="E7703" s="3">
        <v>0</v>
      </c>
      <c r="F7703" s="2">
        <v>1961</v>
      </c>
      <c r="G7703" s="2">
        <v>100</v>
      </c>
      <c r="H7703" s="2">
        <v>377</v>
      </c>
      <c r="I7703" s="2">
        <v>1973</v>
      </c>
      <c r="J7703" s="2">
        <v>3103</v>
      </c>
      <c r="K7703" s="2">
        <v>1</v>
      </c>
      <c r="L7703" s="2">
        <v>377</v>
      </c>
    </row>
    <row r="7704" spans="1:12" x14ac:dyDescent="0.25">
      <c r="A7704" s="4" t="str">
        <f>HYPERLINK("http://www.rosaceae.org/Prunus/Prunus_persica/p.persica_gdr_reftransV1_0028906","p.persica_gdr_reftransV1_0028906")</f>
        <v>p.persica_gdr_reftransV1_0028906</v>
      </c>
      <c r="B7704" s="2">
        <v>1249</v>
      </c>
      <c r="C7704" s="4" t="str">
        <f>HYPERLINK("http://www.uniprot.org/uniprot/M5WCL6","M5WCL6")</f>
        <v>M5WCL6</v>
      </c>
      <c r="D7704" s="2" t="s">
        <v>6825</v>
      </c>
      <c r="E7704" s="3">
        <v>8.5100000000000001E-111</v>
      </c>
      <c r="F7704" s="2">
        <v>863</v>
      </c>
      <c r="G7704" s="2">
        <v>100</v>
      </c>
      <c r="H7704" s="2">
        <v>179</v>
      </c>
      <c r="I7704" s="2">
        <v>553</v>
      </c>
      <c r="J7704" s="2">
        <v>1089</v>
      </c>
      <c r="K7704" s="2">
        <v>16</v>
      </c>
      <c r="L7704" s="2">
        <v>194</v>
      </c>
    </row>
    <row r="7705" spans="1:12" x14ac:dyDescent="0.25">
      <c r="A7705" s="4" t="str">
        <f>HYPERLINK("http://www.rosaceae.org/Prunus/Prunus_persica/p.persica_gdr_reftransV1_0031706","p.persica_gdr_reftransV1_0031706")</f>
        <v>p.persica_gdr_reftransV1_0031706</v>
      </c>
      <c r="B7705" s="2">
        <v>959</v>
      </c>
      <c r="C7705" s="4" t="str">
        <f>HYPERLINK("http://www.uniprot.org/uniprot/M5XP32","M5XP32")</f>
        <v>M5XP32</v>
      </c>
      <c r="D7705" s="2" t="s">
        <v>6826</v>
      </c>
      <c r="E7705" s="3">
        <v>1.2500000000000001E-19</v>
      </c>
      <c r="F7705" s="2">
        <v>226</v>
      </c>
      <c r="G7705" s="2">
        <v>100</v>
      </c>
      <c r="H7705" s="2">
        <v>90</v>
      </c>
      <c r="I7705" s="2">
        <v>621</v>
      </c>
      <c r="J7705" s="2">
        <v>890</v>
      </c>
      <c r="K7705" s="2">
        <v>1</v>
      </c>
      <c r="L7705" s="2">
        <v>90</v>
      </c>
    </row>
    <row r="7706" spans="1:12" x14ac:dyDescent="0.25">
      <c r="A7706" s="4" t="str">
        <f>HYPERLINK("http://www.rosaceae.org/Prunus/Prunus_persica/p.persica_gdr_reftransV1_0032056","p.persica_gdr_reftransV1_0032056")</f>
        <v>p.persica_gdr_reftransV1_0032056</v>
      </c>
      <c r="B7706" s="2">
        <v>813</v>
      </c>
      <c r="C7706" s="4" t="str">
        <f>HYPERLINK("http://www.uniprot.org/uniprot/M5WSQ0","M5WSQ0")</f>
        <v>M5WSQ0</v>
      </c>
      <c r="D7706" s="2" t="s">
        <v>6827</v>
      </c>
      <c r="E7706" s="3">
        <v>2.7100000000000001E-108</v>
      </c>
      <c r="F7706" s="2">
        <v>825</v>
      </c>
      <c r="G7706" s="2">
        <v>100</v>
      </c>
      <c r="H7706" s="2">
        <v>158</v>
      </c>
      <c r="I7706" s="2">
        <v>257</v>
      </c>
      <c r="J7706" s="2">
        <v>730</v>
      </c>
      <c r="K7706" s="2">
        <v>1</v>
      </c>
      <c r="L7706" s="2">
        <v>158</v>
      </c>
    </row>
    <row r="7707" spans="1:12" x14ac:dyDescent="0.25">
      <c r="A7707" s="4" t="str">
        <f>HYPERLINK("http://www.rosaceae.org/Prunus/Prunus_persica/p.persica_gdr_reftransV1_0033806","p.persica_gdr_reftransV1_0033806")</f>
        <v>p.persica_gdr_reftransV1_0033806</v>
      </c>
      <c r="B7707" s="2">
        <v>1460</v>
      </c>
      <c r="C7707" s="4" t="str">
        <f>HYPERLINK("http://www.uniprot.org/uniprot/M5XRY1","M5XRY1")</f>
        <v>M5XRY1</v>
      </c>
      <c r="D7707" s="2" t="s">
        <v>2131</v>
      </c>
      <c r="E7707" s="3">
        <v>0</v>
      </c>
      <c r="F7707" s="2">
        <v>1431</v>
      </c>
      <c r="G7707" s="2">
        <v>100</v>
      </c>
      <c r="H7707" s="2">
        <v>284</v>
      </c>
      <c r="I7707" s="2">
        <v>607</v>
      </c>
      <c r="J7707" s="2">
        <v>1458</v>
      </c>
      <c r="K7707" s="2">
        <v>50</v>
      </c>
      <c r="L7707" s="2">
        <v>333</v>
      </c>
    </row>
    <row r="7708" spans="1:12" x14ac:dyDescent="0.25">
      <c r="A7708" s="4" t="str">
        <f>HYPERLINK("http://www.rosaceae.org/Prunus/Prunus_persica/p.persica_gdr_reftransV1_0034506","p.persica_gdr_reftransV1_0034506")</f>
        <v>p.persica_gdr_reftransV1_0034506</v>
      </c>
      <c r="B7708" s="2">
        <v>1596</v>
      </c>
      <c r="C7708" s="4" t="str">
        <f>HYPERLINK("http://www.uniprot.org/uniprot/M5XLI9","M5XLI9")</f>
        <v>M5XLI9</v>
      </c>
      <c r="D7708" s="2" t="s">
        <v>6828</v>
      </c>
      <c r="E7708" s="3">
        <v>0</v>
      </c>
      <c r="F7708" s="2">
        <v>1653</v>
      </c>
      <c r="G7708" s="2">
        <v>100</v>
      </c>
      <c r="H7708" s="2">
        <v>310</v>
      </c>
      <c r="I7708" s="2">
        <v>367</v>
      </c>
      <c r="J7708" s="2">
        <v>1296</v>
      </c>
      <c r="K7708" s="2">
        <v>1</v>
      </c>
      <c r="L7708" s="2">
        <v>310</v>
      </c>
    </row>
    <row r="7709" spans="1:12" x14ac:dyDescent="0.25">
      <c r="A7709" s="4" t="str">
        <f>HYPERLINK("http://www.rosaceae.org/Prunus/Prunus_persica/p.persica_gdr_reftransV1_0035206","p.persica_gdr_reftransV1_0035206")</f>
        <v>p.persica_gdr_reftransV1_0035206</v>
      </c>
      <c r="B7709" s="2">
        <v>3507</v>
      </c>
      <c r="C7709" s="4" t="str">
        <f>HYPERLINK("http://www.uniprot.org/uniprot/M5W9B8","M5W9B8")</f>
        <v>M5W9B8</v>
      </c>
      <c r="D7709" s="2" t="s">
        <v>6829</v>
      </c>
      <c r="E7709" s="3">
        <v>0</v>
      </c>
      <c r="F7709" s="2">
        <v>2506</v>
      </c>
      <c r="G7709" s="2">
        <v>99</v>
      </c>
      <c r="H7709" s="2">
        <v>519</v>
      </c>
      <c r="I7709" s="2">
        <v>1587</v>
      </c>
      <c r="J7709" s="2">
        <v>3143</v>
      </c>
      <c r="K7709" s="2">
        <v>293</v>
      </c>
      <c r="L7709" s="2">
        <v>807</v>
      </c>
    </row>
    <row r="7710" spans="1:12" x14ac:dyDescent="0.25">
      <c r="A7710" s="4" t="str">
        <f>HYPERLINK("http://www.rosaceae.org/Prunus/Prunus_persica/p.persica_gdr_reftransV1_0035906","p.persica_gdr_reftransV1_0035906")</f>
        <v>p.persica_gdr_reftransV1_0035906</v>
      </c>
      <c r="B7710" s="2">
        <v>1759</v>
      </c>
      <c r="C7710" s="4" t="str">
        <f>HYPERLINK("http://www.uniprot.org/uniprot/F6HBP2","F6HBP2")</f>
        <v>F6HBP2</v>
      </c>
      <c r="D7710" s="2" t="s">
        <v>6830</v>
      </c>
      <c r="E7710" s="3">
        <v>2.97E-32</v>
      </c>
      <c r="F7710" s="2">
        <v>350</v>
      </c>
      <c r="G7710" s="2">
        <v>41</v>
      </c>
      <c r="H7710" s="2">
        <v>385</v>
      </c>
      <c r="I7710" s="2">
        <v>526</v>
      </c>
      <c r="J7710" s="2">
        <v>1581</v>
      </c>
      <c r="K7710" s="2">
        <v>134</v>
      </c>
      <c r="L7710" s="2">
        <v>502</v>
      </c>
    </row>
    <row r="7711" spans="1:12" x14ac:dyDescent="0.25">
      <c r="A7711" s="4" t="str">
        <f>HYPERLINK("http://www.rosaceae.org/Prunus/Prunus_persica/p.persica_gdr_reftransV1_0037656","p.persica_gdr_reftransV1_0037656")</f>
        <v>p.persica_gdr_reftransV1_0037656</v>
      </c>
      <c r="B7711" s="2">
        <v>3091</v>
      </c>
      <c r="C7711" s="4" t="str">
        <f>HYPERLINK("http://www.uniprot.org/uniprot/M5XKP7","M5XKP7")</f>
        <v>M5XKP7</v>
      </c>
      <c r="D7711" s="2" t="s">
        <v>6831</v>
      </c>
      <c r="E7711" s="3">
        <v>0</v>
      </c>
      <c r="F7711" s="2">
        <v>4370</v>
      </c>
      <c r="G7711" s="2">
        <v>91</v>
      </c>
      <c r="H7711" s="2">
        <v>957</v>
      </c>
      <c r="I7711" s="2">
        <v>235</v>
      </c>
      <c r="J7711" s="2">
        <v>3090</v>
      </c>
      <c r="K7711" s="2">
        <v>94</v>
      </c>
      <c r="L7711" s="2">
        <v>1026</v>
      </c>
    </row>
    <row r="7712" spans="1:12" x14ac:dyDescent="0.25">
      <c r="A7712" s="4" t="str">
        <f>HYPERLINK("http://www.rosaceae.org/Prunus/Prunus_persica/p.persica_gdr_reftransV1_0038006","p.persica_gdr_reftransV1_0038006")</f>
        <v>p.persica_gdr_reftransV1_0038006</v>
      </c>
      <c r="B7712" s="2">
        <v>1800</v>
      </c>
      <c r="C7712" s="4" t="str">
        <f>HYPERLINK("http://www.uniprot.org/uniprot/M5XQT6","M5XQT6")</f>
        <v>M5XQT6</v>
      </c>
      <c r="D7712" s="2" t="s">
        <v>6832</v>
      </c>
      <c r="E7712" s="3">
        <v>0</v>
      </c>
      <c r="F7712" s="2">
        <v>1890</v>
      </c>
      <c r="G7712" s="2">
        <v>100</v>
      </c>
      <c r="H7712" s="2">
        <v>415</v>
      </c>
      <c r="I7712" s="2">
        <v>321</v>
      </c>
      <c r="J7712" s="2">
        <v>1565</v>
      </c>
      <c r="K7712" s="2">
        <v>1</v>
      </c>
      <c r="L7712" s="2">
        <v>415</v>
      </c>
    </row>
    <row r="7713" spans="1:12" x14ac:dyDescent="0.25">
      <c r="A7713" s="4" t="str">
        <f>HYPERLINK("http://www.rosaceae.org/Prunus/Prunus_persica/p.persica_gdr_reftransV1_0041856","p.persica_gdr_reftransV1_0041856")</f>
        <v>p.persica_gdr_reftransV1_0041856</v>
      </c>
      <c r="B7713" s="2">
        <v>2978</v>
      </c>
      <c r="C7713" s="4" t="str">
        <f>HYPERLINK("http://www.uniprot.org/uniprot/F6H486","F6H486")</f>
        <v>F6H486</v>
      </c>
      <c r="D7713" s="2" t="s">
        <v>6833</v>
      </c>
      <c r="E7713" s="3">
        <v>0</v>
      </c>
      <c r="F7713" s="2">
        <v>2291</v>
      </c>
      <c r="G7713" s="2">
        <v>70</v>
      </c>
      <c r="H7713" s="2">
        <v>649</v>
      </c>
      <c r="I7713" s="2">
        <v>687</v>
      </c>
      <c r="J7713" s="2">
        <v>2633</v>
      </c>
      <c r="K7713" s="2">
        <v>1</v>
      </c>
      <c r="L7713" s="2">
        <v>648</v>
      </c>
    </row>
    <row r="7714" spans="1:12" x14ac:dyDescent="0.25">
      <c r="A7714" s="4" t="str">
        <f>HYPERLINK("http://www.rosaceae.org/Prunus/Prunus_persica/p.persica_gdr_reftransV1_0042556","p.persica_gdr_reftransV1_0042556")</f>
        <v>p.persica_gdr_reftransV1_0042556</v>
      </c>
      <c r="B7714" s="2">
        <v>665</v>
      </c>
      <c r="C7714" s="4" t="str">
        <f>HYPERLINK("http://www.uniprot.org/uniprot/M5WUE9","M5WUE9")</f>
        <v>M5WUE9</v>
      </c>
      <c r="D7714" s="2" t="s">
        <v>6834</v>
      </c>
      <c r="E7714" s="3">
        <v>9.9900000000000002E-40</v>
      </c>
      <c r="F7714" s="2">
        <v>391</v>
      </c>
      <c r="G7714" s="2">
        <v>100</v>
      </c>
      <c r="H7714" s="2">
        <v>108</v>
      </c>
      <c r="I7714" s="2">
        <v>3</v>
      </c>
      <c r="J7714" s="2">
        <v>326</v>
      </c>
      <c r="K7714" s="2">
        <v>1</v>
      </c>
      <c r="L7714" s="2">
        <v>108</v>
      </c>
    </row>
    <row r="7715" spans="1:12" x14ac:dyDescent="0.25">
      <c r="A7715" s="4" t="str">
        <f>HYPERLINK("http://www.rosaceae.org/Prunus/Prunus_persica/p.persica_gdr_reftransV1_0043256","p.persica_gdr_reftransV1_0043256")</f>
        <v>p.persica_gdr_reftransV1_0043256</v>
      </c>
      <c r="B7715" s="2">
        <v>1355</v>
      </c>
      <c r="C7715" s="4" t="str">
        <f>HYPERLINK("http://www.uniprot.org/uniprot/M5W8T9","M5W8T9")</f>
        <v>M5W8T9</v>
      </c>
      <c r="D7715" s="2" t="s">
        <v>6835</v>
      </c>
      <c r="E7715" s="3">
        <v>4.1900000000000001E-131</v>
      </c>
      <c r="F7715" s="2">
        <v>780</v>
      </c>
      <c r="G7715" s="2">
        <v>98</v>
      </c>
      <c r="H7715" s="2">
        <v>171</v>
      </c>
      <c r="I7715" s="2">
        <v>595</v>
      </c>
      <c r="J7715" s="2">
        <v>1107</v>
      </c>
      <c r="K7715" s="2">
        <v>302</v>
      </c>
      <c r="L7715" s="2">
        <v>472</v>
      </c>
    </row>
    <row r="7716" spans="1:12" x14ac:dyDescent="0.25">
      <c r="A7716" s="4" t="str">
        <f>HYPERLINK("http://www.rosaceae.org/Prunus/Prunus_persica/p.persica_gdr_reftransV1_0043606","p.persica_gdr_reftransV1_0043606")</f>
        <v>p.persica_gdr_reftransV1_0043606</v>
      </c>
      <c r="B7716" s="2">
        <v>2483</v>
      </c>
      <c r="C7716" s="4" t="str">
        <f>HYPERLINK("http://www.uniprot.org/uniprot/M5WHL7","M5WHL7")</f>
        <v>M5WHL7</v>
      </c>
      <c r="D7716" s="2" t="s">
        <v>2184</v>
      </c>
      <c r="E7716" s="3">
        <v>0</v>
      </c>
      <c r="F7716" s="2">
        <v>3811</v>
      </c>
      <c r="G7716" s="2">
        <v>93</v>
      </c>
      <c r="H7716" s="2">
        <v>788</v>
      </c>
      <c r="I7716" s="2">
        <v>118</v>
      </c>
      <c r="J7716" s="2">
        <v>2481</v>
      </c>
      <c r="K7716" s="2">
        <v>328</v>
      </c>
      <c r="L7716" s="2">
        <v>1061</v>
      </c>
    </row>
    <row r="7717" spans="1:12" x14ac:dyDescent="0.25">
      <c r="A7717" s="4" t="str">
        <f>HYPERLINK("http://www.rosaceae.org/Prunus/Prunus_persica/p.persica_gdr_reftransV1_0043956","p.persica_gdr_reftransV1_0043956")</f>
        <v>p.persica_gdr_reftransV1_0043956</v>
      </c>
      <c r="B7717" s="2">
        <v>660</v>
      </c>
      <c r="C7717" s="4" t="str">
        <f>HYPERLINK("http://www.uniprot.org/uniprot/M5Y3C3","M5Y3C3")</f>
        <v>M5Y3C3</v>
      </c>
      <c r="D7717" s="2" t="s">
        <v>4497</v>
      </c>
      <c r="E7717" s="3">
        <v>3.6200000000000002E-127</v>
      </c>
      <c r="F7717" s="2">
        <v>968</v>
      </c>
      <c r="G7717" s="2">
        <v>100</v>
      </c>
      <c r="H7717" s="2">
        <v>219</v>
      </c>
      <c r="I7717" s="2">
        <v>3</v>
      </c>
      <c r="J7717" s="2">
        <v>659</v>
      </c>
      <c r="K7717" s="2">
        <v>190</v>
      </c>
      <c r="L7717" s="2">
        <v>408</v>
      </c>
    </row>
    <row r="7718" spans="1:12" x14ac:dyDescent="0.25">
      <c r="A7718" s="4" t="str">
        <f>HYPERLINK("http://www.rosaceae.org/Prunus/Prunus_persica/p.persica_gdr_reftransV1_0044306","p.persica_gdr_reftransV1_0044306")</f>
        <v>p.persica_gdr_reftransV1_0044306</v>
      </c>
      <c r="B7718" s="2">
        <v>926</v>
      </c>
      <c r="C7718" s="4" t="str">
        <f>HYPERLINK("http://www.uniprot.org/uniprot/D7TGJ5","D7TGJ5")</f>
        <v>D7TGJ5</v>
      </c>
      <c r="D7718" s="2" t="s">
        <v>6836</v>
      </c>
      <c r="E7718" s="3">
        <v>1.27E-110</v>
      </c>
      <c r="F7718" s="2">
        <v>856</v>
      </c>
      <c r="G7718" s="2">
        <v>84</v>
      </c>
      <c r="H7718" s="2">
        <v>188</v>
      </c>
      <c r="I7718" s="2">
        <v>161</v>
      </c>
      <c r="J7718" s="2">
        <v>724</v>
      </c>
      <c r="K7718" s="2">
        <v>32</v>
      </c>
      <c r="L7718" s="2">
        <v>219</v>
      </c>
    </row>
    <row r="7719" spans="1:12" x14ac:dyDescent="0.25">
      <c r="A7719" s="4" t="str">
        <f>HYPERLINK("http://www.rosaceae.org/Prunus/Prunus_persica/p.persica_gdr_reftransV1_0044656","p.persica_gdr_reftransV1_0044656")</f>
        <v>p.persica_gdr_reftransV1_0044656</v>
      </c>
      <c r="B7719" s="2">
        <v>1513</v>
      </c>
      <c r="C7719" s="4" t="str">
        <f>HYPERLINK("http://www.uniprot.org/uniprot/M5WEI2","M5WEI2")</f>
        <v>M5WEI2</v>
      </c>
      <c r="D7719" s="2" t="s">
        <v>6837</v>
      </c>
      <c r="E7719" s="3">
        <v>0</v>
      </c>
      <c r="F7719" s="2">
        <v>1852</v>
      </c>
      <c r="G7719" s="2">
        <v>100</v>
      </c>
      <c r="H7719" s="2">
        <v>350</v>
      </c>
      <c r="I7719" s="2">
        <v>463</v>
      </c>
      <c r="J7719" s="2">
        <v>1512</v>
      </c>
      <c r="K7719" s="2">
        <v>133</v>
      </c>
      <c r="L7719" s="2">
        <v>482</v>
      </c>
    </row>
    <row r="7720" spans="1:12" x14ac:dyDescent="0.25">
      <c r="A7720" s="4" t="str">
        <f>HYPERLINK("http://www.rosaceae.org/Prunus/Prunus_persica/p.persica_gdr_reftransV1_0045006","p.persica_gdr_reftransV1_0045006")</f>
        <v>p.persica_gdr_reftransV1_0045006</v>
      </c>
      <c r="B7720" s="2">
        <v>961</v>
      </c>
      <c r="C7720" s="4" t="str">
        <f>HYPERLINK("http://www.uniprot.org/uniprot/M5XK49","M5XK49")</f>
        <v>M5XK49</v>
      </c>
      <c r="D7720" s="2" t="s">
        <v>6838</v>
      </c>
      <c r="E7720" s="3">
        <v>1.4799999999999999E-156</v>
      </c>
      <c r="F7720" s="2">
        <v>1176</v>
      </c>
      <c r="G7720" s="2">
        <v>89</v>
      </c>
      <c r="H7720" s="2">
        <v>323</v>
      </c>
      <c r="I7720" s="2">
        <v>1</v>
      </c>
      <c r="J7720" s="2">
        <v>861</v>
      </c>
      <c r="K7720" s="2">
        <v>116</v>
      </c>
      <c r="L7720" s="2">
        <v>438</v>
      </c>
    </row>
    <row r="7721" spans="1:12" x14ac:dyDescent="0.25">
      <c r="A7721" s="4" t="str">
        <f>HYPERLINK("http://www.rosaceae.org/Prunus/Prunus_persica/p.persica_gdr_reftransV1_0045356","p.persica_gdr_reftransV1_0045356")</f>
        <v>p.persica_gdr_reftransV1_0045356</v>
      </c>
      <c r="B7721" s="2">
        <v>1261</v>
      </c>
      <c r="C7721" s="4" t="str">
        <f>HYPERLINK("http://www.uniprot.org/uniprot/M5WGK8","M5WGK8")</f>
        <v>M5WGK8</v>
      </c>
      <c r="D7721" s="2" t="s">
        <v>5194</v>
      </c>
      <c r="E7721" s="3">
        <v>0</v>
      </c>
      <c r="F7721" s="2">
        <v>1362</v>
      </c>
      <c r="G7721" s="2">
        <v>100</v>
      </c>
      <c r="H7721" s="2">
        <v>311</v>
      </c>
      <c r="I7721" s="2">
        <v>294</v>
      </c>
      <c r="J7721" s="2">
        <v>1226</v>
      </c>
      <c r="K7721" s="2">
        <v>1</v>
      </c>
      <c r="L7721" s="2">
        <v>311</v>
      </c>
    </row>
    <row r="7722" spans="1:12" x14ac:dyDescent="0.25">
      <c r="A7722" s="4" t="str">
        <f>HYPERLINK("http://www.rosaceae.org/Prunus/Prunus_persica/p.persica_gdr_reftransV1_0045706","p.persica_gdr_reftransV1_0045706")</f>
        <v>p.persica_gdr_reftransV1_0045706</v>
      </c>
      <c r="B7722" s="2">
        <v>1838</v>
      </c>
      <c r="C7722" s="4" t="str">
        <f>HYPERLINK("http://www.uniprot.org/uniprot/M5VM48","M5VM48")</f>
        <v>M5VM48</v>
      </c>
      <c r="D7722" s="2" t="s">
        <v>6839</v>
      </c>
      <c r="E7722" s="3">
        <v>0</v>
      </c>
      <c r="F7722" s="2">
        <v>2055</v>
      </c>
      <c r="G7722" s="2">
        <v>93</v>
      </c>
      <c r="H7722" s="2">
        <v>432</v>
      </c>
      <c r="I7722" s="2">
        <v>181</v>
      </c>
      <c r="J7722" s="2">
        <v>1473</v>
      </c>
      <c r="K7722" s="2">
        <v>1</v>
      </c>
      <c r="L7722" s="2">
        <v>432</v>
      </c>
    </row>
    <row r="7723" spans="1:12" x14ac:dyDescent="0.25">
      <c r="A7723" s="4" t="str">
        <f>HYPERLINK("http://www.rosaceae.org/Prunus/Prunus_persica/p.persica_gdr_reftransV1_0046056","p.persica_gdr_reftransV1_0046056")</f>
        <v>p.persica_gdr_reftransV1_0046056</v>
      </c>
      <c r="B7723" s="2">
        <v>635</v>
      </c>
      <c r="C7723" s="4" t="str">
        <f>HYPERLINK("http://www.uniprot.org/uniprot/M5XNG0","M5XNG0")</f>
        <v>M5XNG0</v>
      </c>
      <c r="D7723" s="2" t="s">
        <v>6840</v>
      </c>
      <c r="E7723" s="3">
        <v>2.1700000000000001E-52</v>
      </c>
      <c r="F7723" s="2">
        <v>452</v>
      </c>
      <c r="G7723" s="2">
        <v>98</v>
      </c>
      <c r="H7723" s="2">
        <v>89</v>
      </c>
      <c r="I7723" s="2">
        <v>1</v>
      </c>
      <c r="J7723" s="2">
        <v>267</v>
      </c>
      <c r="K7723" s="2">
        <v>97</v>
      </c>
      <c r="L7723" s="2">
        <v>185</v>
      </c>
    </row>
    <row r="7724" spans="1:12" x14ac:dyDescent="0.25">
      <c r="A7724" s="4" t="str">
        <f>HYPERLINK("http://www.rosaceae.org/Prunus/Prunus_persica/p.persica_gdr_reftransV1_0046756","p.persica_gdr_reftransV1_0046756")</f>
        <v>p.persica_gdr_reftransV1_0046756</v>
      </c>
      <c r="B7724" s="2">
        <v>973</v>
      </c>
      <c r="C7724" s="4" t="str">
        <f>HYPERLINK("http://www.uniprot.org/uniprot/M5VKJ9","M5VKJ9")</f>
        <v>M5VKJ9</v>
      </c>
      <c r="D7724" s="2" t="s">
        <v>6841</v>
      </c>
      <c r="E7724" s="3">
        <v>0</v>
      </c>
      <c r="F7724" s="2">
        <v>1413</v>
      </c>
      <c r="G7724" s="2">
        <v>95</v>
      </c>
      <c r="H7724" s="2">
        <v>280</v>
      </c>
      <c r="I7724" s="2">
        <v>132</v>
      </c>
      <c r="J7724" s="2">
        <v>971</v>
      </c>
      <c r="K7724" s="2">
        <v>495</v>
      </c>
      <c r="L7724" s="2">
        <v>774</v>
      </c>
    </row>
    <row r="7725" spans="1:12" x14ac:dyDescent="0.25">
      <c r="A7725" s="4" t="str">
        <f>HYPERLINK("http://www.rosaceae.org/Prunus/Prunus_persica/p.persica_gdr_reftransV1_0047456","p.persica_gdr_reftransV1_0047456")</f>
        <v>p.persica_gdr_reftransV1_0047456</v>
      </c>
      <c r="B7725" s="2">
        <v>2565</v>
      </c>
      <c r="C7725" s="4" t="str">
        <f>HYPERLINK("http://www.uniprot.org/uniprot/M5XIR9","M5XIR9")</f>
        <v>M5XIR9</v>
      </c>
      <c r="D7725" s="2" t="s">
        <v>6842</v>
      </c>
      <c r="E7725" s="3">
        <v>0</v>
      </c>
      <c r="F7725" s="2">
        <v>3399</v>
      </c>
      <c r="G7725" s="2">
        <v>100</v>
      </c>
      <c r="H7725" s="2">
        <v>649</v>
      </c>
      <c r="I7725" s="2">
        <v>344</v>
      </c>
      <c r="J7725" s="2">
        <v>2290</v>
      </c>
      <c r="K7725" s="2">
        <v>1</v>
      </c>
      <c r="L7725" s="2">
        <v>649</v>
      </c>
    </row>
    <row r="7726" spans="1:12" x14ac:dyDescent="0.25">
      <c r="A7726" s="4" t="str">
        <f>HYPERLINK("http://www.rosaceae.org/Prunus/Prunus_persica/p.persica_gdr_reftransV1_0047806","p.persica_gdr_reftransV1_0047806")</f>
        <v>p.persica_gdr_reftransV1_0047806</v>
      </c>
      <c r="B7726" s="2">
        <v>2258</v>
      </c>
      <c r="C7726" s="4" t="str">
        <f>HYPERLINK("http://www.uniprot.org/uniprot/M5XQI5","M5XQI5")</f>
        <v>M5XQI5</v>
      </c>
      <c r="D7726" s="2" t="s">
        <v>6843</v>
      </c>
      <c r="E7726" s="3">
        <v>0</v>
      </c>
      <c r="F7726" s="2">
        <v>3421</v>
      </c>
      <c r="G7726" s="2">
        <v>100</v>
      </c>
      <c r="H7726" s="2">
        <v>658</v>
      </c>
      <c r="I7726" s="2">
        <v>97</v>
      </c>
      <c r="J7726" s="2">
        <v>2070</v>
      </c>
      <c r="K7726" s="2">
        <v>1</v>
      </c>
      <c r="L7726" s="2">
        <v>658</v>
      </c>
    </row>
    <row r="7727" spans="1:12" x14ac:dyDescent="0.25">
      <c r="A7727" s="4" t="str">
        <f>HYPERLINK("http://www.rosaceae.org/Prunus/Prunus_persica/p.persica_gdr_reftransV1_0048156","p.persica_gdr_reftransV1_0048156")</f>
        <v>p.persica_gdr_reftransV1_0048156</v>
      </c>
      <c r="B7727" s="2">
        <v>326</v>
      </c>
      <c r="C7727" s="4" t="str">
        <f>HYPERLINK("http://www.uniprot.org/uniprot/M5XBT1","M5XBT1")</f>
        <v>M5XBT1</v>
      </c>
      <c r="D7727" s="2" t="s">
        <v>696</v>
      </c>
      <c r="E7727" s="3">
        <v>1.2200000000000001E-68</v>
      </c>
      <c r="F7727" s="2">
        <v>577</v>
      </c>
      <c r="G7727" s="2">
        <v>100</v>
      </c>
      <c r="H7727" s="2">
        <v>108</v>
      </c>
      <c r="I7727" s="2">
        <v>2</v>
      </c>
      <c r="J7727" s="2">
        <v>325</v>
      </c>
      <c r="K7727" s="2">
        <v>62</v>
      </c>
      <c r="L7727" s="2">
        <v>169</v>
      </c>
    </row>
    <row r="7728" spans="1:12" x14ac:dyDescent="0.25">
      <c r="A7728" s="4" t="str">
        <f>HYPERLINK("http://www.rosaceae.org/Prunus/Prunus_persica/p.persica_gdr_reftransV1_0048506","p.persica_gdr_reftransV1_0048506")</f>
        <v>p.persica_gdr_reftransV1_0048506</v>
      </c>
      <c r="B7728" s="2">
        <v>4082</v>
      </c>
      <c r="C7728" s="4" t="str">
        <f>HYPERLINK("http://www.uniprot.org/uniprot/M5VIR9","M5VIR9")</f>
        <v>M5VIR9</v>
      </c>
      <c r="D7728" s="2" t="s">
        <v>6844</v>
      </c>
      <c r="E7728" s="3">
        <v>0</v>
      </c>
      <c r="F7728" s="2">
        <v>6129</v>
      </c>
      <c r="G7728" s="2">
        <v>100</v>
      </c>
      <c r="H7728" s="2">
        <v>1214</v>
      </c>
      <c r="I7728" s="2">
        <v>76</v>
      </c>
      <c r="J7728" s="2">
        <v>3717</v>
      </c>
      <c r="K7728" s="2">
        <v>1</v>
      </c>
      <c r="L7728" s="2">
        <v>1214</v>
      </c>
    </row>
    <row r="7729" spans="1:12" x14ac:dyDescent="0.25">
      <c r="A7729" s="4" t="str">
        <f>HYPERLINK("http://www.rosaceae.org/Prunus/Prunus_persica/p.persica_gdr_reftransV1_0048856","p.persica_gdr_reftransV1_0048856")</f>
        <v>p.persica_gdr_reftransV1_0048856</v>
      </c>
      <c r="B7729" s="2">
        <v>964</v>
      </c>
      <c r="C7729" s="4" t="str">
        <f>HYPERLINK("http://www.uniprot.org/uniprot/M5WJS1","M5WJS1")</f>
        <v>M5WJS1</v>
      </c>
      <c r="D7729" s="2" t="s">
        <v>6845</v>
      </c>
      <c r="E7729" s="3">
        <v>1.04E-129</v>
      </c>
      <c r="F7729" s="2">
        <v>978</v>
      </c>
      <c r="G7729" s="2">
        <v>100</v>
      </c>
      <c r="H7729" s="2">
        <v>209</v>
      </c>
      <c r="I7729" s="2">
        <v>253</v>
      </c>
      <c r="J7729" s="2">
        <v>879</v>
      </c>
      <c r="K7729" s="2">
        <v>14</v>
      </c>
      <c r="L7729" s="2">
        <v>222</v>
      </c>
    </row>
    <row r="7730" spans="1:12" x14ac:dyDescent="0.25">
      <c r="A7730" s="4" t="str">
        <f>HYPERLINK("http://www.rosaceae.org/Prunus/Prunus_persica/p.persica_gdr_reftransV1_0000207","p.persica_gdr_reftransV1_0000207")</f>
        <v>p.persica_gdr_reftransV1_0000207</v>
      </c>
      <c r="B7730" s="2">
        <v>4250</v>
      </c>
      <c r="C7730" s="4" t="str">
        <f>HYPERLINK("http://www.uniprot.org/uniprot/M5WD04","M5WD04")</f>
        <v>M5WD04</v>
      </c>
      <c r="D7730" s="2" t="s">
        <v>6846</v>
      </c>
      <c r="E7730" s="3">
        <v>0</v>
      </c>
      <c r="F7730" s="2">
        <v>4014</v>
      </c>
      <c r="G7730" s="2">
        <v>100</v>
      </c>
      <c r="H7730" s="2">
        <v>826</v>
      </c>
      <c r="I7730" s="2">
        <v>256</v>
      </c>
      <c r="J7730" s="2">
        <v>2733</v>
      </c>
      <c r="K7730" s="2">
        <v>1</v>
      </c>
      <c r="L7730" s="2">
        <v>826</v>
      </c>
    </row>
    <row r="7731" spans="1:12" x14ac:dyDescent="0.25">
      <c r="A7731" s="4" t="str">
        <f>HYPERLINK("http://www.rosaceae.org/Prunus/Prunus_persica/p.persica_gdr_reftransV1_0001257","p.persica_gdr_reftransV1_0001257")</f>
        <v>p.persica_gdr_reftransV1_0001257</v>
      </c>
      <c r="B7731" s="2">
        <v>679</v>
      </c>
      <c r="C7731" s="4" t="str">
        <f>HYPERLINK("http://www.uniprot.org/uniprot/M5VVQ9","M5VVQ9")</f>
        <v>M5VVQ9</v>
      </c>
      <c r="D7731" s="2" t="s">
        <v>1770</v>
      </c>
      <c r="E7731" s="3">
        <v>1.25E-108</v>
      </c>
      <c r="F7731" s="2">
        <v>902</v>
      </c>
      <c r="G7731" s="2">
        <v>100</v>
      </c>
      <c r="H7731" s="2">
        <v>226</v>
      </c>
      <c r="I7731" s="2">
        <v>1</v>
      </c>
      <c r="J7731" s="2">
        <v>678</v>
      </c>
      <c r="K7731" s="2">
        <v>91</v>
      </c>
      <c r="L7731" s="2">
        <v>316</v>
      </c>
    </row>
    <row r="7732" spans="1:12" x14ac:dyDescent="0.25">
      <c r="A7732" s="4" t="str">
        <f>HYPERLINK("http://www.rosaceae.org/Prunus/Prunus_persica/p.persica_gdr_reftransV1_0001957","p.persica_gdr_reftransV1_0001957")</f>
        <v>p.persica_gdr_reftransV1_0001957</v>
      </c>
      <c r="B7732" s="2">
        <v>1614</v>
      </c>
      <c r="C7732" s="4" t="str">
        <f>HYPERLINK("http://www.uniprot.org/uniprot/M5XS35","M5XS35")</f>
        <v>M5XS35</v>
      </c>
      <c r="D7732" s="2" t="s">
        <v>6847</v>
      </c>
      <c r="E7732" s="3">
        <v>5.0400000000000003E-12</v>
      </c>
      <c r="F7732" s="2">
        <v>192</v>
      </c>
      <c r="G7732" s="2">
        <v>84</v>
      </c>
      <c r="H7732" s="2">
        <v>197</v>
      </c>
      <c r="I7732" s="2">
        <v>332</v>
      </c>
      <c r="J7732" s="2">
        <v>922</v>
      </c>
      <c r="K7732" s="2">
        <v>292</v>
      </c>
      <c r="L7732" s="2">
        <v>466</v>
      </c>
    </row>
    <row r="7733" spans="1:12" x14ac:dyDescent="0.25">
      <c r="A7733" s="4" t="str">
        <f>HYPERLINK("http://www.rosaceae.org/Prunus/Prunus_persica/p.persica_gdr_reftransV1_0002657","p.persica_gdr_reftransV1_0002657")</f>
        <v>p.persica_gdr_reftransV1_0002657</v>
      </c>
      <c r="B7733" s="2">
        <v>1706</v>
      </c>
      <c r="C7733" s="4" t="str">
        <f>HYPERLINK("http://www.uniprot.org/uniprot/M5X0S5","M5X0S5")</f>
        <v>M5X0S5</v>
      </c>
      <c r="D7733" s="2" t="s">
        <v>6848</v>
      </c>
      <c r="E7733" s="3">
        <v>0</v>
      </c>
      <c r="F7733" s="2">
        <v>1899</v>
      </c>
      <c r="G7733" s="2">
        <v>100</v>
      </c>
      <c r="H7733" s="2">
        <v>369</v>
      </c>
      <c r="I7733" s="2">
        <v>258</v>
      </c>
      <c r="J7733" s="2">
        <v>1364</v>
      </c>
      <c r="K7733" s="2">
        <v>1</v>
      </c>
      <c r="L7733" s="2">
        <v>369</v>
      </c>
    </row>
    <row r="7734" spans="1:12" x14ac:dyDescent="0.25">
      <c r="A7734" s="4" t="str">
        <f>HYPERLINK("http://www.rosaceae.org/Prunus/Prunus_persica/p.persica_gdr_reftransV1_0003357","p.persica_gdr_reftransV1_0003357")</f>
        <v>p.persica_gdr_reftransV1_0003357</v>
      </c>
      <c r="B7734" s="2">
        <v>381</v>
      </c>
      <c r="C7734" s="4" t="str">
        <f>HYPERLINK("http://www.uniprot.org/uniprot/M5VYY7","M5VYY7")</f>
        <v>M5VYY7</v>
      </c>
      <c r="D7734" s="2" t="s">
        <v>6849</v>
      </c>
      <c r="E7734" s="3">
        <v>1.9199999999999999E-67</v>
      </c>
      <c r="F7734" s="2">
        <v>565</v>
      </c>
      <c r="G7734" s="2">
        <v>100</v>
      </c>
      <c r="H7734" s="2">
        <v>126</v>
      </c>
      <c r="I7734" s="2">
        <v>3</v>
      </c>
      <c r="J7734" s="2">
        <v>380</v>
      </c>
      <c r="K7734" s="2">
        <v>161</v>
      </c>
      <c r="L7734" s="2">
        <v>286</v>
      </c>
    </row>
    <row r="7735" spans="1:12" x14ac:dyDescent="0.25">
      <c r="A7735" s="4" t="str">
        <f>HYPERLINK("http://www.rosaceae.org/Prunus/Prunus_persica/p.persica_gdr_reftransV1_0003707","p.persica_gdr_reftransV1_0003707")</f>
        <v>p.persica_gdr_reftransV1_0003707</v>
      </c>
      <c r="B7735" s="2">
        <v>1674</v>
      </c>
      <c r="C7735" s="4" t="str">
        <f>HYPERLINK("http://www.uniprot.org/uniprot/M5WQ43","M5WQ43")</f>
        <v>M5WQ43</v>
      </c>
      <c r="D7735" s="2" t="s">
        <v>6850</v>
      </c>
      <c r="E7735" s="3">
        <v>0</v>
      </c>
      <c r="F7735" s="2">
        <v>2006</v>
      </c>
      <c r="G7735" s="2">
        <v>94</v>
      </c>
      <c r="H7735" s="2">
        <v>442</v>
      </c>
      <c r="I7735" s="2">
        <v>234</v>
      </c>
      <c r="J7735" s="2">
        <v>1559</v>
      </c>
      <c r="K7735" s="2">
        <v>1</v>
      </c>
      <c r="L7735" s="2">
        <v>417</v>
      </c>
    </row>
    <row r="7736" spans="1:12" x14ac:dyDescent="0.25">
      <c r="A7736" s="4" t="str">
        <f>HYPERLINK("http://www.rosaceae.org/Prunus/Prunus_persica/p.persica_gdr_reftransV1_0004057","p.persica_gdr_reftransV1_0004057")</f>
        <v>p.persica_gdr_reftransV1_0004057</v>
      </c>
      <c r="B7736" s="2">
        <v>855</v>
      </c>
      <c r="C7736" s="4" t="str">
        <f>HYPERLINK("http://www.uniprot.org/uniprot/M5W1S8","M5W1S8")</f>
        <v>M5W1S8</v>
      </c>
      <c r="D7736" s="2" t="s">
        <v>6851</v>
      </c>
      <c r="E7736" s="3">
        <v>5.1199999999999999E-93</v>
      </c>
      <c r="F7736" s="2">
        <v>723</v>
      </c>
      <c r="G7736" s="2">
        <v>100</v>
      </c>
      <c r="H7736" s="2">
        <v>138</v>
      </c>
      <c r="I7736" s="2">
        <v>168</v>
      </c>
      <c r="J7736" s="2">
        <v>581</v>
      </c>
      <c r="K7736" s="2">
        <v>1</v>
      </c>
      <c r="L7736" s="2">
        <v>138</v>
      </c>
    </row>
    <row r="7737" spans="1:12" x14ac:dyDescent="0.25">
      <c r="A7737" s="4" t="str">
        <f>HYPERLINK("http://www.rosaceae.org/Prunus/Prunus_persica/p.persica_gdr_reftransV1_0004757","p.persica_gdr_reftransV1_0004757")</f>
        <v>p.persica_gdr_reftransV1_0004757</v>
      </c>
      <c r="B7737" s="2">
        <v>2755</v>
      </c>
      <c r="C7737" s="4" t="str">
        <f>HYPERLINK("http://www.uniprot.org/uniprot/M5WE86","M5WE86")</f>
        <v>M5WE86</v>
      </c>
      <c r="D7737" s="2" t="s">
        <v>6852</v>
      </c>
      <c r="E7737" s="3">
        <v>0</v>
      </c>
      <c r="F7737" s="2">
        <v>3348</v>
      </c>
      <c r="G7737" s="2">
        <v>96</v>
      </c>
      <c r="H7737" s="2">
        <v>731</v>
      </c>
      <c r="I7737" s="2">
        <v>356</v>
      </c>
      <c r="J7737" s="2">
        <v>2548</v>
      </c>
      <c r="K7737" s="2">
        <v>1</v>
      </c>
      <c r="L7737" s="2">
        <v>701</v>
      </c>
    </row>
    <row r="7738" spans="1:12" x14ac:dyDescent="0.25">
      <c r="A7738" s="4" t="str">
        <f>HYPERLINK("http://www.rosaceae.org/Prunus/Prunus_persica/p.persica_gdr_reftransV1_0005457","p.persica_gdr_reftransV1_0005457")</f>
        <v>p.persica_gdr_reftransV1_0005457</v>
      </c>
      <c r="B7738" s="2">
        <v>2090</v>
      </c>
      <c r="C7738" s="4" t="str">
        <f>HYPERLINK("http://www.uniprot.org/uniprot/M5X8Q8","M5X8Q8")</f>
        <v>M5X8Q8</v>
      </c>
      <c r="D7738" s="2" t="s">
        <v>4232</v>
      </c>
      <c r="E7738" s="3">
        <v>0</v>
      </c>
      <c r="F7738" s="2">
        <v>1392</v>
      </c>
      <c r="G7738" s="2">
        <v>100</v>
      </c>
      <c r="H7738" s="2">
        <v>285</v>
      </c>
      <c r="I7738" s="2">
        <v>1142</v>
      </c>
      <c r="J7738" s="2">
        <v>1996</v>
      </c>
      <c r="K7738" s="2">
        <v>1</v>
      </c>
      <c r="L7738" s="2">
        <v>285</v>
      </c>
    </row>
    <row r="7739" spans="1:12" x14ac:dyDescent="0.25">
      <c r="A7739" s="4" t="str">
        <f>HYPERLINK("http://www.rosaceae.org/Prunus/Prunus_persica/p.persica_gdr_reftransV1_0005807","p.persica_gdr_reftransV1_0005807")</f>
        <v>p.persica_gdr_reftransV1_0005807</v>
      </c>
      <c r="B7739" s="2">
        <v>332</v>
      </c>
      <c r="C7739" s="4" t="str">
        <f>HYPERLINK("http://www.uniprot.org/uniprot/M5WVW7","M5WVW7")</f>
        <v>M5WVW7</v>
      </c>
      <c r="D7739" s="2" t="s">
        <v>6853</v>
      </c>
      <c r="E7739" s="3">
        <v>9.5000000000000003E-18</v>
      </c>
      <c r="F7739" s="2">
        <v>202</v>
      </c>
      <c r="G7739" s="2">
        <v>100</v>
      </c>
      <c r="H7739" s="2">
        <v>44</v>
      </c>
      <c r="I7739" s="2">
        <v>145</v>
      </c>
      <c r="J7739" s="2">
        <v>276</v>
      </c>
      <c r="K7739" s="2">
        <v>1</v>
      </c>
      <c r="L7739" s="2">
        <v>44</v>
      </c>
    </row>
    <row r="7740" spans="1:12" x14ac:dyDescent="0.25">
      <c r="A7740" s="4" t="str">
        <f>HYPERLINK("http://www.rosaceae.org/Prunus/Prunus_persica/p.persica_gdr_reftransV1_0006157","p.persica_gdr_reftransV1_0006157")</f>
        <v>p.persica_gdr_reftransV1_0006157</v>
      </c>
      <c r="B7740" s="2">
        <v>585</v>
      </c>
      <c r="C7740" s="4" t="str">
        <f>HYPERLINK("http://www.uniprot.org/uniprot/M5W915","M5W915")</f>
        <v>M5W915</v>
      </c>
      <c r="D7740" s="2" t="s">
        <v>6854</v>
      </c>
      <c r="E7740" s="3">
        <v>6.8000000000000007E-117</v>
      </c>
      <c r="F7740" s="2">
        <v>900</v>
      </c>
      <c r="G7740" s="2">
        <v>99</v>
      </c>
      <c r="H7740" s="2">
        <v>167</v>
      </c>
      <c r="I7740" s="2">
        <v>79</v>
      </c>
      <c r="J7740" s="2">
        <v>579</v>
      </c>
      <c r="K7740" s="2">
        <v>84</v>
      </c>
      <c r="L7740" s="2">
        <v>250</v>
      </c>
    </row>
    <row r="7741" spans="1:12" x14ac:dyDescent="0.25">
      <c r="A7741" s="4" t="str">
        <f>HYPERLINK("http://www.rosaceae.org/Prunus/Prunus_persica/p.persica_gdr_reftransV1_0006507","p.persica_gdr_reftransV1_0006507")</f>
        <v>p.persica_gdr_reftransV1_0006507</v>
      </c>
      <c r="B7741" s="2">
        <v>915</v>
      </c>
      <c r="C7741" s="4" t="str">
        <f>HYPERLINK("http://www.uniprot.org/uniprot/M5XEQ9","M5XEQ9")</f>
        <v>M5XEQ9</v>
      </c>
      <c r="D7741" s="2" t="s">
        <v>6855</v>
      </c>
      <c r="E7741" s="3">
        <v>7.4499999999999996E-59</v>
      </c>
      <c r="F7741" s="2">
        <v>497</v>
      </c>
      <c r="G7741" s="2">
        <v>100</v>
      </c>
      <c r="H7741" s="2">
        <v>95</v>
      </c>
      <c r="I7741" s="2">
        <v>164</v>
      </c>
      <c r="J7741" s="2">
        <v>448</v>
      </c>
      <c r="K7741" s="2">
        <v>1</v>
      </c>
      <c r="L7741" s="2">
        <v>95</v>
      </c>
    </row>
    <row r="7742" spans="1:12" x14ac:dyDescent="0.25">
      <c r="A7742" s="4" t="str">
        <f>HYPERLINK("http://www.rosaceae.org/Prunus/Prunus_persica/p.persica_gdr_reftransV1_0006857","p.persica_gdr_reftransV1_0006857")</f>
        <v>p.persica_gdr_reftransV1_0006857</v>
      </c>
      <c r="B7742" s="2">
        <v>625</v>
      </c>
      <c r="C7742" s="4" t="str">
        <f>HYPERLINK("http://www.uniprot.org/uniprot/M5WE05","M5WE05")</f>
        <v>M5WE05</v>
      </c>
      <c r="D7742" s="2" t="s">
        <v>6856</v>
      </c>
      <c r="E7742" s="3">
        <v>2.38E-54</v>
      </c>
      <c r="F7742" s="2">
        <v>491</v>
      </c>
      <c r="G7742" s="2">
        <v>100</v>
      </c>
      <c r="H7742" s="2">
        <v>92</v>
      </c>
      <c r="I7742" s="2">
        <v>1</v>
      </c>
      <c r="J7742" s="2">
        <v>276</v>
      </c>
      <c r="K7742" s="2">
        <v>515</v>
      </c>
      <c r="L7742" s="2">
        <v>606</v>
      </c>
    </row>
    <row r="7743" spans="1:12" x14ac:dyDescent="0.25">
      <c r="A7743" s="4" t="str">
        <f>HYPERLINK("http://www.rosaceae.org/Prunus/Prunus_persica/p.persica_gdr_reftransV1_0007207","p.persica_gdr_reftransV1_0007207")</f>
        <v>p.persica_gdr_reftransV1_0007207</v>
      </c>
      <c r="B7743" s="2">
        <v>2262</v>
      </c>
      <c r="C7743" s="4" t="str">
        <f>HYPERLINK("http://www.uniprot.org/uniprot/M5XD73","M5XD73")</f>
        <v>M5XD73</v>
      </c>
      <c r="D7743" s="2" t="s">
        <v>6857</v>
      </c>
      <c r="E7743" s="3">
        <v>0</v>
      </c>
      <c r="F7743" s="2">
        <v>2697</v>
      </c>
      <c r="G7743" s="2">
        <v>100</v>
      </c>
      <c r="H7743" s="2">
        <v>519</v>
      </c>
      <c r="I7743" s="2">
        <v>443</v>
      </c>
      <c r="J7743" s="2">
        <v>1999</v>
      </c>
      <c r="K7743" s="2">
        <v>1</v>
      </c>
      <c r="L7743" s="2">
        <v>519</v>
      </c>
    </row>
    <row r="7744" spans="1:12" x14ac:dyDescent="0.25">
      <c r="A7744" s="4" t="str">
        <f>HYPERLINK("http://www.rosaceae.org/Prunus/Prunus_persica/p.persica_gdr_reftransV1_0007557","p.persica_gdr_reftransV1_0007557")</f>
        <v>p.persica_gdr_reftransV1_0007557</v>
      </c>
      <c r="B7744" s="2">
        <v>1772</v>
      </c>
      <c r="C7744" s="4" t="str">
        <f>HYPERLINK("http://www.uniprot.org/uniprot/M5X6N8","M5X6N8")</f>
        <v>M5X6N8</v>
      </c>
      <c r="D7744" s="2" t="s">
        <v>6858</v>
      </c>
      <c r="E7744" s="3">
        <v>0</v>
      </c>
      <c r="F7744" s="2">
        <v>1874</v>
      </c>
      <c r="G7744" s="2">
        <v>100</v>
      </c>
      <c r="H7744" s="2">
        <v>369</v>
      </c>
      <c r="I7744" s="2">
        <v>393</v>
      </c>
      <c r="J7744" s="2">
        <v>1499</v>
      </c>
      <c r="K7744" s="2">
        <v>11</v>
      </c>
      <c r="L7744" s="2">
        <v>379</v>
      </c>
    </row>
    <row r="7745" spans="1:12" x14ac:dyDescent="0.25">
      <c r="A7745" s="4" t="str">
        <f>HYPERLINK("http://www.rosaceae.org/Prunus/Prunus_persica/p.persica_gdr_reftransV1_0007907","p.persica_gdr_reftransV1_0007907")</f>
        <v>p.persica_gdr_reftransV1_0007907</v>
      </c>
      <c r="B7745" s="2">
        <v>1160</v>
      </c>
      <c r="C7745" s="4" t="str">
        <f>HYPERLINK("http://www.uniprot.org/uniprot/M5WVJ3","M5WVJ3")</f>
        <v>M5WVJ3</v>
      </c>
      <c r="D7745" s="2" t="s">
        <v>6859</v>
      </c>
      <c r="E7745" s="3">
        <v>4.6500000000000002E-103</v>
      </c>
      <c r="F7745" s="2">
        <v>807</v>
      </c>
      <c r="G7745" s="2">
        <v>100</v>
      </c>
      <c r="H7745" s="2">
        <v>184</v>
      </c>
      <c r="I7745" s="2">
        <v>321</v>
      </c>
      <c r="J7745" s="2">
        <v>872</v>
      </c>
      <c r="K7745" s="2">
        <v>4</v>
      </c>
      <c r="L7745" s="2">
        <v>187</v>
      </c>
    </row>
    <row r="7746" spans="1:12" x14ac:dyDescent="0.25">
      <c r="A7746" s="4" t="str">
        <f>HYPERLINK("http://www.rosaceae.org/Prunus/Prunus_persica/p.persica_gdr_reftransV1_0008257","p.persica_gdr_reftransV1_0008257")</f>
        <v>p.persica_gdr_reftransV1_0008257</v>
      </c>
      <c r="B7746" s="2">
        <v>1951</v>
      </c>
      <c r="C7746" s="4" t="str">
        <f>HYPERLINK("http://www.uniprot.org/uniprot/M5X074","M5X074")</f>
        <v>M5X074</v>
      </c>
      <c r="D7746" s="2" t="s">
        <v>6860</v>
      </c>
      <c r="E7746" s="3">
        <v>0</v>
      </c>
      <c r="F7746" s="2">
        <v>2693</v>
      </c>
      <c r="G7746" s="2">
        <v>100</v>
      </c>
      <c r="H7746" s="2">
        <v>552</v>
      </c>
      <c r="I7746" s="2">
        <v>295</v>
      </c>
      <c r="J7746" s="2">
        <v>1950</v>
      </c>
      <c r="K7746" s="2">
        <v>1</v>
      </c>
      <c r="L7746" s="2">
        <v>552</v>
      </c>
    </row>
    <row r="7747" spans="1:12" x14ac:dyDescent="0.25">
      <c r="A7747" s="4" t="str">
        <f>HYPERLINK("http://www.rosaceae.org/Prunus/Prunus_persica/p.persica_gdr_reftransV1_0008607","p.persica_gdr_reftransV1_0008607")</f>
        <v>p.persica_gdr_reftransV1_0008607</v>
      </c>
      <c r="B7747" s="2">
        <v>4113</v>
      </c>
      <c r="C7747" s="4" t="str">
        <f>HYPERLINK("http://www.uniprot.org/uniprot/M5X7P7","M5X7P7")</f>
        <v>M5X7P7</v>
      </c>
      <c r="D7747" s="2" t="s">
        <v>6861</v>
      </c>
      <c r="E7747" s="3">
        <v>0</v>
      </c>
      <c r="F7747" s="2">
        <v>3370</v>
      </c>
      <c r="G7747" s="2">
        <v>100</v>
      </c>
      <c r="H7747" s="2">
        <v>650</v>
      </c>
      <c r="I7747" s="2">
        <v>235</v>
      </c>
      <c r="J7747" s="2">
        <v>2184</v>
      </c>
      <c r="K7747" s="2">
        <v>1</v>
      </c>
      <c r="L7747" s="2">
        <v>650</v>
      </c>
    </row>
    <row r="7748" spans="1:12" x14ac:dyDescent="0.25">
      <c r="A7748" s="4" t="str">
        <f>HYPERLINK("http://www.rosaceae.org/Prunus/Prunus_persica/p.persica_gdr_reftransV1_0008957","p.persica_gdr_reftransV1_0008957")</f>
        <v>p.persica_gdr_reftransV1_0008957</v>
      </c>
      <c r="B7748" s="2">
        <v>1943</v>
      </c>
      <c r="C7748" s="4" t="str">
        <f>HYPERLINK("http://www.uniprot.org/uniprot/M5VV77","M5VV77")</f>
        <v>M5VV77</v>
      </c>
      <c r="D7748" s="2" t="s">
        <v>6862</v>
      </c>
      <c r="E7748" s="3">
        <v>0</v>
      </c>
      <c r="F7748" s="2">
        <v>2470</v>
      </c>
      <c r="G7748" s="2">
        <v>100</v>
      </c>
      <c r="H7748" s="2">
        <v>587</v>
      </c>
      <c r="I7748" s="2">
        <v>124</v>
      </c>
      <c r="J7748" s="2">
        <v>1884</v>
      </c>
      <c r="K7748" s="2">
        <v>1</v>
      </c>
      <c r="L7748" s="2">
        <v>587</v>
      </c>
    </row>
    <row r="7749" spans="1:12" x14ac:dyDescent="0.25">
      <c r="A7749" s="4" t="str">
        <f>HYPERLINK("http://www.rosaceae.org/Prunus/Prunus_persica/p.persica_gdr_reftransV1_0009307","p.persica_gdr_reftransV1_0009307")</f>
        <v>p.persica_gdr_reftransV1_0009307</v>
      </c>
      <c r="B7749" s="2">
        <v>1048</v>
      </c>
      <c r="C7749" s="4" t="str">
        <f>HYPERLINK("http://www.uniprot.org/uniprot/B9RRT8","B9RRT8")</f>
        <v>B9RRT8</v>
      </c>
      <c r="D7749" s="2" t="s">
        <v>6863</v>
      </c>
      <c r="E7749" s="3">
        <v>2.9100000000000001E-102</v>
      </c>
      <c r="F7749" s="2">
        <v>796</v>
      </c>
      <c r="G7749" s="2">
        <v>78</v>
      </c>
      <c r="H7749" s="2">
        <v>190</v>
      </c>
      <c r="I7749" s="2">
        <v>119</v>
      </c>
      <c r="J7749" s="2">
        <v>685</v>
      </c>
      <c r="K7749" s="2">
        <v>1</v>
      </c>
      <c r="L7749" s="2">
        <v>186</v>
      </c>
    </row>
    <row r="7750" spans="1:12" x14ac:dyDescent="0.25">
      <c r="A7750" s="4" t="str">
        <f>HYPERLINK("http://www.rosaceae.org/Prunus/Prunus_persica/p.persica_gdr_reftransV1_0009657","p.persica_gdr_reftransV1_0009657")</f>
        <v>p.persica_gdr_reftransV1_0009657</v>
      </c>
      <c r="B7750" s="2">
        <v>1806</v>
      </c>
      <c r="C7750" s="4" t="str">
        <f>HYPERLINK("http://www.uniprot.org/uniprot/M5VPB6","M5VPB6")</f>
        <v>M5VPB6</v>
      </c>
      <c r="D7750" s="2" t="s">
        <v>1279</v>
      </c>
      <c r="E7750" s="3">
        <v>6.9400000000000001E-97</v>
      </c>
      <c r="F7750" s="2">
        <v>791</v>
      </c>
      <c r="G7750" s="2">
        <v>99</v>
      </c>
      <c r="H7750" s="2">
        <v>151</v>
      </c>
      <c r="I7750" s="2">
        <v>1051</v>
      </c>
      <c r="J7750" s="2">
        <v>1503</v>
      </c>
      <c r="K7750" s="2">
        <v>129</v>
      </c>
      <c r="L7750" s="2">
        <v>279</v>
      </c>
    </row>
    <row r="7751" spans="1:12" x14ac:dyDescent="0.25">
      <c r="A7751" s="4" t="str">
        <f>HYPERLINK("http://www.rosaceae.org/Prunus/Prunus_persica/p.persica_gdr_reftransV1_0010357","p.persica_gdr_reftransV1_0010357")</f>
        <v>p.persica_gdr_reftransV1_0010357</v>
      </c>
      <c r="B7751" s="2">
        <v>1706</v>
      </c>
      <c r="C7751" s="4" t="str">
        <f>HYPERLINK("http://www.uniprot.org/uniprot/M5WW71","M5WW71")</f>
        <v>M5WW71</v>
      </c>
      <c r="D7751" s="2" t="s">
        <v>6864</v>
      </c>
      <c r="E7751" s="3">
        <v>8.9900000000000008E-162</v>
      </c>
      <c r="F7751" s="2">
        <v>1239</v>
      </c>
      <c r="G7751" s="2">
        <v>100</v>
      </c>
      <c r="H7751" s="2">
        <v>305</v>
      </c>
      <c r="I7751" s="2">
        <v>790</v>
      </c>
      <c r="J7751" s="2">
        <v>1704</v>
      </c>
      <c r="K7751" s="2">
        <v>157</v>
      </c>
      <c r="L7751" s="2">
        <v>461</v>
      </c>
    </row>
    <row r="7752" spans="1:12" x14ac:dyDescent="0.25">
      <c r="A7752" s="4" t="str">
        <f>HYPERLINK("http://www.rosaceae.org/Prunus/Prunus_persica/p.persica_gdr_reftransV1_0010707","p.persica_gdr_reftransV1_0010707")</f>
        <v>p.persica_gdr_reftransV1_0010707</v>
      </c>
      <c r="B7752" s="2">
        <v>1258</v>
      </c>
      <c r="C7752" s="4" t="str">
        <f>HYPERLINK("http://www.uniprot.org/uniprot/M5WNQ1","M5WNQ1")</f>
        <v>M5WNQ1</v>
      </c>
      <c r="D7752" s="2" t="s">
        <v>6865</v>
      </c>
      <c r="E7752" s="3">
        <v>0</v>
      </c>
      <c r="F7752" s="2">
        <v>1725</v>
      </c>
      <c r="G7752" s="2">
        <v>100</v>
      </c>
      <c r="H7752" s="2">
        <v>324</v>
      </c>
      <c r="I7752" s="2">
        <v>286</v>
      </c>
      <c r="J7752" s="2">
        <v>1257</v>
      </c>
      <c r="K7752" s="2">
        <v>413</v>
      </c>
      <c r="L7752" s="2">
        <v>736</v>
      </c>
    </row>
    <row r="7753" spans="1:12" x14ac:dyDescent="0.25">
      <c r="A7753" s="4" t="str">
        <f>HYPERLINK("http://www.rosaceae.org/Prunus/Prunus_persica/p.persica_gdr_reftransV1_0011407","p.persica_gdr_reftransV1_0011407")</f>
        <v>p.persica_gdr_reftransV1_0011407</v>
      </c>
      <c r="B7753" s="2">
        <v>1194</v>
      </c>
      <c r="C7753" s="4" t="str">
        <f>HYPERLINK("http://www.uniprot.org/uniprot/M5W8T9","M5W8T9")</f>
        <v>M5W8T9</v>
      </c>
      <c r="D7753" s="2" t="s">
        <v>6835</v>
      </c>
      <c r="E7753" s="3">
        <v>6.1199999999999997E-168</v>
      </c>
      <c r="F7753" s="2">
        <v>1264</v>
      </c>
      <c r="G7753" s="2">
        <v>78</v>
      </c>
      <c r="H7753" s="2">
        <v>355</v>
      </c>
      <c r="I7753" s="2">
        <v>17</v>
      </c>
      <c r="J7753" s="2">
        <v>1066</v>
      </c>
      <c r="K7753" s="2">
        <v>118</v>
      </c>
      <c r="L7753" s="2">
        <v>472</v>
      </c>
    </row>
    <row r="7754" spans="1:12" x14ac:dyDescent="0.25">
      <c r="A7754" s="4" t="str">
        <f>HYPERLINK("http://www.rosaceae.org/Prunus/Prunus_persica/p.persica_gdr_reftransV1_0011757","p.persica_gdr_reftransV1_0011757")</f>
        <v>p.persica_gdr_reftransV1_0011757</v>
      </c>
      <c r="B7754" s="2">
        <v>1282</v>
      </c>
      <c r="C7754" s="4" t="str">
        <f>HYPERLINK("http://www.uniprot.org/uniprot/M5X209","M5X209")</f>
        <v>M5X209</v>
      </c>
      <c r="D7754" s="2" t="s">
        <v>6866</v>
      </c>
      <c r="E7754" s="3">
        <v>5.1799999999999995E-150</v>
      </c>
      <c r="F7754" s="2">
        <v>1126</v>
      </c>
      <c r="G7754" s="2">
        <v>91</v>
      </c>
      <c r="H7754" s="2">
        <v>258</v>
      </c>
      <c r="I7754" s="2">
        <v>346</v>
      </c>
      <c r="J7754" s="2">
        <v>1119</v>
      </c>
      <c r="K7754" s="2">
        <v>1</v>
      </c>
      <c r="L7754" s="2">
        <v>237</v>
      </c>
    </row>
    <row r="7755" spans="1:12" x14ac:dyDescent="0.25">
      <c r="A7755" s="4" t="str">
        <f>HYPERLINK("http://www.rosaceae.org/Prunus/Prunus_persica/p.persica_gdr_reftransV1_0012107","p.persica_gdr_reftransV1_0012107")</f>
        <v>p.persica_gdr_reftransV1_0012107</v>
      </c>
      <c r="B7755" s="2">
        <v>2187</v>
      </c>
      <c r="C7755" s="4" t="str">
        <f>HYPERLINK("http://www.uniprot.org/uniprot/W9S2H3","W9S2H3")</f>
        <v>W9S2H3</v>
      </c>
      <c r="D7755" s="2" t="s">
        <v>5689</v>
      </c>
      <c r="E7755" s="3">
        <v>1.2599999999999999E-44</v>
      </c>
      <c r="F7755" s="2">
        <v>437</v>
      </c>
      <c r="G7755" s="2">
        <v>49</v>
      </c>
      <c r="H7755" s="2">
        <v>186</v>
      </c>
      <c r="I7755" s="2">
        <v>1496</v>
      </c>
      <c r="J7755" s="2">
        <v>2050</v>
      </c>
      <c r="K7755" s="2">
        <v>5</v>
      </c>
      <c r="L7755" s="2">
        <v>189</v>
      </c>
    </row>
    <row r="7756" spans="1:12" x14ac:dyDescent="0.25">
      <c r="A7756" s="4" t="str">
        <f>HYPERLINK("http://www.rosaceae.org/Prunus/Prunus_persica/p.persica_gdr_reftransV1_0012807","p.persica_gdr_reftransV1_0012807")</f>
        <v>p.persica_gdr_reftransV1_0012807</v>
      </c>
      <c r="B7756" s="2">
        <v>1938</v>
      </c>
      <c r="C7756" s="4" t="str">
        <f>HYPERLINK("http://www.uniprot.org/uniprot/M5X3Q7","M5X3Q7")</f>
        <v>M5X3Q7</v>
      </c>
      <c r="D7756" s="2" t="s">
        <v>6867</v>
      </c>
      <c r="E7756" s="3">
        <v>0</v>
      </c>
      <c r="F7756" s="2">
        <v>1883</v>
      </c>
      <c r="G7756" s="2">
        <v>100</v>
      </c>
      <c r="H7756" s="2">
        <v>370</v>
      </c>
      <c r="I7756" s="2">
        <v>291</v>
      </c>
      <c r="J7756" s="2">
        <v>1400</v>
      </c>
      <c r="K7756" s="2">
        <v>1</v>
      </c>
      <c r="L7756" s="2">
        <v>370</v>
      </c>
    </row>
    <row r="7757" spans="1:12" x14ac:dyDescent="0.25">
      <c r="A7757" s="4" t="str">
        <f>HYPERLINK("http://www.rosaceae.org/Prunus/Prunus_persica/p.persica_gdr_reftransV1_0013507","p.persica_gdr_reftransV1_0013507")</f>
        <v>p.persica_gdr_reftransV1_0013507</v>
      </c>
      <c r="B7757" s="2">
        <v>847</v>
      </c>
      <c r="C7757" s="4" t="str">
        <f>HYPERLINK("http://www.uniprot.org/uniprot/A0A067FGS4","A0A067FGS4")</f>
        <v>A0A067FGS4</v>
      </c>
      <c r="D7757" s="2" t="s">
        <v>6868</v>
      </c>
      <c r="E7757" s="3">
        <v>9.8999999999999992E-103</v>
      </c>
      <c r="F7757" s="2">
        <v>826</v>
      </c>
      <c r="G7757" s="2">
        <v>75</v>
      </c>
      <c r="H7757" s="2">
        <v>194</v>
      </c>
      <c r="I7757" s="2">
        <v>2</v>
      </c>
      <c r="J7757" s="2">
        <v>583</v>
      </c>
      <c r="K7757" s="2">
        <v>355</v>
      </c>
      <c r="L7757" s="2">
        <v>548</v>
      </c>
    </row>
    <row r="7758" spans="1:12" x14ac:dyDescent="0.25">
      <c r="A7758" s="4" t="str">
        <f>HYPERLINK("http://www.rosaceae.org/Prunus/Prunus_persica/p.persica_gdr_reftransV1_0014557","p.persica_gdr_reftransV1_0014557")</f>
        <v>p.persica_gdr_reftransV1_0014557</v>
      </c>
      <c r="B7758" s="2">
        <v>2057</v>
      </c>
      <c r="C7758" s="4" t="str">
        <f>HYPERLINK("http://www.uniprot.org/uniprot/M5XSL7","M5XSL7")</f>
        <v>M5XSL7</v>
      </c>
      <c r="D7758" s="2" t="s">
        <v>6869</v>
      </c>
      <c r="E7758" s="3">
        <v>0</v>
      </c>
      <c r="F7758" s="2">
        <v>2664</v>
      </c>
      <c r="G7758" s="2">
        <v>100</v>
      </c>
      <c r="H7758" s="2">
        <v>509</v>
      </c>
      <c r="I7758" s="2">
        <v>155</v>
      </c>
      <c r="J7758" s="2">
        <v>1681</v>
      </c>
      <c r="K7758" s="2">
        <v>1</v>
      </c>
      <c r="L7758" s="2">
        <v>509</v>
      </c>
    </row>
    <row r="7759" spans="1:12" x14ac:dyDescent="0.25">
      <c r="A7759" s="4" t="str">
        <f>HYPERLINK("http://www.rosaceae.org/Prunus/Prunus_persica/p.persica_gdr_reftransV1_0014907","p.persica_gdr_reftransV1_0014907")</f>
        <v>p.persica_gdr_reftransV1_0014907</v>
      </c>
      <c r="B7759" s="2">
        <v>2282</v>
      </c>
      <c r="C7759" s="4" t="str">
        <f>HYPERLINK("http://www.uniprot.org/uniprot/V4JSL1","V4JSL1")</f>
        <v>V4JSL1</v>
      </c>
      <c r="D7759" s="2" t="s">
        <v>6870</v>
      </c>
      <c r="E7759" s="3">
        <v>1.2000000000000001E-148</v>
      </c>
      <c r="F7759" s="2">
        <v>1029</v>
      </c>
      <c r="G7759" s="2">
        <v>81</v>
      </c>
      <c r="H7759" s="2">
        <v>225</v>
      </c>
      <c r="I7759" s="2">
        <v>1250</v>
      </c>
      <c r="J7759" s="2">
        <v>1924</v>
      </c>
      <c r="K7759" s="2">
        <v>200</v>
      </c>
      <c r="L7759" s="2">
        <v>424</v>
      </c>
    </row>
    <row r="7760" spans="1:12" x14ac:dyDescent="0.25">
      <c r="A7760" s="4" t="str">
        <f>HYPERLINK("http://www.rosaceae.org/Prunus/Prunus_persica/p.persica_gdr_reftransV1_0015257","p.persica_gdr_reftransV1_0015257")</f>
        <v>p.persica_gdr_reftransV1_0015257</v>
      </c>
      <c r="B7760" s="2">
        <v>2978</v>
      </c>
      <c r="C7760" s="4" t="str">
        <f>HYPERLINK("http://www.uniprot.org/uniprot/M5W9J5","M5W9J5")</f>
        <v>M5W9J5</v>
      </c>
      <c r="D7760" s="2" t="s">
        <v>6871</v>
      </c>
      <c r="E7760" s="3">
        <v>0</v>
      </c>
      <c r="F7760" s="2">
        <v>1477</v>
      </c>
      <c r="G7760" s="2">
        <v>93</v>
      </c>
      <c r="H7760" s="2">
        <v>328</v>
      </c>
      <c r="I7760" s="2">
        <v>1623</v>
      </c>
      <c r="J7760" s="2">
        <v>2606</v>
      </c>
      <c r="K7760" s="2">
        <v>1</v>
      </c>
      <c r="L7760" s="2">
        <v>324</v>
      </c>
    </row>
    <row r="7761" spans="1:12" x14ac:dyDescent="0.25">
      <c r="A7761" s="4" t="str">
        <f>HYPERLINK("http://www.rosaceae.org/Prunus/Prunus_persica/p.persica_gdr_reftransV1_0016657","p.persica_gdr_reftransV1_0016657")</f>
        <v>p.persica_gdr_reftransV1_0016657</v>
      </c>
      <c r="B7761" s="2">
        <v>801</v>
      </c>
      <c r="C7761" s="4" t="str">
        <f>HYPERLINK("http://www.uniprot.org/uniprot/M5XU45","M5XU45")</f>
        <v>M5XU45</v>
      </c>
      <c r="D7761" s="2" t="s">
        <v>5304</v>
      </c>
      <c r="E7761" s="3">
        <v>9.9100000000000001E-88</v>
      </c>
      <c r="F7761" s="2">
        <v>694</v>
      </c>
      <c r="G7761" s="2">
        <v>100</v>
      </c>
      <c r="H7761" s="2">
        <v>129</v>
      </c>
      <c r="I7761" s="2">
        <v>414</v>
      </c>
      <c r="J7761" s="2">
        <v>800</v>
      </c>
      <c r="K7761" s="2">
        <v>1</v>
      </c>
      <c r="L7761" s="2">
        <v>129</v>
      </c>
    </row>
    <row r="7762" spans="1:12" x14ac:dyDescent="0.25">
      <c r="A7762" s="4" t="str">
        <f>HYPERLINK("http://www.rosaceae.org/Prunus/Prunus_persica/p.persica_gdr_reftransV1_0019457","p.persica_gdr_reftransV1_0019457")</f>
        <v>p.persica_gdr_reftransV1_0019457</v>
      </c>
      <c r="B7762" s="2">
        <v>1345</v>
      </c>
      <c r="C7762" s="4" t="str">
        <f>HYPERLINK("http://www.uniprot.org/uniprot/M5X073","M5X073")</f>
        <v>M5X073</v>
      </c>
      <c r="D7762" s="2" t="s">
        <v>6872</v>
      </c>
      <c r="E7762" s="3">
        <v>0</v>
      </c>
      <c r="F7762" s="2">
        <v>1474</v>
      </c>
      <c r="G7762" s="2">
        <v>100</v>
      </c>
      <c r="H7762" s="2">
        <v>321</v>
      </c>
      <c r="I7762" s="2">
        <v>259</v>
      </c>
      <c r="J7762" s="2">
        <v>1221</v>
      </c>
      <c r="K7762" s="2">
        <v>1</v>
      </c>
      <c r="L7762" s="2">
        <v>321</v>
      </c>
    </row>
    <row r="7763" spans="1:12" x14ac:dyDescent="0.25">
      <c r="A7763" s="4" t="str">
        <f>HYPERLINK("http://www.rosaceae.org/Prunus/Prunus_persica/p.persica_gdr_reftransV1_0020857","p.persica_gdr_reftransV1_0020857")</f>
        <v>p.persica_gdr_reftransV1_0020857</v>
      </c>
      <c r="B7763" s="2">
        <v>2126</v>
      </c>
      <c r="C7763" s="4" t="str">
        <f>HYPERLINK("http://www.uniprot.org/uniprot/M5WXD8","M5WXD8")</f>
        <v>M5WXD8</v>
      </c>
      <c r="D7763" s="2" t="s">
        <v>6873</v>
      </c>
      <c r="E7763" s="3">
        <v>0</v>
      </c>
      <c r="F7763" s="2">
        <v>2369</v>
      </c>
      <c r="G7763" s="2">
        <v>100</v>
      </c>
      <c r="H7763" s="2">
        <v>449</v>
      </c>
      <c r="I7763" s="2">
        <v>646</v>
      </c>
      <c r="J7763" s="2">
        <v>1992</v>
      </c>
      <c r="K7763" s="2">
        <v>1</v>
      </c>
      <c r="L7763" s="2">
        <v>449</v>
      </c>
    </row>
    <row r="7764" spans="1:12" x14ac:dyDescent="0.25">
      <c r="A7764" s="4" t="str">
        <f>HYPERLINK("http://www.rosaceae.org/Prunus/Prunus_persica/p.persica_gdr_reftransV1_0021557","p.persica_gdr_reftransV1_0021557")</f>
        <v>p.persica_gdr_reftransV1_0021557</v>
      </c>
      <c r="B7764" s="2">
        <v>892</v>
      </c>
      <c r="C7764" s="4" t="str">
        <f>HYPERLINK("http://www.uniprot.org/uniprot/M5XKW6","M5XKW6")</f>
        <v>M5XKW6</v>
      </c>
      <c r="D7764" s="2" t="s">
        <v>2396</v>
      </c>
      <c r="E7764" s="3">
        <v>0</v>
      </c>
      <c r="F7764" s="2">
        <v>1579</v>
      </c>
      <c r="G7764" s="2">
        <v>100</v>
      </c>
      <c r="H7764" s="2">
        <v>297</v>
      </c>
      <c r="I7764" s="2">
        <v>1</v>
      </c>
      <c r="J7764" s="2">
        <v>891</v>
      </c>
      <c r="K7764" s="2">
        <v>70</v>
      </c>
      <c r="L7764" s="2">
        <v>366</v>
      </c>
    </row>
    <row r="7765" spans="1:12" x14ac:dyDescent="0.25">
      <c r="A7765" s="4" t="str">
        <f>HYPERLINK("http://www.rosaceae.org/Prunus/Prunus_persica/p.persica_gdr_reftransV1_0021907","p.persica_gdr_reftransV1_0021907")</f>
        <v>p.persica_gdr_reftransV1_0021907</v>
      </c>
      <c r="B7765" s="2">
        <v>1258</v>
      </c>
      <c r="C7765" s="4" t="str">
        <f>HYPERLINK("http://www.uniprot.org/uniprot/M5WV96","M5WV96")</f>
        <v>M5WV96</v>
      </c>
      <c r="D7765" s="2" t="s">
        <v>6874</v>
      </c>
      <c r="E7765" s="3">
        <v>6.1300000000000001E-77</v>
      </c>
      <c r="F7765" s="2">
        <v>640</v>
      </c>
      <c r="G7765" s="2">
        <v>75</v>
      </c>
      <c r="H7765" s="2">
        <v>264</v>
      </c>
      <c r="I7765" s="2">
        <v>142</v>
      </c>
      <c r="J7765" s="2">
        <v>924</v>
      </c>
      <c r="K7765" s="2">
        <v>1</v>
      </c>
      <c r="L7765" s="2">
        <v>246</v>
      </c>
    </row>
    <row r="7766" spans="1:12" x14ac:dyDescent="0.25">
      <c r="A7766" s="4" t="str">
        <f>HYPERLINK("http://www.rosaceae.org/Prunus/Prunus_persica/p.persica_gdr_reftransV1_0022257","p.persica_gdr_reftransV1_0022257")</f>
        <v>p.persica_gdr_reftransV1_0022257</v>
      </c>
      <c r="B7766" s="2">
        <v>3791</v>
      </c>
      <c r="C7766" s="4" t="str">
        <f>HYPERLINK("http://www.uniprot.org/uniprot/M5VVR2","M5VVR2")</f>
        <v>M5VVR2</v>
      </c>
      <c r="D7766" s="2" t="s">
        <v>6875</v>
      </c>
      <c r="E7766" s="3">
        <v>0</v>
      </c>
      <c r="F7766" s="2">
        <v>2398</v>
      </c>
      <c r="G7766" s="2">
        <v>100</v>
      </c>
      <c r="H7766" s="2">
        <v>489</v>
      </c>
      <c r="I7766" s="2">
        <v>2</v>
      </c>
      <c r="J7766" s="2">
        <v>1468</v>
      </c>
      <c r="K7766" s="2">
        <v>3</v>
      </c>
      <c r="L7766" s="2">
        <v>491</v>
      </c>
    </row>
    <row r="7767" spans="1:12" x14ac:dyDescent="0.25">
      <c r="A7767" s="4" t="str">
        <f>HYPERLINK("http://www.rosaceae.org/Prunus/Prunus_persica/p.persica_gdr_reftransV1_0023307","p.persica_gdr_reftransV1_0023307")</f>
        <v>p.persica_gdr_reftransV1_0023307</v>
      </c>
      <c r="B7767" s="2">
        <v>1939</v>
      </c>
      <c r="C7767" s="4" t="str">
        <f>HYPERLINK("http://www.uniprot.org/uniprot/M5VRT5","M5VRT5")</f>
        <v>M5VRT5</v>
      </c>
      <c r="D7767" s="2" t="s">
        <v>4344</v>
      </c>
      <c r="E7767" s="3">
        <v>2.3199999999999999E-141</v>
      </c>
      <c r="F7767" s="2">
        <v>1087</v>
      </c>
      <c r="G7767" s="2">
        <v>100</v>
      </c>
      <c r="H7767" s="2">
        <v>226</v>
      </c>
      <c r="I7767" s="2">
        <v>947</v>
      </c>
      <c r="J7767" s="2">
        <v>1624</v>
      </c>
      <c r="K7767" s="2">
        <v>1</v>
      </c>
      <c r="L7767" s="2">
        <v>226</v>
      </c>
    </row>
    <row r="7768" spans="1:12" x14ac:dyDescent="0.25">
      <c r="A7768" s="4" t="str">
        <f>HYPERLINK("http://www.rosaceae.org/Prunus/Prunus_persica/p.persica_gdr_reftransV1_0024707","p.persica_gdr_reftransV1_0024707")</f>
        <v>p.persica_gdr_reftransV1_0024707</v>
      </c>
      <c r="B7768" s="2">
        <v>2717</v>
      </c>
      <c r="C7768" s="4" t="str">
        <f>HYPERLINK("http://www.uniprot.org/uniprot/M5Y076","M5Y076")</f>
        <v>M5Y076</v>
      </c>
      <c r="D7768" s="2" t="s">
        <v>6876</v>
      </c>
      <c r="E7768" s="3">
        <v>0</v>
      </c>
      <c r="F7768" s="2">
        <v>2455</v>
      </c>
      <c r="G7768" s="2">
        <v>100</v>
      </c>
      <c r="H7768" s="2">
        <v>516</v>
      </c>
      <c r="I7768" s="2">
        <v>611</v>
      </c>
      <c r="J7768" s="2">
        <v>2158</v>
      </c>
      <c r="K7768" s="2">
        <v>1</v>
      </c>
      <c r="L7768" s="2">
        <v>516</v>
      </c>
    </row>
    <row r="7769" spans="1:12" x14ac:dyDescent="0.25">
      <c r="A7769" s="4" t="str">
        <f>HYPERLINK("http://www.rosaceae.org/Prunus/Prunus_persica/p.persica_gdr_reftransV1_0025057","p.persica_gdr_reftransV1_0025057")</f>
        <v>p.persica_gdr_reftransV1_0025057</v>
      </c>
      <c r="B7769" s="2">
        <v>1801</v>
      </c>
      <c r="C7769" s="4" t="str">
        <f>HYPERLINK("http://www.uniprot.org/uniprot/M5WI51","M5WI51")</f>
        <v>M5WI51</v>
      </c>
      <c r="D7769" s="2" t="s">
        <v>6877</v>
      </c>
      <c r="E7769" s="3">
        <v>0</v>
      </c>
      <c r="F7769" s="2">
        <v>1876</v>
      </c>
      <c r="G7769" s="2">
        <v>89</v>
      </c>
      <c r="H7769" s="2">
        <v>446</v>
      </c>
      <c r="I7769" s="2">
        <v>305</v>
      </c>
      <c r="J7769" s="2">
        <v>1642</v>
      </c>
      <c r="K7769" s="2">
        <v>1</v>
      </c>
      <c r="L7769" s="2">
        <v>400</v>
      </c>
    </row>
    <row r="7770" spans="1:12" x14ac:dyDescent="0.25">
      <c r="A7770" s="4" t="str">
        <f>HYPERLINK("http://www.rosaceae.org/Prunus/Prunus_persica/p.persica_gdr_reftransV1_0026107","p.persica_gdr_reftransV1_0026107")</f>
        <v>p.persica_gdr_reftransV1_0026107</v>
      </c>
      <c r="B7770" s="2">
        <v>4607</v>
      </c>
      <c r="C7770" s="4" t="str">
        <f>HYPERLINK("http://www.uniprot.org/uniprot/C1KIZ6","C1KIZ6")</f>
        <v>C1KIZ6</v>
      </c>
      <c r="D7770" s="2" t="s">
        <v>6878</v>
      </c>
      <c r="E7770" s="3">
        <v>0</v>
      </c>
      <c r="F7770" s="2">
        <v>7187</v>
      </c>
      <c r="G7770" s="2">
        <v>98</v>
      </c>
      <c r="H7770" s="2">
        <v>1382</v>
      </c>
      <c r="I7770" s="2">
        <v>228</v>
      </c>
      <c r="J7770" s="2">
        <v>4367</v>
      </c>
      <c r="K7770" s="2">
        <v>1</v>
      </c>
      <c r="L7770" s="2">
        <v>1382</v>
      </c>
    </row>
    <row r="7771" spans="1:12" x14ac:dyDescent="0.25">
      <c r="A7771" s="4" t="str">
        <f>HYPERLINK("http://www.rosaceae.org/Prunus/Prunus_persica/p.persica_gdr_reftransV1_0028907","p.persica_gdr_reftransV1_0028907")</f>
        <v>p.persica_gdr_reftransV1_0028907</v>
      </c>
      <c r="B7771" s="2">
        <v>1331</v>
      </c>
      <c r="C7771" s="4" t="str">
        <f>HYPERLINK("http://www.uniprot.org/uniprot/M5XEH5","M5XEH5")</f>
        <v>M5XEH5</v>
      </c>
      <c r="D7771" s="2" t="s">
        <v>6879</v>
      </c>
      <c r="E7771" s="3">
        <v>0</v>
      </c>
      <c r="F7771" s="2">
        <v>1986</v>
      </c>
      <c r="G7771" s="2">
        <v>100</v>
      </c>
      <c r="H7771" s="2">
        <v>374</v>
      </c>
      <c r="I7771" s="2">
        <v>179</v>
      </c>
      <c r="J7771" s="2">
        <v>1300</v>
      </c>
      <c r="K7771" s="2">
        <v>1</v>
      </c>
      <c r="L7771" s="2">
        <v>374</v>
      </c>
    </row>
    <row r="7772" spans="1:12" x14ac:dyDescent="0.25">
      <c r="A7772" s="4" t="str">
        <f>HYPERLINK("http://www.rosaceae.org/Prunus/Prunus_persica/p.persica_gdr_reftransV1_0029257","p.persica_gdr_reftransV1_0029257")</f>
        <v>p.persica_gdr_reftransV1_0029257</v>
      </c>
      <c r="B7772" s="2">
        <v>3588</v>
      </c>
      <c r="C7772" s="4" t="str">
        <f>HYPERLINK("http://www.uniprot.org/uniprot/M5WXD7","M5WXD7")</f>
        <v>M5WXD7</v>
      </c>
      <c r="D7772" s="2" t="s">
        <v>6880</v>
      </c>
      <c r="E7772" s="3">
        <v>0</v>
      </c>
      <c r="F7772" s="2">
        <v>2366</v>
      </c>
      <c r="G7772" s="2">
        <v>95</v>
      </c>
      <c r="H7772" s="2">
        <v>459</v>
      </c>
      <c r="I7772" s="2">
        <v>1924</v>
      </c>
      <c r="J7772" s="2">
        <v>3300</v>
      </c>
      <c r="K7772" s="2">
        <v>7</v>
      </c>
      <c r="L7772" s="2">
        <v>459</v>
      </c>
    </row>
    <row r="7773" spans="1:12" x14ac:dyDescent="0.25">
      <c r="A7773" s="4" t="str">
        <f>HYPERLINK("http://www.rosaceae.org/Prunus/Prunus_persica/p.persica_gdr_reftransV1_0030307","p.persica_gdr_reftransV1_0030307")</f>
        <v>p.persica_gdr_reftransV1_0030307</v>
      </c>
      <c r="B7773" s="2">
        <v>974</v>
      </c>
      <c r="C7773" s="4" t="str">
        <f>HYPERLINK("http://www.uniprot.org/uniprot/M5WRN3","M5WRN3")</f>
        <v>M5WRN3</v>
      </c>
      <c r="D7773" s="2" t="s">
        <v>6881</v>
      </c>
      <c r="E7773" s="3">
        <v>1.0599999999999999E-56</v>
      </c>
      <c r="F7773" s="2">
        <v>485</v>
      </c>
      <c r="G7773" s="2">
        <v>100</v>
      </c>
      <c r="H7773" s="2">
        <v>93</v>
      </c>
      <c r="I7773" s="2">
        <v>677</v>
      </c>
      <c r="J7773" s="2">
        <v>955</v>
      </c>
      <c r="K7773" s="2">
        <v>36</v>
      </c>
      <c r="L7773" s="2">
        <v>128</v>
      </c>
    </row>
    <row r="7774" spans="1:12" x14ac:dyDescent="0.25">
      <c r="A7774" s="4" t="str">
        <f>HYPERLINK("http://www.rosaceae.org/Prunus/Prunus_persica/p.persica_gdr_reftransV1_0031707","p.persica_gdr_reftransV1_0031707")</f>
        <v>p.persica_gdr_reftransV1_0031707</v>
      </c>
      <c r="B7774" s="2">
        <v>1500</v>
      </c>
      <c r="C7774" s="4" t="str">
        <f>HYPERLINK("http://www.uniprot.org/uniprot/M5XTI6","M5XTI6")</f>
        <v>M5XTI6</v>
      </c>
      <c r="D7774" s="2" t="s">
        <v>6882</v>
      </c>
      <c r="E7774" s="3">
        <v>0</v>
      </c>
      <c r="F7774" s="2">
        <v>1906</v>
      </c>
      <c r="G7774" s="2">
        <v>100</v>
      </c>
      <c r="H7774" s="2">
        <v>373</v>
      </c>
      <c r="I7774" s="2">
        <v>203</v>
      </c>
      <c r="J7774" s="2">
        <v>1321</v>
      </c>
      <c r="K7774" s="2">
        <v>1</v>
      </c>
      <c r="L7774" s="2">
        <v>373</v>
      </c>
    </row>
    <row r="7775" spans="1:12" x14ac:dyDescent="0.25">
      <c r="A7775" s="4" t="str">
        <f>HYPERLINK("http://www.rosaceae.org/Prunus/Prunus_persica/p.persica_gdr_reftransV1_0032057","p.persica_gdr_reftransV1_0032057")</f>
        <v>p.persica_gdr_reftransV1_0032057</v>
      </c>
      <c r="B7775" s="2">
        <v>1017</v>
      </c>
      <c r="C7775" s="4" t="str">
        <f>HYPERLINK("http://www.uniprot.org/uniprot/M5XLQ3","M5XLQ3")</f>
        <v>M5XLQ3</v>
      </c>
      <c r="D7775" s="2" t="s">
        <v>6883</v>
      </c>
      <c r="E7775" s="3">
        <v>4.7300000000000003E-115</v>
      </c>
      <c r="F7775" s="2">
        <v>882</v>
      </c>
      <c r="G7775" s="2">
        <v>100</v>
      </c>
      <c r="H7775" s="2">
        <v>202</v>
      </c>
      <c r="I7775" s="2">
        <v>42</v>
      </c>
      <c r="J7775" s="2">
        <v>647</v>
      </c>
      <c r="K7775" s="2">
        <v>1</v>
      </c>
      <c r="L7775" s="2">
        <v>202</v>
      </c>
    </row>
    <row r="7776" spans="1:12" x14ac:dyDescent="0.25">
      <c r="A7776" s="4" t="str">
        <f>HYPERLINK("http://www.rosaceae.org/Prunus/Prunus_persica/p.persica_gdr_reftransV1_0033457","p.persica_gdr_reftransV1_0033457")</f>
        <v>p.persica_gdr_reftransV1_0033457</v>
      </c>
      <c r="B7776" s="2">
        <v>4231</v>
      </c>
      <c r="C7776" s="4" t="str">
        <f>HYPERLINK("http://www.uniprot.org/uniprot/B9SUJ2","B9SUJ2")</f>
        <v>B9SUJ2</v>
      </c>
      <c r="D7776" s="2" t="s">
        <v>6884</v>
      </c>
      <c r="E7776" s="3">
        <v>0</v>
      </c>
      <c r="F7776" s="2">
        <v>4379</v>
      </c>
      <c r="G7776" s="2">
        <v>82</v>
      </c>
      <c r="H7776" s="2">
        <v>1065</v>
      </c>
      <c r="I7776" s="2">
        <v>277</v>
      </c>
      <c r="J7776" s="2">
        <v>3345</v>
      </c>
      <c r="K7776" s="2">
        <v>182</v>
      </c>
      <c r="L7776" s="2">
        <v>1246</v>
      </c>
    </row>
    <row r="7777" spans="1:12" x14ac:dyDescent="0.25">
      <c r="A7777" s="4" t="str">
        <f>HYPERLINK("http://www.rosaceae.org/Prunus/Prunus_persica/p.persica_gdr_reftransV1_0035557","p.persica_gdr_reftransV1_0035557")</f>
        <v>p.persica_gdr_reftransV1_0035557</v>
      </c>
      <c r="B7777" s="2">
        <v>2238</v>
      </c>
      <c r="C7777" s="4" t="str">
        <f>HYPERLINK("http://www.uniprot.org/uniprot/M5WUH3","M5WUH3")</f>
        <v>M5WUH3</v>
      </c>
      <c r="D7777" s="2" t="s">
        <v>6885</v>
      </c>
      <c r="E7777" s="3">
        <v>1.5199999999999999E-83</v>
      </c>
      <c r="F7777" s="2">
        <v>711</v>
      </c>
      <c r="G7777" s="2">
        <v>96</v>
      </c>
      <c r="H7777" s="2">
        <v>140</v>
      </c>
      <c r="I7777" s="2">
        <v>258</v>
      </c>
      <c r="J7777" s="2">
        <v>677</v>
      </c>
      <c r="K7777" s="2">
        <v>1</v>
      </c>
      <c r="L7777" s="2">
        <v>140</v>
      </c>
    </row>
    <row r="7778" spans="1:12" x14ac:dyDescent="0.25">
      <c r="A7778" s="4" t="str">
        <f>HYPERLINK("http://www.rosaceae.org/Prunus/Prunus_persica/p.persica_gdr_reftransV1_0035907","p.persica_gdr_reftransV1_0035907")</f>
        <v>p.persica_gdr_reftransV1_0035907</v>
      </c>
      <c r="B7778" s="2">
        <v>1036</v>
      </c>
      <c r="C7778" s="4" t="str">
        <f>HYPERLINK("http://www.uniprot.org/uniprot/M5VRL9","M5VRL9")</f>
        <v>M5VRL9</v>
      </c>
      <c r="D7778" s="2" t="s">
        <v>6886</v>
      </c>
      <c r="E7778" s="3">
        <v>4.53E-72</v>
      </c>
      <c r="F7778" s="2">
        <v>588</v>
      </c>
      <c r="G7778" s="2">
        <v>100</v>
      </c>
      <c r="H7778" s="2">
        <v>113</v>
      </c>
      <c r="I7778" s="2">
        <v>361</v>
      </c>
      <c r="J7778" s="2">
        <v>699</v>
      </c>
      <c r="K7778" s="2">
        <v>1</v>
      </c>
      <c r="L7778" s="2">
        <v>113</v>
      </c>
    </row>
    <row r="7779" spans="1:12" x14ac:dyDescent="0.25">
      <c r="A7779" s="4" t="str">
        <f>HYPERLINK("http://www.rosaceae.org/Prunus/Prunus_persica/p.persica_gdr_reftransV1_0037307","p.persica_gdr_reftransV1_0037307")</f>
        <v>p.persica_gdr_reftransV1_0037307</v>
      </c>
      <c r="B7779" s="2">
        <v>2347</v>
      </c>
      <c r="C7779" s="4" t="str">
        <f>HYPERLINK("http://www.uniprot.org/uniprot/M5WJE7","M5WJE7")</f>
        <v>M5WJE7</v>
      </c>
      <c r="D7779" s="2" t="s">
        <v>6041</v>
      </c>
      <c r="E7779" s="3">
        <v>3.4399999999999999E-88</v>
      </c>
      <c r="F7779" s="2">
        <v>743</v>
      </c>
      <c r="G7779" s="2">
        <v>99</v>
      </c>
      <c r="H7779" s="2">
        <v>188</v>
      </c>
      <c r="I7779" s="2">
        <v>1680</v>
      </c>
      <c r="J7779" s="2">
        <v>2243</v>
      </c>
      <c r="K7779" s="2">
        <v>1</v>
      </c>
      <c r="L7779" s="2">
        <v>188</v>
      </c>
    </row>
    <row r="7780" spans="1:12" x14ac:dyDescent="0.25">
      <c r="A7780" s="4" t="str">
        <f>HYPERLINK("http://www.rosaceae.org/Prunus/Prunus_persica/p.persica_gdr_reftransV1_0038007","p.persica_gdr_reftransV1_0038007")</f>
        <v>p.persica_gdr_reftransV1_0038007</v>
      </c>
      <c r="B7780" s="2">
        <v>1899</v>
      </c>
      <c r="C7780" s="4" t="str">
        <f>HYPERLINK("http://www.uniprot.org/uniprot/M5WSB5","M5WSB5")</f>
        <v>M5WSB5</v>
      </c>
      <c r="D7780" s="2" t="s">
        <v>6887</v>
      </c>
      <c r="E7780" s="3">
        <v>0</v>
      </c>
      <c r="F7780" s="2">
        <v>1904</v>
      </c>
      <c r="G7780" s="2">
        <v>100</v>
      </c>
      <c r="H7780" s="2">
        <v>450</v>
      </c>
      <c r="I7780" s="2">
        <v>158</v>
      </c>
      <c r="J7780" s="2">
        <v>1507</v>
      </c>
      <c r="K7780" s="2">
        <v>1</v>
      </c>
      <c r="L7780" s="2">
        <v>450</v>
      </c>
    </row>
    <row r="7781" spans="1:12" x14ac:dyDescent="0.25">
      <c r="A7781" s="4" t="str">
        <f>HYPERLINK("http://www.rosaceae.org/Prunus/Prunus_persica/p.persica_gdr_reftransV1_0039407","p.persica_gdr_reftransV1_0039407")</f>
        <v>p.persica_gdr_reftransV1_0039407</v>
      </c>
      <c r="B7781" s="2">
        <v>1325</v>
      </c>
      <c r="C7781" s="4" t="str">
        <f>HYPERLINK("http://www.uniprot.org/uniprot/M5X293","M5X293")</f>
        <v>M5X293</v>
      </c>
      <c r="D7781" s="2" t="s">
        <v>6888</v>
      </c>
      <c r="E7781" s="3">
        <v>5.3099999999999999E-72</v>
      </c>
      <c r="F7781" s="2">
        <v>606</v>
      </c>
      <c r="G7781" s="2">
        <v>97</v>
      </c>
      <c r="H7781" s="2">
        <v>144</v>
      </c>
      <c r="I7781" s="2">
        <v>96</v>
      </c>
      <c r="J7781" s="2">
        <v>527</v>
      </c>
      <c r="K7781" s="2">
        <v>1</v>
      </c>
      <c r="L7781" s="2">
        <v>144</v>
      </c>
    </row>
    <row r="7782" spans="1:12" x14ac:dyDescent="0.25">
      <c r="A7782" s="4" t="str">
        <f>HYPERLINK("http://www.rosaceae.org/Prunus/Prunus_persica/p.persica_gdr_reftransV1_0040107","p.persica_gdr_reftransV1_0040107")</f>
        <v>p.persica_gdr_reftransV1_0040107</v>
      </c>
      <c r="B7782" s="2">
        <v>1096</v>
      </c>
      <c r="C7782" s="4" t="str">
        <f>HYPERLINK("http://www.uniprot.org/uniprot/M5WMB7","M5WMB7")</f>
        <v>M5WMB7</v>
      </c>
      <c r="D7782" s="2" t="s">
        <v>6889</v>
      </c>
      <c r="E7782" s="3">
        <v>2.8099999999999999E-27</v>
      </c>
      <c r="F7782" s="2">
        <v>309</v>
      </c>
      <c r="G7782" s="2">
        <v>100</v>
      </c>
      <c r="H7782" s="2">
        <v>56</v>
      </c>
      <c r="I7782" s="2">
        <v>3</v>
      </c>
      <c r="J7782" s="2">
        <v>170</v>
      </c>
      <c r="K7782" s="2">
        <v>732</v>
      </c>
      <c r="L7782" s="2">
        <v>787</v>
      </c>
    </row>
    <row r="7783" spans="1:12" x14ac:dyDescent="0.25">
      <c r="A7783" s="4" t="str">
        <f>HYPERLINK("http://www.rosaceae.org/Prunus/Prunus_persica/p.persica_gdr_reftransV1_0041157","p.persica_gdr_reftransV1_0041157")</f>
        <v>p.persica_gdr_reftransV1_0041157</v>
      </c>
      <c r="B7783" s="2">
        <v>6757</v>
      </c>
      <c r="C7783" s="4" t="str">
        <f>HYPERLINK("http://www.uniprot.org/uniprot/M5XRN0","M5XRN0")</f>
        <v>M5XRN0</v>
      </c>
      <c r="D7783" s="2" t="s">
        <v>1342</v>
      </c>
      <c r="E7783" s="3">
        <v>0</v>
      </c>
      <c r="F7783" s="2">
        <v>4100</v>
      </c>
      <c r="G7783" s="2">
        <v>100</v>
      </c>
      <c r="H7783" s="2">
        <v>920</v>
      </c>
      <c r="I7783" s="2">
        <v>955</v>
      </c>
      <c r="J7783" s="2">
        <v>3714</v>
      </c>
      <c r="K7783" s="2">
        <v>127</v>
      </c>
      <c r="L7783" s="2">
        <v>1046</v>
      </c>
    </row>
    <row r="7784" spans="1:12" x14ac:dyDescent="0.25">
      <c r="A7784" s="4" t="str">
        <f>HYPERLINK("http://www.rosaceae.org/Prunus/Prunus_persica/p.persica_gdr_reftransV1_0041507","p.persica_gdr_reftransV1_0041507")</f>
        <v>p.persica_gdr_reftransV1_0041507</v>
      </c>
      <c r="B7784" s="2">
        <v>2710</v>
      </c>
      <c r="C7784" s="4" t="str">
        <f>HYPERLINK("http://www.uniprot.org/uniprot/M5XEA1","M5XEA1")</f>
        <v>M5XEA1</v>
      </c>
      <c r="D7784" s="2" t="s">
        <v>6890</v>
      </c>
      <c r="E7784" s="3">
        <v>0</v>
      </c>
      <c r="F7784" s="2">
        <v>1819</v>
      </c>
      <c r="G7784" s="2">
        <v>100</v>
      </c>
      <c r="H7784" s="2">
        <v>458</v>
      </c>
      <c r="I7784" s="2">
        <v>1044</v>
      </c>
      <c r="J7784" s="2">
        <v>2417</v>
      </c>
      <c r="K7784" s="2">
        <v>1</v>
      </c>
      <c r="L7784" s="2">
        <v>458</v>
      </c>
    </row>
    <row r="7785" spans="1:12" x14ac:dyDescent="0.25">
      <c r="A7785" s="4" t="str">
        <f>HYPERLINK("http://www.rosaceae.org/Prunus/Prunus_persica/p.persica_gdr_reftransV1_0042557","p.persica_gdr_reftransV1_0042557")</f>
        <v>p.persica_gdr_reftransV1_0042557</v>
      </c>
      <c r="B7785" s="2">
        <v>4173</v>
      </c>
      <c r="C7785" s="4" t="str">
        <f>HYPERLINK("http://www.uniprot.org/uniprot/M5X1C9","M5X1C9")</f>
        <v>M5X1C9</v>
      </c>
      <c r="D7785" s="2" t="s">
        <v>6891</v>
      </c>
      <c r="E7785" s="3">
        <v>0</v>
      </c>
      <c r="F7785" s="2">
        <v>1799</v>
      </c>
      <c r="G7785" s="2">
        <v>100</v>
      </c>
      <c r="H7785" s="2">
        <v>338</v>
      </c>
      <c r="I7785" s="2">
        <v>1411</v>
      </c>
      <c r="J7785" s="2">
        <v>2424</v>
      </c>
      <c r="K7785" s="2">
        <v>74</v>
      </c>
      <c r="L7785" s="2">
        <v>411</v>
      </c>
    </row>
    <row r="7786" spans="1:12" x14ac:dyDescent="0.25">
      <c r="A7786" s="4" t="str">
        <f>HYPERLINK("http://www.rosaceae.org/Prunus/Prunus_persica/p.persica_gdr_reftransV1_0042907","p.persica_gdr_reftransV1_0042907")</f>
        <v>p.persica_gdr_reftransV1_0042907</v>
      </c>
      <c r="B7786" s="2">
        <v>1547</v>
      </c>
      <c r="C7786" s="4" t="str">
        <f>HYPERLINK("http://www.uniprot.org/uniprot/M5VHM5","M5VHM5")</f>
        <v>M5VHM5</v>
      </c>
      <c r="D7786" s="2" t="s">
        <v>6892</v>
      </c>
      <c r="E7786" s="3">
        <v>4.8300000000000001E-154</v>
      </c>
      <c r="F7786" s="2">
        <v>1158</v>
      </c>
      <c r="G7786" s="2">
        <v>100</v>
      </c>
      <c r="H7786" s="2">
        <v>221</v>
      </c>
      <c r="I7786" s="2">
        <v>170</v>
      </c>
      <c r="J7786" s="2">
        <v>832</v>
      </c>
      <c r="K7786" s="2">
        <v>1</v>
      </c>
      <c r="L7786" s="2">
        <v>221</v>
      </c>
    </row>
    <row r="7787" spans="1:12" x14ac:dyDescent="0.25">
      <c r="A7787" s="4" t="str">
        <f>HYPERLINK("http://www.rosaceae.org/Prunus/Prunus_persica/p.persica_gdr_reftransV1_0043257","p.persica_gdr_reftransV1_0043257")</f>
        <v>p.persica_gdr_reftransV1_0043257</v>
      </c>
      <c r="B7787" s="2">
        <v>1419</v>
      </c>
      <c r="C7787" s="4" t="str">
        <f>HYPERLINK("http://www.uniprot.org/uniprot/M5WYP6","M5WYP6")</f>
        <v>M5WYP6</v>
      </c>
      <c r="D7787" s="2" t="s">
        <v>6893</v>
      </c>
      <c r="E7787" s="3">
        <v>2.5499999999999999E-178</v>
      </c>
      <c r="F7787" s="2">
        <v>1321</v>
      </c>
      <c r="G7787" s="2">
        <v>100</v>
      </c>
      <c r="H7787" s="2">
        <v>291</v>
      </c>
      <c r="I7787" s="2">
        <v>365</v>
      </c>
      <c r="J7787" s="2">
        <v>1237</v>
      </c>
      <c r="K7787" s="2">
        <v>1</v>
      </c>
      <c r="L7787" s="2">
        <v>291</v>
      </c>
    </row>
    <row r="7788" spans="1:12" x14ac:dyDescent="0.25">
      <c r="A7788" s="4" t="str">
        <f>HYPERLINK("http://www.rosaceae.org/Prunus/Prunus_persica/p.persica_gdr_reftransV1_0043607","p.persica_gdr_reftransV1_0043607")</f>
        <v>p.persica_gdr_reftransV1_0043607</v>
      </c>
      <c r="B7788" s="2">
        <v>878</v>
      </c>
      <c r="C7788" s="4" t="str">
        <f>HYPERLINK("http://www.uniprot.org/uniprot/M5W0N9","M5W0N9")</f>
        <v>M5W0N9</v>
      </c>
      <c r="D7788" s="2" t="s">
        <v>6894</v>
      </c>
      <c r="E7788" s="3">
        <v>1.2200000000000001E-152</v>
      </c>
      <c r="F7788" s="2">
        <v>1130</v>
      </c>
      <c r="G7788" s="2">
        <v>100</v>
      </c>
      <c r="H7788" s="2">
        <v>232</v>
      </c>
      <c r="I7788" s="2">
        <v>159</v>
      </c>
      <c r="J7788" s="2">
        <v>854</v>
      </c>
      <c r="K7788" s="2">
        <v>34</v>
      </c>
      <c r="L7788" s="2">
        <v>265</v>
      </c>
    </row>
    <row r="7789" spans="1:12" x14ac:dyDescent="0.25">
      <c r="A7789" s="4" t="str">
        <f>HYPERLINK("http://www.rosaceae.org/Prunus/Prunus_persica/p.persica_gdr_reftransV1_0043957","p.persica_gdr_reftransV1_0043957")</f>
        <v>p.persica_gdr_reftransV1_0043957</v>
      </c>
      <c r="B7789" s="2">
        <v>725</v>
      </c>
      <c r="C7789" s="4" t="str">
        <f>HYPERLINK("http://www.uniprot.org/uniprot/M5Y115","M5Y115")</f>
        <v>M5Y115</v>
      </c>
      <c r="D7789" s="2" t="s">
        <v>5819</v>
      </c>
      <c r="E7789" s="3">
        <v>2.5200000000000001E-149</v>
      </c>
      <c r="F7789" s="2">
        <v>1131</v>
      </c>
      <c r="G7789" s="2">
        <v>100</v>
      </c>
      <c r="H7789" s="2">
        <v>212</v>
      </c>
      <c r="I7789" s="2">
        <v>55</v>
      </c>
      <c r="J7789" s="2">
        <v>690</v>
      </c>
      <c r="K7789" s="2">
        <v>350</v>
      </c>
      <c r="L7789" s="2">
        <v>561</v>
      </c>
    </row>
    <row r="7790" spans="1:12" x14ac:dyDescent="0.25">
      <c r="A7790" s="4" t="str">
        <f>HYPERLINK("http://www.rosaceae.org/Prunus/Prunus_persica/p.persica_gdr_reftransV1_0044657","p.persica_gdr_reftransV1_0044657")</f>
        <v>p.persica_gdr_reftransV1_0044657</v>
      </c>
      <c r="B7790" s="2">
        <v>529</v>
      </c>
      <c r="C7790" s="4" t="str">
        <f>HYPERLINK("http://www.uniprot.org/uniprot/M5WVC4","M5WVC4")</f>
        <v>M5WVC4</v>
      </c>
      <c r="D7790" s="2" t="s">
        <v>5841</v>
      </c>
      <c r="E7790" s="3">
        <v>4.6399999999999997E-114</v>
      </c>
      <c r="F7790" s="2">
        <v>882</v>
      </c>
      <c r="G7790" s="2">
        <v>99</v>
      </c>
      <c r="H7790" s="2">
        <v>165</v>
      </c>
      <c r="I7790" s="2">
        <v>22</v>
      </c>
      <c r="J7790" s="2">
        <v>516</v>
      </c>
      <c r="K7790" s="2">
        <v>311</v>
      </c>
      <c r="L7790" s="2">
        <v>475</v>
      </c>
    </row>
    <row r="7791" spans="1:12" x14ac:dyDescent="0.25">
      <c r="A7791" s="4" t="str">
        <f>HYPERLINK("http://www.rosaceae.org/Prunus/Prunus_persica/p.persica_gdr_reftransV1_0045007","p.persica_gdr_reftransV1_0045007")</f>
        <v>p.persica_gdr_reftransV1_0045007</v>
      </c>
      <c r="B7791" s="2">
        <v>447</v>
      </c>
      <c r="C7791" s="4" t="str">
        <f>HYPERLINK("http://www.uniprot.org/uniprot/M5X4D9","M5X4D9")</f>
        <v>M5X4D9</v>
      </c>
      <c r="D7791" s="2" t="s">
        <v>4534</v>
      </c>
      <c r="E7791" s="3">
        <v>9.1000000000000002E-70</v>
      </c>
      <c r="F7791" s="2">
        <v>558</v>
      </c>
      <c r="G7791" s="2">
        <v>100</v>
      </c>
      <c r="H7791" s="2">
        <v>106</v>
      </c>
      <c r="I7791" s="2">
        <v>13</v>
      </c>
      <c r="J7791" s="2">
        <v>330</v>
      </c>
      <c r="K7791" s="2">
        <v>1</v>
      </c>
      <c r="L7791" s="2">
        <v>106</v>
      </c>
    </row>
    <row r="7792" spans="1:12" x14ac:dyDescent="0.25">
      <c r="A7792" s="4" t="str">
        <f>HYPERLINK("http://www.rosaceae.org/Prunus/Prunus_persica/p.persica_gdr_reftransV1_0045357","p.persica_gdr_reftransV1_0045357")</f>
        <v>p.persica_gdr_reftransV1_0045357</v>
      </c>
      <c r="B7792" s="2">
        <v>331</v>
      </c>
      <c r="C7792" s="4" t="str">
        <f>HYPERLINK("http://www.uniprot.org/uniprot/M5XHH6","M5XHH6")</f>
        <v>M5XHH6</v>
      </c>
      <c r="D7792" s="2" t="s">
        <v>5814</v>
      </c>
      <c r="E7792" s="3">
        <v>1.7300000000000001E-54</v>
      </c>
      <c r="F7792" s="2">
        <v>483</v>
      </c>
      <c r="G7792" s="2">
        <v>100</v>
      </c>
      <c r="H7792" s="2">
        <v>109</v>
      </c>
      <c r="I7792" s="2">
        <v>3</v>
      </c>
      <c r="J7792" s="2">
        <v>329</v>
      </c>
      <c r="K7792" s="2">
        <v>279</v>
      </c>
      <c r="L7792" s="2">
        <v>387</v>
      </c>
    </row>
    <row r="7793" spans="1:12" x14ac:dyDescent="0.25">
      <c r="A7793" s="4" t="str">
        <f>HYPERLINK("http://www.rosaceae.org/Prunus/Prunus_persica/p.persica_gdr_reftransV1_0045707","p.persica_gdr_reftransV1_0045707")</f>
        <v>p.persica_gdr_reftransV1_0045707</v>
      </c>
      <c r="B7793" s="2">
        <v>309</v>
      </c>
      <c r="C7793" s="4" t="str">
        <f>HYPERLINK("http://www.uniprot.org/uniprot/M0W0N8","M0W0N8")</f>
        <v>M0W0N8</v>
      </c>
      <c r="D7793" s="2" t="s">
        <v>6895</v>
      </c>
      <c r="E7793" s="3">
        <v>1.2E-51</v>
      </c>
      <c r="F7793" s="2">
        <v>429</v>
      </c>
      <c r="G7793" s="2">
        <v>99</v>
      </c>
      <c r="H7793" s="2">
        <v>84</v>
      </c>
      <c r="I7793" s="2">
        <v>16</v>
      </c>
      <c r="J7793" s="2">
        <v>267</v>
      </c>
      <c r="K7793" s="2">
        <v>23</v>
      </c>
      <c r="L7793" s="2">
        <v>106</v>
      </c>
    </row>
    <row r="7794" spans="1:12" x14ac:dyDescent="0.25">
      <c r="A7794" s="4" t="str">
        <f>HYPERLINK("http://www.rosaceae.org/Prunus/Prunus_persica/p.persica_gdr_reftransV1_0046057","p.persica_gdr_reftransV1_0046057")</f>
        <v>p.persica_gdr_reftransV1_0046057</v>
      </c>
      <c r="B7794" s="2">
        <v>821</v>
      </c>
      <c r="C7794" s="4" t="str">
        <f>HYPERLINK("http://www.uniprot.org/uniprot/M5W7F3","M5W7F3")</f>
        <v>M5W7F3</v>
      </c>
      <c r="D7794" s="2" t="s">
        <v>5149</v>
      </c>
      <c r="E7794" s="3">
        <v>1.2800000000000001E-31</v>
      </c>
      <c r="F7794" s="2">
        <v>334</v>
      </c>
      <c r="G7794" s="2">
        <v>100</v>
      </c>
      <c r="H7794" s="2">
        <v>63</v>
      </c>
      <c r="I7794" s="2">
        <v>234</v>
      </c>
      <c r="J7794" s="2">
        <v>422</v>
      </c>
      <c r="K7794" s="2">
        <v>623</v>
      </c>
      <c r="L7794" s="2">
        <v>685</v>
      </c>
    </row>
    <row r="7795" spans="1:12" x14ac:dyDescent="0.25">
      <c r="A7795" s="4" t="str">
        <f>HYPERLINK("http://www.rosaceae.org/Prunus/Prunus_persica/p.persica_gdr_reftransV1_0047107","p.persica_gdr_reftransV1_0047107")</f>
        <v>p.persica_gdr_reftransV1_0047107</v>
      </c>
      <c r="B7795" s="2">
        <v>347</v>
      </c>
      <c r="C7795" s="4" t="str">
        <f>HYPERLINK("http://www.uniprot.org/uniprot/M5W5K6","M5W5K6")</f>
        <v>M5W5K6</v>
      </c>
      <c r="D7795" s="2" t="s">
        <v>6896</v>
      </c>
      <c r="E7795" s="3">
        <v>3.4099999999999999E-71</v>
      </c>
      <c r="F7795" s="2">
        <v>575</v>
      </c>
      <c r="G7795" s="2">
        <v>100</v>
      </c>
      <c r="H7795" s="2">
        <v>109</v>
      </c>
      <c r="I7795" s="2">
        <v>19</v>
      </c>
      <c r="J7795" s="2">
        <v>345</v>
      </c>
      <c r="K7795" s="2">
        <v>1</v>
      </c>
      <c r="L7795" s="2">
        <v>109</v>
      </c>
    </row>
    <row r="7796" spans="1:12" x14ac:dyDescent="0.25">
      <c r="A7796" s="4" t="str">
        <f>HYPERLINK("http://www.rosaceae.org/Prunus/Prunus_persica/p.persica_gdr_reftransV1_0047457","p.persica_gdr_reftransV1_0047457")</f>
        <v>p.persica_gdr_reftransV1_0047457</v>
      </c>
      <c r="B7796" s="2">
        <v>1471</v>
      </c>
      <c r="C7796" s="4" t="str">
        <f>HYPERLINK("http://www.uniprot.org/uniprot/M5X1X5","M5X1X5")</f>
        <v>M5X1X5</v>
      </c>
      <c r="D7796" s="2" t="s">
        <v>6653</v>
      </c>
      <c r="E7796" s="3">
        <v>0</v>
      </c>
      <c r="F7796" s="2">
        <v>1666</v>
      </c>
      <c r="G7796" s="2">
        <v>100</v>
      </c>
      <c r="H7796" s="2">
        <v>316</v>
      </c>
      <c r="I7796" s="2">
        <v>298</v>
      </c>
      <c r="J7796" s="2">
        <v>1245</v>
      </c>
      <c r="K7796" s="2">
        <v>22</v>
      </c>
      <c r="L7796" s="2">
        <v>337</v>
      </c>
    </row>
    <row r="7797" spans="1:12" x14ac:dyDescent="0.25">
      <c r="A7797" s="4" t="str">
        <f>HYPERLINK("http://www.rosaceae.org/Prunus/Prunus_persica/p.persica_gdr_reftransV1_0048157","p.persica_gdr_reftransV1_0048157")</f>
        <v>p.persica_gdr_reftransV1_0048157</v>
      </c>
      <c r="B7797" s="2">
        <v>709</v>
      </c>
      <c r="C7797" s="4" t="str">
        <f>HYPERLINK("http://www.uniprot.org/uniprot/M5VQ25","M5VQ25")</f>
        <v>M5VQ25</v>
      </c>
      <c r="D7797" s="2" t="s">
        <v>6897</v>
      </c>
      <c r="E7797" s="3">
        <v>1.06E-106</v>
      </c>
      <c r="F7797" s="2">
        <v>814</v>
      </c>
      <c r="G7797" s="2">
        <v>100</v>
      </c>
      <c r="H7797" s="2">
        <v>169</v>
      </c>
      <c r="I7797" s="2">
        <v>201</v>
      </c>
      <c r="J7797" s="2">
        <v>707</v>
      </c>
      <c r="K7797" s="2">
        <v>1</v>
      </c>
      <c r="L7797" s="2">
        <v>169</v>
      </c>
    </row>
    <row r="7798" spans="1:12" x14ac:dyDescent="0.25">
      <c r="A7798" s="4" t="str">
        <f>HYPERLINK("http://www.rosaceae.org/Prunus/Prunus_persica/p.persica_gdr_reftransV1_0048507","p.persica_gdr_reftransV1_0048507")</f>
        <v>p.persica_gdr_reftransV1_0048507</v>
      </c>
      <c r="B7798" s="2">
        <v>1369</v>
      </c>
      <c r="C7798" s="4" t="str">
        <f>HYPERLINK("http://www.uniprot.org/uniprot/A0A067L0Y3","A0A067L0Y3")</f>
        <v>A0A067L0Y3</v>
      </c>
      <c r="D7798" s="2" t="s">
        <v>6898</v>
      </c>
      <c r="E7798" s="3">
        <v>0</v>
      </c>
      <c r="F7798" s="2">
        <v>1391</v>
      </c>
      <c r="G7798" s="2">
        <v>68</v>
      </c>
      <c r="H7798" s="2">
        <v>407</v>
      </c>
      <c r="I7798" s="2">
        <v>1</v>
      </c>
      <c r="J7798" s="2">
        <v>1113</v>
      </c>
      <c r="K7798" s="2">
        <v>64</v>
      </c>
      <c r="L7798" s="2">
        <v>469</v>
      </c>
    </row>
    <row r="7799" spans="1:12" x14ac:dyDescent="0.25">
      <c r="A7799" s="4" t="str">
        <f>HYPERLINK("http://www.rosaceae.org/Prunus/Prunus_persica/p.persica_gdr_reftransV1_0048857","p.persica_gdr_reftransV1_0048857")</f>
        <v>p.persica_gdr_reftransV1_0048857</v>
      </c>
      <c r="B7799" s="2">
        <v>2142</v>
      </c>
      <c r="C7799" s="4" t="str">
        <f>HYPERLINK("http://www.uniprot.org/uniprot/M5WYW2","M5WYW2")</f>
        <v>M5WYW2</v>
      </c>
      <c r="D7799" s="2" t="s">
        <v>6899</v>
      </c>
      <c r="E7799" s="3">
        <v>0</v>
      </c>
      <c r="F7799" s="2">
        <v>2358</v>
      </c>
      <c r="G7799" s="2">
        <v>100</v>
      </c>
      <c r="H7799" s="2">
        <v>441</v>
      </c>
      <c r="I7799" s="2">
        <v>565</v>
      </c>
      <c r="J7799" s="2">
        <v>1887</v>
      </c>
      <c r="K7799" s="2">
        <v>29</v>
      </c>
      <c r="L7799" s="2">
        <v>469</v>
      </c>
    </row>
    <row r="7800" spans="1:12" x14ac:dyDescent="0.25">
      <c r="A7800" s="4" t="str">
        <f>HYPERLINK("http://www.rosaceae.org/Prunus/Prunus_persica/p.persica_gdr_reftransV1_0000208","p.persica_gdr_reftransV1_0000208")</f>
        <v>p.persica_gdr_reftransV1_0000208</v>
      </c>
      <c r="B7800" s="2">
        <v>1649</v>
      </c>
      <c r="C7800" s="4" t="str">
        <f>HYPERLINK("http://www.uniprot.org/uniprot/M5VPX0","M5VPX0")</f>
        <v>M5VPX0</v>
      </c>
      <c r="D7800" s="2" t="s">
        <v>6900</v>
      </c>
      <c r="E7800" s="3">
        <v>0</v>
      </c>
      <c r="F7800" s="2">
        <v>1911</v>
      </c>
      <c r="G7800" s="2">
        <v>100</v>
      </c>
      <c r="H7800" s="2">
        <v>360</v>
      </c>
      <c r="I7800" s="2">
        <v>286</v>
      </c>
      <c r="J7800" s="2">
        <v>1365</v>
      </c>
      <c r="K7800" s="2">
        <v>1</v>
      </c>
      <c r="L7800" s="2">
        <v>360</v>
      </c>
    </row>
    <row r="7801" spans="1:12" x14ac:dyDescent="0.25">
      <c r="A7801" s="4" t="str">
        <f>HYPERLINK("http://www.rosaceae.org/Prunus/Prunus_persica/p.persica_gdr_reftransV1_0000558","p.persica_gdr_reftransV1_0000558")</f>
        <v>p.persica_gdr_reftransV1_0000558</v>
      </c>
      <c r="B7801" s="2">
        <v>1320</v>
      </c>
      <c r="C7801" s="4" t="str">
        <f>HYPERLINK("http://www.uniprot.org/uniprot/M5X2H8","M5X2H8")</f>
        <v>M5X2H8</v>
      </c>
      <c r="D7801" s="2" t="s">
        <v>6901</v>
      </c>
      <c r="E7801" s="3">
        <v>1.22E-111</v>
      </c>
      <c r="F7801" s="2">
        <v>868</v>
      </c>
      <c r="G7801" s="2">
        <v>100</v>
      </c>
      <c r="H7801" s="2">
        <v>202</v>
      </c>
      <c r="I7801" s="2">
        <v>188</v>
      </c>
      <c r="J7801" s="2">
        <v>793</v>
      </c>
      <c r="K7801" s="2">
        <v>1</v>
      </c>
      <c r="L7801" s="2">
        <v>202</v>
      </c>
    </row>
    <row r="7802" spans="1:12" x14ac:dyDescent="0.25">
      <c r="A7802" s="4" t="str">
        <f>HYPERLINK("http://www.rosaceae.org/Prunus/Prunus_persica/p.persica_gdr_reftransV1_0001258","p.persica_gdr_reftransV1_0001258")</f>
        <v>p.persica_gdr_reftransV1_0001258</v>
      </c>
      <c r="B7802" s="2">
        <v>1203</v>
      </c>
      <c r="C7802" s="4" t="str">
        <f>HYPERLINK("http://www.uniprot.org/uniprot/M5XC58","M5XC58")</f>
        <v>M5XC58</v>
      </c>
      <c r="D7802" s="2" t="s">
        <v>6902</v>
      </c>
      <c r="E7802" s="3">
        <v>0</v>
      </c>
      <c r="F7802" s="2">
        <v>1547</v>
      </c>
      <c r="G7802" s="2">
        <v>91</v>
      </c>
      <c r="H7802" s="2">
        <v>323</v>
      </c>
      <c r="I7802" s="2">
        <v>59</v>
      </c>
      <c r="J7802" s="2">
        <v>1027</v>
      </c>
      <c r="K7802" s="2">
        <v>1</v>
      </c>
      <c r="L7802" s="2">
        <v>293</v>
      </c>
    </row>
    <row r="7803" spans="1:12" x14ac:dyDescent="0.25">
      <c r="A7803" s="4" t="str">
        <f>HYPERLINK("http://www.rosaceae.org/Prunus/Prunus_persica/p.persica_gdr_reftransV1_0001958","p.persica_gdr_reftransV1_0001958")</f>
        <v>p.persica_gdr_reftransV1_0001958</v>
      </c>
      <c r="B7803" s="2">
        <v>2131</v>
      </c>
      <c r="C7803" s="4" t="str">
        <f>HYPERLINK("http://www.uniprot.org/uniprot/M5XRG0","M5XRG0")</f>
        <v>M5XRG0</v>
      </c>
      <c r="D7803" s="2" t="s">
        <v>6903</v>
      </c>
      <c r="E7803" s="3">
        <v>0</v>
      </c>
      <c r="F7803" s="2">
        <v>2520</v>
      </c>
      <c r="G7803" s="2">
        <v>100</v>
      </c>
      <c r="H7803" s="2">
        <v>468</v>
      </c>
      <c r="I7803" s="2">
        <v>163</v>
      </c>
      <c r="J7803" s="2">
        <v>1566</v>
      </c>
      <c r="K7803" s="2">
        <v>1</v>
      </c>
      <c r="L7803" s="2">
        <v>468</v>
      </c>
    </row>
    <row r="7804" spans="1:12" x14ac:dyDescent="0.25">
      <c r="A7804" s="4" t="str">
        <f>HYPERLINK("http://www.rosaceae.org/Prunus/Prunus_persica/p.persica_gdr_reftransV1_0002308","p.persica_gdr_reftransV1_0002308")</f>
        <v>p.persica_gdr_reftransV1_0002308</v>
      </c>
      <c r="B7804" s="2">
        <v>471</v>
      </c>
      <c r="C7804" s="4" t="str">
        <f>HYPERLINK("http://www.uniprot.org/uniprot/M5XG29","M5XG29")</f>
        <v>M5XG29</v>
      </c>
      <c r="D7804" s="2" t="s">
        <v>6904</v>
      </c>
      <c r="E7804" s="3">
        <v>8.8700000000000005E-54</v>
      </c>
      <c r="F7804" s="2">
        <v>469</v>
      </c>
      <c r="G7804" s="2">
        <v>98</v>
      </c>
      <c r="H7804" s="2">
        <v>104</v>
      </c>
      <c r="I7804" s="2">
        <v>51</v>
      </c>
      <c r="J7804" s="2">
        <v>362</v>
      </c>
      <c r="K7804" s="2">
        <v>1</v>
      </c>
      <c r="L7804" s="2">
        <v>104</v>
      </c>
    </row>
    <row r="7805" spans="1:12" x14ac:dyDescent="0.25">
      <c r="A7805" s="4" t="str">
        <f>HYPERLINK("http://www.rosaceae.org/Prunus/Prunus_persica/p.persica_gdr_reftransV1_0002658","p.persica_gdr_reftransV1_0002658")</f>
        <v>p.persica_gdr_reftransV1_0002658</v>
      </c>
      <c r="B7805" s="2">
        <v>1742</v>
      </c>
      <c r="C7805" s="4" t="str">
        <f>HYPERLINK("http://www.uniprot.org/uniprot/M5XWW2","M5XWW2")</f>
        <v>M5XWW2</v>
      </c>
      <c r="D7805" s="2" t="s">
        <v>6905</v>
      </c>
      <c r="E7805" s="3">
        <v>0</v>
      </c>
      <c r="F7805" s="2">
        <v>1684</v>
      </c>
      <c r="G7805" s="2">
        <v>100</v>
      </c>
      <c r="H7805" s="2">
        <v>340</v>
      </c>
      <c r="I7805" s="2">
        <v>82</v>
      </c>
      <c r="J7805" s="2">
        <v>1101</v>
      </c>
      <c r="K7805" s="2">
        <v>1</v>
      </c>
      <c r="L7805" s="2">
        <v>340</v>
      </c>
    </row>
    <row r="7806" spans="1:12" x14ac:dyDescent="0.25">
      <c r="A7806" s="4" t="str">
        <f>HYPERLINK("http://www.rosaceae.org/Prunus/Prunus_persica/p.persica_gdr_reftransV1_0003358","p.persica_gdr_reftransV1_0003358")</f>
        <v>p.persica_gdr_reftransV1_0003358</v>
      </c>
      <c r="B7806" s="2">
        <v>453</v>
      </c>
      <c r="C7806" s="4" t="str">
        <f>HYPERLINK("http://www.uniprot.org/uniprot/M5XBN1","M5XBN1")</f>
        <v>M5XBN1</v>
      </c>
      <c r="D7806" s="2" t="s">
        <v>500</v>
      </c>
      <c r="E7806" s="3">
        <v>1.6000000000000001E-85</v>
      </c>
      <c r="F7806" s="2">
        <v>685</v>
      </c>
      <c r="G7806" s="2">
        <v>89</v>
      </c>
      <c r="H7806" s="2">
        <v>150</v>
      </c>
      <c r="I7806" s="2">
        <v>2</v>
      </c>
      <c r="J7806" s="2">
        <v>451</v>
      </c>
      <c r="K7806" s="2">
        <v>260</v>
      </c>
      <c r="L7806" s="2">
        <v>392</v>
      </c>
    </row>
    <row r="7807" spans="1:12" x14ac:dyDescent="0.25">
      <c r="A7807" s="4" t="str">
        <f>HYPERLINK("http://www.rosaceae.org/Prunus/Prunus_persica/p.persica_gdr_reftransV1_0003708","p.persica_gdr_reftransV1_0003708")</f>
        <v>p.persica_gdr_reftransV1_0003708</v>
      </c>
      <c r="B7807" s="2">
        <v>333</v>
      </c>
      <c r="C7807" s="4" t="str">
        <f>HYPERLINK("http://www.uniprot.org/uniprot/M5VSH2","M5VSH2")</f>
        <v>M5VSH2</v>
      </c>
      <c r="D7807" s="2" t="s">
        <v>2138</v>
      </c>
      <c r="E7807" s="3">
        <v>3.4600000000000002E-52</v>
      </c>
      <c r="F7807" s="2">
        <v>474</v>
      </c>
      <c r="G7807" s="2">
        <v>100</v>
      </c>
      <c r="H7807" s="2">
        <v>102</v>
      </c>
      <c r="I7807" s="2">
        <v>2</v>
      </c>
      <c r="J7807" s="2">
        <v>307</v>
      </c>
      <c r="K7807" s="2">
        <v>493</v>
      </c>
      <c r="L7807" s="2">
        <v>594</v>
      </c>
    </row>
    <row r="7808" spans="1:12" x14ac:dyDescent="0.25">
      <c r="A7808" s="4" t="str">
        <f>HYPERLINK("http://www.rosaceae.org/Prunus/Prunus_persica/p.persica_gdr_reftransV1_0004058","p.persica_gdr_reftransV1_0004058")</f>
        <v>p.persica_gdr_reftransV1_0004058</v>
      </c>
      <c r="B7808" s="2">
        <v>579</v>
      </c>
      <c r="C7808" s="4" t="str">
        <f>HYPERLINK("http://www.uniprot.org/uniprot/M5X9Q1","M5X9Q1")</f>
        <v>M5X9Q1</v>
      </c>
      <c r="D7808" s="2" t="s">
        <v>3295</v>
      </c>
      <c r="E7808" s="3">
        <v>1.2899999999999999E-121</v>
      </c>
      <c r="F7808" s="2">
        <v>961</v>
      </c>
      <c r="G7808" s="2">
        <v>100</v>
      </c>
      <c r="H7808" s="2">
        <v>179</v>
      </c>
      <c r="I7808" s="2">
        <v>2</v>
      </c>
      <c r="J7808" s="2">
        <v>538</v>
      </c>
      <c r="K7808" s="2">
        <v>609</v>
      </c>
      <c r="L7808" s="2">
        <v>787</v>
      </c>
    </row>
    <row r="7809" spans="1:12" x14ac:dyDescent="0.25">
      <c r="A7809" s="4" t="str">
        <f>HYPERLINK("http://www.rosaceae.org/Prunus/Prunus_persica/p.persica_gdr_reftransV1_0005458","p.persica_gdr_reftransV1_0005458")</f>
        <v>p.persica_gdr_reftransV1_0005458</v>
      </c>
      <c r="B7809" s="2">
        <v>2333</v>
      </c>
      <c r="C7809" s="4" t="str">
        <f>HYPERLINK("http://www.uniprot.org/uniprot/M5X2T7","M5X2T7")</f>
        <v>M5X2T7</v>
      </c>
      <c r="D7809" s="2" t="s">
        <v>1494</v>
      </c>
      <c r="E7809" s="3">
        <v>0</v>
      </c>
      <c r="F7809" s="2">
        <v>3149</v>
      </c>
      <c r="G7809" s="2">
        <v>100</v>
      </c>
      <c r="H7809" s="2">
        <v>649</v>
      </c>
      <c r="I7809" s="2">
        <v>178</v>
      </c>
      <c r="J7809" s="2">
        <v>2124</v>
      </c>
      <c r="K7809" s="2">
        <v>1</v>
      </c>
      <c r="L7809" s="2">
        <v>649</v>
      </c>
    </row>
    <row r="7810" spans="1:12" x14ac:dyDescent="0.25">
      <c r="A7810" s="4" t="str">
        <f>HYPERLINK("http://www.rosaceae.org/Prunus/Prunus_persica/p.persica_gdr_reftransV1_0006158","p.persica_gdr_reftransV1_0006158")</f>
        <v>p.persica_gdr_reftransV1_0006158</v>
      </c>
      <c r="B7810" s="2">
        <v>424</v>
      </c>
      <c r="C7810" s="4" t="str">
        <f>HYPERLINK("http://www.uniprot.org/uniprot/M5WZI0","M5WZI0")</f>
        <v>M5WZI0</v>
      </c>
      <c r="D7810" s="2" t="s">
        <v>6906</v>
      </c>
      <c r="E7810" s="3">
        <v>1.3799999999999999E-10</v>
      </c>
      <c r="F7810" s="2">
        <v>166</v>
      </c>
      <c r="G7810" s="2">
        <v>100</v>
      </c>
      <c r="H7810" s="2">
        <v>33</v>
      </c>
      <c r="I7810" s="2">
        <v>3</v>
      </c>
      <c r="J7810" s="2">
        <v>101</v>
      </c>
      <c r="K7810" s="2">
        <v>752</v>
      </c>
      <c r="L7810" s="2">
        <v>784</v>
      </c>
    </row>
    <row r="7811" spans="1:12" x14ac:dyDescent="0.25">
      <c r="A7811" s="4" t="str">
        <f>HYPERLINK("http://www.rosaceae.org/Prunus/Prunus_persica/p.persica_gdr_reftransV1_0006858","p.persica_gdr_reftransV1_0006858")</f>
        <v>p.persica_gdr_reftransV1_0006858</v>
      </c>
      <c r="B7811" s="2">
        <v>1066</v>
      </c>
      <c r="C7811" s="4" t="str">
        <f>HYPERLINK("http://www.uniprot.org/uniprot/M5VGQ2","M5VGQ2")</f>
        <v>M5VGQ2</v>
      </c>
      <c r="D7811" s="2" t="s">
        <v>1079</v>
      </c>
      <c r="E7811" s="3">
        <v>0</v>
      </c>
      <c r="F7811" s="2">
        <v>1115</v>
      </c>
      <c r="G7811" s="2">
        <v>99</v>
      </c>
      <c r="H7811" s="2">
        <v>212</v>
      </c>
      <c r="I7811" s="2">
        <v>2</v>
      </c>
      <c r="J7811" s="2">
        <v>637</v>
      </c>
      <c r="K7811" s="2">
        <v>72</v>
      </c>
      <c r="L7811" s="2">
        <v>283</v>
      </c>
    </row>
    <row r="7812" spans="1:12" x14ac:dyDescent="0.25">
      <c r="A7812" s="4" t="str">
        <f>HYPERLINK("http://www.rosaceae.org/Prunus/Prunus_persica/p.persica_gdr_reftransV1_0007908","p.persica_gdr_reftransV1_0007908")</f>
        <v>p.persica_gdr_reftransV1_0007908</v>
      </c>
      <c r="B7812" s="2">
        <v>1301</v>
      </c>
      <c r="C7812" s="4" t="str">
        <f>HYPERLINK("http://www.uniprot.org/uniprot/M5WU14","M5WU14")</f>
        <v>M5WU14</v>
      </c>
      <c r="D7812" s="2" t="s">
        <v>5183</v>
      </c>
      <c r="E7812" s="3">
        <v>0</v>
      </c>
      <c r="F7812" s="2">
        <v>1877</v>
      </c>
      <c r="G7812" s="2">
        <v>98</v>
      </c>
      <c r="H7812" s="2">
        <v>369</v>
      </c>
      <c r="I7812" s="2">
        <v>203</v>
      </c>
      <c r="J7812" s="2">
        <v>1300</v>
      </c>
      <c r="K7812" s="2">
        <v>343</v>
      </c>
      <c r="L7812" s="2">
        <v>711</v>
      </c>
    </row>
    <row r="7813" spans="1:12" x14ac:dyDescent="0.25">
      <c r="A7813" s="4" t="str">
        <f>HYPERLINK("http://www.rosaceae.org/Prunus/Prunus_persica/p.persica_gdr_reftransV1_0008258","p.persica_gdr_reftransV1_0008258")</f>
        <v>p.persica_gdr_reftransV1_0008258</v>
      </c>
      <c r="B7813" s="2">
        <v>708</v>
      </c>
      <c r="C7813" s="4" t="str">
        <f>HYPERLINK("http://www.uniprot.org/uniprot/M5WKG6","M5WKG6")</f>
        <v>M5WKG6</v>
      </c>
      <c r="D7813" s="2" t="s">
        <v>6907</v>
      </c>
      <c r="E7813" s="3">
        <v>1.3700000000000001E-84</v>
      </c>
      <c r="F7813" s="2">
        <v>663</v>
      </c>
      <c r="G7813" s="2">
        <v>100</v>
      </c>
      <c r="H7813" s="2">
        <v>146</v>
      </c>
      <c r="I7813" s="2">
        <v>34</v>
      </c>
      <c r="J7813" s="2">
        <v>471</v>
      </c>
      <c r="K7813" s="2">
        <v>1</v>
      </c>
      <c r="L7813" s="2">
        <v>146</v>
      </c>
    </row>
    <row r="7814" spans="1:12" x14ac:dyDescent="0.25">
      <c r="A7814" s="4" t="str">
        <f>HYPERLINK("http://www.rosaceae.org/Prunus/Prunus_persica/p.persica_gdr_reftransV1_0008958","p.persica_gdr_reftransV1_0008958")</f>
        <v>p.persica_gdr_reftransV1_0008958</v>
      </c>
      <c r="B7814" s="2">
        <v>594</v>
      </c>
      <c r="C7814" s="4" t="str">
        <f>HYPERLINK("http://www.uniprot.org/uniprot/M5XF68","M5XF68")</f>
        <v>M5XF68</v>
      </c>
      <c r="D7814" s="2" t="s">
        <v>6908</v>
      </c>
      <c r="E7814" s="3">
        <v>1.6399999999999999E-113</v>
      </c>
      <c r="F7814" s="2">
        <v>889</v>
      </c>
      <c r="G7814" s="2">
        <v>100</v>
      </c>
      <c r="H7814" s="2">
        <v>180</v>
      </c>
      <c r="I7814" s="2">
        <v>2</v>
      </c>
      <c r="J7814" s="2">
        <v>541</v>
      </c>
      <c r="K7814" s="2">
        <v>1</v>
      </c>
      <c r="L7814" s="2">
        <v>180</v>
      </c>
    </row>
    <row r="7815" spans="1:12" x14ac:dyDescent="0.25">
      <c r="A7815" s="4" t="str">
        <f>HYPERLINK("http://www.rosaceae.org/Prunus/Prunus_persica/p.persica_gdr_reftransV1_0010008","p.persica_gdr_reftransV1_0010008")</f>
        <v>p.persica_gdr_reftransV1_0010008</v>
      </c>
      <c r="B7815" s="2">
        <v>984</v>
      </c>
      <c r="C7815" s="4" t="str">
        <f>HYPERLINK("http://www.uniprot.org/uniprot/M5WD92","M5WD92")</f>
        <v>M5WD92</v>
      </c>
      <c r="D7815" s="2" t="s">
        <v>6909</v>
      </c>
      <c r="E7815" s="3">
        <v>1.48E-114</v>
      </c>
      <c r="F7815" s="2">
        <v>879</v>
      </c>
      <c r="G7815" s="2">
        <v>100</v>
      </c>
      <c r="H7815" s="2">
        <v>213</v>
      </c>
      <c r="I7815" s="2">
        <v>95</v>
      </c>
      <c r="J7815" s="2">
        <v>733</v>
      </c>
      <c r="K7815" s="2">
        <v>19</v>
      </c>
      <c r="L7815" s="2">
        <v>231</v>
      </c>
    </row>
    <row r="7816" spans="1:12" x14ac:dyDescent="0.25">
      <c r="A7816" s="4" t="str">
        <f>HYPERLINK("http://www.rosaceae.org/Prunus/Prunus_persica/p.persica_gdr_reftransV1_0010358","p.persica_gdr_reftransV1_0010358")</f>
        <v>p.persica_gdr_reftransV1_0010358</v>
      </c>
      <c r="B7816" s="2">
        <v>694</v>
      </c>
      <c r="C7816" s="4" t="str">
        <f>HYPERLINK("http://www.uniprot.org/uniprot/M5X9M6","M5X9M6")</f>
        <v>M5X9M6</v>
      </c>
      <c r="D7816" s="2" t="s">
        <v>6910</v>
      </c>
      <c r="E7816" s="3">
        <v>3.5200000000000003E-46</v>
      </c>
      <c r="F7816" s="2">
        <v>413</v>
      </c>
      <c r="G7816" s="2">
        <v>48</v>
      </c>
      <c r="H7816" s="2">
        <v>181</v>
      </c>
      <c r="I7816" s="2">
        <v>1</v>
      </c>
      <c r="J7816" s="2">
        <v>525</v>
      </c>
      <c r="K7816" s="2">
        <v>1</v>
      </c>
      <c r="L7816" s="2">
        <v>180</v>
      </c>
    </row>
    <row r="7817" spans="1:12" x14ac:dyDescent="0.25">
      <c r="A7817" s="4" t="str">
        <f>HYPERLINK("http://www.rosaceae.org/Prunus/Prunus_persica/p.persica_gdr_reftransV1_0010708","p.persica_gdr_reftransV1_0010708")</f>
        <v>p.persica_gdr_reftransV1_0010708</v>
      </c>
      <c r="B7817" s="2">
        <v>1492</v>
      </c>
      <c r="C7817" s="4" t="str">
        <f>HYPERLINK("http://www.uniprot.org/uniprot/M5VKX9","M5VKX9")</f>
        <v>M5VKX9</v>
      </c>
      <c r="D7817" s="2" t="s">
        <v>6911</v>
      </c>
      <c r="E7817" s="3">
        <v>0</v>
      </c>
      <c r="F7817" s="2">
        <v>1955</v>
      </c>
      <c r="G7817" s="2">
        <v>100</v>
      </c>
      <c r="H7817" s="2">
        <v>369</v>
      </c>
      <c r="I7817" s="2">
        <v>51</v>
      </c>
      <c r="J7817" s="2">
        <v>1157</v>
      </c>
      <c r="K7817" s="2">
        <v>1</v>
      </c>
      <c r="L7817" s="2">
        <v>369</v>
      </c>
    </row>
    <row r="7818" spans="1:12" x14ac:dyDescent="0.25">
      <c r="A7818" s="4" t="str">
        <f>HYPERLINK("http://www.rosaceae.org/Prunus/Prunus_persica/p.persica_gdr_reftransV1_0011058","p.persica_gdr_reftransV1_0011058")</f>
        <v>p.persica_gdr_reftransV1_0011058</v>
      </c>
      <c r="B7818" s="2">
        <v>1490</v>
      </c>
      <c r="C7818" s="4" t="str">
        <f>HYPERLINK("http://www.uniprot.org/uniprot/M5WGP2","M5WGP2")</f>
        <v>M5WGP2</v>
      </c>
      <c r="D7818" s="2" t="s">
        <v>6912</v>
      </c>
      <c r="E7818" s="3">
        <v>0</v>
      </c>
      <c r="F7818" s="2">
        <v>1453</v>
      </c>
      <c r="G7818" s="2">
        <v>100</v>
      </c>
      <c r="H7818" s="2">
        <v>300</v>
      </c>
      <c r="I7818" s="2">
        <v>201</v>
      </c>
      <c r="J7818" s="2">
        <v>1100</v>
      </c>
      <c r="K7818" s="2">
        <v>1</v>
      </c>
      <c r="L7818" s="2">
        <v>300</v>
      </c>
    </row>
    <row r="7819" spans="1:12" x14ac:dyDescent="0.25">
      <c r="A7819" s="4" t="str">
        <f>HYPERLINK("http://www.rosaceae.org/Prunus/Prunus_persica/p.persica_gdr_reftransV1_0012458","p.persica_gdr_reftransV1_0012458")</f>
        <v>p.persica_gdr_reftransV1_0012458</v>
      </c>
      <c r="B7819" s="2">
        <v>2044</v>
      </c>
      <c r="C7819" s="4" t="str">
        <f>HYPERLINK("http://www.uniprot.org/uniprot/M5X242","M5X242")</f>
        <v>M5X242</v>
      </c>
      <c r="D7819" s="2" t="s">
        <v>6913</v>
      </c>
      <c r="E7819" s="3">
        <v>0</v>
      </c>
      <c r="F7819" s="2">
        <v>2772</v>
      </c>
      <c r="G7819" s="2">
        <v>100</v>
      </c>
      <c r="H7819" s="2">
        <v>566</v>
      </c>
      <c r="I7819" s="2">
        <v>165</v>
      </c>
      <c r="J7819" s="2">
        <v>1862</v>
      </c>
      <c r="K7819" s="2">
        <v>1</v>
      </c>
      <c r="L7819" s="2">
        <v>566</v>
      </c>
    </row>
    <row r="7820" spans="1:12" x14ac:dyDescent="0.25">
      <c r="A7820" s="4" t="str">
        <f>HYPERLINK("http://www.rosaceae.org/Prunus/Prunus_persica/p.persica_gdr_reftransV1_0013508","p.persica_gdr_reftransV1_0013508")</f>
        <v>p.persica_gdr_reftransV1_0013508</v>
      </c>
      <c r="B7820" s="2">
        <v>2405</v>
      </c>
      <c r="C7820" s="4" t="str">
        <f>HYPERLINK("http://www.uniprot.org/uniprot/M5WHT1","M5WHT1")</f>
        <v>M5WHT1</v>
      </c>
      <c r="D7820" s="2" t="s">
        <v>6914</v>
      </c>
      <c r="E7820" s="3">
        <v>3.6599999999999999E-98</v>
      </c>
      <c r="F7820" s="2">
        <v>883</v>
      </c>
      <c r="G7820" s="2">
        <v>62</v>
      </c>
      <c r="H7820" s="2">
        <v>282</v>
      </c>
      <c r="I7820" s="2">
        <v>975</v>
      </c>
      <c r="J7820" s="2">
        <v>1808</v>
      </c>
      <c r="K7820" s="2">
        <v>282</v>
      </c>
      <c r="L7820" s="2">
        <v>562</v>
      </c>
    </row>
    <row r="7821" spans="1:12" x14ac:dyDescent="0.25">
      <c r="A7821" s="4" t="str">
        <f>HYPERLINK("http://www.rosaceae.org/Prunus/Prunus_persica/p.persica_gdr_reftransV1_0013858","p.persica_gdr_reftransV1_0013858")</f>
        <v>p.persica_gdr_reftransV1_0013858</v>
      </c>
      <c r="B7821" s="2">
        <v>1674</v>
      </c>
      <c r="C7821" s="4" t="str">
        <f>HYPERLINK("http://www.uniprot.org/uniprot/M5X3W9","M5X3W9")</f>
        <v>M5X3W9</v>
      </c>
      <c r="D7821" s="2" t="s">
        <v>6915</v>
      </c>
      <c r="E7821" s="3">
        <v>1.2E-99</v>
      </c>
      <c r="F7821" s="2">
        <v>801</v>
      </c>
      <c r="G7821" s="2">
        <v>100</v>
      </c>
      <c r="H7821" s="2">
        <v>194</v>
      </c>
      <c r="I7821" s="2">
        <v>597</v>
      </c>
      <c r="J7821" s="2">
        <v>1178</v>
      </c>
      <c r="K7821" s="2">
        <v>14</v>
      </c>
      <c r="L7821" s="2">
        <v>207</v>
      </c>
    </row>
    <row r="7822" spans="1:12" x14ac:dyDescent="0.25">
      <c r="A7822" s="4" t="str">
        <f>HYPERLINK("http://www.rosaceae.org/Prunus/Prunus_persica/p.persica_gdr_reftransV1_0014208","p.persica_gdr_reftransV1_0014208")</f>
        <v>p.persica_gdr_reftransV1_0014208</v>
      </c>
      <c r="B7822" s="2">
        <v>490</v>
      </c>
      <c r="C7822" s="4" t="str">
        <f>HYPERLINK("http://www.uniprot.org/uniprot/M5VG65","M5VG65")</f>
        <v>M5VG65</v>
      </c>
      <c r="D7822" s="2" t="s">
        <v>3057</v>
      </c>
      <c r="E7822" s="3">
        <v>2.7900000000000001E-100</v>
      </c>
      <c r="F7822" s="2">
        <v>784</v>
      </c>
      <c r="G7822" s="2">
        <v>100</v>
      </c>
      <c r="H7822" s="2">
        <v>163</v>
      </c>
      <c r="I7822" s="2">
        <v>2</v>
      </c>
      <c r="J7822" s="2">
        <v>490</v>
      </c>
      <c r="K7822" s="2">
        <v>44</v>
      </c>
      <c r="L7822" s="2">
        <v>206</v>
      </c>
    </row>
    <row r="7823" spans="1:12" x14ac:dyDescent="0.25">
      <c r="A7823" s="4" t="str">
        <f>HYPERLINK("http://www.rosaceae.org/Prunus/Prunus_persica/p.persica_gdr_reftransV1_0015258","p.persica_gdr_reftransV1_0015258")</f>
        <v>p.persica_gdr_reftransV1_0015258</v>
      </c>
      <c r="B7823" s="2">
        <v>819</v>
      </c>
      <c r="C7823" s="4" t="str">
        <f>HYPERLINK("http://www.uniprot.org/uniprot/M5XGJ2","M5XGJ2")</f>
        <v>M5XGJ2</v>
      </c>
      <c r="D7823" s="2" t="s">
        <v>6916</v>
      </c>
      <c r="E7823" s="3">
        <v>6.3299999999999996E-82</v>
      </c>
      <c r="F7823" s="2">
        <v>660</v>
      </c>
      <c r="G7823" s="2">
        <v>100</v>
      </c>
      <c r="H7823" s="2">
        <v>183</v>
      </c>
      <c r="I7823" s="2">
        <v>114</v>
      </c>
      <c r="J7823" s="2">
        <v>662</v>
      </c>
      <c r="K7823" s="2">
        <v>1</v>
      </c>
      <c r="L7823" s="2">
        <v>183</v>
      </c>
    </row>
    <row r="7824" spans="1:12" x14ac:dyDescent="0.25">
      <c r="A7824" s="4" t="str">
        <f>HYPERLINK("http://www.rosaceae.org/Prunus/Prunus_persica/p.persica_gdr_reftransV1_0016308","p.persica_gdr_reftransV1_0016308")</f>
        <v>p.persica_gdr_reftransV1_0016308</v>
      </c>
      <c r="B7824" s="2">
        <v>1014</v>
      </c>
      <c r="C7824" s="4" t="str">
        <f>HYPERLINK("http://www.uniprot.org/uniprot/M5VLB1","M5VLB1")</f>
        <v>M5VLB1</v>
      </c>
      <c r="D7824" s="2" t="s">
        <v>6917</v>
      </c>
      <c r="E7824" s="3">
        <v>0</v>
      </c>
      <c r="F7824" s="2">
        <v>1619</v>
      </c>
      <c r="G7824" s="2">
        <v>100</v>
      </c>
      <c r="H7824" s="2">
        <v>301</v>
      </c>
      <c r="I7824" s="2">
        <v>3</v>
      </c>
      <c r="J7824" s="2">
        <v>905</v>
      </c>
      <c r="K7824" s="2">
        <v>22</v>
      </c>
      <c r="L7824" s="2">
        <v>322</v>
      </c>
    </row>
    <row r="7825" spans="1:12" x14ac:dyDescent="0.25">
      <c r="A7825" s="4" t="str">
        <f>HYPERLINK("http://www.rosaceae.org/Prunus/Prunus_persica/p.persica_gdr_reftransV1_0017008","p.persica_gdr_reftransV1_0017008")</f>
        <v>p.persica_gdr_reftransV1_0017008</v>
      </c>
      <c r="B7825" s="2">
        <v>1632</v>
      </c>
      <c r="C7825" s="4" t="str">
        <f>HYPERLINK("http://www.uniprot.org/uniprot/M5VQI0","M5VQI0")</f>
        <v>M5VQI0</v>
      </c>
      <c r="D7825" s="2" t="s">
        <v>6918</v>
      </c>
      <c r="E7825" s="3">
        <v>3.8099999999999998E-114</v>
      </c>
      <c r="F7825" s="2">
        <v>909</v>
      </c>
      <c r="G7825" s="2">
        <v>100</v>
      </c>
      <c r="H7825" s="2">
        <v>210</v>
      </c>
      <c r="I7825" s="2">
        <v>126</v>
      </c>
      <c r="J7825" s="2">
        <v>755</v>
      </c>
      <c r="K7825" s="2">
        <v>1</v>
      </c>
      <c r="L7825" s="2">
        <v>210</v>
      </c>
    </row>
    <row r="7826" spans="1:12" x14ac:dyDescent="0.25">
      <c r="A7826" s="4" t="str">
        <f>HYPERLINK("http://www.rosaceae.org/Prunus/Prunus_persica/p.persica_gdr_reftransV1_0017358","p.persica_gdr_reftransV1_0017358")</f>
        <v>p.persica_gdr_reftransV1_0017358</v>
      </c>
      <c r="B7826" s="2">
        <v>2817</v>
      </c>
      <c r="C7826" s="4" t="str">
        <f>HYPERLINK("http://www.uniprot.org/uniprot/M5XCJ5","M5XCJ5")</f>
        <v>M5XCJ5</v>
      </c>
      <c r="D7826" s="2" t="s">
        <v>2825</v>
      </c>
      <c r="E7826" s="3">
        <v>0</v>
      </c>
      <c r="F7826" s="2">
        <v>2110</v>
      </c>
      <c r="G7826" s="2">
        <v>100</v>
      </c>
      <c r="H7826" s="2">
        <v>423</v>
      </c>
      <c r="I7826" s="2">
        <v>723</v>
      </c>
      <c r="J7826" s="2">
        <v>1991</v>
      </c>
      <c r="K7826" s="2">
        <v>1</v>
      </c>
      <c r="L7826" s="2">
        <v>423</v>
      </c>
    </row>
    <row r="7827" spans="1:12" x14ac:dyDescent="0.25">
      <c r="A7827" s="4" t="str">
        <f>HYPERLINK("http://www.rosaceae.org/Prunus/Prunus_persica/p.persica_gdr_reftransV1_0017708","p.persica_gdr_reftransV1_0017708")</f>
        <v>p.persica_gdr_reftransV1_0017708</v>
      </c>
      <c r="B7827" s="2">
        <v>2870</v>
      </c>
      <c r="C7827" s="4" t="str">
        <f>HYPERLINK("http://www.uniprot.org/uniprot/M5VWN9","M5VWN9")</f>
        <v>M5VWN9</v>
      </c>
      <c r="D7827" s="2" t="s">
        <v>6919</v>
      </c>
      <c r="E7827" s="3">
        <v>0</v>
      </c>
      <c r="F7827" s="2">
        <v>3360</v>
      </c>
      <c r="G7827" s="2">
        <v>99</v>
      </c>
      <c r="H7827" s="2">
        <v>742</v>
      </c>
      <c r="I7827" s="2">
        <v>297</v>
      </c>
      <c r="J7827" s="2">
        <v>2522</v>
      </c>
      <c r="K7827" s="2">
        <v>1</v>
      </c>
      <c r="L7827" s="2">
        <v>741</v>
      </c>
    </row>
    <row r="7828" spans="1:12" x14ac:dyDescent="0.25">
      <c r="A7828" s="4" t="str">
        <f>HYPERLINK("http://www.rosaceae.org/Prunus/Prunus_persica/p.persica_gdr_reftransV1_0019458","p.persica_gdr_reftransV1_0019458")</f>
        <v>p.persica_gdr_reftransV1_0019458</v>
      </c>
      <c r="B7828" s="2">
        <v>1039</v>
      </c>
      <c r="C7828" s="4" t="str">
        <f>HYPERLINK("http://www.uniprot.org/uniprot/M5XLR5","M5XLR5")</f>
        <v>M5XLR5</v>
      </c>
      <c r="D7828" s="2" t="s">
        <v>6920</v>
      </c>
      <c r="E7828" s="3">
        <v>7.6400000000000004E-64</v>
      </c>
      <c r="F7828" s="2">
        <v>537</v>
      </c>
      <c r="G7828" s="2">
        <v>100</v>
      </c>
      <c r="H7828" s="2">
        <v>115</v>
      </c>
      <c r="I7828" s="2">
        <v>2</v>
      </c>
      <c r="J7828" s="2">
        <v>346</v>
      </c>
      <c r="K7828" s="2">
        <v>43</v>
      </c>
      <c r="L7828" s="2">
        <v>157</v>
      </c>
    </row>
    <row r="7829" spans="1:12" x14ac:dyDescent="0.25">
      <c r="A7829" s="4" t="str">
        <f>HYPERLINK("http://www.rosaceae.org/Prunus/Prunus_persica/p.persica_gdr_reftransV1_0021558","p.persica_gdr_reftransV1_0021558")</f>
        <v>p.persica_gdr_reftransV1_0021558</v>
      </c>
      <c r="B7829" s="2">
        <v>367</v>
      </c>
      <c r="C7829" s="4" t="str">
        <f>HYPERLINK("http://www.uniprot.org/uniprot/M5W934","M5W934")</f>
        <v>M5W934</v>
      </c>
      <c r="D7829" s="2" t="s">
        <v>6921</v>
      </c>
      <c r="E7829" s="3">
        <v>5.4400000000000003E-67</v>
      </c>
      <c r="F7829" s="2">
        <v>555</v>
      </c>
      <c r="G7829" s="2">
        <v>99</v>
      </c>
      <c r="H7829" s="2">
        <v>101</v>
      </c>
      <c r="I7829" s="2">
        <v>2</v>
      </c>
      <c r="J7829" s="2">
        <v>304</v>
      </c>
      <c r="K7829" s="2">
        <v>291</v>
      </c>
      <c r="L7829" s="2">
        <v>391</v>
      </c>
    </row>
    <row r="7830" spans="1:12" x14ac:dyDescent="0.25">
      <c r="A7830" s="4" t="str">
        <f>HYPERLINK("http://www.rosaceae.org/Prunus/Prunus_persica/p.persica_gdr_reftransV1_0021908","p.persica_gdr_reftransV1_0021908")</f>
        <v>p.persica_gdr_reftransV1_0021908</v>
      </c>
      <c r="B7830" s="2">
        <v>2694</v>
      </c>
      <c r="C7830" s="4" t="str">
        <f>HYPERLINK("http://www.uniprot.org/uniprot/M5WFT5","M5WFT5")</f>
        <v>M5WFT5</v>
      </c>
      <c r="D7830" s="2" t="s">
        <v>3119</v>
      </c>
      <c r="E7830" s="3">
        <v>0</v>
      </c>
      <c r="F7830" s="2">
        <v>3834</v>
      </c>
      <c r="G7830" s="2">
        <v>100</v>
      </c>
      <c r="H7830" s="2">
        <v>775</v>
      </c>
      <c r="I7830" s="2">
        <v>368</v>
      </c>
      <c r="J7830" s="2">
        <v>2692</v>
      </c>
      <c r="K7830" s="2">
        <v>185</v>
      </c>
      <c r="L7830" s="2">
        <v>959</v>
      </c>
    </row>
    <row r="7831" spans="1:12" x14ac:dyDescent="0.25">
      <c r="A7831" s="4" t="str">
        <f>HYPERLINK("http://www.rosaceae.org/Prunus/Prunus_persica/p.persica_gdr_reftransV1_0022608","p.persica_gdr_reftransV1_0022608")</f>
        <v>p.persica_gdr_reftransV1_0022608</v>
      </c>
      <c r="B7831" s="2">
        <v>2075</v>
      </c>
      <c r="C7831" s="4" t="str">
        <f>HYPERLINK("http://www.uniprot.org/uniprot/M5WD06","M5WD06")</f>
        <v>M5WD06</v>
      </c>
      <c r="D7831" s="2" t="s">
        <v>6922</v>
      </c>
      <c r="E7831" s="3">
        <v>0</v>
      </c>
      <c r="F7831" s="2">
        <v>1339</v>
      </c>
      <c r="G7831" s="2">
        <v>100</v>
      </c>
      <c r="H7831" s="2">
        <v>289</v>
      </c>
      <c r="I7831" s="2">
        <v>793</v>
      </c>
      <c r="J7831" s="2">
        <v>1659</v>
      </c>
      <c r="K7831" s="2">
        <v>167</v>
      </c>
      <c r="L7831" s="2">
        <v>455</v>
      </c>
    </row>
    <row r="7832" spans="1:12" x14ac:dyDescent="0.25">
      <c r="A7832" s="4" t="str">
        <f>HYPERLINK("http://www.rosaceae.org/Prunus/Prunus_persica/p.persica_gdr_reftransV1_0022958","p.persica_gdr_reftransV1_0022958")</f>
        <v>p.persica_gdr_reftransV1_0022958</v>
      </c>
      <c r="B7832" s="2">
        <v>2435</v>
      </c>
      <c r="C7832" s="4" t="str">
        <f>HYPERLINK("http://www.uniprot.org/uniprot/M5XC52","M5XC52")</f>
        <v>M5XC52</v>
      </c>
      <c r="D7832" s="2" t="s">
        <v>6923</v>
      </c>
      <c r="E7832" s="3">
        <v>0</v>
      </c>
      <c r="F7832" s="2">
        <v>3030</v>
      </c>
      <c r="G7832" s="2">
        <v>100</v>
      </c>
      <c r="H7832" s="2">
        <v>584</v>
      </c>
      <c r="I7832" s="2">
        <v>353</v>
      </c>
      <c r="J7832" s="2">
        <v>2104</v>
      </c>
      <c r="K7832" s="2">
        <v>1</v>
      </c>
      <c r="L7832" s="2">
        <v>584</v>
      </c>
    </row>
    <row r="7833" spans="1:12" x14ac:dyDescent="0.25">
      <c r="A7833" s="4" t="str">
        <f>HYPERLINK("http://www.rosaceae.org/Prunus/Prunus_persica/p.persica_gdr_reftransV1_0023308","p.persica_gdr_reftransV1_0023308")</f>
        <v>p.persica_gdr_reftransV1_0023308</v>
      </c>
      <c r="B7833" s="2">
        <v>983</v>
      </c>
      <c r="C7833" s="4" t="str">
        <f>HYPERLINK("http://www.uniprot.org/uniprot/M5Y273","M5Y273")</f>
        <v>M5Y273</v>
      </c>
      <c r="D7833" s="2" t="s">
        <v>6924</v>
      </c>
      <c r="E7833" s="3">
        <v>0</v>
      </c>
      <c r="F7833" s="2">
        <v>1657</v>
      </c>
      <c r="G7833" s="2">
        <v>99</v>
      </c>
      <c r="H7833" s="2">
        <v>327</v>
      </c>
      <c r="I7833" s="2">
        <v>1</v>
      </c>
      <c r="J7833" s="2">
        <v>981</v>
      </c>
      <c r="K7833" s="2">
        <v>71</v>
      </c>
      <c r="L7833" s="2">
        <v>397</v>
      </c>
    </row>
    <row r="7834" spans="1:12" x14ac:dyDescent="0.25">
      <c r="A7834" s="4" t="str">
        <f>HYPERLINK("http://www.rosaceae.org/Prunus/Prunus_persica/p.persica_gdr_reftransV1_0024358","p.persica_gdr_reftransV1_0024358")</f>
        <v>p.persica_gdr_reftransV1_0024358</v>
      </c>
      <c r="B7834" s="2">
        <v>7560</v>
      </c>
      <c r="C7834" s="4" t="str">
        <f>HYPERLINK("http://www.uniprot.org/uniprot/M5XLX5","M5XLX5")</f>
        <v>M5XLX5</v>
      </c>
      <c r="D7834" s="2" t="s">
        <v>6925</v>
      </c>
      <c r="E7834" s="3">
        <v>0</v>
      </c>
      <c r="F7834" s="2">
        <v>4129</v>
      </c>
      <c r="G7834" s="2">
        <v>100</v>
      </c>
      <c r="H7834" s="2">
        <v>841</v>
      </c>
      <c r="I7834" s="2">
        <v>3996</v>
      </c>
      <c r="J7834" s="2">
        <v>6518</v>
      </c>
      <c r="K7834" s="2">
        <v>10</v>
      </c>
      <c r="L7834" s="2">
        <v>850</v>
      </c>
    </row>
    <row r="7835" spans="1:12" x14ac:dyDescent="0.25">
      <c r="A7835" s="4" t="str">
        <f>HYPERLINK("http://www.rosaceae.org/Prunus/Prunus_persica/p.persica_gdr_reftransV1_0026108","p.persica_gdr_reftransV1_0026108")</f>
        <v>p.persica_gdr_reftransV1_0026108</v>
      </c>
      <c r="B7835" s="2">
        <v>3353</v>
      </c>
      <c r="C7835" s="4" t="str">
        <f>HYPERLINK("http://www.uniprot.org/uniprot/M5XJX3","M5XJX3")</f>
        <v>M5XJX3</v>
      </c>
      <c r="D7835" s="2" t="s">
        <v>6926</v>
      </c>
      <c r="E7835" s="3">
        <v>0</v>
      </c>
      <c r="F7835" s="2">
        <v>1738</v>
      </c>
      <c r="G7835" s="2">
        <v>100</v>
      </c>
      <c r="H7835" s="2">
        <v>328</v>
      </c>
      <c r="I7835" s="2">
        <v>1224</v>
      </c>
      <c r="J7835" s="2">
        <v>2207</v>
      </c>
      <c r="K7835" s="2">
        <v>166</v>
      </c>
      <c r="L7835" s="2">
        <v>493</v>
      </c>
    </row>
    <row r="7836" spans="1:12" x14ac:dyDescent="0.25">
      <c r="A7836" s="4" t="str">
        <f>HYPERLINK("http://www.rosaceae.org/Prunus/Prunus_persica/p.persica_gdr_reftransV1_0026458","p.persica_gdr_reftransV1_0026458")</f>
        <v>p.persica_gdr_reftransV1_0026458</v>
      </c>
      <c r="B7836" s="2">
        <v>750</v>
      </c>
      <c r="C7836" s="4" t="str">
        <f>HYPERLINK("http://www.uniprot.org/uniprot/M5WDJ1","M5WDJ1")</f>
        <v>M5WDJ1</v>
      </c>
      <c r="D7836" s="2" t="s">
        <v>6927</v>
      </c>
      <c r="E7836" s="3">
        <v>2.2200000000000001E-42</v>
      </c>
      <c r="F7836" s="2">
        <v>381</v>
      </c>
      <c r="G7836" s="2">
        <v>100</v>
      </c>
      <c r="H7836" s="2">
        <v>114</v>
      </c>
      <c r="I7836" s="2">
        <v>353</v>
      </c>
      <c r="J7836" s="2">
        <v>694</v>
      </c>
      <c r="K7836" s="2">
        <v>1</v>
      </c>
      <c r="L7836" s="2">
        <v>114</v>
      </c>
    </row>
    <row r="7837" spans="1:12" x14ac:dyDescent="0.25">
      <c r="A7837" s="4" t="str">
        <f>HYPERLINK("http://www.rosaceae.org/Prunus/Prunus_persica/p.persica_gdr_reftransV1_0027858","p.persica_gdr_reftransV1_0027858")</f>
        <v>p.persica_gdr_reftransV1_0027858</v>
      </c>
      <c r="B7837" s="2">
        <v>2445</v>
      </c>
      <c r="C7837" s="4" t="str">
        <f>HYPERLINK("http://www.uniprot.org/uniprot/M5W2M7","M5W2M7")</f>
        <v>M5W2M7</v>
      </c>
      <c r="D7837" s="2" t="s">
        <v>6928</v>
      </c>
      <c r="E7837" s="3">
        <v>0</v>
      </c>
      <c r="F7837" s="2">
        <v>1670</v>
      </c>
      <c r="G7837" s="2">
        <v>98</v>
      </c>
      <c r="H7837" s="2">
        <v>348</v>
      </c>
      <c r="I7837" s="2">
        <v>354</v>
      </c>
      <c r="J7837" s="2">
        <v>1397</v>
      </c>
      <c r="K7837" s="2">
        <v>1</v>
      </c>
      <c r="L7837" s="2">
        <v>348</v>
      </c>
    </row>
    <row r="7838" spans="1:12" x14ac:dyDescent="0.25">
      <c r="A7838" s="4" t="str">
        <f>HYPERLINK("http://www.rosaceae.org/Prunus/Prunus_persica/p.persica_gdr_reftransV1_0030308","p.persica_gdr_reftransV1_0030308")</f>
        <v>p.persica_gdr_reftransV1_0030308</v>
      </c>
      <c r="B7838" s="2">
        <v>1619</v>
      </c>
      <c r="C7838" s="4" t="str">
        <f>HYPERLINK("http://www.uniprot.org/uniprot/M5VJ90","M5VJ90")</f>
        <v>M5VJ90</v>
      </c>
      <c r="D7838" s="2" t="s">
        <v>6929</v>
      </c>
      <c r="E7838" s="3">
        <v>0</v>
      </c>
      <c r="F7838" s="2">
        <v>1800</v>
      </c>
      <c r="G7838" s="2">
        <v>100</v>
      </c>
      <c r="H7838" s="2">
        <v>342</v>
      </c>
      <c r="I7838" s="2">
        <v>533</v>
      </c>
      <c r="J7838" s="2">
        <v>1558</v>
      </c>
      <c r="K7838" s="2">
        <v>6</v>
      </c>
      <c r="L7838" s="2">
        <v>347</v>
      </c>
    </row>
    <row r="7839" spans="1:12" x14ac:dyDescent="0.25">
      <c r="A7839" s="4" t="str">
        <f>HYPERLINK("http://www.rosaceae.org/Prunus/Prunus_persica/p.persica_gdr_reftransV1_0030658","p.persica_gdr_reftransV1_0030658")</f>
        <v>p.persica_gdr_reftransV1_0030658</v>
      </c>
      <c r="B7839" s="2">
        <v>3055</v>
      </c>
      <c r="C7839" s="4" t="str">
        <f>HYPERLINK("http://www.uniprot.org/uniprot/M5VIU2","M5VIU2")</f>
        <v>M5VIU2</v>
      </c>
      <c r="D7839" s="2" t="s">
        <v>6930</v>
      </c>
      <c r="E7839" s="3">
        <v>0</v>
      </c>
      <c r="F7839" s="2">
        <v>1669</v>
      </c>
      <c r="G7839" s="2">
        <v>100</v>
      </c>
      <c r="H7839" s="2">
        <v>323</v>
      </c>
      <c r="I7839" s="2">
        <v>204</v>
      </c>
      <c r="J7839" s="2">
        <v>1172</v>
      </c>
      <c r="K7839" s="2">
        <v>1</v>
      </c>
      <c r="L7839" s="2">
        <v>323</v>
      </c>
    </row>
    <row r="7840" spans="1:12" x14ac:dyDescent="0.25">
      <c r="A7840" s="4" t="str">
        <f>HYPERLINK("http://www.rosaceae.org/Prunus/Prunus_persica/p.persica_gdr_reftransV1_0031008","p.persica_gdr_reftransV1_0031008")</f>
        <v>p.persica_gdr_reftransV1_0031008</v>
      </c>
      <c r="B7840" s="2">
        <v>2582</v>
      </c>
      <c r="C7840" s="4" t="str">
        <f>HYPERLINK("http://www.uniprot.org/uniprot/M5W7C7","M5W7C7")</f>
        <v>M5W7C7</v>
      </c>
      <c r="D7840" s="2" t="s">
        <v>6931</v>
      </c>
      <c r="E7840" s="3">
        <v>0</v>
      </c>
      <c r="F7840" s="2">
        <v>2983</v>
      </c>
      <c r="G7840" s="2">
        <v>100</v>
      </c>
      <c r="H7840" s="2">
        <v>601</v>
      </c>
      <c r="I7840" s="2">
        <v>687</v>
      </c>
      <c r="J7840" s="2">
        <v>2489</v>
      </c>
      <c r="K7840" s="2">
        <v>1</v>
      </c>
      <c r="L7840" s="2">
        <v>601</v>
      </c>
    </row>
    <row r="7841" spans="1:12" x14ac:dyDescent="0.25">
      <c r="A7841" s="4" t="str">
        <f>HYPERLINK("http://www.rosaceae.org/Prunus/Prunus_persica/p.persica_gdr_reftransV1_0031708","p.persica_gdr_reftransV1_0031708")</f>
        <v>p.persica_gdr_reftransV1_0031708</v>
      </c>
      <c r="B7841" s="2">
        <v>2791</v>
      </c>
      <c r="C7841" s="4" t="str">
        <f>HYPERLINK("http://www.uniprot.org/uniprot/M5X0M5","M5X0M5")</f>
        <v>M5X0M5</v>
      </c>
      <c r="D7841" s="2" t="s">
        <v>6932</v>
      </c>
      <c r="E7841" s="3">
        <v>0</v>
      </c>
      <c r="F7841" s="2">
        <v>2167</v>
      </c>
      <c r="G7841" s="2">
        <v>99</v>
      </c>
      <c r="H7841" s="2">
        <v>413</v>
      </c>
      <c r="I7841" s="2">
        <v>1237</v>
      </c>
      <c r="J7841" s="2">
        <v>2475</v>
      </c>
      <c r="K7841" s="2">
        <v>111</v>
      </c>
      <c r="L7841" s="2">
        <v>523</v>
      </c>
    </row>
    <row r="7842" spans="1:12" x14ac:dyDescent="0.25">
      <c r="A7842" s="4" t="str">
        <f>HYPERLINK("http://www.rosaceae.org/Prunus/Prunus_persica/p.persica_gdr_reftransV1_0032758","p.persica_gdr_reftransV1_0032758")</f>
        <v>p.persica_gdr_reftransV1_0032758</v>
      </c>
      <c r="B7842" s="2">
        <v>1407</v>
      </c>
      <c r="C7842" s="4" t="str">
        <f>HYPERLINK("http://www.uniprot.org/uniprot/M5XU49","M5XU49")</f>
        <v>M5XU49</v>
      </c>
      <c r="D7842" s="2" t="s">
        <v>6933</v>
      </c>
      <c r="E7842" s="3">
        <v>1.8100000000000001E-130</v>
      </c>
      <c r="F7842" s="2">
        <v>998</v>
      </c>
      <c r="G7842" s="2">
        <v>100</v>
      </c>
      <c r="H7842" s="2">
        <v>221</v>
      </c>
      <c r="I7842" s="2">
        <v>78</v>
      </c>
      <c r="J7842" s="2">
        <v>740</v>
      </c>
      <c r="K7842" s="2">
        <v>1</v>
      </c>
      <c r="L7842" s="2">
        <v>221</v>
      </c>
    </row>
    <row r="7843" spans="1:12" x14ac:dyDescent="0.25">
      <c r="A7843" s="4" t="str">
        <f>HYPERLINK("http://www.rosaceae.org/Prunus/Prunus_persica/p.persica_gdr_reftransV1_0035208","p.persica_gdr_reftransV1_0035208")</f>
        <v>p.persica_gdr_reftransV1_0035208</v>
      </c>
      <c r="B7843" s="2">
        <v>2902</v>
      </c>
      <c r="C7843" s="4" t="str">
        <f>HYPERLINK("http://www.uniprot.org/uniprot/M5Y1R6","M5Y1R6")</f>
        <v>M5Y1R6</v>
      </c>
      <c r="D7843" s="2" t="s">
        <v>6934</v>
      </c>
      <c r="E7843" s="3">
        <v>0</v>
      </c>
      <c r="F7843" s="2">
        <v>4131</v>
      </c>
      <c r="G7843" s="2">
        <v>100</v>
      </c>
      <c r="H7843" s="2">
        <v>787</v>
      </c>
      <c r="I7843" s="2">
        <v>287</v>
      </c>
      <c r="J7843" s="2">
        <v>2647</v>
      </c>
      <c r="K7843" s="2">
        <v>13</v>
      </c>
      <c r="L7843" s="2">
        <v>799</v>
      </c>
    </row>
    <row r="7844" spans="1:12" x14ac:dyDescent="0.25">
      <c r="A7844" s="4" t="str">
        <f>HYPERLINK("http://www.rosaceae.org/Prunus/Prunus_persica/p.persica_gdr_reftransV1_0036958","p.persica_gdr_reftransV1_0036958")</f>
        <v>p.persica_gdr_reftransV1_0036958</v>
      </c>
      <c r="B7844" s="2">
        <v>4221</v>
      </c>
      <c r="C7844" s="4" t="str">
        <f>HYPERLINK("http://www.uniprot.org/uniprot/M5WUU3","M5WUU3")</f>
        <v>M5WUU3</v>
      </c>
      <c r="D7844" s="2" t="s">
        <v>6935</v>
      </c>
      <c r="E7844" s="3">
        <v>3.9999999999999998E-98</v>
      </c>
      <c r="F7844" s="2">
        <v>841</v>
      </c>
      <c r="G7844" s="2">
        <v>85</v>
      </c>
      <c r="H7844" s="2">
        <v>207</v>
      </c>
      <c r="I7844" s="2">
        <v>1974</v>
      </c>
      <c r="J7844" s="2">
        <v>2594</v>
      </c>
      <c r="K7844" s="2">
        <v>150</v>
      </c>
      <c r="L7844" s="2">
        <v>326</v>
      </c>
    </row>
    <row r="7845" spans="1:12" x14ac:dyDescent="0.25">
      <c r="A7845" s="4" t="str">
        <f>HYPERLINK("http://www.rosaceae.org/Prunus/Prunus_persica/p.persica_gdr_reftransV1_0038008","p.persica_gdr_reftransV1_0038008")</f>
        <v>p.persica_gdr_reftransV1_0038008</v>
      </c>
      <c r="B7845" s="2">
        <v>1688</v>
      </c>
      <c r="C7845" s="4" t="str">
        <f>HYPERLINK("http://www.uniprot.org/uniprot/M5WBU3","M5WBU3")</f>
        <v>M5WBU3</v>
      </c>
      <c r="D7845" s="2" t="s">
        <v>6936</v>
      </c>
      <c r="E7845" s="3">
        <v>0</v>
      </c>
      <c r="F7845" s="2">
        <v>1809</v>
      </c>
      <c r="G7845" s="2">
        <v>100</v>
      </c>
      <c r="H7845" s="2">
        <v>346</v>
      </c>
      <c r="I7845" s="2">
        <v>127</v>
      </c>
      <c r="J7845" s="2">
        <v>1164</v>
      </c>
      <c r="K7845" s="2">
        <v>13</v>
      </c>
      <c r="L7845" s="2">
        <v>358</v>
      </c>
    </row>
    <row r="7846" spans="1:12" x14ac:dyDescent="0.25">
      <c r="A7846" s="4" t="str">
        <f>HYPERLINK("http://www.rosaceae.org/Prunus/Prunus_persica/p.persica_gdr_reftransV1_0038358","p.persica_gdr_reftransV1_0038358")</f>
        <v>p.persica_gdr_reftransV1_0038358</v>
      </c>
      <c r="B7846" s="2">
        <v>2852</v>
      </c>
      <c r="C7846" s="4" t="str">
        <f>HYPERLINK("http://www.uniprot.org/uniprot/M5VML0","M5VML0")</f>
        <v>M5VML0</v>
      </c>
      <c r="D7846" s="2" t="s">
        <v>6937</v>
      </c>
      <c r="E7846" s="3">
        <v>1.7300000000000001E-137</v>
      </c>
      <c r="F7846" s="2">
        <v>1087</v>
      </c>
      <c r="G7846" s="2">
        <v>100</v>
      </c>
      <c r="H7846" s="2">
        <v>238</v>
      </c>
      <c r="I7846" s="2">
        <v>953</v>
      </c>
      <c r="J7846" s="2">
        <v>1666</v>
      </c>
      <c r="K7846" s="2">
        <v>1</v>
      </c>
      <c r="L7846" s="2">
        <v>238</v>
      </c>
    </row>
    <row r="7847" spans="1:12" x14ac:dyDescent="0.25">
      <c r="A7847" s="4" t="str">
        <f>HYPERLINK("http://www.rosaceae.org/Prunus/Prunus_persica/p.persica_gdr_reftransV1_0039058","p.persica_gdr_reftransV1_0039058")</f>
        <v>p.persica_gdr_reftransV1_0039058</v>
      </c>
      <c r="B7847" s="2">
        <v>3196</v>
      </c>
      <c r="C7847" s="4" t="str">
        <f>HYPERLINK("http://www.uniprot.org/uniprot/Q9XH74","Q9XH74")</f>
        <v>Q9XH74</v>
      </c>
      <c r="D7847" s="2" t="s">
        <v>6938</v>
      </c>
      <c r="E7847" s="3">
        <v>5.1599999999999999E-92</v>
      </c>
      <c r="F7847" s="2">
        <v>777</v>
      </c>
      <c r="G7847" s="2">
        <v>100</v>
      </c>
      <c r="H7847" s="2">
        <v>163</v>
      </c>
      <c r="I7847" s="2">
        <v>2349</v>
      </c>
      <c r="J7847" s="2">
        <v>2837</v>
      </c>
      <c r="K7847" s="2">
        <v>39</v>
      </c>
      <c r="L7847" s="2">
        <v>201</v>
      </c>
    </row>
    <row r="7848" spans="1:12" x14ac:dyDescent="0.25">
      <c r="A7848" s="4" t="str">
        <f>HYPERLINK("http://www.rosaceae.org/Prunus/Prunus_persica/p.persica_gdr_reftransV1_0039758","p.persica_gdr_reftransV1_0039758")</f>
        <v>p.persica_gdr_reftransV1_0039758</v>
      </c>
      <c r="B7848" s="2">
        <v>4081</v>
      </c>
      <c r="C7848" s="4" t="str">
        <f>HYPERLINK("http://www.uniprot.org/uniprot/M5XLE0","M5XLE0")</f>
        <v>M5XLE0</v>
      </c>
      <c r="D7848" s="2" t="s">
        <v>5722</v>
      </c>
      <c r="E7848" s="3">
        <v>1.44E-168</v>
      </c>
      <c r="F7848" s="2">
        <v>1341</v>
      </c>
      <c r="G7848" s="2">
        <v>70</v>
      </c>
      <c r="H7848" s="2">
        <v>446</v>
      </c>
      <c r="I7848" s="2">
        <v>1141</v>
      </c>
      <c r="J7848" s="2">
        <v>2478</v>
      </c>
      <c r="K7848" s="2">
        <v>1</v>
      </c>
      <c r="L7848" s="2">
        <v>343</v>
      </c>
    </row>
    <row r="7849" spans="1:12" x14ac:dyDescent="0.25">
      <c r="A7849" s="4" t="str">
        <f>HYPERLINK("http://www.rosaceae.org/Prunus/Prunus_persica/p.persica_gdr_reftransV1_0040108","p.persica_gdr_reftransV1_0040108")</f>
        <v>p.persica_gdr_reftransV1_0040108</v>
      </c>
      <c r="B7849" s="2">
        <v>1980</v>
      </c>
      <c r="C7849" s="4" t="str">
        <f>HYPERLINK("http://www.uniprot.org/uniprot/M5VXM5","M5VXM5")</f>
        <v>M5VXM5</v>
      </c>
      <c r="D7849" s="2" t="s">
        <v>6939</v>
      </c>
      <c r="E7849" s="3">
        <v>0</v>
      </c>
      <c r="F7849" s="2">
        <v>2646</v>
      </c>
      <c r="G7849" s="2">
        <v>100</v>
      </c>
      <c r="H7849" s="2">
        <v>522</v>
      </c>
      <c r="I7849" s="2">
        <v>125</v>
      </c>
      <c r="J7849" s="2">
        <v>1690</v>
      </c>
      <c r="K7849" s="2">
        <v>1</v>
      </c>
      <c r="L7849" s="2">
        <v>522</v>
      </c>
    </row>
    <row r="7850" spans="1:12" x14ac:dyDescent="0.25">
      <c r="A7850" s="4" t="str">
        <f>HYPERLINK("http://www.rosaceae.org/Prunus/Prunus_persica/p.persica_gdr_reftransV1_0041508","p.persica_gdr_reftransV1_0041508")</f>
        <v>p.persica_gdr_reftransV1_0041508</v>
      </c>
      <c r="B7850" s="2">
        <v>751</v>
      </c>
      <c r="C7850" s="4" t="str">
        <f>HYPERLINK("http://www.uniprot.org/uniprot/G9CM52","G9CM52")</f>
        <v>G9CM52</v>
      </c>
      <c r="D7850" s="2" t="s">
        <v>6940</v>
      </c>
      <c r="E7850" s="3">
        <v>4.8200000000000002E-95</v>
      </c>
      <c r="F7850" s="2">
        <v>738</v>
      </c>
      <c r="G7850" s="2">
        <v>98</v>
      </c>
      <c r="H7850" s="2">
        <v>154</v>
      </c>
      <c r="I7850" s="2">
        <v>57</v>
      </c>
      <c r="J7850" s="2">
        <v>518</v>
      </c>
      <c r="K7850" s="2">
        <v>1</v>
      </c>
      <c r="L7850" s="2">
        <v>154</v>
      </c>
    </row>
    <row r="7851" spans="1:12" x14ac:dyDescent="0.25">
      <c r="A7851" s="4" t="str">
        <f>HYPERLINK("http://www.rosaceae.org/Prunus/Prunus_persica/p.persica_gdr_reftransV1_0043258","p.persica_gdr_reftransV1_0043258")</f>
        <v>p.persica_gdr_reftransV1_0043258</v>
      </c>
      <c r="B7851" s="2">
        <v>1355</v>
      </c>
      <c r="C7851" s="4" t="str">
        <f>HYPERLINK("http://www.uniprot.org/uniprot/M5XH03","M5XH03")</f>
        <v>M5XH03</v>
      </c>
      <c r="D7851" s="2" t="s">
        <v>6941</v>
      </c>
      <c r="E7851" s="3">
        <v>6.7699999999999996E-116</v>
      </c>
      <c r="F7851" s="2">
        <v>895</v>
      </c>
      <c r="G7851" s="2">
        <v>98</v>
      </c>
      <c r="H7851" s="2">
        <v>176</v>
      </c>
      <c r="I7851" s="2">
        <v>298</v>
      </c>
      <c r="J7851" s="2">
        <v>825</v>
      </c>
      <c r="K7851" s="2">
        <v>5</v>
      </c>
      <c r="L7851" s="2">
        <v>177</v>
      </c>
    </row>
    <row r="7852" spans="1:12" x14ac:dyDescent="0.25">
      <c r="A7852" s="4" t="str">
        <f>HYPERLINK("http://www.rosaceae.org/Prunus/Prunus_persica/p.persica_gdr_reftransV1_0043608","p.persica_gdr_reftransV1_0043608")</f>
        <v>p.persica_gdr_reftransV1_0043608</v>
      </c>
      <c r="B7852" s="2">
        <v>563</v>
      </c>
      <c r="C7852" s="4" t="str">
        <f>HYPERLINK("http://www.uniprot.org/uniprot/M5WHC8","M5WHC8")</f>
        <v>M5WHC8</v>
      </c>
      <c r="D7852" s="2" t="s">
        <v>5268</v>
      </c>
      <c r="E7852" s="3">
        <v>2.6899999999999998E-64</v>
      </c>
      <c r="F7852" s="2">
        <v>533</v>
      </c>
      <c r="G7852" s="2">
        <v>99</v>
      </c>
      <c r="H7852" s="2">
        <v>100</v>
      </c>
      <c r="I7852" s="2">
        <v>126</v>
      </c>
      <c r="J7852" s="2">
        <v>425</v>
      </c>
      <c r="K7852" s="2">
        <v>15</v>
      </c>
      <c r="L7852" s="2">
        <v>114</v>
      </c>
    </row>
    <row r="7853" spans="1:12" x14ac:dyDescent="0.25">
      <c r="A7853" s="4" t="str">
        <f>HYPERLINK("http://www.rosaceae.org/Prunus/Prunus_persica/p.persica_gdr_reftransV1_0043958","p.persica_gdr_reftransV1_0043958")</f>
        <v>p.persica_gdr_reftransV1_0043958</v>
      </c>
      <c r="B7853" s="2">
        <v>2132</v>
      </c>
      <c r="C7853" s="4" t="str">
        <f>HYPERLINK("http://www.uniprot.org/uniprot/M5WST7","M5WST7")</f>
        <v>M5WST7</v>
      </c>
      <c r="D7853" s="2" t="s">
        <v>6942</v>
      </c>
      <c r="E7853" s="3">
        <v>0</v>
      </c>
      <c r="F7853" s="2">
        <v>2543</v>
      </c>
      <c r="G7853" s="2">
        <v>100</v>
      </c>
      <c r="H7853" s="2">
        <v>532</v>
      </c>
      <c r="I7853" s="2">
        <v>411</v>
      </c>
      <c r="J7853" s="2">
        <v>2006</v>
      </c>
      <c r="K7853" s="2">
        <v>1</v>
      </c>
      <c r="L7853" s="2">
        <v>532</v>
      </c>
    </row>
    <row r="7854" spans="1:12" x14ac:dyDescent="0.25">
      <c r="A7854" s="4" t="str">
        <f>HYPERLINK("http://www.rosaceae.org/Prunus/Prunus_persica/p.persica_gdr_reftransV1_0044308","p.persica_gdr_reftransV1_0044308")</f>
        <v>p.persica_gdr_reftransV1_0044308</v>
      </c>
      <c r="B7854" s="2">
        <v>569</v>
      </c>
      <c r="C7854" s="4" t="str">
        <f>HYPERLINK("http://www.uniprot.org/uniprot/M5WZZ1","M5WZZ1")</f>
        <v>M5WZZ1</v>
      </c>
      <c r="D7854" s="2" t="s">
        <v>6943</v>
      </c>
      <c r="E7854" s="3">
        <v>6.2100000000000004E-97</v>
      </c>
      <c r="F7854" s="2">
        <v>766</v>
      </c>
      <c r="G7854" s="2">
        <v>96</v>
      </c>
      <c r="H7854" s="2">
        <v>155</v>
      </c>
      <c r="I7854" s="2">
        <v>2</v>
      </c>
      <c r="J7854" s="2">
        <v>466</v>
      </c>
      <c r="K7854" s="2">
        <v>38</v>
      </c>
      <c r="L7854" s="2">
        <v>192</v>
      </c>
    </row>
    <row r="7855" spans="1:12" x14ac:dyDescent="0.25">
      <c r="A7855" s="4" t="str">
        <f>HYPERLINK("http://www.rosaceae.org/Prunus/Prunus_persica/p.persica_gdr_reftransV1_0044658","p.persica_gdr_reftransV1_0044658")</f>
        <v>p.persica_gdr_reftransV1_0044658</v>
      </c>
      <c r="B7855" s="2">
        <v>421</v>
      </c>
      <c r="C7855" s="4" t="str">
        <f>HYPERLINK("http://www.uniprot.org/uniprot/M5XR44","M5XR44")</f>
        <v>M5XR44</v>
      </c>
      <c r="D7855" s="2" t="s">
        <v>6944</v>
      </c>
      <c r="E7855" s="3">
        <v>6.3599999999999996E-90</v>
      </c>
      <c r="F7855" s="2">
        <v>727</v>
      </c>
      <c r="G7855" s="2">
        <v>100</v>
      </c>
      <c r="H7855" s="2">
        <v>140</v>
      </c>
      <c r="I7855" s="2">
        <v>1</v>
      </c>
      <c r="J7855" s="2">
        <v>420</v>
      </c>
      <c r="K7855" s="2">
        <v>227</v>
      </c>
      <c r="L7855" s="2">
        <v>366</v>
      </c>
    </row>
    <row r="7856" spans="1:12" x14ac:dyDescent="0.25">
      <c r="A7856" s="4" t="str">
        <f>HYPERLINK("http://www.rosaceae.org/Prunus/Prunus_persica/p.persica_gdr_reftransV1_0045008","p.persica_gdr_reftransV1_0045008")</f>
        <v>p.persica_gdr_reftransV1_0045008</v>
      </c>
      <c r="B7856" s="2">
        <v>1090</v>
      </c>
      <c r="C7856" s="4" t="str">
        <f>HYPERLINK("http://www.uniprot.org/uniprot/M5XQV9","M5XQV9")</f>
        <v>M5XQV9</v>
      </c>
      <c r="D7856" s="2" t="s">
        <v>6442</v>
      </c>
      <c r="E7856" s="3">
        <v>4.2399999999999999E-78</v>
      </c>
      <c r="F7856" s="2">
        <v>676</v>
      </c>
      <c r="G7856" s="2">
        <v>100</v>
      </c>
      <c r="H7856" s="2">
        <v>125</v>
      </c>
      <c r="I7856" s="2">
        <v>67</v>
      </c>
      <c r="J7856" s="2">
        <v>441</v>
      </c>
      <c r="K7856" s="2">
        <v>1</v>
      </c>
      <c r="L7856" s="2">
        <v>125</v>
      </c>
    </row>
    <row r="7857" spans="1:12" x14ac:dyDescent="0.25">
      <c r="A7857" s="4" t="str">
        <f>HYPERLINK("http://www.rosaceae.org/Prunus/Prunus_persica/p.persica_gdr_reftransV1_0045358","p.persica_gdr_reftransV1_0045358")</f>
        <v>p.persica_gdr_reftransV1_0045358</v>
      </c>
      <c r="B7857" s="2">
        <v>1528</v>
      </c>
      <c r="C7857" s="4" t="str">
        <f>HYPERLINK("http://www.uniprot.org/uniprot/M5WSB0","M5WSB0")</f>
        <v>M5WSB0</v>
      </c>
      <c r="D7857" s="2" t="s">
        <v>6945</v>
      </c>
      <c r="E7857" s="3">
        <v>0</v>
      </c>
      <c r="F7857" s="2">
        <v>2353</v>
      </c>
      <c r="G7857" s="2">
        <v>96</v>
      </c>
      <c r="H7857" s="2">
        <v>457</v>
      </c>
      <c r="I7857" s="2">
        <v>2</v>
      </c>
      <c r="J7857" s="2">
        <v>1372</v>
      </c>
      <c r="K7857" s="2">
        <v>15</v>
      </c>
      <c r="L7857" s="2">
        <v>471</v>
      </c>
    </row>
    <row r="7858" spans="1:12" x14ac:dyDescent="0.25">
      <c r="A7858" s="4" t="str">
        <f>HYPERLINK("http://www.rosaceae.org/Prunus/Prunus_persica/p.persica_gdr_reftransV1_0046058","p.persica_gdr_reftransV1_0046058")</f>
        <v>p.persica_gdr_reftransV1_0046058</v>
      </c>
      <c r="B7858" s="2">
        <v>2605</v>
      </c>
      <c r="C7858" s="4" t="str">
        <f>HYPERLINK("http://www.uniprot.org/uniprot/M5X237","M5X237")</f>
        <v>M5X237</v>
      </c>
      <c r="D7858" s="2" t="s">
        <v>6946</v>
      </c>
      <c r="E7858" s="3">
        <v>1.07E-121</v>
      </c>
      <c r="F7858" s="2">
        <v>1006</v>
      </c>
      <c r="G7858" s="2">
        <v>100</v>
      </c>
      <c r="H7858" s="2">
        <v>253</v>
      </c>
      <c r="I7858" s="2">
        <v>339</v>
      </c>
      <c r="J7858" s="2">
        <v>1097</v>
      </c>
      <c r="K7858" s="2">
        <v>317</v>
      </c>
      <c r="L7858" s="2">
        <v>569</v>
      </c>
    </row>
    <row r="7859" spans="1:12" x14ac:dyDescent="0.25">
      <c r="A7859" s="4" t="str">
        <f>HYPERLINK("http://www.rosaceae.org/Prunus/Prunus_persica/p.persica_gdr_reftransV1_0046408","p.persica_gdr_reftransV1_0046408")</f>
        <v>p.persica_gdr_reftransV1_0046408</v>
      </c>
      <c r="B7859" s="2">
        <v>3312</v>
      </c>
      <c r="C7859" s="4" t="str">
        <f>HYPERLINK("http://www.uniprot.org/uniprot/M5WD87","M5WD87")</f>
        <v>M5WD87</v>
      </c>
      <c r="D7859" s="2" t="s">
        <v>1275</v>
      </c>
      <c r="E7859" s="3">
        <v>0</v>
      </c>
      <c r="F7859" s="2">
        <v>4729</v>
      </c>
      <c r="G7859" s="2">
        <v>98</v>
      </c>
      <c r="H7859" s="2">
        <v>914</v>
      </c>
      <c r="I7859" s="2">
        <v>182</v>
      </c>
      <c r="J7859" s="2">
        <v>2902</v>
      </c>
      <c r="K7859" s="2">
        <v>10</v>
      </c>
      <c r="L7859" s="2">
        <v>923</v>
      </c>
    </row>
    <row r="7860" spans="1:12" x14ac:dyDescent="0.25">
      <c r="A7860" s="4" t="str">
        <f>HYPERLINK("http://www.rosaceae.org/Prunus/Prunus_persica/p.persica_gdr_reftransV1_0046758","p.persica_gdr_reftransV1_0046758")</f>
        <v>p.persica_gdr_reftransV1_0046758</v>
      </c>
      <c r="B7860" s="2">
        <v>313</v>
      </c>
      <c r="C7860" s="4" t="str">
        <f>HYPERLINK("http://www.uniprot.org/uniprot/M5XC55","M5XC55")</f>
        <v>M5XC55</v>
      </c>
      <c r="D7860" s="2" t="s">
        <v>6947</v>
      </c>
      <c r="E7860" s="3">
        <v>3.9000000000000002E-52</v>
      </c>
      <c r="F7860" s="2">
        <v>472</v>
      </c>
      <c r="G7860" s="2">
        <v>91</v>
      </c>
      <c r="H7860" s="2">
        <v>102</v>
      </c>
      <c r="I7860" s="2">
        <v>2</v>
      </c>
      <c r="J7860" s="2">
        <v>307</v>
      </c>
      <c r="K7860" s="2">
        <v>468</v>
      </c>
      <c r="L7860" s="2">
        <v>563</v>
      </c>
    </row>
    <row r="7861" spans="1:12" x14ac:dyDescent="0.25">
      <c r="A7861" s="4" t="str">
        <f>HYPERLINK("http://www.rosaceae.org/Prunus/Prunus_persica/p.persica_gdr_reftransV1_0047108","p.persica_gdr_reftransV1_0047108")</f>
        <v>p.persica_gdr_reftransV1_0047108</v>
      </c>
      <c r="B7861" s="2">
        <v>1332</v>
      </c>
      <c r="C7861" s="4" t="str">
        <f>HYPERLINK("http://www.uniprot.org/uniprot/M5VUD9","M5VUD9")</f>
        <v>M5VUD9</v>
      </c>
      <c r="D7861" s="2" t="s">
        <v>6948</v>
      </c>
      <c r="E7861" s="3">
        <v>0</v>
      </c>
      <c r="F7861" s="2">
        <v>1890</v>
      </c>
      <c r="G7861" s="2">
        <v>100</v>
      </c>
      <c r="H7861" s="2">
        <v>354</v>
      </c>
      <c r="I7861" s="2">
        <v>66</v>
      </c>
      <c r="J7861" s="2">
        <v>1127</v>
      </c>
      <c r="K7861" s="2">
        <v>1</v>
      </c>
      <c r="L7861" s="2">
        <v>354</v>
      </c>
    </row>
    <row r="7862" spans="1:12" x14ac:dyDescent="0.25">
      <c r="A7862" s="4" t="str">
        <f>HYPERLINK("http://www.rosaceae.org/Prunus/Prunus_persica/p.persica_gdr_reftransV1_0048158","p.persica_gdr_reftransV1_0048158")</f>
        <v>p.persica_gdr_reftransV1_0048158</v>
      </c>
      <c r="B7862" s="2">
        <v>2189</v>
      </c>
      <c r="C7862" s="4" t="str">
        <f>HYPERLINK("http://www.uniprot.org/uniprot/M5WXP5","M5WXP5")</f>
        <v>M5WXP5</v>
      </c>
      <c r="D7862" s="2" t="s">
        <v>6949</v>
      </c>
      <c r="E7862" s="3">
        <v>0</v>
      </c>
      <c r="F7862" s="2">
        <v>2230</v>
      </c>
      <c r="G7862" s="2">
        <v>100</v>
      </c>
      <c r="H7862" s="2">
        <v>414</v>
      </c>
      <c r="I7862" s="2">
        <v>157</v>
      </c>
      <c r="J7862" s="2">
        <v>1398</v>
      </c>
      <c r="K7862" s="2">
        <v>2</v>
      </c>
      <c r="L7862" s="2">
        <v>415</v>
      </c>
    </row>
    <row r="7863" spans="1:12" x14ac:dyDescent="0.25">
      <c r="A7863" s="4" t="str">
        <f>HYPERLINK("http://www.rosaceae.org/Prunus/Prunus_persica/p.persica_gdr_reftransV1_0048858","p.persica_gdr_reftransV1_0048858")</f>
        <v>p.persica_gdr_reftransV1_0048858</v>
      </c>
      <c r="B7863" s="2">
        <v>676</v>
      </c>
      <c r="C7863" s="4" t="str">
        <f>HYPERLINK("http://www.uniprot.org/uniprot/M5WY57","M5WY57")</f>
        <v>M5WY57</v>
      </c>
      <c r="D7863" s="2" t="s">
        <v>6950</v>
      </c>
      <c r="E7863" s="3">
        <v>1.5099999999999999E-128</v>
      </c>
      <c r="F7863" s="2">
        <v>992</v>
      </c>
      <c r="G7863" s="2">
        <v>99</v>
      </c>
      <c r="H7863" s="2">
        <v>184</v>
      </c>
      <c r="I7863" s="2">
        <v>3</v>
      </c>
      <c r="J7863" s="2">
        <v>554</v>
      </c>
      <c r="K7863" s="2">
        <v>384</v>
      </c>
      <c r="L7863" s="2">
        <v>567</v>
      </c>
    </row>
    <row r="7864" spans="1:12" x14ac:dyDescent="0.25">
      <c r="A7864" s="4" t="str">
        <f>HYPERLINK("http://www.rosaceae.org/Prunus/Prunus_persica/p.persica_gdr_reftransV1_0000209","p.persica_gdr_reftransV1_0000209")</f>
        <v>p.persica_gdr_reftransV1_0000209</v>
      </c>
      <c r="B7864" s="2">
        <v>584</v>
      </c>
      <c r="C7864" s="4" t="str">
        <f>HYPERLINK("http://www.uniprot.org/uniprot/M5XJ02","M5XJ02")</f>
        <v>M5XJ02</v>
      </c>
      <c r="D7864" s="2" t="s">
        <v>6951</v>
      </c>
      <c r="E7864" s="3">
        <v>1.8199999999999999E-20</v>
      </c>
      <c r="F7864" s="2">
        <v>183</v>
      </c>
      <c r="G7864" s="2">
        <v>61</v>
      </c>
      <c r="H7864" s="2">
        <v>104</v>
      </c>
      <c r="I7864" s="2">
        <v>3</v>
      </c>
      <c r="J7864" s="2">
        <v>305</v>
      </c>
      <c r="K7864" s="2">
        <v>268</v>
      </c>
      <c r="L7864" s="2">
        <v>371</v>
      </c>
    </row>
    <row r="7865" spans="1:12" x14ac:dyDescent="0.25">
      <c r="A7865" s="4" t="str">
        <f>HYPERLINK("http://www.rosaceae.org/Prunus/Prunus_persica/p.persica_gdr_reftransV1_0000559","p.persica_gdr_reftransV1_0000559")</f>
        <v>p.persica_gdr_reftransV1_0000559</v>
      </c>
      <c r="B7865" s="2">
        <v>731</v>
      </c>
      <c r="C7865" s="4" t="str">
        <f>HYPERLINK("http://www.uniprot.org/uniprot/M5WLV7","M5WLV7")</f>
        <v>M5WLV7</v>
      </c>
      <c r="D7865" s="2" t="s">
        <v>3112</v>
      </c>
      <c r="E7865" s="3">
        <v>4.9300000000000002E-118</v>
      </c>
      <c r="F7865" s="2">
        <v>925</v>
      </c>
      <c r="G7865" s="2">
        <v>100</v>
      </c>
      <c r="H7865" s="2">
        <v>171</v>
      </c>
      <c r="I7865" s="2">
        <v>219</v>
      </c>
      <c r="J7865" s="2">
        <v>731</v>
      </c>
      <c r="K7865" s="2">
        <v>1</v>
      </c>
      <c r="L7865" s="2">
        <v>171</v>
      </c>
    </row>
    <row r="7866" spans="1:12" x14ac:dyDescent="0.25">
      <c r="A7866" s="4" t="str">
        <f>HYPERLINK("http://www.rosaceae.org/Prunus/Prunus_persica/p.persica_gdr_reftransV1_0000909","p.persica_gdr_reftransV1_0000909")</f>
        <v>p.persica_gdr_reftransV1_0000909</v>
      </c>
      <c r="B7866" s="2">
        <v>1823</v>
      </c>
      <c r="C7866" s="4" t="str">
        <f>HYPERLINK("http://www.uniprot.org/uniprot/M5W4N5","M5W4N5")</f>
        <v>M5W4N5</v>
      </c>
      <c r="D7866" s="2" t="s">
        <v>3635</v>
      </c>
      <c r="E7866" s="3">
        <v>0</v>
      </c>
      <c r="F7866" s="2">
        <v>3018</v>
      </c>
      <c r="G7866" s="2">
        <v>91</v>
      </c>
      <c r="H7866" s="2">
        <v>652</v>
      </c>
      <c r="I7866" s="2">
        <v>2</v>
      </c>
      <c r="J7866" s="2">
        <v>1822</v>
      </c>
      <c r="K7866" s="2">
        <v>91</v>
      </c>
      <c r="L7866" s="2">
        <v>729</v>
      </c>
    </row>
    <row r="7867" spans="1:12" x14ac:dyDescent="0.25">
      <c r="A7867" s="4" t="str">
        <f>HYPERLINK("http://www.rosaceae.org/Prunus/Prunus_persica/p.persica_gdr_reftransV1_0001259","p.persica_gdr_reftransV1_0001259")</f>
        <v>p.persica_gdr_reftransV1_0001259</v>
      </c>
      <c r="B7867" s="2">
        <v>389</v>
      </c>
      <c r="C7867" s="4" t="str">
        <f>HYPERLINK("http://www.uniprot.org/uniprot/A0A067G2V5","A0A067G2V5")</f>
        <v>A0A067G2V5</v>
      </c>
      <c r="D7867" s="2" t="s">
        <v>6952</v>
      </c>
      <c r="E7867" s="3">
        <v>1.4299999999999999E-75</v>
      </c>
      <c r="F7867" s="2">
        <v>620</v>
      </c>
      <c r="G7867" s="2">
        <v>84</v>
      </c>
      <c r="H7867" s="2">
        <v>129</v>
      </c>
      <c r="I7867" s="2">
        <v>1</v>
      </c>
      <c r="J7867" s="2">
        <v>387</v>
      </c>
      <c r="K7867" s="2">
        <v>169</v>
      </c>
      <c r="L7867" s="2">
        <v>297</v>
      </c>
    </row>
    <row r="7868" spans="1:12" x14ac:dyDescent="0.25">
      <c r="A7868" s="4" t="str">
        <f>HYPERLINK("http://www.rosaceae.org/Prunus/Prunus_persica/p.persica_gdr_reftransV1_0001609","p.persica_gdr_reftransV1_0001609")</f>
        <v>p.persica_gdr_reftransV1_0001609</v>
      </c>
      <c r="B7868" s="2">
        <v>1792</v>
      </c>
      <c r="C7868" s="4" t="str">
        <f>HYPERLINK("http://www.uniprot.org/uniprot/M5WZY4","M5WZY4")</f>
        <v>M5WZY4</v>
      </c>
      <c r="D7868" s="2" t="s">
        <v>6403</v>
      </c>
      <c r="E7868" s="3">
        <v>1.12E-171</v>
      </c>
      <c r="F7868" s="2">
        <v>815</v>
      </c>
      <c r="G7868" s="2">
        <v>96</v>
      </c>
      <c r="H7868" s="2">
        <v>167</v>
      </c>
      <c r="I7868" s="2">
        <v>1185</v>
      </c>
      <c r="J7868" s="2">
        <v>1685</v>
      </c>
      <c r="K7868" s="2">
        <v>22</v>
      </c>
      <c r="L7868" s="2">
        <v>188</v>
      </c>
    </row>
    <row r="7869" spans="1:12" x14ac:dyDescent="0.25">
      <c r="A7869" s="4" t="str">
        <f>HYPERLINK("http://www.rosaceae.org/Prunus/Prunus_persica/p.persica_gdr_reftransV1_0001959","p.persica_gdr_reftransV1_0001959")</f>
        <v>p.persica_gdr_reftransV1_0001959</v>
      </c>
      <c r="B7869" s="2">
        <v>317</v>
      </c>
      <c r="C7869" s="4" t="str">
        <f>HYPERLINK("http://www.uniprot.org/uniprot/M5W822","M5W822")</f>
        <v>M5W822</v>
      </c>
      <c r="D7869" s="2" t="s">
        <v>2484</v>
      </c>
      <c r="E7869" s="3">
        <v>3.5900000000000001E-64</v>
      </c>
      <c r="F7869" s="2">
        <v>556</v>
      </c>
      <c r="G7869" s="2">
        <v>100</v>
      </c>
      <c r="H7869" s="2">
        <v>105</v>
      </c>
      <c r="I7869" s="2">
        <v>1</v>
      </c>
      <c r="J7869" s="2">
        <v>315</v>
      </c>
      <c r="K7869" s="2">
        <v>43</v>
      </c>
      <c r="L7869" s="2">
        <v>147</v>
      </c>
    </row>
    <row r="7870" spans="1:12" x14ac:dyDescent="0.25">
      <c r="A7870" s="4" t="str">
        <f>HYPERLINK("http://www.rosaceae.org/Prunus/Prunus_persica/p.persica_gdr_reftransV1_0002309","p.persica_gdr_reftransV1_0002309")</f>
        <v>p.persica_gdr_reftransV1_0002309</v>
      </c>
      <c r="B7870" s="2">
        <v>864</v>
      </c>
      <c r="C7870" s="4" t="str">
        <f>HYPERLINK("http://www.uniprot.org/uniprot/K7LBZ3","K7LBZ3")</f>
        <v>K7LBZ3</v>
      </c>
      <c r="D7870" s="2" t="s">
        <v>1584</v>
      </c>
      <c r="E7870" s="3">
        <v>1.5900000000000001E-121</v>
      </c>
      <c r="F7870" s="2">
        <v>939</v>
      </c>
      <c r="G7870" s="2">
        <v>73</v>
      </c>
      <c r="H7870" s="2">
        <v>240</v>
      </c>
      <c r="I7870" s="2">
        <v>1</v>
      </c>
      <c r="J7870" s="2">
        <v>720</v>
      </c>
      <c r="K7870" s="2">
        <v>177</v>
      </c>
      <c r="L7870" s="2">
        <v>412</v>
      </c>
    </row>
    <row r="7871" spans="1:12" x14ac:dyDescent="0.25">
      <c r="A7871" s="4" t="str">
        <f>HYPERLINK("http://www.rosaceae.org/Prunus/Prunus_persica/p.persica_gdr_reftransV1_0003709","p.persica_gdr_reftransV1_0003709")</f>
        <v>p.persica_gdr_reftransV1_0003709</v>
      </c>
      <c r="B7871" s="2">
        <v>859</v>
      </c>
      <c r="C7871" s="4" t="str">
        <f>HYPERLINK("http://www.uniprot.org/uniprot/M5WV78","M5WV78")</f>
        <v>M5WV78</v>
      </c>
      <c r="D7871" s="2" t="s">
        <v>6953</v>
      </c>
      <c r="E7871" s="3">
        <v>2.04E-64</v>
      </c>
      <c r="F7871" s="2">
        <v>561</v>
      </c>
      <c r="G7871" s="2">
        <v>88</v>
      </c>
      <c r="H7871" s="2">
        <v>141</v>
      </c>
      <c r="I7871" s="2">
        <v>140</v>
      </c>
      <c r="J7871" s="2">
        <v>559</v>
      </c>
      <c r="K7871" s="2">
        <v>1</v>
      </c>
      <c r="L7871" s="2">
        <v>141</v>
      </c>
    </row>
    <row r="7872" spans="1:12" x14ac:dyDescent="0.25">
      <c r="A7872" s="4" t="str">
        <f>HYPERLINK("http://www.rosaceae.org/Prunus/Prunus_persica/p.persica_gdr_reftransV1_0004059","p.persica_gdr_reftransV1_0004059")</f>
        <v>p.persica_gdr_reftransV1_0004059</v>
      </c>
      <c r="B7872" s="2">
        <v>1747</v>
      </c>
      <c r="C7872" s="4" t="str">
        <f>HYPERLINK("http://www.uniprot.org/uniprot/M5X057","M5X057")</f>
        <v>M5X057</v>
      </c>
      <c r="D7872" s="2" t="s">
        <v>6954</v>
      </c>
      <c r="E7872" s="3">
        <v>0</v>
      </c>
      <c r="F7872" s="2">
        <v>1599</v>
      </c>
      <c r="G7872" s="2">
        <v>100</v>
      </c>
      <c r="H7872" s="2">
        <v>348</v>
      </c>
      <c r="I7872" s="2">
        <v>535</v>
      </c>
      <c r="J7872" s="2">
        <v>1578</v>
      </c>
      <c r="K7872" s="2">
        <v>1</v>
      </c>
      <c r="L7872" s="2">
        <v>348</v>
      </c>
    </row>
    <row r="7873" spans="1:12" x14ac:dyDescent="0.25">
      <c r="A7873" s="4" t="str">
        <f>HYPERLINK("http://www.rosaceae.org/Prunus/Prunus_persica/p.persica_gdr_reftransV1_0004409","p.persica_gdr_reftransV1_0004409")</f>
        <v>p.persica_gdr_reftransV1_0004409</v>
      </c>
      <c r="B7873" s="2">
        <v>941</v>
      </c>
      <c r="C7873" s="4" t="str">
        <f>HYPERLINK("http://www.uniprot.org/uniprot/M5X305","M5X305")</f>
        <v>M5X305</v>
      </c>
      <c r="D7873" s="2" t="s">
        <v>6955</v>
      </c>
      <c r="E7873" s="3">
        <v>7.0500000000000003E-71</v>
      </c>
      <c r="F7873" s="2">
        <v>577</v>
      </c>
      <c r="G7873" s="2">
        <v>100</v>
      </c>
      <c r="H7873" s="2">
        <v>112</v>
      </c>
      <c r="I7873" s="2">
        <v>138</v>
      </c>
      <c r="J7873" s="2">
        <v>473</v>
      </c>
      <c r="K7873" s="2">
        <v>1</v>
      </c>
      <c r="L7873" s="2">
        <v>112</v>
      </c>
    </row>
    <row r="7874" spans="1:12" x14ac:dyDescent="0.25">
      <c r="A7874" s="4" t="str">
        <f>HYPERLINK("http://www.rosaceae.org/Prunus/Prunus_persica/p.persica_gdr_reftransV1_0004759","p.persica_gdr_reftransV1_0004759")</f>
        <v>p.persica_gdr_reftransV1_0004759</v>
      </c>
      <c r="B7874" s="2">
        <v>1751</v>
      </c>
      <c r="C7874" s="4" t="str">
        <f>HYPERLINK("http://www.uniprot.org/uniprot/M5W1H0","M5W1H0")</f>
        <v>M5W1H0</v>
      </c>
      <c r="D7874" s="2" t="s">
        <v>6956</v>
      </c>
      <c r="E7874" s="3">
        <v>1.9699999999999999E-120</v>
      </c>
      <c r="F7874" s="2">
        <v>965</v>
      </c>
      <c r="G7874" s="2">
        <v>99</v>
      </c>
      <c r="H7874" s="2">
        <v>211</v>
      </c>
      <c r="I7874" s="2">
        <v>1117</v>
      </c>
      <c r="J7874" s="2">
        <v>1749</v>
      </c>
      <c r="K7874" s="2">
        <v>246</v>
      </c>
      <c r="L7874" s="2">
        <v>456</v>
      </c>
    </row>
    <row r="7875" spans="1:12" x14ac:dyDescent="0.25">
      <c r="A7875" s="4" t="str">
        <f>HYPERLINK("http://www.rosaceae.org/Prunus/Prunus_persica/p.persica_gdr_reftransV1_0005459","p.persica_gdr_reftransV1_0005459")</f>
        <v>p.persica_gdr_reftransV1_0005459</v>
      </c>
      <c r="B7875" s="2">
        <v>656</v>
      </c>
      <c r="C7875" s="4" t="str">
        <f>HYPERLINK("http://www.uniprot.org/uniprot/M5WU35","M5WU35")</f>
        <v>M5WU35</v>
      </c>
      <c r="D7875" s="2" t="s">
        <v>6957</v>
      </c>
      <c r="E7875" s="3">
        <v>3.8900000000000002E-116</v>
      </c>
      <c r="F7875" s="2">
        <v>898</v>
      </c>
      <c r="G7875" s="2">
        <v>100</v>
      </c>
      <c r="H7875" s="2">
        <v>181</v>
      </c>
      <c r="I7875" s="2">
        <v>2</v>
      </c>
      <c r="J7875" s="2">
        <v>544</v>
      </c>
      <c r="K7875" s="2">
        <v>1</v>
      </c>
      <c r="L7875" s="2">
        <v>181</v>
      </c>
    </row>
    <row r="7876" spans="1:12" x14ac:dyDescent="0.25">
      <c r="A7876" s="4" t="str">
        <f>HYPERLINK("http://www.rosaceae.org/Prunus/Prunus_persica/p.persica_gdr_reftransV1_0006159","p.persica_gdr_reftransV1_0006159")</f>
        <v>p.persica_gdr_reftransV1_0006159</v>
      </c>
      <c r="B7876" s="2">
        <v>1241</v>
      </c>
      <c r="C7876" s="4" t="str">
        <f>HYPERLINK("http://www.uniprot.org/uniprot/M5W0X2","M5W0X2")</f>
        <v>M5W0X2</v>
      </c>
      <c r="D7876" s="2" t="s">
        <v>2315</v>
      </c>
      <c r="E7876" s="3">
        <v>1.0499999999999999E-121</v>
      </c>
      <c r="F7876" s="2">
        <v>740</v>
      </c>
      <c r="G7876" s="2">
        <v>99</v>
      </c>
      <c r="H7876" s="2">
        <v>153</v>
      </c>
      <c r="I7876" s="2">
        <v>106</v>
      </c>
      <c r="J7876" s="2">
        <v>564</v>
      </c>
      <c r="K7876" s="2">
        <v>1</v>
      </c>
      <c r="L7876" s="2">
        <v>153</v>
      </c>
    </row>
    <row r="7877" spans="1:12" x14ac:dyDescent="0.25">
      <c r="A7877" s="4" t="str">
        <f>HYPERLINK("http://www.rosaceae.org/Prunus/Prunus_persica/p.persica_gdr_reftransV1_0007209","p.persica_gdr_reftransV1_0007209")</f>
        <v>p.persica_gdr_reftransV1_0007209</v>
      </c>
      <c r="B7877" s="2">
        <v>1405</v>
      </c>
      <c r="C7877" s="4" t="str">
        <f>HYPERLINK("http://www.uniprot.org/uniprot/M5XEM4","M5XEM4")</f>
        <v>M5XEM4</v>
      </c>
      <c r="D7877" s="2" t="s">
        <v>6958</v>
      </c>
      <c r="E7877" s="3">
        <v>0</v>
      </c>
      <c r="F7877" s="2">
        <v>1426</v>
      </c>
      <c r="G7877" s="2">
        <v>84</v>
      </c>
      <c r="H7877" s="2">
        <v>358</v>
      </c>
      <c r="I7877" s="2">
        <v>121</v>
      </c>
      <c r="J7877" s="2">
        <v>1194</v>
      </c>
      <c r="K7877" s="2">
        <v>1</v>
      </c>
      <c r="L7877" s="2">
        <v>302</v>
      </c>
    </row>
    <row r="7878" spans="1:12" x14ac:dyDescent="0.25">
      <c r="A7878" s="4" t="str">
        <f>HYPERLINK("http://www.rosaceae.org/Prunus/Prunus_persica/p.persica_gdr_reftransV1_0007559","p.persica_gdr_reftransV1_0007559")</f>
        <v>p.persica_gdr_reftransV1_0007559</v>
      </c>
      <c r="B7878" s="2">
        <v>949</v>
      </c>
      <c r="C7878" s="4" t="str">
        <f>HYPERLINK("http://www.uniprot.org/uniprot/M5VRM2","M5VRM2")</f>
        <v>M5VRM2</v>
      </c>
      <c r="D7878" s="2" t="s">
        <v>6959</v>
      </c>
      <c r="E7878" s="3">
        <v>1.4200000000000001E-59</v>
      </c>
      <c r="F7878" s="2">
        <v>501</v>
      </c>
      <c r="G7878" s="2">
        <v>100</v>
      </c>
      <c r="H7878" s="2">
        <v>95</v>
      </c>
      <c r="I7878" s="2">
        <v>123</v>
      </c>
      <c r="J7878" s="2">
        <v>407</v>
      </c>
      <c r="K7878" s="2">
        <v>14</v>
      </c>
      <c r="L7878" s="2">
        <v>108</v>
      </c>
    </row>
    <row r="7879" spans="1:12" x14ac:dyDescent="0.25">
      <c r="A7879" s="4" t="str">
        <f>HYPERLINK("http://www.rosaceae.org/Prunus/Prunus_persica/p.persica_gdr_reftransV1_0008259","p.persica_gdr_reftransV1_0008259")</f>
        <v>p.persica_gdr_reftransV1_0008259</v>
      </c>
      <c r="B7879" s="2">
        <v>1736</v>
      </c>
      <c r="C7879" s="4" t="str">
        <f>HYPERLINK("http://www.uniprot.org/uniprot/M5WJY7","M5WJY7")</f>
        <v>M5WJY7</v>
      </c>
      <c r="D7879" s="2" t="s">
        <v>6960</v>
      </c>
      <c r="E7879" s="3">
        <v>0</v>
      </c>
      <c r="F7879" s="2">
        <v>2354</v>
      </c>
      <c r="G7879" s="2">
        <v>100</v>
      </c>
      <c r="H7879" s="2">
        <v>437</v>
      </c>
      <c r="I7879" s="2">
        <v>425</v>
      </c>
      <c r="J7879" s="2">
        <v>1735</v>
      </c>
      <c r="K7879" s="2">
        <v>274</v>
      </c>
      <c r="L7879" s="2">
        <v>710</v>
      </c>
    </row>
    <row r="7880" spans="1:12" x14ac:dyDescent="0.25">
      <c r="A7880" s="4" t="str">
        <f>HYPERLINK("http://www.rosaceae.org/Prunus/Prunus_persica/p.persica_gdr_reftransV1_0008959","p.persica_gdr_reftransV1_0008959")</f>
        <v>p.persica_gdr_reftransV1_0008959</v>
      </c>
      <c r="B7880" s="2">
        <v>890</v>
      </c>
      <c r="C7880" s="4" t="str">
        <f>HYPERLINK("http://www.uniprot.org/uniprot/M5WD85","M5WD85")</f>
        <v>M5WD85</v>
      </c>
      <c r="D7880" s="2" t="s">
        <v>6961</v>
      </c>
      <c r="E7880" s="3">
        <v>7.8400000000000003E-95</v>
      </c>
      <c r="F7880" s="2">
        <v>739</v>
      </c>
      <c r="G7880" s="2">
        <v>100</v>
      </c>
      <c r="H7880" s="2">
        <v>158</v>
      </c>
      <c r="I7880" s="2">
        <v>111</v>
      </c>
      <c r="J7880" s="2">
        <v>584</v>
      </c>
      <c r="K7880" s="2">
        <v>6</v>
      </c>
      <c r="L7880" s="2">
        <v>163</v>
      </c>
    </row>
    <row r="7881" spans="1:12" x14ac:dyDescent="0.25">
      <c r="A7881" s="4" t="str">
        <f>HYPERLINK("http://www.rosaceae.org/Prunus/Prunus_persica/p.persica_gdr_reftransV1_0009309","p.persica_gdr_reftransV1_0009309")</f>
        <v>p.persica_gdr_reftransV1_0009309</v>
      </c>
      <c r="B7881" s="2">
        <v>1440</v>
      </c>
      <c r="C7881" s="4" t="str">
        <f>HYPERLINK("http://www.uniprot.org/uniprot/M5VQC1","M5VQC1")</f>
        <v>M5VQC1</v>
      </c>
      <c r="D7881" s="2" t="s">
        <v>6962</v>
      </c>
      <c r="E7881" s="3">
        <v>1.4200000000000001E-180</v>
      </c>
      <c r="F7881" s="2">
        <v>1339</v>
      </c>
      <c r="G7881" s="2">
        <v>100</v>
      </c>
      <c r="H7881" s="2">
        <v>312</v>
      </c>
      <c r="I7881" s="2">
        <v>26</v>
      </c>
      <c r="J7881" s="2">
        <v>961</v>
      </c>
      <c r="K7881" s="2">
        <v>1</v>
      </c>
      <c r="L7881" s="2">
        <v>312</v>
      </c>
    </row>
    <row r="7882" spans="1:12" x14ac:dyDescent="0.25">
      <c r="A7882" s="4" t="str">
        <f>HYPERLINK("http://www.rosaceae.org/Prunus/Prunus_persica/p.persica_gdr_reftransV1_0009659","p.persica_gdr_reftransV1_0009659")</f>
        <v>p.persica_gdr_reftransV1_0009659</v>
      </c>
      <c r="B7882" s="2">
        <v>1341</v>
      </c>
      <c r="C7882" s="4" t="str">
        <f>HYPERLINK("http://www.uniprot.org/uniprot/M5XHD4","M5XHD4")</f>
        <v>M5XHD4</v>
      </c>
      <c r="D7882" s="2" t="s">
        <v>6963</v>
      </c>
      <c r="E7882" s="3">
        <v>1.3699999999999999E-94</v>
      </c>
      <c r="F7882" s="2">
        <v>750</v>
      </c>
      <c r="G7882" s="2">
        <v>100</v>
      </c>
      <c r="H7882" s="2">
        <v>143</v>
      </c>
      <c r="I7882" s="2">
        <v>512</v>
      </c>
      <c r="J7882" s="2">
        <v>940</v>
      </c>
      <c r="K7882" s="2">
        <v>1</v>
      </c>
      <c r="L7882" s="2">
        <v>143</v>
      </c>
    </row>
    <row r="7883" spans="1:12" x14ac:dyDescent="0.25">
      <c r="A7883" s="4" t="str">
        <f>HYPERLINK("http://www.rosaceae.org/Prunus/Prunus_persica/p.persica_gdr_reftransV1_0011059","p.persica_gdr_reftransV1_0011059")</f>
        <v>p.persica_gdr_reftransV1_0011059</v>
      </c>
      <c r="B7883" s="2">
        <v>1336</v>
      </c>
      <c r="C7883" s="4" t="str">
        <f>HYPERLINK("http://www.uniprot.org/uniprot/M5VQV2","M5VQV2")</f>
        <v>M5VQV2</v>
      </c>
      <c r="D7883" s="2" t="s">
        <v>6964</v>
      </c>
      <c r="E7883" s="3">
        <v>5.3400000000000002E-180</v>
      </c>
      <c r="F7883" s="2">
        <v>1327</v>
      </c>
      <c r="G7883" s="2">
        <v>100</v>
      </c>
      <c r="H7883" s="2">
        <v>266</v>
      </c>
      <c r="I7883" s="2">
        <v>77</v>
      </c>
      <c r="J7883" s="2">
        <v>874</v>
      </c>
      <c r="K7883" s="2">
        <v>1</v>
      </c>
      <c r="L7883" s="2">
        <v>266</v>
      </c>
    </row>
    <row r="7884" spans="1:12" x14ac:dyDescent="0.25">
      <c r="A7884" s="4" t="str">
        <f>HYPERLINK("http://www.rosaceae.org/Prunus/Prunus_persica/p.persica_gdr_reftransV1_0011409","p.persica_gdr_reftransV1_0011409")</f>
        <v>p.persica_gdr_reftransV1_0011409</v>
      </c>
      <c r="B7884" s="2">
        <v>1500</v>
      </c>
      <c r="C7884" s="4" t="str">
        <f>HYPERLINK("http://www.uniprot.org/uniprot/M5XGE1","M5XGE1")</f>
        <v>M5XGE1</v>
      </c>
      <c r="D7884" s="2" t="s">
        <v>6965</v>
      </c>
      <c r="E7884" s="3">
        <v>1.26E-97</v>
      </c>
      <c r="F7884" s="2">
        <v>784</v>
      </c>
      <c r="G7884" s="2">
        <v>99</v>
      </c>
      <c r="H7884" s="2">
        <v>161</v>
      </c>
      <c r="I7884" s="2">
        <v>156</v>
      </c>
      <c r="J7884" s="2">
        <v>638</v>
      </c>
      <c r="K7884" s="2">
        <v>1</v>
      </c>
      <c r="L7884" s="2">
        <v>161</v>
      </c>
    </row>
    <row r="7885" spans="1:12" x14ac:dyDescent="0.25">
      <c r="A7885" s="4" t="str">
        <f>HYPERLINK("http://www.rosaceae.org/Prunus/Prunus_persica/p.persica_gdr_reftransV1_0012459","p.persica_gdr_reftransV1_0012459")</f>
        <v>p.persica_gdr_reftransV1_0012459</v>
      </c>
      <c r="B7885" s="2">
        <v>1105</v>
      </c>
      <c r="C7885" s="4" t="str">
        <f>HYPERLINK("http://www.uniprot.org/uniprot/M5XB76","M5XB76")</f>
        <v>M5XB76</v>
      </c>
      <c r="D7885" s="2" t="s">
        <v>6966</v>
      </c>
      <c r="E7885" s="3">
        <v>2.18E-77</v>
      </c>
      <c r="F7885" s="2">
        <v>628</v>
      </c>
      <c r="G7885" s="2">
        <v>100</v>
      </c>
      <c r="H7885" s="2">
        <v>137</v>
      </c>
      <c r="I7885" s="2">
        <v>84</v>
      </c>
      <c r="J7885" s="2">
        <v>494</v>
      </c>
      <c r="K7885" s="2">
        <v>1</v>
      </c>
      <c r="L7885" s="2">
        <v>137</v>
      </c>
    </row>
    <row r="7886" spans="1:12" x14ac:dyDescent="0.25">
      <c r="A7886" s="4" t="str">
        <f>HYPERLINK("http://www.rosaceae.org/Prunus/Prunus_persica/p.persica_gdr_reftransV1_0012809","p.persica_gdr_reftransV1_0012809")</f>
        <v>p.persica_gdr_reftransV1_0012809</v>
      </c>
      <c r="B7886" s="2">
        <v>1253</v>
      </c>
      <c r="C7886" s="4" t="str">
        <f>HYPERLINK("http://www.uniprot.org/uniprot/M5XE54","M5XE54")</f>
        <v>M5XE54</v>
      </c>
      <c r="D7886" s="2" t="s">
        <v>6967</v>
      </c>
      <c r="E7886" s="3">
        <v>0</v>
      </c>
      <c r="F7886" s="2">
        <v>1550</v>
      </c>
      <c r="G7886" s="2">
        <v>100</v>
      </c>
      <c r="H7886" s="2">
        <v>299</v>
      </c>
      <c r="I7886" s="2">
        <v>155</v>
      </c>
      <c r="J7886" s="2">
        <v>1051</v>
      </c>
      <c r="K7886" s="2">
        <v>1</v>
      </c>
      <c r="L7886" s="2">
        <v>299</v>
      </c>
    </row>
    <row r="7887" spans="1:12" x14ac:dyDescent="0.25">
      <c r="A7887" s="4" t="str">
        <f>HYPERLINK("http://www.rosaceae.org/Prunus/Prunus_persica/p.persica_gdr_reftransV1_0013509","p.persica_gdr_reftransV1_0013509")</f>
        <v>p.persica_gdr_reftransV1_0013509</v>
      </c>
      <c r="B7887" s="2">
        <v>915</v>
      </c>
      <c r="C7887" s="4" t="str">
        <f>HYPERLINK("http://www.uniprot.org/uniprot/M5VVK0","M5VVK0")</f>
        <v>M5VVK0</v>
      </c>
      <c r="D7887" s="2" t="s">
        <v>1557</v>
      </c>
      <c r="E7887" s="3">
        <v>1.14E-157</v>
      </c>
      <c r="F7887" s="2">
        <v>1199</v>
      </c>
      <c r="G7887" s="2">
        <v>100</v>
      </c>
      <c r="H7887" s="2">
        <v>225</v>
      </c>
      <c r="I7887" s="2">
        <v>1</v>
      </c>
      <c r="J7887" s="2">
        <v>675</v>
      </c>
      <c r="K7887" s="2">
        <v>1</v>
      </c>
      <c r="L7887" s="2">
        <v>225</v>
      </c>
    </row>
    <row r="7888" spans="1:12" x14ac:dyDescent="0.25">
      <c r="A7888" s="4" t="str">
        <f>HYPERLINK("http://www.rosaceae.org/Prunus/Prunus_persica/p.persica_gdr_reftransV1_0014559","p.persica_gdr_reftransV1_0014559")</f>
        <v>p.persica_gdr_reftransV1_0014559</v>
      </c>
      <c r="B7888" s="2">
        <v>3932</v>
      </c>
      <c r="C7888" s="4" t="str">
        <f>HYPERLINK("http://www.uniprot.org/uniprot/M5WJW5","M5WJW5")</f>
        <v>M5WJW5</v>
      </c>
      <c r="D7888" s="2" t="s">
        <v>6968</v>
      </c>
      <c r="E7888" s="3">
        <v>0</v>
      </c>
      <c r="F7888" s="2">
        <v>2802</v>
      </c>
      <c r="G7888" s="2">
        <v>100</v>
      </c>
      <c r="H7888" s="2">
        <v>553</v>
      </c>
      <c r="I7888" s="2">
        <v>1772</v>
      </c>
      <c r="J7888" s="2">
        <v>3430</v>
      </c>
      <c r="K7888" s="2">
        <v>1</v>
      </c>
      <c r="L7888" s="2">
        <v>553</v>
      </c>
    </row>
    <row r="7889" spans="1:12" x14ac:dyDescent="0.25">
      <c r="A7889" s="4" t="str">
        <f>HYPERLINK("http://www.rosaceae.org/Prunus/Prunus_persica/p.persica_gdr_reftransV1_0015259","p.persica_gdr_reftransV1_0015259")</f>
        <v>p.persica_gdr_reftransV1_0015259</v>
      </c>
      <c r="B7889" s="2">
        <v>4600</v>
      </c>
      <c r="C7889" s="4" t="str">
        <f>HYPERLINK("http://www.uniprot.org/uniprot/M5XMG0","M5XMG0")</f>
        <v>M5XMG0</v>
      </c>
      <c r="D7889" s="2" t="s">
        <v>894</v>
      </c>
      <c r="E7889" s="3">
        <v>0</v>
      </c>
      <c r="F7889" s="2">
        <v>6829</v>
      </c>
      <c r="G7889" s="2">
        <v>98</v>
      </c>
      <c r="H7889" s="2">
        <v>1414</v>
      </c>
      <c r="I7889" s="2">
        <v>2</v>
      </c>
      <c r="J7889" s="2">
        <v>4243</v>
      </c>
      <c r="K7889" s="2">
        <v>1</v>
      </c>
      <c r="L7889" s="2">
        <v>1385</v>
      </c>
    </row>
    <row r="7890" spans="1:12" x14ac:dyDescent="0.25">
      <c r="A7890" s="4" t="str">
        <f>HYPERLINK("http://www.rosaceae.org/Prunus/Prunus_persica/p.persica_gdr_reftransV1_0015959","p.persica_gdr_reftransV1_0015959")</f>
        <v>p.persica_gdr_reftransV1_0015959</v>
      </c>
      <c r="B7890" s="2">
        <v>1650</v>
      </c>
      <c r="C7890" s="4" t="str">
        <f>HYPERLINK("http://www.uniprot.org/uniprot/M5VYD9","M5VYD9")</f>
        <v>M5VYD9</v>
      </c>
      <c r="D7890" s="2" t="s">
        <v>6969</v>
      </c>
      <c r="E7890" s="3">
        <v>0</v>
      </c>
      <c r="F7890" s="2">
        <v>1919</v>
      </c>
      <c r="G7890" s="2">
        <v>99</v>
      </c>
      <c r="H7890" s="2">
        <v>365</v>
      </c>
      <c r="I7890" s="2">
        <v>166</v>
      </c>
      <c r="J7890" s="2">
        <v>1260</v>
      </c>
      <c r="K7890" s="2">
        <v>1</v>
      </c>
      <c r="L7890" s="2">
        <v>365</v>
      </c>
    </row>
    <row r="7891" spans="1:12" x14ac:dyDescent="0.25">
      <c r="A7891" s="4" t="str">
        <f>HYPERLINK("http://www.rosaceae.org/Prunus/Prunus_persica/p.persica_gdr_reftransV1_0016659","p.persica_gdr_reftransV1_0016659")</f>
        <v>p.persica_gdr_reftransV1_0016659</v>
      </c>
      <c r="B7891" s="2">
        <v>4918</v>
      </c>
      <c r="C7891" s="4" t="str">
        <f>HYPERLINK("http://www.uniprot.org/uniprot/M5WX95","M5WX95")</f>
        <v>M5WX95</v>
      </c>
      <c r="D7891" s="2" t="s">
        <v>6970</v>
      </c>
      <c r="E7891" s="3">
        <v>0</v>
      </c>
      <c r="F7891" s="2">
        <v>5004</v>
      </c>
      <c r="G7891" s="2">
        <v>99</v>
      </c>
      <c r="H7891" s="2">
        <v>1273</v>
      </c>
      <c r="I7891" s="2">
        <v>859</v>
      </c>
      <c r="J7891" s="2">
        <v>4677</v>
      </c>
      <c r="K7891" s="2">
        <v>1</v>
      </c>
      <c r="L7891" s="2">
        <v>1263</v>
      </c>
    </row>
    <row r="7892" spans="1:12" x14ac:dyDescent="0.25">
      <c r="A7892" s="4" t="str">
        <f>HYPERLINK("http://www.rosaceae.org/Prunus/Prunus_persica/p.persica_gdr_reftransV1_0017009","p.persica_gdr_reftransV1_0017009")</f>
        <v>p.persica_gdr_reftransV1_0017009</v>
      </c>
      <c r="B7892" s="2">
        <v>2619</v>
      </c>
      <c r="C7892" s="4" t="str">
        <f>HYPERLINK("http://www.uniprot.org/uniprot/M5X3A1","M5X3A1")</f>
        <v>M5X3A1</v>
      </c>
      <c r="D7892" s="2" t="s">
        <v>6971</v>
      </c>
      <c r="E7892" s="3">
        <v>0</v>
      </c>
      <c r="F7892" s="2">
        <v>2658</v>
      </c>
      <c r="G7892" s="2">
        <v>97</v>
      </c>
      <c r="H7892" s="2">
        <v>514</v>
      </c>
      <c r="I7892" s="2">
        <v>553</v>
      </c>
      <c r="J7892" s="2">
        <v>2082</v>
      </c>
      <c r="K7892" s="2">
        <v>127</v>
      </c>
      <c r="L7892" s="2">
        <v>640</v>
      </c>
    </row>
    <row r="7893" spans="1:12" x14ac:dyDescent="0.25">
      <c r="A7893" s="4" t="str">
        <f>HYPERLINK("http://www.rosaceae.org/Prunus/Prunus_persica/p.persica_gdr_reftransV1_0017709","p.persica_gdr_reftransV1_0017709")</f>
        <v>p.persica_gdr_reftransV1_0017709</v>
      </c>
      <c r="B7893" s="2">
        <v>5808</v>
      </c>
      <c r="C7893" s="4" t="str">
        <f>HYPERLINK("http://www.uniprot.org/uniprot/M5X3K6","M5X3K6")</f>
        <v>M5X3K6</v>
      </c>
      <c r="D7893" s="2" t="s">
        <v>6418</v>
      </c>
      <c r="E7893" s="3">
        <v>0</v>
      </c>
      <c r="F7893" s="2">
        <v>8383</v>
      </c>
      <c r="G7893" s="2">
        <v>99</v>
      </c>
      <c r="H7893" s="2">
        <v>1663</v>
      </c>
      <c r="I7893" s="2">
        <v>535</v>
      </c>
      <c r="J7893" s="2">
        <v>5523</v>
      </c>
      <c r="K7893" s="2">
        <v>1</v>
      </c>
      <c r="L7893" s="2">
        <v>1663</v>
      </c>
    </row>
    <row r="7894" spans="1:12" x14ac:dyDescent="0.25">
      <c r="A7894" s="4" t="str">
        <f>HYPERLINK("http://www.rosaceae.org/Prunus/Prunus_persica/p.persica_gdr_reftransV1_0018059","p.persica_gdr_reftransV1_0018059")</f>
        <v>p.persica_gdr_reftransV1_0018059</v>
      </c>
      <c r="B7894" s="2">
        <v>3155</v>
      </c>
      <c r="C7894" s="4" t="str">
        <f>HYPERLINK("http://www.uniprot.org/uniprot/M5XK79","M5XK79")</f>
        <v>M5XK79</v>
      </c>
      <c r="D7894" s="2" t="s">
        <v>6972</v>
      </c>
      <c r="E7894" s="3">
        <v>0</v>
      </c>
      <c r="F7894" s="2">
        <v>3748</v>
      </c>
      <c r="G7894" s="2">
        <v>100</v>
      </c>
      <c r="H7894" s="2">
        <v>709</v>
      </c>
      <c r="I7894" s="2">
        <v>80</v>
      </c>
      <c r="J7894" s="2">
        <v>2206</v>
      </c>
      <c r="K7894" s="2">
        <v>13</v>
      </c>
      <c r="L7894" s="2">
        <v>721</v>
      </c>
    </row>
    <row r="7895" spans="1:12" x14ac:dyDescent="0.25">
      <c r="A7895" s="4" t="str">
        <f>HYPERLINK("http://www.rosaceae.org/Prunus/Prunus_persica/p.persica_gdr_reftransV1_0019809","p.persica_gdr_reftransV1_0019809")</f>
        <v>p.persica_gdr_reftransV1_0019809</v>
      </c>
      <c r="B7895" s="2">
        <v>835</v>
      </c>
      <c r="C7895" s="4" t="str">
        <f>HYPERLINK("http://www.uniprot.org/uniprot/M5WHL1","M5WHL1")</f>
        <v>M5WHL1</v>
      </c>
      <c r="D7895" s="2" t="s">
        <v>6973</v>
      </c>
      <c r="E7895" s="3">
        <v>1.8E-122</v>
      </c>
      <c r="F7895" s="2">
        <v>923</v>
      </c>
      <c r="G7895" s="2">
        <v>99</v>
      </c>
      <c r="H7895" s="2">
        <v>195</v>
      </c>
      <c r="I7895" s="2">
        <v>40</v>
      </c>
      <c r="J7895" s="2">
        <v>624</v>
      </c>
      <c r="K7895" s="2">
        <v>1</v>
      </c>
      <c r="L7895" s="2">
        <v>195</v>
      </c>
    </row>
    <row r="7896" spans="1:12" x14ac:dyDescent="0.25">
      <c r="A7896" s="4" t="str">
        <f>HYPERLINK("http://www.rosaceae.org/Prunus/Prunus_persica/p.persica_gdr_reftransV1_0020509","p.persica_gdr_reftransV1_0020509")</f>
        <v>p.persica_gdr_reftransV1_0020509</v>
      </c>
      <c r="B7896" s="2">
        <v>1645</v>
      </c>
      <c r="C7896" s="4" t="str">
        <f>HYPERLINK("http://www.uniprot.org/uniprot/M5XQE3","M5XQE3")</f>
        <v>M5XQE3</v>
      </c>
      <c r="D7896" s="2" t="s">
        <v>6974</v>
      </c>
      <c r="E7896" s="3">
        <v>3.6599999999999998E-110</v>
      </c>
      <c r="F7896" s="2">
        <v>880</v>
      </c>
      <c r="G7896" s="2">
        <v>100</v>
      </c>
      <c r="H7896" s="2">
        <v>166</v>
      </c>
      <c r="I7896" s="2">
        <v>497</v>
      </c>
      <c r="J7896" s="2">
        <v>994</v>
      </c>
      <c r="K7896" s="2">
        <v>154</v>
      </c>
      <c r="L7896" s="2">
        <v>319</v>
      </c>
    </row>
    <row r="7897" spans="1:12" x14ac:dyDescent="0.25">
      <c r="A7897" s="4" t="str">
        <f>HYPERLINK("http://www.rosaceae.org/Prunus/Prunus_persica/p.persica_gdr_reftransV1_0021559","p.persica_gdr_reftransV1_0021559")</f>
        <v>p.persica_gdr_reftransV1_0021559</v>
      </c>
      <c r="B7897" s="2">
        <v>790</v>
      </c>
      <c r="C7897" s="4" t="str">
        <f>HYPERLINK("http://www.uniprot.org/uniprot/M5Y1K9","M5Y1K9")</f>
        <v>M5Y1K9</v>
      </c>
      <c r="D7897" s="2" t="s">
        <v>6975</v>
      </c>
      <c r="E7897" s="3">
        <v>4.0300000000000001E-59</v>
      </c>
      <c r="F7897" s="2">
        <v>506</v>
      </c>
      <c r="G7897" s="2">
        <v>51</v>
      </c>
      <c r="H7897" s="2">
        <v>203</v>
      </c>
      <c r="I7897" s="2">
        <v>168</v>
      </c>
      <c r="J7897" s="2">
        <v>776</v>
      </c>
      <c r="K7897" s="2">
        <v>1</v>
      </c>
      <c r="L7897" s="2">
        <v>197</v>
      </c>
    </row>
    <row r="7898" spans="1:12" x14ac:dyDescent="0.25">
      <c r="A7898" s="4" t="str">
        <f>HYPERLINK("http://www.rosaceae.org/Prunus/Prunus_persica/p.persica_gdr_reftransV1_0023309","p.persica_gdr_reftransV1_0023309")</f>
        <v>p.persica_gdr_reftransV1_0023309</v>
      </c>
      <c r="B7898" s="2">
        <v>1119</v>
      </c>
      <c r="C7898" s="4" t="str">
        <f>HYPERLINK("http://www.uniprot.org/uniprot/M5W128","M5W128")</f>
        <v>M5W128</v>
      </c>
      <c r="D7898" s="2" t="s">
        <v>6976</v>
      </c>
      <c r="E7898" s="3">
        <v>6.9799999999999998E-76</v>
      </c>
      <c r="F7898" s="2">
        <v>625</v>
      </c>
      <c r="G7898" s="2">
        <v>100</v>
      </c>
      <c r="H7898" s="2">
        <v>115</v>
      </c>
      <c r="I7898" s="2">
        <v>641</v>
      </c>
      <c r="J7898" s="2">
        <v>985</v>
      </c>
      <c r="K7898" s="2">
        <v>1</v>
      </c>
      <c r="L7898" s="2">
        <v>115</v>
      </c>
    </row>
    <row r="7899" spans="1:12" x14ac:dyDescent="0.25">
      <c r="A7899" s="4" t="str">
        <f>HYPERLINK("http://www.rosaceae.org/Prunus/Prunus_persica/p.persica_gdr_reftransV1_0023659","p.persica_gdr_reftransV1_0023659")</f>
        <v>p.persica_gdr_reftransV1_0023659</v>
      </c>
      <c r="B7899" s="2">
        <v>1394</v>
      </c>
      <c r="C7899" s="4" t="str">
        <f>HYPERLINK("http://www.uniprot.org/uniprot/M5XX76","M5XX76")</f>
        <v>M5XX76</v>
      </c>
      <c r="D7899" s="2" t="s">
        <v>6977</v>
      </c>
      <c r="E7899" s="3">
        <v>0</v>
      </c>
      <c r="F7899" s="2">
        <v>1745</v>
      </c>
      <c r="G7899" s="2">
        <v>100</v>
      </c>
      <c r="H7899" s="2">
        <v>328</v>
      </c>
      <c r="I7899" s="2">
        <v>140</v>
      </c>
      <c r="J7899" s="2">
        <v>1123</v>
      </c>
      <c r="K7899" s="2">
        <v>1</v>
      </c>
      <c r="L7899" s="2">
        <v>328</v>
      </c>
    </row>
    <row r="7900" spans="1:12" x14ac:dyDescent="0.25">
      <c r="A7900" s="4" t="str">
        <f>HYPERLINK("http://www.rosaceae.org/Prunus/Prunus_persica/p.persica_gdr_reftransV1_0024009","p.persica_gdr_reftransV1_0024009")</f>
        <v>p.persica_gdr_reftransV1_0024009</v>
      </c>
      <c r="B7900" s="2">
        <v>3613</v>
      </c>
      <c r="C7900" s="4" t="str">
        <f>HYPERLINK("http://www.uniprot.org/uniprot/M5XEM7","M5XEM7")</f>
        <v>M5XEM7</v>
      </c>
      <c r="D7900" s="2" t="s">
        <v>6978</v>
      </c>
      <c r="E7900" s="3">
        <v>0</v>
      </c>
      <c r="F7900" s="2">
        <v>1651</v>
      </c>
      <c r="G7900" s="2">
        <v>100</v>
      </c>
      <c r="H7900" s="2">
        <v>304</v>
      </c>
      <c r="I7900" s="2">
        <v>228</v>
      </c>
      <c r="J7900" s="2">
        <v>1139</v>
      </c>
      <c r="K7900" s="2">
        <v>1</v>
      </c>
      <c r="L7900" s="2">
        <v>304</v>
      </c>
    </row>
    <row r="7901" spans="1:12" x14ac:dyDescent="0.25">
      <c r="A7901" s="4" t="str">
        <f>HYPERLINK("http://www.rosaceae.org/Prunus/Prunus_persica/p.persica_gdr_reftransV1_0025759","p.persica_gdr_reftransV1_0025759")</f>
        <v>p.persica_gdr_reftransV1_0025759</v>
      </c>
      <c r="B7901" s="2">
        <v>3184</v>
      </c>
      <c r="C7901" s="4" t="str">
        <f>HYPERLINK("http://www.uniprot.org/uniprot/M5XRM2","M5XRM2")</f>
        <v>M5XRM2</v>
      </c>
      <c r="D7901" s="2" t="s">
        <v>6979</v>
      </c>
      <c r="E7901" s="3">
        <v>0</v>
      </c>
      <c r="F7901" s="2">
        <v>4592</v>
      </c>
      <c r="G7901" s="2">
        <v>95</v>
      </c>
      <c r="H7901" s="2">
        <v>899</v>
      </c>
      <c r="I7901" s="2">
        <v>169</v>
      </c>
      <c r="J7901" s="2">
        <v>2865</v>
      </c>
      <c r="K7901" s="2">
        <v>1</v>
      </c>
      <c r="L7901" s="2">
        <v>856</v>
      </c>
    </row>
    <row r="7902" spans="1:12" x14ac:dyDescent="0.25">
      <c r="A7902" s="4" t="str">
        <f>HYPERLINK("http://www.rosaceae.org/Prunus/Prunus_persica/p.persica_gdr_reftransV1_0026459","p.persica_gdr_reftransV1_0026459")</f>
        <v>p.persica_gdr_reftransV1_0026459</v>
      </c>
      <c r="B7902" s="2">
        <v>581</v>
      </c>
      <c r="C7902" s="4" t="str">
        <f>HYPERLINK("http://www.uniprot.org/uniprot/R0FQR2","R0FQR2")</f>
        <v>R0FQR2</v>
      </c>
      <c r="D7902" s="2" t="s">
        <v>6980</v>
      </c>
      <c r="E7902" s="3">
        <v>1.82E-50</v>
      </c>
      <c r="F7902" s="2">
        <v>433</v>
      </c>
      <c r="G7902" s="2">
        <v>100</v>
      </c>
      <c r="H7902" s="2">
        <v>108</v>
      </c>
      <c r="I7902" s="2">
        <v>221</v>
      </c>
      <c r="J7902" s="2">
        <v>544</v>
      </c>
      <c r="K7902" s="2">
        <v>42</v>
      </c>
      <c r="L7902" s="2">
        <v>149</v>
      </c>
    </row>
    <row r="7903" spans="1:12" x14ac:dyDescent="0.25">
      <c r="A7903" s="4" t="str">
        <f>HYPERLINK("http://www.rosaceae.org/Prunus/Prunus_persica/p.persica_gdr_reftransV1_0026809","p.persica_gdr_reftransV1_0026809")</f>
        <v>p.persica_gdr_reftransV1_0026809</v>
      </c>
      <c r="B7903" s="2">
        <v>990</v>
      </c>
      <c r="C7903" s="4" t="str">
        <f>HYPERLINK("http://www.uniprot.org/uniprot/M5X0V1","M5X0V1")</f>
        <v>M5X0V1</v>
      </c>
      <c r="D7903" s="2" t="s">
        <v>6981</v>
      </c>
      <c r="E7903" s="3">
        <v>2.7999999999999999E-91</v>
      </c>
      <c r="F7903" s="2">
        <v>777</v>
      </c>
      <c r="G7903" s="2">
        <v>82</v>
      </c>
      <c r="H7903" s="2">
        <v>217</v>
      </c>
      <c r="I7903" s="2">
        <v>340</v>
      </c>
      <c r="J7903" s="2">
        <v>990</v>
      </c>
      <c r="K7903" s="2">
        <v>787</v>
      </c>
      <c r="L7903" s="2">
        <v>965</v>
      </c>
    </row>
    <row r="7904" spans="1:12" x14ac:dyDescent="0.25">
      <c r="A7904" s="4" t="str">
        <f>HYPERLINK("http://www.rosaceae.org/Prunus/Prunus_persica/p.persica_gdr_reftransV1_0027859","p.persica_gdr_reftransV1_0027859")</f>
        <v>p.persica_gdr_reftransV1_0027859</v>
      </c>
      <c r="B7904" s="2">
        <v>1368</v>
      </c>
      <c r="C7904" s="4" t="str">
        <f>HYPERLINK("http://www.uniprot.org/uniprot/B9T781","B9T781")</f>
        <v>B9T781</v>
      </c>
      <c r="D7904" s="2" t="s">
        <v>6982</v>
      </c>
      <c r="E7904" s="3">
        <v>7.8699999999999999E-54</v>
      </c>
      <c r="F7904" s="2">
        <v>483</v>
      </c>
      <c r="G7904" s="2">
        <v>56</v>
      </c>
      <c r="H7904" s="2">
        <v>222</v>
      </c>
      <c r="I7904" s="2">
        <v>370</v>
      </c>
      <c r="J7904" s="2">
        <v>1020</v>
      </c>
      <c r="K7904" s="2">
        <v>1</v>
      </c>
      <c r="L7904" s="2">
        <v>214</v>
      </c>
    </row>
    <row r="7905" spans="1:12" x14ac:dyDescent="0.25">
      <c r="A7905" s="4" t="str">
        <f>HYPERLINK("http://www.rosaceae.org/Prunus/Prunus_persica/p.persica_gdr_reftransV1_0028559","p.persica_gdr_reftransV1_0028559")</f>
        <v>p.persica_gdr_reftransV1_0028559</v>
      </c>
      <c r="B7905" s="2">
        <v>993</v>
      </c>
      <c r="C7905" s="4" t="str">
        <f>HYPERLINK("http://www.uniprot.org/uniprot/M5WRQ5","M5WRQ5")</f>
        <v>M5WRQ5</v>
      </c>
      <c r="D7905" s="2" t="s">
        <v>6983</v>
      </c>
      <c r="E7905" s="3">
        <v>3.0299999999999999E-149</v>
      </c>
      <c r="F7905" s="2">
        <v>1109</v>
      </c>
      <c r="G7905" s="2">
        <v>100</v>
      </c>
      <c r="H7905" s="2">
        <v>233</v>
      </c>
      <c r="I7905" s="2">
        <v>192</v>
      </c>
      <c r="J7905" s="2">
        <v>890</v>
      </c>
      <c r="K7905" s="2">
        <v>1</v>
      </c>
      <c r="L7905" s="2">
        <v>233</v>
      </c>
    </row>
    <row r="7906" spans="1:12" x14ac:dyDescent="0.25">
      <c r="A7906" s="4" t="str">
        <f>HYPERLINK("http://www.rosaceae.org/Prunus/Prunus_persica/p.persica_gdr_reftransV1_0029959","p.persica_gdr_reftransV1_0029959")</f>
        <v>p.persica_gdr_reftransV1_0029959</v>
      </c>
      <c r="B7906" s="2">
        <v>1971</v>
      </c>
      <c r="C7906" s="4" t="str">
        <f>HYPERLINK("http://www.uniprot.org/uniprot/M5Y4V1","M5Y4V1")</f>
        <v>M5Y4V1</v>
      </c>
      <c r="D7906" s="2" t="s">
        <v>6984</v>
      </c>
      <c r="E7906" s="3">
        <v>0</v>
      </c>
      <c r="F7906" s="2">
        <v>2082</v>
      </c>
      <c r="G7906" s="2">
        <v>100</v>
      </c>
      <c r="H7906" s="2">
        <v>400</v>
      </c>
      <c r="I7906" s="2">
        <v>770</v>
      </c>
      <c r="J7906" s="2">
        <v>1969</v>
      </c>
      <c r="K7906" s="2">
        <v>234</v>
      </c>
      <c r="L7906" s="2">
        <v>633</v>
      </c>
    </row>
    <row r="7907" spans="1:12" x14ac:dyDescent="0.25">
      <c r="A7907" s="4" t="str">
        <f>HYPERLINK("http://www.rosaceae.org/Prunus/Prunus_persica/p.persica_gdr_reftransV1_0030309","p.persica_gdr_reftransV1_0030309")</f>
        <v>p.persica_gdr_reftransV1_0030309</v>
      </c>
      <c r="B7907" s="2">
        <v>1583</v>
      </c>
      <c r="C7907" s="4" t="str">
        <f>HYPERLINK("http://www.uniprot.org/uniprot/M5XBW2","M5XBW2")</f>
        <v>M5XBW2</v>
      </c>
      <c r="D7907" s="2" t="s">
        <v>6985</v>
      </c>
      <c r="E7907" s="3">
        <v>0</v>
      </c>
      <c r="F7907" s="2">
        <v>2221</v>
      </c>
      <c r="G7907" s="2">
        <v>100</v>
      </c>
      <c r="H7907" s="2">
        <v>450</v>
      </c>
      <c r="I7907" s="2">
        <v>1</v>
      </c>
      <c r="J7907" s="2">
        <v>1350</v>
      </c>
      <c r="K7907" s="2">
        <v>1</v>
      </c>
      <c r="L7907" s="2">
        <v>450</v>
      </c>
    </row>
    <row r="7908" spans="1:12" x14ac:dyDescent="0.25">
      <c r="A7908" s="4" t="str">
        <f>HYPERLINK("http://www.rosaceae.org/Prunus/Prunus_persica/p.persica_gdr_reftransV1_0031359","p.persica_gdr_reftransV1_0031359")</f>
        <v>p.persica_gdr_reftransV1_0031359</v>
      </c>
      <c r="B7908" s="2">
        <v>1087</v>
      </c>
      <c r="C7908" s="4" t="str">
        <f>HYPERLINK("http://www.uniprot.org/uniprot/M5WSQ1","M5WSQ1")</f>
        <v>M5WSQ1</v>
      </c>
      <c r="D7908" s="2" t="s">
        <v>6986</v>
      </c>
      <c r="E7908" s="3">
        <v>6.1399999999999998E-45</v>
      </c>
      <c r="F7908" s="2">
        <v>413</v>
      </c>
      <c r="G7908" s="2">
        <v>100</v>
      </c>
      <c r="H7908" s="2">
        <v>78</v>
      </c>
      <c r="I7908" s="2">
        <v>149</v>
      </c>
      <c r="J7908" s="2">
        <v>382</v>
      </c>
      <c r="K7908" s="2">
        <v>19</v>
      </c>
      <c r="L7908" s="2">
        <v>96</v>
      </c>
    </row>
    <row r="7909" spans="1:12" x14ac:dyDescent="0.25">
      <c r="A7909" s="4" t="str">
        <f>HYPERLINK("http://www.rosaceae.org/Prunus/Prunus_persica/p.persica_gdr_reftransV1_0032059","p.persica_gdr_reftransV1_0032059")</f>
        <v>p.persica_gdr_reftransV1_0032059</v>
      </c>
      <c r="B7909" s="2">
        <v>3197</v>
      </c>
      <c r="C7909" s="4" t="str">
        <f>HYPERLINK("http://www.uniprot.org/uniprot/M5VPW4","M5VPW4")</f>
        <v>M5VPW4</v>
      </c>
      <c r="D7909" s="2" t="s">
        <v>6987</v>
      </c>
      <c r="E7909" s="3">
        <v>0</v>
      </c>
      <c r="F7909" s="2">
        <v>1447</v>
      </c>
      <c r="G7909" s="2">
        <v>99</v>
      </c>
      <c r="H7909" s="2">
        <v>306</v>
      </c>
      <c r="I7909" s="2">
        <v>1907</v>
      </c>
      <c r="J7909" s="2">
        <v>2824</v>
      </c>
      <c r="K7909" s="2">
        <v>56</v>
      </c>
      <c r="L7909" s="2">
        <v>361</v>
      </c>
    </row>
    <row r="7910" spans="1:12" x14ac:dyDescent="0.25">
      <c r="A7910" s="4" t="str">
        <f>HYPERLINK("http://www.rosaceae.org/Prunus/Prunus_persica/p.persica_gdr_reftransV1_0036259","p.persica_gdr_reftransV1_0036259")</f>
        <v>p.persica_gdr_reftransV1_0036259</v>
      </c>
      <c r="B7910" s="2">
        <v>3608</v>
      </c>
      <c r="C7910" s="4" t="str">
        <f>HYPERLINK("http://www.uniprot.org/uniprot/M5WH77","M5WH77")</f>
        <v>M5WH77</v>
      </c>
      <c r="D7910" s="2" t="s">
        <v>6988</v>
      </c>
      <c r="E7910" s="3">
        <v>0</v>
      </c>
      <c r="F7910" s="2">
        <v>2633</v>
      </c>
      <c r="G7910" s="2">
        <v>99</v>
      </c>
      <c r="H7910" s="2">
        <v>570</v>
      </c>
      <c r="I7910" s="2">
        <v>506</v>
      </c>
      <c r="J7910" s="2">
        <v>2215</v>
      </c>
      <c r="K7910" s="2">
        <v>185</v>
      </c>
      <c r="L7910" s="2">
        <v>754</v>
      </c>
    </row>
    <row r="7911" spans="1:12" x14ac:dyDescent="0.25">
      <c r="A7911" s="4" t="str">
        <f>HYPERLINK("http://www.rosaceae.org/Prunus/Prunus_persica/p.persica_gdr_reftransV1_0037659","p.persica_gdr_reftransV1_0037659")</f>
        <v>p.persica_gdr_reftransV1_0037659</v>
      </c>
      <c r="B7911" s="2">
        <v>2116</v>
      </c>
      <c r="C7911" s="4" t="str">
        <f>HYPERLINK("http://www.uniprot.org/uniprot/M5VVV0","M5VVV0")</f>
        <v>M5VVV0</v>
      </c>
      <c r="D7911" s="2" t="s">
        <v>3645</v>
      </c>
      <c r="E7911" s="3">
        <v>0</v>
      </c>
      <c r="F7911" s="2">
        <v>1561</v>
      </c>
      <c r="G7911" s="2">
        <v>100</v>
      </c>
      <c r="H7911" s="2">
        <v>288</v>
      </c>
      <c r="I7911" s="2">
        <v>55</v>
      </c>
      <c r="J7911" s="2">
        <v>918</v>
      </c>
      <c r="K7911" s="2">
        <v>73</v>
      </c>
      <c r="L7911" s="2">
        <v>360</v>
      </c>
    </row>
    <row r="7912" spans="1:12" x14ac:dyDescent="0.25">
      <c r="A7912" s="4" t="str">
        <f>HYPERLINK("http://www.rosaceae.org/Prunus/Prunus_persica/p.persica_gdr_reftransV1_0039409","p.persica_gdr_reftransV1_0039409")</f>
        <v>p.persica_gdr_reftransV1_0039409</v>
      </c>
      <c r="B7912" s="2">
        <v>1477</v>
      </c>
      <c r="C7912" s="4" t="str">
        <f>HYPERLINK("http://www.uniprot.org/uniprot/M5WT71","M5WT71")</f>
        <v>M5WT71</v>
      </c>
      <c r="D7912" s="2" t="s">
        <v>6989</v>
      </c>
      <c r="E7912" s="3">
        <v>2.8200000000000001E-148</v>
      </c>
      <c r="F7912" s="2">
        <v>1122</v>
      </c>
      <c r="G7912" s="2">
        <v>100</v>
      </c>
      <c r="H7912" s="2">
        <v>212</v>
      </c>
      <c r="I7912" s="2">
        <v>339</v>
      </c>
      <c r="J7912" s="2">
        <v>974</v>
      </c>
      <c r="K7912" s="2">
        <v>54</v>
      </c>
      <c r="L7912" s="2">
        <v>265</v>
      </c>
    </row>
    <row r="7913" spans="1:12" x14ac:dyDescent="0.25">
      <c r="A7913" s="4" t="str">
        <f>HYPERLINK("http://www.rosaceae.org/Prunus/Prunus_persica/p.persica_gdr_reftransV1_0040459","p.persica_gdr_reftransV1_0040459")</f>
        <v>p.persica_gdr_reftransV1_0040459</v>
      </c>
      <c r="B7913" s="2">
        <v>5297</v>
      </c>
      <c r="C7913" s="4" t="str">
        <f>HYPERLINK("http://www.uniprot.org/uniprot/M5VPM3","M5VPM3")</f>
        <v>M5VPM3</v>
      </c>
      <c r="D7913" s="2" t="s">
        <v>6990</v>
      </c>
      <c r="E7913" s="3">
        <v>0</v>
      </c>
      <c r="F7913" s="2">
        <v>2002</v>
      </c>
      <c r="G7913" s="2">
        <v>100</v>
      </c>
      <c r="H7913" s="2">
        <v>374</v>
      </c>
      <c r="I7913" s="2">
        <v>3978</v>
      </c>
      <c r="J7913" s="2">
        <v>5099</v>
      </c>
      <c r="K7913" s="2">
        <v>84</v>
      </c>
      <c r="L7913" s="2">
        <v>457</v>
      </c>
    </row>
    <row r="7914" spans="1:12" x14ac:dyDescent="0.25">
      <c r="A7914" s="4" t="str">
        <f>HYPERLINK("http://www.rosaceae.org/Prunus/Prunus_persica/p.persica_gdr_reftransV1_0041159","p.persica_gdr_reftransV1_0041159")</f>
        <v>p.persica_gdr_reftransV1_0041159</v>
      </c>
      <c r="B7914" s="2">
        <v>1111</v>
      </c>
      <c r="C7914" s="4" t="str">
        <f>HYPERLINK("http://www.uniprot.org/uniprot/M5WYN7","M5WYN7")</f>
        <v>M5WYN7</v>
      </c>
      <c r="D7914" s="2" t="s">
        <v>6991</v>
      </c>
      <c r="E7914" s="3">
        <v>8.05E-87</v>
      </c>
      <c r="F7914" s="2">
        <v>696</v>
      </c>
      <c r="G7914" s="2">
        <v>89</v>
      </c>
      <c r="H7914" s="2">
        <v>198</v>
      </c>
      <c r="I7914" s="2">
        <v>297</v>
      </c>
      <c r="J7914" s="2">
        <v>884</v>
      </c>
      <c r="K7914" s="2">
        <v>1</v>
      </c>
      <c r="L7914" s="2">
        <v>198</v>
      </c>
    </row>
    <row r="7915" spans="1:12" x14ac:dyDescent="0.25">
      <c r="A7915" s="4" t="str">
        <f>HYPERLINK("http://www.rosaceae.org/Prunus/Prunus_persica/p.persica_gdr_reftransV1_0041859","p.persica_gdr_reftransV1_0041859")</f>
        <v>p.persica_gdr_reftransV1_0041859</v>
      </c>
      <c r="B7915" s="2">
        <v>1821</v>
      </c>
      <c r="C7915" s="4" t="str">
        <f>HYPERLINK("http://www.uniprot.org/uniprot/M5X0Q7","M5X0Q7")</f>
        <v>M5X0Q7</v>
      </c>
      <c r="D7915" s="2" t="s">
        <v>6992</v>
      </c>
      <c r="E7915" s="3">
        <v>1.0100000000000001E-111</v>
      </c>
      <c r="F7915" s="2">
        <v>882</v>
      </c>
      <c r="G7915" s="2">
        <v>100</v>
      </c>
      <c r="H7915" s="2">
        <v>190</v>
      </c>
      <c r="I7915" s="2">
        <v>248</v>
      </c>
      <c r="J7915" s="2">
        <v>817</v>
      </c>
      <c r="K7915" s="2">
        <v>1</v>
      </c>
      <c r="L7915" s="2">
        <v>190</v>
      </c>
    </row>
    <row r="7916" spans="1:12" x14ac:dyDescent="0.25">
      <c r="A7916" s="4" t="str">
        <f>HYPERLINK("http://www.rosaceae.org/Prunus/Prunus_persica/p.persica_gdr_reftransV1_0042909","p.persica_gdr_reftransV1_0042909")</f>
        <v>p.persica_gdr_reftransV1_0042909</v>
      </c>
      <c r="B7916" s="2">
        <v>3375</v>
      </c>
      <c r="C7916" s="4" t="str">
        <f>HYPERLINK("http://www.uniprot.org/uniprot/M5XQ81","M5XQ81")</f>
        <v>M5XQ81</v>
      </c>
      <c r="D7916" s="2" t="s">
        <v>6993</v>
      </c>
      <c r="E7916" s="3">
        <v>0</v>
      </c>
      <c r="F7916" s="2">
        <v>2714</v>
      </c>
      <c r="G7916" s="2">
        <v>99</v>
      </c>
      <c r="H7916" s="2">
        <v>565</v>
      </c>
      <c r="I7916" s="2">
        <v>149</v>
      </c>
      <c r="J7916" s="2">
        <v>1837</v>
      </c>
      <c r="K7916" s="2">
        <v>12</v>
      </c>
      <c r="L7916" s="2">
        <v>576</v>
      </c>
    </row>
    <row r="7917" spans="1:12" x14ac:dyDescent="0.25">
      <c r="A7917" s="4" t="str">
        <f>HYPERLINK("http://www.rosaceae.org/Prunus/Prunus_persica/p.persica_gdr_reftransV1_0043259","p.persica_gdr_reftransV1_0043259")</f>
        <v>p.persica_gdr_reftransV1_0043259</v>
      </c>
      <c r="B7917" s="2">
        <v>1527</v>
      </c>
      <c r="C7917" s="4" t="str">
        <f>HYPERLINK("http://www.uniprot.org/uniprot/M5VYZ6","M5VYZ6")</f>
        <v>M5VYZ6</v>
      </c>
      <c r="D7917" s="2" t="s">
        <v>78</v>
      </c>
      <c r="E7917" s="3">
        <v>0</v>
      </c>
      <c r="F7917" s="2">
        <v>2357</v>
      </c>
      <c r="G7917" s="2">
        <v>100</v>
      </c>
      <c r="H7917" s="2">
        <v>478</v>
      </c>
      <c r="I7917" s="2">
        <v>89</v>
      </c>
      <c r="J7917" s="2">
        <v>1522</v>
      </c>
      <c r="K7917" s="2">
        <v>1</v>
      </c>
      <c r="L7917" s="2">
        <v>478</v>
      </c>
    </row>
    <row r="7918" spans="1:12" x14ac:dyDescent="0.25">
      <c r="A7918" s="4" t="str">
        <f>HYPERLINK("http://www.rosaceae.org/Prunus/Prunus_persica/p.persica_gdr_reftransV1_0043609","p.persica_gdr_reftransV1_0043609")</f>
        <v>p.persica_gdr_reftransV1_0043609</v>
      </c>
      <c r="B7918" s="2">
        <v>2537</v>
      </c>
      <c r="C7918" s="4" t="str">
        <f>HYPERLINK("http://www.uniprot.org/uniprot/M5XG41","M5XG41")</f>
        <v>M5XG41</v>
      </c>
      <c r="D7918" s="2" t="s">
        <v>6994</v>
      </c>
      <c r="E7918" s="3">
        <v>0</v>
      </c>
      <c r="F7918" s="2">
        <v>3470</v>
      </c>
      <c r="G7918" s="2">
        <v>95</v>
      </c>
      <c r="H7918" s="2">
        <v>699</v>
      </c>
      <c r="I7918" s="2">
        <v>225</v>
      </c>
      <c r="J7918" s="2">
        <v>2321</v>
      </c>
      <c r="K7918" s="2">
        <v>1</v>
      </c>
      <c r="L7918" s="2">
        <v>662</v>
      </c>
    </row>
    <row r="7919" spans="1:12" x14ac:dyDescent="0.25">
      <c r="A7919" s="4" t="str">
        <f>HYPERLINK("http://www.rosaceae.org/Prunus/Prunus_persica/p.persica_gdr_reftransV1_0043959","p.persica_gdr_reftransV1_0043959")</f>
        <v>p.persica_gdr_reftransV1_0043959</v>
      </c>
      <c r="B7919" s="2">
        <v>1372</v>
      </c>
      <c r="C7919" s="4" t="str">
        <f>HYPERLINK("http://www.uniprot.org/uniprot/M5WT66","M5WT66")</f>
        <v>M5WT66</v>
      </c>
      <c r="D7919" s="2" t="s">
        <v>6995</v>
      </c>
      <c r="E7919" s="3">
        <v>1.41E-151</v>
      </c>
      <c r="F7919" s="2">
        <v>1141</v>
      </c>
      <c r="G7919" s="2">
        <v>100</v>
      </c>
      <c r="H7919" s="2">
        <v>242</v>
      </c>
      <c r="I7919" s="2">
        <v>424</v>
      </c>
      <c r="J7919" s="2">
        <v>1149</v>
      </c>
      <c r="K7919" s="2">
        <v>25</v>
      </c>
      <c r="L7919" s="2">
        <v>266</v>
      </c>
    </row>
    <row r="7920" spans="1:12" x14ac:dyDescent="0.25">
      <c r="A7920" s="4" t="str">
        <f>HYPERLINK("http://www.rosaceae.org/Prunus/Prunus_persica/p.persica_gdr_reftransV1_0044309","p.persica_gdr_reftransV1_0044309")</f>
        <v>p.persica_gdr_reftransV1_0044309</v>
      </c>
      <c r="B7920" s="2">
        <v>2134</v>
      </c>
      <c r="C7920" s="4" t="str">
        <f>HYPERLINK("http://www.uniprot.org/uniprot/M5VVH2","M5VVH2")</f>
        <v>M5VVH2</v>
      </c>
      <c r="D7920" s="2" t="s">
        <v>6996</v>
      </c>
      <c r="E7920" s="3">
        <v>0</v>
      </c>
      <c r="F7920" s="2">
        <v>3227</v>
      </c>
      <c r="G7920" s="2">
        <v>100</v>
      </c>
      <c r="H7920" s="2">
        <v>624</v>
      </c>
      <c r="I7920" s="2">
        <v>3</v>
      </c>
      <c r="J7920" s="2">
        <v>1874</v>
      </c>
      <c r="K7920" s="2">
        <v>72</v>
      </c>
      <c r="L7920" s="2">
        <v>695</v>
      </c>
    </row>
    <row r="7921" spans="1:12" x14ac:dyDescent="0.25">
      <c r="A7921" s="4" t="str">
        <f>HYPERLINK("http://www.rosaceae.org/Prunus/Prunus_persica/p.persica_gdr_reftransV1_0044659","p.persica_gdr_reftransV1_0044659")</f>
        <v>p.persica_gdr_reftransV1_0044659</v>
      </c>
      <c r="B7921" s="2">
        <v>462</v>
      </c>
      <c r="C7921" s="4" t="str">
        <f>HYPERLINK("http://www.uniprot.org/uniprot/M5WXE8","M5WXE8")</f>
        <v>M5WXE8</v>
      </c>
      <c r="D7921" s="2" t="s">
        <v>6997</v>
      </c>
      <c r="E7921" s="3">
        <v>9.0999999999999994E-48</v>
      </c>
      <c r="F7921" s="2">
        <v>408</v>
      </c>
      <c r="G7921" s="2">
        <v>87</v>
      </c>
      <c r="H7921" s="2">
        <v>103</v>
      </c>
      <c r="I7921" s="2">
        <v>109</v>
      </c>
      <c r="J7921" s="2">
        <v>417</v>
      </c>
      <c r="K7921" s="2">
        <v>11</v>
      </c>
      <c r="L7921" s="2">
        <v>113</v>
      </c>
    </row>
    <row r="7922" spans="1:12" x14ac:dyDescent="0.25">
      <c r="A7922" s="4" t="str">
        <f>HYPERLINK("http://www.rosaceae.org/Prunus/Prunus_persica/p.persica_gdr_reftransV1_0045009","p.persica_gdr_reftransV1_0045009")</f>
        <v>p.persica_gdr_reftransV1_0045009</v>
      </c>
      <c r="B7922" s="2">
        <v>902</v>
      </c>
      <c r="C7922" s="4" t="str">
        <f>HYPERLINK("http://www.uniprot.org/uniprot/M5W732","M5W732")</f>
        <v>M5W732</v>
      </c>
      <c r="D7922" s="2" t="s">
        <v>6998</v>
      </c>
      <c r="E7922" s="3">
        <v>1.37E-95</v>
      </c>
      <c r="F7922" s="2">
        <v>783</v>
      </c>
      <c r="G7922" s="2">
        <v>99</v>
      </c>
      <c r="H7922" s="2">
        <v>145</v>
      </c>
      <c r="I7922" s="2">
        <v>461</v>
      </c>
      <c r="J7922" s="2">
        <v>895</v>
      </c>
      <c r="K7922" s="2">
        <v>448</v>
      </c>
      <c r="L7922" s="2">
        <v>592</v>
      </c>
    </row>
    <row r="7923" spans="1:12" x14ac:dyDescent="0.25">
      <c r="A7923" s="4" t="str">
        <f>HYPERLINK("http://www.rosaceae.org/Prunus/Prunus_persica/p.persica_gdr_reftransV1_0045709","p.persica_gdr_reftransV1_0045709")</f>
        <v>p.persica_gdr_reftransV1_0045709</v>
      </c>
      <c r="B7923" s="2">
        <v>505</v>
      </c>
      <c r="C7923" s="4" t="str">
        <f>HYPERLINK("http://www.uniprot.org/uniprot/M5XAI7","M5XAI7")</f>
        <v>M5XAI7</v>
      </c>
      <c r="D7923" s="2" t="s">
        <v>6999</v>
      </c>
      <c r="E7923" s="3">
        <v>7.2099999999999996E-85</v>
      </c>
      <c r="F7923" s="2">
        <v>685</v>
      </c>
      <c r="G7923" s="2">
        <v>84</v>
      </c>
      <c r="H7923" s="2">
        <v>158</v>
      </c>
      <c r="I7923" s="2">
        <v>37</v>
      </c>
      <c r="J7923" s="2">
        <v>504</v>
      </c>
      <c r="K7923" s="2">
        <v>5</v>
      </c>
      <c r="L7923" s="2">
        <v>162</v>
      </c>
    </row>
    <row r="7924" spans="1:12" x14ac:dyDescent="0.25">
      <c r="A7924" s="4" t="str">
        <f>HYPERLINK("http://www.rosaceae.org/Prunus/Prunus_persica/p.persica_gdr_reftransV1_0046059","p.persica_gdr_reftransV1_0046059")</f>
        <v>p.persica_gdr_reftransV1_0046059</v>
      </c>
      <c r="B7924" s="2">
        <v>2464</v>
      </c>
      <c r="C7924" s="4" t="str">
        <f>HYPERLINK("http://www.uniprot.org/uniprot/V4SRT7","V4SRT7")</f>
        <v>V4SRT7</v>
      </c>
      <c r="D7924" s="2" t="s">
        <v>7000</v>
      </c>
      <c r="E7924" s="3">
        <v>0</v>
      </c>
      <c r="F7924" s="2">
        <v>1710</v>
      </c>
      <c r="G7924" s="2">
        <v>69</v>
      </c>
      <c r="H7924" s="2">
        <v>573</v>
      </c>
      <c r="I7924" s="2">
        <v>263</v>
      </c>
      <c r="J7924" s="2">
        <v>1978</v>
      </c>
      <c r="K7924" s="2">
        <v>2</v>
      </c>
      <c r="L7924" s="2">
        <v>560</v>
      </c>
    </row>
    <row r="7925" spans="1:12" x14ac:dyDescent="0.25">
      <c r="A7925" s="4" t="str">
        <f>HYPERLINK("http://www.rosaceae.org/Prunus/Prunus_persica/p.persica_gdr_reftransV1_0046409","p.persica_gdr_reftransV1_0046409")</f>
        <v>p.persica_gdr_reftransV1_0046409</v>
      </c>
      <c r="B7925" s="2">
        <v>935</v>
      </c>
      <c r="C7925" s="4" t="str">
        <f>HYPERLINK("http://www.uniprot.org/uniprot/M5XA27","M5XA27")</f>
        <v>M5XA27</v>
      </c>
      <c r="D7925" s="2" t="s">
        <v>7001</v>
      </c>
      <c r="E7925" s="3">
        <v>6.1299999999999996E-59</v>
      </c>
      <c r="F7925" s="2">
        <v>507</v>
      </c>
      <c r="G7925" s="2">
        <v>94</v>
      </c>
      <c r="H7925" s="2">
        <v>197</v>
      </c>
      <c r="I7925" s="2">
        <v>89</v>
      </c>
      <c r="J7925" s="2">
        <v>664</v>
      </c>
      <c r="K7925" s="2">
        <v>1</v>
      </c>
      <c r="L7925" s="2">
        <v>196</v>
      </c>
    </row>
    <row r="7926" spans="1:12" x14ac:dyDescent="0.25">
      <c r="A7926" s="4" t="str">
        <f>HYPERLINK("http://www.rosaceae.org/Prunus/Prunus_persica/p.persica_gdr_reftransV1_0046759","p.persica_gdr_reftransV1_0046759")</f>
        <v>p.persica_gdr_reftransV1_0046759</v>
      </c>
      <c r="B7926" s="2">
        <v>826</v>
      </c>
      <c r="C7926" s="4" t="str">
        <f>HYPERLINK("http://www.uniprot.org/uniprot/M5VXE7","M5VXE7")</f>
        <v>M5VXE7</v>
      </c>
      <c r="D7926" s="2" t="s">
        <v>7002</v>
      </c>
      <c r="E7926" s="3">
        <v>6.3100000000000002E-107</v>
      </c>
      <c r="F7926" s="2">
        <v>816</v>
      </c>
      <c r="G7926" s="2">
        <v>100</v>
      </c>
      <c r="H7926" s="2">
        <v>156</v>
      </c>
      <c r="I7926" s="2">
        <v>164</v>
      </c>
      <c r="J7926" s="2">
        <v>631</v>
      </c>
      <c r="K7926" s="2">
        <v>1</v>
      </c>
      <c r="L7926" s="2">
        <v>156</v>
      </c>
    </row>
    <row r="7927" spans="1:12" x14ac:dyDescent="0.25">
      <c r="A7927" s="4" t="str">
        <f>HYPERLINK("http://www.rosaceae.org/Prunus/Prunus_persica/p.persica_gdr_reftransV1_0047109","p.persica_gdr_reftransV1_0047109")</f>
        <v>p.persica_gdr_reftransV1_0047109</v>
      </c>
      <c r="B7927" s="2">
        <v>1303</v>
      </c>
      <c r="C7927" s="4" t="str">
        <f>HYPERLINK("http://www.uniprot.org/uniprot/M5VSV3","M5VSV3")</f>
        <v>M5VSV3</v>
      </c>
      <c r="D7927" s="2" t="s">
        <v>7003</v>
      </c>
      <c r="E7927" s="3">
        <v>0</v>
      </c>
      <c r="F7927" s="2">
        <v>1915</v>
      </c>
      <c r="G7927" s="2">
        <v>92</v>
      </c>
      <c r="H7927" s="2">
        <v>390</v>
      </c>
      <c r="I7927" s="2">
        <v>134</v>
      </c>
      <c r="J7927" s="2">
        <v>1303</v>
      </c>
      <c r="K7927" s="2">
        <v>615</v>
      </c>
      <c r="L7927" s="2">
        <v>976</v>
      </c>
    </row>
    <row r="7928" spans="1:12" x14ac:dyDescent="0.25">
      <c r="A7928" s="4" t="str">
        <f>HYPERLINK("http://www.rosaceae.org/Prunus/Prunus_persica/p.persica_gdr_reftransV1_0047459","p.persica_gdr_reftransV1_0047459")</f>
        <v>p.persica_gdr_reftransV1_0047459</v>
      </c>
      <c r="B7928" s="2">
        <v>757</v>
      </c>
      <c r="C7928" s="4" t="str">
        <f>HYPERLINK("http://www.uniprot.org/uniprot/M5VWH2","M5VWH2")</f>
        <v>M5VWH2</v>
      </c>
      <c r="D7928" s="2" t="s">
        <v>7004</v>
      </c>
      <c r="E7928" s="3">
        <v>6.2700000000000001E-109</v>
      </c>
      <c r="F7928" s="2">
        <v>827</v>
      </c>
      <c r="G7928" s="2">
        <v>100</v>
      </c>
      <c r="H7928" s="2">
        <v>154</v>
      </c>
      <c r="I7928" s="2">
        <v>10</v>
      </c>
      <c r="J7928" s="2">
        <v>471</v>
      </c>
      <c r="K7928" s="2">
        <v>1</v>
      </c>
      <c r="L7928" s="2">
        <v>154</v>
      </c>
    </row>
    <row r="7929" spans="1:12" x14ac:dyDescent="0.25">
      <c r="A7929" s="4" t="str">
        <f>HYPERLINK("http://www.rosaceae.org/Prunus/Prunus_persica/p.persica_gdr_reftransV1_0048859","p.persica_gdr_reftransV1_0048859")</f>
        <v>p.persica_gdr_reftransV1_0048859</v>
      </c>
      <c r="B7929" s="2">
        <v>416</v>
      </c>
      <c r="C7929" s="4" t="str">
        <f>HYPERLINK("http://www.uniprot.org/uniprot/M5WUC9","M5WUC9")</f>
        <v>M5WUC9</v>
      </c>
      <c r="D7929" s="2" t="s">
        <v>7005</v>
      </c>
      <c r="E7929" s="3">
        <v>6.8600000000000004E-95</v>
      </c>
      <c r="F7929" s="2">
        <v>728</v>
      </c>
      <c r="G7929" s="2">
        <v>100</v>
      </c>
      <c r="H7929" s="2">
        <v>138</v>
      </c>
      <c r="I7929" s="2">
        <v>2</v>
      </c>
      <c r="J7929" s="2">
        <v>415</v>
      </c>
      <c r="K7929" s="2">
        <v>79</v>
      </c>
      <c r="L7929" s="2">
        <v>216</v>
      </c>
    </row>
    <row r="7930" spans="1:12" x14ac:dyDescent="0.25">
      <c r="A7930" s="4" t="str">
        <f>HYPERLINK("http://www.rosaceae.org/Prunus/Prunus_persica/p.persica_gdr_reftransV1_0000210","p.persica_gdr_reftransV1_0000210")</f>
        <v>p.persica_gdr_reftransV1_0000210</v>
      </c>
      <c r="B7930" s="2">
        <v>342</v>
      </c>
      <c r="C7930" s="4" t="str">
        <f>HYPERLINK("http://www.uniprot.org/uniprot/M5VUI7","M5VUI7")</f>
        <v>M5VUI7</v>
      </c>
      <c r="D7930" s="2" t="s">
        <v>32</v>
      </c>
      <c r="E7930" s="3">
        <v>3.7999999999999999E-71</v>
      </c>
      <c r="F7930" s="2">
        <v>609</v>
      </c>
      <c r="G7930" s="2">
        <v>100</v>
      </c>
      <c r="H7930" s="2">
        <v>113</v>
      </c>
      <c r="I7930" s="2">
        <v>3</v>
      </c>
      <c r="J7930" s="2">
        <v>341</v>
      </c>
      <c r="K7930" s="2">
        <v>342</v>
      </c>
      <c r="L7930" s="2">
        <v>454</v>
      </c>
    </row>
    <row r="7931" spans="1:12" x14ac:dyDescent="0.25">
      <c r="A7931" s="4" t="str">
        <f>HYPERLINK("http://www.rosaceae.org/Prunus/Prunus_persica/p.persica_gdr_reftransV1_0000560","p.persica_gdr_reftransV1_0000560")</f>
        <v>p.persica_gdr_reftransV1_0000560</v>
      </c>
      <c r="B7931" s="2">
        <v>675</v>
      </c>
      <c r="C7931" s="4" t="str">
        <f>HYPERLINK("http://www.uniprot.org/uniprot/M5WRV6","M5WRV6")</f>
        <v>M5WRV6</v>
      </c>
      <c r="D7931" s="2" t="s">
        <v>7006</v>
      </c>
      <c r="E7931" s="3">
        <v>2.31E-108</v>
      </c>
      <c r="F7931" s="2">
        <v>840</v>
      </c>
      <c r="G7931" s="2">
        <v>99</v>
      </c>
      <c r="H7931" s="2">
        <v>224</v>
      </c>
      <c r="I7931" s="2">
        <v>2</v>
      </c>
      <c r="J7931" s="2">
        <v>673</v>
      </c>
      <c r="K7931" s="2">
        <v>132</v>
      </c>
      <c r="L7931" s="2">
        <v>355</v>
      </c>
    </row>
    <row r="7932" spans="1:12" x14ac:dyDescent="0.25">
      <c r="A7932" s="4" t="str">
        <f>HYPERLINK("http://www.rosaceae.org/Prunus/Prunus_persica/p.persica_gdr_reftransV1_0000910","p.persica_gdr_reftransV1_0000910")</f>
        <v>p.persica_gdr_reftransV1_0000910</v>
      </c>
      <c r="B7932" s="2">
        <v>423</v>
      </c>
      <c r="C7932" s="4" t="str">
        <f>HYPERLINK("http://www.uniprot.org/uniprot/A0A061FRW8","A0A061FRW8")</f>
        <v>A0A061FRW8</v>
      </c>
      <c r="D7932" s="2" t="s">
        <v>7007</v>
      </c>
      <c r="E7932" s="3">
        <v>4.9200000000000002E-20</v>
      </c>
      <c r="F7932" s="2">
        <v>239</v>
      </c>
      <c r="G7932" s="2">
        <v>48</v>
      </c>
      <c r="H7932" s="2">
        <v>124</v>
      </c>
      <c r="I7932" s="2">
        <v>3</v>
      </c>
      <c r="J7932" s="2">
        <v>374</v>
      </c>
      <c r="K7932" s="2">
        <v>23</v>
      </c>
      <c r="L7932" s="2">
        <v>136</v>
      </c>
    </row>
    <row r="7933" spans="1:12" x14ac:dyDescent="0.25">
      <c r="A7933" s="4" t="str">
        <f>HYPERLINK("http://www.rosaceae.org/Prunus/Prunus_persica/p.persica_gdr_reftransV1_0001610","p.persica_gdr_reftransV1_0001610")</f>
        <v>p.persica_gdr_reftransV1_0001610</v>
      </c>
      <c r="B7933" s="2">
        <v>1324</v>
      </c>
      <c r="C7933" s="4" t="str">
        <f>HYPERLINK("http://www.uniprot.org/uniprot/M5WPY7","M5WPY7")</f>
        <v>M5WPY7</v>
      </c>
      <c r="D7933" s="2" t="s">
        <v>7008</v>
      </c>
      <c r="E7933" s="3">
        <v>1.21E-162</v>
      </c>
      <c r="F7933" s="2">
        <v>1214</v>
      </c>
      <c r="G7933" s="2">
        <v>100</v>
      </c>
      <c r="H7933" s="2">
        <v>283</v>
      </c>
      <c r="I7933" s="2">
        <v>266</v>
      </c>
      <c r="J7933" s="2">
        <v>1114</v>
      </c>
      <c r="K7933" s="2">
        <v>1</v>
      </c>
      <c r="L7933" s="2">
        <v>283</v>
      </c>
    </row>
    <row r="7934" spans="1:12" x14ac:dyDescent="0.25">
      <c r="A7934" s="4" t="str">
        <f>HYPERLINK("http://www.rosaceae.org/Prunus/Prunus_persica/p.persica_gdr_reftransV1_0001960","p.persica_gdr_reftransV1_0001960")</f>
        <v>p.persica_gdr_reftransV1_0001960</v>
      </c>
      <c r="B7934" s="2">
        <v>549</v>
      </c>
      <c r="C7934" s="4" t="str">
        <f>HYPERLINK("http://www.uniprot.org/uniprot/M5WPU6","M5WPU6")</f>
        <v>M5WPU6</v>
      </c>
      <c r="D7934" s="2" t="s">
        <v>7009</v>
      </c>
      <c r="E7934" s="3">
        <v>1.04E-63</v>
      </c>
      <c r="F7934" s="2">
        <v>481</v>
      </c>
      <c r="G7934" s="2">
        <v>100</v>
      </c>
      <c r="H7934" s="2">
        <v>118</v>
      </c>
      <c r="I7934" s="2">
        <v>1</v>
      </c>
      <c r="J7934" s="2">
        <v>354</v>
      </c>
      <c r="K7934" s="2">
        <v>310</v>
      </c>
      <c r="L7934" s="2">
        <v>427</v>
      </c>
    </row>
    <row r="7935" spans="1:12" x14ac:dyDescent="0.25">
      <c r="A7935" s="4" t="str">
        <f>HYPERLINK("http://www.rosaceae.org/Prunus/Prunus_persica/p.persica_gdr_reftransV1_0002310","p.persica_gdr_reftransV1_0002310")</f>
        <v>p.persica_gdr_reftransV1_0002310</v>
      </c>
      <c r="B7935" s="2">
        <v>1459</v>
      </c>
      <c r="C7935" s="4" t="str">
        <f>HYPERLINK("http://www.uniprot.org/uniprot/M5XSH4","M5XSH4")</f>
        <v>M5XSH4</v>
      </c>
      <c r="D7935" s="2" t="s">
        <v>7010</v>
      </c>
      <c r="E7935" s="3">
        <v>0</v>
      </c>
      <c r="F7935" s="2">
        <v>1540</v>
      </c>
      <c r="G7935" s="2">
        <v>87</v>
      </c>
      <c r="H7935" s="2">
        <v>366</v>
      </c>
      <c r="I7935" s="2">
        <v>440</v>
      </c>
      <c r="J7935" s="2">
        <v>1417</v>
      </c>
      <c r="K7935" s="2">
        <v>1</v>
      </c>
      <c r="L7935" s="2">
        <v>366</v>
      </c>
    </row>
    <row r="7936" spans="1:12" x14ac:dyDescent="0.25">
      <c r="A7936" s="4" t="str">
        <f>HYPERLINK("http://www.rosaceae.org/Prunus/Prunus_persica/p.persica_gdr_reftransV1_0003010","p.persica_gdr_reftransV1_0003010")</f>
        <v>p.persica_gdr_reftransV1_0003010</v>
      </c>
      <c r="B7936" s="2">
        <v>1064</v>
      </c>
      <c r="C7936" s="4" t="str">
        <f>HYPERLINK("http://www.uniprot.org/uniprot/M5WPP3","M5WPP3")</f>
        <v>M5WPP3</v>
      </c>
      <c r="D7936" s="2" t="s">
        <v>7011</v>
      </c>
      <c r="E7936" s="3">
        <v>1.9299999999999999E-147</v>
      </c>
      <c r="F7936" s="2">
        <v>1111</v>
      </c>
      <c r="G7936" s="2">
        <v>100</v>
      </c>
      <c r="H7936" s="2">
        <v>254</v>
      </c>
      <c r="I7936" s="2">
        <v>301</v>
      </c>
      <c r="J7936" s="2">
        <v>1062</v>
      </c>
      <c r="K7936" s="2">
        <v>94</v>
      </c>
      <c r="L7936" s="2">
        <v>347</v>
      </c>
    </row>
    <row r="7937" spans="1:12" x14ac:dyDescent="0.25">
      <c r="A7937" s="4" t="str">
        <f>HYPERLINK("http://www.rosaceae.org/Prunus/Prunus_persica/p.persica_gdr_reftransV1_0003360","p.persica_gdr_reftransV1_0003360")</f>
        <v>p.persica_gdr_reftransV1_0003360</v>
      </c>
      <c r="B7937" s="2">
        <v>726</v>
      </c>
      <c r="C7937" s="4" t="str">
        <f>HYPERLINK("http://www.uniprot.org/uniprot/M5XQL8","M5XQL8")</f>
        <v>M5XQL8</v>
      </c>
      <c r="D7937" s="2" t="s">
        <v>7012</v>
      </c>
      <c r="E7937" s="3">
        <v>3.7199999999999998E-127</v>
      </c>
      <c r="F7937" s="2">
        <v>949</v>
      </c>
      <c r="G7937" s="2">
        <v>100</v>
      </c>
      <c r="H7937" s="2">
        <v>179</v>
      </c>
      <c r="I7937" s="2">
        <v>105</v>
      </c>
      <c r="J7937" s="2">
        <v>641</v>
      </c>
      <c r="K7937" s="2">
        <v>9</v>
      </c>
      <c r="L7937" s="2">
        <v>187</v>
      </c>
    </row>
    <row r="7938" spans="1:12" x14ac:dyDescent="0.25">
      <c r="A7938" s="4" t="str">
        <f>HYPERLINK("http://www.rosaceae.org/Prunus/Prunus_persica/p.persica_gdr_reftransV1_0003710","p.persica_gdr_reftransV1_0003710")</f>
        <v>p.persica_gdr_reftransV1_0003710</v>
      </c>
      <c r="B7938" s="2">
        <v>354</v>
      </c>
      <c r="C7938" s="4" t="str">
        <f>HYPERLINK("http://www.uniprot.org/uniprot/M5XLX4","M5XLX4")</f>
        <v>M5XLX4</v>
      </c>
      <c r="D7938" s="2" t="s">
        <v>7013</v>
      </c>
      <c r="E7938" s="3">
        <v>1.01E-61</v>
      </c>
      <c r="F7938" s="2">
        <v>527</v>
      </c>
      <c r="G7938" s="2">
        <v>100</v>
      </c>
      <c r="H7938" s="2">
        <v>115</v>
      </c>
      <c r="I7938" s="2">
        <v>1</v>
      </c>
      <c r="J7938" s="2">
        <v>345</v>
      </c>
      <c r="K7938" s="2">
        <v>1</v>
      </c>
      <c r="L7938" s="2">
        <v>115</v>
      </c>
    </row>
    <row r="7939" spans="1:12" x14ac:dyDescent="0.25">
      <c r="A7939" s="4" t="str">
        <f>HYPERLINK("http://www.rosaceae.org/Prunus/Prunus_persica/p.persica_gdr_reftransV1_0004060","p.persica_gdr_reftransV1_0004060")</f>
        <v>p.persica_gdr_reftransV1_0004060</v>
      </c>
      <c r="B7939" s="2">
        <v>2245</v>
      </c>
      <c r="C7939" s="4" t="str">
        <f>HYPERLINK("http://www.uniprot.org/uniprot/M5W495","M5W495")</f>
        <v>M5W495</v>
      </c>
      <c r="D7939" s="2" t="s">
        <v>1096</v>
      </c>
      <c r="E7939" s="3">
        <v>0</v>
      </c>
      <c r="F7939" s="2">
        <v>1508</v>
      </c>
      <c r="G7939" s="2">
        <v>98</v>
      </c>
      <c r="H7939" s="2">
        <v>289</v>
      </c>
      <c r="I7939" s="2">
        <v>384</v>
      </c>
      <c r="J7939" s="2">
        <v>1250</v>
      </c>
      <c r="K7939" s="2">
        <v>227</v>
      </c>
      <c r="L7939" s="2">
        <v>508</v>
      </c>
    </row>
    <row r="7940" spans="1:12" x14ac:dyDescent="0.25">
      <c r="A7940" s="4" t="str">
        <f>HYPERLINK("http://www.rosaceae.org/Prunus/Prunus_persica/p.persica_gdr_reftransV1_0004410","p.persica_gdr_reftransV1_0004410")</f>
        <v>p.persica_gdr_reftransV1_0004410</v>
      </c>
      <c r="B7940" s="2">
        <v>780</v>
      </c>
      <c r="C7940" s="4" t="str">
        <f>HYPERLINK("http://www.uniprot.org/uniprot/M5X9M4","M5X9M4")</f>
        <v>M5X9M4</v>
      </c>
      <c r="D7940" s="2" t="s">
        <v>7014</v>
      </c>
      <c r="E7940" s="3">
        <v>5.2599999999999999E-29</v>
      </c>
      <c r="F7940" s="2">
        <v>289</v>
      </c>
      <c r="G7940" s="2">
        <v>100</v>
      </c>
      <c r="H7940" s="2">
        <v>81</v>
      </c>
      <c r="I7940" s="2">
        <v>382</v>
      </c>
      <c r="J7940" s="2">
        <v>624</v>
      </c>
      <c r="K7940" s="2">
        <v>1</v>
      </c>
      <c r="L7940" s="2">
        <v>81</v>
      </c>
    </row>
    <row r="7941" spans="1:12" x14ac:dyDescent="0.25">
      <c r="A7941" s="4" t="str">
        <f>HYPERLINK("http://www.rosaceae.org/Prunus/Prunus_persica/p.persica_gdr_reftransV1_0004760","p.persica_gdr_reftransV1_0004760")</f>
        <v>p.persica_gdr_reftransV1_0004760</v>
      </c>
      <c r="B7941" s="2">
        <v>3893</v>
      </c>
      <c r="C7941" s="4" t="str">
        <f>HYPERLINK("http://www.uniprot.org/uniprot/M5WEE2","M5WEE2")</f>
        <v>M5WEE2</v>
      </c>
      <c r="D7941" s="2" t="s">
        <v>1365</v>
      </c>
      <c r="E7941" s="3">
        <v>0</v>
      </c>
      <c r="F7941" s="2">
        <v>3206</v>
      </c>
      <c r="G7941" s="2">
        <v>100</v>
      </c>
      <c r="H7941" s="2">
        <v>735</v>
      </c>
      <c r="I7941" s="2">
        <v>791</v>
      </c>
      <c r="J7941" s="2">
        <v>2995</v>
      </c>
      <c r="K7941" s="2">
        <v>1</v>
      </c>
      <c r="L7941" s="2">
        <v>735</v>
      </c>
    </row>
    <row r="7942" spans="1:12" x14ac:dyDescent="0.25">
      <c r="A7942" s="4" t="str">
        <f>HYPERLINK("http://www.rosaceae.org/Prunus/Prunus_persica/p.persica_gdr_reftransV1_0006510","p.persica_gdr_reftransV1_0006510")</f>
        <v>p.persica_gdr_reftransV1_0006510</v>
      </c>
      <c r="B7942" s="2">
        <v>1381</v>
      </c>
      <c r="C7942" s="4" t="str">
        <f>HYPERLINK("http://www.uniprot.org/uniprot/M5VU82","M5VU82")</f>
        <v>M5VU82</v>
      </c>
      <c r="D7942" s="2" t="s">
        <v>7015</v>
      </c>
      <c r="E7942" s="3">
        <v>2.54E-176</v>
      </c>
      <c r="F7942" s="2">
        <v>1304</v>
      </c>
      <c r="G7942" s="2">
        <v>93</v>
      </c>
      <c r="H7942" s="2">
        <v>259</v>
      </c>
      <c r="I7942" s="2">
        <v>424</v>
      </c>
      <c r="J7942" s="2">
        <v>1200</v>
      </c>
      <c r="K7942" s="2">
        <v>1</v>
      </c>
      <c r="L7942" s="2">
        <v>259</v>
      </c>
    </row>
    <row r="7943" spans="1:12" x14ac:dyDescent="0.25">
      <c r="A7943" s="4" t="str">
        <f>HYPERLINK("http://www.rosaceae.org/Prunus/Prunus_persica/p.persica_gdr_reftransV1_0007210","p.persica_gdr_reftransV1_0007210")</f>
        <v>p.persica_gdr_reftransV1_0007210</v>
      </c>
      <c r="B7943" s="2">
        <v>2356</v>
      </c>
      <c r="C7943" s="4" t="str">
        <f>HYPERLINK("http://www.uniprot.org/uniprot/M5XCK4","M5XCK4")</f>
        <v>M5XCK4</v>
      </c>
      <c r="D7943" s="2" t="s">
        <v>7016</v>
      </c>
      <c r="E7943" s="3">
        <v>0</v>
      </c>
      <c r="F7943" s="2">
        <v>2963</v>
      </c>
      <c r="G7943" s="2">
        <v>100</v>
      </c>
      <c r="H7943" s="2">
        <v>571</v>
      </c>
      <c r="I7943" s="2">
        <v>272</v>
      </c>
      <c r="J7943" s="2">
        <v>1984</v>
      </c>
      <c r="K7943" s="2">
        <v>1</v>
      </c>
      <c r="L7943" s="2">
        <v>571</v>
      </c>
    </row>
    <row r="7944" spans="1:12" x14ac:dyDescent="0.25">
      <c r="A7944" s="4" t="str">
        <f>HYPERLINK("http://www.rosaceae.org/Prunus/Prunus_persica/p.persica_gdr_reftransV1_0007560","p.persica_gdr_reftransV1_0007560")</f>
        <v>p.persica_gdr_reftransV1_0007560</v>
      </c>
      <c r="B7944" s="2">
        <v>2665</v>
      </c>
      <c r="C7944" s="4" t="str">
        <f>HYPERLINK("http://www.uniprot.org/uniprot/M5W7G9","M5W7G9")</f>
        <v>M5W7G9</v>
      </c>
      <c r="D7944" s="2" t="s">
        <v>7017</v>
      </c>
      <c r="E7944" s="3">
        <v>0</v>
      </c>
      <c r="F7944" s="2">
        <v>3967</v>
      </c>
      <c r="G7944" s="2">
        <v>99</v>
      </c>
      <c r="H7944" s="2">
        <v>740</v>
      </c>
      <c r="I7944" s="2">
        <v>112</v>
      </c>
      <c r="J7944" s="2">
        <v>2331</v>
      </c>
      <c r="K7944" s="2">
        <v>1</v>
      </c>
      <c r="L7944" s="2">
        <v>740</v>
      </c>
    </row>
    <row r="7945" spans="1:12" x14ac:dyDescent="0.25">
      <c r="A7945" s="4" t="str">
        <f>HYPERLINK("http://www.rosaceae.org/Prunus/Prunus_persica/p.persica_gdr_reftransV1_0009310","p.persica_gdr_reftransV1_0009310")</f>
        <v>p.persica_gdr_reftransV1_0009310</v>
      </c>
      <c r="B7945" s="2">
        <v>2786</v>
      </c>
      <c r="C7945" s="4" t="str">
        <f>HYPERLINK("http://www.uniprot.org/uniprot/M5WYD0","M5WYD0")</f>
        <v>M5WYD0</v>
      </c>
      <c r="D7945" s="2" t="s">
        <v>7018</v>
      </c>
      <c r="E7945" s="3">
        <v>0</v>
      </c>
      <c r="F7945" s="2">
        <v>3660</v>
      </c>
      <c r="G7945" s="2">
        <v>100</v>
      </c>
      <c r="H7945" s="2">
        <v>743</v>
      </c>
      <c r="I7945" s="2">
        <v>524</v>
      </c>
      <c r="J7945" s="2">
        <v>2752</v>
      </c>
      <c r="K7945" s="2">
        <v>1</v>
      </c>
      <c r="L7945" s="2">
        <v>743</v>
      </c>
    </row>
    <row r="7946" spans="1:12" x14ac:dyDescent="0.25">
      <c r="A7946" s="4" t="str">
        <f>HYPERLINK("http://www.rosaceae.org/Prunus/Prunus_persica/p.persica_gdr_reftransV1_0009660","p.persica_gdr_reftransV1_0009660")</f>
        <v>p.persica_gdr_reftransV1_0009660</v>
      </c>
      <c r="B7946" s="2">
        <v>436</v>
      </c>
      <c r="C7946" s="4" t="str">
        <f>HYPERLINK("http://www.uniprot.org/uniprot/M5W6C8","M5W6C8")</f>
        <v>M5W6C8</v>
      </c>
      <c r="D7946" s="2" t="s">
        <v>4488</v>
      </c>
      <c r="E7946" s="3">
        <v>1.74E-59</v>
      </c>
      <c r="F7946" s="2">
        <v>527</v>
      </c>
      <c r="G7946" s="2">
        <v>100</v>
      </c>
      <c r="H7946" s="2">
        <v>109</v>
      </c>
      <c r="I7946" s="2">
        <v>2</v>
      </c>
      <c r="J7946" s="2">
        <v>328</v>
      </c>
      <c r="K7946" s="2">
        <v>823</v>
      </c>
      <c r="L7946" s="2">
        <v>931</v>
      </c>
    </row>
    <row r="7947" spans="1:12" x14ac:dyDescent="0.25">
      <c r="A7947" s="4" t="str">
        <f>HYPERLINK("http://www.rosaceae.org/Prunus/Prunus_persica/p.persica_gdr_reftransV1_0010360","p.persica_gdr_reftransV1_0010360")</f>
        <v>p.persica_gdr_reftransV1_0010360</v>
      </c>
      <c r="B7947" s="2">
        <v>1007</v>
      </c>
      <c r="C7947" s="4" t="str">
        <f>HYPERLINK("http://www.uniprot.org/uniprot/M5VVK9","M5VVK9")</f>
        <v>M5VVK9</v>
      </c>
      <c r="D7947" s="2" t="s">
        <v>7019</v>
      </c>
      <c r="E7947" s="3">
        <v>4.79E-178</v>
      </c>
      <c r="F7947" s="2">
        <v>1339</v>
      </c>
      <c r="G7947" s="2">
        <v>100</v>
      </c>
      <c r="H7947" s="2">
        <v>240</v>
      </c>
      <c r="I7947" s="2">
        <v>287</v>
      </c>
      <c r="J7947" s="2">
        <v>1006</v>
      </c>
      <c r="K7947" s="2">
        <v>397</v>
      </c>
      <c r="L7947" s="2">
        <v>636</v>
      </c>
    </row>
    <row r="7948" spans="1:12" x14ac:dyDescent="0.25">
      <c r="A7948" s="4" t="str">
        <f>HYPERLINK("http://www.rosaceae.org/Prunus/Prunus_persica/p.persica_gdr_reftransV1_0010710","p.persica_gdr_reftransV1_0010710")</f>
        <v>p.persica_gdr_reftransV1_0010710</v>
      </c>
      <c r="B7948" s="2">
        <v>1567</v>
      </c>
      <c r="C7948" s="4" t="str">
        <f>HYPERLINK("http://www.uniprot.org/uniprot/M5XC76","M5XC76")</f>
        <v>M5XC76</v>
      </c>
      <c r="D7948" s="2" t="s">
        <v>6791</v>
      </c>
      <c r="E7948" s="3">
        <v>0</v>
      </c>
      <c r="F7948" s="2">
        <v>1900</v>
      </c>
      <c r="G7948" s="2">
        <v>100</v>
      </c>
      <c r="H7948" s="2">
        <v>351</v>
      </c>
      <c r="I7948" s="2">
        <v>2</v>
      </c>
      <c r="J7948" s="2">
        <v>1054</v>
      </c>
      <c r="K7948" s="2">
        <v>43</v>
      </c>
      <c r="L7948" s="2">
        <v>393</v>
      </c>
    </row>
    <row r="7949" spans="1:12" x14ac:dyDescent="0.25">
      <c r="A7949" s="4" t="str">
        <f>HYPERLINK("http://www.rosaceae.org/Prunus/Prunus_persica/p.persica_gdr_reftransV1_0012110","p.persica_gdr_reftransV1_0012110")</f>
        <v>p.persica_gdr_reftransV1_0012110</v>
      </c>
      <c r="B7949" s="2">
        <v>2382</v>
      </c>
      <c r="C7949" s="4" t="str">
        <f>HYPERLINK("http://www.uniprot.org/uniprot/Q2LAF3","Q2LAF3")</f>
        <v>Q2LAF3</v>
      </c>
      <c r="D7949" s="2" t="s">
        <v>814</v>
      </c>
      <c r="E7949" s="3">
        <v>1.85E-165</v>
      </c>
      <c r="F7949" s="2">
        <v>1277</v>
      </c>
      <c r="G7949" s="2">
        <v>100</v>
      </c>
      <c r="H7949" s="2">
        <v>244</v>
      </c>
      <c r="I7949" s="2">
        <v>56</v>
      </c>
      <c r="J7949" s="2">
        <v>787</v>
      </c>
      <c r="K7949" s="2">
        <v>1</v>
      </c>
      <c r="L7949" s="2">
        <v>244</v>
      </c>
    </row>
    <row r="7950" spans="1:12" x14ac:dyDescent="0.25">
      <c r="A7950" s="4" t="str">
        <f>HYPERLINK("http://www.rosaceae.org/Prunus/Prunus_persica/p.persica_gdr_reftransV1_0014910","p.persica_gdr_reftransV1_0014910")</f>
        <v>p.persica_gdr_reftransV1_0014910</v>
      </c>
      <c r="B7950" s="2">
        <v>839</v>
      </c>
      <c r="C7950" s="4" t="str">
        <f>HYPERLINK("http://www.uniprot.org/uniprot/M5W1D3","M5W1D3")</f>
        <v>M5W1D3</v>
      </c>
      <c r="D7950" s="2" t="s">
        <v>7020</v>
      </c>
      <c r="E7950" s="3">
        <v>2.85E-97</v>
      </c>
      <c r="F7950" s="2">
        <v>758</v>
      </c>
      <c r="G7950" s="2">
        <v>100</v>
      </c>
      <c r="H7950" s="2">
        <v>183</v>
      </c>
      <c r="I7950" s="2">
        <v>220</v>
      </c>
      <c r="J7950" s="2">
        <v>768</v>
      </c>
      <c r="K7950" s="2">
        <v>1</v>
      </c>
      <c r="L7950" s="2">
        <v>183</v>
      </c>
    </row>
    <row r="7951" spans="1:12" x14ac:dyDescent="0.25">
      <c r="A7951" s="4" t="str">
        <f>HYPERLINK("http://www.rosaceae.org/Prunus/Prunus_persica/p.persica_gdr_reftransV1_0015960","p.persica_gdr_reftransV1_0015960")</f>
        <v>p.persica_gdr_reftransV1_0015960</v>
      </c>
      <c r="B7951" s="2">
        <v>1402</v>
      </c>
      <c r="C7951" s="4" t="str">
        <f>HYPERLINK("http://www.uniprot.org/uniprot/M5X0A4","M5X0A4")</f>
        <v>M5X0A4</v>
      </c>
      <c r="D7951" s="2" t="s">
        <v>431</v>
      </c>
      <c r="E7951" s="3">
        <v>0</v>
      </c>
      <c r="F7951" s="2">
        <v>1696</v>
      </c>
      <c r="G7951" s="2">
        <v>100</v>
      </c>
      <c r="H7951" s="2">
        <v>336</v>
      </c>
      <c r="I7951" s="2">
        <v>214</v>
      </c>
      <c r="J7951" s="2">
        <v>1221</v>
      </c>
      <c r="K7951" s="2">
        <v>32</v>
      </c>
      <c r="L7951" s="2">
        <v>367</v>
      </c>
    </row>
    <row r="7952" spans="1:12" x14ac:dyDescent="0.25">
      <c r="A7952" s="4" t="str">
        <f>HYPERLINK("http://www.rosaceae.org/Prunus/Prunus_persica/p.persica_gdr_reftransV1_0017710","p.persica_gdr_reftransV1_0017710")</f>
        <v>p.persica_gdr_reftransV1_0017710</v>
      </c>
      <c r="B7952" s="2">
        <v>1758</v>
      </c>
      <c r="C7952" s="4" t="str">
        <f>HYPERLINK("http://www.uniprot.org/uniprot/M5X6M8","M5X6M8")</f>
        <v>M5X6M8</v>
      </c>
      <c r="D7952" s="2" t="s">
        <v>7021</v>
      </c>
      <c r="E7952" s="3">
        <v>0</v>
      </c>
      <c r="F7952" s="2">
        <v>2353</v>
      </c>
      <c r="G7952" s="2">
        <v>100</v>
      </c>
      <c r="H7952" s="2">
        <v>479</v>
      </c>
      <c r="I7952" s="2">
        <v>120</v>
      </c>
      <c r="J7952" s="2">
        <v>1556</v>
      </c>
      <c r="K7952" s="2">
        <v>1</v>
      </c>
      <c r="L7952" s="2">
        <v>479</v>
      </c>
    </row>
    <row r="7953" spans="1:12" x14ac:dyDescent="0.25">
      <c r="A7953" s="4" t="str">
        <f>HYPERLINK("http://www.rosaceae.org/Prunus/Prunus_persica/p.persica_gdr_reftransV1_0019460","p.persica_gdr_reftransV1_0019460")</f>
        <v>p.persica_gdr_reftransV1_0019460</v>
      </c>
      <c r="B7953" s="2">
        <v>1609</v>
      </c>
      <c r="C7953" s="4" t="str">
        <f>HYPERLINK("http://www.uniprot.org/uniprot/M5XCZ6","M5XCZ6")</f>
        <v>M5XCZ6</v>
      </c>
      <c r="D7953" s="2" t="s">
        <v>7022</v>
      </c>
      <c r="E7953" s="3">
        <v>1.6500000000000001E-160</v>
      </c>
      <c r="F7953" s="2">
        <v>1230</v>
      </c>
      <c r="G7953" s="2">
        <v>100</v>
      </c>
      <c r="H7953" s="2">
        <v>249</v>
      </c>
      <c r="I7953" s="2">
        <v>435</v>
      </c>
      <c r="J7953" s="2">
        <v>1181</v>
      </c>
      <c r="K7953" s="2">
        <v>237</v>
      </c>
      <c r="L7953" s="2">
        <v>485</v>
      </c>
    </row>
    <row r="7954" spans="1:12" x14ac:dyDescent="0.25">
      <c r="A7954" s="4" t="str">
        <f>HYPERLINK("http://www.rosaceae.org/Prunus/Prunus_persica/p.persica_gdr_reftransV1_0019810","p.persica_gdr_reftransV1_0019810")</f>
        <v>p.persica_gdr_reftransV1_0019810</v>
      </c>
      <c r="B7954" s="2">
        <v>2353</v>
      </c>
      <c r="C7954" s="4" t="str">
        <f>HYPERLINK("http://www.uniprot.org/uniprot/M5W2J8","M5W2J8")</f>
        <v>M5W2J8</v>
      </c>
      <c r="D7954" s="2" t="s">
        <v>7023</v>
      </c>
      <c r="E7954" s="3">
        <v>0</v>
      </c>
      <c r="F7954" s="2">
        <v>1881</v>
      </c>
      <c r="G7954" s="2">
        <v>96</v>
      </c>
      <c r="H7954" s="2">
        <v>366</v>
      </c>
      <c r="I7954" s="2">
        <v>1019</v>
      </c>
      <c r="J7954" s="2">
        <v>2116</v>
      </c>
      <c r="K7954" s="2">
        <v>1</v>
      </c>
      <c r="L7954" s="2">
        <v>353</v>
      </c>
    </row>
    <row r="7955" spans="1:12" x14ac:dyDescent="0.25">
      <c r="A7955" s="4" t="str">
        <f>HYPERLINK("http://www.rosaceae.org/Prunus/Prunus_persica/p.persica_gdr_reftransV1_0020510","p.persica_gdr_reftransV1_0020510")</f>
        <v>p.persica_gdr_reftransV1_0020510</v>
      </c>
      <c r="B7955" s="2">
        <v>889</v>
      </c>
      <c r="C7955" s="4" t="str">
        <f>HYPERLINK("http://www.uniprot.org/uniprot/M5VSP4","M5VSP4")</f>
        <v>M5VSP4</v>
      </c>
      <c r="D7955" s="2" t="s">
        <v>7024</v>
      </c>
      <c r="E7955" s="3">
        <v>3.26E-179</v>
      </c>
      <c r="F7955" s="2">
        <v>1319</v>
      </c>
      <c r="G7955" s="2">
        <v>100</v>
      </c>
      <c r="H7955" s="2">
        <v>247</v>
      </c>
      <c r="I7955" s="2">
        <v>1</v>
      </c>
      <c r="J7955" s="2">
        <v>741</v>
      </c>
      <c r="K7955" s="2">
        <v>151</v>
      </c>
      <c r="L7955" s="2">
        <v>397</v>
      </c>
    </row>
    <row r="7956" spans="1:12" x14ac:dyDescent="0.25">
      <c r="A7956" s="4" t="str">
        <f>HYPERLINK("http://www.rosaceae.org/Prunus/Prunus_persica/p.persica_gdr_reftransV1_0022610","p.persica_gdr_reftransV1_0022610")</f>
        <v>p.persica_gdr_reftransV1_0022610</v>
      </c>
      <c r="B7956" s="2">
        <v>334</v>
      </c>
      <c r="C7956" s="4" t="str">
        <f>HYPERLINK("http://www.uniprot.org/uniprot/M5VY46","M5VY46")</f>
        <v>M5VY46</v>
      </c>
      <c r="D7956" s="2" t="s">
        <v>3423</v>
      </c>
      <c r="E7956" s="3">
        <v>5.9200000000000002E-75</v>
      </c>
      <c r="F7956" s="2">
        <v>612</v>
      </c>
      <c r="G7956" s="2">
        <v>100</v>
      </c>
      <c r="H7956" s="2">
        <v>111</v>
      </c>
      <c r="I7956" s="2">
        <v>2</v>
      </c>
      <c r="J7956" s="2">
        <v>334</v>
      </c>
      <c r="K7956" s="2">
        <v>19</v>
      </c>
      <c r="L7956" s="2">
        <v>129</v>
      </c>
    </row>
    <row r="7957" spans="1:12" x14ac:dyDescent="0.25">
      <c r="A7957" s="4" t="str">
        <f>HYPERLINK("http://www.rosaceae.org/Prunus/Prunus_persica/p.persica_gdr_reftransV1_0023660","p.persica_gdr_reftransV1_0023660")</f>
        <v>p.persica_gdr_reftransV1_0023660</v>
      </c>
      <c r="B7957" s="2">
        <v>2339</v>
      </c>
      <c r="C7957" s="4" t="str">
        <f>HYPERLINK("http://www.uniprot.org/uniprot/M5Y7W3","M5Y7W3")</f>
        <v>M5Y7W3</v>
      </c>
      <c r="D7957" s="2" t="s">
        <v>7025</v>
      </c>
      <c r="E7957" s="3">
        <v>0</v>
      </c>
      <c r="F7957" s="2">
        <v>3136</v>
      </c>
      <c r="G7957" s="2">
        <v>90</v>
      </c>
      <c r="H7957" s="2">
        <v>663</v>
      </c>
      <c r="I7957" s="2">
        <v>382</v>
      </c>
      <c r="J7957" s="2">
        <v>2247</v>
      </c>
      <c r="K7957" s="2">
        <v>1</v>
      </c>
      <c r="L7957" s="2">
        <v>640</v>
      </c>
    </row>
    <row r="7958" spans="1:12" x14ac:dyDescent="0.25">
      <c r="A7958" s="4" t="str">
        <f>HYPERLINK("http://www.rosaceae.org/Prunus/Prunus_persica/p.persica_gdr_reftransV1_0025060","p.persica_gdr_reftransV1_0025060")</f>
        <v>p.persica_gdr_reftransV1_0025060</v>
      </c>
      <c r="B7958" s="2">
        <v>2199</v>
      </c>
      <c r="C7958" s="4" t="str">
        <f>HYPERLINK("http://www.uniprot.org/uniprot/M5WP88","M5WP88")</f>
        <v>M5WP88</v>
      </c>
      <c r="D7958" s="2" t="s">
        <v>7026</v>
      </c>
      <c r="E7958" s="3">
        <v>0</v>
      </c>
      <c r="F7958" s="2">
        <v>1672</v>
      </c>
      <c r="G7958" s="2">
        <v>100</v>
      </c>
      <c r="H7958" s="2">
        <v>328</v>
      </c>
      <c r="I7958" s="2">
        <v>904</v>
      </c>
      <c r="J7958" s="2">
        <v>1887</v>
      </c>
      <c r="K7958" s="2">
        <v>185</v>
      </c>
      <c r="L7958" s="2">
        <v>512</v>
      </c>
    </row>
    <row r="7959" spans="1:12" x14ac:dyDescent="0.25">
      <c r="A7959" s="4" t="str">
        <f>HYPERLINK("http://www.rosaceae.org/Prunus/Prunus_persica/p.persica_gdr_reftransV1_0026460","p.persica_gdr_reftransV1_0026460")</f>
        <v>p.persica_gdr_reftransV1_0026460</v>
      </c>
      <c r="B7959" s="2">
        <v>2850</v>
      </c>
      <c r="C7959" s="4" t="str">
        <f>HYPERLINK("http://www.uniprot.org/uniprot/M5XAR3","M5XAR3")</f>
        <v>M5XAR3</v>
      </c>
      <c r="D7959" s="2" t="s">
        <v>7027</v>
      </c>
      <c r="E7959" s="3">
        <v>0</v>
      </c>
      <c r="F7959" s="2">
        <v>2626</v>
      </c>
      <c r="G7959" s="2">
        <v>100</v>
      </c>
      <c r="H7959" s="2">
        <v>568</v>
      </c>
      <c r="I7959" s="2">
        <v>182</v>
      </c>
      <c r="J7959" s="2">
        <v>1885</v>
      </c>
      <c r="K7959" s="2">
        <v>1</v>
      </c>
      <c r="L7959" s="2">
        <v>568</v>
      </c>
    </row>
    <row r="7960" spans="1:12" x14ac:dyDescent="0.25">
      <c r="A7960" s="4" t="str">
        <f>HYPERLINK("http://www.rosaceae.org/Prunus/Prunus_persica/p.persica_gdr_reftransV1_0026810","p.persica_gdr_reftransV1_0026810")</f>
        <v>p.persica_gdr_reftransV1_0026810</v>
      </c>
      <c r="B7960" s="2">
        <v>2080</v>
      </c>
      <c r="C7960" s="4" t="str">
        <f>HYPERLINK("http://www.uniprot.org/uniprot/M5WCN4","M5WCN4")</f>
        <v>M5WCN4</v>
      </c>
      <c r="D7960" s="2" t="s">
        <v>7028</v>
      </c>
      <c r="E7960" s="3">
        <v>0</v>
      </c>
      <c r="F7960" s="2">
        <v>2586</v>
      </c>
      <c r="G7960" s="2">
        <v>100</v>
      </c>
      <c r="H7960" s="2">
        <v>550</v>
      </c>
      <c r="I7960" s="2">
        <v>326</v>
      </c>
      <c r="J7960" s="2">
        <v>1975</v>
      </c>
      <c r="K7960" s="2">
        <v>1</v>
      </c>
      <c r="L7960" s="2">
        <v>550</v>
      </c>
    </row>
    <row r="7961" spans="1:12" x14ac:dyDescent="0.25">
      <c r="A7961" s="4" t="str">
        <f>HYPERLINK("http://www.rosaceae.org/Prunus/Prunus_persica/p.persica_gdr_reftransV1_0027510","p.persica_gdr_reftransV1_0027510")</f>
        <v>p.persica_gdr_reftransV1_0027510</v>
      </c>
      <c r="B7961" s="2">
        <v>569</v>
      </c>
      <c r="C7961" s="4" t="str">
        <f>HYPERLINK("http://www.uniprot.org/uniprot/M5Y8A6","M5Y8A6")</f>
        <v>M5Y8A6</v>
      </c>
      <c r="D7961" s="2" t="s">
        <v>1819</v>
      </c>
      <c r="E7961" s="3">
        <v>1.48E-75</v>
      </c>
      <c r="F7961" s="2">
        <v>647</v>
      </c>
      <c r="G7961" s="2">
        <v>81</v>
      </c>
      <c r="H7961" s="2">
        <v>150</v>
      </c>
      <c r="I7961" s="2">
        <v>118</v>
      </c>
      <c r="J7961" s="2">
        <v>567</v>
      </c>
      <c r="K7961" s="2">
        <v>1</v>
      </c>
      <c r="L7961" s="2">
        <v>125</v>
      </c>
    </row>
    <row r="7962" spans="1:12" x14ac:dyDescent="0.25">
      <c r="A7962" s="4" t="str">
        <f>HYPERLINK("http://www.rosaceae.org/Prunus/Prunus_persica/p.persica_gdr_reftransV1_0027860","p.persica_gdr_reftransV1_0027860")</f>
        <v>p.persica_gdr_reftransV1_0027860</v>
      </c>
      <c r="B7962" s="2">
        <v>402</v>
      </c>
      <c r="C7962" s="4" t="str">
        <f>HYPERLINK("http://www.uniprot.org/uniprot/M5X4F1","M5X4F1")</f>
        <v>M5X4F1</v>
      </c>
      <c r="D7962" s="2" t="s">
        <v>7029</v>
      </c>
      <c r="E7962" s="3">
        <v>3.5999999999999999E-17</v>
      </c>
      <c r="F7962" s="2">
        <v>207</v>
      </c>
      <c r="G7962" s="2">
        <v>98</v>
      </c>
      <c r="H7962" s="2">
        <v>40</v>
      </c>
      <c r="I7962" s="2">
        <v>282</v>
      </c>
      <c r="J7962" s="2">
        <v>401</v>
      </c>
      <c r="K7962" s="2">
        <v>159</v>
      </c>
      <c r="L7962" s="2">
        <v>198</v>
      </c>
    </row>
    <row r="7963" spans="1:12" x14ac:dyDescent="0.25">
      <c r="A7963" s="4" t="str">
        <f>HYPERLINK("http://www.rosaceae.org/Prunus/Prunus_persica/p.persica_gdr_reftransV1_0029960","p.persica_gdr_reftransV1_0029960")</f>
        <v>p.persica_gdr_reftransV1_0029960</v>
      </c>
      <c r="B7963" s="2">
        <v>1376</v>
      </c>
      <c r="C7963" s="4" t="str">
        <f>HYPERLINK("http://www.uniprot.org/uniprot/M5WCP1","M5WCP1")</f>
        <v>M5WCP1</v>
      </c>
      <c r="D7963" s="2" t="s">
        <v>7030</v>
      </c>
      <c r="E7963" s="3">
        <v>7.7600000000000003E-159</v>
      </c>
      <c r="F7963" s="2">
        <v>1184</v>
      </c>
      <c r="G7963" s="2">
        <v>100</v>
      </c>
      <c r="H7963" s="2">
        <v>222</v>
      </c>
      <c r="I7963" s="2">
        <v>408</v>
      </c>
      <c r="J7963" s="2">
        <v>1073</v>
      </c>
      <c r="K7963" s="2">
        <v>1</v>
      </c>
      <c r="L7963" s="2">
        <v>222</v>
      </c>
    </row>
    <row r="7964" spans="1:12" x14ac:dyDescent="0.25">
      <c r="A7964" s="4" t="str">
        <f>HYPERLINK("http://www.rosaceae.org/Prunus/Prunus_persica/p.persica_gdr_reftransV1_0030310","p.persica_gdr_reftransV1_0030310")</f>
        <v>p.persica_gdr_reftransV1_0030310</v>
      </c>
      <c r="B7964" s="2">
        <v>2111</v>
      </c>
      <c r="C7964" s="4" t="str">
        <f>HYPERLINK("http://www.uniprot.org/uniprot/M5VYB6","M5VYB6")</f>
        <v>M5VYB6</v>
      </c>
      <c r="D7964" s="2" t="s">
        <v>7031</v>
      </c>
      <c r="E7964" s="3">
        <v>2.1599999999999998E-154</v>
      </c>
      <c r="F7964" s="2">
        <v>1198</v>
      </c>
      <c r="G7964" s="2">
        <v>100</v>
      </c>
      <c r="H7964" s="2">
        <v>246</v>
      </c>
      <c r="I7964" s="2">
        <v>1322</v>
      </c>
      <c r="J7964" s="2">
        <v>2059</v>
      </c>
      <c r="K7964" s="2">
        <v>1</v>
      </c>
      <c r="L7964" s="2">
        <v>246</v>
      </c>
    </row>
    <row r="7965" spans="1:12" x14ac:dyDescent="0.25">
      <c r="A7965" s="4" t="str">
        <f>HYPERLINK("http://www.rosaceae.org/Prunus/Prunus_persica/p.persica_gdr_reftransV1_0031010","p.persica_gdr_reftransV1_0031010")</f>
        <v>p.persica_gdr_reftransV1_0031010</v>
      </c>
      <c r="B7965" s="2">
        <v>478</v>
      </c>
      <c r="C7965" s="4" t="str">
        <f>HYPERLINK("http://www.uniprot.org/uniprot/M5WCD8","M5WCD8")</f>
        <v>M5WCD8</v>
      </c>
      <c r="D7965" s="2" t="s">
        <v>2245</v>
      </c>
      <c r="E7965" s="3">
        <v>9.2200000000000007E-102</v>
      </c>
      <c r="F7965" s="2">
        <v>830</v>
      </c>
      <c r="G7965" s="2">
        <v>100</v>
      </c>
      <c r="H7965" s="2">
        <v>159</v>
      </c>
      <c r="I7965" s="2">
        <v>1</v>
      </c>
      <c r="J7965" s="2">
        <v>477</v>
      </c>
      <c r="K7965" s="2">
        <v>374</v>
      </c>
      <c r="L7965" s="2">
        <v>532</v>
      </c>
    </row>
    <row r="7966" spans="1:12" x14ac:dyDescent="0.25">
      <c r="A7966" s="4" t="str">
        <f>HYPERLINK("http://www.rosaceae.org/Prunus/Prunus_persica/p.persica_gdr_reftransV1_0031360","p.persica_gdr_reftransV1_0031360")</f>
        <v>p.persica_gdr_reftransV1_0031360</v>
      </c>
      <c r="B7966" s="2">
        <v>1590</v>
      </c>
      <c r="C7966" s="4" t="str">
        <f>HYPERLINK("http://www.uniprot.org/uniprot/M5XM12","M5XM12")</f>
        <v>M5XM12</v>
      </c>
      <c r="D7966" s="2" t="s">
        <v>7032</v>
      </c>
      <c r="E7966" s="3">
        <v>1.8000000000000001E-42</v>
      </c>
      <c r="F7966" s="2">
        <v>398</v>
      </c>
      <c r="G7966" s="2">
        <v>77</v>
      </c>
      <c r="H7966" s="2">
        <v>101</v>
      </c>
      <c r="I7966" s="2">
        <v>378</v>
      </c>
      <c r="J7966" s="2">
        <v>680</v>
      </c>
      <c r="K7966" s="2">
        <v>1</v>
      </c>
      <c r="L7966" s="2">
        <v>101</v>
      </c>
    </row>
    <row r="7967" spans="1:12" x14ac:dyDescent="0.25">
      <c r="A7967" s="4" t="str">
        <f>HYPERLINK("http://www.rosaceae.org/Prunus/Prunus_persica/p.persica_gdr_reftransV1_0032060","p.persica_gdr_reftransV1_0032060")</f>
        <v>p.persica_gdr_reftransV1_0032060</v>
      </c>
      <c r="B7967" s="2">
        <v>1634</v>
      </c>
      <c r="C7967" s="4" t="str">
        <f>HYPERLINK("http://www.uniprot.org/uniprot/M5X5D3","M5X5D3")</f>
        <v>M5X5D3</v>
      </c>
      <c r="D7967" s="2" t="s">
        <v>7033</v>
      </c>
      <c r="E7967" s="3">
        <v>0</v>
      </c>
      <c r="F7967" s="2">
        <v>2033</v>
      </c>
      <c r="G7967" s="2">
        <v>100</v>
      </c>
      <c r="H7967" s="2">
        <v>378</v>
      </c>
      <c r="I7967" s="2">
        <v>294</v>
      </c>
      <c r="J7967" s="2">
        <v>1427</v>
      </c>
      <c r="K7967" s="2">
        <v>1</v>
      </c>
      <c r="L7967" s="2">
        <v>378</v>
      </c>
    </row>
    <row r="7968" spans="1:12" x14ac:dyDescent="0.25">
      <c r="A7968" s="4" t="str">
        <f>HYPERLINK("http://www.rosaceae.org/Prunus/Prunus_persica/p.persica_gdr_reftransV1_0032410","p.persica_gdr_reftransV1_0032410")</f>
        <v>p.persica_gdr_reftransV1_0032410</v>
      </c>
      <c r="B7968" s="2">
        <v>2110</v>
      </c>
      <c r="C7968" s="4" t="str">
        <f>HYPERLINK("http://www.uniprot.org/uniprot/M5XC00","M5XC00")</f>
        <v>M5XC00</v>
      </c>
      <c r="D7968" s="2" t="s">
        <v>7034</v>
      </c>
      <c r="E7968" s="3">
        <v>0</v>
      </c>
      <c r="F7968" s="2">
        <v>2158</v>
      </c>
      <c r="G7968" s="2">
        <v>100</v>
      </c>
      <c r="H7968" s="2">
        <v>424</v>
      </c>
      <c r="I7968" s="2">
        <v>493</v>
      </c>
      <c r="J7968" s="2">
        <v>1764</v>
      </c>
      <c r="K7968" s="2">
        <v>1</v>
      </c>
      <c r="L7968" s="2">
        <v>424</v>
      </c>
    </row>
    <row r="7969" spans="1:12" x14ac:dyDescent="0.25">
      <c r="A7969" s="4" t="str">
        <f>HYPERLINK("http://www.rosaceae.org/Prunus/Prunus_persica/p.persica_gdr_reftransV1_0033110","p.persica_gdr_reftransV1_0033110")</f>
        <v>p.persica_gdr_reftransV1_0033110</v>
      </c>
      <c r="B7969" s="2">
        <v>2546</v>
      </c>
      <c r="C7969" s="4" t="str">
        <f>HYPERLINK("http://www.uniprot.org/uniprot/M5VXT0","M5VXT0")</f>
        <v>M5VXT0</v>
      </c>
      <c r="D7969" s="2" t="s">
        <v>2993</v>
      </c>
      <c r="E7969" s="3">
        <v>2.7499999999999998E-91</v>
      </c>
      <c r="F7969" s="2">
        <v>549</v>
      </c>
      <c r="G7969" s="2">
        <v>70</v>
      </c>
      <c r="H7969" s="2">
        <v>165</v>
      </c>
      <c r="I7969" s="2">
        <v>584</v>
      </c>
      <c r="J7969" s="2">
        <v>1078</v>
      </c>
      <c r="K7969" s="2">
        <v>79</v>
      </c>
      <c r="L7969" s="2">
        <v>198</v>
      </c>
    </row>
    <row r="7970" spans="1:12" x14ac:dyDescent="0.25">
      <c r="A7970" s="4" t="str">
        <f>HYPERLINK("http://www.rosaceae.org/Prunus/Prunus_persica/p.persica_gdr_reftransV1_0034160","p.persica_gdr_reftransV1_0034160")</f>
        <v>p.persica_gdr_reftransV1_0034160</v>
      </c>
      <c r="B7970" s="2">
        <v>3534</v>
      </c>
      <c r="C7970" s="4" t="str">
        <f>HYPERLINK("http://www.uniprot.org/uniprot/M5Y858","M5Y858")</f>
        <v>M5Y858</v>
      </c>
      <c r="D7970" s="2" t="s">
        <v>7035</v>
      </c>
      <c r="E7970" s="3">
        <v>0</v>
      </c>
      <c r="F7970" s="2">
        <v>2118</v>
      </c>
      <c r="G7970" s="2">
        <v>100</v>
      </c>
      <c r="H7970" s="2">
        <v>454</v>
      </c>
      <c r="I7970" s="2">
        <v>72</v>
      </c>
      <c r="J7970" s="2">
        <v>1433</v>
      </c>
      <c r="K7970" s="2">
        <v>1</v>
      </c>
      <c r="L7970" s="2">
        <v>454</v>
      </c>
    </row>
    <row r="7971" spans="1:12" x14ac:dyDescent="0.25">
      <c r="A7971" s="4" t="str">
        <f>HYPERLINK("http://www.rosaceae.org/Prunus/Prunus_persica/p.persica_gdr_reftransV1_0038010","p.persica_gdr_reftransV1_0038010")</f>
        <v>p.persica_gdr_reftransV1_0038010</v>
      </c>
      <c r="B7971" s="2">
        <v>3914</v>
      </c>
      <c r="C7971" s="4" t="str">
        <f>HYPERLINK("http://www.uniprot.org/uniprot/M5VVQ5","M5VVQ5")</f>
        <v>M5VVQ5</v>
      </c>
      <c r="D7971" s="2" t="s">
        <v>7036</v>
      </c>
      <c r="E7971" s="3">
        <v>0</v>
      </c>
      <c r="F7971" s="2">
        <v>2827</v>
      </c>
      <c r="G7971" s="2">
        <v>100</v>
      </c>
      <c r="H7971" s="2">
        <v>529</v>
      </c>
      <c r="I7971" s="2">
        <v>854</v>
      </c>
      <c r="J7971" s="2">
        <v>2440</v>
      </c>
      <c r="K7971" s="2">
        <v>1</v>
      </c>
      <c r="L7971" s="2">
        <v>529</v>
      </c>
    </row>
    <row r="7972" spans="1:12" x14ac:dyDescent="0.25">
      <c r="A7972" s="4" t="str">
        <f>HYPERLINK("http://www.rosaceae.org/Prunus/Prunus_persica/p.persica_gdr_reftransV1_0038360","p.persica_gdr_reftransV1_0038360")</f>
        <v>p.persica_gdr_reftransV1_0038360</v>
      </c>
      <c r="B7972" s="2">
        <v>3589</v>
      </c>
      <c r="C7972" s="4" t="str">
        <f>HYPERLINK("http://www.uniprot.org/uniprot/M5XQ46","M5XQ46")</f>
        <v>M5XQ46</v>
      </c>
      <c r="D7972" s="2" t="s">
        <v>7037</v>
      </c>
      <c r="E7972" s="3">
        <v>0</v>
      </c>
      <c r="F7972" s="2">
        <v>4474</v>
      </c>
      <c r="G7972" s="2">
        <v>100</v>
      </c>
      <c r="H7972" s="2">
        <v>886</v>
      </c>
      <c r="I7972" s="2">
        <v>510</v>
      </c>
      <c r="J7972" s="2">
        <v>3167</v>
      </c>
      <c r="K7972" s="2">
        <v>1</v>
      </c>
      <c r="L7972" s="2">
        <v>886</v>
      </c>
    </row>
    <row r="7973" spans="1:12" x14ac:dyDescent="0.25">
      <c r="A7973" s="4" t="str">
        <f>HYPERLINK("http://www.rosaceae.org/Prunus/Prunus_persica/p.persica_gdr_reftransV1_0040810","p.persica_gdr_reftransV1_0040810")</f>
        <v>p.persica_gdr_reftransV1_0040810</v>
      </c>
      <c r="B7973" s="2">
        <v>1663</v>
      </c>
      <c r="C7973" s="4" t="str">
        <f>HYPERLINK("http://www.uniprot.org/uniprot/M5VZE4","M5VZE4")</f>
        <v>M5VZE4</v>
      </c>
      <c r="D7973" s="2" t="s">
        <v>7038</v>
      </c>
      <c r="E7973" s="3">
        <v>0</v>
      </c>
      <c r="F7973" s="2">
        <v>1691</v>
      </c>
      <c r="G7973" s="2">
        <v>93</v>
      </c>
      <c r="H7973" s="2">
        <v>441</v>
      </c>
      <c r="I7973" s="2">
        <v>184</v>
      </c>
      <c r="J7973" s="2">
        <v>1506</v>
      </c>
      <c r="K7973" s="2">
        <v>1</v>
      </c>
      <c r="L7973" s="2">
        <v>412</v>
      </c>
    </row>
    <row r="7974" spans="1:12" x14ac:dyDescent="0.25">
      <c r="A7974" s="4" t="str">
        <f>HYPERLINK("http://www.rosaceae.org/Prunus/Prunus_persica/p.persica_gdr_reftransV1_0043260","p.persica_gdr_reftransV1_0043260")</f>
        <v>p.persica_gdr_reftransV1_0043260</v>
      </c>
      <c r="B7974" s="2">
        <v>685</v>
      </c>
      <c r="C7974" s="4" t="str">
        <f>HYPERLINK("http://www.uniprot.org/uniprot/M5XGF4","M5XGF4")</f>
        <v>M5XGF4</v>
      </c>
      <c r="D7974" s="2" t="s">
        <v>7039</v>
      </c>
      <c r="E7974" s="3">
        <v>2.18E-47</v>
      </c>
      <c r="F7974" s="2">
        <v>411</v>
      </c>
      <c r="G7974" s="2">
        <v>100</v>
      </c>
      <c r="H7974" s="2">
        <v>77</v>
      </c>
      <c r="I7974" s="2">
        <v>112</v>
      </c>
      <c r="J7974" s="2">
        <v>342</v>
      </c>
      <c r="K7974" s="2">
        <v>1</v>
      </c>
      <c r="L7974" s="2">
        <v>77</v>
      </c>
    </row>
    <row r="7975" spans="1:12" x14ac:dyDescent="0.25">
      <c r="A7975" s="4" t="str">
        <f>HYPERLINK("http://www.rosaceae.org/Prunus/Prunus_persica/p.persica_gdr_reftransV1_0043610","p.persica_gdr_reftransV1_0043610")</f>
        <v>p.persica_gdr_reftransV1_0043610</v>
      </c>
      <c r="B7975" s="2">
        <v>671</v>
      </c>
      <c r="C7975" s="4" t="str">
        <f>HYPERLINK("http://www.uniprot.org/uniprot/M5VPI5","M5VPI5")</f>
        <v>M5VPI5</v>
      </c>
      <c r="D7975" s="2" t="s">
        <v>2871</v>
      </c>
      <c r="E7975" s="3">
        <v>3.7800000000000003E-126</v>
      </c>
      <c r="F7975" s="2">
        <v>959</v>
      </c>
      <c r="G7975" s="2">
        <v>100</v>
      </c>
      <c r="H7975" s="2">
        <v>180</v>
      </c>
      <c r="I7975" s="2">
        <v>130</v>
      </c>
      <c r="J7975" s="2">
        <v>669</v>
      </c>
      <c r="K7975" s="2">
        <v>205</v>
      </c>
      <c r="L7975" s="2">
        <v>384</v>
      </c>
    </row>
    <row r="7976" spans="1:12" x14ac:dyDescent="0.25">
      <c r="A7976" s="4" t="str">
        <f>HYPERLINK("http://www.rosaceae.org/Prunus/Prunus_persica/p.persica_gdr_reftransV1_0043960","p.persica_gdr_reftransV1_0043960")</f>
        <v>p.persica_gdr_reftransV1_0043960</v>
      </c>
      <c r="B7976" s="2">
        <v>319</v>
      </c>
      <c r="C7976" s="4" t="str">
        <f>HYPERLINK("http://www.uniprot.org/uniprot/M5W1Q7","M5W1Q7")</f>
        <v>M5W1Q7</v>
      </c>
      <c r="D7976" s="2" t="s">
        <v>4966</v>
      </c>
      <c r="E7976" s="3">
        <v>1.3799999999999999E-68</v>
      </c>
      <c r="F7976" s="2">
        <v>574</v>
      </c>
      <c r="G7976" s="2">
        <v>100</v>
      </c>
      <c r="H7976" s="2">
        <v>106</v>
      </c>
      <c r="I7976" s="2">
        <v>1</v>
      </c>
      <c r="J7976" s="2">
        <v>318</v>
      </c>
      <c r="K7976" s="2">
        <v>117</v>
      </c>
      <c r="L7976" s="2">
        <v>222</v>
      </c>
    </row>
    <row r="7977" spans="1:12" x14ac:dyDescent="0.25">
      <c r="A7977" s="4" t="str">
        <f>HYPERLINK("http://www.rosaceae.org/Prunus/Prunus_persica/p.persica_gdr_reftransV1_0044310","p.persica_gdr_reftransV1_0044310")</f>
        <v>p.persica_gdr_reftransV1_0044310</v>
      </c>
      <c r="B7977" s="2">
        <v>1653</v>
      </c>
      <c r="C7977" s="4" t="str">
        <f>HYPERLINK("http://www.uniprot.org/uniprot/M5XP27","M5XP27")</f>
        <v>M5XP27</v>
      </c>
      <c r="D7977" s="2" t="s">
        <v>296</v>
      </c>
      <c r="E7977" s="3">
        <v>0</v>
      </c>
      <c r="F7977" s="2">
        <v>1896</v>
      </c>
      <c r="G7977" s="2">
        <v>100</v>
      </c>
      <c r="H7977" s="2">
        <v>365</v>
      </c>
      <c r="I7977" s="2">
        <v>281</v>
      </c>
      <c r="J7977" s="2">
        <v>1375</v>
      </c>
      <c r="K7977" s="2">
        <v>1</v>
      </c>
      <c r="L7977" s="2">
        <v>365</v>
      </c>
    </row>
    <row r="7978" spans="1:12" x14ac:dyDescent="0.25">
      <c r="A7978" s="4" t="str">
        <f>HYPERLINK("http://www.rosaceae.org/Prunus/Prunus_persica/p.persica_gdr_reftransV1_0044660","p.persica_gdr_reftransV1_0044660")</f>
        <v>p.persica_gdr_reftransV1_0044660</v>
      </c>
      <c r="B7978" s="2">
        <v>1714</v>
      </c>
      <c r="C7978" s="4" t="str">
        <f>HYPERLINK("http://www.uniprot.org/uniprot/M5XJS8","M5XJS8")</f>
        <v>M5XJS8</v>
      </c>
      <c r="D7978" s="2" t="s">
        <v>7040</v>
      </c>
      <c r="E7978" s="3">
        <v>0</v>
      </c>
      <c r="F7978" s="2">
        <v>1819</v>
      </c>
      <c r="G7978" s="2">
        <v>100</v>
      </c>
      <c r="H7978" s="2">
        <v>409</v>
      </c>
      <c r="I7978" s="2">
        <v>424</v>
      </c>
      <c r="J7978" s="2">
        <v>1650</v>
      </c>
      <c r="K7978" s="2">
        <v>1</v>
      </c>
      <c r="L7978" s="2">
        <v>409</v>
      </c>
    </row>
    <row r="7979" spans="1:12" x14ac:dyDescent="0.25">
      <c r="A7979" s="4" t="str">
        <f>HYPERLINK("http://www.rosaceae.org/Prunus/Prunus_persica/p.persica_gdr_reftransV1_0045010","p.persica_gdr_reftransV1_0045010")</f>
        <v>p.persica_gdr_reftransV1_0045010</v>
      </c>
      <c r="B7979" s="2">
        <v>545</v>
      </c>
      <c r="C7979" s="4" t="str">
        <f>HYPERLINK("http://www.uniprot.org/uniprot/W9S3D4","W9S3D4")</f>
        <v>W9S3D4</v>
      </c>
      <c r="D7979" s="2" t="s">
        <v>7041</v>
      </c>
      <c r="E7979" s="3">
        <v>1.54E-46</v>
      </c>
      <c r="F7979" s="2">
        <v>425</v>
      </c>
      <c r="G7979" s="2">
        <v>59</v>
      </c>
      <c r="H7979" s="2">
        <v>156</v>
      </c>
      <c r="I7979" s="2">
        <v>93</v>
      </c>
      <c r="J7979" s="2">
        <v>545</v>
      </c>
      <c r="K7979" s="2">
        <v>2</v>
      </c>
      <c r="L7979" s="2">
        <v>148</v>
      </c>
    </row>
    <row r="7980" spans="1:12" x14ac:dyDescent="0.25">
      <c r="A7980" s="4" t="str">
        <f>HYPERLINK("http://www.rosaceae.org/Prunus/Prunus_persica/p.persica_gdr_reftransV1_0045360","p.persica_gdr_reftransV1_0045360")</f>
        <v>p.persica_gdr_reftransV1_0045360</v>
      </c>
      <c r="B7980" s="2">
        <v>1060</v>
      </c>
      <c r="C7980" s="4" t="str">
        <f>HYPERLINK("http://www.uniprot.org/uniprot/M5X9R7","M5X9R7")</f>
        <v>M5X9R7</v>
      </c>
      <c r="D7980" s="2" t="s">
        <v>7042</v>
      </c>
      <c r="E7980" s="3">
        <v>9.9999999999999998E-172</v>
      </c>
      <c r="F7980" s="2">
        <v>1263</v>
      </c>
      <c r="G7980" s="2">
        <v>100</v>
      </c>
      <c r="H7980" s="2">
        <v>258</v>
      </c>
      <c r="I7980" s="2">
        <v>64</v>
      </c>
      <c r="J7980" s="2">
        <v>837</v>
      </c>
      <c r="K7980" s="2">
        <v>14</v>
      </c>
      <c r="L7980" s="2">
        <v>271</v>
      </c>
    </row>
    <row r="7981" spans="1:12" x14ac:dyDescent="0.25">
      <c r="A7981" s="4" t="str">
        <f>HYPERLINK("http://www.rosaceae.org/Prunus/Prunus_persica/p.persica_gdr_reftransV1_0046060","p.persica_gdr_reftransV1_0046060")</f>
        <v>p.persica_gdr_reftransV1_0046060</v>
      </c>
      <c r="B7981" s="2">
        <v>677</v>
      </c>
      <c r="C7981" s="4" t="str">
        <f>HYPERLINK("http://www.uniprot.org/uniprot/M5VSU1","M5VSU1")</f>
        <v>M5VSU1</v>
      </c>
      <c r="D7981" s="2" t="s">
        <v>4438</v>
      </c>
      <c r="E7981" s="3">
        <v>1.3700000000000001E-73</v>
      </c>
      <c r="F7981" s="2">
        <v>647</v>
      </c>
      <c r="G7981" s="2">
        <v>100</v>
      </c>
      <c r="H7981" s="2">
        <v>113</v>
      </c>
      <c r="I7981" s="2">
        <v>2</v>
      </c>
      <c r="J7981" s="2">
        <v>340</v>
      </c>
      <c r="K7981" s="2">
        <v>1357</v>
      </c>
      <c r="L7981" s="2">
        <v>1469</v>
      </c>
    </row>
    <row r="7982" spans="1:12" x14ac:dyDescent="0.25">
      <c r="A7982" s="4" t="str">
        <f>HYPERLINK("http://www.rosaceae.org/Prunus/Prunus_persica/p.persica_gdr_reftransV1_0046410","p.persica_gdr_reftransV1_0046410")</f>
        <v>p.persica_gdr_reftransV1_0046410</v>
      </c>
      <c r="B7982" s="2">
        <v>2649</v>
      </c>
      <c r="C7982" s="4" t="str">
        <f>HYPERLINK("http://www.uniprot.org/uniprot/M5XJF3","M5XJF3")</f>
        <v>M5XJF3</v>
      </c>
      <c r="D7982" s="2" t="s">
        <v>7043</v>
      </c>
      <c r="E7982" s="3">
        <v>0</v>
      </c>
      <c r="F7982" s="2">
        <v>3217</v>
      </c>
      <c r="G7982" s="2">
        <v>100</v>
      </c>
      <c r="H7982" s="2">
        <v>653</v>
      </c>
      <c r="I7982" s="2">
        <v>331</v>
      </c>
      <c r="J7982" s="2">
        <v>2289</v>
      </c>
      <c r="K7982" s="2">
        <v>15</v>
      </c>
      <c r="L7982" s="2">
        <v>664</v>
      </c>
    </row>
    <row r="7983" spans="1:12" x14ac:dyDescent="0.25">
      <c r="A7983" s="4" t="str">
        <f>HYPERLINK("http://www.rosaceae.org/Prunus/Prunus_persica/p.persica_gdr_reftransV1_0047460","p.persica_gdr_reftransV1_0047460")</f>
        <v>p.persica_gdr_reftransV1_0047460</v>
      </c>
      <c r="B7983" s="2">
        <v>350</v>
      </c>
      <c r="C7983" s="4" t="str">
        <f>HYPERLINK("http://www.uniprot.org/uniprot/J7G586","J7G586")</f>
        <v>J7G586</v>
      </c>
      <c r="D7983" s="2" t="s">
        <v>298</v>
      </c>
      <c r="E7983" s="3">
        <v>1.2100000000000001E-31</v>
      </c>
      <c r="F7983" s="2">
        <v>320</v>
      </c>
      <c r="G7983" s="2">
        <v>49</v>
      </c>
      <c r="H7983" s="2">
        <v>117</v>
      </c>
      <c r="I7983" s="2">
        <v>1</v>
      </c>
      <c r="J7983" s="2">
        <v>348</v>
      </c>
      <c r="K7983" s="2">
        <v>503</v>
      </c>
      <c r="L7983" s="2">
        <v>619</v>
      </c>
    </row>
    <row r="7984" spans="1:12" x14ac:dyDescent="0.25">
      <c r="A7984" s="4" t="str">
        <f>HYPERLINK("http://www.rosaceae.org/Prunus/Prunus_persica/p.persica_gdr_reftransV1_0047810","p.persica_gdr_reftransV1_0047810")</f>
        <v>p.persica_gdr_reftransV1_0047810</v>
      </c>
      <c r="B7984" s="2">
        <v>3210</v>
      </c>
      <c r="C7984" s="4" t="str">
        <f>HYPERLINK("http://www.uniprot.org/uniprot/M5WJ58","M5WJ58")</f>
        <v>M5WJ58</v>
      </c>
      <c r="D7984" s="2" t="s">
        <v>1551</v>
      </c>
      <c r="E7984" s="3">
        <v>0</v>
      </c>
      <c r="F7984" s="2">
        <v>3555</v>
      </c>
      <c r="G7984" s="2">
        <v>100</v>
      </c>
      <c r="H7984" s="2">
        <v>773</v>
      </c>
      <c r="I7984" s="2">
        <v>539</v>
      </c>
      <c r="J7984" s="2">
        <v>2857</v>
      </c>
      <c r="K7984" s="2">
        <v>1</v>
      </c>
      <c r="L7984" s="2">
        <v>772</v>
      </c>
    </row>
    <row r="7985" spans="1:12" x14ac:dyDescent="0.25">
      <c r="A7985" s="4" t="str">
        <f>HYPERLINK("http://www.rosaceae.org/Prunus/Prunus_persica/p.persica_gdr_reftransV1_0048510","p.persica_gdr_reftransV1_0048510")</f>
        <v>p.persica_gdr_reftransV1_0048510</v>
      </c>
      <c r="B7985" s="2">
        <v>3076</v>
      </c>
      <c r="C7985" s="4" t="str">
        <f>HYPERLINK("http://www.uniprot.org/uniprot/K1L5E1","K1L5E1")</f>
        <v>K1L5E1</v>
      </c>
      <c r="D7985" s="2" t="s">
        <v>7044</v>
      </c>
      <c r="E7985" s="3">
        <v>3.2400000000000001E-32</v>
      </c>
      <c r="F7985" s="2">
        <v>342</v>
      </c>
      <c r="G7985" s="2">
        <v>45</v>
      </c>
      <c r="H7985" s="2">
        <v>171</v>
      </c>
      <c r="I7985" s="2">
        <v>2292</v>
      </c>
      <c r="J7985" s="2">
        <v>2804</v>
      </c>
      <c r="K7985" s="2">
        <v>11</v>
      </c>
      <c r="L7985" s="2">
        <v>173</v>
      </c>
    </row>
    <row r="7986" spans="1:12" x14ac:dyDescent="0.25">
      <c r="A7986" s="4" t="str">
        <f>HYPERLINK("http://www.rosaceae.org/Prunus/Prunus_persica/p.persica_gdr_reftransV1_0048860","p.persica_gdr_reftransV1_0048860")</f>
        <v>p.persica_gdr_reftransV1_0048860</v>
      </c>
      <c r="B7986" s="2">
        <v>735</v>
      </c>
      <c r="C7986" s="4" t="str">
        <f>HYPERLINK("http://www.uniprot.org/uniprot/M5X563","M5X563")</f>
        <v>M5X563</v>
      </c>
      <c r="D7986" s="2" t="s">
        <v>7045</v>
      </c>
      <c r="E7986" s="3">
        <v>9.1600000000000001E-176</v>
      </c>
      <c r="F7986" s="2">
        <v>1292</v>
      </c>
      <c r="G7986" s="2">
        <v>100</v>
      </c>
      <c r="H7986" s="2">
        <v>244</v>
      </c>
      <c r="I7986" s="2">
        <v>3</v>
      </c>
      <c r="J7986" s="2">
        <v>734</v>
      </c>
      <c r="K7986" s="2">
        <v>63</v>
      </c>
      <c r="L7986" s="2">
        <v>306</v>
      </c>
    </row>
    <row r="7987" spans="1:12" x14ac:dyDescent="0.25">
      <c r="A7987" s="4" t="str">
        <f>HYPERLINK("http://www.rosaceae.org/Prunus/Prunus_persica/p.persica_gdr_reftransV1_0000021","p.persica_gdr_reftransV1_0000021")</f>
        <v>p.persica_gdr_reftransV1_0000021</v>
      </c>
      <c r="B7987" s="2">
        <v>1541</v>
      </c>
      <c r="C7987" s="4" t="str">
        <f>HYPERLINK("http://www.uniprot.org/uniprot/M5VVV0","M5VVV0")</f>
        <v>M5VVV0</v>
      </c>
      <c r="D7987" s="2" t="s">
        <v>3645</v>
      </c>
      <c r="E7987" s="3">
        <v>0</v>
      </c>
      <c r="F7987" s="2">
        <v>2134</v>
      </c>
      <c r="G7987" s="2">
        <v>100</v>
      </c>
      <c r="H7987" s="2">
        <v>456</v>
      </c>
      <c r="I7987" s="2">
        <v>173</v>
      </c>
      <c r="J7987" s="2">
        <v>1540</v>
      </c>
      <c r="K7987" s="2">
        <v>13</v>
      </c>
      <c r="L7987" s="2">
        <v>468</v>
      </c>
    </row>
    <row r="7988" spans="1:12" x14ac:dyDescent="0.25">
      <c r="A7988" s="4" t="str">
        <f>HYPERLINK("http://www.rosaceae.org/Prunus/Prunus_persica/p.persica_gdr_reftransV1_0000371","p.persica_gdr_reftransV1_0000371")</f>
        <v>p.persica_gdr_reftransV1_0000371</v>
      </c>
      <c r="B7988" s="2">
        <v>1263</v>
      </c>
      <c r="C7988" s="4" t="str">
        <f>HYPERLINK("http://www.uniprot.org/uniprot/B9SSI0","B9SSI0")</f>
        <v>B9SSI0</v>
      </c>
      <c r="D7988" s="2" t="s">
        <v>7046</v>
      </c>
      <c r="E7988" s="3">
        <v>0</v>
      </c>
      <c r="F7988" s="2">
        <v>1475</v>
      </c>
      <c r="G7988" s="2">
        <v>79</v>
      </c>
      <c r="H7988" s="2">
        <v>361</v>
      </c>
      <c r="I7988" s="2">
        <v>107</v>
      </c>
      <c r="J7988" s="2">
        <v>1159</v>
      </c>
      <c r="K7988" s="2">
        <v>1</v>
      </c>
      <c r="L7988" s="2">
        <v>361</v>
      </c>
    </row>
    <row r="7989" spans="1:12" x14ac:dyDescent="0.25">
      <c r="A7989" s="4" t="str">
        <f>HYPERLINK("http://www.rosaceae.org/Prunus/Prunus_persica/p.persica_gdr_reftransV1_0000721","p.persica_gdr_reftransV1_0000721")</f>
        <v>p.persica_gdr_reftransV1_0000721</v>
      </c>
      <c r="B7989" s="2">
        <v>2052</v>
      </c>
      <c r="C7989" s="4" t="str">
        <f>HYPERLINK("http://www.uniprot.org/uniprot/M5X3W3","M5X3W3")</f>
        <v>M5X3W3</v>
      </c>
      <c r="D7989" s="2" t="s">
        <v>7047</v>
      </c>
      <c r="E7989" s="3">
        <v>0</v>
      </c>
      <c r="F7989" s="2">
        <v>3125</v>
      </c>
      <c r="G7989" s="2">
        <v>99</v>
      </c>
      <c r="H7989" s="2">
        <v>615</v>
      </c>
      <c r="I7989" s="2">
        <v>208</v>
      </c>
      <c r="J7989" s="2">
        <v>2052</v>
      </c>
      <c r="K7989" s="2">
        <v>54</v>
      </c>
      <c r="L7989" s="2">
        <v>663</v>
      </c>
    </row>
    <row r="7990" spans="1:12" x14ac:dyDescent="0.25">
      <c r="A7990" s="4" t="str">
        <f>HYPERLINK("http://www.rosaceae.org/Prunus/Prunus_persica/p.persica_gdr_reftransV1_0001071","p.persica_gdr_reftransV1_0001071")</f>
        <v>p.persica_gdr_reftransV1_0001071</v>
      </c>
      <c r="B7990" s="2">
        <v>407</v>
      </c>
      <c r="C7990" s="4" t="str">
        <f>HYPERLINK("http://www.uniprot.org/uniprot/M5WGF3","M5WGF3")</f>
        <v>M5WGF3</v>
      </c>
      <c r="D7990" s="2" t="s">
        <v>2122</v>
      </c>
      <c r="E7990" s="3">
        <v>7.3700000000000005E-79</v>
      </c>
      <c r="F7990" s="2">
        <v>668</v>
      </c>
      <c r="G7990" s="2">
        <v>100</v>
      </c>
      <c r="H7990" s="2">
        <v>124</v>
      </c>
      <c r="I7990" s="2">
        <v>35</v>
      </c>
      <c r="J7990" s="2">
        <v>406</v>
      </c>
      <c r="K7990" s="2">
        <v>1</v>
      </c>
      <c r="L7990" s="2">
        <v>124</v>
      </c>
    </row>
    <row r="7991" spans="1:12" x14ac:dyDescent="0.25">
      <c r="A7991" s="4" t="str">
        <f>HYPERLINK("http://www.rosaceae.org/Prunus/Prunus_persica/p.persica_gdr_reftransV1_0001421","p.persica_gdr_reftransV1_0001421")</f>
        <v>p.persica_gdr_reftransV1_0001421</v>
      </c>
      <c r="B7991" s="2">
        <v>1037</v>
      </c>
      <c r="C7991" s="4" t="str">
        <f>HYPERLINK("http://www.uniprot.org/uniprot/M5XTE5","M5XTE5")</f>
        <v>M5XTE5</v>
      </c>
      <c r="D7991" s="2" t="s">
        <v>7048</v>
      </c>
      <c r="E7991" s="3">
        <v>4.3499999999999996E-81</v>
      </c>
      <c r="F7991" s="2">
        <v>652</v>
      </c>
      <c r="G7991" s="2">
        <v>100</v>
      </c>
      <c r="H7991" s="2">
        <v>138</v>
      </c>
      <c r="I7991" s="2">
        <v>272</v>
      </c>
      <c r="J7991" s="2">
        <v>685</v>
      </c>
      <c r="K7991" s="2">
        <v>18</v>
      </c>
      <c r="L7991" s="2">
        <v>155</v>
      </c>
    </row>
    <row r="7992" spans="1:12" x14ac:dyDescent="0.25">
      <c r="A7992" s="4" t="str">
        <f>HYPERLINK("http://www.rosaceae.org/Prunus/Prunus_persica/p.persica_gdr_reftransV1_0001771","p.persica_gdr_reftransV1_0001771")</f>
        <v>p.persica_gdr_reftransV1_0001771</v>
      </c>
      <c r="B7992" s="2">
        <v>386</v>
      </c>
      <c r="C7992" s="4" t="str">
        <f>HYPERLINK("http://www.uniprot.org/uniprot/M5W4U0","M5W4U0")</f>
        <v>M5W4U0</v>
      </c>
      <c r="D7992" s="2" t="s">
        <v>7049</v>
      </c>
      <c r="E7992" s="3">
        <v>6.7800000000000005E-69</v>
      </c>
      <c r="F7992" s="2">
        <v>566</v>
      </c>
      <c r="G7992" s="2">
        <v>82</v>
      </c>
      <c r="H7992" s="2">
        <v>125</v>
      </c>
      <c r="I7992" s="2">
        <v>10</v>
      </c>
      <c r="J7992" s="2">
        <v>384</v>
      </c>
      <c r="K7992" s="2">
        <v>229</v>
      </c>
      <c r="L7992" s="2">
        <v>353</v>
      </c>
    </row>
    <row r="7993" spans="1:12" x14ac:dyDescent="0.25">
      <c r="A7993" s="4" t="str">
        <f>HYPERLINK("http://www.rosaceae.org/Prunus/Prunus_persica/p.persica_gdr_reftransV1_0002821","p.persica_gdr_reftransV1_0002821")</f>
        <v>p.persica_gdr_reftransV1_0002821</v>
      </c>
      <c r="B7993" s="2">
        <v>311</v>
      </c>
      <c r="C7993" s="4" t="str">
        <f>HYPERLINK("http://www.uniprot.org/uniprot/M5VX64","M5VX64")</f>
        <v>M5VX64</v>
      </c>
      <c r="D7993" s="2" t="s">
        <v>5653</v>
      </c>
      <c r="E7993" s="3">
        <v>3.5100000000000003E-63</v>
      </c>
      <c r="F7993" s="2">
        <v>534</v>
      </c>
      <c r="G7993" s="2">
        <v>100</v>
      </c>
      <c r="H7993" s="2">
        <v>103</v>
      </c>
      <c r="I7993" s="2">
        <v>2</v>
      </c>
      <c r="J7993" s="2">
        <v>310</v>
      </c>
      <c r="K7993" s="2">
        <v>30</v>
      </c>
      <c r="L7993" s="2">
        <v>132</v>
      </c>
    </row>
    <row r="7994" spans="1:12" x14ac:dyDescent="0.25">
      <c r="A7994" s="4" t="str">
        <f>HYPERLINK("http://www.rosaceae.org/Prunus/Prunus_persica/p.persica_gdr_reftransV1_0003171","p.persica_gdr_reftransV1_0003171")</f>
        <v>p.persica_gdr_reftransV1_0003171</v>
      </c>
      <c r="B7994" s="2">
        <v>1485</v>
      </c>
      <c r="C7994" s="4" t="str">
        <f>HYPERLINK("http://www.uniprot.org/uniprot/M5WI78","M5WI78")</f>
        <v>M5WI78</v>
      </c>
      <c r="D7994" s="2" t="s">
        <v>2874</v>
      </c>
      <c r="E7994" s="3">
        <v>0</v>
      </c>
      <c r="F7994" s="2">
        <v>1597</v>
      </c>
      <c r="G7994" s="2">
        <v>100</v>
      </c>
      <c r="H7994" s="2">
        <v>301</v>
      </c>
      <c r="I7994" s="2">
        <v>194</v>
      </c>
      <c r="J7994" s="2">
        <v>1096</v>
      </c>
      <c r="K7994" s="2">
        <v>99</v>
      </c>
      <c r="L7994" s="2">
        <v>399</v>
      </c>
    </row>
    <row r="7995" spans="1:12" x14ac:dyDescent="0.25">
      <c r="A7995" s="4" t="str">
        <f>HYPERLINK("http://www.rosaceae.org/Prunus/Prunus_persica/p.persica_gdr_reftransV1_0003521","p.persica_gdr_reftransV1_0003521")</f>
        <v>p.persica_gdr_reftransV1_0003521</v>
      </c>
      <c r="B7995" s="2">
        <v>784</v>
      </c>
      <c r="C7995" s="4" t="str">
        <f>HYPERLINK("http://www.uniprot.org/uniprot/M5W018","M5W018")</f>
        <v>M5W018</v>
      </c>
      <c r="D7995" s="2" t="s">
        <v>7050</v>
      </c>
      <c r="E7995" s="3">
        <v>2.6299999999999998E-142</v>
      </c>
      <c r="F7995" s="2">
        <v>1054</v>
      </c>
      <c r="G7995" s="2">
        <v>100</v>
      </c>
      <c r="H7995" s="2">
        <v>199</v>
      </c>
      <c r="I7995" s="2">
        <v>187</v>
      </c>
      <c r="J7995" s="2">
        <v>783</v>
      </c>
      <c r="K7995" s="2">
        <v>22</v>
      </c>
      <c r="L7995" s="2">
        <v>220</v>
      </c>
    </row>
    <row r="7996" spans="1:12" x14ac:dyDescent="0.25">
      <c r="A7996" s="4" t="str">
        <f>HYPERLINK("http://www.rosaceae.org/Prunus/Prunus_persica/p.persica_gdr_reftransV1_0003871","p.persica_gdr_reftransV1_0003871")</f>
        <v>p.persica_gdr_reftransV1_0003871</v>
      </c>
      <c r="B7996" s="2">
        <v>3873</v>
      </c>
      <c r="C7996" s="4" t="str">
        <f>HYPERLINK("http://www.uniprot.org/uniprot/M5WGZ3","M5WGZ3")</f>
        <v>M5WGZ3</v>
      </c>
      <c r="D7996" s="2" t="s">
        <v>7051</v>
      </c>
      <c r="E7996" s="3">
        <v>0</v>
      </c>
      <c r="F7996" s="2">
        <v>2324</v>
      </c>
      <c r="G7996" s="2">
        <v>100</v>
      </c>
      <c r="H7996" s="2">
        <v>500</v>
      </c>
      <c r="I7996" s="2">
        <v>2025</v>
      </c>
      <c r="J7996" s="2">
        <v>3524</v>
      </c>
      <c r="K7996" s="2">
        <v>1</v>
      </c>
      <c r="L7996" s="2">
        <v>500</v>
      </c>
    </row>
    <row r="7997" spans="1:12" x14ac:dyDescent="0.25">
      <c r="A7997" s="4" t="str">
        <f>HYPERLINK("http://www.rosaceae.org/Prunus/Prunus_persica/p.persica_gdr_reftransV1_0004221","p.persica_gdr_reftransV1_0004221")</f>
        <v>p.persica_gdr_reftransV1_0004221</v>
      </c>
      <c r="B7997" s="2">
        <v>1357</v>
      </c>
      <c r="C7997" s="4" t="str">
        <f>HYPERLINK("http://www.uniprot.org/uniprot/M5XSE7","M5XSE7")</f>
        <v>M5XSE7</v>
      </c>
      <c r="D7997" s="2" t="s">
        <v>7052</v>
      </c>
      <c r="E7997" s="3">
        <v>4.9100000000000001E-165</v>
      </c>
      <c r="F7997" s="2">
        <v>1229</v>
      </c>
      <c r="G7997" s="2">
        <v>100</v>
      </c>
      <c r="H7997" s="2">
        <v>267</v>
      </c>
      <c r="I7997" s="2">
        <v>409</v>
      </c>
      <c r="J7997" s="2">
        <v>1209</v>
      </c>
      <c r="K7997" s="2">
        <v>1</v>
      </c>
      <c r="L7997" s="2">
        <v>267</v>
      </c>
    </row>
    <row r="7998" spans="1:12" x14ac:dyDescent="0.25">
      <c r="A7998" s="4" t="str">
        <f>HYPERLINK("http://www.rosaceae.org/Prunus/Prunus_persica/p.persica_gdr_reftransV1_0004571","p.persica_gdr_reftransV1_0004571")</f>
        <v>p.persica_gdr_reftransV1_0004571</v>
      </c>
      <c r="B7998" s="2">
        <v>1735</v>
      </c>
      <c r="C7998" s="4" t="str">
        <f>HYPERLINK("http://www.uniprot.org/uniprot/M5VLZ4","M5VLZ4")</f>
        <v>M5VLZ4</v>
      </c>
      <c r="D7998" s="2" t="s">
        <v>7053</v>
      </c>
      <c r="E7998" s="3">
        <v>0</v>
      </c>
      <c r="F7998" s="2">
        <v>2520</v>
      </c>
      <c r="G7998" s="2">
        <v>100</v>
      </c>
      <c r="H7998" s="2">
        <v>469</v>
      </c>
      <c r="I7998" s="2">
        <v>221</v>
      </c>
      <c r="J7998" s="2">
        <v>1627</v>
      </c>
      <c r="K7998" s="2">
        <v>1</v>
      </c>
      <c r="L7998" s="2">
        <v>469</v>
      </c>
    </row>
    <row r="7999" spans="1:12" x14ac:dyDescent="0.25">
      <c r="A7999" s="4" t="str">
        <f>HYPERLINK("http://www.rosaceae.org/Prunus/Prunus_persica/p.persica_gdr_reftransV1_0004921","p.persica_gdr_reftransV1_0004921")</f>
        <v>p.persica_gdr_reftransV1_0004921</v>
      </c>
      <c r="B7999" s="2">
        <v>873</v>
      </c>
      <c r="C7999" s="4" t="str">
        <f>HYPERLINK("http://www.uniprot.org/uniprot/M5Y6J8","M5Y6J8")</f>
        <v>M5Y6J8</v>
      </c>
      <c r="D7999" s="2" t="s">
        <v>7054</v>
      </c>
      <c r="E7999" s="3">
        <v>2.1599999999999999E-77</v>
      </c>
      <c r="F7999" s="2">
        <v>653</v>
      </c>
      <c r="G7999" s="2">
        <v>84</v>
      </c>
      <c r="H7999" s="2">
        <v>182</v>
      </c>
      <c r="I7999" s="2">
        <v>170</v>
      </c>
      <c r="J7999" s="2">
        <v>688</v>
      </c>
      <c r="K7999" s="2">
        <v>10</v>
      </c>
      <c r="L7999" s="2">
        <v>191</v>
      </c>
    </row>
    <row r="8000" spans="1:12" x14ac:dyDescent="0.25">
      <c r="A8000" s="4" t="str">
        <f>HYPERLINK("http://www.rosaceae.org/Prunus/Prunus_persica/p.persica_gdr_reftransV1_0005271","p.persica_gdr_reftransV1_0005271")</f>
        <v>p.persica_gdr_reftransV1_0005271</v>
      </c>
      <c r="B8000" s="2">
        <v>1998</v>
      </c>
      <c r="C8000" s="4" t="str">
        <f>HYPERLINK("http://www.uniprot.org/uniprot/M5XJ71","M5XJ71")</f>
        <v>M5XJ71</v>
      </c>
      <c r="D8000" s="2" t="s">
        <v>1443</v>
      </c>
      <c r="E8000" s="3">
        <v>0</v>
      </c>
      <c r="F8000" s="2">
        <v>2385</v>
      </c>
      <c r="G8000" s="2">
        <v>100</v>
      </c>
      <c r="H8000" s="2">
        <v>487</v>
      </c>
      <c r="I8000" s="2">
        <v>402</v>
      </c>
      <c r="J8000" s="2">
        <v>1862</v>
      </c>
      <c r="K8000" s="2">
        <v>1</v>
      </c>
      <c r="L8000" s="2">
        <v>486</v>
      </c>
    </row>
    <row r="8001" spans="1:12" x14ac:dyDescent="0.25">
      <c r="A8001" s="4" t="str">
        <f>HYPERLINK("http://www.rosaceae.org/Prunus/Prunus_persica/p.persica_gdr_reftransV1_0005621","p.persica_gdr_reftransV1_0005621")</f>
        <v>p.persica_gdr_reftransV1_0005621</v>
      </c>
      <c r="B8001" s="2">
        <v>555</v>
      </c>
      <c r="C8001" s="4" t="str">
        <f>HYPERLINK("http://www.uniprot.org/uniprot/M5VNC6","M5VNC6")</f>
        <v>M5VNC6</v>
      </c>
      <c r="D8001" s="2" t="s">
        <v>449</v>
      </c>
      <c r="E8001" s="3">
        <v>2.9700000000000001E-106</v>
      </c>
      <c r="F8001" s="2">
        <v>827</v>
      </c>
      <c r="G8001" s="2">
        <v>100</v>
      </c>
      <c r="H8001" s="2">
        <v>170</v>
      </c>
      <c r="I8001" s="2">
        <v>44</v>
      </c>
      <c r="J8001" s="2">
        <v>553</v>
      </c>
      <c r="K8001" s="2">
        <v>147</v>
      </c>
      <c r="L8001" s="2">
        <v>316</v>
      </c>
    </row>
    <row r="8002" spans="1:12" x14ac:dyDescent="0.25">
      <c r="A8002" s="4" t="str">
        <f>HYPERLINK("http://www.rosaceae.org/Prunus/Prunus_persica/p.persica_gdr_reftransV1_0006321","p.persica_gdr_reftransV1_0006321")</f>
        <v>p.persica_gdr_reftransV1_0006321</v>
      </c>
      <c r="B8002" s="2">
        <v>671</v>
      </c>
      <c r="C8002" s="4" t="str">
        <f>HYPERLINK("http://www.uniprot.org/uniprot/M5X850","M5X850")</f>
        <v>M5X850</v>
      </c>
      <c r="D8002" s="2" t="s">
        <v>7055</v>
      </c>
      <c r="E8002" s="3">
        <v>6.5200000000000001E-57</v>
      </c>
      <c r="F8002" s="2">
        <v>474</v>
      </c>
      <c r="G8002" s="2">
        <v>100</v>
      </c>
      <c r="H8002" s="2">
        <v>89</v>
      </c>
      <c r="I8002" s="2">
        <v>133</v>
      </c>
      <c r="J8002" s="2">
        <v>399</v>
      </c>
      <c r="K8002" s="2">
        <v>1</v>
      </c>
      <c r="L8002" s="2">
        <v>89</v>
      </c>
    </row>
    <row r="8003" spans="1:12" x14ac:dyDescent="0.25">
      <c r="A8003" s="4" t="str">
        <f>HYPERLINK("http://www.rosaceae.org/Prunus/Prunus_persica/p.persica_gdr_reftransV1_0006671","p.persica_gdr_reftransV1_0006671")</f>
        <v>p.persica_gdr_reftransV1_0006671</v>
      </c>
      <c r="B8003" s="2">
        <v>1473</v>
      </c>
      <c r="C8003" s="4" t="str">
        <f>HYPERLINK("http://www.uniprot.org/uniprot/M5WM08","M5WM08")</f>
        <v>M5WM08</v>
      </c>
      <c r="D8003" s="2" t="s">
        <v>7056</v>
      </c>
      <c r="E8003" s="3">
        <v>0</v>
      </c>
      <c r="F8003" s="2">
        <v>2106</v>
      </c>
      <c r="G8003" s="2">
        <v>100</v>
      </c>
      <c r="H8003" s="2">
        <v>419</v>
      </c>
      <c r="I8003" s="2">
        <v>28</v>
      </c>
      <c r="J8003" s="2">
        <v>1284</v>
      </c>
      <c r="K8003" s="2">
        <v>10</v>
      </c>
      <c r="L8003" s="2">
        <v>428</v>
      </c>
    </row>
    <row r="8004" spans="1:12" x14ac:dyDescent="0.25">
      <c r="A8004" s="4" t="str">
        <f>HYPERLINK("http://www.rosaceae.org/Prunus/Prunus_persica/p.persica_gdr_reftransV1_0007021","p.persica_gdr_reftransV1_0007021")</f>
        <v>p.persica_gdr_reftransV1_0007021</v>
      </c>
      <c r="B8004" s="2">
        <v>1938</v>
      </c>
      <c r="C8004" s="4" t="str">
        <f>HYPERLINK("http://www.uniprot.org/uniprot/M5WJR8","M5WJR8")</f>
        <v>M5WJR8</v>
      </c>
      <c r="D8004" s="2" t="s">
        <v>7057</v>
      </c>
      <c r="E8004" s="3">
        <v>0</v>
      </c>
      <c r="F8004" s="2">
        <v>3066</v>
      </c>
      <c r="G8004" s="2">
        <v>100</v>
      </c>
      <c r="H8004" s="2">
        <v>568</v>
      </c>
      <c r="I8004" s="2">
        <v>221</v>
      </c>
      <c r="J8004" s="2">
        <v>1924</v>
      </c>
      <c r="K8004" s="2">
        <v>1</v>
      </c>
      <c r="L8004" s="2">
        <v>568</v>
      </c>
    </row>
    <row r="8005" spans="1:12" x14ac:dyDescent="0.25">
      <c r="A8005" s="4" t="str">
        <f>HYPERLINK("http://www.rosaceae.org/Prunus/Prunus_persica/p.persica_gdr_reftransV1_0007371","p.persica_gdr_reftransV1_0007371")</f>
        <v>p.persica_gdr_reftransV1_0007371</v>
      </c>
      <c r="B8005" s="2">
        <v>719</v>
      </c>
      <c r="C8005" s="4" t="str">
        <f>HYPERLINK("http://www.uniprot.org/uniprot/M5Y070","M5Y070")</f>
        <v>M5Y070</v>
      </c>
      <c r="D8005" s="2" t="s">
        <v>7058</v>
      </c>
      <c r="E8005" s="3">
        <v>5.5599999999999999E-74</v>
      </c>
      <c r="F8005" s="2">
        <v>593</v>
      </c>
      <c r="G8005" s="2">
        <v>100</v>
      </c>
      <c r="H8005" s="2">
        <v>128</v>
      </c>
      <c r="I8005" s="2">
        <v>2</v>
      </c>
      <c r="J8005" s="2">
        <v>385</v>
      </c>
      <c r="K8005" s="2">
        <v>9</v>
      </c>
      <c r="L8005" s="2">
        <v>136</v>
      </c>
    </row>
    <row r="8006" spans="1:12" x14ac:dyDescent="0.25">
      <c r="A8006" s="4" t="str">
        <f>HYPERLINK("http://www.rosaceae.org/Prunus/Prunus_persica/p.persica_gdr_reftransV1_0007721","p.persica_gdr_reftransV1_0007721")</f>
        <v>p.persica_gdr_reftransV1_0007721</v>
      </c>
      <c r="B8006" s="2">
        <v>2231</v>
      </c>
      <c r="C8006" s="4" t="str">
        <f>HYPERLINK("http://www.uniprot.org/uniprot/M5WBI5","M5WBI5")</f>
        <v>M5WBI5</v>
      </c>
      <c r="D8006" s="2" t="s">
        <v>7059</v>
      </c>
      <c r="E8006" s="3">
        <v>0</v>
      </c>
      <c r="F8006" s="2">
        <v>2796</v>
      </c>
      <c r="G8006" s="2">
        <v>100</v>
      </c>
      <c r="H8006" s="2">
        <v>535</v>
      </c>
      <c r="I8006" s="2">
        <v>221</v>
      </c>
      <c r="J8006" s="2">
        <v>1825</v>
      </c>
      <c r="K8006" s="2">
        <v>1</v>
      </c>
      <c r="L8006" s="2">
        <v>535</v>
      </c>
    </row>
    <row r="8007" spans="1:12" x14ac:dyDescent="0.25">
      <c r="A8007" s="4" t="str">
        <f>HYPERLINK("http://www.rosaceae.org/Prunus/Prunus_persica/p.persica_gdr_reftransV1_0008071","p.persica_gdr_reftransV1_0008071")</f>
        <v>p.persica_gdr_reftransV1_0008071</v>
      </c>
      <c r="B8007" s="2">
        <v>3955</v>
      </c>
      <c r="C8007" s="4" t="str">
        <f>HYPERLINK("http://www.uniprot.org/uniprot/M5WRX2","M5WRX2")</f>
        <v>M5WRX2</v>
      </c>
      <c r="D8007" s="2" t="s">
        <v>7060</v>
      </c>
      <c r="E8007" s="3">
        <v>0</v>
      </c>
      <c r="F8007" s="2">
        <v>4767</v>
      </c>
      <c r="G8007" s="2">
        <v>100</v>
      </c>
      <c r="H8007" s="2">
        <v>974</v>
      </c>
      <c r="I8007" s="2">
        <v>468</v>
      </c>
      <c r="J8007" s="2">
        <v>3389</v>
      </c>
      <c r="K8007" s="2">
        <v>1</v>
      </c>
      <c r="L8007" s="2">
        <v>974</v>
      </c>
    </row>
    <row r="8008" spans="1:12" x14ac:dyDescent="0.25">
      <c r="A8008" s="4" t="str">
        <f>HYPERLINK("http://www.rosaceae.org/Prunus/Prunus_persica/p.persica_gdr_reftransV1_0008421","p.persica_gdr_reftransV1_0008421")</f>
        <v>p.persica_gdr_reftransV1_0008421</v>
      </c>
      <c r="B8008" s="2">
        <v>1236</v>
      </c>
      <c r="C8008" s="4" t="str">
        <f>HYPERLINK("http://www.uniprot.org/uniprot/M5X396","M5X396")</f>
        <v>M5X396</v>
      </c>
      <c r="D8008" s="2" t="s">
        <v>6100</v>
      </c>
      <c r="E8008" s="3">
        <v>8.6400000000000004E-148</v>
      </c>
      <c r="F8008" s="2">
        <v>1106</v>
      </c>
      <c r="G8008" s="2">
        <v>100</v>
      </c>
      <c r="H8008" s="2">
        <v>218</v>
      </c>
      <c r="I8008" s="2">
        <v>488</v>
      </c>
      <c r="J8008" s="2">
        <v>1141</v>
      </c>
      <c r="K8008" s="2">
        <v>1</v>
      </c>
      <c r="L8008" s="2">
        <v>218</v>
      </c>
    </row>
    <row r="8009" spans="1:12" x14ac:dyDescent="0.25">
      <c r="A8009" s="4" t="str">
        <f>HYPERLINK("http://www.rosaceae.org/Prunus/Prunus_persica/p.persica_gdr_reftransV1_0008771","p.persica_gdr_reftransV1_0008771")</f>
        <v>p.persica_gdr_reftransV1_0008771</v>
      </c>
      <c r="B8009" s="2">
        <v>1062</v>
      </c>
      <c r="C8009" s="4" t="str">
        <f>HYPERLINK("http://www.uniprot.org/uniprot/M5X4J1","M5X4J1")</f>
        <v>M5X4J1</v>
      </c>
      <c r="D8009" s="2" t="s">
        <v>7061</v>
      </c>
      <c r="E8009" s="3">
        <v>9.0599999999999994E-54</v>
      </c>
      <c r="F8009" s="2">
        <v>496</v>
      </c>
      <c r="G8009" s="2">
        <v>49</v>
      </c>
      <c r="H8009" s="2">
        <v>283</v>
      </c>
      <c r="I8009" s="2">
        <v>213</v>
      </c>
      <c r="J8009" s="2">
        <v>1025</v>
      </c>
      <c r="K8009" s="2">
        <v>240</v>
      </c>
      <c r="L8009" s="2">
        <v>489</v>
      </c>
    </row>
    <row r="8010" spans="1:12" x14ac:dyDescent="0.25">
      <c r="A8010" s="4" t="str">
        <f>HYPERLINK("http://www.rosaceae.org/Prunus/Prunus_persica/p.persica_gdr_reftransV1_0009121","p.persica_gdr_reftransV1_0009121")</f>
        <v>p.persica_gdr_reftransV1_0009121</v>
      </c>
      <c r="B8010" s="2">
        <v>1846</v>
      </c>
      <c r="C8010" s="4" t="str">
        <f>HYPERLINK("http://www.uniprot.org/uniprot/M5W870","M5W870")</f>
        <v>M5W870</v>
      </c>
      <c r="D8010" s="2" t="s">
        <v>7062</v>
      </c>
      <c r="E8010" s="3">
        <v>0</v>
      </c>
      <c r="F8010" s="2">
        <v>1974</v>
      </c>
      <c r="G8010" s="2">
        <v>100</v>
      </c>
      <c r="H8010" s="2">
        <v>406</v>
      </c>
      <c r="I8010" s="2">
        <v>85</v>
      </c>
      <c r="J8010" s="2">
        <v>1302</v>
      </c>
      <c r="K8010" s="2">
        <v>1</v>
      </c>
      <c r="L8010" s="2">
        <v>406</v>
      </c>
    </row>
    <row r="8011" spans="1:12" x14ac:dyDescent="0.25">
      <c r="A8011" s="4" t="str">
        <f>HYPERLINK("http://www.rosaceae.org/Prunus/Prunus_persica/p.persica_gdr_reftransV1_0010521","p.persica_gdr_reftransV1_0010521")</f>
        <v>p.persica_gdr_reftransV1_0010521</v>
      </c>
      <c r="B8011" s="2">
        <v>1250</v>
      </c>
      <c r="C8011" s="4" t="str">
        <f>HYPERLINK("http://www.uniprot.org/uniprot/M5WH40","M5WH40")</f>
        <v>M5WH40</v>
      </c>
      <c r="D8011" s="2" t="s">
        <v>7063</v>
      </c>
      <c r="E8011" s="3">
        <v>2.2999999999999999E-164</v>
      </c>
      <c r="F8011" s="2">
        <v>1252</v>
      </c>
      <c r="G8011" s="2">
        <v>100</v>
      </c>
      <c r="H8011" s="2">
        <v>233</v>
      </c>
      <c r="I8011" s="2">
        <v>3</v>
      </c>
      <c r="J8011" s="2">
        <v>701</v>
      </c>
      <c r="K8011" s="2">
        <v>349</v>
      </c>
      <c r="L8011" s="2">
        <v>581</v>
      </c>
    </row>
    <row r="8012" spans="1:12" x14ac:dyDescent="0.25">
      <c r="A8012" s="4" t="str">
        <f>HYPERLINK("http://www.rosaceae.org/Prunus/Prunus_persica/p.persica_gdr_reftransV1_0010871","p.persica_gdr_reftransV1_0010871")</f>
        <v>p.persica_gdr_reftransV1_0010871</v>
      </c>
      <c r="B8012" s="2">
        <v>706</v>
      </c>
      <c r="C8012" s="4" t="str">
        <f>HYPERLINK("http://www.uniprot.org/uniprot/M5VK57","M5VK57")</f>
        <v>M5VK57</v>
      </c>
      <c r="D8012" s="2" t="s">
        <v>7064</v>
      </c>
      <c r="E8012" s="3">
        <v>5.33E-34</v>
      </c>
      <c r="F8012" s="2">
        <v>346</v>
      </c>
      <c r="G8012" s="2">
        <v>100</v>
      </c>
      <c r="H8012" s="2">
        <v>103</v>
      </c>
      <c r="I8012" s="2">
        <v>2</v>
      </c>
      <c r="J8012" s="2">
        <v>310</v>
      </c>
      <c r="K8012" s="2">
        <v>514</v>
      </c>
      <c r="L8012" s="2">
        <v>616</v>
      </c>
    </row>
    <row r="8013" spans="1:12" x14ac:dyDescent="0.25">
      <c r="A8013" s="4" t="str">
        <f>HYPERLINK("http://www.rosaceae.org/Prunus/Prunus_persica/p.persica_gdr_reftransV1_0011221","p.persica_gdr_reftransV1_0011221")</f>
        <v>p.persica_gdr_reftransV1_0011221</v>
      </c>
      <c r="B8013" s="2">
        <v>1853</v>
      </c>
      <c r="C8013" s="4" t="str">
        <f>HYPERLINK("http://www.uniprot.org/uniprot/M5XXJ4","M5XXJ4")</f>
        <v>M5XXJ4</v>
      </c>
      <c r="D8013" s="2" t="s">
        <v>7065</v>
      </c>
      <c r="E8013" s="3">
        <v>0</v>
      </c>
      <c r="F8013" s="2">
        <v>1965</v>
      </c>
      <c r="G8013" s="2">
        <v>100</v>
      </c>
      <c r="H8013" s="2">
        <v>404</v>
      </c>
      <c r="I8013" s="2">
        <v>2</v>
      </c>
      <c r="J8013" s="2">
        <v>1213</v>
      </c>
      <c r="K8013" s="2">
        <v>5</v>
      </c>
      <c r="L8013" s="2">
        <v>408</v>
      </c>
    </row>
    <row r="8014" spans="1:12" x14ac:dyDescent="0.25">
      <c r="A8014" s="4" t="str">
        <f>HYPERLINK("http://www.rosaceae.org/Prunus/Prunus_persica/p.persica_gdr_reftransV1_0011571","p.persica_gdr_reftransV1_0011571")</f>
        <v>p.persica_gdr_reftransV1_0011571</v>
      </c>
      <c r="B8014" s="2">
        <v>600</v>
      </c>
      <c r="C8014" s="4" t="str">
        <f>HYPERLINK("http://www.uniprot.org/uniprot/M5W4D1","M5W4D1")</f>
        <v>M5W4D1</v>
      </c>
      <c r="D8014" s="2" t="s">
        <v>2992</v>
      </c>
      <c r="E8014" s="3">
        <v>7.8900000000000007E-86</v>
      </c>
      <c r="F8014" s="2">
        <v>617</v>
      </c>
      <c r="G8014" s="2">
        <v>100</v>
      </c>
      <c r="H8014" s="2">
        <v>122</v>
      </c>
      <c r="I8014" s="2">
        <v>235</v>
      </c>
      <c r="J8014" s="2">
        <v>600</v>
      </c>
      <c r="K8014" s="2">
        <v>95</v>
      </c>
      <c r="L8014" s="2">
        <v>216</v>
      </c>
    </row>
    <row r="8015" spans="1:12" x14ac:dyDescent="0.25">
      <c r="A8015" s="4" t="str">
        <f>HYPERLINK("http://www.rosaceae.org/Prunus/Prunus_persica/p.persica_gdr_reftransV1_0012271","p.persica_gdr_reftransV1_0012271")</f>
        <v>p.persica_gdr_reftransV1_0012271</v>
      </c>
      <c r="B8015" s="2">
        <v>967</v>
      </c>
      <c r="C8015" s="4" t="str">
        <f>HYPERLINK("http://www.uniprot.org/uniprot/M5WZK8","M5WZK8")</f>
        <v>M5WZK8</v>
      </c>
      <c r="D8015" s="2" t="s">
        <v>2645</v>
      </c>
      <c r="E8015" s="3">
        <v>7.3300000000000004E-15</v>
      </c>
      <c r="F8015" s="2">
        <v>209</v>
      </c>
      <c r="G8015" s="2">
        <v>82</v>
      </c>
      <c r="H8015" s="2">
        <v>50</v>
      </c>
      <c r="I8015" s="2">
        <v>18</v>
      </c>
      <c r="J8015" s="2">
        <v>167</v>
      </c>
      <c r="K8015" s="2">
        <v>146</v>
      </c>
      <c r="L8015" s="2">
        <v>195</v>
      </c>
    </row>
    <row r="8016" spans="1:12" x14ac:dyDescent="0.25">
      <c r="A8016" s="4" t="str">
        <f>HYPERLINK("http://www.rosaceae.org/Prunus/Prunus_persica/p.persica_gdr_reftransV1_0012621","p.persica_gdr_reftransV1_0012621")</f>
        <v>p.persica_gdr_reftransV1_0012621</v>
      </c>
      <c r="B8016" s="2">
        <v>3098</v>
      </c>
      <c r="C8016" s="4" t="str">
        <f>HYPERLINK("http://www.uniprot.org/uniprot/M5XAL2","M5XAL2")</f>
        <v>M5XAL2</v>
      </c>
      <c r="D8016" s="2" t="s">
        <v>7066</v>
      </c>
      <c r="E8016" s="3">
        <v>0</v>
      </c>
      <c r="F8016" s="2">
        <v>3993</v>
      </c>
      <c r="G8016" s="2">
        <v>100</v>
      </c>
      <c r="H8016" s="2">
        <v>796</v>
      </c>
      <c r="I8016" s="2">
        <v>454</v>
      </c>
      <c r="J8016" s="2">
        <v>2841</v>
      </c>
      <c r="K8016" s="2">
        <v>1</v>
      </c>
      <c r="L8016" s="2">
        <v>796</v>
      </c>
    </row>
    <row r="8017" spans="1:12" x14ac:dyDescent="0.25">
      <c r="A8017" s="4" t="str">
        <f>HYPERLINK("http://www.rosaceae.org/Prunus/Prunus_persica/p.persica_gdr_reftransV1_0012971","p.persica_gdr_reftransV1_0012971")</f>
        <v>p.persica_gdr_reftransV1_0012971</v>
      </c>
      <c r="B8017" s="2">
        <v>1245</v>
      </c>
      <c r="C8017" s="4" t="str">
        <f>HYPERLINK("http://www.uniprot.org/uniprot/D7SVZ0","D7SVZ0")</f>
        <v>D7SVZ0</v>
      </c>
      <c r="D8017" s="2" t="s">
        <v>7067</v>
      </c>
      <c r="E8017" s="3">
        <v>6.4799999999999994E-33</v>
      </c>
      <c r="F8017" s="2">
        <v>335</v>
      </c>
      <c r="G8017" s="2">
        <v>47</v>
      </c>
      <c r="H8017" s="2">
        <v>224</v>
      </c>
      <c r="I8017" s="2">
        <v>494</v>
      </c>
      <c r="J8017" s="2">
        <v>1090</v>
      </c>
      <c r="K8017" s="2">
        <v>1</v>
      </c>
      <c r="L8017" s="2">
        <v>212</v>
      </c>
    </row>
    <row r="8018" spans="1:12" x14ac:dyDescent="0.25">
      <c r="A8018" s="4" t="str">
        <f>HYPERLINK("http://www.rosaceae.org/Prunus/Prunus_persica/p.persica_gdr_reftransV1_0013671","p.persica_gdr_reftransV1_0013671")</f>
        <v>p.persica_gdr_reftransV1_0013671</v>
      </c>
      <c r="B8018" s="2">
        <v>1198</v>
      </c>
      <c r="C8018" s="4" t="str">
        <f>HYPERLINK("http://www.uniprot.org/uniprot/M5VWK0","M5VWK0")</f>
        <v>M5VWK0</v>
      </c>
      <c r="D8018" s="2" t="s">
        <v>6243</v>
      </c>
      <c r="E8018" s="3">
        <v>7.4600000000000003E-131</v>
      </c>
      <c r="F8018" s="2">
        <v>1085</v>
      </c>
      <c r="G8018" s="2">
        <v>100</v>
      </c>
      <c r="H8018" s="2">
        <v>256</v>
      </c>
      <c r="I8018" s="2">
        <v>429</v>
      </c>
      <c r="J8018" s="2">
        <v>1196</v>
      </c>
      <c r="K8018" s="2">
        <v>1</v>
      </c>
      <c r="L8018" s="2">
        <v>256</v>
      </c>
    </row>
    <row r="8019" spans="1:12" x14ac:dyDescent="0.25">
      <c r="A8019" s="4" t="str">
        <f>HYPERLINK("http://www.rosaceae.org/Prunus/Prunus_persica/p.persica_gdr_reftransV1_0014371","p.persica_gdr_reftransV1_0014371")</f>
        <v>p.persica_gdr_reftransV1_0014371</v>
      </c>
      <c r="B8019" s="2">
        <v>2965</v>
      </c>
      <c r="C8019" s="4" t="str">
        <f>HYPERLINK("http://www.uniprot.org/uniprot/M5XN35","M5XN35")</f>
        <v>M5XN35</v>
      </c>
      <c r="D8019" s="2" t="s">
        <v>7068</v>
      </c>
      <c r="E8019" s="3">
        <v>0</v>
      </c>
      <c r="F8019" s="2">
        <v>1493</v>
      </c>
      <c r="G8019" s="2">
        <v>100</v>
      </c>
      <c r="H8019" s="2">
        <v>300</v>
      </c>
      <c r="I8019" s="2">
        <v>1956</v>
      </c>
      <c r="J8019" s="2">
        <v>2855</v>
      </c>
      <c r="K8019" s="2">
        <v>1</v>
      </c>
      <c r="L8019" s="2">
        <v>300</v>
      </c>
    </row>
    <row r="8020" spans="1:12" x14ac:dyDescent="0.25">
      <c r="A8020" s="4" t="str">
        <f>HYPERLINK("http://www.rosaceae.org/Prunus/Prunus_persica/p.persica_gdr_reftransV1_0015771","p.persica_gdr_reftransV1_0015771")</f>
        <v>p.persica_gdr_reftransV1_0015771</v>
      </c>
      <c r="B8020" s="2">
        <v>3243</v>
      </c>
      <c r="C8020" s="4" t="str">
        <f>HYPERLINK("http://www.uniprot.org/uniprot/M5X1W1","M5X1W1")</f>
        <v>M5X1W1</v>
      </c>
      <c r="D8020" s="2" t="s">
        <v>7069</v>
      </c>
      <c r="E8020" s="3">
        <v>0</v>
      </c>
      <c r="F8020" s="2">
        <v>3034</v>
      </c>
      <c r="G8020" s="2">
        <v>100</v>
      </c>
      <c r="H8020" s="2">
        <v>595</v>
      </c>
      <c r="I8020" s="2">
        <v>768</v>
      </c>
      <c r="J8020" s="2">
        <v>2552</v>
      </c>
      <c r="K8020" s="2">
        <v>1</v>
      </c>
      <c r="L8020" s="2">
        <v>595</v>
      </c>
    </row>
    <row r="8021" spans="1:12" x14ac:dyDescent="0.25">
      <c r="A8021" s="4" t="str">
        <f>HYPERLINK("http://www.rosaceae.org/Prunus/Prunus_persica/p.persica_gdr_reftransV1_0017521","p.persica_gdr_reftransV1_0017521")</f>
        <v>p.persica_gdr_reftransV1_0017521</v>
      </c>
      <c r="B8021" s="2">
        <v>2044</v>
      </c>
      <c r="C8021" s="4" t="str">
        <f>HYPERLINK("http://www.uniprot.org/uniprot/M5XZ53","M5XZ53")</f>
        <v>M5XZ53</v>
      </c>
      <c r="D8021" s="2" t="s">
        <v>4695</v>
      </c>
      <c r="E8021" s="3">
        <v>7.9200000000000007E-83</v>
      </c>
      <c r="F8021" s="2">
        <v>710</v>
      </c>
      <c r="G8021" s="2">
        <v>100</v>
      </c>
      <c r="H8021" s="2">
        <v>133</v>
      </c>
      <c r="I8021" s="2">
        <v>2</v>
      </c>
      <c r="J8021" s="2">
        <v>400</v>
      </c>
      <c r="K8021" s="2">
        <v>167</v>
      </c>
      <c r="L8021" s="2">
        <v>299</v>
      </c>
    </row>
    <row r="8022" spans="1:12" x14ac:dyDescent="0.25">
      <c r="A8022" s="4" t="str">
        <f>HYPERLINK("http://www.rosaceae.org/Prunus/Prunus_persica/p.persica_gdr_reftransV1_0017871","p.persica_gdr_reftransV1_0017871")</f>
        <v>p.persica_gdr_reftransV1_0017871</v>
      </c>
      <c r="B8022" s="2">
        <v>2183</v>
      </c>
      <c r="C8022" s="4" t="str">
        <f>HYPERLINK("http://www.uniprot.org/uniprot/M5X2B8","M5X2B8")</f>
        <v>M5X2B8</v>
      </c>
      <c r="D8022" s="2" t="s">
        <v>7070</v>
      </c>
      <c r="E8022" s="3">
        <v>0</v>
      </c>
      <c r="F8022" s="2">
        <v>2427</v>
      </c>
      <c r="G8022" s="2">
        <v>100</v>
      </c>
      <c r="H8022" s="2">
        <v>501</v>
      </c>
      <c r="I8022" s="2">
        <v>559</v>
      </c>
      <c r="J8022" s="2">
        <v>2061</v>
      </c>
      <c r="K8022" s="2">
        <v>1</v>
      </c>
      <c r="L8022" s="2">
        <v>501</v>
      </c>
    </row>
    <row r="8023" spans="1:12" x14ac:dyDescent="0.25">
      <c r="A8023" s="4" t="str">
        <f>HYPERLINK("http://www.rosaceae.org/Prunus/Prunus_persica/p.persica_gdr_reftransV1_0018221","p.persica_gdr_reftransV1_0018221")</f>
        <v>p.persica_gdr_reftransV1_0018221</v>
      </c>
      <c r="B8023" s="2">
        <v>1233</v>
      </c>
      <c r="C8023" s="4" t="str">
        <f>HYPERLINK("http://www.uniprot.org/uniprot/M5W553","M5W553")</f>
        <v>M5W553</v>
      </c>
      <c r="D8023" s="2" t="s">
        <v>7071</v>
      </c>
      <c r="E8023" s="3">
        <v>8.0200000000000001E-179</v>
      </c>
      <c r="F8023" s="2">
        <v>1337</v>
      </c>
      <c r="G8023" s="2">
        <v>80</v>
      </c>
      <c r="H8023" s="2">
        <v>335</v>
      </c>
      <c r="I8023" s="2">
        <v>228</v>
      </c>
      <c r="J8023" s="2">
        <v>1232</v>
      </c>
      <c r="K8023" s="2">
        <v>195</v>
      </c>
      <c r="L8023" s="2">
        <v>473</v>
      </c>
    </row>
    <row r="8024" spans="1:12" x14ac:dyDescent="0.25">
      <c r="A8024" s="4" t="str">
        <f>HYPERLINK("http://www.rosaceae.org/Prunus/Prunus_persica/p.persica_gdr_reftransV1_0018921","p.persica_gdr_reftransV1_0018921")</f>
        <v>p.persica_gdr_reftransV1_0018921</v>
      </c>
      <c r="B8024" s="2">
        <v>761</v>
      </c>
      <c r="C8024" s="4" t="str">
        <f>HYPERLINK("http://www.uniprot.org/uniprot/B6T0P4","B6T0P4")</f>
        <v>B6T0P4</v>
      </c>
      <c r="D8024" s="2" t="s">
        <v>7072</v>
      </c>
      <c r="E8024" s="3">
        <v>3.0799999999999999E-40</v>
      </c>
      <c r="F8024" s="2">
        <v>370</v>
      </c>
      <c r="G8024" s="2">
        <v>89</v>
      </c>
      <c r="H8024" s="2">
        <v>82</v>
      </c>
      <c r="I8024" s="2">
        <v>218</v>
      </c>
      <c r="J8024" s="2">
        <v>463</v>
      </c>
      <c r="K8024" s="2">
        <v>22</v>
      </c>
      <c r="L8024" s="2">
        <v>103</v>
      </c>
    </row>
    <row r="8025" spans="1:12" x14ac:dyDescent="0.25">
      <c r="A8025" s="4" t="str">
        <f>HYPERLINK("http://www.rosaceae.org/Prunus/Prunus_persica/p.persica_gdr_reftransV1_0019971","p.persica_gdr_reftransV1_0019971")</f>
        <v>p.persica_gdr_reftransV1_0019971</v>
      </c>
      <c r="B8025" s="2">
        <v>1508</v>
      </c>
      <c r="C8025" s="4" t="str">
        <f>HYPERLINK("http://www.uniprot.org/uniprot/M5VKC4","M5VKC4")</f>
        <v>M5VKC4</v>
      </c>
      <c r="D8025" s="2" t="s">
        <v>7073</v>
      </c>
      <c r="E8025" s="3">
        <v>5.5499999999999996E-82</v>
      </c>
      <c r="F8025" s="2">
        <v>679</v>
      </c>
      <c r="G8025" s="2">
        <v>67</v>
      </c>
      <c r="H8025" s="2">
        <v>257</v>
      </c>
      <c r="I8025" s="2">
        <v>558</v>
      </c>
      <c r="J8025" s="2">
        <v>1298</v>
      </c>
      <c r="K8025" s="2">
        <v>1</v>
      </c>
      <c r="L8025" s="2">
        <v>215</v>
      </c>
    </row>
    <row r="8026" spans="1:12" x14ac:dyDescent="0.25">
      <c r="A8026" s="4" t="str">
        <f>HYPERLINK("http://www.rosaceae.org/Prunus/Prunus_persica/p.persica_gdr_reftransV1_0022421","p.persica_gdr_reftransV1_0022421")</f>
        <v>p.persica_gdr_reftransV1_0022421</v>
      </c>
      <c r="B8026" s="2">
        <v>502</v>
      </c>
      <c r="C8026" s="4" t="str">
        <f>HYPERLINK("http://www.uniprot.org/uniprot/M5XWX6","M5XWX6")</f>
        <v>M5XWX6</v>
      </c>
      <c r="D8026" s="2" t="s">
        <v>4670</v>
      </c>
      <c r="E8026" s="3">
        <v>1.23E-64</v>
      </c>
      <c r="F8026" s="2">
        <v>535</v>
      </c>
      <c r="G8026" s="2">
        <v>100</v>
      </c>
      <c r="H8026" s="2">
        <v>122</v>
      </c>
      <c r="I8026" s="2">
        <v>135</v>
      </c>
      <c r="J8026" s="2">
        <v>500</v>
      </c>
      <c r="K8026" s="2">
        <v>1</v>
      </c>
      <c r="L8026" s="2">
        <v>122</v>
      </c>
    </row>
    <row r="8027" spans="1:12" x14ac:dyDescent="0.25">
      <c r="A8027" s="4" t="str">
        <f>HYPERLINK("http://www.rosaceae.org/Prunus/Prunus_persica/p.persica_gdr_reftransV1_0023471","p.persica_gdr_reftransV1_0023471")</f>
        <v>p.persica_gdr_reftransV1_0023471</v>
      </c>
      <c r="B8027" s="2">
        <v>1029</v>
      </c>
      <c r="C8027" s="4" t="str">
        <f>HYPERLINK("http://www.uniprot.org/uniprot/M5XFC4","M5XFC4")</f>
        <v>M5XFC4</v>
      </c>
      <c r="D8027" s="2" t="s">
        <v>7074</v>
      </c>
      <c r="E8027" s="3">
        <v>2.4099999999999999E-150</v>
      </c>
      <c r="F8027" s="2">
        <v>1115</v>
      </c>
      <c r="G8027" s="2">
        <v>100</v>
      </c>
      <c r="H8027" s="2">
        <v>213</v>
      </c>
      <c r="I8027" s="2">
        <v>287</v>
      </c>
      <c r="J8027" s="2">
        <v>925</v>
      </c>
      <c r="K8027" s="2">
        <v>1</v>
      </c>
      <c r="L8027" s="2">
        <v>213</v>
      </c>
    </row>
    <row r="8028" spans="1:12" x14ac:dyDescent="0.25">
      <c r="A8028" s="4" t="str">
        <f>HYPERLINK("http://www.rosaceae.org/Prunus/Prunus_persica/p.persica_gdr_reftransV1_0024521","p.persica_gdr_reftransV1_0024521")</f>
        <v>p.persica_gdr_reftransV1_0024521</v>
      </c>
      <c r="B8028" s="2">
        <v>3524</v>
      </c>
      <c r="C8028" s="4" t="str">
        <f>HYPERLINK("http://www.uniprot.org/uniprot/M5XM55","M5XM55")</f>
        <v>M5XM55</v>
      </c>
      <c r="D8028" s="2" t="s">
        <v>7075</v>
      </c>
      <c r="E8028" s="3">
        <v>0</v>
      </c>
      <c r="F8028" s="2">
        <v>5123</v>
      </c>
      <c r="G8028" s="2">
        <v>100</v>
      </c>
      <c r="H8028" s="2">
        <v>1007</v>
      </c>
      <c r="I8028" s="2">
        <v>119</v>
      </c>
      <c r="J8028" s="2">
        <v>3136</v>
      </c>
      <c r="K8028" s="2">
        <v>1</v>
      </c>
      <c r="L8028" s="2">
        <v>1007</v>
      </c>
    </row>
    <row r="8029" spans="1:12" x14ac:dyDescent="0.25">
      <c r="A8029" s="4" t="str">
        <f>HYPERLINK("http://www.rosaceae.org/Prunus/Prunus_persica/p.persica_gdr_reftransV1_0024871","p.persica_gdr_reftransV1_0024871")</f>
        <v>p.persica_gdr_reftransV1_0024871</v>
      </c>
      <c r="B8029" s="2">
        <v>4014</v>
      </c>
      <c r="C8029" s="4" t="str">
        <f>HYPERLINK("http://www.uniprot.org/uniprot/M5Y895","M5Y895")</f>
        <v>M5Y895</v>
      </c>
      <c r="D8029" s="2" t="s">
        <v>7076</v>
      </c>
      <c r="E8029" s="3">
        <v>0</v>
      </c>
      <c r="F8029" s="2">
        <v>5439</v>
      </c>
      <c r="G8029" s="2">
        <v>100</v>
      </c>
      <c r="H8029" s="2">
        <v>1037</v>
      </c>
      <c r="I8029" s="2">
        <v>786</v>
      </c>
      <c r="J8029" s="2">
        <v>3896</v>
      </c>
      <c r="K8029" s="2">
        <v>1</v>
      </c>
      <c r="L8029" s="2">
        <v>1037</v>
      </c>
    </row>
    <row r="8030" spans="1:12" x14ac:dyDescent="0.25">
      <c r="A8030" s="4" t="str">
        <f>HYPERLINK("http://www.rosaceae.org/Prunus/Prunus_persica/p.persica_gdr_reftransV1_0026621","p.persica_gdr_reftransV1_0026621")</f>
        <v>p.persica_gdr_reftransV1_0026621</v>
      </c>
      <c r="B8030" s="2">
        <v>1791</v>
      </c>
      <c r="C8030" s="4" t="str">
        <f>HYPERLINK("http://www.uniprot.org/uniprot/M5WS96","M5WS96")</f>
        <v>M5WS96</v>
      </c>
      <c r="D8030" s="2" t="s">
        <v>7077</v>
      </c>
      <c r="E8030" s="3">
        <v>0</v>
      </c>
      <c r="F8030" s="2">
        <v>1986</v>
      </c>
      <c r="G8030" s="2">
        <v>100</v>
      </c>
      <c r="H8030" s="2">
        <v>385</v>
      </c>
      <c r="I8030" s="2">
        <v>427</v>
      </c>
      <c r="J8030" s="2">
        <v>1581</v>
      </c>
      <c r="K8030" s="2">
        <v>1</v>
      </c>
      <c r="L8030" s="2">
        <v>385</v>
      </c>
    </row>
    <row r="8031" spans="1:12" x14ac:dyDescent="0.25">
      <c r="A8031" s="4" t="str">
        <f>HYPERLINK("http://www.rosaceae.org/Prunus/Prunus_persica/p.persica_gdr_reftransV1_0027321","p.persica_gdr_reftransV1_0027321")</f>
        <v>p.persica_gdr_reftransV1_0027321</v>
      </c>
      <c r="B8031" s="2">
        <v>2114</v>
      </c>
      <c r="C8031" s="4" t="str">
        <f>HYPERLINK("http://www.uniprot.org/uniprot/M5WZJ8","M5WZJ8")</f>
        <v>M5WZJ8</v>
      </c>
      <c r="D8031" s="2" t="s">
        <v>7078</v>
      </c>
      <c r="E8031" s="3">
        <v>1.0400000000000001E-151</v>
      </c>
      <c r="F8031" s="2">
        <v>1182</v>
      </c>
      <c r="G8031" s="2">
        <v>100</v>
      </c>
      <c r="H8031" s="2">
        <v>224</v>
      </c>
      <c r="I8031" s="2">
        <v>1201</v>
      </c>
      <c r="J8031" s="2">
        <v>1872</v>
      </c>
      <c r="K8031" s="2">
        <v>210</v>
      </c>
      <c r="L8031" s="2">
        <v>433</v>
      </c>
    </row>
    <row r="8032" spans="1:12" x14ac:dyDescent="0.25">
      <c r="A8032" s="4" t="str">
        <f>HYPERLINK("http://www.rosaceae.org/Prunus/Prunus_persica/p.persica_gdr_reftransV1_0031171","p.persica_gdr_reftransV1_0031171")</f>
        <v>p.persica_gdr_reftransV1_0031171</v>
      </c>
      <c r="B8032" s="2">
        <v>1436</v>
      </c>
      <c r="C8032" s="4" t="str">
        <f>HYPERLINK("http://www.uniprot.org/uniprot/M5VNW5","M5VNW5")</f>
        <v>M5VNW5</v>
      </c>
      <c r="D8032" s="2" t="s">
        <v>4491</v>
      </c>
      <c r="E8032" s="3">
        <v>0</v>
      </c>
      <c r="F8032" s="2">
        <v>2186</v>
      </c>
      <c r="G8032" s="2">
        <v>100</v>
      </c>
      <c r="H8032" s="2">
        <v>444</v>
      </c>
      <c r="I8032" s="2">
        <v>2</v>
      </c>
      <c r="J8032" s="2">
        <v>1333</v>
      </c>
      <c r="K8032" s="2">
        <v>4</v>
      </c>
      <c r="L8032" s="2">
        <v>447</v>
      </c>
    </row>
    <row r="8033" spans="1:12" x14ac:dyDescent="0.25">
      <c r="A8033" s="4" t="str">
        <f>HYPERLINK("http://www.rosaceae.org/Prunus/Prunus_persica/p.persica_gdr_reftransV1_0032921","p.persica_gdr_reftransV1_0032921")</f>
        <v>p.persica_gdr_reftransV1_0032921</v>
      </c>
      <c r="B8033" s="2">
        <v>2359</v>
      </c>
      <c r="C8033" s="4" t="str">
        <f>HYPERLINK("http://www.uniprot.org/uniprot/M5W8C1","M5W8C1")</f>
        <v>M5W8C1</v>
      </c>
      <c r="D8033" s="2" t="s">
        <v>7079</v>
      </c>
      <c r="E8033" s="3">
        <v>0</v>
      </c>
      <c r="F8033" s="2">
        <v>2138</v>
      </c>
      <c r="G8033" s="2">
        <v>93</v>
      </c>
      <c r="H8033" s="2">
        <v>496</v>
      </c>
      <c r="I8033" s="2">
        <v>791</v>
      </c>
      <c r="J8033" s="2">
        <v>2278</v>
      </c>
      <c r="K8033" s="2">
        <v>20</v>
      </c>
      <c r="L8033" s="2">
        <v>504</v>
      </c>
    </row>
    <row r="8034" spans="1:12" x14ac:dyDescent="0.25">
      <c r="A8034" s="4" t="str">
        <f>HYPERLINK("http://www.rosaceae.org/Prunus/Prunus_persica/p.persica_gdr_reftransV1_0035721","p.persica_gdr_reftransV1_0035721")</f>
        <v>p.persica_gdr_reftransV1_0035721</v>
      </c>
      <c r="B8034" s="2">
        <v>2213</v>
      </c>
      <c r="C8034" s="4" t="str">
        <f>HYPERLINK("http://www.uniprot.org/uniprot/M5XRF1","M5XRF1")</f>
        <v>M5XRF1</v>
      </c>
      <c r="D8034" s="2" t="s">
        <v>7080</v>
      </c>
      <c r="E8034" s="3">
        <v>0</v>
      </c>
      <c r="F8034" s="2">
        <v>2077</v>
      </c>
      <c r="G8034" s="2">
        <v>91</v>
      </c>
      <c r="H8034" s="2">
        <v>468</v>
      </c>
      <c r="I8034" s="2">
        <v>68</v>
      </c>
      <c r="J8034" s="2">
        <v>1471</v>
      </c>
      <c r="K8034" s="2">
        <v>1</v>
      </c>
      <c r="L8034" s="2">
        <v>426</v>
      </c>
    </row>
    <row r="8035" spans="1:12" x14ac:dyDescent="0.25">
      <c r="A8035" s="4" t="str">
        <f>HYPERLINK("http://www.rosaceae.org/Prunus/Prunus_persica/p.persica_gdr_reftransV1_0036771","p.persica_gdr_reftransV1_0036771")</f>
        <v>p.persica_gdr_reftransV1_0036771</v>
      </c>
      <c r="B8035" s="2">
        <v>1616</v>
      </c>
      <c r="C8035" s="4" t="str">
        <f>HYPERLINK("http://www.uniprot.org/uniprot/M5WDK0","M5WDK0")</f>
        <v>M5WDK0</v>
      </c>
      <c r="D8035" s="2" t="s">
        <v>2194</v>
      </c>
      <c r="E8035" s="3">
        <v>1.6799999999999999E-115</v>
      </c>
      <c r="F8035" s="2">
        <v>890</v>
      </c>
      <c r="G8035" s="2">
        <v>97</v>
      </c>
      <c r="H8035" s="2">
        <v>174</v>
      </c>
      <c r="I8035" s="2">
        <v>834</v>
      </c>
      <c r="J8035" s="2">
        <v>1355</v>
      </c>
      <c r="K8035" s="2">
        <v>329</v>
      </c>
      <c r="L8035" s="2">
        <v>500</v>
      </c>
    </row>
    <row r="8036" spans="1:12" x14ac:dyDescent="0.25">
      <c r="A8036" s="4" t="str">
        <f>HYPERLINK("http://www.rosaceae.org/Prunus/Prunus_persica/p.persica_gdr_reftransV1_0039571","p.persica_gdr_reftransV1_0039571")</f>
        <v>p.persica_gdr_reftransV1_0039571</v>
      </c>
      <c r="B8036" s="2">
        <v>3190</v>
      </c>
      <c r="C8036" s="4" t="str">
        <f>HYPERLINK("http://www.uniprot.org/uniprot/M5W8A7","M5W8A7")</f>
        <v>M5W8A7</v>
      </c>
      <c r="D8036" s="2" t="s">
        <v>1647</v>
      </c>
      <c r="E8036" s="3">
        <v>0</v>
      </c>
      <c r="F8036" s="2">
        <v>4351</v>
      </c>
      <c r="G8036" s="2">
        <v>92</v>
      </c>
      <c r="H8036" s="2">
        <v>906</v>
      </c>
      <c r="I8036" s="2">
        <v>350</v>
      </c>
      <c r="J8036" s="2">
        <v>2959</v>
      </c>
      <c r="K8036" s="2">
        <v>1</v>
      </c>
      <c r="L8036" s="2">
        <v>875</v>
      </c>
    </row>
    <row r="8037" spans="1:12" x14ac:dyDescent="0.25">
      <c r="A8037" s="4" t="str">
        <f>HYPERLINK("http://www.rosaceae.org/Prunus/Prunus_persica/p.persica_gdr_reftransV1_0040271","p.persica_gdr_reftransV1_0040271")</f>
        <v>p.persica_gdr_reftransV1_0040271</v>
      </c>
      <c r="B8037" s="2">
        <v>1151</v>
      </c>
      <c r="C8037" s="4" t="str">
        <f>HYPERLINK("http://www.uniprot.org/uniprot/M5WHR5","M5WHR5")</f>
        <v>M5WHR5</v>
      </c>
      <c r="D8037" s="2" t="s">
        <v>7081</v>
      </c>
      <c r="E8037" s="3">
        <v>9.3000000000000005E-84</v>
      </c>
      <c r="F8037" s="2">
        <v>671</v>
      </c>
      <c r="G8037" s="2">
        <v>100</v>
      </c>
      <c r="H8037" s="2">
        <v>128</v>
      </c>
      <c r="I8037" s="2">
        <v>461</v>
      </c>
      <c r="J8037" s="2">
        <v>844</v>
      </c>
      <c r="K8037" s="2">
        <v>1</v>
      </c>
      <c r="L8037" s="2">
        <v>128</v>
      </c>
    </row>
    <row r="8038" spans="1:12" x14ac:dyDescent="0.25">
      <c r="A8038" s="4" t="str">
        <f>HYPERLINK("http://www.rosaceae.org/Prunus/Prunus_persica/p.persica_gdr_reftransV1_0040621","p.persica_gdr_reftransV1_0040621")</f>
        <v>p.persica_gdr_reftransV1_0040621</v>
      </c>
      <c r="B8038" s="2">
        <v>2848</v>
      </c>
      <c r="C8038" s="4" t="str">
        <f>HYPERLINK("http://www.uniprot.org/uniprot/M5X2B9","M5X2B9")</f>
        <v>M5X2B9</v>
      </c>
      <c r="D8038" s="2" t="s">
        <v>7082</v>
      </c>
      <c r="E8038" s="3">
        <v>0</v>
      </c>
      <c r="F8038" s="2">
        <v>3148</v>
      </c>
      <c r="G8038" s="2">
        <v>100</v>
      </c>
      <c r="H8038" s="2">
        <v>629</v>
      </c>
      <c r="I8038" s="2">
        <v>400</v>
      </c>
      <c r="J8038" s="2">
        <v>2286</v>
      </c>
      <c r="K8038" s="2">
        <v>3</v>
      </c>
      <c r="L8038" s="2">
        <v>631</v>
      </c>
    </row>
    <row r="8039" spans="1:12" x14ac:dyDescent="0.25">
      <c r="A8039" s="4" t="str">
        <f>HYPERLINK("http://www.rosaceae.org/Prunus/Prunus_persica/p.persica_gdr_reftransV1_0041321","p.persica_gdr_reftransV1_0041321")</f>
        <v>p.persica_gdr_reftransV1_0041321</v>
      </c>
      <c r="B8039" s="2">
        <v>1832</v>
      </c>
      <c r="C8039" s="4" t="str">
        <f>HYPERLINK("http://www.uniprot.org/uniprot/M5W4C3","M5W4C3")</f>
        <v>M5W4C3</v>
      </c>
      <c r="D8039" s="2" t="s">
        <v>7083</v>
      </c>
      <c r="E8039" s="3">
        <v>3.0099999999999998E-129</v>
      </c>
      <c r="F8039" s="2">
        <v>1008</v>
      </c>
      <c r="G8039" s="2">
        <v>100</v>
      </c>
      <c r="H8039" s="2">
        <v>239</v>
      </c>
      <c r="I8039" s="2">
        <v>278</v>
      </c>
      <c r="J8039" s="2">
        <v>994</v>
      </c>
      <c r="K8039" s="2">
        <v>1</v>
      </c>
      <c r="L8039" s="2">
        <v>239</v>
      </c>
    </row>
    <row r="8040" spans="1:12" x14ac:dyDescent="0.25">
      <c r="A8040" s="4" t="str">
        <f>HYPERLINK("http://www.rosaceae.org/Prunus/Prunus_persica/p.persica_gdr_reftransV1_0042371","p.persica_gdr_reftransV1_0042371")</f>
        <v>p.persica_gdr_reftransV1_0042371</v>
      </c>
      <c r="B8040" s="2">
        <v>872</v>
      </c>
      <c r="C8040" s="4" t="str">
        <f>HYPERLINK("http://www.uniprot.org/uniprot/M5XG31","M5XG31")</f>
        <v>M5XG31</v>
      </c>
      <c r="D8040" s="2" t="s">
        <v>7084</v>
      </c>
      <c r="E8040" s="3">
        <v>1.1E-94</v>
      </c>
      <c r="F8040" s="2">
        <v>735</v>
      </c>
      <c r="G8040" s="2">
        <v>100</v>
      </c>
      <c r="H8040" s="2">
        <v>143</v>
      </c>
      <c r="I8040" s="2">
        <v>98</v>
      </c>
      <c r="J8040" s="2">
        <v>526</v>
      </c>
      <c r="K8040" s="2">
        <v>1</v>
      </c>
      <c r="L8040" s="2">
        <v>143</v>
      </c>
    </row>
    <row r="8041" spans="1:12" x14ac:dyDescent="0.25">
      <c r="A8041" s="4" t="str">
        <f>HYPERLINK("http://www.rosaceae.org/Prunus/Prunus_persica/p.persica_gdr_reftransV1_0043071","p.persica_gdr_reftransV1_0043071")</f>
        <v>p.persica_gdr_reftransV1_0043071</v>
      </c>
      <c r="B8041" s="2">
        <v>595</v>
      </c>
      <c r="C8041" s="4" t="str">
        <f>HYPERLINK("http://www.uniprot.org/uniprot/M5W251","M5W251")</f>
        <v>M5W251</v>
      </c>
      <c r="D8041" s="2" t="s">
        <v>7085</v>
      </c>
      <c r="E8041" s="3">
        <v>2.4500000000000001E-82</v>
      </c>
      <c r="F8041" s="2">
        <v>651</v>
      </c>
      <c r="G8041" s="2">
        <v>100</v>
      </c>
      <c r="H8041" s="2">
        <v>165</v>
      </c>
      <c r="I8041" s="2">
        <v>95</v>
      </c>
      <c r="J8041" s="2">
        <v>589</v>
      </c>
      <c r="K8041" s="2">
        <v>55</v>
      </c>
      <c r="L8041" s="2">
        <v>219</v>
      </c>
    </row>
    <row r="8042" spans="1:12" x14ac:dyDescent="0.25">
      <c r="A8042" s="4" t="str">
        <f>HYPERLINK("http://www.rosaceae.org/Prunus/Prunus_persica/p.persica_gdr_reftransV1_0043421","p.persica_gdr_reftransV1_0043421")</f>
        <v>p.persica_gdr_reftransV1_0043421</v>
      </c>
      <c r="B8042" s="2">
        <v>875</v>
      </c>
      <c r="C8042" s="4" t="str">
        <f>HYPERLINK("http://www.uniprot.org/uniprot/M5X3V5","M5X3V5")</f>
        <v>M5X3V5</v>
      </c>
      <c r="D8042" s="2" t="s">
        <v>7086</v>
      </c>
      <c r="E8042" s="3">
        <v>1.74E-117</v>
      </c>
      <c r="F8042" s="2">
        <v>896</v>
      </c>
      <c r="G8042" s="2">
        <v>100</v>
      </c>
      <c r="H8042" s="2">
        <v>182</v>
      </c>
      <c r="I8042" s="2">
        <v>314</v>
      </c>
      <c r="J8042" s="2">
        <v>859</v>
      </c>
      <c r="K8042" s="2">
        <v>1</v>
      </c>
      <c r="L8042" s="2">
        <v>182</v>
      </c>
    </row>
    <row r="8043" spans="1:12" x14ac:dyDescent="0.25">
      <c r="A8043" s="4" t="str">
        <f>HYPERLINK("http://www.rosaceae.org/Prunus/Prunus_persica/p.persica_gdr_reftransV1_0043771","p.persica_gdr_reftransV1_0043771")</f>
        <v>p.persica_gdr_reftransV1_0043771</v>
      </c>
      <c r="B8043" s="2">
        <v>2116</v>
      </c>
      <c r="C8043" s="4" t="str">
        <f>HYPERLINK("http://www.uniprot.org/uniprot/M5X6X2","M5X6X2")</f>
        <v>M5X6X2</v>
      </c>
      <c r="D8043" s="2" t="s">
        <v>7087</v>
      </c>
      <c r="E8043" s="3">
        <v>0</v>
      </c>
      <c r="F8043" s="2">
        <v>1514</v>
      </c>
      <c r="G8043" s="2">
        <v>91</v>
      </c>
      <c r="H8043" s="2">
        <v>318</v>
      </c>
      <c r="I8043" s="2">
        <v>523</v>
      </c>
      <c r="J8043" s="2">
        <v>1443</v>
      </c>
      <c r="K8043" s="2">
        <v>305</v>
      </c>
      <c r="L8043" s="2">
        <v>622</v>
      </c>
    </row>
    <row r="8044" spans="1:12" x14ac:dyDescent="0.25">
      <c r="A8044" s="4" t="str">
        <f>HYPERLINK("http://www.rosaceae.org/Prunus/Prunus_persica/p.persica_gdr_reftransV1_0044121","p.persica_gdr_reftransV1_0044121")</f>
        <v>p.persica_gdr_reftransV1_0044121</v>
      </c>
      <c r="B8044" s="2">
        <v>1098</v>
      </c>
      <c r="C8044" s="4" t="str">
        <f>HYPERLINK("http://www.uniprot.org/uniprot/M5WP60","M5WP60")</f>
        <v>M5WP60</v>
      </c>
      <c r="D8044" s="2" t="s">
        <v>6572</v>
      </c>
      <c r="E8044" s="3">
        <v>4.5999999999999998E-179</v>
      </c>
      <c r="F8044" s="2">
        <v>1312</v>
      </c>
      <c r="G8044" s="2">
        <v>100</v>
      </c>
      <c r="H8044" s="2">
        <v>249</v>
      </c>
      <c r="I8044" s="2">
        <v>80</v>
      </c>
      <c r="J8044" s="2">
        <v>826</v>
      </c>
      <c r="K8044" s="2">
        <v>1</v>
      </c>
      <c r="L8044" s="2">
        <v>249</v>
      </c>
    </row>
    <row r="8045" spans="1:12" x14ac:dyDescent="0.25">
      <c r="A8045" s="4" t="str">
        <f>HYPERLINK("http://www.rosaceae.org/Prunus/Prunus_persica/p.persica_gdr_reftransV1_0044471","p.persica_gdr_reftransV1_0044471")</f>
        <v>p.persica_gdr_reftransV1_0044471</v>
      </c>
      <c r="B8045" s="2">
        <v>697</v>
      </c>
      <c r="C8045" s="4" t="str">
        <f>HYPERLINK("http://www.uniprot.org/uniprot/M5WC07","M5WC07")</f>
        <v>M5WC07</v>
      </c>
      <c r="D8045" s="2" t="s">
        <v>7088</v>
      </c>
      <c r="E8045" s="3">
        <v>8.1200000000000002E-123</v>
      </c>
      <c r="F8045" s="2">
        <v>920</v>
      </c>
      <c r="G8045" s="2">
        <v>100</v>
      </c>
      <c r="H8045" s="2">
        <v>200</v>
      </c>
      <c r="I8045" s="2">
        <v>72</v>
      </c>
      <c r="J8045" s="2">
        <v>671</v>
      </c>
      <c r="K8045" s="2">
        <v>1</v>
      </c>
      <c r="L8045" s="2">
        <v>200</v>
      </c>
    </row>
    <row r="8046" spans="1:12" x14ac:dyDescent="0.25">
      <c r="A8046" s="4" t="str">
        <f>HYPERLINK("http://www.rosaceae.org/Prunus/Prunus_persica/p.persica_gdr_reftransV1_0045171","p.persica_gdr_reftransV1_0045171")</f>
        <v>p.persica_gdr_reftransV1_0045171</v>
      </c>
      <c r="B8046" s="2">
        <v>1286</v>
      </c>
      <c r="C8046" s="4" t="str">
        <f>HYPERLINK("http://www.uniprot.org/uniprot/M5VRX4","M5VRX4")</f>
        <v>M5VRX4</v>
      </c>
      <c r="D8046" s="2" t="s">
        <v>7089</v>
      </c>
      <c r="E8046" s="3">
        <v>1.5299999999999999E-144</v>
      </c>
      <c r="F8046" s="2">
        <v>1086</v>
      </c>
      <c r="G8046" s="2">
        <v>100</v>
      </c>
      <c r="H8046" s="2">
        <v>203</v>
      </c>
      <c r="I8046" s="2">
        <v>396</v>
      </c>
      <c r="J8046" s="2">
        <v>1004</v>
      </c>
      <c r="K8046" s="2">
        <v>1</v>
      </c>
      <c r="L8046" s="2">
        <v>203</v>
      </c>
    </row>
    <row r="8047" spans="1:12" x14ac:dyDescent="0.25">
      <c r="A8047" s="4" t="str">
        <f>HYPERLINK("http://www.rosaceae.org/Prunus/Prunus_persica/p.persica_gdr_reftransV1_0045871","p.persica_gdr_reftransV1_0045871")</f>
        <v>p.persica_gdr_reftransV1_0045871</v>
      </c>
      <c r="B8047" s="2">
        <v>1114</v>
      </c>
      <c r="C8047" s="4" t="str">
        <f>HYPERLINK("http://www.uniprot.org/uniprot/M5W0T7","M5W0T7")</f>
        <v>M5W0T7</v>
      </c>
      <c r="D8047" s="2" t="s">
        <v>7090</v>
      </c>
      <c r="E8047" s="3">
        <v>1.4400000000000002E-132</v>
      </c>
      <c r="F8047" s="2">
        <v>1000</v>
      </c>
      <c r="G8047" s="2">
        <v>100</v>
      </c>
      <c r="H8047" s="2">
        <v>200</v>
      </c>
      <c r="I8047" s="2">
        <v>118</v>
      </c>
      <c r="J8047" s="2">
        <v>717</v>
      </c>
      <c r="K8047" s="2">
        <v>1</v>
      </c>
      <c r="L8047" s="2">
        <v>200</v>
      </c>
    </row>
    <row r="8048" spans="1:12" x14ac:dyDescent="0.25">
      <c r="A8048" s="4" t="str">
        <f>HYPERLINK("http://www.rosaceae.org/Prunus/Prunus_persica/p.persica_gdr_reftransV1_0046221","p.persica_gdr_reftransV1_0046221")</f>
        <v>p.persica_gdr_reftransV1_0046221</v>
      </c>
      <c r="B8048" s="2">
        <v>1238</v>
      </c>
      <c r="C8048" s="4" t="str">
        <f>HYPERLINK("http://www.uniprot.org/uniprot/M5XI29","M5XI29")</f>
        <v>M5XI29</v>
      </c>
      <c r="D8048" s="2" t="s">
        <v>7091</v>
      </c>
      <c r="E8048" s="3">
        <v>2.3600000000000001E-145</v>
      </c>
      <c r="F8048" s="2">
        <v>1090</v>
      </c>
      <c r="G8048" s="2">
        <v>100</v>
      </c>
      <c r="H8048" s="2">
        <v>208</v>
      </c>
      <c r="I8048" s="2">
        <v>436</v>
      </c>
      <c r="J8048" s="2">
        <v>1059</v>
      </c>
      <c r="K8048" s="2">
        <v>13</v>
      </c>
      <c r="L8048" s="2">
        <v>220</v>
      </c>
    </row>
    <row r="8049" spans="1:12" x14ac:dyDescent="0.25">
      <c r="A8049" s="4" t="str">
        <f>HYPERLINK("http://www.rosaceae.org/Prunus/Prunus_persica/p.persica_gdr_reftransV1_0046571","p.persica_gdr_reftransV1_0046571")</f>
        <v>p.persica_gdr_reftransV1_0046571</v>
      </c>
      <c r="B8049" s="2">
        <v>397</v>
      </c>
      <c r="C8049" s="4" t="str">
        <f>HYPERLINK("http://www.uniprot.org/uniprot/M5WHB4","M5WHB4")</f>
        <v>M5WHB4</v>
      </c>
      <c r="D8049" s="2" t="s">
        <v>7092</v>
      </c>
      <c r="E8049" s="3">
        <v>5.0300000000000002E-56</v>
      </c>
      <c r="F8049" s="2">
        <v>472</v>
      </c>
      <c r="G8049" s="2">
        <v>87</v>
      </c>
      <c r="H8049" s="2">
        <v>103</v>
      </c>
      <c r="I8049" s="2">
        <v>86</v>
      </c>
      <c r="J8049" s="2">
        <v>394</v>
      </c>
      <c r="K8049" s="2">
        <v>140</v>
      </c>
      <c r="L8049" s="2">
        <v>242</v>
      </c>
    </row>
    <row r="8050" spans="1:12" x14ac:dyDescent="0.25">
      <c r="A8050" s="4" t="str">
        <f>HYPERLINK("http://www.rosaceae.org/Prunus/Prunus_persica/p.persica_gdr_reftransV1_0047271","p.persica_gdr_reftransV1_0047271")</f>
        <v>p.persica_gdr_reftransV1_0047271</v>
      </c>
      <c r="B8050" s="2">
        <v>1483</v>
      </c>
      <c r="C8050" s="4" t="str">
        <f>HYPERLINK("http://www.uniprot.org/uniprot/M5XJ18","M5XJ18")</f>
        <v>M5XJ18</v>
      </c>
      <c r="D8050" s="2" t="s">
        <v>7093</v>
      </c>
      <c r="E8050" s="3">
        <v>0</v>
      </c>
      <c r="F8050" s="2">
        <v>1775</v>
      </c>
      <c r="G8050" s="2">
        <v>100</v>
      </c>
      <c r="H8050" s="2">
        <v>428</v>
      </c>
      <c r="I8050" s="2">
        <v>86</v>
      </c>
      <c r="J8050" s="2">
        <v>1369</v>
      </c>
      <c r="K8050" s="2">
        <v>9</v>
      </c>
      <c r="L8050" s="2">
        <v>436</v>
      </c>
    </row>
    <row r="8051" spans="1:12" x14ac:dyDescent="0.25">
      <c r="A8051" s="4" t="str">
        <f>HYPERLINK("http://www.rosaceae.org/Prunus/Prunus_persica/p.persica_gdr_reftransV1_0047971","p.persica_gdr_reftransV1_0047971")</f>
        <v>p.persica_gdr_reftransV1_0047971</v>
      </c>
      <c r="B8051" s="2">
        <v>1342</v>
      </c>
      <c r="C8051" s="4" t="str">
        <f>HYPERLINK("http://www.uniprot.org/uniprot/M5WSN2","M5WSN2")</f>
        <v>M5WSN2</v>
      </c>
      <c r="D8051" s="2" t="s">
        <v>7094</v>
      </c>
      <c r="E8051" s="3">
        <v>8.7099999999999992E-174</v>
      </c>
      <c r="F8051" s="2">
        <v>1288</v>
      </c>
      <c r="G8051" s="2">
        <v>89</v>
      </c>
      <c r="H8051" s="2">
        <v>314</v>
      </c>
      <c r="I8051" s="2">
        <v>337</v>
      </c>
      <c r="J8051" s="2">
        <v>1278</v>
      </c>
      <c r="K8051" s="2">
        <v>1</v>
      </c>
      <c r="L8051" s="2">
        <v>283</v>
      </c>
    </row>
    <row r="8052" spans="1:12" x14ac:dyDescent="0.25">
      <c r="A8052" s="4" t="str">
        <f>HYPERLINK("http://www.rosaceae.org/Prunus/Prunus_persica/p.persica_gdr_reftransV1_0048671","p.persica_gdr_reftransV1_0048671")</f>
        <v>p.persica_gdr_reftransV1_0048671</v>
      </c>
      <c r="B8052" s="2">
        <v>2434</v>
      </c>
      <c r="C8052" s="4" t="str">
        <f>HYPERLINK("http://www.uniprot.org/uniprot/M5WQE4","M5WQE4")</f>
        <v>M5WQE4</v>
      </c>
      <c r="D8052" s="2" t="s">
        <v>7095</v>
      </c>
      <c r="E8052" s="3">
        <v>0</v>
      </c>
      <c r="F8052" s="2">
        <v>3587</v>
      </c>
      <c r="G8052" s="2">
        <v>100</v>
      </c>
      <c r="H8052" s="2">
        <v>680</v>
      </c>
      <c r="I8052" s="2">
        <v>103</v>
      </c>
      <c r="J8052" s="2">
        <v>2142</v>
      </c>
      <c r="K8052" s="2">
        <v>1</v>
      </c>
      <c r="L8052" s="2">
        <v>680</v>
      </c>
    </row>
    <row r="8053" spans="1:12" x14ac:dyDescent="0.25">
      <c r="A8053" s="4" t="str">
        <f>HYPERLINK("http://www.rosaceae.org/Prunus/Prunus_persica/p.persica_gdr_reftransV1_0000211","p.persica_gdr_reftransV1_0000211")</f>
        <v>p.persica_gdr_reftransV1_0000211</v>
      </c>
      <c r="B8053" s="2">
        <v>1283</v>
      </c>
      <c r="C8053" s="4" t="str">
        <f>HYPERLINK("http://www.uniprot.org/uniprot/M5W1W0","M5W1W0")</f>
        <v>M5W1W0</v>
      </c>
      <c r="D8053" s="2" t="s">
        <v>7096</v>
      </c>
      <c r="E8053" s="3">
        <v>1.71E-74</v>
      </c>
      <c r="F8053" s="2">
        <v>611</v>
      </c>
      <c r="G8053" s="2">
        <v>100</v>
      </c>
      <c r="H8053" s="2">
        <v>117</v>
      </c>
      <c r="I8053" s="2">
        <v>470</v>
      </c>
      <c r="J8053" s="2">
        <v>820</v>
      </c>
      <c r="K8053" s="2">
        <v>1</v>
      </c>
      <c r="L8053" s="2">
        <v>117</v>
      </c>
    </row>
    <row r="8054" spans="1:12" x14ac:dyDescent="0.25">
      <c r="A8054" s="4" t="str">
        <f>HYPERLINK("http://www.rosaceae.org/Prunus/Prunus_persica/p.persica_gdr_reftransV1_0000561","p.persica_gdr_reftransV1_0000561")</f>
        <v>p.persica_gdr_reftransV1_0000561</v>
      </c>
      <c r="B8054" s="2">
        <v>2137</v>
      </c>
      <c r="C8054" s="4" t="str">
        <f>HYPERLINK("http://www.uniprot.org/uniprot/M5X0Y1","M5X0Y1")</f>
        <v>M5X0Y1</v>
      </c>
      <c r="D8054" s="2" t="s">
        <v>7097</v>
      </c>
      <c r="E8054" s="3">
        <v>0</v>
      </c>
      <c r="F8054" s="2">
        <v>2579</v>
      </c>
      <c r="G8054" s="2">
        <v>100</v>
      </c>
      <c r="H8054" s="2">
        <v>483</v>
      </c>
      <c r="I8054" s="2">
        <v>541</v>
      </c>
      <c r="J8054" s="2">
        <v>1989</v>
      </c>
      <c r="K8054" s="2">
        <v>1</v>
      </c>
      <c r="L8054" s="2">
        <v>483</v>
      </c>
    </row>
    <row r="8055" spans="1:12" x14ac:dyDescent="0.25">
      <c r="A8055" s="4" t="str">
        <f>HYPERLINK("http://www.rosaceae.org/Prunus/Prunus_persica/p.persica_gdr_reftransV1_0000911","p.persica_gdr_reftransV1_0000911")</f>
        <v>p.persica_gdr_reftransV1_0000911</v>
      </c>
      <c r="B8055" s="2">
        <v>902</v>
      </c>
      <c r="C8055" s="4" t="str">
        <f>HYPERLINK("http://www.uniprot.org/uniprot/M5W0M5","M5W0M5")</f>
        <v>M5W0M5</v>
      </c>
      <c r="D8055" s="2" t="s">
        <v>7098</v>
      </c>
      <c r="E8055" s="3">
        <v>2.1900000000000001E-108</v>
      </c>
      <c r="F8055" s="2">
        <v>828</v>
      </c>
      <c r="G8055" s="2">
        <v>100</v>
      </c>
      <c r="H8055" s="2">
        <v>155</v>
      </c>
      <c r="I8055" s="2">
        <v>75</v>
      </c>
      <c r="J8055" s="2">
        <v>539</v>
      </c>
      <c r="K8055" s="2">
        <v>1</v>
      </c>
      <c r="L8055" s="2">
        <v>155</v>
      </c>
    </row>
    <row r="8056" spans="1:12" x14ac:dyDescent="0.25">
      <c r="A8056" s="4" t="str">
        <f>HYPERLINK("http://www.rosaceae.org/Prunus/Prunus_persica/p.persica_gdr_reftransV1_0001261","p.persica_gdr_reftransV1_0001261")</f>
        <v>p.persica_gdr_reftransV1_0001261</v>
      </c>
      <c r="B8056" s="2">
        <v>1227</v>
      </c>
      <c r="C8056" s="4" t="str">
        <f>HYPERLINK("http://www.uniprot.org/uniprot/M5WRE0","M5WRE0")</f>
        <v>M5WRE0</v>
      </c>
      <c r="D8056" s="2" t="s">
        <v>7099</v>
      </c>
      <c r="E8056" s="3">
        <v>6.8999999999999999E-122</v>
      </c>
      <c r="F8056" s="2">
        <v>947</v>
      </c>
      <c r="G8056" s="2">
        <v>89</v>
      </c>
      <c r="H8056" s="2">
        <v>219</v>
      </c>
      <c r="I8056" s="2">
        <v>180</v>
      </c>
      <c r="J8056" s="2">
        <v>824</v>
      </c>
      <c r="K8056" s="2">
        <v>122</v>
      </c>
      <c r="L8056" s="2">
        <v>340</v>
      </c>
    </row>
    <row r="8057" spans="1:12" x14ac:dyDescent="0.25">
      <c r="A8057" s="4" t="str">
        <f>HYPERLINK("http://www.rosaceae.org/Prunus/Prunus_persica/p.persica_gdr_reftransV1_0001611","p.persica_gdr_reftransV1_0001611")</f>
        <v>p.persica_gdr_reftransV1_0001611</v>
      </c>
      <c r="B8057" s="2">
        <v>1120</v>
      </c>
      <c r="C8057" s="4" t="str">
        <f>HYPERLINK("http://www.uniprot.org/uniprot/M5X8C8","M5X8C8")</f>
        <v>M5X8C8</v>
      </c>
      <c r="D8057" s="2" t="s">
        <v>7100</v>
      </c>
      <c r="E8057" s="3">
        <v>0</v>
      </c>
      <c r="F8057" s="2">
        <v>1763</v>
      </c>
      <c r="G8057" s="2">
        <v>100</v>
      </c>
      <c r="H8057" s="2">
        <v>346</v>
      </c>
      <c r="I8057" s="2">
        <v>1</v>
      </c>
      <c r="J8057" s="2">
        <v>1038</v>
      </c>
      <c r="K8057" s="2">
        <v>1</v>
      </c>
      <c r="L8057" s="2">
        <v>346</v>
      </c>
    </row>
    <row r="8058" spans="1:12" x14ac:dyDescent="0.25">
      <c r="A8058" s="4" t="str">
        <f>HYPERLINK("http://www.rosaceae.org/Prunus/Prunus_persica/p.persica_gdr_reftransV1_0002311","p.persica_gdr_reftransV1_0002311")</f>
        <v>p.persica_gdr_reftransV1_0002311</v>
      </c>
      <c r="B8058" s="2">
        <v>1225</v>
      </c>
      <c r="C8058" s="4" t="str">
        <f>HYPERLINK("http://www.uniprot.org/uniprot/M5XRT9","M5XRT9")</f>
        <v>M5XRT9</v>
      </c>
      <c r="D8058" s="2" t="s">
        <v>7101</v>
      </c>
      <c r="E8058" s="3">
        <v>7.2000000000000002E-167</v>
      </c>
      <c r="F8058" s="2">
        <v>1244</v>
      </c>
      <c r="G8058" s="2">
        <v>100</v>
      </c>
      <c r="H8058" s="2">
        <v>306</v>
      </c>
      <c r="I8058" s="2">
        <v>1</v>
      </c>
      <c r="J8058" s="2">
        <v>918</v>
      </c>
      <c r="K8058" s="2">
        <v>32</v>
      </c>
      <c r="L8058" s="2">
        <v>337</v>
      </c>
    </row>
    <row r="8059" spans="1:12" x14ac:dyDescent="0.25">
      <c r="A8059" s="4" t="str">
        <f>HYPERLINK("http://www.rosaceae.org/Prunus/Prunus_persica/p.persica_gdr_reftransV1_0002661","p.persica_gdr_reftransV1_0002661")</f>
        <v>p.persica_gdr_reftransV1_0002661</v>
      </c>
      <c r="B8059" s="2">
        <v>2057</v>
      </c>
      <c r="C8059" s="4" t="str">
        <f>HYPERLINK("http://www.uniprot.org/uniprot/M5XLM2","M5XLM2")</f>
        <v>M5XLM2</v>
      </c>
      <c r="D8059" s="2" t="s">
        <v>7102</v>
      </c>
      <c r="E8059" s="3">
        <v>0</v>
      </c>
      <c r="F8059" s="2">
        <v>2451</v>
      </c>
      <c r="G8059" s="2">
        <v>100</v>
      </c>
      <c r="H8059" s="2">
        <v>492</v>
      </c>
      <c r="I8059" s="2">
        <v>64</v>
      </c>
      <c r="J8059" s="2">
        <v>1539</v>
      </c>
      <c r="K8059" s="2">
        <v>1</v>
      </c>
      <c r="L8059" s="2">
        <v>492</v>
      </c>
    </row>
    <row r="8060" spans="1:12" x14ac:dyDescent="0.25">
      <c r="A8060" s="4" t="str">
        <f>HYPERLINK("http://www.rosaceae.org/Prunus/Prunus_persica/p.persica_gdr_reftransV1_0003011","p.persica_gdr_reftransV1_0003011")</f>
        <v>p.persica_gdr_reftransV1_0003011</v>
      </c>
      <c r="B8060" s="2">
        <v>1521</v>
      </c>
      <c r="C8060" s="4" t="str">
        <f>HYPERLINK("http://www.uniprot.org/uniprot/M5WGS9","M5WGS9")</f>
        <v>M5WGS9</v>
      </c>
      <c r="D8060" s="2" t="s">
        <v>747</v>
      </c>
      <c r="E8060" s="3">
        <v>0</v>
      </c>
      <c r="F8060" s="2">
        <v>2329</v>
      </c>
      <c r="G8060" s="2">
        <v>100</v>
      </c>
      <c r="H8060" s="2">
        <v>490</v>
      </c>
      <c r="I8060" s="2">
        <v>1</v>
      </c>
      <c r="J8060" s="2">
        <v>1470</v>
      </c>
      <c r="K8060" s="2">
        <v>95</v>
      </c>
      <c r="L8060" s="2">
        <v>584</v>
      </c>
    </row>
    <row r="8061" spans="1:12" x14ac:dyDescent="0.25">
      <c r="A8061" s="4" t="str">
        <f>HYPERLINK("http://www.rosaceae.org/Prunus/Prunus_persica/p.persica_gdr_reftransV1_0003361","p.persica_gdr_reftransV1_0003361")</f>
        <v>p.persica_gdr_reftransV1_0003361</v>
      </c>
      <c r="B8061" s="2">
        <v>756</v>
      </c>
      <c r="C8061" s="4" t="str">
        <f>HYPERLINK("http://www.uniprot.org/uniprot/M5XBG4","M5XBG4")</f>
        <v>M5XBG4</v>
      </c>
      <c r="D8061" s="2" t="s">
        <v>865</v>
      </c>
      <c r="E8061" s="3">
        <v>1.08E-136</v>
      </c>
      <c r="F8061" s="2">
        <v>1096</v>
      </c>
      <c r="G8061" s="2">
        <v>100</v>
      </c>
      <c r="H8061" s="2">
        <v>252</v>
      </c>
      <c r="I8061" s="2">
        <v>1</v>
      </c>
      <c r="J8061" s="2">
        <v>756</v>
      </c>
      <c r="K8061" s="2">
        <v>296</v>
      </c>
      <c r="L8061" s="2">
        <v>547</v>
      </c>
    </row>
    <row r="8062" spans="1:12" x14ac:dyDescent="0.25">
      <c r="A8062" s="4" t="str">
        <f>HYPERLINK("http://www.rosaceae.org/Prunus/Prunus_persica/p.persica_gdr_reftransV1_0003711","p.persica_gdr_reftransV1_0003711")</f>
        <v>p.persica_gdr_reftransV1_0003711</v>
      </c>
      <c r="B8062" s="2">
        <v>1545</v>
      </c>
      <c r="C8062" s="4" t="str">
        <f>HYPERLINK("http://www.uniprot.org/uniprot/Q84UK4","Q84UK4")</f>
        <v>Q84UK4</v>
      </c>
      <c r="D8062" s="2" t="s">
        <v>7103</v>
      </c>
      <c r="E8062" s="3">
        <v>0</v>
      </c>
      <c r="F8062" s="2">
        <v>1371</v>
      </c>
      <c r="G8062" s="2">
        <v>100</v>
      </c>
      <c r="H8062" s="2">
        <v>260</v>
      </c>
      <c r="I8062" s="2">
        <v>644</v>
      </c>
      <c r="J8062" s="2">
        <v>1423</v>
      </c>
      <c r="K8062" s="2">
        <v>1</v>
      </c>
      <c r="L8062" s="2">
        <v>260</v>
      </c>
    </row>
    <row r="8063" spans="1:12" x14ac:dyDescent="0.25">
      <c r="A8063" s="4" t="str">
        <f>HYPERLINK("http://www.rosaceae.org/Prunus/Prunus_persica/p.persica_gdr_reftransV1_0004061","p.persica_gdr_reftransV1_0004061")</f>
        <v>p.persica_gdr_reftransV1_0004061</v>
      </c>
      <c r="B8063" s="2">
        <v>3136</v>
      </c>
      <c r="C8063" s="4" t="str">
        <f>HYPERLINK("http://www.uniprot.org/uniprot/M5WYE9","M5WYE9")</f>
        <v>M5WYE9</v>
      </c>
      <c r="D8063" s="2" t="s">
        <v>7104</v>
      </c>
      <c r="E8063" s="3">
        <v>0</v>
      </c>
      <c r="F8063" s="2">
        <v>4265</v>
      </c>
      <c r="G8063" s="2">
        <v>100</v>
      </c>
      <c r="H8063" s="2">
        <v>831</v>
      </c>
      <c r="I8063" s="2">
        <v>327</v>
      </c>
      <c r="J8063" s="2">
        <v>2819</v>
      </c>
      <c r="K8063" s="2">
        <v>1</v>
      </c>
      <c r="L8063" s="2">
        <v>831</v>
      </c>
    </row>
    <row r="8064" spans="1:12" x14ac:dyDescent="0.25">
      <c r="A8064" s="4" t="str">
        <f>HYPERLINK("http://www.rosaceae.org/Prunus/Prunus_persica/p.persica_gdr_reftransV1_0004761","p.persica_gdr_reftransV1_0004761")</f>
        <v>p.persica_gdr_reftransV1_0004761</v>
      </c>
      <c r="B8064" s="2">
        <v>5817</v>
      </c>
      <c r="C8064" s="4" t="str">
        <f>HYPERLINK("http://www.uniprot.org/uniprot/M5WED5","M5WED5")</f>
        <v>M5WED5</v>
      </c>
      <c r="D8064" s="2" t="s">
        <v>7105</v>
      </c>
      <c r="E8064" s="3">
        <v>0</v>
      </c>
      <c r="F8064" s="2">
        <v>8132</v>
      </c>
      <c r="G8064" s="2">
        <v>96</v>
      </c>
      <c r="H8064" s="2">
        <v>1609</v>
      </c>
      <c r="I8064" s="2">
        <v>672</v>
      </c>
      <c r="J8064" s="2">
        <v>5498</v>
      </c>
      <c r="K8064" s="2">
        <v>226</v>
      </c>
      <c r="L8064" s="2">
        <v>1771</v>
      </c>
    </row>
    <row r="8065" spans="1:12" x14ac:dyDescent="0.25">
      <c r="A8065" s="4" t="str">
        <f>HYPERLINK("http://www.rosaceae.org/Prunus/Prunus_persica/p.persica_gdr_reftransV1_0005461","p.persica_gdr_reftransV1_0005461")</f>
        <v>p.persica_gdr_reftransV1_0005461</v>
      </c>
      <c r="B8065" s="2">
        <v>5829</v>
      </c>
      <c r="C8065" s="4" t="str">
        <f>HYPERLINK("http://www.uniprot.org/uniprot/M5WBV9","M5WBV9")</f>
        <v>M5WBV9</v>
      </c>
      <c r="D8065" s="2" t="s">
        <v>2903</v>
      </c>
      <c r="E8065" s="3">
        <v>0</v>
      </c>
      <c r="F8065" s="2">
        <v>8171</v>
      </c>
      <c r="G8065" s="2">
        <v>96</v>
      </c>
      <c r="H8065" s="2">
        <v>1791</v>
      </c>
      <c r="I8065" s="2">
        <v>73</v>
      </c>
      <c r="J8065" s="2">
        <v>5373</v>
      </c>
      <c r="K8065" s="2">
        <v>1</v>
      </c>
      <c r="L8065" s="2">
        <v>1747</v>
      </c>
    </row>
    <row r="8066" spans="1:12" x14ac:dyDescent="0.25">
      <c r="A8066" s="4" t="str">
        <f>HYPERLINK("http://www.rosaceae.org/Prunus/Prunus_persica/p.persica_gdr_reftransV1_0006161","p.persica_gdr_reftransV1_0006161")</f>
        <v>p.persica_gdr_reftransV1_0006161</v>
      </c>
      <c r="B8066" s="2">
        <v>813</v>
      </c>
      <c r="C8066" s="4" t="str">
        <f>HYPERLINK("http://www.uniprot.org/uniprot/M5WBK3","M5WBK3")</f>
        <v>M5WBK3</v>
      </c>
      <c r="D8066" s="2" t="s">
        <v>7106</v>
      </c>
      <c r="E8066" s="3">
        <v>6.1299999999999997E-104</v>
      </c>
      <c r="F8066" s="2">
        <v>828</v>
      </c>
      <c r="G8066" s="2">
        <v>100</v>
      </c>
      <c r="H8066" s="2">
        <v>174</v>
      </c>
      <c r="I8066" s="2">
        <v>234</v>
      </c>
      <c r="J8066" s="2">
        <v>755</v>
      </c>
      <c r="K8066" s="2">
        <v>1</v>
      </c>
      <c r="L8066" s="2">
        <v>174</v>
      </c>
    </row>
    <row r="8067" spans="1:12" x14ac:dyDescent="0.25">
      <c r="A8067" s="4" t="str">
        <f>HYPERLINK("http://www.rosaceae.org/Prunus/Prunus_persica/p.persica_gdr_reftransV1_0006511","p.persica_gdr_reftransV1_0006511")</f>
        <v>p.persica_gdr_reftransV1_0006511</v>
      </c>
      <c r="B8067" s="2">
        <v>1149</v>
      </c>
      <c r="C8067" s="4" t="str">
        <f>HYPERLINK("http://www.uniprot.org/uniprot/M5WPD1","M5WPD1")</f>
        <v>M5WPD1</v>
      </c>
      <c r="D8067" s="2" t="s">
        <v>7107</v>
      </c>
      <c r="E8067" s="3">
        <v>0</v>
      </c>
      <c r="F8067" s="2">
        <v>1578</v>
      </c>
      <c r="G8067" s="2">
        <v>99</v>
      </c>
      <c r="H8067" s="2">
        <v>323</v>
      </c>
      <c r="I8067" s="2">
        <v>180</v>
      </c>
      <c r="J8067" s="2">
        <v>1148</v>
      </c>
      <c r="K8067" s="2">
        <v>89</v>
      </c>
      <c r="L8067" s="2">
        <v>411</v>
      </c>
    </row>
    <row r="8068" spans="1:12" x14ac:dyDescent="0.25">
      <c r="A8068" s="4" t="str">
        <f>HYPERLINK("http://www.rosaceae.org/Prunus/Prunus_persica/p.persica_gdr_reftransV1_0006861","p.persica_gdr_reftransV1_0006861")</f>
        <v>p.persica_gdr_reftransV1_0006861</v>
      </c>
      <c r="B8068" s="2">
        <v>3096</v>
      </c>
      <c r="C8068" s="4" t="str">
        <f>HYPERLINK("http://www.uniprot.org/uniprot/M5XBV4","M5XBV4")</f>
        <v>M5XBV4</v>
      </c>
      <c r="D8068" s="2" t="s">
        <v>7108</v>
      </c>
      <c r="E8068" s="3">
        <v>0</v>
      </c>
      <c r="F8068" s="2">
        <v>2189</v>
      </c>
      <c r="G8068" s="2">
        <v>91</v>
      </c>
      <c r="H8068" s="2">
        <v>455</v>
      </c>
      <c r="I8068" s="2">
        <v>1459</v>
      </c>
      <c r="J8068" s="2">
        <v>2823</v>
      </c>
      <c r="K8068" s="2">
        <v>1</v>
      </c>
      <c r="L8068" s="2">
        <v>418</v>
      </c>
    </row>
    <row r="8069" spans="1:12" x14ac:dyDescent="0.25">
      <c r="A8069" s="4" t="str">
        <f>HYPERLINK("http://www.rosaceae.org/Prunus/Prunus_persica/p.persica_gdr_reftransV1_0007211","p.persica_gdr_reftransV1_0007211")</f>
        <v>p.persica_gdr_reftransV1_0007211</v>
      </c>
      <c r="B8069" s="2">
        <v>893</v>
      </c>
      <c r="C8069" s="4" t="str">
        <f>HYPERLINK("http://www.uniprot.org/uniprot/M5VVK5","M5VVK5")</f>
        <v>M5VVK5</v>
      </c>
      <c r="D8069" s="2" t="s">
        <v>681</v>
      </c>
      <c r="E8069" s="3">
        <v>5.3700000000000003E-62</v>
      </c>
      <c r="F8069" s="2">
        <v>555</v>
      </c>
      <c r="G8069" s="2">
        <v>100</v>
      </c>
      <c r="H8069" s="2">
        <v>121</v>
      </c>
      <c r="I8069" s="2">
        <v>3</v>
      </c>
      <c r="J8069" s="2">
        <v>365</v>
      </c>
      <c r="K8069" s="2">
        <v>527</v>
      </c>
      <c r="L8069" s="2">
        <v>647</v>
      </c>
    </row>
    <row r="8070" spans="1:12" x14ac:dyDescent="0.25">
      <c r="A8070" s="4" t="str">
        <f>HYPERLINK("http://www.rosaceae.org/Prunus/Prunus_persica/p.persica_gdr_reftransV1_0007561","p.persica_gdr_reftransV1_0007561")</f>
        <v>p.persica_gdr_reftransV1_0007561</v>
      </c>
      <c r="B8070" s="2">
        <v>1452</v>
      </c>
      <c r="C8070" s="4" t="str">
        <f>HYPERLINK("http://www.uniprot.org/uniprot/M5XEK9","M5XEK9")</f>
        <v>M5XEK9</v>
      </c>
      <c r="D8070" s="2" t="s">
        <v>7109</v>
      </c>
      <c r="E8070" s="3">
        <v>0</v>
      </c>
      <c r="F8070" s="2">
        <v>2103</v>
      </c>
      <c r="G8070" s="2">
        <v>100</v>
      </c>
      <c r="H8070" s="2">
        <v>398</v>
      </c>
      <c r="I8070" s="2">
        <v>2</v>
      </c>
      <c r="J8070" s="2">
        <v>1195</v>
      </c>
      <c r="K8070" s="2">
        <v>246</v>
      </c>
      <c r="L8070" s="2">
        <v>643</v>
      </c>
    </row>
    <row r="8071" spans="1:12" x14ac:dyDescent="0.25">
      <c r="A8071" s="4" t="str">
        <f>HYPERLINK("http://www.rosaceae.org/Prunus/Prunus_persica/p.persica_gdr_reftransV1_0008961","p.persica_gdr_reftransV1_0008961")</f>
        <v>p.persica_gdr_reftransV1_0008961</v>
      </c>
      <c r="B8071" s="2">
        <v>1088</v>
      </c>
      <c r="C8071" s="4" t="str">
        <f>HYPERLINK("http://www.uniprot.org/uniprot/M5W3A7","M5W3A7")</f>
        <v>M5W3A7</v>
      </c>
      <c r="D8071" s="2" t="s">
        <v>7110</v>
      </c>
      <c r="E8071" s="3">
        <v>6.6000000000000002E-98</v>
      </c>
      <c r="F8071" s="2">
        <v>766</v>
      </c>
      <c r="G8071" s="2">
        <v>100</v>
      </c>
      <c r="H8071" s="2">
        <v>144</v>
      </c>
      <c r="I8071" s="2">
        <v>545</v>
      </c>
      <c r="J8071" s="2">
        <v>976</v>
      </c>
      <c r="K8071" s="2">
        <v>1</v>
      </c>
      <c r="L8071" s="2">
        <v>144</v>
      </c>
    </row>
    <row r="8072" spans="1:12" x14ac:dyDescent="0.25">
      <c r="A8072" s="4" t="str">
        <f>HYPERLINK("http://www.rosaceae.org/Prunus/Prunus_persica/p.persica_gdr_reftransV1_0009311","p.persica_gdr_reftransV1_0009311")</f>
        <v>p.persica_gdr_reftransV1_0009311</v>
      </c>
      <c r="B8072" s="2">
        <v>1778</v>
      </c>
      <c r="C8072" s="4" t="str">
        <f>HYPERLINK("http://www.uniprot.org/uniprot/M5XF48","M5XF48")</f>
        <v>M5XF48</v>
      </c>
      <c r="D8072" s="2" t="s">
        <v>7111</v>
      </c>
      <c r="E8072" s="3">
        <v>0</v>
      </c>
      <c r="F8072" s="2">
        <v>1884</v>
      </c>
      <c r="G8072" s="2">
        <v>100</v>
      </c>
      <c r="H8072" s="2">
        <v>353</v>
      </c>
      <c r="I8072" s="2">
        <v>274</v>
      </c>
      <c r="J8072" s="2">
        <v>1332</v>
      </c>
      <c r="K8072" s="2">
        <v>1</v>
      </c>
      <c r="L8072" s="2">
        <v>353</v>
      </c>
    </row>
    <row r="8073" spans="1:12" x14ac:dyDescent="0.25">
      <c r="A8073" s="4" t="str">
        <f>HYPERLINK("http://www.rosaceae.org/Prunus/Prunus_persica/p.persica_gdr_reftransV1_0009661","p.persica_gdr_reftransV1_0009661")</f>
        <v>p.persica_gdr_reftransV1_0009661</v>
      </c>
      <c r="B8073" s="2">
        <v>2252</v>
      </c>
      <c r="C8073" s="4" t="str">
        <f>HYPERLINK("http://www.uniprot.org/uniprot/M5WYI6","M5WYI6")</f>
        <v>M5WYI6</v>
      </c>
      <c r="D8073" s="2" t="s">
        <v>3818</v>
      </c>
      <c r="E8073" s="3">
        <v>0</v>
      </c>
      <c r="F8073" s="2">
        <v>3603</v>
      </c>
      <c r="G8073" s="2">
        <v>94</v>
      </c>
      <c r="H8073" s="2">
        <v>753</v>
      </c>
      <c r="I8073" s="2">
        <v>2</v>
      </c>
      <c r="J8073" s="2">
        <v>2251</v>
      </c>
      <c r="K8073" s="2">
        <v>426</v>
      </c>
      <c r="L8073" s="2">
        <v>1167</v>
      </c>
    </row>
    <row r="8074" spans="1:12" x14ac:dyDescent="0.25">
      <c r="A8074" s="4" t="str">
        <f>HYPERLINK("http://www.rosaceae.org/Prunus/Prunus_persica/p.persica_gdr_reftransV1_0010011","p.persica_gdr_reftransV1_0010011")</f>
        <v>p.persica_gdr_reftransV1_0010011</v>
      </c>
      <c r="B8074" s="2">
        <v>1905</v>
      </c>
      <c r="C8074" s="4" t="str">
        <f>HYPERLINK("http://www.uniprot.org/uniprot/W9SJT5","W9SJT5")</f>
        <v>W9SJT5</v>
      </c>
      <c r="D8074" s="2" t="s">
        <v>7112</v>
      </c>
      <c r="E8074" s="3">
        <v>0</v>
      </c>
      <c r="F8074" s="2">
        <v>2365</v>
      </c>
      <c r="G8074" s="2">
        <v>86</v>
      </c>
      <c r="H8074" s="2">
        <v>514</v>
      </c>
      <c r="I8074" s="2">
        <v>2</v>
      </c>
      <c r="J8074" s="2">
        <v>1543</v>
      </c>
      <c r="K8074" s="2">
        <v>90</v>
      </c>
      <c r="L8074" s="2">
        <v>603</v>
      </c>
    </row>
    <row r="8075" spans="1:12" x14ac:dyDescent="0.25">
      <c r="A8075" s="4" t="str">
        <f>HYPERLINK("http://www.rosaceae.org/Prunus/Prunus_persica/p.persica_gdr_reftransV1_0010361","p.persica_gdr_reftransV1_0010361")</f>
        <v>p.persica_gdr_reftransV1_0010361</v>
      </c>
      <c r="B8075" s="2">
        <v>1176</v>
      </c>
      <c r="C8075" s="4" t="str">
        <f>HYPERLINK("http://www.uniprot.org/uniprot/M5XEG4","M5XEG4")</f>
        <v>M5XEG4</v>
      </c>
      <c r="D8075" s="2" t="s">
        <v>7113</v>
      </c>
      <c r="E8075" s="3">
        <v>0</v>
      </c>
      <c r="F8075" s="2">
        <v>1427</v>
      </c>
      <c r="G8075" s="2">
        <v>100</v>
      </c>
      <c r="H8075" s="2">
        <v>268</v>
      </c>
      <c r="I8075" s="2">
        <v>194</v>
      </c>
      <c r="J8075" s="2">
        <v>997</v>
      </c>
      <c r="K8075" s="2">
        <v>1</v>
      </c>
      <c r="L8075" s="2">
        <v>268</v>
      </c>
    </row>
    <row r="8076" spans="1:12" x14ac:dyDescent="0.25">
      <c r="A8076" s="4" t="str">
        <f>HYPERLINK("http://www.rosaceae.org/Prunus/Prunus_persica/p.persica_gdr_reftransV1_0010711","p.persica_gdr_reftransV1_0010711")</f>
        <v>p.persica_gdr_reftransV1_0010711</v>
      </c>
      <c r="B8076" s="2">
        <v>1301</v>
      </c>
      <c r="C8076" s="4" t="str">
        <f>HYPERLINK("http://www.uniprot.org/uniprot/A0A059A9L6","A0A059A9L6")</f>
        <v>A0A059A9L6</v>
      </c>
      <c r="D8076" s="2" t="s">
        <v>7114</v>
      </c>
      <c r="E8076" s="3">
        <v>1.7E-136</v>
      </c>
      <c r="F8076" s="2">
        <v>1036</v>
      </c>
      <c r="G8076" s="2">
        <v>83</v>
      </c>
      <c r="H8076" s="2">
        <v>242</v>
      </c>
      <c r="I8076" s="2">
        <v>391</v>
      </c>
      <c r="J8076" s="2">
        <v>1116</v>
      </c>
      <c r="K8076" s="2">
        <v>1</v>
      </c>
      <c r="L8076" s="2">
        <v>242</v>
      </c>
    </row>
    <row r="8077" spans="1:12" x14ac:dyDescent="0.25">
      <c r="A8077" s="4" t="str">
        <f>HYPERLINK("http://www.rosaceae.org/Prunus/Prunus_persica/p.persica_gdr_reftransV1_0011761","p.persica_gdr_reftransV1_0011761")</f>
        <v>p.persica_gdr_reftransV1_0011761</v>
      </c>
      <c r="B8077" s="2">
        <v>4617</v>
      </c>
      <c r="C8077" s="4" t="str">
        <f>HYPERLINK("http://www.uniprot.org/uniprot/M5WNG2","M5WNG2")</f>
        <v>M5WNG2</v>
      </c>
      <c r="D8077" s="2" t="s">
        <v>7115</v>
      </c>
      <c r="E8077" s="3">
        <v>0</v>
      </c>
      <c r="F8077" s="2">
        <v>2919</v>
      </c>
      <c r="G8077" s="2">
        <v>100</v>
      </c>
      <c r="H8077" s="2">
        <v>594</v>
      </c>
      <c r="I8077" s="2">
        <v>309</v>
      </c>
      <c r="J8077" s="2">
        <v>2090</v>
      </c>
      <c r="K8077" s="2">
        <v>1</v>
      </c>
      <c r="L8077" s="2">
        <v>594</v>
      </c>
    </row>
    <row r="8078" spans="1:12" x14ac:dyDescent="0.25">
      <c r="A8078" s="4" t="str">
        <f>HYPERLINK("http://www.rosaceae.org/Prunus/Prunus_persica/p.persica_gdr_reftransV1_0012461","p.persica_gdr_reftransV1_0012461")</f>
        <v>p.persica_gdr_reftransV1_0012461</v>
      </c>
      <c r="B8078" s="2">
        <v>2372</v>
      </c>
      <c r="C8078" s="4" t="str">
        <f>HYPERLINK("http://www.uniprot.org/uniprot/M5WI45","M5WI45")</f>
        <v>M5WI45</v>
      </c>
      <c r="D8078" s="2" t="s">
        <v>7116</v>
      </c>
      <c r="E8078" s="3">
        <v>0</v>
      </c>
      <c r="F8078" s="2">
        <v>1589</v>
      </c>
      <c r="G8078" s="2">
        <v>95</v>
      </c>
      <c r="H8078" s="2">
        <v>311</v>
      </c>
      <c r="I8078" s="2">
        <v>1201</v>
      </c>
      <c r="J8078" s="2">
        <v>2121</v>
      </c>
      <c r="K8078" s="2">
        <v>1</v>
      </c>
      <c r="L8078" s="2">
        <v>311</v>
      </c>
    </row>
    <row r="8079" spans="1:12" x14ac:dyDescent="0.25">
      <c r="A8079" s="4" t="str">
        <f>HYPERLINK("http://www.rosaceae.org/Prunus/Prunus_persica/p.persica_gdr_reftransV1_0014561","p.persica_gdr_reftransV1_0014561")</f>
        <v>p.persica_gdr_reftransV1_0014561</v>
      </c>
      <c r="B8079" s="2">
        <v>2696</v>
      </c>
      <c r="C8079" s="4" t="str">
        <f>HYPERLINK("http://www.uniprot.org/uniprot/M4QFX1","M4QFX1")</f>
        <v>M4QFX1</v>
      </c>
      <c r="D8079" s="2" t="s">
        <v>7117</v>
      </c>
      <c r="E8079" s="3">
        <v>0</v>
      </c>
      <c r="F8079" s="2">
        <v>2488</v>
      </c>
      <c r="G8079" s="2">
        <v>100</v>
      </c>
      <c r="H8079" s="2">
        <v>482</v>
      </c>
      <c r="I8079" s="2">
        <v>846</v>
      </c>
      <c r="J8079" s="2">
        <v>2291</v>
      </c>
      <c r="K8079" s="2">
        <v>1</v>
      </c>
      <c r="L8079" s="2">
        <v>482</v>
      </c>
    </row>
    <row r="8080" spans="1:12" x14ac:dyDescent="0.25">
      <c r="A8080" s="4" t="str">
        <f>HYPERLINK("http://www.rosaceae.org/Prunus/Prunus_persica/p.persica_gdr_reftransV1_0014911","p.persica_gdr_reftransV1_0014911")</f>
        <v>p.persica_gdr_reftransV1_0014911</v>
      </c>
      <c r="B8080" s="2">
        <v>1230</v>
      </c>
      <c r="C8080" s="4" t="str">
        <f>HYPERLINK("http://www.uniprot.org/uniprot/W9RGW6","W9RGW6")</f>
        <v>W9RGW6</v>
      </c>
      <c r="D8080" s="2" t="s">
        <v>7118</v>
      </c>
      <c r="E8080" s="3">
        <v>2.3700000000000001E-52</v>
      </c>
      <c r="F8080" s="2">
        <v>479</v>
      </c>
      <c r="G8080" s="2">
        <v>47</v>
      </c>
      <c r="H8080" s="2">
        <v>274</v>
      </c>
      <c r="I8080" s="2">
        <v>56</v>
      </c>
      <c r="J8080" s="2">
        <v>862</v>
      </c>
      <c r="K8080" s="2">
        <v>9</v>
      </c>
      <c r="L8080" s="2">
        <v>275</v>
      </c>
    </row>
    <row r="8081" spans="1:12" x14ac:dyDescent="0.25">
      <c r="A8081" s="4" t="str">
        <f>HYPERLINK("http://www.rosaceae.org/Prunus/Prunus_persica/p.persica_gdr_reftransV1_0015611","p.persica_gdr_reftransV1_0015611")</f>
        <v>p.persica_gdr_reftransV1_0015611</v>
      </c>
      <c r="B8081" s="2">
        <v>1598</v>
      </c>
      <c r="C8081" s="4" t="str">
        <f>HYPERLINK("http://www.uniprot.org/uniprot/M5VZA4","M5VZA4")</f>
        <v>M5VZA4</v>
      </c>
      <c r="D8081" s="2" t="s">
        <v>6036</v>
      </c>
      <c r="E8081" s="3">
        <v>2.35E-88</v>
      </c>
      <c r="F8081" s="2">
        <v>742</v>
      </c>
      <c r="G8081" s="2">
        <v>99</v>
      </c>
      <c r="H8081" s="2">
        <v>153</v>
      </c>
      <c r="I8081" s="2">
        <v>784</v>
      </c>
      <c r="J8081" s="2">
        <v>1242</v>
      </c>
      <c r="K8081" s="2">
        <v>275</v>
      </c>
      <c r="L8081" s="2">
        <v>427</v>
      </c>
    </row>
    <row r="8082" spans="1:12" x14ac:dyDescent="0.25">
      <c r="A8082" s="4" t="str">
        <f>HYPERLINK("http://www.rosaceae.org/Prunus/Prunus_persica/p.persica_gdr_reftransV1_0016661","p.persica_gdr_reftransV1_0016661")</f>
        <v>p.persica_gdr_reftransV1_0016661</v>
      </c>
      <c r="B8082" s="2">
        <v>2985</v>
      </c>
      <c r="C8082" s="4" t="str">
        <f>HYPERLINK("http://www.uniprot.org/uniprot/M5WBS3","M5WBS3")</f>
        <v>M5WBS3</v>
      </c>
      <c r="D8082" s="2" t="s">
        <v>7119</v>
      </c>
      <c r="E8082" s="3">
        <v>0</v>
      </c>
      <c r="F8082" s="2">
        <v>4069</v>
      </c>
      <c r="G8082" s="2">
        <v>100</v>
      </c>
      <c r="H8082" s="2">
        <v>835</v>
      </c>
      <c r="I8082" s="2">
        <v>371</v>
      </c>
      <c r="J8082" s="2">
        <v>2875</v>
      </c>
      <c r="K8082" s="2">
        <v>1</v>
      </c>
      <c r="L8082" s="2">
        <v>835</v>
      </c>
    </row>
    <row r="8083" spans="1:12" x14ac:dyDescent="0.25">
      <c r="A8083" s="4" t="str">
        <f>HYPERLINK("http://www.rosaceae.org/Prunus/Prunus_persica/p.persica_gdr_reftransV1_0017011","p.persica_gdr_reftransV1_0017011")</f>
        <v>p.persica_gdr_reftransV1_0017011</v>
      </c>
      <c r="B8083" s="2">
        <v>8476</v>
      </c>
      <c r="C8083" s="4" t="str">
        <f>HYPERLINK("http://www.uniprot.org/uniprot/M5XGZ7","M5XGZ7")</f>
        <v>M5XGZ7</v>
      </c>
      <c r="D8083" s="2" t="s">
        <v>1</v>
      </c>
      <c r="E8083" s="3">
        <v>0</v>
      </c>
      <c r="F8083" s="2">
        <v>9593</v>
      </c>
      <c r="G8083" s="2">
        <v>100</v>
      </c>
      <c r="H8083" s="2">
        <v>1861</v>
      </c>
      <c r="I8083" s="2">
        <v>215</v>
      </c>
      <c r="J8083" s="2">
        <v>5791</v>
      </c>
      <c r="K8083" s="2">
        <v>292</v>
      </c>
      <c r="L8083" s="2">
        <v>2152</v>
      </c>
    </row>
    <row r="8084" spans="1:12" x14ac:dyDescent="0.25">
      <c r="A8084" s="4" t="str">
        <f>HYPERLINK("http://www.rosaceae.org/Prunus/Prunus_persica/p.persica_gdr_reftransV1_0019111","p.persica_gdr_reftransV1_0019111")</f>
        <v>p.persica_gdr_reftransV1_0019111</v>
      </c>
      <c r="B8084" s="2">
        <v>6326</v>
      </c>
      <c r="C8084" s="4" t="str">
        <f>HYPERLINK("http://www.uniprot.org/uniprot/M5X747","M5X747")</f>
        <v>M5X747</v>
      </c>
      <c r="D8084" s="2" t="s">
        <v>7120</v>
      </c>
      <c r="E8084" s="3">
        <v>0</v>
      </c>
      <c r="F8084" s="2">
        <v>8632</v>
      </c>
      <c r="G8084" s="2">
        <v>100</v>
      </c>
      <c r="H8084" s="2">
        <v>1832</v>
      </c>
      <c r="I8084" s="2">
        <v>698</v>
      </c>
      <c r="J8084" s="2">
        <v>6193</v>
      </c>
      <c r="K8084" s="2">
        <v>1</v>
      </c>
      <c r="L8084" s="2">
        <v>1832</v>
      </c>
    </row>
    <row r="8085" spans="1:12" x14ac:dyDescent="0.25">
      <c r="A8085" s="4" t="str">
        <f>HYPERLINK("http://www.rosaceae.org/Prunus/Prunus_persica/p.persica_gdr_reftransV1_0020861","p.persica_gdr_reftransV1_0020861")</f>
        <v>p.persica_gdr_reftransV1_0020861</v>
      </c>
      <c r="B8085" s="2">
        <v>1972</v>
      </c>
      <c r="C8085" s="4" t="str">
        <f>HYPERLINK("http://www.uniprot.org/uniprot/M5W7E7","M5W7E7")</f>
        <v>M5W7E7</v>
      </c>
      <c r="D8085" s="2" t="s">
        <v>1940</v>
      </c>
      <c r="E8085" s="3">
        <v>0</v>
      </c>
      <c r="F8085" s="2">
        <v>2414</v>
      </c>
      <c r="G8085" s="2">
        <v>99</v>
      </c>
      <c r="H8085" s="2">
        <v>451</v>
      </c>
      <c r="I8085" s="2">
        <v>477</v>
      </c>
      <c r="J8085" s="2">
        <v>1829</v>
      </c>
      <c r="K8085" s="2">
        <v>1</v>
      </c>
      <c r="L8085" s="2">
        <v>451</v>
      </c>
    </row>
    <row r="8086" spans="1:12" x14ac:dyDescent="0.25">
      <c r="A8086" s="4" t="str">
        <f>HYPERLINK("http://www.rosaceae.org/Prunus/Prunus_persica/p.persica_gdr_reftransV1_0021911","p.persica_gdr_reftransV1_0021911")</f>
        <v>p.persica_gdr_reftransV1_0021911</v>
      </c>
      <c r="B8086" s="2">
        <v>1659</v>
      </c>
      <c r="C8086" s="4" t="str">
        <f>HYPERLINK("http://www.uniprot.org/uniprot/M5XGQ5","M5XGQ5")</f>
        <v>M5XGQ5</v>
      </c>
      <c r="D8086" s="2" t="s">
        <v>7121</v>
      </c>
      <c r="E8086" s="3">
        <v>2.2399999999999999E-121</v>
      </c>
      <c r="F8086" s="2">
        <v>914</v>
      </c>
      <c r="G8086" s="2">
        <v>100</v>
      </c>
      <c r="H8086" s="2">
        <v>172</v>
      </c>
      <c r="I8086" s="2">
        <v>512</v>
      </c>
      <c r="J8086" s="2">
        <v>1027</v>
      </c>
      <c r="K8086" s="2">
        <v>1</v>
      </c>
      <c r="L8086" s="2">
        <v>172</v>
      </c>
    </row>
    <row r="8087" spans="1:12" x14ac:dyDescent="0.25">
      <c r="A8087" s="4" t="str">
        <f>HYPERLINK("http://www.rosaceae.org/Prunus/Prunus_persica/p.persica_gdr_reftransV1_0022611","p.persica_gdr_reftransV1_0022611")</f>
        <v>p.persica_gdr_reftransV1_0022611</v>
      </c>
      <c r="B8087" s="2">
        <v>1632</v>
      </c>
      <c r="C8087" s="4" t="str">
        <f>HYPERLINK("http://www.uniprot.org/uniprot/M5WV35","M5WV35")</f>
        <v>M5WV35</v>
      </c>
      <c r="D8087" s="2" t="s">
        <v>7122</v>
      </c>
      <c r="E8087" s="3">
        <v>2.5E-160</v>
      </c>
      <c r="F8087" s="2">
        <v>777</v>
      </c>
      <c r="G8087" s="2">
        <v>97</v>
      </c>
      <c r="H8087" s="2">
        <v>148</v>
      </c>
      <c r="I8087" s="2">
        <v>298</v>
      </c>
      <c r="J8087" s="2">
        <v>741</v>
      </c>
      <c r="K8087" s="2">
        <v>1</v>
      </c>
      <c r="L8087" s="2">
        <v>148</v>
      </c>
    </row>
    <row r="8088" spans="1:12" x14ac:dyDescent="0.25">
      <c r="A8088" s="4" t="str">
        <f>HYPERLINK("http://www.rosaceae.org/Prunus/Prunus_persica/p.persica_gdr_reftransV1_0022961","p.persica_gdr_reftransV1_0022961")</f>
        <v>p.persica_gdr_reftransV1_0022961</v>
      </c>
      <c r="B8088" s="2">
        <v>2988</v>
      </c>
      <c r="C8088" s="4" t="str">
        <f>HYPERLINK("http://www.uniprot.org/uniprot/M5VYD7","M5VYD7")</f>
        <v>M5VYD7</v>
      </c>
      <c r="D8088" s="2" t="s">
        <v>7123</v>
      </c>
      <c r="E8088" s="3">
        <v>7.5899999999999999E-121</v>
      </c>
      <c r="F8088" s="2">
        <v>981</v>
      </c>
      <c r="G8088" s="2">
        <v>87</v>
      </c>
      <c r="H8088" s="2">
        <v>264</v>
      </c>
      <c r="I8088" s="2">
        <v>2014</v>
      </c>
      <c r="J8088" s="2">
        <v>2796</v>
      </c>
      <c r="K8088" s="2">
        <v>1</v>
      </c>
      <c r="L8088" s="2">
        <v>233</v>
      </c>
    </row>
    <row r="8089" spans="1:12" x14ac:dyDescent="0.25">
      <c r="A8089" s="4" t="str">
        <f>HYPERLINK("http://www.rosaceae.org/Prunus/Prunus_persica/p.persica_gdr_reftransV1_0023661","p.persica_gdr_reftransV1_0023661")</f>
        <v>p.persica_gdr_reftransV1_0023661</v>
      </c>
      <c r="B8089" s="2">
        <v>1916</v>
      </c>
      <c r="C8089" s="4" t="str">
        <f>HYPERLINK("http://www.uniprot.org/uniprot/M5WBJ7","M5WBJ7")</f>
        <v>M5WBJ7</v>
      </c>
      <c r="D8089" s="2" t="s">
        <v>7124</v>
      </c>
      <c r="E8089" s="3">
        <v>0</v>
      </c>
      <c r="F8089" s="2">
        <v>1319</v>
      </c>
      <c r="G8089" s="2">
        <v>100</v>
      </c>
      <c r="H8089" s="2">
        <v>268</v>
      </c>
      <c r="I8089" s="2">
        <v>755</v>
      </c>
      <c r="J8089" s="2">
        <v>1558</v>
      </c>
      <c r="K8089" s="2">
        <v>86</v>
      </c>
      <c r="L8089" s="2">
        <v>353</v>
      </c>
    </row>
    <row r="8090" spans="1:12" x14ac:dyDescent="0.25">
      <c r="A8090" s="4" t="str">
        <f>HYPERLINK("http://www.rosaceae.org/Prunus/Prunus_persica/p.persica_gdr_reftransV1_0024011","p.persica_gdr_reftransV1_0024011")</f>
        <v>p.persica_gdr_reftransV1_0024011</v>
      </c>
      <c r="B8090" s="2">
        <v>2406</v>
      </c>
      <c r="C8090" s="4" t="str">
        <f>HYPERLINK("http://www.uniprot.org/uniprot/M5W8D9","M5W8D9")</f>
        <v>M5W8D9</v>
      </c>
      <c r="D8090" s="2" t="s">
        <v>7125</v>
      </c>
      <c r="E8090" s="3">
        <v>0</v>
      </c>
      <c r="F8090" s="2">
        <v>2513</v>
      </c>
      <c r="G8090" s="2">
        <v>98</v>
      </c>
      <c r="H8090" s="2">
        <v>478</v>
      </c>
      <c r="I8090" s="2">
        <v>387</v>
      </c>
      <c r="J8090" s="2">
        <v>1820</v>
      </c>
      <c r="K8090" s="2">
        <v>41</v>
      </c>
      <c r="L8090" s="2">
        <v>518</v>
      </c>
    </row>
    <row r="8091" spans="1:12" x14ac:dyDescent="0.25">
      <c r="A8091" s="4" t="str">
        <f>HYPERLINK("http://www.rosaceae.org/Prunus/Prunus_persica/p.persica_gdr_reftransV1_0026461","p.persica_gdr_reftransV1_0026461")</f>
        <v>p.persica_gdr_reftransV1_0026461</v>
      </c>
      <c r="B8091" s="2">
        <v>3242</v>
      </c>
      <c r="C8091" s="4" t="str">
        <f>HYPERLINK("http://www.uniprot.org/uniprot/M5X7J7","M5X7J7")</f>
        <v>M5X7J7</v>
      </c>
      <c r="D8091" s="2" t="s">
        <v>7126</v>
      </c>
      <c r="E8091" s="3">
        <v>0</v>
      </c>
      <c r="F8091" s="2">
        <v>2670</v>
      </c>
      <c r="G8091" s="2">
        <v>100</v>
      </c>
      <c r="H8091" s="2">
        <v>585</v>
      </c>
      <c r="I8091" s="2">
        <v>1152</v>
      </c>
      <c r="J8091" s="2">
        <v>2906</v>
      </c>
      <c r="K8091" s="2">
        <v>244</v>
      </c>
      <c r="L8091" s="2">
        <v>828</v>
      </c>
    </row>
    <row r="8092" spans="1:12" x14ac:dyDescent="0.25">
      <c r="A8092" s="4" t="str">
        <f>HYPERLINK("http://www.rosaceae.org/Prunus/Prunus_persica/p.persica_gdr_reftransV1_0027511","p.persica_gdr_reftransV1_0027511")</f>
        <v>p.persica_gdr_reftransV1_0027511</v>
      </c>
      <c r="B8092" s="2">
        <v>13971</v>
      </c>
      <c r="C8092" s="4" t="str">
        <f>HYPERLINK("http://www.uniprot.org/uniprot/F4HWS2","F4HWS2")</f>
        <v>F4HWS2</v>
      </c>
      <c r="D8092" s="2" t="s">
        <v>7127</v>
      </c>
      <c r="E8092" s="3">
        <v>0</v>
      </c>
      <c r="F8092" s="2">
        <v>14289</v>
      </c>
      <c r="G8092" s="2">
        <v>67</v>
      </c>
      <c r="H8092" s="2">
        <v>4179</v>
      </c>
      <c r="I8092" s="2">
        <v>1276</v>
      </c>
      <c r="J8092" s="2">
        <v>13683</v>
      </c>
      <c r="K8092" s="2">
        <v>12</v>
      </c>
      <c r="L8092" s="2">
        <v>4133</v>
      </c>
    </row>
    <row r="8093" spans="1:12" x14ac:dyDescent="0.25">
      <c r="A8093" s="4" t="str">
        <f>HYPERLINK("http://www.rosaceae.org/Prunus/Prunus_persica/p.persica_gdr_reftransV1_0028211","p.persica_gdr_reftransV1_0028211")</f>
        <v>p.persica_gdr_reftransV1_0028211</v>
      </c>
      <c r="B8093" s="2">
        <v>4728</v>
      </c>
      <c r="C8093" s="4" t="str">
        <f>HYPERLINK("http://www.uniprot.org/uniprot/M5WFF0","M5WFF0")</f>
        <v>M5WFF0</v>
      </c>
      <c r="D8093" s="2" t="s">
        <v>7128</v>
      </c>
      <c r="E8093" s="3">
        <v>0</v>
      </c>
      <c r="F8093" s="2">
        <v>3389</v>
      </c>
      <c r="G8093" s="2">
        <v>95</v>
      </c>
      <c r="H8093" s="2">
        <v>691</v>
      </c>
      <c r="I8093" s="2">
        <v>1247</v>
      </c>
      <c r="J8093" s="2">
        <v>3319</v>
      </c>
      <c r="K8093" s="2">
        <v>397</v>
      </c>
      <c r="L8093" s="2">
        <v>1060</v>
      </c>
    </row>
    <row r="8094" spans="1:12" x14ac:dyDescent="0.25">
      <c r="A8094" s="4" t="str">
        <f>HYPERLINK("http://www.rosaceae.org/Prunus/Prunus_persica/p.persica_gdr_reftransV1_0031011","p.persica_gdr_reftransV1_0031011")</f>
        <v>p.persica_gdr_reftransV1_0031011</v>
      </c>
      <c r="B8094" s="2">
        <v>3729</v>
      </c>
      <c r="C8094" s="4" t="str">
        <f>HYPERLINK("http://www.uniprot.org/uniprot/M5XMF7","M5XMF7")</f>
        <v>M5XMF7</v>
      </c>
      <c r="D8094" s="2" t="s">
        <v>5718</v>
      </c>
      <c r="E8094" s="3">
        <v>0</v>
      </c>
      <c r="F8094" s="2">
        <v>2259</v>
      </c>
      <c r="G8094" s="2">
        <v>100</v>
      </c>
      <c r="H8094" s="2">
        <v>468</v>
      </c>
      <c r="I8094" s="2">
        <v>2022</v>
      </c>
      <c r="J8094" s="2">
        <v>3425</v>
      </c>
      <c r="K8094" s="2">
        <v>32</v>
      </c>
      <c r="L8094" s="2">
        <v>499</v>
      </c>
    </row>
    <row r="8095" spans="1:12" x14ac:dyDescent="0.25">
      <c r="A8095" s="4" t="str">
        <f>HYPERLINK("http://www.rosaceae.org/Prunus/Prunus_persica/p.persica_gdr_reftransV1_0033461","p.persica_gdr_reftransV1_0033461")</f>
        <v>p.persica_gdr_reftransV1_0033461</v>
      </c>
      <c r="B8095" s="2">
        <v>4191</v>
      </c>
      <c r="C8095" s="4" t="str">
        <f>HYPERLINK("http://www.uniprot.org/uniprot/M5X766","M5X766")</f>
        <v>M5X766</v>
      </c>
      <c r="D8095" s="2" t="s">
        <v>7129</v>
      </c>
      <c r="E8095" s="3">
        <v>0</v>
      </c>
      <c r="F8095" s="2">
        <v>4979</v>
      </c>
      <c r="G8095" s="2">
        <v>100</v>
      </c>
      <c r="H8095" s="2">
        <v>992</v>
      </c>
      <c r="I8095" s="2">
        <v>868</v>
      </c>
      <c r="J8095" s="2">
        <v>3843</v>
      </c>
      <c r="K8095" s="2">
        <v>207</v>
      </c>
      <c r="L8095" s="2">
        <v>1198</v>
      </c>
    </row>
    <row r="8096" spans="1:12" x14ac:dyDescent="0.25">
      <c r="A8096" s="4" t="str">
        <f>HYPERLINK("http://www.rosaceae.org/Prunus/Prunus_persica/p.persica_gdr_reftransV1_0033811","p.persica_gdr_reftransV1_0033811")</f>
        <v>p.persica_gdr_reftransV1_0033811</v>
      </c>
      <c r="B8096" s="2">
        <v>2647</v>
      </c>
      <c r="C8096" s="4" t="str">
        <f>HYPERLINK("http://www.uniprot.org/uniprot/M5WY87","M5WY87")</f>
        <v>M5WY87</v>
      </c>
      <c r="D8096" s="2" t="s">
        <v>7130</v>
      </c>
      <c r="E8096" s="3">
        <v>0</v>
      </c>
      <c r="F8096" s="2">
        <v>3142</v>
      </c>
      <c r="G8096" s="2">
        <v>100</v>
      </c>
      <c r="H8096" s="2">
        <v>641</v>
      </c>
      <c r="I8096" s="2">
        <v>536</v>
      </c>
      <c r="J8096" s="2">
        <v>2458</v>
      </c>
      <c r="K8096" s="2">
        <v>1</v>
      </c>
      <c r="L8096" s="2">
        <v>641</v>
      </c>
    </row>
    <row r="8097" spans="1:12" x14ac:dyDescent="0.25">
      <c r="A8097" s="4" t="str">
        <f>HYPERLINK("http://www.rosaceae.org/Prunus/Prunus_persica/p.persica_gdr_reftransV1_0034861","p.persica_gdr_reftransV1_0034861")</f>
        <v>p.persica_gdr_reftransV1_0034861</v>
      </c>
      <c r="B8097" s="2">
        <v>969</v>
      </c>
      <c r="C8097" s="4" t="str">
        <f>HYPERLINK("http://www.uniprot.org/uniprot/M5W3Z4","M5W3Z4")</f>
        <v>M5W3Z4</v>
      </c>
      <c r="D8097" s="2" t="s">
        <v>7131</v>
      </c>
      <c r="E8097" s="3">
        <v>1.3599999999999999E-39</v>
      </c>
      <c r="F8097" s="2">
        <v>368</v>
      </c>
      <c r="G8097" s="2">
        <v>100</v>
      </c>
      <c r="H8097" s="2">
        <v>96</v>
      </c>
      <c r="I8097" s="2">
        <v>417</v>
      </c>
      <c r="J8097" s="2">
        <v>704</v>
      </c>
      <c r="K8097" s="2">
        <v>1</v>
      </c>
      <c r="L8097" s="2">
        <v>96</v>
      </c>
    </row>
    <row r="8098" spans="1:12" x14ac:dyDescent="0.25">
      <c r="A8098" s="4" t="str">
        <f>HYPERLINK("http://www.rosaceae.org/Prunus/Prunus_persica/p.persica_gdr_reftransV1_0035911","p.persica_gdr_reftransV1_0035911")</f>
        <v>p.persica_gdr_reftransV1_0035911</v>
      </c>
      <c r="B8098" s="2">
        <v>1792</v>
      </c>
      <c r="C8098" s="4" t="str">
        <f>HYPERLINK("http://www.uniprot.org/uniprot/M5WA13","M5WA13")</f>
        <v>M5WA13</v>
      </c>
      <c r="D8098" s="2" t="s">
        <v>7132</v>
      </c>
      <c r="E8098" s="3">
        <v>4.3599999999999999E-175</v>
      </c>
      <c r="F8098" s="2">
        <v>978</v>
      </c>
      <c r="G8098" s="2">
        <v>98</v>
      </c>
      <c r="H8098" s="2">
        <v>185</v>
      </c>
      <c r="I8098" s="2">
        <v>96</v>
      </c>
      <c r="J8098" s="2">
        <v>650</v>
      </c>
      <c r="K8098" s="2">
        <v>5</v>
      </c>
      <c r="L8098" s="2">
        <v>189</v>
      </c>
    </row>
    <row r="8099" spans="1:12" x14ac:dyDescent="0.25">
      <c r="A8099" s="4" t="str">
        <f>HYPERLINK("http://www.rosaceae.org/Prunus/Prunus_persica/p.persica_gdr_reftransV1_0038711","p.persica_gdr_reftransV1_0038711")</f>
        <v>p.persica_gdr_reftransV1_0038711</v>
      </c>
      <c r="B8099" s="2">
        <v>1843</v>
      </c>
      <c r="C8099" s="4" t="str">
        <f>HYPERLINK("http://www.uniprot.org/uniprot/M5XT84","M5XT84")</f>
        <v>M5XT84</v>
      </c>
      <c r="D8099" s="2" t="s">
        <v>7133</v>
      </c>
      <c r="E8099" s="3">
        <v>3.64E-65</v>
      </c>
      <c r="F8099" s="2">
        <v>566</v>
      </c>
      <c r="G8099" s="2">
        <v>100</v>
      </c>
      <c r="H8099" s="2">
        <v>161</v>
      </c>
      <c r="I8099" s="2">
        <v>289</v>
      </c>
      <c r="J8099" s="2">
        <v>771</v>
      </c>
      <c r="K8099" s="2">
        <v>1</v>
      </c>
      <c r="L8099" s="2">
        <v>161</v>
      </c>
    </row>
    <row r="8100" spans="1:12" x14ac:dyDescent="0.25">
      <c r="A8100" s="4" t="str">
        <f>HYPERLINK("http://www.rosaceae.org/Prunus/Prunus_persica/p.persica_gdr_reftransV1_0039061","p.persica_gdr_reftransV1_0039061")</f>
        <v>p.persica_gdr_reftransV1_0039061</v>
      </c>
      <c r="B8100" s="2">
        <v>1328</v>
      </c>
      <c r="C8100" s="4" t="str">
        <f>HYPERLINK("http://www.uniprot.org/uniprot/M5WN58","M5WN58")</f>
        <v>M5WN58</v>
      </c>
      <c r="D8100" s="2" t="s">
        <v>7134</v>
      </c>
      <c r="E8100" s="3">
        <v>7.4000000000000003E-145</v>
      </c>
      <c r="F8100" s="2">
        <v>1093</v>
      </c>
      <c r="G8100" s="2">
        <v>98</v>
      </c>
      <c r="H8100" s="2">
        <v>212</v>
      </c>
      <c r="I8100" s="2">
        <v>318</v>
      </c>
      <c r="J8100" s="2">
        <v>953</v>
      </c>
      <c r="K8100" s="2">
        <v>36</v>
      </c>
      <c r="L8100" s="2">
        <v>247</v>
      </c>
    </row>
    <row r="8101" spans="1:12" x14ac:dyDescent="0.25">
      <c r="A8101" s="4" t="str">
        <f>HYPERLINK("http://www.rosaceae.org/Prunus/Prunus_persica/p.persica_gdr_reftransV1_0040811","p.persica_gdr_reftransV1_0040811")</f>
        <v>p.persica_gdr_reftransV1_0040811</v>
      </c>
      <c r="B8101" s="2">
        <v>1491</v>
      </c>
      <c r="C8101" s="4" t="str">
        <f>HYPERLINK("http://www.uniprot.org/uniprot/M5W9U5","M5W9U5")</f>
        <v>M5W9U5</v>
      </c>
      <c r="D8101" s="2" t="s">
        <v>7135</v>
      </c>
      <c r="E8101" s="3">
        <v>0</v>
      </c>
      <c r="F8101" s="2">
        <v>1611</v>
      </c>
      <c r="G8101" s="2">
        <v>99</v>
      </c>
      <c r="H8101" s="2">
        <v>330</v>
      </c>
      <c r="I8101" s="2">
        <v>389</v>
      </c>
      <c r="J8101" s="2">
        <v>1378</v>
      </c>
      <c r="K8101" s="2">
        <v>20</v>
      </c>
      <c r="L8101" s="2">
        <v>349</v>
      </c>
    </row>
    <row r="8102" spans="1:12" x14ac:dyDescent="0.25">
      <c r="A8102" s="4" t="str">
        <f>HYPERLINK("http://www.rosaceae.org/Prunus/Prunus_persica/p.persica_gdr_reftransV1_0043261","p.persica_gdr_reftransV1_0043261")</f>
        <v>p.persica_gdr_reftransV1_0043261</v>
      </c>
      <c r="B8102" s="2">
        <v>726</v>
      </c>
      <c r="C8102" s="4" t="str">
        <f>HYPERLINK("http://www.uniprot.org/uniprot/M5WRK4","M5WRK4")</f>
        <v>M5WRK4</v>
      </c>
      <c r="D8102" s="2" t="s">
        <v>7136</v>
      </c>
      <c r="E8102" s="3">
        <v>1.38E-41</v>
      </c>
      <c r="F8102" s="2">
        <v>378</v>
      </c>
      <c r="G8102" s="2">
        <v>94</v>
      </c>
      <c r="H8102" s="2">
        <v>81</v>
      </c>
      <c r="I8102" s="2">
        <v>118</v>
      </c>
      <c r="J8102" s="2">
        <v>360</v>
      </c>
      <c r="K8102" s="2">
        <v>1</v>
      </c>
      <c r="L8102" s="2">
        <v>81</v>
      </c>
    </row>
    <row r="8103" spans="1:12" x14ac:dyDescent="0.25">
      <c r="A8103" s="4" t="str">
        <f>HYPERLINK("http://www.rosaceae.org/Prunus/Prunus_persica/p.persica_gdr_reftransV1_0043611","p.persica_gdr_reftransV1_0043611")</f>
        <v>p.persica_gdr_reftransV1_0043611</v>
      </c>
      <c r="B8103" s="2">
        <v>2282</v>
      </c>
      <c r="C8103" s="4" t="str">
        <f>HYPERLINK("http://www.uniprot.org/uniprot/M5XVG2","M5XVG2")</f>
        <v>M5XVG2</v>
      </c>
      <c r="D8103" s="2" t="s">
        <v>1990</v>
      </c>
      <c r="E8103" s="3">
        <v>0</v>
      </c>
      <c r="F8103" s="2">
        <v>3559</v>
      </c>
      <c r="G8103" s="2">
        <v>100</v>
      </c>
      <c r="H8103" s="2">
        <v>692</v>
      </c>
      <c r="I8103" s="2">
        <v>1</v>
      </c>
      <c r="J8103" s="2">
        <v>2076</v>
      </c>
      <c r="K8103" s="2">
        <v>1401</v>
      </c>
      <c r="L8103" s="2">
        <v>2092</v>
      </c>
    </row>
    <row r="8104" spans="1:12" x14ac:dyDescent="0.25">
      <c r="A8104" s="4" t="str">
        <f>HYPERLINK("http://www.rosaceae.org/Prunus/Prunus_persica/p.persica_gdr_reftransV1_0043961","p.persica_gdr_reftransV1_0043961")</f>
        <v>p.persica_gdr_reftransV1_0043961</v>
      </c>
      <c r="B8104" s="2">
        <v>802</v>
      </c>
      <c r="C8104" s="4" t="str">
        <f>HYPERLINK("http://www.uniprot.org/uniprot/M5VHT6","M5VHT6")</f>
        <v>M5VHT6</v>
      </c>
      <c r="D8104" s="2" t="s">
        <v>4858</v>
      </c>
      <c r="E8104" s="3">
        <v>3.6099999999999997E-100</v>
      </c>
      <c r="F8104" s="2">
        <v>835</v>
      </c>
      <c r="G8104" s="2">
        <v>100</v>
      </c>
      <c r="H8104" s="2">
        <v>184</v>
      </c>
      <c r="I8104" s="2">
        <v>251</v>
      </c>
      <c r="J8104" s="2">
        <v>802</v>
      </c>
      <c r="K8104" s="2">
        <v>839</v>
      </c>
      <c r="L8104" s="2">
        <v>1022</v>
      </c>
    </row>
    <row r="8105" spans="1:12" x14ac:dyDescent="0.25">
      <c r="A8105" s="4" t="str">
        <f>HYPERLINK("http://www.rosaceae.org/Prunus/Prunus_persica/p.persica_gdr_reftransV1_0044311","p.persica_gdr_reftransV1_0044311")</f>
        <v>p.persica_gdr_reftransV1_0044311</v>
      </c>
      <c r="B8105" s="2">
        <v>375</v>
      </c>
      <c r="C8105" s="4" t="str">
        <f>HYPERLINK("http://www.uniprot.org/uniprot/M5WF08","M5WF08")</f>
        <v>M5WF08</v>
      </c>
      <c r="D8105" s="2" t="s">
        <v>6590</v>
      </c>
      <c r="E8105" s="3">
        <v>6.2700000000000003E-52</v>
      </c>
      <c r="F8105" s="2">
        <v>454</v>
      </c>
      <c r="G8105" s="2">
        <v>100</v>
      </c>
      <c r="H8105" s="2">
        <v>106</v>
      </c>
      <c r="I8105" s="2">
        <v>3</v>
      </c>
      <c r="J8105" s="2">
        <v>320</v>
      </c>
      <c r="K8105" s="2">
        <v>1</v>
      </c>
      <c r="L8105" s="2">
        <v>106</v>
      </c>
    </row>
    <row r="8106" spans="1:12" x14ac:dyDescent="0.25">
      <c r="A8106" s="4" t="str">
        <f>HYPERLINK("http://www.rosaceae.org/Prunus/Prunus_persica/p.persica_gdr_reftransV1_0044661","p.persica_gdr_reftransV1_0044661")</f>
        <v>p.persica_gdr_reftransV1_0044661</v>
      </c>
      <c r="B8106" s="2">
        <v>1850</v>
      </c>
      <c r="C8106" s="4" t="str">
        <f>HYPERLINK("http://www.uniprot.org/uniprot/M5XM14","M5XM14")</f>
        <v>M5XM14</v>
      </c>
      <c r="D8106" s="2" t="s">
        <v>7137</v>
      </c>
      <c r="E8106" s="3">
        <v>0</v>
      </c>
      <c r="F8106" s="2">
        <v>2536</v>
      </c>
      <c r="G8106" s="2">
        <v>100</v>
      </c>
      <c r="H8106" s="2">
        <v>526</v>
      </c>
      <c r="I8106" s="2">
        <v>3</v>
      </c>
      <c r="J8106" s="2">
        <v>1580</v>
      </c>
      <c r="K8106" s="2">
        <v>405</v>
      </c>
      <c r="L8106" s="2">
        <v>930</v>
      </c>
    </row>
    <row r="8107" spans="1:12" x14ac:dyDescent="0.25">
      <c r="A8107" s="4" t="str">
        <f>HYPERLINK("http://www.rosaceae.org/Prunus/Prunus_persica/p.persica_gdr_reftransV1_0045011","p.persica_gdr_reftransV1_0045011")</f>
        <v>p.persica_gdr_reftransV1_0045011</v>
      </c>
      <c r="B8107" s="2">
        <v>350</v>
      </c>
      <c r="C8107" s="4" t="str">
        <f>HYPERLINK("http://www.uniprot.org/uniprot/B9RA45","B9RA45")</f>
        <v>B9RA45</v>
      </c>
      <c r="D8107" s="2" t="s">
        <v>7138</v>
      </c>
      <c r="E8107" s="3">
        <v>1.43E-21</v>
      </c>
      <c r="F8107" s="2">
        <v>244</v>
      </c>
      <c r="G8107" s="2">
        <v>52</v>
      </c>
      <c r="H8107" s="2">
        <v>112</v>
      </c>
      <c r="I8107" s="2">
        <v>1</v>
      </c>
      <c r="J8107" s="2">
        <v>333</v>
      </c>
      <c r="K8107" s="2">
        <v>27</v>
      </c>
      <c r="L8107" s="2">
        <v>138</v>
      </c>
    </row>
    <row r="8108" spans="1:12" x14ac:dyDescent="0.25">
      <c r="A8108" s="4" t="str">
        <f>HYPERLINK("http://www.rosaceae.org/Prunus/Prunus_persica/p.persica_gdr_reftransV1_0045361","p.persica_gdr_reftransV1_0045361")</f>
        <v>p.persica_gdr_reftransV1_0045361</v>
      </c>
      <c r="B8108" s="2">
        <v>576</v>
      </c>
      <c r="C8108" s="4" t="str">
        <f>HYPERLINK("http://www.uniprot.org/uniprot/M5XIJ6","M5XIJ6")</f>
        <v>M5XIJ6</v>
      </c>
      <c r="D8108" s="2" t="s">
        <v>7139</v>
      </c>
      <c r="E8108" s="3">
        <v>2.3399999999999999E-113</v>
      </c>
      <c r="F8108" s="2">
        <v>852</v>
      </c>
      <c r="G8108" s="2">
        <v>100</v>
      </c>
      <c r="H8108" s="2">
        <v>179</v>
      </c>
      <c r="I8108" s="2">
        <v>22</v>
      </c>
      <c r="J8108" s="2">
        <v>558</v>
      </c>
      <c r="K8108" s="2">
        <v>1</v>
      </c>
      <c r="L8108" s="2">
        <v>179</v>
      </c>
    </row>
    <row r="8109" spans="1:12" x14ac:dyDescent="0.25">
      <c r="A8109" s="4" t="str">
        <f>HYPERLINK("http://www.rosaceae.org/Prunus/Prunus_persica/p.persica_gdr_reftransV1_0045711","p.persica_gdr_reftransV1_0045711")</f>
        <v>p.persica_gdr_reftransV1_0045711</v>
      </c>
      <c r="B8109" s="2">
        <v>1468</v>
      </c>
      <c r="C8109" s="4" t="str">
        <f>HYPERLINK("http://www.uniprot.org/uniprot/M5WTZ4","M5WTZ4")</f>
        <v>M5WTZ4</v>
      </c>
      <c r="D8109" s="2" t="s">
        <v>7140</v>
      </c>
      <c r="E8109" s="3">
        <v>7.7500000000000002E-145</v>
      </c>
      <c r="F8109" s="2">
        <v>1094</v>
      </c>
      <c r="G8109" s="2">
        <v>97</v>
      </c>
      <c r="H8109" s="2">
        <v>214</v>
      </c>
      <c r="I8109" s="2">
        <v>376</v>
      </c>
      <c r="J8109" s="2">
        <v>1017</v>
      </c>
      <c r="K8109" s="2">
        <v>1</v>
      </c>
      <c r="L8109" s="2">
        <v>214</v>
      </c>
    </row>
    <row r="8110" spans="1:12" x14ac:dyDescent="0.25">
      <c r="A8110" s="4" t="str">
        <f>HYPERLINK("http://www.rosaceae.org/Prunus/Prunus_persica/p.persica_gdr_reftransV1_0046061","p.persica_gdr_reftransV1_0046061")</f>
        <v>p.persica_gdr_reftransV1_0046061</v>
      </c>
      <c r="B8110" s="2">
        <v>1592</v>
      </c>
      <c r="C8110" s="4" t="str">
        <f>HYPERLINK("http://www.uniprot.org/uniprot/M5XCU4","M5XCU4")</f>
        <v>M5XCU4</v>
      </c>
      <c r="D8110" s="2" t="s">
        <v>7141</v>
      </c>
      <c r="E8110" s="3">
        <v>0</v>
      </c>
      <c r="F8110" s="2">
        <v>1444</v>
      </c>
      <c r="G8110" s="2">
        <v>86</v>
      </c>
      <c r="H8110" s="2">
        <v>374</v>
      </c>
      <c r="I8110" s="2">
        <v>85</v>
      </c>
      <c r="J8110" s="2">
        <v>1206</v>
      </c>
      <c r="K8110" s="2">
        <v>1</v>
      </c>
      <c r="L8110" s="2">
        <v>321</v>
      </c>
    </row>
    <row r="8111" spans="1:12" x14ac:dyDescent="0.25">
      <c r="A8111" s="4" t="str">
        <f>HYPERLINK("http://www.rosaceae.org/Prunus/Prunus_persica/p.persica_gdr_reftransV1_0046411","p.persica_gdr_reftransV1_0046411")</f>
        <v>p.persica_gdr_reftransV1_0046411</v>
      </c>
      <c r="B8111" s="2">
        <v>1162</v>
      </c>
      <c r="C8111" s="4" t="str">
        <f>HYPERLINK("http://www.uniprot.org/uniprot/M5WIX8","M5WIX8")</f>
        <v>M5WIX8</v>
      </c>
      <c r="D8111" s="2" t="s">
        <v>7142</v>
      </c>
      <c r="E8111" s="3">
        <v>9.5800000000000002E-144</v>
      </c>
      <c r="F8111" s="2">
        <v>1077</v>
      </c>
      <c r="G8111" s="2">
        <v>100</v>
      </c>
      <c r="H8111" s="2">
        <v>218</v>
      </c>
      <c r="I8111" s="2">
        <v>212</v>
      </c>
      <c r="J8111" s="2">
        <v>865</v>
      </c>
      <c r="K8111" s="2">
        <v>1</v>
      </c>
      <c r="L8111" s="2">
        <v>218</v>
      </c>
    </row>
    <row r="8112" spans="1:12" x14ac:dyDescent="0.25">
      <c r="A8112" s="4" t="str">
        <f>HYPERLINK("http://www.rosaceae.org/Prunus/Prunus_persica/p.persica_gdr_reftransV1_0046761","p.persica_gdr_reftransV1_0046761")</f>
        <v>p.persica_gdr_reftransV1_0046761</v>
      </c>
      <c r="B8112" s="2">
        <v>1419</v>
      </c>
      <c r="C8112" s="4" t="str">
        <f>HYPERLINK("http://www.uniprot.org/uniprot/M5XCU8","M5XCU8")</f>
        <v>M5XCU8</v>
      </c>
      <c r="D8112" s="2" t="s">
        <v>7143</v>
      </c>
      <c r="E8112" s="3">
        <v>9.4800000000000004E-179</v>
      </c>
      <c r="F8112" s="2">
        <v>1327</v>
      </c>
      <c r="G8112" s="2">
        <v>90</v>
      </c>
      <c r="H8112" s="2">
        <v>287</v>
      </c>
      <c r="I8112" s="2">
        <v>219</v>
      </c>
      <c r="J8112" s="2">
        <v>1049</v>
      </c>
      <c r="K8112" s="2">
        <v>31</v>
      </c>
      <c r="L8112" s="2">
        <v>314</v>
      </c>
    </row>
    <row r="8113" spans="1:12" x14ac:dyDescent="0.25">
      <c r="A8113" s="4" t="str">
        <f>HYPERLINK("http://www.rosaceae.org/Prunus/Prunus_persica/p.persica_gdr_reftransV1_0047111","p.persica_gdr_reftransV1_0047111")</f>
        <v>p.persica_gdr_reftransV1_0047111</v>
      </c>
      <c r="B8113" s="2">
        <v>2716</v>
      </c>
      <c r="C8113" s="4" t="str">
        <f>HYPERLINK("http://www.uniprot.org/uniprot/M5X7E8","M5X7E8")</f>
        <v>M5X7E8</v>
      </c>
      <c r="D8113" s="2" t="s">
        <v>7144</v>
      </c>
      <c r="E8113" s="3">
        <v>0</v>
      </c>
      <c r="F8113" s="2">
        <v>3430</v>
      </c>
      <c r="G8113" s="2">
        <v>100</v>
      </c>
      <c r="H8113" s="2">
        <v>669</v>
      </c>
      <c r="I8113" s="2">
        <v>320</v>
      </c>
      <c r="J8113" s="2">
        <v>2326</v>
      </c>
      <c r="K8113" s="2">
        <v>1</v>
      </c>
      <c r="L8113" s="2">
        <v>669</v>
      </c>
    </row>
    <row r="8114" spans="1:12" x14ac:dyDescent="0.25">
      <c r="A8114" s="4" t="str">
        <f>HYPERLINK("http://www.rosaceae.org/Prunus/Prunus_persica/p.persica_gdr_reftransV1_0047461","p.persica_gdr_reftransV1_0047461")</f>
        <v>p.persica_gdr_reftransV1_0047461</v>
      </c>
      <c r="B8114" s="2">
        <v>884</v>
      </c>
      <c r="C8114" s="4" t="str">
        <f>HYPERLINK("http://www.uniprot.org/uniprot/M5WJ16","M5WJ16")</f>
        <v>M5WJ16</v>
      </c>
      <c r="D8114" s="2" t="s">
        <v>7145</v>
      </c>
      <c r="E8114" s="3">
        <v>1.0699999999999999E-112</v>
      </c>
      <c r="F8114" s="2">
        <v>861</v>
      </c>
      <c r="G8114" s="2">
        <v>100</v>
      </c>
      <c r="H8114" s="2">
        <v>202</v>
      </c>
      <c r="I8114" s="2">
        <v>229</v>
      </c>
      <c r="J8114" s="2">
        <v>834</v>
      </c>
      <c r="K8114" s="2">
        <v>1</v>
      </c>
      <c r="L8114" s="2">
        <v>202</v>
      </c>
    </row>
    <row r="8115" spans="1:12" x14ac:dyDescent="0.25">
      <c r="A8115" s="4" t="str">
        <f>HYPERLINK("http://www.rosaceae.org/Prunus/Prunus_persica/p.persica_gdr_reftransV1_0047811","p.persica_gdr_reftransV1_0047811")</f>
        <v>p.persica_gdr_reftransV1_0047811</v>
      </c>
      <c r="B8115" s="2">
        <v>1159</v>
      </c>
      <c r="C8115" s="4" t="str">
        <f>HYPERLINK("http://www.uniprot.org/uniprot/M5XHH2","M5XHH2")</f>
        <v>M5XHH2</v>
      </c>
      <c r="D8115" s="2" t="s">
        <v>7146</v>
      </c>
      <c r="E8115" s="3">
        <v>2.32E-79</v>
      </c>
      <c r="F8115" s="2">
        <v>688</v>
      </c>
      <c r="G8115" s="2">
        <v>50</v>
      </c>
      <c r="H8115" s="2">
        <v>321</v>
      </c>
      <c r="I8115" s="2">
        <v>6</v>
      </c>
      <c r="J8115" s="2">
        <v>944</v>
      </c>
      <c r="K8115" s="2">
        <v>8</v>
      </c>
      <c r="L8115" s="2">
        <v>298</v>
      </c>
    </row>
    <row r="8116" spans="1:12" x14ac:dyDescent="0.25">
      <c r="A8116" s="4" t="str">
        <f>HYPERLINK("http://www.rosaceae.org/Prunus/Prunus_persica/p.persica_gdr_reftransV1_0048161","p.persica_gdr_reftransV1_0048161")</f>
        <v>p.persica_gdr_reftransV1_0048161</v>
      </c>
      <c r="B8116" s="2">
        <v>587</v>
      </c>
      <c r="C8116" s="4" t="str">
        <f>HYPERLINK("http://www.uniprot.org/uniprot/M5Y4A9","M5Y4A9")</f>
        <v>M5Y4A9</v>
      </c>
      <c r="D8116" s="2" t="s">
        <v>1586</v>
      </c>
      <c r="E8116" s="3">
        <v>4.4599999999999999E-130</v>
      </c>
      <c r="F8116" s="2">
        <v>1043</v>
      </c>
      <c r="G8116" s="2">
        <v>100</v>
      </c>
      <c r="H8116" s="2">
        <v>195</v>
      </c>
      <c r="I8116" s="2">
        <v>1</v>
      </c>
      <c r="J8116" s="2">
        <v>585</v>
      </c>
      <c r="K8116" s="2">
        <v>2</v>
      </c>
      <c r="L8116" s="2">
        <v>196</v>
      </c>
    </row>
    <row r="8117" spans="1:12" x14ac:dyDescent="0.25">
      <c r="A8117" s="4" t="str">
        <f>HYPERLINK("http://www.rosaceae.org/Prunus/Prunus_persica/p.persica_gdr_reftransV1_0048511","p.persica_gdr_reftransV1_0048511")</f>
        <v>p.persica_gdr_reftransV1_0048511</v>
      </c>
      <c r="B8117" s="2">
        <v>1047</v>
      </c>
      <c r="C8117" s="4" t="str">
        <f>HYPERLINK("http://www.uniprot.org/uniprot/M5WC17","M5WC17")</f>
        <v>M5WC17</v>
      </c>
      <c r="D8117" s="2" t="s">
        <v>1574</v>
      </c>
      <c r="E8117" s="3">
        <v>0</v>
      </c>
      <c r="F8117" s="2">
        <v>1635</v>
      </c>
      <c r="G8117" s="2">
        <v>100</v>
      </c>
      <c r="H8117" s="2">
        <v>306</v>
      </c>
      <c r="I8117" s="2">
        <v>25</v>
      </c>
      <c r="J8117" s="2">
        <v>942</v>
      </c>
      <c r="K8117" s="2">
        <v>1</v>
      </c>
      <c r="L8117" s="2">
        <v>306</v>
      </c>
    </row>
    <row r="8118" spans="1:12" x14ac:dyDescent="0.25">
      <c r="A8118" s="4" t="str">
        <f>HYPERLINK("http://www.rosaceae.org/Prunus/Prunus_persica/p.persica_gdr_reftransV1_0048861","p.persica_gdr_reftransV1_0048861")</f>
        <v>p.persica_gdr_reftransV1_0048861</v>
      </c>
      <c r="B8118" s="2">
        <v>1173</v>
      </c>
      <c r="C8118" s="4" t="str">
        <f>HYPERLINK("http://www.uniprot.org/uniprot/M5XKJ1","M5XKJ1")</f>
        <v>M5XKJ1</v>
      </c>
      <c r="D8118" s="2" t="s">
        <v>7147</v>
      </c>
      <c r="E8118" s="3">
        <v>3.1899999999999998E-124</v>
      </c>
      <c r="F8118" s="2">
        <v>949</v>
      </c>
      <c r="G8118" s="2">
        <v>100</v>
      </c>
      <c r="H8118" s="2">
        <v>209</v>
      </c>
      <c r="I8118" s="2">
        <v>208</v>
      </c>
      <c r="J8118" s="2">
        <v>834</v>
      </c>
      <c r="K8118" s="2">
        <v>20</v>
      </c>
      <c r="L8118" s="2">
        <v>228</v>
      </c>
    </row>
    <row r="8119" spans="1:12" x14ac:dyDescent="0.25">
      <c r="A8119" s="4" t="str">
        <f>HYPERLINK("http://www.rosaceae.org/Prunus/Prunus_persica/p.persica_gdr_reftransV1_0000212","p.persica_gdr_reftransV1_0000212")</f>
        <v>p.persica_gdr_reftransV1_0000212</v>
      </c>
      <c r="B8119" s="2">
        <v>314</v>
      </c>
      <c r="C8119" s="4" t="str">
        <f>HYPERLINK("http://www.uniprot.org/uniprot/M5VTI0","M5VTI0")</f>
        <v>M5VTI0</v>
      </c>
      <c r="D8119" s="2" t="s">
        <v>7148</v>
      </c>
      <c r="E8119" s="3">
        <v>7.6699999999999994E-55</v>
      </c>
      <c r="F8119" s="2">
        <v>453</v>
      </c>
      <c r="G8119" s="2">
        <v>100</v>
      </c>
      <c r="H8119" s="2">
        <v>102</v>
      </c>
      <c r="I8119" s="2">
        <v>8</v>
      </c>
      <c r="J8119" s="2">
        <v>313</v>
      </c>
      <c r="K8119" s="2">
        <v>58</v>
      </c>
      <c r="L8119" s="2">
        <v>159</v>
      </c>
    </row>
    <row r="8120" spans="1:12" x14ac:dyDescent="0.25">
      <c r="A8120" s="4" t="str">
        <f>HYPERLINK("http://www.rosaceae.org/Prunus/Prunus_persica/p.persica_gdr_reftransV1_0000562","p.persica_gdr_reftransV1_0000562")</f>
        <v>p.persica_gdr_reftransV1_0000562</v>
      </c>
      <c r="B8120" s="2">
        <v>2047</v>
      </c>
      <c r="C8120" s="4" t="str">
        <f>HYPERLINK("http://www.uniprot.org/uniprot/M5XC43","M5XC43")</f>
        <v>M5XC43</v>
      </c>
      <c r="D8120" s="2" t="s">
        <v>1569</v>
      </c>
      <c r="E8120" s="3">
        <v>0</v>
      </c>
      <c r="F8120" s="2">
        <v>1590</v>
      </c>
      <c r="G8120" s="2">
        <v>100</v>
      </c>
      <c r="H8120" s="2">
        <v>340</v>
      </c>
      <c r="I8120" s="2">
        <v>241</v>
      </c>
      <c r="J8120" s="2">
        <v>1260</v>
      </c>
      <c r="K8120" s="2">
        <v>1</v>
      </c>
      <c r="L8120" s="2">
        <v>340</v>
      </c>
    </row>
    <row r="8121" spans="1:12" x14ac:dyDescent="0.25">
      <c r="A8121" s="4" t="str">
        <f>HYPERLINK("http://www.rosaceae.org/Prunus/Prunus_persica/p.persica_gdr_reftransV1_0001262","p.persica_gdr_reftransV1_0001262")</f>
        <v>p.persica_gdr_reftransV1_0001262</v>
      </c>
      <c r="B8121" s="2">
        <v>405</v>
      </c>
      <c r="C8121" s="4" t="str">
        <f>HYPERLINK("http://www.uniprot.org/uniprot/M5WX55","M5WX55")</f>
        <v>M5WX55</v>
      </c>
      <c r="D8121" s="2" t="s">
        <v>7149</v>
      </c>
      <c r="E8121" s="3">
        <v>7.9200000000000003E-85</v>
      </c>
      <c r="F8121" s="2">
        <v>718</v>
      </c>
      <c r="G8121" s="2">
        <v>99</v>
      </c>
      <c r="H8121" s="2">
        <v>134</v>
      </c>
      <c r="I8121" s="2">
        <v>3</v>
      </c>
      <c r="J8121" s="2">
        <v>404</v>
      </c>
      <c r="K8121" s="2">
        <v>1173</v>
      </c>
      <c r="L8121" s="2">
        <v>1306</v>
      </c>
    </row>
    <row r="8122" spans="1:12" x14ac:dyDescent="0.25">
      <c r="A8122" s="4" t="str">
        <f>HYPERLINK("http://www.rosaceae.org/Prunus/Prunus_persica/p.persica_gdr_reftransV1_0001612","p.persica_gdr_reftransV1_0001612")</f>
        <v>p.persica_gdr_reftransV1_0001612</v>
      </c>
      <c r="B8122" s="2">
        <v>1257</v>
      </c>
      <c r="C8122" s="4" t="str">
        <f>HYPERLINK("http://www.uniprot.org/uniprot/M5W0K8","M5W0K8")</f>
        <v>M5W0K8</v>
      </c>
      <c r="D8122" s="2" t="s">
        <v>7150</v>
      </c>
      <c r="E8122" s="3">
        <v>3.7600000000000001E-165</v>
      </c>
      <c r="F8122" s="2">
        <v>1228</v>
      </c>
      <c r="G8122" s="2">
        <v>100</v>
      </c>
      <c r="H8122" s="2">
        <v>256</v>
      </c>
      <c r="I8122" s="2">
        <v>76</v>
      </c>
      <c r="J8122" s="2">
        <v>843</v>
      </c>
      <c r="K8122" s="2">
        <v>1</v>
      </c>
      <c r="L8122" s="2">
        <v>256</v>
      </c>
    </row>
    <row r="8123" spans="1:12" x14ac:dyDescent="0.25">
      <c r="A8123" s="4" t="str">
        <f>HYPERLINK("http://www.rosaceae.org/Prunus/Prunus_persica/p.persica_gdr_reftransV1_0001962","p.persica_gdr_reftransV1_0001962")</f>
        <v>p.persica_gdr_reftransV1_0001962</v>
      </c>
      <c r="B8123" s="2">
        <v>2707</v>
      </c>
      <c r="C8123" s="4" t="str">
        <f>HYPERLINK("http://www.uniprot.org/uniprot/M5WFN1","M5WFN1")</f>
        <v>M5WFN1</v>
      </c>
      <c r="D8123" s="2" t="s">
        <v>7151</v>
      </c>
      <c r="E8123" s="3">
        <v>0</v>
      </c>
      <c r="F8123" s="2">
        <v>3266</v>
      </c>
      <c r="G8123" s="2">
        <v>95</v>
      </c>
      <c r="H8123" s="2">
        <v>709</v>
      </c>
      <c r="I8123" s="2">
        <v>228</v>
      </c>
      <c r="J8123" s="2">
        <v>2354</v>
      </c>
      <c r="K8123" s="2">
        <v>1</v>
      </c>
      <c r="L8123" s="2">
        <v>706</v>
      </c>
    </row>
    <row r="8124" spans="1:12" x14ac:dyDescent="0.25">
      <c r="A8124" s="4" t="str">
        <f>HYPERLINK("http://www.rosaceae.org/Prunus/Prunus_persica/p.persica_gdr_reftransV1_0002312","p.persica_gdr_reftransV1_0002312")</f>
        <v>p.persica_gdr_reftransV1_0002312</v>
      </c>
      <c r="B8124" s="2">
        <v>4764</v>
      </c>
      <c r="C8124" s="4" t="str">
        <f>HYPERLINK("http://www.uniprot.org/uniprot/M5VX46","M5VX46")</f>
        <v>M5VX46</v>
      </c>
      <c r="D8124" s="2" t="s">
        <v>7152</v>
      </c>
      <c r="E8124" s="3">
        <v>0</v>
      </c>
      <c r="F8124" s="2">
        <v>4513</v>
      </c>
      <c r="G8124" s="2">
        <v>97</v>
      </c>
      <c r="H8124" s="2">
        <v>898</v>
      </c>
      <c r="I8124" s="2">
        <v>1014</v>
      </c>
      <c r="J8124" s="2">
        <v>3707</v>
      </c>
      <c r="K8124" s="2">
        <v>1</v>
      </c>
      <c r="L8124" s="2">
        <v>872</v>
      </c>
    </row>
    <row r="8125" spans="1:12" x14ac:dyDescent="0.25">
      <c r="A8125" s="4" t="str">
        <f>HYPERLINK("http://www.rosaceae.org/Prunus/Prunus_persica/p.persica_gdr_reftransV1_0002662","p.persica_gdr_reftransV1_0002662")</f>
        <v>p.persica_gdr_reftransV1_0002662</v>
      </c>
      <c r="B8125" s="2">
        <v>665</v>
      </c>
      <c r="C8125" s="4" t="str">
        <f>HYPERLINK("http://www.uniprot.org/uniprot/A0A0B7KDR2","A0A0B7KDR2")</f>
        <v>A0A0B7KDR2</v>
      </c>
      <c r="D8125" s="2" t="s">
        <v>7153</v>
      </c>
      <c r="E8125" s="3">
        <v>1.27E-48</v>
      </c>
      <c r="F8125" s="2">
        <v>425</v>
      </c>
      <c r="G8125" s="2">
        <v>97</v>
      </c>
      <c r="H8125" s="2">
        <v>116</v>
      </c>
      <c r="I8125" s="2">
        <v>2</v>
      </c>
      <c r="J8125" s="2">
        <v>349</v>
      </c>
      <c r="K8125" s="2">
        <v>47</v>
      </c>
      <c r="L8125" s="2">
        <v>162</v>
      </c>
    </row>
    <row r="8126" spans="1:12" x14ac:dyDescent="0.25">
      <c r="A8126" s="4" t="str">
        <f>HYPERLINK("http://www.rosaceae.org/Prunus/Prunus_persica/p.persica_gdr_reftransV1_0003012","p.persica_gdr_reftransV1_0003012")</f>
        <v>p.persica_gdr_reftransV1_0003012</v>
      </c>
      <c r="B8126" s="2">
        <v>1260</v>
      </c>
      <c r="C8126" s="4" t="str">
        <f>HYPERLINK("http://www.uniprot.org/uniprot/M5Y636","M5Y636")</f>
        <v>M5Y636</v>
      </c>
      <c r="D8126" s="2" t="s">
        <v>7154</v>
      </c>
      <c r="E8126" s="3">
        <v>0</v>
      </c>
      <c r="F8126" s="2">
        <v>1525</v>
      </c>
      <c r="G8126" s="2">
        <v>100</v>
      </c>
      <c r="H8126" s="2">
        <v>285</v>
      </c>
      <c r="I8126" s="2">
        <v>406</v>
      </c>
      <c r="J8126" s="2">
        <v>1260</v>
      </c>
      <c r="K8126" s="2">
        <v>97</v>
      </c>
      <c r="L8126" s="2">
        <v>381</v>
      </c>
    </row>
    <row r="8127" spans="1:12" x14ac:dyDescent="0.25">
      <c r="A8127" s="4" t="str">
        <f>HYPERLINK("http://www.rosaceae.org/Prunus/Prunus_persica/p.persica_gdr_reftransV1_0003362","p.persica_gdr_reftransV1_0003362")</f>
        <v>p.persica_gdr_reftransV1_0003362</v>
      </c>
      <c r="B8127" s="2">
        <v>1181</v>
      </c>
      <c r="C8127" s="4" t="str">
        <f>HYPERLINK("http://www.uniprot.org/uniprot/M5WEK0","M5WEK0")</f>
        <v>M5WEK0</v>
      </c>
      <c r="D8127" s="2" t="s">
        <v>7155</v>
      </c>
      <c r="E8127" s="3">
        <v>0</v>
      </c>
      <c r="F8127" s="2">
        <v>1342</v>
      </c>
      <c r="G8127" s="2">
        <v>100</v>
      </c>
      <c r="H8127" s="2">
        <v>301</v>
      </c>
      <c r="I8127" s="2">
        <v>97</v>
      </c>
      <c r="J8127" s="2">
        <v>999</v>
      </c>
      <c r="K8127" s="2">
        <v>1</v>
      </c>
      <c r="L8127" s="2">
        <v>301</v>
      </c>
    </row>
    <row r="8128" spans="1:12" x14ac:dyDescent="0.25">
      <c r="A8128" s="4" t="str">
        <f>HYPERLINK("http://www.rosaceae.org/Prunus/Prunus_persica/p.persica_gdr_reftransV1_0003712","p.persica_gdr_reftransV1_0003712")</f>
        <v>p.persica_gdr_reftransV1_0003712</v>
      </c>
      <c r="B8128" s="2">
        <v>1185</v>
      </c>
      <c r="C8128" s="4" t="str">
        <f>HYPERLINK("http://www.uniprot.org/uniprot/M5WJQ4","M5WJQ4")</f>
        <v>M5WJQ4</v>
      </c>
      <c r="D8128" s="2" t="s">
        <v>7156</v>
      </c>
      <c r="E8128" s="3">
        <v>1.9900000000000001E-79</v>
      </c>
      <c r="F8128" s="2">
        <v>652</v>
      </c>
      <c r="G8128" s="2">
        <v>100</v>
      </c>
      <c r="H8128" s="2">
        <v>227</v>
      </c>
      <c r="I8128" s="2">
        <v>127</v>
      </c>
      <c r="J8128" s="2">
        <v>807</v>
      </c>
      <c r="K8128" s="2">
        <v>1</v>
      </c>
      <c r="L8128" s="2">
        <v>227</v>
      </c>
    </row>
    <row r="8129" spans="1:12" x14ac:dyDescent="0.25">
      <c r="A8129" s="4" t="str">
        <f>HYPERLINK("http://www.rosaceae.org/Prunus/Prunus_persica/p.persica_gdr_reftransV1_0004412","p.persica_gdr_reftransV1_0004412")</f>
        <v>p.persica_gdr_reftransV1_0004412</v>
      </c>
      <c r="B8129" s="2">
        <v>749</v>
      </c>
      <c r="C8129" s="4" t="str">
        <f>HYPERLINK("http://www.uniprot.org/uniprot/M5XG60","M5XG60")</f>
        <v>M5XG60</v>
      </c>
      <c r="D8129" s="2" t="s">
        <v>7157</v>
      </c>
      <c r="E8129" s="3">
        <v>7.4300000000000003E-139</v>
      </c>
      <c r="F8129" s="2">
        <v>1031</v>
      </c>
      <c r="G8129" s="2">
        <v>100</v>
      </c>
      <c r="H8129" s="2">
        <v>202</v>
      </c>
      <c r="I8129" s="2">
        <v>143</v>
      </c>
      <c r="J8129" s="2">
        <v>748</v>
      </c>
      <c r="K8129" s="2">
        <v>1</v>
      </c>
      <c r="L8129" s="2">
        <v>202</v>
      </c>
    </row>
    <row r="8130" spans="1:12" x14ac:dyDescent="0.25">
      <c r="A8130" s="4" t="str">
        <f>HYPERLINK("http://www.rosaceae.org/Prunus/Prunus_persica/p.persica_gdr_reftransV1_0004762","p.persica_gdr_reftransV1_0004762")</f>
        <v>p.persica_gdr_reftransV1_0004762</v>
      </c>
      <c r="B8130" s="2">
        <v>1226</v>
      </c>
      <c r="C8130" s="4" t="str">
        <f>HYPERLINK("http://www.uniprot.org/uniprot/M5WAI1","M5WAI1")</f>
        <v>M5WAI1</v>
      </c>
      <c r="D8130" s="2" t="s">
        <v>7158</v>
      </c>
      <c r="E8130" s="3">
        <v>3.3899999999999998E-119</v>
      </c>
      <c r="F8130" s="2">
        <v>919</v>
      </c>
      <c r="G8130" s="2">
        <v>100</v>
      </c>
      <c r="H8130" s="2">
        <v>241</v>
      </c>
      <c r="I8130" s="2">
        <v>356</v>
      </c>
      <c r="J8130" s="2">
        <v>1078</v>
      </c>
      <c r="K8130" s="2">
        <v>1</v>
      </c>
      <c r="L8130" s="2">
        <v>241</v>
      </c>
    </row>
    <row r="8131" spans="1:12" x14ac:dyDescent="0.25">
      <c r="A8131" s="4" t="str">
        <f>HYPERLINK("http://www.rosaceae.org/Prunus/Prunus_persica/p.persica_gdr_reftransV1_0006162","p.persica_gdr_reftransV1_0006162")</f>
        <v>p.persica_gdr_reftransV1_0006162</v>
      </c>
      <c r="B8131" s="2">
        <v>762</v>
      </c>
      <c r="C8131" s="4" t="str">
        <f>HYPERLINK("http://www.uniprot.org/uniprot/M7BZQ6","M7BZQ6")</f>
        <v>M7BZQ6</v>
      </c>
      <c r="D8131" s="2" t="s">
        <v>7159</v>
      </c>
      <c r="E8131" s="3">
        <v>4.0699999999999997E-61</v>
      </c>
      <c r="F8131" s="2">
        <v>506</v>
      </c>
      <c r="G8131" s="2">
        <v>100</v>
      </c>
      <c r="H8131" s="2">
        <v>102</v>
      </c>
      <c r="I8131" s="2">
        <v>233</v>
      </c>
      <c r="J8131" s="2">
        <v>538</v>
      </c>
      <c r="K8131" s="2">
        <v>1</v>
      </c>
      <c r="L8131" s="2">
        <v>102</v>
      </c>
    </row>
    <row r="8132" spans="1:12" x14ac:dyDescent="0.25">
      <c r="A8132" s="4" t="str">
        <f>HYPERLINK("http://www.rosaceae.org/Prunus/Prunus_persica/p.persica_gdr_reftransV1_0006512","p.persica_gdr_reftransV1_0006512")</f>
        <v>p.persica_gdr_reftransV1_0006512</v>
      </c>
      <c r="B8132" s="2">
        <v>510</v>
      </c>
      <c r="C8132" s="4" t="str">
        <f>HYPERLINK("http://www.uniprot.org/uniprot/M5W2N2","M5W2N2")</f>
        <v>M5W2N2</v>
      </c>
      <c r="D8132" s="2" t="s">
        <v>7160</v>
      </c>
      <c r="E8132" s="3">
        <v>1.71E-56</v>
      </c>
      <c r="F8132" s="2">
        <v>491</v>
      </c>
      <c r="G8132" s="2">
        <v>99</v>
      </c>
      <c r="H8132" s="2">
        <v>88</v>
      </c>
      <c r="I8132" s="2">
        <v>122</v>
      </c>
      <c r="J8132" s="2">
        <v>385</v>
      </c>
      <c r="K8132" s="2">
        <v>44</v>
      </c>
      <c r="L8132" s="2">
        <v>131</v>
      </c>
    </row>
    <row r="8133" spans="1:12" x14ac:dyDescent="0.25">
      <c r="A8133" s="4" t="str">
        <f>HYPERLINK("http://www.rosaceae.org/Prunus/Prunus_persica/p.persica_gdr_reftransV1_0007212","p.persica_gdr_reftransV1_0007212")</f>
        <v>p.persica_gdr_reftransV1_0007212</v>
      </c>
      <c r="B8133" s="2">
        <v>854</v>
      </c>
      <c r="C8133" s="4" t="str">
        <f>HYPERLINK("http://www.uniprot.org/uniprot/M5VPR3","M5VPR3")</f>
        <v>M5VPR3</v>
      </c>
      <c r="D8133" s="2" t="s">
        <v>3648</v>
      </c>
      <c r="E8133" s="3">
        <v>1.23E-96</v>
      </c>
      <c r="F8133" s="2">
        <v>789</v>
      </c>
      <c r="G8133" s="2">
        <v>100</v>
      </c>
      <c r="H8133" s="2">
        <v>188</v>
      </c>
      <c r="I8133" s="2">
        <v>1</v>
      </c>
      <c r="J8133" s="2">
        <v>564</v>
      </c>
      <c r="K8133" s="2">
        <v>426</v>
      </c>
      <c r="L8133" s="2">
        <v>613</v>
      </c>
    </row>
    <row r="8134" spans="1:12" x14ac:dyDescent="0.25">
      <c r="A8134" s="4" t="str">
        <f>HYPERLINK("http://www.rosaceae.org/Prunus/Prunus_persica/p.persica_gdr_reftransV1_0007562","p.persica_gdr_reftransV1_0007562")</f>
        <v>p.persica_gdr_reftransV1_0007562</v>
      </c>
      <c r="B8134" s="2">
        <v>1141</v>
      </c>
      <c r="C8134" s="4" t="str">
        <f>HYPERLINK("http://www.uniprot.org/uniprot/M5VMB8","M5VMB8")</f>
        <v>M5VMB8</v>
      </c>
      <c r="D8134" s="2" t="s">
        <v>7161</v>
      </c>
      <c r="E8134" s="3">
        <v>0</v>
      </c>
      <c r="F8134" s="2">
        <v>1490</v>
      </c>
      <c r="G8134" s="2">
        <v>100</v>
      </c>
      <c r="H8134" s="2">
        <v>342</v>
      </c>
      <c r="I8134" s="2">
        <v>115</v>
      </c>
      <c r="J8134" s="2">
        <v>1140</v>
      </c>
      <c r="K8134" s="2">
        <v>144</v>
      </c>
      <c r="L8134" s="2">
        <v>485</v>
      </c>
    </row>
    <row r="8135" spans="1:12" x14ac:dyDescent="0.25">
      <c r="A8135" s="4" t="str">
        <f>HYPERLINK("http://www.rosaceae.org/Prunus/Prunus_persica/p.persica_gdr_reftransV1_0008262","p.persica_gdr_reftransV1_0008262")</f>
        <v>p.persica_gdr_reftransV1_0008262</v>
      </c>
      <c r="B8135" s="2">
        <v>2851</v>
      </c>
      <c r="C8135" s="4" t="str">
        <f>HYPERLINK("http://www.uniprot.org/uniprot/M5WZ31","M5WZ31")</f>
        <v>M5WZ31</v>
      </c>
      <c r="D8135" s="2" t="s">
        <v>3367</v>
      </c>
      <c r="E8135" s="3">
        <v>1.31E-72</v>
      </c>
      <c r="F8135" s="2">
        <v>652</v>
      </c>
      <c r="G8135" s="2">
        <v>99</v>
      </c>
      <c r="H8135" s="2">
        <v>123</v>
      </c>
      <c r="I8135" s="2">
        <v>1074</v>
      </c>
      <c r="J8135" s="2">
        <v>1442</v>
      </c>
      <c r="K8135" s="2">
        <v>177</v>
      </c>
      <c r="L8135" s="2">
        <v>299</v>
      </c>
    </row>
    <row r="8136" spans="1:12" x14ac:dyDescent="0.25">
      <c r="A8136" s="4" t="str">
        <f>HYPERLINK("http://www.rosaceae.org/Prunus/Prunus_persica/p.persica_gdr_reftransV1_0008962","p.persica_gdr_reftransV1_0008962")</f>
        <v>p.persica_gdr_reftransV1_0008962</v>
      </c>
      <c r="B8136" s="2">
        <v>861</v>
      </c>
      <c r="C8136" s="4" t="str">
        <f>HYPERLINK("http://www.uniprot.org/uniprot/M5VZQ2","M5VZQ2")</f>
        <v>M5VZQ2</v>
      </c>
      <c r="D8136" s="2" t="s">
        <v>7162</v>
      </c>
      <c r="E8136" s="3">
        <v>2.4400000000000001E-76</v>
      </c>
      <c r="F8136" s="2">
        <v>613</v>
      </c>
      <c r="G8136" s="2">
        <v>100</v>
      </c>
      <c r="H8136" s="2">
        <v>133</v>
      </c>
      <c r="I8136" s="2">
        <v>397</v>
      </c>
      <c r="J8136" s="2">
        <v>795</v>
      </c>
      <c r="K8136" s="2">
        <v>1</v>
      </c>
      <c r="L8136" s="2">
        <v>133</v>
      </c>
    </row>
    <row r="8137" spans="1:12" x14ac:dyDescent="0.25">
      <c r="A8137" s="4" t="str">
        <f>HYPERLINK("http://www.rosaceae.org/Prunus/Prunus_persica/p.persica_gdr_reftransV1_0010012","p.persica_gdr_reftransV1_0010012")</f>
        <v>p.persica_gdr_reftransV1_0010012</v>
      </c>
      <c r="B8137" s="2">
        <v>1061</v>
      </c>
      <c r="C8137" s="4" t="str">
        <f>HYPERLINK("http://www.uniprot.org/uniprot/M5WGY8","M5WGY8")</f>
        <v>M5WGY8</v>
      </c>
      <c r="D8137" s="2" t="s">
        <v>7163</v>
      </c>
      <c r="E8137" s="3">
        <v>2.3300000000000002E-179</v>
      </c>
      <c r="F8137" s="2">
        <v>1367</v>
      </c>
      <c r="G8137" s="2">
        <v>100</v>
      </c>
      <c r="H8137" s="2">
        <v>279</v>
      </c>
      <c r="I8137" s="2">
        <v>2</v>
      </c>
      <c r="J8137" s="2">
        <v>838</v>
      </c>
      <c r="K8137" s="2">
        <v>552</v>
      </c>
      <c r="L8137" s="2">
        <v>830</v>
      </c>
    </row>
    <row r="8138" spans="1:12" x14ac:dyDescent="0.25">
      <c r="A8138" s="4" t="str">
        <f>HYPERLINK("http://www.rosaceae.org/Prunus/Prunus_persica/p.persica_gdr_reftransV1_0010362","p.persica_gdr_reftransV1_0010362")</f>
        <v>p.persica_gdr_reftransV1_0010362</v>
      </c>
      <c r="B8138" s="2">
        <v>2129</v>
      </c>
      <c r="C8138" s="4" t="str">
        <f>HYPERLINK("http://www.uniprot.org/uniprot/M5XIR1","M5XIR1")</f>
        <v>M5XIR1</v>
      </c>
      <c r="D8138" s="2" t="s">
        <v>7164</v>
      </c>
      <c r="E8138" s="3">
        <v>0</v>
      </c>
      <c r="F8138" s="2">
        <v>2808</v>
      </c>
      <c r="G8138" s="2">
        <v>98</v>
      </c>
      <c r="H8138" s="2">
        <v>541</v>
      </c>
      <c r="I8138" s="2">
        <v>1</v>
      </c>
      <c r="J8138" s="2">
        <v>1623</v>
      </c>
      <c r="K8138" s="2">
        <v>79</v>
      </c>
      <c r="L8138" s="2">
        <v>607</v>
      </c>
    </row>
    <row r="8139" spans="1:12" x14ac:dyDescent="0.25">
      <c r="A8139" s="4" t="str">
        <f>HYPERLINK("http://www.rosaceae.org/Prunus/Prunus_persica/p.persica_gdr_reftransV1_0010712","p.persica_gdr_reftransV1_0010712")</f>
        <v>p.persica_gdr_reftransV1_0010712</v>
      </c>
      <c r="B8139" s="2">
        <v>2538</v>
      </c>
      <c r="C8139" s="4" t="str">
        <f>HYPERLINK("http://www.uniprot.org/uniprot/B9R9D1","B9R9D1")</f>
        <v>B9R9D1</v>
      </c>
      <c r="D8139" s="2" t="s">
        <v>7165</v>
      </c>
      <c r="E8139" s="3">
        <v>6.9700000000000002E-97</v>
      </c>
      <c r="F8139" s="2">
        <v>812</v>
      </c>
      <c r="G8139" s="2">
        <v>79</v>
      </c>
      <c r="H8139" s="2">
        <v>193</v>
      </c>
      <c r="I8139" s="2">
        <v>467</v>
      </c>
      <c r="J8139" s="2">
        <v>1045</v>
      </c>
      <c r="K8139" s="2">
        <v>123</v>
      </c>
      <c r="L8139" s="2">
        <v>315</v>
      </c>
    </row>
    <row r="8140" spans="1:12" x14ac:dyDescent="0.25">
      <c r="A8140" s="4" t="str">
        <f>HYPERLINK("http://www.rosaceae.org/Prunus/Prunus_persica/p.persica_gdr_reftransV1_0011062","p.persica_gdr_reftransV1_0011062")</f>
        <v>p.persica_gdr_reftransV1_0011062</v>
      </c>
      <c r="B8140" s="2">
        <v>4276</v>
      </c>
      <c r="C8140" s="4" t="str">
        <f>HYPERLINK("http://www.uniprot.org/uniprot/M5WRG4","M5WRG4")</f>
        <v>M5WRG4</v>
      </c>
      <c r="D8140" s="2" t="s">
        <v>7166</v>
      </c>
      <c r="E8140" s="3">
        <v>0</v>
      </c>
      <c r="F8140" s="2">
        <v>3207</v>
      </c>
      <c r="G8140" s="2">
        <v>96</v>
      </c>
      <c r="H8140" s="2">
        <v>639</v>
      </c>
      <c r="I8140" s="2">
        <v>2136</v>
      </c>
      <c r="J8140" s="2">
        <v>4052</v>
      </c>
      <c r="K8140" s="2">
        <v>1</v>
      </c>
      <c r="L8140" s="2">
        <v>619</v>
      </c>
    </row>
    <row r="8141" spans="1:12" x14ac:dyDescent="0.25">
      <c r="A8141" s="4" t="str">
        <f>HYPERLINK("http://www.rosaceae.org/Prunus/Prunus_persica/p.persica_gdr_reftransV1_0011412","p.persica_gdr_reftransV1_0011412")</f>
        <v>p.persica_gdr_reftransV1_0011412</v>
      </c>
      <c r="B8141" s="2">
        <v>4361</v>
      </c>
      <c r="C8141" s="4" t="str">
        <f>HYPERLINK("http://www.uniprot.org/uniprot/B9RZ66","B9RZ66")</f>
        <v>B9RZ66</v>
      </c>
      <c r="D8141" s="2" t="s">
        <v>7167</v>
      </c>
      <c r="E8141" s="3">
        <v>0</v>
      </c>
      <c r="F8141" s="2">
        <v>5249</v>
      </c>
      <c r="G8141" s="2">
        <v>89</v>
      </c>
      <c r="H8141" s="2">
        <v>1203</v>
      </c>
      <c r="I8141" s="2">
        <v>1</v>
      </c>
      <c r="J8141" s="2">
        <v>3609</v>
      </c>
      <c r="K8141" s="2">
        <v>52</v>
      </c>
      <c r="L8141" s="2">
        <v>1254</v>
      </c>
    </row>
    <row r="8142" spans="1:12" x14ac:dyDescent="0.25">
      <c r="A8142" s="4" t="str">
        <f>HYPERLINK("http://www.rosaceae.org/Prunus/Prunus_persica/p.persica_gdr_reftransV1_0011762","p.persica_gdr_reftransV1_0011762")</f>
        <v>p.persica_gdr_reftransV1_0011762</v>
      </c>
      <c r="B8142" s="2">
        <v>1157</v>
      </c>
      <c r="C8142" s="4" t="str">
        <f>HYPERLINK("http://www.uniprot.org/uniprot/M5WMF4","M5WMF4")</f>
        <v>M5WMF4</v>
      </c>
      <c r="D8142" s="2" t="s">
        <v>7168</v>
      </c>
      <c r="E8142" s="3">
        <v>1.31E-138</v>
      </c>
      <c r="F8142" s="2">
        <v>1075</v>
      </c>
      <c r="G8142" s="2">
        <v>87</v>
      </c>
      <c r="H8142" s="2">
        <v>291</v>
      </c>
      <c r="I8142" s="2">
        <v>11</v>
      </c>
      <c r="J8142" s="2">
        <v>883</v>
      </c>
      <c r="K8142" s="2">
        <v>301</v>
      </c>
      <c r="L8142" s="2">
        <v>554</v>
      </c>
    </row>
    <row r="8143" spans="1:12" x14ac:dyDescent="0.25">
      <c r="A8143" s="4" t="str">
        <f>HYPERLINK("http://www.rosaceae.org/Prunus/Prunus_persica/p.persica_gdr_reftransV1_0012112","p.persica_gdr_reftransV1_0012112")</f>
        <v>p.persica_gdr_reftransV1_0012112</v>
      </c>
      <c r="B8143" s="2">
        <v>2385</v>
      </c>
      <c r="C8143" s="4" t="str">
        <f>HYPERLINK("http://www.uniprot.org/uniprot/M5WDX8","M5WDX8")</f>
        <v>M5WDX8</v>
      </c>
      <c r="D8143" s="2" t="s">
        <v>7169</v>
      </c>
      <c r="E8143" s="3">
        <v>0</v>
      </c>
      <c r="F8143" s="2">
        <v>3160</v>
      </c>
      <c r="G8143" s="2">
        <v>100</v>
      </c>
      <c r="H8143" s="2">
        <v>599</v>
      </c>
      <c r="I8143" s="2">
        <v>263</v>
      </c>
      <c r="J8143" s="2">
        <v>2059</v>
      </c>
      <c r="K8143" s="2">
        <v>1</v>
      </c>
      <c r="L8143" s="2">
        <v>599</v>
      </c>
    </row>
    <row r="8144" spans="1:12" x14ac:dyDescent="0.25">
      <c r="A8144" s="4" t="str">
        <f>HYPERLINK("http://www.rosaceae.org/Prunus/Prunus_persica/p.persica_gdr_reftransV1_0012462","p.persica_gdr_reftransV1_0012462")</f>
        <v>p.persica_gdr_reftransV1_0012462</v>
      </c>
      <c r="B8144" s="2">
        <v>489</v>
      </c>
      <c r="C8144" s="4" t="str">
        <f>HYPERLINK("http://www.uniprot.org/uniprot/M5XMM7","M5XMM7")</f>
        <v>M5XMM7</v>
      </c>
      <c r="D8144" s="2" t="s">
        <v>7170</v>
      </c>
      <c r="E8144" s="3">
        <v>1.35E-73</v>
      </c>
      <c r="F8144" s="2">
        <v>588</v>
      </c>
      <c r="G8144" s="2">
        <v>100</v>
      </c>
      <c r="H8144" s="2">
        <v>114</v>
      </c>
      <c r="I8144" s="2">
        <v>1</v>
      </c>
      <c r="J8144" s="2">
        <v>342</v>
      </c>
      <c r="K8144" s="2">
        <v>91</v>
      </c>
      <c r="L8144" s="2">
        <v>204</v>
      </c>
    </row>
    <row r="8145" spans="1:12" x14ac:dyDescent="0.25">
      <c r="A8145" s="4" t="str">
        <f>HYPERLINK("http://www.rosaceae.org/Prunus/Prunus_persica/p.persica_gdr_reftransV1_0013162","p.persica_gdr_reftransV1_0013162")</f>
        <v>p.persica_gdr_reftransV1_0013162</v>
      </c>
      <c r="B8145" s="2">
        <v>1645</v>
      </c>
      <c r="C8145" s="4" t="str">
        <f>HYPERLINK("http://www.uniprot.org/uniprot/M5XL85","M5XL85")</f>
        <v>M5XL85</v>
      </c>
      <c r="D8145" s="2" t="s">
        <v>7171</v>
      </c>
      <c r="E8145" s="3">
        <v>1.7E-158</v>
      </c>
      <c r="F8145" s="2">
        <v>1203</v>
      </c>
      <c r="G8145" s="2">
        <v>100</v>
      </c>
      <c r="H8145" s="2">
        <v>229</v>
      </c>
      <c r="I8145" s="2">
        <v>876</v>
      </c>
      <c r="J8145" s="2">
        <v>1562</v>
      </c>
      <c r="K8145" s="2">
        <v>1</v>
      </c>
      <c r="L8145" s="2">
        <v>229</v>
      </c>
    </row>
    <row r="8146" spans="1:12" x14ac:dyDescent="0.25">
      <c r="A8146" s="4" t="str">
        <f>HYPERLINK("http://www.rosaceae.org/Prunus/Prunus_persica/p.persica_gdr_reftransV1_0014912","p.persica_gdr_reftransV1_0014912")</f>
        <v>p.persica_gdr_reftransV1_0014912</v>
      </c>
      <c r="B8146" s="2">
        <v>2757</v>
      </c>
      <c r="C8146" s="4" t="str">
        <f>HYPERLINK("http://www.uniprot.org/uniprot/M5W6E0","M5W6E0")</f>
        <v>M5W6E0</v>
      </c>
      <c r="D8146" s="2" t="s">
        <v>7172</v>
      </c>
      <c r="E8146" s="3">
        <v>0</v>
      </c>
      <c r="F8146" s="2">
        <v>2733</v>
      </c>
      <c r="G8146" s="2">
        <v>100</v>
      </c>
      <c r="H8146" s="2">
        <v>524</v>
      </c>
      <c r="I8146" s="2">
        <v>634</v>
      </c>
      <c r="J8146" s="2">
        <v>2205</v>
      </c>
      <c r="K8146" s="2">
        <v>1</v>
      </c>
      <c r="L8146" s="2">
        <v>524</v>
      </c>
    </row>
    <row r="8147" spans="1:12" x14ac:dyDescent="0.25">
      <c r="A8147" s="4" t="str">
        <f>HYPERLINK("http://www.rosaceae.org/Prunus/Prunus_persica/p.persica_gdr_reftransV1_0015962","p.persica_gdr_reftransV1_0015962")</f>
        <v>p.persica_gdr_reftransV1_0015962</v>
      </c>
      <c r="B8147" s="2">
        <v>2622</v>
      </c>
      <c r="C8147" s="4" t="str">
        <f>HYPERLINK("http://www.uniprot.org/uniprot/M5X0S9","M5X0S9")</f>
        <v>M5X0S9</v>
      </c>
      <c r="D8147" s="2" t="s">
        <v>7173</v>
      </c>
      <c r="E8147" s="3">
        <v>7.9399999999999996E-69</v>
      </c>
      <c r="F8147" s="2">
        <v>604</v>
      </c>
      <c r="G8147" s="2">
        <v>95</v>
      </c>
      <c r="H8147" s="2">
        <v>119</v>
      </c>
      <c r="I8147" s="2">
        <v>2021</v>
      </c>
      <c r="J8147" s="2">
        <v>2377</v>
      </c>
      <c r="K8147" s="2">
        <v>1</v>
      </c>
      <c r="L8147" s="2">
        <v>119</v>
      </c>
    </row>
    <row r="8148" spans="1:12" x14ac:dyDescent="0.25">
      <c r="A8148" s="4" t="str">
        <f>HYPERLINK("http://www.rosaceae.org/Prunus/Prunus_persica/p.persica_gdr_reftransV1_0017362","p.persica_gdr_reftransV1_0017362")</f>
        <v>p.persica_gdr_reftransV1_0017362</v>
      </c>
      <c r="B8148" s="2">
        <v>2181</v>
      </c>
      <c r="C8148" s="4" t="str">
        <f>HYPERLINK("http://www.uniprot.org/uniprot/M5WSE9","M5WSE9")</f>
        <v>M5WSE9</v>
      </c>
      <c r="D8148" s="2" t="s">
        <v>7174</v>
      </c>
      <c r="E8148" s="3">
        <v>0</v>
      </c>
      <c r="F8148" s="2">
        <v>2293</v>
      </c>
      <c r="G8148" s="2">
        <v>100</v>
      </c>
      <c r="H8148" s="2">
        <v>428</v>
      </c>
      <c r="I8148" s="2">
        <v>241</v>
      </c>
      <c r="J8148" s="2">
        <v>1524</v>
      </c>
      <c r="K8148" s="2">
        <v>1</v>
      </c>
      <c r="L8148" s="2">
        <v>428</v>
      </c>
    </row>
    <row r="8149" spans="1:12" x14ac:dyDescent="0.25">
      <c r="A8149" s="4" t="str">
        <f>HYPERLINK("http://www.rosaceae.org/Prunus/Prunus_persica/p.persica_gdr_reftransV1_0018412","p.persica_gdr_reftransV1_0018412")</f>
        <v>p.persica_gdr_reftransV1_0018412</v>
      </c>
      <c r="B8149" s="2">
        <v>3754</v>
      </c>
      <c r="C8149" s="4" t="str">
        <f>HYPERLINK("http://www.uniprot.org/uniprot/M5WX77","M5WX77")</f>
        <v>M5WX77</v>
      </c>
      <c r="D8149" s="2" t="s">
        <v>7175</v>
      </c>
      <c r="E8149" s="3">
        <v>0</v>
      </c>
      <c r="F8149" s="2">
        <v>4696</v>
      </c>
      <c r="G8149" s="2">
        <v>100</v>
      </c>
      <c r="H8149" s="2">
        <v>948</v>
      </c>
      <c r="I8149" s="2">
        <v>729</v>
      </c>
      <c r="J8149" s="2">
        <v>3572</v>
      </c>
      <c r="K8149" s="2">
        <v>1</v>
      </c>
      <c r="L8149" s="2">
        <v>948</v>
      </c>
    </row>
    <row r="8150" spans="1:12" x14ac:dyDescent="0.25">
      <c r="A8150" s="4" t="str">
        <f>HYPERLINK("http://www.rosaceae.org/Prunus/Prunus_persica/p.persica_gdr_reftransV1_0019812","p.persica_gdr_reftransV1_0019812")</f>
        <v>p.persica_gdr_reftransV1_0019812</v>
      </c>
      <c r="B8150" s="2">
        <v>563</v>
      </c>
      <c r="C8150" s="4" t="str">
        <f>HYPERLINK("http://www.uniprot.org/uniprot/M5WM55","M5WM55")</f>
        <v>M5WM55</v>
      </c>
      <c r="D8150" s="2" t="s">
        <v>7176</v>
      </c>
      <c r="E8150" s="3">
        <v>2.1299999999999999E-123</v>
      </c>
      <c r="F8150" s="2">
        <v>981</v>
      </c>
      <c r="G8150" s="2">
        <v>100</v>
      </c>
      <c r="H8150" s="2">
        <v>187</v>
      </c>
      <c r="I8150" s="2">
        <v>2</v>
      </c>
      <c r="J8150" s="2">
        <v>562</v>
      </c>
      <c r="K8150" s="2">
        <v>492</v>
      </c>
      <c r="L8150" s="2">
        <v>678</v>
      </c>
    </row>
    <row r="8151" spans="1:12" x14ac:dyDescent="0.25">
      <c r="A8151" s="4" t="str">
        <f>HYPERLINK("http://www.rosaceae.org/Prunus/Prunus_persica/p.persica_gdr_reftransV1_0021562","p.persica_gdr_reftransV1_0021562")</f>
        <v>p.persica_gdr_reftransV1_0021562</v>
      </c>
      <c r="B8151" s="2">
        <v>488</v>
      </c>
      <c r="C8151" s="4" t="str">
        <f>HYPERLINK("http://www.uniprot.org/uniprot/M5WZH3","M5WZH3")</f>
        <v>M5WZH3</v>
      </c>
      <c r="D8151" s="2" t="s">
        <v>7177</v>
      </c>
      <c r="E8151" s="3">
        <v>6.9300000000000005E-98</v>
      </c>
      <c r="F8151" s="2">
        <v>759</v>
      </c>
      <c r="G8151" s="2">
        <v>100</v>
      </c>
      <c r="H8151" s="2">
        <v>156</v>
      </c>
      <c r="I8151" s="2">
        <v>2</v>
      </c>
      <c r="J8151" s="2">
        <v>469</v>
      </c>
      <c r="K8151" s="2">
        <v>1</v>
      </c>
      <c r="L8151" s="2">
        <v>156</v>
      </c>
    </row>
    <row r="8152" spans="1:12" x14ac:dyDescent="0.25">
      <c r="A8152" s="4" t="str">
        <f>HYPERLINK("http://www.rosaceae.org/Prunus/Prunus_persica/p.persica_gdr_reftransV1_0021912","p.persica_gdr_reftransV1_0021912")</f>
        <v>p.persica_gdr_reftransV1_0021912</v>
      </c>
      <c r="B8152" s="2">
        <v>2900</v>
      </c>
      <c r="C8152" s="4" t="str">
        <f>HYPERLINK("http://www.uniprot.org/uniprot/M5XEB3","M5XEB3")</f>
        <v>M5XEB3</v>
      </c>
      <c r="D8152" s="2" t="s">
        <v>7178</v>
      </c>
      <c r="E8152" s="3">
        <v>0</v>
      </c>
      <c r="F8152" s="2">
        <v>2826</v>
      </c>
      <c r="G8152" s="2">
        <v>100</v>
      </c>
      <c r="H8152" s="2">
        <v>520</v>
      </c>
      <c r="I8152" s="2">
        <v>555</v>
      </c>
      <c r="J8152" s="2">
        <v>2114</v>
      </c>
      <c r="K8152" s="2">
        <v>1</v>
      </c>
      <c r="L8152" s="2">
        <v>520</v>
      </c>
    </row>
    <row r="8153" spans="1:12" x14ac:dyDescent="0.25">
      <c r="A8153" s="4" t="str">
        <f>HYPERLINK("http://www.rosaceae.org/Prunus/Prunus_persica/p.persica_gdr_reftransV1_0022262","p.persica_gdr_reftransV1_0022262")</f>
        <v>p.persica_gdr_reftransV1_0022262</v>
      </c>
      <c r="B8153" s="2">
        <v>1708</v>
      </c>
      <c r="C8153" s="4" t="str">
        <f>HYPERLINK("http://www.uniprot.org/uniprot/M5X1F7","M5X1F7")</f>
        <v>M5X1F7</v>
      </c>
      <c r="D8153" s="2" t="s">
        <v>7179</v>
      </c>
      <c r="E8153" s="3">
        <v>1.77E-131</v>
      </c>
      <c r="F8153" s="2">
        <v>1022</v>
      </c>
      <c r="G8153" s="2">
        <v>100</v>
      </c>
      <c r="H8153" s="2">
        <v>208</v>
      </c>
      <c r="I8153" s="2">
        <v>395</v>
      </c>
      <c r="J8153" s="2">
        <v>1018</v>
      </c>
      <c r="K8153" s="2">
        <v>96</v>
      </c>
      <c r="L8153" s="2">
        <v>303</v>
      </c>
    </row>
    <row r="8154" spans="1:12" x14ac:dyDescent="0.25">
      <c r="A8154" s="4" t="str">
        <f>HYPERLINK("http://www.rosaceae.org/Prunus/Prunus_persica/p.persica_gdr_reftransV1_0023662","p.persica_gdr_reftransV1_0023662")</f>
        <v>p.persica_gdr_reftransV1_0023662</v>
      </c>
      <c r="B8154" s="2">
        <v>2508</v>
      </c>
      <c r="C8154" s="4" t="str">
        <f>HYPERLINK("http://www.uniprot.org/uniprot/M5WKX8","M5WKX8")</f>
        <v>M5WKX8</v>
      </c>
      <c r="D8154" s="2" t="s">
        <v>7180</v>
      </c>
      <c r="E8154" s="3">
        <v>0</v>
      </c>
      <c r="F8154" s="2">
        <v>2851</v>
      </c>
      <c r="G8154" s="2">
        <v>100</v>
      </c>
      <c r="H8154" s="2">
        <v>553</v>
      </c>
      <c r="I8154" s="2">
        <v>507</v>
      </c>
      <c r="J8154" s="2">
        <v>2165</v>
      </c>
      <c r="K8154" s="2">
        <v>43</v>
      </c>
      <c r="L8154" s="2">
        <v>595</v>
      </c>
    </row>
    <row r="8155" spans="1:12" x14ac:dyDescent="0.25">
      <c r="A8155" s="4" t="str">
        <f>HYPERLINK("http://www.rosaceae.org/Prunus/Prunus_persica/p.persica_gdr_reftransV1_0024012","p.persica_gdr_reftransV1_0024012")</f>
        <v>p.persica_gdr_reftransV1_0024012</v>
      </c>
      <c r="B8155" s="2">
        <v>1120</v>
      </c>
      <c r="C8155" s="4" t="str">
        <f>HYPERLINK("http://www.uniprot.org/uniprot/M5XYM6","M5XYM6")</f>
        <v>M5XYM6</v>
      </c>
      <c r="D8155" s="2" t="s">
        <v>7181</v>
      </c>
      <c r="E8155" s="3">
        <v>7.6699999999999994E-117</v>
      </c>
      <c r="F8155" s="2">
        <v>906</v>
      </c>
      <c r="G8155" s="2">
        <v>100</v>
      </c>
      <c r="H8155" s="2">
        <v>241</v>
      </c>
      <c r="I8155" s="2">
        <v>242</v>
      </c>
      <c r="J8155" s="2">
        <v>964</v>
      </c>
      <c r="K8155" s="2">
        <v>1</v>
      </c>
      <c r="L8155" s="2">
        <v>241</v>
      </c>
    </row>
    <row r="8156" spans="1:12" x14ac:dyDescent="0.25">
      <c r="A8156" s="4" t="str">
        <f>HYPERLINK("http://www.rosaceae.org/Prunus/Prunus_persica/p.persica_gdr_reftransV1_0025062","p.persica_gdr_reftransV1_0025062")</f>
        <v>p.persica_gdr_reftransV1_0025062</v>
      </c>
      <c r="B8156" s="2">
        <v>1040</v>
      </c>
      <c r="C8156" s="4" t="str">
        <f>HYPERLINK("http://www.uniprot.org/uniprot/M5X039","M5X039")</f>
        <v>M5X039</v>
      </c>
      <c r="D8156" s="2" t="s">
        <v>7182</v>
      </c>
      <c r="E8156" s="3">
        <v>0</v>
      </c>
      <c r="F8156" s="2">
        <v>1864</v>
      </c>
      <c r="G8156" s="2">
        <v>100</v>
      </c>
      <c r="H8156" s="2">
        <v>346</v>
      </c>
      <c r="I8156" s="2">
        <v>1</v>
      </c>
      <c r="J8156" s="2">
        <v>1038</v>
      </c>
      <c r="K8156" s="2">
        <v>319</v>
      </c>
      <c r="L8156" s="2">
        <v>664</v>
      </c>
    </row>
    <row r="8157" spans="1:12" x14ac:dyDescent="0.25">
      <c r="A8157" s="4" t="str">
        <f>HYPERLINK("http://www.rosaceae.org/Prunus/Prunus_persica/p.persica_gdr_reftransV1_0026462","p.persica_gdr_reftransV1_0026462")</f>
        <v>p.persica_gdr_reftransV1_0026462</v>
      </c>
      <c r="B8157" s="2">
        <v>511</v>
      </c>
      <c r="C8157" s="4" t="str">
        <f>HYPERLINK("http://www.uniprot.org/uniprot/M5X072","M5X072")</f>
        <v>M5X072</v>
      </c>
      <c r="D8157" s="2" t="s">
        <v>4073</v>
      </c>
      <c r="E8157" s="3">
        <v>2.7100000000000001E-112</v>
      </c>
      <c r="F8157" s="2">
        <v>902</v>
      </c>
      <c r="G8157" s="2">
        <v>100</v>
      </c>
      <c r="H8157" s="2">
        <v>169</v>
      </c>
      <c r="I8157" s="2">
        <v>3</v>
      </c>
      <c r="J8157" s="2">
        <v>509</v>
      </c>
      <c r="K8157" s="2">
        <v>169</v>
      </c>
      <c r="L8157" s="2">
        <v>337</v>
      </c>
    </row>
    <row r="8158" spans="1:12" x14ac:dyDescent="0.25">
      <c r="A8158" s="4" t="str">
        <f>HYPERLINK("http://www.rosaceae.org/Prunus/Prunus_persica/p.persica_gdr_reftransV1_0027512","p.persica_gdr_reftransV1_0027512")</f>
        <v>p.persica_gdr_reftransV1_0027512</v>
      </c>
      <c r="B8158" s="2">
        <v>1978</v>
      </c>
      <c r="C8158" s="4" t="str">
        <f>HYPERLINK("http://www.uniprot.org/uniprot/M5W056","M5W056")</f>
        <v>M5W056</v>
      </c>
      <c r="D8158" s="2" t="s">
        <v>7183</v>
      </c>
      <c r="E8158" s="3">
        <v>0</v>
      </c>
      <c r="F8158" s="2">
        <v>1574</v>
      </c>
      <c r="G8158" s="2">
        <v>100</v>
      </c>
      <c r="H8158" s="2">
        <v>325</v>
      </c>
      <c r="I8158" s="2">
        <v>912</v>
      </c>
      <c r="J8158" s="2">
        <v>1886</v>
      </c>
      <c r="K8158" s="2">
        <v>1</v>
      </c>
      <c r="L8158" s="2">
        <v>325</v>
      </c>
    </row>
    <row r="8159" spans="1:12" x14ac:dyDescent="0.25">
      <c r="A8159" s="4" t="str">
        <f>HYPERLINK("http://www.rosaceae.org/Prunus/Prunus_persica/p.persica_gdr_reftransV1_0027862","p.persica_gdr_reftransV1_0027862")</f>
        <v>p.persica_gdr_reftransV1_0027862</v>
      </c>
      <c r="B8159" s="2">
        <v>3595</v>
      </c>
      <c r="C8159" s="4" t="str">
        <f>HYPERLINK("http://www.uniprot.org/uniprot/M5WTU8","M5WTU8")</f>
        <v>M5WTU8</v>
      </c>
      <c r="D8159" s="2" t="s">
        <v>7184</v>
      </c>
      <c r="E8159" s="3">
        <v>4.7499999999999999E-165</v>
      </c>
      <c r="F8159" s="2">
        <v>1320</v>
      </c>
      <c r="G8159" s="2">
        <v>100</v>
      </c>
      <c r="H8159" s="2">
        <v>320</v>
      </c>
      <c r="I8159" s="2">
        <v>2418</v>
      </c>
      <c r="J8159" s="2">
        <v>3377</v>
      </c>
      <c r="K8159" s="2">
        <v>1</v>
      </c>
      <c r="L8159" s="2">
        <v>320</v>
      </c>
    </row>
    <row r="8160" spans="1:12" x14ac:dyDescent="0.25">
      <c r="A8160" s="4" t="str">
        <f>HYPERLINK("http://www.rosaceae.org/Prunus/Prunus_persica/p.persica_gdr_reftransV1_0028562","p.persica_gdr_reftransV1_0028562")</f>
        <v>p.persica_gdr_reftransV1_0028562</v>
      </c>
      <c r="B8160" s="2">
        <v>4977</v>
      </c>
      <c r="C8160" s="4" t="str">
        <f>HYPERLINK("http://www.uniprot.org/uniprot/M5XF18","M5XF18")</f>
        <v>M5XF18</v>
      </c>
      <c r="D8160" s="2" t="s">
        <v>5825</v>
      </c>
      <c r="E8160" s="3">
        <v>0</v>
      </c>
      <c r="F8160" s="2">
        <v>4853</v>
      </c>
      <c r="G8160" s="2">
        <v>96</v>
      </c>
      <c r="H8160" s="2">
        <v>944</v>
      </c>
      <c r="I8160" s="2">
        <v>333</v>
      </c>
      <c r="J8160" s="2">
        <v>3164</v>
      </c>
      <c r="K8160" s="2">
        <v>200</v>
      </c>
      <c r="L8160" s="2">
        <v>1111</v>
      </c>
    </row>
    <row r="8161" spans="1:12" x14ac:dyDescent="0.25">
      <c r="A8161" s="4" t="str">
        <f>HYPERLINK("http://www.rosaceae.org/Prunus/Prunus_persica/p.persica_gdr_reftransV1_0028912","p.persica_gdr_reftransV1_0028912")</f>
        <v>p.persica_gdr_reftransV1_0028912</v>
      </c>
      <c r="B8161" s="2">
        <v>1803</v>
      </c>
      <c r="C8161" s="4" t="str">
        <f>HYPERLINK("http://www.uniprot.org/uniprot/M5WBC1","M5WBC1")</f>
        <v>M5WBC1</v>
      </c>
      <c r="D8161" s="2" t="s">
        <v>7185</v>
      </c>
      <c r="E8161" s="3">
        <v>2.87E-128</v>
      </c>
      <c r="F8161" s="2">
        <v>1003</v>
      </c>
      <c r="G8161" s="2">
        <v>88</v>
      </c>
      <c r="H8161" s="2">
        <v>260</v>
      </c>
      <c r="I8161" s="2">
        <v>913</v>
      </c>
      <c r="J8161" s="2">
        <v>1692</v>
      </c>
      <c r="K8161" s="2">
        <v>1</v>
      </c>
      <c r="L8161" s="2">
        <v>242</v>
      </c>
    </row>
    <row r="8162" spans="1:12" x14ac:dyDescent="0.25">
      <c r="A8162" s="4" t="str">
        <f>HYPERLINK("http://www.rosaceae.org/Prunus/Prunus_persica/p.persica_gdr_reftransV1_0029262","p.persica_gdr_reftransV1_0029262")</f>
        <v>p.persica_gdr_reftransV1_0029262</v>
      </c>
      <c r="B8162" s="2">
        <v>2926</v>
      </c>
      <c r="C8162" s="4" t="str">
        <f>HYPERLINK("http://www.uniprot.org/uniprot/M5X2B3","M5X2B3")</f>
        <v>M5X2B3</v>
      </c>
      <c r="D8162" s="2" t="s">
        <v>7186</v>
      </c>
      <c r="E8162" s="3">
        <v>0</v>
      </c>
      <c r="F8162" s="2">
        <v>1758</v>
      </c>
      <c r="G8162" s="2">
        <v>99</v>
      </c>
      <c r="H8162" s="2">
        <v>342</v>
      </c>
      <c r="I8162" s="2">
        <v>1827</v>
      </c>
      <c r="J8162" s="2">
        <v>2852</v>
      </c>
      <c r="K8162" s="2">
        <v>31</v>
      </c>
      <c r="L8162" s="2">
        <v>372</v>
      </c>
    </row>
    <row r="8163" spans="1:12" x14ac:dyDescent="0.25">
      <c r="A8163" s="4" t="str">
        <f>HYPERLINK("http://www.rosaceae.org/Prunus/Prunus_persica/p.persica_gdr_reftransV1_0030312","p.persica_gdr_reftransV1_0030312")</f>
        <v>p.persica_gdr_reftransV1_0030312</v>
      </c>
      <c r="B8163" s="2">
        <v>2868</v>
      </c>
      <c r="C8163" s="4" t="str">
        <f>HYPERLINK("http://www.uniprot.org/uniprot/M5WIE5","M5WIE5")</f>
        <v>M5WIE5</v>
      </c>
      <c r="D8163" s="2" t="s">
        <v>7187</v>
      </c>
      <c r="E8163" s="3">
        <v>0</v>
      </c>
      <c r="F8163" s="2">
        <v>1810</v>
      </c>
      <c r="G8163" s="2">
        <v>100</v>
      </c>
      <c r="H8163" s="2">
        <v>373</v>
      </c>
      <c r="I8163" s="2">
        <v>1379</v>
      </c>
      <c r="J8163" s="2">
        <v>2497</v>
      </c>
      <c r="K8163" s="2">
        <v>1</v>
      </c>
      <c r="L8163" s="2">
        <v>373</v>
      </c>
    </row>
    <row r="8164" spans="1:12" x14ac:dyDescent="0.25">
      <c r="A8164" s="4" t="str">
        <f>HYPERLINK("http://www.rosaceae.org/Prunus/Prunus_persica/p.persica_gdr_reftransV1_0031012","p.persica_gdr_reftransV1_0031012")</f>
        <v>p.persica_gdr_reftransV1_0031012</v>
      </c>
      <c r="B8164" s="2">
        <v>2059</v>
      </c>
      <c r="C8164" s="4" t="str">
        <f>HYPERLINK("http://www.uniprot.org/uniprot/M5WR05","M5WR05")</f>
        <v>M5WR05</v>
      </c>
      <c r="D8164" s="2" t="s">
        <v>7188</v>
      </c>
      <c r="E8164" s="3">
        <v>0</v>
      </c>
      <c r="F8164" s="2">
        <v>2573</v>
      </c>
      <c r="G8164" s="2">
        <v>100</v>
      </c>
      <c r="H8164" s="2">
        <v>521</v>
      </c>
      <c r="I8164" s="2">
        <v>236</v>
      </c>
      <c r="J8164" s="2">
        <v>1798</v>
      </c>
      <c r="K8164" s="2">
        <v>1</v>
      </c>
      <c r="L8164" s="2">
        <v>521</v>
      </c>
    </row>
    <row r="8165" spans="1:12" x14ac:dyDescent="0.25">
      <c r="A8165" s="4" t="str">
        <f>HYPERLINK("http://www.rosaceae.org/Prunus/Prunus_persica/p.persica_gdr_reftransV1_0031362","p.persica_gdr_reftransV1_0031362")</f>
        <v>p.persica_gdr_reftransV1_0031362</v>
      </c>
      <c r="B8165" s="2">
        <v>1635</v>
      </c>
      <c r="C8165" s="4" t="str">
        <f>HYPERLINK("http://www.uniprot.org/uniprot/M5X605","M5X605")</f>
        <v>M5X605</v>
      </c>
      <c r="D8165" s="2" t="s">
        <v>7189</v>
      </c>
      <c r="E8165" s="3">
        <v>2.1099999999999999E-146</v>
      </c>
      <c r="F8165" s="2">
        <v>782</v>
      </c>
      <c r="G8165" s="2">
        <v>98</v>
      </c>
      <c r="H8165" s="2">
        <v>167</v>
      </c>
      <c r="I8165" s="2">
        <v>262</v>
      </c>
      <c r="J8165" s="2">
        <v>762</v>
      </c>
      <c r="K8165" s="2">
        <v>116</v>
      </c>
      <c r="L8165" s="2">
        <v>282</v>
      </c>
    </row>
    <row r="8166" spans="1:12" x14ac:dyDescent="0.25">
      <c r="A8166" s="4" t="str">
        <f>HYPERLINK("http://www.rosaceae.org/Prunus/Prunus_persica/p.persica_gdr_reftransV1_0032762","p.persica_gdr_reftransV1_0032762")</f>
        <v>p.persica_gdr_reftransV1_0032762</v>
      </c>
      <c r="B8166" s="2">
        <v>1595</v>
      </c>
      <c r="C8166" s="4" t="str">
        <f>HYPERLINK("http://www.uniprot.org/uniprot/M5WCL5","M5WCL5")</f>
        <v>M5WCL5</v>
      </c>
      <c r="D8166" s="2" t="s">
        <v>1807</v>
      </c>
      <c r="E8166" s="3">
        <v>4.1699999999999997E-74</v>
      </c>
      <c r="F8166" s="2">
        <v>661</v>
      </c>
      <c r="G8166" s="2">
        <v>99</v>
      </c>
      <c r="H8166" s="2">
        <v>125</v>
      </c>
      <c r="I8166" s="2">
        <v>1219</v>
      </c>
      <c r="J8166" s="2">
        <v>1593</v>
      </c>
      <c r="K8166" s="2">
        <v>313</v>
      </c>
      <c r="L8166" s="2">
        <v>437</v>
      </c>
    </row>
    <row r="8167" spans="1:12" x14ac:dyDescent="0.25">
      <c r="A8167" s="4" t="str">
        <f>HYPERLINK("http://www.rosaceae.org/Prunus/Prunus_persica/p.persica_gdr_reftransV1_0034862","p.persica_gdr_reftransV1_0034862")</f>
        <v>p.persica_gdr_reftransV1_0034862</v>
      </c>
      <c r="B8167" s="2">
        <v>1124</v>
      </c>
      <c r="C8167" s="4" t="str">
        <f>HYPERLINK("http://www.uniprot.org/uniprot/M5W1C9","M5W1C9")</f>
        <v>M5W1C9</v>
      </c>
      <c r="D8167" s="2" t="s">
        <v>7190</v>
      </c>
      <c r="E8167" s="3">
        <v>0</v>
      </c>
      <c r="F8167" s="2">
        <v>1522</v>
      </c>
      <c r="G8167" s="2">
        <v>100</v>
      </c>
      <c r="H8167" s="2">
        <v>302</v>
      </c>
      <c r="I8167" s="2">
        <v>75</v>
      </c>
      <c r="J8167" s="2">
        <v>980</v>
      </c>
      <c r="K8167" s="2">
        <v>1</v>
      </c>
      <c r="L8167" s="2">
        <v>302</v>
      </c>
    </row>
    <row r="8168" spans="1:12" x14ac:dyDescent="0.25">
      <c r="A8168" s="4" t="str">
        <f>HYPERLINK("http://www.rosaceae.org/Prunus/Prunus_persica/p.persica_gdr_reftransV1_0035212","p.persica_gdr_reftransV1_0035212")</f>
        <v>p.persica_gdr_reftransV1_0035212</v>
      </c>
      <c r="B8168" s="2">
        <v>3839</v>
      </c>
      <c r="C8168" s="4" t="str">
        <f>HYPERLINK("http://www.uniprot.org/uniprot/M5XKB9","M5XKB9")</f>
        <v>M5XKB9</v>
      </c>
      <c r="D8168" s="2" t="s">
        <v>7191</v>
      </c>
      <c r="E8168" s="3">
        <v>0</v>
      </c>
      <c r="F8168" s="2">
        <v>3545</v>
      </c>
      <c r="G8168" s="2">
        <v>95</v>
      </c>
      <c r="H8168" s="2">
        <v>707</v>
      </c>
      <c r="I8168" s="2">
        <v>1238</v>
      </c>
      <c r="J8168" s="2">
        <v>3358</v>
      </c>
      <c r="K8168" s="2">
        <v>232</v>
      </c>
      <c r="L8168" s="2">
        <v>906</v>
      </c>
    </row>
    <row r="8169" spans="1:12" x14ac:dyDescent="0.25">
      <c r="A8169" s="4" t="str">
        <f>HYPERLINK("http://www.rosaceae.org/Prunus/Prunus_persica/p.persica_gdr_reftransV1_0040112","p.persica_gdr_reftransV1_0040112")</f>
        <v>p.persica_gdr_reftransV1_0040112</v>
      </c>
      <c r="B8169" s="2">
        <v>2223</v>
      </c>
      <c r="C8169" s="4" t="str">
        <f>HYPERLINK("http://www.uniprot.org/uniprot/M5WUZ8","M5WUZ8")</f>
        <v>M5WUZ8</v>
      </c>
      <c r="D8169" s="2" t="s">
        <v>7192</v>
      </c>
      <c r="E8169" s="3">
        <v>9.6600000000000002E-74</v>
      </c>
      <c r="F8169" s="2">
        <v>640</v>
      </c>
      <c r="G8169" s="2">
        <v>99</v>
      </c>
      <c r="H8169" s="2">
        <v>122</v>
      </c>
      <c r="I8169" s="2">
        <v>277</v>
      </c>
      <c r="J8169" s="2">
        <v>642</v>
      </c>
      <c r="K8169" s="2">
        <v>106</v>
      </c>
      <c r="L8169" s="2">
        <v>227</v>
      </c>
    </row>
    <row r="8170" spans="1:12" x14ac:dyDescent="0.25">
      <c r="A8170" s="4" t="str">
        <f>HYPERLINK("http://www.rosaceae.org/Prunus/Prunus_persica/p.persica_gdr_reftransV1_0040462","p.persica_gdr_reftransV1_0040462")</f>
        <v>p.persica_gdr_reftransV1_0040462</v>
      </c>
      <c r="B8170" s="2">
        <v>1305</v>
      </c>
      <c r="C8170" s="4" t="str">
        <f>HYPERLINK("http://www.uniprot.org/uniprot/M5X6I0","M5X6I0")</f>
        <v>M5X6I0</v>
      </c>
      <c r="D8170" s="2" t="s">
        <v>3343</v>
      </c>
      <c r="E8170" s="3">
        <v>0</v>
      </c>
      <c r="F8170" s="2">
        <v>2076</v>
      </c>
      <c r="G8170" s="2">
        <v>100</v>
      </c>
      <c r="H8170" s="2">
        <v>399</v>
      </c>
      <c r="I8170" s="2">
        <v>3</v>
      </c>
      <c r="J8170" s="2">
        <v>1199</v>
      </c>
      <c r="K8170" s="2">
        <v>1</v>
      </c>
      <c r="L8170" s="2">
        <v>399</v>
      </c>
    </row>
    <row r="8171" spans="1:12" x14ac:dyDescent="0.25">
      <c r="A8171" s="4" t="str">
        <f>HYPERLINK("http://www.rosaceae.org/Prunus/Prunus_persica/p.persica_gdr_reftransV1_0041512","p.persica_gdr_reftransV1_0041512")</f>
        <v>p.persica_gdr_reftransV1_0041512</v>
      </c>
      <c r="B8171" s="2">
        <v>2984</v>
      </c>
      <c r="C8171" s="4" t="str">
        <f>HYPERLINK("http://www.uniprot.org/uniprot/M5XDP4","M5XDP4")</f>
        <v>M5XDP4</v>
      </c>
      <c r="D8171" s="2" t="s">
        <v>7193</v>
      </c>
      <c r="E8171" s="3">
        <v>5.6000000000000003E-156</v>
      </c>
      <c r="F8171" s="2">
        <v>1174</v>
      </c>
      <c r="G8171" s="2">
        <v>99</v>
      </c>
      <c r="H8171" s="2">
        <v>221</v>
      </c>
      <c r="I8171" s="2">
        <v>1186</v>
      </c>
      <c r="J8171" s="2">
        <v>1848</v>
      </c>
      <c r="K8171" s="2">
        <v>86</v>
      </c>
      <c r="L8171" s="2">
        <v>306</v>
      </c>
    </row>
    <row r="8172" spans="1:12" x14ac:dyDescent="0.25">
      <c r="A8172" s="4" t="str">
        <f>HYPERLINK("http://www.rosaceae.org/Prunus/Prunus_persica/p.persica_gdr_reftransV1_0041862","p.persica_gdr_reftransV1_0041862")</f>
        <v>p.persica_gdr_reftransV1_0041862</v>
      </c>
      <c r="B8172" s="2">
        <v>606</v>
      </c>
      <c r="C8172" s="4" t="str">
        <f>HYPERLINK("http://www.uniprot.org/uniprot/M5XC87","M5XC87")</f>
        <v>M5XC87</v>
      </c>
      <c r="D8172" s="2" t="s">
        <v>7194</v>
      </c>
      <c r="E8172" s="3">
        <v>3.2100000000000002E-118</v>
      </c>
      <c r="F8172" s="2">
        <v>914</v>
      </c>
      <c r="G8172" s="2">
        <v>100</v>
      </c>
      <c r="H8172" s="2">
        <v>197</v>
      </c>
      <c r="I8172" s="2">
        <v>15</v>
      </c>
      <c r="J8172" s="2">
        <v>605</v>
      </c>
      <c r="K8172" s="2">
        <v>1</v>
      </c>
      <c r="L8172" s="2">
        <v>197</v>
      </c>
    </row>
    <row r="8173" spans="1:12" x14ac:dyDescent="0.25">
      <c r="A8173" s="4" t="str">
        <f>HYPERLINK("http://www.rosaceae.org/Prunus/Prunus_persica/p.persica_gdr_reftransV1_0043262","p.persica_gdr_reftransV1_0043262")</f>
        <v>p.persica_gdr_reftransV1_0043262</v>
      </c>
      <c r="B8173" s="2">
        <v>1005</v>
      </c>
      <c r="C8173" s="4" t="str">
        <f>HYPERLINK("http://www.uniprot.org/uniprot/M5W252","M5W252")</f>
        <v>M5W252</v>
      </c>
      <c r="D8173" s="2" t="s">
        <v>7195</v>
      </c>
      <c r="E8173" s="3">
        <v>0</v>
      </c>
      <c r="F8173" s="2">
        <v>1603</v>
      </c>
      <c r="G8173" s="2">
        <v>100</v>
      </c>
      <c r="H8173" s="2">
        <v>305</v>
      </c>
      <c r="I8173" s="2">
        <v>88</v>
      </c>
      <c r="J8173" s="2">
        <v>1002</v>
      </c>
      <c r="K8173" s="2">
        <v>16</v>
      </c>
      <c r="L8173" s="2">
        <v>320</v>
      </c>
    </row>
    <row r="8174" spans="1:12" x14ac:dyDescent="0.25">
      <c r="A8174" s="4" t="str">
        <f>HYPERLINK("http://www.rosaceae.org/Prunus/Prunus_persica/p.persica_gdr_reftransV1_0043612","p.persica_gdr_reftransV1_0043612")</f>
        <v>p.persica_gdr_reftransV1_0043612</v>
      </c>
      <c r="B8174" s="2">
        <v>4004</v>
      </c>
      <c r="C8174" s="4" t="str">
        <f>HYPERLINK("http://www.uniprot.org/uniprot/M5XSP6","M5XSP6")</f>
        <v>M5XSP6</v>
      </c>
      <c r="D8174" s="2" t="s">
        <v>5654</v>
      </c>
      <c r="E8174" s="3">
        <v>0</v>
      </c>
      <c r="F8174" s="2">
        <v>4297</v>
      </c>
      <c r="G8174" s="2">
        <v>100</v>
      </c>
      <c r="H8174" s="2">
        <v>951</v>
      </c>
      <c r="I8174" s="2">
        <v>514</v>
      </c>
      <c r="J8174" s="2">
        <v>3366</v>
      </c>
      <c r="K8174" s="2">
        <v>154</v>
      </c>
      <c r="L8174" s="2">
        <v>1104</v>
      </c>
    </row>
    <row r="8175" spans="1:12" x14ac:dyDescent="0.25">
      <c r="A8175" s="4" t="str">
        <f>HYPERLINK("http://www.rosaceae.org/Prunus/Prunus_persica/p.persica_gdr_reftransV1_0043962","p.persica_gdr_reftransV1_0043962")</f>
        <v>p.persica_gdr_reftransV1_0043962</v>
      </c>
      <c r="B8175" s="2">
        <v>586</v>
      </c>
      <c r="C8175" s="4" t="str">
        <f>HYPERLINK("http://www.uniprot.org/uniprot/M5WCI1","M5WCI1")</f>
        <v>M5WCI1</v>
      </c>
      <c r="D8175" s="2" t="s">
        <v>7196</v>
      </c>
      <c r="E8175" s="3">
        <v>9.9099999999999996E-57</v>
      </c>
      <c r="F8175" s="2">
        <v>470</v>
      </c>
      <c r="G8175" s="2">
        <v>100</v>
      </c>
      <c r="H8175" s="2">
        <v>90</v>
      </c>
      <c r="I8175" s="2">
        <v>75</v>
      </c>
      <c r="J8175" s="2">
        <v>344</v>
      </c>
      <c r="K8175" s="2">
        <v>1</v>
      </c>
      <c r="L8175" s="2">
        <v>90</v>
      </c>
    </row>
    <row r="8176" spans="1:12" x14ac:dyDescent="0.25">
      <c r="A8176" s="4" t="str">
        <f>HYPERLINK("http://www.rosaceae.org/Prunus/Prunus_persica/p.persica_gdr_reftransV1_0044312","p.persica_gdr_reftransV1_0044312")</f>
        <v>p.persica_gdr_reftransV1_0044312</v>
      </c>
      <c r="B8176" s="2">
        <v>4130</v>
      </c>
      <c r="C8176" s="4" t="str">
        <f>HYPERLINK("http://www.uniprot.org/uniprot/M5VSR9","M5VSR9")</f>
        <v>M5VSR9</v>
      </c>
      <c r="D8176" s="2" t="s">
        <v>7197</v>
      </c>
      <c r="E8176" s="3">
        <v>0</v>
      </c>
      <c r="F8176" s="2">
        <v>5716</v>
      </c>
      <c r="G8176" s="2">
        <v>100</v>
      </c>
      <c r="H8176" s="2">
        <v>1161</v>
      </c>
      <c r="I8176" s="2">
        <v>367</v>
      </c>
      <c r="J8176" s="2">
        <v>3849</v>
      </c>
      <c r="K8176" s="2">
        <v>1</v>
      </c>
      <c r="L8176" s="2">
        <v>1161</v>
      </c>
    </row>
    <row r="8177" spans="1:12" x14ac:dyDescent="0.25">
      <c r="A8177" s="4" t="str">
        <f>HYPERLINK("http://www.rosaceae.org/Prunus/Prunus_persica/p.persica_gdr_reftransV1_0045012","p.persica_gdr_reftransV1_0045012")</f>
        <v>p.persica_gdr_reftransV1_0045012</v>
      </c>
      <c r="B8177" s="2">
        <v>1360</v>
      </c>
      <c r="C8177" s="4" t="str">
        <f>HYPERLINK("http://www.uniprot.org/uniprot/M5WTJ6","M5WTJ6")</f>
        <v>M5WTJ6</v>
      </c>
      <c r="D8177" s="2" t="s">
        <v>7198</v>
      </c>
      <c r="E8177" s="3">
        <v>0</v>
      </c>
      <c r="F8177" s="2">
        <v>1447</v>
      </c>
      <c r="G8177" s="2">
        <v>100</v>
      </c>
      <c r="H8177" s="2">
        <v>272</v>
      </c>
      <c r="I8177" s="2">
        <v>356</v>
      </c>
      <c r="J8177" s="2">
        <v>1171</v>
      </c>
      <c r="K8177" s="2">
        <v>1</v>
      </c>
      <c r="L8177" s="2">
        <v>272</v>
      </c>
    </row>
    <row r="8178" spans="1:12" x14ac:dyDescent="0.25">
      <c r="A8178" s="4" t="str">
        <f>HYPERLINK("http://www.rosaceae.org/Prunus/Prunus_persica/p.persica_gdr_reftransV1_0045362","p.persica_gdr_reftransV1_0045362")</f>
        <v>p.persica_gdr_reftransV1_0045362</v>
      </c>
      <c r="B8178" s="2">
        <v>1848</v>
      </c>
      <c r="C8178" s="4" t="str">
        <f>HYPERLINK("http://www.uniprot.org/uniprot/M5XD86","M5XD86")</f>
        <v>M5XD86</v>
      </c>
      <c r="D8178" s="2" t="s">
        <v>470</v>
      </c>
      <c r="E8178" s="3">
        <v>0</v>
      </c>
      <c r="F8178" s="2">
        <v>1916</v>
      </c>
      <c r="G8178" s="2">
        <v>100</v>
      </c>
      <c r="H8178" s="2">
        <v>405</v>
      </c>
      <c r="I8178" s="2">
        <v>148</v>
      </c>
      <c r="J8178" s="2">
        <v>1362</v>
      </c>
      <c r="K8178" s="2">
        <v>10</v>
      </c>
      <c r="L8178" s="2">
        <v>414</v>
      </c>
    </row>
    <row r="8179" spans="1:12" x14ac:dyDescent="0.25">
      <c r="A8179" s="4" t="str">
        <f>HYPERLINK("http://www.rosaceae.org/Prunus/Prunus_persica/p.persica_gdr_reftransV1_0045712","p.persica_gdr_reftransV1_0045712")</f>
        <v>p.persica_gdr_reftransV1_0045712</v>
      </c>
      <c r="B8179" s="2">
        <v>792</v>
      </c>
      <c r="C8179" s="4" t="str">
        <f>HYPERLINK("http://www.uniprot.org/uniprot/M5XY35","M5XY35")</f>
        <v>M5XY35</v>
      </c>
      <c r="D8179" s="2" t="s">
        <v>7199</v>
      </c>
      <c r="E8179" s="3">
        <v>1.49E-145</v>
      </c>
      <c r="F8179" s="2">
        <v>1085</v>
      </c>
      <c r="G8179" s="2">
        <v>100</v>
      </c>
      <c r="H8179" s="2">
        <v>225</v>
      </c>
      <c r="I8179" s="2">
        <v>114</v>
      </c>
      <c r="J8179" s="2">
        <v>788</v>
      </c>
      <c r="K8179" s="2">
        <v>1</v>
      </c>
      <c r="L8179" s="2">
        <v>225</v>
      </c>
    </row>
    <row r="8180" spans="1:12" x14ac:dyDescent="0.25">
      <c r="A8180" s="4" t="str">
        <f>HYPERLINK("http://www.rosaceae.org/Prunus/Prunus_persica/p.persica_gdr_reftransV1_0046062","p.persica_gdr_reftransV1_0046062")</f>
        <v>p.persica_gdr_reftransV1_0046062</v>
      </c>
      <c r="B8180" s="2">
        <v>807</v>
      </c>
      <c r="C8180" s="4" t="str">
        <f>HYPERLINK("http://www.uniprot.org/uniprot/M5XGW0","M5XGW0")</f>
        <v>M5XGW0</v>
      </c>
      <c r="D8180" s="2" t="s">
        <v>7200</v>
      </c>
      <c r="E8180" s="3">
        <v>2.05E-97</v>
      </c>
      <c r="F8180" s="2">
        <v>756</v>
      </c>
      <c r="G8180" s="2">
        <v>100</v>
      </c>
      <c r="H8180" s="2">
        <v>146</v>
      </c>
      <c r="I8180" s="2">
        <v>100</v>
      </c>
      <c r="J8180" s="2">
        <v>537</v>
      </c>
      <c r="K8180" s="2">
        <v>1</v>
      </c>
      <c r="L8180" s="2">
        <v>146</v>
      </c>
    </row>
    <row r="8181" spans="1:12" x14ac:dyDescent="0.25">
      <c r="A8181" s="4" t="str">
        <f>HYPERLINK("http://www.rosaceae.org/Prunus/Prunus_persica/p.persica_gdr_reftransV1_0046412","p.persica_gdr_reftransV1_0046412")</f>
        <v>p.persica_gdr_reftransV1_0046412</v>
      </c>
      <c r="B8181" s="2">
        <v>1342</v>
      </c>
      <c r="C8181" s="4" t="str">
        <f>HYPERLINK("http://www.uniprot.org/uniprot/M5XI54","M5XI54")</f>
        <v>M5XI54</v>
      </c>
      <c r="D8181" s="2" t="s">
        <v>7201</v>
      </c>
      <c r="E8181" s="3">
        <v>0</v>
      </c>
      <c r="F8181" s="2">
        <v>1509</v>
      </c>
      <c r="G8181" s="2">
        <v>86</v>
      </c>
      <c r="H8181" s="2">
        <v>380</v>
      </c>
      <c r="I8181" s="2">
        <v>203</v>
      </c>
      <c r="J8181" s="2">
        <v>1342</v>
      </c>
      <c r="K8181" s="2">
        <v>51</v>
      </c>
      <c r="L8181" s="2">
        <v>414</v>
      </c>
    </row>
    <row r="8182" spans="1:12" x14ac:dyDescent="0.25">
      <c r="A8182" s="4" t="str">
        <f>HYPERLINK("http://www.rosaceae.org/Prunus/Prunus_persica/p.persica_gdr_reftransV1_0046762","p.persica_gdr_reftransV1_0046762")</f>
        <v>p.persica_gdr_reftransV1_0046762</v>
      </c>
      <c r="B8182" s="2">
        <v>789</v>
      </c>
      <c r="C8182" s="4" t="str">
        <f>HYPERLINK("http://www.uniprot.org/uniprot/M5WUW3","M5WUW3")</f>
        <v>M5WUW3</v>
      </c>
      <c r="D8182" s="2" t="s">
        <v>7202</v>
      </c>
      <c r="E8182" s="3">
        <v>2.1E-104</v>
      </c>
      <c r="F8182" s="2">
        <v>806</v>
      </c>
      <c r="G8182" s="2">
        <v>98</v>
      </c>
      <c r="H8182" s="2">
        <v>181</v>
      </c>
      <c r="I8182" s="2">
        <v>245</v>
      </c>
      <c r="J8182" s="2">
        <v>787</v>
      </c>
      <c r="K8182" s="2">
        <v>37</v>
      </c>
      <c r="L8182" s="2">
        <v>217</v>
      </c>
    </row>
    <row r="8183" spans="1:12" x14ac:dyDescent="0.25">
      <c r="A8183" s="4" t="str">
        <f>HYPERLINK("http://www.rosaceae.org/Prunus/Prunus_persica/p.persica_gdr_reftransV1_0047112","p.persica_gdr_reftransV1_0047112")</f>
        <v>p.persica_gdr_reftransV1_0047112</v>
      </c>
      <c r="B8183" s="2">
        <v>1649</v>
      </c>
      <c r="C8183" s="4" t="str">
        <f>HYPERLINK("http://www.uniprot.org/uniprot/M5XCT3","M5XCT3")</f>
        <v>M5XCT3</v>
      </c>
      <c r="D8183" s="2" t="s">
        <v>7203</v>
      </c>
      <c r="E8183" s="3">
        <v>1.5800000000000001E-112</v>
      </c>
      <c r="F8183" s="2">
        <v>902</v>
      </c>
      <c r="G8183" s="2">
        <v>82</v>
      </c>
      <c r="H8183" s="2">
        <v>222</v>
      </c>
      <c r="I8183" s="2">
        <v>989</v>
      </c>
      <c r="J8183" s="2">
        <v>1645</v>
      </c>
      <c r="K8183" s="2">
        <v>108</v>
      </c>
      <c r="L8183" s="2">
        <v>325</v>
      </c>
    </row>
    <row r="8184" spans="1:12" x14ac:dyDescent="0.25">
      <c r="A8184" s="4" t="str">
        <f>HYPERLINK("http://www.rosaceae.org/Prunus/Prunus_persica/p.persica_gdr_reftransV1_0047462","p.persica_gdr_reftransV1_0047462")</f>
        <v>p.persica_gdr_reftransV1_0047462</v>
      </c>
      <c r="B8184" s="2">
        <v>501</v>
      </c>
      <c r="C8184" s="4" t="str">
        <f>HYPERLINK("http://www.uniprot.org/uniprot/M5WJQ5","M5WJQ5")</f>
        <v>M5WJQ5</v>
      </c>
      <c r="D8184" s="2" t="s">
        <v>7204</v>
      </c>
      <c r="E8184" s="3">
        <v>1.49E-54</v>
      </c>
      <c r="F8184" s="2">
        <v>452</v>
      </c>
      <c r="G8184" s="2">
        <v>100</v>
      </c>
      <c r="H8184" s="2">
        <v>88</v>
      </c>
      <c r="I8184" s="2">
        <v>91</v>
      </c>
      <c r="J8184" s="2">
        <v>354</v>
      </c>
      <c r="K8184" s="2">
        <v>1</v>
      </c>
      <c r="L8184" s="2">
        <v>88</v>
      </c>
    </row>
    <row r="8185" spans="1:12" x14ac:dyDescent="0.25">
      <c r="A8185" s="4" t="str">
        <f>HYPERLINK("http://www.rosaceae.org/Prunus/Prunus_persica/p.persica_gdr_reftransV1_0047812","p.persica_gdr_reftransV1_0047812")</f>
        <v>p.persica_gdr_reftransV1_0047812</v>
      </c>
      <c r="B8185" s="2">
        <v>3296</v>
      </c>
      <c r="C8185" s="4" t="str">
        <f>HYPERLINK("http://www.uniprot.org/uniprot/M5XDC0","M5XDC0")</f>
        <v>M5XDC0</v>
      </c>
      <c r="D8185" s="2" t="s">
        <v>5502</v>
      </c>
      <c r="E8185" s="3">
        <v>0</v>
      </c>
      <c r="F8185" s="2">
        <v>2640</v>
      </c>
      <c r="G8185" s="2">
        <v>100</v>
      </c>
      <c r="H8185" s="2">
        <v>493</v>
      </c>
      <c r="I8185" s="2">
        <v>1120</v>
      </c>
      <c r="J8185" s="2">
        <v>2598</v>
      </c>
      <c r="K8185" s="2">
        <v>1</v>
      </c>
      <c r="L8185" s="2">
        <v>493</v>
      </c>
    </row>
    <row r="8186" spans="1:12" x14ac:dyDescent="0.25">
      <c r="A8186" s="4" t="str">
        <f>HYPERLINK("http://www.rosaceae.org/Prunus/Prunus_persica/p.persica_gdr_reftransV1_0048162","p.persica_gdr_reftransV1_0048162")</f>
        <v>p.persica_gdr_reftransV1_0048162</v>
      </c>
      <c r="B8186" s="2">
        <v>1319</v>
      </c>
      <c r="C8186" s="4" t="str">
        <f>HYPERLINK("http://www.uniprot.org/uniprot/M5WUT5","M5WUT5")</f>
        <v>M5WUT5</v>
      </c>
      <c r="D8186" s="2" t="s">
        <v>7205</v>
      </c>
      <c r="E8186" s="3">
        <v>1.9500000000000001E-170</v>
      </c>
      <c r="F8186" s="2">
        <v>1262</v>
      </c>
      <c r="G8186" s="2">
        <v>100</v>
      </c>
      <c r="H8186" s="2">
        <v>250</v>
      </c>
      <c r="I8186" s="2">
        <v>93</v>
      </c>
      <c r="J8186" s="2">
        <v>842</v>
      </c>
      <c r="K8186" s="2">
        <v>1</v>
      </c>
      <c r="L8186" s="2">
        <v>250</v>
      </c>
    </row>
    <row r="8187" spans="1:12" x14ac:dyDescent="0.25">
      <c r="A8187" s="4" t="str">
        <f>HYPERLINK("http://www.rosaceae.org/Prunus/Prunus_persica/p.persica_gdr_reftransV1_0048862","p.persica_gdr_reftransV1_0048862")</f>
        <v>p.persica_gdr_reftransV1_0048862</v>
      </c>
      <c r="B8187" s="2">
        <v>706</v>
      </c>
      <c r="C8187" s="4" t="str">
        <f>HYPERLINK("http://www.uniprot.org/uniprot/M5XXF7","M5XXF7")</f>
        <v>M5XXF7</v>
      </c>
      <c r="D8187" s="2" t="s">
        <v>7206</v>
      </c>
      <c r="E8187" s="3">
        <v>3.9499999999999998E-154</v>
      </c>
      <c r="F8187" s="2">
        <v>1177</v>
      </c>
      <c r="G8187" s="2">
        <v>100</v>
      </c>
      <c r="H8187" s="2">
        <v>234</v>
      </c>
      <c r="I8187" s="2">
        <v>3</v>
      </c>
      <c r="J8187" s="2">
        <v>704</v>
      </c>
      <c r="K8187" s="2">
        <v>476</v>
      </c>
      <c r="L8187" s="2">
        <v>709</v>
      </c>
    </row>
    <row r="8188" spans="1:12" x14ac:dyDescent="0.25">
      <c r="A8188" s="4" t="str">
        <f>HYPERLINK("http://www.rosaceae.org/Prunus/Prunus_persica/p.persica_gdr_reftransV1_0000213","p.persica_gdr_reftransV1_0000213")</f>
        <v>p.persica_gdr_reftransV1_0000213</v>
      </c>
      <c r="B8188" s="2">
        <v>1279</v>
      </c>
      <c r="C8188" s="4" t="str">
        <f>HYPERLINK("http://www.uniprot.org/uniprot/M5W1B3","M5W1B3")</f>
        <v>M5W1B3</v>
      </c>
      <c r="D8188" s="2" t="s">
        <v>3269</v>
      </c>
      <c r="E8188" s="3">
        <v>0</v>
      </c>
      <c r="F8188" s="2">
        <v>1759</v>
      </c>
      <c r="G8188" s="2">
        <v>100</v>
      </c>
      <c r="H8188" s="2">
        <v>347</v>
      </c>
      <c r="I8188" s="2">
        <v>144</v>
      </c>
      <c r="J8188" s="2">
        <v>1184</v>
      </c>
      <c r="K8188" s="2">
        <v>1</v>
      </c>
      <c r="L8188" s="2">
        <v>347</v>
      </c>
    </row>
    <row r="8189" spans="1:12" x14ac:dyDescent="0.25">
      <c r="A8189" s="4" t="str">
        <f>HYPERLINK("http://www.rosaceae.org/Prunus/Prunus_persica/p.persica_gdr_reftransV1_0000563","p.persica_gdr_reftransV1_0000563")</f>
        <v>p.persica_gdr_reftransV1_0000563</v>
      </c>
      <c r="B8189" s="2">
        <v>2521</v>
      </c>
      <c r="C8189" s="4" t="str">
        <f>HYPERLINK("http://www.uniprot.org/uniprot/M5WM63","M5WM63")</f>
        <v>M5WM63</v>
      </c>
      <c r="D8189" s="2" t="s">
        <v>7207</v>
      </c>
      <c r="E8189" s="3">
        <v>0</v>
      </c>
      <c r="F8189" s="2">
        <v>2378</v>
      </c>
      <c r="G8189" s="2">
        <v>100</v>
      </c>
      <c r="H8189" s="2">
        <v>479</v>
      </c>
      <c r="I8189" s="2">
        <v>794</v>
      </c>
      <c r="J8189" s="2">
        <v>2230</v>
      </c>
      <c r="K8189" s="2">
        <v>1</v>
      </c>
      <c r="L8189" s="2">
        <v>479</v>
      </c>
    </row>
    <row r="8190" spans="1:12" x14ac:dyDescent="0.25">
      <c r="A8190" s="4" t="str">
        <f>HYPERLINK("http://www.rosaceae.org/Prunus/Prunus_persica/p.persica_gdr_reftransV1_0001263","p.persica_gdr_reftransV1_0001263")</f>
        <v>p.persica_gdr_reftransV1_0001263</v>
      </c>
      <c r="B8190" s="2">
        <v>791</v>
      </c>
      <c r="C8190" s="4" t="str">
        <f>HYPERLINK("http://www.uniprot.org/uniprot/M5VIX1","M5VIX1")</f>
        <v>M5VIX1</v>
      </c>
      <c r="D8190" s="2" t="s">
        <v>7208</v>
      </c>
      <c r="E8190" s="3">
        <v>1.06E-148</v>
      </c>
      <c r="F8190" s="2">
        <v>1121</v>
      </c>
      <c r="G8190" s="2">
        <v>100</v>
      </c>
      <c r="H8190" s="2">
        <v>209</v>
      </c>
      <c r="I8190" s="2">
        <v>2</v>
      </c>
      <c r="J8190" s="2">
        <v>628</v>
      </c>
      <c r="K8190" s="2">
        <v>1</v>
      </c>
      <c r="L8190" s="2">
        <v>209</v>
      </c>
    </row>
    <row r="8191" spans="1:12" x14ac:dyDescent="0.25">
      <c r="A8191" s="4" t="str">
        <f>HYPERLINK("http://www.rosaceae.org/Prunus/Prunus_persica/p.persica_gdr_reftransV1_0001613","p.persica_gdr_reftransV1_0001613")</f>
        <v>p.persica_gdr_reftransV1_0001613</v>
      </c>
      <c r="B8191" s="2">
        <v>885</v>
      </c>
      <c r="C8191" s="4" t="str">
        <f>HYPERLINK("http://www.uniprot.org/uniprot/M5W1A0","M5W1A0")</f>
        <v>M5W1A0</v>
      </c>
      <c r="D8191" s="2" t="s">
        <v>7209</v>
      </c>
      <c r="E8191" s="3">
        <v>8.3800000000000004E-129</v>
      </c>
      <c r="F8191" s="2">
        <v>965</v>
      </c>
      <c r="G8191" s="2">
        <v>100</v>
      </c>
      <c r="H8191" s="2">
        <v>187</v>
      </c>
      <c r="I8191" s="2">
        <v>71</v>
      </c>
      <c r="J8191" s="2">
        <v>631</v>
      </c>
      <c r="K8191" s="2">
        <v>1</v>
      </c>
      <c r="L8191" s="2">
        <v>187</v>
      </c>
    </row>
    <row r="8192" spans="1:12" x14ac:dyDescent="0.25">
      <c r="A8192" s="4" t="str">
        <f>HYPERLINK("http://www.rosaceae.org/Prunus/Prunus_persica/p.persica_gdr_reftransV1_0002663","p.persica_gdr_reftransV1_0002663")</f>
        <v>p.persica_gdr_reftransV1_0002663</v>
      </c>
      <c r="B8192" s="2">
        <v>2004</v>
      </c>
      <c r="C8192" s="4" t="str">
        <f>HYPERLINK("http://www.uniprot.org/uniprot/M5X7M3","M5X7M3")</f>
        <v>M5X7M3</v>
      </c>
      <c r="D8192" s="2" t="s">
        <v>7210</v>
      </c>
      <c r="E8192" s="3">
        <v>0</v>
      </c>
      <c r="F8192" s="2">
        <v>2722</v>
      </c>
      <c r="G8192" s="2">
        <v>98</v>
      </c>
      <c r="H8192" s="2">
        <v>528</v>
      </c>
      <c r="I8192" s="2">
        <v>188</v>
      </c>
      <c r="J8192" s="2">
        <v>1738</v>
      </c>
      <c r="K8192" s="2">
        <v>21</v>
      </c>
      <c r="L8192" s="2">
        <v>548</v>
      </c>
    </row>
    <row r="8193" spans="1:12" x14ac:dyDescent="0.25">
      <c r="A8193" s="4" t="str">
        <f>HYPERLINK("http://www.rosaceae.org/Prunus/Prunus_persica/p.persica_gdr_reftransV1_0003363","p.persica_gdr_reftransV1_0003363")</f>
        <v>p.persica_gdr_reftransV1_0003363</v>
      </c>
      <c r="B8193" s="2">
        <v>1667</v>
      </c>
      <c r="C8193" s="4" t="str">
        <f>HYPERLINK("http://www.uniprot.org/uniprot/M5WB62","M5WB62")</f>
        <v>M5WB62</v>
      </c>
      <c r="D8193" s="2" t="s">
        <v>7211</v>
      </c>
      <c r="E8193" s="3">
        <v>0</v>
      </c>
      <c r="F8193" s="2">
        <v>1897</v>
      </c>
      <c r="G8193" s="2">
        <v>100</v>
      </c>
      <c r="H8193" s="2">
        <v>395</v>
      </c>
      <c r="I8193" s="2">
        <v>243</v>
      </c>
      <c r="J8193" s="2">
        <v>1427</v>
      </c>
      <c r="K8193" s="2">
        <v>1</v>
      </c>
      <c r="L8193" s="2">
        <v>395</v>
      </c>
    </row>
    <row r="8194" spans="1:12" x14ac:dyDescent="0.25">
      <c r="A8194" s="4" t="str">
        <f>HYPERLINK("http://www.rosaceae.org/Prunus/Prunus_persica/p.persica_gdr_reftransV1_0003713","p.persica_gdr_reftransV1_0003713")</f>
        <v>p.persica_gdr_reftransV1_0003713</v>
      </c>
      <c r="B8194" s="2">
        <v>1696</v>
      </c>
      <c r="C8194" s="4" t="str">
        <f>HYPERLINK("http://www.uniprot.org/uniprot/M5XQ44","M5XQ44")</f>
        <v>M5XQ44</v>
      </c>
      <c r="D8194" s="2" t="s">
        <v>7212</v>
      </c>
      <c r="E8194" s="3">
        <v>0</v>
      </c>
      <c r="F8194" s="2">
        <v>2380</v>
      </c>
      <c r="G8194" s="2">
        <v>100</v>
      </c>
      <c r="H8194" s="2">
        <v>476</v>
      </c>
      <c r="I8194" s="2">
        <v>116</v>
      </c>
      <c r="J8194" s="2">
        <v>1543</v>
      </c>
      <c r="K8194" s="2">
        <v>1</v>
      </c>
      <c r="L8194" s="2">
        <v>476</v>
      </c>
    </row>
    <row r="8195" spans="1:12" x14ac:dyDescent="0.25">
      <c r="A8195" s="4" t="str">
        <f>HYPERLINK("http://www.rosaceae.org/Prunus/Prunus_persica/p.persica_gdr_reftransV1_0004063","p.persica_gdr_reftransV1_0004063")</f>
        <v>p.persica_gdr_reftransV1_0004063</v>
      </c>
      <c r="B8195" s="2">
        <v>1679</v>
      </c>
      <c r="C8195" s="4" t="str">
        <f>HYPERLINK("http://www.uniprot.org/uniprot/M5X3A0","M5X3A0")</f>
        <v>M5X3A0</v>
      </c>
      <c r="D8195" s="2" t="s">
        <v>7213</v>
      </c>
      <c r="E8195" s="3">
        <v>3.8099999999999999E-171</v>
      </c>
      <c r="F8195" s="2">
        <v>1283</v>
      </c>
      <c r="G8195" s="2">
        <v>100</v>
      </c>
      <c r="H8195" s="2">
        <v>259</v>
      </c>
      <c r="I8195" s="2">
        <v>482</v>
      </c>
      <c r="J8195" s="2">
        <v>1258</v>
      </c>
      <c r="K8195" s="2">
        <v>7</v>
      </c>
      <c r="L8195" s="2">
        <v>265</v>
      </c>
    </row>
    <row r="8196" spans="1:12" x14ac:dyDescent="0.25">
      <c r="A8196" s="4" t="str">
        <f>HYPERLINK("http://www.rosaceae.org/Prunus/Prunus_persica/p.persica_gdr_reftransV1_0004413","p.persica_gdr_reftransV1_0004413")</f>
        <v>p.persica_gdr_reftransV1_0004413</v>
      </c>
      <c r="B8196" s="2">
        <v>1044</v>
      </c>
      <c r="C8196" s="4" t="str">
        <f>HYPERLINK("http://www.uniprot.org/uniprot/M5VN13","M5VN13")</f>
        <v>M5VN13</v>
      </c>
      <c r="D8196" s="2" t="s">
        <v>4494</v>
      </c>
      <c r="E8196" s="3">
        <v>2.87E-80</v>
      </c>
      <c r="F8196" s="2">
        <v>643</v>
      </c>
      <c r="G8196" s="2">
        <v>100</v>
      </c>
      <c r="H8196" s="2">
        <v>120</v>
      </c>
      <c r="I8196" s="2">
        <v>291</v>
      </c>
      <c r="J8196" s="2">
        <v>650</v>
      </c>
      <c r="K8196" s="2">
        <v>1</v>
      </c>
      <c r="L8196" s="2">
        <v>120</v>
      </c>
    </row>
    <row r="8197" spans="1:12" x14ac:dyDescent="0.25">
      <c r="A8197" s="4" t="str">
        <f>HYPERLINK("http://www.rosaceae.org/Prunus/Prunus_persica/p.persica_gdr_reftransV1_0004763","p.persica_gdr_reftransV1_0004763")</f>
        <v>p.persica_gdr_reftransV1_0004763</v>
      </c>
      <c r="B8197" s="2">
        <v>1067</v>
      </c>
      <c r="C8197" s="4" t="str">
        <f>HYPERLINK("http://www.uniprot.org/uniprot/M5WJS5","M5WJS5")</f>
        <v>M5WJS5</v>
      </c>
      <c r="D8197" s="2" t="s">
        <v>7214</v>
      </c>
      <c r="E8197" s="3">
        <v>8.1799999999999996E-159</v>
      </c>
      <c r="F8197" s="2">
        <v>1173</v>
      </c>
      <c r="G8197" s="2">
        <v>100</v>
      </c>
      <c r="H8197" s="2">
        <v>221</v>
      </c>
      <c r="I8197" s="2">
        <v>67</v>
      </c>
      <c r="J8197" s="2">
        <v>729</v>
      </c>
      <c r="K8197" s="2">
        <v>1</v>
      </c>
      <c r="L8197" s="2">
        <v>221</v>
      </c>
    </row>
    <row r="8198" spans="1:12" x14ac:dyDescent="0.25">
      <c r="A8198" s="4" t="str">
        <f>HYPERLINK("http://www.rosaceae.org/Prunus/Prunus_persica/p.persica_gdr_reftransV1_0005113","p.persica_gdr_reftransV1_0005113")</f>
        <v>p.persica_gdr_reftransV1_0005113</v>
      </c>
      <c r="B8198" s="2">
        <v>1556</v>
      </c>
      <c r="C8198" s="4" t="str">
        <f>HYPERLINK("http://www.uniprot.org/uniprot/M5Y345","M5Y345")</f>
        <v>M5Y345</v>
      </c>
      <c r="D8198" s="2" t="s">
        <v>7215</v>
      </c>
      <c r="E8198" s="3">
        <v>1.3200000000000001E-41</v>
      </c>
      <c r="F8198" s="2">
        <v>375</v>
      </c>
      <c r="G8198" s="2">
        <v>100</v>
      </c>
      <c r="H8198" s="2">
        <v>104</v>
      </c>
      <c r="I8198" s="2">
        <v>1026</v>
      </c>
      <c r="J8198" s="2">
        <v>1337</v>
      </c>
      <c r="K8198" s="2">
        <v>149</v>
      </c>
      <c r="L8198" s="2">
        <v>252</v>
      </c>
    </row>
    <row r="8199" spans="1:12" x14ac:dyDescent="0.25">
      <c r="A8199" s="4" t="str">
        <f>HYPERLINK("http://www.rosaceae.org/Prunus/Prunus_persica/p.persica_gdr_reftransV1_0005463","p.persica_gdr_reftransV1_0005463")</f>
        <v>p.persica_gdr_reftransV1_0005463</v>
      </c>
      <c r="B8199" s="2">
        <v>1100</v>
      </c>
      <c r="C8199" s="4" t="str">
        <f>HYPERLINK("http://www.uniprot.org/uniprot/M5W8P1","M5W8P1")</f>
        <v>M5W8P1</v>
      </c>
      <c r="D8199" s="2" t="s">
        <v>7216</v>
      </c>
      <c r="E8199" s="3">
        <v>4.0700000000000001E-109</v>
      </c>
      <c r="F8199" s="2">
        <v>850</v>
      </c>
      <c r="G8199" s="2">
        <v>63</v>
      </c>
      <c r="H8199" s="2">
        <v>294</v>
      </c>
      <c r="I8199" s="2">
        <v>75</v>
      </c>
      <c r="J8199" s="2">
        <v>944</v>
      </c>
      <c r="K8199" s="2">
        <v>1</v>
      </c>
      <c r="L8199" s="2">
        <v>258</v>
      </c>
    </row>
    <row r="8200" spans="1:12" x14ac:dyDescent="0.25">
      <c r="A8200" s="4" t="str">
        <f>HYPERLINK("http://www.rosaceae.org/Prunus/Prunus_persica/p.persica_gdr_reftransV1_0005813","p.persica_gdr_reftransV1_0005813")</f>
        <v>p.persica_gdr_reftransV1_0005813</v>
      </c>
      <c r="B8200" s="2">
        <v>3128</v>
      </c>
      <c r="C8200" s="4" t="str">
        <f>HYPERLINK("http://www.uniprot.org/uniprot/M5W6Z4","M5W6Z4")</f>
        <v>M5W6Z4</v>
      </c>
      <c r="D8200" s="2" t="s">
        <v>3432</v>
      </c>
      <c r="E8200" s="3">
        <v>1.2199999999999999E-58</v>
      </c>
      <c r="F8200" s="2">
        <v>540</v>
      </c>
      <c r="G8200" s="2">
        <v>98</v>
      </c>
      <c r="H8200" s="2">
        <v>103</v>
      </c>
      <c r="I8200" s="2">
        <v>1545</v>
      </c>
      <c r="J8200" s="2">
        <v>1853</v>
      </c>
      <c r="K8200" s="2">
        <v>60</v>
      </c>
      <c r="L8200" s="2">
        <v>162</v>
      </c>
    </row>
    <row r="8201" spans="1:12" x14ac:dyDescent="0.25">
      <c r="A8201" s="4" t="str">
        <f>HYPERLINK("http://www.rosaceae.org/Prunus/Prunus_persica/p.persica_gdr_reftransV1_0006163","p.persica_gdr_reftransV1_0006163")</f>
        <v>p.persica_gdr_reftransV1_0006163</v>
      </c>
      <c r="B8201" s="2">
        <v>884</v>
      </c>
      <c r="C8201" s="4" t="str">
        <f>HYPERLINK("http://www.uniprot.org/uniprot/M5XG95","M5XG95")</f>
        <v>M5XG95</v>
      </c>
      <c r="D8201" s="2" t="s">
        <v>7217</v>
      </c>
      <c r="E8201" s="3">
        <v>1.6299999999999998E-148</v>
      </c>
      <c r="F8201" s="2">
        <v>1106</v>
      </c>
      <c r="G8201" s="2">
        <v>100</v>
      </c>
      <c r="H8201" s="2">
        <v>237</v>
      </c>
      <c r="I8201" s="2">
        <v>1</v>
      </c>
      <c r="J8201" s="2">
        <v>711</v>
      </c>
      <c r="K8201" s="2">
        <v>55</v>
      </c>
      <c r="L8201" s="2">
        <v>291</v>
      </c>
    </row>
    <row r="8202" spans="1:12" x14ac:dyDescent="0.25">
      <c r="A8202" s="4" t="str">
        <f>HYPERLINK("http://www.rosaceae.org/Prunus/Prunus_persica/p.persica_gdr_reftransV1_0006513","p.persica_gdr_reftransV1_0006513")</f>
        <v>p.persica_gdr_reftransV1_0006513</v>
      </c>
      <c r="B8202" s="2">
        <v>604</v>
      </c>
      <c r="C8202" s="4" t="str">
        <f>HYPERLINK("http://www.uniprot.org/uniprot/K7MBP9","K7MBP9")</f>
        <v>K7MBP9</v>
      </c>
      <c r="D8202" s="2" t="s">
        <v>1584</v>
      </c>
      <c r="E8202" s="3">
        <v>1.0099999999999999E-67</v>
      </c>
      <c r="F8202" s="2">
        <v>570</v>
      </c>
      <c r="G8202" s="2">
        <v>61</v>
      </c>
      <c r="H8202" s="2">
        <v>174</v>
      </c>
      <c r="I8202" s="2">
        <v>93</v>
      </c>
      <c r="J8202" s="2">
        <v>602</v>
      </c>
      <c r="K8202" s="2">
        <v>236</v>
      </c>
      <c r="L8202" s="2">
        <v>407</v>
      </c>
    </row>
    <row r="8203" spans="1:12" x14ac:dyDescent="0.25">
      <c r="A8203" s="4" t="str">
        <f>HYPERLINK("http://www.rosaceae.org/Prunus/Prunus_persica/p.persica_gdr_reftransV1_0006863","p.persica_gdr_reftransV1_0006863")</f>
        <v>p.persica_gdr_reftransV1_0006863</v>
      </c>
      <c r="B8203" s="2">
        <v>958</v>
      </c>
      <c r="C8203" s="4" t="str">
        <f>HYPERLINK("http://www.uniprot.org/uniprot/M5WNK7","M5WNK7")</f>
        <v>M5WNK7</v>
      </c>
      <c r="D8203" s="2" t="s">
        <v>7218</v>
      </c>
      <c r="E8203" s="3">
        <v>0</v>
      </c>
      <c r="F8203" s="2">
        <v>1422</v>
      </c>
      <c r="G8203" s="2">
        <v>100</v>
      </c>
      <c r="H8203" s="2">
        <v>265</v>
      </c>
      <c r="I8203" s="2">
        <v>2</v>
      </c>
      <c r="J8203" s="2">
        <v>796</v>
      </c>
      <c r="K8203" s="2">
        <v>351</v>
      </c>
      <c r="L8203" s="2">
        <v>615</v>
      </c>
    </row>
    <row r="8204" spans="1:12" x14ac:dyDescent="0.25">
      <c r="A8204" s="4" t="str">
        <f>HYPERLINK("http://www.rosaceae.org/Prunus/Prunus_persica/p.persica_gdr_reftransV1_0007213","p.persica_gdr_reftransV1_0007213")</f>
        <v>p.persica_gdr_reftransV1_0007213</v>
      </c>
      <c r="B8204" s="2">
        <v>2188</v>
      </c>
      <c r="C8204" s="4" t="str">
        <f>HYPERLINK("http://www.uniprot.org/uniprot/M5WRK8","M5WRK8")</f>
        <v>M5WRK8</v>
      </c>
      <c r="D8204" s="2" t="s">
        <v>335</v>
      </c>
      <c r="E8204" s="3">
        <v>0</v>
      </c>
      <c r="F8204" s="2">
        <v>2499</v>
      </c>
      <c r="G8204" s="2">
        <v>100</v>
      </c>
      <c r="H8204" s="2">
        <v>465</v>
      </c>
      <c r="I8204" s="2">
        <v>221</v>
      </c>
      <c r="J8204" s="2">
        <v>1615</v>
      </c>
      <c r="K8204" s="2">
        <v>636</v>
      </c>
      <c r="L8204" s="2">
        <v>1100</v>
      </c>
    </row>
    <row r="8205" spans="1:12" x14ac:dyDescent="0.25">
      <c r="A8205" s="4" t="str">
        <f>HYPERLINK("http://www.rosaceae.org/Prunus/Prunus_persica/p.persica_gdr_reftransV1_0007563","p.persica_gdr_reftransV1_0007563")</f>
        <v>p.persica_gdr_reftransV1_0007563</v>
      </c>
      <c r="B8205" s="2">
        <v>916</v>
      </c>
      <c r="C8205" s="4" t="str">
        <f>HYPERLINK("http://www.uniprot.org/uniprot/M5XBD1","M5XBD1")</f>
        <v>M5XBD1</v>
      </c>
      <c r="D8205" s="2" t="s">
        <v>7219</v>
      </c>
      <c r="E8205" s="3">
        <v>6.8700000000000002E-99</v>
      </c>
      <c r="F8205" s="2">
        <v>796</v>
      </c>
      <c r="G8205" s="2">
        <v>100</v>
      </c>
      <c r="H8205" s="2">
        <v>166</v>
      </c>
      <c r="I8205" s="2">
        <v>11</v>
      </c>
      <c r="J8205" s="2">
        <v>508</v>
      </c>
      <c r="K8205" s="2">
        <v>313</v>
      </c>
      <c r="L8205" s="2">
        <v>478</v>
      </c>
    </row>
    <row r="8206" spans="1:12" x14ac:dyDescent="0.25">
      <c r="A8206" s="4" t="str">
        <f>HYPERLINK("http://www.rosaceae.org/Prunus/Prunus_persica/p.persica_gdr_reftransV1_0007913","p.persica_gdr_reftransV1_0007913")</f>
        <v>p.persica_gdr_reftransV1_0007913</v>
      </c>
      <c r="B8206" s="2">
        <v>2508</v>
      </c>
      <c r="C8206" s="4" t="str">
        <f>HYPERLINK("http://www.uniprot.org/uniprot/M5XR34","M5XR34")</f>
        <v>M5XR34</v>
      </c>
      <c r="D8206" s="2" t="s">
        <v>7220</v>
      </c>
      <c r="E8206" s="3">
        <v>0</v>
      </c>
      <c r="F8206" s="2">
        <v>1462</v>
      </c>
      <c r="G8206" s="2">
        <v>100</v>
      </c>
      <c r="H8206" s="2">
        <v>271</v>
      </c>
      <c r="I8206" s="2">
        <v>356</v>
      </c>
      <c r="J8206" s="2">
        <v>1168</v>
      </c>
      <c r="K8206" s="2">
        <v>211</v>
      </c>
      <c r="L8206" s="2">
        <v>481</v>
      </c>
    </row>
    <row r="8207" spans="1:12" x14ac:dyDescent="0.25">
      <c r="A8207" s="4" t="str">
        <f>HYPERLINK("http://www.rosaceae.org/Prunus/Prunus_persica/p.persica_gdr_reftransV1_0008263","p.persica_gdr_reftransV1_0008263")</f>
        <v>p.persica_gdr_reftransV1_0008263</v>
      </c>
      <c r="B8207" s="2">
        <v>840</v>
      </c>
      <c r="C8207" s="4" t="str">
        <f>HYPERLINK("http://www.uniprot.org/uniprot/M5WIY2","M5WIY2")</f>
        <v>M5WIY2</v>
      </c>
      <c r="D8207" s="2" t="s">
        <v>7221</v>
      </c>
      <c r="E8207" s="3">
        <v>2.6299999999999999E-111</v>
      </c>
      <c r="F8207" s="2">
        <v>851</v>
      </c>
      <c r="G8207" s="2">
        <v>100</v>
      </c>
      <c r="H8207" s="2">
        <v>161</v>
      </c>
      <c r="I8207" s="2">
        <v>1</v>
      </c>
      <c r="J8207" s="2">
        <v>483</v>
      </c>
      <c r="K8207" s="2">
        <v>57</v>
      </c>
      <c r="L8207" s="2">
        <v>217</v>
      </c>
    </row>
    <row r="8208" spans="1:12" x14ac:dyDescent="0.25">
      <c r="A8208" s="4" t="str">
        <f>HYPERLINK("http://www.rosaceae.org/Prunus/Prunus_persica/p.persica_gdr_reftransV1_0008613","p.persica_gdr_reftransV1_0008613")</f>
        <v>p.persica_gdr_reftransV1_0008613</v>
      </c>
      <c r="B8208" s="2">
        <v>4057</v>
      </c>
      <c r="C8208" s="4" t="str">
        <f>HYPERLINK("http://www.uniprot.org/uniprot/M5VTM8","M5VTM8")</f>
        <v>M5VTM8</v>
      </c>
      <c r="D8208" s="2" t="s">
        <v>7222</v>
      </c>
      <c r="E8208" s="3">
        <v>0</v>
      </c>
      <c r="F8208" s="2">
        <v>3482</v>
      </c>
      <c r="G8208" s="2">
        <v>99</v>
      </c>
      <c r="H8208" s="2">
        <v>821</v>
      </c>
      <c r="I8208" s="2">
        <v>236</v>
      </c>
      <c r="J8208" s="2">
        <v>2698</v>
      </c>
      <c r="K8208" s="2">
        <v>1</v>
      </c>
      <c r="L8208" s="2">
        <v>821</v>
      </c>
    </row>
    <row r="8209" spans="1:12" x14ac:dyDescent="0.25">
      <c r="A8209" s="4" t="str">
        <f>HYPERLINK("http://www.rosaceae.org/Prunus/Prunus_persica/p.persica_gdr_reftransV1_0008963","p.persica_gdr_reftransV1_0008963")</f>
        <v>p.persica_gdr_reftransV1_0008963</v>
      </c>
      <c r="B8209" s="2">
        <v>751</v>
      </c>
      <c r="C8209" s="4" t="str">
        <f>HYPERLINK("http://www.uniprot.org/uniprot/M5VZG8","M5VZG8")</f>
        <v>M5VZG8</v>
      </c>
      <c r="D8209" s="2" t="s">
        <v>7223</v>
      </c>
      <c r="E8209" s="3">
        <v>2.0999999999999999E-126</v>
      </c>
      <c r="F8209" s="2">
        <v>955</v>
      </c>
      <c r="G8209" s="2">
        <v>100</v>
      </c>
      <c r="H8209" s="2">
        <v>181</v>
      </c>
      <c r="I8209" s="2">
        <v>208</v>
      </c>
      <c r="J8209" s="2">
        <v>750</v>
      </c>
      <c r="K8209" s="2">
        <v>1</v>
      </c>
      <c r="L8209" s="2">
        <v>181</v>
      </c>
    </row>
    <row r="8210" spans="1:12" x14ac:dyDescent="0.25">
      <c r="A8210" s="4" t="str">
        <f>HYPERLINK("http://www.rosaceae.org/Prunus/Prunus_persica/p.persica_gdr_reftransV1_0009313","p.persica_gdr_reftransV1_0009313")</f>
        <v>p.persica_gdr_reftransV1_0009313</v>
      </c>
      <c r="B8210" s="2">
        <v>1838</v>
      </c>
      <c r="C8210" s="4" t="str">
        <f>HYPERLINK("http://www.uniprot.org/uniprot/M5XSM0","M5XSM0")</f>
        <v>M5XSM0</v>
      </c>
      <c r="D8210" s="2" t="s">
        <v>7224</v>
      </c>
      <c r="E8210" s="3">
        <v>0</v>
      </c>
      <c r="F8210" s="2">
        <v>2142</v>
      </c>
      <c r="G8210" s="2">
        <v>98</v>
      </c>
      <c r="H8210" s="2">
        <v>431</v>
      </c>
      <c r="I8210" s="2">
        <v>261</v>
      </c>
      <c r="J8210" s="2">
        <v>1553</v>
      </c>
      <c r="K8210" s="2">
        <v>21</v>
      </c>
      <c r="L8210" s="2">
        <v>451</v>
      </c>
    </row>
    <row r="8211" spans="1:12" x14ac:dyDescent="0.25">
      <c r="A8211" s="4" t="str">
        <f>HYPERLINK("http://www.rosaceae.org/Prunus/Prunus_persica/p.persica_gdr_reftransV1_0011413","p.persica_gdr_reftransV1_0011413")</f>
        <v>p.persica_gdr_reftransV1_0011413</v>
      </c>
      <c r="B8211" s="2">
        <v>1940</v>
      </c>
      <c r="C8211" s="4" t="str">
        <f>HYPERLINK("http://www.uniprot.org/uniprot/M5X9P5","M5X9P5")</f>
        <v>M5X9P5</v>
      </c>
      <c r="D8211" s="2" t="s">
        <v>7225</v>
      </c>
      <c r="E8211" s="3">
        <v>0</v>
      </c>
      <c r="F8211" s="2">
        <v>2165</v>
      </c>
      <c r="G8211" s="2">
        <v>100</v>
      </c>
      <c r="H8211" s="2">
        <v>405</v>
      </c>
      <c r="I8211" s="2">
        <v>272</v>
      </c>
      <c r="J8211" s="2">
        <v>1486</v>
      </c>
      <c r="K8211" s="2">
        <v>1</v>
      </c>
      <c r="L8211" s="2">
        <v>405</v>
      </c>
    </row>
    <row r="8212" spans="1:12" x14ac:dyDescent="0.25">
      <c r="A8212" s="4" t="str">
        <f>HYPERLINK("http://www.rosaceae.org/Prunus/Prunus_persica/p.persica_gdr_reftransV1_0011763","p.persica_gdr_reftransV1_0011763")</f>
        <v>p.persica_gdr_reftransV1_0011763</v>
      </c>
      <c r="B8212" s="2">
        <v>937</v>
      </c>
      <c r="C8212" s="4" t="str">
        <f>HYPERLINK("http://www.uniprot.org/uniprot/M5XA34","M5XA34")</f>
        <v>M5XA34</v>
      </c>
      <c r="D8212" s="2" t="s">
        <v>5824</v>
      </c>
      <c r="E8212" s="3">
        <v>1.0799999999999999E-109</v>
      </c>
      <c r="F8212" s="2">
        <v>856</v>
      </c>
      <c r="G8212" s="2">
        <v>100</v>
      </c>
      <c r="H8212" s="2">
        <v>161</v>
      </c>
      <c r="I8212" s="2">
        <v>2</v>
      </c>
      <c r="J8212" s="2">
        <v>484</v>
      </c>
      <c r="K8212" s="2">
        <v>181</v>
      </c>
      <c r="L8212" s="2">
        <v>341</v>
      </c>
    </row>
    <row r="8213" spans="1:12" x14ac:dyDescent="0.25">
      <c r="A8213" s="4" t="str">
        <f>HYPERLINK("http://www.rosaceae.org/Prunus/Prunus_persica/p.persica_gdr_reftransV1_0012463","p.persica_gdr_reftransV1_0012463")</f>
        <v>p.persica_gdr_reftransV1_0012463</v>
      </c>
      <c r="B8213" s="2">
        <v>1287</v>
      </c>
      <c r="C8213" s="4" t="str">
        <f>HYPERLINK("http://www.uniprot.org/uniprot/M5W049","M5W049")</f>
        <v>M5W049</v>
      </c>
      <c r="D8213" s="2" t="s">
        <v>7226</v>
      </c>
      <c r="E8213" s="3">
        <v>8.9699999999999998E-113</v>
      </c>
      <c r="F8213" s="2">
        <v>875</v>
      </c>
      <c r="G8213" s="2">
        <v>100</v>
      </c>
      <c r="H8213" s="2">
        <v>200</v>
      </c>
      <c r="I8213" s="2">
        <v>315</v>
      </c>
      <c r="J8213" s="2">
        <v>914</v>
      </c>
      <c r="K8213" s="2">
        <v>1</v>
      </c>
      <c r="L8213" s="2">
        <v>200</v>
      </c>
    </row>
    <row r="8214" spans="1:12" x14ac:dyDescent="0.25">
      <c r="A8214" s="4" t="str">
        <f>HYPERLINK("http://www.rosaceae.org/Prunus/Prunus_persica/p.persica_gdr_reftransV1_0013863","p.persica_gdr_reftransV1_0013863")</f>
        <v>p.persica_gdr_reftransV1_0013863</v>
      </c>
      <c r="B8214" s="2">
        <v>2491</v>
      </c>
      <c r="C8214" s="4" t="str">
        <f>HYPERLINK("http://www.uniprot.org/uniprot/M5WSJ7","M5WSJ7")</f>
        <v>M5WSJ7</v>
      </c>
      <c r="D8214" s="2" t="s">
        <v>7227</v>
      </c>
      <c r="E8214" s="3">
        <v>0</v>
      </c>
      <c r="F8214" s="2">
        <v>3629</v>
      </c>
      <c r="G8214" s="2">
        <v>99</v>
      </c>
      <c r="H8214" s="2">
        <v>736</v>
      </c>
      <c r="I8214" s="2">
        <v>112</v>
      </c>
      <c r="J8214" s="2">
        <v>2319</v>
      </c>
      <c r="K8214" s="2">
        <v>1</v>
      </c>
      <c r="L8214" s="2">
        <v>727</v>
      </c>
    </row>
    <row r="8215" spans="1:12" x14ac:dyDescent="0.25">
      <c r="A8215" s="4" t="str">
        <f>HYPERLINK("http://www.rosaceae.org/Prunus/Prunus_persica/p.persica_gdr_reftransV1_0014913","p.persica_gdr_reftransV1_0014913")</f>
        <v>p.persica_gdr_reftransV1_0014913</v>
      </c>
      <c r="B8215" s="2">
        <v>1004</v>
      </c>
      <c r="C8215" s="4" t="str">
        <f>HYPERLINK("http://www.uniprot.org/uniprot/M5XJU6","M5XJU6")</f>
        <v>M5XJU6</v>
      </c>
      <c r="D8215" s="2" t="s">
        <v>7228</v>
      </c>
      <c r="E8215" s="3">
        <v>0</v>
      </c>
      <c r="F8215" s="2">
        <v>1598</v>
      </c>
      <c r="G8215" s="2">
        <v>100</v>
      </c>
      <c r="H8215" s="2">
        <v>296</v>
      </c>
      <c r="I8215" s="2">
        <v>3</v>
      </c>
      <c r="J8215" s="2">
        <v>890</v>
      </c>
      <c r="K8215" s="2">
        <v>376</v>
      </c>
      <c r="L8215" s="2">
        <v>671</v>
      </c>
    </row>
    <row r="8216" spans="1:12" x14ac:dyDescent="0.25">
      <c r="A8216" s="4" t="str">
        <f>HYPERLINK("http://www.rosaceae.org/Prunus/Prunus_persica/p.persica_gdr_reftransV1_0015263","p.persica_gdr_reftransV1_0015263")</f>
        <v>p.persica_gdr_reftransV1_0015263</v>
      </c>
      <c r="B8216" s="2">
        <v>1526</v>
      </c>
      <c r="C8216" s="4" t="str">
        <f>HYPERLINK("http://www.uniprot.org/uniprot/B9GLR7","B9GLR7")</f>
        <v>B9GLR7</v>
      </c>
      <c r="D8216" s="2" t="s">
        <v>7229</v>
      </c>
      <c r="E8216" s="3">
        <v>2.1900000000000001E-179</v>
      </c>
      <c r="F8216" s="2">
        <v>1343</v>
      </c>
      <c r="G8216" s="2">
        <v>74</v>
      </c>
      <c r="H8216" s="2">
        <v>399</v>
      </c>
      <c r="I8216" s="2">
        <v>198</v>
      </c>
      <c r="J8216" s="2">
        <v>1328</v>
      </c>
      <c r="K8216" s="2">
        <v>1</v>
      </c>
      <c r="L8216" s="2">
        <v>395</v>
      </c>
    </row>
    <row r="8217" spans="1:12" x14ac:dyDescent="0.25">
      <c r="A8217" s="4" t="str">
        <f>HYPERLINK("http://www.rosaceae.org/Prunus/Prunus_persica/p.persica_gdr_reftransV1_0015613","p.persica_gdr_reftransV1_0015613")</f>
        <v>p.persica_gdr_reftransV1_0015613</v>
      </c>
      <c r="B8217" s="2">
        <v>982</v>
      </c>
      <c r="C8217" s="4" t="str">
        <f>HYPERLINK("http://www.uniprot.org/uniprot/M5W0G2","M5W0G2")</f>
        <v>M5W0G2</v>
      </c>
      <c r="D8217" s="2" t="s">
        <v>5985</v>
      </c>
      <c r="E8217" s="3">
        <v>3.05E-26</v>
      </c>
      <c r="F8217" s="2">
        <v>286</v>
      </c>
      <c r="G8217" s="2">
        <v>91</v>
      </c>
      <c r="H8217" s="2">
        <v>57</v>
      </c>
      <c r="I8217" s="2">
        <v>234</v>
      </c>
      <c r="J8217" s="2">
        <v>404</v>
      </c>
      <c r="K8217" s="2">
        <v>204</v>
      </c>
      <c r="L8217" s="2">
        <v>260</v>
      </c>
    </row>
    <row r="8218" spans="1:12" x14ac:dyDescent="0.25">
      <c r="A8218" s="4" t="str">
        <f>HYPERLINK("http://www.rosaceae.org/Prunus/Prunus_persica/p.persica_gdr_reftransV1_0015963","p.persica_gdr_reftransV1_0015963")</f>
        <v>p.persica_gdr_reftransV1_0015963</v>
      </c>
      <c r="B8218" s="2">
        <v>1627</v>
      </c>
      <c r="C8218" s="4" t="str">
        <f>HYPERLINK("http://www.uniprot.org/uniprot/M5XJD8","M5XJD8")</f>
        <v>M5XJD8</v>
      </c>
      <c r="D8218" s="2" t="s">
        <v>7230</v>
      </c>
      <c r="E8218" s="3">
        <v>0</v>
      </c>
      <c r="F8218" s="2">
        <v>2076</v>
      </c>
      <c r="G8218" s="2">
        <v>100</v>
      </c>
      <c r="H8218" s="2">
        <v>419</v>
      </c>
      <c r="I8218" s="2">
        <v>236</v>
      </c>
      <c r="J8218" s="2">
        <v>1492</v>
      </c>
      <c r="K8218" s="2">
        <v>7</v>
      </c>
      <c r="L8218" s="2">
        <v>425</v>
      </c>
    </row>
    <row r="8219" spans="1:12" x14ac:dyDescent="0.25">
      <c r="A8219" s="4" t="str">
        <f>HYPERLINK("http://www.rosaceae.org/Prunus/Prunus_persica/p.persica_gdr_reftransV1_0016313","p.persica_gdr_reftransV1_0016313")</f>
        <v>p.persica_gdr_reftransV1_0016313</v>
      </c>
      <c r="B8219" s="2">
        <v>2128</v>
      </c>
      <c r="C8219" s="4" t="str">
        <f>HYPERLINK("http://www.uniprot.org/uniprot/M5X7J0","M5X7J0")</f>
        <v>M5X7J0</v>
      </c>
      <c r="D8219" s="2" t="s">
        <v>4871</v>
      </c>
      <c r="E8219" s="3">
        <v>0</v>
      </c>
      <c r="F8219" s="2">
        <v>926</v>
      </c>
      <c r="G8219" s="2">
        <v>100</v>
      </c>
      <c r="H8219" s="2">
        <v>174</v>
      </c>
      <c r="I8219" s="2">
        <v>913</v>
      </c>
      <c r="J8219" s="2">
        <v>1434</v>
      </c>
      <c r="K8219" s="2">
        <v>161</v>
      </c>
      <c r="L8219" s="2">
        <v>334</v>
      </c>
    </row>
    <row r="8220" spans="1:12" x14ac:dyDescent="0.25">
      <c r="A8220" s="4" t="str">
        <f>HYPERLINK("http://www.rosaceae.org/Prunus/Prunus_persica/p.persica_gdr_reftransV1_0016663","p.persica_gdr_reftransV1_0016663")</f>
        <v>p.persica_gdr_reftransV1_0016663</v>
      </c>
      <c r="B8220" s="2">
        <v>1231</v>
      </c>
      <c r="C8220" s="4" t="str">
        <f>HYPERLINK("http://www.uniprot.org/uniprot/M5XDD3","M5XDD3")</f>
        <v>M5XDD3</v>
      </c>
      <c r="D8220" s="2" t="s">
        <v>7231</v>
      </c>
      <c r="E8220" s="3">
        <v>0</v>
      </c>
      <c r="F8220" s="2">
        <v>1609</v>
      </c>
      <c r="G8220" s="2">
        <v>100</v>
      </c>
      <c r="H8220" s="2">
        <v>349</v>
      </c>
      <c r="I8220" s="2">
        <v>1</v>
      </c>
      <c r="J8220" s="2">
        <v>1047</v>
      </c>
      <c r="K8220" s="2">
        <v>1</v>
      </c>
      <c r="L8220" s="2">
        <v>349</v>
      </c>
    </row>
    <row r="8221" spans="1:12" x14ac:dyDescent="0.25">
      <c r="A8221" s="4" t="str">
        <f>HYPERLINK("http://www.rosaceae.org/Prunus/Prunus_persica/p.persica_gdr_reftransV1_0018413","p.persica_gdr_reftransV1_0018413")</f>
        <v>p.persica_gdr_reftransV1_0018413</v>
      </c>
      <c r="B8221" s="2">
        <v>4131</v>
      </c>
      <c r="C8221" s="4" t="str">
        <f>HYPERLINK("http://www.uniprot.org/uniprot/M5X9W6","M5X9W6")</f>
        <v>M5X9W6</v>
      </c>
      <c r="D8221" s="2" t="s">
        <v>7232</v>
      </c>
      <c r="E8221" s="3">
        <v>0</v>
      </c>
      <c r="F8221" s="2">
        <v>3098</v>
      </c>
      <c r="G8221" s="2">
        <v>94</v>
      </c>
      <c r="H8221" s="2">
        <v>615</v>
      </c>
      <c r="I8221" s="2">
        <v>122</v>
      </c>
      <c r="J8221" s="2">
        <v>1951</v>
      </c>
      <c r="K8221" s="2">
        <v>39</v>
      </c>
      <c r="L8221" s="2">
        <v>640</v>
      </c>
    </row>
    <row r="8222" spans="1:12" x14ac:dyDescent="0.25">
      <c r="A8222" s="4" t="str">
        <f>HYPERLINK("http://www.rosaceae.org/Prunus/Prunus_persica/p.persica_gdr_reftransV1_0019813","p.persica_gdr_reftransV1_0019813")</f>
        <v>p.persica_gdr_reftransV1_0019813</v>
      </c>
      <c r="B8222" s="2">
        <v>1021</v>
      </c>
      <c r="C8222" s="4" t="str">
        <f>HYPERLINK("http://www.uniprot.org/uniprot/M5X908","M5X908")</f>
        <v>M5X908</v>
      </c>
      <c r="D8222" s="2" t="s">
        <v>7233</v>
      </c>
      <c r="E8222" s="3">
        <v>2.8900000000000001E-86</v>
      </c>
      <c r="F8222" s="2">
        <v>686</v>
      </c>
      <c r="G8222" s="2">
        <v>100</v>
      </c>
      <c r="H8222" s="2">
        <v>159</v>
      </c>
      <c r="I8222" s="2">
        <v>289</v>
      </c>
      <c r="J8222" s="2">
        <v>765</v>
      </c>
      <c r="K8222" s="2">
        <v>1</v>
      </c>
      <c r="L8222" s="2">
        <v>159</v>
      </c>
    </row>
    <row r="8223" spans="1:12" x14ac:dyDescent="0.25">
      <c r="A8223" s="4" t="str">
        <f>HYPERLINK("http://www.rosaceae.org/Prunus/Prunus_persica/p.persica_gdr_reftransV1_0021213","p.persica_gdr_reftransV1_0021213")</f>
        <v>p.persica_gdr_reftransV1_0021213</v>
      </c>
      <c r="B8223" s="2">
        <v>1467</v>
      </c>
      <c r="C8223" s="4" t="str">
        <f>HYPERLINK("http://www.uniprot.org/uniprot/M5VQP6","M5VQP6")</f>
        <v>M5VQP6</v>
      </c>
      <c r="D8223" s="2" t="s">
        <v>7234</v>
      </c>
      <c r="E8223" s="3">
        <v>6.73E-119</v>
      </c>
      <c r="F8223" s="2">
        <v>930</v>
      </c>
      <c r="G8223" s="2">
        <v>100</v>
      </c>
      <c r="H8223" s="2">
        <v>175</v>
      </c>
      <c r="I8223" s="2">
        <v>943</v>
      </c>
      <c r="J8223" s="2">
        <v>1467</v>
      </c>
      <c r="K8223" s="2">
        <v>120</v>
      </c>
      <c r="L8223" s="2">
        <v>294</v>
      </c>
    </row>
    <row r="8224" spans="1:12" x14ac:dyDescent="0.25">
      <c r="A8224" s="4" t="str">
        <f>HYPERLINK("http://www.rosaceae.org/Prunus/Prunus_persica/p.persica_gdr_reftransV1_0021563","p.persica_gdr_reftransV1_0021563")</f>
        <v>p.persica_gdr_reftransV1_0021563</v>
      </c>
      <c r="B8224" s="2">
        <v>454</v>
      </c>
      <c r="C8224" s="4" t="str">
        <f>HYPERLINK("http://www.uniprot.org/uniprot/M5VTN8","M5VTN8")</f>
        <v>M5VTN8</v>
      </c>
      <c r="D8224" s="2" t="s">
        <v>6297</v>
      </c>
      <c r="E8224" s="3">
        <v>1.3900000000000001E-102</v>
      </c>
      <c r="F8224" s="2">
        <v>819</v>
      </c>
      <c r="G8224" s="2">
        <v>100</v>
      </c>
      <c r="H8224" s="2">
        <v>151</v>
      </c>
      <c r="I8224" s="2">
        <v>2</v>
      </c>
      <c r="J8224" s="2">
        <v>454</v>
      </c>
      <c r="K8224" s="2">
        <v>360</v>
      </c>
      <c r="L8224" s="2">
        <v>510</v>
      </c>
    </row>
    <row r="8225" spans="1:12" x14ac:dyDescent="0.25">
      <c r="A8225" s="4" t="str">
        <f>HYPERLINK("http://www.rosaceae.org/Prunus/Prunus_persica/p.persica_gdr_reftransV1_0022613","p.persica_gdr_reftransV1_0022613")</f>
        <v>p.persica_gdr_reftransV1_0022613</v>
      </c>
      <c r="B8225" s="2">
        <v>3358</v>
      </c>
      <c r="C8225" s="4" t="str">
        <f>HYPERLINK("http://www.uniprot.org/uniprot/M5XC21","M5XC21")</f>
        <v>M5XC21</v>
      </c>
      <c r="D8225" s="2" t="s">
        <v>7235</v>
      </c>
      <c r="E8225" s="3">
        <v>0</v>
      </c>
      <c r="F8225" s="2">
        <v>1857</v>
      </c>
      <c r="G8225" s="2">
        <v>100</v>
      </c>
      <c r="H8225" s="2">
        <v>368</v>
      </c>
      <c r="I8225" s="2">
        <v>402</v>
      </c>
      <c r="J8225" s="2">
        <v>1505</v>
      </c>
      <c r="K8225" s="2">
        <v>177</v>
      </c>
      <c r="L8225" s="2">
        <v>544</v>
      </c>
    </row>
    <row r="8226" spans="1:12" x14ac:dyDescent="0.25">
      <c r="A8226" s="4" t="str">
        <f>HYPERLINK("http://www.rosaceae.org/Prunus/Prunus_persica/p.persica_gdr_reftransV1_0024713","p.persica_gdr_reftransV1_0024713")</f>
        <v>p.persica_gdr_reftransV1_0024713</v>
      </c>
      <c r="B8226" s="2">
        <v>3057</v>
      </c>
      <c r="C8226" s="4" t="str">
        <f>HYPERLINK("http://www.uniprot.org/uniprot/M5W3M2","M5W3M2")</f>
        <v>M5W3M2</v>
      </c>
      <c r="D8226" s="2" t="s">
        <v>7236</v>
      </c>
      <c r="E8226" s="3">
        <v>0</v>
      </c>
      <c r="F8226" s="2">
        <v>2640</v>
      </c>
      <c r="G8226" s="2">
        <v>99</v>
      </c>
      <c r="H8226" s="2">
        <v>495</v>
      </c>
      <c r="I8226" s="2">
        <v>547</v>
      </c>
      <c r="J8226" s="2">
        <v>2031</v>
      </c>
      <c r="K8226" s="2">
        <v>295</v>
      </c>
      <c r="L8226" s="2">
        <v>789</v>
      </c>
    </row>
    <row r="8227" spans="1:12" x14ac:dyDescent="0.25">
      <c r="A8227" s="4" t="str">
        <f>HYPERLINK("http://www.rosaceae.org/Prunus/Prunus_persica/p.persica_gdr_reftransV1_0025063","p.persica_gdr_reftransV1_0025063")</f>
        <v>p.persica_gdr_reftransV1_0025063</v>
      </c>
      <c r="B8227" s="2">
        <v>2868</v>
      </c>
      <c r="C8227" s="4" t="str">
        <f>HYPERLINK("http://www.uniprot.org/uniprot/M5VNS1","M5VNS1")</f>
        <v>M5VNS1</v>
      </c>
      <c r="D8227" s="2" t="s">
        <v>7237</v>
      </c>
      <c r="E8227" s="3">
        <v>0</v>
      </c>
      <c r="F8227" s="2">
        <v>2583</v>
      </c>
      <c r="G8227" s="2">
        <v>93</v>
      </c>
      <c r="H8227" s="2">
        <v>551</v>
      </c>
      <c r="I8227" s="2">
        <v>427</v>
      </c>
      <c r="J8227" s="2">
        <v>2079</v>
      </c>
      <c r="K8227" s="2">
        <v>1</v>
      </c>
      <c r="L8227" s="2">
        <v>513</v>
      </c>
    </row>
    <row r="8228" spans="1:12" x14ac:dyDescent="0.25">
      <c r="A8228" s="4" t="str">
        <f>HYPERLINK("http://www.rosaceae.org/Prunus/Prunus_persica/p.persica_gdr_reftransV1_0025763","p.persica_gdr_reftransV1_0025763")</f>
        <v>p.persica_gdr_reftransV1_0025763</v>
      </c>
      <c r="B8228" s="2">
        <v>2141</v>
      </c>
      <c r="C8228" s="4" t="str">
        <f>HYPERLINK("http://www.uniprot.org/uniprot/M5XJT4","M5XJT4")</f>
        <v>M5XJT4</v>
      </c>
      <c r="D8228" s="2" t="s">
        <v>7238</v>
      </c>
      <c r="E8228" s="3">
        <v>0</v>
      </c>
      <c r="F8228" s="2">
        <v>2503</v>
      </c>
      <c r="G8228" s="2">
        <v>92</v>
      </c>
      <c r="H8228" s="2">
        <v>557</v>
      </c>
      <c r="I8228" s="2">
        <v>42</v>
      </c>
      <c r="J8228" s="2">
        <v>1712</v>
      </c>
      <c r="K8228" s="2">
        <v>7</v>
      </c>
      <c r="L8228" s="2">
        <v>520</v>
      </c>
    </row>
    <row r="8229" spans="1:12" x14ac:dyDescent="0.25">
      <c r="A8229" s="4" t="str">
        <f>HYPERLINK("http://www.rosaceae.org/Prunus/Prunus_persica/p.persica_gdr_reftransV1_0026463","p.persica_gdr_reftransV1_0026463")</f>
        <v>p.persica_gdr_reftransV1_0026463</v>
      </c>
      <c r="B8229" s="2">
        <v>5936</v>
      </c>
      <c r="C8229" s="4" t="str">
        <f>HYPERLINK("http://www.uniprot.org/uniprot/M5XIA4","M5XIA4")</f>
        <v>M5XIA4</v>
      </c>
      <c r="D8229" s="2" t="s">
        <v>7239</v>
      </c>
      <c r="E8229" s="3">
        <v>0</v>
      </c>
      <c r="F8229" s="2">
        <v>6446</v>
      </c>
      <c r="G8229" s="2">
        <v>100</v>
      </c>
      <c r="H8229" s="2">
        <v>1346</v>
      </c>
      <c r="I8229" s="2">
        <v>533</v>
      </c>
      <c r="J8229" s="2">
        <v>4570</v>
      </c>
      <c r="K8229" s="2">
        <v>1</v>
      </c>
      <c r="L8229" s="2">
        <v>1346</v>
      </c>
    </row>
    <row r="8230" spans="1:12" x14ac:dyDescent="0.25">
      <c r="A8230" s="4" t="str">
        <f>HYPERLINK("http://www.rosaceae.org/Prunus/Prunus_persica/p.persica_gdr_reftransV1_0027513","p.persica_gdr_reftransV1_0027513")</f>
        <v>p.persica_gdr_reftransV1_0027513</v>
      </c>
      <c r="B8230" s="2">
        <v>949</v>
      </c>
      <c r="C8230" s="4" t="str">
        <f>HYPERLINK("http://www.uniprot.org/uniprot/M5XJT6","M5XJT6")</f>
        <v>M5XJT6</v>
      </c>
      <c r="D8230" s="2" t="s">
        <v>7240</v>
      </c>
      <c r="E8230" s="3">
        <v>7.5300000000000003E-7</v>
      </c>
      <c r="F8230" s="2">
        <v>142</v>
      </c>
      <c r="G8230" s="2">
        <v>40</v>
      </c>
      <c r="H8230" s="2">
        <v>100</v>
      </c>
      <c r="I8230" s="2">
        <v>42</v>
      </c>
      <c r="J8230" s="2">
        <v>326</v>
      </c>
      <c r="K8230" s="2">
        <v>196</v>
      </c>
      <c r="L8230" s="2">
        <v>295</v>
      </c>
    </row>
    <row r="8231" spans="1:12" x14ac:dyDescent="0.25">
      <c r="A8231" s="4" t="str">
        <f>HYPERLINK("http://www.rosaceae.org/Prunus/Prunus_persica/p.persica_gdr_reftransV1_0029263","p.persica_gdr_reftransV1_0029263")</f>
        <v>p.persica_gdr_reftransV1_0029263</v>
      </c>
      <c r="B8231" s="2">
        <v>878</v>
      </c>
      <c r="C8231" s="4" t="str">
        <f>HYPERLINK("http://www.uniprot.org/uniprot/M5W082","M5W082")</f>
        <v>M5W082</v>
      </c>
      <c r="D8231" s="2" t="s">
        <v>75</v>
      </c>
      <c r="E8231" s="3">
        <v>1.0399999999999999E-70</v>
      </c>
      <c r="F8231" s="2">
        <v>582</v>
      </c>
      <c r="G8231" s="2">
        <v>100</v>
      </c>
      <c r="H8231" s="2">
        <v>159</v>
      </c>
      <c r="I8231" s="2">
        <v>82</v>
      </c>
      <c r="J8231" s="2">
        <v>558</v>
      </c>
      <c r="K8231" s="2">
        <v>1</v>
      </c>
      <c r="L8231" s="2">
        <v>159</v>
      </c>
    </row>
    <row r="8232" spans="1:12" x14ac:dyDescent="0.25">
      <c r="A8232" s="4" t="str">
        <f>HYPERLINK("http://www.rosaceae.org/Prunus/Prunus_persica/p.persica_gdr_reftransV1_0029963","p.persica_gdr_reftransV1_0029963")</f>
        <v>p.persica_gdr_reftransV1_0029963</v>
      </c>
      <c r="B8232" s="2">
        <v>2038</v>
      </c>
      <c r="C8232" s="4" t="str">
        <f>HYPERLINK("http://www.uniprot.org/uniprot/M5X256","M5X256")</f>
        <v>M5X256</v>
      </c>
      <c r="D8232" s="2" t="s">
        <v>7241</v>
      </c>
      <c r="E8232" s="3">
        <v>0</v>
      </c>
      <c r="F8232" s="2">
        <v>1408</v>
      </c>
      <c r="G8232" s="2">
        <v>99</v>
      </c>
      <c r="H8232" s="2">
        <v>301</v>
      </c>
      <c r="I8232" s="2">
        <v>66</v>
      </c>
      <c r="J8232" s="2">
        <v>968</v>
      </c>
      <c r="K8232" s="2">
        <v>113</v>
      </c>
      <c r="L8232" s="2">
        <v>413</v>
      </c>
    </row>
    <row r="8233" spans="1:12" x14ac:dyDescent="0.25">
      <c r="A8233" s="4" t="str">
        <f>HYPERLINK("http://www.rosaceae.org/Prunus/Prunus_persica/p.persica_gdr_reftransV1_0030663","p.persica_gdr_reftransV1_0030663")</f>
        <v>p.persica_gdr_reftransV1_0030663</v>
      </c>
      <c r="B8233" s="2">
        <v>2764</v>
      </c>
      <c r="C8233" s="4" t="str">
        <f>HYPERLINK("http://www.uniprot.org/uniprot/M5WQA3","M5WQA3")</f>
        <v>M5WQA3</v>
      </c>
      <c r="D8233" s="2" t="s">
        <v>7242</v>
      </c>
      <c r="E8233" s="3">
        <v>0</v>
      </c>
      <c r="F8233" s="2">
        <v>1494</v>
      </c>
      <c r="G8233" s="2">
        <v>98</v>
      </c>
      <c r="H8233" s="2">
        <v>289</v>
      </c>
      <c r="I8233" s="2">
        <v>861</v>
      </c>
      <c r="J8233" s="2">
        <v>1727</v>
      </c>
      <c r="K8233" s="2">
        <v>161</v>
      </c>
      <c r="L8233" s="2">
        <v>449</v>
      </c>
    </row>
    <row r="8234" spans="1:12" x14ac:dyDescent="0.25">
      <c r="A8234" s="4" t="str">
        <f>HYPERLINK("http://www.rosaceae.org/Prunus/Prunus_persica/p.persica_gdr_reftransV1_0033463","p.persica_gdr_reftransV1_0033463")</f>
        <v>p.persica_gdr_reftransV1_0033463</v>
      </c>
      <c r="B8234" s="2">
        <v>1470</v>
      </c>
      <c r="C8234" s="4" t="str">
        <f>HYPERLINK("http://www.uniprot.org/uniprot/M5XRL6","M5XRL6")</f>
        <v>M5XRL6</v>
      </c>
      <c r="D8234" s="2" t="s">
        <v>7243</v>
      </c>
      <c r="E8234" s="3">
        <v>6.5300000000000001E-110</v>
      </c>
      <c r="F8234" s="2">
        <v>868</v>
      </c>
      <c r="G8234" s="2">
        <v>100</v>
      </c>
      <c r="H8234" s="2">
        <v>268</v>
      </c>
      <c r="I8234" s="2">
        <v>177</v>
      </c>
      <c r="J8234" s="2">
        <v>980</v>
      </c>
      <c r="K8234" s="2">
        <v>1</v>
      </c>
      <c r="L8234" s="2">
        <v>268</v>
      </c>
    </row>
    <row r="8235" spans="1:12" x14ac:dyDescent="0.25">
      <c r="A8235" s="4" t="str">
        <f>HYPERLINK("http://www.rosaceae.org/Prunus/Prunus_persica/p.persica_gdr_reftransV1_0033813","p.persica_gdr_reftransV1_0033813")</f>
        <v>p.persica_gdr_reftransV1_0033813</v>
      </c>
      <c r="B8235" s="2">
        <v>1491</v>
      </c>
      <c r="C8235" s="4" t="str">
        <f>HYPERLINK("http://www.uniprot.org/uniprot/M5VM35","M5VM35")</f>
        <v>M5VM35</v>
      </c>
      <c r="D8235" s="2" t="s">
        <v>7244</v>
      </c>
      <c r="E8235" s="3">
        <v>0</v>
      </c>
      <c r="F8235" s="2">
        <v>2163</v>
      </c>
      <c r="G8235" s="2">
        <v>100</v>
      </c>
      <c r="H8235" s="2">
        <v>449</v>
      </c>
      <c r="I8235" s="2">
        <v>55</v>
      </c>
      <c r="J8235" s="2">
        <v>1401</v>
      </c>
      <c r="K8235" s="2">
        <v>1</v>
      </c>
      <c r="L8235" s="2">
        <v>449</v>
      </c>
    </row>
    <row r="8236" spans="1:12" x14ac:dyDescent="0.25">
      <c r="A8236" s="4" t="str">
        <f>HYPERLINK("http://www.rosaceae.org/Prunus/Prunus_persica/p.persica_gdr_reftransV1_0035213","p.persica_gdr_reftransV1_0035213")</f>
        <v>p.persica_gdr_reftransV1_0035213</v>
      </c>
      <c r="B8236" s="2">
        <v>1928</v>
      </c>
      <c r="C8236" s="4" t="str">
        <f>HYPERLINK("http://www.uniprot.org/uniprot/M5X4R3","M5X4R3")</f>
        <v>M5X4R3</v>
      </c>
      <c r="D8236" s="2" t="s">
        <v>7245</v>
      </c>
      <c r="E8236" s="3">
        <v>0</v>
      </c>
      <c r="F8236" s="2">
        <v>2929</v>
      </c>
      <c r="G8236" s="2">
        <v>98</v>
      </c>
      <c r="H8236" s="2">
        <v>575</v>
      </c>
      <c r="I8236" s="2">
        <v>6</v>
      </c>
      <c r="J8236" s="2">
        <v>1730</v>
      </c>
      <c r="K8236" s="2">
        <v>1</v>
      </c>
      <c r="L8236" s="2">
        <v>572</v>
      </c>
    </row>
    <row r="8237" spans="1:12" x14ac:dyDescent="0.25">
      <c r="A8237" s="4" t="str">
        <f>HYPERLINK("http://www.rosaceae.org/Prunus/Prunus_persica/p.persica_gdr_reftransV1_0035913","p.persica_gdr_reftransV1_0035913")</f>
        <v>p.persica_gdr_reftransV1_0035913</v>
      </c>
      <c r="B8237" s="2">
        <v>1050</v>
      </c>
      <c r="C8237" s="4" t="str">
        <f>HYPERLINK("http://www.uniprot.org/uniprot/A0A061GNR8","A0A061GNR8")</f>
        <v>A0A061GNR8</v>
      </c>
      <c r="D8237" s="2" t="s">
        <v>7246</v>
      </c>
      <c r="E8237" s="3">
        <v>5.13E-33</v>
      </c>
      <c r="F8237" s="2">
        <v>346</v>
      </c>
      <c r="G8237" s="2">
        <v>71</v>
      </c>
      <c r="H8237" s="2">
        <v>96</v>
      </c>
      <c r="I8237" s="2">
        <v>609</v>
      </c>
      <c r="J8237" s="2">
        <v>896</v>
      </c>
      <c r="K8237" s="2">
        <v>35</v>
      </c>
      <c r="L8237" s="2">
        <v>130</v>
      </c>
    </row>
    <row r="8238" spans="1:12" x14ac:dyDescent="0.25">
      <c r="A8238" s="4" t="str">
        <f>HYPERLINK("http://www.rosaceae.org/Prunus/Prunus_persica/p.persica_gdr_reftransV1_0037313","p.persica_gdr_reftransV1_0037313")</f>
        <v>p.persica_gdr_reftransV1_0037313</v>
      </c>
      <c r="B8238" s="2">
        <v>3355</v>
      </c>
      <c r="C8238" s="4" t="str">
        <f>HYPERLINK("http://www.uniprot.org/uniprot/M5VUE6","M5VUE6")</f>
        <v>M5VUE6</v>
      </c>
      <c r="D8238" s="2" t="s">
        <v>7247</v>
      </c>
      <c r="E8238" s="3">
        <v>0</v>
      </c>
      <c r="F8238" s="2">
        <v>4067</v>
      </c>
      <c r="G8238" s="2">
        <v>96</v>
      </c>
      <c r="H8238" s="2">
        <v>890</v>
      </c>
      <c r="I8238" s="2">
        <v>685</v>
      </c>
      <c r="J8238" s="2">
        <v>3354</v>
      </c>
      <c r="K8238" s="2">
        <v>5</v>
      </c>
      <c r="L8238" s="2">
        <v>872</v>
      </c>
    </row>
    <row r="8239" spans="1:12" x14ac:dyDescent="0.25">
      <c r="A8239" s="4" t="str">
        <f>HYPERLINK("http://www.rosaceae.org/Prunus/Prunus_persica/p.persica_gdr_reftransV1_0040463","p.persica_gdr_reftransV1_0040463")</f>
        <v>p.persica_gdr_reftransV1_0040463</v>
      </c>
      <c r="B8239" s="2">
        <v>3406</v>
      </c>
      <c r="C8239" s="4" t="str">
        <f>HYPERLINK("http://www.uniprot.org/uniprot/M5WQI7","M5WQI7")</f>
        <v>M5WQI7</v>
      </c>
      <c r="D8239" s="2" t="s">
        <v>7248</v>
      </c>
      <c r="E8239" s="3">
        <v>0</v>
      </c>
      <c r="F8239" s="2">
        <v>3831</v>
      </c>
      <c r="G8239" s="2">
        <v>98</v>
      </c>
      <c r="H8239" s="2">
        <v>900</v>
      </c>
      <c r="I8239" s="2">
        <v>141</v>
      </c>
      <c r="J8239" s="2">
        <v>2840</v>
      </c>
      <c r="K8239" s="2">
        <v>1</v>
      </c>
      <c r="L8239" s="2">
        <v>896</v>
      </c>
    </row>
    <row r="8240" spans="1:12" x14ac:dyDescent="0.25">
      <c r="A8240" s="4" t="str">
        <f>HYPERLINK("http://www.rosaceae.org/Prunus/Prunus_persica/p.persica_gdr_reftransV1_0040813","p.persica_gdr_reftransV1_0040813")</f>
        <v>p.persica_gdr_reftransV1_0040813</v>
      </c>
      <c r="B8240" s="2">
        <v>2051</v>
      </c>
      <c r="C8240" s="4" t="str">
        <f>HYPERLINK("http://www.uniprot.org/uniprot/M5WZX4","M5WZX4")</f>
        <v>M5WZX4</v>
      </c>
      <c r="D8240" s="2" t="s">
        <v>7249</v>
      </c>
      <c r="E8240" s="3">
        <v>0</v>
      </c>
      <c r="F8240" s="2">
        <v>1805</v>
      </c>
      <c r="G8240" s="2">
        <v>100</v>
      </c>
      <c r="H8240" s="2">
        <v>368</v>
      </c>
      <c r="I8240" s="2">
        <v>605</v>
      </c>
      <c r="J8240" s="2">
        <v>1708</v>
      </c>
      <c r="K8240" s="2">
        <v>1</v>
      </c>
      <c r="L8240" s="2">
        <v>368</v>
      </c>
    </row>
    <row r="8241" spans="1:12" x14ac:dyDescent="0.25">
      <c r="A8241" s="4" t="str">
        <f>HYPERLINK("http://www.rosaceae.org/Prunus/Prunus_persica/p.persica_gdr_reftransV1_0041513","p.persica_gdr_reftransV1_0041513")</f>
        <v>p.persica_gdr_reftransV1_0041513</v>
      </c>
      <c r="B8241" s="2">
        <v>2060</v>
      </c>
      <c r="C8241" s="4" t="str">
        <f>HYPERLINK("http://www.uniprot.org/uniprot/M5WGT0","M5WGT0")</f>
        <v>M5WGT0</v>
      </c>
      <c r="D8241" s="2" t="s">
        <v>7250</v>
      </c>
      <c r="E8241" s="3">
        <v>0</v>
      </c>
      <c r="F8241" s="2">
        <v>2161</v>
      </c>
      <c r="G8241" s="2">
        <v>100</v>
      </c>
      <c r="H8241" s="2">
        <v>422</v>
      </c>
      <c r="I8241" s="2">
        <v>82</v>
      </c>
      <c r="J8241" s="2">
        <v>1347</v>
      </c>
      <c r="K8241" s="2">
        <v>1</v>
      </c>
      <c r="L8241" s="2">
        <v>422</v>
      </c>
    </row>
    <row r="8242" spans="1:12" x14ac:dyDescent="0.25">
      <c r="A8242" s="4" t="str">
        <f>HYPERLINK("http://www.rosaceae.org/Prunus/Prunus_persica/p.persica_gdr_reftransV1_0043263","p.persica_gdr_reftransV1_0043263")</f>
        <v>p.persica_gdr_reftransV1_0043263</v>
      </c>
      <c r="B8242" s="2">
        <v>818</v>
      </c>
      <c r="C8242" s="4" t="str">
        <f>HYPERLINK("http://www.uniprot.org/uniprot/M4GRP4","M4GRP4")</f>
        <v>M4GRP4</v>
      </c>
      <c r="D8242" s="2" t="s">
        <v>7251</v>
      </c>
      <c r="E8242" s="3">
        <v>9.7099999999999997E-93</v>
      </c>
      <c r="F8242" s="2">
        <v>721</v>
      </c>
      <c r="G8242" s="2">
        <v>98</v>
      </c>
      <c r="H8242" s="2">
        <v>140</v>
      </c>
      <c r="I8242" s="2">
        <v>119</v>
      </c>
      <c r="J8242" s="2">
        <v>538</v>
      </c>
      <c r="K8242" s="2">
        <v>1</v>
      </c>
      <c r="L8242" s="2">
        <v>140</v>
      </c>
    </row>
    <row r="8243" spans="1:12" x14ac:dyDescent="0.25">
      <c r="A8243" s="4" t="str">
        <f>HYPERLINK("http://www.rosaceae.org/Prunus/Prunus_persica/p.persica_gdr_reftransV1_0043613","p.persica_gdr_reftransV1_0043613")</f>
        <v>p.persica_gdr_reftransV1_0043613</v>
      </c>
      <c r="B8243" s="2">
        <v>1060</v>
      </c>
      <c r="C8243" s="4" t="str">
        <f>HYPERLINK("http://www.uniprot.org/uniprot/M5VQ21","M5VQ21")</f>
        <v>M5VQ21</v>
      </c>
      <c r="D8243" s="2" t="s">
        <v>7252</v>
      </c>
      <c r="E8243" s="3">
        <v>7.1500000000000005E-148</v>
      </c>
      <c r="F8243" s="2">
        <v>1100</v>
      </c>
      <c r="G8243" s="2">
        <v>100</v>
      </c>
      <c r="H8243" s="2">
        <v>208</v>
      </c>
      <c r="I8243" s="2">
        <v>172</v>
      </c>
      <c r="J8243" s="2">
        <v>795</v>
      </c>
      <c r="K8243" s="2">
        <v>1</v>
      </c>
      <c r="L8243" s="2">
        <v>208</v>
      </c>
    </row>
    <row r="8244" spans="1:12" x14ac:dyDescent="0.25">
      <c r="A8244" s="4" t="str">
        <f>HYPERLINK("http://www.rosaceae.org/Prunus/Prunus_persica/p.persica_gdr_reftransV1_0043963","p.persica_gdr_reftransV1_0043963")</f>
        <v>p.persica_gdr_reftransV1_0043963</v>
      </c>
      <c r="B8244" s="2">
        <v>1353</v>
      </c>
      <c r="C8244" s="4" t="str">
        <f>HYPERLINK("http://www.uniprot.org/uniprot/M5W470","M5W470")</f>
        <v>M5W470</v>
      </c>
      <c r="D8244" s="2" t="s">
        <v>7253</v>
      </c>
      <c r="E8244" s="3">
        <v>0</v>
      </c>
      <c r="F8244" s="2">
        <v>1742</v>
      </c>
      <c r="G8244" s="2">
        <v>100</v>
      </c>
      <c r="H8244" s="2">
        <v>332</v>
      </c>
      <c r="I8244" s="2">
        <v>111</v>
      </c>
      <c r="J8244" s="2">
        <v>1106</v>
      </c>
      <c r="K8244" s="2">
        <v>1</v>
      </c>
      <c r="L8244" s="2">
        <v>332</v>
      </c>
    </row>
    <row r="8245" spans="1:12" x14ac:dyDescent="0.25">
      <c r="A8245" s="4" t="str">
        <f>HYPERLINK("http://www.rosaceae.org/Prunus/Prunus_persica/p.persica_gdr_reftransV1_0044313","p.persica_gdr_reftransV1_0044313")</f>
        <v>p.persica_gdr_reftransV1_0044313</v>
      </c>
      <c r="B8245" s="2">
        <v>674</v>
      </c>
      <c r="C8245" s="4" t="str">
        <f>HYPERLINK("http://www.uniprot.org/uniprot/M5WW48","M5WW48")</f>
        <v>M5WW48</v>
      </c>
      <c r="D8245" s="2" t="s">
        <v>7254</v>
      </c>
      <c r="E8245" s="3">
        <v>1.17E-43</v>
      </c>
      <c r="F8245" s="2">
        <v>386</v>
      </c>
      <c r="G8245" s="2">
        <v>100</v>
      </c>
      <c r="H8245" s="2">
        <v>77</v>
      </c>
      <c r="I8245" s="2">
        <v>138</v>
      </c>
      <c r="J8245" s="2">
        <v>368</v>
      </c>
      <c r="K8245" s="2">
        <v>15</v>
      </c>
      <c r="L8245" s="2">
        <v>91</v>
      </c>
    </row>
    <row r="8246" spans="1:12" x14ac:dyDescent="0.25">
      <c r="A8246" s="4" t="str">
        <f>HYPERLINK("http://www.rosaceae.org/Prunus/Prunus_persica/p.persica_gdr_reftransV1_0044663","p.persica_gdr_reftransV1_0044663")</f>
        <v>p.persica_gdr_reftransV1_0044663</v>
      </c>
      <c r="B8246" s="2">
        <v>571</v>
      </c>
      <c r="C8246" s="4" t="str">
        <f>HYPERLINK("http://www.uniprot.org/uniprot/M5X0D7","M5X0D7")</f>
        <v>M5X0D7</v>
      </c>
      <c r="D8246" s="2" t="s">
        <v>1815</v>
      </c>
      <c r="E8246" s="3">
        <v>1.2199999999999999E-90</v>
      </c>
      <c r="F8246" s="2">
        <v>634</v>
      </c>
      <c r="G8246" s="2">
        <v>100</v>
      </c>
      <c r="H8246" s="2">
        <v>136</v>
      </c>
      <c r="I8246" s="2">
        <v>1</v>
      </c>
      <c r="J8246" s="2">
        <v>408</v>
      </c>
      <c r="K8246" s="2">
        <v>4</v>
      </c>
      <c r="L8246" s="2">
        <v>139</v>
      </c>
    </row>
    <row r="8247" spans="1:12" x14ac:dyDescent="0.25">
      <c r="A8247" s="4" t="str">
        <f>HYPERLINK("http://www.rosaceae.org/Prunus/Prunus_persica/p.persica_gdr_reftransV1_0045013","p.persica_gdr_reftransV1_0045013")</f>
        <v>p.persica_gdr_reftransV1_0045013</v>
      </c>
      <c r="B8247" s="2">
        <v>966</v>
      </c>
      <c r="C8247" s="4" t="str">
        <f>HYPERLINK("http://www.uniprot.org/uniprot/M5WAV5","M5WAV5")</f>
        <v>M5WAV5</v>
      </c>
      <c r="D8247" s="2" t="s">
        <v>4983</v>
      </c>
      <c r="E8247" s="3">
        <v>2.4500000000000001E-111</v>
      </c>
      <c r="F8247" s="2">
        <v>853</v>
      </c>
      <c r="G8247" s="2">
        <v>100</v>
      </c>
      <c r="H8247" s="2">
        <v>175</v>
      </c>
      <c r="I8247" s="2">
        <v>206</v>
      </c>
      <c r="J8247" s="2">
        <v>730</v>
      </c>
      <c r="K8247" s="2">
        <v>1</v>
      </c>
      <c r="L8247" s="2">
        <v>175</v>
      </c>
    </row>
    <row r="8248" spans="1:12" x14ac:dyDescent="0.25">
      <c r="A8248" s="4" t="str">
        <f>HYPERLINK("http://www.rosaceae.org/Prunus/Prunus_persica/p.persica_gdr_reftransV1_0045363","p.persica_gdr_reftransV1_0045363")</f>
        <v>p.persica_gdr_reftransV1_0045363</v>
      </c>
      <c r="B8248" s="2">
        <v>469</v>
      </c>
      <c r="C8248" s="4" t="str">
        <f>HYPERLINK("http://www.uniprot.org/uniprot/M5W9J1","M5W9J1")</f>
        <v>M5W9J1</v>
      </c>
      <c r="D8248" s="2" t="s">
        <v>2453</v>
      </c>
      <c r="E8248" s="3">
        <v>2.0999999999999999E-63</v>
      </c>
      <c r="F8248" s="2">
        <v>519</v>
      </c>
      <c r="G8248" s="2">
        <v>100</v>
      </c>
      <c r="H8248" s="2">
        <v>112</v>
      </c>
      <c r="I8248" s="2">
        <v>71</v>
      </c>
      <c r="J8248" s="2">
        <v>406</v>
      </c>
      <c r="K8248" s="2">
        <v>1</v>
      </c>
      <c r="L8248" s="2">
        <v>112</v>
      </c>
    </row>
    <row r="8249" spans="1:12" x14ac:dyDescent="0.25">
      <c r="A8249" s="4" t="str">
        <f>HYPERLINK("http://www.rosaceae.org/Prunus/Prunus_persica/p.persica_gdr_reftransV1_0045713","p.persica_gdr_reftransV1_0045713")</f>
        <v>p.persica_gdr_reftransV1_0045713</v>
      </c>
      <c r="B8249" s="2">
        <v>816</v>
      </c>
      <c r="C8249" s="4" t="str">
        <f>HYPERLINK("http://www.uniprot.org/uniprot/M5XJM2","M5XJM2")</f>
        <v>M5XJM2</v>
      </c>
      <c r="D8249" s="2" t="s">
        <v>7255</v>
      </c>
      <c r="E8249" s="3">
        <v>7.6499999999999998E-129</v>
      </c>
      <c r="F8249" s="2">
        <v>992</v>
      </c>
      <c r="G8249" s="2">
        <v>89</v>
      </c>
      <c r="H8249" s="2">
        <v>237</v>
      </c>
      <c r="I8249" s="2">
        <v>114</v>
      </c>
      <c r="J8249" s="2">
        <v>815</v>
      </c>
      <c r="K8249" s="2">
        <v>1</v>
      </c>
      <c r="L8249" s="2">
        <v>237</v>
      </c>
    </row>
    <row r="8250" spans="1:12" x14ac:dyDescent="0.25">
      <c r="A8250" s="4" t="str">
        <f>HYPERLINK("http://www.rosaceae.org/Prunus/Prunus_persica/p.persica_gdr_reftransV1_0046063","p.persica_gdr_reftransV1_0046063")</f>
        <v>p.persica_gdr_reftransV1_0046063</v>
      </c>
      <c r="B8250" s="2">
        <v>1610</v>
      </c>
      <c r="C8250" s="4" t="str">
        <f>HYPERLINK("http://www.uniprot.org/uniprot/M5WUZ4","M5WUZ4")</f>
        <v>M5WUZ4</v>
      </c>
      <c r="D8250" s="2" t="s">
        <v>7256</v>
      </c>
      <c r="E8250" s="3">
        <v>0</v>
      </c>
      <c r="F8250" s="2">
        <v>1093</v>
      </c>
      <c r="G8250" s="2">
        <v>100</v>
      </c>
      <c r="H8250" s="2">
        <v>249</v>
      </c>
      <c r="I8250" s="2">
        <v>739</v>
      </c>
      <c r="J8250" s="2">
        <v>1485</v>
      </c>
      <c r="K8250" s="2">
        <v>1</v>
      </c>
      <c r="L8250" s="2">
        <v>249</v>
      </c>
    </row>
    <row r="8251" spans="1:12" x14ac:dyDescent="0.25">
      <c r="A8251" s="4" t="str">
        <f>HYPERLINK("http://www.rosaceae.org/Prunus/Prunus_persica/p.persica_gdr_reftransV1_0047113","p.persica_gdr_reftransV1_0047113")</f>
        <v>p.persica_gdr_reftransV1_0047113</v>
      </c>
      <c r="B8251" s="2">
        <v>1727</v>
      </c>
      <c r="C8251" s="4" t="str">
        <f>HYPERLINK("http://www.uniprot.org/uniprot/M5VNU4","M5VNU4")</f>
        <v>M5VNU4</v>
      </c>
      <c r="D8251" s="2" t="s">
        <v>7257</v>
      </c>
      <c r="E8251" s="3">
        <v>0</v>
      </c>
      <c r="F8251" s="2">
        <v>1528</v>
      </c>
      <c r="G8251" s="2">
        <v>98</v>
      </c>
      <c r="H8251" s="2">
        <v>356</v>
      </c>
      <c r="I8251" s="2">
        <v>513</v>
      </c>
      <c r="J8251" s="2">
        <v>1580</v>
      </c>
      <c r="K8251" s="2">
        <v>1</v>
      </c>
      <c r="L8251" s="2">
        <v>356</v>
      </c>
    </row>
    <row r="8252" spans="1:12" x14ac:dyDescent="0.25">
      <c r="A8252" s="4" t="str">
        <f>HYPERLINK("http://www.rosaceae.org/Prunus/Prunus_persica/p.persica_gdr_reftransV1_0047463","p.persica_gdr_reftransV1_0047463")</f>
        <v>p.persica_gdr_reftransV1_0047463</v>
      </c>
      <c r="B8252" s="2">
        <v>547</v>
      </c>
      <c r="C8252" s="4" t="str">
        <f>HYPERLINK("http://www.uniprot.org/uniprot/M5XHP1","M5XHP1")</f>
        <v>M5XHP1</v>
      </c>
      <c r="D8252" s="2" t="s">
        <v>6177</v>
      </c>
      <c r="E8252" s="3">
        <v>2.4300000000000001E-94</v>
      </c>
      <c r="F8252" s="2">
        <v>742</v>
      </c>
      <c r="G8252" s="2">
        <v>92</v>
      </c>
      <c r="H8252" s="2">
        <v>182</v>
      </c>
      <c r="I8252" s="2">
        <v>1</v>
      </c>
      <c r="J8252" s="2">
        <v>546</v>
      </c>
      <c r="K8252" s="2">
        <v>73</v>
      </c>
      <c r="L8252" s="2">
        <v>240</v>
      </c>
    </row>
    <row r="8253" spans="1:12" x14ac:dyDescent="0.25">
      <c r="A8253" s="4" t="str">
        <f>HYPERLINK("http://www.rosaceae.org/Prunus/Prunus_persica/p.persica_gdr_reftransV1_0047813","p.persica_gdr_reftransV1_0047813")</f>
        <v>p.persica_gdr_reftransV1_0047813</v>
      </c>
      <c r="B8253" s="2">
        <v>967</v>
      </c>
      <c r="C8253" s="4" t="str">
        <f>HYPERLINK("http://www.uniprot.org/uniprot/M5WV89","M5WV89")</f>
        <v>M5WV89</v>
      </c>
      <c r="D8253" s="2" t="s">
        <v>7258</v>
      </c>
      <c r="E8253" s="3">
        <v>1.9499999999999999E-98</v>
      </c>
      <c r="F8253" s="2">
        <v>770</v>
      </c>
      <c r="G8253" s="2">
        <v>100</v>
      </c>
      <c r="H8253" s="2">
        <v>208</v>
      </c>
      <c r="I8253" s="2">
        <v>262</v>
      </c>
      <c r="J8253" s="2">
        <v>885</v>
      </c>
      <c r="K8253" s="2">
        <v>1</v>
      </c>
      <c r="L8253" s="2">
        <v>208</v>
      </c>
    </row>
    <row r="8254" spans="1:12" x14ac:dyDescent="0.25">
      <c r="A8254" s="4" t="str">
        <f>HYPERLINK("http://www.rosaceae.org/Prunus/Prunus_persica/p.persica_gdr_reftransV1_0048163","p.persica_gdr_reftransV1_0048163")</f>
        <v>p.persica_gdr_reftransV1_0048163</v>
      </c>
      <c r="B8254" s="2">
        <v>3681</v>
      </c>
      <c r="C8254" s="4" t="str">
        <f>HYPERLINK("http://www.uniprot.org/uniprot/A0A072TIE8","A0A072TIE8")</f>
        <v>A0A072TIE8</v>
      </c>
      <c r="D8254" s="2" t="s">
        <v>7259</v>
      </c>
      <c r="E8254" s="3">
        <v>4.3800000000000001E-85</v>
      </c>
      <c r="F8254" s="2">
        <v>431</v>
      </c>
      <c r="G8254" s="2">
        <v>77</v>
      </c>
      <c r="H8254" s="2">
        <v>111</v>
      </c>
      <c r="I8254" s="2">
        <v>686</v>
      </c>
      <c r="J8254" s="2">
        <v>1018</v>
      </c>
      <c r="K8254" s="2">
        <v>442</v>
      </c>
      <c r="L8254" s="2">
        <v>534</v>
      </c>
    </row>
    <row r="8255" spans="1:12" x14ac:dyDescent="0.25">
      <c r="A8255" s="4" t="str">
        <f>HYPERLINK("http://www.rosaceae.org/Prunus/Prunus_persica/p.persica_gdr_reftransV1_0048513","p.persica_gdr_reftransV1_0048513")</f>
        <v>p.persica_gdr_reftransV1_0048513</v>
      </c>
      <c r="B8255" s="2">
        <v>2453</v>
      </c>
      <c r="C8255" s="4" t="str">
        <f>HYPERLINK("http://www.uniprot.org/uniprot/M5WGA4","M5WGA4")</f>
        <v>M5WGA4</v>
      </c>
      <c r="D8255" s="2" t="s">
        <v>7260</v>
      </c>
      <c r="E8255" s="3">
        <v>0</v>
      </c>
      <c r="F8255" s="2">
        <v>2347</v>
      </c>
      <c r="G8255" s="2">
        <v>100</v>
      </c>
      <c r="H8255" s="2">
        <v>439</v>
      </c>
      <c r="I8255" s="2">
        <v>371</v>
      </c>
      <c r="J8255" s="2">
        <v>1687</v>
      </c>
      <c r="K8255" s="2">
        <v>8</v>
      </c>
      <c r="L8255" s="2">
        <v>446</v>
      </c>
    </row>
    <row r="8256" spans="1:12" x14ac:dyDescent="0.25">
      <c r="A8256" s="4" t="str">
        <f>HYPERLINK("http://www.rosaceae.org/Prunus/Prunus_persica/p.persica_gdr_reftransV1_0048863","p.persica_gdr_reftransV1_0048863")</f>
        <v>p.persica_gdr_reftransV1_0048863</v>
      </c>
      <c r="B8256" s="2">
        <v>1212</v>
      </c>
      <c r="C8256" s="4" t="str">
        <f>HYPERLINK("http://www.uniprot.org/uniprot/M5Y318","M5Y318")</f>
        <v>M5Y318</v>
      </c>
      <c r="D8256" s="2" t="s">
        <v>7261</v>
      </c>
      <c r="E8256" s="3">
        <v>0</v>
      </c>
      <c r="F8256" s="2">
        <v>1682</v>
      </c>
      <c r="G8256" s="2">
        <v>100</v>
      </c>
      <c r="H8256" s="2">
        <v>310</v>
      </c>
      <c r="I8256" s="2">
        <v>27</v>
      </c>
      <c r="J8256" s="2">
        <v>956</v>
      </c>
      <c r="K8256" s="2">
        <v>6</v>
      </c>
      <c r="L8256" s="2">
        <v>315</v>
      </c>
    </row>
    <row r="8257" spans="1:12" x14ac:dyDescent="0.25">
      <c r="A8257" s="4" t="str">
        <f>HYPERLINK("http://www.rosaceae.org/Prunus/Prunus_persica/p.persica_gdr_reftransV1_0000214","p.persica_gdr_reftransV1_0000214")</f>
        <v>p.persica_gdr_reftransV1_0000214</v>
      </c>
      <c r="B8257" s="2">
        <v>530</v>
      </c>
      <c r="C8257" s="4" t="str">
        <f>HYPERLINK("http://www.uniprot.org/uniprot/Q2L360","Q2L360")</f>
        <v>Q2L360</v>
      </c>
      <c r="D8257" s="2" t="s">
        <v>6083</v>
      </c>
      <c r="E8257" s="3">
        <v>1.1100000000000001E-41</v>
      </c>
      <c r="F8257" s="2">
        <v>398</v>
      </c>
      <c r="G8257" s="2">
        <v>74</v>
      </c>
      <c r="H8257" s="2">
        <v>106</v>
      </c>
      <c r="I8257" s="2">
        <v>146</v>
      </c>
      <c r="J8257" s="2">
        <v>463</v>
      </c>
      <c r="K8257" s="2">
        <v>1</v>
      </c>
      <c r="L8257" s="2">
        <v>105</v>
      </c>
    </row>
    <row r="8258" spans="1:12" x14ac:dyDescent="0.25">
      <c r="A8258" s="4" t="str">
        <f>HYPERLINK("http://www.rosaceae.org/Prunus/Prunus_persica/p.persica_gdr_reftransV1_0000564","p.persica_gdr_reftransV1_0000564")</f>
        <v>p.persica_gdr_reftransV1_0000564</v>
      </c>
      <c r="B8258" s="2">
        <v>1178</v>
      </c>
      <c r="C8258" s="4" t="str">
        <f>HYPERLINK("http://www.uniprot.org/uniprot/M5W345","M5W345")</f>
        <v>M5W345</v>
      </c>
      <c r="D8258" s="2" t="s">
        <v>7262</v>
      </c>
      <c r="E8258" s="3">
        <v>4.88E-116</v>
      </c>
      <c r="F8258" s="2">
        <v>594</v>
      </c>
      <c r="G8258" s="2">
        <v>99</v>
      </c>
      <c r="H8258" s="2">
        <v>142</v>
      </c>
      <c r="I8258" s="2">
        <v>139</v>
      </c>
      <c r="J8258" s="2">
        <v>564</v>
      </c>
      <c r="K8258" s="2">
        <v>1</v>
      </c>
      <c r="L8258" s="2">
        <v>142</v>
      </c>
    </row>
    <row r="8259" spans="1:12" x14ac:dyDescent="0.25">
      <c r="A8259" s="4" t="str">
        <f>HYPERLINK("http://www.rosaceae.org/Prunus/Prunus_persica/p.persica_gdr_reftransV1_0000914","p.persica_gdr_reftransV1_0000914")</f>
        <v>p.persica_gdr_reftransV1_0000914</v>
      </c>
      <c r="B8259" s="2">
        <v>2333</v>
      </c>
      <c r="C8259" s="4" t="str">
        <f>HYPERLINK("http://www.uniprot.org/uniprot/M5W6A0","M5W6A0")</f>
        <v>M5W6A0</v>
      </c>
      <c r="D8259" s="2" t="s">
        <v>7263</v>
      </c>
      <c r="E8259" s="3">
        <v>0</v>
      </c>
      <c r="F8259" s="2">
        <v>2055</v>
      </c>
      <c r="G8259" s="2">
        <v>72</v>
      </c>
      <c r="H8259" s="2">
        <v>604</v>
      </c>
      <c r="I8259" s="2">
        <v>2</v>
      </c>
      <c r="J8259" s="2">
        <v>1711</v>
      </c>
      <c r="K8259" s="2">
        <v>489</v>
      </c>
      <c r="L8259" s="2">
        <v>1090</v>
      </c>
    </row>
    <row r="8260" spans="1:12" x14ac:dyDescent="0.25">
      <c r="A8260" s="4" t="str">
        <f>HYPERLINK("http://www.rosaceae.org/Prunus/Prunus_persica/p.persica_gdr_reftransV1_0001264","p.persica_gdr_reftransV1_0001264")</f>
        <v>p.persica_gdr_reftransV1_0001264</v>
      </c>
      <c r="B8260" s="2">
        <v>858</v>
      </c>
      <c r="C8260" s="4" t="str">
        <f>HYPERLINK("http://www.uniprot.org/uniprot/M5XBG4","M5XBG4")</f>
        <v>M5XBG4</v>
      </c>
      <c r="D8260" s="2" t="s">
        <v>865</v>
      </c>
      <c r="E8260" s="3">
        <v>0</v>
      </c>
      <c r="F8260" s="2">
        <v>1446</v>
      </c>
      <c r="G8260" s="2">
        <v>100</v>
      </c>
      <c r="H8260" s="2">
        <v>285</v>
      </c>
      <c r="I8260" s="2">
        <v>2</v>
      </c>
      <c r="J8260" s="2">
        <v>856</v>
      </c>
      <c r="K8260" s="2">
        <v>547</v>
      </c>
      <c r="L8260" s="2">
        <v>831</v>
      </c>
    </row>
    <row r="8261" spans="1:12" x14ac:dyDescent="0.25">
      <c r="A8261" s="4" t="str">
        <f>HYPERLINK("http://www.rosaceae.org/Prunus/Prunus_persica/p.persica_gdr_reftransV1_0001614","p.persica_gdr_reftransV1_0001614")</f>
        <v>p.persica_gdr_reftransV1_0001614</v>
      </c>
      <c r="B8261" s="2">
        <v>619</v>
      </c>
      <c r="C8261" s="4" t="str">
        <f>HYPERLINK("http://www.uniprot.org/uniprot/M5X8T8","M5X8T8")</f>
        <v>M5X8T8</v>
      </c>
      <c r="D8261" s="2" t="s">
        <v>7264</v>
      </c>
      <c r="E8261" s="3">
        <v>4.1499999999999999E-130</v>
      </c>
      <c r="F8261" s="2">
        <v>970</v>
      </c>
      <c r="G8261" s="2">
        <v>99</v>
      </c>
      <c r="H8261" s="2">
        <v>187</v>
      </c>
      <c r="I8261" s="2">
        <v>56</v>
      </c>
      <c r="J8261" s="2">
        <v>616</v>
      </c>
      <c r="K8261" s="2">
        <v>61</v>
      </c>
      <c r="L8261" s="2">
        <v>247</v>
      </c>
    </row>
    <row r="8262" spans="1:12" x14ac:dyDescent="0.25">
      <c r="A8262" s="4" t="str">
        <f>HYPERLINK("http://www.rosaceae.org/Prunus/Prunus_persica/p.persica_gdr_reftransV1_0002314","p.persica_gdr_reftransV1_0002314")</f>
        <v>p.persica_gdr_reftransV1_0002314</v>
      </c>
      <c r="B8262" s="2">
        <v>898</v>
      </c>
      <c r="C8262" s="4" t="str">
        <f>HYPERLINK("http://www.uniprot.org/uniprot/M5WAQ1","M5WAQ1")</f>
        <v>M5WAQ1</v>
      </c>
      <c r="D8262" s="2" t="s">
        <v>7265</v>
      </c>
      <c r="E8262" s="3">
        <v>1.5199999999999999E-149</v>
      </c>
      <c r="F8262" s="2">
        <v>1105</v>
      </c>
      <c r="G8262" s="2">
        <v>100</v>
      </c>
      <c r="H8262" s="2">
        <v>210</v>
      </c>
      <c r="I8262" s="2">
        <v>196</v>
      </c>
      <c r="J8262" s="2">
        <v>825</v>
      </c>
      <c r="K8262" s="2">
        <v>1</v>
      </c>
      <c r="L8262" s="2">
        <v>210</v>
      </c>
    </row>
    <row r="8263" spans="1:12" x14ac:dyDescent="0.25">
      <c r="A8263" s="4" t="str">
        <f>HYPERLINK("http://www.rosaceae.org/Prunus/Prunus_persica/p.persica_gdr_reftransV1_0002664","p.persica_gdr_reftransV1_0002664")</f>
        <v>p.persica_gdr_reftransV1_0002664</v>
      </c>
      <c r="B8263" s="2">
        <v>665</v>
      </c>
      <c r="C8263" s="4" t="str">
        <f>HYPERLINK("http://www.uniprot.org/uniprot/M5W9P6","M5W9P6")</f>
        <v>M5W9P6</v>
      </c>
      <c r="D8263" s="2" t="s">
        <v>7266</v>
      </c>
      <c r="E8263" s="3">
        <v>1.9699999999999998E-93</v>
      </c>
      <c r="F8263" s="2">
        <v>726</v>
      </c>
      <c r="G8263" s="2">
        <v>100</v>
      </c>
      <c r="H8263" s="2">
        <v>200</v>
      </c>
      <c r="I8263" s="2">
        <v>2</v>
      </c>
      <c r="J8263" s="2">
        <v>601</v>
      </c>
      <c r="K8263" s="2">
        <v>2</v>
      </c>
      <c r="L8263" s="2">
        <v>201</v>
      </c>
    </row>
    <row r="8264" spans="1:12" x14ac:dyDescent="0.25">
      <c r="A8264" s="4" t="str">
        <f>HYPERLINK("http://www.rosaceae.org/Prunus/Prunus_persica/p.persica_gdr_reftransV1_0003014","p.persica_gdr_reftransV1_0003014")</f>
        <v>p.persica_gdr_reftransV1_0003014</v>
      </c>
      <c r="B8264" s="2">
        <v>2175</v>
      </c>
      <c r="C8264" s="4" t="str">
        <f>HYPERLINK("http://www.uniprot.org/uniprot/H6SV51","H6SV51")</f>
        <v>H6SV51</v>
      </c>
      <c r="D8264" s="2" t="s">
        <v>7267</v>
      </c>
      <c r="E8264" s="3">
        <v>0</v>
      </c>
      <c r="F8264" s="2">
        <v>2187</v>
      </c>
      <c r="G8264" s="2">
        <v>99</v>
      </c>
      <c r="H8264" s="2">
        <v>456</v>
      </c>
      <c r="I8264" s="2">
        <v>59</v>
      </c>
      <c r="J8264" s="2">
        <v>1426</v>
      </c>
      <c r="K8264" s="2">
        <v>1</v>
      </c>
      <c r="L8264" s="2">
        <v>456</v>
      </c>
    </row>
    <row r="8265" spans="1:12" x14ac:dyDescent="0.25">
      <c r="A8265" s="4" t="str">
        <f>HYPERLINK("http://www.rosaceae.org/Prunus/Prunus_persica/p.persica_gdr_reftransV1_0003364","p.persica_gdr_reftransV1_0003364")</f>
        <v>p.persica_gdr_reftransV1_0003364</v>
      </c>
      <c r="B8265" s="2">
        <v>1049</v>
      </c>
      <c r="C8265" s="4" t="str">
        <f>HYPERLINK("http://www.uniprot.org/uniprot/M5VQZ5","M5VQZ5")</f>
        <v>M5VQZ5</v>
      </c>
      <c r="D8265" s="2" t="s">
        <v>7268</v>
      </c>
      <c r="E8265" s="3">
        <v>5.5100000000000003E-129</v>
      </c>
      <c r="F8265" s="2">
        <v>976</v>
      </c>
      <c r="G8265" s="2">
        <v>87</v>
      </c>
      <c r="H8265" s="2">
        <v>221</v>
      </c>
      <c r="I8265" s="2">
        <v>338</v>
      </c>
      <c r="J8265" s="2">
        <v>913</v>
      </c>
      <c r="K8265" s="2">
        <v>1</v>
      </c>
      <c r="L8265" s="2">
        <v>221</v>
      </c>
    </row>
    <row r="8266" spans="1:12" x14ac:dyDescent="0.25">
      <c r="A8266" s="4" t="str">
        <f>HYPERLINK("http://www.rosaceae.org/Prunus/Prunus_persica/p.persica_gdr_reftransV1_0003714","p.persica_gdr_reftransV1_0003714")</f>
        <v>p.persica_gdr_reftransV1_0003714</v>
      </c>
      <c r="B8266" s="2">
        <v>1929</v>
      </c>
      <c r="C8266" s="4" t="str">
        <f>HYPERLINK("http://www.uniprot.org/uniprot/M5VUR1","M5VUR1")</f>
        <v>M5VUR1</v>
      </c>
      <c r="D8266" s="2" t="s">
        <v>7269</v>
      </c>
      <c r="E8266" s="3">
        <v>0</v>
      </c>
      <c r="F8266" s="2">
        <v>2724</v>
      </c>
      <c r="G8266" s="2">
        <v>94</v>
      </c>
      <c r="H8266" s="2">
        <v>573</v>
      </c>
      <c r="I8266" s="2">
        <v>88</v>
      </c>
      <c r="J8266" s="2">
        <v>1806</v>
      </c>
      <c r="K8266" s="2">
        <v>1</v>
      </c>
      <c r="L8266" s="2">
        <v>542</v>
      </c>
    </row>
    <row r="8267" spans="1:12" x14ac:dyDescent="0.25">
      <c r="A8267" s="4" t="str">
        <f>HYPERLINK("http://www.rosaceae.org/Prunus/Prunus_persica/p.persica_gdr_reftransV1_0004064","p.persica_gdr_reftransV1_0004064")</f>
        <v>p.persica_gdr_reftransV1_0004064</v>
      </c>
      <c r="B8267" s="2">
        <v>2809</v>
      </c>
      <c r="C8267" s="4" t="str">
        <f>HYPERLINK("http://www.uniprot.org/uniprot/M5X3T3","M5X3T3")</f>
        <v>M5X3T3</v>
      </c>
      <c r="D8267" s="2" t="s">
        <v>7270</v>
      </c>
      <c r="E8267" s="3">
        <v>0</v>
      </c>
      <c r="F8267" s="2">
        <v>3972</v>
      </c>
      <c r="G8267" s="2">
        <v>100</v>
      </c>
      <c r="H8267" s="2">
        <v>753</v>
      </c>
      <c r="I8267" s="2">
        <v>166</v>
      </c>
      <c r="J8267" s="2">
        <v>2424</v>
      </c>
      <c r="K8267" s="2">
        <v>1</v>
      </c>
      <c r="L8267" s="2">
        <v>753</v>
      </c>
    </row>
    <row r="8268" spans="1:12" x14ac:dyDescent="0.25">
      <c r="A8268" s="4" t="str">
        <f>HYPERLINK("http://www.rosaceae.org/Prunus/Prunus_persica/p.persica_gdr_reftransV1_0004764","p.persica_gdr_reftransV1_0004764")</f>
        <v>p.persica_gdr_reftransV1_0004764</v>
      </c>
      <c r="B8268" s="2">
        <v>564</v>
      </c>
      <c r="C8268" s="4" t="str">
        <f>HYPERLINK("http://www.uniprot.org/uniprot/M5VQV9","M5VQV9")</f>
        <v>M5VQV9</v>
      </c>
      <c r="D8268" s="2" t="s">
        <v>7271</v>
      </c>
      <c r="E8268" s="3">
        <v>1.8E-84</v>
      </c>
      <c r="F8268" s="2">
        <v>681</v>
      </c>
      <c r="G8268" s="2">
        <v>100</v>
      </c>
      <c r="H8268" s="2">
        <v>161</v>
      </c>
      <c r="I8268" s="2">
        <v>3</v>
      </c>
      <c r="J8268" s="2">
        <v>485</v>
      </c>
      <c r="K8268" s="2">
        <v>1</v>
      </c>
      <c r="L8268" s="2">
        <v>161</v>
      </c>
    </row>
    <row r="8269" spans="1:12" x14ac:dyDescent="0.25">
      <c r="A8269" s="4" t="str">
        <f>HYPERLINK("http://www.rosaceae.org/Prunus/Prunus_persica/p.persica_gdr_reftransV1_0005114","p.persica_gdr_reftransV1_0005114")</f>
        <v>p.persica_gdr_reftransV1_0005114</v>
      </c>
      <c r="B8269" s="2">
        <v>2791</v>
      </c>
      <c r="C8269" s="4" t="str">
        <f>HYPERLINK("http://www.uniprot.org/uniprot/H6SV52","H6SV52")</f>
        <v>H6SV52</v>
      </c>
      <c r="D8269" s="2" t="s">
        <v>7272</v>
      </c>
      <c r="E8269" s="3">
        <v>0</v>
      </c>
      <c r="F8269" s="2">
        <v>3863</v>
      </c>
      <c r="G8269" s="2">
        <v>100</v>
      </c>
      <c r="H8269" s="2">
        <v>719</v>
      </c>
      <c r="I8269" s="2">
        <v>402</v>
      </c>
      <c r="J8269" s="2">
        <v>2558</v>
      </c>
      <c r="K8269" s="2">
        <v>1</v>
      </c>
      <c r="L8269" s="2">
        <v>719</v>
      </c>
    </row>
    <row r="8270" spans="1:12" x14ac:dyDescent="0.25">
      <c r="A8270" s="4" t="str">
        <f>HYPERLINK("http://www.rosaceae.org/Prunus/Prunus_persica/p.persica_gdr_reftransV1_0006164","p.persica_gdr_reftransV1_0006164")</f>
        <v>p.persica_gdr_reftransV1_0006164</v>
      </c>
      <c r="B8270" s="2">
        <v>1217</v>
      </c>
      <c r="C8270" s="4" t="str">
        <f>HYPERLINK("http://www.uniprot.org/uniprot/M5VN75","M5VN75")</f>
        <v>M5VN75</v>
      </c>
      <c r="D8270" s="2" t="s">
        <v>7273</v>
      </c>
      <c r="E8270" s="3">
        <v>0</v>
      </c>
      <c r="F8270" s="2">
        <v>1472</v>
      </c>
      <c r="G8270" s="2">
        <v>100</v>
      </c>
      <c r="H8270" s="2">
        <v>317</v>
      </c>
      <c r="I8270" s="2">
        <v>267</v>
      </c>
      <c r="J8270" s="2">
        <v>1217</v>
      </c>
      <c r="K8270" s="2">
        <v>45</v>
      </c>
      <c r="L8270" s="2">
        <v>361</v>
      </c>
    </row>
    <row r="8271" spans="1:12" x14ac:dyDescent="0.25">
      <c r="A8271" s="4" t="str">
        <f>HYPERLINK("http://www.rosaceae.org/Prunus/Prunus_persica/p.persica_gdr_reftransV1_0006864","p.persica_gdr_reftransV1_0006864")</f>
        <v>p.persica_gdr_reftransV1_0006864</v>
      </c>
      <c r="B8271" s="2">
        <v>604</v>
      </c>
      <c r="C8271" s="4" t="str">
        <f>HYPERLINK("http://www.uniprot.org/uniprot/C0JJI2","C0JJI2")</f>
        <v>C0JJI2</v>
      </c>
      <c r="D8271" s="2" t="s">
        <v>7274</v>
      </c>
      <c r="E8271" s="3">
        <v>5.6500000000000005E-76</v>
      </c>
      <c r="F8271" s="2">
        <v>655</v>
      </c>
      <c r="G8271" s="2">
        <v>60</v>
      </c>
      <c r="H8271" s="2">
        <v>193</v>
      </c>
      <c r="I8271" s="2">
        <v>9</v>
      </c>
      <c r="J8271" s="2">
        <v>587</v>
      </c>
      <c r="K8271" s="2">
        <v>159</v>
      </c>
      <c r="L8271" s="2">
        <v>351</v>
      </c>
    </row>
    <row r="8272" spans="1:12" x14ac:dyDescent="0.25">
      <c r="A8272" s="4" t="str">
        <f>HYPERLINK("http://www.rosaceae.org/Prunus/Prunus_persica/p.persica_gdr_reftransV1_0007914","p.persica_gdr_reftransV1_0007914")</f>
        <v>p.persica_gdr_reftransV1_0007914</v>
      </c>
      <c r="B8272" s="2">
        <v>456</v>
      </c>
      <c r="C8272" s="4" t="str">
        <f>HYPERLINK("http://www.uniprot.org/uniprot/M5W060","M5W060")</f>
        <v>M5W060</v>
      </c>
      <c r="D8272" s="2" t="s">
        <v>7275</v>
      </c>
      <c r="E8272" s="3">
        <v>5.2099999999999998E-45</v>
      </c>
      <c r="F8272" s="2">
        <v>390</v>
      </c>
      <c r="G8272" s="2">
        <v>100</v>
      </c>
      <c r="H8272" s="2">
        <v>84</v>
      </c>
      <c r="I8272" s="2">
        <v>3</v>
      </c>
      <c r="J8272" s="2">
        <v>254</v>
      </c>
      <c r="K8272" s="2">
        <v>23</v>
      </c>
      <c r="L8272" s="2">
        <v>106</v>
      </c>
    </row>
    <row r="8273" spans="1:12" x14ac:dyDescent="0.25">
      <c r="A8273" s="4" t="str">
        <f>HYPERLINK("http://www.rosaceae.org/Prunus/Prunus_persica/p.persica_gdr_reftransV1_0008964","p.persica_gdr_reftransV1_0008964")</f>
        <v>p.persica_gdr_reftransV1_0008964</v>
      </c>
      <c r="B8273" s="2">
        <v>4140</v>
      </c>
      <c r="C8273" s="4" t="str">
        <f>HYPERLINK("http://www.uniprot.org/uniprot/M5XJ17","M5XJ17")</f>
        <v>M5XJ17</v>
      </c>
      <c r="D8273" s="2" t="s">
        <v>7276</v>
      </c>
      <c r="E8273" s="3">
        <v>0</v>
      </c>
      <c r="F8273" s="2">
        <v>4274</v>
      </c>
      <c r="G8273" s="2">
        <v>100</v>
      </c>
      <c r="H8273" s="2">
        <v>808</v>
      </c>
      <c r="I8273" s="2">
        <v>1566</v>
      </c>
      <c r="J8273" s="2">
        <v>3989</v>
      </c>
      <c r="K8273" s="2">
        <v>431</v>
      </c>
      <c r="L8273" s="2">
        <v>1238</v>
      </c>
    </row>
    <row r="8274" spans="1:12" x14ac:dyDescent="0.25">
      <c r="A8274" s="4" t="str">
        <f>HYPERLINK("http://www.rosaceae.org/Prunus/Prunus_persica/p.persica_gdr_reftransV1_0009314","p.persica_gdr_reftransV1_0009314")</f>
        <v>p.persica_gdr_reftransV1_0009314</v>
      </c>
      <c r="B8274" s="2">
        <v>568</v>
      </c>
      <c r="C8274" s="4" t="str">
        <f>HYPERLINK("http://www.uniprot.org/uniprot/M5W2Y7","M5W2Y7")</f>
        <v>M5W2Y7</v>
      </c>
      <c r="D8274" s="2" t="s">
        <v>7277</v>
      </c>
      <c r="E8274" s="3">
        <v>2.4600000000000001E-77</v>
      </c>
      <c r="F8274" s="2">
        <v>617</v>
      </c>
      <c r="G8274" s="2">
        <v>100</v>
      </c>
      <c r="H8274" s="2">
        <v>139</v>
      </c>
      <c r="I8274" s="2">
        <v>91</v>
      </c>
      <c r="J8274" s="2">
        <v>507</v>
      </c>
      <c r="K8274" s="2">
        <v>31</v>
      </c>
      <c r="L8274" s="2">
        <v>169</v>
      </c>
    </row>
    <row r="8275" spans="1:12" x14ac:dyDescent="0.25">
      <c r="A8275" s="4" t="str">
        <f>HYPERLINK("http://www.rosaceae.org/Prunus/Prunus_persica/p.persica_gdr_reftransV1_0009664","p.persica_gdr_reftransV1_0009664")</f>
        <v>p.persica_gdr_reftransV1_0009664</v>
      </c>
      <c r="B8275" s="2">
        <v>1069</v>
      </c>
      <c r="C8275" s="4" t="str">
        <f>HYPERLINK("http://www.uniprot.org/uniprot/M5VQI2","M5VQI2")</f>
        <v>M5VQI2</v>
      </c>
      <c r="D8275" s="2" t="s">
        <v>445</v>
      </c>
      <c r="E8275" s="3">
        <v>2.1400000000000001E-134</v>
      </c>
      <c r="F8275" s="2">
        <v>1036</v>
      </c>
      <c r="G8275" s="2">
        <v>94</v>
      </c>
      <c r="H8275" s="2">
        <v>226</v>
      </c>
      <c r="I8275" s="2">
        <v>86</v>
      </c>
      <c r="J8275" s="2">
        <v>763</v>
      </c>
      <c r="K8275" s="2">
        <v>244</v>
      </c>
      <c r="L8275" s="2">
        <v>462</v>
      </c>
    </row>
    <row r="8276" spans="1:12" x14ac:dyDescent="0.25">
      <c r="A8276" s="4" t="str">
        <f>HYPERLINK("http://www.rosaceae.org/Prunus/Prunus_persica/p.persica_gdr_reftransV1_0010364","p.persica_gdr_reftransV1_0010364")</f>
        <v>p.persica_gdr_reftransV1_0010364</v>
      </c>
      <c r="B8276" s="2">
        <v>445</v>
      </c>
      <c r="C8276" s="4" t="str">
        <f>HYPERLINK("http://www.uniprot.org/uniprot/M5WKE3","M5WKE3")</f>
        <v>M5WKE3</v>
      </c>
      <c r="D8276" s="2" t="s">
        <v>7278</v>
      </c>
      <c r="E8276" s="3">
        <v>1.47E-75</v>
      </c>
      <c r="F8276" s="2">
        <v>605</v>
      </c>
      <c r="G8276" s="2">
        <v>98</v>
      </c>
      <c r="H8276" s="2">
        <v>127</v>
      </c>
      <c r="I8276" s="2">
        <v>65</v>
      </c>
      <c r="J8276" s="2">
        <v>445</v>
      </c>
      <c r="K8276" s="2">
        <v>136</v>
      </c>
      <c r="L8276" s="2">
        <v>262</v>
      </c>
    </row>
    <row r="8277" spans="1:12" x14ac:dyDescent="0.25">
      <c r="A8277" s="4" t="str">
        <f>HYPERLINK("http://www.rosaceae.org/Prunus/Prunus_persica/p.persica_gdr_reftransV1_0010714","p.persica_gdr_reftransV1_0010714")</f>
        <v>p.persica_gdr_reftransV1_0010714</v>
      </c>
      <c r="B8277" s="2">
        <v>2388</v>
      </c>
      <c r="C8277" s="4" t="str">
        <f>HYPERLINK("http://www.uniprot.org/uniprot/M5WG74","M5WG74")</f>
        <v>M5WG74</v>
      </c>
      <c r="D8277" s="2" t="s">
        <v>7279</v>
      </c>
      <c r="E8277" s="3">
        <v>0</v>
      </c>
      <c r="F8277" s="2">
        <v>2826</v>
      </c>
      <c r="G8277" s="2">
        <v>100</v>
      </c>
      <c r="H8277" s="2">
        <v>567</v>
      </c>
      <c r="I8277" s="2">
        <v>354</v>
      </c>
      <c r="J8277" s="2">
        <v>2054</v>
      </c>
      <c r="K8277" s="2">
        <v>1</v>
      </c>
      <c r="L8277" s="2">
        <v>567</v>
      </c>
    </row>
    <row r="8278" spans="1:12" x14ac:dyDescent="0.25">
      <c r="A8278" s="4" t="str">
        <f>HYPERLINK("http://www.rosaceae.org/Prunus/Prunus_persica/p.persica_gdr_reftransV1_0011414","p.persica_gdr_reftransV1_0011414")</f>
        <v>p.persica_gdr_reftransV1_0011414</v>
      </c>
      <c r="B8278" s="2">
        <v>1810</v>
      </c>
      <c r="C8278" s="4" t="str">
        <f>HYPERLINK("http://www.uniprot.org/uniprot/M5Y0A9","M5Y0A9")</f>
        <v>M5Y0A9</v>
      </c>
      <c r="D8278" s="2" t="s">
        <v>7280</v>
      </c>
      <c r="E8278" s="3">
        <v>0</v>
      </c>
      <c r="F8278" s="2">
        <v>2522</v>
      </c>
      <c r="G8278" s="2">
        <v>100</v>
      </c>
      <c r="H8278" s="2">
        <v>471</v>
      </c>
      <c r="I8278" s="2">
        <v>313</v>
      </c>
      <c r="J8278" s="2">
        <v>1725</v>
      </c>
      <c r="K8278" s="2">
        <v>1</v>
      </c>
      <c r="L8278" s="2">
        <v>471</v>
      </c>
    </row>
    <row r="8279" spans="1:12" x14ac:dyDescent="0.25">
      <c r="A8279" s="4" t="str">
        <f>HYPERLINK("http://www.rosaceae.org/Prunus/Prunus_persica/p.persica_gdr_reftransV1_0012114","p.persica_gdr_reftransV1_0012114")</f>
        <v>p.persica_gdr_reftransV1_0012114</v>
      </c>
      <c r="B8279" s="2">
        <v>1955</v>
      </c>
      <c r="C8279" s="4" t="str">
        <f>HYPERLINK("http://www.uniprot.org/uniprot/M5VIU8","M5VIU8")</f>
        <v>M5VIU8</v>
      </c>
      <c r="D8279" s="2" t="s">
        <v>7281</v>
      </c>
      <c r="E8279" s="3">
        <v>0</v>
      </c>
      <c r="F8279" s="2">
        <v>2431</v>
      </c>
      <c r="G8279" s="2">
        <v>95</v>
      </c>
      <c r="H8279" s="2">
        <v>533</v>
      </c>
      <c r="I8279" s="2">
        <v>298</v>
      </c>
      <c r="J8279" s="2">
        <v>1896</v>
      </c>
      <c r="K8279" s="2">
        <v>1</v>
      </c>
      <c r="L8279" s="2">
        <v>506</v>
      </c>
    </row>
    <row r="8280" spans="1:12" x14ac:dyDescent="0.25">
      <c r="A8280" s="4" t="str">
        <f>HYPERLINK("http://www.rosaceae.org/Prunus/Prunus_persica/p.persica_gdr_reftransV1_0012464","p.persica_gdr_reftransV1_0012464")</f>
        <v>p.persica_gdr_reftransV1_0012464</v>
      </c>
      <c r="B8280" s="2">
        <v>1192</v>
      </c>
      <c r="C8280" s="4" t="str">
        <f>HYPERLINK("http://www.uniprot.org/uniprot/M5WVD2","M5WVD2")</f>
        <v>M5WVD2</v>
      </c>
      <c r="D8280" s="2" t="s">
        <v>7282</v>
      </c>
      <c r="E8280" s="3">
        <v>3.9099999999999998E-172</v>
      </c>
      <c r="F8280" s="2">
        <v>1267</v>
      </c>
      <c r="G8280" s="2">
        <v>100</v>
      </c>
      <c r="H8280" s="2">
        <v>236</v>
      </c>
      <c r="I8280" s="2">
        <v>24</v>
      </c>
      <c r="J8280" s="2">
        <v>731</v>
      </c>
      <c r="K8280" s="2">
        <v>1</v>
      </c>
      <c r="L8280" s="2">
        <v>236</v>
      </c>
    </row>
    <row r="8281" spans="1:12" x14ac:dyDescent="0.25">
      <c r="A8281" s="4" t="str">
        <f>HYPERLINK("http://www.rosaceae.org/Prunus/Prunus_persica/p.persica_gdr_reftransV1_0013164","p.persica_gdr_reftransV1_0013164")</f>
        <v>p.persica_gdr_reftransV1_0013164</v>
      </c>
      <c r="B8281" s="2">
        <v>837</v>
      </c>
      <c r="C8281" s="4" t="str">
        <f>HYPERLINK("http://www.uniprot.org/uniprot/M5VYI8","M5VYI8")</f>
        <v>M5VYI8</v>
      </c>
      <c r="D8281" s="2" t="s">
        <v>7283</v>
      </c>
      <c r="E8281" s="3">
        <v>1.3899999999999999E-131</v>
      </c>
      <c r="F8281" s="2">
        <v>1044</v>
      </c>
      <c r="G8281" s="2">
        <v>99</v>
      </c>
      <c r="H8281" s="2">
        <v>198</v>
      </c>
      <c r="I8281" s="2">
        <v>1</v>
      </c>
      <c r="J8281" s="2">
        <v>594</v>
      </c>
      <c r="K8281" s="2">
        <v>704</v>
      </c>
      <c r="L8281" s="2">
        <v>901</v>
      </c>
    </row>
    <row r="8282" spans="1:12" x14ac:dyDescent="0.25">
      <c r="A8282" s="4" t="str">
        <f>HYPERLINK("http://www.rosaceae.org/Prunus/Prunus_persica/p.persica_gdr_reftransV1_0014214","p.persica_gdr_reftransV1_0014214")</f>
        <v>p.persica_gdr_reftransV1_0014214</v>
      </c>
      <c r="B8282" s="2">
        <v>2530</v>
      </c>
      <c r="C8282" s="4" t="str">
        <f>HYPERLINK("http://www.uniprot.org/uniprot/M5WUV7","M5WUV7")</f>
        <v>M5WUV7</v>
      </c>
      <c r="D8282" s="2" t="s">
        <v>7284</v>
      </c>
      <c r="E8282" s="3">
        <v>0</v>
      </c>
      <c r="F8282" s="2">
        <v>3678</v>
      </c>
      <c r="G8282" s="2">
        <v>100</v>
      </c>
      <c r="H8282" s="2">
        <v>689</v>
      </c>
      <c r="I8282" s="2">
        <v>205</v>
      </c>
      <c r="J8282" s="2">
        <v>2271</v>
      </c>
      <c r="K8282" s="2">
        <v>1</v>
      </c>
      <c r="L8282" s="2">
        <v>689</v>
      </c>
    </row>
    <row r="8283" spans="1:12" x14ac:dyDescent="0.25">
      <c r="A8283" s="4" t="str">
        <f>HYPERLINK("http://www.rosaceae.org/Prunus/Prunus_persica/p.persica_gdr_reftransV1_0014564","p.persica_gdr_reftransV1_0014564")</f>
        <v>p.persica_gdr_reftransV1_0014564</v>
      </c>
      <c r="B8283" s="2">
        <v>3659</v>
      </c>
      <c r="C8283" s="4" t="str">
        <f>HYPERLINK("http://www.uniprot.org/uniprot/M5XMX2","M5XMX2")</f>
        <v>M5XMX2</v>
      </c>
      <c r="D8283" s="2" t="s">
        <v>7285</v>
      </c>
      <c r="E8283" s="3">
        <v>2.8099999999999998E-112</v>
      </c>
      <c r="F8283" s="2">
        <v>954</v>
      </c>
      <c r="G8283" s="2">
        <v>100</v>
      </c>
      <c r="H8283" s="2">
        <v>225</v>
      </c>
      <c r="I8283" s="2">
        <v>2877</v>
      </c>
      <c r="J8283" s="2">
        <v>3551</v>
      </c>
      <c r="K8283" s="2">
        <v>1</v>
      </c>
      <c r="L8283" s="2">
        <v>225</v>
      </c>
    </row>
    <row r="8284" spans="1:12" x14ac:dyDescent="0.25">
      <c r="A8284" s="4" t="str">
        <f>HYPERLINK("http://www.rosaceae.org/Prunus/Prunus_persica/p.persica_gdr_reftransV1_0016664","p.persica_gdr_reftransV1_0016664")</f>
        <v>p.persica_gdr_reftransV1_0016664</v>
      </c>
      <c r="B8284" s="2">
        <v>1886</v>
      </c>
      <c r="C8284" s="4" t="str">
        <f>HYPERLINK("http://www.uniprot.org/uniprot/M5WDZ2","M5WDZ2")</f>
        <v>M5WDZ2</v>
      </c>
      <c r="D8284" s="2" t="s">
        <v>7286</v>
      </c>
      <c r="E8284" s="3">
        <v>0</v>
      </c>
      <c r="F8284" s="2">
        <v>1578</v>
      </c>
      <c r="G8284" s="2">
        <v>100</v>
      </c>
      <c r="H8284" s="2">
        <v>317</v>
      </c>
      <c r="I8284" s="2">
        <v>706</v>
      </c>
      <c r="J8284" s="2">
        <v>1656</v>
      </c>
      <c r="K8284" s="2">
        <v>17</v>
      </c>
      <c r="L8284" s="2">
        <v>333</v>
      </c>
    </row>
    <row r="8285" spans="1:12" x14ac:dyDescent="0.25">
      <c r="A8285" s="4" t="str">
        <f>HYPERLINK("http://www.rosaceae.org/Prunus/Prunus_persica/p.persica_gdr_reftransV1_0017014","p.persica_gdr_reftransV1_0017014")</f>
        <v>p.persica_gdr_reftransV1_0017014</v>
      </c>
      <c r="B8285" s="2">
        <v>4952</v>
      </c>
      <c r="C8285" s="4" t="str">
        <f>HYPERLINK("http://www.uniprot.org/uniprot/A0A061FU09","A0A061FU09")</f>
        <v>A0A061FU09</v>
      </c>
      <c r="D8285" s="2" t="s">
        <v>7287</v>
      </c>
      <c r="E8285" s="3">
        <v>0</v>
      </c>
      <c r="F8285" s="2">
        <v>3810</v>
      </c>
      <c r="G8285" s="2">
        <v>73</v>
      </c>
      <c r="H8285" s="2">
        <v>1120</v>
      </c>
      <c r="I8285" s="2">
        <v>145</v>
      </c>
      <c r="J8285" s="2">
        <v>3447</v>
      </c>
      <c r="K8285" s="2">
        <v>33</v>
      </c>
      <c r="L8285" s="2">
        <v>1151</v>
      </c>
    </row>
    <row r="8286" spans="1:12" x14ac:dyDescent="0.25">
      <c r="A8286" s="4" t="str">
        <f>HYPERLINK("http://www.rosaceae.org/Prunus/Prunus_persica/p.persica_gdr_reftransV1_0018064","p.persica_gdr_reftransV1_0018064")</f>
        <v>p.persica_gdr_reftransV1_0018064</v>
      </c>
      <c r="B8286" s="2">
        <v>1862</v>
      </c>
      <c r="C8286" s="4" t="str">
        <f>HYPERLINK("http://www.uniprot.org/uniprot/M5XWG3","M5XWG3")</f>
        <v>M5XWG3</v>
      </c>
      <c r="D8286" s="2" t="s">
        <v>7288</v>
      </c>
      <c r="E8286" s="3">
        <v>0</v>
      </c>
      <c r="F8286" s="2">
        <v>1541</v>
      </c>
      <c r="G8286" s="2">
        <v>89</v>
      </c>
      <c r="H8286" s="2">
        <v>347</v>
      </c>
      <c r="I8286" s="2">
        <v>116</v>
      </c>
      <c r="J8286" s="2">
        <v>1156</v>
      </c>
      <c r="K8286" s="2">
        <v>1</v>
      </c>
      <c r="L8286" s="2">
        <v>310</v>
      </c>
    </row>
    <row r="8287" spans="1:12" x14ac:dyDescent="0.25">
      <c r="A8287" s="4" t="str">
        <f>HYPERLINK("http://www.rosaceae.org/Prunus/Prunus_persica/p.persica_gdr_reftransV1_0020514","p.persica_gdr_reftransV1_0020514")</f>
        <v>p.persica_gdr_reftransV1_0020514</v>
      </c>
      <c r="B8287" s="2">
        <v>1438</v>
      </c>
      <c r="C8287" s="4" t="str">
        <f>HYPERLINK("http://www.uniprot.org/uniprot/M5W0E3","M5W0E3")</f>
        <v>M5W0E3</v>
      </c>
      <c r="D8287" s="2" t="s">
        <v>7289</v>
      </c>
      <c r="E8287" s="3">
        <v>2.2700000000000001E-72</v>
      </c>
      <c r="F8287" s="2">
        <v>607</v>
      </c>
      <c r="G8287" s="2">
        <v>100</v>
      </c>
      <c r="H8287" s="2">
        <v>120</v>
      </c>
      <c r="I8287" s="2">
        <v>378</v>
      </c>
      <c r="J8287" s="2">
        <v>737</v>
      </c>
      <c r="K8287" s="2">
        <v>1</v>
      </c>
      <c r="L8287" s="2">
        <v>120</v>
      </c>
    </row>
    <row r="8288" spans="1:12" x14ac:dyDescent="0.25">
      <c r="A8288" s="4" t="str">
        <f>HYPERLINK("http://www.rosaceae.org/Prunus/Prunus_persica/p.persica_gdr_reftransV1_0021214","p.persica_gdr_reftransV1_0021214")</f>
        <v>p.persica_gdr_reftransV1_0021214</v>
      </c>
      <c r="B8288" s="2">
        <v>1461</v>
      </c>
      <c r="C8288" s="4" t="str">
        <f>HYPERLINK("http://www.uniprot.org/uniprot/M5WII8","M5WII8")</f>
        <v>M5WII8</v>
      </c>
      <c r="D8288" s="2" t="s">
        <v>7290</v>
      </c>
      <c r="E8288" s="3">
        <v>6.53E-143</v>
      </c>
      <c r="F8288" s="2">
        <v>1005</v>
      </c>
      <c r="G8288" s="2">
        <v>100</v>
      </c>
      <c r="H8288" s="2">
        <v>190</v>
      </c>
      <c r="I8288" s="2">
        <v>796</v>
      </c>
      <c r="J8288" s="2">
        <v>1365</v>
      </c>
      <c r="K8288" s="2">
        <v>1</v>
      </c>
      <c r="L8288" s="2">
        <v>190</v>
      </c>
    </row>
    <row r="8289" spans="1:12" x14ac:dyDescent="0.25">
      <c r="A8289" s="4" t="str">
        <f>HYPERLINK("http://www.rosaceae.org/Prunus/Prunus_persica/p.persica_gdr_reftransV1_0021564","p.persica_gdr_reftransV1_0021564")</f>
        <v>p.persica_gdr_reftransV1_0021564</v>
      </c>
      <c r="B8289" s="2">
        <v>1499</v>
      </c>
      <c r="C8289" s="4" t="str">
        <f>HYPERLINK("http://www.uniprot.org/uniprot/M5WVM4","M5WVM4")</f>
        <v>M5WVM4</v>
      </c>
      <c r="D8289" s="2" t="s">
        <v>7291</v>
      </c>
      <c r="E8289" s="3">
        <v>1.7600000000000001E-76</v>
      </c>
      <c r="F8289" s="2">
        <v>638</v>
      </c>
      <c r="G8289" s="2">
        <v>99</v>
      </c>
      <c r="H8289" s="2">
        <v>136</v>
      </c>
      <c r="I8289" s="2">
        <v>74</v>
      </c>
      <c r="J8289" s="2">
        <v>481</v>
      </c>
      <c r="K8289" s="2">
        <v>1</v>
      </c>
      <c r="L8289" s="2">
        <v>136</v>
      </c>
    </row>
    <row r="8290" spans="1:12" x14ac:dyDescent="0.25">
      <c r="A8290" s="4" t="str">
        <f>HYPERLINK("http://www.rosaceae.org/Prunus/Prunus_persica/p.persica_gdr_reftransV1_0021914","p.persica_gdr_reftransV1_0021914")</f>
        <v>p.persica_gdr_reftransV1_0021914</v>
      </c>
      <c r="B8290" s="2">
        <v>4240</v>
      </c>
      <c r="C8290" s="4" t="str">
        <f>HYPERLINK("http://www.uniprot.org/uniprot/M5WD82","M5WD82")</f>
        <v>M5WD82</v>
      </c>
      <c r="D8290" s="2" t="s">
        <v>7292</v>
      </c>
      <c r="E8290" s="3">
        <v>0</v>
      </c>
      <c r="F8290" s="2">
        <v>6258</v>
      </c>
      <c r="G8290" s="2">
        <v>100</v>
      </c>
      <c r="H8290" s="2">
        <v>1250</v>
      </c>
      <c r="I8290" s="2">
        <v>126</v>
      </c>
      <c r="J8290" s="2">
        <v>3875</v>
      </c>
      <c r="K8290" s="2">
        <v>1</v>
      </c>
      <c r="L8290" s="2">
        <v>1250</v>
      </c>
    </row>
    <row r="8291" spans="1:12" x14ac:dyDescent="0.25">
      <c r="A8291" s="4" t="str">
        <f>HYPERLINK("http://www.rosaceae.org/Prunus/Prunus_persica/p.persica_gdr_reftransV1_0022964","p.persica_gdr_reftransV1_0022964")</f>
        <v>p.persica_gdr_reftransV1_0022964</v>
      </c>
      <c r="B8291" s="2">
        <v>5968</v>
      </c>
      <c r="C8291" s="4" t="str">
        <f>HYPERLINK("http://www.uniprot.org/uniprot/M5W746","M5W746")</f>
        <v>M5W746</v>
      </c>
      <c r="D8291" s="2" t="s">
        <v>7293</v>
      </c>
      <c r="E8291" s="3">
        <v>0</v>
      </c>
      <c r="F8291" s="2">
        <v>4271</v>
      </c>
      <c r="G8291" s="2">
        <v>96</v>
      </c>
      <c r="H8291" s="2">
        <v>848</v>
      </c>
      <c r="I8291" s="2">
        <v>3</v>
      </c>
      <c r="J8291" s="2">
        <v>2546</v>
      </c>
      <c r="K8291" s="2">
        <v>65</v>
      </c>
      <c r="L8291" s="2">
        <v>881</v>
      </c>
    </row>
    <row r="8292" spans="1:12" x14ac:dyDescent="0.25">
      <c r="A8292" s="4" t="str">
        <f>HYPERLINK("http://www.rosaceae.org/Prunus/Prunus_persica/p.persica_gdr_reftransV1_0023314","p.persica_gdr_reftransV1_0023314")</f>
        <v>p.persica_gdr_reftransV1_0023314</v>
      </c>
      <c r="B8292" s="2">
        <v>650</v>
      </c>
      <c r="C8292" s="4" t="str">
        <f>HYPERLINK("http://www.uniprot.org/uniprot/M5WS32","M5WS32")</f>
        <v>M5WS32</v>
      </c>
      <c r="D8292" s="2" t="s">
        <v>7294</v>
      </c>
      <c r="E8292" s="3">
        <v>3.0499999999999998E-63</v>
      </c>
      <c r="F8292" s="2">
        <v>516</v>
      </c>
      <c r="G8292" s="2">
        <v>100</v>
      </c>
      <c r="H8292" s="2">
        <v>100</v>
      </c>
      <c r="I8292" s="2">
        <v>179</v>
      </c>
      <c r="J8292" s="2">
        <v>478</v>
      </c>
      <c r="K8292" s="2">
        <v>1</v>
      </c>
      <c r="L8292" s="2">
        <v>100</v>
      </c>
    </row>
    <row r="8293" spans="1:12" x14ac:dyDescent="0.25">
      <c r="A8293" s="4" t="str">
        <f>HYPERLINK("http://www.rosaceae.org/Prunus/Prunus_persica/p.persica_gdr_reftransV1_0025764","p.persica_gdr_reftransV1_0025764")</f>
        <v>p.persica_gdr_reftransV1_0025764</v>
      </c>
      <c r="B8293" s="2">
        <v>3680</v>
      </c>
      <c r="C8293" s="4" t="str">
        <f>HYPERLINK("http://www.uniprot.org/uniprot/M5WRA4","M5WRA4")</f>
        <v>M5WRA4</v>
      </c>
      <c r="D8293" s="2" t="s">
        <v>7295</v>
      </c>
      <c r="E8293" s="3">
        <v>0</v>
      </c>
      <c r="F8293" s="2">
        <v>4765</v>
      </c>
      <c r="G8293" s="2">
        <v>100</v>
      </c>
      <c r="H8293" s="2">
        <v>967</v>
      </c>
      <c r="I8293" s="2">
        <v>495</v>
      </c>
      <c r="J8293" s="2">
        <v>3395</v>
      </c>
      <c r="K8293" s="2">
        <v>1</v>
      </c>
      <c r="L8293" s="2">
        <v>967</v>
      </c>
    </row>
    <row r="8294" spans="1:12" x14ac:dyDescent="0.25">
      <c r="A8294" s="4" t="str">
        <f>HYPERLINK("http://www.rosaceae.org/Prunus/Prunus_persica/p.persica_gdr_reftransV1_0027514","p.persica_gdr_reftransV1_0027514")</f>
        <v>p.persica_gdr_reftransV1_0027514</v>
      </c>
      <c r="B8294" s="2">
        <v>938</v>
      </c>
      <c r="C8294" s="4" t="str">
        <f>HYPERLINK("http://www.uniprot.org/uniprot/M5WII2","M5WII2")</f>
        <v>M5WII2</v>
      </c>
      <c r="D8294" s="2" t="s">
        <v>7296</v>
      </c>
      <c r="E8294" s="3">
        <v>1.4199999999999999E-111</v>
      </c>
      <c r="F8294" s="2">
        <v>856</v>
      </c>
      <c r="G8294" s="2">
        <v>99</v>
      </c>
      <c r="H8294" s="2">
        <v>179</v>
      </c>
      <c r="I8294" s="2">
        <v>360</v>
      </c>
      <c r="J8294" s="2">
        <v>896</v>
      </c>
      <c r="K8294" s="2">
        <v>32</v>
      </c>
      <c r="L8294" s="2">
        <v>210</v>
      </c>
    </row>
    <row r="8295" spans="1:12" x14ac:dyDescent="0.25">
      <c r="A8295" s="4" t="str">
        <f>HYPERLINK("http://www.rosaceae.org/Prunus/Prunus_persica/p.persica_gdr_reftransV1_0027864","p.persica_gdr_reftransV1_0027864")</f>
        <v>p.persica_gdr_reftransV1_0027864</v>
      </c>
      <c r="B8295" s="2">
        <v>2596</v>
      </c>
      <c r="C8295" s="4" t="str">
        <f>HYPERLINK("http://www.uniprot.org/uniprot/M5W714","M5W714")</f>
        <v>M5W714</v>
      </c>
      <c r="D8295" s="2" t="s">
        <v>7297</v>
      </c>
      <c r="E8295" s="3">
        <v>0</v>
      </c>
      <c r="F8295" s="2">
        <v>2328</v>
      </c>
      <c r="G8295" s="2">
        <v>93</v>
      </c>
      <c r="H8295" s="2">
        <v>491</v>
      </c>
      <c r="I8295" s="2">
        <v>3</v>
      </c>
      <c r="J8295" s="2">
        <v>1436</v>
      </c>
      <c r="K8295" s="2">
        <v>25</v>
      </c>
      <c r="L8295" s="2">
        <v>498</v>
      </c>
    </row>
    <row r="8296" spans="1:12" x14ac:dyDescent="0.25">
      <c r="A8296" s="4" t="str">
        <f>HYPERLINK("http://www.rosaceae.org/Prunus/Prunus_persica/p.persica_gdr_reftransV1_0028214","p.persica_gdr_reftransV1_0028214")</f>
        <v>p.persica_gdr_reftransV1_0028214</v>
      </c>
      <c r="B8296" s="2">
        <v>3776</v>
      </c>
      <c r="C8296" s="4" t="str">
        <f>HYPERLINK("http://www.uniprot.org/uniprot/M5WFZ9","M5WFZ9")</f>
        <v>M5WFZ9</v>
      </c>
      <c r="D8296" s="2" t="s">
        <v>7298</v>
      </c>
      <c r="E8296" s="3">
        <v>6.9600000000000002E-162</v>
      </c>
      <c r="F8296" s="2">
        <v>1283</v>
      </c>
      <c r="G8296" s="2">
        <v>91</v>
      </c>
      <c r="H8296" s="2">
        <v>381</v>
      </c>
      <c r="I8296" s="2">
        <v>2548</v>
      </c>
      <c r="J8296" s="2">
        <v>3690</v>
      </c>
      <c r="K8296" s="2">
        <v>1</v>
      </c>
      <c r="L8296" s="2">
        <v>345</v>
      </c>
    </row>
    <row r="8297" spans="1:12" x14ac:dyDescent="0.25">
      <c r="A8297" s="4" t="str">
        <f>HYPERLINK("http://www.rosaceae.org/Prunus/Prunus_persica/p.persica_gdr_reftransV1_0029964","p.persica_gdr_reftransV1_0029964")</f>
        <v>p.persica_gdr_reftransV1_0029964</v>
      </c>
      <c r="B8297" s="2">
        <v>1450</v>
      </c>
      <c r="C8297" s="4" t="str">
        <f>HYPERLINK("http://www.uniprot.org/uniprot/M5W2K5","M5W2K5")</f>
        <v>M5W2K5</v>
      </c>
      <c r="D8297" s="2" t="s">
        <v>7299</v>
      </c>
      <c r="E8297" s="3">
        <v>8.4099999999999997E-114</v>
      </c>
      <c r="F8297" s="2">
        <v>897</v>
      </c>
      <c r="G8297" s="2">
        <v>100</v>
      </c>
      <c r="H8297" s="2">
        <v>259</v>
      </c>
      <c r="I8297" s="2">
        <v>162</v>
      </c>
      <c r="J8297" s="2">
        <v>938</v>
      </c>
      <c r="K8297" s="2">
        <v>1</v>
      </c>
      <c r="L8297" s="2">
        <v>259</v>
      </c>
    </row>
    <row r="8298" spans="1:12" x14ac:dyDescent="0.25">
      <c r="A8298" s="4" t="str">
        <f>HYPERLINK("http://www.rosaceae.org/Prunus/Prunus_persica/p.persica_gdr_reftransV1_0031014","p.persica_gdr_reftransV1_0031014")</f>
        <v>p.persica_gdr_reftransV1_0031014</v>
      </c>
      <c r="B8298" s="2">
        <v>2502</v>
      </c>
      <c r="C8298" s="4" t="str">
        <f>HYPERLINK("http://www.uniprot.org/uniprot/M5XJY3","M5XJY3")</f>
        <v>M5XJY3</v>
      </c>
      <c r="D8298" s="2" t="s">
        <v>7300</v>
      </c>
      <c r="E8298" s="3">
        <v>0</v>
      </c>
      <c r="F8298" s="2">
        <v>1735</v>
      </c>
      <c r="G8298" s="2">
        <v>100</v>
      </c>
      <c r="H8298" s="2">
        <v>373</v>
      </c>
      <c r="I8298" s="2">
        <v>760</v>
      </c>
      <c r="J8298" s="2">
        <v>1878</v>
      </c>
      <c r="K8298" s="2">
        <v>1</v>
      </c>
      <c r="L8298" s="2">
        <v>373</v>
      </c>
    </row>
    <row r="8299" spans="1:12" x14ac:dyDescent="0.25">
      <c r="A8299" s="4" t="str">
        <f>HYPERLINK("http://www.rosaceae.org/Prunus/Prunus_persica/p.persica_gdr_reftransV1_0032064","p.persica_gdr_reftransV1_0032064")</f>
        <v>p.persica_gdr_reftransV1_0032064</v>
      </c>
      <c r="B8299" s="2">
        <v>2777</v>
      </c>
      <c r="C8299" s="4" t="str">
        <f>HYPERLINK("http://www.uniprot.org/uniprot/M5XDW2","M5XDW2")</f>
        <v>M5XDW2</v>
      </c>
      <c r="D8299" s="2" t="s">
        <v>7301</v>
      </c>
      <c r="E8299" s="3">
        <v>0</v>
      </c>
      <c r="F8299" s="2">
        <v>2491</v>
      </c>
      <c r="G8299" s="2">
        <v>100</v>
      </c>
      <c r="H8299" s="2">
        <v>514</v>
      </c>
      <c r="I8299" s="2">
        <v>1120</v>
      </c>
      <c r="J8299" s="2">
        <v>2661</v>
      </c>
      <c r="K8299" s="2">
        <v>1</v>
      </c>
      <c r="L8299" s="2">
        <v>514</v>
      </c>
    </row>
    <row r="8300" spans="1:12" x14ac:dyDescent="0.25">
      <c r="A8300" s="4" t="str">
        <f>HYPERLINK("http://www.rosaceae.org/Prunus/Prunus_persica/p.persica_gdr_reftransV1_0032764","p.persica_gdr_reftransV1_0032764")</f>
        <v>p.persica_gdr_reftransV1_0032764</v>
      </c>
      <c r="B8300" s="2">
        <v>2599</v>
      </c>
      <c r="C8300" s="4" t="str">
        <f>HYPERLINK("http://www.uniprot.org/uniprot/M5XJT9","M5XJT9")</f>
        <v>M5XJT9</v>
      </c>
      <c r="D8300" s="2" t="s">
        <v>6377</v>
      </c>
      <c r="E8300" s="3">
        <v>0</v>
      </c>
      <c r="F8300" s="2">
        <v>3474</v>
      </c>
      <c r="G8300" s="2">
        <v>100</v>
      </c>
      <c r="H8300" s="2">
        <v>664</v>
      </c>
      <c r="I8300" s="2">
        <v>279</v>
      </c>
      <c r="J8300" s="2">
        <v>2270</v>
      </c>
      <c r="K8300" s="2">
        <v>1</v>
      </c>
      <c r="L8300" s="2">
        <v>664</v>
      </c>
    </row>
    <row r="8301" spans="1:12" x14ac:dyDescent="0.25">
      <c r="A8301" s="4" t="str">
        <f>HYPERLINK("http://www.rosaceae.org/Prunus/Prunus_persica/p.persica_gdr_reftransV1_0033814","p.persica_gdr_reftransV1_0033814")</f>
        <v>p.persica_gdr_reftransV1_0033814</v>
      </c>
      <c r="B8301" s="2">
        <v>3824</v>
      </c>
      <c r="C8301" s="4" t="str">
        <f>HYPERLINK("http://www.uniprot.org/uniprot/M5WRW8","M5WRW8")</f>
        <v>M5WRW8</v>
      </c>
      <c r="D8301" s="2" t="s">
        <v>7302</v>
      </c>
      <c r="E8301" s="3">
        <v>0</v>
      </c>
      <c r="F8301" s="2">
        <v>4885</v>
      </c>
      <c r="G8301" s="2">
        <v>100</v>
      </c>
      <c r="H8301" s="2">
        <v>961</v>
      </c>
      <c r="I8301" s="2">
        <v>480</v>
      </c>
      <c r="J8301" s="2">
        <v>3362</v>
      </c>
      <c r="K8301" s="2">
        <v>1</v>
      </c>
      <c r="L8301" s="2">
        <v>961</v>
      </c>
    </row>
    <row r="8302" spans="1:12" x14ac:dyDescent="0.25">
      <c r="A8302" s="4" t="str">
        <f>HYPERLINK("http://www.rosaceae.org/Prunus/Prunus_persica/p.persica_gdr_reftransV1_0034514","p.persica_gdr_reftransV1_0034514")</f>
        <v>p.persica_gdr_reftransV1_0034514</v>
      </c>
      <c r="B8302" s="2">
        <v>1854</v>
      </c>
      <c r="C8302" s="4" t="str">
        <f>HYPERLINK("http://www.uniprot.org/uniprot/M5X9P9","M5X9P9")</f>
        <v>M5X9P9</v>
      </c>
      <c r="D8302" s="2" t="s">
        <v>326</v>
      </c>
      <c r="E8302" s="3">
        <v>0</v>
      </c>
      <c r="F8302" s="2">
        <v>2387</v>
      </c>
      <c r="G8302" s="2">
        <v>100</v>
      </c>
      <c r="H8302" s="2">
        <v>445</v>
      </c>
      <c r="I8302" s="2">
        <v>3</v>
      </c>
      <c r="J8302" s="2">
        <v>1337</v>
      </c>
      <c r="K8302" s="2">
        <v>82</v>
      </c>
      <c r="L8302" s="2">
        <v>526</v>
      </c>
    </row>
    <row r="8303" spans="1:12" x14ac:dyDescent="0.25">
      <c r="A8303" s="4" t="str">
        <f>HYPERLINK("http://www.rosaceae.org/Prunus/Prunus_persica/p.persica_gdr_reftransV1_0036964","p.persica_gdr_reftransV1_0036964")</f>
        <v>p.persica_gdr_reftransV1_0036964</v>
      </c>
      <c r="B8303" s="2">
        <v>557</v>
      </c>
      <c r="C8303" s="4" t="str">
        <f>HYPERLINK("http://www.uniprot.org/uniprot/M5WIQ7","M5WIQ7")</f>
        <v>M5WIQ7</v>
      </c>
      <c r="D8303" s="2" t="s">
        <v>5510</v>
      </c>
      <c r="E8303" s="3">
        <v>5.2599999999999997E-71</v>
      </c>
      <c r="F8303" s="2">
        <v>621</v>
      </c>
      <c r="G8303" s="2">
        <v>99</v>
      </c>
      <c r="H8303" s="2">
        <v>170</v>
      </c>
      <c r="I8303" s="2">
        <v>46</v>
      </c>
      <c r="J8303" s="2">
        <v>555</v>
      </c>
      <c r="K8303" s="2">
        <v>428</v>
      </c>
      <c r="L8303" s="2">
        <v>597</v>
      </c>
    </row>
    <row r="8304" spans="1:12" x14ac:dyDescent="0.25">
      <c r="A8304" s="4" t="str">
        <f>HYPERLINK("http://www.rosaceae.org/Prunus/Prunus_persica/p.persica_gdr_reftransV1_0037314","p.persica_gdr_reftransV1_0037314")</f>
        <v>p.persica_gdr_reftransV1_0037314</v>
      </c>
      <c r="B8304" s="2">
        <v>1508</v>
      </c>
      <c r="C8304" s="4" t="str">
        <f>HYPERLINK("http://www.uniprot.org/uniprot/M5WJU5","M5WJU5")</f>
        <v>M5WJU5</v>
      </c>
      <c r="D8304" s="2" t="s">
        <v>7303</v>
      </c>
      <c r="E8304" s="3">
        <v>4.5700000000000001E-137</v>
      </c>
      <c r="F8304" s="2">
        <v>1044</v>
      </c>
      <c r="G8304" s="2">
        <v>100</v>
      </c>
      <c r="H8304" s="2">
        <v>216</v>
      </c>
      <c r="I8304" s="2">
        <v>90</v>
      </c>
      <c r="J8304" s="2">
        <v>737</v>
      </c>
      <c r="K8304" s="2">
        <v>1</v>
      </c>
      <c r="L8304" s="2">
        <v>216</v>
      </c>
    </row>
    <row r="8305" spans="1:12" x14ac:dyDescent="0.25">
      <c r="A8305" s="4" t="str">
        <f>HYPERLINK("http://www.rosaceae.org/Prunus/Prunus_persica/p.persica_gdr_reftransV1_0038014","p.persica_gdr_reftransV1_0038014")</f>
        <v>p.persica_gdr_reftransV1_0038014</v>
      </c>
      <c r="B8305" s="2">
        <v>2896</v>
      </c>
      <c r="C8305" s="4" t="str">
        <f>HYPERLINK("http://www.uniprot.org/uniprot/M5WZD9","M5WZD9")</f>
        <v>M5WZD9</v>
      </c>
      <c r="D8305" s="2" t="s">
        <v>7304</v>
      </c>
      <c r="E8305" s="3">
        <v>0</v>
      </c>
      <c r="F8305" s="2">
        <v>1735</v>
      </c>
      <c r="G8305" s="2">
        <v>100</v>
      </c>
      <c r="H8305" s="2">
        <v>339</v>
      </c>
      <c r="I8305" s="2">
        <v>159</v>
      </c>
      <c r="J8305" s="2">
        <v>1175</v>
      </c>
      <c r="K8305" s="2">
        <v>1</v>
      </c>
      <c r="L8305" s="2">
        <v>339</v>
      </c>
    </row>
    <row r="8306" spans="1:12" x14ac:dyDescent="0.25">
      <c r="A8306" s="4" t="str">
        <f>HYPERLINK("http://www.rosaceae.org/Prunus/Prunus_persica/p.persica_gdr_reftransV1_0039064","p.persica_gdr_reftransV1_0039064")</f>
        <v>p.persica_gdr_reftransV1_0039064</v>
      </c>
      <c r="B8306" s="2">
        <v>1472</v>
      </c>
      <c r="C8306" s="4" t="str">
        <f>HYPERLINK("http://www.uniprot.org/uniprot/M5X9B6","M5X9B6")</f>
        <v>M5X9B6</v>
      </c>
      <c r="D8306" s="2" t="s">
        <v>7305</v>
      </c>
      <c r="E8306" s="3">
        <v>0</v>
      </c>
      <c r="F8306" s="2">
        <v>1753</v>
      </c>
      <c r="G8306" s="2">
        <v>100</v>
      </c>
      <c r="H8306" s="2">
        <v>349</v>
      </c>
      <c r="I8306" s="2">
        <v>312</v>
      </c>
      <c r="J8306" s="2">
        <v>1358</v>
      </c>
      <c r="K8306" s="2">
        <v>1</v>
      </c>
      <c r="L8306" s="2">
        <v>349</v>
      </c>
    </row>
    <row r="8307" spans="1:12" x14ac:dyDescent="0.25">
      <c r="A8307" s="4" t="str">
        <f>HYPERLINK("http://www.rosaceae.org/Prunus/Prunus_persica/p.persica_gdr_reftransV1_0039414","p.persica_gdr_reftransV1_0039414")</f>
        <v>p.persica_gdr_reftransV1_0039414</v>
      </c>
      <c r="B8307" s="2">
        <v>1729</v>
      </c>
      <c r="C8307" s="4" t="str">
        <f>HYPERLINK("http://www.uniprot.org/uniprot/M5WSK9","M5WSK9")</f>
        <v>M5WSK9</v>
      </c>
      <c r="D8307" s="2" t="s">
        <v>7306</v>
      </c>
      <c r="E8307" s="3">
        <v>3.1100000000000001E-105</v>
      </c>
      <c r="F8307" s="2">
        <v>703</v>
      </c>
      <c r="G8307" s="2">
        <v>100</v>
      </c>
      <c r="H8307" s="2">
        <v>229</v>
      </c>
      <c r="I8307" s="2">
        <v>269</v>
      </c>
      <c r="J8307" s="2">
        <v>955</v>
      </c>
      <c r="K8307" s="2">
        <v>120</v>
      </c>
      <c r="L8307" s="2">
        <v>348</v>
      </c>
    </row>
    <row r="8308" spans="1:12" x14ac:dyDescent="0.25">
      <c r="A8308" s="4" t="str">
        <f>HYPERLINK("http://www.rosaceae.org/Prunus/Prunus_persica/p.persica_gdr_reftransV1_0041864","p.persica_gdr_reftransV1_0041864")</f>
        <v>p.persica_gdr_reftransV1_0041864</v>
      </c>
      <c r="B8308" s="2">
        <v>651</v>
      </c>
      <c r="C8308" s="4" t="str">
        <f>HYPERLINK("http://www.uniprot.org/uniprot/M5Y2F0","M5Y2F0")</f>
        <v>M5Y2F0</v>
      </c>
      <c r="D8308" s="2" t="s">
        <v>7307</v>
      </c>
      <c r="E8308" s="3">
        <v>1.3199999999999999E-119</v>
      </c>
      <c r="F8308" s="2">
        <v>919</v>
      </c>
      <c r="G8308" s="2">
        <v>100</v>
      </c>
      <c r="H8308" s="2">
        <v>186</v>
      </c>
      <c r="I8308" s="2">
        <v>2</v>
      </c>
      <c r="J8308" s="2">
        <v>559</v>
      </c>
      <c r="K8308" s="2">
        <v>240</v>
      </c>
      <c r="L8308" s="2">
        <v>425</v>
      </c>
    </row>
    <row r="8309" spans="1:12" x14ac:dyDescent="0.25">
      <c r="A8309" s="4" t="str">
        <f>HYPERLINK("http://www.rosaceae.org/Prunus/Prunus_persica/p.persica_gdr_reftransV1_0042914","p.persica_gdr_reftransV1_0042914")</f>
        <v>p.persica_gdr_reftransV1_0042914</v>
      </c>
      <c r="B8309" s="2">
        <v>2392</v>
      </c>
      <c r="C8309" s="4" t="str">
        <f>HYPERLINK("http://www.uniprot.org/uniprot/M5WB00","M5WB00")</f>
        <v>M5WB00</v>
      </c>
      <c r="D8309" s="2" t="s">
        <v>7308</v>
      </c>
      <c r="E8309" s="3">
        <v>6.0900000000000003E-36</v>
      </c>
      <c r="F8309" s="2">
        <v>361</v>
      </c>
      <c r="G8309" s="2">
        <v>99</v>
      </c>
      <c r="H8309" s="2">
        <v>72</v>
      </c>
      <c r="I8309" s="2">
        <v>533</v>
      </c>
      <c r="J8309" s="2">
        <v>748</v>
      </c>
      <c r="K8309" s="2">
        <v>78</v>
      </c>
      <c r="L8309" s="2">
        <v>149</v>
      </c>
    </row>
    <row r="8310" spans="1:12" x14ac:dyDescent="0.25">
      <c r="A8310" s="4" t="str">
        <f>HYPERLINK("http://www.rosaceae.org/Prunus/Prunus_persica/p.persica_gdr_reftransV1_0043264","p.persica_gdr_reftransV1_0043264")</f>
        <v>p.persica_gdr_reftransV1_0043264</v>
      </c>
      <c r="B8310" s="2">
        <v>1677</v>
      </c>
      <c r="C8310" s="4" t="str">
        <f>HYPERLINK("http://www.uniprot.org/uniprot/M5WUJ8","M5WUJ8")</f>
        <v>M5WUJ8</v>
      </c>
      <c r="D8310" s="2" t="s">
        <v>7309</v>
      </c>
      <c r="E8310" s="3">
        <v>0</v>
      </c>
      <c r="F8310" s="2">
        <v>1901</v>
      </c>
      <c r="G8310" s="2">
        <v>89</v>
      </c>
      <c r="H8310" s="2">
        <v>434</v>
      </c>
      <c r="I8310" s="2">
        <v>511</v>
      </c>
      <c r="J8310" s="2">
        <v>1677</v>
      </c>
      <c r="K8310" s="2">
        <v>4</v>
      </c>
      <c r="L8310" s="2">
        <v>437</v>
      </c>
    </row>
    <row r="8311" spans="1:12" x14ac:dyDescent="0.25">
      <c r="A8311" s="4" t="str">
        <f>HYPERLINK("http://www.rosaceae.org/Prunus/Prunus_persica/p.persica_gdr_reftransV1_0043614","p.persica_gdr_reftransV1_0043614")</f>
        <v>p.persica_gdr_reftransV1_0043614</v>
      </c>
      <c r="B8311" s="2">
        <v>744</v>
      </c>
      <c r="C8311" s="4" t="str">
        <f>HYPERLINK("http://www.uniprot.org/uniprot/M5XSI0","M5XSI0")</f>
        <v>M5XSI0</v>
      </c>
      <c r="D8311" s="2" t="s">
        <v>7310</v>
      </c>
      <c r="E8311" s="3">
        <v>9.7099999999999996E-154</v>
      </c>
      <c r="F8311" s="2">
        <v>1151</v>
      </c>
      <c r="G8311" s="2">
        <v>100</v>
      </c>
      <c r="H8311" s="2">
        <v>247</v>
      </c>
      <c r="I8311" s="2">
        <v>3</v>
      </c>
      <c r="J8311" s="2">
        <v>743</v>
      </c>
      <c r="K8311" s="2">
        <v>144</v>
      </c>
      <c r="L8311" s="2">
        <v>390</v>
      </c>
    </row>
    <row r="8312" spans="1:12" x14ac:dyDescent="0.25">
      <c r="A8312" s="4" t="str">
        <f>HYPERLINK("http://www.rosaceae.org/Prunus/Prunus_persica/p.persica_gdr_reftransV1_0044314","p.persica_gdr_reftransV1_0044314")</f>
        <v>p.persica_gdr_reftransV1_0044314</v>
      </c>
      <c r="B8312" s="2">
        <v>301</v>
      </c>
      <c r="C8312" s="4" t="str">
        <f>HYPERLINK("http://www.uniprot.org/uniprot/T2M9W4","T2M9W4")</f>
        <v>T2M9W4</v>
      </c>
      <c r="D8312" s="2" t="s">
        <v>7311</v>
      </c>
      <c r="E8312" s="3">
        <v>5.8800000000000002E-7</v>
      </c>
      <c r="F8312" s="2">
        <v>128</v>
      </c>
      <c r="G8312" s="2">
        <v>34</v>
      </c>
      <c r="H8312" s="2">
        <v>94</v>
      </c>
      <c r="I8312" s="2">
        <v>16</v>
      </c>
      <c r="J8312" s="2">
        <v>297</v>
      </c>
      <c r="K8312" s="2">
        <v>82</v>
      </c>
      <c r="L8312" s="2">
        <v>169</v>
      </c>
    </row>
    <row r="8313" spans="1:12" x14ac:dyDescent="0.25">
      <c r="A8313" s="4" t="str">
        <f>HYPERLINK("http://www.rosaceae.org/Prunus/Prunus_persica/p.persica_gdr_reftransV1_0044664","p.persica_gdr_reftransV1_0044664")</f>
        <v>p.persica_gdr_reftransV1_0044664</v>
      </c>
      <c r="B8313" s="2">
        <v>913</v>
      </c>
      <c r="C8313" s="4" t="str">
        <f>HYPERLINK("http://www.uniprot.org/uniprot/M5X8U9","M5X8U9")</f>
        <v>M5X8U9</v>
      </c>
      <c r="D8313" s="2" t="s">
        <v>4832</v>
      </c>
      <c r="E8313" s="3">
        <v>2.6800000000000001E-113</v>
      </c>
      <c r="F8313" s="2">
        <v>877</v>
      </c>
      <c r="G8313" s="2">
        <v>100</v>
      </c>
      <c r="H8313" s="2">
        <v>166</v>
      </c>
      <c r="I8313" s="2">
        <v>301</v>
      </c>
      <c r="J8313" s="2">
        <v>798</v>
      </c>
      <c r="K8313" s="2">
        <v>153</v>
      </c>
      <c r="L8313" s="2">
        <v>318</v>
      </c>
    </row>
    <row r="8314" spans="1:12" x14ac:dyDescent="0.25">
      <c r="A8314" s="4" t="str">
        <f>HYPERLINK("http://www.rosaceae.org/Prunus/Prunus_persica/p.persica_gdr_reftransV1_0045014","p.persica_gdr_reftransV1_0045014")</f>
        <v>p.persica_gdr_reftransV1_0045014</v>
      </c>
      <c r="B8314" s="2">
        <v>360</v>
      </c>
      <c r="C8314" s="4" t="str">
        <f>HYPERLINK("http://www.uniprot.org/uniprot/N1R1Z9","N1R1Z9")</f>
        <v>N1R1Z9</v>
      </c>
      <c r="D8314" s="2" t="s">
        <v>7312</v>
      </c>
      <c r="E8314" s="3">
        <v>8.8899999999999998E-7</v>
      </c>
      <c r="F8314" s="2">
        <v>135</v>
      </c>
      <c r="G8314" s="2">
        <v>40</v>
      </c>
      <c r="H8314" s="2">
        <v>89</v>
      </c>
      <c r="I8314" s="2">
        <v>34</v>
      </c>
      <c r="J8314" s="2">
        <v>297</v>
      </c>
      <c r="K8314" s="2">
        <v>606</v>
      </c>
      <c r="L8314" s="2">
        <v>694</v>
      </c>
    </row>
    <row r="8315" spans="1:12" x14ac:dyDescent="0.25">
      <c r="A8315" s="4" t="str">
        <f>HYPERLINK("http://www.rosaceae.org/Prunus/Prunus_persica/p.persica_gdr_reftransV1_0045714","p.persica_gdr_reftransV1_0045714")</f>
        <v>p.persica_gdr_reftransV1_0045714</v>
      </c>
      <c r="B8315" s="2">
        <v>925</v>
      </c>
      <c r="C8315" s="4" t="str">
        <f>HYPERLINK("http://www.uniprot.org/uniprot/M5WR91","M5WR91")</f>
        <v>M5WR91</v>
      </c>
      <c r="D8315" s="2" t="s">
        <v>3551</v>
      </c>
      <c r="E8315" s="3">
        <v>2.3000000000000002E-92</v>
      </c>
      <c r="F8315" s="2">
        <v>767</v>
      </c>
      <c r="G8315" s="2">
        <v>100</v>
      </c>
      <c r="H8315" s="2">
        <v>160</v>
      </c>
      <c r="I8315" s="2">
        <v>446</v>
      </c>
      <c r="J8315" s="2">
        <v>925</v>
      </c>
      <c r="K8315" s="2">
        <v>515</v>
      </c>
      <c r="L8315" s="2">
        <v>674</v>
      </c>
    </row>
    <row r="8316" spans="1:12" x14ac:dyDescent="0.25">
      <c r="A8316" s="4" t="str">
        <f>HYPERLINK("http://www.rosaceae.org/Prunus/Prunus_persica/p.persica_gdr_reftransV1_0046064","p.persica_gdr_reftransV1_0046064")</f>
        <v>p.persica_gdr_reftransV1_0046064</v>
      </c>
      <c r="B8316" s="2">
        <v>537</v>
      </c>
      <c r="C8316" s="4" t="str">
        <f>HYPERLINK("http://www.uniprot.org/uniprot/M5Y6J8","M5Y6J8")</f>
        <v>M5Y6J8</v>
      </c>
      <c r="D8316" s="2" t="s">
        <v>7054</v>
      </c>
      <c r="E8316" s="3">
        <v>9.0900000000000002E-96</v>
      </c>
      <c r="F8316" s="2">
        <v>764</v>
      </c>
      <c r="G8316" s="2">
        <v>84</v>
      </c>
      <c r="H8316" s="2">
        <v>179</v>
      </c>
      <c r="I8316" s="2">
        <v>1</v>
      </c>
      <c r="J8316" s="2">
        <v>537</v>
      </c>
      <c r="K8316" s="2">
        <v>127</v>
      </c>
      <c r="L8316" s="2">
        <v>286</v>
      </c>
    </row>
    <row r="8317" spans="1:12" x14ac:dyDescent="0.25">
      <c r="A8317" s="4" t="str">
        <f>HYPERLINK("http://www.rosaceae.org/Prunus/Prunus_persica/p.persica_gdr_reftransV1_0046414","p.persica_gdr_reftransV1_0046414")</f>
        <v>p.persica_gdr_reftransV1_0046414</v>
      </c>
      <c r="B8317" s="2">
        <v>1255</v>
      </c>
      <c r="C8317" s="4" t="str">
        <f>HYPERLINK("http://www.uniprot.org/uniprot/M5X212","M5X212")</f>
        <v>M5X212</v>
      </c>
      <c r="D8317" s="2" t="s">
        <v>1654</v>
      </c>
      <c r="E8317" s="3">
        <v>6.3399999999999998E-140</v>
      </c>
      <c r="F8317" s="2">
        <v>1062</v>
      </c>
      <c r="G8317" s="2">
        <v>100</v>
      </c>
      <c r="H8317" s="2">
        <v>247</v>
      </c>
      <c r="I8317" s="2">
        <v>190</v>
      </c>
      <c r="J8317" s="2">
        <v>930</v>
      </c>
      <c r="K8317" s="2">
        <v>45</v>
      </c>
      <c r="L8317" s="2">
        <v>291</v>
      </c>
    </row>
    <row r="8318" spans="1:12" x14ac:dyDescent="0.25">
      <c r="A8318" s="4" t="str">
        <f>HYPERLINK("http://www.rosaceae.org/Prunus/Prunus_persica/p.persica_gdr_reftransV1_0047114","p.persica_gdr_reftransV1_0047114")</f>
        <v>p.persica_gdr_reftransV1_0047114</v>
      </c>
      <c r="B8318" s="2">
        <v>317</v>
      </c>
      <c r="C8318" s="4" t="str">
        <f>HYPERLINK("http://www.uniprot.org/uniprot/M5X649","M5X649")</f>
        <v>M5X649</v>
      </c>
      <c r="D8318" s="2" t="s">
        <v>3256</v>
      </c>
      <c r="E8318" s="3">
        <v>2.72E-50</v>
      </c>
      <c r="F8318" s="2">
        <v>433</v>
      </c>
      <c r="G8318" s="2">
        <v>98</v>
      </c>
      <c r="H8318" s="2">
        <v>97</v>
      </c>
      <c r="I8318" s="2">
        <v>15</v>
      </c>
      <c r="J8318" s="2">
        <v>305</v>
      </c>
      <c r="K8318" s="2">
        <v>175</v>
      </c>
      <c r="L8318" s="2">
        <v>271</v>
      </c>
    </row>
    <row r="8319" spans="1:12" x14ac:dyDescent="0.25">
      <c r="A8319" s="4" t="str">
        <f>HYPERLINK("http://www.rosaceae.org/Prunus/Prunus_persica/p.persica_gdr_reftransV1_0047464","p.persica_gdr_reftransV1_0047464")</f>
        <v>p.persica_gdr_reftransV1_0047464</v>
      </c>
      <c r="B8319" s="2">
        <v>524</v>
      </c>
      <c r="C8319" s="4" t="str">
        <f>HYPERLINK("http://www.uniprot.org/uniprot/M5XHP1","M5XHP1")</f>
        <v>M5XHP1</v>
      </c>
      <c r="D8319" s="2" t="s">
        <v>6177</v>
      </c>
      <c r="E8319" s="3">
        <v>4.3699999999999998E-56</v>
      </c>
      <c r="F8319" s="2">
        <v>486</v>
      </c>
      <c r="G8319" s="2">
        <v>79</v>
      </c>
      <c r="H8319" s="2">
        <v>140</v>
      </c>
      <c r="I8319" s="2">
        <v>47</v>
      </c>
      <c r="J8319" s="2">
        <v>466</v>
      </c>
      <c r="K8319" s="2">
        <v>183</v>
      </c>
      <c r="L8319" s="2">
        <v>322</v>
      </c>
    </row>
    <row r="8320" spans="1:12" x14ac:dyDescent="0.25">
      <c r="A8320" s="4" t="str">
        <f>HYPERLINK("http://www.rosaceae.org/Prunus/Prunus_persica/p.persica_gdr_reftransV1_0047814","p.persica_gdr_reftransV1_0047814")</f>
        <v>p.persica_gdr_reftransV1_0047814</v>
      </c>
      <c r="B8320" s="2">
        <v>492</v>
      </c>
      <c r="C8320" s="4" t="str">
        <f>HYPERLINK("http://www.uniprot.org/uniprot/M5VNZ4","M5VNZ4")</f>
        <v>M5VNZ4</v>
      </c>
      <c r="D8320" s="2" t="s">
        <v>7313</v>
      </c>
      <c r="E8320" s="3">
        <v>3.4E-103</v>
      </c>
      <c r="F8320" s="2">
        <v>849</v>
      </c>
      <c r="G8320" s="2">
        <v>100</v>
      </c>
      <c r="H8320" s="2">
        <v>164</v>
      </c>
      <c r="I8320" s="2">
        <v>1</v>
      </c>
      <c r="J8320" s="2">
        <v>492</v>
      </c>
      <c r="K8320" s="2">
        <v>656</v>
      </c>
      <c r="L8320" s="2">
        <v>819</v>
      </c>
    </row>
    <row r="8321" spans="1:12" x14ac:dyDescent="0.25">
      <c r="A8321" s="4" t="str">
        <f>HYPERLINK("http://www.rosaceae.org/Prunus/Prunus_persica/p.persica_gdr_reftransV1_0048164","p.persica_gdr_reftransV1_0048164")</f>
        <v>p.persica_gdr_reftransV1_0048164</v>
      </c>
      <c r="B8321" s="2">
        <v>786</v>
      </c>
      <c r="C8321" s="4" t="str">
        <f>HYPERLINK("http://www.uniprot.org/uniprot/M5WB75","M5WB75")</f>
        <v>M5WB75</v>
      </c>
      <c r="D8321" s="2" t="s">
        <v>2934</v>
      </c>
      <c r="E8321" s="3">
        <v>2.8300000000000002E-57</v>
      </c>
      <c r="F8321" s="2">
        <v>480</v>
      </c>
      <c r="G8321" s="2">
        <v>100</v>
      </c>
      <c r="H8321" s="2">
        <v>90</v>
      </c>
      <c r="I8321" s="2">
        <v>138</v>
      </c>
      <c r="J8321" s="2">
        <v>407</v>
      </c>
      <c r="K8321" s="2">
        <v>1</v>
      </c>
      <c r="L8321" s="2">
        <v>90</v>
      </c>
    </row>
    <row r="8322" spans="1:12" x14ac:dyDescent="0.25">
      <c r="A8322" s="4" t="str">
        <f>HYPERLINK("http://www.rosaceae.org/Prunus/Prunus_persica/p.persica_gdr_reftransV1_0048514","p.persica_gdr_reftransV1_0048514")</f>
        <v>p.persica_gdr_reftransV1_0048514</v>
      </c>
      <c r="B8322" s="2">
        <v>822</v>
      </c>
      <c r="C8322" s="4" t="str">
        <f>HYPERLINK("http://www.uniprot.org/uniprot/M5WPZ3","M5WPZ3")</f>
        <v>M5WPZ3</v>
      </c>
      <c r="D8322" s="2" t="s">
        <v>5604</v>
      </c>
      <c r="E8322" s="3">
        <v>2.72E-102</v>
      </c>
      <c r="F8322" s="2">
        <v>833</v>
      </c>
      <c r="G8322" s="2">
        <v>100</v>
      </c>
      <c r="H8322" s="2">
        <v>170</v>
      </c>
      <c r="I8322" s="2">
        <v>111</v>
      </c>
      <c r="J8322" s="2">
        <v>620</v>
      </c>
      <c r="K8322" s="2">
        <v>554</v>
      </c>
      <c r="L8322" s="2">
        <v>723</v>
      </c>
    </row>
    <row r="8323" spans="1:12" x14ac:dyDescent="0.25">
      <c r="A8323" s="4" t="str">
        <f>HYPERLINK("http://www.rosaceae.org/Prunus/Prunus_persica/p.persica_gdr_reftransV1_0048864","p.persica_gdr_reftransV1_0048864")</f>
        <v>p.persica_gdr_reftransV1_0048864</v>
      </c>
      <c r="B8323" s="2">
        <v>3336</v>
      </c>
      <c r="C8323" s="4" t="str">
        <f>HYPERLINK("http://www.uniprot.org/uniprot/M5WD60","M5WD60")</f>
        <v>M5WD60</v>
      </c>
      <c r="D8323" s="2" t="s">
        <v>7314</v>
      </c>
      <c r="E8323" s="3">
        <v>0</v>
      </c>
      <c r="F8323" s="2">
        <v>4488</v>
      </c>
      <c r="G8323" s="2">
        <v>100</v>
      </c>
      <c r="H8323" s="2">
        <v>875</v>
      </c>
      <c r="I8323" s="2">
        <v>470</v>
      </c>
      <c r="J8323" s="2">
        <v>3094</v>
      </c>
      <c r="K8323" s="2">
        <v>1</v>
      </c>
      <c r="L8323" s="2">
        <v>875</v>
      </c>
    </row>
    <row r="8324" spans="1:12" x14ac:dyDescent="0.25">
      <c r="A8324" s="4" t="str">
        <f>HYPERLINK("http://www.rosaceae.org/Prunus/Prunus_persica/p.persica_gdr_reftransV1_0000215","p.persica_gdr_reftransV1_0000215")</f>
        <v>p.persica_gdr_reftransV1_0000215</v>
      </c>
      <c r="B8324" s="2">
        <v>2359</v>
      </c>
      <c r="C8324" s="4" t="str">
        <f>HYPERLINK("http://www.uniprot.org/uniprot/M5XDR8","M5XDR8")</f>
        <v>M5XDR8</v>
      </c>
      <c r="D8324" s="2" t="s">
        <v>7315</v>
      </c>
      <c r="E8324" s="3">
        <v>0</v>
      </c>
      <c r="F8324" s="2">
        <v>2010</v>
      </c>
      <c r="G8324" s="2">
        <v>100</v>
      </c>
      <c r="H8324" s="2">
        <v>412</v>
      </c>
      <c r="I8324" s="2">
        <v>656</v>
      </c>
      <c r="J8324" s="2">
        <v>1891</v>
      </c>
      <c r="K8324" s="2">
        <v>72</v>
      </c>
      <c r="L8324" s="2">
        <v>483</v>
      </c>
    </row>
    <row r="8325" spans="1:12" x14ac:dyDescent="0.25">
      <c r="A8325" s="4" t="str">
        <f>HYPERLINK("http://www.rosaceae.org/Prunus/Prunus_persica/p.persica_gdr_reftransV1_0000565","p.persica_gdr_reftransV1_0000565")</f>
        <v>p.persica_gdr_reftransV1_0000565</v>
      </c>
      <c r="B8325" s="2">
        <v>2081</v>
      </c>
      <c r="C8325" s="4" t="str">
        <f>HYPERLINK("http://www.uniprot.org/uniprot/M5XJW2","M5XJW2")</f>
        <v>M5XJW2</v>
      </c>
      <c r="D8325" s="2" t="s">
        <v>7316</v>
      </c>
      <c r="E8325" s="3">
        <v>0</v>
      </c>
      <c r="F8325" s="2">
        <v>1817</v>
      </c>
      <c r="G8325" s="2">
        <v>97</v>
      </c>
      <c r="H8325" s="2">
        <v>392</v>
      </c>
      <c r="I8325" s="2">
        <v>684</v>
      </c>
      <c r="J8325" s="2">
        <v>1859</v>
      </c>
      <c r="K8325" s="2">
        <v>2</v>
      </c>
      <c r="L8325" s="2">
        <v>383</v>
      </c>
    </row>
    <row r="8326" spans="1:12" x14ac:dyDescent="0.25">
      <c r="A8326" s="4" t="str">
        <f>HYPERLINK("http://www.rosaceae.org/Prunus/Prunus_persica/p.persica_gdr_reftransV1_0000915","p.persica_gdr_reftransV1_0000915")</f>
        <v>p.persica_gdr_reftransV1_0000915</v>
      </c>
      <c r="B8326" s="2">
        <v>3395</v>
      </c>
      <c r="C8326" s="4" t="str">
        <f>HYPERLINK("http://www.uniprot.org/uniprot/M5X5Z9","M5X5Z9")</f>
        <v>M5X5Z9</v>
      </c>
      <c r="D8326" s="2" t="s">
        <v>7317</v>
      </c>
      <c r="E8326" s="3">
        <v>0</v>
      </c>
      <c r="F8326" s="2">
        <v>5016</v>
      </c>
      <c r="G8326" s="2">
        <v>100</v>
      </c>
      <c r="H8326" s="2">
        <v>929</v>
      </c>
      <c r="I8326" s="2">
        <v>311</v>
      </c>
      <c r="J8326" s="2">
        <v>3097</v>
      </c>
      <c r="K8326" s="2">
        <v>1</v>
      </c>
      <c r="L8326" s="2">
        <v>929</v>
      </c>
    </row>
    <row r="8327" spans="1:12" x14ac:dyDescent="0.25">
      <c r="A8327" s="4" t="str">
        <f>HYPERLINK("http://www.rosaceae.org/Prunus/Prunus_persica/p.persica_gdr_reftransV1_0001265","p.persica_gdr_reftransV1_0001265")</f>
        <v>p.persica_gdr_reftransV1_0001265</v>
      </c>
      <c r="B8327" s="2">
        <v>542</v>
      </c>
      <c r="C8327" s="4" t="str">
        <f>HYPERLINK("http://www.uniprot.org/uniprot/M5Y153","M5Y153")</f>
        <v>M5Y153</v>
      </c>
      <c r="D8327" s="2" t="s">
        <v>7318</v>
      </c>
      <c r="E8327" s="3">
        <v>4.67E-102</v>
      </c>
      <c r="F8327" s="2">
        <v>824</v>
      </c>
      <c r="G8327" s="2">
        <v>100</v>
      </c>
      <c r="H8327" s="2">
        <v>180</v>
      </c>
      <c r="I8327" s="2">
        <v>2</v>
      </c>
      <c r="J8327" s="2">
        <v>541</v>
      </c>
      <c r="K8327" s="2">
        <v>341</v>
      </c>
      <c r="L8327" s="2">
        <v>520</v>
      </c>
    </row>
    <row r="8328" spans="1:12" x14ac:dyDescent="0.25">
      <c r="A8328" s="4" t="str">
        <f>HYPERLINK("http://www.rosaceae.org/Prunus/Prunus_persica/p.persica_gdr_reftransV1_0001615","p.persica_gdr_reftransV1_0001615")</f>
        <v>p.persica_gdr_reftransV1_0001615</v>
      </c>
      <c r="B8328" s="2">
        <v>825</v>
      </c>
      <c r="C8328" s="4" t="str">
        <f>HYPERLINK("http://www.uniprot.org/uniprot/M5WDZ3","M5WDZ3")</f>
        <v>M5WDZ3</v>
      </c>
      <c r="D8328" s="2" t="s">
        <v>4218</v>
      </c>
      <c r="E8328" s="3">
        <v>2.9900000000000002E-138</v>
      </c>
      <c r="F8328" s="2">
        <v>1046</v>
      </c>
      <c r="G8328" s="2">
        <v>100</v>
      </c>
      <c r="H8328" s="2">
        <v>240</v>
      </c>
      <c r="I8328" s="2">
        <v>3</v>
      </c>
      <c r="J8328" s="2">
        <v>722</v>
      </c>
      <c r="K8328" s="2">
        <v>1</v>
      </c>
      <c r="L8328" s="2">
        <v>240</v>
      </c>
    </row>
    <row r="8329" spans="1:12" x14ac:dyDescent="0.25">
      <c r="A8329" s="4" t="str">
        <f>HYPERLINK("http://www.rosaceae.org/Prunus/Prunus_persica/p.persica_gdr_reftransV1_0001965","p.persica_gdr_reftransV1_0001965")</f>
        <v>p.persica_gdr_reftransV1_0001965</v>
      </c>
      <c r="B8329" s="2">
        <v>516</v>
      </c>
      <c r="C8329" s="4" t="str">
        <f>HYPERLINK("http://www.uniprot.org/uniprot/M5XJC8","M5XJC8")</f>
        <v>M5XJC8</v>
      </c>
      <c r="D8329" s="2" t="s">
        <v>2651</v>
      </c>
      <c r="E8329" s="3">
        <v>1.27E-101</v>
      </c>
      <c r="F8329" s="2">
        <v>834</v>
      </c>
      <c r="G8329" s="2">
        <v>100</v>
      </c>
      <c r="H8329" s="2">
        <v>172</v>
      </c>
      <c r="I8329" s="2">
        <v>1</v>
      </c>
      <c r="J8329" s="2">
        <v>516</v>
      </c>
      <c r="K8329" s="2">
        <v>10</v>
      </c>
      <c r="L8329" s="2">
        <v>181</v>
      </c>
    </row>
    <row r="8330" spans="1:12" x14ac:dyDescent="0.25">
      <c r="A8330" s="4" t="str">
        <f>HYPERLINK("http://www.rosaceae.org/Prunus/Prunus_persica/p.persica_gdr_reftransV1_0002315","p.persica_gdr_reftransV1_0002315")</f>
        <v>p.persica_gdr_reftransV1_0002315</v>
      </c>
      <c r="B8330" s="2">
        <v>2369</v>
      </c>
      <c r="C8330" s="4" t="str">
        <f>HYPERLINK("http://www.uniprot.org/uniprot/M5XXK5","M5XXK5")</f>
        <v>M5XXK5</v>
      </c>
      <c r="D8330" s="2" t="s">
        <v>7319</v>
      </c>
      <c r="E8330" s="3">
        <v>0</v>
      </c>
      <c r="F8330" s="2">
        <v>3620</v>
      </c>
      <c r="G8330" s="2">
        <v>100</v>
      </c>
      <c r="H8330" s="2">
        <v>738</v>
      </c>
      <c r="I8330" s="2">
        <v>155</v>
      </c>
      <c r="J8330" s="2">
        <v>2368</v>
      </c>
      <c r="K8330" s="2">
        <v>68</v>
      </c>
      <c r="L8330" s="2">
        <v>805</v>
      </c>
    </row>
    <row r="8331" spans="1:12" x14ac:dyDescent="0.25">
      <c r="A8331" s="4" t="str">
        <f>HYPERLINK("http://www.rosaceae.org/Prunus/Prunus_persica/p.persica_gdr_reftransV1_0002665","p.persica_gdr_reftransV1_0002665")</f>
        <v>p.persica_gdr_reftransV1_0002665</v>
      </c>
      <c r="B8331" s="2">
        <v>994</v>
      </c>
      <c r="C8331" s="4" t="str">
        <f>HYPERLINK("http://www.uniprot.org/uniprot/M5X8K4","M5X8K4")</f>
        <v>M5X8K4</v>
      </c>
      <c r="D8331" s="2" t="s">
        <v>6690</v>
      </c>
      <c r="E8331" s="3">
        <v>8.0699999999999999E-142</v>
      </c>
      <c r="F8331" s="2">
        <v>1089</v>
      </c>
      <c r="G8331" s="2">
        <v>100</v>
      </c>
      <c r="H8331" s="2">
        <v>221</v>
      </c>
      <c r="I8331" s="2">
        <v>59</v>
      </c>
      <c r="J8331" s="2">
        <v>721</v>
      </c>
      <c r="K8331" s="2">
        <v>305</v>
      </c>
      <c r="L8331" s="2">
        <v>525</v>
      </c>
    </row>
    <row r="8332" spans="1:12" x14ac:dyDescent="0.25">
      <c r="A8332" s="4" t="str">
        <f>HYPERLINK("http://www.rosaceae.org/Prunus/Prunus_persica/p.persica_gdr_reftransV1_0003015","p.persica_gdr_reftransV1_0003015")</f>
        <v>p.persica_gdr_reftransV1_0003015</v>
      </c>
      <c r="B8332" s="2">
        <v>1094</v>
      </c>
      <c r="C8332" s="4" t="str">
        <f>HYPERLINK("http://www.uniprot.org/uniprot/M5WHY1","M5WHY1")</f>
        <v>M5WHY1</v>
      </c>
      <c r="D8332" s="2" t="s">
        <v>7320</v>
      </c>
      <c r="E8332" s="3">
        <v>9.2999999999999997E-75</v>
      </c>
      <c r="F8332" s="2">
        <v>614</v>
      </c>
      <c r="G8332" s="2">
        <v>100</v>
      </c>
      <c r="H8332" s="2">
        <v>182</v>
      </c>
      <c r="I8332" s="2">
        <v>206</v>
      </c>
      <c r="J8332" s="2">
        <v>751</v>
      </c>
      <c r="K8332" s="2">
        <v>1</v>
      </c>
      <c r="L8332" s="2">
        <v>182</v>
      </c>
    </row>
    <row r="8333" spans="1:12" x14ac:dyDescent="0.25">
      <c r="A8333" s="4" t="str">
        <f>HYPERLINK("http://www.rosaceae.org/Prunus/Prunus_persica/p.persica_gdr_reftransV1_0004065","p.persica_gdr_reftransV1_0004065")</f>
        <v>p.persica_gdr_reftransV1_0004065</v>
      </c>
      <c r="B8333" s="2">
        <v>1456</v>
      </c>
      <c r="C8333" s="4" t="str">
        <f>HYPERLINK("http://www.uniprot.org/uniprot/M5WU55","M5WU55")</f>
        <v>M5WU55</v>
      </c>
      <c r="D8333" s="2" t="s">
        <v>7321</v>
      </c>
      <c r="E8333" s="3">
        <v>2.9E-128</v>
      </c>
      <c r="F8333" s="2">
        <v>994</v>
      </c>
      <c r="G8333" s="2">
        <v>95</v>
      </c>
      <c r="H8333" s="2">
        <v>199</v>
      </c>
      <c r="I8333" s="2">
        <v>816</v>
      </c>
      <c r="J8333" s="2">
        <v>1400</v>
      </c>
      <c r="K8333" s="2">
        <v>21</v>
      </c>
      <c r="L8333" s="2">
        <v>219</v>
      </c>
    </row>
    <row r="8334" spans="1:12" x14ac:dyDescent="0.25">
      <c r="A8334" s="4" t="str">
        <f>HYPERLINK("http://www.rosaceae.org/Prunus/Prunus_persica/p.persica_gdr_reftransV1_0004415","p.persica_gdr_reftransV1_0004415")</f>
        <v>p.persica_gdr_reftransV1_0004415</v>
      </c>
      <c r="B8334" s="2">
        <v>868</v>
      </c>
      <c r="C8334" s="4" t="str">
        <f>HYPERLINK("http://www.uniprot.org/uniprot/M5XS22","M5XS22")</f>
        <v>M5XS22</v>
      </c>
      <c r="D8334" s="2" t="s">
        <v>3002</v>
      </c>
      <c r="E8334" s="3">
        <v>2.1400000000000002E-84</v>
      </c>
      <c r="F8334" s="2">
        <v>703</v>
      </c>
      <c r="G8334" s="2">
        <v>100</v>
      </c>
      <c r="H8334" s="2">
        <v>127</v>
      </c>
      <c r="I8334" s="2">
        <v>488</v>
      </c>
      <c r="J8334" s="2">
        <v>868</v>
      </c>
      <c r="K8334" s="2">
        <v>435</v>
      </c>
      <c r="L8334" s="2">
        <v>561</v>
      </c>
    </row>
    <row r="8335" spans="1:12" x14ac:dyDescent="0.25">
      <c r="A8335" s="4" t="str">
        <f>HYPERLINK("http://www.rosaceae.org/Prunus/Prunus_persica/p.persica_gdr_reftransV1_0004765","p.persica_gdr_reftransV1_0004765")</f>
        <v>p.persica_gdr_reftransV1_0004765</v>
      </c>
      <c r="B8335" s="2">
        <v>985</v>
      </c>
      <c r="C8335" s="4" t="str">
        <f>HYPERLINK("http://www.uniprot.org/uniprot/M5X0G2","M5X0G2")</f>
        <v>M5X0G2</v>
      </c>
      <c r="D8335" s="2" t="s">
        <v>7322</v>
      </c>
      <c r="E8335" s="3">
        <v>2.9799999999999998E-161</v>
      </c>
      <c r="F8335" s="2">
        <v>1188</v>
      </c>
      <c r="G8335" s="2">
        <v>100</v>
      </c>
      <c r="H8335" s="2">
        <v>241</v>
      </c>
      <c r="I8335" s="2">
        <v>41</v>
      </c>
      <c r="J8335" s="2">
        <v>763</v>
      </c>
      <c r="K8335" s="2">
        <v>1</v>
      </c>
      <c r="L8335" s="2">
        <v>241</v>
      </c>
    </row>
    <row r="8336" spans="1:12" x14ac:dyDescent="0.25">
      <c r="A8336" s="4" t="str">
        <f>HYPERLINK("http://www.rosaceae.org/Prunus/Prunus_persica/p.persica_gdr_reftransV1_0005115","p.persica_gdr_reftransV1_0005115")</f>
        <v>p.persica_gdr_reftransV1_0005115</v>
      </c>
      <c r="B8336" s="2">
        <v>846</v>
      </c>
      <c r="C8336" s="4" t="str">
        <f>HYPERLINK("http://www.uniprot.org/uniprot/M5XVS9","M5XVS9")</f>
        <v>M5XVS9</v>
      </c>
      <c r="D8336" s="2" t="s">
        <v>7323</v>
      </c>
      <c r="E8336" s="3">
        <v>4.5099999999999998E-81</v>
      </c>
      <c r="F8336" s="2">
        <v>671</v>
      </c>
      <c r="G8336" s="2">
        <v>99</v>
      </c>
      <c r="H8336" s="2">
        <v>126</v>
      </c>
      <c r="I8336" s="2">
        <v>153</v>
      </c>
      <c r="J8336" s="2">
        <v>530</v>
      </c>
      <c r="K8336" s="2">
        <v>386</v>
      </c>
      <c r="L8336" s="2">
        <v>511</v>
      </c>
    </row>
    <row r="8337" spans="1:12" x14ac:dyDescent="0.25">
      <c r="A8337" s="4" t="str">
        <f>HYPERLINK("http://www.rosaceae.org/Prunus/Prunus_persica/p.persica_gdr_reftransV1_0006165","p.persica_gdr_reftransV1_0006165")</f>
        <v>p.persica_gdr_reftransV1_0006165</v>
      </c>
      <c r="B8337" s="2">
        <v>580</v>
      </c>
      <c r="C8337" s="4" t="str">
        <f>HYPERLINK("http://www.uniprot.org/uniprot/G7IFS4","G7IFS4")</f>
        <v>G7IFS4</v>
      </c>
      <c r="D8337" s="2" t="s">
        <v>7324</v>
      </c>
      <c r="E8337" s="3">
        <v>5.4500000000000001E-64</v>
      </c>
      <c r="F8337" s="2">
        <v>549</v>
      </c>
      <c r="G8337" s="2">
        <v>73</v>
      </c>
      <c r="H8337" s="2">
        <v>172</v>
      </c>
      <c r="I8337" s="2">
        <v>2</v>
      </c>
      <c r="J8337" s="2">
        <v>511</v>
      </c>
      <c r="K8337" s="2">
        <v>4</v>
      </c>
      <c r="L8337" s="2">
        <v>172</v>
      </c>
    </row>
    <row r="8338" spans="1:12" x14ac:dyDescent="0.25">
      <c r="A8338" s="4" t="str">
        <f>HYPERLINK("http://www.rosaceae.org/Prunus/Prunus_persica/p.persica_gdr_reftransV1_0006515","p.persica_gdr_reftransV1_0006515")</f>
        <v>p.persica_gdr_reftransV1_0006515</v>
      </c>
      <c r="B8338" s="2">
        <v>583</v>
      </c>
      <c r="C8338" s="4" t="str">
        <f>HYPERLINK("http://www.uniprot.org/uniprot/A0A061E4G2","A0A061E4G2")</f>
        <v>A0A061E4G2</v>
      </c>
      <c r="D8338" s="2" t="s">
        <v>7325</v>
      </c>
      <c r="E8338" s="3">
        <v>1.07E-54</v>
      </c>
      <c r="F8338" s="2">
        <v>481</v>
      </c>
      <c r="G8338" s="2">
        <v>72</v>
      </c>
      <c r="H8338" s="2">
        <v>134</v>
      </c>
      <c r="I8338" s="2">
        <v>38</v>
      </c>
      <c r="J8338" s="2">
        <v>427</v>
      </c>
      <c r="K8338" s="2">
        <v>1</v>
      </c>
      <c r="L8338" s="2">
        <v>133</v>
      </c>
    </row>
    <row r="8339" spans="1:12" x14ac:dyDescent="0.25">
      <c r="A8339" s="4" t="str">
        <f>HYPERLINK("http://www.rosaceae.org/Prunus/Prunus_persica/p.persica_gdr_reftransV1_0006865","p.persica_gdr_reftransV1_0006865")</f>
        <v>p.persica_gdr_reftransV1_0006865</v>
      </c>
      <c r="B8339" s="2">
        <v>413</v>
      </c>
      <c r="C8339" s="4" t="str">
        <f>HYPERLINK("http://www.uniprot.org/uniprot/M5WXQ0","M5WXQ0")</f>
        <v>M5WXQ0</v>
      </c>
      <c r="D8339" s="2" t="s">
        <v>7326</v>
      </c>
      <c r="E8339" s="3">
        <v>2.2000000000000001E-46</v>
      </c>
      <c r="F8339" s="2">
        <v>433</v>
      </c>
      <c r="G8339" s="2">
        <v>100</v>
      </c>
      <c r="H8339" s="2">
        <v>80</v>
      </c>
      <c r="I8339" s="2">
        <v>96</v>
      </c>
      <c r="J8339" s="2">
        <v>335</v>
      </c>
      <c r="K8339" s="2">
        <v>1</v>
      </c>
      <c r="L8339" s="2">
        <v>80</v>
      </c>
    </row>
    <row r="8340" spans="1:12" x14ac:dyDescent="0.25">
      <c r="A8340" s="4" t="str">
        <f>HYPERLINK("http://www.rosaceae.org/Prunus/Prunus_persica/p.persica_gdr_reftransV1_0007215","p.persica_gdr_reftransV1_0007215")</f>
        <v>p.persica_gdr_reftransV1_0007215</v>
      </c>
      <c r="B8340" s="2">
        <v>1533</v>
      </c>
      <c r="C8340" s="4" t="str">
        <f>HYPERLINK("http://www.uniprot.org/uniprot/M5WLX7","M5WLX7")</f>
        <v>M5WLX7</v>
      </c>
      <c r="D8340" s="2" t="s">
        <v>4334</v>
      </c>
      <c r="E8340" s="3">
        <v>0</v>
      </c>
      <c r="F8340" s="2">
        <v>2619</v>
      </c>
      <c r="G8340" s="2">
        <v>100</v>
      </c>
      <c r="H8340" s="2">
        <v>510</v>
      </c>
      <c r="I8340" s="2">
        <v>3</v>
      </c>
      <c r="J8340" s="2">
        <v>1532</v>
      </c>
      <c r="K8340" s="2">
        <v>581</v>
      </c>
      <c r="L8340" s="2">
        <v>1090</v>
      </c>
    </row>
    <row r="8341" spans="1:12" x14ac:dyDescent="0.25">
      <c r="A8341" s="4" t="str">
        <f>HYPERLINK("http://www.rosaceae.org/Prunus/Prunus_persica/p.persica_gdr_reftransV1_0007915","p.persica_gdr_reftransV1_0007915")</f>
        <v>p.persica_gdr_reftransV1_0007915</v>
      </c>
      <c r="B8341" s="2">
        <v>451</v>
      </c>
      <c r="C8341" s="4" t="str">
        <f>HYPERLINK("http://www.uniprot.org/uniprot/M5WZF9","M5WZF9")</f>
        <v>M5WZF9</v>
      </c>
      <c r="D8341" s="2" t="s">
        <v>7327</v>
      </c>
      <c r="E8341" s="3">
        <v>3.8299999999999999E-73</v>
      </c>
      <c r="F8341" s="2">
        <v>575</v>
      </c>
      <c r="G8341" s="2">
        <v>100</v>
      </c>
      <c r="H8341" s="2">
        <v>108</v>
      </c>
      <c r="I8341" s="2">
        <v>123</v>
      </c>
      <c r="J8341" s="2">
        <v>446</v>
      </c>
      <c r="K8341" s="2">
        <v>1</v>
      </c>
      <c r="L8341" s="2">
        <v>108</v>
      </c>
    </row>
    <row r="8342" spans="1:12" x14ac:dyDescent="0.25">
      <c r="A8342" s="4" t="str">
        <f>HYPERLINK("http://www.rosaceae.org/Prunus/Prunus_persica/p.persica_gdr_reftransV1_0008265","p.persica_gdr_reftransV1_0008265")</f>
        <v>p.persica_gdr_reftransV1_0008265</v>
      </c>
      <c r="B8342" s="2">
        <v>2045</v>
      </c>
      <c r="C8342" s="4" t="str">
        <f>HYPERLINK("http://www.uniprot.org/uniprot/M5W9Q8","M5W9Q8")</f>
        <v>M5W9Q8</v>
      </c>
      <c r="D8342" s="2" t="s">
        <v>6620</v>
      </c>
      <c r="E8342" s="3">
        <v>8.51E-167</v>
      </c>
      <c r="F8342" s="2">
        <v>1271</v>
      </c>
      <c r="G8342" s="2">
        <v>100</v>
      </c>
      <c r="H8342" s="2">
        <v>261</v>
      </c>
      <c r="I8342" s="2">
        <v>569</v>
      </c>
      <c r="J8342" s="2">
        <v>1351</v>
      </c>
      <c r="K8342" s="2">
        <v>86</v>
      </c>
      <c r="L8342" s="2">
        <v>346</v>
      </c>
    </row>
    <row r="8343" spans="1:12" x14ac:dyDescent="0.25">
      <c r="A8343" s="4" t="str">
        <f>HYPERLINK("http://www.rosaceae.org/Prunus/Prunus_persica/p.persica_gdr_reftransV1_0009315","p.persica_gdr_reftransV1_0009315")</f>
        <v>p.persica_gdr_reftransV1_0009315</v>
      </c>
      <c r="B8343" s="2">
        <v>1061</v>
      </c>
      <c r="C8343" s="4" t="str">
        <f>HYPERLINK("http://www.uniprot.org/uniprot/M5X3R6","M5X3R6")</f>
        <v>M5X3R6</v>
      </c>
      <c r="D8343" s="2" t="s">
        <v>7328</v>
      </c>
      <c r="E8343" s="3">
        <v>8.6499999999999996E-39</v>
      </c>
      <c r="F8343" s="2">
        <v>367</v>
      </c>
      <c r="G8343" s="2">
        <v>100</v>
      </c>
      <c r="H8343" s="2">
        <v>71</v>
      </c>
      <c r="I8343" s="2">
        <v>3</v>
      </c>
      <c r="J8343" s="2">
        <v>215</v>
      </c>
      <c r="K8343" s="2">
        <v>56</v>
      </c>
      <c r="L8343" s="2">
        <v>126</v>
      </c>
    </row>
    <row r="8344" spans="1:12" x14ac:dyDescent="0.25">
      <c r="A8344" s="4" t="str">
        <f>HYPERLINK("http://www.rosaceae.org/Prunus/Prunus_persica/p.persica_gdr_reftransV1_0010365","p.persica_gdr_reftransV1_0010365")</f>
        <v>p.persica_gdr_reftransV1_0010365</v>
      </c>
      <c r="B8344" s="2">
        <v>403</v>
      </c>
      <c r="C8344" s="4" t="str">
        <f>HYPERLINK("http://www.uniprot.org/uniprot/M5XCR4","M5XCR4")</f>
        <v>M5XCR4</v>
      </c>
      <c r="D8344" s="2" t="s">
        <v>7329</v>
      </c>
      <c r="E8344" s="3">
        <v>1.7799999999999999E-60</v>
      </c>
      <c r="F8344" s="2">
        <v>525</v>
      </c>
      <c r="G8344" s="2">
        <v>90</v>
      </c>
      <c r="H8344" s="2">
        <v>128</v>
      </c>
      <c r="I8344" s="2">
        <v>3</v>
      </c>
      <c r="J8344" s="2">
        <v>386</v>
      </c>
      <c r="K8344" s="2">
        <v>7</v>
      </c>
      <c r="L8344" s="2">
        <v>134</v>
      </c>
    </row>
    <row r="8345" spans="1:12" x14ac:dyDescent="0.25">
      <c r="A8345" s="4" t="str">
        <f>HYPERLINK("http://www.rosaceae.org/Prunus/Prunus_persica/p.persica_gdr_reftransV1_0010715","p.persica_gdr_reftransV1_0010715")</f>
        <v>p.persica_gdr_reftransV1_0010715</v>
      </c>
      <c r="B8345" s="2">
        <v>1481</v>
      </c>
      <c r="C8345" s="4" t="str">
        <f>HYPERLINK("http://www.uniprot.org/uniprot/M5XQE4","M5XQE4")</f>
        <v>M5XQE4</v>
      </c>
      <c r="D8345" s="2" t="s">
        <v>7330</v>
      </c>
      <c r="E8345" s="3">
        <v>0</v>
      </c>
      <c r="F8345" s="2">
        <v>1557</v>
      </c>
      <c r="G8345" s="2">
        <v>100</v>
      </c>
      <c r="H8345" s="2">
        <v>310</v>
      </c>
      <c r="I8345" s="2">
        <v>376</v>
      </c>
      <c r="J8345" s="2">
        <v>1305</v>
      </c>
      <c r="K8345" s="2">
        <v>1</v>
      </c>
      <c r="L8345" s="2">
        <v>310</v>
      </c>
    </row>
    <row r="8346" spans="1:12" x14ac:dyDescent="0.25">
      <c r="A8346" s="4" t="str">
        <f>HYPERLINK("http://www.rosaceae.org/Prunus/Prunus_persica/p.persica_gdr_reftransV1_0011065","p.persica_gdr_reftransV1_0011065")</f>
        <v>p.persica_gdr_reftransV1_0011065</v>
      </c>
      <c r="B8346" s="2">
        <v>1033</v>
      </c>
      <c r="C8346" s="4" t="str">
        <f>HYPERLINK("http://www.uniprot.org/uniprot/M5WS18","M5WS18")</f>
        <v>M5WS18</v>
      </c>
      <c r="D8346" s="2" t="s">
        <v>7331</v>
      </c>
      <c r="E8346" s="3">
        <v>1.04E-156</v>
      </c>
      <c r="F8346" s="2">
        <v>1158</v>
      </c>
      <c r="G8346" s="2">
        <v>100</v>
      </c>
      <c r="H8346" s="2">
        <v>219</v>
      </c>
      <c r="I8346" s="2">
        <v>101</v>
      </c>
      <c r="J8346" s="2">
        <v>757</v>
      </c>
      <c r="K8346" s="2">
        <v>1</v>
      </c>
      <c r="L8346" s="2">
        <v>219</v>
      </c>
    </row>
    <row r="8347" spans="1:12" x14ac:dyDescent="0.25">
      <c r="A8347" s="4" t="str">
        <f>HYPERLINK("http://www.rosaceae.org/Prunus/Prunus_persica/p.persica_gdr_reftransV1_0011415","p.persica_gdr_reftransV1_0011415")</f>
        <v>p.persica_gdr_reftransV1_0011415</v>
      </c>
      <c r="B8347" s="2">
        <v>880</v>
      </c>
      <c r="C8347" s="4" t="str">
        <f>HYPERLINK("http://www.uniprot.org/uniprot/M5WX57","M5WX57")</f>
        <v>M5WX57</v>
      </c>
      <c r="D8347" s="2" t="s">
        <v>7332</v>
      </c>
      <c r="E8347" s="3">
        <v>5.2399999999999997E-67</v>
      </c>
      <c r="F8347" s="2">
        <v>550</v>
      </c>
      <c r="G8347" s="2">
        <v>99</v>
      </c>
      <c r="H8347" s="2">
        <v>105</v>
      </c>
      <c r="I8347" s="2">
        <v>143</v>
      </c>
      <c r="J8347" s="2">
        <v>457</v>
      </c>
      <c r="K8347" s="2">
        <v>16</v>
      </c>
      <c r="L8347" s="2">
        <v>120</v>
      </c>
    </row>
    <row r="8348" spans="1:12" x14ac:dyDescent="0.25">
      <c r="A8348" s="4" t="str">
        <f>HYPERLINK("http://www.rosaceae.org/Prunus/Prunus_persica/p.persica_gdr_reftransV1_0011765","p.persica_gdr_reftransV1_0011765")</f>
        <v>p.persica_gdr_reftransV1_0011765</v>
      </c>
      <c r="B8348" s="2">
        <v>3090</v>
      </c>
      <c r="C8348" s="4" t="str">
        <f>HYPERLINK("http://www.uniprot.org/uniprot/M5VLU9","M5VLU9")</f>
        <v>M5VLU9</v>
      </c>
      <c r="D8348" s="2" t="s">
        <v>2566</v>
      </c>
      <c r="E8348" s="3">
        <v>0</v>
      </c>
      <c r="F8348" s="2">
        <v>5357</v>
      </c>
      <c r="G8348" s="2">
        <v>100</v>
      </c>
      <c r="H8348" s="2">
        <v>1029</v>
      </c>
      <c r="I8348" s="2">
        <v>2</v>
      </c>
      <c r="J8348" s="2">
        <v>3088</v>
      </c>
      <c r="K8348" s="2">
        <v>591</v>
      </c>
      <c r="L8348" s="2">
        <v>1619</v>
      </c>
    </row>
    <row r="8349" spans="1:12" x14ac:dyDescent="0.25">
      <c r="A8349" s="4" t="str">
        <f>HYPERLINK("http://www.rosaceae.org/Prunus/Prunus_persica/p.persica_gdr_reftransV1_0012115","p.persica_gdr_reftransV1_0012115")</f>
        <v>p.persica_gdr_reftransV1_0012115</v>
      </c>
      <c r="B8349" s="2">
        <v>2937</v>
      </c>
      <c r="C8349" s="4" t="str">
        <f>HYPERLINK("http://www.uniprot.org/uniprot/M5WQT9","M5WQT9")</f>
        <v>M5WQT9</v>
      </c>
      <c r="D8349" s="2" t="s">
        <v>7333</v>
      </c>
      <c r="E8349" s="3">
        <v>0</v>
      </c>
      <c r="F8349" s="2">
        <v>3205</v>
      </c>
      <c r="G8349" s="2">
        <v>100</v>
      </c>
      <c r="H8349" s="2">
        <v>724</v>
      </c>
      <c r="I8349" s="2">
        <v>462</v>
      </c>
      <c r="J8349" s="2">
        <v>2633</v>
      </c>
      <c r="K8349" s="2">
        <v>1</v>
      </c>
      <c r="L8349" s="2">
        <v>724</v>
      </c>
    </row>
    <row r="8350" spans="1:12" x14ac:dyDescent="0.25">
      <c r="A8350" s="4" t="str">
        <f>HYPERLINK("http://www.rosaceae.org/Prunus/Prunus_persica/p.persica_gdr_reftransV1_0013165","p.persica_gdr_reftransV1_0013165")</f>
        <v>p.persica_gdr_reftransV1_0013165</v>
      </c>
      <c r="B8350" s="2">
        <v>2615</v>
      </c>
      <c r="C8350" s="4" t="str">
        <f>HYPERLINK("http://www.uniprot.org/uniprot/M5X0F0","M5X0F0")</f>
        <v>M5X0F0</v>
      </c>
      <c r="D8350" s="2" t="s">
        <v>7334</v>
      </c>
      <c r="E8350" s="3">
        <v>0</v>
      </c>
      <c r="F8350" s="2">
        <v>2100</v>
      </c>
      <c r="G8350" s="2">
        <v>100</v>
      </c>
      <c r="H8350" s="2">
        <v>396</v>
      </c>
      <c r="I8350" s="2">
        <v>416</v>
      </c>
      <c r="J8350" s="2">
        <v>1603</v>
      </c>
      <c r="K8350" s="2">
        <v>14</v>
      </c>
      <c r="L8350" s="2">
        <v>409</v>
      </c>
    </row>
    <row r="8351" spans="1:12" x14ac:dyDescent="0.25">
      <c r="A8351" s="4" t="str">
        <f>HYPERLINK("http://www.rosaceae.org/Prunus/Prunus_persica/p.persica_gdr_reftransV1_0013865","p.persica_gdr_reftransV1_0013865")</f>
        <v>p.persica_gdr_reftransV1_0013865</v>
      </c>
      <c r="B8351" s="2">
        <v>3014</v>
      </c>
      <c r="C8351" s="4" t="str">
        <f>HYPERLINK("http://www.uniprot.org/uniprot/M5WL65","M5WL65")</f>
        <v>M5WL65</v>
      </c>
      <c r="D8351" s="2" t="s">
        <v>5124</v>
      </c>
      <c r="E8351" s="3">
        <v>0</v>
      </c>
      <c r="F8351" s="2">
        <v>3159</v>
      </c>
      <c r="G8351" s="2">
        <v>100</v>
      </c>
      <c r="H8351" s="2">
        <v>675</v>
      </c>
      <c r="I8351" s="2">
        <v>872</v>
      </c>
      <c r="J8351" s="2">
        <v>2896</v>
      </c>
      <c r="K8351" s="2">
        <v>1</v>
      </c>
      <c r="L8351" s="2">
        <v>675</v>
      </c>
    </row>
    <row r="8352" spans="1:12" x14ac:dyDescent="0.25">
      <c r="A8352" s="4" t="str">
        <f>HYPERLINK("http://www.rosaceae.org/Prunus/Prunus_persica/p.persica_gdr_reftransV1_0014215","p.persica_gdr_reftransV1_0014215")</f>
        <v>p.persica_gdr_reftransV1_0014215</v>
      </c>
      <c r="B8352" s="2">
        <v>1562</v>
      </c>
      <c r="C8352" s="4" t="str">
        <f>HYPERLINK("http://www.uniprot.org/uniprot/M5W779","M5W779")</f>
        <v>M5W779</v>
      </c>
      <c r="D8352" s="2" t="s">
        <v>7335</v>
      </c>
      <c r="E8352" s="3">
        <v>0</v>
      </c>
      <c r="F8352" s="2">
        <v>2058</v>
      </c>
      <c r="G8352" s="2">
        <v>100</v>
      </c>
      <c r="H8352" s="2">
        <v>385</v>
      </c>
      <c r="I8352" s="2">
        <v>317</v>
      </c>
      <c r="J8352" s="2">
        <v>1471</v>
      </c>
      <c r="K8352" s="2">
        <v>397</v>
      </c>
      <c r="L8352" s="2">
        <v>781</v>
      </c>
    </row>
    <row r="8353" spans="1:12" x14ac:dyDescent="0.25">
      <c r="A8353" s="4" t="str">
        <f>HYPERLINK("http://www.rosaceae.org/Prunus/Prunus_persica/p.persica_gdr_reftransV1_0014915","p.persica_gdr_reftransV1_0014915")</f>
        <v>p.persica_gdr_reftransV1_0014915</v>
      </c>
      <c r="B8353" s="2">
        <v>2347</v>
      </c>
      <c r="C8353" s="4" t="str">
        <f>HYPERLINK("http://www.uniprot.org/uniprot/M5X6R2","M5X6R2")</f>
        <v>M5X6R2</v>
      </c>
      <c r="D8353" s="2" t="s">
        <v>7336</v>
      </c>
      <c r="E8353" s="3">
        <v>0</v>
      </c>
      <c r="F8353" s="2">
        <v>2817</v>
      </c>
      <c r="G8353" s="2">
        <v>100</v>
      </c>
      <c r="H8353" s="2">
        <v>593</v>
      </c>
      <c r="I8353" s="2">
        <v>2</v>
      </c>
      <c r="J8353" s="2">
        <v>1780</v>
      </c>
      <c r="K8353" s="2">
        <v>26</v>
      </c>
      <c r="L8353" s="2">
        <v>618</v>
      </c>
    </row>
    <row r="8354" spans="1:12" x14ac:dyDescent="0.25">
      <c r="A8354" s="4" t="str">
        <f>HYPERLINK("http://www.rosaceae.org/Prunus/Prunus_persica/p.persica_gdr_reftransV1_0015265","p.persica_gdr_reftransV1_0015265")</f>
        <v>p.persica_gdr_reftransV1_0015265</v>
      </c>
      <c r="B8354" s="2">
        <v>1729</v>
      </c>
      <c r="C8354" s="4" t="str">
        <f>HYPERLINK("http://www.uniprot.org/uniprot/M5WUG9","M5WUG9")</f>
        <v>M5WUG9</v>
      </c>
      <c r="D8354" s="2" t="s">
        <v>7337</v>
      </c>
      <c r="E8354" s="3">
        <v>0</v>
      </c>
      <c r="F8354" s="2">
        <v>1527</v>
      </c>
      <c r="G8354" s="2">
        <v>100</v>
      </c>
      <c r="H8354" s="2">
        <v>320</v>
      </c>
      <c r="I8354" s="2">
        <v>540</v>
      </c>
      <c r="J8354" s="2">
        <v>1499</v>
      </c>
      <c r="K8354" s="2">
        <v>1</v>
      </c>
      <c r="L8354" s="2">
        <v>320</v>
      </c>
    </row>
    <row r="8355" spans="1:12" x14ac:dyDescent="0.25">
      <c r="A8355" s="4" t="str">
        <f>HYPERLINK("http://www.rosaceae.org/Prunus/Prunus_persica/p.persica_gdr_reftransV1_0015615","p.persica_gdr_reftransV1_0015615")</f>
        <v>p.persica_gdr_reftransV1_0015615</v>
      </c>
      <c r="B8355" s="2">
        <v>887</v>
      </c>
      <c r="C8355" s="4" t="str">
        <f>HYPERLINK("http://www.uniprot.org/uniprot/M5W8F8","M5W8F8")</f>
        <v>M5W8F8</v>
      </c>
      <c r="D8355" s="2" t="s">
        <v>7338</v>
      </c>
      <c r="E8355" s="3">
        <v>2.81E-58</v>
      </c>
      <c r="F8355" s="2">
        <v>491</v>
      </c>
      <c r="G8355" s="2">
        <v>100</v>
      </c>
      <c r="H8355" s="2">
        <v>107</v>
      </c>
      <c r="I8355" s="2">
        <v>340</v>
      </c>
      <c r="J8355" s="2">
        <v>660</v>
      </c>
      <c r="K8355" s="2">
        <v>1</v>
      </c>
      <c r="L8355" s="2">
        <v>107</v>
      </c>
    </row>
    <row r="8356" spans="1:12" x14ac:dyDescent="0.25">
      <c r="A8356" s="4" t="str">
        <f>HYPERLINK("http://www.rosaceae.org/Prunus/Prunus_persica/p.persica_gdr_reftransV1_0016665","p.persica_gdr_reftransV1_0016665")</f>
        <v>p.persica_gdr_reftransV1_0016665</v>
      </c>
      <c r="B8356" s="2">
        <v>1052</v>
      </c>
      <c r="C8356" s="4" t="str">
        <f>HYPERLINK("http://www.uniprot.org/uniprot/M5XYS2","M5XYS2")</f>
        <v>M5XYS2</v>
      </c>
      <c r="D8356" s="2" t="s">
        <v>3056</v>
      </c>
      <c r="E8356" s="3">
        <v>3.8199999999999997E-101</v>
      </c>
      <c r="F8356" s="2">
        <v>799</v>
      </c>
      <c r="G8356" s="2">
        <v>99</v>
      </c>
      <c r="H8356" s="2">
        <v>148</v>
      </c>
      <c r="I8356" s="2">
        <v>524</v>
      </c>
      <c r="J8356" s="2">
        <v>967</v>
      </c>
      <c r="K8356" s="2">
        <v>1</v>
      </c>
      <c r="L8356" s="2">
        <v>148</v>
      </c>
    </row>
    <row r="8357" spans="1:12" x14ac:dyDescent="0.25">
      <c r="A8357" s="4" t="str">
        <f>HYPERLINK("http://www.rosaceae.org/Prunus/Prunus_persica/p.persica_gdr_reftransV1_0017715","p.persica_gdr_reftransV1_0017715")</f>
        <v>p.persica_gdr_reftransV1_0017715</v>
      </c>
      <c r="B8357" s="2">
        <v>4735</v>
      </c>
      <c r="C8357" s="4" t="str">
        <f>HYPERLINK("http://www.uniprot.org/uniprot/M5XHM1","M5XHM1")</f>
        <v>M5XHM1</v>
      </c>
      <c r="D8357" s="2" t="s">
        <v>7339</v>
      </c>
      <c r="E8357" s="3">
        <v>0</v>
      </c>
      <c r="F8357" s="2">
        <v>3033</v>
      </c>
      <c r="G8357" s="2">
        <v>94</v>
      </c>
      <c r="H8357" s="2">
        <v>617</v>
      </c>
      <c r="I8357" s="2">
        <v>1951</v>
      </c>
      <c r="J8357" s="2">
        <v>3801</v>
      </c>
      <c r="K8357" s="2">
        <v>1</v>
      </c>
      <c r="L8357" s="2">
        <v>581</v>
      </c>
    </row>
    <row r="8358" spans="1:12" x14ac:dyDescent="0.25">
      <c r="A8358" s="4" t="str">
        <f>HYPERLINK("http://www.rosaceae.org/Prunus/Prunus_persica/p.persica_gdr_reftransV1_0019815","p.persica_gdr_reftransV1_0019815")</f>
        <v>p.persica_gdr_reftransV1_0019815</v>
      </c>
      <c r="B8358" s="2">
        <v>2118</v>
      </c>
      <c r="C8358" s="4" t="str">
        <f>HYPERLINK("http://www.uniprot.org/uniprot/M5VTV9","M5VTV9")</f>
        <v>M5VTV9</v>
      </c>
      <c r="D8358" s="2" t="s">
        <v>7340</v>
      </c>
      <c r="E8358" s="3">
        <v>0</v>
      </c>
      <c r="F8358" s="2">
        <v>2613</v>
      </c>
      <c r="G8358" s="2">
        <v>100</v>
      </c>
      <c r="H8358" s="2">
        <v>535</v>
      </c>
      <c r="I8358" s="2">
        <v>265</v>
      </c>
      <c r="J8358" s="2">
        <v>1869</v>
      </c>
      <c r="K8358" s="2">
        <v>1</v>
      </c>
      <c r="L8358" s="2">
        <v>535</v>
      </c>
    </row>
    <row r="8359" spans="1:12" x14ac:dyDescent="0.25">
      <c r="A8359" s="4" t="str">
        <f>HYPERLINK("http://www.rosaceae.org/Prunus/Prunus_persica/p.persica_gdr_reftransV1_0020515","p.persica_gdr_reftransV1_0020515")</f>
        <v>p.persica_gdr_reftransV1_0020515</v>
      </c>
      <c r="B8359" s="2">
        <v>1897</v>
      </c>
      <c r="C8359" s="4" t="str">
        <f>HYPERLINK("http://www.uniprot.org/uniprot/M5X0A0","M5X0A0")</f>
        <v>M5X0A0</v>
      </c>
      <c r="D8359" s="2" t="s">
        <v>7341</v>
      </c>
      <c r="E8359" s="3">
        <v>2.3499999999999999E-62</v>
      </c>
      <c r="F8359" s="2">
        <v>566</v>
      </c>
      <c r="G8359" s="2">
        <v>98</v>
      </c>
      <c r="H8359" s="2">
        <v>179</v>
      </c>
      <c r="I8359" s="2">
        <v>355</v>
      </c>
      <c r="J8359" s="2">
        <v>891</v>
      </c>
      <c r="K8359" s="2">
        <v>191</v>
      </c>
      <c r="L8359" s="2">
        <v>369</v>
      </c>
    </row>
    <row r="8360" spans="1:12" x14ac:dyDescent="0.25">
      <c r="A8360" s="4" t="str">
        <f>HYPERLINK("http://www.rosaceae.org/Prunus/Prunus_persica/p.persica_gdr_reftransV1_0020865","p.persica_gdr_reftransV1_0020865")</f>
        <v>p.persica_gdr_reftransV1_0020865</v>
      </c>
      <c r="B8360" s="2">
        <v>1451</v>
      </c>
      <c r="C8360" s="4" t="str">
        <f>HYPERLINK("http://www.uniprot.org/uniprot/M5X5Y2","M5X5Y2")</f>
        <v>M5X5Y2</v>
      </c>
      <c r="D8360" s="2" t="s">
        <v>7342</v>
      </c>
      <c r="E8360" s="3">
        <v>0</v>
      </c>
      <c r="F8360" s="2">
        <v>1380</v>
      </c>
      <c r="G8360" s="2">
        <v>91</v>
      </c>
      <c r="H8360" s="2">
        <v>333</v>
      </c>
      <c r="I8360" s="2">
        <v>189</v>
      </c>
      <c r="J8360" s="2">
        <v>1187</v>
      </c>
      <c r="K8360" s="2">
        <v>1</v>
      </c>
      <c r="L8360" s="2">
        <v>303</v>
      </c>
    </row>
    <row r="8361" spans="1:12" x14ac:dyDescent="0.25">
      <c r="A8361" s="4" t="str">
        <f>HYPERLINK("http://www.rosaceae.org/Prunus/Prunus_persica/p.persica_gdr_reftransV1_0023315","p.persica_gdr_reftransV1_0023315")</f>
        <v>p.persica_gdr_reftransV1_0023315</v>
      </c>
      <c r="B8361" s="2">
        <v>2604</v>
      </c>
      <c r="C8361" s="4" t="str">
        <f>HYPERLINK("http://www.uniprot.org/uniprot/M5WAM6","M5WAM6")</f>
        <v>M5WAM6</v>
      </c>
      <c r="D8361" s="2" t="s">
        <v>7343</v>
      </c>
      <c r="E8361" s="3">
        <v>2.2600000000000001E-46</v>
      </c>
      <c r="F8361" s="2">
        <v>441</v>
      </c>
      <c r="G8361" s="2">
        <v>100</v>
      </c>
      <c r="H8361" s="2">
        <v>107</v>
      </c>
      <c r="I8361" s="2">
        <v>1818</v>
      </c>
      <c r="J8361" s="2">
        <v>2138</v>
      </c>
      <c r="K8361" s="2">
        <v>1</v>
      </c>
      <c r="L8361" s="2">
        <v>107</v>
      </c>
    </row>
    <row r="8362" spans="1:12" x14ac:dyDescent="0.25">
      <c r="A8362" s="4" t="str">
        <f>HYPERLINK("http://www.rosaceae.org/Prunus/Prunus_persica/p.persica_gdr_reftransV1_0024365","p.persica_gdr_reftransV1_0024365")</f>
        <v>p.persica_gdr_reftransV1_0024365</v>
      </c>
      <c r="B8362" s="2">
        <v>2448</v>
      </c>
      <c r="C8362" s="4" t="str">
        <f>HYPERLINK("http://www.uniprot.org/uniprot/F6HQE5","F6HQE5")</f>
        <v>F6HQE5</v>
      </c>
      <c r="D8362" s="2" t="s">
        <v>7344</v>
      </c>
      <c r="E8362" s="3">
        <v>0</v>
      </c>
      <c r="F8362" s="2">
        <v>1677</v>
      </c>
      <c r="G8362" s="2">
        <v>75</v>
      </c>
      <c r="H8362" s="2">
        <v>414</v>
      </c>
      <c r="I8362" s="2">
        <v>947</v>
      </c>
      <c r="J8362" s="2">
        <v>2170</v>
      </c>
      <c r="K8362" s="2">
        <v>320</v>
      </c>
      <c r="L8362" s="2">
        <v>733</v>
      </c>
    </row>
    <row r="8363" spans="1:12" x14ac:dyDescent="0.25">
      <c r="A8363" s="4" t="str">
        <f>HYPERLINK("http://www.rosaceae.org/Prunus/Prunus_persica/p.persica_gdr_reftransV1_0025765","p.persica_gdr_reftransV1_0025765")</f>
        <v>p.persica_gdr_reftransV1_0025765</v>
      </c>
      <c r="B8363" s="2">
        <v>2321</v>
      </c>
      <c r="C8363" s="4" t="str">
        <f>HYPERLINK("http://www.uniprot.org/uniprot/M5XDR7","M5XDR7")</f>
        <v>M5XDR7</v>
      </c>
      <c r="D8363" s="2" t="s">
        <v>7345</v>
      </c>
      <c r="E8363" s="3">
        <v>0</v>
      </c>
      <c r="F8363" s="2">
        <v>2814</v>
      </c>
      <c r="G8363" s="2">
        <v>89</v>
      </c>
      <c r="H8363" s="2">
        <v>608</v>
      </c>
      <c r="I8363" s="2">
        <v>318</v>
      </c>
      <c r="J8363" s="2">
        <v>2141</v>
      </c>
      <c r="K8363" s="2">
        <v>3</v>
      </c>
      <c r="L8363" s="2">
        <v>554</v>
      </c>
    </row>
    <row r="8364" spans="1:12" x14ac:dyDescent="0.25">
      <c r="A8364" s="4" t="str">
        <f>HYPERLINK("http://www.rosaceae.org/Prunus/Prunus_persica/p.persica_gdr_reftransV1_0026815","p.persica_gdr_reftransV1_0026815")</f>
        <v>p.persica_gdr_reftransV1_0026815</v>
      </c>
      <c r="B8364" s="2">
        <v>3087</v>
      </c>
      <c r="C8364" s="4" t="str">
        <f>HYPERLINK("http://www.uniprot.org/uniprot/M5XJB4","M5XJB4")</f>
        <v>M5XJB4</v>
      </c>
      <c r="D8364" s="2" t="s">
        <v>541</v>
      </c>
      <c r="E8364" s="3">
        <v>0</v>
      </c>
      <c r="F8364" s="2">
        <v>1973</v>
      </c>
      <c r="G8364" s="2">
        <v>100</v>
      </c>
      <c r="H8364" s="2">
        <v>410</v>
      </c>
      <c r="I8364" s="2">
        <v>1004</v>
      </c>
      <c r="J8364" s="2">
        <v>2233</v>
      </c>
      <c r="K8364" s="2">
        <v>1</v>
      </c>
      <c r="L8364" s="2">
        <v>410</v>
      </c>
    </row>
    <row r="8365" spans="1:12" x14ac:dyDescent="0.25">
      <c r="A8365" s="4" t="str">
        <f>HYPERLINK("http://www.rosaceae.org/Prunus/Prunus_persica/p.persica_gdr_reftransV1_0027165","p.persica_gdr_reftransV1_0027165")</f>
        <v>p.persica_gdr_reftransV1_0027165</v>
      </c>
      <c r="B8365" s="2">
        <v>3568</v>
      </c>
      <c r="C8365" s="4" t="str">
        <f>HYPERLINK("http://www.uniprot.org/uniprot/M5VSW4","M5VSW4")</f>
        <v>M5VSW4</v>
      </c>
      <c r="D8365" s="2" t="s">
        <v>7346</v>
      </c>
      <c r="E8365" s="3">
        <v>0</v>
      </c>
      <c r="F8365" s="2">
        <v>4763</v>
      </c>
      <c r="G8365" s="2">
        <v>99</v>
      </c>
      <c r="H8365" s="2">
        <v>927</v>
      </c>
      <c r="I8365" s="2">
        <v>537</v>
      </c>
      <c r="J8365" s="2">
        <v>3317</v>
      </c>
      <c r="K8365" s="2">
        <v>1</v>
      </c>
      <c r="L8365" s="2">
        <v>927</v>
      </c>
    </row>
    <row r="8366" spans="1:12" x14ac:dyDescent="0.25">
      <c r="A8366" s="4" t="str">
        <f>HYPERLINK("http://www.rosaceae.org/Prunus/Prunus_persica/p.persica_gdr_reftransV1_0027515","p.persica_gdr_reftransV1_0027515")</f>
        <v>p.persica_gdr_reftransV1_0027515</v>
      </c>
      <c r="B8366" s="2">
        <v>1782</v>
      </c>
      <c r="C8366" s="4" t="str">
        <f>HYPERLINK("http://www.uniprot.org/uniprot/F6GV27","F6GV27")</f>
        <v>F6GV27</v>
      </c>
      <c r="D8366" s="2" t="s">
        <v>7347</v>
      </c>
      <c r="E8366" s="3">
        <v>0</v>
      </c>
      <c r="F8366" s="2">
        <v>1579</v>
      </c>
      <c r="G8366" s="2">
        <v>79</v>
      </c>
      <c r="H8366" s="2">
        <v>441</v>
      </c>
      <c r="I8366" s="2">
        <v>276</v>
      </c>
      <c r="J8366" s="2">
        <v>1574</v>
      </c>
      <c r="K8366" s="2">
        <v>1</v>
      </c>
      <c r="L8366" s="2">
        <v>437</v>
      </c>
    </row>
    <row r="8367" spans="1:12" x14ac:dyDescent="0.25">
      <c r="A8367" s="4" t="str">
        <f>HYPERLINK("http://www.rosaceae.org/Prunus/Prunus_persica/p.persica_gdr_reftransV1_0029265","p.persica_gdr_reftransV1_0029265")</f>
        <v>p.persica_gdr_reftransV1_0029265</v>
      </c>
      <c r="B8367" s="2">
        <v>1550</v>
      </c>
      <c r="C8367" s="4" t="str">
        <f>HYPERLINK("http://www.uniprot.org/uniprot/M5XS44","M5XS44")</f>
        <v>M5XS44</v>
      </c>
      <c r="D8367" s="2" t="s">
        <v>7348</v>
      </c>
      <c r="E8367" s="3">
        <v>2.9300000000000002E-166</v>
      </c>
      <c r="F8367" s="2">
        <v>1049</v>
      </c>
      <c r="G8367" s="2">
        <v>88</v>
      </c>
      <c r="H8367" s="2">
        <v>225</v>
      </c>
      <c r="I8367" s="2">
        <v>160</v>
      </c>
      <c r="J8367" s="2">
        <v>834</v>
      </c>
      <c r="K8367" s="2">
        <v>110</v>
      </c>
      <c r="L8367" s="2">
        <v>307</v>
      </c>
    </row>
    <row r="8368" spans="1:12" x14ac:dyDescent="0.25">
      <c r="A8368" s="4" t="str">
        <f>HYPERLINK("http://www.rosaceae.org/Prunus/Prunus_persica/p.persica_gdr_reftransV1_0031715","p.persica_gdr_reftransV1_0031715")</f>
        <v>p.persica_gdr_reftransV1_0031715</v>
      </c>
      <c r="B8368" s="2">
        <v>2256</v>
      </c>
      <c r="C8368" s="4" t="str">
        <f>HYPERLINK("http://www.uniprot.org/uniprot/M5WIN0","M5WIN0")</f>
        <v>M5WIN0</v>
      </c>
      <c r="D8368" s="2" t="s">
        <v>7349</v>
      </c>
      <c r="E8368" s="3">
        <v>0</v>
      </c>
      <c r="F8368" s="2">
        <v>2710</v>
      </c>
      <c r="G8368" s="2">
        <v>100</v>
      </c>
      <c r="H8368" s="2">
        <v>549</v>
      </c>
      <c r="I8368" s="2">
        <v>205</v>
      </c>
      <c r="J8368" s="2">
        <v>1851</v>
      </c>
      <c r="K8368" s="2">
        <v>1</v>
      </c>
      <c r="L8368" s="2">
        <v>549</v>
      </c>
    </row>
    <row r="8369" spans="1:12" x14ac:dyDescent="0.25">
      <c r="A8369" s="4" t="str">
        <f>HYPERLINK("http://www.rosaceae.org/Prunus/Prunus_persica/p.persica_gdr_reftransV1_0034165","p.persica_gdr_reftransV1_0034165")</f>
        <v>p.persica_gdr_reftransV1_0034165</v>
      </c>
      <c r="B8369" s="2">
        <v>1467</v>
      </c>
      <c r="C8369" s="4" t="str">
        <f>HYPERLINK("http://www.uniprot.org/uniprot/M5XYF4","M5XYF4")</f>
        <v>M5XYF4</v>
      </c>
      <c r="D8369" s="2" t="s">
        <v>7350</v>
      </c>
      <c r="E8369" s="3">
        <v>3.3800000000000001E-164</v>
      </c>
      <c r="F8369" s="2">
        <v>1244</v>
      </c>
      <c r="G8369" s="2">
        <v>96</v>
      </c>
      <c r="H8369" s="2">
        <v>241</v>
      </c>
      <c r="I8369" s="2">
        <v>743</v>
      </c>
      <c r="J8369" s="2">
        <v>1465</v>
      </c>
      <c r="K8369" s="2">
        <v>196</v>
      </c>
      <c r="L8369" s="2">
        <v>428</v>
      </c>
    </row>
    <row r="8370" spans="1:12" x14ac:dyDescent="0.25">
      <c r="A8370" s="4" t="str">
        <f>HYPERLINK("http://www.rosaceae.org/Prunus/Prunus_persica/p.persica_gdr_reftransV1_0034515","p.persica_gdr_reftransV1_0034515")</f>
        <v>p.persica_gdr_reftransV1_0034515</v>
      </c>
      <c r="B8370" s="2">
        <v>623</v>
      </c>
      <c r="C8370" s="4" t="str">
        <f>HYPERLINK("http://www.uniprot.org/uniprot/M5WPM3","M5WPM3")</f>
        <v>M5WPM3</v>
      </c>
      <c r="D8370" s="2" t="s">
        <v>7351</v>
      </c>
      <c r="E8370" s="3">
        <v>2.9700000000000002E-87</v>
      </c>
      <c r="F8370" s="2">
        <v>746</v>
      </c>
      <c r="G8370" s="2">
        <v>100</v>
      </c>
      <c r="H8370" s="2">
        <v>153</v>
      </c>
      <c r="I8370" s="2">
        <v>163</v>
      </c>
      <c r="J8370" s="2">
        <v>621</v>
      </c>
      <c r="K8370" s="2">
        <v>1426</v>
      </c>
      <c r="L8370" s="2">
        <v>1578</v>
      </c>
    </row>
    <row r="8371" spans="1:12" x14ac:dyDescent="0.25">
      <c r="A8371" s="4" t="str">
        <f>HYPERLINK("http://www.rosaceae.org/Prunus/Prunus_persica/p.persica_gdr_reftransV1_0035215","p.persica_gdr_reftransV1_0035215")</f>
        <v>p.persica_gdr_reftransV1_0035215</v>
      </c>
      <c r="B8371" s="2">
        <v>2116</v>
      </c>
      <c r="C8371" s="4" t="str">
        <f>HYPERLINK("http://www.uniprot.org/uniprot/W9RCD5","W9RCD5")</f>
        <v>W9RCD5</v>
      </c>
      <c r="D8371" s="2" t="s">
        <v>7352</v>
      </c>
      <c r="E8371" s="3">
        <v>5.5100000000000001E-150</v>
      </c>
      <c r="F8371" s="2">
        <v>1173</v>
      </c>
      <c r="G8371" s="2">
        <v>87</v>
      </c>
      <c r="H8371" s="2">
        <v>271</v>
      </c>
      <c r="I8371" s="2">
        <v>956</v>
      </c>
      <c r="J8371" s="2">
        <v>1768</v>
      </c>
      <c r="K8371" s="2">
        <v>191</v>
      </c>
      <c r="L8371" s="2">
        <v>461</v>
      </c>
    </row>
    <row r="8372" spans="1:12" x14ac:dyDescent="0.25">
      <c r="A8372" s="4" t="str">
        <f>HYPERLINK("http://www.rosaceae.org/Prunus/Prunus_persica/p.persica_gdr_reftransV1_0035565","p.persica_gdr_reftransV1_0035565")</f>
        <v>p.persica_gdr_reftransV1_0035565</v>
      </c>
      <c r="B8372" s="2">
        <v>1020</v>
      </c>
      <c r="C8372" s="4" t="str">
        <f>HYPERLINK("http://www.uniprot.org/uniprot/M5WFF2","M5WFF2")</f>
        <v>M5WFF2</v>
      </c>
      <c r="D8372" s="2" t="s">
        <v>7353</v>
      </c>
      <c r="E8372" s="3">
        <v>3.6900000000000001E-132</v>
      </c>
      <c r="F8372" s="2">
        <v>1002</v>
      </c>
      <c r="G8372" s="2">
        <v>100</v>
      </c>
      <c r="H8372" s="2">
        <v>210</v>
      </c>
      <c r="I8372" s="2">
        <v>2</v>
      </c>
      <c r="J8372" s="2">
        <v>631</v>
      </c>
      <c r="K8372" s="2">
        <v>77</v>
      </c>
      <c r="L8372" s="2">
        <v>286</v>
      </c>
    </row>
    <row r="8373" spans="1:12" x14ac:dyDescent="0.25">
      <c r="A8373" s="4" t="str">
        <f>HYPERLINK("http://www.rosaceae.org/Prunus/Prunus_persica/p.persica_gdr_reftransV1_0036965","p.persica_gdr_reftransV1_0036965")</f>
        <v>p.persica_gdr_reftransV1_0036965</v>
      </c>
      <c r="B8373" s="2">
        <v>806</v>
      </c>
      <c r="C8373" s="4" t="str">
        <f>HYPERLINK("http://www.uniprot.org/uniprot/M5WBX5","M5WBX5")</f>
        <v>M5WBX5</v>
      </c>
      <c r="D8373" s="2" t="s">
        <v>7354</v>
      </c>
      <c r="E8373" s="3">
        <v>3.0800000000000001E-103</v>
      </c>
      <c r="F8373" s="2">
        <v>796</v>
      </c>
      <c r="G8373" s="2">
        <v>100</v>
      </c>
      <c r="H8373" s="2">
        <v>183</v>
      </c>
      <c r="I8373" s="2">
        <v>159</v>
      </c>
      <c r="J8373" s="2">
        <v>707</v>
      </c>
      <c r="K8373" s="2">
        <v>17</v>
      </c>
      <c r="L8373" s="2">
        <v>199</v>
      </c>
    </row>
    <row r="8374" spans="1:12" x14ac:dyDescent="0.25">
      <c r="A8374" s="4" t="str">
        <f>HYPERLINK("http://www.rosaceae.org/Prunus/Prunus_persica/p.persica_gdr_reftransV1_0037665","p.persica_gdr_reftransV1_0037665")</f>
        <v>p.persica_gdr_reftransV1_0037665</v>
      </c>
      <c r="B8374" s="2">
        <v>2113</v>
      </c>
      <c r="C8374" s="4" t="str">
        <f>HYPERLINK("http://www.uniprot.org/uniprot/M5WSA8","M5WSA8")</f>
        <v>M5WSA8</v>
      </c>
      <c r="D8374" s="2" t="s">
        <v>7355</v>
      </c>
      <c r="E8374" s="3">
        <v>0</v>
      </c>
      <c r="F8374" s="2">
        <v>1788</v>
      </c>
      <c r="G8374" s="2">
        <v>96</v>
      </c>
      <c r="H8374" s="2">
        <v>375</v>
      </c>
      <c r="I8374" s="2">
        <v>635</v>
      </c>
      <c r="J8374" s="2">
        <v>1759</v>
      </c>
      <c r="K8374" s="2">
        <v>81</v>
      </c>
      <c r="L8374" s="2">
        <v>455</v>
      </c>
    </row>
    <row r="8375" spans="1:12" x14ac:dyDescent="0.25">
      <c r="A8375" s="4" t="str">
        <f>HYPERLINK("http://www.rosaceae.org/Prunus/Prunus_persica/p.persica_gdr_reftransV1_0038365","p.persica_gdr_reftransV1_0038365")</f>
        <v>p.persica_gdr_reftransV1_0038365</v>
      </c>
      <c r="B8375" s="2">
        <v>2399</v>
      </c>
      <c r="C8375" s="4" t="str">
        <f>HYPERLINK("http://www.uniprot.org/uniprot/M5W8N0","M5W8N0")</f>
        <v>M5W8N0</v>
      </c>
      <c r="D8375" s="2" t="s">
        <v>7356</v>
      </c>
      <c r="E8375" s="3">
        <v>0</v>
      </c>
      <c r="F8375" s="2">
        <v>2769</v>
      </c>
      <c r="G8375" s="2">
        <v>98</v>
      </c>
      <c r="H8375" s="2">
        <v>590</v>
      </c>
      <c r="I8375" s="2">
        <v>629</v>
      </c>
      <c r="J8375" s="2">
        <v>2398</v>
      </c>
      <c r="K8375" s="2">
        <v>516</v>
      </c>
      <c r="L8375" s="2">
        <v>1096</v>
      </c>
    </row>
    <row r="8376" spans="1:12" x14ac:dyDescent="0.25">
      <c r="A8376" s="4" t="str">
        <f>HYPERLINK("http://www.rosaceae.org/Prunus/Prunus_persica/p.persica_gdr_reftransV1_0038715","p.persica_gdr_reftransV1_0038715")</f>
        <v>p.persica_gdr_reftransV1_0038715</v>
      </c>
      <c r="B8376" s="2">
        <v>3392</v>
      </c>
      <c r="C8376" s="4" t="str">
        <f>HYPERLINK("http://www.uniprot.org/uniprot/M5XWF1","M5XWF1")</f>
        <v>M5XWF1</v>
      </c>
      <c r="D8376" s="2" t="s">
        <v>7357</v>
      </c>
      <c r="E8376" s="3">
        <v>0</v>
      </c>
      <c r="F8376" s="2">
        <v>2101</v>
      </c>
      <c r="G8376" s="2">
        <v>98</v>
      </c>
      <c r="H8376" s="2">
        <v>450</v>
      </c>
      <c r="I8376" s="2">
        <v>1856</v>
      </c>
      <c r="J8376" s="2">
        <v>3205</v>
      </c>
      <c r="K8376" s="2">
        <v>1</v>
      </c>
      <c r="L8376" s="2">
        <v>449</v>
      </c>
    </row>
    <row r="8377" spans="1:12" x14ac:dyDescent="0.25">
      <c r="A8377" s="4" t="str">
        <f>HYPERLINK("http://www.rosaceae.org/Prunus/Prunus_persica/p.persica_gdr_reftransV1_0039415","p.persica_gdr_reftransV1_0039415")</f>
        <v>p.persica_gdr_reftransV1_0039415</v>
      </c>
      <c r="B8377" s="2">
        <v>1051</v>
      </c>
      <c r="C8377" s="4" t="str">
        <f>HYPERLINK("http://www.uniprot.org/uniprot/M5WAF2","M5WAF2")</f>
        <v>M5WAF2</v>
      </c>
      <c r="D8377" s="2" t="s">
        <v>7358</v>
      </c>
      <c r="E8377" s="3">
        <v>4.03E-115</v>
      </c>
      <c r="F8377" s="2">
        <v>883</v>
      </c>
      <c r="G8377" s="2">
        <v>100</v>
      </c>
      <c r="H8377" s="2">
        <v>182</v>
      </c>
      <c r="I8377" s="2">
        <v>88</v>
      </c>
      <c r="J8377" s="2">
        <v>633</v>
      </c>
      <c r="K8377" s="2">
        <v>26</v>
      </c>
      <c r="L8377" s="2">
        <v>207</v>
      </c>
    </row>
    <row r="8378" spans="1:12" x14ac:dyDescent="0.25">
      <c r="A8378" s="4" t="str">
        <f>HYPERLINK("http://www.rosaceae.org/Prunus/Prunus_persica/p.persica_gdr_reftransV1_0041515","p.persica_gdr_reftransV1_0041515")</f>
        <v>p.persica_gdr_reftransV1_0041515</v>
      </c>
      <c r="B8378" s="2">
        <v>2045</v>
      </c>
      <c r="C8378" s="4" t="str">
        <f>HYPERLINK("http://www.uniprot.org/uniprot/M5WAQ0","M5WAQ0")</f>
        <v>M5WAQ0</v>
      </c>
      <c r="D8378" s="2" t="s">
        <v>7359</v>
      </c>
      <c r="E8378" s="3">
        <v>0</v>
      </c>
      <c r="F8378" s="2">
        <v>2091</v>
      </c>
      <c r="G8378" s="2">
        <v>100</v>
      </c>
      <c r="H8378" s="2">
        <v>412</v>
      </c>
      <c r="I8378" s="2">
        <v>624</v>
      </c>
      <c r="J8378" s="2">
        <v>1859</v>
      </c>
      <c r="K8378" s="2">
        <v>1</v>
      </c>
      <c r="L8378" s="2">
        <v>412</v>
      </c>
    </row>
    <row r="8379" spans="1:12" x14ac:dyDescent="0.25">
      <c r="A8379" s="4" t="str">
        <f>HYPERLINK("http://www.rosaceae.org/Prunus/Prunus_persica/p.persica_gdr_reftransV1_0041865","p.persica_gdr_reftransV1_0041865")</f>
        <v>p.persica_gdr_reftransV1_0041865</v>
      </c>
      <c r="B8379" s="2">
        <v>3110</v>
      </c>
      <c r="C8379" s="4" t="str">
        <f>HYPERLINK("http://www.uniprot.org/uniprot/M5WBR1","M5WBR1")</f>
        <v>M5WBR1</v>
      </c>
      <c r="D8379" s="2" t="s">
        <v>7360</v>
      </c>
      <c r="E8379" s="3">
        <v>6.5700000000000003E-160</v>
      </c>
      <c r="F8379" s="2">
        <v>1254</v>
      </c>
      <c r="G8379" s="2">
        <v>81</v>
      </c>
      <c r="H8379" s="2">
        <v>325</v>
      </c>
      <c r="I8379" s="2">
        <v>1708</v>
      </c>
      <c r="J8379" s="2">
        <v>2682</v>
      </c>
      <c r="K8379" s="2">
        <v>66</v>
      </c>
      <c r="L8379" s="2">
        <v>337</v>
      </c>
    </row>
    <row r="8380" spans="1:12" x14ac:dyDescent="0.25">
      <c r="A8380" s="4" t="str">
        <f>HYPERLINK("http://www.rosaceae.org/Prunus/Prunus_persica/p.persica_gdr_reftransV1_0043265","p.persica_gdr_reftransV1_0043265")</f>
        <v>p.persica_gdr_reftransV1_0043265</v>
      </c>
      <c r="B8380" s="2">
        <v>2596</v>
      </c>
      <c r="C8380" s="4" t="str">
        <f>HYPERLINK("http://www.uniprot.org/uniprot/M5X392","M5X392")</f>
        <v>M5X392</v>
      </c>
      <c r="D8380" s="2" t="s">
        <v>5320</v>
      </c>
      <c r="E8380" s="3">
        <v>0</v>
      </c>
      <c r="F8380" s="2">
        <v>3392</v>
      </c>
      <c r="G8380" s="2">
        <v>97</v>
      </c>
      <c r="H8380" s="2">
        <v>713</v>
      </c>
      <c r="I8380" s="2">
        <v>347</v>
      </c>
      <c r="J8380" s="2">
        <v>2461</v>
      </c>
      <c r="K8380" s="2">
        <v>1</v>
      </c>
      <c r="L8380" s="2">
        <v>700</v>
      </c>
    </row>
    <row r="8381" spans="1:12" x14ac:dyDescent="0.25">
      <c r="A8381" s="4" t="str">
        <f>HYPERLINK("http://www.rosaceae.org/Prunus/Prunus_persica/p.persica_gdr_reftransV1_0043615","p.persica_gdr_reftransV1_0043615")</f>
        <v>p.persica_gdr_reftransV1_0043615</v>
      </c>
      <c r="B8381" s="2">
        <v>789</v>
      </c>
      <c r="C8381" s="4" t="str">
        <f>HYPERLINK("http://www.uniprot.org/uniprot/M5XRW9","M5XRW9")</f>
        <v>M5XRW9</v>
      </c>
      <c r="D8381" s="2" t="s">
        <v>3965</v>
      </c>
      <c r="E8381" s="3">
        <v>1.9299999999999999E-148</v>
      </c>
      <c r="F8381" s="2">
        <v>1188</v>
      </c>
      <c r="G8381" s="2">
        <v>100</v>
      </c>
      <c r="H8381" s="2">
        <v>245</v>
      </c>
      <c r="I8381" s="2">
        <v>54</v>
      </c>
      <c r="J8381" s="2">
        <v>788</v>
      </c>
      <c r="K8381" s="2">
        <v>1</v>
      </c>
      <c r="L8381" s="2">
        <v>245</v>
      </c>
    </row>
    <row r="8382" spans="1:12" x14ac:dyDescent="0.25">
      <c r="A8382" s="4" t="str">
        <f>HYPERLINK("http://www.rosaceae.org/Prunus/Prunus_persica/p.persica_gdr_reftransV1_0043965","p.persica_gdr_reftransV1_0043965")</f>
        <v>p.persica_gdr_reftransV1_0043965</v>
      </c>
      <c r="B8382" s="2">
        <v>1085</v>
      </c>
      <c r="C8382" s="4" t="str">
        <f>HYPERLINK("http://www.uniprot.org/uniprot/Q9AXU0","Q9AXU0")</f>
        <v>Q9AXU0</v>
      </c>
      <c r="D8382" s="2" t="s">
        <v>7361</v>
      </c>
      <c r="E8382" s="3">
        <v>7.7100000000000001E-100</v>
      </c>
      <c r="F8382" s="2">
        <v>778</v>
      </c>
      <c r="G8382" s="2">
        <v>94</v>
      </c>
      <c r="H8382" s="2">
        <v>155</v>
      </c>
      <c r="I8382" s="2">
        <v>323</v>
      </c>
      <c r="J8382" s="2">
        <v>787</v>
      </c>
      <c r="K8382" s="2">
        <v>1</v>
      </c>
      <c r="L8382" s="2">
        <v>155</v>
      </c>
    </row>
    <row r="8383" spans="1:12" x14ac:dyDescent="0.25">
      <c r="A8383" s="4" t="str">
        <f>HYPERLINK("http://www.rosaceae.org/Prunus/Prunus_persica/p.persica_gdr_reftransV1_0044315","p.persica_gdr_reftransV1_0044315")</f>
        <v>p.persica_gdr_reftransV1_0044315</v>
      </c>
      <c r="B8383" s="2">
        <v>1881</v>
      </c>
      <c r="C8383" s="4" t="str">
        <f>HYPERLINK("http://www.uniprot.org/uniprot/M5XWG7","M5XWG7")</f>
        <v>M5XWG7</v>
      </c>
      <c r="D8383" s="2" t="s">
        <v>7362</v>
      </c>
      <c r="E8383" s="3">
        <v>0</v>
      </c>
      <c r="F8383" s="2">
        <v>2706</v>
      </c>
      <c r="G8383" s="2">
        <v>100</v>
      </c>
      <c r="H8383" s="2">
        <v>537</v>
      </c>
      <c r="I8383" s="2">
        <v>6</v>
      </c>
      <c r="J8383" s="2">
        <v>1616</v>
      </c>
      <c r="K8383" s="2">
        <v>1</v>
      </c>
      <c r="L8383" s="2">
        <v>537</v>
      </c>
    </row>
    <row r="8384" spans="1:12" x14ac:dyDescent="0.25">
      <c r="A8384" s="4" t="str">
        <f>HYPERLINK("http://www.rosaceae.org/Prunus/Prunus_persica/p.persica_gdr_reftransV1_0044665","p.persica_gdr_reftransV1_0044665")</f>
        <v>p.persica_gdr_reftransV1_0044665</v>
      </c>
      <c r="B8384" s="2">
        <v>2352</v>
      </c>
      <c r="C8384" s="4" t="str">
        <f>HYPERLINK("http://www.uniprot.org/uniprot/B9SP17","B9SP17")</f>
        <v>B9SP17</v>
      </c>
      <c r="D8384" s="2" t="s">
        <v>7363</v>
      </c>
      <c r="E8384" s="3">
        <v>0</v>
      </c>
      <c r="F8384" s="2">
        <v>3169</v>
      </c>
      <c r="G8384" s="2">
        <v>94</v>
      </c>
      <c r="H8384" s="2">
        <v>661</v>
      </c>
      <c r="I8384" s="2">
        <v>95</v>
      </c>
      <c r="J8384" s="2">
        <v>2077</v>
      </c>
      <c r="K8384" s="2">
        <v>1</v>
      </c>
      <c r="L8384" s="2">
        <v>647</v>
      </c>
    </row>
    <row r="8385" spans="1:12" x14ac:dyDescent="0.25">
      <c r="A8385" s="4" t="str">
        <f>HYPERLINK("http://www.rosaceae.org/Prunus/Prunus_persica/p.persica_gdr_reftransV1_0045015","p.persica_gdr_reftransV1_0045015")</f>
        <v>p.persica_gdr_reftransV1_0045015</v>
      </c>
      <c r="B8385" s="2">
        <v>1235</v>
      </c>
      <c r="C8385" s="4" t="str">
        <f>HYPERLINK("http://www.uniprot.org/uniprot/M5VHT4","M5VHT4")</f>
        <v>M5VHT4</v>
      </c>
      <c r="D8385" s="2" t="s">
        <v>7364</v>
      </c>
      <c r="E8385" s="3">
        <v>1.05E-93</v>
      </c>
      <c r="F8385" s="2">
        <v>765</v>
      </c>
      <c r="G8385" s="2">
        <v>100</v>
      </c>
      <c r="H8385" s="2">
        <v>183</v>
      </c>
      <c r="I8385" s="2">
        <v>2</v>
      </c>
      <c r="J8385" s="2">
        <v>550</v>
      </c>
      <c r="K8385" s="2">
        <v>226</v>
      </c>
      <c r="L8385" s="2">
        <v>408</v>
      </c>
    </row>
    <row r="8386" spans="1:12" x14ac:dyDescent="0.25">
      <c r="A8386" s="4" t="str">
        <f>HYPERLINK("http://www.rosaceae.org/Prunus/Prunus_persica/p.persica_gdr_reftransV1_0045365","p.persica_gdr_reftransV1_0045365")</f>
        <v>p.persica_gdr_reftransV1_0045365</v>
      </c>
      <c r="B8386" s="2">
        <v>2460</v>
      </c>
      <c r="C8386" s="4" t="str">
        <f>HYPERLINK("http://www.uniprot.org/uniprot/M5VWD9","M5VWD9")</f>
        <v>M5VWD9</v>
      </c>
      <c r="D8386" s="2" t="s">
        <v>7365</v>
      </c>
      <c r="E8386" s="3">
        <v>0</v>
      </c>
      <c r="F8386" s="2">
        <v>2286</v>
      </c>
      <c r="G8386" s="2">
        <v>92</v>
      </c>
      <c r="H8386" s="2">
        <v>566</v>
      </c>
      <c r="I8386" s="2">
        <v>479</v>
      </c>
      <c r="J8386" s="2">
        <v>2176</v>
      </c>
      <c r="K8386" s="2">
        <v>17</v>
      </c>
      <c r="L8386" s="2">
        <v>581</v>
      </c>
    </row>
    <row r="8387" spans="1:12" x14ac:dyDescent="0.25">
      <c r="A8387" s="4" t="str">
        <f>HYPERLINK("http://www.rosaceae.org/Prunus/Prunus_persica/p.persica_gdr_reftransV1_0045715","p.persica_gdr_reftransV1_0045715")</f>
        <v>p.persica_gdr_reftransV1_0045715</v>
      </c>
      <c r="B8387" s="2">
        <v>1473</v>
      </c>
      <c r="C8387" s="4" t="str">
        <f>HYPERLINK("http://www.uniprot.org/uniprot/M5XLH0","M5XLH0")</f>
        <v>M5XLH0</v>
      </c>
      <c r="D8387" s="2" t="s">
        <v>7366</v>
      </c>
      <c r="E8387" s="3">
        <v>0</v>
      </c>
      <c r="F8387" s="2">
        <v>1512</v>
      </c>
      <c r="G8387" s="2">
        <v>100</v>
      </c>
      <c r="H8387" s="2">
        <v>333</v>
      </c>
      <c r="I8387" s="2">
        <v>230</v>
      </c>
      <c r="J8387" s="2">
        <v>1228</v>
      </c>
      <c r="K8387" s="2">
        <v>134</v>
      </c>
      <c r="L8387" s="2">
        <v>466</v>
      </c>
    </row>
    <row r="8388" spans="1:12" x14ac:dyDescent="0.25">
      <c r="A8388" s="4" t="str">
        <f>HYPERLINK("http://www.rosaceae.org/Prunus/Prunus_persica/p.persica_gdr_reftransV1_0046065","p.persica_gdr_reftransV1_0046065")</f>
        <v>p.persica_gdr_reftransV1_0046065</v>
      </c>
      <c r="B8388" s="2">
        <v>1140</v>
      </c>
      <c r="C8388" s="4" t="str">
        <f>HYPERLINK("http://www.uniprot.org/uniprot/M5VZV5","M5VZV5")</f>
        <v>M5VZV5</v>
      </c>
      <c r="D8388" s="2" t="s">
        <v>7367</v>
      </c>
      <c r="E8388" s="3">
        <v>1.77E-150</v>
      </c>
      <c r="F8388" s="2">
        <v>1123</v>
      </c>
      <c r="G8388" s="2">
        <v>91</v>
      </c>
      <c r="H8388" s="2">
        <v>239</v>
      </c>
      <c r="I8388" s="2">
        <v>121</v>
      </c>
      <c r="J8388" s="2">
        <v>774</v>
      </c>
      <c r="K8388" s="2">
        <v>1</v>
      </c>
      <c r="L8388" s="2">
        <v>239</v>
      </c>
    </row>
    <row r="8389" spans="1:12" x14ac:dyDescent="0.25">
      <c r="A8389" s="4" t="str">
        <f>HYPERLINK("http://www.rosaceae.org/Prunus/Prunus_persica/p.persica_gdr_reftransV1_0046415","p.persica_gdr_reftransV1_0046415")</f>
        <v>p.persica_gdr_reftransV1_0046415</v>
      </c>
      <c r="B8389" s="2">
        <v>3651</v>
      </c>
      <c r="C8389" s="4" t="str">
        <f>HYPERLINK("http://www.uniprot.org/uniprot/M5W6F8","M5W6F8")</f>
        <v>M5W6F8</v>
      </c>
      <c r="D8389" s="2" t="s">
        <v>7368</v>
      </c>
      <c r="E8389" s="3">
        <v>0</v>
      </c>
      <c r="F8389" s="2">
        <v>3664</v>
      </c>
      <c r="G8389" s="2">
        <v>97</v>
      </c>
      <c r="H8389" s="2">
        <v>876</v>
      </c>
      <c r="I8389" s="2">
        <v>636</v>
      </c>
      <c r="J8389" s="2">
        <v>3263</v>
      </c>
      <c r="K8389" s="2">
        <v>1</v>
      </c>
      <c r="L8389" s="2">
        <v>854</v>
      </c>
    </row>
    <row r="8390" spans="1:12" x14ac:dyDescent="0.25">
      <c r="A8390" s="4" t="str">
        <f>HYPERLINK("http://www.rosaceae.org/Prunus/Prunus_persica/p.persica_gdr_reftransV1_0046765","p.persica_gdr_reftransV1_0046765")</f>
        <v>p.persica_gdr_reftransV1_0046765</v>
      </c>
      <c r="B8390" s="2">
        <v>1430</v>
      </c>
      <c r="C8390" s="4" t="str">
        <f>HYPERLINK("http://www.uniprot.org/uniprot/M5X7A8","M5X7A8")</f>
        <v>M5X7A8</v>
      </c>
      <c r="D8390" s="2" t="s">
        <v>7369</v>
      </c>
      <c r="E8390" s="3">
        <v>0</v>
      </c>
      <c r="F8390" s="2">
        <v>1928</v>
      </c>
      <c r="G8390" s="2">
        <v>96</v>
      </c>
      <c r="H8390" s="2">
        <v>379</v>
      </c>
      <c r="I8390" s="2">
        <v>90</v>
      </c>
      <c r="J8390" s="2">
        <v>1217</v>
      </c>
      <c r="K8390" s="2">
        <v>1</v>
      </c>
      <c r="L8390" s="2">
        <v>371</v>
      </c>
    </row>
    <row r="8391" spans="1:12" x14ac:dyDescent="0.25">
      <c r="A8391" s="4" t="str">
        <f>HYPERLINK("http://www.rosaceae.org/Prunus/Prunus_persica/p.persica_gdr_reftransV1_0047115","p.persica_gdr_reftransV1_0047115")</f>
        <v>p.persica_gdr_reftransV1_0047115</v>
      </c>
      <c r="B8391" s="2">
        <v>1082</v>
      </c>
      <c r="C8391" s="4" t="str">
        <f>HYPERLINK("http://www.uniprot.org/uniprot/M5W3M0","M5W3M0")</f>
        <v>M5W3M0</v>
      </c>
      <c r="D8391" s="2" t="s">
        <v>7370</v>
      </c>
      <c r="E8391" s="3">
        <v>2.08E-93</v>
      </c>
      <c r="F8391" s="2">
        <v>740</v>
      </c>
      <c r="G8391" s="2">
        <v>99</v>
      </c>
      <c r="H8391" s="2">
        <v>162</v>
      </c>
      <c r="I8391" s="2">
        <v>247</v>
      </c>
      <c r="J8391" s="2">
        <v>732</v>
      </c>
      <c r="K8391" s="2">
        <v>40</v>
      </c>
      <c r="L8391" s="2">
        <v>201</v>
      </c>
    </row>
    <row r="8392" spans="1:12" x14ac:dyDescent="0.25">
      <c r="A8392" s="4" t="str">
        <f>HYPERLINK("http://www.rosaceae.org/Prunus/Prunus_persica/p.persica_gdr_reftransV1_0047465","p.persica_gdr_reftransV1_0047465")</f>
        <v>p.persica_gdr_reftransV1_0047465</v>
      </c>
      <c r="B8392" s="2">
        <v>1144</v>
      </c>
      <c r="C8392" s="4" t="str">
        <f>HYPERLINK("http://www.uniprot.org/uniprot/M5WTA4","M5WTA4")</f>
        <v>M5WTA4</v>
      </c>
      <c r="D8392" s="2" t="s">
        <v>7371</v>
      </c>
      <c r="E8392" s="3">
        <v>2.1099999999999999E-148</v>
      </c>
      <c r="F8392" s="2">
        <v>1110</v>
      </c>
      <c r="G8392" s="2">
        <v>100</v>
      </c>
      <c r="H8392" s="2">
        <v>242</v>
      </c>
      <c r="I8392" s="2">
        <v>101</v>
      </c>
      <c r="J8392" s="2">
        <v>826</v>
      </c>
      <c r="K8392" s="2">
        <v>7</v>
      </c>
      <c r="L8392" s="2">
        <v>248</v>
      </c>
    </row>
    <row r="8393" spans="1:12" x14ac:dyDescent="0.25">
      <c r="A8393" s="4" t="str">
        <f>HYPERLINK("http://www.rosaceae.org/Prunus/Prunus_persica/p.persica_gdr_reftransV1_0048165","p.persica_gdr_reftransV1_0048165")</f>
        <v>p.persica_gdr_reftransV1_0048165</v>
      </c>
      <c r="B8393" s="2">
        <v>457</v>
      </c>
      <c r="C8393" s="4" t="str">
        <f>HYPERLINK("http://www.uniprot.org/uniprot/M5VKE9","M5VKE9")</f>
        <v>M5VKE9</v>
      </c>
      <c r="D8393" s="2" t="s">
        <v>753</v>
      </c>
      <c r="E8393" s="3">
        <v>2.1099999999999999E-98</v>
      </c>
      <c r="F8393" s="2">
        <v>826</v>
      </c>
      <c r="G8393" s="2">
        <v>100</v>
      </c>
      <c r="H8393" s="2">
        <v>152</v>
      </c>
      <c r="I8393" s="2">
        <v>2</v>
      </c>
      <c r="J8393" s="2">
        <v>457</v>
      </c>
      <c r="K8393" s="2">
        <v>209</v>
      </c>
      <c r="L8393" s="2">
        <v>360</v>
      </c>
    </row>
    <row r="8394" spans="1:12" x14ac:dyDescent="0.25">
      <c r="A8394" s="4" t="str">
        <f>HYPERLINK("http://www.rosaceae.org/Prunus/Prunus_persica/p.persica_gdr_reftransV1_0048515","p.persica_gdr_reftransV1_0048515")</f>
        <v>p.persica_gdr_reftransV1_0048515</v>
      </c>
      <c r="B8394" s="2">
        <v>1256</v>
      </c>
      <c r="C8394" s="4" t="str">
        <f>HYPERLINK("http://www.uniprot.org/uniprot/M5XN52","M5XN52")</f>
        <v>M5XN52</v>
      </c>
      <c r="D8394" s="2" t="s">
        <v>7372</v>
      </c>
      <c r="E8394" s="3">
        <v>8.9899999999999999E-150</v>
      </c>
      <c r="F8394" s="2">
        <v>1128</v>
      </c>
      <c r="G8394" s="2">
        <v>95</v>
      </c>
      <c r="H8394" s="2">
        <v>283</v>
      </c>
      <c r="I8394" s="2">
        <v>52</v>
      </c>
      <c r="J8394" s="2">
        <v>891</v>
      </c>
      <c r="K8394" s="2">
        <v>14</v>
      </c>
      <c r="L8394" s="2">
        <v>296</v>
      </c>
    </row>
    <row r="8395" spans="1:12" x14ac:dyDescent="0.25">
      <c r="A8395" s="4" t="str">
        <f>HYPERLINK("http://www.rosaceae.org/Prunus/Prunus_persica/p.persica_gdr_reftransV1_0048865","p.persica_gdr_reftransV1_0048865")</f>
        <v>p.persica_gdr_reftransV1_0048865</v>
      </c>
      <c r="B8395" s="2">
        <v>2086</v>
      </c>
      <c r="C8395" s="4" t="str">
        <f>HYPERLINK("http://www.uniprot.org/uniprot/M5XNA2","M5XNA2")</f>
        <v>M5XNA2</v>
      </c>
      <c r="D8395" s="2" t="s">
        <v>7373</v>
      </c>
      <c r="E8395" s="3">
        <v>0</v>
      </c>
      <c r="F8395" s="2">
        <v>1975</v>
      </c>
      <c r="G8395" s="2">
        <v>100</v>
      </c>
      <c r="H8395" s="2">
        <v>366</v>
      </c>
      <c r="I8395" s="2">
        <v>74</v>
      </c>
      <c r="J8395" s="2">
        <v>1171</v>
      </c>
      <c r="K8395" s="2">
        <v>1</v>
      </c>
      <c r="L8395" s="2">
        <v>366</v>
      </c>
    </row>
    <row r="8396" spans="1:12" x14ac:dyDescent="0.25">
      <c r="A8396" s="4" t="str">
        <f>HYPERLINK("http://www.rosaceae.org/Prunus/Prunus_persica/p.persica_gdr_reftransV1_0000216","p.persica_gdr_reftransV1_0000216")</f>
        <v>p.persica_gdr_reftransV1_0000216</v>
      </c>
      <c r="B8396" s="2">
        <v>754</v>
      </c>
      <c r="C8396" s="4" t="str">
        <f>HYPERLINK("http://www.uniprot.org/uniprot/M5VNK8","M5VNK8")</f>
        <v>M5VNK8</v>
      </c>
      <c r="D8396" s="2" t="s">
        <v>4598</v>
      </c>
      <c r="E8396" s="3">
        <v>1.09E-176</v>
      </c>
      <c r="F8396" s="2">
        <v>1318</v>
      </c>
      <c r="G8396" s="2">
        <v>100</v>
      </c>
      <c r="H8396" s="2">
        <v>250</v>
      </c>
      <c r="I8396" s="2">
        <v>3</v>
      </c>
      <c r="J8396" s="2">
        <v>752</v>
      </c>
      <c r="K8396" s="2">
        <v>250</v>
      </c>
      <c r="L8396" s="2">
        <v>499</v>
      </c>
    </row>
    <row r="8397" spans="1:12" x14ac:dyDescent="0.25">
      <c r="A8397" s="4" t="str">
        <f>HYPERLINK("http://www.rosaceae.org/Prunus/Prunus_persica/p.persica_gdr_reftransV1_0000566","p.persica_gdr_reftransV1_0000566")</f>
        <v>p.persica_gdr_reftransV1_0000566</v>
      </c>
      <c r="B8397" s="2">
        <v>791</v>
      </c>
      <c r="C8397" s="4" t="str">
        <f>HYPERLINK("http://www.uniprot.org/uniprot/M5VJX6","M5VJX6")</f>
        <v>M5VJX6</v>
      </c>
      <c r="D8397" s="2" t="s">
        <v>2868</v>
      </c>
      <c r="E8397" s="3">
        <v>2.0699999999999999E-73</v>
      </c>
      <c r="F8397" s="2">
        <v>612</v>
      </c>
      <c r="G8397" s="2">
        <v>98</v>
      </c>
      <c r="H8397" s="2">
        <v>119</v>
      </c>
      <c r="I8397" s="2">
        <v>83</v>
      </c>
      <c r="J8397" s="2">
        <v>436</v>
      </c>
      <c r="K8397" s="2">
        <v>246</v>
      </c>
      <c r="L8397" s="2">
        <v>364</v>
      </c>
    </row>
    <row r="8398" spans="1:12" x14ac:dyDescent="0.25">
      <c r="A8398" s="4" t="str">
        <f>HYPERLINK("http://www.rosaceae.org/Prunus/Prunus_persica/p.persica_gdr_reftransV1_0000916","p.persica_gdr_reftransV1_0000916")</f>
        <v>p.persica_gdr_reftransV1_0000916</v>
      </c>
      <c r="B8398" s="2">
        <v>409</v>
      </c>
      <c r="C8398" s="4" t="str">
        <f>HYPERLINK("http://www.uniprot.org/uniprot/M5VZ14","M5VZ14")</f>
        <v>M5VZ14</v>
      </c>
      <c r="D8398" s="2" t="s">
        <v>7374</v>
      </c>
      <c r="E8398" s="3">
        <v>8.6500000000000005E-70</v>
      </c>
      <c r="F8398" s="2">
        <v>578</v>
      </c>
      <c r="G8398" s="2">
        <v>93</v>
      </c>
      <c r="H8398" s="2">
        <v>120</v>
      </c>
      <c r="I8398" s="2">
        <v>50</v>
      </c>
      <c r="J8398" s="2">
        <v>409</v>
      </c>
      <c r="K8398" s="2">
        <v>173</v>
      </c>
      <c r="L8398" s="2">
        <v>291</v>
      </c>
    </row>
    <row r="8399" spans="1:12" x14ac:dyDescent="0.25">
      <c r="A8399" s="4" t="str">
        <f>HYPERLINK("http://www.rosaceae.org/Prunus/Prunus_persica/p.persica_gdr_reftransV1_0001266","p.persica_gdr_reftransV1_0001266")</f>
        <v>p.persica_gdr_reftransV1_0001266</v>
      </c>
      <c r="B8399" s="2">
        <v>2422</v>
      </c>
      <c r="C8399" s="4" t="str">
        <f>HYPERLINK("http://www.uniprot.org/uniprot/M5XR00","M5XR00")</f>
        <v>M5XR00</v>
      </c>
      <c r="D8399" s="2" t="s">
        <v>355</v>
      </c>
      <c r="E8399" s="3">
        <v>0</v>
      </c>
      <c r="F8399" s="2">
        <v>3230</v>
      </c>
      <c r="G8399" s="2">
        <v>100</v>
      </c>
      <c r="H8399" s="2">
        <v>637</v>
      </c>
      <c r="I8399" s="2">
        <v>240</v>
      </c>
      <c r="J8399" s="2">
        <v>2150</v>
      </c>
      <c r="K8399" s="2">
        <v>1</v>
      </c>
      <c r="L8399" s="2">
        <v>637</v>
      </c>
    </row>
    <row r="8400" spans="1:12" x14ac:dyDescent="0.25">
      <c r="A8400" s="4" t="str">
        <f>HYPERLINK("http://www.rosaceae.org/Prunus/Prunus_persica/p.persica_gdr_reftransV1_0001616","p.persica_gdr_reftransV1_0001616")</f>
        <v>p.persica_gdr_reftransV1_0001616</v>
      </c>
      <c r="B8400" s="2">
        <v>1424</v>
      </c>
      <c r="C8400" s="4" t="str">
        <f>HYPERLINK("http://www.uniprot.org/uniprot/M5VPI6","M5VPI6")</f>
        <v>M5VPI6</v>
      </c>
      <c r="D8400" s="2" t="s">
        <v>7375</v>
      </c>
      <c r="E8400" s="3">
        <v>5.1700000000000002E-105</v>
      </c>
      <c r="F8400" s="2">
        <v>854</v>
      </c>
      <c r="G8400" s="2">
        <v>99</v>
      </c>
      <c r="H8400" s="2">
        <v>347</v>
      </c>
      <c r="I8400" s="2">
        <v>291</v>
      </c>
      <c r="J8400" s="2">
        <v>1331</v>
      </c>
      <c r="K8400" s="2">
        <v>146</v>
      </c>
      <c r="L8400" s="2">
        <v>491</v>
      </c>
    </row>
    <row r="8401" spans="1:12" x14ac:dyDescent="0.25">
      <c r="A8401" s="4" t="str">
        <f>HYPERLINK("http://www.rosaceae.org/Prunus/Prunus_persica/p.persica_gdr_reftransV1_0001966","p.persica_gdr_reftransV1_0001966")</f>
        <v>p.persica_gdr_reftransV1_0001966</v>
      </c>
      <c r="B8401" s="2">
        <v>890</v>
      </c>
      <c r="C8401" s="4" t="str">
        <f>HYPERLINK("http://www.uniprot.org/uniprot/M5VZB3","M5VZB3")</f>
        <v>M5VZB3</v>
      </c>
      <c r="D8401" s="2" t="s">
        <v>7376</v>
      </c>
      <c r="E8401" s="3">
        <v>1.1300000000000001E-172</v>
      </c>
      <c r="F8401" s="2">
        <v>1268</v>
      </c>
      <c r="G8401" s="2">
        <v>98</v>
      </c>
      <c r="H8401" s="2">
        <v>242</v>
      </c>
      <c r="I8401" s="2">
        <v>3</v>
      </c>
      <c r="J8401" s="2">
        <v>728</v>
      </c>
      <c r="K8401" s="2">
        <v>74</v>
      </c>
      <c r="L8401" s="2">
        <v>315</v>
      </c>
    </row>
    <row r="8402" spans="1:12" x14ac:dyDescent="0.25">
      <c r="A8402" s="4" t="str">
        <f>HYPERLINK("http://www.rosaceae.org/Prunus/Prunus_persica/p.persica_gdr_reftransV1_0002316","p.persica_gdr_reftransV1_0002316")</f>
        <v>p.persica_gdr_reftransV1_0002316</v>
      </c>
      <c r="B8402" s="2">
        <v>925</v>
      </c>
      <c r="C8402" s="4" t="str">
        <f>HYPERLINK("http://www.uniprot.org/uniprot/M5WMM2","M5WMM2")</f>
        <v>M5WMM2</v>
      </c>
      <c r="D8402" s="2" t="s">
        <v>7377</v>
      </c>
      <c r="E8402" s="3">
        <v>1.7099999999999999E-170</v>
      </c>
      <c r="F8402" s="2">
        <v>1270</v>
      </c>
      <c r="G8402" s="2">
        <v>100</v>
      </c>
      <c r="H8402" s="2">
        <v>246</v>
      </c>
      <c r="I8402" s="2">
        <v>2</v>
      </c>
      <c r="J8402" s="2">
        <v>739</v>
      </c>
      <c r="K8402" s="2">
        <v>10</v>
      </c>
      <c r="L8402" s="2">
        <v>255</v>
      </c>
    </row>
    <row r="8403" spans="1:12" x14ac:dyDescent="0.25">
      <c r="A8403" s="4" t="str">
        <f>HYPERLINK("http://www.rosaceae.org/Prunus/Prunus_persica/p.persica_gdr_reftransV1_0002666","p.persica_gdr_reftransV1_0002666")</f>
        <v>p.persica_gdr_reftransV1_0002666</v>
      </c>
      <c r="B8403" s="2">
        <v>662</v>
      </c>
      <c r="C8403" s="4" t="str">
        <f>HYPERLINK("http://www.uniprot.org/uniprot/M5WPS0","M5WPS0")</f>
        <v>M5WPS0</v>
      </c>
      <c r="D8403" s="2" t="s">
        <v>501</v>
      </c>
      <c r="E8403" s="3">
        <v>1.7599999999999999E-155</v>
      </c>
      <c r="F8403" s="2">
        <v>1188</v>
      </c>
      <c r="G8403" s="2">
        <v>100</v>
      </c>
      <c r="H8403" s="2">
        <v>220</v>
      </c>
      <c r="I8403" s="2">
        <v>2</v>
      </c>
      <c r="J8403" s="2">
        <v>661</v>
      </c>
      <c r="K8403" s="2">
        <v>42</v>
      </c>
      <c r="L8403" s="2">
        <v>261</v>
      </c>
    </row>
    <row r="8404" spans="1:12" x14ac:dyDescent="0.25">
      <c r="A8404" s="4" t="str">
        <f>HYPERLINK("http://www.rosaceae.org/Prunus/Prunus_persica/p.persica_gdr_reftransV1_0003016","p.persica_gdr_reftransV1_0003016")</f>
        <v>p.persica_gdr_reftransV1_0003016</v>
      </c>
      <c r="B8404" s="2">
        <v>2517</v>
      </c>
      <c r="C8404" s="4" t="str">
        <f>HYPERLINK("http://www.uniprot.org/uniprot/M5XH77","M5XH77")</f>
        <v>M5XH77</v>
      </c>
      <c r="D8404" s="2" t="s">
        <v>7378</v>
      </c>
      <c r="E8404" s="3">
        <v>0</v>
      </c>
      <c r="F8404" s="2">
        <v>2462</v>
      </c>
      <c r="G8404" s="2">
        <v>94</v>
      </c>
      <c r="H8404" s="2">
        <v>484</v>
      </c>
      <c r="I8404" s="2">
        <v>272</v>
      </c>
      <c r="J8404" s="2">
        <v>1723</v>
      </c>
      <c r="K8404" s="2">
        <v>1</v>
      </c>
      <c r="L8404" s="2">
        <v>484</v>
      </c>
    </row>
    <row r="8405" spans="1:12" x14ac:dyDescent="0.25">
      <c r="A8405" s="4" t="str">
        <f>HYPERLINK("http://www.rosaceae.org/Prunus/Prunus_persica/p.persica_gdr_reftransV1_0003366","p.persica_gdr_reftransV1_0003366")</f>
        <v>p.persica_gdr_reftransV1_0003366</v>
      </c>
      <c r="B8405" s="2">
        <v>1383</v>
      </c>
      <c r="C8405" s="4" t="str">
        <f>HYPERLINK("http://www.uniprot.org/uniprot/M5WDV9","M5WDV9")</f>
        <v>M5WDV9</v>
      </c>
      <c r="D8405" s="2" t="s">
        <v>7379</v>
      </c>
      <c r="E8405" s="3">
        <v>2.5199999999999999E-140</v>
      </c>
      <c r="F8405" s="2">
        <v>1122</v>
      </c>
      <c r="G8405" s="2">
        <v>100</v>
      </c>
      <c r="H8405" s="2">
        <v>239</v>
      </c>
      <c r="I8405" s="2">
        <v>666</v>
      </c>
      <c r="J8405" s="2">
        <v>1382</v>
      </c>
      <c r="K8405" s="2">
        <v>652</v>
      </c>
      <c r="L8405" s="2">
        <v>890</v>
      </c>
    </row>
    <row r="8406" spans="1:12" x14ac:dyDescent="0.25">
      <c r="A8406" s="4" t="str">
        <f>HYPERLINK("http://www.rosaceae.org/Prunus/Prunus_persica/p.persica_gdr_reftransV1_0003716","p.persica_gdr_reftransV1_0003716")</f>
        <v>p.persica_gdr_reftransV1_0003716</v>
      </c>
      <c r="B8406" s="2">
        <v>1208</v>
      </c>
      <c r="C8406" s="4" t="str">
        <f>HYPERLINK("http://www.uniprot.org/uniprot/M5VS85","M5VS85")</f>
        <v>M5VS85</v>
      </c>
      <c r="D8406" s="2" t="s">
        <v>7380</v>
      </c>
      <c r="E8406" s="3">
        <v>0</v>
      </c>
      <c r="F8406" s="2">
        <v>1928</v>
      </c>
      <c r="G8406" s="2">
        <v>100</v>
      </c>
      <c r="H8406" s="2">
        <v>379</v>
      </c>
      <c r="I8406" s="2">
        <v>3</v>
      </c>
      <c r="J8406" s="2">
        <v>1139</v>
      </c>
      <c r="K8406" s="2">
        <v>116</v>
      </c>
      <c r="L8406" s="2">
        <v>494</v>
      </c>
    </row>
    <row r="8407" spans="1:12" x14ac:dyDescent="0.25">
      <c r="A8407" s="4" t="str">
        <f>HYPERLINK("http://www.rosaceae.org/Prunus/Prunus_persica/p.persica_gdr_reftransV1_0004416","p.persica_gdr_reftransV1_0004416")</f>
        <v>p.persica_gdr_reftransV1_0004416</v>
      </c>
      <c r="B8407" s="2">
        <v>1151</v>
      </c>
      <c r="C8407" s="4" t="str">
        <f>HYPERLINK("http://www.uniprot.org/uniprot/M5VKD9","M5VKD9")</f>
        <v>M5VKD9</v>
      </c>
      <c r="D8407" s="2" t="s">
        <v>7381</v>
      </c>
      <c r="E8407" s="3">
        <v>1.61E-180</v>
      </c>
      <c r="F8407" s="2">
        <v>1323</v>
      </c>
      <c r="G8407" s="2">
        <v>100</v>
      </c>
      <c r="H8407" s="2">
        <v>259</v>
      </c>
      <c r="I8407" s="2">
        <v>64</v>
      </c>
      <c r="J8407" s="2">
        <v>840</v>
      </c>
      <c r="K8407" s="2">
        <v>1</v>
      </c>
      <c r="L8407" s="2">
        <v>259</v>
      </c>
    </row>
    <row r="8408" spans="1:12" x14ac:dyDescent="0.25">
      <c r="A8408" s="4" t="str">
        <f>HYPERLINK("http://www.rosaceae.org/Prunus/Prunus_persica/p.persica_gdr_reftransV1_0004766","p.persica_gdr_reftransV1_0004766")</f>
        <v>p.persica_gdr_reftransV1_0004766</v>
      </c>
      <c r="B8408" s="2">
        <v>2287</v>
      </c>
      <c r="C8408" s="4" t="str">
        <f>HYPERLINK("http://www.uniprot.org/uniprot/M5VV68","M5VV68")</f>
        <v>M5VV68</v>
      </c>
      <c r="D8408" s="2" t="s">
        <v>644</v>
      </c>
      <c r="E8408" s="3">
        <v>0</v>
      </c>
      <c r="F8408" s="2">
        <v>3112</v>
      </c>
      <c r="G8408" s="2">
        <v>100</v>
      </c>
      <c r="H8408" s="2">
        <v>594</v>
      </c>
      <c r="I8408" s="2">
        <v>402</v>
      </c>
      <c r="J8408" s="2">
        <v>2183</v>
      </c>
      <c r="K8408" s="2">
        <v>4</v>
      </c>
      <c r="L8408" s="2">
        <v>597</v>
      </c>
    </row>
    <row r="8409" spans="1:12" x14ac:dyDescent="0.25">
      <c r="A8409" s="4" t="str">
        <f>HYPERLINK("http://www.rosaceae.org/Prunus/Prunus_persica/p.persica_gdr_reftransV1_0005116","p.persica_gdr_reftransV1_0005116")</f>
        <v>p.persica_gdr_reftransV1_0005116</v>
      </c>
      <c r="B8409" s="2">
        <v>678</v>
      </c>
      <c r="C8409" s="4" t="str">
        <f>HYPERLINK("http://www.uniprot.org/uniprot/M5XFP0","M5XFP0")</f>
        <v>M5XFP0</v>
      </c>
      <c r="D8409" s="2" t="s">
        <v>7382</v>
      </c>
      <c r="E8409" s="3">
        <v>2.5700000000000002E-57</v>
      </c>
      <c r="F8409" s="2">
        <v>478</v>
      </c>
      <c r="G8409" s="2">
        <v>100</v>
      </c>
      <c r="H8409" s="2">
        <v>107</v>
      </c>
      <c r="I8409" s="2">
        <v>237</v>
      </c>
      <c r="J8409" s="2">
        <v>557</v>
      </c>
      <c r="K8409" s="2">
        <v>1</v>
      </c>
      <c r="L8409" s="2">
        <v>107</v>
      </c>
    </row>
    <row r="8410" spans="1:12" x14ac:dyDescent="0.25">
      <c r="A8410" s="4" t="str">
        <f>HYPERLINK("http://www.rosaceae.org/Prunus/Prunus_persica/p.persica_gdr_reftransV1_0006166","p.persica_gdr_reftransV1_0006166")</f>
        <v>p.persica_gdr_reftransV1_0006166</v>
      </c>
      <c r="B8410" s="2">
        <v>624</v>
      </c>
      <c r="C8410" s="4" t="str">
        <f>HYPERLINK("http://www.uniprot.org/uniprot/M5VJQ0","M5VJQ0")</f>
        <v>M5VJQ0</v>
      </c>
      <c r="D8410" s="2" t="s">
        <v>7383</v>
      </c>
      <c r="E8410" s="3">
        <v>9.4899999999999999E-37</v>
      </c>
      <c r="F8410" s="2">
        <v>367</v>
      </c>
      <c r="G8410" s="2">
        <v>100</v>
      </c>
      <c r="H8410" s="2">
        <v>85</v>
      </c>
      <c r="I8410" s="2">
        <v>46</v>
      </c>
      <c r="J8410" s="2">
        <v>300</v>
      </c>
      <c r="K8410" s="2">
        <v>1</v>
      </c>
      <c r="L8410" s="2">
        <v>85</v>
      </c>
    </row>
    <row r="8411" spans="1:12" x14ac:dyDescent="0.25">
      <c r="A8411" s="4" t="str">
        <f>HYPERLINK("http://www.rosaceae.org/Prunus/Prunus_persica/p.persica_gdr_reftransV1_0006866","p.persica_gdr_reftransV1_0006866")</f>
        <v>p.persica_gdr_reftransV1_0006866</v>
      </c>
      <c r="B8411" s="2">
        <v>851</v>
      </c>
      <c r="C8411" s="4" t="str">
        <f>HYPERLINK("http://www.uniprot.org/uniprot/M5W878","M5W878")</f>
        <v>M5W878</v>
      </c>
      <c r="D8411" s="2" t="s">
        <v>7384</v>
      </c>
      <c r="E8411" s="3">
        <v>4.6499999999999999E-137</v>
      </c>
      <c r="F8411" s="2">
        <v>1062</v>
      </c>
      <c r="G8411" s="2">
        <v>98</v>
      </c>
      <c r="H8411" s="2">
        <v>202</v>
      </c>
      <c r="I8411" s="2">
        <v>246</v>
      </c>
      <c r="J8411" s="2">
        <v>851</v>
      </c>
      <c r="K8411" s="2">
        <v>438</v>
      </c>
      <c r="L8411" s="2">
        <v>639</v>
      </c>
    </row>
    <row r="8412" spans="1:12" x14ac:dyDescent="0.25">
      <c r="A8412" s="4" t="str">
        <f>HYPERLINK("http://www.rosaceae.org/Prunus/Prunus_persica/p.persica_gdr_reftransV1_0007216","p.persica_gdr_reftransV1_0007216")</f>
        <v>p.persica_gdr_reftransV1_0007216</v>
      </c>
      <c r="B8412" s="2">
        <v>705</v>
      </c>
      <c r="C8412" s="4" t="str">
        <f>HYPERLINK("http://www.uniprot.org/uniprot/A0A059CLX9","A0A059CLX9")</f>
        <v>A0A059CLX9</v>
      </c>
      <c r="D8412" s="2" t="s">
        <v>7385</v>
      </c>
      <c r="E8412" s="3">
        <v>2.9099999999999999E-64</v>
      </c>
      <c r="F8412" s="2">
        <v>530</v>
      </c>
      <c r="G8412" s="2">
        <v>66</v>
      </c>
      <c r="H8412" s="2">
        <v>159</v>
      </c>
      <c r="I8412" s="2">
        <v>151</v>
      </c>
      <c r="J8412" s="2">
        <v>627</v>
      </c>
      <c r="K8412" s="2">
        <v>1</v>
      </c>
      <c r="L8412" s="2">
        <v>155</v>
      </c>
    </row>
    <row r="8413" spans="1:12" x14ac:dyDescent="0.25">
      <c r="A8413" s="4" t="str">
        <f>HYPERLINK("http://www.rosaceae.org/Prunus/Prunus_persica/p.persica_gdr_reftransV1_0007566","p.persica_gdr_reftransV1_0007566")</f>
        <v>p.persica_gdr_reftransV1_0007566</v>
      </c>
      <c r="B8413" s="2">
        <v>3253</v>
      </c>
      <c r="C8413" s="4" t="str">
        <f>HYPERLINK("http://www.uniprot.org/uniprot/M5XGY2","M5XGY2")</f>
        <v>M5XGY2</v>
      </c>
      <c r="D8413" s="2" t="s">
        <v>7386</v>
      </c>
      <c r="E8413" s="3">
        <v>2.3499999999999999E-99</v>
      </c>
      <c r="F8413" s="2">
        <v>833</v>
      </c>
      <c r="G8413" s="2">
        <v>91</v>
      </c>
      <c r="H8413" s="2">
        <v>190</v>
      </c>
      <c r="I8413" s="2">
        <v>3</v>
      </c>
      <c r="J8413" s="2">
        <v>536</v>
      </c>
      <c r="K8413" s="2">
        <v>48</v>
      </c>
      <c r="L8413" s="2">
        <v>237</v>
      </c>
    </row>
    <row r="8414" spans="1:12" x14ac:dyDescent="0.25">
      <c r="A8414" s="4" t="str">
        <f>HYPERLINK("http://www.rosaceae.org/Prunus/Prunus_persica/p.persica_gdr_reftransV1_0007916","p.persica_gdr_reftransV1_0007916")</f>
        <v>p.persica_gdr_reftransV1_0007916</v>
      </c>
      <c r="B8414" s="2">
        <v>687</v>
      </c>
      <c r="C8414" s="4" t="str">
        <f>HYPERLINK("http://www.uniprot.org/uniprot/M5X2Z3","M5X2Z3")</f>
        <v>M5X2Z3</v>
      </c>
      <c r="D8414" s="2" t="s">
        <v>7387</v>
      </c>
      <c r="E8414" s="3">
        <v>1.5300000000000001E-88</v>
      </c>
      <c r="F8414" s="2">
        <v>692</v>
      </c>
      <c r="G8414" s="2">
        <v>94</v>
      </c>
      <c r="H8414" s="2">
        <v>142</v>
      </c>
      <c r="I8414" s="2">
        <v>234</v>
      </c>
      <c r="J8414" s="2">
        <v>659</v>
      </c>
      <c r="K8414" s="2">
        <v>42</v>
      </c>
      <c r="L8414" s="2">
        <v>183</v>
      </c>
    </row>
    <row r="8415" spans="1:12" x14ac:dyDescent="0.25">
      <c r="A8415" s="4" t="str">
        <f>HYPERLINK("http://www.rosaceae.org/Prunus/Prunus_persica/p.persica_gdr_reftransV1_0008266","p.persica_gdr_reftransV1_0008266")</f>
        <v>p.persica_gdr_reftransV1_0008266</v>
      </c>
      <c r="B8415" s="2">
        <v>1852</v>
      </c>
      <c r="C8415" s="4" t="str">
        <f>HYPERLINK("http://www.uniprot.org/uniprot/M5W2A0","M5W2A0")</f>
        <v>M5W2A0</v>
      </c>
      <c r="D8415" s="2" t="s">
        <v>7388</v>
      </c>
      <c r="E8415" s="3">
        <v>0</v>
      </c>
      <c r="F8415" s="2">
        <v>1874</v>
      </c>
      <c r="G8415" s="2">
        <v>100</v>
      </c>
      <c r="H8415" s="2">
        <v>398</v>
      </c>
      <c r="I8415" s="2">
        <v>330</v>
      </c>
      <c r="J8415" s="2">
        <v>1523</v>
      </c>
      <c r="K8415" s="2">
        <v>1</v>
      </c>
      <c r="L8415" s="2">
        <v>398</v>
      </c>
    </row>
    <row r="8416" spans="1:12" x14ac:dyDescent="0.25">
      <c r="A8416" s="4" t="str">
        <f>HYPERLINK("http://www.rosaceae.org/Prunus/Prunus_persica/p.persica_gdr_reftransV1_0008616","p.persica_gdr_reftransV1_0008616")</f>
        <v>p.persica_gdr_reftransV1_0008616</v>
      </c>
      <c r="B8416" s="2">
        <v>787</v>
      </c>
      <c r="C8416" s="4" t="str">
        <f>HYPERLINK("http://www.uniprot.org/uniprot/M5XFX7","M5XFX7")</f>
        <v>M5XFX7</v>
      </c>
      <c r="D8416" s="2" t="s">
        <v>7389</v>
      </c>
      <c r="E8416" s="3">
        <v>1.6199999999999999E-57</v>
      </c>
      <c r="F8416" s="2">
        <v>481</v>
      </c>
      <c r="G8416" s="2">
        <v>100</v>
      </c>
      <c r="H8416" s="2">
        <v>92</v>
      </c>
      <c r="I8416" s="2">
        <v>165</v>
      </c>
      <c r="J8416" s="2">
        <v>440</v>
      </c>
      <c r="K8416" s="2">
        <v>1</v>
      </c>
      <c r="L8416" s="2">
        <v>92</v>
      </c>
    </row>
    <row r="8417" spans="1:12" x14ac:dyDescent="0.25">
      <c r="A8417" s="4" t="str">
        <f>HYPERLINK("http://www.rosaceae.org/Prunus/Prunus_persica/p.persica_gdr_reftransV1_0008966","p.persica_gdr_reftransV1_0008966")</f>
        <v>p.persica_gdr_reftransV1_0008966</v>
      </c>
      <c r="B8417" s="2">
        <v>2844</v>
      </c>
      <c r="C8417" s="4" t="str">
        <f>HYPERLINK("http://www.uniprot.org/uniprot/A0A067FAC1","A0A067FAC1")</f>
        <v>A0A067FAC1</v>
      </c>
      <c r="D8417" s="2" t="s">
        <v>7390</v>
      </c>
      <c r="E8417" s="3">
        <v>7.0599999999999995E-153</v>
      </c>
      <c r="F8417" s="2">
        <v>1208</v>
      </c>
      <c r="G8417" s="2">
        <v>62</v>
      </c>
      <c r="H8417" s="2">
        <v>410</v>
      </c>
      <c r="I8417" s="2">
        <v>1128</v>
      </c>
      <c r="J8417" s="2">
        <v>2345</v>
      </c>
      <c r="K8417" s="2">
        <v>8</v>
      </c>
      <c r="L8417" s="2">
        <v>414</v>
      </c>
    </row>
    <row r="8418" spans="1:12" x14ac:dyDescent="0.25">
      <c r="A8418" s="4" t="str">
        <f>HYPERLINK("http://www.rosaceae.org/Prunus/Prunus_persica/p.persica_gdr_reftransV1_0009316","p.persica_gdr_reftransV1_0009316")</f>
        <v>p.persica_gdr_reftransV1_0009316</v>
      </c>
      <c r="B8418" s="2">
        <v>703</v>
      </c>
      <c r="C8418" s="4" t="str">
        <f>HYPERLINK("http://www.uniprot.org/uniprot/M5Y6J0","M5Y6J0")</f>
        <v>M5Y6J0</v>
      </c>
      <c r="D8418" s="2" t="s">
        <v>7391</v>
      </c>
      <c r="E8418" s="3">
        <v>2.69E-109</v>
      </c>
      <c r="F8418" s="2">
        <v>855</v>
      </c>
      <c r="G8418" s="2">
        <v>100</v>
      </c>
      <c r="H8418" s="2">
        <v>179</v>
      </c>
      <c r="I8418" s="2">
        <v>1</v>
      </c>
      <c r="J8418" s="2">
        <v>537</v>
      </c>
      <c r="K8418" s="2">
        <v>1</v>
      </c>
      <c r="L8418" s="2">
        <v>179</v>
      </c>
    </row>
    <row r="8419" spans="1:12" x14ac:dyDescent="0.25">
      <c r="A8419" s="4" t="str">
        <f>HYPERLINK("http://www.rosaceae.org/Prunus/Prunus_persica/p.persica_gdr_reftransV1_0010016","p.persica_gdr_reftransV1_0010016")</f>
        <v>p.persica_gdr_reftransV1_0010016</v>
      </c>
      <c r="B8419" s="2">
        <v>3344</v>
      </c>
      <c r="C8419" s="4" t="str">
        <f>HYPERLINK("http://www.uniprot.org/uniprot/M5X9Z1","M5X9Z1")</f>
        <v>M5X9Z1</v>
      </c>
      <c r="D8419" s="2" t="s">
        <v>6192</v>
      </c>
      <c r="E8419" s="3">
        <v>0</v>
      </c>
      <c r="F8419" s="2">
        <v>4547</v>
      </c>
      <c r="G8419" s="2">
        <v>87</v>
      </c>
      <c r="H8419" s="2">
        <v>1119</v>
      </c>
      <c r="I8419" s="2">
        <v>2</v>
      </c>
      <c r="J8419" s="2">
        <v>3343</v>
      </c>
      <c r="K8419" s="2">
        <v>1251</v>
      </c>
      <c r="L8419" s="2">
        <v>2358</v>
      </c>
    </row>
    <row r="8420" spans="1:12" x14ac:dyDescent="0.25">
      <c r="A8420" s="4" t="str">
        <f>HYPERLINK("http://www.rosaceae.org/Prunus/Prunus_persica/p.persica_gdr_reftransV1_0010366","p.persica_gdr_reftransV1_0010366")</f>
        <v>p.persica_gdr_reftransV1_0010366</v>
      </c>
      <c r="B8420" s="2">
        <v>1897</v>
      </c>
      <c r="C8420" s="4" t="str">
        <f>HYPERLINK("http://www.uniprot.org/uniprot/M5WHX8","M5WHX8")</f>
        <v>M5WHX8</v>
      </c>
      <c r="D8420" s="2" t="s">
        <v>7392</v>
      </c>
      <c r="E8420" s="3">
        <v>0</v>
      </c>
      <c r="F8420" s="2">
        <v>2087</v>
      </c>
      <c r="G8420" s="2">
        <v>99</v>
      </c>
      <c r="H8420" s="2">
        <v>451</v>
      </c>
      <c r="I8420" s="2">
        <v>510</v>
      </c>
      <c r="J8420" s="2">
        <v>1862</v>
      </c>
      <c r="K8420" s="2">
        <v>1</v>
      </c>
      <c r="L8420" s="2">
        <v>451</v>
      </c>
    </row>
    <row r="8421" spans="1:12" x14ac:dyDescent="0.25">
      <c r="A8421" s="4" t="str">
        <f>HYPERLINK("http://www.rosaceae.org/Prunus/Prunus_persica/p.persica_gdr_reftransV1_0010716","p.persica_gdr_reftransV1_0010716")</f>
        <v>p.persica_gdr_reftransV1_0010716</v>
      </c>
      <c r="B8421" s="2">
        <v>766</v>
      </c>
      <c r="C8421" s="4" t="str">
        <f>HYPERLINK("http://www.uniprot.org/uniprot/M5XDZ1","M5XDZ1")</f>
        <v>M5XDZ1</v>
      </c>
      <c r="D8421" s="2" t="s">
        <v>7393</v>
      </c>
      <c r="E8421" s="3">
        <v>9.4600000000000006E-103</v>
      </c>
      <c r="F8421" s="2">
        <v>787</v>
      </c>
      <c r="G8421" s="2">
        <v>94</v>
      </c>
      <c r="H8421" s="2">
        <v>155</v>
      </c>
      <c r="I8421" s="2">
        <v>90</v>
      </c>
      <c r="J8421" s="2">
        <v>554</v>
      </c>
      <c r="K8421" s="2">
        <v>5</v>
      </c>
      <c r="L8421" s="2">
        <v>159</v>
      </c>
    </row>
    <row r="8422" spans="1:12" x14ac:dyDescent="0.25">
      <c r="A8422" s="4" t="str">
        <f>HYPERLINK("http://www.rosaceae.org/Prunus/Prunus_persica/p.persica_gdr_reftransV1_0011066","p.persica_gdr_reftransV1_0011066")</f>
        <v>p.persica_gdr_reftransV1_0011066</v>
      </c>
      <c r="B8422" s="2">
        <v>2807</v>
      </c>
      <c r="C8422" s="4" t="str">
        <f>HYPERLINK("http://www.uniprot.org/uniprot/M5WG22","M5WG22")</f>
        <v>M5WG22</v>
      </c>
      <c r="D8422" s="2" t="s">
        <v>7394</v>
      </c>
      <c r="E8422" s="3">
        <v>0</v>
      </c>
      <c r="F8422" s="2">
        <v>3689</v>
      </c>
      <c r="G8422" s="2">
        <v>100</v>
      </c>
      <c r="H8422" s="2">
        <v>751</v>
      </c>
      <c r="I8422" s="2">
        <v>210</v>
      </c>
      <c r="J8422" s="2">
        <v>2462</v>
      </c>
      <c r="K8422" s="2">
        <v>1</v>
      </c>
      <c r="L8422" s="2">
        <v>751</v>
      </c>
    </row>
    <row r="8423" spans="1:12" x14ac:dyDescent="0.25">
      <c r="A8423" s="4" t="str">
        <f>HYPERLINK("http://www.rosaceae.org/Prunus/Prunus_persica/p.persica_gdr_reftransV1_0011766","p.persica_gdr_reftransV1_0011766")</f>
        <v>p.persica_gdr_reftransV1_0011766</v>
      </c>
      <c r="B8423" s="2">
        <v>1745</v>
      </c>
      <c r="C8423" s="4" t="str">
        <f>HYPERLINK("http://www.uniprot.org/uniprot/M5Y1G3","M5Y1G3")</f>
        <v>M5Y1G3</v>
      </c>
      <c r="D8423" s="2" t="s">
        <v>7395</v>
      </c>
      <c r="E8423" s="3">
        <v>0</v>
      </c>
      <c r="F8423" s="2">
        <v>1420</v>
      </c>
      <c r="G8423" s="2">
        <v>100</v>
      </c>
      <c r="H8423" s="2">
        <v>276</v>
      </c>
      <c r="I8423" s="2">
        <v>656</v>
      </c>
      <c r="J8423" s="2">
        <v>1483</v>
      </c>
      <c r="K8423" s="2">
        <v>1</v>
      </c>
      <c r="L8423" s="2">
        <v>276</v>
      </c>
    </row>
    <row r="8424" spans="1:12" x14ac:dyDescent="0.25">
      <c r="A8424" s="4" t="str">
        <f>HYPERLINK("http://www.rosaceae.org/Prunus/Prunus_persica/p.persica_gdr_reftransV1_0012116","p.persica_gdr_reftransV1_0012116")</f>
        <v>p.persica_gdr_reftransV1_0012116</v>
      </c>
      <c r="B8424" s="2">
        <v>5055</v>
      </c>
      <c r="C8424" s="4" t="str">
        <f>HYPERLINK("http://www.uniprot.org/uniprot/A0A061FKD3","A0A061FKD3")</f>
        <v>A0A061FKD3</v>
      </c>
      <c r="D8424" s="2" t="s">
        <v>7396</v>
      </c>
      <c r="E8424" s="3">
        <v>0</v>
      </c>
      <c r="F8424" s="2">
        <v>6214</v>
      </c>
      <c r="G8424" s="2">
        <v>79</v>
      </c>
      <c r="H8424" s="2">
        <v>1502</v>
      </c>
      <c r="I8424" s="2">
        <v>459</v>
      </c>
      <c r="J8424" s="2">
        <v>4961</v>
      </c>
      <c r="K8424" s="2">
        <v>9</v>
      </c>
      <c r="L8424" s="2">
        <v>1510</v>
      </c>
    </row>
    <row r="8425" spans="1:12" x14ac:dyDescent="0.25">
      <c r="A8425" s="4" t="str">
        <f>HYPERLINK("http://www.rosaceae.org/Prunus/Prunus_persica/p.persica_gdr_reftransV1_0012466","p.persica_gdr_reftransV1_0012466")</f>
        <v>p.persica_gdr_reftransV1_0012466</v>
      </c>
      <c r="B8425" s="2">
        <v>618</v>
      </c>
      <c r="C8425" s="4" t="str">
        <f>HYPERLINK("http://www.uniprot.org/uniprot/M5VH61","M5VH61")</f>
        <v>M5VH61</v>
      </c>
      <c r="D8425" s="2" t="s">
        <v>2777</v>
      </c>
      <c r="E8425" s="3">
        <v>4.0499999999999997E-60</v>
      </c>
      <c r="F8425" s="2">
        <v>538</v>
      </c>
      <c r="G8425" s="2">
        <v>100</v>
      </c>
      <c r="H8425" s="2">
        <v>111</v>
      </c>
      <c r="I8425" s="2">
        <v>284</v>
      </c>
      <c r="J8425" s="2">
        <v>616</v>
      </c>
      <c r="K8425" s="2">
        <v>1</v>
      </c>
      <c r="L8425" s="2">
        <v>111</v>
      </c>
    </row>
    <row r="8426" spans="1:12" x14ac:dyDescent="0.25">
      <c r="A8426" s="4" t="str">
        <f>HYPERLINK("http://www.rosaceae.org/Prunus/Prunus_persica/p.persica_gdr_reftransV1_0015266","p.persica_gdr_reftransV1_0015266")</f>
        <v>p.persica_gdr_reftransV1_0015266</v>
      </c>
      <c r="B8426" s="2">
        <v>793</v>
      </c>
      <c r="C8426" s="4" t="str">
        <f>HYPERLINK("http://www.uniprot.org/uniprot/M5WTT2","M5WTT2")</f>
        <v>M5WTT2</v>
      </c>
      <c r="D8426" s="2" t="s">
        <v>2747</v>
      </c>
      <c r="E8426" s="3">
        <v>7.3599999999999997E-44</v>
      </c>
      <c r="F8426" s="2">
        <v>410</v>
      </c>
      <c r="G8426" s="2">
        <v>100</v>
      </c>
      <c r="H8426" s="2">
        <v>73</v>
      </c>
      <c r="I8426" s="2">
        <v>371</v>
      </c>
      <c r="J8426" s="2">
        <v>589</v>
      </c>
      <c r="K8426" s="2">
        <v>60</v>
      </c>
      <c r="L8426" s="2">
        <v>132</v>
      </c>
    </row>
    <row r="8427" spans="1:12" x14ac:dyDescent="0.25">
      <c r="A8427" s="4" t="str">
        <f>HYPERLINK("http://www.rosaceae.org/Prunus/Prunus_persica/p.persica_gdr_reftransV1_0016666","p.persica_gdr_reftransV1_0016666")</f>
        <v>p.persica_gdr_reftransV1_0016666</v>
      </c>
      <c r="B8427" s="2">
        <v>1340</v>
      </c>
      <c r="C8427" s="4" t="str">
        <f>HYPERLINK("http://www.uniprot.org/uniprot/M5XDA0","M5XDA0")</f>
        <v>M5XDA0</v>
      </c>
      <c r="D8427" s="2" t="s">
        <v>7397</v>
      </c>
      <c r="E8427" s="3">
        <v>0</v>
      </c>
      <c r="F8427" s="2">
        <v>1033</v>
      </c>
      <c r="G8427" s="2">
        <v>100</v>
      </c>
      <c r="H8427" s="2">
        <v>196</v>
      </c>
      <c r="I8427" s="2">
        <v>287</v>
      </c>
      <c r="J8427" s="2">
        <v>874</v>
      </c>
      <c r="K8427" s="2">
        <v>156</v>
      </c>
      <c r="L8427" s="2">
        <v>351</v>
      </c>
    </row>
    <row r="8428" spans="1:12" x14ac:dyDescent="0.25">
      <c r="A8428" s="4" t="str">
        <f>HYPERLINK("http://www.rosaceae.org/Prunus/Prunus_persica/p.persica_gdr_reftransV1_0017016","p.persica_gdr_reftransV1_0017016")</f>
        <v>p.persica_gdr_reftransV1_0017016</v>
      </c>
      <c r="B8428" s="2">
        <v>1930</v>
      </c>
      <c r="C8428" s="4" t="str">
        <f>HYPERLINK("http://www.uniprot.org/uniprot/M5XND5","M5XND5")</f>
        <v>M5XND5</v>
      </c>
      <c r="D8428" s="2" t="s">
        <v>7398</v>
      </c>
      <c r="E8428" s="3">
        <v>0</v>
      </c>
      <c r="F8428" s="2">
        <v>2606</v>
      </c>
      <c r="G8428" s="2">
        <v>100</v>
      </c>
      <c r="H8428" s="2">
        <v>516</v>
      </c>
      <c r="I8428" s="2">
        <v>137</v>
      </c>
      <c r="J8428" s="2">
        <v>1684</v>
      </c>
      <c r="K8428" s="2">
        <v>13</v>
      </c>
      <c r="L8428" s="2">
        <v>528</v>
      </c>
    </row>
    <row r="8429" spans="1:12" x14ac:dyDescent="0.25">
      <c r="A8429" s="4" t="str">
        <f>HYPERLINK("http://www.rosaceae.org/Prunus/Prunus_persica/p.persica_gdr_reftransV1_0018066","p.persica_gdr_reftransV1_0018066")</f>
        <v>p.persica_gdr_reftransV1_0018066</v>
      </c>
      <c r="B8429" s="2">
        <v>3547</v>
      </c>
      <c r="C8429" s="4" t="str">
        <f>HYPERLINK("http://www.uniprot.org/uniprot/M5XLM3","M5XLM3")</f>
        <v>M5XLM3</v>
      </c>
      <c r="D8429" s="2" t="s">
        <v>7399</v>
      </c>
      <c r="E8429" s="3">
        <v>0</v>
      </c>
      <c r="F8429" s="2">
        <v>3115</v>
      </c>
      <c r="G8429" s="2">
        <v>100</v>
      </c>
      <c r="H8429" s="2">
        <v>630</v>
      </c>
      <c r="I8429" s="2">
        <v>466</v>
      </c>
      <c r="J8429" s="2">
        <v>2355</v>
      </c>
      <c r="K8429" s="2">
        <v>1</v>
      </c>
      <c r="L8429" s="2">
        <v>630</v>
      </c>
    </row>
    <row r="8430" spans="1:12" x14ac:dyDescent="0.25">
      <c r="A8430" s="4" t="str">
        <f>HYPERLINK("http://www.rosaceae.org/Prunus/Prunus_persica/p.persica_gdr_reftransV1_0020516","p.persica_gdr_reftransV1_0020516")</f>
        <v>p.persica_gdr_reftransV1_0020516</v>
      </c>
      <c r="B8430" s="2">
        <v>1516</v>
      </c>
      <c r="C8430" s="4" t="str">
        <f>HYPERLINK("http://www.uniprot.org/uniprot/A0A059BZY9","A0A059BZY9")</f>
        <v>A0A059BZY9</v>
      </c>
      <c r="D8430" s="2" t="s">
        <v>7400</v>
      </c>
      <c r="E8430" s="3">
        <v>0</v>
      </c>
      <c r="F8430" s="2">
        <v>1669</v>
      </c>
      <c r="G8430" s="2">
        <v>90</v>
      </c>
      <c r="H8430" s="2">
        <v>341</v>
      </c>
      <c r="I8430" s="2">
        <v>85</v>
      </c>
      <c r="J8430" s="2">
        <v>1107</v>
      </c>
      <c r="K8430" s="2">
        <v>1</v>
      </c>
      <c r="L8430" s="2">
        <v>341</v>
      </c>
    </row>
    <row r="8431" spans="1:12" x14ac:dyDescent="0.25">
      <c r="A8431" s="4" t="str">
        <f>HYPERLINK("http://www.rosaceae.org/Prunus/Prunus_persica/p.persica_gdr_reftransV1_0020866","p.persica_gdr_reftransV1_0020866")</f>
        <v>p.persica_gdr_reftransV1_0020866</v>
      </c>
      <c r="B8431" s="2">
        <v>2161</v>
      </c>
      <c r="C8431" s="4" t="str">
        <f>HYPERLINK("http://www.uniprot.org/uniprot/M5VWC2","M5VWC2")</f>
        <v>M5VWC2</v>
      </c>
      <c r="D8431" s="2" t="s">
        <v>7401</v>
      </c>
      <c r="E8431" s="3">
        <v>0</v>
      </c>
      <c r="F8431" s="2">
        <v>2281</v>
      </c>
      <c r="G8431" s="2">
        <v>100</v>
      </c>
      <c r="H8431" s="2">
        <v>441</v>
      </c>
      <c r="I8431" s="2">
        <v>317</v>
      </c>
      <c r="J8431" s="2">
        <v>1639</v>
      </c>
      <c r="K8431" s="2">
        <v>1</v>
      </c>
      <c r="L8431" s="2">
        <v>441</v>
      </c>
    </row>
    <row r="8432" spans="1:12" x14ac:dyDescent="0.25">
      <c r="A8432" s="4" t="str">
        <f>HYPERLINK("http://www.rosaceae.org/Prunus/Prunus_persica/p.persica_gdr_reftransV1_0021216","p.persica_gdr_reftransV1_0021216")</f>
        <v>p.persica_gdr_reftransV1_0021216</v>
      </c>
      <c r="B8432" s="2">
        <v>2591</v>
      </c>
      <c r="C8432" s="4" t="str">
        <f>HYPERLINK("http://www.uniprot.org/uniprot/M5WQC8","M5WQC8")</f>
        <v>M5WQC8</v>
      </c>
      <c r="D8432" s="2" t="s">
        <v>7402</v>
      </c>
      <c r="E8432" s="3">
        <v>0</v>
      </c>
      <c r="F8432" s="2">
        <v>2881</v>
      </c>
      <c r="G8432" s="2">
        <v>100</v>
      </c>
      <c r="H8432" s="2">
        <v>673</v>
      </c>
      <c r="I8432" s="2">
        <v>167</v>
      </c>
      <c r="J8432" s="2">
        <v>2185</v>
      </c>
      <c r="K8432" s="2">
        <v>1</v>
      </c>
      <c r="L8432" s="2">
        <v>673</v>
      </c>
    </row>
    <row r="8433" spans="1:12" x14ac:dyDescent="0.25">
      <c r="A8433" s="4" t="str">
        <f>HYPERLINK("http://www.rosaceae.org/Prunus/Prunus_persica/p.persica_gdr_reftransV1_0021566","p.persica_gdr_reftransV1_0021566")</f>
        <v>p.persica_gdr_reftransV1_0021566</v>
      </c>
      <c r="B8433" s="2">
        <v>2135</v>
      </c>
      <c r="C8433" s="4" t="str">
        <f>HYPERLINK("http://www.uniprot.org/uniprot/M5XMK5","M5XMK5")</f>
        <v>M5XMK5</v>
      </c>
      <c r="D8433" s="2" t="s">
        <v>7403</v>
      </c>
      <c r="E8433" s="3">
        <v>3.49E-93</v>
      </c>
      <c r="F8433" s="2">
        <v>763</v>
      </c>
      <c r="G8433" s="2">
        <v>100</v>
      </c>
      <c r="H8433" s="2">
        <v>169</v>
      </c>
      <c r="I8433" s="2">
        <v>461</v>
      </c>
      <c r="J8433" s="2">
        <v>967</v>
      </c>
      <c r="K8433" s="2">
        <v>1</v>
      </c>
      <c r="L8433" s="2">
        <v>169</v>
      </c>
    </row>
    <row r="8434" spans="1:12" x14ac:dyDescent="0.25">
      <c r="A8434" s="4" t="str">
        <f>HYPERLINK("http://www.rosaceae.org/Prunus/Prunus_persica/p.persica_gdr_reftransV1_0023666","p.persica_gdr_reftransV1_0023666")</f>
        <v>p.persica_gdr_reftransV1_0023666</v>
      </c>
      <c r="B8434" s="2">
        <v>925</v>
      </c>
      <c r="C8434" s="4" t="str">
        <f>HYPERLINK("http://www.uniprot.org/uniprot/M5Y7Q5","M5Y7Q5")</f>
        <v>M5Y7Q5</v>
      </c>
      <c r="D8434" s="2" t="s">
        <v>7404</v>
      </c>
      <c r="E8434" s="3">
        <v>7.6600000000000004E-81</v>
      </c>
      <c r="F8434" s="2">
        <v>696</v>
      </c>
      <c r="G8434" s="2">
        <v>80</v>
      </c>
      <c r="H8434" s="2">
        <v>170</v>
      </c>
      <c r="I8434" s="2">
        <v>446</v>
      </c>
      <c r="J8434" s="2">
        <v>925</v>
      </c>
      <c r="K8434" s="2">
        <v>381</v>
      </c>
      <c r="L8434" s="2">
        <v>550</v>
      </c>
    </row>
    <row r="8435" spans="1:12" x14ac:dyDescent="0.25">
      <c r="A8435" s="4" t="str">
        <f>HYPERLINK("http://www.rosaceae.org/Prunus/Prunus_persica/p.persica_gdr_reftransV1_0024716","p.persica_gdr_reftransV1_0024716")</f>
        <v>p.persica_gdr_reftransV1_0024716</v>
      </c>
      <c r="B8435" s="2">
        <v>1863</v>
      </c>
      <c r="C8435" s="4" t="str">
        <f>HYPERLINK("http://www.uniprot.org/uniprot/M5WH31","M5WH31")</f>
        <v>M5WH31</v>
      </c>
      <c r="D8435" s="2" t="s">
        <v>7405</v>
      </c>
      <c r="E8435" s="3">
        <v>0</v>
      </c>
      <c r="F8435" s="2">
        <v>2681</v>
      </c>
      <c r="G8435" s="2">
        <v>100</v>
      </c>
      <c r="H8435" s="2">
        <v>506</v>
      </c>
      <c r="I8435" s="2">
        <v>327</v>
      </c>
      <c r="J8435" s="2">
        <v>1844</v>
      </c>
      <c r="K8435" s="2">
        <v>1</v>
      </c>
      <c r="L8435" s="2">
        <v>506</v>
      </c>
    </row>
    <row r="8436" spans="1:12" x14ac:dyDescent="0.25">
      <c r="A8436" s="4" t="str">
        <f>HYPERLINK("http://www.rosaceae.org/Prunus/Prunus_persica/p.persica_gdr_reftransV1_0026466","p.persica_gdr_reftransV1_0026466")</f>
        <v>p.persica_gdr_reftransV1_0026466</v>
      </c>
      <c r="B8436" s="2">
        <v>1442</v>
      </c>
      <c r="C8436" s="4" t="str">
        <f>HYPERLINK("http://www.uniprot.org/uniprot/M5WUL0","M5WUL0")</f>
        <v>M5WUL0</v>
      </c>
      <c r="D8436" s="2" t="s">
        <v>7406</v>
      </c>
      <c r="E8436" s="3">
        <v>1.26E-30</v>
      </c>
      <c r="F8436" s="2">
        <v>326</v>
      </c>
      <c r="G8436" s="2">
        <v>95</v>
      </c>
      <c r="H8436" s="2">
        <v>65</v>
      </c>
      <c r="I8436" s="2">
        <v>773</v>
      </c>
      <c r="J8436" s="2">
        <v>967</v>
      </c>
      <c r="K8436" s="2">
        <v>238</v>
      </c>
      <c r="L8436" s="2">
        <v>302</v>
      </c>
    </row>
    <row r="8437" spans="1:12" x14ac:dyDescent="0.25">
      <c r="A8437" s="4" t="str">
        <f>HYPERLINK("http://www.rosaceae.org/Prunus/Prunus_persica/p.persica_gdr_reftransV1_0026816","p.persica_gdr_reftransV1_0026816")</f>
        <v>p.persica_gdr_reftransV1_0026816</v>
      </c>
      <c r="B8437" s="2">
        <v>656</v>
      </c>
      <c r="C8437" s="4" t="str">
        <f>HYPERLINK("http://www.uniprot.org/uniprot/Q947D3","Q947D3")</f>
        <v>Q947D3</v>
      </c>
      <c r="D8437" s="2" t="s">
        <v>7407</v>
      </c>
      <c r="E8437" s="3">
        <v>5.9200000000000003E-78</v>
      </c>
      <c r="F8437" s="2">
        <v>616</v>
      </c>
      <c r="G8437" s="2">
        <v>99</v>
      </c>
      <c r="H8437" s="2">
        <v>124</v>
      </c>
      <c r="I8437" s="2">
        <v>284</v>
      </c>
      <c r="J8437" s="2">
        <v>655</v>
      </c>
      <c r="K8437" s="2">
        <v>10</v>
      </c>
      <c r="L8437" s="2">
        <v>133</v>
      </c>
    </row>
    <row r="8438" spans="1:12" x14ac:dyDescent="0.25">
      <c r="A8438" s="4" t="str">
        <f>HYPERLINK("http://www.rosaceae.org/Prunus/Prunus_persica/p.persica_gdr_reftransV1_0027516","p.persica_gdr_reftransV1_0027516")</f>
        <v>p.persica_gdr_reftransV1_0027516</v>
      </c>
      <c r="B8438" s="2">
        <v>1566</v>
      </c>
      <c r="C8438" s="4" t="str">
        <f>HYPERLINK("http://www.uniprot.org/uniprot/M5X1H3","M5X1H3")</f>
        <v>M5X1H3</v>
      </c>
      <c r="D8438" s="2" t="s">
        <v>7408</v>
      </c>
      <c r="E8438" s="3">
        <v>2.5400000000000001E-118</v>
      </c>
      <c r="F8438" s="2">
        <v>624</v>
      </c>
      <c r="G8438" s="2">
        <v>94</v>
      </c>
      <c r="H8438" s="2">
        <v>123</v>
      </c>
      <c r="I8438" s="2">
        <v>910</v>
      </c>
      <c r="J8438" s="2">
        <v>1266</v>
      </c>
      <c r="K8438" s="2">
        <v>108</v>
      </c>
      <c r="L8438" s="2">
        <v>230</v>
      </c>
    </row>
    <row r="8439" spans="1:12" x14ac:dyDescent="0.25">
      <c r="A8439" s="4" t="str">
        <f>HYPERLINK("http://www.rosaceae.org/Prunus/Prunus_persica/p.persica_gdr_reftransV1_0028566","p.persica_gdr_reftransV1_0028566")</f>
        <v>p.persica_gdr_reftransV1_0028566</v>
      </c>
      <c r="B8439" s="2">
        <v>1646</v>
      </c>
      <c r="C8439" s="4" t="str">
        <f>HYPERLINK("http://www.uniprot.org/uniprot/M5XXT5","M5XXT5")</f>
        <v>M5XXT5</v>
      </c>
      <c r="D8439" s="2" t="s">
        <v>2758</v>
      </c>
      <c r="E8439" s="3">
        <v>0</v>
      </c>
      <c r="F8439" s="2">
        <v>1406</v>
      </c>
      <c r="G8439" s="2">
        <v>98</v>
      </c>
      <c r="H8439" s="2">
        <v>281</v>
      </c>
      <c r="I8439" s="2">
        <v>1</v>
      </c>
      <c r="J8439" s="2">
        <v>843</v>
      </c>
      <c r="K8439" s="2">
        <v>470</v>
      </c>
      <c r="L8439" s="2">
        <v>746</v>
      </c>
    </row>
    <row r="8440" spans="1:12" x14ac:dyDescent="0.25">
      <c r="A8440" s="4" t="str">
        <f>HYPERLINK("http://www.rosaceae.org/Prunus/Prunus_persica/p.persica_gdr_reftransV1_0028916","p.persica_gdr_reftransV1_0028916")</f>
        <v>p.persica_gdr_reftransV1_0028916</v>
      </c>
      <c r="B8440" s="2">
        <v>2330</v>
      </c>
      <c r="C8440" s="4" t="str">
        <f>HYPERLINK("http://www.uniprot.org/uniprot/M5XW87","M5XW87")</f>
        <v>M5XW87</v>
      </c>
      <c r="D8440" s="2" t="s">
        <v>7409</v>
      </c>
      <c r="E8440" s="3">
        <v>0</v>
      </c>
      <c r="F8440" s="2">
        <v>1762</v>
      </c>
      <c r="G8440" s="2">
        <v>100</v>
      </c>
      <c r="H8440" s="2">
        <v>365</v>
      </c>
      <c r="I8440" s="2">
        <v>76</v>
      </c>
      <c r="J8440" s="2">
        <v>1170</v>
      </c>
      <c r="K8440" s="2">
        <v>1</v>
      </c>
      <c r="L8440" s="2">
        <v>365</v>
      </c>
    </row>
    <row r="8441" spans="1:12" x14ac:dyDescent="0.25">
      <c r="A8441" s="4" t="str">
        <f>HYPERLINK("http://www.rosaceae.org/Prunus/Prunus_persica/p.persica_gdr_reftransV1_0031716","p.persica_gdr_reftransV1_0031716")</f>
        <v>p.persica_gdr_reftransV1_0031716</v>
      </c>
      <c r="B8441" s="2">
        <v>2356</v>
      </c>
      <c r="C8441" s="4" t="str">
        <f>HYPERLINK("http://www.uniprot.org/uniprot/M5XAG6","M5XAG6")</f>
        <v>M5XAG6</v>
      </c>
      <c r="D8441" s="2" t="s">
        <v>3218</v>
      </c>
      <c r="E8441" s="3">
        <v>0</v>
      </c>
      <c r="F8441" s="2">
        <v>3264</v>
      </c>
      <c r="G8441" s="2">
        <v>100</v>
      </c>
      <c r="H8441" s="2">
        <v>654</v>
      </c>
      <c r="I8441" s="2">
        <v>393</v>
      </c>
      <c r="J8441" s="2">
        <v>2354</v>
      </c>
      <c r="K8441" s="2">
        <v>41</v>
      </c>
      <c r="L8441" s="2">
        <v>694</v>
      </c>
    </row>
    <row r="8442" spans="1:12" x14ac:dyDescent="0.25">
      <c r="A8442" s="4" t="str">
        <f>HYPERLINK("http://www.rosaceae.org/Prunus/Prunus_persica/p.persica_gdr_reftransV1_0033816","p.persica_gdr_reftransV1_0033816")</f>
        <v>p.persica_gdr_reftransV1_0033816</v>
      </c>
      <c r="B8442" s="2">
        <v>2872</v>
      </c>
      <c r="C8442" s="4" t="str">
        <f>HYPERLINK("http://www.uniprot.org/uniprot/M5WCJ7","M5WCJ7")</f>
        <v>M5WCJ7</v>
      </c>
      <c r="D8442" s="2" t="s">
        <v>7410</v>
      </c>
      <c r="E8442" s="3">
        <v>2.38E-147</v>
      </c>
      <c r="F8442" s="2">
        <v>1153</v>
      </c>
      <c r="G8442" s="2">
        <v>100</v>
      </c>
      <c r="H8442" s="2">
        <v>214</v>
      </c>
      <c r="I8442" s="2">
        <v>103</v>
      </c>
      <c r="J8442" s="2">
        <v>744</v>
      </c>
      <c r="K8442" s="2">
        <v>1</v>
      </c>
      <c r="L8442" s="2">
        <v>214</v>
      </c>
    </row>
    <row r="8443" spans="1:12" x14ac:dyDescent="0.25">
      <c r="A8443" s="4" t="str">
        <f>HYPERLINK("http://www.rosaceae.org/Prunus/Prunus_persica/p.persica_gdr_reftransV1_0034866","p.persica_gdr_reftransV1_0034866")</f>
        <v>p.persica_gdr_reftransV1_0034866</v>
      </c>
      <c r="B8443" s="2">
        <v>3321</v>
      </c>
      <c r="C8443" s="4" t="str">
        <f>HYPERLINK("http://www.uniprot.org/uniprot/M5W8A4","M5W8A4")</f>
        <v>M5W8A4</v>
      </c>
      <c r="D8443" s="2" t="s">
        <v>7411</v>
      </c>
      <c r="E8443" s="3">
        <v>0</v>
      </c>
      <c r="F8443" s="2">
        <v>3505</v>
      </c>
      <c r="G8443" s="2">
        <v>100</v>
      </c>
      <c r="H8443" s="2">
        <v>685</v>
      </c>
      <c r="I8443" s="2">
        <v>403</v>
      </c>
      <c r="J8443" s="2">
        <v>2457</v>
      </c>
      <c r="K8443" s="2">
        <v>1</v>
      </c>
      <c r="L8443" s="2">
        <v>685</v>
      </c>
    </row>
    <row r="8444" spans="1:12" x14ac:dyDescent="0.25">
      <c r="A8444" s="4" t="str">
        <f>HYPERLINK("http://www.rosaceae.org/Prunus/Prunus_persica/p.persica_gdr_reftransV1_0036616","p.persica_gdr_reftransV1_0036616")</f>
        <v>p.persica_gdr_reftransV1_0036616</v>
      </c>
      <c r="B8444" s="2">
        <v>2266</v>
      </c>
      <c r="C8444" s="4" t="str">
        <f>HYPERLINK("http://www.uniprot.org/uniprot/M5VQA0","M5VQA0")</f>
        <v>M5VQA0</v>
      </c>
      <c r="D8444" s="2" t="s">
        <v>7412</v>
      </c>
      <c r="E8444" s="3">
        <v>1.97E-180</v>
      </c>
      <c r="F8444" s="2">
        <v>1130</v>
      </c>
      <c r="G8444" s="2">
        <v>100</v>
      </c>
      <c r="H8444" s="2">
        <v>222</v>
      </c>
      <c r="I8444" s="2">
        <v>291</v>
      </c>
      <c r="J8444" s="2">
        <v>956</v>
      </c>
      <c r="K8444" s="2">
        <v>288</v>
      </c>
      <c r="L8444" s="2">
        <v>509</v>
      </c>
    </row>
    <row r="8445" spans="1:12" x14ac:dyDescent="0.25">
      <c r="A8445" s="4" t="str">
        <f>HYPERLINK("http://www.rosaceae.org/Prunus/Prunus_persica/p.persica_gdr_reftransV1_0036966","p.persica_gdr_reftransV1_0036966")</f>
        <v>p.persica_gdr_reftransV1_0036966</v>
      </c>
      <c r="B8445" s="2">
        <v>2134</v>
      </c>
      <c r="C8445" s="4" t="str">
        <f>HYPERLINK("http://www.uniprot.org/uniprot/M5WZE4","M5WZE4")</f>
        <v>M5WZE4</v>
      </c>
      <c r="D8445" s="2" t="s">
        <v>7413</v>
      </c>
      <c r="E8445" s="3">
        <v>0</v>
      </c>
      <c r="F8445" s="2">
        <v>2472</v>
      </c>
      <c r="G8445" s="2">
        <v>100</v>
      </c>
      <c r="H8445" s="2">
        <v>461</v>
      </c>
      <c r="I8445" s="2">
        <v>467</v>
      </c>
      <c r="J8445" s="2">
        <v>1849</v>
      </c>
      <c r="K8445" s="2">
        <v>1</v>
      </c>
      <c r="L8445" s="2">
        <v>461</v>
      </c>
    </row>
    <row r="8446" spans="1:12" x14ac:dyDescent="0.25">
      <c r="A8446" s="4" t="str">
        <f>HYPERLINK("http://www.rosaceae.org/Prunus/Prunus_persica/p.persica_gdr_reftransV1_0038716","p.persica_gdr_reftransV1_0038716")</f>
        <v>p.persica_gdr_reftransV1_0038716</v>
      </c>
      <c r="B8446" s="2">
        <v>1609</v>
      </c>
      <c r="C8446" s="4" t="str">
        <f>HYPERLINK("http://www.uniprot.org/uniprot/M5XM79","M5XM79")</f>
        <v>M5XM79</v>
      </c>
      <c r="D8446" s="2" t="s">
        <v>7414</v>
      </c>
      <c r="E8446" s="3">
        <v>2.05E-61</v>
      </c>
      <c r="F8446" s="2">
        <v>529</v>
      </c>
      <c r="G8446" s="2">
        <v>100</v>
      </c>
      <c r="H8446" s="2">
        <v>100</v>
      </c>
      <c r="I8446" s="2">
        <v>1202</v>
      </c>
      <c r="J8446" s="2">
        <v>1501</v>
      </c>
      <c r="K8446" s="2">
        <v>1</v>
      </c>
      <c r="L8446" s="2">
        <v>100</v>
      </c>
    </row>
    <row r="8447" spans="1:12" x14ac:dyDescent="0.25">
      <c r="A8447" s="4" t="str">
        <f>HYPERLINK("http://www.rosaceae.org/Prunus/Prunus_persica/p.persica_gdr_reftransV1_0040116","p.persica_gdr_reftransV1_0040116")</f>
        <v>p.persica_gdr_reftransV1_0040116</v>
      </c>
      <c r="B8447" s="2">
        <v>2947</v>
      </c>
      <c r="C8447" s="4" t="str">
        <f>HYPERLINK("http://www.uniprot.org/uniprot/M5VTZ3","M5VTZ3")</f>
        <v>M5VTZ3</v>
      </c>
      <c r="D8447" s="2" t="s">
        <v>7415</v>
      </c>
      <c r="E8447" s="3">
        <v>0</v>
      </c>
      <c r="F8447" s="2">
        <v>2624</v>
      </c>
      <c r="G8447" s="2">
        <v>100</v>
      </c>
      <c r="H8447" s="2">
        <v>526</v>
      </c>
      <c r="I8447" s="2">
        <v>497</v>
      </c>
      <c r="J8447" s="2">
        <v>2074</v>
      </c>
      <c r="K8447" s="2">
        <v>1</v>
      </c>
      <c r="L8447" s="2">
        <v>526</v>
      </c>
    </row>
    <row r="8448" spans="1:12" x14ac:dyDescent="0.25">
      <c r="A8448" s="4" t="str">
        <f>HYPERLINK("http://www.rosaceae.org/Prunus/Prunus_persica/p.persica_gdr_reftransV1_0040466","p.persica_gdr_reftransV1_0040466")</f>
        <v>p.persica_gdr_reftransV1_0040466</v>
      </c>
      <c r="B8448" s="2">
        <v>2361</v>
      </c>
      <c r="C8448" s="4" t="str">
        <f>HYPERLINK("http://www.uniprot.org/uniprot/M5WUZ9","M5WUZ9")</f>
        <v>M5WUZ9</v>
      </c>
      <c r="D8448" s="2" t="s">
        <v>7416</v>
      </c>
      <c r="E8448" s="3">
        <v>4.0100000000000002E-127</v>
      </c>
      <c r="F8448" s="2">
        <v>1004</v>
      </c>
      <c r="G8448" s="2">
        <v>100</v>
      </c>
      <c r="H8448" s="2">
        <v>219</v>
      </c>
      <c r="I8448" s="2">
        <v>1455</v>
      </c>
      <c r="J8448" s="2">
        <v>2111</v>
      </c>
      <c r="K8448" s="2">
        <v>14</v>
      </c>
      <c r="L8448" s="2">
        <v>232</v>
      </c>
    </row>
    <row r="8449" spans="1:12" x14ac:dyDescent="0.25">
      <c r="A8449" s="4" t="str">
        <f>HYPERLINK("http://www.rosaceae.org/Prunus/Prunus_persica/p.persica_gdr_reftransV1_0041166","p.persica_gdr_reftransV1_0041166")</f>
        <v>p.persica_gdr_reftransV1_0041166</v>
      </c>
      <c r="B8449" s="2">
        <v>2591</v>
      </c>
      <c r="C8449" s="4" t="str">
        <f>HYPERLINK("http://www.uniprot.org/uniprot/M5WAK8","M5WAK8")</f>
        <v>M5WAK8</v>
      </c>
      <c r="D8449" s="2" t="s">
        <v>7417</v>
      </c>
      <c r="E8449" s="3">
        <v>3.8700000000000001E-90</v>
      </c>
      <c r="F8449" s="2">
        <v>756</v>
      </c>
      <c r="G8449" s="2">
        <v>100</v>
      </c>
      <c r="H8449" s="2">
        <v>142</v>
      </c>
      <c r="I8449" s="2">
        <v>1158</v>
      </c>
      <c r="J8449" s="2">
        <v>1583</v>
      </c>
      <c r="K8449" s="2">
        <v>1</v>
      </c>
      <c r="L8449" s="2">
        <v>142</v>
      </c>
    </row>
    <row r="8450" spans="1:12" x14ac:dyDescent="0.25">
      <c r="A8450" s="4" t="str">
        <f>HYPERLINK("http://www.rosaceae.org/Prunus/Prunus_persica/p.persica_gdr_reftransV1_0043266","p.persica_gdr_reftransV1_0043266")</f>
        <v>p.persica_gdr_reftransV1_0043266</v>
      </c>
      <c r="B8450" s="2">
        <v>2034</v>
      </c>
      <c r="C8450" s="4" t="str">
        <f>HYPERLINK("http://www.uniprot.org/uniprot/M5Y1P6","M5Y1P6")</f>
        <v>M5Y1P6</v>
      </c>
      <c r="D8450" s="2" t="s">
        <v>7418</v>
      </c>
      <c r="E8450" s="3">
        <v>0</v>
      </c>
      <c r="F8450" s="2">
        <v>2729</v>
      </c>
      <c r="G8450" s="2">
        <v>100</v>
      </c>
      <c r="H8450" s="2">
        <v>573</v>
      </c>
      <c r="I8450" s="2">
        <v>314</v>
      </c>
      <c r="J8450" s="2">
        <v>2032</v>
      </c>
      <c r="K8450" s="2">
        <v>106</v>
      </c>
      <c r="L8450" s="2">
        <v>678</v>
      </c>
    </row>
    <row r="8451" spans="1:12" x14ac:dyDescent="0.25">
      <c r="A8451" s="4" t="str">
        <f>HYPERLINK("http://www.rosaceae.org/Prunus/Prunus_persica/p.persica_gdr_reftransV1_0043616","p.persica_gdr_reftransV1_0043616")</f>
        <v>p.persica_gdr_reftransV1_0043616</v>
      </c>
      <c r="B8451" s="2">
        <v>3623</v>
      </c>
      <c r="C8451" s="4" t="str">
        <f>HYPERLINK("http://www.uniprot.org/uniprot/M5X833","M5X833")</f>
        <v>M5X833</v>
      </c>
      <c r="D8451" s="2" t="s">
        <v>7419</v>
      </c>
      <c r="E8451" s="3">
        <v>0</v>
      </c>
      <c r="F8451" s="2">
        <v>5538</v>
      </c>
      <c r="G8451" s="2">
        <v>100</v>
      </c>
      <c r="H8451" s="2">
        <v>1021</v>
      </c>
      <c r="I8451" s="2">
        <v>205</v>
      </c>
      <c r="J8451" s="2">
        <v>3267</v>
      </c>
      <c r="K8451" s="2">
        <v>1</v>
      </c>
      <c r="L8451" s="2">
        <v>1021</v>
      </c>
    </row>
    <row r="8452" spans="1:12" x14ac:dyDescent="0.25">
      <c r="A8452" s="4" t="str">
        <f>HYPERLINK("http://www.rosaceae.org/Prunus/Prunus_persica/p.persica_gdr_reftransV1_0044316","p.persica_gdr_reftransV1_0044316")</f>
        <v>p.persica_gdr_reftransV1_0044316</v>
      </c>
      <c r="B8452" s="2">
        <v>2072</v>
      </c>
      <c r="C8452" s="4" t="str">
        <f>HYPERLINK("http://www.uniprot.org/uniprot/M5WG91","M5WG91")</f>
        <v>M5WG91</v>
      </c>
      <c r="D8452" s="2" t="s">
        <v>7420</v>
      </c>
      <c r="E8452" s="3">
        <v>0</v>
      </c>
      <c r="F8452" s="2">
        <v>2886</v>
      </c>
      <c r="G8452" s="2">
        <v>100</v>
      </c>
      <c r="H8452" s="2">
        <v>537</v>
      </c>
      <c r="I8452" s="2">
        <v>294</v>
      </c>
      <c r="J8452" s="2">
        <v>1904</v>
      </c>
      <c r="K8452" s="2">
        <v>1</v>
      </c>
      <c r="L8452" s="2">
        <v>537</v>
      </c>
    </row>
    <row r="8453" spans="1:12" x14ac:dyDescent="0.25">
      <c r="A8453" s="4" t="str">
        <f>HYPERLINK("http://www.rosaceae.org/Prunus/Prunus_persica/p.persica_gdr_reftransV1_0045016","p.persica_gdr_reftransV1_0045016")</f>
        <v>p.persica_gdr_reftransV1_0045016</v>
      </c>
      <c r="B8453" s="2">
        <v>2637</v>
      </c>
      <c r="C8453" s="4" t="str">
        <f>HYPERLINK("http://www.uniprot.org/uniprot/M5WQG4","M5WQG4")</f>
        <v>M5WQG4</v>
      </c>
      <c r="D8453" s="2" t="s">
        <v>7421</v>
      </c>
      <c r="E8453" s="3">
        <v>0</v>
      </c>
      <c r="F8453" s="2">
        <v>3813</v>
      </c>
      <c r="G8453" s="2">
        <v>100</v>
      </c>
      <c r="H8453" s="2">
        <v>746</v>
      </c>
      <c r="I8453" s="2">
        <v>35</v>
      </c>
      <c r="J8453" s="2">
        <v>2272</v>
      </c>
      <c r="K8453" s="2">
        <v>30</v>
      </c>
      <c r="L8453" s="2">
        <v>775</v>
      </c>
    </row>
    <row r="8454" spans="1:12" x14ac:dyDescent="0.25">
      <c r="A8454" s="4" t="str">
        <f>HYPERLINK("http://www.rosaceae.org/Prunus/Prunus_persica/p.persica_gdr_reftransV1_0045366","p.persica_gdr_reftransV1_0045366")</f>
        <v>p.persica_gdr_reftransV1_0045366</v>
      </c>
      <c r="B8454" s="2">
        <v>636</v>
      </c>
      <c r="C8454" s="4" t="str">
        <f>HYPERLINK("http://www.uniprot.org/uniprot/M5WM08","M5WM08")</f>
        <v>M5WM08</v>
      </c>
      <c r="D8454" s="2" t="s">
        <v>7056</v>
      </c>
      <c r="E8454" s="3">
        <v>4.7099999999999997E-99</v>
      </c>
      <c r="F8454" s="2">
        <v>782</v>
      </c>
      <c r="G8454" s="2">
        <v>99</v>
      </c>
      <c r="H8454" s="2">
        <v>151</v>
      </c>
      <c r="I8454" s="2">
        <v>1</v>
      </c>
      <c r="J8454" s="2">
        <v>453</v>
      </c>
      <c r="K8454" s="2">
        <v>10</v>
      </c>
      <c r="L8454" s="2">
        <v>160</v>
      </c>
    </row>
    <row r="8455" spans="1:12" x14ac:dyDescent="0.25">
      <c r="A8455" s="4" t="str">
        <f>HYPERLINK("http://www.rosaceae.org/Prunus/Prunus_persica/p.persica_gdr_reftransV1_0045716","p.persica_gdr_reftransV1_0045716")</f>
        <v>p.persica_gdr_reftransV1_0045716</v>
      </c>
      <c r="B8455" s="2">
        <v>871</v>
      </c>
      <c r="C8455" s="4" t="str">
        <f>HYPERLINK("http://www.uniprot.org/uniprot/M5XJF7","M5XJF7")</f>
        <v>M5XJF7</v>
      </c>
      <c r="D8455" s="2" t="s">
        <v>7422</v>
      </c>
      <c r="E8455" s="3">
        <v>1.68E-165</v>
      </c>
      <c r="F8455" s="2">
        <v>1218</v>
      </c>
      <c r="G8455" s="2">
        <v>99</v>
      </c>
      <c r="H8455" s="2">
        <v>287</v>
      </c>
      <c r="I8455" s="2">
        <v>1</v>
      </c>
      <c r="J8455" s="2">
        <v>861</v>
      </c>
      <c r="K8455" s="2">
        <v>6</v>
      </c>
      <c r="L8455" s="2">
        <v>292</v>
      </c>
    </row>
    <row r="8456" spans="1:12" x14ac:dyDescent="0.25">
      <c r="A8456" s="4" t="str">
        <f>HYPERLINK("http://www.rosaceae.org/Prunus/Prunus_persica/p.persica_gdr_reftransV1_0046416","p.persica_gdr_reftransV1_0046416")</f>
        <v>p.persica_gdr_reftransV1_0046416</v>
      </c>
      <c r="B8456" s="2">
        <v>987</v>
      </c>
      <c r="C8456" s="4" t="str">
        <f>HYPERLINK("http://www.uniprot.org/uniprot/M5WAU7","M5WAU7")</f>
        <v>M5WAU7</v>
      </c>
      <c r="D8456" s="2" t="s">
        <v>7423</v>
      </c>
      <c r="E8456" s="3">
        <v>8.1499999999999993E-83</v>
      </c>
      <c r="F8456" s="2">
        <v>662</v>
      </c>
      <c r="G8456" s="2">
        <v>94</v>
      </c>
      <c r="H8456" s="2">
        <v>155</v>
      </c>
      <c r="I8456" s="2">
        <v>196</v>
      </c>
      <c r="J8456" s="2">
        <v>660</v>
      </c>
      <c r="K8456" s="2">
        <v>1</v>
      </c>
      <c r="L8456" s="2">
        <v>152</v>
      </c>
    </row>
    <row r="8457" spans="1:12" x14ac:dyDescent="0.25">
      <c r="A8457" s="4" t="str">
        <f>HYPERLINK("http://www.rosaceae.org/Prunus/Prunus_persica/p.persica_gdr_reftransV1_0046766","p.persica_gdr_reftransV1_0046766")</f>
        <v>p.persica_gdr_reftransV1_0046766</v>
      </c>
      <c r="B8457" s="2">
        <v>1805</v>
      </c>
      <c r="C8457" s="4" t="str">
        <f>HYPERLINK("http://www.uniprot.org/uniprot/M5VRQ2","M5VRQ2")</f>
        <v>M5VRQ2</v>
      </c>
      <c r="D8457" s="2" t="s">
        <v>7424</v>
      </c>
      <c r="E8457" s="3">
        <v>1.2900000000000001E-15</v>
      </c>
      <c r="F8457" s="2">
        <v>203</v>
      </c>
      <c r="G8457" s="2">
        <v>83</v>
      </c>
      <c r="H8457" s="2">
        <v>64</v>
      </c>
      <c r="I8457" s="2">
        <v>479</v>
      </c>
      <c r="J8457" s="2">
        <v>670</v>
      </c>
      <c r="K8457" s="2">
        <v>1</v>
      </c>
      <c r="L8457" s="2">
        <v>64</v>
      </c>
    </row>
    <row r="8458" spans="1:12" x14ac:dyDescent="0.25">
      <c r="A8458" s="4" t="str">
        <f>HYPERLINK("http://www.rosaceae.org/Prunus/Prunus_persica/p.persica_gdr_reftransV1_0047116","p.persica_gdr_reftransV1_0047116")</f>
        <v>p.persica_gdr_reftransV1_0047116</v>
      </c>
      <c r="B8458" s="2">
        <v>2534</v>
      </c>
      <c r="C8458" s="4" t="str">
        <f>HYPERLINK("http://www.uniprot.org/uniprot/M5X2S9","M5X2S9")</f>
        <v>M5X2S9</v>
      </c>
      <c r="D8458" s="2" t="s">
        <v>7425</v>
      </c>
      <c r="E8458" s="3">
        <v>0</v>
      </c>
      <c r="F8458" s="2">
        <v>2329</v>
      </c>
      <c r="G8458" s="2">
        <v>100</v>
      </c>
      <c r="H8458" s="2">
        <v>493</v>
      </c>
      <c r="I8458" s="2">
        <v>85</v>
      </c>
      <c r="J8458" s="2">
        <v>1563</v>
      </c>
      <c r="K8458" s="2">
        <v>10</v>
      </c>
      <c r="L8458" s="2">
        <v>502</v>
      </c>
    </row>
    <row r="8459" spans="1:12" x14ac:dyDescent="0.25">
      <c r="A8459" s="4" t="str">
        <f>HYPERLINK("http://www.rosaceae.org/Prunus/Prunus_persica/p.persica_gdr_reftransV1_0047466","p.persica_gdr_reftransV1_0047466")</f>
        <v>p.persica_gdr_reftransV1_0047466</v>
      </c>
      <c r="B8459" s="2">
        <v>1183</v>
      </c>
      <c r="C8459" s="4" t="str">
        <f>HYPERLINK("http://www.uniprot.org/uniprot/M5X5C6","M5X5C6")</f>
        <v>M5X5C6</v>
      </c>
      <c r="D8459" s="2" t="s">
        <v>7426</v>
      </c>
      <c r="E8459" s="3">
        <v>4.1099999999999999E-39</v>
      </c>
      <c r="F8459" s="2">
        <v>378</v>
      </c>
      <c r="G8459" s="2">
        <v>100</v>
      </c>
      <c r="H8459" s="2">
        <v>72</v>
      </c>
      <c r="I8459" s="2">
        <v>339</v>
      </c>
      <c r="J8459" s="2">
        <v>554</v>
      </c>
      <c r="K8459" s="2">
        <v>1</v>
      </c>
      <c r="L8459" s="2">
        <v>72</v>
      </c>
    </row>
    <row r="8460" spans="1:12" x14ac:dyDescent="0.25">
      <c r="A8460" s="4" t="str">
        <f>HYPERLINK("http://www.rosaceae.org/Prunus/Prunus_persica/p.persica_gdr_reftransV1_0047816","p.persica_gdr_reftransV1_0047816")</f>
        <v>p.persica_gdr_reftransV1_0047816</v>
      </c>
      <c r="B8460" s="2">
        <v>1480</v>
      </c>
      <c r="C8460" s="4" t="str">
        <f>HYPERLINK("http://www.uniprot.org/uniprot/M5W850","M5W850")</f>
        <v>M5W850</v>
      </c>
      <c r="D8460" s="2" t="s">
        <v>7427</v>
      </c>
      <c r="E8460" s="3">
        <v>0</v>
      </c>
      <c r="F8460" s="2">
        <v>2406</v>
      </c>
      <c r="G8460" s="2">
        <v>100</v>
      </c>
      <c r="H8460" s="2">
        <v>447</v>
      </c>
      <c r="I8460" s="2">
        <v>3</v>
      </c>
      <c r="J8460" s="2">
        <v>1343</v>
      </c>
      <c r="K8460" s="2">
        <v>108</v>
      </c>
      <c r="L8460" s="2">
        <v>554</v>
      </c>
    </row>
    <row r="8461" spans="1:12" x14ac:dyDescent="0.25">
      <c r="A8461" s="4" t="str">
        <f>HYPERLINK("http://www.rosaceae.org/Prunus/Prunus_persica/p.persica_gdr_reftransV1_0048166","p.persica_gdr_reftransV1_0048166")</f>
        <v>p.persica_gdr_reftransV1_0048166</v>
      </c>
      <c r="B8461" s="2">
        <v>1281</v>
      </c>
      <c r="C8461" s="4" t="str">
        <f>HYPERLINK("http://www.uniprot.org/uniprot/M5X0I4","M5X0I4")</f>
        <v>M5X0I4</v>
      </c>
      <c r="D8461" s="2" t="s">
        <v>4671</v>
      </c>
      <c r="E8461" s="3">
        <v>2.3799999999999999E-125</v>
      </c>
      <c r="F8461" s="2">
        <v>972</v>
      </c>
      <c r="G8461" s="2">
        <v>100</v>
      </c>
      <c r="H8461" s="2">
        <v>223</v>
      </c>
      <c r="I8461" s="2">
        <v>612</v>
      </c>
      <c r="J8461" s="2">
        <v>1280</v>
      </c>
      <c r="K8461" s="2">
        <v>1</v>
      </c>
      <c r="L8461" s="2">
        <v>223</v>
      </c>
    </row>
    <row r="8462" spans="1:12" x14ac:dyDescent="0.25">
      <c r="A8462" s="4" t="str">
        <f>HYPERLINK("http://www.rosaceae.org/Prunus/Prunus_persica/p.persica_gdr_reftransV1_0048516","p.persica_gdr_reftransV1_0048516")</f>
        <v>p.persica_gdr_reftransV1_0048516</v>
      </c>
      <c r="B8462" s="2">
        <v>446</v>
      </c>
      <c r="C8462" s="4" t="str">
        <f>HYPERLINK("http://www.uniprot.org/uniprot/O03015","O03015")</f>
        <v>O03015</v>
      </c>
      <c r="D8462" s="2" t="s">
        <v>7428</v>
      </c>
      <c r="E8462" s="3">
        <v>2.37E-82</v>
      </c>
      <c r="F8462" s="2">
        <v>643</v>
      </c>
      <c r="G8462" s="2">
        <v>95</v>
      </c>
      <c r="H8462" s="2">
        <v>128</v>
      </c>
      <c r="I8462" s="2">
        <v>61</v>
      </c>
      <c r="J8462" s="2">
        <v>444</v>
      </c>
      <c r="K8462" s="2">
        <v>41</v>
      </c>
      <c r="L8462" s="2">
        <v>168</v>
      </c>
    </row>
    <row r="8463" spans="1:12" x14ac:dyDescent="0.25">
      <c r="A8463" s="4" t="str">
        <f>HYPERLINK("http://www.rosaceae.org/Prunus/Prunus_persica/p.persica_gdr_reftransV1_0048866","p.persica_gdr_reftransV1_0048866")</f>
        <v>p.persica_gdr_reftransV1_0048866</v>
      </c>
      <c r="B8463" s="2">
        <v>1590</v>
      </c>
      <c r="C8463" s="4" t="str">
        <f>HYPERLINK("http://www.uniprot.org/uniprot/M5Y462","M5Y462")</f>
        <v>M5Y462</v>
      </c>
      <c r="D8463" s="2" t="s">
        <v>7429</v>
      </c>
      <c r="E8463" s="3">
        <v>0</v>
      </c>
      <c r="F8463" s="2">
        <v>2807</v>
      </c>
      <c r="G8463" s="2">
        <v>100</v>
      </c>
      <c r="H8463" s="2">
        <v>529</v>
      </c>
      <c r="I8463" s="2">
        <v>1</v>
      </c>
      <c r="J8463" s="2">
        <v>1584</v>
      </c>
      <c r="K8463" s="2">
        <v>110</v>
      </c>
      <c r="L8463" s="2">
        <v>638</v>
      </c>
    </row>
    <row r="8464" spans="1:12" x14ac:dyDescent="0.25">
      <c r="A8464" s="4" t="str">
        <f>HYPERLINK("http://www.rosaceae.org/Prunus/Prunus_persica/p.persica_gdr_reftransV1_0000217","p.persica_gdr_reftransV1_0000217")</f>
        <v>p.persica_gdr_reftransV1_0000217</v>
      </c>
      <c r="B8464" s="2">
        <v>616</v>
      </c>
      <c r="C8464" s="4" t="str">
        <f>HYPERLINK("http://www.uniprot.org/uniprot/M5VMZ5","M5VMZ5")</f>
        <v>M5VMZ5</v>
      </c>
      <c r="D8464" s="2" t="s">
        <v>7430</v>
      </c>
      <c r="E8464" s="3">
        <v>1.3800000000000001E-88</v>
      </c>
      <c r="F8464" s="2">
        <v>689</v>
      </c>
      <c r="G8464" s="2">
        <v>100</v>
      </c>
      <c r="H8464" s="2">
        <v>149</v>
      </c>
      <c r="I8464" s="2">
        <v>170</v>
      </c>
      <c r="J8464" s="2">
        <v>616</v>
      </c>
      <c r="K8464" s="2">
        <v>1</v>
      </c>
      <c r="L8464" s="2">
        <v>149</v>
      </c>
    </row>
    <row r="8465" spans="1:12" x14ac:dyDescent="0.25">
      <c r="A8465" s="4" t="str">
        <f>HYPERLINK("http://www.rosaceae.org/Prunus/Prunus_persica/p.persica_gdr_reftransV1_0000567","p.persica_gdr_reftransV1_0000567")</f>
        <v>p.persica_gdr_reftransV1_0000567</v>
      </c>
      <c r="B8465" s="2">
        <v>317</v>
      </c>
      <c r="C8465" s="4" t="str">
        <f>HYPERLINK("http://www.uniprot.org/uniprot/M5WPZ1","M5WPZ1")</f>
        <v>M5WPZ1</v>
      </c>
      <c r="D8465" s="2" t="s">
        <v>3735</v>
      </c>
      <c r="E8465" s="3">
        <v>1.84E-62</v>
      </c>
      <c r="F8465" s="2">
        <v>550</v>
      </c>
      <c r="G8465" s="2">
        <v>100</v>
      </c>
      <c r="H8465" s="2">
        <v>105</v>
      </c>
      <c r="I8465" s="2">
        <v>1</v>
      </c>
      <c r="J8465" s="2">
        <v>315</v>
      </c>
      <c r="K8465" s="2">
        <v>32</v>
      </c>
      <c r="L8465" s="2">
        <v>136</v>
      </c>
    </row>
    <row r="8466" spans="1:12" x14ac:dyDescent="0.25">
      <c r="A8466" s="4" t="str">
        <f>HYPERLINK("http://www.rosaceae.org/Prunus/Prunus_persica/p.persica_gdr_reftransV1_0001267","p.persica_gdr_reftransV1_0001267")</f>
        <v>p.persica_gdr_reftransV1_0001267</v>
      </c>
      <c r="B8466" s="2">
        <v>1921</v>
      </c>
      <c r="C8466" s="4" t="str">
        <f>HYPERLINK("http://www.uniprot.org/uniprot/M5WFG5","M5WFG5")</f>
        <v>M5WFG5</v>
      </c>
      <c r="D8466" s="2" t="s">
        <v>5192</v>
      </c>
      <c r="E8466" s="3">
        <v>0</v>
      </c>
      <c r="F8466" s="2">
        <v>2507</v>
      </c>
      <c r="G8466" s="2">
        <v>100</v>
      </c>
      <c r="H8466" s="2">
        <v>515</v>
      </c>
      <c r="I8466" s="2">
        <v>144</v>
      </c>
      <c r="J8466" s="2">
        <v>1688</v>
      </c>
      <c r="K8466" s="2">
        <v>1</v>
      </c>
      <c r="L8466" s="2">
        <v>515</v>
      </c>
    </row>
    <row r="8467" spans="1:12" x14ac:dyDescent="0.25">
      <c r="A8467" s="4" t="str">
        <f>HYPERLINK("http://www.rosaceae.org/Prunus/Prunus_persica/p.persica_gdr_reftransV1_0001617","p.persica_gdr_reftransV1_0001617")</f>
        <v>p.persica_gdr_reftransV1_0001617</v>
      </c>
      <c r="B8467" s="2">
        <v>372</v>
      </c>
      <c r="C8467" s="4" t="str">
        <f>HYPERLINK("http://www.uniprot.org/uniprot/M5WL42","M5WL42")</f>
        <v>M5WL42</v>
      </c>
      <c r="D8467" s="2" t="s">
        <v>3451</v>
      </c>
      <c r="E8467" s="3">
        <v>3.09E-29</v>
      </c>
      <c r="F8467" s="2">
        <v>306</v>
      </c>
      <c r="G8467" s="2">
        <v>60</v>
      </c>
      <c r="H8467" s="2">
        <v>113</v>
      </c>
      <c r="I8467" s="2">
        <v>1</v>
      </c>
      <c r="J8467" s="2">
        <v>336</v>
      </c>
      <c r="K8467" s="2">
        <v>683</v>
      </c>
      <c r="L8467" s="2">
        <v>795</v>
      </c>
    </row>
    <row r="8468" spans="1:12" x14ac:dyDescent="0.25">
      <c r="A8468" s="4" t="str">
        <f>HYPERLINK("http://www.rosaceae.org/Prunus/Prunus_persica/p.persica_gdr_reftransV1_0001967","p.persica_gdr_reftransV1_0001967")</f>
        <v>p.persica_gdr_reftransV1_0001967</v>
      </c>
      <c r="B8468" s="2">
        <v>4420</v>
      </c>
      <c r="C8468" s="4" t="str">
        <f>HYPERLINK("http://www.uniprot.org/uniprot/M5XNL7","M5XNL7")</f>
        <v>M5XNL7</v>
      </c>
      <c r="D8468" s="2" t="s">
        <v>7431</v>
      </c>
      <c r="E8468" s="3">
        <v>0</v>
      </c>
      <c r="F8468" s="2">
        <v>3274</v>
      </c>
      <c r="G8468" s="2">
        <v>100</v>
      </c>
      <c r="H8468" s="2">
        <v>719</v>
      </c>
      <c r="I8468" s="2">
        <v>1990</v>
      </c>
      <c r="J8468" s="2">
        <v>4146</v>
      </c>
      <c r="K8468" s="2">
        <v>1</v>
      </c>
      <c r="L8468" s="2">
        <v>719</v>
      </c>
    </row>
    <row r="8469" spans="1:12" x14ac:dyDescent="0.25">
      <c r="A8469" s="4" t="str">
        <f>HYPERLINK("http://www.rosaceae.org/Prunus/Prunus_persica/p.persica_gdr_reftransV1_0002317","p.persica_gdr_reftransV1_0002317")</f>
        <v>p.persica_gdr_reftransV1_0002317</v>
      </c>
      <c r="B8469" s="2">
        <v>6859</v>
      </c>
      <c r="C8469" s="4" t="str">
        <f>HYPERLINK("http://www.uniprot.org/uniprot/M5WPU7","M5WPU7")</f>
        <v>M5WPU7</v>
      </c>
      <c r="D8469" s="2" t="s">
        <v>7432</v>
      </c>
      <c r="E8469" s="3">
        <v>0</v>
      </c>
      <c r="F8469" s="2">
        <v>3774</v>
      </c>
      <c r="G8469" s="2">
        <v>98</v>
      </c>
      <c r="H8469" s="2">
        <v>755</v>
      </c>
      <c r="I8469" s="2">
        <v>265</v>
      </c>
      <c r="J8469" s="2">
        <v>2517</v>
      </c>
      <c r="K8469" s="2">
        <v>72</v>
      </c>
      <c r="L8469" s="2">
        <v>824</v>
      </c>
    </row>
    <row r="8470" spans="1:12" x14ac:dyDescent="0.25">
      <c r="A8470" s="4" t="str">
        <f>HYPERLINK("http://www.rosaceae.org/Prunus/Prunus_persica/p.persica_gdr_reftransV1_0002667","p.persica_gdr_reftransV1_0002667")</f>
        <v>p.persica_gdr_reftransV1_0002667</v>
      </c>
      <c r="B8470" s="2">
        <v>501</v>
      </c>
      <c r="C8470" s="4" t="str">
        <f>HYPERLINK("http://www.uniprot.org/uniprot/M5WZM5","M5WZM5")</f>
        <v>M5WZM5</v>
      </c>
      <c r="D8470" s="2" t="s">
        <v>7433</v>
      </c>
      <c r="E8470" s="3">
        <v>3.0999999999999998E-27</v>
      </c>
      <c r="F8470" s="2">
        <v>273</v>
      </c>
      <c r="G8470" s="2">
        <v>61</v>
      </c>
      <c r="H8470" s="2">
        <v>84</v>
      </c>
      <c r="I8470" s="2">
        <v>197</v>
      </c>
      <c r="J8470" s="2">
        <v>448</v>
      </c>
      <c r="K8470" s="2">
        <v>2</v>
      </c>
      <c r="L8470" s="2">
        <v>85</v>
      </c>
    </row>
    <row r="8471" spans="1:12" x14ac:dyDescent="0.25">
      <c r="A8471" s="4" t="str">
        <f>HYPERLINK("http://www.rosaceae.org/Prunus/Prunus_persica/p.persica_gdr_reftransV1_0003367","p.persica_gdr_reftransV1_0003367")</f>
        <v>p.persica_gdr_reftransV1_0003367</v>
      </c>
      <c r="B8471" s="2">
        <v>349</v>
      </c>
      <c r="C8471" s="4" t="str">
        <f>HYPERLINK("http://www.uniprot.org/uniprot/A0A0D2XK38","A0A0D2XK38")</f>
        <v>A0A0D2XK38</v>
      </c>
      <c r="D8471" s="2" t="s">
        <v>7434</v>
      </c>
      <c r="E8471" s="3">
        <v>4.0899999999999997E-76</v>
      </c>
      <c r="F8471" s="2">
        <v>612</v>
      </c>
      <c r="G8471" s="2">
        <v>99</v>
      </c>
      <c r="H8471" s="2">
        <v>115</v>
      </c>
      <c r="I8471" s="2">
        <v>3</v>
      </c>
      <c r="J8471" s="2">
        <v>347</v>
      </c>
      <c r="K8471" s="2">
        <v>169</v>
      </c>
      <c r="L8471" s="2">
        <v>283</v>
      </c>
    </row>
    <row r="8472" spans="1:12" x14ac:dyDescent="0.25">
      <c r="A8472" s="4" t="str">
        <f>HYPERLINK("http://www.rosaceae.org/Prunus/Prunus_persica/p.persica_gdr_reftransV1_0003717","p.persica_gdr_reftransV1_0003717")</f>
        <v>p.persica_gdr_reftransV1_0003717</v>
      </c>
      <c r="B8472" s="2">
        <v>1527</v>
      </c>
      <c r="C8472" s="4" t="str">
        <f>HYPERLINK("http://www.uniprot.org/uniprot/M5WXS2","M5WXS2")</f>
        <v>M5WXS2</v>
      </c>
      <c r="D8472" s="2" t="s">
        <v>5801</v>
      </c>
      <c r="E8472" s="3">
        <v>0</v>
      </c>
      <c r="F8472" s="2">
        <v>1796</v>
      </c>
      <c r="G8472" s="2">
        <v>100</v>
      </c>
      <c r="H8472" s="2">
        <v>366</v>
      </c>
      <c r="I8472" s="2">
        <v>428</v>
      </c>
      <c r="J8472" s="2">
        <v>1525</v>
      </c>
      <c r="K8472" s="2">
        <v>815</v>
      </c>
      <c r="L8472" s="2">
        <v>1180</v>
      </c>
    </row>
    <row r="8473" spans="1:12" x14ac:dyDescent="0.25">
      <c r="A8473" s="4" t="str">
        <f>HYPERLINK("http://www.rosaceae.org/Prunus/Prunus_persica/p.persica_gdr_reftransV1_0004417","p.persica_gdr_reftransV1_0004417")</f>
        <v>p.persica_gdr_reftransV1_0004417</v>
      </c>
      <c r="B8473" s="2">
        <v>301</v>
      </c>
      <c r="C8473" s="4" t="str">
        <f>HYPERLINK("http://www.uniprot.org/uniprot/M5WRV8","M5WRV8")</f>
        <v>M5WRV8</v>
      </c>
      <c r="D8473" s="2" t="s">
        <v>7435</v>
      </c>
      <c r="E8473" s="3">
        <v>1.8399999999999999E-53</v>
      </c>
      <c r="F8473" s="2">
        <v>464</v>
      </c>
      <c r="G8473" s="2">
        <v>99</v>
      </c>
      <c r="H8473" s="2">
        <v>100</v>
      </c>
      <c r="I8473" s="2">
        <v>2</v>
      </c>
      <c r="J8473" s="2">
        <v>301</v>
      </c>
      <c r="K8473" s="2">
        <v>99</v>
      </c>
      <c r="L8473" s="2">
        <v>198</v>
      </c>
    </row>
    <row r="8474" spans="1:12" x14ac:dyDescent="0.25">
      <c r="A8474" s="4" t="str">
        <f>HYPERLINK("http://www.rosaceae.org/Prunus/Prunus_persica/p.persica_gdr_reftransV1_0004767","p.persica_gdr_reftransV1_0004767")</f>
        <v>p.persica_gdr_reftransV1_0004767</v>
      </c>
      <c r="B8474" s="2">
        <v>1167</v>
      </c>
      <c r="C8474" s="4" t="str">
        <f>HYPERLINK("http://www.uniprot.org/uniprot/M5WVJ1","M5WVJ1")</f>
        <v>M5WVJ1</v>
      </c>
      <c r="D8474" s="2" t="s">
        <v>7436</v>
      </c>
      <c r="E8474" s="3">
        <v>2.4E-98</v>
      </c>
      <c r="F8474" s="2">
        <v>772</v>
      </c>
      <c r="G8474" s="2">
        <v>100</v>
      </c>
      <c r="H8474" s="2">
        <v>170</v>
      </c>
      <c r="I8474" s="2">
        <v>419</v>
      </c>
      <c r="J8474" s="2">
        <v>928</v>
      </c>
      <c r="K8474" s="2">
        <v>1</v>
      </c>
      <c r="L8474" s="2">
        <v>170</v>
      </c>
    </row>
    <row r="8475" spans="1:12" x14ac:dyDescent="0.25">
      <c r="A8475" s="4" t="str">
        <f>HYPERLINK("http://www.rosaceae.org/Prunus/Prunus_persica/p.persica_gdr_reftransV1_0005117","p.persica_gdr_reftransV1_0005117")</f>
        <v>p.persica_gdr_reftransV1_0005117</v>
      </c>
      <c r="B8475" s="2">
        <v>3915</v>
      </c>
      <c r="C8475" s="4" t="str">
        <f>HYPERLINK("http://www.uniprot.org/uniprot/W9S3V5","W9S3V5")</f>
        <v>W9S3V5</v>
      </c>
      <c r="D8475" s="2" t="s">
        <v>7437</v>
      </c>
      <c r="E8475" s="3">
        <v>0</v>
      </c>
      <c r="F8475" s="2">
        <v>1982</v>
      </c>
      <c r="G8475" s="2">
        <v>45</v>
      </c>
      <c r="H8475" s="2">
        <v>1195</v>
      </c>
      <c r="I8475" s="2">
        <v>235</v>
      </c>
      <c r="J8475" s="2">
        <v>3648</v>
      </c>
      <c r="K8475" s="2">
        <v>3</v>
      </c>
      <c r="L8475" s="2">
        <v>1097</v>
      </c>
    </row>
    <row r="8476" spans="1:12" x14ac:dyDescent="0.25">
      <c r="A8476" s="4" t="str">
        <f>HYPERLINK("http://www.rosaceae.org/Prunus/Prunus_persica/p.persica_gdr_reftransV1_0006167","p.persica_gdr_reftransV1_0006167")</f>
        <v>p.persica_gdr_reftransV1_0006167</v>
      </c>
      <c r="B8476" s="2">
        <v>605</v>
      </c>
      <c r="C8476" s="4" t="str">
        <f>HYPERLINK("http://www.uniprot.org/uniprot/U5ELD1","U5ELD1")</f>
        <v>U5ELD1</v>
      </c>
      <c r="D8476" s="2" t="s">
        <v>7438</v>
      </c>
      <c r="E8476" s="3">
        <v>1.5200000000000001E-72</v>
      </c>
      <c r="F8476" s="2">
        <v>578</v>
      </c>
      <c r="G8476" s="2">
        <v>100</v>
      </c>
      <c r="H8476" s="2">
        <v>121</v>
      </c>
      <c r="I8476" s="2">
        <v>238</v>
      </c>
      <c r="J8476" s="2">
        <v>600</v>
      </c>
      <c r="K8476" s="2">
        <v>1</v>
      </c>
      <c r="L8476" s="2">
        <v>121</v>
      </c>
    </row>
    <row r="8477" spans="1:12" x14ac:dyDescent="0.25">
      <c r="A8477" s="4" t="str">
        <f>HYPERLINK("http://www.rosaceae.org/Prunus/Prunus_persica/p.persica_gdr_reftransV1_0006517","p.persica_gdr_reftransV1_0006517")</f>
        <v>p.persica_gdr_reftransV1_0006517</v>
      </c>
      <c r="B8477" s="2">
        <v>564</v>
      </c>
      <c r="C8477" s="4" t="str">
        <f>HYPERLINK("http://www.uniprot.org/uniprot/M5W7R1","M5W7R1")</f>
        <v>M5W7R1</v>
      </c>
      <c r="D8477" s="2" t="s">
        <v>7439</v>
      </c>
      <c r="E8477" s="3">
        <v>3.7400000000000002E-99</v>
      </c>
      <c r="F8477" s="2">
        <v>776</v>
      </c>
      <c r="G8477" s="2">
        <v>100</v>
      </c>
      <c r="H8477" s="2">
        <v>188</v>
      </c>
      <c r="I8477" s="2">
        <v>1</v>
      </c>
      <c r="J8477" s="2">
        <v>564</v>
      </c>
      <c r="K8477" s="2">
        <v>35</v>
      </c>
      <c r="L8477" s="2">
        <v>222</v>
      </c>
    </row>
    <row r="8478" spans="1:12" x14ac:dyDescent="0.25">
      <c r="A8478" s="4" t="str">
        <f>HYPERLINK("http://www.rosaceae.org/Prunus/Prunus_persica/p.persica_gdr_reftransV1_0006867","p.persica_gdr_reftransV1_0006867")</f>
        <v>p.persica_gdr_reftransV1_0006867</v>
      </c>
      <c r="B8478" s="2">
        <v>1457</v>
      </c>
      <c r="C8478" s="4" t="str">
        <f>HYPERLINK("http://www.uniprot.org/uniprot/M5XYK8","M5XYK8")</f>
        <v>M5XYK8</v>
      </c>
      <c r="D8478" s="2" t="s">
        <v>7440</v>
      </c>
      <c r="E8478" s="3">
        <v>0</v>
      </c>
      <c r="F8478" s="2">
        <v>1643</v>
      </c>
      <c r="G8478" s="2">
        <v>100</v>
      </c>
      <c r="H8478" s="2">
        <v>309</v>
      </c>
      <c r="I8478" s="2">
        <v>242</v>
      </c>
      <c r="J8478" s="2">
        <v>1168</v>
      </c>
      <c r="K8478" s="2">
        <v>1</v>
      </c>
      <c r="L8478" s="2">
        <v>309</v>
      </c>
    </row>
    <row r="8479" spans="1:12" x14ac:dyDescent="0.25">
      <c r="A8479" s="4" t="str">
        <f>HYPERLINK("http://www.rosaceae.org/Prunus/Prunus_persica/p.persica_gdr_reftransV1_0007217","p.persica_gdr_reftransV1_0007217")</f>
        <v>p.persica_gdr_reftransV1_0007217</v>
      </c>
      <c r="B8479" s="2">
        <v>786</v>
      </c>
      <c r="C8479" s="4" t="str">
        <f>HYPERLINK("http://www.uniprot.org/uniprot/M5WMG9","M5WMG9")</f>
        <v>M5WMG9</v>
      </c>
      <c r="D8479" s="2" t="s">
        <v>7441</v>
      </c>
      <c r="E8479" s="3">
        <v>2.0199999999999999E-67</v>
      </c>
      <c r="F8479" s="2">
        <v>600</v>
      </c>
      <c r="G8479" s="2">
        <v>100</v>
      </c>
      <c r="H8479" s="2">
        <v>107</v>
      </c>
      <c r="I8479" s="2">
        <v>3</v>
      </c>
      <c r="J8479" s="2">
        <v>323</v>
      </c>
      <c r="K8479" s="2">
        <v>946</v>
      </c>
      <c r="L8479" s="2">
        <v>1052</v>
      </c>
    </row>
    <row r="8480" spans="1:12" x14ac:dyDescent="0.25">
      <c r="A8480" s="4" t="str">
        <f>HYPERLINK("http://www.rosaceae.org/Prunus/Prunus_persica/p.persica_gdr_reftransV1_0007567","p.persica_gdr_reftransV1_0007567")</f>
        <v>p.persica_gdr_reftransV1_0007567</v>
      </c>
      <c r="B8480" s="2">
        <v>2247</v>
      </c>
      <c r="C8480" s="4" t="str">
        <f>HYPERLINK("http://www.uniprot.org/uniprot/M5WUC5","M5WUC5")</f>
        <v>M5WUC5</v>
      </c>
      <c r="D8480" s="2" t="s">
        <v>7442</v>
      </c>
      <c r="E8480" s="3">
        <v>0</v>
      </c>
      <c r="F8480" s="2">
        <v>2448</v>
      </c>
      <c r="G8480" s="2">
        <v>100</v>
      </c>
      <c r="H8480" s="2">
        <v>522</v>
      </c>
      <c r="I8480" s="2">
        <v>302</v>
      </c>
      <c r="J8480" s="2">
        <v>1867</v>
      </c>
      <c r="K8480" s="2">
        <v>21</v>
      </c>
      <c r="L8480" s="2">
        <v>542</v>
      </c>
    </row>
    <row r="8481" spans="1:12" x14ac:dyDescent="0.25">
      <c r="A8481" s="4" t="str">
        <f>HYPERLINK("http://www.rosaceae.org/Prunus/Prunus_persica/p.persica_gdr_reftransV1_0007917","p.persica_gdr_reftransV1_0007917")</f>
        <v>p.persica_gdr_reftransV1_0007917</v>
      </c>
      <c r="B8481" s="2">
        <v>1474</v>
      </c>
      <c r="C8481" s="4" t="str">
        <f>HYPERLINK("http://www.uniprot.org/uniprot/M5VR10","M5VR10")</f>
        <v>M5VR10</v>
      </c>
      <c r="D8481" s="2" t="s">
        <v>7443</v>
      </c>
      <c r="E8481" s="3">
        <v>9.8099999999999995E-137</v>
      </c>
      <c r="F8481" s="2">
        <v>1042</v>
      </c>
      <c r="G8481" s="2">
        <v>100</v>
      </c>
      <c r="H8481" s="2">
        <v>220</v>
      </c>
      <c r="I8481" s="2">
        <v>386</v>
      </c>
      <c r="J8481" s="2">
        <v>1045</v>
      </c>
      <c r="K8481" s="2">
        <v>10</v>
      </c>
      <c r="L8481" s="2">
        <v>229</v>
      </c>
    </row>
    <row r="8482" spans="1:12" x14ac:dyDescent="0.25">
      <c r="A8482" s="4" t="str">
        <f>HYPERLINK("http://www.rosaceae.org/Prunus/Prunus_persica/p.persica_gdr_reftransV1_0008267","p.persica_gdr_reftransV1_0008267")</f>
        <v>p.persica_gdr_reftransV1_0008267</v>
      </c>
      <c r="B8482" s="2">
        <v>1716</v>
      </c>
      <c r="C8482" s="4" t="str">
        <f>HYPERLINK("http://www.uniprot.org/uniprot/M5WMR0","M5WMR0")</f>
        <v>M5WMR0</v>
      </c>
      <c r="D8482" s="2" t="s">
        <v>7444</v>
      </c>
      <c r="E8482" s="3">
        <v>0</v>
      </c>
      <c r="F8482" s="2">
        <v>2113</v>
      </c>
      <c r="G8482" s="2">
        <v>100</v>
      </c>
      <c r="H8482" s="2">
        <v>393</v>
      </c>
      <c r="I8482" s="2">
        <v>110</v>
      </c>
      <c r="J8482" s="2">
        <v>1288</v>
      </c>
      <c r="K8482" s="2">
        <v>1</v>
      </c>
      <c r="L8482" s="2">
        <v>393</v>
      </c>
    </row>
    <row r="8483" spans="1:12" x14ac:dyDescent="0.25">
      <c r="A8483" s="4" t="str">
        <f>HYPERLINK("http://www.rosaceae.org/Prunus/Prunus_persica/p.persica_gdr_reftransV1_0008967","p.persica_gdr_reftransV1_0008967")</f>
        <v>p.persica_gdr_reftransV1_0008967</v>
      </c>
      <c r="B8483" s="2">
        <v>1403</v>
      </c>
      <c r="C8483" s="4" t="str">
        <f>HYPERLINK("http://www.uniprot.org/uniprot/M5WAC1","M5WAC1")</f>
        <v>M5WAC1</v>
      </c>
      <c r="D8483" s="2" t="s">
        <v>7445</v>
      </c>
      <c r="E8483" s="3">
        <v>0</v>
      </c>
      <c r="F8483" s="2">
        <v>1387</v>
      </c>
      <c r="G8483" s="2">
        <v>99</v>
      </c>
      <c r="H8483" s="2">
        <v>270</v>
      </c>
      <c r="I8483" s="2">
        <v>561</v>
      </c>
      <c r="J8483" s="2">
        <v>1370</v>
      </c>
      <c r="K8483" s="2">
        <v>1</v>
      </c>
      <c r="L8483" s="2">
        <v>270</v>
      </c>
    </row>
    <row r="8484" spans="1:12" x14ac:dyDescent="0.25">
      <c r="A8484" s="4" t="str">
        <f>HYPERLINK("http://www.rosaceae.org/Prunus/Prunus_persica/p.persica_gdr_reftransV1_0009317","p.persica_gdr_reftransV1_0009317")</f>
        <v>p.persica_gdr_reftransV1_0009317</v>
      </c>
      <c r="B8484" s="2">
        <v>1017</v>
      </c>
      <c r="C8484" s="4" t="str">
        <f>HYPERLINK("http://www.uniprot.org/uniprot/M5XHN0","M5XHN0")</f>
        <v>M5XHN0</v>
      </c>
      <c r="D8484" s="2" t="s">
        <v>7446</v>
      </c>
      <c r="E8484" s="3">
        <v>1.5199999999999999E-104</v>
      </c>
      <c r="F8484" s="2">
        <v>808</v>
      </c>
      <c r="G8484" s="2">
        <v>85</v>
      </c>
      <c r="H8484" s="2">
        <v>182</v>
      </c>
      <c r="I8484" s="2">
        <v>366</v>
      </c>
      <c r="J8484" s="2">
        <v>911</v>
      </c>
      <c r="K8484" s="2">
        <v>1</v>
      </c>
      <c r="L8484" s="2">
        <v>164</v>
      </c>
    </row>
    <row r="8485" spans="1:12" x14ac:dyDescent="0.25">
      <c r="A8485" s="4" t="str">
        <f>HYPERLINK("http://www.rosaceae.org/Prunus/Prunus_persica/p.persica_gdr_reftransV1_0010367","p.persica_gdr_reftransV1_0010367")</f>
        <v>p.persica_gdr_reftransV1_0010367</v>
      </c>
      <c r="B8485" s="2">
        <v>878</v>
      </c>
      <c r="C8485" s="4" t="str">
        <f>HYPERLINK("http://www.uniprot.org/uniprot/M5X0B7","M5X0B7")</f>
        <v>M5X0B7</v>
      </c>
      <c r="D8485" s="2" t="s">
        <v>7447</v>
      </c>
      <c r="E8485" s="3">
        <v>2.5400000000000002E-24</v>
      </c>
      <c r="F8485" s="2">
        <v>274</v>
      </c>
      <c r="G8485" s="2">
        <v>52</v>
      </c>
      <c r="H8485" s="2">
        <v>124</v>
      </c>
      <c r="I8485" s="2">
        <v>276</v>
      </c>
      <c r="J8485" s="2">
        <v>647</v>
      </c>
      <c r="K8485" s="2">
        <v>228</v>
      </c>
      <c r="L8485" s="2">
        <v>344</v>
      </c>
    </row>
    <row r="8486" spans="1:12" x14ac:dyDescent="0.25">
      <c r="A8486" s="4" t="str">
        <f>HYPERLINK("http://www.rosaceae.org/Prunus/Prunus_persica/p.persica_gdr_reftransV1_0010717","p.persica_gdr_reftransV1_0010717")</f>
        <v>p.persica_gdr_reftransV1_0010717</v>
      </c>
      <c r="B8486" s="2">
        <v>791</v>
      </c>
      <c r="C8486" s="4" t="str">
        <f>HYPERLINK("http://www.uniprot.org/uniprot/B9I910","B9I910")</f>
        <v>B9I910</v>
      </c>
      <c r="D8486" s="2" t="s">
        <v>7448</v>
      </c>
      <c r="E8486" s="3">
        <v>1.0900000000000001E-59</v>
      </c>
      <c r="F8486" s="2">
        <v>499</v>
      </c>
      <c r="G8486" s="2">
        <v>79</v>
      </c>
      <c r="H8486" s="2">
        <v>121</v>
      </c>
      <c r="I8486" s="2">
        <v>91</v>
      </c>
      <c r="J8486" s="2">
        <v>453</v>
      </c>
      <c r="K8486" s="2">
        <v>1</v>
      </c>
      <c r="L8486" s="2">
        <v>121</v>
      </c>
    </row>
    <row r="8487" spans="1:12" x14ac:dyDescent="0.25">
      <c r="A8487" s="4" t="str">
        <f>HYPERLINK("http://www.rosaceae.org/Prunus/Prunus_persica/p.persica_gdr_reftransV1_0011067","p.persica_gdr_reftransV1_0011067")</f>
        <v>p.persica_gdr_reftransV1_0011067</v>
      </c>
      <c r="B8487" s="2">
        <v>805</v>
      </c>
      <c r="C8487" s="4" t="str">
        <f>HYPERLINK("http://www.uniprot.org/uniprot/W9QTF6","W9QTF6")</f>
        <v>W9QTF6</v>
      </c>
      <c r="D8487" s="2" t="s">
        <v>7449</v>
      </c>
      <c r="E8487" s="3">
        <v>1.16E-79</v>
      </c>
      <c r="F8487" s="2">
        <v>646</v>
      </c>
      <c r="G8487" s="2">
        <v>61</v>
      </c>
      <c r="H8487" s="2">
        <v>217</v>
      </c>
      <c r="I8487" s="2">
        <v>169</v>
      </c>
      <c r="J8487" s="2">
        <v>804</v>
      </c>
      <c r="K8487" s="2">
        <v>6</v>
      </c>
      <c r="L8487" s="2">
        <v>215</v>
      </c>
    </row>
    <row r="8488" spans="1:12" x14ac:dyDescent="0.25">
      <c r="A8488" s="4" t="str">
        <f>HYPERLINK("http://www.rosaceae.org/Prunus/Prunus_persica/p.persica_gdr_reftransV1_0012467","p.persica_gdr_reftransV1_0012467")</f>
        <v>p.persica_gdr_reftransV1_0012467</v>
      </c>
      <c r="B8488" s="2">
        <v>3119</v>
      </c>
      <c r="C8488" s="4" t="str">
        <f>HYPERLINK("http://www.uniprot.org/uniprot/M5X6Z0","M5X6Z0")</f>
        <v>M5X6Z0</v>
      </c>
      <c r="D8488" s="2" t="s">
        <v>7450</v>
      </c>
      <c r="E8488" s="3">
        <v>0</v>
      </c>
      <c r="F8488" s="2">
        <v>4119</v>
      </c>
      <c r="G8488" s="2">
        <v>100</v>
      </c>
      <c r="H8488" s="2">
        <v>777</v>
      </c>
      <c r="I8488" s="2">
        <v>271</v>
      </c>
      <c r="J8488" s="2">
        <v>2601</v>
      </c>
      <c r="K8488" s="2">
        <v>1</v>
      </c>
      <c r="L8488" s="2">
        <v>777</v>
      </c>
    </row>
    <row r="8489" spans="1:12" x14ac:dyDescent="0.25">
      <c r="A8489" s="4" t="str">
        <f>HYPERLINK("http://www.rosaceae.org/Prunus/Prunus_persica/p.persica_gdr_reftransV1_0012817","p.persica_gdr_reftransV1_0012817")</f>
        <v>p.persica_gdr_reftransV1_0012817</v>
      </c>
      <c r="B8489" s="2">
        <v>3440</v>
      </c>
      <c r="C8489" s="4" t="str">
        <f>HYPERLINK("http://www.uniprot.org/uniprot/M5VIC3","M5VIC3")</f>
        <v>M5VIC3</v>
      </c>
      <c r="D8489" s="2" t="s">
        <v>7451</v>
      </c>
      <c r="E8489" s="3">
        <v>0</v>
      </c>
      <c r="F8489" s="2">
        <v>5785</v>
      </c>
      <c r="G8489" s="2">
        <v>100</v>
      </c>
      <c r="H8489" s="2">
        <v>1124</v>
      </c>
      <c r="I8489" s="2">
        <v>2</v>
      </c>
      <c r="J8489" s="2">
        <v>3373</v>
      </c>
      <c r="K8489" s="2">
        <v>387</v>
      </c>
      <c r="L8489" s="2">
        <v>1510</v>
      </c>
    </row>
    <row r="8490" spans="1:12" x14ac:dyDescent="0.25">
      <c r="A8490" s="4" t="str">
        <f>HYPERLINK("http://www.rosaceae.org/Prunus/Prunus_persica/p.persica_gdr_reftransV1_0014217","p.persica_gdr_reftransV1_0014217")</f>
        <v>p.persica_gdr_reftransV1_0014217</v>
      </c>
      <c r="B8490" s="2">
        <v>1448</v>
      </c>
      <c r="C8490" s="4" t="str">
        <f>HYPERLINK("http://www.uniprot.org/uniprot/M5XQP7","M5XQP7")</f>
        <v>M5XQP7</v>
      </c>
      <c r="D8490" s="2" t="s">
        <v>453</v>
      </c>
      <c r="E8490" s="3">
        <v>0</v>
      </c>
      <c r="F8490" s="2">
        <v>1458</v>
      </c>
      <c r="G8490" s="2">
        <v>100</v>
      </c>
      <c r="H8490" s="2">
        <v>283</v>
      </c>
      <c r="I8490" s="2">
        <v>1</v>
      </c>
      <c r="J8490" s="2">
        <v>849</v>
      </c>
      <c r="K8490" s="2">
        <v>372</v>
      </c>
      <c r="L8490" s="2">
        <v>654</v>
      </c>
    </row>
    <row r="8491" spans="1:12" x14ac:dyDescent="0.25">
      <c r="A8491" s="4" t="str">
        <f>HYPERLINK("http://www.rosaceae.org/Prunus/Prunus_persica/p.persica_gdr_reftransV1_0015267","p.persica_gdr_reftransV1_0015267")</f>
        <v>p.persica_gdr_reftransV1_0015267</v>
      </c>
      <c r="B8491" s="2">
        <v>1053</v>
      </c>
      <c r="C8491" s="4" t="str">
        <f>HYPERLINK("http://www.uniprot.org/uniprot/M5W5U0","M5W5U0")</f>
        <v>M5W5U0</v>
      </c>
      <c r="D8491" s="2" t="s">
        <v>7452</v>
      </c>
      <c r="E8491" s="3">
        <v>4.5200000000000004E-136</v>
      </c>
      <c r="F8491" s="2">
        <v>1021</v>
      </c>
      <c r="G8491" s="2">
        <v>100</v>
      </c>
      <c r="H8491" s="2">
        <v>207</v>
      </c>
      <c r="I8491" s="2">
        <v>141</v>
      </c>
      <c r="J8491" s="2">
        <v>761</v>
      </c>
      <c r="K8491" s="2">
        <v>1</v>
      </c>
      <c r="L8491" s="2">
        <v>207</v>
      </c>
    </row>
    <row r="8492" spans="1:12" x14ac:dyDescent="0.25">
      <c r="A8492" s="4" t="str">
        <f>HYPERLINK("http://www.rosaceae.org/Prunus/Prunus_persica/p.persica_gdr_reftransV1_0016317","p.persica_gdr_reftransV1_0016317")</f>
        <v>p.persica_gdr_reftransV1_0016317</v>
      </c>
      <c r="B8492" s="2">
        <v>940</v>
      </c>
      <c r="C8492" s="4" t="str">
        <f>HYPERLINK("http://www.uniprot.org/uniprot/M5XS57","M5XS57")</f>
        <v>M5XS57</v>
      </c>
      <c r="D8492" s="2" t="s">
        <v>1046</v>
      </c>
      <c r="E8492" s="3">
        <v>1.6000000000000001E-155</v>
      </c>
      <c r="F8492" s="2">
        <v>1225</v>
      </c>
      <c r="G8492" s="2">
        <v>100</v>
      </c>
      <c r="H8492" s="2">
        <v>227</v>
      </c>
      <c r="I8492" s="2">
        <v>259</v>
      </c>
      <c r="J8492" s="2">
        <v>939</v>
      </c>
      <c r="K8492" s="2">
        <v>1</v>
      </c>
      <c r="L8492" s="2">
        <v>227</v>
      </c>
    </row>
    <row r="8493" spans="1:12" x14ac:dyDescent="0.25">
      <c r="A8493" s="4" t="str">
        <f>HYPERLINK("http://www.rosaceae.org/Prunus/Prunus_persica/p.persica_gdr_reftransV1_0017717","p.persica_gdr_reftransV1_0017717")</f>
        <v>p.persica_gdr_reftransV1_0017717</v>
      </c>
      <c r="B8493" s="2">
        <v>1286</v>
      </c>
      <c r="C8493" s="4" t="str">
        <f>HYPERLINK("http://www.uniprot.org/uniprot/M5XHM8","M5XHM8")</f>
        <v>M5XHM8</v>
      </c>
      <c r="D8493" s="2" t="s">
        <v>7453</v>
      </c>
      <c r="E8493" s="3">
        <v>2.7000000000000001E-143</v>
      </c>
      <c r="F8493" s="2">
        <v>1092</v>
      </c>
      <c r="G8493" s="2">
        <v>100</v>
      </c>
      <c r="H8493" s="2">
        <v>301</v>
      </c>
      <c r="I8493" s="2">
        <v>85</v>
      </c>
      <c r="J8493" s="2">
        <v>987</v>
      </c>
      <c r="K8493" s="2">
        <v>50</v>
      </c>
      <c r="L8493" s="2">
        <v>350</v>
      </c>
    </row>
    <row r="8494" spans="1:12" x14ac:dyDescent="0.25">
      <c r="A8494" s="4" t="str">
        <f>HYPERLINK("http://www.rosaceae.org/Prunus/Prunus_persica/p.persica_gdr_reftransV1_0020167","p.persica_gdr_reftransV1_0020167")</f>
        <v>p.persica_gdr_reftransV1_0020167</v>
      </c>
      <c r="B8494" s="2">
        <v>2430</v>
      </c>
      <c r="C8494" s="4" t="str">
        <f>HYPERLINK("http://www.uniprot.org/uniprot/B9S4C0","B9S4C0")</f>
        <v>B9S4C0</v>
      </c>
      <c r="D8494" s="2" t="s">
        <v>7454</v>
      </c>
      <c r="E8494" s="3">
        <v>0</v>
      </c>
      <c r="F8494" s="2">
        <v>1509</v>
      </c>
      <c r="G8494" s="2">
        <v>61</v>
      </c>
      <c r="H8494" s="2">
        <v>590</v>
      </c>
      <c r="I8494" s="2">
        <v>237</v>
      </c>
      <c r="J8494" s="2">
        <v>1997</v>
      </c>
      <c r="K8494" s="2">
        <v>6</v>
      </c>
      <c r="L8494" s="2">
        <v>557</v>
      </c>
    </row>
    <row r="8495" spans="1:12" x14ac:dyDescent="0.25">
      <c r="A8495" s="4" t="str">
        <f>HYPERLINK("http://www.rosaceae.org/Prunus/Prunus_persica/p.persica_gdr_reftransV1_0021567","p.persica_gdr_reftransV1_0021567")</f>
        <v>p.persica_gdr_reftransV1_0021567</v>
      </c>
      <c r="B8495" s="2">
        <v>1039</v>
      </c>
      <c r="C8495" s="4" t="str">
        <f>HYPERLINK("http://www.uniprot.org/uniprot/M5XB05","M5XB05")</f>
        <v>M5XB05</v>
      </c>
      <c r="D8495" s="2" t="s">
        <v>7455</v>
      </c>
      <c r="E8495" s="3">
        <v>1.29E-115</v>
      </c>
      <c r="F8495" s="2">
        <v>884</v>
      </c>
      <c r="G8495" s="2">
        <v>100</v>
      </c>
      <c r="H8495" s="2">
        <v>184</v>
      </c>
      <c r="I8495" s="2">
        <v>250</v>
      </c>
      <c r="J8495" s="2">
        <v>801</v>
      </c>
      <c r="K8495" s="2">
        <v>1</v>
      </c>
      <c r="L8495" s="2">
        <v>184</v>
      </c>
    </row>
    <row r="8496" spans="1:12" x14ac:dyDescent="0.25">
      <c r="A8496" s="4" t="str">
        <f>HYPERLINK("http://www.rosaceae.org/Prunus/Prunus_persica/p.persica_gdr_reftransV1_0022617","p.persica_gdr_reftransV1_0022617")</f>
        <v>p.persica_gdr_reftransV1_0022617</v>
      </c>
      <c r="B8496" s="2">
        <v>1151</v>
      </c>
      <c r="C8496" s="4" t="str">
        <f>HYPERLINK("http://www.uniprot.org/uniprot/M5WSN3","M5WSN3")</f>
        <v>M5WSN3</v>
      </c>
      <c r="D8496" s="2" t="s">
        <v>7456</v>
      </c>
      <c r="E8496" s="3">
        <v>1.5700000000000001E-91</v>
      </c>
      <c r="F8496" s="2">
        <v>743</v>
      </c>
      <c r="G8496" s="2">
        <v>100</v>
      </c>
      <c r="H8496" s="2">
        <v>163</v>
      </c>
      <c r="I8496" s="2">
        <v>2</v>
      </c>
      <c r="J8496" s="2">
        <v>490</v>
      </c>
      <c r="K8496" s="2">
        <v>1</v>
      </c>
      <c r="L8496" s="2">
        <v>163</v>
      </c>
    </row>
    <row r="8497" spans="1:12" x14ac:dyDescent="0.25">
      <c r="A8497" s="4" t="str">
        <f>HYPERLINK("http://www.rosaceae.org/Prunus/Prunus_persica/p.persica_gdr_reftransV1_0022967","p.persica_gdr_reftransV1_0022967")</f>
        <v>p.persica_gdr_reftransV1_0022967</v>
      </c>
      <c r="B8497" s="2">
        <v>2076</v>
      </c>
      <c r="C8497" s="4" t="str">
        <f>HYPERLINK("http://www.uniprot.org/uniprot/M5XFD6","M5XFD6")</f>
        <v>M5XFD6</v>
      </c>
      <c r="D8497" s="2" t="s">
        <v>7457</v>
      </c>
      <c r="E8497" s="3">
        <v>0</v>
      </c>
      <c r="F8497" s="2">
        <v>2723</v>
      </c>
      <c r="G8497" s="2">
        <v>100</v>
      </c>
      <c r="H8497" s="2">
        <v>512</v>
      </c>
      <c r="I8497" s="2">
        <v>418</v>
      </c>
      <c r="J8497" s="2">
        <v>1953</v>
      </c>
      <c r="K8497" s="2">
        <v>1</v>
      </c>
      <c r="L8497" s="2">
        <v>512</v>
      </c>
    </row>
    <row r="8498" spans="1:12" x14ac:dyDescent="0.25">
      <c r="A8498" s="4" t="str">
        <f>HYPERLINK("http://www.rosaceae.org/Prunus/Prunus_persica/p.persica_gdr_reftransV1_0023317","p.persica_gdr_reftransV1_0023317")</f>
        <v>p.persica_gdr_reftransV1_0023317</v>
      </c>
      <c r="B8498" s="2">
        <v>1057</v>
      </c>
      <c r="C8498" s="4" t="str">
        <f>HYPERLINK("http://www.uniprot.org/uniprot/M5VQV9","M5VQV9")</f>
        <v>M5VQV9</v>
      </c>
      <c r="D8498" s="2" t="s">
        <v>7271</v>
      </c>
      <c r="E8498" s="3">
        <v>1.78E-154</v>
      </c>
      <c r="F8498" s="2">
        <v>1163</v>
      </c>
      <c r="G8498" s="2">
        <v>100</v>
      </c>
      <c r="H8498" s="2">
        <v>215</v>
      </c>
      <c r="I8498" s="2">
        <v>342</v>
      </c>
      <c r="J8498" s="2">
        <v>986</v>
      </c>
      <c r="K8498" s="2">
        <v>168</v>
      </c>
      <c r="L8498" s="2">
        <v>382</v>
      </c>
    </row>
    <row r="8499" spans="1:12" x14ac:dyDescent="0.25">
      <c r="A8499" s="4" t="str">
        <f>HYPERLINK("http://www.rosaceae.org/Prunus/Prunus_persica/p.persica_gdr_reftransV1_0024367","p.persica_gdr_reftransV1_0024367")</f>
        <v>p.persica_gdr_reftransV1_0024367</v>
      </c>
      <c r="B8499" s="2">
        <v>2029</v>
      </c>
      <c r="C8499" s="4" t="str">
        <f>HYPERLINK("http://www.uniprot.org/uniprot/M5XS92","M5XS92")</f>
        <v>M5XS92</v>
      </c>
      <c r="D8499" s="2" t="s">
        <v>7458</v>
      </c>
      <c r="E8499" s="3">
        <v>1.12E-120</v>
      </c>
      <c r="F8499" s="2">
        <v>967</v>
      </c>
      <c r="G8499" s="2">
        <v>100</v>
      </c>
      <c r="H8499" s="2">
        <v>221</v>
      </c>
      <c r="I8499" s="2">
        <v>972</v>
      </c>
      <c r="J8499" s="2">
        <v>1634</v>
      </c>
      <c r="K8499" s="2">
        <v>159</v>
      </c>
      <c r="L8499" s="2">
        <v>379</v>
      </c>
    </row>
    <row r="8500" spans="1:12" x14ac:dyDescent="0.25">
      <c r="A8500" s="4" t="str">
        <f>HYPERLINK("http://www.rosaceae.org/Prunus/Prunus_persica/p.persica_gdr_reftransV1_0024717","p.persica_gdr_reftransV1_0024717")</f>
        <v>p.persica_gdr_reftransV1_0024717</v>
      </c>
      <c r="B8500" s="2">
        <v>733</v>
      </c>
      <c r="C8500" s="4" t="str">
        <f>HYPERLINK("http://www.uniprot.org/uniprot/M5WH53","M5WH53")</f>
        <v>M5WH53</v>
      </c>
      <c r="D8500" s="2" t="s">
        <v>7459</v>
      </c>
      <c r="E8500" s="3">
        <v>5.5799999999999996E-82</v>
      </c>
      <c r="F8500" s="2">
        <v>678</v>
      </c>
      <c r="G8500" s="2">
        <v>100</v>
      </c>
      <c r="H8500" s="2">
        <v>189</v>
      </c>
      <c r="I8500" s="2">
        <v>3</v>
      </c>
      <c r="J8500" s="2">
        <v>569</v>
      </c>
      <c r="K8500" s="2">
        <v>1</v>
      </c>
      <c r="L8500" s="2">
        <v>189</v>
      </c>
    </row>
    <row r="8501" spans="1:12" x14ac:dyDescent="0.25">
      <c r="A8501" s="4" t="str">
        <f>HYPERLINK("http://www.rosaceae.org/Prunus/Prunus_persica/p.persica_gdr_reftransV1_0026817","p.persica_gdr_reftransV1_0026817")</f>
        <v>p.persica_gdr_reftransV1_0026817</v>
      </c>
      <c r="B8501" s="2">
        <v>1784</v>
      </c>
      <c r="C8501" s="4" t="str">
        <f>HYPERLINK("http://www.uniprot.org/uniprot/M5XN03","M5XN03")</f>
        <v>M5XN03</v>
      </c>
      <c r="D8501" s="2" t="s">
        <v>7460</v>
      </c>
      <c r="E8501" s="3">
        <v>0</v>
      </c>
      <c r="F8501" s="2">
        <v>1970</v>
      </c>
      <c r="G8501" s="2">
        <v>100</v>
      </c>
      <c r="H8501" s="2">
        <v>372</v>
      </c>
      <c r="I8501" s="2">
        <v>227</v>
      </c>
      <c r="J8501" s="2">
        <v>1342</v>
      </c>
      <c r="K8501" s="2">
        <v>1</v>
      </c>
      <c r="L8501" s="2">
        <v>372</v>
      </c>
    </row>
    <row r="8502" spans="1:12" x14ac:dyDescent="0.25">
      <c r="A8502" s="4" t="str">
        <f>HYPERLINK("http://www.rosaceae.org/Prunus/Prunus_persica/p.persica_gdr_reftransV1_0030317","p.persica_gdr_reftransV1_0030317")</f>
        <v>p.persica_gdr_reftransV1_0030317</v>
      </c>
      <c r="B8502" s="2">
        <v>1977</v>
      </c>
      <c r="C8502" s="4" t="str">
        <f>HYPERLINK("http://www.uniprot.org/uniprot/M5VMB3","M5VMB3")</f>
        <v>M5VMB3</v>
      </c>
      <c r="D8502" s="2" t="s">
        <v>6290</v>
      </c>
      <c r="E8502" s="3">
        <v>2.0699999999999999E-106</v>
      </c>
      <c r="F8502" s="2">
        <v>878</v>
      </c>
      <c r="G8502" s="2">
        <v>100</v>
      </c>
      <c r="H8502" s="2">
        <v>162</v>
      </c>
      <c r="I8502" s="2">
        <v>1491</v>
      </c>
      <c r="J8502" s="2">
        <v>1976</v>
      </c>
      <c r="K8502" s="2">
        <v>319</v>
      </c>
      <c r="L8502" s="2">
        <v>480</v>
      </c>
    </row>
    <row r="8503" spans="1:12" x14ac:dyDescent="0.25">
      <c r="A8503" s="4" t="str">
        <f>HYPERLINK("http://www.rosaceae.org/Prunus/Prunus_persica/p.persica_gdr_reftransV1_0030667","p.persica_gdr_reftransV1_0030667")</f>
        <v>p.persica_gdr_reftransV1_0030667</v>
      </c>
      <c r="B8503" s="2">
        <v>2351</v>
      </c>
      <c r="C8503" s="4" t="str">
        <f>HYPERLINK("http://www.uniprot.org/uniprot/M5Y4Z5","M5Y4Z5")</f>
        <v>M5Y4Z5</v>
      </c>
      <c r="D8503" s="2" t="s">
        <v>7461</v>
      </c>
      <c r="E8503" s="3">
        <v>2.7799999999999997E-138</v>
      </c>
      <c r="F8503" s="2">
        <v>713</v>
      </c>
      <c r="G8503" s="2">
        <v>99</v>
      </c>
      <c r="H8503" s="2">
        <v>150</v>
      </c>
      <c r="I8503" s="2">
        <v>916</v>
      </c>
      <c r="J8503" s="2">
        <v>1365</v>
      </c>
      <c r="K8503" s="2">
        <v>119</v>
      </c>
      <c r="L8503" s="2">
        <v>268</v>
      </c>
    </row>
    <row r="8504" spans="1:12" x14ac:dyDescent="0.25">
      <c r="A8504" s="4" t="str">
        <f>HYPERLINK("http://www.rosaceae.org/Prunus/Prunus_persica/p.persica_gdr_reftransV1_0034167","p.persica_gdr_reftransV1_0034167")</f>
        <v>p.persica_gdr_reftransV1_0034167</v>
      </c>
      <c r="B8504" s="2">
        <v>1835</v>
      </c>
      <c r="C8504" s="4" t="str">
        <f>HYPERLINK("http://www.uniprot.org/uniprot/M5WMB1","M5WMB1")</f>
        <v>M5WMB1</v>
      </c>
      <c r="D8504" s="2" t="s">
        <v>3784</v>
      </c>
      <c r="E8504" s="3">
        <v>0</v>
      </c>
      <c r="F8504" s="2">
        <v>2072</v>
      </c>
      <c r="G8504" s="2">
        <v>100</v>
      </c>
      <c r="H8504" s="2">
        <v>399</v>
      </c>
      <c r="I8504" s="2">
        <v>417</v>
      </c>
      <c r="J8504" s="2">
        <v>1613</v>
      </c>
      <c r="K8504" s="2">
        <v>1</v>
      </c>
      <c r="L8504" s="2">
        <v>399</v>
      </c>
    </row>
    <row r="8505" spans="1:12" x14ac:dyDescent="0.25">
      <c r="A8505" s="4" t="str">
        <f>HYPERLINK("http://www.rosaceae.org/Prunus/Prunus_persica/p.persica_gdr_reftransV1_0034517","p.persica_gdr_reftransV1_0034517")</f>
        <v>p.persica_gdr_reftransV1_0034517</v>
      </c>
      <c r="B8505" s="2">
        <v>3329</v>
      </c>
      <c r="C8505" s="4" t="str">
        <f>HYPERLINK("http://www.uniprot.org/uniprot/M5WGC1","M5WGC1")</f>
        <v>M5WGC1</v>
      </c>
      <c r="D8505" s="2" t="s">
        <v>7462</v>
      </c>
      <c r="E8505" s="3">
        <v>0</v>
      </c>
      <c r="F8505" s="2">
        <v>3353</v>
      </c>
      <c r="G8505" s="2">
        <v>99</v>
      </c>
      <c r="H8505" s="2">
        <v>649</v>
      </c>
      <c r="I8505" s="2">
        <v>32</v>
      </c>
      <c r="J8505" s="2">
        <v>1978</v>
      </c>
      <c r="K8505" s="2">
        <v>19</v>
      </c>
      <c r="L8505" s="2">
        <v>663</v>
      </c>
    </row>
    <row r="8506" spans="1:12" x14ac:dyDescent="0.25">
      <c r="A8506" s="4" t="str">
        <f>HYPERLINK("http://www.rosaceae.org/Prunus/Prunus_persica/p.persica_gdr_reftransV1_0037317","p.persica_gdr_reftransV1_0037317")</f>
        <v>p.persica_gdr_reftransV1_0037317</v>
      </c>
      <c r="B8506" s="2">
        <v>1040</v>
      </c>
      <c r="C8506" s="4" t="str">
        <f>HYPERLINK("http://www.uniprot.org/uniprot/M5WF40","M5WF40")</f>
        <v>M5WF40</v>
      </c>
      <c r="D8506" s="2" t="s">
        <v>7463</v>
      </c>
      <c r="E8506" s="3">
        <v>2.69E-141</v>
      </c>
      <c r="F8506" s="2">
        <v>1055</v>
      </c>
      <c r="G8506" s="2">
        <v>100</v>
      </c>
      <c r="H8506" s="2">
        <v>198</v>
      </c>
      <c r="I8506" s="2">
        <v>66</v>
      </c>
      <c r="J8506" s="2">
        <v>659</v>
      </c>
      <c r="K8506" s="2">
        <v>1</v>
      </c>
      <c r="L8506" s="2">
        <v>198</v>
      </c>
    </row>
    <row r="8507" spans="1:12" x14ac:dyDescent="0.25">
      <c r="A8507" s="4" t="str">
        <f>HYPERLINK("http://www.rosaceae.org/Prunus/Prunus_persica/p.persica_gdr_reftransV1_0039067","p.persica_gdr_reftransV1_0039067")</f>
        <v>p.persica_gdr_reftransV1_0039067</v>
      </c>
      <c r="B8507" s="2">
        <v>4427</v>
      </c>
      <c r="C8507" s="4" t="str">
        <f>HYPERLINK("http://www.uniprot.org/uniprot/M5WJ48","M5WJ48")</f>
        <v>M5WJ48</v>
      </c>
      <c r="D8507" s="2" t="s">
        <v>7464</v>
      </c>
      <c r="E8507" s="3">
        <v>0</v>
      </c>
      <c r="F8507" s="2">
        <v>1531</v>
      </c>
      <c r="G8507" s="2">
        <v>100</v>
      </c>
      <c r="H8507" s="2">
        <v>308</v>
      </c>
      <c r="I8507" s="2">
        <v>314</v>
      </c>
      <c r="J8507" s="2">
        <v>1237</v>
      </c>
      <c r="K8507" s="2">
        <v>30</v>
      </c>
      <c r="L8507" s="2">
        <v>337</v>
      </c>
    </row>
    <row r="8508" spans="1:12" x14ac:dyDescent="0.25">
      <c r="A8508" s="4" t="str">
        <f>HYPERLINK("http://www.rosaceae.org/Prunus/Prunus_persica/p.persica_gdr_reftransV1_0040467","p.persica_gdr_reftransV1_0040467")</f>
        <v>p.persica_gdr_reftransV1_0040467</v>
      </c>
      <c r="B8508" s="2">
        <v>1902</v>
      </c>
      <c r="C8508" s="4" t="str">
        <f>HYPERLINK("http://www.uniprot.org/uniprot/M5WWX5","M5WWX5")</f>
        <v>M5WWX5</v>
      </c>
      <c r="D8508" s="2" t="s">
        <v>7465</v>
      </c>
      <c r="E8508" s="3">
        <v>0</v>
      </c>
      <c r="F8508" s="2">
        <v>2604</v>
      </c>
      <c r="G8508" s="2">
        <v>100</v>
      </c>
      <c r="H8508" s="2">
        <v>515</v>
      </c>
      <c r="I8508" s="2">
        <v>299</v>
      </c>
      <c r="J8508" s="2">
        <v>1843</v>
      </c>
      <c r="K8508" s="2">
        <v>1</v>
      </c>
      <c r="L8508" s="2">
        <v>515</v>
      </c>
    </row>
    <row r="8509" spans="1:12" x14ac:dyDescent="0.25">
      <c r="A8509" s="4" t="str">
        <f>HYPERLINK("http://www.rosaceae.org/Prunus/Prunus_persica/p.persica_gdr_reftransV1_0040817","p.persica_gdr_reftransV1_0040817")</f>
        <v>p.persica_gdr_reftransV1_0040817</v>
      </c>
      <c r="B8509" s="2">
        <v>3310</v>
      </c>
      <c r="C8509" s="4" t="str">
        <f>HYPERLINK("http://www.uniprot.org/uniprot/M5WBT4","M5WBT4")</f>
        <v>M5WBT4</v>
      </c>
      <c r="D8509" s="2" t="s">
        <v>317</v>
      </c>
      <c r="E8509" s="3">
        <v>0</v>
      </c>
      <c r="F8509" s="2">
        <v>1955</v>
      </c>
      <c r="G8509" s="2">
        <v>100</v>
      </c>
      <c r="H8509" s="2">
        <v>361</v>
      </c>
      <c r="I8509" s="2">
        <v>990</v>
      </c>
      <c r="J8509" s="2">
        <v>2072</v>
      </c>
      <c r="K8509" s="2">
        <v>1</v>
      </c>
      <c r="L8509" s="2">
        <v>361</v>
      </c>
    </row>
    <row r="8510" spans="1:12" x14ac:dyDescent="0.25">
      <c r="A8510" s="4" t="str">
        <f>HYPERLINK("http://www.rosaceae.org/Prunus/Prunus_persica/p.persica_gdr_reftransV1_0041167","p.persica_gdr_reftransV1_0041167")</f>
        <v>p.persica_gdr_reftransV1_0041167</v>
      </c>
      <c r="B8510" s="2">
        <v>1873</v>
      </c>
      <c r="C8510" s="4" t="str">
        <f>HYPERLINK("http://www.uniprot.org/uniprot/M5XJR9","M5XJR9")</f>
        <v>M5XJR9</v>
      </c>
      <c r="D8510" s="2" t="s">
        <v>7466</v>
      </c>
      <c r="E8510" s="3">
        <v>0</v>
      </c>
      <c r="F8510" s="2">
        <v>1481</v>
      </c>
      <c r="G8510" s="2">
        <v>100</v>
      </c>
      <c r="H8510" s="2">
        <v>377</v>
      </c>
      <c r="I8510" s="2">
        <v>655</v>
      </c>
      <c r="J8510" s="2">
        <v>1785</v>
      </c>
      <c r="K8510" s="2">
        <v>1</v>
      </c>
      <c r="L8510" s="2">
        <v>377</v>
      </c>
    </row>
    <row r="8511" spans="1:12" x14ac:dyDescent="0.25">
      <c r="A8511" s="4" t="str">
        <f>HYPERLINK("http://www.rosaceae.org/Prunus/Prunus_persica/p.persica_gdr_reftransV1_0042217","p.persica_gdr_reftransV1_0042217")</f>
        <v>p.persica_gdr_reftransV1_0042217</v>
      </c>
      <c r="B8511" s="2">
        <v>3525</v>
      </c>
      <c r="C8511" s="4" t="str">
        <f>HYPERLINK("http://www.uniprot.org/uniprot/M5WT73","M5WT73")</f>
        <v>M5WT73</v>
      </c>
      <c r="D8511" s="2" t="s">
        <v>7467</v>
      </c>
      <c r="E8511" s="3">
        <v>0</v>
      </c>
      <c r="F8511" s="2">
        <v>1956</v>
      </c>
      <c r="G8511" s="2">
        <v>99</v>
      </c>
      <c r="H8511" s="2">
        <v>359</v>
      </c>
      <c r="I8511" s="2">
        <v>1272</v>
      </c>
      <c r="J8511" s="2">
        <v>2348</v>
      </c>
      <c r="K8511" s="2">
        <v>197</v>
      </c>
      <c r="L8511" s="2">
        <v>555</v>
      </c>
    </row>
    <row r="8512" spans="1:12" x14ac:dyDescent="0.25">
      <c r="A8512" s="4" t="str">
        <f>HYPERLINK("http://www.rosaceae.org/Prunus/Prunus_persica/p.persica_gdr_reftransV1_0043617","p.persica_gdr_reftransV1_0043617")</f>
        <v>p.persica_gdr_reftransV1_0043617</v>
      </c>
      <c r="B8512" s="2">
        <v>874</v>
      </c>
      <c r="C8512" s="4" t="str">
        <f>HYPERLINK("http://www.uniprot.org/uniprot/M5WUJ6","M5WUJ6")</f>
        <v>M5WUJ6</v>
      </c>
      <c r="D8512" s="2" t="s">
        <v>7468</v>
      </c>
      <c r="E8512" s="3">
        <v>1.14E-83</v>
      </c>
      <c r="F8512" s="2">
        <v>665</v>
      </c>
      <c r="G8512" s="2">
        <v>100</v>
      </c>
      <c r="H8512" s="2">
        <v>154</v>
      </c>
      <c r="I8512" s="2">
        <v>60</v>
      </c>
      <c r="J8512" s="2">
        <v>521</v>
      </c>
      <c r="K8512" s="2">
        <v>1</v>
      </c>
      <c r="L8512" s="2">
        <v>154</v>
      </c>
    </row>
    <row r="8513" spans="1:12" x14ac:dyDescent="0.25">
      <c r="A8513" s="4" t="str">
        <f>HYPERLINK("http://www.rosaceae.org/Prunus/Prunus_persica/p.persica_gdr_reftransV1_0043967","p.persica_gdr_reftransV1_0043967")</f>
        <v>p.persica_gdr_reftransV1_0043967</v>
      </c>
      <c r="B8513" s="2">
        <v>401</v>
      </c>
      <c r="C8513" s="4" t="str">
        <f>HYPERLINK("http://www.uniprot.org/uniprot/M5WXA6","M5WXA6")</f>
        <v>M5WXA6</v>
      </c>
      <c r="D8513" s="2" t="s">
        <v>5877</v>
      </c>
      <c r="E8513" s="3">
        <v>1.47E-85</v>
      </c>
      <c r="F8513" s="2">
        <v>687</v>
      </c>
      <c r="G8513" s="2">
        <v>100</v>
      </c>
      <c r="H8513" s="2">
        <v>133</v>
      </c>
      <c r="I8513" s="2">
        <v>3</v>
      </c>
      <c r="J8513" s="2">
        <v>401</v>
      </c>
      <c r="K8513" s="2">
        <v>136</v>
      </c>
      <c r="L8513" s="2">
        <v>268</v>
      </c>
    </row>
    <row r="8514" spans="1:12" x14ac:dyDescent="0.25">
      <c r="A8514" s="4" t="str">
        <f>HYPERLINK("http://www.rosaceae.org/Prunus/Prunus_persica/p.persica_gdr_reftransV1_0044667","p.persica_gdr_reftransV1_0044667")</f>
        <v>p.persica_gdr_reftransV1_0044667</v>
      </c>
      <c r="B8514" s="2">
        <v>1298</v>
      </c>
      <c r="C8514" s="4" t="str">
        <f>HYPERLINK("http://www.uniprot.org/uniprot/M5X295","M5X295")</f>
        <v>M5X295</v>
      </c>
      <c r="D8514" s="2" t="s">
        <v>3990</v>
      </c>
      <c r="E8514" s="3">
        <v>5.4700000000000004E-169</v>
      </c>
      <c r="F8514" s="2">
        <v>1252</v>
      </c>
      <c r="G8514" s="2">
        <v>100</v>
      </c>
      <c r="H8514" s="2">
        <v>257</v>
      </c>
      <c r="I8514" s="2">
        <v>317</v>
      </c>
      <c r="J8514" s="2">
        <v>1087</v>
      </c>
      <c r="K8514" s="2">
        <v>1</v>
      </c>
      <c r="L8514" s="2">
        <v>257</v>
      </c>
    </row>
    <row r="8515" spans="1:12" x14ac:dyDescent="0.25">
      <c r="A8515" s="4" t="str">
        <f>HYPERLINK("http://www.rosaceae.org/Prunus/Prunus_persica/p.persica_gdr_reftransV1_0045017","p.persica_gdr_reftransV1_0045017")</f>
        <v>p.persica_gdr_reftransV1_0045017</v>
      </c>
      <c r="B8515" s="2">
        <v>361</v>
      </c>
      <c r="C8515" s="4" t="str">
        <f>HYPERLINK("http://www.uniprot.org/uniprot/M5WGF3","M5WGF3")</f>
        <v>M5WGF3</v>
      </c>
      <c r="D8515" s="2" t="s">
        <v>2122</v>
      </c>
      <c r="E8515" s="3">
        <v>8.8700000000000002E-75</v>
      </c>
      <c r="F8515" s="2">
        <v>636</v>
      </c>
      <c r="G8515" s="2">
        <v>100</v>
      </c>
      <c r="H8515" s="2">
        <v>120</v>
      </c>
      <c r="I8515" s="2">
        <v>1</v>
      </c>
      <c r="J8515" s="2">
        <v>360</v>
      </c>
      <c r="K8515" s="2">
        <v>27</v>
      </c>
      <c r="L8515" s="2">
        <v>146</v>
      </c>
    </row>
    <row r="8516" spans="1:12" x14ac:dyDescent="0.25">
      <c r="A8516" s="4" t="str">
        <f>HYPERLINK("http://www.rosaceae.org/Prunus/Prunus_persica/p.persica_gdr_reftransV1_0045367","p.persica_gdr_reftransV1_0045367")</f>
        <v>p.persica_gdr_reftransV1_0045367</v>
      </c>
      <c r="B8516" s="2">
        <v>2065</v>
      </c>
      <c r="C8516" s="4" t="str">
        <f>HYPERLINK("http://www.uniprot.org/uniprot/M5X268","M5X268")</f>
        <v>M5X268</v>
      </c>
      <c r="D8516" s="2" t="s">
        <v>7469</v>
      </c>
      <c r="E8516" s="3">
        <v>0</v>
      </c>
      <c r="F8516" s="2">
        <v>2787</v>
      </c>
      <c r="G8516" s="2">
        <v>100</v>
      </c>
      <c r="H8516" s="2">
        <v>537</v>
      </c>
      <c r="I8516" s="2">
        <v>274</v>
      </c>
      <c r="J8516" s="2">
        <v>1884</v>
      </c>
      <c r="K8516" s="2">
        <v>1</v>
      </c>
      <c r="L8516" s="2">
        <v>537</v>
      </c>
    </row>
    <row r="8517" spans="1:12" x14ac:dyDescent="0.25">
      <c r="A8517" s="4" t="str">
        <f>HYPERLINK("http://www.rosaceae.org/Prunus/Prunus_persica/p.persica_gdr_reftransV1_0045717","p.persica_gdr_reftransV1_0045717")</f>
        <v>p.persica_gdr_reftransV1_0045717</v>
      </c>
      <c r="B8517" s="2">
        <v>1445</v>
      </c>
      <c r="C8517" s="4" t="str">
        <f>HYPERLINK("http://www.uniprot.org/uniprot/M5XKS3","M5XKS3")</f>
        <v>M5XKS3</v>
      </c>
      <c r="D8517" s="2" t="s">
        <v>7470</v>
      </c>
      <c r="E8517" s="3">
        <v>2.0900000000000002E-176</v>
      </c>
      <c r="F8517" s="2">
        <v>1305</v>
      </c>
      <c r="G8517" s="2">
        <v>100</v>
      </c>
      <c r="H8517" s="2">
        <v>245</v>
      </c>
      <c r="I8517" s="2">
        <v>218</v>
      </c>
      <c r="J8517" s="2">
        <v>952</v>
      </c>
      <c r="K8517" s="2">
        <v>1</v>
      </c>
      <c r="L8517" s="2">
        <v>245</v>
      </c>
    </row>
    <row r="8518" spans="1:12" x14ac:dyDescent="0.25">
      <c r="A8518" s="4" t="str">
        <f>HYPERLINK("http://www.rosaceae.org/Prunus/Prunus_persica/p.persica_gdr_reftransV1_0046067","p.persica_gdr_reftransV1_0046067")</f>
        <v>p.persica_gdr_reftransV1_0046067</v>
      </c>
      <c r="B8518" s="2">
        <v>1675</v>
      </c>
      <c r="C8518" s="4" t="str">
        <f>HYPERLINK("http://www.uniprot.org/uniprot/M5VSV0","M5VSV0")</f>
        <v>M5VSV0</v>
      </c>
      <c r="D8518" s="2" t="s">
        <v>1725</v>
      </c>
      <c r="E8518" s="3">
        <v>0</v>
      </c>
      <c r="F8518" s="2">
        <v>2065</v>
      </c>
      <c r="G8518" s="2">
        <v>100</v>
      </c>
      <c r="H8518" s="2">
        <v>383</v>
      </c>
      <c r="I8518" s="2">
        <v>370</v>
      </c>
      <c r="J8518" s="2">
        <v>1518</v>
      </c>
      <c r="K8518" s="2">
        <v>645</v>
      </c>
      <c r="L8518" s="2">
        <v>1027</v>
      </c>
    </row>
    <row r="8519" spans="1:12" x14ac:dyDescent="0.25">
      <c r="A8519" s="4" t="str">
        <f>HYPERLINK("http://www.rosaceae.org/Prunus/Prunus_persica/p.persica_gdr_reftransV1_0046767","p.persica_gdr_reftransV1_0046767")</f>
        <v>p.persica_gdr_reftransV1_0046767</v>
      </c>
      <c r="B8519" s="2">
        <v>1733</v>
      </c>
      <c r="C8519" s="4" t="str">
        <f>HYPERLINK("http://www.uniprot.org/uniprot/M5XC87","M5XC87")</f>
        <v>M5XC87</v>
      </c>
      <c r="D8519" s="2" t="s">
        <v>7194</v>
      </c>
      <c r="E8519" s="3">
        <v>0</v>
      </c>
      <c r="F8519" s="2">
        <v>1481</v>
      </c>
      <c r="G8519" s="2">
        <v>92</v>
      </c>
      <c r="H8519" s="2">
        <v>397</v>
      </c>
      <c r="I8519" s="2">
        <v>41</v>
      </c>
      <c r="J8519" s="2">
        <v>1231</v>
      </c>
      <c r="K8519" s="2">
        <v>97</v>
      </c>
      <c r="L8519" s="2">
        <v>493</v>
      </c>
    </row>
    <row r="8520" spans="1:12" x14ac:dyDescent="0.25">
      <c r="A8520" s="4" t="str">
        <f>HYPERLINK("http://www.rosaceae.org/Prunus/Prunus_persica/p.persica_gdr_reftransV1_0047117","p.persica_gdr_reftransV1_0047117")</f>
        <v>p.persica_gdr_reftransV1_0047117</v>
      </c>
      <c r="B8520" s="2">
        <v>1255</v>
      </c>
      <c r="C8520" s="4" t="str">
        <f>HYPERLINK("http://www.uniprot.org/uniprot/M5Y798","M5Y798")</f>
        <v>M5Y798</v>
      </c>
      <c r="D8520" s="2" t="s">
        <v>7471</v>
      </c>
      <c r="E8520" s="3">
        <v>2.4099999999999998E-49</v>
      </c>
      <c r="F8520" s="2">
        <v>451</v>
      </c>
      <c r="G8520" s="2">
        <v>66</v>
      </c>
      <c r="H8520" s="2">
        <v>207</v>
      </c>
      <c r="I8520" s="2">
        <v>98</v>
      </c>
      <c r="J8520" s="2">
        <v>652</v>
      </c>
      <c r="K8520" s="2">
        <v>1</v>
      </c>
      <c r="L8520" s="2">
        <v>206</v>
      </c>
    </row>
    <row r="8521" spans="1:12" x14ac:dyDescent="0.25">
      <c r="A8521" s="4" t="str">
        <f>HYPERLINK("http://www.rosaceae.org/Prunus/Prunus_persica/p.persica_gdr_reftransV1_0047467","p.persica_gdr_reftransV1_0047467")</f>
        <v>p.persica_gdr_reftransV1_0047467</v>
      </c>
      <c r="B8521" s="2">
        <v>2239</v>
      </c>
      <c r="C8521" s="4" t="str">
        <f>HYPERLINK("http://www.uniprot.org/uniprot/M5XPT7","M5XPT7")</f>
        <v>M5XPT7</v>
      </c>
      <c r="D8521" s="2" t="s">
        <v>4524</v>
      </c>
      <c r="E8521" s="3">
        <v>0</v>
      </c>
      <c r="F8521" s="2">
        <v>2492</v>
      </c>
      <c r="G8521" s="2">
        <v>100</v>
      </c>
      <c r="H8521" s="2">
        <v>485</v>
      </c>
      <c r="I8521" s="2">
        <v>469</v>
      </c>
      <c r="J8521" s="2">
        <v>1923</v>
      </c>
      <c r="K8521" s="2">
        <v>1</v>
      </c>
      <c r="L8521" s="2">
        <v>485</v>
      </c>
    </row>
    <row r="8522" spans="1:12" x14ac:dyDescent="0.25">
      <c r="A8522" s="4" t="str">
        <f>HYPERLINK("http://www.rosaceae.org/Prunus/Prunus_persica/p.persica_gdr_reftransV1_0047817","p.persica_gdr_reftransV1_0047817")</f>
        <v>p.persica_gdr_reftransV1_0047817</v>
      </c>
      <c r="B8522" s="2">
        <v>1514</v>
      </c>
      <c r="C8522" s="4" t="str">
        <f>HYPERLINK("http://www.uniprot.org/uniprot/M5XGP7","M5XGP7")</f>
        <v>M5XGP7</v>
      </c>
      <c r="D8522" s="2" t="s">
        <v>7472</v>
      </c>
      <c r="E8522" s="3">
        <v>0</v>
      </c>
      <c r="F8522" s="2">
        <v>1752</v>
      </c>
      <c r="G8522" s="2">
        <v>100</v>
      </c>
      <c r="H8522" s="2">
        <v>335</v>
      </c>
      <c r="I8522" s="2">
        <v>480</v>
      </c>
      <c r="J8522" s="2">
        <v>1484</v>
      </c>
      <c r="K8522" s="2">
        <v>457</v>
      </c>
      <c r="L8522" s="2">
        <v>791</v>
      </c>
    </row>
    <row r="8523" spans="1:12" x14ac:dyDescent="0.25">
      <c r="A8523" s="4" t="str">
        <f>HYPERLINK("http://www.rosaceae.org/Prunus/Prunus_persica/p.persica_gdr_reftransV1_0048167","p.persica_gdr_reftransV1_0048167")</f>
        <v>p.persica_gdr_reftransV1_0048167</v>
      </c>
      <c r="B8523" s="2">
        <v>1784</v>
      </c>
      <c r="C8523" s="4" t="str">
        <f>HYPERLINK("http://www.uniprot.org/uniprot/M5VNA9","M5VNA9")</f>
        <v>M5VNA9</v>
      </c>
      <c r="D8523" s="2" t="s">
        <v>7473</v>
      </c>
      <c r="E8523" s="3">
        <v>0</v>
      </c>
      <c r="F8523" s="2">
        <v>2414</v>
      </c>
      <c r="G8523" s="2">
        <v>100</v>
      </c>
      <c r="H8523" s="2">
        <v>475</v>
      </c>
      <c r="I8523" s="2">
        <v>252</v>
      </c>
      <c r="J8523" s="2">
        <v>1676</v>
      </c>
      <c r="K8523" s="2">
        <v>1</v>
      </c>
      <c r="L8523" s="2">
        <v>475</v>
      </c>
    </row>
    <row r="8524" spans="1:12" x14ac:dyDescent="0.25">
      <c r="A8524" s="4" t="str">
        <f>HYPERLINK("http://www.rosaceae.org/Prunus/Prunus_persica/p.persica_gdr_reftransV1_0048517","p.persica_gdr_reftransV1_0048517")</f>
        <v>p.persica_gdr_reftransV1_0048517</v>
      </c>
      <c r="B8524" s="2">
        <v>1653</v>
      </c>
      <c r="C8524" s="4" t="str">
        <f>HYPERLINK("http://www.uniprot.org/uniprot/M5Y185","M5Y185")</f>
        <v>M5Y185</v>
      </c>
      <c r="D8524" s="2" t="s">
        <v>7474</v>
      </c>
      <c r="E8524" s="3">
        <v>0</v>
      </c>
      <c r="F8524" s="2">
        <v>2227</v>
      </c>
      <c r="G8524" s="2">
        <v>93</v>
      </c>
      <c r="H8524" s="2">
        <v>497</v>
      </c>
      <c r="I8524" s="2">
        <v>21</v>
      </c>
      <c r="J8524" s="2">
        <v>1511</v>
      </c>
      <c r="K8524" s="2">
        <v>1</v>
      </c>
      <c r="L8524" s="2">
        <v>461</v>
      </c>
    </row>
    <row r="8525" spans="1:12" x14ac:dyDescent="0.25">
      <c r="A8525" s="4" t="str">
        <f>HYPERLINK("http://www.rosaceae.org/Prunus/Prunus_persica/p.persica_gdr_reftransV1_0048867","p.persica_gdr_reftransV1_0048867")</f>
        <v>p.persica_gdr_reftransV1_0048867</v>
      </c>
      <c r="B8525" s="2">
        <v>1035</v>
      </c>
      <c r="C8525" s="4" t="str">
        <f>HYPERLINK("http://www.uniprot.org/uniprot/M5Y4C4","M5Y4C4")</f>
        <v>M5Y4C4</v>
      </c>
      <c r="D8525" s="2" t="s">
        <v>821</v>
      </c>
      <c r="E8525" s="3">
        <v>0</v>
      </c>
      <c r="F8525" s="2">
        <v>1565</v>
      </c>
      <c r="G8525" s="2">
        <v>100</v>
      </c>
      <c r="H8525" s="2">
        <v>291</v>
      </c>
      <c r="I8525" s="2">
        <v>2</v>
      </c>
      <c r="J8525" s="2">
        <v>874</v>
      </c>
      <c r="K8525" s="2">
        <v>1160</v>
      </c>
      <c r="L8525" s="2">
        <v>1450</v>
      </c>
    </row>
    <row r="8526" spans="1:12" x14ac:dyDescent="0.25">
      <c r="A8526" s="4" t="str">
        <f>HYPERLINK("http://www.rosaceae.org/Prunus/Prunus_persica/p.persica_gdr_reftransV1_0000218","p.persica_gdr_reftransV1_0000218")</f>
        <v>p.persica_gdr_reftransV1_0000218</v>
      </c>
      <c r="B8526" s="2">
        <v>803</v>
      </c>
      <c r="C8526" s="4" t="str">
        <f>HYPERLINK("http://www.uniprot.org/uniprot/M5W7L2","M5W7L2")</f>
        <v>M5W7L2</v>
      </c>
      <c r="D8526" s="2" t="s">
        <v>2495</v>
      </c>
      <c r="E8526" s="3">
        <v>3.5499999999999998E-36</v>
      </c>
      <c r="F8526" s="2">
        <v>356</v>
      </c>
      <c r="G8526" s="2">
        <v>96</v>
      </c>
      <c r="H8526" s="2">
        <v>79</v>
      </c>
      <c r="I8526" s="2">
        <v>566</v>
      </c>
      <c r="J8526" s="2">
        <v>802</v>
      </c>
      <c r="K8526" s="2">
        <v>216</v>
      </c>
      <c r="L8526" s="2">
        <v>294</v>
      </c>
    </row>
    <row r="8527" spans="1:12" x14ac:dyDescent="0.25">
      <c r="A8527" s="4" t="str">
        <f>HYPERLINK("http://www.rosaceae.org/Prunus/Prunus_persica/p.persica_gdr_reftransV1_0000568","p.persica_gdr_reftransV1_0000568")</f>
        <v>p.persica_gdr_reftransV1_0000568</v>
      </c>
      <c r="B8527" s="2">
        <v>1227</v>
      </c>
      <c r="C8527" s="4" t="str">
        <f>HYPERLINK("http://www.uniprot.org/uniprot/M5VYH3","M5VYH3")</f>
        <v>M5VYH3</v>
      </c>
      <c r="D8527" s="2" t="s">
        <v>399</v>
      </c>
      <c r="E8527" s="3">
        <v>5.9999999999999997E-155</v>
      </c>
      <c r="F8527" s="2">
        <v>1171</v>
      </c>
      <c r="G8527" s="2">
        <v>100</v>
      </c>
      <c r="H8527" s="2">
        <v>316</v>
      </c>
      <c r="I8527" s="2">
        <v>278</v>
      </c>
      <c r="J8527" s="2">
        <v>1225</v>
      </c>
      <c r="K8527" s="2">
        <v>82</v>
      </c>
      <c r="L8527" s="2">
        <v>397</v>
      </c>
    </row>
    <row r="8528" spans="1:12" x14ac:dyDescent="0.25">
      <c r="A8528" s="4" t="str">
        <f>HYPERLINK("http://www.rosaceae.org/Prunus/Prunus_persica/p.persica_gdr_reftransV1_0000918","p.persica_gdr_reftransV1_0000918")</f>
        <v>p.persica_gdr_reftransV1_0000918</v>
      </c>
      <c r="B8528" s="2">
        <v>444</v>
      </c>
      <c r="C8528" s="4" t="str">
        <f>HYPERLINK("http://www.uniprot.org/uniprot/M5WH81","M5WH81")</f>
        <v>M5WH81</v>
      </c>
      <c r="D8528" s="2" t="s">
        <v>3270</v>
      </c>
      <c r="E8528" s="3">
        <v>2.5E-93</v>
      </c>
      <c r="F8528" s="2">
        <v>755</v>
      </c>
      <c r="G8528" s="2">
        <v>100</v>
      </c>
      <c r="H8528" s="2">
        <v>148</v>
      </c>
      <c r="I8528" s="2">
        <v>1</v>
      </c>
      <c r="J8528" s="2">
        <v>444</v>
      </c>
      <c r="K8528" s="2">
        <v>17</v>
      </c>
      <c r="L8528" s="2">
        <v>164</v>
      </c>
    </row>
    <row r="8529" spans="1:12" x14ac:dyDescent="0.25">
      <c r="A8529" s="4" t="str">
        <f>HYPERLINK("http://www.rosaceae.org/Prunus/Prunus_persica/p.persica_gdr_reftransV1_0001618","p.persica_gdr_reftransV1_0001618")</f>
        <v>p.persica_gdr_reftransV1_0001618</v>
      </c>
      <c r="B8529" s="2">
        <v>1094</v>
      </c>
      <c r="C8529" s="4" t="str">
        <f>HYPERLINK("http://www.uniprot.org/uniprot/M5XAL6","M5XAL6")</f>
        <v>M5XAL6</v>
      </c>
      <c r="D8529" s="2" t="s">
        <v>7475</v>
      </c>
      <c r="E8529" s="3">
        <v>0</v>
      </c>
      <c r="F8529" s="2">
        <v>1878</v>
      </c>
      <c r="G8529" s="2">
        <v>100</v>
      </c>
      <c r="H8529" s="2">
        <v>351</v>
      </c>
      <c r="I8529" s="2">
        <v>2</v>
      </c>
      <c r="J8529" s="2">
        <v>1054</v>
      </c>
      <c r="K8529" s="2">
        <v>142</v>
      </c>
      <c r="L8529" s="2">
        <v>492</v>
      </c>
    </row>
    <row r="8530" spans="1:12" x14ac:dyDescent="0.25">
      <c r="A8530" s="4" t="str">
        <f>HYPERLINK("http://www.rosaceae.org/Prunus/Prunus_persica/p.persica_gdr_reftransV1_0001968","p.persica_gdr_reftransV1_0001968")</f>
        <v>p.persica_gdr_reftransV1_0001968</v>
      </c>
      <c r="B8530" s="2">
        <v>664</v>
      </c>
      <c r="C8530" s="4" t="str">
        <f>HYPERLINK("http://www.uniprot.org/uniprot/M5W7Y2","M5W7Y2")</f>
        <v>M5W7Y2</v>
      </c>
      <c r="D8530" s="2" t="s">
        <v>7476</v>
      </c>
      <c r="E8530" s="3">
        <v>8.7899999999999995E-70</v>
      </c>
      <c r="F8530" s="2">
        <v>596</v>
      </c>
      <c r="G8530" s="2">
        <v>100</v>
      </c>
      <c r="H8530" s="2">
        <v>117</v>
      </c>
      <c r="I8530" s="2">
        <v>313</v>
      </c>
      <c r="J8530" s="2">
        <v>663</v>
      </c>
      <c r="K8530" s="2">
        <v>435</v>
      </c>
      <c r="L8530" s="2">
        <v>551</v>
      </c>
    </row>
    <row r="8531" spans="1:12" x14ac:dyDescent="0.25">
      <c r="A8531" s="4" t="str">
        <f>HYPERLINK("http://www.rosaceae.org/Prunus/Prunus_persica/p.persica_gdr_reftransV1_0002668","p.persica_gdr_reftransV1_0002668")</f>
        <v>p.persica_gdr_reftransV1_0002668</v>
      </c>
      <c r="B8531" s="2">
        <v>2436</v>
      </c>
      <c r="C8531" s="4" t="str">
        <f>HYPERLINK("http://www.uniprot.org/uniprot/M5XVN9","M5XVN9")</f>
        <v>M5XVN9</v>
      </c>
      <c r="D8531" s="2" t="s">
        <v>7477</v>
      </c>
      <c r="E8531" s="3">
        <v>0</v>
      </c>
      <c r="F8531" s="2">
        <v>3185</v>
      </c>
      <c r="G8531" s="2">
        <v>100</v>
      </c>
      <c r="H8531" s="2">
        <v>616</v>
      </c>
      <c r="I8531" s="2">
        <v>387</v>
      </c>
      <c r="J8531" s="2">
        <v>2234</v>
      </c>
      <c r="K8531" s="2">
        <v>1</v>
      </c>
      <c r="L8531" s="2">
        <v>616</v>
      </c>
    </row>
    <row r="8532" spans="1:12" x14ac:dyDescent="0.25">
      <c r="A8532" s="4" t="str">
        <f>HYPERLINK("http://www.rosaceae.org/Prunus/Prunus_persica/p.persica_gdr_reftransV1_0003018","p.persica_gdr_reftransV1_0003018")</f>
        <v>p.persica_gdr_reftransV1_0003018</v>
      </c>
      <c r="B8532" s="2">
        <v>4098</v>
      </c>
      <c r="C8532" s="4" t="str">
        <f>HYPERLINK("http://www.uniprot.org/uniprot/M5VTN4","M5VTN4")</f>
        <v>M5VTN4</v>
      </c>
      <c r="D8532" s="2" t="s">
        <v>7478</v>
      </c>
      <c r="E8532" s="3">
        <v>0</v>
      </c>
      <c r="F8532" s="2">
        <v>4865</v>
      </c>
      <c r="G8532" s="2">
        <v>99</v>
      </c>
      <c r="H8532" s="2">
        <v>994</v>
      </c>
      <c r="I8532" s="2">
        <v>197</v>
      </c>
      <c r="J8532" s="2">
        <v>3178</v>
      </c>
      <c r="K8532" s="2">
        <v>25</v>
      </c>
      <c r="L8532" s="2">
        <v>1018</v>
      </c>
    </row>
    <row r="8533" spans="1:12" x14ac:dyDescent="0.25">
      <c r="A8533" s="4" t="str">
        <f>HYPERLINK("http://www.rosaceae.org/Prunus/Prunus_persica/p.persica_gdr_reftransV1_0003368","p.persica_gdr_reftransV1_0003368")</f>
        <v>p.persica_gdr_reftransV1_0003368</v>
      </c>
      <c r="B8533" s="2">
        <v>2156</v>
      </c>
      <c r="C8533" s="4" t="str">
        <f>HYPERLINK("http://www.uniprot.org/uniprot/M5XBF3","M5XBF3")</f>
        <v>M5XBF3</v>
      </c>
      <c r="D8533" s="2" t="s">
        <v>7479</v>
      </c>
      <c r="E8533" s="3">
        <v>0</v>
      </c>
      <c r="F8533" s="2">
        <v>2242</v>
      </c>
      <c r="G8533" s="2">
        <v>100</v>
      </c>
      <c r="H8533" s="2">
        <v>546</v>
      </c>
      <c r="I8533" s="2">
        <v>313</v>
      </c>
      <c r="J8533" s="2">
        <v>1950</v>
      </c>
      <c r="K8533" s="2">
        <v>1</v>
      </c>
      <c r="L8533" s="2">
        <v>546</v>
      </c>
    </row>
    <row r="8534" spans="1:12" x14ac:dyDescent="0.25">
      <c r="A8534" s="4" t="str">
        <f>HYPERLINK("http://www.rosaceae.org/Prunus/Prunus_persica/p.persica_gdr_reftransV1_0003718","p.persica_gdr_reftransV1_0003718")</f>
        <v>p.persica_gdr_reftransV1_0003718</v>
      </c>
      <c r="B8534" s="2">
        <v>1050</v>
      </c>
      <c r="C8534" s="4" t="str">
        <f>HYPERLINK("http://www.uniprot.org/uniprot/M5WIZ7","M5WIZ7")</f>
        <v>M5WIZ7</v>
      </c>
      <c r="D8534" s="2" t="s">
        <v>403</v>
      </c>
      <c r="E8534" s="3">
        <v>1.3800000000000001E-131</v>
      </c>
      <c r="F8534" s="2">
        <v>992</v>
      </c>
      <c r="G8534" s="2">
        <v>100</v>
      </c>
      <c r="H8534" s="2">
        <v>206</v>
      </c>
      <c r="I8534" s="2">
        <v>257</v>
      </c>
      <c r="J8534" s="2">
        <v>874</v>
      </c>
      <c r="K8534" s="2">
        <v>1</v>
      </c>
      <c r="L8534" s="2">
        <v>206</v>
      </c>
    </row>
    <row r="8535" spans="1:12" x14ac:dyDescent="0.25">
      <c r="A8535" s="4" t="str">
        <f>HYPERLINK("http://www.rosaceae.org/Prunus/Prunus_persica/p.persica_gdr_reftransV1_0004068","p.persica_gdr_reftransV1_0004068")</f>
        <v>p.persica_gdr_reftransV1_0004068</v>
      </c>
      <c r="B8535" s="2">
        <v>1123</v>
      </c>
      <c r="C8535" s="4" t="str">
        <f>HYPERLINK("http://www.uniprot.org/uniprot/M5XHS8","M5XHS8")</f>
        <v>M5XHS8</v>
      </c>
      <c r="D8535" s="2" t="s">
        <v>7480</v>
      </c>
      <c r="E8535" s="3">
        <v>1.58E-116</v>
      </c>
      <c r="F8535" s="2">
        <v>892</v>
      </c>
      <c r="G8535" s="2">
        <v>100</v>
      </c>
      <c r="H8535" s="2">
        <v>178</v>
      </c>
      <c r="I8535" s="2">
        <v>447</v>
      </c>
      <c r="J8535" s="2">
        <v>980</v>
      </c>
      <c r="K8535" s="2">
        <v>1</v>
      </c>
      <c r="L8535" s="2">
        <v>178</v>
      </c>
    </row>
    <row r="8536" spans="1:12" x14ac:dyDescent="0.25">
      <c r="A8536" s="4" t="str">
        <f>HYPERLINK("http://www.rosaceae.org/Prunus/Prunus_persica/p.persica_gdr_reftransV1_0004418","p.persica_gdr_reftransV1_0004418")</f>
        <v>p.persica_gdr_reftransV1_0004418</v>
      </c>
      <c r="B8536" s="2">
        <v>1400</v>
      </c>
      <c r="C8536" s="4" t="str">
        <f>HYPERLINK("http://www.uniprot.org/uniprot/M5WUF6","M5WUF6")</f>
        <v>M5WUF6</v>
      </c>
      <c r="D8536" s="2" t="s">
        <v>7481</v>
      </c>
      <c r="E8536" s="3">
        <v>0</v>
      </c>
      <c r="F8536" s="2">
        <v>1555</v>
      </c>
      <c r="G8536" s="2">
        <v>100</v>
      </c>
      <c r="H8536" s="2">
        <v>293</v>
      </c>
      <c r="I8536" s="2">
        <v>411</v>
      </c>
      <c r="J8536" s="2">
        <v>1289</v>
      </c>
      <c r="K8536" s="2">
        <v>1</v>
      </c>
      <c r="L8536" s="2">
        <v>293</v>
      </c>
    </row>
    <row r="8537" spans="1:12" x14ac:dyDescent="0.25">
      <c r="A8537" s="4" t="str">
        <f>HYPERLINK("http://www.rosaceae.org/Prunus/Prunus_persica/p.persica_gdr_reftransV1_0005818","p.persica_gdr_reftransV1_0005818")</f>
        <v>p.persica_gdr_reftransV1_0005818</v>
      </c>
      <c r="B8537" s="2">
        <v>2113</v>
      </c>
      <c r="C8537" s="4" t="str">
        <f>HYPERLINK("http://www.uniprot.org/uniprot/A0A076VWZ5","A0A076VWZ5")</f>
        <v>A0A076VWZ5</v>
      </c>
      <c r="D8537" s="2" t="s">
        <v>7482</v>
      </c>
      <c r="E8537" s="3">
        <v>3.7400000000000003E-52</v>
      </c>
      <c r="F8537" s="2">
        <v>483</v>
      </c>
      <c r="G8537" s="2">
        <v>71</v>
      </c>
      <c r="H8537" s="2">
        <v>143</v>
      </c>
      <c r="I8537" s="2">
        <v>187</v>
      </c>
      <c r="J8537" s="2">
        <v>615</v>
      </c>
      <c r="K8537" s="2">
        <v>1</v>
      </c>
      <c r="L8537" s="2">
        <v>137</v>
      </c>
    </row>
    <row r="8538" spans="1:12" x14ac:dyDescent="0.25">
      <c r="A8538" s="4" t="str">
        <f>HYPERLINK("http://www.rosaceae.org/Prunus/Prunus_persica/p.persica_gdr_reftransV1_0006518","p.persica_gdr_reftransV1_0006518")</f>
        <v>p.persica_gdr_reftransV1_0006518</v>
      </c>
      <c r="B8538" s="2">
        <v>2456</v>
      </c>
      <c r="C8538" s="4" t="str">
        <f>HYPERLINK("http://www.uniprot.org/uniprot/M5XIE9","M5XIE9")</f>
        <v>M5XIE9</v>
      </c>
      <c r="D8538" s="2" t="s">
        <v>7483</v>
      </c>
      <c r="E8538" s="3">
        <v>0</v>
      </c>
      <c r="F8538" s="2">
        <v>2251</v>
      </c>
      <c r="G8538" s="2">
        <v>95</v>
      </c>
      <c r="H8538" s="2">
        <v>525</v>
      </c>
      <c r="I8538" s="2">
        <v>498</v>
      </c>
      <c r="J8538" s="2">
        <v>2072</v>
      </c>
      <c r="K8538" s="2">
        <v>1</v>
      </c>
      <c r="L8538" s="2">
        <v>497</v>
      </c>
    </row>
    <row r="8539" spans="1:12" x14ac:dyDescent="0.25">
      <c r="A8539" s="4" t="str">
        <f>HYPERLINK("http://www.rosaceae.org/Prunus/Prunus_persica/p.persica_gdr_reftransV1_0007218","p.persica_gdr_reftransV1_0007218")</f>
        <v>p.persica_gdr_reftransV1_0007218</v>
      </c>
      <c r="B8539" s="2">
        <v>541</v>
      </c>
      <c r="C8539" s="4" t="str">
        <f>HYPERLINK("http://www.uniprot.org/uniprot/M5VIU3","M5VIU3")</f>
        <v>M5VIU3</v>
      </c>
      <c r="D8539" s="2" t="s">
        <v>7484</v>
      </c>
      <c r="E8539" s="3">
        <v>6.2800000000000004E-63</v>
      </c>
      <c r="F8539" s="2">
        <v>547</v>
      </c>
      <c r="G8539" s="2">
        <v>100</v>
      </c>
      <c r="H8539" s="2">
        <v>105</v>
      </c>
      <c r="I8539" s="2">
        <v>167</v>
      </c>
      <c r="J8539" s="2">
        <v>481</v>
      </c>
      <c r="K8539" s="2">
        <v>1</v>
      </c>
      <c r="L8539" s="2">
        <v>105</v>
      </c>
    </row>
    <row r="8540" spans="1:12" x14ac:dyDescent="0.25">
      <c r="A8540" s="4" t="str">
        <f>HYPERLINK("http://www.rosaceae.org/Prunus/Prunus_persica/p.persica_gdr_reftransV1_0007568","p.persica_gdr_reftransV1_0007568")</f>
        <v>p.persica_gdr_reftransV1_0007568</v>
      </c>
      <c r="B8540" s="2">
        <v>499</v>
      </c>
      <c r="C8540" s="4" t="str">
        <f>HYPERLINK("http://www.uniprot.org/uniprot/M5WAU6","M5WAU6")</f>
        <v>M5WAU6</v>
      </c>
      <c r="D8540" s="2" t="s">
        <v>7485</v>
      </c>
      <c r="E8540" s="3">
        <v>1.42E-37</v>
      </c>
      <c r="F8540" s="2">
        <v>363</v>
      </c>
      <c r="G8540" s="2">
        <v>99</v>
      </c>
      <c r="H8540" s="2">
        <v>70</v>
      </c>
      <c r="I8540" s="2">
        <v>115</v>
      </c>
      <c r="J8540" s="2">
        <v>324</v>
      </c>
      <c r="K8540" s="2">
        <v>383</v>
      </c>
      <c r="L8540" s="2">
        <v>452</v>
      </c>
    </row>
    <row r="8541" spans="1:12" x14ac:dyDescent="0.25">
      <c r="A8541" s="4" t="str">
        <f>HYPERLINK("http://www.rosaceae.org/Prunus/Prunus_persica/p.persica_gdr_reftransV1_0007918","p.persica_gdr_reftransV1_0007918")</f>
        <v>p.persica_gdr_reftransV1_0007918</v>
      </c>
      <c r="B8541" s="2">
        <v>1058</v>
      </c>
      <c r="C8541" s="4" t="str">
        <f>HYPERLINK("http://www.uniprot.org/uniprot/M5XIC4","M5XIC4")</f>
        <v>M5XIC4</v>
      </c>
      <c r="D8541" s="2" t="s">
        <v>7486</v>
      </c>
      <c r="E8541" s="3">
        <v>0</v>
      </c>
      <c r="F8541" s="2">
        <v>1435</v>
      </c>
      <c r="G8541" s="2">
        <v>100</v>
      </c>
      <c r="H8541" s="2">
        <v>270</v>
      </c>
      <c r="I8541" s="2">
        <v>2</v>
      </c>
      <c r="J8541" s="2">
        <v>811</v>
      </c>
      <c r="K8541" s="2">
        <v>168</v>
      </c>
      <c r="L8541" s="2">
        <v>437</v>
      </c>
    </row>
    <row r="8542" spans="1:12" x14ac:dyDescent="0.25">
      <c r="A8542" s="4" t="str">
        <f>HYPERLINK("http://www.rosaceae.org/Prunus/Prunus_persica/p.persica_gdr_reftransV1_0008268","p.persica_gdr_reftransV1_0008268")</f>
        <v>p.persica_gdr_reftransV1_0008268</v>
      </c>
      <c r="B8542" s="2">
        <v>1349</v>
      </c>
      <c r="C8542" s="4" t="str">
        <f>HYPERLINK("http://www.uniprot.org/uniprot/M5WNH2","M5WNH2")</f>
        <v>M5WNH2</v>
      </c>
      <c r="D8542" s="2" t="s">
        <v>7487</v>
      </c>
      <c r="E8542" s="3">
        <v>0</v>
      </c>
      <c r="F8542" s="2">
        <v>1967</v>
      </c>
      <c r="G8542" s="2">
        <v>99</v>
      </c>
      <c r="H8542" s="2">
        <v>370</v>
      </c>
      <c r="I8542" s="2">
        <v>239</v>
      </c>
      <c r="J8542" s="2">
        <v>1348</v>
      </c>
      <c r="K8542" s="2">
        <v>277</v>
      </c>
      <c r="L8542" s="2">
        <v>646</v>
      </c>
    </row>
    <row r="8543" spans="1:12" x14ac:dyDescent="0.25">
      <c r="A8543" s="4" t="str">
        <f>HYPERLINK("http://www.rosaceae.org/Prunus/Prunus_persica/p.persica_gdr_reftransV1_0009668","p.persica_gdr_reftransV1_0009668")</f>
        <v>p.persica_gdr_reftransV1_0009668</v>
      </c>
      <c r="B8543" s="2">
        <v>4609</v>
      </c>
      <c r="C8543" s="4" t="str">
        <f>HYPERLINK("http://www.uniprot.org/uniprot/M5W7K2","M5W7K2")</f>
        <v>M5W7K2</v>
      </c>
      <c r="D8543" s="2" t="s">
        <v>7488</v>
      </c>
      <c r="E8543" s="3">
        <v>0</v>
      </c>
      <c r="F8543" s="2">
        <v>2904</v>
      </c>
      <c r="G8543" s="2">
        <v>100</v>
      </c>
      <c r="H8543" s="2">
        <v>546</v>
      </c>
      <c r="I8543" s="2">
        <v>1914</v>
      </c>
      <c r="J8543" s="2">
        <v>3551</v>
      </c>
      <c r="K8543" s="2">
        <v>317</v>
      </c>
      <c r="L8543" s="2">
        <v>862</v>
      </c>
    </row>
    <row r="8544" spans="1:12" x14ac:dyDescent="0.25">
      <c r="A8544" s="4" t="str">
        <f>HYPERLINK("http://www.rosaceae.org/Prunus/Prunus_persica/p.persica_gdr_reftransV1_0010368","p.persica_gdr_reftransV1_0010368")</f>
        <v>p.persica_gdr_reftransV1_0010368</v>
      </c>
      <c r="B8544" s="2">
        <v>2349</v>
      </c>
      <c r="C8544" s="4" t="str">
        <f>HYPERLINK("http://www.uniprot.org/uniprot/M5XRV2","M5XRV2")</f>
        <v>M5XRV2</v>
      </c>
      <c r="D8544" s="2" t="s">
        <v>7489</v>
      </c>
      <c r="E8544" s="3">
        <v>0</v>
      </c>
      <c r="F8544" s="2">
        <v>3055</v>
      </c>
      <c r="G8544" s="2">
        <v>100</v>
      </c>
      <c r="H8544" s="2">
        <v>577</v>
      </c>
      <c r="I8544" s="2">
        <v>270</v>
      </c>
      <c r="J8544" s="2">
        <v>2000</v>
      </c>
      <c r="K8544" s="2">
        <v>16</v>
      </c>
      <c r="L8544" s="2">
        <v>592</v>
      </c>
    </row>
    <row r="8545" spans="1:12" x14ac:dyDescent="0.25">
      <c r="A8545" s="4" t="str">
        <f>HYPERLINK("http://www.rosaceae.org/Prunus/Prunus_persica/p.persica_gdr_reftransV1_0010718","p.persica_gdr_reftransV1_0010718")</f>
        <v>p.persica_gdr_reftransV1_0010718</v>
      </c>
      <c r="B8545" s="2">
        <v>1826</v>
      </c>
      <c r="C8545" s="4" t="str">
        <f>HYPERLINK("http://www.uniprot.org/uniprot/M5WAI7","M5WAI7")</f>
        <v>M5WAI7</v>
      </c>
      <c r="D8545" s="2" t="s">
        <v>7490</v>
      </c>
      <c r="E8545" s="3">
        <v>0</v>
      </c>
      <c r="F8545" s="2">
        <v>2468</v>
      </c>
      <c r="G8545" s="2">
        <v>100</v>
      </c>
      <c r="H8545" s="2">
        <v>456</v>
      </c>
      <c r="I8545" s="2">
        <v>311</v>
      </c>
      <c r="J8545" s="2">
        <v>1678</v>
      </c>
      <c r="K8545" s="2">
        <v>1</v>
      </c>
      <c r="L8545" s="2">
        <v>456</v>
      </c>
    </row>
    <row r="8546" spans="1:12" x14ac:dyDescent="0.25">
      <c r="A8546" s="4" t="str">
        <f>HYPERLINK("http://www.rosaceae.org/Prunus/Prunus_persica/p.persica_gdr_reftransV1_0011068","p.persica_gdr_reftransV1_0011068")</f>
        <v>p.persica_gdr_reftransV1_0011068</v>
      </c>
      <c r="B8546" s="2">
        <v>2424</v>
      </c>
      <c r="C8546" s="4" t="str">
        <f>HYPERLINK("http://www.uniprot.org/uniprot/M5VQ32","M5VQ32")</f>
        <v>M5VQ32</v>
      </c>
      <c r="D8546" s="2" t="s">
        <v>7491</v>
      </c>
      <c r="E8546" s="3">
        <v>0</v>
      </c>
      <c r="F8546" s="2">
        <v>3140</v>
      </c>
      <c r="G8546" s="2">
        <v>98</v>
      </c>
      <c r="H8546" s="2">
        <v>633</v>
      </c>
      <c r="I8546" s="2">
        <v>297</v>
      </c>
      <c r="J8546" s="2">
        <v>2195</v>
      </c>
      <c r="K8546" s="2">
        <v>48</v>
      </c>
      <c r="L8546" s="2">
        <v>667</v>
      </c>
    </row>
    <row r="8547" spans="1:12" x14ac:dyDescent="0.25">
      <c r="A8547" s="4" t="str">
        <f>HYPERLINK("http://www.rosaceae.org/Prunus/Prunus_persica/p.persica_gdr_reftransV1_0011768","p.persica_gdr_reftransV1_0011768")</f>
        <v>p.persica_gdr_reftransV1_0011768</v>
      </c>
      <c r="B8547" s="2">
        <v>991</v>
      </c>
      <c r="C8547" s="4" t="str">
        <f>HYPERLINK("http://www.uniprot.org/uniprot/M5WJU8","M5WJU8")</f>
        <v>M5WJU8</v>
      </c>
      <c r="D8547" s="2" t="s">
        <v>7492</v>
      </c>
      <c r="E8547" s="3">
        <v>3.7300000000000003E-57</v>
      </c>
      <c r="F8547" s="2">
        <v>489</v>
      </c>
      <c r="G8547" s="2">
        <v>100</v>
      </c>
      <c r="H8547" s="2">
        <v>139</v>
      </c>
      <c r="I8547" s="2">
        <v>68</v>
      </c>
      <c r="J8547" s="2">
        <v>484</v>
      </c>
      <c r="K8547" s="2">
        <v>1</v>
      </c>
      <c r="L8547" s="2">
        <v>139</v>
      </c>
    </row>
    <row r="8548" spans="1:12" x14ac:dyDescent="0.25">
      <c r="A8548" s="4" t="str">
        <f>HYPERLINK("http://www.rosaceae.org/Prunus/Prunus_persica/p.persica_gdr_reftransV1_0012818","p.persica_gdr_reftransV1_0012818")</f>
        <v>p.persica_gdr_reftransV1_0012818</v>
      </c>
      <c r="B8548" s="2">
        <v>3948</v>
      </c>
      <c r="C8548" s="4" t="str">
        <f>HYPERLINK("http://www.uniprot.org/uniprot/M5XZQ6","M5XZQ6")</f>
        <v>M5XZQ6</v>
      </c>
      <c r="D8548" s="2" t="s">
        <v>6037</v>
      </c>
      <c r="E8548" s="3">
        <v>0</v>
      </c>
      <c r="F8548" s="2">
        <v>2683</v>
      </c>
      <c r="G8548" s="2">
        <v>67</v>
      </c>
      <c r="H8548" s="2">
        <v>890</v>
      </c>
      <c r="I8548" s="2">
        <v>205</v>
      </c>
      <c r="J8548" s="2">
        <v>2844</v>
      </c>
      <c r="K8548" s="2">
        <v>1</v>
      </c>
      <c r="L8548" s="2">
        <v>839</v>
      </c>
    </row>
    <row r="8549" spans="1:12" x14ac:dyDescent="0.25">
      <c r="A8549" s="4" t="str">
        <f>HYPERLINK("http://www.rosaceae.org/Prunus/Prunus_persica/p.persica_gdr_reftransV1_0013518","p.persica_gdr_reftransV1_0013518")</f>
        <v>p.persica_gdr_reftransV1_0013518</v>
      </c>
      <c r="B8549" s="2">
        <v>1921</v>
      </c>
      <c r="C8549" s="4" t="str">
        <f>HYPERLINK("http://www.uniprot.org/uniprot/M5W0X6","M5W0X6")</f>
        <v>M5W0X6</v>
      </c>
      <c r="D8549" s="2" t="s">
        <v>6312</v>
      </c>
      <c r="E8549" s="3">
        <v>0</v>
      </c>
      <c r="F8549" s="2">
        <v>2913</v>
      </c>
      <c r="G8549" s="2">
        <v>99</v>
      </c>
      <c r="H8549" s="2">
        <v>552</v>
      </c>
      <c r="I8549" s="2">
        <v>260</v>
      </c>
      <c r="J8549" s="2">
        <v>1915</v>
      </c>
      <c r="K8549" s="2">
        <v>1</v>
      </c>
      <c r="L8549" s="2">
        <v>552</v>
      </c>
    </row>
    <row r="8550" spans="1:12" x14ac:dyDescent="0.25">
      <c r="A8550" s="4" t="str">
        <f>HYPERLINK("http://www.rosaceae.org/Prunus/Prunus_persica/p.persica_gdr_reftransV1_0014918","p.persica_gdr_reftransV1_0014918")</f>
        <v>p.persica_gdr_reftransV1_0014918</v>
      </c>
      <c r="B8550" s="2">
        <v>2863</v>
      </c>
      <c r="C8550" s="4" t="str">
        <f>HYPERLINK("http://www.uniprot.org/uniprot/M5XKQ7","M5XKQ7")</f>
        <v>M5XKQ7</v>
      </c>
      <c r="D8550" s="2" t="s">
        <v>7493</v>
      </c>
      <c r="E8550" s="3">
        <v>0</v>
      </c>
      <c r="F8550" s="2">
        <v>4332</v>
      </c>
      <c r="G8550" s="2">
        <v>100</v>
      </c>
      <c r="H8550" s="2">
        <v>839</v>
      </c>
      <c r="I8550" s="2">
        <v>124</v>
      </c>
      <c r="J8550" s="2">
        <v>2640</v>
      </c>
      <c r="K8550" s="2">
        <v>15</v>
      </c>
      <c r="L8550" s="2">
        <v>853</v>
      </c>
    </row>
    <row r="8551" spans="1:12" x14ac:dyDescent="0.25">
      <c r="A8551" s="4" t="str">
        <f>HYPERLINK("http://www.rosaceae.org/Prunus/Prunus_persica/p.persica_gdr_reftransV1_0015268","p.persica_gdr_reftransV1_0015268")</f>
        <v>p.persica_gdr_reftransV1_0015268</v>
      </c>
      <c r="B8551" s="2">
        <v>487</v>
      </c>
      <c r="C8551" s="4" t="str">
        <f>HYPERLINK("http://www.uniprot.org/uniprot/A0A077ZR44","A0A077ZR44")</f>
        <v>A0A077ZR44</v>
      </c>
      <c r="D8551" s="2" t="s">
        <v>7494</v>
      </c>
      <c r="E8551" s="3">
        <v>7.9300000000000004E-19</v>
      </c>
      <c r="F8551" s="2">
        <v>218</v>
      </c>
      <c r="G8551" s="2">
        <v>76</v>
      </c>
      <c r="H8551" s="2">
        <v>55</v>
      </c>
      <c r="I8551" s="2">
        <v>258</v>
      </c>
      <c r="J8551" s="2">
        <v>422</v>
      </c>
      <c r="K8551" s="2">
        <v>64</v>
      </c>
      <c r="L8551" s="2">
        <v>118</v>
      </c>
    </row>
    <row r="8552" spans="1:12" x14ac:dyDescent="0.25">
      <c r="A8552" s="4" t="str">
        <f>HYPERLINK("http://www.rosaceae.org/Prunus/Prunus_persica/p.persica_gdr_reftransV1_0016318","p.persica_gdr_reftransV1_0016318")</f>
        <v>p.persica_gdr_reftransV1_0016318</v>
      </c>
      <c r="B8552" s="2">
        <v>789</v>
      </c>
      <c r="C8552" s="4" t="str">
        <f>HYPERLINK("http://www.uniprot.org/uniprot/M5W3G5","M5W3G5")</f>
        <v>M5W3G5</v>
      </c>
      <c r="D8552" s="2" t="s">
        <v>7495</v>
      </c>
      <c r="E8552" s="3">
        <v>4.5800000000000003E-109</v>
      </c>
      <c r="F8552" s="2">
        <v>833</v>
      </c>
      <c r="G8552" s="2">
        <v>100</v>
      </c>
      <c r="H8552" s="2">
        <v>160</v>
      </c>
      <c r="I8552" s="2">
        <v>1</v>
      </c>
      <c r="J8552" s="2">
        <v>480</v>
      </c>
      <c r="K8552" s="2">
        <v>42</v>
      </c>
      <c r="L8552" s="2">
        <v>201</v>
      </c>
    </row>
    <row r="8553" spans="1:12" x14ac:dyDescent="0.25">
      <c r="A8553" s="4" t="str">
        <f>HYPERLINK("http://www.rosaceae.org/Prunus/Prunus_persica/p.persica_gdr_reftransV1_0016668","p.persica_gdr_reftransV1_0016668")</f>
        <v>p.persica_gdr_reftransV1_0016668</v>
      </c>
      <c r="B8553" s="2">
        <v>1316</v>
      </c>
      <c r="C8553" s="4" t="str">
        <f>HYPERLINK("http://www.uniprot.org/uniprot/A0A068VEJ3","A0A068VEJ3")</f>
        <v>A0A068VEJ3</v>
      </c>
      <c r="D8553" s="2" t="s">
        <v>7496</v>
      </c>
      <c r="E8553" s="3">
        <v>3.6499999999999999E-103</v>
      </c>
      <c r="F8553" s="2">
        <v>575</v>
      </c>
      <c r="G8553" s="2">
        <v>83</v>
      </c>
      <c r="H8553" s="2">
        <v>125</v>
      </c>
      <c r="I8553" s="2">
        <v>283</v>
      </c>
      <c r="J8553" s="2">
        <v>657</v>
      </c>
      <c r="K8553" s="2">
        <v>161</v>
      </c>
      <c r="L8553" s="2">
        <v>285</v>
      </c>
    </row>
    <row r="8554" spans="1:12" x14ac:dyDescent="0.25">
      <c r="A8554" s="4" t="str">
        <f>HYPERLINK("http://www.rosaceae.org/Prunus/Prunus_persica/p.persica_gdr_reftransV1_0017018","p.persica_gdr_reftransV1_0017018")</f>
        <v>p.persica_gdr_reftransV1_0017018</v>
      </c>
      <c r="B8554" s="2">
        <v>1697</v>
      </c>
      <c r="C8554" s="4" t="str">
        <f>HYPERLINK("http://www.uniprot.org/uniprot/M5W1A6","M5W1A6")</f>
        <v>M5W1A6</v>
      </c>
      <c r="D8554" s="2" t="s">
        <v>7497</v>
      </c>
      <c r="E8554" s="3">
        <v>2.3300000000000001E-102</v>
      </c>
      <c r="F8554" s="2">
        <v>816</v>
      </c>
      <c r="G8554" s="2">
        <v>88</v>
      </c>
      <c r="H8554" s="2">
        <v>206</v>
      </c>
      <c r="I8554" s="2">
        <v>825</v>
      </c>
      <c r="J8554" s="2">
        <v>1442</v>
      </c>
      <c r="K8554" s="2">
        <v>1</v>
      </c>
      <c r="L8554" s="2">
        <v>185</v>
      </c>
    </row>
    <row r="8555" spans="1:12" x14ac:dyDescent="0.25">
      <c r="A8555" s="4" t="str">
        <f>HYPERLINK("http://www.rosaceae.org/Prunus/Prunus_persica/p.persica_gdr_reftransV1_0017718","p.persica_gdr_reftransV1_0017718")</f>
        <v>p.persica_gdr_reftransV1_0017718</v>
      </c>
      <c r="B8555" s="2">
        <v>907</v>
      </c>
      <c r="C8555" s="4" t="str">
        <f>HYPERLINK("http://www.uniprot.org/uniprot/M5VR74","M5VR74")</f>
        <v>M5VR74</v>
      </c>
      <c r="D8555" s="2" t="s">
        <v>7498</v>
      </c>
      <c r="E8555" s="3">
        <v>5.24E-78</v>
      </c>
      <c r="F8555" s="2">
        <v>630</v>
      </c>
      <c r="G8555" s="2">
        <v>86</v>
      </c>
      <c r="H8555" s="2">
        <v>139</v>
      </c>
      <c r="I8555" s="2">
        <v>176</v>
      </c>
      <c r="J8555" s="2">
        <v>580</v>
      </c>
      <c r="K8555" s="2">
        <v>39</v>
      </c>
      <c r="L8555" s="2">
        <v>177</v>
      </c>
    </row>
    <row r="8556" spans="1:12" x14ac:dyDescent="0.25">
      <c r="A8556" s="4" t="str">
        <f>HYPERLINK("http://www.rosaceae.org/Prunus/Prunus_persica/p.persica_gdr_reftransV1_0018068","p.persica_gdr_reftransV1_0018068")</f>
        <v>p.persica_gdr_reftransV1_0018068</v>
      </c>
      <c r="B8556" s="2">
        <v>1100</v>
      </c>
      <c r="C8556" s="4" t="str">
        <f>HYPERLINK("http://www.uniprot.org/uniprot/M5WRM3","M5WRM3")</f>
        <v>M5WRM3</v>
      </c>
      <c r="D8556" s="2" t="s">
        <v>7499</v>
      </c>
      <c r="E8556" s="3">
        <v>3.61E-40</v>
      </c>
      <c r="F8556" s="2">
        <v>377</v>
      </c>
      <c r="G8556" s="2">
        <v>99</v>
      </c>
      <c r="H8556" s="2">
        <v>71</v>
      </c>
      <c r="I8556" s="2">
        <v>614</v>
      </c>
      <c r="J8556" s="2">
        <v>826</v>
      </c>
      <c r="K8556" s="2">
        <v>66</v>
      </c>
      <c r="L8556" s="2">
        <v>136</v>
      </c>
    </row>
    <row r="8557" spans="1:12" x14ac:dyDescent="0.25">
      <c r="A8557" s="4" t="str">
        <f>HYPERLINK("http://www.rosaceae.org/Prunus/Prunus_persica/p.persica_gdr_reftransV1_0019468","p.persica_gdr_reftransV1_0019468")</f>
        <v>p.persica_gdr_reftransV1_0019468</v>
      </c>
      <c r="B8557" s="2">
        <v>2788</v>
      </c>
      <c r="C8557" s="4" t="str">
        <f>HYPERLINK("http://www.uniprot.org/uniprot/M5X8L3","M5X8L3")</f>
        <v>M5X8L3</v>
      </c>
      <c r="D8557" s="2" t="s">
        <v>5992</v>
      </c>
      <c r="E8557" s="3">
        <v>0</v>
      </c>
      <c r="F8557" s="2">
        <v>1398</v>
      </c>
      <c r="G8557" s="2">
        <v>100</v>
      </c>
      <c r="H8557" s="2">
        <v>252</v>
      </c>
      <c r="I8557" s="2">
        <v>52</v>
      </c>
      <c r="J8557" s="2">
        <v>807</v>
      </c>
      <c r="K8557" s="2">
        <v>1</v>
      </c>
      <c r="L8557" s="2">
        <v>252</v>
      </c>
    </row>
    <row r="8558" spans="1:12" x14ac:dyDescent="0.25">
      <c r="A8558" s="4" t="str">
        <f>HYPERLINK("http://www.rosaceae.org/Prunus/Prunus_persica/p.persica_gdr_reftransV1_0019818","p.persica_gdr_reftransV1_0019818")</f>
        <v>p.persica_gdr_reftransV1_0019818</v>
      </c>
      <c r="B8558" s="2">
        <v>4652</v>
      </c>
      <c r="C8558" s="4" t="str">
        <f>HYPERLINK("http://www.uniprot.org/uniprot/M5VNU7","M5VNU7")</f>
        <v>M5VNU7</v>
      </c>
      <c r="D8558" s="2" t="s">
        <v>183</v>
      </c>
      <c r="E8558" s="3">
        <v>2.3499999999999998E-167</v>
      </c>
      <c r="F8558" s="2">
        <v>1275</v>
      </c>
      <c r="G8558" s="2">
        <v>96</v>
      </c>
      <c r="H8558" s="2">
        <v>392</v>
      </c>
      <c r="I8558" s="2">
        <v>3038</v>
      </c>
      <c r="J8558" s="2">
        <v>4213</v>
      </c>
      <c r="K8558" s="2">
        <v>147</v>
      </c>
      <c r="L8558" s="2">
        <v>528</v>
      </c>
    </row>
    <row r="8559" spans="1:12" x14ac:dyDescent="0.25">
      <c r="A8559" s="4" t="str">
        <f>HYPERLINK("http://www.rosaceae.org/Prunus/Prunus_persica/p.persica_gdr_reftransV1_0020168","p.persica_gdr_reftransV1_0020168")</f>
        <v>p.persica_gdr_reftransV1_0020168</v>
      </c>
      <c r="B8559" s="2">
        <v>1600</v>
      </c>
      <c r="C8559" s="4" t="str">
        <f>HYPERLINK("http://www.uniprot.org/uniprot/M5WP41","M5WP41")</f>
        <v>M5WP41</v>
      </c>
      <c r="D8559" s="2" t="s">
        <v>7500</v>
      </c>
      <c r="E8559" s="3">
        <v>4.7E-127</v>
      </c>
      <c r="F8559" s="2">
        <v>977</v>
      </c>
      <c r="G8559" s="2">
        <v>99</v>
      </c>
      <c r="H8559" s="2">
        <v>183</v>
      </c>
      <c r="I8559" s="2">
        <v>246</v>
      </c>
      <c r="J8559" s="2">
        <v>794</v>
      </c>
      <c r="K8559" s="2">
        <v>1</v>
      </c>
      <c r="L8559" s="2">
        <v>183</v>
      </c>
    </row>
    <row r="8560" spans="1:12" x14ac:dyDescent="0.25">
      <c r="A8560" s="4" t="str">
        <f>HYPERLINK("http://www.rosaceae.org/Prunus/Prunus_persica/p.persica_gdr_reftransV1_0020518","p.persica_gdr_reftransV1_0020518")</f>
        <v>p.persica_gdr_reftransV1_0020518</v>
      </c>
      <c r="B8560" s="2">
        <v>1101</v>
      </c>
      <c r="C8560" s="4" t="str">
        <f>HYPERLINK("http://www.uniprot.org/uniprot/M5XH88","M5XH88")</f>
        <v>M5XH88</v>
      </c>
      <c r="D8560" s="2" t="s">
        <v>7501</v>
      </c>
      <c r="E8560" s="3">
        <v>6.7199999999999995E-137</v>
      </c>
      <c r="F8560" s="2">
        <v>1027</v>
      </c>
      <c r="G8560" s="2">
        <v>100</v>
      </c>
      <c r="H8560" s="2">
        <v>192</v>
      </c>
      <c r="I8560" s="2">
        <v>422</v>
      </c>
      <c r="J8560" s="2">
        <v>997</v>
      </c>
      <c r="K8560" s="2">
        <v>1</v>
      </c>
      <c r="L8560" s="2">
        <v>192</v>
      </c>
    </row>
    <row r="8561" spans="1:12" x14ac:dyDescent="0.25">
      <c r="A8561" s="4" t="str">
        <f>HYPERLINK("http://www.rosaceae.org/Prunus/Prunus_persica/p.persica_gdr_reftransV1_0021218","p.persica_gdr_reftransV1_0021218")</f>
        <v>p.persica_gdr_reftransV1_0021218</v>
      </c>
      <c r="B8561" s="2">
        <v>5302</v>
      </c>
      <c r="C8561" s="4" t="str">
        <f>HYPERLINK("http://www.uniprot.org/uniprot/V9PBP1","V9PBP1")</f>
        <v>V9PBP1</v>
      </c>
      <c r="D8561" s="2" t="s">
        <v>7502</v>
      </c>
      <c r="E8561" s="3">
        <v>5.6000000000000003E-160</v>
      </c>
      <c r="F8561" s="2">
        <v>1287</v>
      </c>
      <c r="G8561" s="2">
        <v>99</v>
      </c>
      <c r="H8561" s="2">
        <v>265</v>
      </c>
      <c r="I8561" s="2">
        <v>924</v>
      </c>
      <c r="J8561" s="2">
        <v>1718</v>
      </c>
      <c r="K8561" s="2">
        <v>1</v>
      </c>
      <c r="L8561" s="2">
        <v>265</v>
      </c>
    </row>
    <row r="8562" spans="1:12" x14ac:dyDescent="0.25">
      <c r="A8562" s="4" t="str">
        <f>HYPERLINK("http://www.rosaceae.org/Prunus/Prunus_persica/p.persica_gdr_reftransV1_0021568","p.persica_gdr_reftransV1_0021568")</f>
        <v>p.persica_gdr_reftransV1_0021568</v>
      </c>
      <c r="B8562" s="2">
        <v>1703</v>
      </c>
      <c r="C8562" s="4" t="str">
        <f>HYPERLINK("http://www.uniprot.org/uniprot/M5VHR4","M5VHR4")</f>
        <v>M5VHR4</v>
      </c>
      <c r="D8562" s="2" t="s">
        <v>7503</v>
      </c>
      <c r="E8562" s="3">
        <v>1.5300000000000001E-94</v>
      </c>
      <c r="F8562" s="2">
        <v>762</v>
      </c>
      <c r="G8562" s="2">
        <v>100</v>
      </c>
      <c r="H8562" s="2">
        <v>165</v>
      </c>
      <c r="I8562" s="2">
        <v>1064</v>
      </c>
      <c r="J8562" s="2">
        <v>1558</v>
      </c>
      <c r="K8562" s="2">
        <v>1</v>
      </c>
      <c r="L8562" s="2">
        <v>165</v>
      </c>
    </row>
    <row r="8563" spans="1:12" x14ac:dyDescent="0.25">
      <c r="A8563" s="4" t="str">
        <f>HYPERLINK("http://www.rosaceae.org/Prunus/Prunus_persica/p.persica_gdr_reftransV1_0021918","p.persica_gdr_reftransV1_0021918")</f>
        <v>p.persica_gdr_reftransV1_0021918</v>
      </c>
      <c r="B8563" s="2">
        <v>1239</v>
      </c>
      <c r="C8563" s="4" t="str">
        <f>HYPERLINK("http://www.uniprot.org/uniprot/M5XNX6","M5XNX6")</f>
        <v>M5XNX6</v>
      </c>
      <c r="D8563" s="2" t="s">
        <v>7504</v>
      </c>
      <c r="E8563" s="3">
        <v>1.45E-113</v>
      </c>
      <c r="F8563" s="2">
        <v>880</v>
      </c>
      <c r="G8563" s="2">
        <v>89</v>
      </c>
      <c r="H8563" s="2">
        <v>244</v>
      </c>
      <c r="I8563" s="2">
        <v>339</v>
      </c>
      <c r="J8563" s="2">
        <v>1070</v>
      </c>
      <c r="K8563" s="2">
        <v>1</v>
      </c>
      <c r="L8563" s="2">
        <v>217</v>
      </c>
    </row>
    <row r="8564" spans="1:12" x14ac:dyDescent="0.25">
      <c r="A8564" s="4" t="str">
        <f>HYPERLINK("http://www.rosaceae.org/Prunus/Prunus_persica/p.persica_gdr_reftransV1_0022618","p.persica_gdr_reftransV1_0022618")</f>
        <v>p.persica_gdr_reftransV1_0022618</v>
      </c>
      <c r="B8564" s="2">
        <v>1510</v>
      </c>
      <c r="C8564" s="4" t="str">
        <f>HYPERLINK("http://www.uniprot.org/uniprot/M5X001","M5X001")</f>
        <v>M5X001</v>
      </c>
      <c r="D8564" s="2" t="s">
        <v>7505</v>
      </c>
      <c r="E8564" s="3">
        <v>1.8799999999999999E-175</v>
      </c>
      <c r="F8564" s="2">
        <v>1371</v>
      </c>
      <c r="G8564" s="2">
        <v>100</v>
      </c>
      <c r="H8564" s="2">
        <v>256</v>
      </c>
      <c r="I8564" s="2">
        <v>3</v>
      </c>
      <c r="J8564" s="2">
        <v>770</v>
      </c>
      <c r="K8564" s="2">
        <v>756</v>
      </c>
      <c r="L8564" s="2">
        <v>1011</v>
      </c>
    </row>
    <row r="8565" spans="1:12" x14ac:dyDescent="0.25">
      <c r="A8565" s="4" t="str">
        <f>HYPERLINK("http://www.rosaceae.org/Prunus/Prunus_persica/p.persica_gdr_reftransV1_0023318","p.persica_gdr_reftransV1_0023318")</f>
        <v>p.persica_gdr_reftransV1_0023318</v>
      </c>
      <c r="B8565" s="2">
        <v>2145</v>
      </c>
      <c r="C8565" s="4" t="str">
        <f>HYPERLINK("http://www.uniprot.org/uniprot/M5X3S6","M5X3S6")</f>
        <v>M5X3S6</v>
      </c>
      <c r="D8565" s="2" t="s">
        <v>7506</v>
      </c>
      <c r="E8565" s="3">
        <v>0</v>
      </c>
      <c r="F8565" s="2">
        <v>2731</v>
      </c>
      <c r="G8565" s="2">
        <v>100</v>
      </c>
      <c r="H8565" s="2">
        <v>504</v>
      </c>
      <c r="I8565" s="2">
        <v>451</v>
      </c>
      <c r="J8565" s="2">
        <v>1962</v>
      </c>
      <c r="K8565" s="2">
        <v>63</v>
      </c>
      <c r="L8565" s="2">
        <v>566</v>
      </c>
    </row>
    <row r="8566" spans="1:12" x14ac:dyDescent="0.25">
      <c r="A8566" s="4" t="str">
        <f>HYPERLINK("http://www.rosaceae.org/Prunus/Prunus_persica/p.persica_gdr_reftransV1_0024018","p.persica_gdr_reftransV1_0024018")</f>
        <v>p.persica_gdr_reftransV1_0024018</v>
      </c>
      <c r="B8566" s="2">
        <v>2358</v>
      </c>
      <c r="C8566" s="4" t="str">
        <f>HYPERLINK("http://www.uniprot.org/uniprot/M5X8A8","M5X8A8")</f>
        <v>M5X8A8</v>
      </c>
      <c r="D8566" s="2" t="s">
        <v>7507</v>
      </c>
      <c r="E8566" s="3">
        <v>0</v>
      </c>
      <c r="F8566" s="2">
        <v>2197</v>
      </c>
      <c r="G8566" s="2">
        <v>93</v>
      </c>
      <c r="H8566" s="2">
        <v>472</v>
      </c>
      <c r="I8566" s="2">
        <v>369</v>
      </c>
      <c r="J8566" s="2">
        <v>1784</v>
      </c>
      <c r="K8566" s="2">
        <v>1</v>
      </c>
      <c r="L8566" s="2">
        <v>437</v>
      </c>
    </row>
    <row r="8567" spans="1:12" x14ac:dyDescent="0.25">
      <c r="A8567" s="4" t="str">
        <f>HYPERLINK("http://www.rosaceae.org/Prunus/Prunus_persica/p.persica_gdr_reftransV1_0024718","p.persica_gdr_reftransV1_0024718")</f>
        <v>p.persica_gdr_reftransV1_0024718</v>
      </c>
      <c r="B8567" s="2">
        <v>820</v>
      </c>
      <c r="C8567" s="4" t="str">
        <f>HYPERLINK("http://www.uniprot.org/uniprot/M5WEK4","M5WEK4")</f>
        <v>M5WEK4</v>
      </c>
      <c r="D8567" s="2" t="s">
        <v>7508</v>
      </c>
      <c r="E8567" s="3">
        <v>7.4900000000000003E-143</v>
      </c>
      <c r="F8567" s="2">
        <v>1070</v>
      </c>
      <c r="G8567" s="2">
        <v>100</v>
      </c>
      <c r="H8567" s="2">
        <v>201</v>
      </c>
      <c r="I8567" s="2">
        <v>217</v>
      </c>
      <c r="J8567" s="2">
        <v>819</v>
      </c>
      <c r="K8567" s="2">
        <v>134</v>
      </c>
      <c r="L8567" s="2">
        <v>334</v>
      </c>
    </row>
    <row r="8568" spans="1:12" x14ac:dyDescent="0.25">
      <c r="A8568" s="4" t="str">
        <f>HYPERLINK("http://www.rosaceae.org/Prunus/Prunus_persica/p.persica_gdr_reftransV1_0025068","p.persica_gdr_reftransV1_0025068")</f>
        <v>p.persica_gdr_reftransV1_0025068</v>
      </c>
      <c r="B8568" s="2">
        <v>2941</v>
      </c>
      <c r="C8568" s="4" t="str">
        <f>HYPERLINK("http://www.uniprot.org/uniprot/M5XSG5","M5XSG5")</f>
        <v>M5XSG5</v>
      </c>
      <c r="D8568" s="2" t="s">
        <v>7509</v>
      </c>
      <c r="E8568" s="3">
        <v>6.54E-124</v>
      </c>
      <c r="F8568" s="2">
        <v>1010</v>
      </c>
      <c r="G8568" s="2">
        <v>97</v>
      </c>
      <c r="H8568" s="2">
        <v>195</v>
      </c>
      <c r="I8568" s="2">
        <v>2084</v>
      </c>
      <c r="J8568" s="2">
        <v>2668</v>
      </c>
      <c r="K8568" s="2">
        <v>180</v>
      </c>
      <c r="L8568" s="2">
        <v>374</v>
      </c>
    </row>
    <row r="8569" spans="1:12" x14ac:dyDescent="0.25">
      <c r="A8569" s="4" t="str">
        <f>HYPERLINK("http://www.rosaceae.org/Prunus/Prunus_persica/p.persica_gdr_reftransV1_0026468","p.persica_gdr_reftransV1_0026468")</f>
        <v>p.persica_gdr_reftransV1_0026468</v>
      </c>
      <c r="B8569" s="2">
        <v>461</v>
      </c>
      <c r="C8569" s="4" t="str">
        <f>HYPERLINK("http://www.uniprot.org/uniprot/M5WM48","M5WM48")</f>
        <v>M5WM48</v>
      </c>
      <c r="D8569" s="2" t="s">
        <v>1129</v>
      </c>
      <c r="E8569" s="3">
        <v>1.4800000000000001E-79</v>
      </c>
      <c r="F8569" s="2">
        <v>629</v>
      </c>
      <c r="G8569" s="2">
        <v>100</v>
      </c>
      <c r="H8569" s="2">
        <v>134</v>
      </c>
      <c r="I8569" s="2">
        <v>21</v>
      </c>
      <c r="J8569" s="2">
        <v>422</v>
      </c>
      <c r="K8569" s="2">
        <v>1</v>
      </c>
      <c r="L8569" s="2">
        <v>134</v>
      </c>
    </row>
    <row r="8570" spans="1:12" x14ac:dyDescent="0.25">
      <c r="A8570" s="4" t="str">
        <f>HYPERLINK("http://www.rosaceae.org/Prunus/Prunus_persica/p.persica_gdr_reftransV1_0027518","p.persica_gdr_reftransV1_0027518")</f>
        <v>p.persica_gdr_reftransV1_0027518</v>
      </c>
      <c r="B8570" s="2">
        <v>961</v>
      </c>
      <c r="C8570" s="4" t="str">
        <f>HYPERLINK("http://www.uniprot.org/uniprot/M5XE04","M5XE04")</f>
        <v>M5XE04</v>
      </c>
      <c r="D8570" s="2" t="s">
        <v>7510</v>
      </c>
      <c r="E8570" s="3">
        <v>2.0999999999999999E-91</v>
      </c>
      <c r="F8570" s="2">
        <v>718</v>
      </c>
      <c r="G8570" s="2">
        <v>100</v>
      </c>
      <c r="H8570" s="2">
        <v>154</v>
      </c>
      <c r="I8570" s="2">
        <v>242</v>
      </c>
      <c r="J8570" s="2">
        <v>703</v>
      </c>
      <c r="K8570" s="2">
        <v>1</v>
      </c>
      <c r="L8570" s="2">
        <v>154</v>
      </c>
    </row>
    <row r="8571" spans="1:12" x14ac:dyDescent="0.25">
      <c r="A8571" s="4" t="str">
        <f>HYPERLINK("http://www.rosaceae.org/Prunus/Prunus_persica/p.persica_gdr_reftransV1_0027868","p.persica_gdr_reftransV1_0027868")</f>
        <v>p.persica_gdr_reftransV1_0027868</v>
      </c>
      <c r="B8571" s="2">
        <v>3045</v>
      </c>
      <c r="C8571" s="4" t="str">
        <f>HYPERLINK("http://www.uniprot.org/uniprot/M5WSF3","M5WSF3")</f>
        <v>M5WSF3</v>
      </c>
      <c r="D8571" s="2" t="s">
        <v>7511</v>
      </c>
      <c r="E8571" s="3">
        <v>0</v>
      </c>
      <c r="F8571" s="2">
        <v>2972</v>
      </c>
      <c r="G8571" s="2">
        <v>100</v>
      </c>
      <c r="H8571" s="2">
        <v>626</v>
      </c>
      <c r="I8571" s="2">
        <v>962</v>
      </c>
      <c r="J8571" s="2">
        <v>2839</v>
      </c>
      <c r="K8571" s="2">
        <v>1</v>
      </c>
      <c r="L8571" s="2">
        <v>626</v>
      </c>
    </row>
    <row r="8572" spans="1:12" x14ac:dyDescent="0.25">
      <c r="A8572" s="4" t="str">
        <f>HYPERLINK("http://www.rosaceae.org/Prunus/Prunus_persica/p.persica_gdr_reftransV1_0031368","p.persica_gdr_reftransV1_0031368")</f>
        <v>p.persica_gdr_reftransV1_0031368</v>
      </c>
      <c r="B8572" s="2">
        <v>2777</v>
      </c>
      <c r="C8572" s="4" t="str">
        <f>HYPERLINK("http://www.uniprot.org/uniprot/M5XS84","M5XS84")</f>
        <v>M5XS84</v>
      </c>
      <c r="D8572" s="2" t="s">
        <v>7512</v>
      </c>
      <c r="E8572" s="3">
        <v>3.4899999999999999E-76</v>
      </c>
      <c r="F8572" s="2">
        <v>663</v>
      </c>
      <c r="G8572" s="2">
        <v>100</v>
      </c>
      <c r="H8572" s="2">
        <v>139</v>
      </c>
      <c r="I8572" s="2">
        <v>135</v>
      </c>
      <c r="J8572" s="2">
        <v>551</v>
      </c>
      <c r="K8572" s="2">
        <v>1</v>
      </c>
      <c r="L8572" s="2">
        <v>139</v>
      </c>
    </row>
    <row r="8573" spans="1:12" x14ac:dyDescent="0.25">
      <c r="A8573" s="4" t="str">
        <f>HYPERLINK("http://www.rosaceae.org/Prunus/Prunus_persica/p.persica_gdr_reftransV1_0032768","p.persica_gdr_reftransV1_0032768")</f>
        <v>p.persica_gdr_reftransV1_0032768</v>
      </c>
      <c r="B8573" s="2">
        <v>2488</v>
      </c>
      <c r="C8573" s="4" t="str">
        <f>HYPERLINK("http://www.uniprot.org/uniprot/M5XVK6","M5XVK6")</f>
        <v>M5XVK6</v>
      </c>
      <c r="D8573" s="2" t="s">
        <v>7513</v>
      </c>
      <c r="E8573" s="3">
        <v>0</v>
      </c>
      <c r="F8573" s="2">
        <v>1876</v>
      </c>
      <c r="G8573" s="2">
        <v>100</v>
      </c>
      <c r="H8573" s="2">
        <v>378</v>
      </c>
      <c r="I8573" s="2">
        <v>1099</v>
      </c>
      <c r="J8573" s="2">
        <v>2232</v>
      </c>
      <c r="K8573" s="2">
        <v>9</v>
      </c>
      <c r="L8573" s="2">
        <v>386</v>
      </c>
    </row>
    <row r="8574" spans="1:12" x14ac:dyDescent="0.25">
      <c r="A8574" s="4" t="str">
        <f>HYPERLINK("http://www.rosaceae.org/Prunus/Prunus_persica/p.persica_gdr_reftransV1_0035218","p.persica_gdr_reftransV1_0035218")</f>
        <v>p.persica_gdr_reftransV1_0035218</v>
      </c>
      <c r="B8574" s="2">
        <v>2020</v>
      </c>
      <c r="C8574" s="4" t="str">
        <f>HYPERLINK("http://www.uniprot.org/uniprot/M5WHN4","M5WHN4")</f>
        <v>M5WHN4</v>
      </c>
      <c r="D8574" s="2" t="s">
        <v>7514</v>
      </c>
      <c r="E8574" s="3">
        <v>0</v>
      </c>
      <c r="F8574" s="2">
        <v>2122</v>
      </c>
      <c r="G8574" s="2">
        <v>89</v>
      </c>
      <c r="H8574" s="2">
        <v>469</v>
      </c>
      <c r="I8574" s="2">
        <v>396</v>
      </c>
      <c r="J8574" s="2">
        <v>1649</v>
      </c>
      <c r="K8574" s="2">
        <v>1</v>
      </c>
      <c r="L8574" s="2">
        <v>469</v>
      </c>
    </row>
    <row r="8575" spans="1:12" x14ac:dyDescent="0.25">
      <c r="A8575" s="4" t="str">
        <f>HYPERLINK("http://www.rosaceae.org/Prunus/Prunus_persica/p.persica_gdr_reftransV1_0038718","p.persica_gdr_reftransV1_0038718")</f>
        <v>p.persica_gdr_reftransV1_0038718</v>
      </c>
      <c r="B8575" s="2">
        <v>3241</v>
      </c>
      <c r="C8575" s="4" t="str">
        <f>HYPERLINK("http://www.uniprot.org/uniprot/M5XFG8","M5XFG8")</f>
        <v>M5XFG8</v>
      </c>
      <c r="D8575" s="2" t="s">
        <v>3491</v>
      </c>
      <c r="E8575" s="3">
        <v>0</v>
      </c>
      <c r="F8575" s="2">
        <v>1997</v>
      </c>
      <c r="G8575" s="2">
        <v>100</v>
      </c>
      <c r="H8575" s="2">
        <v>394</v>
      </c>
      <c r="I8575" s="2">
        <v>270</v>
      </c>
      <c r="J8575" s="2">
        <v>1451</v>
      </c>
      <c r="K8575" s="2">
        <v>1</v>
      </c>
      <c r="L8575" s="2">
        <v>394</v>
      </c>
    </row>
    <row r="8576" spans="1:12" x14ac:dyDescent="0.25">
      <c r="A8576" s="4" t="str">
        <f>HYPERLINK("http://www.rosaceae.org/Prunus/Prunus_persica/p.persica_gdr_reftransV1_0039768","p.persica_gdr_reftransV1_0039768")</f>
        <v>p.persica_gdr_reftransV1_0039768</v>
      </c>
      <c r="B8576" s="2">
        <v>2153</v>
      </c>
      <c r="C8576" s="4" t="str">
        <f>HYPERLINK("http://www.uniprot.org/uniprot/M5X0P9","M5X0P9")</f>
        <v>M5X0P9</v>
      </c>
      <c r="D8576" s="2" t="s">
        <v>7515</v>
      </c>
      <c r="E8576" s="3">
        <v>2.3200000000000002E-143</v>
      </c>
      <c r="F8576" s="2">
        <v>1118</v>
      </c>
      <c r="G8576" s="2">
        <v>99</v>
      </c>
      <c r="H8576" s="2">
        <v>213</v>
      </c>
      <c r="I8576" s="2">
        <v>491</v>
      </c>
      <c r="J8576" s="2">
        <v>1129</v>
      </c>
      <c r="K8576" s="2">
        <v>74</v>
      </c>
      <c r="L8576" s="2">
        <v>286</v>
      </c>
    </row>
    <row r="8577" spans="1:12" x14ac:dyDescent="0.25">
      <c r="A8577" s="4" t="str">
        <f>HYPERLINK("http://www.rosaceae.org/Prunus/Prunus_persica/p.persica_gdr_reftransV1_0040468","p.persica_gdr_reftransV1_0040468")</f>
        <v>p.persica_gdr_reftransV1_0040468</v>
      </c>
      <c r="B8577" s="2">
        <v>2893</v>
      </c>
      <c r="C8577" s="4" t="str">
        <f>HYPERLINK("http://www.uniprot.org/uniprot/M5X7I9","M5X7I9")</f>
        <v>M5X7I9</v>
      </c>
      <c r="D8577" s="2" t="s">
        <v>7516</v>
      </c>
      <c r="E8577" s="3">
        <v>0</v>
      </c>
      <c r="F8577" s="2">
        <v>3701</v>
      </c>
      <c r="G8577" s="2">
        <v>100</v>
      </c>
      <c r="H8577" s="2">
        <v>789</v>
      </c>
      <c r="I8577" s="2">
        <v>263</v>
      </c>
      <c r="J8577" s="2">
        <v>2629</v>
      </c>
      <c r="K8577" s="2">
        <v>1</v>
      </c>
      <c r="L8577" s="2">
        <v>789</v>
      </c>
    </row>
    <row r="8578" spans="1:12" x14ac:dyDescent="0.25">
      <c r="A8578" s="4" t="str">
        <f>HYPERLINK("http://www.rosaceae.org/Prunus/Prunus_persica/p.persica_gdr_reftransV1_0043268","p.persica_gdr_reftransV1_0043268")</f>
        <v>p.persica_gdr_reftransV1_0043268</v>
      </c>
      <c r="B8578" s="2">
        <v>1092</v>
      </c>
      <c r="C8578" s="4" t="str">
        <f>HYPERLINK("http://www.uniprot.org/uniprot/M5WJ62","M5WJ62")</f>
        <v>M5WJ62</v>
      </c>
      <c r="D8578" s="2" t="s">
        <v>7517</v>
      </c>
      <c r="E8578" s="3">
        <v>1.0499999999999999E-83</v>
      </c>
      <c r="F8578" s="2">
        <v>615</v>
      </c>
      <c r="G8578" s="2">
        <v>97</v>
      </c>
      <c r="H8578" s="2">
        <v>144</v>
      </c>
      <c r="I8578" s="2">
        <v>535</v>
      </c>
      <c r="J8578" s="2">
        <v>966</v>
      </c>
      <c r="K8578" s="2">
        <v>1</v>
      </c>
      <c r="L8578" s="2">
        <v>144</v>
      </c>
    </row>
    <row r="8579" spans="1:12" x14ac:dyDescent="0.25">
      <c r="A8579" s="4" t="str">
        <f>HYPERLINK("http://www.rosaceae.org/Prunus/Prunus_persica/p.persica_gdr_reftransV1_0043618","p.persica_gdr_reftransV1_0043618")</f>
        <v>p.persica_gdr_reftransV1_0043618</v>
      </c>
      <c r="B8579" s="2">
        <v>1383</v>
      </c>
      <c r="C8579" s="4" t="str">
        <f>HYPERLINK("http://www.uniprot.org/uniprot/M5WJ64","M5WJ64")</f>
        <v>M5WJ64</v>
      </c>
      <c r="D8579" s="2" t="s">
        <v>7518</v>
      </c>
      <c r="E8579" s="3">
        <v>8.78E-161</v>
      </c>
      <c r="F8579" s="2">
        <v>1205</v>
      </c>
      <c r="G8579" s="2">
        <v>100</v>
      </c>
      <c r="H8579" s="2">
        <v>229</v>
      </c>
      <c r="I8579" s="2">
        <v>182</v>
      </c>
      <c r="J8579" s="2">
        <v>868</v>
      </c>
      <c r="K8579" s="2">
        <v>31</v>
      </c>
      <c r="L8579" s="2">
        <v>259</v>
      </c>
    </row>
    <row r="8580" spans="1:12" x14ac:dyDescent="0.25">
      <c r="A8580" s="4" t="str">
        <f>HYPERLINK("http://www.rosaceae.org/Prunus/Prunus_persica/p.persica_gdr_reftransV1_0043968","p.persica_gdr_reftransV1_0043968")</f>
        <v>p.persica_gdr_reftransV1_0043968</v>
      </c>
      <c r="B8580" s="2">
        <v>348</v>
      </c>
      <c r="C8580" s="4" t="str">
        <f>HYPERLINK("http://www.uniprot.org/uniprot/M5WXA6","M5WXA6")</f>
        <v>M5WXA6</v>
      </c>
      <c r="D8580" s="2" t="s">
        <v>5877</v>
      </c>
      <c r="E8580" s="3">
        <v>1.23E-78</v>
      </c>
      <c r="F8580" s="2">
        <v>639</v>
      </c>
      <c r="G8580" s="2">
        <v>100</v>
      </c>
      <c r="H8580" s="2">
        <v>116</v>
      </c>
      <c r="I8580" s="2">
        <v>1</v>
      </c>
      <c r="J8580" s="2">
        <v>348</v>
      </c>
      <c r="K8580" s="2">
        <v>296</v>
      </c>
      <c r="L8580" s="2">
        <v>411</v>
      </c>
    </row>
    <row r="8581" spans="1:12" x14ac:dyDescent="0.25">
      <c r="A8581" s="4" t="str">
        <f>HYPERLINK("http://www.rosaceae.org/Prunus/Prunus_persica/p.persica_gdr_reftransV1_0044668","p.persica_gdr_reftransV1_0044668")</f>
        <v>p.persica_gdr_reftransV1_0044668</v>
      </c>
      <c r="B8581" s="2">
        <v>968</v>
      </c>
      <c r="C8581" s="4" t="str">
        <f>HYPERLINK("http://www.uniprot.org/uniprot/M5VNC4","M5VNC4")</f>
        <v>M5VNC4</v>
      </c>
      <c r="D8581" s="2" t="s">
        <v>3871</v>
      </c>
      <c r="E8581" s="3">
        <v>2.74E-130</v>
      </c>
      <c r="F8581" s="2">
        <v>1018</v>
      </c>
      <c r="G8581" s="2">
        <v>100</v>
      </c>
      <c r="H8581" s="2">
        <v>262</v>
      </c>
      <c r="I8581" s="2">
        <v>1</v>
      </c>
      <c r="J8581" s="2">
        <v>786</v>
      </c>
      <c r="K8581" s="2">
        <v>353</v>
      </c>
      <c r="L8581" s="2">
        <v>614</v>
      </c>
    </row>
    <row r="8582" spans="1:12" x14ac:dyDescent="0.25">
      <c r="A8582" s="4" t="str">
        <f>HYPERLINK("http://www.rosaceae.org/Prunus/Prunus_persica/p.persica_gdr_reftransV1_0045018","p.persica_gdr_reftransV1_0045018")</f>
        <v>p.persica_gdr_reftransV1_0045018</v>
      </c>
      <c r="B8582" s="2">
        <v>411</v>
      </c>
      <c r="C8582" s="4" t="str">
        <f>HYPERLINK("http://www.uniprot.org/uniprot/M5XGV4","M5XGV4")</f>
        <v>M5XGV4</v>
      </c>
      <c r="D8582" s="2" t="s">
        <v>7519</v>
      </c>
      <c r="E8582" s="3">
        <v>4.0800000000000002E-37</v>
      </c>
      <c r="F8582" s="2">
        <v>332</v>
      </c>
      <c r="G8582" s="2">
        <v>100</v>
      </c>
      <c r="H8582" s="2">
        <v>62</v>
      </c>
      <c r="I8582" s="2">
        <v>79</v>
      </c>
      <c r="J8582" s="2">
        <v>264</v>
      </c>
      <c r="K8582" s="2">
        <v>1</v>
      </c>
      <c r="L8582" s="2">
        <v>62</v>
      </c>
    </row>
    <row r="8583" spans="1:12" x14ac:dyDescent="0.25">
      <c r="A8583" s="4" t="str">
        <f>HYPERLINK("http://www.rosaceae.org/Prunus/Prunus_persica/p.persica_gdr_reftransV1_0045368","p.persica_gdr_reftransV1_0045368")</f>
        <v>p.persica_gdr_reftransV1_0045368</v>
      </c>
      <c r="B8583" s="2">
        <v>400</v>
      </c>
      <c r="C8583" s="4" t="str">
        <f>HYPERLINK("http://www.uniprot.org/uniprot/M5VTK2","M5VTK2")</f>
        <v>M5VTK2</v>
      </c>
      <c r="D8583" s="2" t="s">
        <v>2377</v>
      </c>
      <c r="E8583" s="3">
        <v>2.0899999999999999E-42</v>
      </c>
      <c r="F8583" s="2">
        <v>404</v>
      </c>
      <c r="G8583" s="2">
        <v>69</v>
      </c>
      <c r="H8583" s="2">
        <v>128</v>
      </c>
      <c r="I8583" s="2">
        <v>5</v>
      </c>
      <c r="J8583" s="2">
        <v>379</v>
      </c>
      <c r="K8583" s="2">
        <v>944</v>
      </c>
      <c r="L8583" s="2">
        <v>1065</v>
      </c>
    </row>
    <row r="8584" spans="1:12" x14ac:dyDescent="0.25">
      <c r="A8584" s="4" t="str">
        <f>HYPERLINK("http://www.rosaceae.org/Prunus/Prunus_persica/p.persica_gdr_reftransV1_0045718","p.persica_gdr_reftransV1_0045718")</f>
        <v>p.persica_gdr_reftransV1_0045718</v>
      </c>
      <c r="B8584" s="2">
        <v>2938</v>
      </c>
      <c r="C8584" s="4" t="str">
        <f>HYPERLINK("http://www.uniprot.org/uniprot/M5WX41","M5WX41")</f>
        <v>M5WX41</v>
      </c>
      <c r="D8584" s="2" t="s">
        <v>7520</v>
      </c>
      <c r="E8584" s="3">
        <v>0</v>
      </c>
      <c r="F8584" s="2">
        <v>3726</v>
      </c>
      <c r="G8584" s="2">
        <v>100</v>
      </c>
      <c r="H8584" s="2">
        <v>750</v>
      </c>
      <c r="I8584" s="2">
        <v>327</v>
      </c>
      <c r="J8584" s="2">
        <v>2576</v>
      </c>
      <c r="K8584" s="2">
        <v>35</v>
      </c>
      <c r="L8584" s="2">
        <v>784</v>
      </c>
    </row>
    <row r="8585" spans="1:12" x14ac:dyDescent="0.25">
      <c r="A8585" s="4" t="str">
        <f>HYPERLINK("http://www.rosaceae.org/Prunus/Prunus_persica/p.persica_gdr_reftransV1_0046768","p.persica_gdr_reftransV1_0046768")</f>
        <v>p.persica_gdr_reftransV1_0046768</v>
      </c>
      <c r="B8585" s="2">
        <v>1127</v>
      </c>
      <c r="C8585" s="4" t="str">
        <f>HYPERLINK("http://www.uniprot.org/uniprot/M5XTS1","M5XTS1")</f>
        <v>M5XTS1</v>
      </c>
      <c r="D8585" s="2" t="s">
        <v>5275</v>
      </c>
      <c r="E8585" s="3">
        <v>7.3500000000000002E-170</v>
      </c>
      <c r="F8585" s="2">
        <v>1250</v>
      </c>
      <c r="G8585" s="2">
        <v>100</v>
      </c>
      <c r="H8585" s="2">
        <v>235</v>
      </c>
      <c r="I8585" s="2">
        <v>238</v>
      </c>
      <c r="J8585" s="2">
        <v>942</v>
      </c>
      <c r="K8585" s="2">
        <v>1</v>
      </c>
      <c r="L8585" s="2">
        <v>235</v>
      </c>
    </row>
    <row r="8586" spans="1:12" x14ac:dyDescent="0.25">
      <c r="A8586" s="4" t="str">
        <f>HYPERLINK("http://www.rosaceae.org/Prunus/Prunus_persica/p.persica_gdr_reftransV1_0047468","p.persica_gdr_reftransV1_0047468")</f>
        <v>p.persica_gdr_reftransV1_0047468</v>
      </c>
      <c r="B8586" s="2">
        <v>1646</v>
      </c>
      <c r="C8586" s="4" t="str">
        <f>HYPERLINK("http://www.uniprot.org/uniprot/M5VNZ4","M5VNZ4")</f>
        <v>M5VNZ4</v>
      </c>
      <c r="D8586" s="2" t="s">
        <v>7313</v>
      </c>
      <c r="E8586" s="3">
        <v>0</v>
      </c>
      <c r="F8586" s="2">
        <v>2353</v>
      </c>
      <c r="G8586" s="2">
        <v>97</v>
      </c>
      <c r="H8586" s="2">
        <v>492</v>
      </c>
      <c r="I8586" s="2">
        <v>169</v>
      </c>
      <c r="J8586" s="2">
        <v>1644</v>
      </c>
      <c r="K8586" s="2">
        <v>682</v>
      </c>
      <c r="L8586" s="2">
        <v>1164</v>
      </c>
    </row>
    <row r="8587" spans="1:12" x14ac:dyDescent="0.25">
      <c r="A8587" s="4" t="str">
        <f>HYPERLINK("http://www.rosaceae.org/Prunus/Prunus_persica/p.persica_gdr_reftransV1_0047818","p.persica_gdr_reftransV1_0047818")</f>
        <v>p.persica_gdr_reftransV1_0047818</v>
      </c>
      <c r="B8587" s="2">
        <v>383</v>
      </c>
      <c r="C8587" s="4" t="str">
        <f>HYPERLINK("http://www.uniprot.org/uniprot/M5VHR3","M5VHR3")</f>
        <v>M5VHR3</v>
      </c>
      <c r="D8587" s="2" t="s">
        <v>1661</v>
      </c>
      <c r="E8587" s="3">
        <v>9.5400000000000002E-42</v>
      </c>
      <c r="F8587" s="2">
        <v>399</v>
      </c>
      <c r="G8587" s="2">
        <v>100</v>
      </c>
      <c r="H8587" s="2">
        <v>120</v>
      </c>
      <c r="I8587" s="2">
        <v>2</v>
      </c>
      <c r="J8587" s="2">
        <v>361</v>
      </c>
      <c r="K8587" s="2">
        <v>1135</v>
      </c>
      <c r="L8587" s="2">
        <v>1254</v>
      </c>
    </row>
    <row r="8588" spans="1:12" x14ac:dyDescent="0.25">
      <c r="A8588" s="4" t="str">
        <f>HYPERLINK("http://www.rosaceae.org/Prunus/Prunus_persica/p.persica_gdr_reftransV1_0048168","p.persica_gdr_reftransV1_0048168")</f>
        <v>p.persica_gdr_reftransV1_0048168</v>
      </c>
      <c r="B8588" s="2">
        <v>777</v>
      </c>
      <c r="C8588" s="4" t="str">
        <f>HYPERLINK("http://www.uniprot.org/uniprot/M5VYQ8","M5VYQ8")</f>
        <v>M5VYQ8</v>
      </c>
      <c r="D8588" s="2" t="s">
        <v>7521</v>
      </c>
      <c r="E8588" s="3">
        <v>0</v>
      </c>
      <c r="F8588" s="2">
        <v>1363</v>
      </c>
      <c r="G8588" s="2">
        <v>100</v>
      </c>
      <c r="H8588" s="2">
        <v>258</v>
      </c>
      <c r="I8588" s="2">
        <v>3</v>
      </c>
      <c r="J8588" s="2">
        <v>776</v>
      </c>
      <c r="K8588" s="2">
        <v>108</v>
      </c>
      <c r="L8588" s="2">
        <v>365</v>
      </c>
    </row>
    <row r="8589" spans="1:12" x14ac:dyDescent="0.25">
      <c r="A8589" s="4" t="str">
        <f>HYPERLINK("http://www.rosaceae.org/Prunus/Prunus_persica/p.persica_gdr_reftransV1_0048518","p.persica_gdr_reftransV1_0048518")</f>
        <v>p.persica_gdr_reftransV1_0048518</v>
      </c>
      <c r="B8589" s="2">
        <v>456</v>
      </c>
      <c r="C8589" s="4" t="str">
        <f>HYPERLINK("http://www.uniprot.org/uniprot/M5X554","M5X554")</f>
        <v>M5X554</v>
      </c>
      <c r="D8589" s="2" t="s">
        <v>636</v>
      </c>
      <c r="E8589" s="3">
        <v>4.2099999999999999E-83</v>
      </c>
      <c r="F8589" s="2">
        <v>672</v>
      </c>
      <c r="G8589" s="2">
        <v>93</v>
      </c>
      <c r="H8589" s="2">
        <v>136</v>
      </c>
      <c r="I8589" s="2">
        <v>49</v>
      </c>
      <c r="J8589" s="2">
        <v>456</v>
      </c>
      <c r="K8589" s="2">
        <v>1</v>
      </c>
      <c r="L8589" s="2">
        <v>136</v>
      </c>
    </row>
    <row r="8590" spans="1:12" x14ac:dyDescent="0.25">
      <c r="A8590" s="4" t="str">
        <f>HYPERLINK("http://www.rosaceae.org/Prunus/Prunus_persica/p.persica_gdr_reftransV1_0048868","p.persica_gdr_reftransV1_0048868")</f>
        <v>p.persica_gdr_reftransV1_0048868</v>
      </c>
      <c r="B8590" s="2">
        <v>6116</v>
      </c>
      <c r="C8590" s="4" t="str">
        <f>HYPERLINK("http://www.uniprot.org/uniprot/M5W4R3","M5W4R3")</f>
        <v>M5W4R3</v>
      </c>
      <c r="D8590" s="2" t="s">
        <v>7522</v>
      </c>
      <c r="E8590" s="3">
        <v>0</v>
      </c>
      <c r="F8590" s="2">
        <v>9176</v>
      </c>
      <c r="G8590" s="2">
        <v>100</v>
      </c>
      <c r="H8590" s="2">
        <v>1827</v>
      </c>
      <c r="I8590" s="2">
        <v>242</v>
      </c>
      <c r="J8590" s="2">
        <v>5722</v>
      </c>
      <c r="K8590" s="2">
        <v>1</v>
      </c>
      <c r="L8590" s="2">
        <v>1827</v>
      </c>
    </row>
    <row r="8591" spans="1:12" x14ac:dyDescent="0.25">
      <c r="A8591" s="4" t="str">
        <f>HYPERLINK("http://www.rosaceae.org/Prunus/Prunus_persica/p.persica_gdr_reftransV1_0000219","p.persica_gdr_reftransV1_0000219")</f>
        <v>p.persica_gdr_reftransV1_0000219</v>
      </c>
      <c r="B8591" s="2">
        <v>448</v>
      </c>
      <c r="C8591" s="4" t="str">
        <f>HYPERLINK("http://www.uniprot.org/uniprot/M5WZN6","M5WZN6")</f>
        <v>M5WZN6</v>
      </c>
      <c r="D8591" s="2" t="s">
        <v>7523</v>
      </c>
      <c r="E8591" s="3">
        <v>1.8199999999999999E-94</v>
      </c>
      <c r="F8591" s="2">
        <v>750</v>
      </c>
      <c r="G8591" s="2">
        <v>100</v>
      </c>
      <c r="H8591" s="2">
        <v>143</v>
      </c>
      <c r="I8591" s="2">
        <v>2</v>
      </c>
      <c r="J8591" s="2">
        <v>430</v>
      </c>
      <c r="K8591" s="2">
        <v>345</v>
      </c>
      <c r="L8591" s="2">
        <v>487</v>
      </c>
    </row>
    <row r="8592" spans="1:12" x14ac:dyDescent="0.25">
      <c r="A8592" s="4" t="str">
        <f>HYPERLINK("http://www.rosaceae.org/Prunus/Prunus_persica/p.persica_gdr_reftransV1_0000569","p.persica_gdr_reftransV1_0000569")</f>
        <v>p.persica_gdr_reftransV1_0000569</v>
      </c>
      <c r="B8592" s="2">
        <v>1799</v>
      </c>
      <c r="C8592" s="4" t="str">
        <f>HYPERLINK("http://www.uniprot.org/uniprot/M5WU44","M5WU44")</f>
        <v>M5WU44</v>
      </c>
      <c r="D8592" s="2" t="s">
        <v>7524</v>
      </c>
      <c r="E8592" s="3">
        <v>0</v>
      </c>
      <c r="F8592" s="2">
        <v>1731</v>
      </c>
      <c r="G8592" s="2">
        <v>100</v>
      </c>
      <c r="H8592" s="2">
        <v>372</v>
      </c>
      <c r="I8592" s="2">
        <v>219</v>
      </c>
      <c r="J8592" s="2">
        <v>1334</v>
      </c>
      <c r="K8592" s="2">
        <v>1</v>
      </c>
      <c r="L8592" s="2">
        <v>372</v>
      </c>
    </row>
    <row r="8593" spans="1:12" x14ac:dyDescent="0.25">
      <c r="A8593" s="4" t="str">
        <f>HYPERLINK("http://www.rosaceae.org/Prunus/Prunus_persica/p.persica_gdr_reftransV1_0000919","p.persica_gdr_reftransV1_0000919")</f>
        <v>p.persica_gdr_reftransV1_0000919</v>
      </c>
      <c r="B8593" s="2">
        <v>646</v>
      </c>
      <c r="C8593" s="4" t="str">
        <f>HYPERLINK("http://www.uniprot.org/uniprot/M5WIA4","M5WIA4")</f>
        <v>M5WIA4</v>
      </c>
      <c r="D8593" s="2" t="s">
        <v>7525</v>
      </c>
      <c r="E8593" s="3">
        <v>2.17E-124</v>
      </c>
      <c r="F8593" s="2">
        <v>947</v>
      </c>
      <c r="G8593" s="2">
        <v>99</v>
      </c>
      <c r="H8593" s="2">
        <v>184</v>
      </c>
      <c r="I8593" s="2">
        <v>2</v>
      </c>
      <c r="J8593" s="2">
        <v>553</v>
      </c>
      <c r="K8593" s="2">
        <v>21</v>
      </c>
      <c r="L8593" s="2">
        <v>204</v>
      </c>
    </row>
    <row r="8594" spans="1:12" x14ac:dyDescent="0.25">
      <c r="A8594" s="4" t="str">
        <f>HYPERLINK("http://www.rosaceae.org/Prunus/Prunus_persica/p.persica_gdr_reftransV1_0001619","p.persica_gdr_reftransV1_0001619")</f>
        <v>p.persica_gdr_reftransV1_0001619</v>
      </c>
      <c r="B8594" s="2">
        <v>1548</v>
      </c>
      <c r="C8594" s="4" t="str">
        <f>HYPERLINK("http://www.uniprot.org/uniprot/M5VPX6","M5VPX6")</f>
        <v>M5VPX6</v>
      </c>
      <c r="D8594" s="2" t="s">
        <v>7526</v>
      </c>
      <c r="E8594" s="3">
        <v>0</v>
      </c>
      <c r="F8594" s="2">
        <v>1982</v>
      </c>
      <c r="G8594" s="2">
        <v>100</v>
      </c>
      <c r="H8594" s="2">
        <v>402</v>
      </c>
      <c r="I8594" s="2">
        <v>270</v>
      </c>
      <c r="J8594" s="2">
        <v>1475</v>
      </c>
      <c r="K8594" s="2">
        <v>19</v>
      </c>
      <c r="L8594" s="2">
        <v>420</v>
      </c>
    </row>
    <row r="8595" spans="1:12" x14ac:dyDescent="0.25">
      <c r="A8595" s="4" t="str">
        <f>HYPERLINK("http://www.rosaceae.org/Prunus/Prunus_persica/p.persica_gdr_reftransV1_0001969","p.persica_gdr_reftransV1_0001969")</f>
        <v>p.persica_gdr_reftransV1_0001969</v>
      </c>
      <c r="B8595" s="2">
        <v>1485</v>
      </c>
      <c r="C8595" s="4" t="str">
        <f>HYPERLINK("http://www.uniprot.org/uniprot/M5W7Y2","M5W7Y2")</f>
        <v>M5W7Y2</v>
      </c>
      <c r="D8595" s="2" t="s">
        <v>7476</v>
      </c>
      <c r="E8595" s="3">
        <v>2.1800000000000001E-141</v>
      </c>
      <c r="F8595" s="2">
        <v>1105</v>
      </c>
      <c r="G8595" s="2">
        <v>100</v>
      </c>
      <c r="H8595" s="2">
        <v>280</v>
      </c>
      <c r="I8595" s="2">
        <v>1</v>
      </c>
      <c r="J8595" s="2">
        <v>840</v>
      </c>
      <c r="K8595" s="2">
        <v>187</v>
      </c>
      <c r="L8595" s="2">
        <v>466</v>
      </c>
    </row>
    <row r="8596" spans="1:12" x14ac:dyDescent="0.25">
      <c r="A8596" s="4" t="str">
        <f>HYPERLINK("http://www.rosaceae.org/Prunus/Prunus_persica/p.persica_gdr_reftransV1_0002669","p.persica_gdr_reftransV1_0002669")</f>
        <v>p.persica_gdr_reftransV1_0002669</v>
      </c>
      <c r="B8596" s="2">
        <v>1637</v>
      </c>
      <c r="C8596" s="4" t="str">
        <f>HYPERLINK("http://www.uniprot.org/uniprot/M5XK52","M5XK52")</f>
        <v>M5XK52</v>
      </c>
      <c r="D8596" s="2" t="s">
        <v>7527</v>
      </c>
      <c r="E8596" s="3">
        <v>0</v>
      </c>
      <c r="F8596" s="2">
        <v>2592</v>
      </c>
      <c r="G8596" s="2">
        <v>100</v>
      </c>
      <c r="H8596" s="2">
        <v>522</v>
      </c>
      <c r="I8596" s="2">
        <v>2</v>
      </c>
      <c r="J8596" s="2">
        <v>1567</v>
      </c>
      <c r="K8596" s="2">
        <v>1</v>
      </c>
      <c r="L8596" s="2">
        <v>522</v>
      </c>
    </row>
    <row r="8597" spans="1:12" x14ac:dyDescent="0.25">
      <c r="A8597" s="4" t="str">
        <f>HYPERLINK("http://www.rosaceae.org/Prunus/Prunus_persica/p.persica_gdr_reftransV1_0003019","p.persica_gdr_reftransV1_0003019")</f>
        <v>p.persica_gdr_reftransV1_0003019</v>
      </c>
      <c r="B8597" s="2">
        <v>738</v>
      </c>
      <c r="C8597" s="4" t="str">
        <f>HYPERLINK("http://www.uniprot.org/uniprot/M5X973","M5X973")</f>
        <v>M5X973</v>
      </c>
      <c r="D8597" s="2" t="s">
        <v>7528</v>
      </c>
      <c r="E8597" s="3">
        <v>4.3700000000000002E-138</v>
      </c>
      <c r="F8597" s="2">
        <v>1052</v>
      </c>
      <c r="G8597" s="2">
        <v>97</v>
      </c>
      <c r="H8597" s="2">
        <v>227</v>
      </c>
      <c r="I8597" s="2">
        <v>56</v>
      </c>
      <c r="J8597" s="2">
        <v>736</v>
      </c>
      <c r="K8597" s="2">
        <v>19</v>
      </c>
      <c r="L8597" s="2">
        <v>244</v>
      </c>
    </row>
    <row r="8598" spans="1:12" x14ac:dyDescent="0.25">
      <c r="A8598" s="4" t="str">
        <f>HYPERLINK("http://www.rosaceae.org/Prunus/Prunus_persica/p.persica_gdr_reftransV1_0003369","p.persica_gdr_reftransV1_0003369")</f>
        <v>p.persica_gdr_reftransV1_0003369</v>
      </c>
      <c r="B8598" s="2">
        <v>785</v>
      </c>
      <c r="C8598" s="4" t="str">
        <f>HYPERLINK("http://www.uniprot.org/uniprot/M5WB86","M5WB86")</f>
        <v>M5WB86</v>
      </c>
      <c r="D8598" s="2" t="s">
        <v>7529</v>
      </c>
      <c r="E8598" s="3">
        <v>1.06E-75</v>
      </c>
      <c r="F8598" s="2">
        <v>604</v>
      </c>
      <c r="G8598" s="2">
        <v>100</v>
      </c>
      <c r="H8598" s="2">
        <v>116</v>
      </c>
      <c r="I8598" s="2">
        <v>223</v>
      </c>
      <c r="J8598" s="2">
        <v>570</v>
      </c>
      <c r="K8598" s="2">
        <v>1</v>
      </c>
      <c r="L8598" s="2">
        <v>116</v>
      </c>
    </row>
    <row r="8599" spans="1:12" x14ac:dyDescent="0.25">
      <c r="A8599" s="4" t="str">
        <f>HYPERLINK("http://www.rosaceae.org/Prunus/Prunus_persica/p.persica_gdr_reftransV1_0003719","p.persica_gdr_reftransV1_0003719")</f>
        <v>p.persica_gdr_reftransV1_0003719</v>
      </c>
      <c r="B8599" s="2">
        <v>1077</v>
      </c>
      <c r="C8599" s="4" t="str">
        <f>HYPERLINK("http://www.uniprot.org/uniprot/M5WF39","M5WF39")</f>
        <v>M5WF39</v>
      </c>
      <c r="D8599" s="2" t="s">
        <v>7530</v>
      </c>
      <c r="E8599" s="3">
        <v>2.7900000000000001E-130</v>
      </c>
      <c r="F8599" s="2">
        <v>985</v>
      </c>
      <c r="G8599" s="2">
        <v>100</v>
      </c>
      <c r="H8599" s="2">
        <v>216</v>
      </c>
      <c r="I8599" s="2">
        <v>145</v>
      </c>
      <c r="J8599" s="2">
        <v>792</v>
      </c>
      <c r="K8599" s="2">
        <v>1</v>
      </c>
      <c r="L8599" s="2">
        <v>216</v>
      </c>
    </row>
    <row r="8600" spans="1:12" x14ac:dyDescent="0.25">
      <c r="A8600" s="4" t="str">
        <f>HYPERLINK("http://www.rosaceae.org/Prunus/Prunus_persica/p.persica_gdr_reftransV1_0004069","p.persica_gdr_reftransV1_0004069")</f>
        <v>p.persica_gdr_reftransV1_0004069</v>
      </c>
      <c r="B8600" s="2">
        <v>1133</v>
      </c>
      <c r="C8600" s="4" t="str">
        <f>HYPERLINK("http://www.uniprot.org/uniprot/M5XMT4","M5XMT4")</f>
        <v>M5XMT4</v>
      </c>
      <c r="D8600" s="2" t="s">
        <v>7531</v>
      </c>
      <c r="E8600" s="3">
        <v>3.2499999999999998E-173</v>
      </c>
      <c r="F8600" s="2">
        <v>1275</v>
      </c>
      <c r="G8600" s="2">
        <v>96</v>
      </c>
      <c r="H8600" s="2">
        <v>257</v>
      </c>
      <c r="I8600" s="2">
        <v>276</v>
      </c>
      <c r="J8600" s="2">
        <v>1046</v>
      </c>
      <c r="K8600" s="2">
        <v>11</v>
      </c>
      <c r="L8600" s="2">
        <v>267</v>
      </c>
    </row>
    <row r="8601" spans="1:12" x14ac:dyDescent="0.25">
      <c r="A8601" s="4" t="str">
        <f>HYPERLINK("http://www.rosaceae.org/Prunus/Prunus_persica/p.persica_gdr_reftransV1_0006519","p.persica_gdr_reftransV1_0006519")</f>
        <v>p.persica_gdr_reftransV1_0006519</v>
      </c>
      <c r="B8601" s="2">
        <v>1208</v>
      </c>
      <c r="C8601" s="4" t="str">
        <f>HYPERLINK("http://www.uniprot.org/uniprot/M5X066","M5X066")</f>
        <v>M5X066</v>
      </c>
      <c r="D8601" s="2" t="s">
        <v>7532</v>
      </c>
      <c r="E8601" s="3">
        <v>1.8400000000000001E-136</v>
      </c>
      <c r="F8601" s="2">
        <v>1038</v>
      </c>
      <c r="G8601" s="2">
        <v>100</v>
      </c>
      <c r="H8601" s="2">
        <v>251</v>
      </c>
      <c r="I8601" s="2">
        <v>419</v>
      </c>
      <c r="J8601" s="2">
        <v>1171</v>
      </c>
      <c r="K8601" s="2">
        <v>42</v>
      </c>
      <c r="L8601" s="2">
        <v>292</v>
      </c>
    </row>
    <row r="8602" spans="1:12" x14ac:dyDescent="0.25">
      <c r="A8602" s="4" t="str">
        <f>HYPERLINK("http://www.rosaceae.org/Prunus/Prunus_persica/p.persica_gdr_reftransV1_0006869","p.persica_gdr_reftransV1_0006869")</f>
        <v>p.persica_gdr_reftransV1_0006869</v>
      </c>
      <c r="B8602" s="2">
        <v>1458</v>
      </c>
      <c r="C8602" s="4" t="str">
        <f>HYPERLINK("http://www.uniprot.org/uniprot/M5WWB0","M5WWB0")</f>
        <v>M5WWB0</v>
      </c>
      <c r="D8602" s="2" t="s">
        <v>7533</v>
      </c>
      <c r="E8602" s="3">
        <v>0</v>
      </c>
      <c r="F8602" s="2">
        <v>2179</v>
      </c>
      <c r="G8602" s="2">
        <v>100</v>
      </c>
      <c r="H8602" s="2">
        <v>410</v>
      </c>
      <c r="I8602" s="2">
        <v>168</v>
      </c>
      <c r="J8602" s="2">
        <v>1397</v>
      </c>
      <c r="K8602" s="2">
        <v>1</v>
      </c>
      <c r="L8602" s="2">
        <v>410</v>
      </c>
    </row>
    <row r="8603" spans="1:12" x14ac:dyDescent="0.25">
      <c r="A8603" s="4" t="str">
        <f>HYPERLINK("http://www.rosaceae.org/Prunus/Prunus_persica/p.persica_gdr_reftransV1_0007219","p.persica_gdr_reftransV1_0007219")</f>
        <v>p.persica_gdr_reftransV1_0007219</v>
      </c>
      <c r="B8603" s="2">
        <v>834</v>
      </c>
      <c r="C8603" s="4" t="str">
        <f>HYPERLINK("http://www.uniprot.org/uniprot/M5WHM2","M5WHM2")</f>
        <v>M5WHM2</v>
      </c>
      <c r="D8603" s="2" t="s">
        <v>7534</v>
      </c>
      <c r="E8603" s="3">
        <v>1.02E-123</v>
      </c>
      <c r="F8603" s="2">
        <v>930</v>
      </c>
      <c r="G8603" s="2">
        <v>100</v>
      </c>
      <c r="H8603" s="2">
        <v>189</v>
      </c>
      <c r="I8603" s="2">
        <v>118</v>
      </c>
      <c r="J8603" s="2">
        <v>684</v>
      </c>
      <c r="K8603" s="2">
        <v>1</v>
      </c>
      <c r="L8603" s="2">
        <v>189</v>
      </c>
    </row>
    <row r="8604" spans="1:12" x14ac:dyDescent="0.25">
      <c r="A8604" s="4" t="str">
        <f>HYPERLINK("http://www.rosaceae.org/Prunus/Prunus_persica/p.persica_gdr_reftransV1_0007569","p.persica_gdr_reftransV1_0007569")</f>
        <v>p.persica_gdr_reftransV1_0007569</v>
      </c>
      <c r="B8604" s="2">
        <v>2683</v>
      </c>
      <c r="C8604" s="4" t="str">
        <f>HYPERLINK("http://www.uniprot.org/uniprot/M5WC70","M5WC70")</f>
        <v>M5WC70</v>
      </c>
      <c r="D8604" s="2" t="s">
        <v>7535</v>
      </c>
      <c r="E8604" s="3">
        <v>0</v>
      </c>
      <c r="F8604" s="2">
        <v>3875</v>
      </c>
      <c r="G8604" s="2">
        <v>97</v>
      </c>
      <c r="H8604" s="2">
        <v>790</v>
      </c>
      <c r="I8604" s="2">
        <v>206</v>
      </c>
      <c r="J8604" s="2">
        <v>2575</v>
      </c>
      <c r="K8604" s="2">
        <v>1</v>
      </c>
      <c r="L8604" s="2">
        <v>765</v>
      </c>
    </row>
    <row r="8605" spans="1:12" x14ac:dyDescent="0.25">
      <c r="A8605" s="4" t="str">
        <f>HYPERLINK("http://www.rosaceae.org/Prunus/Prunus_persica/p.persica_gdr_reftransV1_0007919","p.persica_gdr_reftransV1_0007919")</f>
        <v>p.persica_gdr_reftransV1_0007919</v>
      </c>
      <c r="B8605" s="2">
        <v>1778</v>
      </c>
      <c r="C8605" s="4" t="str">
        <f>HYPERLINK("http://www.uniprot.org/uniprot/M5WEN4","M5WEN4")</f>
        <v>M5WEN4</v>
      </c>
      <c r="D8605" s="2" t="s">
        <v>7536</v>
      </c>
      <c r="E8605" s="3">
        <v>0</v>
      </c>
      <c r="F8605" s="2">
        <v>2485</v>
      </c>
      <c r="G8605" s="2">
        <v>100</v>
      </c>
      <c r="H8605" s="2">
        <v>467</v>
      </c>
      <c r="I8605" s="2">
        <v>180</v>
      </c>
      <c r="J8605" s="2">
        <v>1580</v>
      </c>
      <c r="K8605" s="2">
        <v>1</v>
      </c>
      <c r="L8605" s="2">
        <v>467</v>
      </c>
    </row>
    <row r="8606" spans="1:12" x14ac:dyDescent="0.25">
      <c r="A8606" s="4" t="str">
        <f>HYPERLINK("http://www.rosaceae.org/Prunus/Prunus_persica/p.persica_gdr_reftransV1_0008269","p.persica_gdr_reftransV1_0008269")</f>
        <v>p.persica_gdr_reftransV1_0008269</v>
      </c>
      <c r="B8606" s="2">
        <v>1430</v>
      </c>
      <c r="C8606" s="4" t="str">
        <f>HYPERLINK("http://www.uniprot.org/uniprot/M5WDS6","M5WDS6")</f>
        <v>M5WDS6</v>
      </c>
      <c r="D8606" s="2" t="s">
        <v>7537</v>
      </c>
      <c r="E8606" s="3">
        <v>1.08E-48</v>
      </c>
      <c r="F8606" s="2">
        <v>463</v>
      </c>
      <c r="G8606" s="2">
        <v>100</v>
      </c>
      <c r="H8606" s="2">
        <v>84</v>
      </c>
      <c r="I8606" s="2">
        <v>3</v>
      </c>
      <c r="J8606" s="2">
        <v>254</v>
      </c>
      <c r="K8606" s="2">
        <v>312</v>
      </c>
      <c r="L8606" s="2">
        <v>395</v>
      </c>
    </row>
    <row r="8607" spans="1:12" x14ac:dyDescent="0.25">
      <c r="A8607" s="4" t="str">
        <f>HYPERLINK("http://www.rosaceae.org/Prunus/Prunus_persica/p.persica_gdr_reftransV1_0008619","p.persica_gdr_reftransV1_0008619")</f>
        <v>p.persica_gdr_reftransV1_0008619</v>
      </c>
      <c r="B8607" s="2">
        <v>2702</v>
      </c>
      <c r="C8607" s="4" t="str">
        <f>HYPERLINK("http://www.uniprot.org/uniprot/M5XDI1","M5XDI1")</f>
        <v>M5XDI1</v>
      </c>
      <c r="D8607" s="2" t="s">
        <v>556</v>
      </c>
      <c r="E8607" s="3">
        <v>0</v>
      </c>
      <c r="F8607" s="2">
        <v>2250</v>
      </c>
      <c r="G8607" s="2">
        <v>100</v>
      </c>
      <c r="H8607" s="2">
        <v>450</v>
      </c>
      <c r="I8607" s="2">
        <v>1120</v>
      </c>
      <c r="J8607" s="2">
        <v>2469</v>
      </c>
      <c r="K8607" s="2">
        <v>1</v>
      </c>
      <c r="L8607" s="2">
        <v>450</v>
      </c>
    </row>
    <row r="8608" spans="1:12" x14ac:dyDescent="0.25">
      <c r="A8608" s="4" t="str">
        <f>HYPERLINK("http://www.rosaceae.org/Prunus/Prunus_persica/p.persica_gdr_reftransV1_0008969","p.persica_gdr_reftransV1_0008969")</f>
        <v>p.persica_gdr_reftransV1_0008969</v>
      </c>
      <c r="B8608" s="2">
        <v>1364</v>
      </c>
      <c r="C8608" s="4" t="str">
        <f>HYPERLINK("http://www.uniprot.org/uniprot/M5X274","M5X274")</f>
        <v>M5X274</v>
      </c>
      <c r="D8608" s="2" t="s">
        <v>3775</v>
      </c>
      <c r="E8608" s="3">
        <v>8.1600000000000002E-111</v>
      </c>
      <c r="F8608" s="2">
        <v>865</v>
      </c>
      <c r="G8608" s="2">
        <v>100</v>
      </c>
      <c r="H8608" s="2">
        <v>175</v>
      </c>
      <c r="I8608" s="2">
        <v>803</v>
      </c>
      <c r="J8608" s="2">
        <v>1327</v>
      </c>
      <c r="K8608" s="2">
        <v>1</v>
      </c>
      <c r="L8608" s="2">
        <v>175</v>
      </c>
    </row>
    <row r="8609" spans="1:12" x14ac:dyDescent="0.25">
      <c r="A8609" s="4" t="str">
        <f>HYPERLINK("http://www.rosaceae.org/Prunus/Prunus_persica/p.persica_gdr_reftransV1_0010719","p.persica_gdr_reftransV1_0010719")</f>
        <v>p.persica_gdr_reftransV1_0010719</v>
      </c>
      <c r="B8609" s="2">
        <v>3413</v>
      </c>
      <c r="C8609" s="4" t="str">
        <f>HYPERLINK("http://www.uniprot.org/uniprot/M5WQG0","M5WQG0")</f>
        <v>M5WQG0</v>
      </c>
      <c r="D8609" s="2" t="s">
        <v>7538</v>
      </c>
      <c r="E8609" s="3">
        <v>0</v>
      </c>
      <c r="F8609" s="2">
        <v>3663</v>
      </c>
      <c r="G8609" s="2">
        <v>97</v>
      </c>
      <c r="H8609" s="2">
        <v>751</v>
      </c>
      <c r="I8609" s="2">
        <v>230</v>
      </c>
      <c r="J8609" s="2">
        <v>2482</v>
      </c>
      <c r="K8609" s="2">
        <v>19</v>
      </c>
      <c r="L8609" s="2">
        <v>747</v>
      </c>
    </row>
    <row r="8610" spans="1:12" x14ac:dyDescent="0.25">
      <c r="A8610" s="4" t="str">
        <f>HYPERLINK("http://www.rosaceae.org/Prunus/Prunus_persica/p.persica_gdr_reftransV1_0011769","p.persica_gdr_reftransV1_0011769")</f>
        <v>p.persica_gdr_reftransV1_0011769</v>
      </c>
      <c r="B8610" s="2">
        <v>802</v>
      </c>
      <c r="C8610" s="4" t="str">
        <f>HYPERLINK("http://www.uniprot.org/uniprot/M5W7C6","M5W7C6")</f>
        <v>M5W7C6</v>
      </c>
      <c r="D8610" s="2" t="s">
        <v>7539</v>
      </c>
      <c r="E8610" s="3">
        <v>1.7500000000000001E-17</v>
      </c>
      <c r="F8610" s="2">
        <v>227</v>
      </c>
      <c r="G8610" s="2">
        <v>100</v>
      </c>
      <c r="H8610" s="2">
        <v>42</v>
      </c>
      <c r="I8610" s="2">
        <v>216</v>
      </c>
      <c r="J8610" s="2">
        <v>341</v>
      </c>
      <c r="K8610" s="2">
        <v>805</v>
      </c>
      <c r="L8610" s="2">
        <v>846</v>
      </c>
    </row>
    <row r="8611" spans="1:12" x14ac:dyDescent="0.25">
      <c r="A8611" s="4" t="str">
        <f>HYPERLINK("http://www.rosaceae.org/Prunus/Prunus_persica/p.persica_gdr_reftransV1_0013519","p.persica_gdr_reftransV1_0013519")</f>
        <v>p.persica_gdr_reftransV1_0013519</v>
      </c>
      <c r="B8611" s="2">
        <v>3422</v>
      </c>
      <c r="C8611" s="4" t="str">
        <f>HYPERLINK("http://www.uniprot.org/uniprot/Q93XS1","Q93XS1")</f>
        <v>Q93XS1</v>
      </c>
      <c r="D8611" s="2" t="s">
        <v>7540</v>
      </c>
      <c r="E8611" s="3">
        <v>0</v>
      </c>
      <c r="F8611" s="2">
        <v>2404</v>
      </c>
      <c r="G8611" s="2">
        <v>100</v>
      </c>
      <c r="H8611" s="2">
        <v>448</v>
      </c>
      <c r="I8611" s="2">
        <v>272</v>
      </c>
      <c r="J8611" s="2">
        <v>1615</v>
      </c>
      <c r="K8611" s="2">
        <v>457</v>
      </c>
      <c r="L8611" s="2">
        <v>904</v>
      </c>
    </row>
    <row r="8612" spans="1:12" x14ac:dyDescent="0.25">
      <c r="A8612" s="4" t="str">
        <f>HYPERLINK("http://www.rosaceae.org/Prunus/Prunus_persica/p.persica_gdr_reftransV1_0013869","p.persica_gdr_reftransV1_0013869")</f>
        <v>p.persica_gdr_reftransV1_0013869</v>
      </c>
      <c r="B8612" s="2">
        <v>2726</v>
      </c>
      <c r="C8612" s="4" t="str">
        <f>HYPERLINK("http://www.uniprot.org/uniprot/M5VVU4","M5VVU4")</f>
        <v>M5VVU4</v>
      </c>
      <c r="D8612" s="2" t="s">
        <v>7541</v>
      </c>
      <c r="E8612" s="3">
        <v>0</v>
      </c>
      <c r="F8612" s="2">
        <v>2143</v>
      </c>
      <c r="G8612" s="2">
        <v>100</v>
      </c>
      <c r="H8612" s="2">
        <v>414</v>
      </c>
      <c r="I8612" s="2">
        <v>1150</v>
      </c>
      <c r="J8612" s="2">
        <v>2391</v>
      </c>
      <c r="K8612" s="2">
        <v>1</v>
      </c>
      <c r="L8612" s="2">
        <v>414</v>
      </c>
    </row>
    <row r="8613" spans="1:12" x14ac:dyDescent="0.25">
      <c r="A8613" s="4" t="str">
        <f>HYPERLINK("http://www.rosaceae.org/Prunus/Prunus_persica/p.persica_gdr_reftransV1_0014219","p.persica_gdr_reftransV1_0014219")</f>
        <v>p.persica_gdr_reftransV1_0014219</v>
      </c>
      <c r="B8613" s="2">
        <v>1992</v>
      </c>
      <c r="C8613" s="4" t="str">
        <f>HYPERLINK("http://www.uniprot.org/uniprot/M5VLX4","M5VLX4")</f>
        <v>M5VLX4</v>
      </c>
      <c r="D8613" s="2" t="s">
        <v>7542</v>
      </c>
      <c r="E8613" s="3">
        <v>0</v>
      </c>
      <c r="F8613" s="2">
        <v>2574</v>
      </c>
      <c r="G8613" s="2">
        <v>100</v>
      </c>
      <c r="H8613" s="2">
        <v>495</v>
      </c>
      <c r="I8613" s="2">
        <v>260</v>
      </c>
      <c r="J8613" s="2">
        <v>1744</v>
      </c>
      <c r="K8613" s="2">
        <v>1</v>
      </c>
      <c r="L8613" s="2">
        <v>495</v>
      </c>
    </row>
    <row r="8614" spans="1:12" x14ac:dyDescent="0.25">
      <c r="A8614" s="4" t="str">
        <f>HYPERLINK("http://www.rosaceae.org/Prunus/Prunus_persica/p.persica_gdr_reftransV1_0015619","p.persica_gdr_reftransV1_0015619")</f>
        <v>p.persica_gdr_reftransV1_0015619</v>
      </c>
      <c r="B8614" s="2">
        <v>1996</v>
      </c>
      <c r="C8614" s="4" t="str">
        <f>HYPERLINK("http://www.uniprot.org/uniprot/M5X5V2","M5X5V2")</f>
        <v>M5X5V2</v>
      </c>
      <c r="D8614" s="2" t="s">
        <v>7543</v>
      </c>
      <c r="E8614" s="3">
        <v>0</v>
      </c>
      <c r="F8614" s="2">
        <v>1936</v>
      </c>
      <c r="G8614" s="2">
        <v>100</v>
      </c>
      <c r="H8614" s="2">
        <v>397</v>
      </c>
      <c r="I8614" s="2">
        <v>186</v>
      </c>
      <c r="J8614" s="2">
        <v>1376</v>
      </c>
      <c r="K8614" s="2">
        <v>1</v>
      </c>
      <c r="L8614" s="2">
        <v>397</v>
      </c>
    </row>
    <row r="8615" spans="1:12" x14ac:dyDescent="0.25">
      <c r="A8615" s="4" t="str">
        <f>HYPERLINK("http://www.rosaceae.org/Prunus/Prunus_persica/p.persica_gdr_reftransV1_0016319","p.persica_gdr_reftransV1_0016319")</f>
        <v>p.persica_gdr_reftransV1_0016319</v>
      </c>
      <c r="B8615" s="2">
        <v>1196</v>
      </c>
      <c r="C8615" s="4" t="str">
        <f>HYPERLINK("http://www.uniprot.org/uniprot/M5VSR5","M5VSR5")</f>
        <v>M5VSR5</v>
      </c>
      <c r="D8615" s="2" t="s">
        <v>7544</v>
      </c>
      <c r="E8615" s="3">
        <v>1.1999999999999999E-164</v>
      </c>
      <c r="F8615" s="2">
        <v>1223</v>
      </c>
      <c r="G8615" s="2">
        <v>100</v>
      </c>
      <c r="H8615" s="2">
        <v>285</v>
      </c>
      <c r="I8615" s="2">
        <v>293</v>
      </c>
      <c r="J8615" s="2">
        <v>1147</v>
      </c>
      <c r="K8615" s="2">
        <v>1</v>
      </c>
      <c r="L8615" s="2">
        <v>285</v>
      </c>
    </row>
    <row r="8616" spans="1:12" x14ac:dyDescent="0.25">
      <c r="A8616" s="4" t="str">
        <f>HYPERLINK("http://www.rosaceae.org/Prunus/Prunus_persica/p.persica_gdr_reftransV1_0016669","p.persica_gdr_reftransV1_0016669")</f>
        <v>p.persica_gdr_reftransV1_0016669</v>
      </c>
      <c r="B8616" s="2">
        <v>1652</v>
      </c>
      <c r="C8616" s="4" t="str">
        <f>HYPERLINK("http://www.uniprot.org/uniprot/M5VKU4","M5VKU4")</f>
        <v>M5VKU4</v>
      </c>
      <c r="D8616" s="2" t="s">
        <v>7545</v>
      </c>
      <c r="E8616" s="3">
        <v>1.1599999999999999E-180</v>
      </c>
      <c r="F8616" s="2">
        <v>1343</v>
      </c>
      <c r="G8616" s="2">
        <v>100</v>
      </c>
      <c r="H8616" s="2">
        <v>256</v>
      </c>
      <c r="I8616" s="2">
        <v>703</v>
      </c>
      <c r="J8616" s="2">
        <v>1470</v>
      </c>
      <c r="K8616" s="2">
        <v>20</v>
      </c>
      <c r="L8616" s="2">
        <v>275</v>
      </c>
    </row>
    <row r="8617" spans="1:12" x14ac:dyDescent="0.25">
      <c r="A8617" s="4" t="str">
        <f>HYPERLINK("http://www.rosaceae.org/Prunus/Prunus_persica/p.persica_gdr_reftransV1_0017019","p.persica_gdr_reftransV1_0017019")</f>
        <v>p.persica_gdr_reftransV1_0017019</v>
      </c>
      <c r="B8617" s="2">
        <v>1448</v>
      </c>
      <c r="C8617" s="4" t="str">
        <f>HYPERLINK("http://www.uniprot.org/uniprot/M5W401","M5W401")</f>
        <v>M5W401</v>
      </c>
      <c r="D8617" s="2" t="s">
        <v>7546</v>
      </c>
      <c r="E8617" s="3">
        <v>0</v>
      </c>
      <c r="F8617" s="2">
        <v>1685</v>
      </c>
      <c r="G8617" s="2">
        <v>100</v>
      </c>
      <c r="H8617" s="2">
        <v>318</v>
      </c>
      <c r="I8617" s="2">
        <v>336</v>
      </c>
      <c r="J8617" s="2">
        <v>1289</v>
      </c>
      <c r="K8617" s="2">
        <v>1</v>
      </c>
      <c r="L8617" s="2">
        <v>318</v>
      </c>
    </row>
    <row r="8618" spans="1:12" x14ac:dyDescent="0.25">
      <c r="A8618" s="4" t="str">
        <f>HYPERLINK("http://www.rosaceae.org/Prunus/Prunus_persica/p.persica_gdr_reftransV1_0017719","p.persica_gdr_reftransV1_0017719")</f>
        <v>p.persica_gdr_reftransV1_0017719</v>
      </c>
      <c r="B8618" s="2">
        <v>5177</v>
      </c>
      <c r="C8618" s="4" t="str">
        <f>HYPERLINK("http://www.uniprot.org/uniprot/M5WNT6","M5WNT6")</f>
        <v>M5WNT6</v>
      </c>
      <c r="D8618" s="2" t="s">
        <v>7547</v>
      </c>
      <c r="E8618" s="3">
        <v>0</v>
      </c>
      <c r="F8618" s="2">
        <v>6025</v>
      </c>
      <c r="G8618" s="2">
        <v>96</v>
      </c>
      <c r="H8618" s="2">
        <v>1255</v>
      </c>
      <c r="I8618" s="2">
        <v>751</v>
      </c>
      <c r="J8618" s="2">
        <v>4515</v>
      </c>
      <c r="K8618" s="2">
        <v>1</v>
      </c>
      <c r="L8618" s="2">
        <v>1206</v>
      </c>
    </row>
    <row r="8619" spans="1:12" x14ac:dyDescent="0.25">
      <c r="A8619" s="4" t="str">
        <f>HYPERLINK("http://www.rosaceae.org/Prunus/Prunus_persica/p.persica_gdr_reftransV1_0020169","p.persica_gdr_reftransV1_0020169")</f>
        <v>p.persica_gdr_reftransV1_0020169</v>
      </c>
      <c r="B8619" s="2">
        <v>890</v>
      </c>
      <c r="C8619" s="4" t="str">
        <f>HYPERLINK("http://www.uniprot.org/uniprot/M5Y4S5","M5Y4S5")</f>
        <v>M5Y4S5</v>
      </c>
      <c r="D8619" s="2" t="s">
        <v>7548</v>
      </c>
      <c r="E8619" s="3">
        <v>6.5500000000000003E-132</v>
      </c>
      <c r="F8619" s="2">
        <v>1009</v>
      </c>
      <c r="G8619" s="2">
        <v>100</v>
      </c>
      <c r="H8619" s="2">
        <v>189</v>
      </c>
      <c r="I8619" s="2">
        <v>2</v>
      </c>
      <c r="J8619" s="2">
        <v>568</v>
      </c>
      <c r="K8619" s="2">
        <v>235</v>
      </c>
      <c r="L8619" s="2">
        <v>423</v>
      </c>
    </row>
    <row r="8620" spans="1:12" x14ac:dyDescent="0.25">
      <c r="A8620" s="4" t="str">
        <f>HYPERLINK("http://www.rosaceae.org/Prunus/Prunus_persica/p.persica_gdr_reftransV1_0020869","p.persica_gdr_reftransV1_0020869")</f>
        <v>p.persica_gdr_reftransV1_0020869</v>
      </c>
      <c r="B8620" s="2">
        <v>1565</v>
      </c>
      <c r="C8620" s="4" t="str">
        <f>HYPERLINK("http://www.uniprot.org/uniprot/M5WXJ9","M5WXJ9")</f>
        <v>M5WXJ9</v>
      </c>
      <c r="D8620" s="2" t="s">
        <v>7549</v>
      </c>
      <c r="E8620" s="3">
        <v>5.9800000000000004E-39</v>
      </c>
      <c r="F8620" s="2">
        <v>373</v>
      </c>
      <c r="G8620" s="2">
        <v>100</v>
      </c>
      <c r="H8620" s="2">
        <v>85</v>
      </c>
      <c r="I8620" s="2">
        <v>100</v>
      </c>
      <c r="J8620" s="2">
        <v>354</v>
      </c>
      <c r="K8620" s="2">
        <v>1</v>
      </c>
      <c r="L8620" s="2">
        <v>85</v>
      </c>
    </row>
    <row r="8621" spans="1:12" x14ac:dyDescent="0.25">
      <c r="A8621" s="4" t="str">
        <f>HYPERLINK("http://www.rosaceae.org/Prunus/Prunus_persica/p.persica_gdr_reftransV1_0025769","p.persica_gdr_reftransV1_0025769")</f>
        <v>p.persica_gdr_reftransV1_0025769</v>
      </c>
      <c r="B8621" s="2">
        <v>1971</v>
      </c>
      <c r="C8621" s="4" t="str">
        <f>HYPERLINK("http://www.uniprot.org/uniprot/M5WEA8","M5WEA8")</f>
        <v>M5WEA8</v>
      </c>
      <c r="D8621" s="2" t="s">
        <v>7550</v>
      </c>
      <c r="E8621" s="3">
        <v>0</v>
      </c>
      <c r="F8621" s="2">
        <v>1455</v>
      </c>
      <c r="G8621" s="2">
        <v>100</v>
      </c>
      <c r="H8621" s="2">
        <v>291</v>
      </c>
      <c r="I8621" s="2">
        <v>1098</v>
      </c>
      <c r="J8621" s="2">
        <v>1970</v>
      </c>
      <c r="K8621" s="2">
        <v>508</v>
      </c>
      <c r="L8621" s="2">
        <v>798</v>
      </c>
    </row>
    <row r="8622" spans="1:12" x14ac:dyDescent="0.25">
      <c r="A8622" s="4" t="str">
        <f>HYPERLINK("http://www.rosaceae.org/Prunus/Prunus_persica/p.persica_gdr_reftransV1_0026469","p.persica_gdr_reftransV1_0026469")</f>
        <v>p.persica_gdr_reftransV1_0026469</v>
      </c>
      <c r="B8622" s="2">
        <v>1337</v>
      </c>
      <c r="C8622" s="4" t="str">
        <f>HYPERLINK("http://www.uniprot.org/uniprot/M5WUM4","M5WUM4")</f>
        <v>M5WUM4</v>
      </c>
      <c r="D8622" s="2" t="s">
        <v>5606</v>
      </c>
      <c r="E8622" s="3">
        <v>3.3100000000000003E-138</v>
      </c>
      <c r="F8622" s="2">
        <v>1055</v>
      </c>
      <c r="G8622" s="2">
        <v>100</v>
      </c>
      <c r="H8622" s="2">
        <v>200</v>
      </c>
      <c r="I8622" s="2">
        <v>3</v>
      </c>
      <c r="J8622" s="2">
        <v>602</v>
      </c>
      <c r="K8622" s="2">
        <v>1</v>
      </c>
      <c r="L8622" s="2">
        <v>200</v>
      </c>
    </row>
    <row r="8623" spans="1:12" x14ac:dyDescent="0.25">
      <c r="A8623" s="4" t="str">
        <f>HYPERLINK("http://www.rosaceae.org/Prunus/Prunus_persica/p.persica_gdr_reftransV1_0027869","p.persica_gdr_reftransV1_0027869")</f>
        <v>p.persica_gdr_reftransV1_0027869</v>
      </c>
      <c r="B8623" s="2">
        <v>2147</v>
      </c>
      <c r="C8623" s="4" t="str">
        <f>HYPERLINK("http://www.uniprot.org/uniprot/M5WD10","M5WD10")</f>
        <v>M5WD10</v>
      </c>
      <c r="D8623" s="2" t="s">
        <v>7551</v>
      </c>
      <c r="E8623" s="3">
        <v>0</v>
      </c>
      <c r="F8623" s="2">
        <v>1489</v>
      </c>
      <c r="G8623" s="2">
        <v>95</v>
      </c>
      <c r="H8623" s="2">
        <v>299</v>
      </c>
      <c r="I8623" s="2">
        <v>329</v>
      </c>
      <c r="J8623" s="2">
        <v>1225</v>
      </c>
      <c r="K8623" s="2">
        <v>191</v>
      </c>
      <c r="L8623" s="2">
        <v>473</v>
      </c>
    </row>
    <row r="8624" spans="1:12" x14ac:dyDescent="0.25">
      <c r="A8624" s="4" t="str">
        <f>HYPERLINK("http://www.rosaceae.org/Prunus/Prunus_persica/p.persica_gdr_reftransV1_0028919","p.persica_gdr_reftransV1_0028919")</f>
        <v>p.persica_gdr_reftransV1_0028919</v>
      </c>
      <c r="B8624" s="2">
        <v>2067</v>
      </c>
      <c r="C8624" s="4" t="str">
        <f>HYPERLINK("http://www.uniprot.org/uniprot/A0A067JDP1","A0A067JDP1")</f>
        <v>A0A067JDP1</v>
      </c>
      <c r="D8624" s="2" t="s">
        <v>7552</v>
      </c>
      <c r="E8624" s="3">
        <v>1.08E-177</v>
      </c>
      <c r="F8624" s="2">
        <v>1350</v>
      </c>
      <c r="G8624" s="2">
        <v>89</v>
      </c>
      <c r="H8624" s="2">
        <v>287</v>
      </c>
      <c r="I8624" s="2">
        <v>2</v>
      </c>
      <c r="J8624" s="2">
        <v>847</v>
      </c>
      <c r="K8624" s="2">
        <v>2</v>
      </c>
      <c r="L8624" s="2">
        <v>286</v>
      </c>
    </row>
    <row r="8625" spans="1:12" x14ac:dyDescent="0.25">
      <c r="A8625" s="4" t="str">
        <f>HYPERLINK("http://www.rosaceae.org/Prunus/Prunus_persica/p.persica_gdr_reftransV1_0029619","p.persica_gdr_reftransV1_0029619")</f>
        <v>p.persica_gdr_reftransV1_0029619</v>
      </c>
      <c r="B8625" s="2">
        <v>2074</v>
      </c>
      <c r="C8625" s="4" t="str">
        <f>HYPERLINK("http://www.uniprot.org/uniprot/M5Y271","M5Y271")</f>
        <v>M5Y271</v>
      </c>
      <c r="D8625" s="2" t="s">
        <v>7553</v>
      </c>
      <c r="E8625" s="3">
        <v>0</v>
      </c>
      <c r="F8625" s="2">
        <v>2955</v>
      </c>
      <c r="G8625" s="2">
        <v>100</v>
      </c>
      <c r="H8625" s="2">
        <v>568</v>
      </c>
      <c r="I8625" s="2">
        <v>87</v>
      </c>
      <c r="J8625" s="2">
        <v>1790</v>
      </c>
      <c r="K8625" s="2">
        <v>1</v>
      </c>
      <c r="L8625" s="2">
        <v>568</v>
      </c>
    </row>
    <row r="8626" spans="1:12" x14ac:dyDescent="0.25">
      <c r="A8626" s="4" t="str">
        <f>HYPERLINK("http://www.rosaceae.org/Prunus/Prunus_persica/p.persica_gdr_reftransV1_0029969","p.persica_gdr_reftransV1_0029969")</f>
        <v>p.persica_gdr_reftransV1_0029969</v>
      </c>
      <c r="B8626" s="2">
        <v>3873</v>
      </c>
      <c r="C8626" s="4" t="str">
        <f>HYPERLINK("http://www.uniprot.org/uniprot/M5VJC1","M5VJC1")</f>
        <v>M5VJC1</v>
      </c>
      <c r="D8626" s="2" t="s">
        <v>7554</v>
      </c>
      <c r="E8626" s="3">
        <v>0</v>
      </c>
      <c r="F8626" s="2">
        <v>3806</v>
      </c>
      <c r="G8626" s="2">
        <v>100</v>
      </c>
      <c r="H8626" s="2">
        <v>823</v>
      </c>
      <c r="I8626" s="2">
        <v>1368</v>
      </c>
      <c r="J8626" s="2">
        <v>3836</v>
      </c>
      <c r="K8626" s="2">
        <v>1</v>
      </c>
      <c r="L8626" s="2">
        <v>823</v>
      </c>
    </row>
    <row r="8627" spans="1:12" x14ac:dyDescent="0.25">
      <c r="A8627" s="4" t="str">
        <f>HYPERLINK("http://www.rosaceae.org/Prunus/Prunus_persica/p.persica_gdr_reftransV1_0032769","p.persica_gdr_reftransV1_0032769")</f>
        <v>p.persica_gdr_reftransV1_0032769</v>
      </c>
      <c r="B8627" s="2">
        <v>1458</v>
      </c>
      <c r="C8627" s="4" t="str">
        <f>HYPERLINK("http://www.uniprot.org/uniprot/M5WMA0","M5WMA0")</f>
        <v>M5WMA0</v>
      </c>
      <c r="D8627" s="2" t="s">
        <v>7555</v>
      </c>
      <c r="E8627" s="3">
        <v>0</v>
      </c>
      <c r="F8627" s="2">
        <v>2201</v>
      </c>
      <c r="G8627" s="2">
        <v>100</v>
      </c>
      <c r="H8627" s="2">
        <v>411</v>
      </c>
      <c r="I8627" s="2">
        <v>95</v>
      </c>
      <c r="J8627" s="2">
        <v>1327</v>
      </c>
      <c r="K8627" s="2">
        <v>1</v>
      </c>
      <c r="L8627" s="2">
        <v>411</v>
      </c>
    </row>
    <row r="8628" spans="1:12" x14ac:dyDescent="0.25">
      <c r="A8628" s="4" t="str">
        <f>HYPERLINK("http://www.rosaceae.org/Prunus/Prunus_persica/p.persica_gdr_reftransV1_0033469","p.persica_gdr_reftransV1_0033469")</f>
        <v>p.persica_gdr_reftransV1_0033469</v>
      </c>
      <c r="B8628" s="2">
        <v>1804</v>
      </c>
      <c r="C8628" s="4" t="str">
        <f>HYPERLINK("http://www.uniprot.org/uniprot/M5WA92","M5WA92")</f>
        <v>M5WA92</v>
      </c>
      <c r="D8628" s="2" t="s">
        <v>7556</v>
      </c>
      <c r="E8628" s="3">
        <v>5.9099999999999996E-69</v>
      </c>
      <c r="F8628" s="2">
        <v>366</v>
      </c>
      <c r="G8628" s="2">
        <v>99</v>
      </c>
      <c r="H8628" s="2">
        <v>116</v>
      </c>
      <c r="I8628" s="2">
        <v>210</v>
      </c>
      <c r="J8628" s="2">
        <v>557</v>
      </c>
      <c r="K8628" s="2">
        <v>1</v>
      </c>
      <c r="L8628" s="2">
        <v>116</v>
      </c>
    </row>
    <row r="8629" spans="1:12" x14ac:dyDescent="0.25">
      <c r="A8629" s="4" t="str">
        <f>HYPERLINK("http://www.rosaceae.org/Prunus/Prunus_persica/p.persica_gdr_reftransV1_0034169","p.persica_gdr_reftransV1_0034169")</f>
        <v>p.persica_gdr_reftransV1_0034169</v>
      </c>
      <c r="B8629" s="2">
        <v>1256</v>
      </c>
      <c r="C8629" s="4" t="str">
        <f>HYPERLINK("http://www.uniprot.org/uniprot/M5XBQ9","M5XBQ9")</f>
        <v>M5XBQ9</v>
      </c>
      <c r="D8629" s="2" t="s">
        <v>7557</v>
      </c>
      <c r="E8629" s="3">
        <v>5.32E-143</v>
      </c>
      <c r="F8629" s="2">
        <v>1082</v>
      </c>
      <c r="G8629" s="2">
        <v>100</v>
      </c>
      <c r="H8629" s="2">
        <v>279</v>
      </c>
      <c r="I8629" s="2">
        <v>326</v>
      </c>
      <c r="J8629" s="2">
        <v>1162</v>
      </c>
      <c r="K8629" s="2">
        <v>1</v>
      </c>
      <c r="L8629" s="2">
        <v>279</v>
      </c>
    </row>
    <row r="8630" spans="1:12" x14ac:dyDescent="0.25">
      <c r="A8630" s="4" t="str">
        <f>HYPERLINK("http://www.rosaceae.org/Prunus/Prunus_persica/p.persica_gdr_reftransV1_0034869","p.persica_gdr_reftransV1_0034869")</f>
        <v>p.persica_gdr_reftransV1_0034869</v>
      </c>
      <c r="B8630" s="2">
        <v>4065</v>
      </c>
      <c r="C8630" s="4" t="str">
        <f>HYPERLINK("http://www.uniprot.org/uniprot/I1Z8C8","I1Z8C8")</f>
        <v>I1Z8C8</v>
      </c>
      <c r="D8630" s="2" t="s">
        <v>7558</v>
      </c>
      <c r="E8630" s="3">
        <v>0</v>
      </c>
      <c r="F8630" s="2">
        <v>2088</v>
      </c>
      <c r="G8630" s="2">
        <v>72</v>
      </c>
      <c r="H8630" s="2">
        <v>672</v>
      </c>
      <c r="I8630" s="2">
        <v>1011</v>
      </c>
      <c r="J8630" s="2">
        <v>3023</v>
      </c>
      <c r="K8630" s="2">
        <v>187</v>
      </c>
      <c r="L8630" s="2">
        <v>786</v>
      </c>
    </row>
    <row r="8631" spans="1:12" x14ac:dyDescent="0.25">
      <c r="A8631" s="4" t="str">
        <f>HYPERLINK("http://www.rosaceae.org/Prunus/Prunus_persica/p.persica_gdr_reftransV1_0036969","p.persica_gdr_reftransV1_0036969")</f>
        <v>p.persica_gdr_reftransV1_0036969</v>
      </c>
      <c r="B8631" s="2">
        <v>2946</v>
      </c>
      <c r="C8631" s="4" t="str">
        <f>HYPERLINK("http://www.uniprot.org/uniprot/M5XYH9","M5XYH9")</f>
        <v>M5XYH9</v>
      </c>
      <c r="D8631" s="2" t="s">
        <v>7559</v>
      </c>
      <c r="E8631" s="3">
        <v>0</v>
      </c>
      <c r="F8631" s="2">
        <v>1748</v>
      </c>
      <c r="G8631" s="2">
        <v>93</v>
      </c>
      <c r="H8631" s="2">
        <v>407</v>
      </c>
      <c r="I8631" s="2">
        <v>1609</v>
      </c>
      <c r="J8631" s="2">
        <v>2793</v>
      </c>
      <c r="K8631" s="2">
        <v>1</v>
      </c>
      <c r="L8631" s="2">
        <v>390</v>
      </c>
    </row>
    <row r="8632" spans="1:12" x14ac:dyDescent="0.25">
      <c r="A8632" s="4" t="str">
        <f>HYPERLINK("http://www.rosaceae.org/Prunus/Prunus_persica/p.persica_gdr_reftransV1_0037319","p.persica_gdr_reftransV1_0037319")</f>
        <v>p.persica_gdr_reftransV1_0037319</v>
      </c>
      <c r="B8632" s="2">
        <v>1823</v>
      </c>
      <c r="C8632" s="4" t="str">
        <f>HYPERLINK("http://www.uniprot.org/uniprot/M5W9R4","M5W9R4")</f>
        <v>M5W9R4</v>
      </c>
      <c r="D8632" s="2" t="s">
        <v>7560</v>
      </c>
      <c r="E8632" s="3">
        <v>1.73E-165</v>
      </c>
      <c r="F8632" s="2">
        <v>1255</v>
      </c>
      <c r="G8632" s="2">
        <v>93</v>
      </c>
      <c r="H8632" s="2">
        <v>288</v>
      </c>
      <c r="I8632" s="2">
        <v>252</v>
      </c>
      <c r="J8632" s="2">
        <v>1106</v>
      </c>
      <c r="K8632" s="2">
        <v>58</v>
      </c>
      <c r="L8632" s="2">
        <v>342</v>
      </c>
    </row>
    <row r="8633" spans="1:12" x14ac:dyDescent="0.25">
      <c r="A8633" s="4" t="str">
        <f>HYPERLINK("http://www.rosaceae.org/Prunus/Prunus_persica/p.persica_gdr_reftransV1_0037669","p.persica_gdr_reftransV1_0037669")</f>
        <v>p.persica_gdr_reftransV1_0037669</v>
      </c>
      <c r="B8633" s="2">
        <v>1542</v>
      </c>
      <c r="C8633" s="4" t="str">
        <f>HYPERLINK("http://www.uniprot.org/uniprot/M5VZW8","M5VZW8")</f>
        <v>M5VZW8</v>
      </c>
      <c r="D8633" s="2" t="s">
        <v>7561</v>
      </c>
      <c r="E8633" s="3">
        <v>0</v>
      </c>
      <c r="F8633" s="2">
        <v>1521</v>
      </c>
      <c r="G8633" s="2">
        <v>100</v>
      </c>
      <c r="H8633" s="2">
        <v>349</v>
      </c>
      <c r="I8633" s="2">
        <v>410</v>
      </c>
      <c r="J8633" s="2">
        <v>1456</v>
      </c>
      <c r="K8633" s="2">
        <v>1</v>
      </c>
      <c r="L8633" s="2">
        <v>349</v>
      </c>
    </row>
    <row r="8634" spans="1:12" x14ac:dyDescent="0.25">
      <c r="A8634" s="4" t="str">
        <f>HYPERLINK("http://www.rosaceae.org/Prunus/Prunus_persica/p.persica_gdr_reftransV1_0038369","p.persica_gdr_reftransV1_0038369")</f>
        <v>p.persica_gdr_reftransV1_0038369</v>
      </c>
      <c r="B8634" s="2">
        <v>2383</v>
      </c>
      <c r="C8634" s="4" t="str">
        <f>HYPERLINK("http://www.uniprot.org/uniprot/M5XZ14","M5XZ14")</f>
        <v>M5XZ14</v>
      </c>
      <c r="D8634" s="2" t="s">
        <v>5415</v>
      </c>
      <c r="E8634" s="3">
        <v>1.1400000000000001E-177</v>
      </c>
      <c r="F8634" s="2">
        <v>1357</v>
      </c>
      <c r="G8634" s="2">
        <v>100</v>
      </c>
      <c r="H8634" s="2">
        <v>273</v>
      </c>
      <c r="I8634" s="2">
        <v>178</v>
      </c>
      <c r="J8634" s="2">
        <v>996</v>
      </c>
      <c r="K8634" s="2">
        <v>9</v>
      </c>
      <c r="L8634" s="2">
        <v>281</v>
      </c>
    </row>
    <row r="8635" spans="1:12" x14ac:dyDescent="0.25">
      <c r="A8635" s="4" t="str">
        <f>HYPERLINK("http://www.rosaceae.org/Prunus/Prunus_persica/p.persica_gdr_reftransV1_0039069","p.persica_gdr_reftransV1_0039069")</f>
        <v>p.persica_gdr_reftransV1_0039069</v>
      </c>
      <c r="B8635" s="2">
        <v>3137</v>
      </c>
      <c r="C8635" s="4" t="str">
        <f>HYPERLINK("http://www.uniprot.org/uniprot/M5W3N9","M5W3N9")</f>
        <v>M5W3N9</v>
      </c>
      <c r="D8635" s="2" t="s">
        <v>7562</v>
      </c>
      <c r="E8635" s="3">
        <v>0</v>
      </c>
      <c r="F8635" s="2">
        <v>3020</v>
      </c>
      <c r="G8635" s="2">
        <v>100</v>
      </c>
      <c r="H8635" s="2">
        <v>656</v>
      </c>
      <c r="I8635" s="2">
        <v>423</v>
      </c>
      <c r="J8635" s="2">
        <v>2390</v>
      </c>
      <c r="K8635" s="2">
        <v>1</v>
      </c>
      <c r="L8635" s="2">
        <v>656</v>
      </c>
    </row>
    <row r="8636" spans="1:12" x14ac:dyDescent="0.25">
      <c r="A8636" s="4" t="str">
        <f>HYPERLINK("http://www.rosaceae.org/Prunus/Prunus_persica/p.persica_gdr_reftransV1_0039769","p.persica_gdr_reftransV1_0039769")</f>
        <v>p.persica_gdr_reftransV1_0039769</v>
      </c>
      <c r="B8636" s="2">
        <v>1079</v>
      </c>
      <c r="C8636" s="4" t="str">
        <f>HYPERLINK("http://www.uniprot.org/uniprot/M5VZQ7","M5VZQ7")</f>
        <v>M5VZQ7</v>
      </c>
      <c r="D8636" s="2" t="s">
        <v>3175</v>
      </c>
      <c r="E8636" s="3">
        <v>2.92E-123</v>
      </c>
      <c r="F8636" s="2">
        <v>955</v>
      </c>
      <c r="G8636" s="2">
        <v>100</v>
      </c>
      <c r="H8636" s="2">
        <v>196</v>
      </c>
      <c r="I8636" s="2">
        <v>2</v>
      </c>
      <c r="J8636" s="2">
        <v>589</v>
      </c>
      <c r="K8636" s="2">
        <v>85</v>
      </c>
      <c r="L8636" s="2">
        <v>280</v>
      </c>
    </row>
    <row r="8637" spans="1:12" x14ac:dyDescent="0.25">
      <c r="A8637" s="4" t="str">
        <f>HYPERLINK("http://www.rosaceae.org/Prunus/Prunus_persica/p.persica_gdr_reftransV1_0041869","p.persica_gdr_reftransV1_0041869")</f>
        <v>p.persica_gdr_reftransV1_0041869</v>
      </c>
      <c r="B8637" s="2">
        <v>1807</v>
      </c>
      <c r="C8637" s="4" t="str">
        <f>HYPERLINK("http://www.uniprot.org/uniprot/M5XH03","M5XH03")</f>
        <v>M5XH03</v>
      </c>
      <c r="D8637" s="2" t="s">
        <v>6941</v>
      </c>
      <c r="E8637" s="3">
        <v>2.6399999999999999E-114</v>
      </c>
      <c r="F8637" s="2">
        <v>898</v>
      </c>
      <c r="G8637" s="2">
        <v>98</v>
      </c>
      <c r="H8637" s="2">
        <v>176</v>
      </c>
      <c r="I8637" s="2">
        <v>383</v>
      </c>
      <c r="J8637" s="2">
        <v>910</v>
      </c>
      <c r="K8637" s="2">
        <v>5</v>
      </c>
      <c r="L8637" s="2">
        <v>177</v>
      </c>
    </row>
    <row r="8638" spans="1:12" x14ac:dyDescent="0.25">
      <c r="A8638" s="4" t="str">
        <f>HYPERLINK("http://www.rosaceae.org/Prunus/Prunus_persica/p.persica_gdr_reftransV1_0043269","p.persica_gdr_reftransV1_0043269")</f>
        <v>p.persica_gdr_reftransV1_0043269</v>
      </c>
      <c r="B8638" s="2">
        <v>403</v>
      </c>
      <c r="C8638" s="4" t="str">
        <f>HYPERLINK("http://www.uniprot.org/uniprot/M5WC03","M5WC03")</f>
        <v>M5WC03</v>
      </c>
      <c r="D8638" s="2" t="s">
        <v>7563</v>
      </c>
      <c r="E8638" s="3">
        <v>1.19E-91</v>
      </c>
      <c r="F8638" s="2">
        <v>709</v>
      </c>
      <c r="G8638" s="2">
        <v>100</v>
      </c>
      <c r="H8638" s="2">
        <v>134</v>
      </c>
      <c r="I8638" s="2">
        <v>1</v>
      </c>
      <c r="J8638" s="2">
        <v>402</v>
      </c>
      <c r="K8638" s="2">
        <v>94</v>
      </c>
      <c r="L8638" s="2">
        <v>227</v>
      </c>
    </row>
    <row r="8639" spans="1:12" x14ac:dyDescent="0.25">
      <c r="A8639" s="4" t="str">
        <f>HYPERLINK("http://www.rosaceae.org/Prunus/Prunus_persica/p.persica_gdr_reftransV1_0043969","p.persica_gdr_reftransV1_0043969")</f>
        <v>p.persica_gdr_reftransV1_0043969</v>
      </c>
      <c r="B8639" s="2">
        <v>3171</v>
      </c>
      <c r="C8639" s="4" t="str">
        <f>HYPERLINK("http://www.uniprot.org/uniprot/M5X0G5","M5X0G5")</f>
        <v>M5X0G5</v>
      </c>
      <c r="D8639" s="2" t="s">
        <v>3867</v>
      </c>
      <c r="E8639" s="3">
        <v>0</v>
      </c>
      <c r="F8639" s="2">
        <v>4538</v>
      </c>
      <c r="G8639" s="2">
        <v>98</v>
      </c>
      <c r="H8639" s="2">
        <v>895</v>
      </c>
      <c r="I8639" s="2">
        <v>264</v>
      </c>
      <c r="J8639" s="2">
        <v>2948</v>
      </c>
      <c r="K8639" s="2">
        <v>1</v>
      </c>
      <c r="L8639" s="2">
        <v>880</v>
      </c>
    </row>
    <row r="8640" spans="1:12" x14ac:dyDescent="0.25">
      <c r="A8640" s="4" t="str">
        <f>HYPERLINK("http://www.rosaceae.org/Prunus/Prunus_persica/p.persica_gdr_reftransV1_0044669","p.persica_gdr_reftransV1_0044669")</f>
        <v>p.persica_gdr_reftransV1_0044669</v>
      </c>
      <c r="B8640" s="2">
        <v>1113</v>
      </c>
      <c r="C8640" s="4" t="str">
        <f>HYPERLINK("http://www.uniprot.org/uniprot/M5XMF9","M5XMF9")</f>
        <v>M5XMF9</v>
      </c>
      <c r="D8640" s="2" t="s">
        <v>7564</v>
      </c>
      <c r="E8640" s="3">
        <v>1.19E-148</v>
      </c>
      <c r="F8640" s="2">
        <v>1110</v>
      </c>
      <c r="G8640" s="2">
        <v>100</v>
      </c>
      <c r="H8640" s="2">
        <v>236</v>
      </c>
      <c r="I8640" s="2">
        <v>223</v>
      </c>
      <c r="J8640" s="2">
        <v>930</v>
      </c>
      <c r="K8640" s="2">
        <v>1</v>
      </c>
      <c r="L8640" s="2">
        <v>236</v>
      </c>
    </row>
    <row r="8641" spans="1:12" x14ac:dyDescent="0.25">
      <c r="A8641" s="4" t="str">
        <f>HYPERLINK("http://www.rosaceae.org/Prunus/Prunus_persica/p.persica_gdr_reftransV1_0045369","p.persica_gdr_reftransV1_0045369")</f>
        <v>p.persica_gdr_reftransV1_0045369</v>
      </c>
      <c r="B8641" s="2">
        <v>448</v>
      </c>
      <c r="C8641" s="4" t="str">
        <f>HYPERLINK("http://www.uniprot.org/uniprot/M5VIJ1","M5VIJ1")</f>
        <v>M5VIJ1</v>
      </c>
      <c r="D8641" s="2" t="s">
        <v>744</v>
      </c>
      <c r="E8641" s="3">
        <v>6.5399999999999999E-91</v>
      </c>
      <c r="F8641" s="2">
        <v>760</v>
      </c>
      <c r="G8641" s="2">
        <v>100</v>
      </c>
      <c r="H8641" s="2">
        <v>148</v>
      </c>
      <c r="I8641" s="2">
        <v>3</v>
      </c>
      <c r="J8641" s="2">
        <v>446</v>
      </c>
      <c r="K8641" s="2">
        <v>294</v>
      </c>
      <c r="L8641" s="2">
        <v>441</v>
      </c>
    </row>
    <row r="8642" spans="1:12" x14ac:dyDescent="0.25">
      <c r="A8642" s="4" t="str">
        <f>HYPERLINK("http://www.rosaceae.org/Prunus/Prunus_persica/p.persica_gdr_reftransV1_0045719","p.persica_gdr_reftransV1_0045719")</f>
        <v>p.persica_gdr_reftransV1_0045719</v>
      </c>
      <c r="B8642" s="2">
        <v>1227</v>
      </c>
      <c r="C8642" s="4" t="str">
        <f>HYPERLINK("http://www.uniprot.org/uniprot/M5WHB5","M5WHB5")</f>
        <v>M5WHB5</v>
      </c>
      <c r="D8642" s="2" t="s">
        <v>7565</v>
      </c>
      <c r="E8642" s="3">
        <v>2.9999999999999999E-145</v>
      </c>
      <c r="F8642" s="2">
        <v>1089</v>
      </c>
      <c r="G8642" s="2">
        <v>100</v>
      </c>
      <c r="H8642" s="2">
        <v>221</v>
      </c>
      <c r="I8642" s="2">
        <v>321</v>
      </c>
      <c r="J8642" s="2">
        <v>983</v>
      </c>
      <c r="K8642" s="2">
        <v>1</v>
      </c>
      <c r="L8642" s="2">
        <v>221</v>
      </c>
    </row>
    <row r="8643" spans="1:12" x14ac:dyDescent="0.25">
      <c r="A8643" s="4" t="str">
        <f>HYPERLINK("http://www.rosaceae.org/Prunus/Prunus_persica/p.persica_gdr_reftransV1_0046069","p.persica_gdr_reftransV1_0046069")</f>
        <v>p.persica_gdr_reftransV1_0046069</v>
      </c>
      <c r="B8643" s="2">
        <v>3857</v>
      </c>
      <c r="C8643" s="4" t="str">
        <f>HYPERLINK("http://www.uniprot.org/uniprot/M5WXI8","M5WXI8")</f>
        <v>M5WXI8</v>
      </c>
      <c r="D8643" s="2" t="s">
        <v>7566</v>
      </c>
      <c r="E8643" s="3">
        <v>0</v>
      </c>
      <c r="F8643" s="2">
        <v>3522</v>
      </c>
      <c r="G8643" s="2">
        <v>100</v>
      </c>
      <c r="H8643" s="2">
        <v>711</v>
      </c>
      <c r="I8643" s="2">
        <v>1559</v>
      </c>
      <c r="J8643" s="2">
        <v>3691</v>
      </c>
      <c r="K8643" s="2">
        <v>1</v>
      </c>
      <c r="L8643" s="2">
        <v>711</v>
      </c>
    </row>
    <row r="8644" spans="1:12" x14ac:dyDescent="0.25">
      <c r="A8644" s="4" t="str">
        <f>HYPERLINK("http://www.rosaceae.org/Prunus/Prunus_persica/p.persica_gdr_reftransV1_0046769","p.persica_gdr_reftransV1_0046769")</f>
        <v>p.persica_gdr_reftransV1_0046769</v>
      </c>
      <c r="B8644" s="2">
        <v>679</v>
      </c>
      <c r="C8644" s="4" t="str">
        <f>HYPERLINK("http://www.uniprot.org/uniprot/M5WJJ3","M5WJJ3")</f>
        <v>M5WJJ3</v>
      </c>
      <c r="D8644" s="2" t="s">
        <v>7567</v>
      </c>
      <c r="E8644" s="3">
        <v>7.5900000000000007E-64</v>
      </c>
      <c r="F8644" s="2">
        <v>522</v>
      </c>
      <c r="G8644" s="2">
        <v>100</v>
      </c>
      <c r="H8644" s="2">
        <v>98</v>
      </c>
      <c r="I8644" s="2">
        <v>2</v>
      </c>
      <c r="J8644" s="2">
        <v>295</v>
      </c>
      <c r="K8644" s="2">
        <v>2</v>
      </c>
      <c r="L8644" s="2">
        <v>99</v>
      </c>
    </row>
    <row r="8645" spans="1:12" x14ac:dyDescent="0.25">
      <c r="A8645" s="4" t="str">
        <f>HYPERLINK("http://www.rosaceae.org/Prunus/Prunus_persica/p.persica_gdr_reftransV1_0047119","p.persica_gdr_reftransV1_0047119")</f>
        <v>p.persica_gdr_reftransV1_0047119</v>
      </c>
      <c r="B8645" s="2">
        <v>1380</v>
      </c>
      <c r="C8645" s="4" t="str">
        <f>HYPERLINK("http://www.uniprot.org/uniprot/M5VYX2","M5VYX2")</f>
        <v>M5VYX2</v>
      </c>
      <c r="D8645" s="2" t="s">
        <v>7568</v>
      </c>
      <c r="E8645" s="3">
        <v>0</v>
      </c>
      <c r="F8645" s="2">
        <v>1687</v>
      </c>
      <c r="G8645" s="2">
        <v>100</v>
      </c>
      <c r="H8645" s="2">
        <v>355</v>
      </c>
      <c r="I8645" s="2">
        <v>222</v>
      </c>
      <c r="J8645" s="2">
        <v>1286</v>
      </c>
      <c r="K8645" s="2">
        <v>1</v>
      </c>
      <c r="L8645" s="2">
        <v>355</v>
      </c>
    </row>
    <row r="8646" spans="1:12" x14ac:dyDescent="0.25">
      <c r="A8646" s="4" t="str">
        <f>HYPERLINK("http://www.rosaceae.org/Prunus/Prunus_persica/p.persica_gdr_reftransV1_0047469","p.persica_gdr_reftransV1_0047469")</f>
        <v>p.persica_gdr_reftransV1_0047469</v>
      </c>
      <c r="B8646" s="2">
        <v>331</v>
      </c>
      <c r="C8646" s="4" t="str">
        <f>HYPERLINK("http://www.uniprot.org/uniprot/A9PE97","A9PE97")</f>
        <v>A9PE97</v>
      </c>
      <c r="D8646" s="2" t="s">
        <v>7569</v>
      </c>
      <c r="E8646" s="3">
        <v>2.3799999999999999E-32</v>
      </c>
      <c r="F8646" s="2">
        <v>311</v>
      </c>
      <c r="G8646" s="2">
        <v>83</v>
      </c>
      <c r="H8646" s="2">
        <v>93</v>
      </c>
      <c r="I8646" s="2">
        <v>50</v>
      </c>
      <c r="J8646" s="2">
        <v>328</v>
      </c>
      <c r="K8646" s="2">
        <v>1</v>
      </c>
      <c r="L8646" s="2">
        <v>93</v>
      </c>
    </row>
    <row r="8647" spans="1:12" x14ac:dyDescent="0.25">
      <c r="A8647" s="4" t="str">
        <f>HYPERLINK("http://www.rosaceae.org/Prunus/Prunus_persica/p.persica_gdr_reftransV1_0047819","p.persica_gdr_reftransV1_0047819")</f>
        <v>p.persica_gdr_reftransV1_0047819</v>
      </c>
      <c r="B8647" s="2">
        <v>360</v>
      </c>
      <c r="C8647" s="4" t="str">
        <f>HYPERLINK("http://www.uniprot.org/uniprot/M5XPC1","M5XPC1")</f>
        <v>M5XPC1</v>
      </c>
      <c r="D8647" s="2" t="s">
        <v>7570</v>
      </c>
      <c r="E8647" s="3">
        <v>3.1999999999999998E-38</v>
      </c>
      <c r="F8647" s="2">
        <v>364</v>
      </c>
      <c r="G8647" s="2">
        <v>62</v>
      </c>
      <c r="H8647" s="2">
        <v>129</v>
      </c>
      <c r="I8647" s="2">
        <v>5</v>
      </c>
      <c r="J8647" s="2">
        <v>358</v>
      </c>
      <c r="K8647" s="2">
        <v>222</v>
      </c>
      <c r="L8647" s="2">
        <v>340</v>
      </c>
    </row>
    <row r="8648" spans="1:12" x14ac:dyDescent="0.25">
      <c r="A8648" s="4" t="str">
        <f>HYPERLINK("http://www.rosaceae.org/Prunus/Prunus_persica/p.persica_gdr_reftransV1_0048169","p.persica_gdr_reftransV1_0048169")</f>
        <v>p.persica_gdr_reftransV1_0048169</v>
      </c>
      <c r="B8648" s="2">
        <v>1610</v>
      </c>
      <c r="C8648" s="4" t="str">
        <f>HYPERLINK("http://www.uniprot.org/uniprot/M5X0S1","M5X0S1")</f>
        <v>M5X0S1</v>
      </c>
      <c r="D8648" s="2" t="s">
        <v>3352</v>
      </c>
      <c r="E8648" s="3">
        <v>0</v>
      </c>
      <c r="F8648" s="2">
        <v>1949</v>
      </c>
      <c r="G8648" s="2">
        <v>97</v>
      </c>
      <c r="H8648" s="2">
        <v>378</v>
      </c>
      <c r="I8648" s="2">
        <v>327</v>
      </c>
      <c r="J8648" s="2">
        <v>1460</v>
      </c>
      <c r="K8648" s="2">
        <v>1</v>
      </c>
      <c r="L8648" s="2">
        <v>371</v>
      </c>
    </row>
    <row r="8649" spans="1:12" x14ac:dyDescent="0.25">
      <c r="A8649" s="4" t="str">
        <f>HYPERLINK("http://www.rosaceae.org/Prunus/Prunus_persica/p.persica_gdr_reftransV1_0048519","p.persica_gdr_reftransV1_0048519")</f>
        <v>p.persica_gdr_reftransV1_0048519</v>
      </c>
      <c r="B8649" s="2">
        <v>853</v>
      </c>
      <c r="C8649" s="4" t="str">
        <f>HYPERLINK("http://www.uniprot.org/uniprot/M5XNQ4","M5XNQ4")</f>
        <v>M5XNQ4</v>
      </c>
      <c r="D8649" s="2" t="s">
        <v>7571</v>
      </c>
      <c r="E8649" s="3">
        <v>6.0000000000000003E-77</v>
      </c>
      <c r="F8649" s="2">
        <v>621</v>
      </c>
      <c r="G8649" s="2">
        <v>98</v>
      </c>
      <c r="H8649" s="2">
        <v>163</v>
      </c>
      <c r="I8649" s="2">
        <v>38</v>
      </c>
      <c r="J8649" s="2">
        <v>526</v>
      </c>
      <c r="K8649" s="2">
        <v>16</v>
      </c>
      <c r="L8649" s="2">
        <v>178</v>
      </c>
    </row>
    <row r="8650" spans="1:12" x14ac:dyDescent="0.25">
      <c r="A8650" s="4" t="str">
        <f>HYPERLINK("http://www.rosaceae.org/Prunus/Prunus_persica/p.persica_gdr_reftransV1_0048869","p.persica_gdr_reftransV1_0048869")</f>
        <v>p.persica_gdr_reftransV1_0048869</v>
      </c>
      <c r="B8650" s="2">
        <v>1573</v>
      </c>
      <c r="C8650" s="4" t="str">
        <f>HYPERLINK("http://www.uniprot.org/uniprot/M5XD28","M5XD28")</f>
        <v>M5XD28</v>
      </c>
      <c r="D8650" s="2" t="s">
        <v>7572</v>
      </c>
      <c r="E8650" s="3">
        <v>0</v>
      </c>
      <c r="F8650" s="2">
        <v>2176</v>
      </c>
      <c r="G8650" s="2">
        <v>99</v>
      </c>
      <c r="H8650" s="2">
        <v>442</v>
      </c>
      <c r="I8650" s="2">
        <v>56</v>
      </c>
      <c r="J8650" s="2">
        <v>1381</v>
      </c>
      <c r="K8650" s="2">
        <v>1</v>
      </c>
      <c r="L8650" s="2">
        <v>442</v>
      </c>
    </row>
    <row r="8651" spans="1:12" x14ac:dyDescent="0.25">
      <c r="A8651" s="4" t="str">
        <f>HYPERLINK("http://www.rosaceae.org/Prunus/Prunus_persica/p.persica_gdr_reftransV1_0000220","p.persica_gdr_reftransV1_0000220")</f>
        <v>p.persica_gdr_reftransV1_0000220</v>
      </c>
      <c r="B8651" s="2">
        <v>444</v>
      </c>
      <c r="C8651" s="4" t="str">
        <f>HYPERLINK("http://www.uniprot.org/uniprot/M5WYD6","M5WYD6")</f>
        <v>M5WYD6</v>
      </c>
      <c r="D8651" s="2" t="s">
        <v>6261</v>
      </c>
      <c r="E8651" s="3">
        <v>2.15E-50</v>
      </c>
      <c r="F8651" s="2">
        <v>464</v>
      </c>
      <c r="G8651" s="2">
        <v>100</v>
      </c>
      <c r="H8651" s="2">
        <v>106</v>
      </c>
      <c r="I8651" s="2">
        <v>3</v>
      </c>
      <c r="J8651" s="2">
        <v>320</v>
      </c>
      <c r="K8651" s="2">
        <v>1</v>
      </c>
      <c r="L8651" s="2">
        <v>106</v>
      </c>
    </row>
    <row r="8652" spans="1:12" x14ac:dyDescent="0.25">
      <c r="A8652" s="4" t="str">
        <f>HYPERLINK("http://www.rosaceae.org/Prunus/Prunus_persica/p.persica_gdr_reftransV1_0000570","p.persica_gdr_reftransV1_0000570")</f>
        <v>p.persica_gdr_reftransV1_0000570</v>
      </c>
      <c r="B8652" s="2">
        <v>1608</v>
      </c>
      <c r="C8652" s="4" t="str">
        <f>HYPERLINK("http://www.uniprot.org/uniprot/M5WYG3","M5WYG3")</f>
        <v>M5WYG3</v>
      </c>
      <c r="D8652" s="2" t="s">
        <v>870</v>
      </c>
      <c r="E8652" s="3">
        <v>0</v>
      </c>
      <c r="F8652" s="2">
        <v>2250</v>
      </c>
      <c r="G8652" s="2">
        <v>100</v>
      </c>
      <c r="H8652" s="2">
        <v>418</v>
      </c>
      <c r="I8652" s="2">
        <v>354</v>
      </c>
      <c r="J8652" s="2">
        <v>1607</v>
      </c>
      <c r="K8652" s="2">
        <v>481</v>
      </c>
      <c r="L8652" s="2">
        <v>898</v>
      </c>
    </row>
    <row r="8653" spans="1:12" x14ac:dyDescent="0.25">
      <c r="A8653" s="4" t="str">
        <f>HYPERLINK("http://www.rosaceae.org/Prunus/Prunus_persica/p.persica_gdr_reftransV1_0000920","p.persica_gdr_reftransV1_0000920")</f>
        <v>p.persica_gdr_reftransV1_0000920</v>
      </c>
      <c r="B8653" s="2">
        <v>758</v>
      </c>
      <c r="C8653" s="4" t="str">
        <f>HYPERLINK("http://www.uniprot.org/uniprot/M5W137","M5W137")</f>
        <v>M5W137</v>
      </c>
      <c r="D8653" s="2" t="s">
        <v>7573</v>
      </c>
      <c r="E8653" s="3">
        <v>4.53E-75</v>
      </c>
      <c r="F8653" s="2">
        <v>608</v>
      </c>
      <c r="G8653" s="2">
        <v>99</v>
      </c>
      <c r="H8653" s="2">
        <v>164</v>
      </c>
      <c r="I8653" s="2">
        <v>27</v>
      </c>
      <c r="J8653" s="2">
        <v>518</v>
      </c>
      <c r="K8653" s="2">
        <v>52</v>
      </c>
      <c r="L8653" s="2">
        <v>215</v>
      </c>
    </row>
    <row r="8654" spans="1:12" x14ac:dyDescent="0.25">
      <c r="A8654" s="4" t="str">
        <f>HYPERLINK("http://www.rosaceae.org/Prunus/Prunus_persica/p.persica_gdr_reftransV1_0001270","p.persica_gdr_reftransV1_0001270")</f>
        <v>p.persica_gdr_reftransV1_0001270</v>
      </c>
      <c r="B8654" s="2">
        <v>880</v>
      </c>
      <c r="C8654" s="4" t="str">
        <f>HYPERLINK("http://www.uniprot.org/uniprot/M5W3K7","M5W3K7")</f>
        <v>M5W3K7</v>
      </c>
      <c r="D8654" s="2" t="s">
        <v>7574</v>
      </c>
      <c r="E8654" s="3">
        <v>7.5099999999999995E-130</v>
      </c>
      <c r="F8654" s="2">
        <v>981</v>
      </c>
      <c r="G8654" s="2">
        <v>99</v>
      </c>
      <c r="H8654" s="2">
        <v>186</v>
      </c>
      <c r="I8654" s="2">
        <v>29</v>
      </c>
      <c r="J8654" s="2">
        <v>586</v>
      </c>
      <c r="K8654" s="2">
        <v>85</v>
      </c>
      <c r="L8654" s="2">
        <v>270</v>
      </c>
    </row>
    <row r="8655" spans="1:12" x14ac:dyDescent="0.25">
      <c r="A8655" s="4" t="str">
        <f>HYPERLINK("http://www.rosaceae.org/Prunus/Prunus_persica/p.persica_gdr_reftransV1_0001620","p.persica_gdr_reftransV1_0001620")</f>
        <v>p.persica_gdr_reftransV1_0001620</v>
      </c>
      <c r="B8655" s="2">
        <v>458</v>
      </c>
      <c r="C8655" s="4" t="str">
        <f>HYPERLINK("http://www.uniprot.org/uniprot/M5Y4T9","M5Y4T9")</f>
        <v>M5Y4T9</v>
      </c>
      <c r="D8655" s="2" t="s">
        <v>1705</v>
      </c>
      <c r="E8655" s="3">
        <v>2.8200000000000002E-65</v>
      </c>
      <c r="F8655" s="2">
        <v>579</v>
      </c>
      <c r="G8655" s="2">
        <v>75</v>
      </c>
      <c r="H8655" s="2">
        <v>152</v>
      </c>
      <c r="I8655" s="2">
        <v>3</v>
      </c>
      <c r="J8655" s="2">
        <v>458</v>
      </c>
      <c r="K8655" s="2">
        <v>348</v>
      </c>
      <c r="L8655" s="2">
        <v>461</v>
      </c>
    </row>
    <row r="8656" spans="1:12" x14ac:dyDescent="0.25">
      <c r="A8656" s="4" t="str">
        <f>HYPERLINK("http://www.rosaceae.org/Prunus/Prunus_persica/p.persica_gdr_reftransV1_0002320","p.persica_gdr_reftransV1_0002320")</f>
        <v>p.persica_gdr_reftransV1_0002320</v>
      </c>
      <c r="B8656" s="2">
        <v>1742</v>
      </c>
      <c r="C8656" s="4" t="str">
        <f>HYPERLINK("http://www.uniprot.org/uniprot/M5XGP7","M5XGP7")</f>
        <v>M5XGP7</v>
      </c>
      <c r="D8656" s="2" t="s">
        <v>7472</v>
      </c>
      <c r="E8656" s="3">
        <v>0</v>
      </c>
      <c r="F8656" s="2">
        <v>1759</v>
      </c>
      <c r="G8656" s="2">
        <v>92</v>
      </c>
      <c r="H8656" s="2">
        <v>477</v>
      </c>
      <c r="I8656" s="2">
        <v>273</v>
      </c>
      <c r="J8656" s="2">
        <v>1703</v>
      </c>
      <c r="K8656" s="2">
        <v>1</v>
      </c>
      <c r="L8656" s="2">
        <v>440</v>
      </c>
    </row>
    <row r="8657" spans="1:12" x14ac:dyDescent="0.25">
      <c r="A8657" s="4" t="str">
        <f>HYPERLINK("http://www.rosaceae.org/Prunus/Prunus_persica/p.persica_gdr_reftransV1_0002670","p.persica_gdr_reftransV1_0002670")</f>
        <v>p.persica_gdr_reftransV1_0002670</v>
      </c>
      <c r="B8657" s="2">
        <v>1072</v>
      </c>
      <c r="C8657" s="4" t="str">
        <f>HYPERLINK("http://www.uniprot.org/uniprot/M5XEV3","M5XEV3")</f>
        <v>M5XEV3</v>
      </c>
      <c r="D8657" s="2" t="s">
        <v>7575</v>
      </c>
      <c r="E8657" s="3">
        <v>0</v>
      </c>
      <c r="F8657" s="2">
        <v>1377</v>
      </c>
      <c r="G8657" s="2">
        <v>100</v>
      </c>
      <c r="H8657" s="2">
        <v>259</v>
      </c>
      <c r="I8657" s="2">
        <v>231</v>
      </c>
      <c r="J8657" s="2">
        <v>1007</v>
      </c>
      <c r="K8657" s="2">
        <v>1</v>
      </c>
      <c r="L8657" s="2">
        <v>259</v>
      </c>
    </row>
    <row r="8658" spans="1:12" x14ac:dyDescent="0.25">
      <c r="A8658" s="4" t="str">
        <f>HYPERLINK("http://www.rosaceae.org/Prunus/Prunus_persica/p.persica_gdr_reftransV1_0003370","p.persica_gdr_reftransV1_0003370")</f>
        <v>p.persica_gdr_reftransV1_0003370</v>
      </c>
      <c r="B8658" s="2">
        <v>371</v>
      </c>
      <c r="C8658" s="4" t="str">
        <f>HYPERLINK("http://www.uniprot.org/uniprot/M5WN12","M5WN12")</f>
        <v>M5WN12</v>
      </c>
      <c r="D8658" s="2" t="s">
        <v>7576</v>
      </c>
      <c r="E8658" s="3">
        <v>6.2800000000000005E-67</v>
      </c>
      <c r="F8658" s="2">
        <v>532</v>
      </c>
      <c r="G8658" s="2">
        <v>96</v>
      </c>
      <c r="H8658" s="2">
        <v>109</v>
      </c>
      <c r="I8658" s="2">
        <v>26</v>
      </c>
      <c r="J8658" s="2">
        <v>352</v>
      </c>
      <c r="K8658" s="2">
        <v>1</v>
      </c>
      <c r="L8658" s="2">
        <v>109</v>
      </c>
    </row>
    <row r="8659" spans="1:12" x14ac:dyDescent="0.25">
      <c r="A8659" s="4" t="str">
        <f>HYPERLINK("http://www.rosaceae.org/Prunus/Prunus_persica/p.persica_gdr_reftransV1_0003720","p.persica_gdr_reftransV1_0003720")</f>
        <v>p.persica_gdr_reftransV1_0003720</v>
      </c>
      <c r="B8659" s="2">
        <v>716</v>
      </c>
      <c r="C8659" s="4" t="str">
        <f>HYPERLINK("http://www.uniprot.org/uniprot/M5WUN3","M5WUN3")</f>
        <v>M5WUN3</v>
      </c>
      <c r="D8659" s="2" t="s">
        <v>7577</v>
      </c>
      <c r="E8659" s="3">
        <v>1.1400000000000001E-93</v>
      </c>
      <c r="F8659" s="2">
        <v>755</v>
      </c>
      <c r="G8659" s="2">
        <v>100</v>
      </c>
      <c r="H8659" s="2">
        <v>175</v>
      </c>
      <c r="I8659" s="2">
        <v>16</v>
      </c>
      <c r="J8659" s="2">
        <v>540</v>
      </c>
      <c r="K8659" s="2">
        <v>1</v>
      </c>
      <c r="L8659" s="2">
        <v>175</v>
      </c>
    </row>
    <row r="8660" spans="1:12" x14ac:dyDescent="0.25">
      <c r="A8660" s="4" t="str">
        <f>HYPERLINK("http://www.rosaceae.org/Prunus/Prunus_persica/p.persica_gdr_reftransV1_0004070","p.persica_gdr_reftransV1_0004070")</f>
        <v>p.persica_gdr_reftransV1_0004070</v>
      </c>
      <c r="B8660" s="2">
        <v>2046</v>
      </c>
      <c r="C8660" s="4" t="str">
        <f>HYPERLINK("http://www.uniprot.org/uniprot/M5VPP9","M5VPP9")</f>
        <v>M5VPP9</v>
      </c>
      <c r="D8660" s="2" t="s">
        <v>6248</v>
      </c>
      <c r="E8660" s="3">
        <v>0</v>
      </c>
      <c r="F8660" s="2">
        <v>1849</v>
      </c>
      <c r="G8660" s="2">
        <v>100</v>
      </c>
      <c r="H8660" s="2">
        <v>335</v>
      </c>
      <c r="I8660" s="2">
        <v>832</v>
      </c>
      <c r="J8660" s="2">
        <v>1836</v>
      </c>
      <c r="K8660" s="2">
        <v>216</v>
      </c>
      <c r="L8660" s="2">
        <v>550</v>
      </c>
    </row>
    <row r="8661" spans="1:12" x14ac:dyDescent="0.25">
      <c r="A8661" s="4" t="str">
        <f>HYPERLINK("http://www.rosaceae.org/Prunus/Prunus_persica/p.persica_gdr_reftransV1_0004770","p.persica_gdr_reftransV1_0004770")</f>
        <v>p.persica_gdr_reftransV1_0004770</v>
      </c>
      <c r="B8661" s="2">
        <v>2003</v>
      </c>
      <c r="C8661" s="4" t="str">
        <f>HYPERLINK("http://www.uniprot.org/uniprot/M5XQJ5","M5XQJ5")</f>
        <v>M5XQJ5</v>
      </c>
      <c r="D8661" s="2" t="s">
        <v>7578</v>
      </c>
      <c r="E8661" s="3">
        <v>0</v>
      </c>
      <c r="F8661" s="2">
        <v>2309</v>
      </c>
      <c r="G8661" s="2">
        <v>95</v>
      </c>
      <c r="H8661" s="2">
        <v>508</v>
      </c>
      <c r="I8661" s="2">
        <v>60</v>
      </c>
      <c r="J8661" s="2">
        <v>1583</v>
      </c>
      <c r="K8661" s="2">
        <v>1</v>
      </c>
      <c r="L8661" s="2">
        <v>485</v>
      </c>
    </row>
    <row r="8662" spans="1:12" x14ac:dyDescent="0.25">
      <c r="A8662" s="4" t="str">
        <f>HYPERLINK("http://www.rosaceae.org/Prunus/Prunus_persica/p.persica_gdr_reftransV1_0005120","p.persica_gdr_reftransV1_0005120")</f>
        <v>p.persica_gdr_reftransV1_0005120</v>
      </c>
      <c r="B8662" s="2">
        <v>2959</v>
      </c>
      <c r="C8662" s="4" t="str">
        <f>HYPERLINK("http://www.uniprot.org/uniprot/M5XPK1","M5XPK1")</f>
        <v>M5XPK1</v>
      </c>
      <c r="D8662" s="2" t="s">
        <v>7579</v>
      </c>
      <c r="E8662" s="3">
        <v>3.9199999999999997E-164</v>
      </c>
      <c r="F8662" s="2">
        <v>1276</v>
      </c>
      <c r="G8662" s="2">
        <v>90</v>
      </c>
      <c r="H8662" s="2">
        <v>289</v>
      </c>
      <c r="I8662" s="2">
        <v>1389</v>
      </c>
      <c r="J8662" s="2">
        <v>2240</v>
      </c>
      <c r="K8662" s="2">
        <v>20</v>
      </c>
      <c r="L8662" s="2">
        <v>308</v>
      </c>
    </row>
    <row r="8663" spans="1:12" x14ac:dyDescent="0.25">
      <c r="A8663" s="4" t="str">
        <f>HYPERLINK("http://www.rosaceae.org/Prunus/Prunus_persica/p.persica_gdr_reftransV1_0005470","p.persica_gdr_reftransV1_0005470")</f>
        <v>p.persica_gdr_reftransV1_0005470</v>
      </c>
      <c r="B8663" s="2">
        <v>1606</v>
      </c>
      <c r="C8663" s="4" t="str">
        <f>HYPERLINK("http://www.uniprot.org/uniprot/M5XSK4","M5XSK4")</f>
        <v>M5XSK4</v>
      </c>
      <c r="D8663" s="2" t="s">
        <v>7580</v>
      </c>
      <c r="E8663" s="3">
        <v>0</v>
      </c>
      <c r="F8663" s="2">
        <v>1388</v>
      </c>
      <c r="G8663" s="2">
        <v>100</v>
      </c>
      <c r="H8663" s="2">
        <v>312</v>
      </c>
      <c r="I8663" s="2">
        <v>172</v>
      </c>
      <c r="J8663" s="2">
        <v>1107</v>
      </c>
      <c r="K8663" s="2">
        <v>1</v>
      </c>
      <c r="L8663" s="2">
        <v>312</v>
      </c>
    </row>
    <row r="8664" spans="1:12" x14ac:dyDescent="0.25">
      <c r="A8664" s="4" t="str">
        <f>HYPERLINK("http://www.rosaceae.org/Prunus/Prunus_persica/p.persica_gdr_reftransV1_0006520","p.persica_gdr_reftransV1_0006520")</f>
        <v>p.persica_gdr_reftransV1_0006520</v>
      </c>
      <c r="B8664" s="2">
        <v>345</v>
      </c>
      <c r="C8664" s="4" t="str">
        <f>HYPERLINK("http://www.uniprot.org/uniprot/M5WVW1","M5WVW1")</f>
        <v>M5WVW1</v>
      </c>
      <c r="D8664" s="2" t="s">
        <v>7581</v>
      </c>
      <c r="E8664" s="3">
        <v>1.2E-56</v>
      </c>
      <c r="F8664" s="2">
        <v>471</v>
      </c>
      <c r="G8664" s="2">
        <v>99</v>
      </c>
      <c r="H8664" s="2">
        <v>114</v>
      </c>
      <c r="I8664" s="2">
        <v>1</v>
      </c>
      <c r="J8664" s="2">
        <v>342</v>
      </c>
      <c r="K8664" s="2">
        <v>71</v>
      </c>
      <c r="L8664" s="2">
        <v>184</v>
      </c>
    </row>
    <row r="8665" spans="1:12" x14ac:dyDescent="0.25">
      <c r="A8665" s="4" t="str">
        <f>HYPERLINK("http://www.rosaceae.org/Prunus/Prunus_persica/p.persica_gdr_reftransV1_0006870","p.persica_gdr_reftransV1_0006870")</f>
        <v>p.persica_gdr_reftransV1_0006870</v>
      </c>
      <c r="B8665" s="2">
        <v>487</v>
      </c>
      <c r="C8665" s="4" t="str">
        <f>HYPERLINK("http://www.uniprot.org/uniprot/M5VTL1","M5VTL1")</f>
        <v>M5VTL1</v>
      </c>
      <c r="D8665" s="2" t="s">
        <v>7582</v>
      </c>
      <c r="E8665" s="3">
        <v>2.5099999999999999E-114</v>
      </c>
      <c r="F8665" s="2">
        <v>873</v>
      </c>
      <c r="G8665" s="2">
        <v>100</v>
      </c>
      <c r="H8665" s="2">
        <v>161</v>
      </c>
      <c r="I8665" s="2">
        <v>3</v>
      </c>
      <c r="J8665" s="2">
        <v>485</v>
      </c>
      <c r="K8665" s="2">
        <v>32</v>
      </c>
      <c r="L8665" s="2">
        <v>192</v>
      </c>
    </row>
    <row r="8666" spans="1:12" x14ac:dyDescent="0.25">
      <c r="A8666" s="4" t="str">
        <f>HYPERLINK("http://www.rosaceae.org/Prunus/Prunus_persica/p.persica_gdr_reftransV1_0007220","p.persica_gdr_reftransV1_0007220")</f>
        <v>p.persica_gdr_reftransV1_0007220</v>
      </c>
      <c r="B8666" s="2">
        <v>2515</v>
      </c>
      <c r="C8666" s="4" t="str">
        <f>HYPERLINK("http://www.uniprot.org/uniprot/M5XQP5","M5XQP5")</f>
        <v>M5XQP5</v>
      </c>
      <c r="D8666" s="2" t="s">
        <v>7583</v>
      </c>
      <c r="E8666" s="3">
        <v>0</v>
      </c>
      <c r="F8666" s="2">
        <v>2104</v>
      </c>
      <c r="G8666" s="2">
        <v>100</v>
      </c>
      <c r="H8666" s="2">
        <v>409</v>
      </c>
      <c r="I8666" s="2">
        <v>322</v>
      </c>
      <c r="J8666" s="2">
        <v>1548</v>
      </c>
      <c r="K8666" s="2">
        <v>10</v>
      </c>
      <c r="L8666" s="2">
        <v>418</v>
      </c>
    </row>
    <row r="8667" spans="1:12" x14ac:dyDescent="0.25">
      <c r="A8667" s="4" t="str">
        <f>HYPERLINK("http://www.rosaceae.org/Prunus/Prunus_persica/p.persica_gdr_reftransV1_0007920","p.persica_gdr_reftransV1_0007920")</f>
        <v>p.persica_gdr_reftransV1_0007920</v>
      </c>
      <c r="B8667" s="2">
        <v>1037</v>
      </c>
      <c r="C8667" s="4" t="str">
        <f>HYPERLINK("http://www.uniprot.org/uniprot/M5XG66","M5XG66")</f>
        <v>M5XG66</v>
      </c>
      <c r="D8667" s="2" t="s">
        <v>7584</v>
      </c>
      <c r="E8667" s="3">
        <v>5.8999999999999999E-98</v>
      </c>
      <c r="F8667" s="2">
        <v>771</v>
      </c>
      <c r="G8667" s="2">
        <v>95</v>
      </c>
      <c r="H8667" s="2">
        <v>182</v>
      </c>
      <c r="I8667" s="2">
        <v>194</v>
      </c>
      <c r="J8667" s="2">
        <v>739</v>
      </c>
      <c r="K8667" s="2">
        <v>49</v>
      </c>
      <c r="L8667" s="2">
        <v>226</v>
      </c>
    </row>
    <row r="8668" spans="1:12" x14ac:dyDescent="0.25">
      <c r="A8668" s="4" t="str">
        <f>HYPERLINK("http://www.rosaceae.org/Prunus/Prunus_persica/p.persica_gdr_reftransV1_0008620","p.persica_gdr_reftransV1_0008620")</f>
        <v>p.persica_gdr_reftransV1_0008620</v>
      </c>
      <c r="B8668" s="2">
        <v>1786</v>
      </c>
      <c r="C8668" s="4" t="str">
        <f>HYPERLINK("http://www.uniprot.org/uniprot/M5W4Y9","M5W4Y9")</f>
        <v>M5W4Y9</v>
      </c>
      <c r="D8668" s="2" t="s">
        <v>1200</v>
      </c>
      <c r="E8668" s="3">
        <v>0</v>
      </c>
      <c r="F8668" s="2">
        <v>1969</v>
      </c>
      <c r="G8668" s="2">
        <v>100</v>
      </c>
      <c r="H8668" s="2">
        <v>444</v>
      </c>
      <c r="I8668" s="2">
        <v>274</v>
      </c>
      <c r="J8668" s="2">
        <v>1605</v>
      </c>
      <c r="K8668" s="2">
        <v>3</v>
      </c>
      <c r="L8668" s="2">
        <v>446</v>
      </c>
    </row>
    <row r="8669" spans="1:12" x14ac:dyDescent="0.25">
      <c r="A8669" s="4" t="str">
        <f>HYPERLINK("http://www.rosaceae.org/Prunus/Prunus_persica/p.persica_gdr_reftransV1_0009320","p.persica_gdr_reftransV1_0009320")</f>
        <v>p.persica_gdr_reftransV1_0009320</v>
      </c>
      <c r="B8669" s="2">
        <v>1728</v>
      </c>
      <c r="C8669" s="4" t="str">
        <f>HYPERLINK("http://www.uniprot.org/uniprot/M5XCJ1","M5XCJ1")</f>
        <v>M5XCJ1</v>
      </c>
      <c r="D8669" s="2" t="s">
        <v>7585</v>
      </c>
      <c r="E8669" s="3">
        <v>0</v>
      </c>
      <c r="F8669" s="2">
        <v>1806</v>
      </c>
      <c r="G8669" s="2">
        <v>99</v>
      </c>
      <c r="H8669" s="2">
        <v>344</v>
      </c>
      <c r="I8669" s="2">
        <v>52</v>
      </c>
      <c r="J8669" s="2">
        <v>1083</v>
      </c>
      <c r="K8669" s="2">
        <v>1</v>
      </c>
      <c r="L8669" s="2">
        <v>344</v>
      </c>
    </row>
    <row r="8670" spans="1:12" x14ac:dyDescent="0.25">
      <c r="A8670" s="4" t="str">
        <f>HYPERLINK("http://www.rosaceae.org/Prunus/Prunus_persica/p.persica_gdr_reftransV1_0009670","p.persica_gdr_reftransV1_0009670")</f>
        <v>p.persica_gdr_reftransV1_0009670</v>
      </c>
      <c r="B8670" s="2">
        <v>1308</v>
      </c>
      <c r="C8670" s="4" t="str">
        <f>HYPERLINK("http://www.uniprot.org/uniprot/M5WZT3","M5WZT3")</f>
        <v>M5WZT3</v>
      </c>
      <c r="D8670" s="2" t="s">
        <v>7586</v>
      </c>
      <c r="E8670" s="3">
        <v>0</v>
      </c>
      <c r="F8670" s="2">
        <v>1505</v>
      </c>
      <c r="G8670" s="2">
        <v>89</v>
      </c>
      <c r="H8670" s="2">
        <v>340</v>
      </c>
      <c r="I8670" s="2">
        <v>1</v>
      </c>
      <c r="J8670" s="2">
        <v>1011</v>
      </c>
      <c r="K8670" s="2">
        <v>89</v>
      </c>
      <c r="L8670" s="2">
        <v>425</v>
      </c>
    </row>
    <row r="8671" spans="1:12" x14ac:dyDescent="0.25">
      <c r="A8671" s="4" t="str">
        <f>HYPERLINK("http://www.rosaceae.org/Prunus/Prunus_persica/p.persica_gdr_reftransV1_0010020","p.persica_gdr_reftransV1_0010020")</f>
        <v>p.persica_gdr_reftransV1_0010020</v>
      </c>
      <c r="B8671" s="2">
        <v>745</v>
      </c>
      <c r="C8671" s="4" t="str">
        <f>HYPERLINK("http://www.uniprot.org/uniprot/M5XHT1","M5XHT1")</f>
        <v>M5XHT1</v>
      </c>
      <c r="D8671" s="2" t="s">
        <v>7587</v>
      </c>
      <c r="E8671" s="3">
        <v>5.2200000000000002E-93</v>
      </c>
      <c r="F8671" s="2">
        <v>721</v>
      </c>
      <c r="G8671" s="2">
        <v>100</v>
      </c>
      <c r="H8671" s="2">
        <v>150</v>
      </c>
      <c r="I8671" s="2">
        <v>6</v>
      </c>
      <c r="J8671" s="2">
        <v>455</v>
      </c>
      <c r="K8671" s="2">
        <v>1</v>
      </c>
      <c r="L8671" s="2">
        <v>150</v>
      </c>
    </row>
    <row r="8672" spans="1:12" x14ac:dyDescent="0.25">
      <c r="A8672" s="4" t="str">
        <f>HYPERLINK("http://www.rosaceae.org/Prunus/Prunus_persica/p.persica_gdr_reftransV1_0010720","p.persica_gdr_reftransV1_0010720")</f>
        <v>p.persica_gdr_reftransV1_0010720</v>
      </c>
      <c r="B8672" s="2">
        <v>1571</v>
      </c>
      <c r="C8672" s="4" t="str">
        <f>HYPERLINK("http://www.uniprot.org/uniprot/M5XL77","M5XL77")</f>
        <v>M5XL77</v>
      </c>
      <c r="D8672" s="2" t="s">
        <v>7588</v>
      </c>
      <c r="E8672" s="3">
        <v>1.8799999999999999E-105</v>
      </c>
      <c r="F8672" s="2">
        <v>849</v>
      </c>
      <c r="G8672" s="2">
        <v>98</v>
      </c>
      <c r="H8672" s="2">
        <v>165</v>
      </c>
      <c r="I8672" s="2">
        <v>497</v>
      </c>
      <c r="J8672" s="2">
        <v>991</v>
      </c>
      <c r="K8672" s="2">
        <v>172</v>
      </c>
      <c r="L8672" s="2">
        <v>336</v>
      </c>
    </row>
    <row r="8673" spans="1:12" x14ac:dyDescent="0.25">
      <c r="A8673" s="4" t="str">
        <f>HYPERLINK("http://www.rosaceae.org/Prunus/Prunus_persica/p.persica_gdr_reftransV1_0011070","p.persica_gdr_reftransV1_0011070")</f>
        <v>p.persica_gdr_reftransV1_0011070</v>
      </c>
      <c r="B8673" s="2">
        <v>2385</v>
      </c>
      <c r="C8673" s="4" t="str">
        <f>HYPERLINK("http://www.uniprot.org/uniprot/M5X4Q7","M5X4Q7")</f>
        <v>M5X4Q7</v>
      </c>
      <c r="D8673" s="2" t="s">
        <v>7589</v>
      </c>
      <c r="E8673" s="3">
        <v>0</v>
      </c>
      <c r="F8673" s="2">
        <v>1580</v>
      </c>
      <c r="G8673" s="2">
        <v>88</v>
      </c>
      <c r="H8673" s="2">
        <v>392</v>
      </c>
      <c r="I8673" s="2">
        <v>203</v>
      </c>
      <c r="J8673" s="2">
        <v>1375</v>
      </c>
      <c r="K8673" s="2">
        <v>12</v>
      </c>
      <c r="L8673" s="2">
        <v>389</v>
      </c>
    </row>
    <row r="8674" spans="1:12" x14ac:dyDescent="0.25">
      <c r="A8674" s="4" t="str">
        <f>HYPERLINK("http://www.rosaceae.org/Prunus/Prunus_persica/p.persica_gdr_reftransV1_0011420","p.persica_gdr_reftransV1_0011420")</f>
        <v>p.persica_gdr_reftransV1_0011420</v>
      </c>
      <c r="B8674" s="2">
        <v>1270</v>
      </c>
      <c r="C8674" s="4" t="str">
        <f>HYPERLINK("http://www.uniprot.org/uniprot/M5W1J9","M5W1J9")</f>
        <v>M5W1J9</v>
      </c>
      <c r="D8674" s="2" t="s">
        <v>7590</v>
      </c>
      <c r="E8674" s="3">
        <v>1.4299999999999999E-107</v>
      </c>
      <c r="F8674" s="2">
        <v>836</v>
      </c>
      <c r="G8674" s="2">
        <v>100</v>
      </c>
      <c r="H8674" s="2">
        <v>161</v>
      </c>
      <c r="I8674" s="2">
        <v>240</v>
      </c>
      <c r="J8674" s="2">
        <v>722</v>
      </c>
      <c r="K8674" s="2">
        <v>1</v>
      </c>
      <c r="L8674" s="2">
        <v>161</v>
      </c>
    </row>
    <row r="8675" spans="1:12" x14ac:dyDescent="0.25">
      <c r="A8675" s="4" t="str">
        <f>HYPERLINK("http://www.rosaceae.org/Prunus/Prunus_persica/p.persica_gdr_reftransV1_0012470","p.persica_gdr_reftransV1_0012470")</f>
        <v>p.persica_gdr_reftransV1_0012470</v>
      </c>
      <c r="B8675" s="2">
        <v>2193</v>
      </c>
      <c r="C8675" s="4" t="str">
        <f>HYPERLINK("http://www.uniprot.org/uniprot/M5W7G8","M5W7G8")</f>
        <v>M5W7G8</v>
      </c>
      <c r="D8675" s="2" t="s">
        <v>7591</v>
      </c>
      <c r="E8675" s="3">
        <v>0</v>
      </c>
      <c r="F8675" s="2">
        <v>2782</v>
      </c>
      <c r="G8675" s="2">
        <v>100</v>
      </c>
      <c r="H8675" s="2">
        <v>520</v>
      </c>
      <c r="I8675" s="2">
        <v>215</v>
      </c>
      <c r="J8675" s="2">
        <v>1774</v>
      </c>
      <c r="K8675" s="2">
        <v>1</v>
      </c>
      <c r="L8675" s="2">
        <v>520</v>
      </c>
    </row>
    <row r="8676" spans="1:12" x14ac:dyDescent="0.25">
      <c r="A8676" s="4" t="str">
        <f>HYPERLINK("http://www.rosaceae.org/Prunus/Prunus_persica/p.persica_gdr_reftransV1_0013520","p.persica_gdr_reftransV1_0013520")</f>
        <v>p.persica_gdr_reftransV1_0013520</v>
      </c>
      <c r="B8676" s="2">
        <v>3204</v>
      </c>
      <c r="C8676" s="4" t="str">
        <f>HYPERLINK("http://www.uniprot.org/uniprot/M5WR18","M5WR18")</f>
        <v>M5WR18</v>
      </c>
      <c r="D8676" s="2" t="s">
        <v>7592</v>
      </c>
      <c r="E8676" s="3">
        <v>0</v>
      </c>
      <c r="F8676" s="2">
        <v>3682</v>
      </c>
      <c r="G8676" s="2">
        <v>100</v>
      </c>
      <c r="H8676" s="2">
        <v>789</v>
      </c>
      <c r="I8676" s="2">
        <v>105</v>
      </c>
      <c r="J8676" s="2">
        <v>2471</v>
      </c>
      <c r="K8676" s="2">
        <v>1</v>
      </c>
      <c r="L8676" s="2">
        <v>789</v>
      </c>
    </row>
    <row r="8677" spans="1:12" x14ac:dyDescent="0.25">
      <c r="A8677" s="4" t="str">
        <f>HYPERLINK("http://www.rosaceae.org/Prunus/Prunus_persica/p.persica_gdr_reftransV1_0014220","p.persica_gdr_reftransV1_0014220")</f>
        <v>p.persica_gdr_reftransV1_0014220</v>
      </c>
      <c r="B8677" s="2">
        <v>875</v>
      </c>
      <c r="C8677" s="4" t="str">
        <f>HYPERLINK("http://www.uniprot.org/uniprot/M5X5Q3","M5X5Q3")</f>
        <v>M5X5Q3</v>
      </c>
      <c r="D8677" s="2" t="s">
        <v>7593</v>
      </c>
      <c r="E8677" s="3">
        <v>0</v>
      </c>
      <c r="F8677" s="2">
        <v>1563</v>
      </c>
      <c r="G8677" s="2">
        <v>100</v>
      </c>
      <c r="H8677" s="2">
        <v>291</v>
      </c>
      <c r="I8677" s="2">
        <v>2</v>
      </c>
      <c r="J8677" s="2">
        <v>874</v>
      </c>
      <c r="K8677" s="2">
        <v>147</v>
      </c>
      <c r="L8677" s="2">
        <v>437</v>
      </c>
    </row>
    <row r="8678" spans="1:12" x14ac:dyDescent="0.25">
      <c r="A8678" s="4" t="str">
        <f>HYPERLINK("http://www.rosaceae.org/Prunus/Prunus_persica/p.persica_gdr_reftransV1_0015270","p.persica_gdr_reftransV1_0015270")</f>
        <v>p.persica_gdr_reftransV1_0015270</v>
      </c>
      <c r="B8678" s="2">
        <v>7579</v>
      </c>
      <c r="C8678" s="4" t="str">
        <f>HYPERLINK("http://www.uniprot.org/uniprot/M5VXI1","M5VXI1")</f>
        <v>M5VXI1</v>
      </c>
      <c r="D8678" s="2" t="s">
        <v>5068</v>
      </c>
      <c r="E8678" s="3">
        <v>0</v>
      </c>
      <c r="F8678" s="2">
        <v>8943</v>
      </c>
      <c r="G8678" s="2">
        <v>98</v>
      </c>
      <c r="H8678" s="2">
        <v>1799</v>
      </c>
      <c r="I8678" s="2">
        <v>1271</v>
      </c>
      <c r="J8678" s="2">
        <v>6655</v>
      </c>
      <c r="K8678" s="2">
        <v>1</v>
      </c>
      <c r="L8678" s="2">
        <v>1778</v>
      </c>
    </row>
    <row r="8679" spans="1:12" x14ac:dyDescent="0.25">
      <c r="A8679" s="4" t="str">
        <f>HYPERLINK("http://www.rosaceae.org/Prunus/Prunus_persica/p.persica_gdr_reftransV1_0015620","p.persica_gdr_reftransV1_0015620")</f>
        <v>p.persica_gdr_reftransV1_0015620</v>
      </c>
      <c r="B8679" s="2">
        <v>1925</v>
      </c>
      <c r="C8679" s="4" t="str">
        <f>HYPERLINK("http://www.uniprot.org/uniprot/M5WEG7","M5WEG7")</f>
        <v>M5WEG7</v>
      </c>
      <c r="D8679" s="2" t="s">
        <v>7594</v>
      </c>
      <c r="E8679" s="3">
        <v>0</v>
      </c>
      <c r="F8679" s="2">
        <v>2742</v>
      </c>
      <c r="G8679" s="2">
        <v>97</v>
      </c>
      <c r="H8679" s="2">
        <v>584</v>
      </c>
      <c r="I8679" s="2">
        <v>173</v>
      </c>
      <c r="J8679" s="2">
        <v>1924</v>
      </c>
      <c r="K8679" s="2">
        <v>378</v>
      </c>
      <c r="L8679" s="2">
        <v>942</v>
      </c>
    </row>
    <row r="8680" spans="1:12" x14ac:dyDescent="0.25">
      <c r="A8680" s="4" t="str">
        <f>HYPERLINK("http://www.rosaceae.org/Prunus/Prunus_persica/p.persica_gdr_reftransV1_0017020","p.persica_gdr_reftransV1_0017020")</f>
        <v>p.persica_gdr_reftransV1_0017020</v>
      </c>
      <c r="B8680" s="2">
        <v>5575</v>
      </c>
      <c r="C8680" s="4" t="str">
        <f>HYPERLINK("http://www.uniprot.org/uniprot/Q8GT89","Q8GT89")</f>
        <v>Q8GT89</v>
      </c>
      <c r="D8680" s="2" t="s">
        <v>441</v>
      </c>
      <c r="E8680" s="3">
        <v>0</v>
      </c>
      <c r="F8680" s="2">
        <v>4969</v>
      </c>
      <c r="G8680" s="2">
        <v>100</v>
      </c>
      <c r="H8680" s="2">
        <v>954</v>
      </c>
      <c r="I8680" s="2">
        <v>288</v>
      </c>
      <c r="J8680" s="2">
        <v>3149</v>
      </c>
      <c r="K8680" s="2">
        <v>1</v>
      </c>
      <c r="L8680" s="2">
        <v>954</v>
      </c>
    </row>
    <row r="8681" spans="1:12" x14ac:dyDescent="0.25">
      <c r="A8681" s="4" t="str">
        <f>HYPERLINK("http://www.rosaceae.org/Prunus/Prunus_persica/p.persica_gdr_reftransV1_0017370","p.persica_gdr_reftransV1_0017370")</f>
        <v>p.persica_gdr_reftransV1_0017370</v>
      </c>
      <c r="B8681" s="2">
        <v>2741</v>
      </c>
      <c r="C8681" s="4" t="str">
        <f>HYPERLINK("http://www.uniprot.org/uniprot/M5XXR9","M5XXR9")</f>
        <v>M5XXR9</v>
      </c>
      <c r="D8681" s="2" t="s">
        <v>7595</v>
      </c>
      <c r="E8681" s="3">
        <v>0</v>
      </c>
      <c r="F8681" s="2">
        <v>2644</v>
      </c>
      <c r="G8681" s="2">
        <v>91</v>
      </c>
      <c r="H8681" s="2">
        <v>569</v>
      </c>
      <c r="I8681" s="2">
        <v>349</v>
      </c>
      <c r="J8681" s="2">
        <v>2055</v>
      </c>
      <c r="K8681" s="2">
        <v>1</v>
      </c>
      <c r="L8681" s="2">
        <v>520</v>
      </c>
    </row>
    <row r="8682" spans="1:12" x14ac:dyDescent="0.25">
      <c r="A8682" s="4" t="str">
        <f>HYPERLINK("http://www.rosaceae.org/Prunus/Prunus_persica/p.persica_gdr_reftransV1_0017720","p.persica_gdr_reftransV1_0017720")</f>
        <v>p.persica_gdr_reftransV1_0017720</v>
      </c>
      <c r="B8682" s="2">
        <v>536</v>
      </c>
      <c r="C8682" s="4" t="str">
        <f>HYPERLINK("http://www.uniprot.org/uniprot/M5W7F3","M5W7F3")</f>
        <v>M5W7F3</v>
      </c>
      <c r="D8682" s="2" t="s">
        <v>5149</v>
      </c>
      <c r="E8682" s="3">
        <v>4.8599999999999999E-33</v>
      </c>
      <c r="F8682" s="2">
        <v>336</v>
      </c>
      <c r="G8682" s="2">
        <v>100</v>
      </c>
      <c r="H8682" s="2">
        <v>89</v>
      </c>
      <c r="I8682" s="2">
        <v>7</v>
      </c>
      <c r="J8682" s="2">
        <v>273</v>
      </c>
      <c r="K8682" s="2">
        <v>597</v>
      </c>
      <c r="L8682" s="2">
        <v>685</v>
      </c>
    </row>
    <row r="8683" spans="1:12" x14ac:dyDescent="0.25">
      <c r="A8683" s="4" t="str">
        <f>HYPERLINK("http://www.rosaceae.org/Prunus/Prunus_persica/p.persica_gdr_reftransV1_0018070","p.persica_gdr_reftransV1_0018070")</f>
        <v>p.persica_gdr_reftransV1_0018070</v>
      </c>
      <c r="B8683" s="2">
        <v>538</v>
      </c>
      <c r="C8683" s="4" t="str">
        <f>HYPERLINK("http://www.uniprot.org/uniprot/M5XRS6","M5XRS6")</f>
        <v>M5XRS6</v>
      </c>
      <c r="D8683" s="2" t="s">
        <v>3420</v>
      </c>
      <c r="E8683" s="3">
        <v>5.1500000000000001E-65</v>
      </c>
      <c r="F8683" s="2">
        <v>542</v>
      </c>
      <c r="G8683" s="2">
        <v>100</v>
      </c>
      <c r="H8683" s="2">
        <v>116</v>
      </c>
      <c r="I8683" s="2">
        <v>94</v>
      </c>
      <c r="J8683" s="2">
        <v>441</v>
      </c>
      <c r="K8683" s="2">
        <v>1</v>
      </c>
      <c r="L8683" s="2">
        <v>116</v>
      </c>
    </row>
    <row r="8684" spans="1:12" x14ac:dyDescent="0.25">
      <c r="A8684" s="4" t="str">
        <f>HYPERLINK("http://www.rosaceae.org/Prunus/Prunus_persica/p.persica_gdr_reftransV1_0020170","p.persica_gdr_reftransV1_0020170")</f>
        <v>p.persica_gdr_reftransV1_0020170</v>
      </c>
      <c r="B8684" s="2">
        <v>3039</v>
      </c>
      <c r="C8684" s="4" t="str">
        <f>HYPERLINK("http://www.uniprot.org/uniprot/M5XLQ1","M5XLQ1")</f>
        <v>M5XLQ1</v>
      </c>
      <c r="D8684" s="2" t="s">
        <v>7596</v>
      </c>
      <c r="E8684" s="3">
        <v>0</v>
      </c>
      <c r="F8684" s="2">
        <v>4082</v>
      </c>
      <c r="G8684" s="2">
        <v>100</v>
      </c>
      <c r="H8684" s="2">
        <v>770</v>
      </c>
      <c r="I8684" s="2">
        <v>412</v>
      </c>
      <c r="J8684" s="2">
        <v>2721</v>
      </c>
      <c r="K8684" s="2">
        <v>1</v>
      </c>
      <c r="L8684" s="2">
        <v>770</v>
      </c>
    </row>
    <row r="8685" spans="1:12" x14ac:dyDescent="0.25">
      <c r="A8685" s="4" t="str">
        <f>HYPERLINK("http://www.rosaceae.org/Prunus/Prunus_persica/p.persica_gdr_reftransV1_0020520","p.persica_gdr_reftransV1_0020520")</f>
        <v>p.persica_gdr_reftransV1_0020520</v>
      </c>
      <c r="B8685" s="2">
        <v>2794</v>
      </c>
      <c r="C8685" s="4" t="str">
        <f>HYPERLINK("http://www.uniprot.org/uniprot/M5XNZ3","M5XNZ3")</f>
        <v>M5XNZ3</v>
      </c>
      <c r="D8685" s="2" t="s">
        <v>7597</v>
      </c>
      <c r="E8685" s="3">
        <v>0</v>
      </c>
      <c r="F8685" s="2">
        <v>2814</v>
      </c>
      <c r="G8685" s="2">
        <v>100</v>
      </c>
      <c r="H8685" s="2">
        <v>527</v>
      </c>
      <c r="I8685" s="2">
        <v>942</v>
      </c>
      <c r="J8685" s="2">
        <v>2522</v>
      </c>
      <c r="K8685" s="2">
        <v>83</v>
      </c>
      <c r="L8685" s="2">
        <v>609</v>
      </c>
    </row>
    <row r="8686" spans="1:12" x14ac:dyDescent="0.25">
      <c r="A8686" s="4" t="str">
        <f>HYPERLINK("http://www.rosaceae.org/Prunus/Prunus_persica/p.persica_gdr_reftransV1_0020870","p.persica_gdr_reftransV1_0020870")</f>
        <v>p.persica_gdr_reftransV1_0020870</v>
      </c>
      <c r="B8686" s="2">
        <v>1038</v>
      </c>
      <c r="C8686" s="4" t="str">
        <f>HYPERLINK("http://www.uniprot.org/uniprot/M5VNG1","M5VNG1")</f>
        <v>M5VNG1</v>
      </c>
      <c r="D8686" s="2" t="s">
        <v>7598</v>
      </c>
      <c r="E8686" s="3">
        <v>6.9799999999999999E-136</v>
      </c>
      <c r="F8686" s="2">
        <v>1018</v>
      </c>
      <c r="G8686" s="2">
        <v>99</v>
      </c>
      <c r="H8686" s="2">
        <v>192</v>
      </c>
      <c r="I8686" s="2">
        <v>273</v>
      </c>
      <c r="J8686" s="2">
        <v>848</v>
      </c>
      <c r="K8686" s="2">
        <v>1</v>
      </c>
      <c r="L8686" s="2">
        <v>192</v>
      </c>
    </row>
    <row r="8687" spans="1:12" x14ac:dyDescent="0.25">
      <c r="A8687" s="4" t="str">
        <f>HYPERLINK("http://www.rosaceae.org/Prunus/Prunus_persica/p.persica_gdr_reftransV1_0022270","p.persica_gdr_reftransV1_0022270")</f>
        <v>p.persica_gdr_reftransV1_0022270</v>
      </c>
      <c r="B8687" s="2">
        <v>1438</v>
      </c>
      <c r="C8687" s="4" t="str">
        <f>HYPERLINK("http://www.uniprot.org/uniprot/M5WRL3","M5WRL3")</f>
        <v>M5WRL3</v>
      </c>
      <c r="D8687" s="2" t="s">
        <v>7599</v>
      </c>
      <c r="E8687" s="3">
        <v>2.4199999999999998E-74</v>
      </c>
      <c r="F8687" s="2">
        <v>617</v>
      </c>
      <c r="G8687" s="2">
        <v>100</v>
      </c>
      <c r="H8687" s="2">
        <v>113</v>
      </c>
      <c r="I8687" s="2">
        <v>355</v>
      </c>
      <c r="J8687" s="2">
        <v>693</v>
      </c>
      <c r="K8687" s="2">
        <v>34</v>
      </c>
      <c r="L8687" s="2">
        <v>146</v>
      </c>
    </row>
    <row r="8688" spans="1:12" x14ac:dyDescent="0.25">
      <c r="A8688" s="4" t="str">
        <f>HYPERLINK("http://www.rosaceae.org/Prunus/Prunus_persica/p.persica_gdr_reftransV1_0022970","p.persica_gdr_reftransV1_0022970")</f>
        <v>p.persica_gdr_reftransV1_0022970</v>
      </c>
      <c r="B8688" s="2">
        <v>1123</v>
      </c>
      <c r="C8688" s="4" t="str">
        <f>HYPERLINK("http://www.uniprot.org/uniprot/M5VYG5","M5VYG5")</f>
        <v>M5VYG5</v>
      </c>
      <c r="D8688" s="2" t="s">
        <v>7600</v>
      </c>
      <c r="E8688" s="3">
        <v>9.2800000000000003E-173</v>
      </c>
      <c r="F8688" s="2">
        <v>1285</v>
      </c>
      <c r="G8688" s="2">
        <v>100</v>
      </c>
      <c r="H8688" s="2">
        <v>319</v>
      </c>
      <c r="I8688" s="2">
        <v>3</v>
      </c>
      <c r="J8688" s="2">
        <v>959</v>
      </c>
      <c r="K8688" s="2">
        <v>40</v>
      </c>
      <c r="L8688" s="2">
        <v>358</v>
      </c>
    </row>
    <row r="8689" spans="1:12" x14ac:dyDescent="0.25">
      <c r="A8689" s="4" t="str">
        <f>HYPERLINK("http://www.rosaceae.org/Prunus/Prunus_persica/p.persica_gdr_reftransV1_0023320","p.persica_gdr_reftransV1_0023320")</f>
        <v>p.persica_gdr_reftransV1_0023320</v>
      </c>
      <c r="B8689" s="2">
        <v>2873</v>
      </c>
      <c r="C8689" s="4" t="str">
        <f>HYPERLINK("http://www.uniprot.org/uniprot/M5WRZ1","M5WRZ1")</f>
        <v>M5WRZ1</v>
      </c>
      <c r="D8689" s="2" t="s">
        <v>7601</v>
      </c>
      <c r="E8689" s="3">
        <v>0</v>
      </c>
      <c r="F8689" s="2">
        <v>3337</v>
      </c>
      <c r="G8689" s="2">
        <v>100</v>
      </c>
      <c r="H8689" s="2">
        <v>622</v>
      </c>
      <c r="I8689" s="2">
        <v>62</v>
      </c>
      <c r="J8689" s="2">
        <v>1927</v>
      </c>
      <c r="K8689" s="2">
        <v>1</v>
      </c>
      <c r="L8689" s="2">
        <v>622</v>
      </c>
    </row>
    <row r="8690" spans="1:12" x14ac:dyDescent="0.25">
      <c r="A8690" s="4" t="str">
        <f>HYPERLINK("http://www.rosaceae.org/Prunus/Prunus_persica/p.persica_gdr_reftransV1_0024370","p.persica_gdr_reftransV1_0024370")</f>
        <v>p.persica_gdr_reftransV1_0024370</v>
      </c>
      <c r="B8690" s="2">
        <v>2773</v>
      </c>
      <c r="C8690" s="4" t="str">
        <f>HYPERLINK("http://www.uniprot.org/uniprot/M5VYH9","M5VYH9")</f>
        <v>M5VYH9</v>
      </c>
      <c r="D8690" s="2" t="s">
        <v>7602</v>
      </c>
      <c r="E8690" s="3">
        <v>0</v>
      </c>
      <c r="F8690" s="2">
        <v>2481</v>
      </c>
      <c r="G8690" s="2">
        <v>100</v>
      </c>
      <c r="H8690" s="2">
        <v>481</v>
      </c>
      <c r="I8690" s="2">
        <v>1120</v>
      </c>
      <c r="J8690" s="2">
        <v>2562</v>
      </c>
      <c r="K8690" s="2">
        <v>1</v>
      </c>
      <c r="L8690" s="2">
        <v>481</v>
      </c>
    </row>
    <row r="8691" spans="1:12" x14ac:dyDescent="0.25">
      <c r="A8691" s="4" t="str">
        <f>HYPERLINK("http://www.rosaceae.org/Prunus/Prunus_persica/p.persica_gdr_reftransV1_0025770","p.persica_gdr_reftransV1_0025770")</f>
        <v>p.persica_gdr_reftransV1_0025770</v>
      </c>
      <c r="B8691" s="2">
        <v>757</v>
      </c>
      <c r="C8691" s="4" t="str">
        <f>HYPERLINK("http://www.uniprot.org/uniprot/M5X0W4","M5X0W4")</f>
        <v>M5X0W4</v>
      </c>
      <c r="D8691" s="2" t="s">
        <v>7603</v>
      </c>
      <c r="E8691" s="3">
        <v>4.6900000000000001E-114</v>
      </c>
      <c r="F8691" s="2">
        <v>861</v>
      </c>
      <c r="G8691" s="2">
        <v>100</v>
      </c>
      <c r="H8691" s="2">
        <v>164</v>
      </c>
      <c r="I8691" s="2">
        <v>107</v>
      </c>
      <c r="J8691" s="2">
        <v>598</v>
      </c>
      <c r="K8691" s="2">
        <v>1</v>
      </c>
      <c r="L8691" s="2">
        <v>164</v>
      </c>
    </row>
    <row r="8692" spans="1:12" x14ac:dyDescent="0.25">
      <c r="A8692" s="4" t="str">
        <f>HYPERLINK("http://www.rosaceae.org/Prunus/Prunus_persica/p.persica_gdr_reftransV1_0027170","p.persica_gdr_reftransV1_0027170")</f>
        <v>p.persica_gdr_reftransV1_0027170</v>
      </c>
      <c r="B8692" s="2">
        <v>4857</v>
      </c>
      <c r="C8692" s="4" t="str">
        <f>HYPERLINK("http://www.uniprot.org/uniprot/M5X746","M5X746")</f>
        <v>M5X746</v>
      </c>
      <c r="D8692" s="2" t="s">
        <v>7604</v>
      </c>
      <c r="E8692" s="3">
        <v>0</v>
      </c>
      <c r="F8692" s="2">
        <v>2425</v>
      </c>
      <c r="G8692" s="2">
        <v>99</v>
      </c>
      <c r="H8692" s="2">
        <v>463</v>
      </c>
      <c r="I8692" s="2">
        <v>2691</v>
      </c>
      <c r="J8692" s="2">
        <v>4079</v>
      </c>
      <c r="K8692" s="2">
        <v>100</v>
      </c>
      <c r="L8692" s="2">
        <v>562</v>
      </c>
    </row>
    <row r="8693" spans="1:12" x14ac:dyDescent="0.25">
      <c r="A8693" s="4" t="str">
        <f>HYPERLINK("http://www.rosaceae.org/Prunus/Prunus_persica/p.persica_gdr_reftransV1_0027520","p.persica_gdr_reftransV1_0027520")</f>
        <v>p.persica_gdr_reftransV1_0027520</v>
      </c>
      <c r="B8693" s="2">
        <v>3196</v>
      </c>
      <c r="C8693" s="4" t="str">
        <f>HYPERLINK("http://www.uniprot.org/uniprot/M5VTG6","M5VTG6")</f>
        <v>M5VTG6</v>
      </c>
      <c r="D8693" s="2" t="s">
        <v>7605</v>
      </c>
      <c r="E8693" s="3">
        <v>0</v>
      </c>
      <c r="F8693" s="2">
        <v>3886</v>
      </c>
      <c r="G8693" s="2">
        <v>100</v>
      </c>
      <c r="H8693" s="2">
        <v>719</v>
      </c>
      <c r="I8693" s="2">
        <v>942</v>
      </c>
      <c r="J8693" s="2">
        <v>3098</v>
      </c>
      <c r="K8693" s="2">
        <v>1</v>
      </c>
      <c r="L8693" s="2">
        <v>719</v>
      </c>
    </row>
    <row r="8694" spans="1:12" x14ac:dyDescent="0.25">
      <c r="A8694" s="4" t="str">
        <f>HYPERLINK("http://www.rosaceae.org/Prunus/Prunus_persica/p.persica_gdr_reftransV1_0027870","p.persica_gdr_reftransV1_0027870")</f>
        <v>p.persica_gdr_reftransV1_0027870</v>
      </c>
      <c r="B8694" s="2">
        <v>1955</v>
      </c>
      <c r="C8694" s="4" t="str">
        <f>HYPERLINK("http://www.uniprot.org/uniprot/M5WA20","M5WA20")</f>
        <v>M5WA20</v>
      </c>
      <c r="D8694" s="2" t="s">
        <v>7606</v>
      </c>
      <c r="E8694" s="3">
        <v>4.0600000000000002E-79</v>
      </c>
      <c r="F8694" s="2">
        <v>670</v>
      </c>
      <c r="G8694" s="2">
        <v>79</v>
      </c>
      <c r="H8694" s="2">
        <v>171</v>
      </c>
      <c r="I8694" s="2">
        <v>685</v>
      </c>
      <c r="J8694" s="2">
        <v>1131</v>
      </c>
      <c r="K8694" s="2">
        <v>28</v>
      </c>
      <c r="L8694" s="2">
        <v>198</v>
      </c>
    </row>
    <row r="8695" spans="1:12" x14ac:dyDescent="0.25">
      <c r="A8695" s="4" t="str">
        <f>HYPERLINK("http://www.rosaceae.org/Prunus/Prunus_persica/p.persica_gdr_reftransV1_0029970","p.persica_gdr_reftransV1_0029970")</f>
        <v>p.persica_gdr_reftransV1_0029970</v>
      </c>
      <c r="B8695" s="2">
        <v>3279</v>
      </c>
      <c r="C8695" s="4" t="str">
        <f>HYPERLINK("http://www.uniprot.org/uniprot/M5XKQ3","M5XKQ3")</f>
        <v>M5XKQ3</v>
      </c>
      <c r="D8695" s="2" t="s">
        <v>7607</v>
      </c>
      <c r="E8695" s="3">
        <v>0</v>
      </c>
      <c r="F8695" s="2">
        <v>4028</v>
      </c>
      <c r="G8695" s="2">
        <v>98</v>
      </c>
      <c r="H8695" s="2">
        <v>834</v>
      </c>
      <c r="I8695" s="2">
        <v>777</v>
      </c>
      <c r="J8695" s="2">
        <v>3278</v>
      </c>
      <c r="K8695" s="2">
        <v>567</v>
      </c>
      <c r="L8695" s="2">
        <v>1384</v>
      </c>
    </row>
    <row r="8696" spans="1:12" x14ac:dyDescent="0.25">
      <c r="A8696" s="4" t="str">
        <f>HYPERLINK("http://www.rosaceae.org/Prunus/Prunus_persica/p.persica_gdr_reftransV1_0031020","p.persica_gdr_reftransV1_0031020")</f>
        <v>p.persica_gdr_reftransV1_0031020</v>
      </c>
      <c r="B8696" s="2">
        <v>3590</v>
      </c>
      <c r="C8696" s="4" t="str">
        <f>HYPERLINK("http://www.uniprot.org/uniprot/A0A0D2W400","A0A0D2W400")</f>
        <v>A0A0D2W400</v>
      </c>
      <c r="D8696" s="2" t="s">
        <v>7608</v>
      </c>
      <c r="E8696" s="3">
        <v>1.3200000000000001E-149</v>
      </c>
      <c r="F8696" s="2">
        <v>1229</v>
      </c>
      <c r="G8696" s="2">
        <v>75</v>
      </c>
      <c r="H8696" s="2">
        <v>393</v>
      </c>
      <c r="I8696" s="2">
        <v>1929</v>
      </c>
      <c r="J8696" s="2">
        <v>3053</v>
      </c>
      <c r="K8696" s="2">
        <v>291</v>
      </c>
      <c r="L8696" s="2">
        <v>682</v>
      </c>
    </row>
    <row r="8697" spans="1:12" x14ac:dyDescent="0.25">
      <c r="A8697" s="4" t="str">
        <f>HYPERLINK("http://www.rosaceae.org/Prunus/Prunus_persica/p.persica_gdr_reftransV1_0032770","p.persica_gdr_reftransV1_0032770")</f>
        <v>p.persica_gdr_reftransV1_0032770</v>
      </c>
      <c r="B8697" s="2">
        <v>3420</v>
      </c>
      <c r="C8697" s="4" t="str">
        <f>HYPERLINK("http://www.uniprot.org/uniprot/M5Y1T1","M5Y1T1")</f>
        <v>M5Y1T1</v>
      </c>
      <c r="D8697" s="2" t="s">
        <v>2586</v>
      </c>
      <c r="E8697" s="3">
        <v>0</v>
      </c>
      <c r="F8697" s="2">
        <v>4015</v>
      </c>
      <c r="G8697" s="2">
        <v>86</v>
      </c>
      <c r="H8697" s="2">
        <v>990</v>
      </c>
      <c r="I8697" s="2">
        <v>122</v>
      </c>
      <c r="J8697" s="2">
        <v>3085</v>
      </c>
      <c r="K8697" s="2">
        <v>1</v>
      </c>
      <c r="L8697" s="2">
        <v>934</v>
      </c>
    </row>
    <row r="8698" spans="1:12" x14ac:dyDescent="0.25">
      <c r="A8698" s="4" t="str">
        <f>HYPERLINK("http://www.rosaceae.org/Prunus/Prunus_persica/p.persica_gdr_reftransV1_0033120","p.persica_gdr_reftransV1_0033120")</f>
        <v>p.persica_gdr_reftransV1_0033120</v>
      </c>
      <c r="B8698" s="2">
        <v>1642</v>
      </c>
      <c r="C8698" s="4" t="str">
        <f>HYPERLINK("http://www.uniprot.org/uniprot/M5X0A6","M5X0A6")</f>
        <v>M5X0A6</v>
      </c>
      <c r="D8698" s="2" t="s">
        <v>7609</v>
      </c>
      <c r="E8698" s="3">
        <v>9.0999999999999999E-112</v>
      </c>
      <c r="F8698" s="2">
        <v>882</v>
      </c>
      <c r="G8698" s="2">
        <v>92</v>
      </c>
      <c r="H8698" s="2">
        <v>183</v>
      </c>
      <c r="I8698" s="2">
        <v>935</v>
      </c>
      <c r="J8698" s="2">
        <v>1483</v>
      </c>
      <c r="K8698" s="2">
        <v>19</v>
      </c>
      <c r="L8698" s="2">
        <v>201</v>
      </c>
    </row>
    <row r="8699" spans="1:12" x14ac:dyDescent="0.25">
      <c r="A8699" s="4" t="str">
        <f>HYPERLINK("http://www.rosaceae.org/Prunus/Prunus_persica/p.persica_gdr_reftransV1_0033820","p.persica_gdr_reftransV1_0033820")</f>
        <v>p.persica_gdr_reftransV1_0033820</v>
      </c>
      <c r="B8699" s="2">
        <v>7361</v>
      </c>
      <c r="C8699" s="4" t="str">
        <f>HYPERLINK("http://www.uniprot.org/uniprot/M5VVP1","M5VVP1")</f>
        <v>M5VVP1</v>
      </c>
      <c r="D8699" s="2" t="s">
        <v>7610</v>
      </c>
      <c r="E8699" s="3">
        <v>0</v>
      </c>
      <c r="F8699" s="2">
        <v>6433</v>
      </c>
      <c r="G8699" s="2">
        <v>98</v>
      </c>
      <c r="H8699" s="2">
        <v>1278</v>
      </c>
      <c r="I8699" s="2">
        <v>3358</v>
      </c>
      <c r="J8699" s="2">
        <v>7191</v>
      </c>
      <c r="K8699" s="2">
        <v>1</v>
      </c>
      <c r="L8699" s="2">
        <v>1250</v>
      </c>
    </row>
    <row r="8700" spans="1:12" x14ac:dyDescent="0.25">
      <c r="A8700" s="4" t="str">
        <f>HYPERLINK("http://www.rosaceae.org/Prunus/Prunus_persica/p.persica_gdr_reftransV1_0035220","p.persica_gdr_reftransV1_0035220")</f>
        <v>p.persica_gdr_reftransV1_0035220</v>
      </c>
      <c r="B8700" s="2">
        <v>2504</v>
      </c>
      <c r="C8700" s="4" t="str">
        <f>HYPERLINK("http://www.uniprot.org/uniprot/M5XM75","M5XM75")</f>
        <v>M5XM75</v>
      </c>
      <c r="D8700" s="2" t="s">
        <v>469</v>
      </c>
      <c r="E8700" s="3">
        <v>0</v>
      </c>
      <c r="F8700" s="2">
        <v>4017</v>
      </c>
      <c r="G8700" s="2">
        <v>100</v>
      </c>
      <c r="H8700" s="2">
        <v>751</v>
      </c>
      <c r="I8700" s="2">
        <v>1</v>
      </c>
      <c r="J8700" s="2">
        <v>2253</v>
      </c>
      <c r="K8700" s="2">
        <v>316</v>
      </c>
      <c r="L8700" s="2">
        <v>1066</v>
      </c>
    </row>
    <row r="8701" spans="1:12" x14ac:dyDescent="0.25">
      <c r="A8701" s="4" t="str">
        <f>HYPERLINK("http://www.rosaceae.org/Prunus/Prunus_persica/p.persica_gdr_reftransV1_0035570","p.persica_gdr_reftransV1_0035570")</f>
        <v>p.persica_gdr_reftransV1_0035570</v>
      </c>
      <c r="B8701" s="2">
        <v>2441</v>
      </c>
      <c r="C8701" s="4" t="str">
        <f>HYPERLINK("http://www.uniprot.org/uniprot/M5W9J4","M5W9J4")</f>
        <v>M5W9J4</v>
      </c>
      <c r="D8701" s="2" t="s">
        <v>3232</v>
      </c>
      <c r="E8701" s="3">
        <v>1.94E-51</v>
      </c>
      <c r="F8701" s="2">
        <v>481</v>
      </c>
      <c r="G8701" s="2">
        <v>96</v>
      </c>
      <c r="H8701" s="2">
        <v>117</v>
      </c>
      <c r="I8701" s="2">
        <v>702</v>
      </c>
      <c r="J8701" s="2">
        <v>1043</v>
      </c>
      <c r="K8701" s="2">
        <v>1</v>
      </c>
      <c r="L8701" s="2">
        <v>117</v>
      </c>
    </row>
    <row r="8702" spans="1:12" x14ac:dyDescent="0.25">
      <c r="A8702" s="4" t="str">
        <f>HYPERLINK("http://www.rosaceae.org/Prunus/Prunus_persica/p.persica_gdr_reftransV1_0036270","p.persica_gdr_reftransV1_0036270")</f>
        <v>p.persica_gdr_reftransV1_0036270</v>
      </c>
      <c r="B8702" s="2">
        <v>2026</v>
      </c>
      <c r="C8702" s="4" t="str">
        <f>HYPERLINK("http://www.uniprot.org/uniprot/M5XZ05","M5XZ05")</f>
        <v>M5XZ05</v>
      </c>
      <c r="D8702" s="2" t="s">
        <v>7611</v>
      </c>
      <c r="E8702" s="3">
        <v>9.7699999999999992E-121</v>
      </c>
      <c r="F8702" s="2">
        <v>974</v>
      </c>
      <c r="G8702" s="2">
        <v>100</v>
      </c>
      <c r="H8702" s="2">
        <v>188</v>
      </c>
      <c r="I8702" s="2">
        <v>191</v>
      </c>
      <c r="J8702" s="2">
        <v>754</v>
      </c>
      <c r="K8702" s="2">
        <v>266</v>
      </c>
      <c r="L8702" s="2">
        <v>453</v>
      </c>
    </row>
    <row r="8703" spans="1:12" x14ac:dyDescent="0.25">
      <c r="A8703" s="4" t="str">
        <f>HYPERLINK("http://www.rosaceae.org/Prunus/Prunus_persica/p.persica_gdr_reftransV1_0037320","p.persica_gdr_reftransV1_0037320")</f>
        <v>p.persica_gdr_reftransV1_0037320</v>
      </c>
      <c r="B8703" s="2">
        <v>1728</v>
      </c>
      <c r="C8703" s="4" t="str">
        <f>HYPERLINK("http://www.uniprot.org/uniprot/M5VQJ8","M5VQJ8")</f>
        <v>M5VQJ8</v>
      </c>
      <c r="D8703" s="2" t="s">
        <v>7612</v>
      </c>
      <c r="E8703" s="3">
        <v>0</v>
      </c>
      <c r="F8703" s="2">
        <v>1488</v>
      </c>
      <c r="G8703" s="2">
        <v>100</v>
      </c>
      <c r="H8703" s="2">
        <v>299</v>
      </c>
      <c r="I8703" s="2">
        <v>221</v>
      </c>
      <c r="J8703" s="2">
        <v>1117</v>
      </c>
      <c r="K8703" s="2">
        <v>1</v>
      </c>
      <c r="L8703" s="2">
        <v>299</v>
      </c>
    </row>
    <row r="8704" spans="1:12" x14ac:dyDescent="0.25">
      <c r="A8704" s="4" t="str">
        <f>HYPERLINK("http://www.rosaceae.org/Prunus/Prunus_persica/p.persica_gdr_reftransV1_0038720","p.persica_gdr_reftransV1_0038720")</f>
        <v>p.persica_gdr_reftransV1_0038720</v>
      </c>
      <c r="B8704" s="2">
        <v>1585</v>
      </c>
      <c r="C8704" s="4" t="str">
        <f>HYPERLINK("http://www.uniprot.org/uniprot/M5YA03","M5YA03")</f>
        <v>M5YA03</v>
      </c>
      <c r="D8704" s="2" t="s">
        <v>7613</v>
      </c>
      <c r="E8704" s="3">
        <v>7.2699999999999996E-140</v>
      </c>
      <c r="F8704" s="2">
        <v>1073</v>
      </c>
      <c r="G8704" s="2">
        <v>100</v>
      </c>
      <c r="H8704" s="2">
        <v>209</v>
      </c>
      <c r="I8704" s="2">
        <v>99</v>
      </c>
      <c r="J8704" s="2">
        <v>725</v>
      </c>
      <c r="K8704" s="2">
        <v>1</v>
      </c>
      <c r="L8704" s="2">
        <v>209</v>
      </c>
    </row>
    <row r="8705" spans="1:12" x14ac:dyDescent="0.25">
      <c r="A8705" s="4" t="str">
        <f>HYPERLINK("http://www.rosaceae.org/Prunus/Prunus_persica/p.persica_gdr_reftransV1_0039070","p.persica_gdr_reftransV1_0039070")</f>
        <v>p.persica_gdr_reftransV1_0039070</v>
      </c>
      <c r="B8705" s="2">
        <v>1509</v>
      </c>
      <c r="C8705" s="4" t="str">
        <f>HYPERLINK("http://www.uniprot.org/uniprot/M5X1D8","M5X1D8")</f>
        <v>M5X1D8</v>
      </c>
      <c r="D8705" s="2" t="s">
        <v>7614</v>
      </c>
      <c r="E8705" s="3">
        <v>0</v>
      </c>
      <c r="F8705" s="2">
        <v>1861</v>
      </c>
      <c r="G8705" s="2">
        <v>100</v>
      </c>
      <c r="H8705" s="2">
        <v>378</v>
      </c>
      <c r="I8705" s="2">
        <v>301</v>
      </c>
      <c r="J8705" s="2">
        <v>1434</v>
      </c>
      <c r="K8705" s="2">
        <v>25</v>
      </c>
      <c r="L8705" s="2">
        <v>402</v>
      </c>
    </row>
    <row r="8706" spans="1:12" x14ac:dyDescent="0.25">
      <c r="A8706" s="4" t="str">
        <f>HYPERLINK("http://www.rosaceae.org/Prunus/Prunus_persica/p.persica_gdr_reftransV1_0039770","p.persica_gdr_reftransV1_0039770")</f>
        <v>p.persica_gdr_reftransV1_0039770</v>
      </c>
      <c r="B8706" s="2">
        <v>1046</v>
      </c>
      <c r="C8706" s="4" t="str">
        <f>HYPERLINK("http://www.uniprot.org/uniprot/M5XD35","M5XD35")</f>
        <v>M5XD35</v>
      </c>
      <c r="D8706" s="2" t="s">
        <v>3353</v>
      </c>
      <c r="E8706" s="3">
        <v>5.3099999999999997E-169</v>
      </c>
      <c r="F8706" s="2">
        <v>1246</v>
      </c>
      <c r="G8706" s="2">
        <v>100</v>
      </c>
      <c r="H8706" s="2">
        <v>232</v>
      </c>
      <c r="I8706" s="2">
        <v>349</v>
      </c>
      <c r="J8706" s="2">
        <v>1044</v>
      </c>
      <c r="K8706" s="2">
        <v>1</v>
      </c>
      <c r="L8706" s="2">
        <v>232</v>
      </c>
    </row>
    <row r="8707" spans="1:12" x14ac:dyDescent="0.25">
      <c r="A8707" s="4" t="str">
        <f>HYPERLINK("http://www.rosaceae.org/Prunus/Prunus_persica/p.persica_gdr_reftransV1_0040470","p.persica_gdr_reftransV1_0040470")</f>
        <v>p.persica_gdr_reftransV1_0040470</v>
      </c>
      <c r="B8707" s="2">
        <v>2517</v>
      </c>
      <c r="C8707" s="4" t="str">
        <f>HYPERLINK("http://www.uniprot.org/uniprot/M5W9W9","M5W9W9")</f>
        <v>M5W9W9</v>
      </c>
      <c r="D8707" s="2" t="s">
        <v>7615</v>
      </c>
      <c r="E8707" s="3">
        <v>0</v>
      </c>
      <c r="F8707" s="2">
        <v>1386</v>
      </c>
      <c r="G8707" s="2">
        <v>96</v>
      </c>
      <c r="H8707" s="2">
        <v>277</v>
      </c>
      <c r="I8707" s="2">
        <v>446</v>
      </c>
      <c r="J8707" s="2">
        <v>1276</v>
      </c>
      <c r="K8707" s="2">
        <v>75</v>
      </c>
      <c r="L8707" s="2">
        <v>351</v>
      </c>
    </row>
    <row r="8708" spans="1:12" x14ac:dyDescent="0.25">
      <c r="A8708" s="4" t="str">
        <f>HYPERLINK("http://www.rosaceae.org/Prunus/Prunus_persica/p.persica_gdr_reftransV1_0041520","p.persica_gdr_reftransV1_0041520")</f>
        <v>p.persica_gdr_reftransV1_0041520</v>
      </c>
      <c r="B8708" s="2">
        <v>3339</v>
      </c>
      <c r="C8708" s="4" t="str">
        <f>HYPERLINK("http://www.uniprot.org/uniprot/M5VPL0","M5VPL0")</f>
        <v>M5VPL0</v>
      </c>
      <c r="D8708" s="2" t="s">
        <v>1581</v>
      </c>
      <c r="E8708" s="3">
        <v>0</v>
      </c>
      <c r="F8708" s="2">
        <v>2250</v>
      </c>
      <c r="G8708" s="2">
        <v>92</v>
      </c>
      <c r="H8708" s="2">
        <v>470</v>
      </c>
      <c r="I8708" s="2">
        <v>1514</v>
      </c>
      <c r="J8708" s="2">
        <v>2923</v>
      </c>
      <c r="K8708" s="2">
        <v>1</v>
      </c>
      <c r="L8708" s="2">
        <v>431</v>
      </c>
    </row>
    <row r="8709" spans="1:12" x14ac:dyDescent="0.25">
      <c r="A8709" s="4" t="str">
        <f>HYPERLINK("http://www.rosaceae.org/Prunus/Prunus_persica/p.persica_gdr_reftransV1_0043270","p.persica_gdr_reftransV1_0043270")</f>
        <v>p.persica_gdr_reftransV1_0043270</v>
      </c>
      <c r="B8709" s="2">
        <v>990</v>
      </c>
      <c r="C8709" s="4" t="str">
        <f>HYPERLINK("http://www.uniprot.org/uniprot/M5XEM1","M5XEM1")</f>
        <v>M5XEM1</v>
      </c>
      <c r="D8709" s="2" t="s">
        <v>7616</v>
      </c>
      <c r="E8709" s="3">
        <v>6.9E-113</v>
      </c>
      <c r="F8709" s="2">
        <v>866</v>
      </c>
      <c r="G8709" s="2">
        <v>100</v>
      </c>
      <c r="H8709" s="2">
        <v>207</v>
      </c>
      <c r="I8709" s="2">
        <v>259</v>
      </c>
      <c r="J8709" s="2">
        <v>879</v>
      </c>
      <c r="K8709" s="2">
        <v>1</v>
      </c>
      <c r="L8709" s="2">
        <v>207</v>
      </c>
    </row>
    <row r="8710" spans="1:12" x14ac:dyDescent="0.25">
      <c r="A8710" s="4" t="str">
        <f>HYPERLINK("http://www.rosaceae.org/Prunus/Prunus_persica/p.persica_gdr_reftransV1_0043620","p.persica_gdr_reftransV1_0043620")</f>
        <v>p.persica_gdr_reftransV1_0043620</v>
      </c>
      <c r="B8710" s="2">
        <v>782</v>
      </c>
      <c r="C8710" s="4" t="str">
        <f>HYPERLINK("http://www.uniprot.org/uniprot/M5VN54","M5VN54")</f>
        <v>M5VN54</v>
      </c>
      <c r="D8710" s="2" t="s">
        <v>7617</v>
      </c>
      <c r="E8710" s="3">
        <v>9.9300000000000001E-51</v>
      </c>
      <c r="F8710" s="2">
        <v>437</v>
      </c>
      <c r="G8710" s="2">
        <v>96</v>
      </c>
      <c r="H8710" s="2">
        <v>100</v>
      </c>
      <c r="I8710" s="2">
        <v>375</v>
      </c>
      <c r="J8710" s="2">
        <v>674</v>
      </c>
      <c r="K8710" s="2">
        <v>1</v>
      </c>
      <c r="L8710" s="2">
        <v>100</v>
      </c>
    </row>
    <row r="8711" spans="1:12" x14ac:dyDescent="0.25">
      <c r="A8711" s="4" t="str">
        <f>HYPERLINK("http://www.rosaceae.org/Prunus/Prunus_persica/p.persica_gdr_reftransV1_0044320","p.persica_gdr_reftransV1_0044320")</f>
        <v>p.persica_gdr_reftransV1_0044320</v>
      </c>
      <c r="B8711" s="2">
        <v>1757</v>
      </c>
      <c r="C8711" s="4" t="str">
        <f>HYPERLINK("http://www.uniprot.org/uniprot/B9S1U1","B9S1U1")</f>
        <v>B9S1U1</v>
      </c>
      <c r="D8711" s="2" t="s">
        <v>7618</v>
      </c>
      <c r="E8711" s="3">
        <v>0</v>
      </c>
      <c r="F8711" s="2">
        <v>1948</v>
      </c>
      <c r="G8711" s="2">
        <v>83</v>
      </c>
      <c r="H8711" s="2">
        <v>487</v>
      </c>
      <c r="I8711" s="2">
        <v>15</v>
      </c>
      <c r="J8711" s="2">
        <v>1448</v>
      </c>
      <c r="K8711" s="2">
        <v>191</v>
      </c>
      <c r="L8711" s="2">
        <v>672</v>
      </c>
    </row>
    <row r="8712" spans="1:12" x14ac:dyDescent="0.25">
      <c r="A8712" s="4" t="str">
        <f>HYPERLINK("http://www.rosaceae.org/Prunus/Prunus_persica/p.persica_gdr_reftransV1_0044670","p.persica_gdr_reftransV1_0044670")</f>
        <v>p.persica_gdr_reftransV1_0044670</v>
      </c>
      <c r="B8712" s="2">
        <v>2037</v>
      </c>
      <c r="C8712" s="4" t="str">
        <f>HYPERLINK("http://www.uniprot.org/uniprot/M5XQC5","M5XQC5")</f>
        <v>M5XQC5</v>
      </c>
      <c r="D8712" s="2" t="s">
        <v>1320</v>
      </c>
      <c r="E8712" s="3">
        <v>0</v>
      </c>
      <c r="F8712" s="2">
        <v>1417</v>
      </c>
      <c r="G8712" s="2">
        <v>90</v>
      </c>
      <c r="H8712" s="2">
        <v>355</v>
      </c>
      <c r="I8712" s="2">
        <v>736</v>
      </c>
      <c r="J8712" s="2">
        <v>1800</v>
      </c>
      <c r="K8712" s="2">
        <v>19</v>
      </c>
      <c r="L8712" s="2">
        <v>336</v>
      </c>
    </row>
    <row r="8713" spans="1:12" x14ac:dyDescent="0.25">
      <c r="A8713" s="4" t="str">
        <f>HYPERLINK("http://www.rosaceae.org/Prunus/Prunus_persica/p.persica_gdr_reftransV1_0045720","p.persica_gdr_reftransV1_0045720")</f>
        <v>p.persica_gdr_reftransV1_0045720</v>
      </c>
      <c r="B8713" s="2">
        <v>1902</v>
      </c>
      <c r="C8713" s="4" t="str">
        <f>HYPERLINK("http://www.uniprot.org/uniprot/M5VPY6","M5VPY6")</f>
        <v>M5VPY6</v>
      </c>
      <c r="D8713" s="2" t="s">
        <v>7619</v>
      </c>
      <c r="E8713" s="3">
        <v>0</v>
      </c>
      <c r="F8713" s="2">
        <v>1340</v>
      </c>
      <c r="G8713" s="2">
        <v>100</v>
      </c>
      <c r="H8713" s="2">
        <v>251</v>
      </c>
      <c r="I8713" s="2">
        <v>811</v>
      </c>
      <c r="J8713" s="2">
        <v>1563</v>
      </c>
      <c r="K8713" s="2">
        <v>1</v>
      </c>
      <c r="L8713" s="2">
        <v>251</v>
      </c>
    </row>
    <row r="8714" spans="1:12" x14ac:dyDescent="0.25">
      <c r="A8714" s="4" t="str">
        <f>HYPERLINK("http://www.rosaceae.org/Prunus/Prunus_persica/p.persica_gdr_reftransV1_0046070","p.persica_gdr_reftransV1_0046070")</f>
        <v>p.persica_gdr_reftransV1_0046070</v>
      </c>
      <c r="B8714" s="2">
        <v>689</v>
      </c>
      <c r="C8714" s="4" t="str">
        <f>HYPERLINK("http://www.uniprot.org/uniprot/M5X025","M5X025")</f>
        <v>M5X025</v>
      </c>
      <c r="D8714" s="2" t="s">
        <v>7620</v>
      </c>
      <c r="E8714" s="3">
        <v>5.27E-118</v>
      </c>
      <c r="F8714" s="2">
        <v>963</v>
      </c>
      <c r="G8714" s="2">
        <v>100</v>
      </c>
      <c r="H8714" s="2">
        <v>180</v>
      </c>
      <c r="I8714" s="2">
        <v>1</v>
      </c>
      <c r="J8714" s="2">
        <v>540</v>
      </c>
      <c r="K8714" s="2">
        <v>1</v>
      </c>
      <c r="L8714" s="2">
        <v>180</v>
      </c>
    </row>
    <row r="8715" spans="1:12" x14ac:dyDescent="0.25">
      <c r="A8715" s="4" t="str">
        <f>HYPERLINK("http://www.rosaceae.org/Prunus/Prunus_persica/p.persica_gdr_reftransV1_0046420","p.persica_gdr_reftransV1_0046420")</f>
        <v>p.persica_gdr_reftransV1_0046420</v>
      </c>
      <c r="B8715" s="2">
        <v>1297</v>
      </c>
      <c r="C8715" s="4" t="str">
        <f>HYPERLINK("http://www.uniprot.org/uniprot/M5VGV7","M5VGV7")</f>
        <v>M5VGV7</v>
      </c>
      <c r="D8715" s="2" t="s">
        <v>7621</v>
      </c>
      <c r="E8715" s="3">
        <v>1.3299999999999999E-163</v>
      </c>
      <c r="F8715" s="2">
        <v>1219</v>
      </c>
      <c r="G8715" s="2">
        <v>93</v>
      </c>
      <c r="H8715" s="2">
        <v>257</v>
      </c>
      <c r="I8715" s="2">
        <v>308</v>
      </c>
      <c r="J8715" s="2">
        <v>1078</v>
      </c>
      <c r="K8715" s="2">
        <v>21</v>
      </c>
      <c r="L8715" s="2">
        <v>277</v>
      </c>
    </row>
    <row r="8716" spans="1:12" x14ac:dyDescent="0.25">
      <c r="A8716" s="4" t="str">
        <f>HYPERLINK("http://www.rosaceae.org/Prunus/Prunus_persica/p.persica_gdr_reftransV1_0046770","p.persica_gdr_reftransV1_0046770")</f>
        <v>p.persica_gdr_reftransV1_0046770</v>
      </c>
      <c r="B8716" s="2">
        <v>824</v>
      </c>
      <c r="C8716" s="4" t="str">
        <f>HYPERLINK("http://www.uniprot.org/uniprot/M5W2V8","M5W2V8")</f>
        <v>M5W2V8</v>
      </c>
      <c r="D8716" s="2" t="s">
        <v>7622</v>
      </c>
      <c r="E8716" s="3">
        <v>5.72E-55</v>
      </c>
      <c r="F8716" s="2">
        <v>467</v>
      </c>
      <c r="G8716" s="2">
        <v>100</v>
      </c>
      <c r="H8716" s="2">
        <v>104</v>
      </c>
      <c r="I8716" s="2">
        <v>319</v>
      </c>
      <c r="J8716" s="2">
        <v>630</v>
      </c>
      <c r="K8716" s="2">
        <v>1</v>
      </c>
      <c r="L8716" s="2">
        <v>104</v>
      </c>
    </row>
    <row r="8717" spans="1:12" x14ac:dyDescent="0.25">
      <c r="A8717" s="4" t="str">
        <f>HYPERLINK("http://www.rosaceae.org/Prunus/Prunus_persica/p.persica_gdr_reftransV1_0047470","p.persica_gdr_reftransV1_0047470")</f>
        <v>p.persica_gdr_reftransV1_0047470</v>
      </c>
      <c r="B8717" s="2">
        <v>4017</v>
      </c>
      <c r="C8717" s="4" t="str">
        <f>HYPERLINK("http://www.uniprot.org/uniprot/M5WQN3","M5WQN3")</f>
        <v>M5WQN3</v>
      </c>
      <c r="D8717" s="2" t="s">
        <v>7623</v>
      </c>
      <c r="E8717" s="3">
        <v>0</v>
      </c>
      <c r="F8717" s="2">
        <v>6388</v>
      </c>
      <c r="G8717" s="2">
        <v>100</v>
      </c>
      <c r="H8717" s="2">
        <v>1260</v>
      </c>
      <c r="I8717" s="2">
        <v>82</v>
      </c>
      <c r="J8717" s="2">
        <v>3861</v>
      </c>
      <c r="K8717" s="2">
        <v>1</v>
      </c>
      <c r="L8717" s="2">
        <v>1260</v>
      </c>
    </row>
    <row r="8718" spans="1:12" x14ac:dyDescent="0.25">
      <c r="A8718" s="4" t="str">
        <f>HYPERLINK("http://www.rosaceae.org/Prunus/Prunus_persica/p.persica_gdr_reftransV1_0047820","p.persica_gdr_reftransV1_0047820")</f>
        <v>p.persica_gdr_reftransV1_0047820</v>
      </c>
      <c r="B8718" s="2">
        <v>1622</v>
      </c>
      <c r="C8718" s="4" t="str">
        <f>HYPERLINK("http://www.uniprot.org/uniprot/M5VR15","M5VR15")</f>
        <v>M5VR15</v>
      </c>
      <c r="D8718" s="2" t="s">
        <v>3258</v>
      </c>
      <c r="E8718" s="3">
        <v>0</v>
      </c>
      <c r="F8718" s="2">
        <v>1387</v>
      </c>
      <c r="G8718" s="2">
        <v>100</v>
      </c>
      <c r="H8718" s="2">
        <v>283</v>
      </c>
      <c r="I8718" s="2">
        <v>351</v>
      </c>
      <c r="J8718" s="2">
        <v>1199</v>
      </c>
      <c r="K8718" s="2">
        <v>1</v>
      </c>
      <c r="L8718" s="2">
        <v>283</v>
      </c>
    </row>
    <row r="8719" spans="1:12" x14ac:dyDescent="0.25">
      <c r="A8719" s="4" t="str">
        <f>HYPERLINK("http://www.rosaceae.org/Prunus/Prunus_persica/p.persica_gdr_reftransV1_0048520","p.persica_gdr_reftransV1_0048520")</f>
        <v>p.persica_gdr_reftransV1_0048520</v>
      </c>
      <c r="B8719" s="2">
        <v>1763</v>
      </c>
      <c r="C8719" s="4" t="str">
        <f>HYPERLINK("http://www.uniprot.org/uniprot/M5WHS7","M5WHS7")</f>
        <v>M5WHS7</v>
      </c>
      <c r="D8719" s="2" t="s">
        <v>7624</v>
      </c>
      <c r="E8719" s="3">
        <v>0</v>
      </c>
      <c r="F8719" s="2">
        <v>1501</v>
      </c>
      <c r="G8719" s="2">
        <v>99</v>
      </c>
      <c r="H8719" s="2">
        <v>305</v>
      </c>
      <c r="I8719" s="2">
        <v>847</v>
      </c>
      <c r="J8719" s="2">
        <v>1761</v>
      </c>
      <c r="K8719" s="2">
        <v>14</v>
      </c>
      <c r="L8719" s="2">
        <v>316</v>
      </c>
    </row>
    <row r="8720" spans="1:12" x14ac:dyDescent="0.25">
      <c r="A8720" s="4" t="str">
        <f>HYPERLINK("http://www.rosaceae.org/Prunus/Prunus_persica/p.persica_gdr_reftransV1_0048870","p.persica_gdr_reftransV1_0048870")</f>
        <v>p.persica_gdr_reftransV1_0048870</v>
      </c>
      <c r="B8720" s="2">
        <v>358</v>
      </c>
      <c r="C8720" s="4" t="str">
        <f>HYPERLINK("http://www.uniprot.org/uniprot/M5WDV0","M5WDV0")</f>
        <v>M5WDV0</v>
      </c>
      <c r="D8720" s="2" t="s">
        <v>7625</v>
      </c>
      <c r="E8720" s="3">
        <v>8.7299999999999997E-55</v>
      </c>
      <c r="F8720" s="2">
        <v>473</v>
      </c>
      <c r="G8720" s="2">
        <v>100</v>
      </c>
      <c r="H8720" s="2">
        <v>88</v>
      </c>
      <c r="I8720" s="2">
        <v>2</v>
      </c>
      <c r="J8720" s="2">
        <v>265</v>
      </c>
      <c r="K8720" s="2">
        <v>1</v>
      </c>
      <c r="L8720" s="2">
        <v>88</v>
      </c>
    </row>
    <row r="8721" spans="1:12" x14ac:dyDescent="0.25">
      <c r="A8721" s="4" t="str">
        <f>HYPERLINK("http://www.rosaceae.org/Prunus/Prunus_persica/p.persica_gdr_reftransV1_0000022","p.persica_gdr_reftransV1_0000022")</f>
        <v>p.persica_gdr_reftransV1_0000022</v>
      </c>
      <c r="B8721" s="2">
        <v>2117</v>
      </c>
      <c r="C8721" s="4" t="str">
        <f>HYPERLINK("http://www.uniprot.org/uniprot/M5VVT5","M5VVT5")</f>
        <v>M5VVT5</v>
      </c>
      <c r="D8721" s="2" t="s">
        <v>5269</v>
      </c>
      <c r="E8721" s="3">
        <v>0</v>
      </c>
      <c r="F8721" s="2">
        <v>2419</v>
      </c>
      <c r="G8721" s="2">
        <v>100</v>
      </c>
      <c r="H8721" s="2">
        <v>544</v>
      </c>
      <c r="I8721" s="2">
        <v>139</v>
      </c>
      <c r="J8721" s="2">
        <v>1770</v>
      </c>
      <c r="K8721" s="2">
        <v>1</v>
      </c>
      <c r="L8721" s="2">
        <v>544</v>
      </c>
    </row>
    <row r="8722" spans="1:12" x14ac:dyDescent="0.25">
      <c r="A8722" s="4" t="str">
        <f>HYPERLINK("http://www.rosaceae.org/Prunus/Prunus_persica/p.persica_gdr_reftransV1_0000372","p.persica_gdr_reftransV1_0000372")</f>
        <v>p.persica_gdr_reftransV1_0000372</v>
      </c>
      <c r="B8722" s="2">
        <v>1831</v>
      </c>
      <c r="C8722" s="4" t="str">
        <f>HYPERLINK("http://www.uniprot.org/uniprot/M5X121","M5X121")</f>
        <v>M5X121</v>
      </c>
      <c r="D8722" s="2" t="s">
        <v>7626</v>
      </c>
      <c r="E8722" s="3">
        <v>2.44E-99</v>
      </c>
      <c r="F8722" s="2">
        <v>802</v>
      </c>
      <c r="G8722" s="2">
        <v>100</v>
      </c>
      <c r="H8722" s="2">
        <v>210</v>
      </c>
      <c r="I8722" s="2">
        <v>941</v>
      </c>
      <c r="J8722" s="2">
        <v>1570</v>
      </c>
      <c r="K8722" s="2">
        <v>1</v>
      </c>
      <c r="L8722" s="2">
        <v>210</v>
      </c>
    </row>
    <row r="8723" spans="1:12" x14ac:dyDescent="0.25">
      <c r="A8723" s="4" t="str">
        <f>HYPERLINK("http://www.rosaceae.org/Prunus/Prunus_persica/p.persica_gdr_reftransV1_0000722","p.persica_gdr_reftransV1_0000722")</f>
        <v>p.persica_gdr_reftransV1_0000722</v>
      </c>
      <c r="B8723" s="2">
        <v>1568</v>
      </c>
      <c r="C8723" s="4" t="str">
        <f>HYPERLINK("http://www.uniprot.org/uniprot/M5XSS4","M5XSS4")</f>
        <v>M5XSS4</v>
      </c>
      <c r="D8723" s="2" t="s">
        <v>1733</v>
      </c>
      <c r="E8723" s="3">
        <v>4.0800000000000002E-175</v>
      </c>
      <c r="F8723" s="2">
        <v>1302</v>
      </c>
      <c r="G8723" s="2">
        <v>100</v>
      </c>
      <c r="H8723" s="2">
        <v>258</v>
      </c>
      <c r="I8723" s="2">
        <v>631</v>
      </c>
      <c r="J8723" s="2">
        <v>1404</v>
      </c>
      <c r="K8723" s="2">
        <v>4</v>
      </c>
      <c r="L8723" s="2">
        <v>261</v>
      </c>
    </row>
    <row r="8724" spans="1:12" x14ac:dyDescent="0.25">
      <c r="A8724" s="4" t="str">
        <f>HYPERLINK("http://www.rosaceae.org/Prunus/Prunus_persica/p.persica_gdr_reftransV1_0001422","p.persica_gdr_reftransV1_0001422")</f>
        <v>p.persica_gdr_reftransV1_0001422</v>
      </c>
      <c r="B8724" s="2">
        <v>4845</v>
      </c>
      <c r="C8724" s="4" t="str">
        <f>HYPERLINK("http://www.uniprot.org/uniprot/M5W8B7","M5W8B7")</f>
        <v>M5W8B7</v>
      </c>
      <c r="D8724" s="2" t="s">
        <v>1174</v>
      </c>
      <c r="E8724" s="3">
        <v>0</v>
      </c>
      <c r="F8724" s="2">
        <v>7056</v>
      </c>
      <c r="G8724" s="2">
        <v>100</v>
      </c>
      <c r="H8724" s="2">
        <v>1354</v>
      </c>
      <c r="I8724" s="2">
        <v>259</v>
      </c>
      <c r="J8724" s="2">
        <v>4320</v>
      </c>
      <c r="K8724" s="2">
        <v>25</v>
      </c>
      <c r="L8724" s="2">
        <v>1378</v>
      </c>
    </row>
    <row r="8725" spans="1:12" x14ac:dyDescent="0.25">
      <c r="A8725" s="4" t="str">
        <f>HYPERLINK("http://www.rosaceae.org/Prunus/Prunus_persica/p.persica_gdr_reftransV1_0002122","p.persica_gdr_reftransV1_0002122")</f>
        <v>p.persica_gdr_reftransV1_0002122</v>
      </c>
      <c r="B8725" s="2">
        <v>1307</v>
      </c>
      <c r="C8725" s="4" t="str">
        <f>HYPERLINK("http://www.uniprot.org/uniprot/M5W0L9","M5W0L9")</f>
        <v>M5W0L9</v>
      </c>
      <c r="D8725" s="2" t="s">
        <v>7627</v>
      </c>
      <c r="E8725" s="3">
        <v>0</v>
      </c>
      <c r="F8725" s="2">
        <v>1800</v>
      </c>
      <c r="G8725" s="2">
        <v>100</v>
      </c>
      <c r="H8725" s="2">
        <v>392</v>
      </c>
      <c r="I8725" s="2">
        <v>132</v>
      </c>
      <c r="J8725" s="2">
        <v>1307</v>
      </c>
      <c r="K8725" s="2">
        <v>18</v>
      </c>
      <c r="L8725" s="2">
        <v>409</v>
      </c>
    </row>
    <row r="8726" spans="1:12" x14ac:dyDescent="0.25">
      <c r="A8726" s="4" t="str">
        <f>HYPERLINK("http://www.rosaceae.org/Prunus/Prunus_persica/p.persica_gdr_reftransV1_0002472","p.persica_gdr_reftransV1_0002472")</f>
        <v>p.persica_gdr_reftransV1_0002472</v>
      </c>
      <c r="B8726" s="2">
        <v>2936</v>
      </c>
      <c r="C8726" s="4" t="str">
        <f>HYPERLINK("http://www.uniprot.org/uniprot/M5WSU9","M5WSU9")</f>
        <v>M5WSU9</v>
      </c>
      <c r="D8726" s="2" t="s">
        <v>3198</v>
      </c>
      <c r="E8726" s="3">
        <v>0</v>
      </c>
      <c r="F8726" s="2">
        <v>1409</v>
      </c>
      <c r="G8726" s="2">
        <v>89</v>
      </c>
      <c r="H8726" s="2">
        <v>365</v>
      </c>
      <c r="I8726" s="2">
        <v>311</v>
      </c>
      <c r="J8726" s="2">
        <v>1405</v>
      </c>
      <c r="K8726" s="2">
        <v>1</v>
      </c>
      <c r="L8726" s="2">
        <v>333</v>
      </c>
    </row>
    <row r="8727" spans="1:12" x14ac:dyDescent="0.25">
      <c r="A8727" s="4" t="str">
        <f>HYPERLINK("http://www.rosaceae.org/Prunus/Prunus_persica/p.persica_gdr_reftransV1_0002822","p.persica_gdr_reftransV1_0002822")</f>
        <v>p.persica_gdr_reftransV1_0002822</v>
      </c>
      <c r="B8727" s="2">
        <v>1411</v>
      </c>
      <c r="C8727" s="4" t="str">
        <f>HYPERLINK("http://www.uniprot.org/uniprot/M5WXE6","M5WXE6")</f>
        <v>M5WXE6</v>
      </c>
      <c r="D8727" s="2" t="s">
        <v>2652</v>
      </c>
      <c r="E8727" s="3">
        <v>8.4800000000000003E-135</v>
      </c>
      <c r="F8727" s="2">
        <v>1030</v>
      </c>
      <c r="G8727" s="2">
        <v>100</v>
      </c>
      <c r="H8727" s="2">
        <v>254</v>
      </c>
      <c r="I8727" s="2">
        <v>285</v>
      </c>
      <c r="J8727" s="2">
        <v>1046</v>
      </c>
      <c r="K8727" s="2">
        <v>1</v>
      </c>
      <c r="L8727" s="2">
        <v>254</v>
      </c>
    </row>
    <row r="8728" spans="1:12" x14ac:dyDescent="0.25">
      <c r="A8728" s="4" t="str">
        <f>HYPERLINK("http://www.rosaceae.org/Prunus/Prunus_persica/p.persica_gdr_reftransV1_0003172","p.persica_gdr_reftransV1_0003172")</f>
        <v>p.persica_gdr_reftransV1_0003172</v>
      </c>
      <c r="B8728" s="2">
        <v>1445</v>
      </c>
      <c r="C8728" s="4" t="str">
        <f>HYPERLINK("http://www.uniprot.org/uniprot/D8L7V8","D8L7V8")</f>
        <v>D8L7V8</v>
      </c>
      <c r="D8728" s="2" t="s">
        <v>7628</v>
      </c>
      <c r="E8728" s="3">
        <v>3.3899999999999997E-151</v>
      </c>
      <c r="F8728" s="2">
        <v>1146</v>
      </c>
      <c r="G8728" s="2">
        <v>100</v>
      </c>
      <c r="H8728" s="2">
        <v>214</v>
      </c>
      <c r="I8728" s="2">
        <v>296</v>
      </c>
      <c r="J8728" s="2">
        <v>937</v>
      </c>
      <c r="K8728" s="2">
        <v>103</v>
      </c>
      <c r="L8728" s="2">
        <v>316</v>
      </c>
    </row>
    <row r="8729" spans="1:12" x14ac:dyDescent="0.25">
      <c r="A8729" s="4" t="str">
        <f>HYPERLINK("http://www.rosaceae.org/Prunus/Prunus_persica/p.persica_gdr_reftransV1_0003522","p.persica_gdr_reftransV1_0003522")</f>
        <v>p.persica_gdr_reftransV1_0003522</v>
      </c>
      <c r="B8729" s="2">
        <v>5378</v>
      </c>
      <c r="C8729" s="4" t="str">
        <f>HYPERLINK("http://www.uniprot.org/uniprot/M5WYZ2","M5WYZ2")</f>
        <v>M5WYZ2</v>
      </c>
      <c r="D8729" s="2" t="s">
        <v>4443</v>
      </c>
      <c r="E8729" s="3">
        <v>0</v>
      </c>
      <c r="F8729" s="2">
        <v>8174</v>
      </c>
      <c r="G8729" s="2">
        <v>99</v>
      </c>
      <c r="H8729" s="2">
        <v>1690</v>
      </c>
      <c r="I8729" s="2">
        <v>225</v>
      </c>
      <c r="J8729" s="2">
        <v>5294</v>
      </c>
      <c r="K8729" s="2">
        <v>1</v>
      </c>
      <c r="L8729" s="2">
        <v>1666</v>
      </c>
    </row>
    <row r="8730" spans="1:12" x14ac:dyDescent="0.25">
      <c r="A8730" s="4" t="str">
        <f>HYPERLINK("http://www.rosaceae.org/Prunus/Prunus_persica/p.persica_gdr_reftransV1_0004222","p.persica_gdr_reftransV1_0004222")</f>
        <v>p.persica_gdr_reftransV1_0004222</v>
      </c>
      <c r="B8730" s="2">
        <v>580</v>
      </c>
      <c r="C8730" s="4" t="str">
        <f>HYPERLINK("http://www.uniprot.org/uniprot/M5VXE5","M5VXE5")</f>
        <v>M5VXE5</v>
      </c>
      <c r="D8730" s="2" t="s">
        <v>5762</v>
      </c>
      <c r="E8730" s="3">
        <v>1.5500000000000001E-116</v>
      </c>
      <c r="F8730" s="2">
        <v>906</v>
      </c>
      <c r="G8730" s="2">
        <v>100</v>
      </c>
      <c r="H8730" s="2">
        <v>171</v>
      </c>
      <c r="I8730" s="2">
        <v>2</v>
      </c>
      <c r="J8730" s="2">
        <v>514</v>
      </c>
      <c r="K8730" s="2">
        <v>1</v>
      </c>
      <c r="L8730" s="2">
        <v>171</v>
      </c>
    </row>
    <row r="8731" spans="1:12" x14ac:dyDescent="0.25">
      <c r="A8731" s="4" t="str">
        <f>HYPERLINK("http://www.rosaceae.org/Prunus/Prunus_persica/p.persica_gdr_reftransV1_0004572","p.persica_gdr_reftransV1_0004572")</f>
        <v>p.persica_gdr_reftransV1_0004572</v>
      </c>
      <c r="B8731" s="2">
        <v>1000</v>
      </c>
      <c r="C8731" s="4" t="str">
        <f>HYPERLINK("http://www.uniprot.org/uniprot/M5VMV1","M5VMV1")</f>
        <v>M5VMV1</v>
      </c>
      <c r="D8731" s="2" t="s">
        <v>7629</v>
      </c>
      <c r="E8731" s="3">
        <v>6.3799999999999995E-91</v>
      </c>
      <c r="F8731" s="2">
        <v>719</v>
      </c>
      <c r="G8731" s="2">
        <v>100</v>
      </c>
      <c r="H8731" s="2">
        <v>188</v>
      </c>
      <c r="I8731" s="2">
        <v>147</v>
      </c>
      <c r="J8731" s="2">
        <v>710</v>
      </c>
      <c r="K8731" s="2">
        <v>1</v>
      </c>
      <c r="L8731" s="2">
        <v>188</v>
      </c>
    </row>
    <row r="8732" spans="1:12" x14ac:dyDescent="0.25">
      <c r="A8732" s="4" t="str">
        <f>HYPERLINK("http://www.rosaceae.org/Prunus/Prunus_persica/p.persica_gdr_reftransV1_0004922","p.persica_gdr_reftransV1_0004922")</f>
        <v>p.persica_gdr_reftransV1_0004922</v>
      </c>
      <c r="B8732" s="2">
        <v>6017</v>
      </c>
      <c r="C8732" s="4" t="str">
        <f>HYPERLINK("http://www.uniprot.org/uniprot/M5WSB2","M5WSB2")</f>
        <v>M5WSB2</v>
      </c>
      <c r="D8732" s="2" t="s">
        <v>7630</v>
      </c>
      <c r="E8732" s="3">
        <v>0</v>
      </c>
      <c r="F8732" s="2">
        <v>9989</v>
      </c>
      <c r="G8732" s="2">
        <v>99</v>
      </c>
      <c r="H8732" s="2">
        <v>1938</v>
      </c>
      <c r="I8732" s="2">
        <v>8</v>
      </c>
      <c r="J8732" s="2">
        <v>5788</v>
      </c>
      <c r="K8732" s="2">
        <v>1</v>
      </c>
      <c r="L8732" s="2">
        <v>1929</v>
      </c>
    </row>
    <row r="8733" spans="1:12" x14ac:dyDescent="0.25">
      <c r="A8733" s="4" t="str">
        <f>HYPERLINK("http://www.rosaceae.org/Prunus/Prunus_persica/p.persica_gdr_reftransV1_0005272","p.persica_gdr_reftransV1_0005272")</f>
        <v>p.persica_gdr_reftransV1_0005272</v>
      </c>
      <c r="B8733" s="2">
        <v>473</v>
      </c>
      <c r="C8733" s="4" t="str">
        <f>HYPERLINK("http://www.uniprot.org/uniprot/W9QLB8","W9QLB8")</f>
        <v>W9QLB8</v>
      </c>
      <c r="D8733" s="2" t="s">
        <v>7631</v>
      </c>
      <c r="E8733" s="3">
        <v>2.3100000000000002E-74</v>
      </c>
      <c r="F8733" s="2">
        <v>634</v>
      </c>
      <c r="G8733" s="2">
        <v>75</v>
      </c>
      <c r="H8733" s="2">
        <v>158</v>
      </c>
      <c r="I8733" s="2">
        <v>1</v>
      </c>
      <c r="J8733" s="2">
        <v>471</v>
      </c>
      <c r="K8733" s="2">
        <v>66</v>
      </c>
      <c r="L8733" s="2">
        <v>223</v>
      </c>
    </row>
    <row r="8734" spans="1:12" x14ac:dyDescent="0.25">
      <c r="A8734" s="4" t="str">
        <f>HYPERLINK("http://www.rosaceae.org/Prunus/Prunus_persica/p.persica_gdr_reftransV1_0005622","p.persica_gdr_reftransV1_0005622")</f>
        <v>p.persica_gdr_reftransV1_0005622</v>
      </c>
      <c r="B8734" s="2">
        <v>620</v>
      </c>
      <c r="C8734" s="4" t="str">
        <f>HYPERLINK("http://www.uniprot.org/uniprot/M5WLJ8","M5WLJ8")</f>
        <v>M5WLJ8</v>
      </c>
      <c r="D8734" s="2" t="s">
        <v>2503</v>
      </c>
      <c r="E8734" s="3">
        <v>3.0800000000000002E-39</v>
      </c>
      <c r="F8734" s="2">
        <v>377</v>
      </c>
      <c r="G8734" s="2">
        <v>99</v>
      </c>
      <c r="H8734" s="2">
        <v>71</v>
      </c>
      <c r="I8734" s="2">
        <v>408</v>
      </c>
      <c r="J8734" s="2">
        <v>620</v>
      </c>
      <c r="K8734" s="2">
        <v>9</v>
      </c>
      <c r="L8734" s="2">
        <v>79</v>
      </c>
    </row>
    <row r="8735" spans="1:12" x14ac:dyDescent="0.25">
      <c r="A8735" s="4" t="str">
        <f>HYPERLINK("http://www.rosaceae.org/Prunus/Prunus_persica/p.persica_gdr_reftransV1_0006322","p.persica_gdr_reftransV1_0006322")</f>
        <v>p.persica_gdr_reftransV1_0006322</v>
      </c>
      <c r="B8735" s="2">
        <v>432</v>
      </c>
      <c r="C8735" s="4" t="str">
        <f>HYPERLINK("http://www.uniprot.org/uniprot/M5VU37","M5VU37")</f>
        <v>M5VU37</v>
      </c>
      <c r="D8735" s="2" t="s">
        <v>7632</v>
      </c>
      <c r="E8735" s="3">
        <v>2.1100000000000002E-67</v>
      </c>
      <c r="F8735" s="2">
        <v>572</v>
      </c>
      <c r="G8735" s="2">
        <v>93</v>
      </c>
      <c r="H8735" s="2">
        <v>144</v>
      </c>
      <c r="I8735" s="2">
        <v>1</v>
      </c>
      <c r="J8735" s="2">
        <v>432</v>
      </c>
      <c r="K8735" s="2">
        <v>138</v>
      </c>
      <c r="L8735" s="2">
        <v>271</v>
      </c>
    </row>
    <row r="8736" spans="1:12" x14ac:dyDescent="0.25">
      <c r="A8736" s="4" t="str">
        <f>HYPERLINK("http://www.rosaceae.org/Prunus/Prunus_persica/p.persica_gdr_reftransV1_0006672","p.persica_gdr_reftransV1_0006672")</f>
        <v>p.persica_gdr_reftransV1_0006672</v>
      </c>
      <c r="B8736" s="2">
        <v>1199</v>
      </c>
      <c r="C8736" s="4" t="str">
        <f>HYPERLINK("http://www.uniprot.org/uniprot/M5Y0F8","M5Y0F8")</f>
        <v>M5Y0F8</v>
      </c>
      <c r="D8736" s="2" t="s">
        <v>7633</v>
      </c>
      <c r="E8736" s="3">
        <v>3.3899999999999998E-137</v>
      </c>
      <c r="F8736" s="2">
        <v>1036</v>
      </c>
      <c r="G8736" s="2">
        <v>100</v>
      </c>
      <c r="H8736" s="2">
        <v>226</v>
      </c>
      <c r="I8736" s="2">
        <v>477</v>
      </c>
      <c r="J8736" s="2">
        <v>1154</v>
      </c>
      <c r="K8736" s="2">
        <v>1</v>
      </c>
      <c r="L8736" s="2">
        <v>226</v>
      </c>
    </row>
    <row r="8737" spans="1:12" x14ac:dyDescent="0.25">
      <c r="A8737" s="4" t="str">
        <f>HYPERLINK("http://www.rosaceae.org/Prunus/Prunus_persica/p.persica_gdr_reftransV1_0007372","p.persica_gdr_reftransV1_0007372")</f>
        <v>p.persica_gdr_reftransV1_0007372</v>
      </c>
      <c r="B8737" s="2">
        <v>1504</v>
      </c>
      <c r="C8737" s="4" t="str">
        <f>HYPERLINK("http://www.uniprot.org/uniprot/M5X053","M5X053")</f>
        <v>M5X053</v>
      </c>
      <c r="D8737" s="2" t="s">
        <v>7634</v>
      </c>
      <c r="E8737" s="3">
        <v>0</v>
      </c>
      <c r="F8737" s="2">
        <v>1750</v>
      </c>
      <c r="G8737" s="2">
        <v>97</v>
      </c>
      <c r="H8737" s="2">
        <v>346</v>
      </c>
      <c r="I8737" s="2">
        <v>89</v>
      </c>
      <c r="J8737" s="2">
        <v>1126</v>
      </c>
      <c r="K8737" s="2">
        <v>14</v>
      </c>
      <c r="L8737" s="2">
        <v>349</v>
      </c>
    </row>
    <row r="8738" spans="1:12" x14ac:dyDescent="0.25">
      <c r="A8738" s="4" t="str">
        <f>HYPERLINK("http://www.rosaceae.org/Prunus/Prunus_persica/p.persica_gdr_reftransV1_0008072","p.persica_gdr_reftransV1_0008072")</f>
        <v>p.persica_gdr_reftransV1_0008072</v>
      </c>
      <c r="B8738" s="2">
        <v>821</v>
      </c>
      <c r="C8738" s="4" t="str">
        <f>HYPERLINK("http://www.uniprot.org/uniprot/M5XRP8","M5XRP8")</f>
        <v>M5XRP8</v>
      </c>
      <c r="D8738" s="2" t="s">
        <v>7635</v>
      </c>
      <c r="E8738" s="3">
        <v>3.55E-100</v>
      </c>
      <c r="F8738" s="2">
        <v>770</v>
      </c>
      <c r="G8738" s="2">
        <v>100</v>
      </c>
      <c r="H8738" s="2">
        <v>147</v>
      </c>
      <c r="I8738" s="2">
        <v>327</v>
      </c>
      <c r="J8738" s="2">
        <v>767</v>
      </c>
      <c r="K8738" s="2">
        <v>1</v>
      </c>
      <c r="L8738" s="2">
        <v>147</v>
      </c>
    </row>
    <row r="8739" spans="1:12" x14ac:dyDescent="0.25">
      <c r="A8739" s="4" t="str">
        <f>HYPERLINK("http://www.rosaceae.org/Prunus/Prunus_persica/p.persica_gdr_reftransV1_0009822","p.persica_gdr_reftransV1_0009822")</f>
        <v>p.persica_gdr_reftransV1_0009822</v>
      </c>
      <c r="B8739" s="2">
        <v>3168</v>
      </c>
      <c r="C8739" s="4" t="str">
        <f>HYPERLINK("http://www.uniprot.org/uniprot/M5WJT9","M5WJT9")</f>
        <v>M5WJT9</v>
      </c>
      <c r="D8739" s="2" t="s">
        <v>7636</v>
      </c>
      <c r="E8739" s="3">
        <v>0</v>
      </c>
      <c r="F8739" s="2">
        <v>3456</v>
      </c>
      <c r="G8739" s="2">
        <v>100</v>
      </c>
      <c r="H8739" s="2">
        <v>650</v>
      </c>
      <c r="I8739" s="2">
        <v>1</v>
      </c>
      <c r="J8739" s="2">
        <v>1950</v>
      </c>
      <c r="K8739" s="2">
        <v>455</v>
      </c>
      <c r="L8739" s="2">
        <v>1104</v>
      </c>
    </row>
    <row r="8740" spans="1:12" x14ac:dyDescent="0.25">
      <c r="A8740" s="4" t="str">
        <f>HYPERLINK("http://www.rosaceae.org/Prunus/Prunus_persica/p.persica_gdr_reftransV1_0010522","p.persica_gdr_reftransV1_0010522")</f>
        <v>p.persica_gdr_reftransV1_0010522</v>
      </c>
      <c r="B8740" s="2">
        <v>2110</v>
      </c>
      <c r="C8740" s="4" t="str">
        <f>HYPERLINK("http://www.uniprot.org/uniprot/M5XF05","M5XF05")</f>
        <v>M5XF05</v>
      </c>
      <c r="D8740" s="2" t="s">
        <v>7637</v>
      </c>
      <c r="E8740" s="3">
        <v>0</v>
      </c>
      <c r="F8740" s="2">
        <v>1826</v>
      </c>
      <c r="G8740" s="2">
        <v>100</v>
      </c>
      <c r="H8740" s="2">
        <v>370</v>
      </c>
      <c r="I8740" s="2">
        <v>228</v>
      </c>
      <c r="J8740" s="2">
        <v>1337</v>
      </c>
      <c r="K8740" s="2">
        <v>1</v>
      </c>
      <c r="L8740" s="2">
        <v>370</v>
      </c>
    </row>
    <row r="8741" spans="1:12" x14ac:dyDescent="0.25">
      <c r="A8741" s="4" t="str">
        <f>HYPERLINK("http://www.rosaceae.org/Prunus/Prunus_persica/p.persica_gdr_reftransV1_0010872","p.persica_gdr_reftransV1_0010872")</f>
        <v>p.persica_gdr_reftransV1_0010872</v>
      </c>
      <c r="B8741" s="2">
        <v>1839</v>
      </c>
      <c r="C8741" s="4" t="str">
        <f>HYPERLINK("http://www.uniprot.org/uniprot/M5XDG3","M5XDG3")</f>
        <v>M5XDG3</v>
      </c>
      <c r="D8741" s="2" t="s">
        <v>7638</v>
      </c>
      <c r="E8741" s="3">
        <v>0</v>
      </c>
      <c r="F8741" s="2">
        <v>1857</v>
      </c>
      <c r="G8741" s="2">
        <v>100</v>
      </c>
      <c r="H8741" s="2">
        <v>384</v>
      </c>
      <c r="I8741" s="2">
        <v>272</v>
      </c>
      <c r="J8741" s="2">
        <v>1423</v>
      </c>
      <c r="K8741" s="2">
        <v>13</v>
      </c>
      <c r="L8741" s="2">
        <v>396</v>
      </c>
    </row>
    <row r="8742" spans="1:12" x14ac:dyDescent="0.25">
      <c r="A8742" s="4" t="str">
        <f>HYPERLINK("http://www.rosaceae.org/Prunus/Prunus_persica/p.persica_gdr_reftransV1_0011222","p.persica_gdr_reftransV1_0011222")</f>
        <v>p.persica_gdr_reftransV1_0011222</v>
      </c>
      <c r="B8742" s="2">
        <v>1014</v>
      </c>
      <c r="C8742" s="4" t="str">
        <f>HYPERLINK("http://www.uniprot.org/uniprot/M5XER0","M5XER0")</f>
        <v>M5XER0</v>
      </c>
      <c r="D8742" s="2" t="s">
        <v>7639</v>
      </c>
      <c r="E8742" s="3">
        <v>2.7999999999999999E-91</v>
      </c>
      <c r="F8742" s="2">
        <v>727</v>
      </c>
      <c r="G8742" s="2">
        <v>92</v>
      </c>
      <c r="H8742" s="2">
        <v>255</v>
      </c>
      <c r="I8742" s="2">
        <v>97</v>
      </c>
      <c r="J8742" s="2">
        <v>861</v>
      </c>
      <c r="K8742" s="2">
        <v>1</v>
      </c>
      <c r="L8742" s="2">
        <v>238</v>
      </c>
    </row>
    <row r="8743" spans="1:12" x14ac:dyDescent="0.25">
      <c r="A8743" s="4" t="str">
        <f>HYPERLINK("http://www.rosaceae.org/Prunus/Prunus_persica/p.persica_gdr_reftransV1_0011922","p.persica_gdr_reftransV1_0011922")</f>
        <v>p.persica_gdr_reftransV1_0011922</v>
      </c>
      <c r="B8743" s="2">
        <v>976</v>
      </c>
      <c r="C8743" s="4" t="str">
        <f>HYPERLINK("http://www.uniprot.org/uniprot/M5XLG7","M5XLG7")</f>
        <v>M5XLG7</v>
      </c>
      <c r="D8743" s="2" t="s">
        <v>7640</v>
      </c>
      <c r="E8743" s="3">
        <v>0</v>
      </c>
      <c r="F8743" s="2">
        <v>1581</v>
      </c>
      <c r="G8743" s="2">
        <v>93</v>
      </c>
      <c r="H8743" s="2">
        <v>315</v>
      </c>
      <c r="I8743" s="2">
        <v>2</v>
      </c>
      <c r="J8743" s="2">
        <v>943</v>
      </c>
      <c r="K8743" s="2">
        <v>1080</v>
      </c>
      <c r="L8743" s="2">
        <v>1394</v>
      </c>
    </row>
    <row r="8744" spans="1:12" x14ac:dyDescent="0.25">
      <c r="A8744" s="4" t="str">
        <f>HYPERLINK("http://www.rosaceae.org/Prunus/Prunus_persica/p.persica_gdr_reftransV1_0012622","p.persica_gdr_reftransV1_0012622")</f>
        <v>p.persica_gdr_reftransV1_0012622</v>
      </c>
      <c r="B8744" s="2">
        <v>839</v>
      </c>
      <c r="C8744" s="4" t="str">
        <f>HYPERLINK("http://www.uniprot.org/uniprot/M5XB24","M5XB24")</f>
        <v>M5XB24</v>
      </c>
      <c r="D8744" s="2" t="s">
        <v>7641</v>
      </c>
      <c r="E8744" s="3">
        <v>4.8899999999999997E-80</v>
      </c>
      <c r="F8744" s="2">
        <v>641</v>
      </c>
      <c r="G8744" s="2">
        <v>100</v>
      </c>
      <c r="H8744" s="2">
        <v>122</v>
      </c>
      <c r="I8744" s="2">
        <v>50</v>
      </c>
      <c r="J8744" s="2">
        <v>415</v>
      </c>
      <c r="K8744" s="2">
        <v>31</v>
      </c>
      <c r="L8744" s="2">
        <v>152</v>
      </c>
    </row>
    <row r="8745" spans="1:12" x14ac:dyDescent="0.25">
      <c r="A8745" s="4" t="str">
        <f>HYPERLINK("http://www.rosaceae.org/Prunus/Prunus_persica/p.persica_gdr_reftransV1_0012972","p.persica_gdr_reftransV1_0012972")</f>
        <v>p.persica_gdr_reftransV1_0012972</v>
      </c>
      <c r="B8745" s="2">
        <v>3210</v>
      </c>
      <c r="C8745" s="4" t="str">
        <f>HYPERLINK("http://www.uniprot.org/uniprot/M5XCF7","M5XCF7")</f>
        <v>M5XCF7</v>
      </c>
      <c r="D8745" s="2" t="s">
        <v>7642</v>
      </c>
      <c r="E8745" s="3">
        <v>5.7299999999999999E-179</v>
      </c>
      <c r="F8745" s="2">
        <v>1385</v>
      </c>
      <c r="G8745" s="2">
        <v>100</v>
      </c>
      <c r="H8745" s="2">
        <v>272</v>
      </c>
      <c r="I8745" s="2">
        <v>1957</v>
      </c>
      <c r="J8745" s="2">
        <v>2772</v>
      </c>
      <c r="K8745" s="2">
        <v>72</v>
      </c>
      <c r="L8745" s="2">
        <v>343</v>
      </c>
    </row>
    <row r="8746" spans="1:12" x14ac:dyDescent="0.25">
      <c r="A8746" s="4" t="str">
        <f>HYPERLINK("http://www.rosaceae.org/Prunus/Prunus_persica/p.persica_gdr_reftransV1_0014372","p.persica_gdr_reftransV1_0014372")</f>
        <v>p.persica_gdr_reftransV1_0014372</v>
      </c>
      <c r="B8746" s="2">
        <v>3257</v>
      </c>
      <c r="C8746" s="4" t="str">
        <f>HYPERLINK("http://www.uniprot.org/uniprot/M5VK64","M5VK64")</f>
        <v>M5VK64</v>
      </c>
      <c r="D8746" s="2" t="s">
        <v>7643</v>
      </c>
      <c r="E8746" s="3">
        <v>0</v>
      </c>
      <c r="F8746" s="2">
        <v>3082</v>
      </c>
      <c r="G8746" s="2">
        <v>100</v>
      </c>
      <c r="H8746" s="2">
        <v>760</v>
      </c>
      <c r="I8746" s="2">
        <v>456</v>
      </c>
      <c r="J8746" s="2">
        <v>2735</v>
      </c>
      <c r="K8746" s="2">
        <v>1</v>
      </c>
      <c r="L8746" s="2">
        <v>760</v>
      </c>
    </row>
    <row r="8747" spans="1:12" x14ac:dyDescent="0.25">
      <c r="A8747" s="4" t="str">
        <f>HYPERLINK("http://www.rosaceae.org/Prunus/Prunus_persica/p.persica_gdr_reftransV1_0014722","p.persica_gdr_reftransV1_0014722")</f>
        <v>p.persica_gdr_reftransV1_0014722</v>
      </c>
      <c r="B8747" s="2">
        <v>817</v>
      </c>
      <c r="C8747" s="4" t="str">
        <f>HYPERLINK("http://www.uniprot.org/uniprot/M5VRJ9","M5VRJ9")</f>
        <v>M5VRJ9</v>
      </c>
      <c r="D8747" s="2" t="s">
        <v>7644</v>
      </c>
      <c r="E8747" s="3">
        <v>8.4200000000000001E-63</v>
      </c>
      <c r="F8747" s="2">
        <v>522</v>
      </c>
      <c r="G8747" s="2">
        <v>100</v>
      </c>
      <c r="H8747" s="2">
        <v>138</v>
      </c>
      <c r="I8747" s="2">
        <v>285</v>
      </c>
      <c r="J8747" s="2">
        <v>698</v>
      </c>
      <c r="K8747" s="2">
        <v>1</v>
      </c>
      <c r="L8747" s="2">
        <v>138</v>
      </c>
    </row>
    <row r="8748" spans="1:12" x14ac:dyDescent="0.25">
      <c r="A8748" s="4" t="str">
        <f>HYPERLINK("http://www.rosaceae.org/Prunus/Prunus_persica/p.persica_gdr_reftransV1_0015422","p.persica_gdr_reftransV1_0015422")</f>
        <v>p.persica_gdr_reftransV1_0015422</v>
      </c>
      <c r="B8748" s="2">
        <v>6333</v>
      </c>
      <c r="C8748" s="4" t="str">
        <f>HYPERLINK("http://www.uniprot.org/uniprot/M5XKU3","M5XKU3")</f>
        <v>M5XKU3</v>
      </c>
      <c r="D8748" s="2" t="s">
        <v>5614</v>
      </c>
      <c r="E8748" s="3">
        <v>0</v>
      </c>
      <c r="F8748" s="2">
        <v>2212</v>
      </c>
      <c r="G8748" s="2">
        <v>99</v>
      </c>
      <c r="H8748" s="2">
        <v>454</v>
      </c>
      <c r="I8748" s="2">
        <v>1283</v>
      </c>
      <c r="J8748" s="2">
        <v>2644</v>
      </c>
      <c r="K8748" s="2">
        <v>130</v>
      </c>
      <c r="L8748" s="2">
        <v>583</v>
      </c>
    </row>
    <row r="8749" spans="1:12" x14ac:dyDescent="0.25">
      <c r="A8749" s="4" t="str">
        <f>HYPERLINK("http://www.rosaceae.org/Prunus/Prunus_persica/p.persica_gdr_reftransV1_0015772","p.persica_gdr_reftransV1_0015772")</f>
        <v>p.persica_gdr_reftransV1_0015772</v>
      </c>
      <c r="B8749" s="2">
        <v>2420</v>
      </c>
      <c r="C8749" s="4" t="str">
        <f>HYPERLINK("http://www.uniprot.org/uniprot/M5WH61","M5WH61")</f>
        <v>M5WH61</v>
      </c>
      <c r="D8749" s="2" t="s">
        <v>7645</v>
      </c>
      <c r="E8749" s="3">
        <v>0</v>
      </c>
      <c r="F8749" s="2">
        <v>2244</v>
      </c>
      <c r="G8749" s="2">
        <v>100</v>
      </c>
      <c r="H8749" s="2">
        <v>543</v>
      </c>
      <c r="I8749" s="2">
        <v>132</v>
      </c>
      <c r="J8749" s="2">
        <v>1760</v>
      </c>
      <c r="K8749" s="2">
        <v>1</v>
      </c>
      <c r="L8749" s="2">
        <v>543</v>
      </c>
    </row>
    <row r="8750" spans="1:12" x14ac:dyDescent="0.25">
      <c r="A8750" s="4" t="str">
        <f>HYPERLINK("http://www.rosaceae.org/Prunus/Prunus_persica/p.persica_gdr_reftransV1_0016472","p.persica_gdr_reftransV1_0016472")</f>
        <v>p.persica_gdr_reftransV1_0016472</v>
      </c>
      <c r="B8750" s="2">
        <v>1597</v>
      </c>
      <c r="C8750" s="4" t="str">
        <f>HYPERLINK("http://www.uniprot.org/uniprot/M5WQ96","M5WQ96")</f>
        <v>M5WQ96</v>
      </c>
      <c r="D8750" s="2" t="s">
        <v>7646</v>
      </c>
      <c r="E8750" s="3">
        <v>0</v>
      </c>
      <c r="F8750" s="2">
        <v>2415</v>
      </c>
      <c r="G8750" s="2">
        <v>100</v>
      </c>
      <c r="H8750" s="2">
        <v>495</v>
      </c>
      <c r="I8750" s="2">
        <v>2</v>
      </c>
      <c r="J8750" s="2">
        <v>1486</v>
      </c>
      <c r="K8750" s="2">
        <v>337</v>
      </c>
      <c r="L8750" s="2">
        <v>831</v>
      </c>
    </row>
    <row r="8751" spans="1:12" x14ac:dyDescent="0.25">
      <c r="A8751" s="4" t="str">
        <f>HYPERLINK("http://www.rosaceae.org/Prunus/Prunus_persica/p.persica_gdr_reftransV1_0017172","p.persica_gdr_reftransV1_0017172")</f>
        <v>p.persica_gdr_reftransV1_0017172</v>
      </c>
      <c r="B8751" s="2">
        <v>1625</v>
      </c>
      <c r="C8751" s="4" t="str">
        <f>HYPERLINK("http://www.uniprot.org/uniprot/A0A061GRQ4","A0A061GRQ4")</f>
        <v>A0A061GRQ4</v>
      </c>
      <c r="D8751" s="2" t="s">
        <v>7647</v>
      </c>
      <c r="E8751" s="3">
        <v>2.0299999999999999E-159</v>
      </c>
      <c r="F8751" s="2">
        <v>1132</v>
      </c>
      <c r="G8751" s="2">
        <v>75</v>
      </c>
      <c r="H8751" s="2">
        <v>349</v>
      </c>
      <c r="I8751" s="2">
        <v>385</v>
      </c>
      <c r="J8751" s="2">
        <v>1413</v>
      </c>
      <c r="K8751" s="2">
        <v>89</v>
      </c>
      <c r="L8751" s="2">
        <v>437</v>
      </c>
    </row>
    <row r="8752" spans="1:12" x14ac:dyDescent="0.25">
      <c r="A8752" s="4" t="str">
        <f>HYPERLINK("http://www.rosaceae.org/Prunus/Prunus_persica/p.persica_gdr_reftransV1_0017872","p.persica_gdr_reftransV1_0017872")</f>
        <v>p.persica_gdr_reftransV1_0017872</v>
      </c>
      <c r="B8752" s="2">
        <v>1640</v>
      </c>
      <c r="C8752" s="4" t="str">
        <f>HYPERLINK("http://www.uniprot.org/uniprot/M5WI84","M5WI84")</f>
        <v>M5WI84</v>
      </c>
      <c r="D8752" s="2" t="s">
        <v>7648</v>
      </c>
      <c r="E8752" s="3">
        <v>0</v>
      </c>
      <c r="F8752" s="2">
        <v>1956</v>
      </c>
      <c r="G8752" s="2">
        <v>99</v>
      </c>
      <c r="H8752" s="2">
        <v>377</v>
      </c>
      <c r="I8752" s="2">
        <v>377</v>
      </c>
      <c r="J8752" s="2">
        <v>1507</v>
      </c>
      <c r="K8752" s="2">
        <v>17</v>
      </c>
      <c r="L8752" s="2">
        <v>393</v>
      </c>
    </row>
    <row r="8753" spans="1:12" x14ac:dyDescent="0.25">
      <c r="A8753" s="4" t="str">
        <f>HYPERLINK("http://www.rosaceae.org/Prunus/Prunus_persica/p.persica_gdr_reftransV1_0018572","p.persica_gdr_reftransV1_0018572")</f>
        <v>p.persica_gdr_reftransV1_0018572</v>
      </c>
      <c r="B8753" s="2">
        <v>2839</v>
      </c>
      <c r="C8753" s="4" t="str">
        <f>HYPERLINK("http://www.uniprot.org/uniprot/M5WDG3","M5WDG3")</f>
        <v>M5WDG3</v>
      </c>
      <c r="D8753" s="2" t="s">
        <v>7649</v>
      </c>
      <c r="E8753" s="3">
        <v>4.0299999999999999E-175</v>
      </c>
      <c r="F8753" s="2">
        <v>1367</v>
      </c>
      <c r="G8753" s="2">
        <v>91</v>
      </c>
      <c r="H8753" s="2">
        <v>297</v>
      </c>
      <c r="I8753" s="2">
        <v>1722</v>
      </c>
      <c r="J8753" s="2">
        <v>2612</v>
      </c>
      <c r="K8753" s="2">
        <v>1</v>
      </c>
      <c r="L8753" s="2">
        <v>270</v>
      </c>
    </row>
    <row r="8754" spans="1:12" x14ac:dyDescent="0.25">
      <c r="A8754" s="4" t="str">
        <f>HYPERLINK("http://www.rosaceae.org/Prunus/Prunus_persica/p.persica_gdr_reftransV1_0019622","p.persica_gdr_reftransV1_0019622")</f>
        <v>p.persica_gdr_reftransV1_0019622</v>
      </c>
      <c r="B8754" s="2">
        <v>2664</v>
      </c>
      <c r="C8754" s="4" t="str">
        <f>HYPERLINK("http://www.uniprot.org/uniprot/M5WNV2","M5WNV2")</f>
        <v>M5WNV2</v>
      </c>
      <c r="D8754" s="2" t="s">
        <v>7650</v>
      </c>
      <c r="E8754" s="3">
        <v>0</v>
      </c>
      <c r="F8754" s="2">
        <v>1691</v>
      </c>
      <c r="G8754" s="2">
        <v>100</v>
      </c>
      <c r="H8754" s="2">
        <v>359</v>
      </c>
      <c r="I8754" s="2">
        <v>341</v>
      </c>
      <c r="J8754" s="2">
        <v>1417</v>
      </c>
      <c r="K8754" s="2">
        <v>1</v>
      </c>
      <c r="L8754" s="2">
        <v>359</v>
      </c>
    </row>
    <row r="8755" spans="1:12" x14ac:dyDescent="0.25">
      <c r="A8755" s="4" t="str">
        <f>HYPERLINK("http://www.rosaceae.org/Prunus/Prunus_persica/p.persica_gdr_reftransV1_0019972","p.persica_gdr_reftransV1_0019972")</f>
        <v>p.persica_gdr_reftransV1_0019972</v>
      </c>
      <c r="B8755" s="2">
        <v>1756</v>
      </c>
      <c r="C8755" s="4" t="str">
        <f>HYPERLINK("http://www.uniprot.org/uniprot/M5X1S9","M5X1S9")</f>
        <v>M5X1S9</v>
      </c>
      <c r="D8755" s="2" t="s">
        <v>7651</v>
      </c>
      <c r="E8755" s="3">
        <v>0</v>
      </c>
      <c r="F8755" s="2">
        <v>1857</v>
      </c>
      <c r="G8755" s="2">
        <v>100</v>
      </c>
      <c r="H8755" s="2">
        <v>346</v>
      </c>
      <c r="I8755" s="2">
        <v>222</v>
      </c>
      <c r="J8755" s="2">
        <v>1259</v>
      </c>
      <c r="K8755" s="2">
        <v>1</v>
      </c>
      <c r="L8755" s="2">
        <v>346</v>
      </c>
    </row>
    <row r="8756" spans="1:12" x14ac:dyDescent="0.25">
      <c r="A8756" s="4" t="str">
        <f>HYPERLINK("http://www.rosaceae.org/Prunus/Prunus_persica/p.persica_gdr_reftransV1_0020322","p.persica_gdr_reftransV1_0020322")</f>
        <v>p.persica_gdr_reftransV1_0020322</v>
      </c>
      <c r="B8756" s="2">
        <v>1537</v>
      </c>
      <c r="C8756" s="4" t="str">
        <f>HYPERLINK("http://www.uniprot.org/uniprot/M5W1K4","M5W1K4")</f>
        <v>M5W1K4</v>
      </c>
      <c r="D8756" s="2" t="s">
        <v>7652</v>
      </c>
      <c r="E8756" s="3">
        <v>1.0099999999999999E-74</v>
      </c>
      <c r="F8756" s="2">
        <v>624</v>
      </c>
      <c r="G8756" s="2">
        <v>96</v>
      </c>
      <c r="H8756" s="2">
        <v>158</v>
      </c>
      <c r="I8756" s="2">
        <v>365</v>
      </c>
      <c r="J8756" s="2">
        <v>838</v>
      </c>
      <c r="K8756" s="2">
        <v>1</v>
      </c>
      <c r="L8756" s="2">
        <v>157</v>
      </c>
    </row>
    <row r="8757" spans="1:12" x14ac:dyDescent="0.25">
      <c r="A8757" s="4" t="str">
        <f>HYPERLINK("http://www.rosaceae.org/Prunus/Prunus_persica/p.persica_gdr_reftransV1_0020672","p.persica_gdr_reftransV1_0020672")</f>
        <v>p.persica_gdr_reftransV1_0020672</v>
      </c>
      <c r="B8757" s="2">
        <v>1877</v>
      </c>
      <c r="C8757" s="4" t="str">
        <f>HYPERLINK("http://www.uniprot.org/uniprot/M5Y4B1","M5Y4B1")</f>
        <v>M5Y4B1</v>
      </c>
      <c r="D8757" s="2" t="s">
        <v>1515</v>
      </c>
      <c r="E8757" s="3">
        <v>0</v>
      </c>
      <c r="F8757" s="2">
        <v>2359</v>
      </c>
      <c r="G8757" s="2">
        <v>100</v>
      </c>
      <c r="H8757" s="2">
        <v>510</v>
      </c>
      <c r="I8757" s="2">
        <v>348</v>
      </c>
      <c r="J8757" s="2">
        <v>1877</v>
      </c>
      <c r="K8757" s="2">
        <v>133</v>
      </c>
      <c r="L8757" s="2">
        <v>642</v>
      </c>
    </row>
    <row r="8758" spans="1:12" x14ac:dyDescent="0.25">
      <c r="A8758" s="4" t="str">
        <f>HYPERLINK("http://www.rosaceae.org/Prunus/Prunus_persica/p.persica_gdr_reftransV1_0021022","p.persica_gdr_reftransV1_0021022")</f>
        <v>p.persica_gdr_reftransV1_0021022</v>
      </c>
      <c r="B8758" s="2">
        <v>832</v>
      </c>
      <c r="C8758" s="4" t="str">
        <f>HYPERLINK("http://www.uniprot.org/uniprot/M5XB78","M5XB78")</f>
        <v>M5XB78</v>
      </c>
      <c r="D8758" s="2" t="s">
        <v>7653</v>
      </c>
      <c r="E8758" s="3">
        <v>7.8400000000000005E-112</v>
      </c>
      <c r="F8758" s="2">
        <v>860</v>
      </c>
      <c r="G8758" s="2">
        <v>90</v>
      </c>
      <c r="H8758" s="2">
        <v>181</v>
      </c>
      <c r="I8758" s="2">
        <v>289</v>
      </c>
      <c r="J8758" s="2">
        <v>831</v>
      </c>
      <c r="K8758" s="2">
        <v>97</v>
      </c>
      <c r="L8758" s="2">
        <v>267</v>
      </c>
    </row>
    <row r="8759" spans="1:12" x14ac:dyDescent="0.25">
      <c r="A8759" s="4" t="str">
        <f>HYPERLINK("http://www.rosaceae.org/Prunus/Prunus_persica/p.persica_gdr_reftransV1_0021722","p.persica_gdr_reftransV1_0021722")</f>
        <v>p.persica_gdr_reftransV1_0021722</v>
      </c>
      <c r="B8759" s="2">
        <v>2104</v>
      </c>
      <c r="C8759" s="4" t="str">
        <f>HYPERLINK("http://www.uniprot.org/uniprot/M5VYX8","M5VYX8")</f>
        <v>M5VYX8</v>
      </c>
      <c r="D8759" s="2" t="s">
        <v>7654</v>
      </c>
      <c r="E8759" s="3">
        <v>1.8499999999999999E-159</v>
      </c>
      <c r="F8759" s="2">
        <v>1239</v>
      </c>
      <c r="G8759" s="2">
        <v>100</v>
      </c>
      <c r="H8759" s="2">
        <v>251</v>
      </c>
      <c r="I8759" s="2">
        <v>520</v>
      </c>
      <c r="J8759" s="2">
        <v>1272</v>
      </c>
      <c r="K8759" s="2">
        <v>240</v>
      </c>
      <c r="L8759" s="2">
        <v>490</v>
      </c>
    </row>
    <row r="8760" spans="1:12" x14ac:dyDescent="0.25">
      <c r="A8760" s="4" t="str">
        <f>HYPERLINK("http://www.rosaceae.org/Prunus/Prunus_persica/p.persica_gdr_reftransV1_0022422","p.persica_gdr_reftransV1_0022422")</f>
        <v>p.persica_gdr_reftransV1_0022422</v>
      </c>
      <c r="B8760" s="2">
        <v>2463</v>
      </c>
      <c r="C8760" s="4" t="str">
        <f>HYPERLINK("http://www.uniprot.org/uniprot/M5XNZ7","M5XNZ7")</f>
        <v>M5XNZ7</v>
      </c>
      <c r="D8760" s="2" t="s">
        <v>7655</v>
      </c>
      <c r="E8760" s="3">
        <v>0</v>
      </c>
      <c r="F8760" s="2">
        <v>3163</v>
      </c>
      <c r="G8760" s="2">
        <v>100</v>
      </c>
      <c r="H8760" s="2">
        <v>608</v>
      </c>
      <c r="I8760" s="2">
        <v>361</v>
      </c>
      <c r="J8760" s="2">
        <v>2184</v>
      </c>
      <c r="K8760" s="2">
        <v>1</v>
      </c>
      <c r="L8760" s="2">
        <v>608</v>
      </c>
    </row>
    <row r="8761" spans="1:12" x14ac:dyDescent="0.25">
      <c r="A8761" s="4" t="str">
        <f>HYPERLINK("http://www.rosaceae.org/Prunus/Prunus_persica/p.persica_gdr_reftransV1_0023472","p.persica_gdr_reftransV1_0023472")</f>
        <v>p.persica_gdr_reftransV1_0023472</v>
      </c>
      <c r="B8761" s="2">
        <v>2105</v>
      </c>
      <c r="C8761" s="4" t="str">
        <f>HYPERLINK("http://www.uniprot.org/uniprot/B9SSI0","B9SSI0")</f>
        <v>B9SSI0</v>
      </c>
      <c r="D8761" s="2" t="s">
        <v>7046</v>
      </c>
      <c r="E8761" s="3">
        <v>4.6600000000000003E-179</v>
      </c>
      <c r="F8761" s="2">
        <v>1356</v>
      </c>
      <c r="G8761" s="2">
        <v>78</v>
      </c>
      <c r="H8761" s="2">
        <v>334</v>
      </c>
      <c r="I8761" s="2">
        <v>893</v>
      </c>
      <c r="J8761" s="2">
        <v>1864</v>
      </c>
      <c r="K8761" s="2">
        <v>1</v>
      </c>
      <c r="L8761" s="2">
        <v>334</v>
      </c>
    </row>
    <row r="8762" spans="1:12" x14ac:dyDescent="0.25">
      <c r="A8762" s="4" t="str">
        <f>HYPERLINK("http://www.rosaceae.org/Prunus/Prunus_persica/p.persica_gdr_reftransV1_0024872","p.persica_gdr_reftransV1_0024872")</f>
        <v>p.persica_gdr_reftransV1_0024872</v>
      </c>
      <c r="B8762" s="2">
        <v>2420</v>
      </c>
      <c r="C8762" s="4" t="str">
        <f>HYPERLINK("http://www.uniprot.org/uniprot/M5WS70","M5WS70")</f>
        <v>M5WS70</v>
      </c>
      <c r="D8762" s="2" t="s">
        <v>7656</v>
      </c>
      <c r="E8762" s="3">
        <v>0</v>
      </c>
      <c r="F8762" s="2">
        <v>1948</v>
      </c>
      <c r="G8762" s="2">
        <v>97</v>
      </c>
      <c r="H8762" s="2">
        <v>394</v>
      </c>
      <c r="I8762" s="2">
        <v>447</v>
      </c>
      <c r="J8762" s="2">
        <v>1628</v>
      </c>
      <c r="K8762" s="2">
        <v>1</v>
      </c>
      <c r="L8762" s="2">
        <v>381</v>
      </c>
    </row>
    <row r="8763" spans="1:12" x14ac:dyDescent="0.25">
      <c r="A8763" s="4" t="str">
        <f>HYPERLINK("http://www.rosaceae.org/Prunus/Prunus_persica/p.persica_gdr_reftransV1_0026972","p.persica_gdr_reftransV1_0026972")</f>
        <v>p.persica_gdr_reftransV1_0026972</v>
      </c>
      <c r="B8763" s="2">
        <v>3044</v>
      </c>
      <c r="C8763" s="4" t="str">
        <f>HYPERLINK("http://www.uniprot.org/uniprot/U5FV58","U5FV58")</f>
        <v>U5FV58</v>
      </c>
      <c r="D8763" s="2" t="s">
        <v>7657</v>
      </c>
      <c r="E8763" s="3">
        <v>7.3500000000000001E-42</v>
      </c>
      <c r="F8763" s="2">
        <v>407</v>
      </c>
      <c r="G8763" s="2">
        <v>72</v>
      </c>
      <c r="H8763" s="2">
        <v>97</v>
      </c>
      <c r="I8763" s="2">
        <v>1983</v>
      </c>
      <c r="J8763" s="2">
        <v>2273</v>
      </c>
      <c r="K8763" s="2">
        <v>1</v>
      </c>
      <c r="L8763" s="2">
        <v>97</v>
      </c>
    </row>
    <row r="8764" spans="1:12" x14ac:dyDescent="0.25">
      <c r="A8764" s="4" t="str">
        <f>HYPERLINK("http://www.rosaceae.org/Prunus/Prunus_persica/p.persica_gdr_reftransV1_0027672","p.persica_gdr_reftransV1_0027672")</f>
        <v>p.persica_gdr_reftransV1_0027672</v>
      </c>
      <c r="B8764" s="2">
        <v>1706</v>
      </c>
      <c r="C8764" s="4" t="str">
        <f>HYPERLINK("http://www.uniprot.org/uniprot/M5VZ78","M5VZ78")</f>
        <v>M5VZ78</v>
      </c>
      <c r="D8764" s="2" t="s">
        <v>7658</v>
      </c>
      <c r="E8764" s="3">
        <v>0</v>
      </c>
      <c r="F8764" s="2">
        <v>1541</v>
      </c>
      <c r="G8764" s="2">
        <v>100</v>
      </c>
      <c r="H8764" s="2">
        <v>324</v>
      </c>
      <c r="I8764" s="2">
        <v>278</v>
      </c>
      <c r="J8764" s="2">
        <v>1249</v>
      </c>
      <c r="K8764" s="2">
        <v>1</v>
      </c>
      <c r="L8764" s="2">
        <v>324</v>
      </c>
    </row>
    <row r="8765" spans="1:12" x14ac:dyDescent="0.25">
      <c r="A8765" s="4" t="str">
        <f>HYPERLINK("http://www.rosaceae.org/Prunus/Prunus_persica/p.persica_gdr_reftransV1_0029422","p.persica_gdr_reftransV1_0029422")</f>
        <v>p.persica_gdr_reftransV1_0029422</v>
      </c>
      <c r="B8765" s="2">
        <v>3674</v>
      </c>
      <c r="C8765" s="4" t="str">
        <f>HYPERLINK("http://www.uniprot.org/uniprot/M5WX47","M5WX47")</f>
        <v>M5WX47</v>
      </c>
      <c r="D8765" s="2" t="s">
        <v>7659</v>
      </c>
      <c r="E8765" s="3">
        <v>0</v>
      </c>
      <c r="F8765" s="2">
        <v>2426</v>
      </c>
      <c r="G8765" s="2">
        <v>93</v>
      </c>
      <c r="H8765" s="2">
        <v>513</v>
      </c>
      <c r="I8765" s="2">
        <v>1983</v>
      </c>
      <c r="J8765" s="2">
        <v>3521</v>
      </c>
      <c r="K8765" s="2">
        <v>1</v>
      </c>
      <c r="L8765" s="2">
        <v>513</v>
      </c>
    </row>
    <row r="8766" spans="1:12" x14ac:dyDescent="0.25">
      <c r="A8766" s="4" t="str">
        <f>HYPERLINK("http://www.rosaceae.org/Prunus/Prunus_persica/p.persica_gdr_reftransV1_0032922","p.persica_gdr_reftransV1_0032922")</f>
        <v>p.persica_gdr_reftransV1_0032922</v>
      </c>
      <c r="B8766" s="2">
        <v>2096</v>
      </c>
      <c r="C8766" s="4" t="str">
        <f>HYPERLINK("http://www.uniprot.org/uniprot/M5VY33","M5VY33")</f>
        <v>M5VY33</v>
      </c>
      <c r="D8766" s="2" t="s">
        <v>7660</v>
      </c>
      <c r="E8766" s="3">
        <v>0</v>
      </c>
      <c r="F8766" s="2">
        <v>2384</v>
      </c>
      <c r="G8766" s="2">
        <v>100</v>
      </c>
      <c r="H8766" s="2">
        <v>463</v>
      </c>
      <c r="I8766" s="2">
        <v>416</v>
      </c>
      <c r="J8766" s="2">
        <v>1804</v>
      </c>
      <c r="K8766" s="2">
        <v>1</v>
      </c>
      <c r="L8766" s="2">
        <v>463</v>
      </c>
    </row>
    <row r="8767" spans="1:12" x14ac:dyDescent="0.25">
      <c r="A8767" s="4" t="str">
        <f>HYPERLINK("http://www.rosaceae.org/Prunus/Prunus_persica/p.persica_gdr_reftransV1_0033622","p.persica_gdr_reftransV1_0033622")</f>
        <v>p.persica_gdr_reftransV1_0033622</v>
      </c>
      <c r="B8767" s="2">
        <v>3214</v>
      </c>
      <c r="C8767" s="4" t="str">
        <f>HYPERLINK("http://www.uniprot.org/uniprot/M5VIX8","M5VIX8")</f>
        <v>M5VIX8</v>
      </c>
      <c r="D8767" s="2" t="s">
        <v>7661</v>
      </c>
      <c r="E8767" s="3">
        <v>0</v>
      </c>
      <c r="F8767" s="2">
        <v>1857</v>
      </c>
      <c r="G8767" s="2">
        <v>99</v>
      </c>
      <c r="H8767" s="2">
        <v>353</v>
      </c>
      <c r="I8767" s="2">
        <v>431</v>
      </c>
      <c r="J8767" s="2">
        <v>1489</v>
      </c>
      <c r="K8767" s="2">
        <v>157</v>
      </c>
      <c r="L8767" s="2">
        <v>509</v>
      </c>
    </row>
    <row r="8768" spans="1:12" x14ac:dyDescent="0.25">
      <c r="A8768" s="4" t="str">
        <f>HYPERLINK("http://www.rosaceae.org/Prunus/Prunus_persica/p.persica_gdr_reftransV1_0034672","p.persica_gdr_reftransV1_0034672")</f>
        <v>p.persica_gdr_reftransV1_0034672</v>
      </c>
      <c r="B8768" s="2">
        <v>2840</v>
      </c>
      <c r="C8768" s="4" t="str">
        <f>HYPERLINK("http://www.uniprot.org/uniprot/M5WUI8","M5WUI8")</f>
        <v>M5WUI8</v>
      </c>
      <c r="D8768" s="2" t="s">
        <v>3101</v>
      </c>
      <c r="E8768" s="3">
        <v>0</v>
      </c>
      <c r="F8768" s="2">
        <v>2565</v>
      </c>
      <c r="G8768" s="2">
        <v>100</v>
      </c>
      <c r="H8768" s="2">
        <v>494</v>
      </c>
      <c r="I8768" s="2">
        <v>338</v>
      </c>
      <c r="J8768" s="2">
        <v>1819</v>
      </c>
      <c r="K8768" s="2">
        <v>31</v>
      </c>
      <c r="L8768" s="2">
        <v>524</v>
      </c>
    </row>
    <row r="8769" spans="1:12" x14ac:dyDescent="0.25">
      <c r="A8769" s="4" t="str">
        <f>HYPERLINK("http://www.rosaceae.org/Prunus/Prunus_persica/p.persica_gdr_reftransV1_0037822","p.persica_gdr_reftransV1_0037822")</f>
        <v>p.persica_gdr_reftransV1_0037822</v>
      </c>
      <c r="B8769" s="2">
        <v>2707</v>
      </c>
      <c r="C8769" s="4" t="str">
        <f>HYPERLINK("http://www.uniprot.org/uniprot/M5XX06","M5XX06")</f>
        <v>M5XX06</v>
      </c>
      <c r="D8769" s="2" t="s">
        <v>3936</v>
      </c>
      <c r="E8769" s="3">
        <v>0</v>
      </c>
      <c r="F8769" s="2">
        <v>2508</v>
      </c>
      <c r="G8769" s="2">
        <v>78</v>
      </c>
      <c r="H8769" s="2">
        <v>660</v>
      </c>
      <c r="I8769" s="2">
        <v>653</v>
      </c>
      <c r="J8769" s="2">
        <v>2512</v>
      </c>
      <c r="K8769" s="2">
        <v>5</v>
      </c>
      <c r="L8769" s="2">
        <v>648</v>
      </c>
    </row>
    <row r="8770" spans="1:12" x14ac:dyDescent="0.25">
      <c r="A8770" s="4" t="str">
        <f>HYPERLINK("http://www.rosaceae.org/Prunus/Prunus_persica/p.persica_gdr_reftransV1_0038172","p.persica_gdr_reftransV1_0038172")</f>
        <v>p.persica_gdr_reftransV1_0038172</v>
      </c>
      <c r="B8770" s="2">
        <v>2021</v>
      </c>
      <c r="C8770" s="4" t="str">
        <f>HYPERLINK("http://www.uniprot.org/uniprot/M5XCT8","M5XCT8")</f>
        <v>M5XCT8</v>
      </c>
      <c r="D8770" s="2" t="s">
        <v>7662</v>
      </c>
      <c r="E8770" s="3">
        <v>0</v>
      </c>
      <c r="F8770" s="2">
        <v>1800</v>
      </c>
      <c r="G8770" s="2">
        <v>89</v>
      </c>
      <c r="H8770" s="2">
        <v>430</v>
      </c>
      <c r="I8770" s="2">
        <v>424</v>
      </c>
      <c r="J8770" s="2">
        <v>1713</v>
      </c>
      <c r="K8770" s="2">
        <v>1</v>
      </c>
      <c r="L8770" s="2">
        <v>384</v>
      </c>
    </row>
    <row r="8771" spans="1:12" x14ac:dyDescent="0.25">
      <c r="A8771" s="4" t="str">
        <f>HYPERLINK("http://www.rosaceae.org/Prunus/Prunus_persica/p.persica_gdr_reftransV1_0039922","p.persica_gdr_reftransV1_0039922")</f>
        <v>p.persica_gdr_reftransV1_0039922</v>
      </c>
      <c r="B8771" s="2">
        <v>2637</v>
      </c>
      <c r="C8771" s="4" t="str">
        <f>HYPERLINK("http://www.uniprot.org/uniprot/M5W8A3","M5W8A3")</f>
        <v>M5W8A3</v>
      </c>
      <c r="D8771" s="2" t="s">
        <v>7663</v>
      </c>
      <c r="E8771" s="3">
        <v>0</v>
      </c>
      <c r="F8771" s="2">
        <v>1513</v>
      </c>
      <c r="G8771" s="2">
        <v>99</v>
      </c>
      <c r="H8771" s="2">
        <v>304</v>
      </c>
      <c r="I8771" s="2">
        <v>2</v>
      </c>
      <c r="J8771" s="2">
        <v>913</v>
      </c>
      <c r="K8771" s="2">
        <v>224</v>
      </c>
      <c r="L8771" s="2">
        <v>527</v>
      </c>
    </row>
    <row r="8772" spans="1:12" x14ac:dyDescent="0.25">
      <c r="A8772" s="4" t="str">
        <f>HYPERLINK("http://www.rosaceae.org/Prunus/Prunus_persica/p.persica_gdr_reftransV1_0041322","p.persica_gdr_reftransV1_0041322")</f>
        <v>p.persica_gdr_reftransV1_0041322</v>
      </c>
      <c r="B8772" s="2">
        <v>1351</v>
      </c>
      <c r="C8772" s="4" t="str">
        <f>HYPERLINK("http://www.uniprot.org/uniprot/M5WGL3","M5WGL3")</f>
        <v>M5WGL3</v>
      </c>
      <c r="D8772" s="2" t="s">
        <v>7664</v>
      </c>
      <c r="E8772" s="3">
        <v>0</v>
      </c>
      <c r="F8772" s="2">
        <v>1446</v>
      </c>
      <c r="G8772" s="2">
        <v>100</v>
      </c>
      <c r="H8772" s="2">
        <v>265</v>
      </c>
      <c r="I8772" s="2">
        <v>193</v>
      </c>
      <c r="J8772" s="2">
        <v>987</v>
      </c>
      <c r="K8772" s="2">
        <v>46</v>
      </c>
      <c r="L8772" s="2">
        <v>310</v>
      </c>
    </row>
    <row r="8773" spans="1:12" x14ac:dyDescent="0.25">
      <c r="A8773" s="4" t="str">
        <f>HYPERLINK("http://www.rosaceae.org/Prunus/Prunus_persica/p.persica_gdr_reftransV1_0042722","p.persica_gdr_reftransV1_0042722")</f>
        <v>p.persica_gdr_reftransV1_0042722</v>
      </c>
      <c r="B8773" s="2">
        <v>1627</v>
      </c>
      <c r="C8773" s="4" t="str">
        <f>HYPERLINK("http://www.uniprot.org/uniprot/M5XKY9","M5XKY9")</f>
        <v>M5XKY9</v>
      </c>
      <c r="D8773" s="2" t="s">
        <v>2231</v>
      </c>
      <c r="E8773" s="3">
        <v>0</v>
      </c>
      <c r="F8773" s="2">
        <v>1699</v>
      </c>
      <c r="G8773" s="2">
        <v>100</v>
      </c>
      <c r="H8773" s="2">
        <v>334</v>
      </c>
      <c r="I8773" s="2">
        <v>625</v>
      </c>
      <c r="J8773" s="2">
        <v>1626</v>
      </c>
      <c r="K8773" s="2">
        <v>682</v>
      </c>
      <c r="L8773" s="2">
        <v>1015</v>
      </c>
    </row>
    <row r="8774" spans="1:12" x14ac:dyDescent="0.25">
      <c r="A8774" s="4" t="str">
        <f>HYPERLINK("http://www.rosaceae.org/Prunus/Prunus_persica/p.persica_gdr_reftransV1_0043072","p.persica_gdr_reftransV1_0043072")</f>
        <v>p.persica_gdr_reftransV1_0043072</v>
      </c>
      <c r="B8774" s="2">
        <v>1455</v>
      </c>
      <c r="C8774" s="4" t="str">
        <f>HYPERLINK("http://www.uniprot.org/uniprot/M5XRA3","M5XRA3")</f>
        <v>M5XRA3</v>
      </c>
      <c r="D8774" s="2" t="s">
        <v>7665</v>
      </c>
      <c r="E8774" s="3">
        <v>4.2700000000000001E-135</v>
      </c>
      <c r="F8774" s="2">
        <v>1035</v>
      </c>
      <c r="G8774" s="2">
        <v>100</v>
      </c>
      <c r="H8774" s="2">
        <v>272</v>
      </c>
      <c r="I8774" s="2">
        <v>406</v>
      </c>
      <c r="J8774" s="2">
        <v>1221</v>
      </c>
      <c r="K8774" s="2">
        <v>1</v>
      </c>
      <c r="L8774" s="2">
        <v>272</v>
      </c>
    </row>
    <row r="8775" spans="1:12" x14ac:dyDescent="0.25">
      <c r="A8775" s="4" t="str">
        <f>HYPERLINK("http://www.rosaceae.org/Prunus/Prunus_persica/p.persica_gdr_reftransV1_0043422","p.persica_gdr_reftransV1_0043422")</f>
        <v>p.persica_gdr_reftransV1_0043422</v>
      </c>
      <c r="B8775" s="2">
        <v>2134</v>
      </c>
      <c r="C8775" s="4" t="str">
        <f>HYPERLINK("http://www.uniprot.org/uniprot/M5XQ54","M5XQ54")</f>
        <v>M5XQ54</v>
      </c>
      <c r="D8775" s="2" t="s">
        <v>7666</v>
      </c>
      <c r="E8775" s="3">
        <v>0</v>
      </c>
      <c r="F8775" s="2">
        <v>3064</v>
      </c>
      <c r="G8775" s="2">
        <v>100</v>
      </c>
      <c r="H8775" s="2">
        <v>568</v>
      </c>
      <c r="I8775" s="2">
        <v>245</v>
      </c>
      <c r="J8775" s="2">
        <v>1948</v>
      </c>
      <c r="K8775" s="2">
        <v>1</v>
      </c>
      <c r="L8775" s="2">
        <v>568</v>
      </c>
    </row>
    <row r="8776" spans="1:12" x14ac:dyDescent="0.25">
      <c r="A8776" s="4" t="str">
        <f>HYPERLINK("http://www.rosaceae.org/Prunus/Prunus_persica/p.persica_gdr_reftransV1_0043772","p.persica_gdr_reftransV1_0043772")</f>
        <v>p.persica_gdr_reftransV1_0043772</v>
      </c>
      <c r="B8776" s="2">
        <v>463</v>
      </c>
      <c r="C8776" s="4" t="str">
        <f>HYPERLINK("http://www.uniprot.org/uniprot/M5XL16","M5XL16")</f>
        <v>M5XL16</v>
      </c>
      <c r="D8776" s="2" t="s">
        <v>7667</v>
      </c>
      <c r="E8776" s="3">
        <v>4.4299999999999997E-53</v>
      </c>
      <c r="F8776" s="2">
        <v>453</v>
      </c>
      <c r="G8776" s="2">
        <v>96</v>
      </c>
      <c r="H8776" s="2">
        <v>89</v>
      </c>
      <c r="I8776" s="2">
        <v>45</v>
      </c>
      <c r="J8776" s="2">
        <v>311</v>
      </c>
      <c r="K8776" s="2">
        <v>139</v>
      </c>
      <c r="L8776" s="2">
        <v>227</v>
      </c>
    </row>
    <row r="8777" spans="1:12" x14ac:dyDescent="0.25">
      <c r="A8777" s="4" t="str">
        <f>HYPERLINK("http://www.rosaceae.org/Prunus/Prunus_persica/p.persica_gdr_reftransV1_0044122","p.persica_gdr_reftransV1_0044122")</f>
        <v>p.persica_gdr_reftransV1_0044122</v>
      </c>
      <c r="B8777" s="2">
        <v>4033</v>
      </c>
      <c r="C8777" s="4" t="str">
        <f>HYPERLINK("http://www.uniprot.org/uniprot/M5WQN3","M5WQN3")</f>
        <v>M5WQN3</v>
      </c>
      <c r="D8777" s="2" t="s">
        <v>7623</v>
      </c>
      <c r="E8777" s="3">
        <v>0</v>
      </c>
      <c r="F8777" s="2">
        <v>6283</v>
      </c>
      <c r="G8777" s="2">
        <v>100</v>
      </c>
      <c r="H8777" s="2">
        <v>1235</v>
      </c>
      <c r="I8777" s="2">
        <v>1</v>
      </c>
      <c r="J8777" s="2">
        <v>3705</v>
      </c>
      <c r="K8777" s="2">
        <v>26</v>
      </c>
      <c r="L8777" s="2">
        <v>1260</v>
      </c>
    </row>
    <row r="8778" spans="1:12" x14ac:dyDescent="0.25">
      <c r="A8778" s="4" t="str">
        <f>HYPERLINK("http://www.rosaceae.org/Prunus/Prunus_persica/p.persica_gdr_reftransV1_0044472","p.persica_gdr_reftransV1_0044472")</f>
        <v>p.persica_gdr_reftransV1_0044472</v>
      </c>
      <c r="B8778" s="2">
        <v>1224</v>
      </c>
      <c r="C8778" s="4" t="str">
        <f>HYPERLINK("http://www.uniprot.org/uniprot/M5WAD1","M5WAD1")</f>
        <v>M5WAD1</v>
      </c>
      <c r="D8778" s="2" t="s">
        <v>156</v>
      </c>
      <c r="E8778" s="3">
        <v>1.65E-125</v>
      </c>
      <c r="F8778" s="2">
        <v>958</v>
      </c>
      <c r="G8778" s="2">
        <v>100</v>
      </c>
      <c r="H8778" s="2">
        <v>214</v>
      </c>
      <c r="I8778" s="2">
        <v>381</v>
      </c>
      <c r="J8778" s="2">
        <v>1022</v>
      </c>
      <c r="K8778" s="2">
        <v>1</v>
      </c>
      <c r="L8778" s="2">
        <v>214</v>
      </c>
    </row>
    <row r="8779" spans="1:12" x14ac:dyDescent="0.25">
      <c r="A8779" s="4" t="str">
        <f>HYPERLINK("http://www.rosaceae.org/Prunus/Prunus_persica/p.persica_gdr_reftransV1_0044822","p.persica_gdr_reftransV1_0044822")</f>
        <v>p.persica_gdr_reftransV1_0044822</v>
      </c>
      <c r="B8779" s="2">
        <v>1153</v>
      </c>
      <c r="C8779" s="4" t="str">
        <f>HYPERLINK("http://www.uniprot.org/uniprot/M5VPW3","M5VPW3")</f>
        <v>M5VPW3</v>
      </c>
      <c r="D8779" s="2" t="s">
        <v>7668</v>
      </c>
      <c r="E8779" s="3">
        <v>0</v>
      </c>
      <c r="F8779" s="2">
        <v>1632</v>
      </c>
      <c r="G8779" s="2">
        <v>100</v>
      </c>
      <c r="H8779" s="2">
        <v>319</v>
      </c>
      <c r="I8779" s="2">
        <v>1</v>
      </c>
      <c r="J8779" s="2">
        <v>957</v>
      </c>
      <c r="K8779" s="2">
        <v>152</v>
      </c>
      <c r="L8779" s="2">
        <v>470</v>
      </c>
    </row>
    <row r="8780" spans="1:12" x14ac:dyDescent="0.25">
      <c r="A8780" s="4" t="str">
        <f>HYPERLINK("http://www.rosaceae.org/Prunus/Prunus_persica/p.persica_gdr_reftransV1_0045172","p.persica_gdr_reftransV1_0045172")</f>
        <v>p.persica_gdr_reftransV1_0045172</v>
      </c>
      <c r="B8780" s="2">
        <v>1016</v>
      </c>
      <c r="C8780" s="4" t="str">
        <f>HYPERLINK("http://www.uniprot.org/uniprot/M5Y6U6","M5Y6U6")</f>
        <v>M5Y6U6</v>
      </c>
      <c r="D8780" s="2" t="s">
        <v>7669</v>
      </c>
      <c r="E8780" s="3">
        <v>4.9499999999999997E-65</v>
      </c>
      <c r="F8780" s="2">
        <v>563</v>
      </c>
      <c r="G8780" s="2">
        <v>99</v>
      </c>
      <c r="H8780" s="2">
        <v>129</v>
      </c>
      <c r="I8780" s="2">
        <v>178</v>
      </c>
      <c r="J8780" s="2">
        <v>564</v>
      </c>
      <c r="K8780" s="2">
        <v>243</v>
      </c>
      <c r="L8780" s="2">
        <v>371</v>
      </c>
    </row>
    <row r="8781" spans="1:12" x14ac:dyDescent="0.25">
      <c r="A8781" s="4" t="str">
        <f>HYPERLINK("http://www.rosaceae.org/Prunus/Prunus_persica/p.persica_gdr_reftransV1_0045522","p.persica_gdr_reftransV1_0045522")</f>
        <v>p.persica_gdr_reftransV1_0045522</v>
      </c>
      <c r="B8781" s="2">
        <v>1621</v>
      </c>
      <c r="C8781" s="4" t="str">
        <f>HYPERLINK("http://www.uniprot.org/uniprot/M5XX36","M5XX36")</f>
        <v>M5XX36</v>
      </c>
      <c r="D8781" s="2" t="s">
        <v>5920</v>
      </c>
      <c r="E8781" s="3">
        <v>0</v>
      </c>
      <c r="F8781" s="2">
        <v>1288</v>
      </c>
      <c r="G8781" s="2">
        <v>99</v>
      </c>
      <c r="H8781" s="2">
        <v>272</v>
      </c>
      <c r="I8781" s="2">
        <v>602</v>
      </c>
      <c r="J8781" s="2">
        <v>1417</v>
      </c>
      <c r="K8781" s="2">
        <v>44</v>
      </c>
      <c r="L8781" s="2">
        <v>315</v>
      </c>
    </row>
    <row r="8782" spans="1:12" x14ac:dyDescent="0.25">
      <c r="A8782" s="4" t="str">
        <f>HYPERLINK("http://www.rosaceae.org/Prunus/Prunus_persica/p.persica_gdr_reftransV1_0045872","p.persica_gdr_reftransV1_0045872")</f>
        <v>p.persica_gdr_reftransV1_0045872</v>
      </c>
      <c r="B8782" s="2">
        <v>1244</v>
      </c>
      <c r="C8782" s="4" t="str">
        <f>HYPERLINK("http://www.uniprot.org/uniprot/M5VZN5","M5VZN5")</f>
        <v>M5VZN5</v>
      </c>
      <c r="D8782" s="2" t="s">
        <v>1596</v>
      </c>
      <c r="E8782" s="3">
        <v>4.9400000000000003E-117</v>
      </c>
      <c r="F8782" s="2">
        <v>908</v>
      </c>
      <c r="G8782" s="2">
        <v>100</v>
      </c>
      <c r="H8782" s="2">
        <v>215</v>
      </c>
      <c r="I8782" s="2">
        <v>214</v>
      </c>
      <c r="J8782" s="2">
        <v>858</v>
      </c>
      <c r="K8782" s="2">
        <v>1</v>
      </c>
      <c r="L8782" s="2">
        <v>215</v>
      </c>
    </row>
    <row r="8783" spans="1:12" x14ac:dyDescent="0.25">
      <c r="A8783" s="4" t="str">
        <f>HYPERLINK("http://www.rosaceae.org/Prunus/Prunus_persica/p.persica_gdr_reftransV1_0046572","p.persica_gdr_reftransV1_0046572")</f>
        <v>p.persica_gdr_reftransV1_0046572</v>
      </c>
      <c r="B8783" s="2">
        <v>1605</v>
      </c>
      <c r="C8783" s="4" t="str">
        <f>HYPERLINK("http://www.uniprot.org/uniprot/A0A0D2RTK7","A0A0D2RTK7")</f>
        <v>A0A0D2RTK7</v>
      </c>
      <c r="D8783" s="2" t="s">
        <v>7670</v>
      </c>
      <c r="E8783" s="3">
        <v>2.0999999999999999E-126</v>
      </c>
      <c r="F8783" s="2">
        <v>690</v>
      </c>
      <c r="G8783" s="2">
        <v>76</v>
      </c>
      <c r="H8783" s="2">
        <v>205</v>
      </c>
      <c r="I8783" s="2">
        <v>686</v>
      </c>
      <c r="J8783" s="2">
        <v>1300</v>
      </c>
      <c r="K8783" s="2">
        <v>162</v>
      </c>
      <c r="L8783" s="2">
        <v>364</v>
      </c>
    </row>
    <row r="8784" spans="1:12" x14ac:dyDescent="0.25">
      <c r="A8784" s="4" t="str">
        <f>HYPERLINK("http://www.rosaceae.org/Prunus/Prunus_persica/p.persica_gdr_reftransV1_0046922","p.persica_gdr_reftransV1_0046922")</f>
        <v>p.persica_gdr_reftransV1_0046922</v>
      </c>
      <c r="B8784" s="2">
        <v>731</v>
      </c>
      <c r="C8784" s="4" t="str">
        <f>HYPERLINK("http://www.uniprot.org/uniprot/M5X0W3","M5X0W3")</f>
        <v>M5X0W3</v>
      </c>
      <c r="D8784" s="2" t="s">
        <v>5446</v>
      </c>
      <c r="E8784" s="3">
        <v>6.9399999999999995E-88</v>
      </c>
      <c r="F8784" s="2">
        <v>705</v>
      </c>
      <c r="G8784" s="2">
        <v>100</v>
      </c>
      <c r="H8784" s="2">
        <v>133</v>
      </c>
      <c r="I8784" s="2">
        <v>2</v>
      </c>
      <c r="J8784" s="2">
        <v>400</v>
      </c>
      <c r="K8784" s="2">
        <v>220</v>
      </c>
      <c r="L8784" s="2">
        <v>352</v>
      </c>
    </row>
    <row r="8785" spans="1:12" x14ac:dyDescent="0.25">
      <c r="A8785" s="4" t="str">
        <f>HYPERLINK("http://www.rosaceae.org/Prunus/Prunus_persica/p.persica_gdr_reftransV1_0047272","p.persica_gdr_reftransV1_0047272")</f>
        <v>p.persica_gdr_reftransV1_0047272</v>
      </c>
      <c r="B8785" s="2">
        <v>779</v>
      </c>
      <c r="C8785" s="4" t="str">
        <f>HYPERLINK("http://www.uniprot.org/uniprot/M5W1W5","M5W1W5")</f>
        <v>M5W1W5</v>
      </c>
      <c r="D8785" s="2" t="s">
        <v>6496</v>
      </c>
      <c r="E8785" s="3">
        <v>1.16E-60</v>
      </c>
      <c r="F8785" s="2">
        <v>504</v>
      </c>
      <c r="G8785" s="2">
        <v>100</v>
      </c>
      <c r="H8785" s="2">
        <v>116</v>
      </c>
      <c r="I8785" s="2">
        <v>115</v>
      </c>
      <c r="J8785" s="2">
        <v>462</v>
      </c>
      <c r="K8785" s="2">
        <v>1</v>
      </c>
      <c r="L8785" s="2">
        <v>116</v>
      </c>
    </row>
    <row r="8786" spans="1:12" x14ac:dyDescent="0.25">
      <c r="A8786" s="4" t="str">
        <f>HYPERLINK("http://www.rosaceae.org/Prunus/Prunus_persica/p.persica_gdr_reftransV1_0047622","p.persica_gdr_reftransV1_0047622")</f>
        <v>p.persica_gdr_reftransV1_0047622</v>
      </c>
      <c r="B8786" s="2">
        <v>4282</v>
      </c>
      <c r="C8786" s="4" t="str">
        <f>HYPERLINK("http://www.uniprot.org/uniprot/M5XKW1","M5XKW1")</f>
        <v>M5XKW1</v>
      </c>
      <c r="D8786" s="2" t="s">
        <v>7671</v>
      </c>
      <c r="E8786" s="3">
        <v>0</v>
      </c>
      <c r="F8786" s="2">
        <v>4782</v>
      </c>
      <c r="G8786" s="2">
        <v>99</v>
      </c>
      <c r="H8786" s="2">
        <v>959</v>
      </c>
      <c r="I8786" s="2">
        <v>836</v>
      </c>
      <c r="J8786" s="2">
        <v>3712</v>
      </c>
      <c r="K8786" s="2">
        <v>1</v>
      </c>
      <c r="L8786" s="2">
        <v>956</v>
      </c>
    </row>
    <row r="8787" spans="1:12" x14ac:dyDescent="0.25">
      <c r="A8787" s="4" t="str">
        <f>HYPERLINK("http://www.rosaceae.org/Prunus/Prunus_persica/p.persica_gdr_reftransV1_0047972","p.persica_gdr_reftransV1_0047972")</f>
        <v>p.persica_gdr_reftransV1_0047972</v>
      </c>
      <c r="B8787" s="2">
        <v>2042</v>
      </c>
      <c r="C8787" s="4" t="str">
        <f>HYPERLINK("http://www.uniprot.org/uniprot/M5XYK5","M5XYK5")</f>
        <v>M5XYK5</v>
      </c>
      <c r="D8787" s="2" t="s">
        <v>7672</v>
      </c>
      <c r="E8787" s="3">
        <v>2.05E-178</v>
      </c>
      <c r="F8787" s="2">
        <v>1362</v>
      </c>
      <c r="G8787" s="2">
        <v>100</v>
      </c>
      <c r="H8787" s="2">
        <v>254</v>
      </c>
      <c r="I8787" s="2">
        <v>924</v>
      </c>
      <c r="J8787" s="2">
        <v>1685</v>
      </c>
      <c r="K8787" s="2">
        <v>226</v>
      </c>
      <c r="L8787" s="2">
        <v>479</v>
      </c>
    </row>
    <row r="8788" spans="1:12" x14ac:dyDescent="0.25">
      <c r="A8788" s="4" t="str">
        <f>HYPERLINK("http://www.rosaceae.org/Prunus/Prunus_persica/p.persica_gdr_reftransV1_0048322","p.persica_gdr_reftransV1_0048322")</f>
        <v>p.persica_gdr_reftransV1_0048322</v>
      </c>
      <c r="B8788" s="2">
        <v>1615</v>
      </c>
      <c r="C8788" s="4" t="str">
        <f>HYPERLINK("http://www.uniprot.org/uniprot/M5VZD9","M5VZD9")</f>
        <v>M5VZD9</v>
      </c>
      <c r="D8788" s="2" t="s">
        <v>7673</v>
      </c>
      <c r="E8788" s="3">
        <v>1.1000000000000001E-180</v>
      </c>
      <c r="F8788" s="2">
        <v>1345</v>
      </c>
      <c r="G8788" s="2">
        <v>100</v>
      </c>
      <c r="H8788" s="2">
        <v>300</v>
      </c>
      <c r="I8788" s="2">
        <v>501</v>
      </c>
      <c r="J8788" s="2">
        <v>1400</v>
      </c>
      <c r="K8788" s="2">
        <v>1</v>
      </c>
      <c r="L8788" s="2">
        <v>300</v>
      </c>
    </row>
    <row r="8789" spans="1:12" x14ac:dyDescent="0.25">
      <c r="A8789" s="4" t="str">
        <f>HYPERLINK("http://www.rosaceae.org/Prunus/Prunus_persica/p.persica_gdr_reftransV1_0048672","p.persica_gdr_reftransV1_0048672")</f>
        <v>p.persica_gdr_reftransV1_0048672</v>
      </c>
      <c r="B8789" s="2">
        <v>2007</v>
      </c>
      <c r="C8789" s="4" t="str">
        <f>HYPERLINK("http://www.uniprot.org/uniprot/M5XEY7","M5XEY7")</f>
        <v>M5XEY7</v>
      </c>
      <c r="D8789" s="2" t="s">
        <v>7674</v>
      </c>
      <c r="E8789" s="3">
        <v>0</v>
      </c>
      <c r="F8789" s="2">
        <v>3003</v>
      </c>
      <c r="G8789" s="2">
        <v>98</v>
      </c>
      <c r="H8789" s="2">
        <v>585</v>
      </c>
      <c r="I8789" s="2">
        <v>201</v>
      </c>
      <c r="J8789" s="2">
        <v>1955</v>
      </c>
      <c r="K8789" s="2">
        <v>1</v>
      </c>
      <c r="L8789" s="2">
        <v>576</v>
      </c>
    </row>
    <row r="8790" spans="1:12" x14ac:dyDescent="0.25">
      <c r="A8790" s="4" t="str">
        <f>HYPERLINK("http://www.rosaceae.org/Prunus/Prunus_persica/p.persica_gdr_reftransV1_0049022","p.persica_gdr_reftransV1_0049022")</f>
        <v>p.persica_gdr_reftransV1_0049022</v>
      </c>
      <c r="B8790" s="2">
        <v>2438</v>
      </c>
      <c r="C8790" s="4" t="str">
        <f>HYPERLINK("http://www.uniprot.org/uniprot/M5W6F0","M5W6F0")</f>
        <v>M5W6F0</v>
      </c>
      <c r="D8790" s="2" t="s">
        <v>457</v>
      </c>
      <c r="E8790" s="3">
        <v>0</v>
      </c>
      <c r="F8790" s="2">
        <v>2626</v>
      </c>
      <c r="G8790" s="2">
        <v>92</v>
      </c>
      <c r="H8790" s="2">
        <v>590</v>
      </c>
      <c r="I8790" s="2">
        <v>392</v>
      </c>
      <c r="J8790" s="2">
        <v>2161</v>
      </c>
      <c r="K8790" s="2">
        <v>1</v>
      </c>
      <c r="L8790" s="2">
        <v>561</v>
      </c>
    </row>
    <row r="8791" spans="1:12" x14ac:dyDescent="0.25">
      <c r="A8791" s="4" t="str">
        <f>HYPERLINK("http://www.rosaceae.org/Prunus/Prunus_persica/p.persica_gdr_reftransV1_0000221","p.persica_gdr_reftransV1_0000221")</f>
        <v>p.persica_gdr_reftransV1_0000221</v>
      </c>
      <c r="B8791" s="2">
        <v>723</v>
      </c>
      <c r="C8791" s="4" t="str">
        <f>HYPERLINK("http://www.uniprot.org/uniprot/M5W0W2","M5W0W2")</f>
        <v>M5W0W2</v>
      </c>
      <c r="D8791" s="2" t="s">
        <v>4727</v>
      </c>
      <c r="E8791" s="3">
        <v>4.2000000000000001E-65</v>
      </c>
      <c r="F8791" s="2">
        <v>532</v>
      </c>
      <c r="G8791" s="2">
        <v>100</v>
      </c>
      <c r="H8791" s="2">
        <v>106</v>
      </c>
      <c r="I8791" s="2">
        <v>94</v>
      </c>
      <c r="J8791" s="2">
        <v>411</v>
      </c>
      <c r="K8791" s="2">
        <v>1</v>
      </c>
      <c r="L8791" s="2">
        <v>106</v>
      </c>
    </row>
    <row r="8792" spans="1:12" x14ac:dyDescent="0.25">
      <c r="A8792" s="4" t="str">
        <f>HYPERLINK("http://www.rosaceae.org/Prunus/Prunus_persica/p.persica_gdr_reftransV1_0000571","p.persica_gdr_reftransV1_0000571")</f>
        <v>p.persica_gdr_reftransV1_0000571</v>
      </c>
      <c r="B8792" s="2">
        <v>1873</v>
      </c>
      <c r="C8792" s="4" t="str">
        <f>HYPERLINK("http://www.uniprot.org/uniprot/M5VJ69","M5VJ69")</f>
        <v>M5VJ69</v>
      </c>
      <c r="D8792" s="2" t="s">
        <v>1998</v>
      </c>
      <c r="E8792" s="3">
        <v>0</v>
      </c>
      <c r="F8792" s="2">
        <v>1737</v>
      </c>
      <c r="G8792" s="2">
        <v>96</v>
      </c>
      <c r="H8792" s="2">
        <v>381</v>
      </c>
      <c r="I8792" s="2">
        <v>258</v>
      </c>
      <c r="J8792" s="2">
        <v>1400</v>
      </c>
      <c r="K8792" s="2">
        <v>1</v>
      </c>
      <c r="L8792" s="2">
        <v>377</v>
      </c>
    </row>
    <row r="8793" spans="1:12" x14ac:dyDescent="0.25">
      <c r="A8793" s="4" t="str">
        <f>HYPERLINK("http://www.rosaceae.org/Prunus/Prunus_persica/p.persica_gdr_reftransV1_0000921","p.persica_gdr_reftransV1_0000921")</f>
        <v>p.persica_gdr_reftransV1_0000921</v>
      </c>
      <c r="B8793" s="2">
        <v>1647</v>
      </c>
      <c r="C8793" s="4" t="str">
        <f>HYPERLINK("http://www.uniprot.org/uniprot/M5XS46","M5XS46")</f>
        <v>M5XS46</v>
      </c>
      <c r="D8793" s="2" t="s">
        <v>7675</v>
      </c>
      <c r="E8793" s="3">
        <v>0</v>
      </c>
      <c r="F8793" s="2">
        <v>1859</v>
      </c>
      <c r="G8793" s="2">
        <v>100</v>
      </c>
      <c r="H8793" s="2">
        <v>347</v>
      </c>
      <c r="I8793" s="2">
        <v>306</v>
      </c>
      <c r="J8793" s="2">
        <v>1346</v>
      </c>
      <c r="K8793" s="2">
        <v>1</v>
      </c>
      <c r="L8793" s="2">
        <v>347</v>
      </c>
    </row>
    <row r="8794" spans="1:12" x14ac:dyDescent="0.25">
      <c r="A8794" s="4" t="str">
        <f>HYPERLINK("http://www.rosaceae.org/Prunus/Prunus_persica/p.persica_gdr_reftransV1_0001271","p.persica_gdr_reftransV1_0001271")</f>
        <v>p.persica_gdr_reftransV1_0001271</v>
      </c>
      <c r="B8794" s="2">
        <v>416</v>
      </c>
      <c r="C8794" s="4" t="str">
        <f>HYPERLINK("http://www.uniprot.org/uniprot/M5XL80","M5XL80")</f>
        <v>M5XL80</v>
      </c>
      <c r="D8794" s="2" t="s">
        <v>7676</v>
      </c>
      <c r="E8794" s="3">
        <v>4.2799999999999998E-89</v>
      </c>
      <c r="F8794" s="2">
        <v>710</v>
      </c>
      <c r="G8794" s="2">
        <v>99</v>
      </c>
      <c r="H8794" s="2">
        <v>138</v>
      </c>
      <c r="I8794" s="2">
        <v>2</v>
      </c>
      <c r="J8794" s="2">
        <v>415</v>
      </c>
      <c r="K8794" s="2">
        <v>121</v>
      </c>
      <c r="L8794" s="2">
        <v>258</v>
      </c>
    </row>
    <row r="8795" spans="1:12" x14ac:dyDescent="0.25">
      <c r="A8795" s="4" t="str">
        <f>HYPERLINK("http://www.rosaceae.org/Prunus/Prunus_persica/p.persica_gdr_reftransV1_0001971","p.persica_gdr_reftransV1_0001971")</f>
        <v>p.persica_gdr_reftransV1_0001971</v>
      </c>
      <c r="B8795" s="2">
        <v>1412</v>
      </c>
      <c r="C8795" s="4" t="str">
        <f>HYPERLINK("http://www.uniprot.org/uniprot/M5VQV4","M5VQV4")</f>
        <v>M5VQV4</v>
      </c>
      <c r="D8795" s="2" t="s">
        <v>7677</v>
      </c>
      <c r="E8795" s="3">
        <v>0</v>
      </c>
      <c r="F8795" s="2">
        <v>1879</v>
      </c>
      <c r="G8795" s="2">
        <v>100</v>
      </c>
      <c r="H8795" s="2">
        <v>404</v>
      </c>
      <c r="I8795" s="2">
        <v>155</v>
      </c>
      <c r="J8795" s="2">
        <v>1366</v>
      </c>
      <c r="K8795" s="2">
        <v>1</v>
      </c>
      <c r="L8795" s="2">
        <v>404</v>
      </c>
    </row>
    <row r="8796" spans="1:12" x14ac:dyDescent="0.25">
      <c r="A8796" s="4" t="str">
        <f>HYPERLINK("http://www.rosaceae.org/Prunus/Prunus_persica/p.persica_gdr_reftransV1_0002321","p.persica_gdr_reftransV1_0002321")</f>
        <v>p.persica_gdr_reftransV1_0002321</v>
      </c>
      <c r="B8796" s="2">
        <v>360</v>
      </c>
      <c r="C8796" s="4" t="str">
        <f>HYPERLINK("http://www.uniprot.org/uniprot/C7YLI1","C7YLI1")</f>
        <v>C7YLI1</v>
      </c>
      <c r="D8796" s="2" t="s">
        <v>7678</v>
      </c>
      <c r="E8796" s="3">
        <v>8.0000000000000002E-59</v>
      </c>
      <c r="F8796" s="2">
        <v>483</v>
      </c>
      <c r="G8796" s="2">
        <v>86</v>
      </c>
      <c r="H8796" s="2">
        <v>115</v>
      </c>
      <c r="I8796" s="2">
        <v>1</v>
      </c>
      <c r="J8796" s="2">
        <v>345</v>
      </c>
      <c r="K8796" s="2">
        <v>25</v>
      </c>
      <c r="L8796" s="2">
        <v>139</v>
      </c>
    </row>
    <row r="8797" spans="1:12" x14ac:dyDescent="0.25">
      <c r="A8797" s="4" t="str">
        <f>HYPERLINK("http://www.rosaceae.org/Prunus/Prunus_persica/p.persica_gdr_reftransV1_0002671","p.persica_gdr_reftransV1_0002671")</f>
        <v>p.persica_gdr_reftransV1_0002671</v>
      </c>
      <c r="B8797" s="2">
        <v>489</v>
      </c>
      <c r="C8797" s="4" t="str">
        <f>HYPERLINK("http://www.uniprot.org/uniprot/M5WPH0","M5WPH0")</f>
        <v>M5WPH0</v>
      </c>
      <c r="D8797" s="2" t="s">
        <v>7679</v>
      </c>
      <c r="E8797" s="3">
        <v>2.0399999999999999E-35</v>
      </c>
      <c r="F8797" s="2">
        <v>340</v>
      </c>
      <c r="G8797" s="2">
        <v>92</v>
      </c>
      <c r="H8797" s="2">
        <v>73</v>
      </c>
      <c r="I8797" s="2">
        <v>172</v>
      </c>
      <c r="J8797" s="2">
        <v>390</v>
      </c>
      <c r="K8797" s="2">
        <v>1</v>
      </c>
      <c r="L8797" s="2">
        <v>73</v>
      </c>
    </row>
    <row r="8798" spans="1:12" x14ac:dyDescent="0.25">
      <c r="A8798" s="4" t="str">
        <f>HYPERLINK("http://www.rosaceae.org/Prunus/Prunus_persica/p.persica_gdr_reftransV1_0003021","p.persica_gdr_reftransV1_0003021")</f>
        <v>p.persica_gdr_reftransV1_0003021</v>
      </c>
      <c r="B8798" s="2">
        <v>567</v>
      </c>
      <c r="C8798" s="4" t="str">
        <f>HYPERLINK("http://www.uniprot.org/uniprot/M5X7R2","M5X7R2")</f>
        <v>M5X7R2</v>
      </c>
      <c r="D8798" s="2" t="s">
        <v>5715</v>
      </c>
      <c r="E8798" s="3">
        <v>5.0299999999999997E-124</v>
      </c>
      <c r="F8798" s="2">
        <v>1007</v>
      </c>
      <c r="G8798" s="2">
        <v>100</v>
      </c>
      <c r="H8798" s="2">
        <v>188</v>
      </c>
      <c r="I8798" s="2">
        <v>3</v>
      </c>
      <c r="J8798" s="2">
        <v>566</v>
      </c>
      <c r="K8798" s="2">
        <v>437</v>
      </c>
      <c r="L8798" s="2">
        <v>624</v>
      </c>
    </row>
    <row r="8799" spans="1:12" x14ac:dyDescent="0.25">
      <c r="A8799" s="4" t="str">
        <f>HYPERLINK("http://www.rosaceae.org/Prunus/Prunus_persica/p.persica_gdr_reftransV1_0003371","p.persica_gdr_reftransV1_0003371")</f>
        <v>p.persica_gdr_reftransV1_0003371</v>
      </c>
      <c r="B8799" s="2">
        <v>663</v>
      </c>
      <c r="C8799" s="4" t="str">
        <f>HYPERLINK("http://www.uniprot.org/uniprot/M5W445","M5W445")</f>
        <v>M5W445</v>
      </c>
      <c r="D8799" s="2" t="s">
        <v>7680</v>
      </c>
      <c r="E8799" s="3">
        <v>1.5800000000000001E-91</v>
      </c>
      <c r="F8799" s="2">
        <v>742</v>
      </c>
      <c r="G8799" s="2">
        <v>99</v>
      </c>
      <c r="H8799" s="2">
        <v>138</v>
      </c>
      <c r="I8799" s="2">
        <v>153</v>
      </c>
      <c r="J8799" s="2">
        <v>566</v>
      </c>
      <c r="K8799" s="2">
        <v>396</v>
      </c>
      <c r="L8799" s="2">
        <v>533</v>
      </c>
    </row>
    <row r="8800" spans="1:12" x14ac:dyDescent="0.25">
      <c r="A8800" s="4" t="str">
        <f>HYPERLINK("http://www.rosaceae.org/Prunus/Prunus_persica/p.persica_gdr_reftransV1_0003721","p.persica_gdr_reftransV1_0003721")</f>
        <v>p.persica_gdr_reftransV1_0003721</v>
      </c>
      <c r="B8800" s="2">
        <v>2535</v>
      </c>
      <c r="C8800" s="4" t="str">
        <f>HYPERLINK("http://www.uniprot.org/uniprot/M5WNG3","M5WNG3")</f>
        <v>M5WNG3</v>
      </c>
      <c r="D8800" s="2" t="s">
        <v>7681</v>
      </c>
      <c r="E8800" s="3">
        <v>0</v>
      </c>
      <c r="F8800" s="2">
        <v>2788</v>
      </c>
      <c r="G8800" s="2">
        <v>100</v>
      </c>
      <c r="H8800" s="2">
        <v>642</v>
      </c>
      <c r="I8800" s="2">
        <v>260</v>
      </c>
      <c r="J8800" s="2">
        <v>2185</v>
      </c>
      <c r="K8800" s="2">
        <v>1</v>
      </c>
      <c r="L8800" s="2">
        <v>642</v>
      </c>
    </row>
    <row r="8801" spans="1:12" x14ac:dyDescent="0.25">
      <c r="A8801" s="4" t="str">
        <f>HYPERLINK("http://www.rosaceae.org/Prunus/Prunus_persica/p.persica_gdr_reftransV1_0004071","p.persica_gdr_reftransV1_0004071")</f>
        <v>p.persica_gdr_reftransV1_0004071</v>
      </c>
      <c r="B8801" s="2">
        <v>595</v>
      </c>
      <c r="C8801" s="4" t="str">
        <f>HYPERLINK("http://www.uniprot.org/uniprot/M5XPB1","M5XPB1")</f>
        <v>M5XPB1</v>
      </c>
      <c r="D8801" s="2" t="s">
        <v>7682</v>
      </c>
      <c r="E8801" s="3">
        <v>2.0199999999999999E-82</v>
      </c>
      <c r="F8801" s="2">
        <v>586</v>
      </c>
      <c r="G8801" s="2">
        <v>89</v>
      </c>
      <c r="H8801" s="2">
        <v>128</v>
      </c>
      <c r="I8801" s="2">
        <v>2</v>
      </c>
      <c r="J8801" s="2">
        <v>346</v>
      </c>
      <c r="K8801" s="2">
        <v>313</v>
      </c>
      <c r="L8801" s="2">
        <v>440</v>
      </c>
    </row>
    <row r="8802" spans="1:12" x14ac:dyDescent="0.25">
      <c r="A8802" s="4" t="str">
        <f>HYPERLINK("http://www.rosaceae.org/Prunus/Prunus_persica/p.persica_gdr_reftransV1_0004421","p.persica_gdr_reftransV1_0004421")</f>
        <v>p.persica_gdr_reftransV1_0004421</v>
      </c>
      <c r="B8802" s="2">
        <v>1975</v>
      </c>
      <c r="C8802" s="4" t="str">
        <f>HYPERLINK("http://www.uniprot.org/uniprot/M5XDN9","M5XDN9")</f>
        <v>M5XDN9</v>
      </c>
      <c r="D8802" s="2" t="s">
        <v>6260</v>
      </c>
      <c r="E8802" s="3">
        <v>0</v>
      </c>
      <c r="F8802" s="2">
        <v>1481</v>
      </c>
      <c r="G8802" s="2">
        <v>100</v>
      </c>
      <c r="H8802" s="2">
        <v>308</v>
      </c>
      <c r="I8802" s="2">
        <v>150</v>
      </c>
      <c r="J8802" s="2">
        <v>1073</v>
      </c>
      <c r="K8802" s="2">
        <v>1</v>
      </c>
      <c r="L8802" s="2">
        <v>308</v>
      </c>
    </row>
    <row r="8803" spans="1:12" x14ac:dyDescent="0.25">
      <c r="A8803" s="4" t="str">
        <f>HYPERLINK("http://www.rosaceae.org/Prunus/Prunus_persica/p.persica_gdr_reftransV1_0004771","p.persica_gdr_reftransV1_0004771")</f>
        <v>p.persica_gdr_reftransV1_0004771</v>
      </c>
      <c r="B8803" s="2">
        <v>3396</v>
      </c>
      <c r="C8803" s="4" t="str">
        <f>HYPERLINK("http://www.uniprot.org/uniprot/M5XC55","M5XC55")</f>
        <v>M5XC55</v>
      </c>
      <c r="D8803" s="2" t="s">
        <v>6947</v>
      </c>
      <c r="E8803" s="3">
        <v>0</v>
      </c>
      <c r="F8803" s="2">
        <v>3661</v>
      </c>
      <c r="G8803" s="2">
        <v>88</v>
      </c>
      <c r="H8803" s="2">
        <v>841</v>
      </c>
      <c r="I8803" s="2">
        <v>10</v>
      </c>
      <c r="J8803" s="2">
        <v>2526</v>
      </c>
      <c r="K8803" s="2">
        <v>144</v>
      </c>
      <c r="L8803" s="2">
        <v>965</v>
      </c>
    </row>
    <row r="8804" spans="1:12" x14ac:dyDescent="0.25">
      <c r="A8804" s="4" t="str">
        <f>HYPERLINK("http://www.rosaceae.org/Prunus/Prunus_persica/p.persica_gdr_reftransV1_0005121","p.persica_gdr_reftransV1_0005121")</f>
        <v>p.persica_gdr_reftransV1_0005121</v>
      </c>
      <c r="B8804" s="2">
        <v>666</v>
      </c>
      <c r="C8804" s="4" t="str">
        <f>HYPERLINK("http://www.uniprot.org/uniprot/M5X5U7","M5X5U7")</f>
        <v>M5X5U7</v>
      </c>
      <c r="D8804" s="2" t="s">
        <v>7683</v>
      </c>
      <c r="E8804" s="3">
        <v>6.8800000000000001E-112</v>
      </c>
      <c r="F8804" s="2">
        <v>849</v>
      </c>
      <c r="G8804" s="2">
        <v>100</v>
      </c>
      <c r="H8804" s="2">
        <v>178</v>
      </c>
      <c r="I8804" s="2">
        <v>1</v>
      </c>
      <c r="J8804" s="2">
        <v>534</v>
      </c>
      <c r="K8804" s="2">
        <v>1</v>
      </c>
      <c r="L8804" s="2">
        <v>178</v>
      </c>
    </row>
    <row r="8805" spans="1:12" x14ac:dyDescent="0.25">
      <c r="A8805" s="4" t="str">
        <f>HYPERLINK("http://www.rosaceae.org/Prunus/Prunus_persica/p.persica_gdr_reftransV1_0005471","p.persica_gdr_reftransV1_0005471")</f>
        <v>p.persica_gdr_reftransV1_0005471</v>
      </c>
      <c r="B8805" s="2">
        <v>2411</v>
      </c>
      <c r="C8805" s="4" t="str">
        <f>HYPERLINK("http://www.uniprot.org/uniprot/M5WRZ1","M5WRZ1")</f>
        <v>M5WRZ1</v>
      </c>
      <c r="D8805" s="2" t="s">
        <v>7601</v>
      </c>
      <c r="E8805" s="3">
        <v>0</v>
      </c>
      <c r="F8805" s="2">
        <v>2360</v>
      </c>
      <c r="G8805" s="2">
        <v>100</v>
      </c>
      <c r="H8805" s="2">
        <v>440</v>
      </c>
      <c r="I8805" s="2">
        <v>62</v>
      </c>
      <c r="J8805" s="2">
        <v>1381</v>
      </c>
      <c r="K8805" s="2">
        <v>1</v>
      </c>
      <c r="L8805" s="2">
        <v>440</v>
      </c>
    </row>
    <row r="8806" spans="1:12" x14ac:dyDescent="0.25">
      <c r="A8806" s="4" t="str">
        <f>HYPERLINK("http://www.rosaceae.org/Prunus/Prunus_persica/p.persica_gdr_reftransV1_0006171","p.persica_gdr_reftransV1_0006171")</f>
        <v>p.persica_gdr_reftransV1_0006171</v>
      </c>
      <c r="B8806" s="2">
        <v>3802</v>
      </c>
      <c r="C8806" s="4" t="str">
        <f>HYPERLINK("http://www.uniprot.org/uniprot/M5WH09","M5WH09")</f>
        <v>M5WH09</v>
      </c>
      <c r="D8806" s="2" t="s">
        <v>7684</v>
      </c>
      <c r="E8806" s="3">
        <v>0</v>
      </c>
      <c r="F8806" s="2">
        <v>1764</v>
      </c>
      <c r="G8806" s="2">
        <v>98</v>
      </c>
      <c r="H8806" s="2">
        <v>336</v>
      </c>
      <c r="I8806" s="2">
        <v>389</v>
      </c>
      <c r="J8806" s="2">
        <v>1396</v>
      </c>
      <c r="K8806" s="2">
        <v>331</v>
      </c>
      <c r="L8806" s="2">
        <v>666</v>
      </c>
    </row>
    <row r="8807" spans="1:12" x14ac:dyDescent="0.25">
      <c r="A8807" s="4" t="str">
        <f>HYPERLINK("http://www.rosaceae.org/Prunus/Prunus_persica/p.persica_gdr_reftransV1_0007921","p.persica_gdr_reftransV1_0007921")</f>
        <v>p.persica_gdr_reftransV1_0007921</v>
      </c>
      <c r="B8807" s="2">
        <v>513</v>
      </c>
      <c r="C8807" s="4" t="str">
        <f>HYPERLINK("http://www.uniprot.org/uniprot/M5Y2X9","M5Y2X9")</f>
        <v>M5Y2X9</v>
      </c>
      <c r="D8807" s="2" t="s">
        <v>4233</v>
      </c>
      <c r="E8807" s="3">
        <v>1.78E-113</v>
      </c>
      <c r="F8807" s="2">
        <v>876</v>
      </c>
      <c r="G8807" s="2">
        <v>99</v>
      </c>
      <c r="H8807" s="2">
        <v>163</v>
      </c>
      <c r="I8807" s="2">
        <v>24</v>
      </c>
      <c r="J8807" s="2">
        <v>512</v>
      </c>
      <c r="K8807" s="2">
        <v>156</v>
      </c>
      <c r="L8807" s="2">
        <v>318</v>
      </c>
    </row>
    <row r="8808" spans="1:12" x14ac:dyDescent="0.25">
      <c r="A8808" s="4" t="str">
        <f>HYPERLINK("http://www.rosaceae.org/Prunus/Prunus_persica/p.persica_gdr_reftransV1_0008271","p.persica_gdr_reftransV1_0008271")</f>
        <v>p.persica_gdr_reftransV1_0008271</v>
      </c>
      <c r="B8808" s="2">
        <v>2276</v>
      </c>
      <c r="C8808" s="4" t="str">
        <f>HYPERLINK("http://www.uniprot.org/uniprot/M5WG48","M5WG48")</f>
        <v>M5WG48</v>
      </c>
      <c r="D8808" s="2" t="s">
        <v>7685</v>
      </c>
      <c r="E8808" s="3">
        <v>7.3200000000000001E-85</v>
      </c>
      <c r="F8808" s="2">
        <v>725</v>
      </c>
      <c r="G8808" s="2">
        <v>100</v>
      </c>
      <c r="H8808" s="2">
        <v>168</v>
      </c>
      <c r="I8808" s="2">
        <v>1181</v>
      </c>
      <c r="J8808" s="2">
        <v>1684</v>
      </c>
      <c r="K8808" s="2">
        <v>165</v>
      </c>
      <c r="L8808" s="2">
        <v>332</v>
      </c>
    </row>
    <row r="8809" spans="1:12" x14ac:dyDescent="0.25">
      <c r="A8809" s="4" t="str">
        <f>HYPERLINK("http://www.rosaceae.org/Prunus/Prunus_persica/p.persica_gdr_reftransV1_0008621","p.persica_gdr_reftransV1_0008621")</f>
        <v>p.persica_gdr_reftransV1_0008621</v>
      </c>
      <c r="B8809" s="2">
        <v>2743</v>
      </c>
      <c r="C8809" s="4" t="str">
        <f>HYPERLINK("http://www.uniprot.org/uniprot/M5X7J3","M5X7J3")</f>
        <v>M5X7J3</v>
      </c>
      <c r="D8809" s="2" t="s">
        <v>7686</v>
      </c>
      <c r="E8809" s="3">
        <v>4.18E-140</v>
      </c>
      <c r="F8809" s="2">
        <v>1118</v>
      </c>
      <c r="G8809" s="2">
        <v>96</v>
      </c>
      <c r="H8809" s="2">
        <v>401</v>
      </c>
      <c r="I8809" s="2">
        <v>141</v>
      </c>
      <c r="J8809" s="2">
        <v>1319</v>
      </c>
      <c r="K8809" s="2">
        <v>1</v>
      </c>
      <c r="L8809" s="2">
        <v>401</v>
      </c>
    </row>
    <row r="8810" spans="1:12" x14ac:dyDescent="0.25">
      <c r="A8810" s="4" t="str">
        <f>HYPERLINK("http://www.rosaceae.org/Prunus/Prunus_persica/p.persica_gdr_reftransV1_0008971","p.persica_gdr_reftransV1_0008971")</f>
        <v>p.persica_gdr_reftransV1_0008971</v>
      </c>
      <c r="B8810" s="2">
        <v>408</v>
      </c>
      <c r="C8810" s="4" t="str">
        <f>HYPERLINK("http://www.uniprot.org/uniprot/A0A067G8D2","A0A067G8D2")</f>
        <v>A0A067G8D2</v>
      </c>
      <c r="D8810" s="2" t="s">
        <v>7687</v>
      </c>
      <c r="E8810" s="3">
        <v>2.4600000000000001E-41</v>
      </c>
      <c r="F8810" s="2">
        <v>369</v>
      </c>
      <c r="G8810" s="2">
        <v>99</v>
      </c>
      <c r="H8810" s="2">
        <v>90</v>
      </c>
      <c r="I8810" s="2">
        <v>1</v>
      </c>
      <c r="J8810" s="2">
        <v>270</v>
      </c>
      <c r="K8810" s="2">
        <v>1</v>
      </c>
      <c r="L8810" s="2">
        <v>90</v>
      </c>
    </row>
    <row r="8811" spans="1:12" x14ac:dyDescent="0.25">
      <c r="A8811" s="4" t="str">
        <f>HYPERLINK("http://www.rosaceae.org/Prunus/Prunus_persica/p.persica_gdr_reftransV1_0009671","p.persica_gdr_reftransV1_0009671")</f>
        <v>p.persica_gdr_reftransV1_0009671</v>
      </c>
      <c r="B8811" s="2">
        <v>2154</v>
      </c>
      <c r="C8811" s="4" t="str">
        <f>HYPERLINK("http://www.uniprot.org/uniprot/M5W5E7","M5W5E7")</f>
        <v>M5W5E7</v>
      </c>
      <c r="D8811" s="2" t="s">
        <v>7688</v>
      </c>
      <c r="E8811" s="3">
        <v>4.9600000000000002E-112</v>
      </c>
      <c r="F8811" s="2">
        <v>894</v>
      </c>
      <c r="G8811" s="2">
        <v>100</v>
      </c>
      <c r="H8811" s="2">
        <v>200</v>
      </c>
      <c r="I8811" s="2">
        <v>487</v>
      </c>
      <c r="J8811" s="2">
        <v>1086</v>
      </c>
      <c r="K8811" s="2">
        <v>1</v>
      </c>
      <c r="L8811" s="2">
        <v>200</v>
      </c>
    </row>
    <row r="8812" spans="1:12" x14ac:dyDescent="0.25">
      <c r="A8812" s="4" t="str">
        <f>HYPERLINK("http://www.rosaceae.org/Prunus/Prunus_persica/p.persica_gdr_reftransV1_0010021","p.persica_gdr_reftransV1_0010021")</f>
        <v>p.persica_gdr_reftransV1_0010021</v>
      </c>
      <c r="B8812" s="2">
        <v>1950</v>
      </c>
      <c r="C8812" s="4" t="str">
        <f>HYPERLINK("http://www.uniprot.org/uniprot/M5WPV4","M5WPV4")</f>
        <v>M5WPV4</v>
      </c>
      <c r="D8812" s="2" t="s">
        <v>7689</v>
      </c>
      <c r="E8812" s="3">
        <v>0</v>
      </c>
      <c r="F8812" s="2">
        <v>2582</v>
      </c>
      <c r="G8812" s="2">
        <v>93</v>
      </c>
      <c r="H8812" s="2">
        <v>546</v>
      </c>
      <c r="I8812" s="2">
        <v>311</v>
      </c>
      <c r="J8812" s="2">
        <v>1948</v>
      </c>
      <c r="K8812" s="2">
        <v>402</v>
      </c>
      <c r="L8812" s="2">
        <v>935</v>
      </c>
    </row>
    <row r="8813" spans="1:12" x14ac:dyDescent="0.25">
      <c r="A8813" s="4" t="str">
        <f>HYPERLINK("http://www.rosaceae.org/Prunus/Prunus_persica/p.persica_gdr_reftransV1_0010721","p.persica_gdr_reftransV1_0010721")</f>
        <v>p.persica_gdr_reftransV1_0010721</v>
      </c>
      <c r="B8813" s="2">
        <v>1727</v>
      </c>
      <c r="C8813" s="4" t="str">
        <f>HYPERLINK("http://www.uniprot.org/uniprot/M5X021","M5X021")</f>
        <v>M5X021</v>
      </c>
      <c r="D8813" s="2" t="s">
        <v>7690</v>
      </c>
      <c r="E8813" s="3">
        <v>0</v>
      </c>
      <c r="F8813" s="2">
        <v>2216</v>
      </c>
      <c r="G8813" s="2">
        <v>100</v>
      </c>
      <c r="H8813" s="2">
        <v>422</v>
      </c>
      <c r="I8813" s="2">
        <v>299</v>
      </c>
      <c r="J8813" s="2">
        <v>1564</v>
      </c>
      <c r="K8813" s="2">
        <v>1</v>
      </c>
      <c r="L8813" s="2">
        <v>422</v>
      </c>
    </row>
    <row r="8814" spans="1:12" x14ac:dyDescent="0.25">
      <c r="A8814" s="4" t="str">
        <f>HYPERLINK("http://www.rosaceae.org/Prunus/Prunus_persica/p.persica_gdr_reftransV1_0011421","p.persica_gdr_reftransV1_0011421")</f>
        <v>p.persica_gdr_reftransV1_0011421</v>
      </c>
      <c r="B8814" s="2">
        <v>1310</v>
      </c>
      <c r="C8814" s="4" t="str">
        <f>HYPERLINK("http://www.uniprot.org/uniprot/M5W3R1","M5W3R1")</f>
        <v>M5W3R1</v>
      </c>
      <c r="D8814" s="2" t="s">
        <v>7691</v>
      </c>
      <c r="E8814" s="3">
        <v>3.0000000000000002E-109</v>
      </c>
      <c r="F8814" s="2">
        <v>849</v>
      </c>
      <c r="G8814" s="2">
        <v>100</v>
      </c>
      <c r="H8814" s="2">
        <v>170</v>
      </c>
      <c r="I8814" s="2">
        <v>413</v>
      </c>
      <c r="J8814" s="2">
        <v>922</v>
      </c>
      <c r="K8814" s="2">
        <v>1</v>
      </c>
      <c r="L8814" s="2">
        <v>170</v>
      </c>
    </row>
    <row r="8815" spans="1:12" x14ac:dyDescent="0.25">
      <c r="A8815" s="4" t="str">
        <f>HYPERLINK("http://www.rosaceae.org/Prunus/Prunus_persica/p.persica_gdr_reftransV1_0012821","p.persica_gdr_reftransV1_0012821")</f>
        <v>p.persica_gdr_reftransV1_0012821</v>
      </c>
      <c r="B8815" s="2">
        <v>686</v>
      </c>
      <c r="C8815" s="4" t="str">
        <f>HYPERLINK("http://www.uniprot.org/uniprot/M5Y1B3","M5Y1B3")</f>
        <v>M5Y1B3</v>
      </c>
      <c r="D8815" s="2" t="s">
        <v>7692</v>
      </c>
      <c r="E8815" s="3">
        <v>1.8099999999999999E-51</v>
      </c>
      <c r="F8815" s="2">
        <v>449</v>
      </c>
      <c r="G8815" s="2">
        <v>100</v>
      </c>
      <c r="H8815" s="2">
        <v>150</v>
      </c>
      <c r="I8815" s="2">
        <v>5</v>
      </c>
      <c r="J8815" s="2">
        <v>454</v>
      </c>
      <c r="K8815" s="2">
        <v>1</v>
      </c>
      <c r="L8815" s="2">
        <v>150</v>
      </c>
    </row>
    <row r="8816" spans="1:12" x14ac:dyDescent="0.25">
      <c r="A8816" s="4" t="str">
        <f>HYPERLINK("http://www.rosaceae.org/Prunus/Prunus_persica/p.persica_gdr_reftransV1_0013521","p.persica_gdr_reftransV1_0013521")</f>
        <v>p.persica_gdr_reftransV1_0013521</v>
      </c>
      <c r="B8816" s="2">
        <v>693</v>
      </c>
      <c r="C8816" s="4" t="str">
        <f>HYPERLINK("http://www.uniprot.org/uniprot/M5WDE1","M5WDE1")</f>
        <v>M5WDE1</v>
      </c>
      <c r="D8816" s="2" t="s">
        <v>7693</v>
      </c>
      <c r="E8816" s="3">
        <v>8.7400000000000004E-86</v>
      </c>
      <c r="F8816" s="2">
        <v>671</v>
      </c>
      <c r="G8816" s="2">
        <v>99</v>
      </c>
      <c r="H8816" s="2">
        <v>135</v>
      </c>
      <c r="I8816" s="2">
        <v>30</v>
      </c>
      <c r="J8816" s="2">
        <v>434</v>
      </c>
      <c r="K8816" s="2">
        <v>14</v>
      </c>
      <c r="L8816" s="2">
        <v>148</v>
      </c>
    </row>
    <row r="8817" spans="1:12" x14ac:dyDescent="0.25">
      <c r="A8817" s="4" t="str">
        <f>HYPERLINK("http://www.rosaceae.org/Prunus/Prunus_persica/p.persica_gdr_reftransV1_0014221","p.persica_gdr_reftransV1_0014221")</f>
        <v>p.persica_gdr_reftransV1_0014221</v>
      </c>
      <c r="B8817" s="2">
        <v>1019</v>
      </c>
      <c r="C8817" s="4" t="str">
        <f>HYPERLINK("http://www.uniprot.org/uniprot/M5VZE2","M5VZE2")</f>
        <v>M5VZE2</v>
      </c>
      <c r="D8817" s="2" t="s">
        <v>2564</v>
      </c>
      <c r="E8817" s="3">
        <v>7.3199999999999997E-169</v>
      </c>
      <c r="F8817" s="2">
        <v>1246</v>
      </c>
      <c r="G8817" s="2">
        <v>99</v>
      </c>
      <c r="H8817" s="2">
        <v>249</v>
      </c>
      <c r="I8817" s="2">
        <v>159</v>
      </c>
      <c r="J8817" s="2">
        <v>905</v>
      </c>
      <c r="K8817" s="2">
        <v>1</v>
      </c>
      <c r="L8817" s="2">
        <v>249</v>
      </c>
    </row>
    <row r="8818" spans="1:12" x14ac:dyDescent="0.25">
      <c r="A8818" s="4" t="str">
        <f>HYPERLINK("http://www.rosaceae.org/Prunus/Prunus_persica/p.persica_gdr_reftransV1_0014921","p.persica_gdr_reftransV1_0014921")</f>
        <v>p.persica_gdr_reftransV1_0014921</v>
      </c>
      <c r="B8818" s="2">
        <v>6645</v>
      </c>
      <c r="C8818" s="4" t="str">
        <f>HYPERLINK("http://www.uniprot.org/uniprot/M5X752","M5X752")</f>
        <v>M5X752</v>
      </c>
      <c r="D8818" s="2" t="s">
        <v>1137</v>
      </c>
      <c r="E8818" s="3">
        <v>0</v>
      </c>
      <c r="F8818" s="2">
        <v>4740</v>
      </c>
      <c r="G8818" s="2">
        <v>100</v>
      </c>
      <c r="H8818" s="2">
        <v>923</v>
      </c>
      <c r="I8818" s="2">
        <v>421</v>
      </c>
      <c r="J8818" s="2">
        <v>3189</v>
      </c>
      <c r="K8818" s="2">
        <v>699</v>
      </c>
      <c r="L8818" s="2">
        <v>1621</v>
      </c>
    </row>
    <row r="8819" spans="1:12" x14ac:dyDescent="0.25">
      <c r="A8819" s="4" t="str">
        <f>HYPERLINK("http://www.rosaceae.org/Prunus/Prunus_persica/p.persica_gdr_reftransV1_0015271","p.persica_gdr_reftransV1_0015271")</f>
        <v>p.persica_gdr_reftransV1_0015271</v>
      </c>
      <c r="B8819" s="2">
        <v>1600</v>
      </c>
      <c r="C8819" s="4" t="str">
        <f>HYPERLINK("http://www.uniprot.org/uniprot/M5XYI4","M5XYI4")</f>
        <v>M5XYI4</v>
      </c>
      <c r="D8819" s="2" t="s">
        <v>7694</v>
      </c>
      <c r="E8819" s="3">
        <v>0</v>
      </c>
      <c r="F8819" s="2">
        <v>1980</v>
      </c>
      <c r="G8819" s="2">
        <v>100</v>
      </c>
      <c r="H8819" s="2">
        <v>380</v>
      </c>
      <c r="I8819" s="2">
        <v>96</v>
      </c>
      <c r="J8819" s="2">
        <v>1235</v>
      </c>
      <c r="K8819" s="2">
        <v>1</v>
      </c>
      <c r="L8819" s="2">
        <v>380</v>
      </c>
    </row>
    <row r="8820" spans="1:12" x14ac:dyDescent="0.25">
      <c r="A8820" s="4" t="str">
        <f>HYPERLINK("http://www.rosaceae.org/Prunus/Prunus_persica/p.persica_gdr_reftransV1_0015621","p.persica_gdr_reftransV1_0015621")</f>
        <v>p.persica_gdr_reftransV1_0015621</v>
      </c>
      <c r="B8820" s="2">
        <v>1467</v>
      </c>
      <c r="C8820" s="4" t="str">
        <f>HYPERLINK("http://www.uniprot.org/uniprot/M5WBQ7","M5WBQ7")</f>
        <v>M5WBQ7</v>
      </c>
      <c r="D8820" s="2" t="s">
        <v>7695</v>
      </c>
      <c r="E8820" s="3">
        <v>0</v>
      </c>
      <c r="F8820" s="2">
        <v>2206</v>
      </c>
      <c r="G8820" s="2">
        <v>96</v>
      </c>
      <c r="H8820" s="2">
        <v>470</v>
      </c>
      <c r="I8820" s="2">
        <v>12</v>
      </c>
      <c r="J8820" s="2">
        <v>1421</v>
      </c>
      <c r="K8820" s="2">
        <v>1</v>
      </c>
      <c r="L8820" s="2">
        <v>453</v>
      </c>
    </row>
    <row r="8821" spans="1:12" x14ac:dyDescent="0.25">
      <c r="A8821" s="4" t="str">
        <f>HYPERLINK("http://www.rosaceae.org/Prunus/Prunus_persica/p.persica_gdr_reftransV1_0015971","p.persica_gdr_reftransV1_0015971")</f>
        <v>p.persica_gdr_reftransV1_0015971</v>
      </c>
      <c r="B8821" s="2">
        <v>3574</v>
      </c>
      <c r="C8821" s="4" t="str">
        <f>HYPERLINK("http://www.uniprot.org/uniprot/M5W6Z6","M5W6Z6")</f>
        <v>M5W6Z6</v>
      </c>
      <c r="D8821" s="2" t="s">
        <v>7696</v>
      </c>
      <c r="E8821" s="3">
        <v>0</v>
      </c>
      <c r="F8821" s="2">
        <v>2070</v>
      </c>
      <c r="G8821" s="2">
        <v>100</v>
      </c>
      <c r="H8821" s="2">
        <v>427</v>
      </c>
      <c r="I8821" s="2">
        <v>1160</v>
      </c>
      <c r="J8821" s="2">
        <v>2440</v>
      </c>
      <c r="K8821" s="2">
        <v>62</v>
      </c>
      <c r="L8821" s="2">
        <v>488</v>
      </c>
    </row>
    <row r="8822" spans="1:12" x14ac:dyDescent="0.25">
      <c r="A8822" s="4" t="str">
        <f>HYPERLINK("http://www.rosaceae.org/Prunus/Prunus_persica/p.persica_gdr_reftransV1_0016671","p.persica_gdr_reftransV1_0016671")</f>
        <v>p.persica_gdr_reftransV1_0016671</v>
      </c>
      <c r="B8822" s="2">
        <v>2319</v>
      </c>
      <c r="C8822" s="4" t="str">
        <f>HYPERLINK("http://www.uniprot.org/uniprot/A0A067FUW0","A0A067FUW0")</f>
        <v>A0A067FUW0</v>
      </c>
      <c r="D8822" s="2" t="s">
        <v>7697</v>
      </c>
      <c r="E8822" s="3">
        <v>1.3799999999999999E-53</v>
      </c>
      <c r="F8822" s="2">
        <v>490</v>
      </c>
      <c r="G8822" s="2">
        <v>67</v>
      </c>
      <c r="H8822" s="2">
        <v>184</v>
      </c>
      <c r="I8822" s="2">
        <v>297</v>
      </c>
      <c r="J8822" s="2">
        <v>848</v>
      </c>
      <c r="K8822" s="2">
        <v>1</v>
      </c>
      <c r="L8822" s="2">
        <v>172</v>
      </c>
    </row>
    <row r="8823" spans="1:12" x14ac:dyDescent="0.25">
      <c r="A8823" s="4" t="str">
        <f>HYPERLINK("http://www.rosaceae.org/Prunus/Prunus_persica/p.persica_gdr_reftransV1_0017021","p.persica_gdr_reftransV1_0017021")</f>
        <v>p.persica_gdr_reftransV1_0017021</v>
      </c>
      <c r="B8823" s="2">
        <v>1514</v>
      </c>
      <c r="C8823" s="4" t="str">
        <f>HYPERLINK("http://www.uniprot.org/uniprot/M5XFG9","M5XFG9")</f>
        <v>M5XFG9</v>
      </c>
      <c r="D8823" s="2" t="s">
        <v>7698</v>
      </c>
      <c r="E8823" s="3">
        <v>1.4699999999999999E-62</v>
      </c>
      <c r="F8823" s="2">
        <v>537</v>
      </c>
      <c r="G8823" s="2">
        <v>100</v>
      </c>
      <c r="H8823" s="2">
        <v>119</v>
      </c>
      <c r="I8823" s="2">
        <v>934</v>
      </c>
      <c r="J8823" s="2">
        <v>1290</v>
      </c>
      <c r="K8823" s="2">
        <v>1</v>
      </c>
      <c r="L8823" s="2">
        <v>119</v>
      </c>
    </row>
    <row r="8824" spans="1:12" x14ac:dyDescent="0.25">
      <c r="A8824" s="4" t="str">
        <f>HYPERLINK("http://www.rosaceae.org/Prunus/Prunus_persica/p.persica_gdr_reftransV1_0018071","p.persica_gdr_reftransV1_0018071")</f>
        <v>p.persica_gdr_reftransV1_0018071</v>
      </c>
      <c r="B8824" s="2">
        <v>1591</v>
      </c>
      <c r="C8824" s="4" t="str">
        <f>HYPERLINK("http://www.uniprot.org/uniprot/M5X217","M5X217")</f>
        <v>M5X217</v>
      </c>
      <c r="D8824" s="2" t="s">
        <v>7699</v>
      </c>
      <c r="E8824" s="3">
        <v>0</v>
      </c>
      <c r="F8824" s="2">
        <v>1752</v>
      </c>
      <c r="G8824" s="2">
        <v>100</v>
      </c>
      <c r="H8824" s="2">
        <v>332</v>
      </c>
      <c r="I8824" s="2">
        <v>263</v>
      </c>
      <c r="J8824" s="2">
        <v>1258</v>
      </c>
      <c r="K8824" s="2">
        <v>1</v>
      </c>
      <c r="L8824" s="2">
        <v>332</v>
      </c>
    </row>
    <row r="8825" spans="1:12" x14ac:dyDescent="0.25">
      <c r="A8825" s="4" t="str">
        <f>HYPERLINK("http://www.rosaceae.org/Prunus/Prunus_persica/p.persica_gdr_reftransV1_0018421","p.persica_gdr_reftransV1_0018421")</f>
        <v>p.persica_gdr_reftransV1_0018421</v>
      </c>
      <c r="B8825" s="2">
        <v>3209</v>
      </c>
      <c r="C8825" s="4" t="str">
        <f>HYPERLINK("http://www.uniprot.org/uniprot/M5XZS4","M5XZS4")</f>
        <v>M5XZS4</v>
      </c>
      <c r="D8825" s="2" t="s">
        <v>7700</v>
      </c>
      <c r="E8825" s="3">
        <v>0</v>
      </c>
      <c r="F8825" s="2">
        <v>1577</v>
      </c>
      <c r="G8825" s="2">
        <v>97</v>
      </c>
      <c r="H8825" s="2">
        <v>305</v>
      </c>
      <c r="I8825" s="2">
        <v>1737</v>
      </c>
      <c r="J8825" s="2">
        <v>2651</v>
      </c>
      <c r="K8825" s="2">
        <v>367</v>
      </c>
      <c r="L8825" s="2">
        <v>671</v>
      </c>
    </row>
    <row r="8826" spans="1:12" x14ac:dyDescent="0.25">
      <c r="A8826" s="4" t="str">
        <f>HYPERLINK("http://www.rosaceae.org/Prunus/Prunus_persica/p.persica_gdr_reftransV1_0019471","p.persica_gdr_reftransV1_0019471")</f>
        <v>p.persica_gdr_reftransV1_0019471</v>
      </c>
      <c r="B8826" s="2">
        <v>1308</v>
      </c>
      <c r="C8826" s="4" t="str">
        <f>HYPERLINK("http://www.uniprot.org/uniprot/M5VMF9","M5VMF9")</f>
        <v>M5VMF9</v>
      </c>
      <c r="D8826" s="2" t="s">
        <v>209</v>
      </c>
      <c r="E8826" s="3">
        <v>0</v>
      </c>
      <c r="F8826" s="2">
        <v>1651</v>
      </c>
      <c r="G8826" s="2">
        <v>100</v>
      </c>
      <c r="H8826" s="2">
        <v>304</v>
      </c>
      <c r="I8826" s="2">
        <v>1</v>
      </c>
      <c r="J8826" s="2">
        <v>912</v>
      </c>
      <c r="K8826" s="2">
        <v>310</v>
      </c>
      <c r="L8826" s="2">
        <v>613</v>
      </c>
    </row>
    <row r="8827" spans="1:12" x14ac:dyDescent="0.25">
      <c r="A8827" s="4" t="str">
        <f>HYPERLINK("http://www.rosaceae.org/Prunus/Prunus_persica/p.persica_gdr_reftransV1_0020521","p.persica_gdr_reftransV1_0020521")</f>
        <v>p.persica_gdr_reftransV1_0020521</v>
      </c>
      <c r="B8827" s="2">
        <v>1213</v>
      </c>
      <c r="C8827" s="4" t="str">
        <f>HYPERLINK("http://www.uniprot.org/uniprot/M5VV40","M5VV40")</f>
        <v>M5VV40</v>
      </c>
      <c r="D8827" s="2" t="s">
        <v>7701</v>
      </c>
      <c r="E8827" s="3">
        <v>0</v>
      </c>
      <c r="F8827" s="2">
        <v>1861</v>
      </c>
      <c r="G8827" s="2">
        <v>100</v>
      </c>
      <c r="H8827" s="2">
        <v>348</v>
      </c>
      <c r="I8827" s="2">
        <v>110</v>
      </c>
      <c r="J8827" s="2">
        <v>1153</v>
      </c>
      <c r="K8827" s="2">
        <v>7</v>
      </c>
      <c r="L8827" s="2">
        <v>354</v>
      </c>
    </row>
    <row r="8828" spans="1:12" x14ac:dyDescent="0.25">
      <c r="A8828" s="4" t="str">
        <f>HYPERLINK("http://www.rosaceae.org/Prunus/Prunus_persica/p.persica_gdr_reftransV1_0022621","p.persica_gdr_reftransV1_0022621")</f>
        <v>p.persica_gdr_reftransV1_0022621</v>
      </c>
      <c r="B8828" s="2">
        <v>2388</v>
      </c>
      <c r="C8828" s="4" t="str">
        <f>HYPERLINK("http://www.uniprot.org/uniprot/M5XBR3","M5XBR3")</f>
        <v>M5XBR3</v>
      </c>
      <c r="D8828" s="2" t="s">
        <v>7702</v>
      </c>
      <c r="E8828" s="3">
        <v>0</v>
      </c>
      <c r="F8828" s="2">
        <v>2065</v>
      </c>
      <c r="G8828" s="2">
        <v>98</v>
      </c>
      <c r="H8828" s="2">
        <v>403</v>
      </c>
      <c r="I8828" s="2">
        <v>897</v>
      </c>
      <c r="J8828" s="2">
        <v>2105</v>
      </c>
      <c r="K8828" s="2">
        <v>1</v>
      </c>
      <c r="L8828" s="2">
        <v>403</v>
      </c>
    </row>
    <row r="8829" spans="1:12" x14ac:dyDescent="0.25">
      <c r="A8829" s="4" t="str">
        <f>HYPERLINK("http://www.rosaceae.org/Prunus/Prunus_persica/p.persica_gdr_reftransV1_0022971","p.persica_gdr_reftransV1_0022971")</f>
        <v>p.persica_gdr_reftransV1_0022971</v>
      </c>
      <c r="B8829" s="2">
        <v>1729</v>
      </c>
      <c r="C8829" s="4" t="str">
        <f>HYPERLINK("http://www.uniprot.org/uniprot/M5VSE7","M5VSE7")</f>
        <v>M5VSE7</v>
      </c>
      <c r="D8829" s="2" t="s">
        <v>7703</v>
      </c>
      <c r="E8829" s="3">
        <v>0</v>
      </c>
      <c r="F8829" s="2">
        <v>2773</v>
      </c>
      <c r="G8829" s="2">
        <v>100</v>
      </c>
      <c r="H8829" s="2">
        <v>516</v>
      </c>
      <c r="I8829" s="2">
        <v>2</v>
      </c>
      <c r="J8829" s="2">
        <v>1549</v>
      </c>
      <c r="K8829" s="2">
        <v>869</v>
      </c>
      <c r="L8829" s="2">
        <v>1384</v>
      </c>
    </row>
    <row r="8830" spans="1:12" x14ac:dyDescent="0.25">
      <c r="A8830" s="4" t="str">
        <f>HYPERLINK("http://www.rosaceae.org/Prunus/Prunus_persica/p.persica_gdr_reftransV1_0023321","p.persica_gdr_reftransV1_0023321")</f>
        <v>p.persica_gdr_reftransV1_0023321</v>
      </c>
      <c r="B8830" s="2">
        <v>1704</v>
      </c>
      <c r="C8830" s="4" t="str">
        <f>HYPERLINK("http://www.uniprot.org/uniprot/M5VYX0","M5VYX0")</f>
        <v>M5VYX0</v>
      </c>
      <c r="D8830" s="2" t="s">
        <v>7704</v>
      </c>
      <c r="E8830" s="3">
        <v>0</v>
      </c>
      <c r="F8830" s="2">
        <v>1519</v>
      </c>
      <c r="G8830" s="2">
        <v>100</v>
      </c>
      <c r="H8830" s="2">
        <v>282</v>
      </c>
      <c r="I8830" s="2">
        <v>542</v>
      </c>
      <c r="J8830" s="2">
        <v>1387</v>
      </c>
      <c r="K8830" s="2">
        <v>71</v>
      </c>
      <c r="L8830" s="2">
        <v>352</v>
      </c>
    </row>
    <row r="8831" spans="1:12" x14ac:dyDescent="0.25">
      <c r="A8831" s="4" t="str">
        <f>HYPERLINK("http://www.rosaceae.org/Prunus/Prunus_persica/p.persica_gdr_reftransV1_0023671","p.persica_gdr_reftransV1_0023671")</f>
        <v>p.persica_gdr_reftransV1_0023671</v>
      </c>
      <c r="B8831" s="2">
        <v>2873</v>
      </c>
      <c r="C8831" s="4" t="str">
        <f>HYPERLINK("http://www.uniprot.org/uniprot/M5XJJ8","M5XJJ8")</f>
        <v>M5XJJ8</v>
      </c>
      <c r="D8831" s="2" t="s">
        <v>5250</v>
      </c>
      <c r="E8831" s="3">
        <v>2.6400000000000002E-168</v>
      </c>
      <c r="F8831" s="2">
        <v>1315</v>
      </c>
      <c r="G8831" s="2">
        <v>100</v>
      </c>
      <c r="H8831" s="2">
        <v>329</v>
      </c>
      <c r="I8831" s="2">
        <v>1719</v>
      </c>
      <c r="J8831" s="2">
        <v>2705</v>
      </c>
      <c r="K8831" s="2">
        <v>1</v>
      </c>
      <c r="L8831" s="2">
        <v>329</v>
      </c>
    </row>
    <row r="8832" spans="1:12" x14ac:dyDescent="0.25">
      <c r="A8832" s="4" t="str">
        <f>HYPERLINK("http://www.rosaceae.org/Prunus/Prunus_persica/p.persica_gdr_reftransV1_0024371","p.persica_gdr_reftransV1_0024371")</f>
        <v>p.persica_gdr_reftransV1_0024371</v>
      </c>
      <c r="B8832" s="2">
        <v>1112</v>
      </c>
      <c r="C8832" s="4" t="str">
        <f>HYPERLINK("http://www.uniprot.org/uniprot/W9S789","W9S789")</f>
        <v>W9S789</v>
      </c>
      <c r="D8832" s="2" t="s">
        <v>7705</v>
      </c>
      <c r="E8832" s="3">
        <v>2.52E-101</v>
      </c>
      <c r="F8832" s="2">
        <v>650</v>
      </c>
      <c r="G8832" s="2">
        <v>74</v>
      </c>
      <c r="H8832" s="2">
        <v>163</v>
      </c>
      <c r="I8832" s="2">
        <v>577</v>
      </c>
      <c r="J8832" s="2">
        <v>1062</v>
      </c>
      <c r="K8832" s="2">
        <v>72</v>
      </c>
      <c r="L8832" s="2">
        <v>233</v>
      </c>
    </row>
    <row r="8833" spans="1:12" x14ac:dyDescent="0.25">
      <c r="A8833" s="4" t="str">
        <f>HYPERLINK("http://www.rosaceae.org/Prunus/Prunus_persica/p.persica_gdr_reftransV1_0024721","p.persica_gdr_reftransV1_0024721")</f>
        <v>p.persica_gdr_reftransV1_0024721</v>
      </c>
      <c r="B8833" s="2">
        <v>1149</v>
      </c>
      <c r="C8833" s="4" t="str">
        <f>HYPERLINK("http://www.uniprot.org/uniprot/M5W011","M5W011")</f>
        <v>M5W011</v>
      </c>
      <c r="D8833" s="2" t="s">
        <v>7706</v>
      </c>
      <c r="E8833" s="3">
        <v>1.05E-86</v>
      </c>
      <c r="F8833" s="2">
        <v>699</v>
      </c>
      <c r="G8833" s="2">
        <v>99</v>
      </c>
      <c r="H8833" s="2">
        <v>133</v>
      </c>
      <c r="I8833" s="2">
        <v>156</v>
      </c>
      <c r="J8833" s="2">
        <v>554</v>
      </c>
      <c r="K8833" s="2">
        <v>81</v>
      </c>
      <c r="L8833" s="2">
        <v>213</v>
      </c>
    </row>
    <row r="8834" spans="1:12" x14ac:dyDescent="0.25">
      <c r="A8834" s="4" t="str">
        <f>HYPERLINK("http://www.rosaceae.org/Prunus/Prunus_persica/p.persica_gdr_reftransV1_0026821","p.persica_gdr_reftransV1_0026821")</f>
        <v>p.persica_gdr_reftransV1_0026821</v>
      </c>
      <c r="B8834" s="2">
        <v>4365</v>
      </c>
      <c r="C8834" s="4" t="str">
        <f>HYPERLINK("http://www.uniprot.org/uniprot/M5VV79","M5VV79")</f>
        <v>M5VV79</v>
      </c>
      <c r="D8834" s="2" t="s">
        <v>7707</v>
      </c>
      <c r="E8834" s="3">
        <v>0</v>
      </c>
      <c r="F8834" s="2">
        <v>1497</v>
      </c>
      <c r="G8834" s="2">
        <v>100</v>
      </c>
      <c r="H8834" s="2">
        <v>284</v>
      </c>
      <c r="I8834" s="2">
        <v>1271</v>
      </c>
      <c r="J8834" s="2">
        <v>2122</v>
      </c>
      <c r="K8834" s="2">
        <v>1</v>
      </c>
      <c r="L8834" s="2">
        <v>284</v>
      </c>
    </row>
    <row r="8835" spans="1:12" x14ac:dyDescent="0.25">
      <c r="A8835" s="4" t="str">
        <f>HYPERLINK("http://www.rosaceae.org/Prunus/Prunus_persica/p.persica_gdr_reftransV1_0028571","p.persica_gdr_reftransV1_0028571")</f>
        <v>p.persica_gdr_reftransV1_0028571</v>
      </c>
      <c r="B8835" s="2">
        <v>2792</v>
      </c>
      <c r="C8835" s="4" t="str">
        <f>HYPERLINK("http://www.uniprot.org/uniprot/M5X0N1","M5X0N1")</f>
        <v>M5X0N1</v>
      </c>
      <c r="D8835" s="2" t="s">
        <v>7708</v>
      </c>
      <c r="E8835" s="3">
        <v>0</v>
      </c>
      <c r="F8835" s="2">
        <v>2417</v>
      </c>
      <c r="G8835" s="2">
        <v>88</v>
      </c>
      <c r="H8835" s="2">
        <v>609</v>
      </c>
      <c r="I8835" s="2">
        <v>404</v>
      </c>
      <c r="J8835" s="2">
        <v>2230</v>
      </c>
      <c r="K8835" s="2">
        <v>1</v>
      </c>
      <c r="L8835" s="2">
        <v>543</v>
      </c>
    </row>
    <row r="8836" spans="1:12" x14ac:dyDescent="0.25">
      <c r="A8836" s="4" t="str">
        <f>HYPERLINK("http://www.rosaceae.org/Prunus/Prunus_persica/p.persica_gdr_reftransV1_0030321","p.persica_gdr_reftransV1_0030321")</f>
        <v>p.persica_gdr_reftransV1_0030321</v>
      </c>
      <c r="B8836" s="2">
        <v>4974</v>
      </c>
      <c r="C8836" s="4" t="str">
        <f>HYPERLINK("http://www.uniprot.org/uniprot/M5X1Y3","M5X1Y3")</f>
        <v>M5X1Y3</v>
      </c>
      <c r="D8836" s="2" t="s">
        <v>7709</v>
      </c>
      <c r="E8836" s="3">
        <v>0</v>
      </c>
      <c r="F8836" s="2">
        <v>4568</v>
      </c>
      <c r="G8836" s="2">
        <v>96</v>
      </c>
      <c r="H8836" s="2">
        <v>974</v>
      </c>
      <c r="I8836" s="2">
        <v>2118</v>
      </c>
      <c r="J8836" s="2">
        <v>4937</v>
      </c>
      <c r="K8836" s="2">
        <v>1</v>
      </c>
      <c r="L8836" s="2">
        <v>974</v>
      </c>
    </row>
    <row r="8837" spans="1:12" x14ac:dyDescent="0.25">
      <c r="A8837" s="4" t="str">
        <f>HYPERLINK("http://www.rosaceae.org/Prunus/Prunus_persica/p.persica_gdr_reftransV1_0033121","p.persica_gdr_reftransV1_0033121")</f>
        <v>p.persica_gdr_reftransV1_0033121</v>
      </c>
      <c r="B8837" s="2">
        <v>2124</v>
      </c>
      <c r="C8837" s="4" t="str">
        <f>HYPERLINK("http://www.uniprot.org/uniprot/M5XMK0","M5XMK0")</f>
        <v>M5XMK0</v>
      </c>
      <c r="D8837" s="2" t="s">
        <v>7710</v>
      </c>
      <c r="E8837" s="3">
        <v>1.5000000000000001E-60</v>
      </c>
      <c r="F8837" s="2">
        <v>532</v>
      </c>
      <c r="G8837" s="2">
        <v>100</v>
      </c>
      <c r="H8837" s="2">
        <v>101</v>
      </c>
      <c r="I8837" s="2">
        <v>1822</v>
      </c>
      <c r="J8837" s="2">
        <v>2124</v>
      </c>
      <c r="K8837" s="2">
        <v>5</v>
      </c>
      <c r="L8837" s="2">
        <v>105</v>
      </c>
    </row>
    <row r="8838" spans="1:12" x14ac:dyDescent="0.25">
      <c r="A8838" s="4" t="str">
        <f>HYPERLINK("http://www.rosaceae.org/Prunus/Prunus_persica/p.persica_gdr_reftransV1_0033471","p.persica_gdr_reftransV1_0033471")</f>
        <v>p.persica_gdr_reftransV1_0033471</v>
      </c>
      <c r="B8838" s="2">
        <v>4291</v>
      </c>
      <c r="C8838" s="4" t="str">
        <f>HYPERLINK("http://www.uniprot.org/uniprot/M5XGU6","M5XGU6")</f>
        <v>M5XGU6</v>
      </c>
      <c r="D8838" s="2" t="s">
        <v>7711</v>
      </c>
      <c r="E8838" s="3">
        <v>0</v>
      </c>
      <c r="F8838" s="2">
        <v>2893</v>
      </c>
      <c r="G8838" s="2">
        <v>100</v>
      </c>
      <c r="H8838" s="2">
        <v>555</v>
      </c>
      <c r="I8838" s="2">
        <v>462</v>
      </c>
      <c r="J8838" s="2">
        <v>2126</v>
      </c>
      <c r="K8838" s="2">
        <v>599</v>
      </c>
      <c r="L8838" s="2">
        <v>1153</v>
      </c>
    </row>
    <row r="8839" spans="1:12" x14ac:dyDescent="0.25">
      <c r="A8839" s="4" t="str">
        <f>HYPERLINK("http://www.rosaceae.org/Prunus/Prunus_persica/p.persica_gdr_reftransV1_0035921","p.persica_gdr_reftransV1_0035921")</f>
        <v>p.persica_gdr_reftransV1_0035921</v>
      </c>
      <c r="B8839" s="2">
        <v>3729</v>
      </c>
      <c r="C8839" s="4" t="str">
        <f>HYPERLINK("http://www.uniprot.org/uniprot/M5W7L8","M5W7L8")</f>
        <v>M5W7L8</v>
      </c>
      <c r="D8839" s="2" t="s">
        <v>7712</v>
      </c>
      <c r="E8839" s="3">
        <v>6.7299999999999995E-141</v>
      </c>
      <c r="F8839" s="2">
        <v>1133</v>
      </c>
      <c r="G8839" s="2">
        <v>100</v>
      </c>
      <c r="H8839" s="2">
        <v>211</v>
      </c>
      <c r="I8839" s="2">
        <v>2044</v>
      </c>
      <c r="J8839" s="2">
        <v>2676</v>
      </c>
      <c r="K8839" s="2">
        <v>75</v>
      </c>
      <c r="L8839" s="2">
        <v>285</v>
      </c>
    </row>
    <row r="8840" spans="1:12" x14ac:dyDescent="0.25">
      <c r="A8840" s="4" t="str">
        <f>HYPERLINK("http://www.rosaceae.org/Prunus/Prunus_persica/p.persica_gdr_reftransV1_0037671","p.persica_gdr_reftransV1_0037671")</f>
        <v>p.persica_gdr_reftransV1_0037671</v>
      </c>
      <c r="B8840" s="2">
        <v>4855</v>
      </c>
      <c r="C8840" s="4" t="str">
        <f>HYPERLINK("http://www.uniprot.org/uniprot/M5VPF9","M5VPF9")</f>
        <v>M5VPF9</v>
      </c>
      <c r="D8840" s="2" t="s">
        <v>3889</v>
      </c>
      <c r="E8840" s="3">
        <v>0</v>
      </c>
      <c r="F8840" s="2">
        <v>3722</v>
      </c>
      <c r="G8840" s="2">
        <v>100</v>
      </c>
      <c r="H8840" s="2">
        <v>711</v>
      </c>
      <c r="I8840" s="2">
        <v>2407</v>
      </c>
      <c r="J8840" s="2">
        <v>4539</v>
      </c>
      <c r="K8840" s="2">
        <v>44</v>
      </c>
      <c r="L8840" s="2">
        <v>754</v>
      </c>
    </row>
    <row r="8841" spans="1:12" x14ac:dyDescent="0.25">
      <c r="A8841" s="4" t="str">
        <f>HYPERLINK("http://www.rosaceae.org/Prunus/Prunus_persica/p.persica_gdr_reftransV1_0038371","p.persica_gdr_reftransV1_0038371")</f>
        <v>p.persica_gdr_reftransV1_0038371</v>
      </c>
      <c r="B8841" s="2">
        <v>1762</v>
      </c>
      <c r="C8841" s="4" t="str">
        <f>HYPERLINK("http://www.uniprot.org/uniprot/M5WAR0","M5WAR0")</f>
        <v>M5WAR0</v>
      </c>
      <c r="D8841" s="2" t="s">
        <v>7713</v>
      </c>
      <c r="E8841" s="3">
        <v>1.1100000000000001E-47</v>
      </c>
      <c r="F8841" s="2">
        <v>341</v>
      </c>
      <c r="G8841" s="2">
        <v>69</v>
      </c>
      <c r="H8841" s="2">
        <v>103</v>
      </c>
      <c r="I8841" s="2">
        <v>704</v>
      </c>
      <c r="J8841" s="2">
        <v>1012</v>
      </c>
      <c r="K8841" s="2">
        <v>94</v>
      </c>
      <c r="L8841" s="2">
        <v>165</v>
      </c>
    </row>
    <row r="8842" spans="1:12" x14ac:dyDescent="0.25">
      <c r="A8842" s="4" t="str">
        <f>HYPERLINK("http://www.rosaceae.org/Prunus/Prunus_persica/p.persica_gdr_reftransV1_0038721","p.persica_gdr_reftransV1_0038721")</f>
        <v>p.persica_gdr_reftransV1_0038721</v>
      </c>
      <c r="B8842" s="2">
        <v>3098</v>
      </c>
      <c r="C8842" s="4" t="str">
        <f>HYPERLINK("http://www.uniprot.org/uniprot/M5WIK2","M5WIK2")</f>
        <v>M5WIK2</v>
      </c>
      <c r="D8842" s="2" t="s">
        <v>7714</v>
      </c>
      <c r="E8842" s="3">
        <v>0</v>
      </c>
      <c r="F8842" s="2">
        <v>2436</v>
      </c>
      <c r="G8842" s="2">
        <v>98</v>
      </c>
      <c r="H8842" s="2">
        <v>492</v>
      </c>
      <c r="I8842" s="2">
        <v>530</v>
      </c>
      <c r="J8842" s="2">
        <v>2005</v>
      </c>
      <c r="K8842" s="2">
        <v>71</v>
      </c>
      <c r="L8842" s="2">
        <v>559</v>
      </c>
    </row>
    <row r="8843" spans="1:12" x14ac:dyDescent="0.25">
      <c r="A8843" s="4" t="str">
        <f>HYPERLINK("http://www.rosaceae.org/Prunus/Prunus_persica/p.persica_gdr_reftransV1_0039421","p.persica_gdr_reftransV1_0039421")</f>
        <v>p.persica_gdr_reftransV1_0039421</v>
      </c>
      <c r="B8843" s="2">
        <v>2226</v>
      </c>
      <c r="C8843" s="4" t="str">
        <f>HYPERLINK("http://www.uniprot.org/uniprot/M5WCR5","M5WCR5")</f>
        <v>M5WCR5</v>
      </c>
      <c r="D8843" s="2" t="s">
        <v>7715</v>
      </c>
      <c r="E8843" s="3">
        <v>0</v>
      </c>
      <c r="F8843" s="2">
        <v>1506</v>
      </c>
      <c r="G8843" s="2">
        <v>92</v>
      </c>
      <c r="H8843" s="2">
        <v>312</v>
      </c>
      <c r="I8843" s="2">
        <v>46</v>
      </c>
      <c r="J8843" s="2">
        <v>978</v>
      </c>
      <c r="K8843" s="2">
        <v>1</v>
      </c>
      <c r="L8843" s="2">
        <v>308</v>
      </c>
    </row>
    <row r="8844" spans="1:12" x14ac:dyDescent="0.25">
      <c r="A8844" s="4" t="str">
        <f>HYPERLINK("http://www.rosaceae.org/Prunus/Prunus_persica/p.persica_gdr_reftransV1_0040121","p.persica_gdr_reftransV1_0040121")</f>
        <v>p.persica_gdr_reftransV1_0040121</v>
      </c>
      <c r="B8844" s="2">
        <v>2907</v>
      </c>
      <c r="C8844" s="4" t="str">
        <f>HYPERLINK("http://www.uniprot.org/uniprot/M5XVV5","M5XVV5")</f>
        <v>M5XVV5</v>
      </c>
      <c r="D8844" s="2" t="s">
        <v>7716</v>
      </c>
      <c r="E8844" s="3">
        <v>0</v>
      </c>
      <c r="F8844" s="2">
        <v>1472</v>
      </c>
      <c r="G8844" s="2">
        <v>97</v>
      </c>
      <c r="H8844" s="2">
        <v>306</v>
      </c>
      <c r="I8844" s="2">
        <v>1623</v>
      </c>
      <c r="J8844" s="2">
        <v>2540</v>
      </c>
      <c r="K8844" s="2">
        <v>151</v>
      </c>
      <c r="L8844" s="2">
        <v>450</v>
      </c>
    </row>
    <row r="8845" spans="1:12" x14ac:dyDescent="0.25">
      <c r="A8845" s="4" t="str">
        <f>HYPERLINK("http://www.rosaceae.org/Prunus/Prunus_persica/p.persica_gdr_reftransV1_0042571","p.persica_gdr_reftransV1_0042571")</f>
        <v>p.persica_gdr_reftransV1_0042571</v>
      </c>
      <c r="B8845" s="2">
        <v>659</v>
      </c>
      <c r="C8845" s="4" t="str">
        <f>HYPERLINK("http://www.uniprot.org/uniprot/M5XUL3","M5XUL3")</f>
        <v>M5XUL3</v>
      </c>
      <c r="D8845" s="2" t="s">
        <v>7717</v>
      </c>
      <c r="E8845" s="3">
        <v>9.7300000000000003E-57</v>
      </c>
      <c r="F8845" s="2">
        <v>510</v>
      </c>
      <c r="G8845" s="2">
        <v>100</v>
      </c>
      <c r="H8845" s="2">
        <v>94</v>
      </c>
      <c r="I8845" s="2">
        <v>2</v>
      </c>
      <c r="J8845" s="2">
        <v>283</v>
      </c>
      <c r="K8845" s="2">
        <v>476</v>
      </c>
      <c r="L8845" s="2">
        <v>569</v>
      </c>
    </row>
    <row r="8846" spans="1:12" x14ac:dyDescent="0.25">
      <c r="A8846" s="4" t="str">
        <f>HYPERLINK("http://www.rosaceae.org/Prunus/Prunus_persica/p.persica_gdr_reftransV1_0043271","p.persica_gdr_reftransV1_0043271")</f>
        <v>p.persica_gdr_reftransV1_0043271</v>
      </c>
      <c r="B8846" s="2">
        <v>1500</v>
      </c>
      <c r="C8846" s="4" t="str">
        <f>HYPERLINK("http://www.uniprot.org/uniprot/M5XYH0","M5XYH0")</f>
        <v>M5XYH0</v>
      </c>
      <c r="D8846" s="2" t="s">
        <v>7718</v>
      </c>
      <c r="E8846" s="3">
        <v>0</v>
      </c>
      <c r="F8846" s="2">
        <v>2342</v>
      </c>
      <c r="G8846" s="2">
        <v>100</v>
      </c>
      <c r="H8846" s="2">
        <v>463</v>
      </c>
      <c r="I8846" s="2">
        <v>82</v>
      </c>
      <c r="J8846" s="2">
        <v>1470</v>
      </c>
      <c r="K8846" s="2">
        <v>1</v>
      </c>
      <c r="L8846" s="2">
        <v>463</v>
      </c>
    </row>
    <row r="8847" spans="1:12" x14ac:dyDescent="0.25">
      <c r="A8847" s="4" t="str">
        <f>HYPERLINK("http://www.rosaceae.org/Prunus/Prunus_persica/p.persica_gdr_reftransV1_0043621","p.persica_gdr_reftransV1_0043621")</f>
        <v>p.persica_gdr_reftransV1_0043621</v>
      </c>
      <c r="B8847" s="2">
        <v>1807</v>
      </c>
      <c r="C8847" s="4" t="str">
        <f>HYPERLINK("http://www.uniprot.org/uniprot/M5VTG3","M5VTG3")</f>
        <v>M5VTG3</v>
      </c>
      <c r="D8847" s="2" t="s">
        <v>7719</v>
      </c>
      <c r="E8847" s="3">
        <v>0</v>
      </c>
      <c r="F8847" s="2">
        <v>2325</v>
      </c>
      <c r="G8847" s="2">
        <v>100</v>
      </c>
      <c r="H8847" s="2">
        <v>469</v>
      </c>
      <c r="I8847" s="2">
        <v>234</v>
      </c>
      <c r="J8847" s="2">
        <v>1640</v>
      </c>
      <c r="K8847" s="2">
        <v>19</v>
      </c>
      <c r="L8847" s="2">
        <v>487</v>
      </c>
    </row>
    <row r="8848" spans="1:12" x14ac:dyDescent="0.25">
      <c r="A8848" s="4" t="str">
        <f>HYPERLINK("http://www.rosaceae.org/Prunus/Prunus_persica/p.persica_gdr_reftransV1_0043971","p.persica_gdr_reftransV1_0043971")</f>
        <v>p.persica_gdr_reftransV1_0043971</v>
      </c>
      <c r="B8848" s="2">
        <v>1659</v>
      </c>
      <c r="C8848" s="4" t="str">
        <f>HYPERLINK("http://www.uniprot.org/uniprot/M5X6I5","M5X6I5")</f>
        <v>M5X6I5</v>
      </c>
      <c r="D8848" s="2" t="s">
        <v>3604</v>
      </c>
      <c r="E8848" s="3">
        <v>0</v>
      </c>
      <c r="F8848" s="2">
        <v>1763</v>
      </c>
      <c r="G8848" s="2">
        <v>100</v>
      </c>
      <c r="H8848" s="2">
        <v>329</v>
      </c>
      <c r="I8848" s="2">
        <v>257</v>
      </c>
      <c r="J8848" s="2">
        <v>1243</v>
      </c>
      <c r="K8848" s="2">
        <v>1</v>
      </c>
      <c r="L8848" s="2">
        <v>329</v>
      </c>
    </row>
    <row r="8849" spans="1:12" x14ac:dyDescent="0.25">
      <c r="A8849" s="4" t="str">
        <f>HYPERLINK("http://www.rosaceae.org/Prunus/Prunus_persica/p.persica_gdr_reftransV1_0045021","p.persica_gdr_reftransV1_0045021")</f>
        <v>p.persica_gdr_reftransV1_0045021</v>
      </c>
      <c r="B8849" s="2">
        <v>922</v>
      </c>
      <c r="C8849" s="4" t="str">
        <f>HYPERLINK("http://www.uniprot.org/uniprot/M5XHX0","M5XHX0")</f>
        <v>M5XHX0</v>
      </c>
      <c r="D8849" s="2" t="s">
        <v>7720</v>
      </c>
      <c r="E8849" s="3">
        <v>1.5600000000000001E-75</v>
      </c>
      <c r="F8849" s="2">
        <v>621</v>
      </c>
      <c r="G8849" s="2">
        <v>100</v>
      </c>
      <c r="H8849" s="2">
        <v>146</v>
      </c>
      <c r="I8849" s="2">
        <v>115</v>
      </c>
      <c r="J8849" s="2">
        <v>552</v>
      </c>
      <c r="K8849" s="2">
        <v>110</v>
      </c>
      <c r="L8849" s="2">
        <v>255</v>
      </c>
    </row>
    <row r="8850" spans="1:12" x14ac:dyDescent="0.25">
      <c r="A8850" s="4" t="str">
        <f>HYPERLINK("http://www.rosaceae.org/Prunus/Prunus_persica/p.persica_gdr_reftransV1_0045371","p.persica_gdr_reftransV1_0045371")</f>
        <v>p.persica_gdr_reftransV1_0045371</v>
      </c>
      <c r="B8850" s="2">
        <v>2240</v>
      </c>
      <c r="C8850" s="4" t="str">
        <f>HYPERLINK("http://www.uniprot.org/uniprot/M5VIJ1","M5VIJ1")</f>
        <v>M5VIJ1</v>
      </c>
      <c r="D8850" s="2" t="s">
        <v>744</v>
      </c>
      <c r="E8850" s="3">
        <v>0</v>
      </c>
      <c r="F8850" s="2">
        <v>1902</v>
      </c>
      <c r="G8850" s="2">
        <v>100</v>
      </c>
      <c r="H8850" s="2">
        <v>349</v>
      </c>
      <c r="I8850" s="2">
        <v>3</v>
      </c>
      <c r="J8850" s="2">
        <v>1049</v>
      </c>
      <c r="K8850" s="2">
        <v>833</v>
      </c>
      <c r="L8850" s="2">
        <v>1181</v>
      </c>
    </row>
    <row r="8851" spans="1:12" x14ac:dyDescent="0.25">
      <c r="A8851" s="4" t="str">
        <f>HYPERLINK("http://www.rosaceae.org/Prunus/Prunus_persica/p.persica_gdr_reftransV1_0046421","p.persica_gdr_reftransV1_0046421")</f>
        <v>p.persica_gdr_reftransV1_0046421</v>
      </c>
      <c r="B8851" s="2">
        <v>3014</v>
      </c>
      <c r="C8851" s="4" t="str">
        <f>HYPERLINK("http://www.uniprot.org/uniprot/M5X7Q2","M5X7Q2")</f>
        <v>M5X7Q2</v>
      </c>
      <c r="D8851" s="2" t="s">
        <v>7721</v>
      </c>
      <c r="E8851" s="3">
        <v>0</v>
      </c>
      <c r="F8851" s="2">
        <v>4727</v>
      </c>
      <c r="G8851" s="2">
        <v>100</v>
      </c>
      <c r="H8851" s="2">
        <v>1004</v>
      </c>
      <c r="I8851" s="2">
        <v>3</v>
      </c>
      <c r="J8851" s="2">
        <v>3014</v>
      </c>
      <c r="K8851" s="2">
        <v>61</v>
      </c>
      <c r="L8851" s="2">
        <v>1064</v>
      </c>
    </row>
    <row r="8852" spans="1:12" x14ac:dyDescent="0.25">
      <c r="A8852" s="4" t="str">
        <f>HYPERLINK("http://www.rosaceae.org/Prunus/Prunus_persica/p.persica_gdr_reftransV1_0046771","p.persica_gdr_reftransV1_0046771")</f>
        <v>p.persica_gdr_reftransV1_0046771</v>
      </c>
      <c r="B8852" s="2">
        <v>1079</v>
      </c>
      <c r="C8852" s="4" t="str">
        <f>HYPERLINK("http://www.uniprot.org/uniprot/M5WAQ7","M5WAQ7")</f>
        <v>M5WAQ7</v>
      </c>
      <c r="D8852" s="2" t="s">
        <v>7722</v>
      </c>
      <c r="E8852" s="3">
        <v>4.7899999999999998E-110</v>
      </c>
      <c r="F8852" s="2">
        <v>846</v>
      </c>
      <c r="G8852" s="2">
        <v>100</v>
      </c>
      <c r="H8852" s="2">
        <v>162</v>
      </c>
      <c r="I8852" s="2">
        <v>245</v>
      </c>
      <c r="J8852" s="2">
        <v>730</v>
      </c>
      <c r="K8852" s="2">
        <v>3</v>
      </c>
      <c r="L8852" s="2">
        <v>164</v>
      </c>
    </row>
    <row r="8853" spans="1:12" x14ac:dyDescent="0.25">
      <c r="A8853" s="4" t="str">
        <f>HYPERLINK("http://www.rosaceae.org/Prunus/Prunus_persica/p.persica_gdr_reftransV1_0047121","p.persica_gdr_reftransV1_0047121")</f>
        <v>p.persica_gdr_reftransV1_0047121</v>
      </c>
      <c r="B8853" s="2">
        <v>2108</v>
      </c>
      <c r="C8853" s="4" t="str">
        <f>HYPERLINK("http://www.uniprot.org/uniprot/M5VJA9","M5VJA9")</f>
        <v>M5VJA9</v>
      </c>
      <c r="D8853" s="2" t="s">
        <v>7723</v>
      </c>
      <c r="E8853" s="3">
        <v>0</v>
      </c>
      <c r="F8853" s="2">
        <v>3130</v>
      </c>
      <c r="G8853" s="2">
        <v>98</v>
      </c>
      <c r="H8853" s="2">
        <v>601</v>
      </c>
      <c r="I8853" s="2">
        <v>134</v>
      </c>
      <c r="J8853" s="2">
        <v>1936</v>
      </c>
      <c r="K8853" s="2">
        <v>4</v>
      </c>
      <c r="L8853" s="2">
        <v>604</v>
      </c>
    </row>
    <row r="8854" spans="1:12" x14ac:dyDescent="0.25">
      <c r="A8854" s="4" t="str">
        <f>HYPERLINK("http://www.rosaceae.org/Prunus/Prunus_persica/p.persica_gdr_reftransV1_0047471","p.persica_gdr_reftransV1_0047471")</f>
        <v>p.persica_gdr_reftransV1_0047471</v>
      </c>
      <c r="B8854" s="2">
        <v>890</v>
      </c>
      <c r="C8854" s="4" t="str">
        <f>HYPERLINK("http://www.uniprot.org/uniprot/M5X1C6","M5X1C6")</f>
        <v>M5X1C6</v>
      </c>
      <c r="D8854" s="2" t="s">
        <v>7724</v>
      </c>
      <c r="E8854" s="3">
        <v>1.33E-101</v>
      </c>
      <c r="F8854" s="2">
        <v>784</v>
      </c>
      <c r="G8854" s="2">
        <v>100</v>
      </c>
      <c r="H8854" s="2">
        <v>165</v>
      </c>
      <c r="I8854" s="2">
        <v>209</v>
      </c>
      <c r="J8854" s="2">
        <v>703</v>
      </c>
      <c r="K8854" s="2">
        <v>1</v>
      </c>
      <c r="L8854" s="2">
        <v>165</v>
      </c>
    </row>
    <row r="8855" spans="1:12" x14ac:dyDescent="0.25">
      <c r="A8855" s="4" t="str">
        <f>HYPERLINK("http://www.rosaceae.org/Prunus/Prunus_persica/p.persica_gdr_reftransV1_0047821","p.persica_gdr_reftransV1_0047821")</f>
        <v>p.persica_gdr_reftransV1_0047821</v>
      </c>
      <c r="B8855" s="2">
        <v>872</v>
      </c>
      <c r="C8855" s="4" t="str">
        <f>HYPERLINK("http://www.uniprot.org/uniprot/M5X2N5","M5X2N5")</f>
        <v>M5X2N5</v>
      </c>
      <c r="D8855" s="2" t="s">
        <v>7725</v>
      </c>
      <c r="E8855" s="3">
        <v>2.4899999999999998E-103</v>
      </c>
      <c r="F8855" s="2">
        <v>793</v>
      </c>
      <c r="G8855" s="2">
        <v>100</v>
      </c>
      <c r="H8855" s="2">
        <v>151</v>
      </c>
      <c r="I8855" s="2">
        <v>293</v>
      </c>
      <c r="J8855" s="2">
        <v>745</v>
      </c>
      <c r="K8855" s="2">
        <v>1</v>
      </c>
      <c r="L8855" s="2">
        <v>151</v>
      </c>
    </row>
    <row r="8856" spans="1:12" x14ac:dyDescent="0.25">
      <c r="A8856" s="4" t="str">
        <f>HYPERLINK("http://www.rosaceae.org/Prunus/Prunus_persica/p.persica_gdr_reftransV1_0048171","p.persica_gdr_reftransV1_0048171")</f>
        <v>p.persica_gdr_reftransV1_0048171</v>
      </c>
      <c r="B8856" s="2">
        <v>531</v>
      </c>
      <c r="C8856" s="4" t="str">
        <f>HYPERLINK("http://www.uniprot.org/uniprot/M5WEU1","M5WEU1")</f>
        <v>M5WEU1</v>
      </c>
      <c r="D8856" s="2" t="s">
        <v>2990</v>
      </c>
      <c r="E8856" s="3">
        <v>2.4099999999999998E-102</v>
      </c>
      <c r="F8856" s="2">
        <v>830</v>
      </c>
      <c r="G8856" s="2">
        <v>100</v>
      </c>
      <c r="H8856" s="2">
        <v>158</v>
      </c>
      <c r="I8856" s="2">
        <v>56</v>
      </c>
      <c r="J8856" s="2">
        <v>529</v>
      </c>
      <c r="K8856" s="2">
        <v>434</v>
      </c>
      <c r="L8856" s="2">
        <v>591</v>
      </c>
    </row>
    <row r="8857" spans="1:12" x14ac:dyDescent="0.25">
      <c r="A8857" s="4" t="str">
        <f>HYPERLINK("http://www.rosaceae.org/Prunus/Prunus_persica/p.persica_gdr_reftransV1_0048521","p.persica_gdr_reftransV1_0048521")</f>
        <v>p.persica_gdr_reftransV1_0048521</v>
      </c>
      <c r="B8857" s="2">
        <v>1315</v>
      </c>
      <c r="C8857" s="4" t="str">
        <f>HYPERLINK("http://www.uniprot.org/uniprot/M5XFT6","M5XFT6")</f>
        <v>M5XFT6</v>
      </c>
      <c r="D8857" s="2" t="s">
        <v>1567</v>
      </c>
      <c r="E8857" s="3">
        <v>1.64E-115</v>
      </c>
      <c r="F8857" s="2">
        <v>890</v>
      </c>
      <c r="G8857" s="2">
        <v>100</v>
      </c>
      <c r="H8857" s="2">
        <v>166</v>
      </c>
      <c r="I8857" s="2">
        <v>439</v>
      </c>
      <c r="J8857" s="2">
        <v>936</v>
      </c>
      <c r="K8857" s="2">
        <v>1</v>
      </c>
      <c r="L8857" s="2">
        <v>166</v>
      </c>
    </row>
    <row r="8858" spans="1:12" x14ac:dyDescent="0.25">
      <c r="A8858" s="4" t="str">
        <f>HYPERLINK("http://www.rosaceae.org/Prunus/Prunus_persica/p.persica_gdr_reftransV1_0048871","p.persica_gdr_reftransV1_0048871")</f>
        <v>p.persica_gdr_reftransV1_0048871</v>
      </c>
      <c r="B8858" s="2">
        <v>1809</v>
      </c>
      <c r="C8858" s="4" t="str">
        <f>HYPERLINK("http://www.uniprot.org/uniprot/M5WHD2","M5WHD2")</f>
        <v>M5WHD2</v>
      </c>
      <c r="D8858" s="2" t="s">
        <v>3084</v>
      </c>
      <c r="E8858" s="3">
        <v>0</v>
      </c>
      <c r="F8858" s="2">
        <v>1829</v>
      </c>
      <c r="G8858" s="2">
        <v>89</v>
      </c>
      <c r="H8858" s="2">
        <v>397</v>
      </c>
      <c r="I8858" s="2">
        <v>455</v>
      </c>
      <c r="J8858" s="2">
        <v>1645</v>
      </c>
      <c r="K8858" s="2">
        <v>1</v>
      </c>
      <c r="L8858" s="2">
        <v>360</v>
      </c>
    </row>
    <row r="8859" spans="1:12" x14ac:dyDescent="0.25">
      <c r="A8859" s="4" t="str">
        <f>HYPERLINK("http://www.rosaceae.org/Prunus/Prunus_persica/p.persica_gdr_reftransV1_0000222","p.persica_gdr_reftransV1_0000222")</f>
        <v>p.persica_gdr_reftransV1_0000222</v>
      </c>
      <c r="B8859" s="2">
        <v>531</v>
      </c>
      <c r="C8859" s="4" t="str">
        <f>HYPERLINK("http://www.uniprot.org/uniprot/W9S242","W9S242")</f>
        <v>W9S242</v>
      </c>
      <c r="D8859" s="2" t="s">
        <v>7726</v>
      </c>
      <c r="E8859" s="3">
        <v>1.1500000000000001E-50</v>
      </c>
      <c r="F8859" s="2">
        <v>465</v>
      </c>
      <c r="G8859" s="2">
        <v>56</v>
      </c>
      <c r="H8859" s="2">
        <v>174</v>
      </c>
      <c r="I8859" s="2">
        <v>27</v>
      </c>
      <c r="J8859" s="2">
        <v>530</v>
      </c>
      <c r="K8859" s="2">
        <v>139</v>
      </c>
      <c r="L8859" s="2">
        <v>312</v>
      </c>
    </row>
    <row r="8860" spans="1:12" x14ac:dyDescent="0.25">
      <c r="A8860" s="4" t="str">
        <f>HYPERLINK("http://www.rosaceae.org/Prunus/Prunus_persica/p.persica_gdr_reftransV1_0000572","p.persica_gdr_reftransV1_0000572")</f>
        <v>p.persica_gdr_reftransV1_0000572</v>
      </c>
      <c r="B8860" s="2">
        <v>395</v>
      </c>
      <c r="C8860" s="4" t="str">
        <f>HYPERLINK("http://www.uniprot.org/uniprot/M5WTR4","M5WTR4")</f>
        <v>M5WTR4</v>
      </c>
      <c r="D8860" s="2" t="s">
        <v>7727</v>
      </c>
      <c r="E8860" s="3">
        <v>1.0799999999999999E-50</v>
      </c>
      <c r="F8860" s="2">
        <v>444</v>
      </c>
      <c r="G8860" s="2">
        <v>82</v>
      </c>
      <c r="H8860" s="2">
        <v>102</v>
      </c>
      <c r="I8860" s="2">
        <v>3</v>
      </c>
      <c r="J8860" s="2">
        <v>305</v>
      </c>
      <c r="K8860" s="2">
        <v>1</v>
      </c>
      <c r="L8860" s="2">
        <v>102</v>
      </c>
    </row>
    <row r="8861" spans="1:12" x14ac:dyDescent="0.25">
      <c r="A8861" s="4" t="str">
        <f>HYPERLINK("http://www.rosaceae.org/Prunus/Prunus_persica/p.persica_gdr_reftransV1_0001272","p.persica_gdr_reftransV1_0001272")</f>
        <v>p.persica_gdr_reftransV1_0001272</v>
      </c>
      <c r="B8861" s="2">
        <v>1559</v>
      </c>
      <c r="C8861" s="4" t="str">
        <f>HYPERLINK("http://www.uniprot.org/uniprot/M5WUF3","M5WUF3")</f>
        <v>M5WUF3</v>
      </c>
      <c r="D8861" s="2" t="s">
        <v>7728</v>
      </c>
      <c r="E8861" s="3">
        <v>0</v>
      </c>
      <c r="F8861" s="2">
        <v>2165</v>
      </c>
      <c r="G8861" s="2">
        <v>100</v>
      </c>
      <c r="H8861" s="2">
        <v>400</v>
      </c>
      <c r="I8861" s="2">
        <v>252</v>
      </c>
      <c r="J8861" s="2">
        <v>1451</v>
      </c>
      <c r="K8861" s="2">
        <v>1</v>
      </c>
      <c r="L8861" s="2">
        <v>400</v>
      </c>
    </row>
    <row r="8862" spans="1:12" x14ac:dyDescent="0.25">
      <c r="A8862" s="4" t="str">
        <f>HYPERLINK("http://www.rosaceae.org/Prunus/Prunus_persica/p.persica_gdr_reftransV1_0001622","p.persica_gdr_reftransV1_0001622")</f>
        <v>p.persica_gdr_reftransV1_0001622</v>
      </c>
      <c r="B8862" s="2">
        <v>2747</v>
      </c>
      <c r="C8862" s="4" t="str">
        <f>HYPERLINK("http://www.uniprot.org/uniprot/M5XAV8","M5XAV8")</f>
        <v>M5XAV8</v>
      </c>
      <c r="D8862" s="2" t="s">
        <v>2537</v>
      </c>
      <c r="E8862" s="3">
        <v>0</v>
      </c>
      <c r="F8862" s="2">
        <v>3089</v>
      </c>
      <c r="G8862" s="2">
        <v>100</v>
      </c>
      <c r="H8862" s="2">
        <v>608</v>
      </c>
      <c r="I8862" s="2">
        <v>251</v>
      </c>
      <c r="J8862" s="2">
        <v>2074</v>
      </c>
      <c r="K8862" s="2">
        <v>1</v>
      </c>
      <c r="L8862" s="2">
        <v>608</v>
      </c>
    </row>
    <row r="8863" spans="1:12" x14ac:dyDescent="0.25">
      <c r="A8863" s="4" t="str">
        <f>HYPERLINK("http://www.rosaceae.org/Prunus/Prunus_persica/p.persica_gdr_reftransV1_0001972","p.persica_gdr_reftransV1_0001972")</f>
        <v>p.persica_gdr_reftransV1_0001972</v>
      </c>
      <c r="B8863" s="2">
        <v>504</v>
      </c>
      <c r="C8863" s="4" t="str">
        <f>HYPERLINK("http://www.uniprot.org/uniprot/M5WA68","M5WA68")</f>
        <v>M5WA68</v>
      </c>
      <c r="D8863" s="2" t="s">
        <v>7729</v>
      </c>
      <c r="E8863" s="3">
        <v>3.4E-103</v>
      </c>
      <c r="F8863" s="2">
        <v>844</v>
      </c>
      <c r="G8863" s="2">
        <v>100</v>
      </c>
      <c r="H8863" s="2">
        <v>167</v>
      </c>
      <c r="I8863" s="2">
        <v>3</v>
      </c>
      <c r="J8863" s="2">
        <v>503</v>
      </c>
      <c r="K8863" s="2">
        <v>325</v>
      </c>
      <c r="L8863" s="2">
        <v>491</v>
      </c>
    </row>
    <row r="8864" spans="1:12" x14ac:dyDescent="0.25">
      <c r="A8864" s="4" t="str">
        <f>HYPERLINK("http://www.rosaceae.org/Prunus/Prunus_persica/p.persica_gdr_reftransV1_0003722","p.persica_gdr_reftransV1_0003722")</f>
        <v>p.persica_gdr_reftransV1_0003722</v>
      </c>
      <c r="B8864" s="2">
        <v>1115</v>
      </c>
      <c r="C8864" s="4" t="str">
        <f>HYPERLINK("http://www.uniprot.org/uniprot/M5XNS2","M5XNS2")</f>
        <v>M5XNS2</v>
      </c>
      <c r="D8864" s="2" t="s">
        <v>7730</v>
      </c>
      <c r="E8864" s="3">
        <v>0</v>
      </c>
      <c r="F8864" s="2">
        <v>1672</v>
      </c>
      <c r="G8864" s="2">
        <v>100</v>
      </c>
      <c r="H8864" s="2">
        <v>345</v>
      </c>
      <c r="I8864" s="2">
        <v>81</v>
      </c>
      <c r="J8864" s="2">
        <v>1115</v>
      </c>
      <c r="K8864" s="2">
        <v>1</v>
      </c>
      <c r="L8864" s="2">
        <v>345</v>
      </c>
    </row>
    <row r="8865" spans="1:12" x14ac:dyDescent="0.25">
      <c r="A8865" s="4" t="str">
        <f>HYPERLINK("http://www.rosaceae.org/Prunus/Prunus_persica/p.persica_gdr_reftransV1_0004072","p.persica_gdr_reftransV1_0004072")</f>
        <v>p.persica_gdr_reftransV1_0004072</v>
      </c>
      <c r="B8865" s="2">
        <v>559</v>
      </c>
      <c r="C8865" s="4" t="str">
        <f>HYPERLINK("http://www.uniprot.org/uniprot/M5X7H5","M5X7H5")</f>
        <v>M5X7H5</v>
      </c>
      <c r="D8865" s="2" t="s">
        <v>7731</v>
      </c>
      <c r="E8865" s="3">
        <v>3.1999999999999997E-70</v>
      </c>
      <c r="F8865" s="2">
        <v>566</v>
      </c>
      <c r="G8865" s="2">
        <v>100</v>
      </c>
      <c r="H8865" s="2">
        <v>121</v>
      </c>
      <c r="I8865" s="2">
        <v>195</v>
      </c>
      <c r="J8865" s="2">
        <v>557</v>
      </c>
      <c r="K8865" s="2">
        <v>46</v>
      </c>
      <c r="L8865" s="2">
        <v>166</v>
      </c>
    </row>
    <row r="8866" spans="1:12" x14ac:dyDescent="0.25">
      <c r="A8866" s="4" t="str">
        <f>HYPERLINK("http://www.rosaceae.org/Prunus/Prunus_persica/p.persica_gdr_reftransV1_0005122","p.persica_gdr_reftransV1_0005122")</f>
        <v>p.persica_gdr_reftransV1_0005122</v>
      </c>
      <c r="B8866" s="2">
        <v>2468</v>
      </c>
      <c r="C8866" s="4" t="str">
        <f>HYPERLINK("http://www.uniprot.org/uniprot/M5WHR7","M5WHR7")</f>
        <v>M5WHR7</v>
      </c>
      <c r="D8866" s="2" t="s">
        <v>7732</v>
      </c>
      <c r="E8866" s="3">
        <v>0</v>
      </c>
      <c r="F8866" s="2">
        <v>2417</v>
      </c>
      <c r="G8866" s="2">
        <v>100</v>
      </c>
      <c r="H8866" s="2">
        <v>470</v>
      </c>
      <c r="I8866" s="2">
        <v>309</v>
      </c>
      <c r="J8866" s="2">
        <v>1718</v>
      </c>
      <c r="K8866" s="2">
        <v>1</v>
      </c>
      <c r="L8866" s="2">
        <v>470</v>
      </c>
    </row>
    <row r="8867" spans="1:12" x14ac:dyDescent="0.25">
      <c r="A8867" s="4" t="str">
        <f>HYPERLINK("http://www.rosaceae.org/Prunus/Prunus_persica/p.persica_gdr_reftransV1_0006522","p.persica_gdr_reftransV1_0006522")</f>
        <v>p.persica_gdr_reftransV1_0006522</v>
      </c>
      <c r="B8867" s="2">
        <v>806</v>
      </c>
      <c r="C8867" s="4" t="str">
        <f>HYPERLINK("http://www.uniprot.org/uniprot/M5XPL2","M5XPL2")</f>
        <v>M5XPL2</v>
      </c>
      <c r="D8867" s="2" t="s">
        <v>7733</v>
      </c>
      <c r="E8867" s="3">
        <v>5.1999999999999999E-62</v>
      </c>
      <c r="F8867" s="2">
        <v>521</v>
      </c>
      <c r="G8867" s="2">
        <v>99</v>
      </c>
      <c r="H8867" s="2">
        <v>136</v>
      </c>
      <c r="I8867" s="2">
        <v>222</v>
      </c>
      <c r="J8867" s="2">
        <v>629</v>
      </c>
      <c r="K8867" s="2">
        <v>8</v>
      </c>
      <c r="L8867" s="2">
        <v>143</v>
      </c>
    </row>
    <row r="8868" spans="1:12" x14ac:dyDescent="0.25">
      <c r="A8868" s="4" t="str">
        <f>HYPERLINK("http://www.rosaceae.org/Prunus/Prunus_persica/p.persica_gdr_reftransV1_0006872","p.persica_gdr_reftransV1_0006872")</f>
        <v>p.persica_gdr_reftransV1_0006872</v>
      </c>
      <c r="B8868" s="2">
        <v>1081</v>
      </c>
      <c r="C8868" s="4" t="str">
        <f>HYPERLINK("http://www.uniprot.org/uniprot/M5VXJ0","M5VXJ0")</f>
        <v>M5VXJ0</v>
      </c>
      <c r="D8868" s="2" t="s">
        <v>2995</v>
      </c>
      <c r="E8868" s="3">
        <v>4.0699999999999998E-141</v>
      </c>
      <c r="F8868" s="2">
        <v>1127</v>
      </c>
      <c r="G8868" s="2">
        <v>79</v>
      </c>
      <c r="H8868" s="2">
        <v>284</v>
      </c>
      <c r="I8868" s="2">
        <v>3</v>
      </c>
      <c r="J8868" s="2">
        <v>833</v>
      </c>
      <c r="K8868" s="2">
        <v>229</v>
      </c>
      <c r="L8868" s="2">
        <v>512</v>
      </c>
    </row>
    <row r="8869" spans="1:12" x14ac:dyDescent="0.25">
      <c r="A8869" s="4" t="str">
        <f>HYPERLINK("http://www.rosaceae.org/Prunus/Prunus_persica/p.persica_gdr_reftransV1_0007222","p.persica_gdr_reftransV1_0007222")</f>
        <v>p.persica_gdr_reftransV1_0007222</v>
      </c>
      <c r="B8869" s="2">
        <v>732</v>
      </c>
      <c r="C8869" s="4" t="str">
        <f>HYPERLINK("http://www.uniprot.org/uniprot/M5WJJ2","M5WJJ2")</f>
        <v>M5WJJ2</v>
      </c>
      <c r="D8869" s="2" t="s">
        <v>7734</v>
      </c>
      <c r="E8869" s="3">
        <v>2.4100000000000001E-147</v>
      </c>
      <c r="F8869" s="2">
        <v>1138</v>
      </c>
      <c r="G8869" s="2">
        <v>100</v>
      </c>
      <c r="H8869" s="2">
        <v>243</v>
      </c>
      <c r="I8869" s="2">
        <v>3</v>
      </c>
      <c r="J8869" s="2">
        <v>731</v>
      </c>
      <c r="K8869" s="2">
        <v>282</v>
      </c>
      <c r="L8869" s="2">
        <v>524</v>
      </c>
    </row>
    <row r="8870" spans="1:12" x14ac:dyDescent="0.25">
      <c r="A8870" s="4" t="str">
        <f>HYPERLINK("http://www.rosaceae.org/Prunus/Prunus_persica/p.persica_gdr_reftransV1_0007572","p.persica_gdr_reftransV1_0007572")</f>
        <v>p.persica_gdr_reftransV1_0007572</v>
      </c>
      <c r="B8870" s="2">
        <v>2484</v>
      </c>
      <c r="C8870" s="4" t="str">
        <f>HYPERLINK("http://www.uniprot.org/uniprot/M5X9Q4","M5X9Q4")</f>
        <v>M5X9Q4</v>
      </c>
      <c r="D8870" s="2" t="s">
        <v>7735</v>
      </c>
      <c r="E8870" s="3">
        <v>2.93E-174</v>
      </c>
      <c r="F8870" s="2">
        <v>1346</v>
      </c>
      <c r="G8870" s="2">
        <v>98</v>
      </c>
      <c r="H8870" s="2">
        <v>256</v>
      </c>
      <c r="I8870" s="2">
        <v>124</v>
      </c>
      <c r="J8870" s="2">
        <v>891</v>
      </c>
      <c r="K8870" s="2">
        <v>1</v>
      </c>
      <c r="L8870" s="2">
        <v>256</v>
      </c>
    </row>
    <row r="8871" spans="1:12" x14ac:dyDescent="0.25">
      <c r="A8871" s="4" t="str">
        <f>HYPERLINK("http://www.rosaceae.org/Prunus/Prunus_persica/p.persica_gdr_reftransV1_0007922","p.persica_gdr_reftransV1_0007922")</f>
        <v>p.persica_gdr_reftransV1_0007922</v>
      </c>
      <c r="B8871" s="2">
        <v>1860</v>
      </c>
      <c r="C8871" s="4" t="str">
        <f>HYPERLINK("http://www.uniprot.org/uniprot/M5WY06","M5WY06")</f>
        <v>M5WY06</v>
      </c>
      <c r="D8871" s="2" t="s">
        <v>7736</v>
      </c>
      <c r="E8871" s="3">
        <v>0</v>
      </c>
      <c r="F8871" s="2">
        <v>1111</v>
      </c>
      <c r="G8871" s="2">
        <v>100</v>
      </c>
      <c r="H8871" s="2">
        <v>212</v>
      </c>
      <c r="I8871" s="2">
        <v>295</v>
      </c>
      <c r="J8871" s="2">
        <v>930</v>
      </c>
      <c r="K8871" s="2">
        <v>233</v>
      </c>
      <c r="L8871" s="2">
        <v>444</v>
      </c>
    </row>
    <row r="8872" spans="1:12" x14ac:dyDescent="0.25">
      <c r="A8872" s="4" t="str">
        <f>HYPERLINK("http://www.rosaceae.org/Prunus/Prunus_persica/p.persica_gdr_reftransV1_0008272","p.persica_gdr_reftransV1_0008272")</f>
        <v>p.persica_gdr_reftransV1_0008272</v>
      </c>
      <c r="B8872" s="2">
        <v>2120</v>
      </c>
      <c r="C8872" s="4" t="str">
        <f>HYPERLINK("http://www.uniprot.org/uniprot/M5XD24","M5XD24")</f>
        <v>M5XD24</v>
      </c>
      <c r="D8872" s="2" t="s">
        <v>7737</v>
      </c>
      <c r="E8872" s="3">
        <v>0</v>
      </c>
      <c r="F8872" s="2">
        <v>2539</v>
      </c>
      <c r="G8872" s="2">
        <v>92</v>
      </c>
      <c r="H8872" s="2">
        <v>569</v>
      </c>
      <c r="I8872" s="2">
        <v>113</v>
      </c>
      <c r="J8872" s="2">
        <v>1819</v>
      </c>
      <c r="K8872" s="2">
        <v>1</v>
      </c>
      <c r="L8872" s="2">
        <v>524</v>
      </c>
    </row>
    <row r="8873" spans="1:12" x14ac:dyDescent="0.25">
      <c r="A8873" s="4" t="str">
        <f>HYPERLINK("http://www.rosaceae.org/Prunus/Prunus_persica/p.persica_gdr_reftransV1_0008972","p.persica_gdr_reftransV1_0008972")</f>
        <v>p.persica_gdr_reftransV1_0008972</v>
      </c>
      <c r="B8873" s="2">
        <v>1776</v>
      </c>
      <c r="C8873" s="4" t="str">
        <f>HYPERLINK("http://www.uniprot.org/uniprot/M5Y7Q1","M5Y7Q1")</f>
        <v>M5Y7Q1</v>
      </c>
      <c r="D8873" s="2" t="s">
        <v>1799</v>
      </c>
      <c r="E8873" s="3">
        <v>0</v>
      </c>
      <c r="F8873" s="2">
        <v>2872</v>
      </c>
      <c r="G8873" s="2">
        <v>100</v>
      </c>
      <c r="H8873" s="2">
        <v>537</v>
      </c>
      <c r="I8873" s="2">
        <v>166</v>
      </c>
      <c r="J8873" s="2">
        <v>1776</v>
      </c>
      <c r="K8873" s="2">
        <v>1</v>
      </c>
      <c r="L8873" s="2">
        <v>537</v>
      </c>
    </row>
    <row r="8874" spans="1:12" x14ac:dyDescent="0.25">
      <c r="A8874" s="4" t="str">
        <f>HYPERLINK("http://www.rosaceae.org/Prunus/Prunus_persica/p.persica_gdr_reftransV1_0009672","p.persica_gdr_reftransV1_0009672")</f>
        <v>p.persica_gdr_reftransV1_0009672</v>
      </c>
      <c r="B8874" s="2">
        <v>580</v>
      </c>
      <c r="C8874" s="4" t="str">
        <f>HYPERLINK("http://www.uniprot.org/uniprot/M5Y697","M5Y697")</f>
        <v>M5Y697</v>
      </c>
      <c r="D8874" s="2" t="s">
        <v>5542</v>
      </c>
      <c r="E8874" s="3">
        <v>3.9899999999999998E-118</v>
      </c>
      <c r="F8874" s="2">
        <v>933</v>
      </c>
      <c r="G8874" s="2">
        <v>100</v>
      </c>
      <c r="H8874" s="2">
        <v>193</v>
      </c>
      <c r="I8874" s="2">
        <v>2</v>
      </c>
      <c r="J8874" s="2">
        <v>580</v>
      </c>
      <c r="K8874" s="2">
        <v>94</v>
      </c>
      <c r="L8874" s="2">
        <v>286</v>
      </c>
    </row>
    <row r="8875" spans="1:12" x14ac:dyDescent="0.25">
      <c r="A8875" s="4" t="str">
        <f>HYPERLINK("http://www.rosaceae.org/Prunus/Prunus_persica/p.persica_gdr_reftransV1_0010372","p.persica_gdr_reftransV1_0010372")</f>
        <v>p.persica_gdr_reftransV1_0010372</v>
      </c>
      <c r="B8875" s="2">
        <v>6240</v>
      </c>
      <c r="C8875" s="4" t="str">
        <f>HYPERLINK("http://www.uniprot.org/uniprot/M5WR89","M5WR89")</f>
        <v>M5WR89</v>
      </c>
      <c r="D8875" s="2" t="s">
        <v>7738</v>
      </c>
      <c r="E8875" s="3">
        <v>0</v>
      </c>
      <c r="F8875" s="2">
        <v>7180</v>
      </c>
      <c r="G8875" s="2">
        <v>100</v>
      </c>
      <c r="H8875" s="2">
        <v>1446</v>
      </c>
      <c r="I8875" s="2">
        <v>1427</v>
      </c>
      <c r="J8875" s="2">
        <v>5764</v>
      </c>
      <c r="K8875" s="2">
        <v>1</v>
      </c>
      <c r="L8875" s="2">
        <v>1446</v>
      </c>
    </row>
    <row r="8876" spans="1:12" x14ac:dyDescent="0.25">
      <c r="A8876" s="4" t="str">
        <f>HYPERLINK("http://www.rosaceae.org/Prunus/Prunus_persica/p.persica_gdr_reftransV1_0010722","p.persica_gdr_reftransV1_0010722")</f>
        <v>p.persica_gdr_reftransV1_0010722</v>
      </c>
      <c r="B8876" s="2">
        <v>1950</v>
      </c>
      <c r="C8876" s="4" t="str">
        <f>HYPERLINK("http://www.uniprot.org/uniprot/M5VSQ4","M5VSQ4")</f>
        <v>M5VSQ4</v>
      </c>
      <c r="D8876" s="2" t="s">
        <v>7739</v>
      </c>
      <c r="E8876" s="3">
        <v>0</v>
      </c>
      <c r="F8876" s="2">
        <v>2409</v>
      </c>
      <c r="G8876" s="2">
        <v>100</v>
      </c>
      <c r="H8876" s="2">
        <v>490</v>
      </c>
      <c r="I8876" s="2">
        <v>248</v>
      </c>
      <c r="J8876" s="2">
        <v>1717</v>
      </c>
      <c r="K8876" s="2">
        <v>1</v>
      </c>
      <c r="L8876" s="2">
        <v>490</v>
      </c>
    </row>
    <row r="8877" spans="1:12" x14ac:dyDescent="0.25">
      <c r="A8877" s="4" t="str">
        <f>HYPERLINK("http://www.rosaceae.org/Prunus/Prunus_persica/p.persica_gdr_reftransV1_0011422","p.persica_gdr_reftransV1_0011422")</f>
        <v>p.persica_gdr_reftransV1_0011422</v>
      </c>
      <c r="B8877" s="2">
        <v>1694</v>
      </c>
      <c r="C8877" s="4" t="str">
        <f>HYPERLINK("http://www.uniprot.org/uniprot/M5VND2","M5VND2")</f>
        <v>M5VND2</v>
      </c>
      <c r="D8877" s="2" t="s">
        <v>7740</v>
      </c>
      <c r="E8877" s="3">
        <v>0</v>
      </c>
      <c r="F8877" s="2">
        <v>1601</v>
      </c>
      <c r="G8877" s="2">
        <v>100</v>
      </c>
      <c r="H8877" s="2">
        <v>334</v>
      </c>
      <c r="I8877" s="2">
        <v>541</v>
      </c>
      <c r="J8877" s="2">
        <v>1542</v>
      </c>
      <c r="K8877" s="2">
        <v>1</v>
      </c>
      <c r="L8877" s="2">
        <v>334</v>
      </c>
    </row>
    <row r="8878" spans="1:12" x14ac:dyDescent="0.25">
      <c r="A8878" s="4" t="str">
        <f>HYPERLINK("http://www.rosaceae.org/Prunus/Prunus_persica/p.persica_gdr_reftransV1_0012472","p.persica_gdr_reftransV1_0012472")</f>
        <v>p.persica_gdr_reftransV1_0012472</v>
      </c>
      <c r="B8878" s="2">
        <v>3672</v>
      </c>
      <c r="C8878" s="4" t="str">
        <f>HYPERLINK("http://www.uniprot.org/uniprot/M5XF32","M5XF32")</f>
        <v>M5XF32</v>
      </c>
      <c r="D8878" s="2" t="s">
        <v>7741</v>
      </c>
      <c r="E8878" s="3">
        <v>0</v>
      </c>
      <c r="F8878" s="2">
        <v>4039</v>
      </c>
      <c r="G8878" s="2">
        <v>100</v>
      </c>
      <c r="H8878" s="2">
        <v>816</v>
      </c>
      <c r="I8878" s="2">
        <v>142</v>
      </c>
      <c r="J8878" s="2">
        <v>2589</v>
      </c>
      <c r="K8878" s="2">
        <v>1</v>
      </c>
      <c r="L8878" s="2">
        <v>816</v>
      </c>
    </row>
    <row r="8879" spans="1:12" x14ac:dyDescent="0.25">
      <c r="A8879" s="4" t="str">
        <f>HYPERLINK("http://www.rosaceae.org/Prunus/Prunus_persica/p.persica_gdr_reftransV1_0012822","p.persica_gdr_reftransV1_0012822")</f>
        <v>p.persica_gdr_reftransV1_0012822</v>
      </c>
      <c r="B8879" s="2">
        <v>1109</v>
      </c>
      <c r="C8879" s="4" t="str">
        <f>HYPERLINK("http://www.uniprot.org/uniprot/M5VXN6","M5VXN6")</f>
        <v>M5VXN6</v>
      </c>
      <c r="D8879" s="2" t="s">
        <v>7742</v>
      </c>
      <c r="E8879" s="3">
        <v>1.1399999999999999E-154</v>
      </c>
      <c r="F8879" s="2">
        <v>1155</v>
      </c>
      <c r="G8879" s="2">
        <v>100</v>
      </c>
      <c r="H8879" s="2">
        <v>238</v>
      </c>
      <c r="I8879" s="2">
        <v>189</v>
      </c>
      <c r="J8879" s="2">
        <v>902</v>
      </c>
      <c r="K8879" s="2">
        <v>56</v>
      </c>
      <c r="L8879" s="2">
        <v>293</v>
      </c>
    </row>
    <row r="8880" spans="1:12" x14ac:dyDescent="0.25">
      <c r="A8880" s="4" t="str">
        <f>HYPERLINK("http://www.rosaceae.org/Prunus/Prunus_persica/p.persica_gdr_reftransV1_0014922","p.persica_gdr_reftransV1_0014922")</f>
        <v>p.persica_gdr_reftransV1_0014922</v>
      </c>
      <c r="B8880" s="2">
        <v>1204</v>
      </c>
      <c r="C8880" s="4" t="str">
        <f>HYPERLINK("http://www.uniprot.org/uniprot/M5VR20","M5VR20")</f>
        <v>M5VR20</v>
      </c>
      <c r="D8880" s="2" t="s">
        <v>7743</v>
      </c>
      <c r="E8880" s="3">
        <v>1.77E-147</v>
      </c>
      <c r="F8880" s="2">
        <v>1102</v>
      </c>
      <c r="G8880" s="2">
        <v>100</v>
      </c>
      <c r="H8880" s="2">
        <v>206</v>
      </c>
      <c r="I8880" s="2">
        <v>422</v>
      </c>
      <c r="J8880" s="2">
        <v>1039</v>
      </c>
      <c r="K8880" s="2">
        <v>1</v>
      </c>
      <c r="L8880" s="2">
        <v>206</v>
      </c>
    </row>
    <row r="8881" spans="1:12" x14ac:dyDescent="0.25">
      <c r="A8881" s="4" t="str">
        <f>HYPERLINK("http://www.rosaceae.org/Prunus/Prunus_persica/p.persica_gdr_reftransV1_0015272","p.persica_gdr_reftransV1_0015272")</f>
        <v>p.persica_gdr_reftransV1_0015272</v>
      </c>
      <c r="B8881" s="2">
        <v>1382</v>
      </c>
      <c r="C8881" s="4" t="str">
        <f>HYPERLINK("http://www.uniprot.org/uniprot/M5WER1","M5WER1")</f>
        <v>M5WER1</v>
      </c>
      <c r="D8881" s="2" t="s">
        <v>7744</v>
      </c>
      <c r="E8881" s="3">
        <v>3.19E-126</v>
      </c>
      <c r="F8881" s="2">
        <v>966</v>
      </c>
      <c r="G8881" s="2">
        <v>100</v>
      </c>
      <c r="H8881" s="2">
        <v>198</v>
      </c>
      <c r="I8881" s="2">
        <v>293</v>
      </c>
      <c r="J8881" s="2">
        <v>886</v>
      </c>
      <c r="K8881" s="2">
        <v>1</v>
      </c>
      <c r="L8881" s="2">
        <v>198</v>
      </c>
    </row>
    <row r="8882" spans="1:12" x14ac:dyDescent="0.25">
      <c r="A8882" s="4" t="str">
        <f>HYPERLINK("http://www.rosaceae.org/Prunus/Prunus_persica/p.persica_gdr_reftransV1_0015622","p.persica_gdr_reftransV1_0015622")</f>
        <v>p.persica_gdr_reftransV1_0015622</v>
      </c>
      <c r="B8882" s="2">
        <v>1261</v>
      </c>
      <c r="C8882" s="4" t="str">
        <f>HYPERLINK("http://www.uniprot.org/uniprot/D7T700","D7T700")</f>
        <v>D7T700</v>
      </c>
      <c r="D8882" s="2" t="s">
        <v>3928</v>
      </c>
      <c r="E8882" s="3">
        <v>0</v>
      </c>
      <c r="F8882" s="2">
        <v>1433</v>
      </c>
      <c r="G8882" s="2">
        <v>72</v>
      </c>
      <c r="H8882" s="2">
        <v>388</v>
      </c>
      <c r="I8882" s="2">
        <v>97</v>
      </c>
      <c r="J8882" s="2">
        <v>1260</v>
      </c>
      <c r="K8882" s="2">
        <v>30</v>
      </c>
      <c r="L8882" s="2">
        <v>415</v>
      </c>
    </row>
    <row r="8883" spans="1:12" x14ac:dyDescent="0.25">
      <c r="A8883" s="4" t="str">
        <f>HYPERLINK("http://www.rosaceae.org/Prunus/Prunus_persica/p.persica_gdr_reftransV1_0015972","p.persica_gdr_reftransV1_0015972")</f>
        <v>p.persica_gdr_reftransV1_0015972</v>
      </c>
      <c r="B8883" s="2">
        <v>5409</v>
      </c>
      <c r="C8883" s="4" t="str">
        <f>HYPERLINK("http://www.uniprot.org/uniprot/M5XR48","M5XR48")</f>
        <v>M5XR48</v>
      </c>
      <c r="D8883" s="2" t="s">
        <v>7745</v>
      </c>
      <c r="E8883" s="3">
        <v>0</v>
      </c>
      <c r="F8883" s="2">
        <v>5464</v>
      </c>
      <c r="G8883" s="2">
        <v>90</v>
      </c>
      <c r="H8883" s="2">
        <v>1175</v>
      </c>
      <c r="I8883" s="2">
        <v>125</v>
      </c>
      <c r="J8883" s="2">
        <v>3502</v>
      </c>
      <c r="K8883" s="2">
        <v>1</v>
      </c>
      <c r="L8883" s="2">
        <v>1116</v>
      </c>
    </row>
    <row r="8884" spans="1:12" x14ac:dyDescent="0.25">
      <c r="A8884" s="4" t="str">
        <f>HYPERLINK("http://www.rosaceae.org/Prunus/Prunus_persica/p.persica_gdr_reftransV1_0016672","p.persica_gdr_reftransV1_0016672")</f>
        <v>p.persica_gdr_reftransV1_0016672</v>
      </c>
      <c r="B8884" s="2">
        <v>344</v>
      </c>
      <c r="C8884" s="4" t="str">
        <f>HYPERLINK("http://www.uniprot.org/uniprot/M5XVK2","M5XVK2")</f>
        <v>M5XVK2</v>
      </c>
      <c r="D8884" s="2" t="s">
        <v>1339</v>
      </c>
      <c r="E8884" s="3">
        <v>8.9400000000000001E-57</v>
      </c>
      <c r="F8884" s="2">
        <v>500</v>
      </c>
      <c r="G8884" s="2">
        <v>100</v>
      </c>
      <c r="H8884" s="2">
        <v>114</v>
      </c>
      <c r="I8884" s="2">
        <v>2</v>
      </c>
      <c r="J8884" s="2">
        <v>343</v>
      </c>
      <c r="K8884" s="2">
        <v>417</v>
      </c>
      <c r="L8884" s="2">
        <v>530</v>
      </c>
    </row>
    <row r="8885" spans="1:12" x14ac:dyDescent="0.25">
      <c r="A8885" s="4" t="str">
        <f>HYPERLINK("http://www.rosaceae.org/Prunus/Prunus_persica/p.persica_gdr_reftransV1_0017022","p.persica_gdr_reftransV1_0017022")</f>
        <v>p.persica_gdr_reftransV1_0017022</v>
      </c>
      <c r="B8885" s="2">
        <v>524</v>
      </c>
      <c r="C8885" s="4" t="str">
        <f>HYPERLINK("http://www.uniprot.org/uniprot/M5W225","M5W225")</f>
        <v>M5W225</v>
      </c>
      <c r="D8885" s="2" t="s">
        <v>7746</v>
      </c>
      <c r="E8885" s="3">
        <v>5.8499999999999998E-30</v>
      </c>
      <c r="F8885" s="2">
        <v>305</v>
      </c>
      <c r="G8885" s="2">
        <v>100</v>
      </c>
      <c r="H8885" s="2">
        <v>148</v>
      </c>
      <c r="I8885" s="2">
        <v>80</v>
      </c>
      <c r="J8885" s="2">
        <v>523</v>
      </c>
      <c r="K8885" s="2">
        <v>183</v>
      </c>
      <c r="L8885" s="2">
        <v>330</v>
      </c>
    </row>
    <row r="8886" spans="1:12" x14ac:dyDescent="0.25">
      <c r="A8886" s="4" t="str">
        <f>HYPERLINK("http://www.rosaceae.org/Prunus/Prunus_persica/p.persica_gdr_reftransV1_0017372","p.persica_gdr_reftransV1_0017372")</f>
        <v>p.persica_gdr_reftransV1_0017372</v>
      </c>
      <c r="B8886" s="2">
        <v>1344</v>
      </c>
      <c r="C8886" s="4" t="str">
        <f>HYPERLINK("http://www.uniprot.org/uniprot/M5XZY3","M5XZY3")</f>
        <v>M5XZY3</v>
      </c>
      <c r="D8886" s="2" t="s">
        <v>7747</v>
      </c>
      <c r="E8886" s="3">
        <v>3.5800000000000001E-133</v>
      </c>
      <c r="F8886" s="2">
        <v>1017</v>
      </c>
      <c r="G8886" s="2">
        <v>100</v>
      </c>
      <c r="H8886" s="2">
        <v>211</v>
      </c>
      <c r="I8886" s="2">
        <v>268</v>
      </c>
      <c r="J8886" s="2">
        <v>900</v>
      </c>
      <c r="K8886" s="2">
        <v>1</v>
      </c>
      <c r="L8886" s="2">
        <v>211</v>
      </c>
    </row>
    <row r="8887" spans="1:12" x14ac:dyDescent="0.25">
      <c r="A8887" s="4" t="str">
        <f>HYPERLINK("http://www.rosaceae.org/Prunus/Prunus_persica/p.persica_gdr_reftransV1_0018072","p.persica_gdr_reftransV1_0018072")</f>
        <v>p.persica_gdr_reftransV1_0018072</v>
      </c>
      <c r="B8887" s="2">
        <v>509</v>
      </c>
      <c r="C8887" s="4" t="str">
        <f>HYPERLINK("http://www.uniprot.org/uniprot/M5WRH6","M5WRH6")</f>
        <v>M5WRH6</v>
      </c>
      <c r="D8887" s="2" t="s">
        <v>7748</v>
      </c>
      <c r="E8887" s="3">
        <v>1.72E-49</v>
      </c>
      <c r="F8887" s="2">
        <v>425</v>
      </c>
      <c r="G8887" s="2">
        <v>100</v>
      </c>
      <c r="H8887" s="2">
        <v>101</v>
      </c>
      <c r="I8887" s="2">
        <v>76</v>
      </c>
      <c r="J8887" s="2">
        <v>378</v>
      </c>
      <c r="K8887" s="2">
        <v>60</v>
      </c>
      <c r="L8887" s="2">
        <v>160</v>
      </c>
    </row>
    <row r="8888" spans="1:12" x14ac:dyDescent="0.25">
      <c r="A8888" s="4" t="str">
        <f>HYPERLINK("http://www.rosaceae.org/Prunus/Prunus_persica/p.persica_gdr_reftransV1_0020172","p.persica_gdr_reftransV1_0020172")</f>
        <v>p.persica_gdr_reftransV1_0020172</v>
      </c>
      <c r="B8888" s="2">
        <v>2105</v>
      </c>
      <c r="C8888" s="4" t="str">
        <f>HYPERLINK("http://www.uniprot.org/uniprot/M5XCM4","M5XCM4")</f>
        <v>M5XCM4</v>
      </c>
      <c r="D8888" s="2" t="s">
        <v>2875</v>
      </c>
      <c r="E8888" s="3">
        <v>0</v>
      </c>
      <c r="F8888" s="2">
        <v>2294</v>
      </c>
      <c r="G8888" s="2">
        <v>99</v>
      </c>
      <c r="H8888" s="2">
        <v>474</v>
      </c>
      <c r="I8888" s="2">
        <v>608</v>
      </c>
      <c r="J8888" s="2">
        <v>2029</v>
      </c>
      <c r="K8888" s="2">
        <v>1</v>
      </c>
      <c r="L8888" s="2">
        <v>468</v>
      </c>
    </row>
    <row r="8889" spans="1:12" x14ac:dyDescent="0.25">
      <c r="A8889" s="4" t="str">
        <f>HYPERLINK("http://www.rosaceae.org/Prunus/Prunus_persica/p.persica_gdr_reftransV1_0020522","p.persica_gdr_reftransV1_0020522")</f>
        <v>p.persica_gdr_reftransV1_0020522</v>
      </c>
      <c r="B8889" s="2">
        <v>1215</v>
      </c>
      <c r="C8889" s="4" t="str">
        <f>HYPERLINK("http://www.uniprot.org/uniprot/M5VQF7","M5VQF7")</f>
        <v>M5VQF7</v>
      </c>
      <c r="D8889" s="2" t="s">
        <v>7749</v>
      </c>
      <c r="E8889" s="3">
        <v>0</v>
      </c>
      <c r="F8889" s="2">
        <v>1649</v>
      </c>
      <c r="G8889" s="2">
        <v>100</v>
      </c>
      <c r="H8889" s="2">
        <v>307</v>
      </c>
      <c r="I8889" s="2">
        <v>192</v>
      </c>
      <c r="J8889" s="2">
        <v>1112</v>
      </c>
      <c r="K8889" s="2">
        <v>1</v>
      </c>
      <c r="L8889" s="2">
        <v>307</v>
      </c>
    </row>
    <row r="8890" spans="1:12" x14ac:dyDescent="0.25">
      <c r="A8890" s="4" t="str">
        <f>HYPERLINK("http://www.rosaceae.org/Prunus/Prunus_persica/p.persica_gdr_reftransV1_0022272","p.persica_gdr_reftransV1_0022272")</f>
        <v>p.persica_gdr_reftransV1_0022272</v>
      </c>
      <c r="B8890" s="2">
        <v>1199</v>
      </c>
      <c r="C8890" s="4" t="str">
        <f>HYPERLINK("http://www.uniprot.org/uniprot/M5X7V6","M5X7V6")</f>
        <v>M5X7V6</v>
      </c>
      <c r="D8890" s="2" t="s">
        <v>1881</v>
      </c>
      <c r="E8890" s="3">
        <v>1.07E-166</v>
      </c>
      <c r="F8890" s="2">
        <v>1260</v>
      </c>
      <c r="G8890" s="2">
        <v>99</v>
      </c>
      <c r="H8890" s="2">
        <v>291</v>
      </c>
      <c r="I8890" s="2">
        <v>319</v>
      </c>
      <c r="J8890" s="2">
        <v>1191</v>
      </c>
      <c r="K8890" s="2">
        <v>235</v>
      </c>
      <c r="L8890" s="2">
        <v>525</v>
      </c>
    </row>
    <row r="8891" spans="1:12" x14ac:dyDescent="0.25">
      <c r="A8891" s="4" t="str">
        <f>HYPERLINK("http://www.rosaceae.org/Prunus/Prunus_persica/p.persica_gdr_reftransV1_0022972","p.persica_gdr_reftransV1_0022972")</f>
        <v>p.persica_gdr_reftransV1_0022972</v>
      </c>
      <c r="B8891" s="2">
        <v>1396</v>
      </c>
      <c r="C8891" s="4" t="str">
        <f>HYPERLINK("http://www.uniprot.org/uniprot/M5VL91","M5VL91")</f>
        <v>M5VL91</v>
      </c>
      <c r="D8891" s="2" t="s">
        <v>7750</v>
      </c>
      <c r="E8891" s="3">
        <v>0</v>
      </c>
      <c r="F8891" s="2">
        <v>1623</v>
      </c>
      <c r="G8891" s="2">
        <v>100</v>
      </c>
      <c r="H8891" s="2">
        <v>318</v>
      </c>
      <c r="I8891" s="2">
        <v>315</v>
      </c>
      <c r="J8891" s="2">
        <v>1268</v>
      </c>
      <c r="K8891" s="2">
        <v>1</v>
      </c>
      <c r="L8891" s="2">
        <v>318</v>
      </c>
    </row>
    <row r="8892" spans="1:12" x14ac:dyDescent="0.25">
      <c r="A8892" s="4" t="str">
        <f>HYPERLINK("http://www.rosaceae.org/Prunus/Prunus_persica/p.persica_gdr_reftransV1_0024022","p.persica_gdr_reftransV1_0024022")</f>
        <v>p.persica_gdr_reftransV1_0024022</v>
      </c>
      <c r="B8892" s="2">
        <v>996</v>
      </c>
      <c r="C8892" s="4" t="str">
        <f>HYPERLINK("http://www.uniprot.org/uniprot/M5X2J1","M5X2J1")</f>
        <v>M5X2J1</v>
      </c>
      <c r="D8892" s="2" t="s">
        <v>7751</v>
      </c>
      <c r="E8892" s="3">
        <v>1.73E-67</v>
      </c>
      <c r="F8892" s="2">
        <v>561</v>
      </c>
      <c r="G8892" s="2">
        <v>100</v>
      </c>
      <c r="H8892" s="2">
        <v>119</v>
      </c>
      <c r="I8892" s="2">
        <v>594</v>
      </c>
      <c r="J8892" s="2">
        <v>950</v>
      </c>
      <c r="K8892" s="2">
        <v>1</v>
      </c>
      <c r="L8892" s="2">
        <v>119</v>
      </c>
    </row>
    <row r="8893" spans="1:12" x14ac:dyDescent="0.25">
      <c r="A8893" s="4" t="str">
        <f>HYPERLINK("http://www.rosaceae.org/Prunus/Prunus_persica/p.persica_gdr_reftransV1_0025072","p.persica_gdr_reftransV1_0025072")</f>
        <v>p.persica_gdr_reftransV1_0025072</v>
      </c>
      <c r="B8893" s="2">
        <v>3192</v>
      </c>
      <c r="C8893" s="4" t="str">
        <f>HYPERLINK("http://www.uniprot.org/uniprot/M5WI78","M5WI78")</f>
        <v>M5WI78</v>
      </c>
      <c r="D8893" s="2" t="s">
        <v>2874</v>
      </c>
      <c r="E8893" s="3">
        <v>1.7400000000000001E-94</v>
      </c>
      <c r="F8893" s="2">
        <v>814</v>
      </c>
      <c r="G8893" s="2">
        <v>100</v>
      </c>
      <c r="H8893" s="2">
        <v>154</v>
      </c>
      <c r="I8893" s="2">
        <v>1552</v>
      </c>
      <c r="J8893" s="2">
        <v>2013</v>
      </c>
      <c r="K8893" s="2">
        <v>246</v>
      </c>
      <c r="L8893" s="2">
        <v>399</v>
      </c>
    </row>
    <row r="8894" spans="1:12" x14ac:dyDescent="0.25">
      <c r="A8894" s="4" t="str">
        <f>HYPERLINK("http://www.rosaceae.org/Prunus/Prunus_persica/p.persica_gdr_reftransV1_0026472","p.persica_gdr_reftransV1_0026472")</f>
        <v>p.persica_gdr_reftransV1_0026472</v>
      </c>
      <c r="B8894" s="2">
        <v>683</v>
      </c>
      <c r="C8894" s="4" t="str">
        <f>HYPERLINK("http://www.uniprot.org/uniprot/M5WEL8","M5WEL8")</f>
        <v>M5WEL8</v>
      </c>
      <c r="D8894" s="2" t="s">
        <v>7752</v>
      </c>
      <c r="E8894" s="3">
        <v>4.8800000000000002E-110</v>
      </c>
      <c r="F8894" s="2">
        <v>863</v>
      </c>
      <c r="G8894" s="2">
        <v>98</v>
      </c>
      <c r="H8894" s="2">
        <v>167</v>
      </c>
      <c r="I8894" s="2">
        <v>182</v>
      </c>
      <c r="J8894" s="2">
        <v>682</v>
      </c>
      <c r="K8894" s="2">
        <v>251</v>
      </c>
      <c r="L8894" s="2">
        <v>417</v>
      </c>
    </row>
    <row r="8895" spans="1:12" x14ac:dyDescent="0.25">
      <c r="A8895" s="4" t="str">
        <f>HYPERLINK("http://www.rosaceae.org/Prunus/Prunus_persica/p.persica_gdr_reftransV1_0027872","p.persica_gdr_reftransV1_0027872")</f>
        <v>p.persica_gdr_reftransV1_0027872</v>
      </c>
      <c r="B8895" s="2">
        <v>2018</v>
      </c>
      <c r="C8895" s="4" t="str">
        <f>HYPERLINK("http://www.uniprot.org/uniprot/M5X4B9","M5X4B9")</f>
        <v>M5X4B9</v>
      </c>
      <c r="D8895" s="2" t="s">
        <v>7753</v>
      </c>
      <c r="E8895" s="3">
        <v>2.55E-54</v>
      </c>
      <c r="F8895" s="2">
        <v>488</v>
      </c>
      <c r="G8895" s="2">
        <v>100</v>
      </c>
      <c r="H8895" s="2">
        <v>114</v>
      </c>
      <c r="I8895" s="2">
        <v>1156</v>
      </c>
      <c r="J8895" s="2">
        <v>1497</v>
      </c>
      <c r="K8895" s="2">
        <v>1</v>
      </c>
      <c r="L8895" s="2">
        <v>114</v>
      </c>
    </row>
    <row r="8896" spans="1:12" x14ac:dyDescent="0.25">
      <c r="A8896" s="4" t="str">
        <f>HYPERLINK("http://www.rosaceae.org/Prunus/Prunus_persica/p.persica_gdr_reftransV1_0029622","p.persica_gdr_reftransV1_0029622")</f>
        <v>p.persica_gdr_reftransV1_0029622</v>
      </c>
      <c r="B8896" s="2">
        <v>5607</v>
      </c>
      <c r="C8896" s="4" t="str">
        <f>HYPERLINK("http://www.uniprot.org/uniprot/M5VY37","M5VY37")</f>
        <v>M5VY37</v>
      </c>
      <c r="D8896" s="2" t="s">
        <v>7754</v>
      </c>
      <c r="E8896" s="3">
        <v>0</v>
      </c>
      <c r="F8896" s="2">
        <v>3217</v>
      </c>
      <c r="G8896" s="2">
        <v>100</v>
      </c>
      <c r="H8896" s="2">
        <v>621</v>
      </c>
      <c r="I8896" s="2">
        <v>2468</v>
      </c>
      <c r="J8896" s="2">
        <v>4330</v>
      </c>
      <c r="K8896" s="2">
        <v>130</v>
      </c>
      <c r="L8896" s="2">
        <v>750</v>
      </c>
    </row>
    <row r="8897" spans="1:12" x14ac:dyDescent="0.25">
      <c r="A8897" s="4" t="str">
        <f>HYPERLINK("http://www.rosaceae.org/Prunus/Prunus_persica/p.persica_gdr_reftransV1_0030322","p.persica_gdr_reftransV1_0030322")</f>
        <v>p.persica_gdr_reftransV1_0030322</v>
      </c>
      <c r="B8897" s="2">
        <v>3633</v>
      </c>
      <c r="C8897" s="4" t="str">
        <f>HYPERLINK("http://www.uniprot.org/uniprot/W9S1V0","W9S1V0")</f>
        <v>W9S1V0</v>
      </c>
      <c r="D8897" s="2" t="s">
        <v>7755</v>
      </c>
      <c r="E8897" s="3">
        <v>0</v>
      </c>
      <c r="F8897" s="2">
        <v>2824</v>
      </c>
      <c r="G8897" s="2">
        <v>82</v>
      </c>
      <c r="H8897" s="2">
        <v>702</v>
      </c>
      <c r="I8897" s="2">
        <v>1044</v>
      </c>
      <c r="J8897" s="2">
        <v>3080</v>
      </c>
      <c r="K8897" s="2">
        <v>1</v>
      </c>
      <c r="L8897" s="2">
        <v>702</v>
      </c>
    </row>
    <row r="8898" spans="1:12" x14ac:dyDescent="0.25">
      <c r="A8898" s="4" t="str">
        <f>HYPERLINK("http://www.rosaceae.org/Prunus/Prunus_persica/p.persica_gdr_reftransV1_0031722","p.persica_gdr_reftransV1_0031722")</f>
        <v>p.persica_gdr_reftransV1_0031722</v>
      </c>
      <c r="B8898" s="2">
        <v>4608</v>
      </c>
      <c r="C8898" s="4" t="str">
        <f>HYPERLINK("http://www.uniprot.org/uniprot/M5VLV7","M5VLV7")</f>
        <v>M5VLV7</v>
      </c>
      <c r="D8898" s="2" t="s">
        <v>7756</v>
      </c>
      <c r="E8898" s="3">
        <v>0</v>
      </c>
      <c r="F8898" s="2">
        <v>1915</v>
      </c>
      <c r="G8898" s="2">
        <v>98</v>
      </c>
      <c r="H8898" s="2">
        <v>389</v>
      </c>
      <c r="I8898" s="2">
        <v>2512</v>
      </c>
      <c r="J8898" s="2">
        <v>3678</v>
      </c>
      <c r="K8898" s="2">
        <v>137</v>
      </c>
      <c r="L8898" s="2">
        <v>525</v>
      </c>
    </row>
    <row r="8899" spans="1:12" x14ac:dyDescent="0.25">
      <c r="A8899" s="4" t="str">
        <f>HYPERLINK("http://www.rosaceae.org/Prunus/Prunus_persica/p.persica_gdr_reftransV1_0032422","p.persica_gdr_reftransV1_0032422")</f>
        <v>p.persica_gdr_reftransV1_0032422</v>
      </c>
      <c r="B8899" s="2">
        <v>1057</v>
      </c>
      <c r="C8899" s="4" t="str">
        <f>HYPERLINK("http://www.uniprot.org/uniprot/M5W2G3","M5W2G3")</f>
        <v>M5W2G3</v>
      </c>
      <c r="D8899" s="2" t="s">
        <v>7757</v>
      </c>
      <c r="E8899" s="3">
        <v>0</v>
      </c>
      <c r="F8899" s="2">
        <v>1453</v>
      </c>
      <c r="G8899" s="2">
        <v>100</v>
      </c>
      <c r="H8899" s="2">
        <v>274</v>
      </c>
      <c r="I8899" s="2">
        <v>234</v>
      </c>
      <c r="J8899" s="2">
        <v>1055</v>
      </c>
      <c r="K8899" s="2">
        <v>48</v>
      </c>
      <c r="L8899" s="2">
        <v>321</v>
      </c>
    </row>
    <row r="8900" spans="1:12" x14ac:dyDescent="0.25">
      <c r="A8900" s="4" t="str">
        <f>HYPERLINK("http://www.rosaceae.org/Prunus/Prunus_persica/p.persica_gdr_reftransV1_0034872","p.persica_gdr_reftransV1_0034872")</f>
        <v>p.persica_gdr_reftransV1_0034872</v>
      </c>
      <c r="B8900" s="2">
        <v>1905</v>
      </c>
      <c r="C8900" s="4" t="str">
        <f>HYPERLINK("http://www.uniprot.org/uniprot/M5WJ43","M5WJ43")</f>
        <v>M5WJ43</v>
      </c>
      <c r="D8900" s="2" t="s">
        <v>7758</v>
      </c>
      <c r="E8900" s="3">
        <v>6.0699999999999997E-131</v>
      </c>
      <c r="F8900" s="2">
        <v>1024</v>
      </c>
      <c r="G8900" s="2">
        <v>99</v>
      </c>
      <c r="H8900" s="2">
        <v>256</v>
      </c>
      <c r="I8900" s="2">
        <v>1089</v>
      </c>
      <c r="J8900" s="2">
        <v>1856</v>
      </c>
      <c r="K8900" s="2">
        <v>47</v>
      </c>
      <c r="L8900" s="2">
        <v>302</v>
      </c>
    </row>
    <row r="8901" spans="1:12" x14ac:dyDescent="0.25">
      <c r="A8901" s="4" t="str">
        <f>HYPERLINK("http://www.rosaceae.org/Prunus/Prunus_persica/p.persica_gdr_reftransV1_0035222","p.persica_gdr_reftransV1_0035222")</f>
        <v>p.persica_gdr_reftransV1_0035222</v>
      </c>
      <c r="B8901" s="2">
        <v>1986</v>
      </c>
      <c r="C8901" s="4" t="str">
        <f>HYPERLINK("http://www.uniprot.org/uniprot/M5XKE1","M5XKE1")</f>
        <v>M5XKE1</v>
      </c>
      <c r="D8901" s="2" t="s">
        <v>7759</v>
      </c>
      <c r="E8901" s="3">
        <v>0</v>
      </c>
      <c r="F8901" s="2">
        <v>1981</v>
      </c>
      <c r="G8901" s="2">
        <v>89</v>
      </c>
      <c r="H8901" s="2">
        <v>428</v>
      </c>
      <c r="I8901" s="2">
        <v>393</v>
      </c>
      <c r="J8901" s="2">
        <v>1676</v>
      </c>
      <c r="K8901" s="2">
        <v>1</v>
      </c>
      <c r="L8901" s="2">
        <v>382</v>
      </c>
    </row>
    <row r="8902" spans="1:12" x14ac:dyDescent="0.25">
      <c r="A8902" s="4" t="str">
        <f>HYPERLINK("http://www.rosaceae.org/Prunus/Prunus_persica/p.persica_gdr_reftransV1_0039772","p.persica_gdr_reftransV1_0039772")</f>
        <v>p.persica_gdr_reftransV1_0039772</v>
      </c>
      <c r="B8902" s="2">
        <v>1624</v>
      </c>
      <c r="C8902" s="4" t="str">
        <f>HYPERLINK("http://www.uniprot.org/uniprot/M5WGJ1","M5WGJ1")</f>
        <v>M5WGJ1</v>
      </c>
      <c r="D8902" s="2" t="s">
        <v>7760</v>
      </c>
      <c r="E8902" s="3">
        <v>0</v>
      </c>
      <c r="F8902" s="2">
        <v>1682</v>
      </c>
      <c r="G8902" s="2">
        <v>100</v>
      </c>
      <c r="H8902" s="2">
        <v>345</v>
      </c>
      <c r="I8902" s="2">
        <v>507</v>
      </c>
      <c r="J8902" s="2">
        <v>1541</v>
      </c>
      <c r="K8902" s="2">
        <v>1</v>
      </c>
      <c r="L8902" s="2">
        <v>345</v>
      </c>
    </row>
    <row r="8903" spans="1:12" x14ac:dyDescent="0.25">
      <c r="A8903" s="4" t="str">
        <f>HYPERLINK("http://www.rosaceae.org/Prunus/Prunus_persica/p.persica_gdr_reftransV1_0040122","p.persica_gdr_reftransV1_0040122")</f>
        <v>p.persica_gdr_reftransV1_0040122</v>
      </c>
      <c r="B8903" s="2">
        <v>428</v>
      </c>
      <c r="C8903" s="4" t="str">
        <f>HYPERLINK("http://www.uniprot.org/uniprot/M5VT29","M5VT29")</f>
        <v>M5VT29</v>
      </c>
      <c r="D8903" s="2" t="s">
        <v>7761</v>
      </c>
      <c r="E8903" s="3">
        <v>5.6000000000000001E-66</v>
      </c>
      <c r="F8903" s="2">
        <v>536</v>
      </c>
      <c r="G8903" s="2">
        <v>96</v>
      </c>
      <c r="H8903" s="2">
        <v>107</v>
      </c>
      <c r="I8903" s="2">
        <v>1</v>
      </c>
      <c r="J8903" s="2">
        <v>321</v>
      </c>
      <c r="K8903" s="2">
        <v>109</v>
      </c>
      <c r="L8903" s="2">
        <v>215</v>
      </c>
    </row>
    <row r="8904" spans="1:12" x14ac:dyDescent="0.25">
      <c r="A8904" s="4" t="str">
        <f>HYPERLINK("http://www.rosaceae.org/Prunus/Prunus_persica/p.persica_gdr_reftransV1_0040472","p.persica_gdr_reftransV1_0040472")</f>
        <v>p.persica_gdr_reftransV1_0040472</v>
      </c>
      <c r="B8904" s="2">
        <v>3215</v>
      </c>
      <c r="C8904" s="4" t="str">
        <f>HYPERLINK("http://www.uniprot.org/uniprot/M5WNP5","M5WNP5")</f>
        <v>M5WNP5</v>
      </c>
      <c r="D8904" s="2" t="s">
        <v>7762</v>
      </c>
      <c r="E8904" s="3">
        <v>0</v>
      </c>
      <c r="F8904" s="2">
        <v>1892</v>
      </c>
      <c r="G8904" s="2">
        <v>99</v>
      </c>
      <c r="H8904" s="2">
        <v>365</v>
      </c>
      <c r="I8904" s="2">
        <v>665</v>
      </c>
      <c r="J8904" s="2">
        <v>1759</v>
      </c>
      <c r="K8904" s="2">
        <v>568</v>
      </c>
      <c r="L8904" s="2">
        <v>932</v>
      </c>
    </row>
    <row r="8905" spans="1:12" x14ac:dyDescent="0.25">
      <c r="A8905" s="4" t="str">
        <f>HYPERLINK("http://www.rosaceae.org/Prunus/Prunus_persica/p.persica_gdr_reftransV1_0041872","p.persica_gdr_reftransV1_0041872")</f>
        <v>p.persica_gdr_reftransV1_0041872</v>
      </c>
      <c r="B8905" s="2">
        <v>1310</v>
      </c>
      <c r="C8905" s="4" t="str">
        <f>HYPERLINK("http://www.uniprot.org/uniprot/M5WI57","M5WI57")</f>
        <v>M5WI57</v>
      </c>
      <c r="D8905" s="2" t="s">
        <v>7763</v>
      </c>
      <c r="E8905" s="3">
        <v>0</v>
      </c>
      <c r="F8905" s="2">
        <v>1342</v>
      </c>
      <c r="G8905" s="2">
        <v>100</v>
      </c>
      <c r="H8905" s="2">
        <v>288</v>
      </c>
      <c r="I8905" s="2">
        <v>248</v>
      </c>
      <c r="J8905" s="2">
        <v>1111</v>
      </c>
      <c r="K8905" s="2">
        <v>1</v>
      </c>
      <c r="L8905" s="2">
        <v>288</v>
      </c>
    </row>
    <row r="8906" spans="1:12" x14ac:dyDescent="0.25">
      <c r="A8906" s="4" t="str">
        <f>HYPERLINK("http://www.rosaceae.org/Prunus/Prunus_persica/p.persica_gdr_reftransV1_0042922","p.persica_gdr_reftransV1_0042922")</f>
        <v>p.persica_gdr_reftransV1_0042922</v>
      </c>
      <c r="B8906" s="2">
        <v>2621</v>
      </c>
      <c r="C8906" s="4" t="str">
        <f>HYPERLINK("http://www.uniprot.org/uniprot/M5VQZ1","M5VQZ1")</f>
        <v>M5VQZ1</v>
      </c>
      <c r="D8906" s="2" t="s">
        <v>7764</v>
      </c>
      <c r="E8906" s="3">
        <v>3.4800000000000001E-46</v>
      </c>
      <c r="F8906" s="2">
        <v>444</v>
      </c>
      <c r="G8906" s="2">
        <v>97</v>
      </c>
      <c r="H8906" s="2">
        <v>138</v>
      </c>
      <c r="I8906" s="2">
        <v>1618</v>
      </c>
      <c r="J8906" s="2">
        <v>2031</v>
      </c>
      <c r="K8906" s="2">
        <v>86</v>
      </c>
      <c r="L8906" s="2">
        <v>223</v>
      </c>
    </row>
    <row r="8907" spans="1:12" x14ac:dyDescent="0.25">
      <c r="A8907" s="4" t="str">
        <f>HYPERLINK("http://www.rosaceae.org/Prunus/Prunus_persica/p.persica_gdr_reftransV1_0043272","p.persica_gdr_reftransV1_0043272")</f>
        <v>p.persica_gdr_reftransV1_0043272</v>
      </c>
      <c r="B8907" s="2">
        <v>302</v>
      </c>
      <c r="C8907" s="4" t="str">
        <f>HYPERLINK("http://www.uniprot.org/uniprot/M5W6A1","M5W6A1")</f>
        <v>M5W6A1</v>
      </c>
      <c r="D8907" s="2" t="s">
        <v>7765</v>
      </c>
      <c r="E8907" s="3">
        <v>4.7799999999999998E-60</v>
      </c>
      <c r="F8907" s="2">
        <v>519</v>
      </c>
      <c r="G8907" s="2">
        <v>100</v>
      </c>
      <c r="H8907" s="2">
        <v>100</v>
      </c>
      <c r="I8907" s="2">
        <v>3</v>
      </c>
      <c r="J8907" s="2">
        <v>302</v>
      </c>
      <c r="K8907" s="2">
        <v>376</v>
      </c>
      <c r="L8907" s="2">
        <v>475</v>
      </c>
    </row>
    <row r="8908" spans="1:12" x14ac:dyDescent="0.25">
      <c r="A8908" s="4" t="str">
        <f>HYPERLINK("http://www.rosaceae.org/Prunus/Prunus_persica/p.persica_gdr_reftransV1_0043622","p.persica_gdr_reftransV1_0043622")</f>
        <v>p.persica_gdr_reftransV1_0043622</v>
      </c>
      <c r="B8908" s="2">
        <v>1093</v>
      </c>
      <c r="C8908" s="4" t="str">
        <f>HYPERLINK("http://www.uniprot.org/uniprot/M5XZG7","M5XZG7")</f>
        <v>M5XZG7</v>
      </c>
      <c r="D8908" s="2" t="s">
        <v>7766</v>
      </c>
      <c r="E8908" s="3">
        <v>1.6200000000000001E-157</v>
      </c>
      <c r="F8908" s="2">
        <v>1166</v>
      </c>
      <c r="G8908" s="2">
        <v>100</v>
      </c>
      <c r="H8908" s="2">
        <v>223</v>
      </c>
      <c r="I8908" s="2">
        <v>184</v>
      </c>
      <c r="J8908" s="2">
        <v>852</v>
      </c>
      <c r="K8908" s="2">
        <v>1</v>
      </c>
      <c r="L8908" s="2">
        <v>223</v>
      </c>
    </row>
    <row r="8909" spans="1:12" x14ac:dyDescent="0.25">
      <c r="A8909" s="4" t="str">
        <f>HYPERLINK("http://www.rosaceae.org/Prunus/Prunus_persica/p.persica_gdr_reftransV1_0043972","p.persica_gdr_reftransV1_0043972")</f>
        <v>p.persica_gdr_reftransV1_0043972</v>
      </c>
      <c r="B8909" s="2">
        <v>1553</v>
      </c>
      <c r="C8909" s="4" t="str">
        <f>HYPERLINK("http://www.uniprot.org/uniprot/M5W0K4","M5W0K4")</f>
        <v>M5W0K4</v>
      </c>
      <c r="D8909" s="2" t="s">
        <v>7767</v>
      </c>
      <c r="E8909" s="3">
        <v>2.7E-109</v>
      </c>
      <c r="F8909" s="2">
        <v>856</v>
      </c>
      <c r="G8909" s="2">
        <v>100</v>
      </c>
      <c r="H8909" s="2">
        <v>162</v>
      </c>
      <c r="I8909" s="2">
        <v>1031</v>
      </c>
      <c r="J8909" s="2">
        <v>1516</v>
      </c>
      <c r="K8909" s="2">
        <v>1</v>
      </c>
      <c r="L8909" s="2">
        <v>162</v>
      </c>
    </row>
    <row r="8910" spans="1:12" x14ac:dyDescent="0.25">
      <c r="A8910" s="4" t="str">
        <f>HYPERLINK("http://www.rosaceae.org/Prunus/Prunus_persica/p.persica_gdr_reftransV1_0044322","p.persica_gdr_reftransV1_0044322")</f>
        <v>p.persica_gdr_reftransV1_0044322</v>
      </c>
      <c r="B8910" s="2">
        <v>746</v>
      </c>
      <c r="C8910" s="4" t="str">
        <f>HYPERLINK("http://www.uniprot.org/uniprot/M5XAD1","M5XAD1")</f>
        <v>M5XAD1</v>
      </c>
      <c r="D8910" s="2" t="s">
        <v>7768</v>
      </c>
      <c r="E8910" s="3">
        <v>1.16E-138</v>
      </c>
      <c r="F8910" s="2">
        <v>1067</v>
      </c>
      <c r="G8910" s="2">
        <v>100</v>
      </c>
      <c r="H8910" s="2">
        <v>199</v>
      </c>
      <c r="I8910" s="2">
        <v>150</v>
      </c>
      <c r="J8910" s="2">
        <v>746</v>
      </c>
      <c r="K8910" s="2">
        <v>428</v>
      </c>
      <c r="L8910" s="2">
        <v>626</v>
      </c>
    </row>
    <row r="8911" spans="1:12" x14ac:dyDescent="0.25">
      <c r="A8911" s="4" t="str">
        <f>HYPERLINK("http://www.rosaceae.org/Prunus/Prunus_persica/p.persica_gdr_reftransV1_0044672","p.persica_gdr_reftransV1_0044672")</f>
        <v>p.persica_gdr_reftransV1_0044672</v>
      </c>
      <c r="B8911" s="2">
        <v>307</v>
      </c>
      <c r="C8911" s="4" t="str">
        <f>HYPERLINK("http://www.uniprot.org/uniprot/Q61273","Q61273")</f>
        <v>Q61273</v>
      </c>
      <c r="D8911" s="2" t="s">
        <v>7769</v>
      </c>
      <c r="E8911" s="3">
        <v>5.2E-70</v>
      </c>
      <c r="F8911" s="2">
        <v>553</v>
      </c>
      <c r="G8911" s="2">
        <v>100</v>
      </c>
      <c r="H8911" s="2">
        <v>101</v>
      </c>
      <c r="I8911" s="2">
        <v>3</v>
      </c>
      <c r="J8911" s="2">
        <v>305</v>
      </c>
      <c r="K8911" s="2">
        <v>41</v>
      </c>
      <c r="L8911" s="2">
        <v>141</v>
      </c>
    </row>
    <row r="8912" spans="1:12" x14ac:dyDescent="0.25">
      <c r="A8912" s="4" t="str">
        <f>HYPERLINK("http://www.rosaceae.org/Prunus/Prunus_persica/p.persica_gdr_reftransV1_0045022","p.persica_gdr_reftransV1_0045022")</f>
        <v>p.persica_gdr_reftransV1_0045022</v>
      </c>
      <c r="B8912" s="2">
        <v>487</v>
      </c>
      <c r="C8912" s="4" t="str">
        <f>HYPERLINK("http://www.uniprot.org/uniprot/M5W831","M5W831")</f>
        <v>M5W831</v>
      </c>
      <c r="D8912" s="2" t="s">
        <v>7770</v>
      </c>
      <c r="E8912" s="3">
        <v>2.5599999999999999E-21</v>
      </c>
      <c r="F8912" s="2">
        <v>234</v>
      </c>
      <c r="G8912" s="2">
        <v>51</v>
      </c>
      <c r="H8912" s="2">
        <v>134</v>
      </c>
      <c r="I8912" s="2">
        <v>17</v>
      </c>
      <c r="J8912" s="2">
        <v>412</v>
      </c>
      <c r="K8912" s="2">
        <v>22</v>
      </c>
      <c r="L8912" s="2">
        <v>148</v>
      </c>
    </row>
    <row r="8913" spans="1:12" x14ac:dyDescent="0.25">
      <c r="A8913" s="4" t="str">
        <f>HYPERLINK("http://www.rosaceae.org/Prunus/Prunus_persica/p.persica_gdr_reftransV1_0045372","p.persica_gdr_reftransV1_0045372")</f>
        <v>p.persica_gdr_reftransV1_0045372</v>
      </c>
      <c r="B8913" s="2">
        <v>952</v>
      </c>
      <c r="C8913" s="4" t="str">
        <f>HYPERLINK("http://www.uniprot.org/uniprot/M5VPE6","M5VPE6")</f>
        <v>M5VPE6</v>
      </c>
      <c r="D8913" s="2" t="s">
        <v>7771</v>
      </c>
      <c r="E8913" s="3">
        <v>5.29E-137</v>
      </c>
      <c r="F8913" s="2">
        <v>1100</v>
      </c>
      <c r="G8913" s="2">
        <v>97</v>
      </c>
      <c r="H8913" s="2">
        <v>211</v>
      </c>
      <c r="I8913" s="2">
        <v>1</v>
      </c>
      <c r="J8913" s="2">
        <v>633</v>
      </c>
      <c r="K8913" s="2">
        <v>932</v>
      </c>
      <c r="L8913" s="2">
        <v>1142</v>
      </c>
    </row>
    <row r="8914" spans="1:12" x14ac:dyDescent="0.25">
      <c r="A8914" s="4" t="str">
        <f>HYPERLINK("http://www.rosaceae.org/Prunus/Prunus_persica/p.persica_gdr_reftransV1_0046072","p.persica_gdr_reftransV1_0046072")</f>
        <v>p.persica_gdr_reftransV1_0046072</v>
      </c>
      <c r="B8914" s="2">
        <v>2120</v>
      </c>
      <c r="C8914" s="4" t="str">
        <f>HYPERLINK("http://www.uniprot.org/uniprot/M5XYH1","M5XYH1")</f>
        <v>M5XYH1</v>
      </c>
      <c r="D8914" s="2" t="s">
        <v>7772</v>
      </c>
      <c r="E8914" s="3">
        <v>0</v>
      </c>
      <c r="F8914" s="2">
        <v>2950</v>
      </c>
      <c r="G8914" s="2">
        <v>100</v>
      </c>
      <c r="H8914" s="2">
        <v>602</v>
      </c>
      <c r="I8914" s="2">
        <v>313</v>
      </c>
      <c r="J8914" s="2">
        <v>2118</v>
      </c>
      <c r="K8914" s="2">
        <v>196</v>
      </c>
      <c r="L8914" s="2">
        <v>797</v>
      </c>
    </row>
    <row r="8915" spans="1:12" x14ac:dyDescent="0.25">
      <c r="A8915" s="4" t="str">
        <f>HYPERLINK("http://www.rosaceae.org/Prunus/Prunus_persica/p.persica_gdr_reftransV1_0046422","p.persica_gdr_reftransV1_0046422")</f>
        <v>p.persica_gdr_reftransV1_0046422</v>
      </c>
      <c r="B8915" s="2">
        <v>1075</v>
      </c>
      <c r="C8915" s="4" t="str">
        <f>HYPERLINK("http://www.uniprot.org/uniprot/M5X2F8","M5X2F8")</f>
        <v>M5X2F8</v>
      </c>
      <c r="D8915" s="2" t="s">
        <v>4951</v>
      </c>
      <c r="E8915" s="3">
        <v>8.3699999999999999E-7</v>
      </c>
      <c r="F8915" s="2">
        <v>139</v>
      </c>
      <c r="G8915" s="2">
        <v>100</v>
      </c>
      <c r="H8915" s="2">
        <v>27</v>
      </c>
      <c r="I8915" s="2">
        <v>310</v>
      </c>
      <c r="J8915" s="2">
        <v>390</v>
      </c>
      <c r="K8915" s="2">
        <v>1</v>
      </c>
      <c r="L8915" s="2">
        <v>27</v>
      </c>
    </row>
    <row r="8916" spans="1:12" x14ac:dyDescent="0.25">
      <c r="A8916" s="4" t="str">
        <f>HYPERLINK("http://www.rosaceae.org/Prunus/Prunus_persica/p.persica_gdr_reftransV1_0046772","p.persica_gdr_reftransV1_0046772")</f>
        <v>p.persica_gdr_reftransV1_0046772</v>
      </c>
      <c r="B8916" s="2">
        <v>1979</v>
      </c>
      <c r="C8916" s="4" t="str">
        <f>HYPERLINK("http://www.uniprot.org/uniprot/M5WXZ0","M5WXZ0")</f>
        <v>M5WXZ0</v>
      </c>
      <c r="D8916" s="2" t="s">
        <v>7773</v>
      </c>
      <c r="E8916" s="3">
        <v>0</v>
      </c>
      <c r="F8916" s="2">
        <v>2333</v>
      </c>
      <c r="G8916" s="2">
        <v>100</v>
      </c>
      <c r="H8916" s="2">
        <v>453</v>
      </c>
      <c r="I8916" s="2">
        <v>140</v>
      </c>
      <c r="J8916" s="2">
        <v>1498</v>
      </c>
      <c r="K8916" s="2">
        <v>1</v>
      </c>
      <c r="L8916" s="2">
        <v>453</v>
      </c>
    </row>
    <row r="8917" spans="1:12" x14ac:dyDescent="0.25">
      <c r="A8917" s="4" t="str">
        <f>HYPERLINK("http://www.rosaceae.org/Prunus/Prunus_persica/p.persica_gdr_reftransV1_0047822","p.persica_gdr_reftransV1_0047822")</f>
        <v>p.persica_gdr_reftransV1_0047822</v>
      </c>
      <c r="B8917" s="2">
        <v>1365</v>
      </c>
      <c r="C8917" s="4" t="str">
        <f>HYPERLINK("http://www.uniprot.org/uniprot/M5VQK8","M5VQK8")</f>
        <v>M5VQK8</v>
      </c>
      <c r="D8917" s="2" t="s">
        <v>7774</v>
      </c>
      <c r="E8917" s="3">
        <v>0</v>
      </c>
      <c r="F8917" s="2">
        <v>1792</v>
      </c>
      <c r="G8917" s="2">
        <v>100</v>
      </c>
      <c r="H8917" s="2">
        <v>340</v>
      </c>
      <c r="I8917" s="2">
        <v>198</v>
      </c>
      <c r="J8917" s="2">
        <v>1217</v>
      </c>
      <c r="K8917" s="2">
        <v>1</v>
      </c>
      <c r="L8917" s="2">
        <v>340</v>
      </c>
    </row>
    <row r="8918" spans="1:12" x14ac:dyDescent="0.25">
      <c r="A8918" s="4" t="str">
        <f>HYPERLINK("http://www.rosaceae.org/Prunus/Prunus_persica/p.persica_gdr_reftransV1_0048172","p.persica_gdr_reftransV1_0048172")</f>
        <v>p.persica_gdr_reftransV1_0048172</v>
      </c>
      <c r="B8918" s="2">
        <v>678</v>
      </c>
      <c r="C8918" s="4" t="str">
        <f>HYPERLINK("http://www.uniprot.org/uniprot/M5XKF4","M5XKF4")</f>
        <v>M5XKF4</v>
      </c>
      <c r="D8918" s="2" t="s">
        <v>7775</v>
      </c>
      <c r="E8918" s="3">
        <v>2.3299999999999998E-59</v>
      </c>
      <c r="F8918" s="2">
        <v>503</v>
      </c>
      <c r="G8918" s="2">
        <v>100</v>
      </c>
      <c r="H8918" s="2">
        <v>111</v>
      </c>
      <c r="I8918" s="2">
        <v>307</v>
      </c>
      <c r="J8918" s="2">
        <v>639</v>
      </c>
      <c r="K8918" s="2">
        <v>31</v>
      </c>
      <c r="L8918" s="2">
        <v>141</v>
      </c>
    </row>
    <row r="8919" spans="1:12" x14ac:dyDescent="0.25">
      <c r="A8919" s="4" t="str">
        <f>HYPERLINK("http://www.rosaceae.org/Prunus/Prunus_persica/p.persica_gdr_reftransV1_0048522","p.persica_gdr_reftransV1_0048522")</f>
        <v>p.persica_gdr_reftransV1_0048522</v>
      </c>
      <c r="B8919" s="2">
        <v>445</v>
      </c>
      <c r="C8919" s="4" t="str">
        <f>HYPERLINK("http://www.uniprot.org/uniprot/A0A0A0KZ42","A0A0A0KZ42")</f>
        <v>A0A0A0KZ42</v>
      </c>
      <c r="D8919" s="2" t="s">
        <v>7776</v>
      </c>
      <c r="E8919" s="3">
        <v>2.1300000000000001E-46</v>
      </c>
      <c r="F8919" s="2">
        <v>428</v>
      </c>
      <c r="G8919" s="2">
        <v>70</v>
      </c>
      <c r="H8919" s="2">
        <v>108</v>
      </c>
      <c r="I8919" s="2">
        <v>122</v>
      </c>
      <c r="J8919" s="2">
        <v>445</v>
      </c>
      <c r="K8919" s="2">
        <v>489</v>
      </c>
      <c r="L8919" s="2">
        <v>596</v>
      </c>
    </row>
    <row r="8920" spans="1:12" x14ac:dyDescent="0.25">
      <c r="A8920" s="4" t="str">
        <f>HYPERLINK("http://www.rosaceae.org/Prunus/Prunus_persica/p.persica_gdr_reftransV1_0048872","p.persica_gdr_reftransV1_0048872")</f>
        <v>p.persica_gdr_reftransV1_0048872</v>
      </c>
      <c r="B8920" s="2">
        <v>1716</v>
      </c>
      <c r="C8920" s="4" t="str">
        <f>HYPERLINK("http://www.uniprot.org/uniprot/V9MHD5","V9MHD5")</f>
        <v>V9MHD5</v>
      </c>
      <c r="D8920" s="2" t="s">
        <v>7777</v>
      </c>
      <c r="E8920" s="3">
        <v>4.0300000000000001E-149</v>
      </c>
      <c r="F8920" s="2">
        <v>1141</v>
      </c>
      <c r="G8920" s="2">
        <v>85</v>
      </c>
      <c r="H8920" s="2">
        <v>326</v>
      </c>
      <c r="I8920" s="2">
        <v>410</v>
      </c>
      <c r="J8920" s="2">
        <v>1381</v>
      </c>
      <c r="K8920" s="2">
        <v>1</v>
      </c>
      <c r="L8920" s="2">
        <v>321</v>
      </c>
    </row>
    <row r="8921" spans="1:12" x14ac:dyDescent="0.25">
      <c r="A8921" s="4" t="str">
        <f>HYPERLINK("http://www.rosaceae.org/Prunus/Prunus_persica/p.persica_gdr_reftransV1_0000223","p.persica_gdr_reftransV1_0000223")</f>
        <v>p.persica_gdr_reftransV1_0000223</v>
      </c>
      <c r="B8921" s="2">
        <v>1997</v>
      </c>
      <c r="C8921" s="4" t="str">
        <f>HYPERLINK("http://www.uniprot.org/uniprot/M5X5B3","M5X5B3")</f>
        <v>M5X5B3</v>
      </c>
      <c r="D8921" s="2" t="s">
        <v>7778</v>
      </c>
      <c r="E8921" s="3">
        <v>0</v>
      </c>
      <c r="F8921" s="2">
        <v>2821</v>
      </c>
      <c r="G8921" s="2">
        <v>100</v>
      </c>
      <c r="H8921" s="2">
        <v>551</v>
      </c>
      <c r="I8921" s="2">
        <v>84</v>
      </c>
      <c r="J8921" s="2">
        <v>1736</v>
      </c>
      <c r="K8921" s="2">
        <v>1</v>
      </c>
      <c r="L8921" s="2">
        <v>551</v>
      </c>
    </row>
    <row r="8922" spans="1:12" x14ac:dyDescent="0.25">
      <c r="A8922" s="4" t="str">
        <f>HYPERLINK("http://www.rosaceae.org/Prunus/Prunus_persica/p.persica_gdr_reftransV1_0000573","p.persica_gdr_reftransV1_0000573")</f>
        <v>p.persica_gdr_reftransV1_0000573</v>
      </c>
      <c r="B8922" s="2">
        <v>2328</v>
      </c>
      <c r="C8922" s="4" t="str">
        <f>HYPERLINK("http://www.uniprot.org/uniprot/M5WZ82","M5WZ82")</f>
        <v>M5WZ82</v>
      </c>
      <c r="D8922" s="2" t="s">
        <v>7779</v>
      </c>
      <c r="E8922" s="3">
        <v>0</v>
      </c>
      <c r="F8922" s="2">
        <v>2488</v>
      </c>
      <c r="G8922" s="2">
        <v>97</v>
      </c>
      <c r="H8922" s="2">
        <v>489</v>
      </c>
      <c r="I8922" s="2">
        <v>106</v>
      </c>
      <c r="J8922" s="2">
        <v>1572</v>
      </c>
      <c r="K8922" s="2">
        <v>3</v>
      </c>
      <c r="L8922" s="2">
        <v>477</v>
      </c>
    </row>
    <row r="8923" spans="1:12" x14ac:dyDescent="0.25">
      <c r="A8923" s="4" t="str">
        <f>HYPERLINK("http://www.rosaceae.org/Prunus/Prunus_persica/p.persica_gdr_reftransV1_0001273","p.persica_gdr_reftransV1_0001273")</f>
        <v>p.persica_gdr_reftransV1_0001273</v>
      </c>
      <c r="B8923" s="2">
        <v>995</v>
      </c>
      <c r="C8923" s="4" t="str">
        <f>HYPERLINK("http://www.uniprot.org/uniprot/M5XGR5","M5XGR5")</f>
        <v>M5XGR5</v>
      </c>
      <c r="D8923" s="2" t="s">
        <v>2782</v>
      </c>
      <c r="E8923" s="3">
        <v>4.2899999999999996E-161</v>
      </c>
      <c r="F8923" s="2">
        <v>1186</v>
      </c>
      <c r="G8923" s="2">
        <v>100</v>
      </c>
      <c r="H8923" s="2">
        <v>223</v>
      </c>
      <c r="I8923" s="2">
        <v>273</v>
      </c>
      <c r="J8923" s="2">
        <v>941</v>
      </c>
      <c r="K8923" s="2">
        <v>1</v>
      </c>
      <c r="L8923" s="2">
        <v>223</v>
      </c>
    </row>
    <row r="8924" spans="1:12" x14ac:dyDescent="0.25">
      <c r="A8924" s="4" t="str">
        <f>HYPERLINK("http://www.rosaceae.org/Prunus/Prunus_persica/p.persica_gdr_reftransV1_0001623","p.persica_gdr_reftransV1_0001623")</f>
        <v>p.persica_gdr_reftransV1_0001623</v>
      </c>
      <c r="B8924" s="2">
        <v>6205</v>
      </c>
      <c r="C8924" s="4" t="str">
        <f>HYPERLINK("http://www.uniprot.org/uniprot/M5VUV2","M5VUV2")</f>
        <v>M5VUV2</v>
      </c>
      <c r="D8924" s="2" t="s">
        <v>965</v>
      </c>
      <c r="E8924" s="3">
        <v>0</v>
      </c>
      <c r="F8924" s="2">
        <v>10408</v>
      </c>
      <c r="G8924" s="2">
        <v>99</v>
      </c>
      <c r="H8924" s="2">
        <v>2079</v>
      </c>
      <c r="I8924" s="2">
        <v>1</v>
      </c>
      <c r="J8924" s="2">
        <v>6204</v>
      </c>
      <c r="K8924" s="2">
        <v>264</v>
      </c>
      <c r="L8924" s="2">
        <v>2342</v>
      </c>
    </row>
    <row r="8925" spans="1:12" x14ac:dyDescent="0.25">
      <c r="A8925" s="4" t="str">
        <f>HYPERLINK("http://www.rosaceae.org/Prunus/Prunus_persica/p.persica_gdr_reftransV1_0001973","p.persica_gdr_reftransV1_0001973")</f>
        <v>p.persica_gdr_reftransV1_0001973</v>
      </c>
      <c r="B8925" s="2">
        <v>1833</v>
      </c>
      <c r="C8925" s="4" t="str">
        <f>HYPERLINK("http://www.uniprot.org/uniprot/M5VGN4","M5VGN4")</f>
        <v>M5VGN4</v>
      </c>
      <c r="D8925" s="2" t="s">
        <v>7780</v>
      </c>
      <c r="E8925" s="3">
        <v>0</v>
      </c>
      <c r="F8925" s="2">
        <v>2783</v>
      </c>
      <c r="G8925" s="2">
        <v>95</v>
      </c>
      <c r="H8925" s="2">
        <v>570</v>
      </c>
      <c r="I8925" s="2">
        <v>2</v>
      </c>
      <c r="J8925" s="2">
        <v>1711</v>
      </c>
      <c r="K8925" s="2">
        <v>1</v>
      </c>
      <c r="L8925" s="2">
        <v>539</v>
      </c>
    </row>
    <row r="8926" spans="1:12" x14ac:dyDescent="0.25">
      <c r="A8926" s="4" t="str">
        <f>HYPERLINK("http://www.rosaceae.org/Prunus/Prunus_persica/p.persica_gdr_reftransV1_0002323","p.persica_gdr_reftransV1_0002323")</f>
        <v>p.persica_gdr_reftransV1_0002323</v>
      </c>
      <c r="B8926" s="2">
        <v>992</v>
      </c>
      <c r="C8926" s="4" t="str">
        <f>HYPERLINK("http://www.uniprot.org/uniprot/M5XH30","M5XH30")</f>
        <v>M5XH30</v>
      </c>
      <c r="D8926" s="2" t="s">
        <v>5785</v>
      </c>
      <c r="E8926" s="3">
        <v>7.8499999999999995E-139</v>
      </c>
      <c r="F8926" s="2">
        <v>1092</v>
      </c>
      <c r="G8926" s="2">
        <v>100</v>
      </c>
      <c r="H8926" s="2">
        <v>216</v>
      </c>
      <c r="I8926" s="2">
        <v>1</v>
      </c>
      <c r="J8926" s="2">
        <v>648</v>
      </c>
      <c r="K8926" s="2">
        <v>1</v>
      </c>
      <c r="L8926" s="2">
        <v>216</v>
      </c>
    </row>
    <row r="8927" spans="1:12" x14ac:dyDescent="0.25">
      <c r="A8927" s="4" t="str">
        <f>HYPERLINK("http://www.rosaceae.org/Prunus/Prunus_persica/p.persica_gdr_reftransV1_0003023","p.persica_gdr_reftransV1_0003023")</f>
        <v>p.persica_gdr_reftransV1_0003023</v>
      </c>
      <c r="B8927" s="2">
        <v>406</v>
      </c>
      <c r="C8927" s="4" t="str">
        <f>HYPERLINK("http://www.uniprot.org/uniprot/M5W9S8","M5W9S8")</f>
        <v>M5W9S8</v>
      </c>
      <c r="D8927" s="2" t="s">
        <v>7781</v>
      </c>
      <c r="E8927" s="3">
        <v>4.2E-85</v>
      </c>
      <c r="F8927" s="2">
        <v>655</v>
      </c>
      <c r="G8927" s="2">
        <v>100</v>
      </c>
      <c r="H8927" s="2">
        <v>135</v>
      </c>
      <c r="I8927" s="2">
        <v>2</v>
      </c>
      <c r="J8927" s="2">
        <v>406</v>
      </c>
      <c r="K8927" s="2">
        <v>2</v>
      </c>
      <c r="L8927" s="2">
        <v>136</v>
      </c>
    </row>
    <row r="8928" spans="1:12" x14ac:dyDescent="0.25">
      <c r="A8928" s="4" t="str">
        <f>HYPERLINK("http://www.rosaceae.org/Prunus/Prunus_persica/p.persica_gdr_reftransV1_0003373","p.persica_gdr_reftransV1_0003373")</f>
        <v>p.persica_gdr_reftransV1_0003373</v>
      </c>
      <c r="B8928" s="2">
        <v>631</v>
      </c>
      <c r="C8928" s="4" t="str">
        <f>HYPERLINK("http://www.uniprot.org/uniprot/M5WLB4","M5WLB4")</f>
        <v>M5WLB4</v>
      </c>
      <c r="D8928" s="2" t="s">
        <v>7782</v>
      </c>
      <c r="E8928" s="3">
        <v>8.2000000000000002E-151</v>
      </c>
      <c r="F8928" s="2">
        <v>1113</v>
      </c>
      <c r="G8928" s="2">
        <v>100</v>
      </c>
      <c r="H8928" s="2">
        <v>210</v>
      </c>
      <c r="I8928" s="2">
        <v>2</v>
      </c>
      <c r="J8928" s="2">
        <v>631</v>
      </c>
      <c r="K8928" s="2">
        <v>45</v>
      </c>
      <c r="L8928" s="2">
        <v>254</v>
      </c>
    </row>
    <row r="8929" spans="1:12" x14ac:dyDescent="0.25">
      <c r="A8929" s="4" t="str">
        <f>HYPERLINK("http://www.rosaceae.org/Prunus/Prunus_persica/p.persica_gdr_reftransV1_0003723","p.persica_gdr_reftransV1_0003723")</f>
        <v>p.persica_gdr_reftransV1_0003723</v>
      </c>
      <c r="B8929" s="2">
        <v>427</v>
      </c>
      <c r="C8929" s="4" t="str">
        <f>HYPERLINK("http://www.uniprot.org/uniprot/M5WK83","M5WK83")</f>
        <v>M5WK83</v>
      </c>
      <c r="D8929" s="2" t="s">
        <v>7783</v>
      </c>
      <c r="E8929" s="3">
        <v>1.47E-77</v>
      </c>
      <c r="F8929" s="2">
        <v>623</v>
      </c>
      <c r="G8929" s="2">
        <v>100</v>
      </c>
      <c r="H8929" s="2">
        <v>142</v>
      </c>
      <c r="I8929" s="2">
        <v>1</v>
      </c>
      <c r="J8929" s="2">
        <v>426</v>
      </c>
      <c r="K8929" s="2">
        <v>186</v>
      </c>
      <c r="L8929" s="2">
        <v>327</v>
      </c>
    </row>
    <row r="8930" spans="1:12" x14ac:dyDescent="0.25">
      <c r="A8930" s="4" t="str">
        <f>HYPERLINK("http://www.rosaceae.org/Prunus/Prunus_persica/p.persica_gdr_reftransV1_0004073","p.persica_gdr_reftransV1_0004073")</f>
        <v>p.persica_gdr_reftransV1_0004073</v>
      </c>
      <c r="B8930" s="2">
        <v>604</v>
      </c>
      <c r="C8930" s="4" t="str">
        <f>HYPERLINK("http://www.uniprot.org/uniprot/M5WL83","M5WL83")</f>
        <v>M5WL83</v>
      </c>
      <c r="D8930" s="2" t="s">
        <v>3499</v>
      </c>
      <c r="E8930" s="3">
        <v>3.1799999999999998E-107</v>
      </c>
      <c r="F8930" s="2">
        <v>843</v>
      </c>
      <c r="G8930" s="2">
        <v>100</v>
      </c>
      <c r="H8930" s="2">
        <v>155</v>
      </c>
      <c r="I8930" s="2">
        <v>139</v>
      </c>
      <c r="J8930" s="2">
        <v>603</v>
      </c>
      <c r="K8930" s="2">
        <v>358</v>
      </c>
      <c r="L8930" s="2">
        <v>512</v>
      </c>
    </row>
    <row r="8931" spans="1:12" x14ac:dyDescent="0.25">
      <c r="A8931" s="4" t="str">
        <f>HYPERLINK("http://www.rosaceae.org/Prunus/Prunus_persica/p.persica_gdr_reftransV1_0004773","p.persica_gdr_reftransV1_0004773")</f>
        <v>p.persica_gdr_reftransV1_0004773</v>
      </c>
      <c r="B8931" s="2">
        <v>3290</v>
      </c>
      <c r="C8931" s="4" t="str">
        <f>HYPERLINK("http://www.uniprot.org/uniprot/M5XY84","M5XY84")</f>
        <v>M5XY84</v>
      </c>
      <c r="D8931" s="2" t="s">
        <v>7784</v>
      </c>
      <c r="E8931" s="3">
        <v>0</v>
      </c>
      <c r="F8931" s="2">
        <v>2712</v>
      </c>
      <c r="G8931" s="2">
        <v>100</v>
      </c>
      <c r="H8931" s="2">
        <v>562</v>
      </c>
      <c r="I8931" s="2">
        <v>1368</v>
      </c>
      <c r="J8931" s="2">
        <v>3053</v>
      </c>
      <c r="K8931" s="2">
        <v>1</v>
      </c>
      <c r="L8931" s="2">
        <v>562</v>
      </c>
    </row>
    <row r="8932" spans="1:12" x14ac:dyDescent="0.25">
      <c r="A8932" s="4" t="str">
        <f>HYPERLINK("http://www.rosaceae.org/Prunus/Prunus_persica/p.persica_gdr_reftransV1_0005123","p.persica_gdr_reftransV1_0005123")</f>
        <v>p.persica_gdr_reftransV1_0005123</v>
      </c>
      <c r="B8932" s="2">
        <v>1815</v>
      </c>
      <c r="C8932" s="4" t="str">
        <f>HYPERLINK("http://www.uniprot.org/uniprot/M5WPG0","M5WPG0")</f>
        <v>M5WPG0</v>
      </c>
      <c r="D8932" s="2" t="s">
        <v>7785</v>
      </c>
      <c r="E8932" s="3">
        <v>0</v>
      </c>
      <c r="F8932" s="2">
        <v>2919</v>
      </c>
      <c r="G8932" s="2">
        <v>96</v>
      </c>
      <c r="H8932" s="2">
        <v>604</v>
      </c>
      <c r="I8932" s="2">
        <v>2</v>
      </c>
      <c r="J8932" s="2">
        <v>1813</v>
      </c>
      <c r="K8932" s="2">
        <v>48</v>
      </c>
      <c r="L8932" s="2">
        <v>626</v>
      </c>
    </row>
    <row r="8933" spans="1:12" x14ac:dyDescent="0.25">
      <c r="A8933" s="4" t="str">
        <f>HYPERLINK("http://www.rosaceae.org/Prunus/Prunus_persica/p.persica_gdr_reftransV1_0006523","p.persica_gdr_reftransV1_0006523")</f>
        <v>p.persica_gdr_reftransV1_0006523</v>
      </c>
      <c r="B8933" s="2">
        <v>340</v>
      </c>
      <c r="C8933" s="4" t="str">
        <f>HYPERLINK("http://www.uniprot.org/uniprot/M5X3F7","M5X3F7")</f>
        <v>M5X3F7</v>
      </c>
      <c r="D8933" s="2" t="s">
        <v>7786</v>
      </c>
      <c r="E8933" s="3">
        <v>4.1100000000000004E-68</v>
      </c>
      <c r="F8933" s="2">
        <v>583</v>
      </c>
      <c r="G8933" s="2">
        <v>100</v>
      </c>
      <c r="H8933" s="2">
        <v>113</v>
      </c>
      <c r="I8933" s="2">
        <v>1</v>
      </c>
      <c r="J8933" s="2">
        <v>339</v>
      </c>
      <c r="K8933" s="2">
        <v>469</v>
      </c>
      <c r="L8933" s="2">
        <v>581</v>
      </c>
    </row>
    <row r="8934" spans="1:12" x14ac:dyDescent="0.25">
      <c r="A8934" s="4" t="str">
        <f>HYPERLINK("http://www.rosaceae.org/Prunus/Prunus_persica/p.persica_gdr_reftransV1_0006873","p.persica_gdr_reftransV1_0006873")</f>
        <v>p.persica_gdr_reftransV1_0006873</v>
      </c>
      <c r="B8934" s="2">
        <v>1881</v>
      </c>
      <c r="C8934" s="4" t="str">
        <f>HYPERLINK("http://www.uniprot.org/uniprot/M5XIA6","M5XIA6")</f>
        <v>M5XIA6</v>
      </c>
      <c r="D8934" s="2" t="s">
        <v>7787</v>
      </c>
      <c r="E8934" s="3">
        <v>0</v>
      </c>
      <c r="F8934" s="2">
        <v>1722</v>
      </c>
      <c r="G8934" s="2">
        <v>100</v>
      </c>
      <c r="H8934" s="2">
        <v>387</v>
      </c>
      <c r="I8934" s="2">
        <v>380</v>
      </c>
      <c r="J8934" s="2">
        <v>1540</v>
      </c>
      <c r="K8934" s="2">
        <v>1</v>
      </c>
      <c r="L8934" s="2">
        <v>387</v>
      </c>
    </row>
    <row r="8935" spans="1:12" x14ac:dyDescent="0.25">
      <c r="A8935" s="4" t="str">
        <f>HYPERLINK("http://www.rosaceae.org/Prunus/Prunus_persica/p.persica_gdr_reftransV1_0007223","p.persica_gdr_reftransV1_0007223")</f>
        <v>p.persica_gdr_reftransV1_0007223</v>
      </c>
      <c r="B8935" s="2">
        <v>1837</v>
      </c>
      <c r="C8935" s="4" t="str">
        <f>HYPERLINK("http://www.uniprot.org/uniprot/M5WQM9","M5WQM9")</f>
        <v>M5WQM9</v>
      </c>
      <c r="D8935" s="2" t="s">
        <v>7788</v>
      </c>
      <c r="E8935" s="3">
        <v>0</v>
      </c>
      <c r="F8935" s="2">
        <v>1969</v>
      </c>
      <c r="G8935" s="2">
        <v>100</v>
      </c>
      <c r="H8935" s="2">
        <v>446</v>
      </c>
      <c r="I8935" s="2">
        <v>500</v>
      </c>
      <c r="J8935" s="2">
        <v>1837</v>
      </c>
      <c r="K8935" s="2">
        <v>31</v>
      </c>
      <c r="L8935" s="2">
        <v>476</v>
      </c>
    </row>
    <row r="8936" spans="1:12" x14ac:dyDescent="0.25">
      <c r="A8936" s="4" t="str">
        <f>HYPERLINK("http://www.rosaceae.org/Prunus/Prunus_persica/p.persica_gdr_reftransV1_0008273","p.persica_gdr_reftransV1_0008273")</f>
        <v>p.persica_gdr_reftransV1_0008273</v>
      </c>
      <c r="B8936" s="2">
        <v>2248</v>
      </c>
      <c r="C8936" s="4" t="str">
        <f>HYPERLINK("http://www.uniprot.org/uniprot/M5XD47","M5XD47")</f>
        <v>M5XD47</v>
      </c>
      <c r="D8936" s="2" t="s">
        <v>7789</v>
      </c>
      <c r="E8936" s="3">
        <v>5.1499999999999996E-143</v>
      </c>
      <c r="F8936" s="2">
        <v>1112</v>
      </c>
      <c r="G8936" s="2">
        <v>91</v>
      </c>
      <c r="H8936" s="2">
        <v>263</v>
      </c>
      <c r="I8936" s="2">
        <v>382</v>
      </c>
      <c r="J8936" s="2">
        <v>1170</v>
      </c>
      <c r="K8936" s="2">
        <v>12</v>
      </c>
      <c r="L8936" s="2">
        <v>272</v>
      </c>
    </row>
    <row r="8937" spans="1:12" x14ac:dyDescent="0.25">
      <c r="A8937" s="4" t="str">
        <f>HYPERLINK("http://www.rosaceae.org/Prunus/Prunus_persica/p.persica_gdr_reftransV1_0009673","p.persica_gdr_reftransV1_0009673")</f>
        <v>p.persica_gdr_reftransV1_0009673</v>
      </c>
      <c r="B8937" s="2">
        <v>2852</v>
      </c>
      <c r="C8937" s="4" t="str">
        <f>HYPERLINK("http://www.uniprot.org/uniprot/M5XN89","M5XN89")</f>
        <v>M5XN89</v>
      </c>
      <c r="D8937" s="2" t="s">
        <v>7790</v>
      </c>
      <c r="E8937" s="3">
        <v>0</v>
      </c>
      <c r="F8937" s="2">
        <v>1282</v>
      </c>
      <c r="G8937" s="2">
        <v>100</v>
      </c>
      <c r="H8937" s="2">
        <v>242</v>
      </c>
      <c r="I8937" s="2">
        <v>1085</v>
      </c>
      <c r="J8937" s="2">
        <v>1810</v>
      </c>
      <c r="K8937" s="2">
        <v>1</v>
      </c>
      <c r="L8937" s="2">
        <v>242</v>
      </c>
    </row>
    <row r="8938" spans="1:12" x14ac:dyDescent="0.25">
      <c r="A8938" s="4" t="str">
        <f>HYPERLINK("http://www.rosaceae.org/Prunus/Prunus_persica/p.persica_gdr_reftransV1_0010023","p.persica_gdr_reftransV1_0010023")</f>
        <v>p.persica_gdr_reftransV1_0010023</v>
      </c>
      <c r="B8938" s="2">
        <v>516</v>
      </c>
      <c r="C8938" s="4" t="str">
        <f>HYPERLINK("http://www.uniprot.org/uniprot/M5WAR7","M5WAR7")</f>
        <v>M5WAR7</v>
      </c>
      <c r="D8938" s="2" t="s">
        <v>7791</v>
      </c>
      <c r="E8938" s="3">
        <v>2.28E-58</v>
      </c>
      <c r="F8938" s="2">
        <v>484</v>
      </c>
      <c r="G8938" s="2">
        <v>99</v>
      </c>
      <c r="H8938" s="2">
        <v>126</v>
      </c>
      <c r="I8938" s="2">
        <v>3</v>
      </c>
      <c r="J8938" s="2">
        <v>380</v>
      </c>
      <c r="K8938" s="2">
        <v>1</v>
      </c>
      <c r="L8938" s="2">
        <v>126</v>
      </c>
    </row>
    <row r="8939" spans="1:12" x14ac:dyDescent="0.25">
      <c r="A8939" s="4" t="str">
        <f>HYPERLINK("http://www.rosaceae.org/Prunus/Prunus_persica/p.persica_gdr_reftransV1_0010373","p.persica_gdr_reftransV1_0010373")</f>
        <v>p.persica_gdr_reftransV1_0010373</v>
      </c>
      <c r="B8939" s="2">
        <v>2859</v>
      </c>
      <c r="C8939" s="4" t="str">
        <f>HYPERLINK("http://www.uniprot.org/uniprot/M5VRY7","M5VRY7")</f>
        <v>M5VRY7</v>
      </c>
      <c r="D8939" s="2" t="s">
        <v>7792</v>
      </c>
      <c r="E8939" s="3">
        <v>0</v>
      </c>
      <c r="F8939" s="2">
        <v>1920</v>
      </c>
      <c r="G8939" s="2">
        <v>91</v>
      </c>
      <c r="H8939" s="2">
        <v>398</v>
      </c>
      <c r="I8939" s="2">
        <v>1232</v>
      </c>
      <c r="J8939" s="2">
        <v>2425</v>
      </c>
      <c r="K8939" s="2">
        <v>1</v>
      </c>
      <c r="L8939" s="2">
        <v>367</v>
      </c>
    </row>
    <row r="8940" spans="1:12" x14ac:dyDescent="0.25">
      <c r="A8940" s="4" t="str">
        <f>HYPERLINK("http://www.rosaceae.org/Prunus/Prunus_persica/p.persica_gdr_reftransV1_0010723","p.persica_gdr_reftransV1_0010723")</f>
        <v>p.persica_gdr_reftransV1_0010723</v>
      </c>
      <c r="B8940" s="2">
        <v>704</v>
      </c>
      <c r="C8940" s="4" t="str">
        <f>HYPERLINK("http://www.uniprot.org/uniprot/M5VTQ6","M5VTQ6")</f>
        <v>M5VTQ6</v>
      </c>
      <c r="D8940" s="2" t="s">
        <v>7793</v>
      </c>
      <c r="E8940" s="3">
        <v>6.5099999999999999E-69</v>
      </c>
      <c r="F8940" s="2">
        <v>556</v>
      </c>
      <c r="G8940" s="2">
        <v>100</v>
      </c>
      <c r="H8940" s="2">
        <v>103</v>
      </c>
      <c r="I8940" s="2">
        <v>252</v>
      </c>
      <c r="J8940" s="2">
        <v>560</v>
      </c>
      <c r="K8940" s="2">
        <v>1</v>
      </c>
      <c r="L8940" s="2">
        <v>103</v>
      </c>
    </row>
    <row r="8941" spans="1:12" x14ac:dyDescent="0.25">
      <c r="A8941" s="4" t="str">
        <f>HYPERLINK("http://www.rosaceae.org/Prunus/Prunus_persica/p.persica_gdr_reftransV1_0011073","p.persica_gdr_reftransV1_0011073")</f>
        <v>p.persica_gdr_reftransV1_0011073</v>
      </c>
      <c r="B8941" s="2">
        <v>1982</v>
      </c>
      <c r="C8941" s="4" t="str">
        <f>HYPERLINK("http://www.uniprot.org/uniprot/A5BL02","A5BL02")</f>
        <v>A5BL02</v>
      </c>
      <c r="D8941" s="2" t="s">
        <v>7794</v>
      </c>
      <c r="E8941" s="3">
        <v>0</v>
      </c>
      <c r="F8941" s="2">
        <v>2089</v>
      </c>
      <c r="G8941" s="2">
        <v>78</v>
      </c>
      <c r="H8941" s="2">
        <v>568</v>
      </c>
      <c r="I8941" s="2">
        <v>108</v>
      </c>
      <c r="J8941" s="2">
        <v>1796</v>
      </c>
      <c r="K8941" s="2">
        <v>1</v>
      </c>
      <c r="L8941" s="2">
        <v>551</v>
      </c>
    </row>
    <row r="8942" spans="1:12" x14ac:dyDescent="0.25">
      <c r="A8942" s="4" t="str">
        <f>HYPERLINK("http://www.rosaceae.org/Prunus/Prunus_persica/p.persica_gdr_reftransV1_0012473","p.persica_gdr_reftransV1_0012473")</f>
        <v>p.persica_gdr_reftransV1_0012473</v>
      </c>
      <c r="B8942" s="2">
        <v>2779</v>
      </c>
      <c r="C8942" s="4" t="str">
        <f>HYPERLINK("http://www.uniprot.org/uniprot/M5WCM2","M5WCM2")</f>
        <v>M5WCM2</v>
      </c>
      <c r="D8942" s="2" t="s">
        <v>7795</v>
      </c>
      <c r="E8942" s="3">
        <v>0</v>
      </c>
      <c r="F8942" s="2">
        <v>3633</v>
      </c>
      <c r="G8942" s="2">
        <v>100</v>
      </c>
      <c r="H8942" s="2">
        <v>677</v>
      </c>
      <c r="I8942" s="2">
        <v>347</v>
      </c>
      <c r="J8942" s="2">
        <v>2377</v>
      </c>
      <c r="K8942" s="2">
        <v>1</v>
      </c>
      <c r="L8942" s="2">
        <v>677</v>
      </c>
    </row>
    <row r="8943" spans="1:12" x14ac:dyDescent="0.25">
      <c r="A8943" s="4" t="str">
        <f>HYPERLINK("http://www.rosaceae.org/Prunus/Prunus_persica/p.persica_gdr_reftransV1_0012823","p.persica_gdr_reftransV1_0012823")</f>
        <v>p.persica_gdr_reftransV1_0012823</v>
      </c>
      <c r="B8943" s="2">
        <v>809</v>
      </c>
      <c r="C8943" s="4" t="str">
        <f>HYPERLINK("http://www.uniprot.org/uniprot/M5WLL2","M5WLL2")</f>
        <v>M5WLL2</v>
      </c>
      <c r="D8943" s="2" t="s">
        <v>7796</v>
      </c>
      <c r="E8943" s="3">
        <v>1.01E-107</v>
      </c>
      <c r="F8943" s="2">
        <v>854</v>
      </c>
      <c r="G8943" s="2">
        <v>99</v>
      </c>
      <c r="H8943" s="2">
        <v>160</v>
      </c>
      <c r="I8943" s="2">
        <v>188</v>
      </c>
      <c r="J8943" s="2">
        <v>667</v>
      </c>
      <c r="K8943" s="2">
        <v>4</v>
      </c>
      <c r="L8943" s="2">
        <v>163</v>
      </c>
    </row>
    <row r="8944" spans="1:12" x14ac:dyDescent="0.25">
      <c r="A8944" s="4" t="str">
        <f>HYPERLINK("http://www.rosaceae.org/Prunus/Prunus_persica/p.persica_gdr_reftransV1_0013173","p.persica_gdr_reftransV1_0013173")</f>
        <v>p.persica_gdr_reftransV1_0013173</v>
      </c>
      <c r="B8944" s="2">
        <v>2407</v>
      </c>
      <c r="C8944" s="4" t="str">
        <f>HYPERLINK("http://www.uniprot.org/uniprot/M5WZT4","M5WZT4")</f>
        <v>M5WZT4</v>
      </c>
      <c r="D8944" s="2" t="s">
        <v>7797</v>
      </c>
      <c r="E8944" s="3">
        <v>1.61E-161</v>
      </c>
      <c r="F8944" s="2">
        <v>1259</v>
      </c>
      <c r="G8944" s="2">
        <v>100</v>
      </c>
      <c r="H8944" s="2">
        <v>228</v>
      </c>
      <c r="I8944" s="2">
        <v>1459</v>
      </c>
      <c r="J8944" s="2">
        <v>2142</v>
      </c>
      <c r="K8944" s="2">
        <v>236</v>
      </c>
      <c r="L8944" s="2">
        <v>463</v>
      </c>
    </row>
    <row r="8945" spans="1:12" x14ac:dyDescent="0.25">
      <c r="A8945" s="4" t="str">
        <f>HYPERLINK("http://www.rosaceae.org/Prunus/Prunus_persica/p.persica_gdr_reftransV1_0013523","p.persica_gdr_reftransV1_0013523")</f>
        <v>p.persica_gdr_reftransV1_0013523</v>
      </c>
      <c r="B8945" s="2">
        <v>901</v>
      </c>
      <c r="C8945" s="4" t="str">
        <f>HYPERLINK("http://www.uniprot.org/uniprot/M5XL39","M5XL39")</f>
        <v>M5XL39</v>
      </c>
      <c r="D8945" s="2" t="s">
        <v>7798</v>
      </c>
      <c r="E8945" s="3">
        <v>7.4500000000000002E-151</v>
      </c>
      <c r="F8945" s="2">
        <v>1117</v>
      </c>
      <c r="G8945" s="2">
        <v>100</v>
      </c>
      <c r="H8945" s="2">
        <v>242</v>
      </c>
      <c r="I8945" s="2">
        <v>49</v>
      </c>
      <c r="J8945" s="2">
        <v>774</v>
      </c>
      <c r="K8945" s="2">
        <v>1</v>
      </c>
      <c r="L8945" s="2">
        <v>242</v>
      </c>
    </row>
    <row r="8946" spans="1:12" x14ac:dyDescent="0.25">
      <c r="A8946" s="4" t="str">
        <f>HYPERLINK("http://www.rosaceae.org/Prunus/Prunus_persica/p.persica_gdr_reftransV1_0014573","p.persica_gdr_reftransV1_0014573")</f>
        <v>p.persica_gdr_reftransV1_0014573</v>
      </c>
      <c r="B8946" s="2">
        <v>2983</v>
      </c>
      <c r="C8946" s="4" t="str">
        <f>HYPERLINK("http://www.uniprot.org/uniprot/M5WU88","M5WU88")</f>
        <v>M5WU88</v>
      </c>
      <c r="D8946" s="2" t="s">
        <v>7799</v>
      </c>
      <c r="E8946" s="3">
        <v>0</v>
      </c>
      <c r="F8946" s="2">
        <v>4389</v>
      </c>
      <c r="G8946" s="2">
        <v>100</v>
      </c>
      <c r="H8946" s="2">
        <v>833</v>
      </c>
      <c r="I8946" s="2">
        <v>436</v>
      </c>
      <c r="J8946" s="2">
        <v>2934</v>
      </c>
      <c r="K8946" s="2">
        <v>1</v>
      </c>
      <c r="L8946" s="2">
        <v>833</v>
      </c>
    </row>
    <row r="8947" spans="1:12" x14ac:dyDescent="0.25">
      <c r="A8947" s="4" t="str">
        <f>HYPERLINK("http://www.rosaceae.org/Prunus/Prunus_persica/p.persica_gdr_reftransV1_0015623","p.persica_gdr_reftransV1_0015623")</f>
        <v>p.persica_gdr_reftransV1_0015623</v>
      </c>
      <c r="B8947" s="2">
        <v>2255</v>
      </c>
      <c r="C8947" s="4" t="str">
        <f>HYPERLINK("http://www.uniprot.org/uniprot/M5X337","M5X337")</f>
        <v>M5X337</v>
      </c>
      <c r="D8947" s="2" t="s">
        <v>7800</v>
      </c>
      <c r="E8947" s="3">
        <v>0</v>
      </c>
      <c r="F8947" s="2">
        <v>1677</v>
      </c>
      <c r="G8947" s="2">
        <v>100</v>
      </c>
      <c r="H8947" s="2">
        <v>312</v>
      </c>
      <c r="I8947" s="2">
        <v>1025</v>
      </c>
      <c r="J8947" s="2">
        <v>1960</v>
      </c>
      <c r="K8947" s="2">
        <v>1</v>
      </c>
      <c r="L8947" s="2">
        <v>312</v>
      </c>
    </row>
    <row r="8948" spans="1:12" x14ac:dyDescent="0.25">
      <c r="A8948" s="4" t="str">
        <f>HYPERLINK("http://www.rosaceae.org/Prunus/Prunus_persica/p.persica_gdr_reftransV1_0016323","p.persica_gdr_reftransV1_0016323")</f>
        <v>p.persica_gdr_reftransV1_0016323</v>
      </c>
      <c r="B8948" s="2">
        <v>3518</v>
      </c>
      <c r="C8948" s="4" t="str">
        <f>HYPERLINK("http://www.uniprot.org/uniprot/M5WQV1","M5WQV1")</f>
        <v>M5WQV1</v>
      </c>
      <c r="D8948" s="2" t="s">
        <v>7801</v>
      </c>
      <c r="E8948" s="3">
        <v>0</v>
      </c>
      <c r="F8948" s="2">
        <v>2522</v>
      </c>
      <c r="G8948" s="2">
        <v>85</v>
      </c>
      <c r="H8948" s="2">
        <v>623</v>
      </c>
      <c r="I8948" s="2">
        <v>1468</v>
      </c>
      <c r="J8948" s="2">
        <v>3336</v>
      </c>
      <c r="K8948" s="2">
        <v>409</v>
      </c>
      <c r="L8948" s="2">
        <v>947</v>
      </c>
    </row>
    <row r="8949" spans="1:12" x14ac:dyDescent="0.25">
      <c r="A8949" s="4" t="str">
        <f>HYPERLINK("http://www.rosaceae.org/Prunus/Prunus_persica/p.persica_gdr_reftransV1_0016673","p.persica_gdr_reftransV1_0016673")</f>
        <v>p.persica_gdr_reftransV1_0016673</v>
      </c>
      <c r="B8949" s="2">
        <v>2710</v>
      </c>
      <c r="C8949" s="4" t="str">
        <f>HYPERLINK("http://www.uniprot.org/uniprot/M5X094","M5X094")</f>
        <v>M5X094</v>
      </c>
      <c r="D8949" s="2" t="s">
        <v>7802</v>
      </c>
      <c r="E8949" s="3">
        <v>2.4400000000000002E-72</v>
      </c>
      <c r="F8949" s="2">
        <v>644</v>
      </c>
      <c r="G8949" s="2">
        <v>100</v>
      </c>
      <c r="H8949" s="2">
        <v>203</v>
      </c>
      <c r="I8949" s="2">
        <v>801</v>
      </c>
      <c r="J8949" s="2">
        <v>1409</v>
      </c>
      <c r="K8949" s="2">
        <v>1</v>
      </c>
      <c r="L8949" s="2">
        <v>203</v>
      </c>
    </row>
    <row r="8950" spans="1:12" x14ac:dyDescent="0.25">
      <c r="A8950" s="4" t="str">
        <f>HYPERLINK("http://www.rosaceae.org/Prunus/Prunus_persica/p.persica_gdr_reftransV1_0017023","p.persica_gdr_reftransV1_0017023")</f>
        <v>p.persica_gdr_reftransV1_0017023</v>
      </c>
      <c r="B8950" s="2">
        <v>1969</v>
      </c>
      <c r="C8950" s="4" t="str">
        <f>HYPERLINK("http://www.uniprot.org/uniprot/M5WU00","M5WU00")</f>
        <v>M5WU00</v>
      </c>
      <c r="D8950" s="2" t="s">
        <v>7803</v>
      </c>
      <c r="E8950" s="3">
        <v>4.9600000000000003E-180</v>
      </c>
      <c r="F8950" s="2">
        <v>1361</v>
      </c>
      <c r="G8950" s="2">
        <v>100</v>
      </c>
      <c r="H8950" s="2">
        <v>309</v>
      </c>
      <c r="I8950" s="2">
        <v>748</v>
      </c>
      <c r="J8950" s="2">
        <v>1674</v>
      </c>
      <c r="K8950" s="2">
        <v>1</v>
      </c>
      <c r="L8950" s="2">
        <v>309</v>
      </c>
    </row>
    <row r="8951" spans="1:12" x14ac:dyDescent="0.25">
      <c r="A8951" s="4" t="str">
        <f>HYPERLINK("http://www.rosaceae.org/Prunus/Prunus_persica/p.persica_gdr_reftransV1_0018073","p.persica_gdr_reftransV1_0018073")</f>
        <v>p.persica_gdr_reftransV1_0018073</v>
      </c>
      <c r="B8951" s="2">
        <v>611</v>
      </c>
      <c r="C8951" s="4" t="str">
        <f>HYPERLINK("http://www.uniprot.org/uniprot/M5WQZ2","M5WQZ2")</f>
        <v>M5WQZ2</v>
      </c>
      <c r="D8951" s="2" t="s">
        <v>1480</v>
      </c>
      <c r="E8951" s="3">
        <v>3.9400000000000002E-107</v>
      </c>
      <c r="F8951" s="2">
        <v>895</v>
      </c>
      <c r="G8951" s="2">
        <v>100</v>
      </c>
      <c r="H8951" s="2">
        <v>172</v>
      </c>
      <c r="I8951" s="2">
        <v>3</v>
      </c>
      <c r="J8951" s="2">
        <v>518</v>
      </c>
      <c r="K8951" s="2">
        <v>1</v>
      </c>
      <c r="L8951" s="2">
        <v>172</v>
      </c>
    </row>
    <row r="8952" spans="1:12" x14ac:dyDescent="0.25">
      <c r="A8952" s="4" t="str">
        <f>HYPERLINK("http://www.rosaceae.org/Prunus/Prunus_persica/p.persica_gdr_reftransV1_0018423","p.persica_gdr_reftransV1_0018423")</f>
        <v>p.persica_gdr_reftransV1_0018423</v>
      </c>
      <c r="B8952" s="2">
        <v>2469</v>
      </c>
      <c r="C8952" s="4" t="str">
        <f>HYPERLINK("http://www.uniprot.org/uniprot/M5Y1W2","M5Y1W2")</f>
        <v>M5Y1W2</v>
      </c>
      <c r="D8952" s="2" t="s">
        <v>7804</v>
      </c>
      <c r="E8952" s="3">
        <v>0</v>
      </c>
      <c r="F8952" s="2">
        <v>1666</v>
      </c>
      <c r="G8952" s="2">
        <v>96</v>
      </c>
      <c r="H8952" s="2">
        <v>474</v>
      </c>
      <c r="I8952" s="2">
        <v>286</v>
      </c>
      <c r="J8952" s="2">
        <v>1707</v>
      </c>
      <c r="K8952" s="2">
        <v>289</v>
      </c>
      <c r="L8952" s="2">
        <v>741</v>
      </c>
    </row>
    <row r="8953" spans="1:12" x14ac:dyDescent="0.25">
      <c r="A8953" s="4" t="str">
        <f>HYPERLINK("http://www.rosaceae.org/Prunus/Prunus_persica/p.persica_gdr_reftransV1_0019123","p.persica_gdr_reftransV1_0019123")</f>
        <v>p.persica_gdr_reftransV1_0019123</v>
      </c>
      <c r="B8953" s="2">
        <v>629</v>
      </c>
      <c r="C8953" s="4" t="str">
        <f>HYPERLINK("http://www.uniprot.org/uniprot/M5W7P4","M5W7P4")</f>
        <v>M5W7P4</v>
      </c>
      <c r="D8953" s="2" t="s">
        <v>7805</v>
      </c>
      <c r="E8953" s="3">
        <v>2.1600000000000001E-149</v>
      </c>
      <c r="F8953" s="2">
        <v>1126</v>
      </c>
      <c r="G8953" s="2">
        <v>100</v>
      </c>
      <c r="H8953" s="2">
        <v>209</v>
      </c>
      <c r="I8953" s="2">
        <v>1</v>
      </c>
      <c r="J8953" s="2">
        <v>627</v>
      </c>
      <c r="K8953" s="2">
        <v>294</v>
      </c>
      <c r="L8953" s="2">
        <v>502</v>
      </c>
    </row>
    <row r="8954" spans="1:12" x14ac:dyDescent="0.25">
      <c r="A8954" s="4" t="str">
        <f>HYPERLINK("http://www.rosaceae.org/Prunus/Prunus_persica/p.persica_gdr_reftransV1_0019823","p.persica_gdr_reftransV1_0019823")</f>
        <v>p.persica_gdr_reftransV1_0019823</v>
      </c>
      <c r="B8954" s="2">
        <v>4359</v>
      </c>
      <c r="C8954" s="4" t="str">
        <f>HYPERLINK("http://www.uniprot.org/uniprot/M5W298","M5W298")</f>
        <v>M5W298</v>
      </c>
      <c r="D8954" s="2" t="s">
        <v>7806</v>
      </c>
      <c r="E8954" s="3">
        <v>0</v>
      </c>
      <c r="F8954" s="2">
        <v>3325</v>
      </c>
      <c r="G8954" s="2">
        <v>100</v>
      </c>
      <c r="H8954" s="2">
        <v>676</v>
      </c>
      <c r="I8954" s="2">
        <v>2014</v>
      </c>
      <c r="J8954" s="2">
        <v>4041</v>
      </c>
      <c r="K8954" s="2">
        <v>1</v>
      </c>
      <c r="L8954" s="2">
        <v>676</v>
      </c>
    </row>
    <row r="8955" spans="1:12" x14ac:dyDescent="0.25">
      <c r="A8955" s="4" t="str">
        <f>HYPERLINK("http://www.rosaceae.org/Prunus/Prunus_persica/p.persica_gdr_reftransV1_0022623","p.persica_gdr_reftransV1_0022623")</f>
        <v>p.persica_gdr_reftransV1_0022623</v>
      </c>
      <c r="B8955" s="2">
        <v>1483</v>
      </c>
      <c r="C8955" s="4" t="str">
        <f>HYPERLINK("http://www.uniprot.org/uniprot/M5WU45","M5WU45")</f>
        <v>M5WU45</v>
      </c>
      <c r="D8955" s="2" t="s">
        <v>7807</v>
      </c>
      <c r="E8955" s="3">
        <v>1.4400000000000001E-117</v>
      </c>
      <c r="F8955" s="2">
        <v>924</v>
      </c>
      <c r="G8955" s="2">
        <v>86</v>
      </c>
      <c r="H8955" s="2">
        <v>265</v>
      </c>
      <c r="I8955" s="2">
        <v>498</v>
      </c>
      <c r="J8955" s="2">
        <v>1292</v>
      </c>
      <c r="K8955" s="2">
        <v>1</v>
      </c>
      <c r="L8955" s="2">
        <v>238</v>
      </c>
    </row>
    <row r="8956" spans="1:12" x14ac:dyDescent="0.25">
      <c r="A8956" s="4" t="str">
        <f>HYPERLINK("http://www.rosaceae.org/Prunus/Prunus_persica/p.persica_gdr_reftransV1_0023323","p.persica_gdr_reftransV1_0023323")</f>
        <v>p.persica_gdr_reftransV1_0023323</v>
      </c>
      <c r="B8956" s="2">
        <v>1818</v>
      </c>
      <c r="C8956" s="4" t="str">
        <f>HYPERLINK("http://www.uniprot.org/uniprot/M5WPJ3","M5WPJ3")</f>
        <v>M5WPJ3</v>
      </c>
      <c r="D8956" s="2" t="s">
        <v>7808</v>
      </c>
      <c r="E8956" s="3">
        <v>2.0099999999999999E-68</v>
      </c>
      <c r="F8956" s="2">
        <v>598</v>
      </c>
      <c r="G8956" s="2">
        <v>96</v>
      </c>
      <c r="H8956" s="2">
        <v>137</v>
      </c>
      <c r="I8956" s="2">
        <v>1133</v>
      </c>
      <c r="J8956" s="2">
        <v>1543</v>
      </c>
      <c r="K8956" s="2">
        <v>140</v>
      </c>
      <c r="L8956" s="2">
        <v>276</v>
      </c>
    </row>
    <row r="8957" spans="1:12" x14ac:dyDescent="0.25">
      <c r="A8957" s="4" t="str">
        <f>HYPERLINK("http://www.rosaceae.org/Prunus/Prunus_persica/p.persica_gdr_reftransV1_0024373","p.persica_gdr_reftransV1_0024373")</f>
        <v>p.persica_gdr_reftransV1_0024373</v>
      </c>
      <c r="B8957" s="2">
        <v>965</v>
      </c>
      <c r="C8957" s="4" t="str">
        <f>HYPERLINK("http://www.uniprot.org/uniprot/M5VV80","M5VV80")</f>
        <v>M5VV80</v>
      </c>
      <c r="D8957" s="2" t="s">
        <v>7809</v>
      </c>
      <c r="E8957" s="3">
        <v>1.4300000000000001E-105</v>
      </c>
      <c r="F8957" s="2">
        <v>814</v>
      </c>
      <c r="G8957" s="2">
        <v>100</v>
      </c>
      <c r="H8957" s="2">
        <v>179</v>
      </c>
      <c r="I8957" s="2">
        <v>88</v>
      </c>
      <c r="J8957" s="2">
        <v>624</v>
      </c>
      <c r="K8957" s="2">
        <v>1</v>
      </c>
      <c r="L8957" s="2">
        <v>179</v>
      </c>
    </row>
    <row r="8958" spans="1:12" x14ac:dyDescent="0.25">
      <c r="A8958" s="4" t="str">
        <f>HYPERLINK("http://www.rosaceae.org/Prunus/Prunus_persica/p.persica_gdr_reftransV1_0024723","p.persica_gdr_reftransV1_0024723")</f>
        <v>p.persica_gdr_reftransV1_0024723</v>
      </c>
      <c r="B8958" s="2">
        <v>1137</v>
      </c>
      <c r="C8958" s="4" t="str">
        <f>HYPERLINK("http://www.uniprot.org/uniprot/M5W0D2","M5W0D2")</f>
        <v>M5W0D2</v>
      </c>
      <c r="D8958" s="2" t="s">
        <v>7810</v>
      </c>
      <c r="E8958" s="3">
        <v>2.2600000000000001E-106</v>
      </c>
      <c r="F8958" s="2">
        <v>825</v>
      </c>
      <c r="G8958" s="2">
        <v>99</v>
      </c>
      <c r="H8958" s="2">
        <v>178</v>
      </c>
      <c r="I8958" s="2">
        <v>350</v>
      </c>
      <c r="J8958" s="2">
        <v>883</v>
      </c>
      <c r="K8958" s="2">
        <v>1</v>
      </c>
      <c r="L8958" s="2">
        <v>178</v>
      </c>
    </row>
    <row r="8959" spans="1:12" x14ac:dyDescent="0.25">
      <c r="A8959" s="4" t="str">
        <f>HYPERLINK("http://www.rosaceae.org/Prunus/Prunus_persica/p.persica_gdr_reftransV1_0026123","p.persica_gdr_reftransV1_0026123")</f>
        <v>p.persica_gdr_reftransV1_0026123</v>
      </c>
      <c r="B8959" s="2">
        <v>813</v>
      </c>
      <c r="C8959" s="4" t="str">
        <f>HYPERLINK("http://www.uniprot.org/uniprot/M5X0T6","M5X0T6")</f>
        <v>M5X0T6</v>
      </c>
      <c r="D8959" s="2" t="s">
        <v>2313</v>
      </c>
      <c r="E8959" s="3">
        <v>1.1700000000000001E-124</v>
      </c>
      <c r="F8959" s="2">
        <v>935</v>
      </c>
      <c r="G8959" s="2">
        <v>100</v>
      </c>
      <c r="H8959" s="2">
        <v>175</v>
      </c>
      <c r="I8959" s="2">
        <v>2</v>
      </c>
      <c r="J8959" s="2">
        <v>526</v>
      </c>
      <c r="K8959" s="2">
        <v>7</v>
      </c>
      <c r="L8959" s="2">
        <v>181</v>
      </c>
    </row>
    <row r="8960" spans="1:12" x14ac:dyDescent="0.25">
      <c r="A8960" s="4" t="str">
        <f>HYPERLINK("http://www.rosaceae.org/Prunus/Prunus_persica/p.persica_gdr_reftransV1_0028923","p.persica_gdr_reftransV1_0028923")</f>
        <v>p.persica_gdr_reftransV1_0028923</v>
      </c>
      <c r="B8960" s="2">
        <v>2177</v>
      </c>
      <c r="C8960" s="4" t="str">
        <f>HYPERLINK("http://www.uniprot.org/uniprot/M5XFW7","M5XFW7")</f>
        <v>M5XFW7</v>
      </c>
      <c r="D8960" s="2" t="s">
        <v>7811</v>
      </c>
      <c r="E8960" s="3">
        <v>0</v>
      </c>
      <c r="F8960" s="2">
        <v>1550</v>
      </c>
      <c r="G8960" s="2">
        <v>90</v>
      </c>
      <c r="H8960" s="2">
        <v>343</v>
      </c>
      <c r="I8960" s="2">
        <v>855</v>
      </c>
      <c r="J8960" s="2">
        <v>1883</v>
      </c>
      <c r="K8960" s="2">
        <v>1</v>
      </c>
      <c r="L8960" s="2">
        <v>308</v>
      </c>
    </row>
    <row r="8961" spans="1:12" x14ac:dyDescent="0.25">
      <c r="A8961" s="4" t="str">
        <f>HYPERLINK("http://www.rosaceae.org/Prunus/Prunus_persica/p.persica_gdr_reftransV1_0030673","p.persica_gdr_reftransV1_0030673")</f>
        <v>p.persica_gdr_reftransV1_0030673</v>
      </c>
      <c r="B8961" s="2">
        <v>4072</v>
      </c>
      <c r="C8961" s="4" t="str">
        <f>HYPERLINK("http://www.uniprot.org/uniprot/M5XB18","M5XB18")</f>
        <v>M5XB18</v>
      </c>
      <c r="D8961" s="2" t="s">
        <v>7812</v>
      </c>
      <c r="E8961" s="3">
        <v>0</v>
      </c>
      <c r="F8961" s="2">
        <v>3943</v>
      </c>
      <c r="G8961" s="2">
        <v>93</v>
      </c>
      <c r="H8961" s="2">
        <v>852</v>
      </c>
      <c r="I8961" s="2">
        <v>907</v>
      </c>
      <c r="J8961" s="2">
        <v>3462</v>
      </c>
      <c r="K8961" s="2">
        <v>9</v>
      </c>
      <c r="L8961" s="2">
        <v>805</v>
      </c>
    </row>
    <row r="8962" spans="1:12" x14ac:dyDescent="0.25">
      <c r="A8962" s="4" t="str">
        <f>HYPERLINK("http://www.rosaceae.org/Prunus/Prunus_persica/p.persica_gdr_reftransV1_0032073","p.persica_gdr_reftransV1_0032073")</f>
        <v>p.persica_gdr_reftransV1_0032073</v>
      </c>
      <c r="B8962" s="2">
        <v>3319</v>
      </c>
      <c r="C8962" s="4" t="str">
        <f>HYPERLINK("http://www.uniprot.org/uniprot/M5W481","M5W481")</f>
        <v>M5W481</v>
      </c>
      <c r="D8962" s="2" t="s">
        <v>7813</v>
      </c>
      <c r="E8962" s="3">
        <v>3.0099999999999999E-48</v>
      </c>
      <c r="F8962" s="2">
        <v>464</v>
      </c>
      <c r="G8962" s="2">
        <v>73</v>
      </c>
      <c r="H8962" s="2">
        <v>128</v>
      </c>
      <c r="I8962" s="2">
        <v>85</v>
      </c>
      <c r="J8962" s="2">
        <v>468</v>
      </c>
      <c r="K8962" s="2">
        <v>19</v>
      </c>
      <c r="L8962" s="2">
        <v>112</v>
      </c>
    </row>
    <row r="8963" spans="1:12" x14ac:dyDescent="0.25">
      <c r="A8963" s="4" t="str">
        <f>HYPERLINK("http://www.rosaceae.org/Prunus/Prunus_persica/p.persica_gdr_reftransV1_0032423","p.persica_gdr_reftransV1_0032423")</f>
        <v>p.persica_gdr_reftransV1_0032423</v>
      </c>
      <c r="B8963" s="2">
        <v>913</v>
      </c>
      <c r="C8963" s="4" t="str">
        <f>HYPERLINK("http://www.uniprot.org/uniprot/M5VZY6","M5VZY6")</f>
        <v>M5VZY6</v>
      </c>
      <c r="D8963" s="2" t="s">
        <v>7814</v>
      </c>
      <c r="E8963" s="3">
        <v>3.2000000000000002E-127</v>
      </c>
      <c r="F8963" s="2">
        <v>956</v>
      </c>
      <c r="G8963" s="2">
        <v>99</v>
      </c>
      <c r="H8963" s="2">
        <v>187</v>
      </c>
      <c r="I8963" s="2">
        <v>108</v>
      </c>
      <c r="J8963" s="2">
        <v>668</v>
      </c>
      <c r="K8963" s="2">
        <v>1</v>
      </c>
      <c r="L8963" s="2">
        <v>187</v>
      </c>
    </row>
    <row r="8964" spans="1:12" x14ac:dyDescent="0.25">
      <c r="A8964" s="4" t="str">
        <f>HYPERLINK("http://www.rosaceae.org/Prunus/Prunus_persica/p.persica_gdr_reftransV1_0032773","p.persica_gdr_reftransV1_0032773")</f>
        <v>p.persica_gdr_reftransV1_0032773</v>
      </c>
      <c r="B8964" s="2">
        <v>2146</v>
      </c>
      <c r="C8964" s="4" t="str">
        <f>HYPERLINK("http://www.uniprot.org/uniprot/M5X2A0","M5X2A0")</f>
        <v>M5X2A0</v>
      </c>
      <c r="D8964" s="2" t="s">
        <v>7815</v>
      </c>
      <c r="E8964" s="3">
        <v>3.0499999999999999E-127</v>
      </c>
      <c r="F8964" s="2">
        <v>1001</v>
      </c>
      <c r="G8964" s="2">
        <v>100</v>
      </c>
      <c r="H8964" s="2">
        <v>211</v>
      </c>
      <c r="I8964" s="2">
        <v>102</v>
      </c>
      <c r="J8964" s="2">
        <v>734</v>
      </c>
      <c r="K8964" s="2">
        <v>1</v>
      </c>
      <c r="L8964" s="2">
        <v>211</v>
      </c>
    </row>
    <row r="8965" spans="1:12" x14ac:dyDescent="0.25">
      <c r="A8965" s="4" t="str">
        <f>HYPERLINK("http://www.rosaceae.org/Prunus/Prunus_persica/p.persica_gdr_reftransV1_0034873","p.persica_gdr_reftransV1_0034873")</f>
        <v>p.persica_gdr_reftransV1_0034873</v>
      </c>
      <c r="B8965" s="2">
        <v>2411</v>
      </c>
      <c r="C8965" s="4" t="str">
        <f>HYPERLINK("http://www.uniprot.org/uniprot/M5WRA6","M5WRA6")</f>
        <v>M5WRA6</v>
      </c>
      <c r="D8965" s="2" t="s">
        <v>7816</v>
      </c>
      <c r="E8965" s="3">
        <v>0</v>
      </c>
      <c r="F8965" s="2">
        <v>2786</v>
      </c>
      <c r="G8965" s="2">
        <v>98</v>
      </c>
      <c r="H8965" s="2">
        <v>674</v>
      </c>
      <c r="I8965" s="2">
        <v>269</v>
      </c>
      <c r="J8965" s="2">
        <v>2290</v>
      </c>
      <c r="K8965" s="2">
        <v>1</v>
      </c>
      <c r="L8965" s="2">
        <v>662</v>
      </c>
    </row>
    <row r="8966" spans="1:12" x14ac:dyDescent="0.25">
      <c r="A8966" s="4" t="str">
        <f>HYPERLINK("http://www.rosaceae.org/Prunus/Prunus_persica/p.persica_gdr_reftransV1_0036623","p.persica_gdr_reftransV1_0036623")</f>
        <v>p.persica_gdr_reftransV1_0036623</v>
      </c>
      <c r="B8966" s="2">
        <v>2256</v>
      </c>
      <c r="C8966" s="4" t="str">
        <f>HYPERLINK("http://www.uniprot.org/uniprot/M5VVC0","M5VVC0")</f>
        <v>M5VVC0</v>
      </c>
      <c r="D8966" s="2" t="s">
        <v>7817</v>
      </c>
      <c r="E8966" s="3">
        <v>0</v>
      </c>
      <c r="F8966" s="2">
        <v>2134</v>
      </c>
      <c r="G8966" s="2">
        <v>99</v>
      </c>
      <c r="H8966" s="2">
        <v>424</v>
      </c>
      <c r="I8966" s="2">
        <v>47</v>
      </c>
      <c r="J8966" s="2">
        <v>1318</v>
      </c>
      <c r="K8966" s="2">
        <v>1</v>
      </c>
      <c r="L8966" s="2">
        <v>424</v>
      </c>
    </row>
    <row r="8967" spans="1:12" x14ac:dyDescent="0.25">
      <c r="A8967" s="4" t="str">
        <f>HYPERLINK("http://www.rosaceae.org/Prunus/Prunus_persica/p.persica_gdr_reftransV1_0037323","p.persica_gdr_reftransV1_0037323")</f>
        <v>p.persica_gdr_reftransV1_0037323</v>
      </c>
      <c r="B8967" s="2">
        <v>1120</v>
      </c>
      <c r="C8967" s="4" t="str">
        <f>HYPERLINK("http://www.uniprot.org/uniprot/M5X7E8","M5X7E8")</f>
        <v>M5X7E8</v>
      </c>
      <c r="D8967" s="2" t="s">
        <v>7144</v>
      </c>
      <c r="E8967" s="3">
        <v>5.4000000000000004E-79</v>
      </c>
      <c r="F8967" s="2">
        <v>681</v>
      </c>
      <c r="G8967" s="2">
        <v>100</v>
      </c>
      <c r="H8967" s="2">
        <v>131</v>
      </c>
      <c r="I8967" s="2">
        <v>1</v>
      </c>
      <c r="J8967" s="2">
        <v>393</v>
      </c>
      <c r="K8967" s="2">
        <v>1</v>
      </c>
      <c r="L8967" s="2">
        <v>131</v>
      </c>
    </row>
    <row r="8968" spans="1:12" x14ac:dyDescent="0.25">
      <c r="A8968" s="4" t="str">
        <f>HYPERLINK("http://www.rosaceae.org/Prunus/Prunus_persica/p.persica_gdr_reftransV1_0037673","p.persica_gdr_reftransV1_0037673")</f>
        <v>p.persica_gdr_reftransV1_0037673</v>
      </c>
      <c r="B8968" s="2">
        <v>666</v>
      </c>
      <c r="C8968" s="4" t="str">
        <f>HYPERLINK("http://www.uniprot.org/uniprot/M5X029","M5X029")</f>
        <v>M5X029</v>
      </c>
      <c r="D8968" s="2" t="s">
        <v>7818</v>
      </c>
      <c r="E8968" s="3">
        <v>7.5500000000000003E-70</v>
      </c>
      <c r="F8968" s="2">
        <v>563</v>
      </c>
      <c r="G8968" s="2">
        <v>100</v>
      </c>
      <c r="H8968" s="2">
        <v>137</v>
      </c>
      <c r="I8968" s="2">
        <v>87</v>
      </c>
      <c r="J8968" s="2">
        <v>497</v>
      </c>
      <c r="K8968" s="2">
        <v>1</v>
      </c>
      <c r="L8968" s="2">
        <v>137</v>
      </c>
    </row>
    <row r="8969" spans="1:12" x14ac:dyDescent="0.25">
      <c r="A8969" s="4" t="str">
        <f>HYPERLINK("http://www.rosaceae.org/Prunus/Prunus_persica/p.persica_gdr_reftransV1_0040823","p.persica_gdr_reftransV1_0040823")</f>
        <v>p.persica_gdr_reftransV1_0040823</v>
      </c>
      <c r="B8969" s="2">
        <v>1885</v>
      </c>
      <c r="C8969" s="4" t="str">
        <f>HYPERLINK("http://www.uniprot.org/uniprot/M5WBE2","M5WBE2")</f>
        <v>M5WBE2</v>
      </c>
      <c r="D8969" s="2" t="s">
        <v>7819</v>
      </c>
      <c r="E8969" s="3">
        <v>4.5199999999999998E-99</v>
      </c>
      <c r="F8969" s="2">
        <v>809</v>
      </c>
      <c r="G8969" s="2">
        <v>86</v>
      </c>
      <c r="H8969" s="2">
        <v>296</v>
      </c>
      <c r="I8969" s="2">
        <v>599</v>
      </c>
      <c r="J8969" s="2">
        <v>1486</v>
      </c>
      <c r="K8969" s="2">
        <v>31</v>
      </c>
      <c r="L8969" s="2">
        <v>286</v>
      </c>
    </row>
    <row r="8970" spans="1:12" x14ac:dyDescent="0.25">
      <c r="A8970" s="4" t="str">
        <f>HYPERLINK("http://www.rosaceae.org/Prunus/Prunus_persica/p.persica_gdr_reftransV1_0042923","p.persica_gdr_reftransV1_0042923")</f>
        <v>p.persica_gdr_reftransV1_0042923</v>
      </c>
      <c r="B8970" s="2">
        <v>1301</v>
      </c>
      <c r="C8970" s="4" t="str">
        <f>HYPERLINK("http://www.uniprot.org/uniprot/M5XRM7","M5XRM7")</f>
        <v>M5XRM7</v>
      </c>
      <c r="D8970" s="2" t="s">
        <v>7820</v>
      </c>
      <c r="E8970" s="3">
        <v>8.2599999999999999E-89</v>
      </c>
      <c r="F8970" s="2">
        <v>715</v>
      </c>
      <c r="G8970" s="2">
        <v>94</v>
      </c>
      <c r="H8970" s="2">
        <v>170</v>
      </c>
      <c r="I8970" s="2">
        <v>391</v>
      </c>
      <c r="J8970" s="2">
        <v>900</v>
      </c>
      <c r="K8970" s="2">
        <v>1</v>
      </c>
      <c r="L8970" s="2">
        <v>170</v>
      </c>
    </row>
    <row r="8971" spans="1:12" x14ac:dyDescent="0.25">
      <c r="A8971" s="4" t="str">
        <f>HYPERLINK("http://www.rosaceae.org/Prunus/Prunus_persica/p.persica_gdr_reftransV1_0043273","p.persica_gdr_reftransV1_0043273")</f>
        <v>p.persica_gdr_reftransV1_0043273</v>
      </c>
      <c r="B8971" s="2">
        <v>735</v>
      </c>
      <c r="C8971" s="4" t="str">
        <f>HYPERLINK("http://www.uniprot.org/uniprot/M5X1Y6","M5X1Y6")</f>
        <v>M5X1Y6</v>
      </c>
      <c r="D8971" s="2" t="s">
        <v>7821</v>
      </c>
      <c r="E8971" s="3">
        <v>7.4299999999999999E-131</v>
      </c>
      <c r="F8971" s="2">
        <v>1052</v>
      </c>
      <c r="G8971" s="2">
        <v>100</v>
      </c>
      <c r="H8971" s="2">
        <v>195</v>
      </c>
      <c r="I8971" s="2">
        <v>2</v>
      </c>
      <c r="J8971" s="2">
        <v>586</v>
      </c>
      <c r="K8971" s="2">
        <v>990</v>
      </c>
      <c r="L8971" s="2">
        <v>1184</v>
      </c>
    </row>
    <row r="8972" spans="1:12" x14ac:dyDescent="0.25">
      <c r="A8972" s="4" t="str">
        <f>HYPERLINK("http://www.rosaceae.org/Prunus/Prunus_persica/p.persica_gdr_reftransV1_0043623","p.persica_gdr_reftransV1_0043623")</f>
        <v>p.persica_gdr_reftransV1_0043623</v>
      </c>
      <c r="B8972" s="2">
        <v>334</v>
      </c>
      <c r="C8972" s="4" t="str">
        <f>HYPERLINK("http://www.uniprot.org/uniprot/M5VQK1","M5VQK1")</f>
        <v>M5VQK1</v>
      </c>
      <c r="D8972" s="2" t="s">
        <v>7822</v>
      </c>
      <c r="E8972" s="3">
        <v>1.2899999999999999E-37</v>
      </c>
      <c r="F8972" s="2">
        <v>349</v>
      </c>
      <c r="G8972" s="2">
        <v>100</v>
      </c>
      <c r="H8972" s="2">
        <v>110</v>
      </c>
      <c r="I8972" s="2">
        <v>3</v>
      </c>
      <c r="J8972" s="2">
        <v>332</v>
      </c>
      <c r="K8972" s="2">
        <v>3</v>
      </c>
      <c r="L8972" s="2">
        <v>112</v>
      </c>
    </row>
    <row r="8973" spans="1:12" x14ac:dyDescent="0.25">
      <c r="A8973" s="4" t="str">
        <f>HYPERLINK("http://www.rosaceae.org/Prunus/Prunus_persica/p.persica_gdr_reftransV1_0043973","p.persica_gdr_reftransV1_0043973")</f>
        <v>p.persica_gdr_reftransV1_0043973</v>
      </c>
      <c r="B8973" s="2">
        <v>1499</v>
      </c>
      <c r="C8973" s="4" t="str">
        <f>HYPERLINK("http://www.uniprot.org/uniprot/M5XC29","M5XC29")</f>
        <v>M5XC29</v>
      </c>
      <c r="D8973" s="2" t="s">
        <v>7823</v>
      </c>
      <c r="E8973" s="3">
        <v>0</v>
      </c>
      <c r="F8973" s="2">
        <v>1885</v>
      </c>
      <c r="G8973" s="2">
        <v>100</v>
      </c>
      <c r="H8973" s="2">
        <v>350</v>
      </c>
      <c r="I8973" s="2">
        <v>163</v>
      </c>
      <c r="J8973" s="2">
        <v>1212</v>
      </c>
      <c r="K8973" s="2">
        <v>1</v>
      </c>
      <c r="L8973" s="2">
        <v>350</v>
      </c>
    </row>
    <row r="8974" spans="1:12" x14ac:dyDescent="0.25">
      <c r="A8974" s="4" t="str">
        <f>HYPERLINK("http://www.rosaceae.org/Prunus/Prunus_persica/p.persica_gdr_reftransV1_0044323","p.persica_gdr_reftransV1_0044323")</f>
        <v>p.persica_gdr_reftransV1_0044323</v>
      </c>
      <c r="B8974" s="2">
        <v>638</v>
      </c>
      <c r="C8974" s="4" t="str">
        <f>HYPERLINK("http://www.uniprot.org/uniprot/R0FQY1","R0FQY1")</f>
        <v>R0FQY1</v>
      </c>
      <c r="D8974" s="2" t="s">
        <v>7824</v>
      </c>
      <c r="E8974" s="3">
        <v>5.5899999999999997E-44</v>
      </c>
      <c r="F8974" s="2">
        <v>389</v>
      </c>
      <c r="G8974" s="2">
        <v>93</v>
      </c>
      <c r="H8974" s="2">
        <v>91</v>
      </c>
      <c r="I8974" s="2">
        <v>274</v>
      </c>
      <c r="J8974" s="2">
        <v>546</v>
      </c>
      <c r="K8974" s="2">
        <v>25</v>
      </c>
      <c r="L8974" s="2">
        <v>115</v>
      </c>
    </row>
    <row r="8975" spans="1:12" x14ac:dyDescent="0.25">
      <c r="A8975" s="4" t="str">
        <f>HYPERLINK("http://www.rosaceae.org/Prunus/Prunus_persica/p.persica_gdr_reftransV1_0045023","p.persica_gdr_reftransV1_0045023")</f>
        <v>p.persica_gdr_reftransV1_0045023</v>
      </c>
      <c r="B8975" s="2">
        <v>1414</v>
      </c>
      <c r="C8975" s="4" t="str">
        <f>HYPERLINK("http://www.uniprot.org/uniprot/M5VJ90","M5VJ90")</f>
        <v>M5VJ90</v>
      </c>
      <c r="D8975" s="2" t="s">
        <v>6929</v>
      </c>
      <c r="E8975" s="3">
        <v>0</v>
      </c>
      <c r="F8975" s="2">
        <v>1855</v>
      </c>
      <c r="G8975" s="2">
        <v>100</v>
      </c>
      <c r="H8975" s="2">
        <v>353</v>
      </c>
      <c r="I8975" s="2">
        <v>272</v>
      </c>
      <c r="J8975" s="2">
        <v>1330</v>
      </c>
      <c r="K8975" s="2">
        <v>6</v>
      </c>
      <c r="L8975" s="2">
        <v>358</v>
      </c>
    </row>
    <row r="8976" spans="1:12" x14ac:dyDescent="0.25">
      <c r="A8976" s="4" t="str">
        <f>HYPERLINK("http://www.rosaceae.org/Prunus/Prunus_persica/p.persica_gdr_reftransV1_0045723","p.persica_gdr_reftransV1_0045723")</f>
        <v>p.persica_gdr_reftransV1_0045723</v>
      </c>
      <c r="B8976" s="2">
        <v>1489</v>
      </c>
      <c r="C8976" s="4" t="str">
        <f>HYPERLINK("http://www.uniprot.org/uniprot/M5XX97","M5XX97")</f>
        <v>M5XX97</v>
      </c>
      <c r="D8976" s="2" t="s">
        <v>3619</v>
      </c>
      <c r="E8976" s="3">
        <v>6.4799999999999999E-143</v>
      </c>
      <c r="F8976" s="2">
        <v>1094</v>
      </c>
      <c r="G8976" s="2">
        <v>91</v>
      </c>
      <c r="H8976" s="2">
        <v>354</v>
      </c>
      <c r="I8976" s="2">
        <v>271</v>
      </c>
      <c r="J8976" s="2">
        <v>1332</v>
      </c>
      <c r="K8976" s="2">
        <v>1</v>
      </c>
      <c r="L8976" s="2">
        <v>327</v>
      </c>
    </row>
    <row r="8977" spans="1:12" x14ac:dyDescent="0.25">
      <c r="A8977" s="4" t="str">
        <f>HYPERLINK("http://www.rosaceae.org/Prunus/Prunus_persica/p.persica_gdr_reftransV1_0046073","p.persica_gdr_reftransV1_0046073")</f>
        <v>p.persica_gdr_reftransV1_0046073</v>
      </c>
      <c r="B8977" s="2">
        <v>1889</v>
      </c>
      <c r="C8977" s="4" t="str">
        <f>HYPERLINK("http://www.uniprot.org/uniprot/M5W7P2","M5W7P2")</f>
        <v>M5W7P2</v>
      </c>
      <c r="D8977" s="2" t="s">
        <v>7825</v>
      </c>
      <c r="E8977" s="3">
        <v>3.5600000000000002E-160</v>
      </c>
      <c r="F8977" s="2">
        <v>1304</v>
      </c>
      <c r="G8977" s="2">
        <v>97</v>
      </c>
      <c r="H8977" s="2">
        <v>298</v>
      </c>
      <c r="I8977" s="2">
        <v>155</v>
      </c>
      <c r="J8977" s="2">
        <v>1048</v>
      </c>
      <c r="K8977" s="2">
        <v>533</v>
      </c>
      <c r="L8977" s="2">
        <v>828</v>
      </c>
    </row>
    <row r="8978" spans="1:12" x14ac:dyDescent="0.25">
      <c r="A8978" s="4" t="str">
        <f>HYPERLINK("http://www.rosaceae.org/Prunus/Prunus_persica/p.persica_gdr_reftransV1_0047123","p.persica_gdr_reftransV1_0047123")</f>
        <v>p.persica_gdr_reftransV1_0047123</v>
      </c>
      <c r="B8978" s="2">
        <v>373</v>
      </c>
      <c r="C8978" s="4" t="str">
        <f>HYPERLINK("http://www.uniprot.org/uniprot/M5WK06","M5WK06")</f>
        <v>M5WK06</v>
      </c>
      <c r="D8978" s="2" t="s">
        <v>2618</v>
      </c>
      <c r="E8978" s="3">
        <v>1.5999999999999999E-37</v>
      </c>
      <c r="F8978" s="2">
        <v>358</v>
      </c>
      <c r="G8978" s="2">
        <v>71</v>
      </c>
      <c r="H8978" s="2">
        <v>108</v>
      </c>
      <c r="I8978" s="2">
        <v>52</v>
      </c>
      <c r="J8978" s="2">
        <v>372</v>
      </c>
      <c r="K8978" s="2">
        <v>244</v>
      </c>
      <c r="L8978" s="2">
        <v>331</v>
      </c>
    </row>
    <row r="8979" spans="1:12" x14ac:dyDescent="0.25">
      <c r="A8979" s="4" t="str">
        <f>HYPERLINK("http://www.rosaceae.org/Prunus/Prunus_persica/p.persica_gdr_reftransV1_0047473","p.persica_gdr_reftransV1_0047473")</f>
        <v>p.persica_gdr_reftransV1_0047473</v>
      </c>
      <c r="B8979" s="2">
        <v>755</v>
      </c>
      <c r="C8979" s="4" t="str">
        <f>HYPERLINK("http://www.uniprot.org/uniprot/M5W1L0","M5W1L0")</f>
        <v>M5W1L0</v>
      </c>
      <c r="D8979" s="2" t="s">
        <v>7826</v>
      </c>
      <c r="E8979" s="3">
        <v>8.36E-79</v>
      </c>
      <c r="F8979" s="2">
        <v>628</v>
      </c>
      <c r="G8979" s="2">
        <v>96</v>
      </c>
      <c r="H8979" s="2">
        <v>158</v>
      </c>
      <c r="I8979" s="2">
        <v>114</v>
      </c>
      <c r="J8979" s="2">
        <v>587</v>
      </c>
      <c r="K8979" s="2">
        <v>1</v>
      </c>
      <c r="L8979" s="2">
        <v>158</v>
      </c>
    </row>
    <row r="8980" spans="1:12" x14ac:dyDescent="0.25">
      <c r="A8980" s="4" t="str">
        <f>HYPERLINK("http://www.rosaceae.org/Prunus/Prunus_persica/p.persica_gdr_reftransV1_0047823","p.persica_gdr_reftransV1_0047823")</f>
        <v>p.persica_gdr_reftransV1_0047823</v>
      </c>
      <c r="B8980" s="2">
        <v>1202</v>
      </c>
      <c r="C8980" s="4" t="str">
        <f>HYPERLINK("http://www.uniprot.org/uniprot/M5W8F5","M5W8F5")</f>
        <v>M5W8F5</v>
      </c>
      <c r="D8980" s="2" t="s">
        <v>7827</v>
      </c>
      <c r="E8980" s="3">
        <v>1.3200000000000001E-172</v>
      </c>
      <c r="F8980" s="2">
        <v>1276</v>
      </c>
      <c r="G8980" s="2">
        <v>100</v>
      </c>
      <c r="H8980" s="2">
        <v>292</v>
      </c>
      <c r="I8980" s="2">
        <v>160</v>
      </c>
      <c r="J8980" s="2">
        <v>1035</v>
      </c>
      <c r="K8980" s="2">
        <v>1</v>
      </c>
      <c r="L8980" s="2">
        <v>292</v>
      </c>
    </row>
    <row r="8981" spans="1:12" x14ac:dyDescent="0.25">
      <c r="A8981" s="4" t="str">
        <f>HYPERLINK("http://www.rosaceae.org/Prunus/Prunus_persica/p.persica_gdr_reftransV1_0048173","p.persica_gdr_reftransV1_0048173")</f>
        <v>p.persica_gdr_reftransV1_0048173</v>
      </c>
      <c r="B8981" s="2">
        <v>760</v>
      </c>
      <c r="C8981" s="4" t="str">
        <f>HYPERLINK("http://www.uniprot.org/uniprot/M5VM41","M5VM41")</f>
        <v>M5VM41</v>
      </c>
      <c r="D8981" s="2" t="s">
        <v>7828</v>
      </c>
      <c r="E8981" s="3">
        <v>3.02E-74</v>
      </c>
      <c r="F8981" s="2">
        <v>617</v>
      </c>
      <c r="G8981" s="2">
        <v>100</v>
      </c>
      <c r="H8981" s="2">
        <v>114</v>
      </c>
      <c r="I8981" s="2">
        <v>227</v>
      </c>
      <c r="J8981" s="2">
        <v>568</v>
      </c>
      <c r="K8981" s="2">
        <v>266</v>
      </c>
      <c r="L8981" s="2">
        <v>379</v>
      </c>
    </row>
    <row r="8982" spans="1:12" x14ac:dyDescent="0.25">
      <c r="A8982" s="4" t="str">
        <f>HYPERLINK("http://www.rosaceae.org/Prunus/Prunus_persica/p.persica_gdr_reftransV1_0048523","p.persica_gdr_reftransV1_0048523")</f>
        <v>p.persica_gdr_reftransV1_0048523</v>
      </c>
      <c r="B8982" s="2">
        <v>4166</v>
      </c>
      <c r="C8982" s="4" t="str">
        <f>HYPERLINK("http://www.uniprot.org/uniprot/M5XIY5","M5XIY5")</f>
        <v>M5XIY5</v>
      </c>
      <c r="D8982" s="2" t="s">
        <v>7829</v>
      </c>
      <c r="E8982" s="3">
        <v>0</v>
      </c>
      <c r="F8982" s="2">
        <v>4366</v>
      </c>
      <c r="G8982" s="2">
        <v>96</v>
      </c>
      <c r="H8982" s="2">
        <v>931</v>
      </c>
      <c r="I8982" s="2">
        <v>706</v>
      </c>
      <c r="J8982" s="2">
        <v>3498</v>
      </c>
      <c r="K8982" s="2">
        <v>1</v>
      </c>
      <c r="L8982" s="2">
        <v>901</v>
      </c>
    </row>
    <row r="8983" spans="1:12" x14ac:dyDescent="0.25">
      <c r="A8983" s="4" t="str">
        <f>HYPERLINK("http://www.rosaceae.org/Prunus/Prunus_persica/p.persica_gdr_reftransV1_0048873","p.persica_gdr_reftransV1_0048873")</f>
        <v>p.persica_gdr_reftransV1_0048873</v>
      </c>
      <c r="B8983" s="2">
        <v>629</v>
      </c>
      <c r="C8983" s="4" t="str">
        <f>HYPERLINK("http://www.uniprot.org/uniprot/M0RSH6","M0RSH6")</f>
        <v>M0RSH6</v>
      </c>
      <c r="D8983" s="2" t="s">
        <v>7830</v>
      </c>
      <c r="E8983" s="3">
        <v>5.5000000000000003E-45</v>
      </c>
      <c r="F8983" s="2">
        <v>397</v>
      </c>
      <c r="G8983" s="2">
        <v>82</v>
      </c>
      <c r="H8983" s="2">
        <v>109</v>
      </c>
      <c r="I8983" s="2">
        <v>53</v>
      </c>
      <c r="J8983" s="2">
        <v>376</v>
      </c>
      <c r="K8983" s="2">
        <v>24</v>
      </c>
      <c r="L8983" s="2">
        <v>132</v>
      </c>
    </row>
    <row r="8984" spans="1:12" x14ac:dyDescent="0.25">
      <c r="A8984" s="4" t="str">
        <f>HYPERLINK("http://www.rosaceae.org/Prunus/Prunus_persica/p.persica_gdr_reftransV1_0000574","p.persica_gdr_reftransV1_0000574")</f>
        <v>p.persica_gdr_reftransV1_0000574</v>
      </c>
      <c r="B8984" s="2">
        <v>1159</v>
      </c>
      <c r="C8984" s="4" t="str">
        <f>HYPERLINK("http://www.uniprot.org/uniprot/M5W712","M5W712")</f>
        <v>M5W712</v>
      </c>
      <c r="D8984" s="2" t="s">
        <v>7831</v>
      </c>
      <c r="E8984" s="3">
        <v>3.1099999999999999E-67</v>
      </c>
      <c r="F8984" s="2">
        <v>601</v>
      </c>
      <c r="G8984" s="2">
        <v>83</v>
      </c>
      <c r="H8984" s="2">
        <v>205</v>
      </c>
      <c r="I8984" s="2">
        <v>480</v>
      </c>
      <c r="J8984" s="2">
        <v>1094</v>
      </c>
      <c r="K8984" s="2">
        <v>1</v>
      </c>
      <c r="L8984" s="2">
        <v>188</v>
      </c>
    </row>
    <row r="8985" spans="1:12" x14ac:dyDescent="0.25">
      <c r="A8985" s="4" t="str">
        <f>HYPERLINK("http://www.rosaceae.org/Prunus/Prunus_persica/p.persica_gdr_reftransV1_0000924","p.persica_gdr_reftransV1_0000924")</f>
        <v>p.persica_gdr_reftransV1_0000924</v>
      </c>
      <c r="B8985" s="2">
        <v>1734</v>
      </c>
      <c r="C8985" s="4" t="str">
        <f>HYPERLINK("http://www.uniprot.org/uniprot/M5XGG5","M5XGG5")</f>
        <v>M5XGG5</v>
      </c>
      <c r="D8985" s="2" t="s">
        <v>7832</v>
      </c>
      <c r="E8985" s="3">
        <v>0</v>
      </c>
      <c r="F8985" s="2">
        <v>1866</v>
      </c>
      <c r="G8985" s="2">
        <v>89</v>
      </c>
      <c r="H8985" s="2">
        <v>434</v>
      </c>
      <c r="I8985" s="2">
        <v>197</v>
      </c>
      <c r="J8985" s="2">
        <v>1498</v>
      </c>
      <c r="K8985" s="2">
        <v>67</v>
      </c>
      <c r="L8985" s="2">
        <v>451</v>
      </c>
    </row>
    <row r="8986" spans="1:12" x14ac:dyDescent="0.25">
      <c r="A8986" s="4" t="str">
        <f>HYPERLINK("http://www.rosaceae.org/Prunus/Prunus_persica/p.persica_gdr_reftransV1_0001274","p.persica_gdr_reftransV1_0001274")</f>
        <v>p.persica_gdr_reftransV1_0001274</v>
      </c>
      <c r="B8986" s="2">
        <v>913</v>
      </c>
      <c r="C8986" s="4" t="str">
        <f>HYPERLINK("http://www.uniprot.org/uniprot/M5X1I8","M5X1I8")</f>
        <v>M5X1I8</v>
      </c>
      <c r="D8986" s="2" t="s">
        <v>7833</v>
      </c>
      <c r="E8986" s="3">
        <v>4.7399999999999996E-90</v>
      </c>
      <c r="F8986" s="2">
        <v>705</v>
      </c>
      <c r="G8986" s="2">
        <v>100</v>
      </c>
      <c r="H8986" s="2">
        <v>132</v>
      </c>
      <c r="I8986" s="2">
        <v>441</v>
      </c>
      <c r="J8986" s="2">
        <v>836</v>
      </c>
      <c r="K8986" s="2">
        <v>1</v>
      </c>
      <c r="L8986" s="2">
        <v>132</v>
      </c>
    </row>
    <row r="8987" spans="1:12" x14ac:dyDescent="0.25">
      <c r="A8987" s="4" t="str">
        <f>HYPERLINK("http://www.rosaceae.org/Prunus/Prunus_persica/p.persica_gdr_reftransV1_0001624","p.persica_gdr_reftransV1_0001624")</f>
        <v>p.persica_gdr_reftransV1_0001624</v>
      </c>
      <c r="B8987" s="2">
        <v>309</v>
      </c>
      <c r="C8987" s="4" t="str">
        <f>HYPERLINK("http://www.uniprot.org/uniprot/M5XW17","M5XW17")</f>
        <v>M5XW17</v>
      </c>
      <c r="D8987" s="2" t="s">
        <v>96</v>
      </c>
      <c r="E8987" s="3">
        <v>3.4700000000000001E-68</v>
      </c>
      <c r="F8987" s="2">
        <v>558</v>
      </c>
      <c r="G8987" s="2">
        <v>100</v>
      </c>
      <c r="H8987" s="2">
        <v>102</v>
      </c>
      <c r="I8987" s="2">
        <v>2</v>
      </c>
      <c r="J8987" s="2">
        <v>307</v>
      </c>
      <c r="K8987" s="2">
        <v>49</v>
      </c>
      <c r="L8987" s="2">
        <v>150</v>
      </c>
    </row>
    <row r="8988" spans="1:12" x14ac:dyDescent="0.25">
      <c r="A8988" s="4" t="str">
        <f>HYPERLINK("http://www.rosaceae.org/Prunus/Prunus_persica/p.persica_gdr_reftransV1_0001974","p.persica_gdr_reftransV1_0001974")</f>
        <v>p.persica_gdr_reftransV1_0001974</v>
      </c>
      <c r="B8988" s="2">
        <v>391</v>
      </c>
      <c r="C8988" s="4" t="str">
        <f>HYPERLINK("http://www.uniprot.org/uniprot/M5WB79","M5WB79")</f>
        <v>M5WB79</v>
      </c>
      <c r="D8988" s="2" t="s">
        <v>7834</v>
      </c>
      <c r="E8988" s="3">
        <v>9.4700000000000001E-55</v>
      </c>
      <c r="F8988" s="2">
        <v>450</v>
      </c>
      <c r="G8988" s="2">
        <v>100</v>
      </c>
      <c r="H8988" s="2">
        <v>88</v>
      </c>
      <c r="I8988" s="2">
        <v>35</v>
      </c>
      <c r="J8988" s="2">
        <v>298</v>
      </c>
      <c r="K8988" s="2">
        <v>1</v>
      </c>
      <c r="L8988" s="2">
        <v>88</v>
      </c>
    </row>
    <row r="8989" spans="1:12" x14ac:dyDescent="0.25">
      <c r="A8989" s="4" t="str">
        <f>HYPERLINK("http://www.rosaceae.org/Prunus/Prunus_persica/p.persica_gdr_reftransV1_0002324","p.persica_gdr_reftransV1_0002324")</f>
        <v>p.persica_gdr_reftransV1_0002324</v>
      </c>
      <c r="B8989" s="2">
        <v>1296</v>
      </c>
      <c r="C8989" s="4" t="str">
        <f>HYPERLINK("http://www.uniprot.org/uniprot/M5XS75","M5XS75")</f>
        <v>M5XS75</v>
      </c>
      <c r="D8989" s="2" t="s">
        <v>7835</v>
      </c>
      <c r="E8989" s="3">
        <v>1.7100000000000001E-127</v>
      </c>
      <c r="F8989" s="2">
        <v>975</v>
      </c>
      <c r="G8989" s="2">
        <v>100</v>
      </c>
      <c r="H8989" s="2">
        <v>226</v>
      </c>
      <c r="I8989" s="2">
        <v>495</v>
      </c>
      <c r="J8989" s="2">
        <v>1172</v>
      </c>
      <c r="K8989" s="2">
        <v>1</v>
      </c>
      <c r="L8989" s="2">
        <v>226</v>
      </c>
    </row>
    <row r="8990" spans="1:12" x14ac:dyDescent="0.25">
      <c r="A8990" s="4" t="str">
        <f>HYPERLINK("http://www.rosaceae.org/Prunus/Prunus_persica/p.persica_gdr_reftransV1_0002674","p.persica_gdr_reftransV1_0002674")</f>
        <v>p.persica_gdr_reftransV1_0002674</v>
      </c>
      <c r="B8990" s="2">
        <v>1305</v>
      </c>
      <c r="C8990" s="4" t="str">
        <f>HYPERLINK("http://www.uniprot.org/uniprot/M5XCP2","M5XCP2")</f>
        <v>M5XCP2</v>
      </c>
      <c r="D8990" s="2" t="s">
        <v>2683</v>
      </c>
      <c r="E8990" s="3">
        <v>0</v>
      </c>
      <c r="F8990" s="2">
        <v>1004</v>
      </c>
      <c r="G8990" s="2">
        <v>100</v>
      </c>
      <c r="H8990" s="2">
        <v>202</v>
      </c>
      <c r="I8990" s="2">
        <v>449</v>
      </c>
      <c r="J8990" s="2">
        <v>1054</v>
      </c>
      <c r="K8990" s="2">
        <v>109</v>
      </c>
      <c r="L8990" s="2">
        <v>310</v>
      </c>
    </row>
    <row r="8991" spans="1:12" x14ac:dyDescent="0.25">
      <c r="A8991" s="4" t="str">
        <f>HYPERLINK("http://www.rosaceae.org/Prunus/Prunus_persica/p.persica_gdr_reftransV1_0003024","p.persica_gdr_reftransV1_0003024")</f>
        <v>p.persica_gdr_reftransV1_0003024</v>
      </c>
      <c r="B8991" s="2">
        <v>1743</v>
      </c>
      <c r="C8991" s="4" t="str">
        <f>HYPERLINK("http://www.uniprot.org/uniprot/M5VXP3","M5VXP3")</f>
        <v>M5VXP3</v>
      </c>
      <c r="D8991" s="2" t="s">
        <v>4778</v>
      </c>
      <c r="E8991" s="3">
        <v>0</v>
      </c>
      <c r="F8991" s="2">
        <v>2558</v>
      </c>
      <c r="G8991" s="2">
        <v>100</v>
      </c>
      <c r="H8991" s="2">
        <v>474</v>
      </c>
      <c r="I8991" s="2">
        <v>320</v>
      </c>
      <c r="J8991" s="2">
        <v>1741</v>
      </c>
      <c r="K8991" s="2">
        <v>528</v>
      </c>
      <c r="L8991" s="2">
        <v>1001</v>
      </c>
    </row>
    <row r="8992" spans="1:12" x14ac:dyDescent="0.25">
      <c r="A8992" s="4" t="str">
        <f>HYPERLINK("http://www.rosaceae.org/Prunus/Prunus_persica/p.persica_gdr_reftransV1_0003374","p.persica_gdr_reftransV1_0003374")</f>
        <v>p.persica_gdr_reftransV1_0003374</v>
      </c>
      <c r="B8992" s="2">
        <v>2777</v>
      </c>
      <c r="C8992" s="4" t="str">
        <f>HYPERLINK("http://www.uniprot.org/uniprot/M5X2S3","M5X2S3")</f>
        <v>M5X2S3</v>
      </c>
      <c r="D8992" s="2" t="s">
        <v>3597</v>
      </c>
      <c r="E8992" s="3">
        <v>0</v>
      </c>
      <c r="F8992" s="2">
        <v>2745</v>
      </c>
      <c r="G8992" s="2">
        <v>99</v>
      </c>
      <c r="H8992" s="2">
        <v>546</v>
      </c>
      <c r="I8992" s="2">
        <v>363</v>
      </c>
      <c r="J8992" s="2">
        <v>2000</v>
      </c>
      <c r="K8992" s="2">
        <v>75</v>
      </c>
      <c r="L8992" s="2">
        <v>620</v>
      </c>
    </row>
    <row r="8993" spans="1:12" x14ac:dyDescent="0.25">
      <c r="A8993" s="4" t="str">
        <f>HYPERLINK("http://www.rosaceae.org/Prunus/Prunus_persica/p.persica_gdr_reftransV1_0003724","p.persica_gdr_reftransV1_0003724")</f>
        <v>p.persica_gdr_reftransV1_0003724</v>
      </c>
      <c r="B8993" s="2">
        <v>1813</v>
      </c>
      <c r="C8993" s="4" t="str">
        <f>HYPERLINK("http://www.uniprot.org/uniprot/M5XLH0","M5XLH0")</f>
        <v>M5XLH0</v>
      </c>
      <c r="D8993" s="2" t="s">
        <v>7366</v>
      </c>
      <c r="E8993" s="3">
        <v>0</v>
      </c>
      <c r="F8993" s="2">
        <v>2180</v>
      </c>
      <c r="G8993" s="2">
        <v>100</v>
      </c>
      <c r="H8993" s="2">
        <v>466</v>
      </c>
      <c r="I8993" s="2">
        <v>172</v>
      </c>
      <c r="J8993" s="2">
        <v>1569</v>
      </c>
      <c r="K8993" s="2">
        <v>1</v>
      </c>
      <c r="L8993" s="2">
        <v>466</v>
      </c>
    </row>
    <row r="8994" spans="1:12" x14ac:dyDescent="0.25">
      <c r="A8994" s="4" t="str">
        <f>HYPERLINK("http://www.rosaceae.org/Prunus/Prunus_persica/p.persica_gdr_reftransV1_0004774","p.persica_gdr_reftransV1_0004774")</f>
        <v>p.persica_gdr_reftransV1_0004774</v>
      </c>
      <c r="B8994" s="2">
        <v>1372</v>
      </c>
      <c r="C8994" s="4" t="str">
        <f>HYPERLINK("http://www.uniprot.org/uniprot/M5X9E8","M5X9E8")</f>
        <v>M5X9E8</v>
      </c>
      <c r="D8994" s="2" t="s">
        <v>7836</v>
      </c>
      <c r="E8994" s="3">
        <v>0</v>
      </c>
      <c r="F8994" s="2">
        <v>1853</v>
      </c>
      <c r="G8994" s="2">
        <v>100</v>
      </c>
      <c r="H8994" s="2">
        <v>387</v>
      </c>
      <c r="I8994" s="2">
        <v>212</v>
      </c>
      <c r="J8994" s="2">
        <v>1372</v>
      </c>
      <c r="K8994" s="2">
        <v>1</v>
      </c>
      <c r="L8994" s="2">
        <v>387</v>
      </c>
    </row>
    <row r="8995" spans="1:12" x14ac:dyDescent="0.25">
      <c r="A8995" s="4" t="str">
        <f>HYPERLINK("http://www.rosaceae.org/Prunus/Prunus_persica/p.persica_gdr_reftransV1_0005124","p.persica_gdr_reftransV1_0005124")</f>
        <v>p.persica_gdr_reftransV1_0005124</v>
      </c>
      <c r="B8995" s="2">
        <v>1528</v>
      </c>
      <c r="C8995" s="4" t="str">
        <f>HYPERLINK("http://www.uniprot.org/uniprot/M5XBE8","M5XBE8")</f>
        <v>M5XBE8</v>
      </c>
      <c r="D8995" s="2" t="s">
        <v>7837</v>
      </c>
      <c r="E8995" s="3">
        <v>0</v>
      </c>
      <c r="F8995" s="2">
        <v>1789</v>
      </c>
      <c r="G8995" s="2">
        <v>100</v>
      </c>
      <c r="H8995" s="2">
        <v>348</v>
      </c>
      <c r="I8995" s="2">
        <v>302</v>
      </c>
      <c r="J8995" s="2">
        <v>1345</v>
      </c>
      <c r="K8995" s="2">
        <v>1</v>
      </c>
      <c r="L8995" s="2">
        <v>348</v>
      </c>
    </row>
    <row r="8996" spans="1:12" x14ac:dyDescent="0.25">
      <c r="A8996" s="4" t="str">
        <f>HYPERLINK("http://www.rosaceae.org/Prunus/Prunus_persica/p.persica_gdr_reftransV1_0005474","p.persica_gdr_reftransV1_0005474")</f>
        <v>p.persica_gdr_reftransV1_0005474</v>
      </c>
      <c r="B8996" s="2">
        <v>1648</v>
      </c>
      <c r="C8996" s="4" t="str">
        <f>HYPERLINK("http://www.uniprot.org/uniprot/M5XA69","M5XA69")</f>
        <v>M5XA69</v>
      </c>
      <c r="D8996" s="2" t="s">
        <v>7838</v>
      </c>
      <c r="E8996" s="3">
        <v>7.66E-53</v>
      </c>
      <c r="F8996" s="2">
        <v>478</v>
      </c>
      <c r="G8996" s="2">
        <v>91</v>
      </c>
      <c r="H8996" s="2">
        <v>99</v>
      </c>
      <c r="I8996" s="2">
        <v>554</v>
      </c>
      <c r="J8996" s="2">
        <v>850</v>
      </c>
      <c r="K8996" s="2">
        <v>67</v>
      </c>
      <c r="L8996" s="2">
        <v>165</v>
      </c>
    </row>
    <row r="8997" spans="1:12" x14ac:dyDescent="0.25">
      <c r="A8997" s="4" t="str">
        <f>HYPERLINK("http://www.rosaceae.org/Prunus/Prunus_persica/p.persica_gdr_reftransV1_0005824","p.persica_gdr_reftransV1_0005824")</f>
        <v>p.persica_gdr_reftransV1_0005824</v>
      </c>
      <c r="B8997" s="2">
        <v>467</v>
      </c>
      <c r="C8997" s="4" t="str">
        <f>HYPERLINK("http://www.uniprot.org/uniprot/A0A058ZXU6","A0A058ZXU6")</f>
        <v>A0A058ZXU6</v>
      </c>
      <c r="D8997" s="2" t="s">
        <v>7839</v>
      </c>
      <c r="E8997" s="3">
        <v>4.9100000000000001E-83</v>
      </c>
      <c r="F8997" s="2">
        <v>658</v>
      </c>
      <c r="G8997" s="2">
        <v>75</v>
      </c>
      <c r="H8997" s="2">
        <v>155</v>
      </c>
      <c r="I8997" s="2">
        <v>2</v>
      </c>
      <c r="J8997" s="2">
        <v>466</v>
      </c>
      <c r="K8997" s="2">
        <v>98</v>
      </c>
      <c r="L8997" s="2">
        <v>252</v>
      </c>
    </row>
    <row r="8998" spans="1:12" x14ac:dyDescent="0.25">
      <c r="A8998" s="4" t="str">
        <f>HYPERLINK("http://www.rosaceae.org/Prunus/Prunus_persica/p.persica_gdr_reftransV1_0006524","p.persica_gdr_reftransV1_0006524")</f>
        <v>p.persica_gdr_reftransV1_0006524</v>
      </c>
      <c r="B8998" s="2">
        <v>907</v>
      </c>
      <c r="C8998" s="4" t="str">
        <f>HYPERLINK("http://www.uniprot.org/uniprot/M5X6Z1","M5X6Z1")</f>
        <v>M5X6Z1</v>
      </c>
      <c r="D8998" s="2" t="s">
        <v>7840</v>
      </c>
      <c r="E8998" s="3">
        <v>1.16E-95</v>
      </c>
      <c r="F8998" s="2">
        <v>746</v>
      </c>
      <c r="G8998" s="2">
        <v>83</v>
      </c>
      <c r="H8998" s="2">
        <v>202</v>
      </c>
      <c r="I8998" s="2">
        <v>302</v>
      </c>
      <c r="J8998" s="2">
        <v>907</v>
      </c>
      <c r="K8998" s="2">
        <v>8</v>
      </c>
      <c r="L8998" s="2">
        <v>174</v>
      </c>
    </row>
    <row r="8999" spans="1:12" x14ac:dyDescent="0.25">
      <c r="A8999" s="4" t="str">
        <f>HYPERLINK("http://www.rosaceae.org/Prunus/Prunus_persica/p.persica_gdr_reftransV1_0006874","p.persica_gdr_reftransV1_0006874")</f>
        <v>p.persica_gdr_reftransV1_0006874</v>
      </c>
      <c r="B8999" s="2">
        <v>3729</v>
      </c>
      <c r="C8999" s="4" t="str">
        <f>HYPERLINK("http://www.uniprot.org/uniprot/M5WQV9","M5WQV9")</f>
        <v>M5WQV9</v>
      </c>
      <c r="D8999" s="2" t="s">
        <v>7841</v>
      </c>
      <c r="E8999" s="3">
        <v>0</v>
      </c>
      <c r="F8999" s="2">
        <v>4869</v>
      </c>
      <c r="G8999" s="2">
        <v>87</v>
      </c>
      <c r="H8999" s="2">
        <v>1126</v>
      </c>
      <c r="I8999" s="2">
        <v>410</v>
      </c>
      <c r="J8999" s="2">
        <v>3727</v>
      </c>
      <c r="K8999" s="2">
        <v>277</v>
      </c>
      <c r="L8999" s="2">
        <v>1384</v>
      </c>
    </row>
    <row r="9000" spans="1:12" x14ac:dyDescent="0.25">
      <c r="A9000" s="4" t="str">
        <f>HYPERLINK("http://www.rosaceae.org/Prunus/Prunus_persica/p.persica_gdr_reftransV1_0007574","p.persica_gdr_reftransV1_0007574")</f>
        <v>p.persica_gdr_reftransV1_0007574</v>
      </c>
      <c r="B9000" s="2">
        <v>805</v>
      </c>
      <c r="C9000" s="4" t="str">
        <f>HYPERLINK("http://www.uniprot.org/uniprot/M5XQM4","M5XQM4")</f>
        <v>M5XQM4</v>
      </c>
      <c r="D9000" s="2" t="s">
        <v>5346</v>
      </c>
      <c r="E9000" s="3">
        <v>1.7799999999999999E-38</v>
      </c>
      <c r="F9000" s="2">
        <v>353</v>
      </c>
      <c r="G9000" s="2">
        <v>100</v>
      </c>
      <c r="H9000" s="2">
        <v>79</v>
      </c>
      <c r="I9000" s="2">
        <v>393</v>
      </c>
      <c r="J9000" s="2">
        <v>629</v>
      </c>
      <c r="K9000" s="2">
        <v>1</v>
      </c>
      <c r="L9000" s="2">
        <v>79</v>
      </c>
    </row>
    <row r="9001" spans="1:12" x14ac:dyDescent="0.25">
      <c r="A9001" s="4" t="str">
        <f>HYPERLINK("http://www.rosaceae.org/Prunus/Prunus_persica/p.persica_gdr_reftransV1_0007924","p.persica_gdr_reftransV1_0007924")</f>
        <v>p.persica_gdr_reftransV1_0007924</v>
      </c>
      <c r="B9001" s="2">
        <v>1028</v>
      </c>
      <c r="C9001" s="4" t="str">
        <f>HYPERLINK("http://www.uniprot.org/uniprot/M5XV84","M5XV84")</f>
        <v>M5XV84</v>
      </c>
      <c r="D9001" s="2" t="s">
        <v>7842</v>
      </c>
      <c r="E9001" s="3">
        <v>0</v>
      </c>
      <c r="F9001" s="2">
        <v>1644</v>
      </c>
      <c r="G9001" s="2">
        <v>100</v>
      </c>
      <c r="H9001" s="2">
        <v>308</v>
      </c>
      <c r="I9001" s="2">
        <v>2</v>
      </c>
      <c r="J9001" s="2">
        <v>925</v>
      </c>
      <c r="K9001" s="2">
        <v>219</v>
      </c>
      <c r="L9001" s="2">
        <v>526</v>
      </c>
    </row>
    <row r="9002" spans="1:12" x14ac:dyDescent="0.25">
      <c r="A9002" s="4" t="str">
        <f>HYPERLINK("http://www.rosaceae.org/Prunus/Prunus_persica/p.persica_gdr_reftransV1_0010024","p.persica_gdr_reftransV1_0010024")</f>
        <v>p.persica_gdr_reftransV1_0010024</v>
      </c>
      <c r="B9002" s="2">
        <v>1695</v>
      </c>
      <c r="C9002" s="4" t="str">
        <f>HYPERLINK("http://www.uniprot.org/uniprot/M5VLL2","M5VLL2")</f>
        <v>M5VLL2</v>
      </c>
      <c r="D9002" s="2" t="s">
        <v>7843</v>
      </c>
      <c r="E9002" s="3">
        <v>0</v>
      </c>
      <c r="F9002" s="2">
        <v>1866</v>
      </c>
      <c r="G9002" s="2">
        <v>76</v>
      </c>
      <c r="H9002" s="2">
        <v>572</v>
      </c>
      <c r="I9002" s="2">
        <v>200</v>
      </c>
      <c r="J9002" s="2">
        <v>1693</v>
      </c>
      <c r="K9002" s="2">
        <v>1</v>
      </c>
      <c r="L9002" s="2">
        <v>571</v>
      </c>
    </row>
    <row r="9003" spans="1:12" x14ac:dyDescent="0.25">
      <c r="A9003" s="4" t="str">
        <f>HYPERLINK("http://www.rosaceae.org/Prunus/Prunus_persica/p.persica_gdr_reftransV1_0010724","p.persica_gdr_reftransV1_0010724")</f>
        <v>p.persica_gdr_reftransV1_0010724</v>
      </c>
      <c r="B9003" s="2">
        <v>1584</v>
      </c>
      <c r="C9003" s="4" t="str">
        <f>HYPERLINK("http://www.uniprot.org/uniprot/M5X5K8","M5X5K8")</f>
        <v>M5X5K8</v>
      </c>
      <c r="D9003" s="2" t="s">
        <v>7844</v>
      </c>
      <c r="E9003" s="3">
        <v>0</v>
      </c>
      <c r="F9003" s="2">
        <v>1862</v>
      </c>
      <c r="G9003" s="2">
        <v>100</v>
      </c>
      <c r="H9003" s="2">
        <v>353</v>
      </c>
      <c r="I9003" s="2">
        <v>92</v>
      </c>
      <c r="J9003" s="2">
        <v>1150</v>
      </c>
      <c r="K9003" s="2">
        <v>1</v>
      </c>
      <c r="L9003" s="2">
        <v>353</v>
      </c>
    </row>
    <row r="9004" spans="1:12" x14ac:dyDescent="0.25">
      <c r="A9004" s="4" t="str">
        <f>HYPERLINK("http://www.rosaceae.org/Prunus/Prunus_persica/p.persica_gdr_reftransV1_0013524","p.persica_gdr_reftransV1_0013524")</f>
        <v>p.persica_gdr_reftransV1_0013524</v>
      </c>
      <c r="B9004" s="2">
        <v>1051</v>
      </c>
      <c r="C9004" s="4" t="str">
        <f>HYPERLINK("http://www.uniprot.org/uniprot/M5X2U0","M5X2U0")</f>
        <v>M5X2U0</v>
      </c>
      <c r="D9004" s="2" t="s">
        <v>7845</v>
      </c>
      <c r="E9004" s="3">
        <v>1.34E-17</v>
      </c>
      <c r="F9004" s="2">
        <v>217</v>
      </c>
      <c r="G9004" s="2">
        <v>100</v>
      </c>
      <c r="H9004" s="2">
        <v>57</v>
      </c>
      <c r="I9004" s="2">
        <v>343</v>
      </c>
      <c r="J9004" s="2">
        <v>513</v>
      </c>
      <c r="K9004" s="2">
        <v>100</v>
      </c>
      <c r="L9004" s="2">
        <v>156</v>
      </c>
    </row>
    <row r="9005" spans="1:12" x14ac:dyDescent="0.25">
      <c r="A9005" s="4" t="str">
        <f>HYPERLINK("http://www.rosaceae.org/Prunus/Prunus_persica/p.persica_gdr_reftransV1_0014924","p.persica_gdr_reftransV1_0014924")</f>
        <v>p.persica_gdr_reftransV1_0014924</v>
      </c>
      <c r="B9005" s="2">
        <v>1234</v>
      </c>
      <c r="C9005" s="4" t="str">
        <f>HYPERLINK("http://www.uniprot.org/uniprot/M5XF64","M5XF64")</f>
        <v>M5XF64</v>
      </c>
      <c r="D9005" s="2" t="s">
        <v>7846</v>
      </c>
      <c r="E9005" s="3">
        <v>1.1400000000000001E-92</v>
      </c>
      <c r="F9005" s="2">
        <v>746</v>
      </c>
      <c r="G9005" s="2">
        <v>99</v>
      </c>
      <c r="H9005" s="2">
        <v>143</v>
      </c>
      <c r="I9005" s="2">
        <v>63</v>
      </c>
      <c r="J9005" s="2">
        <v>491</v>
      </c>
      <c r="K9005" s="2">
        <v>1</v>
      </c>
      <c r="L9005" s="2">
        <v>143</v>
      </c>
    </row>
    <row r="9006" spans="1:12" x14ac:dyDescent="0.25">
      <c r="A9006" s="4" t="str">
        <f>HYPERLINK("http://www.rosaceae.org/Prunus/Prunus_persica/p.persica_gdr_reftransV1_0015274","p.persica_gdr_reftransV1_0015274")</f>
        <v>p.persica_gdr_reftransV1_0015274</v>
      </c>
      <c r="B9006" s="2">
        <v>1964</v>
      </c>
      <c r="C9006" s="4" t="str">
        <f>HYPERLINK("http://www.uniprot.org/uniprot/M5VUC7","M5VUC7")</f>
        <v>M5VUC7</v>
      </c>
      <c r="D9006" s="2" t="s">
        <v>131</v>
      </c>
      <c r="E9006" s="3">
        <v>5.6700000000000002E-180</v>
      </c>
      <c r="F9006" s="2">
        <v>1418</v>
      </c>
      <c r="G9006" s="2">
        <v>80</v>
      </c>
      <c r="H9006" s="2">
        <v>351</v>
      </c>
      <c r="I9006" s="2">
        <v>939</v>
      </c>
      <c r="J9006" s="2">
        <v>1964</v>
      </c>
      <c r="K9006" s="2">
        <v>509</v>
      </c>
      <c r="L9006" s="2">
        <v>841</v>
      </c>
    </row>
    <row r="9007" spans="1:12" x14ac:dyDescent="0.25">
      <c r="A9007" s="4" t="str">
        <f>HYPERLINK("http://www.rosaceae.org/Prunus/Prunus_persica/p.persica_gdr_reftransV1_0017374","p.persica_gdr_reftransV1_0017374")</f>
        <v>p.persica_gdr_reftransV1_0017374</v>
      </c>
      <c r="B9007" s="2">
        <v>4156</v>
      </c>
      <c r="C9007" s="4" t="str">
        <f>HYPERLINK("http://www.uniprot.org/uniprot/M5WH11","M5WH11")</f>
        <v>M5WH11</v>
      </c>
      <c r="D9007" s="2" t="s">
        <v>7847</v>
      </c>
      <c r="E9007" s="3">
        <v>1.9599999999999999E-117</v>
      </c>
      <c r="F9007" s="2">
        <v>989</v>
      </c>
      <c r="G9007" s="2">
        <v>100</v>
      </c>
      <c r="H9007" s="2">
        <v>228</v>
      </c>
      <c r="I9007" s="2">
        <v>3102</v>
      </c>
      <c r="J9007" s="2">
        <v>3785</v>
      </c>
      <c r="K9007" s="2">
        <v>1</v>
      </c>
      <c r="L9007" s="2">
        <v>228</v>
      </c>
    </row>
    <row r="9008" spans="1:12" x14ac:dyDescent="0.25">
      <c r="A9008" s="4" t="str">
        <f>HYPERLINK("http://www.rosaceae.org/Prunus/Prunus_persica/p.persica_gdr_reftransV1_0018074","p.persica_gdr_reftransV1_0018074")</f>
        <v>p.persica_gdr_reftransV1_0018074</v>
      </c>
      <c r="B9008" s="2">
        <v>915</v>
      </c>
      <c r="C9008" s="4" t="str">
        <f>HYPERLINK("http://www.uniprot.org/uniprot/M5VKW3","M5VKW3")</f>
        <v>M5VKW3</v>
      </c>
      <c r="D9008" s="2" t="s">
        <v>1498</v>
      </c>
      <c r="E9008" s="3">
        <v>2.5799999999999999E-68</v>
      </c>
      <c r="F9008" s="2">
        <v>562</v>
      </c>
      <c r="G9008" s="2">
        <v>100</v>
      </c>
      <c r="H9008" s="2">
        <v>110</v>
      </c>
      <c r="I9008" s="2">
        <v>325</v>
      </c>
      <c r="J9008" s="2">
        <v>654</v>
      </c>
      <c r="K9008" s="2">
        <v>29</v>
      </c>
      <c r="L9008" s="2">
        <v>138</v>
      </c>
    </row>
    <row r="9009" spans="1:12" x14ac:dyDescent="0.25">
      <c r="A9009" s="4" t="str">
        <f>HYPERLINK("http://www.rosaceae.org/Prunus/Prunus_persica/p.persica_gdr_reftransV1_0019124","p.persica_gdr_reftransV1_0019124")</f>
        <v>p.persica_gdr_reftransV1_0019124</v>
      </c>
      <c r="B9009" s="2">
        <v>715</v>
      </c>
      <c r="C9009" s="4" t="str">
        <f>HYPERLINK("http://www.uniprot.org/uniprot/M5VHA3","M5VHA3")</f>
        <v>M5VHA3</v>
      </c>
      <c r="D9009" s="2" t="s">
        <v>7848</v>
      </c>
      <c r="E9009" s="3">
        <v>2.9499999999999999E-55</v>
      </c>
      <c r="F9009" s="2">
        <v>494</v>
      </c>
      <c r="G9009" s="2">
        <v>100</v>
      </c>
      <c r="H9009" s="2">
        <v>107</v>
      </c>
      <c r="I9009" s="2">
        <v>1</v>
      </c>
      <c r="J9009" s="2">
        <v>321</v>
      </c>
      <c r="K9009" s="2">
        <v>368</v>
      </c>
      <c r="L9009" s="2">
        <v>474</v>
      </c>
    </row>
    <row r="9010" spans="1:12" x14ac:dyDescent="0.25">
      <c r="A9010" s="4" t="str">
        <f>HYPERLINK("http://www.rosaceae.org/Prunus/Prunus_persica/p.persica_gdr_reftransV1_0020524","p.persica_gdr_reftransV1_0020524")</f>
        <v>p.persica_gdr_reftransV1_0020524</v>
      </c>
      <c r="B9010" s="2">
        <v>2725</v>
      </c>
      <c r="C9010" s="4" t="str">
        <f>HYPERLINK("http://www.uniprot.org/uniprot/M5VPJ6","M5VPJ6")</f>
        <v>M5VPJ6</v>
      </c>
      <c r="D9010" s="2" t="s">
        <v>1944</v>
      </c>
      <c r="E9010" s="3">
        <v>0</v>
      </c>
      <c r="F9010" s="2">
        <v>1899</v>
      </c>
      <c r="G9010" s="2">
        <v>93</v>
      </c>
      <c r="H9010" s="2">
        <v>487</v>
      </c>
      <c r="I9010" s="2">
        <v>119</v>
      </c>
      <c r="J9010" s="2">
        <v>1579</v>
      </c>
      <c r="K9010" s="2">
        <v>19</v>
      </c>
      <c r="L9010" s="2">
        <v>469</v>
      </c>
    </row>
    <row r="9011" spans="1:12" x14ac:dyDescent="0.25">
      <c r="A9011" s="4" t="str">
        <f>HYPERLINK("http://www.rosaceae.org/Prunus/Prunus_persica/p.persica_gdr_reftransV1_0020874","p.persica_gdr_reftransV1_0020874")</f>
        <v>p.persica_gdr_reftransV1_0020874</v>
      </c>
      <c r="B9011" s="2">
        <v>931</v>
      </c>
      <c r="C9011" s="4" t="str">
        <f>HYPERLINK("http://www.uniprot.org/uniprot/M5X0E8","M5X0E8")</f>
        <v>M5X0E8</v>
      </c>
      <c r="D9011" s="2" t="s">
        <v>7849</v>
      </c>
      <c r="E9011" s="3">
        <v>3.9099999999999998E-96</v>
      </c>
      <c r="F9011" s="2">
        <v>755</v>
      </c>
      <c r="G9011" s="2">
        <v>100</v>
      </c>
      <c r="H9011" s="2">
        <v>195</v>
      </c>
      <c r="I9011" s="2">
        <v>268</v>
      </c>
      <c r="J9011" s="2">
        <v>852</v>
      </c>
      <c r="K9011" s="2">
        <v>34</v>
      </c>
      <c r="L9011" s="2">
        <v>228</v>
      </c>
    </row>
    <row r="9012" spans="1:12" x14ac:dyDescent="0.25">
      <c r="A9012" s="4" t="str">
        <f>HYPERLINK("http://www.rosaceae.org/Prunus/Prunus_persica/p.persica_gdr_reftransV1_0021224","p.persica_gdr_reftransV1_0021224")</f>
        <v>p.persica_gdr_reftransV1_0021224</v>
      </c>
      <c r="B9012" s="2">
        <v>2338</v>
      </c>
      <c r="C9012" s="4" t="str">
        <f>HYPERLINK("http://www.uniprot.org/uniprot/M5WS39","M5WS39")</f>
        <v>M5WS39</v>
      </c>
      <c r="D9012" s="2" t="s">
        <v>7850</v>
      </c>
      <c r="E9012" s="3">
        <v>0</v>
      </c>
      <c r="F9012" s="2">
        <v>1555</v>
      </c>
      <c r="G9012" s="2">
        <v>91</v>
      </c>
      <c r="H9012" s="2">
        <v>362</v>
      </c>
      <c r="I9012" s="2">
        <v>437</v>
      </c>
      <c r="J9012" s="2">
        <v>1522</v>
      </c>
      <c r="K9012" s="2">
        <v>140</v>
      </c>
      <c r="L9012" s="2">
        <v>473</v>
      </c>
    </row>
    <row r="9013" spans="1:12" x14ac:dyDescent="0.25">
      <c r="A9013" s="4" t="str">
        <f>HYPERLINK("http://www.rosaceae.org/Prunus/Prunus_persica/p.persica_gdr_reftransV1_0021924","p.persica_gdr_reftransV1_0021924")</f>
        <v>p.persica_gdr_reftransV1_0021924</v>
      </c>
      <c r="B9013" s="2">
        <v>1332</v>
      </c>
      <c r="C9013" s="4" t="str">
        <f>HYPERLINK("http://www.uniprot.org/uniprot/M5VPC5","M5VPC5")</f>
        <v>M5VPC5</v>
      </c>
      <c r="D9013" s="2" t="s">
        <v>7851</v>
      </c>
      <c r="E9013" s="3">
        <v>0</v>
      </c>
      <c r="F9013" s="2">
        <v>1852</v>
      </c>
      <c r="G9013" s="2">
        <v>100</v>
      </c>
      <c r="H9013" s="2">
        <v>350</v>
      </c>
      <c r="I9013" s="2">
        <v>220</v>
      </c>
      <c r="J9013" s="2">
        <v>1269</v>
      </c>
      <c r="K9013" s="2">
        <v>1</v>
      </c>
      <c r="L9013" s="2">
        <v>350</v>
      </c>
    </row>
    <row r="9014" spans="1:12" x14ac:dyDescent="0.25">
      <c r="A9014" s="4" t="str">
        <f>HYPERLINK("http://www.rosaceae.org/Prunus/Prunus_persica/p.persica_gdr_reftransV1_0022274","p.persica_gdr_reftransV1_0022274")</f>
        <v>p.persica_gdr_reftransV1_0022274</v>
      </c>
      <c r="B9014" s="2">
        <v>3570</v>
      </c>
      <c r="C9014" s="4" t="str">
        <f>HYPERLINK("http://www.uniprot.org/uniprot/M5XEZ1","M5XEZ1")</f>
        <v>M5XEZ1</v>
      </c>
      <c r="D9014" s="2" t="s">
        <v>2701</v>
      </c>
      <c r="E9014" s="3">
        <v>0</v>
      </c>
      <c r="F9014" s="2">
        <v>5238</v>
      </c>
      <c r="G9014" s="2">
        <v>100</v>
      </c>
      <c r="H9014" s="2">
        <v>1008</v>
      </c>
      <c r="I9014" s="2">
        <v>370</v>
      </c>
      <c r="J9014" s="2">
        <v>3393</v>
      </c>
      <c r="K9014" s="2">
        <v>1</v>
      </c>
      <c r="L9014" s="2">
        <v>1008</v>
      </c>
    </row>
    <row r="9015" spans="1:12" x14ac:dyDescent="0.25">
      <c r="A9015" s="4" t="str">
        <f>HYPERLINK("http://www.rosaceae.org/Prunus/Prunus_persica/p.persica_gdr_reftransV1_0022974","p.persica_gdr_reftransV1_0022974")</f>
        <v>p.persica_gdr_reftransV1_0022974</v>
      </c>
      <c r="B9015" s="2">
        <v>2336</v>
      </c>
      <c r="C9015" s="4" t="str">
        <f>HYPERLINK("http://www.uniprot.org/uniprot/M5X3Z2","M5X3Z2")</f>
        <v>M5X3Z2</v>
      </c>
      <c r="D9015" s="2" t="s">
        <v>7852</v>
      </c>
      <c r="E9015" s="3">
        <v>8.9999999999999996E-122</v>
      </c>
      <c r="F9015" s="2">
        <v>962</v>
      </c>
      <c r="G9015" s="2">
        <v>100</v>
      </c>
      <c r="H9015" s="2">
        <v>183</v>
      </c>
      <c r="I9015" s="2">
        <v>634</v>
      </c>
      <c r="J9015" s="2">
        <v>1182</v>
      </c>
      <c r="K9015" s="2">
        <v>1</v>
      </c>
      <c r="L9015" s="2">
        <v>183</v>
      </c>
    </row>
    <row r="9016" spans="1:12" x14ac:dyDescent="0.25">
      <c r="A9016" s="4" t="str">
        <f>HYPERLINK("http://www.rosaceae.org/Prunus/Prunus_persica/p.persica_gdr_reftransV1_0023324","p.persica_gdr_reftransV1_0023324")</f>
        <v>p.persica_gdr_reftransV1_0023324</v>
      </c>
      <c r="B9016" s="2">
        <v>1263</v>
      </c>
      <c r="C9016" s="4" t="str">
        <f>HYPERLINK("http://www.uniprot.org/uniprot/M5XLM1","M5XLM1")</f>
        <v>M5XLM1</v>
      </c>
      <c r="D9016" s="2" t="s">
        <v>7853</v>
      </c>
      <c r="E9016" s="3">
        <v>0</v>
      </c>
      <c r="F9016" s="2">
        <v>1356</v>
      </c>
      <c r="G9016" s="2">
        <v>100</v>
      </c>
      <c r="H9016" s="2">
        <v>269</v>
      </c>
      <c r="I9016" s="2">
        <v>317</v>
      </c>
      <c r="J9016" s="2">
        <v>1123</v>
      </c>
      <c r="K9016" s="2">
        <v>27</v>
      </c>
      <c r="L9016" s="2">
        <v>295</v>
      </c>
    </row>
    <row r="9017" spans="1:12" x14ac:dyDescent="0.25">
      <c r="A9017" s="4" t="str">
        <f>HYPERLINK("http://www.rosaceae.org/Prunus/Prunus_persica/p.persica_gdr_reftransV1_0025774","p.persica_gdr_reftransV1_0025774")</f>
        <v>p.persica_gdr_reftransV1_0025774</v>
      </c>
      <c r="B9017" s="2">
        <v>2105</v>
      </c>
      <c r="C9017" s="4" t="str">
        <f>HYPERLINK("http://www.uniprot.org/uniprot/M5XCP4","M5XCP4")</f>
        <v>M5XCP4</v>
      </c>
      <c r="D9017" s="2" t="s">
        <v>7854</v>
      </c>
      <c r="E9017" s="3">
        <v>0</v>
      </c>
      <c r="F9017" s="2">
        <v>1403</v>
      </c>
      <c r="G9017" s="2">
        <v>87</v>
      </c>
      <c r="H9017" s="2">
        <v>360</v>
      </c>
      <c r="I9017" s="2">
        <v>720</v>
      </c>
      <c r="J9017" s="2">
        <v>1793</v>
      </c>
      <c r="K9017" s="2">
        <v>1</v>
      </c>
      <c r="L9017" s="2">
        <v>323</v>
      </c>
    </row>
    <row r="9018" spans="1:12" x14ac:dyDescent="0.25">
      <c r="A9018" s="4" t="str">
        <f>HYPERLINK("http://www.rosaceae.org/Prunus/Prunus_persica/p.persica_gdr_reftransV1_0027174","p.persica_gdr_reftransV1_0027174")</f>
        <v>p.persica_gdr_reftransV1_0027174</v>
      </c>
      <c r="B9018" s="2">
        <v>1185</v>
      </c>
      <c r="C9018" s="4" t="str">
        <f>HYPERLINK("http://www.uniprot.org/uniprot/M5WCP2","M5WCP2")</f>
        <v>M5WCP2</v>
      </c>
      <c r="D9018" s="2" t="s">
        <v>7855</v>
      </c>
      <c r="E9018" s="3">
        <v>7.4899999999999999E-134</v>
      </c>
      <c r="F9018" s="2">
        <v>1014</v>
      </c>
      <c r="G9018" s="2">
        <v>91</v>
      </c>
      <c r="H9018" s="2">
        <v>233</v>
      </c>
      <c r="I9018" s="2">
        <v>152</v>
      </c>
      <c r="J9018" s="2">
        <v>841</v>
      </c>
      <c r="K9018" s="2">
        <v>1</v>
      </c>
      <c r="L9018" s="2">
        <v>233</v>
      </c>
    </row>
    <row r="9019" spans="1:12" x14ac:dyDescent="0.25">
      <c r="A9019" s="4" t="str">
        <f>HYPERLINK("http://www.rosaceae.org/Prunus/Prunus_persica/p.persica_gdr_reftransV1_0027524","p.persica_gdr_reftransV1_0027524")</f>
        <v>p.persica_gdr_reftransV1_0027524</v>
      </c>
      <c r="B9019" s="2">
        <v>3611</v>
      </c>
      <c r="C9019" s="4" t="str">
        <f>HYPERLINK("http://www.uniprot.org/uniprot/M5X733","M5X733")</f>
        <v>M5X733</v>
      </c>
      <c r="D9019" s="2" t="s">
        <v>7856</v>
      </c>
      <c r="E9019" s="3">
        <v>0</v>
      </c>
      <c r="F9019" s="2">
        <v>3535</v>
      </c>
      <c r="G9019" s="2">
        <v>95</v>
      </c>
      <c r="H9019" s="2">
        <v>734</v>
      </c>
      <c r="I9019" s="2">
        <v>542</v>
      </c>
      <c r="J9019" s="2">
        <v>2743</v>
      </c>
      <c r="K9019" s="2">
        <v>270</v>
      </c>
      <c r="L9019" s="2">
        <v>976</v>
      </c>
    </row>
    <row r="9020" spans="1:12" x14ac:dyDescent="0.25">
      <c r="A9020" s="4" t="str">
        <f>HYPERLINK("http://www.rosaceae.org/Prunus/Prunus_persica/p.persica_gdr_reftransV1_0027874","p.persica_gdr_reftransV1_0027874")</f>
        <v>p.persica_gdr_reftransV1_0027874</v>
      </c>
      <c r="B9020" s="2">
        <v>2700</v>
      </c>
      <c r="C9020" s="4" t="str">
        <f>HYPERLINK("http://www.uniprot.org/uniprot/M5XF12","M5XF12")</f>
        <v>M5XF12</v>
      </c>
      <c r="D9020" s="2" t="s">
        <v>7857</v>
      </c>
      <c r="E9020" s="3">
        <v>3.2400000000000001E-136</v>
      </c>
      <c r="F9020" s="2">
        <v>1088</v>
      </c>
      <c r="G9020" s="2">
        <v>100</v>
      </c>
      <c r="H9020" s="2">
        <v>246</v>
      </c>
      <c r="I9020" s="2">
        <v>1459</v>
      </c>
      <c r="J9020" s="2">
        <v>2196</v>
      </c>
      <c r="K9020" s="2">
        <v>115</v>
      </c>
      <c r="L9020" s="2">
        <v>360</v>
      </c>
    </row>
    <row r="9021" spans="1:12" x14ac:dyDescent="0.25">
      <c r="A9021" s="4" t="str">
        <f>HYPERLINK("http://www.rosaceae.org/Prunus/Prunus_persica/p.persica_gdr_reftransV1_0028574","p.persica_gdr_reftransV1_0028574")</f>
        <v>p.persica_gdr_reftransV1_0028574</v>
      </c>
      <c r="B9021" s="2">
        <v>2019</v>
      </c>
      <c r="C9021" s="4" t="str">
        <f>HYPERLINK("http://www.uniprot.org/uniprot/M5XYT4","M5XYT4")</f>
        <v>M5XYT4</v>
      </c>
      <c r="D9021" s="2" t="s">
        <v>7858</v>
      </c>
      <c r="E9021" s="3">
        <v>0</v>
      </c>
      <c r="F9021" s="2">
        <v>2086</v>
      </c>
      <c r="G9021" s="2">
        <v>91</v>
      </c>
      <c r="H9021" s="2">
        <v>460</v>
      </c>
      <c r="I9021" s="2">
        <v>427</v>
      </c>
      <c r="J9021" s="2">
        <v>1806</v>
      </c>
      <c r="K9021" s="2">
        <v>94</v>
      </c>
      <c r="L9021" s="2">
        <v>511</v>
      </c>
    </row>
    <row r="9022" spans="1:12" x14ac:dyDescent="0.25">
      <c r="A9022" s="4" t="str">
        <f>HYPERLINK("http://www.rosaceae.org/Prunus/Prunus_persica/p.persica_gdr_reftransV1_0028924","p.persica_gdr_reftransV1_0028924")</f>
        <v>p.persica_gdr_reftransV1_0028924</v>
      </c>
      <c r="B9022" s="2">
        <v>1833</v>
      </c>
      <c r="C9022" s="4" t="str">
        <f>HYPERLINK("http://www.uniprot.org/uniprot/M5XB52","M5XB52")</f>
        <v>M5XB52</v>
      </c>
      <c r="D9022" s="2" t="s">
        <v>7859</v>
      </c>
      <c r="E9022" s="3">
        <v>0</v>
      </c>
      <c r="F9022" s="2">
        <v>2197</v>
      </c>
      <c r="G9022" s="2">
        <v>100</v>
      </c>
      <c r="H9022" s="2">
        <v>447</v>
      </c>
      <c r="I9022" s="2">
        <v>212</v>
      </c>
      <c r="J9022" s="2">
        <v>1552</v>
      </c>
      <c r="K9022" s="2">
        <v>1</v>
      </c>
      <c r="L9022" s="2">
        <v>447</v>
      </c>
    </row>
    <row r="9023" spans="1:12" x14ac:dyDescent="0.25">
      <c r="A9023" s="4" t="str">
        <f>HYPERLINK("http://www.rosaceae.org/Prunus/Prunus_persica/p.persica_gdr_reftransV1_0034874","p.persica_gdr_reftransV1_0034874")</f>
        <v>p.persica_gdr_reftransV1_0034874</v>
      </c>
      <c r="B9023" s="2">
        <v>1485</v>
      </c>
      <c r="C9023" s="4" t="str">
        <f>HYPERLINK("http://www.uniprot.org/uniprot/M5WU39","M5WU39")</f>
        <v>M5WU39</v>
      </c>
      <c r="D9023" s="2" t="s">
        <v>495</v>
      </c>
      <c r="E9023" s="3">
        <v>0</v>
      </c>
      <c r="F9023" s="2">
        <v>2008</v>
      </c>
      <c r="G9023" s="2">
        <v>100</v>
      </c>
      <c r="H9023" s="2">
        <v>376</v>
      </c>
      <c r="I9023" s="2">
        <v>38</v>
      </c>
      <c r="J9023" s="2">
        <v>1165</v>
      </c>
      <c r="K9023" s="2">
        <v>1</v>
      </c>
      <c r="L9023" s="2">
        <v>376</v>
      </c>
    </row>
    <row r="9024" spans="1:12" x14ac:dyDescent="0.25">
      <c r="A9024" s="4" t="str">
        <f>HYPERLINK("http://www.rosaceae.org/Prunus/Prunus_persica/p.persica_gdr_reftransV1_0035224","p.persica_gdr_reftransV1_0035224")</f>
        <v>p.persica_gdr_reftransV1_0035224</v>
      </c>
      <c r="B9024" s="2">
        <v>4467</v>
      </c>
      <c r="C9024" s="4" t="str">
        <f>HYPERLINK("http://www.uniprot.org/uniprot/M5Y1U4","M5Y1U4")</f>
        <v>M5Y1U4</v>
      </c>
      <c r="D9024" s="2" t="s">
        <v>7860</v>
      </c>
      <c r="E9024" s="3">
        <v>0</v>
      </c>
      <c r="F9024" s="2">
        <v>4721</v>
      </c>
      <c r="G9024" s="2">
        <v>100</v>
      </c>
      <c r="H9024" s="2">
        <v>915</v>
      </c>
      <c r="I9024" s="2">
        <v>1489</v>
      </c>
      <c r="J9024" s="2">
        <v>4233</v>
      </c>
      <c r="K9024" s="2">
        <v>1</v>
      </c>
      <c r="L9024" s="2">
        <v>915</v>
      </c>
    </row>
    <row r="9025" spans="1:12" x14ac:dyDescent="0.25">
      <c r="A9025" s="4" t="str">
        <f>HYPERLINK("http://www.rosaceae.org/Prunus/Prunus_persica/p.persica_gdr_reftransV1_0039774","p.persica_gdr_reftransV1_0039774")</f>
        <v>p.persica_gdr_reftransV1_0039774</v>
      </c>
      <c r="B9025" s="2">
        <v>433</v>
      </c>
      <c r="C9025" s="4" t="str">
        <f>HYPERLINK("http://www.uniprot.org/uniprot/M5X520","M5X520")</f>
        <v>M5X520</v>
      </c>
      <c r="D9025" s="2" t="s">
        <v>6481</v>
      </c>
      <c r="E9025" s="3">
        <v>9.9300000000000005E-79</v>
      </c>
      <c r="F9025" s="2">
        <v>646</v>
      </c>
      <c r="G9025" s="2">
        <v>99</v>
      </c>
      <c r="H9025" s="2">
        <v>132</v>
      </c>
      <c r="I9025" s="2">
        <v>38</v>
      </c>
      <c r="J9025" s="2">
        <v>433</v>
      </c>
      <c r="K9025" s="2">
        <v>1</v>
      </c>
      <c r="L9025" s="2">
        <v>132</v>
      </c>
    </row>
    <row r="9026" spans="1:12" x14ac:dyDescent="0.25">
      <c r="A9026" s="4" t="str">
        <f>HYPERLINK("http://www.rosaceae.org/Prunus/Prunus_persica/p.persica_gdr_reftransV1_0040474","p.persica_gdr_reftransV1_0040474")</f>
        <v>p.persica_gdr_reftransV1_0040474</v>
      </c>
      <c r="B9026" s="2">
        <v>1848</v>
      </c>
      <c r="C9026" s="4" t="str">
        <f>HYPERLINK("http://www.uniprot.org/uniprot/M5VUA6","M5VUA6")</f>
        <v>M5VUA6</v>
      </c>
      <c r="D9026" s="2" t="s">
        <v>7861</v>
      </c>
      <c r="E9026" s="3">
        <v>0</v>
      </c>
      <c r="F9026" s="2">
        <v>2056</v>
      </c>
      <c r="G9026" s="2">
        <v>89</v>
      </c>
      <c r="H9026" s="2">
        <v>453</v>
      </c>
      <c r="I9026" s="2">
        <v>373</v>
      </c>
      <c r="J9026" s="2">
        <v>1731</v>
      </c>
      <c r="K9026" s="2">
        <v>152</v>
      </c>
      <c r="L9026" s="2">
        <v>552</v>
      </c>
    </row>
    <row r="9027" spans="1:12" x14ac:dyDescent="0.25">
      <c r="A9027" s="4" t="str">
        <f>HYPERLINK("http://www.rosaceae.org/Prunus/Prunus_persica/p.persica_gdr_reftransV1_0040824","p.persica_gdr_reftransV1_0040824")</f>
        <v>p.persica_gdr_reftransV1_0040824</v>
      </c>
      <c r="B9027" s="2">
        <v>2780</v>
      </c>
      <c r="C9027" s="4" t="str">
        <f>HYPERLINK("http://www.uniprot.org/uniprot/M5XEE4","M5XEE4")</f>
        <v>M5XEE4</v>
      </c>
      <c r="D9027" s="2" t="s">
        <v>7862</v>
      </c>
      <c r="E9027" s="3">
        <v>2.33E-124</v>
      </c>
      <c r="F9027" s="2">
        <v>1011</v>
      </c>
      <c r="G9027" s="2">
        <v>96</v>
      </c>
      <c r="H9027" s="2">
        <v>195</v>
      </c>
      <c r="I9027" s="2">
        <v>1203</v>
      </c>
      <c r="J9027" s="2">
        <v>1787</v>
      </c>
      <c r="K9027" s="2">
        <v>1</v>
      </c>
      <c r="L9027" s="2">
        <v>195</v>
      </c>
    </row>
    <row r="9028" spans="1:12" x14ac:dyDescent="0.25">
      <c r="A9028" s="4" t="str">
        <f>HYPERLINK("http://www.rosaceae.org/Prunus/Prunus_persica/p.persica_gdr_reftransV1_0043274","p.persica_gdr_reftransV1_0043274")</f>
        <v>p.persica_gdr_reftransV1_0043274</v>
      </c>
      <c r="B9028" s="2">
        <v>2577</v>
      </c>
      <c r="C9028" s="4" t="str">
        <f>HYPERLINK("http://www.uniprot.org/uniprot/M5WBT5","M5WBT5")</f>
        <v>M5WBT5</v>
      </c>
      <c r="D9028" s="2" t="s">
        <v>5898</v>
      </c>
      <c r="E9028" s="3">
        <v>3.2399999999999997E-129</v>
      </c>
      <c r="F9028" s="2">
        <v>1023</v>
      </c>
      <c r="G9028" s="2">
        <v>100</v>
      </c>
      <c r="H9028" s="2">
        <v>222</v>
      </c>
      <c r="I9028" s="2">
        <v>373</v>
      </c>
      <c r="J9028" s="2">
        <v>1038</v>
      </c>
      <c r="K9028" s="2">
        <v>1</v>
      </c>
      <c r="L9028" s="2">
        <v>222</v>
      </c>
    </row>
    <row r="9029" spans="1:12" x14ac:dyDescent="0.25">
      <c r="A9029" s="4" t="str">
        <f>HYPERLINK("http://www.rosaceae.org/Prunus/Prunus_persica/p.persica_gdr_reftransV1_0043624","p.persica_gdr_reftransV1_0043624")</f>
        <v>p.persica_gdr_reftransV1_0043624</v>
      </c>
      <c r="B9029" s="2">
        <v>1737</v>
      </c>
      <c r="C9029" s="4" t="str">
        <f>HYPERLINK("http://www.uniprot.org/uniprot/M5W8Y6","M5W8Y6")</f>
        <v>M5W8Y6</v>
      </c>
      <c r="D9029" s="2" t="s">
        <v>7863</v>
      </c>
      <c r="E9029" s="3">
        <v>0</v>
      </c>
      <c r="F9029" s="2">
        <v>1906</v>
      </c>
      <c r="G9029" s="2">
        <v>93</v>
      </c>
      <c r="H9029" s="2">
        <v>439</v>
      </c>
      <c r="I9029" s="2">
        <v>188</v>
      </c>
      <c r="J9029" s="2">
        <v>1504</v>
      </c>
      <c r="K9029" s="2">
        <v>18</v>
      </c>
      <c r="L9029" s="2">
        <v>435</v>
      </c>
    </row>
    <row r="9030" spans="1:12" x14ac:dyDescent="0.25">
      <c r="A9030" s="4" t="str">
        <f>HYPERLINK("http://www.rosaceae.org/Prunus/Prunus_persica/p.persica_gdr_reftransV1_0043974","p.persica_gdr_reftransV1_0043974")</f>
        <v>p.persica_gdr_reftransV1_0043974</v>
      </c>
      <c r="B9030" s="2">
        <v>669</v>
      </c>
      <c r="C9030" s="4" t="str">
        <f>HYPERLINK("http://www.uniprot.org/uniprot/A0A067K7I4","A0A067K7I4")</f>
        <v>A0A067K7I4</v>
      </c>
      <c r="D9030" s="2" t="s">
        <v>7864</v>
      </c>
      <c r="E9030" s="3">
        <v>5.4300000000000002E-52</v>
      </c>
      <c r="F9030" s="2">
        <v>447</v>
      </c>
      <c r="G9030" s="2">
        <v>83</v>
      </c>
      <c r="H9030" s="2">
        <v>103</v>
      </c>
      <c r="I9030" s="2">
        <v>48</v>
      </c>
      <c r="J9030" s="2">
        <v>356</v>
      </c>
      <c r="K9030" s="2">
        <v>56</v>
      </c>
      <c r="L9030" s="2">
        <v>158</v>
      </c>
    </row>
    <row r="9031" spans="1:12" x14ac:dyDescent="0.25">
      <c r="A9031" s="4" t="str">
        <f>HYPERLINK("http://www.rosaceae.org/Prunus/Prunus_persica/p.persica_gdr_reftransV1_0044324","p.persica_gdr_reftransV1_0044324")</f>
        <v>p.persica_gdr_reftransV1_0044324</v>
      </c>
      <c r="B9031" s="2">
        <v>1205</v>
      </c>
      <c r="C9031" s="4" t="str">
        <f>HYPERLINK("http://www.uniprot.org/uniprot/M5XAF6","M5XAF6")</f>
        <v>M5XAF6</v>
      </c>
      <c r="D9031" s="2" t="s">
        <v>7865</v>
      </c>
      <c r="E9031" s="3">
        <v>1.5800000000000001E-117</v>
      </c>
      <c r="F9031" s="2">
        <v>913</v>
      </c>
      <c r="G9031" s="2">
        <v>100</v>
      </c>
      <c r="H9031" s="2">
        <v>196</v>
      </c>
      <c r="I9031" s="2">
        <v>617</v>
      </c>
      <c r="J9031" s="2">
        <v>1204</v>
      </c>
      <c r="K9031" s="2">
        <v>94</v>
      </c>
      <c r="L9031" s="2">
        <v>289</v>
      </c>
    </row>
    <row r="9032" spans="1:12" x14ac:dyDescent="0.25">
      <c r="A9032" s="4" t="str">
        <f>HYPERLINK("http://www.rosaceae.org/Prunus/Prunus_persica/p.persica_gdr_reftransV1_0044674","p.persica_gdr_reftransV1_0044674")</f>
        <v>p.persica_gdr_reftransV1_0044674</v>
      </c>
      <c r="B9032" s="2">
        <v>872</v>
      </c>
      <c r="C9032" s="4" t="str">
        <f>HYPERLINK("http://www.uniprot.org/uniprot/A0A091TBN7","A0A091TBN7")</f>
        <v>A0A091TBN7</v>
      </c>
      <c r="D9032" s="2" t="s">
        <v>7866</v>
      </c>
      <c r="E9032" s="3">
        <v>0</v>
      </c>
      <c r="F9032" s="2">
        <v>1424</v>
      </c>
      <c r="G9032" s="2">
        <v>100</v>
      </c>
      <c r="H9032" s="2">
        <v>264</v>
      </c>
      <c r="I9032" s="2">
        <v>81</v>
      </c>
      <c r="J9032" s="2">
        <v>872</v>
      </c>
      <c r="K9032" s="2">
        <v>26</v>
      </c>
      <c r="L9032" s="2">
        <v>289</v>
      </c>
    </row>
    <row r="9033" spans="1:12" x14ac:dyDescent="0.25">
      <c r="A9033" s="4" t="str">
        <f>HYPERLINK("http://www.rosaceae.org/Prunus/Prunus_persica/p.persica_gdr_reftransV1_0045024","p.persica_gdr_reftransV1_0045024")</f>
        <v>p.persica_gdr_reftransV1_0045024</v>
      </c>
      <c r="B9033" s="2">
        <v>1120</v>
      </c>
      <c r="C9033" s="4" t="str">
        <f>HYPERLINK("http://www.uniprot.org/uniprot/M5XPP3","M5XPP3")</f>
        <v>M5XPP3</v>
      </c>
      <c r="D9033" s="2" t="s">
        <v>7867</v>
      </c>
      <c r="E9033" s="3">
        <v>0</v>
      </c>
      <c r="F9033" s="2">
        <v>1591</v>
      </c>
      <c r="G9033" s="2">
        <v>92</v>
      </c>
      <c r="H9033" s="2">
        <v>369</v>
      </c>
      <c r="I9033" s="2">
        <v>18</v>
      </c>
      <c r="J9033" s="2">
        <v>1118</v>
      </c>
      <c r="K9033" s="2">
        <v>1</v>
      </c>
      <c r="L9033" s="2">
        <v>369</v>
      </c>
    </row>
    <row r="9034" spans="1:12" x14ac:dyDescent="0.25">
      <c r="A9034" s="4" t="str">
        <f>HYPERLINK("http://www.rosaceae.org/Prunus/Prunus_persica/p.persica_gdr_reftransV1_0045374","p.persica_gdr_reftransV1_0045374")</f>
        <v>p.persica_gdr_reftransV1_0045374</v>
      </c>
      <c r="B9034" s="2">
        <v>309</v>
      </c>
      <c r="C9034" s="4" t="str">
        <f>HYPERLINK("http://www.uniprot.org/uniprot/M5VKE9","M5VKE9")</f>
        <v>M5VKE9</v>
      </c>
      <c r="D9034" s="2" t="s">
        <v>753</v>
      </c>
      <c r="E9034" s="3">
        <v>9.8400000000000004E-66</v>
      </c>
      <c r="F9034" s="2">
        <v>577</v>
      </c>
      <c r="G9034" s="2">
        <v>100</v>
      </c>
      <c r="H9034" s="2">
        <v>102</v>
      </c>
      <c r="I9034" s="2">
        <v>2</v>
      </c>
      <c r="J9034" s="2">
        <v>307</v>
      </c>
      <c r="K9034" s="2">
        <v>1484</v>
      </c>
      <c r="L9034" s="2">
        <v>1585</v>
      </c>
    </row>
    <row r="9035" spans="1:12" x14ac:dyDescent="0.25">
      <c r="A9035" s="4" t="str">
        <f>HYPERLINK("http://www.rosaceae.org/Prunus/Prunus_persica/p.persica_gdr_reftransV1_0045724","p.persica_gdr_reftransV1_0045724")</f>
        <v>p.persica_gdr_reftransV1_0045724</v>
      </c>
      <c r="B9035" s="2">
        <v>2315</v>
      </c>
      <c r="C9035" s="4" t="str">
        <f>HYPERLINK("http://www.uniprot.org/uniprot/M5X1K0","M5X1K0")</f>
        <v>M5X1K0</v>
      </c>
      <c r="D9035" s="2" t="s">
        <v>7868</v>
      </c>
      <c r="E9035" s="3">
        <v>0</v>
      </c>
      <c r="F9035" s="2">
        <v>2080</v>
      </c>
      <c r="G9035" s="2">
        <v>100</v>
      </c>
      <c r="H9035" s="2">
        <v>422</v>
      </c>
      <c r="I9035" s="2">
        <v>709</v>
      </c>
      <c r="J9035" s="2">
        <v>1974</v>
      </c>
      <c r="K9035" s="2">
        <v>1</v>
      </c>
      <c r="L9035" s="2">
        <v>422</v>
      </c>
    </row>
    <row r="9036" spans="1:12" x14ac:dyDescent="0.25">
      <c r="A9036" s="4" t="str">
        <f>HYPERLINK("http://www.rosaceae.org/Prunus/Prunus_persica/p.persica_gdr_reftransV1_0046774","p.persica_gdr_reftransV1_0046774")</f>
        <v>p.persica_gdr_reftransV1_0046774</v>
      </c>
      <c r="B9036" s="2">
        <v>931</v>
      </c>
      <c r="C9036" s="4" t="str">
        <f>HYPERLINK("http://www.uniprot.org/uniprot/M5WVQ2","M5WVQ2")</f>
        <v>M5WVQ2</v>
      </c>
      <c r="D9036" s="2" t="s">
        <v>7869</v>
      </c>
      <c r="E9036" s="3">
        <v>1.9700000000000001E-87</v>
      </c>
      <c r="F9036" s="2">
        <v>688</v>
      </c>
      <c r="G9036" s="2">
        <v>100</v>
      </c>
      <c r="H9036" s="2">
        <v>129</v>
      </c>
      <c r="I9036" s="2">
        <v>290</v>
      </c>
      <c r="J9036" s="2">
        <v>676</v>
      </c>
      <c r="K9036" s="2">
        <v>1</v>
      </c>
      <c r="L9036" s="2">
        <v>129</v>
      </c>
    </row>
    <row r="9037" spans="1:12" x14ac:dyDescent="0.25">
      <c r="A9037" s="4" t="str">
        <f>HYPERLINK("http://www.rosaceae.org/Prunus/Prunus_persica/p.persica_gdr_reftransV1_0047474","p.persica_gdr_reftransV1_0047474")</f>
        <v>p.persica_gdr_reftransV1_0047474</v>
      </c>
      <c r="B9037" s="2">
        <v>365</v>
      </c>
      <c r="C9037" s="4" t="str">
        <f>HYPERLINK("http://www.uniprot.org/uniprot/M5XIW4","M5XIW4")</f>
        <v>M5XIW4</v>
      </c>
      <c r="D9037" s="2" t="s">
        <v>7870</v>
      </c>
      <c r="E9037" s="3">
        <v>9.6900000000000005E-66</v>
      </c>
      <c r="F9037" s="2">
        <v>549</v>
      </c>
      <c r="G9037" s="2">
        <v>100</v>
      </c>
      <c r="H9037" s="2">
        <v>98</v>
      </c>
      <c r="I9037" s="2">
        <v>16</v>
      </c>
      <c r="J9037" s="2">
        <v>309</v>
      </c>
      <c r="K9037" s="2">
        <v>308</v>
      </c>
      <c r="L9037" s="2">
        <v>405</v>
      </c>
    </row>
    <row r="9038" spans="1:12" x14ac:dyDescent="0.25">
      <c r="A9038" s="4" t="str">
        <f>HYPERLINK("http://www.rosaceae.org/Prunus/Prunus_persica/p.persica_gdr_reftransV1_0047824","p.persica_gdr_reftransV1_0047824")</f>
        <v>p.persica_gdr_reftransV1_0047824</v>
      </c>
      <c r="B9038" s="2">
        <v>998</v>
      </c>
      <c r="C9038" s="4" t="str">
        <f>HYPERLINK("http://www.uniprot.org/uniprot/M5W128","M5W128")</f>
        <v>M5W128</v>
      </c>
      <c r="D9038" s="2" t="s">
        <v>6976</v>
      </c>
      <c r="E9038" s="3">
        <v>5.4200000000000001E-118</v>
      </c>
      <c r="F9038" s="2">
        <v>901</v>
      </c>
      <c r="G9038" s="2">
        <v>100</v>
      </c>
      <c r="H9038" s="2">
        <v>217</v>
      </c>
      <c r="I9038" s="2">
        <v>178</v>
      </c>
      <c r="J9038" s="2">
        <v>828</v>
      </c>
      <c r="K9038" s="2">
        <v>1</v>
      </c>
      <c r="L9038" s="2">
        <v>217</v>
      </c>
    </row>
    <row r="9039" spans="1:12" x14ac:dyDescent="0.25">
      <c r="A9039" s="4" t="str">
        <f>HYPERLINK("http://www.rosaceae.org/Prunus/Prunus_persica/p.persica_gdr_reftransV1_0048174","p.persica_gdr_reftransV1_0048174")</f>
        <v>p.persica_gdr_reftransV1_0048174</v>
      </c>
      <c r="B9039" s="2">
        <v>2854</v>
      </c>
      <c r="C9039" s="4" t="str">
        <f>HYPERLINK("http://www.uniprot.org/uniprot/M5WZQ1","M5WZQ1")</f>
        <v>M5WZQ1</v>
      </c>
      <c r="D9039" s="2" t="s">
        <v>7871</v>
      </c>
      <c r="E9039" s="3">
        <v>0</v>
      </c>
      <c r="F9039" s="2">
        <v>2514</v>
      </c>
      <c r="G9039" s="2">
        <v>100</v>
      </c>
      <c r="H9039" s="2">
        <v>482</v>
      </c>
      <c r="I9039" s="2">
        <v>1005</v>
      </c>
      <c r="J9039" s="2">
        <v>2450</v>
      </c>
      <c r="K9039" s="2">
        <v>1</v>
      </c>
      <c r="L9039" s="2">
        <v>482</v>
      </c>
    </row>
    <row r="9040" spans="1:12" x14ac:dyDescent="0.25">
      <c r="A9040" s="4" t="str">
        <f>HYPERLINK("http://www.rosaceae.org/Prunus/Prunus_persica/p.persica_gdr_reftransV1_0048524","p.persica_gdr_reftransV1_0048524")</f>
        <v>p.persica_gdr_reftransV1_0048524</v>
      </c>
      <c r="B9040" s="2">
        <v>959</v>
      </c>
      <c r="C9040" s="4" t="str">
        <f>HYPERLINK("http://www.uniprot.org/uniprot/M5XIM0","M5XIM0")</f>
        <v>M5XIM0</v>
      </c>
      <c r="D9040" s="2" t="s">
        <v>7872</v>
      </c>
      <c r="E9040" s="3">
        <v>1.9999999999999999E-129</v>
      </c>
      <c r="F9040" s="2">
        <v>972</v>
      </c>
      <c r="G9040" s="2">
        <v>100</v>
      </c>
      <c r="H9040" s="2">
        <v>182</v>
      </c>
      <c r="I9040" s="2">
        <v>329</v>
      </c>
      <c r="J9040" s="2">
        <v>874</v>
      </c>
      <c r="K9040" s="2">
        <v>1</v>
      </c>
      <c r="L9040" s="2">
        <v>182</v>
      </c>
    </row>
    <row r="9041" spans="1:12" x14ac:dyDescent="0.25">
      <c r="A9041" s="4" t="str">
        <f>HYPERLINK("http://www.rosaceae.org/Prunus/Prunus_persica/p.persica_gdr_reftransV1_0048874","p.persica_gdr_reftransV1_0048874")</f>
        <v>p.persica_gdr_reftransV1_0048874</v>
      </c>
      <c r="B9041" s="2">
        <v>1349</v>
      </c>
      <c r="C9041" s="4" t="str">
        <f>HYPERLINK("http://www.uniprot.org/uniprot/A0A068B255","A0A068B255")</f>
        <v>A0A068B255</v>
      </c>
      <c r="D9041" s="2" t="s">
        <v>7873</v>
      </c>
      <c r="E9041" s="3">
        <v>0</v>
      </c>
      <c r="F9041" s="2">
        <v>1351</v>
      </c>
      <c r="G9041" s="2">
        <v>96</v>
      </c>
      <c r="H9041" s="2">
        <v>262</v>
      </c>
      <c r="I9041" s="2">
        <v>564</v>
      </c>
      <c r="J9041" s="2">
        <v>1349</v>
      </c>
      <c r="K9041" s="2">
        <v>162</v>
      </c>
      <c r="L9041" s="2">
        <v>423</v>
      </c>
    </row>
    <row r="9042" spans="1:12" x14ac:dyDescent="0.25">
      <c r="A9042" s="4" t="str">
        <f>HYPERLINK("http://www.rosaceae.org/Prunus/Prunus_persica/p.persica_gdr_reftransV1_0000575","p.persica_gdr_reftransV1_0000575")</f>
        <v>p.persica_gdr_reftransV1_0000575</v>
      </c>
      <c r="B9042" s="2">
        <v>1173</v>
      </c>
      <c r="C9042" s="4" t="str">
        <f>HYPERLINK("http://www.uniprot.org/uniprot/M5W461","M5W461")</f>
        <v>M5W461</v>
      </c>
      <c r="D9042" s="2" t="s">
        <v>7874</v>
      </c>
      <c r="E9042" s="3">
        <v>2.43E-130</v>
      </c>
      <c r="F9042" s="2">
        <v>991</v>
      </c>
      <c r="G9042" s="2">
        <v>99</v>
      </c>
      <c r="H9042" s="2">
        <v>233</v>
      </c>
      <c r="I9042" s="2">
        <v>389</v>
      </c>
      <c r="J9042" s="2">
        <v>1087</v>
      </c>
      <c r="K9042" s="2">
        <v>4</v>
      </c>
      <c r="L9042" s="2">
        <v>236</v>
      </c>
    </row>
    <row r="9043" spans="1:12" x14ac:dyDescent="0.25">
      <c r="A9043" s="4" t="str">
        <f>HYPERLINK("http://www.rosaceae.org/Prunus/Prunus_persica/p.persica_gdr_reftransV1_0000925","p.persica_gdr_reftransV1_0000925")</f>
        <v>p.persica_gdr_reftransV1_0000925</v>
      </c>
      <c r="B9043" s="2">
        <v>1127</v>
      </c>
      <c r="C9043" s="4" t="str">
        <f>HYPERLINK("http://www.uniprot.org/uniprot/M5WGL5","M5WGL5")</f>
        <v>M5WGL5</v>
      </c>
      <c r="D9043" s="2" t="s">
        <v>7875</v>
      </c>
      <c r="E9043" s="3">
        <v>7.7800000000000001E-141</v>
      </c>
      <c r="F9043" s="2">
        <v>1056</v>
      </c>
      <c r="G9043" s="2">
        <v>100</v>
      </c>
      <c r="H9043" s="2">
        <v>216</v>
      </c>
      <c r="I9043" s="2">
        <v>31</v>
      </c>
      <c r="J9043" s="2">
        <v>678</v>
      </c>
      <c r="K9043" s="2">
        <v>1</v>
      </c>
      <c r="L9043" s="2">
        <v>216</v>
      </c>
    </row>
    <row r="9044" spans="1:12" x14ac:dyDescent="0.25">
      <c r="A9044" s="4" t="str">
        <f>HYPERLINK("http://www.rosaceae.org/Prunus/Prunus_persica/p.persica_gdr_reftransV1_0001275","p.persica_gdr_reftransV1_0001275")</f>
        <v>p.persica_gdr_reftransV1_0001275</v>
      </c>
      <c r="B9044" s="2">
        <v>1493</v>
      </c>
      <c r="C9044" s="4" t="str">
        <f>HYPERLINK("http://www.uniprot.org/uniprot/M5X605","M5X605")</f>
        <v>M5X605</v>
      </c>
      <c r="D9044" s="2" t="s">
        <v>7189</v>
      </c>
      <c r="E9044" s="3">
        <v>2.2400000000000002E-161</v>
      </c>
      <c r="F9044" s="2">
        <v>1212</v>
      </c>
      <c r="G9044" s="2">
        <v>100</v>
      </c>
      <c r="H9044" s="2">
        <v>247</v>
      </c>
      <c r="I9044" s="2">
        <v>180</v>
      </c>
      <c r="J9044" s="2">
        <v>920</v>
      </c>
      <c r="K9044" s="2">
        <v>36</v>
      </c>
      <c r="L9044" s="2">
        <v>282</v>
      </c>
    </row>
    <row r="9045" spans="1:12" x14ac:dyDescent="0.25">
      <c r="A9045" s="4" t="str">
        <f>HYPERLINK("http://www.rosaceae.org/Prunus/Prunus_persica/p.persica_gdr_reftransV1_0001625","p.persica_gdr_reftransV1_0001625")</f>
        <v>p.persica_gdr_reftransV1_0001625</v>
      </c>
      <c r="B9045" s="2">
        <v>1518</v>
      </c>
      <c r="C9045" s="4" t="str">
        <f>HYPERLINK("http://www.uniprot.org/uniprot/M5XQS3","M5XQS3")</f>
        <v>M5XQS3</v>
      </c>
      <c r="D9045" s="2" t="s">
        <v>7876</v>
      </c>
      <c r="E9045" s="3">
        <v>1.51E-9</v>
      </c>
      <c r="F9045" s="2">
        <v>163</v>
      </c>
      <c r="G9045" s="2">
        <v>100</v>
      </c>
      <c r="H9045" s="2">
        <v>32</v>
      </c>
      <c r="I9045" s="2">
        <v>1229</v>
      </c>
      <c r="J9045" s="2">
        <v>1324</v>
      </c>
      <c r="K9045" s="2">
        <v>160</v>
      </c>
      <c r="L9045" s="2">
        <v>191</v>
      </c>
    </row>
    <row r="9046" spans="1:12" x14ac:dyDescent="0.25">
      <c r="A9046" s="4" t="str">
        <f>HYPERLINK("http://www.rosaceae.org/Prunus/Prunus_persica/p.persica_gdr_reftransV1_0001975","p.persica_gdr_reftransV1_0001975")</f>
        <v>p.persica_gdr_reftransV1_0001975</v>
      </c>
      <c r="B9046" s="2">
        <v>3200</v>
      </c>
      <c r="C9046" s="4" t="str">
        <f>HYPERLINK("http://www.uniprot.org/uniprot/M5W079","M5W079")</f>
        <v>M5W079</v>
      </c>
      <c r="D9046" s="2" t="s">
        <v>7877</v>
      </c>
      <c r="E9046" s="3">
        <v>0</v>
      </c>
      <c r="F9046" s="2">
        <v>4798</v>
      </c>
      <c r="G9046" s="2">
        <v>100</v>
      </c>
      <c r="H9046" s="2">
        <v>917</v>
      </c>
      <c r="I9046" s="2">
        <v>172</v>
      </c>
      <c r="J9046" s="2">
        <v>2922</v>
      </c>
      <c r="K9046" s="2">
        <v>1</v>
      </c>
      <c r="L9046" s="2">
        <v>917</v>
      </c>
    </row>
    <row r="9047" spans="1:12" x14ac:dyDescent="0.25">
      <c r="A9047" s="4" t="str">
        <f>HYPERLINK("http://www.rosaceae.org/Prunus/Prunus_persica/p.persica_gdr_reftransV1_0002325","p.persica_gdr_reftransV1_0002325")</f>
        <v>p.persica_gdr_reftransV1_0002325</v>
      </c>
      <c r="B9047" s="2">
        <v>2559</v>
      </c>
      <c r="C9047" s="4" t="str">
        <f>HYPERLINK("http://www.uniprot.org/uniprot/M5WF21","M5WF21")</f>
        <v>M5WF21</v>
      </c>
      <c r="D9047" s="2" t="s">
        <v>7878</v>
      </c>
      <c r="E9047" s="3">
        <v>0</v>
      </c>
      <c r="F9047" s="2">
        <v>1520</v>
      </c>
      <c r="G9047" s="2">
        <v>99</v>
      </c>
      <c r="H9047" s="2">
        <v>326</v>
      </c>
      <c r="I9047" s="2">
        <v>4</v>
      </c>
      <c r="J9047" s="2">
        <v>981</v>
      </c>
      <c r="K9047" s="2">
        <v>81</v>
      </c>
      <c r="L9047" s="2">
        <v>406</v>
      </c>
    </row>
    <row r="9048" spans="1:12" x14ac:dyDescent="0.25">
      <c r="A9048" s="4" t="str">
        <f>HYPERLINK("http://www.rosaceae.org/Prunus/Prunus_persica/p.persica_gdr_reftransV1_0002675","p.persica_gdr_reftransV1_0002675")</f>
        <v>p.persica_gdr_reftransV1_0002675</v>
      </c>
      <c r="B9048" s="2">
        <v>1010</v>
      </c>
      <c r="C9048" s="4" t="str">
        <f>HYPERLINK("http://www.uniprot.org/uniprot/M5XT60","M5XT60")</f>
        <v>M5XT60</v>
      </c>
      <c r="D9048" s="2" t="s">
        <v>1116</v>
      </c>
      <c r="E9048" s="3">
        <v>1.8900000000000001E-126</v>
      </c>
      <c r="F9048" s="2">
        <v>953</v>
      </c>
      <c r="G9048" s="2">
        <v>100</v>
      </c>
      <c r="H9048" s="2">
        <v>178</v>
      </c>
      <c r="I9048" s="2">
        <v>129</v>
      </c>
      <c r="J9048" s="2">
        <v>662</v>
      </c>
      <c r="K9048" s="2">
        <v>1</v>
      </c>
      <c r="L9048" s="2">
        <v>178</v>
      </c>
    </row>
    <row r="9049" spans="1:12" x14ac:dyDescent="0.25">
      <c r="A9049" s="4" t="str">
        <f>HYPERLINK("http://www.rosaceae.org/Prunus/Prunus_persica/p.persica_gdr_reftransV1_0003025","p.persica_gdr_reftransV1_0003025")</f>
        <v>p.persica_gdr_reftransV1_0003025</v>
      </c>
      <c r="B9049" s="2">
        <v>480</v>
      </c>
      <c r="C9049" s="4" t="str">
        <f>HYPERLINK("http://www.uniprot.org/uniprot/A0A0D2YGJ6","A0A0D2YGJ6")</f>
        <v>A0A0D2YGJ6</v>
      </c>
      <c r="D9049" s="2" t="s">
        <v>7879</v>
      </c>
      <c r="E9049" s="3">
        <v>1.1000000000000001E-107</v>
      </c>
      <c r="F9049" s="2">
        <v>854</v>
      </c>
      <c r="G9049" s="2">
        <v>100</v>
      </c>
      <c r="H9049" s="2">
        <v>159</v>
      </c>
      <c r="I9049" s="2">
        <v>2</v>
      </c>
      <c r="J9049" s="2">
        <v>478</v>
      </c>
      <c r="K9049" s="2">
        <v>264</v>
      </c>
      <c r="L9049" s="2">
        <v>422</v>
      </c>
    </row>
    <row r="9050" spans="1:12" x14ac:dyDescent="0.25">
      <c r="A9050" s="4" t="str">
        <f>HYPERLINK("http://www.rosaceae.org/Prunus/Prunus_persica/p.persica_gdr_reftransV1_0003375","p.persica_gdr_reftransV1_0003375")</f>
        <v>p.persica_gdr_reftransV1_0003375</v>
      </c>
      <c r="B9050" s="2">
        <v>874</v>
      </c>
      <c r="C9050" s="4" t="str">
        <f>HYPERLINK("http://www.uniprot.org/uniprot/M5Xid7","M5Xid7")</f>
        <v>M5Xid7</v>
      </c>
      <c r="D9050" s="2" t="s">
        <v>7880</v>
      </c>
      <c r="E9050" s="3">
        <v>2.69E-128</v>
      </c>
      <c r="F9050" s="2">
        <v>965</v>
      </c>
      <c r="G9050" s="2">
        <v>100</v>
      </c>
      <c r="H9050" s="2">
        <v>223</v>
      </c>
      <c r="I9050" s="2">
        <v>76</v>
      </c>
      <c r="J9050" s="2">
        <v>744</v>
      </c>
      <c r="K9050" s="2">
        <v>1</v>
      </c>
      <c r="L9050" s="2">
        <v>223</v>
      </c>
    </row>
    <row r="9051" spans="1:12" x14ac:dyDescent="0.25">
      <c r="A9051" s="4" t="str">
        <f>HYPERLINK("http://www.rosaceae.org/Prunus/Prunus_persica/p.persica_gdr_reftransV1_0003725","p.persica_gdr_reftransV1_0003725")</f>
        <v>p.persica_gdr_reftransV1_0003725</v>
      </c>
      <c r="B9051" s="2">
        <v>1113</v>
      </c>
      <c r="C9051" s="4" t="str">
        <f>HYPERLINK("http://www.uniprot.org/uniprot/M5W6M7","M5W6M7")</f>
        <v>M5W6M7</v>
      </c>
      <c r="D9051" s="2" t="s">
        <v>7881</v>
      </c>
      <c r="E9051" s="3">
        <v>1.5700000000000001E-168</v>
      </c>
      <c r="F9051" s="2">
        <v>1241</v>
      </c>
      <c r="G9051" s="2">
        <v>100</v>
      </c>
      <c r="H9051" s="2">
        <v>237</v>
      </c>
      <c r="I9051" s="2">
        <v>101</v>
      </c>
      <c r="J9051" s="2">
        <v>811</v>
      </c>
      <c r="K9051" s="2">
        <v>1</v>
      </c>
      <c r="L9051" s="2">
        <v>237</v>
      </c>
    </row>
    <row r="9052" spans="1:12" x14ac:dyDescent="0.25">
      <c r="A9052" s="4" t="str">
        <f>HYPERLINK("http://www.rosaceae.org/Prunus/Prunus_persica/p.persica_gdr_reftransV1_0004075","p.persica_gdr_reftransV1_0004075")</f>
        <v>p.persica_gdr_reftransV1_0004075</v>
      </c>
      <c r="B9052" s="2">
        <v>1846</v>
      </c>
      <c r="C9052" s="4" t="str">
        <f>HYPERLINK("http://www.uniprot.org/uniprot/M5X7R3","M5X7R3")</f>
        <v>M5X7R3</v>
      </c>
      <c r="D9052" s="2" t="s">
        <v>7882</v>
      </c>
      <c r="E9052" s="3">
        <v>0</v>
      </c>
      <c r="F9052" s="2">
        <v>2415</v>
      </c>
      <c r="G9052" s="2">
        <v>100</v>
      </c>
      <c r="H9052" s="2">
        <v>490</v>
      </c>
      <c r="I9052" s="2">
        <v>194</v>
      </c>
      <c r="J9052" s="2">
        <v>1663</v>
      </c>
      <c r="K9052" s="2">
        <v>1</v>
      </c>
      <c r="L9052" s="2">
        <v>490</v>
      </c>
    </row>
    <row r="9053" spans="1:12" x14ac:dyDescent="0.25">
      <c r="A9053" s="4" t="str">
        <f>HYPERLINK("http://www.rosaceae.org/Prunus/Prunus_persica/p.persica_gdr_reftransV1_0004425","p.persica_gdr_reftransV1_0004425")</f>
        <v>p.persica_gdr_reftransV1_0004425</v>
      </c>
      <c r="B9053" s="2">
        <v>642</v>
      </c>
      <c r="C9053" s="4" t="str">
        <f>HYPERLINK("http://www.uniprot.org/uniprot/M5XQW6","M5XQW6")</f>
        <v>M5XQW6</v>
      </c>
      <c r="D9053" s="2" t="s">
        <v>7883</v>
      </c>
      <c r="E9053" s="3">
        <v>5.9399999999999999E-114</v>
      </c>
      <c r="F9053" s="2">
        <v>886</v>
      </c>
      <c r="G9053" s="2">
        <v>84</v>
      </c>
      <c r="H9053" s="2">
        <v>214</v>
      </c>
      <c r="I9053" s="2">
        <v>1</v>
      </c>
      <c r="J9053" s="2">
        <v>642</v>
      </c>
      <c r="K9053" s="2">
        <v>56</v>
      </c>
      <c r="L9053" s="2">
        <v>234</v>
      </c>
    </row>
    <row r="9054" spans="1:12" x14ac:dyDescent="0.25">
      <c r="A9054" s="4" t="str">
        <f>HYPERLINK("http://www.rosaceae.org/Prunus/Prunus_persica/p.persica_gdr_reftransV1_0004775","p.persica_gdr_reftransV1_0004775")</f>
        <v>p.persica_gdr_reftransV1_0004775</v>
      </c>
      <c r="B9054" s="2">
        <v>1224</v>
      </c>
      <c r="C9054" s="4" t="str">
        <f>HYPERLINK("http://www.uniprot.org/uniprot/M5WT02","M5WT02")</f>
        <v>M5WT02</v>
      </c>
      <c r="D9054" s="2" t="s">
        <v>7884</v>
      </c>
      <c r="E9054" s="3">
        <v>2.6100000000000001E-54</v>
      </c>
      <c r="F9054" s="2">
        <v>418</v>
      </c>
      <c r="G9054" s="2">
        <v>94</v>
      </c>
      <c r="H9054" s="2">
        <v>83</v>
      </c>
      <c r="I9054" s="2">
        <v>531</v>
      </c>
      <c r="J9054" s="2">
        <v>779</v>
      </c>
      <c r="K9054" s="2">
        <v>3</v>
      </c>
      <c r="L9054" s="2">
        <v>85</v>
      </c>
    </row>
    <row r="9055" spans="1:12" x14ac:dyDescent="0.25">
      <c r="A9055" s="4" t="str">
        <f>HYPERLINK("http://www.rosaceae.org/Prunus/Prunus_persica/p.persica_gdr_reftransV1_0005475","p.persica_gdr_reftransV1_0005475")</f>
        <v>p.persica_gdr_reftransV1_0005475</v>
      </c>
      <c r="B9055" s="2">
        <v>549</v>
      </c>
      <c r="C9055" s="4" t="str">
        <f>HYPERLINK("http://www.uniprot.org/uniprot/M5W6J4","M5W6J4")</f>
        <v>M5W6J4</v>
      </c>
      <c r="D9055" s="2" t="s">
        <v>3945</v>
      </c>
      <c r="E9055" s="3">
        <v>8.0600000000000002E-66</v>
      </c>
      <c r="F9055" s="2">
        <v>578</v>
      </c>
      <c r="G9055" s="2">
        <v>100</v>
      </c>
      <c r="H9055" s="2">
        <v>158</v>
      </c>
      <c r="I9055" s="2">
        <v>76</v>
      </c>
      <c r="J9055" s="2">
        <v>549</v>
      </c>
      <c r="K9055" s="2">
        <v>22</v>
      </c>
      <c r="L9055" s="2">
        <v>179</v>
      </c>
    </row>
    <row r="9056" spans="1:12" x14ac:dyDescent="0.25">
      <c r="A9056" s="4" t="str">
        <f>HYPERLINK("http://www.rosaceae.org/Prunus/Prunus_persica/p.persica_gdr_reftransV1_0006525","p.persica_gdr_reftransV1_0006525")</f>
        <v>p.persica_gdr_reftransV1_0006525</v>
      </c>
      <c r="B9056" s="2">
        <v>1871</v>
      </c>
      <c r="C9056" s="4" t="str">
        <f>HYPERLINK("http://www.uniprot.org/uniprot/M5WG18","M5WG18")</f>
        <v>M5WG18</v>
      </c>
      <c r="D9056" s="2" t="s">
        <v>7885</v>
      </c>
      <c r="E9056" s="3">
        <v>0</v>
      </c>
      <c r="F9056" s="2">
        <v>2747</v>
      </c>
      <c r="G9056" s="2">
        <v>100</v>
      </c>
      <c r="H9056" s="2">
        <v>535</v>
      </c>
      <c r="I9056" s="2">
        <v>244</v>
      </c>
      <c r="J9056" s="2">
        <v>1848</v>
      </c>
      <c r="K9056" s="2">
        <v>1</v>
      </c>
      <c r="L9056" s="2">
        <v>535</v>
      </c>
    </row>
    <row r="9057" spans="1:12" x14ac:dyDescent="0.25">
      <c r="A9057" s="4" t="str">
        <f>HYPERLINK("http://www.rosaceae.org/Prunus/Prunus_persica/p.persica_gdr_reftransV1_0006875","p.persica_gdr_reftransV1_0006875")</f>
        <v>p.persica_gdr_reftransV1_0006875</v>
      </c>
      <c r="B9057" s="2">
        <v>1482</v>
      </c>
      <c r="C9057" s="4" t="str">
        <f>HYPERLINK("http://www.uniprot.org/uniprot/M5VQ05","M5VQ05")</f>
        <v>M5VQ05</v>
      </c>
      <c r="D9057" s="2" t="s">
        <v>7886</v>
      </c>
      <c r="E9057" s="3">
        <v>0</v>
      </c>
      <c r="F9057" s="2">
        <v>1961</v>
      </c>
      <c r="G9057" s="2">
        <v>100</v>
      </c>
      <c r="H9057" s="2">
        <v>386</v>
      </c>
      <c r="I9057" s="2">
        <v>141</v>
      </c>
      <c r="J9057" s="2">
        <v>1298</v>
      </c>
      <c r="K9057" s="2">
        <v>1</v>
      </c>
      <c r="L9057" s="2">
        <v>386</v>
      </c>
    </row>
    <row r="9058" spans="1:12" x14ac:dyDescent="0.25">
      <c r="A9058" s="4" t="str">
        <f>HYPERLINK("http://www.rosaceae.org/Prunus/Prunus_persica/p.persica_gdr_reftransV1_0007225","p.persica_gdr_reftransV1_0007225")</f>
        <v>p.persica_gdr_reftransV1_0007225</v>
      </c>
      <c r="B9058" s="2">
        <v>644</v>
      </c>
      <c r="C9058" s="4" t="str">
        <f>HYPERLINK("http://www.uniprot.org/uniprot/M5XLB5","M5XLB5")</f>
        <v>M5XLB5</v>
      </c>
      <c r="D9058" s="2" t="s">
        <v>7887</v>
      </c>
      <c r="E9058" s="3">
        <v>1.8799999999999999E-63</v>
      </c>
      <c r="F9058" s="2">
        <v>519</v>
      </c>
      <c r="G9058" s="2">
        <v>100</v>
      </c>
      <c r="H9058" s="2">
        <v>123</v>
      </c>
      <c r="I9058" s="2">
        <v>223</v>
      </c>
      <c r="J9058" s="2">
        <v>591</v>
      </c>
      <c r="K9058" s="2">
        <v>1</v>
      </c>
      <c r="L9058" s="2">
        <v>123</v>
      </c>
    </row>
    <row r="9059" spans="1:12" x14ac:dyDescent="0.25">
      <c r="A9059" s="4" t="str">
        <f>HYPERLINK("http://www.rosaceae.org/Prunus/Prunus_persica/p.persica_gdr_reftransV1_0007575","p.persica_gdr_reftransV1_0007575")</f>
        <v>p.persica_gdr_reftransV1_0007575</v>
      </c>
      <c r="B9059" s="2">
        <v>1709</v>
      </c>
      <c r="C9059" s="4" t="str">
        <f>HYPERLINK("http://www.uniprot.org/uniprot/M5WVB8","M5WVB8")</f>
        <v>M5WVB8</v>
      </c>
      <c r="D9059" s="2" t="s">
        <v>7888</v>
      </c>
      <c r="E9059" s="3">
        <v>2.38E-106</v>
      </c>
      <c r="F9059" s="2">
        <v>844</v>
      </c>
      <c r="G9059" s="2">
        <v>100</v>
      </c>
      <c r="H9059" s="2">
        <v>197</v>
      </c>
      <c r="I9059" s="2">
        <v>847</v>
      </c>
      <c r="J9059" s="2">
        <v>1437</v>
      </c>
      <c r="K9059" s="2">
        <v>1</v>
      </c>
      <c r="L9059" s="2">
        <v>197</v>
      </c>
    </row>
    <row r="9060" spans="1:12" x14ac:dyDescent="0.25">
      <c r="A9060" s="4" t="str">
        <f>HYPERLINK("http://www.rosaceae.org/Prunus/Prunus_persica/p.persica_gdr_reftransV1_0007925","p.persica_gdr_reftransV1_0007925")</f>
        <v>p.persica_gdr_reftransV1_0007925</v>
      </c>
      <c r="B9060" s="2">
        <v>3437</v>
      </c>
      <c r="C9060" s="4" t="str">
        <f>HYPERLINK("http://www.uniprot.org/uniprot/B9S1J0","B9S1J0")</f>
        <v>B9S1J0</v>
      </c>
      <c r="D9060" s="2" t="s">
        <v>7889</v>
      </c>
      <c r="E9060" s="3">
        <v>0</v>
      </c>
      <c r="F9060" s="2">
        <v>3289</v>
      </c>
      <c r="G9060" s="2">
        <v>89</v>
      </c>
      <c r="H9060" s="2">
        <v>726</v>
      </c>
      <c r="I9060" s="2">
        <v>454</v>
      </c>
      <c r="J9060" s="2">
        <v>2598</v>
      </c>
      <c r="K9060" s="2">
        <v>2</v>
      </c>
      <c r="L9060" s="2">
        <v>727</v>
      </c>
    </row>
    <row r="9061" spans="1:12" x14ac:dyDescent="0.25">
      <c r="A9061" s="4" t="str">
        <f>HYPERLINK("http://www.rosaceae.org/Prunus/Prunus_persica/p.persica_gdr_reftransV1_0008625","p.persica_gdr_reftransV1_0008625")</f>
        <v>p.persica_gdr_reftransV1_0008625</v>
      </c>
      <c r="B9061" s="2">
        <v>2937</v>
      </c>
      <c r="C9061" s="4" t="str">
        <f>HYPERLINK("http://www.uniprot.org/uniprot/M5VK99","M5VK99")</f>
        <v>M5VK99</v>
      </c>
      <c r="D9061" s="2" t="s">
        <v>5713</v>
      </c>
      <c r="E9061" s="3">
        <v>0</v>
      </c>
      <c r="F9061" s="2">
        <v>3826</v>
      </c>
      <c r="G9061" s="2">
        <v>86</v>
      </c>
      <c r="H9061" s="2">
        <v>919</v>
      </c>
      <c r="I9061" s="2">
        <v>178</v>
      </c>
      <c r="J9061" s="2">
        <v>2577</v>
      </c>
      <c r="K9061" s="2">
        <v>1</v>
      </c>
      <c r="L9061" s="2">
        <v>919</v>
      </c>
    </row>
    <row r="9062" spans="1:12" x14ac:dyDescent="0.25">
      <c r="A9062" s="4" t="str">
        <f>HYPERLINK("http://www.rosaceae.org/Prunus/Prunus_persica/p.persica_gdr_reftransV1_0008975","p.persica_gdr_reftransV1_0008975")</f>
        <v>p.persica_gdr_reftransV1_0008975</v>
      </c>
      <c r="B9062" s="2">
        <v>1589</v>
      </c>
      <c r="C9062" s="4" t="str">
        <f>HYPERLINK("http://www.uniprot.org/uniprot/M5X0V9","M5X0V9")</f>
        <v>M5X0V9</v>
      </c>
      <c r="D9062" s="2" t="s">
        <v>7890</v>
      </c>
      <c r="E9062" s="3">
        <v>3.88E-111</v>
      </c>
      <c r="F9062" s="2">
        <v>869</v>
      </c>
      <c r="G9062" s="2">
        <v>100</v>
      </c>
      <c r="H9062" s="2">
        <v>165</v>
      </c>
      <c r="I9062" s="2">
        <v>994</v>
      </c>
      <c r="J9062" s="2">
        <v>1488</v>
      </c>
      <c r="K9062" s="2">
        <v>1</v>
      </c>
      <c r="L9062" s="2">
        <v>165</v>
      </c>
    </row>
    <row r="9063" spans="1:12" x14ac:dyDescent="0.25">
      <c r="A9063" s="4" t="str">
        <f>HYPERLINK("http://www.rosaceae.org/Prunus/Prunus_persica/p.persica_gdr_reftransV1_0009675","p.persica_gdr_reftransV1_0009675")</f>
        <v>p.persica_gdr_reftransV1_0009675</v>
      </c>
      <c r="B9063" s="2">
        <v>2180</v>
      </c>
      <c r="C9063" s="4" t="str">
        <f>HYPERLINK("http://www.uniprot.org/uniprot/M5X6V1","M5X6V1")</f>
        <v>M5X6V1</v>
      </c>
      <c r="D9063" s="2" t="s">
        <v>7891</v>
      </c>
      <c r="E9063" s="3">
        <v>0</v>
      </c>
      <c r="F9063" s="2">
        <v>1962</v>
      </c>
      <c r="G9063" s="2">
        <v>99</v>
      </c>
      <c r="H9063" s="2">
        <v>401</v>
      </c>
      <c r="I9063" s="2">
        <v>50</v>
      </c>
      <c r="J9063" s="2">
        <v>1252</v>
      </c>
      <c r="K9063" s="2">
        <v>1</v>
      </c>
      <c r="L9063" s="2">
        <v>401</v>
      </c>
    </row>
    <row r="9064" spans="1:12" x14ac:dyDescent="0.25">
      <c r="A9064" s="4" t="str">
        <f>HYPERLINK("http://www.rosaceae.org/Prunus/Prunus_persica/p.persica_gdr_reftransV1_0010025","p.persica_gdr_reftransV1_0010025")</f>
        <v>p.persica_gdr_reftransV1_0010025</v>
      </c>
      <c r="B9064" s="2">
        <v>1781</v>
      </c>
      <c r="C9064" s="4" t="str">
        <f>HYPERLINK("http://www.uniprot.org/uniprot/M5VTY4","M5VTY4")</f>
        <v>M5VTY4</v>
      </c>
      <c r="D9064" s="2" t="s">
        <v>7892</v>
      </c>
      <c r="E9064" s="3">
        <v>0</v>
      </c>
      <c r="F9064" s="2">
        <v>2429</v>
      </c>
      <c r="G9064" s="2">
        <v>100</v>
      </c>
      <c r="H9064" s="2">
        <v>472</v>
      </c>
      <c r="I9064" s="2">
        <v>1</v>
      </c>
      <c r="J9064" s="2">
        <v>1416</v>
      </c>
      <c r="K9064" s="2">
        <v>101</v>
      </c>
      <c r="L9064" s="2">
        <v>572</v>
      </c>
    </row>
    <row r="9065" spans="1:12" x14ac:dyDescent="0.25">
      <c r="A9065" s="4" t="str">
        <f>HYPERLINK("http://www.rosaceae.org/Prunus/Prunus_persica/p.persica_gdr_reftransV1_0010725","p.persica_gdr_reftransV1_0010725")</f>
        <v>p.persica_gdr_reftransV1_0010725</v>
      </c>
      <c r="B9065" s="2">
        <v>1983</v>
      </c>
      <c r="C9065" s="4" t="str">
        <f>HYPERLINK("http://www.uniprot.org/uniprot/M5W028","M5W028")</f>
        <v>M5W028</v>
      </c>
      <c r="D9065" s="2" t="s">
        <v>3223</v>
      </c>
      <c r="E9065" s="3">
        <v>8.5300000000000001E-132</v>
      </c>
      <c r="F9065" s="2">
        <v>1024</v>
      </c>
      <c r="G9065" s="2">
        <v>100</v>
      </c>
      <c r="H9065" s="2">
        <v>191</v>
      </c>
      <c r="I9065" s="2">
        <v>323</v>
      </c>
      <c r="J9065" s="2">
        <v>895</v>
      </c>
      <c r="K9065" s="2">
        <v>1</v>
      </c>
      <c r="L9065" s="2">
        <v>191</v>
      </c>
    </row>
    <row r="9066" spans="1:12" x14ac:dyDescent="0.25">
      <c r="A9066" s="4" t="str">
        <f>HYPERLINK("http://www.rosaceae.org/Prunus/Prunus_persica/p.persica_gdr_reftransV1_0011075","p.persica_gdr_reftransV1_0011075")</f>
        <v>p.persica_gdr_reftransV1_0011075</v>
      </c>
      <c r="B9066" s="2">
        <v>2435</v>
      </c>
      <c r="C9066" s="4" t="str">
        <f>HYPERLINK("http://www.uniprot.org/uniprot/M5X222","M5X222")</f>
        <v>M5X222</v>
      </c>
      <c r="D9066" s="2" t="s">
        <v>7893</v>
      </c>
      <c r="E9066" s="3">
        <v>0</v>
      </c>
      <c r="F9066" s="2">
        <v>3237</v>
      </c>
      <c r="G9066" s="2">
        <v>96</v>
      </c>
      <c r="H9066" s="2">
        <v>705</v>
      </c>
      <c r="I9066" s="2">
        <v>278</v>
      </c>
      <c r="J9066" s="2">
        <v>2392</v>
      </c>
      <c r="K9066" s="2">
        <v>8</v>
      </c>
      <c r="L9066" s="2">
        <v>690</v>
      </c>
    </row>
    <row r="9067" spans="1:12" x14ac:dyDescent="0.25">
      <c r="A9067" s="4" t="str">
        <f>HYPERLINK("http://www.rosaceae.org/Prunus/Prunus_persica/p.persica_gdr_reftransV1_0011425","p.persica_gdr_reftransV1_0011425")</f>
        <v>p.persica_gdr_reftransV1_0011425</v>
      </c>
      <c r="B9067" s="2">
        <v>2316</v>
      </c>
      <c r="C9067" s="4" t="str">
        <f>HYPERLINK("http://www.uniprot.org/uniprot/M5XC50","M5XC50")</f>
        <v>M5XC50</v>
      </c>
      <c r="D9067" s="2" t="s">
        <v>7894</v>
      </c>
      <c r="E9067" s="3">
        <v>0</v>
      </c>
      <c r="F9067" s="2">
        <v>2392</v>
      </c>
      <c r="G9067" s="2">
        <v>100</v>
      </c>
      <c r="H9067" s="2">
        <v>470</v>
      </c>
      <c r="I9067" s="2">
        <v>280</v>
      </c>
      <c r="J9067" s="2">
        <v>1689</v>
      </c>
      <c r="K9067" s="2">
        <v>1</v>
      </c>
      <c r="L9067" s="2">
        <v>470</v>
      </c>
    </row>
    <row r="9068" spans="1:12" x14ac:dyDescent="0.25">
      <c r="A9068" s="4" t="str">
        <f>HYPERLINK("http://www.rosaceae.org/Prunus/Prunus_persica/p.persica_gdr_reftransV1_0012475","p.persica_gdr_reftransV1_0012475")</f>
        <v>p.persica_gdr_reftransV1_0012475</v>
      </c>
      <c r="B9068" s="2">
        <v>2562</v>
      </c>
      <c r="C9068" s="4" t="str">
        <f>HYPERLINK("http://www.uniprot.org/uniprot/M5VVT6","M5VVT6")</f>
        <v>M5VVT6</v>
      </c>
      <c r="D9068" s="2" t="s">
        <v>7895</v>
      </c>
      <c r="E9068" s="3">
        <v>0</v>
      </c>
      <c r="F9068" s="2">
        <v>1906</v>
      </c>
      <c r="G9068" s="2">
        <v>99</v>
      </c>
      <c r="H9068" s="2">
        <v>362</v>
      </c>
      <c r="I9068" s="2">
        <v>170</v>
      </c>
      <c r="J9068" s="2">
        <v>1255</v>
      </c>
      <c r="K9068" s="2">
        <v>95</v>
      </c>
      <c r="L9068" s="2">
        <v>456</v>
      </c>
    </row>
    <row r="9069" spans="1:12" x14ac:dyDescent="0.25">
      <c r="A9069" s="4" t="str">
        <f>HYPERLINK("http://www.rosaceae.org/Prunus/Prunus_persica/p.persica_gdr_reftransV1_0012825","p.persica_gdr_reftransV1_0012825")</f>
        <v>p.persica_gdr_reftransV1_0012825</v>
      </c>
      <c r="B9069" s="2">
        <v>1544</v>
      </c>
      <c r="C9069" s="4" t="str">
        <f>HYPERLINK("http://www.uniprot.org/uniprot/M5X0F2","M5X0F2")</f>
        <v>M5X0F2</v>
      </c>
      <c r="D9069" s="2" t="s">
        <v>7896</v>
      </c>
      <c r="E9069" s="3">
        <v>2.9400000000000001E-160</v>
      </c>
      <c r="F9069" s="2">
        <v>1201</v>
      </c>
      <c r="G9069" s="2">
        <v>100</v>
      </c>
      <c r="H9069" s="2">
        <v>242</v>
      </c>
      <c r="I9069" s="2">
        <v>506</v>
      </c>
      <c r="J9069" s="2">
        <v>1231</v>
      </c>
      <c r="K9069" s="2">
        <v>1</v>
      </c>
      <c r="L9069" s="2">
        <v>242</v>
      </c>
    </row>
    <row r="9070" spans="1:12" x14ac:dyDescent="0.25">
      <c r="A9070" s="4" t="str">
        <f>HYPERLINK("http://www.rosaceae.org/Prunus/Prunus_persica/p.persica_gdr_reftransV1_0013175","p.persica_gdr_reftransV1_0013175")</f>
        <v>p.persica_gdr_reftransV1_0013175</v>
      </c>
      <c r="B9070" s="2">
        <v>4379</v>
      </c>
      <c r="C9070" s="4" t="str">
        <f>HYPERLINK("http://www.uniprot.org/uniprot/M5XLS7","M5XLS7")</f>
        <v>M5XLS7</v>
      </c>
      <c r="D9070" s="2" t="s">
        <v>7897</v>
      </c>
      <c r="E9070" s="3">
        <v>3.6400000000000003E-92</v>
      </c>
      <c r="F9070" s="2">
        <v>793</v>
      </c>
      <c r="G9070" s="2">
        <v>100</v>
      </c>
      <c r="H9070" s="2">
        <v>240</v>
      </c>
      <c r="I9070" s="2">
        <v>3368</v>
      </c>
      <c r="J9070" s="2">
        <v>4087</v>
      </c>
      <c r="K9070" s="2">
        <v>38</v>
      </c>
      <c r="L9070" s="2">
        <v>277</v>
      </c>
    </row>
    <row r="9071" spans="1:12" x14ac:dyDescent="0.25">
      <c r="A9071" s="4" t="str">
        <f>HYPERLINK("http://www.rosaceae.org/Prunus/Prunus_persica/p.persica_gdr_reftransV1_0013525","p.persica_gdr_reftransV1_0013525")</f>
        <v>p.persica_gdr_reftransV1_0013525</v>
      </c>
      <c r="B9071" s="2">
        <v>960</v>
      </c>
      <c r="C9071" s="4" t="str">
        <f>HYPERLINK("http://www.uniprot.org/uniprot/M5VLE7","M5VLE7")</f>
        <v>M5VLE7</v>
      </c>
      <c r="D9071" s="2" t="s">
        <v>7898</v>
      </c>
      <c r="E9071" s="3">
        <v>1.1699999999999999E-156</v>
      </c>
      <c r="F9071" s="2">
        <v>1163</v>
      </c>
      <c r="G9071" s="2">
        <v>99</v>
      </c>
      <c r="H9071" s="2">
        <v>237</v>
      </c>
      <c r="I9071" s="2">
        <v>209</v>
      </c>
      <c r="J9071" s="2">
        <v>919</v>
      </c>
      <c r="K9071" s="2">
        <v>62</v>
      </c>
      <c r="L9071" s="2">
        <v>298</v>
      </c>
    </row>
    <row r="9072" spans="1:12" x14ac:dyDescent="0.25">
      <c r="A9072" s="4" t="str">
        <f>HYPERLINK("http://www.rosaceae.org/Prunus/Prunus_persica/p.persica_gdr_reftransV1_0014925","p.persica_gdr_reftransV1_0014925")</f>
        <v>p.persica_gdr_reftransV1_0014925</v>
      </c>
      <c r="B9072" s="2">
        <v>1187</v>
      </c>
      <c r="C9072" s="4" t="str">
        <f>HYPERLINK("http://www.uniprot.org/uniprot/M5W3A5","M5W3A5")</f>
        <v>M5W3A5</v>
      </c>
      <c r="D9072" s="2" t="s">
        <v>7899</v>
      </c>
      <c r="E9072" s="3">
        <v>8.7700000000000003E-139</v>
      </c>
      <c r="F9072" s="2">
        <v>1046</v>
      </c>
      <c r="G9072" s="2">
        <v>100</v>
      </c>
      <c r="H9072" s="2">
        <v>193</v>
      </c>
      <c r="I9072" s="2">
        <v>305</v>
      </c>
      <c r="J9072" s="2">
        <v>883</v>
      </c>
      <c r="K9072" s="2">
        <v>27</v>
      </c>
      <c r="L9072" s="2">
        <v>219</v>
      </c>
    </row>
    <row r="9073" spans="1:12" x14ac:dyDescent="0.25">
      <c r="A9073" s="4" t="str">
        <f>HYPERLINK("http://www.rosaceae.org/Prunus/Prunus_persica/p.persica_gdr_reftransV1_0015275","p.persica_gdr_reftransV1_0015275")</f>
        <v>p.persica_gdr_reftransV1_0015275</v>
      </c>
      <c r="B9073" s="2">
        <v>1245</v>
      </c>
      <c r="C9073" s="4" t="str">
        <f>HYPERLINK("http://www.uniprot.org/uniprot/M5WA61","M5WA61")</f>
        <v>M5WA61</v>
      </c>
      <c r="D9073" s="2" t="s">
        <v>7900</v>
      </c>
      <c r="E9073" s="3">
        <v>3.1499999999999999E-68</v>
      </c>
      <c r="F9073" s="2">
        <v>580</v>
      </c>
      <c r="G9073" s="2">
        <v>96</v>
      </c>
      <c r="H9073" s="2">
        <v>219</v>
      </c>
      <c r="I9073" s="2">
        <v>483</v>
      </c>
      <c r="J9073" s="2">
        <v>1136</v>
      </c>
      <c r="K9073" s="2">
        <v>1</v>
      </c>
      <c r="L9073" s="2">
        <v>219</v>
      </c>
    </row>
    <row r="9074" spans="1:12" x14ac:dyDescent="0.25">
      <c r="A9074" s="4" t="str">
        <f>HYPERLINK("http://www.rosaceae.org/Prunus/Prunus_persica/p.persica_gdr_reftransV1_0017375","p.persica_gdr_reftransV1_0017375")</f>
        <v>p.persica_gdr_reftransV1_0017375</v>
      </c>
      <c r="B9074" s="2">
        <v>3043</v>
      </c>
      <c r="C9074" s="4" t="str">
        <f>HYPERLINK("http://www.uniprot.org/uniprot/M5WJN1","M5WJN1")</f>
        <v>M5WJN1</v>
      </c>
      <c r="D9074" s="2" t="s">
        <v>7901</v>
      </c>
      <c r="E9074" s="3">
        <v>0</v>
      </c>
      <c r="F9074" s="2">
        <v>4560</v>
      </c>
      <c r="G9074" s="2">
        <v>100</v>
      </c>
      <c r="H9074" s="2">
        <v>868</v>
      </c>
      <c r="I9074" s="2">
        <v>124</v>
      </c>
      <c r="J9074" s="2">
        <v>2727</v>
      </c>
      <c r="K9074" s="2">
        <v>1</v>
      </c>
      <c r="L9074" s="2">
        <v>868</v>
      </c>
    </row>
    <row r="9075" spans="1:12" x14ac:dyDescent="0.25">
      <c r="A9075" s="4" t="str">
        <f>HYPERLINK("http://www.rosaceae.org/Prunus/Prunus_persica/p.persica_gdr_reftransV1_0017725","p.persica_gdr_reftransV1_0017725")</f>
        <v>p.persica_gdr_reftransV1_0017725</v>
      </c>
      <c r="B9075" s="2">
        <v>2923</v>
      </c>
      <c r="C9075" s="4" t="str">
        <f>HYPERLINK("http://www.uniprot.org/uniprot/M5WHF7","M5WHF7")</f>
        <v>M5WHF7</v>
      </c>
      <c r="D9075" s="2" t="s">
        <v>7902</v>
      </c>
      <c r="E9075" s="3">
        <v>1.84E-50</v>
      </c>
      <c r="F9075" s="2">
        <v>476</v>
      </c>
      <c r="G9075" s="2">
        <v>100</v>
      </c>
      <c r="H9075" s="2">
        <v>89</v>
      </c>
      <c r="I9075" s="2">
        <v>2510</v>
      </c>
      <c r="J9075" s="2">
        <v>2776</v>
      </c>
      <c r="K9075" s="2">
        <v>57</v>
      </c>
      <c r="L9075" s="2">
        <v>145</v>
      </c>
    </row>
    <row r="9076" spans="1:12" x14ac:dyDescent="0.25">
      <c r="A9076" s="4" t="str">
        <f>HYPERLINK("http://www.rosaceae.org/Prunus/Prunus_persica/p.persica_gdr_reftransV1_0018075","p.persica_gdr_reftransV1_0018075")</f>
        <v>p.persica_gdr_reftransV1_0018075</v>
      </c>
      <c r="B9076" s="2">
        <v>1962</v>
      </c>
      <c r="C9076" s="4" t="str">
        <f>HYPERLINK("http://www.uniprot.org/uniprot/M5XCM1","M5XCM1")</f>
        <v>M5XCM1</v>
      </c>
      <c r="D9076" s="2" t="s">
        <v>7903</v>
      </c>
      <c r="E9076" s="3">
        <v>0</v>
      </c>
      <c r="F9076" s="2">
        <v>2104</v>
      </c>
      <c r="G9076" s="2">
        <v>100</v>
      </c>
      <c r="H9076" s="2">
        <v>394</v>
      </c>
      <c r="I9076" s="2">
        <v>429</v>
      </c>
      <c r="J9076" s="2">
        <v>1610</v>
      </c>
      <c r="K9076" s="2">
        <v>1</v>
      </c>
      <c r="L9076" s="2">
        <v>394</v>
      </c>
    </row>
    <row r="9077" spans="1:12" x14ac:dyDescent="0.25">
      <c r="A9077" s="4" t="str">
        <f>HYPERLINK("http://www.rosaceae.org/Prunus/Prunus_persica/p.persica_gdr_reftransV1_0018425","p.persica_gdr_reftransV1_0018425")</f>
        <v>p.persica_gdr_reftransV1_0018425</v>
      </c>
      <c r="B9077" s="2">
        <v>1771</v>
      </c>
      <c r="C9077" s="4" t="str">
        <f>HYPERLINK("http://www.uniprot.org/uniprot/M5WMK5","M5WMK5")</f>
        <v>M5WMK5</v>
      </c>
      <c r="D9077" s="2" t="s">
        <v>7904</v>
      </c>
      <c r="E9077" s="3">
        <v>0</v>
      </c>
      <c r="F9077" s="2">
        <v>1235</v>
      </c>
      <c r="G9077" s="2">
        <v>100</v>
      </c>
      <c r="H9077" s="2">
        <v>232</v>
      </c>
      <c r="I9077" s="2">
        <v>707</v>
      </c>
      <c r="J9077" s="2">
        <v>1402</v>
      </c>
      <c r="K9077" s="2">
        <v>188</v>
      </c>
      <c r="L9077" s="2">
        <v>419</v>
      </c>
    </row>
    <row r="9078" spans="1:12" x14ac:dyDescent="0.25">
      <c r="A9078" s="4" t="str">
        <f>HYPERLINK("http://www.rosaceae.org/Prunus/Prunus_persica/p.persica_gdr_reftransV1_0018775","p.persica_gdr_reftransV1_0018775")</f>
        <v>p.persica_gdr_reftransV1_0018775</v>
      </c>
      <c r="B9078" s="2">
        <v>1724</v>
      </c>
      <c r="C9078" s="4" t="str">
        <f>HYPERLINK("http://www.uniprot.org/uniprot/M5W7H9","M5W7H9")</f>
        <v>M5W7H9</v>
      </c>
      <c r="D9078" s="2" t="s">
        <v>7905</v>
      </c>
      <c r="E9078" s="3">
        <v>0</v>
      </c>
      <c r="F9078" s="2">
        <v>2334</v>
      </c>
      <c r="G9078" s="2">
        <v>99</v>
      </c>
      <c r="H9078" s="2">
        <v>508</v>
      </c>
      <c r="I9078" s="2">
        <v>200</v>
      </c>
      <c r="J9078" s="2">
        <v>1723</v>
      </c>
      <c r="K9078" s="2">
        <v>282</v>
      </c>
      <c r="L9078" s="2">
        <v>782</v>
      </c>
    </row>
    <row r="9079" spans="1:12" x14ac:dyDescent="0.25">
      <c r="A9079" s="4" t="str">
        <f>HYPERLINK("http://www.rosaceae.org/Prunus/Prunus_persica/p.persica_gdr_reftransV1_0019125","p.persica_gdr_reftransV1_0019125")</f>
        <v>p.persica_gdr_reftransV1_0019125</v>
      </c>
      <c r="B9079" s="2">
        <v>1347</v>
      </c>
      <c r="C9079" s="4" t="str">
        <f>HYPERLINK("http://www.uniprot.org/uniprot/M5VZ11","M5VZ11")</f>
        <v>M5VZ11</v>
      </c>
      <c r="D9079" s="2" t="s">
        <v>7906</v>
      </c>
      <c r="E9079" s="3">
        <v>0</v>
      </c>
      <c r="F9079" s="2">
        <v>1780</v>
      </c>
      <c r="G9079" s="2">
        <v>100</v>
      </c>
      <c r="H9079" s="2">
        <v>364</v>
      </c>
      <c r="I9079" s="2">
        <v>254</v>
      </c>
      <c r="J9079" s="2">
        <v>1345</v>
      </c>
      <c r="K9079" s="2">
        <v>104</v>
      </c>
      <c r="L9079" s="2">
        <v>467</v>
      </c>
    </row>
    <row r="9080" spans="1:12" x14ac:dyDescent="0.25">
      <c r="A9080" s="4" t="str">
        <f>HYPERLINK("http://www.rosaceae.org/Prunus/Prunus_persica/p.persica_gdr_reftransV1_0020525","p.persica_gdr_reftransV1_0020525")</f>
        <v>p.persica_gdr_reftransV1_0020525</v>
      </c>
      <c r="B9080" s="2">
        <v>2557</v>
      </c>
      <c r="C9080" s="4" t="str">
        <f>HYPERLINK("http://www.uniprot.org/uniprot/M5W7G4","M5W7G4")</f>
        <v>M5W7G4</v>
      </c>
      <c r="D9080" s="2" t="s">
        <v>3998</v>
      </c>
      <c r="E9080" s="3">
        <v>0</v>
      </c>
      <c r="F9080" s="2">
        <v>1845</v>
      </c>
      <c r="G9080" s="2">
        <v>100</v>
      </c>
      <c r="H9080" s="2">
        <v>579</v>
      </c>
      <c r="I9080" s="2">
        <v>638</v>
      </c>
      <c r="J9080" s="2">
        <v>2374</v>
      </c>
      <c r="K9080" s="2">
        <v>1</v>
      </c>
      <c r="L9080" s="2">
        <v>579</v>
      </c>
    </row>
    <row r="9081" spans="1:12" x14ac:dyDescent="0.25">
      <c r="A9081" s="4" t="str">
        <f>HYPERLINK("http://www.rosaceae.org/Prunus/Prunus_persica/p.persica_gdr_reftransV1_0020875","p.persica_gdr_reftransV1_0020875")</f>
        <v>p.persica_gdr_reftransV1_0020875</v>
      </c>
      <c r="B9081" s="2">
        <v>1512</v>
      </c>
      <c r="C9081" s="4" t="str">
        <f>HYPERLINK("http://www.uniprot.org/uniprot/M5VPS2","M5VPS2")</f>
        <v>M5VPS2</v>
      </c>
      <c r="D9081" s="2" t="s">
        <v>7907</v>
      </c>
      <c r="E9081" s="3">
        <v>0</v>
      </c>
      <c r="F9081" s="2">
        <v>1848</v>
      </c>
      <c r="G9081" s="2">
        <v>99</v>
      </c>
      <c r="H9081" s="2">
        <v>364</v>
      </c>
      <c r="I9081" s="2">
        <v>85</v>
      </c>
      <c r="J9081" s="2">
        <v>1173</v>
      </c>
      <c r="K9081" s="2">
        <v>1</v>
      </c>
      <c r="L9081" s="2">
        <v>364</v>
      </c>
    </row>
    <row r="9082" spans="1:12" x14ac:dyDescent="0.25">
      <c r="A9082" s="4" t="str">
        <f>HYPERLINK("http://www.rosaceae.org/Prunus/Prunus_persica/p.persica_gdr_reftransV1_0021925","p.persica_gdr_reftransV1_0021925")</f>
        <v>p.persica_gdr_reftransV1_0021925</v>
      </c>
      <c r="B9082" s="2">
        <v>4662</v>
      </c>
      <c r="C9082" s="4" t="str">
        <f>HYPERLINK("http://www.uniprot.org/uniprot/M5VUW8","M5VUW8")</f>
        <v>M5VUW8</v>
      </c>
      <c r="D9082" s="2" t="s">
        <v>7908</v>
      </c>
      <c r="E9082" s="3">
        <v>0</v>
      </c>
      <c r="F9082" s="2">
        <v>5835</v>
      </c>
      <c r="G9082" s="2">
        <v>97</v>
      </c>
      <c r="H9082" s="2">
        <v>1187</v>
      </c>
      <c r="I9082" s="2">
        <v>76</v>
      </c>
      <c r="J9082" s="2">
        <v>3636</v>
      </c>
      <c r="K9082" s="2">
        <v>4</v>
      </c>
      <c r="L9082" s="2">
        <v>1150</v>
      </c>
    </row>
    <row r="9083" spans="1:12" x14ac:dyDescent="0.25">
      <c r="A9083" s="4" t="str">
        <f>HYPERLINK("http://www.rosaceae.org/Prunus/Prunus_persica/p.persica_gdr_reftransV1_0023325","p.persica_gdr_reftransV1_0023325")</f>
        <v>p.persica_gdr_reftransV1_0023325</v>
      </c>
      <c r="B9083" s="2">
        <v>1344</v>
      </c>
      <c r="C9083" s="4" t="str">
        <f>HYPERLINK("http://www.uniprot.org/uniprot/M5WB36","M5WB36")</f>
        <v>M5WB36</v>
      </c>
      <c r="D9083" s="2" t="s">
        <v>7909</v>
      </c>
      <c r="E9083" s="3">
        <v>1.9600000000000001E-160</v>
      </c>
      <c r="F9083" s="2">
        <v>1213</v>
      </c>
      <c r="G9083" s="2">
        <v>100</v>
      </c>
      <c r="H9083" s="2">
        <v>228</v>
      </c>
      <c r="I9083" s="2">
        <v>61</v>
      </c>
      <c r="J9083" s="2">
        <v>744</v>
      </c>
      <c r="K9083" s="2">
        <v>136</v>
      </c>
      <c r="L9083" s="2">
        <v>363</v>
      </c>
    </row>
    <row r="9084" spans="1:12" x14ac:dyDescent="0.25">
      <c r="A9084" s="4" t="str">
        <f>HYPERLINK("http://www.rosaceae.org/Prunus/Prunus_persica/p.persica_gdr_reftransV1_0024375","p.persica_gdr_reftransV1_0024375")</f>
        <v>p.persica_gdr_reftransV1_0024375</v>
      </c>
      <c r="B9084" s="2">
        <v>761</v>
      </c>
      <c r="C9084" s="4" t="str">
        <f>HYPERLINK("http://www.uniprot.org/uniprot/W9QKF3","W9QKF3")</f>
        <v>W9QKF3</v>
      </c>
      <c r="D9084" s="2" t="s">
        <v>3456</v>
      </c>
      <c r="E9084" s="3">
        <v>2.9999999999999999E-35</v>
      </c>
      <c r="F9084" s="2">
        <v>340</v>
      </c>
      <c r="G9084" s="2">
        <v>83</v>
      </c>
      <c r="H9084" s="2">
        <v>77</v>
      </c>
      <c r="I9084" s="2">
        <v>72</v>
      </c>
      <c r="J9084" s="2">
        <v>302</v>
      </c>
      <c r="K9084" s="2">
        <v>1</v>
      </c>
      <c r="L9084" s="2">
        <v>77</v>
      </c>
    </row>
    <row r="9085" spans="1:12" x14ac:dyDescent="0.25">
      <c r="A9085" s="4" t="str">
        <f>HYPERLINK("http://www.rosaceae.org/Prunus/Prunus_persica/p.persica_gdr_reftransV1_0024725","p.persica_gdr_reftransV1_0024725")</f>
        <v>p.persica_gdr_reftransV1_0024725</v>
      </c>
      <c r="B9085" s="2">
        <v>2537</v>
      </c>
      <c r="C9085" s="4" t="str">
        <f>HYPERLINK("http://www.uniprot.org/uniprot/M5VGT9","M5VGT9")</f>
        <v>M5VGT9</v>
      </c>
      <c r="D9085" s="2" t="s">
        <v>5880</v>
      </c>
      <c r="E9085" s="3">
        <v>0</v>
      </c>
      <c r="F9085" s="2">
        <v>2060</v>
      </c>
      <c r="G9085" s="2">
        <v>100</v>
      </c>
      <c r="H9085" s="2">
        <v>402</v>
      </c>
      <c r="I9085" s="2">
        <v>120</v>
      </c>
      <c r="J9085" s="2">
        <v>1325</v>
      </c>
      <c r="K9085" s="2">
        <v>1</v>
      </c>
      <c r="L9085" s="2">
        <v>402</v>
      </c>
    </row>
    <row r="9086" spans="1:12" x14ac:dyDescent="0.25">
      <c r="A9086" s="4" t="str">
        <f>HYPERLINK("http://www.rosaceae.org/Prunus/Prunus_persica/p.persica_gdr_reftransV1_0026475","p.persica_gdr_reftransV1_0026475")</f>
        <v>p.persica_gdr_reftransV1_0026475</v>
      </c>
      <c r="B9086" s="2">
        <v>1611</v>
      </c>
      <c r="C9086" s="4" t="str">
        <f>HYPERLINK("http://www.uniprot.org/uniprot/M5VQR0","M5VQR0")</f>
        <v>M5VQR0</v>
      </c>
      <c r="D9086" s="2" t="s">
        <v>7910</v>
      </c>
      <c r="E9086" s="3">
        <v>2.0100000000000001E-93</v>
      </c>
      <c r="F9086" s="2">
        <v>763</v>
      </c>
      <c r="G9086" s="2">
        <v>100</v>
      </c>
      <c r="H9086" s="2">
        <v>178</v>
      </c>
      <c r="I9086" s="2">
        <v>183</v>
      </c>
      <c r="J9086" s="2">
        <v>716</v>
      </c>
      <c r="K9086" s="2">
        <v>106</v>
      </c>
      <c r="L9086" s="2">
        <v>283</v>
      </c>
    </row>
    <row r="9087" spans="1:12" x14ac:dyDescent="0.25">
      <c r="A9087" s="4" t="str">
        <f>HYPERLINK("http://www.rosaceae.org/Prunus/Prunus_persica/p.persica_gdr_reftransV1_0027175","p.persica_gdr_reftransV1_0027175")</f>
        <v>p.persica_gdr_reftransV1_0027175</v>
      </c>
      <c r="B9087" s="2">
        <v>770</v>
      </c>
      <c r="C9087" s="4" t="str">
        <f>HYPERLINK("http://www.uniprot.org/uniprot/M5VMD0","M5VMD0")</f>
        <v>M5VMD0</v>
      </c>
      <c r="D9087" s="2" t="s">
        <v>7911</v>
      </c>
      <c r="E9087" s="3">
        <v>3.9999999999999997E-102</v>
      </c>
      <c r="F9087" s="2">
        <v>815</v>
      </c>
      <c r="G9087" s="2">
        <v>100</v>
      </c>
      <c r="H9087" s="2">
        <v>168</v>
      </c>
      <c r="I9087" s="2">
        <v>267</v>
      </c>
      <c r="J9087" s="2">
        <v>770</v>
      </c>
      <c r="K9087" s="2">
        <v>352</v>
      </c>
      <c r="L9087" s="2">
        <v>519</v>
      </c>
    </row>
    <row r="9088" spans="1:12" x14ac:dyDescent="0.25">
      <c r="A9088" s="4" t="str">
        <f>HYPERLINK("http://www.rosaceae.org/Prunus/Prunus_persica/p.persica_gdr_reftransV1_0028925","p.persica_gdr_reftransV1_0028925")</f>
        <v>p.persica_gdr_reftransV1_0028925</v>
      </c>
      <c r="B9088" s="2">
        <v>2133</v>
      </c>
      <c r="C9088" s="4" t="str">
        <f>HYPERLINK("http://www.uniprot.org/uniprot/M5XLZ6","M5XLZ6")</f>
        <v>M5XLZ6</v>
      </c>
      <c r="D9088" s="2" t="s">
        <v>7912</v>
      </c>
      <c r="E9088" s="3">
        <v>0</v>
      </c>
      <c r="F9088" s="2">
        <v>1715</v>
      </c>
      <c r="G9088" s="2">
        <v>100</v>
      </c>
      <c r="H9088" s="2">
        <v>314</v>
      </c>
      <c r="I9088" s="2">
        <v>905</v>
      </c>
      <c r="J9088" s="2">
        <v>1846</v>
      </c>
      <c r="K9088" s="2">
        <v>274</v>
      </c>
      <c r="L9088" s="2">
        <v>587</v>
      </c>
    </row>
    <row r="9089" spans="1:12" x14ac:dyDescent="0.25">
      <c r="A9089" s="4" t="str">
        <f>HYPERLINK("http://www.rosaceae.org/Prunus/Prunus_persica/p.persica_gdr_reftransV1_0029275","p.persica_gdr_reftransV1_0029275")</f>
        <v>p.persica_gdr_reftransV1_0029275</v>
      </c>
      <c r="B9089" s="2">
        <v>2569</v>
      </c>
      <c r="C9089" s="4" t="str">
        <f>HYPERLINK("http://www.uniprot.org/uniprot/M5X249","M5X249")</f>
        <v>M5X249</v>
      </c>
      <c r="D9089" s="2" t="s">
        <v>7913</v>
      </c>
      <c r="E9089" s="3">
        <v>5.13E-141</v>
      </c>
      <c r="F9089" s="2">
        <v>748</v>
      </c>
      <c r="G9089" s="2">
        <v>99</v>
      </c>
      <c r="H9089" s="2">
        <v>142</v>
      </c>
      <c r="I9089" s="2">
        <v>610</v>
      </c>
      <c r="J9089" s="2">
        <v>1035</v>
      </c>
      <c r="K9089" s="2">
        <v>1</v>
      </c>
      <c r="L9089" s="2">
        <v>142</v>
      </c>
    </row>
    <row r="9090" spans="1:12" x14ac:dyDescent="0.25">
      <c r="A9090" s="4" t="str">
        <f>HYPERLINK("http://www.rosaceae.org/Prunus/Prunus_persica/p.persica_gdr_reftransV1_0032425","p.persica_gdr_reftransV1_0032425")</f>
        <v>p.persica_gdr_reftransV1_0032425</v>
      </c>
      <c r="B9090" s="2">
        <v>1856</v>
      </c>
      <c r="C9090" s="4" t="str">
        <f>HYPERLINK("http://www.uniprot.org/uniprot/B2BMQ0","B2BMQ0")</f>
        <v>B2BMQ0</v>
      </c>
      <c r="D9090" s="2" t="s">
        <v>7914</v>
      </c>
      <c r="E9090" s="3">
        <v>0</v>
      </c>
      <c r="F9090" s="2">
        <v>2205</v>
      </c>
      <c r="G9090" s="2">
        <v>100</v>
      </c>
      <c r="H9090" s="2">
        <v>433</v>
      </c>
      <c r="I9090" s="2">
        <v>160</v>
      </c>
      <c r="J9090" s="2">
        <v>1458</v>
      </c>
      <c r="K9090" s="2">
        <v>1</v>
      </c>
      <c r="L9090" s="2">
        <v>433</v>
      </c>
    </row>
    <row r="9091" spans="1:12" x14ac:dyDescent="0.25">
      <c r="A9091" s="4" t="str">
        <f>HYPERLINK("http://www.rosaceae.org/Prunus/Prunus_persica/p.persica_gdr_reftransV1_0033125","p.persica_gdr_reftransV1_0033125")</f>
        <v>p.persica_gdr_reftransV1_0033125</v>
      </c>
      <c r="B9091" s="2">
        <v>2504</v>
      </c>
      <c r="C9091" s="4" t="str">
        <f>HYPERLINK("http://www.uniprot.org/uniprot/M5XTP5","M5XTP5")</f>
        <v>M5XTP5</v>
      </c>
      <c r="D9091" s="2" t="s">
        <v>7915</v>
      </c>
      <c r="E9091" s="3">
        <v>0</v>
      </c>
      <c r="F9091" s="2">
        <v>1635</v>
      </c>
      <c r="G9091" s="2">
        <v>100</v>
      </c>
      <c r="H9091" s="2">
        <v>323</v>
      </c>
      <c r="I9091" s="2">
        <v>1029</v>
      </c>
      <c r="J9091" s="2">
        <v>1997</v>
      </c>
      <c r="K9091" s="2">
        <v>20</v>
      </c>
      <c r="L9091" s="2">
        <v>342</v>
      </c>
    </row>
    <row r="9092" spans="1:12" x14ac:dyDescent="0.25">
      <c r="A9092" s="4" t="str">
        <f>HYPERLINK("http://www.rosaceae.org/Prunus/Prunus_persica/p.persica_gdr_reftransV1_0033475","p.persica_gdr_reftransV1_0033475")</f>
        <v>p.persica_gdr_reftransV1_0033475</v>
      </c>
      <c r="B9092" s="2">
        <v>4162</v>
      </c>
      <c r="C9092" s="4" t="str">
        <f>HYPERLINK("http://www.uniprot.org/uniprot/M5XDX0","M5XDX0")</f>
        <v>M5XDX0</v>
      </c>
      <c r="D9092" s="2" t="s">
        <v>7916</v>
      </c>
      <c r="E9092" s="3">
        <v>0</v>
      </c>
      <c r="F9092" s="2">
        <v>2224</v>
      </c>
      <c r="G9092" s="2">
        <v>98</v>
      </c>
      <c r="H9092" s="2">
        <v>449</v>
      </c>
      <c r="I9092" s="2">
        <v>219</v>
      </c>
      <c r="J9092" s="2">
        <v>1553</v>
      </c>
      <c r="K9092" s="2">
        <v>12</v>
      </c>
      <c r="L9092" s="2">
        <v>457</v>
      </c>
    </row>
    <row r="9093" spans="1:12" x14ac:dyDescent="0.25">
      <c r="A9093" s="4" t="str">
        <f>HYPERLINK("http://www.rosaceae.org/Prunus/Prunus_persica/p.persica_gdr_reftransV1_0033825","p.persica_gdr_reftransV1_0033825")</f>
        <v>p.persica_gdr_reftransV1_0033825</v>
      </c>
      <c r="B9093" s="2">
        <v>6053</v>
      </c>
      <c r="C9093" s="4" t="str">
        <f>HYPERLINK("http://www.uniprot.org/uniprot/M5VIE0","M5VIE0")</f>
        <v>M5VIE0</v>
      </c>
      <c r="D9093" s="2" t="s">
        <v>7917</v>
      </c>
      <c r="E9093" s="3">
        <v>0</v>
      </c>
      <c r="F9093" s="2">
        <v>4659</v>
      </c>
      <c r="G9093" s="2">
        <v>88</v>
      </c>
      <c r="H9093" s="2">
        <v>1108</v>
      </c>
      <c r="I9093" s="2">
        <v>380</v>
      </c>
      <c r="J9093" s="2">
        <v>3685</v>
      </c>
      <c r="K9093" s="2">
        <v>1</v>
      </c>
      <c r="L9093" s="2">
        <v>1041</v>
      </c>
    </row>
    <row r="9094" spans="1:12" x14ac:dyDescent="0.25">
      <c r="A9094" s="4" t="str">
        <f>HYPERLINK("http://www.rosaceae.org/Prunus/Prunus_persica/p.persica_gdr_reftransV1_0034175","p.persica_gdr_reftransV1_0034175")</f>
        <v>p.persica_gdr_reftransV1_0034175</v>
      </c>
      <c r="B9094" s="2">
        <v>3125</v>
      </c>
      <c r="C9094" s="4" t="str">
        <f>HYPERLINK("http://www.uniprot.org/uniprot/M5W5N5","M5W5N5")</f>
        <v>M5W5N5</v>
      </c>
      <c r="D9094" s="2" t="s">
        <v>3046</v>
      </c>
      <c r="E9094" s="3">
        <v>2.3499999999999999E-160</v>
      </c>
      <c r="F9094" s="2">
        <v>1269</v>
      </c>
      <c r="G9094" s="2">
        <v>99</v>
      </c>
      <c r="H9094" s="2">
        <v>238</v>
      </c>
      <c r="I9094" s="2">
        <v>631</v>
      </c>
      <c r="J9094" s="2">
        <v>1344</v>
      </c>
      <c r="K9094" s="2">
        <v>30</v>
      </c>
      <c r="L9094" s="2">
        <v>267</v>
      </c>
    </row>
    <row r="9095" spans="1:12" x14ac:dyDescent="0.25">
      <c r="A9095" s="4" t="str">
        <f>HYPERLINK("http://www.rosaceae.org/Prunus/Prunus_persica/p.persica_gdr_reftransV1_0034525","p.persica_gdr_reftransV1_0034525")</f>
        <v>p.persica_gdr_reftransV1_0034525</v>
      </c>
      <c r="B9095" s="2">
        <v>4163</v>
      </c>
      <c r="C9095" s="4" t="str">
        <f>HYPERLINK("http://www.uniprot.org/uniprot/M5VYK7","M5VYK7")</f>
        <v>M5VYK7</v>
      </c>
      <c r="D9095" s="2" t="s">
        <v>7918</v>
      </c>
      <c r="E9095" s="3">
        <v>0</v>
      </c>
      <c r="F9095" s="2">
        <v>1798</v>
      </c>
      <c r="G9095" s="2">
        <v>92</v>
      </c>
      <c r="H9095" s="2">
        <v>414</v>
      </c>
      <c r="I9095" s="2">
        <v>826</v>
      </c>
      <c r="J9095" s="2">
        <v>2067</v>
      </c>
      <c r="K9095" s="2">
        <v>1</v>
      </c>
      <c r="L9095" s="2">
        <v>381</v>
      </c>
    </row>
    <row r="9096" spans="1:12" x14ac:dyDescent="0.25">
      <c r="A9096" s="4" t="str">
        <f>HYPERLINK("http://www.rosaceae.org/Prunus/Prunus_persica/p.persica_gdr_reftransV1_0035225","p.persica_gdr_reftransV1_0035225")</f>
        <v>p.persica_gdr_reftransV1_0035225</v>
      </c>
      <c r="B9096" s="2">
        <v>1196</v>
      </c>
      <c r="C9096" s="4" t="str">
        <f>HYPERLINK("http://www.uniprot.org/uniprot/M5X0S3","M5X0S3")</f>
        <v>M5X0S3</v>
      </c>
      <c r="D9096" s="2" t="s">
        <v>7919</v>
      </c>
      <c r="E9096" s="3">
        <v>2.0099999999999999E-134</v>
      </c>
      <c r="F9096" s="2">
        <v>1018</v>
      </c>
      <c r="G9096" s="2">
        <v>97</v>
      </c>
      <c r="H9096" s="2">
        <v>216</v>
      </c>
      <c r="I9096" s="2">
        <v>361</v>
      </c>
      <c r="J9096" s="2">
        <v>1008</v>
      </c>
      <c r="K9096" s="2">
        <v>22</v>
      </c>
      <c r="L9096" s="2">
        <v>237</v>
      </c>
    </row>
    <row r="9097" spans="1:12" x14ac:dyDescent="0.25">
      <c r="A9097" s="4" t="str">
        <f>HYPERLINK("http://www.rosaceae.org/Prunus/Prunus_persica/p.persica_gdr_reftransV1_0036625","p.persica_gdr_reftransV1_0036625")</f>
        <v>p.persica_gdr_reftransV1_0036625</v>
      </c>
      <c r="B9097" s="2">
        <v>1217</v>
      </c>
      <c r="C9097" s="4" t="str">
        <f>HYPERLINK("http://www.uniprot.org/uniprot/M5XLP6","M5XLP6")</f>
        <v>M5XLP6</v>
      </c>
      <c r="D9097" s="2" t="s">
        <v>7920</v>
      </c>
      <c r="E9097" s="3">
        <v>2.21E-117</v>
      </c>
      <c r="F9097" s="2">
        <v>952</v>
      </c>
      <c r="G9097" s="2">
        <v>100</v>
      </c>
      <c r="H9097" s="2">
        <v>179</v>
      </c>
      <c r="I9097" s="2">
        <v>182</v>
      </c>
      <c r="J9097" s="2">
        <v>718</v>
      </c>
      <c r="K9097" s="2">
        <v>583</v>
      </c>
      <c r="L9097" s="2">
        <v>761</v>
      </c>
    </row>
    <row r="9098" spans="1:12" x14ac:dyDescent="0.25">
      <c r="A9098" s="4" t="str">
        <f>HYPERLINK("http://www.rosaceae.org/Prunus/Prunus_persica/p.persica_gdr_reftransV1_0038025","p.persica_gdr_reftransV1_0038025")</f>
        <v>p.persica_gdr_reftransV1_0038025</v>
      </c>
      <c r="B9098" s="2">
        <v>4006</v>
      </c>
      <c r="C9098" s="4" t="str">
        <f>HYPERLINK("http://www.uniprot.org/uniprot/M5WCY5","M5WCY5")</f>
        <v>M5WCY5</v>
      </c>
      <c r="D9098" s="2" t="s">
        <v>7921</v>
      </c>
      <c r="E9098" s="3">
        <v>0</v>
      </c>
      <c r="F9098" s="2">
        <v>4082</v>
      </c>
      <c r="G9098" s="2">
        <v>98</v>
      </c>
      <c r="H9098" s="2">
        <v>790</v>
      </c>
      <c r="I9098" s="2">
        <v>903</v>
      </c>
      <c r="J9098" s="2">
        <v>3272</v>
      </c>
      <c r="K9098" s="2">
        <v>160</v>
      </c>
      <c r="L9098" s="2">
        <v>933</v>
      </c>
    </row>
    <row r="9099" spans="1:12" x14ac:dyDescent="0.25">
      <c r="A9099" s="4" t="str">
        <f>HYPERLINK("http://www.rosaceae.org/Prunus/Prunus_persica/p.persica_gdr_reftransV1_0038725","p.persica_gdr_reftransV1_0038725")</f>
        <v>p.persica_gdr_reftransV1_0038725</v>
      </c>
      <c r="B9099" s="2">
        <v>3878</v>
      </c>
      <c r="C9099" s="4" t="str">
        <f>HYPERLINK("http://www.uniprot.org/uniprot/A0A0G3Y5Y8","A0A0G3Y5Y8")</f>
        <v>A0A0G3Y5Y8</v>
      </c>
      <c r="D9099" s="2" t="s">
        <v>7922</v>
      </c>
      <c r="E9099" s="3">
        <v>4.4200000000000001E-76</v>
      </c>
      <c r="F9099" s="2">
        <v>664</v>
      </c>
      <c r="G9099" s="2">
        <v>96</v>
      </c>
      <c r="H9099" s="2">
        <v>135</v>
      </c>
      <c r="I9099" s="2">
        <v>1944</v>
      </c>
      <c r="J9099" s="2">
        <v>2348</v>
      </c>
      <c r="K9099" s="2">
        <v>1</v>
      </c>
      <c r="L9099" s="2">
        <v>135</v>
      </c>
    </row>
    <row r="9100" spans="1:12" x14ac:dyDescent="0.25">
      <c r="A9100" s="4" t="str">
        <f>HYPERLINK("http://www.rosaceae.org/Prunus/Prunus_persica/p.persica_gdr_reftransV1_0040125","p.persica_gdr_reftransV1_0040125")</f>
        <v>p.persica_gdr_reftransV1_0040125</v>
      </c>
      <c r="B9100" s="2">
        <v>2050</v>
      </c>
      <c r="C9100" s="4" t="str">
        <f>HYPERLINK("http://www.uniprot.org/uniprot/M5VQV4","M5VQV4")</f>
        <v>M5VQV4</v>
      </c>
      <c r="D9100" s="2" t="s">
        <v>7677</v>
      </c>
      <c r="E9100" s="3">
        <v>2.1899999999999999E-133</v>
      </c>
      <c r="F9100" s="2">
        <v>1055</v>
      </c>
      <c r="G9100" s="2">
        <v>100</v>
      </c>
      <c r="H9100" s="2">
        <v>232</v>
      </c>
      <c r="I9100" s="2">
        <v>1317</v>
      </c>
      <c r="J9100" s="2">
        <v>2012</v>
      </c>
      <c r="K9100" s="2">
        <v>1</v>
      </c>
      <c r="L9100" s="2">
        <v>232</v>
      </c>
    </row>
    <row r="9101" spans="1:12" x14ac:dyDescent="0.25">
      <c r="A9101" s="4" t="str">
        <f>HYPERLINK("http://www.rosaceae.org/Prunus/Prunus_persica/p.persica_gdr_reftransV1_0041175","p.persica_gdr_reftransV1_0041175")</f>
        <v>p.persica_gdr_reftransV1_0041175</v>
      </c>
      <c r="B9101" s="2">
        <v>2379</v>
      </c>
      <c r="C9101" s="4" t="str">
        <f>HYPERLINK("http://www.uniprot.org/uniprot/M5X238","M5X238")</f>
        <v>M5X238</v>
      </c>
      <c r="D9101" s="2" t="s">
        <v>7923</v>
      </c>
      <c r="E9101" s="3">
        <v>9.3599999999999999E-137</v>
      </c>
      <c r="F9101" s="2">
        <v>1090</v>
      </c>
      <c r="G9101" s="2">
        <v>99</v>
      </c>
      <c r="H9101" s="2">
        <v>235</v>
      </c>
      <c r="I9101" s="2">
        <v>990</v>
      </c>
      <c r="J9101" s="2">
        <v>1694</v>
      </c>
      <c r="K9101" s="2">
        <v>97</v>
      </c>
      <c r="L9101" s="2">
        <v>331</v>
      </c>
    </row>
    <row r="9102" spans="1:12" x14ac:dyDescent="0.25">
      <c r="A9102" s="4" t="str">
        <f>HYPERLINK("http://www.rosaceae.org/Prunus/Prunus_persica/p.persica_gdr_reftransV1_0042575","p.persica_gdr_reftransV1_0042575")</f>
        <v>p.persica_gdr_reftransV1_0042575</v>
      </c>
      <c r="B9102" s="2">
        <v>2355</v>
      </c>
      <c r="C9102" s="4" t="str">
        <f>HYPERLINK("http://www.uniprot.org/uniprot/M5XRF5","M5XRF5")</f>
        <v>M5XRF5</v>
      </c>
      <c r="D9102" s="2" t="s">
        <v>7924</v>
      </c>
      <c r="E9102" s="3">
        <v>0</v>
      </c>
      <c r="F9102" s="2">
        <v>2418</v>
      </c>
      <c r="G9102" s="2">
        <v>100</v>
      </c>
      <c r="H9102" s="2">
        <v>450</v>
      </c>
      <c r="I9102" s="2">
        <v>568</v>
      </c>
      <c r="J9102" s="2">
        <v>1917</v>
      </c>
      <c r="K9102" s="2">
        <v>1</v>
      </c>
      <c r="L9102" s="2">
        <v>450</v>
      </c>
    </row>
    <row r="9103" spans="1:12" x14ac:dyDescent="0.25">
      <c r="A9103" s="4" t="str">
        <f>HYPERLINK("http://www.rosaceae.org/Prunus/Prunus_persica/p.persica_gdr_reftransV1_0043275","p.persica_gdr_reftransV1_0043275")</f>
        <v>p.persica_gdr_reftransV1_0043275</v>
      </c>
      <c r="B9103" s="2">
        <v>350</v>
      </c>
      <c r="C9103" s="4" t="str">
        <f>HYPERLINK("http://www.uniprot.org/uniprot/M5VV70","M5VV70")</f>
        <v>M5VV70</v>
      </c>
      <c r="D9103" s="2" t="s">
        <v>7925</v>
      </c>
      <c r="E9103" s="3">
        <v>1.52E-71</v>
      </c>
      <c r="F9103" s="2">
        <v>597</v>
      </c>
      <c r="G9103" s="2">
        <v>100</v>
      </c>
      <c r="H9103" s="2">
        <v>116</v>
      </c>
      <c r="I9103" s="2">
        <v>1</v>
      </c>
      <c r="J9103" s="2">
        <v>348</v>
      </c>
      <c r="K9103" s="2">
        <v>14</v>
      </c>
      <c r="L9103" s="2">
        <v>129</v>
      </c>
    </row>
    <row r="9104" spans="1:12" x14ac:dyDescent="0.25">
      <c r="A9104" s="4" t="str">
        <f>HYPERLINK("http://www.rosaceae.org/Prunus/Prunus_persica/p.persica_gdr_reftransV1_0043625","p.persica_gdr_reftransV1_0043625")</f>
        <v>p.persica_gdr_reftransV1_0043625</v>
      </c>
      <c r="B9104" s="2">
        <v>774</v>
      </c>
      <c r="C9104" s="4" t="str">
        <f>HYPERLINK("http://www.uniprot.org/uniprot/M5WWP6","M5WWP6")</f>
        <v>M5WWP6</v>
      </c>
      <c r="D9104" s="2" t="s">
        <v>7926</v>
      </c>
      <c r="E9104" s="3">
        <v>3.04E-111</v>
      </c>
      <c r="F9104" s="2">
        <v>847</v>
      </c>
      <c r="G9104" s="2">
        <v>100</v>
      </c>
      <c r="H9104" s="2">
        <v>179</v>
      </c>
      <c r="I9104" s="2">
        <v>139</v>
      </c>
      <c r="J9104" s="2">
        <v>675</v>
      </c>
      <c r="K9104" s="2">
        <v>17</v>
      </c>
      <c r="L9104" s="2">
        <v>195</v>
      </c>
    </row>
    <row r="9105" spans="1:12" x14ac:dyDescent="0.25">
      <c r="A9105" s="4" t="str">
        <f>HYPERLINK("http://www.rosaceae.org/Prunus/Prunus_persica/p.persica_gdr_reftransV1_0043975","p.persica_gdr_reftransV1_0043975")</f>
        <v>p.persica_gdr_reftransV1_0043975</v>
      </c>
      <c r="B9105" s="2">
        <v>1290</v>
      </c>
      <c r="C9105" s="4" t="str">
        <f>HYPERLINK("http://www.uniprot.org/uniprot/M5WUE4","M5WUE4")</f>
        <v>M5WUE4</v>
      </c>
      <c r="D9105" s="2" t="s">
        <v>7927</v>
      </c>
      <c r="E9105" s="3">
        <v>0</v>
      </c>
      <c r="F9105" s="2">
        <v>1464</v>
      </c>
      <c r="G9105" s="2">
        <v>100</v>
      </c>
      <c r="H9105" s="2">
        <v>296</v>
      </c>
      <c r="I9105" s="2">
        <v>403</v>
      </c>
      <c r="J9105" s="2">
        <v>1290</v>
      </c>
      <c r="K9105" s="2">
        <v>109</v>
      </c>
      <c r="L9105" s="2">
        <v>404</v>
      </c>
    </row>
    <row r="9106" spans="1:12" x14ac:dyDescent="0.25">
      <c r="A9106" s="4" t="str">
        <f>HYPERLINK("http://www.rosaceae.org/Prunus/Prunus_persica/p.persica_gdr_reftransV1_0044325","p.persica_gdr_reftransV1_0044325")</f>
        <v>p.persica_gdr_reftransV1_0044325</v>
      </c>
      <c r="B9106" s="2">
        <v>486</v>
      </c>
      <c r="C9106" s="4" t="str">
        <f>HYPERLINK("http://www.uniprot.org/uniprot/M5X1K2","M5X1K2")</f>
        <v>M5X1K2</v>
      </c>
      <c r="D9106" s="2" t="s">
        <v>5710</v>
      </c>
      <c r="E9106" s="3">
        <v>9.7299999999999999E-71</v>
      </c>
      <c r="F9106" s="2">
        <v>606</v>
      </c>
      <c r="G9106" s="2">
        <v>100</v>
      </c>
      <c r="H9106" s="2">
        <v>116</v>
      </c>
      <c r="I9106" s="2">
        <v>3</v>
      </c>
      <c r="J9106" s="2">
        <v>350</v>
      </c>
      <c r="K9106" s="2">
        <v>643</v>
      </c>
      <c r="L9106" s="2">
        <v>758</v>
      </c>
    </row>
    <row r="9107" spans="1:12" x14ac:dyDescent="0.25">
      <c r="A9107" s="4" t="str">
        <f>HYPERLINK("http://www.rosaceae.org/Prunus/Prunus_persica/p.persica_gdr_reftransV1_0045025","p.persica_gdr_reftransV1_0045025")</f>
        <v>p.persica_gdr_reftransV1_0045025</v>
      </c>
      <c r="B9107" s="2">
        <v>1977</v>
      </c>
      <c r="C9107" s="4" t="str">
        <f>HYPERLINK("http://www.uniprot.org/uniprot/M5WN42","M5WN42")</f>
        <v>M5WN42</v>
      </c>
      <c r="D9107" s="2" t="s">
        <v>7928</v>
      </c>
      <c r="E9107" s="3">
        <v>0</v>
      </c>
      <c r="F9107" s="2">
        <v>2277</v>
      </c>
      <c r="G9107" s="2">
        <v>100</v>
      </c>
      <c r="H9107" s="2">
        <v>523</v>
      </c>
      <c r="I9107" s="2">
        <v>346</v>
      </c>
      <c r="J9107" s="2">
        <v>1914</v>
      </c>
      <c r="K9107" s="2">
        <v>1</v>
      </c>
      <c r="L9107" s="2">
        <v>523</v>
      </c>
    </row>
    <row r="9108" spans="1:12" x14ac:dyDescent="0.25">
      <c r="A9108" s="4" t="str">
        <f>HYPERLINK("http://www.rosaceae.org/Prunus/Prunus_persica/p.persica_gdr_reftransV1_0045375","p.persica_gdr_reftransV1_0045375")</f>
        <v>p.persica_gdr_reftransV1_0045375</v>
      </c>
      <c r="B9108" s="2">
        <v>936</v>
      </c>
      <c r="C9108" s="4" t="str">
        <f>HYPERLINK("http://www.uniprot.org/uniprot/M5XB21","M5XB21")</f>
        <v>M5XB21</v>
      </c>
      <c r="D9108" s="2" t="s">
        <v>5917</v>
      </c>
      <c r="E9108" s="3">
        <v>8.6400000000000002E-111</v>
      </c>
      <c r="F9108" s="2">
        <v>858</v>
      </c>
      <c r="G9108" s="2">
        <v>100</v>
      </c>
      <c r="H9108" s="2">
        <v>208</v>
      </c>
      <c r="I9108" s="2">
        <v>155</v>
      </c>
      <c r="J9108" s="2">
        <v>778</v>
      </c>
      <c r="K9108" s="2">
        <v>79</v>
      </c>
      <c r="L9108" s="2">
        <v>286</v>
      </c>
    </row>
    <row r="9109" spans="1:12" x14ac:dyDescent="0.25">
      <c r="A9109" s="4" t="str">
        <f>HYPERLINK("http://www.rosaceae.org/Prunus/Prunus_persica/p.persica_gdr_reftransV1_0045725","p.persica_gdr_reftransV1_0045725")</f>
        <v>p.persica_gdr_reftransV1_0045725</v>
      </c>
      <c r="B9109" s="2">
        <v>655</v>
      </c>
      <c r="C9109" s="4" t="str">
        <f>HYPERLINK("http://www.uniprot.org/uniprot/M5WLA5","M5WLA5")</f>
        <v>M5WLA5</v>
      </c>
      <c r="D9109" s="2" t="s">
        <v>7929</v>
      </c>
      <c r="E9109" s="3">
        <v>4.31E-110</v>
      </c>
      <c r="F9109" s="2">
        <v>852</v>
      </c>
      <c r="G9109" s="2">
        <v>100</v>
      </c>
      <c r="H9109" s="2">
        <v>173</v>
      </c>
      <c r="I9109" s="2">
        <v>136</v>
      </c>
      <c r="J9109" s="2">
        <v>654</v>
      </c>
      <c r="K9109" s="2">
        <v>203</v>
      </c>
      <c r="L9109" s="2">
        <v>375</v>
      </c>
    </row>
    <row r="9110" spans="1:12" x14ac:dyDescent="0.25">
      <c r="A9110" s="4" t="str">
        <f>HYPERLINK("http://www.rosaceae.org/Prunus/Prunus_persica/p.persica_gdr_reftransV1_0046075","p.persica_gdr_reftransV1_0046075")</f>
        <v>p.persica_gdr_reftransV1_0046075</v>
      </c>
      <c r="B9110" s="2">
        <v>2135</v>
      </c>
      <c r="C9110" s="4" t="str">
        <f>HYPERLINK("http://www.uniprot.org/uniprot/M5VXE3","M5VXE3")</f>
        <v>M5VXE3</v>
      </c>
      <c r="D9110" s="2" t="s">
        <v>7930</v>
      </c>
      <c r="E9110" s="3">
        <v>0</v>
      </c>
      <c r="F9110" s="2">
        <v>2903</v>
      </c>
      <c r="G9110" s="2">
        <v>98</v>
      </c>
      <c r="H9110" s="2">
        <v>553</v>
      </c>
      <c r="I9110" s="2">
        <v>331</v>
      </c>
      <c r="J9110" s="2">
        <v>1989</v>
      </c>
      <c r="K9110" s="2">
        <v>6</v>
      </c>
      <c r="L9110" s="2">
        <v>548</v>
      </c>
    </row>
    <row r="9111" spans="1:12" x14ac:dyDescent="0.25">
      <c r="A9111" s="4" t="str">
        <f>HYPERLINK("http://www.rosaceae.org/Prunus/Prunus_persica/p.persica_gdr_reftransV1_0046425","p.persica_gdr_reftransV1_0046425")</f>
        <v>p.persica_gdr_reftransV1_0046425</v>
      </c>
      <c r="B9111" s="2">
        <v>1074</v>
      </c>
      <c r="C9111" s="4" t="str">
        <f>HYPERLINK("http://www.uniprot.org/uniprot/M5WJE0","M5WJE0")</f>
        <v>M5WJE0</v>
      </c>
      <c r="D9111" s="2" t="s">
        <v>7931</v>
      </c>
      <c r="E9111" s="3">
        <v>6.4800000000000006E-101</v>
      </c>
      <c r="F9111" s="2">
        <v>784</v>
      </c>
      <c r="G9111" s="2">
        <v>100</v>
      </c>
      <c r="H9111" s="2">
        <v>151</v>
      </c>
      <c r="I9111" s="2">
        <v>189</v>
      </c>
      <c r="J9111" s="2">
        <v>641</v>
      </c>
      <c r="K9111" s="2">
        <v>1</v>
      </c>
      <c r="L9111" s="2">
        <v>151</v>
      </c>
    </row>
    <row r="9112" spans="1:12" x14ac:dyDescent="0.25">
      <c r="A9112" s="4" t="str">
        <f>HYPERLINK("http://www.rosaceae.org/Prunus/Prunus_persica/p.persica_gdr_reftransV1_0046775","p.persica_gdr_reftransV1_0046775")</f>
        <v>p.persica_gdr_reftransV1_0046775</v>
      </c>
      <c r="B9112" s="2">
        <v>1764</v>
      </c>
      <c r="C9112" s="4" t="str">
        <f>HYPERLINK("http://www.uniprot.org/uniprot/W9QD44","W9QD44")</f>
        <v>W9QD44</v>
      </c>
      <c r="D9112" s="2" t="s">
        <v>7932</v>
      </c>
      <c r="E9112" s="3">
        <v>4.7299999999999998E-178</v>
      </c>
      <c r="F9112" s="2">
        <v>1382</v>
      </c>
      <c r="G9112" s="2">
        <v>64</v>
      </c>
      <c r="H9112" s="2">
        <v>424</v>
      </c>
      <c r="I9112" s="2">
        <v>35</v>
      </c>
      <c r="J9112" s="2">
        <v>1285</v>
      </c>
      <c r="K9112" s="2">
        <v>25</v>
      </c>
      <c r="L9112" s="2">
        <v>443</v>
      </c>
    </row>
    <row r="9113" spans="1:12" x14ac:dyDescent="0.25">
      <c r="A9113" s="4" t="str">
        <f>HYPERLINK("http://www.rosaceae.org/Prunus/Prunus_persica/p.persica_gdr_reftransV1_0047125","p.persica_gdr_reftransV1_0047125")</f>
        <v>p.persica_gdr_reftransV1_0047125</v>
      </c>
      <c r="B9113" s="2">
        <v>1042</v>
      </c>
      <c r="C9113" s="4" t="str">
        <f>HYPERLINK("http://www.uniprot.org/uniprot/M5X812","M5X812")</f>
        <v>M5X812</v>
      </c>
      <c r="D9113" s="2" t="s">
        <v>7933</v>
      </c>
      <c r="E9113" s="3">
        <v>5.1100000000000005E-156</v>
      </c>
      <c r="F9113" s="2">
        <v>1156</v>
      </c>
      <c r="G9113" s="2">
        <v>100</v>
      </c>
      <c r="H9113" s="2">
        <v>221</v>
      </c>
      <c r="I9113" s="2">
        <v>288</v>
      </c>
      <c r="J9113" s="2">
        <v>950</v>
      </c>
      <c r="K9113" s="2">
        <v>21</v>
      </c>
      <c r="L9113" s="2">
        <v>241</v>
      </c>
    </row>
    <row r="9114" spans="1:12" x14ac:dyDescent="0.25">
      <c r="A9114" s="4" t="str">
        <f>HYPERLINK("http://www.rosaceae.org/Prunus/Prunus_persica/p.persica_gdr_reftransV1_0047825","p.persica_gdr_reftransV1_0047825")</f>
        <v>p.persica_gdr_reftransV1_0047825</v>
      </c>
      <c r="B9114" s="2">
        <v>2966</v>
      </c>
      <c r="C9114" s="4" t="str">
        <f>HYPERLINK("http://www.uniprot.org/uniprot/M5VIL9","M5VIL9")</f>
        <v>M5VIL9</v>
      </c>
      <c r="D9114" s="2" t="s">
        <v>7934</v>
      </c>
      <c r="E9114" s="3">
        <v>0</v>
      </c>
      <c r="F9114" s="2">
        <v>2251</v>
      </c>
      <c r="G9114" s="2">
        <v>100</v>
      </c>
      <c r="H9114" s="2">
        <v>470</v>
      </c>
      <c r="I9114" s="2">
        <v>1383</v>
      </c>
      <c r="J9114" s="2">
        <v>2792</v>
      </c>
      <c r="K9114" s="2">
        <v>120</v>
      </c>
      <c r="L9114" s="2">
        <v>589</v>
      </c>
    </row>
    <row r="9115" spans="1:12" x14ac:dyDescent="0.25">
      <c r="A9115" s="4" t="str">
        <f>HYPERLINK("http://www.rosaceae.org/Prunus/Prunus_persica/p.persica_gdr_reftransV1_0048175","p.persica_gdr_reftransV1_0048175")</f>
        <v>p.persica_gdr_reftransV1_0048175</v>
      </c>
      <c r="B9115" s="2">
        <v>636</v>
      </c>
      <c r="C9115" s="4" t="str">
        <f>HYPERLINK("http://www.uniprot.org/uniprot/A0A075VXC7","A0A075VXC7")</f>
        <v>A0A075VXC7</v>
      </c>
      <c r="D9115" s="2" t="s">
        <v>7935</v>
      </c>
      <c r="E9115" s="3">
        <v>2.8799999999999998E-103</v>
      </c>
      <c r="F9115" s="2">
        <v>785</v>
      </c>
      <c r="G9115" s="2">
        <v>95</v>
      </c>
      <c r="H9115" s="2">
        <v>152</v>
      </c>
      <c r="I9115" s="2">
        <v>78</v>
      </c>
      <c r="J9115" s="2">
        <v>533</v>
      </c>
      <c r="K9115" s="2">
        <v>1</v>
      </c>
      <c r="L9115" s="2">
        <v>152</v>
      </c>
    </row>
    <row r="9116" spans="1:12" x14ac:dyDescent="0.25">
      <c r="A9116" s="4" t="str">
        <f>HYPERLINK("http://www.rosaceae.org/Prunus/Prunus_persica/p.persica_gdr_reftransV1_0048525","p.persica_gdr_reftransV1_0048525")</f>
        <v>p.persica_gdr_reftransV1_0048525</v>
      </c>
      <c r="B9116" s="2">
        <v>2827</v>
      </c>
      <c r="C9116" s="4" t="str">
        <f>HYPERLINK("http://www.uniprot.org/uniprot/M5XLP3","M5XLP3")</f>
        <v>M5XLP3</v>
      </c>
      <c r="D9116" s="2" t="s">
        <v>7936</v>
      </c>
      <c r="E9116" s="3">
        <v>0</v>
      </c>
      <c r="F9116" s="2">
        <v>4156</v>
      </c>
      <c r="G9116" s="2">
        <v>100</v>
      </c>
      <c r="H9116" s="2">
        <v>791</v>
      </c>
      <c r="I9116" s="2">
        <v>228</v>
      </c>
      <c r="J9116" s="2">
        <v>2600</v>
      </c>
      <c r="K9116" s="2">
        <v>1</v>
      </c>
      <c r="L9116" s="2">
        <v>791</v>
      </c>
    </row>
    <row r="9117" spans="1:12" x14ac:dyDescent="0.25">
      <c r="A9117" s="4" t="str">
        <f>HYPERLINK("http://www.rosaceae.org/Prunus/Prunus_persica/p.persica_gdr_reftransV1_0048875","p.persica_gdr_reftransV1_0048875")</f>
        <v>p.persica_gdr_reftransV1_0048875</v>
      </c>
      <c r="B9117" s="2">
        <v>1652</v>
      </c>
      <c r="C9117" s="4" t="str">
        <f>HYPERLINK("http://www.uniprot.org/uniprot/M5XCV4","M5XCV4")</f>
        <v>M5XCV4</v>
      </c>
      <c r="D9117" s="2" t="s">
        <v>7937</v>
      </c>
      <c r="E9117" s="3">
        <v>0</v>
      </c>
      <c r="F9117" s="2">
        <v>1751</v>
      </c>
      <c r="G9117" s="2">
        <v>100</v>
      </c>
      <c r="H9117" s="2">
        <v>345</v>
      </c>
      <c r="I9117" s="2">
        <v>435</v>
      </c>
      <c r="J9117" s="2">
        <v>1469</v>
      </c>
      <c r="K9117" s="2">
        <v>1</v>
      </c>
      <c r="L9117" s="2">
        <v>345</v>
      </c>
    </row>
    <row r="9118" spans="1:12" x14ac:dyDescent="0.25">
      <c r="A9118" s="4" t="str">
        <f>HYPERLINK("http://www.rosaceae.org/Prunus/Prunus_persica/p.persica_gdr_reftransV1_0000226","p.persica_gdr_reftransV1_0000226")</f>
        <v>p.persica_gdr_reftransV1_0000226</v>
      </c>
      <c r="B9118" s="2">
        <v>1845</v>
      </c>
      <c r="C9118" s="4" t="str">
        <f>HYPERLINK("http://www.uniprot.org/uniprot/M5WU71","M5WU71")</f>
        <v>M5WU71</v>
      </c>
      <c r="D9118" s="2" t="s">
        <v>7938</v>
      </c>
      <c r="E9118" s="3">
        <v>0</v>
      </c>
      <c r="F9118" s="2">
        <v>2305</v>
      </c>
      <c r="G9118" s="2">
        <v>97</v>
      </c>
      <c r="H9118" s="2">
        <v>456</v>
      </c>
      <c r="I9118" s="2">
        <v>447</v>
      </c>
      <c r="J9118" s="2">
        <v>1772</v>
      </c>
      <c r="K9118" s="2">
        <v>1</v>
      </c>
      <c r="L9118" s="2">
        <v>456</v>
      </c>
    </row>
    <row r="9119" spans="1:12" x14ac:dyDescent="0.25">
      <c r="A9119" s="4" t="str">
        <f>HYPERLINK("http://www.rosaceae.org/Prunus/Prunus_persica/p.persica_gdr_reftransV1_0000576","p.persica_gdr_reftransV1_0000576")</f>
        <v>p.persica_gdr_reftransV1_0000576</v>
      </c>
      <c r="B9119" s="2">
        <v>1584</v>
      </c>
      <c r="C9119" s="4" t="str">
        <f>HYPERLINK("http://www.uniprot.org/uniprot/M5W4S4","M5W4S4")</f>
        <v>M5W4S4</v>
      </c>
      <c r="D9119" s="2" t="s">
        <v>5802</v>
      </c>
      <c r="E9119" s="3">
        <v>0</v>
      </c>
      <c r="F9119" s="2">
        <v>1723</v>
      </c>
      <c r="G9119" s="2">
        <v>100</v>
      </c>
      <c r="H9119" s="2">
        <v>357</v>
      </c>
      <c r="I9119" s="2">
        <v>221</v>
      </c>
      <c r="J9119" s="2">
        <v>1291</v>
      </c>
      <c r="K9119" s="2">
        <v>1</v>
      </c>
      <c r="L9119" s="2">
        <v>357</v>
      </c>
    </row>
    <row r="9120" spans="1:12" x14ac:dyDescent="0.25">
      <c r="A9120" s="4" t="str">
        <f>HYPERLINK("http://www.rosaceae.org/Prunus/Prunus_persica/p.persica_gdr_reftransV1_0000926","p.persica_gdr_reftransV1_0000926")</f>
        <v>p.persica_gdr_reftransV1_0000926</v>
      </c>
      <c r="B9120" s="2">
        <v>972</v>
      </c>
      <c r="C9120" s="4" t="str">
        <f>HYPERLINK("http://www.uniprot.org/uniprot/M5VN54","M5VN54")</f>
        <v>M5VN54</v>
      </c>
      <c r="D9120" s="2" t="s">
        <v>7617</v>
      </c>
      <c r="E9120" s="3">
        <v>5.1699999999999997E-53</v>
      </c>
      <c r="F9120" s="2">
        <v>457</v>
      </c>
      <c r="G9120" s="2">
        <v>100</v>
      </c>
      <c r="H9120" s="2">
        <v>100</v>
      </c>
      <c r="I9120" s="2">
        <v>119</v>
      </c>
      <c r="J9120" s="2">
        <v>418</v>
      </c>
      <c r="K9120" s="2">
        <v>1</v>
      </c>
      <c r="L9120" s="2">
        <v>100</v>
      </c>
    </row>
    <row r="9121" spans="1:12" x14ac:dyDescent="0.25">
      <c r="A9121" s="4" t="str">
        <f>HYPERLINK("http://www.rosaceae.org/Prunus/Prunus_persica/p.persica_gdr_reftransV1_0001276","p.persica_gdr_reftransV1_0001276")</f>
        <v>p.persica_gdr_reftransV1_0001276</v>
      </c>
      <c r="B9121" s="2">
        <v>314</v>
      </c>
      <c r="C9121" s="4" t="str">
        <f>HYPERLINK("http://www.uniprot.org/uniprot/M5XMI3","M5XMI3")</f>
        <v>M5XMI3</v>
      </c>
      <c r="D9121" s="2" t="s">
        <v>7939</v>
      </c>
      <c r="E9121" s="3">
        <v>9.6199999999999991E-69</v>
      </c>
      <c r="F9121" s="2">
        <v>551</v>
      </c>
      <c r="G9121" s="2">
        <v>100</v>
      </c>
      <c r="H9121" s="2">
        <v>104</v>
      </c>
      <c r="I9121" s="2">
        <v>3</v>
      </c>
      <c r="J9121" s="2">
        <v>314</v>
      </c>
      <c r="K9121" s="2">
        <v>120</v>
      </c>
      <c r="L9121" s="2">
        <v>223</v>
      </c>
    </row>
    <row r="9122" spans="1:12" x14ac:dyDescent="0.25">
      <c r="A9122" s="4" t="str">
        <f>HYPERLINK("http://www.rosaceae.org/Prunus/Prunus_persica/p.persica_gdr_reftransV1_0001976","p.persica_gdr_reftransV1_0001976")</f>
        <v>p.persica_gdr_reftransV1_0001976</v>
      </c>
      <c r="B9122" s="2">
        <v>1591</v>
      </c>
      <c r="C9122" s="4" t="str">
        <f>HYPERLINK("http://www.uniprot.org/uniprot/M5WUZ4","M5WUZ4")</f>
        <v>M5WUZ4</v>
      </c>
      <c r="D9122" s="2" t="s">
        <v>7256</v>
      </c>
      <c r="E9122" s="3">
        <v>0</v>
      </c>
      <c r="F9122" s="2">
        <v>1188</v>
      </c>
      <c r="G9122" s="2">
        <v>100</v>
      </c>
      <c r="H9122" s="2">
        <v>268</v>
      </c>
      <c r="I9122" s="2">
        <v>95</v>
      </c>
      <c r="J9122" s="2">
        <v>898</v>
      </c>
      <c r="K9122" s="2">
        <v>1</v>
      </c>
      <c r="L9122" s="2">
        <v>268</v>
      </c>
    </row>
    <row r="9123" spans="1:12" x14ac:dyDescent="0.25">
      <c r="A9123" s="4" t="str">
        <f>HYPERLINK("http://www.rosaceae.org/Prunus/Prunus_persica/p.persica_gdr_reftransV1_0002326","p.persica_gdr_reftransV1_0002326")</f>
        <v>p.persica_gdr_reftransV1_0002326</v>
      </c>
      <c r="B9123" s="2">
        <v>1995</v>
      </c>
      <c r="C9123" s="4" t="str">
        <f>HYPERLINK("http://www.uniprot.org/uniprot/M5XT06","M5XT06")</f>
        <v>M5XT06</v>
      </c>
      <c r="D9123" s="2" t="s">
        <v>1720</v>
      </c>
      <c r="E9123" s="3">
        <v>0</v>
      </c>
      <c r="F9123" s="2">
        <v>2401</v>
      </c>
      <c r="G9123" s="2">
        <v>100</v>
      </c>
      <c r="H9123" s="2">
        <v>562</v>
      </c>
      <c r="I9123" s="2">
        <v>160</v>
      </c>
      <c r="J9123" s="2">
        <v>1845</v>
      </c>
      <c r="K9123" s="2">
        <v>1</v>
      </c>
      <c r="L9123" s="2">
        <v>562</v>
      </c>
    </row>
    <row r="9124" spans="1:12" x14ac:dyDescent="0.25">
      <c r="A9124" s="4" t="str">
        <f>HYPERLINK("http://www.rosaceae.org/Prunus/Prunus_persica/p.persica_gdr_reftransV1_0002676","p.persica_gdr_reftransV1_0002676")</f>
        <v>p.persica_gdr_reftransV1_0002676</v>
      </c>
      <c r="B9124" s="2">
        <v>873</v>
      </c>
      <c r="C9124" s="4" t="str">
        <f>HYPERLINK("http://www.uniprot.org/uniprot/M5XDM2","M5XDM2")</f>
        <v>M5XDM2</v>
      </c>
      <c r="D9124" s="2" t="s">
        <v>7940</v>
      </c>
      <c r="E9124" s="3">
        <v>2.85E-108</v>
      </c>
      <c r="F9124" s="2">
        <v>830</v>
      </c>
      <c r="G9124" s="2">
        <v>100</v>
      </c>
      <c r="H9124" s="2">
        <v>192</v>
      </c>
      <c r="I9124" s="2">
        <v>217</v>
      </c>
      <c r="J9124" s="2">
        <v>792</v>
      </c>
      <c r="K9124" s="2">
        <v>1</v>
      </c>
      <c r="L9124" s="2">
        <v>192</v>
      </c>
    </row>
    <row r="9125" spans="1:12" x14ac:dyDescent="0.25">
      <c r="A9125" s="4" t="str">
        <f>HYPERLINK("http://www.rosaceae.org/Prunus/Prunus_persica/p.persica_gdr_reftransV1_0003026","p.persica_gdr_reftransV1_0003026")</f>
        <v>p.persica_gdr_reftransV1_0003026</v>
      </c>
      <c r="B9125" s="2">
        <v>3509</v>
      </c>
      <c r="C9125" s="4" t="str">
        <f>HYPERLINK("http://www.uniprot.org/uniprot/M5WKS4","M5WKS4")</f>
        <v>M5WKS4</v>
      </c>
      <c r="D9125" s="2" t="s">
        <v>1929</v>
      </c>
      <c r="E9125" s="3">
        <v>0</v>
      </c>
      <c r="F9125" s="2">
        <v>4981</v>
      </c>
      <c r="G9125" s="2">
        <v>99</v>
      </c>
      <c r="H9125" s="2">
        <v>949</v>
      </c>
      <c r="I9125" s="2">
        <v>276</v>
      </c>
      <c r="J9125" s="2">
        <v>3122</v>
      </c>
      <c r="K9125" s="2">
        <v>1</v>
      </c>
      <c r="L9125" s="2">
        <v>940</v>
      </c>
    </row>
    <row r="9126" spans="1:12" x14ac:dyDescent="0.25">
      <c r="A9126" s="4" t="str">
        <f>HYPERLINK("http://www.rosaceae.org/Prunus/Prunus_persica/p.persica_gdr_reftransV1_0003376","p.persica_gdr_reftransV1_0003376")</f>
        <v>p.persica_gdr_reftransV1_0003376</v>
      </c>
      <c r="B9126" s="2">
        <v>2439</v>
      </c>
      <c r="C9126" s="4" t="str">
        <f>HYPERLINK("http://www.uniprot.org/uniprot/M5WGY8","M5WGY8")</f>
        <v>M5WGY8</v>
      </c>
      <c r="D9126" s="2" t="s">
        <v>7163</v>
      </c>
      <c r="E9126" s="3">
        <v>0</v>
      </c>
      <c r="F9126" s="2">
        <v>3968</v>
      </c>
      <c r="G9126" s="2">
        <v>100</v>
      </c>
      <c r="H9126" s="2">
        <v>775</v>
      </c>
      <c r="I9126" s="2">
        <v>111</v>
      </c>
      <c r="J9126" s="2">
        <v>2435</v>
      </c>
      <c r="K9126" s="2">
        <v>56</v>
      </c>
      <c r="L9126" s="2">
        <v>830</v>
      </c>
    </row>
    <row r="9127" spans="1:12" x14ac:dyDescent="0.25">
      <c r="A9127" s="4" t="str">
        <f>HYPERLINK("http://www.rosaceae.org/Prunus/Prunus_persica/p.persica_gdr_reftransV1_0004076","p.persica_gdr_reftransV1_0004076")</f>
        <v>p.persica_gdr_reftransV1_0004076</v>
      </c>
      <c r="B9127" s="2">
        <v>3076</v>
      </c>
      <c r="C9127" s="4" t="str">
        <f>HYPERLINK("http://www.uniprot.org/uniprot/M5XKA1","M5XKA1")</f>
        <v>M5XKA1</v>
      </c>
      <c r="D9127" s="2" t="s">
        <v>5656</v>
      </c>
      <c r="E9127" s="3">
        <v>0</v>
      </c>
      <c r="F9127" s="2">
        <v>2308</v>
      </c>
      <c r="G9127" s="2">
        <v>100</v>
      </c>
      <c r="H9127" s="2">
        <v>439</v>
      </c>
      <c r="I9127" s="2">
        <v>1528</v>
      </c>
      <c r="J9127" s="2">
        <v>2844</v>
      </c>
      <c r="K9127" s="2">
        <v>407</v>
      </c>
      <c r="L9127" s="2">
        <v>845</v>
      </c>
    </row>
    <row r="9128" spans="1:12" x14ac:dyDescent="0.25">
      <c r="A9128" s="4" t="str">
        <f>HYPERLINK("http://www.rosaceae.org/Prunus/Prunus_persica/p.persica_gdr_reftransV1_0005826","p.persica_gdr_reftransV1_0005826")</f>
        <v>p.persica_gdr_reftransV1_0005826</v>
      </c>
      <c r="B9128" s="2">
        <v>2419</v>
      </c>
      <c r="C9128" s="4" t="str">
        <f>HYPERLINK("http://www.uniprot.org/uniprot/M5WRJ8","M5WRJ8")</f>
        <v>M5WRJ8</v>
      </c>
      <c r="D9128" s="2" t="s">
        <v>3512</v>
      </c>
      <c r="E9128" s="3">
        <v>2.8499999999999999E-176</v>
      </c>
      <c r="F9128" s="2">
        <v>1021</v>
      </c>
      <c r="G9128" s="2">
        <v>47</v>
      </c>
      <c r="H9128" s="2">
        <v>455</v>
      </c>
      <c r="I9128" s="2">
        <v>463</v>
      </c>
      <c r="J9128" s="2">
        <v>1824</v>
      </c>
      <c r="K9128" s="2">
        <v>778</v>
      </c>
      <c r="L9128" s="2">
        <v>1171</v>
      </c>
    </row>
    <row r="9129" spans="1:12" x14ac:dyDescent="0.25">
      <c r="A9129" s="4" t="str">
        <f>HYPERLINK("http://www.rosaceae.org/Prunus/Prunus_persica/p.persica_gdr_reftransV1_0006176","p.persica_gdr_reftransV1_0006176")</f>
        <v>p.persica_gdr_reftransV1_0006176</v>
      </c>
      <c r="B9129" s="2">
        <v>639</v>
      </c>
      <c r="C9129" s="4" t="str">
        <f>HYPERLINK("http://www.uniprot.org/uniprot/M5VV10","M5VV10")</f>
        <v>M5VV10</v>
      </c>
      <c r="D9129" s="2" t="s">
        <v>7941</v>
      </c>
      <c r="E9129" s="3">
        <v>1.6499999999999999E-50</v>
      </c>
      <c r="F9129" s="2">
        <v>433</v>
      </c>
      <c r="G9129" s="2">
        <v>99</v>
      </c>
      <c r="H9129" s="2">
        <v>85</v>
      </c>
      <c r="I9129" s="2">
        <v>22</v>
      </c>
      <c r="J9129" s="2">
        <v>276</v>
      </c>
      <c r="K9129" s="2">
        <v>1</v>
      </c>
      <c r="L9129" s="2">
        <v>85</v>
      </c>
    </row>
    <row r="9130" spans="1:12" x14ac:dyDescent="0.25">
      <c r="A9130" s="4" t="str">
        <f>HYPERLINK("http://www.rosaceae.org/Prunus/Prunus_persica/p.persica_gdr_reftransV1_0006526","p.persica_gdr_reftransV1_0006526")</f>
        <v>p.persica_gdr_reftransV1_0006526</v>
      </c>
      <c r="B9130" s="2">
        <v>2052</v>
      </c>
      <c r="C9130" s="4" t="str">
        <f>HYPERLINK("http://www.uniprot.org/uniprot/M5VMA1","M5VMA1")</f>
        <v>M5VMA1</v>
      </c>
      <c r="D9130" s="2" t="s">
        <v>7942</v>
      </c>
      <c r="E9130" s="3">
        <v>8.0500000000000001E-72</v>
      </c>
      <c r="F9130" s="2">
        <v>635</v>
      </c>
      <c r="G9130" s="2">
        <v>89</v>
      </c>
      <c r="H9130" s="2">
        <v>387</v>
      </c>
      <c r="I9130" s="2">
        <v>453</v>
      </c>
      <c r="J9130" s="2">
        <v>1607</v>
      </c>
      <c r="K9130" s="2">
        <v>1</v>
      </c>
      <c r="L9130" s="2">
        <v>368</v>
      </c>
    </row>
    <row r="9131" spans="1:12" x14ac:dyDescent="0.25">
      <c r="A9131" s="4" t="str">
        <f>HYPERLINK("http://www.rosaceae.org/Prunus/Prunus_persica/p.persica_gdr_reftransV1_0007226","p.persica_gdr_reftransV1_0007226")</f>
        <v>p.persica_gdr_reftransV1_0007226</v>
      </c>
      <c r="B9131" s="2">
        <v>3099</v>
      </c>
      <c r="C9131" s="4" t="str">
        <f>HYPERLINK("http://www.uniprot.org/uniprot/M5W7V1","M5W7V1")</f>
        <v>M5W7V1</v>
      </c>
      <c r="D9131" s="2" t="s">
        <v>7943</v>
      </c>
      <c r="E9131" s="3">
        <v>0</v>
      </c>
      <c r="F9131" s="2">
        <v>3881</v>
      </c>
      <c r="G9131" s="2">
        <v>100</v>
      </c>
      <c r="H9131" s="2">
        <v>800</v>
      </c>
      <c r="I9131" s="2">
        <v>446</v>
      </c>
      <c r="J9131" s="2">
        <v>2845</v>
      </c>
      <c r="K9131" s="2">
        <v>1</v>
      </c>
      <c r="L9131" s="2">
        <v>800</v>
      </c>
    </row>
    <row r="9132" spans="1:12" x14ac:dyDescent="0.25">
      <c r="A9132" s="4" t="str">
        <f>HYPERLINK("http://www.rosaceae.org/Prunus/Prunus_persica/p.persica_gdr_reftransV1_0007576","p.persica_gdr_reftransV1_0007576")</f>
        <v>p.persica_gdr_reftransV1_0007576</v>
      </c>
      <c r="B9132" s="2">
        <v>2028</v>
      </c>
      <c r="C9132" s="4" t="str">
        <f>HYPERLINK("http://www.uniprot.org/uniprot/M5X563","M5X563")</f>
        <v>M5X563</v>
      </c>
      <c r="D9132" s="2" t="s">
        <v>7045</v>
      </c>
      <c r="E9132" s="3">
        <v>0</v>
      </c>
      <c r="F9132" s="2">
        <v>1635</v>
      </c>
      <c r="G9132" s="2">
        <v>95</v>
      </c>
      <c r="H9132" s="2">
        <v>329</v>
      </c>
      <c r="I9132" s="2">
        <v>583</v>
      </c>
      <c r="J9132" s="2">
        <v>1569</v>
      </c>
      <c r="K9132" s="2">
        <v>84</v>
      </c>
      <c r="L9132" s="2">
        <v>408</v>
      </c>
    </row>
    <row r="9133" spans="1:12" x14ac:dyDescent="0.25">
      <c r="A9133" s="4" t="str">
        <f>HYPERLINK("http://www.rosaceae.org/Prunus/Prunus_persica/p.persica_gdr_reftransV1_0007926","p.persica_gdr_reftransV1_0007926")</f>
        <v>p.persica_gdr_reftransV1_0007926</v>
      </c>
      <c r="B9133" s="2">
        <v>1208</v>
      </c>
      <c r="C9133" s="4" t="str">
        <f>HYPERLINK("http://www.uniprot.org/uniprot/M5WEM3","M5WEM3")</f>
        <v>M5WEM3</v>
      </c>
      <c r="D9133" s="2" t="s">
        <v>7944</v>
      </c>
      <c r="E9133" s="3">
        <v>1.3599999999999999E-142</v>
      </c>
      <c r="F9133" s="2">
        <v>954</v>
      </c>
      <c r="G9133" s="2">
        <v>99</v>
      </c>
      <c r="H9133" s="2">
        <v>184</v>
      </c>
      <c r="I9133" s="2">
        <v>634</v>
      </c>
      <c r="J9133" s="2">
        <v>1185</v>
      </c>
      <c r="K9133" s="2">
        <v>90</v>
      </c>
      <c r="L9133" s="2">
        <v>273</v>
      </c>
    </row>
    <row r="9134" spans="1:12" x14ac:dyDescent="0.25">
      <c r="A9134" s="4" t="str">
        <f>HYPERLINK("http://www.rosaceae.org/Prunus/Prunus_persica/p.persica_gdr_reftransV1_0008276","p.persica_gdr_reftransV1_0008276")</f>
        <v>p.persica_gdr_reftransV1_0008276</v>
      </c>
      <c r="B9134" s="2">
        <v>3742</v>
      </c>
      <c r="C9134" s="4" t="str">
        <f>HYPERLINK("http://www.uniprot.org/uniprot/M5Y1X0","M5Y1X0")</f>
        <v>M5Y1X0</v>
      </c>
      <c r="D9134" s="2" t="s">
        <v>7945</v>
      </c>
      <c r="E9134" s="3">
        <v>0</v>
      </c>
      <c r="F9134" s="2">
        <v>5208</v>
      </c>
      <c r="G9134" s="2">
        <v>98</v>
      </c>
      <c r="H9134" s="2">
        <v>1086</v>
      </c>
      <c r="I9134" s="2">
        <v>2</v>
      </c>
      <c r="J9134" s="2">
        <v>3259</v>
      </c>
      <c r="K9134" s="2">
        <v>114</v>
      </c>
      <c r="L9134" s="2">
        <v>1180</v>
      </c>
    </row>
    <row r="9135" spans="1:12" x14ac:dyDescent="0.25">
      <c r="A9135" s="4" t="str">
        <f>HYPERLINK("http://www.rosaceae.org/Prunus/Prunus_persica/p.persica_gdr_reftransV1_0008626","p.persica_gdr_reftransV1_0008626")</f>
        <v>p.persica_gdr_reftransV1_0008626</v>
      </c>
      <c r="B9135" s="2">
        <v>669</v>
      </c>
      <c r="C9135" s="4" t="str">
        <f>HYPERLINK("http://www.uniprot.org/uniprot/M5XSV6","M5XSV6")</f>
        <v>M5XSV6</v>
      </c>
      <c r="D9135" s="2" t="s">
        <v>7946</v>
      </c>
      <c r="E9135" s="3">
        <v>1.2899999999999999E-66</v>
      </c>
      <c r="F9135" s="2">
        <v>541</v>
      </c>
      <c r="G9135" s="2">
        <v>100</v>
      </c>
      <c r="H9135" s="2">
        <v>121</v>
      </c>
      <c r="I9135" s="2">
        <v>78</v>
      </c>
      <c r="J9135" s="2">
        <v>440</v>
      </c>
      <c r="K9135" s="2">
        <v>1</v>
      </c>
      <c r="L9135" s="2">
        <v>121</v>
      </c>
    </row>
    <row r="9136" spans="1:12" x14ac:dyDescent="0.25">
      <c r="A9136" s="4" t="str">
        <f>HYPERLINK("http://www.rosaceae.org/Prunus/Prunus_persica/p.persica_gdr_reftransV1_0008976","p.persica_gdr_reftransV1_0008976")</f>
        <v>p.persica_gdr_reftransV1_0008976</v>
      </c>
      <c r="B9136" s="2">
        <v>4306</v>
      </c>
      <c r="C9136" s="4" t="str">
        <f>HYPERLINK("http://www.uniprot.org/uniprot/M5XXV7","M5XXV7")</f>
        <v>M5XXV7</v>
      </c>
      <c r="D9136" s="2" t="s">
        <v>7947</v>
      </c>
      <c r="E9136" s="3">
        <v>0</v>
      </c>
      <c r="F9136" s="2">
        <v>4619</v>
      </c>
      <c r="G9136" s="2">
        <v>99</v>
      </c>
      <c r="H9136" s="2">
        <v>1008</v>
      </c>
      <c r="I9136" s="2">
        <v>276</v>
      </c>
      <c r="J9136" s="2">
        <v>3299</v>
      </c>
      <c r="K9136" s="2">
        <v>32</v>
      </c>
      <c r="L9136" s="2">
        <v>1026</v>
      </c>
    </row>
    <row r="9137" spans="1:12" x14ac:dyDescent="0.25">
      <c r="A9137" s="4" t="str">
        <f>HYPERLINK("http://www.rosaceae.org/Prunus/Prunus_persica/p.persica_gdr_reftransV1_0009326","p.persica_gdr_reftransV1_0009326")</f>
        <v>p.persica_gdr_reftransV1_0009326</v>
      </c>
      <c r="B9137" s="2">
        <v>495</v>
      </c>
      <c r="C9137" s="4" t="str">
        <f>HYPERLINK("http://www.uniprot.org/uniprot/M5XI04","M5XI04")</f>
        <v>M5XI04</v>
      </c>
      <c r="D9137" s="2" t="s">
        <v>7948</v>
      </c>
      <c r="E9137" s="3">
        <v>1.9399999999999999E-19</v>
      </c>
      <c r="F9137" s="2">
        <v>227</v>
      </c>
      <c r="G9137" s="2">
        <v>64</v>
      </c>
      <c r="H9137" s="2">
        <v>75</v>
      </c>
      <c r="I9137" s="2">
        <v>116</v>
      </c>
      <c r="J9137" s="2">
        <v>340</v>
      </c>
      <c r="K9137" s="2">
        <v>116</v>
      </c>
      <c r="L9137" s="2">
        <v>184</v>
      </c>
    </row>
    <row r="9138" spans="1:12" x14ac:dyDescent="0.25">
      <c r="A9138" s="4" t="str">
        <f>HYPERLINK("http://www.rosaceae.org/Prunus/Prunus_persica/p.persica_gdr_reftransV1_0009676","p.persica_gdr_reftransV1_0009676")</f>
        <v>p.persica_gdr_reftransV1_0009676</v>
      </c>
      <c r="B9138" s="2">
        <v>1766</v>
      </c>
      <c r="C9138" s="4" t="str">
        <f>HYPERLINK("http://www.uniprot.org/uniprot/A0A067DHG1","A0A067DHG1")</f>
        <v>A0A067DHG1</v>
      </c>
      <c r="D9138" s="2" t="s">
        <v>7949</v>
      </c>
      <c r="E9138" s="3">
        <v>0</v>
      </c>
      <c r="F9138" s="2">
        <v>1493</v>
      </c>
      <c r="G9138" s="2">
        <v>71</v>
      </c>
      <c r="H9138" s="2">
        <v>410</v>
      </c>
      <c r="I9138" s="2">
        <v>447</v>
      </c>
      <c r="J9138" s="2">
        <v>1643</v>
      </c>
      <c r="K9138" s="2">
        <v>1</v>
      </c>
      <c r="L9138" s="2">
        <v>406</v>
      </c>
    </row>
    <row r="9139" spans="1:12" x14ac:dyDescent="0.25">
      <c r="A9139" s="4" t="str">
        <f>HYPERLINK("http://www.rosaceae.org/Prunus/Prunus_persica/p.persica_gdr_reftransV1_0010026","p.persica_gdr_reftransV1_0010026")</f>
        <v>p.persica_gdr_reftransV1_0010026</v>
      </c>
      <c r="B9139" s="2">
        <v>1908</v>
      </c>
      <c r="C9139" s="4" t="str">
        <f>HYPERLINK("http://www.uniprot.org/uniprot/M5X7Z7","M5X7Z7")</f>
        <v>M5X7Z7</v>
      </c>
      <c r="D9139" s="2" t="s">
        <v>7950</v>
      </c>
      <c r="E9139" s="3">
        <v>0</v>
      </c>
      <c r="F9139" s="2">
        <v>2230</v>
      </c>
      <c r="G9139" s="2">
        <v>100</v>
      </c>
      <c r="H9139" s="2">
        <v>441</v>
      </c>
      <c r="I9139" s="2">
        <v>474</v>
      </c>
      <c r="J9139" s="2">
        <v>1796</v>
      </c>
      <c r="K9139" s="2">
        <v>1</v>
      </c>
      <c r="L9139" s="2">
        <v>441</v>
      </c>
    </row>
    <row r="9140" spans="1:12" x14ac:dyDescent="0.25">
      <c r="A9140" s="4" t="str">
        <f>HYPERLINK("http://www.rosaceae.org/Prunus/Prunus_persica/p.persica_gdr_reftransV1_0010376","p.persica_gdr_reftransV1_0010376")</f>
        <v>p.persica_gdr_reftransV1_0010376</v>
      </c>
      <c r="B9140" s="2">
        <v>2132</v>
      </c>
      <c r="C9140" s="4" t="str">
        <f>HYPERLINK("http://www.uniprot.org/uniprot/A0A067L5C0","A0A067L5C0")</f>
        <v>A0A067L5C0</v>
      </c>
      <c r="D9140" s="2" t="s">
        <v>7951</v>
      </c>
      <c r="E9140" s="3">
        <v>2.1100000000000001E-87</v>
      </c>
      <c r="F9140" s="2">
        <v>736</v>
      </c>
      <c r="G9140" s="2">
        <v>76</v>
      </c>
      <c r="H9140" s="2">
        <v>186</v>
      </c>
      <c r="I9140" s="2">
        <v>1406</v>
      </c>
      <c r="J9140" s="2">
        <v>1963</v>
      </c>
      <c r="K9140" s="2">
        <v>1</v>
      </c>
      <c r="L9140" s="2">
        <v>184</v>
      </c>
    </row>
    <row r="9141" spans="1:12" x14ac:dyDescent="0.25">
      <c r="A9141" s="4" t="str">
        <f>HYPERLINK("http://www.rosaceae.org/Prunus/Prunus_persica/p.persica_gdr_reftransV1_0011426","p.persica_gdr_reftransV1_0011426")</f>
        <v>p.persica_gdr_reftransV1_0011426</v>
      </c>
      <c r="B9141" s="2">
        <v>1104</v>
      </c>
      <c r="C9141" s="4" t="str">
        <f>HYPERLINK("http://www.uniprot.org/uniprot/M5WG70","M5WG70")</f>
        <v>M5WG70</v>
      </c>
      <c r="D9141" s="2" t="s">
        <v>7952</v>
      </c>
      <c r="E9141" s="3">
        <v>1.24E-166</v>
      </c>
      <c r="F9141" s="2">
        <v>1250</v>
      </c>
      <c r="G9141" s="2">
        <v>86</v>
      </c>
      <c r="H9141" s="2">
        <v>312</v>
      </c>
      <c r="I9141" s="2">
        <v>2</v>
      </c>
      <c r="J9141" s="2">
        <v>937</v>
      </c>
      <c r="K9141" s="2">
        <v>196</v>
      </c>
      <c r="L9141" s="2">
        <v>462</v>
      </c>
    </row>
    <row r="9142" spans="1:12" x14ac:dyDescent="0.25">
      <c r="A9142" s="4" t="str">
        <f>HYPERLINK("http://www.rosaceae.org/Prunus/Prunus_persica/p.persica_gdr_reftransV1_0012126","p.persica_gdr_reftransV1_0012126")</f>
        <v>p.persica_gdr_reftransV1_0012126</v>
      </c>
      <c r="B9142" s="2">
        <v>3513</v>
      </c>
      <c r="C9142" s="4" t="str">
        <f>HYPERLINK("http://www.uniprot.org/uniprot/M5Y2M6","M5Y2M6")</f>
        <v>M5Y2M6</v>
      </c>
      <c r="D9142" s="2" t="s">
        <v>7953</v>
      </c>
      <c r="E9142" s="3">
        <v>0</v>
      </c>
      <c r="F9142" s="2">
        <v>1883</v>
      </c>
      <c r="G9142" s="2">
        <v>92</v>
      </c>
      <c r="H9142" s="2">
        <v>410</v>
      </c>
      <c r="I9142" s="2">
        <v>1434</v>
      </c>
      <c r="J9142" s="2">
        <v>2663</v>
      </c>
      <c r="K9142" s="2">
        <v>51</v>
      </c>
      <c r="L9142" s="2">
        <v>458</v>
      </c>
    </row>
    <row r="9143" spans="1:12" x14ac:dyDescent="0.25">
      <c r="A9143" s="4" t="str">
        <f>HYPERLINK("http://www.rosaceae.org/Prunus/Prunus_persica/p.persica_gdr_reftransV1_0012826","p.persica_gdr_reftransV1_0012826")</f>
        <v>p.persica_gdr_reftransV1_0012826</v>
      </c>
      <c r="B9143" s="2">
        <v>1109</v>
      </c>
      <c r="C9143" s="4" t="str">
        <f>HYPERLINK("http://www.uniprot.org/uniprot/M5W2Y5","M5W2Y5")</f>
        <v>M5W2Y5</v>
      </c>
      <c r="D9143" s="2" t="s">
        <v>7954</v>
      </c>
      <c r="E9143" s="3">
        <v>0</v>
      </c>
      <c r="F9143" s="2">
        <v>1429</v>
      </c>
      <c r="G9143" s="2">
        <v>100</v>
      </c>
      <c r="H9143" s="2">
        <v>281</v>
      </c>
      <c r="I9143" s="2">
        <v>190</v>
      </c>
      <c r="J9143" s="2">
        <v>1032</v>
      </c>
      <c r="K9143" s="2">
        <v>1</v>
      </c>
      <c r="L9143" s="2">
        <v>281</v>
      </c>
    </row>
    <row r="9144" spans="1:12" x14ac:dyDescent="0.25">
      <c r="A9144" s="4" t="str">
        <f>HYPERLINK("http://www.rosaceae.org/Prunus/Prunus_persica/p.persica_gdr_reftransV1_0013526","p.persica_gdr_reftransV1_0013526")</f>
        <v>p.persica_gdr_reftransV1_0013526</v>
      </c>
      <c r="B9144" s="2">
        <v>3034</v>
      </c>
      <c r="C9144" s="4" t="str">
        <f>HYPERLINK("http://www.uniprot.org/uniprot/M5VSP9","M5VSP9")</f>
        <v>M5VSP9</v>
      </c>
      <c r="D9144" s="2" t="s">
        <v>7955</v>
      </c>
      <c r="E9144" s="3">
        <v>0</v>
      </c>
      <c r="F9144" s="2">
        <v>2249</v>
      </c>
      <c r="G9144" s="2">
        <v>100</v>
      </c>
      <c r="H9144" s="2">
        <v>428</v>
      </c>
      <c r="I9144" s="2">
        <v>393</v>
      </c>
      <c r="J9144" s="2">
        <v>1676</v>
      </c>
      <c r="K9144" s="2">
        <v>1</v>
      </c>
      <c r="L9144" s="2">
        <v>428</v>
      </c>
    </row>
    <row r="9145" spans="1:12" x14ac:dyDescent="0.25">
      <c r="A9145" s="4" t="str">
        <f>HYPERLINK("http://www.rosaceae.org/Prunus/Prunus_persica/p.persica_gdr_reftransV1_0014226","p.persica_gdr_reftransV1_0014226")</f>
        <v>p.persica_gdr_reftransV1_0014226</v>
      </c>
      <c r="B9145" s="2">
        <v>2641</v>
      </c>
      <c r="C9145" s="4" t="str">
        <f>HYPERLINK("http://www.uniprot.org/uniprot/M5WJ24","M5WJ24")</f>
        <v>M5WJ24</v>
      </c>
      <c r="D9145" s="2" t="s">
        <v>7956</v>
      </c>
      <c r="E9145" s="3">
        <v>0</v>
      </c>
      <c r="F9145" s="2">
        <v>2721</v>
      </c>
      <c r="G9145" s="2">
        <v>100</v>
      </c>
      <c r="H9145" s="2">
        <v>530</v>
      </c>
      <c r="I9145" s="2">
        <v>568</v>
      </c>
      <c r="J9145" s="2">
        <v>2157</v>
      </c>
      <c r="K9145" s="2">
        <v>86</v>
      </c>
      <c r="L9145" s="2">
        <v>615</v>
      </c>
    </row>
    <row r="9146" spans="1:12" x14ac:dyDescent="0.25">
      <c r="A9146" s="4" t="str">
        <f>HYPERLINK("http://www.rosaceae.org/Prunus/Prunus_persica/p.persica_gdr_reftransV1_0014926","p.persica_gdr_reftransV1_0014926")</f>
        <v>p.persica_gdr_reftransV1_0014926</v>
      </c>
      <c r="B9146" s="2">
        <v>1979</v>
      </c>
      <c r="C9146" s="4" t="str">
        <f>HYPERLINK("http://www.uniprot.org/uniprot/M5WWC6","M5WWC6")</f>
        <v>M5WWC6</v>
      </c>
      <c r="D9146" s="2" t="s">
        <v>7957</v>
      </c>
      <c r="E9146" s="3">
        <v>0</v>
      </c>
      <c r="F9146" s="2">
        <v>2829</v>
      </c>
      <c r="G9146" s="2">
        <v>100</v>
      </c>
      <c r="H9146" s="2">
        <v>534</v>
      </c>
      <c r="I9146" s="2">
        <v>182</v>
      </c>
      <c r="J9146" s="2">
        <v>1783</v>
      </c>
      <c r="K9146" s="2">
        <v>1</v>
      </c>
      <c r="L9146" s="2">
        <v>534</v>
      </c>
    </row>
    <row r="9147" spans="1:12" x14ac:dyDescent="0.25">
      <c r="A9147" s="4" t="str">
        <f>HYPERLINK("http://www.rosaceae.org/Prunus/Prunus_persica/p.persica_gdr_reftransV1_0015626","p.persica_gdr_reftransV1_0015626")</f>
        <v>p.persica_gdr_reftransV1_0015626</v>
      </c>
      <c r="B9147" s="2">
        <v>1303</v>
      </c>
      <c r="C9147" s="4" t="str">
        <f>HYPERLINK("http://www.uniprot.org/uniprot/M5XBI5","M5XBI5")</f>
        <v>M5XBI5</v>
      </c>
      <c r="D9147" s="2" t="s">
        <v>7958</v>
      </c>
      <c r="E9147" s="3">
        <v>0</v>
      </c>
      <c r="F9147" s="2">
        <v>1497</v>
      </c>
      <c r="G9147" s="2">
        <v>91</v>
      </c>
      <c r="H9147" s="2">
        <v>310</v>
      </c>
      <c r="I9147" s="2">
        <v>246</v>
      </c>
      <c r="J9147" s="2">
        <v>1175</v>
      </c>
      <c r="K9147" s="2">
        <v>1</v>
      </c>
      <c r="L9147" s="2">
        <v>285</v>
      </c>
    </row>
    <row r="9148" spans="1:12" x14ac:dyDescent="0.25">
      <c r="A9148" s="4" t="str">
        <f>HYPERLINK("http://www.rosaceae.org/Prunus/Prunus_persica/p.persica_gdr_reftransV1_0015976","p.persica_gdr_reftransV1_0015976")</f>
        <v>p.persica_gdr_reftransV1_0015976</v>
      </c>
      <c r="B9148" s="2">
        <v>7210</v>
      </c>
      <c r="C9148" s="4" t="str">
        <f>HYPERLINK("http://www.uniprot.org/uniprot/M5X5Z7","M5X5Z7")</f>
        <v>M5X5Z7</v>
      </c>
      <c r="D9148" s="2" t="s">
        <v>7959</v>
      </c>
      <c r="E9148" s="3">
        <v>0</v>
      </c>
      <c r="F9148" s="2">
        <v>6526</v>
      </c>
      <c r="G9148" s="2">
        <v>97</v>
      </c>
      <c r="H9148" s="2">
        <v>1568</v>
      </c>
      <c r="I9148" s="2">
        <v>212</v>
      </c>
      <c r="J9148" s="2">
        <v>4915</v>
      </c>
      <c r="K9148" s="2">
        <v>1</v>
      </c>
      <c r="L9148" s="2">
        <v>1533</v>
      </c>
    </row>
    <row r="9149" spans="1:12" x14ac:dyDescent="0.25">
      <c r="A9149" s="4" t="str">
        <f>HYPERLINK("http://www.rosaceae.org/Prunus/Prunus_persica/p.persica_gdr_reftransV1_0017376","p.persica_gdr_reftransV1_0017376")</f>
        <v>p.persica_gdr_reftransV1_0017376</v>
      </c>
      <c r="B9149" s="2">
        <v>3019</v>
      </c>
      <c r="C9149" s="4" t="str">
        <f>HYPERLINK("http://www.uniprot.org/uniprot/F6HLA9","F6HLA9")</f>
        <v>F6HLA9</v>
      </c>
      <c r="D9149" s="2" t="s">
        <v>7960</v>
      </c>
      <c r="E9149" s="3">
        <v>0</v>
      </c>
      <c r="F9149" s="2">
        <v>3091</v>
      </c>
      <c r="G9149" s="2">
        <v>79</v>
      </c>
      <c r="H9149" s="2">
        <v>714</v>
      </c>
      <c r="I9149" s="2">
        <v>11</v>
      </c>
      <c r="J9149" s="2">
        <v>2152</v>
      </c>
      <c r="K9149" s="2">
        <v>276</v>
      </c>
      <c r="L9149" s="2">
        <v>989</v>
      </c>
    </row>
    <row r="9150" spans="1:12" x14ac:dyDescent="0.25">
      <c r="A9150" s="4" t="str">
        <f>HYPERLINK("http://www.rosaceae.org/Prunus/Prunus_persica/p.persica_gdr_reftransV1_0017726","p.persica_gdr_reftransV1_0017726")</f>
        <v>p.persica_gdr_reftransV1_0017726</v>
      </c>
      <c r="B9150" s="2">
        <v>1847</v>
      </c>
      <c r="C9150" s="4" t="str">
        <f>HYPERLINK("http://www.uniprot.org/uniprot/M5WUN5","M5WUN5")</f>
        <v>M5WUN5</v>
      </c>
      <c r="D9150" s="2" t="s">
        <v>7961</v>
      </c>
      <c r="E9150" s="3">
        <v>0</v>
      </c>
      <c r="F9150" s="2">
        <v>2006</v>
      </c>
      <c r="G9150" s="2">
        <v>100</v>
      </c>
      <c r="H9150" s="2">
        <v>470</v>
      </c>
      <c r="I9150" s="2">
        <v>305</v>
      </c>
      <c r="J9150" s="2">
        <v>1714</v>
      </c>
      <c r="K9150" s="2">
        <v>1</v>
      </c>
      <c r="L9150" s="2">
        <v>470</v>
      </c>
    </row>
    <row r="9151" spans="1:12" x14ac:dyDescent="0.25">
      <c r="A9151" s="4" t="str">
        <f>HYPERLINK("http://www.rosaceae.org/Prunus/Prunus_persica/p.persica_gdr_reftransV1_0018076","p.persica_gdr_reftransV1_0018076")</f>
        <v>p.persica_gdr_reftransV1_0018076</v>
      </c>
      <c r="B9151" s="2">
        <v>1424</v>
      </c>
      <c r="C9151" s="4" t="str">
        <f>HYPERLINK("http://www.uniprot.org/uniprot/M5WRK0","M5WRK0")</f>
        <v>M5WRK0</v>
      </c>
      <c r="D9151" s="2" t="s">
        <v>7962</v>
      </c>
      <c r="E9151" s="3">
        <v>0</v>
      </c>
      <c r="F9151" s="2">
        <v>1924</v>
      </c>
      <c r="G9151" s="2">
        <v>100</v>
      </c>
      <c r="H9151" s="2">
        <v>363</v>
      </c>
      <c r="I9151" s="2">
        <v>282</v>
      </c>
      <c r="J9151" s="2">
        <v>1370</v>
      </c>
      <c r="K9151" s="2">
        <v>1</v>
      </c>
      <c r="L9151" s="2">
        <v>363</v>
      </c>
    </row>
    <row r="9152" spans="1:12" x14ac:dyDescent="0.25">
      <c r="A9152" s="4" t="str">
        <f>HYPERLINK("http://www.rosaceae.org/Prunus/Prunus_persica/p.persica_gdr_reftransV1_0018776","p.persica_gdr_reftransV1_0018776")</f>
        <v>p.persica_gdr_reftransV1_0018776</v>
      </c>
      <c r="B9152" s="2">
        <v>984</v>
      </c>
      <c r="C9152" s="4" t="str">
        <f>HYPERLINK("http://www.uniprot.org/uniprot/M5XLI5","M5XLI5")</f>
        <v>M5XLI5</v>
      </c>
      <c r="D9152" s="2" t="s">
        <v>7963</v>
      </c>
      <c r="E9152" s="3">
        <v>9.9700000000000007E-123</v>
      </c>
      <c r="F9152" s="2">
        <v>963</v>
      </c>
      <c r="G9152" s="2">
        <v>97</v>
      </c>
      <c r="H9152" s="2">
        <v>186</v>
      </c>
      <c r="I9152" s="2">
        <v>85</v>
      </c>
      <c r="J9152" s="2">
        <v>642</v>
      </c>
      <c r="K9152" s="2">
        <v>363</v>
      </c>
      <c r="L9152" s="2">
        <v>548</v>
      </c>
    </row>
    <row r="9153" spans="1:12" x14ac:dyDescent="0.25">
      <c r="A9153" s="4" t="str">
        <f>HYPERLINK("http://www.rosaceae.org/Prunus/Prunus_persica/p.persica_gdr_reftransV1_0021926","p.persica_gdr_reftransV1_0021926")</f>
        <v>p.persica_gdr_reftransV1_0021926</v>
      </c>
      <c r="B9153" s="2">
        <v>632</v>
      </c>
      <c r="C9153" s="4" t="str">
        <f>HYPERLINK("http://www.uniprot.org/uniprot/M5Y392","M5Y392")</f>
        <v>M5Y392</v>
      </c>
      <c r="D9153" s="2" t="s">
        <v>7964</v>
      </c>
      <c r="E9153" s="3">
        <v>7.3799999999999994E-99</v>
      </c>
      <c r="F9153" s="2">
        <v>757</v>
      </c>
      <c r="G9153" s="2">
        <v>100</v>
      </c>
      <c r="H9153" s="2">
        <v>158</v>
      </c>
      <c r="I9153" s="2">
        <v>158</v>
      </c>
      <c r="J9153" s="2">
        <v>631</v>
      </c>
      <c r="K9153" s="2">
        <v>16</v>
      </c>
      <c r="L9153" s="2">
        <v>173</v>
      </c>
    </row>
    <row r="9154" spans="1:12" x14ac:dyDescent="0.25">
      <c r="A9154" s="4" t="str">
        <f>HYPERLINK("http://www.rosaceae.org/Prunus/Prunus_persica/p.persica_gdr_reftransV1_0023326","p.persica_gdr_reftransV1_0023326")</f>
        <v>p.persica_gdr_reftransV1_0023326</v>
      </c>
      <c r="B9154" s="2">
        <v>2167</v>
      </c>
      <c r="C9154" s="4" t="str">
        <f>HYPERLINK("http://www.uniprot.org/uniprot/M5XBI7","M5XBI7")</f>
        <v>M5XBI7</v>
      </c>
      <c r="D9154" s="2" t="s">
        <v>7965</v>
      </c>
      <c r="E9154" s="3">
        <v>0</v>
      </c>
      <c r="F9154" s="2">
        <v>2684</v>
      </c>
      <c r="G9154" s="2">
        <v>100</v>
      </c>
      <c r="H9154" s="2">
        <v>498</v>
      </c>
      <c r="I9154" s="2">
        <v>489</v>
      </c>
      <c r="J9154" s="2">
        <v>1982</v>
      </c>
      <c r="K9154" s="2">
        <v>1</v>
      </c>
      <c r="L9154" s="2">
        <v>498</v>
      </c>
    </row>
    <row r="9155" spans="1:12" x14ac:dyDescent="0.25">
      <c r="A9155" s="4" t="str">
        <f>HYPERLINK("http://www.rosaceae.org/Prunus/Prunus_persica/p.persica_gdr_reftransV1_0023676","p.persica_gdr_reftransV1_0023676")</f>
        <v>p.persica_gdr_reftransV1_0023676</v>
      </c>
      <c r="B9155" s="2">
        <v>8450</v>
      </c>
      <c r="C9155" s="4" t="str">
        <f>HYPERLINK("http://www.uniprot.org/uniprot/M5WK41","M5WK41")</f>
        <v>M5WK41</v>
      </c>
      <c r="D9155" s="2" t="s">
        <v>5288</v>
      </c>
      <c r="E9155" s="3">
        <v>0</v>
      </c>
      <c r="F9155" s="2">
        <v>7607</v>
      </c>
      <c r="G9155" s="2">
        <v>98</v>
      </c>
      <c r="H9155" s="2">
        <v>1497</v>
      </c>
      <c r="I9155" s="2">
        <v>257</v>
      </c>
      <c r="J9155" s="2">
        <v>4747</v>
      </c>
      <c r="K9155" s="2">
        <v>1</v>
      </c>
      <c r="L9155" s="2">
        <v>1488</v>
      </c>
    </row>
    <row r="9156" spans="1:12" x14ac:dyDescent="0.25">
      <c r="A9156" s="4" t="str">
        <f>HYPERLINK("http://www.rosaceae.org/Prunus/Prunus_persica/p.persica_gdr_reftransV1_0024376","p.persica_gdr_reftransV1_0024376")</f>
        <v>p.persica_gdr_reftransV1_0024376</v>
      </c>
      <c r="B9156" s="2">
        <v>2667</v>
      </c>
      <c r="C9156" s="4" t="str">
        <f>HYPERLINK("http://www.uniprot.org/uniprot/M5WZK4","M5WZK4")</f>
        <v>M5WZK4</v>
      </c>
      <c r="D9156" s="2" t="s">
        <v>7966</v>
      </c>
      <c r="E9156" s="3">
        <v>0</v>
      </c>
      <c r="F9156" s="2">
        <v>1707</v>
      </c>
      <c r="G9156" s="2">
        <v>90</v>
      </c>
      <c r="H9156" s="2">
        <v>379</v>
      </c>
      <c r="I9156" s="2">
        <v>1144</v>
      </c>
      <c r="J9156" s="2">
        <v>2238</v>
      </c>
      <c r="K9156" s="2">
        <v>18</v>
      </c>
      <c r="L9156" s="2">
        <v>396</v>
      </c>
    </row>
    <row r="9157" spans="1:12" x14ac:dyDescent="0.25">
      <c r="A9157" s="4" t="str">
        <f>HYPERLINK("http://www.rosaceae.org/Prunus/Prunus_persica/p.persica_gdr_reftransV1_0025776","p.persica_gdr_reftransV1_0025776")</f>
        <v>p.persica_gdr_reftransV1_0025776</v>
      </c>
      <c r="B9157" s="2">
        <v>2502</v>
      </c>
      <c r="C9157" s="4" t="str">
        <f>HYPERLINK("http://www.uniprot.org/uniprot/M5WDZ7","M5WDZ7")</f>
        <v>M5WDZ7</v>
      </c>
      <c r="D9157" s="2" t="s">
        <v>7967</v>
      </c>
      <c r="E9157" s="3">
        <v>0</v>
      </c>
      <c r="F9157" s="2">
        <v>2515</v>
      </c>
      <c r="G9157" s="2">
        <v>100</v>
      </c>
      <c r="H9157" s="2">
        <v>490</v>
      </c>
      <c r="I9157" s="2">
        <v>55</v>
      </c>
      <c r="J9157" s="2">
        <v>1524</v>
      </c>
      <c r="K9157" s="2">
        <v>1</v>
      </c>
      <c r="L9157" s="2">
        <v>490</v>
      </c>
    </row>
    <row r="9158" spans="1:12" x14ac:dyDescent="0.25">
      <c r="A9158" s="4" t="str">
        <f>HYPERLINK("http://www.rosaceae.org/Prunus/Prunus_persica/p.persica_gdr_reftransV1_0029976","p.persica_gdr_reftransV1_0029976")</f>
        <v>p.persica_gdr_reftransV1_0029976</v>
      </c>
      <c r="B9158" s="2">
        <v>2161</v>
      </c>
      <c r="C9158" s="4" t="str">
        <f>HYPERLINK("http://www.uniprot.org/uniprot/M5XLM6","M5XLM6")</f>
        <v>M5XLM6</v>
      </c>
      <c r="D9158" s="2" t="s">
        <v>7968</v>
      </c>
      <c r="E9158" s="3">
        <v>0</v>
      </c>
      <c r="F9158" s="2">
        <v>2287</v>
      </c>
      <c r="G9158" s="2">
        <v>100</v>
      </c>
      <c r="H9158" s="2">
        <v>428</v>
      </c>
      <c r="I9158" s="2">
        <v>252</v>
      </c>
      <c r="J9158" s="2">
        <v>1535</v>
      </c>
      <c r="K9158" s="2">
        <v>1</v>
      </c>
      <c r="L9158" s="2">
        <v>428</v>
      </c>
    </row>
    <row r="9159" spans="1:12" x14ac:dyDescent="0.25">
      <c r="A9159" s="4" t="str">
        <f>HYPERLINK("http://www.rosaceae.org/Prunus/Prunus_persica/p.persica_gdr_reftransV1_0031376","p.persica_gdr_reftransV1_0031376")</f>
        <v>p.persica_gdr_reftransV1_0031376</v>
      </c>
      <c r="B9159" s="2">
        <v>1814</v>
      </c>
      <c r="C9159" s="4" t="str">
        <f>HYPERLINK("http://www.uniprot.org/uniprot/M5WYN9","M5WYN9")</f>
        <v>M5WYN9</v>
      </c>
      <c r="D9159" s="2" t="s">
        <v>7969</v>
      </c>
      <c r="E9159" s="3">
        <v>0</v>
      </c>
      <c r="F9159" s="2">
        <v>2613</v>
      </c>
      <c r="G9159" s="2">
        <v>100</v>
      </c>
      <c r="H9159" s="2">
        <v>511</v>
      </c>
      <c r="I9159" s="2">
        <v>282</v>
      </c>
      <c r="J9159" s="2">
        <v>1814</v>
      </c>
      <c r="K9159" s="2">
        <v>2</v>
      </c>
      <c r="L9159" s="2">
        <v>512</v>
      </c>
    </row>
    <row r="9160" spans="1:12" x14ac:dyDescent="0.25">
      <c r="A9160" s="4" t="str">
        <f>HYPERLINK("http://www.rosaceae.org/Prunus/Prunus_persica/p.persica_gdr_reftransV1_0032776","p.persica_gdr_reftransV1_0032776")</f>
        <v>p.persica_gdr_reftransV1_0032776</v>
      </c>
      <c r="B9160" s="2">
        <v>2524</v>
      </c>
      <c r="C9160" s="4" t="str">
        <f>HYPERLINK("http://www.uniprot.org/uniprot/M5W9J2","M5W9J2")</f>
        <v>M5W9J2</v>
      </c>
      <c r="D9160" s="2" t="s">
        <v>7970</v>
      </c>
      <c r="E9160" s="3">
        <v>0</v>
      </c>
      <c r="F9160" s="2">
        <v>1969</v>
      </c>
      <c r="G9160" s="2">
        <v>99</v>
      </c>
      <c r="H9160" s="2">
        <v>389</v>
      </c>
      <c r="I9160" s="2">
        <v>521</v>
      </c>
      <c r="J9160" s="2">
        <v>1687</v>
      </c>
      <c r="K9160" s="2">
        <v>1</v>
      </c>
      <c r="L9160" s="2">
        <v>389</v>
      </c>
    </row>
    <row r="9161" spans="1:12" x14ac:dyDescent="0.25">
      <c r="A9161" s="4" t="str">
        <f>HYPERLINK("http://www.rosaceae.org/Prunus/Prunus_persica/p.persica_gdr_reftransV1_0033826","p.persica_gdr_reftransV1_0033826")</f>
        <v>p.persica_gdr_reftransV1_0033826</v>
      </c>
      <c r="B9161" s="2">
        <v>2755</v>
      </c>
      <c r="C9161" s="4" t="str">
        <f>HYPERLINK("http://www.uniprot.org/uniprot/M5X7Q2","M5X7Q2")</f>
        <v>M5X7Q2</v>
      </c>
      <c r="D9161" s="2" t="s">
        <v>7721</v>
      </c>
      <c r="E9161" s="3">
        <v>0</v>
      </c>
      <c r="F9161" s="2">
        <v>3952</v>
      </c>
      <c r="G9161" s="2">
        <v>100</v>
      </c>
      <c r="H9161" s="2">
        <v>823</v>
      </c>
      <c r="I9161" s="2">
        <v>287</v>
      </c>
      <c r="J9161" s="2">
        <v>2755</v>
      </c>
      <c r="K9161" s="2">
        <v>1</v>
      </c>
      <c r="L9161" s="2">
        <v>823</v>
      </c>
    </row>
    <row r="9162" spans="1:12" x14ac:dyDescent="0.25">
      <c r="A9162" s="4" t="str">
        <f>HYPERLINK("http://www.rosaceae.org/Prunus/Prunus_persica/p.persica_gdr_reftransV1_0034176","p.persica_gdr_reftransV1_0034176")</f>
        <v>p.persica_gdr_reftransV1_0034176</v>
      </c>
      <c r="B9162" s="2">
        <v>2914</v>
      </c>
      <c r="C9162" s="4" t="str">
        <f>HYPERLINK("http://www.uniprot.org/uniprot/M5XHS9","M5XHS9")</f>
        <v>M5XHS9</v>
      </c>
      <c r="D9162" s="2" t="s">
        <v>7971</v>
      </c>
      <c r="E9162" s="3">
        <v>0</v>
      </c>
      <c r="F9162" s="2">
        <v>3287</v>
      </c>
      <c r="G9162" s="2">
        <v>100</v>
      </c>
      <c r="H9162" s="2">
        <v>737</v>
      </c>
      <c r="I9162" s="2">
        <v>276</v>
      </c>
      <c r="J9162" s="2">
        <v>2486</v>
      </c>
      <c r="K9162" s="2">
        <v>1</v>
      </c>
      <c r="L9162" s="2">
        <v>737</v>
      </c>
    </row>
    <row r="9163" spans="1:12" x14ac:dyDescent="0.25">
      <c r="A9163" s="4" t="str">
        <f>HYPERLINK("http://www.rosaceae.org/Prunus/Prunus_persica/p.persica_gdr_reftransV1_0035926","p.persica_gdr_reftransV1_0035926")</f>
        <v>p.persica_gdr_reftransV1_0035926</v>
      </c>
      <c r="B9163" s="2">
        <v>3178</v>
      </c>
      <c r="C9163" s="4" t="str">
        <f>HYPERLINK("http://www.uniprot.org/uniprot/A0A067H227","A0A067H227")</f>
        <v>A0A067H227</v>
      </c>
      <c r="D9163" s="2" t="s">
        <v>7972</v>
      </c>
      <c r="E9163" s="3">
        <v>0</v>
      </c>
      <c r="F9163" s="2">
        <v>2562</v>
      </c>
      <c r="G9163" s="2">
        <v>75</v>
      </c>
      <c r="H9163" s="2">
        <v>643</v>
      </c>
      <c r="I9163" s="2">
        <v>1</v>
      </c>
      <c r="J9163" s="2">
        <v>1929</v>
      </c>
      <c r="K9163" s="2">
        <v>267</v>
      </c>
      <c r="L9163" s="2">
        <v>834</v>
      </c>
    </row>
    <row r="9164" spans="1:12" x14ac:dyDescent="0.25">
      <c r="A9164" s="4" t="str">
        <f>HYPERLINK("http://www.rosaceae.org/Prunus/Prunus_persica/p.persica_gdr_reftransV1_0036626","p.persica_gdr_reftransV1_0036626")</f>
        <v>p.persica_gdr_reftransV1_0036626</v>
      </c>
      <c r="B9164" s="2">
        <v>316</v>
      </c>
      <c r="C9164" s="4" t="str">
        <f>HYPERLINK("http://www.uniprot.org/uniprot/B6CQS3","B6CQS3")</f>
        <v>B6CQS3</v>
      </c>
      <c r="D9164" s="2" t="s">
        <v>7973</v>
      </c>
      <c r="E9164" s="3">
        <v>1.5700000000000002E-64</v>
      </c>
      <c r="F9164" s="2">
        <v>518</v>
      </c>
      <c r="G9164" s="2">
        <v>100</v>
      </c>
      <c r="H9164" s="2">
        <v>105</v>
      </c>
      <c r="I9164" s="2">
        <v>1</v>
      </c>
      <c r="J9164" s="2">
        <v>315</v>
      </c>
      <c r="K9164" s="2">
        <v>37</v>
      </c>
      <c r="L9164" s="2">
        <v>141</v>
      </c>
    </row>
    <row r="9165" spans="1:12" x14ac:dyDescent="0.25">
      <c r="A9165" s="4" t="str">
        <f>HYPERLINK("http://www.rosaceae.org/Prunus/Prunus_persica/p.persica_gdr_reftransV1_0036976","p.persica_gdr_reftransV1_0036976")</f>
        <v>p.persica_gdr_reftransV1_0036976</v>
      </c>
      <c r="B9165" s="2">
        <v>1386</v>
      </c>
      <c r="C9165" s="4" t="str">
        <f>HYPERLINK("http://www.uniprot.org/uniprot/M5XC29","M5XC29")</f>
        <v>M5XC29</v>
      </c>
      <c r="D9165" s="2" t="s">
        <v>7823</v>
      </c>
      <c r="E9165" s="3">
        <v>9.3400000000000005E-157</v>
      </c>
      <c r="F9165" s="2">
        <v>1184</v>
      </c>
      <c r="G9165" s="2">
        <v>100</v>
      </c>
      <c r="H9165" s="2">
        <v>221</v>
      </c>
      <c r="I9165" s="2">
        <v>1</v>
      </c>
      <c r="J9165" s="2">
        <v>663</v>
      </c>
      <c r="K9165" s="2">
        <v>130</v>
      </c>
      <c r="L9165" s="2">
        <v>350</v>
      </c>
    </row>
    <row r="9166" spans="1:12" x14ac:dyDescent="0.25">
      <c r="A9166" s="4" t="str">
        <f>HYPERLINK("http://www.rosaceae.org/Prunus/Prunus_persica/p.persica_gdr_reftransV1_0037326","p.persica_gdr_reftransV1_0037326")</f>
        <v>p.persica_gdr_reftransV1_0037326</v>
      </c>
      <c r="B9166" s="2">
        <v>4522</v>
      </c>
      <c r="C9166" s="4" t="str">
        <f>HYPERLINK("http://www.uniprot.org/uniprot/M5VMT6","M5VMT6")</f>
        <v>M5VMT6</v>
      </c>
      <c r="D9166" s="2" t="s">
        <v>7974</v>
      </c>
      <c r="E9166" s="3">
        <v>0</v>
      </c>
      <c r="F9166" s="2">
        <v>1724</v>
      </c>
      <c r="G9166" s="2">
        <v>69</v>
      </c>
      <c r="H9166" s="2">
        <v>509</v>
      </c>
      <c r="I9166" s="2">
        <v>165</v>
      </c>
      <c r="J9166" s="2">
        <v>1685</v>
      </c>
      <c r="K9166" s="2">
        <v>35</v>
      </c>
      <c r="L9166" s="2">
        <v>479</v>
      </c>
    </row>
    <row r="9167" spans="1:12" x14ac:dyDescent="0.25">
      <c r="A9167" s="4" t="str">
        <f>HYPERLINK("http://www.rosaceae.org/Prunus/Prunus_persica/p.persica_gdr_reftransV1_0040126","p.persica_gdr_reftransV1_0040126")</f>
        <v>p.persica_gdr_reftransV1_0040126</v>
      </c>
      <c r="B9167" s="2">
        <v>3487</v>
      </c>
      <c r="C9167" s="4" t="str">
        <f>HYPERLINK("http://www.uniprot.org/uniprot/M5VV82","M5VV82")</f>
        <v>M5VV82</v>
      </c>
      <c r="D9167" s="2" t="s">
        <v>7975</v>
      </c>
      <c r="E9167" s="3">
        <v>0</v>
      </c>
      <c r="F9167" s="2">
        <v>2108</v>
      </c>
      <c r="G9167" s="2">
        <v>98</v>
      </c>
      <c r="H9167" s="2">
        <v>413</v>
      </c>
      <c r="I9167" s="2">
        <v>1759</v>
      </c>
      <c r="J9167" s="2">
        <v>2997</v>
      </c>
      <c r="K9167" s="2">
        <v>1</v>
      </c>
      <c r="L9167" s="2">
        <v>413</v>
      </c>
    </row>
    <row r="9168" spans="1:12" x14ac:dyDescent="0.25">
      <c r="A9168" s="4" t="str">
        <f>HYPERLINK("http://www.rosaceae.org/Prunus/Prunus_persica/p.persica_gdr_reftransV1_0040476","p.persica_gdr_reftransV1_0040476")</f>
        <v>p.persica_gdr_reftransV1_0040476</v>
      </c>
      <c r="B9168" s="2">
        <v>2154</v>
      </c>
      <c r="C9168" s="4" t="str">
        <f>HYPERLINK("http://www.uniprot.org/uniprot/M5WF46","M5WF46")</f>
        <v>M5WF46</v>
      </c>
      <c r="D9168" s="2" t="s">
        <v>7976</v>
      </c>
      <c r="E9168" s="3">
        <v>0</v>
      </c>
      <c r="F9168" s="2">
        <v>2938</v>
      </c>
      <c r="G9168" s="2">
        <v>100</v>
      </c>
      <c r="H9168" s="2">
        <v>550</v>
      </c>
      <c r="I9168" s="2">
        <v>33</v>
      </c>
      <c r="J9168" s="2">
        <v>1682</v>
      </c>
      <c r="K9168" s="2">
        <v>1</v>
      </c>
      <c r="L9168" s="2">
        <v>550</v>
      </c>
    </row>
    <row r="9169" spans="1:12" x14ac:dyDescent="0.25">
      <c r="A9169" s="4" t="str">
        <f>HYPERLINK("http://www.rosaceae.org/Prunus/Prunus_persica/p.persica_gdr_reftransV1_0043276","p.persica_gdr_reftransV1_0043276")</f>
        <v>p.persica_gdr_reftransV1_0043276</v>
      </c>
      <c r="B9169" s="2">
        <v>956</v>
      </c>
      <c r="C9169" s="4" t="str">
        <f>HYPERLINK("http://www.uniprot.org/uniprot/M5WVC3","M5WVC3")</f>
        <v>M5WVC3</v>
      </c>
      <c r="D9169" s="2" t="s">
        <v>3782</v>
      </c>
      <c r="E9169" s="3">
        <v>4.5299999999999999E-124</v>
      </c>
      <c r="F9169" s="2">
        <v>938</v>
      </c>
      <c r="G9169" s="2">
        <v>100</v>
      </c>
      <c r="H9169" s="2">
        <v>179</v>
      </c>
      <c r="I9169" s="2">
        <v>85</v>
      </c>
      <c r="J9169" s="2">
        <v>621</v>
      </c>
      <c r="K9169" s="2">
        <v>1</v>
      </c>
      <c r="L9169" s="2">
        <v>179</v>
      </c>
    </row>
    <row r="9170" spans="1:12" x14ac:dyDescent="0.25">
      <c r="A9170" s="4" t="str">
        <f>HYPERLINK("http://www.rosaceae.org/Prunus/Prunus_persica/p.persica_gdr_reftransV1_0043626","p.persica_gdr_reftransV1_0043626")</f>
        <v>p.persica_gdr_reftransV1_0043626</v>
      </c>
      <c r="B9170" s="2">
        <v>1875</v>
      </c>
      <c r="C9170" s="4" t="str">
        <f>HYPERLINK("http://www.uniprot.org/uniprot/M5XAZ3","M5XAZ3")</f>
        <v>M5XAZ3</v>
      </c>
      <c r="D9170" s="2" t="s">
        <v>7977</v>
      </c>
      <c r="E9170" s="3">
        <v>0</v>
      </c>
      <c r="F9170" s="2">
        <v>2777</v>
      </c>
      <c r="G9170" s="2">
        <v>100</v>
      </c>
      <c r="H9170" s="2">
        <v>522</v>
      </c>
      <c r="I9170" s="2">
        <v>103</v>
      </c>
      <c r="J9170" s="2">
        <v>1668</v>
      </c>
      <c r="K9170" s="2">
        <v>1</v>
      </c>
      <c r="L9170" s="2">
        <v>522</v>
      </c>
    </row>
    <row r="9171" spans="1:12" x14ac:dyDescent="0.25">
      <c r="A9171" s="4" t="str">
        <f>HYPERLINK("http://www.rosaceae.org/Prunus/Prunus_persica/p.persica_gdr_reftransV1_0043976","p.persica_gdr_reftransV1_0043976")</f>
        <v>p.persica_gdr_reftransV1_0043976</v>
      </c>
      <c r="B9171" s="2">
        <v>1234</v>
      </c>
      <c r="C9171" s="4" t="str">
        <f>HYPERLINK("http://www.uniprot.org/uniprot/M5WGY6","M5WGY6")</f>
        <v>M5WGY6</v>
      </c>
      <c r="D9171" s="2" t="s">
        <v>7978</v>
      </c>
      <c r="E9171" s="3">
        <v>1.19E-136</v>
      </c>
      <c r="F9171" s="2">
        <v>756</v>
      </c>
      <c r="G9171" s="2">
        <v>100</v>
      </c>
      <c r="H9171" s="2">
        <v>138</v>
      </c>
      <c r="I9171" s="2">
        <v>158</v>
      </c>
      <c r="J9171" s="2">
        <v>571</v>
      </c>
      <c r="K9171" s="2">
        <v>213</v>
      </c>
      <c r="L9171" s="2">
        <v>350</v>
      </c>
    </row>
    <row r="9172" spans="1:12" x14ac:dyDescent="0.25">
      <c r="A9172" s="4" t="str">
        <f>HYPERLINK("http://www.rosaceae.org/Prunus/Prunus_persica/p.persica_gdr_reftransV1_0044326","p.persica_gdr_reftransV1_0044326")</f>
        <v>p.persica_gdr_reftransV1_0044326</v>
      </c>
      <c r="B9172" s="2">
        <v>683</v>
      </c>
      <c r="C9172" s="4" t="str">
        <f>HYPERLINK("http://www.uniprot.org/uniprot/A0A0A7TYP3","A0A0A7TYP3")</f>
        <v>A0A0A7TYP3</v>
      </c>
      <c r="D9172" s="2" t="s">
        <v>7979</v>
      </c>
      <c r="E9172" s="3">
        <v>5.46E-79</v>
      </c>
      <c r="F9172" s="2">
        <v>656</v>
      </c>
      <c r="G9172" s="2">
        <v>100</v>
      </c>
      <c r="H9172" s="2">
        <v>149</v>
      </c>
      <c r="I9172" s="2">
        <v>66</v>
      </c>
      <c r="J9172" s="2">
        <v>512</v>
      </c>
      <c r="K9172" s="2">
        <v>3</v>
      </c>
      <c r="L9172" s="2">
        <v>151</v>
      </c>
    </row>
    <row r="9173" spans="1:12" x14ac:dyDescent="0.25">
      <c r="A9173" s="4" t="str">
        <f>HYPERLINK("http://www.rosaceae.org/Prunus/Prunus_persica/p.persica_gdr_reftransV1_0045026","p.persica_gdr_reftransV1_0045026")</f>
        <v>p.persica_gdr_reftransV1_0045026</v>
      </c>
      <c r="B9173" s="2">
        <v>1224</v>
      </c>
      <c r="C9173" s="4" t="str">
        <f>HYPERLINK("http://www.uniprot.org/uniprot/M5W6F0","M5W6F0")</f>
        <v>M5W6F0</v>
      </c>
      <c r="D9173" s="2" t="s">
        <v>457</v>
      </c>
      <c r="E9173" s="3">
        <v>1.05E-116</v>
      </c>
      <c r="F9173" s="2">
        <v>932</v>
      </c>
      <c r="G9173" s="2">
        <v>78</v>
      </c>
      <c r="H9173" s="2">
        <v>237</v>
      </c>
      <c r="I9173" s="2">
        <v>374</v>
      </c>
      <c r="J9173" s="2">
        <v>1075</v>
      </c>
      <c r="K9173" s="2">
        <v>357</v>
      </c>
      <c r="L9173" s="2">
        <v>561</v>
      </c>
    </row>
    <row r="9174" spans="1:12" x14ac:dyDescent="0.25">
      <c r="A9174" s="4" t="str">
        <f>HYPERLINK("http://www.rosaceae.org/Prunus/Prunus_persica/p.persica_gdr_reftransV1_0045376","p.persica_gdr_reftransV1_0045376")</f>
        <v>p.persica_gdr_reftransV1_0045376</v>
      </c>
      <c r="B9174" s="2">
        <v>1262</v>
      </c>
      <c r="C9174" s="4" t="str">
        <f>HYPERLINK("http://www.uniprot.org/uniprot/M5WQT1","M5WQT1")</f>
        <v>M5WQT1</v>
      </c>
      <c r="D9174" s="2" t="s">
        <v>7980</v>
      </c>
      <c r="E9174" s="3">
        <v>1.61E-66</v>
      </c>
      <c r="F9174" s="2">
        <v>570</v>
      </c>
      <c r="G9174" s="2">
        <v>100</v>
      </c>
      <c r="H9174" s="2">
        <v>164</v>
      </c>
      <c r="I9174" s="2">
        <v>393</v>
      </c>
      <c r="J9174" s="2">
        <v>884</v>
      </c>
      <c r="K9174" s="2">
        <v>1</v>
      </c>
      <c r="L9174" s="2">
        <v>164</v>
      </c>
    </row>
    <row r="9175" spans="1:12" x14ac:dyDescent="0.25">
      <c r="A9175" s="4" t="str">
        <f>HYPERLINK("http://www.rosaceae.org/Prunus/Prunus_persica/p.persica_gdr_reftransV1_0045726","p.persica_gdr_reftransV1_0045726")</f>
        <v>p.persica_gdr_reftransV1_0045726</v>
      </c>
      <c r="B9175" s="2">
        <v>1945</v>
      </c>
      <c r="C9175" s="4" t="str">
        <f>HYPERLINK("http://www.uniprot.org/uniprot/M5XAM9","M5XAM9")</f>
        <v>M5XAM9</v>
      </c>
      <c r="D9175" s="2" t="s">
        <v>7981</v>
      </c>
      <c r="E9175" s="3">
        <v>0</v>
      </c>
      <c r="F9175" s="2">
        <v>2560</v>
      </c>
      <c r="G9175" s="2">
        <v>94</v>
      </c>
      <c r="H9175" s="2">
        <v>505</v>
      </c>
      <c r="I9175" s="2">
        <v>207</v>
      </c>
      <c r="J9175" s="2">
        <v>1721</v>
      </c>
      <c r="K9175" s="2">
        <v>30</v>
      </c>
      <c r="L9175" s="2">
        <v>534</v>
      </c>
    </row>
    <row r="9176" spans="1:12" x14ac:dyDescent="0.25">
      <c r="A9176" s="4" t="str">
        <f>HYPERLINK("http://www.rosaceae.org/Prunus/Prunus_persica/p.persica_gdr_reftransV1_0046776","p.persica_gdr_reftransV1_0046776")</f>
        <v>p.persica_gdr_reftransV1_0046776</v>
      </c>
      <c r="B9176" s="2">
        <v>625</v>
      </c>
      <c r="C9176" s="4" t="str">
        <f>HYPERLINK("http://www.uniprot.org/uniprot/A0A061GSK0","A0A061GSK0")</f>
        <v>A0A061GSK0</v>
      </c>
      <c r="D9176" s="2" t="s">
        <v>7982</v>
      </c>
      <c r="E9176" s="3">
        <v>1.9100000000000001E-64</v>
      </c>
      <c r="F9176" s="2">
        <v>569</v>
      </c>
      <c r="G9176" s="2">
        <v>72</v>
      </c>
      <c r="H9176" s="2">
        <v>141</v>
      </c>
      <c r="I9176" s="2">
        <v>201</v>
      </c>
      <c r="J9176" s="2">
        <v>623</v>
      </c>
      <c r="K9176" s="2">
        <v>661</v>
      </c>
      <c r="L9176" s="2">
        <v>797</v>
      </c>
    </row>
    <row r="9177" spans="1:12" x14ac:dyDescent="0.25">
      <c r="A9177" s="4" t="str">
        <f>HYPERLINK("http://www.rosaceae.org/Prunus/Prunus_persica/p.persica_gdr_reftransV1_0047826","p.persica_gdr_reftransV1_0047826")</f>
        <v>p.persica_gdr_reftransV1_0047826</v>
      </c>
      <c r="B9177" s="2">
        <v>731</v>
      </c>
      <c r="C9177" s="4" t="str">
        <f>HYPERLINK("http://www.uniprot.org/uniprot/M5VTT3","M5VTT3")</f>
        <v>M5VTT3</v>
      </c>
      <c r="D9177" s="2" t="s">
        <v>3350</v>
      </c>
      <c r="E9177" s="3">
        <v>4.3499999999999998E-125</v>
      </c>
      <c r="F9177" s="2">
        <v>981</v>
      </c>
      <c r="G9177" s="2">
        <v>84</v>
      </c>
      <c r="H9177" s="2">
        <v>243</v>
      </c>
      <c r="I9177" s="2">
        <v>3</v>
      </c>
      <c r="J9177" s="2">
        <v>731</v>
      </c>
      <c r="K9177" s="2">
        <v>217</v>
      </c>
      <c r="L9177" s="2">
        <v>423</v>
      </c>
    </row>
    <row r="9178" spans="1:12" x14ac:dyDescent="0.25">
      <c r="A9178" s="4" t="str">
        <f>HYPERLINK("http://www.rosaceae.org/Prunus/Prunus_persica/p.persica_gdr_reftransV1_0048176","p.persica_gdr_reftransV1_0048176")</f>
        <v>p.persica_gdr_reftransV1_0048176</v>
      </c>
      <c r="B9178" s="2">
        <v>1651</v>
      </c>
      <c r="C9178" s="4" t="str">
        <f>HYPERLINK("http://www.uniprot.org/uniprot/M5WE27","M5WE27")</f>
        <v>M5WE27</v>
      </c>
      <c r="D9178" s="2" t="s">
        <v>7983</v>
      </c>
      <c r="E9178" s="3">
        <v>0</v>
      </c>
      <c r="F9178" s="2">
        <v>2494</v>
      </c>
      <c r="G9178" s="2">
        <v>100</v>
      </c>
      <c r="H9178" s="2">
        <v>472</v>
      </c>
      <c r="I9178" s="2">
        <v>2</v>
      </c>
      <c r="J9178" s="2">
        <v>1417</v>
      </c>
      <c r="K9178" s="2">
        <v>328</v>
      </c>
      <c r="L9178" s="2">
        <v>799</v>
      </c>
    </row>
    <row r="9179" spans="1:12" x14ac:dyDescent="0.25">
      <c r="A9179" s="4" t="str">
        <f>HYPERLINK("http://www.rosaceae.org/Prunus/Prunus_persica/p.persica_gdr_reftransV1_0048526","p.persica_gdr_reftransV1_0048526")</f>
        <v>p.persica_gdr_reftransV1_0048526</v>
      </c>
      <c r="B9179" s="2">
        <v>303</v>
      </c>
      <c r="C9179" s="4" t="str">
        <f>HYPERLINK("http://www.uniprot.org/uniprot/M5Y2X2","M5Y2X2")</f>
        <v>M5Y2X2</v>
      </c>
      <c r="D9179" s="2" t="s">
        <v>7984</v>
      </c>
      <c r="E9179" s="3">
        <v>2.3699999999999999E-17</v>
      </c>
      <c r="F9179" s="2">
        <v>212</v>
      </c>
      <c r="G9179" s="2">
        <v>100</v>
      </c>
      <c r="H9179" s="2">
        <v>37</v>
      </c>
      <c r="I9179" s="2">
        <v>132</v>
      </c>
      <c r="J9179" s="2">
        <v>242</v>
      </c>
      <c r="K9179" s="2">
        <v>1</v>
      </c>
      <c r="L9179" s="2">
        <v>37</v>
      </c>
    </row>
    <row r="9180" spans="1:12" x14ac:dyDescent="0.25">
      <c r="A9180" s="4" t="str">
        <f>HYPERLINK("http://www.rosaceae.org/Prunus/Prunus_persica/p.persica_gdr_reftransV1_0000577","p.persica_gdr_reftransV1_0000577")</f>
        <v>p.persica_gdr_reftransV1_0000577</v>
      </c>
      <c r="B9180" s="2">
        <v>1044</v>
      </c>
      <c r="C9180" s="4" t="str">
        <f>HYPERLINK("http://www.uniprot.org/uniprot/M5W8E3","M5W8E3")</f>
        <v>M5W8E3</v>
      </c>
      <c r="D9180" s="2" t="s">
        <v>7985</v>
      </c>
      <c r="E9180" s="3">
        <v>4.9500000000000004E-91</v>
      </c>
      <c r="F9180" s="2">
        <v>747</v>
      </c>
      <c r="G9180" s="2">
        <v>100</v>
      </c>
      <c r="H9180" s="2">
        <v>178</v>
      </c>
      <c r="I9180" s="2">
        <v>476</v>
      </c>
      <c r="J9180" s="2">
        <v>1009</v>
      </c>
      <c r="K9180" s="2">
        <v>28</v>
      </c>
      <c r="L9180" s="2">
        <v>205</v>
      </c>
    </row>
    <row r="9181" spans="1:12" x14ac:dyDescent="0.25">
      <c r="A9181" s="4" t="str">
        <f>HYPERLINK("http://www.rosaceae.org/Prunus/Prunus_persica/p.persica_gdr_reftransV1_0000927","p.persica_gdr_reftransV1_0000927")</f>
        <v>p.persica_gdr_reftransV1_0000927</v>
      </c>
      <c r="B9181" s="2">
        <v>1156</v>
      </c>
      <c r="C9181" s="4" t="str">
        <f>HYPERLINK("http://www.uniprot.org/uniprot/M5Y2K5","M5Y2K5")</f>
        <v>M5Y2K5</v>
      </c>
      <c r="D9181" s="2" t="s">
        <v>7986</v>
      </c>
      <c r="E9181" s="3">
        <v>4.2900000000000001E-144</v>
      </c>
      <c r="F9181" s="2">
        <v>1079</v>
      </c>
      <c r="G9181" s="2">
        <v>98</v>
      </c>
      <c r="H9181" s="2">
        <v>210</v>
      </c>
      <c r="I9181" s="2">
        <v>338</v>
      </c>
      <c r="J9181" s="2">
        <v>967</v>
      </c>
      <c r="K9181" s="2">
        <v>9</v>
      </c>
      <c r="L9181" s="2">
        <v>218</v>
      </c>
    </row>
    <row r="9182" spans="1:12" x14ac:dyDescent="0.25">
      <c r="A9182" s="4" t="str">
        <f>HYPERLINK("http://www.rosaceae.org/Prunus/Prunus_persica/p.persica_gdr_reftransV1_0001277","p.persica_gdr_reftransV1_0001277")</f>
        <v>p.persica_gdr_reftransV1_0001277</v>
      </c>
      <c r="B9182" s="2">
        <v>1505</v>
      </c>
      <c r="C9182" s="4" t="str">
        <f>HYPERLINK("http://www.uniprot.org/uniprot/M5X1V0","M5X1V0")</f>
        <v>M5X1V0</v>
      </c>
      <c r="D9182" s="2" t="s">
        <v>7987</v>
      </c>
      <c r="E9182" s="3">
        <v>0</v>
      </c>
      <c r="F9182" s="2">
        <v>1527</v>
      </c>
      <c r="G9182" s="2">
        <v>100</v>
      </c>
      <c r="H9182" s="2">
        <v>310</v>
      </c>
      <c r="I9182" s="2">
        <v>180</v>
      </c>
      <c r="J9182" s="2">
        <v>1109</v>
      </c>
      <c r="K9182" s="2">
        <v>1</v>
      </c>
      <c r="L9182" s="2">
        <v>310</v>
      </c>
    </row>
    <row r="9183" spans="1:12" x14ac:dyDescent="0.25">
      <c r="A9183" s="4" t="str">
        <f>HYPERLINK("http://www.rosaceae.org/Prunus/Prunus_persica/p.persica_gdr_reftransV1_0001627","p.persica_gdr_reftransV1_0001627")</f>
        <v>p.persica_gdr_reftransV1_0001627</v>
      </c>
      <c r="B9183" s="2">
        <v>1450</v>
      </c>
      <c r="C9183" s="4" t="str">
        <f>HYPERLINK("http://www.uniprot.org/uniprot/M5WPN4","M5WPN4")</f>
        <v>M5WPN4</v>
      </c>
      <c r="D9183" s="2" t="s">
        <v>7988</v>
      </c>
      <c r="E9183" s="3">
        <v>0</v>
      </c>
      <c r="F9183" s="2">
        <v>983</v>
      </c>
      <c r="G9183" s="2">
        <v>98</v>
      </c>
      <c r="H9183" s="2">
        <v>186</v>
      </c>
      <c r="I9183" s="2">
        <v>2</v>
      </c>
      <c r="J9183" s="2">
        <v>556</v>
      </c>
      <c r="K9183" s="2">
        <v>35</v>
      </c>
      <c r="L9183" s="2">
        <v>220</v>
      </c>
    </row>
    <row r="9184" spans="1:12" x14ac:dyDescent="0.25">
      <c r="A9184" s="4" t="str">
        <f>HYPERLINK("http://www.rosaceae.org/Prunus/Prunus_persica/p.persica_gdr_reftransV1_0001977","p.persica_gdr_reftransV1_0001977")</f>
        <v>p.persica_gdr_reftransV1_0001977</v>
      </c>
      <c r="B9184" s="2">
        <v>1606</v>
      </c>
      <c r="C9184" s="4" t="str">
        <f>HYPERLINK("http://www.uniprot.org/uniprot/M5XM33","M5XM33")</f>
        <v>M5XM33</v>
      </c>
      <c r="D9184" s="2" t="s">
        <v>7989</v>
      </c>
      <c r="E9184" s="3">
        <v>0</v>
      </c>
      <c r="F9184" s="2">
        <v>1586</v>
      </c>
      <c r="G9184" s="2">
        <v>99</v>
      </c>
      <c r="H9184" s="2">
        <v>303</v>
      </c>
      <c r="I9184" s="2">
        <v>44</v>
      </c>
      <c r="J9184" s="2">
        <v>952</v>
      </c>
      <c r="K9184" s="2">
        <v>1</v>
      </c>
      <c r="L9184" s="2">
        <v>303</v>
      </c>
    </row>
    <row r="9185" spans="1:12" x14ac:dyDescent="0.25">
      <c r="A9185" s="4" t="str">
        <f>HYPERLINK("http://www.rosaceae.org/Prunus/Prunus_persica/p.persica_gdr_reftransV1_0002327","p.persica_gdr_reftransV1_0002327")</f>
        <v>p.persica_gdr_reftransV1_0002327</v>
      </c>
      <c r="B9185" s="2">
        <v>638</v>
      </c>
      <c r="C9185" s="4" t="str">
        <f>HYPERLINK("http://www.uniprot.org/uniprot/X0HHR9","X0HHR9")</f>
        <v>X0HHR9</v>
      </c>
      <c r="D9185" s="2" t="s">
        <v>7990</v>
      </c>
      <c r="E9185" s="3">
        <v>1.04E-71</v>
      </c>
      <c r="F9185" s="2">
        <v>603</v>
      </c>
      <c r="G9185" s="2">
        <v>87</v>
      </c>
      <c r="H9185" s="2">
        <v>143</v>
      </c>
      <c r="I9185" s="2">
        <v>209</v>
      </c>
      <c r="J9185" s="2">
        <v>637</v>
      </c>
      <c r="K9185" s="2">
        <v>331</v>
      </c>
      <c r="L9185" s="2">
        <v>473</v>
      </c>
    </row>
    <row r="9186" spans="1:12" x14ac:dyDescent="0.25">
      <c r="A9186" s="4" t="str">
        <f>HYPERLINK("http://www.rosaceae.org/Prunus/Prunus_persica/p.persica_gdr_reftransV1_0002677","p.persica_gdr_reftransV1_0002677")</f>
        <v>p.persica_gdr_reftransV1_0002677</v>
      </c>
      <c r="B9186" s="2">
        <v>1189</v>
      </c>
      <c r="C9186" s="4" t="str">
        <f>HYPERLINK("http://www.uniprot.org/uniprot/A0A068Q6L2","A0A068Q6L2")</f>
        <v>A0A068Q6L2</v>
      </c>
      <c r="D9186" s="2" t="s">
        <v>7991</v>
      </c>
      <c r="E9186" s="3">
        <v>1.0299999999999999E-146</v>
      </c>
      <c r="F9186" s="2">
        <v>1127</v>
      </c>
      <c r="G9186" s="2">
        <v>94</v>
      </c>
      <c r="H9186" s="2">
        <v>236</v>
      </c>
      <c r="I9186" s="2">
        <v>480</v>
      </c>
      <c r="J9186" s="2">
        <v>1187</v>
      </c>
      <c r="K9186" s="2">
        <v>283</v>
      </c>
      <c r="L9186" s="2">
        <v>518</v>
      </c>
    </row>
    <row r="9187" spans="1:12" x14ac:dyDescent="0.25">
      <c r="A9187" s="4" t="str">
        <f>HYPERLINK("http://www.rosaceae.org/Prunus/Prunus_persica/p.persica_gdr_reftransV1_0003377","p.persica_gdr_reftransV1_0003377")</f>
        <v>p.persica_gdr_reftransV1_0003377</v>
      </c>
      <c r="B9187" s="2">
        <v>1066</v>
      </c>
      <c r="C9187" s="4" t="str">
        <f>HYPERLINK("http://www.uniprot.org/uniprot/M5WHT2","M5WHT2")</f>
        <v>M5WHT2</v>
      </c>
      <c r="D9187" s="2" t="s">
        <v>7992</v>
      </c>
      <c r="E9187" s="3">
        <v>9.939999999999999E-156</v>
      </c>
      <c r="F9187" s="2">
        <v>1178</v>
      </c>
      <c r="G9187" s="2">
        <v>85</v>
      </c>
      <c r="H9187" s="2">
        <v>268</v>
      </c>
      <c r="I9187" s="2">
        <v>2</v>
      </c>
      <c r="J9187" s="2">
        <v>805</v>
      </c>
      <c r="K9187" s="2">
        <v>246</v>
      </c>
      <c r="L9187" s="2">
        <v>473</v>
      </c>
    </row>
    <row r="9188" spans="1:12" x14ac:dyDescent="0.25">
      <c r="A9188" s="4" t="str">
        <f>HYPERLINK("http://www.rosaceae.org/Prunus/Prunus_persica/p.persica_gdr_reftransV1_0003727","p.persica_gdr_reftransV1_0003727")</f>
        <v>p.persica_gdr_reftransV1_0003727</v>
      </c>
      <c r="B9188" s="2">
        <v>2032</v>
      </c>
      <c r="C9188" s="4" t="str">
        <f>HYPERLINK("http://www.uniprot.org/uniprot/M5Y1Y3","M5Y1Y3")</f>
        <v>M5Y1Y3</v>
      </c>
      <c r="D9188" s="2" t="s">
        <v>7993</v>
      </c>
      <c r="E9188" s="3">
        <v>0</v>
      </c>
      <c r="F9188" s="2">
        <v>1352</v>
      </c>
      <c r="G9188" s="2">
        <v>100</v>
      </c>
      <c r="H9188" s="2">
        <v>276</v>
      </c>
      <c r="I9188" s="2">
        <v>765</v>
      </c>
      <c r="J9188" s="2">
        <v>1592</v>
      </c>
      <c r="K9188" s="2">
        <v>255</v>
      </c>
      <c r="L9188" s="2">
        <v>530</v>
      </c>
    </row>
    <row r="9189" spans="1:12" x14ac:dyDescent="0.25">
      <c r="A9189" s="4" t="str">
        <f>HYPERLINK("http://www.rosaceae.org/Prunus/Prunus_persica/p.persica_gdr_reftransV1_0004427","p.persica_gdr_reftransV1_0004427")</f>
        <v>p.persica_gdr_reftransV1_0004427</v>
      </c>
      <c r="B9189" s="2">
        <v>847</v>
      </c>
      <c r="C9189" s="4" t="str">
        <f>HYPERLINK("http://www.uniprot.org/uniprot/M5X880","M5X880")</f>
        <v>M5X880</v>
      </c>
      <c r="D9189" s="2" t="s">
        <v>2718</v>
      </c>
      <c r="E9189" s="3">
        <v>2.0399999999999999E-60</v>
      </c>
      <c r="F9189" s="2">
        <v>497</v>
      </c>
      <c r="G9189" s="2">
        <v>78</v>
      </c>
      <c r="H9189" s="2">
        <v>130</v>
      </c>
      <c r="I9189" s="2">
        <v>72</v>
      </c>
      <c r="J9189" s="2">
        <v>461</v>
      </c>
      <c r="K9189" s="2">
        <v>1</v>
      </c>
      <c r="L9189" s="2">
        <v>102</v>
      </c>
    </row>
    <row r="9190" spans="1:12" x14ac:dyDescent="0.25">
      <c r="A9190" s="4" t="str">
        <f>HYPERLINK("http://www.rosaceae.org/Prunus/Prunus_persica/p.persica_gdr_reftransV1_0004777","p.persica_gdr_reftransV1_0004777")</f>
        <v>p.persica_gdr_reftransV1_0004777</v>
      </c>
      <c r="B9190" s="2">
        <v>2788</v>
      </c>
      <c r="C9190" s="4" t="str">
        <f>HYPERLINK("http://www.uniprot.org/uniprot/M5XIG0","M5XIG0")</f>
        <v>M5XIG0</v>
      </c>
      <c r="D9190" s="2" t="s">
        <v>7994</v>
      </c>
      <c r="E9190" s="3">
        <v>0</v>
      </c>
      <c r="F9190" s="2">
        <v>2662</v>
      </c>
      <c r="G9190" s="2">
        <v>98</v>
      </c>
      <c r="H9190" s="2">
        <v>656</v>
      </c>
      <c r="I9190" s="2">
        <v>165</v>
      </c>
      <c r="J9190" s="2">
        <v>2132</v>
      </c>
      <c r="K9190" s="2">
        <v>1</v>
      </c>
      <c r="L9190" s="2">
        <v>646</v>
      </c>
    </row>
    <row r="9191" spans="1:12" x14ac:dyDescent="0.25">
      <c r="A9191" s="4" t="str">
        <f>HYPERLINK("http://www.rosaceae.org/Prunus/Prunus_persica/p.persica_gdr_reftransV1_0005127","p.persica_gdr_reftransV1_0005127")</f>
        <v>p.persica_gdr_reftransV1_0005127</v>
      </c>
      <c r="B9191" s="2">
        <v>2043</v>
      </c>
      <c r="C9191" s="4" t="str">
        <f>HYPERLINK("http://www.uniprot.org/uniprot/M5XR34","M5XR34")</f>
        <v>M5XR34</v>
      </c>
      <c r="D9191" s="2" t="s">
        <v>7220</v>
      </c>
      <c r="E9191" s="3">
        <v>0</v>
      </c>
      <c r="F9191" s="2">
        <v>2566</v>
      </c>
      <c r="G9191" s="2">
        <v>100</v>
      </c>
      <c r="H9191" s="2">
        <v>481</v>
      </c>
      <c r="I9191" s="2">
        <v>316</v>
      </c>
      <c r="J9191" s="2">
        <v>1758</v>
      </c>
      <c r="K9191" s="2">
        <v>1</v>
      </c>
      <c r="L9191" s="2">
        <v>481</v>
      </c>
    </row>
    <row r="9192" spans="1:12" x14ac:dyDescent="0.25">
      <c r="A9192" s="4" t="str">
        <f>HYPERLINK("http://www.rosaceae.org/Prunus/Prunus_persica/p.persica_gdr_reftransV1_0005477","p.persica_gdr_reftransV1_0005477")</f>
        <v>p.persica_gdr_reftransV1_0005477</v>
      </c>
      <c r="B9192" s="2">
        <v>1497</v>
      </c>
      <c r="C9192" s="4" t="str">
        <f>HYPERLINK("http://www.uniprot.org/uniprot/M5XE02","M5XE02")</f>
        <v>M5XE02</v>
      </c>
      <c r="D9192" s="2" t="s">
        <v>7995</v>
      </c>
      <c r="E9192" s="3">
        <v>0</v>
      </c>
      <c r="F9192" s="2">
        <v>1574</v>
      </c>
      <c r="G9192" s="2">
        <v>100</v>
      </c>
      <c r="H9192" s="2">
        <v>294</v>
      </c>
      <c r="I9192" s="2">
        <v>345</v>
      </c>
      <c r="J9192" s="2">
        <v>1226</v>
      </c>
      <c r="K9192" s="2">
        <v>17</v>
      </c>
      <c r="L9192" s="2">
        <v>310</v>
      </c>
    </row>
    <row r="9193" spans="1:12" x14ac:dyDescent="0.25">
      <c r="A9193" s="4" t="str">
        <f>HYPERLINK("http://www.rosaceae.org/Prunus/Prunus_persica/p.persica_gdr_reftransV1_0005827","p.persica_gdr_reftransV1_0005827")</f>
        <v>p.persica_gdr_reftransV1_0005827</v>
      </c>
      <c r="B9193" s="2">
        <v>441</v>
      </c>
      <c r="C9193" s="4" t="str">
        <f>HYPERLINK("http://www.uniprot.org/uniprot/M5WNE2","M5WNE2")</f>
        <v>M5WNE2</v>
      </c>
      <c r="D9193" s="2" t="s">
        <v>7996</v>
      </c>
      <c r="E9193" s="3">
        <v>6.3099999999999996E-31</v>
      </c>
      <c r="F9193" s="2">
        <v>321</v>
      </c>
      <c r="G9193" s="2">
        <v>51</v>
      </c>
      <c r="H9193" s="2">
        <v>138</v>
      </c>
      <c r="I9193" s="2">
        <v>3</v>
      </c>
      <c r="J9193" s="2">
        <v>410</v>
      </c>
      <c r="K9193" s="2">
        <v>504</v>
      </c>
      <c r="L9193" s="2">
        <v>627</v>
      </c>
    </row>
    <row r="9194" spans="1:12" x14ac:dyDescent="0.25">
      <c r="A9194" s="4" t="str">
        <f>HYPERLINK("http://www.rosaceae.org/Prunus/Prunus_persica/p.persica_gdr_reftransV1_0006177","p.persica_gdr_reftransV1_0006177")</f>
        <v>p.persica_gdr_reftransV1_0006177</v>
      </c>
      <c r="B9194" s="2">
        <v>1344</v>
      </c>
      <c r="C9194" s="4" t="str">
        <f>HYPERLINK("http://www.uniprot.org/uniprot/M5XIG4","M5XIG4")</f>
        <v>M5XIG4</v>
      </c>
      <c r="D9194" s="2" t="s">
        <v>7997</v>
      </c>
      <c r="E9194" s="3">
        <v>0</v>
      </c>
      <c r="F9194" s="2">
        <v>1561</v>
      </c>
      <c r="G9194" s="2">
        <v>96</v>
      </c>
      <c r="H9194" s="2">
        <v>327</v>
      </c>
      <c r="I9194" s="2">
        <v>91</v>
      </c>
      <c r="J9194" s="2">
        <v>1071</v>
      </c>
      <c r="K9194" s="2">
        <v>1</v>
      </c>
      <c r="L9194" s="2">
        <v>313</v>
      </c>
    </row>
    <row r="9195" spans="1:12" x14ac:dyDescent="0.25">
      <c r="A9195" s="4" t="str">
        <f>HYPERLINK("http://www.rosaceae.org/Prunus/Prunus_persica/p.persica_gdr_reftransV1_0006527","p.persica_gdr_reftransV1_0006527")</f>
        <v>p.persica_gdr_reftransV1_0006527</v>
      </c>
      <c r="B9195" s="2">
        <v>410</v>
      </c>
      <c r="C9195" s="4" t="str">
        <f>HYPERLINK("http://www.uniprot.org/uniprot/M5VKF8","M5VKF8")</f>
        <v>M5VKF8</v>
      </c>
      <c r="D9195" s="2" t="s">
        <v>2793</v>
      </c>
      <c r="E9195" s="3">
        <v>4.5500000000000003E-34</v>
      </c>
      <c r="F9195" s="2">
        <v>315</v>
      </c>
      <c r="G9195" s="2">
        <v>73</v>
      </c>
      <c r="H9195" s="2">
        <v>83</v>
      </c>
      <c r="I9195" s="2">
        <v>45</v>
      </c>
      <c r="J9195" s="2">
        <v>293</v>
      </c>
      <c r="K9195" s="2">
        <v>1</v>
      </c>
      <c r="L9195" s="2">
        <v>82</v>
      </c>
    </row>
    <row r="9196" spans="1:12" x14ac:dyDescent="0.25">
      <c r="A9196" s="4" t="str">
        <f>HYPERLINK("http://www.rosaceae.org/Prunus/Prunus_persica/p.persica_gdr_reftransV1_0006877","p.persica_gdr_reftransV1_0006877")</f>
        <v>p.persica_gdr_reftransV1_0006877</v>
      </c>
      <c r="B9196" s="2">
        <v>548</v>
      </c>
      <c r="C9196" s="4" t="str">
        <f>HYPERLINK("http://www.uniprot.org/uniprot/M5X4M0","M5X4M0")</f>
        <v>M5X4M0</v>
      </c>
      <c r="D9196" s="2" t="s">
        <v>7998</v>
      </c>
      <c r="E9196" s="3">
        <v>3.4699999999999998E-84</v>
      </c>
      <c r="F9196" s="2">
        <v>700</v>
      </c>
      <c r="G9196" s="2">
        <v>98</v>
      </c>
      <c r="H9196" s="2">
        <v>133</v>
      </c>
      <c r="I9196" s="2">
        <v>149</v>
      </c>
      <c r="J9196" s="2">
        <v>547</v>
      </c>
      <c r="K9196" s="2">
        <v>576</v>
      </c>
      <c r="L9196" s="2">
        <v>708</v>
      </c>
    </row>
    <row r="9197" spans="1:12" x14ac:dyDescent="0.25">
      <c r="A9197" s="4" t="str">
        <f>HYPERLINK("http://www.rosaceae.org/Prunus/Prunus_persica/p.persica_gdr_reftransV1_0007227","p.persica_gdr_reftransV1_0007227")</f>
        <v>p.persica_gdr_reftransV1_0007227</v>
      </c>
      <c r="B9197" s="2">
        <v>598</v>
      </c>
      <c r="C9197" s="4" t="str">
        <f>HYPERLINK("http://www.uniprot.org/uniprot/M5VX57","M5VX57")</f>
        <v>M5VX57</v>
      </c>
      <c r="D9197" s="2" t="s">
        <v>7999</v>
      </c>
      <c r="E9197" s="3">
        <v>2.51E-55</v>
      </c>
      <c r="F9197" s="2">
        <v>465</v>
      </c>
      <c r="G9197" s="2">
        <v>100</v>
      </c>
      <c r="H9197" s="2">
        <v>102</v>
      </c>
      <c r="I9197" s="2">
        <v>55</v>
      </c>
      <c r="J9197" s="2">
        <v>360</v>
      </c>
      <c r="K9197" s="2">
        <v>34</v>
      </c>
      <c r="L9197" s="2">
        <v>135</v>
      </c>
    </row>
    <row r="9198" spans="1:12" x14ac:dyDescent="0.25">
      <c r="A9198" s="4" t="str">
        <f>HYPERLINK("http://www.rosaceae.org/Prunus/Prunus_persica/p.persica_gdr_reftransV1_0007577","p.persica_gdr_reftransV1_0007577")</f>
        <v>p.persica_gdr_reftransV1_0007577</v>
      </c>
      <c r="B9198" s="2">
        <v>983</v>
      </c>
      <c r="C9198" s="4" t="str">
        <f>HYPERLINK("http://www.uniprot.org/uniprot/M5X175","M5X175")</f>
        <v>M5X175</v>
      </c>
      <c r="D9198" s="2" t="s">
        <v>8000</v>
      </c>
      <c r="E9198" s="3">
        <v>1.1400000000000001E-70</v>
      </c>
      <c r="F9198" s="2">
        <v>584</v>
      </c>
      <c r="G9198" s="2">
        <v>100</v>
      </c>
      <c r="H9198" s="2">
        <v>189</v>
      </c>
      <c r="I9198" s="2">
        <v>92</v>
      </c>
      <c r="J9198" s="2">
        <v>658</v>
      </c>
      <c r="K9198" s="2">
        <v>3</v>
      </c>
      <c r="L9198" s="2">
        <v>191</v>
      </c>
    </row>
    <row r="9199" spans="1:12" x14ac:dyDescent="0.25">
      <c r="A9199" s="4" t="str">
        <f>HYPERLINK("http://www.rosaceae.org/Prunus/Prunus_persica/p.persica_gdr_reftransV1_0007927","p.persica_gdr_reftransV1_0007927")</f>
        <v>p.persica_gdr_reftransV1_0007927</v>
      </c>
      <c r="B9199" s="2">
        <v>5180</v>
      </c>
      <c r="C9199" s="4" t="str">
        <f>HYPERLINK("http://www.uniprot.org/uniprot/M5X1X3","M5X1X3")</f>
        <v>M5X1X3</v>
      </c>
      <c r="D9199" s="2" t="s">
        <v>8001</v>
      </c>
      <c r="E9199" s="3">
        <v>0</v>
      </c>
      <c r="F9199" s="2">
        <v>7826</v>
      </c>
      <c r="G9199" s="2">
        <v>98</v>
      </c>
      <c r="H9199" s="2">
        <v>1554</v>
      </c>
      <c r="I9199" s="2">
        <v>190</v>
      </c>
      <c r="J9199" s="2">
        <v>4851</v>
      </c>
      <c r="K9199" s="2">
        <v>1</v>
      </c>
      <c r="L9199" s="2">
        <v>1531</v>
      </c>
    </row>
    <row r="9200" spans="1:12" x14ac:dyDescent="0.25">
      <c r="A9200" s="4" t="str">
        <f>HYPERLINK("http://www.rosaceae.org/Prunus/Prunus_persica/p.persica_gdr_reftransV1_0008277","p.persica_gdr_reftransV1_0008277")</f>
        <v>p.persica_gdr_reftransV1_0008277</v>
      </c>
      <c r="B9200" s="2">
        <v>2241</v>
      </c>
      <c r="C9200" s="4" t="str">
        <f>HYPERLINK("http://www.uniprot.org/uniprot/M5WMJ8","M5WMJ8")</f>
        <v>M5WMJ8</v>
      </c>
      <c r="D9200" s="2" t="s">
        <v>8002</v>
      </c>
      <c r="E9200" s="3">
        <v>0</v>
      </c>
      <c r="F9200" s="2">
        <v>1867</v>
      </c>
      <c r="G9200" s="2">
        <v>90</v>
      </c>
      <c r="H9200" s="2">
        <v>395</v>
      </c>
      <c r="I9200" s="2">
        <v>422</v>
      </c>
      <c r="J9200" s="2">
        <v>1606</v>
      </c>
      <c r="K9200" s="2">
        <v>1</v>
      </c>
      <c r="L9200" s="2">
        <v>354</v>
      </c>
    </row>
    <row r="9201" spans="1:12" x14ac:dyDescent="0.25">
      <c r="A9201" s="4" t="str">
        <f>HYPERLINK("http://www.rosaceae.org/Prunus/Prunus_persica/p.persica_gdr_reftransV1_0008627","p.persica_gdr_reftransV1_0008627")</f>
        <v>p.persica_gdr_reftransV1_0008627</v>
      </c>
      <c r="B9201" s="2">
        <v>1242</v>
      </c>
      <c r="C9201" s="4" t="str">
        <f>HYPERLINK("http://www.uniprot.org/uniprot/M5XPL1","M5XPL1")</f>
        <v>M5XPL1</v>
      </c>
      <c r="D9201" s="2" t="s">
        <v>8003</v>
      </c>
      <c r="E9201" s="3">
        <v>0</v>
      </c>
      <c r="F9201" s="2">
        <v>1963</v>
      </c>
      <c r="G9201" s="2">
        <v>100</v>
      </c>
      <c r="H9201" s="2">
        <v>383</v>
      </c>
      <c r="I9201" s="2">
        <v>1</v>
      </c>
      <c r="J9201" s="2">
        <v>1149</v>
      </c>
      <c r="K9201" s="2">
        <v>1</v>
      </c>
      <c r="L9201" s="2">
        <v>383</v>
      </c>
    </row>
    <row r="9202" spans="1:12" x14ac:dyDescent="0.25">
      <c r="A9202" s="4" t="str">
        <f>HYPERLINK("http://www.rosaceae.org/Prunus/Prunus_persica/p.persica_gdr_reftransV1_0008977","p.persica_gdr_reftransV1_0008977")</f>
        <v>p.persica_gdr_reftransV1_0008977</v>
      </c>
      <c r="B9202" s="2">
        <v>2972</v>
      </c>
      <c r="C9202" s="4" t="str">
        <f>HYPERLINK("http://www.uniprot.org/uniprot/M5WMW1","M5WMW1")</f>
        <v>M5WMW1</v>
      </c>
      <c r="D9202" s="2" t="s">
        <v>8004</v>
      </c>
      <c r="E9202" s="3">
        <v>0</v>
      </c>
      <c r="F9202" s="2">
        <v>2660</v>
      </c>
      <c r="G9202" s="2">
        <v>100</v>
      </c>
      <c r="H9202" s="2">
        <v>491</v>
      </c>
      <c r="I9202" s="2">
        <v>837</v>
      </c>
      <c r="J9202" s="2">
        <v>2309</v>
      </c>
      <c r="K9202" s="2">
        <v>1</v>
      </c>
      <c r="L9202" s="2">
        <v>491</v>
      </c>
    </row>
    <row r="9203" spans="1:12" x14ac:dyDescent="0.25">
      <c r="A9203" s="4" t="str">
        <f>HYPERLINK("http://www.rosaceae.org/Prunus/Prunus_persica/p.persica_gdr_reftransV1_0009327","p.persica_gdr_reftransV1_0009327")</f>
        <v>p.persica_gdr_reftransV1_0009327</v>
      </c>
      <c r="B9203" s="2">
        <v>2847</v>
      </c>
      <c r="C9203" s="4" t="str">
        <f>HYPERLINK("http://www.uniprot.org/uniprot/M5WS65","M5WS65")</f>
        <v>M5WS65</v>
      </c>
      <c r="D9203" s="2" t="s">
        <v>5253</v>
      </c>
      <c r="E9203" s="3">
        <v>0</v>
      </c>
      <c r="F9203" s="2">
        <v>4704</v>
      </c>
      <c r="G9203" s="2">
        <v>100</v>
      </c>
      <c r="H9203" s="2">
        <v>874</v>
      </c>
      <c r="I9203" s="2">
        <v>226</v>
      </c>
      <c r="J9203" s="2">
        <v>2847</v>
      </c>
      <c r="K9203" s="2">
        <v>1322</v>
      </c>
      <c r="L9203" s="2">
        <v>2195</v>
      </c>
    </row>
    <row r="9204" spans="1:12" x14ac:dyDescent="0.25">
      <c r="A9204" s="4" t="str">
        <f>HYPERLINK("http://www.rosaceae.org/Prunus/Prunus_persica/p.persica_gdr_reftransV1_0011777","p.persica_gdr_reftransV1_0011777")</f>
        <v>p.persica_gdr_reftransV1_0011777</v>
      </c>
      <c r="B9204" s="2">
        <v>4909</v>
      </c>
      <c r="C9204" s="4" t="str">
        <f>HYPERLINK("http://www.uniprot.org/uniprot/M5W9R9","M5W9R9")</f>
        <v>M5W9R9</v>
      </c>
      <c r="D9204" s="2" t="s">
        <v>8005</v>
      </c>
      <c r="E9204" s="3">
        <v>0</v>
      </c>
      <c r="F9204" s="2">
        <v>1530</v>
      </c>
      <c r="G9204" s="2">
        <v>100</v>
      </c>
      <c r="H9204" s="2">
        <v>293</v>
      </c>
      <c r="I9204" s="2">
        <v>963</v>
      </c>
      <c r="J9204" s="2">
        <v>1841</v>
      </c>
      <c r="K9204" s="2">
        <v>1</v>
      </c>
      <c r="L9204" s="2">
        <v>293</v>
      </c>
    </row>
    <row r="9205" spans="1:12" x14ac:dyDescent="0.25">
      <c r="A9205" s="4" t="str">
        <f>HYPERLINK("http://www.rosaceae.org/Prunus/Prunus_persica/p.persica_gdr_reftransV1_0014227","p.persica_gdr_reftransV1_0014227")</f>
        <v>p.persica_gdr_reftransV1_0014227</v>
      </c>
      <c r="B9205" s="2">
        <v>3168</v>
      </c>
      <c r="C9205" s="4" t="str">
        <f>HYPERLINK("http://www.uniprot.org/uniprot/M5X210","M5X210")</f>
        <v>M5X210</v>
      </c>
      <c r="D9205" s="2" t="s">
        <v>8006</v>
      </c>
      <c r="E9205" s="3">
        <v>0</v>
      </c>
      <c r="F9205" s="2">
        <v>4165</v>
      </c>
      <c r="G9205" s="2">
        <v>99</v>
      </c>
      <c r="H9205" s="2">
        <v>803</v>
      </c>
      <c r="I9205" s="2">
        <v>495</v>
      </c>
      <c r="J9205" s="2">
        <v>2903</v>
      </c>
      <c r="K9205" s="2">
        <v>1</v>
      </c>
      <c r="L9205" s="2">
        <v>803</v>
      </c>
    </row>
    <row r="9206" spans="1:12" x14ac:dyDescent="0.25">
      <c r="A9206" s="4" t="str">
        <f>HYPERLINK("http://www.rosaceae.org/Prunus/Prunus_persica/p.persica_gdr_reftransV1_0014577","p.persica_gdr_reftransV1_0014577")</f>
        <v>p.persica_gdr_reftransV1_0014577</v>
      </c>
      <c r="B9206" s="2">
        <v>721</v>
      </c>
      <c r="C9206" s="4" t="str">
        <f>HYPERLINK("http://www.uniprot.org/uniprot/M5VQP8","M5VQP8")</f>
        <v>M5VQP8</v>
      </c>
      <c r="D9206" s="2" t="s">
        <v>376</v>
      </c>
      <c r="E9206" s="3">
        <v>1.0299999999999999E-98</v>
      </c>
      <c r="F9206" s="2">
        <v>780</v>
      </c>
      <c r="G9206" s="2">
        <v>100</v>
      </c>
      <c r="H9206" s="2">
        <v>159</v>
      </c>
      <c r="I9206" s="2">
        <v>3</v>
      </c>
      <c r="J9206" s="2">
        <v>479</v>
      </c>
      <c r="K9206" s="2">
        <v>235</v>
      </c>
      <c r="L9206" s="2">
        <v>393</v>
      </c>
    </row>
    <row r="9207" spans="1:12" x14ac:dyDescent="0.25">
      <c r="A9207" s="4" t="str">
        <f>HYPERLINK("http://www.rosaceae.org/Prunus/Prunus_persica/p.persica_gdr_reftransV1_0017377","p.persica_gdr_reftransV1_0017377")</f>
        <v>p.persica_gdr_reftransV1_0017377</v>
      </c>
      <c r="B9207" s="2">
        <v>1707</v>
      </c>
      <c r="C9207" s="4" t="str">
        <f>HYPERLINK("http://www.uniprot.org/uniprot/M5WTG9","M5WTG9")</f>
        <v>M5WTG9</v>
      </c>
      <c r="D9207" s="2" t="s">
        <v>8007</v>
      </c>
      <c r="E9207" s="3">
        <v>0</v>
      </c>
      <c r="F9207" s="2">
        <v>1787</v>
      </c>
      <c r="G9207" s="2">
        <v>100</v>
      </c>
      <c r="H9207" s="2">
        <v>388</v>
      </c>
      <c r="I9207" s="2">
        <v>178</v>
      </c>
      <c r="J9207" s="2">
        <v>1341</v>
      </c>
      <c r="K9207" s="2">
        <v>1</v>
      </c>
      <c r="L9207" s="2">
        <v>388</v>
      </c>
    </row>
    <row r="9208" spans="1:12" x14ac:dyDescent="0.25">
      <c r="A9208" s="4" t="str">
        <f>HYPERLINK("http://www.rosaceae.org/Prunus/Prunus_persica/p.persica_gdr_reftransV1_0017727","p.persica_gdr_reftransV1_0017727")</f>
        <v>p.persica_gdr_reftransV1_0017727</v>
      </c>
      <c r="B9208" s="2">
        <v>2009</v>
      </c>
      <c r="C9208" s="4" t="str">
        <f>HYPERLINK("http://www.uniprot.org/uniprot/M5XFB8","M5XFB8")</f>
        <v>M5XFB8</v>
      </c>
      <c r="D9208" s="2" t="s">
        <v>1132</v>
      </c>
      <c r="E9208" s="3">
        <v>0</v>
      </c>
      <c r="F9208" s="2">
        <v>2242</v>
      </c>
      <c r="G9208" s="2">
        <v>90</v>
      </c>
      <c r="H9208" s="2">
        <v>515</v>
      </c>
      <c r="I9208" s="2">
        <v>414</v>
      </c>
      <c r="J9208" s="2">
        <v>1958</v>
      </c>
      <c r="K9208" s="2">
        <v>1</v>
      </c>
      <c r="L9208" s="2">
        <v>467</v>
      </c>
    </row>
    <row r="9209" spans="1:12" x14ac:dyDescent="0.25">
      <c r="A9209" s="4" t="str">
        <f>HYPERLINK("http://www.rosaceae.org/Prunus/Prunus_persica/p.persica_gdr_reftransV1_0018077","p.persica_gdr_reftransV1_0018077")</f>
        <v>p.persica_gdr_reftransV1_0018077</v>
      </c>
      <c r="B9209" s="2">
        <v>1256</v>
      </c>
      <c r="C9209" s="4" t="str">
        <f>HYPERLINK("http://www.uniprot.org/uniprot/M5WYT8","M5WYT8")</f>
        <v>M5WYT8</v>
      </c>
      <c r="D9209" s="2" t="s">
        <v>8008</v>
      </c>
      <c r="E9209" s="3">
        <v>1.4699999999999999E-124</v>
      </c>
      <c r="F9209" s="2">
        <v>952</v>
      </c>
      <c r="G9209" s="2">
        <v>98</v>
      </c>
      <c r="H9209" s="2">
        <v>181</v>
      </c>
      <c r="I9209" s="2">
        <v>390</v>
      </c>
      <c r="J9209" s="2">
        <v>932</v>
      </c>
      <c r="K9209" s="2">
        <v>27</v>
      </c>
      <c r="L9209" s="2">
        <v>207</v>
      </c>
    </row>
    <row r="9210" spans="1:12" x14ac:dyDescent="0.25">
      <c r="A9210" s="4" t="str">
        <f>HYPERLINK("http://www.rosaceae.org/Prunus/Prunus_persica/p.persica_gdr_reftransV1_0019127","p.persica_gdr_reftransV1_0019127")</f>
        <v>p.persica_gdr_reftransV1_0019127</v>
      </c>
      <c r="B9210" s="2">
        <v>1716</v>
      </c>
      <c r="C9210" s="4" t="str">
        <f>HYPERLINK("http://www.uniprot.org/uniprot/M5Y0Z9","M5Y0Z9")</f>
        <v>M5Y0Z9</v>
      </c>
      <c r="D9210" s="2" t="s">
        <v>8009</v>
      </c>
      <c r="E9210" s="3">
        <v>1.2699999999999999E-34</v>
      </c>
      <c r="F9210" s="2">
        <v>343</v>
      </c>
      <c r="G9210" s="2">
        <v>62</v>
      </c>
      <c r="H9210" s="2">
        <v>116</v>
      </c>
      <c r="I9210" s="2">
        <v>171</v>
      </c>
      <c r="J9210" s="2">
        <v>518</v>
      </c>
      <c r="K9210" s="2">
        <v>51</v>
      </c>
      <c r="L9210" s="2">
        <v>123</v>
      </c>
    </row>
    <row r="9211" spans="1:12" x14ac:dyDescent="0.25">
      <c r="A9211" s="4" t="str">
        <f>HYPERLINK("http://www.rosaceae.org/Prunus/Prunus_persica/p.persica_gdr_reftransV1_0020177","p.persica_gdr_reftransV1_0020177")</f>
        <v>p.persica_gdr_reftransV1_0020177</v>
      </c>
      <c r="B9211" s="2">
        <v>1871</v>
      </c>
      <c r="C9211" s="4" t="str">
        <f>HYPERLINK("http://www.uniprot.org/uniprot/M5XFU7","M5XFU7")</f>
        <v>M5XFU7</v>
      </c>
      <c r="D9211" s="2" t="s">
        <v>8010</v>
      </c>
      <c r="E9211" s="3">
        <v>0</v>
      </c>
      <c r="F9211" s="2">
        <v>2497</v>
      </c>
      <c r="G9211" s="2">
        <v>100</v>
      </c>
      <c r="H9211" s="2">
        <v>507</v>
      </c>
      <c r="I9211" s="2">
        <v>29</v>
      </c>
      <c r="J9211" s="2">
        <v>1549</v>
      </c>
      <c r="K9211" s="2">
        <v>1</v>
      </c>
      <c r="L9211" s="2">
        <v>507</v>
      </c>
    </row>
    <row r="9212" spans="1:12" x14ac:dyDescent="0.25">
      <c r="A9212" s="4" t="str">
        <f>HYPERLINK("http://www.rosaceae.org/Prunus/Prunus_persica/p.persica_gdr_reftransV1_0020527","p.persica_gdr_reftransV1_0020527")</f>
        <v>p.persica_gdr_reftransV1_0020527</v>
      </c>
      <c r="B9212" s="2">
        <v>908</v>
      </c>
      <c r="C9212" s="4" t="str">
        <f>HYPERLINK("http://www.uniprot.org/uniprot/M5XFQ7","M5XFQ7")</f>
        <v>M5XFQ7</v>
      </c>
      <c r="D9212" s="2" t="s">
        <v>8011</v>
      </c>
      <c r="E9212" s="3">
        <v>1.3900000000000001E-125</v>
      </c>
      <c r="F9212" s="2">
        <v>944</v>
      </c>
      <c r="G9212" s="2">
        <v>100</v>
      </c>
      <c r="H9212" s="2">
        <v>174</v>
      </c>
      <c r="I9212" s="2">
        <v>347</v>
      </c>
      <c r="J9212" s="2">
        <v>868</v>
      </c>
      <c r="K9212" s="2">
        <v>1</v>
      </c>
      <c r="L9212" s="2">
        <v>174</v>
      </c>
    </row>
    <row r="9213" spans="1:12" x14ac:dyDescent="0.25">
      <c r="A9213" s="4" t="str">
        <f>HYPERLINK("http://www.rosaceae.org/Prunus/Prunus_persica/p.persica_gdr_reftransV1_0021227","p.persica_gdr_reftransV1_0021227")</f>
        <v>p.persica_gdr_reftransV1_0021227</v>
      </c>
      <c r="B9213" s="2">
        <v>704</v>
      </c>
      <c r="C9213" s="4" t="str">
        <f>HYPERLINK("http://www.uniprot.org/uniprot/M5WPJ2","M5WPJ2")</f>
        <v>M5WPJ2</v>
      </c>
      <c r="D9213" s="2" t="s">
        <v>8012</v>
      </c>
      <c r="E9213" s="3">
        <v>3.9099999999999998E-109</v>
      </c>
      <c r="F9213" s="2">
        <v>857</v>
      </c>
      <c r="G9213" s="2">
        <v>99</v>
      </c>
      <c r="H9213" s="2">
        <v>156</v>
      </c>
      <c r="I9213" s="2">
        <v>79</v>
      </c>
      <c r="J9213" s="2">
        <v>546</v>
      </c>
      <c r="K9213" s="2">
        <v>1</v>
      </c>
      <c r="L9213" s="2">
        <v>156</v>
      </c>
    </row>
    <row r="9214" spans="1:12" x14ac:dyDescent="0.25">
      <c r="A9214" s="4" t="str">
        <f>HYPERLINK("http://www.rosaceae.org/Prunus/Prunus_persica/p.persica_gdr_reftransV1_0022277","p.persica_gdr_reftransV1_0022277")</f>
        <v>p.persica_gdr_reftransV1_0022277</v>
      </c>
      <c r="B9214" s="2">
        <v>1015</v>
      </c>
      <c r="C9214" s="4" t="str">
        <f>HYPERLINK("http://www.uniprot.org/uniprot/M5XPQ7","M5XPQ7")</f>
        <v>M5XPQ7</v>
      </c>
      <c r="D9214" s="2" t="s">
        <v>8013</v>
      </c>
      <c r="E9214" s="3">
        <v>7.4099999999999997E-121</v>
      </c>
      <c r="F9214" s="2">
        <v>928</v>
      </c>
      <c r="G9214" s="2">
        <v>99</v>
      </c>
      <c r="H9214" s="2">
        <v>175</v>
      </c>
      <c r="I9214" s="2">
        <v>1</v>
      </c>
      <c r="J9214" s="2">
        <v>525</v>
      </c>
      <c r="K9214" s="2">
        <v>113</v>
      </c>
      <c r="L9214" s="2">
        <v>287</v>
      </c>
    </row>
    <row r="9215" spans="1:12" x14ac:dyDescent="0.25">
      <c r="A9215" s="4" t="str">
        <f>HYPERLINK("http://www.rosaceae.org/Prunus/Prunus_persica/p.persica_gdr_reftransV1_0022977","p.persica_gdr_reftransV1_0022977")</f>
        <v>p.persica_gdr_reftransV1_0022977</v>
      </c>
      <c r="B9215" s="2">
        <v>1690</v>
      </c>
      <c r="C9215" s="4" t="str">
        <f>HYPERLINK("http://www.uniprot.org/uniprot/A0A067L328","A0A067L328")</f>
        <v>A0A067L328</v>
      </c>
      <c r="D9215" s="2" t="s">
        <v>8014</v>
      </c>
      <c r="E9215" s="3">
        <v>4.7800000000000002E-63</v>
      </c>
      <c r="F9215" s="2">
        <v>563</v>
      </c>
      <c r="G9215" s="2">
        <v>73</v>
      </c>
      <c r="H9215" s="2">
        <v>138</v>
      </c>
      <c r="I9215" s="2">
        <v>336</v>
      </c>
      <c r="J9215" s="2">
        <v>749</v>
      </c>
      <c r="K9215" s="2">
        <v>190</v>
      </c>
      <c r="L9215" s="2">
        <v>327</v>
      </c>
    </row>
    <row r="9216" spans="1:12" x14ac:dyDescent="0.25">
      <c r="A9216" s="4" t="str">
        <f>HYPERLINK("http://www.rosaceae.org/Prunus/Prunus_persica/p.persica_gdr_reftransV1_0023677","p.persica_gdr_reftransV1_0023677")</f>
        <v>p.persica_gdr_reftransV1_0023677</v>
      </c>
      <c r="B9216" s="2">
        <v>2211</v>
      </c>
      <c r="C9216" s="4" t="str">
        <f>HYPERLINK("http://www.uniprot.org/uniprot/M5WY65","M5WY65")</f>
        <v>M5WY65</v>
      </c>
      <c r="D9216" s="2" t="s">
        <v>4646</v>
      </c>
      <c r="E9216" s="3">
        <v>0</v>
      </c>
      <c r="F9216" s="2">
        <v>2505</v>
      </c>
      <c r="G9216" s="2">
        <v>100</v>
      </c>
      <c r="H9216" s="2">
        <v>549</v>
      </c>
      <c r="I9216" s="2">
        <v>156</v>
      </c>
      <c r="J9216" s="2">
        <v>1802</v>
      </c>
      <c r="K9216" s="2">
        <v>1</v>
      </c>
      <c r="L9216" s="2">
        <v>549</v>
      </c>
    </row>
    <row r="9217" spans="1:12" x14ac:dyDescent="0.25">
      <c r="A9217" s="4" t="str">
        <f>HYPERLINK("http://www.rosaceae.org/Prunus/Prunus_persica/p.persica_gdr_reftransV1_0024727","p.persica_gdr_reftransV1_0024727")</f>
        <v>p.persica_gdr_reftransV1_0024727</v>
      </c>
      <c r="B9217" s="2">
        <v>1795</v>
      </c>
      <c r="C9217" s="4" t="str">
        <f>HYPERLINK("http://www.uniprot.org/uniprot/M5X1J0","M5X1J0")</f>
        <v>M5X1J0</v>
      </c>
      <c r="D9217" s="2" t="s">
        <v>435</v>
      </c>
      <c r="E9217" s="3">
        <v>0</v>
      </c>
      <c r="F9217" s="2">
        <v>2054</v>
      </c>
      <c r="G9217" s="2">
        <v>100</v>
      </c>
      <c r="H9217" s="2">
        <v>431</v>
      </c>
      <c r="I9217" s="2">
        <v>239</v>
      </c>
      <c r="J9217" s="2">
        <v>1531</v>
      </c>
      <c r="K9217" s="2">
        <v>1</v>
      </c>
      <c r="L9217" s="2">
        <v>431</v>
      </c>
    </row>
    <row r="9218" spans="1:12" x14ac:dyDescent="0.25">
      <c r="A9218" s="4" t="str">
        <f>HYPERLINK("http://www.rosaceae.org/Prunus/Prunus_persica/p.persica_gdr_reftransV1_0026477","p.persica_gdr_reftransV1_0026477")</f>
        <v>p.persica_gdr_reftransV1_0026477</v>
      </c>
      <c r="B9218" s="2">
        <v>1424</v>
      </c>
      <c r="C9218" s="4" t="str">
        <f>HYPERLINK("http://www.uniprot.org/uniprot/F6HSK3","F6HSK3")</f>
        <v>F6HSK3</v>
      </c>
      <c r="D9218" s="2" t="s">
        <v>8015</v>
      </c>
      <c r="E9218" s="3">
        <v>2.5799999999999999E-105</v>
      </c>
      <c r="F9218" s="2">
        <v>635</v>
      </c>
      <c r="G9218" s="2">
        <v>89</v>
      </c>
      <c r="H9218" s="2">
        <v>136</v>
      </c>
      <c r="I9218" s="2">
        <v>344</v>
      </c>
      <c r="J9218" s="2">
        <v>751</v>
      </c>
      <c r="K9218" s="2">
        <v>172</v>
      </c>
      <c r="L9218" s="2">
        <v>307</v>
      </c>
    </row>
    <row r="9219" spans="1:12" x14ac:dyDescent="0.25">
      <c r="A9219" s="4" t="str">
        <f>HYPERLINK("http://www.rosaceae.org/Prunus/Prunus_persica/p.persica_gdr_reftransV1_0027177","p.persica_gdr_reftransV1_0027177")</f>
        <v>p.persica_gdr_reftransV1_0027177</v>
      </c>
      <c r="B9219" s="2">
        <v>2897</v>
      </c>
      <c r="C9219" s="4" t="str">
        <f>HYPERLINK("http://www.uniprot.org/uniprot/M5W722","M5W722")</f>
        <v>M5W722</v>
      </c>
      <c r="D9219" s="2" t="s">
        <v>8016</v>
      </c>
      <c r="E9219" s="3">
        <v>0</v>
      </c>
      <c r="F9219" s="2">
        <v>3632</v>
      </c>
      <c r="G9219" s="2">
        <v>100</v>
      </c>
      <c r="H9219" s="2">
        <v>720</v>
      </c>
      <c r="I9219" s="2">
        <v>411</v>
      </c>
      <c r="J9219" s="2">
        <v>2570</v>
      </c>
      <c r="K9219" s="2">
        <v>1</v>
      </c>
      <c r="L9219" s="2">
        <v>720</v>
      </c>
    </row>
    <row r="9220" spans="1:12" x14ac:dyDescent="0.25">
      <c r="A9220" s="4" t="str">
        <f>HYPERLINK("http://www.rosaceae.org/Prunus/Prunus_persica/p.persica_gdr_reftransV1_0029277","p.persica_gdr_reftransV1_0029277")</f>
        <v>p.persica_gdr_reftransV1_0029277</v>
      </c>
      <c r="B9220" s="2">
        <v>4204</v>
      </c>
      <c r="C9220" s="4" t="str">
        <f>HYPERLINK("http://www.uniprot.org/uniprot/M5WX39","M5WX39")</f>
        <v>M5WX39</v>
      </c>
      <c r="D9220" s="2" t="s">
        <v>8017</v>
      </c>
      <c r="E9220" s="3">
        <v>0</v>
      </c>
      <c r="F9220" s="2">
        <v>1351</v>
      </c>
      <c r="G9220" s="2">
        <v>100</v>
      </c>
      <c r="H9220" s="2">
        <v>266</v>
      </c>
      <c r="I9220" s="2">
        <v>442</v>
      </c>
      <c r="J9220" s="2">
        <v>1239</v>
      </c>
      <c r="K9220" s="2">
        <v>182</v>
      </c>
      <c r="L9220" s="2">
        <v>447</v>
      </c>
    </row>
    <row r="9221" spans="1:12" x14ac:dyDescent="0.25">
      <c r="A9221" s="4" t="str">
        <f>HYPERLINK("http://www.rosaceae.org/Prunus/Prunus_persica/p.persica_gdr_reftransV1_0029627","p.persica_gdr_reftransV1_0029627")</f>
        <v>p.persica_gdr_reftransV1_0029627</v>
      </c>
      <c r="B9221" s="2">
        <v>3885</v>
      </c>
      <c r="C9221" s="4" t="str">
        <f>HYPERLINK("http://www.uniprot.org/uniprot/M5X7R4","M5X7R4")</f>
        <v>M5X7R4</v>
      </c>
      <c r="D9221" s="2" t="s">
        <v>8018</v>
      </c>
      <c r="E9221" s="3">
        <v>0</v>
      </c>
      <c r="F9221" s="2">
        <v>5223</v>
      </c>
      <c r="G9221" s="2">
        <v>97</v>
      </c>
      <c r="H9221" s="2">
        <v>1037</v>
      </c>
      <c r="I9221" s="2">
        <v>354</v>
      </c>
      <c r="J9221" s="2">
        <v>3434</v>
      </c>
      <c r="K9221" s="2">
        <v>1</v>
      </c>
      <c r="L9221" s="2">
        <v>1016</v>
      </c>
    </row>
    <row r="9222" spans="1:12" x14ac:dyDescent="0.25">
      <c r="A9222" s="4" t="str">
        <f>HYPERLINK("http://www.rosaceae.org/Prunus/Prunus_persica/p.persica_gdr_reftransV1_0030327","p.persica_gdr_reftransV1_0030327")</f>
        <v>p.persica_gdr_reftransV1_0030327</v>
      </c>
      <c r="B9222" s="2">
        <v>3045</v>
      </c>
      <c r="C9222" s="4" t="str">
        <f>HYPERLINK("http://www.uniprot.org/uniprot/M5X2K2","M5X2K2")</f>
        <v>M5X2K2</v>
      </c>
      <c r="D9222" s="2" t="s">
        <v>8019</v>
      </c>
      <c r="E9222" s="3">
        <v>0</v>
      </c>
      <c r="F9222" s="2">
        <v>1747</v>
      </c>
      <c r="G9222" s="2">
        <v>100</v>
      </c>
      <c r="H9222" s="2">
        <v>325</v>
      </c>
      <c r="I9222" s="2">
        <v>469</v>
      </c>
      <c r="J9222" s="2">
        <v>1443</v>
      </c>
      <c r="K9222" s="2">
        <v>247</v>
      </c>
      <c r="L9222" s="2">
        <v>571</v>
      </c>
    </row>
    <row r="9223" spans="1:12" x14ac:dyDescent="0.25">
      <c r="A9223" s="4" t="str">
        <f>HYPERLINK("http://www.rosaceae.org/Prunus/Prunus_persica/p.persica_gdr_reftransV1_0031377","p.persica_gdr_reftransV1_0031377")</f>
        <v>p.persica_gdr_reftransV1_0031377</v>
      </c>
      <c r="B9223" s="2">
        <v>1107</v>
      </c>
      <c r="C9223" s="4" t="str">
        <f>HYPERLINK("http://www.uniprot.org/uniprot/M5XPD3","M5XPD3")</f>
        <v>M5XPD3</v>
      </c>
      <c r="D9223" s="2" t="s">
        <v>8020</v>
      </c>
      <c r="E9223" s="3">
        <v>4.0300000000000003E-64</v>
      </c>
      <c r="F9223" s="2">
        <v>565</v>
      </c>
      <c r="G9223" s="2">
        <v>100</v>
      </c>
      <c r="H9223" s="2">
        <v>105</v>
      </c>
      <c r="I9223" s="2">
        <v>793</v>
      </c>
      <c r="J9223" s="2">
        <v>1107</v>
      </c>
      <c r="K9223" s="2">
        <v>338</v>
      </c>
      <c r="L9223" s="2">
        <v>442</v>
      </c>
    </row>
    <row r="9224" spans="1:12" x14ac:dyDescent="0.25">
      <c r="A9224" s="4" t="str">
        <f>HYPERLINK("http://www.rosaceae.org/Prunus/Prunus_persica/p.persica_gdr_reftransV1_0034177","p.persica_gdr_reftransV1_0034177")</f>
        <v>p.persica_gdr_reftransV1_0034177</v>
      </c>
      <c r="B9224" s="2">
        <v>1120</v>
      </c>
      <c r="C9224" s="4" t="str">
        <f>HYPERLINK("http://www.uniprot.org/uniprot/M5WHD3","M5WHD3")</f>
        <v>M5WHD3</v>
      </c>
      <c r="D9224" s="2" t="s">
        <v>8021</v>
      </c>
      <c r="E9224" s="3">
        <v>4.1499999999999999E-130</v>
      </c>
      <c r="F9224" s="2">
        <v>728</v>
      </c>
      <c r="G9224" s="2">
        <v>100</v>
      </c>
      <c r="H9224" s="2">
        <v>134</v>
      </c>
      <c r="I9224" s="2">
        <v>227</v>
      </c>
      <c r="J9224" s="2">
        <v>628</v>
      </c>
      <c r="K9224" s="2">
        <v>112</v>
      </c>
      <c r="L9224" s="2">
        <v>245</v>
      </c>
    </row>
    <row r="9225" spans="1:12" x14ac:dyDescent="0.25">
      <c r="A9225" s="4" t="str">
        <f>HYPERLINK("http://www.rosaceae.org/Prunus/Prunus_persica/p.persica_gdr_reftransV1_0035227","p.persica_gdr_reftransV1_0035227")</f>
        <v>p.persica_gdr_reftransV1_0035227</v>
      </c>
      <c r="B9225" s="2">
        <v>3287</v>
      </c>
      <c r="C9225" s="4" t="str">
        <f>HYPERLINK("http://www.uniprot.org/uniprot/M5VGK7","M5VGK7")</f>
        <v>M5VGK7</v>
      </c>
      <c r="D9225" s="2" t="s">
        <v>8022</v>
      </c>
      <c r="E9225" s="3">
        <v>0</v>
      </c>
      <c r="F9225" s="2">
        <v>3223</v>
      </c>
      <c r="G9225" s="2">
        <v>94</v>
      </c>
      <c r="H9225" s="2">
        <v>686</v>
      </c>
      <c r="I9225" s="2">
        <v>799</v>
      </c>
      <c r="J9225" s="2">
        <v>2850</v>
      </c>
      <c r="K9225" s="2">
        <v>221</v>
      </c>
      <c r="L9225" s="2">
        <v>871</v>
      </c>
    </row>
    <row r="9226" spans="1:12" x14ac:dyDescent="0.25">
      <c r="A9226" s="4" t="str">
        <f>HYPERLINK("http://www.rosaceae.org/Prunus/Prunus_persica/p.persica_gdr_reftransV1_0036627","p.persica_gdr_reftransV1_0036627")</f>
        <v>p.persica_gdr_reftransV1_0036627</v>
      </c>
      <c r="B9226" s="2">
        <v>553</v>
      </c>
      <c r="C9226" s="4" t="str">
        <f>HYPERLINK("http://www.uniprot.org/uniprot/M5WX51","M5WX51")</f>
        <v>M5WX51</v>
      </c>
      <c r="D9226" s="2" t="s">
        <v>8023</v>
      </c>
      <c r="E9226" s="3">
        <v>5.61E-126</v>
      </c>
      <c r="F9226" s="2">
        <v>988</v>
      </c>
      <c r="G9226" s="2">
        <v>100</v>
      </c>
      <c r="H9226" s="2">
        <v>184</v>
      </c>
      <c r="I9226" s="2">
        <v>2</v>
      </c>
      <c r="J9226" s="2">
        <v>553</v>
      </c>
      <c r="K9226" s="2">
        <v>188</v>
      </c>
      <c r="L9226" s="2">
        <v>371</v>
      </c>
    </row>
    <row r="9227" spans="1:12" x14ac:dyDescent="0.25">
      <c r="A9227" s="4" t="str">
        <f>HYPERLINK("http://www.rosaceae.org/Prunus/Prunus_persica/p.persica_gdr_reftransV1_0036977","p.persica_gdr_reftransV1_0036977")</f>
        <v>p.persica_gdr_reftransV1_0036977</v>
      </c>
      <c r="B9227" s="2">
        <v>1820</v>
      </c>
      <c r="C9227" s="4" t="str">
        <f>HYPERLINK("http://www.uniprot.org/uniprot/M5XSB0","M5XSB0")</f>
        <v>M5XSB0</v>
      </c>
      <c r="D9227" s="2" t="s">
        <v>8024</v>
      </c>
      <c r="E9227" s="3">
        <v>0</v>
      </c>
      <c r="F9227" s="2">
        <v>2362</v>
      </c>
      <c r="G9227" s="2">
        <v>100</v>
      </c>
      <c r="H9227" s="2">
        <v>459</v>
      </c>
      <c r="I9227" s="2">
        <v>37</v>
      </c>
      <c r="J9227" s="2">
        <v>1413</v>
      </c>
      <c r="K9227" s="2">
        <v>1</v>
      </c>
      <c r="L9227" s="2">
        <v>457</v>
      </c>
    </row>
    <row r="9228" spans="1:12" x14ac:dyDescent="0.25">
      <c r="A9228" s="4" t="str">
        <f>HYPERLINK("http://www.rosaceae.org/Prunus/Prunus_persica/p.persica_gdr_reftransV1_0037327","p.persica_gdr_reftransV1_0037327")</f>
        <v>p.persica_gdr_reftransV1_0037327</v>
      </c>
      <c r="B9228" s="2">
        <v>4601</v>
      </c>
      <c r="C9228" s="4" t="str">
        <f>HYPERLINK("http://www.uniprot.org/uniprot/B9S1Z2","B9S1Z2")</f>
        <v>B9S1Z2</v>
      </c>
      <c r="D9228" s="2" t="s">
        <v>8025</v>
      </c>
      <c r="E9228" s="3">
        <v>0</v>
      </c>
      <c r="F9228" s="2">
        <v>5256</v>
      </c>
      <c r="G9228" s="2">
        <v>88</v>
      </c>
      <c r="H9228" s="2">
        <v>1138</v>
      </c>
      <c r="I9228" s="2">
        <v>807</v>
      </c>
      <c r="J9228" s="2">
        <v>4196</v>
      </c>
      <c r="K9228" s="2">
        <v>1</v>
      </c>
      <c r="L9228" s="2">
        <v>1137</v>
      </c>
    </row>
    <row r="9229" spans="1:12" x14ac:dyDescent="0.25">
      <c r="A9229" s="4" t="str">
        <f>HYPERLINK("http://www.rosaceae.org/Prunus/Prunus_persica/p.persica_gdr_reftransV1_0037677","p.persica_gdr_reftransV1_0037677")</f>
        <v>p.persica_gdr_reftransV1_0037677</v>
      </c>
      <c r="B9229" s="2">
        <v>2486</v>
      </c>
      <c r="C9229" s="4" t="str">
        <f>HYPERLINK("http://www.uniprot.org/uniprot/F6HJC9","F6HJC9")</f>
        <v>F6HJC9</v>
      </c>
      <c r="D9229" s="2" t="s">
        <v>5174</v>
      </c>
      <c r="E9229" s="3">
        <v>6.9000000000000004E-152</v>
      </c>
      <c r="F9229" s="2">
        <v>1195</v>
      </c>
      <c r="G9229" s="2">
        <v>64</v>
      </c>
      <c r="H9229" s="2">
        <v>358</v>
      </c>
      <c r="I9229" s="2">
        <v>394</v>
      </c>
      <c r="J9229" s="2">
        <v>1467</v>
      </c>
      <c r="K9229" s="2">
        <v>2</v>
      </c>
      <c r="L9229" s="2">
        <v>337</v>
      </c>
    </row>
    <row r="9230" spans="1:12" x14ac:dyDescent="0.25">
      <c r="A9230" s="4" t="str">
        <f>HYPERLINK("http://www.rosaceae.org/Prunus/Prunus_persica/p.persica_gdr_reftransV1_0038377","p.persica_gdr_reftransV1_0038377")</f>
        <v>p.persica_gdr_reftransV1_0038377</v>
      </c>
      <c r="B9230" s="2">
        <v>2154</v>
      </c>
      <c r="C9230" s="4" t="str">
        <f>HYPERLINK("http://www.uniprot.org/uniprot/M5VUV0","M5VUV0")</f>
        <v>M5VUV0</v>
      </c>
      <c r="D9230" s="2" t="s">
        <v>8026</v>
      </c>
      <c r="E9230" s="3">
        <v>6.2399999999999996E-99</v>
      </c>
      <c r="F9230" s="2">
        <v>656</v>
      </c>
      <c r="G9230" s="2">
        <v>100</v>
      </c>
      <c r="H9230" s="2">
        <v>123</v>
      </c>
      <c r="I9230" s="2">
        <v>1541</v>
      </c>
      <c r="J9230" s="2">
        <v>1909</v>
      </c>
      <c r="K9230" s="2">
        <v>1</v>
      </c>
      <c r="L9230" s="2">
        <v>123</v>
      </c>
    </row>
    <row r="9231" spans="1:12" x14ac:dyDescent="0.25">
      <c r="A9231" s="4" t="str">
        <f>HYPERLINK("http://www.rosaceae.org/Prunus/Prunus_persica/p.persica_gdr_reftransV1_0039427","p.persica_gdr_reftransV1_0039427")</f>
        <v>p.persica_gdr_reftransV1_0039427</v>
      </c>
      <c r="B9231" s="2">
        <v>3021</v>
      </c>
      <c r="C9231" s="4" t="str">
        <f>HYPERLINK("http://www.uniprot.org/uniprot/M5XKH7","M5XKH7")</f>
        <v>M5XKH7</v>
      </c>
      <c r="D9231" s="2" t="s">
        <v>8027</v>
      </c>
      <c r="E9231" s="3">
        <v>1.4E-127</v>
      </c>
      <c r="F9231" s="2">
        <v>1032</v>
      </c>
      <c r="G9231" s="2">
        <v>100</v>
      </c>
      <c r="H9231" s="2">
        <v>278</v>
      </c>
      <c r="I9231" s="2">
        <v>1739</v>
      </c>
      <c r="J9231" s="2">
        <v>2572</v>
      </c>
      <c r="K9231" s="2">
        <v>36</v>
      </c>
      <c r="L9231" s="2">
        <v>313</v>
      </c>
    </row>
    <row r="9232" spans="1:12" x14ac:dyDescent="0.25">
      <c r="A9232" s="4" t="str">
        <f>HYPERLINK("http://www.rosaceae.org/Prunus/Prunus_persica/p.persica_gdr_reftransV1_0042227","p.persica_gdr_reftransV1_0042227")</f>
        <v>p.persica_gdr_reftransV1_0042227</v>
      </c>
      <c r="B9232" s="2">
        <v>5268</v>
      </c>
      <c r="C9232" s="4" t="str">
        <f>HYPERLINK("http://www.uniprot.org/uniprot/M5WQN8","M5WQN8")</f>
        <v>M5WQN8</v>
      </c>
      <c r="D9232" s="2" t="s">
        <v>8028</v>
      </c>
      <c r="E9232" s="3">
        <v>0</v>
      </c>
      <c r="F9232" s="2">
        <v>4375</v>
      </c>
      <c r="G9232" s="2">
        <v>100</v>
      </c>
      <c r="H9232" s="2">
        <v>823</v>
      </c>
      <c r="I9232" s="2">
        <v>2717</v>
      </c>
      <c r="J9232" s="2">
        <v>5185</v>
      </c>
      <c r="K9232" s="2">
        <v>1</v>
      </c>
      <c r="L9232" s="2">
        <v>823</v>
      </c>
    </row>
    <row r="9233" spans="1:12" x14ac:dyDescent="0.25">
      <c r="A9233" s="4" t="str">
        <f>HYPERLINK("http://www.rosaceae.org/Prunus/Prunus_persica/p.persica_gdr_reftransV1_0043277","p.persica_gdr_reftransV1_0043277")</f>
        <v>p.persica_gdr_reftransV1_0043277</v>
      </c>
      <c r="B9233" s="2">
        <v>420</v>
      </c>
      <c r="C9233" s="4" t="str">
        <f>HYPERLINK("http://www.uniprot.org/uniprot/F6HZZ6","F6HZZ6")</f>
        <v>F6HZZ6</v>
      </c>
      <c r="D9233" s="2" t="s">
        <v>5971</v>
      </c>
      <c r="E9233" s="3">
        <v>9.9999999999999999E-56</v>
      </c>
      <c r="F9233" s="2">
        <v>486</v>
      </c>
      <c r="G9233" s="2">
        <v>66</v>
      </c>
      <c r="H9233" s="2">
        <v>140</v>
      </c>
      <c r="I9233" s="2">
        <v>1</v>
      </c>
      <c r="J9233" s="2">
        <v>420</v>
      </c>
      <c r="K9233" s="2">
        <v>165</v>
      </c>
      <c r="L9233" s="2">
        <v>302</v>
      </c>
    </row>
    <row r="9234" spans="1:12" x14ac:dyDescent="0.25">
      <c r="A9234" s="4" t="str">
        <f>HYPERLINK("http://www.rosaceae.org/Prunus/Prunus_persica/p.persica_gdr_reftransV1_0044327","p.persica_gdr_reftransV1_0044327")</f>
        <v>p.persica_gdr_reftransV1_0044327</v>
      </c>
      <c r="B9234" s="2">
        <v>465</v>
      </c>
      <c r="C9234" s="4" t="str">
        <f>HYPERLINK("http://www.uniprot.org/uniprot/M5W7W9","M5W7W9")</f>
        <v>M5W7W9</v>
      </c>
      <c r="D9234" s="2" t="s">
        <v>5181</v>
      </c>
      <c r="E9234" s="3">
        <v>1.6299999999999999E-71</v>
      </c>
      <c r="F9234" s="2">
        <v>582</v>
      </c>
      <c r="G9234" s="2">
        <v>100</v>
      </c>
      <c r="H9234" s="2">
        <v>129</v>
      </c>
      <c r="I9234" s="2">
        <v>79</v>
      </c>
      <c r="J9234" s="2">
        <v>465</v>
      </c>
      <c r="K9234" s="2">
        <v>1</v>
      </c>
      <c r="L9234" s="2">
        <v>129</v>
      </c>
    </row>
    <row r="9235" spans="1:12" x14ac:dyDescent="0.25">
      <c r="A9235" s="4" t="str">
        <f>HYPERLINK("http://www.rosaceae.org/Prunus/Prunus_persica/p.persica_gdr_reftransV1_0044677","p.persica_gdr_reftransV1_0044677")</f>
        <v>p.persica_gdr_reftransV1_0044677</v>
      </c>
      <c r="B9235" s="2">
        <v>2062</v>
      </c>
      <c r="C9235" s="4" t="str">
        <f>HYPERLINK("http://www.uniprot.org/uniprot/A0A061DJA0","A0A061DJA0")</f>
        <v>A0A061DJA0</v>
      </c>
      <c r="D9235" s="2" t="s">
        <v>8029</v>
      </c>
      <c r="E9235" s="3">
        <v>0</v>
      </c>
      <c r="F9235" s="2">
        <v>2029</v>
      </c>
      <c r="G9235" s="2">
        <v>100</v>
      </c>
      <c r="H9235" s="2">
        <v>380</v>
      </c>
      <c r="I9235" s="2">
        <v>222</v>
      </c>
      <c r="J9235" s="2">
        <v>1361</v>
      </c>
      <c r="K9235" s="2">
        <v>137</v>
      </c>
      <c r="L9235" s="2">
        <v>516</v>
      </c>
    </row>
    <row r="9236" spans="1:12" x14ac:dyDescent="0.25">
      <c r="A9236" s="4" t="str">
        <f>HYPERLINK("http://www.rosaceae.org/Prunus/Prunus_persica/p.persica_gdr_reftransV1_0045727","p.persica_gdr_reftransV1_0045727")</f>
        <v>p.persica_gdr_reftransV1_0045727</v>
      </c>
      <c r="B9236" s="2">
        <v>833</v>
      </c>
      <c r="C9236" s="4" t="str">
        <f>HYPERLINK("http://www.uniprot.org/uniprot/M5VSL3","M5VSL3")</f>
        <v>M5VSL3</v>
      </c>
      <c r="D9236" s="2" t="s">
        <v>8030</v>
      </c>
      <c r="E9236" s="3">
        <v>3.2299999999999999E-55</v>
      </c>
      <c r="F9236" s="2">
        <v>482</v>
      </c>
      <c r="G9236" s="2">
        <v>100</v>
      </c>
      <c r="H9236" s="2">
        <v>187</v>
      </c>
      <c r="I9236" s="2">
        <v>273</v>
      </c>
      <c r="J9236" s="2">
        <v>833</v>
      </c>
      <c r="K9236" s="2">
        <v>63</v>
      </c>
      <c r="L9236" s="2">
        <v>249</v>
      </c>
    </row>
    <row r="9237" spans="1:12" x14ac:dyDescent="0.25">
      <c r="A9237" s="4" t="str">
        <f>HYPERLINK("http://www.rosaceae.org/Prunus/Prunus_persica/p.persica_gdr_reftransV1_0046077","p.persica_gdr_reftransV1_0046077")</f>
        <v>p.persica_gdr_reftransV1_0046077</v>
      </c>
      <c r="B9237" s="2">
        <v>529</v>
      </c>
      <c r="C9237" s="4" t="str">
        <f>HYPERLINK("http://www.uniprot.org/uniprot/M5WY33","M5WY33")</f>
        <v>M5WY33</v>
      </c>
      <c r="D9237" s="2" t="s">
        <v>8031</v>
      </c>
      <c r="E9237" s="3">
        <v>1.66E-43</v>
      </c>
      <c r="F9237" s="2">
        <v>388</v>
      </c>
      <c r="G9237" s="2">
        <v>100</v>
      </c>
      <c r="H9237" s="2">
        <v>77</v>
      </c>
      <c r="I9237" s="2">
        <v>90</v>
      </c>
      <c r="J9237" s="2">
        <v>320</v>
      </c>
      <c r="K9237" s="2">
        <v>1</v>
      </c>
      <c r="L9237" s="2">
        <v>77</v>
      </c>
    </row>
    <row r="9238" spans="1:12" x14ac:dyDescent="0.25">
      <c r="A9238" s="4" t="str">
        <f>HYPERLINK("http://www.rosaceae.org/Prunus/Prunus_persica/p.persica_gdr_reftransV1_0046777","p.persica_gdr_reftransV1_0046777")</f>
        <v>p.persica_gdr_reftransV1_0046777</v>
      </c>
      <c r="B9238" s="2">
        <v>2556</v>
      </c>
      <c r="C9238" s="4" t="str">
        <f>HYPERLINK("http://www.uniprot.org/uniprot/M5XD44","M5XD44")</f>
        <v>M5XD44</v>
      </c>
      <c r="D9238" s="2" t="s">
        <v>8032</v>
      </c>
      <c r="E9238" s="3">
        <v>0</v>
      </c>
      <c r="F9238" s="2">
        <v>2573</v>
      </c>
      <c r="G9238" s="2">
        <v>100</v>
      </c>
      <c r="H9238" s="2">
        <v>483</v>
      </c>
      <c r="I9238" s="2">
        <v>353</v>
      </c>
      <c r="J9238" s="2">
        <v>1801</v>
      </c>
      <c r="K9238" s="2">
        <v>1</v>
      </c>
      <c r="L9238" s="2">
        <v>483</v>
      </c>
    </row>
    <row r="9239" spans="1:12" x14ac:dyDescent="0.25">
      <c r="A9239" s="4" t="str">
        <f>HYPERLINK("http://www.rosaceae.org/Prunus/Prunus_persica/p.persica_gdr_reftransV1_0047127","p.persica_gdr_reftransV1_0047127")</f>
        <v>p.persica_gdr_reftransV1_0047127</v>
      </c>
      <c r="B9239" s="2">
        <v>986</v>
      </c>
      <c r="C9239" s="4" t="str">
        <f>HYPERLINK("http://www.uniprot.org/uniprot/M5XQ57","M5XQ57")</f>
        <v>M5XQ57</v>
      </c>
      <c r="D9239" s="2" t="s">
        <v>8033</v>
      </c>
      <c r="E9239" s="3">
        <v>1.84E-140</v>
      </c>
      <c r="F9239" s="2">
        <v>1130</v>
      </c>
      <c r="G9239" s="2">
        <v>93</v>
      </c>
      <c r="H9239" s="2">
        <v>269</v>
      </c>
      <c r="I9239" s="2">
        <v>6</v>
      </c>
      <c r="J9239" s="2">
        <v>812</v>
      </c>
      <c r="K9239" s="2">
        <v>1</v>
      </c>
      <c r="L9239" s="2">
        <v>269</v>
      </c>
    </row>
    <row r="9240" spans="1:12" x14ac:dyDescent="0.25">
      <c r="A9240" s="4" t="str">
        <f>HYPERLINK("http://www.rosaceae.org/Prunus/Prunus_persica/p.persica_gdr_reftransV1_0047477","p.persica_gdr_reftransV1_0047477")</f>
        <v>p.persica_gdr_reftransV1_0047477</v>
      </c>
      <c r="B9240" s="2">
        <v>1464</v>
      </c>
      <c r="C9240" s="4" t="str">
        <f>HYPERLINK("http://www.uniprot.org/uniprot/M5WGE6","M5WGE6")</f>
        <v>M5WGE6</v>
      </c>
      <c r="D9240" s="2" t="s">
        <v>731</v>
      </c>
      <c r="E9240" s="3">
        <v>1.5E-132</v>
      </c>
      <c r="F9240" s="2">
        <v>1022</v>
      </c>
      <c r="G9240" s="2">
        <v>99</v>
      </c>
      <c r="H9240" s="2">
        <v>195</v>
      </c>
      <c r="I9240" s="2">
        <v>69</v>
      </c>
      <c r="J9240" s="2">
        <v>653</v>
      </c>
      <c r="K9240" s="2">
        <v>1</v>
      </c>
      <c r="L9240" s="2">
        <v>195</v>
      </c>
    </row>
    <row r="9241" spans="1:12" x14ac:dyDescent="0.25">
      <c r="A9241" s="4" t="str">
        <f>HYPERLINK("http://www.rosaceae.org/Prunus/Prunus_persica/p.persica_gdr_reftransV1_0048177","p.persica_gdr_reftransV1_0048177")</f>
        <v>p.persica_gdr_reftransV1_0048177</v>
      </c>
      <c r="B9241" s="2">
        <v>2159</v>
      </c>
      <c r="C9241" s="4" t="str">
        <f>HYPERLINK("http://www.uniprot.org/uniprot/M5XB79","M5XB79")</f>
        <v>M5XB79</v>
      </c>
      <c r="D9241" s="2" t="s">
        <v>8034</v>
      </c>
      <c r="E9241" s="3">
        <v>0</v>
      </c>
      <c r="F9241" s="2">
        <v>2831</v>
      </c>
      <c r="G9241" s="2">
        <v>100</v>
      </c>
      <c r="H9241" s="2">
        <v>587</v>
      </c>
      <c r="I9241" s="2">
        <v>308</v>
      </c>
      <c r="J9241" s="2">
        <v>2068</v>
      </c>
      <c r="K9241" s="2">
        <v>1</v>
      </c>
      <c r="L9241" s="2">
        <v>587</v>
      </c>
    </row>
    <row r="9242" spans="1:12" x14ac:dyDescent="0.25">
      <c r="A9242" s="4" t="str">
        <f>HYPERLINK("http://www.rosaceae.org/Prunus/Prunus_persica/p.persica_gdr_reftransV1_0048527","p.persica_gdr_reftransV1_0048527")</f>
        <v>p.persica_gdr_reftransV1_0048527</v>
      </c>
      <c r="B9242" s="2">
        <v>2474</v>
      </c>
      <c r="C9242" s="4" t="str">
        <f>HYPERLINK("http://www.uniprot.org/uniprot/M5WJ20","M5WJ20")</f>
        <v>M5WJ20</v>
      </c>
      <c r="D9242" s="2" t="s">
        <v>8035</v>
      </c>
      <c r="E9242" s="3">
        <v>0</v>
      </c>
      <c r="F9242" s="2">
        <v>3075</v>
      </c>
      <c r="G9242" s="2">
        <v>96</v>
      </c>
      <c r="H9242" s="2">
        <v>633</v>
      </c>
      <c r="I9242" s="2">
        <v>160</v>
      </c>
      <c r="J9242" s="2">
        <v>2058</v>
      </c>
      <c r="K9242" s="2">
        <v>1</v>
      </c>
      <c r="L9242" s="2">
        <v>606</v>
      </c>
    </row>
    <row r="9243" spans="1:12" x14ac:dyDescent="0.25">
      <c r="A9243" s="4" t="str">
        <f>HYPERLINK("http://www.rosaceae.org/Prunus/Prunus_persica/p.persica_gdr_reftransV1_0048877","p.persica_gdr_reftransV1_0048877")</f>
        <v>p.persica_gdr_reftransV1_0048877</v>
      </c>
      <c r="B9243" s="2">
        <v>937</v>
      </c>
      <c r="C9243" s="4" t="str">
        <f>HYPERLINK("http://www.uniprot.org/uniprot/M5WAS5","M5WAS5")</f>
        <v>M5WAS5</v>
      </c>
      <c r="D9243" s="2" t="s">
        <v>8036</v>
      </c>
      <c r="E9243" s="3">
        <v>2.3799999999999999E-137</v>
      </c>
      <c r="F9243" s="2">
        <v>1025</v>
      </c>
      <c r="G9243" s="2">
        <v>100</v>
      </c>
      <c r="H9243" s="2">
        <v>196</v>
      </c>
      <c r="I9243" s="2">
        <v>163</v>
      </c>
      <c r="J9243" s="2">
        <v>750</v>
      </c>
      <c r="K9243" s="2">
        <v>1</v>
      </c>
      <c r="L9243" s="2">
        <v>196</v>
      </c>
    </row>
    <row r="9244" spans="1:12" x14ac:dyDescent="0.25">
      <c r="A9244" s="4" t="str">
        <f>HYPERLINK("http://www.rosaceae.org/Prunus/Prunus_persica/p.persica_gdr_reftransV1_0000228","p.persica_gdr_reftransV1_0000228")</f>
        <v>p.persica_gdr_reftransV1_0000228</v>
      </c>
      <c r="B9244" s="2">
        <v>1136</v>
      </c>
      <c r="C9244" s="4" t="str">
        <f>HYPERLINK("http://www.uniprot.org/uniprot/M5WZM7","M5WZM7")</f>
        <v>M5WZM7</v>
      </c>
      <c r="D9244" s="2" t="s">
        <v>3489</v>
      </c>
      <c r="E9244" s="3">
        <v>7.6199999999999997E-7</v>
      </c>
      <c r="F9244" s="2">
        <v>139</v>
      </c>
      <c r="G9244" s="2">
        <v>93</v>
      </c>
      <c r="H9244" s="2">
        <v>27</v>
      </c>
      <c r="I9244" s="2">
        <v>403</v>
      </c>
      <c r="J9244" s="2">
        <v>483</v>
      </c>
      <c r="K9244" s="2">
        <v>1</v>
      </c>
      <c r="L9244" s="2">
        <v>27</v>
      </c>
    </row>
    <row r="9245" spans="1:12" x14ac:dyDescent="0.25">
      <c r="A9245" s="4" t="str">
        <f>HYPERLINK("http://www.rosaceae.org/Prunus/Prunus_persica/p.persica_gdr_reftransV1_0000578","p.persica_gdr_reftransV1_0000578")</f>
        <v>p.persica_gdr_reftransV1_0000578</v>
      </c>
      <c r="B9245" s="2">
        <v>2093</v>
      </c>
      <c r="C9245" s="4" t="str">
        <f>HYPERLINK("http://www.uniprot.org/uniprot/M5X735","M5X735")</f>
        <v>M5X735</v>
      </c>
      <c r="D9245" s="2" t="s">
        <v>8037</v>
      </c>
      <c r="E9245" s="3">
        <v>0</v>
      </c>
      <c r="F9245" s="2">
        <v>2917</v>
      </c>
      <c r="G9245" s="2">
        <v>100</v>
      </c>
      <c r="H9245" s="2">
        <v>587</v>
      </c>
      <c r="I9245" s="2">
        <v>308</v>
      </c>
      <c r="J9245" s="2">
        <v>2068</v>
      </c>
      <c r="K9245" s="2">
        <v>1</v>
      </c>
      <c r="L9245" s="2">
        <v>587</v>
      </c>
    </row>
    <row r="9246" spans="1:12" x14ac:dyDescent="0.25">
      <c r="A9246" s="4" t="str">
        <f>HYPERLINK("http://www.rosaceae.org/Prunus/Prunus_persica/p.persica_gdr_reftransV1_0001278","p.persica_gdr_reftransV1_0001278")</f>
        <v>p.persica_gdr_reftransV1_0001278</v>
      </c>
      <c r="B9246" s="2">
        <v>415</v>
      </c>
      <c r="C9246" s="4" t="str">
        <f>HYPERLINK("http://www.uniprot.org/uniprot/M5WQD4","M5WQD4")</f>
        <v>M5WQD4</v>
      </c>
      <c r="D9246" s="2" t="s">
        <v>8038</v>
      </c>
      <c r="E9246" s="3">
        <v>5.0500000000000001E-57</v>
      </c>
      <c r="F9246" s="2">
        <v>466</v>
      </c>
      <c r="G9246" s="2">
        <v>100</v>
      </c>
      <c r="H9246" s="2">
        <v>90</v>
      </c>
      <c r="I9246" s="2">
        <v>15</v>
      </c>
      <c r="J9246" s="2">
        <v>284</v>
      </c>
      <c r="K9246" s="2">
        <v>1</v>
      </c>
      <c r="L9246" s="2">
        <v>90</v>
      </c>
    </row>
    <row r="9247" spans="1:12" x14ac:dyDescent="0.25">
      <c r="A9247" s="4" t="str">
        <f>HYPERLINK("http://www.rosaceae.org/Prunus/Prunus_persica/p.persica_gdr_reftransV1_0001628","p.persica_gdr_reftransV1_0001628")</f>
        <v>p.persica_gdr_reftransV1_0001628</v>
      </c>
      <c r="B9247" s="2">
        <v>803</v>
      </c>
      <c r="C9247" s="4" t="str">
        <f>HYPERLINK("http://www.uniprot.org/uniprot/M5X3Q6","M5X3Q6")</f>
        <v>M5X3Q6</v>
      </c>
      <c r="D9247" s="2" t="s">
        <v>8039</v>
      </c>
      <c r="E9247" s="3">
        <v>1.03E-59</v>
      </c>
      <c r="F9247" s="2">
        <v>498</v>
      </c>
      <c r="G9247" s="2">
        <v>100</v>
      </c>
      <c r="H9247" s="2">
        <v>108</v>
      </c>
      <c r="I9247" s="2">
        <v>355</v>
      </c>
      <c r="J9247" s="2">
        <v>678</v>
      </c>
      <c r="K9247" s="2">
        <v>1</v>
      </c>
      <c r="L9247" s="2">
        <v>108</v>
      </c>
    </row>
    <row r="9248" spans="1:12" x14ac:dyDescent="0.25">
      <c r="A9248" s="4" t="str">
        <f>HYPERLINK("http://www.rosaceae.org/Prunus/Prunus_persica/p.persica_gdr_reftransV1_0001978","p.persica_gdr_reftransV1_0001978")</f>
        <v>p.persica_gdr_reftransV1_0001978</v>
      </c>
      <c r="B9248" s="2">
        <v>406</v>
      </c>
      <c r="C9248" s="4" t="str">
        <f>HYPERLINK("http://www.uniprot.org/uniprot/M5VLN3","M5VLN3")</f>
        <v>M5VLN3</v>
      </c>
      <c r="D9248" s="2" t="s">
        <v>8040</v>
      </c>
      <c r="E9248" s="3">
        <v>5.5900000000000001E-93</v>
      </c>
      <c r="F9248" s="2">
        <v>724</v>
      </c>
      <c r="G9248" s="2">
        <v>100</v>
      </c>
      <c r="H9248" s="2">
        <v>135</v>
      </c>
      <c r="I9248" s="2">
        <v>1</v>
      </c>
      <c r="J9248" s="2">
        <v>405</v>
      </c>
      <c r="K9248" s="2">
        <v>150</v>
      </c>
      <c r="L9248" s="2">
        <v>284</v>
      </c>
    </row>
    <row r="9249" spans="1:12" x14ac:dyDescent="0.25">
      <c r="A9249" s="4" t="str">
        <f>HYPERLINK("http://www.rosaceae.org/Prunus/Prunus_persica/p.persica_gdr_reftransV1_0002328","p.persica_gdr_reftransV1_0002328")</f>
        <v>p.persica_gdr_reftransV1_0002328</v>
      </c>
      <c r="B9249" s="2">
        <v>755</v>
      </c>
      <c r="C9249" s="4" t="str">
        <f>HYPERLINK("http://www.uniprot.org/uniprot/M5XLD9","M5XLD9")</f>
        <v>M5XLD9</v>
      </c>
      <c r="D9249" s="2" t="s">
        <v>3745</v>
      </c>
      <c r="E9249" s="3">
        <v>9.3100000000000004E-105</v>
      </c>
      <c r="F9249" s="2">
        <v>843</v>
      </c>
      <c r="G9249" s="2">
        <v>100</v>
      </c>
      <c r="H9249" s="2">
        <v>159</v>
      </c>
      <c r="I9249" s="2">
        <v>247</v>
      </c>
      <c r="J9249" s="2">
        <v>723</v>
      </c>
      <c r="K9249" s="2">
        <v>1</v>
      </c>
      <c r="L9249" s="2">
        <v>159</v>
      </c>
    </row>
    <row r="9250" spans="1:12" x14ac:dyDescent="0.25">
      <c r="A9250" s="4" t="str">
        <f>HYPERLINK("http://www.rosaceae.org/Prunus/Prunus_persica/p.persica_gdr_reftransV1_0002678","p.persica_gdr_reftransV1_0002678")</f>
        <v>p.persica_gdr_reftransV1_0002678</v>
      </c>
      <c r="B9250" s="2">
        <v>995</v>
      </c>
      <c r="C9250" s="4" t="str">
        <f>HYPERLINK("http://www.uniprot.org/uniprot/B9T0Q0","B9T0Q0")</f>
        <v>B9T0Q0</v>
      </c>
      <c r="D9250" s="2" t="s">
        <v>8041</v>
      </c>
      <c r="E9250" s="3">
        <v>4.0000000000000002E-62</v>
      </c>
      <c r="F9250" s="2">
        <v>528</v>
      </c>
      <c r="G9250" s="2">
        <v>64</v>
      </c>
      <c r="H9250" s="2">
        <v>166</v>
      </c>
      <c r="I9250" s="2">
        <v>269</v>
      </c>
      <c r="J9250" s="2">
        <v>766</v>
      </c>
      <c r="K9250" s="2">
        <v>41</v>
      </c>
      <c r="L9250" s="2">
        <v>198</v>
      </c>
    </row>
    <row r="9251" spans="1:12" x14ac:dyDescent="0.25">
      <c r="A9251" s="4" t="str">
        <f>HYPERLINK("http://www.rosaceae.org/Prunus/Prunus_persica/p.persica_gdr_reftransV1_0003028","p.persica_gdr_reftransV1_0003028")</f>
        <v>p.persica_gdr_reftransV1_0003028</v>
      </c>
      <c r="B9251" s="2">
        <v>2246</v>
      </c>
      <c r="C9251" s="4" t="str">
        <f>HYPERLINK("http://www.uniprot.org/uniprot/M5WFL0","M5WFL0")</f>
        <v>M5WFL0</v>
      </c>
      <c r="D9251" s="2" t="s">
        <v>6697</v>
      </c>
      <c r="E9251" s="3">
        <v>0</v>
      </c>
      <c r="F9251" s="2">
        <v>1847</v>
      </c>
      <c r="G9251" s="2">
        <v>81</v>
      </c>
      <c r="H9251" s="2">
        <v>453</v>
      </c>
      <c r="I9251" s="2">
        <v>887</v>
      </c>
      <c r="J9251" s="2">
        <v>2245</v>
      </c>
      <c r="K9251" s="2">
        <v>89</v>
      </c>
      <c r="L9251" s="2">
        <v>458</v>
      </c>
    </row>
    <row r="9252" spans="1:12" x14ac:dyDescent="0.25">
      <c r="A9252" s="4" t="str">
        <f>HYPERLINK("http://www.rosaceae.org/Prunus/Prunus_persica/p.persica_gdr_reftransV1_0004078","p.persica_gdr_reftransV1_0004078")</f>
        <v>p.persica_gdr_reftransV1_0004078</v>
      </c>
      <c r="B9252" s="2">
        <v>1154</v>
      </c>
      <c r="C9252" s="4" t="str">
        <f>HYPERLINK("http://www.uniprot.org/uniprot/W7ME05","W7ME05")</f>
        <v>W7ME05</v>
      </c>
      <c r="D9252" s="2" t="s">
        <v>8042</v>
      </c>
      <c r="E9252" s="3">
        <v>9.1800000000000007E-174</v>
      </c>
      <c r="F9252" s="2">
        <v>1284</v>
      </c>
      <c r="G9252" s="2">
        <v>97</v>
      </c>
      <c r="H9252" s="2">
        <v>288</v>
      </c>
      <c r="I9252" s="2">
        <v>291</v>
      </c>
      <c r="J9252" s="2">
        <v>1154</v>
      </c>
      <c r="K9252" s="2">
        <v>24</v>
      </c>
      <c r="L9252" s="2">
        <v>311</v>
      </c>
    </row>
    <row r="9253" spans="1:12" x14ac:dyDescent="0.25">
      <c r="A9253" s="4" t="str">
        <f>HYPERLINK("http://www.rosaceae.org/Prunus/Prunus_persica/p.persica_gdr_reftransV1_0004428","p.persica_gdr_reftransV1_0004428")</f>
        <v>p.persica_gdr_reftransV1_0004428</v>
      </c>
      <c r="B9253" s="2">
        <v>1056</v>
      </c>
      <c r="C9253" s="4" t="str">
        <f>HYPERLINK("http://www.uniprot.org/uniprot/M5Y417","M5Y417")</f>
        <v>M5Y417</v>
      </c>
      <c r="D9253" s="2" t="s">
        <v>8043</v>
      </c>
      <c r="E9253" s="3">
        <v>0</v>
      </c>
      <c r="F9253" s="2">
        <v>1854</v>
      </c>
      <c r="G9253" s="2">
        <v>100</v>
      </c>
      <c r="H9253" s="2">
        <v>348</v>
      </c>
      <c r="I9253" s="2">
        <v>3</v>
      </c>
      <c r="J9253" s="2">
        <v>1046</v>
      </c>
      <c r="K9253" s="2">
        <v>1</v>
      </c>
      <c r="L9253" s="2">
        <v>348</v>
      </c>
    </row>
    <row r="9254" spans="1:12" x14ac:dyDescent="0.25">
      <c r="A9254" s="4" t="str">
        <f>HYPERLINK("http://www.rosaceae.org/Prunus/Prunus_persica/p.persica_gdr_reftransV1_0004778","p.persica_gdr_reftransV1_0004778")</f>
        <v>p.persica_gdr_reftransV1_0004778</v>
      </c>
      <c r="B9254" s="2">
        <v>367</v>
      </c>
      <c r="C9254" s="4" t="str">
        <f>HYPERLINK("http://www.uniprot.org/uniprot/M5X863","M5X863")</f>
        <v>M5X863</v>
      </c>
      <c r="D9254" s="2" t="s">
        <v>8044</v>
      </c>
      <c r="E9254" s="3">
        <v>8.36E-79</v>
      </c>
      <c r="F9254" s="2">
        <v>660</v>
      </c>
      <c r="G9254" s="2">
        <v>100</v>
      </c>
      <c r="H9254" s="2">
        <v>122</v>
      </c>
      <c r="I9254" s="2">
        <v>2</v>
      </c>
      <c r="J9254" s="2">
        <v>367</v>
      </c>
      <c r="K9254" s="2">
        <v>495</v>
      </c>
      <c r="L9254" s="2">
        <v>616</v>
      </c>
    </row>
    <row r="9255" spans="1:12" x14ac:dyDescent="0.25">
      <c r="A9255" s="4" t="str">
        <f>HYPERLINK("http://www.rosaceae.org/Prunus/Prunus_persica/p.persica_gdr_reftransV1_0005478","p.persica_gdr_reftransV1_0005478")</f>
        <v>p.persica_gdr_reftransV1_0005478</v>
      </c>
      <c r="B9255" s="2">
        <v>1396</v>
      </c>
      <c r="C9255" s="4" t="str">
        <f>HYPERLINK("http://www.uniprot.org/uniprot/M5VK06","M5VK06")</f>
        <v>M5VK06</v>
      </c>
      <c r="D9255" s="2" t="s">
        <v>8045</v>
      </c>
      <c r="E9255" s="3">
        <v>0</v>
      </c>
      <c r="F9255" s="2">
        <v>1504</v>
      </c>
      <c r="G9255" s="2">
        <v>90</v>
      </c>
      <c r="H9255" s="2">
        <v>336</v>
      </c>
      <c r="I9255" s="2">
        <v>176</v>
      </c>
      <c r="J9255" s="2">
        <v>1183</v>
      </c>
      <c r="K9255" s="2">
        <v>1</v>
      </c>
      <c r="L9255" s="2">
        <v>304</v>
      </c>
    </row>
    <row r="9256" spans="1:12" x14ac:dyDescent="0.25">
      <c r="A9256" s="4" t="str">
        <f>HYPERLINK("http://www.rosaceae.org/Prunus/Prunus_persica/p.persica_gdr_reftransV1_0006178","p.persica_gdr_reftransV1_0006178")</f>
        <v>p.persica_gdr_reftransV1_0006178</v>
      </c>
      <c r="B9256" s="2">
        <v>431</v>
      </c>
      <c r="C9256" s="4" t="str">
        <f>HYPERLINK("http://www.uniprot.org/uniprot/M5VTT3","M5VTT3")</f>
        <v>M5VTT3</v>
      </c>
      <c r="D9256" s="2" t="s">
        <v>3350</v>
      </c>
      <c r="E9256" s="3">
        <v>7.0599999999999999E-83</v>
      </c>
      <c r="F9256" s="2">
        <v>685</v>
      </c>
      <c r="G9256" s="2">
        <v>91</v>
      </c>
      <c r="H9256" s="2">
        <v>143</v>
      </c>
      <c r="I9256" s="2">
        <v>1</v>
      </c>
      <c r="J9256" s="2">
        <v>429</v>
      </c>
      <c r="K9256" s="2">
        <v>196</v>
      </c>
      <c r="L9256" s="2">
        <v>326</v>
      </c>
    </row>
    <row r="9257" spans="1:12" x14ac:dyDescent="0.25">
      <c r="A9257" s="4" t="str">
        <f>HYPERLINK("http://www.rosaceae.org/Prunus/Prunus_persica/p.persica_gdr_reftransV1_0006528","p.persica_gdr_reftransV1_0006528")</f>
        <v>p.persica_gdr_reftransV1_0006528</v>
      </c>
      <c r="B9257" s="2">
        <v>1399</v>
      </c>
      <c r="C9257" s="4" t="str">
        <f>HYPERLINK("http://www.uniprot.org/uniprot/M5XAD1","M5XAD1")</f>
        <v>M5XAD1</v>
      </c>
      <c r="D9257" s="2" t="s">
        <v>7768</v>
      </c>
      <c r="E9257" s="3">
        <v>0</v>
      </c>
      <c r="F9257" s="2">
        <v>2151</v>
      </c>
      <c r="G9257" s="2">
        <v>100</v>
      </c>
      <c r="H9257" s="2">
        <v>433</v>
      </c>
      <c r="I9257" s="2">
        <v>101</v>
      </c>
      <c r="J9257" s="2">
        <v>1399</v>
      </c>
      <c r="K9257" s="2">
        <v>12</v>
      </c>
      <c r="L9257" s="2">
        <v>444</v>
      </c>
    </row>
    <row r="9258" spans="1:12" x14ac:dyDescent="0.25">
      <c r="A9258" s="4" t="str">
        <f>HYPERLINK("http://www.rosaceae.org/Prunus/Prunus_persica/p.persica_gdr_reftransV1_0007578","p.persica_gdr_reftransV1_0007578")</f>
        <v>p.persica_gdr_reftransV1_0007578</v>
      </c>
      <c r="B9258" s="2">
        <v>4332</v>
      </c>
      <c r="C9258" s="4" t="str">
        <f>HYPERLINK("http://www.uniprot.org/uniprot/M5WNR8","M5WNR8")</f>
        <v>M5WNR8</v>
      </c>
      <c r="D9258" s="2" t="s">
        <v>8046</v>
      </c>
      <c r="E9258" s="3">
        <v>0</v>
      </c>
      <c r="F9258" s="2">
        <v>3790</v>
      </c>
      <c r="G9258" s="2">
        <v>100</v>
      </c>
      <c r="H9258" s="2">
        <v>744</v>
      </c>
      <c r="I9258" s="2">
        <v>1576</v>
      </c>
      <c r="J9258" s="2">
        <v>3807</v>
      </c>
      <c r="K9258" s="2">
        <v>1</v>
      </c>
      <c r="L9258" s="2">
        <v>744</v>
      </c>
    </row>
    <row r="9259" spans="1:12" x14ac:dyDescent="0.25">
      <c r="A9259" s="4" t="str">
        <f>HYPERLINK("http://www.rosaceae.org/Prunus/Prunus_persica/p.persica_gdr_reftransV1_0007928","p.persica_gdr_reftransV1_0007928")</f>
        <v>p.persica_gdr_reftransV1_0007928</v>
      </c>
      <c r="B9259" s="2">
        <v>1187</v>
      </c>
      <c r="C9259" s="4" t="str">
        <f>HYPERLINK("http://www.uniprot.org/uniprot/M5VKB4","M5VKB4")</f>
        <v>M5VKB4</v>
      </c>
      <c r="D9259" s="2" t="s">
        <v>8047</v>
      </c>
      <c r="E9259" s="3">
        <v>1.24E-170</v>
      </c>
      <c r="F9259" s="2">
        <v>1257</v>
      </c>
      <c r="G9259" s="2">
        <v>100</v>
      </c>
      <c r="H9259" s="2">
        <v>237</v>
      </c>
      <c r="I9259" s="2">
        <v>431</v>
      </c>
      <c r="J9259" s="2">
        <v>1141</v>
      </c>
      <c r="K9259" s="2">
        <v>1</v>
      </c>
      <c r="L9259" s="2">
        <v>237</v>
      </c>
    </row>
    <row r="9260" spans="1:12" x14ac:dyDescent="0.25">
      <c r="A9260" s="4" t="str">
        <f>HYPERLINK("http://www.rosaceae.org/Prunus/Prunus_persica/p.persica_gdr_reftransV1_0008278","p.persica_gdr_reftransV1_0008278")</f>
        <v>p.persica_gdr_reftransV1_0008278</v>
      </c>
      <c r="B9260" s="2">
        <v>2806</v>
      </c>
      <c r="C9260" s="4" t="str">
        <f>HYPERLINK("http://www.uniprot.org/uniprot/M5X2C4","M5X2C4")</f>
        <v>M5X2C4</v>
      </c>
      <c r="D9260" s="2" t="s">
        <v>8048</v>
      </c>
      <c r="E9260" s="3">
        <v>0</v>
      </c>
      <c r="F9260" s="2">
        <v>2705</v>
      </c>
      <c r="G9260" s="2">
        <v>100</v>
      </c>
      <c r="H9260" s="2">
        <v>502</v>
      </c>
      <c r="I9260" s="2">
        <v>69</v>
      </c>
      <c r="J9260" s="2">
        <v>1574</v>
      </c>
      <c r="K9260" s="2">
        <v>1</v>
      </c>
      <c r="L9260" s="2">
        <v>502</v>
      </c>
    </row>
    <row r="9261" spans="1:12" x14ac:dyDescent="0.25">
      <c r="A9261" s="4" t="str">
        <f>HYPERLINK("http://www.rosaceae.org/Prunus/Prunus_persica/p.persica_gdr_reftransV1_0008628","p.persica_gdr_reftransV1_0008628")</f>
        <v>p.persica_gdr_reftransV1_0008628</v>
      </c>
      <c r="B9261" s="2">
        <v>1270</v>
      </c>
      <c r="C9261" s="4" t="str">
        <f>HYPERLINK("http://www.uniprot.org/uniprot/M5WF73","M5WF73")</f>
        <v>M5WF73</v>
      </c>
      <c r="D9261" s="2" t="s">
        <v>2242</v>
      </c>
      <c r="E9261" s="3">
        <v>1.41E-151</v>
      </c>
      <c r="F9261" s="2">
        <v>1170</v>
      </c>
      <c r="G9261" s="2">
        <v>100</v>
      </c>
      <c r="H9261" s="2">
        <v>262</v>
      </c>
      <c r="I9261" s="2">
        <v>1</v>
      </c>
      <c r="J9261" s="2">
        <v>786</v>
      </c>
      <c r="K9261" s="2">
        <v>1</v>
      </c>
      <c r="L9261" s="2">
        <v>262</v>
      </c>
    </row>
    <row r="9262" spans="1:12" x14ac:dyDescent="0.25">
      <c r="A9262" s="4" t="str">
        <f>HYPERLINK("http://www.rosaceae.org/Prunus/Prunus_persica/p.persica_gdr_reftransV1_0008978","p.persica_gdr_reftransV1_0008978")</f>
        <v>p.persica_gdr_reftransV1_0008978</v>
      </c>
      <c r="B9262" s="2">
        <v>1582</v>
      </c>
      <c r="C9262" s="4" t="str">
        <f>HYPERLINK("http://www.uniprot.org/uniprot/M5VW61","M5VW61")</f>
        <v>M5VW61</v>
      </c>
      <c r="D9262" s="2" t="s">
        <v>5184</v>
      </c>
      <c r="E9262" s="3">
        <v>0</v>
      </c>
      <c r="F9262" s="2">
        <v>2119</v>
      </c>
      <c r="G9262" s="2">
        <v>94</v>
      </c>
      <c r="H9262" s="2">
        <v>485</v>
      </c>
      <c r="I9262" s="2">
        <v>67</v>
      </c>
      <c r="J9262" s="2">
        <v>1509</v>
      </c>
      <c r="K9262" s="2">
        <v>35</v>
      </c>
      <c r="L9262" s="2">
        <v>511</v>
      </c>
    </row>
    <row r="9263" spans="1:12" x14ac:dyDescent="0.25">
      <c r="A9263" s="4" t="str">
        <f>HYPERLINK("http://www.rosaceae.org/Prunus/Prunus_persica/p.persica_gdr_reftransV1_0009328","p.persica_gdr_reftransV1_0009328")</f>
        <v>p.persica_gdr_reftransV1_0009328</v>
      </c>
      <c r="B9263" s="2">
        <v>2266</v>
      </c>
      <c r="C9263" s="4" t="str">
        <f>HYPERLINK("http://www.uniprot.org/uniprot/M5WDH6","M5WDH6")</f>
        <v>M5WDH6</v>
      </c>
      <c r="D9263" s="2" t="s">
        <v>8049</v>
      </c>
      <c r="E9263" s="3">
        <v>0</v>
      </c>
      <c r="F9263" s="2">
        <v>2712</v>
      </c>
      <c r="G9263" s="2">
        <v>100</v>
      </c>
      <c r="H9263" s="2">
        <v>543</v>
      </c>
      <c r="I9263" s="2">
        <v>472</v>
      </c>
      <c r="J9263" s="2">
        <v>2100</v>
      </c>
      <c r="K9263" s="2">
        <v>1</v>
      </c>
      <c r="L9263" s="2">
        <v>543</v>
      </c>
    </row>
    <row r="9264" spans="1:12" x14ac:dyDescent="0.25">
      <c r="A9264" s="4" t="str">
        <f>HYPERLINK("http://www.rosaceae.org/Prunus/Prunus_persica/p.persica_gdr_reftransV1_0009678","p.persica_gdr_reftransV1_0009678")</f>
        <v>p.persica_gdr_reftransV1_0009678</v>
      </c>
      <c r="B9264" s="2">
        <v>2751</v>
      </c>
      <c r="C9264" s="4" t="str">
        <f>HYPERLINK("http://www.uniprot.org/uniprot/M5WRU2","M5WRU2")</f>
        <v>M5WRU2</v>
      </c>
      <c r="D9264" s="2" t="s">
        <v>8050</v>
      </c>
      <c r="E9264" s="3">
        <v>0</v>
      </c>
      <c r="F9264" s="2">
        <v>3447</v>
      </c>
      <c r="G9264" s="2">
        <v>91</v>
      </c>
      <c r="H9264" s="2">
        <v>778</v>
      </c>
      <c r="I9264" s="2">
        <v>243</v>
      </c>
      <c r="J9264" s="2">
        <v>2576</v>
      </c>
      <c r="K9264" s="2">
        <v>1</v>
      </c>
      <c r="L9264" s="2">
        <v>721</v>
      </c>
    </row>
    <row r="9265" spans="1:12" x14ac:dyDescent="0.25">
      <c r="A9265" s="4" t="str">
        <f>HYPERLINK("http://www.rosaceae.org/Prunus/Prunus_persica/p.persica_gdr_reftransV1_0011078","p.persica_gdr_reftransV1_0011078")</f>
        <v>p.persica_gdr_reftransV1_0011078</v>
      </c>
      <c r="B9265" s="2">
        <v>868</v>
      </c>
      <c r="C9265" s="4" t="str">
        <f>HYPERLINK("http://www.uniprot.org/uniprot/M5VNX0","M5VNX0")</f>
        <v>M5VNX0</v>
      </c>
      <c r="D9265" s="2" t="s">
        <v>3953</v>
      </c>
      <c r="E9265" s="3">
        <v>2.4E-175</v>
      </c>
      <c r="F9265" s="2">
        <v>1314</v>
      </c>
      <c r="G9265" s="2">
        <v>100</v>
      </c>
      <c r="H9265" s="2">
        <v>251</v>
      </c>
      <c r="I9265" s="2">
        <v>115</v>
      </c>
      <c r="J9265" s="2">
        <v>867</v>
      </c>
      <c r="K9265" s="2">
        <v>368</v>
      </c>
      <c r="L9265" s="2">
        <v>618</v>
      </c>
    </row>
    <row r="9266" spans="1:12" x14ac:dyDescent="0.25">
      <c r="A9266" s="4" t="str">
        <f>HYPERLINK("http://www.rosaceae.org/Prunus/Prunus_persica/p.persica_gdr_reftransV1_0012128","p.persica_gdr_reftransV1_0012128")</f>
        <v>p.persica_gdr_reftransV1_0012128</v>
      </c>
      <c r="B9266" s="2">
        <v>4328</v>
      </c>
      <c r="C9266" s="4" t="str">
        <f>HYPERLINK("http://www.uniprot.org/uniprot/M5Y2M5","M5Y2M5")</f>
        <v>M5Y2M5</v>
      </c>
      <c r="D9266" s="2" t="s">
        <v>8051</v>
      </c>
      <c r="E9266" s="3">
        <v>0</v>
      </c>
      <c r="F9266" s="2">
        <v>4697</v>
      </c>
      <c r="G9266" s="2">
        <v>97</v>
      </c>
      <c r="H9266" s="2">
        <v>928</v>
      </c>
      <c r="I9266" s="2">
        <v>598</v>
      </c>
      <c r="J9266" s="2">
        <v>3381</v>
      </c>
      <c r="K9266" s="2">
        <v>178</v>
      </c>
      <c r="L9266" s="2">
        <v>1087</v>
      </c>
    </row>
    <row r="9267" spans="1:12" x14ac:dyDescent="0.25">
      <c r="A9267" s="4" t="str">
        <f>HYPERLINK("http://www.rosaceae.org/Prunus/Prunus_persica/p.persica_gdr_reftransV1_0012828","p.persica_gdr_reftransV1_0012828")</f>
        <v>p.persica_gdr_reftransV1_0012828</v>
      </c>
      <c r="B9267" s="2">
        <v>2996</v>
      </c>
      <c r="C9267" s="4" t="str">
        <f>HYPERLINK("http://www.uniprot.org/uniprot/M5XN80","M5XN80")</f>
        <v>M5XN80</v>
      </c>
      <c r="D9267" s="2" t="s">
        <v>8052</v>
      </c>
      <c r="E9267" s="3">
        <v>0</v>
      </c>
      <c r="F9267" s="2">
        <v>1733</v>
      </c>
      <c r="G9267" s="2">
        <v>96</v>
      </c>
      <c r="H9267" s="2">
        <v>407</v>
      </c>
      <c r="I9267" s="2">
        <v>1775</v>
      </c>
      <c r="J9267" s="2">
        <v>2995</v>
      </c>
      <c r="K9267" s="2">
        <v>204</v>
      </c>
      <c r="L9267" s="2">
        <v>597</v>
      </c>
    </row>
    <row r="9268" spans="1:12" x14ac:dyDescent="0.25">
      <c r="A9268" s="4" t="str">
        <f>HYPERLINK("http://www.rosaceae.org/Prunus/Prunus_persica/p.persica_gdr_reftransV1_0013178","p.persica_gdr_reftransV1_0013178")</f>
        <v>p.persica_gdr_reftransV1_0013178</v>
      </c>
      <c r="B9268" s="2">
        <v>1143</v>
      </c>
      <c r="C9268" s="4" t="str">
        <f>HYPERLINK("http://www.uniprot.org/uniprot/M5WN91","M5WN91")</f>
        <v>M5WN91</v>
      </c>
      <c r="D9268" s="2" t="s">
        <v>8053</v>
      </c>
      <c r="E9268" s="3">
        <v>1.6899999999999999E-72</v>
      </c>
      <c r="F9268" s="2">
        <v>605</v>
      </c>
      <c r="G9268" s="2">
        <v>97</v>
      </c>
      <c r="H9268" s="2">
        <v>148</v>
      </c>
      <c r="I9268" s="2">
        <v>1</v>
      </c>
      <c r="J9268" s="2">
        <v>444</v>
      </c>
      <c r="K9268" s="2">
        <v>2</v>
      </c>
      <c r="L9268" s="2">
        <v>148</v>
      </c>
    </row>
    <row r="9269" spans="1:12" x14ac:dyDescent="0.25">
      <c r="A9269" s="4" t="str">
        <f>HYPERLINK("http://www.rosaceae.org/Prunus/Prunus_persica/p.persica_gdr_reftransV1_0014228","p.persica_gdr_reftransV1_0014228")</f>
        <v>p.persica_gdr_reftransV1_0014228</v>
      </c>
      <c r="B9269" s="2">
        <v>1963</v>
      </c>
      <c r="C9269" s="4" t="str">
        <f>HYPERLINK("http://www.uniprot.org/uniprot/M5VW09","M5VW09")</f>
        <v>M5VW09</v>
      </c>
      <c r="D9269" s="2" t="s">
        <v>8054</v>
      </c>
      <c r="E9269" s="3">
        <v>0</v>
      </c>
      <c r="F9269" s="2">
        <v>1827</v>
      </c>
      <c r="G9269" s="2">
        <v>99</v>
      </c>
      <c r="H9269" s="2">
        <v>390</v>
      </c>
      <c r="I9269" s="2">
        <v>38</v>
      </c>
      <c r="J9269" s="2">
        <v>1207</v>
      </c>
      <c r="K9269" s="2">
        <v>1</v>
      </c>
      <c r="L9269" s="2">
        <v>390</v>
      </c>
    </row>
    <row r="9270" spans="1:12" x14ac:dyDescent="0.25">
      <c r="A9270" s="4" t="str">
        <f>HYPERLINK("http://www.rosaceae.org/Prunus/Prunus_persica/p.persica_gdr_reftransV1_0014578","p.persica_gdr_reftransV1_0014578")</f>
        <v>p.persica_gdr_reftransV1_0014578</v>
      </c>
      <c r="B9270" s="2">
        <v>564</v>
      </c>
      <c r="C9270" s="4" t="str">
        <f>HYPERLINK("http://www.uniprot.org/uniprot/M5XT98","M5XT98")</f>
        <v>M5XT98</v>
      </c>
      <c r="D9270" s="2" t="s">
        <v>2863</v>
      </c>
      <c r="E9270" s="3">
        <v>5.6499999999999998E-126</v>
      </c>
      <c r="F9270" s="2">
        <v>1005</v>
      </c>
      <c r="G9270" s="2">
        <v>100</v>
      </c>
      <c r="H9270" s="2">
        <v>187</v>
      </c>
      <c r="I9270" s="2">
        <v>3</v>
      </c>
      <c r="J9270" s="2">
        <v>563</v>
      </c>
      <c r="K9270" s="2">
        <v>10</v>
      </c>
      <c r="L9270" s="2">
        <v>196</v>
      </c>
    </row>
    <row r="9271" spans="1:12" x14ac:dyDescent="0.25">
      <c r="A9271" s="4" t="str">
        <f>HYPERLINK("http://www.rosaceae.org/Prunus/Prunus_persica/p.persica_gdr_reftransV1_0015628","p.persica_gdr_reftransV1_0015628")</f>
        <v>p.persica_gdr_reftransV1_0015628</v>
      </c>
      <c r="B9271" s="2">
        <v>2138</v>
      </c>
      <c r="C9271" s="4" t="str">
        <f>HYPERLINK("http://www.uniprot.org/uniprot/M5WSI6","M5WSI6")</f>
        <v>M5WSI6</v>
      </c>
      <c r="D9271" s="2" t="s">
        <v>8055</v>
      </c>
      <c r="E9271" s="3">
        <v>0</v>
      </c>
      <c r="F9271" s="2">
        <v>1670</v>
      </c>
      <c r="G9271" s="2">
        <v>100</v>
      </c>
      <c r="H9271" s="2">
        <v>415</v>
      </c>
      <c r="I9271" s="2">
        <v>616</v>
      </c>
      <c r="J9271" s="2">
        <v>1860</v>
      </c>
      <c r="K9271" s="2">
        <v>1</v>
      </c>
      <c r="L9271" s="2">
        <v>415</v>
      </c>
    </row>
    <row r="9272" spans="1:12" x14ac:dyDescent="0.25">
      <c r="A9272" s="4" t="str">
        <f>HYPERLINK("http://www.rosaceae.org/Prunus/Prunus_persica/p.persica_gdr_reftransV1_0015978","p.persica_gdr_reftransV1_0015978")</f>
        <v>p.persica_gdr_reftransV1_0015978</v>
      </c>
      <c r="B9272" s="2">
        <v>2528</v>
      </c>
      <c r="C9272" s="4" t="str">
        <f>HYPERLINK("http://www.uniprot.org/uniprot/M5VNX8","M5VNX8")</f>
        <v>M5VNX8</v>
      </c>
      <c r="D9272" s="2" t="s">
        <v>8056</v>
      </c>
      <c r="E9272" s="3">
        <v>0</v>
      </c>
      <c r="F9272" s="2">
        <v>2681</v>
      </c>
      <c r="G9272" s="2">
        <v>100</v>
      </c>
      <c r="H9272" s="2">
        <v>511</v>
      </c>
      <c r="I9272" s="2">
        <v>251</v>
      </c>
      <c r="J9272" s="2">
        <v>1783</v>
      </c>
      <c r="K9272" s="2">
        <v>104</v>
      </c>
      <c r="L9272" s="2">
        <v>614</v>
      </c>
    </row>
    <row r="9273" spans="1:12" x14ac:dyDescent="0.25">
      <c r="A9273" s="4" t="str">
        <f>HYPERLINK("http://www.rosaceae.org/Prunus/Prunus_persica/p.persica_gdr_reftransV1_0017028","p.persica_gdr_reftransV1_0017028")</f>
        <v>p.persica_gdr_reftransV1_0017028</v>
      </c>
      <c r="B9273" s="2">
        <v>1618</v>
      </c>
      <c r="C9273" s="4" t="str">
        <f>HYPERLINK("http://www.uniprot.org/uniprot/M5X2A5","M5X2A5")</f>
        <v>M5X2A5</v>
      </c>
      <c r="D9273" s="2" t="s">
        <v>8057</v>
      </c>
      <c r="E9273" s="3">
        <v>1.1900000000000001E-126</v>
      </c>
      <c r="F9273" s="2">
        <v>982</v>
      </c>
      <c r="G9273" s="2">
        <v>86</v>
      </c>
      <c r="H9273" s="2">
        <v>267</v>
      </c>
      <c r="I9273" s="2">
        <v>330</v>
      </c>
      <c r="J9273" s="2">
        <v>1130</v>
      </c>
      <c r="K9273" s="2">
        <v>24</v>
      </c>
      <c r="L9273" s="2">
        <v>253</v>
      </c>
    </row>
    <row r="9274" spans="1:12" x14ac:dyDescent="0.25">
      <c r="A9274" s="4" t="str">
        <f>HYPERLINK("http://www.rosaceae.org/Prunus/Prunus_persica/p.persica_gdr_reftransV1_0018428","p.persica_gdr_reftransV1_0018428")</f>
        <v>p.persica_gdr_reftransV1_0018428</v>
      </c>
      <c r="B9274" s="2">
        <v>2562</v>
      </c>
      <c r="C9274" s="4" t="str">
        <f>HYPERLINK("http://www.uniprot.org/uniprot/M5VT67","M5VT67")</f>
        <v>M5VT67</v>
      </c>
      <c r="D9274" s="2" t="s">
        <v>1597</v>
      </c>
      <c r="E9274" s="3">
        <v>0</v>
      </c>
      <c r="F9274" s="2">
        <v>2965</v>
      </c>
      <c r="G9274" s="2">
        <v>79</v>
      </c>
      <c r="H9274" s="2">
        <v>744</v>
      </c>
      <c r="I9274" s="2">
        <v>91</v>
      </c>
      <c r="J9274" s="2">
        <v>2319</v>
      </c>
      <c r="K9274" s="2">
        <v>3</v>
      </c>
      <c r="L9274" s="2">
        <v>698</v>
      </c>
    </row>
    <row r="9275" spans="1:12" x14ac:dyDescent="0.25">
      <c r="A9275" s="4" t="str">
        <f>HYPERLINK("http://www.rosaceae.org/Prunus/Prunus_persica/p.persica_gdr_reftransV1_0019128","p.persica_gdr_reftransV1_0019128")</f>
        <v>p.persica_gdr_reftransV1_0019128</v>
      </c>
      <c r="B9275" s="2">
        <v>841</v>
      </c>
      <c r="C9275" s="4" t="str">
        <f>HYPERLINK("http://www.uniprot.org/uniprot/M5XGF1","M5XGF1")</f>
        <v>M5XGF1</v>
      </c>
      <c r="D9275" s="2" t="s">
        <v>8058</v>
      </c>
      <c r="E9275" s="3">
        <v>2.7299999999999998E-162</v>
      </c>
      <c r="F9275" s="2">
        <v>1195</v>
      </c>
      <c r="G9275" s="2">
        <v>100</v>
      </c>
      <c r="H9275" s="2">
        <v>221</v>
      </c>
      <c r="I9275" s="2">
        <v>179</v>
      </c>
      <c r="J9275" s="2">
        <v>841</v>
      </c>
      <c r="K9275" s="2">
        <v>67</v>
      </c>
      <c r="L9275" s="2">
        <v>287</v>
      </c>
    </row>
    <row r="9276" spans="1:12" x14ac:dyDescent="0.25">
      <c r="A9276" s="4" t="str">
        <f>HYPERLINK("http://www.rosaceae.org/Prunus/Prunus_persica/p.persica_gdr_reftransV1_0019478","p.persica_gdr_reftransV1_0019478")</f>
        <v>p.persica_gdr_reftransV1_0019478</v>
      </c>
      <c r="B9276" s="2">
        <v>3330</v>
      </c>
      <c r="C9276" s="4" t="str">
        <f>HYPERLINK("http://www.uniprot.org/uniprot/M5W687","M5W687")</f>
        <v>M5W687</v>
      </c>
      <c r="D9276" s="2" t="s">
        <v>8059</v>
      </c>
      <c r="E9276" s="3">
        <v>0</v>
      </c>
      <c r="F9276" s="2">
        <v>2226</v>
      </c>
      <c r="G9276" s="2">
        <v>100</v>
      </c>
      <c r="H9276" s="2">
        <v>443</v>
      </c>
      <c r="I9276" s="2">
        <v>1702</v>
      </c>
      <c r="J9276" s="2">
        <v>3030</v>
      </c>
      <c r="K9276" s="2">
        <v>156</v>
      </c>
      <c r="L9276" s="2">
        <v>598</v>
      </c>
    </row>
    <row r="9277" spans="1:12" x14ac:dyDescent="0.25">
      <c r="A9277" s="4" t="str">
        <f>HYPERLINK("http://www.rosaceae.org/Prunus/Prunus_persica/p.persica_gdr_reftransV1_0020528","p.persica_gdr_reftransV1_0020528")</f>
        <v>p.persica_gdr_reftransV1_0020528</v>
      </c>
      <c r="B9277" s="2">
        <v>4245</v>
      </c>
      <c r="C9277" s="4" t="str">
        <f>HYPERLINK("http://www.uniprot.org/uniprot/M5WEF7","M5WEF7")</f>
        <v>M5WEF7</v>
      </c>
      <c r="D9277" s="2" t="s">
        <v>8060</v>
      </c>
      <c r="E9277" s="3">
        <v>0</v>
      </c>
      <c r="F9277" s="2">
        <v>4915</v>
      </c>
      <c r="G9277" s="2">
        <v>94</v>
      </c>
      <c r="H9277" s="2">
        <v>1098</v>
      </c>
      <c r="I9277" s="2">
        <v>314</v>
      </c>
      <c r="J9277" s="2">
        <v>3607</v>
      </c>
      <c r="K9277" s="2">
        <v>1</v>
      </c>
      <c r="L9277" s="2">
        <v>1037</v>
      </c>
    </row>
    <row r="9278" spans="1:12" x14ac:dyDescent="0.25">
      <c r="A9278" s="4" t="str">
        <f>HYPERLINK("http://www.rosaceae.org/Prunus/Prunus_persica/p.persica_gdr_reftransV1_0023328","p.persica_gdr_reftransV1_0023328")</f>
        <v>p.persica_gdr_reftransV1_0023328</v>
      </c>
      <c r="B9278" s="2">
        <v>2550</v>
      </c>
      <c r="C9278" s="4" t="str">
        <f>HYPERLINK("http://www.uniprot.org/uniprot/M5XFV0","M5XFV0")</f>
        <v>M5XFV0</v>
      </c>
      <c r="D9278" s="2" t="s">
        <v>8061</v>
      </c>
      <c r="E9278" s="3">
        <v>6.4200000000000002E-64</v>
      </c>
      <c r="F9278" s="2">
        <v>580</v>
      </c>
      <c r="G9278" s="2">
        <v>96</v>
      </c>
      <c r="H9278" s="2">
        <v>131</v>
      </c>
      <c r="I9278" s="2">
        <v>135</v>
      </c>
      <c r="J9278" s="2">
        <v>527</v>
      </c>
      <c r="K9278" s="2">
        <v>1</v>
      </c>
      <c r="L9278" s="2">
        <v>131</v>
      </c>
    </row>
    <row r="9279" spans="1:12" x14ac:dyDescent="0.25">
      <c r="A9279" s="4" t="str">
        <f>HYPERLINK("http://www.rosaceae.org/Prunus/Prunus_persica/p.persica_gdr_reftransV1_0023678","p.persica_gdr_reftransV1_0023678")</f>
        <v>p.persica_gdr_reftransV1_0023678</v>
      </c>
      <c r="B9279" s="2">
        <v>3496</v>
      </c>
      <c r="C9279" s="4" t="str">
        <f>HYPERLINK("http://www.uniprot.org/uniprot/M5WAG9","M5WAG9")</f>
        <v>M5WAG9</v>
      </c>
      <c r="D9279" s="2" t="s">
        <v>8062</v>
      </c>
      <c r="E9279" s="3">
        <v>0</v>
      </c>
      <c r="F9279" s="2">
        <v>2116</v>
      </c>
      <c r="G9279" s="2">
        <v>100</v>
      </c>
      <c r="H9279" s="2">
        <v>397</v>
      </c>
      <c r="I9279" s="2">
        <v>1777</v>
      </c>
      <c r="J9279" s="2">
        <v>2967</v>
      </c>
      <c r="K9279" s="2">
        <v>123</v>
      </c>
      <c r="L9279" s="2">
        <v>519</v>
      </c>
    </row>
    <row r="9280" spans="1:12" x14ac:dyDescent="0.25">
      <c r="A9280" s="4" t="str">
        <f>HYPERLINK("http://www.rosaceae.org/Prunus/Prunus_persica/p.persica_gdr_reftransV1_0024028","p.persica_gdr_reftransV1_0024028")</f>
        <v>p.persica_gdr_reftransV1_0024028</v>
      </c>
      <c r="B9280" s="2">
        <v>2992</v>
      </c>
      <c r="C9280" s="4" t="str">
        <f>HYPERLINK("http://www.uniprot.org/uniprot/M5WGA0","M5WGA0")</f>
        <v>M5WGA0</v>
      </c>
      <c r="D9280" s="2" t="s">
        <v>8063</v>
      </c>
      <c r="E9280" s="3">
        <v>0</v>
      </c>
      <c r="F9280" s="2">
        <v>2425</v>
      </c>
      <c r="G9280" s="2">
        <v>100</v>
      </c>
      <c r="H9280" s="2">
        <v>452</v>
      </c>
      <c r="I9280" s="2">
        <v>1016</v>
      </c>
      <c r="J9280" s="2">
        <v>2371</v>
      </c>
      <c r="K9280" s="2">
        <v>1</v>
      </c>
      <c r="L9280" s="2">
        <v>452</v>
      </c>
    </row>
    <row r="9281" spans="1:12" x14ac:dyDescent="0.25">
      <c r="A9281" s="4" t="str">
        <f>HYPERLINK("http://www.rosaceae.org/Prunus/Prunus_persica/p.persica_gdr_reftransV1_0024728","p.persica_gdr_reftransV1_0024728")</f>
        <v>p.persica_gdr_reftransV1_0024728</v>
      </c>
      <c r="B9281" s="2">
        <v>3945</v>
      </c>
      <c r="C9281" s="4" t="str">
        <f>HYPERLINK("http://www.uniprot.org/uniprot/M5XX55","M5XX55")</f>
        <v>M5XX55</v>
      </c>
      <c r="D9281" s="2" t="s">
        <v>8064</v>
      </c>
      <c r="E9281" s="3">
        <v>0</v>
      </c>
      <c r="F9281" s="2">
        <v>3399</v>
      </c>
      <c r="G9281" s="2">
        <v>100</v>
      </c>
      <c r="H9281" s="2">
        <v>639</v>
      </c>
      <c r="I9281" s="2">
        <v>1078</v>
      </c>
      <c r="J9281" s="2">
        <v>2994</v>
      </c>
      <c r="K9281" s="2">
        <v>1</v>
      </c>
      <c r="L9281" s="2">
        <v>639</v>
      </c>
    </row>
    <row r="9282" spans="1:12" x14ac:dyDescent="0.25">
      <c r="A9282" s="4" t="str">
        <f>HYPERLINK("http://www.rosaceae.org/Prunus/Prunus_persica/p.persica_gdr_reftransV1_0028228","p.persica_gdr_reftransV1_0028228")</f>
        <v>p.persica_gdr_reftransV1_0028228</v>
      </c>
      <c r="B9282" s="2">
        <v>2583</v>
      </c>
      <c r="C9282" s="4" t="str">
        <f>HYPERLINK("http://www.uniprot.org/uniprot/D7TLV0","D7TLV0")</f>
        <v>D7TLV0</v>
      </c>
      <c r="D9282" s="2" t="s">
        <v>8065</v>
      </c>
      <c r="E9282" s="3">
        <v>1.1499999999999999E-28</v>
      </c>
      <c r="F9282" s="2">
        <v>323</v>
      </c>
      <c r="G9282" s="2">
        <v>90</v>
      </c>
      <c r="H9282" s="2">
        <v>69</v>
      </c>
      <c r="I9282" s="2">
        <v>1111</v>
      </c>
      <c r="J9282" s="2">
        <v>1317</v>
      </c>
      <c r="K9282" s="2">
        <v>156</v>
      </c>
      <c r="L9282" s="2">
        <v>224</v>
      </c>
    </row>
    <row r="9283" spans="1:12" x14ac:dyDescent="0.25">
      <c r="A9283" s="4" t="str">
        <f>HYPERLINK("http://www.rosaceae.org/Prunus/Prunus_persica/p.persica_gdr_reftransV1_0028928","p.persica_gdr_reftransV1_0028928")</f>
        <v>p.persica_gdr_reftransV1_0028928</v>
      </c>
      <c r="B9283" s="2">
        <v>2759</v>
      </c>
      <c r="C9283" s="4" t="str">
        <f>HYPERLINK("http://www.uniprot.org/uniprot/M5VJF3","M5VJF3")</f>
        <v>M5VJF3</v>
      </c>
      <c r="D9283" s="2" t="s">
        <v>8066</v>
      </c>
      <c r="E9283" s="3">
        <v>0</v>
      </c>
      <c r="F9283" s="2">
        <v>2983</v>
      </c>
      <c r="G9283" s="2">
        <v>99</v>
      </c>
      <c r="H9283" s="2">
        <v>567</v>
      </c>
      <c r="I9283" s="2">
        <v>563</v>
      </c>
      <c r="J9283" s="2">
        <v>2263</v>
      </c>
      <c r="K9283" s="2">
        <v>87</v>
      </c>
      <c r="L9283" s="2">
        <v>650</v>
      </c>
    </row>
    <row r="9284" spans="1:12" x14ac:dyDescent="0.25">
      <c r="A9284" s="4" t="str">
        <f>HYPERLINK("http://www.rosaceae.org/Prunus/Prunus_persica/p.persica_gdr_reftransV1_0031378","p.persica_gdr_reftransV1_0031378")</f>
        <v>p.persica_gdr_reftransV1_0031378</v>
      </c>
      <c r="B9284" s="2">
        <v>2970</v>
      </c>
      <c r="C9284" s="4" t="str">
        <f>HYPERLINK("http://www.uniprot.org/uniprot/M5VIZ0","M5VIZ0")</f>
        <v>M5VIZ0</v>
      </c>
      <c r="D9284" s="2" t="s">
        <v>8067</v>
      </c>
      <c r="E9284" s="3">
        <v>2.7000000000000002E-169</v>
      </c>
      <c r="F9284" s="2">
        <v>1329</v>
      </c>
      <c r="G9284" s="2">
        <v>100</v>
      </c>
      <c r="H9284" s="2">
        <v>266</v>
      </c>
      <c r="I9284" s="2">
        <v>1633</v>
      </c>
      <c r="J9284" s="2">
        <v>2430</v>
      </c>
      <c r="K9284" s="2">
        <v>219</v>
      </c>
      <c r="L9284" s="2">
        <v>484</v>
      </c>
    </row>
    <row r="9285" spans="1:12" x14ac:dyDescent="0.25">
      <c r="A9285" s="4" t="str">
        <f>HYPERLINK("http://www.rosaceae.org/Prunus/Prunus_persica/p.persica_gdr_reftransV1_0032778","p.persica_gdr_reftransV1_0032778")</f>
        <v>p.persica_gdr_reftransV1_0032778</v>
      </c>
      <c r="B9285" s="2">
        <v>3848</v>
      </c>
      <c r="C9285" s="4" t="str">
        <f>HYPERLINK("http://www.uniprot.org/uniprot/M5XLD5","M5XLD5")</f>
        <v>M5XLD5</v>
      </c>
      <c r="D9285" s="2" t="s">
        <v>8068</v>
      </c>
      <c r="E9285" s="3">
        <v>2.4600000000000001E-164</v>
      </c>
      <c r="F9285" s="2">
        <v>1332</v>
      </c>
      <c r="G9285" s="2">
        <v>87</v>
      </c>
      <c r="H9285" s="2">
        <v>321</v>
      </c>
      <c r="I9285" s="2">
        <v>648</v>
      </c>
      <c r="J9285" s="2">
        <v>1610</v>
      </c>
      <c r="K9285" s="2">
        <v>1</v>
      </c>
      <c r="L9285" s="2">
        <v>280</v>
      </c>
    </row>
    <row r="9286" spans="1:12" x14ac:dyDescent="0.25">
      <c r="A9286" s="4" t="str">
        <f>HYPERLINK("http://www.rosaceae.org/Prunus/Prunus_persica/p.persica_gdr_reftransV1_0034878","p.persica_gdr_reftransV1_0034878")</f>
        <v>p.persica_gdr_reftransV1_0034878</v>
      </c>
      <c r="B9286" s="2">
        <v>3805</v>
      </c>
      <c r="C9286" s="4" t="str">
        <f>HYPERLINK("http://www.uniprot.org/uniprot/M5XD55","M5XD55")</f>
        <v>M5XD55</v>
      </c>
      <c r="D9286" s="2" t="s">
        <v>8069</v>
      </c>
      <c r="E9286" s="3">
        <v>0</v>
      </c>
      <c r="F9286" s="2">
        <v>2144</v>
      </c>
      <c r="G9286" s="2">
        <v>100</v>
      </c>
      <c r="H9286" s="2">
        <v>399</v>
      </c>
      <c r="I9286" s="2">
        <v>2196</v>
      </c>
      <c r="J9286" s="2">
        <v>3392</v>
      </c>
      <c r="K9286" s="2">
        <v>1</v>
      </c>
      <c r="L9286" s="2">
        <v>399</v>
      </c>
    </row>
    <row r="9287" spans="1:12" x14ac:dyDescent="0.25">
      <c r="A9287" s="4" t="str">
        <f>HYPERLINK("http://www.rosaceae.org/Prunus/Prunus_persica/p.persica_gdr_reftransV1_0037328","p.persica_gdr_reftransV1_0037328")</f>
        <v>p.persica_gdr_reftransV1_0037328</v>
      </c>
      <c r="B9287" s="2">
        <v>1113</v>
      </c>
      <c r="C9287" s="4" t="str">
        <f>HYPERLINK("http://www.uniprot.org/uniprot/M5XJZ3","M5XJZ3")</f>
        <v>M5XJZ3</v>
      </c>
      <c r="D9287" s="2" t="s">
        <v>8070</v>
      </c>
      <c r="E9287" s="3">
        <v>5.6900000000000003E-126</v>
      </c>
      <c r="F9287" s="2">
        <v>973</v>
      </c>
      <c r="G9287" s="2">
        <v>97</v>
      </c>
      <c r="H9287" s="2">
        <v>246</v>
      </c>
      <c r="I9287" s="2">
        <v>3</v>
      </c>
      <c r="J9287" s="2">
        <v>728</v>
      </c>
      <c r="K9287" s="2">
        <v>115</v>
      </c>
      <c r="L9287" s="2">
        <v>360</v>
      </c>
    </row>
    <row r="9288" spans="1:12" x14ac:dyDescent="0.25">
      <c r="A9288" s="4" t="str">
        <f>HYPERLINK("http://www.rosaceae.org/Prunus/Prunus_persica/p.persica_gdr_reftransV1_0038028","p.persica_gdr_reftransV1_0038028")</f>
        <v>p.persica_gdr_reftransV1_0038028</v>
      </c>
      <c r="B9288" s="2">
        <v>1375</v>
      </c>
      <c r="C9288" s="4" t="str">
        <f>HYPERLINK("http://www.uniprot.org/uniprot/M5W381","M5W381")</f>
        <v>M5W381</v>
      </c>
      <c r="D9288" s="2" t="s">
        <v>8071</v>
      </c>
      <c r="E9288" s="3">
        <v>1.58E-46</v>
      </c>
      <c r="F9288" s="2">
        <v>348</v>
      </c>
      <c r="G9288" s="2">
        <v>58</v>
      </c>
      <c r="H9288" s="2">
        <v>133</v>
      </c>
      <c r="I9288" s="2">
        <v>757</v>
      </c>
      <c r="J9288" s="2">
        <v>1155</v>
      </c>
      <c r="K9288" s="2">
        <v>1</v>
      </c>
      <c r="L9288" s="2">
        <v>80</v>
      </c>
    </row>
    <row r="9289" spans="1:12" x14ac:dyDescent="0.25">
      <c r="A9289" s="4" t="str">
        <f>HYPERLINK("http://www.rosaceae.org/Prunus/Prunus_persica/p.persica_gdr_reftransV1_0038728","p.persica_gdr_reftransV1_0038728")</f>
        <v>p.persica_gdr_reftransV1_0038728</v>
      </c>
      <c r="B9289" s="2">
        <v>2916</v>
      </c>
      <c r="C9289" s="4" t="str">
        <f>HYPERLINK("http://www.uniprot.org/uniprot/M5VXI9","M5VXI9")</f>
        <v>M5VXI9</v>
      </c>
      <c r="D9289" s="2" t="s">
        <v>8072</v>
      </c>
      <c r="E9289" s="3">
        <v>2.6099999999999999E-151</v>
      </c>
      <c r="F9289" s="2">
        <v>1188</v>
      </c>
      <c r="G9289" s="2">
        <v>100</v>
      </c>
      <c r="H9289" s="2">
        <v>236</v>
      </c>
      <c r="I9289" s="2">
        <v>1109</v>
      </c>
      <c r="J9289" s="2">
        <v>1816</v>
      </c>
      <c r="K9289" s="2">
        <v>1</v>
      </c>
      <c r="L9289" s="2">
        <v>236</v>
      </c>
    </row>
    <row r="9290" spans="1:12" x14ac:dyDescent="0.25">
      <c r="A9290" s="4" t="str">
        <f>HYPERLINK("http://www.rosaceae.org/Prunus/Prunus_persica/p.persica_gdr_reftransV1_0040478","p.persica_gdr_reftransV1_0040478")</f>
        <v>p.persica_gdr_reftransV1_0040478</v>
      </c>
      <c r="B9290" s="2">
        <v>3603</v>
      </c>
      <c r="C9290" s="4" t="str">
        <f>HYPERLINK("http://www.uniprot.org/uniprot/M5XDJ5","M5XDJ5")</f>
        <v>M5XDJ5</v>
      </c>
      <c r="D9290" s="2" t="s">
        <v>8073</v>
      </c>
      <c r="E9290" s="3">
        <v>1.1899999999999999E-128</v>
      </c>
      <c r="F9290" s="2">
        <v>1058</v>
      </c>
      <c r="G9290" s="2">
        <v>100</v>
      </c>
      <c r="H9290" s="2">
        <v>218</v>
      </c>
      <c r="I9290" s="2">
        <v>905</v>
      </c>
      <c r="J9290" s="2">
        <v>1558</v>
      </c>
      <c r="K9290" s="2">
        <v>1</v>
      </c>
      <c r="L9290" s="2">
        <v>218</v>
      </c>
    </row>
    <row r="9291" spans="1:12" x14ac:dyDescent="0.25">
      <c r="A9291" s="4" t="str">
        <f>HYPERLINK("http://www.rosaceae.org/Prunus/Prunus_persica/p.persica_gdr_reftransV1_0043278","p.persica_gdr_reftransV1_0043278")</f>
        <v>p.persica_gdr_reftransV1_0043278</v>
      </c>
      <c r="B9291" s="2">
        <v>1387</v>
      </c>
      <c r="C9291" s="4" t="str">
        <f>HYPERLINK("http://www.uniprot.org/uniprot/M5XX13","M5XX13")</f>
        <v>M5XX13</v>
      </c>
      <c r="D9291" s="2" t="s">
        <v>8074</v>
      </c>
      <c r="E9291" s="3">
        <v>0</v>
      </c>
      <c r="F9291" s="2">
        <v>1677</v>
      </c>
      <c r="G9291" s="2">
        <v>100</v>
      </c>
      <c r="H9291" s="2">
        <v>334</v>
      </c>
      <c r="I9291" s="2">
        <v>243</v>
      </c>
      <c r="J9291" s="2">
        <v>1244</v>
      </c>
      <c r="K9291" s="2">
        <v>1</v>
      </c>
      <c r="L9291" s="2">
        <v>334</v>
      </c>
    </row>
    <row r="9292" spans="1:12" x14ac:dyDescent="0.25">
      <c r="A9292" s="4" t="str">
        <f>HYPERLINK("http://www.rosaceae.org/Prunus/Prunus_persica/p.persica_gdr_reftransV1_0043628","p.persica_gdr_reftransV1_0043628")</f>
        <v>p.persica_gdr_reftransV1_0043628</v>
      </c>
      <c r="B9292" s="2">
        <v>1415</v>
      </c>
      <c r="C9292" s="4" t="str">
        <f>HYPERLINK("http://www.uniprot.org/uniprot/M5WA00","M5WA00")</f>
        <v>M5WA00</v>
      </c>
      <c r="D9292" s="2" t="s">
        <v>4176</v>
      </c>
      <c r="E9292" s="3">
        <v>0</v>
      </c>
      <c r="F9292" s="2">
        <v>1996</v>
      </c>
      <c r="G9292" s="2">
        <v>100</v>
      </c>
      <c r="H9292" s="2">
        <v>410</v>
      </c>
      <c r="I9292" s="2">
        <v>5</v>
      </c>
      <c r="J9292" s="2">
        <v>1234</v>
      </c>
      <c r="K9292" s="2">
        <v>261</v>
      </c>
      <c r="L9292" s="2">
        <v>670</v>
      </c>
    </row>
    <row r="9293" spans="1:12" x14ac:dyDescent="0.25">
      <c r="A9293" s="4" t="str">
        <f>HYPERLINK("http://www.rosaceae.org/Prunus/Prunus_persica/p.persica_gdr_reftransV1_0043978","p.persica_gdr_reftransV1_0043978")</f>
        <v>p.persica_gdr_reftransV1_0043978</v>
      </c>
      <c r="B9293" s="2">
        <v>1408</v>
      </c>
      <c r="C9293" s="4" t="str">
        <f>HYPERLINK("http://www.uniprot.org/uniprot/M5WSJ2","M5WSJ2")</f>
        <v>M5WSJ2</v>
      </c>
      <c r="D9293" s="2" t="s">
        <v>663</v>
      </c>
      <c r="E9293" s="3">
        <v>0</v>
      </c>
      <c r="F9293" s="2">
        <v>2140</v>
      </c>
      <c r="G9293" s="2">
        <v>100</v>
      </c>
      <c r="H9293" s="2">
        <v>402</v>
      </c>
      <c r="I9293" s="2">
        <v>2</v>
      </c>
      <c r="J9293" s="2">
        <v>1207</v>
      </c>
      <c r="K9293" s="2">
        <v>354</v>
      </c>
      <c r="L9293" s="2">
        <v>755</v>
      </c>
    </row>
    <row r="9294" spans="1:12" x14ac:dyDescent="0.25">
      <c r="A9294" s="4" t="str">
        <f>HYPERLINK("http://www.rosaceae.org/Prunus/Prunus_persica/p.persica_gdr_reftransV1_0044328","p.persica_gdr_reftransV1_0044328")</f>
        <v>p.persica_gdr_reftransV1_0044328</v>
      </c>
      <c r="B9294" s="2">
        <v>2412</v>
      </c>
      <c r="C9294" s="4" t="str">
        <f>HYPERLINK("http://www.uniprot.org/uniprot/M5WRD4","M5WRD4")</f>
        <v>M5WRD4</v>
      </c>
      <c r="D9294" s="2" t="s">
        <v>5500</v>
      </c>
      <c r="E9294" s="3">
        <v>0</v>
      </c>
      <c r="F9294" s="2">
        <v>3447</v>
      </c>
      <c r="G9294" s="2">
        <v>97</v>
      </c>
      <c r="H9294" s="2">
        <v>676</v>
      </c>
      <c r="I9294" s="2">
        <v>103</v>
      </c>
      <c r="J9294" s="2">
        <v>2124</v>
      </c>
      <c r="K9294" s="2">
        <v>1</v>
      </c>
      <c r="L9294" s="2">
        <v>676</v>
      </c>
    </row>
    <row r="9295" spans="1:12" x14ac:dyDescent="0.25">
      <c r="A9295" s="4" t="str">
        <f>HYPERLINK("http://www.rosaceae.org/Prunus/Prunus_persica/p.persica_gdr_reftransV1_0045028","p.persica_gdr_reftransV1_0045028")</f>
        <v>p.persica_gdr_reftransV1_0045028</v>
      </c>
      <c r="B9295" s="2">
        <v>1421</v>
      </c>
      <c r="C9295" s="4" t="str">
        <f>HYPERLINK("http://www.uniprot.org/uniprot/B9IF37","B9IF37")</f>
        <v>B9IF37</v>
      </c>
      <c r="D9295" s="2" t="s">
        <v>8075</v>
      </c>
      <c r="E9295" s="3">
        <v>3.1300000000000003E-163</v>
      </c>
      <c r="F9295" s="2">
        <v>1036</v>
      </c>
      <c r="G9295" s="2">
        <v>77</v>
      </c>
      <c r="H9295" s="2">
        <v>260</v>
      </c>
      <c r="I9295" s="2">
        <v>26</v>
      </c>
      <c r="J9295" s="2">
        <v>772</v>
      </c>
      <c r="K9295" s="2">
        <v>1</v>
      </c>
      <c r="L9295" s="2">
        <v>260</v>
      </c>
    </row>
    <row r="9296" spans="1:12" x14ac:dyDescent="0.25">
      <c r="A9296" s="4" t="str">
        <f>HYPERLINK("http://www.rosaceae.org/Prunus/Prunus_persica/p.persica_gdr_reftransV1_0046078","p.persica_gdr_reftransV1_0046078")</f>
        <v>p.persica_gdr_reftransV1_0046078</v>
      </c>
      <c r="B9296" s="2">
        <v>965</v>
      </c>
      <c r="C9296" s="4" t="str">
        <f>HYPERLINK("http://www.uniprot.org/uniprot/M5XAH9","M5XAH9")</f>
        <v>M5XAH9</v>
      </c>
      <c r="D9296" s="2" t="s">
        <v>1248</v>
      </c>
      <c r="E9296" s="3">
        <v>0</v>
      </c>
      <c r="F9296" s="2">
        <v>1494</v>
      </c>
      <c r="G9296" s="2">
        <v>100</v>
      </c>
      <c r="H9296" s="2">
        <v>278</v>
      </c>
      <c r="I9296" s="2">
        <v>13</v>
      </c>
      <c r="J9296" s="2">
        <v>846</v>
      </c>
      <c r="K9296" s="2">
        <v>1</v>
      </c>
      <c r="L9296" s="2">
        <v>278</v>
      </c>
    </row>
    <row r="9297" spans="1:12" x14ac:dyDescent="0.25">
      <c r="A9297" s="4" t="str">
        <f>HYPERLINK("http://www.rosaceae.org/Prunus/Prunus_persica/p.persica_gdr_reftransV1_0046428","p.persica_gdr_reftransV1_0046428")</f>
        <v>p.persica_gdr_reftransV1_0046428</v>
      </c>
      <c r="B9297" s="2">
        <v>3101</v>
      </c>
      <c r="C9297" s="4" t="str">
        <f>HYPERLINK("http://www.uniprot.org/uniprot/M5WMC7","M5WMC7")</f>
        <v>M5WMC7</v>
      </c>
      <c r="D9297" s="2" t="s">
        <v>8076</v>
      </c>
      <c r="E9297" s="3">
        <v>0</v>
      </c>
      <c r="F9297" s="2">
        <v>3984</v>
      </c>
      <c r="G9297" s="2">
        <v>99</v>
      </c>
      <c r="H9297" s="2">
        <v>876</v>
      </c>
      <c r="I9297" s="2">
        <v>314</v>
      </c>
      <c r="J9297" s="2">
        <v>2941</v>
      </c>
      <c r="K9297" s="2">
        <v>1</v>
      </c>
      <c r="L9297" s="2">
        <v>876</v>
      </c>
    </row>
    <row r="9298" spans="1:12" x14ac:dyDescent="0.25">
      <c r="A9298" s="4" t="str">
        <f>HYPERLINK("http://www.rosaceae.org/Prunus/Prunus_persica/p.persica_gdr_reftransV1_0047128","p.persica_gdr_reftransV1_0047128")</f>
        <v>p.persica_gdr_reftransV1_0047128</v>
      </c>
      <c r="B9298" s="2">
        <v>1451</v>
      </c>
      <c r="C9298" s="4" t="str">
        <f>HYPERLINK("http://www.uniprot.org/uniprot/M5WTF3","M5WTF3")</f>
        <v>M5WTF3</v>
      </c>
      <c r="D9298" s="2" t="s">
        <v>8077</v>
      </c>
      <c r="E9298" s="3">
        <v>0</v>
      </c>
      <c r="F9298" s="2">
        <v>1403</v>
      </c>
      <c r="G9298" s="2">
        <v>100</v>
      </c>
      <c r="H9298" s="2">
        <v>274</v>
      </c>
      <c r="I9298" s="2">
        <v>490</v>
      </c>
      <c r="J9298" s="2">
        <v>1311</v>
      </c>
      <c r="K9298" s="2">
        <v>14</v>
      </c>
      <c r="L9298" s="2">
        <v>287</v>
      </c>
    </row>
    <row r="9299" spans="1:12" x14ac:dyDescent="0.25">
      <c r="A9299" s="4" t="str">
        <f>HYPERLINK("http://www.rosaceae.org/Prunus/Prunus_persica/p.persica_gdr_reftransV1_0047478","p.persica_gdr_reftransV1_0047478")</f>
        <v>p.persica_gdr_reftransV1_0047478</v>
      </c>
      <c r="B9299" s="2">
        <v>1278</v>
      </c>
      <c r="C9299" s="4" t="str">
        <f>HYPERLINK("http://www.uniprot.org/uniprot/M5XKG8","M5XKG8")</f>
        <v>M5XKG8</v>
      </c>
      <c r="D9299" s="2" t="s">
        <v>8078</v>
      </c>
      <c r="E9299" s="3">
        <v>0</v>
      </c>
      <c r="F9299" s="2">
        <v>1765</v>
      </c>
      <c r="G9299" s="2">
        <v>100</v>
      </c>
      <c r="H9299" s="2">
        <v>331</v>
      </c>
      <c r="I9299" s="2">
        <v>190</v>
      </c>
      <c r="J9299" s="2">
        <v>1182</v>
      </c>
      <c r="K9299" s="2">
        <v>1</v>
      </c>
      <c r="L9299" s="2">
        <v>331</v>
      </c>
    </row>
    <row r="9300" spans="1:12" x14ac:dyDescent="0.25">
      <c r="A9300" s="4" t="str">
        <f>HYPERLINK("http://www.rosaceae.org/Prunus/Prunus_persica/p.persica_gdr_reftransV1_0048178","p.persica_gdr_reftransV1_0048178")</f>
        <v>p.persica_gdr_reftransV1_0048178</v>
      </c>
      <c r="B9300" s="2">
        <v>902</v>
      </c>
      <c r="C9300" s="4" t="str">
        <f>HYPERLINK("http://www.uniprot.org/uniprot/M5XYV9","M5XYV9")</f>
        <v>M5XYV9</v>
      </c>
      <c r="D9300" s="2" t="s">
        <v>8079</v>
      </c>
      <c r="E9300" s="3">
        <v>9.7499999999999996E-116</v>
      </c>
      <c r="F9300" s="2">
        <v>881</v>
      </c>
      <c r="G9300" s="2">
        <v>100</v>
      </c>
      <c r="H9300" s="2">
        <v>198</v>
      </c>
      <c r="I9300" s="2">
        <v>200</v>
      </c>
      <c r="J9300" s="2">
        <v>793</v>
      </c>
      <c r="K9300" s="2">
        <v>1</v>
      </c>
      <c r="L9300" s="2">
        <v>198</v>
      </c>
    </row>
    <row r="9301" spans="1:12" x14ac:dyDescent="0.25">
      <c r="A9301" s="4" t="str">
        <f>HYPERLINK("http://www.rosaceae.org/Prunus/Prunus_persica/p.persica_gdr_reftransV1_0048528","p.persica_gdr_reftransV1_0048528")</f>
        <v>p.persica_gdr_reftransV1_0048528</v>
      </c>
      <c r="B9301" s="2">
        <v>1798</v>
      </c>
      <c r="C9301" s="4" t="str">
        <f>HYPERLINK("http://www.uniprot.org/uniprot/M5W6U5","M5W6U5")</f>
        <v>M5W6U5</v>
      </c>
      <c r="D9301" s="2" t="s">
        <v>8080</v>
      </c>
      <c r="E9301" s="3">
        <v>0</v>
      </c>
      <c r="F9301" s="2">
        <v>2448</v>
      </c>
      <c r="G9301" s="2">
        <v>100</v>
      </c>
      <c r="H9301" s="2">
        <v>564</v>
      </c>
      <c r="I9301" s="2">
        <v>2</v>
      </c>
      <c r="J9301" s="2">
        <v>1693</v>
      </c>
      <c r="K9301" s="2">
        <v>91</v>
      </c>
      <c r="L9301" s="2">
        <v>654</v>
      </c>
    </row>
    <row r="9302" spans="1:12" x14ac:dyDescent="0.25">
      <c r="A9302" s="4" t="str">
        <f>HYPERLINK("http://www.rosaceae.org/Prunus/Prunus_persica/p.persica_gdr_reftransV1_0000229","p.persica_gdr_reftransV1_0000229")</f>
        <v>p.persica_gdr_reftransV1_0000229</v>
      </c>
      <c r="B9302" s="2">
        <v>1931</v>
      </c>
      <c r="C9302" s="4" t="str">
        <f>HYPERLINK("http://www.uniprot.org/uniprot/A0A067H6C5","A0A067H6C5")</f>
        <v>A0A067H6C5</v>
      </c>
      <c r="D9302" s="2" t="s">
        <v>8081</v>
      </c>
      <c r="E9302" s="3">
        <v>3.3599999999999999E-175</v>
      </c>
      <c r="F9302" s="2">
        <v>1318</v>
      </c>
      <c r="G9302" s="2">
        <v>86</v>
      </c>
      <c r="H9302" s="2">
        <v>293</v>
      </c>
      <c r="I9302" s="2">
        <v>223</v>
      </c>
      <c r="J9302" s="2">
        <v>1098</v>
      </c>
      <c r="K9302" s="2">
        <v>1</v>
      </c>
      <c r="L9302" s="2">
        <v>293</v>
      </c>
    </row>
    <row r="9303" spans="1:12" x14ac:dyDescent="0.25">
      <c r="A9303" s="4" t="str">
        <f>HYPERLINK("http://www.rosaceae.org/Prunus/Prunus_persica/p.persica_gdr_reftransV1_0000579","p.persica_gdr_reftransV1_0000579")</f>
        <v>p.persica_gdr_reftransV1_0000579</v>
      </c>
      <c r="B9303" s="2">
        <v>497</v>
      </c>
      <c r="C9303" s="4" t="str">
        <f>HYPERLINK("http://www.uniprot.org/uniprot/M5WAK5","M5WAK5")</f>
        <v>M5WAK5</v>
      </c>
      <c r="D9303" s="2" t="s">
        <v>8082</v>
      </c>
      <c r="E9303" s="3">
        <v>3.4899999999999998E-104</v>
      </c>
      <c r="F9303" s="2">
        <v>793</v>
      </c>
      <c r="G9303" s="2">
        <v>100</v>
      </c>
      <c r="H9303" s="2">
        <v>148</v>
      </c>
      <c r="I9303" s="2">
        <v>2</v>
      </c>
      <c r="J9303" s="2">
        <v>445</v>
      </c>
      <c r="K9303" s="2">
        <v>84</v>
      </c>
      <c r="L9303" s="2">
        <v>231</v>
      </c>
    </row>
    <row r="9304" spans="1:12" x14ac:dyDescent="0.25">
      <c r="A9304" s="4" t="str">
        <f>HYPERLINK("http://www.rosaceae.org/Prunus/Prunus_persica/p.persica_gdr_reftransV1_0001279","p.persica_gdr_reftransV1_0001279")</f>
        <v>p.persica_gdr_reftransV1_0001279</v>
      </c>
      <c r="B9304" s="2">
        <v>1265</v>
      </c>
      <c r="C9304" s="4" t="str">
        <f>HYPERLINK("http://www.uniprot.org/uniprot/A0A072U3G0","A0A072U3G0")</f>
        <v>A0A072U3G0</v>
      </c>
      <c r="D9304" s="2" t="s">
        <v>8083</v>
      </c>
      <c r="E9304" s="3">
        <v>1.1800000000000001E-127</v>
      </c>
      <c r="F9304" s="2">
        <v>1033</v>
      </c>
      <c r="G9304" s="2">
        <v>58</v>
      </c>
      <c r="H9304" s="2">
        <v>333</v>
      </c>
      <c r="I9304" s="2">
        <v>2</v>
      </c>
      <c r="J9304" s="2">
        <v>982</v>
      </c>
      <c r="K9304" s="2">
        <v>39</v>
      </c>
      <c r="L9304" s="2">
        <v>368</v>
      </c>
    </row>
    <row r="9305" spans="1:12" x14ac:dyDescent="0.25">
      <c r="A9305" s="4" t="str">
        <f>HYPERLINK("http://www.rosaceae.org/Prunus/Prunus_persica/p.persica_gdr_reftransV1_0001629","p.persica_gdr_reftransV1_0001629")</f>
        <v>p.persica_gdr_reftransV1_0001629</v>
      </c>
      <c r="B9305" s="2">
        <v>2192</v>
      </c>
      <c r="C9305" s="4" t="str">
        <f>HYPERLINK("http://www.uniprot.org/uniprot/M5WBG7","M5WBG7")</f>
        <v>M5WBG7</v>
      </c>
      <c r="D9305" s="2" t="s">
        <v>6132</v>
      </c>
      <c r="E9305" s="3">
        <v>0</v>
      </c>
      <c r="F9305" s="2">
        <v>2150</v>
      </c>
      <c r="G9305" s="2">
        <v>97</v>
      </c>
      <c r="H9305" s="2">
        <v>487</v>
      </c>
      <c r="I9305" s="2">
        <v>610</v>
      </c>
      <c r="J9305" s="2">
        <v>2070</v>
      </c>
      <c r="K9305" s="2">
        <v>1</v>
      </c>
      <c r="L9305" s="2">
        <v>487</v>
      </c>
    </row>
    <row r="9306" spans="1:12" x14ac:dyDescent="0.25">
      <c r="A9306" s="4" t="str">
        <f>HYPERLINK("http://www.rosaceae.org/Prunus/Prunus_persica/p.persica_gdr_reftransV1_0001979","p.persica_gdr_reftransV1_0001979")</f>
        <v>p.persica_gdr_reftransV1_0001979</v>
      </c>
      <c r="B9306" s="2">
        <v>489</v>
      </c>
      <c r="C9306" s="4" t="str">
        <f>HYPERLINK("http://www.uniprot.org/uniprot/G2RFR1","G2RFR1")</f>
        <v>G2RFR1</v>
      </c>
      <c r="D9306" s="2" t="s">
        <v>8084</v>
      </c>
      <c r="E9306" s="3">
        <v>3.3400000000000001E-59</v>
      </c>
      <c r="F9306" s="2">
        <v>500</v>
      </c>
      <c r="G9306" s="2">
        <v>63</v>
      </c>
      <c r="H9306" s="2">
        <v>160</v>
      </c>
      <c r="I9306" s="2">
        <v>9</v>
      </c>
      <c r="J9306" s="2">
        <v>488</v>
      </c>
      <c r="K9306" s="2">
        <v>27</v>
      </c>
      <c r="L9306" s="2">
        <v>186</v>
      </c>
    </row>
    <row r="9307" spans="1:12" x14ac:dyDescent="0.25">
      <c r="A9307" s="4" t="str">
        <f>HYPERLINK("http://www.rosaceae.org/Prunus/Prunus_persica/p.persica_gdr_reftransV1_0002679","p.persica_gdr_reftransV1_0002679")</f>
        <v>p.persica_gdr_reftransV1_0002679</v>
      </c>
      <c r="B9307" s="2">
        <v>1148</v>
      </c>
      <c r="C9307" s="4" t="str">
        <f>HYPERLINK("http://www.uniprot.org/uniprot/M5WIF4","M5WIF4")</f>
        <v>M5WIF4</v>
      </c>
      <c r="D9307" s="2" t="s">
        <v>8085</v>
      </c>
      <c r="E9307" s="3">
        <v>2.9699999999999999E-123</v>
      </c>
      <c r="F9307" s="2">
        <v>956</v>
      </c>
      <c r="G9307" s="2">
        <v>98</v>
      </c>
      <c r="H9307" s="2">
        <v>186</v>
      </c>
      <c r="I9307" s="2">
        <v>431</v>
      </c>
      <c r="J9307" s="2">
        <v>988</v>
      </c>
      <c r="K9307" s="2">
        <v>186</v>
      </c>
      <c r="L9307" s="2">
        <v>371</v>
      </c>
    </row>
    <row r="9308" spans="1:12" x14ac:dyDescent="0.25">
      <c r="A9308" s="4" t="str">
        <f>HYPERLINK("http://www.rosaceae.org/Prunus/Prunus_persica/p.persica_gdr_reftransV1_0003379","p.persica_gdr_reftransV1_0003379")</f>
        <v>p.persica_gdr_reftransV1_0003379</v>
      </c>
      <c r="B9308" s="2">
        <v>340</v>
      </c>
      <c r="C9308" s="4" t="str">
        <f>HYPERLINK("http://www.uniprot.org/uniprot/M5WS86","M5WS86")</f>
        <v>M5WS86</v>
      </c>
      <c r="D9308" s="2" t="s">
        <v>8086</v>
      </c>
      <c r="E9308" s="3">
        <v>5.7699999999999997E-70</v>
      </c>
      <c r="F9308" s="2">
        <v>598</v>
      </c>
      <c r="G9308" s="2">
        <v>100</v>
      </c>
      <c r="H9308" s="2">
        <v>113</v>
      </c>
      <c r="I9308" s="2">
        <v>1</v>
      </c>
      <c r="J9308" s="2">
        <v>339</v>
      </c>
      <c r="K9308" s="2">
        <v>3</v>
      </c>
      <c r="L9308" s="2">
        <v>115</v>
      </c>
    </row>
    <row r="9309" spans="1:12" x14ac:dyDescent="0.25">
      <c r="A9309" s="4" t="str">
        <f>HYPERLINK("http://www.rosaceae.org/Prunus/Prunus_persica/p.persica_gdr_reftransV1_0003729","p.persica_gdr_reftransV1_0003729")</f>
        <v>p.persica_gdr_reftransV1_0003729</v>
      </c>
      <c r="B9309" s="2">
        <v>1081</v>
      </c>
      <c r="C9309" s="4" t="str">
        <f>HYPERLINK("http://www.uniprot.org/uniprot/M5WTL7","M5WTL7")</f>
        <v>M5WTL7</v>
      </c>
      <c r="D9309" s="2" t="s">
        <v>2507</v>
      </c>
      <c r="E9309" s="3">
        <v>8.0400000000000005E-12</v>
      </c>
      <c r="F9309" s="2">
        <v>185</v>
      </c>
      <c r="G9309" s="2">
        <v>100</v>
      </c>
      <c r="H9309" s="2">
        <v>141</v>
      </c>
      <c r="I9309" s="2">
        <v>478</v>
      </c>
      <c r="J9309" s="2">
        <v>900</v>
      </c>
      <c r="K9309" s="2">
        <v>287</v>
      </c>
      <c r="L9309" s="2">
        <v>427</v>
      </c>
    </row>
    <row r="9310" spans="1:12" x14ac:dyDescent="0.25">
      <c r="A9310" s="4" t="str">
        <f>HYPERLINK("http://www.rosaceae.org/Prunus/Prunus_persica/p.persica_gdr_reftransV1_0004779","p.persica_gdr_reftransV1_0004779")</f>
        <v>p.persica_gdr_reftransV1_0004779</v>
      </c>
      <c r="B9310" s="2">
        <v>2907</v>
      </c>
      <c r="C9310" s="4" t="str">
        <f>HYPERLINK("http://www.uniprot.org/uniprot/M5VNW6","M5VNW6")</f>
        <v>M5VNW6</v>
      </c>
      <c r="D9310" s="2" t="s">
        <v>8087</v>
      </c>
      <c r="E9310" s="3">
        <v>0</v>
      </c>
      <c r="F9310" s="2">
        <v>2771</v>
      </c>
      <c r="G9310" s="2">
        <v>99</v>
      </c>
      <c r="H9310" s="2">
        <v>601</v>
      </c>
      <c r="I9310" s="2">
        <v>869</v>
      </c>
      <c r="J9310" s="2">
        <v>2671</v>
      </c>
      <c r="K9310" s="2">
        <v>1</v>
      </c>
      <c r="L9310" s="2">
        <v>593</v>
      </c>
    </row>
    <row r="9311" spans="1:12" x14ac:dyDescent="0.25">
      <c r="A9311" s="4" t="str">
        <f>HYPERLINK("http://www.rosaceae.org/Prunus/Prunus_persica/p.persica_gdr_reftransV1_0005129","p.persica_gdr_reftransV1_0005129")</f>
        <v>p.persica_gdr_reftransV1_0005129</v>
      </c>
      <c r="B9311" s="2">
        <v>1769</v>
      </c>
      <c r="C9311" s="4" t="str">
        <f>HYPERLINK("http://www.uniprot.org/uniprot/M5XD96","M5XD96")</f>
        <v>M5XD96</v>
      </c>
      <c r="D9311" s="2" t="s">
        <v>8088</v>
      </c>
      <c r="E9311" s="3">
        <v>0</v>
      </c>
      <c r="F9311" s="2">
        <v>972</v>
      </c>
      <c r="G9311" s="2">
        <v>79</v>
      </c>
      <c r="H9311" s="2">
        <v>240</v>
      </c>
      <c r="I9311" s="2">
        <v>395</v>
      </c>
      <c r="J9311" s="2">
        <v>1114</v>
      </c>
      <c r="K9311" s="2">
        <v>149</v>
      </c>
      <c r="L9311" s="2">
        <v>339</v>
      </c>
    </row>
    <row r="9312" spans="1:12" x14ac:dyDescent="0.25">
      <c r="A9312" s="4" t="str">
        <f>HYPERLINK("http://www.rosaceae.org/Prunus/Prunus_persica/p.persica_gdr_reftransV1_0005479","p.persica_gdr_reftransV1_0005479")</f>
        <v>p.persica_gdr_reftransV1_0005479</v>
      </c>
      <c r="B9312" s="2">
        <v>4317</v>
      </c>
      <c r="C9312" s="4" t="str">
        <f>HYPERLINK("http://www.uniprot.org/uniprot/M5W849","M5W849")</f>
        <v>M5W849</v>
      </c>
      <c r="D9312" s="2" t="s">
        <v>8089</v>
      </c>
      <c r="E9312" s="3">
        <v>0</v>
      </c>
      <c r="F9312" s="2">
        <v>6031</v>
      </c>
      <c r="G9312" s="2">
        <v>100</v>
      </c>
      <c r="H9312" s="2">
        <v>1268</v>
      </c>
      <c r="I9312" s="2">
        <v>256</v>
      </c>
      <c r="J9312" s="2">
        <v>4059</v>
      </c>
      <c r="K9312" s="2">
        <v>1</v>
      </c>
      <c r="L9312" s="2">
        <v>1268</v>
      </c>
    </row>
    <row r="9313" spans="1:12" x14ac:dyDescent="0.25">
      <c r="A9313" s="4" t="str">
        <f>HYPERLINK("http://www.rosaceae.org/Prunus/Prunus_persica/p.persica_gdr_reftransV1_0006179","p.persica_gdr_reftransV1_0006179")</f>
        <v>p.persica_gdr_reftransV1_0006179</v>
      </c>
      <c r="B9313" s="2">
        <v>426</v>
      </c>
      <c r="C9313" s="4" t="str">
        <f>HYPERLINK("http://www.uniprot.org/uniprot/M5WLI1","M5WLI1")</f>
        <v>M5WLI1</v>
      </c>
      <c r="D9313" s="2" t="s">
        <v>8090</v>
      </c>
      <c r="E9313" s="3">
        <v>3.35E-82</v>
      </c>
      <c r="F9313" s="2">
        <v>651</v>
      </c>
      <c r="G9313" s="2">
        <v>100</v>
      </c>
      <c r="H9313" s="2">
        <v>121</v>
      </c>
      <c r="I9313" s="2">
        <v>1</v>
      </c>
      <c r="J9313" s="2">
        <v>363</v>
      </c>
      <c r="K9313" s="2">
        <v>178</v>
      </c>
      <c r="L9313" s="2">
        <v>298</v>
      </c>
    </row>
    <row r="9314" spans="1:12" x14ac:dyDescent="0.25">
      <c r="A9314" s="4" t="str">
        <f>HYPERLINK("http://www.rosaceae.org/Prunus/Prunus_persica/p.persica_gdr_reftransV1_0006529","p.persica_gdr_reftransV1_0006529")</f>
        <v>p.persica_gdr_reftransV1_0006529</v>
      </c>
      <c r="B9314" s="2">
        <v>679</v>
      </c>
      <c r="C9314" s="4" t="str">
        <f>HYPERLINK("http://www.uniprot.org/uniprot/M5WZU0","M5WZU0")</f>
        <v>M5WZU0</v>
      </c>
      <c r="D9314" s="2" t="s">
        <v>98</v>
      </c>
      <c r="E9314" s="3">
        <v>2.1100000000000001E-72</v>
      </c>
      <c r="F9314" s="2">
        <v>567</v>
      </c>
      <c r="G9314" s="2">
        <v>100</v>
      </c>
      <c r="H9314" s="2">
        <v>107</v>
      </c>
      <c r="I9314" s="2">
        <v>3</v>
      </c>
      <c r="J9314" s="2">
        <v>323</v>
      </c>
      <c r="K9314" s="2">
        <v>316</v>
      </c>
      <c r="L9314" s="2">
        <v>422</v>
      </c>
    </row>
    <row r="9315" spans="1:12" x14ac:dyDescent="0.25">
      <c r="A9315" s="4" t="str">
        <f>HYPERLINK("http://www.rosaceae.org/Prunus/Prunus_persica/p.persica_gdr_reftransV1_0006879","p.persica_gdr_reftransV1_0006879")</f>
        <v>p.persica_gdr_reftransV1_0006879</v>
      </c>
      <c r="B9315" s="2">
        <v>1157</v>
      </c>
      <c r="C9315" s="4" t="str">
        <f>HYPERLINK("http://www.uniprot.org/uniprot/M5X859","M5X859")</f>
        <v>M5X859</v>
      </c>
      <c r="D9315" s="2" t="s">
        <v>8091</v>
      </c>
      <c r="E9315" s="3">
        <v>0</v>
      </c>
      <c r="F9315" s="2">
        <v>1573</v>
      </c>
      <c r="G9315" s="2">
        <v>100</v>
      </c>
      <c r="H9315" s="2">
        <v>296</v>
      </c>
      <c r="I9315" s="2">
        <v>3</v>
      </c>
      <c r="J9315" s="2">
        <v>890</v>
      </c>
      <c r="K9315" s="2">
        <v>134</v>
      </c>
      <c r="L9315" s="2">
        <v>429</v>
      </c>
    </row>
    <row r="9316" spans="1:12" x14ac:dyDescent="0.25">
      <c r="A9316" s="4" t="str">
        <f>HYPERLINK("http://www.rosaceae.org/Prunus/Prunus_persica/p.persica_gdr_reftransV1_0007579","p.persica_gdr_reftransV1_0007579")</f>
        <v>p.persica_gdr_reftransV1_0007579</v>
      </c>
      <c r="B9316" s="2">
        <v>1332</v>
      </c>
      <c r="C9316" s="4" t="str">
        <f>HYPERLINK("http://www.uniprot.org/uniprot/M5WHU2","M5WHU2")</f>
        <v>M5WHU2</v>
      </c>
      <c r="D9316" s="2" t="s">
        <v>8092</v>
      </c>
      <c r="E9316" s="3">
        <v>0</v>
      </c>
      <c r="F9316" s="2">
        <v>1529</v>
      </c>
      <c r="G9316" s="2">
        <v>100</v>
      </c>
      <c r="H9316" s="2">
        <v>316</v>
      </c>
      <c r="I9316" s="2">
        <v>149</v>
      </c>
      <c r="J9316" s="2">
        <v>1096</v>
      </c>
      <c r="K9316" s="2">
        <v>1</v>
      </c>
      <c r="L9316" s="2">
        <v>316</v>
      </c>
    </row>
    <row r="9317" spans="1:12" x14ac:dyDescent="0.25">
      <c r="A9317" s="4" t="str">
        <f>HYPERLINK("http://www.rosaceae.org/Prunus/Prunus_persica/p.persica_gdr_reftransV1_0008279","p.persica_gdr_reftransV1_0008279")</f>
        <v>p.persica_gdr_reftransV1_0008279</v>
      </c>
      <c r="B9317" s="2">
        <v>741</v>
      </c>
      <c r="C9317" s="4" t="str">
        <f>HYPERLINK("http://www.uniprot.org/uniprot/M5W7X0","M5W7X0")</f>
        <v>M5W7X0</v>
      </c>
      <c r="D9317" s="2" t="s">
        <v>8093</v>
      </c>
      <c r="E9317" s="3">
        <v>2.21E-179</v>
      </c>
      <c r="F9317" s="2">
        <v>1310</v>
      </c>
      <c r="G9317" s="2">
        <v>100</v>
      </c>
      <c r="H9317" s="2">
        <v>246</v>
      </c>
      <c r="I9317" s="2">
        <v>3</v>
      </c>
      <c r="J9317" s="2">
        <v>740</v>
      </c>
      <c r="K9317" s="2">
        <v>38</v>
      </c>
      <c r="L9317" s="2">
        <v>283</v>
      </c>
    </row>
    <row r="9318" spans="1:12" x14ac:dyDescent="0.25">
      <c r="A9318" s="4" t="str">
        <f>HYPERLINK("http://www.rosaceae.org/Prunus/Prunus_persica/p.persica_gdr_reftransV1_0008629","p.persica_gdr_reftransV1_0008629")</f>
        <v>p.persica_gdr_reftransV1_0008629</v>
      </c>
      <c r="B9318" s="2">
        <v>1155</v>
      </c>
      <c r="C9318" s="4" t="str">
        <f>HYPERLINK("http://www.uniprot.org/uniprot/M5W3R7","M5W3R7")</f>
        <v>M5W3R7</v>
      </c>
      <c r="D9318" s="2" t="s">
        <v>8094</v>
      </c>
      <c r="E9318" s="3">
        <v>1.7999999999999999E-81</v>
      </c>
      <c r="F9318" s="2">
        <v>658</v>
      </c>
      <c r="G9318" s="2">
        <v>100</v>
      </c>
      <c r="H9318" s="2">
        <v>158</v>
      </c>
      <c r="I9318" s="2">
        <v>311</v>
      </c>
      <c r="J9318" s="2">
        <v>784</v>
      </c>
      <c r="K9318" s="2">
        <v>1</v>
      </c>
      <c r="L9318" s="2">
        <v>158</v>
      </c>
    </row>
    <row r="9319" spans="1:12" x14ac:dyDescent="0.25">
      <c r="A9319" s="4" t="str">
        <f>HYPERLINK("http://www.rosaceae.org/Prunus/Prunus_persica/p.persica_gdr_reftransV1_0009329","p.persica_gdr_reftransV1_0009329")</f>
        <v>p.persica_gdr_reftransV1_0009329</v>
      </c>
      <c r="B9319" s="2">
        <v>996</v>
      </c>
      <c r="C9319" s="4" t="str">
        <f>HYPERLINK("http://www.uniprot.org/uniprot/M5WP12","M5WP12")</f>
        <v>M5WP12</v>
      </c>
      <c r="D9319" s="2" t="s">
        <v>8095</v>
      </c>
      <c r="E9319" s="3">
        <v>2.3E-108</v>
      </c>
      <c r="F9319" s="2">
        <v>843</v>
      </c>
      <c r="G9319" s="2">
        <v>77</v>
      </c>
      <c r="H9319" s="2">
        <v>210</v>
      </c>
      <c r="I9319" s="2">
        <v>296</v>
      </c>
      <c r="J9319" s="2">
        <v>925</v>
      </c>
      <c r="K9319" s="2">
        <v>19</v>
      </c>
      <c r="L9319" s="2">
        <v>227</v>
      </c>
    </row>
    <row r="9320" spans="1:12" x14ac:dyDescent="0.25">
      <c r="A9320" s="4" t="str">
        <f>HYPERLINK("http://www.rosaceae.org/Prunus/Prunus_persica/p.persica_gdr_reftransV1_0010729","p.persica_gdr_reftransV1_0010729")</f>
        <v>p.persica_gdr_reftransV1_0010729</v>
      </c>
      <c r="B9320" s="2">
        <v>1860</v>
      </c>
      <c r="C9320" s="4" t="str">
        <f>HYPERLINK("http://www.uniprot.org/uniprot/M5WS20","M5WS20")</f>
        <v>M5WS20</v>
      </c>
      <c r="D9320" s="2" t="s">
        <v>8096</v>
      </c>
      <c r="E9320" s="3">
        <v>0</v>
      </c>
      <c r="F9320" s="2">
        <v>1655</v>
      </c>
      <c r="G9320" s="2">
        <v>100</v>
      </c>
      <c r="H9320" s="2">
        <v>313</v>
      </c>
      <c r="I9320" s="2">
        <v>474</v>
      </c>
      <c r="J9320" s="2">
        <v>1412</v>
      </c>
      <c r="K9320" s="2">
        <v>123</v>
      </c>
      <c r="L9320" s="2">
        <v>435</v>
      </c>
    </row>
    <row r="9321" spans="1:12" x14ac:dyDescent="0.25">
      <c r="A9321" s="4" t="str">
        <f>HYPERLINK("http://www.rosaceae.org/Prunus/Prunus_persica/p.persica_gdr_reftransV1_0011429","p.persica_gdr_reftransV1_0011429")</f>
        <v>p.persica_gdr_reftransV1_0011429</v>
      </c>
      <c r="B9321" s="2">
        <v>2214</v>
      </c>
      <c r="C9321" s="4" t="str">
        <f>HYPERLINK("http://www.uniprot.org/uniprot/M5XWD5","M5XWD5")</f>
        <v>M5XWD5</v>
      </c>
      <c r="D9321" s="2" t="s">
        <v>8097</v>
      </c>
      <c r="E9321" s="3">
        <v>0</v>
      </c>
      <c r="F9321" s="2">
        <v>2977</v>
      </c>
      <c r="G9321" s="2">
        <v>100</v>
      </c>
      <c r="H9321" s="2">
        <v>585</v>
      </c>
      <c r="I9321" s="2">
        <v>55</v>
      </c>
      <c r="J9321" s="2">
        <v>1809</v>
      </c>
      <c r="K9321" s="2">
        <v>1</v>
      </c>
      <c r="L9321" s="2">
        <v>585</v>
      </c>
    </row>
    <row r="9322" spans="1:12" x14ac:dyDescent="0.25">
      <c r="A9322" s="4" t="str">
        <f>HYPERLINK("http://www.rosaceae.org/Prunus/Prunus_persica/p.persica_gdr_reftransV1_0012829","p.persica_gdr_reftransV1_0012829")</f>
        <v>p.persica_gdr_reftransV1_0012829</v>
      </c>
      <c r="B9322" s="2">
        <v>1547</v>
      </c>
      <c r="C9322" s="4" t="str">
        <f>HYPERLINK("http://www.uniprot.org/uniprot/M5VQG1","M5VQG1")</f>
        <v>M5VQG1</v>
      </c>
      <c r="D9322" s="2" t="s">
        <v>8098</v>
      </c>
      <c r="E9322" s="3">
        <v>0</v>
      </c>
      <c r="F9322" s="2">
        <v>1356</v>
      </c>
      <c r="G9322" s="2">
        <v>97</v>
      </c>
      <c r="H9322" s="2">
        <v>274</v>
      </c>
      <c r="I9322" s="2">
        <v>588</v>
      </c>
      <c r="J9322" s="2">
        <v>1409</v>
      </c>
      <c r="K9322" s="2">
        <v>1</v>
      </c>
      <c r="L9322" s="2">
        <v>272</v>
      </c>
    </row>
    <row r="9323" spans="1:12" x14ac:dyDescent="0.25">
      <c r="A9323" s="4" t="str">
        <f>HYPERLINK("http://www.rosaceae.org/Prunus/Prunus_persica/p.persica_gdr_reftransV1_0013529","p.persica_gdr_reftransV1_0013529")</f>
        <v>p.persica_gdr_reftransV1_0013529</v>
      </c>
      <c r="B9323" s="2">
        <v>2329</v>
      </c>
      <c r="C9323" s="4" t="str">
        <f>HYPERLINK("http://www.uniprot.org/uniprot/M5WUH7","M5WUH7")</f>
        <v>M5WUH7</v>
      </c>
      <c r="D9323" s="2" t="s">
        <v>8099</v>
      </c>
      <c r="E9323" s="3">
        <v>0</v>
      </c>
      <c r="F9323" s="2">
        <v>2833</v>
      </c>
      <c r="G9323" s="2">
        <v>100</v>
      </c>
      <c r="H9323" s="2">
        <v>531</v>
      </c>
      <c r="I9323" s="2">
        <v>538</v>
      </c>
      <c r="J9323" s="2">
        <v>2130</v>
      </c>
      <c r="K9323" s="2">
        <v>1</v>
      </c>
      <c r="L9323" s="2">
        <v>531</v>
      </c>
    </row>
    <row r="9324" spans="1:12" x14ac:dyDescent="0.25">
      <c r="A9324" s="4" t="str">
        <f>HYPERLINK("http://www.rosaceae.org/Prunus/Prunus_persica/p.persica_gdr_reftransV1_0014579","p.persica_gdr_reftransV1_0014579")</f>
        <v>p.persica_gdr_reftransV1_0014579</v>
      </c>
      <c r="B9324" s="2">
        <v>647</v>
      </c>
      <c r="C9324" s="4" t="str">
        <f>HYPERLINK("http://www.uniprot.org/uniprot/M5W5N4","M5W5N4")</f>
        <v>M5W5N4</v>
      </c>
      <c r="D9324" s="2" t="s">
        <v>4467</v>
      </c>
      <c r="E9324" s="3">
        <v>1.9700000000000001E-107</v>
      </c>
      <c r="F9324" s="2">
        <v>883</v>
      </c>
      <c r="G9324" s="2">
        <v>100</v>
      </c>
      <c r="H9324" s="2">
        <v>215</v>
      </c>
      <c r="I9324" s="2">
        <v>1</v>
      </c>
      <c r="J9324" s="2">
        <v>645</v>
      </c>
      <c r="K9324" s="2">
        <v>265</v>
      </c>
      <c r="L9324" s="2">
        <v>479</v>
      </c>
    </row>
    <row r="9325" spans="1:12" x14ac:dyDescent="0.25">
      <c r="A9325" s="4" t="str">
        <f>HYPERLINK("http://www.rosaceae.org/Prunus/Prunus_persica/p.persica_gdr_reftransV1_0014929","p.persica_gdr_reftransV1_0014929")</f>
        <v>p.persica_gdr_reftransV1_0014929</v>
      </c>
      <c r="B9325" s="2">
        <v>2477</v>
      </c>
      <c r="C9325" s="4" t="str">
        <f>HYPERLINK("http://www.uniprot.org/uniprot/M5VNT3","M5VNT3")</f>
        <v>M5VNT3</v>
      </c>
      <c r="D9325" s="2" t="s">
        <v>8100</v>
      </c>
      <c r="E9325" s="3">
        <v>0</v>
      </c>
      <c r="F9325" s="2">
        <v>1585</v>
      </c>
      <c r="G9325" s="2">
        <v>99</v>
      </c>
      <c r="H9325" s="2">
        <v>379</v>
      </c>
      <c r="I9325" s="2">
        <v>346</v>
      </c>
      <c r="J9325" s="2">
        <v>1482</v>
      </c>
      <c r="K9325" s="2">
        <v>1</v>
      </c>
      <c r="L9325" s="2">
        <v>379</v>
      </c>
    </row>
    <row r="9326" spans="1:12" x14ac:dyDescent="0.25">
      <c r="A9326" s="4" t="str">
        <f>HYPERLINK("http://www.rosaceae.org/Prunus/Prunus_persica/p.persica_gdr_reftransV1_0015629","p.persica_gdr_reftransV1_0015629")</f>
        <v>p.persica_gdr_reftransV1_0015629</v>
      </c>
      <c r="B9326" s="2">
        <v>1324</v>
      </c>
      <c r="C9326" s="4" t="str">
        <f>HYPERLINK("http://www.uniprot.org/uniprot/A0A087PQ99","A0A087PQ99")</f>
        <v>A0A087PQ99</v>
      </c>
      <c r="D9326" s="2" t="s">
        <v>2781</v>
      </c>
      <c r="E9326" s="3">
        <v>2.7599999999999998E-79</v>
      </c>
      <c r="F9326" s="2">
        <v>710</v>
      </c>
      <c r="G9326" s="2">
        <v>53</v>
      </c>
      <c r="H9326" s="2">
        <v>296</v>
      </c>
      <c r="I9326" s="2">
        <v>474</v>
      </c>
      <c r="J9326" s="2">
        <v>1322</v>
      </c>
      <c r="K9326" s="2">
        <v>160</v>
      </c>
      <c r="L9326" s="2">
        <v>448</v>
      </c>
    </row>
    <row r="9327" spans="1:12" x14ac:dyDescent="0.25">
      <c r="A9327" s="4" t="str">
        <f>HYPERLINK("http://www.rosaceae.org/Prunus/Prunus_persica/p.persica_gdr_reftransV1_0016329","p.persica_gdr_reftransV1_0016329")</f>
        <v>p.persica_gdr_reftransV1_0016329</v>
      </c>
      <c r="B9327" s="2">
        <v>3043</v>
      </c>
      <c r="C9327" s="4" t="str">
        <f>HYPERLINK("http://www.uniprot.org/uniprot/M5WQY4","M5WQY4")</f>
        <v>M5WQY4</v>
      </c>
      <c r="D9327" s="2" t="s">
        <v>8101</v>
      </c>
      <c r="E9327" s="3">
        <v>0</v>
      </c>
      <c r="F9327" s="2">
        <v>2984</v>
      </c>
      <c r="G9327" s="2">
        <v>100</v>
      </c>
      <c r="H9327" s="2">
        <v>594</v>
      </c>
      <c r="I9327" s="2">
        <v>340</v>
      </c>
      <c r="J9327" s="2">
        <v>2121</v>
      </c>
      <c r="K9327" s="2">
        <v>1</v>
      </c>
      <c r="L9327" s="2">
        <v>594</v>
      </c>
    </row>
    <row r="9328" spans="1:12" x14ac:dyDescent="0.25">
      <c r="A9328" s="4" t="str">
        <f>HYPERLINK("http://www.rosaceae.org/Prunus/Prunus_persica/p.persica_gdr_reftransV1_0017029","p.persica_gdr_reftransV1_0017029")</f>
        <v>p.persica_gdr_reftransV1_0017029</v>
      </c>
      <c r="B9328" s="2">
        <v>2033</v>
      </c>
      <c r="C9328" s="4" t="str">
        <f>HYPERLINK("http://www.uniprot.org/uniprot/M5VM18","M5VM18")</f>
        <v>M5VM18</v>
      </c>
      <c r="D9328" s="2" t="s">
        <v>8102</v>
      </c>
      <c r="E9328" s="3">
        <v>0</v>
      </c>
      <c r="F9328" s="2">
        <v>2044</v>
      </c>
      <c r="G9328" s="2">
        <v>100</v>
      </c>
      <c r="H9328" s="2">
        <v>444</v>
      </c>
      <c r="I9328" s="2">
        <v>289</v>
      </c>
      <c r="J9328" s="2">
        <v>1620</v>
      </c>
      <c r="K9328" s="2">
        <v>21</v>
      </c>
      <c r="L9328" s="2">
        <v>464</v>
      </c>
    </row>
    <row r="9329" spans="1:12" x14ac:dyDescent="0.25">
      <c r="A9329" s="4" t="str">
        <f>HYPERLINK("http://www.rosaceae.org/Prunus/Prunus_persica/p.persica_gdr_reftransV1_0017729","p.persica_gdr_reftransV1_0017729")</f>
        <v>p.persica_gdr_reftransV1_0017729</v>
      </c>
      <c r="B9329" s="2">
        <v>1361</v>
      </c>
      <c r="C9329" s="4" t="str">
        <f>HYPERLINK("http://www.uniprot.org/uniprot/M5WK28","M5WK28")</f>
        <v>M5WK28</v>
      </c>
      <c r="D9329" s="2" t="s">
        <v>8103</v>
      </c>
      <c r="E9329" s="3">
        <v>0</v>
      </c>
      <c r="F9329" s="2">
        <v>1703</v>
      </c>
      <c r="G9329" s="2">
        <v>100</v>
      </c>
      <c r="H9329" s="2">
        <v>345</v>
      </c>
      <c r="I9329" s="2">
        <v>138</v>
      </c>
      <c r="J9329" s="2">
        <v>1172</v>
      </c>
      <c r="K9329" s="2">
        <v>1</v>
      </c>
      <c r="L9329" s="2">
        <v>345</v>
      </c>
    </row>
    <row r="9330" spans="1:12" x14ac:dyDescent="0.25">
      <c r="A9330" s="4" t="str">
        <f>HYPERLINK("http://www.rosaceae.org/Prunus/Prunus_persica/p.persica_gdr_reftransV1_0018429","p.persica_gdr_reftransV1_0018429")</f>
        <v>p.persica_gdr_reftransV1_0018429</v>
      </c>
      <c r="B9330" s="2">
        <v>683</v>
      </c>
      <c r="C9330" s="4" t="str">
        <f>HYPERLINK("http://www.uniprot.org/uniprot/M5VMW0","M5VMW0")</f>
        <v>M5VMW0</v>
      </c>
      <c r="D9330" s="2" t="s">
        <v>8104</v>
      </c>
      <c r="E9330" s="3">
        <v>3.66E-75</v>
      </c>
      <c r="F9330" s="2">
        <v>599</v>
      </c>
      <c r="G9330" s="2">
        <v>100</v>
      </c>
      <c r="H9330" s="2">
        <v>138</v>
      </c>
      <c r="I9330" s="2">
        <v>186</v>
      </c>
      <c r="J9330" s="2">
        <v>599</v>
      </c>
      <c r="K9330" s="2">
        <v>1</v>
      </c>
      <c r="L9330" s="2">
        <v>138</v>
      </c>
    </row>
    <row r="9331" spans="1:12" x14ac:dyDescent="0.25">
      <c r="A9331" s="4" t="str">
        <f>HYPERLINK("http://www.rosaceae.org/Prunus/Prunus_persica/p.persica_gdr_reftransV1_0018779","p.persica_gdr_reftransV1_0018779")</f>
        <v>p.persica_gdr_reftransV1_0018779</v>
      </c>
      <c r="B9331" s="2">
        <v>826</v>
      </c>
      <c r="C9331" s="4" t="str">
        <f>HYPERLINK("http://www.uniprot.org/uniprot/M5VJA6","M5VJA6")</f>
        <v>M5VJA6</v>
      </c>
      <c r="D9331" s="2" t="s">
        <v>4286</v>
      </c>
      <c r="E9331" s="3">
        <v>2.5799999999999999E-67</v>
      </c>
      <c r="F9331" s="2">
        <v>602</v>
      </c>
      <c r="G9331" s="2">
        <v>100</v>
      </c>
      <c r="H9331" s="2">
        <v>111</v>
      </c>
      <c r="I9331" s="2">
        <v>3</v>
      </c>
      <c r="J9331" s="2">
        <v>335</v>
      </c>
      <c r="K9331" s="2">
        <v>75</v>
      </c>
      <c r="L9331" s="2">
        <v>185</v>
      </c>
    </row>
    <row r="9332" spans="1:12" x14ac:dyDescent="0.25">
      <c r="A9332" s="4" t="str">
        <f>HYPERLINK("http://www.rosaceae.org/Prunus/Prunus_persica/p.persica_gdr_reftransV1_0019129","p.persica_gdr_reftransV1_0019129")</f>
        <v>p.persica_gdr_reftransV1_0019129</v>
      </c>
      <c r="B9332" s="2">
        <v>1795</v>
      </c>
      <c r="C9332" s="4" t="str">
        <f>HYPERLINK("http://www.uniprot.org/uniprot/M5X2K5","M5X2K5")</f>
        <v>M5X2K5</v>
      </c>
      <c r="D9332" s="2" t="s">
        <v>8105</v>
      </c>
      <c r="E9332" s="3">
        <v>0</v>
      </c>
      <c r="F9332" s="2">
        <v>2522</v>
      </c>
      <c r="G9332" s="2">
        <v>100</v>
      </c>
      <c r="H9332" s="2">
        <v>497</v>
      </c>
      <c r="I9332" s="2">
        <v>2</v>
      </c>
      <c r="J9332" s="2">
        <v>1492</v>
      </c>
      <c r="K9332" s="2">
        <v>1</v>
      </c>
      <c r="L9332" s="2">
        <v>497</v>
      </c>
    </row>
    <row r="9333" spans="1:12" x14ac:dyDescent="0.25">
      <c r="A9333" s="4" t="str">
        <f>HYPERLINK("http://www.rosaceae.org/Prunus/Prunus_persica/p.persica_gdr_reftransV1_0019829","p.persica_gdr_reftransV1_0019829")</f>
        <v>p.persica_gdr_reftransV1_0019829</v>
      </c>
      <c r="B9333" s="2">
        <v>3038</v>
      </c>
      <c r="C9333" s="4" t="str">
        <f>HYPERLINK("http://www.uniprot.org/uniprot/M5W416","M5W416")</f>
        <v>M5W416</v>
      </c>
      <c r="D9333" s="2" t="s">
        <v>5881</v>
      </c>
      <c r="E9333" s="3">
        <v>0</v>
      </c>
      <c r="F9333" s="2">
        <v>3478</v>
      </c>
      <c r="G9333" s="2">
        <v>96</v>
      </c>
      <c r="H9333" s="2">
        <v>772</v>
      </c>
      <c r="I9333" s="2">
        <v>721</v>
      </c>
      <c r="J9333" s="2">
        <v>3036</v>
      </c>
      <c r="K9333" s="2">
        <v>213</v>
      </c>
      <c r="L9333" s="2">
        <v>984</v>
      </c>
    </row>
    <row r="9334" spans="1:12" x14ac:dyDescent="0.25">
      <c r="A9334" s="4" t="str">
        <f>HYPERLINK("http://www.rosaceae.org/Prunus/Prunus_persica/p.persica_gdr_reftransV1_0020179","p.persica_gdr_reftransV1_0020179")</f>
        <v>p.persica_gdr_reftransV1_0020179</v>
      </c>
      <c r="B9334" s="2">
        <v>3569</v>
      </c>
      <c r="C9334" s="4" t="str">
        <f>HYPERLINK("http://www.uniprot.org/uniprot/M5XTJ1","M5XTJ1")</f>
        <v>M5XTJ1</v>
      </c>
      <c r="D9334" s="2" t="s">
        <v>5388</v>
      </c>
      <c r="E9334" s="3">
        <v>0</v>
      </c>
      <c r="F9334" s="2">
        <v>2031</v>
      </c>
      <c r="G9334" s="2">
        <v>100</v>
      </c>
      <c r="H9334" s="2">
        <v>404</v>
      </c>
      <c r="I9334" s="2">
        <v>1976</v>
      </c>
      <c r="J9334" s="2">
        <v>3187</v>
      </c>
      <c r="K9334" s="2">
        <v>303</v>
      </c>
      <c r="L9334" s="2">
        <v>706</v>
      </c>
    </row>
    <row r="9335" spans="1:12" x14ac:dyDescent="0.25">
      <c r="A9335" s="4" t="str">
        <f>HYPERLINK("http://www.rosaceae.org/Prunus/Prunus_persica/p.persica_gdr_reftransV1_0020529","p.persica_gdr_reftransV1_0020529")</f>
        <v>p.persica_gdr_reftransV1_0020529</v>
      </c>
      <c r="B9335" s="2">
        <v>1904</v>
      </c>
      <c r="C9335" s="4" t="str">
        <f>HYPERLINK("http://www.uniprot.org/uniprot/M5XCG9","M5XCG9")</f>
        <v>M5XCG9</v>
      </c>
      <c r="D9335" s="2" t="s">
        <v>8106</v>
      </c>
      <c r="E9335" s="3">
        <v>0</v>
      </c>
      <c r="F9335" s="2">
        <v>2233</v>
      </c>
      <c r="G9335" s="2">
        <v>100</v>
      </c>
      <c r="H9335" s="2">
        <v>443</v>
      </c>
      <c r="I9335" s="2">
        <v>305</v>
      </c>
      <c r="J9335" s="2">
        <v>1633</v>
      </c>
      <c r="K9335" s="2">
        <v>1</v>
      </c>
      <c r="L9335" s="2">
        <v>443</v>
      </c>
    </row>
    <row r="9336" spans="1:12" x14ac:dyDescent="0.25">
      <c r="A9336" s="4" t="str">
        <f>HYPERLINK("http://www.rosaceae.org/Prunus/Prunus_persica/p.persica_gdr_reftransV1_0021229","p.persica_gdr_reftransV1_0021229")</f>
        <v>p.persica_gdr_reftransV1_0021229</v>
      </c>
      <c r="B9336" s="2">
        <v>1540</v>
      </c>
      <c r="C9336" s="4" t="str">
        <f>HYPERLINK("http://www.uniprot.org/uniprot/E0CQT4","E0CQT4")</f>
        <v>E0CQT4</v>
      </c>
      <c r="D9336" s="2" t="s">
        <v>8107</v>
      </c>
      <c r="E9336" s="3">
        <v>1.08E-151</v>
      </c>
      <c r="F9336" s="2">
        <v>1158</v>
      </c>
      <c r="G9336" s="2">
        <v>78</v>
      </c>
      <c r="H9336" s="2">
        <v>310</v>
      </c>
      <c r="I9336" s="2">
        <v>3</v>
      </c>
      <c r="J9336" s="2">
        <v>932</v>
      </c>
      <c r="K9336" s="2">
        <v>109</v>
      </c>
      <c r="L9336" s="2">
        <v>370</v>
      </c>
    </row>
    <row r="9337" spans="1:12" x14ac:dyDescent="0.25">
      <c r="A9337" s="4" t="str">
        <f>HYPERLINK("http://www.rosaceae.org/Prunus/Prunus_persica/p.persica_gdr_reftransV1_0021929","p.persica_gdr_reftransV1_0021929")</f>
        <v>p.persica_gdr_reftransV1_0021929</v>
      </c>
      <c r="B9337" s="2">
        <v>2429</v>
      </c>
      <c r="C9337" s="4" t="str">
        <f>HYPERLINK("http://www.uniprot.org/uniprot/M5WBD5","M5WBD5")</f>
        <v>M5WBD5</v>
      </c>
      <c r="D9337" s="2" t="s">
        <v>8108</v>
      </c>
      <c r="E9337" s="3">
        <v>1.7300000000000001E-124</v>
      </c>
      <c r="F9337" s="2">
        <v>1002</v>
      </c>
      <c r="G9337" s="2">
        <v>100</v>
      </c>
      <c r="H9337" s="2">
        <v>185</v>
      </c>
      <c r="I9337" s="2">
        <v>1376</v>
      </c>
      <c r="J9337" s="2">
        <v>1930</v>
      </c>
      <c r="K9337" s="2">
        <v>189</v>
      </c>
      <c r="L9337" s="2">
        <v>373</v>
      </c>
    </row>
    <row r="9338" spans="1:12" x14ac:dyDescent="0.25">
      <c r="A9338" s="4" t="str">
        <f>HYPERLINK("http://www.rosaceae.org/Prunus/Prunus_persica/p.persica_gdr_reftransV1_0022279","p.persica_gdr_reftransV1_0022279")</f>
        <v>p.persica_gdr_reftransV1_0022279</v>
      </c>
      <c r="B9338" s="2">
        <v>1383</v>
      </c>
      <c r="C9338" s="4" t="str">
        <f>HYPERLINK("http://www.uniprot.org/uniprot/M5XEA0","M5XEA0")</f>
        <v>M5XEA0</v>
      </c>
      <c r="D9338" s="2" t="s">
        <v>8109</v>
      </c>
      <c r="E9338" s="3">
        <v>6.2400000000000003E-70</v>
      </c>
      <c r="F9338" s="2">
        <v>583</v>
      </c>
      <c r="G9338" s="2">
        <v>100</v>
      </c>
      <c r="H9338" s="2">
        <v>108</v>
      </c>
      <c r="I9338" s="2">
        <v>722</v>
      </c>
      <c r="J9338" s="2">
        <v>1045</v>
      </c>
      <c r="K9338" s="2">
        <v>1</v>
      </c>
      <c r="L9338" s="2">
        <v>108</v>
      </c>
    </row>
    <row r="9339" spans="1:12" x14ac:dyDescent="0.25">
      <c r="A9339" s="4" t="str">
        <f>HYPERLINK("http://www.rosaceae.org/Prunus/Prunus_persica/p.persica_gdr_reftransV1_0027179","p.persica_gdr_reftransV1_0027179")</f>
        <v>p.persica_gdr_reftransV1_0027179</v>
      </c>
      <c r="B9339" s="2">
        <v>580</v>
      </c>
      <c r="C9339" s="4" t="str">
        <f>HYPERLINK("http://www.uniprot.org/uniprot/M5WEV1","M5WEV1")</f>
        <v>M5WEV1</v>
      </c>
      <c r="D9339" s="2" t="s">
        <v>4773</v>
      </c>
      <c r="E9339" s="3">
        <v>6.2699999999999994E-82</v>
      </c>
      <c r="F9339" s="2">
        <v>660</v>
      </c>
      <c r="G9339" s="2">
        <v>87</v>
      </c>
      <c r="H9339" s="2">
        <v>150</v>
      </c>
      <c r="I9339" s="2">
        <v>1</v>
      </c>
      <c r="J9339" s="2">
        <v>450</v>
      </c>
      <c r="K9339" s="2">
        <v>218</v>
      </c>
      <c r="L9339" s="2">
        <v>349</v>
      </c>
    </row>
    <row r="9340" spans="1:12" x14ac:dyDescent="0.25">
      <c r="A9340" s="4" t="str">
        <f>HYPERLINK("http://www.rosaceae.org/Prunus/Prunus_persica/p.persica_gdr_reftransV1_0027879","p.persica_gdr_reftransV1_0027879")</f>
        <v>p.persica_gdr_reftransV1_0027879</v>
      </c>
      <c r="B9340" s="2">
        <v>1953</v>
      </c>
      <c r="C9340" s="4" t="str">
        <f>HYPERLINK("http://www.uniprot.org/uniprot/M5W0L7","M5W0L7")</f>
        <v>M5W0L7</v>
      </c>
      <c r="D9340" s="2" t="s">
        <v>8110</v>
      </c>
      <c r="E9340" s="3">
        <v>1.41E-98</v>
      </c>
      <c r="F9340" s="2">
        <v>794</v>
      </c>
      <c r="G9340" s="2">
        <v>100</v>
      </c>
      <c r="H9340" s="2">
        <v>149</v>
      </c>
      <c r="I9340" s="2">
        <v>257</v>
      </c>
      <c r="J9340" s="2">
        <v>703</v>
      </c>
      <c r="K9340" s="2">
        <v>1</v>
      </c>
      <c r="L9340" s="2">
        <v>149</v>
      </c>
    </row>
    <row r="9341" spans="1:12" x14ac:dyDescent="0.25">
      <c r="A9341" s="4" t="str">
        <f>HYPERLINK("http://www.rosaceae.org/Prunus/Prunus_persica/p.persica_gdr_reftransV1_0030679","p.persica_gdr_reftransV1_0030679")</f>
        <v>p.persica_gdr_reftransV1_0030679</v>
      </c>
      <c r="B9341" s="2">
        <v>1437</v>
      </c>
      <c r="C9341" s="4" t="str">
        <f>HYPERLINK("http://www.uniprot.org/uniprot/M5XGH5","M5XGH5")</f>
        <v>M5XGH5</v>
      </c>
      <c r="D9341" s="2" t="s">
        <v>8111</v>
      </c>
      <c r="E9341" s="3">
        <v>4.9400000000000001E-111</v>
      </c>
      <c r="F9341" s="2">
        <v>876</v>
      </c>
      <c r="G9341" s="2">
        <v>100</v>
      </c>
      <c r="H9341" s="2">
        <v>212</v>
      </c>
      <c r="I9341" s="2">
        <v>125</v>
      </c>
      <c r="J9341" s="2">
        <v>760</v>
      </c>
      <c r="K9341" s="2">
        <v>1</v>
      </c>
      <c r="L9341" s="2">
        <v>212</v>
      </c>
    </row>
    <row r="9342" spans="1:12" x14ac:dyDescent="0.25">
      <c r="A9342" s="4" t="str">
        <f>HYPERLINK("http://www.rosaceae.org/Prunus/Prunus_persica/p.persica_gdr_reftransV1_0034179","p.persica_gdr_reftransV1_0034179")</f>
        <v>p.persica_gdr_reftransV1_0034179</v>
      </c>
      <c r="B9342" s="2">
        <v>571</v>
      </c>
      <c r="C9342" s="4" t="str">
        <f>HYPERLINK("http://www.uniprot.org/uniprot/M5XKC1","M5XKC1")</f>
        <v>M5XKC1</v>
      </c>
      <c r="D9342" s="2" t="s">
        <v>2111</v>
      </c>
      <c r="E9342" s="3">
        <v>3.81E-111</v>
      </c>
      <c r="F9342" s="2">
        <v>904</v>
      </c>
      <c r="G9342" s="2">
        <v>100</v>
      </c>
      <c r="H9342" s="2">
        <v>173</v>
      </c>
      <c r="I9342" s="2">
        <v>53</v>
      </c>
      <c r="J9342" s="2">
        <v>571</v>
      </c>
      <c r="K9342" s="2">
        <v>235</v>
      </c>
      <c r="L9342" s="2">
        <v>407</v>
      </c>
    </row>
    <row r="9343" spans="1:12" x14ac:dyDescent="0.25">
      <c r="A9343" s="4" t="str">
        <f>HYPERLINK("http://www.rosaceae.org/Prunus/Prunus_persica/p.persica_gdr_reftransV1_0035579","p.persica_gdr_reftransV1_0035579")</f>
        <v>p.persica_gdr_reftransV1_0035579</v>
      </c>
      <c r="B9343" s="2">
        <v>997</v>
      </c>
      <c r="C9343" s="4" t="str">
        <f>HYPERLINK("http://www.uniprot.org/uniprot/M5VP81","M5VP81")</f>
        <v>M5VP81</v>
      </c>
      <c r="D9343" s="2" t="s">
        <v>8112</v>
      </c>
      <c r="E9343" s="3">
        <v>4.4299999999999996E-134</v>
      </c>
      <c r="F9343" s="2">
        <v>1040</v>
      </c>
      <c r="G9343" s="2">
        <v>100</v>
      </c>
      <c r="H9343" s="2">
        <v>189</v>
      </c>
      <c r="I9343" s="2">
        <v>2</v>
      </c>
      <c r="J9343" s="2">
        <v>568</v>
      </c>
      <c r="K9343" s="2">
        <v>367</v>
      </c>
      <c r="L9343" s="2">
        <v>555</v>
      </c>
    </row>
    <row r="9344" spans="1:12" x14ac:dyDescent="0.25">
      <c r="A9344" s="4" t="str">
        <f>HYPERLINK("http://www.rosaceae.org/Prunus/Prunus_persica/p.persica_gdr_reftransV1_0035929","p.persica_gdr_reftransV1_0035929")</f>
        <v>p.persica_gdr_reftransV1_0035929</v>
      </c>
      <c r="B9344" s="2">
        <v>3214</v>
      </c>
      <c r="C9344" s="4" t="str">
        <f>HYPERLINK("http://www.uniprot.org/uniprot/M5XL47","M5XL47")</f>
        <v>M5XL47</v>
      </c>
      <c r="D9344" s="2" t="s">
        <v>8113</v>
      </c>
      <c r="E9344" s="3">
        <v>3.9400000000000003E-173</v>
      </c>
      <c r="F9344" s="2">
        <v>1336</v>
      </c>
      <c r="G9344" s="2">
        <v>100</v>
      </c>
      <c r="H9344" s="2">
        <v>249</v>
      </c>
      <c r="I9344" s="2">
        <v>453</v>
      </c>
      <c r="J9344" s="2">
        <v>1199</v>
      </c>
      <c r="K9344" s="2">
        <v>1</v>
      </c>
      <c r="L9344" s="2">
        <v>249</v>
      </c>
    </row>
    <row r="9345" spans="1:12" x14ac:dyDescent="0.25">
      <c r="A9345" s="4" t="str">
        <f>HYPERLINK("http://www.rosaceae.org/Prunus/Prunus_persica/p.persica_gdr_reftransV1_0037329","p.persica_gdr_reftransV1_0037329")</f>
        <v>p.persica_gdr_reftransV1_0037329</v>
      </c>
      <c r="B9345" s="2">
        <v>1316</v>
      </c>
      <c r="C9345" s="4" t="str">
        <f>HYPERLINK("http://www.uniprot.org/uniprot/M5VJB9","M5VJB9")</f>
        <v>M5VJB9</v>
      </c>
      <c r="D9345" s="2" t="s">
        <v>8114</v>
      </c>
      <c r="E9345" s="3">
        <v>1.95E-25</v>
      </c>
      <c r="F9345" s="2">
        <v>290</v>
      </c>
      <c r="G9345" s="2">
        <v>91</v>
      </c>
      <c r="H9345" s="2">
        <v>88</v>
      </c>
      <c r="I9345" s="2">
        <v>814</v>
      </c>
      <c r="J9345" s="2">
        <v>1077</v>
      </c>
      <c r="K9345" s="2">
        <v>299</v>
      </c>
      <c r="L9345" s="2">
        <v>386</v>
      </c>
    </row>
    <row r="9346" spans="1:12" x14ac:dyDescent="0.25">
      <c r="A9346" s="4" t="str">
        <f>HYPERLINK("http://www.rosaceae.org/Prunus/Prunus_persica/p.persica_gdr_reftransV1_0037679","p.persica_gdr_reftransV1_0037679")</f>
        <v>p.persica_gdr_reftransV1_0037679</v>
      </c>
      <c r="B9346" s="2">
        <v>1242</v>
      </c>
      <c r="C9346" s="4" t="str">
        <f>HYPERLINK("http://www.uniprot.org/uniprot/M5XPL1","M5XPL1")</f>
        <v>M5XPL1</v>
      </c>
      <c r="D9346" s="2" t="s">
        <v>8003</v>
      </c>
      <c r="E9346" s="3">
        <v>8.4300000000000001E-164</v>
      </c>
      <c r="F9346" s="2">
        <v>1260</v>
      </c>
      <c r="G9346" s="2">
        <v>100</v>
      </c>
      <c r="H9346" s="2">
        <v>243</v>
      </c>
      <c r="I9346" s="2">
        <v>514</v>
      </c>
      <c r="J9346" s="2">
        <v>1242</v>
      </c>
      <c r="K9346" s="2">
        <v>379</v>
      </c>
      <c r="L9346" s="2">
        <v>621</v>
      </c>
    </row>
    <row r="9347" spans="1:12" x14ac:dyDescent="0.25">
      <c r="A9347" s="4" t="str">
        <f>HYPERLINK("http://www.rosaceae.org/Prunus/Prunus_persica/p.persica_gdr_reftransV1_0040829","p.persica_gdr_reftransV1_0040829")</f>
        <v>p.persica_gdr_reftransV1_0040829</v>
      </c>
      <c r="B9347" s="2">
        <v>2529</v>
      </c>
      <c r="C9347" s="4" t="str">
        <f>HYPERLINK("http://www.uniprot.org/uniprot/M5WF89","M5WF89")</f>
        <v>M5WF89</v>
      </c>
      <c r="D9347" s="2" t="s">
        <v>8115</v>
      </c>
      <c r="E9347" s="3">
        <v>2.0200000000000001E-150</v>
      </c>
      <c r="F9347" s="2">
        <v>1206</v>
      </c>
      <c r="G9347" s="2">
        <v>100</v>
      </c>
      <c r="H9347" s="2">
        <v>297</v>
      </c>
      <c r="I9347" s="2">
        <v>1291</v>
      </c>
      <c r="J9347" s="2">
        <v>2181</v>
      </c>
      <c r="K9347" s="2">
        <v>157</v>
      </c>
      <c r="L9347" s="2">
        <v>453</v>
      </c>
    </row>
    <row r="9348" spans="1:12" x14ac:dyDescent="0.25">
      <c r="A9348" s="4" t="str">
        <f>HYPERLINK("http://www.rosaceae.org/Prunus/Prunus_persica/p.persica_gdr_reftransV1_0043279","p.persica_gdr_reftransV1_0043279")</f>
        <v>p.persica_gdr_reftransV1_0043279</v>
      </c>
      <c r="B9348" s="2">
        <v>1020</v>
      </c>
      <c r="C9348" s="4" t="str">
        <f>HYPERLINK("http://www.uniprot.org/uniprot/B6CQT2","B6CQT2")</f>
        <v>B6CQT2</v>
      </c>
      <c r="D9348" s="2" t="s">
        <v>8116</v>
      </c>
      <c r="E9348" s="3">
        <v>1.2999999999999999E-166</v>
      </c>
      <c r="F9348" s="2">
        <v>1225</v>
      </c>
      <c r="G9348" s="2">
        <v>96</v>
      </c>
      <c r="H9348" s="2">
        <v>247</v>
      </c>
      <c r="I9348" s="2">
        <v>20</v>
      </c>
      <c r="J9348" s="2">
        <v>754</v>
      </c>
      <c r="K9348" s="2">
        <v>1</v>
      </c>
      <c r="L9348" s="2">
        <v>245</v>
      </c>
    </row>
    <row r="9349" spans="1:12" x14ac:dyDescent="0.25">
      <c r="A9349" s="4" t="str">
        <f>HYPERLINK("http://www.rosaceae.org/Prunus/Prunus_persica/p.persica_gdr_reftransV1_0043629","p.persica_gdr_reftransV1_0043629")</f>
        <v>p.persica_gdr_reftransV1_0043629</v>
      </c>
      <c r="B9349" s="2">
        <v>1058</v>
      </c>
      <c r="C9349" s="4" t="str">
        <f>HYPERLINK("http://www.uniprot.org/uniprot/M5WL26","M5WL26")</f>
        <v>M5WL26</v>
      </c>
      <c r="D9349" s="2" t="s">
        <v>8117</v>
      </c>
      <c r="E9349" s="3">
        <v>4.8199999999999999E-180</v>
      </c>
      <c r="F9349" s="2">
        <v>1323</v>
      </c>
      <c r="G9349" s="2">
        <v>91</v>
      </c>
      <c r="H9349" s="2">
        <v>297</v>
      </c>
      <c r="I9349" s="2">
        <v>167</v>
      </c>
      <c r="J9349" s="2">
        <v>1057</v>
      </c>
      <c r="K9349" s="2">
        <v>22</v>
      </c>
      <c r="L9349" s="2">
        <v>316</v>
      </c>
    </row>
    <row r="9350" spans="1:12" x14ac:dyDescent="0.25">
      <c r="A9350" s="4" t="str">
        <f>HYPERLINK("http://www.rosaceae.org/Prunus/Prunus_persica/p.persica_gdr_reftransV1_0044329","p.persica_gdr_reftransV1_0044329")</f>
        <v>p.persica_gdr_reftransV1_0044329</v>
      </c>
      <c r="B9350" s="2">
        <v>700</v>
      </c>
      <c r="C9350" s="4" t="str">
        <f>HYPERLINK("http://www.uniprot.org/uniprot/M5XIG0","M5XIG0")</f>
        <v>M5XIG0</v>
      </c>
      <c r="D9350" s="2" t="s">
        <v>7994</v>
      </c>
      <c r="E9350" s="3">
        <v>8.3699999999999997E-48</v>
      </c>
      <c r="F9350" s="2">
        <v>448</v>
      </c>
      <c r="G9350" s="2">
        <v>100</v>
      </c>
      <c r="H9350" s="2">
        <v>82</v>
      </c>
      <c r="I9350" s="2">
        <v>54</v>
      </c>
      <c r="J9350" s="2">
        <v>299</v>
      </c>
      <c r="K9350" s="2">
        <v>565</v>
      </c>
      <c r="L9350" s="2">
        <v>646</v>
      </c>
    </row>
    <row r="9351" spans="1:12" x14ac:dyDescent="0.25">
      <c r="A9351" s="4" t="str">
        <f>HYPERLINK("http://www.rosaceae.org/Prunus/Prunus_persica/p.persica_gdr_reftransV1_0044679","p.persica_gdr_reftransV1_0044679")</f>
        <v>p.persica_gdr_reftransV1_0044679</v>
      </c>
      <c r="B9351" s="2">
        <v>1646</v>
      </c>
      <c r="C9351" s="4" t="str">
        <f>HYPERLINK("http://www.uniprot.org/uniprot/M5VPX9","M5VPX9")</f>
        <v>M5VPX9</v>
      </c>
      <c r="D9351" s="2" t="s">
        <v>4347</v>
      </c>
      <c r="E9351" s="3">
        <v>0</v>
      </c>
      <c r="F9351" s="2">
        <v>1428</v>
      </c>
      <c r="G9351" s="2">
        <v>100</v>
      </c>
      <c r="H9351" s="2">
        <v>266</v>
      </c>
      <c r="I9351" s="2">
        <v>673</v>
      </c>
      <c r="J9351" s="2">
        <v>1470</v>
      </c>
      <c r="K9351" s="2">
        <v>111</v>
      </c>
      <c r="L9351" s="2">
        <v>376</v>
      </c>
    </row>
    <row r="9352" spans="1:12" x14ac:dyDescent="0.25">
      <c r="A9352" s="4" t="str">
        <f>HYPERLINK("http://www.rosaceae.org/Prunus/Prunus_persica/p.persica_gdr_reftransV1_0045029","p.persica_gdr_reftransV1_0045029")</f>
        <v>p.persica_gdr_reftransV1_0045029</v>
      </c>
      <c r="B9352" s="2">
        <v>1285</v>
      </c>
      <c r="C9352" s="4" t="str">
        <f>HYPERLINK("http://www.uniprot.org/uniprot/M5X2A8","M5X2A8")</f>
        <v>M5X2A8</v>
      </c>
      <c r="D9352" s="2" t="s">
        <v>8118</v>
      </c>
      <c r="E9352" s="3">
        <v>1.8200000000000001E-138</v>
      </c>
      <c r="F9352" s="2">
        <v>1047</v>
      </c>
      <c r="G9352" s="2">
        <v>94</v>
      </c>
      <c r="H9352" s="2">
        <v>224</v>
      </c>
      <c r="I9352" s="2">
        <v>339</v>
      </c>
      <c r="J9352" s="2">
        <v>968</v>
      </c>
      <c r="K9352" s="2">
        <v>1</v>
      </c>
      <c r="L9352" s="2">
        <v>224</v>
      </c>
    </row>
    <row r="9353" spans="1:12" x14ac:dyDescent="0.25">
      <c r="A9353" s="4" t="str">
        <f>HYPERLINK("http://www.rosaceae.org/Prunus/Prunus_persica/p.persica_gdr_reftransV1_0045729","p.persica_gdr_reftransV1_0045729")</f>
        <v>p.persica_gdr_reftransV1_0045729</v>
      </c>
      <c r="B9353" s="2">
        <v>818</v>
      </c>
      <c r="C9353" s="4" t="str">
        <f>HYPERLINK("http://www.uniprot.org/uniprot/M5X138","M5X138")</f>
        <v>M5X138</v>
      </c>
      <c r="D9353" s="2" t="s">
        <v>8119</v>
      </c>
      <c r="E9353" s="3">
        <v>3.2499999999999998E-110</v>
      </c>
      <c r="F9353" s="2">
        <v>842</v>
      </c>
      <c r="G9353" s="2">
        <v>100</v>
      </c>
      <c r="H9353" s="2">
        <v>204</v>
      </c>
      <c r="I9353" s="2">
        <v>64</v>
      </c>
      <c r="J9353" s="2">
        <v>675</v>
      </c>
      <c r="K9353" s="2">
        <v>1</v>
      </c>
      <c r="L9353" s="2">
        <v>204</v>
      </c>
    </row>
    <row r="9354" spans="1:12" x14ac:dyDescent="0.25">
      <c r="A9354" s="4" t="str">
        <f>HYPERLINK("http://www.rosaceae.org/Prunus/Prunus_persica/p.persica_gdr_reftransV1_0046079","p.persica_gdr_reftransV1_0046079")</f>
        <v>p.persica_gdr_reftransV1_0046079</v>
      </c>
      <c r="B9354" s="2">
        <v>489</v>
      </c>
      <c r="C9354" s="4" t="str">
        <f>HYPERLINK("http://www.uniprot.org/uniprot/M5WV09","M5WV09")</f>
        <v>M5WV09</v>
      </c>
      <c r="D9354" s="2" t="s">
        <v>8120</v>
      </c>
      <c r="E9354" s="3">
        <v>3.91E-59</v>
      </c>
      <c r="F9354" s="2">
        <v>500</v>
      </c>
      <c r="G9354" s="2">
        <v>92</v>
      </c>
      <c r="H9354" s="2">
        <v>106</v>
      </c>
      <c r="I9354" s="2">
        <v>75</v>
      </c>
      <c r="J9354" s="2">
        <v>392</v>
      </c>
      <c r="K9354" s="2">
        <v>1</v>
      </c>
      <c r="L9354" s="2">
        <v>106</v>
      </c>
    </row>
    <row r="9355" spans="1:12" x14ac:dyDescent="0.25">
      <c r="A9355" s="4" t="str">
        <f>HYPERLINK("http://www.rosaceae.org/Prunus/Prunus_persica/p.persica_gdr_reftransV1_0046779","p.persica_gdr_reftransV1_0046779")</f>
        <v>p.persica_gdr_reftransV1_0046779</v>
      </c>
      <c r="B9355" s="2">
        <v>1005</v>
      </c>
      <c r="C9355" s="4" t="str">
        <f>HYPERLINK("http://www.uniprot.org/uniprot/M5WNW0","M5WNW0")</f>
        <v>M5WNW0</v>
      </c>
      <c r="D9355" s="2" t="s">
        <v>6458</v>
      </c>
      <c r="E9355" s="3">
        <v>0</v>
      </c>
      <c r="F9355" s="2">
        <v>1487</v>
      </c>
      <c r="G9355" s="2">
        <v>100</v>
      </c>
      <c r="H9355" s="2">
        <v>310</v>
      </c>
      <c r="I9355" s="2">
        <v>3</v>
      </c>
      <c r="J9355" s="2">
        <v>932</v>
      </c>
      <c r="K9355" s="2">
        <v>65</v>
      </c>
      <c r="L9355" s="2">
        <v>374</v>
      </c>
    </row>
    <row r="9356" spans="1:12" x14ac:dyDescent="0.25">
      <c r="A9356" s="4" t="str">
        <f>HYPERLINK("http://www.rosaceae.org/Prunus/Prunus_persica/p.persica_gdr_reftransV1_0047479","p.persica_gdr_reftransV1_0047479")</f>
        <v>p.persica_gdr_reftransV1_0047479</v>
      </c>
      <c r="B9356" s="2">
        <v>806</v>
      </c>
      <c r="C9356" s="4" t="str">
        <f>HYPERLINK("http://www.uniprot.org/uniprot/M5WPY3","M5WPY3")</f>
        <v>M5WPY3</v>
      </c>
      <c r="D9356" s="2" t="s">
        <v>8121</v>
      </c>
      <c r="E9356" s="3">
        <v>3.1899999999999999E-97</v>
      </c>
      <c r="F9356" s="2">
        <v>754</v>
      </c>
      <c r="G9356" s="2">
        <v>100</v>
      </c>
      <c r="H9356" s="2">
        <v>180</v>
      </c>
      <c r="I9356" s="2">
        <v>89</v>
      </c>
      <c r="J9356" s="2">
        <v>628</v>
      </c>
      <c r="K9356" s="2">
        <v>1</v>
      </c>
      <c r="L9356" s="2">
        <v>180</v>
      </c>
    </row>
    <row r="9357" spans="1:12" x14ac:dyDescent="0.25">
      <c r="A9357" s="4" t="str">
        <f>HYPERLINK("http://www.rosaceae.org/Prunus/Prunus_persica/p.persica_gdr_reftransV1_0048179","p.persica_gdr_reftransV1_0048179")</f>
        <v>p.persica_gdr_reftransV1_0048179</v>
      </c>
      <c r="B9357" s="2">
        <v>677</v>
      </c>
      <c r="C9357" s="4" t="str">
        <f>HYPERLINK("http://www.uniprot.org/uniprot/M5Y702","M5Y702")</f>
        <v>M5Y702</v>
      </c>
      <c r="D9357" s="2" t="s">
        <v>8122</v>
      </c>
      <c r="E9357" s="3">
        <v>7.3399999999999999E-68</v>
      </c>
      <c r="F9357" s="2">
        <v>589</v>
      </c>
      <c r="G9357" s="2">
        <v>100</v>
      </c>
      <c r="H9357" s="2">
        <v>108</v>
      </c>
      <c r="I9357" s="2">
        <v>1</v>
      </c>
      <c r="J9357" s="2">
        <v>324</v>
      </c>
      <c r="K9357" s="2">
        <v>1</v>
      </c>
      <c r="L9357" s="2">
        <v>108</v>
      </c>
    </row>
    <row r="9358" spans="1:12" x14ac:dyDescent="0.25">
      <c r="A9358" s="4" t="str">
        <f>HYPERLINK("http://www.rosaceae.org/Prunus/Prunus_persica/p.persica_gdr_reftransV1_0048529","p.persica_gdr_reftransV1_0048529")</f>
        <v>p.persica_gdr_reftransV1_0048529</v>
      </c>
      <c r="B9358" s="2">
        <v>383</v>
      </c>
      <c r="C9358" s="4" t="str">
        <f>HYPERLINK("http://www.uniprot.org/uniprot/M5WP45","M5WP45")</f>
        <v>M5WP45</v>
      </c>
      <c r="D9358" s="2" t="s">
        <v>8123</v>
      </c>
      <c r="E9358" s="3">
        <v>8.1399999999999995E-58</v>
      </c>
      <c r="F9358" s="2">
        <v>503</v>
      </c>
      <c r="G9358" s="2">
        <v>94</v>
      </c>
      <c r="H9358" s="2">
        <v>127</v>
      </c>
      <c r="I9358" s="2">
        <v>3</v>
      </c>
      <c r="J9358" s="2">
        <v>383</v>
      </c>
      <c r="K9358" s="2">
        <v>345</v>
      </c>
      <c r="L9358" s="2">
        <v>471</v>
      </c>
    </row>
    <row r="9359" spans="1:12" x14ac:dyDescent="0.25">
      <c r="A9359" s="4" t="str">
        <f>HYPERLINK("http://www.rosaceae.org/Prunus/Prunus_persica/p.persica_gdr_reftransV1_0000580","p.persica_gdr_reftransV1_0000580")</f>
        <v>p.persica_gdr_reftransV1_0000580</v>
      </c>
      <c r="B9359" s="2">
        <v>1755</v>
      </c>
      <c r="C9359" s="4" t="str">
        <f>HYPERLINK("http://www.uniprot.org/uniprot/M5X161","M5X161")</f>
        <v>M5X161</v>
      </c>
      <c r="D9359" s="2" t="s">
        <v>8124</v>
      </c>
      <c r="E9359" s="3">
        <v>0</v>
      </c>
      <c r="F9359" s="2">
        <v>2251</v>
      </c>
      <c r="G9359" s="2">
        <v>100</v>
      </c>
      <c r="H9359" s="2">
        <v>440</v>
      </c>
      <c r="I9359" s="2">
        <v>126</v>
      </c>
      <c r="J9359" s="2">
        <v>1445</v>
      </c>
      <c r="K9359" s="2">
        <v>1</v>
      </c>
      <c r="L9359" s="2">
        <v>440</v>
      </c>
    </row>
    <row r="9360" spans="1:12" x14ac:dyDescent="0.25">
      <c r="A9360" s="4" t="str">
        <f>HYPERLINK("http://www.rosaceae.org/Prunus/Prunus_persica/p.persica_gdr_reftransV1_0000930","p.persica_gdr_reftransV1_0000930")</f>
        <v>p.persica_gdr_reftransV1_0000930</v>
      </c>
      <c r="B9360" s="2">
        <v>3803</v>
      </c>
      <c r="C9360" s="4" t="str">
        <f>HYPERLINK("http://www.uniprot.org/uniprot/M5WM37","M5WM37")</f>
        <v>M5WM37</v>
      </c>
      <c r="D9360" s="2" t="s">
        <v>2516</v>
      </c>
      <c r="E9360" s="3">
        <v>0</v>
      </c>
      <c r="F9360" s="2">
        <v>3323</v>
      </c>
      <c r="G9360" s="2">
        <v>99</v>
      </c>
      <c r="H9360" s="2">
        <v>775</v>
      </c>
      <c r="I9360" s="2">
        <v>217</v>
      </c>
      <c r="J9360" s="2">
        <v>2535</v>
      </c>
      <c r="K9360" s="2">
        <v>134</v>
      </c>
      <c r="L9360" s="2">
        <v>908</v>
      </c>
    </row>
    <row r="9361" spans="1:12" x14ac:dyDescent="0.25">
      <c r="A9361" s="4" t="str">
        <f>HYPERLINK("http://www.rosaceae.org/Prunus/Prunus_persica/p.persica_gdr_reftransV1_0001280","p.persica_gdr_reftransV1_0001280")</f>
        <v>p.persica_gdr_reftransV1_0001280</v>
      </c>
      <c r="B9361" s="2">
        <v>1625</v>
      </c>
      <c r="C9361" s="4" t="str">
        <f>HYPERLINK("http://www.uniprot.org/uniprot/M5X4U4","M5X4U4")</f>
        <v>M5X4U4</v>
      </c>
      <c r="D9361" s="2" t="s">
        <v>6018</v>
      </c>
      <c r="E9361" s="3">
        <v>0</v>
      </c>
      <c r="F9361" s="2">
        <v>2393</v>
      </c>
      <c r="G9361" s="2">
        <v>100</v>
      </c>
      <c r="H9361" s="2">
        <v>464</v>
      </c>
      <c r="I9361" s="2">
        <v>145</v>
      </c>
      <c r="J9361" s="2">
        <v>1536</v>
      </c>
      <c r="K9361" s="2">
        <v>1</v>
      </c>
      <c r="L9361" s="2">
        <v>464</v>
      </c>
    </row>
    <row r="9362" spans="1:12" x14ac:dyDescent="0.25">
      <c r="A9362" s="4" t="str">
        <f>HYPERLINK("http://www.rosaceae.org/Prunus/Prunus_persica/p.persica_gdr_reftransV1_0001630","p.persica_gdr_reftransV1_0001630")</f>
        <v>p.persica_gdr_reftransV1_0001630</v>
      </c>
      <c r="B9362" s="2">
        <v>1180</v>
      </c>
      <c r="C9362" s="4" t="str">
        <f>HYPERLINK("http://www.uniprot.org/uniprot/M5W020","M5W020")</f>
        <v>M5W020</v>
      </c>
      <c r="D9362" s="2" t="s">
        <v>3932</v>
      </c>
      <c r="E9362" s="3">
        <v>2.71E-156</v>
      </c>
      <c r="F9362" s="2">
        <v>1160</v>
      </c>
      <c r="G9362" s="2">
        <v>100</v>
      </c>
      <c r="H9362" s="2">
        <v>217</v>
      </c>
      <c r="I9362" s="2">
        <v>257</v>
      </c>
      <c r="J9362" s="2">
        <v>907</v>
      </c>
      <c r="K9362" s="2">
        <v>1</v>
      </c>
      <c r="L9362" s="2">
        <v>217</v>
      </c>
    </row>
    <row r="9363" spans="1:12" x14ac:dyDescent="0.25">
      <c r="A9363" s="4" t="str">
        <f>HYPERLINK("http://www.rosaceae.org/Prunus/Prunus_persica/p.persica_gdr_reftransV1_0001980","p.persica_gdr_reftransV1_0001980")</f>
        <v>p.persica_gdr_reftransV1_0001980</v>
      </c>
      <c r="B9363" s="2">
        <v>720</v>
      </c>
      <c r="C9363" s="4" t="str">
        <f>HYPERLINK("http://www.uniprot.org/uniprot/M5WBX1","M5WBX1")</f>
        <v>M5WBX1</v>
      </c>
      <c r="D9363" s="2" t="s">
        <v>8125</v>
      </c>
      <c r="E9363" s="3">
        <v>7.3299999999999998E-56</v>
      </c>
      <c r="F9363" s="2">
        <v>510</v>
      </c>
      <c r="G9363" s="2">
        <v>59</v>
      </c>
      <c r="H9363" s="2">
        <v>246</v>
      </c>
      <c r="I9363" s="2">
        <v>1</v>
      </c>
      <c r="J9363" s="2">
        <v>717</v>
      </c>
      <c r="K9363" s="2">
        <v>5</v>
      </c>
      <c r="L9363" s="2">
        <v>244</v>
      </c>
    </row>
    <row r="9364" spans="1:12" x14ac:dyDescent="0.25">
      <c r="A9364" s="4" t="str">
        <f>HYPERLINK("http://www.rosaceae.org/Prunus/Prunus_persica/p.persica_gdr_reftransV1_0002330","p.persica_gdr_reftransV1_0002330")</f>
        <v>p.persica_gdr_reftransV1_0002330</v>
      </c>
      <c r="B9364" s="2">
        <v>1601</v>
      </c>
      <c r="C9364" s="4" t="str">
        <f>HYPERLINK("http://www.uniprot.org/uniprot/W9QD44","W9QD44")</f>
        <v>W9QD44</v>
      </c>
      <c r="D9364" s="2" t="s">
        <v>7932</v>
      </c>
      <c r="E9364" s="3">
        <v>1.93E-176</v>
      </c>
      <c r="F9364" s="2">
        <v>1366</v>
      </c>
      <c r="G9364" s="2">
        <v>64</v>
      </c>
      <c r="H9364" s="2">
        <v>420</v>
      </c>
      <c r="I9364" s="2">
        <v>149</v>
      </c>
      <c r="J9364" s="2">
        <v>1387</v>
      </c>
      <c r="K9364" s="2">
        <v>29</v>
      </c>
      <c r="L9364" s="2">
        <v>443</v>
      </c>
    </row>
    <row r="9365" spans="1:12" x14ac:dyDescent="0.25">
      <c r="A9365" s="4" t="str">
        <f>HYPERLINK("http://www.rosaceae.org/Prunus/Prunus_persica/p.persica_gdr_reftransV1_0003730","p.persica_gdr_reftransV1_0003730")</f>
        <v>p.persica_gdr_reftransV1_0003730</v>
      </c>
      <c r="B9365" s="2">
        <v>2294</v>
      </c>
      <c r="C9365" s="4" t="str">
        <f>HYPERLINK("http://www.uniprot.org/uniprot/M5XW81","M5XW81")</f>
        <v>M5XW81</v>
      </c>
      <c r="D9365" s="2" t="s">
        <v>8126</v>
      </c>
      <c r="E9365" s="3">
        <v>0</v>
      </c>
      <c r="F9365" s="2">
        <v>2555</v>
      </c>
      <c r="G9365" s="2">
        <v>100</v>
      </c>
      <c r="H9365" s="2">
        <v>544</v>
      </c>
      <c r="I9365" s="2">
        <v>392</v>
      </c>
      <c r="J9365" s="2">
        <v>2023</v>
      </c>
      <c r="K9365" s="2">
        <v>1</v>
      </c>
      <c r="L9365" s="2">
        <v>544</v>
      </c>
    </row>
    <row r="9366" spans="1:12" x14ac:dyDescent="0.25">
      <c r="A9366" s="4" t="str">
        <f>HYPERLINK("http://www.rosaceae.org/Prunus/Prunus_persica/p.persica_gdr_reftransV1_0004430","p.persica_gdr_reftransV1_0004430")</f>
        <v>p.persica_gdr_reftransV1_0004430</v>
      </c>
      <c r="B9366" s="2">
        <v>2450</v>
      </c>
      <c r="C9366" s="4" t="str">
        <f>HYPERLINK("http://www.uniprot.org/uniprot/M5VRH3","M5VRH3")</f>
        <v>M5VRH3</v>
      </c>
      <c r="D9366" s="2" t="s">
        <v>8127</v>
      </c>
      <c r="E9366" s="3">
        <v>0</v>
      </c>
      <c r="F9366" s="2">
        <v>1560</v>
      </c>
      <c r="G9366" s="2">
        <v>100</v>
      </c>
      <c r="H9366" s="2">
        <v>292</v>
      </c>
      <c r="I9366" s="2">
        <v>239</v>
      </c>
      <c r="J9366" s="2">
        <v>1114</v>
      </c>
      <c r="K9366" s="2">
        <v>1</v>
      </c>
      <c r="L9366" s="2">
        <v>292</v>
      </c>
    </row>
    <row r="9367" spans="1:12" x14ac:dyDescent="0.25">
      <c r="A9367" s="4" t="str">
        <f>HYPERLINK("http://www.rosaceae.org/Prunus/Prunus_persica/p.persica_gdr_reftransV1_0004780","p.persica_gdr_reftransV1_0004780")</f>
        <v>p.persica_gdr_reftransV1_0004780</v>
      </c>
      <c r="B9367" s="2">
        <v>911</v>
      </c>
      <c r="C9367" s="4" t="str">
        <f>HYPERLINK("http://www.uniprot.org/uniprot/M5WE20","M5WE20")</f>
        <v>M5WE20</v>
      </c>
      <c r="D9367" s="2" t="s">
        <v>8128</v>
      </c>
      <c r="E9367" s="3">
        <v>1.7600000000000001E-162</v>
      </c>
      <c r="F9367" s="2">
        <v>1195</v>
      </c>
      <c r="G9367" s="2">
        <v>97</v>
      </c>
      <c r="H9367" s="2">
        <v>232</v>
      </c>
      <c r="I9367" s="2">
        <v>2</v>
      </c>
      <c r="J9367" s="2">
        <v>697</v>
      </c>
      <c r="K9367" s="2">
        <v>11</v>
      </c>
      <c r="L9367" s="2">
        <v>242</v>
      </c>
    </row>
    <row r="9368" spans="1:12" x14ac:dyDescent="0.25">
      <c r="A9368" s="4" t="str">
        <f>HYPERLINK("http://www.rosaceae.org/Prunus/Prunus_persica/p.persica_gdr_reftransV1_0005480","p.persica_gdr_reftransV1_0005480")</f>
        <v>p.persica_gdr_reftransV1_0005480</v>
      </c>
      <c r="B9368" s="2">
        <v>1719</v>
      </c>
      <c r="C9368" s="4" t="str">
        <f>HYPERLINK("http://www.uniprot.org/uniprot/M5WQ02","M5WQ02")</f>
        <v>M5WQ02</v>
      </c>
      <c r="D9368" s="2" t="s">
        <v>2401</v>
      </c>
      <c r="E9368" s="3">
        <v>0</v>
      </c>
      <c r="F9368" s="2">
        <v>1917</v>
      </c>
      <c r="G9368" s="2">
        <v>93</v>
      </c>
      <c r="H9368" s="2">
        <v>416</v>
      </c>
      <c r="I9368" s="2">
        <v>557</v>
      </c>
      <c r="J9368" s="2">
        <v>1717</v>
      </c>
      <c r="K9368" s="2">
        <v>17</v>
      </c>
      <c r="L9368" s="2">
        <v>432</v>
      </c>
    </row>
    <row r="9369" spans="1:12" x14ac:dyDescent="0.25">
      <c r="A9369" s="4" t="str">
        <f>HYPERLINK("http://www.rosaceae.org/Prunus/Prunus_persica/p.persica_gdr_reftransV1_0006180","p.persica_gdr_reftransV1_0006180")</f>
        <v>p.persica_gdr_reftransV1_0006180</v>
      </c>
      <c r="B9369" s="2">
        <v>424</v>
      </c>
      <c r="C9369" s="4" t="str">
        <f>HYPERLINK("http://www.uniprot.org/uniprot/M5XE28","M5XE28")</f>
        <v>M5XE28</v>
      </c>
      <c r="D9369" s="2" t="s">
        <v>8129</v>
      </c>
      <c r="E9369" s="3">
        <v>3.5299999999999999E-40</v>
      </c>
      <c r="F9369" s="2">
        <v>369</v>
      </c>
      <c r="G9369" s="2">
        <v>89</v>
      </c>
      <c r="H9369" s="2">
        <v>123</v>
      </c>
      <c r="I9369" s="2">
        <v>64</v>
      </c>
      <c r="J9369" s="2">
        <v>423</v>
      </c>
      <c r="K9369" s="2">
        <v>1</v>
      </c>
      <c r="L9369" s="2">
        <v>123</v>
      </c>
    </row>
    <row r="9370" spans="1:12" x14ac:dyDescent="0.25">
      <c r="A9370" s="4" t="str">
        <f>HYPERLINK("http://www.rosaceae.org/Prunus/Prunus_persica/p.persica_gdr_reftransV1_0007230","p.persica_gdr_reftransV1_0007230")</f>
        <v>p.persica_gdr_reftransV1_0007230</v>
      </c>
      <c r="B9370" s="2">
        <v>1783</v>
      </c>
      <c r="C9370" s="4" t="str">
        <f>HYPERLINK("http://www.uniprot.org/uniprot/M5XD89","M5XD89")</f>
        <v>M5XD89</v>
      </c>
      <c r="D9370" s="2" t="s">
        <v>8130</v>
      </c>
      <c r="E9370" s="3">
        <v>0</v>
      </c>
      <c r="F9370" s="2">
        <v>2444</v>
      </c>
      <c r="G9370" s="2">
        <v>100</v>
      </c>
      <c r="H9370" s="2">
        <v>473</v>
      </c>
      <c r="I9370" s="2">
        <v>346</v>
      </c>
      <c r="J9370" s="2">
        <v>1764</v>
      </c>
      <c r="K9370" s="2">
        <v>1</v>
      </c>
      <c r="L9370" s="2">
        <v>473</v>
      </c>
    </row>
    <row r="9371" spans="1:12" x14ac:dyDescent="0.25">
      <c r="A9371" s="4" t="str">
        <f>HYPERLINK("http://www.rosaceae.org/Prunus/Prunus_persica/p.persica_gdr_reftransV1_0007580","p.persica_gdr_reftransV1_0007580")</f>
        <v>p.persica_gdr_reftransV1_0007580</v>
      </c>
      <c r="B9371" s="2">
        <v>1131</v>
      </c>
      <c r="C9371" s="4" t="str">
        <f>HYPERLINK("http://www.uniprot.org/uniprot/M5W2V7","M5W2V7")</f>
        <v>M5W2V7</v>
      </c>
      <c r="D9371" s="2" t="s">
        <v>8131</v>
      </c>
      <c r="E9371" s="3">
        <v>0</v>
      </c>
      <c r="F9371" s="2">
        <v>1427</v>
      </c>
      <c r="G9371" s="2">
        <v>100</v>
      </c>
      <c r="H9371" s="2">
        <v>266</v>
      </c>
      <c r="I9371" s="2">
        <v>247</v>
      </c>
      <c r="J9371" s="2">
        <v>1044</v>
      </c>
      <c r="K9371" s="2">
        <v>1</v>
      </c>
      <c r="L9371" s="2">
        <v>266</v>
      </c>
    </row>
    <row r="9372" spans="1:12" x14ac:dyDescent="0.25">
      <c r="A9372" s="4" t="str">
        <f>HYPERLINK("http://www.rosaceae.org/Prunus/Prunus_persica/p.persica_gdr_reftransV1_0008280","p.persica_gdr_reftransV1_0008280")</f>
        <v>p.persica_gdr_reftransV1_0008280</v>
      </c>
      <c r="B9372" s="2">
        <v>623</v>
      </c>
      <c r="C9372" s="4" t="str">
        <f>HYPERLINK("http://www.uniprot.org/uniprot/M5W2S3","M5W2S3")</f>
        <v>M5W2S3</v>
      </c>
      <c r="D9372" s="2" t="s">
        <v>1830</v>
      </c>
      <c r="E9372" s="3">
        <v>1.0600000000000001E-53</v>
      </c>
      <c r="F9372" s="2">
        <v>477</v>
      </c>
      <c r="G9372" s="2">
        <v>100</v>
      </c>
      <c r="H9372" s="2">
        <v>154</v>
      </c>
      <c r="I9372" s="2">
        <v>162</v>
      </c>
      <c r="J9372" s="2">
        <v>623</v>
      </c>
      <c r="K9372" s="2">
        <v>1</v>
      </c>
      <c r="L9372" s="2">
        <v>154</v>
      </c>
    </row>
    <row r="9373" spans="1:12" x14ac:dyDescent="0.25">
      <c r="A9373" s="4" t="str">
        <f>HYPERLINK("http://www.rosaceae.org/Prunus/Prunus_persica/p.persica_gdr_reftransV1_0008980","p.persica_gdr_reftransV1_0008980")</f>
        <v>p.persica_gdr_reftransV1_0008980</v>
      </c>
      <c r="B9373" s="2">
        <v>2726</v>
      </c>
      <c r="C9373" s="4" t="str">
        <f>HYPERLINK("http://www.uniprot.org/uniprot/M5VZE1","M5VZE1")</f>
        <v>M5VZE1</v>
      </c>
      <c r="D9373" s="2" t="s">
        <v>4657</v>
      </c>
      <c r="E9373" s="3">
        <v>0</v>
      </c>
      <c r="F9373" s="2">
        <v>2371</v>
      </c>
      <c r="G9373" s="2">
        <v>96</v>
      </c>
      <c r="H9373" s="2">
        <v>489</v>
      </c>
      <c r="I9373" s="2">
        <v>827</v>
      </c>
      <c r="J9373" s="2">
        <v>2293</v>
      </c>
      <c r="K9373" s="2">
        <v>1</v>
      </c>
      <c r="L9373" s="2">
        <v>481</v>
      </c>
    </row>
    <row r="9374" spans="1:12" x14ac:dyDescent="0.25">
      <c r="A9374" s="4" t="str">
        <f>HYPERLINK("http://www.rosaceae.org/Prunus/Prunus_persica/p.persica_gdr_reftransV1_0009330","p.persica_gdr_reftransV1_0009330")</f>
        <v>p.persica_gdr_reftransV1_0009330</v>
      </c>
      <c r="B9374" s="2">
        <v>1304</v>
      </c>
      <c r="C9374" s="4" t="str">
        <f>HYPERLINK("http://www.uniprot.org/uniprot/M5X0P5","M5X0P5")</f>
        <v>M5X0P5</v>
      </c>
      <c r="D9374" s="2" t="s">
        <v>8132</v>
      </c>
      <c r="E9374" s="3">
        <v>0</v>
      </c>
      <c r="F9374" s="2">
        <v>1720</v>
      </c>
      <c r="G9374" s="2">
        <v>100</v>
      </c>
      <c r="H9374" s="2">
        <v>338</v>
      </c>
      <c r="I9374" s="2">
        <v>50</v>
      </c>
      <c r="J9374" s="2">
        <v>1063</v>
      </c>
      <c r="K9374" s="2">
        <v>1</v>
      </c>
      <c r="L9374" s="2">
        <v>338</v>
      </c>
    </row>
    <row r="9375" spans="1:12" x14ac:dyDescent="0.25">
      <c r="A9375" s="4" t="str">
        <f>HYPERLINK("http://www.rosaceae.org/Prunus/Prunus_persica/p.persica_gdr_reftransV1_0010030","p.persica_gdr_reftransV1_0010030")</f>
        <v>p.persica_gdr_reftransV1_0010030</v>
      </c>
      <c r="B9375" s="2">
        <v>833</v>
      </c>
      <c r="C9375" s="4" t="str">
        <f>HYPERLINK("http://www.uniprot.org/uniprot/M5XSW8","M5XSW8")</f>
        <v>M5XSW8</v>
      </c>
      <c r="D9375" s="2" t="s">
        <v>8133</v>
      </c>
      <c r="E9375" s="3">
        <v>1.6899999999999998E-111</v>
      </c>
      <c r="F9375" s="2">
        <v>851</v>
      </c>
      <c r="G9375" s="2">
        <v>100</v>
      </c>
      <c r="H9375" s="2">
        <v>187</v>
      </c>
      <c r="I9375" s="2">
        <v>234</v>
      </c>
      <c r="J9375" s="2">
        <v>794</v>
      </c>
      <c r="K9375" s="2">
        <v>1</v>
      </c>
      <c r="L9375" s="2">
        <v>187</v>
      </c>
    </row>
    <row r="9376" spans="1:12" x14ac:dyDescent="0.25">
      <c r="A9376" s="4" t="str">
        <f>HYPERLINK("http://www.rosaceae.org/Prunus/Prunus_persica/p.persica_gdr_reftransV1_0010380","p.persica_gdr_reftransV1_0010380")</f>
        <v>p.persica_gdr_reftransV1_0010380</v>
      </c>
      <c r="B9376" s="2">
        <v>2140</v>
      </c>
      <c r="C9376" s="4" t="str">
        <f>HYPERLINK("http://www.uniprot.org/uniprot/M5WMD6","M5WMD6")</f>
        <v>M5WMD6</v>
      </c>
      <c r="D9376" s="2" t="s">
        <v>8134</v>
      </c>
      <c r="E9376" s="3">
        <v>0</v>
      </c>
      <c r="F9376" s="2">
        <v>1904</v>
      </c>
      <c r="G9376" s="2">
        <v>100</v>
      </c>
      <c r="H9376" s="2">
        <v>379</v>
      </c>
      <c r="I9376" s="2">
        <v>233</v>
      </c>
      <c r="J9376" s="2">
        <v>1369</v>
      </c>
      <c r="K9376" s="2">
        <v>1</v>
      </c>
      <c r="L9376" s="2">
        <v>379</v>
      </c>
    </row>
    <row r="9377" spans="1:12" x14ac:dyDescent="0.25">
      <c r="A9377" s="4" t="str">
        <f>HYPERLINK("http://www.rosaceae.org/Prunus/Prunus_persica/p.persica_gdr_reftransV1_0010730","p.persica_gdr_reftransV1_0010730")</f>
        <v>p.persica_gdr_reftransV1_0010730</v>
      </c>
      <c r="B9377" s="2">
        <v>1344</v>
      </c>
      <c r="C9377" s="4" t="str">
        <f>HYPERLINK("http://www.uniprot.org/uniprot/M5WHX2","M5WHX2")</f>
        <v>M5WHX2</v>
      </c>
      <c r="D9377" s="2" t="s">
        <v>8135</v>
      </c>
      <c r="E9377" s="3">
        <v>6.2700000000000002E-117</v>
      </c>
      <c r="F9377" s="2">
        <v>903</v>
      </c>
      <c r="G9377" s="2">
        <v>100</v>
      </c>
      <c r="H9377" s="2">
        <v>187</v>
      </c>
      <c r="I9377" s="2">
        <v>632</v>
      </c>
      <c r="J9377" s="2">
        <v>1192</v>
      </c>
      <c r="K9377" s="2">
        <v>1</v>
      </c>
      <c r="L9377" s="2">
        <v>187</v>
      </c>
    </row>
    <row r="9378" spans="1:12" x14ac:dyDescent="0.25">
      <c r="A9378" s="4" t="str">
        <f>HYPERLINK("http://www.rosaceae.org/Prunus/Prunus_persica/p.persica_gdr_reftransV1_0011080","p.persica_gdr_reftransV1_0011080")</f>
        <v>p.persica_gdr_reftransV1_0011080</v>
      </c>
      <c r="B9378" s="2">
        <v>1571</v>
      </c>
      <c r="C9378" s="4" t="str">
        <f>HYPERLINK("http://www.uniprot.org/uniprot/M5XIY6","M5XIY6")</f>
        <v>M5XIY6</v>
      </c>
      <c r="D9378" s="2" t="s">
        <v>8136</v>
      </c>
      <c r="E9378" s="3">
        <v>7.1300000000000003E-158</v>
      </c>
      <c r="F9378" s="2">
        <v>1189</v>
      </c>
      <c r="G9378" s="2">
        <v>87</v>
      </c>
      <c r="H9378" s="2">
        <v>303</v>
      </c>
      <c r="I9378" s="2">
        <v>43</v>
      </c>
      <c r="J9378" s="2">
        <v>951</v>
      </c>
      <c r="K9378" s="2">
        <v>1</v>
      </c>
      <c r="L9378" s="2">
        <v>269</v>
      </c>
    </row>
    <row r="9379" spans="1:12" x14ac:dyDescent="0.25">
      <c r="A9379" s="4" t="str">
        <f>HYPERLINK("http://www.rosaceae.org/Prunus/Prunus_persica/p.persica_gdr_reftransV1_0012130","p.persica_gdr_reftransV1_0012130")</f>
        <v>p.persica_gdr_reftransV1_0012130</v>
      </c>
      <c r="B9379" s="2">
        <v>2936</v>
      </c>
      <c r="C9379" s="4" t="str">
        <f>HYPERLINK("http://www.uniprot.org/uniprot/C0Z2G4","C0Z2G4")</f>
        <v>C0Z2G4</v>
      </c>
      <c r="D9379" s="2" t="s">
        <v>8137</v>
      </c>
      <c r="E9379" s="3">
        <v>8.0299999999999998E-60</v>
      </c>
      <c r="F9379" s="2">
        <v>552</v>
      </c>
      <c r="G9379" s="2">
        <v>89</v>
      </c>
      <c r="H9379" s="2">
        <v>116</v>
      </c>
      <c r="I9379" s="2">
        <v>2153</v>
      </c>
      <c r="J9379" s="2">
        <v>2482</v>
      </c>
      <c r="K9379" s="2">
        <v>184</v>
      </c>
      <c r="L9379" s="2">
        <v>299</v>
      </c>
    </row>
    <row r="9380" spans="1:12" x14ac:dyDescent="0.25">
      <c r="A9380" s="4" t="str">
        <f>HYPERLINK("http://www.rosaceae.org/Prunus/Prunus_persica/p.persica_gdr_reftransV1_0012480","p.persica_gdr_reftransV1_0012480")</f>
        <v>p.persica_gdr_reftransV1_0012480</v>
      </c>
      <c r="B9380" s="2">
        <v>839</v>
      </c>
      <c r="C9380" s="4" t="str">
        <f>HYPERLINK("http://www.uniprot.org/uniprot/M5W1U9","M5W1U9")</f>
        <v>M5W1U9</v>
      </c>
      <c r="D9380" s="2" t="s">
        <v>8138</v>
      </c>
      <c r="E9380" s="3">
        <v>3.1099999999999998E-82</v>
      </c>
      <c r="F9380" s="2">
        <v>650</v>
      </c>
      <c r="G9380" s="2">
        <v>100</v>
      </c>
      <c r="H9380" s="2">
        <v>123</v>
      </c>
      <c r="I9380" s="2">
        <v>340</v>
      </c>
      <c r="J9380" s="2">
        <v>708</v>
      </c>
      <c r="K9380" s="2">
        <v>1</v>
      </c>
      <c r="L9380" s="2">
        <v>123</v>
      </c>
    </row>
    <row r="9381" spans="1:12" x14ac:dyDescent="0.25">
      <c r="A9381" s="4" t="str">
        <f>HYPERLINK("http://www.rosaceae.org/Prunus/Prunus_persica/p.persica_gdr_reftransV1_0013530","p.persica_gdr_reftransV1_0013530")</f>
        <v>p.persica_gdr_reftransV1_0013530</v>
      </c>
      <c r="B9381" s="2">
        <v>2193</v>
      </c>
      <c r="C9381" s="4" t="str">
        <f>HYPERLINK("http://www.uniprot.org/uniprot/M5W6K2","M5W6K2")</f>
        <v>M5W6K2</v>
      </c>
      <c r="D9381" s="2" t="s">
        <v>8139</v>
      </c>
      <c r="E9381" s="3">
        <v>0</v>
      </c>
      <c r="F9381" s="2">
        <v>2474</v>
      </c>
      <c r="G9381" s="2">
        <v>100</v>
      </c>
      <c r="H9381" s="2">
        <v>500</v>
      </c>
      <c r="I9381" s="2">
        <v>412</v>
      </c>
      <c r="J9381" s="2">
        <v>1911</v>
      </c>
      <c r="K9381" s="2">
        <v>1</v>
      </c>
      <c r="L9381" s="2">
        <v>500</v>
      </c>
    </row>
    <row r="9382" spans="1:12" x14ac:dyDescent="0.25">
      <c r="A9382" s="4" t="str">
        <f>HYPERLINK("http://www.rosaceae.org/Prunus/Prunus_persica/p.persica_gdr_reftransV1_0013880","p.persica_gdr_reftransV1_0013880")</f>
        <v>p.persica_gdr_reftransV1_0013880</v>
      </c>
      <c r="B9382" s="2">
        <v>1928</v>
      </c>
      <c r="C9382" s="4" t="str">
        <f>HYPERLINK("http://www.uniprot.org/uniprot/M5XVX5","M5XVX5")</f>
        <v>M5XVX5</v>
      </c>
      <c r="D9382" s="2" t="s">
        <v>8140</v>
      </c>
      <c r="E9382" s="3">
        <v>0</v>
      </c>
      <c r="F9382" s="2">
        <v>2523</v>
      </c>
      <c r="G9382" s="2">
        <v>100</v>
      </c>
      <c r="H9382" s="2">
        <v>499</v>
      </c>
      <c r="I9382" s="2">
        <v>160</v>
      </c>
      <c r="J9382" s="2">
        <v>1656</v>
      </c>
      <c r="K9382" s="2">
        <v>1</v>
      </c>
      <c r="L9382" s="2">
        <v>499</v>
      </c>
    </row>
    <row r="9383" spans="1:12" x14ac:dyDescent="0.25">
      <c r="A9383" s="4" t="str">
        <f>HYPERLINK("http://www.rosaceae.org/Prunus/Prunus_persica/p.persica_gdr_reftransV1_0014580","p.persica_gdr_reftransV1_0014580")</f>
        <v>p.persica_gdr_reftransV1_0014580</v>
      </c>
      <c r="B9383" s="2">
        <v>1267</v>
      </c>
      <c r="C9383" s="4" t="str">
        <f>HYPERLINK("http://www.uniprot.org/uniprot/M5WJB5","M5WJB5")</f>
        <v>M5WJB5</v>
      </c>
      <c r="D9383" s="2" t="s">
        <v>8141</v>
      </c>
      <c r="E9383" s="3">
        <v>6.7599999999999998E-52</v>
      </c>
      <c r="F9383" s="2">
        <v>463</v>
      </c>
      <c r="G9383" s="2">
        <v>100</v>
      </c>
      <c r="H9383" s="2">
        <v>138</v>
      </c>
      <c r="I9383" s="2">
        <v>836</v>
      </c>
      <c r="J9383" s="2">
        <v>1249</v>
      </c>
      <c r="K9383" s="2">
        <v>1</v>
      </c>
      <c r="L9383" s="2">
        <v>138</v>
      </c>
    </row>
    <row r="9384" spans="1:12" x14ac:dyDescent="0.25">
      <c r="A9384" s="4" t="str">
        <f>HYPERLINK("http://www.rosaceae.org/Prunus/Prunus_persica/p.persica_gdr_reftransV1_0015630","p.persica_gdr_reftransV1_0015630")</f>
        <v>p.persica_gdr_reftransV1_0015630</v>
      </c>
      <c r="B9384" s="2">
        <v>697</v>
      </c>
      <c r="C9384" s="4" t="str">
        <f>HYPERLINK("http://www.uniprot.org/uniprot/M5WV01","M5WV01")</f>
        <v>M5WV01</v>
      </c>
      <c r="D9384" s="2" t="s">
        <v>8142</v>
      </c>
      <c r="E9384" s="3">
        <v>1.4E-105</v>
      </c>
      <c r="F9384" s="2">
        <v>830</v>
      </c>
      <c r="G9384" s="2">
        <v>100</v>
      </c>
      <c r="H9384" s="2">
        <v>156</v>
      </c>
      <c r="I9384" s="2">
        <v>2</v>
      </c>
      <c r="J9384" s="2">
        <v>469</v>
      </c>
      <c r="K9384" s="2">
        <v>1</v>
      </c>
      <c r="L9384" s="2">
        <v>156</v>
      </c>
    </row>
    <row r="9385" spans="1:12" x14ac:dyDescent="0.25">
      <c r="A9385" s="4" t="str">
        <f>HYPERLINK("http://www.rosaceae.org/Prunus/Prunus_persica/p.persica_gdr_reftransV1_0015980","p.persica_gdr_reftransV1_0015980")</f>
        <v>p.persica_gdr_reftransV1_0015980</v>
      </c>
      <c r="B9385" s="2">
        <v>1731</v>
      </c>
      <c r="C9385" s="4" t="str">
        <f>HYPERLINK("http://www.uniprot.org/uniprot/M5VQ01","M5VQ01")</f>
        <v>M5VQ01</v>
      </c>
      <c r="D9385" s="2" t="s">
        <v>8143</v>
      </c>
      <c r="E9385" s="3">
        <v>0</v>
      </c>
      <c r="F9385" s="2">
        <v>1791</v>
      </c>
      <c r="G9385" s="2">
        <v>100</v>
      </c>
      <c r="H9385" s="2">
        <v>344</v>
      </c>
      <c r="I9385" s="2">
        <v>326</v>
      </c>
      <c r="J9385" s="2">
        <v>1357</v>
      </c>
      <c r="K9385" s="2">
        <v>59</v>
      </c>
      <c r="L9385" s="2">
        <v>402</v>
      </c>
    </row>
    <row r="9386" spans="1:12" x14ac:dyDescent="0.25">
      <c r="A9386" s="4" t="str">
        <f>HYPERLINK("http://www.rosaceae.org/Prunus/Prunus_persica/p.persica_gdr_reftransV1_0016680","p.persica_gdr_reftransV1_0016680")</f>
        <v>p.persica_gdr_reftransV1_0016680</v>
      </c>
      <c r="B9386" s="2">
        <v>906</v>
      </c>
      <c r="C9386" s="4" t="str">
        <f>HYPERLINK("http://www.uniprot.org/uniprot/M5XNT0","M5XNT0")</f>
        <v>M5XNT0</v>
      </c>
      <c r="D9386" s="2" t="s">
        <v>8144</v>
      </c>
      <c r="E9386" s="3">
        <v>2.8100000000000002E-34</v>
      </c>
      <c r="F9386" s="2">
        <v>328</v>
      </c>
      <c r="G9386" s="2">
        <v>100</v>
      </c>
      <c r="H9386" s="2">
        <v>64</v>
      </c>
      <c r="I9386" s="2">
        <v>608</v>
      </c>
      <c r="J9386" s="2">
        <v>799</v>
      </c>
      <c r="K9386" s="2">
        <v>25</v>
      </c>
      <c r="L9386" s="2">
        <v>88</v>
      </c>
    </row>
    <row r="9387" spans="1:12" x14ac:dyDescent="0.25">
      <c r="A9387" s="4" t="str">
        <f>HYPERLINK("http://www.rosaceae.org/Prunus/Prunus_persica/p.persica_gdr_reftransV1_0017380","p.persica_gdr_reftransV1_0017380")</f>
        <v>p.persica_gdr_reftransV1_0017380</v>
      </c>
      <c r="B9387" s="2">
        <v>1466</v>
      </c>
      <c r="C9387" s="4" t="str">
        <f>HYPERLINK("http://www.uniprot.org/uniprot/M5W9V3","M5W9V3")</f>
        <v>M5W9V3</v>
      </c>
      <c r="D9387" s="2" t="s">
        <v>8145</v>
      </c>
      <c r="E9387" s="3">
        <v>0</v>
      </c>
      <c r="F9387" s="2">
        <v>1408</v>
      </c>
      <c r="G9387" s="2">
        <v>100</v>
      </c>
      <c r="H9387" s="2">
        <v>297</v>
      </c>
      <c r="I9387" s="2">
        <v>329</v>
      </c>
      <c r="J9387" s="2">
        <v>1219</v>
      </c>
      <c r="K9387" s="2">
        <v>1</v>
      </c>
      <c r="L9387" s="2">
        <v>297</v>
      </c>
    </row>
    <row r="9388" spans="1:12" x14ac:dyDescent="0.25">
      <c r="A9388" s="4" t="str">
        <f>HYPERLINK("http://www.rosaceae.org/Prunus/Prunus_persica/p.persica_gdr_reftransV1_0017730","p.persica_gdr_reftransV1_0017730")</f>
        <v>p.persica_gdr_reftransV1_0017730</v>
      </c>
      <c r="B9388" s="2">
        <v>1547</v>
      </c>
      <c r="C9388" s="4" t="str">
        <f>HYPERLINK("http://www.uniprot.org/uniprot/M5WIF0","M5WIF0")</f>
        <v>M5WIF0</v>
      </c>
      <c r="D9388" s="2" t="s">
        <v>8146</v>
      </c>
      <c r="E9388" s="3">
        <v>0</v>
      </c>
      <c r="F9388" s="2">
        <v>1665</v>
      </c>
      <c r="G9388" s="2">
        <v>94</v>
      </c>
      <c r="H9388" s="2">
        <v>384</v>
      </c>
      <c r="I9388" s="2">
        <v>115</v>
      </c>
      <c r="J9388" s="2">
        <v>1266</v>
      </c>
      <c r="K9388" s="2">
        <v>11</v>
      </c>
      <c r="L9388" s="2">
        <v>372</v>
      </c>
    </row>
    <row r="9389" spans="1:12" x14ac:dyDescent="0.25">
      <c r="A9389" s="4" t="str">
        <f>HYPERLINK("http://www.rosaceae.org/Prunus/Prunus_persica/p.persica_gdr_reftransV1_0018080","p.persica_gdr_reftransV1_0018080")</f>
        <v>p.persica_gdr_reftransV1_0018080</v>
      </c>
      <c r="B9389" s="2">
        <v>2029</v>
      </c>
      <c r="C9389" s="4" t="str">
        <f>HYPERLINK("http://www.uniprot.org/uniprot/M5X3B0","M5X3B0")</f>
        <v>M5X3B0</v>
      </c>
      <c r="D9389" s="2" t="s">
        <v>8147</v>
      </c>
      <c r="E9389" s="3">
        <v>0</v>
      </c>
      <c r="F9389" s="2">
        <v>2952</v>
      </c>
      <c r="G9389" s="2">
        <v>100</v>
      </c>
      <c r="H9389" s="2">
        <v>549</v>
      </c>
      <c r="I9389" s="2">
        <v>298</v>
      </c>
      <c r="J9389" s="2">
        <v>1944</v>
      </c>
      <c r="K9389" s="2">
        <v>1</v>
      </c>
      <c r="L9389" s="2">
        <v>549</v>
      </c>
    </row>
    <row r="9390" spans="1:12" x14ac:dyDescent="0.25">
      <c r="A9390" s="4" t="str">
        <f>HYPERLINK("http://www.rosaceae.org/Prunus/Prunus_persica/p.persica_gdr_reftransV1_0018430","p.persica_gdr_reftransV1_0018430")</f>
        <v>p.persica_gdr_reftransV1_0018430</v>
      </c>
      <c r="B9390" s="2">
        <v>649</v>
      </c>
      <c r="C9390" s="4" t="str">
        <f>HYPERLINK("http://www.uniprot.org/uniprot/M5Y437","M5Y437")</f>
        <v>M5Y437</v>
      </c>
      <c r="D9390" s="2" t="s">
        <v>1938</v>
      </c>
      <c r="E9390" s="3">
        <v>1.1099999999999999E-111</v>
      </c>
      <c r="F9390" s="2">
        <v>905</v>
      </c>
      <c r="G9390" s="2">
        <v>100</v>
      </c>
      <c r="H9390" s="2">
        <v>187</v>
      </c>
      <c r="I9390" s="2">
        <v>1</v>
      </c>
      <c r="J9390" s="2">
        <v>561</v>
      </c>
      <c r="K9390" s="2">
        <v>1</v>
      </c>
      <c r="L9390" s="2">
        <v>187</v>
      </c>
    </row>
    <row r="9391" spans="1:12" x14ac:dyDescent="0.25">
      <c r="A9391" s="4" t="str">
        <f>HYPERLINK("http://www.rosaceae.org/Prunus/Prunus_persica/p.persica_gdr_reftransV1_0018780","p.persica_gdr_reftransV1_0018780")</f>
        <v>p.persica_gdr_reftransV1_0018780</v>
      </c>
      <c r="B9391" s="2">
        <v>5661</v>
      </c>
      <c r="C9391" s="4" t="str">
        <f>HYPERLINK("http://www.uniprot.org/uniprot/M5X025","M5X025")</f>
        <v>M5X025</v>
      </c>
      <c r="D9391" s="2" t="s">
        <v>7620</v>
      </c>
      <c r="E9391" s="3">
        <v>0</v>
      </c>
      <c r="F9391" s="2">
        <v>4878</v>
      </c>
      <c r="G9391" s="2">
        <v>100</v>
      </c>
      <c r="H9391" s="2">
        <v>1035</v>
      </c>
      <c r="I9391" s="2">
        <v>1393</v>
      </c>
      <c r="J9391" s="2">
        <v>4497</v>
      </c>
      <c r="K9391" s="2">
        <v>197</v>
      </c>
      <c r="L9391" s="2">
        <v>1231</v>
      </c>
    </row>
    <row r="9392" spans="1:12" x14ac:dyDescent="0.25">
      <c r="A9392" s="4" t="str">
        <f>HYPERLINK("http://www.rosaceae.org/Prunus/Prunus_persica/p.persica_gdr_reftransV1_0020180","p.persica_gdr_reftransV1_0020180")</f>
        <v>p.persica_gdr_reftransV1_0020180</v>
      </c>
      <c r="B9392" s="2">
        <v>1713</v>
      </c>
      <c r="C9392" s="4" t="str">
        <f>HYPERLINK("http://www.uniprot.org/uniprot/M5XEU2","M5XEU2")</f>
        <v>M5XEU2</v>
      </c>
      <c r="D9392" s="2" t="s">
        <v>8148</v>
      </c>
      <c r="E9392" s="3">
        <v>0</v>
      </c>
      <c r="F9392" s="2">
        <v>2056</v>
      </c>
      <c r="G9392" s="2">
        <v>96</v>
      </c>
      <c r="H9392" s="2">
        <v>421</v>
      </c>
      <c r="I9392" s="2">
        <v>258</v>
      </c>
      <c r="J9392" s="2">
        <v>1520</v>
      </c>
      <c r="K9392" s="2">
        <v>1</v>
      </c>
      <c r="L9392" s="2">
        <v>406</v>
      </c>
    </row>
    <row r="9393" spans="1:12" x14ac:dyDescent="0.25">
      <c r="A9393" s="4" t="str">
        <f>HYPERLINK("http://www.rosaceae.org/Prunus/Prunus_persica/p.persica_gdr_reftransV1_0022280","p.persica_gdr_reftransV1_0022280")</f>
        <v>p.persica_gdr_reftransV1_0022280</v>
      </c>
      <c r="B9393" s="2">
        <v>1862</v>
      </c>
      <c r="C9393" s="4" t="str">
        <f>HYPERLINK("http://www.uniprot.org/uniprot/M5WG50","M5WG50")</f>
        <v>M5WG50</v>
      </c>
      <c r="D9393" s="2" t="s">
        <v>8149</v>
      </c>
      <c r="E9393" s="3">
        <v>0</v>
      </c>
      <c r="F9393" s="2">
        <v>1835</v>
      </c>
      <c r="G9393" s="2">
        <v>100</v>
      </c>
      <c r="H9393" s="2">
        <v>354</v>
      </c>
      <c r="I9393" s="2">
        <v>333</v>
      </c>
      <c r="J9393" s="2">
        <v>1394</v>
      </c>
      <c r="K9393" s="2">
        <v>1</v>
      </c>
      <c r="L9393" s="2">
        <v>354</v>
      </c>
    </row>
    <row r="9394" spans="1:12" x14ac:dyDescent="0.25">
      <c r="A9394" s="4" t="str">
        <f>HYPERLINK("http://www.rosaceae.org/Prunus/Prunus_persica/p.persica_gdr_reftransV1_0022980","p.persica_gdr_reftransV1_0022980")</f>
        <v>p.persica_gdr_reftransV1_0022980</v>
      </c>
      <c r="B9394" s="2">
        <v>3083</v>
      </c>
      <c r="C9394" s="4" t="str">
        <f>HYPERLINK("http://www.uniprot.org/uniprot/M5WF58","M5WF58")</f>
        <v>M5WF58</v>
      </c>
      <c r="D9394" s="2" t="s">
        <v>8150</v>
      </c>
      <c r="E9394" s="3">
        <v>0</v>
      </c>
      <c r="F9394" s="2">
        <v>2110</v>
      </c>
      <c r="G9394" s="2">
        <v>100</v>
      </c>
      <c r="H9394" s="2">
        <v>451</v>
      </c>
      <c r="I9394" s="2">
        <v>30</v>
      </c>
      <c r="J9394" s="2">
        <v>1382</v>
      </c>
      <c r="K9394" s="2">
        <v>1</v>
      </c>
      <c r="L9394" s="2">
        <v>451</v>
      </c>
    </row>
    <row r="9395" spans="1:12" x14ac:dyDescent="0.25">
      <c r="A9395" s="4" t="str">
        <f>HYPERLINK("http://www.rosaceae.org/Prunus/Prunus_persica/p.persica_gdr_reftransV1_0023680","p.persica_gdr_reftransV1_0023680")</f>
        <v>p.persica_gdr_reftransV1_0023680</v>
      </c>
      <c r="B9395" s="2">
        <v>3167</v>
      </c>
      <c r="C9395" s="4" t="str">
        <f>HYPERLINK("http://www.uniprot.org/uniprot/M5XK42","M5XK42")</f>
        <v>M5XK42</v>
      </c>
      <c r="D9395" s="2" t="s">
        <v>8151</v>
      </c>
      <c r="E9395" s="3">
        <v>0</v>
      </c>
      <c r="F9395" s="2">
        <v>3368</v>
      </c>
      <c r="G9395" s="2">
        <v>100</v>
      </c>
      <c r="H9395" s="2">
        <v>624</v>
      </c>
      <c r="I9395" s="2">
        <v>386</v>
      </c>
      <c r="J9395" s="2">
        <v>2257</v>
      </c>
      <c r="K9395" s="2">
        <v>1</v>
      </c>
      <c r="L9395" s="2">
        <v>624</v>
      </c>
    </row>
    <row r="9396" spans="1:12" x14ac:dyDescent="0.25">
      <c r="A9396" s="4" t="str">
        <f>HYPERLINK("http://www.rosaceae.org/Prunus/Prunus_persica/p.persica_gdr_reftransV1_0024730","p.persica_gdr_reftransV1_0024730")</f>
        <v>p.persica_gdr_reftransV1_0024730</v>
      </c>
      <c r="B9396" s="2">
        <v>1161</v>
      </c>
      <c r="C9396" s="4" t="str">
        <f>HYPERLINK("http://www.uniprot.org/uniprot/M5VXM8","M5VXM8")</f>
        <v>M5VXM8</v>
      </c>
      <c r="D9396" s="2" t="s">
        <v>8152</v>
      </c>
      <c r="E9396" s="3">
        <v>0</v>
      </c>
      <c r="F9396" s="2">
        <v>1679</v>
      </c>
      <c r="G9396" s="2">
        <v>100</v>
      </c>
      <c r="H9396" s="2">
        <v>314</v>
      </c>
      <c r="I9396" s="2">
        <v>220</v>
      </c>
      <c r="J9396" s="2">
        <v>1161</v>
      </c>
      <c r="K9396" s="2">
        <v>494</v>
      </c>
      <c r="L9396" s="2">
        <v>807</v>
      </c>
    </row>
    <row r="9397" spans="1:12" x14ac:dyDescent="0.25">
      <c r="A9397" s="4" t="str">
        <f>HYPERLINK("http://www.rosaceae.org/Prunus/Prunus_persica/p.persica_gdr_reftransV1_0025080","p.persica_gdr_reftransV1_0025080")</f>
        <v>p.persica_gdr_reftransV1_0025080</v>
      </c>
      <c r="B9397" s="2">
        <v>2886</v>
      </c>
      <c r="C9397" s="4" t="str">
        <f>HYPERLINK("http://www.uniprot.org/uniprot/M5XUB2","M5XUB2")</f>
        <v>M5XUB2</v>
      </c>
      <c r="D9397" s="2" t="s">
        <v>8153</v>
      </c>
      <c r="E9397" s="3">
        <v>0</v>
      </c>
      <c r="F9397" s="2">
        <v>1956</v>
      </c>
      <c r="G9397" s="2">
        <v>87</v>
      </c>
      <c r="H9397" s="2">
        <v>436</v>
      </c>
      <c r="I9397" s="2">
        <v>808</v>
      </c>
      <c r="J9397" s="2">
        <v>2115</v>
      </c>
      <c r="K9397" s="2">
        <v>56</v>
      </c>
      <c r="L9397" s="2">
        <v>458</v>
      </c>
    </row>
    <row r="9398" spans="1:12" x14ac:dyDescent="0.25">
      <c r="A9398" s="4" t="str">
        <f>HYPERLINK("http://www.rosaceae.org/Prunus/Prunus_persica/p.persica_gdr_reftransV1_0025780","p.persica_gdr_reftransV1_0025780")</f>
        <v>p.persica_gdr_reftransV1_0025780</v>
      </c>
      <c r="B9398" s="2">
        <v>2988</v>
      </c>
      <c r="C9398" s="4" t="str">
        <f>HYPERLINK("http://www.uniprot.org/uniprot/M5XPB3","M5XPB3")</f>
        <v>M5XPB3</v>
      </c>
      <c r="D9398" s="2" t="s">
        <v>8154</v>
      </c>
      <c r="E9398" s="3">
        <v>2.7299999999999998E-177</v>
      </c>
      <c r="F9398" s="2">
        <v>1370</v>
      </c>
      <c r="G9398" s="2">
        <v>99</v>
      </c>
      <c r="H9398" s="2">
        <v>263</v>
      </c>
      <c r="I9398" s="2">
        <v>290</v>
      </c>
      <c r="J9398" s="2">
        <v>1078</v>
      </c>
      <c r="K9398" s="2">
        <v>96</v>
      </c>
      <c r="L9398" s="2">
        <v>358</v>
      </c>
    </row>
    <row r="9399" spans="1:12" x14ac:dyDescent="0.25">
      <c r="A9399" s="4" t="str">
        <f>HYPERLINK("http://www.rosaceae.org/Prunus/Prunus_persica/p.persica_gdr_reftransV1_0027180","p.persica_gdr_reftransV1_0027180")</f>
        <v>p.persica_gdr_reftransV1_0027180</v>
      </c>
      <c r="B9399" s="2">
        <v>960</v>
      </c>
      <c r="C9399" s="4" t="str">
        <f>HYPERLINK("http://www.uniprot.org/uniprot/M5W2V6","M5W2V6")</f>
        <v>M5W2V6</v>
      </c>
      <c r="D9399" s="2" t="s">
        <v>8155</v>
      </c>
      <c r="E9399" s="3">
        <v>2.7200000000000002E-47</v>
      </c>
      <c r="F9399" s="2">
        <v>435</v>
      </c>
      <c r="G9399" s="2">
        <v>100</v>
      </c>
      <c r="H9399" s="2">
        <v>76</v>
      </c>
      <c r="I9399" s="2">
        <v>94</v>
      </c>
      <c r="J9399" s="2">
        <v>321</v>
      </c>
      <c r="K9399" s="2">
        <v>219</v>
      </c>
      <c r="L9399" s="2">
        <v>294</v>
      </c>
    </row>
    <row r="9400" spans="1:12" x14ac:dyDescent="0.25">
      <c r="A9400" s="4" t="str">
        <f>HYPERLINK("http://www.rosaceae.org/Prunus/Prunus_persica/p.persica_gdr_reftransV1_0028930","p.persica_gdr_reftransV1_0028930")</f>
        <v>p.persica_gdr_reftransV1_0028930</v>
      </c>
      <c r="B9400" s="2">
        <v>2059</v>
      </c>
      <c r="C9400" s="4" t="str">
        <f>HYPERLINK("http://www.uniprot.org/uniprot/M5Y4Z1","M5Y4Z1")</f>
        <v>M5Y4Z1</v>
      </c>
      <c r="D9400" s="2" t="s">
        <v>8156</v>
      </c>
      <c r="E9400" s="3">
        <v>0</v>
      </c>
      <c r="F9400" s="2">
        <v>2248</v>
      </c>
      <c r="G9400" s="2">
        <v>94</v>
      </c>
      <c r="H9400" s="2">
        <v>477</v>
      </c>
      <c r="I9400" s="2">
        <v>494</v>
      </c>
      <c r="J9400" s="2">
        <v>1924</v>
      </c>
      <c r="K9400" s="2">
        <v>21</v>
      </c>
      <c r="L9400" s="2">
        <v>470</v>
      </c>
    </row>
    <row r="9401" spans="1:12" x14ac:dyDescent="0.25">
      <c r="A9401" s="4" t="str">
        <f>HYPERLINK("http://www.rosaceae.org/Prunus/Prunus_persica/p.persica_gdr_reftransV1_0029630","p.persica_gdr_reftransV1_0029630")</f>
        <v>p.persica_gdr_reftransV1_0029630</v>
      </c>
      <c r="B9401" s="2">
        <v>1993</v>
      </c>
      <c r="C9401" s="4" t="str">
        <f>HYPERLINK("http://www.uniprot.org/uniprot/M5XR53","M5XR53")</f>
        <v>M5XR53</v>
      </c>
      <c r="D9401" s="2" t="s">
        <v>8157</v>
      </c>
      <c r="E9401" s="3">
        <v>0</v>
      </c>
      <c r="F9401" s="2">
        <v>3342</v>
      </c>
      <c r="G9401" s="2">
        <v>97</v>
      </c>
      <c r="H9401" s="2">
        <v>664</v>
      </c>
      <c r="I9401" s="2">
        <v>1</v>
      </c>
      <c r="J9401" s="2">
        <v>1992</v>
      </c>
      <c r="K9401" s="2">
        <v>154</v>
      </c>
      <c r="L9401" s="2">
        <v>815</v>
      </c>
    </row>
    <row r="9402" spans="1:12" x14ac:dyDescent="0.25">
      <c r="A9402" s="4" t="str">
        <f>HYPERLINK("http://www.rosaceae.org/Prunus/Prunus_persica/p.persica_gdr_reftransV1_0031030","p.persica_gdr_reftransV1_0031030")</f>
        <v>p.persica_gdr_reftransV1_0031030</v>
      </c>
      <c r="B9402" s="2">
        <v>1871</v>
      </c>
      <c r="C9402" s="4" t="str">
        <f>HYPERLINK("http://www.uniprot.org/uniprot/M5W641","M5W641")</f>
        <v>M5W641</v>
      </c>
      <c r="D9402" s="2" t="s">
        <v>8158</v>
      </c>
      <c r="E9402" s="3">
        <v>0</v>
      </c>
      <c r="F9402" s="2">
        <v>1981</v>
      </c>
      <c r="G9402" s="2">
        <v>100</v>
      </c>
      <c r="H9402" s="2">
        <v>365</v>
      </c>
      <c r="I9402" s="2">
        <v>329</v>
      </c>
      <c r="J9402" s="2">
        <v>1423</v>
      </c>
      <c r="K9402" s="2">
        <v>24</v>
      </c>
      <c r="L9402" s="2">
        <v>388</v>
      </c>
    </row>
    <row r="9403" spans="1:12" x14ac:dyDescent="0.25">
      <c r="A9403" s="4" t="str">
        <f>HYPERLINK("http://www.rosaceae.org/Prunus/Prunus_persica/p.persica_gdr_reftransV1_0034180","p.persica_gdr_reftransV1_0034180")</f>
        <v>p.persica_gdr_reftransV1_0034180</v>
      </c>
      <c r="B9403" s="2">
        <v>1174</v>
      </c>
      <c r="C9403" s="4" t="str">
        <f>HYPERLINK("http://www.uniprot.org/uniprot/M5VZY0","M5VZY0")</f>
        <v>M5VZY0</v>
      </c>
      <c r="D9403" s="2" t="s">
        <v>8159</v>
      </c>
      <c r="E9403" s="3">
        <v>8.0100000000000002E-137</v>
      </c>
      <c r="F9403" s="2">
        <v>1034</v>
      </c>
      <c r="G9403" s="2">
        <v>96</v>
      </c>
      <c r="H9403" s="2">
        <v>223</v>
      </c>
      <c r="I9403" s="2">
        <v>329</v>
      </c>
      <c r="J9403" s="2">
        <v>970</v>
      </c>
      <c r="K9403" s="2">
        <v>14</v>
      </c>
      <c r="L9403" s="2">
        <v>236</v>
      </c>
    </row>
    <row r="9404" spans="1:12" x14ac:dyDescent="0.25">
      <c r="A9404" s="4" t="str">
        <f>HYPERLINK("http://www.rosaceae.org/Prunus/Prunus_persica/p.persica_gdr_reftransV1_0034530","p.persica_gdr_reftransV1_0034530")</f>
        <v>p.persica_gdr_reftransV1_0034530</v>
      </c>
      <c r="B9404" s="2">
        <v>2517</v>
      </c>
      <c r="C9404" s="4" t="str">
        <f>HYPERLINK("http://www.uniprot.org/uniprot/M5W210","M5W210")</f>
        <v>M5W210</v>
      </c>
      <c r="D9404" s="2" t="s">
        <v>8160</v>
      </c>
      <c r="E9404" s="3">
        <v>8.0299999999999995E-161</v>
      </c>
      <c r="F9404" s="2">
        <v>1254</v>
      </c>
      <c r="G9404" s="2">
        <v>99</v>
      </c>
      <c r="H9404" s="2">
        <v>260</v>
      </c>
      <c r="I9404" s="2">
        <v>1518</v>
      </c>
      <c r="J9404" s="2">
        <v>2297</v>
      </c>
      <c r="K9404" s="2">
        <v>1</v>
      </c>
      <c r="L9404" s="2">
        <v>260</v>
      </c>
    </row>
    <row r="9405" spans="1:12" x14ac:dyDescent="0.25">
      <c r="A9405" s="4" t="str">
        <f>HYPERLINK("http://www.rosaceae.org/Prunus/Prunus_persica/p.persica_gdr_reftransV1_0035930","p.persica_gdr_reftransV1_0035930")</f>
        <v>p.persica_gdr_reftransV1_0035930</v>
      </c>
      <c r="B9405" s="2">
        <v>1727</v>
      </c>
      <c r="C9405" s="4" t="str">
        <f>HYPERLINK("http://www.uniprot.org/uniprot/A0A061EK11","A0A061EK11")</f>
        <v>A0A061EK11</v>
      </c>
      <c r="D9405" s="2" t="s">
        <v>8161</v>
      </c>
      <c r="E9405" s="3">
        <v>5.2699999999999996E-47</v>
      </c>
      <c r="F9405" s="2">
        <v>463</v>
      </c>
      <c r="G9405" s="2">
        <v>59</v>
      </c>
      <c r="H9405" s="2">
        <v>143</v>
      </c>
      <c r="I9405" s="2">
        <v>626</v>
      </c>
      <c r="J9405" s="2">
        <v>1054</v>
      </c>
      <c r="K9405" s="2">
        <v>384</v>
      </c>
      <c r="L9405" s="2">
        <v>526</v>
      </c>
    </row>
    <row r="9406" spans="1:12" x14ac:dyDescent="0.25">
      <c r="A9406" s="4" t="str">
        <f>HYPERLINK("http://www.rosaceae.org/Prunus/Prunus_persica/p.persica_gdr_reftransV1_0036980","p.persica_gdr_reftransV1_0036980")</f>
        <v>p.persica_gdr_reftransV1_0036980</v>
      </c>
      <c r="B9406" s="2">
        <v>2070</v>
      </c>
      <c r="C9406" s="4" t="str">
        <f>HYPERLINK("http://www.uniprot.org/uniprot/M5XDE3","M5XDE3")</f>
        <v>M5XDE3</v>
      </c>
      <c r="D9406" s="2" t="s">
        <v>8162</v>
      </c>
      <c r="E9406" s="3">
        <v>0</v>
      </c>
      <c r="F9406" s="2">
        <v>1748</v>
      </c>
      <c r="G9406" s="2">
        <v>100</v>
      </c>
      <c r="H9406" s="2">
        <v>331</v>
      </c>
      <c r="I9406" s="2">
        <v>826</v>
      </c>
      <c r="J9406" s="2">
        <v>1818</v>
      </c>
      <c r="K9406" s="2">
        <v>1</v>
      </c>
      <c r="L9406" s="2">
        <v>331</v>
      </c>
    </row>
    <row r="9407" spans="1:12" x14ac:dyDescent="0.25">
      <c r="A9407" s="4" t="str">
        <f>HYPERLINK("http://www.rosaceae.org/Prunus/Prunus_persica/p.persica_gdr_reftransV1_0037330","p.persica_gdr_reftransV1_0037330")</f>
        <v>p.persica_gdr_reftransV1_0037330</v>
      </c>
      <c r="B9407" s="2">
        <v>1872</v>
      </c>
      <c r="C9407" s="4" t="str">
        <f>HYPERLINK("http://www.uniprot.org/uniprot/M5VPA5","M5VPA5")</f>
        <v>M5VPA5</v>
      </c>
      <c r="D9407" s="2" t="s">
        <v>8163</v>
      </c>
      <c r="E9407" s="3">
        <v>2.11E-92</v>
      </c>
      <c r="F9407" s="2">
        <v>750</v>
      </c>
      <c r="G9407" s="2">
        <v>100</v>
      </c>
      <c r="H9407" s="2">
        <v>145</v>
      </c>
      <c r="I9407" s="2">
        <v>49</v>
      </c>
      <c r="J9407" s="2">
        <v>483</v>
      </c>
      <c r="K9407" s="2">
        <v>1</v>
      </c>
      <c r="L9407" s="2">
        <v>145</v>
      </c>
    </row>
    <row r="9408" spans="1:12" x14ac:dyDescent="0.25">
      <c r="A9408" s="4" t="str">
        <f>HYPERLINK("http://www.rosaceae.org/Prunus/Prunus_persica/p.persica_gdr_reftransV1_0038380","p.persica_gdr_reftransV1_0038380")</f>
        <v>p.persica_gdr_reftransV1_0038380</v>
      </c>
      <c r="B9408" s="2">
        <v>1738</v>
      </c>
      <c r="C9408" s="4" t="str">
        <f>HYPERLINK("http://www.uniprot.org/uniprot/M5XPB6","M5XPB6")</f>
        <v>M5XPB6</v>
      </c>
      <c r="D9408" s="2" t="s">
        <v>8164</v>
      </c>
      <c r="E9408" s="3">
        <v>0</v>
      </c>
      <c r="F9408" s="2">
        <v>2077</v>
      </c>
      <c r="G9408" s="2">
        <v>100</v>
      </c>
      <c r="H9408" s="2">
        <v>392</v>
      </c>
      <c r="I9408" s="2">
        <v>277</v>
      </c>
      <c r="J9408" s="2">
        <v>1452</v>
      </c>
      <c r="K9408" s="2">
        <v>1</v>
      </c>
      <c r="L9408" s="2">
        <v>392</v>
      </c>
    </row>
    <row r="9409" spans="1:12" x14ac:dyDescent="0.25">
      <c r="A9409" s="4" t="str">
        <f>HYPERLINK("http://www.rosaceae.org/Prunus/Prunus_persica/p.persica_gdr_reftransV1_0042580","p.persica_gdr_reftransV1_0042580")</f>
        <v>p.persica_gdr_reftransV1_0042580</v>
      </c>
      <c r="B9409" s="2">
        <v>1588</v>
      </c>
      <c r="C9409" s="4" t="str">
        <f>HYPERLINK("http://www.uniprot.org/uniprot/M5WJ62","M5WJ62")</f>
        <v>M5WJ62</v>
      </c>
      <c r="D9409" s="2" t="s">
        <v>7517</v>
      </c>
      <c r="E9409" s="3">
        <v>1.27E-55</v>
      </c>
      <c r="F9409" s="2">
        <v>497</v>
      </c>
      <c r="G9409" s="2">
        <v>100</v>
      </c>
      <c r="H9409" s="2">
        <v>117</v>
      </c>
      <c r="I9409" s="2">
        <v>114</v>
      </c>
      <c r="J9409" s="2">
        <v>464</v>
      </c>
      <c r="K9409" s="2">
        <v>1</v>
      </c>
      <c r="L9409" s="2">
        <v>117</v>
      </c>
    </row>
    <row r="9410" spans="1:12" x14ac:dyDescent="0.25">
      <c r="A9410" s="4" t="str">
        <f>HYPERLINK("http://www.rosaceae.org/Prunus/Prunus_persica/p.persica_gdr_reftransV1_0043630","p.persica_gdr_reftransV1_0043630")</f>
        <v>p.persica_gdr_reftransV1_0043630</v>
      </c>
      <c r="B9410" s="2">
        <v>2001</v>
      </c>
      <c r="C9410" s="4" t="str">
        <f>HYPERLINK("http://www.uniprot.org/uniprot/M5XRT7","M5XRT7")</f>
        <v>M5XRT7</v>
      </c>
      <c r="D9410" s="2" t="s">
        <v>8165</v>
      </c>
      <c r="E9410" s="3">
        <v>0</v>
      </c>
      <c r="F9410" s="2">
        <v>3240</v>
      </c>
      <c r="G9410" s="2">
        <v>100</v>
      </c>
      <c r="H9410" s="2">
        <v>629</v>
      </c>
      <c r="I9410" s="2">
        <v>104</v>
      </c>
      <c r="J9410" s="2">
        <v>1990</v>
      </c>
      <c r="K9410" s="2">
        <v>1</v>
      </c>
      <c r="L9410" s="2">
        <v>629</v>
      </c>
    </row>
    <row r="9411" spans="1:12" x14ac:dyDescent="0.25">
      <c r="A9411" s="4" t="str">
        <f>HYPERLINK("http://www.rosaceae.org/Prunus/Prunus_persica/p.persica_gdr_reftransV1_0043980","p.persica_gdr_reftransV1_0043980")</f>
        <v>p.persica_gdr_reftransV1_0043980</v>
      </c>
      <c r="B9411" s="2">
        <v>985</v>
      </c>
      <c r="C9411" s="4" t="str">
        <f>HYPERLINK("http://www.uniprot.org/uniprot/M5XPF4","M5XPF4")</f>
        <v>M5XPF4</v>
      </c>
      <c r="D9411" s="2" t="s">
        <v>8166</v>
      </c>
      <c r="E9411" s="3">
        <v>3.3099999999999999E-116</v>
      </c>
      <c r="F9411" s="2">
        <v>895</v>
      </c>
      <c r="G9411" s="2">
        <v>100</v>
      </c>
      <c r="H9411" s="2">
        <v>195</v>
      </c>
      <c r="I9411" s="2">
        <v>303</v>
      </c>
      <c r="J9411" s="2">
        <v>887</v>
      </c>
      <c r="K9411" s="2">
        <v>1</v>
      </c>
      <c r="L9411" s="2">
        <v>195</v>
      </c>
    </row>
    <row r="9412" spans="1:12" x14ac:dyDescent="0.25">
      <c r="A9412" s="4" t="str">
        <f>HYPERLINK("http://www.rosaceae.org/Prunus/Prunus_persica/p.persica_gdr_reftransV1_0044330","p.persica_gdr_reftransV1_0044330")</f>
        <v>p.persica_gdr_reftransV1_0044330</v>
      </c>
      <c r="B9412" s="2">
        <v>689</v>
      </c>
      <c r="C9412" s="4" t="str">
        <f>HYPERLINK("http://www.uniprot.org/uniprot/M5VRH9","M5VRH9")</f>
        <v>M5VRH9</v>
      </c>
      <c r="D9412" s="2" t="s">
        <v>8167</v>
      </c>
      <c r="E9412" s="3">
        <v>1.6600000000000001E-51</v>
      </c>
      <c r="F9412" s="2">
        <v>441</v>
      </c>
      <c r="G9412" s="2">
        <v>100</v>
      </c>
      <c r="H9412" s="2">
        <v>124</v>
      </c>
      <c r="I9412" s="2">
        <v>134</v>
      </c>
      <c r="J9412" s="2">
        <v>505</v>
      </c>
      <c r="K9412" s="2">
        <v>1</v>
      </c>
      <c r="L9412" s="2">
        <v>124</v>
      </c>
    </row>
    <row r="9413" spans="1:12" x14ac:dyDescent="0.25">
      <c r="A9413" s="4" t="str">
        <f>HYPERLINK("http://www.rosaceae.org/Prunus/Prunus_persica/p.persica_gdr_reftransV1_0045380","p.persica_gdr_reftransV1_0045380")</f>
        <v>p.persica_gdr_reftransV1_0045380</v>
      </c>
      <c r="B9413" s="2">
        <v>980</v>
      </c>
      <c r="C9413" s="4" t="str">
        <f>HYPERLINK("http://www.uniprot.org/uniprot/M5Y4E7","M5Y4E7")</f>
        <v>M5Y4E7</v>
      </c>
      <c r="D9413" s="2" t="s">
        <v>8168</v>
      </c>
      <c r="E9413" s="3">
        <v>3.1899999999999998E-94</v>
      </c>
      <c r="F9413" s="2">
        <v>797</v>
      </c>
      <c r="G9413" s="2">
        <v>99</v>
      </c>
      <c r="H9413" s="2">
        <v>149</v>
      </c>
      <c r="I9413" s="2">
        <v>13</v>
      </c>
      <c r="J9413" s="2">
        <v>459</v>
      </c>
      <c r="K9413" s="2">
        <v>815</v>
      </c>
      <c r="L9413" s="2">
        <v>963</v>
      </c>
    </row>
    <row r="9414" spans="1:12" x14ac:dyDescent="0.25">
      <c r="A9414" s="4" t="str">
        <f>HYPERLINK("http://www.rosaceae.org/Prunus/Prunus_persica/p.persica_gdr_reftransV1_0045730","p.persica_gdr_reftransV1_0045730")</f>
        <v>p.persica_gdr_reftransV1_0045730</v>
      </c>
      <c r="B9414" s="2">
        <v>1930</v>
      </c>
      <c r="C9414" s="4" t="str">
        <f>HYPERLINK("http://www.uniprot.org/uniprot/M5XQ24","M5XQ24")</f>
        <v>M5XQ24</v>
      </c>
      <c r="D9414" s="2" t="s">
        <v>8169</v>
      </c>
      <c r="E9414" s="3">
        <v>0</v>
      </c>
      <c r="F9414" s="2">
        <v>2175</v>
      </c>
      <c r="G9414" s="2">
        <v>100</v>
      </c>
      <c r="H9414" s="2">
        <v>426</v>
      </c>
      <c r="I9414" s="2">
        <v>176</v>
      </c>
      <c r="J9414" s="2">
        <v>1453</v>
      </c>
      <c r="K9414" s="2">
        <v>1</v>
      </c>
      <c r="L9414" s="2">
        <v>426</v>
      </c>
    </row>
    <row r="9415" spans="1:12" x14ac:dyDescent="0.25">
      <c r="A9415" s="4" t="str">
        <f>HYPERLINK("http://www.rosaceae.org/Prunus/Prunus_persica/p.persica_gdr_reftransV1_0046080","p.persica_gdr_reftransV1_0046080")</f>
        <v>p.persica_gdr_reftransV1_0046080</v>
      </c>
      <c r="B9415" s="2">
        <v>1129</v>
      </c>
      <c r="C9415" s="4" t="str">
        <f>HYPERLINK("http://www.uniprot.org/uniprot/M5XG09","M5XG09")</f>
        <v>M5XG09</v>
      </c>
      <c r="D9415" s="2" t="s">
        <v>8170</v>
      </c>
      <c r="E9415" s="3">
        <v>1.29E-142</v>
      </c>
      <c r="F9415" s="2">
        <v>1069</v>
      </c>
      <c r="G9415" s="2">
        <v>100</v>
      </c>
      <c r="H9415" s="2">
        <v>223</v>
      </c>
      <c r="I9415" s="2">
        <v>353</v>
      </c>
      <c r="J9415" s="2">
        <v>1021</v>
      </c>
      <c r="K9415" s="2">
        <v>1</v>
      </c>
      <c r="L9415" s="2">
        <v>223</v>
      </c>
    </row>
    <row r="9416" spans="1:12" x14ac:dyDescent="0.25">
      <c r="A9416" s="4" t="str">
        <f>HYPERLINK("http://www.rosaceae.org/Prunus/Prunus_persica/p.persica_gdr_reftransV1_0046780","p.persica_gdr_reftransV1_0046780")</f>
        <v>p.persica_gdr_reftransV1_0046780</v>
      </c>
      <c r="B9416" s="2">
        <v>798</v>
      </c>
      <c r="C9416" s="4" t="str">
        <f>HYPERLINK("http://www.uniprot.org/uniprot/M5WDD5","M5WDD5")</f>
        <v>M5WDD5</v>
      </c>
      <c r="D9416" s="2" t="s">
        <v>8171</v>
      </c>
      <c r="E9416" s="3">
        <v>8.5099999999999997E-66</v>
      </c>
      <c r="F9416" s="2">
        <v>538</v>
      </c>
      <c r="G9416" s="2">
        <v>100</v>
      </c>
      <c r="H9416" s="2">
        <v>102</v>
      </c>
      <c r="I9416" s="2">
        <v>423</v>
      </c>
      <c r="J9416" s="2">
        <v>728</v>
      </c>
      <c r="K9416" s="2">
        <v>1</v>
      </c>
      <c r="L9416" s="2">
        <v>102</v>
      </c>
    </row>
    <row r="9417" spans="1:12" x14ac:dyDescent="0.25">
      <c r="A9417" s="4" t="str">
        <f>HYPERLINK("http://www.rosaceae.org/Prunus/Prunus_persica/p.persica_gdr_reftransV1_0047480","p.persica_gdr_reftransV1_0047480")</f>
        <v>p.persica_gdr_reftransV1_0047480</v>
      </c>
      <c r="B9417" s="2">
        <v>448</v>
      </c>
      <c r="C9417" s="4" t="str">
        <f>HYPERLINK("http://www.uniprot.org/uniprot/M5WN96","M5WN96")</f>
        <v>M5WN96</v>
      </c>
      <c r="D9417" s="2" t="s">
        <v>8172</v>
      </c>
      <c r="E9417" s="3">
        <v>8.59E-80</v>
      </c>
      <c r="F9417" s="2">
        <v>636</v>
      </c>
      <c r="G9417" s="2">
        <v>99</v>
      </c>
      <c r="H9417" s="2">
        <v>134</v>
      </c>
      <c r="I9417" s="2">
        <v>45</v>
      </c>
      <c r="J9417" s="2">
        <v>446</v>
      </c>
      <c r="K9417" s="2">
        <v>48</v>
      </c>
      <c r="L9417" s="2">
        <v>181</v>
      </c>
    </row>
    <row r="9418" spans="1:12" x14ac:dyDescent="0.25">
      <c r="A9418" s="4" t="str">
        <f>HYPERLINK("http://www.rosaceae.org/Prunus/Prunus_persica/p.persica_gdr_reftransV1_0048180","p.persica_gdr_reftransV1_0048180")</f>
        <v>p.persica_gdr_reftransV1_0048180</v>
      </c>
      <c r="B9418" s="2">
        <v>1098</v>
      </c>
      <c r="C9418" s="4" t="str">
        <f>HYPERLINK("http://www.uniprot.org/uniprot/M5WTP8","M5WTP8")</f>
        <v>M5WTP8</v>
      </c>
      <c r="D9418" s="2" t="s">
        <v>8173</v>
      </c>
      <c r="E9418" s="3">
        <v>0</v>
      </c>
      <c r="F9418" s="2">
        <v>1629</v>
      </c>
      <c r="G9418" s="2">
        <v>100</v>
      </c>
      <c r="H9418" s="2">
        <v>317</v>
      </c>
      <c r="I9418" s="2">
        <v>147</v>
      </c>
      <c r="J9418" s="2">
        <v>1097</v>
      </c>
      <c r="K9418" s="2">
        <v>43</v>
      </c>
      <c r="L9418" s="2">
        <v>359</v>
      </c>
    </row>
    <row r="9419" spans="1:12" x14ac:dyDescent="0.25">
      <c r="A9419" s="4" t="str">
        <f>HYPERLINK("http://www.rosaceae.org/Prunus/Prunus_persica/p.persica_gdr_reftransV1_0048530","p.persica_gdr_reftransV1_0048530")</f>
        <v>p.persica_gdr_reftransV1_0048530</v>
      </c>
      <c r="B9419" s="2">
        <v>2682</v>
      </c>
      <c r="C9419" s="4" t="str">
        <f>HYPERLINK("http://www.uniprot.org/uniprot/M5XQV2","M5XQV2")</f>
        <v>M5XQV2</v>
      </c>
      <c r="D9419" s="2" t="s">
        <v>1802</v>
      </c>
      <c r="E9419" s="3">
        <v>1.49E-159</v>
      </c>
      <c r="F9419" s="2">
        <v>1236</v>
      </c>
      <c r="G9419" s="2">
        <v>90</v>
      </c>
      <c r="H9419" s="2">
        <v>319</v>
      </c>
      <c r="I9419" s="2">
        <v>458</v>
      </c>
      <c r="J9419" s="2">
        <v>1414</v>
      </c>
      <c r="K9419" s="2">
        <v>1</v>
      </c>
      <c r="L9419" s="2">
        <v>286</v>
      </c>
    </row>
    <row r="9420" spans="1:12" x14ac:dyDescent="0.25">
      <c r="A9420" s="4" t="str">
        <f>HYPERLINK("http://www.rosaceae.org/Prunus/Prunus_persica/p.persica_gdr_reftransV1_0048880","p.persica_gdr_reftransV1_0048880")</f>
        <v>p.persica_gdr_reftransV1_0048880</v>
      </c>
      <c r="B9420" s="2">
        <v>1864</v>
      </c>
      <c r="C9420" s="4" t="str">
        <f>HYPERLINK("http://www.uniprot.org/uniprot/M5VZN0","M5VZN0")</f>
        <v>M5VZN0</v>
      </c>
      <c r="D9420" s="2" t="s">
        <v>4639</v>
      </c>
      <c r="E9420" s="3">
        <v>0</v>
      </c>
      <c r="F9420" s="2">
        <v>1631</v>
      </c>
      <c r="G9420" s="2">
        <v>100</v>
      </c>
      <c r="H9420" s="2">
        <v>340</v>
      </c>
      <c r="I9420" s="2">
        <v>384</v>
      </c>
      <c r="J9420" s="2">
        <v>1403</v>
      </c>
      <c r="K9420" s="2">
        <v>1</v>
      </c>
      <c r="L9420" s="2">
        <v>340</v>
      </c>
    </row>
    <row r="9421" spans="1:12" x14ac:dyDescent="0.25">
      <c r="A9421" s="4" t="str">
        <f>HYPERLINK("http://www.rosaceae.org/Prunus/Prunus_persica/p.persica_gdr_reftransV1_0000023","p.persica_gdr_reftransV1_0000023")</f>
        <v>p.persica_gdr_reftransV1_0000023</v>
      </c>
      <c r="B9421" s="2">
        <v>1765</v>
      </c>
      <c r="C9421" s="4" t="str">
        <f>HYPERLINK("http://www.uniprot.org/uniprot/M5WIX3","M5WIX3")</f>
        <v>M5WIX3</v>
      </c>
      <c r="D9421" s="2" t="s">
        <v>980</v>
      </c>
      <c r="E9421" s="3">
        <v>0</v>
      </c>
      <c r="F9421" s="2">
        <v>2383</v>
      </c>
      <c r="G9421" s="2">
        <v>99</v>
      </c>
      <c r="H9421" s="2">
        <v>454</v>
      </c>
      <c r="I9421" s="2">
        <v>245</v>
      </c>
      <c r="J9421" s="2">
        <v>1606</v>
      </c>
      <c r="K9421" s="2">
        <v>3</v>
      </c>
      <c r="L9421" s="2">
        <v>456</v>
      </c>
    </row>
    <row r="9422" spans="1:12" x14ac:dyDescent="0.25">
      <c r="A9422" s="4" t="str">
        <f>HYPERLINK("http://www.rosaceae.org/Prunus/Prunus_persica/p.persica_gdr_reftransV1_0000723","p.persica_gdr_reftransV1_0000723")</f>
        <v>p.persica_gdr_reftransV1_0000723</v>
      </c>
      <c r="B9422" s="2">
        <v>339</v>
      </c>
      <c r="C9422" s="4" t="str">
        <f>HYPERLINK("http://www.uniprot.org/uniprot/M5WYR7","M5WYR7")</f>
        <v>M5WYR7</v>
      </c>
      <c r="D9422" s="2" t="s">
        <v>8174</v>
      </c>
      <c r="E9422" s="3">
        <v>3.59E-73</v>
      </c>
      <c r="F9422" s="2">
        <v>602</v>
      </c>
      <c r="G9422" s="2">
        <v>100</v>
      </c>
      <c r="H9422" s="2">
        <v>112</v>
      </c>
      <c r="I9422" s="2">
        <v>3</v>
      </c>
      <c r="J9422" s="2">
        <v>338</v>
      </c>
      <c r="K9422" s="2">
        <v>359</v>
      </c>
      <c r="L9422" s="2">
        <v>470</v>
      </c>
    </row>
    <row r="9423" spans="1:12" x14ac:dyDescent="0.25">
      <c r="A9423" s="4" t="str">
        <f>HYPERLINK("http://www.rosaceae.org/Prunus/Prunus_persica/p.persica_gdr_reftransV1_0001073","p.persica_gdr_reftransV1_0001073")</f>
        <v>p.persica_gdr_reftransV1_0001073</v>
      </c>
      <c r="B9423" s="2">
        <v>574</v>
      </c>
      <c r="C9423" s="4" t="str">
        <f>HYPERLINK("http://www.uniprot.org/uniprot/M5WKI3","M5WKI3")</f>
        <v>M5WKI3</v>
      </c>
      <c r="D9423" s="2" t="s">
        <v>8175</v>
      </c>
      <c r="E9423" s="3">
        <v>1.02E-62</v>
      </c>
      <c r="F9423" s="2">
        <v>528</v>
      </c>
      <c r="G9423" s="2">
        <v>100</v>
      </c>
      <c r="H9423" s="2">
        <v>96</v>
      </c>
      <c r="I9423" s="2">
        <v>187</v>
      </c>
      <c r="J9423" s="2">
        <v>474</v>
      </c>
      <c r="K9423" s="2">
        <v>210</v>
      </c>
      <c r="L9423" s="2">
        <v>305</v>
      </c>
    </row>
    <row r="9424" spans="1:12" x14ac:dyDescent="0.25">
      <c r="A9424" s="4" t="str">
        <f>HYPERLINK("http://www.rosaceae.org/Prunus/Prunus_persica/p.persica_gdr_reftransV1_0001423","p.persica_gdr_reftransV1_0001423")</f>
        <v>p.persica_gdr_reftransV1_0001423</v>
      </c>
      <c r="B9424" s="2">
        <v>1407</v>
      </c>
      <c r="C9424" s="4" t="str">
        <f>HYPERLINK("http://www.uniprot.org/uniprot/M5W141","M5W141")</f>
        <v>M5W141</v>
      </c>
      <c r="D9424" s="2" t="s">
        <v>797</v>
      </c>
      <c r="E9424" s="3">
        <v>3.0700000000000001E-135</v>
      </c>
      <c r="F9424" s="2">
        <v>1029</v>
      </c>
      <c r="G9424" s="2">
        <v>100</v>
      </c>
      <c r="H9424" s="2">
        <v>199</v>
      </c>
      <c r="I9424" s="2">
        <v>299</v>
      </c>
      <c r="J9424" s="2">
        <v>895</v>
      </c>
      <c r="K9424" s="2">
        <v>17</v>
      </c>
      <c r="L9424" s="2">
        <v>215</v>
      </c>
    </row>
    <row r="9425" spans="1:12" x14ac:dyDescent="0.25">
      <c r="A9425" s="4" t="str">
        <f>HYPERLINK("http://www.rosaceae.org/Prunus/Prunus_persica/p.persica_gdr_reftransV1_0001773","p.persica_gdr_reftransV1_0001773")</f>
        <v>p.persica_gdr_reftransV1_0001773</v>
      </c>
      <c r="B9425" s="2">
        <v>977</v>
      </c>
      <c r="C9425" s="4" t="str">
        <f>HYPERLINK("http://www.uniprot.org/uniprot/M5VMU2","M5VMU2")</f>
        <v>M5VMU2</v>
      </c>
      <c r="D9425" s="2" t="s">
        <v>8176</v>
      </c>
      <c r="E9425" s="3">
        <v>1.4300000000000001E-124</v>
      </c>
      <c r="F9425" s="2">
        <v>941</v>
      </c>
      <c r="G9425" s="2">
        <v>100</v>
      </c>
      <c r="H9425" s="2">
        <v>190</v>
      </c>
      <c r="I9425" s="2">
        <v>336</v>
      </c>
      <c r="J9425" s="2">
        <v>905</v>
      </c>
      <c r="K9425" s="2">
        <v>1</v>
      </c>
      <c r="L9425" s="2">
        <v>190</v>
      </c>
    </row>
    <row r="9426" spans="1:12" x14ac:dyDescent="0.25">
      <c r="A9426" s="4" t="str">
        <f>HYPERLINK("http://www.rosaceae.org/Prunus/Prunus_persica/p.persica_gdr_reftransV1_0002123","p.persica_gdr_reftransV1_0002123")</f>
        <v>p.persica_gdr_reftransV1_0002123</v>
      </c>
      <c r="B9426" s="2">
        <v>1966</v>
      </c>
      <c r="C9426" s="4" t="str">
        <f>HYPERLINK("http://www.uniprot.org/uniprot/M5W9S3","M5W9S3")</f>
        <v>M5W9S3</v>
      </c>
      <c r="D9426" s="2" t="s">
        <v>8177</v>
      </c>
      <c r="E9426" s="3">
        <v>0</v>
      </c>
      <c r="F9426" s="2">
        <v>1775</v>
      </c>
      <c r="G9426" s="2">
        <v>100</v>
      </c>
      <c r="H9426" s="2">
        <v>334</v>
      </c>
      <c r="I9426" s="2">
        <v>438</v>
      </c>
      <c r="J9426" s="2">
        <v>1439</v>
      </c>
      <c r="K9426" s="2">
        <v>4</v>
      </c>
      <c r="L9426" s="2">
        <v>337</v>
      </c>
    </row>
    <row r="9427" spans="1:12" x14ac:dyDescent="0.25">
      <c r="A9427" s="4" t="str">
        <f>HYPERLINK("http://www.rosaceae.org/Prunus/Prunus_persica/p.persica_gdr_reftransV1_0002473","p.persica_gdr_reftransV1_0002473")</f>
        <v>p.persica_gdr_reftransV1_0002473</v>
      </c>
      <c r="B9427" s="2">
        <v>355</v>
      </c>
      <c r="C9427" s="4" t="str">
        <f>HYPERLINK("http://www.uniprot.org/uniprot/K3VK13","K3VK13")</f>
        <v>K3VK13</v>
      </c>
      <c r="D9427" s="2" t="s">
        <v>8178</v>
      </c>
      <c r="E9427" s="3">
        <v>8.4300000000000005E-54</v>
      </c>
      <c r="F9427" s="2">
        <v>461</v>
      </c>
      <c r="G9427" s="2">
        <v>96</v>
      </c>
      <c r="H9427" s="2">
        <v>89</v>
      </c>
      <c r="I9427" s="2">
        <v>1</v>
      </c>
      <c r="J9427" s="2">
        <v>267</v>
      </c>
      <c r="K9427" s="2">
        <v>221</v>
      </c>
      <c r="L9427" s="2">
        <v>309</v>
      </c>
    </row>
    <row r="9428" spans="1:12" x14ac:dyDescent="0.25">
      <c r="A9428" s="4" t="str">
        <f>HYPERLINK("http://www.rosaceae.org/Prunus/Prunus_persica/p.persica_gdr_reftransV1_0003173","p.persica_gdr_reftransV1_0003173")</f>
        <v>p.persica_gdr_reftransV1_0003173</v>
      </c>
      <c r="B9428" s="2">
        <v>1548</v>
      </c>
      <c r="C9428" s="4" t="str">
        <f>HYPERLINK("http://www.uniprot.org/uniprot/M5XGC5","M5XGC5")</f>
        <v>M5XGC5</v>
      </c>
      <c r="D9428" s="2" t="s">
        <v>8179</v>
      </c>
      <c r="E9428" s="3">
        <v>0</v>
      </c>
      <c r="F9428" s="2">
        <v>1655</v>
      </c>
      <c r="G9428" s="2">
        <v>100</v>
      </c>
      <c r="H9428" s="2">
        <v>330</v>
      </c>
      <c r="I9428" s="2">
        <v>173</v>
      </c>
      <c r="J9428" s="2">
        <v>1162</v>
      </c>
      <c r="K9428" s="2">
        <v>44</v>
      </c>
      <c r="L9428" s="2">
        <v>373</v>
      </c>
    </row>
    <row r="9429" spans="1:12" x14ac:dyDescent="0.25">
      <c r="A9429" s="4" t="str">
        <f>HYPERLINK("http://www.rosaceae.org/Prunus/Prunus_persica/p.persica_gdr_reftransV1_0004573","p.persica_gdr_reftransV1_0004573")</f>
        <v>p.persica_gdr_reftransV1_0004573</v>
      </c>
      <c r="B9429" s="2">
        <v>1733</v>
      </c>
      <c r="C9429" s="4" t="str">
        <f>HYPERLINK("http://www.uniprot.org/uniprot/M5XAS7","M5XAS7")</f>
        <v>M5XAS7</v>
      </c>
      <c r="D9429" s="2" t="s">
        <v>8180</v>
      </c>
      <c r="E9429" s="3">
        <v>7.3300000000000004E-166</v>
      </c>
      <c r="F9429" s="2">
        <v>1257</v>
      </c>
      <c r="G9429" s="2">
        <v>70</v>
      </c>
      <c r="H9429" s="2">
        <v>419</v>
      </c>
      <c r="I9429" s="2">
        <v>143</v>
      </c>
      <c r="J9429" s="2">
        <v>1399</v>
      </c>
      <c r="K9429" s="2">
        <v>1</v>
      </c>
      <c r="L9429" s="2">
        <v>360</v>
      </c>
    </row>
    <row r="9430" spans="1:12" x14ac:dyDescent="0.25">
      <c r="A9430" s="4" t="str">
        <f>HYPERLINK("http://www.rosaceae.org/Prunus/Prunus_persica/p.persica_gdr_reftransV1_0004923","p.persica_gdr_reftransV1_0004923")</f>
        <v>p.persica_gdr_reftransV1_0004923</v>
      </c>
      <c r="B9430" s="2">
        <v>1495</v>
      </c>
      <c r="C9430" s="4" t="str">
        <f>HYPERLINK("http://www.uniprot.org/uniprot/M5W7T5","M5W7T5")</f>
        <v>M5W7T5</v>
      </c>
      <c r="D9430" s="2" t="s">
        <v>8181</v>
      </c>
      <c r="E9430" s="3">
        <v>3.1399999999999997E-157</v>
      </c>
      <c r="F9430" s="2">
        <v>1251</v>
      </c>
      <c r="G9430" s="2">
        <v>98</v>
      </c>
      <c r="H9430" s="2">
        <v>308</v>
      </c>
      <c r="I9430" s="2">
        <v>570</v>
      </c>
      <c r="J9430" s="2">
        <v>1493</v>
      </c>
      <c r="K9430" s="2">
        <v>1</v>
      </c>
      <c r="L9430" s="2">
        <v>308</v>
      </c>
    </row>
    <row r="9431" spans="1:12" x14ac:dyDescent="0.25">
      <c r="A9431" s="4" t="str">
        <f>HYPERLINK("http://www.rosaceae.org/Prunus/Prunus_persica/p.persica_gdr_reftransV1_0005273","p.persica_gdr_reftransV1_0005273")</f>
        <v>p.persica_gdr_reftransV1_0005273</v>
      </c>
      <c r="B9431" s="2">
        <v>394</v>
      </c>
      <c r="C9431" s="4" t="str">
        <f>HYPERLINK("http://www.uniprot.org/uniprot/M5XNA6","M5XNA6")</f>
        <v>M5XNA6</v>
      </c>
      <c r="D9431" s="2" t="s">
        <v>8182</v>
      </c>
      <c r="E9431" s="3">
        <v>2.3000000000000001E-48</v>
      </c>
      <c r="F9431" s="2">
        <v>434</v>
      </c>
      <c r="G9431" s="2">
        <v>98</v>
      </c>
      <c r="H9431" s="2">
        <v>83</v>
      </c>
      <c r="I9431" s="2">
        <v>7</v>
      </c>
      <c r="J9431" s="2">
        <v>255</v>
      </c>
      <c r="K9431" s="2">
        <v>54</v>
      </c>
      <c r="L9431" s="2">
        <v>136</v>
      </c>
    </row>
    <row r="9432" spans="1:12" x14ac:dyDescent="0.25">
      <c r="A9432" s="4" t="str">
        <f>HYPERLINK("http://www.rosaceae.org/Prunus/Prunus_persica/p.persica_gdr_reftransV1_0005623","p.persica_gdr_reftransV1_0005623")</f>
        <v>p.persica_gdr_reftransV1_0005623</v>
      </c>
      <c r="B9432" s="2">
        <v>572</v>
      </c>
      <c r="C9432" s="4" t="str">
        <f>HYPERLINK("http://www.uniprot.org/uniprot/M5WS64","M5WS64")</f>
        <v>M5WS64</v>
      </c>
      <c r="D9432" s="2" t="s">
        <v>8183</v>
      </c>
      <c r="E9432" s="3">
        <v>2.8300000000000002E-56</v>
      </c>
      <c r="F9432" s="2">
        <v>467</v>
      </c>
      <c r="G9432" s="2">
        <v>100</v>
      </c>
      <c r="H9432" s="2">
        <v>104</v>
      </c>
      <c r="I9432" s="2">
        <v>191</v>
      </c>
      <c r="J9432" s="2">
        <v>502</v>
      </c>
      <c r="K9432" s="2">
        <v>1</v>
      </c>
      <c r="L9432" s="2">
        <v>104</v>
      </c>
    </row>
    <row r="9433" spans="1:12" x14ac:dyDescent="0.25">
      <c r="A9433" s="4" t="str">
        <f>HYPERLINK("http://www.rosaceae.org/Prunus/Prunus_persica/p.persica_gdr_reftransV1_0006673","p.persica_gdr_reftransV1_0006673")</f>
        <v>p.persica_gdr_reftransV1_0006673</v>
      </c>
      <c r="B9433" s="2">
        <v>543</v>
      </c>
      <c r="C9433" s="4" t="str">
        <f>HYPERLINK("http://www.uniprot.org/uniprot/M5WXS8","M5WXS8")</f>
        <v>M5WXS8</v>
      </c>
      <c r="D9433" s="2" t="s">
        <v>8184</v>
      </c>
      <c r="E9433" s="3">
        <v>1.22E-61</v>
      </c>
      <c r="F9433" s="2">
        <v>540</v>
      </c>
      <c r="G9433" s="2">
        <v>83</v>
      </c>
      <c r="H9433" s="2">
        <v>122</v>
      </c>
      <c r="I9433" s="2">
        <v>1</v>
      </c>
      <c r="J9433" s="2">
        <v>366</v>
      </c>
      <c r="K9433" s="2">
        <v>294</v>
      </c>
      <c r="L9433" s="2">
        <v>415</v>
      </c>
    </row>
    <row r="9434" spans="1:12" x14ac:dyDescent="0.25">
      <c r="A9434" s="4" t="str">
        <f>HYPERLINK("http://www.rosaceae.org/Prunus/Prunus_persica/p.persica_gdr_reftransV1_0007373","p.persica_gdr_reftransV1_0007373")</f>
        <v>p.persica_gdr_reftransV1_0007373</v>
      </c>
      <c r="B9434" s="2">
        <v>1249</v>
      </c>
      <c r="C9434" s="4" t="str">
        <f>HYPERLINK("http://www.uniprot.org/uniprot/M5WIH5","M5WIH5")</f>
        <v>M5WIH5</v>
      </c>
      <c r="D9434" s="2" t="s">
        <v>8185</v>
      </c>
      <c r="E9434" s="3">
        <v>3.1299999999999999E-106</v>
      </c>
      <c r="F9434" s="2">
        <v>837</v>
      </c>
      <c r="G9434" s="2">
        <v>100</v>
      </c>
      <c r="H9434" s="2">
        <v>276</v>
      </c>
      <c r="I9434" s="2">
        <v>286</v>
      </c>
      <c r="J9434" s="2">
        <v>1113</v>
      </c>
      <c r="K9434" s="2">
        <v>1</v>
      </c>
      <c r="L9434" s="2">
        <v>276</v>
      </c>
    </row>
    <row r="9435" spans="1:12" x14ac:dyDescent="0.25">
      <c r="A9435" s="4" t="str">
        <f>HYPERLINK("http://www.rosaceae.org/Prunus/Prunus_persica/p.persica_gdr_reftransV1_0008073","p.persica_gdr_reftransV1_0008073")</f>
        <v>p.persica_gdr_reftransV1_0008073</v>
      </c>
      <c r="B9435" s="2">
        <v>1147</v>
      </c>
      <c r="C9435" s="4" t="str">
        <f>HYPERLINK("http://www.uniprot.org/uniprot/M5XLP8","M5XLP8")</f>
        <v>M5XLP8</v>
      </c>
      <c r="D9435" s="2" t="s">
        <v>8186</v>
      </c>
      <c r="E9435" s="3">
        <v>4.8299999999999996E-149</v>
      </c>
      <c r="F9435" s="2">
        <v>1111</v>
      </c>
      <c r="G9435" s="2">
        <v>100</v>
      </c>
      <c r="H9435" s="2">
        <v>211</v>
      </c>
      <c r="I9435" s="2">
        <v>435</v>
      </c>
      <c r="J9435" s="2">
        <v>1067</v>
      </c>
      <c r="K9435" s="2">
        <v>1</v>
      </c>
      <c r="L9435" s="2">
        <v>211</v>
      </c>
    </row>
    <row r="9436" spans="1:12" x14ac:dyDescent="0.25">
      <c r="A9436" s="4" t="str">
        <f>HYPERLINK("http://www.rosaceae.org/Prunus/Prunus_persica/p.persica_gdr_reftransV1_0009123","p.persica_gdr_reftransV1_0009123")</f>
        <v>p.persica_gdr_reftransV1_0009123</v>
      </c>
      <c r="B9436" s="2">
        <v>1138</v>
      </c>
      <c r="C9436" s="4" t="str">
        <f>HYPERLINK("http://www.uniprot.org/uniprot/M5X3C1","M5X3C1")</f>
        <v>M5X3C1</v>
      </c>
      <c r="D9436" s="2" t="s">
        <v>8187</v>
      </c>
      <c r="E9436" s="3">
        <v>0</v>
      </c>
      <c r="F9436" s="2">
        <v>1409</v>
      </c>
      <c r="G9436" s="2">
        <v>100</v>
      </c>
      <c r="H9436" s="2">
        <v>282</v>
      </c>
      <c r="I9436" s="2">
        <v>253</v>
      </c>
      <c r="J9436" s="2">
        <v>1098</v>
      </c>
      <c r="K9436" s="2">
        <v>1</v>
      </c>
      <c r="L9436" s="2">
        <v>282</v>
      </c>
    </row>
    <row r="9437" spans="1:12" x14ac:dyDescent="0.25">
      <c r="A9437" s="4" t="str">
        <f>HYPERLINK("http://www.rosaceae.org/Prunus/Prunus_persica/p.persica_gdr_reftransV1_0010173","p.persica_gdr_reftransV1_0010173")</f>
        <v>p.persica_gdr_reftransV1_0010173</v>
      </c>
      <c r="B9437" s="2">
        <v>2291</v>
      </c>
      <c r="C9437" s="4" t="str">
        <f>HYPERLINK("http://www.uniprot.org/uniprot/A0A061GGC3","A0A061GGC3")</f>
        <v>A0A061GGC3</v>
      </c>
      <c r="D9437" s="2" t="s">
        <v>8188</v>
      </c>
      <c r="E9437" s="3">
        <v>4.2599999999999998E-40</v>
      </c>
      <c r="F9437" s="2">
        <v>405</v>
      </c>
      <c r="G9437" s="2">
        <v>70</v>
      </c>
      <c r="H9437" s="2">
        <v>115</v>
      </c>
      <c r="I9437" s="2">
        <v>1</v>
      </c>
      <c r="J9437" s="2">
        <v>345</v>
      </c>
      <c r="K9437" s="2">
        <v>218</v>
      </c>
      <c r="L9437" s="2">
        <v>323</v>
      </c>
    </row>
    <row r="9438" spans="1:12" x14ac:dyDescent="0.25">
      <c r="A9438" s="4" t="str">
        <f>HYPERLINK("http://www.rosaceae.org/Prunus/Prunus_persica/p.persica_gdr_reftransV1_0010523","p.persica_gdr_reftransV1_0010523")</f>
        <v>p.persica_gdr_reftransV1_0010523</v>
      </c>
      <c r="B9438" s="2">
        <v>1168</v>
      </c>
      <c r="C9438" s="4" t="str">
        <f>HYPERLINK("http://www.uniprot.org/uniprot/M5W7U9","M5W7U9")</f>
        <v>M5W7U9</v>
      </c>
      <c r="D9438" s="2" t="s">
        <v>8189</v>
      </c>
      <c r="E9438" s="3">
        <v>7.9499999999999994E-61</v>
      </c>
      <c r="F9438" s="2">
        <v>520</v>
      </c>
      <c r="G9438" s="2">
        <v>100</v>
      </c>
      <c r="H9438" s="2">
        <v>148</v>
      </c>
      <c r="I9438" s="2">
        <v>408</v>
      </c>
      <c r="J9438" s="2">
        <v>851</v>
      </c>
      <c r="K9438" s="2">
        <v>2</v>
      </c>
      <c r="L9438" s="2">
        <v>149</v>
      </c>
    </row>
    <row r="9439" spans="1:12" x14ac:dyDescent="0.25">
      <c r="A9439" s="4" t="str">
        <f>HYPERLINK("http://www.rosaceae.org/Prunus/Prunus_persica/p.persica_gdr_reftransV1_0010873","p.persica_gdr_reftransV1_0010873")</f>
        <v>p.persica_gdr_reftransV1_0010873</v>
      </c>
      <c r="B9439" s="2">
        <v>892</v>
      </c>
      <c r="C9439" s="4" t="str">
        <f>HYPERLINK("http://www.uniprot.org/uniprot/M5WQS7","M5WQS7")</f>
        <v>M5WQS7</v>
      </c>
      <c r="D9439" s="2" t="s">
        <v>2984</v>
      </c>
      <c r="E9439" s="3">
        <v>3.7900000000000002E-115</v>
      </c>
      <c r="F9439" s="2">
        <v>942</v>
      </c>
      <c r="G9439" s="2">
        <v>93</v>
      </c>
      <c r="H9439" s="2">
        <v>198</v>
      </c>
      <c r="I9439" s="2">
        <v>297</v>
      </c>
      <c r="J9439" s="2">
        <v>884</v>
      </c>
      <c r="K9439" s="2">
        <v>834</v>
      </c>
      <c r="L9439" s="2">
        <v>1031</v>
      </c>
    </row>
    <row r="9440" spans="1:12" x14ac:dyDescent="0.25">
      <c r="A9440" s="4" t="str">
        <f>HYPERLINK("http://www.rosaceae.org/Prunus/Prunus_persica/p.persica_gdr_reftransV1_0011573","p.persica_gdr_reftransV1_0011573")</f>
        <v>p.persica_gdr_reftransV1_0011573</v>
      </c>
      <c r="B9440" s="2">
        <v>1055</v>
      </c>
      <c r="C9440" s="4" t="str">
        <f>HYPERLINK("http://www.uniprot.org/uniprot/M5W9W1","M5W9W1")</f>
        <v>M5W9W1</v>
      </c>
      <c r="D9440" s="2" t="s">
        <v>1582</v>
      </c>
      <c r="E9440" s="3">
        <v>2.8799999999999998E-64</v>
      </c>
      <c r="F9440" s="2">
        <v>570</v>
      </c>
      <c r="G9440" s="2">
        <v>100</v>
      </c>
      <c r="H9440" s="2">
        <v>120</v>
      </c>
      <c r="I9440" s="2">
        <v>119</v>
      </c>
      <c r="J9440" s="2">
        <v>478</v>
      </c>
      <c r="K9440" s="2">
        <v>393</v>
      </c>
      <c r="L9440" s="2">
        <v>512</v>
      </c>
    </row>
    <row r="9441" spans="1:12" x14ac:dyDescent="0.25">
      <c r="A9441" s="4" t="str">
        <f>HYPERLINK("http://www.rosaceae.org/Prunus/Prunus_persica/p.persica_gdr_reftransV1_0011923","p.persica_gdr_reftransV1_0011923")</f>
        <v>p.persica_gdr_reftransV1_0011923</v>
      </c>
      <c r="B9441" s="2">
        <v>699</v>
      </c>
      <c r="C9441" s="4" t="str">
        <f>HYPERLINK("http://www.uniprot.org/uniprot/M5WL28","M5WL28")</f>
        <v>M5WL28</v>
      </c>
      <c r="D9441" s="2" t="s">
        <v>4279</v>
      </c>
      <c r="E9441" s="3">
        <v>6.7500000000000001E-129</v>
      </c>
      <c r="F9441" s="2">
        <v>1004</v>
      </c>
      <c r="G9441" s="2">
        <v>88</v>
      </c>
      <c r="H9441" s="2">
        <v>232</v>
      </c>
      <c r="I9441" s="2">
        <v>3</v>
      </c>
      <c r="J9441" s="2">
        <v>698</v>
      </c>
      <c r="K9441" s="2">
        <v>173</v>
      </c>
      <c r="L9441" s="2">
        <v>376</v>
      </c>
    </row>
    <row r="9442" spans="1:12" x14ac:dyDescent="0.25">
      <c r="A9442" s="4" t="str">
        <f>HYPERLINK("http://www.rosaceae.org/Prunus/Prunus_persica/p.persica_gdr_reftransV1_0012273","p.persica_gdr_reftransV1_0012273")</f>
        <v>p.persica_gdr_reftransV1_0012273</v>
      </c>
      <c r="B9442" s="2">
        <v>973</v>
      </c>
      <c r="C9442" s="4" t="str">
        <f>HYPERLINK("http://www.uniprot.org/uniprot/M5XHD3","M5XHD3")</f>
        <v>M5XHD3</v>
      </c>
      <c r="D9442" s="2" t="s">
        <v>8190</v>
      </c>
      <c r="E9442" s="3">
        <v>2.0099999999999999E-68</v>
      </c>
      <c r="F9442" s="2">
        <v>565</v>
      </c>
      <c r="G9442" s="2">
        <v>90</v>
      </c>
      <c r="H9442" s="2">
        <v>152</v>
      </c>
      <c r="I9442" s="2">
        <v>161</v>
      </c>
      <c r="J9442" s="2">
        <v>571</v>
      </c>
      <c r="K9442" s="2">
        <v>1</v>
      </c>
      <c r="L9442" s="2">
        <v>152</v>
      </c>
    </row>
    <row r="9443" spans="1:12" x14ac:dyDescent="0.25">
      <c r="A9443" s="4" t="str">
        <f>HYPERLINK("http://www.rosaceae.org/Prunus/Prunus_persica/p.persica_gdr_reftransV1_0012623","p.persica_gdr_reftransV1_0012623")</f>
        <v>p.persica_gdr_reftransV1_0012623</v>
      </c>
      <c r="B9443" s="2">
        <v>645</v>
      </c>
      <c r="C9443" s="4" t="str">
        <f>HYPERLINK("http://www.uniprot.org/uniprot/M5XCI9","M5XCI9")</f>
        <v>M5XCI9</v>
      </c>
      <c r="D9443" s="2" t="s">
        <v>8191</v>
      </c>
      <c r="E9443" s="3">
        <v>3.28E-111</v>
      </c>
      <c r="F9443" s="2">
        <v>857</v>
      </c>
      <c r="G9443" s="2">
        <v>100</v>
      </c>
      <c r="H9443" s="2">
        <v>163</v>
      </c>
      <c r="I9443" s="2">
        <v>2</v>
      </c>
      <c r="J9443" s="2">
        <v>490</v>
      </c>
      <c r="K9443" s="2">
        <v>194</v>
      </c>
      <c r="L9443" s="2">
        <v>356</v>
      </c>
    </row>
    <row r="9444" spans="1:12" x14ac:dyDescent="0.25">
      <c r="A9444" s="4" t="str">
        <f>HYPERLINK("http://www.rosaceae.org/Prunus/Prunus_persica/p.persica_gdr_reftransV1_0014023","p.persica_gdr_reftransV1_0014023")</f>
        <v>p.persica_gdr_reftransV1_0014023</v>
      </c>
      <c r="B9444" s="2">
        <v>2152</v>
      </c>
      <c r="C9444" s="4" t="str">
        <f>HYPERLINK("http://www.uniprot.org/uniprot/V4UIT6","V4UIT6")</f>
        <v>V4UIT6</v>
      </c>
      <c r="D9444" s="2" t="s">
        <v>8192</v>
      </c>
      <c r="E9444" s="3">
        <v>0</v>
      </c>
      <c r="F9444" s="2">
        <v>1999</v>
      </c>
      <c r="G9444" s="2">
        <v>77</v>
      </c>
      <c r="H9444" s="2">
        <v>520</v>
      </c>
      <c r="I9444" s="2">
        <v>357</v>
      </c>
      <c r="J9444" s="2">
        <v>1844</v>
      </c>
      <c r="K9444" s="2">
        <v>68</v>
      </c>
      <c r="L9444" s="2">
        <v>564</v>
      </c>
    </row>
    <row r="9445" spans="1:12" x14ac:dyDescent="0.25">
      <c r="A9445" s="4" t="str">
        <f>HYPERLINK("http://www.rosaceae.org/Prunus/Prunus_persica/p.persica_gdr_reftransV1_0014723","p.persica_gdr_reftransV1_0014723")</f>
        <v>p.persica_gdr_reftransV1_0014723</v>
      </c>
      <c r="B9445" s="2">
        <v>6104</v>
      </c>
      <c r="C9445" s="4" t="str">
        <f>HYPERLINK("http://www.uniprot.org/uniprot/M5XAK2","M5XAK2")</f>
        <v>M5XAK2</v>
      </c>
      <c r="D9445" s="2" t="s">
        <v>4182</v>
      </c>
      <c r="E9445" s="3">
        <v>0</v>
      </c>
      <c r="F9445" s="2">
        <v>9212</v>
      </c>
      <c r="G9445" s="2">
        <v>99</v>
      </c>
      <c r="H9445" s="2">
        <v>1861</v>
      </c>
      <c r="I9445" s="2">
        <v>1</v>
      </c>
      <c r="J9445" s="2">
        <v>5583</v>
      </c>
      <c r="K9445" s="2">
        <v>941</v>
      </c>
      <c r="L9445" s="2">
        <v>2781</v>
      </c>
    </row>
    <row r="9446" spans="1:12" x14ac:dyDescent="0.25">
      <c r="A9446" s="4" t="str">
        <f>HYPERLINK("http://www.rosaceae.org/Prunus/Prunus_persica/p.persica_gdr_reftransV1_0016473","p.persica_gdr_reftransV1_0016473")</f>
        <v>p.persica_gdr_reftransV1_0016473</v>
      </c>
      <c r="B9446" s="2">
        <v>1524</v>
      </c>
      <c r="C9446" s="4" t="str">
        <f>HYPERLINK("http://www.uniprot.org/uniprot/M5X062","M5X062")</f>
        <v>M5X062</v>
      </c>
      <c r="D9446" s="2" t="s">
        <v>8193</v>
      </c>
      <c r="E9446" s="3">
        <v>0</v>
      </c>
      <c r="F9446" s="2">
        <v>1678</v>
      </c>
      <c r="G9446" s="2">
        <v>100</v>
      </c>
      <c r="H9446" s="2">
        <v>348</v>
      </c>
      <c r="I9446" s="2">
        <v>185</v>
      </c>
      <c r="J9446" s="2">
        <v>1228</v>
      </c>
      <c r="K9446" s="2">
        <v>1</v>
      </c>
      <c r="L9446" s="2">
        <v>348</v>
      </c>
    </row>
    <row r="9447" spans="1:12" x14ac:dyDescent="0.25">
      <c r="A9447" s="4" t="str">
        <f>HYPERLINK("http://www.rosaceae.org/Prunus/Prunus_persica/p.persica_gdr_reftransV1_0017873","p.persica_gdr_reftransV1_0017873")</f>
        <v>p.persica_gdr_reftransV1_0017873</v>
      </c>
      <c r="B9447" s="2">
        <v>3824</v>
      </c>
      <c r="C9447" s="4" t="str">
        <f>HYPERLINK("http://www.uniprot.org/uniprot/M5Y8B9","M5Y8B9")</f>
        <v>M5Y8B9</v>
      </c>
      <c r="D9447" s="2" t="s">
        <v>8194</v>
      </c>
      <c r="E9447" s="3">
        <v>0</v>
      </c>
      <c r="F9447" s="2">
        <v>5428</v>
      </c>
      <c r="G9447" s="2">
        <v>98</v>
      </c>
      <c r="H9447" s="2">
        <v>1040</v>
      </c>
      <c r="I9447" s="2">
        <v>203</v>
      </c>
      <c r="J9447" s="2">
        <v>3322</v>
      </c>
      <c r="K9447" s="2">
        <v>1</v>
      </c>
      <c r="L9447" s="2">
        <v>1025</v>
      </c>
    </row>
    <row r="9448" spans="1:12" x14ac:dyDescent="0.25">
      <c r="A9448" s="4" t="str">
        <f>HYPERLINK("http://www.rosaceae.org/Prunus/Prunus_persica/p.persica_gdr_reftransV1_0018923","p.persica_gdr_reftransV1_0018923")</f>
        <v>p.persica_gdr_reftransV1_0018923</v>
      </c>
      <c r="B9448" s="2">
        <v>5131</v>
      </c>
      <c r="C9448" s="4" t="str">
        <f>HYPERLINK("http://www.uniprot.org/uniprot/M5W424","M5W424")</f>
        <v>M5W424</v>
      </c>
      <c r="D9448" s="2" t="s">
        <v>8195</v>
      </c>
      <c r="E9448" s="3">
        <v>0</v>
      </c>
      <c r="F9448" s="2">
        <v>5212</v>
      </c>
      <c r="G9448" s="2">
        <v>100</v>
      </c>
      <c r="H9448" s="2">
        <v>1070</v>
      </c>
      <c r="I9448" s="2">
        <v>1646</v>
      </c>
      <c r="J9448" s="2">
        <v>4855</v>
      </c>
      <c r="K9448" s="2">
        <v>1</v>
      </c>
      <c r="L9448" s="2">
        <v>1070</v>
      </c>
    </row>
    <row r="9449" spans="1:12" x14ac:dyDescent="0.25">
      <c r="A9449" s="4" t="str">
        <f>HYPERLINK("http://www.rosaceae.org/Prunus/Prunus_persica/p.persica_gdr_reftransV1_0019273","p.persica_gdr_reftransV1_0019273")</f>
        <v>p.persica_gdr_reftransV1_0019273</v>
      </c>
      <c r="B9449" s="2">
        <v>1932</v>
      </c>
      <c r="C9449" s="4" t="str">
        <f>HYPERLINK("http://www.uniprot.org/uniprot/M5Y813","M5Y813")</f>
        <v>M5Y813</v>
      </c>
      <c r="D9449" s="2" t="s">
        <v>8196</v>
      </c>
      <c r="E9449" s="3">
        <v>0</v>
      </c>
      <c r="F9449" s="2">
        <v>2388</v>
      </c>
      <c r="G9449" s="2">
        <v>99</v>
      </c>
      <c r="H9449" s="2">
        <v>496</v>
      </c>
      <c r="I9449" s="2">
        <v>262</v>
      </c>
      <c r="J9449" s="2">
        <v>1749</v>
      </c>
      <c r="K9449" s="2">
        <v>1</v>
      </c>
      <c r="L9449" s="2">
        <v>493</v>
      </c>
    </row>
    <row r="9450" spans="1:12" x14ac:dyDescent="0.25">
      <c r="A9450" s="4" t="str">
        <f>HYPERLINK("http://www.rosaceae.org/Prunus/Prunus_persica/p.persica_gdr_reftransV1_0019623","p.persica_gdr_reftransV1_0019623")</f>
        <v>p.persica_gdr_reftransV1_0019623</v>
      </c>
      <c r="B9450" s="2">
        <v>1170</v>
      </c>
      <c r="C9450" s="4" t="str">
        <f>HYPERLINK("http://www.uniprot.org/uniprot/M5WI11","M5WI11")</f>
        <v>M5WI11</v>
      </c>
      <c r="D9450" s="2" t="s">
        <v>8197</v>
      </c>
      <c r="E9450" s="3">
        <v>0</v>
      </c>
      <c r="F9450" s="2">
        <v>1404</v>
      </c>
      <c r="G9450" s="2">
        <v>98</v>
      </c>
      <c r="H9450" s="2">
        <v>295</v>
      </c>
      <c r="I9450" s="2">
        <v>224</v>
      </c>
      <c r="J9450" s="2">
        <v>1087</v>
      </c>
      <c r="K9450" s="2">
        <v>1</v>
      </c>
      <c r="L9450" s="2">
        <v>295</v>
      </c>
    </row>
    <row r="9451" spans="1:12" x14ac:dyDescent="0.25">
      <c r="A9451" s="4" t="str">
        <f>HYPERLINK("http://www.rosaceae.org/Prunus/Prunus_persica/p.persica_gdr_reftransV1_0019973","p.persica_gdr_reftransV1_0019973")</f>
        <v>p.persica_gdr_reftransV1_0019973</v>
      </c>
      <c r="B9451" s="2">
        <v>792</v>
      </c>
      <c r="C9451" s="4" t="str">
        <f>HYPERLINK("http://www.uniprot.org/uniprot/M5XIN3","M5XIN3")</f>
        <v>M5XIN3</v>
      </c>
      <c r="D9451" s="2" t="s">
        <v>1591</v>
      </c>
      <c r="E9451" s="3">
        <v>4.6500000000000002E-118</v>
      </c>
      <c r="F9451" s="2">
        <v>750</v>
      </c>
      <c r="G9451" s="2">
        <v>99</v>
      </c>
      <c r="H9451" s="2">
        <v>138</v>
      </c>
      <c r="I9451" s="2">
        <v>2</v>
      </c>
      <c r="J9451" s="2">
        <v>415</v>
      </c>
      <c r="K9451" s="2">
        <v>133</v>
      </c>
      <c r="L9451" s="2">
        <v>270</v>
      </c>
    </row>
    <row r="9452" spans="1:12" x14ac:dyDescent="0.25">
      <c r="A9452" s="4" t="str">
        <f>HYPERLINK("http://www.rosaceae.org/Prunus/Prunus_persica/p.persica_gdr_reftransV1_0020673","p.persica_gdr_reftransV1_0020673")</f>
        <v>p.persica_gdr_reftransV1_0020673</v>
      </c>
      <c r="B9452" s="2">
        <v>1103</v>
      </c>
      <c r="C9452" s="4" t="str">
        <f>HYPERLINK("http://www.uniprot.org/uniprot/M5XFA9","M5XFA9")</f>
        <v>M5XFA9</v>
      </c>
      <c r="D9452" s="2" t="s">
        <v>8198</v>
      </c>
      <c r="E9452" s="3">
        <v>5.28E-101</v>
      </c>
      <c r="F9452" s="2">
        <v>726</v>
      </c>
      <c r="G9452" s="2">
        <v>99</v>
      </c>
      <c r="H9452" s="2">
        <v>157</v>
      </c>
      <c r="I9452" s="2">
        <v>206</v>
      </c>
      <c r="J9452" s="2">
        <v>676</v>
      </c>
      <c r="K9452" s="2">
        <v>161</v>
      </c>
      <c r="L9452" s="2">
        <v>317</v>
      </c>
    </row>
    <row r="9453" spans="1:12" x14ac:dyDescent="0.25">
      <c r="A9453" s="4" t="str">
        <f>HYPERLINK("http://www.rosaceae.org/Prunus/Prunus_persica/p.persica_gdr_reftransV1_0021373","p.persica_gdr_reftransV1_0021373")</f>
        <v>p.persica_gdr_reftransV1_0021373</v>
      </c>
      <c r="B9453" s="2">
        <v>2931</v>
      </c>
      <c r="C9453" s="4" t="str">
        <f>HYPERLINK("http://www.uniprot.org/uniprot/M5X1G3","M5X1G3")</f>
        <v>M5X1G3</v>
      </c>
      <c r="D9453" s="2" t="s">
        <v>8199</v>
      </c>
      <c r="E9453" s="3">
        <v>0</v>
      </c>
      <c r="F9453" s="2">
        <v>1236</v>
      </c>
      <c r="G9453" s="2">
        <v>100</v>
      </c>
      <c r="H9453" s="2">
        <v>231</v>
      </c>
      <c r="I9453" s="2">
        <v>1095</v>
      </c>
      <c r="J9453" s="2">
        <v>1787</v>
      </c>
      <c r="K9453" s="2">
        <v>1</v>
      </c>
      <c r="L9453" s="2">
        <v>231</v>
      </c>
    </row>
    <row r="9454" spans="1:12" x14ac:dyDescent="0.25">
      <c r="A9454" s="4" t="str">
        <f>HYPERLINK("http://www.rosaceae.org/Prunus/Prunus_persica/p.persica_gdr_reftransV1_0023123","p.persica_gdr_reftransV1_0023123")</f>
        <v>p.persica_gdr_reftransV1_0023123</v>
      </c>
      <c r="B9454" s="2">
        <v>2076</v>
      </c>
      <c r="C9454" s="4" t="str">
        <f>HYPERLINK("http://www.uniprot.org/uniprot/M5WRX8","M5WRX8")</f>
        <v>M5WRX8</v>
      </c>
      <c r="D9454" s="2" t="s">
        <v>2300</v>
      </c>
      <c r="E9454" s="3">
        <v>0</v>
      </c>
      <c r="F9454" s="2">
        <v>3162</v>
      </c>
      <c r="G9454" s="2">
        <v>100</v>
      </c>
      <c r="H9454" s="2">
        <v>587</v>
      </c>
      <c r="I9454" s="2">
        <v>1</v>
      </c>
      <c r="J9454" s="2">
        <v>1761</v>
      </c>
      <c r="K9454" s="2">
        <v>1</v>
      </c>
      <c r="L9454" s="2">
        <v>587</v>
      </c>
    </row>
    <row r="9455" spans="1:12" x14ac:dyDescent="0.25">
      <c r="A9455" s="4" t="str">
        <f>HYPERLINK("http://www.rosaceae.org/Prunus/Prunus_persica/p.persica_gdr_reftransV1_0025223","p.persica_gdr_reftransV1_0025223")</f>
        <v>p.persica_gdr_reftransV1_0025223</v>
      </c>
      <c r="B9455" s="2">
        <v>2154</v>
      </c>
      <c r="C9455" s="4" t="str">
        <f>HYPERLINK("http://www.uniprot.org/uniprot/M5XEY4","M5XEY4")</f>
        <v>M5XEY4</v>
      </c>
      <c r="D9455" s="2" t="s">
        <v>8200</v>
      </c>
      <c r="E9455" s="3">
        <v>0</v>
      </c>
      <c r="F9455" s="2">
        <v>3158</v>
      </c>
      <c r="G9455" s="2">
        <v>100</v>
      </c>
      <c r="H9455" s="2">
        <v>594</v>
      </c>
      <c r="I9455" s="2">
        <v>257</v>
      </c>
      <c r="J9455" s="2">
        <v>2038</v>
      </c>
      <c r="K9455" s="2">
        <v>1</v>
      </c>
      <c r="L9455" s="2">
        <v>594</v>
      </c>
    </row>
    <row r="9456" spans="1:12" x14ac:dyDescent="0.25">
      <c r="A9456" s="4" t="str">
        <f>HYPERLINK("http://www.rosaceae.org/Prunus/Prunus_persica/p.persica_gdr_reftransV1_0025573","p.persica_gdr_reftransV1_0025573")</f>
        <v>p.persica_gdr_reftransV1_0025573</v>
      </c>
      <c r="B9456" s="2">
        <v>1668</v>
      </c>
      <c r="C9456" s="4" t="str">
        <f>HYPERLINK("http://www.uniprot.org/uniprot/M5VQ26","M5VQ26")</f>
        <v>M5VQ26</v>
      </c>
      <c r="D9456" s="2" t="s">
        <v>8201</v>
      </c>
      <c r="E9456" s="3">
        <v>6.3299999999999996E-168</v>
      </c>
      <c r="F9456" s="2">
        <v>1274</v>
      </c>
      <c r="G9456" s="2">
        <v>100</v>
      </c>
      <c r="H9456" s="2">
        <v>248</v>
      </c>
      <c r="I9456" s="2">
        <v>512</v>
      </c>
      <c r="J9456" s="2">
        <v>1255</v>
      </c>
      <c r="K9456" s="2">
        <v>16</v>
      </c>
      <c r="L9456" s="2">
        <v>263</v>
      </c>
    </row>
    <row r="9457" spans="1:12" x14ac:dyDescent="0.25">
      <c r="A9457" s="4" t="str">
        <f>HYPERLINK("http://www.rosaceae.org/Prunus/Prunus_persica/p.persica_gdr_reftransV1_0026623","p.persica_gdr_reftransV1_0026623")</f>
        <v>p.persica_gdr_reftransV1_0026623</v>
      </c>
      <c r="B9457" s="2">
        <v>897</v>
      </c>
      <c r="C9457" s="4" t="str">
        <f>HYPERLINK("http://www.uniprot.org/uniprot/M5X215","M5X215")</f>
        <v>M5X215</v>
      </c>
      <c r="D9457" s="2" t="s">
        <v>8202</v>
      </c>
      <c r="E9457" s="3">
        <v>3.6499999999999999E-126</v>
      </c>
      <c r="F9457" s="2">
        <v>1000</v>
      </c>
      <c r="G9457" s="2">
        <v>100</v>
      </c>
      <c r="H9457" s="2">
        <v>185</v>
      </c>
      <c r="I9457" s="2">
        <v>2</v>
      </c>
      <c r="J9457" s="2">
        <v>556</v>
      </c>
      <c r="K9457" s="2">
        <v>1</v>
      </c>
      <c r="L9457" s="2">
        <v>185</v>
      </c>
    </row>
    <row r="9458" spans="1:12" x14ac:dyDescent="0.25">
      <c r="A9458" s="4" t="str">
        <f>HYPERLINK("http://www.rosaceae.org/Prunus/Prunus_persica/p.persica_gdr_reftransV1_0028023","p.persica_gdr_reftransV1_0028023")</f>
        <v>p.persica_gdr_reftransV1_0028023</v>
      </c>
      <c r="B9458" s="2">
        <v>1246</v>
      </c>
      <c r="C9458" s="4" t="str">
        <f>HYPERLINK("http://www.uniprot.org/uniprot/M5XBM1","M5XBM1")</f>
        <v>M5XBM1</v>
      </c>
      <c r="D9458" s="2" t="s">
        <v>5673</v>
      </c>
      <c r="E9458" s="3">
        <v>0</v>
      </c>
      <c r="F9458" s="2">
        <v>1710</v>
      </c>
      <c r="G9458" s="2">
        <v>100</v>
      </c>
      <c r="H9458" s="2">
        <v>318</v>
      </c>
      <c r="I9458" s="2">
        <v>3</v>
      </c>
      <c r="J9458" s="2">
        <v>956</v>
      </c>
      <c r="K9458" s="2">
        <v>268</v>
      </c>
      <c r="L9458" s="2">
        <v>585</v>
      </c>
    </row>
    <row r="9459" spans="1:12" x14ac:dyDescent="0.25">
      <c r="A9459" s="4" t="str">
        <f>HYPERLINK("http://www.rosaceae.org/Prunus/Prunus_persica/p.persica_gdr_reftransV1_0028723","p.persica_gdr_reftransV1_0028723")</f>
        <v>p.persica_gdr_reftransV1_0028723</v>
      </c>
      <c r="B9459" s="2">
        <v>3149</v>
      </c>
      <c r="C9459" s="4" t="str">
        <f>HYPERLINK("http://www.uniprot.org/uniprot/M5VPZ6","M5VPZ6")</f>
        <v>M5VPZ6</v>
      </c>
      <c r="D9459" s="2" t="s">
        <v>8203</v>
      </c>
      <c r="E9459" s="3">
        <v>3.3599999999999999E-106</v>
      </c>
      <c r="F9459" s="2">
        <v>896</v>
      </c>
      <c r="G9459" s="2">
        <v>100</v>
      </c>
      <c r="H9459" s="2">
        <v>166</v>
      </c>
      <c r="I9459" s="2">
        <v>1147</v>
      </c>
      <c r="J9459" s="2">
        <v>1644</v>
      </c>
      <c r="K9459" s="2">
        <v>184</v>
      </c>
      <c r="L9459" s="2">
        <v>349</v>
      </c>
    </row>
    <row r="9460" spans="1:12" x14ac:dyDescent="0.25">
      <c r="A9460" s="4" t="str">
        <f>HYPERLINK("http://www.rosaceae.org/Prunus/Prunus_persica/p.persica_gdr_reftransV1_0032223","p.persica_gdr_reftransV1_0032223")</f>
        <v>p.persica_gdr_reftransV1_0032223</v>
      </c>
      <c r="B9460" s="2">
        <v>3140</v>
      </c>
      <c r="C9460" s="4" t="str">
        <f>HYPERLINK("http://www.uniprot.org/uniprot/M5W9E7","M5W9E7")</f>
        <v>M5W9E7</v>
      </c>
      <c r="D9460" s="2" t="s">
        <v>8204</v>
      </c>
      <c r="E9460" s="3">
        <v>0</v>
      </c>
      <c r="F9460" s="2">
        <v>1768</v>
      </c>
      <c r="G9460" s="2">
        <v>93</v>
      </c>
      <c r="H9460" s="2">
        <v>361</v>
      </c>
      <c r="I9460" s="2">
        <v>1085</v>
      </c>
      <c r="J9460" s="2">
        <v>2167</v>
      </c>
      <c r="K9460" s="2">
        <v>1</v>
      </c>
      <c r="L9460" s="2">
        <v>336</v>
      </c>
    </row>
    <row r="9461" spans="1:12" x14ac:dyDescent="0.25">
      <c r="A9461" s="4" t="str">
        <f>HYPERLINK("http://www.rosaceae.org/Prunus/Prunus_persica/p.persica_gdr_reftransV1_0032573","p.persica_gdr_reftransV1_0032573")</f>
        <v>p.persica_gdr_reftransV1_0032573</v>
      </c>
      <c r="B9461" s="2">
        <v>3146</v>
      </c>
      <c r="C9461" s="4" t="str">
        <f>HYPERLINK("http://www.uniprot.org/uniprot/M5W6K0","M5W6K0")</f>
        <v>M5W6K0</v>
      </c>
      <c r="D9461" s="2" t="s">
        <v>8205</v>
      </c>
      <c r="E9461" s="3">
        <v>0</v>
      </c>
      <c r="F9461" s="2">
        <v>2169</v>
      </c>
      <c r="G9461" s="2">
        <v>97</v>
      </c>
      <c r="H9461" s="2">
        <v>417</v>
      </c>
      <c r="I9461" s="2">
        <v>468</v>
      </c>
      <c r="J9461" s="2">
        <v>1688</v>
      </c>
      <c r="K9461" s="2">
        <v>112</v>
      </c>
      <c r="L9461" s="2">
        <v>528</v>
      </c>
    </row>
    <row r="9462" spans="1:12" x14ac:dyDescent="0.25">
      <c r="A9462" s="4" t="str">
        <f>HYPERLINK("http://www.rosaceae.org/Prunus/Prunus_persica/p.persica_gdr_reftransV1_0032923","p.persica_gdr_reftransV1_0032923")</f>
        <v>p.persica_gdr_reftransV1_0032923</v>
      </c>
      <c r="B9462" s="2">
        <v>2524</v>
      </c>
      <c r="C9462" s="4" t="str">
        <f>HYPERLINK("http://www.uniprot.org/uniprot/A0A067L3V4","A0A067L3V4")</f>
        <v>A0A067L3V4</v>
      </c>
      <c r="D9462" s="2" t="s">
        <v>8206</v>
      </c>
      <c r="E9462" s="3">
        <v>0</v>
      </c>
      <c r="F9462" s="2">
        <v>1087</v>
      </c>
      <c r="G9462" s="2">
        <v>82</v>
      </c>
      <c r="H9462" s="2">
        <v>254</v>
      </c>
      <c r="I9462" s="2">
        <v>753</v>
      </c>
      <c r="J9462" s="2">
        <v>1505</v>
      </c>
      <c r="K9462" s="2">
        <v>12</v>
      </c>
      <c r="L9462" s="2">
        <v>264</v>
      </c>
    </row>
    <row r="9463" spans="1:12" x14ac:dyDescent="0.25">
      <c r="A9463" s="4" t="str">
        <f>HYPERLINK("http://www.rosaceae.org/Prunus/Prunus_persica/p.persica_gdr_reftransV1_0034323","p.persica_gdr_reftransV1_0034323")</f>
        <v>p.persica_gdr_reftransV1_0034323</v>
      </c>
      <c r="B9463" s="2">
        <v>3354</v>
      </c>
      <c r="C9463" s="4" t="str">
        <f>HYPERLINK("http://www.uniprot.org/uniprot/M5XXL4","M5XXL4")</f>
        <v>M5XXL4</v>
      </c>
      <c r="D9463" s="2" t="s">
        <v>8207</v>
      </c>
      <c r="E9463" s="3">
        <v>0</v>
      </c>
      <c r="F9463" s="2">
        <v>4062</v>
      </c>
      <c r="G9463" s="2">
        <v>100</v>
      </c>
      <c r="H9463" s="2">
        <v>827</v>
      </c>
      <c r="I9463" s="2">
        <v>570</v>
      </c>
      <c r="J9463" s="2">
        <v>3050</v>
      </c>
      <c r="K9463" s="2">
        <v>1</v>
      </c>
      <c r="L9463" s="2">
        <v>827</v>
      </c>
    </row>
    <row r="9464" spans="1:12" x14ac:dyDescent="0.25">
      <c r="A9464" s="4" t="str">
        <f>HYPERLINK("http://www.rosaceae.org/Prunus/Prunus_persica/p.persica_gdr_reftransV1_0035023","p.persica_gdr_reftransV1_0035023")</f>
        <v>p.persica_gdr_reftransV1_0035023</v>
      </c>
      <c r="B9464" s="2">
        <v>1836</v>
      </c>
      <c r="C9464" s="4" t="str">
        <f>HYPERLINK("http://www.uniprot.org/uniprot/M5WSR3","M5WSR3")</f>
        <v>M5WSR3</v>
      </c>
      <c r="D9464" s="2" t="s">
        <v>8208</v>
      </c>
      <c r="E9464" s="3">
        <v>3.7599999999999999E-92</v>
      </c>
      <c r="F9464" s="2">
        <v>765</v>
      </c>
      <c r="G9464" s="2">
        <v>100</v>
      </c>
      <c r="H9464" s="2">
        <v>165</v>
      </c>
      <c r="I9464" s="2">
        <v>332</v>
      </c>
      <c r="J9464" s="2">
        <v>826</v>
      </c>
      <c r="K9464" s="2">
        <v>1</v>
      </c>
      <c r="L9464" s="2">
        <v>165</v>
      </c>
    </row>
    <row r="9465" spans="1:12" x14ac:dyDescent="0.25">
      <c r="A9465" s="4" t="str">
        <f>HYPERLINK("http://www.rosaceae.org/Prunus/Prunus_persica/p.persica_gdr_reftransV1_0035373","p.persica_gdr_reftransV1_0035373")</f>
        <v>p.persica_gdr_reftransV1_0035373</v>
      </c>
      <c r="B9465" s="2">
        <v>1946</v>
      </c>
      <c r="C9465" s="4" t="str">
        <f>HYPERLINK("http://www.uniprot.org/uniprot/M5VY48","M5VY48")</f>
        <v>M5VY48</v>
      </c>
      <c r="D9465" s="2" t="s">
        <v>8209</v>
      </c>
      <c r="E9465" s="3">
        <v>0</v>
      </c>
      <c r="F9465" s="2">
        <v>1144</v>
      </c>
      <c r="G9465" s="2">
        <v>100</v>
      </c>
      <c r="H9465" s="2">
        <v>248</v>
      </c>
      <c r="I9465" s="2">
        <v>266</v>
      </c>
      <c r="J9465" s="2">
        <v>1009</v>
      </c>
      <c r="K9465" s="2">
        <v>1</v>
      </c>
      <c r="L9465" s="2">
        <v>248</v>
      </c>
    </row>
    <row r="9466" spans="1:12" x14ac:dyDescent="0.25">
      <c r="A9466" s="4" t="str">
        <f>HYPERLINK("http://www.rosaceae.org/Prunus/Prunus_persica/p.persica_gdr_reftransV1_0037473","p.persica_gdr_reftransV1_0037473")</f>
        <v>p.persica_gdr_reftransV1_0037473</v>
      </c>
      <c r="B9466" s="2">
        <v>1922</v>
      </c>
      <c r="C9466" s="4" t="str">
        <f>HYPERLINK("http://www.uniprot.org/uniprot/M5VJ12","M5VJ12")</f>
        <v>M5VJ12</v>
      </c>
      <c r="D9466" s="2" t="s">
        <v>8210</v>
      </c>
      <c r="E9466" s="3">
        <v>0</v>
      </c>
      <c r="F9466" s="2">
        <v>1740</v>
      </c>
      <c r="G9466" s="2">
        <v>92</v>
      </c>
      <c r="H9466" s="2">
        <v>373</v>
      </c>
      <c r="I9466" s="2">
        <v>137</v>
      </c>
      <c r="J9466" s="2">
        <v>1246</v>
      </c>
      <c r="K9466" s="2">
        <v>1</v>
      </c>
      <c r="L9466" s="2">
        <v>353</v>
      </c>
    </row>
    <row r="9467" spans="1:12" x14ac:dyDescent="0.25">
      <c r="A9467" s="4" t="str">
        <f>HYPERLINK("http://www.rosaceae.org/Prunus/Prunus_persica/p.persica_gdr_reftransV1_0038173","p.persica_gdr_reftransV1_0038173")</f>
        <v>p.persica_gdr_reftransV1_0038173</v>
      </c>
      <c r="B9467" s="2">
        <v>800</v>
      </c>
      <c r="C9467" s="4" t="str">
        <f>HYPERLINK("http://www.uniprot.org/uniprot/M5W7A7","M5W7A7")</f>
        <v>M5W7A7</v>
      </c>
      <c r="D9467" s="2" t="s">
        <v>2677</v>
      </c>
      <c r="E9467" s="3">
        <v>4.7499999999999997E-171</v>
      </c>
      <c r="F9467" s="2">
        <v>1268</v>
      </c>
      <c r="G9467" s="2">
        <v>100</v>
      </c>
      <c r="H9467" s="2">
        <v>236</v>
      </c>
      <c r="I9467" s="2">
        <v>3</v>
      </c>
      <c r="J9467" s="2">
        <v>710</v>
      </c>
      <c r="K9467" s="2">
        <v>224</v>
      </c>
      <c r="L9467" s="2">
        <v>459</v>
      </c>
    </row>
    <row r="9468" spans="1:12" x14ac:dyDescent="0.25">
      <c r="A9468" s="4" t="str">
        <f>HYPERLINK("http://www.rosaceae.org/Prunus/Prunus_persica/p.persica_gdr_reftransV1_0041323","p.persica_gdr_reftransV1_0041323")</f>
        <v>p.persica_gdr_reftransV1_0041323</v>
      </c>
      <c r="B9468" s="2">
        <v>2647</v>
      </c>
      <c r="C9468" s="4" t="str">
        <f>HYPERLINK("http://www.uniprot.org/uniprot/M5WKW6","M5WKW6")</f>
        <v>M5WKW6</v>
      </c>
      <c r="D9468" s="2" t="s">
        <v>8211</v>
      </c>
      <c r="E9468" s="3">
        <v>0</v>
      </c>
      <c r="F9468" s="2">
        <v>3404</v>
      </c>
      <c r="G9468" s="2">
        <v>94</v>
      </c>
      <c r="H9468" s="2">
        <v>709</v>
      </c>
      <c r="I9468" s="2">
        <v>135</v>
      </c>
      <c r="J9468" s="2">
        <v>2261</v>
      </c>
      <c r="K9468" s="2">
        <v>1</v>
      </c>
      <c r="L9468" s="2">
        <v>666</v>
      </c>
    </row>
    <row r="9469" spans="1:12" x14ac:dyDescent="0.25">
      <c r="A9469" s="4" t="str">
        <f>HYPERLINK("http://www.rosaceae.org/Prunus/Prunus_persica/p.persica_gdr_reftransV1_0043073","p.persica_gdr_reftransV1_0043073")</f>
        <v>p.persica_gdr_reftransV1_0043073</v>
      </c>
      <c r="B9469" s="2">
        <v>1275</v>
      </c>
      <c r="C9469" s="4" t="str">
        <f>HYPERLINK("http://www.uniprot.org/uniprot/M5XYH8","M5XYH8")</f>
        <v>M5XYH8</v>
      </c>
      <c r="D9469" s="2" t="s">
        <v>3166</v>
      </c>
      <c r="E9469" s="3">
        <v>0</v>
      </c>
      <c r="F9469" s="2">
        <v>2285</v>
      </c>
      <c r="G9469" s="2">
        <v>100</v>
      </c>
      <c r="H9469" s="2">
        <v>425</v>
      </c>
      <c r="I9469" s="2">
        <v>1</v>
      </c>
      <c r="J9469" s="2">
        <v>1275</v>
      </c>
      <c r="K9469" s="2">
        <v>48</v>
      </c>
      <c r="L9469" s="2">
        <v>472</v>
      </c>
    </row>
    <row r="9470" spans="1:12" x14ac:dyDescent="0.25">
      <c r="A9470" s="4" t="str">
        <f>HYPERLINK("http://www.rosaceae.org/Prunus/Prunus_persica/p.persica_gdr_reftransV1_0043423","p.persica_gdr_reftransV1_0043423")</f>
        <v>p.persica_gdr_reftransV1_0043423</v>
      </c>
      <c r="B9470" s="2">
        <v>659</v>
      </c>
      <c r="C9470" s="4" t="str">
        <f>HYPERLINK("http://www.uniprot.org/uniprot/M5W0E5","M5W0E5")</f>
        <v>M5W0E5</v>
      </c>
      <c r="D9470" s="2" t="s">
        <v>8212</v>
      </c>
      <c r="E9470" s="3">
        <v>1.73E-96</v>
      </c>
      <c r="F9470" s="2">
        <v>740</v>
      </c>
      <c r="G9470" s="2">
        <v>90</v>
      </c>
      <c r="H9470" s="2">
        <v>161</v>
      </c>
      <c r="I9470" s="2">
        <v>35</v>
      </c>
      <c r="J9470" s="2">
        <v>517</v>
      </c>
      <c r="K9470" s="2">
        <v>1</v>
      </c>
      <c r="L9470" s="2">
        <v>145</v>
      </c>
    </row>
    <row r="9471" spans="1:12" x14ac:dyDescent="0.25">
      <c r="A9471" s="4" t="str">
        <f>HYPERLINK("http://www.rosaceae.org/Prunus/Prunus_persica/p.persica_gdr_reftransV1_0043773","p.persica_gdr_reftransV1_0043773")</f>
        <v>p.persica_gdr_reftransV1_0043773</v>
      </c>
      <c r="B9471" s="2">
        <v>1021</v>
      </c>
      <c r="C9471" s="4" t="str">
        <f>HYPERLINK("http://www.uniprot.org/uniprot/M5WPJ8","M5WPJ8")</f>
        <v>M5WPJ8</v>
      </c>
      <c r="D9471" s="2" t="s">
        <v>8213</v>
      </c>
      <c r="E9471" s="3">
        <v>5.5700000000000001E-125</v>
      </c>
      <c r="F9471" s="2">
        <v>945</v>
      </c>
      <c r="G9471" s="2">
        <v>100</v>
      </c>
      <c r="H9471" s="2">
        <v>178</v>
      </c>
      <c r="I9471" s="2">
        <v>153</v>
      </c>
      <c r="J9471" s="2">
        <v>686</v>
      </c>
      <c r="K9471" s="2">
        <v>1</v>
      </c>
      <c r="L9471" s="2">
        <v>178</v>
      </c>
    </row>
    <row r="9472" spans="1:12" x14ac:dyDescent="0.25">
      <c r="A9472" s="4" t="str">
        <f>HYPERLINK("http://www.rosaceae.org/Prunus/Prunus_persica/p.persica_gdr_reftransV1_0044123","p.persica_gdr_reftransV1_0044123")</f>
        <v>p.persica_gdr_reftransV1_0044123</v>
      </c>
      <c r="B9472" s="2">
        <v>903</v>
      </c>
      <c r="C9472" s="4" t="str">
        <f>HYPERLINK("http://www.uniprot.org/uniprot/M5VRB3","M5VRB3")</f>
        <v>M5VRB3</v>
      </c>
      <c r="D9472" s="2" t="s">
        <v>8214</v>
      </c>
      <c r="E9472" s="3">
        <v>8.8400000000000001E-97</v>
      </c>
      <c r="F9472" s="2">
        <v>752</v>
      </c>
      <c r="G9472" s="2">
        <v>100</v>
      </c>
      <c r="H9472" s="2">
        <v>159</v>
      </c>
      <c r="I9472" s="2">
        <v>321</v>
      </c>
      <c r="J9472" s="2">
        <v>797</v>
      </c>
      <c r="K9472" s="2">
        <v>1</v>
      </c>
      <c r="L9472" s="2">
        <v>159</v>
      </c>
    </row>
    <row r="9473" spans="1:12" x14ac:dyDescent="0.25">
      <c r="A9473" s="4" t="str">
        <f>HYPERLINK("http://www.rosaceae.org/Prunus/Prunus_persica/p.persica_gdr_reftransV1_0044473","p.persica_gdr_reftransV1_0044473")</f>
        <v>p.persica_gdr_reftransV1_0044473</v>
      </c>
      <c r="B9473" s="2">
        <v>1195</v>
      </c>
      <c r="C9473" s="4" t="str">
        <f>HYPERLINK("http://www.uniprot.org/uniprot/M5W4K3","M5W4K3")</f>
        <v>M5W4K3</v>
      </c>
      <c r="D9473" s="2" t="s">
        <v>8215</v>
      </c>
      <c r="E9473" s="3">
        <v>0</v>
      </c>
      <c r="F9473" s="2">
        <v>1359</v>
      </c>
      <c r="G9473" s="2">
        <v>100</v>
      </c>
      <c r="H9473" s="2">
        <v>294</v>
      </c>
      <c r="I9473" s="2">
        <v>55</v>
      </c>
      <c r="J9473" s="2">
        <v>936</v>
      </c>
      <c r="K9473" s="2">
        <v>1</v>
      </c>
      <c r="L9473" s="2">
        <v>294</v>
      </c>
    </row>
    <row r="9474" spans="1:12" x14ac:dyDescent="0.25">
      <c r="A9474" s="4" t="str">
        <f>HYPERLINK("http://www.rosaceae.org/Prunus/Prunus_persica/p.persica_gdr_reftransV1_0045173","p.persica_gdr_reftransV1_0045173")</f>
        <v>p.persica_gdr_reftransV1_0045173</v>
      </c>
      <c r="B9474" s="2">
        <v>937</v>
      </c>
      <c r="C9474" s="4" t="str">
        <f>HYPERLINK("http://www.uniprot.org/uniprot/M5XFB5","M5XFB5")</f>
        <v>M5XFB5</v>
      </c>
      <c r="D9474" s="2" t="s">
        <v>8216</v>
      </c>
      <c r="E9474" s="3">
        <v>2.9500000000000002E-100</v>
      </c>
      <c r="F9474" s="2">
        <v>782</v>
      </c>
      <c r="G9474" s="2">
        <v>100</v>
      </c>
      <c r="H9474" s="2">
        <v>201</v>
      </c>
      <c r="I9474" s="2">
        <v>330</v>
      </c>
      <c r="J9474" s="2">
        <v>932</v>
      </c>
      <c r="K9474" s="2">
        <v>16</v>
      </c>
      <c r="L9474" s="2">
        <v>216</v>
      </c>
    </row>
    <row r="9475" spans="1:12" x14ac:dyDescent="0.25">
      <c r="A9475" s="4" t="str">
        <f>HYPERLINK("http://www.rosaceae.org/Prunus/Prunus_persica/p.persica_gdr_reftransV1_0045523","p.persica_gdr_reftransV1_0045523")</f>
        <v>p.persica_gdr_reftransV1_0045523</v>
      </c>
      <c r="B9475" s="2">
        <v>1180</v>
      </c>
      <c r="C9475" s="4" t="str">
        <f>HYPERLINK("http://www.uniprot.org/uniprot/M5XC58","M5XC58")</f>
        <v>M5XC58</v>
      </c>
      <c r="D9475" s="2" t="s">
        <v>6902</v>
      </c>
      <c r="E9475" s="3">
        <v>0</v>
      </c>
      <c r="F9475" s="2">
        <v>1571</v>
      </c>
      <c r="G9475" s="2">
        <v>100</v>
      </c>
      <c r="H9475" s="2">
        <v>293</v>
      </c>
      <c r="I9475" s="2">
        <v>169</v>
      </c>
      <c r="J9475" s="2">
        <v>1047</v>
      </c>
      <c r="K9475" s="2">
        <v>1</v>
      </c>
      <c r="L9475" s="2">
        <v>293</v>
      </c>
    </row>
    <row r="9476" spans="1:12" x14ac:dyDescent="0.25">
      <c r="A9476" s="4" t="str">
        <f>HYPERLINK("http://www.rosaceae.org/Prunus/Prunus_persica/p.persica_gdr_reftransV1_0045873","p.persica_gdr_reftransV1_0045873")</f>
        <v>p.persica_gdr_reftransV1_0045873</v>
      </c>
      <c r="B9476" s="2">
        <v>1848</v>
      </c>
      <c r="C9476" s="4" t="str">
        <f>HYPERLINK("http://www.uniprot.org/uniprot/M5VXS8","M5VXS8")</f>
        <v>M5VXS8</v>
      </c>
      <c r="D9476" s="2" t="s">
        <v>8217</v>
      </c>
      <c r="E9476" s="3">
        <v>0</v>
      </c>
      <c r="F9476" s="2">
        <v>2336</v>
      </c>
      <c r="G9476" s="2">
        <v>100</v>
      </c>
      <c r="H9476" s="2">
        <v>509</v>
      </c>
      <c r="I9476" s="2">
        <v>238</v>
      </c>
      <c r="J9476" s="2">
        <v>1764</v>
      </c>
      <c r="K9476" s="2">
        <v>1</v>
      </c>
      <c r="L9476" s="2">
        <v>509</v>
      </c>
    </row>
    <row r="9477" spans="1:12" x14ac:dyDescent="0.25">
      <c r="A9477" s="4" t="str">
        <f>HYPERLINK("http://www.rosaceae.org/Prunus/Prunus_persica/p.persica_gdr_reftransV1_0046573","p.persica_gdr_reftransV1_0046573")</f>
        <v>p.persica_gdr_reftransV1_0046573</v>
      </c>
      <c r="B9477" s="2">
        <v>1455</v>
      </c>
      <c r="C9477" s="4" t="str">
        <f>HYPERLINK("http://www.uniprot.org/uniprot/M5XY30","M5XY30")</f>
        <v>M5XY30</v>
      </c>
      <c r="D9477" s="2" t="s">
        <v>1988</v>
      </c>
      <c r="E9477" s="3">
        <v>5.3499999999999996E-150</v>
      </c>
      <c r="F9477" s="2">
        <v>1138</v>
      </c>
      <c r="G9477" s="2">
        <v>99</v>
      </c>
      <c r="H9477" s="2">
        <v>228</v>
      </c>
      <c r="I9477" s="2">
        <v>581</v>
      </c>
      <c r="J9477" s="2">
        <v>1264</v>
      </c>
      <c r="K9477" s="2">
        <v>1</v>
      </c>
      <c r="L9477" s="2">
        <v>228</v>
      </c>
    </row>
    <row r="9478" spans="1:12" x14ac:dyDescent="0.25">
      <c r="A9478" s="4" t="str">
        <f>HYPERLINK("http://www.rosaceae.org/Prunus/Prunus_persica/p.persica_gdr_reftransV1_0046923","p.persica_gdr_reftransV1_0046923")</f>
        <v>p.persica_gdr_reftransV1_0046923</v>
      </c>
      <c r="B9478" s="2">
        <v>932</v>
      </c>
      <c r="C9478" s="4" t="str">
        <f>HYPERLINK("http://www.uniprot.org/uniprot/M5Y0T4","M5Y0T4")</f>
        <v>M5Y0T4</v>
      </c>
      <c r="D9478" s="2" t="s">
        <v>8218</v>
      </c>
      <c r="E9478" s="3">
        <v>3.1200000000000002E-179</v>
      </c>
      <c r="F9478" s="2">
        <v>1307</v>
      </c>
      <c r="G9478" s="2">
        <v>100</v>
      </c>
      <c r="H9478" s="2">
        <v>248</v>
      </c>
      <c r="I9478" s="2">
        <v>117</v>
      </c>
      <c r="J9478" s="2">
        <v>860</v>
      </c>
      <c r="K9478" s="2">
        <v>17</v>
      </c>
      <c r="L9478" s="2">
        <v>264</v>
      </c>
    </row>
    <row r="9479" spans="1:12" x14ac:dyDescent="0.25">
      <c r="A9479" s="4" t="str">
        <f>HYPERLINK("http://www.rosaceae.org/Prunus/Prunus_persica/p.persica_gdr_reftransV1_0047273","p.persica_gdr_reftransV1_0047273")</f>
        <v>p.persica_gdr_reftransV1_0047273</v>
      </c>
      <c r="B9479" s="2">
        <v>702</v>
      </c>
      <c r="C9479" s="4" t="str">
        <f>HYPERLINK("http://www.uniprot.org/uniprot/M5XEM5","M5XEM5")</f>
        <v>M5XEM5</v>
      </c>
      <c r="D9479" s="2" t="s">
        <v>8219</v>
      </c>
      <c r="E9479" s="3">
        <v>2.1200000000000001E-124</v>
      </c>
      <c r="F9479" s="2">
        <v>980</v>
      </c>
      <c r="G9479" s="2">
        <v>99</v>
      </c>
      <c r="H9479" s="2">
        <v>200</v>
      </c>
      <c r="I9479" s="2">
        <v>101</v>
      </c>
      <c r="J9479" s="2">
        <v>700</v>
      </c>
      <c r="K9479" s="2">
        <v>558</v>
      </c>
      <c r="L9479" s="2">
        <v>757</v>
      </c>
    </row>
    <row r="9480" spans="1:12" x14ac:dyDescent="0.25">
      <c r="A9480" s="4" t="str">
        <f>HYPERLINK("http://www.rosaceae.org/Prunus/Prunus_persica/p.persica_gdr_reftransV1_0047623","p.persica_gdr_reftransV1_0047623")</f>
        <v>p.persica_gdr_reftransV1_0047623</v>
      </c>
      <c r="B9480" s="2">
        <v>1829</v>
      </c>
      <c r="C9480" s="4" t="str">
        <f>HYPERLINK("http://www.uniprot.org/uniprot/A0A061FQL5","A0A061FQL5")</f>
        <v>A0A061FQL5</v>
      </c>
      <c r="D9480" s="2" t="s">
        <v>8220</v>
      </c>
      <c r="E9480" s="3">
        <v>0</v>
      </c>
      <c r="F9480" s="2">
        <v>2556</v>
      </c>
      <c r="G9480" s="2">
        <v>89</v>
      </c>
      <c r="H9480" s="2">
        <v>527</v>
      </c>
      <c r="I9480" s="2">
        <v>39</v>
      </c>
      <c r="J9480" s="2">
        <v>1619</v>
      </c>
      <c r="K9480" s="2">
        <v>1</v>
      </c>
      <c r="L9480" s="2">
        <v>527</v>
      </c>
    </row>
    <row r="9481" spans="1:12" x14ac:dyDescent="0.25">
      <c r="A9481" s="4" t="str">
        <f>HYPERLINK("http://www.rosaceae.org/Prunus/Prunus_persica/p.persica_gdr_reftransV1_0047973","p.persica_gdr_reftransV1_0047973")</f>
        <v>p.persica_gdr_reftransV1_0047973</v>
      </c>
      <c r="B9481" s="2">
        <v>528</v>
      </c>
      <c r="C9481" s="4" t="str">
        <f>HYPERLINK("http://www.uniprot.org/uniprot/M5W6W1","M5W6W1")</f>
        <v>M5W6W1</v>
      </c>
      <c r="D9481" s="2" t="s">
        <v>3615</v>
      </c>
      <c r="E9481" s="3">
        <v>1.83E-61</v>
      </c>
      <c r="F9481" s="2">
        <v>544</v>
      </c>
      <c r="G9481" s="2">
        <v>100</v>
      </c>
      <c r="H9481" s="2">
        <v>104</v>
      </c>
      <c r="I9481" s="2">
        <v>3</v>
      </c>
      <c r="J9481" s="2">
        <v>314</v>
      </c>
      <c r="K9481" s="2">
        <v>1</v>
      </c>
      <c r="L9481" s="2">
        <v>104</v>
      </c>
    </row>
    <row r="9482" spans="1:12" x14ac:dyDescent="0.25">
      <c r="A9482" s="4" t="str">
        <f>HYPERLINK("http://www.rosaceae.org/Prunus/Prunus_persica/p.persica_gdr_reftransV1_0048323","p.persica_gdr_reftransV1_0048323")</f>
        <v>p.persica_gdr_reftransV1_0048323</v>
      </c>
      <c r="B9482" s="2">
        <v>424</v>
      </c>
      <c r="C9482" s="4" t="str">
        <f>HYPERLINK("http://www.uniprot.org/uniprot/M5WNM3","M5WNM3")</f>
        <v>M5WNM3</v>
      </c>
      <c r="D9482" s="2" t="s">
        <v>8221</v>
      </c>
      <c r="E9482" s="3">
        <v>1.4400000000000001E-91</v>
      </c>
      <c r="F9482" s="2">
        <v>753</v>
      </c>
      <c r="G9482" s="2">
        <v>100</v>
      </c>
      <c r="H9482" s="2">
        <v>140</v>
      </c>
      <c r="I9482" s="2">
        <v>3</v>
      </c>
      <c r="J9482" s="2">
        <v>422</v>
      </c>
      <c r="K9482" s="2">
        <v>198</v>
      </c>
      <c r="L9482" s="2">
        <v>337</v>
      </c>
    </row>
    <row r="9483" spans="1:12" x14ac:dyDescent="0.25">
      <c r="A9483" s="4" t="str">
        <f>HYPERLINK("http://www.rosaceae.org/Prunus/Prunus_persica/p.persica_gdr_reftransV1_0049023","p.persica_gdr_reftransV1_0049023")</f>
        <v>p.persica_gdr_reftransV1_0049023</v>
      </c>
      <c r="B9483" s="2">
        <v>878</v>
      </c>
      <c r="C9483" s="4" t="str">
        <f>HYPERLINK("http://www.uniprot.org/uniprot/M5WAI5","M5WAI5")</f>
        <v>M5WAI5</v>
      </c>
      <c r="D9483" s="2" t="s">
        <v>8222</v>
      </c>
      <c r="E9483" s="3">
        <v>9.9600000000000001E-92</v>
      </c>
      <c r="F9483" s="2">
        <v>583</v>
      </c>
      <c r="G9483" s="2">
        <v>99</v>
      </c>
      <c r="H9483" s="2">
        <v>110</v>
      </c>
      <c r="I9483" s="2">
        <v>496</v>
      </c>
      <c r="J9483" s="2">
        <v>825</v>
      </c>
      <c r="K9483" s="2">
        <v>1</v>
      </c>
      <c r="L9483" s="2">
        <v>110</v>
      </c>
    </row>
    <row r="9484" spans="1:12" x14ac:dyDescent="0.25">
      <c r="A9484" s="4" t="str">
        <f>HYPERLINK("http://www.rosaceae.org/Prunus/Prunus_persica/p.persica_gdr_reftransV1_0000231","p.persica_gdr_reftransV1_0000231")</f>
        <v>p.persica_gdr_reftransV1_0000231</v>
      </c>
      <c r="B9484" s="2">
        <v>1933</v>
      </c>
      <c r="C9484" s="4" t="str">
        <f>HYPERLINK("http://www.uniprot.org/uniprot/K7KWI8","K7KWI8")</f>
        <v>K7KWI8</v>
      </c>
      <c r="D9484" s="2" t="s">
        <v>575</v>
      </c>
      <c r="E9484" s="3">
        <v>1.18E-138</v>
      </c>
      <c r="F9484" s="2">
        <v>893</v>
      </c>
      <c r="G9484" s="2">
        <v>64</v>
      </c>
      <c r="H9484" s="2">
        <v>320</v>
      </c>
      <c r="I9484" s="2">
        <v>815</v>
      </c>
      <c r="J9484" s="2">
        <v>1765</v>
      </c>
      <c r="K9484" s="2">
        <v>8</v>
      </c>
      <c r="L9484" s="2">
        <v>311</v>
      </c>
    </row>
    <row r="9485" spans="1:12" x14ac:dyDescent="0.25">
      <c r="A9485" s="4" t="str">
        <f>HYPERLINK("http://www.rosaceae.org/Prunus/Prunus_persica/p.persica_gdr_reftransV1_0000581","p.persica_gdr_reftransV1_0000581")</f>
        <v>p.persica_gdr_reftransV1_0000581</v>
      </c>
      <c r="B9485" s="2">
        <v>691</v>
      </c>
      <c r="C9485" s="4" t="str">
        <f>HYPERLINK("http://www.uniprot.org/uniprot/M5WYE0","M5WYE0")</f>
        <v>M5WYE0</v>
      </c>
      <c r="D9485" s="2" t="s">
        <v>8223</v>
      </c>
      <c r="E9485" s="3">
        <v>1.8599999999999999E-132</v>
      </c>
      <c r="F9485" s="2">
        <v>1036</v>
      </c>
      <c r="G9485" s="2">
        <v>100</v>
      </c>
      <c r="H9485" s="2">
        <v>199</v>
      </c>
      <c r="I9485" s="2">
        <v>93</v>
      </c>
      <c r="J9485" s="2">
        <v>689</v>
      </c>
      <c r="K9485" s="2">
        <v>1</v>
      </c>
      <c r="L9485" s="2">
        <v>199</v>
      </c>
    </row>
    <row r="9486" spans="1:12" x14ac:dyDescent="0.25">
      <c r="A9486" s="4" t="str">
        <f>HYPERLINK("http://www.rosaceae.org/Prunus/Prunus_persica/p.persica_gdr_reftransV1_0001631","p.persica_gdr_reftransV1_0001631")</f>
        <v>p.persica_gdr_reftransV1_0001631</v>
      </c>
      <c r="B9486" s="2">
        <v>342</v>
      </c>
      <c r="C9486" s="4" t="str">
        <f>HYPERLINK("http://www.uniprot.org/uniprot/M5W526","M5W526")</f>
        <v>M5W526</v>
      </c>
      <c r="D9486" s="2" t="s">
        <v>8224</v>
      </c>
      <c r="E9486" s="3">
        <v>2.06E-53</v>
      </c>
      <c r="F9486" s="2">
        <v>460</v>
      </c>
      <c r="G9486" s="2">
        <v>100</v>
      </c>
      <c r="H9486" s="2">
        <v>113</v>
      </c>
      <c r="I9486" s="2">
        <v>3</v>
      </c>
      <c r="J9486" s="2">
        <v>341</v>
      </c>
      <c r="K9486" s="2">
        <v>201</v>
      </c>
      <c r="L9486" s="2">
        <v>313</v>
      </c>
    </row>
    <row r="9487" spans="1:12" x14ac:dyDescent="0.25">
      <c r="A9487" s="4" t="str">
        <f>HYPERLINK("http://www.rosaceae.org/Prunus/Prunus_persica/p.persica_gdr_reftransV1_0001981","p.persica_gdr_reftransV1_0001981")</f>
        <v>p.persica_gdr_reftransV1_0001981</v>
      </c>
      <c r="B9487" s="2">
        <v>2122</v>
      </c>
      <c r="C9487" s="4" t="str">
        <f>HYPERLINK("http://www.uniprot.org/uniprot/H2BDK5","H2BDK5")</f>
        <v>H2BDK5</v>
      </c>
      <c r="D9487" s="2" t="s">
        <v>8225</v>
      </c>
      <c r="E9487" s="3">
        <v>0</v>
      </c>
      <c r="F9487" s="2">
        <v>1923</v>
      </c>
      <c r="G9487" s="2">
        <v>100</v>
      </c>
      <c r="H9487" s="2">
        <v>382</v>
      </c>
      <c r="I9487" s="2">
        <v>150</v>
      </c>
      <c r="J9487" s="2">
        <v>1295</v>
      </c>
      <c r="K9487" s="2">
        <v>1</v>
      </c>
      <c r="L9487" s="2">
        <v>382</v>
      </c>
    </row>
    <row r="9488" spans="1:12" x14ac:dyDescent="0.25">
      <c r="A9488" s="4" t="str">
        <f>HYPERLINK("http://www.rosaceae.org/Prunus/Prunus_persica/p.persica_gdr_reftransV1_0002331","p.persica_gdr_reftransV1_0002331")</f>
        <v>p.persica_gdr_reftransV1_0002331</v>
      </c>
      <c r="B9488" s="2">
        <v>903</v>
      </c>
      <c r="C9488" s="4" t="str">
        <f>HYPERLINK("http://www.uniprot.org/uniprot/M5X3G2","M5X3G2")</f>
        <v>M5X3G2</v>
      </c>
      <c r="D9488" s="2" t="s">
        <v>8226</v>
      </c>
      <c r="E9488" s="3">
        <v>6.1700000000000004E-99</v>
      </c>
      <c r="F9488" s="2">
        <v>766</v>
      </c>
      <c r="G9488" s="2">
        <v>97</v>
      </c>
      <c r="H9488" s="2">
        <v>155</v>
      </c>
      <c r="I9488" s="2">
        <v>109</v>
      </c>
      <c r="J9488" s="2">
        <v>573</v>
      </c>
      <c r="K9488" s="2">
        <v>1</v>
      </c>
      <c r="L9488" s="2">
        <v>152</v>
      </c>
    </row>
    <row r="9489" spans="1:12" x14ac:dyDescent="0.25">
      <c r="A9489" s="4" t="str">
        <f>HYPERLINK("http://www.rosaceae.org/Prunus/Prunus_persica/p.persica_gdr_reftransV1_0003381","p.persica_gdr_reftransV1_0003381")</f>
        <v>p.persica_gdr_reftransV1_0003381</v>
      </c>
      <c r="B9489" s="2">
        <v>1539</v>
      </c>
      <c r="C9489" s="4" t="str">
        <f>HYPERLINK("http://www.uniprot.org/uniprot/M5VZ21","M5VZ21")</f>
        <v>M5VZ21</v>
      </c>
      <c r="D9489" s="2" t="s">
        <v>8227</v>
      </c>
      <c r="E9489" s="3">
        <v>0</v>
      </c>
      <c r="F9489" s="2">
        <v>1737</v>
      </c>
      <c r="G9489" s="2">
        <v>96</v>
      </c>
      <c r="H9489" s="2">
        <v>453</v>
      </c>
      <c r="I9489" s="2">
        <v>2</v>
      </c>
      <c r="J9489" s="2">
        <v>1360</v>
      </c>
      <c r="K9489" s="2">
        <v>29</v>
      </c>
      <c r="L9489" s="2">
        <v>463</v>
      </c>
    </row>
    <row r="9490" spans="1:12" x14ac:dyDescent="0.25">
      <c r="A9490" s="4" t="str">
        <f>HYPERLINK("http://www.rosaceae.org/Prunus/Prunus_persica/p.persica_gdr_reftransV1_0003731","p.persica_gdr_reftransV1_0003731")</f>
        <v>p.persica_gdr_reftransV1_0003731</v>
      </c>
      <c r="B9490" s="2">
        <v>495</v>
      </c>
      <c r="C9490" s="4" t="str">
        <f>HYPERLINK("http://www.uniprot.org/uniprot/M5WYS7","M5WYS7")</f>
        <v>M5WYS7</v>
      </c>
      <c r="D9490" s="2" t="s">
        <v>5113</v>
      </c>
      <c r="E9490" s="3">
        <v>2.5700000000000002E-53</v>
      </c>
      <c r="F9490" s="2">
        <v>446</v>
      </c>
      <c r="G9490" s="2">
        <v>100</v>
      </c>
      <c r="H9490" s="2">
        <v>108</v>
      </c>
      <c r="I9490" s="2">
        <v>1</v>
      </c>
      <c r="J9490" s="2">
        <v>324</v>
      </c>
      <c r="K9490" s="2">
        <v>5</v>
      </c>
      <c r="L9490" s="2">
        <v>112</v>
      </c>
    </row>
    <row r="9491" spans="1:12" x14ac:dyDescent="0.25">
      <c r="A9491" s="4" t="str">
        <f>HYPERLINK("http://www.rosaceae.org/Prunus/Prunus_persica/p.persica_gdr_reftransV1_0004081","p.persica_gdr_reftransV1_0004081")</f>
        <v>p.persica_gdr_reftransV1_0004081</v>
      </c>
      <c r="B9491" s="2">
        <v>3094</v>
      </c>
      <c r="C9491" s="4" t="str">
        <f>HYPERLINK("http://www.uniprot.org/uniprot/M5X2U2","M5X2U2")</f>
        <v>M5X2U2</v>
      </c>
      <c r="D9491" s="2" t="s">
        <v>8228</v>
      </c>
      <c r="E9491" s="3">
        <v>0</v>
      </c>
      <c r="F9491" s="2">
        <v>1938</v>
      </c>
      <c r="G9491" s="2">
        <v>99</v>
      </c>
      <c r="H9491" s="2">
        <v>360</v>
      </c>
      <c r="I9491" s="2">
        <v>90</v>
      </c>
      <c r="J9491" s="2">
        <v>1169</v>
      </c>
      <c r="K9491" s="2">
        <v>9</v>
      </c>
      <c r="L9491" s="2">
        <v>368</v>
      </c>
    </row>
    <row r="9492" spans="1:12" x14ac:dyDescent="0.25">
      <c r="A9492" s="4" t="str">
        <f>HYPERLINK("http://www.rosaceae.org/Prunus/Prunus_persica/p.persica_gdr_reftransV1_0004431","p.persica_gdr_reftransV1_0004431")</f>
        <v>p.persica_gdr_reftransV1_0004431</v>
      </c>
      <c r="B9492" s="2">
        <v>312</v>
      </c>
      <c r="C9492" s="4" t="str">
        <f>HYPERLINK("http://www.uniprot.org/uniprot/M5XPQ1","M5XPQ1")</f>
        <v>M5XPQ1</v>
      </c>
      <c r="D9492" s="2" t="s">
        <v>8229</v>
      </c>
      <c r="E9492" s="3">
        <v>5.5199999999999999E-32</v>
      </c>
      <c r="F9492" s="2">
        <v>305</v>
      </c>
      <c r="G9492" s="2">
        <v>99</v>
      </c>
      <c r="H9492" s="2">
        <v>76</v>
      </c>
      <c r="I9492" s="2">
        <v>3</v>
      </c>
      <c r="J9492" s="2">
        <v>230</v>
      </c>
      <c r="K9492" s="2">
        <v>1</v>
      </c>
      <c r="L9492" s="2">
        <v>76</v>
      </c>
    </row>
    <row r="9493" spans="1:12" x14ac:dyDescent="0.25">
      <c r="A9493" s="4" t="str">
        <f>HYPERLINK("http://www.rosaceae.org/Prunus/Prunus_persica/p.persica_gdr_reftransV1_0004781","p.persica_gdr_reftransV1_0004781")</f>
        <v>p.persica_gdr_reftransV1_0004781</v>
      </c>
      <c r="B9493" s="2">
        <v>1566</v>
      </c>
      <c r="C9493" s="4" t="str">
        <f>HYPERLINK("http://www.uniprot.org/uniprot/M5VZ29","M5VZ29")</f>
        <v>M5VZ29</v>
      </c>
      <c r="D9493" s="2" t="s">
        <v>3346</v>
      </c>
      <c r="E9493" s="3">
        <v>0</v>
      </c>
      <c r="F9493" s="2">
        <v>1772</v>
      </c>
      <c r="G9493" s="2">
        <v>100</v>
      </c>
      <c r="H9493" s="2">
        <v>404</v>
      </c>
      <c r="I9493" s="2">
        <v>287</v>
      </c>
      <c r="J9493" s="2">
        <v>1498</v>
      </c>
      <c r="K9493" s="2">
        <v>38</v>
      </c>
      <c r="L9493" s="2">
        <v>441</v>
      </c>
    </row>
    <row r="9494" spans="1:12" x14ac:dyDescent="0.25">
      <c r="A9494" s="4" t="str">
        <f>HYPERLINK("http://www.rosaceae.org/Prunus/Prunus_persica/p.persica_gdr_reftransV1_0005131","p.persica_gdr_reftransV1_0005131")</f>
        <v>p.persica_gdr_reftransV1_0005131</v>
      </c>
      <c r="B9494" s="2">
        <v>1449</v>
      </c>
      <c r="C9494" s="4" t="str">
        <f>HYPERLINK("http://www.uniprot.org/uniprot/M5XG91","M5XG91")</f>
        <v>M5XG91</v>
      </c>
      <c r="D9494" s="2" t="s">
        <v>8230</v>
      </c>
      <c r="E9494" s="3">
        <v>0</v>
      </c>
      <c r="F9494" s="2">
        <v>1909</v>
      </c>
      <c r="G9494" s="2">
        <v>100</v>
      </c>
      <c r="H9494" s="2">
        <v>375</v>
      </c>
      <c r="I9494" s="2">
        <v>233</v>
      </c>
      <c r="J9494" s="2">
        <v>1357</v>
      </c>
      <c r="K9494" s="2">
        <v>1</v>
      </c>
      <c r="L9494" s="2">
        <v>375</v>
      </c>
    </row>
    <row r="9495" spans="1:12" x14ac:dyDescent="0.25">
      <c r="A9495" s="4" t="str">
        <f>HYPERLINK("http://www.rosaceae.org/Prunus/Prunus_persica/p.persica_gdr_reftransV1_0006181","p.persica_gdr_reftransV1_0006181")</f>
        <v>p.persica_gdr_reftransV1_0006181</v>
      </c>
      <c r="B9495" s="2">
        <v>937</v>
      </c>
      <c r="C9495" s="4" t="str">
        <f>HYPERLINK("http://www.uniprot.org/uniprot/M5XIT8","M5XIT8")</f>
        <v>M5XIT8</v>
      </c>
      <c r="D9495" s="2" t="s">
        <v>8231</v>
      </c>
      <c r="E9495" s="3">
        <v>1.3099999999999999E-118</v>
      </c>
      <c r="F9495" s="2">
        <v>952</v>
      </c>
      <c r="G9495" s="2">
        <v>99</v>
      </c>
      <c r="H9495" s="2">
        <v>178</v>
      </c>
      <c r="I9495" s="2">
        <v>2</v>
      </c>
      <c r="J9495" s="2">
        <v>535</v>
      </c>
      <c r="K9495" s="2">
        <v>608</v>
      </c>
      <c r="L9495" s="2">
        <v>785</v>
      </c>
    </row>
    <row r="9496" spans="1:12" x14ac:dyDescent="0.25">
      <c r="A9496" s="4" t="str">
        <f>HYPERLINK("http://www.rosaceae.org/Prunus/Prunus_persica/p.persica_gdr_reftransV1_0006531","p.persica_gdr_reftransV1_0006531")</f>
        <v>p.persica_gdr_reftransV1_0006531</v>
      </c>
      <c r="B9496" s="2">
        <v>1111</v>
      </c>
      <c r="C9496" s="4" t="str">
        <f>HYPERLINK("http://www.uniprot.org/uniprot/M5XS59","M5XS59")</f>
        <v>M5XS59</v>
      </c>
      <c r="D9496" s="2" t="s">
        <v>8232</v>
      </c>
      <c r="E9496" s="3">
        <v>0</v>
      </c>
      <c r="F9496" s="2">
        <v>1634</v>
      </c>
      <c r="G9496" s="2">
        <v>100</v>
      </c>
      <c r="H9496" s="2">
        <v>324</v>
      </c>
      <c r="I9496" s="2">
        <v>1</v>
      </c>
      <c r="J9496" s="2">
        <v>972</v>
      </c>
      <c r="K9496" s="2">
        <v>188</v>
      </c>
      <c r="L9496" s="2">
        <v>511</v>
      </c>
    </row>
    <row r="9497" spans="1:12" x14ac:dyDescent="0.25">
      <c r="A9497" s="4" t="str">
        <f>HYPERLINK("http://www.rosaceae.org/Prunus/Prunus_persica/p.persica_gdr_reftransV1_0006881","p.persica_gdr_reftransV1_0006881")</f>
        <v>p.persica_gdr_reftransV1_0006881</v>
      </c>
      <c r="B9497" s="2">
        <v>319</v>
      </c>
      <c r="C9497" s="4" t="str">
        <f>HYPERLINK("http://www.uniprot.org/uniprot/M5X9E0","M5X9E0")</f>
        <v>M5X9E0</v>
      </c>
      <c r="D9497" s="2" t="s">
        <v>8233</v>
      </c>
      <c r="E9497" s="3">
        <v>3.14E-62</v>
      </c>
      <c r="F9497" s="2">
        <v>538</v>
      </c>
      <c r="G9497" s="2">
        <v>100</v>
      </c>
      <c r="H9497" s="2">
        <v>105</v>
      </c>
      <c r="I9497" s="2">
        <v>3</v>
      </c>
      <c r="J9497" s="2">
        <v>317</v>
      </c>
      <c r="K9497" s="2">
        <v>151</v>
      </c>
      <c r="L9497" s="2">
        <v>255</v>
      </c>
    </row>
    <row r="9498" spans="1:12" x14ac:dyDescent="0.25">
      <c r="A9498" s="4" t="str">
        <f>HYPERLINK("http://www.rosaceae.org/Prunus/Prunus_persica/p.persica_gdr_reftransV1_0007231","p.persica_gdr_reftransV1_0007231")</f>
        <v>p.persica_gdr_reftransV1_0007231</v>
      </c>
      <c r="B9498" s="2">
        <v>1335</v>
      </c>
      <c r="C9498" s="4" t="str">
        <f>HYPERLINK("http://www.uniprot.org/uniprot/M5XCF1","M5XCF1")</f>
        <v>M5XCF1</v>
      </c>
      <c r="D9498" s="2" t="s">
        <v>8234</v>
      </c>
      <c r="E9498" s="3">
        <v>0</v>
      </c>
      <c r="F9498" s="2">
        <v>1355</v>
      </c>
      <c r="G9498" s="2">
        <v>100</v>
      </c>
      <c r="H9498" s="2">
        <v>256</v>
      </c>
      <c r="I9498" s="2">
        <v>432</v>
      </c>
      <c r="J9498" s="2">
        <v>1199</v>
      </c>
      <c r="K9498" s="2">
        <v>1</v>
      </c>
      <c r="L9498" s="2">
        <v>256</v>
      </c>
    </row>
    <row r="9499" spans="1:12" x14ac:dyDescent="0.25">
      <c r="A9499" s="4" t="str">
        <f>HYPERLINK("http://www.rosaceae.org/Prunus/Prunus_persica/p.persica_gdr_reftransV1_0007581","p.persica_gdr_reftransV1_0007581")</f>
        <v>p.persica_gdr_reftransV1_0007581</v>
      </c>
      <c r="B9499" s="2">
        <v>905</v>
      </c>
      <c r="C9499" s="4" t="str">
        <f>HYPERLINK("http://www.uniprot.org/uniprot/M5XRS2","M5XRS2")</f>
        <v>M5XRS2</v>
      </c>
      <c r="D9499" s="2" t="s">
        <v>4905</v>
      </c>
      <c r="E9499" s="3">
        <v>0</v>
      </c>
      <c r="F9499" s="2">
        <v>1489</v>
      </c>
      <c r="G9499" s="2">
        <v>100</v>
      </c>
      <c r="H9499" s="2">
        <v>281</v>
      </c>
      <c r="I9499" s="2">
        <v>63</v>
      </c>
      <c r="J9499" s="2">
        <v>905</v>
      </c>
      <c r="K9499" s="2">
        <v>1</v>
      </c>
      <c r="L9499" s="2">
        <v>281</v>
      </c>
    </row>
    <row r="9500" spans="1:12" x14ac:dyDescent="0.25">
      <c r="A9500" s="4" t="str">
        <f>HYPERLINK("http://www.rosaceae.org/Prunus/Prunus_persica/p.persica_gdr_reftransV1_0008281","p.persica_gdr_reftransV1_0008281")</f>
        <v>p.persica_gdr_reftransV1_0008281</v>
      </c>
      <c r="B9500" s="2">
        <v>575</v>
      </c>
      <c r="C9500" s="4" t="str">
        <f>HYPERLINK("http://www.uniprot.org/uniprot/M5XXA9","M5XXA9")</f>
        <v>M5XXA9</v>
      </c>
      <c r="D9500" s="2" t="s">
        <v>8235</v>
      </c>
      <c r="E9500" s="3">
        <v>4.3100000000000002E-135</v>
      </c>
      <c r="F9500" s="2">
        <v>1042</v>
      </c>
      <c r="G9500" s="2">
        <v>100</v>
      </c>
      <c r="H9500" s="2">
        <v>191</v>
      </c>
      <c r="I9500" s="2">
        <v>2</v>
      </c>
      <c r="J9500" s="2">
        <v>574</v>
      </c>
      <c r="K9500" s="2">
        <v>79</v>
      </c>
      <c r="L9500" s="2">
        <v>269</v>
      </c>
    </row>
    <row r="9501" spans="1:12" x14ac:dyDescent="0.25">
      <c r="A9501" s="4" t="str">
        <f>HYPERLINK("http://www.rosaceae.org/Prunus/Prunus_persica/p.persica_gdr_reftransV1_0008981","p.persica_gdr_reftransV1_0008981")</f>
        <v>p.persica_gdr_reftransV1_0008981</v>
      </c>
      <c r="B9501" s="2">
        <v>1162</v>
      </c>
      <c r="C9501" s="4" t="str">
        <f>HYPERLINK("http://www.uniprot.org/uniprot/M5XE01","M5XE01")</f>
        <v>M5XE01</v>
      </c>
      <c r="D9501" s="2" t="s">
        <v>8236</v>
      </c>
      <c r="E9501" s="3">
        <v>6.9799999999999997E-108</v>
      </c>
      <c r="F9501" s="2">
        <v>834</v>
      </c>
      <c r="G9501" s="2">
        <v>100</v>
      </c>
      <c r="H9501" s="2">
        <v>157</v>
      </c>
      <c r="I9501" s="2">
        <v>208</v>
      </c>
      <c r="J9501" s="2">
        <v>678</v>
      </c>
      <c r="K9501" s="2">
        <v>1</v>
      </c>
      <c r="L9501" s="2">
        <v>157</v>
      </c>
    </row>
    <row r="9502" spans="1:12" x14ac:dyDescent="0.25">
      <c r="A9502" s="4" t="str">
        <f>HYPERLINK("http://www.rosaceae.org/Prunus/Prunus_persica/p.persica_gdr_reftransV1_0009681","p.persica_gdr_reftransV1_0009681")</f>
        <v>p.persica_gdr_reftransV1_0009681</v>
      </c>
      <c r="B9502" s="2">
        <v>1284</v>
      </c>
      <c r="C9502" s="4" t="str">
        <f>HYPERLINK("http://www.uniprot.org/uniprot/M5XCX3","M5XCX3")</f>
        <v>M5XCX3</v>
      </c>
      <c r="D9502" s="2" t="s">
        <v>8237</v>
      </c>
      <c r="E9502" s="3">
        <v>0</v>
      </c>
      <c r="F9502" s="2">
        <v>1416</v>
      </c>
      <c r="G9502" s="2">
        <v>100</v>
      </c>
      <c r="H9502" s="2">
        <v>278</v>
      </c>
      <c r="I9502" s="2">
        <v>441</v>
      </c>
      <c r="J9502" s="2">
        <v>1274</v>
      </c>
      <c r="K9502" s="2">
        <v>29</v>
      </c>
      <c r="L9502" s="2">
        <v>306</v>
      </c>
    </row>
    <row r="9503" spans="1:12" x14ac:dyDescent="0.25">
      <c r="A9503" s="4" t="str">
        <f>HYPERLINK("http://www.rosaceae.org/Prunus/Prunus_persica/p.persica_gdr_reftransV1_0010381","p.persica_gdr_reftransV1_0010381")</f>
        <v>p.persica_gdr_reftransV1_0010381</v>
      </c>
      <c r="B9503" s="2">
        <v>1831</v>
      </c>
      <c r="C9503" s="4" t="str">
        <f>HYPERLINK("http://www.uniprot.org/uniprot/M5WUP0","M5WUP0")</f>
        <v>M5WUP0</v>
      </c>
      <c r="D9503" s="2" t="s">
        <v>8238</v>
      </c>
      <c r="E9503" s="3">
        <v>0</v>
      </c>
      <c r="F9503" s="2">
        <v>2640</v>
      </c>
      <c r="G9503" s="2">
        <v>100</v>
      </c>
      <c r="H9503" s="2">
        <v>494</v>
      </c>
      <c r="I9503" s="2">
        <v>121</v>
      </c>
      <c r="J9503" s="2">
        <v>1602</v>
      </c>
      <c r="K9503" s="2">
        <v>1</v>
      </c>
      <c r="L9503" s="2">
        <v>494</v>
      </c>
    </row>
    <row r="9504" spans="1:12" x14ac:dyDescent="0.25">
      <c r="A9504" s="4" t="str">
        <f>HYPERLINK("http://www.rosaceae.org/Prunus/Prunus_persica/p.persica_gdr_reftransV1_0012131","p.persica_gdr_reftransV1_0012131")</f>
        <v>p.persica_gdr_reftransV1_0012131</v>
      </c>
      <c r="B9504" s="2">
        <v>2896</v>
      </c>
      <c r="C9504" s="4" t="str">
        <f>HYPERLINK("http://www.uniprot.org/uniprot/M5XQI1","M5XQI1")</f>
        <v>M5XQI1</v>
      </c>
      <c r="D9504" s="2" t="s">
        <v>2559</v>
      </c>
      <c r="E9504" s="3">
        <v>0</v>
      </c>
      <c r="F9504" s="2">
        <v>3072</v>
      </c>
      <c r="G9504" s="2">
        <v>100</v>
      </c>
      <c r="H9504" s="2">
        <v>634</v>
      </c>
      <c r="I9504" s="2">
        <v>475</v>
      </c>
      <c r="J9504" s="2">
        <v>2376</v>
      </c>
      <c r="K9504" s="2">
        <v>1</v>
      </c>
      <c r="L9504" s="2">
        <v>634</v>
      </c>
    </row>
    <row r="9505" spans="1:12" x14ac:dyDescent="0.25">
      <c r="A9505" s="4" t="str">
        <f>HYPERLINK("http://www.rosaceae.org/Prunus/Prunus_persica/p.persica_gdr_reftransV1_0012481","p.persica_gdr_reftransV1_0012481")</f>
        <v>p.persica_gdr_reftransV1_0012481</v>
      </c>
      <c r="B9505" s="2">
        <v>1879</v>
      </c>
      <c r="C9505" s="4" t="str">
        <f>HYPERLINK("http://www.uniprot.org/uniprot/M5VYB0","M5VYB0")</f>
        <v>M5VYB0</v>
      </c>
      <c r="D9505" s="2" t="s">
        <v>8239</v>
      </c>
      <c r="E9505" s="3">
        <v>0</v>
      </c>
      <c r="F9505" s="2">
        <v>2198</v>
      </c>
      <c r="G9505" s="2">
        <v>95</v>
      </c>
      <c r="H9505" s="2">
        <v>460</v>
      </c>
      <c r="I9505" s="2">
        <v>349</v>
      </c>
      <c r="J9505" s="2">
        <v>1728</v>
      </c>
      <c r="K9505" s="2">
        <v>1</v>
      </c>
      <c r="L9505" s="2">
        <v>436</v>
      </c>
    </row>
    <row r="9506" spans="1:12" x14ac:dyDescent="0.25">
      <c r="A9506" s="4" t="str">
        <f>HYPERLINK("http://www.rosaceae.org/Prunus/Prunus_persica/p.persica_gdr_reftransV1_0012831","p.persica_gdr_reftransV1_0012831")</f>
        <v>p.persica_gdr_reftransV1_0012831</v>
      </c>
      <c r="B9506" s="2">
        <v>1387</v>
      </c>
      <c r="C9506" s="4" t="str">
        <f>HYPERLINK("http://www.uniprot.org/uniprot/M5XRG0","M5XRG0")</f>
        <v>M5XRG0</v>
      </c>
      <c r="D9506" s="2" t="s">
        <v>6903</v>
      </c>
      <c r="E9506" s="3">
        <v>1.08E-156</v>
      </c>
      <c r="F9506" s="2">
        <v>1195</v>
      </c>
      <c r="G9506" s="2">
        <v>100</v>
      </c>
      <c r="H9506" s="2">
        <v>226</v>
      </c>
      <c r="I9506" s="2">
        <v>446</v>
      </c>
      <c r="J9506" s="2">
        <v>1123</v>
      </c>
      <c r="K9506" s="2">
        <v>1</v>
      </c>
      <c r="L9506" s="2">
        <v>226</v>
      </c>
    </row>
    <row r="9507" spans="1:12" x14ac:dyDescent="0.25">
      <c r="A9507" s="4" t="str">
        <f>HYPERLINK("http://www.rosaceae.org/Prunus/Prunus_persica/p.persica_gdr_reftransV1_0013181","p.persica_gdr_reftransV1_0013181")</f>
        <v>p.persica_gdr_reftransV1_0013181</v>
      </c>
      <c r="B9507" s="2">
        <v>1162</v>
      </c>
      <c r="C9507" s="4" t="str">
        <f>HYPERLINK("http://www.uniprot.org/uniprot/M5XVL2","M5XVL2")</f>
        <v>M5XVL2</v>
      </c>
      <c r="D9507" s="2" t="s">
        <v>8240</v>
      </c>
      <c r="E9507" s="3">
        <v>1.19E-139</v>
      </c>
      <c r="F9507" s="2">
        <v>1052</v>
      </c>
      <c r="G9507" s="2">
        <v>79</v>
      </c>
      <c r="H9507" s="2">
        <v>243</v>
      </c>
      <c r="I9507" s="2">
        <v>207</v>
      </c>
      <c r="J9507" s="2">
        <v>923</v>
      </c>
      <c r="K9507" s="2">
        <v>1</v>
      </c>
      <c r="L9507" s="2">
        <v>243</v>
      </c>
    </row>
    <row r="9508" spans="1:12" x14ac:dyDescent="0.25">
      <c r="A9508" s="4" t="str">
        <f>HYPERLINK("http://www.rosaceae.org/Prunus/Prunus_persica/p.persica_gdr_reftransV1_0013531","p.persica_gdr_reftransV1_0013531")</f>
        <v>p.persica_gdr_reftransV1_0013531</v>
      </c>
      <c r="B9508" s="2">
        <v>1080</v>
      </c>
      <c r="C9508" s="4" t="str">
        <f>HYPERLINK("http://www.uniprot.org/uniprot/M5XB16","M5XB16")</f>
        <v>M5XB16</v>
      </c>
      <c r="D9508" s="2" t="s">
        <v>5158</v>
      </c>
      <c r="E9508" s="3">
        <v>0</v>
      </c>
      <c r="F9508" s="2">
        <v>1656</v>
      </c>
      <c r="G9508" s="2">
        <v>100</v>
      </c>
      <c r="H9508" s="2">
        <v>308</v>
      </c>
      <c r="I9508" s="2">
        <v>155</v>
      </c>
      <c r="J9508" s="2">
        <v>1078</v>
      </c>
      <c r="K9508" s="2">
        <v>1</v>
      </c>
      <c r="L9508" s="2">
        <v>308</v>
      </c>
    </row>
    <row r="9509" spans="1:12" x14ac:dyDescent="0.25">
      <c r="A9509" s="4" t="str">
        <f>HYPERLINK("http://www.rosaceae.org/Prunus/Prunus_persica/p.persica_gdr_reftransV1_0014581","p.persica_gdr_reftransV1_0014581")</f>
        <v>p.persica_gdr_reftransV1_0014581</v>
      </c>
      <c r="B9509" s="2">
        <v>4036</v>
      </c>
      <c r="C9509" s="4" t="str">
        <f>HYPERLINK("http://www.uniprot.org/uniprot/M5WMD5","M5WMD5")</f>
        <v>M5WMD5</v>
      </c>
      <c r="D9509" s="2" t="s">
        <v>8241</v>
      </c>
      <c r="E9509" s="3">
        <v>0</v>
      </c>
      <c r="F9509" s="2">
        <v>4499</v>
      </c>
      <c r="G9509" s="2">
        <v>100</v>
      </c>
      <c r="H9509" s="2">
        <v>909</v>
      </c>
      <c r="I9509" s="2">
        <v>883</v>
      </c>
      <c r="J9509" s="2">
        <v>3609</v>
      </c>
      <c r="K9509" s="2">
        <v>10</v>
      </c>
      <c r="L9509" s="2">
        <v>918</v>
      </c>
    </row>
    <row r="9510" spans="1:12" x14ac:dyDescent="0.25">
      <c r="A9510" s="4" t="str">
        <f>HYPERLINK("http://www.rosaceae.org/Prunus/Prunus_persica/p.persica_gdr_reftransV1_0015631","p.persica_gdr_reftransV1_0015631")</f>
        <v>p.persica_gdr_reftransV1_0015631</v>
      </c>
      <c r="B9510" s="2">
        <v>857</v>
      </c>
      <c r="C9510" s="4" t="str">
        <f>HYPERLINK("http://www.uniprot.org/uniprot/M5VTB0","M5VTB0")</f>
        <v>M5VTB0</v>
      </c>
      <c r="D9510" s="2" t="s">
        <v>2912</v>
      </c>
      <c r="E9510" s="3">
        <v>1.8100000000000001E-97</v>
      </c>
      <c r="F9510" s="2">
        <v>550</v>
      </c>
      <c r="G9510" s="2">
        <v>100</v>
      </c>
      <c r="H9510" s="2">
        <v>99</v>
      </c>
      <c r="I9510" s="2">
        <v>171</v>
      </c>
      <c r="J9510" s="2">
        <v>467</v>
      </c>
      <c r="K9510" s="2">
        <v>498</v>
      </c>
      <c r="L9510" s="2">
        <v>596</v>
      </c>
    </row>
    <row r="9511" spans="1:12" x14ac:dyDescent="0.25">
      <c r="A9511" s="4" t="str">
        <f>HYPERLINK("http://www.rosaceae.org/Prunus/Prunus_persica/p.persica_gdr_reftransV1_0015981","p.persica_gdr_reftransV1_0015981")</f>
        <v>p.persica_gdr_reftransV1_0015981</v>
      </c>
      <c r="B9511" s="2">
        <v>716</v>
      </c>
      <c r="C9511" s="4" t="str">
        <f>HYPERLINK("http://www.uniprot.org/uniprot/M5XFN1","M5XFN1")</f>
        <v>M5XFN1</v>
      </c>
      <c r="D9511" s="2" t="s">
        <v>8242</v>
      </c>
      <c r="E9511" s="3">
        <v>2.79E-29</v>
      </c>
      <c r="F9511" s="2">
        <v>291</v>
      </c>
      <c r="G9511" s="2">
        <v>100</v>
      </c>
      <c r="H9511" s="2">
        <v>90</v>
      </c>
      <c r="I9511" s="2">
        <v>435</v>
      </c>
      <c r="J9511" s="2">
        <v>704</v>
      </c>
      <c r="K9511" s="2">
        <v>1</v>
      </c>
      <c r="L9511" s="2">
        <v>90</v>
      </c>
    </row>
    <row r="9512" spans="1:12" x14ac:dyDescent="0.25">
      <c r="A9512" s="4" t="str">
        <f>HYPERLINK("http://www.rosaceae.org/Prunus/Prunus_persica/p.persica_gdr_reftransV1_0019131","p.persica_gdr_reftransV1_0019131")</f>
        <v>p.persica_gdr_reftransV1_0019131</v>
      </c>
      <c r="B9512" s="2">
        <v>1968</v>
      </c>
      <c r="C9512" s="4" t="str">
        <f>HYPERLINK("http://www.uniprot.org/uniprot/M5XRS0","M5XRS0")</f>
        <v>M5XRS0</v>
      </c>
      <c r="D9512" s="2" t="s">
        <v>8243</v>
      </c>
      <c r="E9512" s="3">
        <v>0</v>
      </c>
      <c r="F9512" s="2">
        <v>2060</v>
      </c>
      <c r="G9512" s="2">
        <v>100</v>
      </c>
      <c r="H9512" s="2">
        <v>382</v>
      </c>
      <c r="I9512" s="2">
        <v>556</v>
      </c>
      <c r="J9512" s="2">
        <v>1701</v>
      </c>
      <c r="K9512" s="2">
        <v>8</v>
      </c>
      <c r="L9512" s="2">
        <v>389</v>
      </c>
    </row>
    <row r="9513" spans="1:12" x14ac:dyDescent="0.25">
      <c r="A9513" s="4" t="str">
        <f>HYPERLINK("http://www.rosaceae.org/Prunus/Prunus_persica/p.persica_gdr_reftransV1_0022981","p.persica_gdr_reftransV1_0022981")</f>
        <v>p.persica_gdr_reftransV1_0022981</v>
      </c>
      <c r="B9513" s="2">
        <v>2640</v>
      </c>
      <c r="C9513" s="4" t="str">
        <f>HYPERLINK("http://www.uniprot.org/uniprot/M5WQX1","M5WQX1")</f>
        <v>M5WQX1</v>
      </c>
      <c r="D9513" s="2" t="s">
        <v>8244</v>
      </c>
      <c r="E9513" s="3">
        <v>0</v>
      </c>
      <c r="F9513" s="2">
        <v>3488</v>
      </c>
      <c r="G9513" s="2">
        <v>100</v>
      </c>
      <c r="H9513" s="2">
        <v>697</v>
      </c>
      <c r="I9513" s="2">
        <v>111</v>
      </c>
      <c r="J9513" s="2">
        <v>2201</v>
      </c>
      <c r="K9513" s="2">
        <v>1</v>
      </c>
      <c r="L9513" s="2">
        <v>697</v>
      </c>
    </row>
    <row r="9514" spans="1:12" x14ac:dyDescent="0.25">
      <c r="A9514" s="4" t="str">
        <f>HYPERLINK("http://www.rosaceae.org/Prunus/Prunus_persica/p.persica_gdr_reftransV1_0024031","p.persica_gdr_reftransV1_0024031")</f>
        <v>p.persica_gdr_reftransV1_0024031</v>
      </c>
      <c r="B9514" s="2">
        <v>2353</v>
      </c>
      <c r="C9514" s="4" t="str">
        <f>HYPERLINK("http://www.uniprot.org/uniprot/M5X0C0","M5X0C0")</f>
        <v>M5X0C0</v>
      </c>
      <c r="D9514" s="2" t="s">
        <v>8245</v>
      </c>
      <c r="E9514" s="3">
        <v>0</v>
      </c>
      <c r="F9514" s="2">
        <v>2462</v>
      </c>
      <c r="G9514" s="2">
        <v>100</v>
      </c>
      <c r="H9514" s="2">
        <v>457</v>
      </c>
      <c r="I9514" s="2">
        <v>710</v>
      </c>
      <c r="J9514" s="2">
        <v>2080</v>
      </c>
      <c r="K9514" s="2">
        <v>175</v>
      </c>
      <c r="L9514" s="2">
        <v>631</v>
      </c>
    </row>
    <row r="9515" spans="1:12" x14ac:dyDescent="0.25">
      <c r="A9515" s="4" t="str">
        <f>HYPERLINK("http://www.rosaceae.org/Prunus/Prunus_persica/p.persica_gdr_reftransV1_0024731","p.persica_gdr_reftransV1_0024731")</f>
        <v>p.persica_gdr_reftransV1_0024731</v>
      </c>
      <c r="B9515" s="2">
        <v>1310</v>
      </c>
      <c r="C9515" s="4" t="str">
        <f>HYPERLINK("http://www.uniprot.org/uniprot/M5X3F0","M5X3F0")</f>
        <v>M5X3F0</v>
      </c>
      <c r="D9515" s="2" t="s">
        <v>4121</v>
      </c>
      <c r="E9515" s="3">
        <v>2.0099999999999999E-128</v>
      </c>
      <c r="F9515" s="2">
        <v>986</v>
      </c>
      <c r="G9515" s="2">
        <v>100</v>
      </c>
      <c r="H9515" s="2">
        <v>224</v>
      </c>
      <c r="I9515" s="2">
        <v>14</v>
      </c>
      <c r="J9515" s="2">
        <v>685</v>
      </c>
      <c r="K9515" s="2">
        <v>1</v>
      </c>
      <c r="L9515" s="2">
        <v>224</v>
      </c>
    </row>
    <row r="9516" spans="1:12" x14ac:dyDescent="0.25">
      <c r="A9516" s="4" t="str">
        <f>HYPERLINK("http://www.rosaceae.org/Prunus/Prunus_persica/p.persica_gdr_reftransV1_0025081","p.persica_gdr_reftransV1_0025081")</f>
        <v>p.persica_gdr_reftransV1_0025081</v>
      </c>
      <c r="B9516" s="2">
        <v>1354</v>
      </c>
      <c r="C9516" s="4" t="str">
        <f>HYPERLINK("http://www.uniprot.org/uniprot/M5WP53","M5WP53")</f>
        <v>M5WP53</v>
      </c>
      <c r="D9516" s="2" t="s">
        <v>8246</v>
      </c>
      <c r="E9516" s="3">
        <v>4.0200000000000001E-147</v>
      </c>
      <c r="F9516" s="2">
        <v>1066</v>
      </c>
      <c r="G9516" s="2">
        <v>87</v>
      </c>
      <c r="H9516" s="2">
        <v>234</v>
      </c>
      <c r="I9516" s="2">
        <v>414</v>
      </c>
      <c r="J9516" s="2">
        <v>1115</v>
      </c>
      <c r="K9516" s="2">
        <v>76</v>
      </c>
      <c r="L9516" s="2">
        <v>280</v>
      </c>
    </row>
    <row r="9517" spans="1:12" x14ac:dyDescent="0.25">
      <c r="A9517" s="4" t="str">
        <f>HYPERLINK("http://www.rosaceae.org/Prunus/Prunus_persica/p.persica_gdr_reftransV1_0032081","p.persica_gdr_reftransV1_0032081")</f>
        <v>p.persica_gdr_reftransV1_0032081</v>
      </c>
      <c r="B9517" s="2">
        <v>6873</v>
      </c>
      <c r="C9517" s="4" t="str">
        <f>HYPERLINK("http://www.uniprot.org/uniprot/M5WP47","M5WP47")</f>
        <v>M5WP47</v>
      </c>
      <c r="D9517" s="2" t="s">
        <v>8247</v>
      </c>
      <c r="E9517" s="3">
        <v>0</v>
      </c>
      <c r="F9517" s="2">
        <v>6889</v>
      </c>
      <c r="G9517" s="2">
        <v>100</v>
      </c>
      <c r="H9517" s="2">
        <v>1452</v>
      </c>
      <c r="I9517" s="2">
        <v>2104</v>
      </c>
      <c r="J9517" s="2">
        <v>6459</v>
      </c>
      <c r="K9517" s="2">
        <v>1</v>
      </c>
      <c r="L9517" s="2">
        <v>1452</v>
      </c>
    </row>
    <row r="9518" spans="1:12" x14ac:dyDescent="0.25">
      <c r="A9518" s="4" t="str">
        <f>HYPERLINK("http://www.rosaceae.org/Prunus/Prunus_persica/p.persica_gdr_reftransV1_0033131","p.persica_gdr_reftransV1_0033131")</f>
        <v>p.persica_gdr_reftransV1_0033131</v>
      </c>
      <c r="B9518" s="2">
        <v>1000</v>
      </c>
      <c r="C9518" s="4" t="str">
        <f>HYPERLINK("http://www.uniprot.org/uniprot/M5X2H8","M5X2H8")</f>
        <v>M5X2H8</v>
      </c>
      <c r="D9518" s="2" t="s">
        <v>6901</v>
      </c>
      <c r="E9518" s="3">
        <v>8.8000000000000002E-75</v>
      </c>
      <c r="F9518" s="2">
        <v>613</v>
      </c>
      <c r="G9518" s="2">
        <v>100</v>
      </c>
      <c r="H9518" s="2">
        <v>116</v>
      </c>
      <c r="I9518" s="2">
        <v>137</v>
      </c>
      <c r="J9518" s="2">
        <v>484</v>
      </c>
      <c r="K9518" s="2">
        <v>87</v>
      </c>
      <c r="L9518" s="2">
        <v>202</v>
      </c>
    </row>
    <row r="9519" spans="1:12" x14ac:dyDescent="0.25">
      <c r="A9519" s="4" t="str">
        <f>HYPERLINK("http://www.rosaceae.org/Prunus/Prunus_persica/p.persica_gdr_reftransV1_0033831","p.persica_gdr_reftransV1_0033831")</f>
        <v>p.persica_gdr_reftransV1_0033831</v>
      </c>
      <c r="B9519" s="2">
        <v>592</v>
      </c>
      <c r="C9519" s="4" t="str">
        <f>HYPERLINK("http://www.uniprot.org/uniprot/M5WFX5","M5WFX5")</f>
        <v>M5WFX5</v>
      </c>
      <c r="D9519" s="2" t="s">
        <v>8248</v>
      </c>
      <c r="E9519" s="3">
        <v>8.7300000000000002E-13</v>
      </c>
      <c r="F9519" s="2">
        <v>175</v>
      </c>
      <c r="G9519" s="2">
        <v>39</v>
      </c>
      <c r="H9519" s="2">
        <v>107</v>
      </c>
      <c r="I9519" s="2">
        <v>104</v>
      </c>
      <c r="J9519" s="2">
        <v>424</v>
      </c>
      <c r="K9519" s="2">
        <v>3</v>
      </c>
      <c r="L9519" s="2">
        <v>101</v>
      </c>
    </row>
    <row r="9520" spans="1:12" x14ac:dyDescent="0.25">
      <c r="A9520" s="4" t="str">
        <f>HYPERLINK("http://www.rosaceae.org/Prunus/Prunus_persica/p.persica_gdr_reftransV1_0034881","p.persica_gdr_reftransV1_0034881")</f>
        <v>p.persica_gdr_reftransV1_0034881</v>
      </c>
      <c r="B9520" s="2">
        <v>1556</v>
      </c>
      <c r="C9520" s="4" t="str">
        <f>HYPERLINK("http://www.uniprot.org/uniprot/L0ASD9","L0ASD9")</f>
        <v>L0ASD9</v>
      </c>
      <c r="D9520" s="2" t="s">
        <v>8249</v>
      </c>
      <c r="E9520" s="3">
        <v>0</v>
      </c>
      <c r="F9520" s="2">
        <v>1518</v>
      </c>
      <c r="G9520" s="2">
        <v>99</v>
      </c>
      <c r="H9520" s="2">
        <v>297</v>
      </c>
      <c r="I9520" s="2">
        <v>664</v>
      </c>
      <c r="J9520" s="2">
        <v>1554</v>
      </c>
      <c r="K9520" s="2">
        <v>61</v>
      </c>
      <c r="L9520" s="2">
        <v>357</v>
      </c>
    </row>
    <row r="9521" spans="1:12" x14ac:dyDescent="0.25">
      <c r="A9521" s="4" t="str">
        <f>HYPERLINK("http://www.rosaceae.org/Prunus/Prunus_persica/p.persica_gdr_reftransV1_0036281","p.persica_gdr_reftransV1_0036281")</f>
        <v>p.persica_gdr_reftransV1_0036281</v>
      </c>
      <c r="B9521" s="2">
        <v>4855</v>
      </c>
      <c r="C9521" s="4" t="str">
        <f>HYPERLINK("http://www.uniprot.org/uniprot/M5X0G9","M5X0G9")</f>
        <v>M5X0G9</v>
      </c>
      <c r="D9521" s="2" t="s">
        <v>8250</v>
      </c>
      <c r="E9521" s="3">
        <v>0</v>
      </c>
      <c r="F9521" s="2">
        <v>4006</v>
      </c>
      <c r="G9521" s="2">
        <v>100</v>
      </c>
      <c r="H9521" s="2">
        <v>817</v>
      </c>
      <c r="I9521" s="2">
        <v>406</v>
      </c>
      <c r="J9521" s="2">
        <v>2856</v>
      </c>
      <c r="K9521" s="2">
        <v>14</v>
      </c>
      <c r="L9521" s="2">
        <v>830</v>
      </c>
    </row>
    <row r="9522" spans="1:12" x14ac:dyDescent="0.25">
      <c r="A9522" s="4" t="str">
        <f>HYPERLINK("http://www.rosaceae.org/Prunus/Prunus_persica/p.persica_gdr_reftransV1_0037681","p.persica_gdr_reftransV1_0037681")</f>
        <v>p.persica_gdr_reftransV1_0037681</v>
      </c>
      <c r="B9522" s="2">
        <v>2278</v>
      </c>
      <c r="C9522" s="4" t="str">
        <f>HYPERLINK("http://www.uniprot.org/uniprot/M5VYQ9","M5VYQ9")</f>
        <v>M5VYQ9</v>
      </c>
      <c r="D9522" s="2" t="s">
        <v>8251</v>
      </c>
      <c r="E9522" s="3">
        <v>0</v>
      </c>
      <c r="F9522" s="2">
        <v>1393</v>
      </c>
      <c r="G9522" s="2">
        <v>100</v>
      </c>
      <c r="H9522" s="2">
        <v>259</v>
      </c>
      <c r="I9522" s="2">
        <v>1356</v>
      </c>
      <c r="J9522" s="2">
        <v>2132</v>
      </c>
      <c r="K9522" s="2">
        <v>111</v>
      </c>
      <c r="L9522" s="2">
        <v>369</v>
      </c>
    </row>
    <row r="9523" spans="1:12" x14ac:dyDescent="0.25">
      <c r="A9523" s="4" t="str">
        <f>HYPERLINK("http://www.rosaceae.org/Prunus/Prunus_persica/p.persica_gdr_reftransV1_0039081","p.persica_gdr_reftransV1_0039081")</f>
        <v>p.persica_gdr_reftransV1_0039081</v>
      </c>
      <c r="B9523" s="2">
        <v>2857</v>
      </c>
      <c r="C9523" s="4" t="str">
        <f>HYPERLINK("http://www.uniprot.org/uniprot/M5W6X5","M5W6X5")</f>
        <v>M5W6X5</v>
      </c>
      <c r="D9523" s="2" t="s">
        <v>8252</v>
      </c>
      <c r="E9523" s="3">
        <v>0</v>
      </c>
      <c r="F9523" s="2">
        <v>1531</v>
      </c>
      <c r="G9523" s="2">
        <v>100</v>
      </c>
      <c r="H9523" s="2">
        <v>283</v>
      </c>
      <c r="I9523" s="2">
        <v>1599</v>
      </c>
      <c r="J9523" s="2">
        <v>2447</v>
      </c>
      <c r="K9523" s="2">
        <v>1</v>
      </c>
      <c r="L9523" s="2">
        <v>283</v>
      </c>
    </row>
    <row r="9524" spans="1:12" x14ac:dyDescent="0.25">
      <c r="A9524" s="4" t="str">
        <f>HYPERLINK("http://www.rosaceae.org/Prunus/Prunus_persica/p.persica_gdr_reftransV1_0040481","p.persica_gdr_reftransV1_0040481")</f>
        <v>p.persica_gdr_reftransV1_0040481</v>
      </c>
      <c r="B9524" s="2">
        <v>1897</v>
      </c>
      <c r="C9524" s="4" t="str">
        <f>HYPERLINK("http://www.uniprot.org/uniprot/M5X2S4","M5X2S4")</f>
        <v>M5X2S4</v>
      </c>
      <c r="D9524" s="2" t="s">
        <v>8253</v>
      </c>
      <c r="E9524" s="3">
        <v>0</v>
      </c>
      <c r="F9524" s="2">
        <v>2569</v>
      </c>
      <c r="G9524" s="2">
        <v>99</v>
      </c>
      <c r="H9524" s="2">
        <v>479</v>
      </c>
      <c r="I9524" s="2">
        <v>215</v>
      </c>
      <c r="J9524" s="2">
        <v>1651</v>
      </c>
      <c r="K9524" s="2">
        <v>29</v>
      </c>
      <c r="L9524" s="2">
        <v>507</v>
      </c>
    </row>
    <row r="9525" spans="1:12" x14ac:dyDescent="0.25">
      <c r="A9525" s="4" t="str">
        <f>HYPERLINK("http://www.rosaceae.org/Prunus/Prunus_persica/p.persica_gdr_reftransV1_0041531","p.persica_gdr_reftransV1_0041531")</f>
        <v>p.persica_gdr_reftransV1_0041531</v>
      </c>
      <c r="B9525" s="2">
        <v>3370</v>
      </c>
      <c r="C9525" s="4" t="str">
        <f>HYPERLINK("http://www.uniprot.org/uniprot/M5W9G1","M5W9G1")</f>
        <v>M5W9G1</v>
      </c>
      <c r="D9525" s="2" t="s">
        <v>8254</v>
      </c>
      <c r="E9525" s="3">
        <v>0</v>
      </c>
      <c r="F9525" s="2">
        <v>2179</v>
      </c>
      <c r="G9525" s="2">
        <v>100</v>
      </c>
      <c r="H9525" s="2">
        <v>431</v>
      </c>
      <c r="I9525" s="2">
        <v>1744</v>
      </c>
      <c r="J9525" s="2">
        <v>3036</v>
      </c>
      <c r="K9525" s="2">
        <v>1</v>
      </c>
      <c r="L9525" s="2">
        <v>431</v>
      </c>
    </row>
    <row r="9526" spans="1:12" x14ac:dyDescent="0.25">
      <c r="A9526" s="4" t="str">
        <f>HYPERLINK("http://www.rosaceae.org/Prunus/Prunus_persica/p.persica_gdr_reftransV1_0042581","p.persica_gdr_reftransV1_0042581")</f>
        <v>p.persica_gdr_reftransV1_0042581</v>
      </c>
      <c r="B9526" s="2">
        <v>2075</v>
      </c>
      <c r="C9526" s="4" t="str">
        <f>HYPERLINK("http://www.uniprot.org/uniprot/M5WHD1","M5WHD1")</f>
        <v>M5WHD1</v>
      </c>
      <c r="D9526" s="2" t="s">
        <v>8255</v>
      </c>
      <c r="E9526" s="3">
        <v>0</v>
      </c>
      <c r="F9526" s="2">
        <v>2203</v>
      </c>
      <c r="G9526" s="2">
        <v>100</v>
      </c>
      <c r="H9526" s="2">
        <v>433</v>
      </c>
      <c r="I9526" s="2">
        <v>472</v>
      </c>
      <c r="J9526" s="2">
        <v>1770</v>
      </c>
      <c r="K9526" s="2">
        <v>1</v>
      </c>
      <c r="L9526" s="2">
        <v>433</v>
      </c>
    </row>
    <row r="9527" spans="1:12" x14ac:dyDescent="0.25">
      <c r="A9527" s="4" t="str">
        <f>HYPERLINK("http://www.rosaceae.org/Prunus/Prunus_persica/p.persica_gdr_reftransV1_0043281","p.persica_gdr_reftransV1_0043281")</f>
        <v>p.persica_gdr_reftransV1_0043281</v>
      </c>
      <c r="B9527" s="2">
        <v>512</v>
      </c>
      <c r="C9527" s="4" t="str">
        <f>HYPERLINK("http://www.uniprot.org/uniprot/M5X697","M5X697")</f>
        <v>M5X697</v>
      </c>
      <c r="D9527" s="2" t="s">
        <v>8256</v>
      </c>
      <c r="E9527" s="3">
        <v>1.02E-72</v>
      </c>
      <c r="F9527" s="2">
        <v>587</v>
      </c>
      <c r="G9527" s="2">
        <v>99</v>
      </c>
      <c r="H9527" s="2">
        <v>114</v>
      </c>
      <c r="I9527" s="2">
        <v>15</v>
      </c>
      <c r="J9527" s="2">
        <v>356</v>
      </c>
      <c r="K9527" s="2">
        <v>135</v>
      </c>
      <c r="L9527" s="2">
        <v>248</v>
      </c>
    </row>
    <row r="9528" spans="1:12" x14ac:dyDescent="0.25">
      <c r="A9528" s="4" t="str">
        <f>HYPERLINK("http://www.rosaceae.org/Prunus/Prunus_persica/p.persica_gdr_reftransV1_0043631","p.persica_gdr_reftransV1_0043631")</f>
        <v>p.persica_gdr_reftransV1_0043631</v>
      </c>
      <c r="B9528" s="2">
        <v>1066</v>
      </c>
      <c r="C9528" s="4" t="str">
        <f>HYPERLINK("http://www.uniprot.org/uniprot/M5X2H2","M5X2H2")</f>
        <v>M5X2H2</v>
      </c>
      <c r="D9528" s="2" t="s">
        <v>8257</v>
      </c>
      <c r="E9528" s="3">
        <v>2.6499999999999999E-140</v>
      </c>
      <c r="F9528" s="2">
        <v>1050</v>
      </c>
      <c r="G9528" s="2">
        <v>100</v>
      </c>
      <c r="H9528" s="2">
        <v>200</v>
      </c>
      <c r="I9528" s="2">
        <v>398</v>
      </c>
      <c r="J9528" s="2">
        <v>997</v>
      </c>
      <c r="K9528" s="2">
        <v>7</v>
      </c>
      <c r="L9528" s="2">
        <v>206</v>
      </c>
    </row>
    <row r="9529" spans="1:12" x14ac:dyDescent="0.25">
      <c r="A9529" s="4" t="str">
        <f>HYPERLINK("http://www.rosaceae.org/Prunus/Prunus_persica/p.persica_gdr_reftransV1_0044331","p.persica_gdr_reftransV1_0044331")</f>
        <v>p.persica_gdr_reftransV1_0044331</v>
      </c>
      <c r="B9529" s="2">
        <v>739</v>
      </c>
      <c r="C9529" s="4" t="str">
        <f>HYPERLINK("http://www.uniprot.org/uniprot/D8BTX6","D8BTX6")</f>
        <v>D8BTX6</v>
      </c>
      <c r="D9529" s="2" t="s">
        <v>8258</v>
      </c>
      <c r="E9529" s="3">
        <v>4.4600000000000003E-174</v>
      </c>
      <c r="F9529" s="2">
        <v>1269</v>
      </c>
      <c r="G9529" s="2">
        <v>100</v>
      </c>
      <c r="H9529" s="2">
        <v>244</v>
      </c>
      <c r="I9529" s="2">
        <v>1</v>
      </c>
      <c r="J9529" s="2">
        <v>732</v>
      </c>
      <c r="K9529" s="2">
        <v>26</v>
      </c>
      <c r="L9529" s="2">
        <v>269</v>
      </c>
    </row>
    <row r="9530" spans="1:12" x14ac:dyDescent="0.25">
      <c r="A9530" s="4" t="str">
        <f>HYPERLINK("http://www.rosaceae.org/Prunus/Prunus_persica/p.persica_gdr_reftransV1_0044681","p.persica_gdr_reftransV1_0044681")</f>
        <v>p.persica_gdr_reftransV1_0044681</v>
      </c>
      <c r="B9530" s="2">
        <v>461</v>
      </c>
      <c r="C9530" s="4" t="str">
        <f>HYPERLINK("http://www.uniprot.org/uniprot/M5X452","M5X452")</f>
        <v>M5X452</v>
      </c>
      <c r="D9530" s="2" t="s">
        <v>8259</v>
      </c>
      <c r="E9530" s="3">
        <v>4.8800000000000002E-39</v>
      </c>
      <c r="F9530" s="2">
        <v>369</v>
      </c>
      <c r="G9530" s="2">
        <v>100</v>
      </c>
      <c r="H9530" s="2">
        <v>89</v>
      </c>
      <c r="I9530" s="2">
        <v>144</v>
      </c>
      <c r="J9530" s="2">
        <v>410</v>
      </c>
      <c r="K9530" s="2">
        <v>300</v>
      </c>
      <c r="L9530" s="2">
        <v>388</v>
      </c>
    </row>
    <row r="9531" spans="1:12" x14ac:dyDescent="0.25">
      <c r="A9531" s="4" t="str">
        <f>HYPERLINK("http://www.rosaceae.org/Prunus/Prunus_persica/p.persica_gdr_reftransV1_0045031","p.persica_gdr_reftransV1_0045031")</f>
        <v>p.persica_gdr_reftransV1_0045031</v>
      </c>
      <c r="B9531" s="2">
        <v>1763</v>
      </c>
      <c r="C9531" s="4" t="str">
        <f>HYPERLINK("http://www.uniprot.org/uniprot/M5VZ08","M5VZ08")</f>
        <v>M5VZ08</v>
      </c>
      <c r="D9531" s="2" t="s">
        <v>8260</v>
      </c>
      <c r="E9531" s="3">
        <v>0</v>
      </c>
      <c r="F9531" s="2">
        <v>1730</v>
      </c>
      <c r="G9531" s="2">
        <v>97</v>
      </c>
      <c r="H9531" s="2">
        <v>342</v>
      </c>
      <c r="I9531" s="2">
        <v>403</v>
      </c>
      <c r="J9531" s="2">
        <v>1428</v>
      </c>
      <c r="K9531" s="2">
        <v>5</v>
      </c>
      <c r="L9531" s="2">
        <v>346</v>
      </c>
    </row>
    <row r="9532" spans="1:12" x14ac:dyDescent="0.25">
      <c r="A9532" s="4" t="str">
        <f>HYPERLINK("http://www.rosaceae.org/Prunus/Prunus_persica/p.persica_gdr_reftransV1_0045381","p.persica_gdr_reftransV1_0045381")</f>
        <v>p.persica_gdr_reftransV1_0045381</v>
      </c>
      <c r="B9532" s="2">
        <v>1299</v>
      </c>
      <c r="C9532" s="4" t="str">
        <f>HYPERLINK("http://www.uniprot.org/uniprot/M5WJL1","M5WJL1")</f>
        <v>M5WJL1</v>
      </c>
      <c r="D9532" s="2" t="s">
        <v>205</v>
      </c>
      <c r="E9532" s="3">
        <v>0</v>
      </c>
      <c r="F9532" s="2">
        <v>1763</v>
      </c>
      <c r="G9532" s="2">
        <v>100</v>
      </c>
      <c r="H9532" s="2">
        <v>360</v>
      </c>
      <c r="I9532" s="2">
        <v>220</v>
      </c>
      <c r="J9532" s="2">
        <v>1299</v>
      </c>
      <c r="K9532" s="2">
        <v>563</v>
      </c>
      <c r="L9532" s="2">
        <v>922</v>
      </c>
    </row>
    <row r="9533" spans="1:12" x14ac:dyDescent="0.25">
      <c r="A9533" s="4" t="str">
        <f>HYPERLINK("http://www.rosaceae.org/Prunus/Prunus_persica/p.persica_gdr_reftransV1_0045731","p.persica_gdr_reftransV1_0045731")</f>
        <v>p.persica_gdr_reftransV1_0045731</v>
      </c>
      <c r="B9533" s="2">
        <v>1392</v>
      </c>
      <c r="C9533" s="4" t="str">
        <f>HYPERLINK("http://www.uniprot.org/uniprot/M5XRM0","M5XRM0")</f>
        <v>M5XRM0</v>
      </c>
      <c r="D9533" s="2" t="s">
        <v>3585</v>
      </c>
      <c r="E9533" s="3">
        <v>0</v>
      </c>
      <c r="F9533" s="2">
        <v>1755</v>
      </c>
      <c r="G9533" s="2">
        <v>95</v>
      </c>
      <c r="H9533" s="2">
        <v>373</v>
      </c>
      <c r="I9533" s="2">
        <v>212</v>
      </c>
      <c r="J9533" s="2">
        <v>1330</v>
      </c>
      <c r="K9533" s="2">
        <v>23</v>
      </c>
      <c r="L9533" s="2">
        <v>395</v>
      </c>
    </row>
    <row r="9534" spans="1:12" x14ac:dyDescent="0.25">
      <c r="A9534" s="4" t="str">
        <f>HYPERLINK("http://www.rosaceae.org/Prunus/Prunus_persica/p.persica_gdr_reftransV1_0046081","p.persica_gdr_reftransV1_0046081")</f>
        <v>p.persica_gdr_reftransV1_0046081</v>
      </c>
      <c r="B9534" s="2">
        <v>1122</v>
      </c>
      <c r="C9534" s="4" t="str">
        <f>HYPERLINK("http://www.uniprot.org/uniprot/M5WR37","M5WR37")</f>
        <v>M5WR37</v>
      </c>
      <c r="D9534" s="2" t="s">
        <v>8261</v>
      </c>
      <c r="E9534" s="3">
        <v>4.3499999999999999E-98</v>
      </c>
      <c r="F9534" s="2">
        <v>770</v>
      </c>
      <c r="G9534" s="2">
        <v>100</v>
      </c>
      <c r="H9534" s="2">
        <v>176</v>
      </c>
      <c r="I9534" s="2">
        <v>235</v>
      </c>
      <c r="J9534" s="2">
        <v>762</v>
      </c>
      <c r="K9534" s="2">
        <v>1</v>
      </c>
      <c r="L9534" s="2">
        <v>176</v>
      </c>
    </row>
    <row r="9535" spans="1:12" x14ac:dyDescent="0.25">
      <c r="A9535" s="4" t="str">
        <f>HYPERLINK("http://www.rosaceae.org/Prunus/Prunus_persica/p.persica_gdr_reftransV1_0046431","p.persica_gdr_reftransV1_0046431")</f>
        <v>p.persica_gdr_reftransV1_0046431</v>
      </c>
      <c r="B9535" s="2">
        <v>3362</v>
      </c>
      <c r="C9535" s="4" t="str">
        <f>HYPERLINK("http://www.uniprot.org/uniprot/M5VLV2","M5VLV2")</f>
        <v>M5VLV2</v>
      </c>
      <c r="D9535" s="2" t="s">
        <v>8262</v>
      </c>
      <c r="E9535" s="3">
        <v>0</v>
      </c>
      <c r="F9535" s="2">
        <v>4095</v>
      </c>
      <c r="G9535" s="2">
        <v>98</v>
      </c>
      <c r="H9535" s="2">
        <v>814</v>
      </c>
      <c r="I9535" s="2">
        <v>277</v>
      </c>
      <c r="J9535" s="2">
        <v>2718</v>
      </c>
      <c r="K9535" s="2">
        <v>1</v>
      </c>
      <c r="L9535" s="2">
        <v>798</v>
      </c>
    </row>
    <row r="9536" spans="1:12" x14ac:dyDescent="0.25">
      <c r="A9536" s="4" t="str">
        <f>HYPERLINK("http://www.rosaceae.org/Prunus/Prunus_persica/p.persica_gdr_reftransV1_0047131","p.persica_gdr_reftransV1_0047131")</f>
        <v>p.persica_gdr_reftransV1_0047131</v>
      </c>
      <c r="B9536" s="2">
        <v>1802</v>
      </c>
      <c r="C9536" s="4" t="str">
        <f>HYPERLINK("http://www.uniprot.org/uniprot/M5WBN6","M5WBN6")</f>
        <v>M5WBN6</v>
      </c>
      <c r="D9536" s="2" t="s">
        <v>5385</v>
      </c>
      <c r="E9536" s="3">
        <v>0</v>
      </c>
      <c r="F9536" s="2">
        <v>2548</v>
      </c>
      <c r="G9536" s="2">
        <v>99</v>
      </c>
      <c r="H9536" s="2">
        <v>494</v>
      </c>
      <c r="I9536" s="2">
        <v>228</v>
      </c>
      <c r="J9536" s="2">
        <v>1709</v>
      </c>
      <c r="K9536" s="2">
        <v>1</v>
      </c>
      <c r="L9536" s="2">
        <v>494</v>
      </c>
    </row>
    <row r="9537" spans="1:12" x14ac:dyDescent="0.25">
      <c r="A9537" s="4" t="str">
        <f>HYPERLINK("http://www.rosaceae.org/Prunus/Prunus_persica/p.persica_gdr_reftransV1_0047481","p.persica_gdr_reftransV1_0047481")</f>
        <v>p.persica_gdr_reftransV1_0047481</v>
      </c>
      <c r="B9537" s="2">
        <v>900</v>
      </c>
      <c r="C9537" s="4" t="str">
        <f>HYPERLINK("http://www.uniprot.org/uniprot/M5WSW7","M5WSW7")</f>
        <v>M5WSW7</v>
      </c>
      <c r="D9537" s="2" t="s">
        <v>8263</v>
      </c>
      <c r="E9537" s="3">
        <v>3.24E-144</v>
      </c>
      <c r="F9537" s="2">
        <v>1074</v>
      </c>
      <c r="G9537" s="2">
        <v>100</v>
      </c>
      <c r="H9537" s="2">
        <v>214</v>
      </c>
      <c r="I9537" s="2">
        <v>255</v>
      </c>
      <c r="J9537" s="2">
        <v>896</v>
      </c>
      <c r="K9537" s="2">
        <v>1</v>
      </c>
      <c r="L9537" s="2">
        <v>214</v>
      </c>
    </row>
    <row r="9538" spans="1:12" x14ac:dyDescent="0.25">
      <c r="A9538" s="4" t="str">
        <f>HYPERLINK("http://www.rosaceae.org/Prunus/Prunus_persica/p.persica_gdr_reftransV1_0048881","p.persica_gdr_reftransV1_0048881")</f>
        <v>p.persica_gdr_reftransV1_0048881</v>
      </c>
      <c r="B9538" s="2">
        <v>3522</v>
      </c>
      <c r="C9538" s="4" t="str">
        <f>HYPERLINK("http://www.uniprot.org/uniprot/M5WYH5","M5WYH5")</f>
        <v>M5WYH5</v>
      </c>
      <c r="D9538" s="2" t="s">
        <v>1643</v>
      </c>
      <c r="E9538" s="3">
        <v>0</v>
      </c>
      <c r="F9538" s="2">
        <v>4142</v>
      </c>
      <c r="G9538" s="2">
        <v>100</v>
      </c>
      <c r="H9538" s="2">
        <v>985</v>
      </c>
      <c r="I9538" s="2">
        <v>277</v>
      </c>
      <c r="J9538" s="2">
        <v>3231</v>
      </c>
      <c r="K9538" s="2">
        <v>1</v>
      </c>
      <c r="L9538" s="2">
        <v>983</v>
      </c>
    </row>
    <row r="9539" spans="1:12" x14ac:dyDescent="0.25">
      <c r="A9539" s="4" t="str">
        <f>HYPERLINK("http://www.rosaceae.org/Prunus/Prunus_persica/p.persica_gdr_reftransV1_0000232","p.persica_gdr_reftransV1_0000232")</f>
        <v>p.persica_gdr_reftransV1_0000232</v>
      </c>
      <c r="B9539" s="2">
        <v>2489</v>
      </c>
      <c r="C9539" s="4" t="str">
        <f>HYPERLINK("http://www.uniprot.org/uniprot/M5WMG9","M5WMG9")</f>
        <v>M5WMG9</v>
      </c>
      <c r="D9539" s="2" t="s">
        <v>7441</v>
      </c>
      <c r="E9539" s="3">
        <v>0</v>
      </c>
      <c r="F9539" s="2">
        <v>3992</v>
      </c>
      <c r="G9539" s="2">
        <v>100</v>
      </c>
      <c r="H9539" s="2">
        <v>829</v>
      </c>
      <c r="I9539" s="2">
        <v>1</v>
      </c>
      <c r="J9539" s="2">
        <v>2487</v>
      </c>
      <c r="K9539" s="2">
        <v>144</v>
      </c>
      <c r="L9539" s="2">
        <v>972</v>
      </c>
    </row>
    <row r="9540" spans="1:12" x14ac:dyDescent="0.25">
      <c r="A9540" s="4" t="str">
        <f>HYPERLINK("http://www.rosaceae.org/Prunus/Prunus_persica/p.persica_gdr_reftransV1_0000582","p.persica_gdr_reftransV1_0000582")</f>
        <v>p.persica_gdr_reftransV1_0000582</v>
      </c>
      <c r="B9540" s="2">
        <v>666</v>
      </c>
      <c r="C9540" s="4" t="str">
        <f>HYPERLINK("http://www.uniprot.org/uniprot/M5XRT4","M5XRT4")</f>
        <v>M5XRT4</v>
      </c>
      <c r="D9540" s="2" t="s">
        <v>8264</v>
      </c>
      <c r="E9540" s="3">
        <v>5.6699999999999999E-85</v>
      </c>
      <c r="F9540" s="2">
        <v>663</v>
      </c>
      <c r="G9540" s="2">
        <v>100</v>
      </c>
      <c r="H9540" s="2">
        <v>129</v>
      </c>
      <c r="I9540" s="2">
        <v>52</v>
      </c>
      <c r="J9540" s="2">
        <v>438</v>
      </c>
      <c r="K9540" s="2">
        <v>1</v>
      </c>
      <c r="L9540" s="2">
        <v>129</v>
      </c>
    </row>
    <row r="9541" spans="1:12" x14ac:dyDescent="0.25">
      <c r="A9541" s="4" t="str">
        <f>HYPERLINK("http://www.rosaceae.org/Prunus/Prunus_persica/p.persica_gdr_reftransV1_0001632","p.persica_gdr_reftransV1_0001632")</f>
        <v>p.persica_gdr_reftransV1_0001632</v>
      </c>
      <c r="B9541" s="2">
        <v>388</v>
      </c>
      <c r="C9541" s="4" t="str">
        <f>HYPERLINK("http://www.uniprot.org/uniprot/A5BLB0","A5BLB0")</f>
        <v>A5BLB0</v>
      </c>
      <c r="D9541" s="2" t="s">
        <v>2204</v>
      </c>
      <c r="E9541" s="3">
        <v>7.42E-47</v>
      </c>
      <c r="F9541" s="2">
        <v>438</v>
      </c>
      <c r="G9541" s="2">
        <v>59</v>
      </c>
      <c r="H9541" s="2">
        <v>128</v>
      </c>
      <c r="I9541" s="2">
        <v>5</v>
      </c>
      <c r="J9541" s="2">
        <v>388</v>
      </c>
      <c r="K9541" s="2">
        <v>1015</v>
      </c>
      <c r="L9541" s="2">
        <v>1142</v>
      </c>
    </row>
    <row r="9542" spans="1:12" x14ac:dyDescent="0.25">
      <c r="A9542" s="4" t="str">
        <f>HYPERLINK("http://www.rosaceae.org/Prunus/Prunus_persica/p.persica_gdr_reftransV1_0002332","p.persica_gdr_reftransV1_0002332")</f>
        <v>p.persica_gdr_reftransV1_0002332</v>
      </c>
      <c r="B9542" s="2">
        <v>550</v>
      </c>
      <c r="C9542" s="4" t="str">
        <f>HYPERLINK("http://www.uniprot.org/uniprot/M5XY68","M5XY68")</f>
        <v>M5XY68</v>
      </c>
      <c r="D9542" s="2" t="s">
        <v>8265</v>
      </c>
      <c r="E9542" s="3">
        <v>4.1700000000000001E-125</v>
      </c>
      <c r="F9542" s="2">
        <v>957</v>
      </c>
      <c r="G9542" s="2">
        <v>100</v>
      </c>
      <c r="H9542" s="2">
        <v>182</v>
      </c>
      <c r="I9542" s="2">
        <v>3</v>
      </c>
      <c r="J9542" s="2">
        <v>548</v>
      </c>
      <c r="K9542" s="2">
        <v>86</v>
      </c>
      <c r="L9542" s="2">
        <v>267</v>
      </c>
    </row>
    <row r="9543" spans="1:12" x14ac:dyDescent="0.25">
      <c r="A9543" s="4" t="str">
        <f>HYPERLINK("http://www.rosaceae.org/Prunus/Prunus_persica/p.persica_gdr_reftransV1_0003382","p.persica_gdr_reftransV1_0003382")</f>
        <v>p.persica_gdr_reftransV1_0003382</v>
      </c>
      <c r="B9543" s="2">
        <v>2272</v>
      </c>
      <c r="C9543" s="4" t="str">
        <f>HYPERLINK("http://www.uniprot.org/uniprot/M5X9A1","M5X9A1")</f>
        <v>M5X9A1</v>
      </c>
      <c r="D9543" s="2" t="s">
        <v>690</v>
      </c>
      <c r="E9543" s="3">
        <v>0</v>
      </c>
      <c r="F9543" s="2">
        <v>3381</v>
      </c>
      <c r="G9543" s="2">
        <v>100</v>
      </c>
      <c r="H9543" s="2">
        <v>678</v>
      </c>
      <c r="I9543" s="2">
        <v>1</v>
      </c>
      <c r="J9543" s="2">
        <v>2034</v>
      </c>
      <c r="K9543" s="2">
        <v>307</v>
      </c>
      <c r="L9543" s="2">
        <v>984</v>
      </c>
    </row>
    <row r="9544" spans="1:12" x14ac:dyDescent="0.25">
      <c r="A9544" s="4" t="str">
        <f>HYPERLINK("http://www.rosaceae.org/Prunus/Prunus_persica/p.persica_gdr_reftransV1_0003732","p.persica_gdr_reftransV1_0003732")</f>
        <v>p.persica_gdr_reftransV1_0003732</v>
      </c>
      <c r="B9544" s="2">
        <v>3102</v>
      </c>
      <c r="C9544" s="4" t="str">
        <f>HYPERLINK("http://www.uniprot.org/uniprot/M5W775","M5W775")</f>
        <v>M5W775</v>
      </c>
      <c r="D9544" s="2" t="s">
        <v>8266</v>
      </c>
      <c r="E9544" s="3">
        <v>0</v>
      </c>
      <c r="F9544" s="2">
        <v>3429</v>
      </c>
      <c r="G9544" s="2">
        <v>100</v>
      </c>
      <c r="H9544" s="2">
        <v>763</v>
      </c>
      <c r="I9544" s="2">
        <v>476</v>
      </c>
      <c r="J9544" s="2">
        <v>2764</v>
      </c>
      <c r="K9544" s="2">
        <v>1</v>
      </c>
      <c r="L9544" s="2">
        <v>763</v>
      </c>
    </row>
    <row r="9545" spans="1:12" x14ac:dyDescent="0.25">
      <c r="A9545" s="4" t="str">
        <f>HYPERLINK("http://www.rosaceae.org/Prunus/Prunus_persica/p.persica_gdr_reftransV1_0004432","p.persica_gdr_reftransV1_0004432")</f>
        <v>p.persica_gdr_reftransV1_0004432</v>
      </c>
      <c r="B9545" s="2">
        <v>812</v>
      </c>
      <c r="C9545" s="4" t="str">
        <f>HYPERLINK("http://www.uniprot.org/uniprot/M5WSA7","M5WSA7")</f>
        <v>M5WSA7</v>
      </c>
      <c r="D9545" s="2" t="s">
        <v>8267</v>
      </c>
      <c r="E9545" s="3">
        <v>1.4299999999999999E-163</v>
      </c>
      <c r="F9545" s="2">
        <v>1323</v>
      </c>
      <c r="G9545" s="2">
        <v>97</v>
      </c>
      <c r="H9545" s="2">
        <v>270</v>
      </c>
      <c r="I9545" s="2">
        <v>2</v>
      </c>
      <c r="J9545" s="2">
        <v>811</v>
      </c>
      <c r="K9545" s="2">
        <v>157</v>
      </c>
      <c r="L9545" s="2">
        <v>426</v>
      </c>
    </row>
    <row r="9546" spans="1:12" x14ac:dyDescent="0.25">
      <c r="A9546" s="4" t="str">
        <f>HYPERLINK("http://www.rosaceae.org/Prunus/Prunus_persica/p.persica_gdr_reftransV1_0006182","p.persica_gdr_reftransV1_0006182")</f>
        <v>p.persica_gdr_reftransV1_0006182</v>
      </c>
      <c r="B9546" s="2">
        <v>543</v>
      </c>
      <c r="C9546" s="4" t="str">
        <f>HYPERLINK("http://www.uniprot.org/uniprot/A5ATA8","A5ATA8")</f>
        <v>A5ATA8</v>
      </c>
      <c r="D9546" s="2" t="s">
        <v>8268</v>
      </c>
      <c r="E9546" s="3">
        <v>3.8E-51</v>
      </c>
      <c r="F9546" s="2">
        <v>478</v>
      </c>
      <c r="G9546" s="2">
        <v>64</v>
      </c>
      <c r="H9546" s="2">
        <v>136</v>
      </c>
      <c r="I9546" s="2">
        <v>1</v>
      </c>
      <c r="J9546" s="2">
        <v>402</v>
      </c>
      <c r="K9546" s="2">
        <v>372</v>
      </c>
      <c r="L9546" s="2">
        <v>507</v>
      </c>
    </row>
    <row r="9547" spans="1:12" x14ac:dyDescent="0.25">
      <c r="A9547" s="4" t="str">
        <f>HYPERLINK("http://www.rosaceae.org/Prunus/Prunus_persica/p.persica_gdr_reftransV1_0006532","p.persica_gdr_reftransV1_0006532")</f>
        <v>p.persica_gdr_reftransV1_0006532</v>
      </c>
      <c r="B9547" s="2">
        <v>533</v>
      </c>
      <c r="C9547" s="4" t="str">
        <f>HYPERLINK("http://www.uniprot.org/uniprot/M5Y0J0","M5Y0J0")</f>
        <v>M5Y0J0</v>
      </c>
      <c r="D9547" s="2" t="s">
        <v>8269</v>
      </c>
      <c r="E9547" s="3">
        <v>3.2800000000000002E-95</v>
      </c>
      <c r="F9547" s="2">
        <v>740</v>
      </c>
      <c r="G9547" s="2">
        <v>100</v>
      </c>
      <c r="H9547" s="2">
        <v>156</v>
      </c>
      <c r="I9547" s="2">
        <v>1</v>
      </c>
      <c r="J9547" s="2">
        <v>468</v>
      </c>
      <c r="K9547" s="2">
        <v>1</v>
      </c>
      <c r="L9547" s="2">
        <v>156</v>
      </c>
    </row>
    <row r="9548" spans="1:12" x14ac:dyDescent="0.25">
      <c r="A9548" s="4" t="str">
        <f>HYPERLINK("http://www.rosaceae.org/Prunus/Prunus_persica/p.persica_gdr_reftransV1_0006882","p.persica_gdr_reftransV1_0006882")</f>
        <v>p.persica_gdr_reftransV1_0006882</v>
      </c>
      <c r="B9548" s="2">
        <v>1011</v>
      </c>
      <c r="C9548" s="4" t="str">
        <f>HYPERLINK("http://www.uniprot.org/uniprot/M5WKL9","M5WKL9")</f>
        <v>M5WKL9</v>
      </c>
      <c r="D9548" s="2" t="s">
        <v>8270</v>
      </c>
      <c r="E9548" s="3">
        <v>6.89E-157</v>
      </c>
      <c r="F9548" s="2">
        <v>1162</v>
      </c>
      <c r="G9548" s="2">
        <v>99</v>
      </c>
      <c r="H9548" s="2">
        <v>256</v>
      </c>
      <c r="I9548" s="2">
        <v>222</v>
      </c>
      <c r="J9548" s="2">
        <v>989</v>
      </c>
      <c r="K9548" s="2">
        <v>1</v>
      </c>
      <c r="L9548" s="2">
        <v>256</v>
      </c>
    </row>
    <row r="9549" spans="1:12" x14ac:dyDescent="0.25">
      <c r="A9549" s="4" t="str">
        <f>HYPERLINK("http://www.rosaceae.org/Prunus/Prunus_persica/p.persica_gdr_reftransV1_0007232","p.persica_gdr_reftransV1_0007232")</f>
        <v>p.persica_gdr_reftransV1_0007232</v>
      </c>
      <c r="B9549" s="2">
        <v>533</v>
      </c>
      <c r="C9549" s="4" t="str">
        <f>HYPERLINK("http://www.uniprot.org/uniprot/M5XI02","M5XI02")</f>
        <v>M5XI02</v>
      </c>
      <c r="D9549" s="2" t="s">
        <v>8271</v>
      </c>
      <c r="E9549" s="3">
        <v>1.4700000000000001E-112</v>
      </c>
      <c r="F9549" s="2">
        <v>873</v>
      </c>
      <c r="G9549" s="2">
        <v>100</v>
      </c>
      <c r="H9549" s="2">
        <v>177</v>
      </c>
      <c r="I9549" s="2">
        <v>3</v>
      </c>
      <c r="J9549" s="2">
        <v>533</v>
      </c>
      <c r="K9549" s="2">
        <v>16</v>
      </c>
      <c r="L9549" s="2">
        <v>192</v>
      </c>
    </row>
    <row r="9550" spans="1:12" x14ac:dyDescent="0.25">
      <c r="A9550" s="4" t="str">
        <f>HYPERLINK("http://www.rosaceae.org/Prunus/Prunus_persica/p.persica_gdr_reftransV1_0007582","p.persica_gdr_reftransV1_0007582")</f>
        <v>p.persica_gdr_reftransV1_0007582</v>
      </c>
      <c r="B9550" s="2">
        <v>2373</v>
      </c>
      <c r="C9550" s="4" t="str">
        <f>HYPERLINK("http://www.uniprot.org/uniprot/M5W3N5","M5W3N5")</f>
        <v>M5W3N5</v>
      </c>
      <c r="D9550" s="2" t="s">
        <v>8272</v>
      </c>
      <c r="E9550" s="3">
        <v>0</v>
      </c>
      <c r="F9550" s="2">
        <v>2336</v>
      </c>
      <c r="G9550" s="2">
        <v>100</v>
      </c>
      <c r="H9550" s="2">
        <v>623</v>
      </c>
      <c r="I9550" s="2">
        <v>461</v>
      </c>
      <c r="J9550" s="2">
        <v>2329</v>
      </c>
      <c r="K9550" s="2">
        <v>1</v>
      </c>
      <c r="L9550" s="2">
        <v>623</v>
      </c>
    </row>
    <row r="9551" spans="1:12" x14ac:dyDescent="0.25">
      <c r="A9551" s="4" t="str">
        <f>HYPERLINK("http://www.rosaceae.org/Prunus/Prunus_persica/p.persica_gdr_reftransV1_0007932","p.persica_gdr_reftransV1_0007932")</f>
        <v>p.persica_gdr_reftransV1_0007932</v>
      </c>
      <c r="B9551" s="2">
        <v>1141</v>
      </c>
      <c r="C9551" s="4" t="str">
        <f>HYPERLINK("http://www.uniprot.org/uniprot/M5WRU1","M5WRU1")</f>
        <v>M5WRU1</v>
      </c>
      <c r="D9551" s="2" t="s">
        <v>8273</v>
      </c>
      <c r="E9551" s="3">
        <v>1.22E-119</v>
      </c>
      <c r="F9551" s="2">
        <v>922</v>
      </c>
      <c r="G9551" s="2">
        <v>100</v>
      </c>
      <c r="H9551" s="2">
        <v>190</v>
      </c>
      <c r="I9551" s="2">
        <v>486</v>
      </c>
      <c r="J9551" s="2">
        <v>1055</v>
      </c>
      <c r="K9551" s="2">
        <v>1</v>
      </c>
      <c r="L9551" s="2">
        <v>190</v>
      </c>
    </row>
    <row r="9552" spans="1:12" x14ac:dyDescent="0.25">
      <c r="A9552" s="4" t="str">
        <f>HYPERLINK("http://www.rosaceae.org/Prunus/Prunus_persica/p.persica_gdr_reftransV1_0008282","p.persica_gdr_reftransV1_0008282")</f>
        <v>p.persica_gdr_reftransV1_0008282</v>
      </c>
      <c r="B9552" s="2">
        <v>1490</v>
      </c>
      <c r="C9552" s="4" t="str">
        <f>HYPERLINK("http://www.uniprot.org/uniprot/M5W3J2","M5W3J2")</f>
        <v>M5W3J2</v>
      </c>
      <c r="D9552" s="2" t="s">
        <v>8274</v>
      </c>
      <c r="E9552" s="3">
        <v>3.4E-121</v>
      </c>
      <c r="F9552" s="2">
        <v>936</v>
      </c>
      <c r="G9552" s="2">
        <v>100</v>
      </c>
      <c r="H9552" s="2">
        <v>188</v>
      </c>
      <c r="I9552" s="2">
        <v>823</v>
      </c>
      <c r="J9552" s="2">
        <v>1386</v>
      </c>
      <c r="K9552" s="2">
        <v>1</v>
      </c>
      <c r="L9552" s="2">
        <v>188</v>
      </c>
    </row>
    <row r="9553" spans="1:12" x14ac:dyDescent="0.25">
      <c r="A9553" s="4" t="str">
        <f>HYPERLINK("http://www.rosaceae.org/Prunus/Prunus_persica/p.persica_gdr_reftransV1_0009682","p.persica_gdr_reftransV1_0009682")</f>
        <v>p.persica_gdr_reftransV1_0009682</v>
      </c>
      <c r="B9553" s="2">
        <v>701</v>
      </c>
      <c r="C9553" s="4" t="str">
        <f>HYPERLINK("http://www.uniprot.org/uniprot/M5WDQ4","M5WDQ4")</f>
        <v>M5WDQ4</v>
      </c>
      <c r="D9553" s="2" t="s">
        <v>8275</v>
      </c>
      <c r="E9553" s="3">
        <v>2.2399999999999999E-55</v>
      </c>
      <c r="F9553" s="2">
        <v>464</v>
      </c>
      <c r="G9553" s="2">
        <v>100</v>
      </c>
      <c r="H9553" s="2">
        <v>90</v>
      </c>
      <c r="I9553" s="2">
        <v>63</v>
      </c>
      <c r="J9553" s="2">
        <v>332</v>
      </c>
      <c r="K9553" s="2">
        <v>1</v>
      </c>
      <c r="L9553" s="2">
        <v>90</v>
      </c>
    </row>
    <row r="9554" spans="1:12" x14ac:dyDescent="0.25">
      <c r="A9554" s="4" t="str">
        <f>HYPERLINK("http://www.rosaceae.org/Prunus/Prunus_persica/p.persica_gdr_reftransV1_0010032","p.persica_gdr_reftransV1_0010032")</f>
        <v>p.persica_gdr_reftransV1_0010032</v>
      </c>
      <c r="B9554" s="2">
        <v>1803</v>
      </c>
      <c r="C9554" s="4" t="str">
        <f>HYPERLINK("http://www.uniprot.org/uniprot/M5W9B6","M5W9B6")</f>
        <v>M5W9B6</v>
      </c>
      <c r="D9554" s="2" t="s">
        <v>8276</v>
      </c>
      <c r="E9554" s="3">
        <v>0</v>
      </c>
      <c r="F9554" s="2">
        <v>1638</v>
      </c>
      <c r="G9554" s="2">
        <v>92</v>
      </c>
      <c r="H9554" s="2">
        <v>437</v>
      </c>
      <c r="I9554" s="2">
        <v>60</v>
      </c>
      <c r="J9554" s="2">
        <v>1370</v>
      </c>
      <c r="K9554" s="2">
        <v>39</v>
      </c>
      <c r="L9554" s="2">
        <v>449</v>
      </c>
    </row>
    <row r="9555" spans="1:12" x14ac:dyDescent="0.25">
      <c r="A9555" s="4" t="str">
        <f>HYPERLINK("http://www.rosaceae.org/Prunus/Prunus_persica/p.persica_gdr_reftransV1_0010382","p.persica_gdr_reftransV1_0010382")</f>
        <v>p.persica_gdr_reftransV1_0010382</v>
      </c>
      <c r="B9555" s="2">
        <v>1294</v>
      </c>
      <c r="C9555" s="4" t="str">
        <f>HYPERLINK("http://www.uniprot.org/uniprot/M5XQZ0","M5XQZ0")</f>
        <v>M5XQZ0</v>
      </c>
      <c r="D9555" s="2" t="s">
        <v>8277</v>
      </c>
      <c r="E9555" s="3">
        <v>1.7299999999999999E-92</v>
      </c>
      <c r="F9555" s="2">
        <v>736</v>
      </c>
      <c r="G9555" s="2">
        <v>96</v>
      </c>
      <c r="H9555" s="2">
        <v>143</v>
      </c>
      <c r="I9555" s="2">
        <v>241</v>
      </c>
      <c r="J9555" s="2">
        <v>669</v>
      </c>
      <c r="K9555" s="2">
        <v>15</v>
      </c>
      <c r="L9555" s="2">
        <v>157</v>
      </c>
    </row>
    <row r="9556" spans="1:12" x14ac:dyDescent="0.25">
      <c r="A9556" s="4" t="str">
        <f>HYPERLINK("http://www.rosaceae.org/Prunus/Prunus_persica/p.persica_gdr_reftransV1_0011082","p.persica_gdr_reftransV1_0011082")</f>
        <v>p.persica_gdr_reftransV1_0011082</v>
      </c>
      <c r="B9556" s="2">
        <v>1821</v>
      </c>
      <c r="C9556" s="4" t="str">
        <f>HYPERLINK("http://www.uniprot.org/uniprot/M5VWE4","M5VWE4")</f>
        <v>M5VWE4</v>
      </c>
      <c r="D9556" s="2" t="s">
        <v>8278</v>
      </c>
      <c r="E9556" s="3">
        <v>0</v>
      </c>
      <c r="F9556" s="2">
        <v>2257</v>
      </c>
      <c r="G9556" s="2">
        <v>100</v>
      </c>
      <c r="H9556" s="2">
        <v>442</v>
      </c>
      <c r="I9556" s="2">
        <v>1</v>
      </c>
      <c r="J9556" s="2">
        <v>1326</v>
      </c>
      <c r="K9556" s="2">
        <v>156</v>
      </c>
      <c r="L9556" s="2">
        <v>597</v>
      </c>
    </row>
    <row r="9557" spans="1:12" x14ac:dyDescent="0.25">
      <c r="A9557" s="4" t="str">
        <f>HYPERLINK("http://www.rosaceae.org/Prunus/Prunus_persica/p.persica_gdr_reftransV1_0011432","p.persica_gdr_reftransV1_0011432")</f>
        <v>p.persica_gdr_reftransV1_0011432</v>
      </c>
      <c r="B9557" s="2">
        <v>2905</v>
      </c>
      <c r="C9557" s="4" t="str">
        <f>HYPERLINK("http://www.uniprot.org/uniprot/W9QD44","W9QD44")</f>
        <v>W9QD44</v>
      </c>
      <c r="D9557" s="2" t="s">
        <v>7932</v>
      </c>
      <c r="E9557" s="3">
        <v>0</v>
      </c>
      <c r="F9557" s="2">
        <v>2724</v>
      </c>
      <c r="G9557" s="2">
        <v>66</v>
      </c>
      <c r="H9557" s="2">
        <v>793</v>
      </c>
      <c r="I9557" s="2">
        <v>432</v>
      </c>
      <c r="J9557" s="2">
        <v>2774</v>
      </c>
      <c r="K9557" s="2">
        <v>29</v>
      </c>
      <c r="L9557" s="2">
        <v>815</v>
      </c>
    </row>
    <row r="9558" spans="1:12" x14ac:dyDescent="0.25">
      <c r="A9558" s="4" t="str">
        <f>HYPERLINK("http://www.rosaceae.org/Prunus/Prunus_persica/p.persica_gdr_reftransV1_0012482","p.persica_gdr_reftransV1_0012482")</f>
        <v>p.persica_gdr_reftransV1_0012482</v>
      </c>
      <c r="B9558" s="2">
        <v>1906</v>
      </c>
      <c r="C9558" s="4" t="str">
        <f>HYPERLINK("http://www.uniprot.org/uniprot/M5W4H1","M5W4H1")</f>
        <v>M5W4H1</v>
      </c>
      <c r="D9558" s="2" t="s">
        <v>8279</v>
      </c>
      <c r="E9558" s="3">
        <v>0</v>
      </c>
      <c r="F9558" s="2">
        <v>2078</v>
      </c>
      <c r="G9558" s="2">
        <v>100</v>
      </c>
      <c r="H9558" s="2">
        <v>434</v>
      </c>
      <c r="I9558" s="2">
        <v>604</v>
      </c>
      <c r="J9558" s="2">
        <v>1905</v>
      </c>
      <c r="K9558" s="2">
        <v>30</v>
      </c>
      <c r="L9558" s="2">
        <v>463</v>
      </c>
    </row>
    <row r="9559" spans="1:12" x14ac:dyDescent="0.25">
      <c r="A9559" s="4" t="str">
        <f>HYPERLINK("http://www.rosaceae.org/Prunus/Prunus_persica/p.persica_gdr_reftransV1_0012832","p.persica_gdr_reftransV1_0012832")</f>
        <v>p.persica_gdr_reftransV1_0012832</v>
      </c>
      <c r="B9559" s="2">
        <v>2069</v>
      </c>
      <c r="C9559" s="4" t="str">
        <f>HYPERLINK("http://www.uniprot.org/uniprot/M5WT70","M5WT70")</f>
        <v>M5WT70</v>
      </c>
      <c r="D9559" s="2" t="s">
        <v>8280</v>
      </c>
      <c r="E9559" s="3">
        <v>0</v>
      </c>
      <c r="F9559" s="2">
        <v>1780</v>
      </c>
      <c r="G9559" s="2">
        <v>90</v>
      </c>
      <c r="H9559" s="2">
        <v>383</v>
      </c>
      <c r="I9559" s="2">
        <v>350</v>
      </c>
      <c r="J9559" s="2">
        <v>1498</v>
      </c>
      <c r="K9559" s="2">
        <v>1</v>
      </c>
      <c r="L9559" s="2">
        <v>343</v>
      </c>
    </row>
    <row r="9560" spans="1:12" x14ac:dyDescent="0.25">
      <c r="A9560" s="4" t="str">
        <f>HYPERLINK("http://www.rosaceae.org/Prunus/Prunus_persica/p.persica_gdr_reftransV1_0014232","p.persica_gdr_reftransV1_0014232")</f>
        <v>p.persica_gdr_reftransV1_0014232</v>
      </c>
      <c r="B9560" s="2">
        <v>1826</v>
      </c>
      <c r="C9560" s="4" t="str">
        <f>HYPERLINK("http://www.uniprot.org/uniprot/M5VLZ4","M5VLZ4")</f>
        <v>M5VLZ4</v>
      </c>
      <c r="D9560" s="2" t="s">
        <v>7053</v>
      </c>
      <c r="E9560" s="3">
        <v>0</v>
      </c>
      <c r="F9560" s="2">
        <v>2012</v>
      </c>
      <c r="G9560" s="2">
        <v>74</v>
      </c>
      <c r="H9560" s="2">
        <v>517</v>
      </c>
      <c r="I9560" s="2">
        <v>96</v>
      </c>
      <c r="J9560" s="2">
        <v>1646</v>
      </c>
      <c r="K9560" s="2">
        <v>1</v>
      </c>
      <c r="L9560" s="2">
        <v>468</v>
      </c>
    </row>
    <row r="9561" spans="1:12" x14ac:dyDescent="0.25">
      <c r="A9561" s="4" t="str">
        <f>HYPERLINK("http://www.rosaceae.org/Prunus/Prunus_persica/p.persica_gdr_reftransV1_0015282","p.persica_gdr_reftransV1_0015282")</f>
        <v>p.persica_gdr_reftransV1_0015282</v>
      </c>
      <c r="B9561" s="2">
        <v>2535</v>
      </c>
      <c r="C9561" s="4" t="str">
        <f>HYPERLINK("http://www.uniprot.org/uniprot/M5XB89","M5XB89")</f>
        <v>M5XB89</v>
      </c>
      <c r="D9561" s="2" t="s">
        <v>6371</v>
      </c>
      <c r="E9561" s="3">
        <v>3.3099999999999997E-98</v>
      </c>
      <c r="F9561" s="2">
        <v>824</v>
      </c>
      <c r="G9561" s="2">
        <v>93</v>
      </c>
      <c r="H9561" s="2">
        <v>165</v>
      </c>
      <c r="I9561" s="2">
        <v>608</v>
      </c>
      <c r="J9561" s="2">
        <v>1102</v>
      </c>
      <c r="K9561" s="2">
        <v>192</v>
      </c>
      <c r="L9561" s="2">
        <v>356</v>
      </c>
    </row>
    <row r="9562" spans="1:12" x14ac:dyDescent="0.25">
      <c r="A9562" s="4" t="str">
        <f>HYPERLINK("http://www.rosaceae.org/Prunus/Prunus_persica/p.persica_gdr_reftransV1_0020532","p.persica_gdr_reftransV1_0020532")</f>
        <v>p.persica_gdr_reftransV1_0020532</v>
      </c>
      <c r="B9562" s="2">
        <v>3566</v>
      </c>
      <c r="C9562" s="4" t="str">
        <f>HYPERLINK("http://www.uniprot.org/uniprot/M5W3L7","M5W3L7")</f>
        <v>M5W3L7</v>
      </c>
      <c r="D9562" s="2" t="s">
        <v>8281</v>
      </c>
      <c r="E9562" s="3">
        <v>0</v>
      </c>
      <c r="F9562" s="2">
        <v>3740</v>
      </c>
      <c r="G9562" s="2">
        <v>100</v>
      </c>
      <c r="H9562" s="2">
        <v>738</v>
      </c>
      <c r="I9562" s="2">
        <v>851</v>
      </c>
      <c r="J9562" s="2">
        <v>3064</v>
      </c>
      <c r="K9562" s="2">
        <v>1</v>
      </c>
      <c r="L9562" s="2">
        <v>738</v>
      </c>
    </row>
    <row r="9563" spans="1:12" x14ac:dyDescent="0.25">
      <c r="A9563" s="4" t="str">
        <f>HYPERLINK("http://www.rosaceae.org/Prunus/Prunus_persica/p.persica_gdr_reftransV1_0022282","p.persica_gdr_reftransV1_0022282")</f>
        <v>p.persica_gdr_reftransV1_0022282</v>
      </c>
      <c r="B9563" s="2">
        <v>576</v>
      </c>
      <c r="C9563" s="4" t="str">
        <f>HYPERLINK("http://www.uniprot.org/uniprot/M5WNW0","M5WNW0")</f>
        <v>M5WNW0</v>
      </c>
      <c r="D9563" s="2" t="s">
        <v>6458</v>
      </c>
      <c r="E9563" s="3">
        <v>1.73E-31</v>
      </c>
      <c r="F9563" s="2">
        <v>327</v>
      </c>
      <c r="G9563" s="2">
        <v>80</v>
      </c>
      <c r="H9563" s="2">
        <v>108</v>
      </c>
      <c r="I9563" s="2">
        <v>1</v>
      </c>
      <c r="J9563" s="2">
        <v>324</v>
      </c>
      <c r="K9563" s="2">
        <v>1</v>
      </c>
      <c r="L9563" s="2">
        <v>86</v>
      </c>
    </row>
    <row r="9564" spans="1:12" x14ac:dyDescent="0.25">
      <c r="A9564" s="4" t="str">
        <f>HYPERLINK("http://www.rosaceae.org/Prunus/Prunus_persica/p.persica_gdr_reftransV1_0022982","p.persica_gdr_reftransV1_0022982")</f>
        <v>p.persica_gdr_reftransV1_0022982</v>
      </c>
      <c r="B9564" s="2">
        <v>614</v>
      </c>
      <c r="C9564" s="4" t="str">
        <f>HYPERLINK("http://www.uniprot.org/uniprot/M5WA00","M5WA00")</f>
        <v>M5WA00</v>
      </c>
      <c r="D9564" s="2" t="s">
        <v>4176</v>
      </c>
      <c r="E9564" s="3">
        <v>2.6900000000000001E-137</v>
      </c>
      <c r="F9564" s="2">
        <v>1056</v>
      </c>
      <c r="G9564" s="2">
        <v>100</v>
      </c>
      <c r="H9564" s="2">
        <v>204</v>
      </c>
      <c r="I9564" s="2">
        <v>1</v>
      </c>
      <c r="J9564" s="2">
        <v>612</v>
      </c>
      <c r="K9564" s="2">
        <v>81</v>
      </c>
      <c r="L9564" s="2">
        <v>284</v>
      </c>
    </row>
    <row r="9565" spans="1:12" x14ac:dyDescent="0.25">
      <c r="A9565" s="4" t="str">
        <f>HYPERLINK("http://www.rosaceae.org/Prunus/Prunus_persica/p.persica_gdr_reftransV1_0026482","p.persica_gdr_reftransV1_0026482")</f>
        <v>p.persica_gdr_reftransV1_0026482</v>
      </c>
      <c r="B9565" s="2">
        <v>4983</v>
      </c>
      <c r="C9565" s="4" t="str">
        <f>HYPERLINK("http://www.uniprot.org/uniprot/M5X9T6","M5X9T6")</f>
        <v>M5X9T6</v>
      </c>
      <c r="D9565" s="2" t="s">
        <v>8282</v>
      </c>
      <c r="E9565" s="3">
        <v>0</v>
      </c>
      <c r="F9565" s="2">
        <v>2313</v>
      </c>
      <c r="G9565" s="2">
        <v>100</v>
      </c>
      <c r="H9565" s="2">
        <v>442</v>
      </c>
      <c r="I9565" s="2">
        <v>346</v>
      </c>
      <c r="J9565" s="2">
        <v>1671</v>
      </c>
      <c r="K9565" s="2">
        <v>7</v>
      </c>
      <c r="L9565" s="2">
        <v>448</v>
      </c>
    </row>
    <row r="9566" spans="1:12" x14ac:dyDescent="0.25">
      <c r="A9566" s="4" t="str">
        <f>HYPERLINK("http://www.rosaceae.org/Prunus/Prunus_persica/p.persica_gdr_reftransV1_0027182","p.persica_gdr_reftransV1_0027182")</f>
        <v>p.persica_gdr_reftransV1_0027182</v>
      </c>
      <c r="B9566" s="2">
        <v>991</v>
      </c>
      <c r="C9566" s="4" t="str">
        <f>HYPERLINK("http://www.uniprot.org/uniprot/I1MPU0","I1MPU0")</f>
        <v>I1MPU0</v>
      </c>
      <c r="D9566" s="2" t="s">
        <v>575</v>
      </c>
      <c r="E9566" s="3">
        <v>1.14E-7</v>
      </c>
      <c r="F9566" s="2">
        <v>142</v>
      </c>
      <c r="G9566" s="2">
        <v>94</v>
      </c>
      <c r="H9566" s="2">
        <v>31</v>
      </c>
      <c r="I9566" s="2">
        <v>792</v>
      </c>
      <c r="J9566" s="2">
        <v>884</v>
      </c>
      <c r="K9566" s="2">
        <v>1</v>
      </c>
      <c r="L9566" s="2">
        <v>31</v>
      </c>
    </row>
    <row r="9567" spans="1:12" x14ac:dyDescent="0.25">
      <c r="A9567" s="4" t="str">
        <f>HYPERLINK("http://www.rosaceae.org/Prunus/Prunus_persica/p.persica_gdr_reftransV1_0027532","p.persica_gdr_reftransV1_0027532")</f>
        <v>p.persica_gdr_reftransV1_0027532</v>
      </c>
      <c r="B9567" s="2">
        <v>3451</v>
      </c>
      <c r="C9567" s="4" t="str">
        <f>HYPERLINK("http://www.uniprot.org/uniprot/M5X0G6","M5X0G6")</f>
        <v>M5X0G6</v>
      </c>
      <c r="D9567" s="2" t="s">
        <v>8283</v>
      </c>
      <c r="E9567" s="3">
        <v>0</v>
      </c>
      <c r="F9567" s="2">
        <v>1856</v>
      </c>
      <c r="G9567" s="2">
        <v>100</v>
      </c>
      <c r="H9567" s="2">
        <v>352</v>
      </c>
      <c r="I9567" s="2">
        <v>1692</v>
      </c>
      <c r="J9567" s="2">
        <v>2747</v>
      </c>
      <c r="K9567" s="2">
        <v>1</v>
      </c>
      <c r="L9567" s="2">
        <v>352</v>
      </c>
    </row>
    <row r="9568" spans="1:12" x14ac:dyDescent="0.25">
      <c r="A9568" s="4" t="str">
        <f>HYPERLINK("http://www.rosaceae.org/Prunus/Prunus_persica/p.persica_gdr_reftransV1_0028582","p.persica_gdr_reftransV1_0028582")</f>
        <v>p.persica_gdr_reftransV1_0028582</v>
      </c>
      <c r="B9568" s="2">
        <v>2711</v>
      </c>
      <c r="C9568" s="4" t="str">
        <f>HYPERLINK("http://www.uniprot.org/uniprot/M5XC37","M5XC37")</f>
        <v>M5XC37</v>
      </c>
      <c r="D9568" s="2" t="s">
        <v>8284</v>
      </c>
      <c r="E9568" s="3">
        <v>0</v>
      </c>
      <c r="F9568" s="2">
        <v>2336</v>
      </c>
      <c r="G9568" s="2">
        <v>92</v>
      </c>
      <c r="H9568" s="2">
        <v>495</v>
      </c>
      <c r="I9568" s="2">
        <v>1012</v>
      </c>
      <c r="J9568" s="2">
        <v>2496</v>
      </c>
      <c r="K9568" s="2">
        <v>75</v>
      </c>
      <c r="L9568" s="2">
        <v>529</v>
      </c>
    </row>
    <row r="9569" spans="1:12" x14ac:dyDescent="0.25">
      <c r="A9569" s="4" t="str">
        <f>HYPERLINK("http://www.rosaceae.org/Prunus/Prunus_persica/p.persica_gdr_reftransV1_0028932","p.persica_gdr_reftransV1_0028932")</f>
        <v>p.persica_gdr_reftransV1_0028932</v>
      </c>
      <c r="B9569" s="2">
        <v>790</v>
      </c>
      <c r="C9569" s="4" t="str">
        <f>HYPERLINK("http://www.uniprot.org/uniprot/M5X218","M5X218")</f>
        <v>M5X218</v>
      </c>
      <c r="D9569" s="2" t="s">
        <v>8285</v>
      </c>
      <c r="E9569" s="3">
        <v>1.4100000000000001E-100</v>
      </c>
      <c r="F9569" s="2">
        <v>732</v>
      </c>
      <c r="G9569" s="2">
        <v>100</v>
      </c>
      <c r="H9569" s="2">
        <v>178</v>
      </c>
      <c r="I9569" s="2">
        <v>99</v>
      </c>
      <c r="J9569" s="2">
        <v>632</v>
      </c>
      <c r="K9569" s="2">
        <v>405</v>
      </c>
      <c r="L9569" s="2">
        <v>582</v>
      </c>
    </row>
    <row r="9570" spans="1:12" x14ac:dyDescent="0.25">
      <c r="A9570" s="4" t="str">
        <f>HYPERLINK("http://www.rosaceae.org/Prunus/Prunus_persica/p.persica_gdr_reftransV1_0029632","p.persica_gdr_reftransV1_0029632")</f>
        <v>p.persica_gdr_reftransV1_0029632</v>
      </c>
      <c r="B9570" s="2">
        <v>1822</v>
      </c>
      <c r="C9570" s="4" t="str">
        <f>HYPERLINK("http://www.uniprot.org/uniprot/M5WIF4","M5WIF4")</f>
        <v>M5WIF4</v>
      </c>
      <c r="D9570" s="2" t="s">
        <v>8085</v>
      </c>
      <c r="E9570" s="3">
        <v>0</v>
      </c>
      <c r="F9570" s="2">
        <v>1773</v>
      </c>
      <c r="G9570" s="2">
        <v>94</v>
      </c>
      <c r="H9570" s="2">
        <v>386</v>
      </c>
      <c r="I9570" s="2">
        <v>129</v>
      </c>
      <c r="J9570" s="2">
        <v>1286</v>
      </c>
      <c r="K9570" s="2">
        <v>1</v>
      </c>
      <c r="L9570" s="2">
        <v>371</v>
      </c>
    </row>
    <row r="9571" spans="1:12" x14ac:dyDescent="0.25">
      <c r="A9571" s="4" t="str">
        <f>HYPERLINK("http://www.rosaceae.org/Prunus/Prunus_persica/p.persica_gdr_reftransV1_0029982","p.persica_gdr_reftransV1_0029982")</f>
        <v>p.persica_gdr_reftransV1_0029982</v>
      </c>
      <c r="B9571" s="2">
        <v>3822</v>
      </c>
      <c r="C9571" s="4" t="str">
        <f>HYPERLINK("http://www.uniprot.org/uniprot/F6GU48","F6GU48")</f>
        <v>F6GU48</v>
      </c>
      <c r="D9571" s="2" t="s">
        <v>8286</v>
      </c>
      <c r="E9571" s="3">
        <v>4.0100000000000001E-179</v>
      </c>
      <c r="F9571" s="2">
        <v>1431</v>
      </c>
      <c r="G9571" s="2">
        <v>86</v>
      </c>
      <c r="H9571" s="2">
        <v>320</v>
      </c>
      <c r="I9571" s="2">
        <v>344</v>
      </c>
      <c r="J9571" s="2">
        <v>1300</v>
      </c>
      <c r="K9571" s="2">
        <v>325</v>
      </c>
      <c r="L9571" s="2">
        <v>644</v>
      </c>
    </row>
    <row r="9572" spans="1:12" x14ac:dyDescent="0.25">
      <c r="A9572" s="4" t="str">
        <f>HYPERLINK("http://www.rosaceae.org/Prunus/Prunus_persica/p.persica_gdr_reftransV1_0031382","p.persica_gdr_reftransV1_0031382")</f>
        <v>p.persica_gdr_reftransV1_0031382</v>
      </c>
      <c r="B9572" s="2">
        <v>4200</v>
      </c>
      <c r="C9572" s="4" t="str">
        <f>HYPERLINK("http://www.uniprot.org/uniprot/M5X602","M5X602")</f>
        <v>M5X602</v>
      </c>
      <c r="D9572" s="2" t="s">
        <v>8287</v>
      </c>
      <c r="E9572" s="3">
        <v>0</v>
      </c>
      <c r="F9572" s="2">
        <v>6348</v>
      </c>
      <c r="G9572" s="2">
        <v>100</v>
      </c>
      <c r="H9572" s="2">
        <v>1211</v>
      </c>
      <c r="I9572" s="2">
        <v>1</v>
      </c>
      <c r="J9572" s="2">
        <v>3633</v>
      </c>
      <c r="K9572" s="2">
        <v>1</v>
      </c>
      <c r="L9572" s="2">
        <v>1211</v>
      </c>
    </row>
    <row r="9573" spans="1:12" x14ac:dyDescent="0.25">
      <c r="A9573" s="4" t="str">
        <f>HYPERLINK("http://www.rosaceae.org/Prunus/Prunus_persica/p.persica_gdr_reftransV1_0032432","p.persica_gdr_reftransV1_0032432")</f>
        <v>p.persica_gdr_reftransV1_0032432</v>
      </c>
      <c r="B9573" s="2">
        <v>2669</v>
      </c>
      <c r="C9573" s="4" t="str">
        <f>HYPERLINK("http://www.uniprot.org/uniprot/M5XYU6","M5XYU6")</f>
        <v>M5XYU6</v>
      </c>
      <c r="D9573" s="2" t="s">
        <v>8288</v>
      </c>
      <c r="E9573" s="3">
        <v>1.9699999999999998E-93</v>
      </c>
      <c r="F9573" s="2">
        <v>788</v>
      </c>
      <c r="G9573" s="2">
        <v>99</v>
      </c>
      <c r="H9573" s="2">
        <v>151</v>
      </c>
      <c r="I9573" s="2">
        <v>404</v>
      </c>
      <c r="J9573" s="2">
        <v>856</v>
      </c>
      <c r="K9573" s="2">
        <v>146</v>
      </c>
      <c r="L9573" s="2">
        <v>295</v>
      </c>
    </row>
    <row r="9574" spans="1:12" x14ac:dyDescent="0.25">
      <c r="A9574" s="4" t="str">
        <f>HYPERLINK("http://www.rosaceae.org/Prunus/Prunus_persica/p.persica_gdr_reftransV1_0034182","p.persica_gdr_reftransV1_0034182")</f>
        <v>p.persica_gdr_reftransV1_0034182</v>
      </c>
      <c r="B9574" s="2">
        <v>1050</v>
      </c>
      <c r="C9574" s="4" t="str">
        <f>HYPERLINK("http://www.uniprot.org/uniprot/M5VKY1","M5VKY1")</f>
        <v>M5VKY1</v>
      </c>
      <c r="D9574" s="2" t="s">
        <v>8289</v>
      </c>
      <c r="E9574" s="3">
        <v>2.5899999999999998E-65</v>
      </c>
      <c r="F9574" s="2">
        <v>549</v>
      </c>
      <c r="G9574" s="2">
        <v>100</v>
      </c>
      <c r="H9574" s="2">
        <v>178</v>
      </c>
      <c r="I9574" s="2">
        <v>374</v>
      </c>
      <c r="J9574" s="2">
        <v>907</v>
      </c>
      <c r="K9574" s="2">
        <v>1</v>
      </c>
      <c r="L9574" s="2">
        <v>178</v>
      </c>
    </row>
    <row r="9575" spans="1:12" x14ac:dyDescent="0.25">
      <c r="A9575" s="4" t="str">
        <f>HYPERLINK("http://www.rosaceae.org/Prunus/Prunus_persica/p.persica_gdr_reftransV1_0035232","p.persica_gdr_reftransV1_0035232")</f>
        <v>p.persica_gdr_reftransV1_0035232</v>
      </c>
      <c r="B9575" s="2">
        <v>793</v>
      </c>
      <c r="C9575" s="4" t="str">
        <f>HYPERLINK("http://www.uniprot.org/uniprot/M5W1U5","M5W1U5")</f>
        <v>M5W1U5</v>
      </c>
      <c r="D9575" s="2" t="s">
        <v>8290</v>
      </c>
      <c r="E9575" s="3">
        <v>9.32E-26</v>
      </c>
      <c r="F9575" s="2">
        <v>270</v>
      </c>
      <c r="G9575" s="2">
        <v>100</v>
      </c>
      <c r="H9575" s="2">
        <v>120</v>
      </c>
      <c r="I9575" s="2">
        <v>260</v>
      </c>
      <c r="J9575" s="2">
        <v>619</v>
      </c>
      <c r="K9575" s="2">
        <v>1</v>
      </c>
      <c r="L9575" s="2">
        <v>120</v>
      </c>
    </row>
    <row r="9576" spans="1:12" x14ac:dyDescent="0.25">
      <c r="A9576" s="4" t="str">
        <f>HYPERLINK("http://www.rosaceae.org/Prunus/Prunus_persica/p.persica_gdr_reftransV1_0035582","p.persica_gdr_reftransV1_0035582")</f>
        <v>p.persica_gdr_reftransV1_0035582</v>
      </c>
      <c r="B9576" s="2">
        <v>2164</v>
      </c>
      <c r="C9576" s="4" t="str">
        <f>HYPERLINK("http://www.uniprot.org/uniprot/M5XFF3","M5XFF3")</f>
        <v>M5XFF3</v>
      </c>
      <c r="D9576" s="2" t="s">
        <v>8291</v>
      </c>
      <c r="E9576" s="3">
        <v>7.4699999999999997E-132</v>
      </c>
      <c r="F9576" s="2">
        <v>1039</v>
      </c>
      <c r="G9576" s="2">
        <v>100</v>
      </c>
      <c r="H9576" s="2">
        <v>194</v>
      </c>
      <c r="I9576" s="2">
        <v>43</v>
      </c>
      <c r="J9576" s="2">
        <v>624</v>
      </c>
      <c r="K9576" s="2">
        <v>1</v>
      </c>
      <c r="L9576" s="2">
        <v>194</v>
      </c>
    </row>
    <row r="9577" spans="1:12" x14ac:dyDescent="0.25">
      <c r="A9577" s="4" t="str">
        <f>HYPERLINK("http://www.rosaceae.org/Prunus/Prunus_persica/p.persica_gdr_reftransV1_0035932","p.persica_gdr_reftransV1_0035932")</f>
        <v>p.persica_gdr_reftransV1_0035932</v>
      </c>
      <c r="B9577" s="2">
        <v>3352</v>
      </c>
      <c r="C9577" s="4" t="str">
        <f>HYPERLINK("http://www.uniprot.org/uniprot/M5WNG3","M5WNG3")</f>
        <v>M5WNG3</v>
      </c>
      <c r="D9577" s="2" t="s">
        <v>7681</v>
      </c>
      <c r="E9577" s="3">
        <v>0</v>
      </c>
      <c r="F9577" s="2">
        <v>1742</v>
      </c>
      <c r="G9577" s="2">
        <v>100</v>
      </c>
      <c r="H9577" s="2">
        <v>443</v>
      </c>
      <c r="I9577" s="2">
        <v>99</v>
      </c>
      <c r="J9577" s="2">
        <v>1427</v>
      </c>
      <c r="K9577" s="2">
        <v>1</v>
      </c>
      <c r="L9577" s="2">
        <v>443</v>
      </c>
    </row>
    <row r="9578" spans="1:12" x14ac:dyDescent="0.25">
      <c r="A9578" s="4" t="str">
        <f>HYPERLINK("http://www.rosaceae.org/Prunus/Prunus_persica/p.persica_gdr_reftransV1_0036982","p.persica_gdr_reftransV1_0036982")</f>
        <v>p.persica_gdr_reftransV1_0036982</v>
      </c>
      <c r="B9578" s="2">
        <v>2314</v>
      </c>
      <c r="C9578" s="4" t="str">
        <f>HYPERLINK("http://www.uniprot.org/uniprot/M5W8L2","M5W8L2")</f>
        <v>M5W8L2</v>
      </c>
      <c r="D9578" s="2" t="s">
        <v>8292</v>
      </c>
      <c r="E9578" s="3">
        <v>0</v>
      </c>
      <c r="F9578" s="2">
        <v>2197</v>
      </c>
      <c r="G9578" s="2">
        <v>100</v>
      </c>
      <c r="H9578" s="2">
        <v>525</v>
      </c>
      <c r="I9578" s="2">
        <v>523</v>
      </c>
      <c r="J9578" s="2">
        <v>2097</v>
      </c>
      <c r="K9578" s="2">
        <v>1</v>
      </c>
      <c r="L9578" s="2">
        <v>525</v>
      </c>
    </row>
    <row r="9579" spans="1:12" x14ac:dyDescent="0.25">
      <c r="A9579" s="4" t="str">
        <f>HYPERLINK("http://www.rosaceae.org/Prunus/Prunus_persica/p.persica_gdr_reftransV1_0037332","p.persica_gdr_reftransV1_0037332")</f>
        <v>p.persica_gdr_reftransV1_0037332</v>
      </c>
      <c r="B9579" s="2">
        <v>496</v>
      </c>
      <c r="C9579" s="4" t="str">
        <f>HYPERLINK("http://www.uniprot.org/uniprot/M5Y404","M5Y404")</f>
        <v>M5Y404</v>
      </c>
      <c r="D9579" s="2" t="s">
        <v>8293</v>
      </c>
      <c r="E9579" s="3">
        <v>5.8700000000000002E-92</v>
      </c>
      <c r="F9579" s="2">
        <v>760</v>
      </c>
      <c r="G9579" s="2">
        <v>100</v>
      </c>
      <c r="H9579" s="2">
        <v>142</v>
      </c>
      <c r="I9579" s="2">
        <v>3</v>
      </c>
      <c r="J9579" s="2">
        <v>428</v>
      </c>
      <c r="K9579" s="2">
        <v>1</v>
      </c>
      <c r="L9579" s="2">
        <v>142</v>
      </c>
    </row>
    <row r="9580" spans="1:12" x14ac:dyDescent="0.25">
      <c r="A9580" s="4" t="str">
        <f>HYPERLINK("http://www.rosaceae.org/Prunus/Prunus_persica/p.persica_gdr_reftransV1_0038382","p.persica_gdr_reftransV1_0038382")</f>
        <v>p.persica_gdr_reftransV1_0038382</v>
      </c>
      <c r="B9580" s="2">
        <v>1450</v>
      </c>
      <c r="C9580" s="4" t="str">
        <f>HYPERLINK("http://www.uniprot.org/uniprot/C6GFP7","C6GFP7")</f>
        <v>C6GFP7</v>
      </c>
      <c r="D9580" s="2" t="s">
        <v>8294</v>
      </c>
      <c r="E9580" s="3">
        <v>9.4000000000000002E-138</v>
      </c>
      <c r="F9580" s="2">
        <v>1131</v>
      </c>
      <c r="G9580" s="2">
        <v>70</v>
      </c>
      <c r="H9580" s="2">
        <v>302</v>
      </c>
      <c r="I9580" s="2">
        <v>544</v>
      </c>
      <c r="J9580" s="2">
        <v>1446</v>
      </c>
      <c r="K9580" s="2">
        <v>846</v>
      </c>
      <c r="L9580" s="2">
        <v>1147</v>
      </c>
    </row>
    <row r="9581" spans="1:12" x14ac:dyDescent="0.25">
      <c r="A9581" s="4" t="str">
        <f>HYPERLINK("http://www.rosaceae.org/Prunus/Prunus_persica/p.persica_gdr_reftransV1_0040132","p.persica_gdr_reftransV1_0040132")</f>
        <v>p.persica_gdr_reftransV1_0040132</v>
      </c>
      <c r="B9581" s="2">
        <v>3500</v>
      </c>
      <c r="C9581" s="4" t="str">
        <f>HYPERLINK("http://www.uniprot.org/uniprot/M5W5A0","M5W5A0")</f>
        <v>M5W5A0</v>
      </c>
      <c r="D9581" s="2" t="s">
        <v>8295</v>
      </c>
      <c r="E9581" s="3">
        <v>0</v>
      </c>
      <c r="F9581" s="2">
        <v>2910</v>
      </c>
      <c r="G9581" s="2">
        <v>94</v>
      </c>
      <c r="H9581" s="2">
        <v>591</v>
      </c>
      <c r="I9581" s="2">
        <v>151</v>
      </c>
      <c r="J9581" s="2">
        <v>1920</v>
      </c>
      <c r="K9581" s="2">
        <v>1</v>
      </c>
      <c r="L9581" s="2">
        <v>564</v>
      </c>
    </row>
    <row r="9582" spans="1:12" x14ac:dyDescent="0.25">
      <c r="A9582" s="4" t="str">
        <f>HYPERLINK("http://www.rosaceae.org/Prunus/Prunus_persica/p.persica_gdr_reftransV1_0041532","p.persica_gdr_reftransV1_0041532")</f>
        <v>p.persica_gdr_reftransV1_0041532</v>
      </c>
      <c r="B9582" s="2">
        <v>2479</v>
      </c>
      <c r="C9582" s="4" t="str">
        <f>HYPERLINK("http://www.uniprot.org/uniprot/M5WLC4","M5WLC4")</f>
        <v>M5WLC4</v>
      </c>
      <c r="D9582" s="2" t="s">
        <v>8296</v>
      </c>
      <c r="E9582" s="3">
        <v>0</v>
      </c>
      <c r="F9582" s="2">
        <v>3988</v>
      </c>
      <c r="G9582" s="2">
        <v>100</v>
      </c>
      <c r="H9582" s="2">
        <v>738</v>
      </c>
      <c r="I9582" s="2">
        <v>245</v>
      </c>
      <c r="J9582" s="2">
        <v>2458</v>
      </c>
      <c r="K9582" s="2">
        <v>1</v>
      </c>
      <c r="L9582" s="2">
        <v>738</v>
      </c>
    </row>
    <row r="9583" spans="1:12" x14ac:dyDescent="0.25">
      <c r="A9583" s="4" t="str">
        <f>HYPERLINK("http://www.rosaceae.org/Prunus/Prunus_persica/p.persica_gdr_reftransV1_0041882","p.persica_gdr_reftransV1_0041882")</f>
        <v>p.persica_gdr_reftransV1_0041882</v>
      </c>
      <c r="B9583" s="2">
        <v>3578</v>
      </c>
      <c r="C9583" s="4" t="str">
        <f>HYPERLINK("http://www.uniprot.org/uniprot/M5XA88","M5XA88")</f>
        <v>M5XA88</v>
      </c>
      <c r="D9583" s="2" t="s">
        <v>8297</v>
      </c>
      <c r="E9583" s="3">
        <v>1.47E-180</v>
      </c>
      <c r="F9583" s="2">
        <v>1418</v>
      </c>
      <c r="G9583" s="2">
        <v>98</v>
      </c>
      <c r="H9583" s="2">
        <v>288</v>
      </c>
      <c r="I9583" s="2">
        <v>2341</v>
      </c>
      <c r="J9583" s="2">
        <v>3204</v>
      </c>
      <c r="K9583" s="2">
        <v>180</v>
      </c>
      <c r="L9583" s="2">
        <v>467</v>
      </c>
    </row>
    <row r="9584" spans="1:12" x14ac:dyDescent="0.25">
      <c r="A9584" s="4" t="str">
        <f>HYPERLINK("http://www.rosaceae.org/Prunus/Prunus_persica/p.persica_gdr_reftransV1_0043282","p.persica_gdr_reftransV1_0043282")</f>
        <v>p.persica_gdr_reftransV1_0043282</v>
      </c>
      <c r="B9584" s="2">
        <v>2172</v>
      </c>
      <c r="C9584" s="4" t="str">
        <f>HYPERLINK("http://www.uniprot.org/uniprot/M5VTC6","M5VTC6")</f>
        <v>M5VTC6</v>
      </c>
      <c r="D9584" s="2" t="s">
        <v>8298</v>
      </c>
      <c r="E9584" s="3">
        <v>0</v>
      </c>
      <c r="F9584" s="2">
        <v>3196</v>
      </c>
      <c r="G9584" s="2">
        <v>100</v>
      </c>
      <c r="H9584" s="2">
        <v>611</v>
      </c>
      <c r="I9584" s="2">
        <v>144</v>
      </c>
      <c r="J9584" s="2">
        <v>1976</v>
      </c>
      <c r="K9584" s="2">
        <v>1</v>
      </c>
      <c r="L9584" s="2">
        <v>611</v>
      </c>
    </row>
    <row r="9585" spans="1:12" x14ac:dyDescent="0.25">
      <c r="A9585" s="4" t="str">
        <f>HYPERLINK("http://www.rosaceae.org/Prunus/Prunus_persica/p.persica_gdr_reftransV1_0043982","p.persica_gdr_reftransV1_0043982")</f>
        <v>p.persica_gdr_reftransV1_0043982</v>
      </c>
      <c r="B9585" s="2">
        <v>568</v>
      </c>
      <c r="C9585" s="4" t="str">
        <f>HYPERLINK("http://www.uniprot.org/uniprot/M5X4R2","M5X4R2")</f>
        <v>M5X4R2</v>
      </c>
      <c r="D9585" s="2" t="s">
        <v>8299</v>
      </c>
      <c r="E9585" s="3">
        <v>6.4800000000000002E-137</v>
      </c>
      <c r="F9585" s="2">
        <v>1010</v>
      </c>
      <c r="G9585" s="2">
        <v>100</v>
      </c>
      <c r="H9585" s="2">
        <v>186</v>
      </c>
      <c r="I9585" s="2">
        <v>11</v>
      </c>
      <c r="J9585" s="2">
        <v>568</v>
      </c>
      <c r="K9585" s="2">
        <v>1</v>
      </c>
      <c r="L9585" s="2">
        <v>186</v>
      </c>
    </row>
    <row r="9586" spans="1:12" x14ac:dyDescent="0.25">
      <c r="A9586" s="4" t="str">
        <f>HYPERLINK("http://www.rosaceae.org/Prunus/Prunus_persica/p.persica_gdr_reftransV1_0044332","p.persica_gdr_reftransV1_0044332")</f>
        <v>p.persica_gdr_reftransV1_0044332</v>
      </c>
      <c r="B9586" s="2">
        <v>2714</v>
      </c>
      <c r="C9586" s="4" t="str">
        <f>HYPERLINK("http://www.uniprot.org/uniprot/M5WLI3","M5WLI3")</f>
        <v>M5WLI3</v>
      </c>
      <c r="D9586" s="2" t="s">
        <v>8300</v>
      </c>
      <c r="E9586" s="3">
        <v>0</v>
      </c>
      <c r="F9586" s="2">
        <v>1498</v>
      </c>
      <c r="G9586" s="2">
        <v>100</v>
      </c>
      <c r="H9586" s="2">
        <v>281</v>
      </c>
      <c r="I9586" s="2">
        <v>1720</v>
      </c>
      <c r="J9586" s="2">
        <v>2562</v>
      </c>
      <c r="K9586" s="2">
        <v>22</v>
      </c>
      <c r="L9586" s="2">
        <v>302</v>
      </c>
    </row>
    <row r="9587" spans="1:12" x14ac:dyDescent="0.25">
      <c r="A9587" s="4" t="str">
        <f>HYPERLINK("http://www.rosaceae.org/Prunus/Prunus_persica/p.persica_gdr_reftransV1_0044682","p.persica_gdr_reftransV1_0044682")</f>
        <v>p.persica_gdr_reftransV1_0044682</v>
      </c>
      <c r="B9587" s="2">
        <v>456</v>
      </c>
      <c r="C9587" s="4" t="str">
        <f>HYPERLINK("http://www.uniprot.org/uniprot/M5X1D3","M5X1D3")</f>
        <v>M5X1D3</v>
      </c>
      <c r="D9587" s="2" t="s">
        <v>4253</v>
      </c>
      <c r="E9587" s="3">
        <v>3.2799999999999998E-85</v>
      </c>
      <c r="F9587" s="2">
        <v>695</v>
      </c>
      <c r="G9587" s="2">
        <v>98</v>
      </c>
      <c r="H9587" s="2">
        <v>137</v>
      </c>
      <c r="I9587" s="2">
        <v>30</v>
      </c>
      <c r="J9587" s="2">
        <v>440</v>
      </c>
      <c r="K9587" s="2">
        <v>411</v>
      </c>
      <c r="L9587" s="2">
        <v>547</v>
      </c>
    </row>
    <row r="9588" spans="1:12" x14ac:dyDescent="0.25">
      <c r="A9588" s="4" t="str">
        <f>HYPERLINK("http://www.rosaceae.org/Prunus/Prunus_persica/p.persica_gdr_reftransV1_0045382","p.persica_gdr_reftransV1_0045382")</f>
        <v>p.persica_gdr_reftransV1_0045382</v>
      </c>
      <c r="B9588" s="2">
        <v>738</v>
      </c>
      <c r="C9588" s="4" t="str">
        <f>HYPERLINK("http://www.uniprot.org/uniprot/M5WR55","M5WR55")</f>
        <v>M5WR55</v>
      </c>
      <c r="D9588" s="2" t="s">
        <v>8301</v>
      </c>
      <c r="E9588" s="3">
        <v>1.9199999999999999E-123</v>
      </c>
      <c r="F9588" s="2">
        <v>942</v>
      </c>
      <c r="G9588" s="2">
        <v>100</v>
      </c>
      <c r="H9588" s="2">
        <v>173</v>
      </c>
      <c r="I9588" s="2">
        <v>220</v>
      </c>
      <c r="J9588" s="2">
        <v>738</v>
      </c>
      <c r="K9588" s="2">
        <v>53</v>
      </c>
      <c r="L9588" s="2">
        <v>225</v>
      </c>
    </row>
    <row r="9589" spans="1:12" x14ac:dyDescent="0.25">
      <c r="A9589" s="4" t="str">
        <f>HYPERLINK("http://www.rosaceae.org/Prunus/Prunus_persica/p.persica_gdr_reftransV1_0045732","p.persica_gdr_reftransV1_0045732")</f>
        <v>p.persica_gdr_reftransV1_0045732</v>
      </c>
      <c r="B9589" s="2">
        <v>2070</v>
      </c>
      <c r="C9589" s="4" t="str">
        <f>HYPERLINK("http://www.uniprot.org/uniprot/M5XEY7","M5XEY7")</f>
        <v>M5XEY7</v>
      </c>
      <c r="D9589" s="2" t="s">
        <v>7674</v>
      </c>
      <c r="E9589" s="3">
        <v>0</v>
      </c>
      <c r="F9589" s="2">
        <v>3020</v>
      </c>
      <c r="G9589" s="2">
        <v>100</v>
      </c>
      <c r="H9589" s="2">
        <v>576</v>
      </c>
      <c r="I9589" s="2">
        <v>211</v>
      </c>
      <c r="J9589" s="2">
        <v>1938</v>
      </c>
      <c r="K9589" s="2">
        <v>1</v>
      </c>
      <c r="L9589" s="2">
        <v>576</v>
      </c>
    </row>
    <row r="9590" spans="1:12" x14ac:dyDescent="0.25">
      <c r="A9590" s="4" t="str">
        <f>HYPERLINK("http://www.rosaceae.org/Prunus/Prunus_persica/p.persica_gdr_reftransV1_0046082","p.persica_gdr_reftransV1_0046082")</f>
        <v>p.persica_gdr_reftransV1_0046082</v>
      </c>
      <c r="B9590" s="2">
        <v>779</v>
      </c>
      <c r="C9590" s="4" t="str">
        <f>HYPERLINK("http://www.uniprot.org/uniprot/M5WEU8","M5WEU8")</f>
        <v>M5WEU8</v>
      </c>
      <c r="D9590" s="2" t="s">
        <v>8302</v>
      </c>
      <c r="E9590" s="3">
        <v>3.7E-38</v>
      </c>
      <c r="F9590" s="2">
        <v>353</v>
      </c>
      <c r="G9590" s="2">
        <v>100</v>
      </c>
      <c r="H9590" s="2">
        <v>81</v>
      </c>
      <c r="I9590" s="2">
        <v>182</v>
      </c>
      <c r="J9590" s="2">
        <v>424</v>
      </c>
      <c r="K9590" s="2">
        <v>25</v>
      </c>
      <c r="L9590" s="2">
        <v>105</v>
      </c>
    </row>
    <row r="9591" spans="1:12" x14ac:dyDescent="0.25">
      <c r="A9591" s="4" t="str">
        <f>HYPERLINK("http://www.rosaceae.org/Prunus/Prunus_persica/p.persica_gdr_reftransV1_0046432","p.persica_gdr_reftransV1_0046432")</f>
        <v>p.persica_gdr_reftransV1_0046432</v>
      </c>
      <c r="B9591" s="2">
        <v>2094</v>
      </c>
      <c r="C9591" s="4" t="str">
        <f>HYPERLINK("http://www.uniprot.org/uniprot/M5W787","M5W787")</f>
        <v>M5W787</v>
      </c>
      <c r="D9591" s="2" t="s">
        <v>1267</v>
      </c>
      <c r="E9591" s="3">
        <v>0</v>
      </c>
      <c r="F9591" s="2">
        <v>2997</v>
      </c>
      <c r="G9591" s="2">
        <v>100</v>
      </c>
      <c r="H9591" s="2">
        <v>622</v>
      </c>
      <c r="I9591" s="2">
        <v>154</v>
      </c>
      <c r="J9591" s="2">
        <v>2019</v>
      </c>
      <c r="K9591" s="2">
        <v>1</v>
      </c>
      <c r="L9591" s="2">
        <v>622</v>
      </c>
    </row>
    <row r="9592" spans="1:12" x14ac:dyDescent="0.25">
      <c r="A9592" s="4" t="str">
        <f>HYPERLINK("http://www.rosaceae.org/Prunus/Prunus_persica/p.persica_gdr_reftransV1_0046782","p.persica_gdr_reftransV1_0046782")</f>
        <v>p.persica_gdr_reftransV1_0046782</v>
      </c>
      <c r="B9592" s="2">
        <v>1442</v>
      </c>
      <c r="C9592" s="4" t="str">
        <f>HYPERLINK("http://www.uniprot.org/uniprot/M5XRD2","M5XRD2")</f>
        <v>M5XRD2</v>
      </c>
      <c r="D9592" s="2" t="s">
        <v>5620</v>
      </c>
      <c r="E9592" s="3">
        <v>0</v>
      </c>
      <c r="F9592" s="2">
        <v>1788</v>
      </c>
      <c r="G9592" s="2">
        <v>98</v>
      </c>
      <c r="H9592" s="2">
        <v>359</v>
      </c>
      <c r="I9592" s="2">
        <v>1</v>
      </c>
      <c r="J9592" s="2">
        <v>1074</v>
      </c>
      <c r="K9592" s="2">
        <v>325</v>
      </c>
      <c r="L9592" s="2">
        <v>683</v>
      </c>
    </row>
    <row r="9593" spans="1:12" x14ac:dyDescent="0.25">
      <c r="A9593" s="4" t="str">
        <f>HYPERLINK("http://www.rosaceae.org/Prunus/Prunus_persica/p.persica_gdr_reftransV1_0047132","p.persica_gdr_reftransV1_0047132")</f>
        <v>p.persica_gdr_reftransV1_0047132</v>
      </c>
      <c r="B9593" s="2">
        <v>513</v>
      </c>
      <c r="C9593" s="4" t="str">
        <f>HYPERLINK("http://www.uniprot.org/uniprot/M5XN33","M5XN33")</f>
        <v>M5XN33</v>
      </c>
      <c r="D9593" s="2" t="s">
        <v>8303</v>
      </c>
      <c r="E9593" s="3">
        <v>7.7499999999999999E-90</v>
      </c>
      <c r="F9593" s="2">
        <v>691</v>
      </c>
      <c r="G9593" s="2">
        <v>100</v>
      </c>
      <c r="H9593" s="2">
        <v>129</v>
      </c>
      <c r="I9593" s="2">
        <v>3</v>
      </c>
      <c r="J9593" s="2">
        <v>389</v>
      </c>
      <c r="K9593" s="2">
        <v>16</v>
      </c>
      <c r="L9593" s="2">
        <v>144</v>
      </c>
    </row>
    <row r="9594" spans="1:12" x14ac:dyDescent="0.25">
      <c r="A9594" s="4" t="str">
        <f>HYPERLINK("http://www.rosaceae.org/Prunus/Prunus_persica/p.persica_gdr_reftransV1_0047482","p.persica_gdr_reftransV1_0047482")</f>
        <v>p.persica_gdr_reftransV1_0047482</v>
      </c>
      <c r="B9594" s="2">
        <v>922</v>
      </c>
      <c r="C9594" s="4" t="str">
        <f>HYPERLINK("http://www.uniprot.org/uniprot/M5WR57","M5WR57")</f>
        <v>M5WR57</v>
      </c>
      <c r="D9594" s="2" t="s">
        <v>3161</v>
      </c>
      <c r="E9594" s="3">
        <v>0</v>
      </c>
      <c r="F9594" s="2">
        <v>1444</v>
      </c>
      <c r="G9594" s="2">
        <v>100</v>
      </c>
      <c r="H9594" s="2">
        <v>268</v>
      </c>
      <c r="I9594" s="2">
        <v>119</v>
      </c>
      <c r="J9594" s="2">
        <v>922</v>
      </c>
      <c r="K9594" s="2">
        <v>708</v>
      </c>
      <c r="L9594" s="2">
        <v>975</v>
      </c>
    </row>
    <row r="9595" spans="1:12" x14ac:dyDescent="0.25">
      <c r="A9595" s="4" t="str">
        <f>HYPERLINK("http://www.rosaceae.org/Prunus/Prunus_persica/p.persica_gdr_reftransV1_0048182","p.persica_gdr_reftransV1_0048182")</f>
        <v>p.persica_gdr_reftransV1_0048182</v>
      </c>
      <c r="B9595" s="2">
        <v>2049</v>
      </c>
      <c r="C9595" s="4" t="str">
        <f>HYPERLINK("http://www.uniprot.org/uniprot/M5XCZ6","M5XCZ6")</f>
        <v>M5XCZ6</v>
      </c>
      <c r="D9595" s="2" t="s">
        <v>7022</v>
      </c>
      <c r="E9595" s="3">
        <v>0</v>
      </c>
      <c r="F9595" s="2">
        <v>2413</v>
      </c>
      <c r="G9595" s="2">
        <v>100</v>
      </c>
      <c r="H9595" s="2">
        <v>485</v>
      </c>
      <c r="I9595" s="2">
        <v>92</v>
      </c>
      <c r="J9595" s="2">
        <v>1546</v>
      </c>
      <c r="K9595" s="2">
        <v>1</v>
      </c>
      <c r="L9595" s="2">
        <v>485</v>
      </c>
    </row>
    <row r="9596" spans="1:12" x14ac:dyDescent="0.25">
      <c r="A9596" s="4" t="str">
        <f>HYPERLINK("http://www.rosaceae.org/Prunus/Prunus_persica/p.persica_gdr_reftransV1_0048532","p.persica_gdr_reftransV1_0048532")</f>
        <v>p.persica_gdr_reftransV1_0048532</v>
      </c>
      <c r="B9596" s="2">
        <v>2381</v>
      </c>
      <c r="C9596" s="4" t="str">
        <f>HYPERLINK("http://www.uniprot.org/uniprot/M5VIU3","M5VIU3")</f>
        <v>M5VIU3</v>
      </c>
      <c r="D9596" s="2" t="s">
        <v>7484</v>
      </c>
      <c r="E9596" s="3">
        <v>0</v>
      </c>
      <c r="F9596" s="2">
        <v>3205</v>
      </c>
      <c r="G9596" s="2">
        <v>100</v>
      </c>
      <c r="H9596" s="2">
        <v>597</v>
      </c>
      <c r="I9596" s="2">
        <v>423</v>
      </c>
      <c r="J9596" s="2">
        <v>2213</v>
      </c>
      <c r="K9596" s="2">
        <v>1</v>
      </c>
      <c r="L9596" s="2">
        <v>597</v>
      </c>
    </row>
    <row r="9597" spans="1:12" x14ac:dyDescent="0.25">
      <c r="A9597" s="4" t="str">
        <f>HYPERLINK("http://www.rosaceae.org/Prunus/Prunus_persica/p.persica_gdr_reftransV1_0000233","p.persica_gdr_reftransV1_0000233")</f>
        <v>p.persica_gdr_reftransV1_0000233</v>
      </c>
      <c r="B9597" s="2">
        <v>1008</v>
      </c>
      <c r="C9597" s="4" t="str">
        <f>HYPERLINK("http://www.uniprot.org/uniprot/M5X0Y9","M5X0Y9")</f>
        <v>M5X0Y9</v>
      </c>
      <c r="D9597" s="2" t="s">
        <v>8304</v>
      </c>
      <c r="E9597" s="3">
        <v>2.4899999999999999E-56</v>
      </c>
      <c r="F9597" s="2">
        <v>485</v>
      </c>
      <c r="G9597" s="2">
        <v>100</v>
      </c>
      <c r="H9597" s="2">
        <v>152</v>
      </c>
      <c r="I9597" s="2">
        <v>68</v>
      </c>
      <c r="J9597" s="2">
        <v>523</v>
      </c>
      <c r="K9597" s="2">
        <v>1</v>
      </c>
      <c r="L9597" s="2">
        <v>152</v>
      </c>
    </row>
    <row r="9598" spans="1:12" x14ac:dyDescent="0.25">
      <c r="A9598" s="4" t="str">
        <f>HYPERLINK("http://www.rosaceae.org/Prunus/Prunus_persica/p.persica_gdr_reftransV1_0000583","p.persica_gdr_reftransV1_0000583")</f>
        <v>p.persica_gdr_reftransV1_0000583</v>
      </c>
      <c r="B9598" s="2">
        <v>1747</v>
      </c>
      <c r="C9598" s="4" t="str">
        <f>HYPERLINK("http://www.uniprot.org/uniprot/B9VQ36","B9VQ36")</f>
        <v>B9VQ36</v>
      </c>
      <c r="D9598" s="2" t="s">
        <v>8305</v>
      </c>
      <c r="E9598" s="3">
        <v>0</v>
      </c>
      <c r="F9598" s="2">
        <v>1854</v>
      </c>
      <c r="G9598" s="2">
        <v>75</v>
      </c>
      <c r="H9598" s="2">
        <v>464</v>
      </c>
      <c r="I9598" s="2">
        <v>264</v>
      </c>
      <c r="J9598" s="2">
        <v>1655</v>
      </c>
      <c r="K9598" s="2">
        <v>21</v>
      </c>
      <c r="L9598" s="2">
        <v>454</v>
      </c>
    </row>
    <row r="9599" spans="1:12" x14ac:dyDescent="0.25">
      <c r="A9599" s="4" t="str">
        <f>HYPERLINK("http://www.rosaceae.org/Prunus/Prunus_persica/p.persica_gdr_reftransV1_0001633","p.persica_gdr_reftransV1_0001633")</f>
        <v>p.persica_gdr_reftransV1_0001633</v>
      </c>
      <c r="B9599" s="2">
        <v>1977</v>
      </c>
      <c r="C9599" s="4" t="str">
        <f>HYPERLINK("http://www.uniprot.org/uniprot/M5W9T0","M5W9T0")</f>
        <v>M5W9T0</v>
      </c>
      <c r="D9599" s="2" t="s">
        <v>8306</v>
      </c>
      <c r="E9599" s="3">
        <v>0</v>
      </c>
      <c r="F9599" s="2">
        <v>1854</v>
      </c>
      <c r="G9599" s="2">
        <v>100</v>
      </c>
      <c r="H9599" s="2">
        <v>340</v>
      </c>
      <c r="I9599" s="2">
        <v>849</v>
      </c>
      <c r="J9599" s="2">
        <v>1868</v>
      </c>
      <c r="K9599" s="2">
        <v>1</v>
      </c>
      <c r="L9599" s="2">
        <v>340</v>
      </c>
    </row>
    <row r="9600" spans="1:12" x14ac:dyDescent="0.25">
      <c r="A9600" s="4" t="str">
        <f>HYPERLINK("http://www.rosaceae.org/Prunus/Prunus_persica/p.persica_gdr_reftransV1_0001983","p.persica_gdr_reftransV1_0001983")</f>
        <v>p.persica_gdr_reftransV1_0001983</v>
      </c>
      <c r="B9600" s="2">
        <v>308</v>
      </c>
      <c r="C9600" s="4" t="str">
        <f>HYPERLINK("http://www.uniprot.org/uniprot/M5X4P8","M5X4P8")</f>
        <v>M5X4P8</v>
      </c>
      <c r="D9600" s="2" t="s">
        <v>8307</v>
      </c>
      <c r="E9600" s="3">
        <v>9.9600000000000005E-45</v>
      </c>
      <c r="F9600" s="2">
        <v>407</v>
      </c>
      <c r="G9600" s="2">
        <v>100</v>
      </c>
      <c r="H9600" s="2">
        <v>80</v>
      </c>
      <c r="I9600" s="2">
        <v>2</v>
      </c>
      <c r="J9600" s="2">
        <v>241</v>
      </c>
      <c r="K9600" s="2">
        <v>1</v>
      </c>
      <c r="L9600" s="2">
        <v>80</v>
      </c>
    </row>
    <row r="9601" spans="1:12" x14ac:dyDescent="0.25">
      <c r="A9601" s="4" t="str">
        <f>HYPERLINK("http://www.rosaceae.org/Prunus/Prunus_persica/p.persica_gdr_reftransV1_0002333","p.persica_gdr_reftransV1_0002333")</f>
        <v>p.persica_gdr_reftransV1_0002333</v>
      </c>
      <c r="B9601" s="2">
        <v>3971</v>
      </c>
      <c r="C9601" s="4" t="str">
        <f>HYPERLINK("http://www.uniprot.org/uniprot/M5WCC5","M5WCC5")</f>
        <v>M5WCC5</v>
      </c>
      <c r="D9601" s="2" t="s">
        <v>4579</v>
      </c>
      <c r="E9601" s="3">
        <v>0</v>
      </c>
      <c r="F9601" s="2">
        <v>5137</v>
      </c>
      <c r="G9601" s="2">
        <v>97</v>
      </c>
      <c r="H9601" s="2">
        <v>1083</v>
      </c>
      <c r="I9601" s="2">
        <v>147</v>
      </c>
      <c r="J9601" s="2">
        <v>3395</v>
      </c>
      <c r="K9601" s="2">
        <v>1</v>
      </c>
      <c r="L9601" s="2">
        <v>1077</v>
      </c>
    </row>
    <row r="9602" spans="1:12" x14ac:dyDescent="0.25">
      <c r="A9602" s="4" t="str">
        <f>HYPERLINK("http://www.rosaceae.org/Prunus/Prunus_persica/p.persica_gdr_reftransV1_0002683","p.persica_gdr_reftransV1_0002683")</f>
        <v>p.persica_gdr_reftransV1_0002683</v>
      </c>
      <c r="B9602" s="2">
        <v>4990</v>
      </c>
      <c r="C9602" s="4" t="str">
        <f>HYPERLINK("http://www.uniprot.org/uniprot/W9S0N5","W9S0N5")</f>
        <v>W9S0N5</v>
      </c>
      <c r="D9602" s="2" t="s">
        <v>8308</v>
      </c>
      <c r="E9602" s="3">
        <v>0</v>
      </c>
      <c r="F9602" s="2">
        <v>1475</v>
      </c>
      <c r="G9602" s="2">
        <v>83</v>
      </c>
      <c r="H9602" s="2">
        <v>315</v>
      </c>
      <c r="I9602" s="2">
        <v>3596</v>
      </c>
      <c r="J9602" s="2">
        <v>4540</v>
      </c>
      <c r="K9602" s="2">
        <v>136</v>
      </c>
      <c r="L9602" s="2">
        <v>450</v>
      </c>
    </row>
    <row r="9603" spans="1:12" x14ac:dyDescent="0.25">
      <c r="A9603" s="4" t="str">
        <f>HYPERLINK("http://www.rosaceae.org/Prunus/Prunus_persica/p.persica_gdr_reftransV1_0003033","p.persica_gdr_reftransV1_0003033")</f>
        <v>p.persica_gdr_reftransV1_0003033</v>
      </c>
      <c r="B9603" s="2">
        <v>571</v>
      </c>
      <c r="C9603" s="4" t="str">
        <f>HYPERLINK("http://www.uniprot.org/uniprot/M5X6G6","M5X6G6")</f>
        <v>M5X6G6</v>
      </c>
      <c r="D9603" s="2" t="s">
        <v>8309</v>
      </c>
      <c r="E9603" s="3">
        <v>2.6500000000000002E-112</v>
      </c>
      <c r="F9603" s="2">
        <v>860</v>
      </c>
      <c r="G9603" s="2">
        <v>99</v>
      </c>
      <c r="H9603" s="2">
        <v>165</v>
      </c>
      <c r="I9603" s="2">
        <v>2</v>
      </c>
      <c r="J9603" s="2">
        <v>496</v>
      </c>
      <c r="K9603" s="2">
        <v>1</v>
      </c>
      <c r="L9603" s="2">
        <v>165</v>
      </c>
    </row>
    <row r="9604" spans="1:12" x14ac:dyDescent="0.25">
      <c r="A9604" s="4" t="str">
        <f>HYPERLINK("http://www.rosaceae.org/Prunus/Prunus_persica/p.persica_gdr_reftransV1_0004433","p.persica_gdr_reftransV1_0004433")</f>
        <v>p.persica_gdr_reftransV1_0004433</v>
      </c>
      <c r="B9604" s="2">
        <v>1581</v>
      </c>
      <c r="C9604" s="4" t="str">
        <f>HYPERLINK("http://www.uniprot.org/uniprot/M5W8H8","M5W8H8")</f>
        <v>M5W8H8</v>
      </c>
      <c r="D9604" s="2" t="s">
        <v>8310</v>
      </c>
      <c r="E9604" s="3">
        <v>0</v>
      </c>
      <c r="F9604" s="2">
        <v>1946</v>
      </c>
      <c r="G9604" s="2">
        <v>100</v>
      </c>
      <c r="H9604" s="2">
        <v>375</v>
      </c>
      <c r="I9604" s="2">
        <v>274</v>
      </c>
      <c r="J9604" s="2">
        <v>1398</v>
      </c>
      <c r="K9604" s="2">
        <v>1</v>
      </c>
      <c r="L9604" s="2">
        <v>375</v>
      </c>
    </row>
    <row r="9605" spans="1:12" x14ac:dyDescent="0.25">
      <c r="A9605" s="4" t="str">
        <f>HYPERLINK("http://www.rosaceae.org/Prunus/Prunus_persica/p.persica_gdr_reftransV1_0005133","p.persica_gdr_reftransV1_0005133")</f>
        <v>p.persica_gdr_reftransV1_0005133</v>
      </c>
      <c r="B9605" s="2">
        <v>1706</v>
      </c>
      <c r="C9605" s="4" t="str">
        <f>HYPERLINK("http://www.uniprot.org/uniprot/M5W4L4","M5W4L4")</f>
        <v>M5W4L4</v>
      </c>
      <c r="D9605" s="2" t="s">
        <v>8311</v>
      </c>
      <c r="E9605" s="3">
        <v>4.8799999999999997E-139</v>
      </c>
      <c r="F9605" s="2">
        <v>1071</v>
      </c>
      <c r="G9605" s="2">
        <v>90</v>
      </c>
      <c r="H9605" s="2">
        <v>323</v>
      </c>
      <c r="I9605" s="2">
        <v>580</v>
      </c>
      <c r="J9605" s="2">
        <v>1548</v>
      </c>
      <c r="K9605" s="2">
        <v>1</v>
      </c>
      <c r="L9605" s="2">
        <v>290</v>
      </c>
    </row>
    <row r="9606" spans="1:12" x14ac:dyDescent="0.25">
      <c r="A9606" s="4" t="str">
        <f>HYPERLINK("http://www.rosaceae.org/Prunus/Prunus_persica/p.persica_gdr_reftransV1_0005483","p.persica_gdr_reftransV1_0005483")</f>
        <v>p.persica_gdr_reftransV1_0005483</v>
      </c>
      <c r="B9606" s="2">
        <v>1265</v>
      </c>
      <c r="C9606" s="4" t="str">
        <f>HYPERLINK("http://www.uniprot.org/uniprot/M5WGL8","M5WGL8")</f>
        <v>M5WGL8</v>
      </c>
      <c r="D9606" s="2" t="s">
        <v>8312</v>
      </c>
      <c r="E9606" s="3">
        <v>0</v>
      </c>
      <c r="F9606" s="2">
        <v>1489</v>
      </c>
      <c r="G9606" s="2">
        <v>100</v>
      </c>
      <c r="H9606" s="2">
        <v>307</v>
      </c>
      <c r="I9606" s="2">
        <v>321</v>
      </c>
      <c r="J9606" s="2">
        <v>1241</v>
      </c>
      <c r="K9606" s="2">
        <v>1</v>
      </c>
      <c r="L9606" s="2">
        <v>307</v>
      </c>
    </row>
    <row r="9607" spans="1:12" x14ac:dyDescent="0.25">
      <c r="A9607" s="4" t="str">
        <f>HYPERLINK("http://www.rosaceae.org/Prunus/Prunus_persica/p.persica_gdr_reftransV1_0006533","p.persica_gdr_reftransV1_0006533")</f>
        <v>p.persica_gdr_reftransV1_0006533</v>
      </c>
      <c r="B9607" s="2">
        <v>611</v>
      </c>
      <c r="C9607" s="4" t="str">
        <f>HYPERLINK("http://www.uniprot.org/uniprot/M5WUU4","M5WUU4")</f>
        <v>M5WUU4</v>
      </c>
      <c r="D9607" s="2" t="s">
        <v>8313</v>
      </c>
      <c r="E9607" s="3">
        <v>4.7600000000000002E-82</v>
      </c>
      <c r="F9607" s="2">
        <v>642</v>
      </c>
      <c r="G9607" s="2">
        <v>100</v>
      </c>
      <c r="H9607" s="2">
        <v>131</v>
      </c>
      <c r="I9607" s="2">
        <v>92</v>
      </c>
      <c r="J9607" s="2">
        <v>484</v>
      </c>
      <c r="K9607" s="2">
        <v>1</v>
      </c>
      <c r="L9607" s="2">
        <v>131</v>
      </c>
    </row>
    <row r="9608" spans="1:12" x14ac:dyDescent="0.25">
      <c r="A9608" s="4" t="str">
        <f>HYPERLINK("http://www.rosaceae.org/Prunus/Prunus_persica/p.persica_gdr_reftransV1_0006883","p.persica_gdr_reftransV1_0006883")</f>
        <v>p.persica_gdr_reftransV1_0006883</v>
      </c>
      <c r="B9608" s="2">
        <v>407</v>
      </c>
      <c r="C9608" s="4" t="str">
        <f>HYPERLINK("http://www.uniprot.org/uniprot/M5X3J8","M5X3J8")</f>
        <v>M5X3J8</v>
      </c>
      <c r="D9608" s="2" t="s">
        <v>4277</v>
      </c>
      <c r="E9608" s="3">
        <v>7.2700000000000001E-27</v>
      </c>
      <c r="F9608" s="2">
        <v>278</v>
      </c>
      <c r="G9608" s="2">
        <v>100</v>
      </c>
      <c r="H9608" s="2">
        <v>132</v>
      </c>
      <c r="I9608" s="2">
        <v>2</v>
      </c>
      <c r="J9608" s="2">
        <v>397</v>
      </c>
      <c r="K9608" s="2">
        <v>152</v>
      </c>
      <c r="L9608" s="2">
        <v>283</v>
      </c>
    </row>
    <row r="9609" spans="1:12" x14ac:dyDescent="0.25">
      <c r="A9609" s="4" t="str">
        <f>HYPERLINK("http://www.rosaceae.org/Prunus/Prunus_persica/p.persica_gdr_reftransV1_0007233","p.persica_gdr_reftransV1_0007233")</f>
        <v>p.persica_gdr_reftransV1_0007233</v>
      </c>
      <c r="B9609" s="2">
        <v>2308</v>
      </c>
      <c r="C9609" s="4" t="str">
        <f>HYPERLINK("http://www.uniprot.org/uniprot/M5VTX5","M5VTX5")</f>
        <v>M5VTX5</v>
      </c>
      <c r="D9609" s="2" t="s">
        <v>8314</v>
      </c>
      <c r="E9609" s="3">
        <v>0</v>
      </c>
      <c r="F9609" s="2">
        <v>1876</v>
      </c>
      <c r="G9609" s="2">
        <v>100</v>
      </c>
      <c r="H9609" s="2">
        <v>440</v>
      </c>
      <c r="I9609" s="2">
        <v>828</v>
      </c>
      <c r="J9609" s="2">
        <v>2147</v>
      </c>
      <c r="K9609" s="2">
        <v>1</v>
      </c>
      <c r="L9609" s="2">
        <v>440</v>
      </c>
    </row>
    <row r="9610" spans="1:12" x14ac:dyDescent="0.25">
      <c r="A9610" s="4" t="str">
        <f>HYPERLINK("http://www.rosaceae.org/Prunus/Prunus_persica/p.persica_gdr_reftransV1_0007583","p.persica_gdr_reftransV1_0007583")</f>
        <v>p.persica_gdr_reftransV1_0007583</v>
      </c>
      <c r="B9610" s="2">
        <v>1794</v>
      </c>
      <c r="C9610" s="4" t="str">
        <f>HYPERLINK("http://www.uniprot.org/uniprot/M5XC90","M5XC90")</f>
        <v>M5XC90</v>
      </c>
      <c r="D9610" s="2" t="s">
        <v>8315</v>
      </c>
      <c r="E9610" s="3">
        <v>0</v>
      </c>
      <c r="F9610" s="2">
        <v>1682</v>
      </c>
      <c r="G9610" s="2">
        <v>100</v>
      </c>
      <c r="H9610" s="2">
        <v>336</v>
      </c>
      <c r="I9610" s="2">
        <v>256</v>
      </c>
      <c r="J9610" s="2">
        <v>1263</v>
      </c>
      <c r="K9610" s="2">
        <v>1</v>
      </c>
      <c r="L9610" s="2">
        <v>336</v>
      </c>
    </row>
    <row r="9611" spans="1:12" x14ac:dyDescent="0.25">
      <c r="A9611" s="4" t="str">
        <f>HYPERLINK("http://www.rosaceae.org/Prunus/Prunus_persica/p.persica_gdr_reftransV1_0008283","p.persica_gdr_reftransV1_0008283")</f>
        <v>p.persica_gdr_reftransV1_0008283</v>
      </c>
      <c r="B9611" s="2">
        <v>1737</v>
      </c>
      <c r="C9611" s="4" t="str">
        <f>HYPERLINK("http://www.uniprot.org/uniprot/M5XMY2","M5XMY2")</f>
        <v>M5XMY2</v>
      </c>
      <c r="D9611" s="2" t="s">
        <v>8316</v>
      </c>
      <c r="E9611" s="3">
        <v>0</v>
      </c>
      <c r="F9611" s="2">
        <v>2628</v>
      </c>
      <c r="G9611" s="2">
        <v>100</v>
      </c>
      <c r="H9611" s="2">
        <v>501</v>
      </c>
      <c r="I9611" s="2">
        <v>31</v>
      </c>
      <c r="J9611" s="2">
        <v>1533</v>
      </c>
      <c r="K9611" s="2">
        <v>1</v>
      </c>
      <c r="L9611" s="2">
        <v>501</v>
      </c>
    </row>
    <row r="9612" spans="1:12" x14ac:dyDescent="0.25">
      <c r="A9612" s="4" t="str">
        <f>HYPERLINK("http://www.rosaceae.org/Prunus/Prunus_persica/p.persica_gdr_reftransV1_0008633","p.persica_gdr_reftransV1_0008633")</f>
        <v>p.persica_gdr_reftransV1_0008633</v>
      </c>
      <c r="B9612" s="2">
        <v>1926</v>
      </c>
      <c r="C9612" s="4" t="str">
        <f>HYPERLINK("http://www.uniprot.org/uniprot/M5VZD5","M5VZD5")</f>
        <v>M5VZD5</v>
      </c>
      <c r="D9612" s="2" t="s">
        <v>8317</v>
      </c>
      <c r="E9612" s="3">
        <v>0</v>
      </c>
      <c r="F9612" s="2">
        <v>1278</v>
      </c>
      <c r="G9612" s="2">
        <v>100</v>
      </c>
      <c r="H9612" s="2">
        <v>260</v>
      </c>
      <c r="I9612" s="2">
        <v>1032</v>
      </c>
      <c r="J9612" s="2">
        <v>1811</v>
      </c>
      <c r="K9612" s="2">
        <v>1</v>
      </c>
      <c r="L9612" s="2">
        <v>260</v>
      </c>
    </row>
    <row r="9613" spans="1:12" x14ac:dyDescent="0.25">
      <c r="A9613" s="4" t="str">
        <f>HYPERLINK("http://www.rosaceae.org/Prunus/Prunus_persica/p.persica_gdr_reftransV1_0008983","p.persica_gdr_reftransV1_0008983")</f>
        <v>p.persica_gdr_reftransV1_0008983</v>
      </c>
      <c r="B9613" s="2">
        <v>2312</v>
      </c>
      <c r="C9613" s="4" t="str">
        <f>HYPERLINK("http://www.uniprot.org/uniprot/M5XC74","M5XC74")</f>
        <v>M5XC74</v>
      </c>
      <c r="D9613" s="2" t="s">
        <v>3168</v>
      </c>
      <c r="E9613" s="3">
        <v>0</v>
      </c>
      <c r="F9613" s="2">
        <v>2687</v>
      </c>
      <c r="G9613" s="2">
        <v>100</v>
      </c>
      <c r="H9613" s="2">
        <v>537</v>
      </c>
      <c r="I9613" s="2">
        <v>161</v>
      </c>
      <c r="J9613" s="2">
        <v>1771</v>
      </c>
      <c r="K9613" s="2">
        <v>1</v>
      </c>
      <c r="L9613" s="2">
        <v>537</v>
      </c>
    </row>
    <row r="9614" spans="1:12" x14ac:dyDescent="0.25">
      <c r="A9614" s="4" t="str">
        <f>HYPERLINK("http://www.rosaceae.org/Prunus/Prunus_persica/p.persica_gdr_reftransV1_0010033","p.persica_gdr_reftransV1_0010033")</f>
        <v>p.persica_gdr_reftransV1_0010033</v>
      </c>
      <c r="B9614" s="2">
        <v>1710</v>
      </c>
      <c r="C9614" s="4" t="str">
        <f>HYPERLINK("http://www.uniprot.org/uniprot/M5XYK2","M5XYK2")</f>
        <v>M5XYK2</v>
      </c>
      <c r="D9614" s="2" t="s">
        <v>8318</v>
      </c>
      <c r="E9614" s="3">
        <v>4.0099999999999998E-154</v>
      </c>
      <c r="F9614" s="2">
        <v>1174</v>
      </c>
      <c r="G9614" s="2">
        <v>100</v>
      </c>
      <c r="H9614" s="2">
        <v>319</v>
      </c>
      <c r="I9614" s="2">
        <v>244</v>
      </c>
      <c r="J9614" s="2">
        <v>1200</v>
      </c>
      <c r="K9614" s="2">
        <v>1</v>
      </c>
      <c r="L9614" s="2">
        <v>319</v>
      </c>
    </row>
    <row r="9615" spans="1:12" x14ac:dyDescent="0.25">
      <c r="A9615" s="4" t="str">
        <f>HYPERLINK("http://www.rosaceae.org/Prunus/Prunus_persica/p.persica_gdr_reftransV1_0010733","p.persica_gdr_reftransV1_0010733")</f>
        <v>p.persica_gdr_reftransV1_0010733</v>
      </c>
      <c r="B9615" s="2">
        <v>2832</v>
      </c>
      <c r="C9615" s="4" t="str">
        <f>HYPERLINK("http://www.uniprot.org/uniprot/M5W494","M5W494")</f>
        <v>M5W494</v>
      </c>
      <c r="D9615" s="2" t="s">
        <v>8319</v>
      </c>
      <c r="E9615" s="3">
        <v>0</v>
      </c>
      <c r="F9615" s="2">
        <v>1699</v>
      </c>
      <c r="G9615" s="2">
        <v>100</v>
      </c>
      <c r="H9615" s="2">
        <v>327</v>
      </c>
      <c r="I9615" s="2">
        <v>420</v>
      </c>
      <c r="J9615" s="2">
        <v>1400</v>
      </c>
      <c r="K9615" s="2">
        <v>1</v>
      </c>
      <c r="L9615" s="2">
        <v>327</v>
      </c>
    </row>
    <row r="9616" spans="1:12" x14ac:dyDescent="0.25">
      <c r="A9616" s="4" t="str">
        <f>HYPERLINK("http://www.rosaceae.org/Prunus/Prunus_persica/p.persica_gdr_reftransV1_0011083","p.persica_gdr_reftransV1_0011083")</f>
        <v>p.persica_gdr_reftransV1_0011083</v>
      </c>
      <c r="B9616" s="2">
        <v>510</v>
      </c>
      <c r="C9616" s="4" t="str">
        <f>HYPERLINK("http://www.uniprot.org/uniprot/M5XZU2","M5XZU2")</f>
        <v>M5XZU2</v>
      </c>
      <c r="D9616" s="2" t="s">
        <v>5598</v>
      </c>
      <c r="E9616" s="3">
        <v>4.45E-95</v>
      </c>
      <c r="F9616" s="2">
        <v>803</v>
      </c>
      <c r="G9616" s="2">
        <v>100</v>
      </c>
      <c r="H9616" s="2">
        <v>170</v>
      </c>
      <c r="I9616" s="2">
        <v>1</v>
      </c>
      <c r="J9616" s="2">
        <v>510</v>
      </c>
      <c r="K9616" s="2">
        <v>427</v>
      </c>
      <c r="L9616" s="2">
        <v>596</v>
      </c>
    </row>
    <row r="9617" spans="1:12" x14ac:dyDescent="0.25">
      <c r="A9617" s="4" t="str">
        <f>HYPERLINK("http://www.rosaceae.org/Prunus/Prunus_persica/p.persica_gdr_reftransV1_0011433","p.persica_gdr_reftransV1_0011433")</f>
        <v>p.persica_gdr_reftransV1_0011433</v>
      </c>
      <c r="B9617" s="2">
        <v>455</v>
      </c>
      <c r="C9617" s="4" t="str">
        <f>HYPERLINK("http://www.uniprot.org/uniprot/M5WH78","M5WH78")</f>
        <v>M5WH78</v>
      </c>
      <c r="D9617" s="2" t="s">
        <v>8320</v>
      </c>
      <c r="E9617" s="3">
        <v>9.06E-72</v>
      </c>
      <c r="F9617" s="2">
        <v>580</v>
      </c>
      <c r="G9617" s="2">
        <v>100</v>
      </c>
      <c r="H9617" s="2">
        <v>111</v>
      </c>
      <c r="I9617" s="2">
        <v>122</v>
      </c>
      <c r="J9617" s="2">
        <v>454</v>
      </c>
      <c r="K9617" s="2">
        <v>157</v>
      </c>
      <c r="L9617" s="2">
        <v>267</v>
      </c>
    </row>
    <row r="9618" spans="1:12" x14ac:dyDescent="0.25">
      <c r="A9618" s="4" t="str">
        <f>HYPERLINK("http://www.rosaceae.org/Prunus/Prunus_persica/p.persica_gdr_reftransV1_0012133","p.persica_gdr_reftransV1_0012133")</f>
        <v>p.persica_gdr_reftransV1_0012133</v>
      </c>
      <c r="B9618" s="2">
        <v>370</v>
      </c>
      <c r="C9618" s="4" t="str">
        <f>HYPERLINK("http://www.uniprot.org/uniprot/W9SMY2","W9SMY2")</f>
        <v>W9SMY2</v>
      </c>
      <c r="D9618" s="2" t="s">
        <v>8321</v>
      </c>
      <c r="E9618" s="3">
        <v>5.8600000000000004E-56</v>
      </c>
      <c r="F9618" s="2">
        <v>473</v>
      </c>
      <c r="G9618" s="2">
        <v>78</v>
      </c>
      <c r="H9618" s="2">
        <v>115</v>
      </c>
      <c r="I9618" s="2">
        <v>3</v>
      </c>
      <c r="J9618" s="2">
        <v>347</v>
      </c>
      <c r="K9618" s="2">
        <v>1</v>
      </c>
      <c r="L9618" s="2">
        <v>112</v>
      </c>
    </row>
    <row r="9619" spans="1:12" x14ac:dyDescent="0.25">
      <c r="A9619" s="4" t="str">
        <f>HYPERLINK("http://www.rosaceae.org/Prunus/Prunus_persica/p.persica_gdr_reftransV1_0012833","p.persica_gdr_reftransV1_0012833")</f>
        <v>p.persica_gdr_reftransV1_0012833</v>
      </c>
      <c r="B9619" s="2">
        <v>3829</v>
      </c>
      <c r="C9619" s="4" t="str">
        <f>HYPERLINK("http://www.uniprot.org/uniprot/M5Y7D4","M5Y7D4")</f>
        <v>M5Y7D4</v>
      </c>
      <c r="D9619" s="2" t="s">
        <v>1393</v>
      </c>
      <c r="E9619" s="3">
        <v>0</v>
      </c>
      <c r="F9619" s="2">
        <v>4836</v>
      </c>
      <c r="G9619" s="2">
        <v>100</v>
      </c>
      <c r="H9619" s="2">
        <v>898</v>
      </c>
      <c r="I9619" s="2">
        <v>3</v>
      </c>
      <c r="J9619" s="2">
        <v>2696</v>
      </c>
      <c r="K9619" s="2">
        <v>1272</v>
      </c>
      <c r="L9619" s="2">
        <v>2169</v>
      </c>
    </row>
    <row r="9620" spans="1:12" x14ac:dyDescent="0.25">
      <c r="A9620" s="4" t="str">
        <f>HYPERLINK("http://www.rosaceae.org/Prunus/Prunus_persica/p.persica_gdr_reftransV1_0013183","p.persica_gdr_reftransV1_0013183")</f>
        <v>p.persica_gdr_reftransV1_0013183</v>
      </c>
      <c r="B9620" s="2">
        <v>3264</v>
      </c>
      <c r="C9620" s="4" t="str">
        <f>HYPERLINK("http://www.uniprot.org/uniprot/M5W7Y4","M5W7Y4")</f>
        <v>M5W7Y4</v>
      </c>
      <c r="D9620" s="2" t="s">
        <v>8322</v>
      </c>
      <c r="E9620" s="3">
        <v>0</v>
      </c>
      <c r="F9620" s="2">
        <v>3921</v>
      </c>
      <c r="G9620" s="2">
        <v>100</v>
      </c>
      <c r="H9620" s="2">
        <v>870</v>
      </c>
      <c r="I9620" s="2">
        <v>572</v>
      </c>
      <c r="J9620" s="2">
        <v>3181</v>
      </c>
      <c r="K9620" s="2">
        <v>1</v>
      </c>
      <c r="L9620" s="2">
        <v>870</v>
      </c>
    </row>
    <row r="9621" spans="1:12" x14ac:dyDescent="0.25">
      <c r="A9621" s="4" t="str">
        <f>HYPERLINK("http://www.rosaceae.org/Prunus/Prunus_persica/p.persica_gdr_reftransV1_0013533","p.persica_gdr_reftransV1_0013533")</f>
        <v>p.persica_gdr_reftransV1_0013533</v>
      </c>
      <c r="B9621" s="2">
        <v>2204</v>
      </c>
      <c r="C9621" s="4" t="str">
        <f>HYPERLINK("http://www.uniprot.org/uniprot/M5VZ43","M5VZ43")</f>
        <v>M5VZ43</v>
      </c>
      <c r="D9621" s="2" t="s">
        <v>3935</v>
      </c>
      <c r="E9621" s="3">
        <v>0</v>
      </c>
      <c r="F9621" s="2">
        <v>2152</v>
      </c>
      <c r="G9621" s="2">
        <v>100</v>
      </c>
      <c r="H9621" s="2">
        <v>403</v>
      </c>
      <c r="I9621" s="2">
        <v>99</v>
      </c>
      <c r="J9621" s="2">
        <v>1307</v>
      </c>
      <c r="K9621" s="2">
        <v>1</v>
      </c>
      <c r="L9621" s="2">
        <v>403</v>
      </c>
    </row>
    <row r="9622" spans="1:12" x14ac:dyDescent="0.25">
      <c r="A9622" s="4" t="str">
        <f>HYPERLINK("http://www.rosaceae.org/Prunus/Prunus_persica/p.persica_gdr_reftransV1_0013883","p.persica_gdr_reftransV1_0013883")</f>
        <v>p.persica_gdr_reftransV1_0013883</v>
      </c>
      <c r="B9622" s="2">
        <v>1580</v>
      </c>
      <c r="C9622" s="4" t="str">
        <f>HYPERLINK("http://www.uniprot.org/uniprot/A5BWV3","A5BWV3")</f>
        <v>A5BWV3</v>
      </c>
      <c r="D9622" s="2" t="s">
        <v>8323</v>
      </c>
      <c r="E9622" s="3">
        <v>2.0299999999999999E-67</v>
      </c>
      <c r="F9622" s="2">
        <v>581</v>
      </c>
      <c r="G9622" s="2">
        <v>75</v>
      </c>
      <c r="H9622" s="2">
        <v>138</v>
      </c>
      <c r="I9622" s="2">
        <v>171</v>
      </c>
      <c r="J9622" s="2">
        <v>584</v>
      </c>
      <c r="K9622" s="2">
        <v>1</v>
      </c>
      <c r="L9622" s="2">
        <v>138</v>
      </c>
    </row>
    <row r="9623" spans="1:12" x14ac:dyDescent="0.25">
      <c r="A9623" s="4" t="str">
        <f>HYPERLINK("http://www.rosaceae.org/Prunus/Prunus_persica/p.persica_gdr_reftransV1_0014583","p.persica_gdr_reftransV1_0014583")</f>
        <v>p.persica_gdr_reftransV1_0014583</v>
      </c>
      <c r="B9623" s="2">
        <v>2735</v>
      </c>
      <c r="C9623" s="4" t="str">
        <f>HYPERLINK("http://www.uniprot.org/uniprot/M5XMB9","M5XMB9")</f>
        <v>M5XMB9</v>
      </c>
      <c r="D9623" s="2" t="s">
        <v>8324</v>
      </c>
      <c r="E9623" s="3">
        <v>0</v>
      </c>
      <c r="F9623" s="2">
        <v>4248</v>
      </c>
      <c r="G9623" s="2">
        <v>96</v>
      </c>
      <c r="H9623" s="2">
        <v>826</v>
      </c>
      <c r="I9623" s="2">
        <v>256</v>
      </c>
      <c r="J9623" s="2">
        <v>2733</v>
      </c>
      <c r="K9623" s="2">
        <v>447</v>
      </c>
      <c r="L9623" s="2">
        <v>1241</v>
      </c>
    </row>
    <row r="9624" spans="1:12" x14ac:dyDescent="0.25">
      <c r="A9624" s="4" t="str">
        <f>HYPERLINK("http://www.rosaceae.org/Prunus/Prunus_persica/p.persica_gdr_reftransV1_0015633","p.persica_gdr_reftransV1_0015633")</f>
        <v>p.persica_gdr_reftransV1_0015633</v>
      </c>
      <c r="B9624" s="2">
        <v>2182</v>
      </c>
      <c r="C9624" s="4" t="str">
        <f>HYPERLINK("http://www.uniprot.org/uniprot/M5X5A8","M5X5A8")</f>
        <v>M5X5A8</v>
      </c>
      <c r="D9624" s="2" t="s">
        <v>687</v>
      </c>
      <c r="E9624" s="3">
        <v>0</v>
      </c>
      <c r="F9624" s="2">
        <v>1996</v>
      </c>
      <c r="G9624" s="2">
        <v>100</v>
      </c>
      <c r="H9624" s="2">
        <v>385</v>
      </c>
      <c r="I9624" s="2">
        <v>340</v>
      </c>
      <c r="J9624" s="2">
        <v>1494</v>
      </c>
      <c r="K9624" s="2">
        <v>1</v>
      </c>
      <c r="L9624" s="2">
        <v>385</v>
      </c>
    </row>
    <row r="9625" spans="1:12" x14ac:dyDescent="0.25">
      <c r="A9625" s="4" t="str">
        <f>HYPERLINK("http://www.rosaceae.org/Prunus/Prunus_persica/p.persica_gdr_reftransV1_0015983","p.persica_gdr_reftransV1_0015983")</f>
        <v>p.persica_gdr_reftransV1_0015983</v>
      </c>
      <c r="B9625" s="2">
        <v>2536</v>
      </c>
      <c r="C9625" s="4" t="str">
        <f>HYPERLINK("http://www.uniprot.org/uniprot/M5XC34","M5XC34")</f>
        <v>M5XC34</v>
      </c>
      <c r="D9625" s="2" t="s">
        <v>8325</v>
      </c>
      <c r="E9625" s="3">
        <v>0</v>
      </c>
      <c r="F9625" s="2">
        <v>1642</v>
      </c>
      <c r="G9625" s="2">
        <v>100</v>
      </c>
      <c r="H9625" s="2">
        <v>349</v>
      </c>
      <c r="I9625" s="2">
        <v>1048</v>
      </c>
      <c r="J9625" s="2">
        <v>2094</v>
      </c>
      <c r="K9625" s="2">
        <v>1</v>
      </c>
      <c r="L9625" s="2">
        <v>349</v>
      </c>
    </row>
    <row r="9626" spans="1:12" x14ac:dyDescent="0.25">
      <c r="A9626" s="4" t="str">
        <f>HYPERLINK("http://www.rosaceae.org/Prunus/Prunus_persica/p.persica_gdr_reftransV1_0016333","p.persica_gdr_reftransV1_0016333")</f>
        <v>p.persica_gdr_reftransV1_0016333</v>
      </c>
      <c r="B9626" s="2">
        <v>3453</v>
      </c>
      <c r="C9626" s="4" t="str">
        <f>HYPERLINK("http://www.uniprot.org/uniprot/M5VMU4","M5VMU4")</f>
        <v>M5VMU4</v>
      </c>
      <c r="D9626" s="2" t="s">
        <v>8326</v>
      </c>
      <c r="E9626" s="3">
        <v>0</v>
      </c>
      <c r="F9626" s="2">
        <v>1895</v>
      </c>
      <c r="G9626" s="2">
        <v>100</v>
      </c>
      <c r="H9626" s="2">
        <v>364</v>
      </c>
      <c r="I9626" s="2">
        <v>1046</v>
      </c>
      <c r="J9626" s="2">
        <v>2137</v>
      </c>
      <c r="K9626" s="2">
        <v>1</v>
      </c>
      <c r="L9626" s="2">
        <v>364</v>
      </c>
    </row>
    <row r="9627" spans="1:12" x14ac:dyDescent="0.25">
      <c r="A9627" s="4" t="str">
        <f>HYPERLINK("http://www.rosaceae.org/Prunus/Prunus_persica/p.persica_gdr_reftransV1_0016683","p.persica_gdr_reftransV1_0016683")</f>
        <v>p.persica_gdr_reftransV1_0016683</v>
      </c>
      <c r="B9627" s="2">
        <v>2812</v>
      </c>
      <c r="C9627" s="4" t="str">
        <f>HYPERLINK("http://www.uniprot.org/uniprot/M5XJC9","M5XJC9")</f>
        <v>M5XJC9</v>
      </c>
      <c r="D9627" s="2" t="s">
        <v>8327</v>
      </c>
      <c r="E9627" s="3">
        <v>6.9699999999999997E-85</v>
      </c>
      <c r="F9627" s="2">
        <v>716</v>
      </c>
      <c r="G9627" s="2">
        <v>100</v>
      </c>
      <c r="H9627" s="2">
        <v>145</v>
      </c>
      <c r="I9627" s="2">
        <v>1553</v>
      </c>
      <c r="J9627" s="2">
        <v>1987</v>
      </c>
      <c r="K9627" s="2">
        <v>1</v>
      </c>
      <c r="L9627" s="2">
        <v>145</v>
      </c>
    </row>
    <row r="9628" spans="1:12" x14ac:dyDescent="0.25">
      <c r="A9628" s="4" t="str">
        <f>HYPERLINK("http://www.rosaceae.org/Prunus/Prunus_persica/p.persica_gdr_reftransV1_0017383","p.persica_gdr_reftransV1_0017383")</f>
        <v>p.persica_gdr_reftransV1_0017383</v>
      </c>
      <c r="B9628" s="2">
        <v>823</v>
      </c>
      <c r="C9628" s="4" t="str">
        <f>HYPERLINK("http://www.uniprot.org/uniprot/M5VWM1","M5VWM1")</f>
        <v>M5VWM1</v>
      </c>
      <c r="D9628" s="2" t="s">
        <v>5209</v>
      </c>
      <c r="E9628" s="3">
        <v>0</v>
      </c>
      <c r="F9628" s="2">
        <v>1454</v>
      </c>
      <c r="G9628" s="2">
        <v>100</v>
      </c>
      <c r="H9628" s="2">
        <v>274</v>
      </c>
      <c r="I9628" s="2">
        <v>1</v>
      </c>
      <c r="J9628" s="2">
        <v>822</v>
      </c>
      <c r="K9628" s="2">
        <v>190</v>
      </c>
      <c r="L9628" s="2">
        <v>463</v>
      </c>
    </row>
    <row r="9629" spans="1:12" x14ac:dyDescent="0.25">
      <c r="A9629" s="4" t="str">
        <f>HYPERLINK("http://www.rosaceae.org/Prunus/Prunus_persica/p.persica_gdr_reftransV1_0018433","p.persica_gdr_reftransV1_0018433")</f>
        <v>p.persica_gdr_reftransV1_0018433</v>
      </c>
      <c r="B9629" s="2">
        <v>1207</v>
      </c>
      <c r="C9629" s="4" t="str">
        <f>HYPERLINK("http://www.uniprot.org/uniprot/M5XZJ6","M5XZJ6")</f>
        <v>M5XZJ6</v>
      </c>
      <c r="D9629" s="2" t="s">
        <v>8328</v>
      </c>
      <c r="E9629" s="3">
        <v>2.5200000000000001E-125</v>
      </c>
      <c r="F9629" s="2">
        <v>954</v>
      </c>
      <c r="G9629" s="2">
        <v>100</v>
      </c>
      <c r="H9629" s="2">
        <v>186</v>
      </c>
      <c r="I9629" s="2">
        <v>229</v>
      </c>
      <c r="J9629" s="2">
        <v>786</v>
      </c>
      <c r="K9629" s="2">
        <v>1</v>
      </c>
      <c r="L9629" s="2">
        <v>186</v>
      </c>
    </row>
    <row r="9630" spans="1:12" x14ac:dyDescent="0.25">
      <c r="A9630" s="4" t="str">
        <f>HYPERLINK("http://www.rosaceae.org/Prunus/Prunus_persica/p.persica_gdr_reftransV1_0018783","p.persica_gdr_reftransV1_0018783")</f>
        <v>p.persica_gdr_reftransV1_0018783</v>
      </c>
      <c r="B9630" s="2">
        <v>1073</v>
      </c>
      <c r="C9630" s="4" t="str">
        <f>HYPERLINK("http://www.uniprot.org/uniprot/M5XP53","M5XP53")</f>
        <v>M5XP53</v>
      </c>
      <c r="D9630" s="2" t="s">
        <v>8329</v>
      </c>
      <c r="E9630" s="3">
        <v>1.35E-88</v>
      </c>
      <c r="F9630" s="2">
        <v>701</v>
      </c>
      <c r="G9630" s="2">
        <v>100</v>
      </c>
      <c r="H9630" s="2">
        <v>131</v>
      </c>
      <c r="I9630" s="2">
        <v>152</v>
      </c>
      <c r="J9630" s="2">
        <v>544</v>
      </c>
      <c r="K9630" s="2">
        <v>1</v>
      </c>
      <c r="L9630" s="2">
        <v>131</v>
      </c>
    </row>
    <row r="9631" spans="1:12" x14ac:dyDescent="0.25">
      <c r="A9631" s="4" t="str">
        <f>HYPERLINK("http://www.rosaceae.org/Prunus/Prunus_persica/p.persica_gdr_reftransV1_0019833","p.persica_gdr_reftransV1_0019833")</f>
        <v>p.persica_gdr_reftransV1_0019833</v>
      </c>
      <c r="B9631" s="2">
        <v>4931</v>
      </c>
      <c r="C9631" s="4" t="str">
        <f>HYPERLINK("http://www.uniprot.org/uniprot/M5XGR2","M5XGR2")</f>
        <v>M5XGR2</v>
      </c>
      <c r="D9631" s="2" t="s">
        <v>2162</v>
      </c>
      <c r="E9631" s="3">
        <v>0</v>
      </c>
      <c r="F9631" s="2">
        <v>4118</v>
      </c>
      <c r="G9631" s="2">
        <v>95</v>
      </c>
      <c r="H9631" s="2">
        <v>897</v>
      </c>
      <c r="I9631" s="2">
        <v>594</v>
      </c>
      <c r="J9631" s="2">
        <v>3284</v>
      </c>
      <c r="K9631" s="2">
        <v>1</v>
      </c>
      <c r="L9631" s="2">
        <v>853</v>
      </c>
    </row>
    <row r="9632" spans="1:12" x14ac:dyDescent="0.25">
      <c r="A9632" s="4" t="str">
        <f>HYPERLINK("http://www.rosaceae.org/Prunus/Prunus_persica/p.persica_gdr_reftransV1_0020183","p.persica_gdr_reftransV1_0020183")</f>
        <v>p.persica_gdr_reftransV1_0020183</v>
      </c>
      <c r="B9632" s="2">
        <v>3483</v>
      </c>
      <c r="C9632" s="4" t="str">
        <f>HYPERLINK("http://www.uniprot.org/uniprot/M5WB46","M5WB46")</f>
        <v>M5WB46</v>
      </c>
      <c r="D9632" s="2" t="s">
        <v>8330</v>
      </c>
      <c r="E9632" s="3">
        <v>0</v>
      </c>
      <c r="F9632" s="2">
        <v>2100</v>
      </c>
      <c r="G9632" s="2">
        <v>100</v>
      </c>
      <c r="H9632" s="2">
        <v>404</v>
      </c>
      <c r="I9632" s="2">
        <v>414</v>
      </c>
      <c r="J9632" s="2">
        <v>1625</v>
      </c>
      <c r="K9632" s="2">
        <v>1</v>
      </c>
      <c r="L9632" s="2">
        <v>404</v>
      </c>
    </row>
    <row r="9633" spans="1:12" x14ac:dyDescent="0.25">
      <c r="A9633" s="4" t="str">
        <f>HYPERLINK("http://www.rosaceae.org/Prunus/Prunus_persica/p.persica_gdr_reftransV1_0020883","p.persica_gdr_reftransV1_0020883")</f>
        <v>p.persica_gdr_reftransV1_0020883</v>
      </c>
      <c r="B9633" s="2">
        <v>2521</v>
      </c>
      <c r="C9633" s="4" t="str">
        <f>HYPERLINK("http://www.uniprot.org/uniprot/M5VUY9","M5VUY9")</f>
        <v>M5VUY9</v>
      </c>
      <c r="D9633" s="2" t="s">
        <v>596</v>
      </c>
      <c r="E9633" s="3">
        <v>0</v>
      </c>
      <c r="F9633" s="2">
        <v>1500</v>
      </c>
      <c r="G9633" s="2">
        <v>84</v>
      </c>
      <c r="H9633" s="2">
        <v>355</v>
      </c>
      <c r="I9633" s="2">
        <v>436</v>
      </c>
      <c r="J9633" s="2">
        <v>1500</v>
      </c>
      <c r="K9633" s="2">
        <v>51</v>
      </c>
      <c r="L9633" s="2">
        <v>354</v>
      </c>
    </row>
    <row r="9634" spans="1:12" x14ac:dyDescent="0.25">
      <c r="A9634" s="4" t="str">
        <f>HYPERLINK("http://www.rosaceae.org/Prunus/Prunus_persica/p.persica_gdr_reftransV1_0021583","p.persica_gdr_reftransV1_0021583")</f>
        <v>p.persica_gdr_reftransV1_0021583</v>
      </c>
      <c r="B9634" s="2">
        <v>5862</v>
      </c>
      <c r="C9634" s="4" t="str">
        <f>HYPERLINK("http://www.uniprot.org/uniprot/M5XIR5","M5XIR5")</f>
        <v>M5XIR5</v>
      </c>
      <c r="D9634" s="2" t="s">
        <v>8331</v>
      </c>
      <c r="E9634" s="3">
        <v>0</v>
      </c>
      <c r="F9634" s="2">
        <v>2884</v>
      </c>
      <c r="G9634" s="2">
        <v>98</v>
      </c>
      <c r="H9634" s="2">
        <v>653</v>
      </c>
      <c r="I9634" s="2">
        <v>1977</v>
      </c>
      <c r="J9634" s="2">
        <v>3935</v>
      </c>
      <c r="K9634" s="2">
        <v>271</v>
      </c>
      <c r="L9634" s="2">
        <v>918</v>
      </c>
    </row>
    <row r="9635" spans="1:12" x14ac:dyDescent="0.25">
      <c r="A9635" s="4" t="str">
        <f>HYPERLINK("http://www.rosaceae.org/Prunus/Prunus_persica/p.persica_gdr_reftransV1_0023333","p.persica_gdr_reftransV1_0023333")</f>
        <v>p.persica_gdr_reftransV1_0023333</v>
      </c>
      <c r="B9635" s="2">
        <v>1676</v>
      </c>
      <c r="C9635" s="4" t="str">
        <f>HYPERLINK("http://www.uniprot.org/uniprot/M5W924","M5W924")</f>
        <v>M5W924</v>
      </c>
      <c r="D9635" s="2" t="s">
        <v>8332</v>
      </c>
      <c r="E9635" s="3">
        <v>3.9000000000000003E-133</v>
      </c>
      <c r="F9635" s="2">
        <v>1024</v>
      </c>
      <c r="G9635" s="2">
        <v>87</v>
      </c>
      <c r="H9635" s="2">
        <v>252</v>
      </c>
      <c r="I9635" s="2">
        <v>143</v>
      </c>
      <c r="J9635" s="2">
        <v>898</v>
      </c>
      <c r="K9635" s="2">
        <v>1</v>
      </c>
      <c r="L9635" s="2">
        <v>219</v>
      </c>
    </row>
    <row r="9636" spans="1:12" x14ac:dyDescent="0.25">
      <c r="A9636" s="4" t="str">
        <f>HYPERLINK("http://www.rosaceae.org/Prunus/Prunus_persica/p.persica_gdr_reftransV1_0024383","p.persica_gdr_reftransV1_0024383")</f>
        <v>p.persica_gdr_reftransV1_0024383</v>
      </c>
      <c r="B9636" s="2">
        <v>2616</v>
      </c>
      <c r="C9636" s="4" t="str">
        <f>HYPERLINK("http://www.uniprot.org/uniprot/M5VJ74","M5VJ74")</f>
        <v>M5VJ74</v>
      </c>
      <c r="D9636" s="2" t="s">
        <v>8333</v>
      </c>
      <c r="E9636" s="3">
        <v>1.3E-138</v>
      </c>
      <c r="F9636" s="2">
        <v>1106</v>
      </c>
      <c r="G9636" s="2">
        <v>100</v>
      </c>
      <c r="H9636" s="2">
        <v>226</v>
      </c>
      <c r="I9636" s="2">
        <v>1601</v>
      </c>
      <c r="J9636" s="2">
        <v>2278</v>
      </c>
      <c r="K9636" s="2">
        <v>1</v>
      </c>
      <c r="L9636" s="2">
        <v>226</v>
      </c>
    </row>
    <row r="9637" spans="1:12" x14ac:dyDescent="0.25">
      <c r="A9637" s="4" t="str">
        <f>HYPERLINK("http://www.rosaceae.org/Prunus/Prunus_persica/p.persica_gdr_reftransV1_0024733","p.persica_gdr_reftransV1_0024733")</f>
        <v>p.persica_gdr_reftransV1_0024733</v>
      </c>
      <c r="B9637" s="2">
        <v>3193</v>
      </c>
      <c r="C9637" s="4" t="str">
        <f>HYPERLINK("http://www.uniprot.org/uniprot/M5WGB7","M5WGB7")</f>
        <v>M5WGB7</v>
      </c>
      <c r="D9637" s="2" t="s">
        <v>8334</v>
      </c>
      <c r="E9637" s="3">
        <v>0</v>
      </c>
      <c r="F9637" s="2">
        <v>3478</v>
      </c>
      <c r="G9637" s="2">
        <v>100</v>
      </c>
      <c r="H9637" s="2">
        <v>695</v>
      </c>
      <c r="I9637" s="2">
        <v>446</v>
      </c>
      <c r="J9637" s="2">
        <v>2530</v>
      </c>
      <c r="K9637" s="2">
        <v>1</v>
      </c>
      <c r="L9637" s="2">
        <v>695</v>
      </c>
    </row>
    <row r="9638" spans="1:12" x14ac:dyDescent="0.25">
      <c r="A9638" s="4" t="str">
        <f>HYPERLINK("http://www.rosaceae.org/Prunus/Prunus_persica/p.persica_gdr_reftransV1_0025783","p.persica_gdr_reftransV1_0025783")</f>
        <v>p.persica_gdr_reftransV1_0025783</v>
      </c>
      <c r="B9638" s="2">
        <v>1768</v>
      </c>
      <c r="C9638" s="4" t="str">
        <f>HYPERLINK("http://www.uniprot.org/uniprot/M5Y7X6","M5Y7X6")</f>
        <v>M5Y7X6</v>
      </c>
      <c r="D9638" s="2" t="s">
        <v>1993</v>
      </c>
      <c r="E9638" s="3">
        <v>5.1099999999999999E-59</v>
      </c>
      <c r="F9638" s="2">
        <v>547</v>
      </c>
      <c r="G9638" s="2">
        <v>79</v>
      </c>
      <c r="H9638" s="2">
        <v>152</v>
      </c>
      <c r="I9638" s="2">
        <v>49</v>
      </c>
      <c r="J9638" s="2">
        <v>504</v>
      </c>
      <c r="K9638" s="2">
        <v>1</v>
      </c>
      <c r="L9638" s="2">
        <v>126</v>
      </c>
    </row>
    <row r="9639" spans="1:12" x14ac:dyDescent="0.25">
      <c r="A9639" s="4" t="str">
        <f>HYPERLINK("http://www.rosaceae.org/Prunus/Prunus_persica/p.persica_gdr_reftransV1_0027183","p.persica_gdr_reftransV1_0027183")</f>
        <v>p.persica_gdr_reftransV1_0027183</v>
      </c>
      <c r="B9639" s="2">
        <v>2299</v>
      </c>
      <c r="C9639" s="4" t="str">
        <f>HYPERLINK("http://www.uniprot.org/uniprot/M5XM14","M5XM14")</f>
        <v>M5XM14</v>
      </c>
      <c r="D9639" s="2" t="s">
        <v>7137</v>
      </c>
      <c r="E9639" s="3">
        <v>0</v>
      </c>
      <c r="F9639" s="2">
        <v>2468</v>
      </c>
      <c r="G9639" s="2">
        <v>100</v>
      </c>
      <c r="H9639" s="2">
        <v>496</v>
      </c>
      <c r="I9639" s="2">
        <v>737</v>
      </c>
      <c r="J9639" s="2">
        <v>2224</v>
      </c>
      <c r="K9639" s="2">
        <v>1</v>
      </c>
      <c r="L9639" s="2">
        <v>496</v>
      </c>
    </row>
    <row r="9640" spans="1:12" x14ac:dyDescent="0.25">
      <c r="A9640" s="4" t="str">
        <f>HYPERLINK("http://www.rosaceae.org/Prunus/Prunus_persica/p.persica_gdr_reftransV1_0027533","p.persica_gdr_reftransV1_0027533")</f>
        <v>p.persica_gdr_reftransV1_0027533</v>
      </c>
      <c r="B9640" s="2">
        <v>1961</v>
      </c>
      <c r="C9640" s="4" t="str">
        <f>HYPERLINK("http://www.uniprot.org/uniprot/M5XSF7","M5XSF7")</f>
        <v>M5XSF7</v>
      </c>
      <c r="D9640" s="2" t="s">
        <v>8335</v>
      </c>
      <c r="E9640" s="3">
        <v>0</v>
      </c>
      <c r="F9640" s="2">
        <v>1921</v>
      </c>
      <c r="G9640" s="2">
        <v>100</v>
      </c>
      <c r="H9640" s="2">
        <v>383</v>
      </c>
      <c r="I9640" s="2">
        <v>313</v>
      </c>
      <c r="J9640" s="2">
        <v>1461</v>
      </c>
      <c r="K9640" s="2">
        <v>72</v>
      </c>
      <c r="L9640" s="2">
        <v>454</v>
      </c>
    </row>
    <row r="9641" spans="1:12" x14ac:dyDescent="0.25">
      <c r="A9641" s="4" t="str">
        <f>HYPERLINK("http://www.rosaceae.org/Prunus/Prunus_persica/p.persica_gdr_reftransV1_0028933","p.persica_gdr_reftransV1_0028933")</f>
        <v>p.persica_gdr_reftransV1_0028933</v>
      </c>
      <c r="B9641" s="2">
        <v>2402</v>
      </c>
      <c r="C9641" s="4" t="str">
        <f>HYPERLINK("http://www.uniprot.org/uniprot/M5X0S1","M5X0S1")</f>
        <v>M5X0S1</v>
      </c>
      <c r="D9641" s="2" t="s">
        <v>3352</v>
      </c>
      <c r="E9641" s="3">
        <v>5.78E-137</v>
      </c>
      <c r="F9641" s="2">
        <v>1085</v>
      </c>
      <c r="G9641" s="2">
        <v>100</v>
      </c>
      <c r="H9641" s="2">
        <v>203</v>
      </c>
      <c r="I9641" s="2">
        <v>429</v>
      </c>
      <c r="J9641" s="2">
        <v>1037</v>
      </c>
      <c r="K9641" s="2">
        <v>1</v>
      </c>
      <c r="L9641" s="2">
        <v>203</v>
      </c>
    </row>
    <row r="9642" spans="1:12" x14ac:dyDescent="0.25">
      <c r="A9642" s="4" t="str">
        <f>HYPERLINK("http://www.rosaceae.org/Prunus/Prunus_persica/p.persica_gdr_reftransV1_0030683","p.persica_gdr_reftransV1_0030683")</f>
        <v>p.persica_gdr_reftransV1_0030683</v>
      </c>
      <c r="B9642" s="2">
        <v>1554</v>
      </c>
      <c r="C9642" s="4" t="str">
        <f>HYPERLINK("http://www.uniprot.org/uniprot/M5XWZ5","M5XWZ5")</f>
        <v>M5XWZ5</v>
      </c>
      <c r="D9642" s="2" t="s">
        <v>8336</v>
      </c>
      <c r="E9642" s="3">
        <v>0</v>
      </c>
      <c r="F9642" s="2">
        <v>1438</v>
      </c>
      <c r="G9642" s="2">
        <v>100</v>
      </c>
      <c r="H9642" s="2">
        <v>330</v>
      </c>
      <c r="I9642" s="2">
        <v>439</v>
      </c>
      <c r="J9642" s="2">
        <v>1428</v>
      </c>
      <c r="K9642" s="2">
        <v>8</v>
      </c>
      <c r="L9642" s="2">
        <v>337</v>
      </c>
    </row>
    <row r="9643" spans="1:12" x14ac:dyDescent="0.25">
      <c r="A9643" s="4" t="str">
        <f>HYPERLINK("http://www.rosaceae.org/Prunus/Prunus_persica/p.persica_gdr_reftransV1_0031033","p.persica_gdr_reftransV1_0031033")</f>
        <v>p.persica_gdr_reftransV1_0031033</v>
      </c>
      <c r="B9643" s="2">
        <v>1691</v>
      </c>
      <c r="C9643" s="4" t="str">
        <f>HYPERLINK("http://www.uniprot.org/uniprot/M5X328","M5X328")</f>
        <v>M5X328</v>
      </c>
      <c r="D9643" s="2" t="s">
        <v>8337</v>
      </c>
      <c r="E9643" s="3">
        <v>0</v>
      </c>
      <c r="F9643" s="2">
        <v>2675</v>
      </c>
      <c r="G9643" s="2">
        <v>100</v>
      </c>
      <c r="H9643" s="2">
        <v>523</v>
      </c>
      <c r="I9643" s="2">
        <v>95</v>
      </c>
      <c r="J9643" s="2">
        <v>1663</v>
      </c>
      <c r="K9643" s="2">
        <v>1</v>
      </c>
      <c r="L9643" s="2">
        <v>523</v>
      </c>
    </row>
    <row r="9644" spans="1:12" x14ac:dyDescent="0.25">
      <c r="A9644" s="4" t="str">
        <f>HYPERLINK("http://www.rosaceae.org/Prunus/Prunus_persica/p.persica_gdr_reftransV1_0032783","p.persica_gdr_reftransV1_0032783")</f>
        <v>p.persica_gdr_reftransV1_0032783</v>
      </c>
      <c r="B9644" s="2">
        <v>2640</v>
      </c>
      <c r="C9644" s="4" t="str">
        <f>HYPERLINK("http://www.uniprot.org/uniprot/G7J8Y2","G7J8Y2")</f>
        <v>G7J8Y2</v>
      </c>
      <c r="D9644" s="2" t="s">
        <v>8338</v>
      </c>
      <c r="E9644" s="3">
        <v>6.2899999999999995E-67</v>
      </c>
      <c r="F9644" s="2">
        <v>609</v>
      </c>
      <c r="G9644" s="2">
        <v>59</v>
      </c>
      <c r="H9644" s="2">
        <v>250</v>
      </c>
      <c r="I9644" s="2">
        <v>781</v>
      </c>
      <c r="J9644" s="2">
        <v>1500</v>
      </c>
      <c r="K9644" s="2">
        <v>78</v>
      </c>
      <c r="L9644" s="2">
        <v>276</v>
      </c>
    </row>
    <row r="9645" spans="1:12" x14ac:dyDescent="0.25">
      <c r="A9645" s="4" t="str">
        <f>HYPERLINK("http://www.rosaceae.org/Prunus/Prunus_persica/p.persica_gdr_reftransV1_0034883","p.persica_gdr_reftransV1_0034883")</f>
        <v>p.persica_gdr_reftransV1_0034883</v>
      </c>
      <c r="B9645" s="2">
        <v>970</v>
      </c>
      <c r="C9645" s="4" t="str">
        <f>HYPERLINK("http://www.uniprot.org/uniprot/K4C9U5","K4C9U5")</f>
        <v>K4C9U5</v>
      </c>
      <c r="D9645" s="2" t="s">
        <v>5873</v>
      </c>
      <c r="E9645" s="3">
        <v>5.3899999999999998E-56</v>
      </c>
      <c r="F9645" s="2">
        <v>482</v>
      </c>
      <c r="G9645" s="2">
        <v>100</v>
      </c>
      <c r="H9645" s="2">
        <v>91</v>
      </c>
      <c r="I9645" s="2">
        <v>288</v>
      </c>
      <c r="J9645" s="2">
        <v>560</v>
      </c>
      <c r="K9645" s="2">
        <v>56</v>
      </c>
      <c r="L9645" s="2">
        <v>146</v>
      </c>
    </row>
    <row r="9646" spans="1:12" x14ac:dyDescent="0.25">
      <c r="A9646" s="4" t="str">
        <f>HYPERLINK("http://www.rosaceae.org/Prunus/Prunus_persica/p.persica_gdr_reftransV1_0037333","p.persica_gdr_reftransV1_0037333")</f>
        <v>p.persica_gdr_reftransV1_0037333</v>
      </c>
      <c r="B9646" s="2">
        <v>1635</v>
      </c>
      <c r="C9646" s="4" t="str">
        <f>HYPERLINK("http://www.uniprot.org/uniprot/M5W4Q4","M5W4Q4")</f>
        <v>M5W4Q4</v>
      </c>
      <c r="D9646" s="2" t="s">
        <v>8339</v>
      </c>
      <c r="E9646" s="3">
        <v>0</v>
      </c>
      <c r="F9646" s="2">
        <v>1781</v>
      </c>
      <c r="G9646" s="2">
        <v>100</v>
      </c>
      <c r="H9646" s="2">
        <v>351</v>
      </c>
      <c r="I9646" s="2">
        <v>581</v>
      </c>
      <c r="J9646" s="2">
        <v>1633</v>
      </c>
      <c r="K9646" s="2">
        <v>387</v>
      </c>
      <c r="L9646" s="2">
        <v>737</v>
      </c>
    </row>
    <row r="9647" spans="1:12" x14ac:dyDescent="0.25">
      <c r="A9647" s="4" t="str">
        <f>HYPERLINK("http://www.rosaceae.org/Prunus/Prunus_persica/p.persica_gdr_reftransV1_0037683","p.persica_gdr_reftransV1_0037683")</f>
        <v>p.persica_gdr_reftransV1_0037683</v>
      </c>
      <c r="B9647" s="2">
        <v>2084</v>
      </c>
      <c r="C9647" s="4" t="str">
        <f>HYPERLINK("http://www.uniprot.org/uniprot/M5XDP0","M5XDP0")</f>
        <v>M5XDP0</v>
      </c>
      <c r="D9647" s="2" t="s">
        <v>8340</v>
      </c>
      <c r="E9647" s="3">
        <v>2.07E-100</v>
      </c>
      <c r="F9647" s="2">
        <v>814</v>
      </c>
      <c r="G9647" s="2">
        <v>82</v>
      </c>
      <c r="H9647" s="2">
        <v>245</v>
      </c>
      <c r="I9647" s="2">
        <v>137</v>
      </c>
      <c r="J9647" s="2">
        <v>871</v>
      </c>
      <c r="K9647" s="2">
        <v>1</v>
      </c>
      <c r="L9647" s="2">
        <v>202</v>
      </c>
    </row>
    <row r="9648" spans="1:12" x14ac:dyDescent="0.25">
      <c r="A9648" s="4" t="str">
        <f>HYPERLINK("http://www.rosaceae.org/Prunus/Prunus_persica/p.persica_gdr_reftransV1_0039433","p.persica_gdr_reftransV1_0039433")</f>
        <v>p.persica_gdr_reftransV1_0039433</v>
      </c>
      <c r="B9648" s="2">
        <v>1603</v>
      </c>
      <c r="C9648" s="4" t="str">
        <f>HYPERLINK("http://www.uniprot.org/uniprot/M5XK52","M5XK52")</f>
        <v>M5XK52</v>
      </c>
      <c r="D9648" s="2" t="s">
        <v>7527</v>
      </c>
      <c r="E9648" s="3">
        <v>0</v>
      </c>
      <c r="F9648" s="2">
        <v>2205</v>
      </c>
      <c r="G9648" s="2">
        <v>100</v>
      </c>
      <c r="H9648" s="2">
        <v>433</v>
      </c>
      <c r="I9648" s="2">
        <v>304</v>
      </c>
      <c r="J9648" s="2">
        <v>1602</v>
      </c>
      <c r="K9648" s="2">
        <v>214</v>
      </c>
      <c r="L9648" s="2">
        <v>646</v>
      </c>
    </row>
    <row r="9649" spans="1:12" x14ac:dyDescent="0.25">
      <c r="A9649" s="4" t="str">
        <f>HYPERLINK("http://www.rosaceae.org/Prunus/Prunus_persica/p.persica_gdr_reftransV1_0040833","p.persica_gdr_reftransV1_0040833")</f>
        <v>p.persica_gdr_reftransV1_0040833</v>
      </c>
      <c r="B9649" s="2">
        <v>3134</v>
      </c>
      <c r="C9649" s="4" t="str">
        <f>HYPERLINK("http://www.uniprot.org/uniprot/M5WQF7","M5WQF7")</f>
        <v>M5WQF7</v>
      </c>
      <c r="D9649" s="2" t="s">
        <v>8341</v>
      </c>
      <c r="E9649" s="3">
        <v>0</v>
      </c>
      <c r="F9649" s="2">
        <v>3877</v>
      </c>
      <c r="G9649" s="2">
        <v>100</v>
      </c>
      <c r="H9649" s="2">
        <v>738</v>
      </c>
      <c r="I9649" s="2">
        <v>419</v>
      </c>
      <c r="J9649" s="2">
        <v>2632</v>
      </c>
      <c r="K9649" s="2">
        <v>1</v>
      </c>
      <c r="L9649" s="2">
        <v>738</v>
      </c>
    </row>
    <row r="9650" spans="1:12" x14ac:dyDescent="0.25">
      <c r="A9650" s="4" t="str">
        <f>HYPERLINK("http://www.rosaceae.org/Prunus/Prunus_persica/p.persica_gdr_reftransV1_0043283","p.persica_gdr_reftransV1_0043283")</f>
        <v>p.persica_gdr_reftransV1_0043283</v>
      </c>
      <c r="B9650" s="2">
        <v>351</v>
      </c>
      <c r="C9650" s="4" t="str">
        <f>HYPERLINK("http://www.uniprot.org/uniprot/M5XPV4","M5XPV4")</f>
        <v>M5XPV4</v>
      </c>
      <c r="D9650" s="2" t="s">
        <v>8342</v>
      </c>
      <c r="E9650" s="3">
        <v>2.4799999999999998E-75</v>
      </c>
      <c r="F9650" s="2">
        <v>591</v>
      </c>
      <c r="G9650" s="2">
        <v>100</v>
      </c>
      <c r="H9650" s="2">
        <v>112</v>
      </c>
      <c r="I9650" s="2">
        <v>3</v>
      </c>
      <c r="J9650" s="2">
        <v>338</v>
      </c>
      <c r="K9650" s="2">
        <v>1</v>
      </c>
      <c r="L9650" s="2">
        <v>112</v>
      </c>
    </row>
    <row r="9651" spans="1:12" x14ac:dyDescent="0.25">
      <c r="A9651" s="4" t="str">
        <f>HYPERLINK("http://www.rosaceae.org/Prunus/Prunus_persica/p.persica_gdr_reftransV1_0043633","p.persica_gdr_reftransV1_0043633")</f>
        <v>p.persica_gdr_reftransV1_0043633</v>
      </c>
      <c r="B9651" s="2">
        <v>2930</v>
      </c>
      <c r="C9651" s="4" t="str">
        <f>HYPERLINK("http://www.uniprot.org/uniprot/M5WLR0","M5WLR0")</f>
        <v>M5WLR0</v>
      </c>
      <c r="D9651" s="2" t="s">
        <v>8343</v>
      </c>
      <c r="E9651" s="3">
        <v>0</v>
      </c>
      <c r="F9651" s="2">
        <v>4726</v>
      </c>
      <c r="G9651" s="2">
        <v>100</v>
      </c>
      <c r="H9651" s="2">
        <v>893</v>
      </c>
      <c r="I9651" s="2">
        <v>124</v>
      </c>
      <c r="J9651" s="2">
        <v>2802</v>
      </c>
      <c r="K9651" s="2">
        <v>1</v>
      </c>
      <c r="L9651" s="2">
        <v>893</v>
      </c>
    </row>
    <row r="9652" spans="1:12" x14ac:dyDescent="0.25">
      <c r="A9652" s="4" t="str">
        <f>HYPERLINK("http://www.rosaceae.org/Prunus/Prunus_persica/p.persica_gdr_reftransV1_0043983","p.persica_gdr_reftransV1_0043983")</f>
        <v>p.persica_gdr_reftransV1_0043983</v>
      </c>
      <c r="B9652" s="2">
        <v>694</v>
      </c>
      <c r="C9652" s="4" t="str">
        <f>HYPERLINK("http://www.uniprot.org/uniprot/M5X0U3","M5X0U3")</f>
        <v>M5X0U3</v>
      </c>
      <c r="D9652" s="2" t="s">
        <v>8344</v>
      </c>
      <c r="E9652" s="3">
        <v>7.9699999999999993E-62</v>
      </c>
      <c r="F9652" s="2">
        <v>509</v>
      </c>
      <c r="G9652" s="2">
        <v>100</v>
      </c>
      <c r="H9652" s="2">
        <v>112</v>
      </c>
      <c r="I9652" s="2">
        <v>270</v>
      </c>
      <c r="J9652" s="2">
        <v>605</v>
      </c>
      <c r="K9652" s="2">
        <v>1</v>
      </c>
      <c r="L9652" s="2">
        <v>112</v>
      </c>
    </row>
    <row r="9653" spans="1:12" x14ac:dyDescent="0.25">
      <c r="A9653" s="4" t="str">
        <f>HYPERLINK("http://www.rosaceae.org/Prunus/Prunus_persica/p.persica_gdr_reftransV1_0044683","p.persica_gdr_reftransV1_0044683")</f>
        <v>p.persica_gdr_reftransV1_0044683</v>
      </c>
      <c r="B9653" s="2">
        <v>1177</v>
      </c>
      <c r="C9653" s="4" t="str">
        <f>HYPERLINK("http://www.uniprot.org/uniprot/M5W073","M5W073")</f>
        <v>M5W073</v>
      </c>
      <c r="D9653" s="2" t="s">
        <v>8345</v>
      </c>
      <c r="E9653" s="3">
        <v>7.6099999999999994E-120</v>
      </c>
      <c r="F9653" s="2">
        <v>918</v>
      </c>
      <c r="G9653" s="2">
        <v>100</v>
      </c>
      <c r="H9653" s="2">
        <v>188</v>
      </c>
      <c r="I9653" s="2">
        <v>418</v>
      </c>
      <c r="J9653" s="2">
        <v>981</v>
      </c>
      <c r="K9653" s="2">
        <v>13</v>
      </c>
      <c r="L9653" s="2">
        <v>200</v>
      </c>
    </row>
    <row r="9654" spans="1:12" x14ac:dyDescent="0.25">
      <c r="A9654" s="4" t="str">
        <f>HYPERLINK("http://www.rosaceae.org/Prunus/Prunus_persica/p.persica_gdr_reftransV1_0045033","p.persica_gdr_reftransV1_0045033")</f>
        <v>p.persica_gdr_reftransV1_0045033</v>
      </c>
      <c r="B9654" s="2">
        <v>350</v>
      </c>
      <c r="C9654" s="4" t="str">
        <f>HYPERLINK("http://www.uniprot.org/uniprot/M5XPI9","M5XPI9")</f>
        <v>M5XPI9</v>
      </c>
      <c r="D9654" s="2" t="s">
        <v>2189</v>
      </c>
      <c r="E9654" s="3">
        <v>1.7699999999999999E-21</v>
      </c>
      <c r="F9654" s="2">
        <v>241</v>
      </c>
      <c r="G9654" s="2">
        <v>90</v>
      </c>
      <c r="H9654" s="2">
        <v>52</v>
      </c>
      <c r="I9654" s="2">
        <v>136</v>
      </c>
      <c r="J9654" s="2">
        <v>291</v>
      </c>
      <c r="K9654" s="2">
        <v>390</v>
      </c>
      <c r="L9654" s="2">
        <v>441</v>
      </c>
    </row>
    <row r="9655" spans="1:12" x14ac:dyDescent="0.25">
      <c r="A9655" s="4" t="str">
        <f>HYPERLINK("http://www.rosaceae.org/Prunus/Prunus_persica/p.persica_gdr_reftransV1_0045383","p.persica_gdr_reftransV1_0045383")</f>
        <v>p.persica_gdr_reftransV1_0045383</v>
      </c>
      <c r="B9655" s="2">
        <v>1113</v>
      </c>
      <c r="C9655" s="4" t="str">
        <f>HYPERLINK("http://www.uniprot.org/uniprot/M5WGJ3","M5WGJ3")</f>
        <v>M5WGJ3</v>
      </c>
      <c r="D9655" s="2" t="s">
        <v>8346</v>
      </c>
      <c r="E9655" s="3">
        <v>3.4400000000000001E-132</v>
      </c>
      <c r="F9655" s="2">
        <v>1005</v>
      </c>
      <c r="G9655" s="2">
        <v>100</v>
      </c>
      <c r="H9655" s="2">
        <v>207</v>
      </c>
      <c r="I9655" s="2">
        <v>260</v>
      </c>
      <c r="J9655" s="2">
        <v>880</v>
      </c>
      <c r="K9655" s="2">
        <v>73</v>
      </c>
      <c r="L9655" s="2">
        <v>279</v>
      </c>
    </row>
    <row r="9656" spans="1:12" x14ac:dyDescent="0.25">
      <c r="A9656" s="4" t="str">
        <f>HYPERLINK("http://www.rosaceae.org/Prunus/Prunus_persica/p.persica_gdr_reftransV1_0045733","p.persica_gdr_reftransV1_0045733")</f>
        <v>p.persica_gdr_reftransV1_0045733</v>
      </c>
      <c r="B9656" s="2">
        <v>576</v>
      </c>
      <c r="C9656" s="4" t="str">
        <f>HYPERLINK("http://www.uniprot.org/uniprot/M5WFK5","M5WFK5")</f>
        <v>M5WFK5</v>
      </c>
      <c r="D9656" s="2" t="s">
        <v>8347</v>
      </c>
      <c r="E9656" s="3">
        <v>7.8700000000000004E-55</v>
      </c>
      <c r="F9656" s="2">
        <v>480</v>
      </c>
      <c r="G9656" s="2">
        <v>100</v>
      </c>
      <c r="H9656" s="2">
        <v>101</v>
      </c>
      <c r="I9656" s="2">
        <v>54</v>
      </c>
      <c r="J9656" s="2">
        <v>356</v>
      </c>
      <c r="K9656" s="2">
        <v>277</v>
      </c>
      <c r="L9656" s="2">
        <v>377</v>
      </c>
    </row>
    <row r="9657" spans="1:12" x14ac:dyDescent="0.25">
      <c r="A9657" s="4" t="str">
        <f>HYPERLINK("http://www.rosaceae.org/Prunus/Prunus_persica/p.persica_gdr_reftransV1_0046083","p.persica_gdr_reftransV1_0046083")</f>
        <v>p.persica_gdr_reftransV1_0046083</v>
      </c>
      <c r="B9657" s="2">
        <v>1071</v>
      </c>
      <c r="C9657" s="4" t="str">
        <f>HYPERLINK("http://www.uniprot.org/uniprot/H6BF96","H6BF96")</f>
        <v>H6BF96</v>
      </c>
      <c r="D9657" s="2" t="s">
        <v>8348</v>
      </c>
      <c r="E9657" s="3">
        <v>1.9899999999999999E-74</v>
      </c>
      <c r="F9657" s="2">
        <v>614</v>
      </c>
      <c r="G9657" s="2">
        <v>64</v>
      </c>
      <c r="H9657" s="2">
        <v>215</v>
      </c>
      <c r="I9657" s="2">
        <v>43</v>
      </c>
      <c r="J9657" s="2">
        <v>675</v>
      </c>
      <c r="K9657" s="2">
        <v>5</v>
      </c>
      <c r="L9657" s="2">
        <v>215</v>
      </c>
    </row>
    <row r="9658" spans="1:12" x14ac:dyDescent="0.25">
      <c r="A9658" s="4" t="str">
        <f>HYPERLINK("http://www.rosaceae.org/Prunus/Prunus_persica/p.persica_gdr_reftransV1_0046433","p.persica_gdr_reftransV1_0046433")</f>
        <v>p.persica_gdr_reftransV1_0046433</v>
      </c>
      <c r="B9658" s="2">
        <v>1642</v>
      </c>
      <c r="C9658" s="4" t="str">
        <f>HYPERLINK("http://www.uniprot.org/uniprot/M5WGY8","M5WGY8")</f>
        <v>M5WGY8</v>
      </c>
      <c r="D9658" s="2" t="s">
        <v>7163</v>
      </c>
      <c r="E9658" s="3">
        <v>0</v>
      </c>
      <c r="F9658" s="2">
        <v>2533</v>
      </c>
      <c r="G9658" s="2">
        <v>100</v>
      </c>
      <c r="H9658" s="2">
        <v>514</v>
      </c>
      <c r="I9658" s="2">
        <v>100</v>
      </c>
      <c r="J9658" s="2">
        <v>1641</v>
      </c>
      <c r="K9658" s="2">
        <v>17</v>
      </c>
      <c r="L9658" s="2">
        <v>530</v>
      </c>
    </row>
    <row r="9659" spans="1:12" x14ac:dyDescent="0.25">
      <c r="A9659" s="4" t="str">
        <f>HYPERLINK("http://www.rosaceae.org/Prunus/Prunus_persica/p.persica_gdr_reftransV1_0046783","p.persica_gdr_reftransV1_0046783")</f>
        <v>p.persica_gdr_reftransV1_0046783</v>
      </c>
      <c r="B9659" s="2">
        <v>787</v>
      </c>
      <c r="C9659" s="4" t="str">
        <f>HYPERLINK("http://www.uniprot.org/uniprot/M5WVI3","M5WVI3")</f>
        <v>M5WVI3</v>
      </c>
      <c r="D9659" s="2" t="s">
        <v>2221</v>
      </c>
      <c r="E9659" s="3">
        <v>1.3900000000000001E-116</v>
      </c>
      <c r="F9659" s="2">
        <v>884</v>
      </c>
      <c r="G9659" s="2">
        <v>95</v>
      </c>
      <c r="H9659" s="2">
        <v>174</v>
      </c>
      <c r="I9659" s="2">
        <v>265</v>
      </c>
      <c r="J9659" s="2">
        <v>786</v>
      </c>
      <c r="K9659" s="2">
        <v>14</v>
      </c>
      <c r="L9659" s="2">
        <v>187</v>
      </c>
    </row>
    <row r="9660" spans="1:12" x14ac:dyDescent="0.25">
      <c r="A9660" s="4" t="str">
        <f>HYPERLINK("http://www.rosaceae.org/Prunus/Prunus_persica/p.persica_gdr_reftransV1_0047133","p.persica_gdr_reftransV1_0047133")</f>
        <v>p.persica_gdr_reftransV1_0047133</v>
      </c>
      <c r="B9660" s="2">
        <v>484</v>
      </c>
      <c r="C9660" s="4" t="str">
        <f>HYPERLINK("http://www.uniprot.org/uniprot/M5XIP6","M5XIP6")</f>
        <v>M5XIP6</v>
      </c>
      <c r="D9660" s="2" t="s">
        <v>8349</v>
      </c>
      <c r="E9660" s="3">
        <v>2.77E-42</v>
      </c>
      <c r="F9660" s="2">
        <v>380</v>
      </c>
      <c r="G9660" s="2">
        <v>99</v>
      </c>
      <c r="H9660" s="2">
        <v>70</v>
      </c>
      <c r="I9660" s="2">
        <v>66</v>
      </c>
      <c r="J9660" s="2">
        <v>275</v>
      </c>
      <c r="K9660" s="2">
        <v>1</v>
      </c>
      <c r="L9660" s="2">
        <v>70</v>
      </c>
    </row>
    <row r="9661" spans="1:12" x14ac:dyDescent="0.25">
      <c r="A9661" s="4" t="str">
        <f>HYPERLINK("http://www.rosaceae.org/Prunus/Prunus_persica/p.persica_gdr_reftransV1_0047483","p.persica_gdr_reftransV1_0047483")</f>
        <v>p.persica_gdr_reftransV1_0047483</v>
      </c>
      <c r="B9661" s="2">
        <v>1606</v>
      </c>
      <c r="C9661" s="4" t="str">
        <f>HYPERLINK("http://www.uniprot.org/uniprot/M5XH02","M5XH02")</f>
        <v>M5XH02</v>
      </c>
      <c r="D9661" s="2" t="s">
        <v>1748</v>
      </c>
      <c r="E9661" s="3">
        <v>0</v>
      </c>
      <c r="F9661" s="2">
        <v>2308</v>
      </c>
      <c r="G9661" s="2">
        <v>98</v>
      </c>
      <c r="H9661" s="2">
        <v>497</v>
      </c>
      <c r="I9661" s="2">
        <v>139</v>
      </c>
      <c r="J9661" s="2">
        <v>1605</v>
      </c>
      <c r="K9661" s="2">
        <v>536</v>
      </c>
      <c r="L9661" s="2">
        <v>1032</v>
      </c>
    </row>
    <row r="9662" spans="1:12" x14ac:dyDescent="0.25">
      <c r="A9662" s="4" t="str">
        <f>HYPERLINK("http://www.rosaceae.org/Prunus/Prunus_persica/p.persica_gdr_reftransV1_0047833","p.persica_gdr_reftransV1_0047833")</f>
        <v>p.persica_gdr_reftransV1_0047833</v>
      </c>
      <c r="B9662" s="2">
        <v>3533</v>
      </c>
      <c r="C9662" s="4" t="str">
        <f>HYPERLINK("http://www.uniprot.org/uniprot/M5WL30","M5WL30")</f>
        <v>M5WL30</v>
      </c>
      <c r="D9662" s="2" t="s">
        <v>8350</v>
      </c>
      <c r="E9662" s="3">
        <v>0</v>
      </c>
      <c r="F9662" s="2">
        <v>1955</v>
      </c>
      <c r="G9662" s="2">
        <v>100</v>
      </c>
      <c r="H9662" s="2">
        <v>359</v>
      </c>
      <c r="I9662" s="2">
        <v>564</v>
      </c>
      <c r="J9662" s="2">
        <v>1640</v>
      </c>
      <c r="K9662" s="2">
        <v>1</v>
      </c>
      <c r="L9662" s="2">
        <v>359</v>
      </c>
    </row>
    <row r="9663" spans="1:12" x14ac:dyDescent="0.25">
      <c r="A9663" s="4" t="str">
        <f>HYPERLINK("http://www.rosaceae.org/Prunus/Prunus_persica/p.persica_gdr_reftransV1_0048183","p.persica_gdr_reftransV1_0048183")</f>
        <v>p.persica_gdr_reftransV1_0048183</v>
      </c>
      <c r="B9663" s="2">
        <v>1179</v>
      </c>
      <c r="C9663" s="4" t="str">
        <f>HYPERLINK("http://www.uniprot.org/uniprot/M5WBH9","M5WBH9")</f>
        <v>M5WBH9</v>
      </c>
      <c r="D9663" s="2" t="s">
        <v>8351</v>
      </c>
      <c r="E9663" s="3">
        <v>0</v>
      </c>
      <c r="F9663" s="2">
        <v>1363</v>
      </c>
      <c r="G9663" s="2">
        <v>100</v>
      </c>
      <c r="H9663" s="2">
        <v>252</v>
      </c>
      <c r="I9663" s="2">
        <v>82</v>
      </c>
      <c r="J9663" s="2">
        <v>837</v>
      </c>
      <c r="K9663" s="2">
        <v>20</v>
      </c>
      <c r="L9663" s="2">
        <v>271</v>
      </c>
    </row>
    <row r="9664" spans="1:12" x14ac:dyDescent="0.25">
      <c r="A9664" s="4" t="str">
        <f>HYPERLINK("http://www.rosaceae.org/Prunus/Prunus_persica/p.persica_gdr_reftransV1_0048533","p.persica_gdr_reftransV1_0048533")</f>
        <v>p.persica_gdr_reftransV1_0048533</v>
      </c>
      <c r="B9664" s="2">
        <v>2836</v>
      </c>
      <c r="C9664" s="4" t="str">
        <f>HYPERLINK("http://www.uniprot.org/uniprot/M5XLC5","M5XLC5")</f>
        <v>M5XLC5</v>
      </c>
      <c r="D9664" s="2" t="s">
        <v>8352</v>
      </c>
      <c r="E9664" s="3">
        <v>0</v>
      </c>
      <c r="F9664" s="2">
        <v>3047</v>
      </c>
      <c r="G9664" s="2">
        <v>100</v>
      </c>
      <c r="H9664" s="2">
        <v>647</v>
      </c>
      <c r="I9664" s="2">
        <v>752</v>
      </c>
      <c r="J9664" s="2">
        <v>2692</v>
      </c>
      <c r="K9664" s="2">
        <v>1</v>
      </c>
      <c r="L9664" s="2">
        <v>647</v>
      </c>
    </row>
    <row r="9665" spans="1:12" x14ac:dyDescent="0.25">
      <c r="A9665" s="4" t="str">
        <f>HYPERLINK("http://www.rosaceae.org/Prunus/Prunus_persica/p.persica_gdr_reftransV1_0048883","p.persica_gdr_reftransV1_0048883")</f>
        <v>p.persica_gdr_reftransV1_0048883</v>
      </c>
      <c r="B9665" s="2">
        <v>1431</v>
      </c>
      <c r="C9665" s="4" t="str">
        <f>HYPERLINK("http://www.uniprot.org/uniprot/M5XZG0","M5XZG0")</f>
        <v>M5XZG0</v>
      </c>
      <c r="D9665" s="2" t="s">
        <v>8353</v>
      </c>
      <c r="E9665" s="3">
        <v>1.94E-152</v>
      </c>
      <c r="F9665" s="2">
        <v>1148</v>
      </c>
      <c r="G9665" s="2">
        <v>100</v>
      </c>
      <c r="H9665" s="2">
        <v>260</v>
      </c>
      <c r="I9665" s="2">
        <v>442</v>
      </c>
      <c r="J9665" s="2">
        <v>1221</v>
      </c>
      <c r="K9665" s="2">
        <v>1</v>
      </c>
      <c r="L9665" s="2">
        <v>260</v>
      </c>
    </row>
    <row r="9666" spans="1:12" x14ac:dyDescent="0.25">
      <c r="A9666" s="4" t="str">
        <f>HYPERLINK("http://www.rosaceae.org/Prunus/Prunus_persica/p.persica_gdr_reftransV1_0000234","p.persica_gdr_reftransV1_0000234")</f>
        <v>p.persica_gdr_reftransV1_0000234</v>
      </c>
      <c r="B9666" s="2">
        <v>1599</v>
      </c>
      <c r="C9666" s="4" t="str">
        <f>HYPERLINK("http://www.uniprot.org/uniprot/M5X131","M5X131")</f>
        <v>M5X131</v>
      </c>
      <c r="D9666" s="2" t="s">
        <v>8354</v>
      </c>
      <c r="E9666" s="3">
        <v>0</v>
      </c>
      <c r="F9666" s="2">
        <v>2200</v>
      </c>
      <c r="G9666" s="2">
        <v>100</v>
      </c>
      <c r="H9666" s="2">
        <v>457</v>
      </c>
      <c r="I9666" s="2">
        <v>200</v>
      </c>
      <c r="J9666" s="2">
        <v>1570</v>
      </c>
      <c r="K9666" s="2">
        <v>1</v>
      </c>
      <c r="L9666" s="2">
        <v>457</v>
      </c>
    </row>
    <row r="9667" spans="1:12" x14ac:dyDescent="0.25">
      <c r="A9667" s="4" t="str">
        <f>HYPERLINK("http://www.rosaceae.org/Prunus/Prunus_persica/p.persica_gdr_reftransV1_0000584","p.persica_gdr_reftransV1_0000584")</f>
        <v>p.persica_gdr_reftransV1_0000584</v>
      </c>
      <c r="B9667" s="2">
        <v>784</v>
      </c>
      <c r="C9667" s="4" t="str">
        <f>HYPERLINK("http://www.uniprot.org/uniprot/A0A0A9B536","A0A0A9B536")</f>
        <v>A0A0A9B536</v>
      </c>
      <c r="D9667" s="2" t="s">
        <v>8355</v>
      </c>
      <c r="E9667" s="3">
        <v>1.82E-83</v>
      </c>
      <c r="F9667" s="2">
        <v>675</v>
      </c>
      <c r="G9667" s="2">
        <v>53</v>
      </c>
      <c r="H9667" s="2">
        <v>241</v>
      </c>
      <c r="I9667" s="2">
        <v>41</v>
      </c>
      <c r="J9667" s="2">
        <v>760</v>
      </c>
      <c r="K9667" s="2">
        <v>88</v>
      </c>
      <c r="L9667" s="2">
        <v>328</v>
      </c>
    </row>
    <row r="9668" spans="1:12" x14ac:dyDescent="0.25">
      <c r="A9668" s="4" t="str">
        <f>HYPERLINK("http://www.rosaceae.org/Prunus/Prunus_persica/p.persica_gdr_reftransV1_0001284","p.persica_gdr_reftransV1_0001284")</f>
        <v>p.persica_gdr_reftransV1_0001284</v>
      </c>
      <c r="B9668" s="2">
        <v>1279</v>
      </c>
      <c r="C9668" s="4" t="str">
        <f>HYPERLINK("http://www.uniprot.org/uniprot/M5XGF3","M5XGF3")</f>
        <v>M5XGF3</v>
      </c>
      <c r="D9668" s="2" t="s">
        <v>8356</v>
      </c>
      <c r="E9668" s="3">
        <v>7.6399999999999995E-85</v>
      </c>
      <c r="F9668" s="2">
        <v>699</v>
      </c>
      <c r="G9668" s="2">
        <v>98</v>
      </c>
      <c r="H9668" s="2">
        <v>177</v>
      </c>
      <c r="I9668" s="2">
        <v>680</v>
      </c>
      <c r="J9668" s="2">
        <v>1210</v>
      </c>
      <c r="K9668" s="2">
        <v>1</v>
      </c>
      <c r="L9668" s="2">
        <v>177</v>
      </c>
    </row>
    <row r="9669" spans="1:12" x14ac:dyDescent="0.25">
      <c r="A9669" s="4" t="str">
        <f>HYPERLINK("http://www.rosaceae.org/Prunus/Prunus_persica/p.persica_gdr_reftransV1_0001634","p.persica_gdr_reftransV1_0001634")</f>
        <v>p.persica_gdr_reftransV1_0001634</v>
      </c>
      <c r="B9669" s="2">
        <v>381</v>
      </c>
      <c r="C9669" s="4" t="str">
        <f>HYPERLINK("http://www.uniprot.org/uniprot/M5XBB0","M5XBB0")</f>
        <v>M5XBB0</v>
      </c>
      <c r="D9669" s="2" t="s">
        <v>118</v>
      </c>
      <c r="E9669" s="3">
        <v>2.5800000000000002E-85</v>
      </c>
      <c r="F9669" s="2">
        <v>695</v>
      </c>
      <c r="G9669" s="2">
        <v>100</v>
      </c>
      <c r="H9669" s="2">
        <v>127</v>
      </c>
      <c r="I9669" s="2">
        <v>1</v>
      </c>
      <c r="J9669" s="2">
        <v>381</v>
      </c>
      <c r="K9669" s="2">
        <v>421</v>
      </c>
      <c r="L9669" s="2">
        <v>547</v>
      </c>
    </row>
    <row r="9670" spans="1:12" x14ac:dyDescent="0.25">
      <c r="A9670" s="4" t="str">
        <f>HYPERLINK("http://www.rosaceae.org/Prunus/Prunus_persica/p.persica_gdr_reftransV1_0001984","p.persica_gdr_reftransV1_0001984")</f>
        <v>p.persica_gdr_reftransV1_0001984</v>
      </c>
      <c r="B9670" s="2">
        <v>1398</v>
      </c>
      <c r="C9670" s="4" t="str">
        <f>HYPERLINK("http://www.uniprot.org/uniprot/M5WAD5","M5WAD5")</f>
        <v>M5WAD5</v>
      </c>
      <c r="D9670" s="2" t="s">
        <v>6693</v>
      </c>
      <c r="E9670" s="3">
        <v>0</v>
      </c>
      <c r="F9670" s="2">
        <v>2374</v>
      </c>
      <c r="G9670" s="2">
        <v>97</v>
      </c>
      <c r="H9670" s="2">
        <v>465</v>
      </c>
      <c r="I9670" s="2">
        <v>3</v>
      </c>
      <c r="J9670" s="2">
        <v>1397</v>
      </c>
      <c r="K9670" s="2">
        <v>82</v>
      </c>
      <c r="L9670" s="2">
        <v>545</v>
      </c>
    </row>
    <row r="9671" spans="1:12" x14ac:dyDescent="0.25">
      <c r="A9671" s="4" t="str">
        <f>HYPERLINK("http://www.rosaceae.org/Prunus/Prunus_persica/p.persica_gdr_reftransV1_0002334","p.persica_gdr_reftransV1_0002334")</f>
        <v>p.persica_gdr_reftransV1_0002334</v>
      </c>
      <c r="B9671" s="2">
        <v>631</v>
      </c>
      <c r="C9671" s="4" t="str">
        <f>HYPERLINK("http://www.uniprot.org/uniprot/M5WY49","M5WY49")</f>
        <v>M5WY49</v>
      </c>
      <c r="D9671" s="2" t="s">
        <v>3053</v>
      </c>
      <c r="E9671" s="3">
        <v>4.7700000000000002E-60</v>
      </c>
      <c r="F9671" s="2">
        <v>509</v>
      </c>
      <c r="G9671" s="2">
        <v>91</v>
      </c>
      <c r="H9671" s="2">
        <v>137</v>
      </c>
      <c r="I9671" s="2">
        <v>219</v>
      </c>
      <c r="J9671" s="2">
        <v>629</v>
      </c>
      <c r="K9671" s="2">
        <v>96</v>
      </c>
      <c r="L9671" s="2">
        <v>225</v>
      </c>
    </row>
    <row r="9672" spans="1:12" x14ac:dyDescent="0.25">
      <c r="A9672" s="4" t="str">
        <f>HYPERLINK("http://www.rosaceae.org/Prunus/Prunus_persica/p.persica_gdr_reftransV1_0003034","p.persica_gdr_reftransV1_0003034")</f>
        <v>p.persica_gdr_reftransV1_0003034</v>
      </c>
      <c r="B9672" s="2">
        <v>803</v>
      </c>
      <c r="C9672" s="4" t="str">
        <f>HYPERLINK("http://www.uniprot.org/uniprot/M5XK76","M5XK76")</f>
        <v>M5XK76</v>
      </c>
      <c r="D9672" s="2" t="s">
        <v>8357</v>
      </c>
      <c r="E9672" s="3">
        <v>1.1799999999999999E-161</v>
      </c>
      <c r="F9672" s="2">
        <v>1226</v>
      </c>
      <c r="G9672" s="2">
        <v>100</v>
      </c>
      <c r="H9672" s="2">
        <v>236</v>
      </c>
      <c r="I9672" s="2">
        <v>95</v>
      </c>
      <c r="J9672" s="2">
        <v>802</v>
      </c>
      <c r="K9672" s="2">
        <v>1</v>
      </c>
      <c r="L9672" s="2">
        <v>236</v>
      </c>
    </row>
    <row r="9673" spans="1:12" x14ac:dyDescent="0.25">
      <c r="A9673" s="4" t="str">
        <f>HYPERLINK("http://www.rosaceae.org/Prunus/Prunus_persica/p.persica_gdr_reftransV1_0003384","p.persica_gdr_reftransV1_0003384")</f>
        <v>p.persica_gdr_reftransV1_0003384</v>
      </c>
      <c r="B9673" s="2">
        <v>2329</v>
      </c>
      <c r="C9673" s="4" t="str">
        <f>HYPERLINK("http://www.uniprot.org/uniprot/M5X2V7","M5X2V7")</f>
        <v>M5X2V7</v>
      </c>
      <c r="D9673" s="2" t="s">
        <v>8358</v>
      </c>
      <c r="E9673" s="3">
        <v>0</v>
      </c>
      <c r="F9673" s="2">
        <v>2369</v>
      </c>
      <c r="G9673" s="2">
        <v>99</v>
      </c>
      <c r="H9673" s="2">
        <v>505</v>
      </c>
      <c r="I9673" s="2">
        <v>483</v>
      </c>
      <c r="J9673" s="2">
        <v>1997</v>
      </c>
      <c r="K9673" s="2">
        <v>80</v>
      </c>
      <c r="L9673" s="2">
        <v>584</v>
      </c>
    </row>
    <row r="9674" spans="1:12" x14ac:dyDescent="0.25">
      <c r="A9674" s="4" t="str">
        <f>HYPERLINK("http://www.rosaceae.org/Prunus/Prunus_persica/p.persica_gdr_reftransV1_0003734","p.persica_gdr_reftransV1_0003734")</f>
        <v>p.persica_gdr_reftransV1_0003734</v>
      </c>
      <c r="B9674" s="2">
        <v>1082</v>
      </c>
      <c r="C9674" s="4" t="str">
        <f>HYPERLINK("http://www.uniprot.org/uniprot/M5WBC0","M5WBC0")</f>
        <v>M5WBC0</v>
      </c>
      <c r="D9674" s="2" t="s">
        <v>8359</v>
      </c>
      <c r="E9674" s="3">
        <v>3.9900000000000003E-126</v>
      </c>
      <c r="F9674" s="2">
        <v>974</v>
      </c>
      <c r="G9674" s="2">
        <v>96</v>
      </c>
      <c r="H9674" s="2">
        <v>287</v>
      </c>
      <c r="I9674" s="2">
        <v>139</v>
      </c>
      <c r="J9674" s="2">
        <v>999</v>
      </c>
      <c r="K9674" s="2">
        <v>22</v>
      </c>
      <c r="L9674" s="2">
        <v>297</v>
      </c>
    </row>
    <row r="9675" spans="1:12" x14ac:dyDescent="0.25">
      <c r="A9675" s="4" t="str">
        <f>HYPERLINK("http://www.rosaceae.org/Prunus/Prunus_persica/p.persica_gdr_reftransV1_0004084","p.persica_gdr_reftransV1_0004084")</f>
        <v>p.persica_gdr_reftransV1_0004084</v>
      </c>
      <c r="B9675" s="2">
        <v>316</v>
      </c>
      <c r="C9675" s="4" t="str">
        <f>HYPERLINK("http://www.uniprot.org/uniprot/M5WLT0","M5WLT0")</f>
        <v>M5WLT0</v>
      </c>
      <c r="D9675" s="2" t="s">
        <v>8360</v>
      </c>
      <c r="E9675" s="3">
        <v>3.4299999999999999E-34</v>
      </c>
      <c r="F9675" s="2">
        <v>334</v>
      </c>
      <c r="G9675" s="2">
        <v>100</v>
      </c>
      <c r="H9675" s="2">
        <v>61</v>
      </c>
      <c r="I9675" s="2">
        <v>133</v>
      </c>
      <c r="J9675" s="2">
        <v>315</v>
      </c>
      <c r="K9675" s="2">
        <v>1</v>
      </c>
      <c r="L9675" s="2">
        <v>61</v>
      </c>
    </row>
    <row r="9676" spans="1:12" x14ac:dyDescent="0.25">
      <c r="A9676" s="4" t="str">
        <f>HYPERLINK("http://www.rosaceae.org/Prunus/Prunus_persica/p.persica_gdr_reftransV1_0006534","p.persica_gdr_reftransV1_0006534")</f>
        <v>p.persica_gdr_reftransV1_0006534</v>
      </c>
      <c r="B9676" s="2">
        <v>626</v>
      </c>
      <c r="C9676" s="4" t="str">
        <f>HYPERLINK("http://www.uniprot.org/uniprot/M5VSQ5","M5VSQ5")</f>
        <v>M5VSQ5</v>
      </c>
      <c r="D9676" s="2" t="s">
        <v>8361</v>
      </c>
      <c r="E9676" s="3">
        <v>1.3499999999999999E-59</v>
      </c>
      <c r="F9676" s="2">
        <v>492</v>
      </c>
      <c r="G9676" s="2">
        <v>91</v>
      </c>
      <c r="H9676" s="2">
        <v>128</v>
      </c>
      <c r="I9676" s="2">
        <v>211</v>
      </c>
      <c r="J9676" s="2">
        <v>594</v>
      </c>
      <c r="K9676" s="2">
        <v>1</v>
      </c>
      <c r="L9676" s="2">
        <v>117</v>
      </c>
    </row>
    <row r="9677" spans="1:12" x14ac:dyDescent="0.25">
      <c r="A9677" s="4" t="str">
        <f>HYPERLINK("http://www.rosaceae.org/Prunus/Prunus_persica/p.persica_gdr_reftransV1_0006884","p.persica_gdr_reftransV1_0006884")</f>
        <v>p.persica_gdr_reftransV1_0006884</v>
      </c>
      <c r="B9677" s="2">
        <v>688</v>
      </c>
      <c r="C9677" s="4" t="str">
        <f>HYPERLINK("http://www.uniprot.org/uniprot/M5WTK8","M5WTK8")</f>
        <v>M5WTK8</v>
      </c>
      <c r="D9677" s="2" t="s">
        <v>8362</v>
      </c>
      <c r="E9677" s="3">
        <v>1.0799999999999999E-98</v>
      </c>
      <c r="F9677" s="2">
        <v>797</v>
      </c>
      <c r="G9677" s="2">
        <v>100</v>
      </c>
      <c r="H9677" s="2">
        <v>150</v>
      </c>
      <c r="I9677" s="2">
        <v>3</v>
      </c>
      <c r="J9677" s="2">
        <v>452</v>
      </c>
      <c r="K9677" s="2">
        <v>477</v>
      </c>
      <c r="L9677" s="2">
        <v>626</v>
      </c>
    </row>
    <row r="9678" spans="1:12" x14ac:dyDescent="0.25">
      <c r="A9678" s="4" t="str">
        <f>HYPERLINK("http://www.rosaceae.org/Prunus/Prunus_persica/p.persica_gdr_reftransV1_0007234","p.persica_gdr_reftransV1_0007234")</f>
        <v>p.persica_gdr_reftransV1_0007234</v>
      </c>
      <c r="B9678" s="2">
        <v>772</v>
      </c>
      <c r="C9678" s="4" t="str">
        <f>HYPERLINK("http://www.uniprot.org/uniprot/M5XLW6","M5XLW6")</f>
        <v>M5XLW6</v>
      </c>
      <c r="D9678" s="2" t="s">
        <v>8363</v>
      </c>
      <c r="E9678" s="3">
        <v>1.64E-70</v>
      </c>
      <c r="F9678" s="2">
        <v>577</v>
      </c>
      <c r="G9678" s="2">
        <v>100</v>
      </c>
      <c r="H9678" s="2">
        <v>130</v>
      </c>
      <c r="I9678" s="2">
        <v>3</v>
      </c>
      <c r="J9678" s="2">
        <v>392</v>
      </c>
      <c r="K9678" s="2">
        <v>64</v>
      </c>
      <c r="L9678" s="2">
        <v>193</v>
      </c>
    </row>
    <row r="9679" spans="1:12" x14ac:dyDescent="0.25">
      <c r="A9679" s="4" t="str">
        <f>HYPERLINK("http://www.rosaceae.org/Prunus/Prunus_persica/p.persica_gdr_reftransV1_0007584","p.persica_gdr_reftransV1_0007584")</f>
        <v>p.persica_gdr_reftransV1_0007584</v>
      </c>
      <c r="B9679" s="2">
        <v>655</v>
      </c>
      <c r="C9679" s="4" t="str">
        <f>HYPERLINK("http://www.uniprot.org/uniprot/M5VXQ9","M5VXQ9")</f>
        <v>M5VXQ9</v>
      </c>
      <c r="D9679" s="2" t="s">
        <v>8364</v>
      </c>
      <c r="E9679" s="3">
        <v>4.7700000000000001E-11</v>
      </c>
      <c r="F9679" s="2">
        <v>169</v>
      </c>
      <c r="G9679" s="2">
        <v>91</v>
      </c>
      <c r="H9679" s="2">
        <v>34</v>
      </c>
      <c r="I9679" s="2">
        <v>13</v>
      </c>
      <c r="J9679" s="2">
        <v>114</v>
      </c>
      <c r="K9679" s="2">
        <v>6</v>
      </c>
      <c r="L9679" s="2">
        <v>39</v>
      </c>
    </row>
    <row r="9680" spans="1:12" x14ac:dyDescent="0.25">
      <c r="A9680" s="4" t="str">
        <f>HYPERLINK("http://www.rosaceae.org/Prunus/Prunus_persica/p.persica_gdr_reftransV1_0007934","p.persica_gdr_reftransV1_0007934")</f>
        <v>p.persica_gdr_reftransV1_0007934</v>
      </c>
      <c r="B9680" s="2">
        <v>3909</v>
      </c>
      <c r="C9680" s="4" t="str">
        <f>HYPERLINK("http://www.uniprot.org/uniprot/M5X3M1","M5X3M1")</f>
        <v>M5X3M1</v>
      </c>
      <c r="D9680" s="2" t="s">
        <v>8365</v>
      </c>
      <c r="E9680" s="3">
        <v>0</v>
      </c>
      <c r="F9680" s="2">
        <v>4258</v>
      </c>
      <c r="G9680" s="2">
        <v>100</v>
      </c>
      <c r="H9680" s="2">
        <v>930</v>
      </c>
      <c r="I9680" s="2">
        <v>1120</v>
      </c>
      <c r="J9680" s="2">
        <v>3909</v>
      </c>
      <c r="K9680" s="2">
        <v>268</v>
      </c>
      <c r="L9680" s="2">
        <v>1197</v>
      </c>
    </row>
    <row r="9681" spans="1:12" x14ac:dyDescent="0.25">
      <c r="A9681" s="4" t="str">
        <f>HYPERLINK("http://www.rosaceae.org/Prunus/Prunus_persica/p.persica_gdr_reftransV1_0008284","p.persica_gdr_reftransV1_0008284")</f>
        <v>p.persica_gdr_reftransV1_0008284</v>
      </c>
      <c r="B9681" s="2">
        <v>1111</v>
      </c>
      <c r="C9681" s="4" t="str">
        <f>HYPERLINK("http://www.uniprot.org/uniprot/M5WA49","M5WA49")</f>
        <v>M5WA49</v>
      </c>
      <c r="D9681" s="2" t="s">
        <v>8366</v>
      </c>
      <c r="E9681" s="3">
        <v>9.1200000000000001E-162</v>
      </c>
      <c r="F9681" s="2">
        <v>1202</v>
      </c>
      <c r="G9681" s="2">
        <v>100</v>
      </c>
      <c r="H9681" s="2">
        <v>265</v>
      </c>
      <c r="I9681" s="2">
        <v>8</v>
      </c>
      <c r="J9681" s="2">
        <v>802</v>
      </c>
      <c r="K9681" s="2">
        <v>18</v>
      </c>
      <c r="L9681" s="2">
        <v>282</v>
      </c>
    </row>
    <row r="9682" spans="1:12" x14ac:dyDescent="0.25">
      <c r="A9682" s="4" t="str">
        <f>HYPERLINK("http://www.rosaceae.org/Prunus/Prunus_persica/p.persica_gdr_reftransV1_0008634","p.persica_gdr_reftransV1_0008634")</f>
        <v>p.persica_gdr_reftransV1_0008634</v>
      </c>
      <c r="B9682" s="2">
        <v>885</v>
      </c>
      <c r="C9682" s="4" t="str">
        <f>HYPERLINK("http://www.uniprot.org/uniprot/M5WUW5","M5WUW5")</f>
        <v>M5WUW5</v>
      </c>
      <c r="D9682" s="2" t="s">
        <v>8367</v>
      </c>
      <c r="E9682" s="3">
        <v>1.6399999999999999E-149</v>
      </c>
      <c r="F9682" s="2">
        <v>1110</v>
      </c>
      <c r="G9682" s="2">
        <v>100</v>
      </c>
      <c r="H9682" s="2">
        <v>212</v>
      </c>
      <c r="I9682" s="2">
        <v>249</v>
      </c>
      <c r="J9682" s="2">
        <v>884</v>
      </c>
      <c r="K9682" s="2">
        <v>1</v>
      </c>
      <c r="L9682" s="2">
        <v>212</v>
      </c>
    </row>
    <row r="9683" spans="1:12" x14ac:dyDescent="0.25">
      <c r="A9683" s="4" t="str">
        <f>HYPERLINK("http://www.rosaceae.org/Prunus/Prunus_persica/p.persica_gdr_reftransV1_0009334","p.persica_gdr_reftransV1_0009334")</f>
        <v>p.persica_gdr_reftransV1_0009334</v>
      </c>
      <c r="B9683" s="2">
        <v>1469</v>
      </c>
      <c r="C9683" s="4" t="str">
        <f>HYPERLINK("http://www.uniprot.org/uniprot/M5XRJ4","M5XRJ4")</f>
        <v>M5XRJ4</v>
      </c>
      <c r="D9683" s="2" t="s">
        <v>8368</v>
      </c>
      <c r="E9683" s="3">
        <v>6.12E-19</v>
      </c>
      <c r="F9683" s="2">
        <v>234</v>
      </c>
      <c r="G9683" s="2">
        <v>77</v>
      </c>
      <c r="H9683" s="2">
        <v>53</v>
      </c>
      <c r="I9683" s="2">
        <v>101</v>
      </c>
      <c r="J9683" s="2">
        <v>259</v>
      </c>
      <c r="K9683" s="2">
        <v>141</v>
      </c>
      <c r="L9683" s="2">
        <v>193</v>
      </c>
    </row>
    <row r="9684" spans="1:12" x14ac:dyDescent="0.25">
      <c r="A9684" s="4" t="str">
        <f>HYPERLINK("http://www.rosaceae.org/Prunus/Prunus_persica/p.persica_gdr_reftransV1_0010734","p.persica_gdr_reftransV1_0010734")</f>
        <v>p.persica_gdr_reftransV1_0010734</v>
      </c>
      <c r="B9684" s="2">
        <v>797</v>
      </c>
      <c r="C9684" s="4" t="str">
        <f>HYPERLINK("http://www.uniprot.org/uniprot/M5VWZ0","M5VWZ0")</f>
        <v>M5VWZ0</v>
      </c>
      <c r="D9684" s="2" t="s">
        <v>8369</v>
      </c>
      <c r="E9684" s="3">
        <v>1.5E-102</v>
      </c>
      <c r="F9684" s="2">
        <v>788</v>
      </c>
      <c r="G9684" s="2">
        <v>98</v>
      </c>
      <c r="H9684" s="2">
        <v>150</v>
      </c>
      <c r="I9684" s="2">
        <v>31</v>
      </c>
      <c r="J9684" s="2">
        <v>480</v>
      </c>
      <c r="K9684" s="2">
        <v>30</v>
      </c>
      <c r="L9684" s="2">
        <v>179</v>
      </c>
    </row>
    <row r="9685" spans="1:12" x14ac:dyDescent="0.25">
      <c r="A9685" s="4" t="str">
        <f>HYPERLINK("http://www.rosaceae.org/Prunus/Prunus_persica/p.persica_gdr_reftransV1_0011084","p.persica_gdr_reftransV1_0011084")</f>
        <v>p.persica_gdr_reftransV1_0011084</v>
      </c>
      <c r="B9685" s="2">
        <v>899</v>
      </c>
      <c r="C9685" s="4" t="str">
        <f>HYPERLINK("http://www.uniprot.org/uniprot/M5XN25","M5XN25")</f>
        <v>M5XN25</v>
      </c>
      <c r="D9685" s="2" t="s">
        <v>8370</v>
      </c>
      <c r="E9685" s="3">
        <v>1.1100000000000001E-106</v>
      </c>
      <c r="F9685" s="2">
        <v>821</v>
      </c>
      <c r="G9685" s="2">
        <v>100</v>
      </c>
      <c r="H9685" s="2">
        <v>156</v>
      </c>
      <c r="I9685" s="2">
        <v>173</v>
      </c>
      <c r="J9685" s="2">
        <v>640</v>
      </c>
      <c r="K9685" s="2">
        <v>42</v>
      </c>
      <c r="L9685" s="2">
        <v>197</v>
      </c>
    </row>
    <row r="9686" spans="1:12" x14ac:dyDescent="0.25">
      <c r="A9686" s="4" t="str">
        <f>HYPERLINK("http://www.rosaceae.org/Prunus/Prunus_persica/p.persica_gdr_reftransV1_0011784","p.persica_gdr_reftransV1_0011784")</f>
        <v>p.persica_gdr_reftransV1_0011784</v>
      </c>
      <c r="B9686" s="2">
        <v>2053</v>
      </c>
      <c r="C9686" s="4" t="str">
        <f>HYPERLINK("http://www.uniprot.org/uniprot/M5WUN2","M5WUN2")</f>
        <v>M5WUN2</v>
      </c>
      <c r="D9686" s="2" t="s">
        <v>8371</v>
      </c>
      <c r="E9686" s="3">
        <v>0</v>
      </c>
      <c r="F9686" s="2">
        <v>1392</v>
      </c>
      <c r="G9686" s="2">
        <v>100</v>
      </c>
      <c r="H9686" s="2">
        <v>278</v>
      </c>
      <c r="I9686" s="2">
        <v>1097</v>
      </c>
      <c r="J9686" s="2">
        <v>1930</v>
      </c>
      <c r="K9686" s="2">
        <v>86</v>
      </c>
      <c r="L9686" s="2">
        <v>363</v>
      </c>
    </row>
    <row r="9687" spans="1:12" x14ac:dyDescent="0.25">
      <c r="A9687" s="4" t="str">
        <f>HYPERLINK("http://www.rosaceae.org/Prunus/Prunus_persica/p.persica_gdr_reftransV1_0012134","p.persica_gdr_reftransV1_0012134")</f>
        <v>p.persica_gdr_reftransV1_0012134</v>
      </c>
      <c r="B9687" s="2">
        <v>726</v>
      </c>
      <c r="C9687" s="4" t="str">
        <f>HYPERLINK("http://www.uniprot.org/uniprot/M5WNG7","M5WNG7")</f>
        <v>M5WNG7</v>
      </c>
      <c r="D9687" s="2" t="s">
        <v>3738</v>
      </c>
      <c r="E9687" s="3">
        <v>1.1400000000000001E-122</v>
      </c>
      <c r="F9687" s="2">
        <v>963</v>
      </c>
      <c r="G9687" s="2">
        <v>100</v>
      </c>
      <c r="H9687" s="2">
        <v>211</v>
      </c>
      <c r="I9687" s="2">
        <v>2</v>
      </c>
      <c r="J9687" s="2">
        <v>634</v>
      </c>
      <c r="K9687" s="2">
        <v>23</v>
      </c>
      <c r="L9687" s="2">
        <v>233</v>
      </c>
    </row>
    <row r="9688" spans="1:12" x14ac:dyDescent="0.25">
      <c r="A9688" s="4" t="str">
        <f>HYPERLINK("http://www.rosaceae.org/Prunus/Prunus_persica/p.persica_gdr_reftransV1_0012834","p.persica_gdr_reftransV1_0012834")</f>
        <v>p.persica_gdr_reftransV1_0012834</v>
      </c>
      <c r="B9688" s="2">
        <v>1051</v>
      </c>
      <c r="C9688" s="4" t="str">
        <f>HYPERLINK("http://www.uniprot.org/uniprot/M5X6X4","M5X6X4")</f>
        <v>M5X6X4</v>
      </c>
      <c r="D9688" s="2" t="s">
        <v>8372</v>
      </c>
      <c r="E9688" s="3">
        <v>6.2100000000000004E-126</v>
      </c>
      <c r="F9688" s="2">
        <v>999</v>
      </c>
      <c r="G9688" s="2">
        <v>99</v>
      </c>
      <c r="H9688" s="2">
        <v>215</v>
      </c>
      <c r="I9688" s="2">
        <v>1</v>
      </c>
      <c r="J9688" s="2">
        <v>645</v>
      </c>
      <c r="K9688" s="2">
        <v>489</v>
      </c>
      <c r="L9688" s="2">
        <v>703</v>
      </c>
    </row>
    <row r="9689" spans="1:12" x14ac:dyDescent="0.25">
      <c r="A9689" s="4" t="str">
        <f>HYPERLINK("http://www.rosaceae.org/Prunus/Prunus_persica/p.persica_gdr_reftransV1_0013534","p.persica_gdr_reftransV1_0013534")</f>
        <v>p.persica_gdr_reftransV1_0013534</v>
      </c>
      <c r="B9689" s="2">
        <v>902</v>
      </c>
      <c r="C9689" s="4" t="str">
        <f>HYPERLINK("http://www.uniprot.org/uniprot/M5XGX3","M5XGX3")</f>
        <v>M5XGX3</v>
      </c>
      <c r="D9689" s="2" t="s">
        <v>8373</v>
      </c>
      <c r="E9689" s="3">
        <v>9.1400000000000007E-99</v>
      </c>
      <c r="F9689" s="2">
        <v>768</v>
      </c>
      <c r="G9689" s="2">
        <v>100</v>
      </c>
      <c r="H9689" s="2">
        <v>147</v>
      </c>
      <c r="I9689" s="2">
        <v>144</v>
      </c>
      <c r="J9689" s="2">
        <v>584</v>
      </c>
      <c r="K9689" s="2">
        <v>20</v>
      </c>
      <c r="L9689" s="2">
        <v>166</v>
      </c>
    </row>
    <row r="9690" spans="1:12" x14ac:dyDescent="0.25">
      <c r="A9690" s="4" t="str">
        <f>HYPERLINK("http://www.rosaceae.org/Prunus/Prunus_persica/p.persica_gdr_reftransV1_0013884","p.persica_gdr_reftransV1_0013884")</f>
        <v>p.persica_gdr_reftransV1_0013884</v>
      </c>
      <c r="B9690" s="2">
        <v>2529</v>
      </c>
      <c r="C9690" s="4" t="str">
        <f>HYPERLINK("http://www.uniprot.org/uniprot/M5VJ25","M5VJ25")</f>
        <v>M5VJ25</v>
      </c>
      <c r="D9690" s="2" t="s">
        <v>8374</v>
      </c>
      <c r="E9690" s="3">
        <v>5.05E-170</v>
      </c>
      <c r="F9690" s="2">
        <v>1315</v>
      </c>
      <c r="G9690" s="2">
        <v>98</v>
      </c>
      <c r="H9690" s="2">
        <v>278</v>
      </c>
      <c r="I9690" s="2">
        <v>804</v>
      </c>
      <c r="J9690" s="2">
        <v>1637</v>
      </c>
      <c r="K9690" s="2">
        <v>143</v>
      </c>
      <c r="L9690" s="2">
        <v>420</v>
      </c>
    </row>
    <row r="9691" spans="1:12" x14ac:dyDescent="0.25">
      <c r="A9691" s="4" t="str">
        <f>HYPERLINK("http://www.rosaceae.org/Prunus/Prunus_persica/p.persica_gdr_reftransV1_0014234","p.persica_gdr_reftransV1_0014234")</f>
        <v>p.persica_gdr_reftransV1_0014234</v>
      </c>
      <c r="B9691" s="2">
        <v>2319</v>
      </c>
      <c r="C9691" s="4" t="str">
        <f>HYPERLINK("http://www.uniprot.org/uniprot/M5W864","M5W864")</f>
        <v>M5W864</v>
      </c>
      <c r="D9691" s="2" t="s">
        <v>8375</v>
      </c>
      <c r="E9691" s="3">
        <v>0</v>
      </c>
      <c r="F9691" s="2">
        <v>2926</v>
      </c>
      <c r="G9691" s="2">
        <v>100</v>
      </c>
      <c r="H9691" s="2">
        <v>578</v>
      </c>
      <c r="I9691" s="2">
        <v>141</v>
      </c>
      <c r="J9691" s="2">
        <v>1874</v>
      </c>
      <c r="K9691" s="2">
        <v>1</v>
      </c>
      <c r="L9691" s="2">
        <v>578</v>
      </c>
    </row>
    <row r="9692" spans="1:12" x14ac:dyDescent="0.25">
      <c r="A9692" s="4" t="str">
        <f>HYPERLINK("http://www.rosaceae.org/Prunus/Prunus_persica/p.persica_gdr_reftransV1_0014934","p.persica_gdr_reftransV1_0014934")</f>
        <v>p.persica_gdr_reftransV1_0014934</v>
      </c>
      <c r="B9692" s="2">
        <v>722</v>
      </c>
      <c r="C9692" s="4" t="str">
        <f>HYPERLINK("http://www.uniprot.org/uniprot/M5VUX9","M5VUX9")</f>
        <v>M5VUX9</v>
      </c>
      <c r="D9692" s="2" t="s">
        <v>2054</v>
      </c>
      <c r="E9692" s="3">
        <v>2.1399999999999999E-86</v>
      </c>
      <c r="F9692" s="2">
        <v>708</v>
      </c>
      <c r="G9692" s="2">
        <v>99</v>
      </c>
      <c r="H9692" s="2">
        <v>146</v>
      </c>
      <c r="I9692" s="2">
        <v>284</v>
      </c>
      <c r="J9692" s="2">
        <v>721</v>
      </c>
      <c r="K9692" s="2">
        <v>366</v>
      </c>
      <c r="L9692" s="2">
        <v>511</v>
      </c>
    </row>
    <row r="9693" spans="1:12" x14ac:dyDescent="0.25">
      <c r="A9693" s="4" t="str">
        <f>HYPERLINK("http://www.rosaceae.org/Prunus/Prunus_persica/p.persica_gdr_reftransV1_0016334","p.persica_gdr_reftransV1_0016334")</f>
        <v>p.persica_gdr_reftransV1_0016334</v>
      </c>
      <c r="B9693" s="2">
        <v>946</v>
      </c>
      <c r="C9693" s="4" t="str">
        <f>HYPERLINK("http://www.uniprot.org/uniprot/M5XFT0","M5XFT0")</f>
        <v>M5XFT0</v>
      </c>
      <c r="D9693" s="2" t="s">
        <v>8376</v>
      </c>
      <c r="E9693" s="3">
        <v>1.1500000000000001E-64</v>
      </c>
      <c r="F9693" s="2">
        <v>538</v>
      </c>
      <c r="G9693" s="2">
        <v>99</v>
      </c>
      <c r="H9693" s="2">
        <v>137</v>
      </c>
      <c r="I9693" s="2">
        <v>293</v>
      </c>
      <c r="J9693" s="2">
        <v>703</v>
      </c>
      <c r="K9693" s="2">
        <v>1</v>
      </c>
      <c r="L9693" s="2">
        <v>137</v>
      </c>
    </row>
    <row r="9694" spans="1:12" x14ac:dyDescent="0.25">
      <c r="A9694" s="4" t="str">
        <f>HYPERLINK("http://www.rosaceae.org/Prunus/Prunus_persica/p.persica_gdr_reftransV1_0016684","p.persica_gdr_reftransV1_0016684")</f>
        <v>p.persica_gdr_reftransV1_0016684</v>
      </c>
      <c r="B9694" s="2">
        <v>2198</v>
      </c>
      <c r="C9694" s="4" t="str">
        <f>HYPERLINK("http://www.uniprot.org/uniprot/M5W740","M5W740")</f>
        <v>M5W740</v>
      </c>
      <c r="D9694" s="2" t="s">
        <v>8377</v>
      </c>
      <c r="E9694" s="3">
        <v>0</v>
      </c>
      <c r="F9694" s="2">
        <v>1723</v>
      </c>
      <c r="G9694" s="2">
        <v>100</v>
      </c>
      <c r="H9694" s="2">
        <v>327</v>
      </c>
      <c r="I9694" s="2">
        <v>389</v>
      </c>
      <c r="J9694" s="2">
        <v>1369</v>
      </c>
      <c r="K9694" s="2">
        <v>1</v>
      </c>
      <c r="L9694" s="2">
        <v>327</v>
      </c>
    </row>
    <row r="9695" spans="1:12" x14ac:dyDescent="0.25">
      <c r="A9695" s="4" t="str">
        <f>HYPERLINK("http://www.rosaceae.org/Prunus/Prunus_persica/p.persica_gdr_reftransV1_0017734","p.persica_gdr_reftransV1_0017734")</f>
        <v>p.persica_gdr_reftransV1_0017734</v>
      </c>
      <c r="B9695" s="2">
        <v>2081</v>
      </c>
      <c r="C9695" s="4" t="str">
        <f>HYPERLINK("http://www.uniprot.org/uniprot/A0A067DFR1","A0A067DFR1")</f>
        <v>A0A067DFR1</v>
      </c>
      <c r="D9695" s="2" t="s">
        <v>8378</v>
      </c>
      <c r="E9695" s="3">
        <v>2.6699999999999999E-126</v>
      </c>
      <c r="F9695" s="2">
        <v>652</v>
      </c>
      <c r="G9695" s="2">
        <v>74</v>
      </c>
      <c r="H9695" s="2">
        <v>159</v>
      </c>
      <c r="I9695" s="2">
        <v>567</v>
      </c>
      <c r="J9695" s="2">
        <v>1043</v>
      </c>
      <c r="K9695" s="2">
        <v>61</v>
      </c>
      <c r="L9695" s="2">
        <v>219</v>
      </c>
    </row>
    <row r="9696" spans="1:12" x14ac:dyDescent="0.25">
      <c r="A9696" s="4" t="str">
        <f>HYPERLINK("http://www.rosaceae.org/Prunus/Prunus_persica/p.persica_gdr_reftransV1_0018084","p.persica_gdr_reftransV1_0018084")</f>
        <v>p.persica_gdr_reftransV1_0018084</v>
      </c>
      <c r="B9696" s="2">
        <v>2031</v>
      </c>
      <c r="C9696" s="4" t="str">
        <f>HYPERLINK("http://www.uniprot.org/uniprot/M5XBD4","M5XBD4")</f>
        <v>M5XBD4</v>
      </c>
      <c r="D9696" s="2" t="s">
        <v>8379</v>
      </c>
      <c r="E9696" s="3">
        <v>0</v>
      </c>
      <c r="F9696" s="2">
        <v>2237</v>
      </c>
      <c r="G9696" s="2">
        <v>100</v>
      </c>
      <c r="H9696" s="2">
        <v>439</v>
      </c>
      <c r="I9696" s="2">
        <v>234</v>
      </c>
      <c r="J9696" s="2">
        <v>1550</v>
      </c>
      <c r="K9696" s="2">
        <v>3</v>
      </c>
      <c r="L9696" s="2">
        <v>441</v>
      </c>
    </row>
    <row r="9697" spans="1:12" x14ac:dyDescent="0.25">
      <c r="A9697" s="4" t="str">
        <f>HYPERLINK("http://www.rosaceae.org/Prunus/Prunus_persica/p.persica_gdr_reftransV1_0018784","p.persica_gdr_reftransV1_0018784")</f>
        <v>p.persica_gdr_reftransV1_0018784</v>
      </c>
      <c r="B9697" s="2">
        <v>1780</v>
      </c>
      <c r="C9697" s="4" t="str">
        <f>HYPERLINK("http://www.uniprot.org/uniprot/M5WSQ3","M5WSQ3")</f>
        <v>M5WSQ3</v>
      </c>
      <c r="D9697" s="2" t="s">
        <v>8380</v>
      </c>
      <c r="E9697" s="3">
        <v>0</v>
      </c>
      <c r="F9697" s="2">
        <v>1701</v>
      </c>
      <c r="G9697" s="2">
        <v>100</v>
      </c>
      <c r="H9697" s="2">
        <v>335</v>
      </c>
      <c r="I9697" s="2">
        <v>726</v>
      </c>
      <c r="J9697" s="2">
        <v>1730</v>
      </c>
      <c r="K9697" s="2">
        <v>1</v>
      </c>
      <c r="L9697" s="2">
        <v>335</v>
      </c>
    </row>
    <row r="9698" spans="1:12" x14ac:dyDescent="0.25">
      <c r="A9698" s="4" t="str">
        <f>HYPERLINK("http://www.rosaceae.org/Prunus/Prunus_persica/p.persica_gdr_reftransV1_0019134","p.persica_gdr_reftransV1_0019134")</f>
        <v>p.persica_gdr_reftransV1_0019134</v>
      </c>
      <c r="B9698" s="2">
        <v>1436</v>
      </c>
      <c r="C9698" s="4" t="str">
        <f>HYPERLINK("http://www.uniprot.org/uniprot/M5XDY5","M5XDY5")</f>
        <v>M5XDY5</v>
      </c>
      <c r="D9698" s="2" t="s">
        <v>8381</v>
      </c>
      <c r="E9698" s="3">
        <v>0</v>
      </c>
      <c r="F9698" s="2">
        <v>1445</v>
      </c>
      <c r="G9698" s="2">
        <v>100</v>
      </c>
      <c r="H9698" s="2">
        <v>267</v>
      </c>
      <c r="I9698" s="2">
        <v>330</v>
      </c>
      <c r="J9698" s="2">
        <v>1130</v>
      </c>
      <c r="K9698" s="2">
        <v>1</v>
      </c>
      <c r="L9698" s="2">
        <v>267</v>
      </c>
    </row>
    <row r="9699" spans="1:12" x14ac:dyDescent="0.25">
      <c r="A9699" s="4" t="str">
        <f>HYPERLINK("http://www.rosaceae.org/Prunus/Prunus_persica/p.persica_gdr_reftransV1_0020534","p.persica_gdr_reftransV1_0020534")</f>
        <v>p.persica_gdr_reftransV1_0020534</v>
      </c>
      <c r="B9699" s="2">
        <v>767</v>
      </c>
      <c r="C9699" s="4" t="str">
        <f>HYPERLINK("http://www.uniprot.org/uniprot/M5WL13","M5WL13")</f>
        <v>M5WL13</v>
      </c>
      <c r="D9699" s="2" t="s">
        <v>8382</v>
      </c>
      <c r="E9699" s="3">
        <v>4.3099999999999998E-73</v>
      </c>
      <c r="F9699" s="2">
        <v>591</v>
      </c>
      <c r="G9699" s="2">
        <v>100</v>
      </c>
      <c r="H9699" s="2">
        <v>169</v>
      </c>
      <c r="I9699" s="2">
        <v>100</v>
      </c>
      <c r="J9699" s="2">
        <v>606</v>
      </c>
      <c r="K9699" s="2">
        <v>1</v>
      </c>
      <c r="L9699" s="2">
        <v>169</v>
      </c>
    </row>
    <row r="9700" spans="1:12" x14ac:dyDescent="0.25">
      <c r="A9700" s="4" t="str">
        <f>HYPERLINK("http://www.rosaceae.org/Prunus/Prunus_persica/p.persica_gdr_reftransV1_0021934","p.persica_gdr_reftransV1_0021934")</f>
        <v>p.persica_gdr_reftransV1_0021934</v>
      </c>
      <c r="B9700" s="2">
        <v>2214</v>
      </c>
      <c r="C9700" s="4" t="str">
        <f>HYPERLINK("http://www.uniprot.org/uniprot/M5XEN5","M5XEN5")</f>
        <v>M5XEN5</v>
      </c>
      <c r="D9700" s="2" t="s">
        <v>8383</v>
      </c>
      <c r="E9700" s="3">
        <v>3.8699999999999998E-80</v>
      </c>
      <c r="F9700" s="2">
        <v>687</v>
      </c>
      <c r="G9700" s="2">
        <v>89</v>
      </c>
      <c r="H9700" s="2">
        <v>182</v>
      </c>
      <c r="I9700" s="2">
        <v>1060</v>
      </c>
      <c r="J9700" s="2">
        <v>1605</v>
      </c>
      <c r="K9700" s="2">
        <v>106</v>
      </c>
      <c r="L9700" s="2">
        <v>287</v>
      </c>
    </row>
    <row r="9701" spans="1:12" x14ac:dyDescent="0.25">
      <c r="A9701" s="4" t="str">
        <f>HYPERLINK("http://www.rosaceae.org/Prunus/Prunus_persica/p.persica_gdr_reftransV1_0022284","p.persica_gdr_reftransV1_0022284")</f>
        <v>p.persica_gdr_reftransV1_0022284</v>
      </c>
      <c r="B9701" s="2">
        <v>1369</v>
      </c>
      <c r="C9701" s="4" t="str">
        <f>HYPERLINK("http://www.uniprot.org/uniprot/M5WCT6","M5WCT6")</f>
        <v>M5WCT6</v>
      </c>
      <c r="D9701" s="2" t="s">
        <v>8384</v>
      </c>
      <c r="E9701" s="3">
        <v>1.09E-122</v>
      </c>
      <c r="F9701" s="2">
        <v>944</v>
      </c>
      <c r="G9701" s="2">
        <v>72</v>
      </c>
      <c r="H9701" s="2">
        <v>269</v>
      </c>
      <c r="I9701" s="2">
        <v>177</v>
      </c>
      <c r="J9701" s="2">
        <v>983</v>
      </c>
      <c r="K9701" s="2">
        <v>1</v>
      </c>
      <c r="L9701" s="2">
        <v>212</v>
      </c>
    </row>
    <row r="9702" spans="1:12" x14ac:dyDescent="0.25">
      <c r="A9702" s="4" t="str">
        <f>HYPERLINK("http://www.rosaceae.org/Prunus/Prunus_persica/p.persica_gdr_reftransV1_0022984","p.persica_gdr_reftransV1_0022984")</f>
        <v>p.persica_gdr_reftransV1_0022984</v>
      </c>
      <c r="B9702" s="2">
        <v>2405</v>
      </c>
      <c r="C9702" s="4" t="str">
        <f>HYPERLINK("http://www.uniprot.org/uniprot/M5VYB7","M5VYB7")</f>
        <v>M5VYB7</v>
      </c>
      <c r="D9702" s="2" t="s">
        <v>8385</v>
      </c>
      <c r="E9702" s="3">
        <v>0</v>
      </c>
      <c r="F9702" s="2">
        <v>2717</v>
      </c>
      <c r="G9702" s="2">
        <v>100</v>
      </c>
      <c r="H9702" s="2">
        <v>572</v>
      </c>
      <c r="I9702" s="2">
        <v>197</v>
      </c>
      <c r="J9702" s="2">
        <v>1912</v>
      </c>
      <c r="K9702" s="2">
        <v>1</v>
      </c>
      <c r="L9702" s="2">
        <v>572</v>
      </c>
    </row>
    <row r="9703" spans="1:12" x14ac:dyDescent="0.25">
      <c r="A9703" s="4" t="str">
        <f>HYPERLINK("http://www.rosaceae.org/Prunus/Prunus_persica/p.persica_gdr_reftransV1_0024034","p.persica_gdr_reftransV1_0024034")</f>
        <v>p.persica_gdr_reftransV1_0024034</v>
      </c>
      <c r="B9703" s="2">
        <v>728</v>
      </c>
      <c r="C9703" s="4" t="str">
        <f>HYPERLINK("http://www.uniprot.org/uniprot/M5XRG8","M5XRG8")</f>
        <v>M5XRG8</v>
      </c>
      <c r="D9703" s="2" t="s">
        <v>8386</v>
      </c>
      <c r="E9703" s="3">
        <v>4.9199999999999999E-110</v>
      </c>
      <c r="F9703" s="2">
        <v>833</v>
      </c>
      <c r="G9703" s="2">
        <v>100</v>
      </c>
      <c r="H9703" s="2">
        <v>157</v>
      </c>
      <c r="I9703" s="2">
        <v>223</v>
      </c>
      <c r="J9703" s="2">
        <v>693</v>
      </c>
      <c r="K9703" s="2">
        <v>1</v>
      </c>
      <c r="L9703" s="2">
        <v>157</v>
      </c>
    </row>
    <row r="9704" spans="1:12" x14ac:dyDescent="0.25">
      <c r="A9704" s="4" t="str">
        <f>HYPERLINK("http://www.rosaceae.org/Prunus/Prunus_persica/p.persica_gdr_reftransV1_0024734","p.persica_gdr_reftransV1_0024734")</f>
        <v>p.persica_gdr_reftransV1_0024734</v>
      </c>
      <c r="B9704" s="2">
        <v>1947</v>
      </c>
      <c r="C9704" s="4" t="str">
        <f>HYPERLINK("http://www.uniprot.org/uniprot/M5VXK3","M5VXK3")</f>
        <v>M5VXK3</v>
      </c>
      <c r="D9704" s="2" t="s">
        <v>8387</v>
      </c>
      <c r="E9704" s="3">
        <v>2.23E-77</v>
      </c>
      <c r="F9704" s="2">
        <v>665</v>
      </c>
      <c r="G9704" s="2">
        <v>100</v>
      </c>
      <c r="H9704" s="2">
        <v>182</v>
      </c>
      <c r="I9704" s="2">
        <v>378</v>
      </c>
      <c r="J9704" s="2">
        <v>923</v>
      </c>
      <c r="K9704" s="2">
        <v>127</v>
      </c>
      <c r="L9704" s="2">
        <v>308</v>
      </c>
    </row>
    <row r="9705" spans="1:12" x14ac:dyDescent="0.25">
      <c r="A9705" s="4" t="str">
        <f>HYPERLINK("http://www.rosaceae.org/Prunus/Prunus_persica/p.persica_gdr_reftransV1_0025434","p.persica_gdr_reftransV1_0025434")</f>
        <v>p.persica_gdr_reftransV1_0025434</v>
      </c>
      <c r="B9705" s="2">
        <v>2412</v>
      </c>
      <c r="C9705" s="4" t="str">
        <f>HYPERLINK("http://www.uniprot.org/uniprot/M5XDB3","M5XDB3")</f>
        <v>M5XDB3</v>
      </c>
      <c r="D9705" s="2" t="s">
        <v>8388</v>
      </c>
      <c r="E9705" s="3">
        <v>9.3499999999999998E-62</v>
      </c>
      <c r="F9705" s="2">
        <v>559</v>
      </c>
      <c r="G9705" s="2">
        <v>99</v>
      </c>
      <c r="H9705" s="2">
        <v>127</v>
      </c>
      <c r="I9705" s="2">
        <v>46</v>
      </c>
      <c r="J9705" s="2">
        <v>426</v>
      </c>
      <c r="K9705" s="2">
        <v>1</v>
      </c>
      <c r="L9705" s="2">
        <v>127</v>
      </c>
    </row>
    <row r="9706" spans="1:12" x14ac:dyDescent="0.25">
      <c r="A9706" s="4" t="str">
        <f>HYPERLINK("http://www.rosaceae.org/Prunus/Prunus_persica/p.persica_gdr_reftransV1_0027184","p.persica_gdr_reftransV1_0027184")</f>
        <v>p.persica_gdr_reftransV1_0027184</v>
      </c>
      <c r="B9706" s="2">
        <v>1916</v>
      </c>
      <c r="C9706" s="4" t="str">
        <f>HYPERLINK("http://www.uniprot.org/uniprot/M5WSU2","M5WSU2")</f>
        <v>M5WSU2</v>
      </c>
      <c r="D9706" s="2" t="s">
        <v>8389</v>
      </c>
      <c r="E9706" s="3">
        <v>0</v>
      </c>
      <c r="F9706" s="2">
        <v>1741</v>
      </c>
      <c r="G9706" s="2">
        <v>100</v>
      </c>
      <c r="H9706" s="2">
        <v>322</v>
      </c>
      <c r="I9706" s="2">
        <v>443</v>
      </c>
      <c r="J9706" s="2">
        <v>1408</v>
      </c>
      <c r="K9706" s="2">
        <v>1</v>
      </c>
      <c r="L9706" s="2">
        <v>322</v>
      </c>
    </row>
    <row r="9707" spans="1:12" x14ac:dyDescent="0.25">
      <c r="A9707" s="4" t="str">
        <f>HYPERLINK("http://www.rosaceae.org/Prunus/Prunus_persica/p.persica_gdr_reftransV1_0027884","p.persica_gdr_reftransV1_0027884")</f>
        <v>p.persica_gdr_reftransV1_0027884</v>
      </c>
      <c r="B9707" s="2">
        <v>1976</v>
      </c>
      <c r="C9707" s="4" t="str">
        <f>HYPERLINK("http://www.uniprot.org/uniprot/M5XFX2","M5XFX2")</f>
        <v>M5XFX2</v>
      </c>
      <c r="D9707" s="2" t="s">
        <v>8390</v>
      </c>
      <c r="E9707" s="3">
        <v>1.53E-57</v>
      </c>
      <c r="F9707" s="2">
        <v>523</v>
      </c>
      <c r="G9707" s="2">
        <v>99</v>
      </c>
      <c r="H9707" s="2">
        <v>97</v>
      </c>
      <c r="I9707" s="2">
        <v>904</v>
      </c>
      <c r="J9707" s="2">
        <v>1194</v>
      </c>
      <c r="K9707" s="2">
        <v>61</v>
      </c>
      <c r="L9707" s="2">
        <v>157</v>
      </c>
    </row>
    <row r="9708" spans="1:12" x14ac:dyDescent="0.25">
      <c r="A9708" s="4" t="str">
        <f>HYPERLINK("http://www.rosaceae.org/Prunus/Prunus_persica/p.persica_gdr_reftransV1_0028584","p.persica_gdr_reftransV1_0028584")</f>
        <v>p.persica_gdr_reftransV1_0028584</v>
      </c>
      <c r="B9708" s="2">
        <v>1873</v>
      </c>
      <c r="C9708" s="4" t="str">
        <f>HYPERLINK("http://www.uniprot.org/uniprot/M5WMZ4","M5WMZ4")</f>
        <v>M5WMZ4</v>
      </c>
      <c r="D9708" s="2" t="s">
        <v>8391</v>
      </c>
      <c r="E9708" s="3">
        <v>7.4900000000000007E-170</v>
      </c>
      <c r="F9708" s="2">
        <v>1279</v>
      </c>
      <c r="G9708" s="2">
        <v>96</v>
      </c>
      <c r="H9708" s="2">
        <v>247</v>
      </c>
      <c r="I9708" s="2">
        <v>370</v>
      </c>
      <c r="J9708" s="2">
        <v>1110</v>
      </c>
      <c r="K9708" s="2">
        <v>1</v>
      </c>
      <c r="L9708" s="2">
        <v>247</v>
      </c>
    </row>
    <row r="9709" spans="1:12" x14ac:dyDescent="0.25">
      <c r="A9709" s="4" t="str">
        <f>HYPERLINK("http://www.rosaceae.org/Prunus/Prunus_persica/p.persica_gdr_reftransV1_0029634","p.persica_gdr_reftransV1_0029634")</f>
        <v>p.persica_gdr_reftransV1_0029634</v>
      </c>
      <c r="B9709" s="2">
        <v>1348</v>
      </c>
      <c r="C9709" s="4" t="str">
        <f>HYPERLINK("http://www.uniprot.org/uniprot/M5WGJ7","M5WGJ7")</f>
        <v>M5WGJ7</v>
      </c>
      <c r="D9709" s="2" t="s">
        <v>8392</v>
      </c>
      <c r="E9709" s="3">
        <v>4.3199999999999999E-82</v>
      </c>
      <c r="F9709" s="2">
        <v>684</v>
      </c>
      <c r="G9709" s="2">
        <v>100</v>
      </c>
      <c r="H9709" s="2">
        <v>130</v>
      </c>
      <c r="I9709" s="2">
        <v>234</v>
      </c>
      <c r="J9709" s="2">
        <v>623</v>
      </c>
      <c r="K9709" s="2">
        <v>204</v>
      </c>
      <c r="L9709" s="2">
        <v>333</v>
      </c>
    </row>
    <row r="9710" spans="1:12" x14ac:dyDescent="0.25">
      <c r="A9710" s="4" t="str">
        <f>HYPERLINK("http://www.rosaceae.org/Prunus/Prunus_persica/p.persica_gdr_reftransV1_0031384","p.persica_gdr_reftransV1_0031384")</f>
        <v>p.persica_gdr_reftransV1_0031384</v>
      </c>
      <c r="B9710" s="2">
        <v>4325</v>
      </c>
      <c r="C9710" s="4" t="str">
        <f>HYPERLINK("http://www.uniprot.org/uniprot/M5WNU0","M5WNU0")</f>
        <v>M5WNU0</v>
      </c>
      <c r="D9710" s="2" t="s">
        <v>8393</v>
      </c>
      <c r="E9710" s="3">
        <v>0</v>
      </c>
      <c r="F9710" s="2">
        <v>6511</v>
      </c>
      <c r="G9710" s="2">
        <v>100</v>
      </c>
      <c r="H9710" s="2">
        <v>1259</v>
      </c>
      <c r="I9710" s="2">
        <v>132</v>
      </c>
      <c r="J9710" s="2">
        <v>3908</v>
      </c>
      <c r="K9710" s="2">
        <v>1</v>
      </c>
      <c r="L9710" s="2">
        <v>1259</v>
      </c>
    </row>
    <row r="9711" spans="1:12" x14ac:dyDescent="0.25">
      <c r="A9711" s="4" t="str">
        <f>HYPERLINK("http://www.rosaceae.org/Prunus/Prunus_persica/p.persica_gdr_reftransV1_0031734","p.persica_gdr_reftransV1_0031734")</f>
        <v>p.persica_gdr_reftransV1_0031734</v>
      </c>
      <c r="B9711" s="2">
        <v>1745</v>
      </c>
      <c r="C9711" s="4" t="str">
        <f>HYPERLINK("http://www.uniprot.org/uniprot/M5W118","M5W118")</f>
        <v>M5W118</v>
      </c>
      <c r="D9711" s="2" t="s">
        <v>8394</v>
      </c>
      <c r="E9711" s="3">
        <v>2.0000000000000002E-43</v>
      </c>
      <c r="F9711" s="2">
        <v>417</v>
      </c>
      <c r="G9711" s="2">
        <v>95</v>
      </c>
      <c r="H9711" s="2">
        <v>86</v>
      </c>
      <c r="I9711" s="2">
        <v>1208</v>
      </c>
      <c r="J9711" s="2">
        <v>1465</v>
      </c>
      <c r="K9711" s="2">
        <v>17</v>
      </c>
      <c r="L9711" s="2">
        <v>102</v>
      </c>
    </row>
    <row r="9712" spans="1:12" x14ac:dyDescent="0.25">
      <c r="A9712" s="4" t="str">
        <f>HYPERLINK("http://www.rosaceae.org/Prunus/Prunus_persica/p.persica_gdr_reftransV1_0035584","p.persica_gdr_reftransV1_0035584")</f>
        <v>p.persica_gdr_reftransV1_0035584</v>
      </c>
      <c r="B9712" s="2">
        <v>2145</v>
      </c>
      <c r="C9712" s="4" t="str">
        <f>HYPERLINK("http://www.uniprot.org/uniprot/M5WIU9","M5WIU9")</f>
        <v>M5WIU9</v>
      </c>
      <c r="D9712" s="2" t="s">
        <v>8395</v>
      </c>
      <c r="E9712" s="3">
        <v>5.6200000000000003E-169</v>
      </c>
      <c r="F9712" s="2">
        <v>1287</v>
      </c>
      <c r="G9712" s="2">
        <v>100</v>
      </c>
      <c r="H9712" s="2">
        <v>243</v>
      </c>
      <c r="I9712" s="2">
        <v>941</v>
      </c>
      <c r="J9712" s="2">
        <v>1669</v>
      </c>
      <c r="K9712" s="2">
        <v>11</v>
      </c>
      <c r="L9712" s="2">
        <v>253</v>
      </c>
    </row>
    <row r="9713" spans="1:12" x14ac:dyDescent="0.25">
      <c r="A9713" s="4" t="str">
        <f>HYPERLINK("http://www.rosaceae.org/Prunus/Prunus_persica/p.persica_gdr_reftransV1_0036284","p.persica_gdr_reftransV1_0036284")</f>
        <v>p.persica_gdr_reftransV1_0036284</v>
      </c>
      <c r="B9713" s="2">
        <v>1837</v>
      </c>
      <c r="C9713" s="4" t="str">
        <f>HYPERLINK("http://www.uniprot.org/uniprot/M5WW31","M5WW31")</f>
        <v>M5WW31</v>
      </c>
      <c r="D9713" s="2" t="s">
        <v>8396</v>
      </c>
      <c r="E9713" s="3">
        <v>6.1800000000000004E-48</v>
      </c>
      <c r="F9713" s="2">
        <v>440</v>
      </c>
      <c r="G9713" s="2">
        <v>99</v>
      </c>
      <c r="H9713" s="2">
        <v>102</v>
      </c>
      <c r="I9713" s="2">
        <v>1189</v>
      </c>
      <c r="J9713" s="2">
        <v>1494</v>
      </c>
      <c r="K9713" s="2">
        <v>1</v>
      </c>
      <c r="L9713" s="2">
        <v>102</v>
      </c>
    </row>
    <row r="9714" spans="1:12" x14ac:dyDescent="0.25">
      <c r="A9714" s="4" t="str">
        <f>HYPERLINK("http://www.rosaceae.org/Prunus/Prunus_persica/p.persica_gdr_reftransV1_0036984","p.persica_gdr_reftransV1_0036984")</f>
        <v>p.persica_gdr_reftransV1_0036984</v>
      </c>
      <c r="B9714" s="2">
        <v>5021</v>
      </c>
      <c r="C9714" s="4" t="str">
        <f>HYPERLINK("http://www.uniprot.org/uniprot/M5X743","M5X743")</f>
        <v>M5X743</v>
      </c>
      <c r="D9714" s="2" t="s">
        <v>8397</v>
      </c>
      <c r="E9714" s="3">
        <v>0</v>
      </c>
      <c r="F9714" s="2">
        <v>7900</v>
      </c>
      <c r="G9714" s="2">
        <v>97</v>
      </c>
      <c r="H9714" s="2">
        <v>1554</v>
      </c>
      <c r="I9714" s="2">
        <v>360</v>
      </c>
      <c r="J9714" s="2">
        <v>5021</v>
      </c>
      <c r="K9714" s="2">
        <v>1125</v>
      </c>
      <c r="L9714" s="2">
        <v>2638</v>
      </c>
    </row>
    <row r="9715" spans="1:12" x14ac:dyDescent="0.25">
      <c r="A9715" s="4" t="str">
        <f>HYPERLINK("http://www.rosaceae.org/Prunus/Prunus_persica/p.persica_gdr_reftransV1_0038384","p.persica_gdr_reftransV1_0038384")</f>
        <v>p.persica_gdr_reftransV1_0038384</v>
      </c>
      <c r="B9715" s="2">
        <v>1696</v>
      </c>
      <c r="C9715" s="4" t="str">
        <f>HYPERLINK("http://www.uniprot.org/uniprot/M5WN33","M5WN33")</f>
        <v>M5WN33</v>
      </c>
      <c r="D9715" s="2" t="s">
        <v>8398</v>
      </c>
      <c r="E9715" s="3">
        <v>1.91E-116</v>
      </c>
      <c r="F9715" s="2">
        <v>917</v>
      </c>
      <c r="G9715" s="2">
        <v>100</v>
      </c>
      <c r="H9715" s="2">
        <v>176</v>
      </c>
      <c r="I9715" s="2">
        <v>167</v>
      </c>
      <c r="J9715" s="2">
        <v>694</v>
      </c>
      <c r="K9715" s="2">
        <v>1</v>
      </c>
      <c r="L9715" s="2">
        <v>176</v>
      </c>
    </row>
    <row r="9716" spans="1:12" x14ac:dyDescent="0.25">
      <c r="A9716" s="4" t="str">
        <f>HYPERLINK("http://www.rosaceae.org/Prunus/Prunus_persica/p.persica_gdr_reftransV1_0038734","p.persica_gdr_reftransV1_0038734")</f>
        <v>p.persica_gdr_reftransV1_0038734</v>
      </c>
      <c r="B9716" s="2">
        <v>2199</v>
      </c>
      <c r="C9716" s="4" t="str">
        <f>HYPERLINK("http://www.uniprot.org/uniprot/M5XJH5","M5XJH5")</f>
        <v>M5XJH5</v>
      </c>
      <c r="D9716" s="2" t="s">
        <v>8399</v>
      </c>
      <c r="E9716" s="3">
        <v>0</v>
      </c>
      <c r="F9716" s="2">
        <v>1391</v>
      </c>
      <c r="G9716" s="2">
        <v>91</v>
      </c>
      <c r="H9716" s="2">
        <v>302</v>
      </c>
      <c r="I9716" s="2">
        <v>931</v>
      </c>
      <c r="J9716" s="2">
        <v>1833</v>
      </c>
      <c r="K9716" s="2">
        <v>119</v>
      </c>
      <c r="L9716" s="2">
        <v>415</v>
      </c>
    </row>
    <row r="9717" spans="1:12" x14ac:dyDescent="0.25">
      <c r="A9717" s="4" t="str">
        <f>HYPERLINK("http://www.rosaceae.org/Prunus/Prunus_persica/p.persica_gdr_reftransV1_0040484","p.persica_gdr_reftransV1_0040484")</f>
        <v>p.persica_gdr_reftransV1_0040484</v>
      </c>
      <c r="B9717" s="2">
        <v>2783</v>
      </c>
      <c r="C9717" s="4" t="str">
        <f>HYPERLINK("http://www.uniprot.org/uniprot/M5XR04","M5XR04")</f>
        <v>M5XR04</v>
      </c>
      <c r="D9717" s="2" t="s">
        <v>8400</v>
      </c>
      <c r="E9717" s="3">
        <v>0</v>
      </c>
      <c r="F9717" s="2">
        <v>1415</v>
      </c>
      <c r="G9717" s="2">
        <v>100</v>
      </c>
      <c r="H9717" s="2">
        <v>366</v>
      </c>
      <c r="I9717" s="2">
        <v>145</v>
      </c>
      <c r="J9717" s="2">
        <v>1242</v>
      </c>
      <c r="K9717" s="2">
        <v>16</v>
      </c>
      <c r="L9717" s="2">
        <v>381</v>
      </c>
    </row>
    <row r="9718" spans="1:12" x14ac:dyDescent="0.25">
      <c r="A9718" s="4" t="str">
        <f>HYPERLINK("http://www.rosaceae.org/Prunus/Prunus_persica/p.persica_gdr_reftransV1_0041884","p.persica_gdr_reftransV1_0041884")</f>
        <v>p.persica_gdr_reftransV1_0041884</v>
      </c>
      <c r="B9718" s="2">
        <v>1821</v>
      </c>
      <c r="C9718" s="4" t="str">
        <f>HYPERLINK("http://www.uniprot.org/uniprot/M5X9V7","M5X9V7")</f>
        <v>M5X9V7</v>
      </c>
      <c r="D9718" s="2" t="s">
        <v>8401</v>
      </c>
      <c r="E9718" s="3">
        <v>0</v>
      </c>
      <c r="F9718" s="2">
        <v>1468</v>
      </c>
      <c r="G9718" s="2">
        <v>92</v>
      </c>
      <c r="H9718" s="2">
        <v>305</v>
      </c>
      <c r="I9718" s="2">
        <v>230</v>
      </c>
      <c r="J9718" s="2">
        <v>1141</v>
      </c>
      <c r="K9718" s="2">
        <v>154</v>
      </c>
      <c r="L9718" s="2">
        <v>457</v>
      </c>
    </row>
    <row r="9719" spans="1:12" x14ac:dyDescent="0.25">
      <c r="A9719" s="4" t="str">
        <f>HYPERLINK("http://www.rosaceae.org/Prunus/Prunus_persica/p.persica_gdr_reftransV1_0042934","p.persica_gdr_reftransV1_0042934")</f>
        <v>p.persica_gdr_reftransV1_0042934</v>
      </c>
      <c r="B9719" s="2">
        <v>3929</v>
      </c>
      <c r="C9719" s="4" t="str">
        <f>HYPERLINK("http://www.uniprot.org/uniprot/M5Y941","M5Y941")</f>
        <v>M5Y941</v>
      </c>
      <c r="D9719" s="2" t="s">
        <v>8402</v>
      </c>
      <c r="E9719" s="3">
        <v>0</v>
      </c>
      <c r="F9719" s="2">
        <v>3044</v>
      </c>
      <c r="G9719" s="2">
        <v>92</v>
      </c>
      <c r="H9719" s="2">
        <v>629</v>
      </c>
      <c r="I9719" s="2">
        <v>942</v>
      </c>
      <c r="J9719" s="2">
        <v>2828</v>
      </c>
      <c r="K9719" s="2">
        <v>249</v>
      </c>
      <c r="L9719" s="2">
        <v>876</v>
      </c>
    </row>
    <row r="9720" spans="1:12" x14ac:dyDescent="0.25">
      <c r="A9720" s="4" t="str">
        <f>HYPERLINK("http://www.rosaceae.org/Prunus/Prunus_persica/p.persica_gdr_reftransV1_0043284","p.persica_gdr_reftransV1_0043284")</f>
        <v>p.persica_gdr_reftransV1_0043284</v>
      </c>
      <c r="B9720" s="2">
        <v>1471</v>
      </c>
      <c r="C9720" s="4" t="str">
        <f>HYPERLINK("http://www.uniprot.org/uniprot/M5VT25","M5VT25")</f>
        <v>M5VT25</v>
      </c>
      <c r="D9720" s="2" t="s">
        <v>1295</v>
      </c>
      <c r="E9720" s="3">
        <v>0</v>
      </c>
      <c r="F9720" s="2">
        <v>1608</v>
      </c>
      <c r="G9720" s="2">
        <v>99</v>
      </c>
      <c r="H9720" s="2">
        <v>371</v>
      </c>
      <c r="I9720" s="2">
        <v>149</v>
      </c>
      <c r="J9720" s="2">
        <v>1261</v>
      </c>
      <c r="K9720" s="2">
        <v>12</v>
      </c>
      <c r="L9720" s="2">
        <v>382</v>
      </c>
    </row>
    <row r="9721" spans="1:12" x14ac:dyDescent="0.25">
      <c r="A9721" s="4" t="str">
        <f>HYPERLINK("http://www.rosaceae.org/Prunus/Prunus_persica/p.persica_gdr_reftransV1_0043634","p.persica_gdr_reftransV1_0043634")</f>
        <v>p.persica_gdr_reftransV1_0043634</v>
      </c>
      <c r="B9721" s="2">
        <v>548</v>
      </c>
      <c r="C9721" s="4" t="str">
        <f>HYPERLINK("http://www.uniprot.org/uniprot/M5XQ00","M5XQ00")</f>
        <v>M5XQ00</v>
      </c>
      <c r="D9721" s="2" t="s">
        <v>8403</v>
      </c>
      <c r="E9721" s="3">
        <v>6.9099999999999996E-68</v>
      </c>
      <c r="F9721" s="2">
        <v>585</v>
      </c>
      <c r="G9721" s="2">
        <v>100</v>
      </c>
      <c r="H9721" s="2">
        <v>110</v>
      </c>
      <c r="I9721" s="2">
        <v>219</v>
      </c>
      <c r="J9721" s="2">
        <v>548</v>
      </c>
      <c r="K9721" s="2">
        <v>554</v>
      </c>
      <c r="L9721" s="2">
        <v>663</v>
      </c>
    </row>
    <row r="9722" spans="1:12" x14ac:dyDescent="0.25">
      <c r="A9722" s="4" t="str">
        <f>HYPERLINK("http://www.rosaceae.org/Prunus/Prunus_persica/p.persica_gdr_reftransV1_0043984","p.persica_gdr_reftransV1_0043984")</f>
        <v>p.persica_gdr_reftransV1_0043984</v>
      </c>
      <c r="B9722" s="2">
        <v>2627</v>
      </c>
      <c r="C9722" s="4" t="str">
        <f>HYPERLINK("http://www.uniprot.org/uniprot/M5WFK3","M5WFK3")</f>
        <v>M5WFK3</v>
      </c>
      <c r="D9722" s="2" t="s">
        <v>2544</v>
      </c>
      <c r="E9722" s="3">
        <v>0</v>
      </c>
      <c r="F9722" s="2">
        <v>3840</v>
      </c>
      <c r="G9722" s="2">
        <v>100</v>
      </c>
      <c r="H9722" s="2">
        <v>731</v>
      </c>
      <c r="I9722" s="2">
        <v>140</v>
      </c>
      <c r="J9722" s="2">
        <v>2332</v>
      </c>
      <c r="K9722" s="2">
        <v>1</v>
      </c>
      <c r="L9722" s="2">
        <v>731</v>
      </c>
    </row>
    <row r="9723" spans="1:12" x14ac:dyDescent="0.25">
      <c r="A9723" s="4" t="str">
        <f>HYPERLINK("http://www.rosaceae.org/Prunus/Prunus_persica/p.persica_gdr_reftransV1_0044334","p.persica_gdr_reftransV1_0044334")</f>
        <v>p.persica_gdr_reftransV1_0044334</v>
      </c>
      <c r="B9723" s="2">
        <v>1594</v>
      </c>
      <c r="C9723" s="4" t="str">
        <f>HYPERLINK("http://www.uniprot.org/uniprot/M5VYW8","M5VYW8")</f>
        <v>M5VYW8</v>
      </c>
      <c r="D9723" s="2" t="s">
        <v>2580</v>
      </c>
      <c r="E9723" s="3">
        <v>0</v>
      </c>
      <c r="F9723" s="2">
        <v>2310</v>
      </c>
      <c r="G9723" s="2">
        <v>100</v>
      </c>
      <c r="H9723" s="2">
        <v>449</v>
      </c>
      <c r="I9723" s="2">
        <v>2</v>
      </c>
      <c r="J9723" s="2">
        <v>1348</v>
      </c>
      <c r="K9723" s="2">
        <v>53</v>
      </c>
      <c r="L9723" s="2">
        <v>501</v>
      </c>
    </row>
    <row r="9724" spans="1:12" x14ac:dyDescent="0.25">
      <c r="A9724" s="4" t="str">
        <f>HYPERLINK("http://www.rosaceae.org/Prunus/Prunus_persica/p.persica_gdr_reftransV1_0045034","p.persica_gdr_reftransV1_0045034")</f>
        <v>p.persica_gdr_reftransV1_0045034</v>
      </c>
      <c r="B9724" s="2">
        <v>1656</v>
      </c>
      <c r="C9724" s="4" t="str">
        <f>HYPERLINK("http://www.uniprot.org/uniprot/M5XCP0","M5XCP0")</f>
        <v>M5XCP0</v>
      </c>
      <c r="D9724" s="2" t="s">
        <v>8404</v>
      </c>
      <c r="E9724" s="3">
        <v>0</v>
      </c>
      <c r="F9724" s="2">
        <v>1824</v>
      </c>
      <c r="G9724" s="2">
        <v>100</v>
      </c>
      <c r="H9724" s="2">
        <v>336</v>
      </c>
      <c r="I9724" s="2">
        <v>215</v>
      </c>
      <c r="J9724" s="2">
        <v>1222</v>
      </c>
      <c r="K9724" s="2">
        <v>1</v>
      </c>
      <c r="L9724" s="2">
        <v>336</v>
      </c>
    </row>
    <row r="9725" spans="1:12" x14ac:dyDescent="0.25">
      <c r="A9725" s="4" t="str">
        <f>HYPERLINK("http://www.rosaceae.org/Prunus/Prunus_persica/p.persica_gdr_reftransV1_0045384","p.persica_gdr_reftransV1_0045384")</f>
        <v>p.persica_gdr_reftransV1_0045384</v>
      </c>
      <c r="B9725" s="2">
        <v>871</v>
      </c>
      <c r="C9725" s="4" t="str">
        <f>HYPERLINK("http://www.uniprot.org/uniprot/M5XMI8","M5XMI8")</f>
        <v>M5XMI8</v>
      </c>
      <c r="D9725" s="2" t="s">
        <v>8405</v>
      </c>
      <c r="E9725" s="3">
        <v>2.4699999999999998E-103</v>
      </c>
      <c r="F9725" s="2">
        <v>800</v>
      </c>
      <c r="G9725" s="2">
        <v>99</v>
      </c>
      <c r="H9725" s="2">
        <v>166</v>
      </c>
      <c r="I9725" s="2">
        <v>283</v>
      </c>
      <c r="J9725" s="2">
        <v>780</v>
      </c>
      <c r="K9725" s="2">
        <v>33</v>
      </c>
      <c r="L9725" s="2">
        <v>198</v>
      </c>
    </row>
    <row r="9726" spans="1:12" x14ac:dyDescent="0.25">
      <c r="A9726" s="4" t="str">
        <f>HYPERLINK("http://www.rosaceae.org/Prunus/Prunus_persica/p.persica_gdr_reftransV1_0045734","p.persica_gdr_reftransV1_0045734")</f>
        <v>p.persica_gdr_reftransV1_0045734</v>
      </c>
      <c r="B9726" s="2">
        <v>1266</v>
      </c>
      <c r="C9726" s="4" t="str">
        <f>HYPERLINK("http://www.uniprot.org/uniprot/M5XQF5","M5XQF5")</f>
        <v>M5XQF5</v>
      </c>
      <c r="D9726" s="2" t="s">
        <v>8406</v>
      </c>
      <c r="E9726" s="3">
        <v>9.1000000000000005E-125</v>
      </c>
      <c r="F9726" s="2">
        <v>966</v>
      </c>
      <c r="G9726" s="2">
        <v>100</v>
      </c>
      <c r="H9726" s="2">
        <v>333</v>
      </c>
      <c r="I9726" s="2">
        <v>96</v>
      </c>
      <c r="J9726" s="2">
        <v>1094</v>
      </c>
      <c r="K9726" s="2">
        <v>1</v>
      </c>
      <c r="L9726" s="2">
        <v>333</v>
      </c>
    </row>
    <row r="9727" spans="1:12" x14ac:dyDescent="0.25">
      <c r="A9727" s="4" t="str">
        <f>HYPERLINK("http://www.rosaceae.org/Prunus/Prunus_persica/p.persica_gdr_reftransV1_0046084","p.persica_gdr_reftransV1_0046084")</f>
        <v>p.persica_gdr_reftransV1_0046084</v>
      </c>
      <c r="B9727" s="2">
        <v>3173</v>
      </c>
      <c r="C9727" s="4" t="str">
        <f>HYPERLINK("http://www.uniprot.org/uniprot/A0A097F6G8","A0A097F6G8")</f>
        <v>A0A097F6G8</v>
      </c>
      <c r="D9727" s="2" t="s">
        <v>5518</v>
      </c>
      <c r="E9727" s="3">
        <v>0</v>
      </c>
      <c r="F9727" s="2">
        <v>3064</v>
      </c>
      <c r="G9727" s="2">
        <v>98</v>
      </c>
      <c r="H9727" s="2">
        <v>610</v>
      </c>
      <c r="I9727" s="2">
        <v>864</v>
      </c>
      <c r="J9727" s="2">
        <v>2693</v>
      </c>
      <c r="K9727" s="2">
        <v>23</v>
      </c>
      <c r="L9727" s="2">
        <v>632</v>
      </c>
    </row>
    <row r="9728" spans="1:12" x14ac:dyDescent="0.25">
      <c r="A9728" s="4" t="str">
        <f>HYPERLINK("http://www.rosaceae.org/Prunus/Prunus_persica/p.persica_gdr_reftransV1_0046434","p.persica_gdr_reftransV1_0046434")</f>
        <v>p.persica_gdr_reftransV1_0046434</v>
      </c>
      <c r="B9728" s="2">
        <v>493</v>
      </c>
      <c r="C9728" s="4" t="str">
        <f>HYPERLINK("http://www.uniprot.org/uniprot/M5XR53","M5XR53")</f>
        <v>M5XR53</v>
      </c>
      <c r="D9728" s="2" t="s">
        <v>8157</v>
      </c>
      <c r="E9728" s="3">
        <v>4.5500000000000001E-70</v>
      </c>
      <c r="F9728" s="2">
        <v>611</v>
      </c>
      <c r="G9728" s="2">
        <v>84</v>
      </c>
      <c r="H9728" s="2">
        <v>154</v>
      </c>
      <c r="I9728" s="2">
        <v>2</v>
      </c>
      <c r="J9728" s="2">
        <v>460</v>
      </c>
      <c r="K9728" s="2">
        <v>1</v>
      </c>
      <c r="L9728" s="2">
        <v>154</v>
      </c>
    </row>
    <row r="9729" spans="1:12" x14ac:dyDescent="0.25">
      <c r="A9729" s="4" t="str">
        <f>HYPERLINK("http://www.rosaceae.org/Prunus/Prunus_persica/p.persica_gdr_reftransV1_0046784","p.persica_gdr_reftransV1_0046784")</f>
        <v>p.persica_gdr_reftransV1_0046784</v>
      </c>
      <c r="B9729" s="2">
        <v>1332</v>
      </c>
      <c r="C9729" s="4" t="str">
        <f>HYPERLINK("http://www.uniprot.org/uniprot/M5VRF1","M5VRF1")</f>
        <v>M5VRF1</v>
      </c>
      <c r="D9729" s="2" t="s">
        <v>8407</v>
      </c>
      <c r="E9729" s="3">
        <v>3.7099999999999999E-177</v>
      </c>
      <c r="F9729" s="2">
        <v>1312</v>
      </c>
      <c r="G9729" s="2">
        <v>100</v>
      </c>
      <c r="H9729" s="2">
        <v>299</v>
      </c>
      <c r="I9729" s="2">
        <v>44</v>
      </c>
      <c r="J9729" s="2">
        <v>940</v>
      </c>
      <c r="K9729" s="2">
        <v>1</v>
      </c>
      <c r="L9729" s="2">
        <v>299</v>
      </c>
    </row>
    <row r="9730" spans="1:12" x14ac:dyDescent="0.25">
      <c r="A9730" s="4" t="str">
        <f>HYPERLINK("http://www.rosaceae.org/Prunus/Prunus_persica/p.persica_gdr_reftransV1_0047484","p.persica_gdr_reftransV1_0047484")</f>
        <v>p.persica_gdr_reftransV1_0047484</v>
      </c>
      <c r="B9730" s="2">
        <v>1409</v>
      </c>
      <c r="C9730" s="4" t="str">
        <f>HYPERLINK("http://www.uniprot.org/uniprot/M5VUC3","M5VUC3")</f>
        <v>M5VUC3</v>
      </c>
      <c r="D9730" s="2" t="s">
        <v>8408</v>
      </c>
      <c r="E9730" s="3">
        <v>0</v>
      </c>
      <c r="F9730" s="2">
        <v>1439</v>
      </c>
      <c r="G9730" s="2">
        <v>100</v>
      </c>
      <c r="H9730" s="2">
        <v>289</v>
      </c>
      <c r="I9730" s="2">
        <v>349</v>
      </c>
      <c r="J9730" s="2">
        <v>1215</v>
      </c>
      <c r="K9730" s="2">
        <v>4</v>
      </c>
      <c r="L9730" s="2">
        <v>292</v>
      </c>
    </row>
    <row r="9731" spans="1:12" x14ac:dyDescent="0.25">
      <c r="A9731" s="4" t="str">
        <f>HYPERLINK("http://www.rosaceae.org/Prunus/Prunus_persica/p.persica_gdr_reftransV1_0048184","p.persica_gdr_reftransV1_0048184")</f>
        <v>p.persica_gdr_reftransV1_0048184</v>
      </c>
      <c r="B9731" s="2">
        <v>1254</v>
      </c>
      <c r="C9731" s="4" t="str">
        <f>HYPERLINK("http://www.uniprot.org/uniprot/M5WUW5","M5WUW5")</f>
        <v>M5WUW5</v>
      </c>
      <c r="D9731" s="2" t="s">
        <v>8367</v>
      </c>
      <c r="E9731" s="3">
        <v>0</v>
      </c>
      <c r="F9731" s="2">
        <v>1395</v>
      </c>
      <c r="G9731" s="2">
        <v>100</v>
      </c>
      <c r="H9731" s="2">
        <v>266</v>
      </c>
      <c r="I9731" s="2">
        <v>139</v>
      </c>
      <c r="J9731" s="2">
        <v>936</v>
      </c>
      <c r="K9731" s="2">
        <v>1</v>
      </c>
      <c r="L9731" s="2">
        <v>266</v>
      </c>
    </row>
    <row r="9732" spans="1:12" x14ac:dyDescent="0.25">
      <c r="A9732" s="4" t="str">
        <f>HYPERLINK("http://www.rosaceae.org/Prunus/Prunus_persica/p.persica_gdr_reftransV1_0048534","p.persica_gdr_reftransV1_0048534")</f>
        <v>p.persica_gdr_reftransV1_0048534</v>
      </c>
      <c r="B9732" s="2">
        <v>1974</v>
      </c>
      <c r="C9732" s="4" t="str">
        <f>HYPERLINK("http://www.uniprot.org/uniprot/M5XGI5","M5XGI5")</f>
        <v>M5XGI5</v>
      </c>
      <c r="D9732" s="2" t="s">
        <v>238</v>
      </c>
      <c r="E9732" s="3">
        <v>0</v>
      </c>
      <c r="F9732" s="2">
        <v>2680</v>
      </c>
      <c r="G9732" s="2">
        <v>100</v>
      </c>
      <c r="H9732" s="2">
        <v>499</v>
      </c>
      <c r="I9732" s="2">
        <v>370</v>
      </c>
      <c r="J9732" s="2">
        <v>1866</v>
      </c>
      <c r="K9732" s="2">
        <v>1</v>
      </c>
      <c r="L9732" s="2">
        <v>499</v>
      </c>
    </row>
    <row r="9733" spans="1:12" x14ac:dyDescent="0.25">
      <c r="A9733" s="4" t="str">
        <f>HYPERLINK("http://www.rosaceae.org/Prunus/Prunus_persica/p.persica_gdr_reftransV1_0048884","p.persica_gdr_reftransV1_0048884")</f>
        <v>p.persica_gdr_reftransV1_0048884</v>
      </c>
      <c r="B9733" s="2">
        <v>323</v>
      </c>
      <c r="C9733" s="4" t="str">
        <f>HYPERLINK("http://www.uniprot.org/uniprot/M5VVA8","M5VVA8")</f>
        <v>M5VVA8</v>
      </c>
      <c r="D9733" s="2" t="s">
        <v>8409</v>
      </c>
      <c r="E9733" s="3">
        <v>8.3500000000000001E-61</v>
      </c>
      <c r="F9733" s="2">
        <v>533</v>
      </c>
      <c r="G9733" s="2">
        <v>98</v>
      </c>
      <c r="H9733" s="2">
        <v>98</v>
      </c>
      <c r="I9733" s="2">
        <v>3</v>
      </c>
      <c r="J9733" s="2">
        <v>296</v>
      </c>
      <c r="K9733" s="2">
        <v>18</v>
      </c>
      <c r="L9733" s="2">
        <v>115</v>
      </c>
    </row>
    <row r="9734" spans="1:12" x14ac:dyDescent="0.25">
      <c r="A9734" s="4" t="str">
        <f>HYPERLINK("http://www.rosaceae.org/Prunus/Prunus_persica/p.persica_gdr_reftransV1_0001285","p.persica_gdr_reftransV1_0001285")</f>
        <v>p.persica_gdr_reftransV1_0001285</v>
      </c>
      <c r="B9734" s="2">
        <v>1889</v>
      </c>
      <c r="C9734" s="4" t="str">
        <f>HYPERLINK("http://www.uniprot.org/uniprot/M5VIT6","M5VIT6")</f>
        <v>M5VIT6</v>
      </c>
      <c r="D9734" s="2" t="s">
        <v>8410</v>
      </c>
      <c r="E9734" s="3">
        <v>0</v>
      </c>
      <c r="F9734" s="2">
        <v>2770</v>
      </c>
      <c r="G9734" s="2">
        <v>97</v>
      </c>
      <c r="H9734" s="2">
        <v>560</v>
      </c>
      <c r="I9734" s="2">
        <v>140</v>
      </c>
      <c r="J9734" s="2">
        <v>1819</v>
      </c>
      <c r="K9734" s="2">
        <v>1</v>
      </c>
      <c r="L9734" s="2">
        <v>560</v>
      </c>
    </row>
    <row r="9735" spans="1:12" x14ac:dyDescent="0.25">
      <c r="A9735" s="4" t="str">
        <f>HYPERLINK("http://www.rosaceae.org/Prunus/Prunus_persica/p.persica_gdr_reftransV1_0001635","p.persica_gdr_reftransV1_0001635")</f>
        <v>p.persica_gdr_reftransV1_0001635</v>
      </c>
      <c r="B9735" s="2">
        <v>1217</v>
      </c>
      <c r="C9735" s="4" t="str">
        <f>HYPERLINK("http://www.uniprot.org/uniprot/A0A0D2XAL2","A0A0D2XAL2")</f>
        <v>A0A0D2XAL2</v>
      </c>
      <c r="D9735" s="2" t="s">
        <v>8411</v>
      </c>
      <c r="E9735" s="3">
        <v>0</v>
      </c>
      <c r="F9735" s="2">
        <v>1982</v>
      </c>
      <c r="G9735" s="2">
        <v>99</v>
      </c>
      <c r="H9735" s="2">
        <v>369</v>
      </c>
      <c r="I9735" s="2">
        <v>110</v>
      </c>
      <c r="J9735" s="2">
        <v>1216</v>
      </c>
      <c r="K9735" s="2">
        <v>125</v>
      </c>
      <c r="L9735" s="2">
        <v>493</v>
      </c>
    </row>
    <row r="9736" spans="1:12" x14ac:dyDescent="0.25">
      <c r="A9736" s="4" t="str">
        <f>HYPERLINK("http://www.rosaceae.org/Prunus/Prunus_persica/p.persica_gdr_reftransV1_0002335","p.persica_gdr_reftransV1_0002335")</f>
        <v>p.persica_gdr_reftransV1_0002335</v>
      </c>
      <c r="B9736" s="2">
        <v>322</v>
      </c>
      <c r="C9736" s="4" t="str">
        <f>HYPERLINK("http://www.uniprot.org/uniprot/M5WK51","M5WK51")</f>
        <v>M5WK51</v>
      </c>
      <c r="D9736" s="2" t="s">
        <v>8412</v>
      </c>
      <c r="E9736" s="3">
        <v>1.0600000000000001E-57</v>
      </c>
      <c r="F9736" s="2">
        <v>478</v>
      </c>
      <c r="G9736" s="2">
        <v>98</v>
      </c>
      <c r="H9736" s="2">
        <v>107</v>
      </c>
      <c r="I9736" s="2">
        <v>2</v>
      </c>
      <c r="J9736" s="2">
        <v>322</v>
      </c>
      <c r="K9736" s="2">
        <v>53</v>
      </c>
      <c r="L9736" s="2">
        <v>159</v>
      </c>
    </row>
    <row r="9737" spans="1:12" x14ac:dyDescent="0.25">
      <c r="A9737" s="4" t="str">
        <f>HYPERLINK("http://www.rosaceae.org/Prunus/Prunus_persica/p.persica_gdr_reftransV1_0003035","p.persica_gdr_reftransV1_0003035")</f>
        <v>p.persica_gdr_reftransV1_0003035</v>
      </c>
      <c r="B9737" s="2">
        <v>1581</v>
      </c>
      <c r="C9737" s="4" t="str">
        <f>HYPERLINK("http://www.uniprot.org/uniprot/M5XRH9","M5XRH9")</f>
        <v>M5XRH9</v>
      </c>
      <c r="D9737" s="2" t="s">
        <v>2632</v>
      </c>
      <c r="E9737" s="3">
        <v>0</v>
      </c>
      <c r="F9737" s="2">
        <v>1626</v>
      </c>
      <c r="G9737" s="2">
        <v>100</v>
      </c>
      <c r="H9737" s="2">
        <v>318</v>
      </c>
      <c r="I9737" s="2">
        <v>425</v>
      </c>
      <c r="J9737" s="2">
        <v>1378</v>
      </c>
      <c r="K9737" s="2">
        <v>1</v>
      </c>
      <c r="L9737" s="2">
        <v>318</v>
      </c>
    </row>
    <row r="9738" spans="1:12" x14ac:dyDescent="0.25">
      <c r="A9738" s="4" t="str">
        <f>HYPERLINK("http://www.rosaceae.org/Prunus/Prunus_persica/p.persica_gdr_reftransV1_0003735","p.persica_gdr_reftransV1_0003735")</f>
        <v>p.persica_gdr_reftransV1_0003735</v>
      </c>
      <c r="B9738" s="2">
        <v>1691</v>
      </c>
      <c r="C9738" s="4" t="str">
        <f>HYPERLINK("http://www.uniprot.org/uniprot/M5VWU7","M5VWU7")</f>
        <v>M5VWU7</v>
      </c>
      <c r="D9738" s="2" t="s">
        <v>8413</v>
      </c>
      <c r="E9738" s="3">
        <v>0</v>
      </c>
      <c r="F9738" s="2">
        <v>1544</v>
      </c>
      <c r="G9738" s="2">
        <v>100</v>
      </c>
      <c r="H9738" s="2">
        <v>287</v>
      </c>
      <c r="I9738" s="2">
        <v>404</v>
      </c>
      <c r="J9738" s="2">
        <v>1264</v>
      </c>
      <c r="K9738" s="2">
        <v>1</v>
      </c>
      <c r="L9738" s="2">
        <v>287</v>
      </c>
    </row>
    <row r="9739" spans="1:12" x14ac:dyDescent="0.25">
      <c r="A9739" s="4" t="str">
        <f>HYPERLINK("http://www.rosaceae.org/Prunus/Prunus_persica/p.persica_gdr_reftransV1_0004085","p.persica_gdr_reftransV1_0004085")</f>
        <v>p.persica_gdr_reftransV1_0004085</v>
      </c>
      <c r="B9739" s="2">
        <v>2112</v>
      </c>
      <c r="C9739" s="4" t="str">
        <f>HYPERLINK("http://www.uniprot.org/uniprot/M5X6C0","M5X6C0")</f>
        <v>M5X6C0</v>
      </c>
      <c r="D9739" s="2" t="s">
        <v>4985</v>
      </c>
      <c r="E9739" s="3">
        <v>0</v>
      </c>
      <c r="F9739" s="2">
        <v>1963</v>
      </c>
      <c r="G9739" s="2">
        <v>89</v>
      </c>
      <c r="H9739" s="2">
        <v>483</v>
      </c>
      <c r="I9739" s="2">
        <v>12</v>
      </c>
      <c r="J9739" s="2">
        <v>1457</v>
      </c>
      <c r="K9739" s="2">
        <v>351</v>
      </c>
      <c r="L9739" s="2">
        <v>809</v>
      </c>
    </row>
    <row r="9740" spans="1:12" x14ac:dyDescent="0.25">
      <c r="A9740" s="4" t="str">
        <f>HYPERLINK("http://www.rosaceae.org/Prunus/Prunus_persica/p.persica_gdr_reftransV1_0005485","p.persica_gdr_reftransV1_0005485")</f>
        <v>p.persica_gdr_reftransV1_0005485</v>
      </c>
      <c r="B9740" s="2">
        <v>2279</v>
      </c>
      <c r="C9740" s="4" t="str">
        <f>HYPERLINK("http://www.uniprot.org/uniprot/M5WSD3","M5WSD3")</f>
        <v>M5WSD3</v>
      </c>
      <c r="D9740" s="2" t="s">
        <v>2601</v>
      </c>
      <c r="E9740" s="3">
        <v>0</v>
      </c>
      <c r="F9740" s="2">
        <v>1235</v>
      </c>
      <c r="G9740" s="2">
        <v>98</v>
      </c>
      <c r="H9740" s="2">
        <v>238</v>
      </c>
      <c r="I9740" s="2">
        <v>558</v>
      </c>
      <c r="J9740" s="2">
        <v>1271</v>
      </c>
      <c r="K9740" s="2">
        <v>15</v>
      </c>
      <c r="L9740" s="2">
        <v>252</v>
      </c>
    </row>
    <row r="9741" spans="1:12" x14ac:dyDescent="0.25">
      <c r="A9741" s="4" t="str">
        <f>HYPERLINK("http://www.rosaceae.org/Prunus/Prunus_persica/p.persica_gdr_reftransV1_0006185","p.persica_gdr_reftransV1_0006185")</f>
        <v>p.persica_gdr_reftransV1_0006185</v>
      </c>
      <c r="B9741" s="2">
        <v>2131</v>
      </c>
      <c r="C9741" s="4" t="str">
        <f>HYPERLINK("http://www.uniprot.org/uniprot/M5XYZ1","M5XYZ1")</f>
        <v>M5XYZ1</v>
      </c>
      <c r="D9741" s="2" t="s">
        <v>8414</v>
      </c>
      <c r="E9741" s="3">
        <v>0</v>
      </c>
      <c r="F9741" s="2">
        <v>2464</v>
      </c>
      <c r="G9741" s="2">
        <v>100</v>
      </c>
      <c r="H9741" s="2">
        <v>504</v>
      </c>
      <c r="I9741" s="2">
        <v>278</v>
      </c>
      <c r="J9741" s="2">
        <v>1789</v>
      </c>
      <c r="K9741" s="2">
        <v>1</v>
      </c>
      <c r="L9741" s="2">
        <v>504</v>
      </c>
    </row>
    <row r="9742" spans="1:12" x14ac:dyDescent="0.25">
      <c r="A9742" s="4" t="str">
        <f>HYPERLINK("http://www.rosaceae.org/Prunus/Prunus_persica/p.persica_gdr_reftransV1_0006535","p.persica_gdr_reftransV1_0006535")</f>
        <v>p.persica_gdr_reftransV1_0006535</v>
      </c>
      <c r="B9742" s="2">
        <v>1554</v>
      </c>
      <c r="C9742" s="4" t="str">
        <f>HYPERLINK("http://www.uniprot.org/uniprot/M5WEV7","M5WEV7")</f>
        <v>M5WEV7</v>
      </c>
      <c r="D9742" s="2" t="s">
        <v>8415</v>
      </c>
      <c r="E9742" s="3">
        <v>3.18E-18</v>
      </c>
      <c r="F9742" s="2">
        <v>233</v>
      </c>
      <c r="G9742" s="2">
        <v>100</v>
      </c>
      <c r="H9742" s="2">
        <v>66</v>
      </c>
      <c r="I9742" s="2">
        <v>155</v>
      </c>
      <c r="J9742" s="2">
        <v>352</v>
      </c>
      <c r="K9742" s="2">
        <v>197</v>
      </c>
      <c r="L9742" s="2">
        <v>262</v>
      </c>
    </row>
    <row r="9743" spans="1:12" x14ac:dyDescent="0.25">
      <c r="A9743" s="4" t="str">
        <f>HYPERLINK("http://www.rosaceae.org/Prunus/Prunus_persica/p.persica_gdr_reftransV1_0006885","p.persica_gdr_reftransV1_0006885")</f>
        <v>p.persica_gdr_reftransV1_0006885</v>
      </c>
      <c r="B9743" s="2">
        <v>375</v>
      </c>
      <c r="C9743" s="4" t="str">
        <f>HYPERLINK("http://www.uniprot.org/uniprot/M5XP10","M5XP10")</f>
        <v>M5XP10</v>
      </c>
      <c r="D9743" s="2" t="s">
        <v>8416</v>
      </c>
      <c r="E9743" s="3">
        <v>4.2699999999999997E-39</v>
      </c>
      <c r="F9743" s="2">
        <v>370</v>
      </c>
      <c r="G9743" s="2">
        <v>100</v>
      </c>
      <c r="H9743" s="2">
        <v>101</v>
      </c>
      <c r="I9743" s="2">
        <v>3</v>
      </c>
      <c r="J9743" s="2">
        <v>305</v>
      </c>
      <c r="K9743" s="2">
        <v>1</v>
      </c>
      <c r="L9743" s="2">
        <v>101</v>
      </c>
    </row>
    <row r="9744" spans="1:12" x14ac:dyDescent="0.25">
      <c r="A9744" s="4" t="str">
        <f>HYPERLINK("http://www.rosaceae.org/Prunus/Prunus_persica/p.persica_gdr_reftransV1_0007935","p.persica_gdr_reftransV1_0007935")</f>
        <v>p.persica_gdr_reftransV1_0007935</v>
      </c>
      <c r="B9744" s="2">
        <v>1601</v>
      </c>
      <c r="C9744" s="4" t="str">
        <f>HYPERLINK("http://www.uniprot.org/uniprot/M5XD80","M5XD80")</f>
        <v>M5XD80</v>
      </c>
      <c r="D9744" s="2" t="s">
        <v>8417</v>
      </c>
      <c r="E9744" s="3">
        <v>0</v>
      </c>
      <c r="F9744" s="2">
        <v>1974</v>
      </c>
      <c r="G9744" s="2">
        <v>100</v>
      </c>
      <c r="H9744" s="2">
        <v>414</v>
      </c>
      <c r="I9744" s="2">
        <v>27</v>
      </c>
      <c r="J9744" s="2">
        <v>1268</v>
      </c>
      <c r="K9744" s="2">
        <v>1</v>
      </c>
      <c r="L9744" s="2">
        <v>414</v>
      </c>
    </row>
    <row r="9745" spans="1:12" x14ac:dyDescent="0.25">
      <c r="A9745" s="4" t="str">
        <f>HYPERLINK("http://www.rosaceae.org/Prunus/Prunus_persica/p.persica_gdr_reftransV1_0008285","p.persica_gdr_reftransV1_0008285")</f>
        <v>p.persica_gdr_reftransV1_0008285</v>
      </c>
      <c r="B9745" s="2">
        <v>4860</v>
      </c>
      <c r="C9745" s="4" t="str">
        <f>HYPERLINK("http://www.uniprot.org/uniprot/M5WCZ1","M5WCZ1")</f>
        <v>M5WCZ1</v>
      </c>
      <c r="D9745" s="2" t="s">
        <v>8418</v>
      </c>
      <c r="E9745" s="3">
        <v>0</v>
      </c>
      <c r="F9745" s="2">
        <v>6340</v>
      </c>
      <c r="G9745" s="2">
        <v>100</v>
      </c>
      <c r="H9745" s="2">
        <v>1276</v>
      </c>
      <c r="I9745" s="2">
        <v>800</v>
      </c>
      <c r="J9745" s="2">
        <v>4627</v>
      </c>
      <c r="K9745" s="2">
        <v>1</v>
      </c>
      <c r="L9745" s="2">
        <v>1276</v>
      </c>
    </row>
    <row r="9746" spans="1:12" x14ac:dyDescent="0.25">
      <c r="A9746" s="4" t="str">
        <f>HYPERLINK("http://www.rosaceae.org/Prunus/Prunus_persica/p.persica_gdr_reftransV1_0008635","p.persica_gdr_reftransV1_0008635")</f>
        <v>p.persica_gdr_reftransV1_0008635</v>
      </c>
      <c r="B9746" s="2">
        <v>2347</v>
      </c>
      <c r="C9746" s="4" t="str">
        <f>HYPERLINK("http://www.uniprot.org/uniprot/M5WGM6","M5WGM6")</f>
        <v>M5WGM6</v>
      </c>
      <c r="D9746" s="2" t="s">
        <v>8419</v>
      </c>
      <c r="E9746" s="3">
        <v>0</v>
      </c>
      <c r="F9746" s="2">
        <v>3011</v>
      </c>
      <c r="G9746" s="2">
        <v>100</v>
      </c>
      <c r="H9746" s="2">
        <v>575</v>
      </c>
      <c r="I9746" s="2">
        <v>623</v>
      </c>
      <c r="J9746" s="2">
        <v>2347</v>
      </c>
      <c r="K9746" s="2">
        <v>176</v>
      </c>
      <c r="L9746" s="2">
        <v>750</v>
      </c>
    </row>
    <row r="9747" spans="1:12" x14ac:dyDescent="0.25">
      <c r="A9747" s="4" t="str">
        <f>HYPERLINK("http://www.rosaceae.org/Prunus/Prunus_persica/p.persica_gdr_reftransV1_0008985","p.persica_gdr_reftransV1_0008985")</f>
        <v>p.persica_gdr_reftransV1_0008985</v>
      </c>
      <c r="B9747" s="2">
        <v>1368</v>
      </c>
      <c r="C9747" s="4" t="str">
        <f>HYPERLINK("http://www.uniprot.org/uniprot/M5XCP5","M5XCP5")</f>
        <v>M5XCP5</v>
      </c>
      <c r="D9747" s="2" t="s">
        <v>8420</v>
      </c>
      <c r="E9747" s="3">
        <v>0</v>
      </c>
      <c r="F9747" s="2">
        <v>1661</v>
      </c>
      <c r="G9747" s="2">
        <v>100</v>
      </c>
      <c r="H9747" s="2">
        <v>331</v>
      </c>
      <c r="I9747" s="2">
        <v>329</v>
      </c>
      <c r="J9747" s="2">
        <v>1321</v>
      </c>
      <c r="K9747" s="2">
        <v>1</v>
      </c>
      <c r="L9747" s="2">
        <v>331</v>
      </c>
    </row>
    <row r="9748" spans="1:12" x14ac:dyDescent="0.25">
      <c r="A9748" s="4" t="str">
        <f>HYPERLINK("http://www.rosaceae.org/Prunus/Prunus_persica/p.persica_gdr_reftransV1_0009685","p.persica_gdr_reftransV1_0009685")</f>
        <v>p.persica_gdr_reftransV1_0009685</v>
      </c>
      <c r="B9748" s="2">
        <v>2218</v>
      </c>
      <c r="C9748" s="4" t="str">
        <f>HYPERLINK("http://www.uniprot.org/uniprot/M5WTK3","M5WTK3")</f>
        <v>M5WTK3</v>
      </c>
      <c r="D9748" s="2" t="s">
        <v>4337</v>
      </c>
      <c r="E9748" s="3">
        <v>0</v>
      </c>
      <c r="F9748" s="2">
        <v>1730</v>
      </c>
      <c r="G9748" s="2">
        <v>100</v>
      </c>
      <c r="H9748" s="2">
        <v>321</v>
      </c>
      <c r="I9748" s="2">
        <v>898</v>
      </c>
      <c r="J9748" s="2">
        <v>1860</v>
      </c>
      <c r="K9748" s="2">
        <v>1</v>
      </c>
      <c r="L9748" s="2">
        <v>321</v>
      </c>
    </row>
    <row r="9749" spans="1:12" x14ac:dyDescent="0.25">
      <c r="A9749" s="4" t="str">
        <f>HYPERLINK("http://www.rosaceae.org/Prunus/Prunus_persica/p.persica_gdr_reftransV1_0010035","p.persica_gdr_reftransV1_0010035")</f>
        <v>p.persica_gdr_reftransV1_0010035</v>
      </c>
      <c r="B9749" s="2">
        <v>1131</v>
      </c>
      <c r="C9749" s="4" t="str">
        <f>HYPERLINK("http://www.uniprot.org/uniprot/M5WSG6","M5WSG6")</f>
        <v>M5WSG6</v>
      </c>
      <c r="D9749" s="2" t="s">
        <v>8421</v>
      </c>
      <c r="E9749" s="3">
        <v>3.3499999999999999E-113</v>
      </c>
      <c r="F9749" s="2">
        <v>874</v>
      </c>
      <c r="G9749" s="2">
        <v>100</v>
      </c>
      <c r="H9749" s="2">
        <v>223</v>
      </c>
      <c r="I9749" s="2">
        <v>417</v>
      </c>
      <c r="J9749" s="2">
        <v>1085</v>
      </c>
      <c r="K9749" s="2">
        <v>1</v>
      </c>
      <c r="L9749" s="2">
        <v>223</v>
      </c>
    </row>
    <row r="9750" spans="1:12" x14ac:dyDescent="0.25">
      <c r="A9750" s="4" t="str">
        <f>HYPERLINK("http://www.rosaceae.org/Prunus/Prunus_persica/p.persica_gdr_reftransV1_0012135","p.persica_gdr_reftransV1_0012135")</f>
        <v>p.persica_gdr_reftransV1_0012135</v>
      </c>
      <c r="B9750" s="2">
        <v>881</v>
      </c>
      <c r="C9750" s="4" t="str">
        <f>HYPERLINK("http://www.uniprot.org/uniprot/M5W2H1","M5W2H1")</f>
        <v>M5W2H1</v>
      </c>
      <c r="D9750" s="2" t="s">
        <v>8422</v>
      </c>
      <c r="E9750" s="3">
        <v>2.8299999999999998E-123</v>
      </c>
      <c r="F9750" s="2">
        <v>937</v>
      </c>
      <c r="G9750" s="2">
        <v>100</v>
      </c>
      <c r="H9750" s="2">
        <v>178</v>
      </c>
      <c r="I9750" s="2">
        <v>347</v>
      </c>
      <c r="J9750" s="2">
        <v>880</v>
      </c>
      <c r="K9750" s="2">
        <v>77</v>
      </c>
      <c r="L9750" s="2">
        <v>254</v>
      </c>
    </row>
    <row r="9751" spans="1:12" x14ac:dyDescent="0.25">
      <c r="A9751" s="4" t="str">
        <f>HYPERLINK("http://www.rosaceae.org/Prunus/Prunus_persica/p.persica_gdr_reftransV1_0012835","p.persica_gdr_reftransV1_0012835")</f>
        <v>p.persica_gdr_reftransV1_0012835</v>
      </c>
      <c r="B9751" s="2">
        <v>1493</v>
      </c>
      <c r="C9751" s="4" t="str">
        <f>HYPERLINK("http://www.uniprot.org/uniprot/M5WF73","M5WF73")</f>
        <v>M5WF73</v>
      </c>
      <c r="D9751" s="2" t="s">
        <v>2242</v>
      </c>
      <c r="E9751" s="3">
        <v>0</v>
      </c>
      <c r="F9751" s="2">
        <v>1983</v>
      </c>
      <c r="G9751" s="2">
        <v>100</v>
      </c>
      <c r="H9751" s="2">
        <v>370</v>
      </c>
      <c r="I9751" s="2">
        <v>1</v>
      </c>
      <c r="J9751" s="2">
        <v>1110</v>
      </c>
      <c r="K9751" s="2">
        <v>236</v>
      </c>
      <c r="L9751" s="2">
        <v>605</v>
      </c>
    </row>
    <row r="9752" spans="1:12" x14ac:dyDescent="0.25">
      <c r="A9752" s="4" t="str">
        <f>HYPERLINK("http://www.rosaceae.org/Prunus/Prunus_persica/p.persica_gdr_reftransV1_0014235","p.persica_gdr_reftransV1_0014235")</f>
        <v>p.persica_gdr_reftransV1_0014235</v>
      </c>
      <c r="B9752" s="2">
        <v>1389</v>
      </c>
      <c r="C9752" s="4" t="str">
        <f>HYPERLINK("http://www.uniprot.org/uniprot/M5X0D5","M5X0D5")</f>
        <v>M5X0D5</v>
      </c>
      <c r="D9752" s="2" t="s">
        <v>2136</v>
      </c>
      <c r="E9752" s="3">
        <v>1.85E-151</v>
      </c>
      <c r="F9752" s="2">
        <v>1136</v>
      </c>
      <c r="G9752" s="2">
        <v>100</v>
      </c>
      <c r="H9752" s="2">
        <v>226</v>
      </c>
      <c r="I9752" s="2">
        <v>377</v>
      </c>
      <c r="J9752" s="2">
        <v>1054</v>
      </c>
      <c r="K9752" s="2">
        <v>1</v>
      </c>
      <c r="L9752" s="2">
        <v>226</v>
      </c>
    </row>
    <row r="9753" spans="1:12" x14ac:dyDescent="0.25">
      <c r="A9753" s="4" t="str">
        <f>HYPERLINK("http://www.rosaceae.org/Prunus/Prunus_persica/p.persica_gdr_reftransV1_0014935","p.persica_gdr_reftransV1_0014935")</f>
        <v>p.persica_gdr_reftransV1_0014935</v>
      </c>
      <c r="B9753" s="2">
        <v>2702</v>
      </c>
      <c r="C9753" s="4" t="str">
        <f>HYPERLINK("http://www.uniprot.org/uniprot/M5VY64","M5VY64")</f>
        <v>M5VY64</v>
      </c>
      <c r="D9753" s="2" t="s">
        <v>8423</v>
      </c>
      <c r="E9753" s="3">
        <v>0</v>
      </c>
      <c r="F9753" s="2">
        <v>1701</v>
      </c>
      <c r="G9753" s="2">
        <v>99</v>
      </c>
      <c r="H9753" s="2">
        <v>320</v>
      </c>
      <c r="I9753" s="2">
        <v>1626</v>
      </c>
      <c r="J9753" s="2">
        <v>2585</v>
      </c>
      <c r="K9753" s="2">
        <v>1</v>
      </c>
      <c r="L9753" s="2">
        <v>320</v>
      </c>
    </row>
    <row r="9754" spans="1:12" x14ac:dyDescent="0.25">
      <c r="A9754" s="4" t="str">
        <f>HYPERLINK("http://www.rosaceae.org/Prunus/Prunus_persica/p.persica_gdr_reftransV1_0015285","p.persica_gdr_reftransV1_0015285")</f>
        <v>p.persica_gdr_reftransV1_0015285</v>
      </c>
      <c r="B9754" s="2">
        <v>3818</v>
      </c>
      <c r="C9754" s="4" t="str">
        <f>HYPERLINK("http://www.uniprot.org/uniprot/M5VYW3","M5VYW3")</f>
        <v>M5VYW3</v>
      </c>
      <c r="D9754" s="2" t="s">
        <v>8424</v>
      </c>
      <c r="E9754" s="3">
        <v>1.22E-179</v>
      </c>
      <c r="F9754" s="2">
        <v>1244</v>
      </c>
      <c r="G9754" s="2">
        <v>69</v>
      </c>
      <c r="H9754" s="2">
        <v>386</v>
      </c>
      <c r="I9754" s="2">
        <v>2513</v>
      </c>
      <c r="J9754" s="2">
        <v>3640</v>
      </c>
      <c r="K9754" s="2">
        <v>142</v>
      </c>
      <c r="L9754" s="2">
        <v>490</v>
      </c>
    </row>
    <row r="9755" spans="1:12" x14ac:dyDescent="0.25">
      <c r="A9755" s="4" t="str">
        <f>HYPERLINK("http://www.rosaceae.org/Prunus/Prunus_persica/p.persica_gdr_reftransV1_0016335","p.persica_gdr_reftransV1_0016335")</f>
        <v>p.persica_gdr_reftransV1_0016335</v>
      </c>
      <c r="B9755" s="2">
        <v>1207</v>
      </c>
      <c r="C9755" s="4" t="str">
        <f>HYPERLINK("http://www.uniprot.org/uniprot/D5L0Z3","D5L0Z3")</f>
        <v>D5L0Z3</v>
      </c>
      <c r="D9755" s="2" t="s">
        <v>8425</v>
      </c>
      <c r="E9755" s="3">
        <v>6.4500000000000006E-86</v>
      </c>
      <c r="F9755" s="2">
        <v>697</v>
      </c>
      <c r="G9755" s="2">
        <v>79</v>
      </c>
      <c r="H9755" s="2">
        <v>246</v>
      </c>
      <c r="I9755" s="2">
        <v>340</v>
      </c>
      <c r="J9755" s="2">
        <v>1068</v>
      </c>
      <c r="K9755" s="2">
        <v>1</v>
      </c>
      <c r="L9755" s="2">
        <v>241</v>
      </c>
    </row>
    <row r="9756" spans="1:12" x14ac:dyDescent="0.25">
      <c r="A9756" s="4" t="str">
        <f>HYPERLINK("http://www.rosaceae.org/Prunus/Prunus_persica/p.persica_gdr_reftransV1_0017385","p.persica_gdr_reftransV1_0017385")</f>
        <v>p.persica_gdr_reftransV1_0017385</v>
      </c>
      <c r="B9756" s="2">
        <v>1990</v>
      </c>
      <c r="C9756" s="4" t="str">
        <f>HYPERLINK("http://www.uniprot.org/uniprot/M5XHA7","M5XHA7")</f>
        <v>M5XHA7</v>
      </c>
      <c r="D9756" s="2" t="s">
        <v>8426</v>
      </c>
      <c r="E9756" s="3">
        <v>0</v>
      </c>
      <c r="F9756" s="2">
        <v>1513</v>
      </c>
      <c r="G9756" s="2">
        <v>99</v>
      </c>
      <c r="H9756" s="2">
        <v>326</v>
      </c>
      <c r="I9756" s="2">
        <v>761</v>
      </c>
      <c r="J9756" s="2">
        <v>1738</v>
      </c>
      <c r="K9756" s="2">
        <v>1</v>
      </c>
      <c r="L9756" s="2">
        <v>326</v>
      </c>
    </row>
    <row r="9757" spans="1:12" x14ac:dyDescent="0.25">
      <c r="A9757" s="4" t="str">
        <f>HYPERLINK("http://www.rosaceae.org/Prunus/Prunus_persica/p.persica_gdr_reftransV1_0018085","p.persica_gdr_reftransV1_0018085")</f>
        <v>p.persica_gdr_reftransV1_0018085</v>
      </c>
      <c r="B9757" s="2">
        <v>4372</v>
      </c>
      <c r="C9757" s="4" t="str">
        <f>HYPERLINK("http://www.uniprot.org/uniprot/M5XMB0","M5XMB0")</f>
        <v>M5XMB0</v>
      </c>
      <c r="D9757" s="2" t="s">
        <v>615</v>
      </c>
      <c r="E9757" s="3">
        <v>1.17E-105</v>
      </c>
      <c r="F9757" s="2">
        <v>917</v>
      </c>
      <c r="G9757" s="2">
        <v>95</v>
      </c>
      <c r="H9757" s="2">
        <v>230</v>
      </c>
      <c r="I9757" s="2">
        <v>308</v>
      </c>
      <c r="J9757" s="2">
        <v>994</v>
      </c>
      <c r="K9757" s="2">
        <v>305</v>
      </c>
      <c r="L9757" s="2">
        <v>530</v>
      </c>
    </row>
    <row r="9758" spans="1:12" x14ac:dyDescent="0.25">
      <c r="A9758" s="4" t="str">
        <f>HYPERLINK("http://www.rosaceae.org/Prunus/Prunus_persica/p.persica_gdr_reftransV1_0018435","p.persica_gdr_reftransV1_0018435")</f>
        <v>p.persica_gdr_reftransV1_0018435</v>
      </c>
      <c r="B9758" s="2">
        <v>1969</v>
      </c>
      <c r="C9758" s="4" t="str">
        <f>HYPERLINK("http://www.uniprot.org/uniprot/M5XKB5","M5XKB5")</f>
        <v>M5XKB5</v>
      </c>
      <c r="D9758" s="2" t="s">
        <v>8427</v>
      </c>
      <c r="E9758" s="3">
        <v>0</v>
      </c>
      <c r="F9758" s="2">
        <v>1779</v>
      </c>
      <c r="G9758" s="2">
        <v>95</v>
      </c>
      <c r="H9758" s="2">
        <v>359</v>
      </c>
      <c r="I9758" s="2">
        <v>483</v>
      </c>
      <c r="J9758" s="2">
        <v>1559</v>
      </c>
      <c r="K9758" s="2">
        <v>1</v>
      </c>
      <c r="L9758" s="2">
        <v>341</v>
      </c>
    </row>
    <row r="9759" spans="1:12" x14ac:dyDescent="0.25">
      <c r="A9759" s="4" t="str">
        <f>HYPERLINK("http://www.rosaceae.org/Prunus/Prunus_persica/p.persica_gdr_reftransV1_0019835","p.persica_gdr_reftransV1_0019835")</f>
        <v>p.persica_gdr_reftransV1_0019835</v>
      </c>
      <c r="B9759" s="2">
        <v>1802</v>
      </c>
      <c r="C9759" s="4" t="str">
        <f>HYPERLINK("http://www.uniprot.org/uniprot/M5X101","M5X101")</f>
        <v>M5X101</v>
      </c>
      <c r="D9759" s="2" t="s">
        <v>8428</v>
      </c>
      <c r="E9759" s="3">
        <v>0</v>
      </c>
      <c r="F9759" s="2">
        <v>2434</v>
      </c>
      <c r="G9759" s="2">
        <v>100</v>
      </c>
      <c r="H9759" s="2">
        <v>472</v>
      </c>
      <c r="I9759" s="2">
        <v>93</v>
      </c>
      <c r="J9759" s="2">
        <v>1508</v>
      </c>
      <c r="K9759" s="2">
        <v>1</v>
      </c>
      <c r="L9759" s="2">
        <v>472</v>
      </c>
    </row>
    <row r="9760" spans="1:12" x14ac:dyDescent="0.25">
      <c r="A9760" s="4" t="str">
        <f>HYPERLINK("http://www.rosaceae.org/Prunus/Prunus_persica/p.persica_gdr_reftransV1_0021585","p.persica_gdr_reftransV1_0021585")</f>
        <v>p.persica_gdr_reftransV1_0021585</v>
      </c>
      <c r="B9760" s="2">
        <v>2189</v>
      </c>
      <c r="C9760" s="4" t="str">
        <f>HYPERLINK("http://www.uniprot.org/uniprot/W9R8X5","W9R8X5")</f>
        <v>W9R8X5</v>
      </c>
      <c r="D9760" s="2" t="s">
        <v>8429</v>
      </c>
      <c r="E9760" s="3">
        <v>0</v>
      </c>
      <c r="F9760" s="2">
        <v>2621</v>
      </c>
      <c r="G9760" s="2">
        <v>81</v>
      </c>
      <c r="H9760" s="2">
        <v>641</v>
      </c>
      <c r="I9760" s="2">
        <v>249</v>
      </c>
      <c r="J9760" s="2">
        <v>2150</v>
      </c>
      <c r="K9760" s="2">
        <v>43</v>
      </c>
      <c r="L9760" s="2">
        <v>679</v>
      </c>
    </row>
    <row r="9761" spans="1:12" x14ac:dyDescent="0.25">
      <c r="A9761" s="4" t="str">
        <f>HYPERLINK("http://www.rosaceae.org/Prunus/Prunus_persica/p.persica_gdr_reftransV1_0025785","p.persica_gdr_reftransV1_0025785")</f>
        <v>p.persica_gdr_reftransV1_0025785</v>
      </c>
      <c r="B9761" s="2">
        <v>4601</v>
      </c>
      <c r="C9761" s="4" t="str">
        <f>HYPERLINK("http://www.uniprot.org/uniprot/M5WSD6","M5WSD6")</f>
        <v>M5WSD6</v>
      </c>
      <c r="D9761" s="2" t="s">
        <v>8430</v>
      </c>
      <c r="E9761" s="3">
        <v>0</v>
      </c>
      <c r="F9761" s="2">
        <v>1586</v>
      </c>
      <c r="G9761" s="2">
        <v>98</v>
      </c>
      <c r="H9761" s="2">
        <v>304</v>
      </c>
      <c r="I9761" s="2">
        <v>1016</v>
      </c>
      <c r="J9761" s="2">
        <v>1927</v>
      </c>
      <c r="K9761" s="2">
        <v>137</v>
      </c>
      <c r="L9761" s="2">
        <v>440</v>
      </c>
    </row>
    <row r="9762" spans="1:12" x14ac:dyDescent="0.25">
      <c r="A9762" s="4" t="str">
        <f>HYPERLINK("http://www.rosaceae.org/Prunus/Prunus_persica/p.persica_gdr_reftransV1_0026135","p.persica_gdr_reftransV1_0026135")</f>
        <v>p.persica_gdr_reftransV1_0026135</v>
      </c>
      <c r="B9762" s="2">
        <v>2840</v>
      </c>
      <c r="C9762" s="4" t="str">
        <f>HYPERLINK("http://www.uniprot.org/uniprot/W1PTQ8","W1PTQ8")</f>
        <v>W1PTQ8</v>
      </c>
      <c r="D9762" s="2" t="s">
        <v>8431</v>
      </c>
      <c r="E9762" s="3">
        <v>2.5399999999999999E-76</v>
      </c>
      <c r="F9762" s="2">
        <v>525</v>
      </c>
      <c r="G9762" s="2">
        <v>72</v>
      </c>
      <c r="H9762" s="2">
        <v>151</v>
      </c>
      <c r="I9762" s="2">
        <v>575</v>
      </c>
      <c r="J9762" s="2">
        <v>1027</v>
      </c>
      <c r="K9762" s="2">
        <v>84</v>
      </c>
      <c r="L9762" s="2">
        <v>234</v>
      </c>
    </row>
    <row r="9763" spans="1:12" x14ac:dyDescent="0.25">
      <c r="A9763" s="4" t="str">
        <f>HYPERLINK("http://www.rosaceae.org/Prunus/Prunus_persica/p.persica_gdr_reftransV1_0029635","p.persica_gdr_reftransV1_0029635")</f>
        <v>p.persica_gdr_reftransV1_0029635</v>
      </c>
      <c r="B9763" s="2">
        <v>1860</v>
      </c>
      <c r="C9763" s="4" t="str">
        <f>HYPERLINK("http://www.uniprot.org/uniprot/M5XDI6","M5XDI6")</f>
        <v>M5XDI6</v>
      </c>
      <c r="D9763" s="2" t="s">
        <v>8432</v>
      </c>
      <c r="E9763" s="3">
        <v>0</v>
      </c>
      <c r="F9763" s="2">
        <v>1866</v>
      </c>
      <c r="G9763" s="2">
        <v>100</v>
      </c>
      <c r="H9763" s="2">
        <v>395</v>
      </c>
      <c r="I9763" s="2">
        <v>120</v>
      </c>
      <c r="J9763" s="2">
        <v>1304</v>
      </c>
      <c r="K9763" s="2">
        <v>1</v>
      </c>
      <c r="L9763" s="2">
        <v>395</v>
      </c>
    </row>
    <row r="9764" spans="1:12" x14ac:dyDescent="0.25">
      <c r="A9764" s="4" t="str">
        <f>HYPERLINK("http://www.rosaceae.org/Prunus/Prunus_persica/p.persica_gdr_reftransV1_0030685","p.persica_gdr_reftransV1_0030685")</f>
        <v>p.persica_gdr_reftransV1_0030685</v>
      </c>
      <c r="B9764" s="2">
        <v>2215</v>
      </c>
      <c r="C9764" s="4" t="str">
        <f>HYPERLINK("http://www.uniprot.org/uniprot/M5W7I6","M5W7I6")</f>
        <v>M5W7I6</v>
      </c>
      <c r="D9764" s="2" t="s">
        <v>238</v>
      </c>
      <c r="E9764" s="3">
        <v>0</v>
      </c>
      <c r="F9764" s="2">
        <v>2545</v>
      </c>
      <c r="G9764" s="2">
        <v>100</v>
      </c>
      <c r="H9764" s="2">
        <v>493</v>
      </c>
      <c r="I9764" s="2">
        <v>495</v>
      </c>
      <c r="J9764" s="2">
        <v>1973</v>
      </c>
      <c r="K9764" s="2">
        <v>39</v>
      </c>
      <c r="L9764" s="2">
        <v>531</v>
      </c>
    </row>
    <row r="9765" spans="1:12" x14ac:dyDescent="0.25">
      <c r="A9765" s="4" t="str">
        <f>HYPERLINK("http://www.rosaceae.org/Prunus/Prunus_persica/p.persica_gdr_reftransV1_0031385","p.persica_gdr_reftransV1_0031385")</f>
        <v>p.persica_gdr_reftransV1_0031385</v>
      </c>
      <c r="B9765" s="2">
        <v>808</v>
      </c>
      <c r="C9765" s="4" t="str">
        <f>HYPERLINK("http://www.uniprot.org/uniprot/M5X3G6","M5X3G6")</f>
        <v>M5X3G6</v>
      </c>
      <c r="D9765" s="2" t="s">
        <v>8433</v>
      </c>
      <c r="E9765" s="3">
        <v>1.4900000000000001E-162</v>
      </c>
      <c r="F9765" s="2">
        <v>1243</v>
      </c>
      <c r="G9765" s="2">
        <v>93</v>
      </c>
      <c r="H9765" s="2">
        <v>268</v>
      </c>
      <c r="I9765" s="2">
        <v>3</v>
      </c>
      <c r="J9765" s="2">
        <v>806</v>
      </c>
      <c r="K9765" s="2">
        <v>197</v>
      </c>
      <c r="L9765" s="2">
        <v>452</v>
      </c>
    </row>
    <row r="9766" spans="1:12" x14ac:dyDescent="0.25">
      <c r="A9766" s="4" t="str">
        <f>HYPERLINK("http://www.rosaceae.org/Prunus/Prunus_persica/p.persica_gdr_reftransV1_0033485","p.persica_gdr_reftransV1_0033485")</f>
        <v>p.persica_gdr_reftransV1_0033485</v>
      </c>
      <c r="B9766" s="2">
        <v>3498</v>
      </c>
      <c r="C9766" s="4" t="str">
        <f>HYPERLINK("http://www.uniprot.org/uniprot/M5XD31","M5XD31")</f>
        <v>M5XD31</v>
      </c>
      <c r="D9766" s="2" t="s">
        <v>8434</v>
      </c>
      <c r="E9766" s="3">
        <v>2.8300000000000002E-170</v>
      </c>
      <c r="F9766" s="2">
        <v>1328</v>
      </c>
      <c r="G9766" s="2">
        <v>100</v>
      </c>
      <c r="H9766" s="2">
        <v>272</v>
      </c>
      <c r="I9766" s="2">
        <v>2272</v>
      </c>
      <c r="J9766" s="2">
        <v>3087</v>
      </c>
      <c r="K9766" s="2">
        <v>1</v>
      </c>
      <c r="L9766" s="2">
        <v>272</v>
      </c>
    </row>
    <row r="9767" spans="1:12" x14ac:dyDescent="0.25">
      <c r="A9767" s="4" t="str">
        <f>HYPERLINK("http://www.rosaceae.org/Prunus/Prunus_persica/p.persica_gdr_reftransV1_0034885","p.persica_gdr_reftransV1_0034885")</f>
        <v>p.persica_gdr_reftransV1_0034885</v>
      </c>
      <c r="B9767" s="2">
        <v>1317</v>
      </c>
      <c r="C9767" s="4" t="str">
        <f>HYPERLINK("http://www.uniprot.org/uniprot/B9RUG9","B9RUG9")</f>
        <v>B9RUG9</v>
      </c>
      <c r="D9767" s="2" t="s">
        <v>8435</v>
      </c>
      <c r="E9767" s="3">
        <v>3.3500000000000001E-70</v>
      </c>
      <c r="F9767" s="2">
        <v>614</v>
      </c>
      <c r="G9767" s="2">
        <v>72</v>
      </c>
      <c r="H9767" s="2">
        <v>170</v>
      </c>
      <c r="I9767" s="2">
        <v>568</v>
      </c>
      <c r="J9767" s="2">
        <v>1077</v>
      </c>
      <c r="K9767" s="2">
        <v>299</v>
      </c>
      <c r="L9767" s="2">
        <v>468</v>
      </c>
    </row>
    <row r="9768" spans="1:12" x14ac:dyDescent="0.25">
      <c r="A9768" s="4" t="str">
        <f>HYPERLINK("http://www.rosaceae.org/Prunus/Prunus_persica/p.persica_gdr_reftransV1_0036285","p.persica_gdr_reftransV1_0036285")</f>
        <v>p.persica_gdr_reftransV1_0036285</v>
      </c>
      <c r="B9768" s="2">
        <v>2261</v>
      </c>
      <c r="C9768" s="4" t="str">
        <f>HYPERLINK("http://www.uniprot.org/uniprot/M5XDA6","M5XDA6")</f>
        <v>M5XDA6</v>
      </c>
      <c r="D9768" s="2" t="s">
        <v>8436</v>
      </c>
      <c r="E9768" s="3">
        <v>1.24E-138</v>
      </c>
      <c r="F9768" s="2">
        <v>847</v>
      </c>
      <c r="G9768" s="2">
        <v>93</v>
      </c>
      <c r="H9768" s="2">
        <v>187</v>
      </c>
      <c r="I9768" s="2">
        <v>733</v>
      </c>
      <c r="J9768" s="2">
        <v>1260</v>
      </c>
      <c r="K9768" s="2">
        <v>1</v>
      </c>
      <c r="L9768" s="2">
        <v>187</v>
      </c>
    </row>
    <row r="9769" spans="1:12" x14ac:dyDescent="0.25">
      <c r="A9769" s="4" t="str">
        <f>HYPERLINK("http://www.rosaceae.org/Prunus/Prunus_persica/p.persica_gdr_reftransV1_0036635","p.persica_gdr_reftransV1_0036635")</f>
        <v>p.persica_gdr_reftransV1_0036635</v>
      </c>
      <c r="B9769" s="2">
        <v>2384</v>
      </c>
      <c r="C9769" s="4" t="str">
        <f>HYPERLINK("http://www.uniprot.org/uniprot/M5XFC8","M5XFC8")</f>
        <v>M5XFC8</v>
      </c>
      <c r="D9769" s="2" t="s">
        <v>8437</v>
      </c>
      <c r="E9769" s="3">
        <v>6.6700000000000004E-174</v>
      </c>
      <c r="F9769" s="2">
        <v>1325</v>
      </c>
      <c r="G9769" s="2">
        <v>100</v>
      </c>
      <c r="H9769" s="2">
        <v>313</v>
      </c>
      <c r="I9769" s="2">
        <v>805</v>
      </c>
      <c r="J9769" s="2">
        <v>1743</v>
      </c>
      <c r="K9769" s="2">
        <v>1</v>
      </c>
      <c r="L9769" s="2">
        <v>313</v>
      </c>
    </row>
    <row r="9770" spans="1:12" x14ac:dyDescent="0.25">
      <c r="A9770" s="4" t="str">
        <f>HYPERLINK("http://www.rosaceae.org/Prunus/Prunus_persica/p.persica_gdr_reftransV1_0038035","p.persica_gdr_reftransV1_0038035")</f>
        <v>p.persica_gdr_reftransV1_0038035</v>
      </c>
      <c r="B9770" s="2">
        <v>2882</v>
      </c>
      <c r="C9770" s="4" t="str">
        <f>HYPERLINK("http://www.uniprot.org/uniprot/F6GU18","F6GU18")</f>
        <v>F6GU18</v>
      </c>
      <c r="D9770" s="2" t="s">
        <v>8438</v>
      </c>
      <c r="E9770" s="3">
        <v>0</v>
      </c>
      <c r="F9770" s="2">
        <v>2798</v>
      </c>
      <c r="G9770" s="2">
        <v>76</v>
      </c>
      <c r="H9770" s="2">
        <v>731</v>
      </c>
      <c r="I9770" s="2">
        <v>299</v>
      </c>
      <c r="J9770" s="2">
        <v>2473</v>
      </c>
      <c r="K9770" s="2">
        <v>5</v>
      </c>
      <c r="L9770" s="2">
        <v>729</v>
      </c>
    </row>
    <row r="9771" spans="1:12" x14ac:dyDescent="0.25">
      <c r="A9771" s="4" t="str">
        <f>HYPERLINK("http://www.rosaceae.org/Prunus/Prunus_persica/p.persica_gdr_reftransV1_0038735","p.persica_gdr_reftransV1_0038735")</f>
        <v>p.persica_gdr_reftransV1_0038735</v>
      </c>
      <c r="B9771" s="2">
        <v>2606</v>
      </c>
      <c r="C9771" s="4" t="str">
        <f>HYPERLINK("http://www.uniprot.org/uniprot/M5XK12","M5XK12")</f>
        <v>M5XK12</v>
      </c>
      <c r="D9771" s="2" t="s">
        <v>8439</v>
      </c>
      <c r="E9771" s="3">
        <v>0</v>
      </c>
      <c r="F9771" s="2">
        <v>4082</v>
      </c>
      <c r="G9771" s="2">
        <v>100</v>
      </c>
      <c r="H9771" s="2">
        <v>832</v>
      </c>
      <c r="I9771" s="2">
        <v>111</v>
      </c>
      <c r="J9771" s="2">
        <v>2606</v>
      </c>
      <c r="K9771" s="2">
        <v>167</v>
      </c>
      <c r="L9771" s="2">
        <v>998</v>
      </c>
    </row>
    <row r="9772" spans="1:12" x14ac:dyDescent="0.25">
      <c r="A9772" s="4" t="str">
        <f>HYPERLINK("http://www.rosaceae.org/Prunus/Prunus_persica/p.persica_gdr_reftransV1_0039435","p.persica_gdr_reftransV1_0039435")</f>
        <v>p.persica_gdr_reftransV1_0039435</v>
      </c>
      <c r="B9772" s="2">
        <v>1360</v>
      </c>
      <c r="C9772" s="4" t="str">
        <f>HYPERLINK("http://www.uniprot.org/uniprot/M5XBK9","M5XBK9")</f>
        <v>M5XBK9</v>
      </c>
      <c r="D9772" s="2" t="s">
        <v>8440</v>
      </c>
      <c r="E9772" s="3">
        <v>4.5800000000000002E-118</v>
      </c>
      <c r="F9772" s="2">
        <v>909</v>
      </c>
      <c r="G9772" s="2">
        <v>99</v>
      </c>
      <c r="H9772" s="2">
        <v>175</v>
      </c>
      <c r="I9772" s="2">
        <v>523</v>
      </c>
      <c r="J9772" s="2">
        <v>1047</v>
      </c>
      <c r="K9772" s="2">
        <v>1</v>
      </c>
      <c r="L9772" s="2">
        <v>175</v>
      </c>
    </row>
    <row r="9773" spans="1:12" x14ac:dyDescent="0.25">
      <c r="A9773" s="4" t="str">
        <f>HYPERLINK("http://www.rosaceae.org/Prunus/Prunus_persica/p.persica_gdr_reftransV1_0040485","p.persica_gdr_reftransV1_0040485")</f>
        <v>p.persica_gdr_reftransV1_0040485</v>
      </c>
      <c r="B9773" s="2">
        <v>539</v>
      </c>
      <c r="C9773" s="4" t="str">
        <f>HYPERLINK("http://www.uniprot.org/uniprot/M5VIG4","M5VIG4")</f>
        <v>M5VIG4</v>
      </c>
      <c r="D9773" s="2" t="s">
        <v>8441</v>
      </c>
      <c r="E9773" s="3">
        <v>1.01E-116</v>
      </c>
      <c r="F9773" s="2">
        <v>937</v>
      </c>
      <c r="G9773" s="2">
        <v>100</v>
      </c>
      <c r="H9773" s="2">
        <v>179</v>
      </c>
      <c r="I9773" s="2">
        <v>1</v>
      </c>
      <c r="J9773" s="2">
        <v>537</v>
      </c>
      <c r="K9773" s="2">
        <v>398</v>
      </c>
      <c r="L9773" s="2">
        <v>576</v>
      </c>
    </row>
    <row r="9774" spans="1:12" x14ac:dyDescent="0.25">
      <c r="A9774" s="4" t="str">
        <f>HYPERLINK("http://www.rosaceae.org/Prunus/Prunus_persica/p.persica_gdr_reftransV1_0041185","p.persica_gdr_reftransV1_0041185")</f>
        <v>p.persica_gdr_reftransV1_0041185</v>
      </c>
      <c r="B9774" s="2">
        <v>3175</v>
      </c>
      <c r="C9774" s="4" t="str">
        <f>HYPERLINK("http://www.uniprot.org/uniprot/M5VNY8","M5VNY8")</f>
        <v>M5VNY8</v>
      </c>
      <c r="D9774" s="2" t="s">
        <v>8442</v>
      </c>
      <c r="E9774" s="3">
        <v>0</v>
      </c>
      <c r="F9774" s="2">
        <v>4636</v>
      </c>
      <c r="G9774" s="2">
        <v>100</v>
      </c>
      <c r="H9774" s="2">
        <v>882</v>
      </c>
      <c r="I9774" s="2">
        <v>225</v>
      </c>
      <c r="J9774" s="2">
        <v>2870</v>
      </c>
      <c r="K9774" s="2">
        <v>1</v>
      </c>
      <c r="L9774" s="2">
        <v>882</v>
      </c>
    </row>
    <row r="9775" spans="1:12" x14ac:dyDescent="0.25">
      <c r="A9775" s="4" t="str">
        <f>HYPERLINK("http://www.rosaceae.org/Prunus/Prunus_persica/p.persica_gdr_reftransV1_0043635","p.persica_gdr_reftransV1_0043635")</f>
        <v>p.persica_gdr_reftransV1_0043635</v>
      </c>
      <c r="B9775" s="2">
        <v>615</v>
      </c>
      <c r="C9775" s="4" t="str">
        <f>HYPERLINK("http://www.uniprot.org/uniprot/M5WI81","M5WI81")</f>
        <v>M5WI81</v>
      </c>
      <c r="D9775" s="2" t="s">
        <v>6354</v>
      </c>
      <c r="E9775" s="3">
        <v>1.51E-99</v>
      </c>
      <c r="F9775" s="2">
        <v>782</v>
      </c>
      <c r="G9775" s="2">
        <v>100</v>
      </c>
      <c r="H9775" s="2">
        <v>142</v>
      </c>
      <c r="I9775" s="2">
        <v>118</v>
      </c>
      <c r="J9775" s="2">
        <v>543</v>
      </c>
      <c r="K9775" s="2">
        <v>258</v>
      </c>
      <c r="L9775" s="2">
        <v>399</v>
      </c>
    </row>
    <row r="9776" spans="1:12" x14ac:dyDescent="0.25">
      <c r="A9776" s="4" t="str">
        <f>HYPERLINK("http://www.rosaceae.org/Prunus/Prunus_persica/p.persica_gdr_reftransV1_0043985","p.persica_gdr_reftransV1_0043985")</f>
        <v>p.persica_gdr_reftransV1_0043985</v>
      </c>
      <c r="B9776" s="2">
        <v>429</v>
      </c>
      <c r="C9776" s="4" t="str">
        <f>HYPERLINK("http://www.uniprot.org/uniprot/M5XAV4","M5XAV4")</f>
        <v>M5XAV4</v>
      </c>
      <c r="D9776" s="2" t="s">
        <v>8443</v>
      </c>
      <c r="E9776" s="3">
        <v>1.35E-92</v>
      </c>
      <c r="F9776" s="2">
        <v>770</v>
      </c>
      <c r="G9776" s="2">
        <v>100</v>
      </c>
      <c r="H9776" s="2">
        <v>142</v>
      </c>
      <c r="I9776" s="2">
        <v>2</v>
      </c>
      <c r="J9776" s="2">
        <v>427</v>
      </c>
      <c r="K9776" s="2">
        <v>819</v>
      </c>
      <c r="L9776" s="2">
        <v>960</v>
      </c>
    </row>
    <row r="9777" spans="1:12" x14ac:dyDescent="0.25">
      <c r="A9777" s="4" t="str">
        <f>HYPERLINK("http://www.rosaceae.org/Prunus/Prunus_persica/p.persica_gdr_reftransV1_0044335","p.persica_gdr_reftransV1_0044335")</f>
        <v>p.persica_gdr_reftransV1_0044335</v>
      </c>
      <c r="B9777" s="2">
        <v>2544</v>
      </c>
      <c r="C9777" s="4" t="str">
        <f>HYPERLINK("http://www.uniprot.org/uniprot/M5X581","M5X581")</f>
        <v>M5X581</v>
      </c>
      <c r="D9777" s="2" t="s">
        <v>8444</v>
      </c>
      <c r="E9777" s="3">
        <v>0</v>
      </c>
      <c r="F9777" s="2">
        <v>3491</v>
      </c>
      <c r="G9777" s="2">
        <v>100</v>
      </c>
      <c r="H9777" s="2">
        <v>680</v>
      </c>
      <c r="I9777" s="2">
        <v>274</v>
      </c>
      <c r="J9777" s="2">
        <v>2313</v>
      </c>
      <c r="K9777" s="2">
        <v>1</v>
      </c>
      <c r="L9777" s="2">
        <v>680</v>
      </c>
    </row>
    <row r="9778" spans="1:12" x14ac:dyDescent="0.25">
      <c r="A9778" s="4" t="str">
        <f>HYPERLINK("http://www.rosaceae.org/Prunus/Prunus_persica/p.persica_gdr_reftransV1_0044685","p.persica_gdr_reftransV1_0044685")</f>
        <v>p.persica_gdr_reftransV1_0044685</v>
      </c>
      <c r="B9778" s="2">
        <v>1041</v>
      </c>
      <c r="C9778" s="4" t="str">
        <f>HYPERLINK("http://www.uniprot.org/uniprot/M5VXV6","M5VXV6")</f>
        <v>M5VXV6</v>
      </c>
      <c r="D9778" s="2" t="s">
        <v>8445</v>
      </c>
      <c r="E9778" s="3">
        <v>3.32E-77</v>
      </c>
      <c r="F9778" s="2">
        <v>629</v>
      </c>
      <c r="G9778" s="2">
        <v>100</v>
      </c>
      <c r="H9778" s="2">
        <v>182</v>
      </c>
      <c r="I9778" s="2">
        <v>23</v>
      </c>
      <c r="J9778" s="2">
        <v>568</v>
      </c>
      <c r="K9778" s="2">
        <v>1</v>
      </c>
      <c r="L9778" s="2">
        <v>182</v>
      </c>
    </row>
    <row r="9779" spans="1:12" x14ac:dyDescent="0.25">
      <c r="A9779" s="4" t="str">
        <f>HYPERLINK("http://www.rosaceae.org/Prunus/Prunus_persica/p.persica_gdr_reftransV1_0045035","p.persica_gdr_reftransV1_0045035")</f>
        <v>p.persica_gdr_reftransV1_0045035</v>
      </c>
      <c r="B9779" s="2">
        <v>496</v>
      </c>
      <c r="C9779" s="4" t="str">
        <f>HYPERLINK("http://www.uniprot.org/uniprot/M5XD60","M5XD60")</f>
        <v>M5XD60</v>
      </c>
      <c r="D9779" s="2" t="s">
        <v>8446</v>
      </c>
      <c r="E9779" s="3">
        <v>1.32E-51</v>
      </c>
      <c r="F9779" s="2">
        <v>448</v>
      </c>
      <c r="G9779" s="2">
        <v>99</v>
      </c>
      <c r="H9779" s="2">
        <v>106</v>
      </c>
      <c r="I9779" s="2">
        <v>3</v>
      </c>
      <c r="J9779" s="2">
        <v>320</v>
      </c>
      <c r="K9779" s="2">
        <v>1</v>
      </c>
      <c r="L9779" s="2">
        <v>106</v>
      </c>
    </row>
    <row r="9780" spans="1:12" x14ac:dyDescent="0.25">
      <c r="A9780" s="4" t="str">
        <f>HYPERLINK("http://www.rosaceae.org/Prunus/Prunus_persica/p.persica_gdr_reftransV1_0045385","p.persica_gdr_reftransV1_0045385")</f>
        <v>p.persica_gdr_reftransV1_0045385</v>
      </c>
      <c r="B9780" s="2">
        <v>1562</v>
      </c>
      <c r="C9780" s="4" t="str">
        <f>HYPERLINK("http://www.uniprot.org/uniprot/M5WWK1","M5WWK1")</f>
        <v>M5WWK1</v>
      </c>
      <c r="D9780" s="2" t="s">
        <v>8447</v>
      </c>
      <c r="E9780" s="3">
        <v>1.5099999999999999E-166</v>
      </c>
      <c r="F9780" s="2">
        <v>1278</v>
      </c>
      <c r="G9780" s="2">
        <v>94</v>
      </c>
      <c r="H9780" s="2">
        <v>258</v>
      </c>
      <c r="I9780" s="2">
        <v>290</v>
      </c>
      <c r="J9780" s="2">
        <v>1063</v>
      </c>
      <c r="K9780" s="2">
        <v>330</v>
      </c>
      <c r="L9780" s="2">
        <v>580</v>
      </c>
    </row>
    <row r="9781" spans="1:12" x14ac:dyDescent="0.25">
      <c r="A9781" s="4" t="str">
        <f>HYPERLINK("http://www.rosaceae.org/Prunus/Prunus_persica/p.persica_gdr_reftransV1_0046085","p.persica_gdr_reftransV1_0046085")</f>
        <v>p.persica_gdr_reftransV1_0046085</v>
      </c>
      <c r="B9781" s="2">
        <v>528</v>
      </c>
      <c r="C9781" s="4" t="str">
        <f>HYPERLINK("http://www.uniprot.org/uniprot/M5VKF2","M5VKF2")</f>
        <v>M5VKF2</v>
      </c>
      <c r="D9781" s="2" t="s">
        <v>8448</v>
      </c>
      <c r="E9781" s="3">
        <v>2.55E-10</v>
      </c>
      <c r="F9781" s="2">
        <v>157</v>
      </c>
      <c r="G9781" s="2">
        <v>72</v>
      </c>
      <c r="H9781" s="2">
        <v>53</v>
      </c>
      <c r="I9781" s="2">
        <v>40</v>
      </c>
      <c r="J9781" s="2">
        <v>198</v>
      </c>
      <c r="K9781" s="2">
        <v>77</v>
      </c>
      <c r="L9781" s="2">
        <v>123</v>
      </c>
    </row>
    <row r="9782" spans="1:12" x14ac:dyDescent="0.25">
      <c r="A9782" s="4" t="str">
        <f>HYPERLINK("http://www.rosaceae.org/Prunus/Prunus_persica/p.persica_gdr_reftransV1_0046435","p.persica_gdr_reftransV1_0046435")</f>
        <v>p.persica_gdr_reftransV1_0046435</v>
      </c>
      <c r="B9782" s="2">
        <v>2185</v>
      </c>
      <c r="C9782" s="4" t="str">
        <f>HYPERLINK("http://www.uniprot.org/uniprot/M5XD24","M5XD24")</f>
        <v>M5XD24</v>
      </c>
      <c r="D9782" s="2" t="s">
        <v>7737</v>
      </c>
      <c r="E9782" s="3">
        <v>0</v>
      </c>
      <c r="F9782" s="2">
        <v>2539</v>
      </c>
      <c r="G9782" s="2">
        <v>92</v>
      </c>
      <c r="H9782" s="2">
        <v>569</v>
      </c>
      <c r="I9782" s="2">
        <v>320</v>
      </c>
      <c r="J9782" s="2">
        <v>2026</v>
      </c>
      <c r="K9782" s="2">
        <v>1</v>
      </c>
      <c r="L9782" s="2">
        <v>524</v>
      </c>
    </row>
    <row r="9783" spans="1:12" x14ac:dyDescent="0.25">
      <c r="A9783" s="4" t="str">
        <f>HYPERLINK("http://www.rosaceae.org/Prunus/Prunus_persica/p.persica_gdr_reftransV1_0046785","p.persica_gdr_reftransV1_0046785")</f>
        <v>p.persica_gdr_reftransV1_0046785</v>
      </c>
      <c r="B9783" s="2">
        <v>952</v>
      </c>
      <c r="C9783" s="4" t="str">
        <f>HYPERLINK("http://www.uniprot.org/uniprot/M5X2M4","M5X2M4")</f>
        <v>M5X2M4</v>
      </c>
      <c r="D9783" s="2" t="s">
        <v>8449</v>
      </c>
      <c r="E9783" s="3">
        <v>1.4900000000000001E-178</v>
      </c>
      <c r="F9783" s="2">
        <v>1331</v>
      </c>
      <c r="G9783" s="2">
        <v>100</v>
      </c>
      <c r="H9783" s="2">
        <v>244</v>
      </c>
      <c r="I9783" s="2">
        <v>1</v>
      </c>
      <c r="J9783" s="2">
        <v>732</v>
      </c>
      <c r="K9783" s="2">
        <v>297</v>
      </c>
      <c r="L9783" s="2">
        <v>540</v>
      </c>
    </row>
    <row r="9784" spans="1:12" x14ac:dyDescent="0.25">
      <c r="A9784" s="4" t="str">
        <f>HYPERLINK("http://www.rosaceae.org/Prunus/Prunus_persica/p.persica_gdr_reftransV1_0047135","p.persica_gdr_reftransV1_0047135")</f>
        <v>p.persica_gdr_reftransV1_0047135</v>
      </c>
      <c r="B9784" s="2">
        <v>782</v>
      </c>
      <c r="C9784" s="4" t="str">
        <f>HYPERLINK("http://www.uniprot.org/uniprot/M5WS45","M5WS45")</f>
        <v>M5WS45</v>
      </c>
      <c r="D9784" s="2" t="s">
        <v>92</v>
      </c>
      <c r="E9784" s="3">
        <v>1.5199999999999999E-73</v>
      </c>
      <c r="F9784" s="2">
        <v>617</v>
      </c>
      <c r="G9784" s="2">
        <v>100</v>
      </c>
      <c r="H9784" s="2">
        <v>118</v>
      </c>
      <c r="I9784" s="2">
        <v>327</v>
      </c>
      <c r="J9784" s="2">
        <v>680</v>
      </c>
      <c r="K9784" s="2">
        <v>1</v>
      </c>
      <c r="L9784" s="2">
        <v>118</v>
      </c>
    </row>
    <row r="9785" spans="1:12" x14ac:dyDescent="0.25">
      <c r="A9785" s="4" t="str">
        <f>HYPERLINK("http://www.rosaceae.org/Prunus/Prunus_persica/p.persica_gdr_reftransV1_0047485","p.persica_gdr_reftransV1_0047485")</f>
        <v>p.persica_gdr_reftransV1_0047485</v>
      </c>
      <c r="B9785" s="2">
        <v>438</v>
      </c>
      <c r="C9785" s="4" t="str">
        <f>HYPERLINK("http://www.uniprot.org/uniprot/M5W245","M5W245")</f>
        <v>M5W245</v>
      </c>
      <c r="D9785" s="2" t="s">
        <v>8450</v>
      </c>
      <c r="E9785" s="3">
        <v>6.6799999999999999E-87</v>
      </c>
      <c r="F9785" s="2">
        <v>673</v>
      </c>
      <c r="G9785" s="2">
        <v>100</v>
      </c>
      <c r="H9785" s="2">
        <v>125</v>
      </c>
      <c r="I9785" s="2">
        <v>64</v>
      </c>
      <c r="J9785" s="2">
        <v>438</v>
      </c>
      <c r="K9785" s="2">
        <v>50</v>
      </c>
      <c r="L9785" s="2">
        <v>174</v>
      </c>
    </row>
    <row r="9786" spans="1:12" x14ac:dyDescent="0.25">
      <c r="A9786" s="4" t="str">
        <f>HYPERLINK("http://www.rosaceae.org/Prunus/Prunus_persica/p.persica_gdr_reftransV1_0048185","p.persica_gdr_reftransV1_0048185")</f>
        <v>p.persica_gdr_reftransV1_0048185</v>
      </c>
      <c r="B9786" s="2">
        <v>1728</v>
      </c>
      <c r="C9786" s="4" t="str">
        <f>HYPERLINK("http://www.uniprot.org/uniprot/M5WAM9","M5WAM9")</f>
        <v>M5WAM9</v>
      </c>
      <c r="D9786" s="2" t="s">
        <v>8451</v>
      </c>
      <c r="E9786" s="3">
        <v>0</v>
      </c>
      <c r="F9786" s="2">
        <v>2422</v>
      </c>
      <c r="G9786" s="2">
        <v>100</v>
      </c>
      <c r="H9786" s="2">
        <v>493</v>
      </c>
      <c r="I9786" s="2">
        <v>183</v>
      </c>
      <c r="J9786" s="2">
        <v>1661</v>
      </c>
      <c r="K9786" s="2">
        <v>1</v>
      </c>
      <c r="L9786" s="2">
        <v>493</v>
      </c>
    </row>
    <row r="9787" spans="1:12" x14ac:dyDescent="0.25">
      <c r="A9787" s="4" t="str">
        <f>HYPERLINK("http://www.rosaceae.org/Prunus/Prunus_persica/p.persica_gdr_reftransV1_0048535","p.persica_gdr_reftransV1_0048535")</f>
        <v>p.persica_gdr_reftransV1_0048535</v>
      </c>
      <c r="B9787" s="2">
        <v>524</v>
      </c>
      <c r="C9787" s="4" t="str">
        <f>HYPERLINK("http://www.uniprot.org/uniprot/M5VN11","M5VN11")</f>
        <v>M5VN11</v>
      </c>
      <c r="D9787" s="2" t="s">
        <v>5119</v>
      </c>
      <c r="E9787" s="3">
        <v>6.9000000000000003E-24</v>
      </c>
      <c r="F9787" s="2">
        <v>263</v>
      </c>
      <c r="G9787" s="2">
        <v>100</v>
      </c>
      <c r="H9787" s="2">
        <v>51</v>
      </c>
      <c r="I9787" s="2">
        <v>1</v>
      </c>
      <c r="J9787" s="2">
        <v>153</v>
      </c>
      <c r="K9787" s="2">
        <v>347</v>
      </c>
      <c r="L9787" s="2">
        <v>397</v>
      </c>
    </row>
    <row r="9788" spans="1:12" x14ac:dyDescent="0.25">
      <c r="A9788" s="4" t="str">
        <f>HYPERLINK("http://www.rosaceae.org/Prunus/Prunus_persica/p.persica_gdr_reftransV1_0048885","p.persica_gdr_reftransV1_0048885")</f>
        <v>p.persica_gdr_reftransV1_0048885</v>
      </c>
      <c r="B9788" s="2">
        <v>802</v>
      </c>
      <c r="C9788" s="4" t="str">
        <f>HYPERLINK("http://www.uniprot.org/uniprot/M5XCM9","M5XCM9")</f>
        <v>M5XCM9</v>
      </c>
      <c r="D9788" s="2" t="s">
        <v>8452</v>
      </c>
      <c r="E9788" s="3">
        <v>5.5899999999999999E-145</v>
      </c>
      <c r="F9788" s="2">
        <v>1102</v>
      </c>
      <c r="G9788" s="2">
        <v>98</v>
      </c>
      <c r="H9788" s="2">
        <v>245</v>
      </c>
      <c r="I9788" s="2">
        <v>66</v>
      </c>
      <c r="J9788" s="2">
        <v>800</v>
      </c>
      <c r="K9788" s="2">
        <v>16</v>
      </c>
      <c r="L9788" s="2">
        <v>260</v>
      </c>
    </row>
    <row r="9789" spans="1:12" x14ac:dyDescent="0.25">
      <c r="A9789" s="4" t="str">
        <f>HYPERLINK("http://www.rosaceae.org/Prunus/Prunus_persica/p.persica_gdr_reftransV1_0000236","p.persica_gdr_reftransV1_0000236")</f>
        <v>p.persica_gdr_reftransV1_0000236</v>
      </c>
      <c r="B9789" s="2">
        <v>1370</v>
      </c>
      <c r="C9789" s="4" t="str">
        <f>HYPERLINK("http://www.uniprot.org/uniprot/M5XB23","M5XB23")</f>
        <v>M5XB23</v>
      </c>
      <c r="D9789" s="2" t="s">
        <v>8453</v>
      </c>
      <c r="E9789" s="3">
        <v>0</v>
      </c>
      <c r="F9789" s="2">
        <v>2115</v>
      </c>
      <c r="G9789" s="2">
        <v>100</v>
      </c>
      <c r="H9789" s="2">
        <v>428</v>
      </c>
      <c r="I9789" s="2">
        <v>1</v>
      </c>
      <c r="J9789" s="2">
        <v>1284</v>
      </c>
      <c r="K9789" s="2">
        <v>1</v>
      </c>
      <c r="L9789" s="2">
        <v>428</v>
      </c>
    </row>
    <row r="9790" spans="1:12" x14ac:dyDescent="0.25">
      <c r="A9790" s="4" t="str">
        <f>HYPERLINK("http://www.rosaceae.org/Prunus/Prunus_persica/p.persica_gdr_reftransV1_0000586","p.persica_gdr_reftransV1_0000586")</f>
        <v>p.persica_gdr_reftransV1_0000586</v>
      </c>
      <c r="B9790" s="2">
        <v>3169</v>
      </c>
      <c r="C9790" s="4" t="str">
        <f>HYPERLINK("http://www.uniprot.org/uniprot/M5VYV1","M5VYV1")</f>
        <v>M5VYV1</v>
      </c>
      <c r="D9790" s="2" t="s">
        <v>8454</v>
      </c>
      <c r="E9790" s="3">
        <v>0</v>
      </c>
      <c r="F9790" s="2">
        <v>3571</v>
      </c>
      <c r="G9790" s="2">
        <v>96</v>
      </c>
      <c r="H9790" s="2">
        <v>841</v>
      </c>
      <c r="I9790" s="2">
        <v>340</v>
      </c>
      <c r="J9790" s="2">
        <v>2862</v>
      </c>
      <c r="K9790" s="2">
        <v>1</v>
      </c>
      <c r="L9790" s="2">
        <v>812</v>
      </c>
    </row>
    <row r="9791" spans="1:12" x14ac:dyDescent="0.25">
      <c r="A9791" s="4" t="str">
        <f>HYPERLINK("http://www.rosaceae.org/Prunus/Prunus_persica/p.persica_gdr_reftransV1_0000936","p.persica_gdr_reftransV1_0000936")</f>
        <v>p.persica_gdr_reftransV1_0000936</v>
      </c>
      <c r="B9791" s="2">
        <v>1420</v>
      </c>
      <c r="C9791" s="4" t="str">
        <f>HYPERLINK("http://www.uniprot.org/uniprot/M5XMJ8","M5XMJ8")</f>
        <v>M5XMJ8</v>
      </c>
      <c r="D9791" s="2" t="s">
        <v>6367</v>
      </c>
      <c r="E9791" s="3">
        <v>4.5299999999999997E-129</v>
      </c>
      <c r="F9791" s="2">
        <v>995</v>
      </c>
      <c r="G9791" s="2">
        <v>86</v>
      </c>
      <c r="H9791" s="2">
        <v>266</v>
      </c>
      <c r="I9791" s="2">
        <v>466</v>
      </c>
      <c r="J9791" s="2">
        <v>1263</v>
      </c>
      <c r="K9791" s="2">
        <v>31</v>
      </c>
      <c r="L9791" s="2">
        <v>260</v>
      </c>
    </row>
    <row r="9792" spans="1:12" x14ac:dyDescent="0.25">
      <c r="A9792" s="4" t="str">
        <f>HYPERLINK("http://www.rosaceae.org/Prunus/Prunus_persica/p.persica_gdr_reftransV1_0001286","p.persica_gdr_reftransV1_0001286")</f>
        <v>p.persica_gdr_reftransV1_0001286</v>
      </c>
      <c r="B9792" s="2">
        <v>464</v>
      </c>
      <c r="C9792" s="4" t="str">
        <f>HYPERLINK("http://www.uniprot.org/uniprot/M5WNC3","M5WNC3")</f>
        <v>M5WNC3</v>
      </c>
      <c r="D9792" s="2" t="s">
        <v>8455</v>
      </c>
      <c r="E9792" s="3">
        <v>7.0599999999999995E-58</v>
      </c>
      <c r="F9792" s="2">
        <v>482</v>
      </c>
      <c r="G9792" s="2">
        <v>96</v>
      </c>
      <c r="H9792" s="2">
        <v>95</v>
      </c>
      <c r="I9792" s="2">
        <v>135</v>
      </c>
      <c r="J9792" s="2">
        <v>419</v>
      </c>
      <c r="K9792" s="2">
        <v>1</v>
      </c>
      <c r="L9792" s="2">
        <v>95</v>
      </c>
    </row>
    <row r="9793" spans="1:12" x14ac:dyDescent="0.25">
      <c r="A9793" s="4" t="str">
        <f>HYPERLINK("http://www.rosaceae.org/Prunus/Prunus_persica/p.persica_gdr_reftransV1_0001636","p.persica_gdr_reftransV1_0001636")</f>
        <v>p.persica_gdr_reftransV1_0001636</v>
      </c>
      <c r="B9793" s="2">
        <v>1041</v>
      </c>
      <c r="C9793" s="4" t="str">
        <f>HYPERLINK("http://www.uniprot.org/uniprot/M5Y9E6","M5Y9E6")</f>
        <v>M5Y9E6</v>
      </c>
      <c r="D9793" s="2" t="s">
        <v>8456</v>
      </c>
      <c r="E9793" s="3">
        <v>5.0300000000000005E-147</v>
      </c>
      <c r="F9793" s="2">
        <v>1094</v>
      </c>
      <c r="G9793" s="2">
        <v>100</v>
      </c>
      <c r="H9793" s="2">
        <v>214</v>
      </c>
      <c r="I9793" s="2">
        <v>117</v>
      </c>
      <c r="J9793" s="2">
        <v>758</v>
      </c>
      <c r="K9793" s="2">
        <v>1</v>
      </c>
      <c r="L9793" s="2">
        <v>214</v>
      </c>
    </row>
    <row r="9794" spans="1:12" x14ac:dyDescent="0.25">
      <c r="A9794" s="4" t="str">
        <f>HYPERLINK("http://www.rosaceae.org/Prunus/Prunus_persica/p.persica_gdr_reftransV1_0001986","p.persica_gdr_reftransV1_0001986")</f>
        <v>p.persica_gdr_reftransV1_0001986</v>
      </c>
      <c r="B9794" s="2">
        <v>1992</v>
      </c>
      <c r="C9794" s="4" t="str">
        <f>HYPERLINK("http://www.uniprot.org/uniprot/M5W4N2","M5W4N2")</f>
        <v>M5W4N2</v>
      </c>
      <c r="D9794" s="2" t="s">
        <v>8457</v>
      </c>
      <c r="E9794" s="3">
        <v>0</v>
      </c>
      <c r="F9794" s="2">
        <v>2173</v>
      </c>
      <c r="G9794" s="2">
        <v>100</v>
      </c>
      <c r="H9794" s="2">
        <v>450</v>
      </c>
      <c r="I9794" s="2">
        <v>275</v>
      </c>
      <c r="J9794" s="2">
        <v>1624</v>
      </c>
      <c r="K9794" s="2">
        <v>1</v>
      </c>
      <c r="L9794" s="2">
        <v>450</v>
      </c>
    </row>
    <row r="9795" spans="1:12" x14ac:dyDescent="0.25">
      <c r="A9795" s="4" t="str">
        <f>HYPERLINK("http://www.rosaceae.org/Prunus/Prunus_persica/p.persica_gdr_reftransV1_0002336","p.persica_gdr_reftransV1_0002336")</f>
        <v>p.persica_gdr_reftransV1_0002336</v>
      </c>
      <c r="B9795" s="2">
        <v>344</v>
      </c>
      <c r="C9795" s="4" t="str">
        <f>HYPERLINK("http://www.uniprot.org/uniprot/M5W7A0","M5W7A0")</f>
        <v>M5W7A0</v>
      </c>
      <c r="D9795" s="2" t="s">
        <v>567</v>
      </c>
      <c r="E9795" s="3">
        <v>8.5900000000000002E-67</v>
      </c>
      <c r="F9795" s="2">
        <v>582</v>
      </c>
      <c r="G9795" s="2">
        <v>100</v>
      </c>
      <c r="H9795" s="2">
        <v>114</v>
      </c>
      <c r="I9795" s="2">
        <v>1</v>
      </c>
      <c r="J9795" s="2">
        <v>342</v>
      </c>
      <c r="K9795" s="2">
        <v>509</v>
      </c>
      <c r="L9795" s="2">
        <v>622</v>
      </c>
    </row>
    <row r="9796" spans="1:12" x14ac:dyDescent="0.25">
      <c r="A9796" s="4" t="str">
        <f>HYPERLINK("http://www.rosaceae.org/Prunus/Prunus_persica/p.persica_gdr_reftransV1_0002686","p.persica_gdr_reftransV1_0002686")</f>
        <v>p.persica_gdr_reftransV1_0002686</v>
      </c>
      <c r="B9796" s="2">
        <v>445</v>
      </c>
      <c r="C9796" s="4" t="str">
        <f>HYPERLINK("http://www.uniprot.org/uniprot/M5WFQ9","M5WFQ9")</f>
        <v>M5WFQ9</v>
      </c>
      <c r="D9796" s="2" t="s">
        <v>8458</v>
      </c>
      <c r="E9796" s="3">
        <v>6.1499999999999997E-39</v>
      </c>
      <c r="F9796" s="2">
        <v>350</v>
      </c>
      <c r="G9796" s="2">
        <v>97</v>
      </c>
      <c r="H9796" s="2">
        <v>68</v>
      </c>
      <c r="I9796" s="2">
        <v>44</v>
      </c>
      <c r="J9796" s="2">
        <v>247</v>
      </c>
      <c r="K9796" s="2">
        <v>45</v>
      </c>
      <c r="L9796" s="2">
        <v>112</v>
      </c>
    </row>
    <row r="9797" spans="1:12" x14ac:dyDescent="0.25">
      <c r="A9797" s="4" t="str">
        <f>HYPERLINK("http://www.rosaceae.org/Prunus/Prunus_persica/p.persica_gdr_reftransV1_0003036","p.persica_gdr_reftransV1_0003036")</f>
        <v>p.persica_gdr_reftransV1_0003036</v>
      </c>
      <c r="B9797" s="2">
        <v>773</v>
      </c>
      <c r="C9797" s="4" t="str">
        <f>HYPERLINK("http://www.uniprot.org/uniprot/M5XR49","M5XR49")</f>
        <v>M5XR49</v>
      </c>
      <c r="D9797" s="2" t="s">
        <v>8459</v>
      </c>
      <c r="E9797" s="3">
        <v>6.1199999999999998E-136</v>
      </c>
      <c r="F9797" s="2">
        <v>1041</v>
      </c>
      <c r="G9797" s="2">
        <v>98</v>
      </c>
      <c r="H9797" s="2">
        <v>211</v>
      </c>
      <c r="I9797" s="2">
        <v>139</v>
      </c>
      <c r="J9797" s="2">
        <v>771</v>
      </c>
      <c r="K9797" s="2">
        <v>312</v>
      </c>
      <c r="L9797" s="2">
        <v>521</v>
      </c>
    </row>
    <row r="9798" spans="1:12" x14ac:dyDescent="0.25">
      <c r="A9798" s="4" t="str">
        <f>HYPERLINK("http://www.rosaceae.org/Prunus/Prunus_persica/p.persica_gdr_reftransV1_0003386","p.persica_gdr_reftransV1_0003386")</f>
        <v>p.persica_gdr_reftransV1_0003386</v>
      </c>
      <c r="B9798" s="2">
        <v>478</v>
      </c>
      <c r="C9798" s="4" t="str">
        <f>HYPERLINK("http://www.uniprot.org/uniprot/Q00877","Q00877")</f>
        <v>Q00877</v>
      </c>
      <c r="D9798" s="2" t="s">
        <v>8460</v>
      </c>
      <c r="E9798" s="3">
        <v>1.4200000000000001E-102</v>
      </c>
      <c r="F9798" s="2">
        <v>806</v>
      </c>
      <c r="G9798" s="2">
        <v>97</v>
      </c>
      <c r="H9798" s="2">
        <v>159</v>
      </c>
      <c r="I9798" s="2">
        <v>1</v>
      </c>
      <c r="J9798" s="2">
        <v>477</v>
      </c>
      <c r="K9798" s="2">
        <v>140</v>
      </c>
      <c r="L9798" s="2">
        <v>298</v>
      </c>
    </row>
    <row r="9799" spans="1:12" x14ac:dyDescent="0.25">
      <c r="A9799" s="4" t="str">
        <f>HYPERLINK("http://www.rosaceae.org/Prunus/Prunus_persica/p.persica_gdr_reftransV1_0003736","p.persica_gdr_reftransV1_0003736")</f>
        <v>p.persica_gdr_reftransV1_0003736</v>
      </c>
      <c r="B9799" s="2">
        <v>438</v>
      </c>
      <c r="C9799" s="4" t="str">
        <f>HYPERLINK("http://www.uniprot.org/uniprot/I1RCV8","I1RCV8")</f>
        <v>I1RCV8</v>
      </c>
      <c r="D9799" s="2" t="s">
        <v>8461</v>
      </c>
      <c r="E9799" s="3">
        <v>1.1799999999999999E-22</v>
      </c>
      <c r="F9799" s="2">
        <v>249</v>
      </c>
      <c r="G9799" s="2">
        <v>57</v>
      </c>
      <c r="H9799" s="2">
        <v>84</v>
      </c>
      <c r="I9799" s="2">
        <v>185</v>
      </c>
      <c r="J9799" s="2">
        <v>436</v>
      </c>
      <c r="K9799" s="2">
        <v>197</v>
      </c>
      <c r="L9799" s="2">
        <v>280</v>
      </c>
    </row>
    <row r="9800" spans="1:12" x14ac:dyDescent="0.25">
      <c r="A9800" s="4" t="str">
        <f>HYPERLINK("http://www.rosaceae.org/Prunus/Prunus_persica/p.persica_gdr_reftransV1_0004086","p.persica_gdr_reftransV1_0004086")</f>
        <v>p.persica_gdr_reftransV1_0004086</v>
      </c>
      <c r="B9800" s="2">
        <v>1127</v>
      </c>
      <c r="C9800" s="4" t="str">
        <f>HYPERLINK("http://www.uniprot.org/uniprot/M5XRQ3","M5XRQ3")</f>
        <v>M5XRQ3</v>
      </c>
      <c r="D9800" s="2" t="s">
        <v>8462</v>
      </c>
      <c r="E9800" s="3">
        <v>1.82E-168</v>
      </c>
      <c r="F9800" s="2">
        <v>1242</v>
      </c>
      <c r="G9800" s="2">
        <v>100</v>
      </c>
      <c r="H9800" s="2">
        <v>240</v>
      </c>
      <c r="I9800" s="2">
        <v>325</v>
      </c>
      <c r="J9800" s="2">
        <v>1044</v>
      </c>
      <c r="K9800" s="2">
        <v>1</v>
      </c>
      <c r="L9800" s="2">
        <v>240</v>
      </c>
    </row>
    <row r="9801" spans="1:12" x14ac:dyDescent="0.25">
      <c r="A9801" s="4" t="str">
        <f>HYPERLINK("http://www.rosaceae.org/Prunus/Prunus_persica/p.persica_gdr_reftransV1_0004436","p.persica_gdr_reftransV1_0004436")</f>
        <v>p.persica_gdr_reftransV1_0004436</v>
      </c>
      <c r="B9801" s="2">
        <v>1742</v>
      </c>
      <c r="C9801" s="4" t="str">
        <f>HYPERLINK("http://www.uniprot.org/uniprot/M5VHD1","M5VHD1")</f>
        <v>M5VHD1</v>
      </c>
      <c r="D9801" s="2" t="s">
        <v>8463</v>
      </c>
      <c r="E9801" s="3">
        <v>0</v>
      </c>
      <c r="F9801" s="2">
        <v>2038</v>
      </c>
      <c r="G9801" s="2">
        <v>100</v>
      </c>
      <c r="H9801" s="2">
        <v>429</v>
      </c>
      <c r="I9801" s="2">
        <v>308</v>
      </c>
      <c r="J9801" s="2">
        <v>1594</v>
      </c>
      <c r="K9801" s="2">
        <v>1</v>
      </c>
      <c r="L9801" s="2">
        <v>429</v>
      </c>
    </row>
    <row r="9802" spans="1:12" x14ac:dyDescent="0.25">
      <c r="A9802" s="4" t="str">
        <f>HYPERLINK("http://www.rosaceae.org/Prunus/Prunus_persica/p.persica_gdr_reftransV1_0005136","p.persica_gdr_reftransV1_0005136")</f>
        <v>p.persica_gdr_reftransV1_0005136</v>
      </c>
      <c r="B9802" s="2">
        <v>839</v>
      </c>
      <c r="C9802" s="4" t="str">
        <f>HYPERLINK("http://www.uniprot.org/uniprot/M5XQQ2","M5XQQ2")</f>
        <v>M5XQQ2</v>
      </c>
      <c r="D9802" s="2" t="s">
        <v>8464</v>
      </c>
      <c r="E9802" s="3">
        <v>9.0600000000000004E-43</v>
      </c>
      <c r="F9802" s="2">
        <v>423</v>
      </c>
      <c r="G9802" s="2">
        <v>98</v>
      </c>
      <c r="H9802" s="2">
        <v>121</v>
      </c>
      <c r="I9802" s="2">
        <v>1</v>
      </c>
      <c r="J9802" s="2">
        <v>363</v>
      </c>
      <c r="K9802" s="2">
        <v>1105</v>
      </c>
      <c r="L9802" s="2">
        <v>1225</v>
      </c>
    </row>
    <row r="9803" spans="1:12" x14ac:dyDescent="0.25">
      <c r="A9803" s="4" t="str">
        <f>HYPERLINK("http://www.rosaceae.org/Prunus/Prunus_persica/p.persica_gdr_reftransV1_0005486","p.persica_gdr_reftransV1_0005486")</f>
        <v>p.persica_gdr_reftransV1_0005486</v>
      </c>
      <c r="B9803" s="2">
        <v>3134</v>
      </c>
      <c r="C9803" s="4" t="str">
        <f>HYPERLINK("http://www.uniprot.org/uniprot/M5XXZ1","M5XXZ1")</f>
        <v>M5XXZ1</v>
      </c>
      <c r="D9803" s="2" t="s">
        <v>8465</v>
      </c>
      <c r="E9803" s="3">
        <v>0</v>
      </c>
      <c r="F9803" s="2">
        <v>4591</v>
      </c>
      <c r="G9803" s="2">
        <v>100</v>
      </c>
      <c r="H9803" s="2">
        <v>883</v>
      </c>
      <c r="I9803" s="2">
        <v>2</v>
      </c>
      <c r="J9803" s="2">
        <v>2650</v>
      </c>
      <c r="K9803" s="2">
        <v>9</v>
      </c>
      <c r="L9803" s="2">
        <v>891</v>
      </c>
    </row>
    <row r="9804" spans="1:12" x14ac:dyDescent="0.25">
      <c r="A9804" s="4" t="str">
        <f>HYPERLINK("http://www.rosaceae.org/Prunus/Prunus_persica/p.persica_gdr_reftransV1_0006186","p.persica_gdr_reftransV1_0006186")</f>
        <v>p.persica_gdr_reftransV1_0006186</v>
      </c>
      <c r="B9804" s="2">
        <v>1079</v>
      </c>
      <c r="C9804" s="4" t="str">
        <f>HYPERLINK("http://www.uniprot.org/uniprot/M5VWQ1","M5VWQ1")</f>
        <v>M5VWQ1</v>
      </c>
      <c r="D9804" s="2" t="s">
        <v>5509</v>
      </c>
      <c r="E9804" s="3">
        <v>4.4800000000000003E-155</v>
      </c>
      <c r="F9804" s="2">
        <v>1203</v>
      </c>
      <c r="G9804" s="2">
        <v>100</v>
      </c>
      <c r="H9804" s="2">
        <v>227</v>
      </c>
      <c r="I9804" s="2">
        <v>66</v>
      </c>
      <c r="J9804" s="2">
        <v>746</v>
      </c>
      <c r="K9804" s="2">
        <v>93</v>
      </c>
      <c r="L9804" s="2">
        <v>319</v>
      </c>
    </row>
    <row r="9805" spans="1:12" x14ac:dyDescent="0.25">
      <c r="A9805" s="4" t="str">
        <f>HYPERLINK("http://www.rosaceae.org/Prunus/Prunus_persica/p.persica_gdr_reftransV1_0006536","p.persica_gdr_reftransV1_0006536")</f>
        <v>p.persica_gdr_reftransV1_0006536</v>
      </c>
      <c r="B9805" s="2">
        <v>676</v>
      </c>
      <c r="C9805" s="4" t="str">
        <f>HYPERLINK("http://www.uniprot.org/uniprot/M5X318","M5X318")</f>
        <v>M5X318</v>
      </c>
      <c r="D9805" s="2" t="s">
        <v>8466</v>
      </c>
      <c r="E9805" s="3">
        <v>3.63E-154</v>
      </c>
      <c r="F9805" s="2">
        <v>1158</v>
      </c>
      <c r="G9805" s="2">
        <v>100</v>
      </c>
      <c r="H9805" s="2">
        <v>218</v>
      </c>
      <c r="I9805" s="2">
        <v>22</v>
      </c>
      <c r="J9805" s="2">
        <v>675</v>
      </c>
      <c r="K9805" s="2">
        <v>305</v>
      </c>
      <c r="L9805" s="2">
        <v>522</v>
      </c>
    </row>
    <row r="9806" spans="1:12" x14ac:dyDescent="0.25">
      <c r="A9806" s="4" t="str">
        <f>HYPERLINK("http://www.rosaceae.org/Prunus/Prunus_persica/p.persica_gdr_reftransV1_0006886","p.persica_gdr_reftransV1_0006886")</f>
        <v>p.persica_gdr_reftransV1_0006886</v>
      </c>
      <c r="B9806" s="2">
        <v>1172</v>
      </c>
      <c r="C9806" s="4" t="str">
        <f>HYPERLINK("http://www.uniprot.org/uniprot/M5WV90","M5WV90")</f>
        <v>M5WV90</v>
      </c>
      <c r="D9806" s="2" t="s">
        <v>8467</v>
      </c>
      <c r="E9806" s="3">
        <v>3.16E-116</v>
      </c>
      <c r="F9806" s="2">
        <v>899</v>
      </c>
      <c r="G9806" s="2">
        <v>90</v>
      </c>
      <c r="H9806" s="2">
        <v>248</v>
      </c>
      <c r="I9806" s="2">
        <v>235</v>
      </c>
      <c r="J9806" s="2">
        <v>978</v>
      </c>
      <c r="K9806" s="2">
        <v>29</v>
      </c>
      <c r="L9806" s="2">
        <v>251</v>
      </c>
    </row>
    <row r="9807" spans="1:12" x14ac:dyDescent="0.25">
      <c r="A9807" s="4" t="str">
        <f>HYPERLINK("http://www.rosaceae.org/Prunus/Prunus_persica/p.persica_gdr_reftransV1_0007236","p.persica_gdr_reftransV1_0007236")</f>
        <v>p.persica_gdr_reftransV1_0007236</v>
      </c>
      <c r="B9807" s="2">
        <v>1791</v>
      </c>
      <c r="C9807" s="4" t="str">
        <f>HYPERLINK("http://www.uniprot.org/uniprot/M5VZ03","M5VZ03")</f>
        <v>M5VZ03</v>
      </c>
      <c r="D9807" s="2" t="s">
        <v>8468</v>
      </c>
      <c r="E9807" s="3">
        <v>0</v>
      </c>
      <c r="F9807" s="2">
        <v>1746</v>
      </c>
      <c r="G9807" s="2">
        <v>100</v>
      </c>
      <c r="H9807" s="2">
        <v>348</v>
      </c>
      <c r="I9807" s="2">
        <v>622</v>
      </c>
      <c r="J9807" s="2">
        <v>1665</v>
      </c>
      <c r="K9807" s="2">
        <v>1</v>
      </c>
      <c r="L9807" s="2">
        <v>348</v>
      </c>
    </row>
    <row r="9808" spans="1:12" x14ac:dyDescent="0.25">
      <c r="A9808" s="4" t="str">
        <f>HYPERLINK("http://www.rosaceae.org/Prunus/Prunus_persica/p.persica_gdr_reftransV1_0007586","p.persica_gdr_reftransV1_0007586")</f>
        <v>p.persica_gdr_reftransV1_0007586</v>
      </c>
      <c r="B9808" s="2">
        <v>1696</v>
      </c>
      <c r="C9808" s="4" t="str">
        <f>HYPERLINK("http://www.uniprot.org/uniprot/M5XWW4","M5XWW4")</f>
        <v>M5XWW4</v>
      </c>
      <c r="D9808" s="2" t="s">
        <v>8469</v>
      </c>
      <c r="E9808" s="3">
        <v>0</v>
      </c>
      <c r="F9808" s="2">
        <v>1666</v>
      </c>
      <c r="G9808" s="2">
        <v>100</v>
      </c>
      <c r="H9808" s="2">
        <v>345</v>
      </c>
      <c r="I9808" s="2">
        <v>451</v>
      </c>
      <c r="J9808" s="2">
        <v>1485</v>
      </c>
      <c r="K9808" s="2">
        <v>1</v>
      </c>
      <c r="L9808" s="2">
        <v>345</v>
      </c>
    </row>
    <row r="9809" spans="1:12" x14ac:dyDescent="0.25">
      <c r="A9809" s="4" t="str">
        <f>HYPERLINK("http://www.rosaceae.org/Prunus/Prunus_persica/p.persica_gdr_reftransV1_0007936","p.persica_gdr_reftransV1_0007936")</f>
        <v>p.persica_gdr_reftransV1_0007936</v>
      </c>
      <c r="B9809" s="2">
        <v>1984</v>
      </c>
      <c r="C9809" s="4" t="str">
        <f>HYPERLINK("http://www.uniprot.org/uniprot/M5WGT4","M5WGT4")</f>
        <v>M5WGT4</v>
      </c>
      <c r="D9809" s="2" t="s">
        <v>8470</v>
      </c>
      <c r="E9809" s="3">
        <v>0</v>
      </c>
      <c r="F9809" s="2">
        <v>2031</v>
      </c>
      <c r="G9809" s="2">
        <v>100</v>
      </c>
      <c r="H9809" s="2">
        <v>501</v>
      </c>
      <c r="I9809" s="2">
        <v>265</v>
      </c>
      <c r="J9809" s="2">
        <v>1767</v>
      </c>
      <c r="K9809" s="2">
        <v>16</v>
      </c>
      <c r="L9809" s="2">
        <v>516</v>
      </c>
    </row>
    <row r="9810" spans="1:12" x14ac:dyDescent="0.25">
      <c r="A9810" s="4" t="str">
        <f>HYPERLINK("http://www.rosaceae.org/Prunus/Prunus_persica/p.persica_gdr_reftransV1_0008286","p.persica_gdr_reftransV1_0008286")</f>
        <v>p.persica_gdr_reftransV1_0008286</v>
      </c>
      <c r="B9810" s="2">
        <v>3037</v>
      </c>
      <c r="C9810" s="4" t="str">
        <f>HYPERLINK("http://www.uniprot.org/uniprot/M5X9P3","M5X9P3")</f>
        <v>M5X9P3</v>
      </c>
      <c r="D9810" s="2" t="s">
        <v>1985</v>
      </c>
      <c r="E9810" s="3">
        <v>0</v>
      </c>
      <c r="F9810" s="2">
        <v>3964</v>
      </c>
      <c r="G9810" s="2">
        <v>100</v>
      </c>
      <c r="H9810" s="2">
        <v>786</v>
      </c>
      <c r="I9810" s="2">
        <v>244</v>
      </c>
      <c r="J9810" s="2">
        <v>2601</v>
      </c>
      <c r="K9810" s="2">
        <v>1</v>
      </c>
      <c r="L9810" s="2">
        <v>786</v>
      </c>
    </row>
    <row r="9811" spans="1:12" x14ac:dyDescent="0.25">
      <c r="A9811" s="4" t="str">
        <f>HYPERLINK("http://www.rosaceae.org/Prunus/Prunus_persica/p.persica_gdr_reftransV1_0008636","p.persica_gdr_reftransV1_0008636")</f>
        <v>p.persica_gdr_reftransV1_0008636</v>
      </c>
      <c r="B9811" s="2">
        <v>2026</v>
      </c>
      <c r="C9811" s="4" t="str">
        <f>HYPERLINK("http://www.uniprot.org/uniprot/M5WHS2","M5WHS2")</f>
        <v>M5WHS2</v>
      </c>
      <c r="D9811" s="2" t="s">
        <v>8471</v>
      </c>
      <c r="E9811" s="3">
        <v>0</v>
      </c>
      <c r="F9811" s="2">
        <v>2073</v>
      </c>
      <c r="G9811" s="2">
        <v>100</v>
      </c>
      <c r="H9811" s="2">
        <v>478</v>
      </c>
      <c r="I9811" s="2">
        <v>341</v>
      </c>
      <c r="J9811" s="2">
        <v>1774</v>
      </c>
      <c r="K9811" s="2">
        <v>1</v>
      </c>
      <c r="L9811" s="2">
        <v>478</v>
      </c>
    </row>
    <row r="9812" spans="1:12" x14ac:dyDescent="0.25">
      <c r="A9812" s="4" t="str">
        <f>HYPERLINK("http://www.rosaceae.org/Prunus/Prunus_persica/p.persica_gdr_reftransV1_0008986","p.persica_gdr_reftransV1_0008986")</f>
        <v>p.persica_gdr_reftransV1_0008986</v>
      </c>
      <c r="B9812" s="2">
        <v>827</v>
      </c>
      <c r="C9812" s="4" t="str">
        <f>HYPERLINK("http://www.uniprot.org/uniprot/M5W1G5","M5W1G5")</f>
        <v>M5W1G5</v>
      </c>
      <c r="D9812" s="2" t="s">
        <v>8472</v>
      </c>
      <c r="E9812" s="3">
        <v>1.8099999999999998E-111</v>
      </c>
      <c r="F9812" s="2">
        <v>863</v>
      </c>
      <c r="G9812" s="2">
        <v>100</v>
      </c>
      <c r="H9812" s="2">
        <v>206</v>
      </c>
      <c r="I9812" s="2">
        <v>2</v>
      </c>
      <c r="J9812" s="2">
        <v>619</v>
      </c>
      <c r="K9812" s="2">
        <v>1</v>
      </c>
      <c r="L9812" s="2">
        <v>206</v>
      </c>
    </row>
    <row r="9813" spans="1:12" x14ac:dyDescent="0.25">
      <c r="A9813" s="4" t="str">
        <f>HYPERLINK("http://www.rosaceae.org/Prunus/Prunus_persica/p.persica_gdr_reftransV1_0009336","p.persica_gdr_reftransV1_0009336")</f>
        <v>p.persica_gdr_reftransV1_0009336</v>
      </c>
      <c r="B9813" s="2">
        <v>1242</v>
      </c>
      <c r="C9813" s="4" t="str">
        <f>HYPERLINK("http://www.uniprot.org/uniprot/F6H0Q0","F6H0Q0")</f>
        <v>F6H0Q0</v>
      </c>
      <c r="D9813" s="2" t="s">
        <v>8473</v>
      </c>
      <c r="E9813" s="3">
        <v>1.25E-71</v>
      </c>
      <c r="F9813" s="2">
        <v>620</v>
      </c>
      <c r="G9813" s="2">
        <v>92</v>
      </c>
      <c r="H9813" s="2">
        <v>154</v>
      </c>
      <c r="I9813" s="2">
        <v>780</v>
      </c>
      <c r="J9813" s="2">
        <v>1241</v>
      </c>
      <c r="K9813" s="2">
        <v>290</v>
      </c>
      <c r="L9813" s="2">
        <v>443</v>
      </c>
    </row>
    <row r="9814" spans="1:12" x14ac:dyDescent="0.25">
      <c r="A9814" s="4" t="str">
        <f>HYPERLINK("http://www.rosaceae.org/Prunus/Prunus_persica/p.persica_gdr_reftransV1_0010736","p.persica_gdr_reftransV1_0010736")</f>
        <v>p.persica_gdr_reftransV1_0010736</v>
      </c>
      <c r="B9814" s="2">
        <v>2980</v>
      </c>
      <c r="C9814" s="4" t="str">
        <f>HYPERLINK("http://www.uniprot.org/uniprot/M5XQ70","M5XQ70")</f>
        <v>M5XQ70</v>
      </c>
      <c r="D9814" s="2" t="s">
        <v>6575</v>
      </c>
      <c r="E9814" s="3">
        <v>0</v>
      </c>
      <c r="F9814" s="2">
        <v>4597</v>
      </c>
      <c r="G9814" s="2">
        <v>96</v>
      </c>
      <c r="H9814" s="2">
        <v>929</v>
      </c>
      <c r="I9814" s="2">
        <v>192</v>
      </c>
      <c r="J9814" s="2">
        <v>2978</v>
      </c>
      <c r="K9814" s="2">
        <v>374</v>
      </c>
      <c r="L9814" s="2">
        <v>1262</v>
      </c>
    </row>
    <row r="9815" spans="1:12" x14ac:dyDescent="0.25">
      <c r="A9815" s="4" t="str">
        <f>HYPERLINK("http://www.rosaceae.org/Prunus/Prunus_persica/p.persica_gdr_reftransV1_0011086","p.persica_gdr_reftransV1_0011086")</f>
        <v>p.persica_gdr_reftransV1_0011086</v>
      </c>
      <c r="B9815" s="2">
        <v>3655</v>
      </c>
      <c r="C9815" s="4" t="str">
        <f>HYPERLINK("http://www.uniprot.org/uniprot/M5XMH3","M5XMH3")</f>
        <v>M5XMH3</v>
      </c>
      <c r="D9815" s="2" t="s">
        <v>8474</v>
      </c>
      <c r="E9815" s="3">
        <v>0</v>
      </c>
      <c r="F9815" s="2">
        <v>1684</v>
      </c>
      <c r="G9815" s="2">
        <v>100</v>
      </c>
      <c r="H9815" s="2">
        <v>336</v>
      </c>
      <c r="I9815" s="2">
        <v>1273</v>
      </c>
      <c r="J9815" s="2">
        <v>2280</v>
      </c>
      <c r="K9815" s="2">
        <v>157</v>
      </c>
      <c r="L9815" s="2">
        <v>492</v>
      </c>
    </row>
    <row r="9816" spans="1:12" x14ac:dyDescent="0.25">
      <c r="A9816" s="4" t="str">
        <f>HYPERLINK("http://www.rosaceae.org/Prunus/Prunus_persica/p.persica_gdr_reftransV1_0011436","p.persica_gdr_reftransV1_0011436")</f>
        <v>p.persica_gdr_reftransV1_0011436</v>
      </c>
      <c r="B9816" s="2">
        <v>1832</v>
      </c>
      <c r="C9816" s="4" t="str">
        <f>HYPERLINK("http://www.uniprot.org/uniprot/M5VJ18","M5VJ18")</f>
        <v>M5VJ18</v>
      </c>
      <c r="D9816" s="2" t="s">
        <v>8475</v>
      </c>
      <c r="E9816" s="3">
        <v>0</v>
      </c>
      <c r="F9816" s="2">
        <v>2150</v>
      </c>
      <c r="G9816" s="2">
        <v>100</v>
      </c>
      <c r="H9816" s="2">
        <v>427</v>
      </c>
      <c r="I9816" s="2">
        <v>240</v>
      </c>
      <c r="J9816" s="2">
        <v>1520</v>
      </c>
      <c r="K9816" s="2">
        <v>1</v>
      </c>
      <c r="L9816" s="2">
        <v>427</v>
      </c>
    </row>
    <row r="9817" spans="1:12" x14ac:dyDescent="0.25">
      <c r="A9817" s="4" t="str">
        <f>HYPERLINK("http://www.rosaceae.org/Prunus/Prunus_persica/p.persica_gdr_reftransV1_0012136","p.persica_gdr_reftransV1_0012136")</f>
        <v>p.persica_gdr_reftransV1_0012136</v>
      </c>
      <c r="B9817" s="2">
        <v>3140</v>
      </c>
      <c r="C9817" s="4" t="str">
        <f>HYPERLINK("http://www.uniprot.org/uniprot/M5W3T3","M5W3T3")</f>
        <v>M5W3T3</v>
      </c>
      <c r="D9817" s="2" t="s">
        <v>8476</v>
      </c>
      <c r="E9817" s="3">
        <v>0</v>
      </c>
      <c r="F9817" s="2">
        <v>3826</v>
      </c>
      <c r="G9817" s="2">
        <v>100</v>
      </c>
      <c r="H9817" s="2">
        <v>840</v>
      </c>
      <c r="I9817" s="2">
        <v>344</v>
      </c>
      <c r="J9817" s="2">
        <v>2863</v>
      </c>
      <c r="K9817" s="2">
        <v>1</v>
      </c>
      <c r="L9817" s="2">
        <v>840</v>
      </c>
    </row>
    <row r="9818" spans="1:12" x14ac:dyDescent="0.25">
      <c r="A9818" s="4" t="str">
        <f>HYPERLINK("http://www.rosaceae.org/Prunus/Prunus_persica/p.persica_gdr_reftransV1_0013186","p.persica_gdr_reftransV1_0013186")</f>
        <v>p.persica_gdr_reftransV1_0013186</v>
      </c>
      <c r="B9818" s="2">
        <v>2505</v>
      </c>
      <c r="C9818" s="4" t="str">
        <f>HYPERLINK("http://www.uniprot.org/uniprot/M5WFI9","M5WFI9")</f>
        <v>M5WFI9</v>
      </c>
      <c r="D9818" s="2" t="s">
        <v>8477</v>
      </c>
      <c r="E9818" s="3">
        <v>3.3400000000000001E-169</v>
      </c>
      <c r="F9818" s="2">
        <v>1312</v>
      </c>
      <c r="G9818" s="2">
        <v>100</v>
      </c>
      <c r="H9818" s="2">
        <v>257</v>
      </c>
      <c r="I9818" s="2">
        <v>1445</v>
      </c>
      <c r="J9818" s="2">
        <v>2215</v>
      </c>
      <c r="K9818" s="2">
        <v>176</v>
      </c>
      <c r="L9818" s="2">
        <v>432</v>
      </c>
    </row>
    <row r="9819" spans="1:12" x14ac:dyDescent="0.25">
      <c r="A9819" s="4" t="str">
        <f>HYPERLINK("http://www.rosaceae.org/Prunus/Prunus_persica/p.persica_gdr_reftransV1_0013536","p.persica_gdr_reftransV1_0013536")</f>
        <v>p.persica_gdr_reftransV1_0013536</v>
      </c>
      <c r="B9819" s="2">
        <v>1542</v>
      </c>
      <c r="C9819" s="4" t="str">
        <f>HYPERLINK("http://www.uniprot.org/uniprot/M5W2E1","M5W2E1")</f>
        <v>M5W2E1</v>
      </c>
      <c r="D9819" s="2" t="s">
        <v>8478</v>
      </c>
      <c r="E9819" s="3">
        <v>0</v>
      </c>
      <c r="F9819" s="2">
        <v>1596</v>
      </c>
      <c r="G9819" s="2">
        <v>93</v>
      </c>
      <c r="H9819" s="2">
        <v>351</v>
      </c>
      <c r="I9819" s="2">
        <v>397</v>
      </c>
      <c r="J9819" s="2">
        <v>1449</v>
      </c>
      <c r="K9819" s="2">
        <v>1</v>
      </c>
      <c r="L9819" s="2">
        <v>325</v>
      </c>
    </row>
    <row r="9820" spans="1:12" x14ac:dyDescent="0.25">
      <c r="A9820" s="4" t="str">
        <f>HYPERLINK("http://www.rosaceae.org/Prunus/Prunus_persica/p.persica_gdr_reftransV1_0013886","p.persica_gdr_reftransV1_0013886")</f>
        <v>p.persica_gdr_reftransV1_0013886</v>
      </c>
      <c r="B9820" s="2">
        <v>1536</v>
      </c>
      <c r="C9820" s="4" t="str">
        <f>HYPERLINK("http://www.uniprot.org/uniprot/M5WMH7","M5WMH7")</f>
        <v>M5WMH7</v>
      </c>
      <c r="D9820" s="2" t="s">
        <v>8479</v>
      </c>
      <c r="E9820" s="3">
        <v>0</v>
      </c>
      <c r="F9820" s="2">
        <v>1894</v>
      </c>
      <c r="G9820" s="2">
        <v>99</v>
      </c>
      <c r="H9820" s="2">
        <v>367</v>
      </c>
      <c r="I9820" s="2">
        <v>323</v>
      </c>
      <c r="J9820" s="2">
        <v>1423</v>
      </c>
      <c r="K9820" s="2">
        <v>1</v>
      </c>
      <c r="L9820" s="2">
        <v>365</v>
      </c>
    </row>
    <row r="9821" spans="1:12" x14ac:dyDescent="0.25">
      <c r="A9821" s="4" t="str">
        <f>HYPERLINK("http://www.rosaceae.org/Prunus/Prunus_persica/p.persica_gdr_reftransV1_0015636","p.persica_gdr_reftransV1_0015636")</f>
        <v>p.persica_gdr_reftransV1_0015636</v>
      </c>
      <c r="B9821" s="2">
        <v>1599</v>
      </c>
      <c r="C9821" s="4" t="str">
        <f>HYPERLINK("http://www.uniprot.org/uniprot/M5VT32","M5VT32")</f>
        <v>M5VT32</v>
      </c>
      <c r="D9821" s="2" t="s">
        <v>8480</v>
      </c>
      <c r="E9821" s="3">
        <v>1.3600000000000001E-72</v>
      </c>
      <c r="F9821" s="2">
        <v>621</v>
      </c>
      <c r="G9821" s="2">
        <v>99</v>
      </c>
      <c r="H9821" s="2">
        <v>121</v>
      </c>
      <c r="I9821" s="2">
        <v>1194</v>
      </c>
      <c r="J9821" s="2">
        <v>1556</v>
      </c>
      <c r="K9821" s="2">
        <v>144</v>
      </c>
      <c r="L9821" s="2">
        <v>264</v>
      </c>
    </row>
    <row r="9822" spans="1:12" x14ac:dyDescent="0.25">
      <c r="A9822" s="4" t="str">
        <f>HYPERLINK("http://www.rosaceae.org/Prunus/Prunus_persica/p.persica_gdr_reftransV1_0016336","p.persica_gdr_reftransV1_0016336")</f>
        <v>p.persica_gdr_reftransV1_0016336</v>
      </c>
      <c r="B9822" s="2">
        <v>1222</v>
      </c>
      <c r="C9822" s="4" t="str">
        <f>HYPERLINK("http://www.uniprot.org/uniprot/M5VJD5","M5VJD5")</f>
        <v>M5VJD5</v>
      </c>
      <c r="D9822" s="2" t="s">
        <v>5721</v>
      </c>
      <c r="E9822" s="3">
        <v>0</v>
      </c>
      <c r="F9822" s="2">
        <v>1969</v>
      </c>
      <c r="G9822" s="2">
        <v>100</v>
      </c>
      <c r="H9822" s="2">
        <v>373</v>
      </c>
      <c r="I9822" s="2">
        <v>99</v>
      </c>
      <c r="J9822" s="2">
        <v>1217</v>
      </c>
      <c r="K9822" s="2">
        <v>110</v>
      </c>
      <c r="L9822" s="2">
        <v>482</v>
      </c>
    </row>
    <row r="9823" spans="1:12" x14ac:dyDescent="0.25">
      <c r="A9823" s="4" t="str">
        <f>HYPERLINK("http://www.rosaceae.org/Prunus/Prunus_persica/p.persica_gdr_reftransV1_0016686","p.persica_gdr_reftransV1_0016686")</f>
        <v>p.persica_gdr_reftransV1_0016686</v>
      </c>
      <c r="B9823" s="2">
        <v>2071</v>
      </c>
      <c r="C9823" s="4" t="str">
        <f>HYPERLINK("http://www.uniprot.org/uniprot/M5WPC0","M5WPC0")</f>
        <v>M5WPC0</v>
      </c>
      <c r="D9823" s="2" t="s">
        <v>8481</v>
      </c>
      <c r="E9823" s="3">
        <v>0</v>
      </c>
      <c r="F9823" s="2">
        <v>1595</v>
      </c>
      <c r="G9823" s="2">
        <v>100</v>
      </c>
      <c r="H9823" s="2">
        <v>316</v>
      </c>
      <c r="I9823" s="2">
        <v>227</v>
      </c>
      <c r="J9823" s="2">
        <v>1174</v>
      </c>
      <c r="K9823" s="2">
        <v>24</v>
      </c>
      <c r="L9823" s="2">
        <v>339</v>
      </c>
    </row>
    <row r="9824" spans="1:12" x14ac:dyDescent="0.25">
      <c r="A9824" s="4" t="str">
        <f>HYPERLINK("http://www.rosaceae.org/Prunus/Prunus_persica/p.persica_gdr_reftransV1_0020186","p.persica_gdr_reftransV1_0020186")</f>
        <v>p.persica_gdr_reftransV1_0020186</v>
      </c>
      <c r="B9824" s="2">
        <v>4828</v>
      </c>
      <c r="C9824" s="4" t="str">
        <f>HYPERLINK("http://www.uniprot.org/uniprot/M5XXK5","M5XXK5")</f>
        <v>M5XXK5</v>
      </c>
      <c r="D9824" s="2" t="s">
        <v>7319</v>
      </c>
      <c r="E9824" s="3">
        <v>0</v>
      </c>
      <c r="F9824" s="2">
        <v>2172</v>
      </c>
      <c r="G9824" s="2">
        <v>100</v>
      </c>
      <c r="H9824" s="2">
        <v>454</v>
      </c>
      <c r="I9824" s="2">
        <v>532</v>
      </c>
      <c r="J9824" s="2">
        <v>1893</v>
      </c>
      <c r="K9824" s="2">
        <v>298</v>
      </c>
      <c r="L9824" s="2">
        <v>751</v>
      </c>
    </row>
    <row r="9825" spans="1:12" x14ac:dyDescent="0.25">
      <c r="A9825" s="4" t="str">
        <f>HYPERLINK("http://www.rosaceae.org/Prunus/Prunus_persica/p.persica_gdr_reftransV1_0020536","p.persica_gdr_reftransV1_0020536")</f>
        <v>p.persica_gdr_reftransV1_0020536</v>
      </c>
      <c r="B9825" s="2">
        <v>2257</v>
      </c>
      <c r="C9825" s="4" t="str">
        <f>HYPERLINK("http://www.uniprot.org/uniprot/A0A072VS22","A0A072VS22")</f>
        <v>A0A072VS22</v>
      </c>
      <c r="D9825" s="2" t="s">
        <v>8482</v>
      </c>
      <c r="E9825" s="3">
        <v>1.01E-91</v>
      </c>
      <c r="F9825" s="2">
        <v>765</v>
      </c>
      <c r="G9825" s="2">
        <v>64</v>
      </c>
      <c r="H9825" s="2">
        <v>231</v>
      </c>
      <c r="I9825" s="2">
        <v>1253</v>
      </c>
      <c r="J9825" s="2">
        <v>1936</v>
      </c>
      <c r="K9825" s="2">
        <v>37</v>
      </c>
      <c r="L9825" s="2">
        <v>264</v>
      </c>
    </row>
    <row r="9826" spans="1:12" x14ac:dyDescent="0.25">
      <c r="A9826" s="4" t="str">
        <f>HYPERLINK("http://www.rosaceae.org/Prunus/Prunus_persica/p.persica_gdr_reftransV1_0021236","p.persica_gdr_reftransV1_0021236")</f>
        <v>p.persica_gdr_reftransV1_0021236</v>
      </c>
      <c r="B9826" s="2">
        <v>1942</v>
      </c>
      <c r="C9826" s="4" t="str">
        <f>HYPERLINK("http://www.uniprot.org/uniprot/M5X128","M5X128")</f>
        <v>M5X128</v>
      </c>
      <c r="D9826" s="2" t="s">
        <v>8483</v>
      </c>
      <c r="E9826" s="3">
        <v>0</v>
      </c>
      <c r="F9826" s="2">
        <v>1557</v>
      </c>
      <c r="G9826" s="2">
        <v>100</v>
      </c>
      <c r="H9826" s="2">
        <v>311</v>
      </c>
      <c r="I9826" s="2">
        <v>504</v>
      </c>
      <c r="J9826" s="2">
        <v>1436</v>
      </c>
      <c r="K9826" s="2">
        <v>1</v>
      </c>
      <c r="L9826" s="2">
        <v>311</v>
      </c>
    </row>
    <row r="9827" spans="1:12" x14ac:dyDescent="0.25">
      <c r="A9827" s="4" t="str">
        <f>HYPERLINK("http://www.rosaceae.org/Prunus/Prunus_persica/p.persica_gdr_reftransV1_0021586","p.persica_gdr_reftransV1_0021586")</f>
        <v>p.persica_gdr_reftransV1_0021586</v>
      </c>
      <c r="B9827" s="2">
        <v>1685</v>
      </c>
      <c r="C9827" s="4" t="str">
        <f>HYPERLINK("http://www.uniprot.org/uniprot/M5WD78","M5WD78")</f>
        <v>M5WD78</v>
      </c>
      <c r="D9827" s="2" t="s">
        <v>8484</v>
      </c>
      <c r="E9827" s="3">
        <v>0</v>
      </c>
      <c r="F9827" s="2">
        <v>1790</v>
      </c>
      <c r="G9827" s="2">
        <v>100</v>
      </c>
      <c r="H9827" s="2">
        <v>359</v>
      </c>
      <c r="I9827" s="2">
        <v>363</v>
      </c>
      <c r="J9827" s="2">
        <v>1439</v>
      </c>
      <c r="K9827" s="2">
        <v>1</v>
      </c>
      <c r="L9827" s="2">
        <v>359</v>
      </c>
    </row>
    <row r="9828" spans="1:12" x14ac:dyDescent="0.25">
      <c r="A9828" s="4" t="str">
        <f>HYPERLINK("http://www.rosaceae.org/Prunus/Prunus_persica/p.persica_gdr_reftransV1_0022986","p.persica_gdr_reftransV1_0022986")</f>
        <v>p.persica_gdr_reftransV1_0022986</v>
      </c>
      <c r="B9828" s="2">
        <v>5489</v>
      </c>
      <c r="C9828" s="4" t="str">
        <f>HYPERLINK("http://www.uniprot.org/uniprot/M5W6M2","M5W6M2")</f>
        <v>M5W6M2</v>
      </c>
      <c r="D9828" s="2" t="s">
        <v>8485</v>
      </c>
      <c r="E9828" s="3">
        <v>0</v>
      </c>
      <c r="F9828" s="2">
        <v>3125</v>
      </c>
      <c r="G9828" s="2">
        <v>100</v>
      </c>
      <c r="H9828" s="2">
        <v>585</v>
      </c>
      <c r="I9828" s="2">
        <v>3104</v>
      </c>
      <c r="J9828" s="2">
        <v>4858</v>
      </c>
      <c r="K9828" s="2">
        <v>37</v>
      </c>
      <c r="L9828" s="2">
        <v>621</v>
      </c>
    </row>
    <row r="9829" spans="1:12" x14ac:dyDescent="0.25">
      <c r="A9829" s="4" t="str">
        <f>HYPERLINK("http://www.rosaceae.org/Prunus/Prunus_persica/p.persica_gdr_reftransV1_0023336","p.persica_gdr_reftransV1_0023336")</f>
        <v>p.persica_gdr_reftransV1_0023336</v>
      </c>
      <c r="B9829" s="2">
        <v>1325</v>
      </c>
      <c r="C9829" s="4" t="str">
        <f>HYPERLINK("http://www.uniprot.org/uniprot/M5WXH7","M5WXH7")</f>
        <v>M5WXH7</v>
      </c>
      <c r="D9829" s="2" t="s">
        <v>1753</v>
      </c>
      <c r="E9829" s="3">
        <v>8.3999999999999996E-60</v>
      </c>
      <c r="F9829" s="2">
        <v>520</v>
      </c>
      <c r="G9829" s="2">
        <v>98</v>
      </c>
      <c r="H9829" s="2">
        <v>104</v>
      </c>
      <c r="I9829" s="2">
        <v>922</v>
      </c>
      <c r="J9829" s="2">
        <v>1233</v>
      </c>
      <c r="K9829" s="2">
        <v>1</v>
      </c>
      <c r="L9829" s="2">
        <v>104</v>
      </c>
    </row>
    <row r="9830" spans="1:12" x14ac:dyDescent="0.25">
      <c r="A9830" s="4" t="str">
        <f>HYPERLINK("http://www.rosaceae.org/Prunus/Prunus_persica/p.persica_gdr_reftransV1_0024736","p.persica_gdr_reftransV1_0024736")</f>
        <v>p.persica_gdr_reftransV1_0024736</v>
      </c>
      <c r="B9830" s="2">
        <v>1644</v>
      </c>
      <c r="C9830" s="4" t="str">
        <f>HYPERLINK("http://www.uniprot.org/uniprot/M5XQ65","M5XQ65")</f>
        <v>M5XQ65</v>
      </c>
      <c r="D9830" s="2" t="s">
        <v>8486</v>
      </c>
      <c r="E9830" s="3">
        <v>2.4E-133</v>
      </c>
      <c r="F9830" s="2">
        <v>1009</v>
      </c>
      <c r="G9830" s="2">
        <v>98</v>
      </c>
      <c r="H9830" s="2">
        <v>198</v>
      </c>
      <c r="I9830" s="2">
        <v>381</v>
      </c>
      <c r="J9830" s="2">
        <v>974</v>
      </c>
      <c r="K9830" s="2">
        <v>1</v>
      </c>
      <c r="L9830" s="2">
        <v>198</v>
      </c>
    </row>
    <row r="9831" spans="1:12" x14ac:dyDescent="0.25">
      <c r="A9831" s="4" t="str">
        <f>HYPERLINK("http://www.rosaceae.org/Prunus/Prunus_persica/p.persica_gdr_reftransV1_0027886","p.persica_gdr_reftransV1_0027886")</f>
        <v>p.persica_gdr_reftransV1_0027886</v>
      </c>
      <c r="B9831" s="2">
        <v>2397</v>
      </c>
      <c r="C9831" s="4" t="str">
        <f>HYPERLINK("http://www.uniprot.org/uniprot/M5X167","M5X167")</f>
        <v>M5X167</v>
      </c>
      <c r="D9831" s="2" t="s">
        <v>8487</v>
      </c>
      <c r="E9831" s="3">
        <v>0</v>
      </c>
      <c r="F9831" s="2">
        <v>1694</v>
      </c>
      <c r="G9831" s="2">
        <v>100</v>
      </c>
      <c r="H9831" s="2">
        <v>332</v>
      </c>
      <c r="I9831" s="2">
        <v>946</v>
      </c>
      <c r="J9831" s="2">
        <v>1941</v>
      </c>
      <c r="K9831" s="2">
        <v>105</v>
      </c>
      <c r="L9831" s="2">
        <v>436</v>
      </c>
    </row>
    <row r="9832" spans="1:12" x14ac:dyDescent="0.25">
      <c r="A9832" s="4" t="str">
        <f>HYPERLINK("http://www.rosaceae.org/Prunus/Prunus_persica/p.persica_gdr_reftransV1_0028236","p.persica_gdr_reftransV1_0028236")</f>
        <v>p.persica_gdr_reftransV1_0028236</v>
      </c>
      <c r="B9832" s="2">
        <v>1418</v>
      </c>
      <c r="C9832" s="4" t="str">
        <f>HYPERLINK("http://www.uniprot.org/uniprot/M5VPA7","M5VPA7")</f>
        <v>M5VPA7</v>
      </c>
      <c r="D9832" s="2" t="s">
        <v>8488</v>
      </c>
      <c r="E9832" s="3">
        <v>0</v>
      </c>
      <c r="F9832" s="2">
        <v>1427</v>
      </c>
      <c r="G9832" s="2">
        <v>100</v>
      </c>
      <c r="H9832" s="2">
        <v>283</v>
      </c>
      <c r="I9832" s="2">
        <v>404</v>
      </c>
      <c r="J9832" s="2">
        <v>1252</v>
      </c>
      <c r="K9832" s="2">
        <v>1</v>
      </c>
      <c r="L9832" s="2">
        <v>283</v>
      </c>
    </row>
    <row r="9833" spans="1:12" x14ac:dyDescent="0.25">
      <c r="A9833" s="4" t="str">
        <f>HYPERLINK("http://www.rosaceae.org/Prunus/Prunus_persica/p.persica_gdr_reftransV1_0029636","p.persica_gdr_reftransV1_0029636")</f>
        <v>p.persica_gdr_reftransV1_0029636</v>
      </c>
      <c r="B9833" s="2">
        <v>1405</v>
      </c>
      <c r="C9833" s="4" t="str">
        <f>HYPERLINK("http://www.uniprot.org/uniprot/M5WFK7","M5WFK7")</f>
        <v>M5WFK7</v>
      </c>
      <c r="D9833" s="2" t="s">
        <v>8489</v>
      </c>
      <c r="E9833" s="3">
        <v>5.86E-163</v>
      </c>
      <c r="F9833" s="2">
        <v>1222</v>
      </c>
      <c r="G9833" s="2">
        <v>100</v>
      </c>
      <c r="H9833" s="2">
        <v>288</v>
      </c>
      <c r="I9833" s="2">
        <v>407</v>
      </c>
      <c r="J9833" s="2">
        <v>1270</v>
      </c>
      <c r="K9833" s="2">
        <v>1</v>
      </c>
      <c r="L9833" s="2">
        <v>288</v>
      </c>
    </row>
    <row r="9834" spans="1:12" x14ac:dyDescent="0.25">
      <c r="A9834" s="4" t="str">
        <f>HYPERLINK("http://www.rosaceae.org/Prunus/Prunus_persica/p.persica_gdr_reftransV1_0029986","p.persica_gdr_reftransV1_0029986")</f>
        <v>p.persica_gdr_reftransV1_0029986</v>
      </c>
      <c r="B9834" s="2">
        <v>2350</v>
      </c>
      <c r="C9834" s="4" t="str">
        <f>HYPERLINK("http://www.uniprot.org/uniprot/M5WA93","M5WA93")</f>
        <v>M5WA93</v>
      </c>
      <c r="D9834" s="2" t="s">
        <v>4470</v>
      </c>
      <c r="E9834" s="3">
        <v>0</v>
      </c>
      <c r="F9834" s="2">
        <v>3477</v>
      </c>
      <c r="G9834" s="2">
        <v>100</v>
      </c>
      <c r="H9834" s="2">
        <v>671</v>
      </c>
      <c r="I9834" s="2">
        <v>203</v>
      </c>
      <c r="J9834" s="2">
        <v>2215</v>
      </c>
      <c r="K9834" s="2">
        <v>1</v>
      </c>
      <c r="L9834" s="2">
        <v>671</v>
      </c>
    </row>
    <row r="9835" spans="1:12" x14ac:dyDescent="0.25">
      <c r="A9835" s="4" t="str">
        <f>HYPERLINK("http://www.rosaceae.org/Prunus/Prunus_persica/p.persica_gdr_reftransV1_0030686","p.persica_gdr_reftransV1_0030686")</f>
        <v>p.persica_gdr_reftransV1_0030686</v>
      </c>
      <c r="B9835" s="2">
        <v>2877</v>
      </c>
      <c r="C9835" s="4" t="str">
        <f>HYPERLINK("http://www.uniprot.org/uniprot/M5XQW7","M5XQW7")</f>
        <v>M5XQW7</v>
      </c>
      <c r="D9835" s="2" t="s">
        <v>8490</v>
      </c>
      <c r="E9835" s="3">
        <v>0</v>
      </c>
      <c r="F9835" s="2">
        <v>1475</v>
      </c>
      <c r="G9835" s="2">
        <v>98</v>
      </c>
      <c r="H9835" s="2">
        <v>444</v>
      </c>
      <c r="I9835" s="2">
        <v>1344</v>
      </c>
      <c r="J9835" s="2">
        <v>2675</v>
      </c>
      <c r="K9835" s="2">
        <v>1</v>
      </c>
      <c r="L9835" s="2">
        <v>442</v>
      </c>
    </row>
    <row r="9836" spans="1:12" x14ac:dyDescent="0.25">
      <c r="A9836" s="4" t="str">
        <f>HYPERLINK("http://www.rosaceae.org/Prunus/Prunus_persica/p.persica_gdr_reftransV1_0031036","p.persica_gdr_reftransV1_0031036")</f>
        <v>p.persica_gdr_reftransV1_0031036</v>
      </c>
      <c r="B9836" s="2">
        <v>2666</v>
      </c>
      <c r="C9836" s="4" t="str">
        <f>HYPERLINK("http://www.uniprot.org/uniprot/M5XY44","M5XY44")</f>
        <v>M5XY44</v>
      </c>
      <c r="D9836" s="2" t="s">
        <v>8491</v>
      </c>
      <c r="E9836" s="3">
        <v>0</v>
      </c>
      <c r="F9836" s="2">
        <v>1674</v>
      </c>
      <c r="G9836" s="2">
        <v>100</v>
      </c>
      <c r="H9836" s="2">
        <v>311</v>
      </c>
      <c r="I9836" s="2">
        <v>1566</v>
      </c>
      <c r="J9836" s="2">
        <v>2498</v>
      </c>
      <c r="K9836" s="2">
        <v>1</v>
      </c>
      <c r="L9836" s="2">
        <v>311</v>
      </c>
    </row>
    <row r="9837" spans="1:12" x14ac:dyDescent="0.25">
      <c r="A9837" s="4" t="str">
        <f>HYPERLINK("http://www.rosaceae.org/Prunus/Prunus_persica/p.persica_gdr_reftransV1_0031736","p.persica_gdr_reftransV1_0031736")</f>
        <v>p.persica_gdr_reftransV1_0031736</v>
      </c>
      <c r="B9837" s="2">
        <v>1434</v>
      </c>
      <c r="C9837" s="4" t="str">
        <f>HYPERLINK("http://www.uniprot.org/uniprot/M5XU79","M5XU79")</f>
        <v>M5XU79</v>
      </c>
      <c r="D9837" s="2" t="s">
        <v>3237</v>
      </c>
      <c r="E9837" s="3">
        <v>0</v>
      </c>
      <c r="F9837" s="2">
        <v>2543</v>
      </c>
      <c r="G9837" s="2">
        <v>100</v>
      </c>
      <c r="H9837" s="2">
        <v>477</v>
      </c>
      <c r="I9837" s="2">
        <v>2</v>
      </c>
      <c r="J9837" s="2">
        <v>1432</v>
      </c>
      <c r="K9837" s="2">
        <v>303</v>
      </c>
      <c r="L9837" s="2">
        <v>779</v>
      </c>
    </row>
    <row r="9838" spans="1:12" x14ac:dyDescent="0.25">
      <c r="A9838" s="4" t="str">
        <f>HYPERLINK("http://www.rosaceae.org/Prunus/Prunus_persica/p.persica_gdr_reftransV1_0032086","p.persica_gdr_reftransV1_0032086")</f>
        <v>p.persica_gdr_reftransV1_0032086</v>
      </c>
      <c r="B9838" s="2">
        <v>3028</v>
      </c>
      <c r="C9838" s="4" t="str">
        <f>HYPERLINK("http://www.uniprot.org/uniprot/M5X0D8","M5X0D8")</f>
        <v>M5X0D8</v>
      </c>
      <c r="D9838" s="2" t="s">
        <v>8492</v>
      </c>
      <c r="E9838" s="3">
        <v>0</v>
      </c>
      <c r="F9838" s="2">
        <v>4294</v>
      </c>
      <c r="G9838" s="2">
        <v>100</v>
      </c>
      <c r="H9838" s="2">
        <v>833</v>
      </c>
      <c r="I9838" s="2">
        <v>336</v>
      </c>
      <c r="J9838" s="2">
        <v>2834</v>
      </c>
      <c r="K9838" s="2">
        <v>1</v>
      </c>
      <c r="L9838" s="2">
        <v>833</v>
      </c>
    </row>
    <row r="9839" spans="1:12" x14ac:dyDescent="0.25">
      <c r="A9839" s="4" t="str">
        <f>HYPERLINK("http://www.rosaceae.org/Prunus/Prunus_persica/p.persica_gdr_reftransV1_0034186","p.persica_gdr_reftransV1_0034186")</f>
        <v>p.persica_gdr_reftransV1_0034186</v>
      </c>
      <c r="B9839" s="2">
        <v>5724</v>
      </c>
      <c r="C9839" s="4" t="str">
        <f>HYPERLINK("http://www.uniprot.org/uniprot/M5XME0","M5XME0")</f>
        <v>M5XME0</v>
      </c>
      <c r="D9839" s="2" t="s">
        <v>8493</v>
      </c>
      <c r="E9839" s="3">
        <v>0</v>
      </c>
      <c r="F9839" s="2">
        <v>5052</v>
      </c>
      <c r="G9839" s="2">
        <v>96</v>
      </c>
      <c r="H9839" s="2">
        <v>1271</v>
      </c>
      <c r="I9839" s="2">
        <v>1586</v>
      </c>
      <c r="J9839" s="2">
        <v>5398</v>
      </c>
      <c r="K9839" s="2">
        <v>1</v>
      </c>
      <c r="L9839" s="2">
        <v>1221</v>
      </c>
    </row>
    <row r="9840" spans="1:12" x14ac:dyDescent="0.25">
      <c r="A9840" s="4" t="str">
        <f>HYPERLINK("http://www.rosaceae.org/Prunus/Prunus_persica/p.persica_gdr_reftransV1_0034886","p.persica_gdr_reftransV1_0034886")</f>
        <v>p.persica_gdr_reftransV1_0034886</v>
      </c>
      <c r="B9840" s="2">
        <v>761</v>
      </c>
      <c r="C9840" s="4" t="str">
        <f>HYPERLINK("http://www.uniprot.org/uniprot/M5W2K4","M5W2K4")</f>
        <v>M5W2K4</v>
      </c>
      <c r="D9840" s="2" t="s">
        <v>8494</v>
      </c>
      <c r="E9840" s="3">
        <v>2.5799999999999998E-128</v>
      </c>
      <c r="F9840" s="2">
        <v>958</v>
      </c>
      <c r="G9840" s="2">
        <v>100</v>
      </c>
      <c r="H9840" s="2">
        <v>193</v>
      </c>
      <c r="I9840" s="2">
        <v>25</v>
      </c>
      <c r="J9840" s="2">
        <v>603</v>
      </c>
      <c r="K9840" s="2">
        <v>1</v>
      </c>
      <c r="L9840" s="2">
        <v>193</v>
      </c>
    </row>
    <row r="9841" spans="1:12" x14ac:dyDescent="0.25">
      <c r="A9841" s="4" t="str">
        <f>HYPERLINK("http://www.rosaceae.org/Prunus/Prunus_persica/p.persica_gdr_reftransV1_0038036","p.persica_gdr_reftransV1_0038036")</f>
        <v>p.persica_gdr_reftransV1_0038036</v>
      </c>
      <c r="B9841" s="2">
        <v>843</v>
      </c>
      <c r="C9841" s="4" t="str">
        <f>HYPERLINK("http://www.uniprot.org/uniprot/M5WDV6","M5WDV6")</f>
        <v>M5WDV6</v>
      </c>
      <c r="D9841" s="2" t="s">
        <v>8495</v>
      </c>
      <c r="E9841" s="3">
        <v>1.48E-64</v>
      </c>
      <c r="F9841" s="2">
        <v>564</v>
      </c>
      <c r="G9841" s="2">
        <v>100</v>
      </c>
      <c r="H9841" s="2">
        <v>201</v>
      </c>
      <c r="I9841" s="2">
        <v>131</v>
      </c>
      <c r="J9841" s="2">
        <v>733</v>
      </c>
      <c r="K9841" s="2">
        <v>92</v>
      </c>
      <c r="L9841" s="2">
        <v>292</v>
      </c>
    </row>
    <row r="9842" spans="1:12" x14ac:dyDescent="0.25">
      <c r="A9842" s="4" t="str">
        <f>HYPERLINK("http://www.rosaceae.org/Prunus/Prunus_persica/p.persica_gdr_reftransV1_0038386","p.persica_gdr_reftransV1_0038386")</f>
        <v>p.persica_gdr_reftransV1_0038386</v>
      </c>
      <c r="B9842" s="2">
        <v>1514</v>
      </c>
      <c r="C9842" s="4" t="str">
        <f>HYPERLINK("http://www.uniprot.org/uniprot/M5XL63","M5XL63")</f>
        <v>M5XL63</v>
      </c>
      <c r="D9842" s="2" t="s">
        <v>8496</v>
      </c>
      <c r="E9842" s="3">
        <v>1.3899999999999999E-49</v>
      </c>
      <c r="F9842" s="2">
        <v>449</v>
      </c>
      <c r="G9842" s="2">
        <v>100</v>
      </c>
      <c r="H9842" s="2">
        <v>85</v>
      </c>
      <c r="I9842" s="2">
        <v>941</v>
      </c>
      <c r="J9842" s="2">
        <v>1195</v>
      </c>
      <c r="K9842" s="2">
        <v>48</v>
      </c>
      <c r="L9842" s="2">
        <v>132</v>
      </c>
    </row>
    <row r="9843" spans="1:12" x14ac:dyDescent="0.25">
      <c r="A9843" s="4" t="str">
        <f>HYPERLINK("http://www.rosaceae.org/Prunus/Prunus_persica/p.persica_gdr_reftransV1_0040486","p.persica_gdr_reftransV1_0040486")</f>
        <v>p.persica_gdr_reftransV1_0040486</v>
      </c>
      <c r="B9843" s="2">
        <v>4837</v>
      </c>
      <c r="C9843" s="4" t="str">
        <f>HYPERLINK("http://www.uniprot.org/uniprot/M5W3D4","M5W3D4")</f>
        <v>M5W3D4</v>
      </c>
      <c r="D9843" s="2" t="s">
        <v>6164</v>
      </c>
      <c r="E9843" s="3">
        <v>0</v>
      </c>
      <c r="F9843" s="2">
        <v>2307</v>
      </c>
      <c r="G9843" s="2">
        <v>100</v>
      </c>
      <c r="H9843" s="2">
        <v>476</v>
      </c>
      <c r="I9843" s="2">
        <v>3357</v>
      </c>
      <c r="J9843" s="2">
        <v>4784</v>
      </c>
      <c r="K9843" s="2">
        <v>4</v>
      </c>
      <c r="L9843" s="2">
        <v>479</v>
      </c>
    </row>
    <row r="9844" spans="1:12" x14ac:dyDescent="0.25">
      <c r="A9844" s="4" t="str">
        <f>HYPERLINK("http://www.rosaceae.org/Prunus/Prunus_persica/p.persica_gdr_reftransV1_0041186","p.persica_gdr_reftransV1_0041186")</f>
        <v>p.persica_gdr_reftransV1_0041186</v>
      </c>
      <c r="B9844" s="2">
        <v>1681</v>
      </c>
      <c r="C9844" s="4" t="str">
        <f>HYPERLINK("http://www.uniprot.org/uniprot/M5XVM9","M5XVM9")</f>
        <v>M5XVM9</v>
      </c>
      <c r="D9844" s="2" t="s">
        <v>8497</v>
      </c>
      <c r="E9844" s="3">
        <v>1.05E-164</v>
      </c>
      <c r="F9844" s="2">
        <v>1273</v>
      </c>
      <c r="G9844" s="2">
        <v>100</v>
      </c>
      <c r="H9844" s="2">
        <v>444</v>
      </c>
      <c r="I9844" s="2">
        <v>349</v>
      </c>
      <c r="J9844" s="2">
        <v>1680</v>
      </c>
      <c r="K9844" s="2">
        <v>165</v>
      </c>
      <c r="L9844" s="2">
        <v>608</v>
      </c>
    </row>
    <row r="9845" spans="1:12" x14ac:dyDescent="0.25">
      <c r="A9845" s="4" t="str">
        <f>HYPERLINK("http://www.rosaceae.org/Prunus/Prunus_persica/p.persica_gdr_reftransV1_0041536","p.persica_gdr_reftransV1_0041536")</f>
        <v>p.persica_gdr_reftransV1_0041536</v>
      </c>
      <c r="B9845" s="2">
        <v>4498</v>
      </c>
      <c r="C9845" s="4" t="str">
        <f>HYPERLINK("http://www.uniprot.org/uniprot/M5WCX1","M5WCX1")</f>
        <v>M5WCX1</v>
      </c>
      <c r="D9845" s="2" t="s">
        <v>8498</v>
      </c>
      <c r="E9845" s="3">
        <v>0</v>
      </c>
      <c r="F9845" s="2">
        <v>3450</v>
      </c>
      <c r="G9845" s="2">
        <v>100</v>
      </c>
      <c r="H9845" s="2">
        <v>760</v>
      </c>
      <c r="I9845" s="2">
        <v>1403</v>
      </c>
      <c r="J9845" s="2">
        <v>3682</v>
      </c>
      <c r="K9845" s="2">
        <v>9</v>
      </c>
      <c r="L9845" s="2">
        <v>768</v>
      </c>
    </row>
    <row r="9846" spans="1:12" x14ac:dyDescent="0.25">
      <c r="A9846" s="4" t="str">
        <f>HYPERLINK("http://www.rosaceae.org/Prunus/Prunus_persica/p.persica_gdr_reftransV1_0043636","p.persica_gdr_reftransV1_0043636")</f>
        <v>p.persica_gdr_reftransV1_0043636</v>
      </c>
      <c r="B9846" s="2">
        <v>983</v>
      </c>
      <c r="C9846" s="4" t="str">
        <f>HYPERLINK("http://www.uniprot.org/uniprot/M5WWC5","M5WWC5")</f>
        <v>M5WWC5</v>
      </c>
      <c r="D9846" s="2" t="s">
        <v>8499</v>
      </c>
      <c r="E9846" s="3">
        <v>1.06E-175</v>
      </c>
      <c r="F9846" s="2">
        <v>1301</v>
      </c>
      <c r="G9846" s="2">
        <v>100</v>
      </c>
      <c r="H9846" s="2">
        <v>251</v>
      </c>
      <c r="I9846" s="2">
        <v>230</v>
      </c>
      <c r="J9846" s="2">
        <v>982</v>
      </c>
      <c r="K9846" s="2">
        <v>160</v>
      </c>
      <c r="L9846" s="2">
        <v>409</v>
      </c>
    </row>
    <row r="9847" spans="1:12" x14ac:dyDescent="0.25">
      <c r="A9847" s="4" t="str">
        <f>HYPERLINK("http://www.rosaceae.org/Prunus/Prunus_persica/p.persica_gdr_reftransV1_0043986","p.persica_gdr_reftransV1_0043986")</f>
        <v>p.persica_gdr_reftransV1_0043986</v>
      </c>
      <c r="B9847" s="2">
        <v>340</v>
      </c>
      <c r="C9847" s="4" t="str">
        <f>HYPERLINK("http://www.uniprot.org/uniprot/M5XNH9","M5XNH9")</f>
        <v>M5XNH9</v>
      </c>
      <c r="D9847" s="2" t="s">
        <v>8500</v>
      </c>
      <c r="E9847" s="3">
        <v>2.2800000000000001E-54</v>
      </c>
      <c r="F9847" s="2">
        <v>489</v>
      </c>
      <c r="G9847" s="2">
        <v>98</v>
      </c>
      <c r="H9847" s="2">
        <v>107</v>
      </c>
      <c r="I9847" s="2">
        <v>2</v>
      </c>
      <c r="J9847" s="2">
        <v>322</v>
      </c>
      <c r="K9847" s="2">
        <v>468</v>
      </c>
      <c r="L9847" s="2">
        <v>574</v>
      </c>
    </row>
    <row r="9848" spans="1:12" x14ac:dyDescent="0.25">
      <c r="A9848" s="4" t="str">
        <f>HYPERLINK("http://www.rosaceae.org/Prunus/Prunus_persica/p.persica_gdr_reftransV1_0044336","p.persica_gdr_reftransV1_0044336")</f>
        <v>p.persica_gdr_reftransV1_0044336</v>
      </c>
      <c r="B9848" s="2">
        <v>1825</v>
      </c>
      <c r="C9848" s="4" t="str">
        <f>HYPERLINK("http://www.uniprot.org/uniprot/M5WT17","M5WT17")</f>
        <v>M5WT17</v>
      </c>
      <c r="D9848" s="2" t="s">
        <v>3903</v>
      </c>
      <c r="E9848" s="3">
        <v>0</v>
      </c>
      <c r="F9848" s="2">
        <v>2489</v>
      </c>
      <c r="G9848" s="2">
        <v>95</v>
      </c>
      <c r="H9848" s="2">
        <v>540</v>
      </c>
      <c r="I9848" s="2">
        <v>69</v>
      </c>
      <c r="J9848" s="2">
        <v>1688</v>
      </c>
      <c r="K9848" s="2">
        <v>1</v>
      </c>
      <c r="L9848" s="2">
        <v>540</v>
      </c>
    </row>
    <row r="9849" spans="1:12" x14ac:dyDescent="0.25">
      <c r="A9849" s="4" t="str">
        <f>HYPERLINK("http://www.rosaceae.org/Prunus/Prunus_persica/p.persica_gdr_reftransV1_0044686","p.persica_gdr_reftransV1_0044686")</f>
        <v>p.persica_gdr_reftransV1_0044686</v>
      </c>
      <c r="B9849" s="2">
        <v>523</v>
      </c>
      <c r="C9849" s="4" t="str">
        <f>HYPERLINK("http://www.uniprot.org/uniprot/M5XH54","M5XH54")</f>
        <v>M5XH54</v>
      </c>
      <c r="D9849" s="2" t="s">
        <v>8501</v>
      </c>
      <c r="E9849" s="3">
        <v>3.9499999999999999E-57</v>
      </c>
      <c r="F9849" s="2">
        <v>472</v>
      </c>
      <c r="G9849" s="2">
        <v>100</v>
      </c>
      <c r="H9849" s="2">
        <v>106</v>
      </c>
      <c r="I9849" s="2">
        <v>89</v>
      </c>
      <c r="J9849" s="2">
        <v>406</v>
      </c>
      <c r="K9849" s="2">
        <v>1</v>
      </c>
      <c r="L9849" s="2">
        <v>106</v>
      </c>
    </row>
    <row r="9850" spans="1:12" x14ac:dyDescent="0.25">
      <c r="A9850" s="4" t="str">
        <f>HYPERLINK("http://www.rosaceae.org/Prunus/Prunus_persica/p.persica_gdr_reftransV1_0045036","p.persica_gdr_reftransV1_0045036")</f>
        <v>p.persica_gdr_reftransV1_0045036</v>
      </c>
      <c r="B9850" s="2">
        <v>694</v>
      </c>
      <c r="C9850" s="4" t="str">
        <f>HYPERLINK("http://www.uniprot.org/uniprot/M5XDZ2","M5XDZ2")</f>
        <v>M5XDZ2</v>
      </c>
      <c r="D9850" s="2" t="s">
        <v>4989</v>
      </c>
      <c r="E9850" s="3">
        <v>2.8799999999999999E-87</v>
      </c>
      <c r="F9850" s="2">
        <v>699</v>
      </c>
      <c r="G9850" s="2">
        <v>100</v>
      </c>
      <c r="H9850" s="2">
        <v>151</v>
      </c>
      <c r="I9850" s="2">
        <v>148</v>
      </c>
      <c r="J9850" s="2">
        <v>600</v>
      </c>
      <c r="K9850" s="2">
        <v>190</v>
      </c>
      <c r="L9850" s="2">
        <v>340</v>
      </c>
    </row>
    <row r="9851" spans="1:12" x14ac:dyDescent="0.25">
      <c r="A9851" s="4" t="str">
        <f>HYPERLINK("http://www.rosaceae.org/Prunus/Prunus_persica/p.persica_gdr_reftransV1_0045736","p.persica_gdr_reftransV1_0045736")</f>
        <v>p.persica_gdr_reftransV1_0045736</v>
      </c>
      <c r="B9851" s="2">
        <v>1769</v>
      </c>
      <c r="C9851" s="4" t="str">
        <f>HYPERLINK("http://www.uniprot.org/uniprot/M5XY31","M5XY31")</f>
        <v>M5XY31</v>
      </c>
      <c r="D9851" s="2" t="s">
        <v>8502</v>
      </c>
      <c r="E9851" s="3">
        <v>0</v>
      </c>
      <c r="F9851" s="2">
        <v>2486</v>
      </c>
      <c r="G9851" s="2">
        <v>100</v>
      </c>
      <c r="H9851" s="2">
        <v>483</v>
      </c>
      <c r="I9851" s="2">
        <v>2</v>
      </c>
      <c r="J9851" s="2">
        <v>1450</v>
      </c>
      <c r="K9851" s="2">
        <v>472</v>
      </c>
      <c r="L9851" s="2">
        <v>954</v>
      </c>
    </row>
    <row r="9852" spans="1:12" x14ac:dyDescent="0.25">
      <c r="A9852" s="4" t="str">
        <f>HYPERLINK("http://www.rosaceae.org/Prunus/Prunus_persica/p.persica_gdr_reftransV1_0046086","p.persica_gdr_reftransV1_0046086")</f>
        <v>p.persica_gdr_reftransV1_0046086</v>
      </c>
      <c r="B9852" s="2">
        <v>528</v>
      </c>
      <c r="C9852" s="4" t="str">
        <f>HYPERLINK("http://www.uniprot.org/uniprot/A0A0D2SLG4","A0A0D2SLG4")</f>
        <v>A0A0D2SLG4</v>
      </c>
      <c r="D9852" s="2" t="s">
        <v>8503</v>
      </c>
      <c r="E9852" s="3">
        <v>1.48E-35</v>
      </c>
      <c r="F9852" s="2">
        <v>328</v>
      </c>
      <c r="G9852" s="2">
        <v>71</v>
      </c>
      <c r="H9852" s="2">
        <v>92</v>
      </c>
      <c r="I9852" s="2">
        <v>27</v>
      </c>
      <c r="J9852" s="2">
        <v>302</v>
      </c>
      <c r="K9852" s="2">
        <v>19</v>
      </c>
      <c r="L9852" s="2">
        <v>108</v>
      </c>
    </row>
    <row r="9853" spans="1:12" x14ac:dyDescent="0.25">
      <c r="A9853" s="4" t="str">
        <f>HYPERLINK("http://www.rosaceae.org/Prunus/Prunus_persica/p.persica_gdr_reftransV1_0046436","p.persica_gdr_reftransV1_0046436")</f>
        <v>p.persica_gdr_reftransV1_0046436</v>
      </c>
      <c r="B9853" s="2">
        <v>1519</v>
      </c>
      <c r="C9853" s="4" t="str">
        <f>HYPERLINK("http://www.uniprot.org/uniprot/M5X9Q0","M5X9Q0")</f>
        <v>M5X9Q0</v>
      </c>
      <c r="D9853" s="2" t="s">
        <v>8504</v>
      </c>
      <c r="E9853" s="3">
        <v>0</v>
      </c>
      <c r="F9853" s="2">
        <v>1703</v>
      </c>
      <c r="G9853" s="2">
        <v>100</v>
      </c>
      <c r="H9853" s="2">
        <v>361</v>
      </c>
      <c r="I9853" s="2">
        <v>226</v>
      </c>
      <c r="J9853" s="2">
        <v>1308</v>
      </c>
      <c r="K9853" s="2">
        <v>1</v>
      </c>
      <c r="L9853" s="2">
        <v>361</v>
      </c>
    </row>
    <row r="9854" spans="1:12" x14ac:dyDescent="0.25">
      <c r="A9854" s="4" t="str">
        <f>HYPERLINK("http://www.rosaceae.org/Prunus/Prunus_persica/p.persica_gdr_reftransV1_0046786","p.persica_gdr_reftransV1_0046786")</f>
        <v>p.persica_gdr_reftransV1_0046786</v>
      </c>
      <c r="B9854" s="2">
        <v>393</v>
      </c>
      <c r="C9854" s="4" t="str">
        <f>HYPERLINK("http://www.uniprot.org/uniprot/M5WDG7","M5WDG7")</f>
        <v>M5WDG7</v>
      </c>
      <c r="D9854" s="2" t="s">
        <v>370</v>
      </c>
      <c r="E9854" s="3">
        <v>8.0499999999999995E-65</v>
      </c>
      <c r="F9854" s="2">
        <v>543</v>
      </c>
      <c r="G9854" s="2">
        <v>100</v>
      </c>
      <c r="H9854" s="2">
        <v>101</v>
      </c>
      <c r="I9854" s="2">
        <v>23</v>
      </c>
      <c r="J9854" s="2">
        <v>325</v>
      </c>
      <c r="K9854" s="2">
        <v>308</v>
      </c>
      <c r="L9854" s="2">
        <v>408</v>
      </c>
    </row>
    <row r="9855" spans="1:12" x14ac:dyDescent="0.25">
      <c r="A9855" s="4" t="str">
        <f>HYPERLINK("http://www.rosaceae.org/Prunus/Prunus_persica/p.persica_gdr_reftransV1_0047136","p.persica_gdr_reftransV1_0047136")</f>
        <v>p.persica_gdr_reftransV1_0047136</v>
      </c>
      <c r="B9855" s="2">
        <v>1884</v>
      </c>
      <c r="C9855" s="4" t="str">
        <f>HYPERLINK("http://www.uniprot.org/uniprot/M5XBI1","M5XBI1")</f>
        <v>M5XBI1</v>
      </c>
      <c r="D9855" s="2" t="s">
        <v>4198</v>
      </c>
      <c r="E9855" s="3">
        <v>0</v>
      </c>
      <c r="F9855" s="2">
        <v>2213</v>
      </c>
      <c r="G9855" s="2">
        <v>96</v>
      </c>
      <c r="H9855" s="2">
        <v>449</v>
      </c>
      <c r="I9855" s="2">
        <v>274</v>
      </c>
      <c r="J9855" s="2">
        <v>1575</v>
      </c>
      <c r="K9855" s="2">
        <v>1</v>
      </c>
      <c r="L9855" s="2">
        <v>449</v>
      </c>
    </row>
    <row r="9856" spans="1:12" x14ac:dyDescent="0.25">
      <c r="A9856" s="4" t="str">
        <f>HYPERLINK("http://www.rosaceae.org/Prunus/Prunus_persica/p.persica_gdr_reftransV1_0047486","p.persica_gdr_reftransV1_0047486")</f>
        <v>p.persica_gdr_reftransV1_0047486</v>
      </c>
      <c r="B9856" s="2">
        <v>904</v>
      </c>
      <c r="C9856" s="4" t="str">
        <f>HYPERLINK("http://www.uniprot.org/uniprot/M5W025","M5W025")</f>
        <v>M5W025</v>
      </c>
      <c r="D9856" s="2" t="s">
        <v>6239</v>
      </c>
      <c r="E9856" s="3">
        <v>6.4999999999999999E-138</v>
      </c>
      <c r="F9856" s="2">
        <v>1041</v>
      </c>
      <c r="G9856" s="2">
        <v>100</v>
      </c>
      <c r="H9856" s="2">
        <v>249</v>
      </c>
      <c r="I9856" s="2">
        <v>113</v>
      </c>
      <c r="J9856" s="2">
        <v>859</v>
      </c>
      <c r="K9856" s="2">
        <v>1</v>
      </c>
      <c r="L9856" s="2">
        <v>249</v>
      </c>
    </row>
    <row r="9857" spans="1:12" x14ac:dyDescent="0.25">
      <c r="A9857" s="4" t="str">
        <f>HYPERLINK("http://www.rosaceae.org/Prunus/Prunus_persica/p.persica_gdr_reftransV1_0047836","p.persica_gdr_reftransV1_0047836")</f>
        <v>p.persica_gdr_reftransV1_0047836</v>
      </c>
      <c r="B9857" s="2">
        <v>2205</v>
      </c>
      <c r="C9857" s="4" t="str">
        <f>HYPERLINK("http://www.uniprot.org/uniprot/M5Y2S9","M5Y2S9")</f>
        <v>M5Y2S9</v>
      </c>
      <c r="D9857" s="2" t="s">
        <v>1282</v>
      </c>
      <c r="E9857" s="3">
        <v>0</v>
      </c>
      <c r="F9857" s="2">
        <v>1945</v>
      </c>
      <c r="G9857" s="2">
        <v>100</v>
      </c>
      <c r="H9857" s="2">
        <v>398</v>
      </c>
      <c r="I9857" s="2">
        <v>148</v>
      </c>
      <c r="J9857" s="2">
        <v>1341</v>
      </c>
      <c r="K9857" s="2">
        <v>234</v>
      </c>
      <c r="L9857" s="2">
        <v>631</v>
      </c>
    </row>
    <row r="9858" spans="1:12" x14ac:dyDescent="0.25">
      <c r="A9858" s="4" t="str">
        <f>HYPERLINK("http://www.rosaceae.org/Prunus/Prunus_persica/p.persica_gdr_reftransV1_0048536","p.persica_gdr_reftransV1_0048536")</f>
        <v>p.persica_gdr_reftransV1_0048536</v>
      </c>
      <c r="B9858" s="2">
        <v>654</v>
      </c>
      <c r="C9858" s="4" t="str">
        <f>HYPERLINK("http://www.uniprot.org/uniprot/M5WAF2","M5WAF2")</f>
        <v>M5WAF2</v>
      </c>
      <c r="D9858" s="2" t="s">
        <v>7358</v>
      </c>
      <c r="E9858" s="3">
        <v>4.8899999999999997E-95</v>
      </c>
      <c r="F9858" s="2">
        <v>736</v>
      </c>
      <c r="G9858" s="2">
        <v>100</v>
      </c>
      <c r="H9858" s="2">
        <v>138</v>
      </c>
      <c r="I9858" s="2">
        <v>48</v>
      </c>
      <c r="J9858" s="2">
        <v>461</v>
      </c>
      <c r="K9858" s="2">
        <v>70</v>
      </c>
      <c r="L9858" s="2">
        <v>207</v>
      </c>
    </row>
    <row r="9859" spans="1:12" x14ac:dyDescent="0.25">
      <c r="A9859" s="4" t="str">
        <f>HYPERLINK("http://www.rosaceae.org/Prunus/Prunus_persica/p.persica_gdr_reftransV1_0048886","p.persica_gdr_reftransV1_0048886")</f>
        <v>p.persica_gdr_reftransV1_0048886</v>
      </c>
      <c r="B9859" s="2">
        <v>438</v>
      </c>
      <c r="C9859" s="4" t="str">
        <f>HYPERLINK("http://www.uniprot.org/uniprot/M5WF26","M5WF26")</f>
        <v>M5WF26</v>
      </c>
      <c r="D9859" s="2" t="s">
        <v>8505</v>
      </c>
      <c r="E9859" s="3">
        <v>1.28E-71</v>
      </c>
      <c r="F9859" s="2">
        <v>593</v>
      </c>
      <c r="G9859" s="2">
        <v>98</v>
      </c>
      <c r="H9859" s="2">
        <v>125</v>
      </c>
      <c r="I9859" s="2">
        <v>63</v>
      </c>
      <c r="J9859" s="2">
        <v>437</v>
      </c>
      <c r="K9859" s="2">
        <v>230</v>
      </c>
      <c r="L9859" s="2">
        <v>354</v>
      </c>
    </row>
    <row r="9860" spans="1:12" x14ac:dyDescent="0.25">
      <c r="A9860" s="4" t="str">
        <f>HYPERLINK("http://www.rosaceae.org/Prunus/Prunus_persica/p.persica_gdr_reftransV1_0000237","p.persica_gdr_reftransV1_0000237")</f>
        <v>p.persica_gdr_reftransV1_0000237</v>
      </c>
      <c r="B9860" s="2">
        <v>424</v>
      </c>
      <c r="C9860" s="4" t="str">
        <f>HYPERLINK("http://www.uniprot.org/uniprot/M5XI72","M5XI72")</f>
        <v>M5XI72</v>
      </c>
      <c r="D9860" s="2" t="s">
        <v>8506</v>
      </c>
      <c r="E9860" s="3">
        <v>2.5499999999999999E-69</v>
      </c>
      <c r="F9860" s="2">
        <v>550</v>
      </c>
      <c r="G9860" s="2">
        <v>94</v>
      </c>
      <c r="H9860" s="2">
        <v>110</v>
      </c>
      <c r="I9860" s="2">
        <v>90</v>
      </c>
      <c r="J9860" s="2">
        <v>419</v>
      </c>
      <c r="K9860" s="2">
        <v>11</v>
      </c>
      <c r="L9860" s="2">
        <v>120</v>
      </c>
    </row>
    <row r="9861" spans="1:12" x14ac:dyDescent="0.25">
      <c r="A9861" s="4" t="str">
        <f>HYPERLINK("http://www.rosaceae.org/Prunus/Prunus_persica/p.persica_gdr_reftransV1_0000587","p.persica_gdr_reftransV1_0000587")</f>
        <v>p.persica_gdr_reftransV1_0000587</v>
      </c>
      <c r="B9861" s="2">
        <v>1768</v>
      </c>
      <c r="C9861" s="4" t="str">
        <f>HYPERLINK("http://www.uniprot.org/uniprot/M5WJC6","M5WJC6")</f>
        <v>M5WJC6</v>
      </c>
      <c r="D9861" s="2" t="s">
        <v>8507</v>
      </c>
      <c r="E9861" s="3">
        <v>4.3599999999999998E-91</v>
      </c>
      <c r="F9861" s="2">
        <v>751</v>
      </c>
      <c r="G9861" s="2">
        <v>100</v>
      </c>
      <c r="H9861" s="2">
        <v>266</v>
      </c>
      <c r="I9861" s="2">
        <v>100</v>
      </c>
      <c r="J9861" s="2">
        <v>897</v>
      </c>
      <c r="K9861" s="2">
        <v>7</v>
      </c>
      <c r="L9861" s="2">
        <v>272</v>
      </c>
    </row>
    <row r="9862" spans="1:12" x14ac:dyDescent="0.25">
      <c r="A9862" s="4" t="str">
        <f>HYPERLINK("http://www.rosaceae.org/Prunus/Prunus_persica/p.persica_gdr_reftransV1_0000937","p.persica_gdr_reftransV1_0000937")</f>
        <v>p.persica_gdr_reftransV1_0000937</v>
      </c>
      <c r="B9862" s="2">
        <v>1790</v>
      </c>
      <c r="C9862" s="4" t="str">
        <f>HYPERLINK("http://www.uniprot.org/uniprot/M5XDY2","M5XDY2")</f>
        <v>M5XDY2</v>
      </c>
      <c r="D9862" s="2" t="s">
        <v>8508</v>
      </c>
      <c r="E9862" s="3">
        <v>0</v>
      </c>
      <c r="F9862" s="2">
        <v>2458</v>
      </c>
      <c r="G9862" s="2">
        <v>100</v>
      </c>
      <c r="H9862" s="2">
        <v>471</v>
      </c>
      <c r="I9862" s="2">
        <v>81</v>
      </c>
      <c r="J9862" s="2">
        <v>1493</v>
      </c>
      <c r="K9862" s="2">
        <v>1</v>
      </c>
      <c r="L9862" s="2">
        <v>471</v>
      </c>
    </row>
    <row r="9863" spans="1:12" x14ac:dyDescent="0.25">
      <c r="A9863" s="4" t="str">
        <f>HYPERLINK("http://www.rosaceae.org/Prunus/Prunus_persica/p.persica_gdr_reftransV1_0001287","p.persica_gdr_reftransV1_0001287")</f>
        <v>p.persica_gdr_reftransV1_0001287</v>
      </c>
      <c r="B9863" s="2">
        <v>932</v>
      </c>
      <c r="C9863" s="4" t="str">
        <f>HYPERLINK("http://www.uniprot.org/uniprot/M5XLM1","M5XLM1")</f>
        <v>M5XLM1</v>
      </c>
      <c r="D9863" s="2" t="s">
        <v>7853</v>
      </c>
      <c r="E9863" s="3">
        <v>1.3600000000000001E-137</v>
      </c>
      <c r="F9863" s="2">
        <v>1036</v>
      </c>
      <c r="G9863" s="2">
        <v>100</v>
      </c>
      <c r="H9863" s="2">
        <v>196</v>
      </c>
      <c r="I9863" s="2">
        <v>3</v>
      </c>
      <c r="J9863" s="2">
        <v>590</v>
      </c>
      <c r="K9863" s="2">
        <v>27</v>
      </c>
      <c r="L9863" s="2">
        <v>222</v>
      </c>
    </row>
    <row r="9864" spans="1:12" x14ac:dyDescent="0.25">
      <c r="A9864" s="4" t="str">
        <f>HYPERLINK("http://www.rosaceae.org/Prunus/Prunus_persica/p.persica_gdr_reftransV1_0001987","p.persica_gdr_reftransV1_0001987")</f>
        <v>p.persica_gdr_reftransV1_0001987</v>
      </c>
      <c r="B9864" s="2">
        <v>2540</v>
      </c>
      <c r="C9864" s="4" t="str">
        <f>HYPERLINK("http://www.uniprot.org/uniprot/M5WUP2","M5WUP2")</f>
        <v>M5WUP2</v>
      </c>
      <c r="D9864" s="2" t="s">
        <v>243</v>
      </c>
      <c r="E9864" s="3">
        <v>9.3999999999999995E-95</v>
      </c>
      <c r="F9864" s="2">
        <v>820</v>
      </c>
      <c r="G9864" s="2">
        <v>100</v>
      </c>
      <c r="H9864" s="2">
        <v>180</v>
      </c>
      <c r="I9864" s="2">
        <v>1158</v>
      </c>
      <c r="J9864" s="2">
        <v>1697</v>
      </c>
      <c r="K9864" s="2">
        <v>111</v>
      </c>
      <c r="L9864" s="2">
        <v>290</v>
      </c>
    </row>
    <row r="9865" spans="1:12" x14ac:dyDescent="0.25">
      <c r="A9865" s="4" t="str">
        <f>HYPERLINK("http://www.rosaceae.org/Prunus/Prunus_persica/p.persica_gdr_reftransV1_0002687","p.persica_gdr_reftransV1_0002687")</f>
        <v>p.persica_gdr_reftransV1_0002687</v>
      </c>
      <c r="B9865" s="2">
        <v>738</v>
      </c>
      <c r="C9865" s="4" t="str">
        <f>HYPERLINK("http://www.uniprot.org/uniprot/M5WY89","M5WY89")</f>
        <v>M5WY89</v>
      </c>
      <c r="D9865" s="2" t="s">
        <v>8509</v>
      </c>
      <c r="E9865" s="3">
        <v>2.7700000000000001E-156</v>
      </c>
      <c r="F9865" s="2">
        <v>1170</v>
      </c>
      <c r="G9865" s="2">
        <v>100</v>
      </c>
      <c r="H9865" s="2">
        <v>222</v>
      </c>
      <c r="I9865" s="2">
        <v>72</v>
      </c>
      <c r="J9865" s="2">
        <v>737</v>
      </c>
      <c r="K9865" s="2">
        <v>1</v>
      </c>
      <c r="L9865" s="2">
        <v>222</v>
      </c>
    </row>
    <row r="9866" spans="1:12" x14ac:dyDescent="0.25">
      <c r="A9866" s="4" t="str">
        <f>HYPERLINK("http://www.rosaceae.org/Prunus/Prunus_persica/p.persica_gdr_reftransV1_0003037","p.persica_gdr_reftransV1_0003037")</f>
        <v>p.persica_gdr_reftransV1_0003037</v>
      </c>
      <c r="B9866" s="2">
        <v>623</v>
      </c>
      <c r="C9866" s="4" t="str">
        <f>HYPERLINK("http://www.uniprot.org/uniprot/M5WIX2","M5WIX2")</f>
        <v>M5WIX2</v>
      </c>
      <c r="D9866" s="2" t="s">
        <v>8510</v>
      </c>
      <c r="E9866" s="3">
        <v>1.17E-27</v>
      </c>
      <c r="F9866" s="2">
        <v>280</v>
      </c>
      <c r="G9866" s="2">
        <v>100</v>
      </c>
      <c r="H9866" s="2">
        <v>56</v>
      </c>
      <c r="I9866" s="2">
        <v>245</v>
      </c>
      <c r="J9866" s="2">
        <v>412</v>
      </c>
      <c r="K9866" s="2">
        <v>24</v>
      </c>
      <c r="L9866" s="2">
        <v>79</v>
      </c>
    </row>
    <row r="9867" spans="1:12" x14ac:dyDescent="0.25">
      <c r="A9867" s="4" t="str">
        <f>HYPERLINK("http://www.rosaceae.org/Prunus/Prunus_persica/p.persica_gdr_reftransV1_0003737","p.persica_gdr_reftransV1_0003737")</f>
        <v>p.persica_gdr_reftransV1_0003737</v>
      </c>
      <c r="B9867" s="2">
        <v>380</v>
      </c>
      <c r="C9867" s="4" t="str">
        <f>HYPERLINK("http://www.uniprot.org/uniprot/X2G1K3","X2G1K3")</f>
        <v>X2G1K3</v>
      </c>
      <c r="D9867" s="2" t="s">
        <v>8511</v>
      </c>
      <c r="E9867" s="3">
        <v>7.8999999999999998E-61</v>
      </c>
      <c r="F9867" s="2">
        <v>512</v>
      </c>
      <c r="G9867" s="2">
        <v>100</v>
      </c>
      <c r="H9867" s="2">
        <v>126</v>
      </c>
      <c r="I9867" s="2">
        <v>2</v>
      </c>
      <c r="J9867" s="2">
        <v>379</v>
      </c>
      <c r="K9867" s="2">
        <v>225</v>
      </c>
      <c r="L9867" s="2">
        <v>350</v>
      </c>
    </row>
    <row r="9868" spans="1:12" x14ac:dyDescent="0.25">
      <c r="A9868" s="4" t="str">
        <f>HYPERLINK("http://www.rosaceae.org/Prunus/Prunus_persica/p.persica_gdr_reftransV1_0004087","p.persica_gdr_reftransV1_0004087")</f>
        <v>p.persica_gdr_reftransV1_0004087</v>
      </c>
      <c r="B9868" s="2">
        <v>981</v>
      </c>
      <c r="C9868" s="4" t="str">
        <f>HYPERLINK("http://www.uniprot.org/uniprot/M5Y4C6","M5Y4C6")</f>
        <v>M5Y4C6</v>
      </c>
      <c r="D9868" s="2" t="s">
        <v>8512</v>
      </c>
      <c r="E9868" s="3">
        <v>1.5800000000000001E-103</v>
      </c>
      <c r="F9868" s="2">
        <v>877</v>
      </c>
      <c r="G9868" s="2">
        <v>100</v>
      </c>
      <c r="H9868" s="2">
        <v>187</v>
      </c>
      <c r="I9868" s="2">
        <v>1</v>
      </c>
      <c r="J9868" s="2">
        <v>561</v>
      </c>
      <c r="K9868" s="2">
        <v>1178</v>
      </c>
      <c r="L9868" s="2">
        <v>1364</v>
      </c>
    </row>
    <row r="9869" spans="1:12" x14ac:dyDescent="0.25">
      <c r="A9869" s="4" t="str">
        <f>HYPERLINK("http://www.rosaceae.org/Prunus/Prunus_persica/p.persica_gdr_reftransV1_0004437","p.persica_gdr_reftransV1_0004437")</f>
        <v>p.persica_gdr_reftransV1_0004437</v>
      </c>
      <c r="B9869" s="2">
        <v>1576</v>
      </c>
      <c r="C9869" s="4" t="str">
        <f>HYPERLINK("http://www.uniprot.org/uniprot/M5X8H4","M5X8H4")</f>
        <v>M5X8H4</v>
      </c>
      <c r="D9869" s="2" t="s">
        <v>5843</v>
      </c>
      <c r="E9869" s="3">
        <v>1.46E-178</v>
      </c>
      <c r="F9869" s="2">
        <v>1455</v>
      </c>
      <c r="G9869" s="2">
        <v>97</v>
      </c>
      <c r="H9869" s="2">
        <v>322</v>
      </c>
      <c r="I9869" s="2">
        <v>22</v>
      </c>
      <c r="J9869" s="2">
        <v>987</v>
      </c>
      <c r="K9869" s="2">
        <v>468</v>
      </c>
      <c r="L9869" s="2">
        <v>789</v>
      </c>
    </row>
    <row r="9870" spans="1:12" x14ac:dyDescent="0.25">
      <c r="A9870" s="4" t="str">
        <f>HYPERLINK("http://www.rosaceae.org/Prunus/Prunus_persica/p.persica_gdr_reftransV1_0005137","p.persica_gdr_reftransV1_0005137")</f>
        <v>p.persica_gdr_reftransV1_0005137</v>
      </c>
      <c r="B9870" s="2">
        <v>648</v>
      </c>
      <c r="C9870" s="4" t="str">
        <f>HYPERLINK("http://www.uniprot.org/uniprot/M5W819","M5W819")</f>
        <v>M5W819</v>
      </c>
      <c r="D9870" s="2" t="s">
        <v>8513</v>
      </c>
      <c r="E9870" s="3">
        <v>2.5800000000000001E-88</v>
      </c>
      <c r="F9870" s="2">
        <v>546</v>
      </c>
      <c r="G9870" s="2">
        <v>87</v>
      </c>
      <c r="H9870" s="2">
        <v>126</v>
      </c>
      <c r="I9870" s="2">
        <v>9</v>
      </c>
      <c r="J9870" s="2">
        <v>386</v>
      </c>
      <c r="K9870" s="2">
        <v>100</v>
      </c>
      <c r="L9870" s="2">
        <v>224</v>
      </c>
    </row>
    <row r="9871" spans="1:12" x14ac:dyDescent="0.25">
      <c r="A9871" s="4" t="str">
        <f>HYPERLINK("http://www.rosaceae.org/Prunus/Prunus_persica/p.persica_gdr_reftransV1_0006187","p.persica_gdr_reftransV1_0006187")</f>
        <v>p.persica_gdr_reftransV1_0006187</v>
      </c>
      <c r="B9871" s="2">
        <v>1546</v>
      </c>
      <c r="C9871" s="4" t="str">
        <f>HYPERLINK("http://www.uniprot.org/uniprot/M5VT06","M5VT06")</f>
        <v>M5VT06</v>
      </c>
      <c r="D9871" s="2" t="s">
        <v>8514</v>
      </c>
      <c r="E9871" s="3">
        <v>0</v>
      </c>
      <c r="F9871" s="2">
        <v>2262</v>
      </c>
      <c r="G9871" s="2">
        <v>99</v>
      </c>
      <c r="H9871" s="2">
        <v>424</v>
      </c>
      <c r="I9871" s="2">
        <v>228</v>
      </c>
      <c r="J9871" s="2">
        <v>1499</v>
      </c>
      <c r="K9871" s="2">
        <v>1</v>
      </c>
      <c r="L9871" s="2">
        <v>424</v>
      </c>
    </row>
    <row r="9872" spans="1:12" x14ac:dyDescent="0.25">
      <c r="A9872" s="4" t="str">
        <f>HYPERLINK("http://www.rosaceae.org/Prunus/Prunus_persica/p.persica_gdr_reftransV1_0006537","p.persica_gdr_reftransV1_0006537")</f>
        <v>p.persica_gdr_reftransV1_0006537</v>
      </c>
      <c r="B9872" s="2">
        <v>738</v>
      </c>
      <c r="C9872" s="4" t="str">
        <f>HYPERLINK("http://www.uniprot.org/uniprot/A0A022PXI4","A0A022PXI4")</f>
        <v>A0A022PXI4</v>
      </c>
      <c r="D9872" s="2" t="s">
        <v>8515</v>
      </c>
      <c r="E9872" s="3">
        <v>2.2900000000000001E-23</v>
      </c>
      <c r="F9872" s="2">
        <v>270</v>
      </c>
      <c r="G9872" s="2">
        <v>40</v>
      </c>
      <c r="H9872" s="2">
        <v>163</v>
      </c>
      <c r="I9872" s="2">
        <v>46</v>
      </c>
      <c r="J9872" s="2">
        <v>528</v>
      </c>
      <c r="K9872" s="2">
        <v>22</v>
      </c>
      <c r="L9872" s="2">
        <v>173</v>
      </c>
    </row>
    <row r="9873" spans="1:12" x14ac:dyDescent="0.25">
      <c r="A9873" s="4" t="str">
        <f>HYPERLINK("http://www.rosaceae.org/Prunus/Prunus_persica/p.persica_gdr_reftransV1_0006887","p.persica_gdr_reftransV1_0006887")</f>
        <v>p.persica_gdr_reftransV1_0006887</v>
      </c>
      <c r="B9873" s="2">
        <v>535</v>
      </c>
      <c r="C9873" s="4" t="str">
        <f>HYPERLINK("http://www.uniprot.org/uniprot/M5W644","M5W644")</f>
        <v>M5W644</v>
      </c>
      <c r="D9873" s="2" t="s">
        <v>8516</v>
      </c>
      <c r="E9873" s="3">
        <v>4.1800000000000002E-47</v>
      </c>
      <c r="F9873" s="2">
        <v>410</v>
      </c>
      <c r="G9873" s="2">
        <v>100</v>
      </c>
      <c r="H9873" s="2">
        <v>118</v>
      </c>
      <c r="I9873" s="2">
        <v>147</v>
      </c>
      <c r="J9873" s="2">
        <v>500</v>
      </c>
      <c r="K9873" s="2">
        <v>1</v>
      </c>
      <c r="L9873" s="2">
        <v>118</v>
      </c>
    </row>
    <row r="9874" spans="1:12" x14ac:dyDescent="0.25">
      <c r="A9874" s="4" t="str">
        <f>HYPERLINK("http://www.rosaceae.org/Prunus/Prunus_persica/p.persica_gdr_reftransV1_0007237","p.persica_gdr_reftransV1_0007237")</f>
        <v>p.persica_gdr_reftransV1_0007237</v>
      </c>
      <c r="B9874" s="2">
        <v>2070</v>
      </c>
      <c r="C9874" s="4" t="str">
        <f>HYPERLINK("http://www.uniprot.org/uniprot/M5WB91","M5WB91")</f>
        <v>M5WB91</v>
      </c>
      <c r="D9874" s="2" t="s">
        <v>8517</v>
      </c>
      <c r="E9874" s="3">
        <v>0</v>
      </c>
      <c r="F9874" s="2">
        <v>1824</v>
      </c>
      <c r="G9874" s="2">
        <v>100</v>
      </c>
      <c r="H9874" s="2">
        <v>386</v>
      </c>
      <c r="I9874" s="2">
        <v>139</v>
      </c>
      <c r="J9874" s="2">
        <v>1296</v>
      </c>
      <c r="K9874" s="2">
        <v>1</v>
      </c>
      <c r="L9874" s="2">
        <v>386</v>
      </c>
    </row>
    <row r="9875" spans="1:12" x14ac:dyDescent="0.25">
      <c r="A9875" s="4" t="str">
        <f>HYPERLINK("http://www.rosaceae.org/Prunus/Prunus_persica/p.persica_gdr_reftransV1_0007587","p.persica_gdr_reftransV1_0007587")</f>
        <v>p.persica_gdr_reftransV1_0007587</v>
      </c>
      <c r="B9875" s="2">
        <v>1347</v>
      </c>
      <c r="C9875" s="4" t="str">
        <f>HYPERLINK("http://www.uniprot.org/uniprot/M5XRK1","M5XRK1")</f>
        <v>M5XRK1</v>
      </c>
      <c r="D9875" s="2" t="s">
        <v>8518</v>
      </c>
      <c r="E9875" s="3">
        <v>0</v>
      </c>
      <c r="F9875" s="2">
        <v>1525</v>
      </c>
      <c r="G9875" s="2">
        <v>100</v>
      </c>
      <c r="H9875" s="2">
        <v>312</v>
      </c>
      <c r="I9875" s="2">
        <v>317</v>
      </c>
      <c r="J9875" s="2">
        <v>1252</v>
      </c>
      <c r="K9875" s="2">
        <v>1</v>
      </c>
      <c r="L9875" s="2">
        <v>312</v>
      </c>
    </row>
    <row r="9876" spans="1:12" x14ac:dyDescent="0.25">
      <c r="A9876" s="4" t="str">
        <f>HYPERLINK("http://www.rosaceae.org/Prunus/Prunus_persica/p.persica_gdr_reftransV1_0007937","p.persica_gdr_reftransV1_0007937")</f>
        <v>p.persica_gdr_reftransV1_0007937</v>
      </c>
      <c r="B9876" s="2">
        <v>2984</v>
      </c>
      <c r="C9876" s="4" t="str">
        <f>HYPERLINK("http://www.uniprot.org/uniprot/M5XGM7","M5XGM7")</f>
        <v>M5XGM7</v>
      </c>
      <c r="D9876" s="2" t="s">
        <v>8519</v>
      </c>
      <c r="E9876" s="3">
        <v>0</v>
      </c>
      <c r="F9876" s="2">
        <v>3256</v>
      </c>
      <c r="G9876" s="2">
        <v>100</v>
      </c>
      <c r="H9876" s="2">
        <v>717</v>
      </c>
      <c r="I9876" s="2">
        <v>413</v>
      </c>
      <c r="J9876" s="2">
        <v>2563</v>
      </c>
      <c r="K9876" s="2">
        <v>1</v>
      </c>
      <c r="L9876" s="2">
        <v>717</v>
      </c>
    </row>
    <row r="9877" spans="1:12" x14ac:dyDescent="0.25">
      <c r="A9877" s="4" t="str">
        <f>HYPERLINK("http://www.rosaceae.org/Prunus/Prunus_persica/p.persica_gdr_reftransV1_0008637","p.persica_gdr_reftransV1_0008637")</f>
        <v>p.persica_gdr_reftransV1_0008637</v>
      </c>
      <c r="B9877" s="2">
        <v>610</v>
      </c>
      <c r="C9877" s="4" t="str">
        <f>HYPERLINK("http://www.uniprot.org/uniprot/M5VXA4","M5VXA4")</f>
        <v>M5VXA4</v>
      </c>
      <c r="D9877" s="2" t="s">
        <v>2554</v>
      </c>
      <c r="E9877" s="3">
        <v>3.0699999999999998E-106</v>
      </c>
      <c r="F9877" s="2">
        <v>821</v>
      </c>
      <c r="G9877" s="2">
        <v>100</v>
      </c>
      <c r="H9877" s="2">
        <v>156</v>
      </c>
      <c r="I9877" s="2">
        <v>72</v>
      </c>
      <c r="J9877" s="2">
        <v>539</v>
      </c>
      <c r="K9877" s="2">
        <v>1</v>
      </c>
      <c r="L9877" s="2">
        <v>156</v>
      </c>
    </row>
    <row r="9878" spans="1:12" x14ac:dyDescent="0.25">
      <c r="A9878" s="4" t="str">
        <f>HYPERLINK("http://www.rosaceae.org/Prunus/Prunus_persica/p.persica_gdr_reftransV1_0008987","p.persica_gdr_reftransV1_0008987")</f>
        <v>p.persica_gdr_reftransV1_0008987</v>
      </c>
      <c r="B9878" s="2">
        <v>1391</v>
      </c>
      <c r="C9878" s="4" t="str">
        <f>HYPERLINK("http://www.uniprot.org/uniprot/M5VKL0","M5VKL0")</f>
        <v>M5VKL0</v>
      </c>
      <c r="D9878" s="2" t="s">
        <v>8520</v>
      </c>
      <c r="E9878" s="3">
        <v>1.06E-130</v>
      </c>
      <c r="F9878" s="2">
        <v>1007</v>
      </c>
      <c r="G9878" s="2">
        <v>100</v>
      </c>
      <c r="H9878" s="2">
        <v>187</v>
      </c>
      <c r="I9878" s="2">
        <v>228</v>
      </c>
      <c r="J9878" s="2">
        <v>788</v>
      </c>
      <c r="K9878" s="2">
        <v>1</v>
      </c>
      <c r="L9878" s="2">
        <v>187</v>
      </c>
    </row>
    <row r="9879" spans="1:12" x14ac:dyDescent="0.25">
      <c r="A9879" s="4" t="str">
        <f>HYPERLINK("http://www.rosaceae.org/Prunus/Prunus_persica/p.persica_gdr_reftransV1_0009687","p.persica_gdr_reftransV1_0009687")</f>
        <v>p.persica_gdr_reftransV1_0009687</v>
      </c>
      <c r="B9879" s="2">
        <v>2130</v>
      </c>
      <c r="C9879" s="4" t="str">
        <f>HYPERLINK("http://www.uniprot.org/uniprot/M5XRI5","M5XRI5")</f>
        <v>M5XRI5</v>
      </c>
      <c r="D9879" s="2" t="s">
        <v>8521</v>
      </c>
      <c r="E9879" s="3">
        <v>0</v>
      </c>
      <c r="F9879" s="2">
        <v>1825</v>
      </c>
      <c r="G9879" s="2">
        <v>100</v>
      </c>
      <c r="H9879" s="2">
        <v>396</v>
      </c>
      <c r="I9879" s="2">
        <v>439</v>
      </c>
      <c r="J9879" s="2">
        <v>1626</v>
      </c>
      <c r="K9879" s="2">
        <v>1</v>
      </c>
      <c r="L9879" s="2">
        <v>396</v>
      </c>
    </row>
    <row r="9880" spans="1:12" x14ac:dyDescent="0.25">
      <c r="A9880" s="4" t="str">
        <f>HYPERLINK("http://www.rosaceae.org/Prunus/Prunus_persica/p.persica_gdr_reftransV1_0010037","p.persica_gdr_reftransV1_0010037")</f>
        <v>p.persica_gdr_reftransV1_0010037</v>
      </c>
      <c r="B9880" s="2">
        <v>2148</v>
      </c>
      <c r="C9880" s="4" t="str">
        <f>HYPERLINK("http://www.uniprot.org/uniprot/M5VZ70","M5VZ70")</f>
        <v>M5VZ70</v>
      </c>
      <c r="D9880" s="2" t="s">
        <v>8522</v>
      </c>
      <c r="E9880" s="3">
        <v>0</v>
      </c>
      <c r="F9880" s="2">
        <v>1983</v>
      </c>
      <c r="G9880" s="2">
        <v>100</v>
      </c>
      <c r="H9880" s="2">
        <v>440</v>
      </c>
      <c r="I9880" s="2">
        <v>603</v>
      </c>
      <c r="J9880" s="2">
        <v>1922</v>
      </c>
      <c r="K9880" s="2">
        <v>1</v>
      </c>
      <c r="L9880" s="2">
        <v>440</v>
      </c>
    </row>
    <row r="9881" spans="1:12" x14ac:dyDescent="0.25">
      <c r="A9881" s="4" t="str">
        <f>HYPERLINK("http://www.rosaceae.org/Prunus/Prunus_persica/p.persica_gdr_reftransV1_0010387","p.persica_gdr_reftransV1_0010387")</f>
        <v>p.persica_gdr_reftransV1_0010387</v>
      </c>
      <c r="B9881" s="2">
        <v>1987</v>
      </c>
      <c r="C9881" s="4" t="str">
        <f>HYPERLINK("http://www.uniprot.org/uniprot/M5XBX5","M5XBX5")</f>
        <v>M5XBX5</v>
      </c>
      <c r="D9881" s="2" t="s">
        <v>8523</v>
      </c>
      <c r="E9881" s="3">
        <v>0</v>
      </c>
      <c r="F9881" s="2">
        <v>2310</v>
      </c>
      <c r="G9881" s="2">
        <v>100</v>
      </c>
      <c r="H9881" s="2">
        <v>445</v>
      </c>
      <c r="I9881" s="2">
        <v>277</v>
      </c>
      <c r="J9881" s="2">
        <v>1611</v>
      </c>
      <c r="K9881" s="2">
        <v>1</v>
      </c>
      <c r="L9881" s="2">
        <v>445</v>
      </c>
    </row>
    <row r="9882" spans="1:12" x14ac:dyDescent="0.25">
      <c r="A9882" s="4" t="str">
        <f>HYPERLINK("http://www.rosaceae.org/Prunus/Prunus_persica/p.persica_gdr_reftransV1_0011087","p.persica_gdr_reftransV1_0011087")</f>
        <v>p.persica_gdr_reftransV1_0011087</v>
      </c>
      <c r="B9882" s="2">
        <v>2218</v>
      </c>
      <c r="C9882" s="4" t="str">
        <f>HYPERLINK("http://www.uniprot.org/uniprot/M5VKT4","M5VKT4")</f>
        <v>M5VKT4</v>
      </c>
      <c r="D9882" s="2" t="s">
        <v>8524</v>
      </c>
      <c r="E9882" s="3">
        <v>1.8100000000000001E-95</v>
      </c>
      <c r="F9882" s="2">
        <v>784</v>
      </c>
      <c r="G9882" s="2">
        <v>100</v>
      </c>
      <c r="H9882" s="2">
        <v>200</v>
      </c>
      <c r="I9882" s="2">
        <v>1479</v>
      </c>
      <c r="J9882" s="2">
        <v>2078</v>
      </c>
      <c r="K9882" s="2">
        <v>1</v>
      </c>
      <c r="L9882" s="2">
        <v>200</v>
      </c>
    </row>
    <row r="9883" spans="1:12" x14ac:dyDescent="0.25">
      <c r="A9883" s="4" t="str">
        <f>HYPERLINK("http://www.rosaceae.org/Prunus/Prunus_persica/p.persica_gdr_reftransV1_0011437","p.persica_gdr_reftransV1_0011437")</f>
        <v>p.persica_gdr_reftransV1_0011437</v>
      </c>
      <c r="B9883" s="2">
        <v>512</v>
      </c>
      <c r="C9883" s="4" t="str">
        <f>HYPERLINK("http://www.uniprot.org/uniprot/M5Y2G7","M5Y2G7")</f>
        <v>M5Y2G7</v>
      </c>
      <c r="D9883" s="2" t="s">
        <v>8525</v>
      </c>
      <c r="E9883" s="3">
        <v>7.4800000000000001E-117</v>
      </c>
      <c r="F9883" s="2">
        <v>882</v>
      </c>
      <c r="G9883" s="2">
        <v>100</v>
      </c>
      <c r="H9883" s="2">
        <v>168</v>
      </c>
      <c r="I9883" s="2">
        <v>8</v>
      </c>
      <c r="J9883" s="2">
        <v>511</v>
      </c>
      <c r="K9883" s="2">
        <v>1</v>
      </c>
      <c r="L9883" s="2">
        <v>168</v>
      </c>
    </row>
    <row r="9884" spans="1:12" x14ac:dyDescent="0.25">
      <c r="A9884" s="4" t="str">
        <f>HYPERLINK("http://www.rosaceae.org/Prunus/Prunus_persica/p.persica_gdr_reftransV1_0011787","p.persica_gdr_reftransV1_0011787")</f>
        <v>p.persica_gdr_reftransV1_0011787</v>
      </c>
      <c r="B9884" s="2">
        <v>1461</v>
      </c>
      <c r="C9884" s="4" t="str">
        <f>HYPERLINK("http://www.uniprot.org/uniprot/M5WD00","M5WD00")</f>
        <v>M5WD00</v>
      </c>
      <c r="D9884" s="2" t="s">
        <v>8526</v>
      </c>
      <c r="E9884" s="3">
        <v>0</v>
      </c>
      <c r="F9884" s="2">
        <v>2117</v>
      </c>
      <c r="G9884" s="2">
        <v>92</v>
      </c>
      <c r="H9884" s="2">
        <v>475</v>
      </c>
      <c r="I9884" s="2">
        <v>1</v>
      </c>
      <c r="J9884" s="2">
        <v>1350</v>
      </c>
      <c r="K9884" s="2">
        <v>1</v>
      </c>
      <c r="L9884" s="2">
        <v>464</v>
      </c>
    </row>
    <row r="9885" spans="1:12" x14ac:dyDescent="0.25">
      <c r="A9885" s="4" t="str">
        <f>HYPERLINK("http://www.rosaceae.org/Prunus/Prunus_persica/p.persica_gdr_reftransV1_0012487","p.persica_gdr_reftransV1_0012487")</f>
        <v>p.persica_gdr_reftransV1_0012487</v>
      </c>
      <c r="B9885" s="2">
        <v>4041</v>
      </c>
      <c r="C9885" s="4" t="str">
        <f>HYPERLINK("http://www.uniprot.org/uniprot/M5X6G1","M5X6G1")</f>
        <v>M5X6G1</v>
      </c>
      <c r="D9885" s="2" t="s">
        <v>8527</v>
      </c>
      <c r="E9885" s="3">
        <v>0</v>
      </c>
      <c r="F9885" s="2">
        <v>4431</v>
      </c>
      <c r="G9885" s="2">
        <v>100</v>
      </c>
      <c r="H9885" s="2">
        <v>1011</v>
      </c>
      <c r="I9885" s="2">
        <v>555</v>
      </c>
      <c r="J9885" s="2">
        <v>3587</v>
      </c>
      <c r="K9885" s="2">
        <v>1</v>
      </c>
      <c r="L9885" s="2">
        <v>1011</v>
      </c>
    </row>
    <row r="9886" spans="1:12" x14ac:dyDescent="0.25">
      <c r="A9886" s="4" t="str">
        <f>HYPERLINK("http://www.rosaceae.org/Prunus/Prunus_persica/p.persica_gdr_reftransV1_0013537","p.persica_gdr_reftransV1_0013537")</f>
        <v>p.persica_gdr_reftransV1_0013537</v>
      </c>
      <c r="B9886" s="2">
        <v>2107</v>
      </c>
      <c r="C9886" s="4" t="str">
        <f>HYPERLINK("http://www.uniprot.org/uniprot/M5WLR5","M5WLR5")</f>
        <v>M5WLR5</v>
      </c>
      <c r="D9886" s="2" t="s">
        <v>8528</v>
      </c>
      <c r="E9886" s="3">
        <v>2.4700000000000002E-155</v>
      </c>
      <c r="F9886" s="2">
        <v>1193</v>
      </c>
      <c r="G9886" s="2">
        <v>100</v>
      </c>
      <c r="H9886" s="2">
        <v>309</v>
      </c>
      <c r="I9886" s="2">
        <v>825</v>
      </c>
      <c r="J9886" s="2">
        <v>1751</v>
      </c>
      <c r="K9886" s="2">
        <v>1</v>
      </c>
      <c r="L9886" s="2">
        <v>309</v>
      </c>
    </row>
    <row r="9887" spans="1:12" x14ac:dyDescent="0.25">
      <c r="A9887" s="4" t="str">
        <f>HYPERLINK("http://www.rosaceae.org/Prunus/Prunus_persica/p.persica_gdr_reftransV1_0013887","p.persica_gdr_reftransV1_0013887")</f>
        <v>p.persica_gdr_reftransV1_0013887</v>
      </c>
      <c r="B9887" s="2">
        <v>555</v>
      </c>
      <c r="C9887" s="4" t="str">
        <f>HYPERLINK("http://www.uniprot.org/uniprot/M5WQ07","M5WQ07")</f>
        <v>M5WQ07</v>
      </c>
      <c r="D9887" s="2" t="s">
        <v>8529</v>
      </c>
      <c r="E9887" s="3">
        <v>3.4100000000000001E-65</v>
      </c>
      <c r="F9887" s="2">
        <v>548</v>
      </c>
      <c r="G9887" s="2">
        <v>100</v>
      </c>
      <c r="H9887" s="2">
        <v>108</v>
      </c>
      <c r="I9887" s="2">
        <v>230</v>
      </c>
      <c r="J9887" s="2">
        <v>553</v>
      </c>
      <c r="K9887" s="2">
        <v>254</v>
      </c>
      <c r="L9887" s="2">
        <v>361</v>
      </c>
    </row>
    <row r="9888" spans="1:12" x14ac:dyDescent="0.25">
      <c r="A9888" s="4" t="str">
        <f>HYPERLINK("http://www.rosaceae.org/Prunus/Prunus_persica/p.persica_gdr_reftransV1_0014937","p.persica_gdr_reftransV1_0014937")</f>
        <v>p.persica_gdr_reftransV1_0014937</v>
      </c>
      <c r="B9888" s="2">
        <v>719</v>
      </c>
      <c r="C9888" s="4" t="str">
        <f>HYPERLINK("http://www.uniprot.org/uniprot/M5XC95","M5XC95")</f>
        <v>M5XC95</v>
      </c>
      <c r="D9888" s="2" t="s">
        <v>5470</v>
      </c>
      <c r="E9888" s="3">
        <v>1.32E-52</v>
      </c>
      <c r="F9888" s="2">
        <v>467</v>
      </c>
      <c r="G9888" s="2">
        <v>100</v>
      </c>
      <c r="H9888" s="2">
        <v>88</v>
      </c>
      <c r="I9888" s="2">
        <v>2</v>
      </c>
      <c r="J9888" s="2">
        <v>265</v>
      </c>
      <c r="K9888" s="2">
        <v>230</v>
      </c>
      <c r="L9888" s="2">
        <v>317</v>
      </c>
    </row>
    <row r="9889" spans="1:12" x14ac:dyDescent="0.25">
      <c r="A9889" s="4" t="str">
        <f>HYPERLINK("http://www.rosaceae.org/Prunus/Prunus_persica/p.persica_gdr_reftransV1_0017387","p.persica_gdr_reftransV1_0017387")</f>
        <v>p.persica_gdr_reftransV1_0017387</v>
      </c>
      <c r="B9889" s="2">
        <v>1620</v>
      </c>
      <c r="C9889" s="4" t="str">
        <f>HYPERLINK("http://www.uniprot.org/uniprot/M5WBC6","M5WBC6")</f>
        <v>M5WBC6</v>
      </c>
      <c r="D9889" s="2" t="s">
        <v>8530</v>
      </c>
      <c r="E9889" s="3">
        <v>0</v>
      </c>
      <c r="F9889" s="2">
        <v>1394</v>
      </c>
      <c r="G9889" s="2">
        <v>100</v>
      </c>
      <c r="H9889" s="2">
        <v>297</v>
      </c>
      <c r="I9889" s="2">
        <v>207</v>
      </c>
      <c r="J9889" s="2">
        <v>1097</v>
      </c>
      <c r="K9889" s="2">
        <v>1</v>
      </c>
      <c r="L9889" s="2">
        <v>297</v>
      </c>
    </row>
    <row r="9890" spans="1:12" x14ac:dyDescent="0.25">
      <c r="A9890" s="4" t="str">
        <f>HYPERLINK("http://www.rosaceae.org/Prunus/Prunus_persica/p.persica_gdr_reftransV1_0019137","p.persica_gdr_reftransV1_0019137")</f>
        <v>p.persica_gdr_reftransV1_0019137</v>
      </c>
      <c r="B9890" s="2">
        <v>1340</v>
      </c>
      <c r="C9890" s="4" t="str">
        <f>HYPERLINK("http://www.uniprot.org/uniprot/M5WBS6","M5WBS6")</f>
        <v>M5WBS6</v>
      </c>
      <c r="D9890" s="2" t="s">
        <v>8531</v>
      </c>
      <c r="E9890" s="3">
        <v>0</v>
      </c>
      <c r="F9890" s="2">
        <v>1783</v>
      </c>
      <c r="G9890" s="2">
        <v>100</v>
      </c>
      <c r="H9890" s="2">
        <v>330</v>
      </c>
      <c r="I9890" s="2">
        <v>224</v>
      </c>
      <c r="J9890" s="2">
        <v>1213</v>
      </c>
      <c r="K9890" s="2">
        <v>1</v>
      </c>
      <c r="L9890" s="2">
        <v>330</v>
      </c>
    </row>
    <row r="9891" spans="1:12" x14ac:dyDescent="0.25">
      <c r="A9891" s="4" t="str">
        <f>HYPERLINK("http://www.rosaceae.org/Prunus/Prunus_persica/p.persica_gdr_reftransV1_0021237","p.persica_gdr_reftransV1_0021237")</f>
        <v>p.persica_gdr_reftransV1_0021237</v>
      </c>
      <c r="B9891" s="2">
        <v>1082</v>
      </c>
      <c r="C9891" s="4" t="str">
        <f>HYPERLINK("http://www.uniprot.org/uniprot/M5XZ38","M5XZ38")</f>
        <v>M5XZ38</v>
      </c>
      <c r="D9891" s="2" t="s">
        <v>8532</v>
      </c>
      <c r="E9891" s="3">
        <v>3.7700000000000002E-98</v>
      </c>
      <c r="F9891" s="2">
        <v>767</v>
      </c>
      <c r="G9891" s="2">
        <v>100</v>
      </c>
      <c r="H9891" s="2">
        <v>160</v>
      </c>
      <c r="I9891" s="2">
        <v>275</v>
      </c>
      <c r="J9891" s="2">
        <v>754</v>
      </c>
      <c r="K9891" s="2">
        <v>1</v>
      </c>
      <c r="L9891" s="2">
        <v>160</v>
      </c>
    </row>
    <row r="9892" spans="1:12" x14ac:dyDescent="0.25">
      <c r="A9892" s="4" t="str">
        <f>HYPERLINK("http://www.rosaceae.org/Prunus/Prunus_persica/p.persica_gdr_reftransV1_0021587","p.persica_gdr_reftransV1_0021587")</f>
        <v>p.persica_gdr_reftransV1_0021587</v>
      </c>
      <c r="B9892" s="2">
        <v>759</v>
      </c>
      <c r="C9892" s="4" t="str">
        <f>HYPERLINK("http://www.uniprot.org/uniprot/M5WDX2","M5WDX2")</f>
        <v>M5WDX2</v>
      </c>
      <c r="D9892" s="2" t="s">
        <v>8533</v>
      </c>
      <c r="E9892" s="3">
        <v>6.8500000000000006E-30</v>
      </c>
      <c r="F9892" s="2">
        <v>319</v>
      </c>
      <c r="G9892" s="2">
        <v>100</v>
      </c>
      <c r="H9892" s="2">
        <v>56</v>
      </c>
      <c r="I9892" s="2">
        <v>1</v>
      </c>
      <c r="J9892" s="2">
        <v>168</v>
      </c>
      <c r="K9892" s="2">
        <v>598</v>
      </c>
      <c r="L9892" s="2">
        <v>653</v>
      </c>
    </row>
    <row r="9893" spans="1:12" x14ac:dyDescent="0.25">
      <c r="A9893" s="4" t="str">
        <f>HYPERLINK("http://www.rosaceae.org/Prunus/Prunus_persica/p.persica_gdr_reftransV1_0024037","p.persica_gdr_reftransV1_0024037")</f>
        <v>p.persica_gdr_reftransV1_0024037</v>
      </c>
      <c r="B9893" s="2">
        <v>2478</v>
      </c>
      <c r="C9893" s="4" t="str">
        <f>HYPERLINK("http://www.uniprot.org/uniprot/M5VTG1","M5VTG1")</f>
        <v>M5VTG1</v>
      </c>
      <c r="D9893" s="2" t="s">
        <v>8534</v>
      </c>
      <c r="E9893" s="3">
        <v>0</v>
      </c>
      <c r="F9893" s="2">
        <v>1413</v>
      </c>
      <c r="G9893" s="2">
        <v>100</v>
      </c>
      <c r="H9893" s="2">
        <v>344</v>
      </c>
      <c r="I9893" s="2">
        <v>1144</v>
      </c>
      <c r="J9893" s="2">
        <v>2175</v>
      </c>
      <c r="K9893" s="2">
        <v>1</v>
      </c>
      <c r="L9893" s="2">
        <v>344</v>
      </c>
    </row>
    <row r="9894" spans="1:12" x14ac:dyDescent="0.25">
      <c r="A9894" s="4" t="str">
        <f>HYPERLINK("http://www.rosaceae.org/Prunus/Prunus_persica/p.persica_gdr_reftransV1_0024387","p.persica_gdr_reftransV1_0024387")</f>
        <v>p.persica_gdr_reftransV1_0024387</v>
      </c>
      <c r="B9894" s="2">
        <v>2104</v>
      </c>
      <c r="C9894" s="4" t="str">
        <f>HYPERLINK("http://www.uniprot.org/uniprot/M5WSP1","M5WSP1")</f>
        <v>M5WSP1</v>
      </c>
      <c r="D9894" s="2" t="s">
        <v>8535</v>
      </c>
      <c r="E9894" s="3">
        <v>2.3799999999999998E-128</v>
      </c>
      <c r="F9894" s="2">
        <v>1001</v>
      </c>
      <c r="G9894" s="2">
        <v>100</v>
      </c>
      <c r="H9894" s="2">
        <v>187</v>
      </c>
      <c r="I9894" s="2">
        <v>1225</v>
      </c>
      <c r="J9894" s="2">
        <v>1785</v>
      </c>
      <c r="K9894" s="2">
        <v>1</v>
      </c>
      <c r="L9894" s="2">
        <v>187</v>
      </c>
    </row>
    <row r="9895" spans="1:12" x14ac:dyDescent="0.25">
      <c r="A9895" s="4" t="str">
        <f>HYPERLINK("http://www.rosaceae.org/Prunus/Prunus_persica/p.persica_gdr_reftransV1_0025087","p.persica_gdr_reftransV1_0025087")</f>
        <v>p.persica_gdr_reftransV1_0025087</v>
      </c>
      <c r="B9895" s="2">
        <v>1320</v>
      </c>
      <c r="C9895" s="4" t="str">
        <f>HYPERLINK("http://www.uniprot.org/uniprot/M5VHL7","M5VHL7")</f>
        <v>M5VHL7</v>
      </c>
      <c r="D9895" s="2" t="s">
        <v>8536</v>
      </c>
      <c r="E9895" s="3">
        <v>1.13E-61</v>
      </c>
      <c r="F9895" s="2">
        <v>536</v>
      </c>
      <c r="G9895" s="2">
        <v>99</v>
      </c>
      <c r="H9895" s="2">
        <v>164</v>
      </c>
      <c r="I9895" s="2">
        <v>595</v>
      </c>
      <c r="J9895" s="2">
        <v>1086</v>
      </c>
      <c r="K9895" s="2">
        <v>63</v>
      </c>
      <c r="L9895" s="2">
        <v>226</v>
      </c>
    </row>
    <row r="9896" spans="1:12" x14ac:dyDescent="0.25">
      <c r="A9896" s="4" t="str">
        <f>HYPERLINK("http://www.rosaceae.org/Prunus/Prunus_persica/p.persica_gdr_reftransV1_0025437","p.persica_gdr_reftransV1_0025437")</f>
        <v>p.persica_gdr_reftransV1_0025437</v>
      </c>
      <c r="B9896" s="2">
        <v>3132</v>
      </c>
      <c r="C9896" s="4" t="str">
        <f>HYPERLINK("http://www.uniprot.org/uniprot/M5XL53","M5XL53")</f>
        <v>M5XL53</v>
      </c>
      <c r="D9896" s="2" t="s">
        <v>8537</v>
      </c>
      <c r="E9896" s="3">
        <v>0</v>
      </c>
      <c r="F9896" s="2">
        <v>2992</v>
      </c>
      <c r="G9896" s="2">
        <v>100</v>
      </c>
      <c r="H9896" s="2">
        <v>592</v>
      </c>
      <c r="I9896" s="2">
        <v>767</v>
      </c>
      <c r="J9896" s="2">
        <v>2542</v>
      </c>
      <c r="K9896" s="2">
        <v>1</v>
      </c>
      <c r="L9896" s="2">
        <v>592</v>
      </c>
    </row>
    <row r="9897" spans="1:12" x14ac:dyDescent="0.25">
      <c r="A9897" s="4" t="str">
        <f>HYPERLINK("http://www.rosaceae.org/Prunus/Prunus_persica/p.persica_gdr_reftransV1_0026137","p.persica_gdr_reftransV1_0026137")</f>
        <v>p.persica_gdr_reftransV1_0026137</v>
      </c>
      <c r="B9897" s="2">
        <v>498</v>
      </c>
      <c r="C9897" s="4" t="str">
        <f>HYPERLINK("http://www.uniprot.org/uniprot/M5VVK6","M5VVK6")</f>
        <v>M5VVK6</v>
      </c>
      <c r="D9897" s="2" t="s">
        <v>2206</v>
      </c>
      <c r="E9897" s="3">
        <v>2.4800000000000001E-107</v>
      </c>
      <c r="F9897" s="2">
        <v>890</v>
      </c>
      <c r="G9897" s="2">
        <v>100</v>
      </c>
      <c r="H9897" s="2">
        <v>165</v>
      </c>
      <c r="I9897" s="2">
        <v>2</v>
      </c>
      <c r="J9897" s="2">
        <v>496</v>
      </c>
      <c r="K9897" s="2">
        <v>1087</v>
      </c>
      <c r="L9897" s="2">
        <v>1251</v>
      </c>
    </row>
    <row r="9898" spans="1:12" x14ac:dyDescent="0.25">
      <c r="A9898" s="4" t="str">
        <f>HYPERLINK("http://www.rosaceae.org/Prunus/Prunus_persica/p.persica_gdr_reftransV1_0026487","p.persica_gdr_reftransV1_0026487")</f>
        <v>p.persica_gdr_reftransV1_0026487</v>
      </c>
      <c r="B9898" s="2">
        <v>463</v>
      </c>
      <c r="C9898" s="4" t="str">
        <f>HYPERLINK("http://www.uniprot.org/uniprot/M5WKI3","M5WKI3")</f>
        <v>M5WKI3</v>
      </c>
      <c r="D9898" s="2" t="s">
        <v>8175</v>
      </c>
      <c r="E9898" s="3">
        <v>4.0300000000000001E-25</v>
      </c>
      <c r="F9898" s="2">
        <v>268</v>
      </c>
      <c r="G9898" s="2">
        <v>100</v>
      </c>
      <c r="H9898" s="2">
        <v>65</v>
      </c>
      <c r="I9898" s="2">
        <v>203</v>
      </c>
      <c r="J9898" s="2">
        <v>397</v>
      </c>
      <c r="K9898" s="2">
        <v>38</v>
      </c>
      <c r="L9898" s="2">
        <v>102</v>
      </c>
    </row>
    <row r="9899" spans="1:12" x14ac:dyDescent="0.25">
      <c r="A9899" s="4" t="str">
        <f>HYPERLINK("http://www.rosaceae.org/Prunus/Prunus_persica/p.persica_gdr_reftransV1_0026837","p.persica_gdr_reftransV1_0026837")</f>
        <v>p.persica_gdr_reftransV1_0026837</v>
      </c>
      <c r="B9899" s="2">
        <v>2284</v>
      </c>
      <c r="C9899" s="4" t="str">
        <f>HYPERLINK("http://www.uniprot.org/uniprot/M5W6T9","M5W6T9")</f>
        <v>M5W6T9</v>
      </c>
      <c r="D9899" s="2" t="s">
        <v>8538</v>
      </c>
      <c r="E9899" s="3">
        <v>3.7700000000000001E-118</v>
      </c>
      <c r="F9899" s="2">
        <v>946</v>
      </c>
      <c r="G9899" s="2">
        <v>98</v>
      </c>
      <c r="H9899" s="2">
        <v>185</v>
      </c>
      <c r="I9899" s="2">
        <v>1617</v>
      </c>
      <c r="J9899" s="2">
        <v>2171</v>
      </c>
      <c r="K9899" s="2">
        <v>1</v>
      </c>
      <c r="L9899" s="2">
        <v>185</v>
      </c>
    </row>
    <row r="9900" spans="1:12" x14ac:dyDescent="0.25">
      <c r="A9900" s="4" t="str">
        <f>HYPERLINK("http://www.rosaceae.org/Prunus/Prunus_persica/p.persica_gdr_reftransV1_0027887","p.persica_gdr_reftransV1_0027887")</f>
        <v>p.persica_gdr_reftransV1_0027887</v>
      </c>
      <c r="B9900" s="2">
        <v>1834</v>
      </c>
      <c r="C9900" s="4" t="str">
        <f>HYPERLINK("http://www.uniprot.org/uniprot/M5XFE1","M5XFE1")</f>
        <v>M5XFE1</v>
      </c>
      <c r="D9900" s="2" t="s">
        <v>8539</v>
      </c>
      <c r="E9900" s="3">
        <v>0</v>
      </c>
      <c r="F9900" s="2">
        <v>2430</v>
      </c>
      <c r="G9900" s="2">
        <v>100</v>
      </c>
      <c r="H9900" s="2">
        <v>507</v>
      </c>
      <c r="I9900" s="2">
        <v>121</v>
      </c>
      <c r="J9900" s="2">
        <v>1641</v>
      </c>
      <c r="K9900" s="2">
        <v>1</v>
      </c>
      <c r="L9900" s="2">
        <v>507</v>
      </c>
    </row>
    <row r="9901" spans="1:12" x14ac:dyDescent="0.25">
      <c r="A9901" s="4" t="str">
        <f>HYPERLINK("http://www.rosaceae.org/Prunus/Prunus_persica/p.persica_gdr_reftransV1_0028237","p.persica_gdr_reftransV1_0028237")</f>
        <v>p.persica_gdr_reftransV1_0028237</v>
      </c>
      <c r="B9901" s="2">
        <v>1737</v>
      </c>
      <c r="C9901" s="4" t="str">
        <f>HYPERLINK("http://www.uniprot.org/uniprot/M5VJT9","M5VJT9")</f>
        <v>M5VJT9</v>
      </c>
      <c r="D9901" s="2" t="s">
        <v>6789</v>
      </c>
      <c r="E9901" s="3">
        <v>0</v>
      </c>
      <c r="F9901" s="2">
        <v>1650</v>
      </c>
      <c r="G9901" s="2">
        <v>94</v>
      </c>
      <c r="H9901" s="2">
        <v>455</v>
      </c>
      <c r="I9901" s="2">
        <v>157</v>
      </c>
      <c r="J9901" s="2">
        <v>1521</v>
      </c>
      <c r="K9901" s="2">
        <v>1</v>
      </c>
      <c r="L9901" s="2">
        <v>429</v>
      </c>
    </row>
    <row r="9902" spans="1:12" x14ac:dyDescent="0.25">
      <c r="A9902" s="4" t="str">
        <f>HYPERLINK("http://www.rosaceae.org/Prunus/Prunus_persica/p.persica_gdr_reftransV1_0028587","p.persica_gdr_reftransV1_0028587")</f>
        <v>p.persica_gdr_reftransV1_0028587</v>
      </c>
      <c r="B9902" s="2">
        <v>2859</v>
      </c>
      <c r="C9902" s="4" t="str">
        <f>HYPERLINK("http://www.uniprot.org/uniprot/M5WM33","M5WM33")</f>
        <v>M5WM33</v>
      </c>
      <c r="D9902" s="2" t="s">
        <v>1877</v>
      </c>
      <c r="E9902" s="3">
        <v>0</v>
      </c>
      <c r="F9902" s="2">
        <v>3022</v>
      </c>
      <c r="G9902" s="2">
        <v>100</v>
      </c>
      <c r="H9902" s="2">
        <v>661</v>
      </c>
      <c r="I9902" s="2">
        <v>877</v>
      </c>
      <c r="J9902" s="2">
        <v>2859</v>
      </c>
      <c r="K9902" s="2">
        <v>20</v>
      </c>
      <c r="L9902" s="2">
        <v>680</v>
      </c>
    </row>
    <row r="9903" spans="1:12" x14ac:dyDescent="0.25">
      <c r="A9903" s="4" t="str">
        <f>HYPERLINK("http://www.rosaceae.org/Prunus/Prunus_persica/p.persica_gdr_reftransV1_0029287","p.persica_gdr_reftransV1_0029287")</f>
        <v>p.persica_gdr_reftransV1_0029287</v>
      </c>
      <c r="B9903" s="2">
        <v>3823</v>
      </c>
      <c r="C9903" s="4" t="str">
        <f>HYPERLINK("http://www.uniprot.org/uniprot/M5W6F8","M5W6F8")</f>
        <v>M5W6F8</v>
      </c>
      <c r="D9903" s="2" t="s">
        <v>7368</v>
      </c>
      <c r="E9903" s="3">
        <v>0</v>
      </c>
      <c r="F9903" s="2">
        <v>3059</v>
      </c>
      <c r="G9903" s="2">
        <v>97</v>
      </c>
      <c r="H9903" s="2">
        <v>771</v>
      </c>
      <c r="I9903" s="2">
        <v>341</v>
      </c>
      <c r="J9903" s="2">
        <v>2653</v>
      </c>
      <c r="K9903" s="2">
        <v>1</v>
      </c>
      <c r="L9903" s="2">
        <v>749</v>
      </c>
    </row>
    <row r="9904" spans="1:12" x14ac:dyDescent="0.25">
      <c r="A9904" s="4" t="str">
        <f>HYPERLINK("http://www.rosaceae.org/Prunus/Prunus_persica/p.persica_gdr_reftransV1_0029987","p.persica_gdr_reftransV1_0029987")</f>
        <v>p.persica_gdr_reftransV1_0029987</v>
      </c>
      <c r="B9904" s="2">
        <v>548</v>
      </c>
      <c r="C9904" s="4" t="str">
        <f>HYPERLINK("http://www.uniprot.org/uniprot/M5WM50","M5WM50")</f>
        <v>M5WM50</v>
      </c>
      <c r="D9904" s="2" t="s">
        <v>849</v>
      </c>
      <c r="E9904" s="3">
        <v>1.18E-24</v>
      </c>
      <c r="F9904" s="2">
        <v>277</v>
      </c>
      <c r="G9904" s="2">
        <v>100</v>
      </c>
      <c r="H9904" s="2">
        <v>122</v>
      </c>
      <c r="I9904" s="2">
        <v>2</v>
      </c>
      <c r="J9904" s="2">
        <v>367</v>
      </c>
      <c r="K9904" s="2">
        <v>1</v>
      </c>
      <c r="L9904" s="2">
        <v>122</v>
      </c>
    </row>
    <row r="9905" spans="1:12" x14ac:dyDescent="0.25">
      <c r="A9905" s="4" t="str">
        <f>HYPERLINK("http://www.rosaceae.org/Prunus/Prunus_persica/p.persica_gdr_reftransV1_0032087","p.persica_gdr_reftransV1_0032087")</f>
        <v>p.persica_gdr_reftransV1_0032087</v>
      </c>
      <c r="B9905" s="2">
        <v>2078</v>
      </c>
      <c r="C9905" s="4" t="str">
        <f>HYPERLINK("http://www.uniprot.org/uniprot/M5X458","M5X458")</f>
        <v>M5X458</v>
      </c>
      <c r="D9905" s="2" t="s">
        <v>8540</v>
      </c>
      <c r="E9905" s="3">
        <v>0</v>
      </c>
      <c r="F9905" s="2">
        <v>2942</v>
      </c>
      <c r="G9905" s="2">
        <v>100</v>
      </c>
      <c r="H9905" s="2">
        <v>579</v>
      </c>
      <c r="I9905" s="2">
        <v>3</v>
      </c>
      <c r="J9905" s="2">
        <v>1739</v>
      </c>
      <c r="K9905" s="2">
        <v>351</v>
      </c>
      <c r="L9905" s="2">
        <v>929</v>
      </c>
    </row>
    <row r="9906" spans="1:12" x14ac:dyDescent="0.25">
      <c r="A9906" s="4" t="str">
        <f>HYPERLINK("http://www.rosaceae.org/Prunus/Prunus_persica/p.persica_gdr_reftransV1_0034537","p.persica_gdr_reftransV1_0034537")</f>
        <v>p.persica_gdr_reftransV1_0034537</v>
      </c>
      <c r="B9906" s="2">
        <v>4095</v>
      </c>
      <c r="C9906" s="4" t="str">
        <f>HYPERLINK("http://www.uniprot.org/uniprot/M5W1Z9","M5W1Z9")</f>
        <v>M5W1Z9</v>
      </c>
      <c r="D9906" s="2" t="s">
        <v>3891</v>
      </c>
      <c r="E9906" s="3">
        <v>0</v>
      </c>
      <c r="F9906" s="2">
        <v>1803</v>
      </c>
      <c r="G9906" s="2">
        <v>100</v>
      </c>
      <c r="H9906" s="2">
        <v>368</v>
      </c>
      <c r="I9906" s="2">
        <v>2553</v>
      </c>
      <c r="J9906" s="2">
        <v>3656</v>
      </c>
      <c r="K9906" s="2">
        <v>22</v>
      </c>
      <c r="L9906" s="2">
        <v>389</v>
      </c>
    </row>
    <row r="9907" spans="1:12" x14ac:dyDescent="0.25">
      <c r="A9907" s="4" t="str">
        <f>HYPERLINK("http://www.rosaceae.org/Prunus/Prunus_persica/p.persica_gdr_reftransV1_0038037","p.persica_gdr_reftransV1_0038037")</f>
        <v>p.persica_gdr_reftransV1_0038037</v>
      </c>
      <c r="B9907" s="2">
        <v>2012</v>
      </c>
      <c r="C9907" s="4" t="str">
        <f>HYPERLINK("http://www.uniprot.org/uniprot/M5W8M7","M5W8M7")</f>
        <v>M5W8M7</v>
      </c>
      <c r="D9907" s="2" t="s">
        <v>8541</v>
      </c>
      <c r="E9907" s="3">
        <v>0</v>
      </c>
      <c r="F9907" s="2">
        <v>2257</v>
      </c>
      <c r="G9907" s="2">
        <v>99</v>
      </c>
      <c r="H9907" s="2">
        <v>497</v>
      </c>
      <c r="I9907" s="2">
        <v>374</v>
      </c>
      <c r="J9907" s="2">
        <v>1864</v>
      </c>
      <c r="K9907" s="2">
        <v>1</v>
      </c>
      <c r="L9907" s="2">
        <v>494</v>
      </c>
    </row>
    <row r="9908" spans="1:12" x14ac:dyDescent="0.25">
      <c r="A9908" s="4" t="str">
        <f>HYPERLINK("http://www.rosaceae.org/Prunus/Prunus_persica/p.persica_gdr_reftransV1_0038387","p.persica_gdr_reftransV1_0038387")</f>
        <v>p.persica_gdr_reftransV1_0038387</v>
      </c>
      <c r="B9908" s="2">
        <v>1380</v>
      </c>
      <c r="C9908" s="4" t="str">
        <f>HYPERLINK("http://www.uniprot.org/uniprot/M5XB81","M5XB81")</f>
        <v>M5XB81</v>
      </c>
      <c r="D9908" s="2" t="s">
        <v>8542</v>
      </c>
      <c r="E9908" s="3">
        <v>0</v>
      </c>
      <c r="F9908" s="2">
        <v>1479</v>
      </c>
      <c r="G9908" s="2">
        <v>100</v>
      </c>
      <c r="H9908" s="2">
        <v>279</v>
      </c>
      <c r="I9908" s="2">
        <v>345</v>
      </c>
      <c r="J9908" s="2">
        <v>1181</v>
      </c>
      <c r="K9908" s="2">
        <v>1</v>
      </c>
      <c r="L9908" s="2">
        <v>279</v>
      </c>
    </row>
    <row r="9909" spans="1:12" x14ac:dyDescent="0.25">
      <c r="A9909" s="4" t="str">
        <f>HYPERLINK("http://www.rosaceae.org/Prunus/Prunus_persica/p.persica_gdr_reftransV1_0039787","p.persica_gdr_reftransV1_0039787")</f>
        <v>p.persica_gdr_reftransV1_0039787</v>
      </c>
      <c r="B9909" s="2">
        <v>2120</v>
      </c>
      <c r="C9909" s="4" t="str">
        <f>HYPERLINK("http://www.uniprot.org/uniprot/M5XQV6","M5XQV6")</f>
        <v>M5XQV6</v>
      </c>
      <c r="D9909" s="2" t="s">
        <v>8543</v>
      </c>
      <c r="E9909" s="3">
        <v>7.5099999999999999E-150</v>
      </c>
      <c r="F9909" s="2">
        <v>1153</v>
      </c>
      <c r="G9909" s="2">
        <v>84</v>
      </c>
      <c r="H9909" s="2">
        <v>265</v>
      </c>
      <c r="I9909" s="2">
        <v>227</v>
      </c>
      <c r="J9909" s="2">
        <v>1021</v>
      </c>
      <c r="K9909" s="2">
        <v>1</v>
      </c>
      <c r="L9909" s="2">
        <v>223</v>
      </c>
    </row>
    <row r="9910" spans="1:12" x14ac:dyDescent="0.25">
      <c r="A9910" s="4" t="str">
        <f>HYPERLINK("http://www.rosaceae.org/Prunus/Prunus_persica/p.persica_gdr_reftransV1_0042937","p.persica_gdr_reftransV1_0042937")</f>
        <v>p.persica_gdr_reftransV1_0042937</v>
      </c>
      <c r="B9910" s="2">
        <v>2678</v>
      </c>
      <c r="C9910" s="4" t="str">
        <f>HYPERLINK("http://www.uniprot.org/uniprot/M5X5R6","M5X5R6")</f>
        <v>M5X5R6</v>
      </c>
      <c r="D9910" s="2" t="s">
        <v>8544</v>
      </c>
      <c r="E9910" s="3">
        <v>0</v>
      </c>
      <c r="F9910" s="2">
        <v>2866</v>
      </c>
      <c r="G9910" s="2">
        <v>100</v>
      </c>
      <c r="H9910" s="2">
        <v>546</v>
      </c>
      <c r="I9910" s="2">
        <v>750</v>
      </c>
      <c r="J9910" s="2">
        <v>2387</v>
      </c>
      <c r="K9910" s="2">
        <v>70</v>
      </c>
      <c r="L9910" s="2">
        <v>615</v>
      </c>
    </row>
    <row r="9911" spans="1:12" x14ac:dyDescent="0.25">
      <c r="A9911" s="4" t="str">
        <f>HYPERLINK("http://www.rosaceae.org/Prunus/Prunus_persica/p.persica_gdr_reftransV1_0043287","p.persica_gdr_reftransV1_0043287")</f>
        <v>p.persica_gdr_reftransV1_0043287</v>
      </c>
      <c r="B9911" s="2">
        <v>1171</v>
      </c>
      <c r="C9911" s="4" t="str">
        <f>HYPERLINK("http://www.uniprot.org/uniprot/M5VJ38","M5VJ38")</f>
        <v>M5VJ38</v>
      </c>
      <c r="D9911" s="2" t="s">
        <v>8545</v>
      </c>
      <c r="E9911" s="3">
        <v>2.7299999999999999E-141</v>
      </c>
      <c r="F9911" s="2">
        <v>1079</v>
      </c>
      <c r="G9911" s="2">
        <v>98</v>
      </c>
      <c r="H9911" s="2">
        <v>227</v>
      </c>
      <c r="I9911" s="2">
        <v>476</v>
      </c>
      <c r="J9911" s="2">
        <v>1156</v>
      </c>
      <c r="K9911" s="2">
        <v>174</v>
      </c>
      <c r="L9911" s="2">
        <v>400</v>
      </c>
    </row>
    <row r="9912" spans="1:12" x14ac:dyDescent="0.25">
      <c r="A9912" s="4" t="str">
        <f>HYPERLINK("http://www.rosaceae.org/Prunus/Prunus_persica/p.persica_gdr_reftransV1_0043637","p.persica_gdr_reftransV1_0043637")</f>
        <v>p.persica_gdr_reftransV1_0043637</v>
      </c>
      <c r="B9912" s="2">
        <v>555</v>
      </c>
      <c r="C9912" s="4" t="str">
        <f>HYPERLINK("http://www.uniprot.org/uniprot/M5XJU0","M5XJU0")</f>
        <v>M5XJU0</v>
      </c>
      <c r="D9912" s="2" t="s">
        <v>2137</v>
      </c>
      <c r="E9912" s="3">
        <v>3.4700000000000003E-117</v>
      </c>
      <c r="F9912" s="2">
        <v>954</v>
      </c>
      <c r="G9912" s="2">
        <v>95</v>
      </c>
      <c r="H9912" s="2">
        <v>184</v>
      </c>
      <c r="I9912" s="2">
        <v>3</v>
      </c>
      <c r="J9912" s="2">
        <v>554</v>
      </c>
      <c r="K9912" s="2">
        <v>319</v>
      </c>
      <c r="L9912" s="2">
        <v>502</v>
      </c>
    </row>
    <row r="9913" spans="1:12" x14ac:dyDescent="0.25">
      <c r="A9913" s="4" t="str">
        <f>HYPERLINK("http://www.rosaceae.org/Prunus/Prunus_persica/p.persica_gdr_reftransV1_0043987","p.persica_gdr_reftransV1_0043987")</f>
        <v>p.persica_gdr_reftransV1_0043987</v>
      </c>
      <c r="B9913" s="2">
        <v>999</v>
      </c>
      <c r="C9913" s="4" t="str">
        <f>HYPERLINK("http://www.uniprot.org/uniprot/M5VKL4","M5VKL4")</f>
        <v>M5VKL4</v>
      </c>
      <c r="D9913" s="2" t="s">
        <v>8546</v>
      </c>
      <c r="E9913" s="3">
        <v>3.5700000000000001E-88</v>
      </c>
      <c r="F9913" s="2">
        <v>703</v>
      </c>
      <c r="G9913" s="2">
        <v>100</v>
      </c>
      <c r="H9913" s="2">
        <v>210</v>
      </c>
      <c r="I9913" s="2">
        <v>267</v>
      </c>
      <c r="J9913" s="2">
        <v>896</v>
      </c>
      <c r="K9913" s="2">
        <v>1</v>
      </c>
      <c r="L9913" s="2">
        <v>210</v>
      </c>
    </row>
    <row r="9914" spans="1:12" x14ac:dyDescent="0.25">
      <c r="A9914" s="4" t="str">
        <f>HYPERLINK("http://www.rosaceae.org/Prunus/Prunus_persica/p.persica_gdr_reftransV1_0044337","p.persica_gdr_reftransV1_0044337")</f>
        <v>p.persica_gdr_reftransV1_0044337</v>
      </c>
      <c r="B9914" s="2">
        <v>860</v>
      </c>
      <c r="C9914" s="4" t="str">
        <f>HYPERLINK("http://www.uniprot.org/uniprot/M5W1M5","M5W1M5")</f>
        <v>M5W1M5</v>
      </c>
      <c r="D9914" s="2" t="s">
        <v>694</v>
      </c>
      <c r="E9914" s="3">
        <v>9.4699999999999996E-61</v>
      </c>
      <c r="F9914" s="2">
        <v>511</v>
      </c>
      <c r="G9914" s="2">
        <v>100</v>
      </c>
      <c r="H9914" s="2">
        <v>122</v>
      </c>
      <c r="I9914" s="2">
        <v>154</v>
      </c>
      <c r="J9914" s="2">
        <v>519</v>
      </c>
      <c r="K9914" s="2">
        <v>25</v>
      </c>
      <c r="L9914" s="2">
        <v>146</v>
      </c>
    </row>
    <row r="9915" spans="1:12" x14ac:dyDescent="0.25">
      <c r="A9915" s="4" t="str">
        <f>HYPERLINK("http://www.rosaceae.org/Prunus/Prunus_persica/p.persica_gdr_reftransV1_0044687","p.persica_gdr_reftransV1_0044687")</f>
        <v>p.persica_gdr_reftransV1_0044687</v>
      </c>
      <c r="B9915" s="2">
        <v>324</v>
      </c>
      <c r="C9915" s="4" t="str">
        <f>HYPERLINK("http://www.uniprot.org/uniprot/A0A0F7GYN4","A0A0F7GYN4")</f>
        <v>A0A0F7GYN4</v>
      </c>
      <c r="D9915" s="2" t="s">
        <v>8547</v>
      </c>
      <c r="E9915" s="3">
        <v>1.29E-19</v>
      </c>
      <c r="F9915" s="2">
        <v>223</v>
      </c>
      <c r="G9915" s="2">
        <v>53</v>
      </c>
      <c r="H9915" s="2">
        <v>95</v>
      </c>
      <c r="I9915" s="2">
        <v>52</v>
      </c>
      <c r="J9915" s="2">
        <v>303</v>
      </c>
      <c r="K9915" s="2">
        <v>31</v>
      </c>
      <c r="L9915" s="2">
        <v>125</v>
      </c>
    </row>
    <row r="9916" spans="1:12" x14ac:dyDescent="0.25">
      <c r="A9916" s="4" t="str">
        <f>HYPERLINK("http://www.rosaceae.org/Prunus/Prunus_persica/p.persica_gdr_reftransV1_0045037","p.persica_gdr_reftransV1_0045037")</f>
        <v>p.persica_gdr_reftransV1_0045037</v>
      </c>
      <c r="B9916" s="2">
        <v>858</v>
      </c>
      <c r="C9916" s="4" t="str">
        <f>HYPERLINK("http://www.uniprot.org/uniprot/B9SS95","B9SS95")</f>
        <v>B9SS95</v>
      </c>
      <c r="D9916" s="2" t="s">
        <v>8548</v>
      </c>
      <c r="E9916" s="3">
        <v>1.04E-24</v>
      </c>
      <c r="F9916" s="2">
        <v>274</v>
      </c>
      <c r="G9916" s="2">
        <v>43</v>
      </c>
      <c r="H9916" s="2">
        <v>157</v>
      </c>
      <c r="I9916" s="2">
        <v>397</v>
      </c>
      <c r="J9916" s="2">
        <v>849</v>
      </c>
      <c r="K9916" s="2">
        <v>119</v>
      </c>
      <c r="L9916" s="2">
        <v>273</v>
      </c>
    </row>
    <row r="9917" spans="1:12" x14ac:dyDescent="0.25">
      <c r="A9917" s="4" t="str">
        <f>HYPERLINK("http://www.rosaceae.org/Prunus/Prunus_persica/p.persica_gdr_reftransV1_0045387","p.persica_gdr_reftransV1_0045387")</f>
        <v>p.persica_gdr_reftransV1_0045387</v>
      </c>
      <c r="B9917" s="2">
        <v>430</v>
      </c>
      <c r="C9917" s="4" t="str">
        <f>HYPERLINK("http://www.uniprot.org/uniprot/M5XCU0","M5XCU0")</f>
        <v>M5XCU0</v>
      </c>
      <c r="D9917" s="2" t="s">
        <v>8549</v>
      </c>
      <c r="E9917" s="3">
        <v>4.4999999999999998E-54</v>
      </c>
      <c r="F9917" s="2">
        <v>481</v>
      </c>
      <c r="G9917" s="2">
        <v>100</v>
      </c>
      <c r="H9917" s="2">
        <v>90</v>
      </c>
      <c r="I9917" s="2">
        <v>161</v>
      </c>
      <c r="J9917" s="2">
        <v>430</v>
      </c>
      <c r="K9917" s="2">
        <v>1</v>
      </c>
      <c r="L9917" s="2">
        <v>90</v>
      </c>
    </row>
    <row r="9918" spans="1:12" x14ac:dyDescent="0.25">
      <c r="A9918" s="4" t="str">
        <f>HYPERLINK("http://www.rosaceae.org/Prunus/Prunus_persica/p.persica_gdr_reftransV1_0046087","p.persica_gdr_reftransV1_0046087")</f>
        <v>p.persica_gdr_reftransV1_0046087</v>
      </c>
      <c r="B9918" s="2">
        <v>2499</v>
      </c>
      <c r="C9918" s="4" t="str">
        <f>HYPERLINK("http://www.uniprot.org/uniprot/M5W7D3","M5W7D3")</f>
        <v>M5W7D3</v>
      </c>
      <c r="D9918" s="2" t="s">
        <v>8550</v>
      </c>
      <c r="E9918" s="3">
        <v>0</v>
      </c>
      <c r="F9918" s="2">
        <v>2114</v>
      </c>
      <c r="G9918" s="2">
        <v>100</v>
      </c>
      <c r="H9918" s="2">
        <v>544</v>
      </c>
      <c r="I9918" s="2">
        <v>372</v>
      </c>
      <c r="J9918" s="2">
        <v>2003</v>
      </c>
      <c r="K9918" s="2">
        <v>1</v>
      </c>
      <c r="L9918" s="2">
        <v>544</v>
      </c>
    </row>
    <row r="9919" spans="1:12" x14ac:dyDescent="0.25">
      <c r="A9919" s="4" t="str">
        <f>HYPERLINK("http://www.rosaceae.org/Prunus/Prunus_persica/p.persica_gdr_reftransV1_0046787","p.persica_gdr_reftransV1_0046787")</f>
        <v>p.persica_gdr_reftransV1_0046787</v>
      </c>
      <c r="B9919" s="2">
        <v>560</v>
      </c>
      <c r="C9919" s="4" t="str">
        <f>HYPERLINK("http://www.uniprot.org/uniprot/M5VUV5","M5VUV5")</f>
        <v>M5VUV5</v>
      </c>
      <c r="D9919" s="2" t="s">
        <v>8551</v>
      </c>
      <c r="E9919" s="3">
        <v>1.32E-21</v>
      </c>
      <c r="F9919" s="2">
        <v>232</v>
      </c>
      <c r="G9919" s="2">
        <v>100</v>
      </c>
      <c r="H9919" s="2">
        <v>45</v>
      </c>
      <c r="I9919" s="2">
        <v>117</v>
      </c>
      <c r="J9919" s="2">
        <v>251</v>
      </c>
      <c r="K9919" s="2">
        <v>1</v>
      </c>
      <c r="L9919" s="2">
        <v>45</v>
      </c>
    </row>
    <row r="9920" spans="1:12" x14ac:dyDescent="0.25">
      <c r="A9920" s="4" t="str">
        <f>HYPERLINK("http://www.rosaceae.org/Prunus/Prunus_persica/p.persica_gdr_reftransV1_0047137","p.persica_gdr_reftransV1_0047137")</f>
        <v>p.persica_gdr_reftransV1_0047137</v>
      </c>
      <c r="B9920" s="2">
        <v>1574</v>
      </c>
      <c r="C9920" s="4" t="str">
        <f>HYPERLINK("http://www.uniprot.org/uniprot/M5WI04","M5WI04")</f>
        <v>M5WI04</v>
      </c>
      <c r="D9920" s="2" t="s">
        <v>8552</v>
      </c>
      <c r="E9920" s="3">
        <v>0</v>
      </c>
      <c r="F9920" s="2">
        <v>2190</v>
      </c>
      <c r="G9920" s="2">
        <v>100</v>
      </c>
      <c r="H9920" s="2">
        <v>410</v>
      </c>
      <c r="I9920" s="2">
        <v>345</v>
      </c>
      <c r="J9920" s="2">
        <v>1574</v>
      </c>
      <c r="K9920" s="2">
        <v>185</v>
      </c>
      <c r="L9920" s="2">
        <v>594</v>
      </c>
    </row>
    <row r="9921" spans="1:12" x14ac:dyDescent="0.25">
      <c r="A9921" s="4" t="str">
        <f>HYPERLINK("http://www.rosaceae.org/Prunus/Prunus_persica/p.persica_gdr_reftransV1_0047487","p.persica_gdr_reftransV1_0047487")</f>
        <v>p.persica_gdr_reftransV1_0047487</v>
      </c>
      <c r="B9921" s="2">
        <v>1795</v>
      </c>
      <c r="C9921" s="4" t="str">
        <f>HYPERLINK("http://www.uniprot.org/uniprot/M5X408","M5X408")</f>
        <v>M5X408</v>
      </c>
      <c r="D9921" s="2" t="s">
        <v>8553</v>
      </c>
      <c r="E9921" s="3">
        <v>0</v>
      </c>
      <c r="F9921" s="2">
        <v>2061</v>
      </c>
      <c r="G9921" s="2">
        <v>100</v>
      </c>
      <c r="H9921" s="2">
        <v>460</v>
      </c>
      <c r="I9921" s="2">
        <v>273</v>
      </c>
      <c r="J9921" s="2">
        <v>1652</v>
      </c>
      <c r="K9921" s="2">
        <v>1</v>
      </c>
      <c r="L9921" s="2">
        <v>459</v>
      </c>
    </row>
    <row r="9922" spans="1:12" x14ac:dyDescent="0.25">
      <c r="A9922" s="4" t="str">
        <f>HYPERLINK("http://www.rosaceae.org/Prunus/Prunus_persica/p.persica_gdr_reftransV1_0047837","p.persica_gdr_reftransV1_0047837")</f>
        <v>p.persica_gdr_reftransV1_0047837</v>
      </c>
      <c r="B9922" s="2">
        <v>421</v>
      </c>
      <c r="C9922" s="4" t="str">
        <f>HYPERLINK("http://www.uniprot.org/uniprot/M5X191","M5X191")</f>
        <v>M5X191</v>
      </c>
      <c r="D9922" s="2" t="s">
        <v>8554</v>
      </c>
      <c r="E9922" s="3">
        <v>2.0100000000000002E-80</v>
      </c>
      <c r="F9922" s="2">
        <v>652</v>
      </c>
      <c r="G9922" s="2">
        <v>98</v>
      </c>
      <c r="H9922" s="2">
        <v>121</v>
      </c>
      <c r="I9922" s="2">
        <v>2</v>
      </c>
      <c r="J9922" s="2">
        <v>364</v>
      </c>
      <c r="K9922" s="2">
        <v>45</v>
      </c>
      <c r="L9922" s="2">
        <v>165</v>
      </c>
    </row>
    <row r="9923" spans="1:12" x14ac:dyDescent="0.25">
      <c r="A9923" s="4" t="str">
        <f>HYPERLINK("http://www.rosaceae.org/Prunus/Prunus_persica/p.persica_gdr_reftransV1_0048187","p.persica_gdr_reftransV1_0048187")</f>
        <v>p.persica_gdr_reftransV1_0048187</v>
      </c>
      <c r="B9923" s="2">
        <v>2305</v>
      </c>
      <c r="C9923" s="4" t="str">
        <f>HYPERLINK("http://www.uniprot.org/uniprot/M5XS62","M5XS62")</f>
        <v>M5XS62</v>
      </c>
      <c r="D9923" s="2" t="s">
        <v>8555</v>
      </c>
      <c r="E9923" s="3">
        <v>9.9599999999999994E-170</v>
      </c>
      <c r="F9923" s="2">
        <v>1288</v>
      </c>
      <c r="G9923" s="2">
        <v>100</v>
      </c>
      <c r="H9923" s="2">
        <v>239</v>
      </c>
      <c r="I9923" s="2">
        <v>167</v>
      </c>
      <c r="J9923" s="2">
        <v>883</v>
      </c>
      <c r="K9923" s="2">
        <v>1</v>
      </c>
      <c r="L9923" s="2">
        <v>239</v>
      </c>
    </row>
    <row r="9924" spans="1:12" x14ac:dyDescent="0.25">
      <c r="A9924" s="4" t="str">
        <f>HYPERLINK("http://www.rosaceae.org/Prunus/Prunus_persica/p.persica_gdr_reftransV1_0048537","p.persica_gdr_reftransV1_0048537")</f>
        <v>p.persica_gdr_reftransV1_0048537</v>
      </c>
      <c r="B9924" s="2">
        <v>568</v>
      </c>
      <c r="C9924" s="4" t="str">
        <f>HYPERLINK("http://www.uniprot.org/uniprot/M5WZ39","M5WZ39")</f>
        <v>M5WZ39</v>
      </c>
      <c r="D9924" s="2" t="s">
        <v>4608</v>
      </c>
      <c r="E9924" s="3">
        <v>3.8100000000000001E-107</v>
      </c>
      <c r="F9924" s="2">
        <v>840</v>
      </c>
      <c r="G9924" s="2">
        <v>100</v>
      </c>
      <c r="H9924" s="2">
        <v>161</v>
      </c>
      <c r="I9924" s="2">
        <v>2</v>
      </c>
      <c r="J9924" s="2">
        <v>484</v>
      </c>
      <c r="K9924" s="2">
        <v>345</v>
      </c>
      <c r="L9924" s="2">
        <v>505</v>
      </c>
    </row>
    <row r="9925" spans="1:12" x14ac:dyDescent="0.25">
      <c r="A9925" s="4" t="str">
        <f>HYPERLINK("http://www.rosaceae.org/Prunus/Prunus_persica/p.persica_gdr_reftransV1_0048887","p.persica_gdr_reftransV1_0048887")</f>
        <v>p.persica_gdr_reftransV1_0048887</v>
      </c>
      <c r="B9925" s="2">
        <v>2719</v>
      </c>
      <c r="C9925" s="4" t="str">
        <f>HYPERLINK("http://www.uniprot.org/uniprot/M5VHY6","M5VHY6")</f>
        <v>M5VHY6</v>
      </c>
      <c r="D9925" s="2" t="s">
        <v>8556</v>
      </c>
      <c r="E9925" s="3">
        <v>0</v>
      </c>
      <c r="F9925" s="2">
        <v>3335</v>
      </c>
      <c r="G9925" s="2">
        <v>100</v>
      </c>
      <c r="H9925" s="2">
        <v>743</v>
      </c>
      <c r="I9925" s="2">
        <v>241</v>
      </c>
      <c r="J9925" s="2">
        <v>2469</v>
      </c>
      <c r="K9925" s="2">
        <v>6</v>
      </c>
      <c r="L9925" s="2">
        <v>748</v>
      </c>
    </row>
    <row r="9926" spans="1:12" x14ac:dyDescent="0.25">
      <c r="A9926" s="4" t="str">
        <f>HYPERLINK("http://www.rosaceae.org/Prunus/Prunus_persica/p.persica_gdr_reftransV1_0000238","p.persica_gdr_reftransV1_0000238")</f>
        <v>p.persica_gdr_reftransV1_0000238</v>
      </c>
      <c r="B9926" s="2">
        <v>1114</v>
      </c>
      <c r="C9926" s="4" t="str">
        <f>HYPERLINK("http://www.uniprot.org/uniprot/M5VLG2","M5VLG2")</f>
        <v>M5VLG2</v>
      </c>
      <c r="D9926" s="2" t="s">
        <v>8557</v>
      </c>
      <c r="E9926" s="3">
        <v>9.9500000000000005E-145</v>
      </c>
      <c r="F9926" s="2">
        <v>1081</v>
      </c>
      <c r="G9926" s="2">
        <v>100</v>
      </c>
      <c r="H9926" s="2">
        <v>207</v>
      </c>
      <c r="I9926" s="2">
        <v>243</v>
      </c>
      <c r="J9926" s="2">
        <v>863</v>
      </c>
      <c r="K9926" s="2">
        <v>1</v>
      </c>
      <c r="L9926" s="2">
        <v>207</v>
      </c>
    </row>
    <row r="9927" spans="1:12" x14ac:dyDescent="0.25">
      <c r="A9927" s="4" t="str">
        <f>HYPERLINK("http://www.rosaceae.org/Prunus/Prunus_persica/p.persica_gdr_reftransV1_0000588","p.persica_gdr_reftransV1_0000588")</f>
        <v>p.persica_gdr_reftransV1_0000588</v>
      </c>
      <c r="B9927" s="2">
        <v>460</v>
      </c>
      <c r="C9927" s="4" t="str">
        <f>HYPERLINK("http://www.uniprot.org/uniprot/E3W0Q0","E3W0Q0")</f>
        <v>E3W0Q0</v>
      </c>
      <c r="D9927" s="2" t="s">
        <v>8558</v>
      </c>
      <c r="E9927" s="3">
        <v>2.7300000000000002E-47</v>
      </c>
      <c r="F9927" s="2">
        <v>445</v>
      </c>
      <c r="G9927" s="2">
        <v>99</v>
      </c>
      <c r="H9927" s="2">
        <v>103</v>
      </c>
      <c r="I9927" s="2">
        <v>151</v>
      </c>
      <c r="J9927" s="2">
        <v>459</v>
      </c>
      <c r="K9927" s="2">
        <v>1769</v>
      </c>
      <c r="L9927" s="2">
        <v>1871</v>
      </c>
    </row>
    <row r="9928" spans="1:12" x14ac:dyDescent="0.25">
      <c r="A9928" s="4" t="str">
        <f>HYPERLINK("http://www.rosaceae.org/Prunus/Prunus_persica/p.persica_gdr_reftransV1_0000938","p.persica_gdr_reftransV1_0000938")</f>
        <v>p.persica_gdr_reftransV1_0000938</v>
      </c>
      <c r="B9928" s="2">
        <v>726</v>
      </c>
      <c r="C9928" s="4" t="str">
        <f>HYPERLINK("http://www.uniprot.org/uniprot/M5XYE1","M5XYE1")</f>
        <v>M5XYE1</v>
      </c>
      <c r="D9928" s="2" t="s">
        <v>8559</v>
      </c>
      <c r="E9928" s="3">
        <v>1.52E-95</v>
      </c>
      <c r="F9928" s="2">
        <v>772</v>
      </c>
      <c r="G9928" s="2">
        <v>100</v>
      </c>
      <c r="H9928" s="2">
        <v>173</v>
      </c>
      <c r="I9928" s="2">
        <v>207</v>
      </c>
      <c r="J9928" s="2">
        <v>725</v>
      </c>
      <c r="K9928" s="2">
        <v>7</v>
      </c>
      <c r="L9928" s="2">
        <v>179</v>
      </c>
    </row>
    <row r="9929" spans="1:12" x14ac:dyDescent="0.25">
      <c r="A9929" s="4" t="str">
        <f>HYPERLINK("http://www.rosaceae.org/Prunus/Prunus_persica/p.persica_gdr_reftransV1_0001288","p.persica_gdr_reftransV1_0001288")</f>
        <v>p.persica_gdr_reftransV1_0001288</v>
      </c>
      <c r="B9929" s="2">
        <v>3166</v>
      </c>
      <c r="C9929" s="4" t="str">
        <f>HYPERLINK("http://www.uniprot.org/uniprot/B9T403","B9T403")</f>
        <v>B9T403</v>
      </c>
      <c r="D9929" s="2" t="s">
        <v>8560</v>
      </c>
      <c r="E9929" s="3">
        <v>0</v>
      </c>
      <c r="F9929" s="2">
        <v>2743</v>
      </c>
      <c r="G9929" s="2">
        <v>76</v>
      </c>
      <c r="H9929" s="2">
        <v>787</v>
      </c>
      <c r="I9929" s="2">
        <v>592</v>
      </c>
      <c r="J9929" s="2">
        <v>2910</v>
      </c>
      <c r="K9929" s="2">
        <v>179</v>
      </c>
      <c r="L9929" s="2">
        <v>959</v>
      </c>
    </row>
    <row r="9930" spans="1:12" x14ac:dyDescent="0.25">
      <c r="A9930" s="4" t="str">
        <f>HYPERLINK("http://www.rosaceae.org/Prunus/Prunus_persica/p.persica_gdr_reftransV1_0001638","p.persica_gdr_reftransV1_0001638")</f>
        <v>p.persica_gdr_reftransV1_0001638</v>
      </c>
      <c r="B9930" s="2">
        <v>1976</v>
      </c>
      <c r="C9930" s="4" t="str">
        <f>HYPERLINK("http://www.uniprot.org/uniprot/M5XCX4","M5XCX4")</f>
        <v>M5XCX4</v>
      </c>
      <c r="D9930" s="2" t="s">
        <v>8561</v>
      </c>
      <c r="E9930" s="3">
        <v>0</v>
      </c>
      <c r="F9930" s="2">
        <v>2026</v>
      </c>
      <c r="G9930" s="2">
        <v>92</v>
      </c>
      <c r="H9930" s="2">
        <v>456</v>
      </c>
      <c r="I9930" s="2">
        <v>299</v>
      </c>
      <c r="J9930" s="2">
        <v>1666</v>
      </c>
      <c r="K9930" s="2">
        <v>1</v>
      </c>
      <c r="L9930" s="2">
        <v>420</v>
      </c>
    </row>
    <row r="9931" spans="1:12" x14ac:dyDescent="0.25">
      <c r="A9931" s="4" t="str">
        <f>HYPERLINK("http://www.rosaceae.org/Prunus/Prunus_persica/p.persica_gdr_reftransV1_0001988","p.persica_gdr_reftransV1_0001988")</f>
        <v>p.persica_gdr_reftransV1_0001988</v>
      </c>
      <c r="B9931" s="2">
        <v>364</v>
      </c>
      <c r="C9931" s="4" t="str">
        <f>HYPERLINK("http://www.uniprot.org/uniprot/M5WN57","M5WN57")</f>
        <v>M5WN57</v>
      </c>
      <c r="D9931" s="2" t="s">
        <v>1334</v>
      </c>
      <c r="E9931" s="3">
        <v>1.2400000000000001E-73</v>
      </c>
      <c r="F9931" s="2">
        <v>628</v>
      </c>
      <c r="G9931" s="2">
        <v>100</v>
      </c>
      <c r="H9931" s="2">
        <v>121</v>
      </c>
      <c r="I9931" s="2">
        <v>1</v>
      </c>
      <c r="J9931" s="2">
        <v>363</v>
      </c>
      <c r="K9931" s="2">
        <v>343</v>
      </c>
      <c r="L9931" s="2">
        <v>463</v>
      </c>
    </row>
    <row r="9932" spans="1:12" x14ac:dyDescent="0.25">
      <c r="A9932" s="4" t="str">
        <f>HYPERLINK("http://www.rosaceae.org/Prunus/Prunus_persica/p.persica_gdr_reftransV1_0002338","p.persica_gdr_reftransV1_0002338")</f>
        <v>p.persica_gdr_reftransV1_0002338</v>
      </c>
      <c r="B9932" s="2">
        <v>2520</v>
      </c>
      <c r="C9932" s="4" t="str">
        <f>HYPERLINK("http://www.uniprot.org/uniprot/M5XQJ8","M5XQJ8")</f>
        <v>M5XQJ8</v>
      </c>
      <c r="D9932" s="2" t="s">
        <v>8562</v>
      </c>
      <c r="E9932" s="3">
        <v>0</v>
      </c>
      <c r="F9932" s="2">
        <v>3420</v>
      </c>
      <c r="G9932" s="2">
        <v>96</v>
      </c>
      <c r="H9932" s="2">
        <v>719</v>
      </c>
      <c r="I9932" s="2">
        <v>162</v>
      </c>
      <c r="J9932" s="2">
        <v>2318</v>
      </c>
      <c r="K9932" s="2">
        <v>1</v>
      </c>
      <c r="L9932" s="2">
        <v>695</v>
      </c>
    </row>
    <row r="9933" spans="1:12" x14ac:dyDescent="0.25">
      <c r="A9933" s="4" t="str">
        <f>HYPERLINK("http://www.rosaceae.org/Prunus/Prunus_persica/p.persica_gdr_reftransV1_0002688","p.persica_gdr_reftransV1_0002688")</f>
        <v>p.persica_gdr_reftransV1_0002688</v>
      </c>
      <c r="B9933" s="2">
        <v>1983</v>
      </c>
      <c r="C9933" s="4" t="str">
        <f>HYPERLINK("http://www.uniprot.org/uniprot/M5XLE4","M5XLE4")</f>
        <v>M5XLE4</v>
      </c>
      <c r="D9933" s="2" t="s">
        <v>8563</v>
      </c>
      <c r="E9933" s="3">
        <v>0</v>
      </c>
      <c r="F9933" s="2">
        <v>2561</v>
      </c>
      <c r="G9933" s="2">
        <v>100</v>
      </c>
      <c r="H9933" s="2">
        <v>480</v>
      </c>
      <c r="I9933" s="2">
        <v>153</v>
      </c>
      <c r="J9933" s="2">
        <v>1592</v>
      </c>
      <c r="K9933" s="2">
        <v>1</v>
      </c>
      <c r="L9933" s="2">
        <v>480</v>
      </c>
    </row>
    <row r="9934" spans="1:12" x14ac:dyDescent="0.25">
      <c r="A9934" s="4" t="str">
        <f>HYPERLINK("http://www.rosaceae.org/Prunus/Prunus_persica/p.persica_gdr_reftransV1_0003038","p.persica_gdr_reftransV1_0003038")</f>
        <v>p.persica_gdr_reftransV1_0003038</v>
      </c>
      <c r="B9934" s="2">
        <v>523</v>
      </c>
      <c r="C9934" s="4" t="str">
        <f>HYPERLINK("http://www.uniprot.org/uniprot/M5W8B9","M5W8B9")</f>
        <v>M5W8B9</v>
      </c>
      <c r="D9934" s="2" t="s">
        <v>978</v>
      </c>
      <c r="E9934" s="3">
        <v>2.36E-117</v>
      </c>
      <c r="F9934" s="2">
        <v>940</v>
      </c>
      <c r="G9934" s="2">
        <v>100</v>
      </c>
      <c r="H9934" s="2">
        <v>174</v>
      </c>
      <c r="I9934" s="2">
        <v>1</v>
      </c>
      <c r="J9934" s="2">
        <v>522</v>
      </c>
      <c r="K9934" s="2">
        <v>419</v>
      </c>
      <c r="L9934" s="2">
        <v>592</v>
      </c>
    </row>
    <row r="9935" spans="1:12" x14ac:dyDescent="0.25">
      <c r="A9935" s="4" t="str">
        <f>HYPERLINK("http://www.rosaceae.org/Prunus/Prunus_persica/p.persica_gdr_reftransV1_0003388","p.persica_gdr_reftransV1_0003388")</f>
        <v>p.persica_gdr_reftransV1_0003388</v>
      </c>
      <c r="B9935" s="2">
        <v>1608</v>
      </c>
      <c r="C9935" s="4" t="str">
        <f>HYPERLINK("http://www.uniprot.org/uniprot/M5Y1Y1","M5Y1Y1")</f>
        <v>M5Y1Y1</v>
      </c>
      <c r="D9935" s="2" t="s">
        <v>8564</v>
      </c>
      <c r="E9935" s="3">
        <v>4.6200000000000002E-158</v>
      </c>
      <c r="F9935" s="2">
        <v>1196</v>
      </c>
      <c r="G9935" s="2">
        <v>100</v>
      </c>
      <c r="H9935" s="2">
        <v>308</v>
      </c>
      <c r="I9935" s="2">
        <v>76</v>
      </c>
      <c r="J9935" s="2">
        <v>999</v>
      </c>
      <c r="K9935" s="2">
        <v>1</v>
      </c>
      <c r="L9935" s="2">
        <v>308</v>
      </c>
    </row>
    <row r="9936" spans="1:12" x14ac:dyDescent="0.25">
      <c r="A9936" s="4" t="str">
        <f>HYPERLINK("http://www.rosaceae.org/Prunus/Prunus_persica/p.persica_gdr_reftransV1_0003738","p.persica_gdr_reftransV1_0003738")</f>
        <v>p.persica_gdr_reftransV1_0003738</v>
      </c>
      <c r="B9936" s="2">
        <v>1974</v>
      </c>
      <c r="C9936" s="4" t="str">
        <f>HYPERLINK("http://www.uniprot.org/uniprot/A0A088PY80","A0A088PY80")</f>
        <v>A0A088PY80</v>
      </c>
      <c r="D9936" s="2" t="s">
        <v>8565</v>
      </c>
      <c r="E9936" s="3">
        <v>1.6500000000000001E-117</v>
      </c>
      <c r="F9936" s="2">
        <v>974</v>
      </c>
      <c r="G9936" s="2">
        <v>57</v>
      </c>
      <c r="H9936" s="2">
        <v>373</v>
      </c>
      <c r="I9936" s="2">
        <v>593</v>
      </c>
      <c r="J9936" s="2">
        <v>1708</v>
      </c>
      <c r="K9936" s="2">
        <v>1</v>
      </c>
      <c r="L9936" s="2">
        <v>370</v>
      </c>
    </row>
    <row r="9937" spans="1:12" x14ac:dyDescent="0.25">
      <c r="A9937" s="4" t="str">
        <f>HYPERLINK("http://www.rosaceae.org/Prunus/Prunus_persica/p.persica_gdr_reftransV1_0004088","p.persica_gdr_reftransV1_0004088")</f>
        <v>p.persica_gdr_reftransV1_0004088</v>
      </c>
      <c r="B9937" s="2">
        <v>416</v>
      </c>
      <c r="C9937" s="4" t="str">
        <f>HYPERLINK("http://www.uniprot.org/uniprot/M5X243","M5X243")</f>
        <v>M5X243</v>
      </c>
      <c r="D9937" s="2" t="s">
        <v>8566</v>
      </c>
      <c r="E9937" s="3">
        <v>4.0500000000000003E-80</v>
      </c>
      <c r="F9937" s="2">
        <v>656</v>
      </c>
      <c r="G9937" s="2">
        <v>99</v>
      </c>
      <c r="H9937" s="2">
        <v>138</v>
      </c>
      <c r="I9937" s="2">
        <v>2</v>
      </c>
      <c r="J9937" s="2">
        <v>415</v>
      </c>
      <c r="K9937" s="2">
        <v>83</v>
      </c>
      <c r="L9937" s="2">
        <v>220</v>
      </c>
    </row>
    <row r="9938" spans="1:12" x14ac:dyDescent="0.25">
      <c r="A9938" s="4" t="str">
        <f>HYPERLINK("http://www.rosaceae.org/Prunus/Prunus_persica/p.persica_gdr_reftransV1_0004438","p.persica_gdr_reftransV1_0004438")</f>
        <v>p.persica_gdr_reftransV1_0004438</v>
      </c>
      <c r="B9938" s="2">
        <v>2439</v>
      </c>
      <c r="C9938" s="4" t="str">
        <f>HYPERLINK("http://www.uniprot.org/uniprot/M5XKV0","M5XKV0")</f>
        <v>M5XKV0</v>
      </c>
      <c r="D9938" s="2" t="s">
        <v>8567</v>
      </c>
      <c r="E9938" s="3">
        <v>0</v>
      </c>
      <c r="F9938" s="2">
        <v>2444</v>
      </c>
      <c r="G9938" s="2">
        <v>96</v>
      </c>
      <c r="H9938" s="2">
        <v>561</v>
      </c>
      <c r="I9938" s="2">
        <v>374</v>
      </c>
      <c r="J9938" s="2">
        <v>2011</v>
      </c>
      <c r="K9938" s="2">
        <v>1</v>
      </c>
      <c r="L9938" s="2">
        <v>553</v>
      </c>
    </row>
    <row r="9939" spans="1:12" x14ac:dyDescent="0.25">
      <c r="A9939" s="4" t="str">
        <f>HYPERLINK("http://www.rosaceae.org/Prunus/Prunus_persica/p.persica_gdr_reftransV1_0004788","p.persica_gdr_reftransV1_0004788")</f>
        <v>p.persica_gdr_reftransV1_0004788</v>
      </c>
      <c r="B9939" s="2">
        <v>2418</v>
      </c>
      <c r="C9939" s="4" t="str">
        <f>HYPERLINK("http://www.uniprot.org/uniprot/M5XTA8","M5XTA8")</f>
        <v>M5XTA8</v>
      </c>
      <c r="D9939" s="2" t="s">
        <v>8568</v>
      </c>
      <c r="E9939" s="3">
        <v>5.1499999999999999E-103</v>
      </c>
      <c r="F9939" s="2">
        <v>876</v>
      </c>
      <c r="G9939" s="2">
        <v>50</v>
      </c>
      <c r="H9939" s="2">
        <v>366</v>
      </c>
      <c r="I9939" s="2">
        <v>1114</v>
      </c>
      <c r="J9939" s="2">
        <v>2202</v>
      </c>
      <c r="K9939" s="2">
        <v>189</v>
      </c>
      <c r="L9939" s="2">
        <v>548</v>
      </c>
    </row>
    <row r="9940" spans="1:12" x14ac:dyDescent="0.25">
      <c r="A9940" s="4" t="str">
        <f>HYPERLINK("http://www.rosaceae.org/Prunus/Prunus_persica/p.persica_gdr_reftransV1_0005138","p.persica_gdr_reftransV1_0005138")</f>
        <v>p.persica_gdr_reftransV1_0005138</v>
      </c>
      <c r="B9940" s="2">
        <v>628</v>
      </c>
      <c r="C9940" s="4" t="str">
        <f>HYPERLINK("http://www.uniprot.org/uniprot/M5W7C1","M5W7C1")</f>
        <v>M5W7C1</v>
      </c>
      <c r="D9940" s="2" t="s">
        <v>8569</v>
      </c>
      <c r="E9940" s="3">
        <v>2.6500000000000001E-92</v>
      </c>
      <c r="F9940" s="2">
        <v>768</v>
      </c>
      <c r="G9940" s="2">
        <v>100</v>
      </c>
      <c r="H9940" s="2">
        <v>158</v>
      </c>
      <c r="I9940" s="2">
        <v>153</v>
      </c>
      <c r="J9940" s="2">
        <v>626</v>
      </c>
      <c r="K9940" s="2">
        <v>23</v>
      </c>
      <c r="L9940" s="2">
        <v>180</v>
      </c>
    </row>
    <row r="9941" spans="1:12" x14ac:dyDescent="0.25">
      <c r="A9941" s="4" t="str">
        <f>HYPERLINK("http://www.rosaceae.org/Prunus/Prunus_persica/p.persica_gdr_reftransV1_0005488","p.persica_gdr_reftransV1_0005488")</f>
        <v>p.persica_gdr_reftransV1_0005488</v>
      </c>
      <c r="B9941" s="2">
        <v>818</v>
      </c>
      <c r="C9941" s="4" t="str">
        <f>HYPERLINK("http://www.uniprot.org/uniprot/M5X150","M5X150")</f>
        <v>M5X150</v>
      </c>
      <c r="D9941" s="2" t="s">
        <v>5337</v>
      </c>
      <c r="E9941" s="3">
        <v>7.3200000000000001E-81</v>
      </c>
      <c r="F9941" s="2">
        <v>640</v>
      </c>
      <c r="G9941" s="2">
        <v>100</v>
      </c>
      <c r="H9941" s="2">
        <v>122</v>
      </c>
      <c r="I9941" s="2">
        <v>106</v>
      </c>
      <c r="J9941" s="2">
        <v>471</v>
      </c>
      <c r="K9941" s="2">
        <v>1</v>
      </c>
      <c r="L9941" s="2">
        <v>122</v>
      </c>
    </row>
    <row r="9942" spans="1:12" x14ac:dyDescent="0.25">
      <c r="A9942" s="4" t="str">
        <f>HYPERLINK("http://www.rosaceae.org/Prunus/Prunus_persica/p.persica_gdr_reftransV1_0005838","p.persica_gdr_reftransV1_0005838")</f>
        <v>p.persica_gdr_reftransV1_0005838</v>
      </c>
      <c r="B9942" s="2">
        <v>3600</v>
      </c>
      <c r="C9942" s="4" t="str">
        <f>HYPERLINK("http://www.uniprot.org/uniprot/M5WLP3","M5WLP3")</f>
        <v>M5WLP3</v>
      </c>
      <c r="D9942" s="2" t="s">
        <v>8570</v>
      </c>
      <c r="E9942" s="3">
        <v>0</v>
      </c>
      <c r="F9942" s="2">
        <v>3445</v>
      </c>
      <c r="G9942" s="2">
        <v>99</v>
      </c>
      <c r="H9942" s="2">
        <v>686</v>
      </c>
      <c r="I9942" s="2">
        <v>1268</v>
      </c>
      <c r="J9942" s="2">
        <v>3325</v>
      </c>
      <c r="K9942" s="2">
        <v>4</v>
      </c>
      <c r="L9942" s="2">
        <v>689</v>
      </c>
    </row>
    <row r="9943" spans="1:12" x14ac:dyDescent="0.25">
      <c r="A9943" s="4" t="str">
        <f>HYPERLINK("http://www.rosaceae.org/Prunus/Prunus_persica/p.persica_gdr_reftransV1_0006538","p.persica_gdr_reftransV1_0006538")</f>
        <v>p.persica_gdr_reftransV1_0006538</v>
      </c>
      <c r="B9943" s="2">
        <v>1917</v>
      </c>
      <c r="C9943" s="4" t="str">
        <f>HYPERLINK("http://www.uniprot.org/uniprot/M5XEW4","M5XEW4")</f>
        <v>M5XEW4</v>
      </c>
      <c r="D9943" s="2" t="s">
        <v>8571</v>
      </c>
      <c r="E9943" s="3">
        <v>0</v>
      </c>
      <c r="F9943" s="2">
        <v>2913</v>
      </c>
      <c r="G9943" s="2">
        <v>100</v>
      </c>
      <c r="H9943" s="2">
        <v>564</v>
      </c>
      <c r="I9943" s="2">
        <v>184</v>
      </c>
      <c r="J9943" s="2">
        <v>1875</v>
      </c>
      <c r="K9943" s="2">
        <v>1</v>
      </c>
      <c r="L9943" s="2">
        <v>564</v>
      </c>
    </row>
    <row r="9944" spans="1:12" x14ac:dyDescent="0.25">
      <c r="A9944" s="4" t="str">
        <f>HYPERLINK("http://www.rosaceae.org/Prunus/Prunus_persica/p.persica_gdr_reftransV1_0007238","p.persica_gdr_reftransV1_0007238")</f>
        <v>p.persica_gdr_reftransV1_0007238</v>
      </c>
      <c r="B9944" s="2">
        <v>2640</v>
      </c>
      <c r="C9944" s="4" t="str">
        <f>HYPERLINK("http://www.uniprot.org/uniprot/M5VMI5","M5VMI5")</f>
        <v>M5VMI5</v>
      </c>
      <c r="D9944" s="2" t="s">
        <v>8572</v>
      </c>
      <c r="E9944" s="3">
        <v>0</v>
      </c>
      <c r="F9944" s="2">
        <v>3146</v>
      </c>
      <c r="G9944" s="2">
        <v>100</v>
      </c>
      <c r="H9944" s="2">
        <v>607</v>
      </c>
      <c r="I9944" s="2">
        <v>182</v>
      </c>
      <c r="J9944" s="2">
        <v>2002</v>
      </c>
      <c r="K9944" s="2">
        <v>1</v>
      </c>
      <c r="L9944" s="2">
        <v>607</v>
      </c>
    </row>
    <row r="9945" spans="1:12" x14ac:dyDescent="0.25">
      <c r="A9945" s="4" t="str">
        <f>HYPERLINK("http://www.rosaceae.org/Prunus/Prunus_persica/p.persica_gdr_reftransV1_0008288","p.persica_gdr_reftransV1_0008288")</f>
        <v>p.persica_gdr_reftransV1_0008288</v>
      </c>
      <c r="B9945" s="2">
        <v>1895</v>
      </c>
      <c r="C9945" s="4" t="str">
        <f>HYPERLINK("http://www.uniprot.org/uniprot/M5VZV8","M5VZV8")</f>
        <v>M5VZV8</v>
      </c>
      <c r="D9945" s="2" t="s">
        <v>8573</v>
      </c>
      <c r="E9945" s="3">
        <v>0</v>
      </c>
      <c r="F9945" s="2">
        <v>1667</v>
      </c>
      <c r="G9945" s="2">
        <v>95</v>
      </c>
      <c r="H9945" s="2">
        <v>369</v>
      </c>
      <c r="I9945" s="2">
        <v>325</v>
      </c>
      <c r="J9945" s="2">
        <v>1431</v>
      </c>
      <c r="K9945" s="2">
        <v>1</v>
      </c>
      <c r="L9945" s="2">
        <v>352</v>
      </c>
    </row>
    <row r="9946" spans="1:12" x14ac:dyDescent="0.25">
      <c r="A9946" s="4" t="str">
        <f>HYPERLINK("http://www.rosaceae.org/Prunus/Prunus_persica/p.persica_gdr_reftransV1_0009338","p.persica_gdr_reftransV1_0009338")</f>
        <v>p.persica_gdr_reftransV1_0009338</v>
      </c>
      <c r="B9946" s="2">
        <v>2627</v>
      </c>
      <c r="C9946" s="4" t="str">
        <f>HYPERLINK("http://www.uniprot.org/uniprot/M5VX31","M5VX31")</f>
        <v>M5VX31</v>
      </c>
      <c r="D9946" s="2" t="s">
        <v>8574</v>
      </c>
      <c r="E9946" s="3">
        <v>0</v>
      </c>
      <c r="F9946" s="2">
        <v>2738</v>
      </c>
      <c r="G9946" s="2">
        <v>100</v>
      </c>
      <c r="H9946" s="2">
        <v>531</v>
      </c>
      <c r="I9946" s="2">
        <v>331</v>
      </c>
      <c r="J9946" s="2">
        <v>1923</v>
      </c>
      <c r="K9946" s="2">
        <v>1</v>
      </c>
      <c r="L9946" s="2">
        <v>531</v>
      </c>
    </row>
    <row r="9947" spans="1:12" x14ac:dyDescent="0.25">
      <c r="A9947" s="4" t="str">
        <f>HYPERLINK("http://www.rosaceae.org/Prunus/Prunus_persica/p.persica_gdr_reftransV1_0010038","p.persica_gdr_reftransV1_0010038")</f>
        <v>p.persica_gdr_reftransV1_0010038</v>
      </c>
      <c r="B9947" s="2">
        <v>2337</v>
      </c>
      <c r="C9947" s="4" t="str">
        <f>HYPERLINK("http://www.uniprot.org/uniprot/M5XL55","M5XL55")</f>
        <v>M5XL55</v>
      </c>
      <c r="D9947" s="2" t="s">
        <v>1750</v>
      </c>
      <c r="E9947" s="3">
        <v>0</v>
      </c>
      <c r="F9947" s="2">
        <v>3491</v>
      </c>
      <c r="G9947" s="2">
        <v>100</v>
      </c>
      <c r="H9947" s="2">
        <v>699</v>
      </c>
      <c r="I9947" s="2">
        <v>2</v>
      </c>
      <c r="J9947" s="2">
        <v>2098</v>
      </c>
      <c r="K9947" s="2">
        <v>668</v>
      </c>
      <c r="L9947" s="2">
        <v>1366</v>
      </c>
    </row>
    <row r="9948" spans="1:12" x14ac:dyDescent="0.25">
      <c r="A9948" s="4" t="str">
        <f>HYPERLINK("http://www.rosaceae.org/Prunus/Prunus_persica/p.persica_gdr_reftransV1_0010388","p.persica_gdr_reftransV1_0010388")</f>
        <v>p.persica_gdr_reftransV1_0010388</v>
      </c>
      <c r="B9948" s="2">
        <v>1793</v>
      </c>
      <c r="C9948" s="4" t="str">
        <f>HYPERLINK("http://www.uniprot.org/uniprot/M5X035","M5X035")</f>
        <v>M5X035</v>
      </c>
      <c r="D9948" s="2" t="s">
        <v>8575</v>
      </c>
      <c r="E9948" s="3">
        <v>0</v>
      </c>
      <c r="F9948" s="2">
        <v>1967</v>
      </c>
      <c r="G9948" s="2">
        <v>100</v>
      </c>
      <c r="H9948" s="2">
        <v>414</v>
      </c>
      <c r="I9948" s="2">
        <v>146</v>
      </c>
      <c r="J9948" s="2">
        <v>1387</v>
      </c>
      <c r="K9948" s="2">
        <v>1</v>
      </c>
      <c r="L9948" s="2">
        <v>414</v>
      </c>
    </row>
    <row r="9949" spans="1:12" x14ac:dyDescent="0.25">
      <c r="A9949" s="4" t="str">
        <f>HYPERLINK("http://www.rosaceae.org/Prunus/Prunus_persica/p.persica_gdr_reftransV1_0010738","p.persica_gdr_reftransV1_0010738")</f>
        <v>p.persica_gdr_reftransV1_0010738</v>
      </c>
      <c r="B9949" s="2">
        <v>1346</v>
      </c>
      <c r="C9949" s="4" t="str">
        <f>HYPERLINK("http://www.uniprot.org/uniprot/M5W6T2","M5W6T2")</f>
        <v>M5W6T2</v>
      </c>
      <c r="D9949" s="2" t="s">
        <v>8576</v>
      </c>
      <c r="E9949" s="3">
        <v>0</v>
      </c>
      <c r="F9949" s="2">
        <v>1432</v>
      </c>
      <c r="G9949" s="2">
        <v>100</v>
      </c>
      <c r="H9949" s="2">
        <v>271</v>
      </c>
      <c r="I9949" s="2">
        <v>380</v>
      </c>
      <c r="J9949" s="2">
        <v>1192</v>
      </c>
      <c r="K9949" s="2">
        <v>1</v>
      </c>
      <c r="L9949" s="2">
        <v>271</v>
      </c>
    </row>
    <row r="9950" spans="1:12" x14ac:dyDescent="0.25">
      <c r="A9950" s="4" t="str">
        <f>HYPERLINK("http://www.rosaceae.org/Prunus/Prunus_persica/p.persica_gdr_reftransV1_0011088","p.persica_gdr_reftransV1_0011088")</f>
        <v>p.persica_gdr_reftransV1_0011088</v>
      </c>
      <c r="B9950" s="2">
        <v>1244</v>
      </c>
      <c r="C9950" s="4" t="str">
        <f>HYPERLINK("http://www.uniprot.org/uniprot/M5X875","M5X875")</f>
        <v>M5X875</v>
      </c>
      <c r="D9950" s="2" t="s">
        <v>8577</v>
      </c>
      <c r="E9950" s="3">
        <v>3.35E-94</v>
      </c>
      <c r="F9950" s="2">
        <v>750</v>
      </c>
      <c r="G9950" s="2">
        <v>100</v>
      </c>
      <c r="H9950" s="2">
        <v>205</v>
      </c>
      <c r="I9950" s="2">
        <v>188</v>
      </c>
      <c r="J9950" s="2">
        <v>802</v>
      </c>
      <c r="K9950" s="2">
        <v>1</v>
      </c>
      <c r="L9950" s="2">
        <v>205</v>
      </c>
    </row>
    <row r="9951" spans="1:12" x14ac:dyDescent="0.25">
      <c r="A9951" s="4" t="str">
        <f>HYPERLINK("http://www.rosaceae.org/Prunus/Prunus_persica/p.persica_gdr_reftransV1_0011438","p.persica_gdr_reftransV1_0011438")</f>
        <v>p.persica_gdr_reftransV1_0011438</v>
      </c>
      <c r="B9951" s="2">
        <v>7571</v>
      </c>
      <c r="C9951" s="4" t="str">
        <f>HYPERLINK("http://www.uniprot.org/uniprot/W9R414","W9R414")</f>
        <v>W9R414</v>
      </c>
      <c r="D9951" s="2" t="s">
        <v>8578</v>
      </c>
      <c r="E9951" s="3">
        <v>0</v>
      </c>
      <c r="F9951" s="2">
        <v>12101</v>
      </c>
      <c r="G9951" s="2">
        <v>98</v>
      </c>
      <c r="H9951" s="2">
        <v>2347</v>
      </c>
      <c r="I9951" s="2">
        <v>180</v>
      </c>
      <c r="J9951" s="2">
        <v>7220</v>
      </c>
      <c r="K9951" s="2">
        <v>1</v>
      </c>
      <c r="L9951" s="2">
        <v>2347</v>
      </c>
    </row>
    <row r="9952" spans="1:12" x14ac:dyDescent="0.25">
      <c r="A9952" s="4" t="str">
        <f>HYPERLINK("http://www.rosaceae.org/Prunus/Prunus_persica/p.persica_gdr_reftransV1_0011788","p.persica_gdr_reftransV1_0011788")</f>
        <v>p.persica_gdr_reftransV1_0011788</v>
      </c>
      <c r="B9952" s="2">
        <v>1937</v>
      </c>
      <c r="C9952" s="4" t="str">
        <f>HYPERLINK("http://www.uniprot.org/uniprot/A0A059CG24","A0A059CG24")</f>
        <v>A0A059CG24</v>
      </c>
      <c r="D9952" s="2" t="s">
        <v>8579</v>
      </c>
      <c r="E9952" s="3">
        <v>0</v>
      </c>
      <c r="F9952" s="2">
        <v>1376</v>
      </c>
      <c r="G9952" s="2">
        <v>72</v>
      </c>
      <c r="H9952" s="2">
        <v>373</v>
      </c>
      <c r="I9952" s="2">
        <v>648</v>
      </c>
      <c r="J9952" s="2">
        <v>1766</v>
      </c>
      <c r="K9952" s="2">
        <v>57</v>
      </c>
      <c r="L9952" s="2">
        <v>368</v>
      </c>
    </row>
    <row r="9953" spans="1:12" x14ac:dyDescent="0.25">
      <c r="A9953" s="4" t="str">
        <f>HYPERLINK("http://www.rosaceae.org/Prunus/Prunus_persica/p.persica_gdr_reftransV1_0012138","p.persica_gdr_reftransV1_0012138")</f>
        <v>p.persica_gdr_reftransV1_0012138</v>
      </c>
      <c r="B9953" s="2">
        <v>2902</v>
      </c>
      <c r="C9953" s="4" t="str">
        <f>HYPERLINK("http://www.uniprot.org/uniprot/A5B8H9","A5B8H9")</f>
        <v>A5B8H9</v>
      </c>
      <c r="D9953" s="2" t="s">
        <v>8580</v>
      </c>
      <c r="E9953" s="3">
        <v>6.4199999999999997E-77</v>
      </c>
      <c r="F9953" s="2">
        <v>728</v>
      </c>
      <c r="G9953" s="2">
        <v>71</v>
      </c>
      <c r="H9953" s="2">
        <v>191</v>
      </c>
      <c r="I9953" s="2">
        <v>2271</v>
      </c>
      <c r="J9953" s="2">
        <v>2843</v>
      </c>
      <c r="K9953" s="2">
        <v>1148</v>
      </c>
      <c r="L9953" s="2">
        <v>1338</v>
      </c>
    </row>
    <row r="9954" spans="1:12" x14ac:dyDescent="0.25">
      <c r="A9954" s="4" t="str">
        <f>HYPERLINK("http://www.rosaceae.org/Prunus/Prunus_persica/p.persica_gdr_reftransV1_0012488","p.persica_gdr_reftransV1_0012488")</f>
        <v>p.persica_gdr_reftransV1_0012488</v>
      </c>
      <c r="B9954" s="2">
        <v>548</v>
      </c>
      <c r="C9954" s="4" t="str">
        <f>HYPERLINK("http://www.uniprot.org/uniprot/M5WXD9","M5WXD9")</f>
        <v>M5WXD9</v>
      </c>
      <c r="D9954" s="2" t="s">
        <v>8581</v>
      </c>
      <c r="E9954" s="3">
        <v>2.9599999999999999E-66</v>
      </c>
      <c r="F9954" s="2">
        <v>572</v>
      </c>
      <c r="G9954" s="2">
        <v>100</v>
      </c>
      <c r="H9954" s="2">
        <v>121</v>
      </c>
      <c r="I9954" s="2">
        <v>1</v>
      </c>
      <c r="J9954" s="2">
        <v>363</v>
      </c>
      <c r="K9954" s="2">
        <v>1</v>
      </c>
      <c r="L9954" s="2">
        <v>121</v>
      </c>
    </row>
    <row r="9955" spans="1:12" x14ac:dyDescent="0.25">
      <c r="A9955" s="4" t="str">
        <f>HYPERLINK("http://www.rosaceae.org/Prunus/Prunus_persica/p.persica_gdr_reftransV1_0012838","p.persica_gdr_reftransV1_0012838")</f>
        <v>p.persica_gdr_reftransV1_0012838</v>
      </c>
      <c r="B9955" s="2">
        <v>1397</v>
      </c>
      <c r="C9955" s="4" t="str">
        <f>HYPERLINK("http://www.uniprot.org/uniprot/M5WIM5","M5WIM5")</f>
        <v>M5WIM5</v>
      </c>
      <c r="D9955" s="2" t="s">
        <v>4499</v>
      </c>
      <c r="E9955" s="3">
        <v>8.6099999999999998E-147</v>
      </c>
      <c r="F9955" s="2">
        <v>868</v>
      </c>
      <c r="G9955" s="2">
        <v>100</v>
      </c>
      <c r="H9955" s="2">
        <v>213</v>
      </c>
      <c r="I9955" s="2">
        <v>293</v>
      </c>
      <c r="J9955" s="2">
        <v>931</v>
      </c>
      <c r="K9955" s="2">
        <v>343</v>
      </c>
      <c r="L9955" s="2">
        <v>555</v>
      </c>
    </row>
    <row r="9956" spans="1:12" x14ac:dyDescent="0.25">
      <c r="A9956" s="4" t="str">
        <f>HYPERLINK("http://www.rosaceae.org/Prunus/Prunus_persica/p.persica_gdr_reftransV1_0013888","p.persica_gdr_reftransV1_0013888")</f>
        <v>p.persica_gdr_reftransV1_0013888</v>
      </c>
      <c r="B9956" s="2">
        <v>1378</v>
      </c>
      <c r="C9956" s="4" t="str">
        <f>HYPERLINK("http://www.uniprot.org/uniprot/M5X6V4","M5X6V4")</f>
        <v>M5X6V4</v>
      </c>
      <c r="D9956" s="2" t="s">
        <v>4105</v>
      </c>
      <c r="E9956" s="3">
        <v>0</v>
      </c>
      <c r="F9956" s="2">
        <v>1851</v>
      </c>
      <c r="G9956" s="2">
        <v>100</v>
      </c>
      <c r="H9956" s="2">
        <v>343</v>
      </c>
      <c r="I9956" s="2">
        <v>350</v>
      </c>
      <c r="J9956" s="2">
        <v>1378</v>
      </c>
      <c r="K9956" s="2">
        <v>344</v>
      </c>
      <c r="L9956" s="2">
        <v>686</v>
      </c>
    </row>
    <row r="9957" spans="1:12" x14ac:dyDescent="0.25">
      <c r="A9957" s="4" t="str">
        <f>HYPERLINK("http://www.rosaceae.org/Prunus/Prunus_persica/p.persica_gdr_reftransV1_0014238","p.persica_gdr_reftransV1_0014238")</f>
        <v>p.persica_gdr_reftransV1_0014238</v>
      </c>
      <c r="B9957" s="2">
        <v>1602</v>
      </c>
      <c r="C9957" s="4" t="str">
        <f>HYPERLINK("http://www.uniprot.org/uniprot/M5XJ55","M5XJ55")</f>
        <v>M5XJ55</v>
      </c>
      <c r="D9957" s="2" t="s">
        <v>6223</v>
      </c>
      <c r="E9957" s="3">
        <v>5.0899999999999998E-96</v>
      </c>
      <c r="F9957" s="2">
        <v>818</v>
      </c>
      <c r="G9957" s="2">
        <v>100</v>
      </c>
      <c r="H9957" s="2">
        <v>151</v>
      </c>
      <c r="I9957" s="2">
        <v>2</v>
      </c>
      <c r="J9957" s="2">
        <v>454</v>
      </c>
      <c r="K9957" s="2">
        <v>561</v>
      </c>
      <c r="L9957" s="2">
        <v>711</v>
      </c>
    </row>
    <row r="9958" spans="1:12" x14ac:dyDescent="0.25">
      <c r="A9958" s="4" t="str">
        <f>HYPERLINK("http://www.rosaceae.org/Prunus/Prunus_persica/p.persica_gdr_reftransV1_0014588","p.persica_gdr_reftransV1_0014588")</f>
        <v>p.persica_gdr_reftransV1_0014588</v>
      </c>
      <c r="B9958" s="2">
        <v>3417</v>
      </c>
      <c r="C9958" s="4" t="str">
        <f>HYPERLINK("http://www.uniprot.org/uniprot/M5X4A4","M5X4A4")</f>
        <v>M5X4A4</v>
      </c>
      <c r="D9958" s="2" t="s">
        <v>8582</v>
      </c>
      <c r="E9958" s="3">
        <v>0</v>
      </c>
      <c r="F9958" s="2">
        <v>4202</v>
      </c>
      <c r="G9958" s="2">
        <v>100</v>
      </c>
      <c r="H9958" s="2">
        <v>829</v>
      </c>
      <c r="I9958" s="2">
        <v>700</v>
      </c>
      <c r="J9958" s="2">
        <v>3186</v>
      </c>
      <c r="K9958" s="2">
        <v>1</v>
      </c>
      <c r="L9958" s="2">
        <v>829</v>
      </c>
    </row>
    <row r="9959" spans="1:12" x14ac:dyDescent="0.25">
      <c r="A9959" s="4" t="str">
        <f>HYPERLINK("http://www.rosaceae.org/Prunus/Prunus_persica/p.persica_gdr_reftransV1_0014938","p.persica_gdr_reftransV1_0014938")</f>
        <v>p.persica_gdr_reftransV1_0014938</v>
      </c>
      <c r="B9959" s="2">
        <v>2070</v>
      </c>
      <c r="C9959" s="4" t="str">
        <f>HYPERLINK("http://www.uniprot.org/uniprot/M5W7X3","M5W7X3")</f>
        <v>M5W7X3</v>
      </c>
      <c r="D9959" s="2" t="s">
        <v>8583</v>
      </c>
      <c r="E9959" s="3">
        <v>0</v>
      </c>
      <c r="F9959" s="2">
        <v>2610</v>
      </c>
      <c r="G9959" s="2">
        <v>100</v>
      </c>
      <c r="H9959" s="2">
        <v>531</v>
      </c>
      <c r="I9959" s="2">
        <v>388</v>
      </c>
      <c r="J9959" s="2">
        <v>1980</v>
      </c>
      <c r="K9959" s="2">
        <v>1</v>
      </c>
      <c r="L9959" s="2">
        <v>531</v>
      </c>
    </row>
    <row r="9960" spans="1:12" x14ac:dyDescent="0.25">
      <c r="A9960" s="4" t="str">
        <f>HYPERLINK("http://www.rosaceae.org/Prunus/Prunus_persica/p.persica_gdr_reftransV1_0015288","p.persica_gdr_reftransV1_0015288")</f>
        <v>p.persica_gdr_reftransV1_0015288</v>
      </c>
      <c r="B9960" s="2">
        <v>1431</v>
      </c>
      <c r="C9960" s="4" t="str">
        <f>HYPERLINK("http://www.uniprot.org/uniprot/M5XTM3","M5XTM3")</f>
        <v>M5XTM3</v>
      </c>
      <c r="D9960" s="2" t="s">
        <v>8584</v>
      </c>
      <c r="E9960" s="3">
        <v>5.4699999999999999E-168</v>
      </c>
      <c r="F9960" s="2">
        <v>1249</v>
      </c>
      <c r="G9960" s="2">
        <v>100</v>
      </c>
      <c r="H9960" s="2">
        <v>247</v>
      </c>
      <c r="I9960" s="2">
        <v>352</v>
      </c>
      <c r="J9960" s="2">
        <v>1092</v>
      </c>
      <c r="K9960" s="2">
        <v>1</v>
      </c>
      <c r="L9960" s="2">
        <v>247</v>
      </c>
    </row>
    <row r="9961" spans="1:12" x14ac:dyDescent="0.25">
      <c r="A9961" s="4" t="str">
        <f>HYPERLINK("http://www.rosaceae.org/Prunus/Prunus_persica/p.persica_gdr_reftransV1_0016688","p.persica_gdr_reftransV1_0016688")</f>
        <v>p.persica_gdr_reftransV1_0016688</v>
      </c>
      <c r="B9961" s="2">
        <v>4118</v>
      </c>
      <c r="C9961" s="4" t="str">
        <f>HYPERLINK("http://www.uniprot.org/uniprot/M5XRM5","M5XRM5")</f>
        <v>M5XRM5</v>
      </c>
      <c r="D9961" s="2" t="s">
        <v>8585</v>
      </c>
      <c r="E9961" s="3">
        <v>0</v>
      </c>
      <c r="F9961" s="2">
        <v>4130</v>
      </c>
      <c r="G9961" s="2">
        <v>98</v>
      </c>
      <c r="H9961" s="2">
        <v>915</v>
      </c>
      <c r="I9961" s="2">
        <v>926</v>
      </c>
      <c r="J9961" s="2">
        <v>3670</v>
      </c>
      <c r="K9961" s="2">
        <v>40</v>
      </c>
      <c r="L9961" s="2">
        <v>938</v>
      </c>
    </row>
    <row r="9962" spans="1:12" x14ac:dyDescent="0.25">
      <c r="A9962" s="4" t="str">
        <f>HYPERLINK("http://www.rosaceae.org/Prunus/Prunus_persica/p.persica_gdr_reftransV1_0017388","p.persica_gdr_reftransV1_0017388")</f>
        <v>p.persica_gdr_reftransV1_0017388</v>
      </c>
      <c r="B9962" s="2">
        <v>1349</v>
      </c>
      <c r="C9962" s="4" t="str">
        <f>HYPERLINK("http://www.uniprot.org/uniprot/M5W647","M5W647")</f>
        <v>M5W647</v>
      </c>
      <c r="D9962" s="2" t="s">
        <v>8586</v>
      </c>
      <c r="E9962" s="3">
        <v>0</v>
      </c>
      <c r="F9962" s="2">
        <v>2155</v>
      </c>
      <c r="G9962" s="2">
        <v>97</v>
      </c>
      <c r="H9962" s="2">
        <v>439</v>
      </c>
      <c r="I9962" s="2">
        <v>3</v>
      </c>
      <c r="J9962" s="2">
        <v>1319</v>
      </c>
      <c r="K9962" s="2">
        <v>651</v>
      </c>
      <c r="L9962" s="2">
        <v>1087</v>
      </c>
    </row>
    <row r="9963" spans="1:12" x14ac:dyDescent="0.25">
      <c r="A9963" s="4" t="str">
        <f>HYPERLINK("http://www.rosaceae.org/Prunus/Prunus_persica/p.persica_gdr_reftransV1_0018438","p.persica_gdr_reftransV1_0018438")</f>
        <v>p.persica_gdr_reftransV1_0018438</v>
      </c>
      <c r="B9963" s="2">
        <v>959</v>
      </c>
      <c r="C9963" s="4" t="str">
        <f>HYPERLINK("http://www.uniprot.org/uniprot/A0A068V0Y6","A0A068V0Y6")</f>
        <v>A0A068V0Y6</v>
      </c>
      <c r="D9963" s="2" t="s">
        <v>8587</v>
      </c>
      <c r="E9963" s="3">
        <v>2.35E-55</v>
      </c>
      <c r="F9963" s="2">
        <v>482</v>
      </c>
      <c r="G9963" s="2">
        <v>88</v>
      </c>
      <c r="H9963" s="2">
        <v>103</v>
      </c>
      <c r="I9963" s="2">
        <v>446</v>
      </c>
      <c r="J9963" s="2">
        <v>754</v>
      </c>
      <c r="K9963" s="2">
        <v>44</v>
      </c>
      <c r="L9963" s="2">
        <v>145</v>
      </c>
    </row>
    <row r="9964" spans="1:12" x14ac:dyDescent="0.25">
      <c r="A9964" s="4" t="str">
        <f>HYPERLINK("http://www.rosaceae.org/Prunus/Prunus_persica/p.persica_gdr_reftransV1_0018788","p.persica_gdr_reftransV1_0018788")</f>
        <v>p.persica_gdr_reftransV1_0018788</v>
      </c>
      <c r="B9964" s="2">
        <v>840</v>
      </c>
      <c r="C9964" s="4" t="str">
        <f>HYPERLINK("http://www.uniprot.org/uniprot/M5X5W2","M5X5W2")</f>
        <v>M5X5W2</v>
      </c>
      <c r="D9964" s="2" t="s">
        <v>8588</v>
      </c>
      <c r="E9964" s="3">
        <v>8.6300000000000006E-137</v>
      </c>
      <c r="F9964" s="2">
        <v>1038</v>
      </c>
      <c r="G9964" s="2">
        <v>73</v>
      </c>
      <c r="H9964" s="2">
        <v>279</v>
      </c>
      <c r="I9964" s="2">
        <v>4</v>
      </c>
      <c r="J9964" s="2">
        <v>837</v>
      </c>
      <c r="K9964" s="2">
        <v>14</v>
      </c>
      <c r="L9964" s="2">
        <v>292</v>
      </c>
    </row>
    <row r="9965" spans="1:12" x14ac:dyDescent="0.25">
      <c r="A9965" s="4" t="str">
        <f>HYPERLINK("http://www.rosaceae.org/Prunus/Prunus_persica/p.persica_gdr_reftransV1_0020538","p.persica_gdr_reftransV1_0020538")</f>
        <v>p.persica_gdr_reftransV1_0020538</v>
      </c>
      <c r="B9965" s="2">
        <v>4623</v>
      </c>
      <c r="C9965" s="4" t="str">
        <f>HYPERLINK("http://www.uniprot.org/uniprot/M5XD49","M5XD49")</f>
        <v>M5XD49</v>
      </c>
      <c r="D9965" s="2" t="s">
        <v>8589</v>
      </c>
      <c r="E9965" s="3">
        <v>0</v>
      </c>
      <c r="F9965" s="2">
        <v>2591</v>
      </c>
      <c r="G9965" s="2">
        <v>100</v>
      </c>
      <c r="H9965" s="2">
        <v>483</v>
      </c>
      <c r="I9965" s="2">
        <v>94</v>
      </c>
      <c r="J9965" s="2">
        <v>1542</v>
      </c>
      <c r="K9965" s="2">
        <v>1</v>
      </c>
      <c r="L9965" s="2">
        <v>483</v>
      </c>
    </row>
    <row r="9966" spans="1:12" x14ac:dyDescent="0.25">
      <c r="A9966" s="4" t="str">
        <f>HYPERLINK("http://www.rosaceae.org/Prunus/Prunus_persica/p.persica_gdr_reftransV1_0021938","p.persica_gdr_reftransV1_0021938")</f>
        <v>p.persica_gdr_reftransV1_0021938</v>
      </c>
      <c r="B9966" s="2">
        <v>2374</v>
      </c>
      <c r="C9966" s="4" t="str">
        <f>HYPERLINK("http://www.uniprot.org/uniprot/M5XQI9","M5XQI9")</f>
        <v>M5XQI9</v>
      </c>
      <c r="D9966" s="2" t="s">
        <v>8590</v>
      </c>
      <c r="E9966" s="3">
        <v>0</v>
      </c>
      <c r="F9966" s="2">
        <v>1804</v>
      </c>
      <c r="G9966" s="2">
        <v>100</v>
      </c>
      <c r="H9966" s="2">
        <v>418</v>
      </c>
      <c r="I9966" s="2">
        <v>223</v>
      </c>
      <c r="J9966" s="2">
        <v>1476</v>
      </c>
      <c r="K9966" s="2">
        <v>1</v>
      </c>
      <c r="L9966" s="2">
        <v>418</v>
      </c>
    </row>
    <row r="9967" spans="1:12" x14ac:dyDescent="0.25">
      <c r="A9967" s="4" t="str">
        <f>HYPERLINK("http://www.rosaceae.org/Prunus/Prunus_persica/p.persica_gdr_reftransV1_0023338","p.persica_gdr_reftransV1_0023338")</f>
        <v>p.persica_gdr_reftransV1_0023338</v>
      </c>
      <c r="B9967" s="2">
        <v>1480</v>
      </c>
      <c r="C9967" s="4" t="str">
        <f>HYPERLINK("http://www.uniprot.org/uniprot/M5XLJ3","M5XLJ3")</f>
        <v>M5XLJ3</v>
      </c>
      <c r="D9967" s="2" t="s">
        <v>8591</v>
      </c>
      <c r="E9967" s="3">
        <v>5.12E-148</v>
      </c>
      <c r="F9967" s="2">
        <v>1125</v>
      </c>
      <c r="G9967" s="2">
        <v>100</v>
      </c>
      <c r="H9967" s="2">
        <v>237</v>
      </c>
      <c r="I9967" s="2">
        <v>142</v>
      </c>
      <c r="J9967" s="2">
        <v>852</v>
      </c>
      <c r="K9967" s="2">
        <v>1</v>
      </c>
      <c r="L9967" s="2">
        <v>237</v>
      </c>
    </row>
    <row r="9968" spans="1:12" x14ac:dyDescent="0.25">
      <c r="A9968" s="4" t="str">
        <f>HYPERLINK("http://www.rosaceae.org/Prunus/Prunus_persica/p.persica_gdr_reftransV1_0023688","p.persica_gdr_reftransV1_0023688")</f>
        <v>p.persica_gdr_reftransV1_0023688</v>
      </c>
      <c r="B9968" s="2">
        <v>5185</v>
      </c>
      <c r="C9968" s="4" t="str">
        <f>HYPERLINK("http://www.uniprot.org/uniprot/M5WEA1","M5WEA1")</f>
        <v>M5WEA1</v>
      </c>
      <c r="D9968" s="2" t="s">
        <v>8592</v>
      </c>
      <c r="E9968" s="3">
        <v>0</v>
      </c>
      <c r="F9968" s="2">
        <v>6883</v>
      </c>
      <c r="G9968" s="2">
        <v>94</v>
      </c>
      <c r="H9968" s="2">
        <v>1446</v>
      </c>
      <c r="I9968" s="2">
        <v>527</v>
      </c>
      <c r="J9968" s="2">
        <v>4864</v>
      </c>
      <c r="K9968" s="2">
        <v>1</v>
      </c>
      <c r="L9968" s="2">
        <v>1366</v>
      </c>
    </row>
    <row r="9969" spans="1:12" x14ac:dyDescent="0.25">
      <c r="A9969" s="4" t="str">
        <f>HYPERLINK("http://www.rosaceae.org/Prunus/Prunus_persica/p.persica_gdr_reftransV1_0025788","p.persica_gdr_reftransV1_0025788")</f>
        <v>p.persica_gdr_reftransV1_0025788</v>
      </c>
      <c r="B9969" s="2">
        <v>2986</v>
      </c>
      <c r="C9969" s="4" t="str">
        <f>HYPERLINK("http://www.uniprot.org/uniprot/M5WMT1","M5WMT1")</f>
        <v>M5WMT1</v>
      </c>
      <c r="D9969" s="2" t="s">
        <v>3591</v>
      </c>
      <c r="E9969" s="3">
        <v>0</v>
      </c>
      <c r="F9969" s="2">
        <v>2576</v>
      </c>
      <c r="G9969" s="2">
        <v>92</v>
      </c>
      <c r="H9969" s="2">
        <v>550</v>
      </c>
      <c r="I9969" s="2">
        <v>215</v>
      </c>
      <c r="J9969" s="2">
        <v>1861</v>
      </c>
      <c r="K9969" s="2">
        <v>42</v>
      </c>
      <c r="L9969" s="2">
        <v>591</v>
      </c>
    </row>
    <row r="9970" spans="1:12" x14ac:dyDescent="0.25">
      <c r="A9970" s="4" t="str">
        <f>HYPERLINK("http://www.rosaceae.org/Prunus/Prunus_persica/p.persica_gdr_reftransV1_0026138","p.persica_gdr_reftransV1_0026138")</f>
        <v>p.persica_gdr_reftransV1_0026138</v>
      </c>
      <c r="B9970" s="2">
        <v>1092</v>
      </c>
      <c r="C9970" s="4" t="str">
        <f>HYPERLINK("http://www.uniprot.org/uniprot/M5XTW1","M5XTW1")</f>
        <v>M5XTW1</v>
      </c>
      <c r="D9970" s="2" t="s">
        <v>8593</v>
      </c>
      <c r="E9970" s="3">
        <v>0</v>
      </c>
      <c r="F9970" s="2">
        <v>1892</v>
      </c>
      <c r="G9970" s="2">
        <v>100</v>
      </c>
      <c r="H9970" s="2">
        <v>363</v>
      </c>
      <c r="I9970" s="2">
        <v>2</v>
      </c>
      <c r="J9970" s="2">
        <v>1090</v>
      </c>
      <c r="K9970" s="2">
        <v>31</v>
      </c>
      <c r="L9970" s="2">
        <v>393</v>
      </c>
    </row>
    <row r="9971" spans="1:12" x14ac:dyDescent="0.25">
      <c r="A9971" s="4" t="str">
        <f>HYPERLINK("http://www.rosaceae.org/Prunus/Prunus_persica/p.persica_gdr_reftransV1_0026488","p.persica_gdr_reftransV1_0026488")</f>
        <v>p.persica_gdr_reftransV1_0026488</v>
      </c>
      <c r="B9971" s="2">
        <v>1283</v>
      </c>
      <c r="C9971" s="4" t="str">
        <f>HYPERLINK("http://www.uniprot.org/uniprot/M5WTS2","M5WTS2")</f>
        <v>M5WTS2</v>
      </c>
      <c r="D9971" s="2" t="s">
        <v>8594</v>
      </c>
      <c r="E9971" s="3">
        <v>0</v>
      </c>
      <c r="F9971" s="2">
        <v>1859</v>
      </c>
      <c r="G9971" s="2">
        <v>100</v>
      </c>
      <c r="H9971" s="2">
        <v>349</v>
      </c>
      <c r="I9971" s="2">
        <v>165</v>
      </c>
      <c r="J9971" s="2">
        <v>1211</v>
      </c>
      <c r="K9971" s="2">
        <v>1</v>
      </c>
      <c r="L9971" s="2">
        <v>349</v>
      </c>
    </row>
    <row r="9972" spans="1:12" x14ac:dyDescent="0.25">
      <c r="A9972" s="4" t="str">
        <f>HYPERLINK("http://www.rosaceae.org/Prunus/Prunus_persica/p.persica_gdr_reftransV1_0027538","p.persica_gdr_reftransV1_0027538")</f>
        <v>p.persica_gdr_reftransV1_0027538</v>
      </c>
      <c r="B9972" s="2">
        <v>2448</v>
      </c>
      <c r="C9972" s="4" t="str">
        <f>HYPERLINK("http://www.uniprot.org/uniprot/M5VM31","M5VM31")</f>
        <v>M5VM31</v>
      </c>
      <c r="D9972" s="2" t="s">
        <v>8595</v>
      </c>
      <c r="E9972" s="3">
        <v>0</v>
      </c>
      <c r="F9972" s="2">
        <v>1441</v>
      </c>
      <c r="G9972" s="2">
        <v>99</v>
      </c>
      <c r="H9972" s="2">
        <v>288</v>
      </c>
      <c r="I9972" s="2">
        <v>436</v>
      </c>
      <c r="J9972" s="2">
        <v>1299</v>
      </c>
      <c r="K9972" s="2">
        <v>149</v>
      </c>
      <c r="L9972" s="2">
        <v>436</v>
      </c>
    </row>
    <row r="9973" spans="1:12" x14ac:dyDescent="0.25">
      <c r="A9973" s="4" t="str">
        <f>HYPERLINK("http://www.rosaceae.org/Prunus/Prunus_persica/p.persica_gdr_reftransV1_0028238","p.persica_gdr_reftransV1_0028238")</f>
        <v>p.persica_gdr_reftransV1_0028238</v>
      </c>
      <c r="B9973" s="2">
        <v>1891</v>
      </c>
      <c r="C9973" s="4" t="str">
        <f>HYPERLINK("http://www.uniprot.org/uniprot/M5WD12","M5WD12")</f>
        <v>M5WD12</v>
      </c>
      <c r="D9973" s="2" t="s">
        <v>8596</v>
      </c>
      <c r="E9973" s="3">
        <v>0</v>
      </c>
      <c r="F9973" s="2">
        <v>2520</v>
      </c>
      <c r="G9973" s="2">
        <v>100</v>
      </c>
      <c r="H9973" s="2">
        <v>485</v>
      </c>
      <c r="I9973" s="2">
        <v>362</v>
      </c>
      <c r="J9973" s="2">
        <v>1816</v>
      </c>
      <c r="K9973" s="2">
        <v>1</v>
      </c>
      <c r="L9973" s="2">
        <v>485</v>
      </c>
    </row>
    <row r="9974" spans="1:12" x14ac:dyDescent="0.25">
      <c r="A9974" s="4" t="str">
        <f>HYPERLINK("http://www.rosaceae.org/Prunus/Prunus_persica/p.persica_gdr_reftransV1_0028588","p.persica_gdr_reftransV1_0028588")</f>
        <v>p.persica_gdr_reftransV1_0028588</v>
      </c>
      <c r="B9974" s="2">
        <v>1130</v>
      </c>
      <c r="C9974" s="4" t="str">
        <f>HYPERLINK("http://www.uniprot.org/uniprot/M5XDT0","M5XDT0")</f>
        <v>M5XDT0</v>
      </c>
      <c r="D9974" s="2" t="s">
        <v>8597</v>
      </c>
      <c r="E9974" s="3">
        <v>7.97E-172</v>
      </c>
      <c r="F9974" s="2">
        <v>1267</v>
      </c>
      <c r="G9974" s="2">
        <v>96</v>
      </c>
      <c r="H9974" s="2">
        <v>274</v>
      </c>
      <c r="I9974" s="2">
        <v>195</v>
      </c>
      <c r="J9974" s="2">
        <v>1016</v>
      </c>
      <c r="K9974" s="2">
        <v>1</v>
      </c>
      <c r="L9974" s="2">
        <v>263</v>
      </c>
    </row>
    <row r="9975" spans="1:12" x14ac:dyDescent="0.25">
      <c r="A9975" s="4" t="str">
        <f>HYPERLINK("http://www.rosaceae.org/Prunus/Prunus_persica/p.persica_gdr_reftransV1_0029638","p.persica_gdr_reftransV1_0029638")</f>
        <v>p.persica_gdr_reftransV1_0029638</v>
      </c>
      <c r="B9975" s="2">
        <v>3300</v>
      </c>
      <c r="C9975" s="4" t="str">
        <f>HYPERLINK("http://www.uniprot.org/uniprot/M5X0K3","M5X0K3")</f>
        <v>M5X0K3</v>
      </c>
      <c r="D9975" s="2" t="s">
        <v>8598</v>
      </c>
      <c r="E9975" s="3">
        <v>0</v>
      </c>
      <c r="F9975" s="2">
        <v>3943</v>
      </c>
      <c r="G9975" s="2">
        <v>88</v>
      </c>
      <c r="H9975" s="2">
        <v>868</v>
      </c>
      <c r="I9975" s="2">
        <v>347</v>
      </c>
      <c r="J9975" s="2">
        <v>2950</v>
      </c>
      <c r="K9975" s="2">
        <v>1</v>
      </c>
      <c r="L9975" s="2">
        <v>780</v>
      </c>
    </row>
    <row r="9976" spans="1:12" x14ac:dyDescent="0.25">
      <c r="A9976" s="4" t="str">
        <f>HYPERLINK("http://www.rosaceae.org/Prunus/Prunus_persica/p.persica_gdr_reftransV1_0029988","p.persica_gdr_reftransV1_0029988")</f>
        <v>p.persica_gdr_reftransV1_0029988</v>
      </c>
      <c r="B9976" s="2">
        <v>3012</v>
      </c>
      <c r="C9976" s="4" t="str">
        <f>HYPERLINK("http://www.uniprot.org/uniprot/M5W693","M5W693")</f>
        <v>M5W693</v>
      </c>
      <c r="D9976" s="2" t="s">
        <v>8599</v>
      </c>
      <c r="E9976" s="3">
        <v>0</v>
      </c>
      <c r="F9976" s="2">
        <v>4104</v>
      </c>
      <c r="G9976" s="2">
        <v>100</v>
      </c>
      <c r="H9976" s="2">
        <v>772</v>
      </c>
      <c r="I9976" s="2">
        <v>173</v>
      </c>
      <c r="J9976" s="2">
        <v>2488</v>
      </c>
      <c r="K9976" s="2">
        <v>1</v>
      </c>
      <c r="L9976" s="2">
        <v>772</v>
      </c>
    </row>
    <row r="9977" spans="1:12" x14ac:dyDescent="0.25">
      <c r="A9977" s="4" t="str">
        <f>HYPERLINK("http://www.rosaceae.org/Prunus/Prunus_persica/p.persica_gdr_reftransV1_0031738","p.persica_gdr_reftransV1_0031738")</f>
        <v>p.persica_gdr_reftransV1_0031738</v>
      </c>
      <c r="B9977" s="2">
        <v>1358</v>
      </c>
      <c r="C9977" s="4" t="str">
        <f>HYPERLINK("http://www.uniprot.org/uniprot/M5Y447","M5Y447")</f>
        <v>M5Y447</v>
      </c>
      <c r="D9977" s="2" t="s">
        <v>8600</v>
      </c>
      <c r="E9977" s="3">
        <v>2.06E-89</v>
      </c>
      <c r="F9977" s="2">
        <v>777</v>
      </c>
      <c r="G9977" s="2">
        <v>100</v>
      </c>
      <c r="H9977" s="2">
        <v>192</v>
      </c>
      <c r="I9977" s="2">
        <v>781</v>
      </c>
      <c r="J9977" s="2">
        <v>1356</v>
      </c>
      <c r="K9977" s="2">
        <v>1</v>
      </c>
      <c r="L9977" s="2">
        <v>192</v>
      </c>
    </row>
    <row r="9978" spans="1:12" x14ac:dyDescent="0.25">
      <c r="A9978" s="4" t="str">
        <f>HYPERLINK("http://www.rosaceae.org/Prunus/Prunus_persica/p.persica_gdr_reftransV1_0032088","p.persica_gdr_reftransV1_0032088")</f>
        <v>p.persica_gdr_reftransV1_0032088</v>
      </c>
      <c r="B9978" s="2">
        <v>4129</v>
      </c>
      <c r="C9978" s="4" t="str">
        <f>HYPERLINK("http://www.uniprot.org/uniprot/M5VRJ2","M5VRJ2")</f>
        <v>M5VRJ2</v>
      </c>
      <c r="D9978" s="2" t="s">
        <v>8601</v>
      </c>
      <c r="E9978" s="3">
        <v>3.24E-99</v>
      </c>
      <c r="F9978" s="2">
        <v>829</v>
      </c>
      <c r="G9978" s="2">
        <v>100</v>
      </c>
      <c r="H9978" s="2">
        <v>153</v>
      </c>
      <c r="I9978" s="2">
        <v>257</v>
      </c>
      <c r="J9978" s="2">
        <v>715</v>
      </c>
      <c r="K9978" s="2">
        <v>1</v>
      </c>
      <c r="L9978" s="2">
        <v>153</v>
      </c>
    </row>
    <row r="9979" spans="1:12" x14ac:dyDescent="0.25">
      <c r="A9979" s="4" t="str">
        <f>HYPERLINK("http://www.rosaceae.org/Prunus/Prunus_persica/p.persica_gdr_reftransV1_0032788","p.persica_gdr_reftransV1_0032788")</f>
        <v>p.persica_gdr_reftransV1_0032788</v>
      </c>
      <c r="B9979" s="2">
        <v>3912</v>
      </c>
      <c r="C9979" s="4" t="str">
        <f>HYPERLINK("http://www.uniprot.org/uniprot/M5WI13","M5WI13")</f>
        <v>M5WI13</v>
      </c>
      <c r="D9979" s="2" t="s">
        <v>8602</v>
      </c>
      <c r="E9979" s="3">
        <v>1.1E-140</v>
      </c>
      <c r="F9979" s="2">
        <v>1150</v>
      </c>
      <c r="G9979" s="2">
        <v>99</v>
      </c>
      <c r="H9979" s="2">
        <v>254</v>
      </c>
      <c r="I9979" s="2">
        <v>2517</v>
      </c>
      <c r="J9979" s="2">
        <v>3278</v>
      </c>
      <c r="K9979" s="2">
        <v>183</v>
      </c>
      <c r="L9979" s="2">
        <v>436</v>
      </c>
    </row>
    <row r="9980" spans="1:12" x14ac:dyDescent="0.25">
      <c r="A9980" s="4" t="str">
        <f>HYPERLINK("http://www.rosaceae.org/Prunus/Prunus_persica/p.persica_gdr_reftransV1_0033838","p.persica_gdr_reftransV1_0033838")</f>
        <v>p.persica_gdr_reftransV1_0033838</v>
      </c>
      <c r="B9980" s="2">
        <v>2026</v>
      </c>
      <c r="C9980" s="4" t="str">
        <f>HYPERLINK("http://www.uniprot.org/uniprot/M1P405","M1P405")</f>
        <v>M1P405</v>
      </c>
      <c r="D9980" s="2" t="s">
        <v>4813</v>
      </c>
      <c r="E9980" s="3">
        <v>1.02E-116</v>
      </c>
      <c r="F9980" s="2">
        <v>939</v>
      </c>
      <c r="G9980" s="2">
        <v>100</v>
      </c>
      <c r="H9980" s="2">
        <v>176</v>
      </c>
      <c r="I9980" s="2">
        <v>1341</v>
      </c>
      <c r="J9980" s="2">
        <v>1868</v>
      </c>
      <c r="K9980" s="2">
        <v>1</v>
      </c>
      <c r="L9980" s="2">
        <v>176</v>
      </c>
    </row>
    <row r="9981" spans="1:12" x14ac:dyDescent="0.25">
      <c r="A9981" s="4" t="str">
        <f>HYPERLINK("http://www.rosaceae.org/Prunus/Prunus_persica/p.persica_gdr_reftransV1_0034888","p.persica_gdr_reftransV1_0034888")</f>
        <v>p.persica_gdr_reftransV1_0034888</v>
      </c>
      <c r="B9981" s="2">
        <v>2810</v>
      </c>
      <c r="C9981" s="4" t="str">
        <f>HYPERLINK("http://www.uniprot.org/uniprot/M5W0G5","M5W0G5")</f>
        <v>M5W0G5</v>
      </c>
      <c r="D9981" s="2" t="s">
        <v>8603</v>
      </c>
      <c r="E9981" s="3">
        <v>0</v>
      </c>
      <c r="F9981" s="2">
        <v>1691</v>
      </c>
      <c r="G9981" s="2">
        <v>80</v>
      </c>
      <c r="H9981" s="2">
        <v>428</v>
      </c>
      <c r="I9981" s="2">
        <v>1375</v>
      </c>
      <c r="J9981" s="2">
        <v>2658</v>
      </c>
      <c r="K9981" s="2">
        <v>42</v>
      </c>
      <c r="L9981" s="2">
        <v>382</v>
      </c>
    </row>
    <row r="9982" spans="1:12" x14ac:dyDescent="0.25">
      <c r="A9982" s="4" t="str">
        <f>HYPERLINK("http://www.rosaceae.org/Prunus/Prunus_persica/p.persica_gdr_reftransV1_0035238","p.persica_gdr_reftransV1_0035238")</f>
        <v>p.persica_gdr_reftransV1_0035238</v>
      </c>
      <c r="B9982" s="2">
        <v>3651</v>
      </c>
      <c r="C9982" s="4" t="str">
        <f>HYPERLINK("http://www.uniprot.org/uniprot/M5WF22","M5WF22")</f>
        <v>M5WF22</v>
      </c>
      <c r="D9982" s="2" t="s">
        <v>8604</v>
      </c>
      <c r="E9982" s="3">
        <v>0</v>
      </c>
      <c r="F9982" s="2">
        <v>1409</v>
      </c>
      <c r="G9982" s="2">
        <v>100</v>
      </c>
      <c r="H9982" s="2">
        <v>263</v>
      </c>
      <c r="I9982" s="2">
        <v>1831</v>
      </c>
      <c r="J9982" s="2">
        <v>2619</v>
      </c>
      <c r="K9982" s="2">
        <v>82</v>
      </c>
      <c r="L9982" s="2">
        <v>344</v>
      </c>
    </row>
    <row r="9983" spans="1:12" x14ac:dyDescent="0.25">
      <c r="A9983" s="4" t="str">
        <f>HYPERLINK("http://www.rosaceae.org/Prunus/Prunus_persica/p.persica_gdr_reftransV1_0036288","p.persica_gdr_reftransV1_0036288")</f>
        <v>p.persica_gdr_reftransV1_0036288</v>
      </c>
      <c r="B9983" s="2">
        <v>411</v>
      </c>
      <c r="C9983" s="4" t="str">
        <f>HYPERLINK("http://www.uniprot.org/uniprot/M5XCI9","M5XCI9")</f>
        <v>M5XCI9</v>
      </c>
      <c r="D9983" s="2" t="s">
        <v>8191</v>
      </c>
      <c r="E9983" s="3">
        <v>1.9799999999999998E-80</v>
      </c>
      <c r="F9983" s="2">
        <v>644</v>
      </c>
      <c r="G9983" s="2">
        <v>100</v>
      </c>
      <c r="H9983" s="2">
        <v>122</v>
      </c>
      <c r="I9983" s="2">
        <v>3</v>
      </c>
      <c r="J9983" s="2">
        <v>368</v>
      </c>
      <c r="K9983" s="2">
        <v>1</v>
      </c>
      <c r="L9983" s="2">
        <v>122</v>
      </c>
    </row>
    <row r="9984" spans="1:12" x14ac:dyDescent="0.25">
      <c r="A9984" s="4" t="str">
        <f>HYPERLINK("http://www.rosaceae.org/Prunus/Prunus_persica/p.persica_gdr_reftransV1_0036988","p.persica_gdr_reftransV1_0036988")</f>
        <v>p.persica_gdr_reftransV1_0036988</v>
      </c>
      <c r="B9984" s="2">
        <v>2801</v>
      </c>
      <c r="C9984" s="4" t="str">
        <f>HYPERLINK("http://www.uniprot.org/uniprot/M5X9J6","M5X9J6")</f>
        <v>M5X9J6</v>
      </c>
      <c r="D9984" s="2" t="s">
        <v>8447</v>
      </c>
      <c r="E9984" s="3">
        <v>0</v>
      </c>
      <c r="F9984" s="2">
        <v>3263</v>
      </c>
      <c r="G9984" s="2">
        <v>100</v>
      </c>
      <c r="H9984" s="2">
        <v>631</v>
      </c>
      <c r="I9984" s="2">
        <v>269</v>
      </c>
      <c r="J9984" s="2">
        <v>2161</v>
      </c>
      <c r="K9984" s="2">
        <v>11</v>
      </c>
      <c r="L9984" s="2">
        <v>641</v>
      </c>
    </row>
    <row r="9985" spans="1:12" x14ac:dyDescent="0.25">
      <c r="A9985" s="4" t="str">
        <f>HYPERLINK("http://www.rosaceae.org/Prunus/Prunus_persica/p.persica_gdr_reftransV1_0037338","p.persica_gdr_reftransV1_0037338")</f>
        <v>p.persica_gdr_reftransV1_0037338</v>
      </c>
      <c r="B9985" s="2">
        <v>2654</v>
      </c>
      <c r="C9985" s="4" t="str">
        <f>HYPERLINK("http://www.uniprot.org/uniprot/M5WE25","M5WE25")</f>
        <v>M5WE25</v>
      </c>
      <c r="D9985" s="2" t="s">
        <v>8605</v>
      </c>
      <c r="E9985" s="3">
        <v>0</v>
      </c>
      <c r="F9985" s="2">
        <v>1520</v>
      </c>
      <c r="G9985" s="2">
        <v>99</v>
      </c>
      <c r="H9985" s="2">
        <v>282</v>
      </c>
      <c r="I9985" s="2">
        <v>980</v>
      </c>
      <c r="J9985" s="2">
        <v>1825</v>
      </c>
      <c r="K9985" s="2">
        <v>318</v>
      </c>
      <c r="L9985" s="2">
        <v>599</v>
      </c>
    </row>
    <row r="9986" spans="1:12" x14ac:dyDescent="0.25">
      <c r="A9986" s="4" t="str">
        <f>HYPERLINK("http://www.rosaceae.org/Prunus/Prunus_persica/p.persica_gdr_reftransV1_0038388","p.persica_gdr_reftransV1_0038388")</f>
        <v>p.persica_gdr_reftransV1_0038388</v>
      </c>
      <c r="B9986" s="2">
        <v>1109</v>
      </c>
      <c r="C9986" s="4" t="str">
        <f>HYPERLINK("http://www.uniprot.org/uniprot/M5XAD8","M5XAD8")</f>
        <v>M5XAD8</v>
      </c>
      <c r="D9986" s="2" t="s">
        <v>8606</v>
      </c>
      <c r="E9986" s="3">
        <v>7.9799999999999996E-139</v>
      </c>
      <c r="F9986" s="2">
        <v>1040</v>
      </c>
      <c r="G9986" s="2">
        <v>100</v>
      </c>
      <c r="H9986" s="2">
        <v>194</v>
      </c>
      <c r="I9986" s="2">
        <v>228</v>
      </c>
      <c r="J9986" s="2">
        <v>809</v>
      </c>
      <c r="K9986" s="2">
        <v>1</v>
      </c>
      <c r="L9986" s="2">
        <v>194</v>
      </c>
    </row>
    <row r="9987" spans="1:12" x14ac:dyDescent="0.25">
      <c r="A9987" s="4" t="str">
        <f>HYPERLINK("http://www.rosaceae.org/Prunus/Prunus_persica/p.persica_gdr_reftransV1_0040838","p.persica_gdr_reftransV1_0040838")</f>
        <v>p.persica_gdr_reftransV1_0040838</v>
      </c>
      <c r="B9987" s="2">
        <v>613</v>
      </c>
      <c r="C9987" s="4" t="str">
        <f>HYPERLINK("http://www.uniprot.org/uniprot/M5VSW1","M5VSW1")</f>
        <v>M5VSW1</v>
      </c>
      <c r="D9987" s="2" t="s">
        <v>8607</v>
      </c>
      <c r="E9987" s="3">
        <v>2.5799999999999998E-119</v>
      </c>
      <c r="F9987" s="2">
        <v>898</v>
      </c>
      <c r="G9987" s="2">
        <v>100</v>
      </c>
      <c r="H9987" s="2">
        <v>179</v>
      </c>
      <c r="I9987" s="2">
        <v>75</v>
      </c>
      <c r="J9987" s="2">
        <v>611</v>
      </c>
      <c r="K9987" s="2">
        <v>1</v>
      </c>
      <c r="L9987" s="2">
        <v>179</v>
      </c>
    </row>
    <row r="9988" spans="1:12" x14ac:dyDescent="0.25">
      <c r="A9988" s="4" t="str">
        <f>HYPERLINK("http://www.rosaceae.org/Prunus/Prunus_persica/p.persica_gdr_reftransV1_0041188","p.persica_gdr_reftransV1_0041188")</f>
        <v>p.persica_gdr_reftransV1_0041188</v>
      </c>
      <c r="B9988" s="2">
        <v>3367</v>
      </c>
      <c r="C9988" s="4" t="str">
        <f>HYPERLINK("http://www.uniprot.org/uniprot/M5XVL1","M5XVL1")</f>
        <v>M5XVL1</v>
      </c>
      <c r="D9988" s="2" t="s">
        <v>8608</v>
      </c>
      <c r="E9988" s="3">
        <v>0</v>
      </c>
      <c r="F9988" s="2">
        <v>2540</v>
      </c>
      <c r="G9988" s="2">
        <v>100</v>
      </c>
      <c r="H9988" s="2">
        <v>475</v>
      </c>
      <c r="I9988" s="2">
        <v>172</v>
      </c>
      <c r="J9988" s="2">
        <v>1596</v>
      </c>
      <c r="K9988" s="2">
        <v>22</v>
      </c>
      <c r="L9988" s="2">
        <v>496</v>
      </c>
    </row>
    <row r="9989" spans="1:12" x14ac:dyDescent="0.25">
      <c r="A9989" s="4" t="str">
        <f>HYPERLINK("http://www.rosaceae.org/Prunus/Prunus_persica/p.persica_gdr_reftransV1_0041888","p.persica_gdr_reftransV1_0041888")</f>
        <v>p.persica_gdr_reftransV1_0041888</v>
      </c>
      <c r="B9989" s="2">
        <v>1038</v>
      </c>
      <c r="C9989" s="4" t="str">
        <f>HYPERLINK("http://www.uniprot.org/uniprot/M5W9W2","M5W9W2")</f>
        <v>M5W9W2</v>
      </c>
      <c r="D9989" s="2" t="s">
        <v>8609</v>
      </c>
      <c r="E9989" s="3">
        <v>8.2599999999999997E-179</v>
      </c>
      <c r="F9989" s="2">
        <v>1312</v>
      </c>
      <c r="G9989" s="2">
        <v>100</v>
      </c>
      <c r="H9989" s="2">
        <v>247</v>
      </c>
      <c r="I9989" s="2">
        <v>297</v>
      </c>
      <c r="J9989" s="2">
        <v>1037</v>
      </c>
      <c r="K9989" s="2">
        <v>1</v>
      </c>
      <c r="L9989" s="2">
        <v>247</v>
      </c>
    </row>
    <row r="9990" spans="1:12" x14ac:dyDescent="0.25">
      <c r="A9990" s="4" t="str">
        <f>HYPERLINK("http://www.rosaceae.org/Prunus/Prunus_persica/p.persica_gdr_reftransV1_0042238","p.persica_gdr_reftransV1_0042238")</f>
        <v>p.persica_gdr_reftransV1_0042238</v>
      </c>
      <c r="B9990" s="2">
        <v>2858</v>
      </c>
      <c r="C9990" s="4" t="str">
        <f>HYPERLINK("http://www.uniprot.org/uniprot/M5X410","M5X410")</f>
        <v>M5X410</v>
      </c>
      <c r="D9990" s="2" t="s">
        <v>8610</v>
      </c>
      <c r="E9990" s="3">
        <v>0</v>
      </c>
      <c r="F9990" s="2">
        <v>1773</v>
      </c>
      <c r="G9990" s="2">
        <v>100</v>
      </c>
      <c r="H9990" s="2">
        <v>367</v>
      </c>
      <c r="I9990" s="2">
        <v>171</v>
      </c>
      <c r="J9990" s="2">
        <v>1271</v>
      </c>
      <c r="K9990" s="2">
        <v>1</v>
      </c>
      <c r="L9990" s="2">
        <v>367</v>
      </c>
    </row>
    <row r="9991" spans="1:12" x14ac:dyDescent="0.25">
      <c r="A9991" s="4" t="str">
        <f>HYPERLINK("http://www.rosaceae.org/Prunus/Prunus_persica/p.persica_gdr_reftransV1_0042588","p.persica_gdr_reftransV1_0042588")</f>
        <v>p.persica_gdr_reftransV1_0042588</v>
      </c>
      <c r="B9991" s="2">
        <v>1232</v>
      </c>
      <c r="C9991" s="4" t="str">
        <f>HYPERLINK("http://www.uniprot.org/uniprot/M5XHU1","M5XHU1")</f>
        <v>M5XHU1</v>
      </c>
      <c r="D9991" s="2" t="s">
        <v>8611</v>
      </c>
      <c r="E9991" s="3">
        <v>1.25E-141</v>
      </c>
      <c r="F9991" s="2">
        <v>1067</v>
      </c>
      <c r="G9991" s="2">
        <v>100</v>
      </c>
      <c r="H9991" s="2">
        <v>234</v>
      </c>
      <c r="I9991" s="2">
        <v>330</v>
      </c>
      <c r="J9991" s="2">
        <v>1031</v>
      </c>
      <c r="K9991" s="2">
        <v>1</v>
      </c>
      <c r="L9991" s="2">
        <v>234</v>
      </c>
    </row>
    <row r="9992" spans="1:12" x14ac:dyDescent="0.25">
      <c r="A9992" s="4" t="str">
        <f>HYPERLINK("http://www.rosaceae.org/Prunus/Prunus_persica/p.persica_gdr_reftransV1_0042938","p.persica_gdr_reftransV1_0042938")</f>
        <v>p.persica_gdr_reftransV1_0042938</v>
      </c>
      <c r="B9992" s="2">
        <v>3299</v>
      </c>
      <c r="C9992" s="4" t="str">
        <f>HYPERLINK("http://www.uniprot.org/uniprot/M5XB25","M5XB25")</f>
        <v>M5XB25</v>
      </c>
      <c r="D9992" s="2" t="s">
        <v>8612</v>
      </c>
      <c r="E9992" s="3">
        <v>0</v>
      </c>
      <c r="F9992" s="2">
        <v>1735</v>
      </c>
      <c r="G9992" s="2">
        <v>94</v>
      </c>
      <c r="H9992" s="2">
        <v>407</v>
      </c>
      <c r="I9992" s="2">
        <v>263</v>
      </c>
      <c r="J9992" s="2">
        <v>1483</v>
      </c>
      <c r="K9992" s="2">
        <v>68</v>
      </c>
      <c r="L9992" s="2">
        <v>450</v>
      </c>
    </row>
    <row r="9993" spans="1:12" x14ac:dyDescent="0.25">
      <c r="A9993" s="4" t="str">
        <f>HYPERLINK("http://www.rosaceae.org/Prunus/Prunus_persica/p.persica_gdr_reftransV1_0043288","p.persica_gdr_reftransV1_0043288")</f>
        <v>p.persica_gdr_reftransV1_0043288</v>
      </c>
      <c r="B9993" s="2">
        <v>2512</v>
      </c>
      <c r="C9993" s="4" t="str">
        <f>HYPERLINK("http://www.uniprot.org/uniprot/M5X100","M5X100")</f>
        <v>M5X100</v>
      </c>
      <c r="D9993" s="2" t="s">
        <v>4954</v>
      </c>
      <c r="E9993" s="3">
        <v>0</v>
      </c>
      <c r="F9993" s="2">
        <v>2920</v>
      </c>
      <c r="G9993" s="2">
        <v>100</v>
      </c>
      <c r="H9993" s="2">
        <v>540</v>
      </c>
      <c r="I9993" s="2">
        <v>550</v>
      </c>
      <c r="J9993" s="2">
        <v>2169</v>
      </c>
      <c r="K9993" s="2">
        <v>1</v>
      </c>
      <c r="L9993" s="2">
        <v>540</v>
      </c>
    </row>
    <row r="9994" spans="1:12" x14ac:dyDescent="0.25">
      <c r="A9994" s="4" t="str">
        <f>HYPERLINK("http://www.rosaceae.org/Prunus/Prunus_persica/p.persica_gdr_reftransV1_0043638","p.persica_gdr_reftransV1_0043638")</f>
        <v>p.persica_gdr_reftransV1_0043638</v>
      </c>
      <c r="B9994" s="2">
        <v>826</v>
      </c>
      <c r="C9994" s="4" t="str">
        <f>HYPERLINK("http://www.uniprot.org/uniprot/M5Y5W3","M5Y5W3")</f>
        <v>M5Y5W3</v>
      </c>
      <c r="D9994" s="2" t="s">
        <v>5550</v>
      </c>
      <c r="E9994" s="3">
        <v>2.14E-63</v>
      </c>
      <c r="F9994" s="2">
        <v>535</v>
      </c>
      <c r="G9994" s="2">
        <v>85</v>
      </c>
      <c r="H9994" s="2">
        <v>136</v>
      </c>
      <c r="I9994" s="2">
        <v>394</v>
      </c>
      <c r="J9994" s="2">
        <v>801</v>
      </c>
      <c r="K9994" s="2">
        <v>92</v>
      </c>
      <c r="L9994" s="2">
        <v>225</v>
      </c>
    </row>
    <row r="9995" spans="1:12" x14ac:dyDescent="0.25">
      <c r="A9995" s="4" t="str">
        <f>HYPERLINK("http://www.rosaceae.org/Prunus/Prunus_persica/p.persica_gdr_reftransV1_0043988","p.persica_gdr_reftransV1_0043988")</f>
        <v>p.persica_gdr_reftransV1_0043988</v>
      </c>
      <c r="B9995" s="2">
        <v>745</v>
      </c>
      <c r="C9995" s="4" t="str">
        <f>HYPERLINK("http://www.uniprot.org/uniprot/M5WA66","M5WA66")</f>
        <v>M5WA66</v>
      </c>
      <c r="D9995" s="2" t="s">
        <v>1875</v>
      </c>
      <c r="E9995" s="3">
        <v>0</v>
      </c>
      <c r="F9995" s="2">
        <v>1345</v>
      </c>
      <c r="G9995" s="2">
        <v>100</v>
      </c>
      <c r="H9995" s="2">
        <v>248</v>
      </c>
      <c r="I9995" s="2">
        <v>1</v>
      </c>
      <c r="J9995" s="2">
        <v>744</v>
      </c>
      <c r="K9995" s="2">
        <v>55</v>
      </c>
      <c r="L9995" s="2">
        <v>302</v>
      </c>
    </row>
    <row r="9996" spans="1:12" x14ac:dyDescent="0.25">
      <c r="A9996" s="4" t="str">
        <f>HYPERLINK("http://www.rosaceae.org/Prunus/Prunus_persica/p.persica_gdr_reftransV1_0044688","p.persica_gdr_reftransV1_0044688")</f>
        <v>p.persica_gdr_reftransV1_0044688</v>
      </c>
      <c r="B9996" s="2">
        <v>405</v>
      </c>
      <c r="C9996" s="4" t="str">
        <f>HYPERLINK("http://www.uniprot.org/uniprot/M5WCI0","M5WCI0")</f>
        <v>M5WCI0</v>
      </c>
      <c r="D9996" s="2" t="s">
        <v>8613</v>
      </c>
      <c r="E9996" s="3">
        <v>2.2599999999999999E-77</v>
      </c>
      <c r="F9996" s="2">
        <v>613</v>
      </c>
      <c r="G9996" s="2">
        <v>100</v>
      </c>
      <c r="H9996" s="2">
        <v>131</v>
      </c>
      <c r="I9996" s="2">
        <v>1</v>
      </c>
      <c r="J9996" s="2">
        <v>393</v>
      </c>
      <c r="K9996" s="2">
        <v>108</v>
      </c>
      <c r="L9996" s="2">
        <v>238</v>
      </c>
    </row>
    <row r="9997" spans="1:12" x14ac:dyDescent="0.25">
      <c r="A9997" s="4" t="str">
        <f>HYPERLINK("http://www.rosaceae.org/Prunus/Prunus_persica/p.persica_gdr_reftransV1_0045038","p.persica_gdr_reftransV1_0045038")</f>
        <v>p.persica_gdr_reftransV1_0045038</v>
      </c>
      <c r="B9997" s="2">
        <v>595</v>
      </c>
      <c r="C9997" s="4" t="str">
        <f>HYPERLINK("http://www.uniprot.org/uniprot/M5X1J3","M5X1J3")</f>
        <v>M5X1J3</v>
      </c>
      <c r="D9997" s="2" t="s">
        <v>8614</v>
      </c>
      <c r="E9997" s="3">
        <v>5.6700000000000003E-71</v>
      </c>
      <c r="F9997" s="2">
        <v>568</v>
      </c>
      <c r="G9997" s="2">
        <v>100</v>
      </c>
      <c r="H9997" s="2">
        <v>131</v>
      </c>
      <c r="I9997" s="2">
        <v>17</v>
      </c>
      <c r="J9997" s="2">
        <v>409</v>
      </c>
      <c r="K9997" s="2">
        <v>1</v>
      </c>
      <c r="L9997" s="2">
        <v>131</v>
      </c>
    </row>
    <row r="9998" spans="1:12" x14ac:dyDescent="0.25">
      <c r="A9998" s="4" t="str">
        <f>HYPERLINK("http://www.rosaceae.org/Prunus/Prunus_persica/p.persica_gdr_reftransV1_0045388","p.persica_gdr_reftransV1_0045388")</f>
        <v>p.persica_gdr_reftransV1_0045388</v>
      </c>
      <c r="B9998" s="2">
        <v>3298</v>
      </c>
      <c r="C9998" s="4" t="str">
        <f>HYPERLINK("http://www.uniprot.org/uniprot/M5XKN9","M5XKN9")</f>
        <v>M5XKN9</v>
      </c>
      <c r="D9998" s="2" t="s">
        <v>8615</v>
      </c>
      <c r="E9998" s="3">
        <v>0</v>
      </c>
      <c r="F9998" s="2">
        <v>4819</v>
      </c>
      <c r="G9998" s="2">
        <v>100</v>
      </c>
      <c r="H9998" s="2">
        <v>1017</v>
      </c>
      <c r="I9998" s="2">
        <v>1</v>
      </c>
      <c r="J9998" s="2">
        <v>3051</v>
      </c>
      <c r="K9998" s="2">
        <v>324</v>
      </c>
      <c r="L9998" s="2">
        <v>1340</v>
      </c>
    </row>
    <row r="9999" spans="1:12" x14ac:dyDescent="0.25">
      <c r="A9999" s="4" t="str">
        <f>HYPERLINK("http://www.rosaceae.org/Prunus/Prunus_persica/p.persica_gdr_reftransV1_0045738","p.persica_gdr_reftransV1_0045738")</f>
        <v>p.persica_gdr_reftransV1_0045738</v>
      </c>
      <c r="B9999" s="2">
        <v>429</v>
      </c>
      <c r="C9999" s="4" t="str">
        <f>HYPERLINK("http://www.uniprot.org/uniprot/M5WXD9","M5WXD9")</f>
        <v>M5WXD9</v>
      </c>
      <c r="D9999" s="2" t="s">
        <v>8581</v>
      </c>
      <c r="E9999" s="3">
        <v>1.9000000000000001E-47</v>
      </c>
      <c r="F9999" s="2">
        <v>435</v>
      </c>
      <c r="G9999" s="2">
        <v>100</v>
      </c>
      <c r="H9999" s="2">
        <v>127</v>
      </c>
      <c r="I9999" s="2">
        <v>3</v>
      </c>
      <c r="J9999" s="2">
        <v>383</v>
      </c>
      <c r="K9999" s="2">
        <v>432</v>
      </c>
      <c r="L9999" s="2">
        <v>558</v>
      </c>
    </row>
    <row r="10000" spans="1:12" x14ac:dyDescent="0.25">
      <c r="A10000" s="4" t="str">
        <f>HYPERLINK("http://www.rosaceae.org/Prunus/Prunus_persica/p.persica_gdr_reftransV1_0046088","p.persica_gdr_reftransV1_0046088")</f>
        <v>p.persica_gdr_reftransV1_0046088</v>
      </c>
      <c r="B10000" s="2">
        <v>1465</v>
      </c>
      <c r="C10000" s="4" t="str">
        <f>HYPERLINK("http://www.uniprot.org/uniprot/M5X7L3","M5X7L3")</f>
        <v>M5X7L3</v>
      </c>
      <c r="D10000" s="2" t="s">
        <v>8616</v>
      </c>
      <c r="E10000" s="3">
        <v>0</v>
      </c>
      <c r="F10000" s="2">
        <v>2040</v>
      </c>
      <c r="G10000" s="2">
        <v>100</v>
      </c>
      <c r="H10000" s="2">
        <v>381</v>
      </c>
      <c r="I10000" s="2">
        <v>221</v>
      </c>
      <c r="J10000" s="2">
        <v>1363</v>
      </c>
      <c r="K10000" s="2">
        <v>1</v>
      </c>
      <c r="L10000" s="2">
        <v>381</v>
      </c>
    </row>
    <row r="10001" spans="1:12" x14ac:dyDescent="0.25">
      <c r="A10001" s="4" t="str">
        <f>HYPERLINK("http://www.rosaceae.org/Prunus/Prunus_persica/p.persica_gdr_reftransV1_0046788","p.persica_gdr_reftransV1_0046788")</f>
        <v>p.persica_gdr_reftransV1_0046788</v>
      </c>
      <c r="B10001" s="2">
        <v>1528</v>
      </c>
      <c r="C10001" s="4" t="str">
        <f>HYPERLINK("http://www.uniprot.org/uniprot/M5XRW0","M5XRW0")</f>
        <v>M5XRW0</v>
      </c>
      <c r="D10001" s="2" t="s">
        <v>8617</v>
      </c>
      <c r="E10001" s="3">
        <v>0</v>
      </c>
      <c r="F10001" s="2">
        <v>1730</v>
      </c>
      <c r="G10001" s="2">
        <v>98</v>
      </c>
      <c r="H10001" s="2">
        <v>388</v>
      </c>
      <c r="I10001" s="2">
        <v>47</v>
      </c>
      <c r="J10001" s="2">
        <v>1210</v>
      </c>
      <c r="K10001" s="2">
        <v>1</v>
      </c>
      <c r="L10001" s="2">
        <v>380</v>
      </c>
    </row>
    <row r="10002" spans="1:12" x14ac:dyDescent="0.25">
      <c r="A10002" s="4" t="str">
        <f>HYPERLINK("http://www.rosaceae.org/Prunus/Prunus_persica/p.persica_gdr_reftransV1_0047838","p.persica_gdr_reftransV1_0047838")</f>
        <v>p.persica_gdr_reftransV1_0047838</v>
      </c>
      <c r="B10002" s="2">
        <v>2169</v>
      </c>
      <c r="C10002" s="4" t="str">
        <f>HYPERLINK("http://www.uniprot.org/uniprot/M5VZI5","M5VZI5")</f>
        <v>M5VZI5</v>
      </c>
      <c r="D10002" s="2" t="s">
        <v>2152</v>
      </c>
      <c r="E10002" s="3">
        <v>0</v>
      </c>
      <c r="F10002" s="2">
        <v>2259</v>
      </c>
      <c r="G10002" s="2">
        <v>95</v>
      </c>
      <c r="H10002" s="2">
        <v>524</v>
      </c>
      <c r="I10002" s="2">
        <v>597</v>
      </c>
      <c r="J10002" s="2">
        <v>2168</v>
      </c>
      <c r="K10002" s="2">
        <v>1</v>
      </c>
      <c r="L10002" s="2">
        <v>497</v>
      </c>
    </row>
    <row r="10003" spans="1:12" x14ac:dyDescent="0.25">
      <c r="A10003" s="4" t="str">
        <f>HYPERLINK("http://www.rosaceae.org/Prunus/Prunus_persica/p.persica_gdr_reftransV1_0048188","p.persica_gdr_reftransV1_0048188")</f>
        <v>p.persica_gdr_reftransV1_0048188</v>
      </c>
      <c r="B10003" s="2">
        <v>1494</v>
      </c>
      <c r="C10003" s="4" t="str">
        <f>HYPERLINK("http://www.uniprot.org/uniprot/W9RZJ4","W9RZJ4")</f>
        <v>W9RZJ4</v>
      </c>
      <c r="D10003" s="2" t="s">
        <v>8618</v>
      </c>
      <c r="E10003" s="3">
        <v>4.4600000000000002E-104</v>
      </c>
      <c r="F10003" s="2">
        <v>828</v>
      </c>
      <c r="G10003" s="2">
        <v>66</v>
      </c>
      <c r="H10003" s="2">
        <v>258</v>
      </c>
      <c r="I10003" s="2">
        <v>411</v>
      </c>
      <c r="J10003" s="2">
        <v>1184</v>
      </c>
      <c r="K10003" s="2">
        <v>1</v>
      </c>
      <c r="L10003" s="2">
        <v>253</v>
      </c>
    </row>
    <row r="10004" spans="1:12" x14ac:dyDescent="0.25">
      <c r="A10004" s="4" t="str">
        <f>HYPERLINK("http://www.rosaceae.org/Prunus/Prunus_persica/p.persica_gdr_reftransV1_0048538","p.persica_gdr_reftransV1_0048538")</f>
        <v>p.persica_gdr_reftransV1_0048538</v>
      </c>
      <c r="B10004" s="2">
        <v>1277</v>
      </c>
      <c r="C10004" s="4" t="str">
        <f>HYPERLINK("http://www.uniprot.org/uniprot/M5XRL1","M5XRL1")</f>
        <v>M5XRL1</v>
      </c>
      <c r="D10004" s="2" t="s">
        <v>4225</v>
      </c>
      <c r="E10004" s="3">
        <v>0</v>
      </c>
      <c r="F10004" s="2">
        <v>1631</v>
      </c>
      <c r="G10004" s="2">
        <v>100</v>
      </c>
      <c r="H10004" s="2">
        <v>309</v>
      </c>
      <c r="I10004" s="2">
        <v>305</v>
      </c>
      <c r="J10004" s="2">
        <v>1231</v>
      </c>
      <c r="K10004" s="2">
        <v>3</v>
      </c>
      <c r="L10004" s="2">
        <v>311</v>
      </c>
    </row>
    <row r="10005" spans="1:12" x14ac:dyDescent="0.25">
      <c r="A10005" s="4" t="str">
        <f>HYPERLINK("http://www.rosaceae.org/Prunus/Prunus_persica/p.persica_gdr_reftransV1_0000239","p.persica_gdr_reftransV1_0000239")</f>
        <v>p.persica_gdr_reftransV1_0000239</v>
      </c>
      <c r="B10005" s="2">
        <v>1026</v>
      </c>
      <c r="C10005" s="4" t="str">
        <f>HYPERLINK("http://www.uniprot.org/uniprot/M5WZG8","M5WZG8")</f>
        <v>M5WZG8</v>
      </c>
      <c r="D10005" s="2" t="s">
        <v>1284</v>
      </c>
      <c r="E10005" s="3">
        <v>0</v>
      </c>
      <c r="F10005" s="2">
        <v>1723</v>
      </c>
      <c r="G10005" s="2">
        <v>100</v>
      </c>
      <c r="H10005" s="2">
        <v>322</v>
      </c>
      <c r="I10005" s="2">
        <v>1</v>
      </c>
      <c r="J10005" s="2">
        <v>966</v>
      </c>
      <c r="K10005" s="2">
        <v>154</v>
      </c>
      <c r="L10005" s="2">
        <v>475</v>
      </c>
    </row>
    <row r="10006" spans="1:12" x14ac:dyDescent="0.25">
      <c r="A10006" s="4" t="str">
        <f>HYPERLINK("http://www.rosaceae.org/Prunus/Prunus_persica/p.persica_gdr_reftransV1_0000589","p.persica_gdr_reftransV1_0000589")</f>
        <v>p.persica_gdr_reftransV1_0000589</v>
      </c>
      <c r="B10006" s="2">
        <v>1283</v>
      </c>
      <c r="C10006" s="4" t="str">
        <f>HYPERLINK("http://www.uniprot.org/uniprot/M5XD33","M5XD33")</f>
        <v>M5XD33</v>
      </c>
      <c r="D10006" s="2" t="s">
        <v>8619</v>
      </c>
      <c r="E10006" s="3">
        <v>2.8800000000000001E-178</v>
      </c>
      <c r="F10006" s="2">
        <v>1320</v>
      </c>
      <c r="G10006" s="2">
        <v>100</v>
      </c>
      <c r="H10006" s="2">
        <v>299</v>
      </c>
      <c r="I10006" s="2">
        <v>2</v>
      </c>
      <c r="J10006" s="2">
        <v>898</v>
      </c>
      <c r="K10006" s="2">
        <v>11</v>
      </c>
      <c r="L10006" s="2">
        <v>309</v>
      </c>
    </row>
    <row r="10007" spans="1:12" x14ac:dyDescent="0.25">
      <c r="A10007" s="4" t="str">
        <f>HYPERLINK("http://www.rosaceae.org/Prunus/Prunus_persica/p.persica_gdr_reftransV1_0000939","p.persica_gdr_reftransV1_0000939")</f>
        <v>p.persica_gdr_reftransV1_0000939</v>
      </c>
      <c r="B10007" s="2">
        <v>656</v>
      </c>
      <c r="C10007" s="4" t="str">
        <f>HYPERLINK("http://www.uniprot.org/uniprot/M5XRI7","M5XRI7")</f>
        <v>M5XRI7</v>
      </c>
      <c r="D10007" s="2" t="s">
        <v>672</v>
      </c>
      <c r="E10007" s="3">
        <v>1.4299999999999999E-156</v>
      </c>
      <c r="F10007" s="2">
        <v>1184</v>
      </c>
      <c r="G10007" s="2">
        <v>100</v>
      </c>
      <c r="H10007" s="2">
        <v>218</v>
      </c>
      <c r="I10007" s="2">
        <v>2</v>
      </c>
      <c r="J10007" s="2">
        <v>655</v>
      </c>
      <c r="K10007" s="2">
        <v>14</v>
      </c>
      <c r="L10007" s="2">
        <v>231</v>
      </c>
    </row>
    <row r="10008" spans="1:12" x14ac:dyDescent="0.25">
      <c r="A10008" s="4" t="str">
        <f>HYPERLINK("http://www.rosaceae.org/Prunus/Prunus_persica/p.persica_gdr_reftransV1_0001289","p.persica_gdr_reftransV1_0001289")</f>
        <v>p.persica_gdr_reftransV1_0001289</v>
      </c>
      <c r="B10008" s="2">
        <v>441</v>
      </c>
      <c r="C10008" s="4" t="str">
        <f>HYPERLINK("http://www.uniprot.org/uniprot/W9QPH0","W9QPH0")</f>
        <v>W9QPH0</v>
      </c>
      <c r="D10008" s="2" t="s">
        <v>8620</v>
      </c>
      <c r="E10008" s="3">
        <v>1.6100000000000001E-68</v>
      </c>
      <c r="F10008" s="2">
        <v>565</v>
      </c>
      <c r="G10008" s="2">
        <v>100</v>
      </c>
      <c r="H10008" s="2">
        <v>101</v>
      </c>
      <c r="I10008" s="2">
        <v>1</v>
      </c>
      <c r="J10008" s="2">
        <v>303</v>
      </c>
      <c r="K10008" s="2">
        <v>1</v>
      </c>
      <c r="L10008" s="2">
        <v>101</v>
      </c>
    </row>
    <row r="10009" spans="1:12" x14ac:dyDescent="0.25">
      <c r="A10009" s="4" t="str">
        <f>HYPERLINK("http://www.rosaceae.org/Prunus/Prunus_persica/p.persica_gdr_reftransV1_0001639","p.persica_gdr_reftransV1_0001639")</f>
        <v>p.persica_gdr_reftransV1_0001639</v>
      </c>
      <c r="B10009" s="2">
        <v>560</v>
      </c>
      <c r="C10009" s="4" t="str">
        <f>HYPERLINK("http://www.uniprot.org/uniprot/M5VYV6","M5VYV6")</f>
        <v>M5VYV6</v>
      </c>
      <c r="D10009" s="2" t="s">
        <v>8621</v>
      </c>
      <c r="E10009" s="3">
        <v>1.51E-120</v>
      </c>
      <c r="F10009" s="2">
        <v>915</v>
      </c>
      <c r="G10009" s="2">
        <v>100</v>
      </c>
      <c r="H10009" s="2">
        <v>176</v>
      </c>
      <c r="I10009" s="2">
        <v>31</v>
      </c>
      <c r="J10009" s="2">
        <v>558</v>
      </c>
      <c r="K10009" s="2">
        <v>1</v>
      </c>
      <c r="L10009" s="2">
        <v>176</v>
      </c>
    </row>
    <row r="10010" spans="1:12" x14ac:dyDescent="0.25">
      <c r="A10010" s="4" t="str">
        <f>HYPERLINK("http://www.rosaceae.org/Prunus/Prunus_persica/p.persica_gdr_reftransV1_0002339","p.persica_gdr_reftransV1_0002339")</f>
        <v>p.persica_gdr_reftransV1_0002339</v>
      </c>
      <c r="B10010" s="2">
        <v>385</v>
      </c>
      <c r="C10010" s="4" t="str">
        <f>HYPERLINK("http://www.uniprot.org/uniprot/M5XGV7","M5XGV7")</f>
        <v>M5XGV7</v>
      </c>
      <c r="D10010" s="2" t="s">
        <v>1943</v>
      </c>
      <c r="E10010" s="3">
        <v>1.05E-78</v>
      </c>
      <c r="F10010" s="2">
        <v>678</v>
      </c>
      <c r="G10010" s="2">
        <v>100</v>
      </c>
      <c r="H10010" s="2">
        <v>127</v>
      </c>
      <c r="I10010" s="2">
        <v>3</v>
      </c>
      <c r="J10010" s="2">
        <v>383</v>
      </c>
      <c r="K10010" s="2">
        <v>15</v>
      </c>
      <c r="L10010" s="2">
        <v>141</v>
      </c>
    </row>
    <row r="10011" spans="1:12" x14ac:dyDescent="0.25">
      <c r="A10011" s="4" t="str">
        <f>HYPERLINK("http://www.rosaceae.org/Prunus/Prunus_persica/p.persica_gdr_reftransV1_0002689","p.persica_gdr_reftransV1_0002689")</f>
        <v>p.persica_gdr_reftransV1_0002689</v>
      </c>
      <c r="B10011" s="2">
        <v>1547</v>
      </c>
      <c r="C10011" s="4" t="str">
        <f>HYPERLINK("http://www.uniprot.org/uniprot/M5VJY9","M5VJY9")</f>
        <v>M5VJY9</v>
      </c>
      <c r="D10011" s="2" t="s">
        <v>3750</v>
      </c>
      <c r="E10011" s="3">
        <v>0</v>
      </c>
      <c r="F10011" s="2">
        <v>2041</v>
      </c>
      <c r="G10011" s="2">
        <v>100</v>
      </c>
      <c r="H10011" s="2">
        <v>384</v>
      </c>
      <c r="I10011" s="2">
        <v>255</v>
      </c>
      <c r="J10011" s="2">
        <v>1406</v>
      </c>
      <c r="K10011" s="2">
        <v>1</v>
      </c>
      <c r="L10011" s="2">
        <v>384</v>
      </c>
    </row>
    <row r="10012" spans="1:12" x14ac:dyDescent="0.25">
      <c r="A10012" s="4" t="str">
        <f>HYPERLINK("http://www.rosaceae.org/Prunus/Prunus_persica/p.persica_gdr_reftransV1_0003739","p.persica_gdr_reftransV1_0003739")</f>
        <v>p.persica_gdr_reftransV1_0003739</v>
      </c>
      <c r="B10012" s="2">
        <v>572</v>
      </c>
      <c r="C10012" s="4" t="str">
        <f>HYPERLINK("http://www.uniprot.org/uniprot/I1RE76","I1RE76")</f>
        <v>I1RE76</v>
      </c>
      <c r="D10012" s="2" t="s">
        <v>8622</v>
      </c>
      <c r="E10012" s="3">
        <v>2.4699999999999999E-107</v>
      </c>
      <c r="F10012" s="2">
        <v>810</v>
      </c>
      <c r="G10012" s="2">
        <v>92</v>
      </c>
      <c r="H10012" s="2">
        <v>163</v>
      </c>
      <c r="I10012" s="2">
        <v>84</v>
      </c>
      <c r="J10012" s="2">
        <v>572</v>
      </c>
      <c r="K10012" s="2">
        <v>1</v>
      </c>
      <c r="L10012" s="2">
        <v>163</v>
      </c>
    </row>
    <row r="10013" spans="1:12" x14ac:dyDescent="0.25">
      <c r="A10013" s="4" t="str">
        <f>HYPERLINK("http://www.rosaceae.org/Prunus/Prunus_persica/p.persica_gdr_reftransV1_0006189","p.persica_gdr_reftransV1_0006189")</f>
        <v>p.persica_gdr_reftransV1_0006189</v>
      </c>
      <c r="B10013" s="2">
        <v>767</v>
      </c>
      <c r="C10013" s="4" t="str">
        <f>HYPERLINK("http://www.uniprot.org/uniprot/M5XZ69","M5XZ69")</f>
        <v>M5XZ69</v>
      </c>
      <c r="D10013" s="2" t="s">
        <v>8623</v>
      </c>
      <c r="E10013" s="3">
        <v>3.0700000000000002E-90</v>
      </c>
      <c r="F10013" s="2">
        <v>703</v>
      </c>
      <c r="G10013" s="2">
        <v>100</v>
      </c>
      <c r="H10013" s="2">
        <v>146</v>
      </c>
      <c r="I10013" s="2">
        <v>105</v>
      </c>
      <c r="J10013" s="2">
        <v>542</v>
      </c>
      <c r="K10013" s="2">
        <v>1</v>
      </c>
      <c r="L10013" s="2">
        <v>146</v>
      </c>
    </row>
    <row r="10014" spans="1:12" x14ac:dyDescent="0.25">
      <c r="A10014" s="4" t="str">
        <f>HYPERLINK("http://www.rosaceae.org/Prunus/Prunus_persica/p.persica_gdr_reftransV1_0006539","p.persica_gdr_reftransV1_0006539")</f>
        <v>p.persica_gdr_reftransV1_0006539</v>
      </c>
      <c r="B10014" s="2">
        <v>1950</v>
      </c>
      <c r="C10014" s="4" t="str">
        <f>HYPERLINK("http://www.uniprot.org/uniprot/M5Y934","M5Y934")</f>
        <v>M5Y934</v>
      </c>
      <c r="D10014" s="2" t="s">
        <v>8624</v>
      </c>
      <c r="E10014" s="3">
        <v>0</v>
      </c>
      <c r="F10014" s="2">
        <v>2599</v>
      </c>
      <c r="G10014" s="2">
        <v>100</v>
      </c>
      <c r="H10014" s="2">
        <v>511</v>
      </c>
      <c r="I10014" s="2">
        <v>261</v>
      </c>
      <c r="J10014" s="2">
        <v>1793</v>
      </c>
      <c r="K10014" s="2">
        <v>1</v>
      </c>
      <c r="L10014" s="2">
        <v>511</v>
      </c>
    </row>
    <row r="10015" spans="1:12" x14ac:dyDescent="0.25">
      <c r="A10015" s="4" t="str">
        <f>HYPERLINK("http://www.rosaceae.org/Prunus/Prunus_persica/p.persica_gdr_reftransV1_0007239","p.persica_gdr_reftransV1_0007239")</f>
        <v>p.persica_gdr_reftransV1_0007239</v>
      </c>
      <c r="B10015" s="2">
        <v>534</v>
      </c>
      <c r="C10015" s="4" t="str">
        <f>HYPERLINK("http://www.uniprot.org/uniprot/M5XGC5","M5XGC5")</f>
        <v>M5XGC5</v>
      </c>
      <c r="D10015" s="2" t="s">
        <v>8179</v>
      </c>
      <c r="E10015" s="3">
        <v>2.3400000000000001E-12</v>
      </c>
      <c r="F10015" s="2">
        <v>179</v>
      </c>
      <c r="G10015" s="2">
        <v>100</v>
      </c>
      <c r="H10015" s="2">
        <v>52</v>
      </c>
      <c r="I10015" s="2">
        <v>379</v>
      </c>
      <c r="J10015" s="2">
        <v>534</v>
      </c>
      <c r="K10015" s="2">
        <v>44</v>
      </c>
      <c r="L10015" s="2">
        <v>95</v>
      </c>
    </row>
    <row r="10016" spans="1:12" x14ac:dyDescent="0.25">
      <c r="A10016" s="4" t="str">
        <f>HYPERLINK("http://www.rosaceae.org/Prunus/Prunus_persica/p.persica_gdr_reftransV1_0007589","p.persica_gdr_reftransV1_0007589")</f>
        <v>p.persica_gdr_reftransV1_0007589</v>
      </c>
      <c r="B10016" s="2">
        <v>1464</v>
      </c>
      <c r="C10016" s="4" t="str">
        <f>HYPERLINK("http://www.uniprot.org/uniprot/M5WJ11","M5WJ11")</f>
        <v>M5WJ11</v>
      </c>
      <c r="D10016" s="2" t="s">
        <v>8625</v>
      </c>
      <c r="E10016" s="3">
        <v>1.9800000000000001E-85</v>
      </c>
      <c r="F10016" s="2">
        <v>478</v>
      </c>
      <c r="G10016" s="2">
        <v>100</v>
      </c>
      <c r="H10016" s="2">
        <v>129</v>
      </c>
      <c r="I10016" s="2">
        <v>315</v>
      </c>
      <c r="J10016" s="2">
        <v>701</v>
      </c>
      <c r="K10016" s="2">
        <v>76</v>
      </c>
      <c r="L10016" s="2">
        <v>204</v>
      </c>
    </row>
    <row r="10017" spans="1:12" x14ac:dyDescent="0.25">
      <c r="A10017" s="4" t="str">
        <f>HYPERLINK("http://www.rosaceae.org/Prunus/Prunus_persica/p.persica_gdr_reftransV1_0007939","p.persica_gdr_reftransV1_0007939")</f>
        <v>p.persica_gdr_reftransV1_0007939</v>
      </c>
      <c r="B10017" s="2">
        <v>494</v>
      </c>
      <c r="C10017" s="4" t="str">
        <f>HYPERLINK("http://www.uniprot.org/uniprot/M5WPW8","M5WPW8")</f>
        <v>M5WPW8</v>
      </c>
      <c r="D10017" s="2" t="s">
        <v>4891</v>
      </c>
      <c r="E10017" s="3">
        <v>4.4400000000000003E-108</v>
      </c>
      <c r="F10017" s="2">
        <v>868</v>
      </c>
      <c r="G10017" s="2">
        <v>100</v>
      </c>
      <c r="H10017" s="2">
        <v>164</v>
      </c>
      <c r="I10017" s="2">
        <v>3</v>
      </c>
      <c r="J10017" s="2">
        <v>494</v>
      </c>
      <c r="K10017" s="2">
        <v>641</v>
      </c>
      <c r="L10017" s="2">
        <v>804</v>
      </c>
    </row>
    <row r="10018" spans="1:12" x14ac:dyDescent="0.25">
      <c r="A10018" s="4" t="str">
        <f>HYPERLINK("http://www.rosaceae.org/Prunus/Prunus_persica/p.persica_gdr_reftransV1_0008289","p.persica_gdr_reftransV1_0008289")</f>
        <v>p.persica_gdr_reftransV1_0008289</v>
      </c>
      <c r="B10018" s="2">
        <v>2701</v>
      </c>
      <c r="C10018" s="4" t="str">
        <f>HYPERLINK("http://www.uniprot.org/uniprot/M5WRK7","M5WRK7")</f>
        <v>M5WRK7</v>
      </c>
      <c r="D10018" s="2" t="s">
        <v>8626</v>
      </c>
      <c r="E10018" s="3">
        <v>0</v>
      </c>
      <c r="F10018" s="2">
        <v>2916</v>
      </c>
      <c r="G10018" s="2">
        <v>100</v>
      </c>
      <c r="H10018" s="2">
        <v>632</v>
      </c>
      <c r="I10018" s="2">
        <v>237</v>
      </c>
      <c r="J10018" s="2">
        <v>2132</v>
      </c>
      <c r="K10018" s="2">
        <v>1</v>
      </c>
      <c r="L10018" s="2">
        <v>632</v>
      </c>
    </row>
    <row r="10019" spans="1:12" x14ac:dyDescent="0.25">
      <c r="A10019" s="4" t="str">
        <f>HYPERLINK("http://www.rosaceae.org/Prunus/Prunus_persica/p.persica_gdr_reftransV1_0008639","p.persica_gdr_reftransV1_0008639")</f>
        <v>p.persica_gdr_reftransV1_0008639</v>
      </c>
      <c r="B10019" s="2">
        <v>1379</v>
      </c>
      <c r="C10019" s="4" t="str">
        <f>HYPERLINK("http://www.uniprot.org/uniprot/M5XH52","M5XH52")</f>
        <v>M5XH52</v>
      </c>
      <c r="D10019" s="2" t="s">
        <v>8627</v>
      </c>
      <c r="E10019" s="3">
        <v>5.7899999999999999E-37</v>
      </c>
      <c r="F10019" s="2">
        <v>357</v>
      </c>
      <c r="G10019" s="2">
        <v>99</v>
      </c>
      <c r="H10019" s="2">
        <v>113</v>
      </c>
      <c r="I10019" s="2">
        <v>804</v>
      </c>
      <c r="J10019" s="2">
        <v>1142</v>
      </c>
      <c r="K10019" s="2">
        <v>1</v>
      </c>
      <c r="L10019" s="2">
        <v>113</v>
      </c>
    </row>
    <row r="10020" spans="1:12" x14ac:dyDescent="0.25">
      <c r="A10020" s="4" t="str">
        <f>HYPERLINK("http://www.rosaceae.org/Prunus/Prunus_persica/p.persica_gdr_reftransV1_0008989","p.persica_gdr_reftransV1_0008989")</f>
        <v>p.persica_gdr_reftransV1_0008989</v>
      </c>
      <c r="B10020" s="2">
        <v>1880</v>
      </c>
      <c r="C10020" s="4" t="str">
        <f>HYPERLINK("http://www.uniprot.org/uniprot/M5XH41","M5XH41")</f>
        <v>M5XH41</v>
      </c>
      <c r="D10020" s="2" t="s">
        <v>8628</v>
      </c>
      <c r="E10020" s="3">
        <v>1.98E-82</v>
      </c>
      <c r="F10020" s="2">
        <v>684</v>
      </c>
      <c r="G10020" s="2">
        <v>100</v>
      </c>
      <c r="H10020" s="2">
        <v>127</v>
      </c>
      <c r="I10020" s="2">
        <v>43</v>
      </c>
      <c r="J10020" s="2">
        <v>423</v>
      </c>
      <c r="K10020" s="2">
        <v>1</v>
      </c>
      <c r="L10020" s="2">
        <v>127</v>
      </c>
    </row>
    <row r="10021" spans="1:12" x14ac:dyDescent="0.25">
      <c r="A10021" s="4" t="str">
        <f>HYPERLINK("http://www.rosaceae.org/Prunus/Prunus_persica/p.persica_gdr_reftransV1_0010389","p.persica_gdr_reftransV1_0010389")</f>
        <v>p.persica_gdr_reftransV1_0010389</v>
      </c>
      <c r="B10021" s="2">
        <v>1540</v>
      </c>
      <c r="C10021" s="4" t="str">
        <f>HYPERLINK("http://www.uniprot.org/uniprot/M5W5W7","M5W5W7")</f>
        <v>M5W5W7</v>
      </c>
      <c r="D10021" s="2" t="s">
        <v>8629</v>
      </c>
      <c r="E10021" s="3">
        <v>0</v>
      </c>
      <c r="F10021" s="2">
        <v>2177</v>
      </c>
      <c r="G10021" s="2">
        <v>94</v>
      </c>
      <c r="H10021" s="2">
        <v>513</v>
      </c>
      <c r="I10021" s="2">
        <v>2</v>
      </c>
      <c r="J10021" s="2">
        <v>1540</v>
      </c>
      <c r="K10021" s="2">
        <v>143</v>
      </c>
      <c r="L10021" s="2">
        <v>627</v>
      </c>
    </row>
    <row r="10022" spans="1:12" x14ac:dyDescent="0.25">
      <c r="A10022" s="4" t="str">
        <f>HYPERLINK("http://www.rosaceae.org/Prunus/Prunus_persica/p.persica_gdr_reftransV1_0010739","p.persica_gdr_reftransV1_0010739")</f>
        <v>p.persica_gdr_reftransV1_0010739</v>
      </c>
      <c r="B10022" s="2">
        <v>627</v>
      </c>
      <c r="C10022" s="4" t="str">
        <f>HYPERLINK("http://www.uniprot.org/uniprot/M5WKI1","M5WKI1")</f>
        <v>M5WKI1</v>
      </c>
      <c r="D10022" s="2" t="s">
        <v>8630</v>
      </c>
      <c r="E10022" s="3">
        <v>1.5E-86</v>
      </c>
      <c r="F10022" s="2">
        <v>673</v>
      </c>
      <c r="G10022" s="2">
        <v>100</v>
      </c>
      <c r="H10022" s="2">
        <v>130</v>
      </c>
      <c r="I10022" s="2">
        <v>19</v>
      </c>
      <c r="J10022" s="2">
        <v>408</v>
      </c>
      <c r="K10022" s="2">
        <v>1</v>
      </c>
      <c r="L10022" s="2">
        <v>130</v>
      </c>
    </row>
    <row r="10023" spans="1:12" x14ac:dyDescent="0.25">
      <c r="A10023" s="4" t="str">
        <f>HYPERLINK("http://www.rosaceae.org/Prunus/Prunus_persica/p.persica_gdr_reftransV1_0011089","p.persica_gdr_reftransV1_0011089")</f>
        <v>p.persica_gdr_reftransV1_0011089</v>
      </c>
      <c r="B10023" s="2">
        <v>1232</v>
      </c>
      <c r="C10023" s="4" t="str">
        <f>HYPERLINK("http://www.uniprot.org/uniprot/M5XTN9","M5XTN9")</f>
        <v>M5XTN9</v>
      </c>
      <c r="D10023" s="2" t="s">
        <v>8631</v>
      </c>
      <c r="E10023" s="3">
        <v>6.0399999999999995E-162</v>
      </c>
      <c r="F10023" s="2">
        <v>1202</v>
      </c>
      <c r="G10023" s="2">
        <v>100</v>
      </c>
      <c r="H10023" s="2">
        <v>245</v>
      </c>
      <c r="I10023" s="2">
        <v>130</v>
      </c>
      <c r="J10023" s="2">
        <v>864</v>
      </c>
      <c r="K10023" s="2">
        <v>1</v>
      </c>
      <c r="L10023" s="2">
        <v>245</v>
      </c>
    </row>
    <row r="10024" spans="1:12" x14ac:dyDescent="0.25">
      <c r="A10024" s="4" t="str">
        <f>HYPERLINK("http://www.rosaceae.org/Prunus/Prunus_persica/p.persica_gdr_reftransV1_0011439","p.persica_gdr_reftransV1_0011439")</f>
        <v>p.persica_gdr_reftransV1_0011439</v>
      </c>
      <c r="B10024" s="2">
        <v>2734</v>
      </c>
      <c r="C10024" s="4" t="str">
        <f>HYPERLINK("http://www.uniprot.org/uniprot/M5WBK4","M5WBK4")</f>
        <v>M5WBK4</v>
      </c>
      <c r="D10024" s="2" t="s">
        <v>8632</v>
      </c>
      <c r="E10024" s="3">
        <v>0</v>
      </c>
      <c r="F10024" s="2">
        <v>2573</v>
      </c>
      <c r="G10024" s="2">
        <v>100</v>
      </c>
      <c r="H10024" s="2">
        <v>523</v>
      </c>
      <c r="I10024" s="2">
        <v>411</v>
      </c>
      <c r="J10024" s="2">
        <v>1979</v>
      </c>
      <c r="K10024" s="2">
        <v>1</v>
      </c>
      <c r="L10024" s="2">
        <v>523</v>
      </c>
    </row>
    <row r="10025" spans="1:12" x14ac:dyDescent="0.25">
      <c r="A10025" s="4" t="str">
        <f>HYPERLINK("http://www.rosaceae.org/Prunus/Prunus_persica/p.persica_gdr_reftransV1_0012489","p.persica_gdr_reftransV1_0012489")</f>
        <v>p.persica_gdr_reftransV1_0012489</v>
      </c>
      <c r="B10025" s="2">
        <v>575</v>
      </c>
      <c r="C10025" s="4" t="str">
        <f>HYPERLINK("http://www.uniprot.org/uniprot/M5XWJ2","M5XWJ2")</f>
        <v>M5XWJ2</v>
      </c>
      <c r="D10025" s="2" t="s">
        <v>8633</v>
      </c>
      <c r="E10025" s="3">
        <v>3.0199999999999999E-68</v>
      </c>
      <c r="F10025" s="2">
        <v>578</v>
      </c>
      <c r="G10025" s="2">
        <v>100</v>
      </c>
      <c r="H10025" s="2">
        <v>144</v>
      </c>
      <c r="I10025" s="2">
        <v>142</v>
      </c>
      <c r="J10025" s="2">
        <v>573</v>
      </c>
      <c r="K10025" s="2">
        <v>1</v>
      </c>
      <c r="L10025" s="2">
        <v>144</v>
      </c>
    </row>
    <row r="10026" spans="1:12" x14ac:dyDescent="0.25">
      <c r="A10026" s="4" t="str">
        <f>HYPERLINK("http://www.rosaceae.org/Prunus/Prunus_persica/p.persica_gdr_reftransV1_0012839","p.persica_gdr_reftransV1_0012839")</f>
        <v>p.persica_gdr_reftransV1_0012839</v>
      </c>
      <c r="B10026" s="2">
        <v>2827</v>
      </c>
      <c r="C10026" s="4" t="str">
        <f>HYPERLINK("http://www.uniprot.org/uniprot/M5VIC8","M5VIC8")</f>
        <v>M5VIC8</v>
      </c>
      <c r="D10026" s="2" t="s">
        <v>6130</v>
      </c>
      <c r="E10026" s="3">
        <v>0</v>
      </c>
      <c r="F10026" s="2">
        <v>3646</v>
      </c>
      <c r="G10026" s="2">
        <v>100</v>
      </c>
      <c r="H10026" s="2">
        <v>684</v>
      </c>
      <c r="I10026" s="2">
        <v>687</v>
      </c>
      <c r="J10026" s="2">
        <v>2738</v>
      </c>
      <c r="K10026" s="2">
        <v>698</v>
      </c>
      <c r="L10026" s="2">
        <v>1381</v>
      </c>
    </row>
    <row r="10027" spans="1:12" x14ac:dyDescent="0.25">
      <c r="A10027" s="4" t="str">
        <f>HYPERLINK("http://www.rosaceae.org/Prunus/Prunus_persica/p.persica_gdr_reftransV1_0013539","p.persica_gdr_reftransV1_0013539")</f>
        <v>p.persica_gdr_reftransV1_0013539</v>
      </c>
      <c r="B10027" s="2">
        <v>909</v>
      </c>
      <c r="C10027" s="4" t="str">
        <f>HYPERLINK("http://www.uniprot.org/uniprot/M5Y1B9","M5Y1B9")</f>
        <v>M5Y1B9</v>
      </c>
      <c r="D10027" s="2" t="s">
        <v>8634</v>
      </c>
      <c r="E10027" s="3">
        <v>3.0699999999999999E-83</v>
      </c>
      <c r="F10027" s="2">
        <v>660</v>
      </c>
      <c r="G10027" s="2">
        <v>100</v>
      </c>
      <c r="H10027" s="2">
        <v>138</v>
      </c>
      <c r="I10027" s="2">
        <v>218</v>
      </c>
      <c r="J10027" s="2">
        <v>631</v>
      </c>
      <c r="K10027" s="2">
        <v>1</v>
      </c>
      <c r="L10027" s="2">
        <v>138</v>
      </c>
    </row>
    <row r="10028" spans="1:12" x14ac:dyDescent="0.25">
      <c r="A10028" s="4" t="str">
        <f>HYPERLINK("http://www.rosaceae.org/Prunus/Prunus_persica/p.persica_gdr_reftransV1_0013889","p.persica_gdr_reftransV1_0013889")</f>
        <v>p.persica_gdr_reftransV1_0013889</v>
      </c>
      <c r="B10028" s="2">
        <v>1811</v>
      </c>
      <c r="C10028" s="4" t="str">
        <f>HYPERLINK("http://www.uniprot.org/uniprot/B9MYR6","B9MYR6")</f>
        <v>B9MYR6</v>
      </c>
      <c r="D10028" s="2" t="s">
        <v>8635</v>
      </c>
      <c r="E10028" s="3">
        <v>3.0300000000000001E-117</v>
      </c>
      <c r="F10028" s="2">
        <v>937</v>
      </c>
      <c r="G10028" s="2">
        <v>87</v>
      </c>
      <c r="H10028" s="2">
        <v>234</v>
      </c>
      <c r="I10028" s="2">
        <v>371</v>
      </c>
      <c r="J10028" s="2">
        <v>1072</v>
      </c>
      <c r="K10028" s="2">
        <v>143</v>
      </c>
      <c r="L10028" s="2">
        <v>376</v>
      </c>
    </row>
    <row r="10029" spans="1:12" x14ac:dyDescent="0.25">
      <c r="A10029" s="4" t="str">
        <f>HYPERLINK("http://www.rosaceae.org/Prunus/Prunus_persica/p.persica_gdr_reftransV1_0014939","p.persica_gdr_reftransV1_0014939")</f>
        <v>p.persica_gdr_reftransV1_0014939</v>
      </c>
      <c r="B10029" s="2">
        <v>1199</v>
      </c>
      <c r="C10029" s="4" t="str">
        <f>HYPERLINK("http://www.uniprot.org/uniprot/M5W3U7","M5W3U7")</f>
        <v>M5W3U7</v>
      </c>
      <c r="D10029" s="2" t="s">
        <v>8636</v>
      </c>
      <c r="E10029" s="3">
        <v>1.2699999999999999E-91</v>
      </c>
      <c r="F10029" s="2">
        <v>727</v>
      </c>
      <c r="G10029" s="2">
        <v>100</v>
      </c>
      <c r="H10029" s="2">
        <v>157</v>
      </c>
      <c r="I10029" s="2">
        <v>439</v>
      </c>
      <c r="J10029" s="2">
        <v>909</v>
      </c>
      <c r="K10029" s="2">
        <v>1</v>
      </c>
      <c r="L10029" s="2">
        <v>157</v>
      </c>
    </row>
    <row r="10030" spans="1:12" x14ac:dyDescent="0.25">
      <c r="A10030" s="4" t="str">
        <f>HYPERLINK("http://www.rosaceae.org/Prunus/Prunus_persica/p.persica_gdr_reftransV1_0018089","p.persica_gdr_reftransV1_0018089")</f>
        <v>p.persica_gdr_reftransV1_0018089</v>
      </c>
      <c r="B10030" s="2">
        <v>1656</v>
      </c>
      <c r="C10030" s="4" t="str">
        <f>HYPERLINK("http://www.uniprot.org/uniprot/M5WA76","M5WA76")</f>
        <v>M5WA76</v>
      </c>
      <c r="D10030" s="2" t="s">
        <v>8637</v>
      </c>
      <c r="E10030" s="3">
        <v>3.0999999999999999E-162</v>
      </c>
      <c r="F10030" s="2">
        <v>1223</v>
      </c>
      <c r="G10030" s="2">
        <v>100</v>
      </c>
      <c r="H10030" s="2">
        <v>245</v>
      </c>
      <c r="I10030" s="2">
        <v>716</v>
      </c>
      <c r="J10030" s="2">
        <v>1450</v>
      </c>
      <c r="K10030" s="2">
        <v>1</v>
      </c>
      <c r="L10030" s="2">
        <v>245</v>
      </c>
    </row>
    <row r="10031" spans="1:12" x14ac:dyDescent="0.25">
      <c r="A10031" s="4" t="str">
        <f>HYPERLINK("http://www.rosaceae.org/Prunus/Prunus_persica/p.persica_gdr_reftransV1_0018439","p.persica_gdr_reftransV1_0018439")</f>
        <v>p.persica_gdr_reftransV1_0018439</v>
      </c>
      <c r="B10031" s="2">
        <v>1907</v>
      </c>
      <c r="C10031" s="4" t="str">
        <f>HYPERLINK("http://www.uniprot.org/uniprot/M5Y1T2","M5Y1T2")</f>
        <v>M5Y1T2</v>
      </c>
      <c r="D10031" s="2" t="s">
        <v>8638</v>
      </c>
      <c r="E10031" s="3">
        <v>1.8800000000000001E-9</v>
      </c>
      <c r="F10031" s="2">
        <v>160</v>
      </c>
      <c r="G10031" s="2">
        <v>100</v>
      </c>
      <c r="H10031" s="2">
        <v>91</v>
      </c>
      <c r="I10031" s="2">
        <v>298</v>
      </c>
      <c r="J10031" s="2">
        <v>570</v>
      </c>
      <c r="K10031" s="2">
        <v>1</v>
      </c>
      <c r="L10031" s="2">
        <v>91</v>
      </c>
    </row>
    <row r="10032" spans="1:12" x14ac:dyDescent="0.25">
      <c r="A10032" s="4" t="str">
        <f>HYPERLINK("http://www.rosaceae.org/Prunus/Prunus_persica/p.persica_gdr_reftransV1_0018789","p.persica_gdr_reftransV1_0018789")</f>
        <v>p.persica_gdr_reftransV1_0018789</v>
      </c>
      <c r="B10032" s="2">
        <v>624</v>
      </c>
      <c r="C10032" s="4" t="str">
        <f>HYPERLINK("http://www.uniprot.org/uniprot/M5WJG2","M5WJG2")</f>
        <v>M5WJG2</v>
      </c>
      <c r="D10032" s="2" t="s">
        <v>8639</v>
      </c>
      <c r="E10032" s="3">
        <v>3.5100000000000003E-73</v>
      </c>
      <c r="F10032" s="2">
        <v>583</v>
      </c>
      <c r="G10032" s="2">
        <v>100</v>
      </c>
      <c r="H10032" s="2">
        <v>130</v>
      </c>
      <c r="I10032" s="2">
        <v>153</v>
      </c>
      <c r="J10032" s="2">
        <v>542</v>
      </c>
      <c r="K10032" s="2">
        <v>1</v>
      </c>
      <c r="L10032" s="2">
        <v>130</v>
      </c>
    </row>
    <row r="10033" spans="1:12" x14ac:dyDescent="0.25">
      <c r="A10033" s="4" t="str">
        <f>HYPERLINK("http://www.rosaceae.org/Prunus/Prunus_persica/p.persica_gdr_reftransV1_0020539","p.persica_gdr_reftransV1_0020539")</f>
        <v>p.persica_gdr_reftransV1_0020539</v>
      </c>
      <c r="B10033" s="2">
        <v>532</v>
      </c>
      <c r="C10033" s="4" t="str">
        <f>HYPERLINK("http://www.uniprot.org/uniprot/M5XAG1","M5XAG1")</f>
        <v>M5XAG1</v>
      </c>
      <c r="D10033" s="2" t="s">
        <v>8640</v>
      </c>
      <c r="E10033" s="3">
        <v>1.1099999999999999E-80</v>
      </c>
      <c r="F10033" s="2">
        <v>686</v>
      </c>
      <c r="G10033" s="2">
        <v>100</v>
      </c>
      <c r="H10033" s="2">
        <v>135</v>
      </c>
      <c r="I10033" s="2">
        <v>2</v>
      </c>
      <c r="J10033" s="2">
        <v>406</v>
      </c>
      <c r="K10033" s="2">
        <v>856</v>
      </c>
      <c r="L10033" s="2">
        <v>990</v>
      </c>
    </row>
    <row r="10034" spans="1:12" x14ac:dyDescent="0.25">
      <c r="A10034" s="4" t="str">
        <f>HYPERLINK("http://www.rosaceae.org/Prunus/Prunus_persica/p.persica_gdr_reftransV1_0021239","p.persica_gdr_reftransV1_0021239")</f>
        <v>p.persica_gdr_reftransV1_0021239</v>
      </c>
      <c r="B10034" s="2">
        <v>1239</v>
      </c>
      <c r="C10034" s="4" t="str">
        <f>HYPERLINK("http://www.uniprot.org/uniprot/M5WV22","M5WV22")</f>
        <v>M5WV22</v>
      </c>
      <c r="D10034" s="2" t="s">
        <v>8641</v>
      </c>
      <c r="E10034" s="3">
        <v>2.9600000000000002E-98</v>
      </c>
      <c r="F10034" s="2">
        <v>781</v>
      </c>
      <c r="G10034" s="2">
        <v>99</v>
      </c>
      <c r="H10034" s="2">
        <v>191</v>
      </c>
      <c r="I10034" s="2">
        <v>469</v>
      </c>
      <c r="J10034" s="2">
        <v>1041</v>
      </c>
      <c r="K10034" s="2">
        <v>55</v>
      </c>
      <c r="L10034" s="2">
        <v>245</v>
      </c>
    </row>
    <row r="10035" spans="1:12" x14ac:dyDescent="0.25">
      <c r="A10035" s="4" t="str">
        <f>HYPERLINK("http://www.rosaceae.org/Prunus/Prunus_persica/p.persica_gdr_reftransV1_0021939","p.persica_gdr_reftransV1_0021939")</f>
        <v>p.persica_gdr_reftransV1_0021939</v>
      </c>
      <c r="B10035" s="2">
        <v>1932</v>
      </c>
      <c r="C10035" s="4" t="str">
        <f>HYPERLINK("http://www.uniprot.org/uniprot/M5XNF6","M5XNF6")</f>
        <v>M5XNF6</v>
      </c>
      <c r="D10035" s="2" t="s">
        <v>8642</v>
      </c>
      <c r="E10035" s="3">
        <v>0</v>
      </c>
      <c r="F10035" s="2">
        <v>2065</v>
      </c>
      <c r="G10035" s="2">
        <v>97</v>
      </c>
      <c r="H10035" s="2">
        <v>479</v>
      </c>
      <c r="I10035" s="2">
        <v>421</v>
      </c>
      <c r="J10035" s="2">
        <v>1857</v>
      </c>
      <c r="K10035" s="2">
        <v>1</v>
      </c>
      <c r="L10035" s="2">
        <v>468</v>
      </c>
    </row>
    <row r="10036" spans="1:12" x14ac:dyDescent="0.25">
      <c r="A10036" s="4" t="str">
        <f>HYPERLINK("http://www.rosaceae.org/Prunus/Prunus_persica/p.persica_gdr_reftransV1_0022289","p.persica_gdr_reftransV1_0022289")</f>
        <v>p.persica_gdr_reftransV1_0022289</v>
      </c>
      <c r="B10036" s="2">
        <v>2020</v>
      </c>
      <c r="C10036" s="4" t="str">
        <f>HYPERLINK("http://www.uniprot.org/uniprot/M5X251","M5X251")</f>
        <v>M5X251</v>
      </c>
      <c r="D10036" s="2" t="s">
        <v>8643</v>
      </c>
      <c r="E10036" s="3">
        <v>1.58E-115</v>
      </c>
      <c r="F10036" s="2">
        <v>918</v>
      </c>
      <c r="G10036" s="2">
        <v>82</v>
      </c>
      <c r="H10036" s="2">
        <v>265</v>
      </c>
      <c r="I10036" s="2">
        <v>666</v>
      </c>
      <c r="J10036" s="2">
        <v>1460</v>
      </c>
      <c r="K10036" s="2">
        <v>20</v>
      </c>
      <c r="L10036" s="2">
        <v>235</v>
      </c>
    </row>
    <row r="10037" spans="1:12" x14ac:dyDescent="0.25">
      <c r="A10037" s="4" t="str">
        <f>HYPERLINK("http://www.rosaceae.org/Prunus/Prunus_persica/p.persica_gdr_reftransV1_0024389","p.persica_gdr_reftransV1_0024389")</f>
        <v>p.persica_gdr_reftransV1_0024389</v>
      </c>
      <c r="B10037" s="2">
        <v>1869</v>
      </c>
      <c r="C10037" s="4" t="str">
        <f>HYPERLINK("http://www.uniprot.org/uniprot/M5WUW0","M5WUW0")</f>
        <v>M5WUW0</v>
      </c>
      <c r="D10037" s="2" t="s">
        <v>8644</v>
      </c>
      <c r="E10037" s="3">
        <v>3.9199999999999999E-152</v>
      </c>
      <c r="F10037" s="2">
        <v>1166</v>
      </c>
      <c r="G10037" s="2">
        <v>100</v>
      </c>
      <c r="H10037" s="2">
        <v>318</v>
      </c>
      <c r="I10037" s="2">
        <v>387</v>
      </c>
      <c r="J10037" s="2">
        <v>1340</v>
      </c>
      <c r="K10037" s="2">
        <v>1</v>
      </c>
      <c r="L10037" s="2">
        <v>318</v>
      </c>
    </row>
    <row r="10038" spans="1:12" x14ac:dyDescent="0.25">
      <c r="A10038" s="4" t="str">
        <f>HYPERLINK("http://www.rosaceae.org/Prunus/Prunus_persica/p.persica_gdr_reftransV1_0025089","p.persica_gdr_reftransV1_0025089")</f>
        <v>p.persica_gdr_reftransV1_0025089</v>
      </c>
      <c r="B10038" s="2">
        <v>1333</v>
      </c>
      <c r="C10038" s="4" t="str">
        <f>HYPERLINK("http://www.uniprot.org/uniprot/M5W8F6","M5W8F6")</f>
        <v>M5W8F6</v>
      </c>
      <c r="D10038" s="2" t="s">
        <v>8645</v>
      </c>
      <c r="E10038" s="3">
        <v>2.91E-144</v>
      </c>
      <c r="F10038" s="2">
        <v>1155</v>
      </c>
      <c r="G10038" s="2">
        <v>95</v>
      </c>
      <c r="H10038" s="2">
        <v>229</v>
      </c>
      <c r="I10038" s="2">
        <v>2</v>
      </c>
      <c r="J10038" s="2">
        <v>679</v>
      </c>
      <c r="K10038" s="2">
        <v>540</v>
      </c>
      <c r="L10038" s="2">
        <v>768</v>
      </c>
    </row>
    <row r="10039" spans="1:12" x14ac:dyDescent="0.25">
      <c r="A10039" s="4" t="str">
        <f>HYPERLINK("http://www.rosaceae.org/Prunus/Prunus_persica/p.persica_gdr_reftransV1_0026139","p.persica_gdr_reftransV1_0026139")</f>
        <v>p.persica_gdr_reftransV1_0026139</v>
      </c>
      <c r="B10039" s="2">
        <v>2357</v>
      </c>
      <c r="C10039" s="4" t="str">
        <f>HYPERLINK("http://www.uniprot.org/uniprot/M5W119","M5W119")</f>
        <v>M5W119</v>
      </c>
      <c r="D10039" s="2" t="s">
        <v>8646</v>
      </c>
      <c r="E10039" s="3">
        <v>0</v>
      </c>
      <c r="F10039" s="2">
        <v>2392</v>
      </c>
      <c r="G10039" s="2">
        <v>100</v>
      </c>
      <c r="H10039" s="2">
        <v>438</v>
      </c>
      <c r="I10039" s="2">
        <v>906</v>
      </c>
      <c r="J10039" s="2">
        <v>2219</v>
      </c>
      <c r="K10039" s="2">
        <v>1</v>
      </c>
      <c r="L10039" s="2">
        <v>438</v>
      </c>
    </row>
    <row r="10040" spans="1:12" x14ac:dyDescent="0.25">
      <c r="A10040" s="4" t="str">
        <f>HYPERLINK("http://www.rosaceae.org/Prunus/Prunus_persica/p.persica_gdr_reftransV1_0027189","p.persica_gdr_reftransV1_0027189")</f>
        <v>p.persica_gdr_reftransV1_0027189</v>
      </c>
      <c r="B10040" s="2">
        <v>2280</v>
      </c>
      <c r="C10040" s="4" t="str">
        <f>HYPERLINK("http://www.uniprot.org/uniprot/M5XY52","M5XY52")</f>
        <v>M5XY52</v>
      </c>
      <c r="D10040" s="2" t="s">
        <v>8647</v>
      </c>
      <c r="E10040" s="3">
        <v>0</v>
      </c>
      <c r="F10040" s="2">
        <v>1521</v>
      </c>
      <c r="G10040" s="2">
        <v>100</v>
      </c>
      <c r="H10040" s="2">
        <v>284</v>
      </c>
      <c r="I10040" s="2">
        <v>1428</v>
      </c>
      <c r="J10040" s="2">
        <v>2279</v>
      </c>
      <c r="K10040" s="2">
        <v>1</v>
      </c>
      <c r="L10040" s="2">
        <v>284</v>
      </c>
    </row>
    <row r="10041" spans="1:12" x14ac:dyDescent="0.25">
      <c r="A10041" s="4" t="str">
        <f>HYPERLINK("http://www.rosaceae.org/Prunus/Prunus_persica/p.persica_gdr_reftransV1_0028589","p.persica_gdr_reftransV1_0028589")</f>
        <v>p.persica_gdr_reftransV1_0028589</v>
      </c>
      <c r="B10041" s="2">
        <v>2096</v>
      </c>
      <c r="C10041" s="4" t="str">
        <f>HYPERLINK("http://www.uniprot.org/uniprot/M5VJM6","M5VJM6")</f>
        <v>M5VJM6</v>
      </c>
      <c r="D10041" s="2" t="s">
        <v>8648</v>
      </c>
      <c r="E10041" s="3">
        <v>0</v>
      </c>
      <c r="F10041" s="2">
        <v>2611</v>
      </c>
      <c r="G10041" s="2">
        <v>100</v>
      </c>
      <c r="H10041" s="2">
        <v>487</v>
      </c>
      <c r="I10041" s="2">
        <v>275</v>
      </c>
      <c r="J10041" s="2">
        <v>1735</v>
      </c>
      <c r="K10041" s="2">
        <v>23</v>
      </c>
      <c r="L10041" s="2">
        <v>509</v>
      </c>
    </row>
    <row r="10042" spans="1:12" x14ac:dyDescent="0.25">
      <c r="A10042" s="4" t="str">
        <f>HYPERLINK("http://www.rosaceae.org/Prunus/Prunus_persica/p.persica_gdr_reftransV1_0029639","p.persica_gdr_reftransV1_0029639")</f>
        <v>p.persica_gdr_reftransV1_0029639</v>
      </c>
      <c r="B10042" s="2">
        <v>2209</v>
      </c>
      <c r="C10042" s="4" t="str">
        <f>HYPERLINK("http://www.uniprot.org/uniprot/M5XHU3","M5XHU3")</f>
        <v>M5XHU3</v>
      </c>
      <c r="D10042" s="2" t="s">
        <v>8649</v>
      </c>
      <c r="E10042" s="3">
        <v>0</v>
      </c>
      <c r="F10042" s="2">
        <v>1877</v>
      </c>
      <c r="G10042" s="2">
        <v>90</v>
      </c>
      <c r="H10042" s="2">
        <v>425</v>
      </c>
      <c r="I10042" s="2">
        <v>529</v>
      </c>
      <c r="J10042" s="2">
        <v>1803</v>
      </c>
      <c r="K10042" s="2">
        <v>42</v>
      </c>
      <c r="L10042" s="2">
        <v>422</v>
      </c>
    </row>
    <row r="10043" spans="1:12" x14ac:dyDescent="0.25">
      <c r="A10043" s="4" t="str">
        <f>HYPERLINK("http://www.rosaceae.org/Prunus/Prunus_persica/p.persica_gdr_reftransV1_0029989","p.persica_gdr_reftransV1_0029989")</f>
        <v>p.persica_gdr_reftransV1_0029989</v>
      </c>
      <c r="B10043" s="2">
        <v>630</v>
      </c>
      <c r="C10043" s="4" t="str">
        <f>HYPERLINK("http://www.uniprot.org/uniprot/A0A0B2S7W1","A0A0B2S7W1")</f>
        <v>A0A0B2S7W1</v>
      </c>
      <c r="D10043" s="2" t="s">
        <v>8650</v>
      </c>
      <c r="E10043" s="3">
        <v>8.7899999999999996E-22</v>
      </c>
      <c r="F10043" s="2">
        <v>235</v>
      </c>
      <c r="G10043" s="2">
        <v>73</v>
      </c>
      <c r="H10043" s="2">
        <v>63</v>
      </c>
      <c r="I10043" s="2">
        <v>193</v>
      </c>
      <c r="J10043" s="2">
        <v>381</v>
      </c>
      <c r="K10043" s="2">
        <v>1</v>
      </c>
      <c r="L10043" s="2">
        <v>63</v>
      </c>
    </row>
    <row r="10044" spans="1:12" x14ac:dyDescent="0.25">
      <c r="A10044" s="4" t="str">
        <f>HYPERLINK("http://www.rosaceae.org/Prunus/Prunus_persica/p.persica_gdr_reftransV1_0030689","p.persica_gdr_reftransV1_0030689")</f>
        <v>p.persica_gdr_reftransV1_0030689</v>
      </c>
      <c r="B10044" s="2">
        <v>3353</v>
      </c>
      <c r="C10044" s="4" t="str">
        <f>HYPERLINK("http://www.uniprot.org/uniprot/M5WWZ0","M5WWZ0")</f>
        <v>M5WWZ0</v>
      </c>
      <c r="D10044" s="2" t="s">
        <v>8651</v>
      </c>
      <c r="E10044" s="3">
        <v>0</v>
      </c>
      <c r="F10044" s="2">
        <v>2589</v>
      </c>
      <c r="G10044" s="2">
        <v>100</v>
      </c>
      <c r="H10044" s="2">
        <v>484</v>
      </c>
      <c r="I10044" s="2">
        <v>1610</v>
      </c>
      <c r="J10044" s="2">
        <v>3061</v>
      </c>
      <c r="K10044" s="2">
        <v>1</v>
      </c>
      <c r="L10044" s="2">
        <v>484</v>
      </c>
    </row>
    <row r="10045" spans="1:12" x14ac:dyDescent="0.25">
      <c r="A10045" s="4" t="str">
        <f>HYPERLINK("http://www.rosaceae.org/Prunus/Prunus_persica/p.persica_gdr_reftransV1_0031039","p.persica_gdr_reftransV1_0031039")</f>
        <v>p.persica_gdr_reftransV1_0031039</v>
      </c>
      <c r="B10045" s="2">
        <v>4678</v>
      </c>
      <c r="C10045" s="4" t="str">
        <f>HYPERLINK("http://www.uniprot.org/uniprot/M5X2R2","M5X2R2")</f>
        <v>M5X2R2</v>
      </c>
      <c r="D10045" s="2" t="s">
        <v>8652</v>
      </c>
      <c r="E10045" s="3">
        <v>0</v>
      </c>
      <c r="F10045" s="2">
        <v>4056</v>
      </c>
      <c r="G10045" s="2">
        <v>100</v>
      </c>
      <c r="H10045" s="2">
        <v>752</v>
      </c>
      <c r="I10045" s="2">
        <v>1781</v>
      </c>
      <c r="J10045" s="2">
        <v>4036</v>
      </c>
      <c r="K10045" s="2">
        <v>1</v>
      </c>
      <c r="L10045" s="2">
        <v>752</v>
      </c>
    </row>
    <row r="10046" spans="1:12" x14ac:dyDescent="0.25">
      <c r="A10046" s="4" t="str">
        <f>HYPERLINK("http://www.rosaceae.org/Prunus/Prunus_persica/p.persica_gdr_reftransV1_0031739","p.persica_gdr_reftransV1_0031739")</f>
        <v>p.persica_gdr_reftransV1_0031739</v>
      </c>
      <c r="B10046" s="2">
        <v>2699</v>
      </c>
      <c r="C10046" s="4" t="str">
        <f>HYPERLINK("http://www.uniprot.org/uniprot/M5W633","M5W633")</f>
        <v>M5W633</v>
      </c>
      <c r="D10046" s="2" t="s">
        <v>8653</v>
      </c>
      <c r="E10046" s="3">
        <v>0</v>
      </c>
      <c r="F10046" s="2">
        <v>2446</v>
      </c>
      <c r="G10046" s="2">
        <v>100</v>
      </c>
      <c r="H10046" s="2">
        <v>565</v>
      </c>
      <c r="I10046" s="2">
        <v>666</v>
      </c>
      <c r="J10046" s="2">
        <v>2360</v>
      </c>
      <c r="K10046" s="2">
        <v>1</v>
      </c>
      <c r="L10046" s="2">
        <v>565</v>
      </c>
    </row>
    <row r="10047" spans="1:12" x14ac:dyDescent="0.25">
      <c r="A10047" s="4" t="str">
        <f>HYPERLINK("http://www.rosaceae.org/Prunus/Prunus_persica/p.persica_gdr_reftransV1_0032439","p.persica_gdr_reftransV1_0032439")</f>
        <v>p.persica_gdr_reftransV1_0032439</v>
      </c>
      <c r="B10047" s="2">
        <v>1112</v>
      </c>
      <c r="C10047" s="4" t="str">
        <f>HYPERLINK("http://www.uniprot.org/uniprot/M5WPW3","M5WPW3")</f>
        <v>M5WPW3</v>
      </c>
      <c r="D10047" s="2" t="s">
        <v>8654</v>
      </c>
      <c r="E10047" s="3">
        <v>2.6299999999999998E-136</v>
      </c>
      <c r="F10047" s="2">
        <v>1028</v>
      </c>
      <c r="G10047" s="2">
        <v>100</v>
      </c>
      <c r="H10047" s="2">
        <v>235</v>
      </c>
      <c r="I10047" s="2">
        <v>286</v>
      </c>
      <c r="J10047" s="2">
        <v>990</v>
      </c>
      <c r="K10047" s="2">
        <v>1</v>
      </c>
      <c r="L10047" s="2">
        <v>235</v>
      </c>
    </row>
    <row r="10048" spans="1:12" x14ac:dyDescent="0.25">
      <c r="A10048" s="4" t="str">
        <f>HYPERLINK("http://www.rosaceae.org/Prunus/Prunus_persica/p.persica_gdr_reftransV1_0033839","p.persica_gdr_reftransV1_0033839")</f>
        <v>p.persica_gdr_reftransV1_0033839</v>
      </c>
      <c r="B10048" s="2">
        <v>1612</v>
      </c>
      <c r="C10048" s="4" t="str">
        <f>HYPERLINK("http://www.uniprot.org/uniprot/M5WYZ6","M5WYZ6")</f>
        <v>M5WYZ6</v>
      </c>
      <c r="D10048" s="2" t="s">
        <v>8655</v>
      </c>
      <c r="E10048" s="3">
        <v>0</v>
      </c>
      <c r="F10048" s="2">
        <v>1608</v>
      </c>
      <c r="G10048" s="2">
        <v>100</v>
      </c>
      <c r="H10048" s="2">
        <v>317</v>
      </c>
      <c r="I10048" s="2">
        <v>353</v>
      </c>
      <c r="J10048" s="2">
        <v>1303</v>
      </c>
      <c r="K10048" s="2">
        <v>1</v>
      </c>
      <c r="L10048" s="2">
        <v>317</v>
      </c>
    </row>
    <row r="10049" spans="1:12" x14ac:dyDescent="0.25">
      <c r="A10049" s="4" t="str">
        <f>HYPERLINK("http://www.rosaceae.org/Prunus/Prunus_persica/p.persica_gdr_reftransV1_0034189","p.persica_gdr_reftransV1_0034189")</f>
        <v>p.persica_gdr_reftransV1_0034189</v>
      </c>
      <c r="B10049" s="2">
        <v>6389</v>
      </c>
      <c r="C10049" s="4" t="str">
        <f>HYPERLINK("http://www.uniprot.org/uniprot/W9QCE8","W9QCE8")</f>
        <v>W9QCE8</v>
      </c>
      <c r="D10049" s="2" t="s">
        <v>8656</v>
      </c>
      <c r="E10049" s="3">
        <v>0</v>
      </c>
      <c r="F10049" s="2">
        <v>6128</v>
      </c>
      <c r="G10049" s="2">
        <v>75</v>
      </c>
      <c r="H10049" s="2">
        <v>1753</v>
      </c>
      <c r="I10049" s="2">
        <v>639</v>
      </c>
      <c r="J10049" s="2">
        <v>5858</v>
      </c>
      <c r="K10049" s="2">
        <v>1</v>
      </c>
      <c r="L10049" s="2">
        <v>1734</v>
      </c>
    </row>
    <row r="10050" spans="1:12" x14ac:dyDescent="0.25">
      <c r="A10050" s="4" t="str">
        <f>HYPERLINK("http://www.rosaceae.org/Prunus/Prunus_persica/p.persica_gdr_reftransV1_0035939","p.persica_gdr_reftransV1_0035939")</f>
        <v>p.persica_gdr_reftransV1_0035939</v>
      </c>
      <c r="B10050" s="2">
        <v>1330</v>
      </c>
      <c r="C10050" s="4" t="str">
        <f>HYPERLINK("http://www.uniprot.org/uniprot/M5WCB0","M5WCB0")</f>
        <v>M5WCB0</v>
      </c>
      <c r="D10050" s="2" t="s">
        <v>8657</v>
      </c>
      <c r="E10050" s="3">
        <v>9.4099999999999995E-92</v>
      </c>
      <c r="F10050" s="2">
        <v>731</v>
      </c>
      <c r="G10050" s="2">
        <v>100</v>
      </c>
      <c r="H10050" s="2">
        <v>150</v>
      </c>
      <c r="I10050" s="2">
        <v>336</v>
      </c>
      <c r="J10050" s="2">
        <v>785</v>
      </c>
      <c r="K10050" s="2">
        <v>1</v>
      </c>
      <c r="L10050" s="2">
        <v>150</v>
      </c>
    </row>
    <row r="10051" spans="1:12" x14ac:dyDescent="0.25">
      <c r="A10051" s="4" t="str">
        <f>HYPERLINK("http://www.rosaceae.org/Prunus/Prunus_persica/p.persica_gdr_reftransV1_0036289","p.persica_gdr_reftransV1_0036289")</f>
        <v>p.persica_gdr_reftransV1_0036289</v>
      </c>
      <c r="B10051" s="2">
        <v>1272</v>
      </c>
      <c r="C10051" s="4" t="str">
        <f>HYPERLINK("http://www.uniprot.org/uniprot/W9SBK8","W9SBK8")</f>
        <v>W9SBK8</v>
      </c>
      <c r="D10051" s="2" t="s">
        <v>8658</v>
      </c>
      <c r="E10051" s="3">
        <v>2.7299999999999998E-112</v>
      </c>
      <c r="F10051" s="2">
        <v>872</v>
      </c>
      <c r="G10051" s="2">
        <v>77</v>
      </c>
      <c r="H10051" s="2">
        <v>210</v>
      </c>
      <c r="I10051" s="2">
        <v>455</v>
      </c>
      <c r="J10051" s="2">
        <v>1072</v>
      </c>
      <c r="K10051" s="2">
        <v>1</v>
      </c>
      <c r="L10051" s="2">
        <v>210</v>
      </c>
    </row>
    <row r="10052" spans="1:12" x14ac:dyDescent="0.25">
      <c r="A10052" s="4" t="str">
        <f>HYPERLINK("http://www.rosaceae.org/Prunus/Prunus_persica/p.persica_gdr_reftransV1_0038039","p.persica_gdr_reftransV1_0038039")</f>
        <v>p.persica_gdr_reftransV1_0038039</v>
      </c>
      <c r="B10052" s="2">
        <v>2616</v>
      </c>
      <c r="C10052" s="4" t="str">
        <f>HYPERLINK("http://www.uniprot.org/uniprot/M5VPQ9","M5VPQ9")</f>
        <v>M5VPQ9</v>
      </c>
      <c r="D10052" s="2" t="s">
        <v>8659</v>
      </c>
      <c r="E10052" s="3">
        <v>0</v>
      </c>
      <c r="F10052" s="2">
        <v>1727</v>
      </c>
      <c r="G10052" s="2">
        <v>99</v>
      </c>
      <c r="H10052" s="2">
        <v>344</v>
      </c>
      <c r="I10052" s="2">
        <v>1357</v>
      </c>
      <c r="J10052" s="2">
        <v>2385</v>
      </c>
      <c r="K10052" s="2">
        <v>1</v>
      </c>
      <c r="L10052" s="2">
        <v>344</v>
      </c>
    </row>
    <row r="10053" spans="1:12" x14ac:dyDescent="0.25">
      <c r="A10053" s="4" t="str">
        <f>HYPERLINK("http://www.rosaceae.org/Prunus/Prunus_persica/p.persica_gdr_reftransV1_0041539","p.persica_gdr_reftransV1_0041539")</f>
        <v>p.persica_gdr_reftransV1_0041539</v>
      </c>
      <c r="B10053" s="2">
        <v>951</v>
      </c>
      <c r="C10053" s="4" t="str">
        <f>HYPERLINK("http://www.uniprot.org/uniprot/M5VRK7","M5VRK7")</f>
        <v>M5VRK7</v>
      </c>
      <c r="D10053" s="2" t="s">
        <v>8660</v>
      </c>
      <c r="E10053" s="3">
        <v>1.2E-67</v>
      </c>
      <c r="F10053" s="2">
        <v>558</v>
      </c>
      <c r="G10053" s="2">
        <v>100</v>
      </c>
      <c r="H10053" s="2">
        <v>135</v>
      </c>
      <c r="I10053" s="2">
        <v>373</v>
      </c>
      <c r="J10053" s="2">
        <v>777</v>
      </c>
      <c r="K10053" s="2">
        <v>1</v>
      </c>
      <c r="L10053" s="2">
        <v>135</v>
      </c>
    </row>
    <row r="10054" spans="1:12" x14ac:dyDescent="0.25">
      <c r="A10054" s="4" t="str">
        <f>HYPERLINK("http://www.rosaceae.org/Prunus/Prunus_persica/p.persica_gdr_reftransV1_0043289","p.persica_gdr_reftransV1_0043289")</f>
        <v>p.persica_gdr_reftransV1_0043289</v>
      </c>
      <c r="B10054" s="2">
        <v>428</v>
      </c>
      <c r="C10054" s="4" t="str">
        <f>HYPERLINK("http://www.uniprot.org/uniprot/M5XJE4","M5XJE4")</f>
        <v>M5XJE4</v>
      </c>
      <c r="D10054" s="2" t="s">
        <v>8661</v>
      </c>
      <c r="E10054" s="3">
        <v>1.5699999999999999E-70</v>
      </c>
      <c r="F10054" s="2">
        <v>610</v>
      </c>
      <c r="G10054" s="2">
        <v>85</v>
      </c>
      <c r="H10054" s="2">
        <v>136</v>
      </c>
      <c r="I10054" s="2">
        <v>2</v>
      </c>
      <c r="J10054" s="2">
        <v>409</v>
      </c>
      <c r="K10054" s="2">
        <v>530</v>
      </c>
      <c r="L10054" s="2">
        <v>665</v>
      </c>
    </row>
    <row r="10055" spans="1:12" x14ac:dyDescent="0.25">
      <c r="A10055" s="4" t="str">
        <f>HYPERLINK("http://www.rosaceae.org/Prunus/Prunus_persica/p.persica_gdr_reftransV1_0043639","p.persica_gdr_reftransV1_0043639")</f>
        <v>p.persica_gdr_reftransV1_0043639</v>
      </c>
      <c r="B10055" s="2">
        <v>1637</v>
      </c>
      <c r="C10055" s="4" t="str">
        <f>HYPERLINK("http://www.uniprot.org/uniprot/M5VQB5","M5VQB5")</f>
        <v>M5VQB5</v>
      </c>
      <c r="D10055" s="2" t="s">
        <v>8662</v>
      </c>
      <c r="E10055" s="3">
        <v>0</v>
      </c>
      <c r="F10055" s="2">
        <v>2417</v>
      </c>
      <c r="G10055" s="2">
        <v>100</v>
      </c>
      <c r="H10055" s="2">
        <v>493</v>
      </c>
      <c r="I10055" s="2">
        <v>107</v>
      </c>
      <c r="J10055" s="2">
        <v>1585</v>
      </c>
      <c r="K10055" s="2">
        <v>1</v>
      </c>
      <c r="L10055" s="2">
        <v>493</v>
      </c>
    </row>
    <row r="10056" spans="1:12" x14ac:dyDescent="0.25">
      <c r="A10056" s="4" t="str">
        <f>HYPERLINK("http://www.rosaceae.org/Prunus/Prunus_persica/p.persica_gdr_reftransV1_0043989","p.persica_gdr_reftransV1_0043989")</f>
        <v>p.persica_gdr_reftransV1_0043989</v>
      </c>
      <c r="B10056" s="2">
        <v>1354</v>
      </c>
      <c r="C10056" s="4" t="str">
        <f>HYPERLINK("http://www.uniprot.org/uniprot/M5WJH1","M5WJH1")</f>
        <v>M5WJH1</v>
      </c>
      <c r="D10056" s="2" t="s">
        <v>8663</v>
      </c>
      <c r="E10056" s="3">
        <v>8.5999999999999999E-87</v>
      </c>
      <c r="F10056" s="2">
        <v>709</v>
      </c>
      <c r="G10056" s="2">
        <v>100</v>
      </c>
      <c r="H10056" s="2">
        <v>225</v>
      </c>
      <c r="I10056" s="2">
        <v>387</v>
      </c>
      <c r="J10056" s="2">
        <v>1061</v>
      </c>
      <c r="K10056" s="2">
        <v>34</v>
      </c>
      <c r="L10056" s="2">
        <v>258</v>
      </c>
    </row>
    <row r="10057" spans="1:12" x14ac:dyDescent="0.25">
      <c r="A10057" s="4" t="str">
        <f>HYPERLINK("http://www.rosaceae.org/Prunus/Prunus_persica/p.persica_gdr_reftransV1_0044339","p.persica_gdr_reftransV1_0044339")</f>
        <v>p.persica_gdr_reftransV1_0044339</v>
      </c>
      <c r="B10057" s="2">
        <v>2016</v>
      </c>
      <c r="C10057" s="4" t="str">
        <f>HYPERLINK("http://www.uniprot.org/uniprot/M5VTN2","M5VTN2")</f>
        <v>M5VTN2</v>
      </c>
      <c r="D10057" s="2" t="s">
        <v>8664</v>
      </c>
      <c r="E10057" s="3">
        <v>0</v>
      </c>
      <c r="F10057" s="2">
        <v>2044</v>
      </c>
      <c r="G10057" s="2">
        <v>93</v>
      </c>
      <c r="H10057" s="2">
        <v>473</v>
      </c>
      <c r="I10057" s="2">
        <v>134</v>
      </c>
      <c r="J10057" s="2">
        <v>1549</v>
      </c>
      <c r="K10057" s="2">
        <v>198</v>
      </c>
      <c r="L10057" s="2">
        <v>644</v>
      </c>
    </row>
    <row r="10058" spans="1:12" x14ac:dyDescent="0.25">
      <c r="A10058" s="4" t="str">
        <f>HYPERLINK("http://www.rosaceae.org/Prunus/Prunus_persica/p.persica_gdr_reftransV1_0044689","p.persica_gdr_reftransV1_0044689")</f>
        <v>p.persica_gdr_reftransV1_0044689</v>
      </c>
      <c r="B10058" s="2">
        <v>1504</v>
      </c>
      <c r="C10058" s="4" t="str">
        <f>HYPERLINK("http://www.uniprot.org/uniprot/M5WZR8","M5WZR8")</f>
        <v>M5WZR8</v>
      </c>
      <c r="D10058" s="2" t="s">
        <v>8665</v>
      </c>
      <c r="E10058" s="3">
        <v>0</v>
      </c>
      <c r="F10058" s="2">
        <v>1609</v>
      </c>
      <c r="G10058" s="2">
        <v>94</v>
      </c>
      <c r="H10058" s="2">
        <v>316</v>
      </c>
      <c r="I10058" s="2">
        <v>1</v>
      </c>
      <c r="J10058" s="2">
        <v>948</v>
      </c>
      <c r="K10058" s="2">
        <v>398</v>
      </c>
      <c r="L10058" s="2">
        <v>713</v>
      </c>
    </row>
    <row r="10059" spans="1:12" x14ac:dyDescent="0.25">
      <c r="A10059" s="4" t="str">
        <f>HYPERLINK("http://www.rosaceae.org/Prunus/Prunus_persica/p.persica_gdr_reftransV1_0045039","p.persica_gdr_reftransV1_0045039")</f>
        <v>p.persica_gdr_reftransV1_0045039</v>
      </c>
      <c r="B10059" s="2">
        <v>312</v>
      </c>
      <c r="C10059" s="4" t="str">
        <f>HYPERLINK("http://www.uniprot.org/uniprot/M5WT53","M5WT53")</f>
        <v>M5WT53</v>
      </c>
      <c r="D10059" s="2" t="s">
        <v>8666</v>
      </c>
      <c r="E10059" s="3">
        <v>2.3899999999999998E-53</v>
      </c>
      <c r="F10059" s="2">
        <v>438</v>
      </c>
      <c r="G10059" s="2">
        <v>100</v>
      </c>
      <c r="H10059" s="2">
        <v>84</v>
      </c>
      <c r="I10059" s="2">
        <v>29</v>
      </c>
      <c r="J10059" s="2">
        <v>280</v>
      </c>
      <c r="K10059" s="2">
        <v>1</v>
      </c>
      <c r="L10059" s="2">
        <v>84</v>
      </c>
    </row>
    <row r="10060" spans="1:12" x14ac:dyDescent="0.25">
      <c r="A10060" s="4" t="str">
        <f>HYPERLINK("http://www.rosaceae.org/Prunus/Prunus_persica/p.persica_gdr_reftransV1_0045739","p.persica_gdr_reftransV1_0045739")</f>
        <v>p.persica_gdr_reftransV1_0045739</v>
      </c>
      <c r="B10060" s="2">
        <v>823</v>
      </c>
      <c r="C10060" s="4" t="str">
        <f>HYPERLINK("http://www.uniprot.org/uniprot/A0A0A0K3J8","A0A0A0K3J8")</f>
        <v>A0A0A0K3J8</v>
      </c>
      <c r="D10060" s="2" t="s">
        <v>8667</v>
      </c>
      <c r="E10060" s="3">
        <v>3.46E-7</v>
      </c>
      <c r="F10060" s="2">
        <v>144</v>
      </c>
      <c r="G10060" s="2">
        <v>69</v>
      </c>
      <c r="H10060" s="2">
        <v>49</v>
      </c>
      <c r="I10060" s="2">
        <v>83</v>
      </c>
      <c r="J10060" s="2">
        <v>229</v>
      </c>
      <c r="K10060" s="2">
        <v>1</v>
      </c>
      <c r="L10060" s="2">
        <v>47</v>
      </c>
    </row>
    <row r="10061" spans="1:12" x14ac:dyDescent="0.25">
      <c r="A10061" s="4" t="str">
        <f>HYPERLINK("http://www.rosaceae.org/Prunus/Prunus_persica/p.persica_gdr_reftransV1_0046089","p.persica_gdr_reftransV1_0046089")</f>
        <v>p.persica_gdr_reftransV1_0046089</v>
      </c>
      <c r="B10061" s="2">
        <v>1567</v>
      </c>
      <c r="C10061" s="4" t="str">
        <f>HYPERLINK("http://www.uniprot.org/uniprot/M5VQM7","M5VQM7")</f>
        <v>M5VQM7</v>
      </c>
      <c r="D10061" s="2" t="s">
        <v>8668</v>
      </c>
      <c r="E10061" s="3">
        <v>0</v>
      </c>
      <c r="F10061" s="2">
        <v>1514</v>
      </c>
      <c r="G10061" s="2">
        <v>100</v>
      </c>
      <c r="H10061" s="2">
        <v>284</v>
      </c>
      <c r="I10061" s="2">
        <v>488</v>
      </c>
      <c r="J10061" s="2">
        <v>1339</v>
      </c>
      <c r="K10061" s="2">
        <v>1</v>
      </c>
      <c r="L10061" s="2">
        <v>284</v>
      </c>
    </row>
    <row r="10062" spans="1:12" x14ac:dyDescent="0.25">
      <c r="A10062" s="4" t="str">
        <f>HYPERLINK("http://www.rosaceae.org/Prunus/Prunus_persica/p.persica_gdr_reftransV1_0046439","p.persica_gdr_reftransV1_0046439")</f>
        <v>p.persica_gdr_reftransV1_0046439</v>
      </c>
      <c r="B10062" s="2">
        <v>409</v>
      </c>
      <c r="C10062" s="4" t="str">
        <f>HYPERLINK("http://www.uniprot.org/uniprot/M5XC92","M5XC92")</f>
        <v>M5XC92</v>
      </c>
      <c r="D10062" s="2" t="s">
        <v>2074</v>
      </c>
      <c r="E10062" s="3">
        <v>4.47E-57</v>
      </c>
      <c r="F10062" s="2">
        <v>490</v>
      </c>
      <c r="G10062" s="2">
        <v>100</v>
      </c>
      <c r="H10062" s="2">
        <v>93</v>
      </c>
      <c r="I10062" s="2">
        <v>74</v>
      </c>
      <c r="J10062" s="2">
        <v>352</v>
      </c>
      <c r="K10062" s="2">
        <v>1</v>
      </c>
      <c r="L10062" s="2">
        <v>93</v>
      </c>
    </row>
    <row r="10063" spans="1:12" x14ac:dyDescent="0.25">
      <c r="A10063" s="4" t="str">
        <f>HYPERLINK("http://www.rosaceae.org/Prunus/Prunus_persica/p.persica_gdr_reftransV1_0046789","p.persica_gdr_reftransV1_0046789")</f>
        <v>p.persica_gdr_reftransV1_0046789</v>
      </c>
      <c r="B10063" s="2">
        <v>1743</v>
      </c>
      <c r="C10063" s="4" t="str">
        <f>HYPERLINK("http://www.uniprot.org/uniprot/M5WBS9","M5WBS9")</f>
        <v>M5WBS9</v>
      </c>
      <c r="D10063" s="2" t="s">
        <v>8669</v>
      </c>
      <c r="E10063" s="3">
        <v>0</v>
      </c>
      <c r="F10063" s="2">
        <v>2321</v>
      </c>
      <c r="G10063" s="2">
        <v>100</v>
      </c>
      <c r="H10063" s="2">
        <v>475</v>
      </c>
      <c r="I10063" s="2">
        <v>281</v>
      </c>
      <c r="J10063" s="2">
        <v>1705</v>
      </c>
      <c r="K10063" s="2">
        <v>1</v>
      </c>
      <c r="L10063" s="2">
        <v>475</v>
      </c>
    </row>
    <row r="10064" spans="1:12" x14ac:dyDescent="0.25">
      <c r="A10064" s="4" t="str">
        <f>HYPERLINK("http://www.rosaceae.org/Prunus/Prunus_persica/p.persica_gdr_reftransV1_0047839","p.persica_gdr_reftransV1_0047839")</f>
        <v>p.persica_gdr_reftransV1_0047839</v>
      </c>
      <c r="B10064" s="2">
        <v>607</v>
      </c>
      <c r="C10064" s="4" t="str">
        <f>HYPERLINK("http://www.uniprot.org/uniprot/M5XP96","M5XP96")</f>
        <v>M5XP96</v>
      </c>
      <c r="D10064" s="2" t="s">
        <v>8670</v>
      </c>
      <c r="E10064" s="3">
        <v>5.1100000000000001E-92</v>
      </c>
      <c r="F10064" s="2">
        <v>759</v>
      </c>
      <c r="G10064" s="2">
        <v>100</v>
      </c>
      <c r="H10064" s="2">
        <v>201</v>
      </c>
      <c r="I10064" s="2">
        <v>3</v>
      </c>
      <c r="J10064" s="2">
        <v>605</v>
      </c>
      <c r="K10064" s="2">
        <v>397</v>
      </c>
      <c r="L10064" s="2">
        <v>597</v>
      </c>
    </row>
    <row r="10065" spans="1:12" x14ac:dyDescent="0.25">
      <c r="A10065" s="4" t="str">
        <f>HYPERLINK("http://www.rosaceae.org/Prunus/Prunus_persica/p.persica_gdr_reftransV1_0048189","p.persica_gdr_reftransV1_0048189")</f>
        <v>p.persica_gdr_reftransV1_0048189</v>
      </c>
      <c r="B10065" s="2">
        <v>1159</v>
      </c>
      <c r="C10065" s="4" t="str">
        <f>HYPERLINK("http://www.uniprot.org/uniprot/A6XN01","A6XN01")</f>
        <v>A6XN01</v>
      </c>
      <c r="D10065" s="2" t="s">
        <v>8671</v>
      </c>
      <c r="E10065" s="3">
        <v>3.6299999999999997E-135</v>
      </c>
      <c r="F10065" s="2">
        <v>1022</v>
      </c>
      <c r="G10065" s="2">
        <v>100</v>
      </c>
      <c r="H10065" s="2">
        <v>238</v>
      </c>
      <c r="I10065" s="2">
        <v>116</v>
      </c>
      <c r="J10065" s="2">
        <v>829</v>
      </c>
      <c r="K10065" s="2">
        <v>1</v>
      </c>
      <c r="L10065" s="2">
        <v>238</v>
      </c>
    </row>
    <row r="10066" spans="1:12" x14ac:dyDescent="0.25">
      <c r="A10066" s="4" t="str">
        <f>HYPERLINK("http://www.rosaceae.org/Prunus/Prunus_persica/p.persica_gdr_reftransV1_0048539","p.persica_gdr_reftransV1_0048539")</f>
        <v>p.persica_gdr_reftransV1_0048539</v>
      </c>
      <c r="B10066" s="2">
        <v>1433</v>
      </c>
      <c r="C10066" s="4" t="str">
        <f>HYPERLINK("http://www.uniprot.org/uniprot/X2FZW3","X2FZW3")</f>
        <v>X2FZW3</v>
      </c>
      <c r="D10066" s="2" t="s">
        <v>8672</v>
      </c>
      <c r="E10066" s="3">
        <v>0</v>
      </c>
      <c r="F10066" s="2">
        <v>1593</v>
      </c>
      <c r="G10066" s="2">
        <v>85</v>
      </c>
      <c r="H10066" s="2">
        <v>390</v>
      </c>
      <c r="I10066" s="2">
        <v>86</v>
      </c>
      <c r="J10066" s="2">
        <v>1252</v>
      </c>
      <c r="K10066" s="2">
        <v>111</v>
      </c>
      <c r="L10066" s="2">
        <v>500</v>
      </c>
    </row>
    <row r="10067" spans="1:12" x14ac:dyDescent="0.25">
      <c r="A10067" s="4" t="str">
        <f>HYPERLINK("http://www.rosaceae.org/Prunus/Prunus_persica/p.persica_gdr_reftransV1_0048889","p.persica_gdr_reftransV1_0048889")</f>
        <v>p.persica_gdr_reftransV1_0048889</v>
      </c>
      <c r="B10067" s="2">
        <v>958</v>
      </c>
      <c r="C10067" s="4" t="str">
        <f>HYPERLINK("http://www.uniprot.org/uniprot/M5WAV7","M5WAV7")</f>
        <v>M5WAV7</v>
      </c>
      <c r="D10067" s="2" t="s">
        <v>8673</v>
      </c>
      <c r="E10067" s="3">
        <v>2.2399999999999998E-87</v>
      </c>
      <c r="F10067" s="2">
        <v>690</v>
      </c>
      <c r="G10067" s="2">
        <v>100</v>
      </c>
      <c r="H10067" s="2">
        <v>135</v>
      </c>
      <c r="I10067" s="2">
        <v>187</v>
      </c>
      <c r="J10067" s="2">
        <v>591</v>
      </c>
      <c r="K10067" s="2">
        <v>1</v>
      </c>
      <c r="L10067" s="2">
        <v>135</v>
      </c>
    </row>
    <row r="10068" spans="1:12" x14ac:dyDescent="0.25">
      <c r="A10068" s="4" t="str">
        <f>HYPERLINK("http://www.rosaceae.org/Prunus/Prunus_persica/p.persica_gdr_reftransV1_0000240","p.persica_gdr_reftransV1_0000240")</f>
        <v>p.persica_gdr_reftransV1_0000240</v>
      </c>
      <c r="B10068" s="2">
        <v>916</v>
      </c>
      <c r="C10068" s="4" t="str">
        <f>HYPERLINK("http://www.uniprot.org/uniprot/M5WBJ1","M5WBJ1")</f>
        <v>M5WBJ1</v>
      </c>
      <c r="D10068" s="2" t="s">
        <v>8674</v>
      </c>
      <c r="E10068" s="3">
        <v>5.4099999999999996E-53</v>
      </c>
      <c r="F10068" s="2">
        <v>486</v>
      </c>
      <c r="G10068" s="2">
        <v>100</v>
      </c>
      <c r="H10068" s="2">
        <v>151</v>
      </c>
      <c r="I10068" s="2">
        <v>355</v>
      </c>
      <c r="J10068" s="2">
        <v>807</v>
      </c>
      <c r="K10068" s="2">
        <v>35</v>
      </c>
      <c r="L10068" s="2">
        <v>185</v>
      </c>
    </row>
    <row r="10069" spans="1:12" x14ac:dyDescent="0.25">
      <c r="A10069" s="4" t="str">
        <f>HYPERLINK("http://www.rosaceae.org/Prunus/Prunus_persica/p.persica_gdr_reftransV1_0000590","p.persica_gdr_reftransV1_0000590")</f>
        <v>p.persica_gdr_reftransV1_0000590</v>
      </c>
      <c r="B10069" s="2">
        <v>852</v>
      </c>
      <c r="C10069" s="4" t="str">
        <f>HYPERLINK("http://www.uniprot.org/uniprot/M5X130","M5X130")</f>
        <v>M5X130</v>
      </c>
      <c r="D10069" s="2" t="s">
        <v>149</v>
      </c>
      <c r="E10069" s="3">
        <v>2.35E-60</v>
      </c>
      <c r="F10069" s="2">
        <v>506</v>
      </c>
      <c r="G10069" s="2">
        <v>100</v>
      </c>
      <c r="H10069" s="2">
        <v>131</v>
      </c>
      <c r="I10069" s="2">
        <v>174</v>
      </c>
      <c r="J10069" s="2">
        <v>566</v>
      </c>
      <c r="K10069" s="2">
        <v>1</v>
      </c>
      <c r="L10069" s="2">
        <v>131</v>
      </c>
    </row>
    <row r="10070" spans="1:12" x14ac:dyDescent="0.25">
      <c r="A10070" s="4" t="str">
        <f>HYPERLINK("http://www.rosaceae.org/Prunus/Prunus_persica/p.persica_gdr_reftransV1_0000940","p.persica_gdr_reftransV1_0000940")</f>
        <v>p.persica_gdr_reftransV1_0000940</v>
      </c>
      <c r="B10070" s="2">
        <v>509</v>
      </c>
      <c r="C10070" s="4" t="str">
        <f>HYPERLINK("http://www.uniprot.org/uniprot/M5XP25","M5XP25")</f>
        <v>M5XP25</v>
      </c>
      <c r="D10070" s="2" t="s">
        <v>8675</v>
      </c>
      <c r="E10070" s="3">
        <v>5.7300000000000002E-102</v>
      </c>
      <c r="F10070" s="2">
        <v>789</v>
      </c>
      <c r="G10070" s="2">
        <v>100</v>
      </c>
      <c r="H10070" s="2">
        <v>162</v>
      </c>
      <c r="I10070" s="2">
        <v>3</v>
      </c>
      <c r="J10070" s="2">
        <v>488</v>
      </c>
      <c r="K10070" s="2">
        <v>1</v>
      </c>
      <c r="L10070" s="2">
        <v>162</v>
      </c>
    </row>
    <row r="10071" spans="1:12" x14ac:dyDescent="0.25">
      <c r="A10071" s="4" t="str">
        <f>HYPERLINK("http://www.rosaceae.org/Prunus/Prunus_persica/p.persica_gdr_reftransV1_0001990","p.persica_gdr_reftransV1_0001990")</f>
        <v>p.persica_gdr_reftransV1_0001990</v>
      </c>
      <c r="B10071" s="2">
        <v>3204</v>
      </c>
      <c r="C10071" s="4" t="str">
        <f>HYPERLINK("http://www.uniprot.org/uniprot/A0A067H674","A0A067H674")</f>
        <v>A0A067H674</v>
      </c>
      <c r="D10071" s="2" t="s">
        <v>8676</v>
      </c>
      <c r="E10071" s="3">
        <v>0</v>
      </c>
      <c r="F10071" s="2">
        <v>3222</v>
      </c>
      <c r="G10071" s="2">
        <v>75</v>
      </c>
      <c r="H10071" s="2">
        <v>864</v>
      </c>
      <c r="I10071" s="2">
        <v>426</v>
      </c>
      <c r="J10071" s="2">
        <v>3008</v>
      </c>
      <c r="K10071" s="2">
        <v>33</v>
      </c>
      <c r="L10071" s="2">
        <v>831</v>
      </c>
    </row>
    <row r="10072" spans="1:12" x14ac:dyDescent="0.25">
      <c r="A10072" s="4" t="str">
        <f>HYPERLINK("http://www.rosaceae.org/Prunus/Prunus_persica/p.persica_gdr_reftransV1_0002340","p.persica_gdr_reftransV1_0002340")</f>
        <v>p.persica_gdr_reftransV1_0002340</v>
      </c>
      <c r="B10072" s="2">
        <v>1772</v>
      </c>
      <c r="C10072" s="4" t="str">
        <f>HYPERLINK("http://www.uniprot.org/uniprot/M5W2S0","M5W2S0")</f>
        <v>M5W2S0</v>
      </c>
      <c r="D10072" s="2" t="s">
        <v>8677</v>
      </c>
      <c r="E10072" s="3">
        <v>0</v>
      </c>
      <c r="F10072" s="2">
        <v>2060</v>
      </c>
      <c r="G10072" s="2">
        <v>100</v>
      </c>
      <c r="H10072" s="2">
        <v>415</v>
      </c>
      <c r="I10072" s="2">
        <v>499</v>
      </c>
      <c r="J10072" s="2">
        <v>1743</v>
      </c>
      <c r="K10072" s="2">
        <v>1</v>
      </c>
      <c r="L10072" s="2">
        <v>415</v>
      </c>
    </row>
    <row r="10073" spans="1:12" x14ac:dyDescent="0.25">
      <c r="A10073" s="4" t="str">
        <f>HYPERLINK("http://www.rosaceae.org/Prunus/Prunus_persica/p.persica_gdr_reftransV1_0002690","p.persica_gdr_reftransV1_0002690")</f>
        <v>p.persica_gdr_reftransV1_0002690</v>
      </c>
      <c r="B10073" s="2">
        <v>783</v>
      </c>
      <c r="C10073" s="4" t="str">
        <f>HYPERLINK("http://www.uniprot.org/uniprot/M5WM04","M5WM04")</f>
        <v>M5WM04</v>
      </c>
      <c r="D10073" s="2" t="s">
        <v>8678</v>
      </c>
      <c r="E10073" s="3">
        <v>7.9099999999999997E-100</v>
      </c>
      <c r="F10073" s="2">
        <v>768</v>
      </c>
      <c r="G10073" s="2">
        <v>96</v>
      </c>
      <c r="H10073" s="2">
        <v>160</v>
      </c>
      <c r="I10073" s="2">
        <v>216</v>
      </c>
      <c r="J10073" s="2">
        <v>695</v>
      </c>
      <c r="K10073" s="2">
        <v>1</v>
      </c>
      <c r="L10073" s="2">
        <v>160</v>
      </c>
    </row>
    <row r="10074" spans="1:12" x14ac:dyDescent="0.25">
      <c r="A10074" s="4" t="str">
        <f>HYPERLINK("http://www.rosaceae.org/Prunus/Prunus_persica/p.persica_gdr_reftransV1_0003040","p.persica_gdr_reftransV1_0003040")</f>
        <v>p.persica_gdr_reftransV1_0003040</v>
      </c>
      <c r="B10074" s="2">
        <v>3396</v>
      </c>
      <c r="C10074" s="4" t="str">
        <f>HYPERLINK("http://www.uniprot.org/uniprot/M5XIZ7","M5XIZ7")</f>
        <v>M5XIZ7</v>
      </c>
      <c r="D10074" s="2" t="s">
        <v>8679</v>
      </c>
      <c r="E10074" s="3">
        <v>0</v>
      </c>
      <c r="F10074" s="2">
        <v>4513</v>
      </c>
      <c r="G10074" s="2">
        <v>100</v>
      </c>
      <c r="H10074" s="2">
        <v>908</v>
      </c>
      <c r="I10074" s="2">
        <v>446</v>
      </c>
      <c r="J10074" s="2">
        <v>3169</v>
      </c>
      <c r="K10074" s="2">
        <v>1</v>
      </c>
      <c r="L10074" s="2">
        <v>908</v>
      </c>
    </row>
    <row r="10075" spans="1:12" x14ac:dyDescent="0.25">
      <c r="A10075" s="4" t="str">
        <f>HYPERLINK("http://www.rosaceae.org/Prunus/Prunus_persica/p.persica_gdr_reftransV1_0003390","p.persica_gdr_reftransV1_0003390")</f>
        <v>p.persica_gdr_reftransV1_0003390</v>
      </c>
      <c r="B10075" s="2">
        <v>661</v>
      </c>
      <c r="C10075" s="4" t="str">
        <f>HYPERLINK("http://www.uniprot.org/uniprot/M5VNM3","M5VNM3")</f>
        <v>M5VNM3</v>
      </c>
      <c r="D10075" s="2" t="s">
        <v>8680</v>
      </c>
      <c r="E10075" s="3">
        <v>4.63E-64</v>
      </c>
      <c r="F10075" s="2">
        <v>542</v>
      </c>
      <c r="G10075" s="2">
        <v>98</v>
      </c>
      <c r="H10075" s="2">
        <v>104</v>
      </c>
      <c r="I10075" s="2">
        <v>287</v>
      </c>
      <c r="J10075" s="2">
        <v>598</v>
      </c>
      <c r="K10075" s="2">
        <v>227</v>
      </c>
      <c r="L10075" s="2">
        <v>330</v>
      </c>
    </row>
    <row r="10076" spans="1:12" x14ac:dyDescent="0.25">
      <c r="A10076" s="4" t="str">
        <f>HYPERLINK("http://www.rosaceae.org/Prunus/Prunus_persica/p.persica_gdr_reftransV1_0004440","p.persica_gdr_reftransV1_0004440")</f>
        <v>p.persica_gdr_reftransV1_0004440</v>
      </c>
      <c r="B10076" s="2">
        <v>1961</v>
      </c>
      <c r="C10076" s="4" t="str">
        <f>HYPERLINK("http://www.uniprot.org/uniprot/M5W2Y6","M5W2Y6")</f>
        <v>M5W2Y6</v>
      </c>
      <c r="D10076" s="2" t="s">
        <v>6298</v>
      </c>
      <c r="E10076" s="3">
        <v>0</v>
      </c>
      <c r="F10076" s="2">
        <v>2135</v>
      </c>
      <c r="G10076" s="2">
        <v>100</v>
      </c>
      <c r="H10076" s="2">
        <v>412</v>
      </c>
      <c r="I10076" s="2">
        <v>155</v>
      </c>
      <c r="J10076" s="2">
        <v>1390</v>
      </c>
      <c r="K10076" s="2">
        <v>1</v>
      </c>
      <c r="L10076" s="2">
        <v>412</v>
      </c>
    </row>
    <row r="10077" spans="1:12" x14ac:dyDescent="0.25">
      <c r="A10077" s="4" t="str">
        <f>HYPERLINK("http://www.rosaceae.org/Prunus/Prunus_persica/p.persica_gdr_reftransV1_0005140","p.persica_gdr_reftransV1_0005140")</f>
        <v>p.persica_gdr_reftransV1_0005140</v>
      </c>
      <c r="B10077" s="2">
        <v>1739</v>
      </c>
      <c r="C10077" s="4" t="str">
        <f>HYPERLINK("http://www.uniprot.org/uniprot/A0A059BTP8","A0A059BTP8")</f>
        <v>A0A059BTP8</v>
      </c>
      <c r="D10077" s="2" t="s">
        <v>5818</v>
      </c>
      <c r="E10077" s="3">
        <v>0</v>
      </c>
      <c r="F10077" s="2">
        <v>1442</v>
      </c>
      <c r="G10077" s="2">
        <v>69</v>
      </c>
      <c r="H10077" s="2">
        <v>387</v>
      </c>
      <c r="I10077" s="2">
        <v>411</v>
      </c>
      <c r="J10077" s="2">
        <v>1571</v>
      </c>
      <c r="K10077" s="2">
        <v>76</v>
      </c>
      <c r="L10077" s="2">
        <v>460</v>
      </c>
    </row>
    <row r="10078" spans="1:12" x14ac:dyDescent="0.25">
      <c r="A10078" s="4" t="str">
        <f>HYPERLINK("http://www.rosaceae.org/Prunus/Prunus_persica/p.persica_gdr_reftransV1_0005490","p.persica_gdr_reftransV1_0005490")</f>
        <v>p.persica_gdr_reftransV1_0005490</v>
      </c>
      <c r="B10078" s="2">
        <v>2479</v>
      </c>
      <c r="C10078" s="4" t="str">
        <f>HYPERLINK("http://www.uniprot.org/uniprot/M5WQ92","M5WQ92")</f>
        <v>M5WQ92</v>
      </c>
      <c r="D10078" s="2" t="s">
        <v>2456</v>
      </c>
      <c r="E10078" s="3">
        <v>0</v>
      </c>
      <c r="F10078" s="2">
        <v>2998</v>
      </c>
      <c r="G10078" s="2">
        <v>100</v>
      </c>
      <c r="H10078" s="2">
        <v>559</v>
      </c>
      <c r="I10078" s="2">
        <v>595</v>
      </c>
      <c r="J10078" s="2">
        <v>2271</v>
      </c>
      <c r="K10078" s="2">
        <v>27</v>
      </c>
      <c r="L10078" s="2">
        <v>585</v>
      </c>
    </row>
    <row r="10079" spans="1:12" x14ac:dyDescent="0.25">
      <c r="A10079" s="4" t="str">
        <f>HYPERLINK("http://www.rosaceae.org/Prunus/Prunus_persica/p.persica_gdr_reftransV1_0007240","p.persica_gdr_reftransV1_0007240")</f>
        <v>p.persica_gdr_reftransV1_0007240</v>
      </c>
      <c r="B10079" s="2">
        <v>1345</v>
      </c>
      <c r="C10079" s="4" t="str">
        <f>HYPERLINK("http://www.uniprot.org/uniprot/M5Y2W1","M5Y2W1")</f>
        <v>M5Y2W1</v>
      </c>
      <c r="D10079" s="2" t="s">
        <v>3820</v>
      </c>
      <c r="E10079" s="3">
        <v>0</v>
      </c>
      <c r="F10079" s="2">
        <v>1528</v>
      </c>
      <c r="G10079" s="2">
        <v>100</v>
      </c>
      <c r="H10079" s="2">
        <v>356</v>
      </c>
      <c r="I10079" s="2">
        <v>3</v>
      </c>
      <c r="J10079" s="2">
        <v>1070</v>
      </c>
      <c r="K10079" s="2">
        <v>179</v>
      </c>
      <c r="L10079" s="2">
        <v>534</v>
      </c>
    </row>
    <row r="10080" spans="1:12" x14ac:dyDescent="0.25">
      <c r="A10080" s="4" t="str">
        <f>HYPERLINK("http://www.rosaceae.org/Prunus/Prunus_persica/p.persica_gdr_reftransV1_0007590","p.persica_gdr_reftransV1_0007590")</f>
        <v>p.persica_gdr_reftransV1_0007590</v>
      </c>
      <c r="B10080" s="2">
        <v>1887</v>
      </c>
      <c r="C10080" s="4" t="str">
        <f>HYPERLINK("http://www.uniprot.org/uniprot/M5WS55","M5WS55")</f>
        <v>M5WS55</v>
      </c>
      <c r="D10080" s="2" t="s">
        <v>8681</v>
      </c>
      <c r="E10080" s="3">
        <v>0</v>
      </c>
      <c r="F10080" s="2">
        <v>1990</v>
      </c>
      <c r="G10080" s="2">
        <v>100</v>
      </c>
      <c r="H10080" s="2">
        <v>409</v>
      </c>
      <c r="I10080" s="2">
        <v>73</v>
      </c>
      <c r="J10080" s="2">
        <v>1299</v>
      </c>
      <c r="K10080" s="2">
        <v>7</v>
      </c>
      <c r="L10080" s="2">
        <v>415</v>
      </c>
    </row>
    <row r="10081" spans="1:12" x14ac:dyDescent="0.25">
      <c r="A10081" s="4" t="str">
        <f>HYPERLINK("http://www.rosaceae.org/Prunus/Prunus_persica/p.persica_gdr_reftransV1_0007940","p.persica_gdr_reftransV1_0007940")</f>
        <v>p.persica_gdr_reftransV1_0007940</v>
      </c>
      <c r="B10081" s="2">
        <v>736</v>
      </c>
      <c r="C10081" s="4" t="str">
        <f>HYPERLINK("http://www.uniprot.org/uniprot/M5XDU0","M5XDU0")</f>
        <v>M5XDU0</v>
      </c>
      <c r="D10081" s="2" t="s">
        <v>8682</v>
      </c>
      <c r="E10081" s="3">
        <v>8.6299999999999999E-118</v>
      </c>
      <c r="F10081" s="2">
        <v>887</v>
      </c>
      <c r="G10081" s="2">
        <v>100</v>
      </c>
      <c r="H10081" s="2">
        <v>165</v>
      </c>
      <c r="I10081" s="2">
        <v>1</v>
      </c>
      <c r="J10081" s="2">
        <v>495</v>
      </c>
      <c r="K10081" s="2">
        <v>2</v>
      </c>
      <c r="L10081" s="2">
        <v>166</v>
      </c>
    </row>
    <row r="10082" spans="1:12" x14ac:dyDescent="0.25">
      <c r="A10082" s="4" t="str">
        <f>HYPERLINK("http://www.rosaceae.org/Prunus/Prunus_persica/p.persica_gdr_reftransV1_0008290","p.persica_gdr_reftransV1_0008290")</f>
        <v>p.persica_gdr_reftransV1_0008290</v>
      </c>
      <c r="B10082" s="2">
        <v>1417</v>
      </c>
      <c r="C10082" s="4" t="str">
        <f>HYPERLINK("http://www.uniprot.org/uniprot/M5WST5","M5WST5")</f>
        <v>M5WST5</v>
      </c>
      <c r="D10082" s="2" t="s">
        <v>8683</v>
      </c>
      <c r="E10082" s="3">
        <v>0</v>
      </c>
      <c r="F10082" s="2">
        <v>1984</v>
      </c>
      <c r="G10082" s="2">
        <v>100</v>
      </c>
      <c r="H10082" s="2">
        <v>371</v>
      </c>
      <c r="I10082" s="2">
        <v>304</v>
      </c>
      <c r="J10082" s="2">
        <v>1416</v>
      </c>
      <c r="K10082" s="2">
        <v>3</v>
      </c>
      <c r="L10082" s="2">
        <v>373</v>
      </c>
    </row>
    <row r="10083" spans="1:12" x14ac:dyDescent="0.25">
      <c r="A10083" s="4" t="str">
        <f>HYPERLINK("http://www.rosaceae.org/Prunus/Prunus_persica/p.persica_gdr_reftransV1_0008640","p.persica_gdr_reftransV1_0008640")</f>
        <v>p.persica_gdr_reftransV1_0008640</v>
      </c>
      <c r="B10083" s="2">
        <v>672</v>
      </c>
      <c r="C10083" s="4" t="str">
        <f>HYPERLINK("http://www.uniprot.org/uniprot/M5WU93","M5WU93")</f>
        <v>M5WU93</v>
      </c>
      <c r="D10083" s="2" t="s">
        <v>8684</v>
      </c>
      <c r="E10083" s="3">
        <v>1.9800000000000001E-85</v>
      </c>
      <c r="F10083" s="2">
        <v>674</v>
      </c>
      <c r="G10083" s="2">
        <v>100</v>
      </c>
      <c r="H10083" s="2">
        <v>125</v>
      </c>
      <c r="I10083" s="2">
        <v>297</v>
      </c>
      <c r="J10083" s="2">
        <v>671</v>
      </c>
      <c r="K10083" s="2">
        <v>1</v>
      </c>
      <c r="L10083" s="2">
        <v>125</v>
      </c>
    </row>
    <row r="10084" spans="1:12" x14ac:dyDescent="0.25">
      <c r="A10084" s="4" t="str">
        <f>HYPERLINK("http://www.rosaceae.org/Prunus/Prunus_persica/p.persica_gdr_reftransV1_0008990","p.persica_gdr_reftransV1_0008990")</f>
        <v>p.persica_gdr_reftransV1_0008990</v>
      </c>
      <c r="B10084" s="2">
        <v>854</v>
      </c>
      <c r="C10084" s="4" t="str">
        <f>HYPERLINK("http://www.uniprot.org/uniprot/M5XN81","M5XN81")</f>
        <v>M5XN81</v>
      </c>
      <c r="D10084" s="2" t="s">
        <v>393</v>
      </c>
      <c r="E10084" s="3">
        <v>7.4400000000000003E-93</v>
      </c>
      <c r="F10084" s="2">
        <v>777</v>
      </c>
      <c r="G10084" s="2">
        <v>99</v>
      </c>
      <c r="H10084" s="2">
        <v>166</v>
      </c>
      <c r="I10084" s="2">
        <v>273</v>
      </c>
      <c r="J10084" s="2">
        <v>770</v>
      </c>
      <c r="K10084" s="2">
        <v>8</v>
      </c>
      <c r="L10084" s="2">
        <v>173</v>
      </c>
    </row>
    <row r="10085" spans="1:12" x14ac:dyDescent="0.25">
      <c r="A10085" s="4" t="str">
        <f>HYPERLINK("http://www.rosaceae.org/Prunus/Prunus_persica/p.persica_gdr_reftransV1_0009340","p.persica_gdr_reftransV1_0009340")</f>
        <v>p.persica_gdr_reftransV1_0009340</v>
      </c>
      <c r="B10085" s="2">
        <v>703</v>
      </c>
      <c r="C10085" s="4" t="str">
        <f>HYPERLINK("http://www.uniprot.org/uniprot/M5Y361","M5Y361")</f>
        <v>M5Y361</v>
      </c>
      <c r="D10085" s="2" t="s">
        <v>8685</v>
      </c>
      <c r="E10085" s="3">
        <v>2.1600000000000001E-81</v>
      </c>
      <c r="F10085" s="2">
        <v>641</v>
      </c>
      <c r="G10085" s="2">
        <v>100</v>
      </c>
      <c r="H10085" s="2">
        <v>135</v>
      </c>
      <c r="I10085" s="2">
        <v>64</v>
      </c>
      <c r="J10085" s="2">
        <v>468</v>
      </c>
      <c r="K10085" s="2">
        <v>1</v>
      </c>
      <c r="L10085" s="2">
        <v>135</v>
      </c>
    </row>
    <row r="10086" spans="1:12" x14ac:dyDescent="0.25">
      <c r="A10086" s="4" t="str">
        <f>HYPERLINK("http://www.rosaceae.org/Prunus/Prunus_persica/p.persica_gdr_reftransV1_0009690","p.persica_gdr_reftransV1_0009690")</f>
        <v>p.persica_gdr_reftransV1_0009690</v>
      </c>
      <c r="B10086" s="2">
        <v>1297</v>
      </c>
      <c r="C10086" s="4" t="str">
        <f>HYPERLINK("http://www.uniprot.org/uniprot/M5WLJ9","M5WLJ9")</f>
        <v>M5WLJ9</v>
      </c>
      <c r="D10086" s="2" t="s">
        <v>8686</v>
      </c>
      <c r="E10086" s="3">
        <v>2.08E-63</v>
      </c>
      <c r="F10086" s="2">
        <v>541</v>
      </c>
      <c r="G10086" s="2">
        <v>100</v>
      </c>
      <c r="H10086" s="2">
        <v>106</v>
      </c>
      <c r="I10086" s="2">
        <v>302</v>
      </c>
      <c r="J10086" s="2">
        <v>619</v>
      </c>
      <c r="K10086" s="2">
        <v>55</v>
      </c>
      <c r="L10086" s="2">
        <v>160</v>
      </c>
    </row>
    <row r="10087" spans="1:12" x14ac:dyDescent="0.25">
      <c r="A10087" s="4" t="str">
        <f>HYPERLINK("http://www.rosaceae.org/Prunus/Prunus_persica/p.persica_gdr_reftransV1_0011090","p.persica_gdr_reftransV1_0011090")</f>
        <v>p.persica_gdr_reftransV1_0011090</v>
      </c>
      <c r="B10087" s="2">
        <v>2570</v>
      </c>
      <c r="C10087" s="4" t="str">
        <f>HYPERLINK("http://www.uniprot.org/uniprot/M5WUR6","M5WUR6")</f>
        <v>M5WUR6</v>
      </c>
      <c r="D10087" s="2" t="s">
        <v>8687</v>
      </c>
      <c r="E10087" s="3">
        <v>0</v>
      </c>
      <c r="F10087" s="2">
        <v>1662</v>
      </c>
      <c r="G10087" s="2">
        <v>100</v>
      </c>
      <c r="H10087" s="2">
        <v>345</v>
      </c>
      <c r="I10087" s="2">
        <v>331</v>
      </c>
      <c r="J10087" s="2">
        <v>1365</v>
      </c>
      <c r="K10087" s="2">
        <v>210</v>
      </c>
      <c r="L10087" s="2">
        <v>554</v>
      </c>
    </row>
    <row r="10088" spans="1:12" x14ac:dyDescent="0.25">
      <c r="A10088" s="4" t="str">
        <f>HYPERLINK("http://www.rosaceae.org/Prunus/Prunus_persica/p.persica_gdr_reftransV1_0011790","p.persica_gdr_reftransV1_0011790")</f>
        <v>p.persica_gdr_reftransV1_0011790</v>
      </c>
      <c r="B10088" s="2">
        <v>1346</v>
      </c>
      <c r="C10088" s="4" t="str">
        <f>HYPERLINK("http://www.uniprot.org/uniprot/M5VKJ2","M5VKJ2")</f>
        <v>M5VKJ2</v>
      </c>
      <c r="D10088" s="2" t="s">
        <v>8688</v>
      </c>
      <c r="E10088" s="3">
        <v>0</v>
      </c>
      <c r="F10088" s="2">
        <v>1674</v>
      </c>
      <c r="G10088" s="2">
        <v>100</v>
      </c>
      <c r="H10088" s="2">
        <v>310</v>
      </c>
      <c r="I10088" s="2">
        <v>347</v>
      </c>
      <c r="J10088" s="2">
        <v>1276</v>
      </c>
      <c r="K10088" s="2">
        <v>1</v>
      </c>
      <c r="L10088" s="2">
        <v>310</v>
      </c>
    </row>
    <row r="10089" spans="1:12" x14ac:dyDescent="0.25">
      <c r="A10089" s="4" t="str">
        <f>HYPERLINK("http://www.rosaceae.org/Prunus/Prunus_persica/p.persica_gdr_reftransV1_0012490","p.persica_gdr_reftransV1_0012490")</f>
        <v>p.persica_gdr_reftransV1_0012490</v>
      </c>
      <c r="B10089" s="2">
        <v>734</v>
      </c>
      <c r="C10089" s="4" t="str">
        <f>HYPERLINK("http://www.uniprot.org/uniprot/M5VQ29","M5VQ29")</f>
        <v>M5VQ29</v>
      </c>
      <c r="D10089" s="2" t="s">
        <v>8689</v>
      </c>
      <c r="E10089" s="3">
        <v>6.1800000000000003E-147</v>
      </c>
      <c r="F10089" s="2">
        <v>1081</v>
      </c>
      <c r="G10089" s="2">
        <v>100</v>
      </c>
      <c r="H10089" s="2">
        <v>204</v>
      </c>
      <c r="I10089" s="2">
        <v>27</v>
      </c>
      <c r="J10089" s="2">
        <v>638</v>
      </c>
      <c r="K10089" s="2">
        <v>1</v>
      </c>
      <c r="L10089" s="2">
        <v>204</v>
      </c>
    </row>
    <row r="10090" spans="1:12" x14ac:dyDescent="0.25">
      <c r="A10090" s="4" t="str">
        <f>HYPERLINK("http://www.rosaceae.org/Prunus/Prunus_persica/p.persica_gdr_reftransV1_0012840","p.persica_gdr_reftransV1_0012840")</f>
        <v>p.persica_gdr_reftransV1_0012840</v>
      </c>
      <c r="B10090" s="2">
        <v>1046</v>
      </c>
      <c r="C10090" s="4" t="str">
        <f>HYPERLINK("http://www.uniprot.org/uniprot/M5WRC7","M5WRC7")</f>
        <v>M5WRC7</v>
      </c>
      <c r="D10090" s="2" t="s">
        <v>1261</v>
      </c>
      <c r="E10090" s="3">
        <v>3.5500000000000001E-81</v>
      </c>
      <c r="F10090" s="2">
        <v>650</v>
      </c>
      <c r="G10090" s="2">
        <v>100</v>
      </c>
      <c r="H10090" s="2">
        <v>121</v>
      </c>
      <c r="I10090" s="2">
        <v>659</v>
      </c>
      <c r="J10090" s="2">
        <v>1021</v>
      </c>
      <c r="K10090" s="2">
        <v>1</v>
      </c>
      <c r="L10090" s="2">
        <v>121</v>
      </c>
    </row>
    <row r="10091" spans="1:12" x14ac:dyDescent="0.25">
      <c r="A10091" s="4" t="str">
        <f>HYPERLINK("http://www.rosaceae.org/Prunus/Prunus_persica/p.persica_gdr_reftransV1_0013190","p.persica_gdr_reftransV1_0013190")</f>
        <v>p.persica_gdr_reftransV1_0013190</v>
      </c>
      <c r="B10091" s="2">
        <v>2044</v>
      </c>
      <c r="C10091" s="4" t="str">
        <f>HYPERLINK("http://www.uniprot.org/uniprot/M5WZN7","M5WZN7")</f>
        <v>M5WZN7</v>
      </c>
      <c r="D10091" s="2" t="s">
        <v>8690</v>
      </c>
      <c r="E10091" s="3">
        <v>0</v>
      </c>
      <c r="F10091" s="2">
        <v>2120</v>
      </c>
      <c r="G10091" s="2">
        <v>80</v>
      </c>
      <c r="H10091" s="2">
        <v>519</v>
      </c>
      <c r="I10091" s="2">
        <v>190</v>
      </c>
      <c r="J10091" s="2">
        <v>1743</v>
      </c>
      <c r="K10091" s="2">
        <v>15</v>
      </c>
      <c r="L10091" s="2">
        <v>525</v>
      </c>
    </row>
    <row r="10092" spans="1:12" x14ac:dyDescent="0.25">
      <c r="A10092" s="4" t="str">
        <f>HYPERLINK("http://www.rosaceae.org/Prunus/Prunus_persica/p.persica_gdr_reftransV1_0013540","p.persica_gdr_reftransV1_0013540")</f>
        <v>p.persica_gdr_reftransV1_0013540</v>
      </c>
      <c r="B10092" s="2">
        <v>2461</v>
      </c>
      <c r="C10092" s="4" t="str">
        <f>HYPERLINK("http://www.uniprot.org/uniprot/M5XLF4","M5XLF4")</f>
        <v>M5XLF4</v>
      </c>
      <c r="D10092" s="2" t="s">
        <v>8691</v>
      </c>
      <c r="E10092" s="3">
        <v>4.8500000000000003E-175</v>
      </c>
      <c r="F10092" s="2">
        <v>1285</v>
      </c>
      <c r="G10092" s="2">
        <v>82</v>
      </c>
      <c r="H10092" s="2">
        <v>308</v>
      </c>
      <c r="I10092" s="2">
        <v>312</v>
      </c>
      <c r="J10092" s="2">
        <v>1235</v>
      </c>
      <c r="K10092" s="2">
        <v>256</v>
      </c>
      <c r="L10092" s="2">
        <v>511</v>
      </c>
    </row>
    <row r="10093" spans="1:12" x14ac:dyDescent="0.25">
      <c r="A10093" s="4" t="str">
        <f>HYPERLINK("http://www.rosaceae.org/Prunus/Prunus_persica/p.persica_gdr_reftransV1_0014240","p.persica_gdr_reftransV1_0014240")</f>
        <v>p.persica_gdr_reftransV1_0014240</v>
      </c>
      <c r="B10093" s="2">
        <v>1632</v>
      </c>
      <c r="C10093" s="4" t="str">
        <f>HYPERLINK("http://www.uniprot.org/uniprot/M5WDB7","M5WDB7")</f>
        <v>M5WDB7</v>
      </c>
      <c r="D10093" s="2" t="s">
        <v>8692</v>
      </c>
      <c r="E10093" s="3">
        <v>1.9499999999999999E-66</v>
      </c>
      <c r="F10093" s="2">
        <v>569</v>
      </c>
      <c r="G10093" s="2">
        <v>78</v>
      </c>
      <c r="H10093" s="2">
        <v>197</v>
      </c>
      <c r="I10093" s="2">
        <v>205</v>
      </c>
      <c r="J10093" s="2">
        <v>795</v>
      </c>
      <c r="K10093" s="2">
        <v>1</v>
      </c>
      <c r="L10093" s="2">
        <v>153</v>
      </c>
    </row>
    <row r="10094" spans="1:12" x14ac:dyDescent="0.25">
      <c r="A10094" s="4" t="str">
        <f>HYPERLINK("http://www.rosaceae.org/Prunus/Prunus_persica/p.persica_gdr_reftransV1_0015640","p.persica_gdr_reftransV1_0015640")</f>
        <v>p.persica_gdr_reftransV1_0015640</v>
      </c>
      <c r="B10094" s="2">
        <v>1728</v>
      </c>
      <c r="C10094" s="4" t="str">
        <f>HYPERLINK("http://www.uniprot.org/uniprot/M5Y2X2","M5Y2X2")</f>
        <v>M5Y2X2</v>
      </c>
      <c r="D10094" s="2" t="s">
        <v>7984</v>
      </c>
      <c r="E10094" s="3">
        <v>2.7800000000000002E-175</v>
      </c>
      <c r="F10094" s="2">
        <v>1337</v>
      </c>
      <c r="G10094" s="2">
        <v>94</v>
      </c>
      <c r="H10094" s="2">
        <v>271</v>
      </c>
      <c r="I10094" s="2">
        <v>1</v>
      </c>
      <c r="J10094" s="2">
        <v>813</v>
      </c>
      <c r="K10094" s="2">
        <v>157</v>
      </c>
      <c r="L10094" s="2">
        <v>427</v>
      </c>
    </row>
    <row r="10095" spans="1:12" x14ac:dyDescent="0.25">
      <c r="A10095" s="4" t="str">
        <f>HYPERLINK("http://www.rosaceae.org/Prunus/Prunus_persica/p.persica_gdr_reftransV1_0016340","p.persica_gdr_reftransV1_0016340")</f>
        <v>p.persica_gdr_reftransV1_0016340</v>
      </c>
      <c r="B10095" s="2">
        <v>2328</v>
      </c>
      <c r="C10095" s="4" t="str">
        <f>HYPERLINK("http://www.uniprot.org/uniprot/M5W3H4","M5W3H4")</f>
        <v>M5W3H4</v>
      </c>
      <c r="D10095" s="2" t="s">
        <v>8693</v>
      </c>
      <c r="E10095" s="3">
        <v>5.5299999999999999E-123</v>
      </c>
      <c r="F10095" s="2">
        <v>972</v>
      </c>
      <c r="G10095" s="2">
        <v>83</v>
      </c>
      <c r="H10095" s="2">
        <v>234</v>
      </c>
      <c r="I10095" s="2">
        <v>1515</v>
      </c>
      <c r="J10095" s="2">
        <v>2216</v>
      </c>
      <c r="K10095" s="2">
        <v>1</v>
      </c>
      <c r="L10095" s="2">
        <v>197</v>
      </c>
    </row>
    <row r="10096" spans="1:12" x14ac:dyDescent="0.25">
      <c r="A10096" s="4" t="str">
        <f>HYPERLINK("http://www.rosaceae.org/Prunus/Prunus_persica/p.persica_gdr_reftransV1_0017040","p.persica_gdr_reftransV1_0017040")</f>
        <v>p.persica_gdr_reftransV1_0017040</v>
      </c>
      <c r="B10096" s="2">
        <v>2311</v>
      </c>
      <c r="C10096" s="4" t="str">
        <f>HYPERLINK("http://www.uniprot.org/uniprot/M5XBK4","M5XBK4")</f>
        <v>M5XBK4</v>
      </c>
      <c r="D10096" s="2" t="s">
        <v>8694</v>
      </c>
      <c r="E10096" s="3">
        <v>0</v>
      </c>
      <c r="F10096" s="2">
        <v>1543</v>
      </c>
      <c r="G10096" s="2">
        <v>100</v>
      </c>
      <c r="H10096" s="2">
        <v>313</v>
      </c>
      <c r="I10096" s="2">
        <v>1264</v>
      </c>
      <c r="J10096" s="2">
        <v>2202</v>
      </c>
      <c r="K10096" s="2">
        <v>8</v>
      </c>
      <c r="L10096" s="2">
        <v>320</v>
      </c>
    </row>
    <row r="10097" spans="1:12" x14ac:dyDescent="0.25">
      <c r="A10097" s="4" t="str">
        <f>HYPERLINK("http://www.rosaceae.org/Prunus/Prunus_persica/p.persica_gdr_reftransV1_0017390","p.persica_gdr_reftransV1_0017390")</f>
        <v>p.persica_gdr_reftransV1_0017390</v>
      </c>
      <c r="B10097" s="2">
        <v>2501</v>
      </c>
      <c r="C10097" s="4" t="str">
        <f>HYPERLINK("http://www.uniprot.org/uniprot/M5W833","M5W833")</f>
        <v>M5W833</v>
      </c>
      <c r="D10097" s="2" t="s">
        <v>5433</v>
      </c>
      <c r="E10097" s="3">
        <v>0</v>
      </c>
      <c r="F10097" s="2">
        <v>2893</v>
      </c>
      <c r="G10097" s="2">
        <v>100</v>
      </c>
      <c r="H10097" s="2">
        <v>680</v>
      </c>
      <c r="I10097" s="2">
        <v>428</v>
      </c>
      <c r="J10097" s="2">
        <v>2467</v>
      </c>
      <c r="K10097" s="2">
        <v>450</v>
      </c>
      <c r="L10097" s="2">
        <v>1129</v>
      </c>
    </row>
    <row r="10098" spans="1:12" x14ac:dyDescent="0.25">
      <c r="A10098" s="4" t="str">
        <f>HYPERLINK("http://www.rosaceae.org/Prunus/Prunus_persica/p.persica_gdr_reftransV1_0020540","p.persica_gdr_reftransV1_0020540")</f>
        <v>p.persica_gdr_reftransV1_0020540</v>
      </c>
      <c r="B10098" s="2">
        <v>2279</v>
      </c>
      <c r="C10098" s="4" t="str">
        <f>HYPERLINK("http://www.uniprot.org/uniprot/W9R2G2","W9R2G2")</f>
        <v>W9R2G2</v>
      </c>
      <c r="D10098" s="2" t="s">
        <v>8695</v>
      </c>
      <c r="E10098" s="3">
        <v>0</v>
      </c>
      <c r="F10098" s="2">
        <v>1571</v>
      </c>
      <c r="G10098" s="2">
        <v>75</v>
      </c>
      <c r="H10098" s="2">
        <v>425</v>
      </c>
      <c r="I10098" s="2">
        <v>163</v>
      </c>
      <c r="J10098" s="2">
        <v>1437</v>
      </c>
      <c r="K10098" s="2">
        <v>115</v>
      </c>
      <c r="L10098" s="2">
        <v>538</v>
      </c>
    </row>
    <row r="10099" spans="1:12" x14ac:dyDescent="0.25">
      <c r="A10099" s="4" t="str">
        <f>HYPERLINK("http://www.rosaceae.org/Prunus/Prunus_persica/p.persica_gdr_reftransV1_0021590","p.persica_gdr_reftransV1_0021590")</f>
        <v>p.persica_gdr_reftransV1_0021590</v>
      </c>
      <c r="B10099" s="2">
        <v>5064</v>
      </c>
      <c r="C10099" s="4" t="str">
        <f>HYPERLINK("http://www.uniprot.org/uniprot/M5XAK1","M5XAK1")</f>
        <v>M5XAK1</v>
      </c>
      <c r="D10099" s="2" t="s">
        <v>8696</v>
      </c>
      <c r="E10099" s="3">
        <v>0</v>
      </c>
      <c r="F10099" s="2">
        <v>2877</v>
      </c>
      <c r="G10099" s="2">
        <v>100</v>
      </c>
      <c r="H10099" s="2">
        <v>576</v>
      </c>
      <c r="I10099" s="2">
        <v>3232</v>
      </c>
      <c r="J10099" s="2">
        <v>4959</v>
      </c>
      <c r="K10099" s="2">
        <v>1</v>
      </c>
      <c r="L10099" s="2">
        <v>576</v>
      </c>
    </row>
    <row r="10100" spans="1:12" x14ac:dyDescent="0.25">
      <c r="A10100" s="4" t="str">
        <f>HYPERLINK("http://www.rosaceae.org/Prunus/Prunus_persica/p.persica_gdr_reftransV1_0023340","p.persica_gdr_reftransV1_0023340")</f>
        <v>p.persica_gdr_reftransV1_0023340</v>
      </c>
      <c r="B10100" s="2">
        <v>2156</v>
      </c>
      <c r="C10100" s="4" t="str">
        <f>HYPERLINK("http://www.uniprot.org/uniprot/M5VZR6","M5VZR6")</f>
        <v>M5VZR6</v>
      </c>
      <c r="D10100" s="2" t="s">
        <v>8697</v>
      </c>
      <c r="E10100" s="3">
        <v>1.3299999999999999E-163</v>
      </c>
      <c r="F10100" s="2">
        <v>1244</v>
      </c>
      <c r="G10100" s="2">
        <v>100</v>
      </c>
      <c r="H10100" s="2">
        <v>254</v>
      </c>
      <c r="I10100" s="2">
        <v>701</v>
      </c>
      <c r="J10100" s="2">
        <v>1462</v>
      </c>
      <c r="K10100" s="2">
        <v>1</v>
      </c>
      <c r="L10100" s="2">
        <v>254</v>
      </c>
    </row>
    <row r="10101" spans="1:12" x14ac:dyDescent="0.25">
      <c r="A10101" s="4" t="str">
        <f>HYPERLINK("http://www.rosaceae.org/Prunus/Prunus_persica/p.persica_gdr_reftransV1_0023690","p.persica_gdr_reftransV1_0023690")</f>
        <v>p.persica_gdr_reftransV1_0023690</v>
      </c>
      <c r="B10101" s="2">
        <v>1785</v>
      </c>
      <c r="C10101" s="4" t="str">
        <f>HYPERLINK("http://www.uniprot.org/uniprot/M5VZD3","M5VZD3")</f>
        <v>M5VZD3</v>
      </c>
      <c r="D10101" s="2" t="s">
        <v>8698</v>
      </c>
      <c r="E10101" s="3">
        <v>2.2499999999999999E-164</v>
      </c>
      <c r="F10101" s="2">
        <v>1243</v>
      </c>
      <c r="G10101" s="2">
        <v>100</v>
      </c>
      <c r="H10101" s="2">
        <v>238</v>
      </c>
      <c r="I10101" s="2">
        <v>447</v>
      </c>
      <c r="J10101" s="2">
        <v>1160</v>
      </c>
      <c r="K10101" s="2">
        <v>65</v>
      </c>
      <c r="L10101" s="2">
        <v>302</v>
      </c>
    </row>
    <row r="10102" spans="1:12" x14ac:dyDescent="0.25">
      <c r="A10102" s="4" t="str">
        <f>HYPERLINK("http://www.rosaceae.org/Prunus/Prunus_persica/p.persica_gdr_reftransV1_0024740","p.persica_gdr_reftransV1_0024740")</f>
        <v>p.persica_gdr_reftransV1_0024740</v>
      </c>
      <c r="B10102" s="2">
        <v>2952</v>
      </c>
      <c r="C10102" s="4" t="str">
        <f>HYPERLINK("http://www.uniprot.org/uniprot/M5W677","M5W677")</f>
        <v>M5W677</v>
      </c>
      <c r="D10102" s="2" t="s">
        <v>8699</v>
      </c>
      <c r="E10102" s="3">
        <v>0</v>
      </c>
      <c r="F10102" s="2">
        <v>1861</v>
      </c>
      <c r="G10102" s="2">
        <v>100</v>
      </c>
      <c r="H10102" s="2">
        <v>370</v>
      </c>
      <c r="I10102" s="2">
        <v>792</v>
      </c>
      <c r="J10102" s="2">
        <v>1901</v>
      </c>
      <c r="K10102" s="2">
        <v>1</v>
      </c>
      <c r="L10102" s="2">
        <v>370</v>
      </c>
    </row>
    <row r="10103" spans="1:12" x14ac:dyDescent="0.25">
      <c r="A10103" s="4" t="str">
        <f>HYPERLINK("http://www.rosaceae.org/Prunus/Prunus_persica/p.persica_gdr_reftransV1_0025790","p.persica_gdr_reftransV1_0025790")</f>
        <v>p.persica_gdr_reftransV1_0025790</v>
      </c>
      <c r="B10103" s="2">
        <v>2194</v>
      </c>
      <c r="C10103" s="4" t="str">
        <f>HYPERLINK("http://www.uniprot.org/uniprot/M5Y2W7","M5Y2W7")</f>
        <v>M5Y2W7</v>
      </c>
      <c r="D10103" s="2" t="s">
        <v>8700</v>
      </c>
      <c r="E10103" s="3">
        <v>0</v>
      </c>
      <c r="F10103" s="2">
        <v>2301</v>
      </c>
      <c r="G10103" s="2">
        <v>100</v>
      </c>
      <c r="H10103" s="2">
        <v>442</v>
      </c>
      <c r="I10103" s="2">
        <v>428</v>
      </c>
      <c r="J10103" s="2">
        <v>1753</v>
      </c>
      <c r="K10103" s="2">
        <v>1</v>
      </c>
      <c r="L10103" s="2">
        <v>442</v>
      </c>
    </row>
    <row r="10104" spans="1:12" x14ac:dyDescent="0.25">
      <c r="A10104" s="4" t="str">
        <f>HYPERLINK("http://www.rosaceae.org/Prunus/Prunus_persica/p.persica_gdr_reftransV1_0026490","p.persica_gdr_reftransV1_0026490")</f>
        <v>p.persica_gdr_reftransV1_0026490</v>
      </c>
      <c r="B10104" s="2">
        <v>1878</v>
      </c>
      <c r="C10104" s="4" t="str">
        <f>HYPERLINK("http://www.uniprot.org/uniprot/M5XCX5","M5XCX5")</f>
        <v>M5XCX5</v>
      </c>
      <c r="D10104" s="2" t="s">
        <v>8701</v>
      </c>
      <c r="E10104" s="3">
        <v>3.9600000000000002E-143</v>
      </c>
      <c r="F10104" s="2">
        <v>1111</v>
      </c>
      <c r="G10104" s="2">
        <v>94</v>
      </c>
      <c r="H10104" s="2">
        <v>218</v>
      </c>
      <c r="I10104" s="2">
        <v>1168</v>
      </c>
      <c r="J10104" s="2">
        <v>1821</v>
      </c>
      <c r="K10104" s="2">
        <v>1</v>
      </c>
      <c r="L10104" s="2">
        <v>211</v>
      </c>
    </row>
    <row r="10105" spans="1:12" x14ac:dyDescent="0.25">
      <c r="A10105" s="4" t="str">
        <f>HYPERLINK("http://www.rosaceae.org/Prunus/Prunus_persica/p.persica_gdr_reftransV1_0027540","p.persica_gdr_reftransV1_0027540")</f>
        <v>p.persica_gdr_reftransV1_0027540</v>
      </c>
      <c r="B10105" s="2">
        <v>1290</v>
      </c>
      <c r="C10105" s="4" t="str">
        <f>HYPERLINK("http://www.uniprot.org/uniprot/M5X255","M5X255")</f>
        <v>M5X255</v>
      </c>
      <c r="D10105" s="2" t="s">
        <v>8702</v>
      </c>
      <c r="E10105" s="3">
        <v>3.0499999999999999E-152</v>
      </c>
      <c r="F10105" s="2">
        <v>1138</v>
      </c>
      <c r="G10105" s="2">
        <v>100</v>
      </c>
      <c r="H10105" s="2">
        <v>221</v>
      </c>
      <c r="I10105" s="2">
        <v>397</v>
      </c>
      <c r="J10105" s="2">
        <v>1059</v>
      </c>
      <c r="K10105" s="2">
        <v>1</v>
      </c>
      <c r="L10105" s="2">
        <v>221</v>
      </c>
    </row>
    <row r="10106" spans="1:12" x14ac:dyDescent="0.25">
      <c r="A10106" s="4" t="str">
        <f>HYPERLINK("http://www.rosaceae.org/Prunus/Prunus_persica/p.persica_gdr_reftransV1_0028590","p.persica_gdr_reftransV1_0028590")</f>
        <v>p.persica_gdr_reftransV1_0028590</v>
      </c>
      <c r="B10106" s="2">
        <v>1189</v>
      </c>
      <c r="C10106" s="4" t="str">
        <f>HYPERLINK("http://www.uniprot.org/uniprot/M5XEP1","M5XEP1")</f>
        <v>M5XEP1</v>
      </c>
      <c r="D10106" s="2" t="s">
        <v>8703</v>
      </c>
      <c r="E10106" s="3">
        <v>0</v>
      </c>
      <c r="F10106" s="2">
        <v>1507</v>
      </c>
      <c r="G10106" s="2">
        <v>100</v>
      </c>
      <c r="H10106" s="2">
        <v>289</v>
      </c>
      <c r="I10106" s="2">
        <v>146</v>
      </c>
      <c r="J10106" s="2">
        <v>1012</v>
      </c>
      <c r="K10106" s="2">
        <v>1</v>
      </c>
      <c r="L10106" s="2">
        <v>289</v>
      </c>
    </row>
    <row r="10107" spans="1:12" x14ac:dyDescent="0.25">
      <c r="A10107" s="4" t="str">
        <f>HYPERLINK("http://www.rosaceae.org/Prunus/Prunus_persica/p.persica_gdr_reftransV1_0030690","p.persica_gdr_reftransV1_0030690")</f>
        <v>p.persica_gdr_reftransV1_0030690</v>
      </c>
      <c r="B10107" s="2">
        <v>1723</v>
      </c>
      <c r="C10107" s="4" t="str">
        <f>HYPERLINK("http://www.uniprot.org/uniprot/M5WNN4","M5WNN4")</f>
        <v>M5WNN4</v>
      </c>
      <c r="D10107" s="2" t="s">
        <v>8704</v>
      </c>
      <c r="E10107" s="3">
        <v>2.1200000000000001E-39</v>
      </c>
      <c r="F10107" s="2">
        <v>382</v>
      </c>
      <c r="G10107" s="2">
        <v>95</v>
      </c>
      <c r="H10107" s="2">
        <v>118</v>
      </c>
      <c r="I10107" s="2">
        <v>2</v>
      </c>
      <c r="J10107" s="2">
        <v>355</v>
      </c>
      <c r="K10107" s="2">
        <v>2</v>
      </c>
      <c r="L10107" s="2">
        <v>119</v>
      </c>
    </row>
    <row r="10108" spans="1:12" x14ac:dyDescent="0.25">
      <c r="A10108" s="4" t="str">
        <f>HYPERLINK("http://www.rosaceae.org/Prunus/Prunus_persica/p.persica_gdr_reftransV1_0031390","p.persica_gdr_reftransV1_0031390")</f>
        <v>p.persica_gdr_reftransV1_0031390</v>
      </c>
      <c r="B10108" s="2">
        <v>4435</v>
      </c>
      <c r="C10108" s="4" t="str">
        <f>HYPERLINK("http://www.uniprot.org/uniprot/M5X0K0","M5X0K0")</f>
        <v>M5X0K0</v>
      </c>
      <c r="D10108" s="2" t="s">
        <v>8705</v>
      </c>
      <c r="E10108" s="3">
        <v>0</v>
      </c>
      <c r="F10108" s="2">
        <v>2491</v>
      </c>
      <c r="G10108" s="2">
        <v>100</v>
      </c>
      <c r="H10108" s="2">
        <v>488</v>
      </c>
      <c r="I10108" s="2">
        <v>504</v>
      </c>
      <c r="J10108" s="2">
        <v>1967</v>
      </c>
      <c r="K10108" s="2">
        <v>1</v>
      </c>
      <c r="L10108" s="2">
        <v>488</v>
      </c>
    </row>
    <row r="10109" spans="1:12" x14ac:dyDescent="0.25">
      <c r="A10109" s="4" t="str">
        <f>HYPERLINK("http://www.rosaceae.org/Prunus/Prunus_persica/p.persica_gdr_reftransV1_0031740","p.persica_gdr_reftransV1_0031740")</f>
        <v>p.persica_gdr_reftransV1_0031740</v>
      </c>
      <c r="B10109" s="2">
        <v>6114</v>
      </c>
      <c r="C10109" s="4" t="str">
        <f>HYPERLINK("http://www.uniprot.org/uniprot/M5XY24","M5XY24")</f>
        <v>M5XY24</v>
      </c>
      <c r="D10109" s="2" t="s">
        <v>8706</v>
      </c>
      <c r="E10109" s="3">
        <v>0</v>
      </c>
      <c r="F10109" s="2">
        <v>9317</v>
      </c>
      <c r="G10109" s="2">
        <v>100</v>
      </c>
      <c r="H10109" s="2">
        <v>1837</v>
      </c>
      <c r="I10109" s="2">
        <v>251</v>
      </c>
      <c r="J10109" s="2">
        <v>5761</v>
      </c>
      <c r="K10109" s="2">
        <v>1</v>
      </c>
      <c r="L10109" s="2">
        <v>1837</v>
      </c>
    </row>
    <row r="10110" spans="1:12" x14ac:dyDescent="0.25">
      <c r="A10110" s="4" t="str">
        <f>HYPERLINK("http://www.rosaceae.org/Prunus/Prunus_persica/p.persica_gdr_reftransV1_0032790","p.persica_gdr_reftransV1_0032790")</f>
        <v>p.persica_gdr_reftransV1_0032790</v>
      </c>
      <c r="B10110" s="2">
        <v>2530</v>
      </c>
      <c r="C10110" s="4" t="str">
        <f>HYPERLINK("http://www.uniprot.org/uniprot/M5XRF4","M5XRF4")</f>
        <v>M5XRF4</v>
      </c>
      <c r="D10110" s="2" t="s">
        <v>8707</v>
      </c>
      <c r="E10110" s="3">
        <v>2.7499999999999999E-133</v>
      </c>
      <c r="F10110" s="2">
        <v>1062</v>
      </c>
      <c r="G10110" s="2">
        <v>100</v>
      </c>
      <c r="H10110" s="2">
        <v>195</v>
      </c>
      <c r="I10110" s="2">
        <v>515</v>
      </c>
      <c r="J10110" s="2">
        <v>1099</v>
      </c>
      <c r="K10110" s="2">
        <v>161</v>
      </c>
      <c r="L10110" s="2">
        <v>355</v>
      </c>
    </row>
    <row r="10111" spans="1:12" x14ac:dyDescent="0.25">
      <c r="A10111" s="4" t="str">
        <f>HYPERLINK("http://www.rosaceae.org/Prunus/Prunus_persica/p.persica_gdr_reftransV1_0033140","p.persica_gdr_reftransV1_0033140")</f>
        <v>p.persica_gdr_reftransV1_0033140</v>
      </c>
      <c r="B10111" s="2">
        <v>3400</v>
      </c>
      <c r="C10111" s="4" t="str">
        <f>HYPERLINK("http://www.uniprot.org/uniprot/M5X6U4","M5X6U4")</f>
        <v>M5X6U4</v>
      </c>
      <c r="D10111" s="2" t="s">
        <v>5011</v>
      </c>
      <c r="E10111" s="3">
        <v>0</v>
      </c>
      <c r="F10111" s="2">
        <v>2934</v>
      </c>
      <c r="G10111" s="2">
        <v>99</v>
      </c>
      <c r="H10111" s="2">
        <v>572</v>
      </c>
      <c r="I10111" s="2">
        <v>469</v>
      </c>
      <c r="J10111" s="2">
        <v>2184</v>
      </c>
      <c r="K10111" s="2">
        <v>57</v>
      </c>
      <c r="L10111" s="2">
        <v>628</v>
      </c>
    </row>
    <row r="10112" spans="1:12" x14ac:dyDescent="0.25">
      <c r="A10112" s="4" t="str">
        <f>HYPERLINK("http://www.rosaceae.org/Prunus/Prunus_persica/p.persica_gdr_reftransV1_0034540","p.persica_gdr_reftransV1_0034540")</f>
        <v>p.persica_gdr_reftransV1_0034540</v>
      </c>
      <c r="B10112" s="2">
        <v>681</v>
      </c>
      <c r="C10112" s="4" t="str">
        <f>HYPERLINK("http://www.uniprot.org/uniprot/M5XQW6","M5XQW6")</f>
        <v>M5XQW6</v>
      </c>
      <c r="D10112" s="2" t="s">
        <v>7883</v>
      </c>
      <c r="E10112" s="3">
        <v>4.1299999999999999E-130</v>
      </c>
      <c r="F10112" s="2">
        <v>995</v>
      </c>
      <c r="G10112" s="2">
        <v>100</v>
      </c>
      <c r="H10112" s="2">
        <v>188</v>
      </c>
      <c r="I10112" s="2">
        <v>118</v>
      </c>
      <c r="J10112" s="2">
        <v>681</v>
      </c>
      <c r="K10112" s="2">
        <v>232</v>
      </c>
      <c r="L10112" s="2">
        <v>419</v>
      </c>
    </row>
    <row r="10113" spans="1:12" x14ac:dyDescent="0.25">
      <c r="A10113" s="4" t="str">
        <f>HYPERLINK("http://www.rosaceae.org/Prunus/Prunus_persica/p.persica_gdr_reftransV1_0036990","p.persica_gdr_reftransV1_0036990")</f>
        <v>p.persica_gdr_reftransV1_0036990</v>
      </c>
      <c r="B10113" s="2">
        <v>2988</v>
      </c>
      <c r="C10113" s="4" t="str">
        <f>HYPERLINK("http://www.uniprot.org/uniprot/M5X327","M5X327")</f>
        <v>M5X327</v>
      </c>
      <c r="D10113" s="2" t="s">
        <v>8708</v>
      </c>
      <c r="E10113" s="3">
        <v>0</v>
      </c>
      <c r="F10113" s="2">
        <v>1641</v>
      </c>
      <c r="G10113" s="2">
        <v>100</v>
      </c>
      <c r="H10113" s="2">
        <v>305</v>
      </c>
      <c r="I10113" s="2">
        <v>456</v>
      </c>
      <c r="J10113" s="2">
        <v>1370</v>
      </c>
      <c r="K10113" s="2">
        <v>1</v>
      </c>
      <c r="L10113" s="2">
        <v>305</v>
      </c>
    </row>
    <row r="10114" spans="1:12" x14ac:dyDescent="0.25">
      <c r="A10114" s="4" t="str">
        <f>HYPERLINK("http://www.rosaceae.org/Prunus/Prunus_persica/p.persica_gdr_reftransV1_0038040","p.persica_gdr_reftransV1_0038040")</f>
        <v>p.persica_gdr_reftransV1_0038040</v>
      </c>
      <c r="B10114" s="2">
        <v>2305</v>
      </c>
      <c r="C10114" s="4" t="str">
        <f>HYPERLINK("http://www.uniprot.org/uniprot/M5VYL5","M5VYL5")</f>
        <v>M5VYL5</v>
      </c>
      <c r="D10114" s="2" t="s">
        <v>8709</v>
      </c>
      <c r="E10114" s="3">
        <v>0</v>
      </c>
      <c r="F10114" s="2">
        <v>2085</v>
      </c>
      <c r="G10114" s="2">
        <v>100</v>
      </c>
      <c r="H10114" s="2">
        <v>445</v>
      </c>
      <c r="I10114" s="2">
        <v>569</v>
      </c>
      <c r="J10114" s="2">
        <v>1903</v>
      </c>
      <c r="K10114" s="2">
        <v>1</v>
      </c>
      <c r="L10114" s="2">
        <v>445</v>
      </c>
    </row>
    <row r="10115" spans="1:12" x14ac:dyDescent="0.25">
      <c r="A10115" s="4" t="str">
        <f>HYPERLINK("http://www.rosaceae.org/Prunus/Prunus_persica/p.persica_gdr_reftransV1_0041190","p.persica_gdr_reftransV1_0041190")</f>
        <v>p.persica_gdr_reftransV1_0041190</v>
      </c>
      <c r="B10115" s="2">
        <v>2927</v>
      </c>
      <c r="C10115" s="4" t="str">
        <f>HYPERLINK("http://www.uniprot.org/uniprot/M5WXG0","M5WXG0")</f>
        <v>M5WXG0</v>
      </c>
      <c r="D10115" s="2" t="s">
        <v>8710</v>
      </c>
      <c r="E10115" s="3">
        <v>0</v>
      </c>
      <c r="F10115" s="2">
        <v>3680</v>
      </c>
      <c r="G10115" s="2">
        <v>95</v>
      </c>
      <c r="H10115" s="2">
        <v>795</v>
      </c>
      <c r="I10115" s="2">
        <v>275</v>
      </c>
      <c r="J10115" s="2">
        <v>2659</v>
      </c>
      <c r="K10115" s="2">
        <v>1</v>
      </c>
      <c r="L10115" s="2">
        <v>757</v>
      </c>
    </row>
    <row r="10116" spans="1:12" x14ac:dyDescent="0.25">
      <c r="A10116" s="4" t="str">
        <f>HYPERLINK("http://www.rosaceae.org/Prunus/Prunus_persica/p.persica_gdr_reftransV1_0043290","p.persica_gdr_reftransV1_0043290")</f>
        <v>p.persica_gdr_reftransV1_0043290</v>
      </c>
      <c r="B10116" s="2">
        <v>547</v>
      </c>
      <c r="C10116" s="4" t="str">
        <f>HYPERLINK("http://www.uniprot.org/uniprot/M5W0G5","M5W0G5")</f>
        <v>M5W0G5</v>
      </c>
      <c r="D10116" s="2" t="s">
        <v>8603</v>
      </c>
      <c r="E10116" s="3">
        <v>2.1600000000000001E-66</v>
      </c>
      <c r="F10116" s="2">
        <v>557</v>
      </c>
      <c r="G10116" s="2">
        <v>70</v>
      </c>
      <c r="H10116" s="2">
        <v>171</v>
      </c>
      <c r="I10116" s="2">
        <v>15</v>
      </c>
      <c r="J10116" s="2">
        <v>479</v>
      </c>
      <c r="K10116" s="2">
        <v>174</v>
      </c>
      <c r="L10116" s="2">
        <v>338</v>
      </c>
    </row>
    <row r="10117" spans="1:12" x14ac:dyDescent="0.25">
      <c r="A10117" s="4" t="str">
        <f>HYPERLINK("http://www.rosaceae.org/Prunus/Prunus_persica/p.persica_gdr_reftransV1_0043640","p.persica_gdr_reftransV1_0043640")</f>
        <v>p.persica_gdr_reftransV1_0043640</v>
      </c>
      <c r="B10117" s="2">
        <v>1084</v>
      </c>
      <c r="C10117" s="4" t="str">
        <f>HYPERLINK("http://www.uniprot.org/uniprot/M5WC26","M5WC26")</f>
        <v>M5WC26</v>
      </c>
      <c r="D10117" s="2" t="s">
        <v>8711</v>
      </c>
      <c r="E10117" s="3">
        <v>0</v>
      </c>
      <c r="F10117" s="2">
        <v>1505</v>
      </c>
      <c r="G10117" s="2">
        <v>100</v>
      </c>
      <c r="H10117" s="2">
        <v>282</v>
      </c>
      <c r="I10117" s="2">
        <v>196</v>
      </c>
      <c r="J10117" s="2">
        <v>1041</v>
      </c>
      <c r="K10117" s="2">
        <v>24</v>
      </c>
      <c r="L10117" s="2">
        <v>305</v>
      </c>
    </row>
    <row r="10118" spans="1:12" x14ac:dyDescent="0.25">
      <c r="A10118" s="4" t="str">
        <f>HYPERLINK("http://www.rosaceae.org/Prunus/Prunus_persica/p.persica_gdr_reftransV1_0043990","p.persica_gdr_reftransV1_0043990")</f>
        <v>p.persica_gdr_reftransV1_0043990</v>
      </c>
      <c r="B10118" s="2">
        <v>363</v>
      </c>
      <c r="C10118" s="4" t="str">
        <f>HYPERLINK("http://www.uniprot.org/uniprot/M5W9Q1","M5W9Q1")</f>
        <v>M5W9Q1</v>
      </c>
      <c r="D10118" s="2" t="s">
        <v>8712</v>
      </c>
      <c r="E10118" s="3">
        <v>3.6199999999999999E-42</v>
      </c>
      <c r="F10118" s="2">
        <v>366</v>
      </c>
      <c r="G10118" s="2">
        <v>100</v>
      </c>
      <c r="H10118" s="2">
        <v>84</v>
      </c>
      <c r="I10118" s="2">
        <v>26</v>
      </c>
      <c r="J10118" s="2">
        <v>277</v>
      </c>
      <c r="K10118" s="2">
        <v>21</v>
      </c>
      <c r="L10118" s="2">
        <v>104</v>
      </c>
    </row>
    <row r="10119" spans="1:12" x14ac:dyDescent="0.25">
      <c r="A10119" s="4" t="str">
        <f>HYPERLINK("http://www.rosaceae.org/Prunus/Prunus_persica/p.persica_gdr_reftransV1_0044690","p.persica_gdr_reftransV1_0044690")</f>
        <v>p.persica_gdr_reftransV1_0044690</v>
      </c>
      <c r="B10119" s="2">
        <v>505</v>
      </c>
      <c r="C10119" s="4" t="str">
        <f>HYPERLINK("http://www.uniprot.org/uniprot/M5WNG9","M5WNG9")</f>
        <v>M5WNG9</v>
      </c>
      <c r="D10119" s="2" t="s">
        <v>8713</v>
      </c>
      <c r="E10119" s="3">
        <v>1.2999999999999999E-71</v>
      </c>
      <c r="F10119" s="2">
        <v>579</v>
      </c>
      <c r="G10119" s="2">
        <v>100</v>
      </c>
      <c r="H10119" s="2">
        <v>154</v>
      </c>
      <c r="I10119" s="2">
        <v>43</v>
      </c>
      <c r="J10119" s="2">
        <v>504</v>
      </c>
      <c r="K10119" s="2">
        <v>57</v>
      </c>
      <c r="L10119" s="2">
        <v>210</v>
      </c>
    </row>
    <row r="10120" spans="1:12" x14ac:dyDescent="0.25">
      <c r="A10120" s="4" t="str">
        <f>HYPERLINK("http://www.rosaceae.org/Prunus/Prunus_persica/p.persica_gdr_reftransV1_0045040","p.persica_gdr_reftransV1_0045040")</f>
        <v>p.persica_gdr_reftransV1_0045040</v>
      </c>
      <c r="B10120" s="2">
        <v>2189</v>
      </c>
      <c r="C10120" s="4" t="str">
        <f>HYPERLINK("http://www.uniprot.org/uniprot/M5WIZ5","M5WIZ5")</f>
        <v>M5WIZ5</v>
      </c>
      <c r="D10120" s="2" t="s">
        <v>6279</v>
      </c>
      <c r="E10120" s="3">
        <v>0</v>
      </c>
      <c r="F10120" s="2">
        <v>2457</v>
      </c>
      <c r="G10120" s="2">
        <v>100</v>
      </c>
      <c r="H10120" s="2">
        <v>549</v>
      </c>
      <c r="I10120" s="2">
        <v>86</v>
      </c>
      <c r="J10120" s="2">
        <v>1732</v>
      </c>
      <c r="K10120" s="2">
        <v>1</v>
      </c>
      <c r="L10120" s="2">
        <v>549</v>
      </c>
    </row>
    <row r="10121" spans="1:12" x14ac:dyDescent="0.25">
      <c r="A10121" s="4" t="str">
        <f>HYPERLINK("http://www.rosaceae.org/Prunus/Prunus_persica/p.persica_gdr_reftransV1_0045390","p.persica_gdr_reftransV1_0045390")</f>
        <v>p.persica_gdr_reftransV1_0045390</v>
      </c>
      <c r="B10121" s="2">
        <v>719</v>
      </c>
      <c r="C10121" s="4" t="str">
        <f>HYPERLINK("http://www.uniprot.org/uniprot/M5WWT2","M5WWT2")</f>
        <v>M5WWT2</v>
      </c>
      <c r="D10121" s="2" t="s">
        <v>1134</v>
      </c>
      <c r="E10121" s="3">
        <v>9.8099999999999998E-75</v>
      </c>
      <c r="F10121" s="2">
        <v>652</v>
      </c>
      <c r="G10121" s="2">
        <v>99</v>
      </c>
      <c r="H10121" s="2">
        <v>139</v>
      </c>
      <c r="I10121" s="2">
        <v>302</v>
      </c>
      <c r="J10121" s="2">
        <v>718</v>
      </c>
      <c r="K10121" s="2">
        <v>931</v>
      </c>
      <c r="L10121" s="2">
        <v>1069</v>
      </c>
    </row>
    <row r="10122" spans="1:12" x14ac:dyDescent="0.25">
      <c r="A10122" s="4" t="str">
        <f>HYPERLINK("http://www.rosaceae.org/Prunus/Prunus_persica/p.persica_gdr_reftransV1_0045740","p.persica_gdr_reftransV1_0045740")</f>
        <v>p.persica_gdr_reftransV1_0045740</v>
      </c>
      <c r="B10122" s="2">
        <v>1302</v>
      </c>
      <c r="C10122" s="4" t="str">
        <f>HYPERLINK("http://www.uniprot.org/uniprot/M5WJ37","M5WJ37")</f>
        <v>M5WJ37</v>
      </c>
      <c r="D10122" s="2" t="s">
        <v>8714</v>
      </c>
      <c r="E10122" s="3">
        <v>0</v>
      </c>
      <c r="F10122" s="2">
        <v>1591</v>
      </c>
      <c r="G10122" s="2">
        <v>99</v>
      </c>
      <c r="H10122" s="2">
        <v>345</v>
      </c>
      <c r="I10122" s="2">
        <v>116</v>
      </c>
      <c r="J10122" s="2">
        <v>1150</v>
      </c>
      <c r="K10122" s="2">
        <v>1</v>
      </c>
      <c r="L10122" s="2">
        <v>345</v>
      </c>
    </row>
    <row r="10123" spans="1:12" x14ac:dyDescent="0.25">
      <c r="A10123" s="4" t="str">
        <f>HYPERLINK("http://www.rosaceae.org/Prunus/Prunus_persica/p.persica_gdr_reftransV1_0046090","p.persica_gdr_reftransV1_0046090")</f>
        <v>p.persica_gdr_reftransV1_0046090</v>
      </c>
      <c r="B10123" s="2">
        <v>1660</v>
      </c>
      <c r="C10123" s="4" t="str">
        <f>HYPERLINK("http://www.uniprot.org/uniprot/M5X1U4","M5X1U4")</f>
        <v>M5X1U4</v>
      </c>
      <c r="D10123" s="2" t="s">
        <v>8715</v>
      </c>
      <c r="E10123" s="3">
        <v>2.1699999999999999E-107</v>
      </c>
      <c r="F10123" s="2">
        <v>855</v>
      </c>
      <c r="G10123" s="2">
        <v>99</v>
      </c>
      <c r="H10123" s="2">
        <v>184</v>
      </c>
      <c r="I10123" s="2">
        <v>425</v>
      </c>
      <c r="J10123" s="2">
        <v>976</v>
      </c>
      <c r="K10123" s="2">
        <v>69</v>
      </c>
      <c r="L10123" s="2">
        <v>252</v>
      </c>
    </row>
    <row r="10124" spans="1:12" x14ac:dyDescent="0.25">
      <c r="A10124" s="4" t="str">
        <f>HYPERLINK("http://www.rosaceae.org/Prunus/Prunus_persica/p.persica_gdr_reftransV1_0046440","p.persica_gdr_reftransV1_0046440")</f>
        <v>p.persica_gdr_reftransV1_0046440</v>
      </c>
      <c r="B10124" s="2">
        <v>304</v>
      </c>
      <c r="C10124" s="4" t="str">
        <f>HYPERLINK("http://www.uniprot.org/uniprot/M5X391","M5X391")</f>
        <v>M5X391</v>
      </c>
      <c r="D10124" s="2" t="s">
        <v>1768</v>
      </c>
      <c r="E10124" s="3">
        <v>4.0200000000000002E-54</v>
      </c>
      <c r="F10124" s="2">
        <v>482</v>
      </c>
      <c r="G10124" s="2">
        <v>92</v>
      </c>
      <c r="H10124" s="2">
        <v>99</v>
      </c>
      <c r="I10124" s="2">
        <v>6</v>
      </c>
      <c r="J10124" s="2">
        <v>302</v>
      </c>
      <c r="K10124" s="2">
        <v>407</v>
      </c>
      <c r="L10124" s="2">
        <v>505</v>
      </c>
    </row>
    <row r="10125" spans="1:12" x14ac:dyDescent="0.25">
      <c r="A10125" s="4" t="str">
        <f>HYPERLINK("http://www.rosaceae.org/Prunus/Prunus_persica/p.persica_gdr_reftransV1_0046790","p.persica_gdr_reftransV1_0046790")</f>
        <v>p.persica_gdr_reftransV1_0046790</v>
      </c>
      <c r="B10125" s="2">
        <v>1261</v>
      </c>
      <c r="C10125" s="4" t="str">
        <f>HYPERLINK("http://www.uniprot.org/uniprot/M5XXM7","M5XXM7")</f>
        <v>M5XXM7</v>
      </c>
      <c r="D10125" s="2" t="s">
        <v>8716</v>
      </c>
      <c r="E10125" s="3">
        <v>6.9000000000000004E-156</v>
      </c>
      <c r="F10125" s="2">
        <v>1179</v>
      </c>
      <c r="G10125" s="2">
        <v>97</v>
      </c>
      <c r="H10125" s="2">
        <v>227</v>
      </c>
      <c r="I10125" s="2">
        <v>489</v>
      </c>
      <c r="J10125" s="2">
        <v>1169</v>
      </c>
      <c r="K10125" s="2">
        <v>180</v>
      </c>
      <c r="L10125" s="2">
        <v>406</v>
      </c>
    </row>
    <row r="10126" spans="1:12" x14ac:dyDescent="0.25">
      <c r="A10126" s="4" t="str">
        <f>HYPERLINK("http://www.rosaceae.org/Prunus/Prunus_persica/p.persica_gdr_reftransV1_0047140","p.persica_gdr_reftransV1_0047140")</f>
        <v>p.persica_gdr_reftransV1_0047140</v>
      </c>
      <c r="B10126" s="2">
        <v>1044</v>
      </c>
      <c r="C10126" s="4" t="str">
        <f>HYPERLINK("http://www.uniprot.org/uniprot/M5XHI3","M5XHI3")</f>
        <v>M5XHI3</v>
      </c>
      <c r="D10126" s="2" t="s">
        <v>8717</v>
      </c>
      <c r="E10126" s="3">
        <v>2.22E-123</v>
      </c>
      <c r="F10126" s="2">
        <v>899</v>
      </c>
      <c r="G10126" s="2">
        <v>100</v>
      </c>
      <c r="H10126" s="2">
        <v>172</v>
      </c>
      <c r="I10126" s="2">
        <v>110</v>
      </c>
      <c r="J10126" s="2">
        <v>625</v>
      </c>
      <c r="K10126" s="2">
        <v>71</v>
      </c>
      <c r="L10126" s="2">
        <v>242</v>
      </c>
    </row>
    <row r="10127" spans="1:12" x14ac:dyDescent="0.25">
      <c r="A10127" s="4" t="str">
        <f>HYPERLINK("http://www.rosaceae.org/Prunus/Prunus_persica/p.persica_gdr_reftransV1_0047840","p.persica_gdr_reftransV1_0047840")</f>
        <v>p.persica_gdr_reftransV1_0047840</v>
      </c>
      <c r="B10127" s="2">
        <v>1466</v>
      </c>
      <c r="C10127" s="4" t="str">
        <f>HYPERLINK("http://www.uniprot.org/uniprot/M5WNQ3","M5WNQ3")</f>
        <v>M5WNQ3</v>
      </c>
      <c r="D10127" s="2" t="s">
        <v>2704</v>
      </c>
      <c r="E10127" s="3">
        <v>0</v>
      </c>
      <c r="F10127" s="2">
        <v>2253</v>
      </c>
      <c r="G10127" s="2">
        <v>89</v>
      </c>
      <c r="H10127" s="2">
        <v>488</v>
      </c>
      <c r="I10127" s="2">
        <v>1</v>
      </c>
      <c r="J10127" s="2">
        <v>1464</v>
      </c>
      <c r="K10127" s="2">
        <v>109</v>
      </c>
      <c r="L10127" s="2">
        <v>544</v>
      </c>
    </row>
    <row r="10128" spans="1:12" x14ac:dyDescent="0.25">
      <c r="A10128" s="4" t="str">
        <f>HYPERLINK("http://www.rosaceae.org/Prunus/Prunus_persica/p.persica_gdr_reftransV1_0048540","p.persica_gdr_reftransV1_0048540")</f>
        <v>p.persica_gdr_reftransV1_0048540</v>
      </c>
      <c r="B10128" s="2">
        <v>1714</v>
      </c>
      <c r="C10128" s="4" t="str">
        <f>HYPERLINK("http://www.uniprot.org/uniprot/M5XCP4","M5XCP4")</f>
        <v>M5XCP4</v>
      </c>
      <c r="D10128" s="2" t="s">
        <v>7854</v>
      </c>
      <c r="E10128" s="3">
        <v>0</v>
      </c>
      <c r="F10128" s="2">
        <v>1400</v>
      </c>
      <c r="G10128" s="2">
        <v>87</v>
      </c>
      <c r="H10128" s="2">
        <v>360</v>
      </c>
      <c r="I10128" s="2">
        <v>407</v>
      </c>
      <c r="J10128" s="2">
        <v>1480</v>
      </c>
      <c r="K10128" s="2">
        <v>1</v>
      </c>
      <c r="L10128" s="2">
        <v>323</v>
      </c>
    </row>
    <row r="10129" spans="1:12" x14ac:dyDescent="0.25">
      <c r="A10129" s="4" t="str">
        <f>HYPERLINK("http://www.rosaceae.org/Prunus/Prunus_persica/p.persica_gdr_reftransV1_0048890","p.persica_gdr_reftransV1_0048890")</f>
        <v>p.persica_gdr_reftransV1_0048890</v>
      </c>
      <c r="B10129" s="2">
        <v>2496</v>
      </c>
      <c r="C10129" s="4" t="str">
        <f>HYPERLINK("http://www.uniprot.org/uniprot/M5WGB2","M5WGB2")</f>
        <v>M5WGB2</v>
      </c>
      <c r="D10129" s="2" t="s">
        <v>4422</v>
      </c>
      <c r="E10129" s="3">
        <v>0</v>
      </c>
      <c r="F10129" s="2">
        <v>3462</v>
      </c>
      <c r="G10129" s="2">
        <v>96</v>
      </c>
      <c r="H10129" s="2">
        <v>697</v>
      </c>
      <c r="I10129" s="2">
        <v>324</v>
      </c>
      <c r="J10129" s="2">
        <v>2414</v>
      </c>
      <c r="K10129" s="2">
        <v>1</v>
      </c>
      <c r="L10129" s="2">
        <v>671</v>
      </c>
    </row>
    <row r="10130" spans="1:12" x14ac:dyDescent="0.25">
      <c r="A10130" s="4" t="str">
        <f>HYPERLINK("http://www.rosaceae.org/Prunus/Prunus_persica/p.persica_gdr_reftransV1_0000024","p.persica_gdr_reftransV1_0000024")</f>
        <v>p.persica_gdr_reftransV1_0000024</v>
      </c>
      <c r="B10130" s="2">
        <v>1527</v>
      </c>
      <c r="C10130" s="4" t="str">
        <f>HYPERLINK("http://www.uniprot.org/uniprot/M5VQH4","M5VQH4")</f>
        <v>M5VQH4</v>
      </c>
      <c r="D10130" s="2" t="s">
        <v>8718</v>
      </c>
      <c r="E10130" s="3">
        <v>0</v>
      </c>
      <c r="F10130" s="2">
        <v>2534</v>
      </c>
      <c r="G10130" s="2">
        <v>100</v>
      </c>
      <c r="H10130" s="2">
        <v>474</v>
      </c>
      <c r="I10130" s="2">
        <v>57</v>
      </c>
      <c r="J10130" s="2">
        <v>1478</v>
      </c>
      <c r="K10130" s="2">
        <v>1</v>
      </c>
      <c r="L10130" s="2">
        <v>474</v>
      </c>
    </row>
    <row r="10131" spans="1:12" x14ac:dyDescent="0.25">
      <c r="A10131" s="4" t="str">
        <f>HYPERLINK("http://www.rosaceae.org/Prunus/Prunus_persica/p.persica_gdr_reftransV1_0000374","p.persica_gdr_reftransV1_0000374")</f>
        <v>p.persica_gdr_reftransV1_0000374</v>
      </c>
      <c r="B10131" s="2">
        <v>950</v>
      </c>
      <c r="C10131" s="4" t="str">
        <f>HYPERLINK("http://www.uniprot.org/uniprot/M5X826","M5X826")</f>
        <v>M5X826</v>
      </c>
      <c r="D10131" s="2" t="s">
        <v>8719</v>
      </c>
      <c r="E10131" s="3">
        <v>6.43E-102</v>
      </c>
      <c r="F10131" s="2">
        <v>787</v>
      </c>
      <c r="G10131" s="2">
        <v>97</v>
      </c>
      <c r="H10131" s="2">
        <v>155</v>
      </c>
      <c r="I10131" s="2">
        <v>262</v>
      </c>
      <c r="J10131" s="2">
        <v>723</v>
      </c>
      <c r="K10131" s="2">
        <v>1</v>
      </c>
      <c r="L10131" s="2">
        <v>154</v>
      </c>
    </row>
    <row r="10132" spans="1:12" x14ac:dyDescent="0.25">
      <c r="A10132" s="4" t="str">
        <f>HYPERLINK("http://www.rosaceae.org/Prunus/Prunus_persica/p.persica_gdr_reftransV1_0000724","p.persica_gdr_reftransV1_0000724")</f>
        <v>p.persica_gdr_reftransV1_0000724</v>
      </c>
      <c r="B10132" s="2">
        <v>867</v>
      </c>
      <c r="C10132" s="4" t="str">
        <f>HYPERLINK("http://www.uniprot.org/uniprot/M5XNJ3","M5XNJ3")</f>
        <v>M5XNJ3</v>
      </c>
      <c r="D10132" s="2" t="s">
        <v>8720</v>
      </c>
      <c r="E10132" s="3">
        <v>7.9600000000000002E-136</v>
      </c>
      <c r="F10132" s="2">
        <v>1037</v>
      </c>
      <c r="G10132" s="2">
        <v>91</v>
      </c>
      <c r="H10132" s="2">
        <v>226</v>
      </c>
      <c r="I10132" s="2">
        <v>185</v>
      </c>
      <c r="J10132" s="2">
        <v>862</v>
      </c>
      <c r="K10132" s="2">
        <v>230</v>
      </c>
      <c r="L10132" s="2">
        <v>453</v>
      </c>
    </row>
    <row r="10133" spans="1:12" x14ac:dyDescent="0.25">
      <c r="A10133" s="4" t="str">
        <f>HYPERLINK("http://www.rosaceae.org/Prunus/Prunus_persica/p.persica_gdr_reftransV1_0001074","p.persica_gdr_reftransV1_0001074")</f>
        <v>p.persica_gdr_reftransV1_0001074</v>
      </c>
      <c r="B10133" s="2">
        <v>1799</v>
      </c>
      <c r="C10133" s="4" t="str">
        <f>HYPERLINK("http://www.uniprot.org/uniprot/M5XNS9","M5XNS9")</f>
        <v>M5XNS9</v>
      </c>
      <c r="D10133" s="2" t="s">
        <v>8721</v>
      </c>
      <c r="E10133" s="3">
        <v>1.0699999999999999E-138</v>
      </c>
      <c r="F10133" s="2">
        <v>1062</v>
      </c>
      <c r="G10133" s="2">
        <v>100</v>
      </c>
      <c r="H10133" s="2">
        <v>195</v>
      </c>
      <c r="I10133" s="2">
        <v>1029</v>
      </c>
      <c r="J10133" s="2">
        <v>1613</v>
      </c>
      <c r="K10133" s="2">
        <v>1</v>
      </c>
      <c r="L10133" s="2">
        <v>195</v>
      </c>
    </row>
    <row r="10134" spans="1:12" x14ac:dyDescent="0.25">
      <c r="A10134" s="4" t="str">
        <f>HYPERLINK("http://www.rosaceae.org/Prunus/Prunus_persica/p.persica_gdr_reftransV1_0001424","p.persica_gdr_reftransV1_0001424")</f>
        <v>p.persica_gdr_reftransV1_0001424</v>
      </c>
      <c r="B10134" s="2">
        <v>530</v>
      </c>
      <c r="C10134" s="4" t="str">
        <f>HYPERLINK("http://www.uniprot.org/uniprot/M5XR08","M5XR08")</f>
        <v>M5XR08</v>
      </c>
      <c r="D10134" s="2" t="s">
        <v>8722</v>
      </c>
      <c r="E10134" s="3">
        <v>4.76E-30</v>
      </c>
      <c r="F10134" s="2">
        <v>307</v>
      </c>
      <c r="G10134" s="2">
        <v>94</v>
      </c>
      <c r="H10134" s="2">
        <v>82</v>
      </c>
      <c r="I10134" s="2">
        <v>199</v>
      </c>
      <c r="J10134" s="2">
        <v>444</v>
      </c>
      <c r="K10134" s="2">
        <v>256</v>
      </c>
      <c r="L10134" s="2">
        <v>337</v>
      </c>
    </row>
    <row r="10135" spans="1:12" x14ac:dyDescent="0.25">
      <c r="A10135" s="4" t="str">
        <f>HYPERLINK("http://www.rosaceae.org/Prunus/Prunus_persica/p.persica_gdr_reftransV1_0001774","p.persica_gdr_reftransV1_0001774")</f>
        <v>p.persica_gdr_reftransV1_0001774</v>
      </c>
      <c r="B10135" s="2">
        <v>387</v>
      </c>
      <c r="C10135" s="4" t="str">
        <f>HYPERLINK("http://www.uniprot.org/uniprot/M5W9B5","M5W9B5")</f>
        <v>M5W9B5</v>
      </c>
      <c r="D10135" s="2" t="s">
        <v>8723</v>
      </c>
      <c r="E10135" s="3">
        <v>1.5300000000000001E-64</v>
      </c>
      <c r="F10135" s="2">
        <v>545</v>
      </c>
      <c r="G10135" s="2">
        <v>100</v>
      </c>
      <c r="H10135" s="2">
        <v>128</v>
      </c>
      <c r="I10135" s="2">
        <v>3</v>
      </c>
      <c r="J10135" s="2">
        <v>386</v>
      </c>
      <c r="K10135" s="2">
        <v>316</v>
      </c>
      <c r="L10135" s="2">
        <v>443</v>
      </c>
    </row>
    <row r="10136" spans="1:12" x14ac:dyDescent="0.25">
      <c r="A10136" s="4" t="str">
        <f>HYPERLINK("http://www.rosaceae.org/Prunus/Prunus_persica/p.persica_gdr_reftransV1_0002124","p.persica_gdr_reftransV1_0002124")</f>
        <v>p.persica_gdr_reftransV1_0002124</v>
      </c>
      <c r="B10136" s="2">
        <v>562</v>
      </c>
      <c r="C10136" s="4" t="str">
        <f>HYPERLINK("http://www.uniprot.org/uniprot/M5VUT3","M5VUT3")</f>
        <v>M5VUT3</v>
      </c>
      <c r="D10136" s="2" t="s">
        <v>270</v>
      </c>
      <c r="E10136" s="3">
        <v>9.2599999999999996E-122</v>
      </c>
      <c r="F10136" s="2">
        <v>977</v>
      </c>
      <c r="G10136" s="2">
        <v>100</v>
      </c>
      <c r="H10136" s="2">
        <v>187</v>
      </c>
      <c r="I10136" s="2">
        <v>1</v>
      </c>
      <c r="J10136" s="2">
        <v>561</v>
      </c>
      <c r="K10136" s="2">
        <v>157</v>
      </c>
      <c r="L10136" s="2">
        <v>343</v>
      </c>
    </row>
    <row r="10137" spans="1:12" x14ac:dyDescent="0.25">
      <c r="A10137" s="4" t="str">
        <f>HYPERLINK("http://www.rosaceae.org/Prunus/Prunus_persica/p.persica_gdr_reftransV1_0002474","p.persica_gdr_reftransV1_0002474")</f>
        <v>p.persica_gdr_reftransV1_0002474</v>
      </c>
      <c r="B10137" s="2">
        <v>1125</v>
      </c>
      <c r="C10137" s="4" t="str">
        <f>HYPERLINK("http://www.uniprot.org/uniprot/Q9XH74","Q9XH74")</f>
        <v>Q9XH74</v>
      </c>
      <c r="D10137" s="2" t="s">
        <v>6938</v>
      </c>
      <c r="E10137" s="3">
        <v>3.5399999999999998E-129</v>
      </c>
      <c r="F10137" s="2">
        <v>978</v>
      </c>
      <c r="G10137" s="2">
        <v>100</v>
      </c>
      <c r="H10137" s="2">
        <v>201</v>
      </c>
      <c r="I10137" s="2">
        <v>331</v>
      </c>
      <c r="J10137" s="2">
        <v>933</v>
      </c>
      <c r="K10137" s="2">
        <v>1</v>
      </c>
      <c r="L10137" s="2">
        <v>201</v>
      </c>
    </row>
    <row r="10138" spans="1:12" x14ac:dyDescent="0.25">
      <c r="A10138" s="4" t="str">
        <f>HYPERLINK("http://www.rosaceae.org/Prunus/Prunus_persica/p.persica_gdr_reftransV1_0002824","p.persica_gdr_reftransV1_0002824")</f>
        <v>p.persica_gdr_reftransV1_0002824</v>
      </c>
      <c r="B10138" s="2">
        <v>1065</v>
      </c>
      <c r="C10138" s="4" t="str">
        <f>HYPERLINK("http://www.uniprot.org/uniprot/A0A0B7P435","A0A0B7P435")</f>
        <v>A0A0B7P435</v>
      </c>
      <c r="D10138" s="2" t="s">
        <v>1407</v>
      </c>
      <c r="E10138" s="3">
        <v>3.9400000000000001E-128</v>
      </c>
      <c r="F10138" s="2">
        <v>970</v>
      </c>
      <c r="G10138" s="2">
        <v>97</v>
      </c>
      <c r="H10138" s="2">
        <v>209</v>
      </c>
      <c r="I10138" s="2">
        <v>100</v>
      </c>
      <c r="J10138" s="2">
        <v>726</v>
      </c>
      <c r="K10138" s="2">
        <v>1</v>
      </c>
      <c r="L10138" s="2">
        <v>209</v>
      </c>
    </row>
    <row r="10139" spans="1:12" x14ac:dyDescent="0.25">
      <c r="A10139" s="4" t="str">
        <f>HYPERLINK("http://www.rosaceae.org/Prunus/Prunus_persica/p.persica_gdr_reftransV1_0003174","p.persica_gdr_reftransV1_0003174")</f>
        <v>p.persica_gdr_reftransV1_0003174</v>
      </c>
      <c r="B10139" s="2">
        <v>349</v>
      </c>
      <c r="C10139" s="4" t="str">
        <f>HYPERLINK("http://www.uniprot.org/uniprot/M5WL95","M5WL95")</f>
        <v>M5WL95</v>
      </c>
      <c r="D10139" s="2" t="s">
        <v>8724</v>
      </c>
      <c r="E10139" s="3">
        <v>2.0800000000000001E-62</v>
      </c>
      <c r="F10139" s="2">
        <v>528</v>
      </c>
      <c r="G10139" s="2">
        <v>100</v>
      </c>
      <c r="H10139" s="2">
        <v>116</v>
      </c>
      <c r="I10139" s="2">
        <v>2</v>
      </c>
      <c r="J10139" s="2">
        <v>349</v>
      </c>
      <c r="K10139" s="2">
        <v>146</v>
      </c>
      <c r="L10139" s="2">
        <v>261</v>
      </c>
    </row>
    <row r="10140" spans="1:12" x14ac:dyDescent="0.25">
      <c r="A10140" s="4" t="str">
        <f>HYPERLINK("http://www.rosaceae.org/Prunus/Prunus_persica/p.persica_gdr_reftransV1_0003524","p.persica_gdr_reftransV1_0003524")</f>
        <v>p.persica_gdr_reftransV1_0003524</v>
      </c>
      <c r="B10140" s="2">
        <v>1200</v>
      </c>
      <c r="C10140" s="4" t="str">
        <f>HYPERLINK("http://www.uniprot.org/uniprot/M5WVH7","M5WVH7")</f>
        <v>M5WVH7</v>
      </c>
      <c r="D10140" s="2" t="s">
        <v>8725</v>
      </c>
      <c r="E10140" s="3">
        <v>4.6500000000000002E-156</v>
      </c>
      <c r="F10140" s="2">
        <v>1159</v>
      </c>
      <c r="G10140" s="2">
        <v>100</v>
      </c>
      <c r="H10140" s="2">
        <v>215</v>
      </c>
      <c r="I10140" s="2">
        <v>137</v>
      </c>
      <c r="J10140" s="2">
        <v>781</v>
      </c>
      <c r="K10140" s="2">
        <v>1</v>
      </c>
      <c r="L10140" s="2">
        <v>215</v>
      </c>
    </row>
    <row r="10141" spans="1:12" x14ac:dyDescent="0.25">
      <c r="A10141" s="4" t="str">
        <f>HYPERLINK("http://www.rosaceae.org/Prunus/Prunus_persica/p.persica_gdr_reftransV1_0003874","p.persica_gdr_reftransV1_0003874")</f>
        <v>p.persica_gdr_reftransV1_0003874</v>
      </c>
      <c r="B10141" s="2">
        <v>897</v>
      </c>
      <c r="C10141" s="4" t="str">
        <f>HYPERLINK("http://www.uniprot.org/uniprot/M5WIK8","M5WIK8")</f>
        <v>M5WIK8</v>
      </c>
      <c r="D10141" s="2" t="s">
        <v>8726</v>
      </c>
      <c r="E10141" s="3">
        <v>2.8399999999999998E-56</v>
      </c>
      <c r="F10141" s="2">
        <v>499</v>
      </c>
      <c r="G10141" s="2">
        <v>100</v>
      </c>
      <c r="H10141" s="2">
        <v>122</v>
      </c>
      <c r="I10141" s="2">
        <v>530</v>
      </c>
      <c r="J10141" s="2">
        <v>895</v>
      </c>
      <c r="K10141" s="2">
        <v>173</v>
      </c>
      <c r="L10141" s="2">
        <v>294</v>
      </c>
    </row>
    <row r="10142" spans="1:12" x14ac:dyDescent="0.25">
      <c r="A10142" s="4" t="str">
        <f>HYPERLINK("http://www.rosaceae.org/Prunus/Prunus_persica/p.persica_gdr_reftransV1_0004224","p.persica_gdr_reftransV1_0004224")</f>
        <v>p.persica_gdr_reftransV1_0004224</v>
      </c>
      <c r="B10142" s="2">
        <v>2752</v>
      </c>
      <c r="C10142" s="4" t="str">
        <f>HYPERLINK("http://www.uniprot.org/uniprot/M5XR63","M5XR63")</f>
        <v>M5XR63</v>
      </c>
      <c r="D10142" s="2" t="s">
        <v>4847</v>
      </c>
      <c r="E10142" s="3">
        <v>0</v>
      </c>
      <c r="F10142" s="2">
        <v>3040</v>
      </c>
      <c r="G10142" s="2">
        <v>95</v>
      </c>
      <c r="H10142" s="2">
        <v>605</v>
      </c>
      <c r="I10142" s="2">
        <v>775</v>
      </c>
      <c r="J10142" s="2">
        <v>2589</v>
      </c>
      <c r="K10142" s="2">
        <v>1</v>
      </c>
      <c r="L10142" s="2">
        <v>580</v>
      </c>
    </row>
    <row r="10143" spans="1:12" x14ac:dyDescent="0.25">
      <c r="A10143" s="4" t="str">
        <f>HYPERLINK("http://www.rosaceae.org/Prunus/Prunus_persica/p.persica_gdr_reftransV1_0004574","p.persica_gdr_reftransV1_0004574")</f>
        <v>p.persica_gdr_reftransV1_0004574</v>
      </c>
      <c r="B10143" s="2">
        <v>459</v>
      </c>
      <c r="C10143" s="4" t="str">
        <f>HYPERLINK("http://www.uniprot.org/uniprot/M5XAF2","M5XAF2")</f>
        <v>M5XAF2</v>
      </c>
      <c r="D10143" s="2" t="s">
        <v>2045</v>
      </c>
      <c r="E10143" s="3">
        <v>3.34E-51</v>
      </c>
      <c r="F10143" s="2">
        <v>438</v>
      </c>
      <c r="G10143" s="2">
        <v>60</v>
      </c>
      <c r="H10143" s="2">
        <v>136</v>
      </c>
      <c r="I10143" s="2">
        <v>66</v>
      </c>
      <c r="J10143" s="2">
        <v>458</v>
      </c>
      <c r="K10143" s="2">
        <v>1</v>
      </c>
      <c r="L10143" s="2">
        <v>133</v>
      </c>
    </row>
    <row r="10144" spans="1:12" x14ac:dyDescent="0.25">
      <c r="A10144" s="4" t="str">
        <f>HYPERLINK("http://www.rosaceae.org/Prunus/Prunus_persica/p.persica_gdr_reftransV1_0004924","p.persica_gdr_reftransV1_0004924")</f>
        <v>p.persica_gdr_reftransV1_0004924</v>
      </c>
      <c r="B10144" s="2">
        <v>1751</v>
      </c>
      <c r="C10144" s="4" t="str">
        <f>HYPERLINK("http://www.uniprot.org/uniprot/M5W712","M5W712")</f>
        <v>M5W712</v>
      </c>
      <c r="D10144" s="2" t="s">
        <v>7831</v>
      </c>
      <c r="E10144" s="3">
        <v>0</v>
      </c>
      <c r="F10144" s="2">
        <v>1811</v>
      </c>
      <c r="G10144" s="2">
        <v>100</v>
      </c>
      <c r="H10144" s="2">
        <v>420</v>
      </c>
      <c r="I10144" s="2">
        <v>185</v>
      </c>
      <c r="J10144" s="2">
        <v>1444</v>
      </c>
      <c r="K10144" s="2">
        <v>240</v>
      </c>
      <c r="L10144" s="2">
        <v>659</v>
      </c>
    </row>
    <row r="10145" spans="1:12" x14ac:dyDescent="0.25">
      <c r="A10145" s="4" t="str">
        <f>HYPERLINK("http://www.rosaceae.org/Prunus/Prunus_persica/p.persica_gdr_reftransV1_0005274","p.persica_gdr_reftransV1_0005274")</f>
        <v>p.persica_gdr_reftransV1_0005274</v>
      </c>
      <c r="B10145" s="2">
        <v>752</v>
      </c>
      <c r="C10145" s="4" t="str">
        <f>HYPERLINK("http://www.uniprot.org/uniprot/M5WPZ2","M5WPZ2")</f>
        <v>M5WPZ2</v>
      </c>
      <c r="D10145" s="2" t="s">
        <v>439</v>
      </c>
      <c r="E10145" s="3">
        <v>3.1100000000000001E-159</v>
      </c>
      <c r="F10145" s="2">
        <v>1237</v>
      </c>
      <c r="G10145" s="2">
        <v>100</v>
      </c>
      <c r="H10145" s="2">
        <v>250</v>
      </c>
      <c r="I10145" s="2">
        <v>3</v>
      </c>
      <c r="J10145" s="2">
        <v>752</v>
      </c>
      <c r="K10145" s="2">
        <v>501</v>
      </c>
      <c r="L10145" s="2">
        <v>750</v>
      </c>
    </row>
    <row r="10146" spans="1:12" x14ac:dyDescent="0.25">
      <c r="A10146" s="4" t="str">
        <f>HYPERLINK("http://www.rosaceae.org/Prunus/Prunus_persica/p.persica_gdr_reftransV1_0005624","p.persica_gdr_reftransV1_0005624")</f>
        <v>p.persica_gdr_reftransV1_0005624</v>
      </c>
      <c r="B10146" s="2">
        <v>416</v>
      </c>
      <c r="C10146" s="4" t="str">
        <f>HYPERLINK("http://www.uniprot.org/uniprot/M5WWK6","M5WWK6")</f>
        <v>M5WWK6</v>
      </c>
      <c r="D10146" s="2" t="s">
        <v>8727</v>
      </c>
      <c r="E10146" s="3">
        <v>9.93E-43</v>
      </c>
      <c r="F10146" s="2">
        <v>400</v>
      </c>
      <c r="G10146" s="2">
        <v>100</v>
      </c>
      <c r="H10146" s="2">
        <v>111</v>
      </c>
      <c r="I10146" s="2">
        <v>2</v>
      </c>
      <c r="J10146" s="2">
        <v>334</v>
      </c>
      <c r="K10146" s="2">
        <v>1</v>
      </c>
      <c r="L10146" s="2">
        <v>111</v>
      </c>
    </row>
    <row r="10147" spans="1:12" x14ac:dyDescent="0.25">
      <c r="A10147" s="4" t="str">
        <f>HYPERLINK("http://www.rosaceae.org/Prunus/Prunus_persica/p.persica_gdr_reftransV1_0005974","p.persica_gdr_reftransV1_0005974")</f>
        <v>p.persica_gdr_reftransV1_0005974</v>
      </c>
      <c r="B10147" s="2">
        <v>1592</v>
      </c>
      <c r="C10147" s="4" t="str">
        <f>HYPERLINK("http://www.uniprot.org/uniprot/A0A068B3L0","A0A068B3L0")</f>
        <v>A0A068B3L0</v>
      </c>
      <c r="D10147" s="2" t="s">
        <v>5058</v>
      </c>
      <c r="E10147" s="3">
        <v>0</v>
      </c>
      <c r="F10147" s="2">
        <v>1108</v>
      </c>
      <c r="G10147" s="2">
        <v>93</v>
      </c>
      <c r="H10147" s="2">
        <v>223</v>
      </c>
      <c r="I10147" s="2">
        <v>1</v>
      </c>
      <c r="J10147" s="2">
        <v>669</v>
      </c>
      <c r="K10147" s="2">
        <v>160</v>
      </c>
      <c r="L10147" s="2">
        <v>382</v>
      </c>
    </row>
    <row r="10148" spans="1:12" x14ac:dyDescent="0.25">
      <c r="A10148" s="4" t="str">
        <f>HYPERLINK("http://www.rosaceae.org/Prunus/Prunus_persica/p.persica_gdr_reftransV1_0006324","p.persica_gdr_reftransV1_0006324")</f>
        <v>p.persica_gdr_reftransV1_0006324</v>
      </c>
      <c r="B10148" s="2">
        <v>637</v>
      </c>
      <c r="C10148" s="4" t="str">
        <f>HYPERLINK("http://www.uniprot.org/uniprot/M5WTA8","M5WTA8")</f>
        <v>M5WTA8</v>
      </c>
      <c r="D10148" s="2" t="s">
        <v>8728</v>
      </c>
      <c r="E10148" s="3">
        <v>2.9300000000000002E-114</v>
      </c>
      <c r="F10148" s="2">
        <v>863</v>
      </c>
      <c r="G10148" s="2">
        <v>100</v>
      </c>
      <c r="H10148" s="2">
        <v>168</v>
      </c>
      <c r="I10148" s="2">
        <v>132</v>
      </c>
      <c r="J10148" s="2">
        <v>635</v>
      </c>
      <c r="K10148" s="2">
        <v>41</v>
      </c>
      <c r="L10148" s="2">
        <v>208</v>
      </c>
    </row>
    <row r="10149" spans="1:12" x14ac:dyDescent="0.25">
      <c r="A10149" s="4" t="str">
        <f>HYPERLINK("http://www.rosaceae.org/Prunus/Prunus_persica/p.persica_gdr_reftransV1_0006674","p.persica_gdr_reftransV1_0006674")</f>
        <v>p.persica_gdr_reftransV1_0006674</v>
      </c>
      <c r="B10149" s="2">
        <v>1079</v>
      </c>
      <c r="C10149" s="4" t="str">
        <f>HYPERLINK("http://www.uniprot.org/uniprot/M5WM69","M5WM69")</f>
        <v>M5WM69</v>
      </c>
      <c r="D10149" s="2" t="s">
        <v>8729</v>
      </c>
      <c r="E10149" s="3">
        <v>0</v>
      </c>
      <c r="F10149" s="2">
        <v>1630</v>
      </c>
      <c r="G10149" s="2">
        <v>100</v>
      </c>
      <c r="H10149" s="2">
        <v>336</v>
      </c>
      <c r="I10149" s="2">
        <v>71</v>
      </c>
      <c r="J10149" s="2">
        <v>1078</v>
      </c>
      <c r="K10149" s="2">
        <v>333</v>
      </c>
      <c r="L10149" s="2">
        <v>668</v>
      </c>
    </row>
    <row r="10150" spans="1:12" x14ac:dyDescent="0.25">
      <c r="A10150" s="4" t="str">
        <f>HYPERLINK("http://www.rosaceae.org/Prunus/Prunus_persica/p.persica_gdr_reftransV1_0007374","p.persica_gdr_reftransV1_0007374")</f>
        <v>p.persica_gdr_reftransV1_0007374</v>
      </c>
      <c r="B10150" s="2">
        <v>1115</v>
      </c>
      <c r="C10150" s="4" t="str">
        <f>HYPERLINK("http://www.uniprot.org/uniprot/A0A0B2RHM9","A0A0B2RHM9")</f>
        <v>A0A0B2RHM9</v>
      </c>
      <c r="D10150" s="2" t="s">
        <v>8730</v>
      </c>
      <c r="E10150" s="3">
        <v>3.3100000000000001E-77</v>
      </c>
      <c r="F10150" s="2">
        <v>645</v>
      </c>
      <c r="G10150" s="2">
        <v>70</v>
      </c>
      <c r="H10150" s="2">
        <v>163</v>
      </c>
      <c r="I10150" s="2">
        <v>627</v>
      </c>
      <c r="J10150" s="2">
        <v>1115</v>
      </c>
      <c r="K10150" s="2">
        <v>169</v>
      </c>
      <c r="L10150" s="2">
        <v>331</v>
      </c>
    </row>
    <row r="10151" spans="1:12" x14ac:dyDescent="0.25">
      <c r="A10151" s="4" t="str">
        <f>HYPERLINK("http://www.rosaceae.org/Prunus/Prunus_persica/p.persica_gdr_reftransV1_0008074","p.persica_gdr_reftransV1_0008074")</f>
        <v>p.persica_gdr_reftransV1_0008074</v>
      </c>
      <c r="B10151" s="2">
        <v>6235</v>
      </c>
      <c r="C10151" s="4" t="str">
        <f>HYPERLINK("http://www.uniprot.org/uniprot/M5XRX7","M5XRX7")</f>
        <v>M5XRX7</v>
      </c>
      <c r="D10151" s="2" t="s">
        <v>8731</v>
      </c>
      <c r="E10151" s="3">
        <v>0</v>
      </c>
      <c r="F10151" s="2">
        <v>8834</v>
      </c>
      <c r="G10151" s="2">
        <v>100</v>
      </c>
      <c r="H10151" s="2">
        <v>1872</v>
      </c>
      <c r="I10151" s="2">
        <v>247</v>
      </c>
      <c r="J10151" s="2">
        <v>5862</v>
      </c>
      <c r="K10151" s="2">
        <v>1</v>
      </c>
      <c r="L10151" s="2">
        <v>1868</v>
      </c>
    </row>
    <row r="10152" spans="1:12" x14ac:dyDescent="0.25">
      <c r="A10152" s="4" t="str">
        <f>HYPERLINK("http://www.rosaceae.org/Prunus/Prunus_persica/p.persica_gdr_reftransV1_0008424","p.persica_gdr_reftransV1_0008424")</f>
        <v>p.persica_gdr_reftransV1_0008424</v>
      </c>
      <c r="B10152" s="2">
        <v>652</v>
      </c>
      <c r="C10152" s="4" t="str">
        <f>HYPERLINK("http://www.uniprot.org/uniprot/M5WXT4","M5WXT4")</f>
        <v>M5WXT4</v>
      </c>
      <c r="D10152" s="2" t="s">
        <v>4111</v>
      </c>
      <c r="E10152" s="3">
        <v>7.3999999999999997E-152</v>
      </c>
      <c r="F10152" s="2">
        <v>1178</v>
      </c>
      <c r="G10152" s="2">
        <v>100</v>
      </c>
      <c r="H10152" s="2">
        <v>217</v>
      </c>
      <c r="I10152" s="2">
        <v>1</v>
      </c>
      <c r="J10152" s="2">
        <v>651</v>
      </c>
      <c r="K10152" s="2">
        <v>321</v>
      </c>
      <c r="L10152" s="2">
        <v>537</v>
      </c>
    </row>
    <row r="10153" spans="1:12" x14ac:dyDescent="0.25">
      <c r="A10153" s="4" t="str">
        <f>HYPERLINK("http://www.rosaceae.org/Prunus/Prunus_persica/p.persica_gdr_reftransV1_0009124","p.persica_gdr_reftransV1_0009124")</f>
        <v>p.persica_gdr_reftransV1_0009124</v>
      </c>
      <c r="B10153" s="2">
        <v>1163</v>
      </c>
      <c r="C10153" s="4" t="str">
        <f>HYPERLINK("http://www.uniprot.org/uniprot/M5XRI6","M5XRI6")</f>
        <v>M5XRI6</v>
      </c>
      <c r="D10153" s="2" t="s">
        <v>8732</v>
      </c>
      <c r="E10153" s="3">
        <v>1.6800000000000001E-143</v>
      </c>
      <c r="F10153" s="2">
        <v>1087</v>
      </c>
      <c r="G10153" s="2">
        <v>100</v>
      </c>
      <c r="H10153" s="2">
        <v>305</v>
      </c>
      <c r="I10153" s="2">
        <v>247</v>
      </c>
      <c r="J10153" s="2">
        <v>1161</v>
      </c>
      <c r="K10153" s="2">
        <v>1</v>
      </c>
      <c r="L10153" s="2">
        <v>305</v>
      </c>
    </row>
    <row r="10154" spans="1:12" x14ac:dyDescent="0.25">
      <c r="A10154" s="4" t="str">
        <f>HYPERLINK("http://www.rosaceae.org/Prunus/Prunus_persica/p.persica_gdr_reftransV1_0009824","p.persica_gdr_reftransV1_0009824")</f>
        <v>p.persica_gdr_reftransV1_0009824</v>
      </c>
      <c r="B10154" s="2">
        <v>2682</v>
      </c>
      <c r="C10154" s="4" t="str">
        <f>HYPERLINK("http://www.uniprot.org/uniprot/M5W4P6","M5W4P6")</f>
        <v>M5W4P6</v>
      </c>
      <c r="D10154" s="2" t="s">
        <v>8733</v>
      </c>
      <c r="E10154" s="3">
        <v>0</v>
      </c>
      <c r="F10154" s="2">
        <v>1490</v>
      </c>
      <c r="G10154" s="2">
        <v>98</v>
      </c>
      <c r="H10154" s="2">
        <v>313</v>
      </c>
      <c r="I10154" s="2">
        <v>1519</v>
      </c>
      <c r="J10154" s="2">
        <v>2457</v>
      </c>
      <c r="K10154" s="2">
        <v>109</v>
      </c>
      <c r="L10154" s="2">
        <v>421</v>
      </c>
    </row>
    <row r="10155" spans="1:12" x14ac:dyDescent="0.25">
      <c r="A10155" s="4" t="str">
        <f>HYPERLINK("http://www.rosaceae.org/Prunus/Prunus_persica/p.persica_gdr_reftransV1_0010524","p.persica_gdr_reftransV1_0010524")</f>
        <v>p.persica_gdr_reftransV1_0010524</v>
      </c>
      <c r="B10155" s="2">
        <v>1364</v>
      </c>
      <c r="C10155" s="4" t="str">
        <f>HYPERLINK("http://www.uniprot.org/uniprot/M5XD65","M5XD65")</f>
        <v>M5XD65</v>
      </c>
      <c r="D10155" s="2" t="s">
        <v>8734</v>
      </c>
      <c r="E10155" s="3">
        <v>0</v>
      </c>
      <c r="F10155" s="2">
        <v>1852</v>
      </c>
      <c r="G10155" s="2">
        <v>100</v>
      </c>
      <c r="H10155" s="2">
        <v>345</v>
      </c>
      <c r="I10155" s="2">
        <v>160</v>
      </c>
      <c r="J10155" s="2">
        <v>1194</v>
      </c>
      <c r="K10155" s="2">
        <v>1</v>
      </c>
      <c r="L10155" s="2">
        <v>345</v>
      </c>
    </row>
    <row r="10156" spans="1:12" x14ac:dyDescent="0.25">
      <c r="A10156" s="4" t="str">
        <f>HYPERLINK("http://www.rosaceae.org/Prunus/Prunus_persica/p.persica_gdr_reftransV1_0010874","p.persica_gdr_reftransV1_0010874")</f>
        <v>p.persica_gdr_reftransV1_0010874</v>
      </c>
      <c r="B10156" s="2">
        <v>2223</v>
      </c>
      <c r="C10156" s="4" t="str">
        <f>HYPERLINK("http://www.uniprot.org/uniprot/M5WXM5","M5WXM5")</f>
        <v>M5WXM5</v>
      </c>
      <c r="D10156" s="2" t="s">
        <v>1523</v>
      </c>
      <c r="E10156" s="3">
        <v>0</v>
      </c>
      <c r="F10156" s="2">
        <v>3148</v>
      </c>
      <c r="G10156" s="2">
        <v>100</v>
      </c>
      <c r="H10156" s="2">
        <v>618</v>
      </c>
      <c r="I10156" s="2">
        <v>368</v>
      </c>
      <c r="J10156" s="2">
        <v>2221</v>
      </c>
      <c r="K10156" s="2">
        <v>182</v>
      </c>
      <c r="L10156" s="2">
        <v>799</v>
      </c>
    </row>
    <row r="10157" spans="1:12" x14ac:dyDescent="0.25">
      <c r="A10157" s="4" t="str">
        <f>HYPERLINK("http://www.rosaceae.org/Prunus/Prunus_persica/p.persica_gdr_reftransV1_0011574","p.persica_gdr_reftransV1_0011574")</f>
        <v>p.persica_gdr_reftransV1_0011574</v>
      </c>
      <c r="B10157" s="2">
        <v>1348</v>
      </c>
      <c r="C10157" s="4" t="str">
        <f>HYPERLINK("http://www.uniprot.org/uniprot/M5WB51","M5WB51")</f>
        <v>M5WB51</v>
      </c>
      <c r="D10157" s="2" t="s">
        <v>3117</v>
      </c>
      <c r="E10157" s="3">
        <v>0</v>
      </c>
      <c r="F10157" s="2">
        <v>1643</v>
      </c>
      <c r="G10157" s="2">
        <v>100</v>
      </c>
      <c r="H10157" s="2">
        <v>327</v>
      </c>
      <c r="I10157" s="2">
        <v>1</v>
      </c>
      <c r="J10157" s="2">
        <v>981</v>
      </c>
      <c r="K10157" s="2">
        <v>75</v>
      </c>
      <c r="L10157" s="2">
        <v>401</v>
      </c>
    </row>
    <row r="10158" spans="1:12" x14ac:dyDescent="0.25">
      <c r="A10158" s="4" t="str">
        <f>HYPERLINK("http://www.rosaceae.org/Prunus/Prunus_persica/p.persica_gdr_reftransV1_0011924","p.persica_gdr_reftransV1_0011924")</f>
        <v>p.persica_gdr_reftransV1_0011924</v>
      </c>
      <c r="B10158" s="2">
        <v>3697</v>
      </c>
      <c r="C10158" s="4" t="str">
        <f>HYPERLINK("http://www.uniprot.org/uniprot/M5WR82","M5WR82")</f>
        <v>M5WR82</v>
      </c>
      <c r="D10158" s="2" t="s">
        <v>8735</v>
      </c>
      <c r="E10158" s="3">
        <v>0</v>
      </c>
      <c r="F10158" s="2">
        <v>3718</v>
      </c>
      <c r="G10158" s="2">
        <v>100</v>
      </c>
      <c r="H10158" s="2">
        <v>702</v>
      </c>
      <c r="I10158" s="2">
        <v>1171</v>
      </c>
      <c r="J10158" s="2">
        <v>3276</v>
      </c>
      <c r="K10158" s="2">
        <v>1</v>
      </c>
      <c r="L10158" s="2">
        <v>702</v>
      </c>
    </row>
    <row r="10159" spans="1:12" x14ac:dyDescent="0.25">
      <c r="A10159" s="4" t="str">
        <f>HYPERLINK("http://www.rosaceae.org/Prunus/Prunus_persica/p.persica_gdr_reftransV1_0012274","p.persica_gdr_reftransV1_0012274")</f>
        <v>p.persica_gdr_reftransV1_0012274</v>
      </c>
      <c r="B10159" s="2">
        <v>1686</v>
      </c>
      <c r="C10159" s="4" t="str">
        <f>HYPERLINK("http://www.uniprot.org/uniprot/M5WU89","M5WU89")</f>
        <v>M5WU89</v>
      </c>
      <c r="D10159" s="2" t="s">
        <v>8736</v>
      </c>
      <c r="E10159" s="3">
        <v>0</v>
      </c>
      <c r="F10159" s="2">
        <v>1418</v>
      </c>
      <c r="G10159" s="2">
        <v>100</v>
      </c>
      <c r="H10159" s="2">
        <v>356</v>
      </c>
      <c r="I10159" s="2">
        <v>401</v>
      </c>
      <c r="J10159" s="2">
        <v>1468</v>
      </c>
      <c r="K10159" s="2">
        <v>1</v>
      </c>
      <c r="L10159" s="2">
        <v>356</v>
      </c>
    </row>
    <row r="10160" spans="1:12" x14ac:dyDescent="0.25">
      <c r="A10160" s="4" t="str">
        <f>HYPERLINK("http://www.rosaceae.org/Prunus/Prunus_persica/p.persica_gdr_reftransV1_0013674","p.persica_gdr_reftransV1_0013674")</f>
        <v>p.persica_gdr_reftransV1_0013674</v>
      </c>
      <c r="B10160" s="2">
        <v>2967</v>
      </c>
      <c r="C10160" s="4" t="str">
        <f>HYPERLINK("http://www.uniprot.org/uniprot/M5WS33","M5WS33")</f>
        <v>M5WS33</v>
      </c>
      <c r="D10160" s="2" t="s">
        <v>8737</v>
      </c>
      <c r="E10160" s="3">
        <v>0</v>
      </c>
      <c r="F10160" s="2">
        <v>1708</v>
      </c>
      <c r="G10160" s="2">
        <v>100</v>
      </c>
      <c r="H10160" s="2">
        <v>340</v>
      </c>
      <c r="I10160" s="2">
        <v>1603</v>
      </c>
      <c r="J10160" s="2">
        <v>2622</v>
      </c>
      <c r="K10160" s="2">
        <v>240</v>
      </c>
      <c r="L10160" s="2">
        <v>579</v>
      </c>
    </row>
    <row r="10161" spans="1:12" x14ac:dyDescent="0.25">
      <c r="A10161" s="4" t="str">
        <f>HYPERLINK("http://www.rosaceae.org/Prunus/Prunus_persica/p.persica_gdr_reftransV1_0014024","p.persica_gdr_reftransV1_0014024")</f>
        <v>p.persica_gdr_reftransV1_0014024</v>
      </c>
      <c r="B10161" s="2">
        <v>1229</v>
      </c>
      <c r="C10161" s="4" t="str">
        <f>HYPERLINK("http://www.uniprot.org/uniprot/M5WXE7","M5WXE7")</f>
        <v>M5WXE7</v>
      </c>
      <c r="D10161" s="2" t="s">
        <v>8738</v>
      </c>
      <c r="E10161" s="3">
        <v>0</v>
      </c>
      <c r="F10161" s="2">
        <v>1818</v>
      </c>
      <c r="G10161" s="2">
        <v>98</v>
      </c>
      <c r="H10161" s="2">
        <v>399</v>
      </c>
      <c r="I10161" s="2">
        <v>1</v>
      </c>
      <c r="J10161" s="2">
        <v>1173</v>
      </c>
      <c r="K10161" s="2">
        <v>54</v>
      </c>
      <c r="L10161" s="2">
        <v>452</v>
      </c>
    </row>
    <row r="10162" spans="1:12" x14ac:dyDescent="0.25">
      <c r="A10162" s="4" t="str">
        <f>HYPERLINK("http://www.rosaceae.org/Prunus/Prunus_persica/p.persica_gdr_reftransV1_0014374","p.persica_gdr_reftransV1_0014374")</f>
        <v>p.persica_gdr_reftransV1_0014374</v>
      </c>
      <c r="B10162" s="2">
        <v>681</v>
      </c>
      <c r="C10162" s="4" t="str">
        <f>HYPERLINK("http://www.uniprot.org/uniprot/M5X609","M5X609")</f>
        <v>M5X609</v>
      </c>
      <c r="D10162" s="2" t="s">
        <v>8739</v>
      </c>
      <c r="E10162" s="3">
        <v>2.25E-143</v>
      </c>
      <c r="F10162" s="2">
        <v>1132</v>
      </c>
      <c r="G10162" s="2">
        <v>100</v>
      </c>
      <c r="H10162" s="2">
        <v>226</v>
      </c>
      <c r="I10162" s="2">
        <v>2</v>
      </c>
      <c r="J10162" s="2">
        <v>679</v>
      </c>
      <c r="K10162" s="2">
        <v>17</v>
      </c>
      <c r="L10162" s="2">
        <v>242</v>
      </c>
    </row>
    <row r="10163" spans="1:12" x14ac:dyDescent="0.25">
      <c r="A10163" s="4" t="str">
        <f>HYPERLINK("http://www.rosaceae.org/Prunus/Prunus_persica/p.persica_gdr_reftransV1_0014724","p.persica_gdr_reftransV1_0014724")</f>
        <v>p.persica_gdr_reftransV1_0014724</v>
      </c>
      <c r="B10163" s="2">
        <v>1573</v>
      </c>
      <c r="C10163" s="4" t="str">
        <f>HYPERLINK("http://www.uniprot.org/uniprot/M5WBB5","M5WBB5")</f>
        <v>M5WBB5</v>
      </c>
      <c r="D10163" s="2" t="s">
        <v>6266</v>
      </c>
      <c r="E10163" s="3">
        <v>0</v>
      </c>
      <c r="F10163" s="2">
        <v>1713</v>
      </c>
      <c r="G10163" s="2">
        <v>100</v>
      </c>
      <c r="H10163" s="2">
        <v>352</v>
      </c>
      <c r="I10163" s="2">
        <v>1</v>
      </c>
      <c r="J10163" s="2">
        <v>1056</v>
      </c>
      <c r="K10163" s="2">
        <v>1</v>
      </c>
      <c r="L10163" s="2">
        <v>352</v>
      </c>
    </row>
    <row r="10164" spans="1:12" x14ac:dyDescent="0.25">
      <c r="A10164" s="4" t="str">
        <f>HYPERLINK("http://www.rosaceae.org/Prunus/Prunus_persica/p.persica_gdr_reftransV1_0015074","p.persica_gdr_reftransV1_0015074")</f>
        <v>p.persica_gdr_reftransV1_0015074</v>
      </c>
      <c r="B10164" s="2">
        <v>1552</v>
      </c>
      <c r="C10164" s="4" t="str">
        <f>HYPERLINK("http://www.uniprot.org/uniprot/M5WGC9","M5WGC9")</f>
        <v>M5WGC9</v>
      </c>
      <c r="D10164" s="2" t="s">
        <v>8740</v>
      </c>
      <c r="E10164" s="3">
        <v>0</v>
      </c>
      <c r="F10164" s="2">
        <v>1426</v>
      </c>
      <c r="G10164" s="2">
        <v>100</v>
      </c>
      <c r="H10164" s="2">
        <v>313</v>
      </c>
      <c r="I10164" s="2">
        <v>479</v>
      </c>
      <c r="J10164" s="2">
        <v>1417</v>
      </c>
      <c r="K10164" s="2">
        <v>1</v>
      </c>
      <c r="L10164" s="2">
        <v>313</v>
      </c>
    </row>
    <row r="10165" spans="1:12" x14ac:dyDescent="0.25">
      <c r="A10165" s="4" t="str">
        <f>HYPERLINK("http://www.rosaceae.org/Prunus/Prunus_persica/p.persica_gdr_reftransV1_0016474","p.persica_gdr_reftransV1_0016474")</f>
        <v>p.persica_gdr_reftransV1_0016474</v>
      </c>
      <c r="B10165" s="2">
        <v>1990</v>
      </c>
      <c r="C10165" s="4" t="str">
        <f>HYPERLINK("http://www.uniprot.org/uniprot/M5WQI5","M5WQI5")</f>
        <v>M5WQI5</v>
      </c>
      <c r="D10165" s="2" t="s">
        <v>786</v>
      </c>
      <c r="E10165" s="3">
        <v>0</v>
      </c>
      <c r="F10165" s="2">
        <v>2953</v>
      </c>
      <c r="G10165" s="2">
        <v>99</v>
      </c>
      <c r="H10165" s="2">
        <v>560</v>
      </c>
      <c r="I10165" s="2">
        <v>1</v>
      </c>
      <c r="J10165" s="2">
        <v>1680</v>
      </c>
      <c r="K10165" s="2">
        <v>237</v>
      </c>
      <c r="L10165" s="2">
        <v>796</v>
      </c>
    </row>
    <row r="10166" spans="1:12" x14ac:dyDescent="0.25">
      <c r="A10166" s="4" t="str">
        <f>HYPERLINK("http://www.rosaceae.org/Prunus/Prunus_persica/p.persica_gdr_reftransV1_0017524","p.persica_gdr_reftransV1_0017524")</f>
        <v>p.persica_gdr_reftransV1_0017524</v>
      </c>
      <c r="B10166" s="2">
        <v>1666</v>
      </c>
      <c r="C10166" s="4" t="str">
        <f>HYPERLINK("http://www.uniprot.org/uniprot/M5X5T2","M5X5T2")</f>
        <v>M5X5T2</v>
      </c>
      <c r="D10166" s="2" t="s">
        <v>3832</v>
      </c>
      <c r="E10166" s="3">
        <v>1.49E-136</v>
      </c>
      <c r="F10166" s="2">
        <v>1056</v>
      </c>
      <c r="G10166" s="2">
        <v>100</v>
      </c>
      <c r="H10166" s="2">
        <v>231</v>
      </c>
      <c r="I10166" s="2">
        <v>661</v>
      </c>
      <c r="J10166" s="2">
        <v>1353</v>
      </c>
      <c r="K10166" s="2">
        <v>92</v>
      </c>
      <c r="L10166" s="2">
        <v>322</v>
      </c>
    </row>
    <row r="10167" spans="1:12" x14ac:dyDescent="0.25">
      <c r="A10167" s="4" t="str">
        <f>HYPERLINK("http://www.rosaceae.org/Prunus/Prunus_persica/p.persica_gdr_reftransV1_0020324","p.persica_gdr_reftransV1_0020324")</f>
        <v>p.persica_gdr_reftransV1_0020324</v>
      </c>
      <c r="B10167" s="2">
        <v>1498</v>
      </c>
      <c r="C10167" s="4" t="str">
        <f>HYPERLINK("http://www.uniprot.org/uniprot/M5VKJ8","M5VKJ8")</f>
        <v>M5VKJ8</v>
      </c>
      <c r="D10167" s="2" t="s">
        <v>8741</v>
      </c>
      <c r="E10167" s="3">
        <v>1.12E-76</v>
      </c>
      <c r="F10167" s="2">
        <v>642</v>
      </c>
      <c r="G10167" s="2">
        <v>100</v>
      </c>
      <c r="H10167" s="2">
        <v>144</v>
      </c>
      <c r="I10167" s="2">
        <v>201</v>
      </c>
      <c r="J10167" s="2">
        <v>632</v>
      </c>
      <c r="K10167" s="2">
        <v>1</v>
      </c>
      <c r="L10167" s="2">
        <v>144</v>
      </c>
    </row>
    <row r="10168" spans="1:12" x14ac:dyDescent="0.25">
      <c r="A10168" s="4" t="str">
        <f>HYPERLINK("http://www.rosaceae.org/Prunus/Prunus_persica/p.persica_gdr_reftransV1_0021024","p.persica_gdr_reftransV1_0021024")</f>
        <v>p.persica_gdr_reftransV1_0021024</v>
      </c>
      <c r="B10168" s="2">
        <v>1628</v>
      </c>
      <c r="C10168" s="4" t="str">
        <f>HYPERLINK("http://www.uniprot.org/uniprot/D9ZIX1","D9ZIX1")</f>
        <v>D9ZIX1</v>
      </c>
      <c r="D10168" s="2" t="s">
        <v>8742</v>
      </c>
      <c r="E10168" s="3">
        <v>1.0300000000000001E-109</v>
      </c>
      <c r="F10168" s="2">
        <v>863</v>
      </c>
      <c r="G10168" s="2">
        <v>89</v>
      </c>
      <c r="H10168" s="2">
        <v>185</v>
      </c>
      <c r="I10168" s="2">
        <v>381</v>
      </c>
      <c r="J10168" s="2">
        <v>932</v>
      </c>
      <c r="K10168" s="2">
        <v>1</v>
      </c>
      <c r="L10168" s="2">
        <v>185</v>
      </c>
    </row>
    <row r="10169" spans="1:12" x14ac:dyDescent="0.25">
      <c r="A10169" s="4" t="str">
        <f>HYPERLINK("http://www.rosaceae.org/Prunus/Prunus_persica/p.persica_gdr_reftransV1_0021724","p.persica_gdr_reftransV1_0021724")</f>
        <v>p.persica_gdr_reftransV1_0021724</v>
      </c>
      <c r="B10169" s="2">
        <v>1016</v>
      </c>
      <c r="C10169" s="4" t="str">
        <f>HYPERLINK("http://www.uniprot.org/uniprot/M5WU46","M5WU46")</f>
        <v>M5WU46</v>
      </c>
      <c r="D10169" s="2" t="s">
        <v>8743</v>
      </c>
      <c r="E10169" s="3">
        <v>3.02E-41</v>
      </c>
      <c r="F10169" s="2">
        <v>377</v>
      </c>
      <c r="G10169" s="2">
        <v>100</v>
      </c>
      <c r="H10169" s="2">
        <v>74</v>
      </c>
      <c r="I10169" s="2">
        <v>526</v>
      </c>
      <c r="J10169" s="2">
        <v>747</v>
      </c>
      <c r="K10169" s="2">
        <v>1</v>
      </c>
      <c r="L10169" s="2">
        <v>74</v>
      </c>
    </row>
    <row r="10170" spans="1:12" x14ac:dyDescent="0.25">
      <c r="A10170" s="4" t="str">
        <f>HYPERLINK("http://www.rosaceae.org/Prunus/Prunus_persica/p.persica_gdr_reftransV1_0023474","p.persica_gdr_reftransV1_0023474")</f>
        <v>p.persica_gdr_reftransV1_0023474</v>
      </c>
      <c r="B10170" s="2">
        <v>1799</v>
      </c>
      <c r="C10170" s="4" t="str">
        <f>HYPERLINK("http://www.uniprot.org/uniprot/M5VJ49","M5VJ49")</f>
        <v>M5VJ49</v>
      </c>
      <c r="D10170" s="2" t="s">
        <v>8744</v>
      </c>
      <c r="E10170" s="3">
        <v>0</v>
      </c>
      <c r="F10170" s="2">
        <v>1764</v>
      </c>
      <c r="G10170" s="2">
        <v>100</v>
      </c>
      <c r="H10170" s="2">
        <v>371</v>
      </c>
      <c r="I10170" s="2">
        <v>525</v>
      </c>
      <c r="J10170" s="2">
        <v>1637</v>
      </c>
      <c r="K10170" s="2">
        <v>1</v>
      </c>
      <c r="L10170" s="2">
        <v>371</v>
      </c>
    </row>
    <row r="10171" spans="1:12" x14ac:dyDescent="0.25">
      <c r="A10171" s="4" t="str">
        <f>HYPERLINK("http://www.rosaceae.org/Prunus/Prunus_persica/p.persica_gdr_reftransV1_0024174","p.persica_gdr_reftransV1_0024174")</f>
        <v>p.persica_gdr_reftransV1_0024174</v>
      </c>
      <c r="B10171" s="2">
        <v>1763</v>
      </c>
      <c r="C10171" s="4" t="str">
        <f>HYPERLINK("http://www.uniprot.org/uniprot/M5VVZ4","M5VVZ4")</f>
        <v>M5VVZ4</v>
      </c>
      <c r="D10171" s="2" t="s">
        <v>8745</v>
      </c>
      <c r="E10171" s="3">
        <v>0</v>
      </c>
      <c r="F10171" s="2">
        <v>1833</v>
      </c>
      <c r="G10171" s="2">
        <v>100</v>
      </c>
      <c r="H10171" s="2">
        <v>399</v>
      </c>
      <c r="I10171" s="2">
        <v>246</v>
      </c>
      <c r="J10171" s="2">
        <v>1442</v>
      </c>
      <c r="K10171" s="2">
        <v>1</v>
      </c>
      <c r="L10171" s="2">
        <v>399</v>
      </c>
    </row>
    <row r="10172" spans="1:12" x14ac:dyDescent="0.25">
      <c r="A10172" s="4" t="str">
        <f>HYPERLINK("http://www.rosaceae.org/Prunus/Prunus_persica/p.persica_gdr_reftransV1_0026624","p.persica_gdr_reftransV1_0026624")</f>
        <v>p.persica_gdr_reftransV1_0026624</v>
      </c>
      <c r="B10172" s="2">
        <v>2135</v>
      </c>
      <c r="C10172" s="4" t="str">
        <f>HYPERLINK("http://www.uniprot.org/uniprot/A0A061GKP1","A0A061GKP1")</f>
        <v>A0A061GKP1</v>
      </c>
      <c r="D10172" s="2" t="s">
        <v>2316</v>
      </c>
      <c r="E10172" s="3">
        <v>0</v>
      </c>
      <c r="F10172" s="2">
        <v>2032</v>
      </c>
      <c r="G10172" s="2">
        <v>80</v>
      </c>
      <c r="H10172" s="2">
        <v>458</v>
      </c>
      <c r="I10172" s="2">
        <v>296</v>
      </c>
      <c r="J10172" s="2">
        <v>1666</v>
      </c>
      <c r="K10172" s="2">
        <v>6</v>
      </c>
      <c r="L10172" s="2">
        <v>463</v>
      </c>
    </row>
    <row r="10173" spans="1:12" x14ac:dyDescent="0.25">
      <c r="A10173" s="4" t="str">
        <f>HYPERLINK("http://www.rosaceae.org/Prunus/Prunus_persica/p.persica_gdr_reftransV1_0027324","p.persica_gdr_reftransV1_0027324")</f>
        <v>p.persica_gdr_reftransV1_0027324</v>
      </c>
      <c r="B10173" s="2">
        <v>1627</v>
      </c>
      <c r="C10173" s="4" t="str">
        <f>HYPERLINK("http://www.uniprot.org/uniprot/M5VRA5","M5VRA5")</f>
        <v>M5VRA5</v>
      </c>
      <c r="D10173" s="2" t="s">
        <v>8746</v>
      </c>
      <c r="E10173" s="3">
        <v>1.56E-117</v>
      </c>
      <c r="F10173" s="2">
        <v>915</v>
      </c>
      <c r="G10173" s="2">
        <v>100</v>
      </c>
      <c r="H10173" s="2">
        <v>182</v>
      </c>
      <c r="I10173" s="2">
        <v>647</v>
      </c>
      <c r="J10173" s="2">
        <v>1192</v>
      </c>
      <c r="K10173" s="2">
        <v>1</v>
      </c>
      <c r="L10173" s="2">
        <v>182</v>
      </c>
    </row>
    <row r="10174" spans="1:12" x14ac:dyDescent="0.25">
      <c r="A10174" s="4" t="str">
        <f>HYPERLINK("http://www.rosaceae.org/Prunus/Prunus_persica/p.persica_gdr_reftransV1_0027674","p.persica_gdr_reftransV1_0027674")</f>
        <v>p.persica_gdr_reftransV1_0027674</v>
      </c>
      <c r="B10174" s="2">
        <v>2065</v>
      </c>
      <c r="C10174" s="4" t="str">
        <f>HYPERLINK("http://www.uniprot.org/uniprot/M5XCK1","M5XCK1")</f>
        <v>M5XCK1</v>
      </c>
      <c r="D10174" s="2" t="s">
        <v>8747</v>
      </c>
      <c r="E10174" s="3">
        <v>0</v>
      </c>
      <c r="F10174" s="2">
        <v>1652</v>
      </c>
      <c r="G10174" s="2">
        <v>100</v>
      </c>
      <c r="H10174" s="2">
        <v>330</v>
      </c>
      <c r="I10174" s="2">
        <v>975</v>
      </c>
      <c r="J10174" s="2">
        <v>1964</v>
      </c>
      <c r="K10174" s="2">
        <v>1</v>
      </c>
      <c r="L10174" s="2">
        <v>330</v>
      </c>
    </row>
    <row r="10175" spans="1:12" x14ac:dyDescent="0.25">
      <c r="A10175" s="4" t="str">
        <f>HYPERLINK("http://www.rosaceae.org/Prunus/Prunus_persica/p.persica_gdr_reftransV1_0031174","p.persica_gdr_reftransV1_0031174")</f>
        <v>p.persica_gdr_reftransV1_0031174</v>
      </c>
      <c r="B10175" s="2">
        <v>1941</v>
      </c>
      <c r="C10175" s="4" t="str">
        <f>HYPERLINK("http://www.uniprot.org/uniprot/M5WSS0","M5WSS0")</f>
        <v>M5WSS0</v>
      </c>
      <c r="D10175" s="2" t="s">
        <v>8748</v>
      </c>
      <c r="E10175" s="3">
        <v>3.1399999999999999E-104</v>
      </c>
      <c r="F10175" s="2">
        <v>834</v>
      </c>
      <c r="G10175" s="2">
        <v>100</v>
      </c>
      <c r="H10175" s="2">
        <v>173</v>
      </c>
      <c r="I10175" s="2">
        <v>464</v>
      </c>
      <c r="J10175" s="2">
        <v>982</v>
      </c>
      <c r="K10175" s="2">
        <v>1</v>
      </c>
      <c r="L10175" s="2">
        <v>173</v>
      </c>
    </row>
    <row r="10176" spans="1:12" x14ac:dyDescent="0.25">
      <c r="A10176" s="4" t="str">
        <f>HYPERLINK("http://www.rosaceae.org/Prunus/Prunus_persica/p.persica_gdr_reftransV1_0032924","p.persica_gdr_reftransV1_0032924")</f>
        <v>p.persica_gdr_reftransV1_0032924</v>
      </c>
      <c r="B10176" s="2">
        <v>1642</v>
      </c>
      <c r="C10176" s="4" t="str">
        <f>HYPERLINK("http://www.uniprot.org/uniprot/M5XK50","M5XK50")</f>
        <v>M5XK50</v>
      </c>
      <c r="D10176" s="2" t="s">
        <v>8749</v>
      </c>
      <c r="E10176" s="3">
        <v>0</v>
      </c>
      <c r="F10176" s="2">
        <v>1419</v>
      </c>
      <c r="G10176" s="2">
        <v>100</v>
      </c>
      <c r="H10176" s="2">
        <v>323</v>
      </c>
      <c r="I10176" s="2">
        <v>246</v>
      </c>
      <c r="J10176" s="2">
        <v>1214</v>
      </c>
      <c r="K10176" s="2">
        <v>32</v>
      </c>
      <c r="L10176" s="2">
        <v>354</v>
      </c>
    </row>
    <row r="10177" spans="1:12" x14ac:dyDescent="0.25">
      <c r="A10177" s="4" t="str">
        <f>HYPERLINK("http://www.rosaceae.org/Prunus/Prunus_persica/p.persica_gdr_reftransV1_0040624","p.persica_gdr_reftransV1_0040624")</f>
        <v>p.persica_gdr_reftransV1_0040624</v>
      </c>
      <c r="B10177" s="2">
        <v>430</v>
      </c>
      <c r="C10177" s="4" t="str">
        <f>HYPERLINK("http://www.uniprot.org/uniprot/M5W2X0","M5W2X0")</f>
        <v>M5W2X0</v>
      </c>
      <c r="D10177" s="2" t="s">
        <v>8750</v>
      </c>
      <c r="E10177" s="3">
        <v>1.52E-87</v>
      </c>
      <c r="F10177" s="2">
        <v>686</v>
      </c>
      <c r="G10177" s="2">
        <v>100</v>
      </c>
      <c r="H10177" s="2">
        <v>129</v>
      </c>
      <c r="I10177" s="2">
        <v>1</v>
      </c>
      <c r="J10177" s="2">
        <v>387</v>
      </c>
      <c r="K10177" s="2">
        <v>160</v>
      </c>
      <c r="L10177" s="2">
        <v>288</v>
      </c>
    </row>
    <row r="10178" spans="1:12" x14ac:dyDescent="0.25">
      <c r="A10178" s="4" t="str">
        <f>HYPERLINK("http://www.rosaceae.org/Prunus/Prunus_persica/p.persica_gdr_reftransV1_0041324","p.persica_gdr_reftransV1_0041324")</f>
        <v>p.persica_gdr_reftransV1_0041324</v>
      </c>
      <c r="B10178" s="2">
        <v>2189</v>
      </c>
      <c r="C10178" s="4" t="str">
        <f>HYPERLINK("http://www.uniprot.org/uniprot/M5XGF6","M5XGF6")</f>
        <v>M5XGF6</v>
      </c>
      <c r="D10178" s="2" t="s">
        <v>8751</v>
      </c>
      <c r="E10178" s="3">
        <v>0</v>
      </c>
      <c r="F10178" s="2">
        <v>1963</v>
      </c>
      <c r="G10178" s="2">
        <v>100</v>
      </c>
      <c r="H10178" s="2">
        <v>366</v>
      </c>
      <c r="I10178" s="2">
        <v>765</v>
      </c>
      <c r="J10178" s="2">
        <v>1862</v>
      </c>
      <c r="K10178" s="2">
        <v>1</v>
      </c>
      <c r="L10178" s="2">
        <v>366</v>
      </c>
    </row>
    <row r="10179" spans="1:12" x14ac:dyDescent="0.25">
      <c r="A10179" s="4" t="str">
        <f>HYPERLINK("http://www.rosaceae.org/Prunus/Prunus_persica/p.persica_gdr_reftransV1_0042024","p.persica_gdr_reftransV1_0042024")</f>
        <v>p.persica_gdr_reftransV1_0042024</v>
      </c>
      <c r="B10179" s="2">
        <v>5259</v>
      </c>
      <c r="C10179" s="4" t="str">
        <f>HYPERLINK("http://www.uniprot.org/uniprot/M5XGU3","M5XGU3")</f>
        <v>M5XGU3</v>
      </c>
      <c r="D10179" s="2" t="s">
        <v>8752</v>
      </c>
      <c r="E10179" s="3">
        <v>0</v>
      </c>
      <c r="F10179" s="2">
        <v>2372</v>
      </c>
      <c r="G10179" s="2">
        <v>100</v>
      </c>
      <c r="H10179" s="2">
        <v>491</v>
      </c>
      <c r="I10179" s="2">
        <v>2599</v>
      </c>
      <c r="J10179" s="2">
        <v>4071</v>
      </c>
      <c r="K10179" s="2">
        <v>1</v>
      </c>
      <c r="L10179" s="2">
        <v>491</v>
      </c>
    </row>
    <row r="10180" spans="1:12" x14ac:dyDescent="0.25">
      <c r="A10180" s="4" t="str">
        <f>HYPERLINK("http://www.rosaceae.org/Prunus/Prunus_persica/p.persica_gdr_reftransV1_0042374","p.persica_gdr_reftransV1_0042374")</f>
        <v>p.persica_gdr_reftransV1_0042374</v>
      </c>
      <c r="B10180" s="2">
        <v>1311</v>
      </c>
      <c r="C10180" s="4" t="str">
        <f>HYPERLINK("http://www.uniprot.org/uniprot/M5XF20","M5XF20")</f>
        <v>M5XF20</v>
      </c>
      <c r="D10180" s="2" t="s">
        <v>6207</v>
      </c>
      <c r="E10180" s="3">
        <v>8.7499999999999996E-118</v>
      </c>
      <c r="F10180" s="2">
        <v>907</v>
      </c>
      <c r="G10180" s="2">
        <v>85</v>
      </c>
      <c r="H10180" s="2">
        <v>221</v>
      </c>
      <c r="I10180" s="2">
        <v>268</v>
      </c>
      <c r="J10180" s="2">
        <v>930</v>
      </c>
      <c r="K10180" s="2">
        <v>1</v>
      </c>
      <c r="L10180" s="2">
        <v>188</v>
      </c>
    </row>
    <row r="10181" spans="1:12" x14ac:dyDescent="0.25">
      <c r="A10181" s="4" t="str">
        <f>HYPERLINK("http://www.rosaceae.org/Prunus/Prunus_persica/p.persica_gdr_reftransV1_0042724","p.persica_gdr_reftransV1_0042724")</f>
        <v>p.persica_gdr_reftransV1_0042724</v>
      </c>
      <c r="B10181" s="2">
        <v>2378</v>
      </c>
      <c r="C10181" s="4" t="str">
        <f>HYPERLINK("http://www.uniprot.org/uniprot/M5XJK2","M5XJK2")</f>
        <v>M5XJK2</v>
      </c>
      <c r="D10181" s="2" t="s">
        <v>8753</v>
      </c>
      <c r="E10181" s="3">
        <v>0</v>
      </c>
      <c r="F10181" s="2">
        <v>1678</v>
      </c>
      <c r="G10181" s="2">
        <v>100</v>
      </c>
      <c r="H10181" s="2">
        <v>314</v>
      </c>
      <c r="I10181" s="2">
        <v>1435</v>
      </c>
      <c r="J10181" s="2">
        <v>2376</v>
      </c>
      <c r="K10181" s="2">
        <v>82</v>
      </c>
      <c r="L10181" s="2">
        <v>395</v>
      </c>
    </row>
    <row r="10182" spans="1:12" x14ac:dyDescent="0.25">
      <c r="A10182" s="4" t="str">
        <f>HYPERLINK("http://www.rosaceae.org/Prunus/Prunus_persica/p.persica_gdr_reftransV1_0043074","p.persica_gdr_reftransV1_0043074")</f>
        <v>p.persica_gdr_reftransV1_0043074</v>
      </c>
      <c r="B10182" s="2">
        <v>1468</v>
      </c>
      <c r="C10182" s="4" t="str">
        <f>HYPERLINK("http://www.uniprot.org/uniprot/M5WYX3","M5WYX3")</f>
        <v>M5WYX3</v>
      </c>
      <c r="D10182" s="2" t="s">
        <v>8754</v>
      </c>
      <c r="E10182" s="3">
        <v>0</v>
      </c>
      <c r="F10182" s="2">
        <v>2114</v>
      </c>
      <c r="G10182" s="2">
        <v>100</v>
      </c>
      <c r="H10182" s="2">
        <v>420</v>
      </c>
      <c r="I10182" s="2">
        <v>134</v>
      </c>
      <c r="J10182" s="2">
        <v>1393</v>
      </c>
      <c r="K10182" s="2">
        <v>1</v>
      </c>
      <c r="L10182" s="2">
        <v>420</v>
      </c>
    </row>
    <row r="10183" spans="1:12" x14ac:dyDescent="0.25">
      <c r="A10183" s="4" t="str">
        <f>HYPERLINK("http://www.rosaceae.org/Prunus/Prunus_persica/p.persica_gdr_reftransV1_0043424","p.persica_gdr_reftransV1_0043424")</f>
        <v>p.persica_gdr_reftransV1_0043424</v>
      </c>
      <c r="B10183" s="2">
        <v>1193</v>
      </c>
      <c r="C10183" s="4" t="str">
        <f>HYPERLINK("http://www.uniprot.org/uniprot/M5XW30","M5XW30")</f>
        <v>M5XW30</v>
      </c>
      <c r="D10183" s="2" t="s">
        <v>8755</v>
      </c>
      <c r="E10183" s="3">
        <v>0</v>
      </c>
      <c r="F10183" s="2">
        <v>1548</v>
      </c>
      <c r="G10183" s="2">
        <v>100</v>
      </c>
      <c r="H10183" s="2">
        <v>292</v>
      </c>
      <c r="I10183" s="2">
        <v>97</v>
      </c>
      <c r="J10183" s="2">
        <v>972</v>
      </c>
      <c r="K10183" s="2">
        <v>1</v>
      </c>
      <c r="L10183" s="2">
        <v>292</v>
      </c>
    </row>
    <row r="10184" spans="1:12" x14ac:dyDescent="0.25">
      <c r="A10184" s="4" t="str">
        <f>HYPERLINK("http://www.rosaceae.org/Prunus/Prunus_persica/p.persica_gdr_reftransV1_0043774","p.persica_gdr_reftransV1_0043774")</f>
        <v>p.persica_gdr_reftransV1_0043774</v>
      </c>
      <c r="B10184" s="2">
        <v>914</v>
      </c>
      <c r="C10184" s="4" t="str">
        <f>HYPERLINK("http://www.uniprot.org/uniprot/M5WE45","M5WE45")</f>
        <v>M5WE45</v>
      </c>
      <c r="D10184" s="2" t="s">
        <v>5517</v>
      </c>
      <c r="E10184" s="3">
        <v>0</v>
      </c>
      <c r="F10184" s="2">
        <v>1559</v>
      </c>
      <c r="G10184" s="2">
        <v>100</v>
      </c>
      <c r="H10184" s="2">
        <v>304</v>
      </c>
      <c r="I10184" s="2">
        <v>2</v>
      </c>
      <c r="J10184" s="2">
        <v>913</v>
      </c>
      <c r="K10184" s="2">
        <v>165</v>
      </c>
      <c r="L10184" s="2">
        <v>468</v>
      </c>
    </row>
    <row r="10185" spans="1:12" x14ac:dyDescent="0.25">
      <c r="A10185" s="4" t="str">
        <f>HYPERLINK("http://www.rosaceae.org/Prunus/Prunus_persica/p.persica_gdr_reftransV1_0044124","p.persica_gdr_reftransV1_0044124")</f>
        <v>p.persica_gdr_reftransV1_0044124</v>
      </c>
      <c r="B10185" s="2">
        <v>1775</v>
      </c>
      <c r="C10185" s="4" t="str">
        <f>HYPERLINK("http://www.uniprot.org/uniprot/M5WAU1","M5WAU1")</f>
        <v>M5WAU1</v>
      </c>
      <c r="D10185" s="2" t="s">
        <v>8756</v>
      </c>
      <c r="E10185" s="3">
        <v>0</v>
      </c>
      <c r="F10185" s="2">
        <v>1917</v>
      </c>
      <c r="G10185" s="2">
        <v>100</v>
      </c>
      <c r="H10185" s="2">
        <v>454</v>
      </c>
      <c r="I10185" s="2">
        <v>92</v>
      </c>
      <c r="J10185" s="2">
        <v>1453</v>
      </c>
      <c r="K10185" s="2">
        <v>1</v>
      </c>
      <c r="L10185" s="2">
        <v>454</v>
      </c>
    </row>
    <row r="10186" spans="1:12" x14ac:dyDescent="0.25">
      <c r="A10186" s="4" t="str">
        <f>HYPERLINK("http://www.rosaceae.org/Prunus/Prunus_persica/p.persica_gdr_reftransV1_0044474","p.persica_gdr_reftransV1_0044474")</f>
        <v>p.persica_gdr_reftransV1_0044474</v>
      </c>
      <c r="B10186" s="2">
        <v>1188</v>
      </c>
      <c r="C10186" s="4" t="str">
        <f>HYPERLINK("http://www.uniprot.org/uniprot/M5XFT3","M5XFT3")</f>
        <v>M5XFT3</v>
      </c>
      <c r="D10186" s="2" t="s">
        <v>8757</v>
      </c>
      <c r="E10186" s="3">
        <v>5.4699999999999999E-67</v>
      </c>
      <c r="F10186" s="2">
        <v>563</v>
      </c>
      <c r="G10186" s="2">
        <v>100</v>
      </c>
      <c r="H10186" s="2">
        <v>167</v>
      </c>
      <c r="I10186" s="2">
        <v>514</v>
      </c>
      <c r="J10186" s="2">
        <v>1014</v>
      </c>
      <c r="K10186" s="2">
        <v>1</v>
      </c>
      <c r="L10186" s="2">
        <v>167</v>
      </c>
    </row>
    <row r="10187" spans="1:12" x14ac:dyDescent="0.25">
      <c r="A10187" s="4" t="str">
        <f>HYPERLINK("http://www.rosaceae.org/Prunus/Prunus_persica/p.persica_gdr_reftransV1_0045174","p.persica_gdr_reftransV1_0045174")</f>
        <v>p.persica_gdr_reftransV1_0045174</v>
      </c>
      <c r="B10187" s="2">
        <v>1357</v>
      </c>
      <c r="C10187" s="4" t="str">
        <f>HYPERLINK("http://www.uniprot.org/uniprot/M5W9Y1","M5W9Y1")</f>
        <v>M5W9Y1</v>
      </c>
      <c r="D10187" s="2" t="s">
        <v>8758</v>
      </c>
      <c r="E10187" s="3">
        <v>5.0999999999999996E-156</v>
      </c>
      <c r="F10187" s="2">
        <v>829</v>
      </c>
      <c r="G10187" s="2">
        <v>94</v>
      </c>
      <c r="H10187" s="2">
        <v>186</v>
      </c>
      <c r="I10187" s="2">
        <v>741</v>
      </c>
      <c r="J10187" s="2">
        <v>1298</v>
      </c>
      <c r="K10187" s="2">
        <v>1</v>
      </c>
      <c r="L10187" s="2">
        <v>186</v>
      </c>
    </row>
    <row r="10188" spans="1:12" x14ac:dyDescent="0.25">
      <c r="A10188" s="4" t="str">
        <f>HYPERLINK("http://www.rosaceae.org/Prunus/Prunus_persica/p.persica_gdr_reftransV1_0045524","p.persica_gdr_reftransV1_0045524")</f>
        <v>p.persica_gdr_reftransV1_0045524</v>
      </c>
      <c r="B10188" s="2">
        <v>1152</v>
      </c>
      <c r="C10188" s="4" t="str">
        <f>HYPERLINK("http://www.uniprot.org/uniprot/M5XYL0","M5XYL0")</f>
        <v>M5XYL0</v>
      </c>
      <c r="D10188" s="2" t="s">
        <v>5644</v>
      </c>
      <c r="E10188" s="3">
        <v>0</v>
      </c>
      <c r="F10188" s="2">
        <v>1612</v>
      </c>
      <c r="G10188" s="2">
        <v>100</v>
      </c>
      <c r="H10188" s="2">
        <v>324</v>
      </c>
      <c r="I10188" s="2">
        <v>180</v>
      </c>
      <c r="J10188" s="2">
        <v>1151</v>
      </c>
      <c r="K10188" s="2">
        <v>194</v>
      </c>
      <c r="L10188" s="2">
        <v>517</v>
      </c>
    </row>
    <row r="10189" spans="1:12" x14ac:dyDescent="0.25">
      <c r="A10189" s="4" t="str">
        <f>HYPERLINK("http://www.rosaceae.org/Prunus/Prunus_persica/p.persica_gdr_reftransV1_0045874","p.persica_gdr_reftransV1_0045874")</f>
        <v>p.persica_gdr_reftransV1_0045874</v>
      </c>
      <c r="B10189" s="2">
        <v>614</v>
      </c>
      <c r="C10189" s="4" t="str">
        <f>HYPERLINK("http://www.uniprot.org/uniprot/M5WVW1","M5WVW1")</f>
        <v>M5WVW1</v>
      </c>
      <c r="D10189" s="2" t="s">
        <v>7581</v>
      </c>
      <c r="E10189" s="3">
        <v>9.0200000000000005E-86</v>
      </c>
      <c r="F10189" s="2">
        <v>674</v>
      </c>
      <c r="G10189" s="2">
        <v>100</v>
      </c>
      <c r="H10189" s="2">
        <v>178</v>
      </c>
      <c r="I10189" s="2">
        <v>2</v>
      </c>
      <c r="J10189" s="2">
        <v>535</v>
      </c>
      <c r="K10189" s="2">
        <v>1</v>
      </c>
      <c r="L10189" s="2">
        <v>178</v>
      </c>
    </row>
    <row r="10190" spans="1:12" x14ac:dyDescent="0.25">
      <c r="A10190" s="4" t="str">
        <f>HYPERLINK("http://www.rosaceae.org/Prunus/Prunus_persica/p.persica_gdr_reftransV1_0046574","p.persica_gdr_reftransV1_0046574")</f>
        <v>p.persica_gdr_reftransV1_0046574</v>
      </c>
      <c r="B10190" s="2">
        <v>3373</v>
      </c>
      <c r="C10190" s="4" t="str">
        <f>HYPERLINK("http://www.uniprot.org/uniprot/M5VIB3","M5VIB3")</f>
        <v>M5VIB3</v>
      </c>
      <c r="D10190" s="2" t="s">
        <v>8759</v>
      </c>
      <c r="E10190" s="3">
        <v>0</v>
      </c>
      <c r="F10190" s="2">
        <v>4093</v>
      </c>
      <c r="G10190" s="2">
        <v>100</v>
      </c>
      <c r="H10190" s="2">
        <v>837</v>
      </c>
      <c r="I10190" s="2">
        <v>399</v>
      </c>
      <c r="J10190" s="2">
        <v>2909</v>
      </c>
      <c r="K10190" s="2">
        <v>1</v>
      </c>
      <c r="L10190" s="2">
        <v>837</v>
      </c>
    </row>
    <row r="10191" spans="1:12" x14ac:dyDescent="0.25">
      <c r="A10191" s="4" t="str">
        <f>HYPERLINK("http://www.rosaceae.org/Prunus/Prunus_persica/p.persica_gdr_reftransV1_0047274","p.persica_gdr_reftransV1_0047274")</f>
        <v>p.persica_gdr_reftransV1_0047274</v>
      </c>
      <c r="B10191" s="2">
        <v>653</v>
      </c>
      <c r="C10191" s="4" t="str">
        <f>HYPERLINK("http://www.uniprot.org/uniprot/M5X3R3","M5X3R3")</f>
        <v>M5X3R3</v>
      </c>
      <c r="D10191" s="2" t="s">
        <v>8760</v>
      </c>
      <c r="E10191" s="3">
        <v>1.0499999999999999E-136</v>
      </c>
      <c r="F10191" s="2">
        <v>1055</v>
      </c>
      <c r="G10191" s="2">
        <v>100</v>
      </c>
      <c r="H10191" s="2">
        <v>199</v>
      </c>
      <c r="I10191" s="2">
        <v>56</v>
      </c>
      <c r="J10191" s="2">
        <v>652</v>
      </c>
      <c r="K10191" s="2">
        <v>1</v>
      </c>
      <c r="L10191" s="2">
        <v>199</v>
      </c>
    </row>
    <row r="10192" spans="1:12" x14ac:dyDescent="0.25">
      <c r="A10192" s="4" t="str">
        <f>HYPERLINK("http://www.rosaceae.org/Prunus/Prunus_persica/p.persica_gdr_reftransV1_0047624","p.persica_gdr_reftransV1_0047624")</f>
        <v>p.persica_gdr_reftransV1_0047624</v>
      </c>
      <c r="B10192" s="2">
        <v>770</v>
      </c>
      <c r="C10192" s="4" t="str">
        <f>HYPERLINK("http://www.uniprot.org/uniprot/M5WIG9","M5WIG9")</f>
        <v>M5WIG9</v>
      </c>
      <c r="D10192" s="2" t="s">
        <v>8761</v>
      </c>
      <c r="E10192" s="3">
        <v>1.9000000000000001E-101</v>
      </c>
      <c r="F10192" s="2">
        <v>798</v>
      </c>
      <c r="G10192" s="2">
        <v>100</v>
      </c>
      <c r="H10192" s="2">
        <v>162</v>
      </c>
      <c r="I10192" s="2">
        <v>284</v>
      </c>
      <c r="J10192" s="2">
        <v>769</v>
      </c>
      <c r="K10192" s="2">
        <v>204</v>
      </c>
      <c r="L10192" s="2">
        <v>365</v>
      </c>
    </row>
    <row r="10193" spans="1:12" x14ac:dyDescent="0.25">
      <c r="A10193" s="4" t="str">
        <f>HYPERLINK("http://www.rosaceae.org/Prunus/Prunus_persica/p.persica_gdr_reftransV1_0047974","p.persica_gdr_reftransV1_0047974")</f>
        <v>p.persica_gdr_reftransV1_0047974</v>
      </c>
      <c r="B10193" s="2">
        <v>2878</v>
      </c>
      <c r="C10193" s="4" t="str">
        <f>HYPERLINK("http://www.uniprot.org/uniprot/M5XKN8","M5XKN8")</f>
        <v>M5XKN8</v>
      </c>
      <c r="D10193" s="2" t="s">
        <v>8762</v>
      </c>
      <c r="E10193" s="3">
        <v>0</v>
      </c>
      <c r="F10193" s="2">
        <v>3312</v>
      </c>
      <c r="G10193" s="2">
        <v>95</v>
      </c>
      <c r="H10193" s="2">
        <v>678</v>
      </c>
      <c r="I10193" s="2">
        <v>412</v>
      </c>
      <c r="J10193" s="2">
        <v>2445</v>
      </c>
      <c r="K10193" s="2">
        <v>1</v>
      </c>
      <c r="L10193" s="2">
        <v>647</v>
      </c>
    </row>
    <row r="10194" spans="1:12" x14ac:dyDescent="0.25">
      <c r="A10194" s="4" t="str">
        <f>HYPERLINK("http://www.rosaceae.org/Prunus/Prunus_persica/p.persica_gdr_reftransV1_0048674","p.persica_gdr_reftransV1_0048674")</f>
        <v>p.persica_gdr_reftransV1_0048674</v>
      </c>
      <c r="B10194" s="2">
        <v>1745</v>
      </c>
      <c r="C10194" s="4" t="str">
        <f>HYPERLINK("http://www.uniprot.org/uniprot/M5W9I0","M5W9I0")</f>
        <v>M5W9I0</v>
      </c>
      <c r="D10194" s="2" t="s">
        <v>6710</v>
      </c>
      <c r="E10194" s="3">
        <v>0</v>
      </c>
      <c r="F10194" s="2">
        <v>2191</v>
      </c>
      <c r="G10194" s="2">
        <v>100</v>
      </c>
      <c r="H10194" s="2">
        <v>409</v>
      </c>
      <c r="I10194" s="2">
        <v>301</v>
      </c>
      <c r="J10194" s="2">
        <v>1527</v>
      </c>
      <c r="K10194" s="2">
        <v>1</v>
      </c>
      <c r="L10194" s="2">
        <v>409</v>
      </c>
    </row>
    <row r="10195" spans="1:12" x14ac:dyDescent="0.25">
      <c r="A10195" s="4" t="str">
        <f>HYPERLINK("http://www.rosaceae.org/Prunus/Prunus_persica/p.persica_gdr_reftransV1_0049024","p.persica_gdr_reftransV1_0049024")</f>
        <v>p.persica_gdr_reftransV1_0049024</v>
      </c>
      <c r="B10195" s="2">
        <v>1785</v>
      </c>
      <c r="C10195" s="4" t="str">
        <f>HYPERLINK("http://www.uniprot.org/uniprot/M5W8T8","M5W8T8")</f>
        <v>M5W8T8</v>
      </c>
      <c r="D10195" s="2" t="s">
        <v>8763</v>
      </c>
      <c r="E10195" s="3">
        <v>0</v>
      </c>
      <c r="F10195" s="2">
        <v>2022</v>
      </c>
      <c r="G10195" s="2">
        <v>100</v>
      </c>
      <c r="H10195" s="2">
        <v>375</v>
      </c>
      <c r="I10195" s="2">
        <v>42</v>
      </c>
      <c r="J10195" s="2">
        <v>1166</v>
      </c>
      <c r="K10195" s="2">
        <v>1</v>
      </c>
      <c r="L10195" s="2">
        <v>375</v>
      </c>
    </row>
    <row r="10196" spans="1:12" x14ac:dyDescent="0.25">
      <c r="A10196" s="4" t="str">
        <f>HYPERLINK("http://www.rosaceae.org/Prunus/Prunus_persica/p.persica_gdr_reftransV1_0000241","p.persica_gdr_reftransV1_0000241")</f>
        <v>p.persica_gdr_reftransV1_0000241</v>
      </c>
      <c r="B10196" s="2">
        <v>947</v>
      </c>
      <c r="C10196" s="4" t="str">
        <f>HYPERLINK("http://www.uniprot.org/uniprot/M5WYI9","M5WYI9")</f>
        <v>M5WYI9</v>
      </c>
      <c r="D10196" s="2" t="s">
        <v>8764</v>
      </c>
      <c r="E10196" s="3">
        <v>0</v>
      </c>
      <c r="F10196" s="2">
        <v>1687</v>
      </c>
      <c r="G10196" s="2">
        <v>100</v>
      </c>
      <c r="H10196" s="2">
        <v>315</v>
      </c>
      <c r="I10196" s="2">
        <v>2</v>
      </c>
      <c r="J10196" s="2">
        <v>946</v>
      </c>
      <c r="K10196" s="2">
        <v>97</v>
      </c>
      <c r="L10196" s="2">
        <v>411</v>
      </c>
    </row>
    <row r="10197" spans="1:12" x14ac:dyDescent="0.25">
      <c r="A10197" s="4" t="str">
        <f>HYPERLINK("http://www.rosaceae.org/Prunus/Prunus_persica/p.persica_gdr_reftransV1_0000591","p.persica_gdr_reftransV1_0000591")</f>
        <v>p.persica_gdr_reftransV1_0000591</v>
      </c>
      <c r="B10197" s="2">
        <v>1836</v>
      </c>
      <c r="C10197" s="4" t="str">
        <f>HYPERLINK("http://www.uniprot.org/uniprot/M5VYY8","M5VYY8")</f>
        <v>M5VYY8</v>
      </c>
      <c r="D10197" s="2" t="s">
        <v>8765</v>
      </c>
      <c r="E10197" s="3">
        <v>0</v>
      </c>
      <c r="F10197" s="2">
        <v>1716</v>
      </c>
      <c r="G10197" s="2">
        <v>97</v>
      </c>
      <c r="H10197" s="2">
        <v>358</v>
      </c>
      <c r="I10197" s="2">
        <v>496</v>
      </c>
      <c r="J10197" s="2">
        <v>1569</v>
      </c>
      <c r="K10197" s="2">
        <v>1</v>
      </c>
      <c r="L10197" s="2">
        <v>347</v>
      </c>
    </row>
    <row r="10198" spans="1:12" x14ac:dyDescent="0.25">
      <c r="A10198" s="4" t="str">
        <f>HYPERLINK("http://www.rosaceae.org/Prunus/Prunus_persica/p.persica_gdr_reftransV1_0000941","p.persica_gdr_reftransV1_0000941")</f>
        <v>p.persica_gdr_reftransV1_0000941</v>
      </c>
      <c r="B10198" s="2">
        <v>613</v>
      </c>
      <c r="C10198" s="4" t="str">
        <f>HYPERLINK("http://www.uniprot.org/uniprot/M5W0H4","M5W0H4")</f>
        <v>M5W0H4</v>
      </c>
      <c r="D10198" s="2" t="s">
        <v>8766</v>
      </c>
      <c r="E10198" s="3">
        <v>7.7300000000000002E-53</v>
      </c>
      <c r="F10198" s="2">
        <v>451</v>
      </c>
      <c r="G10198" s="2">
        <v>100</v>
      </c>
      <c r="H10198" s="2">
        <v>107</v>
      </c>
      <c r="I10198" s="2">
        <v>3</v>
      </c>
      <c r="J10198" s="2">
        <v>323</v>
      </c>
      <c r="K10198" s="2">
        <v>50</v>
      </c>
      <c r="L10198" s="2">
        <v>156</v>
      </c>
    </row>
    <row r="10199" spans="1:12" x14ac:dyDescent="0.25">
      <c r="A10199" s="4" t="str">
        <f>HYPERLINK("http://www.rosaceae.org/Prunus/Prunus_persica/p.persica_gdr_reftransV1_0001291","p.persica_gdr_reftransV1_0001291")</f>
        <v>p.persica_gdr_reftransV1_0001291</v>
      </c>
      <c r="B10199" s="2">
        <v>942</v>
      </c>
      <c r="C10199" s="4" t="str">
        <f>HYPERLINK("http://www.uniprot.org/uniprot/M5WTU1","M5WTU1")</f>
        <v>M5WTU1</v>
      </c>
      <c r="D10199" s="2" t="s">
        <v>8767</v>
      </c>
      <c r="E10199" s="3">
        <v>1.8800000000000001E-169</v>
      </c>
      <c r="F10199" s="2">
        <v>1259</v>
      </c>
      <c r="G10199" s="2">
        <v>99</v>
      </c>
      <c r="H10199" s="2">
        <v>235</v>
      </c>
      <c r="I10199" s="2">
        <v>238</v>
      </c>
      <c r="J10199" s="2">
        <v>942</v>
      </c>
      <c r="K10199" s="2">
        <v>40</v>
      </c>
      <c r="L10199" s="2">
        <v>274</v>
      </c>
    </row>
    <row r="10200" spans="1:12" x14ac:dyDescent="0.25">
      <c r="A10200" s="4" t="str">
        <f>HYPERLINK("http://www.rosaceae.org/Prunus/Prunus_persica/p.persica_gdr_reftransV1_0001991","p.persica_gdr_reftransV1_0001991")</f>
        <v>p.persica_gdr_reftransV1_0001991</v>
      </c>
      <c r="B10200" s="2">
        <v>3815</v>
      </c>
      <c r="C10200" s="4" t="str">
        <f>HYPERLINK("http://www.uniprot.org/uniprot/M5W9D3","M5W9D3")</f>
        <v>M5W9D3</v>
      </c>
      <c r="D10200" s="2" t="s">
        <v>8768</v>
      </c>
      <c r="E10200" s="3">
        <v>0</v>
      </c>
      <c r="F10200" s="2">
        <v>4604</v>
      </c>
      <c r="G10200" s="2">
        <v>96</v>
      </c>
      <c r="H10200" s="2">
        <v>1037</v>
      </c>
      <c r="I10200" s="2">
        <v>290</v>
      </c>
      <c r="J10200" s="2">
        <v>3307</v>
      </c>
      <c r="K10200" s="2">
        <v>1</v>
      </c>
      <c r="L10200" s="2">
        <v>1037</v>
      </c>
    </row>
    <row r="10201" spans="1:12" x14ac:dyDescent="0.25">
      <c r="A10201" s="4" t="str">
        <f>HYPERLINK("http://www.rosaceae.org/Prunus/Prunus_persica/p.persica_gdr_reftransV1_0002341","p.persica_gdr_reftransV1_0002341")</f>
        <v>p.persica_gdr_reftransV1_0002341</v>
      </c>
      <c r="B10201" s="2">
        <v>364</v>
      </c>
      <c r="C10201" s="4" t="str">
        <f>HYPERLINK("http://www.uniprot.org/uniprot/A0A084R5M6","A0A084R5M6")</f>
        <v>A0A084R5M6</v>
      </c>
      <c r="D10201" s="2" t="s">
        <v>8769</v>
      </c>
      <c r="E10201" s="3">
        <v>5.4999999999999999E-65</v>
      </c>
      <c r="F10201" s="2">
        <v>522</v>
      </c>
      <c r="G10201" s="2">
        <v>100</v>
      </c>
      <c r="H10201" s="2">
        <v>100</v>
      </c>
      <c r="I10201" s="2">
        <v>2</v>
      </c>
      <c r="J10201" s="2">
        <v>301</v>
      </c>
      <c r="K10201" s="2">
        <v>53</v>
      </c>
      <c r="L10201" s="2">
        <v>152</v>
      </c>
    </row>
    <row r="10202" spans="1:12" x14ac:dyDescent="0.25">
      <c r="A10202" s="4" t="str">
        <f>HYPERLINK("http://www.rosaceae.org/Prunus/Prunus_persica/p.persica_gdr_reftransV1_0002691","p.persica_gdr_reftransV1_0002691")</f>
        <v>p.persica_gdr_reftransV1_0002691</v>
      </c>
      <c r="B10202" s="2">
        <v>2329</v>
      </c>
      <c r="C10202" s="4" t="str">
        <f>HYPERLINK("http://www.uniprot.org/uniprot/M5XQ04","M5XQ04")</f>
        <v>M5XQ04</v>
      </c>
      <c r="D10202" s="2" t="s">
        <v>3872</v>
      </c>
      <c r="E10202" s="3">
        <v>0</v>
      </c>
      <c r="F10202" s="2">
        <v>3248</v>
      </c>
      <c r="G10202" s="2">
        <v>97</v>
      </c>
      <c r="H10202" s="2">
        <v>659</v>
      </c>
      <c r="I10202" s="2">
        <v>174</v>
      </c>
      <c r="J10202" s="2">
        <v>2147</v>
      </c>
      <c r="K10202" s="2">
        <v>20</v>
      </c>
      <c r="L10202" s="2">
        <v>678</v>
      </c>
    </row>
    <row r="10203" spans="1:12" x14ac:dyDescent="0.25">
      <c r="A10203" s="4" t="str">
        <f>HYPERLINK("http://www.rosaceae.org/Prunus/Prunus_persica/p.persica_gdr_reftransV1_0003041","p.persica_gdr_reftransV1_0003041")</f>
        <v>p.persica_gdr_reftransV1_0003041</v>
      </c>
      <c r="B10203" s="2">
        <v>357</v>
      </c>
      <c r="C10203" s="4" t="str">
        <f>HYPERLINK("http://www.uniprot.org/uniprot/M5VVH2","M5VVH2")</f>
        <v>M5VVH2</v>
      </c>
      <c r="D10203" s="2" t="s">
        <v>6996</v>
      </c>
      <c r="E10203" s="3">
        <v>1.3E-65</v>
      </c>
      <c r="F10203" s="2">
        <v>563</v>
      </c>
      <c r="G10203" s="2">
        <v>100</v>
      </c>
      <c r="H10203" s="2">
        <v>118</v>
      </c>
      <c r="I10203" s="2">
        <v>2</v>
      </c>
      <c r="J10203" s="2">
        <v>355</v>
      </c>
      <c r="K10203" s="2">
        <v>7</v>
      </c>
      <c r="L10203" s="2">
        <v>124</v>
      </c>
    </row>
    <row r="10204" spans="1:12" x14ac:dyDescent="0.25">
      <c r="A10204" s="4" t="str">
        <f>HYPERLINK("http://www.rosaceae.org/Prunus/Prunus_persica/p.persica_gdr_reftransV1_0003391","p.persica_gdr_reftransV1_0003391")</f>
        <v>p.persica_gdr_reftransV1_0003391</v>
      </c>
      <c r="B10204" s="2">
        <v>1071</v>
      </c>
      <c r="C10204" s="4" t="str">
        <f>HYPERLINK("http://www.uniprot.org/uniprot/M5WQT1","M5WQT1")</f>
        <v>M5WQT1</v>
      </c>
      <c r="D10204" s="2" t="s">
        <v>7980</v>
      </c>
      <c r="E10204" s="3">
        <v>7.99E-62</v>
      </c>
      <c r="F10204" s="2">
        <v>533</v>
      </c>
      <c r="G10204" s="2">
        <v>87</v>
      </c>
      <c r="H10204" s="2">
        <v>188</v>
      </c>
      <c r="I10204" s="2">
        <v>315</v>
      </c>
      <c r="J10204" s="2">
        <v>878</v>
      </c>
      <c r="K10204" s="2">
        <v>1</v>
      </c>
      <c r="L10204" s="2">
        <v>164</v>
      </c>
    </row>
    <row r="10205" spans="1:12" x14ac:dyDescent="0.25">
      <c r="A10205" s="4" t="str">
        <f>HYPERLINK("http://www.rosaceae.org/Prunus/Prunus_persica/p.persica_gdr_reftransV1_0003741","p.persica_gdr_reftransV1_0003741")</f>
        <v>p.persica_gdr_reftransV1_0003741</v>
      </c>
      <c r="B10205" s="2">
        <v>4618</v>
      </c>
      <c r="C10205" s="4" t="str">
        <f>HYPERLINK("http://www.uniprot.org/uniprot/M5W5T6","M5W5T6")</f>
        <v>M5W5T6</v>
      </c>
      <c r="D10205" s="2" t="s">
        <v>8770</v>
      </c>
      <c r="E10205" s="3">
        <v>0</v>
      </c>
      <c r="F10205" s="2">
        <v>6515</v>
      </c>
      <c r="G10205" s="2">
        <v>90</v>
      </c>
      <c r="H10205" s="2">
        <v>1431</v>
      </c>
      <c r="I10205" s="2">
        <v>119</v>
      </c>
      <c r="J10205" s="2">
        <v>4411</v>
      </c>
      <c r="K10205" s="2">
        <v>1</v>
      </c>
      <c r="L10205" s="2">
        <v>1374</v>
      </c>
    </row>
    <row r="10206" spans="1:12" x14ac:dyDescent="0.25">
      <c r="A10206" s="4" t="str">
        <f>HYPERLINK("http://www.rosaceae.org/Prunus/Prunus_persica/p.persica_gdr_reftransV1_0004091","p.persica_gdr_reftransV1_0004091")</f>
        <v>p.persica_gdr_reftransV1_0004091</v>
      </c>
      <c r="B10206" s="2">
        <v>9117</v>
      </c>
      <c r="C10206" s="4" t="str">
        <f>HYPERLINK("http://www.uniprot.org/uniprot/M5XVG6","M5XVG6")</f>
        <v>M5XVG6</v>
      </c>
      <c r="D10206" s="2" t="s">
        <v>752</v>
      </c>
      <c r="E10206" s="3">
        <v>0</v>
      </c>
      <c r="F10206" s="2">
        <v>14962</v>
      </c>
      <c r="G10206" s="2">
        <v>100</v>
      </c>
      <c r="H10206" s="2">
        <v>2929</v>
      </c>
      <c r="I10206" s="2">
        <v>3</v>
      </c>
      <c r="J10206" s="2">
        <v>8789</v>
      </c>
      <c r="K10206" s="2">
        <v>1846</v>
      </c>
      <c r="L10206" s="2">
        <v>4774</v>
      </c>
    </row>
    <row r="10207" spans="1:12" x14ac:dyDescent="0.25">
      <c r="A10207" s="4" t="str">
        <f>HYPERLINK("http://www.rosaceae.org/Prunus/Prunus_persica/p.persica_gdr_reftransV1_0005141","p.persica_gdr_reftransV1_0005141")</f>
        <v>p.persica_gdr_reftransV1_0005141</v>
      </c>
      <c r="B10207" s="2">
        <v>1457</v>
      </c>
      <c r="C10207" s="4" t="str">
        <f>HYPERLINK("http://www.uniprot.org/uniprot/M5VP71","M5VP71")</f>
        <v>M5VP71</v>
      </c>
      <c r="D10207" s="2" t="s">
        <v>8771</v>
      </c>
      <c r="E10207" s="3">
        <v>7.4799999999999997E-174</v>
      </c>
      <c r="F10207" s="2">
        <v>1295</v>
      </c>
      <c r="G10207" s="2">
        <v>98</v>
      </c>
      <c r="H10207" s="2">
        <v>305</v>
      </c>
      <c r="I10207" s="2">
        <v>357</v>
      </c>
      <c r="J10207" s="2">
        <v>1268</v>
      </c>
      <c r="K10207" s="2">
        <v>1</v>
      </c>
      <c r="L10207" s="2">
        <v>305</v>
      </c>
    </row>
    <row r="10208" spans="1:12" x14ac:dyDescent="0.25">
      <c r="A10208" s="4" t="str">
        <f>HYPERLINK("http://www.rosaceae.org/Prunus/Prunus_persica/p.persica_gdr_reftransV1_0005491","p.persica_gdr_reftransV1_0005491")</f>
        <v>p.persica_gdr_reftransV1_0005491</v>
      </c>
      <c r="B10208" s="2">
        <v>1007</v>
      </c>
      <c r="C10208" s="4" t="str">
        <f>HYPERLINK("http://www.uniprot.org/uniprot/M5XBR4","M5XBR4")</f>
        <v>M5XBR4</v>
      </c>
      <c r="D10208" s="2" t="s">
        <v>8772</v>
      </c>
      <c r="E10208" s="3">
        <v>0</v>
      </c>
      <c r="F10208" s="2">
        <v>1335</v>
      </c>
      <c r="G10208" s="2">
        <v>100</v>
      </c>
      <c r="H10208" s="2">
        <v>252</v>
      </c>
      <c r="I10208" s="2">
        <v>206</v>
      </c>
      <c r="J10208" s="2">
        <v>961</v>
      </c>
      <c r="K10208" s="2">
        <v>1</v>
      </c>
      <c r="L10208" s="2">
        <v>252</v>
      </c>
    </row>
    <row r="10209" spans="1:12" x14ac:dyDescent="0.25">
      <c r="A10209" s="4" t="str">
        <f>HYPERLINK("http://www.rosaceae.org/Prunus/Prunus_persica/p.persica_gdr_reftransV1_0006191","p.persica_gdr_reftransV1_0006191")</f>
        <v>p.persica_gdr_reftransV1_0006191</v>
      </c>
      <c r="B10209" s="2">
        <v>3786</v>
      </c>
      <c r="C10209" s="4" t="str">
        <f>HYPERLINK("http://www.uniprot.org/uniprot/M5VV46","M5VV46")</f>
        <v>M5VV46</v>
      </c>
      <c r="D10209" s="2" t="s">
        <v>8773</v>
      </c>
      <c r="E10209" s="3">
        <v>0</v>
      </c>
      <c r="F10209" s="2">
        <v>2701</v>
      </c>
      <c r="G10209" s="2">
        <v>77</v>
      </c>
      <c r="H10209" s="2">
        <v>736</v>
      </c>
      <c r="I10209" s="2">
        <v>1745</v>
      </c>
      <c r="J10209" s="2">
        <v>3784</v>
      </c>
      <c r="K10209" s="2">
        <v>450</v>
      </c>
      <c r="L10209" s="2">
        <v>1161</v>
      </c>
    </row>
    <row r="10210" spans="1:12" x14ac:dyDescent="0.25">
      <c r="A10210" s="4" t="str">
        <f>HYPERLINK("http://www.rosaceae.org/Prunus/Prunus_persica/p.persica_gdr_reftransV1_0006541","p.persica_gdr_reftransV1_0006541")</f>
        <v>p.persica_gdr_reftransV1_0006541</v>
      </c>
      <c r="B10210" s="2">
        <v>1689</v>
      </c>
      <c r="C10210" s="4" t="str">
        <f>HYPERLINK("http://www.uniprot.org/uniprot/M5WS10","M5WS10")</f>
        <v>M5WS10</v>
      </c>
      <c r="D10210" s="2" t="s">
        <v>8774</v>
      </c>
      <c r="E10210" s="3">
        <v>0</v>
      </c>
      <c r="F10210" s="2">
        <v>2250</v>
      </c>
      <c r="G10210" s="2">
        <v>100</v>
      </c>
      <c r="H10210" s="2">
        <v>438</v>
      </c>
      <c r="I10210" s="2">
        <v>284</v>
      </c>
      <c r="J10210" s="2">
        <v>1597</v>
      </c>
      <c r="K10210" s="2">
        <v>1</v>
      </c>
      <c r="L10210" s="2">
        <v>438</v>
      </c>
    </row>
    <row r="10211" spans="1:12" x14ac:dyDescent="0.25">
      <c r="A10211" s="4" t="str">
        <f>HYPERLINK("http://www.rosaceae.org/Prunus/Prunus_persica/p.persica_gdr_reftransV1_0006891","p.persica_gdr_reftransV1_0006891")</f>
        <v>p.persica_gdr_reftransV1_0006891</v>
      </c>
      <c r="B10211" s="2">
        <v>1179</v>
      </c>
      <c r="C10211" s="4" t="str">
        <f>HYPERLINK("http://www.uniprot.org/uniprot/M5XRS5","M5XRS5")</f>
        <v>M5XRS5</v>
      </c>
      <c r="D10211" s="2" t="s">
        <v>8775</v>
      </c>
      <c r="E10211" s="3">
        <v>0</v>
      </c>
      <c r="F10211" s="2">
        <v>1366</v>
      </c>
      <c r="G10211" s="2">
        <v>98</v>
      </c>
      <c r="H10211" s="2">
        <v>260</v>
      </c>
      <c r="I10211" s="2">
        <v>400</v>
      </c>
      <c r="J10211" s="2">
        <v>1179</v>
      </c>
      <c r="K10211" s="2">
        <v>129</v>
      </c>
      <c r="L10211" s="2">
        <v>388</v>
      </c>
    </row>
    <row r="10212" spans="1:12" x14ac:dyDescent="0.25">
      <c r="A10212" s="4" t="str">
        <f>HYPERLINK("http://www.rosaceae.org/Prunus/Prunus_persica/p.persica_gdr_reftransV1_0007591","p.persica_gdr_reftransV1_0007591")</f>
        <v>p.persica_gdr_reftransV1_0007591</v>
      </c>
      <c r="B10212" s="2">
        <v>729</v>
      </c>
      <c r="C10212" s="4" t="str">
        <f>HYPERLINK("http://www.uniprot.org/uniprot/M5X480","M5X480")</f>
        <v>M5X480</v>
      </c>
      <c r="D10212" s="2" t="s">
        <v>8776</v>
      </c>
      <c r="E10212" s="3">
        <v>5.36E-96</v>
      </c>
      <c r="F10212" s="2">
        <v>739</v>
      </c>
      <c r="G10212" s="2">
        <v>99</v>
      </c>
      <c r="H10212" s="2">
        <v>141</v>
      </c>
      <c r="I10212" s="2">
        <v>233</v>
      </c>
      <c r="J10212" s="2">
        <v>655</v>
      </c>
      <c r="K10212" s="2">
        <v>1</v>
      </c>
      <c r="L10212" s="2">
        <v>140</v>
      </c>
    </row>
    <row r="10213" spans="1:12" x14ac:dyDescent="0.25">
      <c r="A10213" s="4" t="str">
        <f>HYPERLINK("http://www.rosaceae.org/Prunus/Prunus_persica/p.persica_gdr_reftransV1_0007941","p.persica_gdr_reftransV1_0007941")</f>
        <v>p.persica_gdr_reftransV1_0007941</v>
      </c>
      <c r="B10213" s="2">
        <v>1119</v>
      </c>
      <c r="C10213" s="4" t="str">
        <f>HYPERLINK("http://www.uniprot.org/uniprot/M5XX10","M5XX10")</f>
        <v>M5XX10</v>
      </c>
      <c r="D10213" s="2" t="s">
        <v>8777</v>
      </c>
      <c r="E10213" s="3">
        <v>0</v>
      </c>
      <c r="F10213" s="2">
        <v>1373</v>
      </c>
      <c r="G10213" s="2">
        <v>100</v>
      </c>
      <c r="H10213" s="2">
        <v>305</v>
      </c>
      <c r="I10213" s="2">
        <v>1</v>
      </c>
      <c r="J10213" s="2">
        <v>915</v>
      </c>
      <c r="K10213" s="2">
        <v>1</v>
      </c>
      <c r="L10213" s="2">
        <v>305</v>
      </c>
    </row>
    <row r="10214" spans="1:12" x14ac:dyDescent="0.25">
      <c r="A10214" s="4" t="str">
        <f>HYPERLINK("http://www.rosaceae.org/Prunus/Prunus_persica/p.persica_gdr_reftransV1_0008991","p.persica_gdr_reftransV1_0008991")</f>
        <v>p.persica_gdr_reftransV1_0008991</v>
      </c>
      <c r="B10214" s="2">
        <v>781</v>
      </c>
      <c r="C10214" s="4" t="str">
        <f>HYPERLINK("http://www.uniprot.org/uniprot/B9T0R5","B9T0R5")</f>
        <v>B9T0R5</v>
      </c>
      <c r="D10214" s="2" t="s">
        <v>8778</v>
      </c>
      <c r="E10214" s="3">
        <v>2.3400000000000002E-15</v>
      </c>
      <c r="F10214" s="2">
        <v>199</v>
      </c>
      <c r="G10214" s="2">
        <v>38</v>
      </c>
      <c r="H10214" s="2">
        <v>155</v>
      </c>
      <c r="I10214" s="2">
        <v>48</v>
      </c>
      <c r="J10214" s="2">
        <v>506</v>
      </c>
      <c r="K10214" s="2">
        <v>1</v>
      </c>
      <c r="L10214" s="2">
        <v>147</v>
      </c>
    </row>
    <row r="10215" spans="1:12" x14ac:dyDescent="0.25">
      <c r="A10215" s="4" t="str">
        <f>HYPERLINK("http://www.rosaceae.org/Prunus/Prunus_persica/p.persica_gdr_reftransV1_0010391","p.persica_gdr_reftransV1_0010391")</f>
        <v>p.persica_gdr_reftransV1_0010391</v>
      </c>
      <c r="B10215" s="2">
        <v>1681</v>
      </c>
      <c r="C10215" s="4" t="str">
        <f>HYPERLINK("http://www.uniprot.org/uniprot/M5XEM6","M5XEM6")</f>
        <v>M5XEM6</v>
      </c>
      <c r="D10215" s="2" t="s">
        <v>8779</v>
      </c>
      <c r="E10215" s="3">
        <v>0</v>
      </c>
      <c r="F10215" s="2">
        <v>2132</v>
      </c>
      <c r="G10215" s="2">
        <v>100</v>
      </c>
      <c r="H10215" s="2">
        <v>421</v>
      </c>
      <c r="I10215" s="2">
        <v>137</v>
      </c>
      <c r="J10215" s="2">
        <v>1399</v>
      </c>
      <c r="K10215" s="2">
        <v>31</v>
      </c>
      <c r="L10215" s="2">
        <v>451</v>
      </c>
    </row>
    <row r="10216" spans="1:12" x14ac:dyDescent="0.25">
      <c r="A10216" s="4" t="str">
        <f>HYPERLINK("http://www.rosaceae.org/Prunus/Prunus_persica/p.persica_gdr_reftransV1_0011791","p.persica_gdr_reftransV1_0011791")</f>
        <v>p.persica_gdr_reftransV1_0011791</v>
      </c>
      <c r="B10216" s="2">
        <v>1559</v>
      </c>
      <c r="C10216" s="4" t="str">
        <f>HYPERLINK("http://www.uniprot.org/uniprot/M5X5W1","M5X5W1")</f>
        <v>M5X5W1</v>
      </c>
      <c r="D10216" s="2" t="s">
        <v>8780</v>
      </c>
      <c r="E10216" s="3">
        <v>5.4800000000000001E-145</v>
      </c>
      <c r="F10216" s="2">
        <v>1104</v>
      </c>
      <c r="G10216" s="2">
        <v>100</v>
      </c>
      <c r="H10216" s="2">
        <v>273</v>
      </c>
      <c r="I10216" s="2">
        <v>522</v>
      </c>
      <c r="J10216" s="2">
        <v>1340</v>
      </c>
      <c r="K10216" s="2">
        <v>1</v>
      </c>
      <c r="L10216" s="2">
        <v>273</v>
      </c>
    </row>
    <row r="10217" spans="1:12" x14ac:dyDescent="0.25">
      <c r="A10217" s="4" t="str">
        <f>HYPERLINK("http://www.rosaceae.org/Prunus/Prunus_persica/p.persica_gdr_reftransV1_0013191","p.persica_gdr_reftransV1_0013191")</f>
        <v>p.persica_gdr_reftransV1_0013191</v>
      </c>
      <c r="B10217" s="2">
        <v>2611</v>
      </c>
      <c r="C10217" s="4" t="str">
        <f>HYPERLINK("http://www.uniprot.org/uniprot/M5W8T4","M5W8T4")</f>
        <v>M5W8T4</v>
      </c>
      <c r="D10217" s="2" t="s">
        <v>8781</v>
      </c>
      <c r="E10217" s="3">
        <v>0</v>
      </c>
      <c r="F10217" s="2">
        <v>2550</v>
      </c>
      <c r="G10217" s="2">
        <v>94</v>
      </c>
      <c r="H10217" s="2">
        <v>508</v>
      </c>
      <c r="I10217" s="2">
        <v>633</v>
      </c>
      <c r="J10217" s="2">
        <v>2156</v>
      </c>
      <c r="K10217" s="2">
        <v>5</v>
      </c>
      <c r="L10217" s="2">
        <v>482</v>
      </c>
    </row>
    <row r="10218" spans="1:12" x14ac:dyDescent="0.25">
      <c r="A10218" s="4" t="str">
        <f>HYPERLINK("http://www.rosaceae.org/Prunus/Prunus_persica/p.persica_gdr_reftransV1_0013541","p.persica_gdr_reftransV1_0013541")</f>
        <v>p.persica_gdr_reftransV1_0013541</v>
      </c>
      <c r="B10218" s="2">
        <v>1334</v>
      </c>
      <c r="C10218" s="4" t="str">
        <f>HYPERLINK("http://www.uniprot.org/uniprot/M5X671","M5X671")</f>
        <v>M5X671</v>
      </c>
      <c r="D10218" s="2" t="s">
        <v>8782</v>
      </c>
      <c r="E10218" s="3">
        <v>2.7099999999999999E-180</v>
      </c>
      <c r="F10218" s="2">
        <v>1328</v>
      </c>
      <c r="G10218" s="2">
        <v>100</v>
      </c>
      <c r="H10218" s="2">
        <v>255</v>
      </c>
      <c r="I10218" s="2">
        <v>339</v>
      </c>
      <c r="J10218" s="2">
        <v>1103</v>
      </c>
      <c r="K10218" s="2">
        <v>1</v>
      </c>
      <c r="L10218" s="2">
        <v>255</v>
      </c>
    </row>
    <row r="10219" spans="1:12" x14ac:dyDescent="0.25">
      <c r="A10219" s="4" t="str">
        <f>HYPERLINK("http://www.rosaceae.org/Prunus/Prunus_persica/p.persica_gdr_reftransV1_0013891","p.persica_gdr_reftransV1_0013891")</f>
        <v>p.persica_gdr_reftransV1_0013891</v>
      </c>
      <c r="B10219" s="2">
        <v>1622</v>
      </c>
      <c r="C10219" s="4" t="str">
        <f>HYPERLINK("http://www.uniprot.org/uniprot/M5XA95","M5XA95")</f>
        <v>M5XA95</v>
      </c>
      <c r="D10219" s="2" t="s">
        <v>8783</v>
      </c>
      <c r="E10219" s="3">
        <v>0</v>
      </c>
      <c r="F10219" s="2">
        <v>1581</v>
      </c>
      <c r="G10219" s="2">
        <v>92</v>
      </c>
      <c r="H10219" s="2">
        <v>371</v>
      </c>
      <c r="I10219" s="2">
        <v>294</v>
      </c>
      <c r="J10219" s="2">
        <v>1406</v>
      </c>
      <c r="K10219" s="2">
        <v>1</v>
      </c>
      <c r="L10219" s="2">
        <v>344</v>
      </c>
    </row>
    <row r="10220" spans="1:12" x14ac:dyDescent="0.25">
      <c r="A10220" s="4" t="str">
        <f>HYPERLINK("http://www.rosaceae.org/Prunus/Prunus_persica/p.persica_gdr_reftransV1_0014241","p.persica_gdr_reftransV1_0014241")</f>
        <v>p.persica_gdr_reftransV1_0014241</v>
      </c>
      <c r="B10220" s="2">
        <v>811</v>
      </c>
      <c r="C10220" s="4" t="str">
        <f>HYPERLINK("http://www.uniprot.org/uniprot/M5W5S0","M5W5S0")</f>
        <v>M5W5S0</v>
      </c>
      <c r="D10220" s="2" t="s">
        <v>8784</v>
      </c>
      <c r="E10220" s="3">
        <v>7.6299999999999994E-67</v>
      </c>
      <c r="F10220" s="2">
        <v>548</v>
      </c>
      <c r="G10220" s="2">
        <v>100</v>
      </c>
      <c r="H10220" s="2">
        <v>107</v>
      </c>
      <c r="I10220" s="2">
        <v>209</v>
      </c>
      <c r="J10220" s="2">
        <v>529</v>
      </c>
      <c r="K10220" s="2">
        <v>25</v>
      </c>
      <c r="L10220" s="2">
        <v>131</v>
      </c>
    </row>
    <row r="10221" spans="1:12" x14ac:dyDescent="0.25">
      <c r="A10221" s="4" t="str">
        <f>HYPERLINK("http://www.rosaceae.org/Prunus/Prunus_persica/p.persica_gdr_reftransV1_0014941","p.persica_gdr_reftransV1_0014941")</f>
        <v>p.persica_gdr_reftransV1_0014941</v>
      </c>
      <c r="B10221" s="2">
        <v>2992</v>
      </c>
      <c r="C10221" s="4" t="str">
        <f>HYPERLINK("http://www.uniprot.org/uniprot/M5X924","M5X924")</f>
        <v>M5X924</v>
      </c>
      <c r="D10221" s="2" t="s">
        <v>8785</v>
      </c>
      <c r="E10221" s="3">
        <v>0</v>
      </c>
      <c r="F10221" s="2">
        <v>3243</v>
      </c>
      <c r="G10221" s="2">
        <v>92</v>
      </c>
      <c r="H10221" s="2">
        <v>762</v>
      </c>
      <c r="I10221" s="2">
        <v>432</v>
      </c>
      <c r="J10221" s="2">
        <v>2717</v>
      </c>
      <c r="K10221" s="2">
        <v>1</v>
      </c>
      <c r="L10221" s="2">
        <v>702</v>
      </c>
    </row>
    <row r="10222" spans="1:12" x14ac:dyDescent="0.25">
      <c r="A10222" s="4" t="str">
        <f>HYPERLINK("http://www.rosaceae.org/Prunus/Prunus_persica/p.persica_gdr_reftransV1_0015291","p.persica_gdr_reftransV1_0015291")</f>
        <v>p.persica_gdr_reftransV1_0015291</v>
      </c>
      <c r="B10222" s="2">
        <v>4120</v>
      </c>
      <c r="C10222" s="4" t="str">
        <f>HYPERLINK("http://www.uniprot.org/uniprot/M5WA79","M5WA79")</f>
        <v>M5WA79</v>
      </c>
      <c r="D10222" s="2" t="s">
        <v>8786</v>
      </c>
      <c r="E10222" s="3">
        <v>0</v>
      </c>
      <c r="F10222" s="2">
        <v>3905</v>
      </c>
      <c r="G10222" s="2">
        <v>100</v>
      </c>
      <c r="H10222" s="2">
        <v>841</v>
      </c>
      <c r="I10222" s="2">
        <v>200</v>
      </c>
      <c r="J10222" s="2">
        <v>2722</v>
      </c>
      <c r="K10222" s="2">
        <v>1</v>
      </c>
      <c r="L10222" s="2">
        <v>841</v>
      </c>
    </row>
    <row r="10223" spans="1:12" x14ac:dyDescent="0.25">
      <c r="A10223" s="4" t="str">
        <f>HYPERLINK("http://www.rosaceae.org/Prunus/Prunus_persica/p.persica_gdr_reftransV1_0015641","p.persica_gdr_reftransV1_0015641")</f>
        <v>p.persica_gdr_reftransV1_0015641</v>
      </c>
      <c r="B10223" s="2">
        <v>2273</v>
      </c>
      <c r="C10223" s="4" t="str">
        <f>HYPERLINK("http://www.uniprot.org/uniprot/M5W5A7","M5W5A7")</f>
        <v>M5W5A7</v>
      </c>
      <c r="D10223" s="2" t="s">
        <v>8787</v>
      </c>
      <c r="E10223" s="3">
        <v>0</v>
      </c>
      <c r="F10223" s="2">
        <v>2311</v>
      </c>
      <c r="G10223" s="2">
        <v>100</v>
      </c>
      <c r="H10223" s="2">
        <v>433</v>
      </c>
      <c r="I10223" s="2">
        <v>741</v>
      </c>
      <c r="J10223" s="2">
        <v>2039</v>
      </c>
      <c r="K10223" s="2">
        <v>1</v>
      </c>
      <c r="L10223" s="2">
        <v>433</v>
      </c>
    </row>
    <row r="10224" spans="1:12" x14ac:dyDescent="0.25">
      <c r="A10224" s="4" t="str">
        <f>HYPERLINK("http://www.rosaceae.org/Prunus/Prunus_persica/p.persica_gdr_reftransV1_0015991","p.persica_gdr_reftransV1_0015991")</f>
        <v>p.persica_gdr_reftransV1_0015991</v>
      </c>
      <c r="B10224" s="2">
        <v>2650</v>
      </c>
      <c r="C10224" s="4" t="str">
        <f>HYPERLINK("http://www.uniprot.org/uniprot/M5WV53","M5WV53")</f>
        <v>M5WV53</v>
      </c>
      <c r="D10224" s="2" t="s">
        <v>8788</v>
      </c>
      <c r="E10224" s="3">
        <v>0</v>
      </c>
      <c r="F10224" s="2">
        <v>2472</v>
      </c>
      <c r="G10224" s="2">
        <v>95</v>
      </c>
      <c r="H10224" s="2">
        <v>501</v>
      </c>
      <c r="I10224" s="2">
        <v>681</v>
      </c>
      <c r="J10224" s="2">
        <v>2183</v>
      </c>
      <c r="K10224" s="2">
        <v>1</v>
      </c>
      <c r="L10224" s="2">
        <v>484</v>
      </c>
    </row>
    <row r="10225" spans="1:12" x14ac:dyDescent="0.25">
      <c r="A10225" s="4" t="str">
        <f>HYPERLINK("http://www.rosaceae.org/Prunus/Prunus_persica/p.persica_gdr_reftransV1_0017041","p.persica_gdr_reftransV1_0017041")</f>
        <v>p.persica_gdr_reftransV1_0017041</v>
      </c>
      <c r="B10225" s="2">
        <v>1235</v>
      </c>
      <c r="C10225" s="4" t="str">
        <f>HYPERLINK("http://www.uniprot.org/uniprot/M5WA73","M5WA73")</f>
        <v>M5WA73</v>
      </c>
      <c r="D10225" s="2" t="s">
        <v>8789</v>
      </c>
      <c r="E10225" s="3">
        <v>2.6200000000000001E-177</v>
      </c>
      <c r="F10225" s="2">
        <v>1307</v>
      </c>
      <c r="G10225" s="2">
        <v>100</v>
      </c>
      <c r="H10225" s="2">
        <v>279</v>
      </c>
      <c r="I10225" s="2">
        <v>321</v>
      </c>
      <c r="J10225" s="2">
        <v>1157</v>
      </c>
      <c r="K10225" s="2">
        <v>1</v>
      </c>
      <c r="L10225" s="2">
        <v>279</v>
      </c>
    </row>
    <row r="10226" spans="1:12" x14ac:dyDescent="0.25">
      <c r="A10226" s="4" t="str">
        <f>HYPERLINK("http://www.rosaceae.org/Prunus/Prunus_persica/p.persica_gdr_reftransV1_0017391","p.persica_gdr_reftransV1_0017391")</f>
        <v>p.persica_gdr_reftransV1_0017391</v>
      </c>
      <c r="B10226" s="2">
        <v>812</v>
      </c>
      <c r="C10226" s="4" t="str">
        <f>HYPERLINK("http://www.uniprot.org/uniprot/M5XJA9","M5XJA9")</f>
        <v>M5XJA9</v>
      </c>
      <c r="D10226" s="2" t="s">
        <v>8790</v>
      </c>
      <c r="E10226" s="3">
        <v>1.8100000000000001E-100</v>
      </c>
      <c r="F10226" s="2">
        <v>772</v>
      </c>
      <c r="G10226" s="2">
        <v>100</v>
      </c>
      <c r="H10226" s="2">
        <v>146</v>
      </c>
      <c r="I10226" s="2">
        <v>329</v>
      </c>
      <c r="J10226" s="2">
        <v>766</v>
      </c>
      <c r="K10226" s="2">
        <v>1</v>
      </c>
      <c r="L10226" s="2">
        <v>146</v>
      </c>
    </row>
    <row r="10227" spans="1:12" x14ac:dyDescent="0.25">
      <c r="A10227" s="4" t="str">
        <f>HYPERLINK("http://www.rosaceae.org/Prunus/Prunus_persica/p.persica_gdr_reftransV1_0018441","p.persica_gdr_reftransV1_0018441")</f>
        <v>p.persica_gdr_reftransV1_0018441</v>
      </c>
      <c r="B10227" s="2">
        <v>704</v>
      </c>
      <c r="C10227" s="4" t="str">
        <f>HYPERLINK("http://www.uniprot.org/uniprot/M5XWX9","M5XWX9")</f>
        <v>M5XWX9</v>
      </c>
      <c r="D10227" s="2" t="s">
        <v>4604</v>
      </c>
      <c r="E10227" s="3">
        <v>2.51E-76</v>
      </c>
      <c r="F10227" s="2">
        <v>620</v>
      </c>
      <c r="G10227" s="2">
        <v>100</v>
      </c>
      <c r="H10227" s="2">
        <v>117</v>
      </c>
      <c r="I10227" s="2">
        <v>1</v>
      </c>
      <c r="J10227" s="2">
        <v>351</v>
      </c>
      <c r="K10227" s="2">
        <v>149</v>
      </c>
      <c r="L10227" s="2">
        <v>265</v>
      </c>
    </row>
    <row r="10228" spans="1:12" x14ac:dyDescent="0.25">
      <c r="A10228" s="4" t="str">
        <f>HYPERLINK("http://www.rosaceae.org/Prunus/Prunus_persica/p.persica_gdr_reftransV1_0018791","p.persica_gdr_reftransV1_0018791")</f>
        <v>p.persica_gdr_reftransV1_0018791</v>
      </c>
      <c r="B10228" s="2">
        <v>2518</v>
      </c>
      <c r="C10228" s="4" t="str">
        <f>HYPERLINK("http://www.uniprot.org/uniprot/M4QNR1","M4QNR1")</f>
        <v>M4QNR1</v>
      </c>
      <c r="D10228" s="2" t="s">
        <v>5126</v>
      </c>
      <c r="E10228" s="3">
        <v>0</v>
      </c>
      <c r="F10228" s="2">
        <v>1471</v>
      </c>
      <c r="G10228" s="2">
        <v>98</v>
      </c>
      <c r="H10228" s="2">
        <v>286</v>
      </c>
      <c r="I10228" s="2">
        <v>437</v>
      </c>
      <c r="J10228" s="2">
        <v>1276</v>
      </c>
      <c r="K10228" s="2">
        <v>1</v>
      </c>
      <c r="L10228" s="2">
        <v>286</v>
      </c>
    </row>
    <row r="10229" spans="1:12" x14ac:dyDescent="0.25">
      <c r="A10229" s="4" t="str">
        <f>HYPERLINK("http://www.rosaceae.org/Prunus/Prunus_persica/p.persica_gdr_reftransV1_0019141","p.persica_gdr_reftransV1_0019141")</f>
        <v>p.persica_gdr_reftransV1_0019141</v>
      </c>
      <c r="B10229" s="2">
        <v>712</v>
      </c>
      <c r="C10229" s="4" t="str">
        <f>HYPERLINK("http://www.uniprot.org/uniprot/M5XI79","M5XI79")</f>
        <v>M5XI79</v>
      </c>
      <c r="D10229" s="2" t="s">
        <v>8791</v>
      </c>
      <c r="E10229" s="3">
        <v>1.7900000000000001E-140</v>
      </c>
      <c r="F10229" s="2">
        <v>1037</v>
      </c>
      <c r="G10229" s="2">
        <v>100</v>
      </c>
      <c r="H10229" s="2">
        <v>192</v>
      </c>
      <c r="I10229" s="2">
        <v>137</v>
      </c>
      <c r="J10229" s="2">
        <v>712</v>
      </c>
      <c r="K10229" s="2">
        <v>10</v>
      </c>
      <c r="L10229" s="2">
        <v>201</v>
      </c>
    </row>
    <row r="10230" spans="1:12" x14ac:dyDescent="0.25">
      <c r="A10230" s="4" t="str">
        <f>HYPERLINK("http://www.rosaceae.org/Prunus/Prunus_persica/p.persica_gdr_reftransV1_0019491","p.persica_gdr_reftransV1_0019491")</f>
        <v>p.persica_gdr_reftransV1_0019491</v>
      </c>
      <c r="B10230" s="2">
        <v>2556</v>
      </c>
      <c r="C10230" s="4" t="str">
        <f>HYPERLINK("http://www.uniprot.org/uniprot/M5X2A6","M5X2A6")</f>
        <v>M5X2A6</v>
      </c>
      <c r="D10230" s="2" t="s">
        <v>8792</v>
      </c>
      <c r="E10230" s="3">
        <v>2.7399999999999997E-113</v>
      </c>
      <c r="F10230" s="2">
        <v>913</v>
      </c>
      <c r="G10230" s="2">
        <v>100</v>
      </c>
      <c r="H10230" s="2">
        <v>175</v>
      </c>
      <c r="I10230" s="2">
        <v>65</v>
      </c>
      <c r="J10230" s="2">
        <v>589</v>
      </c>
      <c r="K10230" s="2">
        <v>1</v>
      </c>
      <c r="L10230" s="2">
        <v>175</v>
      </c>
    </row>
    <row r="10231" spans="1:12" x14ac:dyDescent="0.25">
      <c r="A10231" s="4" t="str">
        <f>HYPERLINK("http://www.rosaceae.org/Prunus/Prunus_persica/p.persica_gdr_reftransV1_0019841","p.persica_gdr_reftransV1_0019841")</f>
        <v>p.persica_gdr_reftransV1_0019841</v>
      </c>
      <c r="B10231" s="2">
        <v>1453</v>
      </c>
      <c r="C10231" s="4" t="str">
        <f>HYPERLINK("http://www.uniprot.org/uniprot/M5X1N2","M5X1N2")</f>
        <v>M5X1N2</v>
      </c>
      <c r="D10231" s="2" t="s">
        <v>8793</v>
      </c>
      <c r="E10231" s="3">
        <v>2.39E-70</v>
      </c>
      <c r="F10231" s="2">
        <v>600</v>
      </c>
      <c r="G10231" s="2">
        <v>100</v>
      </c>
      <c r="H10231" s="2">
        <v>111</v>
      </c>
      <c r="I10231" s="2">
        <v>236</v>
      </c>
      <c r="J10231" s="2">
        <v>568</v>
      </c>
      <c r="K10231" s="2">
        <v>135</v>
      </c>
      <c r="L10231" s="2">
        <v>245</v>
      </c>
    </row>
    <row r="10232" spans="1:12" x14ac:dyDescent="0.25">
      <c r="A10232" s="4" t="str">
        <f>HYPERLINK("http://www.rosaceae.org/Prunus/Prunus_persica/p.persica_gdr_reftransV1_0020191","p.persica_gdr_reftransV1_0020191")</f>
        <v>p.persica_gdr_reftransV1_0020191</v>
      </c>
      <c r="B10232" s="2">
        <v>2465</v>
      </c>
      <c r="C10232" s="4" t="str">
        <f>HYPERLINK("http://www.uniprot.org/uniprot/M5WD15","M5WD15")</f>
        <v>M5WD15</v>
      </c>
      <c r="D10232" s="2" t="s">
        <v>8794</v>
      </c>
      <c r="E10232" s="3">
        <v>0</v>
      </c>
      <c r="F10232" s="2">
        <v>1763</v>
      </c>
      <c r="G10232" s="2">
        <v>100</v>
      </c>
      <c r="H10232" s="2">
        <v>390</v>
      </c>
      <c r="I10232" s="2">
        <v>367</v>
      </c>
      <c r="J10232" s="2">
        <v>1536</v>
      </c>
      <c r="K10232" s="2">
        <v>1</v>
      </c>
      <c r="L10232" s="2">
        <v>390</v>
      </c>
    </row>
    <row r="10233" spans="1:12" x14ac:dyDescent="0.25">
      <c r="A10233" s="4" t="str">
        <f>HYPERLINK("http://www.rosaceae.org/Prunus/Prunus_persica/p.persica_gdr_reftransV1_0020541","p.persica_gdr_reftransV1_0020541")</f>
        <v>p.persica_gdr_reftransV1_0020541</v>
      </c>
      <c r="B10233" s="2">
        <v>1799</v>
      </c>
      <c r="C10233" s="4" t="str">
        <f>HYPERLINK("http://www.uniprot.org/uniprot/M5XJU2","M5XJU2")</f>
        <v>M5XJU2</v>
      </c>
      <c r="D10233" s="2" t="s">
        <v>8795</v>
      </c>
      <c r="E10233" s="3">
        <v>0</v>
      </c>
      <c r="F10233" s="2">
        <v>1275</v>
      </c>
      <c r="G10233" s="2">
        <v>100</v>
      </c>
      <c r="H10233" s="2">
        <v>255</v>
      </c>
      <c r="I10233" s="2">
        <v>573</v>
      </c>
      <c r="J10233" s="2">
        <v>1337</v>
      </c>
      <c r="K10233" s="2">
        <v>143</v>
      </c>
      <c r="L10233" s="2">
        <v>397</v>
      </c>
    </row>
    <row r="10234" spans="1:12" x14ac:dyDescent="0.25">
      <c r="A10234" s="4" t="str">
        <f>HYPERLINK("http://www.rosaceae.org/Prunus/Prunus_persica/p.persica_gdr_reftransV1_0021241","p.persica_gdr_reftransV1_0021241")</f>
        <v>p.persica_gdr_reftransV1_0021241</v>
      </c>
      <c r="B10234" s="2">
        <v>5117</v>
      </c>
      <c r="C10234" s="4" t="str">
        <f>HYPERLINK("http://www.uniprot.org/uniprot/M5WMD2","M5WMD2")</f>
        <v>M5WMD2</v>
      </c>
      <c r="D10234" s="2" t="s">
        <v>8796</v>
      </c>
      <c r="E10234" s="3">
        <v>0</v>
      </c>
      <c r="F10234" s="2">
        <v>2523</v>
      </c>
      <c r="G10234" s="2">
        <v>98</v>
      </c>
      <c r="H10234" s="2">
        <v>544</v>
      </c>
      <c r="I10234" s="2">
        <v>300</v>
      </c>
      <c r="J10234" s="2">
        <v>1931</v>
      </c>
      <c r="K10234" s="2">
        <v>1</v>
      </c>
      <c r="L10234" s="2">
        <v>532</v>
      </c>
    </row>
    <row r="10235" spans="1:12" x14ac:dyDescent="0.25">
      <c r="A10235" s="4" t="str">
        <f>HYPERLINK("http://www.rosaceae.org/Prunus/Prunus_persica/p.persica_gdr_reftransV1_0023341","p.persica_gdr_reftransV1_0023341")</f>
        <v>p.persica_gdr_reftransV1_0023341</v>
      </c>
      <c r="B10235" s="2">
        <v>1481</v>
      </c>
      <c r="C10235" s="4" t="str">
        <f>HYPERLINK("http://www.uniprot.org/uniprot/M5X1S5","M5X1S5")</f>
        <v>M5X1S5</v>
      </c>
      <c r="D10235" s="2" t="s">
        <v>8797</v>
      </c>
      <c r="E10235" s="3">
        <v>0</v>
      </c>
      <c r="F10235" s="2">
        <v>1579</v>
      </c>
      <c r="G10235" s="2">
        <v>100</v>
      </c>
      <c r="H10235" s="2">
        <v>321</v>
      </c>
      <c r="I10235" s="2">
        <v>266</v>
      </c>
      <c r="J10235" s="2">
        <v>1228</v>
      </c>
      <c r="K10235" s="2">
        <v>1</v>
      </c>
      <c r="L10235" s="2">
        <v>321</v>
      </c>
    </row>
    <row r="10236" spans="1:12" x14ac:dyDescent="0.25">
      <c r="A10236" s="4" t="str">
        <f>HYPERLINK("http://www.rosaceae.org/Prunus/Prunus_persica/p.persica_gdr_reftransV1_0024741","p.persica_gdr_reftransV1_0024741")</f>
        <v>p.persica_gdr_reftransV1_0024741</v>
      </c>
      <c r="B10236" s="2">
        <v>1067</v>
      </c>
      <c r="C10236" s="4" t="str">
        <f>HYPERLINK("http://www.uniprot.org/uniprot/M5WFM3","M5WFM3")</f>
        <v>M5WFM3</v>
      </c>
      <c r="D10236" s="2" t="s">
        <v>8798</v>
      </c>
      <c r="E10236" s="3">
        <v>0</v>
      </c>
      <c r="F10236" s="2">
        <v>1597</v>
      </c>
      <c r="G10236" s="2">
        <v>100</v>
      </c>
      <c r="H10236" s="2">
        <v>298</v>
      </c>
      <c r="I10236" s="2">
        <v>1</v>
      </c>
      <c r="J10236" s="2">
        <v>894</v>
      </c>
      <c r="K10236" s="2">
        <v>353</v>
      </c>
      <c r="L10236" s="2">
        <v>650</v>
      </c>
    </row>
    <row r="10237" spans="1:12" x14ac:dyDescent="0.25">
      <c r="A10237" s="4" t="str">
        <f>HYPERLINK("http://www.rosaceae.org/Prunus/Prunus_persica/p.persica_gdr_reftransV1_0025441","p.persica_gdr_reftransV1_0025441")</f>
        <v>p.persica_gdr_reftransV1_0025441</v>
      </c>
      <c r="B10237" s="2">
        <v>2402</v>
      </c>
      <c r="C10237" s="4" t="str">
        <f>HYPERLINK("http://www.uniprot.org/uniprot/M5X0K2","M5X0K2")</f>
        <v>M5X0K2</v>
      </c>
      <c r="D10237" s="2" t="s">
        <v>8799</v>
      </c>
      <c r="E10237" s="3">
        <v>3.8100000000000001E-133</v>
      </c>
      <c r="F10237" s="2">
        <v>1057</v>
      </c>
      <c r="G10237" s="2">
        <v>100</v>
      </c>
      <c r="H10237" s="2">
        <v>196</v>
      </c>
      <c r="I10237" s="2">
        <v>758</v>
      </c>
      <c r="J10237" s="2">
        <v>1345</v>
      </c>
      <c r="K10237" s="2">
        <v>5</v>
      </c>
      <c r="L10237" s="2">
        <v>200</v>
      </c>
    </row>
    <row r="10238" spans="1:12" x14ac:dyDescent="0.25">
      <c r="A10238" s="4" t="str">
        <f>HYPERLINK("http://www.rosaceae.org/Prunus/Prunus_persica/p.persica_gdr_reftransV1_0025791","p.persica_gdr_reftransV1_0025791")</f>
        <v>p.persica_gdr_reftransV1_0025791</v>
      </c>
      <c r="B10238" s="2">
        <v>3308</v>
      </c>
      <c r="C10238" s="4" t="str">
        <f>HYPERLINK("http://www.uniprot.org/uniprot/M5XKU7","M5XKU7")</f>
        <v>M5XKU7</v>
      </c>
      <c r="D10238" s="2" t="s">
        <v>8800</v>
      </c>
      <c r="E10238" s="3">
        <v>0</v>
      </c>
      <c r="F10238" s="2">
        <v>4461</v>
      </c>
      <c r="G10238" s="2">
        <v>100</v>
      </c>
      <c r="H10238" s="2">
        <v>935</v>
      </c>
      <c r="I10238" s="2">
        <v>217</v>
      </c>
      <c r="J10238" s="2">
        <v>3021</v>
      </c>
      <c r="K10238" s="2">
        <v>1</v>
      </c>
      <c r="L10238" s="2">
        <v>935</v>
      </c>
    </row>
    <row r="10239" spans="1:12" x14ac:dyDescent="0.25">
      <c r="A10239" s="4" t="str">
        <f>HYPERLINK("http://www.rosaceae.org/Prunus/Prunus_persica/p.persica_gdr_reftransV1_0026141","p.persica_gdr_reftransV1_0026141")</f>
        <v>p.persica_gdr_reftransV1_0026141</v>
      </c>
      <c r="B10239" s="2">
        <v>2071</v>
      </c>
      <c r="C10239" s="4" t="str">
        <f>HYPERLINK("http://www.uniprot.org/uniprot/M5XPY8","M5XPY8")</f>
        <v>M5XPY8</v>
      </c>
      <c r="D10239" s="2" t="s">
        <v>8801</v>
      </c>
      <c r="E10239" s="3">
        <v>0</v>
      </c>
      <c r="F10239" s="2">
        <v>1858</v>
      </c>
      <c r="G10239" s="2">
        <v>100</v>
      </c>
      <c r="H10239" s="2">
        <v>344</v>
      </c>
      <c r="I10239" s="2">
        <v>834</v>
      </c>
      <c r="J10239" s="2">
        <v>1865</v>
      </c>
      <c r="K10239" s="2">
        <v>1</v>
      </c>
      <c r="L10239" s="2">
        <v>344</v>
      </c>
    </row>
    <row r="10240" spans="1:12" x14ac:dyDescent="0.25">
      <c r="A10240" s="4" t="str">
        <f>HYPERLINK("http://www.rosaceae.org/Prunus/Prunus_persica/p.persica_gdr_reftransV1_0026491","p.persica_gdr_reftransV1_0026491")</f>
        <v>p.persica_gdr_reftransV1_0026491</v>
      </c>
      <c r="B10240" s="2">
        <v>1003</v>
      </c>
      <c r="C10240" s="4" t="str">
        <f>HYPERLINK("http://www.uniprot.org/uniprot/M5XEA5","M5XEA5")</f>
        <v>M5XEA5</v>
      </c>
      <c r="D10240" s="2" t="s">
        <v>8802</v>
      </c>
      <c r="E10240" s="3">
        <v>2.0099999999999999E-59</v>
      </c>
      <c r="F10240" s="2">
        <v>501</v>
      </c>
      <c r="G10240" s="2">
        <v>100</v>
      </c>
      <c r="H10240" s="2">
        <v>99</v>
      </c>
      <c r="I10240" s="2">
        <v>466</v>
      </c>
      <c r="J10240" s="2">
        <v>762</v>
      </c>
      <c r="K10240" s="2">
        <v>1</v>
      </c>
      <c r="L10240" s="2">
        <v>99</v>
      </c>
    </row>
    <row r="10241" spans="1:12" x14ac:dyDescent="0.25">
      <c r="A10241" s="4" t="str">
        <f>HYPERLINK("http://www.rosaceae.org/Prunus/Prunus_persica/p.persica_gdr_reftransV1_0028591","p.persica_gdr_reftransV1_0028591")</f>
        <v>p.persica_gdr_reftransV1_0028591</v>
      </c>
      <c r="B10241" s="2">
        <v>601</v>
      </c>
      <c r="C10241" s="4" t="str">
        <f>HYPERLINK("http://www.uniprot.org/uniprot/M5WB45","M5WB45")</f>
        <v>M5WB45</v>
      </c>
      <c r="D10241" s="2" t="s">
        <v>8803</v>
      </c>
      <c r="E10241" s="3">
        <v>5.5899999999999999E-67</v>
      </c>
      <c r="F10241" s="2">
        <v>542</v>
      </c>
      <c r="G10241" s="2">
        <v>100</v>
      </c>
      <c r="H10241" s="2">
        <v>138</v>
      </c>
      <c r="I10241" s="2">
        <v>180</v>
      </c>
      <c r="J10241" s="2">
        <v>593</v>
      </c>
      <c r="K10241" s="2">
        <v>1</v>
      </c>
      <c r="L10241" s="2">
        <v>138</v>
      </c>
    </row>
    <row r="10242" spans="1:12" x14ac:dyDescent="0.25">
      <c r="A10242" s="4" t="str">
        <f>HYPERLINK("http://www.rosaceae.org/Prunus/Prunus_persica/p.persica_gdr_reftransV1_0028941","p.persica_gdr_reftransV1_0028941")</f>
        <v>p.persica_gdr_reftransV1_0028941</v>
      </c>
      <c r="B10242" s="2">
        <v>2301</v>
      </c>
      <c r="C10242" s="4" t="str">
        <f>HYPERLINK("http://www.uniprot.org/uniprot/W9QLY1","W9QLY1")</f>
        <v>W9QLY1</v>
      </c>
      <c r="D10242" s="2" t="s">
        <v>8804</v>
      </c>
      <c r="E10242" s="3">
        <v>0</v>
      </c>
      <c r="F10242" s="2">
        <v>2400</v>
      </c>
      <c r="G10242" s="2">
        <v>88</v>
      </c>
      <c r="H10242" s="2">
        <v>500</v>
      </c>
      <c r="I10242" s="2">
        <v>509</v>
      </c>
      <c r="J10242" s="2">
        <v>2008</v>
      </c>
      <c r="K10242" s="2">
        <v>108</v>
      </c>
      <c r="L10242" s="2">
        <v>607</v>
      </c>
    </row>
    <row r="10243" spans="1:12" x14ac:dyDescent="0.25">
      <c r="A10243" s="4" t="str">
        <f>HYPERLINK("http://www.rosaceae.org/Prunus/Prunus_persica/p.persica_gdr_reftransV1_0031041","p.persica_gdr_reftransV1_0031041")</f>
        <v>p.persica_gdr_reftransV1_0031041</v>
      </c>
      <c r="B10243" s="2">
        <v>1518</v>
      </c>
      <c r="C10243" s="4" t="str">
        <f>HYPERLINK("http://www.uniprot.org/uniprot/M5WCG5","M5WCG5")</f>
        <v>M5WCG5</v>
      </c>
      <c r="D10243" s="2" t="s">
        <v>8805</v>
      </c>
      <c r="E10243" s="3">
        <v>2.3900000000000002E-174</v>
      </c>
      <c r="F10243" s="2">
        <v>1295</v>
      </c>
      <c r="G10243" s="2">
        <v>100</v>
      </c>
      <c r="H10243" s="2">
        <v>247</v>
      </c>
      <c r="I10243" s="2">
        <v>275</v>
      </c>
      <c r="J10243" s="2">
        <v>1015</v>
      </c>
      <c r="K10243" s="2">
        <v>7</v>
      </c>
      <c r="L10243" s="2">
        <v>253</v>
      </c>
    </row>
    <row r="10244" spans="1:12" x14ac:dyDescent="0.25">
      <c r="A10244" s="4" t="str">
        <f>HYPERLINK("http://www.rosaceae.org/Prunus/Prunus_persica/p.persica_gdr_reftransV1_0035241","p.persica_gdr_reftransV1_0035241")</f>
        <v>p.persica_gdr_reftransV1_0035241</v>
      </c>
      <c r="B10244" s="2">
        <v>3435</v>
      </c>
      <c r="C10244" s="4" t="str">
        <f>HYPERLINK("http://www.uniprot.org/uniprot/M5XQ62","M5XQ62")</f>
        <v>M5XQ62</v>
      </c>
      <c r="D10244" s="2" t="s">
        <v>1658</v>
      </c>
      <c r="E10244" s="3">
        <v>0</v>
      </c>
      <c r="F10244" s="2">
        <v>4713</v>
      </c>
      <c r="G10244" s="2">
        <v>94</v>
      </c>
      <c r="H10244" s="2">
        <v>1023</v>
      </c>
      <c r="I10244" s="2">
        <v>75</v>
      </c>
      <c r="J10244" s="2">
        <v>3143</v>
      </c>
      <c r="K10244" s="2">
        <v>1</v>
      </c>
      <c r="L10244" s="2">
        <v>1021</v>
      </c>
    </row>
    <row r="10245" spans="1:12" x14ac:dyDescent="0.25">
      <c r="A10245" s="4" t="str">
        <f>HYPERLINK("http://www.rosaceae.org/Prunus/Prunus_persica/p.persica_gdr_reftransV1_0038391","p.persica_gdr_reftransV1_0038391")</f>
        <v>p.persica_gdr_reftransV1_0038391</v>
      </c>
      <c r="B10245" s="2">
        <v>2133</v>
      </c>
      <c r="C10245" s="4" t="str">
        <f>HYPERLINK("http://www.uniprot.org/uniprot/W9QJP7","W9QJP7")</f>
        <v>W9QJP7</v>
      </c>
      <c r="D10245" s="2" t="s">
        <v>8806</v>
      </c>
      <c r="E10245" s="3">
        <v>2.3700000000000001E-61</v>
      </c>
      <c r="F10245" s="2">
        <v>549</v>
      </c>
      <c r="G10245" s="2">
        <v>81</v>
      </c>
      <c r="H10245" s="2">
        <v>131</v>
      </c>
      <c r="I10245" s="2">
        <v>1410</v>
      </c>
      <c r="J10245" s="2">
        <v>1796</v>
      </c>
      <c r="K10245" s="2">
        <v>1</v>
      </c>
      <c r="L10245" s="2">
        <v>131</v>
      </c>
    </row>
    <row r="10246" spans="1:12" x14ac:dyDescent="0.25">
      <c r="A10246" s="4" t="str">
        <f>HYPERLINK("http://www.rosaceae.org/Prunus/Prunus_persica/p.persica_gdr_reftransV1_0040141","p.persica_gdr_reftransV1_0040141")</f>
        <v>p.persica_gdr_reftransV1_0040141</v>
      </c>
      <c r="B10246" s="2">
        <v>677</v>
      </c>
      <c r="C10246" s="4" t="str">
        <f>HYPERLINK("http://www.uniprot.org/uniprot/M5WXE7","M5WXE7")</f>
        <v>M5WXE7</v>
      </c>
      <c r="D10246" s="2" t="s">
        <v>8738</v>
      </c>
      <c r="E10246" s="3">
        <v>1.21E-106</v>
      </c>
      <c r="F10246" s="2">
        <v>849</v>
      </c>
      <c r="G10246" s="2">
        <v>100</v>
      </c>
      <c r="H10246" s="2">
        <v>175</v>
      </c>
      <c r="I10246" s="2">
        <v>3</v>
      </c>
      <c r="J10246" s="2">
        <v>527</v>
      </c>
      <c r="K10246" s="2">
        <v>431</v>
      </c>
      <c r="L10246" s="2">
        <v>605</v>
      </c>
    </row>
    <row r="10247" spans="1:12" x14ac:dyDescent="0.25">
      <c r="A10247" s="4" t="str">
        <f>HYPERLINK("http://www.rosaceae.org/Prunus/Prunus_persica/p.persica_gdr_reftransV1_0041541","p.persica_gdr_reftransV1_0041541")</f>
        <v>p.persica_gdr_reftransV1_0041541</v>
      </c>
      <c r="B10247" s="2">
        <v>2010</v>
      </c>
      <c r="C10247" s="4" t="str">
        <f>HYPERLINK("http://www.uniprot.org/uniprot/M5VKU7","M5VKU7")</f>
        <v>M5VKU7</v>
      </c>
      <c r="D10247" s="2" t="s">
        <v>8807</v>
      </c>
      <c r="E10247" s="3">
        <v>0</v>
      </c>
      <c r="F10247" s="2">
        <v>1386</v>
      </c>
      <c r="G10247" s="2">
        <v>100</v>
      </c>
      <c r="H10247" s="2">
        <v>273</v>
      </c>
      <c r="I10247" s="2">
        <v>294</v>
      </c>
      <c r="J10247" s="2">
        <v>1112</v>
      </c>
      <c r="K10247" s="2">
        <v>1</v>
      </c>
      <c r="L10247" s="2">
        <v>273</v>
      </c>
    </row>
    <row r="10248" spans="1:12" x14ac:dyDescent="0.25">
      <c r="A10248" s="4" t="str">
        <f>HYPERLINK("http://www.rosaceae.org/Prunus/Prunus_persica/p.persica_gdr_reftransV1_0042241","p.persica_gdr_reftransV1_0042241")</f>
        <v>p.persica_gdr_reftransV1_0042241</v>
      </c>
      <c r="B10248" s="2">
        <v>3076</v>
      </c>
      <c r="C10248" s="4" t="str">
        <f>HYPERLINK("http://www.uniprot.org/uniprot/M5X9K5","M5X9K5")</f>
        <v>M5X9K5</v>
      </c>
      <c r="D10248" s="2" t="s">
        <v>8808</v>
      </c>
      <c r="E10248" s="3">
        <v>0</v>
      </c>
      <c r="F10248" s="2">
        <v>2892</v>
      </c>
      <c r="G10248" s="2">
        <v>94</v>
      </c>
      <c r="H10248" s="2">
        <v>663</v>
      </c>
      <c r="I10248" s="2">
        <v>232</v>
      </c>
      <c r="J10248" s="2">
        <v>2220</v>
      </c>
      <c r="K10248" s="2">
        <v>36</v>
      </c>
      <c r="L10248" s="2">
        <v>658</v>
      </c>
    </row>
    <row r="10249" spans="1:12" x14ac:dyDescent="0.25">
      <c r="A10249" s="4" t="str">
        <f>HYPERLINK("http://www.rosaceae.org/Prunus/Prunus_persica/p.persica_gdr_reftransV1_0043291","p.persica_gdr_reftransV1_0043291")</f>
        <v>p.persica_gdr_reftransV1_0043291</v>
      </c>
      <c r="B10249" s="2">
        <v>1340</v>
      </c>
      <c r="C10249" s="4" t="str">
        <f>HYPERLINK("http://www.uniprot.org/uniprot/B3EZE9","B3EZE9")</f>
        <v>B3EZE9</v>
      </c>
      <c r="D10249" s="2" t="s">
        <v>8809</v>
      </c>
      <c r="E10249" s="3">
        <v>0</v>
      </c>
      <c r="F10249" s="2">
        <v>1729</v>
      </c>
      <c r="G10249" s="2">
        <v>100</v>
      </c>
      <c r="H10249" s="2">
        <v>351</v>
      </c>
      <c r="I10249" s="2">
        <v>46</v>
      </c>
      <c r="J10249" s="2">
        <v>1098</v>
      </c>
      <c r="K10249" s="2">
        <v>1</v>
      </c>
      <c r="L10249" s="2">
        <v>351</v>
      </c>
    </row>
    <row r="10250" spans="1:12" x14ac:dyDescent="0.25">
      <c r="A10250" s="4" t="str">
        <f>HYPERLINK("http://www.rosaceae.org/Prunus/Prunus_persica/p.persica_gdr_reftransV1_0043641","p.persica_gdr_reftransV1_0043641")</f>
        <v>p.persica_gdr_reftransV1_0043641</v>
      </c>
      <c r="B10250" s="2">
        <v>1560</v>
      </c>
      <c r="C10250" s="4" t="str">
        <f>HYPERLINK("http://www.uniprot.org/uniprot/M5W317","M5W317")</f>
        <v>M5W317</v>
      </c>
      <c r="D10250" s="2" t="s">
        <v>2518</v>
      </c>
      <c r="E10250" s="3">
        <v>0</v>
      </c>
      <c r="F10250" s="2">
        <v>1404</v>
      </c>
      <c r="G10250" s="2">
        <v>97</v>
      </c>
      <c r="H10250" s="2">
        <v>366</v>
      </c>
      <c r="I10250" s="2">
        <v>214</v>
      </c>
      <c r="J10250" s="2">
        <v>1311</v>
      </c>
      <c r="K10250" s="2">
        <v>8</v>
      </c>
      <c r="L10250" s="2">
        <v>362</v>
      </c>
    </row>
    <row r="10251" spans="1:12" x14ac:dyDescent="0.25">
      <c r="A10251" s="4" t="str">
        <f>HYPERLINK("http://www.rosaceae.org/Prunus/Prunus_persica/p.persica_gdr_reftransV1_0043991","p.persica_gdr_reftransV1_0043991")</f>
        <v>p.persica_gdr_reftransV1_0043991</v>
      </c>
      <c r="B10251" s="2">
        <v>2951</v>
      </c>
      <c r="C10251" s="4" t="str">
        <f>HYPERLINK("http://www.uniprot.org/uniprot/M5W7K2","M5W7K2")</f>
        <v>M5W7K2</v>
      </c>
      <c r="D10251" s="2" t="s">
        <v>7488</v>
      </c>
      <c r="E10251" s="3">
        <v>0</v>
      </c>
      <c r="F10251" s="2">
        <v>2380</v>
      </c>
      <c r="G10251" s="2">
        <v>100</v>
      </c>
      <c r="H10251" s="2">
        <v>450</v>
      </c>
      <c r="I10251" s="2">
        <v>1602</v>
      </c>
      <c r="J10251" s="2">
        <v>2951</v>
      </c>
      <c r="K10251" s="2">
        <v>413</v>
      </c>
      <c r="L10251" s="2">
        <v>862</v>
      </c>
    </row>
    <row r="10252" spans="1:12" x14ac:dyDescent="0.25">
      <c r="A10252" s="4" t="str">
        <f>HYPERLINK("http://www.rosaceae.org/Prunus/Prunus_persica/p.persica_gdr_reftransV1_0044691","p.persica_gdr_reftransV1_0044691")</f>
        <v>p.persica_gdr_reftransV1_0044691</v>
      </c>
      <c r="B10252" s="2">
        <v>942</v>
      </c>
      <c r="C10252" s="4" t="str">
        <f>HYPERLINK("http://www.uniprot.org/uniprot/M5WZT3","M5WZT3")</f>
        <v>M5WZT3</v>
      </c>
      <c r="D10252" s="2" t="s">
        <v>7586</v>
      </c>
      <c r="E10252" s="3">
        <v>0</v>
      </c>
      <c r="F10252" s="2">
        <v>1445</v>
      </c>
      <c r="G10252" s="2">
        <v>100</v>
      </c>
      <c r="H10252" s="2">
        <v>268</v>
      </c>
      <c r="I10252" s="2">
        <v>3</v>
      </c>
      <c r="J10252" s="2">
        <v>806</v>
      </c>
      <c r="K10252" s="2">
        <v>493</v>
      </c>
      <c r="L10252" s="2">
        <v>760</v>
      </c>
    </row>
    <row r="10253" spans="1:12" x14ac:dyDescent="0.25">
      <c r="A10253" s="4" t="str">
        <f>HYPERLINK("http://www.rosaceae.org/Prunus/Prunus_persica/p.persica_gdr_reftransV1_0045391","p.persica_gdr_reftransV1_0045391")</f>
        <v>p.persica_gdr_reftransV1_0045391</v>
      </c>
      <c r="B10253" s="2">
        <v>767</v>
      </c>
      <c r="C10253" s="4" t="str">
        <f>HYPERLINK("http://www.uniprot.org/uniprot/M5XER3","M5XER3")</f>
        <v>M5XER3</v>
      </c>
      <c r="D10253" s="2" t="s">
        <v>8810</v>
      </c>
      <c r="E10253" s="3">
        <v>1.3400000000000001E-118</v>
      </c>
      <c r="F10253" s="2">
        <v>897</v>
      </c>
      <c r="G10253" s="2">
        <v>86</v>
      </c>
      <c r="H10253" s="2">
        <v>212</v>
      </c>
      <c r="I10253" s="2">
        <v>31</v>
      </c>
      <c r="J10253" s="2">
        <v>666</v>
      </c>
      <c r="K10253" s="2">
        <v>6</v>
      </c>
      <c r="L10253" s="2">
        <v>217</v>
      </c>
    </row>
    <row r="10254" spans="1:12" x14ac:dyDescent="0.25">
      <c r="A10254" s="4" t="str">
        <f>HYPERLINK("http://www.rosaceae.org/Prunus/Prunus_persica/p.persica_gdr_reftransV1_0045741","p.persica_gdr_reftransV1_0045741")</f>
        <v>p.persica_gdr_reftransV1_0045741</v>
      </c>
      <c r="B10254" s="2">
        <v>771</v>
      </c>
      <c r="C10254" s="4" t="str">
        <f>HYPERLINK("http://www.uniprot.org/uniprot/M5W681","M5W681")</f>
        <v>M5W681</v>
      </c>
      <c r="D10254" s="2" t="s">
        <v>8811</v>
      </c>
      <c r="E10254" s="3">
        <v>7.1399999999999995E-83</v>
      </c>
      <c r="F10254" s="2">
        <v>652</v>
      </c>
      <c r="G10254" s="2">
        <v>100</v>
      </c>
      <c r="H10254" s="2">
        <v>127</v>
      </c>
      <c r="I10254" s="2">
        <v>195</v>
      </c>
      <c r="J10254" s="2">
        <v>575</v>
      </c>
      <c r="K10254" s="2">
        <v>1</v>
      </c>
      <c r="L10254" s="2">
        <v>127</v>
      </c>
    </row>
    <row r="10255" spans="1:12" x14ac:dyDescent="0.25">
      <c r="A10255" s="4" t="str">
        <f>HYPERLINK("http://www.rosaceae.org/Prunus/Prunus_persica/p.persica_gdr_reftransV1_0046091","p.persica_gdr_reftransV1_0046091")</f>
        <v>p.persica_gdr_reftransV1_0046091</v>
      </c>
      <c r="B10255" s="2">
        <v>1985</v>
      </c>
      <c r="C10255" s="4" t="str">
        <f>HYPERLINK("http://www.uniprot.org/uniprot/M5W9J4","M5W9J4")</f>
        <v>M5W9J4</v>
      </c>
      <c r="D10255" s="2" t="s">
        <v>3232</v>
      </c>
      <c r="E10255" s="3">
        <v>5.9300000000000004E-72</v>
      </c>
      <c r="F10255" s="2">
        <v>622</v>
      </c>
      <c r="G10255" s="2">
        <v>100</v>
      </c>
      <c r="H10255" s="2">
        <v>155</v>
      </c>
      <c r="I10255" s="2">
        <v>598</v>
      </c>
      <c r="J10255" s="2">
        <v>1062</v>
      </c>
      <c r="K10255" s="2">
        <v>1</v>
      </c>
      <c r="L10255" s="2">
        <v>155</v>
      </c>
    </row>
    <row r="10256" spans="1:12" x14ac:dyDescent="0.25">
      <c r="A10256" s="4" t="str">
        <f>HYPERLINK("http://www.rosaceae.org/Prunus/Prunus_persica/p.persica_gdr_reftransV1_0046441","p.persica_gdr_reftransV1_0046441")</f>
        <v>p.persica_gdr_reftransV1_0046441</v>
      </c>
      <c r="B10256" s="2">
        <v>731</v>
      </c>
      <c r="C10256" s="4" t="str">
        <f>HYPERLINK("http://www.uniprot.org/uniprot/M5X8P9","M5X8P9")</f>
        <v>M5X8P9</v>
      </c>
      <c r="D10256" s="2" t="s">
        <v>8812</v>
      </c>
      <c r="E10256" s="3">
        <v>1.3000000000000001E-91</v>
      </c>
      <c r="F10256" s="2">
        <v>747</v>
      </c>
      <c r="G10256" s="2">
        <v>100</v>
      </c>
      <c r="H10256" s="2">
        <v>141</v>
      </c>
      <c r="I10256" s="2">
        <v>11</v>
      </c>
      <c r="J10256" s="2">
        <v>433</v>
      </c>
      <c r="K10256" s="2">
        <v>431</v>
      </c>
      <c r="L10256" s="2">
        <v>571</v>
      </c>
    </row>
    <row r="10257" spans="1:12" x14ac:dyDescent="0.25">
      <c r="A10257" s="4" t="str">
        <f>HYPERLINK("http://www.rosaceae.org/Prunus/Prunus_persica/p.persica_gdr_reftransV1_0046791","p.persica_gdr_reftransV1_0046791")</f>
        <v>p.persica_gdr_reftransV1_0046791</v>
      </c>
      <c r="B10257" s="2">
        <v>615</v>
      </c>
      <c r="C10257" s="4" t="str">
        <f>HYPERLINK("http://www.uniprot.org/uniprot/M5XQQ2","M5XQQ2")</f>
        <v>M5XQQ2</v>
      </c>
      <c r="D10257" s="2" t="s">
        <v>8464</v>
      </c>
      <c r="E10257" s="3">
        <v>3.4600000000000002E-119</v>
      </c>
      <c r="F10257" s="2">
        <v>968</v>
      </c>
      <c r="G10257" s="2">
        <v>98</v>
      </c>
      <c r="H10257" s="2">
        <v>205</v>
      </c>
      <c r="I10257" s="2">
        <v>1</v>
      </c>
      <c r="J10257" s="2">
        <v>615</v>
      </c>
      <c r="K10257" s="2">
        <v>587</v>
      </c>
      <c r="L10257" s="2">
        <v>791</v>
      </c>
    </row>
    <row r="10258" spans="1:12" x14ac:dyDescent="0.25">
      <c r="A10258" s="4" t="str">
        <f>HYPERLINK("http://www.rosaceae.org/Prunus/Prunus_persica/p.persica_gdr_reftransV1_0047141","p.persica_gdr_reftransV1_0047141")</f>
        <v>p.persica_gdr_reftransV1_0047141</v>
      </c>
      <c r="B10258" s="2">
        <v>411</v>
      </c>
      <c r="C10258" s="4" t="str">
        <f>HYPERLINK("http://www.uniprot.org/uniprot/M5WND6","M5WND6")</f>
        <v>M5WND6</v>
      </c>
      <c r="D10258" s="2" t="s">
        <v>3287</v>
      </c>
      <c r="E10258" s="3">
        <v>4.7100000000000002E-71</v>
      </c>
      <c r="F10258" s="2">
        <v>590</v>
      </c>
      <c r="G10258" s="2">
        <v>98</v>
      </c>
      <c r="H10258" s="2">
        <v>114</v>
      </c>
      <c r="I10258" s="2">
        <v>2</v>
      </c>
      <c r="J10258" s="2">
        <v>343</v>
      </c>
      <c r="K10258" s="2">
        <v>1</v>
      </c>
      <c r="L10258" s="2">
        <v>114</v>
      </c>
    </row>
    <row r="10259" spans="1:12" x14ac:dyDescent="0.25">
      <c r="A10259" s="4" t="str">
        <f>HYPERLINK("http://www.rosaceae.org/Prunus/Prunus_persica/p.persica_gdr_reftransV1_0047841","p.persica_gdr_reftransV1_0047841")</f>
        <v>p.persica_gdr_reftransV1_0047841</v>
      </c>
      <c r="B10259" s="2">
        <v>1147</v>
      </c>
      <c r="C10259" s="4" t="str">
        <f>HYPERLINK("http://www.uniprot.org/uniprot/M5WTM0","M5WTM0")</f>
        <v>M5WTM0</v>
      </c>
      <c r="D10259" s="2" t="s">
        <v>8813</v>
      </c>
      <c r="E10259" s="3">
        <v>3.3399999999999999E-126</v>
      </c>
      <c r="F10259" s="2">
        <v>965</v>
      </c>
      <c r="G10259" s="2">
        <v>89</v>
      </c>
      <c r="H10259" s="2">
        <v>236</v>
      </c>
      <c r="I10259" s="2">
        <v>272</v>
      </c>
      <c r="J10259" s="2">
        <v>967</v>
      </c>
      <c r="K10259" s="2">
        <v>30</v>
      </c>
      <c r="L10259" s="2">
        <v>265</v>
      </c>
    </row>
    <row r="10260" spans="1:12" x14ac:dyDescent="0.25">
      <c r="A10260" s="4" t="str">
        <f>HYPERLINK("http://www.rosaceae.org/Prunus/Prunus_persica/p.persica_gdr_reftransV1_0048191","p.persica_gdr_reftransV1_0048191")</f>
        <v>p.persica_gdr_reftransV1_0048191</v>
      </c>
      <c r="B10260" s="2">
        <v>1024</v>
      </c>
      <c r="C10260" s="4" t="str">
        <f>HYPERLINK("http://www.uniprot.org/uniprot/M0SMQ5","M0SMQ5")</f>
        <v>M0SMQ5</v>
      </c>
      <c r="D10260" s="2" t="s">
        <v>2192</v>
      </c>
      <c r="E10260" s="3">
        <v>2.6700000000000002E-102</v>
      </c>
      <c r="F10260" s="2">
        <v>794</v>
      </c>
      <c r="G10260" s="2">
        <v>96</v>
      </c>
      <c r="H10260" s="2">
        <v>157</v>
      </c>
      <c r="I10260" s="2">
        <v>459</v>
      </c>
      <c r="J10260" s="2">
        <v>929</v>
      </c>
      <c r="K10260" s="2">
        <v>15</v>
      </c>
      <c r="L10260" s="2">
        <v>171</v>
      </c>
    </row>
    <row r="10261" spans="1:12" x14ac:dyDescent="0.25">
      <c r="A10261" s="4" t="str">
        <f>HYPERLINK("http://www.rosaceae.org/Prunus/Prunus_persica/p.persica_gdr_reftransV1_0048891","p.persica_gdr_reftransV1_0048891")</f>
        <v>p.persica_gdr_reftransV1_0048891</v>
      </c>
      <c r="B10261" s="2">
        <v>1580</v>
      </c>
      <c r="C10261" s="4" t="str">
        <f>HYPERLINK("http://www.uniprot.org/uniprot/M5VZ71","M5VZ71")</f>
        <v>M5VZ71</v>
      </c>
      <c r="D10261" s="2" t="s">
        <v>6597</v>
      </c>
      <c r="E10261" s="3">
        <v>0</v>
      </c>
      <c r="F10261" s="2">
        <v>2071</v>
      </c>
      <c r="G10261" s="2">
        <v>100</v>
      </c>
      <c r="H10261" s="2">
        <v>388</v>
      </c>
      <c r="I10261" s="2">
        <v>216</v>
      </c>
      <c r="J10261" s="2">
        <v>1379</v>
      </c>
      <c r="K10261" s="2">
        <v>1</v>
      </c>
      <c r="L10261" s="2">
        <v>388</v>
      </c>
    </row>
    <row r="10262" spans="1:12" x14ac:dyDescent="0.25">
      <c r="A10262" s="4" t="str">
        <f>HYPERLINK("http://www.rosaceae.org/Prunus/Prunus_persica/p.persica_gdr_reftransV1_0000242","p.persica_gdr_reftransV1_0000242")</f>
        <v>p.persica_gdr_reftransV1_0000242</v>
      </c>
      <c r="B10262" s="2">
        <v>1498</v>
      </c>
      <c r="C10262" s="4" t="str">
        <f>HYPERLINK("http://www.uniprot.org/uniprot/M5WS77","M5WS77")</f>
        <v>M5WS77</v>
      </c>
      <c r="D10262" s="2" t="s">
        <v>8814</v>
      </c>
      <c r="E10262" s="3">
        <v>0</v>
      </c>
      <c r="F10262" s="2">
        <v>2003</v>
      </c>
      <c r="G10262" s="2">
        <v>100</v>
      </c>
      <c r="H10262" s="2">
        <v>385</v>
      </c>
      <c r="I10262" s="2">
        <v>83</v>
      </c>
      <c r="J10262" s="2">
        <v>1237</v>
      </c>
      <c r="K10262" s="2">
        <v>1</v>
      </c>
      <c r="L10262" s="2">
        <v>385</v>
      </c>
    </row>
    <row r="10263" spans="1:12" x14ac:dyDescent="0.25">
      <c r="A10263" s="4" t="str">
        <f>HYPERLINK("http://www.rosaceae.org/Prunus/Prunus_persica/p.persica_gdr_reftransV1_0000592","p.persica_gdr_reftransV1_0000592")</f>
        <v>p.persica_gdr_reftransV1_0000592</v>
      </c>
      <c r="B10263" s="2">
        <v>2809</v>
      </c>
      <c r="C10263" s="4" t="str">
        <f>HYPERLINK("http://www.uniprot.org/uniprot/M5XB32","M5XB32")</f>
        <v>M5XB32</v>
      </c>
      <c r="D10263" s="2" t="s">
        <v>6707</v>
      </c>
      <c r="E10263" s="3">
        <v>0</v>
      </c>
      <c r="F10263" s="2">
        <v>3969</v>
      </c>
      <c r="G10263" s="2">
        <v>100</v>
      </c>
      <c r="H10263" s="2">
        <v>772</v>
      </c>
      <c r="I10263" s="2">
        <v>363</v>
      </c>
      <c r="J10263" s="2">
        <v>2678</v>
      </c>
      <c r="K10263" s="2">
        <v>1</v>
      </c>
      <c r="L10263" s="2">
        <v>772</v>
      </c>
    </row>
    <row r="10264" spans="1:12" x14ac:dyDescent="0.25">
      <c r="A10264" s="4" t="str">
        <f>HYPERLINK("http://www.rosaceae.org/Prunus/Prunus_persica/p.persica_gdr_reftransV1_0000942","p.persica_gdr_reftransV1_0000942")</f>
        <v>p.persica_gdr_reftransV1_0000942</v>
      </c>
      <c r="B10264" s="2">
        <v>1807</v>
      </c>
      <c r="C10264" s="4" t="str">
        <f>HYPERLINK("http://www.uniprot.org/uniprot/M5WWI6","M5WWI6")</f>
        <v>M5WWI6</v>
      </c>
      <c r="D10264" s="2" t="s">
        <v>8815</v>
      </c>
      <c r="E10264" s="3">
        <v>0</v>
      </c>
      <c r="F10264" s="2">
        <v>2313</v>
      </c>
      <c r="G10264" s="2">
        <v>100</v>
      </c>
      <c r="H10264" s="2">
        <v>489</v>
      </c>
      <c r="I10264" s="2">
        <v>83</v>
      </c>
      <c r="J10264" s="2">
        <v>1549</v>
      </c>
      <c r="K10264" s="2">
        <v>1</v>
      </c>
      <c r="L10264" s="2">
        <v>489</v>
      </c>
    </row>
    <row r="10265" spans="1:12" x14ac:dyDescent="0.25">
      <c r="A10265" s="4" t="str">
        <f>HYPERLINK("http://www.rosaceae.org/Prunus/Prunus_persica/p.persica_gdr_reftransV1_0001292","p.persica_gdr_reftransV1_0001292")</f>
        <v>p.persica_gdr_reftransV1_0001292</v>
      </c>
      <c r="B10265" s="2">
        <v>1586</v>
      </c>
      <c r="C10265" s="4" t="str">
        <f>HYPERLINK("http://www.uniprot.org/uniprot/M5XCS9","M5XCS9")</f>
        <v>M5XCS9</v>
      </c>
      <c r="D10265" s="2" t="s">
        <v>8816</v>
      </c>
      <c r="E10265" s="3">
        <v>0</v>
      </c>
      <c r="F10265" s="2">
        <v>1917</v>
      </c>
      <c r="G10265" s="2">
        <v>98</v>
      </c>
      <c r="H10265" s="2">
        <v>405</v>
      </c>
      <c r="I10265" s="2">
        <v>295</v>
      </c>
      <c r="J10265" s="2">
        <v>1509</v>
      </c>
      <c r="K10265" s="2">
        <v>1</v>
      </c>
      <c r="L10265" s="2">
        <v>395</v>
      </c>
    </row>
    <row r="10266" spans="1:12" x14ac:dyDescent="0.25">
      <c r="A10266" s="4" t="str">
        <f>HYPERLINK("http://www.rosaceae.org/Prunus/Prunus_persica/p.persica_gdr_reftransV1_0001642","p.persica_gdr_reftransV1_0001642")</f>
        <v>p.persica_gdr_reftransV1_0001642</v>
      </c>
      <c r="B10266" s="2">
        <v>543</v>
      </c>
      <c r="C10266" s="4" t="str">
        <f>HYPERLINK("http://www.uniprot.org/uniprot/A0A067K490","A0A067K490")</f>
        <v>A0A067K490</v>
      </c>
      <c r="D10266" s="2" t="s">
        <v>8817</v>
      </c>
      <c r="E10266" s="3">
        <v>8.2100000000000003E-63</v>
      </c>
      <c r="F10266" s="2">
        <v>520</v>
      </c>
      <c r="G10266" s="2">
        <v>78</v>
      </c>
      <c r="H10266" s="2">
        <v>122</v>
      </c>
      <c r="I10266" s="2">
        <v>148</v>
      </c>
      <c r="J10266" s="2">
        <v>513</v>
      </c>
      <c r="K10266" s="2">
        <v>1</v>
      </c>
      <c r="L10266" s="2">
        <v>122</v>
      </c>
    </row>
    <row r="10267" spans="1:12" x14ac:dyDescent="0.25">
      <c r="A10267" s="4" t="str">
        <f>HYPERLINK("http://www.rosaceae.org/Prunus/Prunus_persica/p.persica_gdr_reftransV1_0001992","p.persica_gdr_reftransV1_0001992")</f>
        <v>p.persica_gdr_reftransV1_0001992</v>
      </c>
      <c r="B10267" s="2">
        <v>1118</v>
      </c>
      <c r="C10267" s="4" t="str">
        <f>HYPERLINK("http://www.uniprot.org/uniprot/M5W1S1","M5W1S1")</f>
        <v>M5W1S1</v>
      </c>
      <c r="D10267" s="2" t="s">
        <v>8818</v>
      </c>
      <c r="E10267" s="3">
        <v>1.1899999999999999E-84</v>
      </c>
      <c r="F10267" s="2">
        <v>677</v>
      </c>
      <c r="G10267" s="2">
        <v>100</v>
      </c>
      <c r="H10267" s="2">
        <v>139</v>
      </c>
      <c r="I10267" s="2">
        <v>554</v>
      </c>
      <c r="J10267" s="2">
        <v>970</v>
      </c>
      <c r="K10267" s="2">
        <v>1</v>
      </c>
      <c r="L10267" s="2">
        <v>139</v>
      </c>
    </row>
    <row r="10268" spans="1:12" x14ac:dyDescent="0.25">
      <c r="A10268" s="4" t="str">
        <f>HYPERLINK("http://www.rosaceae.org/Prunus/Prunus_persica/p.persica_gdr_reftransV1_0002342","p.persica_gdr_reftransV1_0002342")</f>
        <v>p.persica_gdr_reftransV1_0002342</v>
      </c>
      <c r="B10268" s="2">
        <v>1835</v>
      </c>
      <c r="C10268" s="4" t="str">
        <f>HYPERLINK("http://www.uniprot.org/uniprot/M5XS29","M5XS29")</f>
        <v>M5XS29</v>
      </c>
      <c r="D10268" s="2" t="s">
        <v>8819</v>
      </c>
      <c r="E10268" s="3">
        <v>0</v>
      </c>
      <c r="F10268" s="2">
        <v>2582</v>
      </c>
      <c r="G10268" s="2">
        <v>100</v>
      </c>
      <c r="H10268" s="2">
        <v>514</v>
      </c>
      <c r="I10268" s="2">
        <v>73</v>
      </c>
      <c r="J10268" s="2">
        <v>1614</v>
      </c>
      <c r="K10268" s="2">
        <v>1</v>
      </c>
      <c r="L10268" s="2">
        <v>514</v>
      </c>
    </row>
    <row r="10269" spans="1:12" x14ac:dyDescent="0.25">
      <c r="A10269" s="4" t="str">
        <f>HYPERLINK("http://www.rosaceae.org/Prunus/Prunus_persica/p.persica_gdr_reftransV1_0002692","p.persica_gdr_reftransV1_0002692")</f>
        <v>p.persica_gdr_reftransV1_0002692</v>
      </c>
      <c r="B10269" s="2">
        <v>1121</v>
      </c>
      <c r="C10269" s="4" t="str">
        <f>HYPERLINK("http://www.uniprot.org/uniprot/M5X5A3","M5X5A3")</f>
        <v>M5X5A3</v>
      </c>
      <c r="D10269" s="2" t="s">
        <v>8820</v>
      </c>
      <c r="E10269" s="3">
        <v>1.0400000000000001E-68</v>
      </c>
      <c r="F10269" s="2">
        <v>592</v>
      </c>
      <c r="G10269" s="2">
        <v>100</v>
      </c>
      <c r="H10269" s="2">
        <v>109</v>
      </c>
      <c r="I10269" s="2">
        <v>794</v>
      </c>
      <c r="J10269" s="2">
        <v>1120</v>
      </c>
      <c r="K10269" s="2">
        <v>279</v>
      </c>
      <c r="L10269" s="2">
        <v>387</v>
      </c>
    </row>
    <row r="10270" spans="1:12" x14ac:dyDescent="0.25">
      <c r="A10270" s="4" t="str">
        <f>HYPERLINK("http://www.rosaceae.org/Prunus/Prunus_persica/p.persica_gdr_reftransV1_0003392","p.persica_gdr_reftransV1_0003392")</f>
        <v>p.persica_gdr_reftransV1_0003392</v>
      </c>
      <c r="B10270" s="2">
        <v>332</v>
      </c>
      <c r="C10270" s="4" t="str">
        <f>HYPERLINK("http://www.uniprot.org/uniprot/M5VXZ3","M5VXZ3")</f>
        <v>M5VXZ3</v>
      </c>
      <c r="D10270" s="2" t="s">
        <v>8821</v>
      </c>
      <c r="E10270" s="3">
        <v>1.5900000000000001E-70</v>
      </c>
      <c r="F10270" s="2">
        <v>584</v>
      </c>
      <c r="G10270" s="2">
        <v>100</v>
      </c>
      <c r="H10270" s="2">
        <v>110</v>
      </c>
      <c r="I10270" s="2">
        <v>1</v>
      </c>
      <c r="J10270" s="2">
        <v>330</v>
      </c>
      <c r="K10270" s="2">
        <v>150</v>
      </c>
      <c r="L10270" s="2">
        <v>259</v>
      </c>
    </row>
    <row r="10271" spans="1:12" x14ac:dyDescent="0.25">
      <c r="A10271" s="4" t="str">
        <f>HYPERLINK("http://www.rosaceae.org/Prunus/Prunus_persica/p.persica_gdr_reftransV1_0003742","p.persica_gdr_reftransV1_0003742")</f>
        <v>p.persica_gdr_reftransV1_0003742</v>
      </c>
      <c r="B10271" s="2">
        <v>1080</v>
      </c>
      <c r="C10271" s="4" t="str">
        <f>HYPERLINK("http://www.uniprot.org/uniprot/M5XGM6","M5XGM6")</f>
        <v>M5XGM6</v>
      </c>
      <c r="D10271" s="2" t="s">
        <v>8822</v>
      </c>
      <c r="E10271" s="3">
        <v>8.6599999999999997E-144</v>
      </c>
      <c r="F10271" s="2">
        <v>1076</v>
      </c>
      <c r="G10271" s="2">
        <v>100</v>
      </c>
      <c r="H10271" s="2">
        <v>216</v>
      </c>
      <c r="I10271" s="2">
        <v>115</v>
      </c>
      <c r="J10271" s="2">
        <v>762</v>
      </c>
      <c r="K10271" s="2">
        <v>1</v>
      </c>
      <c r="L10271" s="2">
        <v>216</v>
      </c>
    </row>
    <row r="10272" spans="1:12" x14ac:dyDescent="0.25">
      <c r="A10272" s="4" t="str">
        <f>HYPERLINK("http://www.rosaceae.org/Prunus/Prunus_persica/p.persica_gdr_reftransV1_0004442","p.persica_gdr_reftransV1_0004442")</f>
        <v>p.persica_gdr_reftransV1_0004442</v>
      </c>
      <c r="B10272" s="2">
        <v>2647</v>
      </c>
      <c r="C10272" s="4" t="str">
        <f>HYPERLINK("http://www.uniprot.org/uniprot/M5W2D6","M5W2D6")</f>
        <v>M5W2D6</v>
      </c>
      <c r="D10272" s="2" t="s">
        <v>8823</v>
      </c>
      <c r="E10272" s="3">
        <v>0</v>
      </c>
      <c r="F10272" s="2">
        <v>3482</v>
      </c>
      <c r="G10272" s="2">
        <v>100</v>
      </c>
      <c r="H10272" s="2">
        <v>665</v>
      </c>
      <c r="I10272" s="2">
        <v>427</v>
      </c>
      <c r="J10272" s="2">
        <v>2421</v>
      </c>
      <c r="K10272" s="2">
        <v>1</v>
      </c>
      <c r="L10272" s="2">
        <v>665</v>
      </c>
    </row>
    <row r="10273" spans="1:12" x14ac:dyDescent="0.25">
      <c r="A10273" s="4" t="str">
        <f>HYPERLINK("http://www.rosaceae.org/Prunus/Prunus_persica/p.persica_gdr_reftransV1_0005492","p.persica_gdr_reftransV1_0005492")</f>
        <v>p.persica_gdr_reftransV1_0005492</v>
      </c>
      <c r="B10273" s="2">
        <v>1245</v>
      </c>
      <c r="C10273" s="4" t="str">
        <f>HYPERLINK("http://www.uniprot.org/uniprot/M5XSS5","M5XSS5")</f>
        <v>M5XSS5</v>
      </c>
      <c r="D10273" s="2" t="s">
        <v>8824</v>
      </c>
      <c r="E10273" s="3">
        <v>0</v>
      </c>
      <c r="F10273" s="2">
        <v>1388</v>
      </c>
      <c r="G10273" s="2">
        <v>100</v>
      </c>
      <c r="H10273" s="2">
        <v>261</v>
      </c>
      <c r="I10273" s="2">
        <v>393</v>
      </c>
      <c r="J10273" s="2">
        <v>1175</v>
      </c>
      <c r="K10273" s="2">
        <v>1</v>
      </c>
      <c r="L10273" s="2">
        <v>261</v>
      </c>
    </row>
    <row r="10274" spans="1:12" x14ac:dyDescent="0.25">
      <c r="A10274" s="4" t="str">
        <f>HYPERLINK("http://www.rosaceae.org/Prunus/Prunus_persica/p.persica_gdr_reftransV1_0007242","p.persica_gdr_reftransV1_0007242")</f>
        <v>p.persica_gdr_reftransV1_0007242</v>
      </c>
      <c r="B10274" s="2">
        <v>3146</v>
      </c>
      <c r="C10274" s="4" t="str">
        <f>HYPERLINK("http://www.uniprot.org/uniprot/M5WCW2","M5WCW2")</f>
        <v>M5WCW2</v>
      </c>
      <c r="D10274" s="2" t="s">
        <v>8825</v>
      </c>
      <c r="E10274" s="3">
        <v>0</v>
      </c>
      <c r="F10274" s="2">
        <v>3698</v>
      </c>
      <c r="G10274" s="2">
        <v>94</v>
      </c>
      <c r="H10274" s="2">
        <v>893</v>
      </c>
      <c r="I10274" s="2">
        <v>78</v>
      </c>
      <c r="J10274" s="2">
        <v>2756</v>
      </c>
      <c r="K10274" s="2">
        <v>1</v>
      </c>
      <c r="L10274" s="2">
        <v>837</v>
      </c>
    </row>
    <row r="10275" spans="1:12" x14ac:dyDescent="0.25">
      <c r="A10275" s="4" t="str">
        <f>HYPERLINK("http://www.rosaceae.org/Prunus/Prunus_persica/p.persica_gdr_reftransV1_0007592","p.persica_gdr_reftransV1_0007592")</f>
        <v>p.persica_gdr_reftransV1_0007592</v>
      </c>
      <c r="B10275" s="2">
        <v>863</v>
      </c>
      <c r="C10275" s="4" t="str">
        <f>HYPERLINK("http://www.uniprot.org/uniprot/M5W0H8","M5W0H8")</f>
        <v>M5W0H8</v>
      </c>
      <c r="D10275" s="2" t="s">
        <v>8826</v>
      </c>
      <c r="E10275" s="3">
        <v>2.71E-93</v>
      </c>
      <c r="F10275" s="2">
        <v>728</v>
      </c>
      <c r="G10275" s="2">
        <v>100</v>
      </c>
      <c r="H10275" s="2">
        <v>140</v>
      </c>
      <c r="I10275" s="2">
        <v>99</v>
      </c>
      <c r="J10275" s="2">
        <v>518</v>
      </c>
      <c r="K10275" s="2">
        <v>1</v>
      </c>
      <c r="L10275" s="2">
        <v>140</v>
      </c>
    </row>
    <row r="10276" spans="1:12" x14ac:dyDescent="0.25">
      <c r="A10276" s="4" t="str">
        <f>HYPERLINK("http://www.rosaceae.org/Prunus/Prunus_persica/p.persica_gdr_reftransV1_0007942","p.persica_gdr_reftransV1_0007942")</f>
        <v>p.persica_gdr_reftransV1_0007942</v>
      </c>
      <c r="B10276" s="2">
        <v>2266</v>
      </c>
      <c r="C10276" s="4" t="str">
        <f>HYPERLINK("http://www.uniprot.org/uniprot/M5X6S9","M5X6S9")</f>
        <v>M5X6S9</v>
      </c>
      <c r="D10276" s="2" t="s">
        <v>8827</v>
      </c>
      <c r="E10276" s="3">
        <v>0</v>
      </c>
      <c r="F10276" s="2">
        <v>3085</v>
      </c>
      <c r="G10276" s="2">
        <v>99</v>
      </c>
      <c r="H10276" s="2">
        <v>579</v>
      </c>
      <c r="I10276" s="2">
        <v>325</v>
      </c>
      <c r="J10276" s="2">
        <v>2061</v>
      </c>
      <c r="K10276" s="2">
        <v>1</v>
      </c>
      <c r="L10276" s="2">
        <v>579</v>
      </c>
    </row>
    <row r="10277" spans="1:12" x14ac:dyDescent="0.25">
      <c r="A10277" s="4" t="str">
        <f>HYPERLINK("http://www.rosaceae.org/Prunus/Prunus_persica/p.persica_gdr_reftransV1_0008292","p.persica_gdr_reftransV1_0008292")</f>
        <v>p.persica_gdr_reftransV1_0008292</v>
      </c>
      <c r="B10277" s="2">
        <v>2645</v>
      </c>
      <c r="C10277" s="4" t="str">
        <f>HYPERLINK("http://www.uniprot.org/uniprot/M5VMQ4","M5VMQ4")</f>
        <v>M5VMQ4</v>
      </c>
      <c r="D10277" s="2" t="s">
        <v>8828</v>
      </c>
      <c r="E10277" s="3">
        <v>0</v>
      </c>
      <c r="F10277" s="2">
        <v>3468</v>
      </c>
      <c r="G10277" s="2">
        <v>100</v>
      </c>
      <c r="H10277" s="2">
        <v>675</v>
      </c>
      <c r="I10277" s="2">
        <v>320</v>
      </c>
      <c r="J10277" s="2">
        <v>2344</v>
      </c>
      <c r="K10277" s="2">
        <v>1</v>
      </c>
      <c r="L10277" s="2">
        <v>675</v>
      </c>
    </row>
    <row r="10278" spans="1:12" x14ac:dyDescent="0.25">
      <c r="A10278" s="4" t="str">
        <f>HYPERLINK("http://www.rosaceae.org/Prunus/Prunus_persica/p.persica_gdr_reftransV1_0008992","p.persica_gdr_reftransV1_0008992")</f>
        <v>p.persica_gdr_reftransV1_0008992</v>
      </c>
      <c r="B10278" s="2">
        <v>1787</v>
      </c>
      <c r="C10278" s="4" t="str">
        <f>HYPERLINK("http://www.uniprot.org/uniprot/M5W3W8","M5W3W8")</f>
        <v>M5W3W8</v>
      </c>
      <c r="D10278" s="2" t="s">
        <v>8829</v>
      </c>
      <c r="E10278" s="3">
        <v>0</v>
      </c>
      <c r="F10278" s="2">
        <v>2770</v>
      </c>
      <c r="G10278" s="2">
        <v>100</v>
      </c>
      <c r="H10278" s="2">
        <v>528</v>
      </c>
      <c r="I10278" s="2">
        <v>37</v>
      </c>
      <c r="J10278" s="2">
        <v>1620</v>
      </c>
      <c r="K10278" s="2">
        <v>1</v>
      </c>
      <c r="L10278" s="2">
        <v>528</v>
      </c>
    </row>
    <row r="10279" spans="1:12" x14ac:dyDescent="0.25">
      <c r="A10279" s="4" t="str">
        <f>HYPERLINK("http://www.rosaceae.org/Prunus/Prunus_persica/p.persica_gdr_reftransV1_0009342","p.persica_gdr_reftransV1_0009342")</f>
        <v>p.persica_gdr_reftransV1_0009342</v>
      </c>
      <c r="B10279" s="2">
        <v>3054</v>
      </c>
      <c r="C10279" s="4" t="str">
        <f>HYPERLINK("http://www.uniprot.org/uniprot/M5W658","M5W658")</f>
        <v>M5W658</v>
      </c>
      <c r="D10279" s="2" t="s">
        <v>8830</v>
      </c>
      <c r="E10279" s="3">
        <v>0</v>
      </c>
      <c r="F10279" s="2">
        <v>2470</v>
      </c>
      <c r="G10279" s="2">
        <v>100</v>
      </c>
      <c r="H10279" s="2">
        <v>550</v>
      </c>
      <c r="I10279" s="2">
        <v>294</v>
      </c>
      <c r="J10279" s="2">
        <v>1943</v>
      </c>
      <c r="K10279" s="2">
        <v>1</v>
      </c>
      <c r="L10279" s="2">
        <v>550</v>
      </c>
    </row>
    <row r="10280" spans="1:12" x14ac:dyDescent="0.25">
      <c r="A10280" s="4" t="str">
        <f>HYPERLINK("http://www.rosaceae.org/Prunus/Prunus_persica/p.persica_gdr_reftransV1_0009692","p.persica_gdr_reftransV1_0009692")</f>
        <v>p.persica_gdr_reftransV1_0009692</v>
      </c>
      <c r="B10280" s="2">
        <v>1758</v>
      </c>
      <c r="C10280" s="4" t="str">
        <f>HYPERLINK("http://www.uniprot.org/uniprot/M5W646","M5W646")</f>
        <v>M5W646</v>
      </c>
      <c r="D10280" s="2" t="s">
        <v>8831</v>
      </c>
      <c r="E10280" s="3">
        <v>0</v>
      </c>
      <c r="F10280" s="2">
        <v>2034</v>
      </c>
      <c r="G10280" s="2">
        <v>100</v>
      </c>
      <c r="H10280" s="2">
        <v>399</v>
      </c>
      <c r="I10280" s="2">
        <v>457</v>
      </c>
      <c r="J10280" s="2">
        <v>1653</v>
      </c>
      <c r="K10280" s="2">
        <v>1</v>
      </c>
      <c r="L10280" s="2">
        <v>399</v>
      </c>
    </row>
    <row r="10281" spans="1:12" x14ac:dyDescent="0.25">
      <c r="A10281" s="4" t="str">
        <f>HYPERLINK("http://www.rosaceae.org/Prunus/Prunus_persica/p.persica_gdr_reftransV1_0010042","p.persica_gdr_reftransV1_0010042")</f>
        <v>p.persica_gdr_reftransV1_0010042</v>
      </c>
      <c r="B10281" s="2">
        <v>1472</v>
      </c>
      <c r="C10281" s="4" t="str">
        <f>HYPERLINK("http://www.uniprot.org/uniprot/M5VRA7","M5VRA7")</f>
        <v>M5VRA7</v>
      </c>
      <c r="D10281" s="2" t="s">
        <v>8832</v>
      </c>
      <c r="E10281" s="3">
        <v>0</v>
      </c>
      <c r="F10281" s="2">
        <v>1745</v>
      </c>
      <c r="G10281" s="2">
        <v>100</v>
      </c>
      <c r="H10281" s="2">
        <v>344</v>
      </c>
      <c r="I10281" s="2">
        <v>205</v>
      </c>
      <c r="J10281" s="2">
        <v>1236</v>
      </c>
      <c r="K10281" s="2">
        <v>1</v>
      </c>
      <c r="L10281" s="2">
        <v>344</v>
      </c>
    </row>
    <row r="10282" spans="1:12" x14ac:dyDescent="0.25">
      <c r="A10282" s="4" t="str">
        <f>HYPERLINK("http://www.rosaceae.org/Prunus/Prunus_persica/p.persica_gdr_reftransV1_0010392","p.persica_gdr_reftransV1_0010392")</f>
        <v>p.persica_gdr_reftransV1_0010392</v>
      </c>
      <c r="B10282" s="2">
        <v>792</v>
      </c>
      <c r="C10282" s="4" t="str">
        <f>HYPERLINK("http://www.uniprot.org/uniprot/M5XKF2","M5XKF2")</f>
        <v>M5XKF2</v>
      </c>
      <c r="D10282" s="2" t="s">
        <v>1382</v>
      </c>
      <c r="E10282" s="3">
        <v>7.2299999999999998E-56</v>
      </c>
      <c r="F10282" s="2">
        <v>484</v>
      </c>
      <c r="G10282" s="2">
        <v>100</v>
      </c>
      <c r="H10282" s="2">
        <v>125</v>
      </c>
      <c r="I10282" s="2">
        <v>418</v>
      </c>
      <c r="J10282" s="2">
        <v>792</v>
      </c>
      <c r="K10282" s="2">
        <v>122</v>
      </c>
      <c r="L10282" s="2">
        <v>246</v>
      </c>
    </row>
    <row r="10283" spans="1:12" x14ac:dyDescent="0.25">
      <c r="A10283" s="4" t="str">
        <f>HYPERLINK("http://www.rosaceae.org/Prunus/Prunus_persica/p.persica_gdr_reftransV1_0010742","p.persica_gdr_reftransV1_0010742")</f>
        <v>p.persica_gdr_reftransV1_0010742</v>
      </c>
      <c r="B10283" s="2">
        <v>909</v>
      </c>
      <c r="C10283" s="4" t="str">
        <f>HYPERLINK("http://www.uniprot.org/uniprot/M5W8E7","M5W8E7")</f>
        <v>M5W8E7</v>
      </c>
      <c r="D10283" s="2" t="s">
        <v>8833</v>
      </c>
      <c r="E10283" s="3">
        <v>3.0500000000000003E-119</v>
      </c>
      <c r="F10283" s="2">
        <v>904</v>
      </c>
      <c r="G10283" s="2">
        <v>100</v>
      </c>
      <c r="H10283" s="2">
        <v>184</v>
      </c>
      <c r="I10283" s="2">
        <v>3</v>
      </c>
      <c r="J10283" s="2">
        <v>554</v>
      </c>
      <c r="K10283" s="2">
        <v>8</v>
      </c>
      <c r="L10283" s="2">
        <v>191</v>
      </c>
    </row>
    <row r="10284" spans="1:12" x14ac:dyDescent="0.25">
      <c r="A10284" s="4" t="str">
        <f>HYPERLINK("http://www.rosaceae.org/Prunus/Prunus_persica/p.persica_gdr_reftransV1_0012492","p.persica_gdr_reftransV1_0012492")</f>
        <v>p.persica_gdr_reftransV1_0012492</v>
      </c>
      <c r="B10284" s="2">
        <v>1152</v>
      </c>
      <c r="C10284" s="4" t="str">
        <f>HYPERLINK("http://www.uniprot.org/uniprot/M5XH49","M5XH49")</f>
        <v>M5XH49</v>
      </c>
      <c r="D10284" s="2" t="s">
        <v>8834</v>
      </c>
      <c r="E10284" s="3">
        <v>3.8899999999999998E-121</v>
      </c>
      <c r="F10284" s="2">
        <v>926</v>
      </c>
      <c r="G10284" s="2">
        <v>78</v>
      </c>
      <c r="H10284" s="2">
        <v>240</v>
      </c>
      <c r="I10284" s="2">
        <v>342</v>
      </c>
      <c r="J10284" s="2">
        <v>1061</v>
      </c>
      <c r="K10284" s="2">
        <v>1</v>
      </c>
      <c r="L10284" s="2">
        <v>202</v>
      </c>
    </row>
    <row r="10285" spans="1:12" x14ac:dyDescent="0.25">
      <c r="A10285" s="4" t="str">
        <f>HYPERLINK("http://www.rosaceae.org/Prunus/Prunus_persica/p.persica_gdr_reftransV1_0013542","p.persica_gdr_reftransV1_0013542")</f>
        <v>p.persica_gdr_reftransV1_0013542</v>
      </c>
      <c r="B10285" s="2">
        <v>2748</v>
      </c>
      <c r="C10285" s="4" t="str">
        <f>HYPERLINK("http://www.uniprot.org/uniprot/M5X4T1","M5X4T1")</f>
        <v>M5X4T1</v>
      </c>
      <c r="D10285" s="2" t="s">
        <v>8835</v>
      </c>
      <c r="E10285" s="3">
        <v>0</v>
      </c>
      <c r="F10285" s="2">
        <v>2311</v>
      </c>
      <c r="G10285" s="2">
        <v>100</v>
      </c>
      <c r="H10285" s="2">
        <v>471</v>
      </c>
      <c r="I10285" s="2">
        <v>1056</v>
      </c>
      <c r="J10285" s="2">
        <v>2468</v>
      </c>
      <c r="K10285" s="2">
        <v>1</v>
      </c>
      <c r="L10285" s="2">
        <v>471</v>
      </c>
    </row>
    <row r="10286" spans="1:12" x14ac:dyDescent="0.25">
      <c r="A10286" s="4" t="str">
        <f>HYPERLINK("http://www.rosaceae.org/Prunus/Prunus_persica/p.persica_gdr_reftransV1_0014242","p.persica_gdr_reftransV1_0014242")</f>
        <v>p.persica_gdr_reftransV1_0014242</v>
      </c>
      <c r="B10286" s="2">
        <v>979</v>
      </c>
      <c r="C10286" s="4" t="str">
        <f>HYPERLINK("http://www.uniprot.org/uniprot/M5WWP3","M5WWP3")</f>
        <v>M5WWP3</v>
      </c>
      <c r="D10286" s="2" t="s">
        <v>8836</v>
      </c>
      <c r="E10286" s="3">
        <v>8.5599999999999993E-33</v>
      </c>
      <c r="F10286" s="2">
        <v>319</v>
      </c>
      <c r="G10286" s="2">
        <v>100</v>
      </c>
      <c r="H10286" s="2">
        <v>71</v>
      </c>
      <c r="I10286" s="2">
        <v>502</v>
      </c>
      <c r="J10286" s="2">
        <v>714</v>
      </c>
      <c r="K10286" s="2">
        <v>12</v>
      </c>
      <c r="L10286" s="2">
        <v>82</v>
      </c>
    </row>
    <row r="10287" spans="1:12" x14ac:dyDescent="0.25">
      <c r="A10287" s="4" t="str">
        <f>HYPERLINK("http://www.rosaceae.org/Prunus/Prunus_persica/p.persica_gdr_reftransV1_0014942","p.persica_gdr_reftransV1_0014942")</f>
        <v>p.persica_gdr_reftransV1_0014942</v>
      </c>
      <c r="B10287" s="2">
        <v>1071</v>
      </c>
      <c r="C10287" s="4" t="str">
        <f>HYPERLINK("http://www.uniprot.org/uniprot/M5VLA1","M5VLA1")</f>
        <v>M5VLA1</v>
      </c>
      <c r="D10287" s="2" t="s">
        <v>8837</v>
      </c>
      <c r="E10287" s="3">
        <v>0</v>
      </c>
      <c r="F10287" s="2">
        <v>1559</v>
      </c>
      <c r="G10287" s="2">
        <v>100</v>
      </c>
      <c r="H10287" s="2">
        <v>293</v>
      </c>
      <c r="I10287" s="2">
        <v>1</v>
      </c>
      <c r="J10287" s="2">
        <v>879</v>
      </c>
      <c r="K10287" s="2">
        <v>155</v>
      </c>
      <c r="L10287" s="2">
        <v>447</v>
      </c>
    </row>
    <row r="10288" spans="1:12" x14ac:dyDescent="0.25">
      <c r="A10288" s="4" t="str">
        <f>HYPERLINK("http://www.rosaceae.org/Prunus/Prunus_persica/p.persica_gdr_reftransV1_0015992","p.persica_gdr_reftransV1_0015992")</f>
        <v>p.persica_gdr_reftransV1_0015992</v>
      </c>
      <c r="B10288" s="2">
        <v>1851</v>
      </c>
      <c r="C10288" s="4" t="str">
        <f>HYPERLINK("http://www.uniprot.org/uniprot/M5W4E6","M5W4E6")</f>
        <v>M5W4E6</v>
      </c>
      <c r="D10288" s="2" t="s">
        <v>8838</v>
      </c>
      <c r="E10288" s="3">
        <v>0</v>
      </c>
      <c r="F10288" s="2">
        <v>1977</v>
      </c>
      <c r="G10288" s="2">
        <v>80</v>
      </c>
      <c r="H10288" s="2">
        <v>483</v>
      </c>
      <c r="I10288" s="2">
        <v>283</v>
      </c>
      <c r="J10288" s="2">
        <v>1719</v>
      </c>
      <c r="K10288" s="2">
        <v>4</v>
      </c>
      <c r="L10288" s="2">
        <v>486</v>
      </c>
    </row>
    <row r="10289" spans="1:12" x14ac:dyDescent="0.25">
      <c r="A10289" s="4" t="str">
        <f>HYPERLINK("http://www.rosaceae.org/Prunus/Prunus_persica/p.persica_gdr_reftransV1_0017042","p.persica_gdr_reftransV1_0017042")</f>
        <v>p.persica_gdr_reftransV1_0017042</v>
      </c>
      <c r="B10289" s="2">
        <v>2178</v>
      </c>
      <c r="C10289" s="4" t="str">
        <f>HYPERLINK("http://www.uniprot.org/uniprot/M5VXJ0","M5VXJ0")</f>
        <v>M5VXJ0</v>
      </c>
      <c r="D10289" s="2" t="s">
        <v>2995</v>
      </c>
      <c r="E10289" s="3">
        <v>0</v>
      </c>
      <c r="F10289" s="2">
        <v>2241</v>
      </c>
      <c r="G10289" s="2">
        <v>100</v>
      </c>
      <c r="H10289" s="2">
        <v>482</v>
      </c>
      <c r="I10289" s="2">
        <v>359</v>
      </c>
      <c r="J10289" s="2">
        <v>1804</v>
      </c>
      <c r="K10289" s="2">
        <v>571</v>
      </c>
      <c r="L10289" s="2">
        <v>1052</v>
      </c>
    </row>
    <row r="10290" spans="1:12" x14ac:dyDescent="0.25">
      <c r="A10290" s="4" t="str">
        <f>HYPERLINK("http://www.rosaceae.org/Prunus/Prunus_persica/p.persica_gdr_reftransV1_0017742","p.persica_gdr_reftransV1_0017742")</f>
        <v>p.persica_gdr_reftransV1_0017742</v>
      </c>
      <c r="B10290" s="2">
        <v>1978</v>
      </c>
      <c r="C10290" s="4" t="str">
        <f>HYPERLINK("http://www.uniprot.org/uniprot/M5VHM3","M5VHM3")</f>
        <v>M5VHM3</v>
      </c>
      <c r="D10290" s="2" t="s">
        <v>8839</v>
      </c>
      <c r="E10290" s="3">
        <v>0</v>
      </c>
      <c r="F10290" s="2">
        <v>2273</v>
      </c>
      <c r="G10290" s="2">
        <v>100</v>
      </c>
      <c r="H10290" s="2">
        <v>422</v>
      </c>
      <c r="I10290" s="2">
        <v>229</v>
      </c>
      <c r="J10290" s="2">
        <v>1494</v>
      </c>
      <c r="K10290" s="2">
        <v>1</v>
      </c>
      <c r="L10290" s="2">
        <v>422</v>
      </c>
    </row>
    <row r="10291" spans="1:12" x14ac:dyDescent="0.25">
      <c r="A10291" s="4" t="str">
        <f>HYPERLINK("http://www.rosaceae.org/Prunus/Prunus_persica/p.persica_gdr_reftransV1_0018092","p.persica_gdr_reftransV1_0018092")</f>
        <v>p.persica_gdr_reftransV1_0018092</v>
      </c>
      <c r="B10291" s="2">
        <v>4120</v>
      </c>
      <c r="C10291" s="4" t="str">
        <f>HYPERLINK("http://www.uniprot.org/uniprot/M5WM60","M5WM60")</f>
        <v>M5WM60</v>
      </c>
      <c r="D10291" s="2" t="s">
        <v>4243</v>
      </c>
      <c r="E10291" s="3">
        <v>0</v>
      </c>
      <c r="F10291" s="2">
        <v>4637</v>
      </c>
      <c r="G10291" s="2">
        <v>100</v>
      </c>
      <c r="H10291" s="2">
        <v>942</v>
      </c>
      <c r="I10291" s="2">
        <v>1266</v>
      </c>
      <c r="J10291" s="2">
        <v>4091</v>
      </c>
      <c r="K10291" s="2">
        <v>1</v>
      </c>
      <c r="L10291" s="2">
        <v>942</v>
      </c>
    </row>
    <row r="10292" spans="1:12" x14ac:dyDescent="0.25">
      <c r="A10292" s="4" t="str">
        <f>HYPERLINK("http://www.rosaceae.org/Prunus/Prunus_persica/p.persica_gdr_reftransV1_0018442","p.persica_gdr_reftransV1_0018442")</f>
        <v>p.persica_gdr_reftransV1_0018442</v>
      </c>
      <c r="B10292" s="2">
        <v>912</v>
      </c>
      <c r="C10292" s="4" t="str">
        <f>HYPERLINK("http://www.uniprot.org/uniprot/M5XDQ5","M5XDQ5")</f>
        <v>M5XDQ5</v>
      </c>
      <c r="D10292" s="2" t="s">
        <v>8840</v>
      </c>
      <c r="E10292" s="3">
        <v>1.3899999999999999E-138</v>
      </c>
      <c r="F10292" s="2">
        <v>1032</v>
      </c>
      <c r="G10292" s="2">
        <v>100</v>
      </c>
      <c r="H10292" s="2">
        <v>199</v>
      </c>
      <c r="I10292" s="2">
        <v>305</v>
      </c>
      <c r="J10292" s="2">
        <v>901</v>
      </c>
      <c r="K10292" s="2">
        <v>1</v>
      </c>
      <c r="L10292" s="2">
        <v>199</v>
      </c>
    </row>
    <row r="10293" spans="1:12" x14ac:dyDescent="0.25">
      <c r="A10293" s="4" t="str">
        <f>HYPERLINK("http://www.rosaceae.org/Prunus/Prunus_persica/p.persica_gdr_reftransV1_0018792","p.persica_gdr_reftransV1_0018792")</f>
        <v>p.persica_gdr_reftransV1_0018792</v>
      </c>
      <c r="B10293" s="2">
        <v>2021</v>
      </c>
      <c r="C10293" s="4" t="str">
        <f>HYPERLINK("http://www.uniprot.org/uniprot/M5X7T4","M5X7T4")</f>
        <v>M5X7T4</v>
      </c>
      <c r="D10293" s="2" t="s">
        <v>8841</v>
      </c>
      <c r="E10293" s="3">
        <v>0</v>
      </c>
      <c r="F10293" s="2">
        <v>2333</v>
      </c>
      <c r="G10293" s="2">
        <v>100</v>
      </c>
      <c r="H10293" s="2">
        <v>538</v>
      </c>
      <c r="I10293" s="2">
        <v>353</v>
      </c>
      <c r="J10293" s="2">
        <v>1966</v>
      </c>
      <c r="K10293" s="2">
        <v>20</v>
      </c>
      <c r="L10293" s="2">
        <v>557</v>
      </c>
    </row>
    <row r="10294" spans="1:12" x14ac:dyDescent="0.25">
      <c r="A10294" s="4" t="str">
        <f>HYPERLINK("http://www.rosaceae.org/Prunus/Prunus_persica/p.persica_gdr_reftransV1_0019842","p.persica_gdr_reftransV1_0019842")</f>
        <v>p.persica_gdr_reftransV1_0019842</v>
      </c>
      <c r="B10294" s="2">
        <v>1208</v>
      </c>
      <c r="C10294" s="4" t="str">
        <f>HYPERLINK("http://www.uniprot.org/uniprot/M5VQ13","M5VQ13")</f>
        <v>M5VQ13</v>
      </c>
      <c r="D10294" s="2" t="s">
        <v>8842</v>
      </c>
      <c r="E10294" s="3">
        <v>0</v>
      </c>
      <c r="F10294" s="2">
        <v>1605</v>
      </c>
      <c r="G10294" s="2">
        <v>100</v>
      </c>
      <c r="H10294" s="2">
        <v>304</v>
      </c>
      <c r="I10294" s="2">
        <v>239</v>
      </c>
      <c r="J10294" s="2">
        <v>1150</v>
      </c>
      <c r="K10294" s="2">
        <v>1</v>
      </c>
      <c r="L10294" s="2">
        <v>304</v>
      </c>
    </row>
    <row r="10295" spans="1:12" x14ac:dyDescent="0.25">
      <c r="A10295" s="4" t="str">
        <f>HYPERLINK("http://www.rosaceae.org/Prunus/Prunus_persica/p.persica_gdr_reftransV1_0020892","p.persica_gdr_reftransV1_0020892")</f>
        <v>p.persica_gdr_reftransV1_0020892</v>
      </c>
      <c r="B10295" s="2">
        <v>2552</v>
      </c>
      <c r="C10295" s="4" t="str">
        <f>HYPERLINK("http://www.uniprot.org/uniprot/M5VJL1","M5VJL1")</f>
        <v>M5VJL1</v>
      </c>
      <c r="D10295" s="2" t="s">
        <v>8843</v>
      </c>
      <c r="E10295" s="3">
        <v>0</v>
      </c>
      <c r="F10295" s="2">
        <v>2026</v>
      </c>
      <c r="G10295" s="2">
        <v>98</v>
      </c>
      <c r="H10295" s="2">
        <v>429</v>
      </c>
      <c r="I10295" s="2">
        <v>1198</v>
      </c>
      <c r="J10295" s="2">
        <v>2481</v>
      </c>
      <c r="K10295" s="2">
        <v>1</v>
      </c>
      <c r="L10295" s="2">
        <v>429</v>
      </c>
    </row>
    <row r="10296" spans="1:12" x14ac:dyDescent="0.25">
      <c r="A10296" s="4" t="str">
        <f>HYPERLINK("http://www.rosaceae.org/Prunus/Prunus_persica/p.persica_gdr_reftransV1_0022642","p.persica_gdr_reftransV1_0022642")</f>
        <v>p.persica_gdr_reftransV1_0022642</v>
      </c>
      <c r="B10296" s="2">
        <v>2537</v>
      </c>
      <c r="C10296" s="4" t="str">
        <f>HYPERLINK("http://www.uniprot.org/uniprot/M5VYH6","M5VYH6")</f>
        <v>M5VYH6</v>
      </c>
      <c r="D10296" s="2" t="s">
        <v>8844</v>
      </c>
      <c r="E10296" s="3">
        <v>1.42E-170</v>
      </c>
      <c r="F10296" s="2">
        <v>1318</v>
      </c>
      <c r="G10296" s="2">
        <v>98</v>
      </c>
      <c r="H10296" s="2">
        <v>302</v>
      </c>
      <c r="I10296" s="2">
        <v>187</v>
      </c>
      <c r="J10296" s="2">
        <v>1092</v>
      </c>
      <c r="K10296" s="2">
        <v>1</v>
      </c>
      <c r="L10296" s="2">
        <v>300</v>
      </c>
    </row>
    <row r="10297" spans="1:12" x14ac:dyDescent="0.25">
      <c r="A10297" s="4" t="str">
        <f>HYPERLINK("http://www.rosaceae.org/Prunus/Prunus_persica/p.persica_gdr_reftransV1_0022992","p.persica_gdr_reftransV1_0022992")</f>
        <v>p.persica_gdr_reftransV1_0022992</v>
      </c>
      <c r="B10297" s="2">
        <v>860</v>
      </c>
      <c r="C10297" s="4" t="str">
        <f>HYPERLINK("http://www.uniprot.org/uniprot/M5X0T9","M5X0T9")</f>
        <v>M5X0T9</v>
      </c>
      <c r="D10297" s="2" t="s">
        <v>8845</v>
      </c>
      <c r="E10297" s="3">
        <v>2.4000000000000001E-117</v>
      </c>
      <c r="F10297" s="2">
        <v>888</v>
      </c>
      <c r="G10297" s="2">
        <v>100</v>
      </c>
      <c r="H10297" s="2">
        <v>170</v>
      </c>
      <c r="I10297" s="2">
        <v>1</v>
      </c>
      <c r="J10297" s="2">
        <v>510</v>
      </c>
      <c r="K10297" s="2">
        <v>8</v>
      </c>
      <c r="L10297" s="2">
        <v>177</v>
      </c>
    </row>
    <row r="10298" spans="1:12" x14ac:dyDescent="0.25">
      <c r="A10298" s="4" t="str">
        <f>HYPERLINK("http://www.rosaceae.org/Prunus/Prunus_persica/p.persica_gdr_reftransV1_0023692","p.persica_gdr_reftransV1_0023692")</f>
        <v>p.persica_gdr_reftransV1_0023692</v>
      </c>
      <c r="B10298" s="2">
        <v>1498</v>
      </c>
      <c r="C10298" s="4" t="str">
        <f>HYPERLINK("http://www.uniprot.org/uniprot/M5WLX7","M5WLX7")</f>
        <v>M5WLX7</v>
      </c>
      <c r="D10298" s="2" t="s">
        <v>4334</v>
      </c>
      <c r="E10298" s="3">
        <v>0</v>
      </c>
      <c r="F10298" s="2">
        <v>2381</v>
      </c>
      <c r="G10298" s="2">
        <v>100</v>
      </c>
      <c r="H10298" s="2">
        <v>467</v>
      </c>
      <c r="I10298" s="2">
        <v>1</v>
      </c>
      <c r="J10298" s="2">
        <v>1401</v>
      </c>
      <c r="K10298" s="2">
        <v>1</v>
      </c>
      <c r="L10298" s="2">
        <v>467</v>
      </c>
    </row>
    <row r="10299" spans="1:12" x14ac:dyDescent="0.25">
      <c r="A10299" s="4" t="str">
        <f>HYPERLINK("http://www.rosaceae.org/Prunus/Prunus_persica/p.persica_gdr_reftransV1_0024042","p.persica_gdr_reftransV1_0024042")</f>
        <v>p.persica_gdr_reftransV1_0024042</v>
      </c>
      <c r="B10299" s="2">
        <v>848</v>
      </c>
      <c r="C10299" s="4" t="str">
        <f>HYPERLINK("http://www.uniprot.org/uniprot/M5VZX0","M5VZX0")</f>
        <v>M5VZX0</v>
      </c>
      <c r="D10299" s="2" t="s">
        <v>8846</v>
      </c>
      <c r="E10299" s="3">
        <v>4.4099999999999999E-60</v>
      </c>
      <c r="F10299" s="2">
        <v>516</v>
      </c>
      <c r="G10299" s="2">
        <v>78</v>
      </c>
      <c r="H10299" s="2">
        <v>164</v>
      </c>
      <c r="I10299" s="2">
        <v>3</v>
      </c>
      <c r="J10299" s="2">
        <v>494</v>
      </c>
      <c r="K10299" s="2">
        <v>131</v>
      </c>
      <c r="L10299" s="2">
        <v>264</v>
      </c>
    </row>
    <row r="10300" spans="1:12" x14ac:dyDescent="0.25">
      <c r="A10300" s="4" t="str">
        <f>HYPERLINK("http://www.rosaceae.org/Prunus/Prunus_persica/p.persica_gdr_reftransV1_0024392","p.persica_gdr_reftransV1_0024392")</f>
        <v>p.persica_gdr_reftransV1_0024392</v>
      </c>
      <c r="B10300" s="2">
        <v>2415</v>
      </c>
      <c r="C10300" s="4" t="str">
        <f>HYPERLINK("http://www.uniprot.org/uniprot/M5XR20","M5XR20")</f>
        <v>M5XR20</v>
      </c>
      <c r="D10300" s="2" t="s">
        <v>8847</v>
      </c>
      <c r="E10300" s="3">
        <v>0</v>
      </c>
      <c r="F10300" s="2">
        <v>1620</v>
      </c>
      <c r="G10300" s="2">
        <v>100</v>
      </c>
      <c r="H10300" s="2">
        <v>326</v>
      </c>
      <c r="I10300" s="2">
        <v>1358</v>
      </c>
      <c r="J10300" s="2">
        <v>2335</v>
      </c>
      <c r="K10300" s="2">
        <v>1</v>
      </c>
      <c r="L10300" s="2">
        <v>326</v>
      </c>
    </row>
    <row r="10301" spans="1:12" x14ac:dyDescent="0.25">
      <c r="A10301" s="4" t="str">
        <f>HYPERLINK("http://www.rosaceae.org/Prunus/Prunus_persica/p.persica_gdr_reftransV1_0025792","p.persica_gdr_reftransV1_0025792")</f>
        <v>p.persica_gdr_reftransV1_0025792</v>
      </c>
      <c r="B10301" s="2">
        <v>2102</v>
      </c>
      <c r="C10301" s="4" t="str">
        <f>HYPERLINK("http://www.uniprot.org/uniprot/M5WHS3","M5WHS3")</f>
        <v>M5WHS3</v>
      </c>
      <c r="D10301" s="2" t="s">
        <v>8848</v>
      </c>
      <c r="E10301" s="3">
        <v>5.2500000000000004E-102</v>
      </c>
      <c r="F10301" s="2">
        <v>822</v>
      </c>
      <c r="G10301" s="2">
        <v>100</v>
      </c>
      <c r="H10301" s="2">
        <v>160</v>
      </c>
      <c r="I10301" s="2">
        <v>418</v>
      </c>
      <c r="J10301" s="2">
        <v>897</v>
      </c>
      <c r="K10301" s="2">
        <v>1</v>
      </c>
      <c r="L10301" s="2">
        <v>160</v>
      </c>
    </row>
    <row r="10302" spans="1:12" x14ac:dyDescent="0.25">
      <c r="A10302" s="4" t="str">
        <f>HYPERLINK("http://www.rosaceae.org/Prunus/Prunus_persica/p.persica_gdr_reftransV1_0026142","p.persica_gdr_reftransV1_0026142")</f>
        <v>p.persica_gdr_reftransV1_0026142</v>
      </c>
      <c r="B10302" s="2">
        <v>1957</v>
      </c>
      <c r="C10302" s="4" t="str">
        <f>HYPERLINK("http://www.uniprot.org/uniprot/M5WMQ3","M5WMQ3")</f>
        <v>M5WMQ3</v>
      </c>
      <c r="D10302" s="2" t="s">
        <v>8849</v>
      </c>
      <c r="E10302" s="3">
        <v>0</v>
      </c>
      <c r="F10302" s="2">
        <v>1712</v>
      </c>
      <c r="G10302" s="2">
        <v>100</v>
      </c>
      <c r="H10302" s="2">
        <v>320</v>
      </c>
      <c r="I10302" s="2">
        <v>666</v>
      </c>
      <c r="J10302" s="2">
        <v>1625</v>
      </c>
      <c r="K10302" s="2">
        <v>1</v>
      </c>
      <c r="L10302" s="2">
        <v>320</v>
      </c>
    </row>
    <row r="10303" spans="1:12" x14ac:dyDescent="0.25">
      <c r="A10303" s="4" t="str">
        <f>HYPERLINK("http://www.rosaceae.org/Prunus/Prunus_persica/p.persica_gdr_reftransV1_0026492","p.persica_gdr_reftransV1_0026492")</f>
        <v>p.persica_gdr_reftransV1_0026492</v>
      </c>
      <c r="B10303" s="2">
        <v>2542</v>
      </c>
      <c r="C10303" s="4" t="str">
        <f>HYPERLINK("http://www.uniprot.org/uniprot/B9EV45","B9EV45")</f>
        <v>B9EV45</v>
      </c>
      <c r="D10303" s="2" t="s">
        <v>8850</v>
      </c>
      <c r="E10303" s="3">
        <v>4.6100000000000002E-77</v>
      </c>
      <c r="F10303" s="2">
        <v>659</v>
      </c>
      <c r="G10303" s="2">
        <v>80</v>
      </c>
      <c r="H10303" s="2">
        <v>166</v>
      </c>
      <c r="I10303" s="2">
        <v>1460</v>
      </c>
      <c r="J10303" s="2">
        <v>1945</v>
      </c>
      <c r="K10303" s="2">
        <v>3</v>
      </c>
      <c r="L10303" s="2">
        <v>160</v>
      </c>
    </row>
    <row r="10304" spans="1:12" x14ac:dyDescent="0.25">
      <c r="A10304" s="4" t="str">
        <f>HYPERLINK("http://www.rosaceae.org/Prunus/Prunus_persica/p.persica_gdr_reftransV1_0027192","p.persica_gdr_reftransV1_0027192")</f>
        <v>p.persica_gdr_reftransV1_0027192</v>
      </c>
      <c r="B10304" s="2">
        <v>1070</v>
      </c>
      <c r="C10304" s="4" t="str">
        <f>HYPERLINK("http://www.uniprot.org/uniprot/M5WVP3","M5WVP3")</f>
        <v>M5WVP3</v>
      </c>
      <c r="D10304" s="2" t="s">
        <v>8851</v>
      </c>
      <c r="E10304" s="3">
        <v>2.5299999999999999E-111</v>
      </c>
      <c r="F10304" s="2">
        <v>856</v>
      </c>
      <c r="G10304" s="2">
        <v>100</v>
      </c>
      <c r="H10304" s="2">
        <v>185</v>
      </c>
      <c r="I10304" s="2">
        <v>242</v>
      </c>
      <c r="J10304" s="2">
        <v>796</v>
      </c>
      <c r="K10304" s="2">
        <v>1</v>
      </c>
      <c r="L10304" s="2">
        <v>185</v>
      </c>
    </row>
    <row r="10305" spans="1:12" x14ac:dyDescent="0.25">
      <c r="A10305" s="4" t="str">
        <f>HYPERLINK("http://www.rosaceae.org/Prunus/Prunus_persica/p.persica_gdr_reftransV1_0027892","p.persica_gdr_reftransV1_0027892")</f>
        <v>p.persica_gdr_reftransV1_0027892</v>
      </c>
      <c r="B10305" s="2">
        <v>5242</v>
      </c>
      <c r="C10305" s="4" t="str">
        <f>HYPERLINK("http://www.uniprot.org/uniprot/M5Y409","M5Y409")</f>
        <v>M5Y409</v>
      </c>
      <c r="D10305" s="2" t="s">
        <v>8852</v>
      </c>
      <c r="E10305" s="3">
        <v>0</v>
      </c>
      <c r="F10305" s="2">
        <v>4093</v>
      </c>
      <c r="G10305" s="2">
        <v>98</v>
      </c>
      <c r="H10305" s="2">
        <v>889</v>
      </c>
      <c r="I10305" s="2">
        <v>2461</v>
      </c>
      <c r="J10305" s="2">
        <v>5127</v>
      </c>
      <c r="K10305" s="2">
        <v>1</v>
      </c>
      <c r="L10305" s="2">
        <v>889</v>
      </c>
    </row>
    <row r="10306" spans="1:12" x14ac:dyDescent="0.25">
      <c r="A10306" s="4" t="str">
        <f>HYPERLINK("http://www.rosaceae.org/Prunus/Prunus_persica/p.persica_gdr_reftransV1_0029992","p.persica_gdr_reftransV1_0029992")</f>
        <v>p.persica_gdr_reftransV1_0029992</v>
      </c>
      <c r="B10306" s="2">
        <v>2124</v>
      </c>
      <c r="C10306" s="4" t="str">
        <f>HYPERLINK("http://www.uniprot.org/uniprot/M5WSE7","M5WSE7")</f>
        <v>M5WSE7</v>
      </c>
      <c r="D10306" s="2" t="s">
        <v>5822</v>
      </c>
      <c r="E10306" s="3">
        <v>0</v>
      </c>
      <c r="F10306" s="2">
        <v>1431</v>
      </c>
      <c r="G10306" s="2">
        <v>100</v>
      </c>
      <c r="H10306" s="2">
        <v>267</v>
      </c>
      <c r="I10306" s="2">
        <v>550</v>
      </c>
      <c r="J10306" s="2">
        <v>1350</v>
      </c>
      <c r="K10306" s="2">
        <v>112</v>
      </c>
      <c r="L10306" s="2">
        <v>378</v>
      </c>
    </row>
    <row r="10307" spans="1:12" x14ac:dyDescent="0.25">
      <c r="A10307" s="4" t="str">
        <f>HYPERLINK("http://www.rosaceae.org/Prunus/Prunus_persica/p.persica_gdr_reftransV1_0030342","p.persica_gdr_reftransV1_0030342")</f>
        <v>p.persica_gdr_reftransV1_0030342</v>
      </c>
      <c r="B10307" s="2">
        <v>4153</v>
      </c>
      <c r="C10307" s="4" t="str">
        <f>HYPERLINK("http://www.uniprot.org/uniprot/M5VPV2","M5VPV2")</f>
        <v>M5VPV2</v>
      </c>
      <c r="D10307" s="2" t="s">
        <v>8853</v>
      </c>
      <c r="E10307" s="3">
        <v>0</v>
      </c>
      <c r="F10307" s="2">
        <v>5101</v>
      </c>
      <c r="G10307" s="2">
        <v>100</v>
      </c>
      <c r="H10307" s="2">
        <v>1099</v>
      </c>
      <c r="I10307" s="2">
        <v>327</v>
      </c>
      <c r="J10307" s="2">
        <v>3623</v>
      </c>
      <c r="K10307" s="2">
        <v>16</v>
      </c>
      <c r="L10307" s="2">
        <v>1114</v>
      </c>
    </row>
    <row r="10308" spans="1:12" x14ac:dyDescent="0.25">
      <c r="A10308" s="4" t="str">
        <f>HYPERLINK("http://www.rosaceae.org/Prunus/Prunus_persica/p.persica_gdr_reftransV1_0030692","p.persica_gdr_reftransV1_0030692")</f>
        <v>p.persica_gdr_reftransV1_0030692</v>
      </c>
      <c r="B10308" s="2">
        <v>1524</v>
      </c>
      <c r="C10308" s="4" t="str">
        <f>HYPERLINK("http://www.uniprot.org/uniprot/A0A078E9G6","A0A078E9G6")</f>
        <v>A0A078E9G6</v>
      </c>
      <c r="D10308" s="2" t="s">
        <v>8854</v>
      </c>
      <c r="E10308" s="3">
        <v>1.55E-69</v>
      </c>
      <c r="F10308" s="2">
        <v>589</v>
      </c>
      <c r="G10308" s="2">
        <v>69</v>
      </c>
      <c r="H10308" s="2">
        <v>172</v>
      </c>
      <c r="I10308" s="2">
        <v>757</v>
      </c>
      <c r="J10308" s="2">
        <v>1257</v>
      </c>
      <c r="K10308" s="2">
        <v>1</v>
      </c>
      <c r="L10308" s="2">
        <v>171</v>
      </c>
    </row>
    <row r="10309" spans="1:12" x14ac:dyDescent="0.25">
      <c r="A10309" s="4" t="str">
        <f>HYPERLINK("http://www.rosaceae.org/Prunus/Prunus_persica/p.persica_gdr_reftransV1_0031042","p.persica_gdr_reftransV1_0031042")</f>
        <v>p.persica_gdr_reftransV1_0031042</v>
      </c>
      <c r="B10309" s="2">
        <v>1698</v>
      </c>
      <c r="C10309" s="4" t="str">
        <f>HYPERLINK("http://www.uniprot.org/uniprot/M5X0A9","M5X0A9")</f>
        <v>M5X0A9</v>
      </c>
      <c r="D10309" s="2" t="s">
        <v>8855</v>
      </c>
      <c r="E10309" s="3">
        <v>0</v>
      </c>
      <c r="F10309" s="2">
        <v>1790</v>
      </c>
      <c r="G10309" s="2">
        <v>100</v>
      </c>
      <c r="H10309" s="2">
        <v>365</v>
      </c>
      <c r="I10309" s="2">
        <v>270</v>
      </c>
      <c r="J10309" s="2">
        <v>1364</v>
      </c>
      <c r="K10309" s="2">
        <v>1</v>
      </c>
      <c r="L10309" s="2">
        <v>365</v>
      </c>
    </row>
    <row r="10310" spans="1:12" x14ac:dyDescent="0.25">
      <c r="A10310" s="4" t="str">
        <f>HYPERLINK("http://www.rosaceae.org/Prunus/Prunus_persica/p.persica_gdr_reftransV1_0031392","p.persica_gdr_reftransV1_0031392")</f>
        <v>p.persica_gdr_reftransV1_0031392</v>
      </c>
      <c r="B10310" s="2">
        <v>2775</v>
      </c>
      <c r="C10310" s="4" t="str">
        <f>HYPERLINK("http://www.uniprot.org/uniprot/M5X2P4","M5X2P4")</f>
        <v>M5X2P4</v>
      </c>
      <c r="D10310" s="2" t="s">
        <v>4276</v>
      </c>
      <c r="E10310" s="3">
        <v>0</v>
      </c>
      <c r="F10310" s="2">
        <v>1757</v>
      </c>
      <c r="G10310" s="2">
        <v>100</v>
      </c>
      <c r="H10310" s="2">
        <v>323</v>
      </c>
      <c r="I10310" s="2">
        <v>1568</v>
      </c>
      <c r="J10310" s="2">
        <v>2536</v>
      </c>
      <c r="K10310" s="2">
        <v>1</v>
      </c>
      <c r="L10310" s="2">
        <v>323</v>
      </c>
    </row>
    <row r="10311" spans="1:12" x14ac:dyDescent="0.25">
      <c r="A10311" s="4" t="str">
        <f>HYPERLINK("http://www.rosaceae.org/Prunus/Prunus_persica/p.persica_gdr_reftransV1_0032442","p.persica_gdr_reftransV1_0032442")</f>
        <v>p.persica_gdr_reftransV1_0032442</v>
      </c>
      <c r="B10311" s="2">
        <v>2124</v>
      </c>
      <c r="C10311" s="4" t="str">
        <f>HYPERLINK("http://www.uniprot.org/uniprot/M5WEE0","M5WEE0")</f>
        <v>M5WEE0</v>
      </c>
      <c r="D10311" s="2" t="s">
        <v>8856</v>
      </c>
      <c r="E10311" s="3">
        <v>0</v>
      </c>
      <c r="F10311" s="2">
        <v>1917</v>
      </c>
      <c r="G10311" s="2">
        <v>99</v>
      </c>
      <c r="H10311" s="2">
        <v>386</v>
      </c>
      <c r="I10311" s="2">
        <v>840</v>
      </c>
      <c r="J10311" s="2">
        <v>1997</v>
      </c>
      <c r="K10311" s="2">
        <v>192</v>
      </c>
      <c r="L10311" s="2">
        <v>577</v>
      </c>
    </row>
    <row r="10312" spans="1:12" x14ac:dyDescent="0.25">
      <c r="A10312" s="4" t="str">
        <f>HYPERLINK("http://www.rosaceae.org/Prunus/Prunus_persica/p.persica_gdr_reftransV1_0033142","p.persica_gdr_reftransV1_0033142")</f>
        <v>p.persica_gdr_reftransV1_0033142</v>
      </c>
      <c r="B10312" s="2">
        <v>1745</v>
      </c>
      <c r="C10312" s="4" t="str">
        <f>HYPERLINK("http://www.uniprot.org/uniprot/M5X2B1","M5X2B1")</f>
        <v>M5X2B1</v>
      </c>
      <c r="D10312" s="2" t="s">
        <v>8857</v>
      </c>
      <c r="E10312" s="3">
        <v>4.8699999999999999E-46</v>
      </c>
      <c r="F10312" s="2">
        <v>434</v>
      </c>
      <c r="G10312" s="2">
        <v>99</v>
      </c>
      <c r="H10312" s="2">
        <v>106</v>
      </c>
      <c r="I10312" s="2">
        <v>264</v>
      </c>
      <c r="J10312" s="2">
        <v>581</v>
      </c>
      <c r="K10312" s="2">
        <v>100</v>
      </c>
      <c r="L10312" s="2">
        <v>205</v>
      </c>
    </row>
    <row r="10313" spans="1:12" x14ac:dyDescent="0.25">
      <c r="A10313" s="4" t="str">
        <f>HYPERLINK("http://www.rosaceae.org/Prunus/Prunus_persica/p.persica_gdr_reftransV1_0034192","p.persica_gdr_reftransV1_0034192")</f>
        <v>p.persica_gdr_reftransV1_0034192</v>
      </c>
      <c r="B10313" s="2">
        <v>2317</v>
      </c>
      <c r="C10313" s="4" t="str">
        <f>HYPERLINK("http://www.uniprot.org/uniprot/M5VYM1","M5VYM1")</f>
        <v>M5VYM1</v>
      </c>
      <c r="D10313" s="2" t="s">
        <v>8858</v>
      </c>
      <c r="E10313" s="3">
        <v>0</v>
      </c>
      <c r="F10313" s="2">
        <v>1797</v>
      </c>
      <c r="G10313" s="2">
        <v>100</v>
      </c>
      <c r="H10313" s="2">
        <v>381</v>
      </c>
      <c r="I10313" s="2">
        <v>496</v>
      </c>
      <c r="J10313" s="2">
        <v>1638</v>
      </c>
      <c r="K10313" s="2">
        <v>1</v>
      </c>
      <c r="L10313" s="2">
        <v>381</v>
      </c>
    </row>
    <row r="10314" spans="1:12" x14ac:dyDescent="0.25">
      <c r="A10314" s="4" t="str">
        <f>HYPERLINK("http://www.rosaceae.org/Prunus/Prunus_persica/p.persica_gdr_reftransV1_0034892","p.persica_gdr_reftransV1_0034892")</f>
        <v>p.persica_gdr_reftransV1_0034892</v>
      </c>
      <c r="B10314" s="2">
        <v>2870</v>
      </c>
      <c r="C10314" s="4" t="str">
        <f>HYPERLINK("http://www.uniprot.org/uniprot/M5WBR6","M5WBR6")</f>
        <v>M5WBR6</v>
      </c>
      <c r="D10314" s="2" t="s">
        <v>8859</v>
      </c>
      <c r="E10314" s="3">
        <v>8.8699999999999999E-172</v>
      </c>
      <c r="F10314" s="2">
        <v>1327</v>
      </c>
      <c r="G10314" s="2">
        <v>100</v>
      </c>
      <c r="H10314" s="2">
        <v>264</v>
      </c>
      <c r="I10314" s="2">
        <v>1081</v>
      </c>
      <c r="J10314" s="2">
        <v>1872</v>
      </c>
      <c r="K10314" s="2">
        <v>1</v>
      </c>
      <c r="L10314" s="2">
        <v>264</v>
      </c>
    </row>
    <row r="10315" spans="1:12" x14ac:dyDescent="0.25">
      <c r="A10315" s="4" t="str">
        <f>HYPERLINK("http://www.rosaceae.org/Prunus/Prunus_persica/p.persica_gdr_reftransV1_0035242","p.persica_gdr_reftransV1_0035242")</f>
        <v>p.persica_gdr_reftransV1_0035242</v>
      </c>
      <c r="B10315" s="2">
        <v>843</v>
      </c>
      <c r="C10315" s="4" t="str">
        <f>HYPERLINK("http://www.uniprot.org/uniprot/M5WTR7","M5WTR7")</f>
        <v>M5WTR7</v>
      </c>
      <c r="D10315" s="2" t="s">
        <v>236</v>
      </c>
      <c r="E10315" s="3">
        <v>2.6499999999999998E-121</v>
      </c>
      <c r="F10315" s="2">
        <v>931</v>
      </c>
      <c r="G10315" s="2">
        <v>100</v>
      </c>
      <c r="H10315" s="2">
        <v>176</v>
      </c>
      <c r="I10315" s="2">
        <v>1</v>
      </c>
      <c r="J10315" s="2">
        <v>528</v>
      </c>
      <c r="K10315" s="2">
        <v>175</v>
      </c>
      <c r="L10315" s="2">
        <v>350</v>
      </c>
    </row>
    <row r="10316" spans="1:12" x14ac:dyDescent="0.25">
      <c r="A10316" s="4" t="str">
        <f>HYPERLINK("http://www.rosaceae.org/Prunus/Prunus_persica/p.persica_gdr_reftransV1_0035942","p.persica_gdr_reftransV1_0035942")</f>
        <v>p.persica_gdr_reftransV1_0035942</v>
      </c>
      <c r="B10316" s="2">
        <v>3172</v>
      </c>
      <c r="C10316" s="4" t="str">
        <f>HYPERLINK("http://www.uniprot.org/uniprot/M5X4V3","M5X4V3")</f>
        <v>M5X4V3</v>
      </c>
      <c r="D10316" s="2" t="s">
        <v>8860</v>
      </c>
      <c r="E10316" s="3">
        <v>0</v>
      </c>
      <c r="F10316" s="2">
        <v>2139</v>
      </c>
      <c r="G10316" s="2">
        <v>92</v>
      </c>
      <c r="H10316" s="2">
        <v>459</v>
      </c>
      <c r="I10316" s="2">
        <v>364</v>
      </c>
      <c r="J10316" s="2">
        <v>1740</v>
      </c>
      <c r="K10316" s="2">
        <v>1</v>
      </c>
      <c r="L10316" s="2">
        <v>458</v>
      </c>
    </row>
    <row r="10317" spans="1:12" x14ac:dyDescent="0.25">
      <c r="A10317" s="4" t="str">
        <f>HYPERLINK("http://www.rosaceae.org/Prunus/Prunus_persica/p.persica_gdr_reftransV1_0036292","p.persica_gdr_reftransV1_0036292")</f>
        <v>p.persica_gdr_reftransV1_0036292</v>
      </c>
      <c r="B10317" s="2">
        <v>1556</v>
      </c>
      <c r="C10317" s="4" t="str">
        <f>HYPERLINK("http://www.uniprot.org/uniprot/M5WQR4","M5WQR4")</f>
        <v>M5WQR4</v>
      </c>
      <c r="D10317" s="2" t="s">
        <v>8861</v>
      </c>
      <c r="E10317" s="3">
        <v>7.9700000000000002E-144</v>
      </c>
      <c r="F10317" s="2">
        <v>1094</v>
      </c>
      <c r="G10317" s="2">
        <v>100</v>
      </c>
      <c r="H10317" s="2">
        <v>228</v>
      </c>
      <c r="I10317" s="2">
        <v>728</v>
      </c>
      <c r="J10317" s="2">
        <v>1411</v>
      </c>
      <c r="K10317" s="2">
        <v>21</v>
      </c>
      <c r="L10317" s="2">
        <v>248</v>
      </c>
    </row>
    <row r="10318" spans="1:12" x14ac:dyDescent="0.25">
      <c r="A10318" s="4" t="str">
        <f>HYPERLINK("http://www.rosaceae.org/Prunus/Prunus_persica/p.persica_gdr_reftransV1_0038042","p.persica_gdr_reftransV1_0038042")</f>
        <v>p.persica_gdr_reftransV1_0038042</v>
      </c>
      <c r="B10318" s="2">
        <v>1825</v>
      </c>
      <c r="C10318" s="4" t="str">
        <f>HYPERLINK("http://www.uniprot.org/uniprot/M5XKE0","M5XKE0")</f>
        <v>M5XKE0</v>
      </c>
      <c r="D10318" s="2" t="s">
        <v>8862</v>
      </c>
      <c r="E10318" s="3">
        <v>5.2400000000000004E-88</v>
      </c>
      <c r="F10318" s="2">
        <v>529</v>
      </c>
      <c r="G10318" s="2">
        <v>96</v>
      </c>
      <c r="H10318" s="2">
        <v>119</v>
      </c>
      <c r="I10318" s="2">
        <v>332</v>
      </c>
      <c r="J10318" s="2">
        <v>688</v>
      </c>
      <c r="K10318" s="2">
        <v>1</v>
      </c>
      <c r="L10318" s="2">
        <v>119</v>
      </c>
    </row>
    <row r="10319" spans="1:12" x14ac:dyDescent="0.25">
      <c r="A10319" s="4" t="str">
        <f>HYPERLINK("http://www.rosaceae.org/Prunus/Prunus_persica/p.persica_gdr_reftransV1_0038742","p.persica_gdr_reftransV1_0038742")</f>
        <v>p.persica_gdr_reftransV1_0038742</v>
      </c>
      <c r="B10319" s="2">
        <v>4000</v>
      </c>
      <c r="C10319" s="4" t="str">
        <f>HYPERLINK("http://www.uniprot.org/uniprot/M5XLQ2","M5XLQ2")</f>
        <v>M5XLQ2</v>
      </c>
      <c r="D10319" s="2" t="s">
        <v>8863</v>
      </c>
      <c r="E10319" s="3">
        <v>0</v>
      </c>
      <c r="F10319" s="2">
        <v>2221</v>
      </c>
      <c r="G10319" s="2">
        <v>99</v>
      </c>
      <c r="H10319" s="2">
        <v>429</v>
      </c>
      <c r="I10319" s="2">
        <v>1730</v>
      </c>
      <c r="J10319" s="2">
        <v>3016</v>
      </c>
      <c r="K10319" s="2">
        <v>36</v>
      </c>
      <c r="L10319" s="2">
        <v>464</v>
      </c>
    </row>
    <row r="10320" spans="1:12" x14ac:dyDescent="0.25">
      <c r="A10320" s="4" t="str">
        <f>HYPERLINK("http://www.rosaceae.org/Prunus/Prunus_persica/p.persica_gdr_reftransV1_0040142","p.persica_gdr_reftransV1_0040142")</f>
        <v>p.persica_gdr_reftransV1_0040142</v>
      </c>
      <c r="B10320" s="2">
        <v>2027</v>
      </c>
      <c r="C10320" s="4" t="str">
        <f>HYPERLINK("http://www.uniprot.org/uniprot/M5XRM6","M5XRM6")</f>
        <v>M5XRM6</v>
      </c>
      <c r="D10320" s="2" t="s">
        <v>8864</v>
      </c>
      <c r="E10320" s="3">
        <v>0</v>
      </c>
      <c r="F10320" s="2">
        <v>1847</v>
      </c>
      <c r="G10320" s="2">
        <v>100</v>
      </c>
      <c r="H10320" s="2">
        <v>352</v>
      </c>
      <c r="I10320" s="2">
        <v>806</v>
      </c>
      <c r="J10320" s="2">
        <v>1861</v>
      </c>
      <c r="K10320" s="2">
        <v>1</v>
      </c>
      <c r="L10320" s="2">
        <v>352</v>
      </c>
    </row>
    <row r="10321" spans="1:12" x14ac:dyDescent="0.25">
      <c r="A10321" s="4" t="str">
        <f>HYPERLINK("http://www.rosaceae.org/Prunus/Prunus_persica/p.persica_gdr_reftransV1_0042592","p.persica_gdr_reftransV1_0042592")</f>
        <v>p.persica_gdr_reftransV1_0042592</v>
      </c>
      <c r="B10321" s="2">
        <v>2724</v>
      </c>
      <c r="C10321" s="4" t="str">
        <f>HYPERLINK("http://www.uniprot.org/uniprot/M5VJ20","M5VJ20")</f>
        <v>M5VJ20</v>
      </c>
      <c r="D10321" s="2" t="s">
        <v>8865</v>
      </c>
      <c r="E10321" s="3">
        <v>3.1300000000000002E-155</v>
      </c>
      <c r="F10321" s="2">
        <v>1221</v>
      </c>
      <c r="G10321" s="2">
        <v>99</v>
      </c>
      <c r="H10321" s="2">
        <v>233</v>
      </c>
      <c r="I10321" s="2">
        <v>392</v>
      </c>
      <c r="J10321" s="2">
        <v>1090</v>
      </c>
      <c r="K10321" s="2">
        <v>1</v>
      </c>
      <c r="L10321" s="2">
        <v>233</v>
      </c>
    </row>
    <row r="10322" spans="1:12" x14ac:dyDescent="0.25">
      <c r="A10322" s="4" t="str">
        <f>HYPERLINK("http://www.rosaceae.org/Prunus/Prunus_persica/p.persica_gdr_reftransV1_0043292","p.persica_gdr_reftransV1_0043292")</f>
        <v>p.persica_gdr_reftransV1_0043292</v>
      </c>
      <c r="B10322" s="2">
        <v>911</v>
      </c>
      <c r="C10322" s="4" t="str">
        <f>HYPERLINK("http://www.uniprot.org/uniprot/M5XNS2","M5XNS2")</f>
        <v>M5XNS2</v>
      </c>
      <c r="D10322" s="2" t="s">
        <v>7730</v>
      </c>
      <c r="E10322" s="3">
        <v>7.0800000000000004E-169</v>
      </c>
      <c r="F10322" s="2">
        <v>1286</v>
      </c>
      <c r="G10322" s="2">
        <v>100</v>
      </c>
      <c r="H10322" s="2">
        <v>259</v>
      </c>
      <c r="I10322" s="2">
        <v>3</v>
      </c>
      <c r="J10322" s="2">
        <v>779</v>
      </c>
      <c r="K10322" s="2">
        <v>1</v>
      </c>
      <c r="L10322" s="2">
        <v>259</v>
      </c>
    </row>
    <row r="10323" spans="1:12" x14ac:dyDescent="0.25">
      <c r="A10323" s="4" t="str">
        <f>HYPERLINK("http://www.rosaceae.org/Prunus/Prunus_persica/p.persica_gdr_reftransV1_0043642","p.persica_gdr_reftransV1_0043642")</f>
        <v>p.persica_gdr_reftransV1_0043642</v>
      </c>
      <c r="B10323" s="2">
        <v>594</v>
      </c>
      <c r="C10323" s="4" t="str">
        <f>HYPERLINK("http://www.uniprot.org/uniprot/M5W999","M5W999")</f>
        <v>M5W999</v>
      </c>
      <c r="D10323" s="2" t="s">
        <v>2010</v>
      </c>
      <c r="E10323" s="3">
        <v>7.2899999999999997E-126</v>
      </c>
      <c r="F10323" s="2">
        <v>962</v>
      </c>
      <c r="G10323" s="2">
        <v>100</v>
      </c>
      <c r="H10323" s="2">
        <v>181</v>
      </c>
      <c r="I10323" s="2">
        <v>2</v>
      </c>
      <c r="J10323" s="2">
        <v>544</v>
      </c>
      <c r="K10323" s="2">
        <v>1</v>
      </c>
      <c r="L10323" s="2">
        <v>181</v>
      </c>
    </row>
    <row r="10324" spans="1:12" x14ac:dyDescent="0.25">
      <c r="A10324" s="4" t="str">
        <f>HYPERLINK("http://www.rosaceae.org/Prunus/Prunus_persica/p.persica_gdr_reftransV1_0043992","p.persica_gdr_reftransV1_0043992")</f>
        <v>p.persica_gdr_reftransV1_0043992</v>
      </c>
      <c r="B10324" s="2">
        <v>821</v>
      </c>
      <c r="C10324" s="4" t="str">
        <f>HYPERLINK("http://www.uniprot.org/uniprot/M5XZR0","M5XZR0")</f>
        <v>M5XZR0</v>
      </c>
      <c r="D10324" s="2" t="s">
        <v>8866</v>
      </c>
      <c r="E10324" s="3">
        <v>2.5300000000000002E-55</v>
      </c>
      <c r="F10324" s="2">
        <v>474</v>
      </c>
      <c r="G10324" s="2">
        <v>100</v>
      </c>
      <c r="H10324" s="2">
        <v>109</v>
      </c>
      <c r="I10324" s="2">
        <v>116</v>
      </c>
      <c r="J10324" s="2">
        <v>442</v>
      </c>
      <c r="K10324" s="2">
        <v>1</v>
      </c>
      <c r="L10324" s="2">
        <v>109</v>
      </c>
    </row>
    <row r="10325" spans="1:12" x14ac:dyDescent="0.25">
      <c r="A10325" s="4" t="str">
        <f>HYPERLINK("http://www.rosaceae.org/Prunus/Prunus_persica/p.persica_gdr_reftransV1_0044342","p.persica_gdr_reftransV1_0044342")</f>
        <v>p.persica_gdr_reftransV1_0044342</v>
      </c>
      <c r="B10325" s="2">
        <v>1396</v>
      </c>
      <c r="C10325" s="4" t="str">
        <f>HYPERLINK("http://www.uniprot.org/uniprot/M5VZU3","M5VZU3")</f>
        <v>M5VZU3</v>
      </c>
      <c r="D10325" s="2" t="s">
        <v>6574</v>
      </c>
      <c r="E10325" s="3">
        <v>8.66E-128</v>
      </c>
      <c r="F10325" s="2">
        <v>725</v>
      </c>
      <c r="G10325" s="2">
        <v>100</v>
      </c>
      <c r="H10325" s="2">
        <v>137</v>
      </c>
      <c r="I10325" s="2">
        <v>839</v>
      </c>
      <c r="J10325" s="2">
        <v>1249</v>
      </c>
      <c r="K10325" s="2">
        <v>1</v>
      </c>
      <c r="L10325" s="2">
        <v>137</v>
      </c>
    </row>
    <row r="10326" spans="1:12" x14ac:dyDescent="0.25">
      <c r="A10326" s="4" t="str">
        <f>HYPERLINK("http://www.rosaceae.org/Prunus/Prunus_persica/p.persica_gdr_reftransV1_0044692","p.persica_gdr_reftransV1_0044692")</f>
        <v>p.persica_gdr_reftransV1_0044692</v>
      </c>
      <c r="B10326" s="2">
        <v>894</v>
      </c>
      <c r="C10326" s="4" t="str">
        <f>HYPERLINK("http://www.uniprot.org/uniprot/M5VLB7","M5VLB7")</f>
        <v>M5VLB7</v>
      </c>
      <c r="D10326" s="2" t="s">
        <v>8867</v>
      </c>
      <c r="E10326" s="3">
        <v>4.93E-91</v>
      </c>
      <c r="F10326" s="2">
        <v>713</v>
      </c>
      <c r="G10326" s="2">
        <v>100</v>
      </c>
      <c r="H10326" s="2">
        <v>153</v>
      </c>
      <c r="I10326" s="2">
        <v>239</v>
      </c>
      <c r="J10326" s="2">
        <v>697</v>
      </c>
      <c r="K10326" s="2">
        <v>1</v>
      </c>
      <c r="L10326" s="2">
        <v>153</v>
      </c>
    </row>
    <row r="10327" spans="1:12" x14ac:dyDescent="0.25">
      <c r="A10327" s="4" t="str">
        <f>HYPERLINK("http://www.rosaceae.org/Prunus/Prunus_persica/p.persica_gdr_reftransV1_0045042","p.persica_gdr_reftransV1_0045042")</f>
        <v>p.persica_gdr_reftransV1_0045042</v>
      </c>
      <c r="B10327" s="2">
        <v>685</v>
      </c>
      <c r="C10327" s="4" t="str">
        <f>HYPERLINK("http://www.uniprot.org/uniprot/M5VZ60","M5VZ60")</f>
        <v>M5VZ60</v>
      </c>
      <c r="D10327" s="2" t="s">
        <v>8868</v>
      </c>
      <c r="E10327" s="3">
        <v>1.7700000000000001E-76</v>
      </c>
      <c r="F10327" s="2">
        <v>635</v>
      </c>
      <c r="G10327" s="2">
        <v>91</v>
      </c>
      <c r="H10327" s="2">
        <v>149</v>
      </c>
      <c r="I10327" s="2">
        <v>230</v>
      </c>
      <c r="J10327" s="2">
        <v>676</v>
      </c>
      <c r="K10327" s="2">
        <v>102</v>
      </c>
      <c r="L10327" s="2">
        <v>239</v>
      </c>
    </row>
    <row r="10328" spans="1:12" x14ac:dyDescent="0.25">
      <c r="A10328" s="4" t="str">
        <f>HYPERLINK("http://www.rosaceae.org/Prunus/Prunus_persica/p.persica_gdr_reftransV1_0045392","p.persica_gdr_reftransV1_0045392")</f>
        <v>p.persica_gdr_reftransV1_0045392</v>
      </c>
      <c r="B10328" s="2">
        <v>1971</v>
      </c>
      <c r="C10328" s="4" t="str">
        <f>HYPERLINK("http://www.uniprot.org/uniprot/M5W3E3","M5W3E3")</f>
        <v>M5W3E3</v>
      </c>
      <c r="D10328" s="2" t="s">
        <v>8869</v>
      </c>
      <c r="E10328" s="3">
        <v>0</v>
      </c>
      <c r="F10328" s="2">
        <v>2572</v>
      </c>
      <c r="G10328" s="2">
        <v>98</v>
      </c>
      <c r="H10328" s="2">
        <v>488</v>
      </c>
      <c r="I10328" s="2">
        <v>225</v>
      </c>
      <c r="J10328" s="2">
        <v>1688</v>
      </c>
      <c r="K10328" s="2">
        <v>19</v>
      </c>
      <c r="L10328" s="2">
        <v>506</v>
      </c>
    </row>
    <row r="10329" spans="1:12" x14ac:dyDescent="0.25">
      <c r="A10329" s="4" t="str">
        <f>HYPERLINK("http://www.rosaceae.org/Prunus/Prunus_persica/p.persica_gdr_reftransV1_0045742","p.persica_gdr_reftransV1_0045742")</f>
        <v>p.persica_gdr_reftransV1_0045742</v>
      </c>
      <c r="B10329" s="2">
        <v>1157</v>
      </c>
      <c r="C10329" s="4" t="str">
        <f>HYPERLINK("http://www.uniprot.org/uniprot/M5XRT2","M5XRT2")</f>
        <v>M5XRT2</v>
      </c>
      <c r="D10329" s="2" t="s">
        <v>8870</v>
      </c>
      <c r="E10329" s="3">
        <v>0</v>
      </c>
      <c r="F10329" s="2">
        <v>1370</v>
      </c>
      <c r="G10329" s="2">
        <v>100</v>
      </c>
      <c r="H10329" s="2">
        <v>256</v>
      </c>
      <c r="I10329" s="2">
        <v>264</v>
      </c>
      <c r="J10329" s="2">
        <v>1031</v>
      </c>
      <c r="K10329" s="2">
        <v>1</v>
      </c>
      <c r="L10329" s="2">
        <v>256</v>
      </c>
    </row>
    <row r="10330" spans="1:12" x14ac:dyDescent="0.25">
      <c r="A10330" s="4" t="str">
        <f>HYPERLINK("http://www.rosaceae.org/Prunus/Prunus_persica/p.persica_gdr_reftransV1_0046092","p.persica_gdr_reftransV1_0046092")</f>
        <v>p.persica_gdr_reftransV1_0046092</v>
      </c>
      <c r="B10330" s="2">
        <v>1766</v>
      </c>
      <c r="C10330" s="4" t="str">
        <f>HYPERLINK("http://www.uniprot.org/uniprot/M5W8Y1","M5W8Y1")</f>
        <v>M5W8Y1</v>
      </c>
      <c r="D10330" s="2" t="s">
        <v>8871</v>
      </c>
      <c r="E10330" s="3">
        <v>0</v>
      </c>
      <c r="F10330" s="2">
        <v>2355</v>
      </c>
      <c r="G10330" s="2">
        <v>100</v>
      </c>
      <c r="H10330" s="2">
        <v>437</v>
      </c>
      <c r="I10330" s="2">
        <v>329</v>
      </c>
      <c r="J10330" s="2">
        <v>1639</v>
      </c>
      <c r="K10330" s="2">
        <v>1</v>
      </c>
      <c r="L10330" s="2">
        <v>437</v>
      </c>
    </row>
    <row r="10331" spans="1:12" x14ac:dyDescent="0.25">
      <c r="A10331" s="4" t="str">
        <f>HYPERLINK("http://www.rosaceae.org/Prunus/Prunus_persica/p.persica_gdr_reftransV1_0046442","p.persica_gdr_reftransV1_0046442")</f>
        <v>p.persica_gdr_reftransV1_0046442</v>
      </c>
      <c r="B10331" s="2">
        <v>1414</v>
      </c>
      <c r="C10331" s="4" t="str">
        <f>HYPERLINK("http://www.uniprot.org/uniprot/M5WR53","M5WR53")</f>
        <v>M5WR53</v>
      </c>
      <c r="D10331" s="2" t="s">
        <v>8872</v>
      </c>
      <c r="E10331" s="3">
        <v>8.9300000000000006E-140</v>
      </c>
      <c r="F10331" s="2">
        <v>1115</v>
      </c>
      <c r="G10331" s="2">
        <v>100</v>
      </c>
      <c r="H10331" s="2">
        <v>206</v>
      </c>
      <c r="I10331" s="2">
        <v>797</v>
      </c>
      <c r="J10331" s="2">
        <v>1414</v>
      </c>
      <c r="K10331" s="2">
        <v>1</v>
      </c>
      <c r="L10331" s="2">
        <v>206</v>
      </c>
    </row>
    <row r="10332" spans="1:12" x14ac:dyDescent="0.25">
      <c r="A10332" s="4" t="str">
        <f>HYPERLINK("http://www.rosaceae.org/Prunus/Prunus_persica/p.persica_gdr_reftransV1_0046792","p.persica_gdr_reftransV1_0046792")</f>
        <v>p.persica_gdr_reftransV1_0046792</v>
      </c>
      <c r="B10332" s="2">
        <v>1099</v>
      </c>
      <c r="C10332" s="4" t="str">
        <f>HYPERLINK("http://www.uniprot.org/uniprot/M5VNY8","M5VNY8")</f>
        <v>M5VNY8</v>
      </c>
      <c r="D10332" s="2" t="s">
        <v>8442</v>
      </c>
      <c r="E10332" s="3">
        <v>0</v>
      </c>
      <c r="F10332" s="2">
        <v>1435</v>
      </c>
      <c r="G10332" s="2">
        <v>95</v>
      </c>
      <c r="H10332" s="2">
        <v>292</v>
      </c>
      <c r="I10332" s="2">
        <v>196</v>
      </c>
      <c r="J10332" s="2">
        <v>1047</v>
      </c>
      <c r="K10332" s="2">
        <v>591</v>
      </c>
      <c r="L10332" s="2">
        <v>882</v>
      </c>
    </row>
    <row r="10333" spans="1:12" x14ac:dyDescent="0.25">
      <c r="A10333" s="4" t="str">
        <f>HYPERLINK("http://www.rosaceae.org/Prunus/Prunus_persica/p.persica_gdr_reftransV1_0047492","p.persica_gdr_reftransV1_0047492")</f>
        <v>p.persica_gdr_reftransV1_0047492</v>
      </c>
      <c r="B10333" s="2">
        <v>1580</v>
      </c>
      <c r="C10333" s="4" t="str">
        <f>HYPERLINK("http://www.uniprot.org/uniprot/M5WC68","M5WC68")</f>
        <v>M5WC68</v>
      </c>
      <c r="D10333" s="2" t="s">
        <v>8873</v>
      </c>
      <c r="E10333" s="3">
        <v>5.0900000000000004E-118</v>
      </c>
      <c r="F10333" s="2">
        <v>927</v>
      </c>
      <c r="G10333" s="2">
        <v>65</v>
      </c>
      <c r="H10333" s="2">
        <v>315</v>
      </c>
      <c r="I10333" s="2">
        <v>226</v>
      </c>
      <c r="J10333" s="2">
        <v>1161</v>
      </c>
      <c r="K10333" s="2">
        <v>1</v>
      </c>
      <c r="L10333" s="2">
        <v>271</v>
      </c>
    </row>
    <row r="10334" spans="1:12" x14ac:dyDescent="0.25">
      <c r="A10334" s="4" t="str">
        <f>HYPERLINK("http://www.rosaceae.org/Prunus/Prunus_persica/p.persica_gdr_reftransV1_0047842","p.persica_gdr_reftransV1_0047842")</f>
        <v>p.persica_gdr_reftransV1_0047842</v>
      </c>
      <c r="B10334" s="2">
        <v>1526</v>
      </c>
      <c r="C10334" s="4" t="str">
        <f>HYPERLINK("http://www.uniprot.org/uniprot/M5VQL0","M5VQL0")</f>
        <v>M5VQL0</v>
      </c>
      <c r="D10334" s="2" t="s">
        <v>8874</v>
      </c>
      <c r="E10334" s="3">
        <v>0</v>
      </c>
      <c r="F10334" s="2">
        <v>1406</v>
      </c>
      <c r="G10334" s="2">
        <v>88</v>
      </c>
      <c r="H10334" s="2">
        <v>334</v>
      </c>
      <c r="I10334" s="2">
        <v>483</v>
      </c>
      <c r="J10334" s="2">
        <v>1484</v>
      </c>
      <c r="K10334" s="2">
        <v>1</v>
      </c>
      <c r="L10334" s="2">
        <v>295</v>
      </c>
    </row>
    <row r="10335" spans="1:12" x14ac:dyDescent="0.25">
      <c r="A10335" s="4" t="str">
        <f>HYPERLINK("http://www.rosaceae.org/Prunus/Prunus_persica/p.persica_gdr_reftransV1_0048192","p.persica_gdr_reftransV1_0048192")</f>
        <v>p.persica_gdr_reftransV1_0048192</v>
      </c>
      <c r="B10335" s="2">
        <v>667</v>
      </c>
      <c r="C10335" s="4" t="str">
        <f>HYPERLINK("http://www.uniprot.org/uniprot/M5XG77","M5XG77")</f>
        <v>M5XG77</v>
      </c>
      <c r="D10335" s="2" t="s">
        <v>3282</v>
      </c>
      <c r="E10335" s="3">
        <v>8.1999999999999999E-85</v>
      </c>
      <c r="F10335" s="2">
        <v>671</v>
      </c>
      <c r="G10335" s="2">
        <v>99</v>
      </c>
      <c r="H10335" s="2">
        <v>131</v>
      </c>
      <c r="I10335" s="2">
        <v>112</v>
      </c>
      <c r="J10335" s="2">
        <v>504</v>
      </c>
      <c r="K10335" s="2">
        <v>1</v>
      </c>
      <c r="L10335" s="2">
        <v>131</v>
      </c>
    </row>
    <row r="10336" spans="1:12" x14ac:dyDescent="0.25">
      <c r="A10336" s="4" t="str">
        <f>HYPERLINK("http://www.rosaceae.org/Prunus/Prunus_persica/p.persica_gdr_reftransV1_0048542","p.persica_gdr_reftransV1_0048542")</f>
        <v>p.persica_gdr_reftransV1_0048542</v>
      </c>
      <c r="B10336" s="2">
        <v>368</v>
      </c>
      <c r="C10336" s="4" t="str">
        <f>HYPERLINK("http://www.uniprot.org/uniprot/M5WCL3","M5WCL3")</f>
        <v>M5WCL3</v>
      </c>
      <c r="D10336" s="2" t="s">
        <v>8875</v>
      </c>
      <c r="E10336" s="3">
        <v>6.4500000000000001E-22</v>
      </c>
      <c r="F10336" s="2">
        <v>245</v>
      </c>
      <c r="G10336" s="2">
        <v>99</v>
      </c>
      <c r="H10336" s="2">
        <v>71</v>
      </c>
      <c r="I10336" s="2">
        <v>147</v>
      </c>
      <c r="J10336" s="2">
        <v>359</v>
      </c>
      <c r="K10336" s="2">
        <v>227</v>
      </c>
      <c r="L10336" s="2">
        <v>297</v>
      </c>
    </row>
    <row r="10337" spans="1:12" x14ac:dyDescent="0.25">
      <c r="A10337" s="4" t="str">
        <f>HYPERLINK("http://www.rosaceae.org/Prunus/Prunus_persica/p.persica_gdr_reftransV1_0000243","p.persica_gdr_reftransV1_0000243")</f>
        <v>p.persica_gdr_reftransV1_0000243</v>
      </c>
      <c r="B10337" s="2">
        <v>3388</v>
      </c>
      <c r="C10337" s="4" t="str">
        <f>HYPERLINK("http://www.uniprot.org/uniprot/M5XSM6","M5XSM6")</f>
        <v>M5XSM6</v>
      </c>
      <c r="D10337" s="2" t="s">
        <v>8876</v>
      </c>
      <c r="E10337" s="3">
        <v>0</v>
      </c>
      <c r="F10337" s="2">
        <v>1483</v>
      </c>
      <c r="G10337" s="2">
        <v>49</v>
      </c>
      <c r="H10337" s="2">
        <v>734</v>
      </c>
      <c r="I10337" s="2">
        <v>1132</v>
      </c>
      <c r="J10337" s="2">
        <v>3198</v>
      </c>
      <c r="K10337" s="2">
        <v>3</v>
      </c>
      <c r="L10337" s="2">
        <v>674</v>
      </c>
    </row>
    <row r="10338" spans="1:12" x14ac:dyDescent="0.25">
      <c r="A10338" s="4" t="str">
        <f>HYPERLINK("http://www.rosaceae.org/Prunus/Prunus_persica/p.persica_gdr_reftransV1_0000593","p.persica_gdr_reftransV1_0000593")</f>
        <v>p.persica_gdr_reftransV1_0000593</v>
      </c>
      <c r="B10338" s="2">
        <v>981</v>
      </c>
      <c r="C10338" s="4" t="str">
        <f>HYPERLINK("http://www.uniprot.org/uniprot/A0A061FTM5","A0A061FTM5")</f>
        <v>A0A061FTM5</v>
      </c>
      <c r="D10338" s="2" t="s">
        <v>2025</v>
      </c>
      <c r="E10338" s="3">
        <v>1.4899999999999999E-164</v>
      </c>
      <c r="F10338" s="2">
        <v>1340</v>
      </c>
      <c r="G10338" s="2">
        <v>78</v>
      </c>
      <c r="H10338" s="2">
        <v>333</v>
      </c>
      <c r="I10338" s="2">
        <v>3</v>
      </c>
      <c r="J10338" s="2">
        <v>980</v>
      </c>
      <c r="K10338" s="2">
        <v>1397</v>
      </c>
      <c r="L10338" s="2">
        <v>1729</v>
      </c>
    </row>
    <row r="10339" spans="1:12" x14ac:dyDescent="0.25">
      <c r="A10339" s="4" t="str">
        <f>HYPERLINK("http://www.rosaceae.org/Prunus/Prunus_persica/p.persica_gdr_reftransV1_0000943","p.persica_gdr_reftransV1_0000943")</f>
        <v>p.persica_gdr_reftransV1_0000943</v>
      </c>
      <c r="B10339" s="2">
        <v>3970</v>
      </c>
      <c r="C10339" s="4" t="str">
        <f>HYPERLINK("http://www.uniprot.org/uniprot/G7K1Z2","G7K1Z2")</f>
        <v>G7K1Z2</v>
      </c>
      <c r="D10339" s="2" t="s">
        <v>8877</v>
      </c>
      <c r="E10339" s="3">
        <v>7.3799999999999993E-111</v>
      </c>
      <c r="F10339" s="2">
        <v>824</v>
      </c>
      <c r="G10339" s="2">
        <v>59</v>
      </c>
      <c r="H10339" s="2">
        <v>331</v>
      </c>
      <c r="I10339" s="2">
        <v>2671</v>
      </c>
      <c r="J10339" s="2">
        <v>3627</v>
      </c>
      <c r="K10339" s="2">
        <v>9</v>
      </c>
      <c r="L10339" s="2">
        <v>283</v>
      </c>
    </row>
    <row r="10340" spans="1:12" x14ac:dyDescent="0.25">
      <c r="A10340" s="4" t="str">
        <f>HYPERLINK("http://www.rosaceae.org/Prunus/Prunus_persica/p.persica_gdr_reftransV1_0001643","p.persica_gdr_reftransV1_0001643")</f>
        <v>p.persica_gdr_reftransV1_0001643</v>
      </c>
      <c r="B10340" s="2">
        <v>2969</v>
      </c>
      <c r="C10340" s="4" t="str">
        <f>HYPERLINK("http://www.uniprot.org/uniprot/M5WF99","M5WF99")</f>
        <v>M5WF99</v>
      </c>
      <c r="D10340" s="2" t="s">
        <v>3689</v>
      </c>
      <c r="E10340" s="3">
        <v>0</v>
      </c>
      <c r="F10340" s="2">
        <v>3387</v>
      </c>
      <c r="G10340" s="2">
        <v>100</v>
      </c>
      <c r="H10340" s="2">
        <v>707</v>
      </c>
      <c r="I10340" s="2">
        <v>444</v>
      </c>
      <c r="J10340" s="2">
        <v>2564</v>
      </c>
      <c r="K10340" s="2">
        <v>1</v>
      </c>
      <c r="L10340" s="2">
        <v>707</v>
      </c>
    </row>
    <row r="10341" spans="1:12" x14ac:dyDescent="0.25">
      <c r="A10341" s="4" t="str">
        <f>HYPERLINK("http://www.rosaceae.org/Prunus/Prunus_persica/p.persica_gdr_reftransV1_0001993","p.persica_gdr_reftransV1_0001993")</f>
        <v>p.persica_gdr_reftransV1_0001993</v>
      </c>
      <c r="B10341" s="2">
        <v>366</v>
      </c>
      <c r="C10341" s="4" t="str">
        <f>HYPERLINK("http://www.uniprot.org/uniprot/M5X3J6","M5X3J6")</f>
        <v>M5X3J6</v>
      </c>
      <c r="D10341" s="2" t="s">
        <v>8878</v>
      </c>
      <c r="E10341" s="3">
        <v>5.7299999999999997E-77</v>
      </c>
      <c r="F10341" s="2">
        <v>608</v>
      </c>
      <c r="G10341" s="2">
        <v>100</v>
      </c>
      <c r="H10341" s="2">
        <v>121</v>
      </c>
      <c r="I10341" s="2">
        <v>2</v>
      </c>
      <c r="J10341" s="2">
        <v>364</v>
      </c>
      <c r="K10341" s="2">
        <v>63</v>
      </c>
      <c r="L10341" s="2">
        <v>183</v>
      </c>
    </row>
    <row r="10342" spans="1:12" x14ac:dyDescent="0.25">
      <c r="A10342" s="4" t="str">
        <f>HYPERLINK("http://www.rosaceae.org/Prunus/Prunus_persica/p.persica_gdr_reftransV1_0003043","p.persica_gdr_reftransV1_0003043")</f>
        <v>p.persica_gdr_reftransV1_0003043</v>
      </c>
      <c r="B10342" s="2">
        <v>928</v>
      </c>
      <c r="C10342" s="4" t="str">
        <f>HYPERLINK("http://www.uniprot.org/uniprot/M5VPI2","M5VPI2")</f>
        <v>M5VPI2</v>
      </c>
      <c r="D10342" s="2" t="s">
        <v>8879</v>
      </c>
      <c r="E10342" s="3">
        <v>2.27E-89</v>
      </c>
      <c r="F10342" s="2">
        <v>733</v>
      </c>
      <c r="G10342" s="2">
        <v>100</v>
      </c>
      <c r="H10342" s="2">
        <v>141</v>
      </c>
      <c r="I10342" s="2">
        <v>180</v>
      </c>
      <c r="J10342" s="2">
        <v>602</v>
      </c>
      <c r="K10342" s="2">
        <v>354</v>
      </c>
      <c r="L10342" s="2">
        <v>494</v>
      </c>
    </row>
    <row r="10343" spans="1:12" x14ac:dyDescent="0.25">
      <c r="A10343" s="4" t="str">
        <f>HYPERLINK("http://www.rosaceae.org/Prunus/Prunus_persica/p.persica_gdr_reftransV1_0003393","p.persica_gdr_reftransV1_0003393")</f>
        <v>p.persica_gdr_reftransV1_0003393</v>
      </c>
      <c r="B10343" s="2">
        <v>1455</v>
      </c>
      <c r="C10343" s="4" t="str">
        <f>HYPERLINK("http://www.uniprot.org/uniprot/M5WM64","M5WM64")</f>
        <v>M5WM64</v>
      </c>
      <c r="D10343" s="2" t="s">
        <v>8880</v>
      </c>
      <c r="E10343" s="3">
        <v>0</v>
      </c>
      <c r="F10343" s="2">
        <v>2294</v>
      </c>
      <c r="G10343" s="2">
        <v>100</v>
      </c>
      <c r="H10343" s="2">
        <v>432</v>
      </c>
      <c r="I10343" s="2">
        <v>44</v>
      </c>
      <c r="J10343" s="2">
        <v>1339</v>
      </c>
      <c r="K10343" s="2">
        <v>1</v>
      </c>
      <c r="L10343" s="2">
        <v>432</v>
      </c>
    </row>
    <row r="10344" spans="1:12" x14ac:dyDescent="0.25">
      <c r="A10344" s="4" t="str">
        <f>HYPERLINK("http://www.rosaceae.org/Prunus/Prunus_persica/p.persica_gdr_reftransV1_0004443","p.persica_gdr_reftransV1_0004443")</f>
        <v>p.persica_gdr_reftransV1_0004443</v>
      </c>
      <c r="B10344" s="2">
        <v>746</v>
      </c>
      <c r="C10344" s="4" t="str">
        <f>HYPERLINK("http://www.uniprot.org/uniprot/J7G586","J7G586")</f>
        <v>J7G586</v>
      </c>
      <c r="D10344" s="2" t="s">
        <v>298</v>
      </c>
      <c r="E10344" s="3">
        <v>7.9099999999999999E-68</v>
      </c>
      <c r="F10344" s="2">
        <v>594</v>
      </c>
      <c r="G10344" s="2">
        <v>45</v>
      </c>
      <c r="H10344" s="2">
        <v>252</v>
      </c>
      <c r="I10344" s="2">
        <v>3</v>
      </c>
      <c r="J10344" s="2">
        <v>746</v>
      </c>
      <c r="K10344" s="2">
        <v>427</v>
      </c>
      <c r="L10344" s="2">
        <v>673</v>
      </c>
    </row>
    <row r="10345" spans="1:12" x14ac:dyDescent="0.25">
      <c r="A10345" s="4" t="str">
        <f>HYPERLINK("http://www.rosaceae.org/Prunus/Prunus_persica/p.persica_gdr_reftransV1_0004793","p.persica_gdr_reftransV1_0004793")</f>
        <v>p.persica_gdr_reftransV1_0004793</v>
      </c>
      <c r="B10345" s="2">
        <v>2970</v>
      </c>
      <c r="C10345" s="4" t="str">
        <f>HYPERLINK("http://www.uniprot.org/uniprot/M5X9J4","M5X9J4")</f>
        <v>M5X9J4</v>
      </c>
      <c r="D10345" s="2" t="s">
        <v>8881</v>
      </c>
      <c r="E10345" s="3">
        <v>0</v>
      </c>
      <c r="F10345" s="2">
        <v>4046</v>
      </c>
      <c r="G10345" s="2">
        <v>100</v>
      </c>
      <c r="H10345" s="2">
        <v>871</v>
      </c>
      <c r="I10345" s="2">
        <v>47</v>
      </c>
      <c r="J10345" s="2">
        <v>2653</v>
      </c>
      <c r="K10345" s="2">
        <v>1</v>
      </c>
      <c r="L10345" s="2">
        <v>871</v>
      </c>
    </row>
    <row r="10346" spans="1:12" x14ac:dyDescent="0.25">
      <c r="A10346" s="4" t="str">
        <f>HYPERLINK("http://www.rosaceae.org/Prunus/Prunus_persica/p.persica_gdr_reftransV1_0005143","p.persica_gdr_reftransV1_0005143")</f>
        <v>p.persica_gdr_reftransV1_0005143</v>
      </c>
      <c r="B10346" s="2">
        <v>1085</v>
      </c>
      <c r="C10346" s="4" t="str">
        <f>HYPERLINK("http://www.uniprot.org/uniprot/M5VZX1","M5VZX1")</f>
        <v>M5VZX1</v>
      </c>
      <c r="D10346" s="2" t="s">
        <v>8882</v>
      </c>
      <c r="E10346" s="3">
        <v>6.7499999999999996E-137</v>
      </c>
      <c r="F10346" s="2">
        <v>1031</v>
      </c>
      <c r="G10346" s="2">
        <v>80</v>
      </c>
      <c r="H10346" s="2">
        <v>290</v>
      </c>
      <c r="I10346" s="2">
        <v>141</v>
      </c>
      <c r="J10346" s="2">
        <v>1010</v>
      </c>
      <c r="K10346" s="2">
        <v>1</v>
      </c>
      <c r="L10346" s="2">
        <v>240</v>
      </c>
    </row>
    <row r="10347" spans="1:12" x14ac:dyDescent="0.25">
      <c r="A10347" s="4" t="str">
        <f>HYPERLINK("http://www.rosaceae.org/Prunus/Prunus_persica/p.persica_gdr_reftransV1_0006893","p.persica_gdr_reftransV1_0006893")</f>
        <v>p.persica_gdr_reftransV1_0006893</v>
      </c>
      <c r="B10347" s="2">
        <v>870</v>
      </c>
      <c r="C10347" s="4" t="str">
        <f>HYPERLINK("http://www.uniprot.org/uniprot/M5WF32","M5WF32")</f>
        <v>M5WF32</v>
      </c>
      <c r="D10347" s="2" t="s">
        <v>1758</v>
      </c>
      <c r="E10347" s="3">
        <v>2.34E-126</v>
      </c>
      <c r="F10347" s="2">
        <v>1009</v>
      </c>
      <c r="G10347" s="2">
        <v>100</v>
      </c>
      <c r="H10347" s="2">
        <v>191</v>
      </c>
      <c r="I10347" s="2">
        <v>2</v>
      </c>
      <c r="J10347" s="2">
        <v>574</v>
      </c>
      <c r="K10347" s="2">
        <v>702</v>
      </c>
      <c r="L10347" s="2">
        <v>892</v>
      </c>
    </row>
    <row r="10348" spans="1:12" x14ac:dyDescent="0.25">
      <c r="A10348" s="4" t="str">
        <f>HYPERLINK("http://www.rosaceae.org/Prunus/Prunus_persica/p.persica_gdr_reftransV1_0007593","p.persica_gdr_reftransV1_0007593")</f>
        <v>p.persica_gdr_reftransV1_0007593</v>
      </c>
      <c r="B10348" s="2">
        <v>1481</v>
      </c>
      <c r="C10348" s="4" t="str">
        <f>HYPERLINK("http://www.uniprot.org/uniprot/M5XMS8","M5XMS8")</f>
        <v>M5XMS8</v>
      </c>
      <c r="D10348" s="2" t="s">
        <v>8883</v>
      </c>
      <c r="E10348" s="3">
        <v>0</v>
      </c>
      <c r="F10348" s="2">
        <v>1984</v>
      </c>
      <c r="G10348" s="2">
        <v>100</v>
      </c>
      <c r="H10348" s="2">
        <v>370</v>
      </c>
      <c r="I10348" s="2">
        <v>3</v>
      </c>
      <c r="J10348" s="2">
        <v>1112</v>
      </c>
      <c r="K10348" s="2">
        <v>352</v>
      </c>
      <c r="L10348" s="2">
        <v>721</v>
      </c>
    </row>
    <row r="10349" spans="1:12" x14ac:dyDescent="0.25">
      <c r="A10349" s="4" t="str">
        <f>HYPERLINK("http://www.rosaceae.org/Prunus/Prunus_persica/p.persica_gdr_reftransV1_0007943","p.persica_gdr_reftransV1_0007943")</f>
        <v>p.persica_gdr_reftransV1_0007943</v>
      </c>
      <c r="B10349" s="2">
        <v>1249</v>
      </c>
      <c r="C10349" s="4" t="str">
        <f>HYPERLINK("http://www.uniprot.org/uniprot/M5XT54","M5XT54")</f>
        <v>M5XT54</v>
      </c>
      <c r="D10349" s="2" t="s">
        <v>8884</v>
      </c>
      <c r="E10349" s="3">
        <v>3.8699999999999999E-104</v>
      </c>
      <c r="F10349" s="2">
        <v>814</v>
      </c>
      <c r="G10349" s="2">
        <v>100</v>
      </c>
      <c r="H10349" s="2">
        <v>180</v>
      </c>
      <c r="I10349" s="2">
        <v>365</v>
      </c>
      <c r="J10349" s="2">
        <v>904</v>
      </c>
      <c r="K10349" s="2">
        <v>1</v>
      </c>
      <c r="L10349" s="2">
        <v>180</v>
      </c>
    </row>
    <row r="10350" spans="1:12" x14ac:dyDescent="0.25">
      <c r="A10350" s="4" t="str">
        <f>HYPERLINK("http://www.rosaceae.org/Prunus/Prunus_persica/p.persica_gdr_reftransV1_0008643","p.persica_gdr_reftransV1_0008643")</f>
        <v>p.persica_gdr_reftransV1_0008643</v>
      </c>
      <c r="B10350" s="2">
        <v>2581</v>
      </c>
      <c r="C10350" s="4" t="str">
        <f>HYPERLINK("http://www.uniprot.org/uniprot/M5X385","M5X385")</f>
        <v>M5X385</v>
      </c>
      <c r="D10350" s="2" t="s">
        <v>8885</v>
      </c>
      <c r="E10350" s="3">
        <v>0</v>
      </c>
      <c r="F10350" s="2">
        <v>3004</v>
      </c>
      <c r="G10350" s="2">
        <v>100</v>
      </c>
      <c r="H10350" s="2">
        <v>577</v>
      </c>
      <c r="I10350" s="2">
        <v>345</v>
      </c>
      <c r="J10350" s="2">
        <v>2075</v>
      </c>
      <c r="K10350" s="2">
        <v>1</v>
      </c>
      <c r="L10350" s="2">
        <v>577</v>
      </c>
    </row>
    <row r="10351" spans="1:12" x14ac:dyDescent="0.25">
      <c r="A10351" s="4" t="str">
        <f>HYPERLINK("http://www.rosaceae.org/Prunus/Prunus_persica/p.persica_gdr_reftransV1_0008993","p.persica_gdr_reftransV1_0008993")</f>
        <v>p.persica_gdr_reftransV1_0008993</v>
      </c>
      <c r="B10351" s="2">
        <v>497</v>
      </c>
      <c r="C10351" s="4" t="str">
        <f>HYPERLINK("http://www.uniprot.org/uniprot/M5Y1X0","M5Y1X0")</f>
        <v>M5Y1X0</v>
      </c>
      <c r="D10351" s="2" t="s">
        <v>7945</v>
      </c>
      <c r="E10351" s="3">
        <v>2.5900000000000001E-52</v>
      </c>
      <c r="F10351" s="2">
        <v>482</v>
      </c>
      <c r="G10351" s="2">
        <v>100</v>
      </c>
      <c r="H10351" s="2">
        <v>109</v>
      </c>
      <c r="I10351" s="2">
        <v>170</v>
      </c>
      <c r="J10351" s="2">
        <v>496</v>
      </c>
      <c r="K10351" s="2">
        <v>1</v>
      </c>
      <c r="L10351" s="2">
        <v>109</v>
      </c>
    </row>
    <row r="10352" spans="1:12" x14ac:dyDescent="0.25">
      <c r="A10352" s="4" t="str">
        <f>HYPERLINK("http://www.rosaceae.org/Prunus/Prunus_persica/p.persica_gdr_reftransV1_0009343","p.persica_gdr_reftransV1_0009343")</f>
        <v>p.persica_gdr_reftransV1_0009343</v>
      </c>
      <c r="B10352" s="2">
        <v>1047</v>
      </c>
      <c r="C10352" s="4" t="str">
        <f>HYPERLINK("http://www.uniprot.org/uniprot/M5WNP2","M5WNP2")</f>
        <v>M5WNP2</v>
      </c>
      <c r="D10352" s="2" t="s">
        <v>8886</v>
      </c>
      <c r="E10352" s="3">
        <v>1.8200000000000001E-113</v>
      </c>
      <c r="F10352" s="2">
        <v>868</v>
      </c>
      <c r="G10352" s="2">
        <v>99</v>
      </c>
      <c r="H10352" s="2">
        <v>169</v>
      </c>
      <c r="I10352" s="2">
        <v>98</v>
      </c>
      <c r="J10352" s="2">
        <v>604</v>
      </c>
      <c r="K10352" s="2">
        <v>1</v>
      </c>
      <c r="L10352" s="2">
        <v>169</v>
      </c>
    </row>
    <row r="10353" spans="1:12" x14ac:dyDescent="0.25">
      <c r="A10353" s="4" t="str">
        <f>HYPERLINK("http://www.rosaceae.org/Prunus/Prunus_persica/p.persica_gdr_reftransV1_0010043","p.persica_gdr_reftransV1_0010043")</f>
        <v>p.persica_gdr_reftransV1_0010043</v>
      </c>
      <c r="B10353" s="2">
        <v>421</v>
      </c>
      <c r="C10353" s="4" t="str">
        <f>HYPERLINK("http://www.uniprot.org/uniprot/M5WG64","M5WG64")</f>
        <v>M5WG64</v>
      </c>
      <c r="D10353" s="2" t="s">
        <v>8887</v>
      </c>
      <c r="E10353" s="3">
        <v>3.78E-84</v>
      </c>
      <c r="F10353" s="2">
        <v>684</v>
      </c>
      <c r="G10353" s="2">
        <v>100</v>
      </c>
      <c r="H10353" s="2">
        <v>126</v>
      </c>
      <c r="I10353" s="2">
        <v>43</v>
      </c>
      <c r="J10353" s="2">
        <v>420</v>
      </c>
      <c r="K10353" s="2">
        <v>260</v>
      </c>
      <c r="L10353" s="2">
        <v>385</v>
      </c>
    </row>
    <row r="10354" spans="1:12" x14ac:dyDescent="0.25">
      <c r="A10354" s="4" t="str">
        <f>HYPERLINK("http://www.rosaceae.org/Prunus/Prunus_persica/p.persica_gdr_reftransV1_0010393","p.persica_gdr_reftransV1_0010393")</f>
        <v>p.persica_gdr_reftransV1_0010393</v>
      </c>
      <c r="B10354" s="2">
        <v>1206</v>
      </c>
      <c r="C10354" s="4" t="str">
        <f>HYPERLINK("http://www.uniprot.org/uniprot/M5W458","M5W458")</f>
        <v>M5W458</v>
      </c>
      <c r="D10354" s="2" t="s">
        <v>8888</v>
      </c>
      <c r="E10354" s="3">
        <v>0</v>
      </c>
      <c r="F10354" s="2">
        <v>1674</v>
      </c>
      <c r="G10354" s="2">
        <v>100</v>
      </c>
      <c r="H10354" s="2">
        <v>337</v>
      </c>
      <c r="I10354" s="2">
        <v>59</v>
      </c>
      <c r="J10354" s="2">
        <v>1069</v>
      </c>
      <c r="K10354" s="2">
        <v>1</v>
      </c>
      <c r="L10354" s="2">
        <v>337</v>
      </c>
    </row>
    <row r="10355" spans="1:12" x14ac:dyDescent="0.25">
      <c r="A10355" s="4" t="str">
        <f>HYPERLINK("http://www.rosaceae.org/Prunus/Prunus_persica/p.persica_gdr_reftransV1_0011793","p.persica_gdr_reftransV1_0011793")</f>
        <v>p.persica_gdr_reftransV1_0011793</v>
      </c>
      <c r="B10355" s="2">
        <v>2446</v>
      </c>
      <c r="C10355" s="4" t="str">
        <f>HYPERLINK("http://www.uniprot.org/uniprot/M5W6T4","M5W6T4")</f>
        <v>M5W6T4</v>
      </c>
      <c r="D10355" s="2" t="s">
        <v>8889</v>
      </c>
      <c r="E10355" s="3">
        <v>0</v>
      </c>
      <c r="F10355" s="2">
        <v>2896</v>
      </c>
      <c r="G10355" s="2">
        <v>100</v>
      </c>
      <c r="H10355" s="2">
        <v>565</v>
      </c>
      <c r="I10355" s="2">
        <v>605</v>
      </c>
      <c r="J10355" s="2">
        <v>2299</v>
      </c>
      <c r="K10355" s="2">
        <v>1</v>
      </c>
      <c r="L10355" s="2">
        <v>564</v>
      </c>
    </row>
    <row r="10356" spans="1:12" x14ac:dyDescent="0.25">
      <c r="A10356" s="4" t="str">
        <f>HYPERLINK("http://www.rosaceae.org/Prunus/Prunus_persica/p.persica_gdr_reftransV1_0012493","p.persica_gdr_reftransV1_0012493")</f>
        <v>p.persica_gdr_reftransV1_0012493</v>
      </c>
      <c r="B10356" s="2">
        <v>2370</v>
      </c>
      <c r="C10356" s="4" t="str">
        <f>HYPERLINK("http://www.uniprot.org/uniprot/M5VWC4","M5VWC4")</f>
        <v>M5VWC4</v>
      </c>
      <c r="D10356" s="2" t="s">
        <v>931</v>
      </c>
      <c r="E10356" s="3">
        <v>0</v>
      </c>
      <c r="F10356" s="2">
        <v>2032</v>
      </c>
      <c r="G10356" s="2">
        <v>100</v>
      </c>
      <c r="H10356" s="2">
        <v>380</v>
      </c>
      <c r="I10356" s="2">
        <v>242</v>
      </c>
      <c r="J10356" s="2">
        <v>1381</v>
      </c>
      <c r="K10356" s="2">
        <v>169</v>
      </c>
      <c r="L10356" s="2">
        <v>548</v>
      </c>
    </row>
    <row r="10357" spans="1:12" x14ac:dyDescent="0.25">
      <c r="A10357" s="4" t="str">
        <f>HYPERLINK("http://www.rosaceae.org/Prunus/Prunus_persica/p.persica_gdr_reftransV1_0012843","p.persica_gdr_reftransV1_0012843")</f>
        <v>p.persica_gdr_reftransV1_0012843</v>
      </c>
      <c r="B10357" s="2">
        <v>4334</v>
      </c>
      <c r="C10357" s="4" t="str">
        <f>HYPERLINK("http://www.uniprot.org/uniprot/M5WDW0","M5WDW0")</f>
        <v>M5WDW0</v>
      </c>
      <c r="D10357" s="2" t="s">
        <v>8890</v>
      </c>
      <c r="E10357" s="3">
        <v>0</v>
      </c>
      <c r="F10357" s="2">
        <v>2777</v>
      </c>
      <c r="G10357" s="2">
        <v>97</v>
      </c>
      <c r="H10357" s="2">
        <v>545</v>
      </c>
      <c r="I10357" s="2">
        <v>123</v>
      </c>
      <c r="J10357" s="2">
        <v>1757</v>
      </c>
      <c r="K10357" s="2">
        <v>1</v>
      </c>
      <c r="L10357" s="2">
        <v>542</v>
      </c>
    </row>
    <row r="10358" spans="1:12" x14ac:dyDescent="0.25">
      <c r="A10358" s="4" t="str">
        <f>HYPERLINK("http://www.rosaceae.org/Prunus/Prunus_persica/p.persica_gdr_reftransV1_0014243","p.persica_gdr_reftransV1_0014243")</f>
        <v>p.persica_gdr_reftransV1_0014243</v>
      </c>
      <c r="B10358" s="2">
        <v>1670</v>
      </c>
      <c r="C10358" s="4" t="str">
        <f>HYPERLINK("http://www.uniprot.org/uniprot/M4QFW7","M4QFW7")</f>
        <v>M4QFW7</v>
      </c>
      <c r="D10358" s="2" t="s">
        <v>2751</v>
      </c>
      <c r="E10358" s="3">
        <v>3.6500000000000001E-160</v>
      </c>
      <c r="F10358" s="2">
        <v>1205</v>
      </c>
      <c r="G10358" s="2">
        <v>76</v>
      </c>
      <c r="H10358" s="2">
        <v>323</v>
      </c>
      <c r="I10358" s="2">
        <v>470</v>
      </c>
      <c r="J10358" s="2">
        <v>1438</v>
      </c>
      <c r="K10358" s="2">
        <v>1</v>
      </c>
      <c r="L10358" s="2">
        <v>247</v>
      </c>
    </row>
    <row r="10359" spans="1:12" x14ac:dyDescent="0.25">
      <c r="A10359" s="4" t="str">
        <f>HYPERLINK("http://www.rosaceae.org/Prunus/Prunus_persica/p.persica_gdr_reftransV1_0014593","p.persica_gdr_reftransV1_0014593")</f>
        <v>p.persica_gdr_reftransV1_0014593</v>
      </c>
      <c r="B10359" s="2">
        <v>2647</v>
      </c>
      <c r="C10359" s="4" t="str">
        <f>HYPERLINK("http://www.uniprot.org/uniprot/A0A067JUS3","A0A067JUS3")</f>
        <v>A0A067JUS3</v>
      </c>
      <c r="D10359" s="2" t="s">
        <v>8891</v>
      </c>
      <c r="E10359" s="3">
        <v>1.8899999999999999E-162</v>
      </c>
      <c r="F10359" s="2">
        <v>1141</v>
      </c>
      <c r="G10359" s="2">
        <v>70</v>
      </c>
      <c r="H10359" s="2">
        <v>398</v>
      </c>
      <c r="I10359" s="2">
        <v>1306</v>
      </c>
      <c r="J10359" s="2">
        <v>2481</v>
      </c>
      <c r="K10359" s="2">
        <v>1</v>
      </c>
      <c r="L10359" s="2">
        <v>395</v>
      </c>
    </row>
    <row r="10360" spans="1:12" x14ac:dyDescent="0.25">
      <c r="A10360" s="4" t="str">
        <f>HYPERLINK("http://www.rosaceae.org/Prunus/Prunus_persica/p.persica_gdr_reftransV1_0014943","p.persica_gdr_reftransV1_0014943")</f>
        <v>p.persica_gdr_reftransV1_0014943</v>
      </c>
      <c r="B10360" s="2">
        <v>2033</v>
      </c>
      <c r="C10360" s="4" t="str">
        <f>HYPERLINK("http://www.uniprot.org/uniprot/M5X9X4","M5X9X4")</f>
        <v>M5X9X4</v>
      </c>
      <c r="D10360" s="2" t="s">
        <v>1936</v>
      </c>
      <c r="E10360" s="3">
        <v>0</v>
      </c>
      <c r="F10360" s="2">
        <v>3329</v>
      </c>
      <c r="G10360" s="2">
        <v>100</v>
      </c>
      <c r="H10360" s="2">
        <v>627</v>
      </c>
      <c r="I10360" s="2">
        <v>151</v>
      </c>
      <c r="J10360" s="2">
        <v>2031</v>
      </c>
      <c r="K10360" s="2">
        <v>210</v>
      </c>
      <c r="L10360" s="2">
        <v>836</v>
      </c>
    </row>
    <row r="10361" spans="1:12" x14ac:dyDescent="0.25">
      <c r="A10361" s="4" t="str">
        <f>HYPERLINK("http://www.rosaceae.org/Prunus/Prunus_persica/p.persica_gdr_reftransV1_0015643","p.persica_gdr_reftransV1_0015643")</f>
        <v>p.persica_gdr_reftransV1_0015643</v>
      </c>
      <c r="B10361" s="2">
        <v>1213</v>
      </c>
      <c r="C10361" s="4" t="str">
        <f>HYPERLINK("http://www.uniprot.org/uniprot/M5XFL4","M5XFL4")</f>
        <v>M5XFL4</v>
      </c>
      <c r="D10361" s="2" t="s">
        <v>8892</v>
      </c>
      <c r="E10361" s="3">
        <v>2.5700000000000002E-112</v>
      </c>
      <c r="F10361" s="2">
        <v>557</v>
      </c>
      <c r="G10361" s="2">
        <v>100</v>
      </c>
      <c r="H10361" s="2">
        <v>122</v>
      </c>
      <c r="I10361" s="2">
        <v>805</v>
      </c>
      <c r="J10361" s="2">
        <v>1170</v>
      </c>
      <c r="K10361" s="2">
        <v>1</v>
      </c>
      <c r="L10361" s="2">
        <v>122</v>
      </c>
    </row>
    <row r="10362" spans="1:12" x14ac:dyDescent="0.25">
      <c r="A10362" s="4" t="str">
        <f>HYPERLINK("http://www.rosaceae.org/Prunus/Prunus_persica/p.persica_gdr_reftransV1_0016343","p.persica_gdr_reftransV1_0016343")</f>
        <v>p.persica_gdr_reftransV1_0016343</v>
      </c>
      <c r="B10362" s="2">
        <v>406</v>
      </c>
      <c r="C10362" s="4" t="str">
        <f>HYPERLINK("http://www.uniprot.org/uniprot/M5VKE9","M5VKE9")</f>
        <v>M5VKE9</v>
      </c>
      <c r="D10362" s="2" t="s">
        <v>753</v>
      </c>
      <c r="E10362" s="3">
        <v>1.87E-82</v>
      </c>
      <c r="F10362" s="2">
        <v>705</v>
      </c>
      <c r="G10362" s="2">
        <v>100</v>
      </c>
      <c r="H10362" s="2">
        <v>134</v>
      </c>
      <c r="I10362" s="2">
        <v>3</v>
      </c>
      <c r="J10362" s="2">
        <v>404</v>
      </c>
      <c r="K10362" s="2">
        <v>1820</v>
      </c>
      <c r="L10362" s="2">
        <v>1953</v>
      </c>
    </row>
    <row r="10363" spans="1:12" x14ac:dyDescent="0.25">
      <c r="A10363" s="4" t="str">
        <f>HYPERLINK("http://www.rosaceae.org/Prunus/Prunus_persica/p.persica_gdr_reftransV1_0017393","p.persica_gdr_reftransV1_0017393")</f>
        <v>p.persica_gdr_reftransV1_0017393</v>
      </c>
      <c r="B10363" s="2">
        <v>960</v>
      </c>
      <c r="C10363" s="4" t="str">
        <f>HYPERLINK("http://www.uniprot.org/uniprot/M5XJR6","M5XJR6")</f>
        <v>M5XJR6</v>
      </c>
      <c r="D10363" s="2" t="s">
        <v>4970</v>
      </c>
      <c r="E10363" s="3">
        <v>5.1399999999999998E-159</v>
      </c>
      <c r="F10363" s="2">
        <v>1207</v>
      </c>
      <c r="G10363" s="2">
        <v>100</v>
      </c>
      <c r="H10363" s="2">
        <v>226</v>
      </c>
      <c r="I10363" s="2">
        <v>283</v>
      </c>
      <c r="J10363" s="2">
        <v>960</v>
      </c>
      <c r="K10363" s="2">
        <v>359</v>
      </c>
      <c r="L10363" s="2">
        <v>584</v>
      </c>
    </row>
    <row r="10364" spans="1:12" x14ac:dyDescent="0.25">
      <c r="A10364" s="4" t="str">
        <f>HYPERLINK("http://www.rosaceae.org/Prunus/Prunus_persica/p.persica_gdr_reftransV1_0017743","p.persica_gdr_reftransV1_0017743")</f>
        <v>p.persica_gdr_reftransV1_0017743</v>
      </c>
      <c r="B10364" s="2">
        <v>1161</v>
      </c>
      <c r="C10364" s="4" t="str">
        <f>HYPERLINK("http://www.uniprot.org/uniprot/M5XGD0","M5XGD0")</f>
        <v>M5XGD0</v>
      </c>
      <c r="D10364" s="2" t="s">
        <v>8893</v>
      </c>
      <c r="E10364" s="3">
        <v>4.07E-175</v>
      </c>
      <c r="F10364" s="2">
        <v>1291</v>
      </c>
      <c r="G10364" s="2">
        <v>100</v>
      </c>
      <c r="H10364" s="2">
        <v>245</v>
      </c>
      <c r="I10364" s="2">
        <v>427</v>
      </c>
      <c r="J10364" s="2">
        <v>1161</v>
      </c>
      <c r="K10364" s="2">
        <v>44</v>
      </c>
      <c r="L10364" s="2">
        <v>288</v>
      </c>
    </row>
    <row r="10365" spans="1:12" x14ac:dyDescent="0.25">
      <c r="A10365" s="4" t="str">
        <f>HYPERLINK("http://www.rosaceae.org/Prunus/Prunus_persica/p.persica_gdr_reftransV1_0018443","p.persica_gdr_reftransV1_0018443")</f>
        <v>p.persica_gdr_reftransV1_0018443</v>
      </c>
      <c r="B10365" s="2">
        <v>3402</v>
      </c>
      <c r="C10365" s="4" t="str">
        <f>HYPERLINK("http://www.uniprot.org/uniprot/M5W770","M5W770")</f>
        <v>M5W770</v>
      </c>
      <c r="D10365" s="2" t="s">
        <v>8894</v>
      </c>
      <c r="E10365" s="3">
        <v>0</v>
      </c>
      <c r="F10365" s="2">
        <v>3922</v>
      </c>
      <c r="G10365" s="2">
        <v>100</v>
      </c>
      <c r="H10365" s="2">
        <v>756</v>
      </c>
      <c r="I10365" s="2">
        <v>274</v>
      </c>
      <c r="J10365" s="2">
        <v>2541</v>
      </c>
      <c r="K10365" s="2">
        <v>1</v>
      </c>
      <c r="L10365" s="2">
        <v>756</v>
      </c>
    </row>
    <row r="10366" spans="1:12" x14ac:dyDescent="0.25">
      <c r="A10366" s="4" t="str">
        <f>HYPERLINK("http://www.rosaceae.org/Prunus/Prunus_persica/p.persica_gdr_reftransV1_0018793","p.persica_gdr_reftransV1_0018793")</f>
        <v>p.persica_gdr_reftransV1_0018793</v>
      </c>
      <c r="B10366" s="2">
        <v>1390</v>
      </c>
      <c r="C10366" s="4" t="str">
        <f>HYPERLINK("http://www.uniprot.org/uniprot/M5VYS9","M5VYS9")</f>
        <v>M5VYS9</v>
      </c>
      <c r="D10366" s="2" t="s">
        <v>8895</v>
      </c>
      <c r="E10366" s="3">
        <v>0</v>
      </c>
      <c r="F10366" s="2">
        <v>1761</v>
      </c>
      <c r="G10366" s="2">
        <v>96</v>
      </c>
      <c r="H10366" s="2">
        <v>372</v>
      </c>
      <c r="I10366" s="2">
        <v>58</v>
      </c>
      <c r="J10366" s="2">
        <v>1161</v>
      </c>
      <c r="K10366" s="2">
        <v>1</v>
      </c>
      <c r="L10366" s="2">
        <v>369</v>
      </c>
    </row>
    <row r="10367" spans="1:12" x14ac:dyDescent="0.25">
      <c r="A10367" s="4" t="str">
        <f>HYPERLINK("http://www.rosaceae.org/Prunus/Prunus_persica/p.persica_gdr_reftransV1_0019143","p.persica_gdr_reftransV1_0019143")</f>
        <v>p.persica_gdr_reftransV1_0019143</v>
      </c>
      <c r="B10367" s="2">
        <v>2810</v>
      </c>
      <c r="C10367" s="4" t="str">
        <f>HYPERLINK("http://www.uniprot.org/uniprot/M5WEY9","M5WEY9")</f>
        <v>M5WEY9</v>
      </c>
      <c r="D10367" s="2" t="s">
        <v>8896</v>
      </c>
      <c r="E10367" s="3">
        <v>0</v>
      </c>
      <c r="F10367" s="2">
        <v>3067</v>
      </c>
      <c r="G10367" s="2">
        <v>100</v>
      </c>
      <c r="H10367" s="2">
        <v>652</v>
      </c>
      <c r="I10367" s="2">
        <v>255</v>
      </c>
      <c r="J10367" s="2">
        <v>2210</v>
      </c>
      <c r="K10367" s="2">
        <v>33</v>
      </c>
      <c r="L10367" s="2">
        <v>684</v>
      </c>
    </row>
    <row r="10368" spans="1:12" x14ac:dyDescent="0.25">
      <c r="A10368" s="4" t="str">
        <f>HYPERLINK("http://www.rosaceae.org/Prunus/Prunus_persica/p.persica_gdr_reftransV1_0019493","p.persica_gdr_reftransV1_0019493")</f>
        <v>p.persica_gdr_reftransV1_0019493</v>
      </c>
      <c r="B10368" s="2">
        <v>857</v>
      </c>
      <c r="C10368" s="4" t="str">
        <f>HYPERLINK("http://www.uniprot.org/uniprot/M5W868","M5W868")</f>
        <v>M5W868</v>
      </c>
      <c r="D10368" s="2" t="s">
        <v>3711</v>
      </c>
      <c r="E10368" s="3">
        <v>1.2000000000000001E-149</v>
      </c>
      <c r="F10368" s="2">
        <v>1168</v>
      </c>
      <c r="G10368" s="2">
        <v>100</v>
      </c>
      <c r="H10368" s="2">
        <v>226</v>
      </c>
      <c r="I10368" s="2">
        <v>180</v>
      </c>
      <c r="J10368" s="2">
        <v>857</v>
      </c>
      <c r="K10368" s="2">
        <v>1</v>
      </c>
      <c r="L10368" s="2">
        <v>226</v>
      </c>
    </row>
    <row r="10369" spans="1:12" x14ac:dyDescent="0.25">
      <c r="A10369" s="4" t="str">
        <f>HYPERLINK("http://www.rosaceae.org/Prunus/Prunus_persica/p.persica_gdr_reftransV1_0019843","p.persica_gdr_reftransV1_0019843")</f>
        <v>p.persica_gdr_reftransV1_0019843</v>
      </c>
      <c r="B10369" s="2">
        <v>3892</v>
      </c>
      <c r="C10369" s="4" t="str">
        <f>HYPERLINK("http://www.uniprot.org/uniprot/M5XL12","M5XL12")</f>
        <v>M5XL12</v>
      </c>
      <c r="D10369" s="2" t="s">
        <v>8897</v>
      </c>
      <c r="E10369" s="3">
        <v>0</v>
      </c>
      <c r="F10369" s="2">
        <v>5024</v>
      </c>
      <c r="G10369" s="2">
        <v>100</v>
      </c>
      <c r="H10369" s="2">
        <v>1088</v>
      </c>
      <c r="I10369" s="2">
        <v>323</v>
      </c>
      <c r="J10369" s="2">
        <v>3586</v>
      </c>
      <c r="K10369" s="2">
        <v>1</v>
      </c>
      <c r="L10369" s="2">
        <v>1088</v>
      </c>
    </row>
    <row r="10370" spans="1:12" x14ac:dyDescent="0.25">
      <c r="A10370" s="4" t="str">
        <f>HYPERLINK("http://www.rosaceae.org/Prunus/Prunus_persica/p.persica_gdr_reftransV1_0020543","p.persica_gdr_reftransV1_0020543")</f>
        <v>p.persica_gdr_reftransV1_0020543</v>
      </c>
      <c r="B10370" s="2">
        <v>1178</v>
      </c>
      <c r="C10370" s="4" t="str">
        <f>HYPERLINK("http://www.uniprot.org/uniprot/M5WEM2","M5WEM2")</f>
        <v>M5WEM2</v>
      </c>
      <c r="D10370" s="2" t="s">
        <v>8898</v>
      </c>
      <c r="E10370" s="3">
        <v>5.5500000000000001E-28</v>
      </c>
      <c r="F10370" s="2">
        <v>289</v>
      </c>
      <c r="G10370" s="2">
        <v>100</v>
      </c>
      <c r="H10370" s="2">
        <v>92</v>
      </c>
      <c r="I10370" s="2">
        <v>118</v>
      </c>
      <c r="J10370" s="2">
        <v>393</v>
      </c>
      <c r="K10370" s="2">
        <v>1</v>
      </c>
      <c r="L10370" s="2">
        <v>92</v>
      </c>
    </row>
    <row r="10371" spans="1:12" x14ac:dyDescent="0.25">
      <c r="A10371" s="4" t="str">
        <f>HYPERLINK("http://www.rosaceae.org/Prunus/Prunus_persica/p.persica_gdr_reftransV1_0021243","p.persica_gdr_reftransV1_0021243")</f>
        <v>p.persica_gdr_reftransV1_0021243</v>
      </c>
      <c r="B10371" s="2">
        <v>1911</v>
      </c>
      <c r="C10371" s="4" t="str">
        <f>HYPERLINK("http://www.uniprot.org/uniprot/M5XYK9","M5XYK9")</f>
        <v>M5XYK9</v>
      </c>
      <c r="D10371" s="2" t="s">
        <v>8899</v>
      </c>
      <c r="E10371" s="3">
        <v>0</v>
      </c>
      <c r="F10371" s="2">
        <v>2687</v>
      </c>
      <c r="G10371" s="2">
        <v>100</v>
      </c>
      <c r="H10371" s="2">
        <v>520</v>
      </c>
      <c r="I10371" s="2">
        <v>134</v>
      </c>
      <c r="J10371" s="2">
        <v>1693</v>
      </c>
      <c r="K10371" s="2">
        <v>1</v>
      </c>
      <c r="L10371" s="2">
        <v>520</v>
      </c>
    </row>
    <row r="10372" spans="1:12" x14ac:dyDescent="0.25">
      <c r="A10372" s="4" t="str">
        <f>HYPERLINK("http://www.rosaceae.org/Prunus/Prunus_persica/p.persica_gdr_reftransV1_0024743","p.persica_gdr_reftransV1_0024743")</f>
        <v>p.persica_gdr_reftransV1_0024743</v>
      </c>
      <c r="B10372" s="2">
        <v>2271</v>
      </c>
      <c r="C10372" s="4" t="str">
        <f>HYPERLINK("http://www.uniprot.org/uniprot/M5WPA6","M5WPA6")</f>
        <v>M5WPA6</v>
      </c>
      <c r="D10372" s="2" t="s">
        <v>8900</v>
      </c>
      <c r="E10372" s="3">
        <v>0</v>
      </c>
      <c r="F10372" s="2">
        <v>1203</v>
      </c>
      <c r="G10372" s="2">
        <v>99</v>
      </c>
      <c r="H10372" s="2">
        <v>227</v>
      </c>
      <c r="I10372" s="2">
        <v>414</v>
      </c>
      <c r="J10372" s="2">
        <v>1094</v>
      </c>
      <c r="K10372" s="2">
        <v>222</v>
      </c>
      <c r="L10372" s="2">
        <v>448</v>
      </c>
    </row>
    <row r="10373" spans="1:12" x14ac:dyDescent="0.25">
      <c r="A10373" s="4" t="str">
        <f>HYPERLINK("http://www.rosaceae.org/Prunus/Prunus_persica/p.persica_gdr_reftransV1_0025443","p.persica_gdr_reftransV1_0025443")</f>
        <v>p.persica_gdr_reftransV1_0025443</v>
      </c>
      <c r="B10373" s="2">
        <v>1750</v>
      </c>
      <c r="C10373" s="4" t="str">
        <f>HYPERLINK("http://www.uniprot.org/uniprot/M5VY02","M5VY02")</f>
        <v>M5VY02</v>
      </c>
      <c r="D10373" s="2" t="s">
        <v>146</v>
      </c>
      <c r="E10373" s="3">
        <v>0</v>
      </c>
      <c r="F10373" s="2">
        <v>2431</v>
      </c>
      <c r="G10373" s="2">
        <v>100</v>
      </c>
      <c r="H10373" s="2">
        <v>474</v>
      </c>
      <c r="I10373" s="2">
        <v>134</v>
      </c>
      <c r="J10373" s="2">
        <v>1555</v>
      </c>
      <c r="K10373" s="2">
        <v>1</v>
      </c>
      <c r="L10373" s="2">
        <v>474</v>
      </c>
    </row>
    <row r="10374" spans="1:12" x14ac:dyDescent="0.25">
      <c r="A10374" s="4" t="str">
        <f>HYPERLINK("http://www.rosaceae.org/Prunus/Prunus_persica/p.persica_gdr_reftransV1_0025793","p.persica_gdr_reftransV1_0025793")</f>
        <v>p.persica_gdr_reftransV1_0025793</v>
      </c>
      <c r="B10374" s="2">
        <v>2478</v>
      </c>
      <c r="C10374" s="4" t="str">
        <f>HYPERLINK("http://www.uniprot.org/uniprot/M5XNM6","M5XNM6")</f>
        <v>M5XNM6</v>
      </c>
      <c r="D10374" s="2" t="s">
        <v>5050</v>
      </c>
      <c r="E10374" s="3">
        <v>0</v>
      </c>
      <c r="F10374" s="2">
        <v>1503</v>
      </c>
      <c r="G10374" s="2">
        <v>100</v>
      </c>
      <c r="H10374" s="2">
        <v>281</v>
      </c>
      <c r="I10374" s="2">
        <v>715</v>
      </c>
      <c r="J10374" s="2">
        <v>1557</v>
      </c>
      <c r="K10374" s="2">
        <v>1</v>
      </c>
      <c r="L10374" s="2">
        <v>281</v>
      </c>
    </row>
    <row r="10375" spans="1:12" x14ac:dyDescent="0.25">
      <c r="A10375" s="4" t="str">
        <f>HYPERLINK("http://www.rosaceae.org/Prunus/Prunus_persica/p.persica_gdr_reftransV1_0027193","p.persica_gdr_reftransV1_0027193")</f>
        <v>p.persica_gdr_reftransV1_0027193</v>
      </c>
      <c r="B10375" s="2">
        <v>666</v>
      </c>
      <c r="C10375" s="4" t="str">
        <f>HYPERLINK("http://www.uniprot.org/uniprot/M5X9H3","M5X9H3")</f>
        <v>M5X9H3</v>
      </c>
      <c r="D10375" s="2" t="s">
        <v>8901</v>
      </c>
      <c r="E10375" s="3">
        <v>2.4100000000000001E-80</v>
      </c>
      <c r="F10375" s="2">
        <v>640</v>
      </c>
      <c r="G10375" s="2">
        <v>64</v>
      </c>
      <c r="H10375" s="2">
        <v>213</v>
      </c>
      <c r="I10375" s="2">
        <v>1</v>
      </c>
      <c r="J10375" s="2">
        <v>636</v>
      </c>
      <c r="K10375" s="2">
        <v>47</v>
      </c>
      <c r="L10375" s="2">
        <v>215</v>
      </c>
    </row>
    <row r="10376" spans="1:12" x14ac:dyDescent="0.25">
      <c r="A10376" s="4" t="str">
        <f>HYPERLINK("http://www.rosaceae.org/Prunus/Prunus_persica/p.persica_gdr_reftransV1_0028593","p.persica_gdr_reftransV1_0028593")</f>
        <v>p.persica_gdr_reftransV1_0028593</v>
      </c>
      <c r="B10376" s="2">
        <v>1121</v>
      </c>
      <c r="C10376" s="4" t="str">
        <f>HYPERLINK("http://www.uniprot.org/uniprot/M5WHL0","M5WHL0")</f>
        <v>M5WHL0</v>
      </c>
      <c r="D10376" s="2" t="s">
        <v>8902</v>
      </c>
      <c r="E10376" s="3">
        <v>4.5500000000000003E-132</v>
      </c>
      <c r="F10376" s="2">
        <v>997</v>
      </c>
      <c r="G10376" s="2">
        <v>98</v>
      </c>
      <c r="H10376" s="2">
        <v>190</v>
      </c>
      <c r="I10376" s="2">
        <v>331</v>
      </c>
      <c r="J10376" s="2">
        <v>900</v>
      </c>
      <c r="K10376" s="2">
        <v>1</v>
      </c>
      <c r="L10376" s="2">
        <v>190</v>
      </c>
    </row>
    <row r="10377" spans="1:12" x14ac:dyDescent="0.25">
      <c r="A10377" s="4" t="str">
        <f>HYPERLINK("http://www.rosaceae.org/Prunus/Prunus_persica/p.persica_gdr_reftransV1_0028943","p.persica_gdr_reftransV1_0028943")</f>
        <v>p.persica_gdr_reftransV1_0028943</v>
      </c>
      <c r="B10377" s="2">
        <v>1282</v>
      </c>
      <c r="C10377" s="4" t="str">
        <f>HYPERLINK("http://www.uniprot.org/uniprot/M5VTF9","M5VTF9")</f>
        <v>M5VTF9</v>
      </c>
      <c r="D10377" s="2" t="s">
        <v>8903</v>
      </c>
      <c r="E10377" s="3">
        <v>0</v>
      </c>
      <c r="F10377" s="2">
        <v>1376</v>
      </c>
      <c r="G10377" s="2">
        <v>98</v>
      </c>
      <c r="H10377" s="2">
        <v>268</v>
      </c>
      <c r="I10377" s="2">
        <v>479</v>
      </c>
      <c r="J10377" s="2">
        <v>1282</v>
      </c>
      <c r="K10377" s="2">
        <v>4</v>
      </c>
      <c r="L10377" s="2">
        <v>269</v>
      </c>
    </row>
    <row r="10378" spans="1:12" x14ac:dyDescent="0.25">
      <c r="A10378" s="4" t="str">
        <f>HYPERLINK("http://www.rosaceae.org/Prunus/Prunus_persica/p.persica_gdr_reftransV1_0030343","p.persica_gdr_reftransV1_0030343")</f>
        <v>p.persica_gdr_reftransV1_0030343</v>
      </c>
      <c r="B10378" s="2">
        <v>1801</v>
      </c>
      <c r="C10378" s="4" t="str">
        <f>HYPERLINK("http://www.uniprot.org/uniprot/M5WG54","M5WG54")</f>
        <v>M5WG54</v>
      </c>
      <c r="D10378" s="2" t="s">
        <v>8904</v>
      </c>
      <c r="E10378" s="3">
        <v>0</v>
      </c>
      <c r="F10378" s="2">
        <v>1773</v>
      </c>
      <c r="G10378" s="2">
        <v>91</v>
      </c>
      <c r="H10378" s="2">
        <v>387</v>
      </c>
      <c r="I10378" s="2">
        <v>335</v>
      </c>
      <c r="J10378" s="2">
        <v>1495</v>
      </c>
      <c r="K10378" s="2">
        <v>1</v>
      </c>
      <c r="L10378" s="2">
        <v>352</v>
      </c>
    </row>
    <row r="10379" spans="1:12" x14ac:dyDescent="0.25">
      <c r="A10379" s="4" t="str">
        <f>HYPERLINK("http://www.rosaceae.org/Prunus/Prunus_persica/p.persica_gdr_reftransV1_0033143","p.persica_gdr_reftransV1_0033143")</f>
        <v>p.persica_gdr_reftransV1_0033143</v>
      </c>
      <c r="B10379" s="2">
        <v>1030</v>
      </c>
      <c r="C10379" s="4" t="str">
        <f>HYPERLINK("http://www.uniprot.org/uniprot/M5XPD3","M5XPD3")</f>
        <v>M5XPD3</v>
      </c>
      <c r="D10379" s="2" t="s">
        <v>8020</v>
      </c>
      <c r="E10379" s="3">
        <v>5.9600000000000002E-179</v>
      </c>
      <c r="F10379" s="2">
        <v>1327</v>
      </c>
      <c r="G10379" s="2">
        <v>100</v>
      </c>
      <c r="H10379" s="2">
        <v>244</v>
      </c>
      <c r="I10379" s="2">
        <v>2</v>
      </c>
      <c r="J10379" s="2">
        <v>733</v>
      </c>
      <c r="K10379" s="2">
        <v>91</v>
      </c>
      <c r="L10379" s="2">
        <v>334</v>
      </c>
    </row>
    <row r="10380" spans="1:12" x14ac:dyDescent="0.25">
      <c r="A10380" s="4" t="str">
        <f>HYPERLINK("http://www.rosaceae.org/Prunus/Prunus_persica/p.persica_gdr_reftransV1_0033843","p.persica_gdr_reftransV1_0033843")</f>
        <v>p.persica_gdr_reftransV1_0033843</v>
      </c>
      <c r="B10380" s="2">
        <v>1919</v>
      </c>
      <c r="C10380" s="4" t="str">
        <f>HYPERLINK("http://www.uniprot.org/uniprot/M5WMV0","M5WMV0")</f>
        <v>M5WMV0</v>
      </c>
      <c r="D10380" s="2" t="s">
        <v>8905</v>
      </c>
      <c r="E10380" s="3">
        <v>7.1E-139</v>
      </c>
      <c r="F10380" s="2">
        <v>1077</v>
      </c>
      <c r="G10380" s="2">
        <v>98</v>
      </c>
      <c r="H10380" s="2">
        <v>241</v>
      </c>
      <c r="I10380" s="2">
        <v>1067</v>
      </c>
      <c r="J10380" s="2">
        <v>1789</v>
      </c>
      <c r="K10380" s="2">
        <v>1</v>
      </c>
      <c r="L10380" s="2">
        <v>241</v>
      </c>
    </row>
    <row r="10381" spans="1:12" x14ac:dyDescent="0.25">
      <c r="A10381" s="4" t="str">
        <f>HYPERLINK("http://www.rosaceae.org/Prunus/Prunus_persica/p.persica_gdr_reftransV1_0035243","p.persica_gdr_reftransV1_0035243")</f>
        <v>p.persica_gdr_reftransV1_0035243</v>
      </c>
      <c r="B10381" s="2">
        <v>2071</v>
      </c>
      <c r="C10381" s="4" t="str">
        <f>HYPERLINK("http://www.uniprot.org/uniprot/M5VPJ0","M5VPJ0")</f>
        <v>M5VPJ0</v>
      </c>
      <c r="D10381" s="2" t="s">
        <v>8906</v>
      </c>
      <c r="E10381" s="3">
        <v>0</v>
      </c>
      <c r="F10381" s="2">
        <v>2468</v>
      </c>
      <c r="G10381" s="2">
        <v>100</v>
      </c>
      <c r="H10381" s="2">
        <v>491</v>
      </c>
      <c r="I10381" s="2">
        <v>338</v>
      </c>
      <c r="J10381" s="2">
        <v>1810</v>
      </c>
      <c r="K10381" s="2">
        <v>1</v>
      </c>
      <c r="L10381" s="2">
        <v>491</v>
      </c>
    </row>
    <row r="10382" spans="1:12" x14ac:dyDescent="0.25">
      <c r="A10382" s="4" t="str">
        <f>HYPERLINK("http://www.rosaceae.org/Prunus/Prunus_persica/p.persica_gdr_reftransV1_0035943","p.persica_gdr_reftransV1_0035943")</f>
        <v>p.persica_gdr_reftransV1_0035943</v>
      </c>
      <c r="B10382" s="2">
        <v>481</v>
      </c>
      <c r="C10382" s="4" t="str">
        <f>HYPERLINK("http://www.uniprot.org/uniprot/M5WS99","M5WS99")</f>
        <v>M5WS99</v>
      </c>
      <c r="D10382" s="2" t="s">
        <v>812</v>
      </c>
      <c r="E10382" s="3">
        <v>1.4199999999999999E-110</v>
      </c>
      <c r="F10382" s="2">
        <v>856</v>
      </c>
      <c r="G10382" s="2">
        <v>100</v>
      </c>
      <c r="H10382" s="2">
        <v>160</v>
      </c>
      <c r="I10382" s="2">
        <v>1</v>
      </c>
      <c r="J10382" s="2">
        <v>480</v>
      </c>
      <c r="K10382" s="2">
        <v>285</v>
      </c>
      <c r="L10382" s="2">
        <v>444</v>
      </c>
    </row>
    <row r="10383" spans="1:12" x14ac:dyDescent="0.25">
      <c r="A10383" s="4" t="str">
        <f>HYPERLINK("http://www.rosaceae.org/Prunus/Prunus_persica/p.persica_gdr_reftransV1_0036293","p.persica_gdr_reftransV1_0036293")</f>
        <v>p.persica_gdr_reftransV1_0036293</v>
      </c>
      <c r="B10383" s="2">
        <v>750</v>
      </c>
      <c r="C10383" s="4" t="str">
        <f>HYPERLINK("http://www.uniprot.org/uniprot/M5WHE0","M5WHE0")</f>
        <v>M5WHE0</v>
      </c>
      <c r="D10383" s="2" t="s">
        <v>8907</v>
      </c>
      <c r="E10383" s="3">
        <v>1.5999999999999999E-93</v>
      </c>
      <c r="F10383" s="2">
        <v>731</v>
      </c>
      <c r="G10383" s="2">
        <v>99</v>
      </c>
      <c r="H10383" s="2">
        <v>139</v>
      </c>
      <c r="I10383" s="2">
        <v>156</v>
      </c>
      <c r="J10383" s="2">
        <v>572</v>
      </c>
      <c r="K10383" s="2">
        <v>23</v>
      </c>
      <c r="L10383" s="2">
        <v>161</v>
      </c>
    </row>
    <row r="10384" spans="1:12" x14ac:dyDescent="0.25">
      <c r="A10384" s="4" t="str">
        <f>HYPERLINK("http://www.rosaceae.org/Prunus/Prunus_persica/p.persica_gdr_reftransV1_0036643","p.persica_gdr_reftransV1_0036643")</f>
        <v>p.persica_gdr_reftransV1_0036643</v>
      </c>
      <c r="B10384" s="2">
        <v>6674</v>
      </c>
      <c r="C10384" s="4" t="str">
        <f>HYPERLINK("http://www.uniprot.org/uniprot/M5VX77","M5VX77")</f>
        <v>M5VX77</v>
      </c>
      <c r="D10384" s="2" t="s">
        <v>6270</v>
      </c>
      <c r="E10384" s="3">
        <v>0</v>
      </c>
      <c r="F10384" s="2">
        <v>6769</v>
      </c>
      <c r="G10384" s="2">
        <v>96</v>
      </c>
      <c r="H10384" s="2">
        <v>1444</v>
      </c>
      <c r="I10384" s="2">
        <v>377</v>
      </c>
      <c r="J10384" s="2">
        <v>4708</v>
      </c>
      <c r="K10384" s="2">
        <v>1</v>
      </c>
      <c r="L10384" s="2">
        <v>1391</v>
      </c>
    </row>
    <row r="10385" spans="1:12" x14ac:dyDescent="0.25">
      <c r="A10385" s="4" t="str">
        <f>HYPERLINK("http://www.rosaceae.org/Prunus/Prunus_persica/p.persica_gdr_reftransV1_0036993","p.persica_gdr_reftransV1_0036993")</f>
        <v>p.persica_gdr_reftransV1_0036993</v>
      </c>
      <c r="B10385" s="2">
        <v>2955</v>
      </c>
      <c r="C10385" s="4" t="str">
        <f>HYPERLINK("http://www.uniprot.org/uniprot/A5ALJ4","A5ALJ4")</f>
        <v>A5ALJ4</v>
      </c>
      <c r="D10385" s="2" t="s">
        <v>8908</v>
      </c>
      <c r="E10385" s="3">
        <v>0</v>
      </c>
      <c r="F10385" s="2">
        <v>1813</v>
      </c>
      <c r="G10385" s="2">
        <v>47</v>
      </c>
      <c r="H10385" s="2">
        <v>930</v>
      </c>
      <c r="I10385" s="2">
        <v>3</v>
      </c>
      <c r="J10385" s="2">
        <v>2591</v>
      </c>
      <c r="K10385" s="2">
        <v>91</v>
      </c>
      <c r="L10385" s="2">
        <v>999</v>
      </c>
    </row>
    <row r="10386" spans="1:12" x14ac:dyDescent="0.25">
      <c r="A10386" s="4" t="str">
        <f>HYPERLINK("http://www.rosaceae.org/Prunus/Prunus_persica/p.persica_gdr_reftransV1_0039443","p.persica_gdr_reftransV1_0039443")</f>
        <v>p.persica_gdr_reftransV1_0039443</v>
      </c>
      <c r="B10386" s="2">
        <v>2222</v>
      </c>
      <c r="C10386" s="4" t="str">
        <f>HYPERLINK("http://www.uniprot.org/uniprot/M5X0W8","M5X0W8")</f>
        <v>M5X0W8</v>
      </c>
      <c r="D10386" s="2" t="s">
        <v>8909</v>
      </c>
      <c r="E10386" s="3">
        <v>0</v>
      </c>
      <c r="F10386" s="2">
        <v>1453</v>
      </c>
      <c r="G10386" s="2">
        <v>99</v>
      </c>
      <c r="H10386" s="2">
        <v>273</v>
      </c>
      <c r="I10386" s="2">
        <v>155</v>
      </c>
      <c r="J10386" s="2">
        <v>973</v>
      </c>
      <c r="K10386" s="2">
        <v>1</v>
      </c>
      <c r="L10386" s="2">
        <v>273</v>
      </c>
    </row>
    <row r="10387" spans="1:12" x14ac:dyDescent="0.25">
      <c r="A10387" s="4" t="str">
        <f>HYPERLINK("http://www.rosaceae.org/Prunus/Prunus_persica/p.persica_gdr_reftransV1_0043293","p.persica_gdr_reftransV1_0043293")</f>
        <v>p.persica_gdr_reftransV1_0043293</v>
      </c>
      <c r="B10387" s="2">
        <v>691</v>
      </c>
      <c r="C10387" s="4" t="str">
        <f>HYPERLINK("http://www.uniprot.org/uniprot/M5WS19","M5WS19")</f>
        <v>M5WS19</v>
      </c>
      <c r="D10387" s="2" t="s">
        <v>8910</v>
      </c>
      <c r="E10387" s="3">
        <v>5.1100000000000003E-100</v>
      </c>
      <c r="F10387" s="2">
        <v>764</v>
      </c>
      <c r="G10387" s="2">
        <v>100</v>
      </c>
      <c r="H10387" s="2">
        <v>144</v>
      </c>
      <c r="I10387" s="2">
        <v>115</v>
      </c>
      <c r="J10387" s="2">
        <v>546</v>
      </c>
      <c r="K10387" s="2">
        <v>1</v>
      </c>
      <c r="L10387" s="2">
        <v>144</v>
      </c>
    </row>
    <row r="10388" spans="1:12" x14ac:dyDescent="0.25">
      <c r="A10388" s="4" t="str">
        <f>HYPERLINK("http://www.rosaceae.org/Prunus/Prunus_persica/p.persica_gdr_reftransV1_0043643","p.persica_gdr_reftransV1_0043643")</f>
        <v>p.persica_gdr_reftransV1_0043643</v>
      </c>
      <c r="B10388" s="2">
        <v>2480</v>
      </c>
      <c r="C10388" s="4" t="str">
        <f>HYPERLINK("http://www.uniprot.org/uniprot/M5XM42","M5XM42")</f>
        <v>M5XM42</v>
      </c>
      <c r="D10388" s="2" t="s">
        <v>8911</v>
      </c>
      <c r="E10388" s="3">
        <v>0</v>
      </c>
      <c r="F10388" s="2">
        <v>1819</v>
      </c>
      <c r="G10388" s="2">
        <v>99</v>
      </c>
      <c r="H10388" s="2">
        <v>364</v>
      </c>
      <c r="I10388" s="2">
        <v>1387</v>
      </c>
      <c r="J10388" s="2">
        <v>2478</v>
      </c>
      <c r="K10388" s="2">
        <v>379</v>
      </c>
      <c r="L10388" s="2">
        <v>742</v>
      </c>
    </row>
    <row r="10389" spans="1:12" x14ac:dyDescent="0.25">
      <c r="A10389" s="4" t="str">
        <f>HYPERLINK("http://www.rosaceae.org/Prunus/Prunus_persica/p.persica_gdr_reftransV1_0043993","p.persica_gdr_reftransV1_0043993")</f>
        <v>p.persica_gdr_reftransV1_0043993</v>
      </c>
      <c r="B10389" s="2">
        <v>2249</v>
      </c>
      <c r="C10389" s="4" t="str">
        <f>HYPERLINK("http://www.uniprot.org/uniprot/M5WNE3","M5WNE3")</f>
        <v>M5WNE3</v>
      </c>
      <c r="D10389" s="2" t="s">
        <v>44</v>
      </c>
      <c r="E10389" s="3">
        <v>0</v>
      </c>
      <c r="F10389" s="2">
        <v>3205</v>
      </c>
      <c r="G10389" s="2">
        <v>100</v>
      </c>
      <c r="H10389" s="2">
        <v>603</v>
      </c>
      <c r="I10389" s="2">
        <v>189</v>
      </c>
      <c r="J10389" s="2">
        <v>1997</v>
      </c>
      <c r="K10389" s="2">
        <v>1</v>
      </c>
      <c r="L10389" s="2">
        <v>603</v>
      </c>
    </row>
    <row r="10390" spans="1:12" x14ac:dyDescent="0.25">
      <c r="A10390" s="4" t="str">
        <f>HYPERLINK("http://www.rosaceae.org/Prunus/Prunus_persica/p.persica_gdr_reftransV1_0044343","p.persica_gdr_reftransV1_0044343")</f>
        <v>p.persica_gdr_reftransV1_0044343</v>
      </c>
      <c r="B10390" s="2">
        <v>1782</v>
      </c>
      <c r="C10390" s="4" t="str">
        <f>HYPERLINK("http://www.uniprot.org/uniprot/M5XKB3","M5XKB3")</f>
        <v>M5XKB3</v>
      </c>
      <c r="D10390" s="2" t="s">
        <v>1229</v>
      </c>
      <c r="E10390" s="3">
        <v>0</v>
      </c>
      <c r="F10390" s="2">
        <v>2656</v>
      </c>
      <c r="G10390" s="2">
        <v>100</v>
      </c>
      <c r="H10390" s="2">
        <v>527</v>
      </c>
      <c r="I10390" s="2">
        <v>1</v>
      </c>
      <c r="J10390" s="2">
        <v>1581</v>
      </c>
      <c r="K10390" s="2">
        <v>187</v>
      </c>
      <c r="L10390" s="2">
        <v>713</v>
      </c>
    </row>
    <row r="10391" spans="1:12" x14ac:dyDescent="0.25">
      <c r="A10391" s="4" t="str">
        <f>HYPERLINK("http://www.rosaceae.org/Prunus/Prunus_persica/p.persica_gdr_reftransV1_0044693","p.persica_gdr_reftransV1_0044693")</f>
        <v>p.persica_gdr_reftransV1_0044693</v>
      </c>
      <c r="B10391" s="2">
        <v>963</v>
      </c>
      <c r="C10391" s="4" t="str">
        <f>HYPERLINK("http://www.uniprot.org/uniprot/M5XJZ1","M5XJZ1")</f>
        <v>M5XJZ1</v>
      </c>
      <c r="D10391" s="2" t="s">
        <v>8912</v>
      </c>
      <c r="E10391" s="3">
        <v>6.4099999999999997E-115</v>
      </c>
      <c r="F10391" s="2">
        <v>875</v>
      </c>
      <c r="G10391" s="2">
        <v>100</v>
      </c>
      <c r="H10391" s="2">
        <v>165</v>
      </c>
      <c r="I10391" s="2">
        <v>274</v>
      </c>
      <c r="J10391" s="2">
        <v>768</v>
      </c>
      <c r="K10391" s="2">
        <v>1</v>
      </c>
      <c r="L10391" s="2">
        <v>165</v>
      </c>
    </row>
    <row r="10392" spans="1:12" x14ac:dyDescent="0.25">
      <c r="A10392" s="4" t="str">
        <f>HYPERLINK("http://www.rosaceae.org/Prunus/Prunus_persica/p.persica_gdr_reftransV1_0045043","p.persica_gdr_reftransV1_0045043")</f>
        <v>p.persica_gdr_reftransV1_0045043</v>
      </c>
      <c r="B10392" s="2">
        <v>1892</v>
      </c>
      <c r="C10392" s="4" t="str">
        <f>HYPERLINK("http://www.uniprot.org/uniprot/M5VWC5","M5VWC5")</f>
        <v>M5VWC5</v>
      </c>
      <c r="D10392" s="2" t="s">
        <v>5436</v>
      </c>
      <c r="E10392" s="3">
        <v>0</v>
      </c>
      <c r="F10392" s="2">
        <v>2357</v>
      </c>
      <c r="G10392" s="2">
        <v>100</v>
      </c>
      <c r="H10392" s="2">
        <v>522</v>
      </c>
      <c r="I10392" s="2">
        <v>2</v>
      </c>
      <c r="J10392" s="2">
        <v>1567</v>
      </c>
      <c r="K10392" s="2">
        <v>153</v>
      </c>
      <c r="L10392" s="2">
        <v>672</v>
      </c>
    </row>
    <row r="10393" spans="1:12" x14ac:dyDescent="0.25">
      <c r="A10393" s="4" t="str">
        <f>HYPERLINK("http://www.rosaceae.org/Prunus/Prunus_persica/p.persica_gdr_reftransV1_0045393","p.persica_gdr_reftransV1_0045393")</f>
        <v>p.persica_gdr_reftransV1_0045393</v>
      </c>
      <c r="B10393" s="2">
        <v>1273</v>
      </c>
      <c r="C10393" s="4" t="str">
        <f>HYPERLINK("http://www.uniprot.org/uniprot/M5XM19","M5XM19")</f>
        <v>M5XM19</v>
      </c>
      <c r="D10393" s="2" t="s">
        <v>8913</v>
      </c>
      <c r="E10393" s="3">
        <v>1.0999999999999999E-168</v>
      </c>
      <c r="F10393" s="2">
        <v>1312</v>
      </c>
      <c r="G10393" s="2">
        <v>92</v>
      </c>
      <c r="H10393" s="2">
        <v>294</v>
      </c>
      <c r="I10393" s="2">
        <v>1</v>
      </c>
      <c r="J10393" s="2">
        <v>882</v>
      </c>
      <c r="K10393" s="2">
        <v>648</v>
      </c>
      <c r="L10393" s="2">
        <v>933</v>
      </c>
    </row>
    <row r="10394" spans="1:12" x14ac:dyDescent="0.25">
      <c r="A10394" s="4" t="str">
        <f>HYPERLINK("http://www.rosaceae.org/Prunus/Prunus_persica/p.persica_gdr_reftransV1_0045743","p.persica_gdr_reftransV1_0045743")</f>
        <v>p.persica_gdr_reftransV1_0045743</v>
      </c>
      <c r="B10394" s="2">
        <v>2231</v>
      </c>
      <c r="C10394" s="4" t="str">
        <f>HYPERLINK("http://www.uniprot.org/uniprot/A0ZNJ8","A0ZNJ8")</f>
        <v>A0ZNJ8</v>
      </c>
      <c r="D10394" s="2" t="s">
        <v>8914</v>
      </c>
      <c r="E10394" s="3">
        <v>0</v>
      </c>
      <c r="F10394" s="2">
        <v>2219</v>
      </c>
      <c r="G10394" s="2">
        <v>86</v>
      </c>
      <c r="H10394" s="2">
        <v>526</v>
      </c>
      <c r="I10394" s="2">
        <v>276</v>
      </c>
      <c r="J10394" s="2">
        <v>1853</v>
      </c>
      <c r="K10394" s="2">
        <v>1</v>
      </c>
      <c r="L10394" s="2">
        <v>526</v>
      </c>
    </row>
    <row r="10395" spans="1:12" x14ac:dyDescent="0.25">
      <c r="A10395" s="4" t="str">
        <f>HYPERLINK("http://www.rosaceae.org/Prunus/Prunus_persica/p.persica_gdr_reftransV1_0046093","p.persica_gdr_reftransV1_0046093")</f>
        <v>p.persica_gdr_reftransV1_0046093</v>
      </c>
      <c r="B10395" s="2">
        <v>1036</v>
      </c>
      <c r="C10395" s="4" t="str">
        <f>HYPERLINK("http://www.uniprot.org/uniprot/M5WHZ0","M5WHZ0")</f>
        <v>M5WHZ0</v>
      </c>
      <c r="D10395" s="2" t="s">
        <v>8915</v>
      </c>
      <c r="E10395" s="3">
        <v>1.7300000000000001E-127</v>
      </c>
      <c r="F10395" s="2">
        <v>961</v>
      </c>
      <c r="G10395" s="2">
        <v>100</v>
      </c>
      <c r="H10395" s="2">
        <v>180</v>
      </c>
      <c r="I10395" s="2">
        <v>235</v>
      </c>
      <c r="J10395" s="2">
        <v>774</v>
      </c>
      <c r="K10395" s="2">
        <v>1</v>
      </c>
      <c r="L10395" s="2">
        <v>180</v>
      </c>
    </row>
    <row r="10396" spans="1:12" x14ac:dyDescent="0.25">
      <c r="A10396" s="4" t="str">
        <f>HYPERLINK("http://www.rosaceae.org/Prunus/Prunus_persica/p.persica_gdr_reftransV1_0046443","p.persica_gdr_reftransV1_0046443")</f>
        <v>p.persica_gdr_reftransV1_0046443</v>
      </c>
      <c r="B10396" s="2">
        <v>2116</v>
      </c>
      <c r="C10396" s="4" t="str">
        <f>HYPERLINK("http://www.uniprot.org/uniprot/M5WGZ1","M5WGZ1")</f>
        <v>M5WGZ1</v>
      </c>
      <c r="D10396" s="2" t="s">
        <v>8916</v>
      </c>
      <c r="E10396" s="3">
        <v>0</v>
      </c>
      <c r="F10396" s="2">
        <v>2665</v>
      </c>
      <c r="G10396" s="2">
        <v>98</v>
      </c>
      <c r="H10396" s="2">
        <v>564</v>
      </c>
      <c r="I10396" s="2">
        <v>183</v>
      </c>
      <c r="J10396" s="2">
        <v>1874</v>
      </c>
      <c r="K10396" s="2">
        <v>12</v>
      </c>
      <c r="L10396" s="2">
        <v>562</v>
      </c>
    </row>
    <row r="10397" spans="1:12" x14ac:dyDescent="0.25">
      <c r="A10397" s="4" t="str">
        <f>HYPERLINK("http://www.rosaceae.org/Prunus/Prunus_persica/p.persica_gdr_reftransV1_0046793","p.persica_gdr_reftransV1_0046793")</f>
        <v>p.persica_gdr_reftransV1_0046793</v>
      </c>
      <c r="B10397" s="2">
        <v>1331</v>
      </c>
      <c r="C10397" s="4" t="str">
        <f>HYPERLINK("http://www.uniprot.org/uniprot/M5XH74","M5XH74")</f>
        <v>M5XH74</v>
      </c>
      <c r="D10397" s="2" t="s">
        <v>6677</v>
      </c>
      <c r="E10397" s="3">
        <v>0</v>
      </c>
      <c r="F10397" s="2">
        <v>1620</v>
      </c>
      <c r="G10397" s="2">
        <v>100</v>
      </c>
      <c r="H10397" s="2">
        <v>305</v>
      </c>
      <c r="I10397" s="2">
        <v>113</v>
      </c>
      <c r="J10397" s="2">
        <v>1027</v>
      </c>
      <c r="K10397" s="2">
        <v>1</v>
      </c>
      <c r="L10397" s="2">
        <v>305</v>
      </c>
    </row>
    <row r="10398" spans="1:12" x14ac:dyDescent="0.25">
      <c r="A10398" s="4" t="str">
        <f>HYPERLINK("http://www.rosaceae.org/Prunus/Prunus_persica/p.persica_gdr_reftransV1_0047143","p.persica_gdr_reftransV1_0047143")</f>
        <v>p.persica_gdr_reftransV1_0047143</v>
      </c>
      <c r="B10398" s="2">
        <v>1759</v>
      </c>
      <c r="C10398" s="4" t="str">
        <f>HYPERLINK("http://www.uniprot.org/uniprot/M5W8X1","M5W8X1")</f>
        <v>M5W8X1</v>
      </c>
      <c r="D10398" s="2" t="s">
        <v>8917</v>
      </c>
      <c r="E10398" s="3">
        <v>0</v>
      </c>
      <c r="F10398" s="2">
        <v>2080</v>
      </c>
      <c r="G10398" s="2">
        <v>94</v>
      </c>
      <c r="H10398" s="2">
        <v>433</v>
      </c>
      <c r="I10398" s="2">
        <v>364</v>
      </c>
      <c r="J10398" s="2">
        <v>1662</v>
      </c>
      <c r="K10398" s="2">
        <v>12</v>
      </c>
      <c r="L10398" s="2">
        <v>443</v>
      </c>
    </row>
    <row r="10399" spans="1:12" x14ac:dyDescent="0.25">
      <c r="A10399" s="4" t="str">
        <f>HYPERLINK("http://www.rosaceae.org/Prunus/Prunus_persica/p.persica_gdr_reftransV1_0047843","p.persica_gdr_reftransV1_0047843")</f>
        <v>p.persica_gdr_reftransV1_0047843</v>
      </c>
      <c r="B10399" s="2">
        <v>670</v>
      </c>
      <c r="C10399" s="4" t="str">
        <f>HYPERLINK("http://www.uniprot.org/uniprot/M5X7P3","M5X7P3")</f>
        <v>M5X7P3</v>
      </c>
      <c r="D10399" s="2" t="s">
        <v>8918</v>
      </c>
      <c r="E10399" s="3">
        <v>2.5600000000000001E-98</v>
      </c>
      <c r="F10399" s="2">
        <v>785</v>
      </c>
      <c r="G10399" s="2">
        <v>100</v>
      </c>
      <c r="H10399" s="2">
        <v>161</v>
      </c>
      <c r="I10399" s="2">
        <v>1</v>
      </c>
      <c r="J10399" s="2">
        <v>483</v>
      </c>
      <c r="K10399" s="2">
        <v>330</v>
      </c>
      <c r="L10399" s="2">
        <v>490</v>
      </c>
    </row>
    <row r="10400" spans="1:12" x14ac:dyDescent="0.25">
      <c r="A10400" s="4" t="str">
        <f>HYPERLINK("http://www.rosaceae.org/Prunus/Prunus_persica/p.persica_gdr_reftransV1_0048193","p.persica_gdr_reftransV1_0048193")</f>
        <v>p.persica_gdr_reftransV1_0048193</v>
      </c>
      <c r="B10400" s="2">
        <v>951</v>
      </c>
      <c r="C10400" s="4" t="str">
        <f>HYPERLINK("http://www.uniprot.org/uniprot/W9RB24","W9RB24")</f>
        <v>W9RB24</v>
      </c>
      <c r="D10400" s="2" t="s">
        <v>8919</v>
      </c>
      <c r="E10400" s="3">
        <v>4.4600000000000001E-18</v>
      </c>
      <c r="F10400" s="2">
        <v>221</v>
      </c>
      <c r="G10400" s="2">
        <v>68</v>
      </c>
      <c r="H10400" s="2">
        <v>85</v>
      </c>
      <c r="I10400" s="2">
        <v>552</v>
      </c>
      <c r="J10400" s="2">
        <v>806</v>
      </c>
      <c r="K10400" s="2">
        <v>1</v>
      </c>
      <c r="L10400" s="2">
        <v>85</v>
      </c>
    </row>
    <row r="10401" spans="1:12" x14ac:dyDescent="0.25">
      <c r="A10401" s="4" t="str">
        <f>HYPERLINK("http://www.rosaceae.org/Prunus/Prunus_persica/p.persica_gdr_reftransV1_0048543","p.persica_gdr_reftransV1_0048543")</f>
        <v>p.persica_gdr_reftransV1_0048543</v>
      </c>
      <c r="B10401" s="2">
        <v>1293</v>
      </c>
      <c r="C10401" s="4" t="str">
        <f>HYPERLINK("http://www.uniprot.org/uniprot/M5XMG5","M5XMG5")</f>
        <v>M5XMG5</v>
      </c>
      <c r="D10401" s="2" t="s">
        <v>3532</v>
      </c>
      <c r="E10401" s="3">
        <v>0</v>
      </c>
      <c r="F10401" s="2">
        <v>2094</v>
      </c>
      <c r="G10401" s="2">
        <v>100</v>
      </c>
      <c r="H10401" s="2">
        <v>399</v>
      </c>
      <c r="I10401" s="2">
        <v>97</v>
      </c>
      <c r="J10401" s="2">
        <v>1293</v>
      </c>
      <c r="K10401" s="2">
        <v>1</v>
      </c>
      <c r="L10401" s="2">
        <v>399</v>
      </c>
    </row>
    <row r="10402" spans="1:12" x14ac:dyDescent="0.25">
      <c r="A10402" s="4" t="str">
        <f>HYPERLINK("http://www.rosaceae.org/Prunus/Prunus_persica/p.persica_gdr_reftransV1_0048893","p.persica_gdr_reftransV1_0048893")</f>
        <v>p.persica_gdr_reftransV1_0048893</v>
      </c>
      <c r="B10402" s="2">
        <v>659</v>
      </c>
      <c r="C10402" s="4" t="str">
        <f>HYPERLINK("http://www.uniprot.org/uniprot/M5W7C1","M5W7C1")</f>
        <v>M5W7C1</v>
      </c>
      <c r="D10402" s="2" t="s">
        <v>8569</v>
      </c>
      <c r="E10402" s="3">
        <v>4.36E-81</v>
      </c>
      <c r="F10402" s="2">
        <v>691</v>
      </c>
      <c r="G10402" s="2">
        <v>100</v>
      </c>
      <c r="H10402" s="2">
        <v>168</v>
      </c>
      <c r="I10402" s="2">
        <v>1</v>
      </c>
      <c r="J10402" s="2">
        <v>504</v>
      </c>
      <c r="K10402" s="2">
        <v>730</v>
      </c>
      <c r="L10402" s="2">
        <v>897</v>
      </c>
    </row>
    <row r="10403" spans="1:12" x14ac:dyDescent="0.25">
      <c r="A10403" s="4" t="str">
        <f>HYPERLINK("http://www.rosaceae.org/Prunus/Prunus_persica/p.persica_gdr_reftransV1_0000244","p.persica_gdr_reftransV1_0000244")</f>
        <v>p.persica_gdr_reftransV1_0000244</v>
      </c>
      <c r="B10403" s="2">
        <v>1510</v>
      </c>
      <c r="C10403" s="4" t="str">
        <f>HYPERLINK("http://www.uniprot.org/uniprot/M5XR87","M5XR87")</f>
        <v>M5XR87</v>
      </c>
      <c r="D10403" s="2" t="s">
        <v>6356</v>
      </c>
      <c r="E10403" s="3">
        <v>0</v>
      </c>
      <c r="F10403" s="2">
        <v>1676</v>
      </c>
      <c r="G10403" s="2">
        <v>100</v>
      </c>
      <c r="H10403" s="2">
        <v>317</v>
      </c>
      <c r="I10403" s="2">
        <v>139</v>
      </c>
      <c r="J10403" s="2">
        <v>1089</v>
      </c>
      <c r="K10403" s="2">
        <v>1</v>
      </c>
      <c r="L10403" s="2">
        <v>317</v>
      </c>
    </row>
    <row r="10404" spans="1:12" x14ac:dyDescent="0.25">
      <c r="A10404" s="4" t="str">
        <f>HYPERLINK("http://www.rosaceae.org/Prunus/Prunus_persica/p.persica_gdr_reftransV1_0000594","p.persica_gdr_reftransV1_0000594")</f>
        <v>p.persica_gdr_reftransV1_0000594</v>
      </c>
      <c r="B10404" s="2">
        <v>5850</v>
      </c>
      <c r="C10404" s="4" t="str">
        <f>HYPERLINK("http://www.uniprot.org/uniprot/M5WQQ9","M5WQQ9")</f>
        <v>M5WQQ9</v>
      </c>
      <c r="D10404" s="2" t="s">
        <v>8920</v>
      </c>
      <c r="E10404" s="3">
        <v>0</v>
      </c>
      <c r="F10404" s="2">
        <v>8252</v>
      </c>
      <c r="G10404" s="2">
        <v>99</v>
      </c>
      <c r="H10404" s="2">
        <v>1654</v>
      </c>
      <c r="I10404" s="2">
        <v>257</v>
      </c>
      <c r="J10404" s="2">
        <v>5218</v>
      </c>
      <c r="K10404" s="2">
        <v>1</v>
      </c>
      <c r="L10404" s="2">
        <v>1647</v>
      </c>
    </row>
    <row r="10405" spans="1:12" x14ac:dyDescent="0.25">
      <c r="A10405" s="4" t="str">
        <f>HYPERLINK("http://www.rosaceae.org/Prunus/Prunus_persica/p.persica_gdr_reftransV1_0000944","p.persica_gdr_reftransV1_0000944")</f>
        <v>p.persica_gdr_reftransV1_0000944</v>
      </c>
      <c r="B10405" s="2">
        <v>1609</v>
      </c>
      <c r="C10405" s="4" t="str">
        <f>HYPERLINK("http://www.uniprot.org/uniprot/M5XR60","M5XR60")</f>
        <v>M5XR60</v>
      </c>
      <c r="D10405" s="2" t="s">
        <v>8921</v>
      </c>
      <c r="E10405" s="3">
        <v>0</v>
      </c>
      <c r="F10405" s="2">
        <v>1434</v>
      </c>
      <c r="G10405" s="2">
        <v>100</v>
      </c>
      <c r="H10405" s="2">
        <v>319</v>
      </c>
      <c r="I10405" s="2">
        <v>484</v>
      </c>
      <c r="J10405" s="2">
        <v>1440</v>
      </c>
      <c r="K10405" s="2">
        <v>1</v>
      </c>
      <c r="L10405" s="2">
        <v>319</v>
      </c>
    </row>
    <row r="10406" spans="1:12" x14ac:dyDescent="0.25">
      <c r="A10406" s="4" t="str">
        <f>HYPERLINK("http://www.rosaceae.org/Prunus/Prunus_persica/p.persica_gdr_reftransV1_0001294","p.persica_gdr_reftransV1_0001294")</f>
        <v>p.persica_gdr_reftransV1_0001294</v>
      </c>
      <c r="B10406" s="2">
        <v>2396</v>
      </c>
      <c r="C10406" s="4" t="str">
        <f>HYPERLINK("http://www.uniprot.org/uniprot/M5XEN7","M5XEN7")</f>
        <v>M5XEN7</v>
      </c>
      <c r="D10406" s="2" t="s">
        <v>993</v>
      </c>
      <c r="E10406" s="3">
        <v>0</v>
      </c>
      <c r="F10406" s="2">
        <v>2544</v>
      </c>
      <c r="G10406" s="2">
        <v>100</v>
      </c>
      <c r="H10406" s="2">
        <v>495</v>
      </c>
      <c r="I10406" s="2">
        <v>405</v>
      </c>
      <c r="J10406" s="2">
        <v>1889</v>
      </c>
      <c r="K10406" s="2">
        <v>1</v>
      </c>
      <c r="L10406" s="2">
        <v>495</v>
      </c>
    </row>
    <row r="10407" spans="1:12" x14ac:dyDescent="0.25">
      <c r="A10407" s="4" t="str">
        <f>HYPERLINK("http://www.rosaceae.org/Prunus/Prunus_persica/p.persica_gdr_reftransV1_0001644","p.persica_gdr_reftransV1_0001644")</f>
        <v>p.persica_gdr_reftransV1_0001644</v>
      </c>
      <c r="B10407" s="2">
        <v>2994</v>
      </c>
      <c r="C10407" s="4" t="str">
        <f>HYPERLINK("http://www.uniprot.org/uniprot/M5VPB9","M5VPB9")</f>
        <v>M5VPB9</v>
      </c>
      <c r="D10407" s="2" t="s">
        <v>8922</v>
      </c>
      <c r="E10407" s="3">
        <v>0</v>
      </c>
      <c r="F10407" s="2">
        <v>4512</v>
      </c>
      <c r="G10407" s="2">
        <v>99</v>
      </c>
      <c r="H10407" s="2">
        <v>851</v>
      </c>
      <c r="I10407" s="2">
        <v>2</v>
      </c>
      <c r="J10407" s="2">
        <v>2554</v>
      </c>
      <c r="K10407" s="2">
        <v>65</v>
      </c>
      <c r="L10407" s="2">
        <v>915</v>
      </c>
    </row>
    <row r="10408" spans="1:12" x14ac:dyDescent="0.25">
      <c r="A10408" s="4" t="str">
        <f>HYPERLINK("http://www.rosaceae.org/Prunus/Prunus_persica/p.persica_gdr_reftransV1_0002344","p.persica_gdr_reftransV1_0002344")</f>
        <v>p.persica_gdr_reftransV1_0002344</v>
      </c>
      <c r="B10408" s="2">
        <v>643</v>
      </c>
      <c r="C10408" s="4" t="str">
        <f>HYPERLINK("http://www.uniprot.org/uniprot/M5WMB7","M5WMB7")</f>
        <v>M5WMB7</v>
      </c>
      <c r="D10408" s="2" t="s">
        <v>6889</v>
      </c>
      <c r="E10408" s="3">
        <v>9.3600000000000004E-145</v>
      </c>
      <c r="F10408" s="2">
        <v>1117</v>
      </c>
      <c r="G10408" s="2">
        <v>100</v>
      </c>
      <c r="H10408" s="2">
        <v>214</v>
      </c>
      <c r="I10408" s="2">
        <v>1</v>
      </c>
      <c r="J10408" s="2">
        <v>642</v>
      </c>
      <c r="K10408" s="2">
        <v>227</v>
      </c>
      <c r="L10408" s="2">
        <v>440</v>
      </c>
    </row>
    <row r="10409" spans="1:12" x14ac:dyDescent="0.25">
      <c r="A10409" s="4" t="str">
        <f>HYPERLINK("http://www.rosaceae.org/Prunus/Prunus_persica/p.persica_gdr_reftransV1_0002694","p.persica_gdr_reftransV1_0002694")</f>
        <v>p.persica_gdr_reftransV1_0002694</v>
      </c>
      <c r="B10409" s="2">
        <v>1312</v>
      </c>
      <c r="C10409" s="4" t="str">
        <f>HYPERLINK("http://www.uniprot.org/uniprot/M5WII8","M5WII8")</f>
        <v>M5WII8</v>
      </c>
      <c r="D10409" s="2" t="s">
        <v>7290</v>
      </c>
      <c r="E10409" s="3">
        <v>9.0099999999999995E-180</v>
      </c>
      <c r="F10409" s="2">
        <v>1324</v>
      </c>
      <c r="G10409" s="2">
        <v>86</v>
      </c>
      <c r="H10409" s="2">
        <v>296</v>
      </c>
      <c r="I10409" s="2">
        <v>93</v>
      </c>
      <c r="J10409" s="2">
        <v>980</v>
      </c>
      <c r="K10409" s="2">
        <v>1</v>
      </c>
      <c r="L10409" s="2">
        <v>255</v>
      </c>
    </row>
    <row r="10410" spans="1:12" x14ac:dyDescent="0.25">
      <c r="A10410" s="4" t="str">
        <f>HYPERLINK("http://www.rosaceae.org/Prunus/Prunus_persica/p.persica_gdr_reftransV1_0003044","p.persica_gdr_reftransV1_0003044")</f>
        <v>p.persica_gdr_reftransV1_0003044</v>
      </c>
      <c r="B10410" s="2">
        <v>2970</v>
      </c>
      <c r="C10410" s="4" t="str">
        <f>HYPERLINK("http://www.uniprot.org/uniprot/M5WX37","M5WX37")</f>
        <v>M5WX37</v>
      </c>
      <c r="D10410" s="2" t="s">
        <v>8923</v>
      </c>
      <c r="E10410" s="3">
        <v>0</v>
      </c>
      <c r="F10410" s="2">
        <v>3692</v>
      </c>
      <c r="G10410" s="2">
        <v>100</v>
      </c>
      <c r="H10410" s="2">
        <v>730</v>
      </c>
      <c r="I10410" s="2">
        <v>675</v>
      </c>
      <c r="J10410" s="2">
        <v>2864</v>
      </c>
      <c r="K10410" s="2">
        <v>15</v>
      </c>
      <c r="L10410" s="2">
        <v>744</v>
      </c>
    </row>
    <row r="10411" spans="1:12" x14ac:dyDescent="0.25">
      <c r="A10411" s="4" t="str">
        <f>HYPERLINK("http://www.rosaceae.org/Prunus/Prunus_persica/p.persica_gdr_reftransV1_0003394","p.persica_gdr_reftransV1_0003394")</f>
        <v>p.persica_gdr_reftransV1_0003394</v>
      </c>
      <c r="B10411" s="2">
        <v>360</v>
      </c>
      <c r="C10411" s="4" t="str">
        <f>HYPERLINK("http://www.uniprot.org/uniprot/M5X7Z0","M5X7Z0")</f>
        <v>M5X7Z0</v>
      </c>
      <c r="D10411" s="2" t="s">
        <v>8924</v>
      </c>
      <c r="E10411" s="3">
        <v>7.9100000000000006E-79</v>
      </c>
      <c r="F10411" s="2">
        <v>654</v>
      </c>
      <c r="G10411" s="2">
        <v>100</v>
      </c>
      <c r="H10411" s="2">
        <v>120</v>
      </c>
      <c r="I10411" s="2">
        <v>1</v>
      </c>
      <c r="J10411" s="2">
        <v>360</v>
      </c>
      <c r="K10411" s="2">
        <v>492</v>
      </c>
      <c r="L10411" s="2">
        <v>611</v>
      </c>
    </row>
    <row r="10412" spans="1:12" x14ac:dyDescent="0.25">
      <c r="A10412" s="4" t="str">
        <f>HYPERLINK("http://www.rosaceae.org/Prunus/Prunus_persica/p.persica_gdr_reftransV1_0004094","p.persica_gdr_reftransV1_0004094")</f>
        <v>p.persica_gdr_reftransV1_0004094</v>
      </c>
      <c r="B10412" s="2">
        <v>1646</v>
      </c>
      <c r="C10412" s="4" t="str">
        <f>HYPERLINK("http://www.uniprot.org/uniprot/M5WB03","M5WB03")</f>
        <v>M5WB03</v>
      </c>
      <c r="D10412" s="2" t="s">
        <v>4148</v>
      </c>
      <c r="E10412" s="3">
        <v>0</v>
      </c>
      <c r="F10412" s="2">
        <v>2152</v>
      </c>
      <c r="G10412" s="2">
        <v>100</v>
      </c>
      <c r="H10412" s="2">
        <v>426</v>
      </c>
      <c r="I10412" s="2">
        <v>85</v>
      </c>
      <c r="J10412" s="2">
        <v>1362</v>
      </c>
      <c r="K10412" s="2">
        <v>1</v>
      </c>
      <c r="L10412" s="2">
        <v>426</v>
      </c>
    </row>
    <row r="10413" spans="1:12" x14ac:dyDescent="0.25">
      <c r="A10413" s="4" t="str">
        <f>HYPERLINK("http://www.rosaceae.org/Prunus/Prunus_persica/p.persica_gdr_reftransV1_0004444","p.persica_gdr_reftransV1_0004444")</f>
        <v>p.persica_gdr_reftransV1_0004444</v>
      </c>
      <c r="B10413" s="2">
        <v>1364</v>
      </c>
      <c r="C10413" s="4" t="str">
        <f>HYPERLINK("http://www.uniprot.org/uniprot/M5XEI5","M5XEI5")</f>
        <v>M5XEI5</v>
      </c>
      <c r="D10413" s="2" t="s">
        <v>8925</v>
      </c>
      <c r="E10413" s="3">
        <v>1.2599999999999999E-120</v>
      </c>
      <c r="F10413" s="2">
        <v>940</v>
      </c>
      <c r="G10413" s="2">
        <v>100</v>
      </c>
      <c r="H10413" s="2">
        <v>307</v>
      </c>
      <c r="I10413" s="2">
        <v>71</v>
      </c>
      <c r="J10413" s="2">
        <v>991</v>
      </c>
      <c r="K10413" s="2">
        <v>1</v>
      </c>
      <c r="L10413" s="2">
        <v>307</v>
      </c>
    </row>
    <row r="10414" spans="1:12" x14ac:dyDescent="0.25">
      <c r="A10414" s="4" t="str">
        <f>HYPERLINK("http://www.rosaceae.org/Prunus/Prunus_persica/p.persica_gdr_reftransV1_0004794","p.persica_gdr_reftransV1_0004794")</f>
        <v>p.persica_gdr_reftransV1_0004794</v>
      </c>
      <c r="B10414" s="2">
        <v>2042</v>
      </c>
      <c r="C10414" s="4" t="str">
        <f>HYPERLINK("http://www.uniprot.org/uniprot/M5XDY8","M5XDY8")</f>
        <v>M5XDY8</v>
      </c>
      <c r="D10414" s="2" t="s">
        <v>8926</v>
      </c>
      <c r="E10414" s="3">
        <v>0</v>
      </c>
      <c r="F10414" s="2">
        <v>2733</v>
      </c>
      <c r="G10414" s="2">
        <v>100</v>
      </c>
      <c r="H10414" s="2">
        <v>568</v>
      </c>
      <c r="I10414" s="2">
        <v>175</v>
      </c>
      <c r="J10414" s="2">
        <v>1878</v>
      </c>
      <c r="K10414" s="2">
        <v>1</v>
      </c>
      <c r="L10414" s="2">
        <v>568</v>
      </c>
    </row>
    <row r="10415" spans="1:12" x14ac:dyDescent="0.25">
      <c r="A10415" s="4" t="str">
        <f>HYPERLINK("http://www.rosaceae.org/Prunus/Prunus_persica/p.persica_gdr_reftransV1_0005144","p.persica_gdr_reftransV1_0005144")</f>
        <v>p.persica_gdr_reftransV1_0005144</v>
      </c>
      <c r="B10415" s="2">
        <v>795</v>
      </c>
      <c r="C10415" s="4" t="str">
        <f>HYPERLINK("http://www.uniprot.org/uniprot/M5X680","M5X680")</f>
        <v>M5X680</v>
      </c>
      <c r="D10415" s="2" t="s">
        <v>8927</v>
      </c>
      <c r="E10415" s="3">
        <v>6.9800000000000003E-103</v>
      </c>
      <c r="F10415" s="2">
        <v>798</v>
      </c>
      <c r="G10415" s="2">
        <v>90</v>
      </c>
      <c r="H10415" s="2">
        <v>203</v>
      </c>
      <c r="I10415" s="2">
        <v>74</v>
      </c>
      <c r="J10415" s="2">
        <v>682</v>
      </c>
      <c r="K10415" s="2">
        <v>1</v>
      </c>
      <c r="L10415" s="2">
        <v>189</v>
      </c>
    </row>
    <row r="10416" spans="1:12" x14ac:dyDescent="0.25">
      <c r="A10416" s="4" t="str">
        <f>HYPERLINK("http://www.rosaceae.org/Prunus/Prunus_persica/p.persica_gdr_reftransV1_0005494","p.persica_gdr_reftransV1_0005494")</f>
        <v>p.persica_gdr_reftransV1_0005494</v>
      </c>
      <c r="B10416" s="2">
        <v>1689</v>
      </c>
      <c r="C10416" s="4" t="str">
        <f>HYPERLINK("http://www.uniprot.org/uniprot/M5XC45","M5XC45")</f>
        <v>M5XC45</v>
      </c>
      <c r="D10416" s="2" t="s">
        <v>8928</v>
      </c>
      <c r="E10416" s="3">
        <v>0</v>
      </c>
      <c r="F10416" s="2">
        <v>1496</v>
      </c>
      <c r="G10416" s="2">
        <v>84</v>
      </c>
      <c r="H10416" s="2">
        <v>395</v>
      </c>
      <c r="I10416" s="2">
        <v>142</v>
      </c>
      <c r="J10416" s="2">
        <v>1245</v>
      </c>
      <c r="K10416" s="2">
        <v>1</v>
      </c>
      <c r="L10416" s="2">
        <v>395</v>
      </c>
    </row>
    <row r="10417" spans="1:12" x14ac:dyDescent="0.25">
      <c r="A10417" s="4" t="str">
        <f>HYPERLINK("http://www.rosaceae.org/Prunus/Prunus_persica/p.persica_gdr_reftransV1_0007244","p.persica_gdr_reftransV1_0007244")</f>
        <v>p.persica_gdr_reftransV1_0007244</v>
      </c>
      <c r="B10417" s="2">
        <v>3056</v>
      </c>
      <c r="C10417" s="4" t="str">
        <f>HYPERLINK("http://www.uniprot.org/uniprot/M5W573","M5W573")</f>
        <v>M5W573</v>
      </c>
      <c r="D10417" s="2" t="s">
        <v>8929</v>
      </c>
      <c r="E10417" s="3">
        <v>0</v>
      </c>
      <c r="F10417" s="2">
        <v>4374</v>
      </c>
      <c r="G10417" s="2">
        <v>92</v>
      </c>
      <c r="H10417" s="2">
        <v>943</v>
      </c>
      <c r="I10417" s="2">
        <v>209</v>
      </c>
      <c r="J10417" s="2">
        <v>3037</v>
      </c>
      <c r="K10417" s="2">
        <v>1</v>
      </c>
      <c r="L10417" s="2">
        <v>872</v>
      </c>
    </row>
    <row r="10418" spans="1:12" x14ac:dyDescent="0.25">
      <c r="A10418" s="4" t="str">
        <f>HYPERLINK("http://www.rosaceae.org/Prunus/Prunus_persica/p.persica_gdr_reftransV1_0007594","p.persica_gdr_reftransV1_0007594")</f>
        <v>p.persica_gdr_reftransV1_0007594</v>
      </c>
      <c r="B10418" s="2">
        <v>2008</v>
      </c>
      <c r="C10418" s="4" t="str">
        <f>HYPERLINK("http://www.uniprot.org/uniprot/M5WVC9","M5WVC9")</f>
        <v>M5WVC9</v>
      </c>
      <c r="D10418" s="2" t="s">
        <v>8930</v>
      </c>
      <c r="E10418" s="3">
        <v>0</v>
      </c>
      <c r="F10418" s="2">
        <v>1658</v>
      </c>
      <c r="G10418" s="2">
        <v>89</v>
      </c>
      <c r="H10418" s="2">
        <v>472</v>
      </c>
      <c r="I10418" s="2">
        <v>169</v>
      </c>
      <c r="J10418" s="2">
        <v>1434</v>
      </c>
      <c r="K10418" s="2">
        <v>1</v>
      </c>
      <c r="L10418" s="2">
        <v>472</v>
      </c>
    </row>
    <row r="10419" spans="1:12" x14ac:dyDescent="0.25">
      <c r="A10419" s="4" t="str">
        <f>HYPERLINK("http://www.rosaceae.org/Prunus/Prunus_persica/p.persica_gdr_reftransV1_0008294","p.persica_gdr_reftransV1_0008294")</f>
        <v>p.persica_gdr_reftransV1_0008294</v>
      </c>
      <c r="B10419" s="2">
        <v>1578</v>
      </c>
      <c r="C10419" s="4" t="str">
        <f>HYPERLINK("http://www.uniprot.org/uniprot/M5VYP3","M5VYP3")</f>
        <v>M5VYP3</v>
      </c>
      <c r="D10419" s="2" t="s">
        <v>8931</v>
      </c>
      <c r="E10419" s="3">
        <v>0</v>
      </c>
      <c r="F10419" s="2">
        <v>1992</v>
      </c>
      <c r="G10419" s="2">
        <v>100</v>
      </c>
      <c r="H10419" s="2">
        <v>374</v>
      </c>
      <c r="I10419" s="2">
        <v>292</v>
      </c>
      <c r="J10419" s="2">
        <v>1413</v>
      </c>
      <c r="K10419" s="2">
        <v>1</v>
      </c>
      <c r="L10419" s="2">
        <v>374</v>
      </c>
    </row>
    <row r="10420" spans="1:12" x14ac:dyDescent="0.25">
      <c r="A10420" s="4" t="str">
        <f>HYPERLINK("http://www.rosaceae.org/Prunus/Prunus_persica/p.persica_gdr_reftransV1_0008644","p.persica_gdr_reftransV1_0008644")</f>
        <v>p.persica_gdr_reftransV1_0008644</v>
      </c>
      <c r="B10420" s="2">
        <v>715</v>
      </c>
      <c r="C10420" s="4" t="str">
        <f>HYPERLINK("http://www.uniprot.org/uniprot/M5XJ57","M5XJ57")</f>
        <v>M5XJ57</v>
      </c>
      <c r="D10420" s="2" t="s">
        <v>4215</v>
      </c>
      <c r="E10420" s="3">
        <v>3.3800000000000001E-129</v>
      </c>
      <c r="F10420" s="2">
        <v>977</v>
      </c>
      <c r="G10420" s="2">
        <v>100</v>
      </c>
      <c r="H10420" s="2">
        <v>202</v>
      </c>
      <c r="I10420" s="2">
        <v>110</v>
      </c>
      <c r="J10420" s="2">
        <v>715</v>
      </c>
      <c r="K10420" s="2">
        <v>143</v>
      </c>
      <c r="L10420" s="2">
        <v>344</v>
      </c>
    </row>
    <row r="10421" spans="1:12" x14ac:dyDescent="0.25">
      <c r="A10421" s="4" t="str">
        <f>HYPERLINK("http://www.rosaceae.org/Prunus/Prunus_persica/p.persica_gdr_reftransV1_0008994","p.persica_gdr_reftransV1_0008994")</f>
        <v>p.persica_gdr_reftransV1_0008994</v>
      </c>
      <c r="B10421" s="2">
        <v>968</v>
      </c>
      <c r="C10421" s="4" t="str">
        <f>HYPERLINK("http://www.uniprot.org/uniprot/M5VQ76","M5VQ76")</f>
        <v>M5VQ76</v>
      </c>
      <c r="D10421" s="2" t="s">
        <v>8932</v>
      </c>
      <c r="E10421" s="3">
        <v>1.1E-75</v>
      </c>
      <c r="F10421" s="2">
        <v>611</v>
      </c>
      <c r="G10421" s="2">
        <v>100</v>
      </c>
      <c r="H10421" s="2">
        <v>130</v>
      </c>
      <c r="I10421" s="2">
        <v>185</v>
      </c>
      <c r="J10421" s="2">
        <v>574</v>
      </c>
      <c r="K10421" s="2">
        <v>1</v>
      </c>
      <c r="L10421" s="2">
        <v>130</v>
      </c>
    </row>
    <row r="10422" spans="1:12" x14ac:dyDescent="0.25">
      <c r="A10422" s="4" t="str">
        <f>HYPERLINK("http://www.rosaceae.org/Prunus/Prunus_persica/p.persica_gdr_reftransV1_0009344","p.persica_gdr_reftransV1_0009344")</f>
        <v>p.persica_gdr_reftransV1_0009344</v>
      </c>
      <c r="B10422" s="2">
        <v>1655</v>
      </c>
      <c r="C10422" s="4" t="str">
        <f>HYPERLINK("http://www.uniprot.org/uniprot/M5VMT4","M5VMT4")</f>
        <v>M5VMT4</v>
      </c>
      <c r="D10422" s="2" t="s">
        <v>8933</v>
      </c>
      <c r="E10422" s="3">
        <v>3.7499999999999999E-162</v>
      </c>
      <c r="F10422" s="2">
        <v>1230</v>
      </c>
      <c r="G10422" s="2">
        <v>97</v>
      </c>
      <c r="H10422" s="2">
        <v>373</v>
      </c>
      <c r="I10422" s="2">
        <v>235</v>
      </c>
      <c r="J10422" s="2">
        <v>1353</v>
      </c>
      <c r="K10422" s="2">
        <v>1</v>
      </c>
      <c r="L10422" s="2">
        <v>363</v>
      </c>
    </row>
    <row r="10423" spans="1:12" x14ac:dyDescent="0.25">
      <c r="A10423" s="4" t="str">
        <f>HYPERLINK("http://www.rosaceae.org/Prunus/Prunus_persica/p.persica_gdr_reftransV1_0009694","p.persica_gdr_reftransV1_0009694")</f>
        <v>p.persica_gdr_reftransV1_0009694</v>
      </c>
      <c r="B10423" s="2">
        <v>1304</v>
      </c>
      <c r="C10423" s="4" t="str">
        <f>HYPERLINK("http://www.uniprot.org/uniprot/M5XGS6","M5XGS6")</f>
        <v>M5XGS6</v>
      </c>
      <c r="D10423" s="2" t="s">
        <v>8934</v>
      </c>
      <c r="E10423" s="3">
        <v>2.66E-138</v>
      </c>
      <c r="F10423" s="2">
        <v>1044</v>
      </c>
      <c r="G10423" s="2">
        <v>100</v>
      </c>
      <c r="H10423" s="2">
        <v>200</v>
      </c>
      <c r="I10423" s="2">
        <v>40</v>
      </c>
      <c r="J10423" s="2">
        <v>639</v>
      </c>
      <c r="K10423" s="2">
        <v>1</v>
      </c>
      <c r="L10423" s="2">
        <v>200</v>
      </c>
    </row>
    <row r="10424" spans="1:12" x14ac:dyDescent="0.25">
      <c r="A10424" s="4" t="str">
        <f>HYPERLINK("http://www.rosaceae.org/Prunus/Prunus_persica/p.persica_gdr_reftransV1_0010394","p.persica_gdr_reftransV1_0010394")</f>
        <v>p.persica_gdr_reftransV1_0010394</v>
      </c>
      <c r="B10424" s="2">
        <v>1490</v>
      </c>
      <c r="C10424" s="4" t="str">
        <f>HYPERLINK("http://www.uniprot.org/uniprot/M5XEP4","M5XEP4")</f>
        <v>M5XEP4</v>
      </c>
      <c r="D10424" s="2" t="s">
        <v>8935</v>
      </c>
      <c r="E10424" s="3">
        <v>2.92E-161</v>
      </c>
      <c r="F10424" s="2">
        <v>1211</v>
      </c>
      <c r="G10424" s="2">
        <v>100</v>
      </c>
      <c r="H10424" s="2">
        <v>291</v>
      </c>
      <c r="I10424" s="2">
        <v>392</v>
      </c>
      <c r="J10424" s="2">
        <v>1264</v>
      </c>
      <c r="K10424" s="2">
        <v>1</v>
      </c>
      <c r="L10424" s="2">
        <v>291</v>
      </c>
    </row>
    <row r="10425" spans="1:12" x14ac:dyDescent="0.25">
      <c r="A10425" s="4" t="str">
        <f>HYPERLINK("http://www.rosaceae.org/Prunus/Prunus_persica/p.persica_gdr_reftransV1_0011094","p.persica_gdr_reftransV1_0011094")</f>
        <v>p.persica_gdr_reftransV1_0011094</v>
      </c>
      <c r="B10425" s="2">
        <v>399</v>
      </c>
      <c r="C10425" s="4" t="str">
        <f>HYPERLINK("http://www.uniprot.org/uniprot/M5XPR1","M5XPR1")</f>
        <v>M5XPR1</v>
      </c>
      <c r="D10425" s="2" t="s">
        <v>8936</v>
      </c>
      <c r="E10425" s="3">
        <v>8.9699999999999995E-74</v>
      </c>
      <c r="F10425" s="2">
        <v>615</v>
      </c>
      <c r="G10425" s="2">
        <v>99</v>
      </c>
      <c r="H10425" s="2">
        <v>133</v>
      </c>
      <c r="I10425" s="2">
        <v>1</v>
      </c>
      <c r="J10425" s="2">
        <v>399</v>
      </c>
      <c r="K10425" s="2">
        <v>25</v>
      </c>
      <c r="L10425" s="2">
        <v>157</v>
      </c>
    </row>
    <row r="10426" spans="1:12" x14ac:dyDescent="0.25">
      <c r="A10426" s="4" t="str">
        <f>HYPERLINK("http://www.rosaceae.org/Prunus/Prunus_persica/p.persica_gdr_reftransV1_0011444","p.persica_gdr_reftransV1_0011444")</f>
        <v>p.persica_gdr_reftransV1_0011444</v>
      </c>
      <c r="B10426" s="2">
        <v>1858</v>
      </c>
      <c r="C10426" s="4" t="str">
        <f>HYPERLINK("http://www.uniprot.org/uniprot/M5WCZ0","M5WCZ0")</f>
        <v>M5WCZ0</v>
      </c>
      <c r="D10426" s="2" t="s">
        <v>8937</v>
      </c>
      <c r="E10426" s="3">
        <v>0</v>
      </c>
      <c r="F10426" s="2">
        <v>2209</v>
      </c>
      <c r="G10426" s="2">
        <v>100</v>
      </c>
      <c r="H10426" s="2">
        <v>428</v>
      </c>
      <c r="I10426" s="2">
        <v>201</v>
      </c>
      <c r="J10426" s="2">
        <v>1484</v>
      </c>
      <c r="K10426" s="2">
        <v>1</v>
      </c>
      <c r="L10426" s="2">
        <v>428</v>
      </c>
    </row>
    <row r="10427" spans="1:12" x14ac:dyDescent="0.25">
      <c r="A10427" s="4" t="str">
        <f>HYPERLINK("http://www.rosaceae.org/Prunus/Prunus_persica/p.persica_gdr_reftransV1_0011794","p.persica_gdr_reftransV1_0011794")</f>
        <v>p.persica_gdr_reftransV1_0011794</v>
      </c>
      <c r="B10427" s="2">
        <v>1403</v>
      </c>
      <c r="C10427" s="4" t="str">
        <f>HYPERLINK("http://www.uniprot.org/uniprot/M5Y0B9","M5Y0B9")</f>
        <v>M5Y0B9</v>
      </c>
      <c r="D10427" s="2" t="s">
        <v>8938</v>
      </c>
      <c r="E10427" s="3">
        <v>8.4099999999999998E-166</v>
      </c>
      <c r="F10427" s="2">
        <v>1232</v>
      </c>
      <c r="G10427" s="2">
        <v>100</v>
      </c>
      <c r="H10427" s="2">
        <v>233</v>
      </c>
      <c r="I10427" s="2">
        <v>122</v>
      </c>
      <c r="J10427" s="2">
        <v>820</v>
      </c>
      <c r="K10427" s="2">
        <v>1</v>
      </c>
      <c r="L10427" s="2">
        <v>233</v>
      </c>
    </row>
    <row r="10428" spans="1:12" x14ac:dyDescent="0.25">
      <c r="A10428" s="4" t="str">
        <f>HYPERLINK("http://www.rosaceae.org/Prunus/Prunus_persica/p.persica_gdr_reftransV1_0013544","p.persica_gdr_reftransV1_0013544")</f>
        <v>p.persica_gdr_reftransV1_0013544</v>
      </c>
      <c r="B10428" s="2">
        <v>2714</v>
      </c>
      <c r="C10428" s="4" t="str">
        <f>HYPERLINK("http://www.uniprot.org/uniprot/M5X2L5","M5X2L5")</f>
        <v>M5X2L5</v>
      </c>
      <c r="D10428" s="2" t="s">
        <v>8939</v>
      </c>
      <c r="E10428" s="3">
        <v>4.74E-171</v>
      </c>
      <c r="F10428" s="2">
        <v>1341</v>
      </c>
      <c r="G10428" s="2">
        <v>92</v>
      </c>
      <c r="H10428" s="2">
        <v>343</v>
      </c>
      <c r="I10428" s="2">
        <v>374</v>
      </c>
      <c r="J10428" s="2">
        <v>1402</v>
      </c>
      <c r="K10428" s="2">
        <v>239</v>
      </c>
      <c r="L10428" s="2">
        <v>558</v>
      </c>
    </row>
    <row r="10429" spans="1:12" x14ac:dyDescent="0.25">
      <c r="A10429" s="4" t="str">
        <f>HYPERLINK("http://www.rosaceae.org/Prunus/Prunus_persica/p.persica_gdr_reftransV1_0014944","p.persica_gdr_reftransV1_0014944")</f>
        <v>p.persica_gdr_reftransV1_0014944</v>
      </c>
      <c r="B10429" s="2">
        <v>1259</v>
      </c>
      <c r="C10429" s="4" t="str">
        <f>HYPERLINK("http://www.uniprot.org/uniprot/M5W4M9","M5W4M9")</f>
        <v>M5W4M9</v>
      </c>
      <c r="D10429" s="2" t="s">
        <v>8940</v>
      </c>
      <c r="E10429" s="3">
        <v>3.1599999999999998E-137</v>
      </c>
      <c r="F10429" s="2">
        <v>1035</v>
      </c>
      <c r="G10429" s="2">
        <v>100</v>
      </c>
      <c r="H10429" s="2">
        <v>196</v>
      </c>
      <c r="I10429" s="2">
        <v>386</v>
      </c>
      <c r="J10429" s="2">
        <v>973</v>
      </c>
      <c r="K10429" s="2">
        <v>1</v>
      </c>
      <c r="L10429" s="2">
        <v>196</v>
      </c>
    </row>
    <row r="10430" spans="1:12" x14ac:dyDescent="0.25">
      <c r="A10430" s="4" t="str">
        <f>HYPERLINK("http://www.rosaceae.org/Prunus/Prunus_persica/p.persica_gdr_reftransV1_0015294","p.persica_gdr_reftransV1_0015294")</f>
        <v>p.persica_gdr_reftransV1_0015294</v>
      </c>
      <c r="B10430" s="2">
        <v>798</v>
      </c>
      <c r="C10430" s="4" t="str">
        <f>HYPERLINK("http://www.uniprot.org/uniprot/M5XP33","M5XP33")</f>
        <v>M5XP33</v>
      </c>
      <c r="D10430" s="2" t="s">
        <v>8941</v>
      </c>
      <c r="E10430" s="3">
        <v>2.03E-109</v>
      </c>
      <c r="F10430" s="2">
        <v>835</v>
      </c>
      <c r="G10430" s="2">
        <v>100</v>
      </c>
      <c r="H10430" s="2">
        <v>175</v>
      </c>
      <c r="I10430" s="2">
        <v>3</v>
      </c>
      <c r="J10430" s="2">
        <v>527</v>
      </c>
      <c r="K10430" s="2">
        <v>22</v>
      </c>
      <c r="L10430" s="2">
        <v>196</v>
      </c>
    </row>
    <row r="10431" spans="1:12" x14ac:dyDescent="0.25">
      <c r="A10431" s="4" t="str">
        <f>HYPERLINK("http://www.rosaceae.org/Prunus/Prunus_persica/p.persica_gdr_reftransV1_0015644","p.persica_gdr_reftransV1_0015644")</f>
        <v>p.persica_gdr_reftransV1_0015644</v>
      </c>
      <c r="B10431" s="2">
        <v>460</v>
      </c>
      <c r="C10431" s="4" t="str">
        <f>HYPERLINK("http://www.uniprot.org/uniprot/M5VKV4","M5VKV4")</f>
        <v>M5VKV4</v>
      </c>
      <c r="D10431" s="2" t="s">
        <v>8942</v>
      </c>
      <c r="E10431" s="3">
        <v>9.0900000000000002E-35</v>
      </c>
      <c r="F10431" s="2">
        <v>348</v>
      </c>
      <c r="G10431" s="2">
        <v>100</v>
      </c>
      <c r="H10431" s="2">
        <v>96</v>
      </c>
      <c r="I10431" s="2">
        <v>172</v>
      </c>
      <c r="J10431" s="2">
        <v>459</v>
      </c>
      <c r="K10431" s="2">
        <v>1</v>
      </c>
      <c r="L10431" s="2">
        <v>96</v>
      </c>
    </row>
    <row r="10432" spans="1:12" x14ac:dyDescent="0.25">
      <c r="A10432" s="4" t="str">
        <f>HYPERLINK("http://www.rosaceae.org/Prunus/Prunus_persica/p.persica_gdr_reftransV1_0015994","p.persica_gdr_reftransV1_0015994")</f>
        <v>p.persica_gdr_reftransV1_0015994</v>
      </c>
      <c r="B10432" s="2">
        <v>2276</v>
      </c>
      <c r="C10432" s="4" t="str">
        <f>HYPERLINK("http://www.uniprot.org/uniprot/M5XDL4","M5XDL4")</f>
        <v>M5XDL4</v>
      </c>
      <c r="D10432" s="2" t="s">
        <v>8943</v>
      </c>
      <c r="E10432" s="3">
        <v>0</v>
      </c>
      <c r="F10432" s="2">
        <v>2018</v>
      </c>
      <c r="G10432" s="2">
        <v>100</v>
      </c>
      <c r="H10432" s="2">
        <v>456</v>
      </c>
      <c r="I10432" s="2">
        <v>108</v>
      </c>
      <c r="J10432" s="2">
        <v>1475</v>
      </c>
      <c r="K10432" s="2">
        <v>1</v>
      </c>
      <c r="L10432" s="2">
        <v>456</v>
      </c>
    </row>
    <row r="10433" spans="1:12" x14ac:dyDescent="0.25">
      <c r="A10433" s="4" t="str">
        <f>HYPERLINK("http://www.rosaceae.org/Prunus/Prunus_persica/p.persica_gdr_reftransV1_0016344","p.persica_gdr_reftransV1_0016344")</f>
        <v>p.persica_gdr_reftransV1_0016344</v>
      </c>
      <c r="B10433" s="2">
        <v>486</v>
      </c>
      <c r="C10433" s="4" t="str">
        <f>HYPERLINK("http://www.uniprot.org/uniprot/M5XF28","M5XF28")</f>
        <v>M5XF28</v>
      </c>
      <c r="D10433" s="2" t="s">
        <v>8944</v>
      </c>
      <c r="E10433" s="3">
        <v>6.8000000000000004E-37</v>
      </c>
      <c r="F10433" s="2">
        <v>340</v>
      </c>
      <c r="G10433" s="2">
        <v>58</v>
      </c>
      <c r="H10433" s="2">
        <v>114</v>
      </c>
      <c r="I10433" s="2">
        <v>134</v>
      </c>
      <c r="J10433" s="2">
        <v>475</v>
      </c>
      <c r="K10433" s="2">
        <v>48</v>
      </c>
      <c r="L10433" s="2">
        <v>160</v>
      </c>
    </row>
    <row r="10434" spans="1:12" x14ac:dyDescent="0.25">
      <c r="A10434" s="4" t="str">
        <f>HYPERLINK("http://www.rosaceae.org/Prunus/Prunus_persica/p.persica_gdr_reftransV1_0017044","p.persica_gdr_reftransV1_0017044")</f>
        <v>p.persica_gdr_reftransV1_0017044</v>
      </c>
      <c r="B10434" s="2">
        <v>1492</v>
      </c>
      <c r="C10434" s="4" t="str">
        <f>HYPERLINK("http://www.uniprot.org/uniprot/M5X5X9","M5X5X9")</f>
        <v>M5X5X9</v>
      </c>
      <c r="D10434" s="2" t="s">
        <v>8945</v>
      </c>
      <c r="E10434" s="3">
        <v>0</v>
      </c>
      <c r="F10434" s="2">
        <v>1650</v>
      </c>
      <c r="G10434" s="2">
        <v>100</v>
      </c>
      <c r="H10434" s="2">
        <v>306</v>
      </c>
      <c r="I10434" s="2">
        <v>357</v>
      </c>
      <c r="J10434" s="2">
        <v>1274</v>
      </c>
      <c r="K10434" s="2">
        <v>1</v>
      </c>
      <c r="L10434" s="2">
        <v>306</v>
      </c>
    </row>
    <row r="10435" spans="1:12" x14ac:dyDescent="0.25">
      <c r="A10435" s="4" t="str">
        <f>HYPERLINK("http://www.rosaceae.org/Prunus/Prunus_persica/p.persica_gdr_reftransV1_0017744","p.persica_gdr_reftransV1_0017744")</f>
        <v>p.persica_gdr_reftransV1_0017744</v>
      </c>
      <c r="B10435" s="2">
        <v>1215</v>
      </c>
      <c r="C10435" s="4" t="str">
        <f>HYPERLINK("http://www.uniprot.org/uniprot/M5WDV4","M5WDV4")</f>
        <v>M5WDV4</v>
      </c>
      <c r="D10435" s="2" t="s">
        <v>8946</v>
      </c>
      <c r="E10435" s="3">
        <v>0</v>
      </c>
      <c r="F10435" s="2">
        <v>1778</v>
      </c>
      <c r="G10435" s="2">
        <v>100</v>
      </c>
      <c r="H10435" s="2">
        <v>364</v>
      </c>
      <c r="I10435" s="2">
        <v>1</v>
      </c>
      <c r="J10435" s="2">
        <v>1092</v>
      </c>
      <c r="K10435" s="2">
        <v>420</v>
      </c>
      <c r="L10435" s="2">
        <v>783</v>
      </c>
    </row>
    <row r="10436" spans="1:12" x14ac:dyDescent="0.25">
      <c r="A10436" s="4" t="str">
        <f>HYPERLINK("http://www.rosaceae.org/Prunus/Prunus_persica/p.persica_gdr_reftransV1_0018444","p.persica_gdr_reftransV1_0018444")</f>
        <v>p.persica_gdr_reftransV1_0018444</v>
      </c>
      <c r="B10436" s="2">
        <v>1751</v>
      </c>
      <c r="C10436" s="4" t="str">
        <f>HYPERLINK("http://www.uniprot.org/uniprot/M5WC95","M5WC95")</f>
        <v>M5WC95</v>
      </c>
      <c r="D10436" s="2" t="s">
        <v>8947</v>
      </c>
      <c r="E10436" s="3">
        <v>2.6999999999999998E-75</v>
      </c>
      <c r="F10436" s="2">
        <v>633</v>
      </c>
      <c r="G10436" s="2">
        <v>100</v>
      </c>
      <c r="H10436" s="2">
        <v>121</v>
      </c>
      <c r="I10436" s="2">
        <v>1321</v>
      </c>
      <c r="J10436" s="2">
        <v>1683</v>
      </c>
      <c r="K10436" s="2">
        <v>1</v>
      </c>
      <c r="L10436" s="2">
        <v>121</v>
      </c>
    </row>
    <row r="10437" spans="1:12" x14ac:dyDescent="0.25">
      <c r="A10437" s="4" t="str">
        <f>HYPERLINK("http://www.rosaceae.org/Prunus/Prunus_persica/p.persica_gdr_reftransV1_0019144","p.persica_gdr_reftransV1_0019144")</f>
        <v>p.persica_gdr_reftransV1_0019144</v>
      </c>
      <c r="B10437" s="2">
        <v>703</v>
      </c>
      <c r="C10437" s="4" t="str">
        <f>HYPERLINK("http://www.uniprot.org/uniprot/M5VRQ3","M5VRQ3")</f>
        <v>M5VRQ3</v>
      </c>
      <c r="D10437" s="2" t="s">
        <v>8948</v>
      </c>
      <c r="E10437" s="3">
        <v>4.9500000000000004E-66</v>
      </c>
      <c r="F10437" s="2">
        <v>538</v>
      </c>
      <c r="G10437" s="2">
        <v>100</v>
      </c>
      <c r="H10437" s="2">
        <v>103</v>
      </c>
      <c r="I10437" s="2">
        <v>317</v>
      </c>
      <c r="J10437" s="2">
        <v>625</v>
      </c>
      <c r="K10437" s="2">
        <v>16</v>
      </c>
      <c r="L10437" s="2">
        <v>118</v>
      </c>
    </row>
    <row r="10438" spans="1:12" x14ac:dyDescent="0.25">
      <c r="A10438" s="4" t="str">
        <f>HYPERLINK("http://www.rosaceae.org/Prunus/Prunus_persica/p.persica_gdr_reftransV1_0020194","p.persica_gdr_reftransV1_0020194")</f>
        <v>p.persica_gdr_reftransV1_0020194</v>
      </c>
      <c r="B10438" s="2">
        <v>909</v>
      </c>
      <c r="C10438" s="4" t="str">
        <f>HYPERLINK("http://www.uniprot.org/uniprot/I7J3I6","I7J3I6")</f>
        <v>I7J3I6</v>
      </c>
      <c r="D10438" s="2" t="s">
        <v>8949</v>
      </c>
      <c r="E10438" s="3">
        <v>1.78E-34</v>
      </c>
      <c r="F10438" s="2">
        <v>341</v>
      </c>
      <c r="G10438" s="2">
        <v>44</v>
      </c>
      <c r="H10438" s="2">
        <v>171</v>
      </c>
      <c r="I10438" s="2">
        <v>353</v>
      </c>
      <c r="J10438" s="2">
        <v>865</v>
      </c>
      <c r="K10438" s="2">
        <v>11</v>
      </c>
      <c r="L10438" s="2">
        <v>173</v>
      </c>
    </row>
    <row r="10439" spans="1:12" x14ac:dyDescent="0.25">
      <c r="A10439" s="4" t="str">
        <f>HYPERLINK("http://www.rosaceae.org/Prunus/Prunus_persica/p.persica_gdr_reftransV1_0020894","p.persica_gdr_reftransV1_0020894")</f>
        <v>p.persica_gdr_reftransV1_0020894</v>
      </c>
      <c r="B10439" s="2">
        <v>1964</v>
      </c>
      <c r="C10439" s="4" t="str">
        <f>HYPERLINK("http://www.uniprot.org/uniprot/M5WP54","M5WP54")</f>
        <v>M5WP54</v>
      </c>
      <c r="D10439" s="2" t="s">
        <v>8950</v>
      </c>
      <c r="E10439" s="3">
        <v>0</v>
      </c>
      <c r="F10439" s="2">
        <v>2554</v>
      </c>
      <c r="G10439" s="2">
        <v>100</v>
      </c>
      <c r="H10439" s="2">
        <v>540</v>
      </c>
      <c r="I10439" s="2">
        <v>267</v>
      </c>
      <c r="J10439" s="2">
        <v>1886</v>
      </c>
      <c r="K10439" s="2">
        <v>1</v>
      </c>
      <c r="L10439" s="2">
        <v>540</v>
      </c>
    </row>
    <row r="10440" spans="1:12" x14ac:dyDescent="0.25">
      <c r="A10440" s="4" t="str">
        <f>HYPERLINK("http://www.rosaceae.org/Prunus/Prunus_persica/p.persica_gdr_reftransV1_0021244","p.persica_gdr_reftransV1_0021244")</f>
        <v>p.persica_gdr_reftransV1_0021244</v>
      </c>
      <c r="B10440" s="2">
        <v>1863</v>
      </c>
      <c r="C10440" s="4" t="str">
        <f>HYPERLINK("http://www.uniprot.org/uniprot/M5VYV1","M5VYV1")</f>
        <v>M5VYV1</v>
      </c>
      <c r="D10440" s="2" t="s">
        <v>8454</v>
      </c>
      <c r="E10440" s="3">
        <v>0</v>
      </c>
      <c r="F10440" s="2">
        <v>1901</v>
      </c>
      <c r="G10440" s="2">
        <v>99</v>
      </c>
      <c r="H10440" s="2">
        <v>396</v>
      </c>
      <c r="I10440" s="2">
        <v>287</v>
      </c>
      <c r="J10440" s="2">
        <v>1474</v>
      </c>
      <c r="K10440" s="2">
        <v>417</v>
      </c>
      <c r="L10440" s="2">
        <v>812</v>
      </c>
    </row>
    <row r="10441" spans="1:12" x14ac:dyDescent="0.25">
      <c r="A10441" s="4" t="str">
        <f>HYPERLINK("http://www.rosaceae.org/Prunus/Prunus_persica/p.persica_gdr_reftransV1_0022644","p.persica_gdr_reftransV1_0022644")</f>
        <v>p.persica_gdr_reftransV1_0022644</v>
      </c>
      <c r="B10441" s="2">
        <v>1911</v>
      </c>
      <c r="C10441" s="4" t="str">
        <f>HYPERLINK("http://www.uniprot.org/uniprot/M5XW92","M5XW92")</f>
        <v>M5XW92</v>
      </c>
      <c r="D10441" s="2" t="s">
        <v>8951</v>
      </c>
      <c r="E10441" s="3">
        <v>0</v>
      </c>
      <c r="F10441" s="2">
        <v>1630</v>
      </c>
      <c r="G10441" s="2">
        <v>100</v>
      </c>
      <c r="H10441" s="2">
        <v>384</v>
      </c>
      <c r="I10441" s="2">
        <v>329</v>
      </c>
      <c r="J10441" s="2">
        <v>1480</v>
      </c>
      <c r="K10441" s="2">
        <v>110</v>
      </c>
      <c r="L10441" s="2">
        <v>493</v>
      </c>
    </row>
    <row r="10442" spans="1:12" x14ac:dyDescent="0.25">
      <c r="A10442" s="4" t="str">
        <f>HYPERLINK("http://www.rosaceae.org/Prunus/Prunus_persica/p.persica_gdr_reftransV1_0022994","p.persica_gdr_reftransV1_0022994")</f>
        <v>p.persica_gdr_reftransV1_0022994</v>
      </c>
      <c r="B10442" s="2">
        <v>1856</v>
      </c>
      <c r="C10442" s="4" t="str">
        <f>HYPERLINK("http://www.uniprot.org/uniprot/M5X4Y8","M5X4Y8")</f>
        <v>M5X4Y8</v>
      </c>
      <c r="D10442" s="2" t="s">
        <v>8952</v>
      </c>
      <c r="E10442" s="3">
        <v>0</v>
      </c>
      <c r="F10442" s="2">
        <v>2002</v>
      </c>
      <c r="G10442" s="2">
        <v>100</v>
      </c>
      <c r="H10442" s="2">
        <v>371</v>
      </c>
      <c r="I10442" s="2">
        <v>421</v>
      </c>
      <c r="J10442" s="2">
        <v>1533</v>
      </c>
      <c r="K10442" s="2">
        <v>70</v>
      </c>
      <c r="L10442" s="2">
        <v>440</v>
      </c>
    </row>
    <row r="10443" spans="1:12" x14ac:dyDescent="0.25">
      <c r="A10443" s="4" t="str">
        <f>HYPERLINK("http://www.rosaceae.org/Prunus/Prunus_persica/p.persica_gdr_reftransV1_0024394","p.persica_gdr_reftransV1_0024394")</f>
        <v>p.persica_gdr_reftransV1_0024394</v>
      </c>
      <c r="B10443" s="2">
        <v>1188</v>
      </c>
      <c r="C10443" s="4" t="str">
        <f>HYPERLINK("http://www.uniprot.org/uniprot/M5WAD8","M5WAD8")</f>
        <v>M5WAD8</v>
      </c>
      <c r="D10443" s="2" t="s">
        <v>8953</v>
      </c>
      <c r="E10443" s="3">
        <v>2.07E-141</v>
      </c>
      <c r="F10443" s="2">
        <v>1066</v>
      </c>
      <c r="G10443" s="2">
        <v>100</v>
      </c>
      <c r="H10443" s="2">
        <v>248</v>
      </c>
      <c r="I10443" s="2">
        <v>232</v>
      </c>
      <c r="J10443" s="2">
        <v>975</v>
      </c>
      <c r="K10443" s="2">
        <v>1</v>
      </c>
      <c r="L10443" s="2">
        <v>248</v>
      </c>
    </row>
    <row r="10444" spans="1:12" x14ac:dyDescent="0.25">
      <c r="A10444" s="4" t="str">
        <f>HYPERLINK("http://www.rosaceae.org/Prunus/Prunus_persica/p.persica_gdr_reftransV1_0025444","p.persica_gdr_reftransV1_0025444")</f>
        <v>p.persica_gdr_reftransV1_0025444</v>
      </c>
      <c r="B10444" s="2">
        <v>2798</v>
      </c>
      <c r="C10444" s="4" t="str">
        <f>HYPERLINK("http://www.uniprot.org/uniprot/M5X401","M5X401")</f>
        <v>M5X401</v>
      </c>
      <c r="D10444" s="2" t="s">
        <v>8954</v>
      </c>
      <c r="E10444" s="3">
        <v>0</v>
      </c>
      <c r="F10444" s="2">
        <v>2501</v>
      </c>
      <c r="G10444" s="2">
        <v>100</v>
      </c>
      <c r="H10444" s="2">
        <v>502</v>
      </c>
      <c r="I10444" s="2">
        <v>841</v>
      </c>
      <c r="J10444" s="2">
        <v>2346</v>
      </c>
      <c r="K10444" s="2">
        <v>1</v>
      </c>
      <c r="L10444" s="2">
        <v>502</v>
      </c>
    </row>
    <row r="10445" spans="1:12" x14ac:dyDescent="0.25">
      <c r="A10445" s="4" t="str">
        <f>HYPERLINK("http://www.rosaceae.org/Prunus/Prunus_persica/p.persica_gdr_reftransV1_0026144","p.persica_gdr_reftransV1_0026144")</f>
        <v>p.persica_gdr_reftransV1_0026144</v>
      </c>
      <c r="B10445" s="2">
        <v>1571</v>
      </c>
      <c r="C10445" s="4" t="str">
        <f>HYPERLINK("http://www.uniprot.org/uniprot/W9RIS0","W9RIS0")</f>
        <v>W9RIS0</v>
      </c>
      <c r="D10445" s="2" t="s">
        <v>4760</v>
      </c>
      <c r="E10445" s="3">
        <v>0</v>
      </c>
      <c r="F10445" s="2">
        <v>1518</v>
      </c>
      <c r="G10445" s="2">
        <v>77</v>
      </c>
      <c r="H10445" s="2">
        <v>373</v>
      </c>
      <c r="I10445" s="2">
        <v>208</v>
      </c>
      <c r="J10445" s="2">
        <v>1323</v>
      </c>
      <c r="K10445" s="2">
        <v>1</v>
      </c>
      <c r="L10445" s="2">
        <v>373</v>
      </c>
    </row>
    <row r="10446" spans="1:12" x14ac:dyDescent="0.25">
      <c r="A10446" s="4" t="str">
        <f>HYPERLINK("http://www.rosaceae.org/Prunus/Prunus_persica/p.persica_gdr_reftransV1_0026494","p.persica_gdr_reftransV1_0026494")</f>
        <v>p.persica_gdr_reftransV1_0026494</v>
      </c>
      <c r="B10446" s="2">
        <v>408</v>
      </c>
      <c r="C10446" s="4" t="str">
        <f>HYPERLINK("http://www.uniprot.org/uniprot/M5WN34","M5WN34")</f>
        <v>M5WN34</v>
      </c>
      <c r="D10446" s="2" t="s">
        <v>8955</v>
      </c>
      <c r="E10446" s="3">
        <v>1.5200000000000001E-81</v>
      </c>
      <c r="F10446" s="2">
        <v>659</v>
      </c>
      <c r="G10446" s="2">
        <v>98</v>
      </c>
      <c r="H10446" s="2">
        <v>125</v>
      </c>
      <c r="I10446" s="2">
        <v>1</v>
      </c>
      <c r="J10446" s="2">
        <v>375</v>
      </c>
      <c r="K10446" s="2">
        <v>132</v>
      </c>
      <c r="L10446" s="2">
        <v>256</v>
      </c>
    </row>
    <row r="10447" spans="1:12" x14ac:dyDescent="0.25">
      <c r="A10447" s="4" t="str">
        <f>HYPERLINK("http://www.rosaceae.org/Prunus/Prunus_persica/p.persica_gdr_reftransV1_0026844","p.persica_gdr_reftransV1_0026844")</f>
        <v>p.persica_gdr_reftransV1_0026844</v>
      </c>
      <c r="B10447" s="2">
        <v>3169</v>
      </c>
      <c r="C10447" s="4" t="str">
        <f>HYPERLINK("http://www.uniprot.org/uniprot/M5XES2","M5XES2")</f>
        <v>M5XES2</v>
      </c>
      <c r="D10447" s="2" t="s">
        <v>8956</v>
      </c>
      <c r="E10447" s="3">
        <v>6.3799999999999996E-34</v>
      </c>
      <c r="F10447" s="2">
        <v>363</v>
      </c>
      <c r="G10447" s="2">
        <v>95</v>
      </c>
      <c r="H10447" s="2">
        <v>116</v>
      </c>
      <c r="I10447" s="2">
        <v>471</v>
      </c>
      <c r="J10447" s="2">
        <v>818</v>
      </c>
      <c r="K10447" s="2">
        <v>1</v>
      </c>
      <c r="L10447" s="2">
        <v>116</v>
      </c>
    </row>
    <row r="10448" spans="1:12" x14ac:dyDescent="0.25">
      <c r="A10448" s="4" t="str">
        <f>HYPERLINK("http://www.rosaceae.org/Prunus/Prunus_persica/p.persica_gdr_reftransV1_0027194","p.persica_gdr_reftransV1_0027194")</f>
        <v>p.persica_gdr_reftransV1_0027194</v>
      </c>
      <c r="B10448" s="2">
        <v>2495</v>
      </c>
      <c r="C10448" s="4" t="str">
        <f>HYPERLINK("http://www.uniprot.org/uniprot/M5XCM6","M5XCM6")</f>
        <v>M5XCM6</v>
      </c>
      <c r="D10448" s="2" t="s">
        <v>5402</v>
      </c>
      <c r="E10448" s="3">
        <v>6.6700000000000001E-155</v>
      </c>
      <c r="F10448" s="2">
        <v>1210</v>
      </c>
      <c r="G10448" s="2">
        <v>58</v>
      </c>
      <c r="H10448" s="2">
        <v>412</v>
      </c>
      <c r="I10448" s="2">
        <v>1196</v>
      </c>
      <c r="J10448" s="2">
        <v>2428</v>
      </c>
      <c r="K10448" s="2">
        <v>1</v>
      </c>
      <c r="L10448" s="2">
        <v>391</v>
      </c>
    </row>
    <row r="10449" spans="1:12" x14ac:dyDescent="0.25">
      <c r="A10449" s="4" t="str">
        <f>HYPERLINK("http://www.rosaceae.org/Prunus/Prunus_persica/p.persica_gdr_reftransV1_0029994","p.persica_gdr_reftransV1_0029994")</f>
        <v>p.persica_gdr_reftransV1_0029994</v>
      </c>
      <c r="B10449" s="2">
        <v>3914</v>
      </c>
      <c r="C10449" s="4" t="str">
        <f>HYPERLINK("http://www.uniprot.org/uniprot/M5X627","M5X627")</f>
        <v>M5X627</v>
      </c>
      <c r="D10449" s="2" t="s">
        <v>2248</v>
      </c>
      <c r="E10449" s="3">
        <v>0</v>
      </c>
      <c r="F10449" s="2">
        <v>5474</v>
      </c>
      <c r="G10449" s="2">
        <v>100</v>
      </c>
      <c r="H10449" s="2">
        <v>1091</v>
      </c>
      <c r="I10449" s="2">
        <v>501</v>
      </c>
      <c r="J10449" s="2">
        <v>3773</v>
      </c>
      <c r="K10449" s="2">
        <v>1</v>
      </c>
      <c r="L10449" s="2">
        <v>1091</v>
      </c>
    </row>
    <row r="10450" spans="1:12" x14ac:dyDescent="0.25">
      <c r="A10450" s="4" t="str">
        <f>HYPERLINK("http://www.rosaceae.org/Prunus/Prunus_persica/p.persica_gdr_reftransV1_0030694","p.persica_gdr_reftransV1_0030694")</f>
        <v>p.persica_gdr_reftransV1_0030694</v>
      </c>
      <c r="B10450" s="2">
        <v>3709</v>
      </c>
      <c r="C10450" s="4" t="str">
        <f>HYPERLINK("http://www.uniprot.org/uniprot/M5XQ56","M5XQ56")</f>
        <v>M5XQ56</v>
      </c>
      <c r="D10450" s="2" t="s">
        <v>8957</v>
      </c>
      <c r="E10450" s="3">
        <v>0</v>
      </c>
      <c r="F10450" s="2">
        <v>2391</v>
      </c>
      <c r="G10450" s="2">
        <v>100</v>
      </c>
      <c r="H10450" s="2">
        <v>454</v>
      </c>
      <c r="I10450" s="2">
        <v>109</v>
      </c>
      <c r="J10450" s="2">
        <v>1470</v>
      </c>
      <c r="K10450" s="2">
        <v>1</v>
      </c>
      <c r="L10450" s="2">
        <v>454</v>
      </c>
    </row>
    <row r="10451" spans="1:12" x14ac:dyDescent="0.25">
      <c r="A10451" s="4" t="str">
        <f>HYPERLINK("http://www.rosaceae.org/Prunus/Prunus_persica/p.persica_gdr_reftransV1_0031044","p.persica_gdr_reftransV1_0031044")</f>
        <v>p.persica_gdr_reftransV1_0031044</v>
      </c>
      <c r="B10451" s="2">
        <v>1977</v>
      </c>
      <c r="C10451" s="4" t="str">
        <f>HYPERLINK("http://www.uniprot.org/uniprot/M5WNJ6","M5WNJ6")</f>
        <v>M5WNJ6</v>
      </c>
      <c r="D10451" s="2" t="s">
        <v>1392</v>
      </c>
      <c r="E10451" s="3">
        <v>2.2899999999999998E-180</v>
      </c>
      <c r="F10451" s="2">
        <v>1396</v>
      </c>
      <c r="G10451" s="2">
        <v>100</v>
      </c>
      <c r="H10451" s="2">
        <v>262</v>
      </c>
      <c r="I10451" s="2">
        <v>3</v>
      </c>
      <c r="J10451" s="2">
        <v>788</v>
      </c>
      <c r="K10451" s="2">
        <v>461</v>
      </c>
      <c r="L10451" s="2">
        <v>722</v>
      </c>
    </row>
    <row r="10452" spans="1:12" x14ac:dyDescent="0.25">
      <c r="A10452" s="4" t="str">
        <f>HYPERLINK("http://www.rosaceae.org/Prunus/Prunus_persica/p.persica_gdr_reftransV1_0031394","p.persica_gdr_reftransV1_0031394")</f>
        <v>p.persica_gdr_reftransV1_0031394</v>
      </c>
      <c r="B10452" s="2">
        <v>349</v>
      </c>
      <c r="C10452" s="4" t="str">
        <f>HYPERLINK("http://www.uniprot.org/uniprot/M5XXA9","M5XXA9")</f>
        <v>M5XXA9</v>
      </c>
      <c r="D10452" s="2" t="s">
        <v>8235</v>
      </c>
      <c r="E10452" s="3">
        <v>2.2E-73</v>
      </c>
      <c r="F10452" s="2">
        <v>616</v>
      </c>
      <c r="G10452" s="2">
        <v>100</v>
      </c>
      <c r="H10452" s="2">
        <v>115</v>
      </c>
      <c r="I10452" s="2">
        <v>3</v>
      </c>
      <c r="J10452" s="2">
        <v>347</v>
      </c>
      <c r="K10452" s="2">
        <v>361</v>
      </c>
      <c r="L10452" s="2">
        <v>475</v>
      </c>
    </row>
    <row r="10453" spans="1:12" x14ac:dyDescent="0.25">
      <c r="A10453" s="4" t="str">
        <f>HYPERLINK("http://www.rosaceae.org/Prunus/Prunus_persica/p.persica_gdr_reftransV1_0031744","p.persica_gdr_reftransV1_0031744")</f>
        <v>p.persica_gdr_reftransV1_0031744</v>
      </c>
      <c r="B10453" s="2">
        <v>1697</v>
      </c>
      <c r="C10453" s="4" t="str">
        <f>HYPERLINK("http://www.uniprot.org/uniprot/M5XMH4","M5XMH4")</f>
        <v>M5XMH4</v>
      </c>
      <c r="D10453" s="2" t="s">
        <v>8958</v>
      </c>
      <c r="E10453" s="3">
        <v>9.79E-99</v>
      </c>
      <c r="F10453" s="2">
        <v>796</v>
      </c>
      <c r="G10453" s="2">
        <v>98</v>
      </c>
      <c r="H10453" s="2">
        <v>154</v>
      </c>
      <c r="I10453" s="2">
        <v>1014</v>
      </c>
      <c r="J10453" s="2">
        <v>1475</v>
      </c>
      <c r="K10453" s="2">
        <v>1</v>
      </c>
      <c r="L10453" s="2">
        <v>154</v>
      </c>
    </row>
    <row r="10454" spans="1:12" x14ac:dyDescent="0.25">
      <c r="A10454" s="4" t="str">
        <f>HYPERLINK("http://www.rosaceae.org/Prunus/Prunus_persica/p.persica_gdr_reftransV1_0032444","p.persica_gdr_reftransV1_0032444")</f>
        <v>p.persica_gdr_reftransV1_0032444</v>
      </c>
      <c r="B10454" s="2">
        <v>2658</v>
      </c>
      <c r="C10454" s="4" t="str">
        <f>HYPERLINK("http://www.uniprot.org/uniprot/M5XE17","M5XE17")</f>
        <v>M5XE17</v>
      </c>
      <c r="D10454" s="2" t="s">
        <v>8959</v>
      </c>
      <c r="E10454" s="3">
        <v>0</v>
      </c>
      <c r="F10454" s="2">
        <v>1629</v>
      </c>
      <c r="G10454" s="2">
        <v>100</v>
      </c>
      <c r="H10454" s="2">
        <v>304</v>
      </c>
      <c r="I10454" s="2">
        <v>1386</v>
      </c>
      <c r="J10454" s="2">
        <v>2297</v>
      </c>
      <c r="K10454" s="2">
        <v>1</v>
      </c>
      <c r="L10454" s="2">
        <v>304</v>
      </c>
    </row>
    <row r="10455" spans="1:12" x14ac:dyDescent="0.25">
      <c r="A10455" s="4" t="str">
        <f>HYPERLINK("http://www.rosaceae.org/Prunus/Prunus_persica/p.persica_gdr_reftransV1_0033144","p.persica_gdr_reftransV1_0033144")</f>
        <v>p.persica_gdr_reftransV1_0033144</v>
      </c>
      <c r="B10455" s="2">
        <v>2775</v>
      </c>
      <c r="C10455" s="4" t="str">
        <f>HYPERLINK("http://www.uniprot.org/uniprot/M5W9I6","M5W9I6")</f>
        <v>M5W9I6</v>
      </c>
      <c r="D10455" s="2" t="s">
        <v>1003</v>
      </c>
      <c r="E10455" s="3">
        <v>0</v>
      </c>
      <c r="F10455" s="2">
        <v>1932</v>
      </c>
      <c r="G10455" s="2">
        <v>99</v>
      </c>
      <c r="H10455" s="2">
        <v>391</v>
      </c>
      <c r="I10455" s="2">
        <v>374</v>
      </c>
      <c r="J10455" s="2">
        <v>1546</v>
      </c>
      <c r="K10455" s="2">
        <v>22</v>
      </c>
      <c r="L10455" s="2">
        <v>412</v>
      </c>
    </row>
    <row r="10456" spans="1:12" x14ac:dyDescent="0.25">
      <c r="A10456" s="4" t="str">
        <f>HYPERLINK("http://www.rosaceae.org/Prunus/Prunus_persica/p.persica_gdr_reftransV1_0033494","p.persica_gdr_reftransV1_0033494")</f>
        <v>p.persica_gdr_reftransV1_0033494</v>
      </c>
      <c r="B10456" s="2">
        <v>2266</v>
      </c>
      <c r="C10456" s="4" t="str">
        <f>HYPERLINK("http://www.uniprot.org/uniprot/M5WTN3","M5WTN3")</f>
        <v>M5WTN3</v>
      </c>
      <c r="D10456" s="2" t="s">
        <v>8960</v>
      </c>
      <c r="E10456" s="3">
        <v>5.61E-117</v>
      </c>
      <c r="F10456" s="2">
        <v>946</v>
      </c>
      <c r="G10456" s="2">
        <v>98</v>
      </c>
      <c r="H10456" s="2">
        <v>200</v>
      </c>
      <c r="I10456" s="2">
        <v>104</v>
      </c>
      <c r="J10456" s="2">
        <v>703</v>
      </c>
      <c r="K10456" s="2">
        <v>1</v>
      </c>
      <c r="L10456" s="2">
        <v>200</v>
      </c>
    </row>
    <row r="10457" spans="1:12" x14ac:dyDescent="0.25">
      <c r="A10457" s="4" t="str">
        <f>HYPERLINK("http://www.rosaceae.org/Prunus/Prunus_persica/p.persica_gdr_reftransV1_0033844","p.persica_gdr_reftransV1_0033844")</f>
        <v>p.persica_gdr_reftransV1_0033844</v>
      </c>
      <c r="B10457" s="2">
        <v>1535</v>
      </c>
      <c r="C10457" s="4" t="str">
        <f>HYPERLINK("http://www.uniprot.org/uniprot/M5VX81","M5VX81")</f>
        <v>M5VX81</v>
      </c>
      <c r="D10457" s="2" t="s">
        <v>619</v>
      </c>
      <c r="E10457" s="3">
        <v>6.5400000000000003E-174</v>
      </c>
      <c r="F10457" s="2">
        <v>1292</v>
      </c>
      <c r="G10457" s="2">
        <v>100</v>
      </c>
      <c r="H10457" s="2">
        <v>241</v>
      </c>
      <c r="I10457" s="2">
        <v>813</v>
      </c>
      <c r="J10457" s="2">
        <v>1535</v>
      </c>
      <c r="K10457" s="2">
        <v>13</v>
      </c>
      <c r="L10457" s="2">
        <v>253</v>
      </c>
    </row>
    <row r="10458" spans="1:12" x14ac:dyDescent="0.25">
      <c r="A10458" s="4" t="str">
        <f>HYPERLINK("http://www.rosaceae.org/Prunus/Prunus_persica/p.persica_gdr_reftransV1_0034194","p.persica_gdr_reftransV1_0034194")</f>
        <v>p.persica_gdr_reftransV1_0034194</v>
      </c>
      <c r="B10458" s="2">
        <v>1403</v>
      </c>
      <c r="C10458" s="4" t="str">
        <f>HYPERLINK("http://www.uniprot.org/uniprot/M5X8D1","M5X8D1")</f>
        <v>M5X8D1</v>
      </c>
      <c r="D10458" s="2" t="s">
        <v>8961</v>
      </c>
      <c r="E10458" s="3">
        <v>0</v>
      </c>
      <c r="F10458" s="2">
        <v>1536</v>
      </c>
      <c r="G10458" s="2">
        <v>100</v>
      </c>
      <c r="H10458" s="2">
        <v>306</v>
      </c>
      <c r="I10458" s="2">
        <v>400</v>
      </c>
      <c r="J10458" s="2">
        <v>1317</v>
      </c>
      <c r="K10458" s="2">
        <v>1</v>
      </c>
      <c r="L10458" s="2">
        <v>306</v>
      </c>
    </row>
    <row r="10459" spans="1:12" x14ac:dyDescent="0.25">
      <c r="A10459" s="4" t="str">
        <f>HYPERLINK("http://www.rosaceae.org/Prunus/Prunus_persica/p.persica_gdr_reftransV1_0035244","p.persica_gdr_reftransV1_0035244")</f>
        <v>p.persica_gdr_reftransV1_0035244</v>
      </c>
      <c r="B10459" s="2">
        <v>1947</v>
      </c>
      <c r="C10459" s="4" t="str">
        <f>HYPERLINK("http://www.uniprot.org/uniprot/M5VLZ1","M5VLZ1")</f>
        <v>M5VLZ1</v>
      </c>
      <c r="D10459" s="2" t="s">
        <v>8962</v>
      </c>
      <c r="E10459" s="3">
        <v>0</v>
      </c>
      <c r="F10459" s="2">
        <v>2529</v>
      </c>
      <c r="G10459" s="2">
        <v>100</v>
      </c>
      <c r="H10459" s="2">
        <v>471</v>
      </c>
      <c r="I10459" s="2">
        <v>237</v>
      </c>
      <c r="J10459" s="2">
        <v>1649</v>
      </c>
      <c r="K10459" s="2">
        <v>33</v>
      </c>
      <c r="L10459" s="2">
        <v>503</v>
      </c>
    </row>
    <row r="10460" spans="1:12" x14ac:dyDescent="0.25">
      <c r="A10460" s="4" t="str">
        <f>HYPERLINK("http://www.rosaceae.org/Prunus/Prunus_persica/p.persica_gdr_reftransV1_0036294","p.persica_gdr_reftransV1_0036294")</f>
        <v>p.persica_gdr_reftransV1_0036294</v>
      </c>
      <c r="B10460" s="2">
        <v>1897</v>
      </c>
      <c r="C10460" s="4" t="str">
        <f>HYPERLINK("http://www.uniprot.org/uniprot/M5XC57","M5XC57")</f>
        <v>M5XC57</v>
      </c>
      <c r="D10460" s="2" t="s">
        <v>5883</v>
      </c>
      <c r="E10460" s="3">
        <v>0</v>
      </c>
      <c r="F10460" s="2">
        <v>2052</v>
      </c>
      <c r="G10460" s="2">
        <v>100</v>
      </c>
      <c r="H10460" s="2">
        <v>391</v>
      </c>
      <c r="I10460" s="2">
        <v>251</v>
      </c>
      <c r="J10460" s="2">
        <v>1423</v>
      </c>
      <c r="K10460" s="2">
        <v>1</v>
      </c>
      <c r="L10460" s="2">
        <v>391</v>
      </c>
    </row>
    <row r="10461" spans="1:12" x14ac:dyDescent="0.25">
      <c r="A10461" s="4" t="str">
        <f>HYPERLINK("http://www.rosaceae.org/Prunus/Prunus_persica/p.persica_gdr_reftransV1_0036644","p.persica_gdr_reftransV1_0036644")</f>
        <v>p.persica_gdr_reftransV1_0036644</v>
      </c>
      <c r="B10461" s="2">
        <v>1359</v>
      </c>
      <c r="C10461" s="4" t="str">
        <f>HYPERLINK("http://www.uniprot.org/uniprot/W9RE37","W9RE37")</f>
        <v>W9RE37</v>
      </c>
      <c r="D10461" s="2" t="s">
        <v>5172</v>
      </c>
      <c r="E10461" s="3">
        <v>5.0200000000000003E-97</v>
      </c>
      <c r="F10461" s="2">
        <v>773</v>
      </c>
      <c r="G10461" s="2">
        <v>87</v>
      </c>
      <c r="H10461" s="2">
        <v>215</v>
      </c>
      <c r="I10461" s="2">
        <v>630</v>
      </c>
      <c r="J10461" s="2">
        <v>1271</v>
      </c>
      <c r="K10461" s="2">
        <v>1</v>
      </c>
      <c r="L10461" s="2">
        <v>215</v>
      </c>
    </row>
    <row r="10462" spans="1:12" x14ac:dyDescent="0.25">
      <c r="A10462" s="4" t="str">
        <f>HYPERLINK("http://www.rosaceae.org/Prunus/Prunus_persica/p.persica_gdr_reftransV1_0039094","p.persica_gdr_reftransV1_0039094")</f>
        <v>p.persica_gdr_reftransV1_0039094</v>
      </c>
      <c r="B10462" s="2">
        <v>2194</v>
      </c>
      <c r="C10462" s="4" t="str">
        <f>HYPERLINK("http://www.uniprot.org/uniprot/M5WGC0","M5WGC0")</f>
        <v>M5WGC0</v>
      </c>
      <c r="D10462" s="2" t="s">
        <v>8963</v>
      </c>
      <c r="E10462" s="3">
        <v>4.3200000000000002E-69</v>
      </c>
      <c r="F10462" s="2">
        <v>615</v>
      </c>
      <c r="G10462" s="2">
        <v>100</v>
      </c>
      <c r="H10462" s="2">
        <v>115</v>
      </c>
      <c r="I10462" s="2">
        <v>275</v>
      </c>
      <c r="J10462" s="2">
        <v>619</v>
      </c>
      <c r="K10462" s="2">
        <v>216</v>
      </c>
      <c r="L10462" s="2">
        <v>330</v>
      </c>
    </row>
    <row r="10463" spans="1:12" x14ac:dyDescent="0.25">
      <c r="A10463" s="4" t="str">
        <f>HYPERLINK("http://www.rosaceae.org/Prunus/Prunus_persica/p.persica_gdr_reftransV1_0043294","p.persica_gdr_reftransV1_0043294")</f>
        <v>p.persica_gdr_reftransV1_0043294</v>
      </c>
      <c r="B10463" s="2">
        <v>797</v>
      </c>
      <c r="C10463" s="4" t="str">
        <f>HYPERLINK("http://www.uniprot.org/uniprot/M5WI07","M5WI07")</f>
        <v>M5WI07</v>
      </c>
      <c r="D10463" s="2" t="s">
        <v>8964</v>
      </c>
      <c r="E10463" s="3">
        <v>8.6200000000000003E-43</v>
      </c>
      <c r="F10463" s="2">
        <v>386</v>
      </c>
      <c r="G10463" s="2">
        <v>100</v>
      </c>
      <c r="H10463" s="2">
        <v>119</v>
      </c>
      <c r="I10463" s="2">
        <v>178</v>
      </c>
      <c r="J10463" s="2">
        <v>534</v>
      </c>
      <c r="K10463" s="2">
        <v>1</v>
      </c>
      <c r="L10463" s="2">
        <v>119</v>
      </c>
    </row>
    <row r="10464" spans="1:12" x14ac:dyDescent="0.25">
      <c r="A10464" s="4" t="str">
        <f>HYPERLINK("http://www.rosaceae.org/Prunus/Prunus_persica/p.persica_gdr_reftransV1_0043644","p.persica_gdr_reftransV1_0043644")</f>
        <v>p.persica_gdr_reftransV1_0043644</v>
      </c>
      <c r="B10464" s="2">
        <v>590</v>
      </c>
      <c r="C10464" s="4" t="str">
        <f>HYPERLINK("http://www.uniprot.org/uniprot/M5WR57","M5WR57")</f>
        <v>M5WR57</v>
      </c>
      <c r="D10464" s="2" t="s">
        <v>3161</v>
      </c>
      <c r="E10464" s="3">
        <v>5.0400000000000001E-113</v>
      </c>
      <c r="F10464" s="2">
        <v>913</v>
      </c>
      <c r="G10464" s="2">
        <v>100</v>
      </c>
      <c r="H10464" s="2">
        <v>196</v>
      </c>
      <c r="I10464" s="2">
        <v>3</v>
      </c>
      <c r="J10464" s="2">
        <v>590</v>
      </c>
      <c r="K10464" s="2">
        <v>408</v>
      </c>
      <c r="L10464" s="2">
        <v>603</v>
      </c>
    </row>
    <row r="10465" spans="1:12" x14ac:dyDescent="0.25">
      <c r="A10465" s="4" t="str">
        <f>HYPERLINK("http://www.rosaceae.org/Prunus/Prunus_persica/p.persica_gdr_reftransV1_0043994","p.persica_gdr_reftransV1_0043994")</f>
        <v>p.persica_gdr_reftransV1_0043994</v>
      </c>
      <c r="B10465" s="2">
        <v>1336</v>
      </c>
      <c r="C10465" s="4" t="str">
        <f>HYPERLINK("http://www.uniprot.org/uniprot/M5XEF6","M5XEF6")</f>
        <v>M5XEF6</v>
      </c>
      <c r="D10465" s="2" t="s">
        <v>8965</v>
      </c>
      <c r="E10465" s="3">
        <v>0</v>
      </c>
      <c r="F10465" s="2">
        <v>1515</v>
      </c>
      <c r="G10465" s="2">
        <v>100</v>
      </c>
      <c r="H10465" s="2">
        <v>318</v>
      </c>
      <c r="I10465" s="2">
        <v>347</v>
      </c>
      <c r="J10465" s="2">
        <v>1300</v>
      </c>
      <c r="K10465" s="2">
        <v>1</v>
      </c>
      <c r="L10465" s="2">
        <v>318</v>
      </c>
    </row>
    <row r="10466" spans="1:12" x14ac:dyDescent="0.25">
      <c r="A10466" s="4" t="str">
        <f>HYPERLINK("http://www.rosaceae.org/Prunus/Prunus_persica/p.persica_gdr_reftransV1_0044344","p.persica_gdr_reftransV1_0044344")</f>
        <v>p.persica_gdr_reftransV1_0044344</v>
      </c>
      <c r="B10466" s="2">
        <v>1576</v>
      </c>
      <c r="C10466" s="4" t="str">
        <f>HYPERLINK("http://www.uniprot.org/uniprot/M5X351","M5X351")</f>
        <v>M5X351</v>
      </c>
      <c r="D10466" s="2" t="s">
        <v>5043</v>
      </c>
      <c r="E10466" s="3">
        <v>7.2499999999999994E-64</v>
      </c>
      <c r="F10466" s="2">
        <v>572</v>
      </c>
      <c r="G10466" s="2">
        <v>100</v>
      </c>
      <c r="H10466" s="2">
        <v>140</v>
      </c>
      <c r="I10466" s="2">
        <v>280</v>
      </c>
      <c r="J10466" s="2">
        <v>699</v>
      </c>
      <c r="K10466" s="2">
        <v>73</v>
      </c>
      <c r="L10466" s="2">
        <v>212</v>
      </c>
    </row>
    <row r="10467" spans="1:12" x14ac:dyDescent="0.25">
      <c r="A10467" s="4" t="str">
        <f>HYPERLINK("http://www.rosaceae.org/Prunus/Prunus_persica/p.persica_gdr_reftransV1_0044694","p.persica_gdr_reftransV1_0044694")</f>
        <v>p.persica_gdr_reftransV1_0044694</v>
      </c>
      <c r="B10467" s="2">
        <v>1415</v>
      </c>
      <c r="C10467" s="4" t="str">
        <f>HYPERLINK("http://www.uniprot.org/uniprot/M5XEY9","M5XEY9")</f>
        <v>M5XEY9</v>
      </c>
      <c r="D10467" s="2" t="s">
        <v>2726</v>
      </c>
      <c r="E10467" s="3">
        <v>0</v>
      </c>
      <c r="F10467" s="2">
        <v>1592</v>
      </c>
      <c r="G10467" s="2">
        <v>94</v>
      </c>
      <c r="H10467" s="2">
        <v>319</v>
      </c>
      <c r="I10467" s="2">
        <v>159</v>
      </c>
      <c r="J10467" s="2">
        <v>1115</v>
      </c>
      <c r="K10467" s="2">
        <v>1</v>
      </c>
      <c r="L10467" s="2">
        <v>319</v>
      </c>
    </row>
    <row r="10468" spans="1:12" x14ac:dyDescent="0.25">
      <c r="A10468" s="4" t="str">
        <f>HYPERLINK("http://www.rosaceae.org/Prunus/Prunus_persica/p.persica_gdr_reftransV1_0045044","p.persica_gdr_reftransV1_0045044")</f>
        <v>p.persica_gdr_reftransV1_0045044</v>
      </c>
      <c r="B10468" s="2">
        <v>1767</v>
      </c>
      <c r="C10468" s="4" t="str">
        <f>HYPERLINK("http://www.uniprot.org/uniprot/M5WZY3","M5WZY3")</f>
        <v>M5WZY3</v>
      </c>
      <c r="D10468" s="2" t="s">
        <v>8966</v>
      </c>
      <c r="E10468" s="3">
        <v>0</v>
      </c>
      <c r="F10468" s="2">
        <v>2283</v>
      </c>
      <c r="G10468" s="2">
        <v>100</v>
      </c>
      <c r="H10468" s="2">
        <v>435</v>
      </c>
      <c r="I10468" s="2">
        <v>224</v>
      </c>
      <c r="J10468" s="2">
        <v>1528</v>
      </c>
      <c r="K10468" s="2">
        <v>1</v>
      </c>
      <c r="L10468" s="2">
        <v>435</v>
      </c>
    </row>
    <row r="10469" spans="1:12" x14ac:dyDescent="0.25">
      <c r="A10469" s="4" t="str">
        <f>HYPERLINK("http://www.rosaceae.org/Prunus/Prunus_persica/p.persica_gdr_reftransV1_0045394","p.persica_gdr_reftransV1_0045394")</f>
        <v>p.persica_gdr_reftransV1_0045394</v>
      </c>
      <c r="B10469" s="2">
        <v>1547</v>
      </c>
      <c r="C10469" s="4" t="str">
        <f>HYPERLINK("http://www.uniprot.org/uniprot/M5XEQ4","M5XEQ4")</f>
        <v>M5XEQ4</v>
      </c>
      <c r="D10469" s="2" t="s">
        <v>3562</v>
      </c>
      <c r="E10469" s="3">
        <v>0</v>
      </c>
      <c r="F10469" s="2">
        <v>1876</v>
      </c>
      <c r="G10469" s="2">
        <v>100</v>
      </c>
      <c r="H10469" s="2">
        <v>380</v>
      </c>
      <c r="I10469" s="2">
        <v>223</v>
      </c>
      <c r="J10469" s="2">
        <v>1362</v>
      </c>
      <c r="K10469" s="2">
        <v>1</v>
      </c>
      <c r="L10469" s="2">
        <v>380</v>
      </c>
    </row>
    <row r="10470" spans="1:12" x14ac:dyDescent="0.25">
      <c r="A10470" s="4" t="str">
        <f>HYPERLINK("http://www.rosaceae.org/Prunus/Prunus_persica/p.persica_gdr_reftransV1_0046094","p.persica_gdr_reftransV1_0046094")</f>
        <v>p.persica_gdr_reftransV1_0046094</v>
      </c>
      <c r="B10470" s="2">
        <v>3083</v>
      </c>
      <c r="C10470" s="4" t="str">
        <f>HYPERLINK("http://www.uniprot.org/uniprot/S4UL41","S4UL41")</f>
        <v>S4UL41</v>
      </c>
      <c r="D10470" s="2" t="s">
        <v>8967</v>
      </c>
      <c r="E10470" s="3">
        <v>0</v>
      </c>
      <c r="F10470" s="2">
        <v>4113</v>
      </c>
      <c r="G10470" s="2">
        <v>87</v>
      </c>
      <c r="H10470" s="2">
        <v>919</v>
      </c>
      <c r="I10470" s="2">
        <v>109</v>
      </c>
      <c r="J10470" s="2">
        <v>2859</v>
      </c>
      <c r="K10470" s="2">
        <v>1</v>
      </c>
      <c r="L10470" s="2">
        <v>914</v>
      </c>
    </row>
    <row r="10471" spans="1:12" x14ac:dyDescent="0.25">
      <c r="A10471" s="4" t="str">
        <f>HYPERLINK("http://www.rosaceae.org/Prunus/Prunus_persica/p.persica_gdr_reftransV1_0046444","p.persica_gdr_reftransV1_0046444")</f>
        <v>p.persica_gdr_reftransV1_0046444</v>
      </c>
      <c r="B10471" s="2">
        <v>362</v>
      </c>
      <c r="C10471" s="4" t="str">
        <f>HYPERLINK("http://www.uniprot.org/uniprot/M5X896","M5X896")</f>
        <v>M5X896</v>
      </c>
      <c r="D10471" s="2" t="s">
        <v>8968</v>
      </c>
      <c r="E10471" s="3">
        <v>3.0200000000000002E-57</v>
      </c>
      <c r="F10471" s="2">
        <v>513</v>
      </c>
      <c r="G10471" s="2">
        <v>94</v>
      </c>
      <c r="H10471" s="2">
        <v>120</v>
      </c>
      <c r="I10471" s="2">
        <v>1</v>
      </c>
      <c r="J10471" s="2">
        <v>360</v>
      </c>
      <c r="K10471" s="2">
        <v>1168</v>
      </c>
      <c r="L10471" s="2">
        <v>1287</v>
      </c>
    </row>
    <row r="10472" spans="1:12" x14ac:dyDescent="0.25">
      <c r="A10472" s="4" t="str">
        <f>HYPERLINK("http://www.rosaceae.org/Prunus/Prunus_persica/p.persica_gdr_reftransV1_0046794","p.persica_gdr_reftransV1_0046794")</f>
        <v>p.persica_gdr_reftransV1_0046794</v>
      </c>
      <c r="B10472" s="2">
        <v>997</v>
      </c>
      <c r="C10472" s="4" t="str">
        <f>HYPERLINK("http://www.uniprot.org/uniprot/A0A061GSI6","A0A061GSI6")</f>
        <v>A0A061GSI6</v>
      </c>
      <c r="D10472" s="2" t="s">
        <v>8969</v>
      </c>
      <c r="E10472" s="3">
        <v>9.0399999999999996E-48</v>
      </c>
      <c r="F10472" s="2">
        <v>426</v>
      </c>
      <c r="G10472" s="2">
        <v>76</v>
      </c>
      <c r="H10472" s="2">
        <v>101</v>
      </c>
      <c r="I10472" s="2">
        <v>257</v>
      </c>
      <c r="J10472" s="2">
        <v>559</v>
      </c>
      <c r="K10472" s="2">
        <v>31</v>
      </c>
      <c r="L10472" s="2">
        <v>131</v>
      </c>
    </row>
    <row r="10473" spans="1:12" x14ac:dyDescent="0.25">
      <c r="A10473" s="4" t="str">
        <f>HYPERLINK("http://www.rosaceae.org/Prunus/Prunus_persica/p.persica_gdr_reftransV1_0047144","p.persica_gdr_reftransV1_0047144")</f>
        <v>p.persica_gdr_reftransV1_0047144</v>
      </c>
      <c r="B10473" s="2">
        <v>2894</v>
      </c>
      <c r="C10473" s="4" t="str">
        <f>HYPERLINK("http://www.uniprot.org/uniprot/M5WQP6","M5WQP6")</f>
        <v>M5WQP6</v>
      </c>
      <c r="D10473" s="2" t="s">
        <v>6309</v>
      </c>
      <c r="E10473" s="3">
        <v>0</v>
      </c>
      <c r="F10473" s="2">
        <v>3236</v>
      </c>
      <c r="G10473" s="2">
        <v>100</v>
      </c>
      <c r="H10473" s="2">
        <v>607</v>
      </c>
      <c r="I10473" s="2">
        <v>469</v>
      </c>
      <c r="J10473" s="2">
        <v>2289</v>
      </c>
      <c r="K10473" s="2">
        <v>1</v>
      </c>
      <c r="L10473" s="2">
        <v>607</v>
      </c>
    </row>
    <row r="10474" spans="1:12" x14ac:dyDescent="0.25">
      <c r="A10474" s="4" t="str">
        <f>HYPERLINK("http://www.rosaceae.org/Prunus/Prunus_persica/p.persica_gdr_reftransV1_0048194","p.persica_gdr_reftransV1_0048194")</f>
        <v>p.persica_gdr_reftransV1_0048194</v>
      </c>
      <c r="B10474" s="2">
        <v>555</v>
      </c>
      <c r="C10474" s="4" t="str">
        <f>HYPERLINK("http://www.uniprot.org/uniprot/W9SCB1","W9SCB1")</f>
        <v>W9SCB1</v>
      </c>
      <c r="D10474" s="2" t="s">
        <v>8970</v>
      </c>
      <c r="E10474" s="3">
        <v>7.46E-112</v>
      </c>
      <c r="F10474" s="2">
        <v>873</v>
      </c>
      <c r="G10474" s="2">
        <v>88</v>
      </c>
      <c r="H10474" s="2">
        <v>184</v>
      </c>
      <c r="I10474" s="2">
        <v>2</v>
      </c>
      <c r="J10474" s="2">
        <v>553</v>
      </c>
      <c r="K10474" s="2">
        <v>83</v>
      </c>
      <c r="L10474" s="2">
        <v>266</v>
      </c>
    </row>
    <row r="10475" spans="1:12" x14ac:dyDescent="0.25">
      <c r="A10475" s="4" t="str">
        <f>HYPERLINK("http://www.rosaceae.org/Prunus/Prunus_persica/p.persica_gdr_reftransV1_0048544","p.persica_gdr_reftransV1_0048544")</f>
        <v>p.persica_gdr_reftransV1_0048544</v>
      </c>
      <c r="B10475" s="2">
        <v>360</v>
      </c>
      <c r="C10475" s="4" t="str">
        <f>HYPERLINK("http://www.uniprot.org/uniprot/M5Y697","M5Y697")</f>
        <v>M5Y697</v>
      </c>
      <c r="D10475" s="2" t="s">
        <v>5542</v>
      </c>
      <c r="E10475" s="3">
        <v>7.1000000000000001E-62</v>
      </c>
      <c r="F10475" s="2">
        <v>539</v>
      </c>
      <c r="G10475" s="2">
        <v>100</v>
      </c>
      <c r="H10475" s="2">
        <v>119</v>
      </c>
      <c r="I10475" s="2">
        <v>3</v>
      </c>
      <c r="J10475" s="2">
        <v>359</v>
      </c>
      <c r="K10475" s="2">
        <v>175</v>
      </c>
      <c r="L10475" s="2">
        <v>293</v>
      </c>
    </row>
    <row r="10476" spans="1:12" x14ac:dyDescent="0.25">
      <c r="A10476" s="4" t="str">
        <f>HYPERLINK("http://www.rosaceae.org/Prunus/Prunus_persica/p.persica_gdr_reftransV1_0048894","p.persica_gdr_reftransV1_0048894")</f>
        <v>p.persica_gdr_reftransV1_0048894</v>
      </c>
      <c r="B10476" s="2">
        <v>316</v>
      </c>
      <c r="C10476" s="4" t="str">
        <f>HYPERLINK("http://www.uniprot.org/uniprot/M5WZK8","M5WZK8")</f>
        <v>M5WZK8</v>
      </c>
      <c r="D10476" s="2" t="s">
        <v>2645</v>
      </c>
      <c r="E10476" s="3">
        <v>1.7200000000000001E-43</v>
      </c>
      <c r="F10476" s="2">
        <v>408</v>
      </c>
      <c r="G10476" s="2">
        <v>94</v>
      </c>
      <c r="H10476" s="2">
        <v>95</v>
      </c>
      <c r="I10476" s="2">
        <v>33</v>
      </c>
      <c r="J10476" s="2">
        <v>314</v>
      </c>
      <c r="K10476" s="2">
        <v>1</v>
      </c>
      <c r="L10476" s="2">
        <v>94</v>
      </c>
    </row>
    <row r="10477" spans="1:12" x14ac:dyDescent="0.25">
      <c r="A10477" s="4" t="str">
        <f>HYPERLINK("http://www.rosaceae.org/Prunus/Prunus_persica/p.persica_gdr_reftransV1_0000245","p.persica_gdr_reftransV1_0000245")</f>
        <v>p.persica_gdr_reftransV1_0000245</v>
      </c>
      <c r="B10477" s="2">
        <v>2555</v>
      </c>
      <c r="C10477" s="4" t="str">
        <f>HYPERLINK("http://www.uniprot.org/uniprot/M5XWF5","M5XWF5")</f>
        <v>M5XWF5</v>
      </c>
      <c r="D10477" s="2" t="s">
        <v>8971</v>
      </c>
      <c r="E10477" s="3">
        <v>0</v>
      </c>
      <c r="F10477" s="2">
        <v>2639</v>
      </c>
      <c r="G10477" s="2">
        <v>100</v>
      </c>
      <c r="H10477" s="2">
        <v>531</v>
      </c>
      <c r="I10477" s="2">
        <v>413</v>
      </c>
      <c r="J10477" s="2">
        <v>2005</v>
      </c>
      <c r="K10477" s="2">
        <v>9</v>
      </c>
      <c r="L10477" s="2">
        <v>539</v>
      </c>
    </row>
    <row r="10478" spans="1:12" x14ac:dyDescent="0.25">
      <c r="A10478" s="4" t="str">
        <f>HYPERLINK("http://www.rosaceae.org/Prunus/Prunus_persica/p.persica_gdr_reftransV1_0000595","p.persica_gdr_reftransV1_0000595")</f>
        <v>p.persica_gdr_reftransV1_0000595</v>
      </c>
      <c r="B10478" s="2">
        <v>463</v>
      </c>
      <c r="C10478" s="4" t="str">
        <f>HYPERLINK("http://www.uniprot.org/uniprot/M5XG21","M5XG21")</f>
        <v>M5XG21</v>
      </c>
      <c r="D10478" s="2" t="s">
        <v>8972</v>
      </c>
      <c r="E10478" s="3">
        <v>6.0799999999999998E-77</v>
      </c>
      <c r="F10478" s="2">
        <v>601</v>
      </c>
      <c r="G10478" s="2">
        <v>100</v>
      </c>
      <c r="H10478" s="2">
        <v>114</v>
      </c>
      <c r="I10478" s="2">
        <v>102</v>
      </c>
      <c r="J10478" s="2">
        <v>443</v>
      </c>
      <c r="K10478" s="2">
        <v>1</v>
      </c>
      <c r="L10478" s="2">
        <v>114</v>
      </c>
    </row>
    <row r="10479" spans="1:12" x14ac:dyDescent="0.25">
      <c r="A10479" s="4" t="str">
        <f>HYPERLINK("http://www.rosaceae.org/Prunus/Prunus_persica/p.persica_gdr_reftransV1_0000945","p.persica_gdr_reftransV1_0000945")</f>
        <v>p.persica_gdr_reftransV1_0000945</v>
      </c>
      <c r="B10479" s="2">
        <v>561</v>
      </c>
      <c r="C10479" s="4" t="str">
        <f>HYPERLINK("http://www.uniprot.org/uniprot/M5XRM0","M5XRM0")</f>
        <v>M5XRM0</v>
      </c>
      <c r="D10479" s="2" t="s">
        <v>3585</v>
      </c>
      <c r="E10479" s="3">
        <v>2.8499999999999999E-78</v>
      </c>
      <c r="F10479" s="2">
        <v>638</v>
      </c>
      <c r="G10479" s="2">
        <v>100</v>
      </c>
      <c r="H10479" s="2">
        <v>140</v>
      </c>
      <c r="I10479" s="2">
        <v>1</v>
      </c>
      <c r="J10479" s="2">
        <v>420</v>
      </c>
      <c r="K10479" s="2">
        <v>256</v>
      </c>
      <c r="L10479" s="2">
        <v>395</v>
      </c>
    </row>
    <row r="10480" spans="1:12" x14ac:dyDescent="0.25">
      <c r="A10480" s="4" t="str">
        <f>HYPERLINK("http://www.rosaceae.org/Prunus/Prunus_persica/p.persica_gdr_reftransV1_0001295","p.persica_gdr_reftransV1_0001295")</f>
        <v>p.persica_gdr_reftransV1_0001295</v>
      </c>
      <c r="B10480" s="2">
        <v>5205</v>
      </c>
      <c r="C10480" s="4" t="str">
        <f>HYPERLINK("http://www.uniprot.org/uniprot/M5XEZ7","M5XEZ7")</f>
        <v>M5XEZ7</v>
      </c>
      <c r="D10480" s="2" t="s">
        <v>3763</v>
      </c>
      <c r="E10480" s="3">
        <v>0</v>
      </c>
      <c r="F10480" s="2">
        <v>3363</v>
      </c>
      <c r="G10480" s="2">
        <v>90</v>
      </c>
      <c r="H10480" s="2">
        <v>874</v>
      </c>
      <c r="I10480" s="2">
        <v>1022</v>
      </c>
      <c r="J10480" s="2">
        <v>3643</v>
      </c>
      <c r="K10480" s="2">
        <v>347</v>
      </c>
      <c r="L10480" s="2">
        <v>1140</v>
      </c>
    </row>
    <row r="10481" spans="1:12" x14ac:dyDescent="0.25">
      <c r="A10481" s="4" t="str">
        <f>HYPERLINK("http://www.rosaceae.org/Prunus/Prunus_persica/p.persica_gdr_reftransV1_0001645","p.persica_gdr_reftransV1_0001645")</f>
        <v>p.persica_gdr_reftransV1_0001645</v>
      </c>
      <c r="B10481" s="2">
        <v>466</v>
      </c>
      <c r="C10481" s="4" t="str">
        <f>HYPERLINK("http://www.uniprot.org/uniprot/M5VVY6","M5VVY6")</f>
        <v>M5VVY6</v>
      </c>
      <c r="D10481" s="2" t="s">
        <v>8973</v>
      </c>
      <c r="E10481" s="3">
        <v>3.4800000000000002E-106</v>
      </c>
      <c r="F10481" s="2">
        <v>825</v>
      </c>
      <c r="G10481" s="2">
        <v>100</v>
      </c>
      <c r="H10481" s="2">
        <v>155</v>
      </c>
      <c r="I10481" s="2">
        <v>1</v>
      </c>
      <c r="J10481" s="2">
        <v>465</v>
      </c>
      <c r="K10481" s="2">
        <v>116</v>
      </c>
      <c r="L10481" s="2">
        <v>270</v>
      </c>
    </row>
    <row r="10482" spans="1:12" x14ac:dyDescent="0.25">
      <c r="A10482" s="4" t="str">
        <f>HYPERLINK("http://www.rosaceae.org/Prunus/Prunus_persica/p.persica_gdr_reftransV1_0002345","p.persica_gdr_reftransV1_0002345")</f>
        <v>p.persica_gdr_reftransV1_0002345</v>
      </c>
      <c r="B10482" s="2">
        <v>1474</v>
      </c>
      <c r="C10482" s="4" t="str">
        <f>HYPERLINK("http://www.uniprot.org/uniprot/M5W0A4","M5W0A4")</f>
        <v>M5W0A4</v>
      </c>
      <c r="D10482" s="2" t="s">
        <v>8974</v>
      </c>
      <c r="E10482" s="3">
        <v>1.8999999999999999E-110</v>
      </c>
      <c r="F10482" s="2">
        <v>876</v>
      </c>
      <c r="G10482" s="2">
        <v>100</v>
      </c>
      <c r="H10482" s="2">
        <v>299</v>
      </c>
      <c r="I10482" s="2">
        <v>370</v>
      </c>
      <c r="J10482" s="2">
        <v>1266</v>
      </c>
      <c r="K10482" s="2">
        <v>16</v>
      </c>
      <c r="L10482" s="2">
        <v>314</v>
      </c>
    </row>
    <row r="10483" spans="1:12" x14ac:dyDescent="0.25">
      <c r="A10483" s="4" t="str">
        <f>HYPERLINK("http://www.rosaceae.org/Prunus/Prunus_persica/p.persica_gdr_reftransV1_0002695","p.persica_gdr_reftransV1_0002695")</f>
        <v>p.persica_gdr_reftransV1_0002695</v>
      </c>
      <c r="B10483" s="2">
        <v>1153</v>
      </c>
      <c r="C10483" s="4" t="str">
        <f>HYPERLINK("http://www.uniprot.org/uniprot/M5XYI9","M5XYI9")</f>
        <v>M5XYI9</v>
      </c>
      <c r="D10483" s="2" t="s">
        <v>8975</v>
      </c>
      <c r="E10483" s="3">
        <v>4.0100000000000003E-148</v>
      </c>
      <c r="F10483" s="2">
        <v>1111</v>
      </c>
      <c r="G10483" s="2">
        <v>100</v>
      </c>
      <c r="H10483" s="2">
        <v>267</v>
      </c>
      <c r="I10483" s="2">
        <v>82</v>
      </c>
      <c r="J10483" s="2">
        <v>882</v>
      </c>
      <c r="K10483" s="2">
        <v>1</v>
      </c>
      <c r="L10483" s="2">
        <v>267</v>
      </c>
    </row>
    <row r="10484" spans="1:12" x14ac:dyDescent="0.25">
      <c r="A10484" s="4" t="str">
        <f>HYPERLINK("http://www.rosaceae.org/Prunus/Prunus_persica/p.persica_gdr_reftransV1_0003045","p.persica_gdr_reftransV1_0003045")</f>
        <v>p.persica_gdr_reftransV1_0003045</v>
      </c>
      <c r="B10484" s="2">
        <v>371</v>
      </c>
      <c r="C10484" s="4" t="str">
        <f>HYPERLINK("http://www.uniprot.org/uniprot/A0A093YZP1","A0A093YZP1")</f>
        <v>A0A093YZP1</v>
      </c>
      <c r="D10484" s="2" t="s">
        <v>8976</v>
      </c>
      <c r="E10484" s="3">
        <v>3.1200000000000001E-85</v>
      </c>
      <c r="F10484" s="2">
        <v>664</v>
      </c>
      <c r="G10484" s="2">
        <v>100</v>
      </c>
      <c r="H10484" s="2">
        <v>123</v>
      </c>
      <c r="I10484" s="2">
        <v>2</v>
      </c>
      <c r="J10484" s="2">
        <v>370</v>
      </c>
      <c r="K10484" s="2">
        <v>77</v>
      </c>
      <c r="L10484" s="2">
        <v>199</v>
      </c>
    </row>
    <row r="10485" spans="1:12" x14ac:dyDescent="0.25">
      <c r="A10485" s="4" t="str">
        <f>HYPERLINK("http://www.rosaceae.org/Prunus/Prunus_persica/p.persica_gdr_reftransV1_0003395","p.persica_gdr_reftransV1_0003395")</f>
        <v>p.persica_gdr_reftransV1_0003395</v>
      </c>
      <c r="B10485" s="2">
        <v>1054</v>
      </c>
      <c r="C10485" s="4" t="str">
        <f>HYPERLINK("http://www.uniprot.org/uniprot/M5XUW9","M5XUW9")</f>
        <v>M5XUW9</v>
      </c>
      <c r="D10485" s="2" t="s">
        <v>1401</v>
      </c>
      <c r="E10485" s="3">
        <v>0</v>
      </c>
      <c r="F10485" s="2">
        <v>1887</v>
      </c>
      <c r="G10485" s="2">
        <v>100</v>
      </c>
      <c r="H10485" s="2">
        <v>349</v>
      </c>
      <c r="I10485" s="2">
        <v>6</v>
      </c>
      <c r="J10485" s="2">
        <v>1052</v>
      </c>
      <c r="K10485" s="2">
        <v>181</v>
      </c>
      <c r="L10485" s="2">
        <v>529</v>
      </c>
    </row>
    <row r="10486" spans="1:12" x14ac:dyDescent="0.25">
      <c r="A10486" s="4" t="str">
        <f>HYPERLINK("http://www.rosaceae.org/Prunus/Prunus_persica/p.persica_gdr_reftransV1_0003745","p.persica_gdr_reftransV1_0003745")</f>
        <v>p.persica_gdr_reftransV1_0003745</v>
      </c>
      <c r="B10486" s="2">
        <v>2998</v>
      </c>
      <c r="C10486" s="4" t="str">
        <f>HYPERLINK("http://www.uniprot.org/uniprot/M5WNL4","M5WNL4")</f>
        <v>M5WNL4</v>
      </c>
      <c r="D10486" s="2" t="s">
        <v>8977</v>
      </c>
      <c r="E10486" s="3">
        <v>0</v>
      </c>
      <c r="F10486" s="2">
        <v>4122</v>
      </c>
      <c r="G10486" s="2">
        <v>100</v>
      </c>
      <c r="H10486" s="2">
        <v>820</v>
      </c>
      <c r="I10486" s="2">
        <v>250</v>
      </c>
      <c r="J10486" s="2">
        <v>2709</v>
      </c>
      <c r="K10486" s="2">
        <v>1</v>
      </c>
      <c r="L10486" s="2">
        <v>820</v>
      </c>
    </row>
    <row r="10487" spans="1:12" x14ac:dyDescent="0.25">
      <c r="A10487" s="4" t="str">
        <f>HYPERLINK("http://www.rosaceae.org/Prunus/Prunus_persica/p.persica_gdr_reftransV1_0004445","p.persica_gdr_reftransV1_0004445")</f>
        <v>p.persica_gdr_reftransV1_0004445</v>
      </c>
      <c r="B10487" s="2">
        <v>2477</v>
      </c>
      <c r="C10487" s="4" t="str">
        <f>HYPERLINK("http://www.uniprot.org/uniprot/M5VG80","M5VG80")</f>
        <v>M5VG80</v>
      </c>
      <c r="D10487" s="2" t="s">
        <v>2708</v>
      </c>
      <c r="E10487" s="3">
        <v>2.85E-169</v>
      </c>
      <c r="F10487" s="2">
        <v>1298</v>
      </c>
      <c r="G10487" s="2">
        <v>86</v>
      </c>
      <c r="H10487" s="2">
        <v>323</v>
      </c>
      <c r="I10487" s="2">
        <v>191</v>
      </c>
      <c r="J10487" s="2">
        <v>1033</v>
      </c>
      <c r="K10487" s="2">
        <v>1</v>
      </c>
      <c r="L10487" s="2">
        <v>323</v>
      </c>
    </row>
    <row r="10488" spans="1:12" x14ac:dyDescent="0.25">
      <c r="A10488" s="4" t="str">
        <f>HYPERLINK("http://www.rosaceae.org/Prunus/Prunus_persica/p.persica_gdr_reftransV1_0005145","p.persica_gdr_reftransV1_0005145")</f>
        <v>p.persica_gdr_reftransV1_0005145</v>
      </c>
      <c r="B10488" s="2">
        <v>836</v>
      </c>
      <c r="C10488" s="4" t="str">
        <f>HYPERLINK("http://www.uniprot.org/uniprot/M5W4I5","M5W4I5")</f>
        <v>M5W4I5</v>
      </c>
      <c r="D10488" s="2" t="s">
        <v>2770</v>
      </c>
      <c r="E10488" s="3">
        <v>5.2999999999999999E-108</v>
      </c>
      <c r="F10488" s="2">
        <v>850</v>
      </c>
      <c r="G10488" s="2">
        <v>100</v>
      </c>
      <c r="H10488" s="2">
        <v>215</v>
      </c>
      <c r="I10488" s="2">
        <v>150</v>
      </c>
      <c r="J10488" s="2">
        <v>794</v>
      </c>
      <c r="K10488" s="2">
        <v>222</v>
      </c>
      <c r="L10488" s="2">
        <v>436</v>
      </c>
    </row>
    <row r="10489" spans="1:12" x14ac:dyDescent="0.25">
      <c r="A10489" s="4" t="str">
        <f>HYPERLINK("http://www.rosaceae.org/Prunus/Prunus_persica/p.persica_gdr_reftransV1_0005845","p.persica_gdr_reftransV1_0005845")</f>
        <v>p.persica_gdr_reftransV1_0005845</v>
      </c>
      <c r="B10489" s="2">
        <v>388</v>
      </c>
      <c r="C10489" s="4" t="str">
        <f>HYPERLINK("http://www.uniprot.org/uniprot/M5X764","M5X764")</f>
        <v>M5X764</v>
      </c>
      <c r="D10489" s="2" t="s">
        <v>8978</v>
      </c>
      <c r="E10489" s="3">
        <v>5.0499999999999999E-85</v>
      </c>
      <c r="F10489" s="2">
        <v>676</v>
      </c>
      <c r="G10489" s="2">
        <v>100</v>
      </c>
      <c r="H10489" s="2">
        <v>128</v>
      </c>
      <c r="I10489" s="2">
        <v>3</v>
      </c>
      <c r="J10489" s="2">
        <v>386</v>
      </c>
      <c r="K10489" s="2">
        <v>144</v>
      </c>
      <c r="L10489" s="2">
        <v>271</v>
      </c>
    </row>
    <row r="10490" spans="1:12" x14ac:dyDescent="0.25">
      <c r="A10490" s="4" t="str">
        <f>HYPERLINK("http://www.rosaceae.org/Prunus/Prunus_persica/p.persica_gdr_reftransV1_0007245","p.persica_gdr_reftransV1_0007245")</f>
        <v>p.persica_gdr_reftransV1_0007245</v>
      </c>
      <c r="B10490" s="2">
        <v>1142</v>
      </c>
      <c r="C10490" s="4" t="str">
        <f>HYPERLINK("http://www.uniprot.org/uniprot/M5WRD1","M5WRD1")</f>
        <v>M5WRD1</v>
      </c>
      <c r="D10490" s="2" t="s">
        <v>8979</v>
      </c>
      <c r="E10490" s="3">
        <v>6.9399999999999998E-128</v>
      </c>
      <c r="F10490" s="2">
        <v>968</v>
      </c>
      <c r="G10490" s="2">
        <v>100</v>
      </c>
      <c r="H10490" s="2">
        <v>184</v>
      </c>
      <c r="I10490" s="2">
        <v>292</v>
      </c>
      <c r="J10490" s="2">
        <v>843</v>
      </c>
      <c r="K10490" s="2">
        <v>1</v>
      </c>
      <c r="L10490" s="2">
        <v>184</v>
      </c>
    </row>
    <row r="10491" spans="1:12" x14ac:dyDescent="0.25">
      <c r="A10491" s="4" t="str">
        <f>HYPERLINK("http://www.rosaceae.org/Prunus/Prunus_persica/p.persica_gdr_reftransV1_0007595","p.persica_gdr_reftransV1_0007595")</f>
        <v>p.persica_gdr_reftransV1_0007595</v>
      </c>
      <c r="B10491" s="2">
        <v>501</v>
      </c>
      <c r="C10491" s="4" t="str">
        <f>HYPERLINK("http://www.uniprot.org/uniprot/A5AYS3","A5AYS3")</f>
        <v>A5AYS3</v>
      </c>
      <c r="D10491" s="2" t="s">
        <v>8980</v>
      </c>
      <c r="E10491" s="3">
        <v>2.9800000000000003E-14</v>
      </c>
      <c r="F10491" s="2">
        <v>194</v>
      </c>
      <c r="G10491" s="2">
        <v>31</v>
      </c>
      <c r="H10491" s="2">
        <v>202</v>
      </c>
      <c r="I10491" s="2">
        <v>61</v>
      </c>
      <c r="J10491" s="2">
        <v>498</v>
      </c>
      <c r="K10491" s="2">
        <v>109</v>
      </c>
      <c r="L10491" s="2">
        <v>307</v>
      </c>
    </row>
    <row r="10492" spans="1:12" x14ac:dyDescent="0.25">
      <c r="A10492" s="4" t="str">
        <f>HYPERLINK("http://www.rosaceae.org/Prunus/Prunus_persica/p.persica_gdr_reftransV1_0008295","p.persica_gdr_reftransV1_0008295")</f>
        <v>p.persica_gdr_reftransV1_0008295</v>
      </c>
      <c r="B10492" s="2">
        <v>1238</v>
      </c>
      <c r="C10492" s="4" t="str">
        <f>HYPERLINK("http://www.uniprot.org/uniprot/E3W0H4","E3W0H4")</f>
        <v>E3W0H4</v>
      </c>
      <c r="D10492" s="2" t="s">
        <v>8981</v>
      </c>
      <c r="E10492" s="3">
        <v>0</v>
      </c>
      <c r="F10492" s="2">
        <v>1555</v>
      </c>
      <c r="G10492" s="2">
        <v>100</v>
      </c>
      <c r="H10492" s="2">
        <v>294</v>
      </c>
      <c r="I10492" s="2">
        <v>2</v>
      </c>
      <c r="J10492" s="2">
        <v>883</v>
      </c>
      <c r="K10492" s="2">
        <v>213</v>
      </c>
      <c r="L10492" s="2">
        <v>506</v>
      </c>
    </row>
    <row r="10493" spans="1:12" x14ac:dyDescent="0.25">
      <c r="A10493" s="4" t="str">
        <f>HYPERLINK("http://www.rosaceae.org/Prunus/Prunus_persica/p.persica_gdr_reftransV1_0008645","p.persica_gdr_reftransV1_0008645")</f>
        <v>p.persica_gdr_reftransV1_0008645</v>
      </c>
      <c r="B10493" s="2">
        <v>1023</v>
      </c>
      <c r="C10493" s="4" t="str">
        <f>HYPERLINK("http://www.uniprot.org/uniprot/M5XQX6","M5XQX6")</f>
        <v>M5XQX6</v>
      </c>
      <c r="D10493" s="2" t="s">
        <v>8982</v>
      </c>
      <c r="E10493" s="3">
        <v>0</v>
      </c>
      <c r="F10493" s="2">
        <v>1760</v>
      </c>
      <c r="G10493" s="2">
        <v>100</v>
      </c>
      <c r="H10493" s="2">
        <v>341</v>
      </c>
      <c r="I10493" s="2">
        <v>1</v>
      </c>
      <c r="J10493" s="2">
        <v>1023</v>
      </c>
      <c r="K10493" s="2">
        <v>30</v>
      </c>
      <c r="L10493" s="2">
        <v>370</v>
      </c>
    </row>
    <row r="10494" spans="1:12" x14ac:dyDescent="0.25">
      <c r="A10494" s="4" t="str">
        <f>HYPERLINK("http://www.rosaceae.org/Prunus/Prunus_persica/p.persica_gdr_reftransV1_0008995","p.persica_gdr_reftransV1_0008995")</f>
        <v>p.persica_gdr_reftransV1_0008995</v>
      </c>
      <c r="B10494" s="2">
        <v>1566</v>
      </c>
      <c r="C10494" s="4" t="str">
        <f>HYPERLINK("http://www.uniprot.org/uniprot/M5XU81","M5XU81")</f>
        <v>M5XU81</v>
      </c>
      <c r="D10494" s="2" t="s">
        <v>8983</v>
      </c>
      <c r="E10494" s="3">
        <v>0</v>
      </c>
      <c r="F10494" s="2">
        <v>1426</v>
      </c>
      <c r="G10494" s="2">
        <v>100</v>
      </c>
      <c r="H10494" s="2">
        <v>276</v>
      </c>
      <c r="I10494" s="2">
        <v>360</v>
      </c>
      <c r="J10494" s="2">
        <v>1187</v>
      </c>
      <c r="K10494" s="2">
        <v>1</v>
      </c>
      <c r="L10494" s="2">
        <v>276</v>
      </c>
    </row>
    <row r="10495" spans="1:12" x14ac:dyDescent="0.25">
      <c r="A10495" s="4" t="str">
        <f>HYPERLINK("http://www.rosaceae.org/Prunus/Prunus_persica/p.persica_gdr_reftransV1_0009345","p.persica_gdr_reftransV1_0009345")</f>
        <v>p.persica_gdr_reftransV1_0009345</v>
      </c>
      <c r="B10495" s="2">
        <v>581</v>
      </c>
      <c r="C10495" s="4" t="str">
        <f>HYPERLINK("http://www.uniprot.org/uniprot/M5WWP6","M5WWP6")</f>
        <v>M5WWP6</v>
      </c>
      <c r="D10495" s="2" t="s">
        <v>7926</v>
      </c>
      <c r="E10495" s="3">
        <v>2.08E-91</v>
      </c>
      <c r="F10495" s="2">
        <v>709</v>
      </c>
      <c r="G10495" s="2">
        <v>100</v>
      </c>
      <c r="H10495" s="2">
        <v>152</v>
      </c>
      <c r="I10495" s="2">
        <v>2</v>
      </c>
      <c r="J10495" s="2">
        <v>457</v>
      </c>
      <c r="K10495" s="2">
        <v>44</v>
      </c>
      <c r="L10495" s="2">
        <v>195</v>
      </c>
    </row>
    <row r="10496" spans="1:12" x14ac:dyDescent="0.25">
      <c r="A10496" s="4" t="str">
        <f>HYPERLINK("http://www.rosaceae.org/Prunus/Prunus_persica/p.persica_gdr_reftransV1_0010045","p.persica_gdr_reftransV1_0010045")</f>
        <v>p.persica_gdr_reftransV1_0010045</v>
      </c>
      <c r="B10496" s="2">
        <v>1929</v>
      </c>
      <c r="C10496" s="4" t="str">
        <f>HYPERLINK("http://www.uniprot.org/uniprot/M5VRD1","M5VRD1")</f>
        <v>M5VRD1</v>
      </c>
      <c r="D10496" s="2" t="s">
        <v>8984</v>
      </c>
      <c r="E10496" s="3">
        <v>4.21E-124</v>
      </c>
      <c r="F10496" s="2">
        <v>983</v>
      </c>
      <c r="G10496" s="2">
        <v>99</v>
      </c>
      <c r="H10496" s="2">
        <v>199</v>
      </c>
      <c r="I10496" s="2">
        <v>995</v>
      </c>
      <c r="J10496" s="2">
        <v>1591</v>
      </c>
      <c r="K10496" s="2">
        <v>138</v>
      </c>
      <c r="L10496" s="2">
        <v>336</v>
      </c>
    </row>
    <row r="10497" spans="1:12" x14ac:dyDescent="0.25">
      <c r="A10497" s="4" t="str">
        <f>HYPERLINK("http://www.rosaceae.org/Prunus/Prunus_persica/p.persica_gdr_reftransV1_0011095","p.persica_gdr_reftransV1_0011095")</f>
        <v>p.persica_gdr_reftransV1_0011095</v>
      </c>
      <c r="B10497" s="2">
        <v>1137</v>
      </c>
      <c r="C10497" s="4" t="str">
        <f>HYPERLINK("http://www.uniprot.org/uniprot/M5Y394","M5Y394")</f>
        <v>M5Y394</v>
      </c>
      <c r="D10497" s="2" t="s">
        <v>5477</v>
      </c>
      <c r="E10497" s="3">
        <v>0</v>
      </c>
      <c r="F10497" s="2">
        <v>1770</v>
      </c>
      <c r="G10497" s="2">
        <v>100</v>
      </c>
      <c r="H10497" s="2">
        <v>341</v>
      </c>
      <c r="I10497" s="2">
        <v>2</v>
      </c>
      <c r="J10497" s="2">
        <v>1024</v>
      </c>
      <c r="K10497" s="2">
        <v>469</v>
      </c>
      <c r="L10497" s="2">
        <v>809</v>
      </c>
    </row>
    <row r="10498" spans="1:12" x14ac:dyDescent="0.25">
      <c r="A10498" s="4" t="str">
        <f>HYPERLINK("http://www.rosaceae.org/Prunus/Prunus_persica/p.persica_gdr_reftransV1_0011445","p.persica_gdr_reftransV1_0011445")</f>
        <v>p.persica_gdr_reftransV1_0011445</v>
      </c>
      <c r="B10498" s="2">
        <v>1452</v>
      </c>
      <c r="C10498" s="4" t="str">
        <f>HYPERLINK("http://www.uniprot.org/uniprot/M5WA28","M5WA28")</f>
        <v>M5WA28</v>
      </c>
      <c r="D10498" s="2" t="s">
        <v>8985</v>
      </c>
      <c r="E10498" s="3">
        <v>8.1599999999999996E-150</v>
      </c>
      <c r="F10498" s="2">
        <v>1135</v>
      </c>
      <c r="G10498" s="2">
        <v>88</v>
      </c>
      <c r="H10498" s="2">
        <v>340</v>
      </c>
      <c r="I10498" s="2">
        <v>268</v>
      </c>
      <c r="J10498" s="2">
        <v>1287</v>
      </c>
      <c r="K10498" s="2">
        <v>1</v>
      </c>
      <c r="L10498" s="2">
        <v>299</v>
      </c>
    </row>
    <row r="10499" spans="1:12" x14ac:dyDescent="0.25">
      <c r="A10499" s="4" t="str">
        <f>HYPERLINK("http://www.rosaceae.org/Prunus/Prunus_persica/p.persica_gdr_reftransV1_0011795","p.persica_gdr_reftransV1_0011795")</f>
        <v>p.persica_gdr_reftransV1_0011795</v>
      </c>
      <c r="B10499" s="2">
        <v>1773</v>
      </c>
      <c r="C10499" s="4" t="str">
        <f>HYPERLINK("http://www.uniprot.org/uniprot/M5WQ20","M5WQ20")</f>
        <v>M5WQ20</v>
      </c>
      <c r="D10499" s="2" t="s">
        <v>8986</v>
      </c>
      <c r="E10499" s="3">
        <v>0</v>
      </c>
      <c r="F10499" s="2">
        <v>2462</v>
      </c>
      <c r="G10499" s="2">
        <v>100</v>
      </c>
      <c r="H10499" s="2">
        <v>497</v>
      </c>
      <c r="I10499" s="2">
        <v>250</v>
      </c>
      <c r="J10499" s="2">
        <v>1737</v>
      </c>
      <c r="K10499" s="2">
        <v>1</v>
      </c>
      <c r="L10499" s="2">
        <v>497</v>
      </c>
    </row>
    <row r="10500" spans="1:12" x14ac:dyDescent="0.25">
      <c r="A10500" s="4" t="str">
        <f>HYPERLINK("http://www.rosaceae.org/Prunus/Prunus_persica/p.persica_gdr_reftransV1_0012145","p.persica_gdr_reftransV1_0012145")</f>
        <v>p.persica_gdr_reftransV1_0012145</v>
      </c>
      <c r="B10500" s="2">
        <v>1756</v>
      </c>
      <c r="C10500" s="4" t="str">
        <f>HYPERLINK("http://www.uniprot.org/uniprot/M5WI41","M5WI41")</f>
        <v>M5WI41</v>
      </c>
      <c r="D10500" s="2" t="s">
        <v>8987</v>
      </c>
      <c r="E10500" s="3">
        <v>0</v>
      </c>
      <c r="F10500" s="2">
        <v>2223</v>
      </c>
      <c r="G10500" s="2">
        <v>100</v>
      </c>
      <c r="H10500" s="2">
        <v>420</v>
      </c>
      <c r="I10500" s="2">
        <v>384</v>
      </c>
      <c r="J10500" s="2">
        <v>1643</v>
      </c>
      <c r="K10500" s="2">
        <v>1</v>
      </c>
      <c r="L10500" s="2">
        <v>420</v>
      </c>
    </row>
    <row r="10501" spans="1:12" x14ac:dyDescent="0.25">
      <c r="A10501" s="4" t="str">
        <f>HYPERLINK("http://www.rosaceae.org/Prunus/Prunus_persica/p.persica_gdr_reftransV1_0012845","p.persica_gdr_reftransV1_0012845")</f>
        <v>p.persica_gdr_reftransV1_0012845</v>
      </c>
      <c r="B10501" s="2">
        <v>509</v>
      </c>
      <c r="C10501" s="4" t="str">
        <f>HYPERLINK("http://www.uniprot.org/uniprot/M5XGD3","M5XGD3")</f>
        <v>M5XGD3</v>
      </c>
      <c r="D10501" s="2" t="s">
        <v>8988</v>
      </c>
      <c r="E10501" s="3">
        <v>2.0499999999999999E-81</v>
      </c>
      <c r="F10501" s="2">
        <v>658</v>
      </c>
      <c r="G10501" s="2">
        <v>100</v>
      </c>
      <c r="H10501" s="2">
        <v>121</v>
      </c>
      <c r="I10501" s="2">
        <v>2</v>
      </c>
      <c r="J10501" s="2">
        <v>364</v>
      </c>
      <c r="K10501" s="2">
        <v>278</v>
      </c>
      <c r="L10501" s="2">
        <v>398</v>
      </c>
    </row>
    <row r="10502" spans="1:12" x14ac:dyDescent="0.25">
      <c r="A10502" s="4" t="str">
        <f>HYPERLINK("http://www.rosaceae.org/Prunus/Prunus_persica/p.persica_gdr_reftransV1_0013895","p.persica_gdr_reftransV1_0013895")</f>
        <v>p.persica_gdr_reftransV1_0013895</v>
      </c>
      <c r="B10502" s="2">
        <v>515</v>
      </c>
      <c r="C10502" s="4" t="str">
        <f>HYPERLINK("http://www.uniprot.org/uniprot/M5X532","M5X532")</f>
        <v>M5X532</v>
      </c>
      <c r="D10502" s="2" t="s">
        <v>8989</v>
      </c>
      <c r="E10502" s="3">
        <v>2.6599999999999999E-43</v>
      </c>
      <c r="F10502" s="2">
        <v>389</v>
      </c>
      <c r="G10502" s="2">
        <v>99</v>
      </c>
      <c r="H10502" s="2">
        <v>82</v>
      </c>
      <c r="I10502" s="2">
        <v>3</v>
      </c>
      <c r="J10502" s="2">
        <v>248</v>
      </c>
      <c r="K10502" s="2">
        <v>18</v>
      </c>
      <c r="L10502" s="2">
        <v>99</v>
      </c>
    </row>
    <row r="10503" spans="1:12" x14ac:dyDescent="0.25">
      <c r="A10503" s="4" t="str">
        <f>HYPERLINK("http://www.rosaceae.org/Prunus/Prunus_persica/p.persica_gdr_reftransV1_0014945","p.persica_gdr_reftransV1_0014945")</f>
        <v>p.persica_gdr_reftransV1_0014945</v>
      </c>
      <c r="B10503" s="2">
        <v>2349</v>
      </c>
      <c r="C10503" s="4" t="str">
        <f>HYPERLINK("http://www.uniprot.org/uniprot/M5WU61","M5WU61")</f>
        <v>M5WU61</v>
      </c>
      <c r="D10503" s="2" t="s">
        <v>8990</v>
      </c>
      <c r="E10503" s="3">
        <v>3.61E-159</v>
      </c>
      <c r="F10503" s="2">
        <v>1241</v>
      </c>
      <c r="G10503" s="2">
        <v>100</v>
      </c>
      <c r="H10503" s="2">
        <v>243</v>
      </c>
      <c r="I10503" s="2">
        <v>1225</v>
      </c>
      <c r="J10503" s="2">
        <v>1953</v>
      </c>
      <c r="K10503" s="2">
        <v>220</v>
      </c>
      <c r="L10503" s="2">
        <v>462</v>
      </c>
    </row>
    <row r="10504" spans="1:12" x14ac:dyDescent="0.25">
      <c r="A10504" s="4" t="str">
        <f>HYPERLINK("http://www.rosaceae.org/Prunus/Prunus_persica/p.persica_gdr_reftransV1_0015295","p.persica_gdr_reftransV1_0015295")</f>
        <v>p.persica_gdr_reftransV1_0015295</v>
      </c>
      <c r="B10504" s="2">
        <v>2050</v>
      </c>
      <c r="C10504" s="4" t="str">
        <f>HYPERLINK("http://www.uniprot.org/uniprot/M5VYN4","M5VYN4")</f>
        <v>M5VYN4</v>
      </c>
      <c r="D10504" s="2" t="s">
        <v>8991</v>
      </c>
      <c r="E10504" s="3">
        <v>0</v>
      </c>
      <c r="F10504" s="2">
        <v>2568</v>
      </c>
      <c r="G10504" s="2">
        <v>100</v>
      </c>
      <c r="H10504" s="2">
        <v>491</v>
      </c>
      <c r="I10504" s="2">
        <v>186</v>
      </c>
      <c r="J10504" s="2">
        <v>1658</v>
      </c>
      <c r="K10504" s="2">
        <v>54</v>
      </c>
      <c r="L10504" s="2">
        <v>544</v>
      </c>
    </row>
    <row r="10505" spans="1:12" x14ac:dyDescent="0.25">
      <c r="A10505" s="4" t="str">
        <f>HYPERLINK("http://www.rosaceae.org/Prunus/Prunus_persica/p.persica_gdr_reftransV1_0016345","p.persica_gdr_reftransV1_0016345")</f>
        <v>p.persica_gdr_reftransV1_0016345</v>
      </c>
      <c r="B10505" s="2">
        <v>3579</v>
      </c>
      <c r="C10505" s="4" t="str">
        <f>HYPERLINK("http://www.uniprot.org/uniprot/I0B558","I0B558")</f>
        <v>I0B558</v>
      </c>
      <c r="D10505" s="2" t="s">
        <v>8992</v>
      </c>
      <c r="E10505" s="3">
        <v>0</v>
      </c>
      <c r="F10505" s="2">
        <v>3983</v>
      </c>
      <c r="G10505" s="2">
        <v>100</v>
      </c>
      <c r="H10505" s="2">
        <v>742</v>
      </c>
      <c r="I10505" s="2">
        <v>829</v>
      </c>
      <c r="J10505" s="2">
        <v>3054</v>
      </c>
      <c r="K10505" s="2">
        <v>1</v>
      </c>
      <c r="L10505" s="2">
        <v>742</v>
      </c>
    </row>
    <row r="10506" spans="1:12" x14ac:dyDescent="0.25">
      <c r="A10506" s="4" t="str">
        <f>HYPERLINK("http://www.rosaceae.org/Prunus/Prunus_persica/p.persica_gdr_reftransV1_0016695","p.persica_gdr_reftransV1_0016695")</f>
        <v>p.persica_gdr_reftransV1_0016695</v>
      </c>
      <c r="B10506" s="2">
        <v>1975</v>
      </c>
      <c r="C10506" s="4" t="str">
        <f>HYPERLINK("http://www.uniprot.org/uniprot/M5W0P5","M5W0P5")</f>
        <v>M5W0P5</v>
      </c>
      <c r="D10506" s="2" t="s">
        <v>8993</v>
      </c>
      <c r="E10506" s="3">
        <v>7.4800000000000004E-162</v>
      </c>
      <c r="F10506" s="2">
        <v>1228</v>
      </c>
      <c r="G10506" s="2">
        <v>100</v>
      </c>
      <c r="H10506" s="2">
        <v>265</v>
      </c>
      <c r="I10506" s="2">
        <v>103</v>
      </c>
      <c r="J10506" s="2">
        <v>897</v>
      </c>
      <c r="K10506" s="2">
        <v>1</v>
      </c>
      <c r="L10506" s="2">
        <v>265</v>
      </c>
    </row>
    <row r="10507" spans="1:12" x14ac:dyDescent="0.25">
      <c r="A10507" s="4" t="str">
        <f>HYPERLINK("http://www.rosaceae.org/Prunus/Prunus_persica/p.persica_gdr_reftransV1_0017045","p.persica_gdr_reftransV1_0017045")</f>
        <v>p.persica_gdr_reftransV1_0017045</v>
      </c>
      <c r="B10507" s="2">
        <v>2295</v>
      </c>
      <c r="C10507" s="4" t="str">
        <f>HYPERLINK("http://www.uniprot.org/uniprot/M5W967","M5W967")</f>
        <v>M5W967</v>
      </c>
      <c r="D10507" s="2" t="s">
        <v>8994</v>
      </c>
      <c r="E10507" s="3">
        <v>0</v>
      </c>
      <c r="F10507" s="2">
        <v>2923</v>
      </c>
      <c r="G10507" s="2">
        <v>100</v>
      </c>
      <c r="H10507" s="2">
        <v>571</v>
      </c>
      <c r="I10507" s="2">
        <v>308</v>
      </c>
      <c r="J10507" s="2">
        <v>2020</v>
      </c>
      <c r="K10507" s="2">
        <v>1</v>
      </c>
      <c r="L10507" s="2">
        <v>571</v>
      </c>
    </row>
    <row r="10508" spans="1:12" x14ac:dyDescent="0.25">
      <c r="A10508" s="4" t="str">
        <f>HYPERLINK("http://www.rosaceae.org/Prunus/Prunus_persica/p.persica_gdr_reftransV1_0018795","p.persica_gdr_reftransV1_0018795")</f>
        <v>p.persica_gdr_reftransV1_0018795</v>
      </c>
      <c r="B10508" s="2">
        <v>2083</v>
      </c>
      <c r="C10508" s="4" t="str">
        <f>HYPERLINK("http://www.uniprot.org/uniprot/M5W793","M5W793")</f>
        <v>M5W793</v>
      </c>
      <c r="D10508" s="2" t="s">
        <v>8995</v>
      </c>
      <c r="E10508" s="3">
        <v>0</v>
      </c>
      <c r="F10508" s="2">
        <v>3133</v>
      </c>
      <c r="G10508" s="2">
        <v>97</v>
      </c>
      <c r="H10508" s="2">
        <v>635</v>
      </c>
      <c r="I10508" s="2">
        <v>177</v>
      </c>
      <c r="J10508" s="2">
        <v>2081</v>
      </c>
      <c r="K10508" s="2">
        <v>354</v>
      </c>
      <c r="L10508" s="2">
        <v>966</v>
      </c>
    </row>
    <row r="10509" spans="1:12" x14ac:dyDescent="0.25">
      <c r="A10509" s="4" t="str">
        <f>HYPERLINK("http://www.rosaceae.org/Prunus/Prunus_persica/p.persica_gdr_reftransV1_0019145","p.persica_gdr_reftransV1_0019145")</f>
        <v>p.persica_gdr_reftransV1_0019145</v>
      </c>
      <c r="B10509" s="2">
        <v>1594</v>
      </c>
      <c r="C10509" s="4" t="str">
        <f>HYPERLINK("http://www.uniprot.org/uniprot/M5VQP4","M5VQP4")</f>
        <v>M5VQP4</v>
      </c>
      <c r="D10509" s="2" t="s">
        <v>8996</v>
      </c>
      <c r="E10509" s="3">
        <v>0</v>
      </c>
      <c r="F10509" s="2">
        <v>1469</v>
      </c>
      <c r="G10509" s="2">
        <v>100</v>
      </c>
      <c r="H10509" s="2">
        <v>276</v>
      </c>
      <c r="I10509" s="2">
        <v>212</v>
      </c>
      <c r="J10509" s="2">
        <v>1039</v>
      </c>
      <c r="K10509" s="2">
        <v>1</v>
      </c>
      <c r="L10509" s="2">
        <v>276</v>
      </c>
    </row>
    <row r="10510" spans="1:12" x14ac:dyDescent="0.25">
      <c r="A10510" s="4" t="str">
        <f>HYPERLINK("http://www.rosaceae.org/Prunus/Prunus_persica/p.persica_gdr_reftransV1_0019845","p.persica_gdr_reftransV1_0019845")</f>
        <v>p.persica_gdr_reftransV1_0019845</v>
      </c>
      <c r="B10510" s="2">
        <v>1990</v>
      </c>
      <c r="C10510" s="4" t="str">
        <f>HYPERLINK("http://www.uniprot.org/uniprot/M5XTL9","M5XTL9")</f>
        <v>M5XTL9</v>
      </c>
      <c r="D10510" s="2" t="s">
        <v>8997</v>
      </c>
      <c r="E10510" s="3">
        <v>5.4400000000000002E-63</v>
      </c>
      <c r="F10510" s="2">
        <v>561</v>
      </c>
      <c r="G10510" s="2">
        <v>100</v>
      </c>
      <c r="H10510" s="2">
        <v>119</v>
      </c>
      <c r="I10510" s="2">
        <v>1145</v>
      </c>
      <c r="J10510" s="2">
        <v>1501</v>
      </c>
      <c r="K10510" s="2">
        <v>131</v>
      </c>
      <c r="L10510" s="2">
        <v>249</v>
      </c>
    </row>
    <row r="10511" spans="1:12" x14ac:dyDescent="0.25">
      <c r="A10511" s="4" t="str">
        <f>HYPERLINK("http://www.rosaceae.org/Prunus/Prunus_persica/p.persica_gdr_reftransV1_0020195","p.persica_gdr_reftransV1_0020195")</f>
        <v>p.persica_gdr_reftransV1_0020195</v>
      </c>
      <c r="B10511" s="2">
        <v>947</v>
      </c>
      <c r="C10511" s="4" t="str">
        <f>HYPERLINK("http://www.uniprot.org/uniprot/M5X014","M5X014")</f>
        <v>M5X014</v>
      </c>
      <c r="D10511" s="2" t="s">
        <v>8998</v>
      </c>
      <c r="E10511" s="3">
        <v>1.01E-95</v>
      </c>
      <c r="F10511" s="2">
        <v>765</v>
      </c>
      <c r="G10511" s="2">
        <v>100</v>
      </c>
      <c r="H10511" s="2">
        <v>157</v>
      </c>
      <c r="I10511" s="2">
        <v>128</v>
      </c>
      <c r="J10511" s="2">
        <v>598</v>
      </c>
      <c r="K10511" s="2">
        <v>201</v>
      </c>
      <c r="L10511" s="2">
        <v>357</v>
      </c>
    </row>
    <row r="10512" spans="1:12" x14ac:dyDescent="0.25">
      <c r="A10512" s="4" t="str">
        <f>HYPERLINK("http://www.rosaceae.org/Prunus/Prunus_persica/p.persica_gdr_reftransV1_0021245","p.persica_gdr_reftransV1_0021245")</f>
        <v>p.persica_gdr_reftransV1_0021245</v>
      </c>
      <c r="B10512" s="2">
        <v>1586</v>
      </c>
      <c r="C10512" s="4" t="str">
        <f>HYPERLINK("http://www.uniprot.org/uniprot/M5XSM5","M5XSM5")</f>
        <v>M5XSM5</v>
      </c>
      <c r="D10512" s="2" t="s">
        <v>2616</v>
      </c>
      <c r="E10512" s="3">
        <v>0</v>
      </c>
      <c r="F10512" s="2">
        <v>1866</v>
      </c>
      <c r="G10512" s="2">
        <v>100</v>
      </c>
      <c r="H10512" s="2">
        <v>366</v>
      </c>
      <c r="I10512" s="2">
        <v>303</v>
      </c>
      <c r="J10512" s="2">
        <v>1400</v>
      </c>
      <c r="K10512" s="2">
        <v>1</v>
      </c>
      <c r="L10512" s="2">
        <v>366</v>
      </c>
    </row>
    <row r="10513" spans="1:12" x14ac:dyDescent="0.25">
      <c r="A10513" s="4" t="str">
        <f>HYPERLINK("http://www.rosaceae.org/Prunus/Prunus_persica/p.persica_gdr_reftransV1_0021945","p.persica_gdr_reftransV1_0021945")</f>
        <v>p.persica_gdr_reftransV1_0021945</v>
      </c>
      <c r="B10513" s="2">
        <v>3444</v>
      </c>
      <c r="C10513" s="4" t="str">
        <f>HYPERLINK("http://www.uniprot.org/uniprot/M5XR45","M5XR45")</f>
        <v>M5XR45</v>
      </c>
      <c r="D10513" s="2" t="s">
        <v>8999</v>
      </c>
      <c r="E10513" s="3">
        <v>4.2100000000000003E-132</v>
      </c>
      <c r="F10513" s="2">
        <v>1091</v>
      </c>
      <c r="G10513" s="2">
        <v>92</v>
      </c>
      <c r="H10513" s="2">
        <v>229</v>
      </c>
      <c r="I10513" s="2">
        <v>1521</v>
      </c>
      <c r="J10513" s="2">
        <v>2207</v>
      </c>
      <c r="K10513" s="2">
        <v>245</v>
      </c>
      <c r="L10513" s="2">
        <v>473</v>
      </c>
    </row>
    <row r="10514" spans="1:12" x14ac:dyDescent="0.25">
      <c r="A10514" s="4" t="str">
        <f>HYPERLINK("http://www.rosaceae.org/Prunus/Prunus_persica/p.persica_gdr_reftransV1_0022645","p.persica_gdr_reftransV1_0022645")</f>
        <v>p.persica_gdr_reftransV1_0022645</v>
      </c>
      <c r="B10514" s="2">
        <v>1962</v>
      </c>
      <c r="C10514" s="4" t="str">
        <f>HYPERLINK("http://www.uniprot.org/uniprot/M5VIU4","M5VIU4")</f>
        <v>M5VIU4</v>
      </c>
      <c r="D10514" s="2" t="s">
        <v>9000</v>
      </c>
      <c r="E10514" s="3">
        <v>0</v>
      </c>
      <c r="F10514" s="2">
        <v>2098</v>
      </c>
      <c r="G10514" s="2">
        <v>100</v>
      </c>
      <c r="H10514" s="2">
        <v>422</v>
      </c>
      <c r="I10514" s="2">
        <v>697</v>
      </c>
      <c r="J10514" s="2">
        <v>1962</v>
      </c>
      <c r="K10514" s="2">
        <v>117</v>
      </c>
      <c r="L10514" s="2">
        <v>538</v>
      </c>
    </row>
    <row r="10515" spans="1:12" x14ac:dyDescent="0.25">
      <c r="A10515" s="4" t="str">
        <f>HYPERLINK("http://www.rosaceae.org/Prunus/Prunus_persica/p.persica_gdr_reftransV1_0023695","p.persica_gdr_reftransV1_0023695")</f>
        <v>p.persica_gdr_reftransV1_0023695</v>
      </c>
      <c r="B10515" s="2">
        <v>1019</v>
      </c>
      <c r="C10515" s="4" t="str">
        <f>HYPERLINK("http://www.uniprot.org/uniprot/M5WR40","M5WR40")</f>
        <v>M5WR40</v>
      </c>
      <c r="D10515" s="2" t="s">
        <v>1127</v>
      </c>
      <c r="E10515" s="3">
        <v>2.9E-172</v>
      </c>
      <c r="F10515" s="2">
        <v>1320</v>
      </c>
      <c r="G10515" s="2">
        <v>99</v>
      </c>
      <c r="H10515" s="2">
        <v>247</v>
      </c>
      <c r="I10515" s="2">
        <v>234</v>
      </c>
      <c r="J10515" s="2">
        <v>974</v>
      </c>
      <c r="K10515" s="2">
        <v>612</v>
      </c>
      <c r="L10515" s="2">
        <v>858</v>
      </c>
    </row>
    <row r="10516" spans="1:12" x14ac:dyDescent="0.25">
      <c r="A10516" s="4" t="str">
        <f>HYPERLINK("http://www.rosaceae.org/Prunus/Prunus_persica/p.persica_gdr_reftransV1_0024395","p.persica_gdr_reftransV1_0024395")</f>
        <v>p.persica_gdr_reftransV1_0024395</v>
      </c>
      <c r="B10516" s="2">
        <v>880</v>
      </c>
      <c r="C10516" s="4" t="str">
        <f>HYPERLINK("http://www.uniprot.org/uniprot/M5VRI2","M5VRI2")</f>
        <v>M5VRI2</v>
      </c>
      <c r="D10516" s="2" t="s">
        <v>6265</v>
      </c>
      <c r="E10516" s="3">
        <v>1.7599999999999999E-58</v>
      </c>
      <c r="F10516" s="2">
        <v>496</v>
      </c>
      <c r="G10516" s="2">
        <v>100</v>
      </c>
      <c r="H10516" s="2">
        <v>97</v>
      </c>
      <c r="I10516" s="2">
        <v>565</v>
      </c>
      <c r="J10516" s="2">
        <v>855</v>
      </c>
      <c r="K10516" s="2">
        <v>7</v>
      </c>
      <c r="L10516" s="2">
        <v>103</v>
      </c>
    </row>
    <row r="10517" spans="1:12" x14ac:dyDescent="0.25">
      <c r="A10517" s="4" t="str">
        <f>HYPERLINK("http://www.rosaceae.org/Prunus/Prunus_persica/p.persica_gdr_reftransV1_0025445","p.persica_gdr_reftransV1_0025445")</f>
        <v>p.persica_gdr_reftransV1_0025445</v>
      </c>
      <c r="B10517" s="2">
        <v>665</v>
      </c>
      <c r="C10517" s="4" t="str">
        <f>HYPERLINK("http://www.uniprot.org/uniprot/M5XPC1","M5XPC1")</f>
        <v>M5XPC1</v>
      </c>
      <c r="D10517" s="2" t="s">
        <v>7570</v>
      </c>
      <c r="E10517" s="3">
        <v>4.8899999999999999E-42</v>
      </c>
      <c r="F10517" s="2">
        <v>403</v>
      </c>
      <c r="G10517" s="2">
        <v>70</v>
      </c>
      <c r="H10517" s="2">
        <v>122</v>
      </c>
      <c r="I10517" s="2">
        <v>298</v>
      </c>
      <c r="J10517" s="2">
        <v>663</v>
      </c>
      <c r="K10517" s="2">
        <v>1</v>
      </c>
      <c r="L10517" s="2">
        <v>109</v>
      </c>
    </row>
    <row r="10518" spans="1:12" x14ac:dyDescent="0.25">
      <c r="A10518" s="4" t="str">
        <f>HYPERLINK("http://www.rosaceae.org/Prunus/Prunus_persica/p.persica_gdr_reftransV1_0026145","p.persica_gdr_reftransV1_0026145")</f>
        <v>p.persica_gdr_reftransV1_0026145</v>
      </c>
      <c r="B10518" s="2">
        <v>1713</v>
      </c>
      <c r="C10518" s="4" t="str">
        <f>HYPERLINK("http://www.uniprot.org/uniprot/M5WUY9","M5WUY9")</f>
        <v>M5WUY9</v>
      </c>
      <c r="D10518" s="2" t="s">
        <v>9001</v>
      </c>
      <c r="E10518" s="3">
        <v>0</v>
      </c>
      <c r="F10518" s="2">
        <v>1851</v>
      </c>
      <c r="G10518" s="2">
        <v>100</v>
      </c>
      <c r="H10518" s="2">
        <v>402</v>
      </c>
      <c r="I10518" s="2">
        <v>285</v>
      </c>
      <c r="J10518" s="2">
        <v>1490</v>
      </c>
      <c r="K10518" s="2">
        <v>1</v>
      </c>
      <c r="L10518" s="2">
        <v>402</v>
      </c>
    </row>
    <row r="10519" spans="1:12" x14ac:dyDescent="0.25">
      <c r="A10519" s="4" t="str">
        <f>HYPERLINK("http://www.rosaceae.org/Prunus/Prunus_persica/p.persica_gdr_reftransV1_0028595","p.persica_gdr_reftransV1_0028595")</f>
        <v>p.persica_gdr_reftransV1_0028595</v>
      </c>
      <c r="B10519" s="2">
        <v>980</v>
      </c>
      <c r="C10519" s="4" t="str">
        <f>HYPERLINK("http://www.uniprot.org/uniprot/M5WW71","M5WW71")</f>
        <v>M5WW71</v>
      </c>
      <c r="D10519" s="2" t="s">
        <v>6864</v>
      </c>
      <c r="E10519" s="3">
        <v>1.03E-42</v>
      </c>
      <c r="F10519" s="2">
        <v>414</v>
      </c>
      <c r="G10519" s="2">
        <v>100</v>
      </c>
      <c r="H10519" s="2">
        <v>105</v>
      </c>
      <c r="I10519" s="2">
        <v>78</v>
      </c>
      <c r="J10519" s="2">
        <v>392</v>
      </c>
      <c r="K10519" s="2">
        <v>21</v>
      </c>
      <c r="L10519" s="2">
        <v>125</v>
      </c>
    </row>
    <row r="10520" spans="1:12" x14ac:dyDescent="0.25">
      <c r="A10520" s="4" t="str">
        <f>HYPERLINK("http://www.rosaceae.org/Prunus/Prunus_persica/p.persica_gdr_reftransV1_0029995","p.persica_gdr_reftransV1_0029995")</f>
        <v>p.persica_gdr_reftransV1_0029995</v>
      </c>
      <c r="B10520" s="2">
        <v>2908</v>
      </c>
      <c r="C10520" s="4" t="str">
        <f>HYPERLINK("http://www.uniprot.org/uniprot/M5X614","M5X614")</f>
        <v>M5X614</v>
      </c>
      <c r="D10520" s="2" t="s">
        <v>5775</v>
      </c>
      <c r="E10520" s="3">
        <v>0</v>
      </c>
      <c r="F10520" s="2">
        <v>1944</v>
      </c>
      <c r="G10520" s="2">
        <v>100</v>
      </c>
      <c r="H10520" s="2">
        <v>380</v>
      </c>
      <c r="I10520" s="2">
        <v>396</v>
      </c>
      <c r="J10520" s="2">
        <v>1535</v>
      </c>
      <c r="K10520" s="2">
        <v>703</v>
      </c>
      <c r="L10520" s="2">
        <v>1082</v>
      </c>
    </row>
    <row r="10521" spans="1:12" x14ac:dyDescent="0.25">
      <c r="A10521" s="4" t="str">
        <f>HYPERLINK("http://www.rosaceae.org/Prunus/Prunus_persica/p.persica_gdr_reftransV1_0033145","p.persica_gdr_reftransV1_0033145")</f>
        <v>p.persica_gdr_reftransV1_0033145</v>
      </c>
      <c r="B10521" s="2">
        <v>2850</v>
      </c>
      <c r="C10521" s="4" t="str">
        <f>HYPERLINK("http://www.uniprot.org/uniprot/M5WR95","M5WR95")</f>
        <v>M5WR95</v>
      </c>
      <c r="D10521" s="2" t="s">
        <v>9002</v>
      </c>
      <c r="E10521" s="3">
        <v>0</v>
      </c>
      <c r="F10521" s="2">
        <v>3413</v>
      </c>
      <c r="G10521" s="2">
        <v>100</v>
      </c>
      <c r="H10521" s="2">
        <v>763</v>
      </c>
      <c r="I10521" s="2">
        <v>100</v>
      </c>
      <c r="J10521" s="2">
        <v>2388</v>
      </c>
      <c r="K10521" s="2">
        <v>1</v>
      </c>
      <c r="L10521" s="2">
        <v>763</v>
      </c>
    </row>
    <row r="10522" spans="1:12" x14ac:dyDescent="0.25">
      <c r="A10522" s="4" t="str">
        <f>HYPERLINK("http://www.rosaceae.org/Prunus/Prunus_persica/p.persica_gdr_reftransV1_0033845","p.persica_gdr_reftransV1_0033845")</f>
        <v>p.persica_gdr_reftransV1_0033845</v>
      </c>
      <c r="B10522" s="2">
        <v>4141</v>
      </c>
      <c r="C10522" s="4" t="str">
        <f>HYPERLINK("http://www.uniprot.org/uniprot/M5X776","M5X776")</f>
        <v>M5X776</v>
      </c>
      <c r="D10522" s="2" t="s">
        <v>9003</v>
      </c>
      <c r="E10522" s="3">
        <v>0</v>
      </c>
      <c r="F10522" s="2">
        <v>4140</v>
      </c>
      <c r="G10522" s="2">
        <v>100</v>
      </c>
      <c r="H10522" s="2">
        <v>837</v>
      </c>
      <c r="I10522" s="2">
        <v>1175</v>
      </c>
      <c r="J10522" s="2">
        <v>3685</v>
      </c>
      <c r="K10522" s="2">
        <v>1</v>
      </c>
      <c r="L10522" s="2">
        <v>837</v>
      </c>
    </row>
    <row r="10523" spans="1:12" x14ac:dyDescent="0.25">
      <c r="A10523" s="4" t="str">
        <f>HYPERLINK("http://www.rosaceae.org/Prunus/Prunus_persica/p.persica_gdr_reftransV1_0034195","p.persica_gdr_reftransV1_0034195")</f>
        <v>p.persica_gdr_reftransV1_0034195</v>
      </c>
      <c r="B10523" s="2">
        <v>1224</v>
      </c>
      <c r="C10523" s="4" t="str">
        <f>HYPERLINK("http://www.uniprot.org/uniprot/H6S2W7","H6S2W7")</f>
        <v>H6S2W7</v>
      </c>
      <c r="D10523" s="2" t="s">
        <v>9004</v>
      </c>
      <c r="E10523" s="3">
        <v>5.7100000000000004E-174</v>
      </c>
      <c r="F10523" s="2">
        <v>1281</v>
      </c>
      <c r="G10523" s="2">
        <v>100</v>
      </c>
      <c r="H10523" s="2">
        <v>239</v>
      </c>
      <c r="I10523" s="2">
        <v>145</v>
      </c>
      <c r="J10523" s="2">
        <v>861</v>
      </c>
      <c r="K10523" s="2">
        <v>1</v>
      </c>
      <c r="L10523" s="2">
        <v>239</v>
      </c>
    </row>
    <row r="10524" spans="1:12" x14ac:dyDescent="0.25">
      <c r="A10524" s="4" t="str">
        <f>HYPERLINK("http://www.rosaceae.org/Prunus/Prunus_persica/p.persica_gdr_reftransV1_0034545","p.persica_gdr_reftransV1_0034545")</f>
        <v>p.persica_gdr_reftransV1_0034545</v>
      </c>
      <c r="B10524" s="2">
        <v>1941</v>
      </c>
      <c r="C10524" s="4" t="str">
        <f>HYPERLINK("http://www.uniprot.org/uniprot/M5X0R9","M5X0R9")</f>
        <v>M5X0R9</v>
      </c>
      <c r="D10524" s="2" t="s">
        <v>9005</v>
      </c>
      <c r="E10524" s="3">
        <v>2.4600000000000001E-139</v>
      </c>
      <c r="F10524" s="2">
        <v>1075</v>
      </c>
      <c r="G10524" s="2">
        <v>100</v>
      </c>
      <c r="H10524" s="2">
        <v>214</v>
      </c>
      <c r="I10524" s="2">
        <v>493</v>
      </c>
      <c r="J10524" s="2">
        <v>1134</v>
      </c>
      <c r="K10524" s="2">
        <v>1</v>
      </c>
      <c r="L10524" s="2">
        <v>214</v>
      </c>
    </row>
    <row r="10525" spans="1:12" x14ac:dyDescent="0.25">
      <c r="A10525" s="4" t="str">
        <f>HYPERLINK("http://www.rosaceae.org/Prunus/Prunus_persica/p.persica_gdr_reftransV1_0035945","p.persica_gdr_reftransV1_0035945")</f>
        <v>p.persica_gdr_reftransV1_0035945</v>
      </c>
      <c r="B10525" s="2">
        <v>2332</v>
      </c>
      <c r="C10525" s="4" t="str">
        <f>HYPERLINK("http://www.uniprot.org/uniprot/M5XA66","M5XA66")</f>
        <v>M5XA66</v>
      </c>
      <c r="D10525" s="2" t="s">
        <v>1395</v>
      </c>
      <c r="E10525" s="3">
        <v>0</v>
      </c>
      <c r="F10525" s="2">
        <v>1995</v>
      </c>
      <c r="G10525" s="2">
        <v>100</v>
      </c>
      <c r="H10525" s="2">
        <v>386</v>
      </c>
      <c r="I10525" s="2">
        <v>931</v>
      </c>
      <c r="J10525" s="2">
        <v>2088</v>
      </c>
      <c r="K10525" s="2">
        <v>1</v>
      </c>
      <c r="L10525" s="2">
        <v>386</v>
      </c>
    </row>
    <row r="10526" spans="1:12" x14ac:dyDescent="0.25">
      <c r="A10526" s="4" t="str">
        <f>HYPERLINK("http://www.rosaceae.org/Prunus/Prunus_persica/p.persica_gdr_reftransV1_0036295","p.persica_gdr_reftransV1_0036295")</f>
        <v>p.persica_gdr_reftransV1_0036295</v>
      </c>
      <c r="B10526" s="2">
        <v>1412</v>
      </c>
      <c r="C10526" s="4" t="str">
        <f>HYPERLINK("http://www.uniprot.org/uniprot/M5VZG4","M5VZG4")</f>
        <v>M5VZG4</v>
      </c>
      <c r="D10526" s="2" t="s">
        <v>9006</v>
      </c>
      <c r="E10526" s="3">
        <v>0</v>
      </c>
      <c r="F10526" s="2">
        <v>1556</v>
      </c>
      <c r="G10526" s="2">
        <v>100</v>
      </c>
      <c r="H10526" s="2">
        <v>295</v>
      </c>
      <c r="I10526" s="2">
        <v>53</v>
      </c>
      <c r="J10526" s="2">
        <v>937</v>
      </c>
      <c r="K10526" s="2">
        <v>1</v>
      </c>
      <c r="L10526" s="2">
        <v>295</v>
      </c>
    </row>
    <row r="10527" spans="1:12" x14ac:dyDescent="0.25">
      <c r="A10527" s="4" t="str">
        <f>HYPERLINK("http://www.rosaceae.org/Prunus/Prunus_persica/p.persica_gdr_reftransV1_0037345","p.persica_gdr_reftransV1_0037345")</f>
        <v>p.persica_gdr_reftransV1_0037345</v>
      </c>
      <c r="B10527" s="2">
        <v>1907</v>
      </c>
      <c r="C10527" s="4" t="str">
        <f>HYPERLINK("http://www.uniprot.org/uniprot/M5XZW9","M5XZW9")</f>
        <v>M5XZW9</v>
      </c>
      <c r="D10527" s="2" t="s">
        <v>9007</v>
      </c>
      <c r="E10527" s="3">
        <v>7.4400000000000002E-36</v>
      </c>
      <c r="F10527" s="2">
        <v>360</v>
      </c>
      <c r="G10527" s="2">
        <v>100</v>
      </c>
      <c r="H10527" s="2">
        <v>71</v>
      </c>
      <c r="I10527" s="2">
        <v>195</v>
      </c>
      <c r="J10527" s="2">
        <v>407</v>
      </c>
      <c r="K10527" s="2">
        <v>1</v>
      </c>
      <c r="L10527" s="2">
        <v>71</v>
      </c>
    </row>
    <row r="10528" spans="1:12" x14ac:dyDescent="0.25">
      <c r="A10528" s="4" t="str">
        <f>HYPERLINK("http://www.rosaceae.org/Prunus/Prunus_persica/p.persica_gdr_reftransV1_0039795","p.persica_gdr_reftransV1_0039795")</f>
        <v>p.persica_gdr_reftransV1_0039795</v>
      </c>
      <c r="B10528" s="2">
        <v>2829</v>
      </c>
      <c r="C10528" s="4" t="str">
        <f>HYPERLINK("http://www.uniprot.org/uniprot/W8R477","W8R477")</f>
        <v>W8R477</v>
      </c>
      <c r="D10528" s="2" t="s">
        <v>4669</v>
      </c>
      <c r="E10528" s="3">
        <v>0</v>
      </c>
      <c r="F10528" s="2">
        <v>1946</v>
      </c>
      <c r="G10528" s="2">
        <v>99</v>
      </c>
      <c r="H10528" s="2">
        <v>395</v>
      </c>
      <c r="I10528" s="2">
        <v>1645</v>
      </c>
      <c r="J10528" s="2">
        <v>2829</v>
      </c>
      <c r="K10528" s="2">
        <v>1</v>
      </c>
      <c r="L10528" s="2">
        <v>395</v>
      </c>
    </row>
    <row r="10529" spans="1:12" x14ac:dyDescent="0.25">
      <c r="A10529" s="4" t="str">
        <f>HYPERLINK("http://www.rosaceae.org/Prunus/Prunus_persica/p.persica_gdr_reftransV1_0040145","p.persica_gdr_reftransV1_0040145")</f>
        <v>p.persica_gdr_reftransV1_0040145</v>
      </c>
      <c r="B10529" s="2">
        <v>1375</v>
      </c>
      <c r="C10529" s="4" t="str">
        <f>HYPERLINK("http://www.uniprot.org/uniprot/M5VXG5","M5VXG5")</f>
        <v>M5VXG5</v>
      </c>
      <c r="D10529" s="2" t="s">
        <v>9008</v>
      </c>
      <c r="E10529" s="3">
        <v>0</v>
      </c>
      <c r="F10529" s="2">
        <v>1376</v>
      </c>
      <c r="G10529" s="2">
        <v>100</v>
      </c>
      <c r="H10529" s="2">
        <v>256</v>
      </c>
      <c r="I10529" s="2">
        <v>213</v>
      </c>
      <c r="J10529" s="2">
        <v>980</v>
      </c>
      <c r="K10529" s="2">
        <v>60</v>
      </c>
      <c r="L10529" s="2">
        <v>315</v>
      </c>
    </row>
    <row r="10530" spans="1:12" x14ac:dyDescent="0.25">
      <c r="A10530" s="4" t="str">
        <f>HYPERLINK("http://www.rosaceae.org/Prunus/Prunus_persica/p.persica_gdr_reftransV1_0042245","p.persica_gdr_reftransV1_0042245")</f>
        <v>p.persica_gdr_reftransV1_0042245</v>
      </c>
      <c r="B10530" s="2">
        <v>2116</v>
      </c>
      <c r="C10530" s="4" t="str">
        <f>HYPERLINK("http://www.uniprot.org/uniprot/M5X8B8","M5X8B8")</f>
        <v>M5X8B8</v>
      </c>
      <c r="D10530" s="2" t="s">
        <v>9009</v>
      </c>
      <c r="E10530" s="3">
        <v>1.26E-125</v>
      </c>
      <c r="F10530" s="2">
        <v>1004</v>
      </c>
      <c r="G10530" s="2">
        <v>100</v>
      </c>
      <c r="H10530" s="2">
        <v>228</v>
      </c>
      <c r="I10530" s="2">
        <v>123</v>
      </c>
      <c r="J10530" s="2">
        <v>806</v>
      </c>
      <c r="K10530" s="2">
        <v>1</v>
      </c>
      <c r="L10530" s="2">
        <v>228</v>
      </c>
    </row>
    <row r="10531" spans="1:12" x14ac:dyDescent="0.25">
      <c r="A10531" s="4" t="str">
        <f>HYPERLINK("http://www.rosaceae.org/Prunus/Prunus_persica/p.persica_gdr_reftransV1_0042945","p.persica_gdr_reftransV1_0042945")</f>
        <v>p.persica_gdr_reftransV1_0042945</v>
      </c>
      <c r="B10531" s="2">
        <v>1070</v>
      </c>
      <c r="C10531" s="4" t="str">
        <f>HYPERLINK("http://www.uniprot.org/uniprot/M5WCQ6","M5WCQ6")</f>
        <v>M5WCQ6</v>
      </c>
      <c r="D10531" s="2" t="s">
        <v>9010</v>
      </c>
      <c r="E10531" s="3">
        <v>1.3500000000000001E-156</v>
      </c>
      <c r="F10531" s="2">
        <v>1159</v>
      </c>
      <c r="G10531" s="2">
        <v>100</v>
      </c>
      <c r="H10531" s="2">
        <v>219</v>
      </c>
      <c r="I10531" s="2">
        <v>401</v>
      </c>
      <c r="J10531" s="2">
        <v>1054</v>
      </c>
      <c r="K10531" s="2">
        <v>1</v>
      </c>
      <c r="L10531" s="2">
        <v>219</v>
      </c>
    </row>
    <row r="10532" spans="1:12" x14ac:dyDescent="0.25">
      <c r="A10532" s="4" t="str">
        <f>HYPERLINK("http://www.rosaceae.org/Prunus/Prunus_persica/p.persica_gdr_reftransV1_0043295","p.persica_gdr_reftransV1_0043295")</f>
        <v>p.persica_gdr_reftransV1_0043295</v>
      </c>
      <c r="B10532" s="2">
        <v>475</v>
      </c>
      <c r="C10532" s="4" t="str">
        <f>HYPERLINK("http://www.uniprot.org/uniprot/M5WE24","M5WE24")</f>
        <v>M5WE24</v>
      </c>
      <c r="D10532" s="2" t="s">
        <v>1890</v>
      </c>
      <c r="E10532" s="3">
        <v>2.5000000000000001E-98</v>
      </c>
      <c r="F10532" s="2">
        <v>816</v>
      </c>
      <c r="G10532" s="2">
        <v>100</v>
      </c>
      <c r="H10532" s="2">
        <v>157</v>
      </c>
      <c r="I10532" s="2">
        <v>3</v>
      </c>
      <c r="J10532" s="2">
        <v>473</v>
      </c>
      <c r="K10532" s="2">
        <v>140</v>
      </c>
      <c r="L10532" s="2">
        <v>296</v>
      </c>
    </row>
    <row r="10533" spans="1:12" x14ac:dyDescent="0.25">
      <c r="A10533" s="4" t="str">
        <f>HYPERLINK("http://www.rosaceae.org/Prunus/Prunus_persica/p.persica_gdr_reftransV1_0043645","p.persica_gdr_reftransV1_0043645")</f>
        <v>p.persica_gdr_reftransV1_0043645</v>
      </c>
      <c r="B10533" s="2">
        <v>2172</v>
      </c>
      <c r="C10533" s="4" t="str">
        <f>HYPERLINK("http://www.uniprot.org/uniprot/M5XK76","M5XK76")</f>
        <v>M5XK76</v>
      </c>
      <c r="D10533" s="2" t="s">
        <v>8357</v>
      </c>
      <c r="E10533" s="3">
        <v>0</v>
      </c>
      <c r="F10533" s="2">
        <v>3341</v>
      </c>
      <c r="G10533" s="2">
        <v>100</v>
      </c>
      <c r="H10533" s="2">
        <v>670</v>
      </c>
      <c r="I10533" s="2">
        <v>3</v>
      </c>
      <c r="J10533" s="2">
        <v>2012</v>
      </c>
      <c r="K10533" s="2">
        <v>2</v>
      </c>
      <c r="L10533" s="2">
        <v>671</v>
      </c>
    </row>
    <row r="10534" spans="1:12" x14ac:dyDescent="0.25">
      <c r="A10534" s="4" t="str">
        <f>HYPERLINK("http://www.rosaceae.org/Prunus/Prunus_persica/p.persica_gdr_reftransV1_0044345","p.persica_gdr_reftransV1_0044345")</f>
        <v>p.persica_gdr_reftransV1_0044345</v>
      </c>
      <c r="B10534" s="2">
        <v>1813</v>
      </c>
      <c r="C10534" s="4" t="str">
        <f>HYPERLINK("http://www.uniprot.org/uniprot/M5W4Y9","M5W4Y9")</f>
        <v>M5W4Y9</v>
      </c>
      <c r="D10534" s="2" t="s">
        <v>1200</v>
      </c>
      <c r="E10534" s="3">
        <v>0</v>
      </c>
      <c r="F10534" s="2">
        <v>1975</v>
      </c>
      <c r="G10534" s="2">
        <v>100</v>
      </c>
      <c r="H10534" s="2">
        <v>444</v>
      </c>
      <c r="I10534" s="2">
        <v>217</v>
      </c>
      <c r="J10534" s="2">
        <v>1548</v>
      </c>
      <c r="K10534" s="2">
        <v>3</v>
      </c>
      <c r="L10534" s="2">
        <v>446</v>
      </c>
    </row>
    <row r="10535" spans="1:12" x14ac:dyDescent="0.25">
      <c r="A10535" s="4" t="str">
        <f>HYPERLINK("http://www.rosaceae.org/Prunus/Prunus_persica/p.persica_gdr_reftransV1_0044695","p.persica_gdr_reftransV1_0044695")</f>
        <v>p.persica_gdr_reftransV1_0044695</v>
      </c>
      <c r="B10535" s="2">
        <v>933</v>
      </c>
      <c r="C10535" s="4" t="str">
        <f>HYPERLINK("http://www.uniprot.org/uniprot/M5WEF8","M5WEF8")</f>
        <v>M5WEF8</v>
      </c>
      <c r="D10535" s="2" t="s">
        <v>9011</v>
      </c>
      <c r="E10535" s="3">
        <v>3.03E-136</v>
      </c>
      <c r="F10535" s="2">
        <v>1017</v>
      </c>
      <c r="G10535" s="2">
        <v>100</v>
      </c>
      <c r="H10535" s="2">
        <v>192</v>
      </c>
      <c r="I10535" s="2">
        <v>56</v>
      </c>
      <c r="J10535" s="2">
        <v>631</v>
      </c>
      <c r="K10535" s="2">
        <v>1</v>
      </c>
      <c r="L10535" s="2">
        <v>192</v>
      </c>
    </row>
    <row r="10536" spans="1:12" x14ac:dyDescent="0.25">
      <c r="A10536" s="4" t="str">
        <f>HYPERLINK("http://www.rosaceae.org/Prunus/Prunus_persica/p.persica_gdr_reftransV1_0045045","p.persica_gdr_reftransV1_0045045")</f>
        <v>p.persica_gdr_reftransV1_0045045</v>
      </c>
      <c r="B10536" s="2">
        <v>1708</v>
      </c>
      <c r="C10536" s="4" t="str">
        <f>HYPERLINK("http://www.uniprot.org/uniprot/M5WN34","M5WN34")</f>
        <v>M5WN34</v>
      </c>
      <c r="D10536" s="2" t="s">
        <v>8955</v>
      </c>
      <c r="E10536" s="3">
        <v>0</v>
      </c>
      <c r="F10536" s="2">
        <v>2215</v>
      </c>
      <c r="G10536" s="2">
        <v>100</v>
      </c>
      <c r="H10536" s="2">
        <v>437</v>
      </c>
      <c r="I10536" s="2">
        <v>296</v>
      </c>
      <c r="J10536" s="2">
        <v>1606</v>
      </c>
      <c r="K10536" s="2">
        <v>22</v>
      </c>
      <c r="L10536" s="2">
        <v>458</v>
      </c>
    </row>
    <row r="10537" spans="1:12" x14ac:dyDescent="0.25">
      <c r="A10537" s="4" t="str">
        <f>HYPERLINK("http://www.rosaceae.org/Prunus/Prunus_persica/p.persica_gdr_reftransV1_0045395","p.persica_gdr_reftransV1_0045395")</f>
        <v>p.persica_gdr_reftransV1_0045395</v>
      </c>
      <c r="B10537" s="2">
        <v>1406</v>
      </c>
      <c r="C10537" s="4" t="str">
        <f>HYPERLINK("http://www.uniprot.org/uniprot/M5XRR5","M5XRR5")</f>
        <v>M5XRR5</v>
      </c>
      <c r="D10537" s="2" t="s">
        <v>9012</v>
      </c>
      <c r="E10537" s="3">
        <v>0</v>
      </c>
      <c r="F10537" s="2">
        <v>1845</v>
      </c>
      <c r="G10537" s="2">
        <v>89</v>
      </c>
      <c r="H10537" s="2">
        <v>389</v>
      </c>
      <c r="I10537" s="2">
        <v>102</v>
      </c>
      <c r="J10537" s="2">
        <v>1265</v>
      </c>
      <c r="K10537" s="2">
        <v>1</v>
      </c>
      <c r="L10537" s="2">
        <v>389</v>
      </c>
    </row>
    <row r="10538" spans="1:12" x14ac:dyDescent="0.25">
      <c r="A10538" s="4" t="str">
        <f>HYPERLINK("http://www.rosaceae.org/Prunus/Prunus_persica/p.persica_gdr_reftransV1_0045745","p.persica_gdr_reftransV1_0045745")</f>
        <v>p.persica_gdr_reftransV1_0045745</v>
      </c>
      <c r="B10538" s="2">
        <v>830</v>
      </c>
      <c r="C10538" s="4" t="str">
        <f>HYPERLINK("http://www.uniprot.org/uniprot/M5X2E0","M5X2E0")</f>
        <v>M5X2E0</v>
      </c>
      <c r="D10538" s="2" t="s">
        <v>9013</v>
      </c>
      <c r="E10538" s="3">
        <v>5.9699999999999997E-132</v>
      </c>
      <c r="F10538" s="2">
        <v>985</v>
      </c>
      <c r="G10538" s="2">
        <v>100</v>
      </c>
      <c r="H10538" s="2">
        <v>195</v>
      </c>
      <c r="I10538" s="2">
        <v>134</v>
      </c>
      <c r="J10538" s="2">
        <v>718</v>
      </c>
      <c r="K10538" s="2">
        <v>1</v>
      </c>
      <c r="L10538" s="2">
        <v>195</v>
      </c>
    </row>
    <row r="10539" spans="1:12" x14ac:dyDescent="0.25">
      <c r="A10539" s="4" t="str">
        <f>HYPERLINK("http://www.rosaceae.org/Prunus/Prunus_persica/p.persica_gdr_reftransV1_0046445","p.persica_gdr_reftransV1_0046445")</f>
        <v>p.persica_gdr_reftransV1_0046445</v>
      </c>
      <c r="B10539" s="2">
        <v>1042</v>
      </c>
      <c r="C10539" s="4" t="str">
        <f>HYPERLINK("http://www.uniprot.org/uniprot/D3IWE9","D3IWE9")</f>
        <v>D3IWE9</v>
      </c>
      <c r="D10539" s="2" t="s">
        <v>9014</v>
      </c>
      <c r="E10539" s="3">
        <v>9.1599999999999996E-179</v>
      </c>
      <c r="F10539" s="2">
        <v>1320</v>
      </c>
      <c r="G10539" s="2">
        <v>98</v>
      </c>
      <c r="H10539" s="2">
        <v>345</v>
      </c>
      <c r="I10539" s="2">
        <v>6</v>
      </c>
      <c r="J10539" s="2">
        <v>1040</v>
      </c>
      <c r="K10539" s="2">
        <v>1</v>
      </c>
      <c r="L10539" s="2">
        <v>344</v>
      </c>
    </row>
    <row r="10540" spans="1:12" x14ac:dyDescent="0.25">
      <c r="A10540" s="4" t="str">
        <f>HYPERLINK("http://www.rosaceae.org/Prunus/Prunus_persica/p.persica_gdr_reftransV1_0046795","p.persica_gdr_reftransV1_0046795")</f>
        <v>p.persica_gdr_reftransV1_0046795</v>
      </c>
      <c r="B10540" s="2">
        <v>889</v>
      </c>
      <c r="C10540" s="4" t="str">
        <f>HYPERLINK("http://www.uniprot.org/uniprot/M5W801","M5W801")</f>
        <v>M5W801</v>
      </c>
      <c r="D10540" s="2" t="s">
        <v>5331</v>
      </c>
      <c r="E10540" s="3">
        <v>1.58E-135</v>
      </c>
      <c r="F10540" s="2">
        <v>1053</v>
      </c>
      <c r="G10540" s="2">
        <v>100</v>
      </c>
      <c r="H10540" s="2">
        <v>195</v>
      </c>
      <c r="I10540" s="2">
        <v>1</v>
      </c>
      <c r="J10540" s="2">
        <v>585</v>
      </c>
      <c r="K10540" s="2">
        <v>458</v>
      </c>
      <c r="L10540" s="2">
        <v>652</v>
      </c>
    </row>
    <row r="10541" spans="1:12" x14ac:dyDescent="0.25">
      <c r="A10541" s="4" t="str">
        <f>HYPERLINK("http://www.rosaceae.org/Prunus/Prunus_persica/p.persica_gdr_reftransV1_0047145","p.persica_gdr_reftransV1_0047145")</f>
        <v>p.persica_gdr_reftransV1_0047145</v>
      </c>
      <c r="B10541" s="2">
        <v>556</v>
      </c>
      <c r="C10541" s="4" t="str">
        <f>HYPERLINK("http://www.uniprot.org/uniprot/M5XH70","M5XH70")</f>
        <v>M5XH70</v>
      </c>
      <c r="D10541" s="2" t="s">
        <v>9015</v>
      </c>
      <c r="E10541" s="3">
        <v>4.6900000000000002E-83</v>
      </c>
      <c r="F10541" s="2">
        <v>662</v>
      </c>
      <c r="G10541" s="2">
        <v>100</v>
      </c>
      <c r="H10541" s="2">
        <v>168</v>
      </c>
      <c r="I10541" s="2">
        <v>53</v>
      </c>
      <c r="J10541" s="2">
        <v>556</v>
      </c>
      <c r="K10541" s="2">
        <v>3</v>
      </c>
      <c r="L10541" s="2">
        <v>170</v>
      </c>
    </row>
    <row r="10542" spans="1:12" x14ac:dyDescent="0.25">
      <c r="A10542" s="4" t="str">
        <f>HYPERLINK("http://www.rosaceae.org/Prunus/Prunus_persica/p.persica_gdr_reftransV1_0048195","p.persica_gdr_reftransV1_0048195")</f>
        <v>p.persica_gdr_reftransV1_0048195</v>
      </c>
      <c r="B10542" s="2">
        <v>2517</v>
      </c>
      <c r="C10542" s="4" t="str">
        <f>HYPERLINK("http://www.uniprot.org/uniprot/M5VP31","M5VP31")</f>
        <v>M5VP31</v>
      </c>
      <c r="D10542" s="2" t="s">
        <v>9016</v>
      </c>
      <c r="E10542" s="3">
        <v>0</v>
      </c>
      <c r="F10542" s="2">
        <v>3459</v>
      </c>
      <c r="G10542" s="2">
        <v>100</v>
      </c>
      <c r="H10542" s="2">
        <v>702</v>
      </c>
      <c r="I10542" s="2">
        <v>348</v>
      </c>
      <c r="J10542" s="2">
        <v>2453</v>
      </c>
      <c r="K10542" s="2">
        <v>33</v>
      </c>
      <c r="L10542" s="2">
        <v>734</v>
      </c>
    </row>
    <row r="10543" spans="1:12" x14ac:dyDescent="0.25">
      <c r="A10543" s="4" t="str">
        <f>HYPERLINK("http://www.rosaceae.org/Prunus/Prunus_persica/p.persica_gdr_reftransV1_0048545","p.persica_gdr_reftransV1_0048545")</f>
        <v>p.persica_gdr_reftransV1_0048545</v>
      </c>
      <c r="B10543" s="2">
        <v>684</v>
      </c>
      <c r="C10543" s="4" t="str">
        <f>HYPERLINK("http://www.uniprot.org/uniprot/M5X4H7","M5X4H7")</f>
        <v>M5X4H7</v>
      </c>
      <c r="D10543" s="2" t="s">
        <v>9017</v>
      </c>
      <c r="E10543" s="3">
        <v>4.4699999999999998E-63</v>
      </c>
      <c r="F10543" s="2">
        <v>518</v>
      </c>
      <c r="G10543" s="2">
        <v>100</v>
      </c>
      <c r="H10543" s="2">
        <v>122</v>
      </c>
      <c r="I10543" s="2">
        <v>202</v>
      </c>
      <c r="J10543" s="2">
        <v>567</v>
      </c>
      <c r="K10543" s="2">
        <v>1</v>
      </c>
      <c r="L10543" s="2">
        <v>122</v>
      </c>
    </row>
    <row r="10544" spans="1:12" x14ac:dyDescent="0.25">
      <c r="A10544" s="4" t="str">
        <f>HYPERLINK("http://www.rosaceae.org/Prunus/Prunus_persica/p.persica_gdr_reftransV1_0048895","p.persica_gdr_reftransV1_0048895")</f>
        <v>p.persica_gdr_reftransV1_0048895</v>
      </c>
      <c r="B10544" s="2">
        <v>5440</v>
      </c>
      <c r="C10544" s="4" t="str">
        <f>HYPERLINK("http://www.uniprot.org/uniprot/M5VVS1","M5VVS1")</f>
        <v>M5VVS1</v>
      </c>
      <c r="D10544" s="2" t="s">
        <v>9018</v>
      </c>
      <c r="E10544" s="3">
        <v>0</v>
      </c>
      <c r="F10544" s="2">
        <v>7650</v>
      </c>
      <c r="G10544" s="2">
        <v>95</v>
      </c>
      <c r="H10544" s="2">
        <v>1614</v>
      </c>
      <c r="I10544" s="2">
        <v>113</v>
      </c>
      <c r="J10544" s="2">
        <v>4951</v>
      </c>
      <c r="K10544" s="2">
        <v>1</v>
      </c>
      <c r="L10544" s="2">
        <v>1568</v>
      </c>
    </row>
    <row r="10545" spans="1:12" x14ac:dyDescent="0.25">
      <c r="A10545" s="4" t="str">
        <f>HYPERLINK("http://www.rosaceae.org/Prunus/Prunus_persica/p.persica_gdr_reftransV1_0000596","p.persica_gdr_reftransV1_0000596")</f>
        <v>p.persica_gdr_reftransV1_0000596</v>
      </c>
      <c r="B10545" s="2">
        <v>7020</v>
      </c>
      <c r="C10545" s="4" t="str">
        <f>HYPERLINK("http://www.uniprot.org/uniprot/M5XMY6","M5XMY6")</f>
        <v>M5XMY6</v>
      </c>
      <c r="D10545" s="2" t="s">
        <v>9019</v>
      </c>
      <c r="E10545" s="3">
        <v>0</v>
      </c>
      <c r="F10545" s="2">
        <v>9833</v>
      </c>
      <c r="G10545" s="2">
        <v>98</v>
      </c>
      <c r="H10545" s="2">
        <v>2047</v>
      </c>
      <c r="I10545" s="2">
        <v>393</v>
      </c>
      <c r="J10545" s="2">
        <v>6395</v>
      </c>
      <c r="K10545" s="2">
        <v>15</v>
      </c>
      <c r="L10545" s="2">
        <v>2061</v>
      </c>
    </row>
    <row r="10546" spans="1:12" x14ac:dyDescent="0.25">
      <c r="A10546" s="4" t="str">
        <f>HYPERLINK("http://www.rosaceae.org/Prunus/Prunus_persica/p.persica_gdr_reftransV1_0000946","p.persica_gdr_reftransV1_0000946")</f>
        <v>p.persica_gdr_reftransV1_0000946</v>
      </c>
      <c r="B10546" s="2">
        <v>1175</v>
      </c>
      <c r="C10546" s="4" t="str">
        <f>HYPERLINK("http://www.uniprot.org/uniprot/M5X2A7","M5X2A7")</f>
        <v>M5X2A7</v>
      </c>
      <c r="D10546" s="2" t="s">
        <v>9020</v>
      </c>
      <c r="E10546" s="3">
        <v>0</v>
      </c>
      <c r="F10546" s="2">
        <v>1484</v>
      </c>
      <c r="G10546" s="2">
        <v>100</v>
      </c>
      <c r="H10546" s="2">
        <v>300</v>
      </c>
      <c r="I10546" s="2">
        <v>141</v>
      </c>
      <c r="J10546" s="2">
        <v>1040</v>
      </c>
      <c r="K10546" s="2">
        <v>1</v>
      </c>
      <c r="L10546" s="2">
        <v>300</v>
      </c>
    </row>
    <row r="10547" spans="1:12" x14ac:dyDescent="0.25">
      <c r="A10547" s="4" t="str">
        <f>HYPERLINK("http://www.rosaceae.org/Prunus/Prunus_persica/p.persica_gdr_reftransV1_0001296","p.persica_gdr_reftransV1_0001296")</f>
        <v>p.persica_gdr_reftransV1_0001296</v>
      </c>
      <c r="B10547" s="2">
        <v>4189</v>
      </c>
      <c r="C10547" s="4" t="str">
        <f>HYPERLINK("http://www.uniprot.org/uniprot/M5WD18","M5WD18")</f>
        <v>M5WD18</v>
      </c>
      <c r="D10547" s="2" t="s">
        <v>9021</v>
      </c>
      <c r="E10547" s="3">
        <v>0</v>
      </c>
      <c r="F10547" s="2">
        <v>5842</v>
      </c>
      <c r="G10547" s="2">
        <v>100</v>
      </c>
      <c r="H10547" s="2">
        <v>1231</v>
      </c>
      <c r="I10547" s="2">
        <v>323</v>
      </c>
      <c r="J10547" s="2">
        <v>4015</v>
      </c>
      <c r="K10547" s="2">
        <v>1</v>
      </c>
      <c r="L10547" s="2">
        <v>1231</v>
      </c>
    </row>
    <row r="10548" spans="1:12" x14ac:dyDescent="0.25">
      <c r="A10548" s="4" t="str">
        <f>HYPERLINK("http://www.rosaceae.org/Prunus/Prunus_persica/p.persica_gdr_reftransV1_0002346","p.persica_gdr_reftransV1_0002346")</f>
        <v>p.persica_gdr_reftransV1_0002346</v>
      </c>
      <c r="B10548" s="2">
        <v>1632</v>
      </c>
      <c r="C10548" s="4" t="str">
        <f>HYPERLINK("http://www.uniprot.org/uniprot/M5WD41","M5WD41")</f>
        <v>M5WD41</v>
      </c>
      <c r="D10548" s="2" t="s">
        <v>6069</v>
      </c>
      <c r="E10548" s="3">
        <v>0</v>
      </c>
      <c r="F10548" s="2">
        <v>1870</v>
      </c>
      <c r="G10548" s="2">
        <v>94</v>
      </c>
      <c r="H10548" s="2">
        <v>401</v>
      </c>
      <c r="I10548" s="2">
        <v>288</v>
      </c>
      <c r="J10548" s="2">
        <v>1490</v>
      </c>
      <c r="K10548" s="2">
        <v>1</v>
      </c>
      <c r="L10548" s="2">
        <v>378</v>
      </c>
    </row>
    <row r="10549" spans="1:12" x14ac:dyDescent="0.25">
      <c r="A10549" s="4" t="str">
        <f>HYPERLINK("http://www.rosaceae.org/Prunus/Prunus_persica/p.persica_gdr_reftransV1_0002696","p.persica_gdr_reftransV1_0002696")</f>
        <v>p.persica_gdr_reftransV1_0002696</v>
      </c>
      <c r="B10549" s="2">
        <v>856</v>
      </c>
      <c r="C10549" s="4" t="str">
        <f>HYPERLINK("http://www.uniprot.org/uniprot/M5W808","M5W808")</f>
        <v>M5W808</v>
      </c>
      <c r="D10549" s="2" t="s">
        <v>9022</v>
      </c>
      <c r="E10549" s="3">
        <v>1.6199999999999999E-152</v>
      </c>
      <c r="F10549" s="2">
        <v>1157</v>
      </c>
      <c r="G10549" s="2">
        <v>98</v>
      </c>
      <c r="H10549" s="2">
        <v>218</v>
      </c>
      <c r="I10549" s="2">
        <v>178</v>
      </c>
      <c r="J10549" s="2">
        <v>831</v>
      </c>
      <c r="K10549" s="2">
        <v>342</v>
      </c>
      <c r="L10549" s="2">
        <v>559</v>
      </c>
    </row>
    <row r="10550" spans="1:12" x14ac:dyDescent="0.25">
      <c r="A10550" s="4" t="str">
        <f>HYPERLINK("http://www.rosaceae.org/Prunus/Prunus_persica/p.persica_gdr_reftransV1_0003396","p.persica_gdr_reftransV1_0003396")</f>
        <v>p.persica_gdr_reftransV1_0003396</v>
      </c>
      <c r="B10550" s="2">
        <v>2031</v>
      </c>
      <c r="C10550" s="4" t="str">
        <f>HYPERLINK("http://www.uniprot.org/uniprot/M5WHU9","M5WHU9")</f>
        <v>M5WHU9</v>
      </c>
      <c r="D10550" s="2" t="s">
        <v>9023</v>
      </c>
      <c r="E10550" s="3">
        <v>0</v>
      </c>
      <c r="F10550" s="2">
        <v>2490</v>
      </c>
      <c r="G10550" s="2">
        <v>100</v>
      </c>
      <c r="H10550" s="2">
        <v>476</v>
      </c>
      <c r="I10550" s="2">
        <v>152</v>
      </c>
      <c r="J10550" s="2">
        <v>1579</v>
      </c>
      <c r="K10550" s="2">
        <v>1</v>
      </c>
      <c r="L10550" s="2">
        <v>476</v>
      </c>
    </row>
    <row r="10551" spans="1:12" x14ac:dyDescent="0.25">
      <c r="A10551" s="4" t="str">
        <f>HYPERLINK("http://www.rosaceae.org/Prunus/Prunus_persica/p.persica_gdr_reftransV1_0004096","p.persica_gdr_reftransV1_0004096")</f>
        <v>p.persica_gdr_reftransV1_0004096</v>
      </c>
      <c r="B10551" s="2">
        <v>2340</v>
      </c>
      <c r="C10551" s="4" t="str">
        <f>HYPERLINK("http://www.uniprot.org/uniprot/K4BT67","K4BT67")</f>
        <v>K4BT67</v>
      </c>
      <c r="D10551" s="2" t="s">
        <v>9024</v>
      </c>
      <c r="E10551" s="3">
        <v>0</v>
      </c>
      <c r="F10551" s="2">
        <v>1264</v>
      </c>
      <c r="G10551" s="2">
        <v>85</v>
      </c>
      <c r="H10551" s="2">
        <v>263</v>
      </c>
      <c r="I10551" s="2">
        <v>1281</v>
      </c>
      <c r="J10551" s="2">
        <v>2069</v>
      </c>
      <c r="K10551" s="2">
        <v>205</v>
      </c>
      <c r="L10551" s="2">
        <v>467</v>
      </c>
    </row>
    <row r="10552" spans="1:12" x14ac:dyDescent="0.25">
      <c r="A10552" s="4" t="str">
        <f>HYPERLINK("http://www.rosaceae.org/Prunus/Prunus_persica/p.persica_gdr_reftransV1_0005146","p.persica_gdr_reftransV1_0005146")</f>
        <v>p.persica_gdr_reftransV1_0005146</v>
      </c>
      <c r="B10552" s="2">
        <v>1896</v>
      </c>
      <c r="C10552" s="4" t="str">
        <f>HYPERLINK("http://www.uniprot.org/uniprot/M5VNX6","M5VNX6")</f>
        <v>M5VNX6</v>
      </c>
      <c r="D10552" s="2" t="s">
        <v>9025</v>
      </c>
      <c r="E10552" s="3">
        <v>1.3800000000000001E-179</v>
      </c>
      <c r="F10552" s="2">
        <v>1352</v>
      </c>
      <c r="G10552" s="2">
        <v>99</v>
      </c>
      <c r="H10552" s="2">
        <v>328</v>
      </c>
      <c r="I10552" s="2">
        <v>537</v>
      </c>
      <c r="J10552" s="2">
        <v>1520</v>
      </c>
      <c r="K10552" s="2">
        <v>21</v>
      </c>
      <c r="L10552" s="2">
        <v>348</v>
      </c>
    </row>
    <row r="10553" spans="1:12" x14ac:dyDescent="0.25">
      <c r="A10553" s="4" t="str">
        <f>HYPERLINK("http://www.rosaceae.org/Prunus/Prunus_persica/p.persica_gdr_reftransV1_0005846","p.persica_gdr_reftransV1_0005846")</f>
        <v>p.persica_gdr_reftransV1_0005846</v>
      </c>
      <c r="B10553" s="2">
        <v>768</v>
      </c>
      <c r="C10553" s="4" t="str">
        <f>HYPERLINK("http://www.uniprot.org/uniprot/M5VVY4","M5VVY4")</f>
        <v>M5VVY4</v>
      </c>
      <c r="D10553" s="2" t="s">
        <v>9026</v>
      </c>
      <c r="E10553" s="3">
        <v>8.3800000000000004E-129</v>
      </c>
      <c r="F10553" s="2">
        <v>979</v>
      </c>
      <c r="G10553" s="2">
        <v>100</v>
      </c>
      <c r="H10553" s="2">
        <v>197</v>
      </c>
      <c r="I10553" s="2">
        <v>3</v>
      </c>
      <c r="J10553" s="2">
        <v>593</v>
      </c>
      <c r="K10553" s="2">
        <v>176</v>
      </c>
      <c r="L10553" s="2">
        <v>372</v>
      </c>
    </row>
    <row r="10554" spans="1:12" x14ac:dyDescent="0.25">
      <c r="A10554" s="4" t="str">
        <f>HYPERLINK("http://www.rosaceae.org/Prunus/Prunus_persica/p.persica_gdr_reftransV1_0007596","p.persica_gdr_reftransV1_0007596")</f>
        <v>p.persica_gdr_reftransV1_0007596</v>
      </c>
      <c r="B10554" s="2">
        <v>3345</v>
      </c>
      <c r="C10554" s="4" t="str">
        <f>HYPERLINK("http://www.uniprot.org/uniprot/M5WME1","M5WME1")</f>
        <v>M5WME1</v>
      </c>
      <c r="D10554" s="2" t="s">
        <v>9027</v>
      </c>
      <c r="E10554" s="3">
        <v>0</v>
      </c>
      <c r="F10554" s="2">
        <v>4509</v>
      </c>
      <c r="G10554" s="2">
        <v>100</v>
      </c>
      <c r="H10554" s="2">
        <v>945</v>
      </c>
      <c r="I10554" s="2">
        <v>318</v>
      </c>
      <c r="J10554" s="2">
        <v>3149</v>
      </c>
      <c r="K10554" s="2">
        <v>1</v>
      </c>
      <c r="L10554" s="2">
        <v>945</v>
      </c>
    </row>
    <row r="10555" spans="1:12" x14ac:dyDescent="0.25">
      <c r="A10555" s="4" t="str">
        <f>HYPERLINK("http://www.rosaceae.org/Prunus/Prunus_persica/p.persica_gdr_reftransV1_0008296","p.persica_gdr_reftransV1_0008296")</f>
        <v>p.persica_gdr_reftransV1_0008296</v>
      </c>
      <c r="B10555" s="2">
        <v>1584</v>
      </c>
      <c r="C10555" s="4" t="str">
        <f>HYPERLINK("http://www.uniprot.org/uniprot/M5WK62","M5WK62")</f>
        <v>M5WK62</v>
      </c>
      <c r="D10555" s="2" t="s">
        <v>9028</v>
      </c>
      <c r="E10555" s="3">
        <v>5.9899999999999995E-129</v>
      </c>
      <c r="F10555" s="2">
        <v>995</v>
      </c>
      <c r="G10555" s="2">
        <v>100</v>
      </c>
      <c r="H10555" s="2">
        <v>241</v>
      </c>
      <c r="I10555" s="2">
        <v>599</v>
      </c>
      <c r="J10555" s="2">
        <v>1321</v>
      </c>
      <c r="K10555" s="2">
        <v>1</v>
      </c>
      <c r="L10555" s="2">
        <v>241</v>
      </c>
    </row>
    <row r="10556" spans="1:12" x14ac:dyDescent="0.25">
      <c r="A10556" s="4" t="str">
        <f>HYPERLINK("http://www.rosaceae.org/Prunus/Prunus_persica/p.persica_gdr_reftransV1_0008646","p.persica_gdr_reftransV1_0008646")</f>
        <v>p.persica_gdr_reftransV1_0008646</v>
      </c>
      <c r="B10556" s="2">
        <v>1860</v>
      </c>
      <c r="C10556" s="4" t="str">
        <f>HYPERLINK("http://www.uniprot.org/uniprot/M5XSM3","M5XSM3")</f>
        <v>M5XSM3</v>
      </c>
      <c r="D10556" s="2" t="s">
        <v>9029</v>
      </c>
      <c r="E10556" s="3">
        <v>1.2800000000000001E-170</v>
      </c>
      <c r="F10556" s="2">
        <v>1286</v>
      </c>
      <c r="G10556" s="2">
        <v>100</v>
      </c>
      <c r="H10556" s="2">
        <v>270</v>
      </c>
      <c r="I10556" s="2">
        <v>1050</v>
      </c>
      <c r="J10556" s="2">
        <v>1859</v>
      </c>
      <c r="K10556" s="2">
        <v>32</v>
      </c>
      <c r="L10556" s="2">
        <v>301</v>
      </c>
    </row>
    <row r="10557" spans="1:12" x14ac:dyDescent="0.25">
      <c r="A10557" s="4" t="str">
        <f>HYPERLINK("http://www.rosaceae.org/Prunus/Prunus_persica/p.persica_gdr_reftransV1_0010046","p.persica_gdr_reftransV1_0010046")</f>
        <v>p.persica_gdr_reftransV1_0010046</v>
      </c>
      <c r="B10557" s="2">
        <v>1060</v>
      </c>
      <c r="C10557" s="4" t="str">
        <f>HYPERLINK("http://www.uniprot.org/uniprot/M5VJ45","M5VJ45")</f>
        <v>M5VJ45</v>
      </c>
      <c r="D10557" s="2" t="s">
        <v>2398</v>
      </c>
      <c r="E10557" s="3">
        <v>4.9000000000000004E-146</v>
      </c>
      <c r="F10557" s="2">
        <v>1106</v>
      </c>
      <c r="G10557" s="2">
        <v>100</v>
      </c>
      <c r="H10557" s="2">
        <v>205</v>
      </c>
      <c r="I10557" s="2">
        <v>444</v>
      </c>
      <c r="J10557" s="2">
        <v>1058</v>
      </c>
      <c r="K10557" s="2">
        <v>191</v>
      </c>
      <c r="L10557" s="2">
        <v>395</v>
      </c>
    </row>
    <row r="10558" spans="1:12" x14ac:dyDescent="0.25">
      <c r="A10558" s="4" t="str">
        <f>HYPERLINK("http://www.rosaceae.org/Prunus/Prunus_persica/p.persica_gdr_reftransV1_0010396","p.persica_gdr_reftransV1_0010396")</f>
        <v>p.persica_gdr_reftransV1_0010396</v>
      </c>
      <c r="B10558" s="2">
        <v>2030</v>
      </c>
      <c r="C10558" s="4" t="str">
        <f>HYPERLINK("http://www.uniprot.org/uniprot/M5W2D6","M5W2D6")</f>
        <v>M5W2D6</v>
      </c>
      <c r="D10558" s="2" t="s">
        <v>8823</v>
      </c>
      <c r="E10558" s="3">
        <v>0</v>
      </c>
      <c r="F10558" s="2">
        <v>2314</v>
      </c>
      <c r="G10558" s="2">
        <v>100</v>
      </c>
      <c r="H10558" s="2">
        <v>432</v>
      </c>
      <c r="I10558" s="2">
        <v>733</v>
      </c>
      <c r="J10558" s="2">
        <v>2028</v>
      </c>
      <c r="K10558" s="2">
        <v>234</v>
      </c>
      <c r="L10558" s="2">
        <v>665</v>
      </c>
    </row>
    <row r="10559" spans="1:12" x14ac:dyDescent="0.25">
      <c r="A10559" s="4" t="str">
        <f>HYPERLINK("http://www.rosaceae.org/Prunus/Prunus_persica/p.persica_gdr_reftransV1_0010746","p.persica_gdr_reftransV1_0010746")</f>
        <v>p.persica_gdr_reftransV1_0010746</v>
      </c>
      <c r="B10559" s="2">
        <v>1956</v>
      </c>
      <c r="C10559" s="4" t="str">
        <f>HYPERLINK("http://www.uniprot.org/uniprot/M5VN20","M5VN20")</f>
        <v>M5VN20</v>
      </c>
      <c r="D10559" s="2" t="s">
        <v>9030</v>
      </c>
      <c r="E10559" s="3">
        <v>0</v>
      </c>
      <c r="F10559" s="2">
        <v>1946</v>
      </c>
      <c r="G10559" s="2">
        <v>100</v>
      </c>
      <c r="H10559" s="2">
        <v>385</v>
      </c>
      <c r="I10559" s="2">
        <v>234</v>
      </c>
      <c r="J10559" s="2">
        <v>1388</v>
      </c>
      <c r="K10559" s="2">
        <v>1</v>
      </c>
      <c r="L10559" s="2">
        <v>385</v>
      </c>
    </row>
    <row r="10560" spans="1:12" x14ac:dyDescent="0.25">
      <c r="A10560" s="4" t="str">
        <f>HYPERLINK("http://www.rosaceae.org/Prunus/Prunus_persica/p.persica_gdr_reftransV1_0011096","p.persica_gdr_reftransV1_0011096")</f>
        <v>p.persica_gdr_reftransV1_0011096</v>
      </c>
      <c r="B10560" s="2">
        <v>2205</v>
      </c>
      <c r="C10560" s="4" t="str">
        <f>HYPERLINK("http://www.uniprot.org/uniprot/M5VPG1","M5VPG1")</f>
        <v>M5VPG1</v>
      </c>
      <c r="D10560" s="2" t="s">
        <v>9031</v>
      </c>
      <c r="E10560" s="3">
        <v>0</v>
      </c>
      <c r="F10560" s="2">
        <v>2476</v>
      </c>
      <c r="G10560" s="2">
        <v>93</v>
      </c>
      <c r="H10560" s="2">
        <v>552</v>
      </c>
      <c r="I10560" s="2">
        <v>397</v>
      </c>
      <c r="J10560" s="2">
        <v>2052</v>
      </c>
      <c r="K10560" s="2">
        <v>1</v>
      </c>
      <c r="L10560" s="2">
        <v>515</v>
      </c>
    </row>
    <row r="10561" spans="1:12" x14ac:dyDescent="0.25">
      <c r="A10561" s="4" t="str">
        <f>HYPERLINK("http://www.rosaceae.org/Prunus/Prunus_persica/p.persica_gdr_reftransV1_0011796","p.persica_gdr_reftransV1_0011796")</f>
        <v>p.persica_gdr_reftransV1_0011796</v>
      </c>
      <c r="B10561" s="2">
        <v>1067</v>
      </c>
      <c r="C10561" s="4" t="str">
        <f>HYPERLINK("http://www.uniprot.org/uniprot/M5WK18","M5WK18")</f>
        <v>M5WK18</v>
      </c>
      <c r="D10561" s="2" t="s">
        <v>337</v>
      </c>
      <c r="E10561" s="3">
        <v>0</v>
      </c>
      <c r="F10561" s="2">
        <v>1867</v>
      </c>
      <c r="G10561" s="2">
        <v>100</v>
      </c>
      <c r="H10561" s="2">
        <v>355</v>
      </c>
      <c r="I10561" s="2">
        <v>3</v>
      </c>
      <c r="J10561" s="2">
        <v>1067</v>
      </c>
      <c r="K10561" s="2">
        <v>364</v>
      </c>
      <c r="L10561" s="2">
        <v>718</v>
      </c>
    </row>
    <row r="10562" spans="1:12" x14ac:dyDescent="0.25">
      <c r="A10562" s="4" t="str">
        <f>HYPERLINK("http://www.rosaceae.org/Prunus/Prunus_persica/p.persica_gdr_reftransV1_0012146","p.persica_gdr_reftransV1_0012146")</f>
        <v>p.persica_gdr_reftransV1_0012146</v>
      </c>
      <c r="B10562" s="2">
        <v>1587</v>
      </c>
      <c r="C10562" s="4" t="str">
        <f>HYPERLINK("http://www.uniprot.org/uniprot/M5XGS0","M5XGS0")</f>
        <v>M5XGS0</v>
      </c>
      <c r="D10562" s="2" t="s">
        <v>9032</v>
      </c>
      <c r="E10562" s="3">
        <v>1.2299999999999999E-111</v>
      </c>
      <c r="F10562" s="2">
        <v>878</v>
      </c>
      <c r="G10562" s="2">
        <v>100</v>
      </c>
      <c r="H10562" s="2">
        <v>222</v>
      </c>
      <c r="I10562" s="2">
        <v>556</v>
      </c>
      <c r="J10562" s="2">
        <v>1221</v>
      </c>
      <c r="K10562" s="2">
        <v>1</v>
      </c>
      <c r="L10562" s="2">
        <v>222</v>
      </c>
    </row>
    <row r="10563" spans="1:12" x14ac:dyDescent="0.25">
      <c r="A10563" s="4" t="str">
        <f>HYPERLINK("http://www.rosaceae.org/Prunus/Prunus_persica/p.persica_gdr_reftransV1_0012496","p.persica_gdr_reftransV1_0012496")</f>
        <v>p.persica_gdr_reftransV1_0012496</v>
      </c>
      <c r="B10563" s="2">
        <v>480</v>
      </c>
      <c r="C10563" s="4" t="str">
        <f>HYPERLINK("http://www.uniprot.org/uniprot/M5W839","M5W839")</f>
        <v>M5W839</v>
      </c>
      <c r="D10563" s="2" t="s">
        <v>9033</v>
      </c>
      <c r="E10563" s="3">
        <v>1.13E-51</v>
      </c>
      <c r="F10563" s="2">
        <v>436</v>
      </c>
      <c r="G10563" s="2">
        <v>100</v>
      </c>
      <c r="H10563" s="2">
        <v>83</v>
      </c>
      <c r="I10563" s="2">
        <v>230</v>
      </c>
      <c r="J10563" s="2">
        <v>478</v>
      </c>
      <c r="K10563" s="2">
        <v>38</v>
      </c>
      <c r="L10563" s="2">
        <v>120</v>
      </c>
    </row>
    <row r="10564" spans="1:12" x14ac:dyDescent="0.25">
      <c r="A10564" s="4" t="str">
        <f>HYPERLINK("http://www.rosaceae.org/Prunus/Prunus_persica/p.persica_gdr_reftransV1_0012846","p.persica_gdr_reftransV1_0012846")</f>
        <v>p.persica_gdr_reftransV1_0012846</v>
      </c>
      <c r="B10564" s="2">
        <v>2895</v>
      </c>
      <c r="C10564" s="4" t="str">
        <f>HYPERLINK("http://www.uniprot.org/uniprot/M5W2M6","M5W2M6")</f>
        <v>M5W2M6</v>
      </c>
      <c r="D10564" s="2" t="s">
        <v>9034</v>
      </c>
      <c r="E10564" s="3">
        <v>0</v>
      </c>
      <c r="F10564" s="2">
        <v>3684</v>
      </c>
      <c r="G10564" s="2">
        <v>100</v>
      </c>
      <c r="H10564" s="2">
        <v>732</v>
      </c>
      <c r="I10564" s="2">
        <v>208</v>
      </c>
      <c r="J10564" s="2">
        <v>2403</v>
      </c>
      <c r="K10564" s="2">
        <v>1</v>
      </c>
      <c r="L10564" s="2">
        <v>732</v>
      </c>
    </row>
    <row r="10565" spans="1:12" x14ac:dyDescent="0.25">
      <c r="A10565" s="4" t="str">
        <f>HYPERLINK("http://www.rosaceae.org/Prunus/Prunus_persica/p.persica_gdr_reftransV1_0013196","p.persica_gdr_reftransV1_0013196")</f>
        <v>p.persica_gdr_reftransV1_0013196</v>
      </c>
      <c r="B10565" s="2">
        <v>2230</v>
      </c>
      <c r="C10565" s="4" t="str">
        <f>HYPERLINK("http://www.uniprot.org/uniprot/M5VQX8","M5VQX8")</f>
        <v>M5VQX8</v>
      </c>
      <c r="D10565" s="2" t="s">
        <v>5940</v>
      </c>
      <c r="E10565" s="3">
        <v>1.17E-137</v>
      </c>
      <c r="F10565" s="2">
        <v>1071</v>
      </c>
      <c r="G10565" s="2">
        <v>100</v>
      </c>
      <c r="H10565" s="2">
        <v>215</v>
      </c>
      <c r="I10565" s="2">
        <v>188</v>
      </c>
      <c r="J10565" s="2">
        <v>832</v>
      </c>
      <c r="K10565" s="2">
        <v>14</v>
      </c>
      <c r="L10565" s="2">
        <v>228</v>
      </c>
    </row>
    <row r="10566" spans="1:12" x14ac:dyDescent="0.25">
      <c r="A10566" s="4" t="str">
        <f>HYPERLINK("http://www.rosaceae.org/Prunus/Prunus_persica/p.persica_gdr_reftransV1_0013896","p.persica_gdr_reftransV1_0013896")</f>
        <v>p.persica_gdr_reftransV1_0013896</v>
      </c>
      <c r="B10566" s="2">
        <v>954</v>
      </c>
      <c r="C10566" s="4" t="str">
        <f>HYPERLINK("http://www.uniprot.org/uniprot/M5VJS7","M5VJS7")</f>
        <v>M5VJS7</v>
      </c>
      <c r="D10566" s="2" t="s">
        <v>9035</v>
      </c>
      <c r="E10566" s="3">
        <v>5.0999999999999998E-113</v>
      </c>
      <c r="F10566" s="2">
        <v>865</v>
      </c>
      <c r="G10566" s="2">
        <v>99</v>
      </c>
      <c r="H10566" s="2">
        <v>196</v>
      </c>
      <c r="I10566" s="2">
        <v>210</v>
      </c>
      <c r="J10566" s="2">
        <v>797</v>
      </c>
      <c r="K10566" s="2">
        <v>1</v>
      </c>
      <c r="L10566" s="2">
        <v>196</v>
      </c>
    </row>
    <row r="10567" spans="1:12" x14ac:dyDescent="0.25">
      <c r="A10567" s="4" t="str">
        <f>HYPERLINK("http://www.rosaceae.org/Prunus/Prunus_persica/p.persica_gdr_reftransV1_0015296","p.persica_gdr_reftransV1_0015296")</f>
        <v>p.persica_gdr_reftransV1_0015296</v>
      </c>
      <c r="B10567" s="2">
        <v>2533</v>
      </c>
      <c r="C10567" s="4" t="str">
        <f>HYPERLINK("http://www.uniprot.org/uniprot/M5WXG6","M5WXG6")</f>
        <v>M5WXG6</v>
      </c>
      <c r="D10567" s="2" t="s">
        <v>9036</v>
      </c>
      <c r="E10567" s="3">
        <v>0</v>
      </c>
      <c r="F10567" s="2">
        <v>2934</v>
      </c>
      <c r="G10567" s="2">
        <v>100</v>
      </c>
      <c r="H10567" s="2">
        <v>656</v>
      </c>
      <c r="I10567" s="2">
        <v>363</v>
      </c>
      <c r="J10567" s="2">
        <v>2330</v>
      </c>
      <c r="K10567" s="2">
        <v>1</v>
      </c>
      <c r="L10567" s="2">
        <v>656</v>
      </c>
    </row>
    <row r="10568" spans="1:12" x14ac:dyDescent="0.25">
      <c r="A10568" s="4" t="str">
        <f>HYPERLINK("http://www.rosaceae.org/Prunus/Prunus_persica/p.persica_gdr_reftransV1_0015646","p.persica_gdr_reftransV1_0015646")</f>
        <v>p.persica_gdr_reftransV1_0015646</v>
      </c>
      <c r="B10568" s="2">
        <v>2074</v>
      </c>
      <c r="C10568" s="4" t="str">
        <f>HYPERLINK("http://www.uniprot.org/uniprot/M5VQ20","M5VQ20")</f>
        <v>M5VQ20</v>
      </c>
      <c r="D10568" s="2" t="s">
        <v>9037</v>
      </c>
      <c r="E10568" s="3">
        <v>0</v>
      </c>
      <c r="F10568" s="2">
        <v>2143</v>
      </c>
      <c r="G10568" s="2">
        <v>100</v>
      </c>
      <c r="H10568" s="2">
        <v>416</v>
      </c>
      <c r="I10568" s="2">
        <v>254</v>
      </c>
      <c r="J10568" s="2">
        <v>1501</v>
      </c>
      <c r="K10568" s="2">
        <v>1</v>
      </c>
      <c r="L10568" s="2">
        <v>416</v>
      </c>
    </row>
    <row r="10569" spans="1:12" x14ac:dyDescent="0.25">
      <c r="A10569" s="4" t="str">
        <f>HYPERLINK("http://www.rosaceae.org/Prunus/Prunus_persica/p.persica_gdr_reftransV1_0015996","p.persica_gdr_reftransV1_0015996")</f>
        <v>p.persica_gdr_reftransV1_0015996</v>
      </c>
      <c r="B10569" s="2">
        <v>860</v>
      </c>
      <c r="C10569" s="4" t="str">
        <f>HYPERLINK("http://www.uniprot.org/uniprot/M5W3Y1","M5W3Y1")</f>
        <v>M5W3Y1</v>
      </c>
      <c r="D10569" s="2" t="s">
        <v>5906</v>
      </c>
      <c r="E10569" s="3">
        <v>3.5899999999999997E-145</v>
      </c>
      <c r="F10569" s="2">
        <v>1086</v>
      </c>
      <c r="G10569" s="2">
        <v>100</v>
      </c>
      <c r="H10569" s="2">
        <v>225</v>
      </c>
      <c r="I10569" s="2">
        <v>186</v>
      </c>
      <c r="J10569" s="2">
        <v>860</v>
      </c>
      <c r="K10569" s="2">
        <v>94</v>
      </c>
      <c r="L10569" s="2">
        <v>318</v>
      </c>
    </row>
    <row r="10570" spans="1:12" x14ac:dyDescent="0.25">
      <c r="A10570" s="4" t="str">
        <f>HYPERLINK("http://www.rosaceae.org/Prunus/Prunus_persica/p.persica_gdr_reftransV1_0016696","p.persica_gdr_reftransV1_0016696")</f>
        <v>p.persica_gdr_reftransV1_0016696</v>
      </c>
      <c r="B10570" s="2">
        <v>1063</v>
      </c>
      <c r="C10570" s="4" t="str">
        <f>HYPERLINK("http://www.uniprot.org/uniprot/M5VND4","M5VND4")</f>
        <v>M5VND4</v>
      </c>
      <c r="D10570" s="2" t="s">
        <v>9038</v>
      </c>
      <c r="E10570" s="3">
        <v>3.0600000000000001E-107</v>
      </c>
      <c r="F10570" s="2">
        <v>870</v>
      </c>
      <c r="G10570" s="2">
        <v>100</v>
      </c>
      <c r="H10570" s="2">
        <v>252</v>
      </c>
      <c r="I10570" s="2">
        <v>1</v>
      </c>
      <c r="J10570" s="2">
        <v>756</v>
      </c>
      <c r="K10570" s="2">
        <v>402</v>
      </c>
      <c r="L10570" s="2">
        <v>653</v>
      </c>
    </row>
    <row r="10571" spans="1:12" x14ac:dyDescent="0.25">
      <c r="A10571" s="4" t="str">
        <f>HYPERLINK("http://www.rosaceae.org/Prunus/Prunus_persica/p.persica_gdr_reftransV1_0017746","p.persica_gdr_reftransV1_0017746")</f>
        <v>p.persica_gdr_reftransV1_0017746</v>
      </c>
      <c r="B10571" s="2">
        <v>884</v>
      </c>
      <c r="C10571" s="4" t="str">
        <f>HYPERLINK("http://www.uniprot.org/uniprot/M5WPE1","M5WPE1")</f>
        <v>M5WPE1</v>
      </c>
      <c r="D10571" s="2" t="s">
        <v>9039</v>
      </c>
      <c r="E10571" s="3">
        <v>6.0099999999999996E-59</v>
      </c>
      <c r="F10571" s="2">
        <v>498</v>
      </c>
      <c r="G10571" s="2">
        <v>100</v>
      </c>
      <c r="H10571" s="2">
        <v>112</v>
      </c>
      <c r="I10571" s="2">
        <v>396</v>
      </c>
      <c r="J10571" s="2">
        <v>731</v>
      </c>
      <c r="K10571" s="2">
        <v>1</v>
      </c>
      <c r="L10571" s="2">
        <v>112</v>
      </c>
    </row>
    <row r="10572" spans="1:12" x14ac:dyDescent="0.25">
      <c r="A10572" s="4" t="str">
        <f>HYPERLINK("http://www.rosaceae.org/Prunus/Prunus_persica/p.persica_gdr_reftransV1_0018096","p.persica_gdr_reftransV1_0018096")</f>
        <v>p.persica_gdr_reftransV1_0018096</v>
      </c>
      <c r="B10572" s="2">
        <v>2380</v>
      </c>
      <c r="C10572" s="4" t="str">
        <f>HYPERLINK("http://www.uniprot.org/uniprot/M5WAP1","M5WAP1")</f>
        <v>M5WAP1</v>
      </c>
      <c r="D10572" s="2" t="s">
        <v>9040</v>
      </c>
      <c r="E10572" s="3">
        <v>8.2200000000000006E-135</v>
      </c>
      <c r="F10572" s="2">
        <v>1054</v>
      </c>
      <c r="G10572" s="2">
        <v>100</v>
      </c>
      <c r="H10572" s="2">
        <v>216</v>
      </c>
      <c r="I10572" s="2">
        <v>1346</v>
      </c>
      <c r="J10572" s="2">
        <v>1993</v>
      </c>
      <c r="K10572" s="2">
        <v>1</v>
      </c>
      <c r="L10572" s="2">
        <v>216</v>
      </c>
    </row>
    <row r="10573" spans="1:12" x14ac:dyDescent="0.25">
      <c r="A10573" s="4" t="str">
        <f>HYPERLINK("http://www.rosaceae.org/Prunus/Prunus_persica/p.persica_gdr_reftransV1_0018796","p.persica_gdr_reftransV1_0018796")</f>
        <v>p.persica_gdr_reftransV1_0018796</v>
      </c>
      <c r="B10573" s="2">
        <v>1328</v>
      </c>
      <c r="C10573" s="4" t="str">
        <f>HYPERLINK("http://www.uniprot.org/uniprot/M5XZ63","M5XZ63")</f>
        <v>M5XZ63</v>
      </c>
      <c r="D10573" s="2" t="s">
        <v>9041</v>
      </c>
      <c r="E10573" s="3">
        <v>0</v>
      </c>
      <c r="F10573" s="2">
        <v>1534</v>
      </c>
      <c r="G10573" s="2">
        <v>93</v>
      </c>
      <c r="H10573" s="2">
        <v>339</v>
      </c>
      <c r="I10573" s="2">
        <v>6</v>
      </c>
      <c r="J10573" s="2">
        <v>1022</v>
      </c>
      <c r="K10573" s="2">
        <v>28</v>
      </c>
      <c r="L10573" s="2">
        <v>366</v>
      </c>
    </row>
    <row r="10574" spans="1:12" x14ac:dyDescent="0.25">
      <c r="A10574" s="4" t="str">
        <f>HYPERLINK("http://www.rosaceae.org/Prunus/Prunus_persica/p.persica_gdr_reftransV1_0019496","p.persica_gdr_reftransV1_0019496")</f>
        <v>p.persica_gdr_reftransV1_0019496</v>
      </c>
      <c r="B10574" s="2">
        <v>2099</v>
      </c>
      <c r="C10574" s="4" t="str">
        <f>HYPERLINK("http://www.uniprot.org/uniprot/M5VM78","M5VM78")</f>
        <v>M5VM78</v>
      </c>
      <c r="D10574" s="2" t="s">
        <v>9042</v>
      </c>
      <c r="E10574" s="3">
        <v>0</v>
      </c>
      <c r="F10574" s="2">
        <v>2178</v>
      </c>
      <c r="G10574" s="2">
        <v>100</v>
      </c>
      <c r="H10574" s="2">
        <v>407</v>
      </c>
      <c r="I10574" s="2">
        <v>497</v>
      </c>
      <c r="J10574" s="2">
        <v>1717</v>
      </c>
      <c r="K10574" s="2">
        <v>1</v>
      </c>
      <c r="L10574" s="2">
        <v>407</v>
      </c>
    </row>
    <row r="10575" spans="1:12" x14ac:dyDescent="0.25">
      <c r="A10575" s="4" t="str">
        <f>HYPERLINK("http://www.rosaceae.org/Prunus/Prunus_persica/p.persica_gdr_reftransV1_0020896","p.persica_gdr_reftransV1_0020896")</f>
        <v>p.persica_gdr_reftransV1_0020896</v>
      </c>
      <c r="B10575" s="2">
        <v>1241</v>
      </c>
      <c r="C10575" s="4" t="str">
        <f>HYPERLINK("http://www.uniprot.org/uniprot/M5WI46","M5WI46")</f>
        <v>M5WI46</v>
      </c>
      <c r="D10575" s="2" t="s">
        <v>9043</v>
      </c>
      <c r="E10575" s="3">
        <v>1.1499999999999999E-157</v>
      </c>
      <c r="F10575" s="2">
        <v>1179</v>
      </c>
      <c r="G10575" s="2">
        <v>83</v>
      </c>
      <c r="H10575" s="2">
        <v>290</v>
      </c>
      <c r="I10575" s="2">
        <v>392</v>
      </c>
      <c r="J10575" s="2">
        <v>1129</v>
      </c>
      <c r="K10575" s="2">
        <v>1</v>
      </c>
      <c r="L10575" s="2">
        <v>290</v>
      </c>
    </row>
    <row r="10576" spans="1:12" x14ac:dyDescent="0.25">
      <c r="A10576" s="4" t="str">
        <f>HYPERLINK("http://www.rosaceae.org/Prunus/Prunus_persica/p.persica_gdr_reftransV1_0022646","p.persica_gdr_reftransV1_0022646")</f>
        <v>p.persica_gdr_reftransV1_0022646</v>
      </c>
      <c r="B10576" s="2">
        <v>2152</v>
      </c>
      <c r="C10576" s="4" t="str">
        <f>HYPERLINK("http://www.uniprot.org/uniprot/D7TEB5","D7TEB5")</f>
        <v>D7TEB5</v>
      </c>
      <c r="D10576" s="2" t="s">
        <v>9044</v>
      </c>
      <c r="E10576" s="3">
        <v>0</v>
      </c>
      <c r="F10576" s="2">
        <v>2273</v>
      </c>
      <c r="G10576" s="2">
        <v>71</v>
      </c>
      <c r="H10576" s="2">
        <v>662</v>
      </c>
      <c r="I10576" s="2">
        <v>80</v>
      </c>
      <c r="J10576" s="2">
        <v>2047</v>
      </c>
      <c r="K10576" s="2">
        <v>1</v>
      </c>
      <c r="L10576" s="2">
        <v>659</v>
      </c>
    </row>
    <row r="10577" spans="1:12" x14ac:dyDescent="0.25">
      <c r="A10577" s="4" t="str">
        <f>HYPERLINK("http://www.rosaceae.org/Prunus/Prunus_persica/p.persica_gdr_reftransV1_0023346","p.persica_gdr_reftransV1_0023346")</f>
        <v>p.persica_gdr_reftransV1_0023346</v>
      </c>
      <c r="B10577" s="2">
        <v>1752</v>
      </c>
      <c r="C10577" s="4" t="str">
        <f>HYPERLINK("http://www.uniprot.org/uniprot/J7H0M9","J7H0M9")</f>
        <v>J7H0M9</v>
      </c>
      <c r="D10577" s="2" t="s">
        <v>1816</v>
      </c>
      <c r="E10577" s="3">
        <v>1.4099999999999999E-51</v>
      </c>
      <c r="F10577" s="2">
        <v>469</v>
      </c>
      <c r="G10577" s="2">
        <v>97</v>
      </c>
      <c r="H10577" s="2">
        <v>96</v>
      </c>
      <c r="I10577" s="2">
        <v>1429</v>
      </c>
      <c r="J10577" s="2">
        <v>1716</v>
      </c>
      <c r="K10577" s="2">
        <v>1</v>
      </c>
      <c r="L10577" s="2">
        <v>96</v>
      </c>
    </row>
    <row r="10578" spans="1:12" x14ac:dyDescent="0.25">
      <c r="A10578" s="4" t="str">
        <f>HYPERLINK("http://www.rosaceae.org/Prunus/Prunus_persica/p.persica_gdr_reftransV1_0024046","p.persica_gdr_reftransV1_0024046")</f>
        <v>p.persica_gdr_reftransV1_0024046</v>
      </c>
      <c r="B10578" s="2">
        <v>2312</v>
      </c>
      <c r="C10578" s="4" t="str">
        <f>HYPERLINK("http://www.uniprot.org/uniprot/M5X8E9","M5X8E9")</f>
        <v>M5X8E9</v>
      </c>
      <c r="D10578" s="2" t="s">
        <v>9045</v>
      </c>
      <c r="E10578" s="3">
        <v>5.6599999999999999E-143</v>
      </c>
      <c r="F10578" s="2">
        <v>1123</v>
      </c>
      <c r="G10578" s="2">
        <v>100</v>
      </c>
      <c r="H10578" s="2">
        <v>213</v>
      </c>
      <c r="I10578" s="2">
        <v>1267</v>
      </c>
      <c r="J10578" s="2">
        <v>1905</v>
      </c>
      <c r="K10578" s="2">
        <v>160</v>
      </c>
      <c r="L10578" s="2">
        <v>372</v>
      </c>
    </row>
    <row r="10579" spans="1:12" x14ac:dyDescent="0.25">
      <c r="A10579" s="4" t="str">
        <f>HYPERLINK("http://www.rosaceae.org/Prunus/Prunus_persica/p.persica_gdr_reftransV1_0024746","p.persica_gdr_reftransV1_0024746")</f>
        <v>p.persica_gdr_reftransV1_0024746</v>
      </c>
      <c r="B10579" s="2">
        <v>2956</v>
      </c>
      <c r="C10579" s="4" t="str">
        <f>HYPERLINK("http://www.uniprot.org/uniprot/M5XLU9","M5XLU9")</f>
        <v>M5XLU9</v>
      </c>
      <c r="D10579" s="2" t="s">
        <v>9046</v>
      </c>
      <c r="E10579" s="3">
        <v>0</v>
      </c>
      <c r="F10579" s="2">
        <v>2706</v>
      </c>
      <c r="G10579" s="2">
        <v>94</v>
      </c>
      <c r="H10579" s="2">
        <v>554</v>
      </c>
      <c r="I10579" s="2">
        <v>436</v>
      </c>
      <c r="J10579" s="2">
        <v>2097</v>
      </c>
      <c r="K10579" s="2">
        <v>1</v>
      </c>
      <c r="L10579" s="2">
        <v>519</v>
      </c>
    </row>
    <row r="10580" spans="1:12" x14ac:dyDescent="0.25">
      <c r="A10580" s="4" t="str">
        <f>HYPERLINK("http://www.rosaceae.org/Prunus/Prunus_persica/p.persica_gdr_reftransV1_0025096","p.persica_gdr_reftransV1_0025096")</f>
        <v>p.persica_gdr_reftransV1_0025096</v>
      </c>
      <c r="B10580" s="2">
        <v>4637</v>
      </c>
      <c r="C10580" s="4" t="str">
        <f>HYPERLINK("http://www.uniprot.org/uniprot/M5VXL0","M5VXL0")</f>
        <v>M5VXL0</v>
      </c>
      <c r="D10580" s="2" t="s">
        <v>9047</v>
      </c>
      <c r="E10580" s="3">
        <v>0</v>
      </c>
      <c r="F10580" s="2">
        <v>4500</v>
      </c>
      <c r="G10580" s="2">
        <v>100</v>
      </c>
      <c r="H10580" s="2">
        <v>878</v>
      </c>
      <c r="I10580" s="2">
        <v>1705</v>
      </c>
      <c r="J10580" s="2">
        <v>4338</v>
      </c>
      <c r="K10580" s="2">
        <v>1</v>
      </c>
      <c r="L10580" s="2">
        <v>878</v>
      </c>
    </row>
    <row r="10581" spans="1:12" x14ac:dyDescent="0.25">
      <c r="A10581" s="4" t="str">
        <f>HYPERLINK("http://www.rosaceae.org/Prunus/Prunus_persica/p.persica_gdr_reftransV1_0025446","p.persica_gdr_reftransV1_0025446")</f>
        <v>p.persica_gdr_reftransV1_0025446</v>
      </c>
      <c r="B10581" s="2">
        <v>1538</v>
      </c>
      <c r="C10581" s="4" t="str">
        <f>HYPERLINK("http://www.uniprot.org/uniprot/Q56WX4","Q56WX4")</f>
        <v>Q56WX4</v>
      </c>
      <c r="D10581" s="2" t="s">
        <v>9048</v>
      </c>
      <c r="E10581" s="3">
        <v>5.4699999999999997E-154</v>
      </c>
      <c r="F10581" s="2">
        <v>1164</v>
      </c>
      <c r="G10581" s="2">
        <v>87</v>
      </c>
      <c r="H10581" s="2">
        <v>251</v>
      </c>
      <c r="I10581" s="2">
        <v>786</v>
      </c>
      <c r="J10581" s="2">
        <v>1538</v>
      </c>
      <c r="K10581" s="2">
        <v>38</v>
      </c>
      <c r="L10581" s="2">
        <v>288</v>
      </c>
    </row>
    <row r="10582" spans="1:12" x14ac:dyDescent="0.25">
      <c r="A10582" s="4" t="str">
        <f>HYPERLINK("http://www.rosaceae.org/Prunus/Prunus_persica/p.persica_gdr_reftransV1_0026146","p.persica_gdr_reftransV1_0026146")</f>
        <v>p.persica_gdr_reftransV1_0026146</v>
      </c>
      <c r="B10582" s="2">
        <v>1297</v>
      </c>
      <c r="C10582" s="4" t="str">
        <f>HYPERLINK("http://www.uniprot.org/uniprot/M5W1R3","M5W1R3")</f>
        <v>M5W1R3</v>
      </c>
      <c r="D10582" s="2" t="s">
        <v>9049</v>
      </c>
      <c r="E10582" s="3">
        <v>0</v>
      </c>
      <c r="F10582" s="2">
        <v>1625</v>
      </c>
      <c r="G10582" s="2">
        <v>99</v>
      </c>
      <c r="H10582" s="2">
        <v>332</v>
      </c>
      <c r="I10582" s="2">
        <v>263</v>
      </c>
      <c r="J10582" s="2">
        <v>1246</v>
      </c>
      <c r="K10582" s="2">
        <v>1</v>
      </c>
      <c r="L10582" s="2">
        <v>332</v>
      </c>
    </row>
    <row r="10583" spans="1:12" x14ac:dyDescent="0.25">
      <c r="A10583" s="4" t="str">
        <f>HYPERLINK("http://www.rosaceae.org/Prunus/Prunus_persica/p.persica_gdr_reftransV1_0026496","p.persica_gdr_reftransV1_0026496")</f>
        <v>p.persica_gdr_reftransV1_0026496</v>
      </c>
      <c r="B10583" s="2">
        <v>675</v>
      </c>
      <c r="C10583" s="4" t="str">
        <f>HYPERLINK("http://www.uniprot.org/uniprot/W9RXB9","W9RXB9")</f>
        <v>W9RXB9</v>
      </c>
      <c r="D10583" s="2" t="s">
        <v>9050</v>
      </c>
      <c r="E10583" s="3">
        <v>6.1699999999999996E-106</v>
      </c>
      <c r="F10583" s="2">
        <v>844</v>
      </c>
      <c r="G10583" s="2">
        <v>69</v>
      </c>
      <c r="H10583" s="2">
        <v>225</v>
      </c>
      <c r="I10583" s="2">
        <v>1</v>
      </c>
      <c r="J10583" s="2">
        <v>675</v>
      </c>
      <c r="K10583" s="2">
        <v>1</v>
      </c>
      <c r="L10583" s="2">
        <v>218</v>
      </c>
    </row>
    <row r="10584" spans="1:12" x14ac:dyDescent="0.25">
      <c r="A10584" s="4" t="str">
        <f>HYPERLINK("http://www.rosaceae.org/Prunus/Prunus_persica/p.persica_gdr_reftransV1_0027546","p.persica_gdr_reftransV1_0027546")</f>
        <v>p.persica_gdr_reftransV1_0027546</v>
      </c>
      <c r="B10584" s="2">
        <v>2135</v>
      </c>
      <c r="C10584" s="4" t="str">
        <f>HYPERLINK("http://www.uniprot.org/uniprot/M5VZ00","M5VZ00")</f>
        <v>M5VZ00</v>
      </c>
      <c r="D10584" s="2" t="s">
        <v>6099</v>
      </c>
      <c r="E10584" s="3">
        <v>0</v>
      </c>
      <c r="F10584" s="2">
        <v>1716</v>
      </c>
      <c r="G10584" s="2">
        <v>75</v>
      </c>
      <c r="H10584" s="2">
        <v>469</v>
      </c>
      <c r="I10584" s="2">
        <v>575</v>
      </c>
      <c r="J10584" s="2">
        <v>1963</v>
      </c>
      <c r="K10584" s="2">
        <v>110</v>
      </c>
      <c r="L10584" s="2">
        <v>480</v>
      </c>
    </row>
    <row r="10585" spans="1:12" x14ac:dyDescent="0.25">
      <c r="A10585" s="4" t="str">
        <f>HYPERLINK("http://www.rosaceae.org/Prunus/Prunus_persica/p.persica_gdr_reftransV1_0028596","p.persica_gdr_reftransV1_0028596")</f>
        <v>p.persica_gdr_reftransV1_0028596</v>
      </c>
      <c r="B10585" s="2">
        <v>3910</v>
      </c>
      <c r="C10585" s="4" t="str">
        <f>HYPERLINK("http://www.uniprot.org/uniprot/M5WXE4","M5WXE4")</f>
        <v>M5WXE4</v>
      </c>
      <c r="D10585" s="2" t="s">
        <v>9051</v>
      </c>
      <c r="E10585" s="3">
        <v>0</v>
      </c>
      <c r="F10585" s="2">
        <v>5128</v>
      </c>
      <c r="G10585" s="2">
        <v>100</v>
      </c>
      <c r="H10585" s="2">
        <v>988</v>
      </c>
      <c r="I10585" s="2">
        <v>614</v>
      </c>
      <c r="J10585" s="2">
        <v>3577</v>
      </c>
      <c r="K10585" s="2">
        <v>1</v>
      </c>
      <c r="L10585" s="2">
        <v>988</v>
      </c>
    </row>
    <row r="10586" spans="1:12" x14ac:dyDescent="0.25">
      <c r="A10586" s="4" t="str">
        <f>HYPERLINK("http://www.rosaceae.org/Prunus/Prunus_persica/p.persica_gdr_reftransV1_0028946","p.persica_gdr_reftransV1_0028946")</f>
        <v>p.persica_gdr_reftransV1_0028946</v>
      </c>
      <c r="B10586" s="2">
        <v>3323</v>
      </c>
      <c r="C10586" s="4" t="str">
        <f>HYPERLINK("http://www.uniprot.org/uniprot/M5XXT0","M5XXT0")</f>
        <v>M5XXT0</v>
      </c>
      <c r="D10586" s="2" t="s">
        <v>9052</v>
      </c>
      <c r="E10586" s="3">
        <v>0</v>
      </c>
      <c r="F10586" s="2">
        <v>5192</v>
      </c>
      <c r="G10586" s="2">
        <v>100</v>
      </c>
      <c r="H10586" s="2">
        <v>968</v>
      </c>
      <c r="I10586" s="2">
        <v>166</v>
      </c>
      <c r="J10586" s="2">
        <v>3069</v>
      </c>
      <c r="K10586" s="2">
        <v>1</v>
      </c>
      <c r="L10586" s="2">
        <v>968</v>
      </c>
    </row>
    <row r="10587" spans="1:12" x14ac:dyDescent="0.25">
      <c r="A10587" s="4" t="str">
        <f>HYPERLINK("http://www.rosaceae.org/Prunus/Prunus_persica/p.persica_gdr_reftransV1_0029646","p.persica_gdr_reftransV1_0029646")</f>
        <v>p.persica_gdr_reftransV1_0029646</v>
      </c>
      <c r="B10587" s="2">
        <v>6174</v>
      </c>
      <c r="C10587" s="4" t="str">
        <f>HYPERLINK("http://www.uniprot.org/uniprot/D5I3A1","D5I3A1")</f>
        <v>D5I3A1</v>
      </c>
      <c r="D10587" s="2" t="s">
        <v>9053</v>
      </c>
      <c r="E10587" s="3">
        <v>0</v>
      </c>
      <c r="F10587" s="2">
        <v>2433</v>
      </c>
      <c r="G10587" s="2">
        <v>93</v>
      </c>
      <c r="H10587" s="2">
        <v>563</v>
      </c>
      <c r="I10587" s="2">
        <v>799</v>
      </c>
      <c r="J10587" s="2">
        <v>2487</v>
      </c>
      <c r="K10587" s="2">
        <v>1</v>
      </c>
      <c r="L10587" s="2">
        <v>563</v>
      </c>
    </row>
    <row r="10588" spans="1:12" x14ac:dyDescent="0.25">
      <c r="A10588" s="4" t="str">
        <f>HYPERLINK("http://www.rosaceae.org/Prunus/Prunus_persica/p.persica_gdr_reftransV1_0038396","p.persica_gdr_reftransV1_0038396")</f>
        <v>p.persica_gdr_reftransV1_0038396</v>
      </c>
      <c r="B10588" s="2">
        <v>5827</v>
      </c>
      <c r="C10588" s="4" t="str">
        <f>HYPERLINK("http://www.uniprot.org/uniprot/M5W8C9","M5W8C9")</f>
        <v>M5W8C9</v>
      </c>
      <c r="D10588" s="2" t="s">
        <v>3552</v>
      </c>
      <c r="E10588" s="3">
        <v>0</v>
      </c>
      <c r="F10588" s="2">
        <v>5317</v>
      </c>
      <c r="G10588" s="2">
        <v>98</v>
      </c>
      <c r="H10588" s="2">
        <v>1064</v>
      </c>
      <c r="I10588" s="2">
        <v>1812</v>
      </c>
      <c r="J10588" s="2">
        <v>5003</v>
      </c>
      <c r="K10588" s="2">
        <v>261</v>
      </c>
      <c r="L10588" s="2">
        <v>1303</v>
      </c>
    </row>
    <row r="10589" spans="1:12" x14ac:dyDescent="0.25">
      <c r="A10589" s="4" t="str">
        <f>HYPERLINK("http://www.rosaceae.org/Prunus/Prunus_persica/p.persica_gdr_reftransV1_0038746","p.persica_gdr_reftransV1_0038746")</f>
        <v>p.persica_gdr_reftransV1_0038746</v>
      </c>
      <c r="B10589" s="2">
        <v>2721</v>
      </c>
      <c r="C10589" s="4" t="str">
        <f>HYPERLINK("http://www.uniprot.org/uniprot/M5VYX1","M5VYX1")</f>
        <v>M5VYX1</v>
      </c>
      <c r="D10589" s="2" t="s">
        <v>9054</v>
      </c>
      <c r="E10589" s="3">
        <v>0</v>
      </c>
      <c r="F10589" s="2">
        <v>2341</v>
      </c>
      <c r="G10589" s="2">
        <v>100</v>
      </c>
      <c r="H10589" s="2">
        <v>439</v>
      </c>
      <c r="I10589" s="2">
        <v>1207</v>
      </c>
      <c r="J10589" s="2">
        <v>2523</v>
      </c>
      <c r="K10589" s="2">
        <v>1</v>
      </c>
      <c r="L10589" s="2">
        <v>439</v>
      </c>
    </row>
    <row r="10590" spans="1:12" x14ac:dyDescent="0.25">
      <c r="A10590" s="4" t="str">
        <f>HYPERLINK("http://www.rosaceae.org/Prunus/Prunus_persica/p.persica_gdr_reftransV1_0039446","p.persica_gdr_reftransV1_0039446")</f>
        <v>p.persica_gdr_reftransV1_0039446</v>
      </c>
      <c r="B10590" s="2">
        <v>2225</v>
      </c>
      <c r="C10590" s="4" t="str">
        <f>HYPERLINK("http://www.uniprot.org/uniprot/M5X1W7","M5X1W7")</f>
        <v>M5X1W7</v>
      </c>
      <c r="D10590" s="2" t="s">
        <v>9055</v>
      </c>
      <c r="E10590" s="3">
        <v>1.32E-156</v>
      </c>
      <c r="F10590" s="2">
        <v>1191</v>
      </c>
      <c r="G10590" s="2">
        <v>100</v>
      </c>
      <c r="H10590" s="2">
        <v>225</v>
      </c>
      <c r="I10590" s="2">
        <v>427</v>
      </c>
      <c r="J10590" s="2">
        <v>1101</v>
      </c>
      <c r="K10590" s="2">
        <v>205</v>
      </c>
      <c r="L10590" s="2">
        <v>429</v>
      </c>
    </row>
    <row r="10591" spans="1:12" x14ac:dyDescent="0.25">
      <c r="A10591" s="4" t="str">
        <f>HYPERLINK("http://www.rosaceae.org/Prunus/Prunus_persica/p.persica_gdr_reftransV1_0043296","p.persica_gdr_reftransV1_0043296")</f>
        <v>p.persica_gdr_reftransV1_0043296</v>
      </c>
      <c r="B10591" s="2">
        <v>992</v>
      </c>
      <c r="C10591" s="4" t="str">
        <f>HYPERLINK("http://www.uniprot.org/uniprot/M5VQT1","M5VQT1")</f>
        <v>M5VQT1</v>
      </c>
      <c r="D10591" s="2" t="s">
        <v>9056</v>
      </c>
      <c r="E10591" s="3">
        <v>0</v>
      </c>
      <c r="F10591" s="2">
        <v>1359</v>
      </c>
      <c r="G10591" s="2">
        <v>100</v>
      </c>
      <c r="H10591" s="2">
        <v>257</v>
      </c>
      <c r="I10591" s="2">
        <v>107</v>
      </c>
      <c r="J10591" s="2">
        <v>877</v>
      </c>
      <c r="K10591" s="2">
        <v>1</v>
      </c>
      <c r="L10591" s="2">
        <v>257</v>
      </c>
    </row>
    <row r="10592" spans="1:12" x14ac:dyDescent="0.25">
      <c r="A10592" s="4" t="str">
        <f>HYPERLINK("http://www.rosaceae.org/Prunus/Prunus_persica/p.persica_gdr_reftransV1_0043646","p.persica_gdr_reftransV1_0043646")</f>
        <v>p.persica_gdr_reftransV1_0043646</v>
      </c>
      <c r="B10592" s="2">
        <v>1077</v>
      </c>
      <c r="C10592" s="4" t="str">
        <f>HYPERLINK("http://www.uniprot.org/uniprot/M5WBS2","M5WBS2")</f>
        <v>M5WBS2</v>
      </c>
      <c r="D10592" s="2" t="s">
        <v>9057</v>
      </c>
      <c r="E10592" s="3">
        <v>0</v>
      </c>
      <c r="F10592" s="2">
        <v>1353</v>
      </c>
      <c r="G10592" s="2">
        <v>75</v>
      </c>
      <c r="H10592" s="2">
        <v>362</v>
      </c>
      <c r="I10592" s="2">
        <v>10</v>
      </c>
      <c r="J10592" s="2">
        <v>1077</v>
      </c>
      <c r="K10592" s="2">
        <v>73</v>
      </c>
      <c r="L10592" s="2">
        <v>432</v>
      </c>
    </row>
    <row r="10593" spans="1:12" x14ac:dyDescent="0.25">
      <c r="A10593" s="4" t="str">
        <f>HYPERLINK("http://www.rosaceae.org/Prunus/Prunus_persica/p.persica_gdr_reftransV1_0044346","p.persica_gdr_reftransV1_0044346")</f>
        <v>p.persica_gdr_reftransV1_0044346</v>
      </c>
      <c r="B10593" s="2">
        <v>1409</v>
      </c>
      <c r="C10593" s="4" t="str">
        <f>HYPERLINK("http://www.uniprot.org/uniprot/M5VTD2","M5VTD2")</f>
        <v>M5VTD2</v>
      </c>
      <c r="D10593" s="2" t="s">
        <v>9058</v>
      </c>
      <c r="E10593" s="3">
        <v>5.2099999999999999E-98</v>
      </c>
      <c r="F10593" s="2">
        <v>778</v>
      </c>
      <c r="G10593" s="2">
        <v>99</v>
      </c>
      <c r="H10593" s="2">
        <v>144</v>
      </c>
      <c r="I10593" s="2">
        <v>175</v>
      </c>
      <c r="J10593" s="2">
        <v>606</v>
      </c>
      <c r="K10593" s="2">
        <v>1</v>
      </c>
      <c r="L10593" s="2">
        <v>144</v>
      </c>
    </row>
    <row r="10594" spans="1:12" x14ac:dyDescent="0.25">
      <c r="A10594" s="4" t="str">
        <f>HYPERLINK("http://www.rosaceae.org/Prunus/Prunus_persica/p.persica_gdr_reftransV1_0044696","p.persica_gdr_reftransV1_0044696")</f>
        <v>p.persica_gdr_reftransV1_0044696</v>
      </c>
      <c r="B10594" s="2">
        <v>1116</v>
      </c>
      <c r="C10594" s="4" t="str">
        <f>HYPERLINK("http://www.uniprot.org/uniprot/M5WN43","M5WN43")</f>
        <v>M5WN43</v>
      </c>
      <c r="D10594" s="2" t="s">
        <v>9059</v>
      </c>
      <c r="E10594" s="3">
        <v>0</v>
      </c>
      <c r="F10594" s="2">
        <v>1352</v>
      </c>
      <c r="G10594" s="2">
        <v>100</v>
      </c>
      <c r="H10594" s="2">
        <v>252</v>
      </c>
      <c r="I10594" s="2">
        <v>257</v>
      </c>
      <c r="J10594" s="2">
        <v>1012</v>
      </c>
      <c r="K10594" s="2">
        <v>1</v>
      </c>
      <c r="L10594" s="2">
        <v>252</v>
      </c>
    </row>
    <row r="10595" spans="1:12" x14ac:dyDescent="0.25">
      <c r="A10595" s="4" t="str">
        <f>HYPERLINK("http://www.rosaceae.org/Prunus/Prunus_persica/p.persica_gdr_reftransV1_0045046","p.persica_gdr_reftransV1_0045046")</f>
        <v>p.persica_gdr_reftransV1_0045046</v>
      </c>
      <c r="B10595" s="2">
        <v>4539</v>
      </c>
      <c r="C10595" s="4" t="str">
        <f>HYPERLINK("http://www.uniprot.org/uniprot/M5XKU2","M5XKU2")</f>
        <v>M5XKU2</v>
      </c>
      <c r="D10595" s="2" t="s">
        <v>9060</v>
      </c>
      <c r="E10595" s="3">
        <v>0</v>
      </c>
      <c r="F10595" s="2">
        <v>4363</v>
      </c>
      <c r="G10595" s="2">
        <v>100</v>
      </c>
      <c r="H10595" s="2">
        <v>867</v>
      </c>
      <c r="I10595" s="2">
        <v>419</v>
      </c>
      <c r="J10595" s="2">
        <v>3019</v>
      </c>
      <c r="K10595" s="2">
        <v>1</v>
      </c>
      <c r="L10595" s="2">
        <v>867</v>
      </c>
    </row>
    <row r="10596" spans="1:12" x14ac:dyDescent="0.25">
      <c r="A10596" s="4" t="str">
        <f>HYPERLINK("http://www.rosaceae.org/Prunus/Prunus_persica/p.persica_gdr_reftransV1_0045746","p.persica_gdr_reftransV1_0045746")</f>
        <v>p.persica_gdr_reftransV1_0045746</v>
      </c>
      <c r="B10596" s="2">
        <v>2273</v>
      </c>
      <c r="C10596" s="4" t="str">
        <f>HYPERLINK("http://www.uniprot.org/uniprot/M5Y2V8","M5Y2V8")</f>
        <v>M5Y2V8</v>
      </c>
      <c r="D10596" s="2" t="s">
        <v>4575</v>
      </c>
      <c r="E10596" s="3">
        <v>0</v>
      </c>
      <c r="F10596" s="2">
        <v>3294</v>
      </c>
      <c r="G10596" s="2">
        <v>100</v>
      </c>
      <c r="H10596" s="2">
        <v>621</v>
      </c>
      <c r="I10596" s="2">
        <v>410</v>
      </c>
      <c r="J10596" s="2">
        <v>2272</v>
      </c>
      <c r="K10596" s="2">
        <v>170</v>
      </c>
      <c r="L10596" s="2">
        <v>790</v>
      </c>
    </row>
    <row r="10597" spans="1:12" x14ac:dyDescent="0.25">
      <c r="A10597" s="4" t="str">
        <f>HYPERLINK("http://www.rosaceae.org/Prunus/Prunus_persica/p.persica_gdr_reftransV1_0046096","p.persica_gdr_reftransV1_0046096")</f>
        <v>p.persica_gdr_reftransV1_0046096</v>
      </c>
      <c r="B10597" s="2">
        <v>1932</v>
      </c>
      <c r="C10597" s="4" t="str">
        <f>HYPERLINK("http://www.uniprot.org/uniprot/M5XJG9","M5XJG9")</f>
        <v>M5XJG9</v>
      </c>
      <c r="D10597" s="2" t="s">
        <v>5038</v>
      </c>
      <c r="E10597" s="3">
        <v>0</v>
      </c>
      <c r="F10597" s="2">
        <v>2272</v>
      </c>
      <c r="G10597" s="2">
        <v>93</v>
      </c>
      <c r="H10597" s="2">
        <v>464</v>
      </c>
      <c r="I10597" s="2">
        <v>286</v>
      </c>
      <c r="J10597" s="2">
        <v>1677</v>
      </c>
      <c r="K10597" s="2">
        <v>1</v>
      </c>
      <c r="L10597" s="2">
        <v>449</v>
      </c>
    </row>
    <row r="10598" spans="1:12" x14ac:dyDescent="0.25">
      <c r="A10598" s="4" t="str">
        <f>HYPERLINK("http://www.rosaceae.org/Prunus/Prunus_persica/p.persica_gdr_reftransV1_0046446","p.persica_gdr_reftransV1_0046446")</f>
        <v>p.persica_gdr_reftransV1_0046446</v>
      </c>
      <c r="B10598" s="2">
        <v>398</v>
      </c>
      <c r="C10598" s="4" t="str">
        <f>HYPERLINK("http://www.uniprot.org/uniprot/M5WTF2","M5WTF2")</f>
        <v>M5WTF2</v>
      </c>
      <c r="D10598" s="2" t="s">
        <v>3128</v>
      </c>
      <c r="E10598" s="3">
        <v>1.41E-39</v>
      </c>
      <c r="F10598" s="2">
        <v>376</v>
      </c>
      <c r="G10598" s="2">
        <v>100</v>
      </c>
      <c r="H10598" s="2">
        <v>105</v>
      </c>
      <c r="I10598" s="2">
        <v>1</v>
      </c>
      <c r="J10598" s="2">
        <v>315</v>
      </c>
      <c r="K10598" s="2">
        <v>1</v>
      </c>
      <c r="L10598" s="2">
        <v>105</v>
      </c>
    </row>
    <row r="10599" spans="1:12" x14ac:dyDescent="0.25">
      <c r="A10599" s="4" t="str">
        <f>HYPERLINK("http://www.rosaceae.org/Prunus/Prunus_persica/p.persica_gdr_reftransV1_0046796","p.persica_gdr_reftransV1_0046796")</f>
        <v>p.persica_gdr_reftransV1_0046796</v>
      </c>
      <c r="B10599" s="2">
        <v>613</v>
      </c>
      <c r="C10599" s="4" t="str">
        <f>HYPERLINK("http://www.uniprot.org/uniprot/M5XZ51","M5XZ51")</f>
        <v>M5XZ51</v>
      </c>
      <c r="D10599" s="2" t="s">
        <v>9061</v>
      </c>
      <c r="E10599" s="3">
        <v>1.4800000000000001E-20</v>
      </c>
      <c r="F10599" s="2">
        <v>233</v>
      </c>
      <c r="G10599" s="2">
        <v>100</v>
      </c>
      <c r="H10599" s="2">
        <v>90</v>
      </c>
      <c r="I10599" s="2">
        <v>1</v>
      </c>
      <c r="J10599" s="2">
        <v>270</v>
      </c>
      <c r="K10599" s="2">
        <v>68</v>
      </c>
      <c r="L10599" s="2">
        <v>157</v>
      </c>
    </row>
    <row r="10600" spans="1:12" x14ac:dyDescent="0.25">
      <c r="A10600" s="4" t="str">
        <f>HYPERLINK("http://www.rosaceae.org/Prunus/Prunus_persica/p.persica_gdr_reftransV1_0047146","p.persica_gdr_reftransV1_0047146")</f>
        <v>p.persica_gdr_reftransV1_0047146</v>
      </c>
      <c r="B10600" s="2">
        <v>1316</v>
      </c>
      <c r="C10600" s="4" t="str">
        <f>HYPERLINK("http://www.uniprot.org/uniprot/M5XSN4","M5XSN4")</f>
        <v>M5XSN4</v>
      </c>
      <c r="D10600" s="2" t="s">
        <v>2655</v>
      </c>
      <c r="E10600" s="3">
        <v>0</v>
      </c>
      <c r="F10600" s="2">
        <v>1515</v>
      </c>
      <c r="G10600" s="2">
        <v>98</v>
      </c>
      <c r="H10600" s="2">
        <v>327</v>
      </c>
      <c r="I10600" s="2">
        <v>309</v>
      </c>
      <c r="J10600" s="2">
        <v>1289</v>
      </c>
      <c r="K10600" s="2">
        <v>1</v>
      </c>
      <c r="L10600" s="2">
        <v>327</v>
      </c>
    </row>
    <row r="10601" spans="1:12" x14ac:dyDescent="0.25">
      <c r="A10601" s="4" t="str">
        <f>HYPERLINK("http://www.rosaceae.org/Prunus/Prunus_persica/p.persica_gdr_reftransV1_0047496","p.persica_gdr_reftransV1_0047496")</f>
        <v>p.persica_gdr_reftransV1_0047496</v>
      </c>
      <c r="B10601" s="2">
        <v>740</v>
      </c>
      <c r="C10601" s="4" t="str">
        <f>HYPERLINK("http://www.uniprot.org/uniprot/M5WVE4","M5WVE4")</f>
        <v>M5WVE4</v>
      </c>
      <c r="D10601" s="2" t="s">
        <v>1356</v>
      </c>
      <c r="E10601" s="3">
        <v>1.67E-92</v>
      </c>
      <c r="F10601" s="2">
        <v>539</v>
      </c>
      <c r="G10601" s="2">
        <v>97</v>
      </c>
      <c r="H10601" s="2">
        <v>106</v>
      </c>
      <c r="I10601" s="2">
        <v>120</v>
      </c>
      <c r="J10601" s="2">
        <v>437</v>
      </c>
      <c r="K10601" s="2">
        <v>1</v>
      </c>
      <c r="L10601" s="2">
        <v>106</v>
      </c>
    </row>
    <row r="10602" spans="1:12" x14ac:dyDescent="0.25">
      <c r="A10602" s="4" t="str">
        <f>HYPERLINK("http://www.rosaceae.org/Prunus/Prunus_persica/p.persica_gdr_reftransV1_0048196","p.persica_gdr_reftransV1_0048196")</f>
        <v>p.persica_gdr_reftransV1_0048196</v>
      </c>
      <c r="B10602" s="2">
        <v>358</v>
      </c>
      <c r="C10602" s="4" t="str">
        <f>HYPERLINK("http://www.uniprot.org/uniprot/M5WRP3","M5WRP3")</f>
        <v>M5WRP3</v>
      </c>
      <c r="D10602" s="2" t="s">
        <v>9062</v>
      </c>
      <c r="E10602" s="3">
        <v>7.3299999999999995E-51</v>
      </c>
      <c r="F10602" s="2">
        <v>428</v>
      </c>
      <c r="G10602" s="2">
        <v>100</v>
      </c>
      <c r="H10602" s="2">
        <v>119</v>
      </c>
      <c r="I10602" s="2">
        <v>2</v>
      </c>
      <c r="J10602" s="2">
        <v>358</v>
      </c>
      <c r="K10602" s="2">
        <v>6</v>
      </c>
      <c r="L10602" s="2">
        <v>124</v>
      </c>
    </row>
    <row r="10603" spans="1:12" x14ac:dyDescent="0.25">
      <c r="A10603" s="4" t="str">
        <f>HYPERLINK("http://www.rosaceae.org/Prunus/Prunus_persica/p.persica_gdr_reftransV1_0048546","p.persica_gdr_reftransV1_0048546")</f>
        <v>p.persica_gdr_reftransV1_0048546</v>
      </c>
      <c r="B10603" s="2">
        <v>446</v>
      </c>
      <c r="C10603" s="4" t="str">
        <f>HYPERLINK("http://www.uniprot.org/uniprot/M5Wid3","M5Wid3")</f>
        <v>M5Wid3</v>
      </c>
      <c r="D10603" s="2" t="s">
        <v>49</v>
      </c>
      <c r="E10603" s="3">
        <v>1.8000000000000001E-71</v>
      </c>
      <c r="F10603" s="2">
        <v>616</v>
      </c>
      <c r="G10603" s="2">
        <v>100</v>
      </c>
      <c r="H10603" s="2">
        <v>148</v>
      </c>
      <c r="I10603" s="2">
        <v>2</v>
      </c>
      <c r="J10603" s="2">
        <v>445</v>
      </c>
      <c r="K10603" s="2">
        <v>850</v>
      </c>
      <c r="L10603" s="2">
        <v>997</v>
      </c>
    </row>
    <row r="10604" spans="1:12" x14ac:dyDescent="0.25">
      <c r="A10604" s="4" t="str">
        <f>HYPERLINK("http://www.rosaceae.org/Prunus/Prunus_persica/p.persica_gdr_reftransV1_0048896","p.persica_gdr_reftransV1_0048896")</f>
        <v>p.persica_gdr_reftransV1_0048896</v>
      </c>
      <c r="B10604" s="2">
        <v>1959</v>
      </c>
      <c r="C10604" s="4" t="str">
        <f>HYPERLINK("http://www.uniprot.org/uniprot/M5VM30","M5VM30")</f>
        <v>M5VM30</v>
      </c>
      <c r="D10604" s="2" t="s">
        <v>5973</v>
      </c>
      <c r="E10604" s="3">
        <v>0</v>
      </c>
      <c r="F10604" s="2">
        <v>2212</v>
      </c>
      <c r="G10604" s="2">
        <v>100</v>
      </c>
      <c r="H10604" s="2">
        <v>426</v>
      </c>
      <c r="I10604" s="2">
        <v>301</v>
      </c>
      <c r="J10604" s="2">
        <v>1578</v>
      </c>
      <c r="K10604" s="2">
        <v>1</v>
      </c>
      <c r="L10604" s="2">
        <v>426</v>
      </c>
    </row>
    <row r="10605" spans="1:12" x14ac:dyDescent="0.25">
      <c r="A10605" s="4" t="str">
        <f>HYPERLINK("http://www.rosaceae.org/Prunus/Prunus_persica/p.persica_gdr_reftransV1_0000247","p.persica_gdr_reftransV1_0000247")</f>
        <v>p.persica_gdr_reftransV1_0000247</v>
      </c>
      <c r="B10605" s="2">
        <v>2495</v>
      </c>
      <c r="C10605" s="4" t="str">
        <f>HYPERLINK("http://www.uniprot.org/uniprot/M5VXN7","M5VXN7")</f>
        <v>M5VXN7</v>
      </c>
      <c r="D10605" s="2" t="s">
        <v>9063</v>
      </c>
      <c r="E10605" s="3">
        <v>0</v>
      </c>
      <c r="F10605" s="2">
        <v>2897</v>
      </c>
      <c r="G10605" s="2">
        <v>99</v>
      </c>
      <c r="H10605" s="2">
        <v>583</v>
      </c>
      <c r="I10605" s="2">
        <v>277</v>
      </c>
      <c r="J10605" s="2">
        <v>2025</v>
      </c>
      <c r="K10605" s="2">
        <v>1</v>
      </c>
      <c r="L10605" s="2">
        <v>579</v>
      </c>
    </row>
    <row r="10606" spans="1:12" x14ac:dyDescent="0.25">
      <c r="A10606" s="4" t="str">
        <f>HYPERLINK("http://www.rosaceae.org/Prunus/Prunus_persica/p.persica_gdr_reftransV1_0000597","p.persica_gdr_reftransV1_0000597")</f>
        <v>p.persica_gdr_reftransV1_0000597</v>
      </c>
      <c r="B10606" s="2">
        <v>335</v>
      </c>
      <c r="C10606" s="4" t="str">
        <f>HYPERLINK("http://www.uniprot.org/uniprot/M5WQ07","M5WQ07")</f>
        <v>M5WQ07</v>
      </c>
      <c r="D10606" s="2" t="s">
        <v>8529</v>
      </c>
      <c r="E10606" s="3">
        <v>4.8199999999999997E-74</v>
      </c>
      <c r="F10606" s="2">
        <v>599</v>
      </c>
      <c r="G10606" s="2">
        <v>100</v>
      </c>
      <c r="H10606" s="2">
        <v>111</v>
      </c>
      <c r="I10606" s="2">
        <v>2</v>
      </c>
      <c r="J10606" s="2">
        <v>334</v>
      </c>
      <c r="K10606" s="2">
        <v>142</v>
      </c>
      <c r="L10606" s="2">
        <v>252</v>
      </c>
    </row>
    <row r="10607" spans="1:12" x14ac:dyDescent="0.25">
      <c r="A10607" s="4" t="str">
        <f>HYPERLINK("http://www.rosaceae.org/Prunus/Prunus_persica/p.persica_gdr_reftransV1_0000947","p.persica_gdr_reftransV1_0000947")</f>
        <v>p.persica_gdr_reftransV1_0000947</v>
      </c>
      <c r="B10607" s="2">
        <v>1160</v>
      </c>
      <c r="C10607" s="4" t="str">
        <f>HYPERLINK("http://www.uniprot.org/uniprot/M5WSK4","M5WSK4")</f>
        <v>M5WSK4</v>
      </c>
      <c r="D10607" s="2" t="s">
        <v>9064</v>
      </c>
      <c r="E10607" s="3">
        <v>0</v>
      </c>
      <c r="F10607" s="2">
        <v>1555</v>
      </c>
      <c r="G10607" s="2">
        <v>92</v>
      </c>
      <c r="H10607" s="2">
        <v>332</v>
      </c>
      <c r="I10607" s="2">
        <v>165</v>
      </c>
      <c r="J10607" s="2">
        <v>1160</v>
      </c>
      <c r="K10607" s="2">
        <v>5</v>
      </c>
      <c r="L10607" s="2">
        <v>336</v>
      </c>
    </row>
    <row r="10608" spans="1:12" x14ac:dyDescent="0.25">
      <c r="A10608" s="4" t="str">
        <f>HYPERLINK("http://www.rosaceae.org/Prunus/Prunus_persica/p.persica_gdr_reftransV1_0001297","p.persica_gdr_reftransV1_0001297")</f>
        <v>p.persica_gdr_reftransV1_0001297</v>
      </c>
      <c r="B10608" s="2">
        <v>7408</v>
      </c>
      <c r="C10608" s="4" t="str">
        <f>HYPERLINK("http://www.uniprot.org/uniprot/Q65980","Q65980")</f>
        <v>Q65980</v>
      </c>
      <c r="D10608" s="2" t="s">
        <v>9065</v>
      </c>
      <c r="E10608" s="3">
        <v>0</v>
      </c>
      <c r="F10608" s="2">
        <v>10996</v>
      </c>
      <c r="G10608" s="2">
        <v>90</v>
      </c>
      <c r="H10608" s="2">
        <v>2342</v>
      </c>
      <c r="I10608" s="2">
        <v>285</v>
      </c>
      <c r="J10608" s="2">
        <v>7310</v>
      </c>
      <c r="K10608" s="2">
        <v>1</v>
      </c>
      <c r="L10608" s="2">
        <v>2342</v>
      </c>
    </row>
    <row r="10609" spans="1:12" x14ac:dyDescent="0.25">
      <c r="A10609" s="4" t="str">
        <f>HYPERLINK("http://www.rosaceae.org/Prunus/Prunus_persica/p.persica_gdr_reftransV1_0001647","p.persica_gdr_reftransV1_0001647")</f>
        <v>p.persica_gdr_reftransV1_0001647</v>
      </c>
      <c r="B10609" s="2">
        <v>625</v>
      </c>
      <c r="C10609" s="4" t="str">
        <f>HYPERLINK("http://www.uniprot.org/uniprot/M5WZD6","M5WZD6")</f>
        <v>M5WZD6</v>
      </c>
      <c r="D10609" s="2" t="s">
        <v>9066</v>
      </c>
      <c r="E10609" s="3">
        <v>8.3400000000000002E-89</v>
      </c>
      <c r="F10609" s="2">
        <v>688</v>
      </c>
      <c r="G10609" s="2">
        <v>100</v>
      </c>
      <c r="H10609" s="2">
        <v>132</v>
      </c>
      <c r="I10609" s="2">
        <v>190</v>
      </c>
      <c r="J10609" s="2">
        <v>585</v>
      </c>
      <c r="K10609" s="2">
        <v>1</v>
      </c>
      <c r="L10609" s="2">
        <v>132</v>
      </c>
    </row>
    <row r="10610" spans="1:12" x14ac:dyDescent="0.25">
      <c r="A10610" s="4" t="str">
        <f>HYPERLINK("http://www.rosaceae.org/Prunus/Prunus_persica/p.persica_gdr_reftransV1_0001997","p.persica_gdr_reftransV1_0001997")</f>
        <v>p.persica_gdr_reftransV1_0001997</v>
      </c>
      <c r="B10610" s="2">
        <v>2037</v>
      </c>
      <c r="C10610" s="4" t="str">
        <f>HYPERLINK("http://www.uniprot.org/uniprot/M5XAZ2","M5XAZ2")</f>
        <v>M5XAZ2</v>
      </c>
      <c r="D10610" s="2" t="s">
        <v>9067</v>
      </c>
      <c r="E10610" s="3">
        <v>0</v>
      </c>
      <c r="F10610" s="2">
        <v>2602</v>
      </c>
      <c r="G10610" s="2">
        <v>85</v>
      </c>
      <c r="H10610" s="2">
        <v>611</v>
      </c>
      <c r="I10610" s="2">
        <v>285</v>
      </c>
      <c r="J10610" s="2">
        <v>2036</v>
      </c>
      <c r="K10610" s="2">
        <v>1</v>
      </c>
      <c r="L10610" s="2">
        <v>611</v>
      </c>
    </row>
    <row r="10611" spans="1:12" x14ac:dyDescent="0.25">
      <c r="A10611" s="4" t="str">
        <f>HYPERLINK("http://www.rosaceae.org/Prunus/Prunus_persica/p.persica_gdr_reftransV1_0002347","p.persica_gdr_reftransV1_0002347")</f>
        <v>p.persica_gdr_reftransV1_0002347</v>
      </c>
      <c r="B10611" s="2">
        <v>659</v>
      </c>
      <c r="C10611" s="4" t="str">
        <f>HYPERLINK("http://www.uniprot.org/uniprot/A0A084GCK7","A0A084GCK7")</f>
        <v>A0A084GCK7</v>
      </c>
      <c r="D10611" s="2" t="s">
        <v>9068</v>
      </c>
      <c r="E10611" s="3">
        <v>1.64E-140</v>
      </c>
      <c r="F10611" s="2">
        <v>1080</v>
      </c>
      <c r="G10611" s="2">
        <v>89</v>
      </c>
      <c r="H10611" s="2">
        <v>217</v>
      </c>
      <c r="I10611" s="2">
        <v>3</v>
      </c>
      <c r="J10611" s="2">
        <v>653</v>
      </c>
      <c r="K10611" s="2">
        <v>319</v>
      </c>
      <c r="L10611" s="2">
        <v>535</v>
      </c>
    </row>
    <row r="10612" spans="1:12" x14ac:dyDescent="0.25">
      <c r="A10612" s="4" t="str">
        <f>HYPERLINK("http://www.rosaceae.org/Prunus/Prunus_persica/p.persica_gdr_reftransV1_0002697","p.persica_gdr_reftransV1_0002697")</f>
        <v>p.persica_gdr_reftransV1_0002697</v>
      </c>
      <c r="B10612" s="2">
        <v>1823</v>
      </c>
      <c r="C10612" s="4" t="str">
        <f>HYPERLINK("http://www.uniprot.org/uniprot/M5VNW3","M5VNW3")</f>
        <v>M5VNW3</v>
      </c>
      <c r="D10612" s="2" t="s">
        <v>9069</v>
      </c>
      <c r="E10612" s="3">
        <v>0</v>
      </c>
      <c r="F10612" s="2">
        <v>1787</v>
      </c>
      <c r="G10612" s="2">
        <v>99</v>
      </c>
      <c r="H10612" s="2">
        <v>351</v>
      </c>
      <c r="I10612" s="2">
        <v>344</v>
      </c>
      <c r="J10612" s="2">
        <v>1396</v>
      </c>
      <c r="K10612" s="2">
        <v>1</v>
      </c>
      <c r="L10612" s="2">
        <v>351</v>
      </c>
    </row>
    <row r="10613" spans="1:12" x14ac:dyDescent="0.25">
      <c r="A10613" s="4" t="str">
        <f>HYPERLINK("http://www.rosaceae.org/Prunus/Prunus_persica/p.persica_gdr_reftransV1_0003047","p.persica_gdr_reftransV1_0003047")</f>
        <v>p.persica_gdr_reftransV1_0003047</v>
      </c>
      <c r="B10613" s="2">
        <v>1375</v>
      </c>
      <c r="C10613" s="4" t="str">
        <f>HYPERLINK("http://www.uniprot.org/uniprot/M5XZW9","M5XZW9")</f>
        <v>M5XZW9</v>
      </c>
      <c r="D10613" s="2" t="s">
        <v>9007</v>
      </c>
      <c r="E10613" s="3">
        <v>1.2E-133</v>
      </c>
      <c r="F10613" s="2">
        <v>1015</v>
      </c>
      <c r="G10613" s="2">
        <v>100</v>
      </c>
      <c r="H10613" s="2">
        <v>192</v>
      </c>
      <c r="I10613" s="2">
        <v>197</v>
      </c>
      <c r="J10613" s="2">
        <v>772</v>
      </c>
      <c r="K10613" s="2">
        <v>1</v>
      </c>
      <c r="L10613" s="2">
        <v>192</v>
      </c>
    </row>
    <row r="10614" spans="1:12" x14ac:dyDescent="0.25">
      <c r="A10614" s="4" t="str">
        <f>HYPERLINK("http://www.rosaceae.org/Prunus/Prunus_persica/p.persica_gdr_reftransV1_0003397","p.persica_gdr_reftransV1_0003397")</f>
        <v>p.persica_gdr_reftransV1_0003397</v>
      </c>
      <c r="B10614" s="2">
        <v>1401</v>
      </c>
      <c r="C10614" s="4" t="str">
        <f>HYPERLINK("http://www.uniprot.org/uniprot/M5XVU2","M5XVU2")</f>
        <v>M5XVU2</v>
      </c>
      <c r="D10614" s="2" t="s">
        <v>9070</v>
      </c>
      <c r="E10614" s="3">
        <v>8.2500000000000002E-175</v>
      </c>
      <c r="F10614" s="2">
        <v>1305</v>
      </c>
      <c r="G10614" s="2">
        <v>100</v>
      </c>
      <c r="H10614" s="2">
        <v>242</v>
      </c>
      <c r="I10614" s="2">
        <v>547</v>
      </c>
      <c r="J10614" s="2">
        <v>1272</v>
      </c>
      <c r="K10614" s="2">
        <v>64</v>
      </c>
      <c r="L10614" s="2">
        <v>305</v>
      </c>
    </row>
    <row r="10615" spans="1:12" x14ac:dyDescent="0.25">
      <c r="A10615" s="4" t="str">
        <f>HYPERLINK("http://www.rosaceae.org/Prunus/Prunus_persica/p.persica_gdr_reftransV1_0004447","p.persica_gdr_reftransV1_0004447")</f>
        <v>p.persica_gdr_reftransV1_0004447</v>
      </c>
      <c r="B10615" s="2">
        <v>1158</v>
      </c>
      <c r="C10615" s="4" t="str">
        <f>HYPERLINK("http://www.uniprot.org/uniprot/M5VNV9","M5VNV9")</f>
        <v>M5VNV9</v>
      </c>
      <c r="D10615" s="2" t="s">
        <v>2417</v>
      </c>
      <c r="E10615" s="3">
        <v>1.4900000000000001E-154</v>
      </c>
      <c r="F10615" s="2">
        <v>1152</v>
      </c>
      <c r="G10615" s="2">
        <v>100</v>
      </c>
      <c r="H10615" s="2">
        <v>213</v>
      </c>
      <c r="I10615" s="2">
        <v>327</v>
      </c>
      <c r="J10615" s="2">
        <v>965</v>
      </c>
      <c r="K10615" s="2">
        <v>43</v>
      </c>
      <c r="L10615" s="2">
        <v>255</v>
      </c>
    </row>
    <row r="10616" spans="1:12" x14ac:dyDescent="0.25">
      <c r="A10616" s="4" t="str">
        <f>HYPERLINK("http://www.rosaceae.org/Prunus/Prunus_persica/p.persica_gdr_reftransV1_0005147","p.persica_gdr_reftransV1_0005147")</f>
        <v>p.persica_gdr_reftransV1_0005147</v>
      </c>
      <c r="B10616" s="2">
        <v>1831</v>
      </c>
      <c r="C10616" s="4" t="str">
        <f>HYPERLINK("http://www.uniprot.org/uniprot/M5XS55","M5XS55")</f>
        <v>M5XS55</v>
      </c>
      <c r="D10616" s="2" t="s">
        <v>9071</v>
      </c>
      <c r="E10616" s="3">
        <v>0</v>
      </c>
      <c r="F10616" s="2">
        <v>2776</v>
      </c>
      <c r="G10616" s="2">
        <v>100</v>
      </c>
      <c r="H10616" s="2">
        <v>535</v>
      </c>
      <c r="I10616" s="2">
        <v>226</v>
      </c>
      <c r="J10616" s="2">
        <v>1830</v>
      </c>
      <c r="K10616" s="2">
        <v>21</v>
      </c>
      <c r="L10616" s="2">
        <v>555</v>
      </c>
    </row>
    <row r="10617" spans="1:12" x14ac:dyDescent="0.25">
      <c r="A10617" s="4" t="str">
        <f>HYPERLINK("http://www.rosaceae.org/Prunus/Prunus_persica/p.persica_gdr_reftransV1_0005847","p.persica_gdr_reftransV1_0005847")</f>
        <v>p.persica_gdr_reftransV1_0005847</v>
      </c>
      <c r="B10617" s="2">
        <v>1012</v>
      </c>
      <c r="C10617" s="4" t="str">
        <f>HYPERLINK("http://www.uniprot.org/uniprot/M5VU95","M5VU95")</f>
        <v>M5VU95</v>
      </c>
      <c r="D10617" s="2" t="s">
        <v>9072</v>
      </c>
      <c r="E10617" s="3">
        <v>0</v>
      </c>
      <c r="F10617" s="2">
        <v>1550</v>
      </c>
      <c r="G10617" s="2">
        <v>100</v>
      </c>
      <c r="H10617" s="2">
        <v>288</v>
      </c>
      <c r="I10617" s="2">
        <v>2</v>
      </c>
      <c r="J10617" s="2">
        <v>865</v>
      </c>
      <c r="K10617" s="2">
        <v>175</v>
      </c>
      <c r="L10617" s="2">
        <v>462</v>
      </c>
    </row>
    <row r="10618" spans="1:12" x14ac:dyDescent="0.25">
      <c r="A10618" s="4" t="str">
        <f>HYPERLINK("http://www.rosaceae.org/Prunus/Prunus_persica/p.persica_gdr_reftransV1_0006197","p.persica_gdr_reftransV1_0006197")</f>
        <v>p.persica_gdr_reftransV1_0006197</v>
      </c>
      <c r="B10618" s="2">
        <v>349</v>
      </c>
      <c r="C10618" s="4" t="str">
        <f>HYPERLINK("http://www.uniprot.org/uniprot/M5X4G6","M5X4G6")</f>
        <v>M5X4G6</v>
      </c>
      <c r="D10618" s="2" t="s">
        <v>9073</v>
      </c>
      <c r="E10618" s="3">
        <v>1.12E-69</v>
      </c>
      <c r="F10618" s="2">
        <v>596</v>
      </c>
      <c r="G10618" s="2">
        <v>100</v>
      </c>
      <c r="H10618" s="2">
        <v>116</v>
      </c>
      <c r="I10618" s="2">
        <v>2</v>
      </c>
      <c r="J10618" s="2">
        <v>349</v>
      </c>
      <c r="K10618" s="2">
        <v>665</v>
      </c>
      <c r="L10618" s="2">
        <v>780</v>
      </c>
    </row>
    <row r="10619" spans="1:12" x14ac:dyDescent="0.25">
      <c r="A10619" s="4" t="str">
        <f>HYPERLINK("http://www.rosaceae.org/Prunus/Prunus_persica/p.persica_gdr_reftransV1_0007247","p.persica_gdr_reftransV1_0007247")</f>
        <v>p.persica_gdr_reftransV1_0007247</v>
      </c>
      <c r="B10619" s="2">
        <v>799</v>
      </c>
      <c r="C10619" s="4" t="str">
        <f>HYPERLINK("http://www.uniprot.org/uniprot/M5WHC4","M5WHC4")</f>
        <v>M5WHC4</v>
      </c>
      <c r="D10619" s="2" t="s">
        <v>9074</v>
      </c>
      <c r="E10619" s="3">
        <v>3.5299999999999998E-48</v>
      </c>
      <c r="F10619" s="2">
        <v>433</v>
      </c>
      <c r="G10619" s="2">
        <v>100</v>
      </c>
      <c r="H10619" s="2">
        <v>80</v>
      </c>
      <c r="I10619" s="2">
        <v>329</v>
      </c>
      <c r="J10619" s="2">
        <v>568</v>
      </c>
      <c r="K10619" s="2">
        <v>170</v>
      </c>
      <c r="L10619" s="2">
        <v>249</v>
      </c>
    </row>
    <row r="10620" spans="1:12" x14ac:dyDescent="0.25">
      <c r="A10620" s="4" t="str">
        <f>HYPERLINK("http://www.rosaceae.org/Prunus/Prunus_persica/p.persica_gdr_reftransV1_0007597","p.persica_gdr_reftransV1_0007597")</f>
        <v>p.persica_gdr_reftransV1_0007597</v>
      </c>
      <c r="B10620" s="2">
        <v>3002</v>
      </c>
      <c r="C10620" s="4" t="str">
        <f>HYPERLINK("http://www.uniprot.org/uniprot/M5XAX1","M5XAX1")</f>
        <v>M5XAX1</v>
      </c>
      <c r="D10620" s="2" t="s">
        <v>9075</v>
      </c>
      <c r="E10620" s="3">
        <v>0</v>
      </c>
      <c r="F10620" s="2">
        <v>1970</v>
      </c>
      <c r="G10620" s="2">
        <v>97</v>
      </c>
      <c r="H10620" s="2">
        <v>376</v>
      </c>
      <c r="I10620" s="2">
        <v>1524</v>
      </c>
      <c r="J10620" s="2">
        <v>2651</v>
      </c>
      <c r="K10620" s="2">
        <v>1</v>
      </c>
      <c r="L10620" s="2">
        <v>375</v>
      </c>
    </row>
    <row r="10621" spans="1:12" x14ac:dyDescent="0.25">
      <c r="A10621" s="4" t="str">
        <f>HYPERLINK("http://www.rosaceae.org/Prunus/Prunus_persica/p.persica_gdr_reftransV1_0007947","p.persica_gdr_reftransV1_0007947")</f>
        <v>p.persica_gdr_reftransV1_0007947</v>
      </c>
      <c r="B10621" s="2">
        <v>2210</v>
      </c>
      <c r="C10621" s="4" t="str">
        <f>HYPERLINK("http://www.uniprot.org/uniprot/M5Y8L1","M5Y8L1")</f>
        <v>M5Y8L1</v>
      </c>
      <c r="D10621" s="2" t="s">
        <v>9076</v>
      </c>
      <c r="E10621" s="3">
        <v>0</v>
      </c>
      <c r="F10621" s="2">
        <v>2147</v>
      </c>
      <c r="G10621" s="2">
        <v>100</v>
      </c>
      <c r="H10621" s="2">
        <v>398</v>
      </c>
      <c r="I10621" s="2">
        <v>234</v>
      </c>
      <c r="J10621" s="2">
        <v>1427</v>
      </c>
      <c r="K10621" s="2">
        <v>1</v>
      </c>
      <c r="L10621" s="2">
        <v>398</v>
      </c>
    </row>
    <row r="10622" spans="1:12" x14ac:dyDescent="0.25">
      <c r="A10622" s="4" t="str">
        <f>HYPERLINK("http://www.rosaceae.org/Prunus/Prunus_persica/p.persica_gdr_reftransV1_0008297","p.persica_gdr_reftransV1_0008297")</f>
        <v>p.persica_gdr_reftransV1_0008297</v>
      </c>
      <c r="B10622" s="2">
        <v>826</v>
      </c>
      <c r="C10622" s="4" t="str">
        <f>HYPERLINK("http://www.uniprot.org/uniprot/M5WUM4","M5WUM4")</f>
        <v>M5WUM4</v>
      </c>
      <c r="D10622" s="2" t="s">
        <v>5606</v>
      </c>
      <c r="E10622" s="3">
        <v>3.0399999999999999E-83</v>
      </c>
      <c r="F10622" s="2">
        <v>673</v>
      </c>
      <c r="G10622" s="2">
        <v>100</v>
      </c>
      <c r="H10622" s="2">
        <v>128</v>
      </c>
      <c r="I10622" s="2">
        <v>441</v>
      </c>
      <c r="J10622" s="2">
        <v>824</v>
      </c>
      <c r="K10622" s="2">
        <v>173</v>
      </c>
      <c r="L10622" s="2">
        <v>300</v>
      </c>
    </row>
    <row r="10623" spans="1:12" x14ac:dyDescent="0.25">
      <c r="A10623" s="4" t="str">
        <f>HYPERLINK("http://www.rosaceae.org/Prunus/Prunus_persica/p.persica_gdr_reftransV1_0008997","p.persica_gdr_reftransV1_0008997")</f>
        <v>p.persica_gdr_reftransV1_0008997</v>
      </c>
      <c r="B10623" s="2">
        <v>4716</v>
      </c>
      <c r="C10623" s="4" t="str">
        <f>HYPERLINK("http://www.uniprot.org/uniprot/A0A067JUK4","A0A067JUK4")</f>
        <v>A0A067JUK4</v>
      </c>
      <c r="D10623" s="2" t="s">
        <v>9077</v>
      </c>
      <c r="E10623" s="3">
        <v>0</v>
      </c>
      <c r="F10623" s="2">
        <v>3504</v>
      </c>
      <c r="G10623" s="2">
        <v>60</v>
      </c>
      <c r="H10623" s="2">
        <v>1330</v>
      </c>
      <c r="I10623" s="2">
        <v>599</v>
      </c>
      <c r="J10623" s="2">
        <v>4408</v>
      </c>
      <c r="K10623" s="2">
        <v>405</v>
      </c>
      <c r="L10623" s="2">
        <v>1699</v>
      </c>
    </row>
    <row r="10624" spans="1:12" x14ac:dyDescent="0.25">
      <c r="A10624" s="4" t="str">
        <f>HYPERLINK("http://www.rosaceae.org/Prunus/Prunus_persica/p.persica_gdr_reftransV1_0009697","p.persica_gdr_reftransV1_0009697")</f>
        <v>p.persica_gdr_reftransV1_0009697</v>
      </c>
      <c r="B10624" s="2">
        <v>1906</v>
      </c>
      <c r="C10624" s="4" t="str">
        <f>HYPERLINK("http://www.uniprot.org/uniprot/M5W345","M5W345")</f>
        <v>M5W345</v>
      </c>
      <c r="D10624" s="2" t="s">
        <v>7262</v>
      </c>
      <c r="E10624" s="3">
        <v>7.0099999999999997E-123</v>
      </c>
      <c r="F10624" s="2">
        <v>965</v>
      </c>
      <c r="G10624" s="2">
        <v>98</v>
      </c>
      <c r="H10624" s="2">
        <v>215</v>
      </c>
      <c r="I10624" s="2">
        <v>1096</v>
      </c>
      <c r="J10624" s="2">
        <v>1740</v>
      </c>
      <c r="K10624" s="2">
        <v>1</v>
      </c>
      <c r="L10624" s="2">
        <v>215</v>
      </c>
    </row>
    <row r="10625" spans="1:12" x14ac:dyDescent="0.25">
      <c r="A10625" s="4" t="str">
        <f>HYPERLINK("http://www.rosaceae.org/Prunus/Prunus_persica/p.persica_gdr_reftransV1_0010047","p.persica_gdr_reftransV1_0010047")</f>
        <v>p.persica_gdr_reftransV1_0010047</v>
      </c>
      <c r="B10625" s="2">
        <v>1023</v>
      </c>
      <c r="C10625" s="4" t="str">
        <f>HYPERLINK("http://www.uniprot.org/uniprot/M5X655","M5X655")</f>
        <v>M5X655</v>
      </c>
      <c r="D10625" s="2" t="s">
        <v>6561</v>
      </c>
      <c r="E10625" s="3">
        <v>2.4599999999999999E-154</v>
      </c>
      <c r="F10625" s="2">
        <v>1190</v>
      </c>
      <c r="G10625" s="2">
        <v>93</v>
      </c>
      <c r="H10625" s="2">
        <v>272</v>
      </c>
      <c r="I10625" s="2">
        <v>225</v>
      </c>
      <c r="J10625" s="2">
        <v>1022</v>
      </c>
      <c r="K10625" s="2">
        <v>10</v>
      </c>
      <c r="L10625" s="2">
        <v>281</v>
      </c>
    </row>
    <row r="10626" spans="1:12" x14ac:dyDescent="0.25">
      <c r="A10626" s="4" t="str">
        <f>HYPERLINK("http://www.rosaceae.org/Prunus/Prunus_persica/p.persica_gdr_reftransV1_0010397","p.persica_gdr_reftransV1_0010397")</f>
        <v>p.persica_gdr_reftransV1_0010397</v>
      </c>
      <c r="B10626" s="2">
        <v>2776</v>
      </c>
      <c r="C10626" s="4" t="str">
        <f>HYPERLINK("http://www.uniprot.org/uniprot/M5W3Q3","M5W3Q3")</f>
        <v>M5W3Q3</v>
      </c>
      <c r="D10626" s="2" t="s">
        <v>9078</v>
      </c>
      <c r="E10626" s="3">
        <v>0</v>
      </c>
      <c r="F10626" s="2">
        <v>1413</v>
      </c>
      <c r="G10626" s="2">
        <v>100</v>
      </c>
      <c r="H10626" s="2">
        <v>311</v>
      </c>
      <c r="I10626" s="2">
        <v>586</v>
      </c>
      <c r="J10626" s="2">
        <v>1518</v>
      </c>
      <c r="K10626" s="2">
        <v>1</v>
      </c>
      <c r="L10626" s="2">
        <v>311</v>
      </c>
    </row>
    <row r="10627" spans="1:12" x14ac:dyDescent="0.25">
      <c r="A10627" s="4" t="str">
        <f>HYPERLINK("http://www.rosaceae.org/Prunus/Prunus_persica/p.persica_gdr_reftransV1_0010747","p.persica_gdr_reftransV1_0010747")</f>
        <v>p.persica_gdr_reftransV1_0010747</v>
      </c>
      <c r="B10627" s="2">
        <v>1695</v>
      </c>
      <c r="C10627" s="4" t="str">
        <f>HYPERLINK("http://www.uniprot.org/uniprot/W8R477","W8R477")</f>
        <v>W8R477</v>
      </c>
      <c r="D10627" s="2" t="s">
        <v>4669</v>
      </c>
      <c r="E10627" s="3">
        <v>1.4700000000000001E-143</v>
      </c>
      <c r="F10627" s="2">
        <v>1183</v>
      </c>
      <c r="G10627" s="2">
        <v>64</v>
      </c>
      <c r="H10627" s="2">
        <v>348</v>
      </c>
      <c r="I10627" s="2">
        <v>3</v>
      </c>
      <c r="J10627" s="2">
        <v>1025</v>
      </c>
      <c r="K10627" s="2">
        <v>230</v>
      </c>
      <c r="L10627" s="2">
        <v>573</v>
      </c>
    </row>
    <row r="10628" spans="1:12" x14ac:dyDescent="0.25">
      <c r="A10628" s="4" t="str">
        <f>HYPERLINK("http://www.rosaceae.org/Prunus/Prunus_persica/p.persica_gdr_reftransV1_0011097","p.persica_gdr_reftransV1_0011097")</f>
        <v>p.persica_gdr_reftransV1_0011097</v>
      </c>
      <c r="B10628" s="2">
        <v>2181</v>
      </c>
      <c r="C10628" s="4" t="str">
        <f>HYPERLINK("http://www.uniprot.org/uniprot/M5WRY5","M5WRY5")</f>
        <v>M5WRY5</v>
      </c>
      <c r="D10628" s="2" t="s">
        <v>9079</v>
      </c>
      <c r="E10628" s="3">
        <v>0</v>
      </c>
      <c r="F10628" s="2">
        <v>2251</v>
      </c>
      <c r="G10628" s="2">
        <v>100</v>
      </c>
      <c r="H10628" s="2">
        <v>452</v>
      </c>
      <c r="I10628" s="2">
        <v>181</v>
      </c>
      <c r="J10628" s="2">
        <v>1536</v>
      </c>
      <c r="K10628" s="2">
        <v>1</v>
      </c>
      <c r="L10628" s="2">
        <v>452</v>
      </c>
    </row>
    <row r="10629" spans="1:12" x14ac:dyDescent="0.25">
      <c r="A10629" s="4" t="str">
        <f>HYPERLINK("http://www.rosaceae.org/Prunus/Prunus_persica/p.persica_gdr_reftransV1_0011797","p.persica_gdr_reftransV1_0011797")</f>
        <v>p.persica_gdr_reftransV1_0011797</v>
      </c>
      <c r="B10629" s="2">
        <v>887</v>
      </c>
      <c r="C10629" s="4" t="str">
        <f>HYPERLINK("http://www.uniprot.org/uniprot/M5X490","M5X490")</f>
        <v>M5X490</v>
      </c>
      <c r="D10629" s="2" t="s">
        <v>9080</v>
      </c>
      <c r="E10629" s="3">
        <v>1.1700000000000001E-53</v>
      </c>
      <c r="F10629" s="2">
        <v>462</v>
      </c>
      <c r="G10629" s="2">
        <v>100</v>
      </c>
      <c r="H10629" s="2">
        <v>132</v>
      </c>
      <c r="I10629" s="2">
        <v>125</v>
      </c>
      <c r="J10629" s="2">
        <v>520</v>
      </c>
      <c r="K10629" s="2">
        <v>1</v>
      </c>
      <c r="L10629" s="2">
        <v>132</v>
      </c>
    </row>
    <row r="10630" spans="1:12" x14ac:dyDescent="0.25">
      <c r="A10630" s="4" t="str">
        <f>HYPERLINK("http://www.rosaceae.org/Prunus/Prunus_persica/p.persica_gdr_reftransV1_0012147","p.persica_gdr_reftransV1_0012147")</f>
        <v>p.persica_gdr_reftransV1_0012147</v>
      </c>
      <c r="B10630" s="2">
        <v>1477</v>
      </c>
      <c r="C10630" s="4" t="str">
        <f>HYPERLINK("http://www.uniprot.org/uniprot/M5WGH9","M5WGH9")</f>
        <v>M5WGH9</v>
      </c>
      <c r="D10630" s="2" t="s">
        <v>9081</v>
      </c>
      <c r="E10630" s="3">
        <v>3.5099999999999999E-152</v>
      </c>
      <c r="F10630" s="2">
        <v>1166</v>
      </c>
      <c r="G10630" s="2">
        <v>100</v>
      </c>
      <c r="H10630" s="2">
        <v>255</v>
      </c>
      <c r="I10630" s="2">
        <v>2</v>
      </c>
      <c r="J10630" s="2">
        <v>766</v>
      </c>
      <c r="K10630" s="2">
        <v>87</v>
      </c>
      <c r="L10630" s="2">
        <v>341</v>
      </c>
    </row>
    <row r="10631" spans="1:12" x14ac:dyDescent="0.25">
      <c r="A10631" s="4" t="str">
        <f>HYPERLINK("http://www.rosaceae.org/Prunus/Prunus_persica/p.persica_gdr_reftransV1_0012497","p.persica_gdr_reftransV1_0012497")</f>
        <v>p.persica_gdr_reftransV1_0012497</v>
      </c>
      <c r="B10631" s="2">
        <v>1818</v>
      </c>
      <c r="C10631" s="4" t="str">
        <f>HYPERLINK("http://www.uniprot.org/uniprot/M5WCL3","M5WCL3")</f>
        <v>M5WCL3</v>
      </c>
      <c r="D10631" s="2" t="s">
        <v>8875</v>
      </c>
      <c r="E10631" s="3">
        <v>0</v>
      </c>
      <c r="F10631" s="2">
        <v>1890</v>
      </c>
      <c r="G10631" s="2">
        <v>100</v>
      </c>
      <c r="H10631" s="2">
        <v>449</v>
      </c>
      <c r="I10631" s="2">
        <v>351</v>
      </c>
      <c r="J10631" s="2">
        <v>1697</v>
      </c>
      <c r="K10631" s="2">
        <v>1</v>
      </c>
      <c r="L10631" s="2">
        <v>449</v>
      </c>
    </row>
    <row r="10632" spans="1:12" x14ac:dyDescent="0.25">
      <c r="A10632" s="4" t="str">
        <f>HYPERLINK("http://www.rosaceae.org/Prunus/Prunus_persica/p.persica_gdr_reftransV1_0013197","p.persica_gdr_reftransV1_0013197")</f>
        <v>p.persica_gdr_reftransV1_0013197</v>
      </c>
      <c r="B10632" s="2">
        <v>500</v>
      </c>
      <c r="C10632" s="4" t="str">
        <f>HYPERLINK("http://www.uniprot.org/uniprot/M5VTH3","M5VTH3")</f>
        <v>M5VTH3</v>
      </c>
      <c r="D10632" s="2" t="s">
        <v>9082</v>
      </c>
      <c r="E10632" s="3">
        <v>7.2400000000000005E-13</v>
      </c>
      <c r="F10632" s="2">
        <v>170</v>
      </c>
      <c r="G10632" s="2">
        <v>100</v>
      </c>
      <c r="H10632" s="2">
        <v>71</v>
      </c>
      <c r="I10632" s="2">
        <v>109</v>
      </c>
      <c r="J10632" s="2">
        <v>321</v>
      </c>
      <c r="K10632" s="2">
        <v>1</v>
      </c>
      <c r="L10632" s="2">
        <v>71</v>
      </c>
    </row>
    <row r="10633" spans="1:12" x14ac:dyDescent="0.25">
      <c r="A10633" s="4" t="str">
        <f>HYPERLINK("http://www.rosaceae.org/Prunus/Prunus_persica/p.persica_gdr_reftransV1_0013547","p.persica_gdr_reftransV1_0013547")</f>
        <v>p.persica_gdr_reftransV1_0013547</v>
      </c>
      <c r="B10633" s="2">
        <v>1101</v>
      </c>
      <c r="C10633" s="4" t="str">
        <f>HYPERLINK("http://www.uniprot.org/uniprot/A0A0A0YN95","A0A0A0YN95")</f>
        <v>A0A0A0YN95</v>
      </c>
      <c r="D10633" s="2" t="s">
        <v>9083</v>
      </c>
      <c r="E10633" s="3">
        <v>1.37E-88</v>
      </c>
      <c r="F10633" s="2">
        <v>703</v>
      </c>
      <c r="G10633" s="2">
        <v>100</v>
      </c>
      <c r="H10633" s="2">
        <v>131</v>
      </c>
      <c r="I10633" s="2">
        <v>709</v>
      </c>
      <c r="J10633" s="2">
        <v>1101</v>
      </c>
      <c r="K10633" s="2">
        <v>18</v>
      </c>
      <c r="L10633" s="2">
        <v>148</v>
      </c>
    </row>
    <row r="10634" spans="1:12" x14ac:dyDescent="0.25">
      <c r="A10634" s="4" t="str">
        <f>HYPERLINK("http://www.rosaceae.org/Prunus/Prunus_persica/p.persica_gdr_reftransV1_0013897","p.persica_gdr_reftransV1_0013897")</f>
        <v>p.persica_gdr_reftransV1_0013897</v>
      </c>
      <c r="B10634" s="2">
        <v>3218</v>
      </c>
      <c r="C10634" s="4" t="str">
        <f>HYPERLINK("http://www.uniprot.org/uniprot/M5W4P0","M5W4P0")</f>
        <v>M5W4P0</v>
      </c>
      <c r="D10634" s="2" t="s">
        <v>9084</v>
      </c>
      <c r="E10634" s="3">
        <v>0</v>
      </c>
      <c r="F10634" s="2">
        <v>4711</v>
      </c>
      <c r="G10634" s="2">
        <v>100</v>
      </c>
      <c r="H10634" s="2">
        <v>906</v>
      </c>
      <c r="I10634" s="2">
        <v>268</v>
      </c>
      <c r="J10634" s="2">
        <v>2985</v>
      </c>
      <c r="K10634" s="2">
        <v>1</v>
      </c>
      <c r="L10634" s="2">
        <v>906</v>
      </c>
    </row>
    <row r="10635" spans="1:12" x14ac:dyDescent="0.25">
      <c r="A10635" s="4" t="str">
        <f>HYPERLINK("http://www.rosaceae.org/Prunus/Prunus_persica/p.persica_gdr_reftransV1_0014247","p.persica_gdr_reftransV1_0014247")</f>
        <v>p.persica_gdr_reftransV1_0014247</v>
      </c>
      <c r="B10635" s="2">
        <v>732</v>
      </c>
      <c r="C10635" s="4" t="str">
        <f>HYPERLINK("http://www.uniprot.org/uniprot/A5BEK1","A5BEK1")</f>
        <v>A5BEK1</v>
      </c>
      <c r="D10635" s="2" t="s">
        <v>9085</v>
      </c>
      <c r="E10635" s="3">
        <v>1.5400000000000001E-64</v>
      </c>
      <c r="F10635" s="2">
        <v>583</v>
      </c>
      <c r="G10635" s="2">
        <v>48</v>
      </c>
      <c r="H10635" s="2">
        <v>230</v>
      </c>
      <c r="I10635" s="2">
        <v>42</v>
      </c>
      <c r="J10635" s="2">
        <v>731</v>
      </c>
      <c r="K10635" s="2">
        <v>1239</v>
      </c>
      <c r="L10635" s="2">
        <v>1468</v>
      </c>
    </row>
    <row r="10636" spans="1:12" x14ac:dyDescent="0.25">
      <c r="A10636" s="4" t="str">
        <f>HYPERLINK("http://www.rosaceae.org/Prunus/Prunus_persica/p.persica_gdr_reftransV1_0014947","p.persica_gdr_reftransV1_0014947")</f>
        <v>p.persica_gdr_reftransV1_0014947</v>
      </c>
      <c r="B10636" s="2">
        <v>522</v>
      </c>
      <c r="C10636" s="4" t="str">
        <f>HYPERLINK("http://www.uniprot.org/uniprot/M5XDP8","M5XDP8")</f>
        <v>M5XDP8</v>
      </c>
      <c r="D10636" s="2" t="s">
        <v>5303</v>
      </c>
      <c r="E10636" s="3">
        <v>9.1900000000000003E-93</v>
      </c>
      <c r="F10636" s="2">
        <v>747</v>
      </c>
      <c r="G10636" s="2">
        <v>100</v>
      </c>
      <c r="H10636" s="2">
        <v>170</v>
      </c>
      <c r="I10636" s="2">
        <v>1</v>
      </c>
      <c r="J10636" s="2">
        <v>510</v>
      </c>
      <c r="K10636" s="2">
        <v>392</v>
      </c>
      <c r="L10636" s="2">
        <v>561</v>
      </c>
    </row>
    <row r="10637" spans="1:12" x14ac:dyDescent="0.25">
      <c r="A10637" s="4" t="str">
        <f>HYPERLINK("http://www.rosaceae.org/Prunus/Prunus_persica/p.persica_gdr_reftransV1_0015297","p.persica_gdr_reftransV1_0015297")</f>
        <v>p.persica_gdr_reftransV1_0015297</v>
      </c>
      <c r="B10637" s="2">
        <v>1056</v>
      </c>
      <c r="C10637" s="4" t="str">
        <f>HYPERLINK("http://www.uniprot.org/uniprot/M5XKM5","M5XKM5")</f>
        <v>M5XKM5</v>
      </c>
      <c r="D10637" s="2" t="s">
        <v>9086</v>
      </c>
      <c r="E10637" s="3">
        <v>1.33E-111</v>
      </c>
      <c r="F10637" s="2">
        <v>861</v>
      </c>
      <c r="G10637" s="2">
        <v>100</v>
      </c>
      <c r="H10637" s="2">
        <v>201</v>
      </c>
      <c r="I10637" s="2">
        <v>286</v>
      </c>
      <c r="J10637" s="2">
        <v>888</v>
      </c>
      <c r="K10637" s="2">
        <v>1</v>
      </c>
      <c r="L10637" s="2">
        <v>201</v>
      </c>
    </row>
    <row r="10638" spans="1:12" x14ac:dyDescent="0.25">
      <c r="A10638" s="4" t="str">
        <f>HYPERLINK("http://www.rosaceae.org/Prunus/Prunus_persica/p.persica_gdr_reftransV1_0015647","p.persica_gdr_reftransV1_0015647")</f>
        <v>p.persica_gdr_reftransV1_0015647</v>
      </c>
      <c r="B10638" s="2">
        <v>4923</v>
      </c>
      <c r="C10638" s="4" t="str">
        <f>HYPERLINK("http://www.uniprot.org/uniprot/M5WS05","M5WS05")</f>
        <v>M5WS05</v>
      </c>
      <c r="D10638" s="2" t="s">
        <v>9087</v>
      </c>
      <c r="E10638" s="3">
        <v>0</v>
      </c>
      <c r="F10638" s="2">
        <v>4008</v>
      </c>
      <c r="G10638" s="2">
        <v>100</v>
      </c>
      <c r="H10638" s="2">
        <v>828</v>
      </c>
      <c r="I10638" s="2">
        <v>148</v>
      </c>
      <c r="J10638" s="2">
        <v>2631</v>
      </c>
      <c r="K10638" s="2">
        <v>1</v>
      </c>
      <c r="L10638" s="2">
        <v>828</v>
      </c>
    </row>
    <row r="10639" spans="1:12" x14ac:dyDescent="0.25">
      <c r="A10639" s="4" t="str">
        <f>HYPERLINK("http://www.rosaceae.org/Prunus/Prunus_persica/p.persica_gdr_reftransV1_0015997","p.persica_gdr_reftransV1_0015997")</f>
        <v>p.persica_gdr_reftransV1_0015997</v>
      </c>
      <c r="B10639" s="2">
        <v>2728</v>
      </c>
      <c r="C10639" s="4" t="str">
        <f>HYPERLINK("http://www.uniprot.org/uniprot/M5XEY5","M5XEY5")</f>
        <v>M5XEY5</v>
      </c>
      <c r="D10639" s="2" t="s">
        <v>9088</v>
      </c>
      <c r="E10639" s="3">
        <v>0</v>
      </c>
      <c r="F10639" s="2">
        <v>2380</v>
      </c>
      <c r="G10639" s="2">
        <v>100</v>
      </c>
      <c r="H10639" s="2">
        <v>477</v>
      </c>
      <c r="I10639" s="2">
        <v>947</v>
      </c>
      <c r="J10639" s="2">
        <v>2377</v>
      </c>
      <c r="K10639" s="2">
        <v>1</v>
      </c>
      <c r="L10639" s="2">
        <v>477</v>
      </c>
    </row>
    <row r="10640" spans="1:12" x14ac:dyDescent="0.25">
      <c r="A10640" s="4" t="str">
        <f>HYPERLINK("http://www.rosaceae.org/Prunus/Prunus_persica/p.persica_gdr_reftransV1_0016697","p.persica_gdr_reftransV1_0016697")</f>
        <v>p.persica_gdr_reftransV1_0016697</v>
      </c>
      <c r="B10640" s="2">
        <v>3947</v>
      </c>
      <c r="C10640" s="4" t="str">
        <f>HYPERLINK("http://www.uniprot.org/uniprot/M5Y2J8","M5Y2J8")</f>
        <v>M5Y2J8</v>
      </c>
      <c r="D10640" s="2" t="s">
        <v>9089</v>
      </c>
      <c r="E10640" s="3">
        <v>0</v>
      </c>
      <c r="F10640" s="2">
        <v>2394</v>
      </c>
      <c r="G10640" s="2">
        <v>99</v>
      </c>
      <c r="H10640" s="2">
        <v>522</v>
      </c>
      <c r="I10640" s="2">
        <v>307</v>
      </c>
      <c r="J10640" s="2">
        <v>1872</v>
      </c>
      <c r="K10640" s="2">
        <v>1</v>
      </c>
      <c r="L10640" s="2">
        <v>520</v>
      </c>
    </row>
    <row r="10641" spans="1:12" x14ac:dyDescent="0.25">
      <c r="A10641" s="4" t="str">
        <f>HYPERLINK("http://www.rosaceae.org/Prunus/Prunus_persica/p.persica_gdr_reftransV1_0017047","p.persica_gdr_reftransV1_0017047")</f>
        <v>p.persica_gdr_reftransV1_0017047</v>
      </c>
      <c r="B10641" s="2">
        <v>1881</v>
      </c>
      <c r="C10641" s="4" t="str">
        <f>HYPERLINK("http://www.uniprot.org/uniprot/M5W9C1","M5W9C1")</f>
        <v>M5W9C1</v>
      </c>
      <c r="D10641" s="2" t="s">
        <v>9090</v>
      </c>
      <c r="E10641" s="3">
        <v>0</v>
      </c>
      <c r="F10641" s="2">
        <v>2160</v>
      </c>
      <c r="G10641" s="2">
        <v>100</v>
      </c>
      <c r="H10641" s="2">
        <v>444</v>
      </c>
      <c r="I10641" s="2">
        <v>233</v>
      </c>
      <c r="J10641" s="2">
        <v>1564</v>
      </c>
      <c r="K10641" s="2">
        <v>1</v>
      </c>
      <c r="L10641" s="2">
        <v>444</v>
      </c>
    </row>
    <row r="10642" spans="1:12" x14ac:dyDescent="0.25">
      <c r="A10642" s="4" t="str">
        <f>HYPERLINK("http://www.rosaceae.org/Prunus/Prunus_persica/p.persica_gdr_reftransV1_0017397","p.persica_gdr_reftransV1_0017397")</f>
        <v>p.persica_gdr_reftransV1_0017397</v>
      </c>
      <c r="B10642" s="2">
        <v>2677</v>
      </c>
      <c r="C10642" s="4" t="str">
        <f>HYPERLINK("http://www.uniprot.org/uniprot/M5XHB1","M5XHB1")</f>
        <v>M5XHB1</v>
      </c>
      <c r="D10642" s="2" t="s">
        <v>9091</v>
      </c>
      <c r="E10642" s="3">
        <v>1.4199999999999999E-35</v>
      </c>
      <c r="F10642" s="2">
        <v>389</v>
      </c>
      <c r="G10642" s="2">
        <v>65</v>
      </c>
      <c r="H10642" s="2">
        <v>129</v>
      </c>
      <c r="I10642" s="2">
        <v>934</v>
      </c>
      <c r="J10642" s="2">
        <v>1290</v>
      </c>
      <c r="K10642" s="2">
        <v>586</v>
      </c>
      <c r="L10642" s="2">
        <v>707</v>
      </c>
    </row>
    <row r="10643" spans="1:12" x14ac:dyDescent="0.25">
      <c r="A10643" s="4" t="str">
        <f>HYPERLINK("http://www.rosaceae.org/Prunus/Prunus_persica/p.persica_gdr_reftransV1_0017747","p.persica_gdr_reftransV1_0017747")</f>
        <v>p.persica_gdr_reftransV1_0017747</v>
      </c>
      <c r="B10643" s="2">
        <v>984</v>
      </c>
      <c r="C10643" s="4" t="str">
        <f>HYPERLINK("http://www.uniprot.org/uniprot/M5WKT4","M5WKT4")</f>
        <v>M5WKT4</v>
      </c>
      <c r="D10643" s="2" t="s">
        <v>4823</v>
      </c>
      <c r="E10643" s="3">
        <v>1.66E-61</v>
      </c>
      <c r="F10643" s="2">
        <v>549</v>
      </c>
      <c r="G10643" s="2">
        <v>98</v>
      </c>
      <c r="H10643" s="2">
        <v>104</v>
      </c>
      <c r="I10643" s="2">
        <v>634</v>
      </c>
      <c r="J10643" s="2">
        <v>945</v>
      </c>
      <c r="K10643" s="2">
        <v>438</v>
      </c>
      <c r="L10643" s="2">
        <v>541</v>
      </c>
    </row>
    <row r="10644" spans="1:12" x14ac:dyDescent="0.25">
      <c r="A10644" s="4" t="str">
        <f>HYPERLINK("http://www.rosaceae.org/Prunus/Prunus_persica/p.persica_gdr_reftransV1_0018097","p.persica_gdr_reftransV1_0018097")</f>
        <v>p.persica_gdr_reftransV1_0018097</v>
      </c>
      <c r="B10644" s="2">
        <v>2238</v>
      </c>
      <c r="C10644" s="4" t="str">
        <f>HYPERLINK("http://www.uniprot.org/uniprot/M5XSE5","M5XSE5")</f>
        <v>M5XSE5</v>
      </c>
      <c r="D10644" s="2" t="s">
        <v>9092</v>
      </c>
      <c r="E10644" s="3">
        <v>1.09E-87</v>
      </c>
      <c r="F10644" s="2">
        <v>732</v>
      </c>
      <c r="G10644" s="2">
        <v>99</v>
      </c>
      <c r="H10644" s="2">
        <v>189</v>
      </c>
      <c r="I10644" s="2">
        <v>1466</v>
      </c>
      <c r="J10644" s="2">
        <v>2032</v>
      </c>
      <c r="K10644" s="2">
        <v>1</v>
      </c>
      <c r="L10644" s="2">
        <v>189</v>
      </c>
    </row>
    <row r="10645" spans="1:12" x14ac:dyDescent="0.25">
      <c r="A10645" s="4" t="str">
        <f>HYPERLINK("http://www.rosaceae.org/Prunus/Prunus_persica/p.persica_gdr_reftransV1_0018797","p.persica_gdr_reftransV1_0018797")</f>
        <v>p.persica_gdr_reftransV1_0018797</v>
      </c>
      <c r="B10645" s="2">
        <v>1959</v>
      </c>
      <c r="C10645" s="4" t="str">
        <f>HYPERLINK("http://www.uniprot.org/uniprot/M5X5A3","M5X5A3")</f>
        <v>M5X5A3</v>
      </c>
      <c r="D10645" s="2" t="s">
        <v>8820</v>
      </c>
      <c r="E10645" s="3">
        <v>1.8400000000000001E-144</v>
      </c>
      <c r="F10645" s="2">
        <v>1124</v>
      </c>
      <c r="G10645" s="2">
        <v>100</v>
      </c>
      <c r="H10645" s="2">
        <v>211</v>
      </c>
      <c r="I10645" s="2">
        <v>2</v>
      </c>
      <c r="J10645" s="2">
        <v>634</v>
      </c>
      <c r="K10645" s="2">
        <v>21</v>
      </c>
      <c r="L10645" s="2">
        <v>231</v>
      </c>
    </row>
    <row r="10646" spans="1:12" x14ac:dyDescent="0.25">
      <c r="A10646" s="4" t="str">
        <f>HYPERLINK("http://www.rosaceae.org/Prunus/Prunus_persica/p.persica_gdr_reftransV1_0020197","p.persica_gdr_reftransV1_0020197")</f>
        <v>p.persica_gdr_reftransV1_0020197</v>
      </c>
      <c r="B10646" s="2">
        <v>4212</v>
      </c>
      <c r="C10646" s="4" t="str">
        <f>HYPERLINK("http://www.uniprot.org/uniprot/M5VK68","M5VK68")</f>
        <v>M5VK68</v>
      </c>
      <c r="D10646" s="2" t="s">
        <v>9093</v>
      </c>
      <c r="E10646" s="3">
        <v>0</v>
      </c>
      <c r="F10646" s="2">
        <v>4200</v>
      </c>
      <c r="G10646" s="2">
        <v>98</v>
      </c>
      <c r="H10646" s="2">
        <v>883</v>
      </c>
      <c r="I10646" s="2">
        <v>1185</v>
      </c>
      <c r="J10646" s="2">
        <v>3818</v>
      </c>
      <c r="K10646" s="2">
        <v>1</v>
      </c>
      <c r="L10646" s="2">
        <v>879</v>
      </c>
    </row>
    <row r="10647" spans="1:12" x14ac:dyDescent="0.25">
      <c r="A10647" s="4" t="str">
        <f>HYPERLINK("http://www.rosaceae.org/Prunus/Prunus_persica/p.persica_gdr_reftransV1_0020547","p.persica_gdr_reftransV1_0020547")</f>
        <v>p.persica_gdr_reftransV1_0020547</v>
      </c>
      <c r="B10647" s="2">
        <v>1249</v>
      </c>
      <c r="C10647" s="4" t="str">
        <f>HYPERLINK("http://www.uniprot.org/uniprot/M5X7Q5","M5X7Q5")</f>
        <v>M5X7Q5</v>
      </c>
      <c r="D10647" s="2" t="s">
        <v>9094</v>
      </c>
      <c r="E10647" s="3">
        <v>0</v>
      </c>
      <c r="F10647" s="2">
        <v>1634</v>
      </c>
      <c r="G10647" s="2">
        <v>100</v>
      </c>
      <c r="H10647" s="2">
        <v>307</v>
      </c>
      <c r="I10647" s="2">
        <v>328</v>
      </c>
      <c r="J10647" s="2">
        <v>1248</v>
      </c>
      <c r="K10647" s="2">
        <v>48</v>
      </c>
      <c r="L10647" s="2">
        <v>354</v>
      </c>
    </row>
    <row r="10648" spans="1:12" x14ac:dyDescent="0.25">
      <c r="A10648" s="4" t="str">
        <f>HYPERLINK("http://www.rosaceae.org/Prunus/Prunus_persica/p.persica_gdr_reftransV1_0020897","p.persica_gdr_reftransV1_0020897")</f>
        <v>p.persica_gdr_reftransV1_0020897</v>
      </c>
      <c r="B10648" s="2">
        <v>1041</v>
      </c>
      <c r="C10648" s="4" t="str">
        <f>HYPERLINK("http://www.uniprot.org/uniprot/M5VRH7","M5VRH7")</f>
        <v>M5VRH7</v>
      </c>
      <c r="D10648" s="2" t="s">
        <v>9095</v>
      </c>
      <c r="E10648" s="3">
        <v>2.5099999999999998E-106</v>
      </c>
      <c r="F10648" s="2">
        <v>819</v>
      </c>
      <c r="G10648" s="2">
        <v>100</v>
      </c>
      <c r="H10648" s="2">
        <v>155</v>
      </c>
      <c r="I10648" s="2">
        <v>510</v>
      </c>
      <c r="J10648" s="2">
        <v>974</v>
      </c>
      <c r="K10648" s="2">
        <v>1</v>
      </c>
      <c r="L10648" s="2">
        <v>155</v>
      </c>
    </row>
    <row r="10649" spans="1:12" x14ac:dyDescent="0.25">
      <c r="A10649" s="4" t="str">
        <f>HYPERLINK("http://www.rosaceae.org/Prunus/Prunus_persica/p.persica_gdr_reftransV1_0021597","p.persica_gdr_reftransV1_0021597")</f>
        <v>p.persica_gdr_reftransV1_0021597</v>
      </c>
      <c r="B10649" s="2">
        <v>1833</v>
      </c>
      <c r="C10649" s="4" t="str">
        <f>HYPERLINK("http://www.uniprot.org/uniprot/M5WC52","M5WC52")</f>
        <v>M5WC52</v>
      </c>
      <c r="D10649" s="2" t="s">
        <v>9096</v>
      </c>
      <c r="E10649" s="3">
        <v>2.2299999999999999E-43</v>
      </c>
      <c r="F10649" s="2">
        <v>413</v>
      </c>
      <c r="G10649" s="2">
        <v>73</v>
      </c>
      <c r="H10649" s="2">
        <v>110</v>
      </c>
      <c r="I10649" s="2">
        <v>498</v>
      </c>
      <c r="J10649" s="2">
        <v>812</v>
      </c>
      <c r="K10649" s="2">
        <v>66</v>
      </c>
      <c r="L10649" s="2">
        <v>175</v>
      </c>
    </row>
    <row r="10650" spans="1:12" x14ac:dyDescent="0.25">
      <c r="A10650" s="4" t="str">
        <f>HYPERLINK("http://www.rosaceae.org/Prunus/Prunus_persica/p.persica_gdr_reftransV1_0022647","p.persica_gdr_reftransV1_0022647")</f>
        <v>p.persica_gdr_reftransV1_0022647</v>
      </c>
      <c r="B10650" s="2">
        <v>5905</v>
      </c>
      <c r="C10650" s="4" t="str">
        <f>HYPERLINK("http://www.uniprot.org/uniprot/M5VXH2","M5VXH2")</f>
        <v>M5VXH2</v>
      </c>
      <c r="D10650" s="2" t="s">
        <v>9097</v>
      </c>
      <c r="E10650" s="3">
        <v>0</v>
      </c>
      <c r="F10650" s="2">
        <v>4915</v>
      </c>
      <c r="G10650" s="2">
        <v>96</v>
      </c>
      <c r="H10650" s="2">
        <v>1043</v>
      </c>
      <c r="I10650" s="2">
        <v>247</v>
      </c>
      <c r="J10650" s="2">
        <v>3375</v>
      </c>
      <c r="K10650" s="2">
        <v>8</v>
      </c>
      <c r="L10650" s="2">
        <v>1010</v>
      </c>
    </row>
    <row r="10651" spans="1:12" x14ac:dyDescent="0.25">
      <c r="A10651" s="4" t="str">
        <f>HYPERLINK("http://www.rosaceae.org/Prunus/Prunus_persica/p.persica_gdr_reftransV1_0022997","p.persica_gdr_reftransV1_0022997")</f>
        <v>p.persica_gdr_reftransV1_0022997</v>
      </c>
      <c r="B10651" s="2">
        <v>2219</v>
      </c>
      <c r="C10651" s="4" t="str">
        <f>HYPERLINK("http://www.uniprot.org/uniprot/M5W030","M5W030")</f>
        <v>M5W030</v>
      </c>
      <c r="D10651" s="2" t="s">
        <v>9098</v>
      </c>
      <c r="E10651" s="3">
        <v>8.9799999999999993E-92</v>
      </c>
      <c r="F10651" s="2">
        <v>644</v>
      </c>
      <c r="G10651" s="2">
        <v>100</v>
      </c>
      <c r="H10651" s="2">
        <v>135</v>
      </c>
      <c r="I10651" s="2">
        <v>1652</v>
      </c>
      <c r="J10651" s="2">
        <v>2056</v>
      </c>
      <c r="K10651" s="2">
        <v>1</v>
      </c>
      <c r="L10651" s="2">
        <v>135</v>
      </c>
    </row>
    <row r="10652" spans="1:12" x14ac:dyDescent="0.25">
      <c r="A10652" s="4" t="str">
        <f>HYPERLINK("http://www.rosaceae.org/Prunus/Prunus_persica/p.persica_gdr_reftransV1_0023697","p.persica_gdr_reftransV1_0023697")</f>
        <v>p.persica_gdr_reftransV1_0023697</v>
      </c>
      <c r="B10652" s="2">
        <v>2566</v>
      </c>
      <c r="C10652" s="4" t="str">
        <f>HYPERLINK("http://www.uniprot.org/uniprot/M5WK64","M5WK64")</f>
        <v>M5WK64</v>
      </c>
      <c r="D10652" s="2" t="s">
        <v>9099</v>
      </c>
      <c r="E10652" s="3">
        <v>0</v>
      </c>
      <c r="F10652" s="2">
        <v>3743</v>
      </c>
      <c r="G10652" s="2">
        <v>100</v>
      </c>
      <c r="H10652" s="2">
        <v>692</v>
      </c>
      <c r="I10652" s="2">
        <v>281</v>
      </c>
      <c r="J10652" s="2">
        <v>2356</v>
      </c>
      <c r="K10652" s="2">
        <v>1</v>
      </c>
      <c r="L10652" s="2">
        <v>692</v>
      </c>
    </row>
    <row r="10653" spans="1:12" x14ac:dyDescent="0.25">
      <c r="A10653" s="4" t="str">
        <f>HYPERLINK("http://www.rosaceae.org/Prunus/Prunus_persica/p.persica_gdr_reftransV1_0024397","p.persica_gdr_reftransV1_0024397")</f>
        <v>p.persica_gdr_reftransV1_0024397</v>
      </c>
      <c r="B10653" s="2">
        <v>3651</v>
      </c>
      <c r="C10653" s="4" t="str">
        <f>HYPERLINK("http://www.uniprot.org/uniprot/M5VTD0","M5VTD0")</f>
        <v>M5VTD0</v>
      </c>
      <c r="D10653" s="2" t="s">
        <v>9100</v>
      </c>
      <c r="E10653" s="3">
        <v>0</v>
      </c>
      <c r="F10653" s="2">
        <v>2898</v>
      </c>
      <c r="G10653" s="2">
        <v>96</v>
      </c>
      <c r="H10653" s="2">
        <v>620</v>
      </c>
      <c r="I10653" s="2">
        <v>1495</v>
      </c>
      <c r="J10653" s="2">
        <v>3354</v>
      </c>
      <c r="K10653" s="2">
        <v>457</v>
      </c>
      <c r="L10653" s="2">
        <v>1053</v>
      </c>
    </row>
    <row r="10654" spans="1:12" x14ac:dyDescent="0.25">
      <c r="A10654" s="4" t="str">
        <f>HYPERLINK("http://www.rosaceae.org/Prunus/Prunus_persica/p.persica_gdr_reftransV1_0024747","p.persica_gdr_reftransV1_0024747")</f>
        <v>p.persica_gdr_reftransV1_0024747</v>
      </c>
      <c r="B10654" s="2">
        <v>1787</v>
      </c>
      <c r="C10654" s="4" t="str">
        <f>HYPERLINK("http://www.uniprot.org/uniprot/M5WV72","M5WV72")</f>
        <v>M5WV72</v>
      </c>
      <c r="D10654" s="2" t="s">
        <v>9101</v>
      </c>
      <c r="E10654" s="3">
        <v>1.8299999999999999E-150</v>
      </c>
      <c r="F10654" s="2">
        <v>1142</v>
      </c>
      <c r="G10654" s="2">
        <v>100</v>
      </c>
      <c r="H10654" s="2">
        <v>214</v>
      </c>
      <c r="I10654" s="2">
        <v>487</v>
      </c>
      <c r="J10654" s="2">
        <v>1128</v>
      </c>
      <c r="K10654" s="2">
        <v>1</v>
      </c>
      <c r="L10654" s="2">
        <v>214</v>
      </c>
    </row>
    <row r="10655" spans="1:12" x14ac:dyDescent="0.25">
      <c r="A10655" s="4" t="str">
        <f>HYPERLINK("http://www.rosaceae.org/Prunus/Prunus_persica/p.persica_gdr_reftransV1_0025447","p.persica_gdr_reftransV1_0025447")</f>
        <v>p.persica_gdr_reftransV1_0025447</v>
      </c>
      <c r="B10655" s="2">
        <v>1630</v>
      </c>
      <c r="C10655" s="4" t="str">
        <f>HYPERLINK("http://www.uniprot.org/uniprot/M5WB08","M5WB08")</f>
        <v>M5WB08</v>
      </c>
      <c r="D10655" s="2" t="s">
        <v>9102</v>
      </c>
      <c r="E10655" s="3">
        <v>0</v>
      </c>
      <c r="F10655" s="2">
        <v>2136</v>
      </c>
      <c r="G10655" s="2">
        <v>100</v>
      </c>
      <c r="H10655" s="2">
        <v>423</v>
      </c>
      <c r="I10655" s="2">
        <v>226</v>
      </c>
      <c r="J10655" s="2">
        <v>1494</v>
      </c>
      <c r="K10655" s="2">
        <v>1</v>
      </c>
      <c r="L10655" s="2">
        <v>423</v>
      </c>
    </row>
    <row r="10656" spans="1:12" x14ac:dyDescent="0.25">
      <c r="A10656" s="4" t="str">
        <f>HYPERLINK("http://www.rosaceae.org/Prunus/Prunus_persica/p.persica_gdr_reftransV1_0025797","p.persica_gdr_reftransV1_0025797")</f>
        <v>p.persica_gdr_reftransV1_0025797</v>
      </c>
      <c r="B10656" s="2">
        <v>2889</v>
      </c>
      <c r="C10656" s="4" t="str">
        <f>HYPERLINK("http://www.uniprot.org/uniprot/M5WFK0","M5WFK0")</f>
        <v>M5WFK0</v>
      </c>
      <c r="D10656" s="2" t="s">
        <v>9103</v>
      </c>
      <c r="E10656" s="3">
        <v>0</v>
      </c>
      <c r="F10656" s="2">
        <v>1886</v>
      </c>
      <c r="G10656" s="2">
        <v>100</v>
      </c>
      <c r="H10656" s="2">
        <v>357</v>
      </c>
      <c r="I10656" s="2">
        <v>561</v>
      </c>
      <c r="J10656" s="2">
        <v>1628</v>
      </c>
      <c r="K10656" s="2">
        <v>23</v>
      </c>
      <c r="L10656" s="2">
        <v>379</v>
      </c>
    </row>
    <row r="10657" spans="1:12" x14ac:dyDescent="0.25">
      <c r="A10657" s="4" t="str">
        <f>HYPERLINK("http://www.rosaceae.org/Prunus/Prunus_persica/p.persica_gdr_reftransV1_0026147","p.persica_gdr_reftransV1_0026147")</f>
        <v>p.persica_gdr_reftransV1_0026147</v>
      </c>
      <c r="B10657" s="2">
        <v>1794</v>
      </c>
      <c r="C10657" s="4" t="str">
        <f>HYPERLINK("http://www.uniprot.org/uniprot/M5WAU3","M5WAU3")</f>
        <v>M5WAU3</v>
      </c>
      <c r="D10657" s="2" t="s">
        <v>9104</v>
      </c>
      <c r="E10657" s="3">
        <v>0</v>
      </c>
      <c r="F10657" s="2">
        <v>2007</v>
      </c>
      <c r="G10657" s="2">
        <v>100</v>
      </c>
      <c r="H10657" s="2">
        <v>387</v>
      </c>
      <c r="I10657" s="2">
        <v>396</v>
      </c>
      <c r="J10657" s="2">
        <v>1556</v>
      </c>
      <c r="K10657" s="2">
        <v>1</v>
      </c>
      <c r="L10657" s="2">
        <v>387</v>
      </c>
    </row>
    <row r="10658" spans="1:12" x14ac:dyDescent="0.25">
      <c r="A10658" s="4" t="str">
        <f>HYPERLINK("http://www.rosaceae.org/Prunus/Prunus_persica/p.persica_gdr_reftransV1_0026497","p.persica_gdr_reftransV1_0026497")</f>
        <v>p.persica_gdr_reftransV1_0026497</v>
      </c>
      <c r="B10658" s="2">
        <v>1702</v>
      </c>
      <c r="C10658" s="4" t="str">
        <f>HYPERLINK("http://www.uniprot.org/uniprot/M5W2R7","M5W2R7")</f>
        <v>M5W2R7</v>
      </c>
      <c r="D10658" s="2" t="s">
        <v>698</v>
      </c>
      <c r="E10658" s="3">
        <v>0</v>
      </c>
      <c r="F10658" s="2">
        <v>1688</v>
      </c>
      <c r="G10658" s="2">
        <v>95</v>
      </c>
      <c r="H10658" s="2">
        <v>345</v>
      </c>
      <c r="I10658" s="2">
        <v>419</v>
      </c>
      <c r="J10658" s="2">
        <v>1453</v>
      </c>
      <c r="K10658" s="2">
        <v>576</v>
      </c>
      <c r="L10658" s="2">
        <v>904</v>
      </c>
    </row>
    <row r="10659" spans="1:12" x14ac:dyDescent="0.25">
      <c r="A10659" s="4" t="str">
        <f>HYPERLINK("http://www.rosaceae.org/Prunus/Prunus_persica/p.persica_gdr_reftransV1_0027197","p.persica_gdr_reftransV1_0027197")</f>
        <v>p.persica_gdr_reftransV1_0027197</v>
      </c>
      <c r="B10659" s="2">
        <v>3367</v>
      </c>
      <c r="C10659" s="4" t="str">
        <f>HYPERLINK("http://www.uniprot.org/uniprot/M5VPN5","M5VPN5")</f>
        <v>M5VPN5</v>
      </c>
      <c r="D10659" s="2" t="s">
        <v>9105</v>
      </c>
      <c r="E10659" s="3">
        <v>0</v>
      </c>
      <c r="F10659" s="2">
        <v>2097</v>
      </c>
      <c r="G10659" s="2">
        <v>100</v>
      </c>
      <c r="H10659" s="2">
        <v>478</v>
      </c>
      <c r="I10659" s="2">
        <v>400</v>
      </c>
      <c r="J10659" s="2">
        <v>1833</v>
      </c>
      <c r="K10659" s="2">
        <v>1</v>
      </c>
      <c r="L10659" s="2">
        <v>478</v>
      </c>
    </row>
    <row r="10660" spans="1:12" x14ac:dyDescent="0.25">
      <c r="A10660" s="4" t="str">
        <f>HYPERLINK("http://www.rosaceae.org/Prunus/Prunus_persica/p.persica_gdr_reftransV1_0027897","p.persica_gdr_reftransV1_0027897")</f>
        <v>p.persica_gdr_reftransV1_0027897</v>
      </c>
      <c r="B10660" s="2">
        <v>1675</v>
      </c>
      <c r="C10660" s="4" t="str">
        <f>HYPERLINK("http://www.uniprot.org/uniprot/M5XCZ0","M5XCZ0")</f>
        <v>M5XCZ0</v>
      </c>
      <c r="D10660" s="2" t="s">
        <v>9106</v>
      </c>
      <c r="E10660" s="3">
        <v>0</v>
      </c>
      <c r="F10660" s="2">
        <v>1883</v>
      </c>
      <c r="G10660" s="2">
        <v>100</v>
      </c>
      <c r="H10660" s="2">
        <v>361</v>
      </c>
      <c r="I10660" s="2">
        <v>382</v>
      </c>
      <c r="J10660" s="2">
        <v>1464</v>
      </c>
      <c r="K10660" s="2">
        <v>1</v>
      </c>
      <c r="L10660" s="2">
        <v>361</v>
      </c>
    </row>
    <row r="10661" spans="1:12" x14ac:dyDescent="0.25">
      <c r="A10661" s="4" t="str">
        <f>HYPERLINK("http://www.rosaceae.org/Prunus/Prunus_persica/p.persica_gdr_reftransV1_0032797","p.persica_gdr_reftransV1_0032797")</f>
        <v>p.persica_gdr_reftransV1_0032797</v>
      </c>
      <c r="B10661" s="2">
        <v>1424</v>
      </c>
      <c r="C10661" s="4" t="str">
        <f>HYPERLINK("http://www.uniprot.org/uniprot/M5XZS5","M5XZS5")</f>
        <v>M5XZS5</v>
      </c>
      <c r="D10661" s="2" t="s">
        <v>9107</v>
      </c>
      <c r="E10661" s="3">
        <v>1.8599999999999999E-82</v>
      </c>
      <c r="F10661" s="2">
        <v>669</v>
      </c>
      <c r="G10661" s="2">
        <v>100</v>
      </c>
      <c r="H10661" s="2">
        <v>124</v>
      </c>
      <c r="I10661" s="2">
        <v>256</v>
      </c>
      <c r="J10661" s="2">
        <v>627</v>
      </c>
      <c r="K10661" s="2">
        <v>1</v>
      </c>
      <c r="L10661" s="2">
        <v>124</v>
      </c>
    </row>
    <row r="10662" spans="1:12" x14ac:dyDescent="0.25">
      <c r="A10662" s="4" t="str">
        <f>HYPERLINK("http://www.rosaceae.org/Prunus/Prunus_persica/p.persica_gdr_reftransV1_0033147","p.persica_gdr_reftransV1_0033147")</f>
        <v>p.persica_gdr_reftransV1_0033147</v>
      </c>
      <c r="B10662" s="2">
        <v>2721</v>
      </c>
      <c r="C10662" s="4" t="str">
        <f>HYPERLINK("http://www.uniprot.org/uniprot/M5XE62","M5XE62")</f>
        <v>M5XE62</v>
      </c>
      <c r="D10662" s="2" t="s">
        <v>9108</v>
      </c>
      <c r="E10662" s="3">
        <v>0</v>
      </c>
      <c r="F10662" s="2">
        <v>1953</v>
      </c>
      <c r="G10662" s="2">
        <v>100</v>
      </c>
      <c r="H10662" s="2">
        <v>422</v>
      </c>
      <c r="I10662" s="2">
        <v>393</v>
      </c>
      <c r="J10662" s="2">
        <v>1658</v>
      </c>
      <c r="K10662" s="2">
        <v>1</v>
      </c>
      <c r="L10662" s="2">
        <v>422</v>
      </c>
    </row>
    <row r="10663" spans="1:12" x14ac:dyDescent="0.25">
      <c r="A10663" s="4" t="str">
        <f>HYPERLINK("http://www.rosaceae.org/Prunus/Prunus_persica/p.persica_gdr_reftransV1_0033847","p.persica_gdr_reftransV1_0033847")</f>
        <v>p.persica_gdr_reftransV1_0033847</v>
      </c>
      <c r="B10663" s="2">
        <v>3125</v>
      </c>
      <c r="C10663" s="4" t="str">
        <f>HYPERLINK("http://www.uniprot.org/uniprot/M5W877","M5W877")</f>
        <v>M5W877</v>
      </c>
      <c r="D10663" s="2" t="s">
        <v>2613</v>
      </c>
      <c r="E10663" s="3">
        <v>0</v>
      </c>
      <c r="F10663" s="2">
        <v>2732</v>
      </c>
      <c r="G10663" s="2">
        <v>100</v>
      </c>
      <c r="H10663" s="2">
        <v>522</v>
      </c>
      <c r="I10663" s="2">
        <v>1182</v>
      </c>
      <c r="J10663" s="2">
        <v>2747</v>
      </c>
      <c r="K10663" s="2">
        <v>217</v>
      </c>
      <c r="L10663" s="2">
        <v>738</v>
      </c>
    </row>
    <row r="10664" spans="1:12" x14ac:dyDescent="0.25">
      <c r="A10664" s="4" t="str">
        <f>HYPERLINK("http://www.rosaceae.org/Prunus/Prunus_persica/p.persica_gdr_reftransV1_0034197","p.persica_gdr_reftransV1_0034197")</f>
        <v>p.persica_gdr_reftransV1_0034197</v>
      </c>
      <c r="B10664" s="2">
        <v>2900</v>
      </c>
      <c r="C10664" s="4" t="str">
        <f>HYPERLINK("http://www.uniprot.org/uniprot/M5XQ41","M5XQ41")</f>
        <v>M5XQ41</v>
      </c>
      <c r="D10664" s="2" t="s">
        <v>9109</v>
      </c>
      <c r="E10664" s="3">
        <v>0</v>
      </c>
      <c r="F10664" s="2">
        <v>3306</v>
      </c>
      <c r="G10664" s="2">
        <v>99</v>
      </c>
      <c r="H10664" s="2">
        <v>640</v>
      </c>
      <c r="I10664" s="2">
        <v>787</v>
      </c>
      <c r="J10664" s="2">
        <v>2691</v>
      </c>
      <c r="K10664" s="2">
        <v>204</v>
      </c>
      <c r="L10664" s="2">
        <v>843</v>
      </c>
    </row>
    <row r="10665" spans="1:12" x14ac:dyDescent="0.25">
      <c r="A10665" s="4" t="str">
        <f>HYPERLINK("http://www.rosaceae.org/Prunus/Prunus_persica/p.persica_gdr_reftransV1_0036647","p.persica_gdr_reftransV1_0036647")</f>
        <v>p.persica_gdr_reftransV1_0036647</v>
      </c>
      <c r="B10665" s="2">
        <v>1274</v>
      </c>
      <c r="C10665" s="4" t="str">
        <f>HYPERLINK("http://www.uniprot.org/uniprot/M5WSY5","M5WSY5")</f>
        <v>M5WSY5</v>
      </c>
      <c r="D10665" s="2" t="s">
        <v>9110</v>
      </c>
      <c r="E10665" s="3">
        <v>2.5499999999999999E-172</v>
      </c>
      <c r="F10665" s="2">
        <v>1279</v>
      </c>
      <c r="G10665" s="2">
        <v>98</v>
      </c>
      <c r="H10665" s="2">
        <v>264</v>
      </c>
      <c r="I10665" s="2">
        <v>46</v>
      </c>
      <c r="J10665" s="2">
        <v>837</v>
      </c>
      <c r="K10665" s="2">
        <v>12</v>
      </c>
      <c r="L10665" s="2">
        <v>272</v>
      </c>
    </row>
    <row r="10666" spans="1:12" x14ac:dyDescent="0.25">
      <c r="A10666" s="4" t="str">
        <f>HYPERLINK("http://www.rosaceae.org/Prunus/Prunus_persica/p.persica_gdr_reftransV1_0038047","p.persica_gdr_reftransV1_0038047")</f>
        <v>p.persica_gdr_reftransV1_0038047</v>
      </c>
      <c r="B10666" s="2">
        <v>3151</v>
      </c>
      <c r="C10666" s="4" t="str">
        <f>HYPERLINK("http://www.uniprot.org/uniprot/M5WHA2","M5WHA2")</f>
        <v>M5WHA2</v>
      </c>
      <c r="D10666" s="2" t="s">
        <v>9111</v>
      </c>
      <c r="E10666" s="3">
        <v>1.31E-110</v>
      </c>
      <c r="F10666" s="2">
        <v>933</v>
      </c>
      <c r="G10666" s="2">
        <v>96</v>
      </c>
      <c r="H10666" s="2">
        <v>183</v>
      </c>
      <c r="I10666" s="2">
        <v>2139</v>
      </c>
      <c r="J10666" s="2">
        <v>2687</v>
      </c>
      <c r="K10666" s="2">
        <v>298</v>
      </c>
      <c r="L10666" s="2">
        <v>480</v>
      </c>
    </row>
    <row r="10667" spans="1:12" x14ac:dyDescent="0.25">
      <c r="A10667" s="4" t="str">
        <f>HYPERLINK("http://www.rosaceae.org/Prunus/Prunus_persica/p.persica_gdr_reftransV1_0038397","p.persica_gdr_reftransV1_0038397")</f>
        <v>p.persica_gdr_reftransV1_0038397</v>
      </c>
      <c r="B10667" s="2">
        <v>1424</v>
      </c>
      <c r="C10667" s="4" t="str">
        <f>HYPERLINK("http://www.uniprot.org/uniprot/M5WE87","M5WE87")</f>
        <v>M5WE87</v>
      </c>
      <c r="D10667" s="2" t="s">
        <v>9112</v>
      </c>
      <c r="E10667" s="3">
        <v>3.5900000000000001E-161</v>
      </c>
      <c r="F10667" s="2">
        <v>1209</v>
      </c>
      <c r="G10667" s="2">
        <v>100</v>
      </c>
      <c r="H10667" s="2">
        <v>300</v>
      </c>
      <c r="I10667" s="2">
        <v>127</v>
      </c>
      <c r="J10667" s="2">
        <v>1026</v>
      </c>
      <c r="K10667" s="2">
        <v>1</v>
      </c>
      <c r="L10667" s="2">
        <v>300</v>
      </c>
    </row>
    <row r="10668" spans="1:12" x14ac:dyDescent="0.25">
      <c r="A10668" s="4" t="str">
        <f>HYPERLINK("http://www.rosaceae.org/Prunus/Prunus_persica/p.persica_gdr_reftransV1_0040497","p.persica_gdr_reftransV1_0040497")</f>
        <v>p.persica_gdr_reftransV1_0040497</v>
      </c>
      <c r="B10668" s="2">
        <v>2126</v>
      </c>
      <c r="C10668" s="4" t="str">
        <f>HYPERLINK("http://www.uniprot.org/uniprot/M5X131","M5X131")</f>
        <v>M5X131</v>
      </c>
      <c r="D10668" s="2" t="s">
        <v>8354</v>
      </c>
      <c r="E10668" s="3">
        <v>8.0599999999999995E-144</v>
      </c>
      <c r="F10668" s="2">
        <v>1132</v>
      </c>
      <c r="G10668" s="2">
        <v>100</v>
      </c>
      <c r="H10668" s="2">
        <v>219</v>
      </c>
      <c r="I10668" s="2">
        <v>204</v>
      </c>
      <c r="J10668" s="2">
        <v>860</v>
      </c>
      <c r="K10668" s="2">
        <v>239</v>
      </c>
      <c r="L10668" s="2">
        <v>457</v>
      </c>
    </row>
    <row r="10669" spans="1:12" x14ac:dyDescent="0.25">
      <c r="A10669" s="4" t="str">
        <f>HYPERLINK("http://www.rosaceae.org/Prunus/Prunus_persica/p.persica_gdr_reftransV1_0041547","p.persica_gdr_reftransV1_0041547")</f>
        <v>p.persica_gdr_reftransV1_0041547</v>
      </c>
      <c r="B10669" s="2">
        <v>1823</v>
      </c>
      <c r="C10669" s="4" t="str">
        <f>HYPERLINK("http://www.uniprot.org/uniprot/M5W9K8","M5W9K8")</f>
        <v>M5W9K8</v>
      </c>
      <c r="D10669" s="2" t="s">
        <v>9113</v>
      </c>
      <c r="E10669" s="3">
        <v>1.6E-112</v>
      </c>
      <c r="F10669" s="2">
        <v>900</v>
      </c>
      <c r="G10669" s="2">
        <v>100</v>
      </c>
      <c r="H10669" s="2">
        <v>169</v>
      </c>
      <c r="I10669" s="2">
        <v>1315</v>
      </c>
      <c r="J10669" s="2">
        <v>1821</v>
      </c>
      <c r="K10669" s="2">
        <v>27</v>
      </c>
      <c r="L10669" s="2">
        <v>195</v>
      </c>
    </row>
    <row r="10670" spans="1:12" x14ac:dyDescent="0.25">
      <c r="A10670" s="4" t="str">
        <f>HYPERLINK("http://www.rosaceae.org/Prunus/Prunus_persica/p.persica_gdr_reftransV1_0042947","p.persica_gdr_reftransV1_0042947")</f>
        <v>p.persica_gdr_reftransV1_0042947</v>
      </c>
      <c r="B10670" s="2">
        <v>1948</v>
      </c>
      <c r="C10670" s="4" t="str">
        <f>HYPERLINK("http://www.uniprot.org/uniprot/M5Y148","M5Y148")</f>
        <v>M5Y148</v>
      </c>
      <c r="D10670" s="2" t="s">
        <v>9114</v>
      </c>
      <c r="E10670" s="3">
        <v>0</v>
      </c>
      <c r="F10670" s="2">
        <v>1605</v>
      </c>
      <c r="G10670" s="2">
        <v>100</v>
      </c>
      <c r="H10670" s="2">
        <v>357</v>
      </c>
      <c r="I10670" s="2">
        <v>424</v>
      </c>
      <c r="J10670" s="2">
        <v>1494</v>
      </c>
      <c r="K10670" s="2">
        <v>1</v>
      </c>
      <c r="L10670" s="2">
        <v>357</v>
      </c>
    </row>
    <row r="10671" spans="1:12" x14ac:dyDescent="0.25">
      <c r="A10671" s="4" t="str">
        <f>HYPERLINK("http://www.rosaceae.org/Prunus/Prunus_persica/p.persica_gdr_reftransV1_0043297","p.persica_gdr_reftransV1_0043297")</f>
        <v>p.persica_gdr_reftransV1_0043297</v>
      </c>
      <c r="B10671" s="2">
        <v>330</v>
      </c>
      <c r="C10671" s="4" t="str">
        <f>HYPERLINK("http://www.uniprot.org/uniprot/M5X4A0","M5X4A0")</f>
        <v>M5X4A0</v>
      </c>
      <c r="D10671" s="2" t="s">
        <v>1951</v>
      </c>
      <c r="E10671" s="3">
        <v>2.7099999999999999E-68</v>
      </c>
      <c r="F10671" s="2">
        <v>583</v>
      </c>
      <c r="G10671" s="2">
        <v>100</v>
      </c>
      <c r="H10671" s="2">
        <v>109</v>
      </c>
      <c r="I10671" s="2">
        <v>2</v>
      </c>
      <c r="J10671" s="2">
        <v>328</v>
      </c>
      <c r="K10671" s="2">
        <v>247</v>
      </c>
      <c r="L10671" s="2">
        <v>355</v>
      </c>
    </row>
    <row r="10672" spans="1:12" x14ac:dyDescent="0.25">
      <c r="A10672" s="4" t="str">
        <f>HYPERLINK("http://www.rosaceae.org/Prunus/Prunus_persica/p.persica_gdr_reftransV1_0043647","p.persica_gdr_reftransV1_0043647")</f>
        <v>p.persica_gdr_reftransV1_0043647</v>
      </c>
      <c r="B10672" s="2">
        <v>393</v>
      </c>
      <c r="C10672" s="4" t="str">
        <f>HYPERLINK("http://www.uniprot.org/uniprot/M5XTF7","M5XTF7")</f>
        <v>M5XTF7</v>
      </c>
      <c r="D10672" s="2" t="s">
        <v>9115</v>
      </c>
      <c r="E10672" s="3">
        <v>6.2200000000000004E-85</v>
      </c>
      <c r="F10672" s="2">
        <v>684</v>
      </c>
      <c r="G10672" s="2">
        <v>96</v>
      </c>
      <c r="H10672" s="2">
        <v>130</v>
      </c>
      <c r="I10672" s="2">
        <v>2</v>
      </c>
      <c r="J10672" s="2">
        <v>391</v>
      </c>
      <c r="K10672" s="2">
        <v>28</v>
      </c>
      <c r="L10672" s="2">
        <v>157</v>
      </c>
    </row>
    <row r="10673" spans="1:12" x14ac:dyDescent="0.25">
      <c r="A10673" s="4" t="str">
        <f>HYPERLINK("http://www.rosaceae.org/Prunus/Prunus_persica/p.persica_gdr_reftransV1_0043997","p.persica_gdr_reftransV1_0043997")</f>
        <v>p.persica_gdr_reftransV1_0043997</v>
      </c>
      <c r="B10673" s="2">
        <v>1325</v>
      </c>
      <c r="C10673" s="4" t="str">
        <f>HYPERLINK("http://www.uniprot.org/uniprot/B9I7T2","B9I7T2")</f>
        <v>B9I7T2</v>
      </c>
      <c r="D10673" s="2" t="s">
        <v>9116</v>
      </c>
      <c r="E10673" s="3">
        <v>0</v>
      </c>
      <c r="F10673" s="2">
        <v>1368</v>
      </c>
      <c r="G10673" s="2">
        <v>74</v>
      </c>
      <c r="H10673" s="2">
        <v>369</v>
      </c>
      <c r="I10673" s="2">
        <v>58</v>
      </c>
      <c r="J10673" s="2">
        <v>1122</v>
      </c>
      <c r="K10673" s="2">
        <v>1</v>
      </c>
      <c r="L10673" s="2">
        <v>361</v>
      </c>
    </row>
    <row r="10674" spans="1:12" x14ac:dyDescent="0.25">
      <c r="A10674" s="4" t="str">
        <f>HYPERLINK("http://www.rosaceae.org/Prunus/Prunus_persica/p.persica_gdr_reftransV1_0044347","p.persica_gdr_reftransV1_0044347")</f>
        <v>p.persica_gdr_reftransV1_0044347</v>
      </c>
      <c r="B10674" s="2">
        <v>335</v>
      </c>
      <c r="C10674" s="4" t="str">
        <f>HYPERLINK("http://www.uniprot.org/uniprot/M5WG49","M5WG49")</f>
        <v>M5WG49</v>
      </c>
      <c r="D10674" s="2" t="s">
        <v>9117</v>
      </c>
      <c r="E10674" s="3">
        <v>2.3300000000000001E-36</v>
      </c>
      <c r="F10674" s="2">
        <v>341</v>
      </c>
      <c r="G10674" s="2">
        <v>100</v>
      </c>
      <c r="H10674" s="2">
        <v>62</v>
      </c>
      <c r="I10674" s="2">
        <v>85</v>
      </c>
      <c r="J10674" s="2">
        <v>270</v>
      </c>
      <c r="K10674" s="2">
        <v>178</v>
      </c>
      <c r="L10674" s="2">
        <v>239</v>
      </c>
    </row>
    <row r="10675" spans="1:12" x14ac:dyDescent="0.25">
      <c r="A10675" s="4" t="str">
        <f>HYPERLINK("http://www.rosaceae.org/Prunus/Prunus_persica/p.persica_gdr_reftransV1_0044697","p.persica_gdr_reftransV1_0044697")</f>
        <v>p.persica_gdr_reftransV1_0044697</v>
      </c>
      <c r="B10675" s="2">
        <v>391</v>
      </c>
      <c r="C10675" s="4" t="str">
        <f>HYPERLINK("http://www.uniprot.org/uniprot/A0A087PQ99","A0A087PQ99")</f>
        <v>A0A087PQ99</v>
      </c>
      <c r="D10675" s="2" t="s">
        <v>2781</v>
      </c>
      <c r="E10675" s="3">
        <v>9.9600000000000003E-37</v>
      </c>
      <c r="F10675" s="2">
        <v>363</v>
      </c>
      <c r="G10675" s="2">
        <v>48</v>
      </c>
      <c r="H10675" s="2">
        <v>130</v>
      </c>
      <c r="I10675" s="2">
        <v>4</v>
      </c>
      <c r="J10675" s="2">
        <v>390</v>
      </c>
      <c r="K10675" s="2">
        <v>9</v>
      </c>
      <c r="L10675" s="2">
        <v>138</v>
      </c>
    </row>
    <row r="10676" spans="1:12" x14ac:dyDescent="0.25">
      <c r="A10676" s="4" t="str">
        <f>HYPERLINK("http://www.rosaceae.org/Prunus/Prunus_persica/p.persica_gdr_reftransV1_0045047","p.persica_gdr_reftransV1_0045047")</f>
        <v>p.persica_gdr_reftransV1_0045047</v>
      </c>
      <c r="B10676" s="2">
        <v>1245</v>
      </c>
      <c r="C10676" s="4" t="str">
        <f>HYPERLINK("http://www.uniprot.org/uniprot/M5XUA3","M5XUA3")</f>
        <v>M5XUA3</v>
      </c>
      <c r="D10676" s="2" t="s">
        <v>9118</v>
      </c>
      <c r="E10676" s="3">
        <v>0</v>
      </c>
      <c r="F10676" s="2">
        <v>1667</v>
      </c>
      <c r="G10676" s="2">
        <v>98</v>
      </c>
      <c r="H10676" s="2">
        <v>345</v>
      </c>
      <c r="I10676" s="2">
        <v>211</v>
      </c>
      <c r="J10676" s="2">
        <v>1245</v>
      </c>
      <c r="K10676" s="2">
        <v>205</v>
      </c>
      <c r="L10676" s="2">
        <v>549</v>
      </c>
    </row>
    <row r="10677" spans="1:12" x14ac:dyDescent="0.25">
      <c r="A10677" s="4" t="str">
        <f>HYPERLINK("http://www.rosaceae.org/Prunus/Prunus_persica/p.persica_gdr_reftransV1_0045397","p.persica_gdr_reftransV1_0045397")</f>
        <v>p.persica_gdr_reftransV1_0045397</v>
      </c>
      <c r="B10677" s="2">
        <v>1134</v>
      </c>
      <c r="C10677" s="4" t="str">
        <f>HYPERLINK("http://www.uniprot.org/uniprot/M5X5Q3","M5X5Q3")</f>
        <v>M5X5Q3</v>
      </c>
      <c r="D10677" s="2" t="s">
        <v>7593</v>
      </c>
      <c r="E10677" s="3">
        <v>5.6799999999999998E-128</v>
      </c>
      <c r="F10677" s="2">
        <v>1007</v>
      </c>
      <c r="G10677" s="2">
        <v>100</v>
      </c>
      <c r="H10677" s="2">
        <v>202</v>
      </c>
      <c r="I10677" s="2">
        <v>1</v>
      </c>
      <c r="J10677" s="2">
        <v>606</v>
      </c>
      <c r="K10677" s="2">
        <v>387</v>
      </c>
      <c r="L10677" s="2">
        <v>588</v>
      </c>
    </row>
    <row r="10678" spans="1:12" x14ac:dyDescent="0.25">
      <c r="A10678" s="4" t="str">
        <f>HYPERLINK("http://www.rosaceae.org/Prunus/Prunus_persica/p.persica_gdr_reftransV1_0045747","p.persica_gdr_reftransV1_0045747")</f>
        <v>p.persica_gdr_reftransV1_0045747</v>
      </c>
      <c r="B10678" s="2">
        <v>3440</v>
      </c>
      <c r="C10678" s="4" t="str">
        <f>HYPERLINK("http://www.uniprot.org/uniprot/M5WEK7","M5WEK7")</f>
        <v>M5WEK7</v>
      </c>
      <c r="D10678" s="2" t="s">
        <v>9119</v>
      </c>
      <c r="E10678" s="3">
        <v>0</v>
      </c>
      <c r="F10678" s="2">
        <v>5220</v>
      </c>
      <c r="G10678" s="2">
        <v>100</v>
      </c>
      <c r="H10678" s="2">
        <v>1009</v>
      </c>
      <c r="I10678" s="2">
        <v>154</v>
      </c>
      <c r="J10678" s="2">
        <v>3180</v>
      </c>
      <c r="K10678" s="2">
        <v>1</v>
      </c>
      <c r="L10678" s="2">
        <v>1009</v>
      </c>
    </row>
    <row r="10679" spans="1:12" x14ac:dyDescent="0.25">
      <c r="A10679" s="4" t="str">
        <f>HYPERLINK("http://www.rosaceae.org/Prunus/Prunus_persica/p.persica_gdr_reftransV1_0046097","p.persica_gdr_reftransV1_0046097")</f>
        <v>p.persica_gdr_reftransV1_0046097</v>
      </c>
      <c r="B10679" s="2">
        <v>311</v>
      </c>
      <c r="C10679" s="4" t="str">
        <f>HYPERLINK("http://www.uniprot.org/uniprot/M5WTU7","M5WTU7")</f>
        <v>M5WTU7</v>
      </c>
      <c r="D10679" s="2" t="s">
        <v>9120</v>
      </c>
      <c r="E10679" s="3">
        <v>4.7599999999999999E-44</v>
      </c>
      <c r="F10679" s="2">
        <v>401</v>
      </c>
      <c r="G10679" s="2">
        <v>70</v>
      </c>
      <c r="H10679" s="2">
        <v>102</v>
      </c>
      <c r="I10679" s="2">
        <v>1</v>
      </c>
      <c r="J10679" s="2">
        <v>306</v>
      </c>
      <c r="K10679" s="2">
        <v>143</v>
      </c>
      <c r="L10679" s="2">
        <v>244</v>
      </c>
    </row>
    <row r="10680" spans="1:12" x14ac:dyDescent="0.25">
      <c r="A10680" s="4" t="str">
        <f>HYPERLINK("http://www.rosaceae.org/Prunus/Prunus_persica/p.persica_gdr_reftransV1_0046447","p.persica_gdr_reftransV1_0046447")</f>
        <v>p.persica_gdr_reftransV1_0046447</v>
      </c>
      <c r="B10680" s="2">
        <v>608</v>
      </c>
      <c r="C10680" s="4" t="str">
        <f>HYPERLINK("http://www.uniprot.org/uniprot/A0A076K094","A0A076K094")</f>
        <v>A0A076K094</v>
      </c>
      <c r="D10680" s="2" t="s">
        <v>9121</v>
      </c>
      <c r="E10680" s="3">
        <v>2.37E-79</v>
      </c>
      <c r="F10680" s="2">
        <v>645</v>
      </c>
      <c r="G10680" s="2">
        <v>97</v>
      </c>
      <c r="H10680" s="2">
        <v>126</v>
      </c>
      <c r="I10680" s="2">
        <v>3</v>
      </c>
      <c r="J10680" s="2">
        <v>380</v>
      </c>
      <c r="K10680" s="2">
        <v>237</v>
      </c>
      <c r="L10680" s="2">
        <v>362</v>
      </c>
    </row>
    <row r="10681" spans="1:12" x14ac:dyDescent="0.25">
      <c r="A10681" s="4" t="str">
        <f>HYPERLINK("http://www.rosaceae.org/Prunus/Prunus_persica/p.persica_gdr_reftransV1_0046797","p.persica_gdr_reftransV1_0046797")</f>
        <v>p.persica_gdr_reftransV1_0046797</v>
      </c>
      <c r="B10681" s="2">
        <v>1053</v>
      </c>
      <c r="C10681" s="4" t="str">
        <f>HYPERLINK("http://www.uniprot.org/uniprot/M5XYS3","M5XYS3")</f>
        <v>M5XYS3</v>
      </c>
      <c r="D10681" s="2" t="s">
        <v>9122</v>
      </c>
      <c r="E10681" s="3">
        <v>7.7800000000000001E-141</v>
      </c>
      <c r="F10681" s="2">
        <v>1053</v>
      </c>
      <c r="G10681" s="2">
        <v>100</v>
      </c>
      <c r="H10681" s="2">
        <v>212</v>
      </c>
      <c r="I10681" s="2">
        <v>299</v>
      </c>
      <c r="J10681" s="2">
        <v>934</v>
      </c>
      <c r="K10681" s="2">
        <v>1</v>
      </c>
      <c r="L10681" s="2">
        <v>212</v>
      </c>
    </row>
    <row r="10682" spans="1:12" x14ac:dyDescent="0.25">
      <c r="A10682" s="4" t="str">
        <f>HYPERLINK("http://www.rosaceae.org/Prunus/Prunus_persica/p.persica_gdr_reftransV1_0047147","p.persica_gdr_reftransV1_0047147")</f>
        <v>p.persica_gdr_reftransV1_0047147</v>
      </c>
      <c r="B10682" s="2">
        <v>3344</v>
      </c>
      <c r="C10682" s="4" t="str">
        <f>HYPERLINK("http://www.uniprot.org/uniprot/M5Y468","M5Y468")</f>
        <v>M5Y468</v>
      </c>
      <c r="D10682" s="2" t="s">
        <v>9123</v>
      </c>
      <c r="E10682" s="3">
        <v>0</v>
      </c>
      <c r="F10682" s="2">
        <v>4732</v>
      </c>
      <c r="G10682" s="2">
        <v>92</v>
      </c>
      <c r="H10682" s="2">
        <v>963</v>
      </c>
      <c r="I10682" s="2">
        <v>41</v>
      </c>
      <c r="J10682" s="2">
        <v>2926</v>
      </c>
      <c r="K10682" s="2">
        <v>63</v>
      </c>
      <c r="L10682" s="2">
        <v>1025</v>
      </c>
    </row>
    <row r="10683" spans="1:12" x14ac:dyDescent="0.25">
      <c r="A10683" s="4" t="str">
        <f>HYPERLINK("http://www.rosaceae.org/Prunus/Prunus_persica/p.persica_gdr_reftransV1_0048547","p.persica_gdr_reftransV1_0048547")</f>
        <v>p.persica_gdr_reftransV1_0048547</v>
      </c>
      <c r="B10683" s="2">
        <v>376</v>
      </c>
      <c r="C10683" s="4" t="str">
        <f>HYPERLINK("http://www.uniprot.org/uniprot/M5X8K7","M5X8K7")</f>
        <v>M5X8K7</v>
      </c>
      <c r="D10683" s="2" t="s">
        <v>9124</v>
      </c>
      <c r="E10683" s="3">
        <v>7.9099999999999999E-84</v>
      </c>
      <c r="F10683" s="2">
        <v>664</v>
      </c>
      <c r="G10683" s="2">
        <v>100</v>
      </c>
      <c r="H10683" s="2">
        <v>124</v>
      </c>
      <c r="I10683" s="2">
        <v>3</v>
      </c>
      <c r="J10683" s="2">
        <v>374</v>
      </c>
      <c r="K10683" s="2">
        <v>193</v>
      </c>
      <c r="L10683" s="2">
        <v>316</v>
      </c>
    </row>
    <row r="10684" spans="1:12" x14ac:dyDescent="0.25">
      <c r="A10684" s="4" t="str">
        <f>HYPERLINK("http://www.rosaceae.org/Prunus/Prunus_persica/p.persica_gdr_reftransV1_0048897","p.persica_gdr_reftransV1_0048897")</f>
        <v>p.persica_gdr_reftransV1_0048897</v>
      </c>
      <c r="B10684" s="2">
        <v>323</v>
      </c>
      <c r="C10684" s="4" t="str">
        <f>HYPERLINK("http://www.uniprot.org/uniprot/M5WY76","M5WY76")</f>
        <v>M5WY76</v>
      </c>
      <c r="D10684" s="2" t="s">
        <v>9125</v>
      </c>
      <c r="E10684" s="3">
        <v>4.9499999999999997E-52</v>
      </c>
      <c r="F10684" s="2">
        <v>472</v>
      </c>
      <c r="G10684" s="2">
        <v>100</v>
      </c>
      <c r="H10684" s="2">
        <v>91</v>
      </c>
      <c r="I10684" s="2">
        <v>51</v>
      </c>
      <c r="J10684" s="2">
        <v>323</v>
      </c>
      <c r="K10684" s="2">
        <v>308</v>
      </c>
      <c r="L10684" s="2">
        <v>398</v>
      </c>
    </row>
    <row r="10685" spans="1:12" x14ac:dyDescent="0.25">
      <c r="A10685" s="4" t="str">
        <f>HYPERLINK("http://www.rosaceae.org/Prunus/Prunus_persica/p.persica_gdr_reftransV1_0000248","p.persica_gdr_reftransV1_0000248")</f>
        <v>p.persica_gdr_reftransV1_0000248</v>
      </c>
      <c r="B10685" s="2">
        <v>439</v>
      </c>
      <c r="C10685" s="4" t="str">
        <f>HYPERLINK("http://www.uniprot.org/uniprot/M5XQX0","M5XQX0")</f>
        <v>M5XQX0</v>
      </c>
      <c r="D10685" s="2" t="s">
        <v>9126</v>
      </c>
      <c r="E10685" s="3">
        <v>1.12E-70</v>
      </c>
      <c r="F10685" s="2">
        <v>581</v>
      </c>
      <c r="G10685" s="2">
        <v>90</v>
      </c>
      <c r="H10685" s="2">
        <v>146</v>
      </c>
      <c r="I10685" s="2">
        <v>1</v>
      </c>
      <c r="J10685" s="2">
        <v>438</v>
      </c>
      <c r="K10685" s="2">
        <v>165</v>
      </c>
      <c r="L10685" s="2">
        <v>302</v>
      </c>
    </row>
    <row r="10686" spans="1:12" x14ac:dyDescent="0.25">
      <c r="A10686" s="4" t="str">
        <f>HYPERLINK("http://www.rosaceae.org/Prunus/Prunus_persica/p.persica_gdr_reftransV1_0000598","p.persica_gdr_reftransV1_0000598")</f>
        <v>p.persica_gdr_reftransV1_0000598</v>
      </c>
      <c r="B10686" s="2">
        <v>904</v>
      </c>
      <c r="C10686" s="4" t="str">
        <f>HYPERLINK("http://www.uniprot.org/uniprot/M5VHR3","M5VHR3")</f>
        <v>M5VHR3</v>
      </c>
      <c r="D10686" s="2" t="s">
        <v>1661</v>
      </c>
      <c r="E10686" s="3">
        <v>0</v>
      </c>
      <c r="F10686" s="2">
        <v>1523</v>
      </c>
      <c r="G10686" s="2">
        <v>100</v>
      </c>
      <c r="H10686" s="2">
        <v>287</v>
      </c>
      <c r="I10686" s="2">
        <v>3</v>
      </c>
      <c r="J10686" s="2">
        <v>863</v>
      </c>
      <c r="K10686" s="2">
        <v>82</v>
      </c>
      <c r="L10686" s="2">
        <v>368</v>
      </c>
    </row>
    <row r="10687" spans="1:12" x14ac:dyDescent="0.25">
      <c r="A10687" s="4" t="str">
        <f>HYPERLINK("http://www.rosaceae.org/Prunus/Prunus_persica/p.persica_gdr_reftransV1_0000948","p.persica_gdr_reftransV1_0000948")</f>
        <v>p.persica_gdr_reftransV1_0000948</v>
      </c>
      <c r="B10687" s="2">
        <v>2859</v>
      </c>
      <c r="C10687" s="4" t="str">
        <f>HYPERLINK("http://www.uniprot.org/uniprot/M5Y873","M5Y873")</f>
        <v>M5Y873</v>
      </c>
      <c r="D10687" s="2" t="s">
        <v>9127</v>
      </c>
      <c r="E10687" s="3">
        <v>0</v>
      </c>
      <c r="F10687" s="2">
        <v>4183</v>
      </c>
      <c r="G10687" s="2">
        <v>100</v>
      </c>
      <c r="H10687" s="2">
        <v>835</v>
      </c>
      <c r="I10687" s="2">
        <v>129</v>
      </c>
      <c r="J10687" s="2">
        <v>2633</v>
      </c>
      <c r="K10687" s="2">
        <v>1</v>
      </c>
      <c r="L10687" s="2">
        <v>832</v>
      </c>
    </row>
    <row r="10688" spans="1:12" x14ac:dyDescent="0.25">
      <c r="A10688" s="4" t="str">
        <f>HYPERLINK("http://www.rosaceae.org/Prunus/Prunus_persica/p.persica_gdr_reftransV1_0003048","p.persica_gdr_reftransV1_0003048")</f>
        <v>p.persica_gdr_reftransV1_0003048</v>
      </c>
      <c r="B10688" s="2">
        <v>3508</v>
      </c>
      <c r="C10688" s="4" t="str">
        <f>HYPERLINK("http://www.uniprot.org/uniprot/M5VVD4","M5VVD4")</f>
        <v>M5VVD4</v>
      </c>
      <c r="D10688" s="2" t="s">
        <v>9128</v>
      </c>
      <c r="E10688" s="3">
        <v>0</v>
      </c>
      <c r="F10688" s="2">
        <v>5375</v>
      </c>
      <c r="G10688" s="2">
        <v>100</v>
      </c>
      <c r="H10688" s="2">
        <v>1056</v>
      </c>
      <c r="I10688" s="2">
        <v>95</v>
      </c>
      <c r="J10688" s="2">
        <v>3262</v>
      </c>
      <c r="K10688" s="2">
        <v>1</v>
      </c>
      <c r="L10688" s="2">
        <v>1056</v>
      </c>
    </row>
    <row r="10689" spans="1:12" x14ac:dyDescent="0.25">
      <c r="A10689" s="4" t="str">
        <f>HYPERLINK("http://www.rosaceae.org/Prunus/Prunus_persica/p.persica_gdr_reftransV1_0003398","p.persica_gdr_reftransV1_0003398")</f>
        <v>p.persica_gdr_reftransV1_0003398</v>
      </c>
      <c r="B10689" s="2">
        <v>641</v>
      </c>
      <c r="C10689" s="4" t="str">
        <f>HYPERLINK("http://www.uniprot.org/uniprot/M5W6L4","M5W6L4")</f>
        <v>M5W6L4</v>
      </c>
      <c r="D10689" s="2" t="s">
        <v>3321</v>
      </c>
      <c r="E10689" s="3">
        <v>5.3199999999999998E-107</v>
      </c>
      <c r="F10689" s="2">
        <v>851</v>
      </c>
      <c r="G10689" s="2">
        <v>100</v>
      </c>
      <c r="H10689" s="2">
        <v>161</v>
      </c>
      <c r="I10689" s="2">
        <v>3</v>
      </c>
      <c r="J10689" s="2">
        <v>485</v>
      </c>
      <c r="K10689" s="2">
        <v>1</v>
      </c>
      <c r="L10689" s="2">
        <v>161</v>
      </c>
    </row>
    <row r="10690" spans="1:12" x14ac:dyDescent="0.25">
      <c r="A10690" s="4" t="str">
        <f>HYPERLINK("http://www.rosaceae.org/Prunus/Prunus_persica/p.persica_gdr_reftransV1_0004098","p.persica_gdr_reftransV1_0004098")</f>
        <v>p.persica_gdr_reftransV1_0004098</v>
      </c>
      <c r="B10690" s="2">
        <v>1685</v>
      </c>
      <c r="C10690" s="4" t="str">
        <f>HYPERLINK("http://www.uniprot.org/uniprot/M5XSQ0","M5XSQ0")</f>
        <v>M5XSQ0</v>
      </c>
      <c r="D10690" s="2" t="s">
        <v>5057</v>
      </c>
      <c r="E10690" s="3">
        <v>1.3799999999999999E-116</v>
      </c>
      <c r="F10690" s="2">
        <v>990</v>
      </c>
      <c r="G10690" s="2">
        <v>100</v>
      </c>
      <c r="H10690" s="2">
        <v>205</v>
      </c>
      <c r="I10690" s="2">
        <v>241</v>
      </c>
      <c r="J10690" s="2">
        <v>855</v>
      </c>
      <c r="K10690" s="2">
        <v>1</v>
      </c>
      <c r="L10690" s="2">
        <v>205</v>
      </c>
    </row>
    <row r="10691" spans="1:12" x14ac:dyDescent="0.25">
      <c r="A10691" s="4" t="str">
        <f>HYPERLINK("http://www.rosaceae.org/Prunus/Prunus_persica/p.persica_gdr_reftransV1_0004448","p.persica_gdr_reftransV1_0004448")</f>
        <v>p.persica_gdr_reftransV1_0004448</v>
      </c>
      <c r="B10691" s="2">
        <v>597</v>
      </c>
      <c r="C10691" s="4" t="str">
        <f>HYPERLINK("http://www.uniprot.org/uniprot/M5WBC8","M5WBC8")</f>
        <v>M5WBC8</v>
      </c>
      <c r="D10691" s="2" t="s">
        <v>9129</v>
      </c>
      <c r="E10691" s="3">
        <v>2.3199999999999998E-40</v>
      </c>
      <c r="F10691" s="2">
        <v>360</v>
      </c>
      <c r="G10691" s="2">
        <v>100</v>
      </c>
      <c r="H10691" s="2">
        <v>70</v>
      </c>
      <c r="I10691" s="2">
        <v>103</v>
      </c>
      <c r="J10691" s="2">
        <v>312</v>
      </c>
      <c r="K10691" s="2">
        <v>1</v>
      </c>
      <c r="L10691" s="2">
        <v>70</v>
      </c>
    </row>
    <row r="10692" spans="1:12" x14ac:dyDescent="0.25">
      <c r="A10692" s="4" t="str">
        <f>HYPERLINK("http://www.rosaceae.org/Prunus/Prunus_persica/p.persica_gdr_reftransV1_0005148","p.persica_gdr_reftransV1_0005148")</f>
        <v>p.persica_gdr_reftransV1_0005148</v>
      </c>
      <c r="B10692" s="2">
        <v>1780</v>
      </c>
      <c r="C10692" s="4" t="str">
        <f>HYPERLINK("http://www.uniprot.org/uniprot/M5VLM9","M5VLM9")</f>
        <v>M5VLM9</v>
      </c>
      <c r="D10692" s="2" t="s">
        <v>42</v>
      </c>
      <c r="E10692" s="3">
        <v>0</v>
      </c>
      <c r="F10692" s="2">
        <v>2076</v>
      </c>
      <c r="G10692" s="2">
        <v>98</v>
      </c>
      <c r="H10692" s="2">
        <v>401</v>
      </c>
      <c r="I10692" s="2">
        <v>425</v>
      </c>
      <c r="J10692" s="2">
        <v>1627</v>
      </c>
      <c r="K10692" s="2">
        <v>7</v>
      </c>
      <c r="L10692" s="2">
        <v>407</v>
      </c>
    </row>
    <row r="10693" spans="1:12" x14ac:dyDescent="0.25">
      <c r="A10693" s="4" t="str">
        <f>HYPERLINK("http://www.rosaceae.org/Prunus/Prunus_persica/p.persica_gdr_reftransV1_0005848","p.persica_gdr_reftransV1_0005848")</f>
        <v>p.persica_gdr_reftransV1_0005848</v>
      </c>
      <c r="B10693" s="2">
        <v>900</v>
      </c>
      <c r="C10693" s="4" t="str">
        <f>HYPERLINK("http://www.uniprot.org/uniprot/M5XP62","M5XP62")</f>
        <v>M5XP62</v>
      </c>
      <c r="D10693" s="2" t="s">
        <v>9130</v>
      </c>
      <c r="E10693" s="3">
        <v>2.5700000000000002E-84</v>
      </c>
      <c r="F10693" s="2">
        <v>683</v>
      </c>
      <c r="G10693" s="2">
        <v>100</v>
      </c>
      <c r="H10693" s="2">
        <v>129</v>
      </c>
      <c r="I10693" s="2">
        <v>514</v>
      </c>
      <c r="J10693" s="2">
        <v>900</v>
      </c>
      <c r="K10693" s="2">
        <v>53</v>
      </c>
      <c r="L10693" s="2">
        <v>181</v>
      </c>
    </row>
    <row r="10694" spans="1:12" x14ac:dyDescent="0.25">
      <c r="A10694" s="4" t="str">
        <f>HYPERLINK("http://www.rosaceae.org/Prunus/Prunus_persica/p.persica_gdr_reftransV1_0006198","p.persica_gdr_reftransV1_0006198")</f>
        <v>p.persica_gdr_reftransV1_0006198</v>
      </c>
      <c r="B10694" s="2">
        <v>564</v>
      </c>
      <c r="C10694" s="4" t="str">
        <f>HYPERLINK("http://www.uniprot.org/uniprot/M5VVF2","M5VVF2")</f>
        <v>M5VVF2</v>
      </c>
      <c r="D10694" s="2" t="s">
        <v>695</v>
      </c>
      <c r="E10694" s="3">
        <v>3.9500000000000003E-127</v>
      </c>
      <c r="F10694" s="2">
        <v>1005</v>
      </c>
      <c r="G10694" s="2">
        <v>100</v>
      </c>
      <c r="H10694" s="2">
        <v>187</v>
      </c>
      <c r="I10694" s="2">
        <v>3</v>
      </c>
      <c r="J10694" s="2">
        <v>563</v>
      </c>
      <c r="K10694" s="2">
        <v>122</v>
      </c>
      <c r="L10694" s="2">
        <v>308</v>
      </c>
    </row>
    <row r="10695" spans="1:12" x14ac:dyDescent="0.25">
      <c r="A10695" s="4" t="str">
        <f>HYPERLINK("http://www.rosaceae.org/Prunus/Prunus_persica/p.persica_gdr_reftransV1_0006898","p.persica_gdr_reftransV1_0006898")</f>
        <v>p.persica_gdr_reftransV1_0006898</v>
      </c>
      <c r="B10695" s="2">
        <v>680</v>
      </c>
      <c r="C10695" s="4" t="str">
        <f>HYPERLINK("http://www.uniprot.org/uniprot/M5WZI4","M5WZI4")</f>
        <v>M5WZI4</v>
      </c>
      <c r="D10695" s="2" t="s">
        <v>542</v>
      </c>
      <c r="E10695" s="3">
        <v>2.15E-53</v>
      </c>
      <c r="F10695" s="2">
        <v>478</v>
      </c>
      <c r="G10695" s="2">
        <v>100</v>
      </c>
      <c r="H10695" s="2">
        <v>106</v>
      </c>
      <c r="I10695" s="2">
        <v>1</v>
      </c>
      <c r="J10695" s="2">
        <v>318</v>
      </c>
      <c r="K10695" s="2">
        <v>335</v>
      </c>
      <c r="L10695" s="2">
        <v>440</v>
      </c>
    </row>
    <row r="10696" spans="1:12" x14ac:dyDescent="0.25">
      <c r="A10696" s="4" t="str">
        <f>HYPERLINK("http://www.rosaceae.org/Prunus/Prunus_persica/p.persica_gdr_reftransV1_0007248","p.persica_gdr_reftransV1_0007248")</f>
        <v>p.persica_gdr_reftransV1_0007248</v>
      </c>
      <c r="B10696" s="2">
        <v>558</v>
      </c>
      <c r="C10696" s="4" t="str">
        <f>HYPERLINK("http://www.uniprot.org/uniprot/M5W1R0","M5W1R0")</f>
        <v>M5W1R0</v>
      </c>
      <c r="D10696" s="2" t="s">
        <v>9131</v>
      </c>
      <c r="E10696" s="3">
        <v>4.8399999999999999E-63</v>
      </c>
      <c r="F10696" s="2">
        <v>515</v>
      </c>
      <c r="G10696" s="2">
        <v>100</v>
      </c>
      <c r="H10696" s="2">
        <v>100</v>
      </c>
      <c r="I10696" s="2">
        <v>3</v>
      </c>
      <c r="J10696" s="2">
        <v>302</v>
      </c>
      <c r="K10696" s="2">
        <v>20</v>
      </c>
      <c r="L10696" s="2">
        <v>119</v>
      </c>
    </row>
    <row r="10697" spans="1:12" x14ac:dyDescent="0.25">
      <c r="A10697" s="4" t="str">
        <f>HYPERLINK("http://www.rosaceae.org/Prunus/Prunus_persica/p.persica_gdr_reftransV1_0007948","p.persica_gdr_reftransV1_0007948")</f>
        <v>p.persica_gdr_reftransV1_0007948</v>
      </c>
      <c r="B10697" s="2">
        <v>891</v>
      </c>
      <c r="C10697" s="4" t="str">
        <f>HYPERLINK("http://www.uniprot.org/uniprot/M1QDQ8","M1QDQ8")</f>
        <v>M1QDQ8</v>
      </c>
      <c r="D10697" s="2" t="s">
        <v>9132</v>
      </c>
      <c r="E10697" s="3">
        <v>2.4E-133</v>
      </c>
      <c r="F10697" s="2">
        <v>1010</v>
      </c>
      <c r="G10697" s="2">
        <v>100</v>
      </c>
      <c r="H10697" s="2">
        <v>188</v>
      </c>
      <c r="I10697" s="2">
        <v>143</v>
      </c>
      <c r="J10697" s="2">
        <v>706</v>
      </c>
      <c r="K10697" s="2">
        <v>148</v>
      </c>
      <c r="L10697" s="2">
        <v>335</v>
      </c>
    </row>
    <row r="10698" spans="1:12" x14ac:dyDescent="0.25">
      <c r="A10698" s="4" t="str">
        <f>HYPERLINK("http://www.rosaceae.org/Prunus/Prunus_persica/p.persica_gdr_reftransV1_0008298","p.persica_gdr_reftransV1_0008298")</f>
        <v>p.persica_gdr_reftransV1_0008298</v>
      </c>
      <c r="B10698" s="2">
        <v>909</v>
      </c>
      <c r="C10698" s="4" t="str">
        <f>HYPERLINK("http://www.uniprot.org/uniprot/M5W1Q5","M5W1Q5")</f>
        <v>M5W1Q5</v>
      </c>
      <c r="D10698" s="2" t="s">
        <v>9133</v>
      </c>
      <c r="E10698" s="3">
        <v>7.7100000000000001E-100</v>
      </c>
      <c r="F10698" s="2">
        <v>771</v>
      </c>
      <c r="G10698" s="2">
        <v>100</v>
      </c>
      <c r="H10698" s="2">
        <v>146</v>
      </c>
      <c r="I10698" s="2">
        <v>388</v>
      </c>
      <c r="J10698" s="2">
        <v>825</v>
      </c>
      <c r="K10698" s="2">
        <v>1</v>
      </c>
      <c r="L10698" s="2">
        <v>146</v>
      </c>
    </row>
    <row r="10699" spans="1:12" x14ac:dyDescent="0.25">
      <c r="A10699" s="4" t="str">
        <f>HYPERLINK("http://www.rosaceae.org/Prunus/Prunus_persica/p.persica_gdr_reftransV1_0008998","p.persica_gdr_reftransV1_0008998")</f>
        <v>p.persica_gdr_reftransV1_0008998</v>
      </c>
      <c r="B10699" s="2">
        <v>1702</v>
      </c>
      <c r="C10699" s="4" t="str">
        <f>HYPERLINK("http://www.uniprot.org/uniprot/M5WSI9","M5WSI9")</f>
        <v>M5WSI9</v>
      </c>
      <c r="D10699" s="2" t="s">
        <v>9134</v>
      </c>
      <c r="E10699" s="3">
        <v>0</v>
      </c>
      <c r="F10699" s="2">
        <v>1931</v>
      </c>
      <c r="G10699" s="2">
        <v>100</v>
      </c>
      <c r="H10699" s="2">
        <v>364</v>
      </c>
      <c r="I10699" s="2">
        <v>170</v>
      </c>
      <c r="J10699" s="2">
        <v>1261</v>
      </c>
      <c r="K10699" s="2">
        <v>1</v>
      </c>
      <c r="L10699" s="2">
        <v>364</v>
      </c>
    </row>
    <row r="10700" spans="1:12" x14ac:dyDescent="0.25">
      <c r="A10700" s="4" t="str">
        <f>HYPERLINK("http://www.rosaceae.org/Prunus/Prunus_persica/p.persica_gdr_reftransV1_0009348","p.persica_gdr_reftransV1_0009348")</f>
        <v>p.persica_gdr_reftransV1_0009348</v>
      </c>
      <c r="B10700" s="2">
        <v>3724</v>
      </c>
      <c r="C10700" s="4" t="str">
        <f>HYPERLINK("http://www.uniprot.org/uniprot/M5XR82","M5XR82")</f>
        <v>M5XR82</v>
      </c>
      <c r="D10700" s="2" t="s">
        <v>9135</v>
      </c>
      <c r="E10700" s="3">
        <v>5.2199999999999999E-123</v>
      </c>
      <c r="F10700" s="2">
        <v>1013</v>
      </c>
      <c r="G10700" s="2">
        <v>100</v>
      </c>
      <c r="H10700" s="2">
        <v>208</v>
      </c>
      <c r="I10700" s="2">
        <v>208</v>
      </c>
      <c r="J10700" s="2">
        <v>831</v>
      </c>
      <c r="K10700" s="2">
        <v>1</v>
      </c>
      <c r="L10700" s="2">
        <v>208</v>
      </c>
    </row>
    <row r="10701" spans="1:12" x14ac:dyDescent="0.25">
      <c r="A10701" s="4" t="str">
        <f>HYPERLINK("http://www.rosaceae.org/Prunus/Prunus_persica/p.persica_gdr_reftransV1_0011098","p.persica_gdr_reftransV1_0011098")</f>
        <v>p.persica_gdr_reftransV1_0011098</v>
      </c>
      <c r="B10701" s="2">
        <v>2563</v>
      </c>
      <c r="C10701" s="4" t="str">
        <f>HYPERLINK("http://www.uniprot.org/uniprot/M5WRP4","M5WRP4")</f>
        <v>M5WRP4</v>
      </c>
      <c r="D10701" s="2" t="s">
        <v>9136</v>
      </c>
      <c r="E10701" s="3">
        <v>0</v>
      </c>
      <c r="F10701" s="2">
        <v>2405</v>
      </c>
      <c r="G10701" s="2">
        <v>94</v>
      </c>
      <c r="H10701" s="2">
        <v>580</v>
      </c>
      <c r="I10701" s="2">
        <v>374</v>
      </c>
      <c r="J10701" s="2">
        <v>2113</v>
      </c>
      <c r="K10701" s="2">
        <v>1</v>
      </c>
      <c r="L10701" s="2">
        <v>552</v>
      </c>
    </row>
    <row r="10702" spans="1:12" x14ac:dyDescent="0.25">
      <c r="A10702" s="4" t="str">
        <f>HYPERLINK("http://www.rosaceae.org/Prunus/Prunus_persica/p.persica_gdr_reftransV1_0011448","p.persica_gdr_reftransV1_0011448")</f>
        <v>p.persica_gdr_reftransV1_0011448</v>
      </c>
      <c r="B10702" s="2">
        <v>3006</v>
      </c>
      <c r="C10702" s="4" t="str">
        <f>HYPERLINK("http://www.uniprot.org/uniprot/M5WXK9","M5WXK9")</f>
        <v>M5WXK9</v>
      </c>
      <c r="D10702" s="2" t="s">
        <v>9137</v>
      </c>
      <c r="E10702" s="3">
        <v>0</v>
      </c>
      <c r="F10702" s="2">
        <v>3798</v>
      </c>
      <c r="G10702" s="2">
        <v>100</v>
      </c>
      <c r="H10702" s="2">
        <v>758</v>
      </c>
      <c r="I10702" s="2">
        <v>25</v>
      </c>
      <c r="J10702" s="2">
        <v>2298</v>
      </c>
      <c r="K10702" s="2">
        <v>1</v>
      </c>
      <c r="L10702" s="2">
        <v>758</v>
      </c>
    </row>
    <row r="10703" spans="1:12" x14ac:dyDescent="0.25">
      <c r="A10703" s="4" t="str">
        <f>HYPERLINK("http://www.rosaceae.org/Prunus/Prunus_persica/p.persica_gdr_reftransV1_0011798","p.persica_gdr_reftransV1_0011798")</f>
        <v>p.persica_gdr_reftransV1_0011798</v>
      </c>
      <c r="B10703" s="2">
        <v>1174</v>
      </c>
      <c r="C10703" s="4" t="str">
        <f>HYPERLINK("http://www.uniprot.org/uniprot/M5WHI3","M5WHI3")</f>
        <v>M5WHI3</v>
      </c>
      <c r="D10703" s="2" t="s">
        <v>74</v>
      </c>
      <c r="E10703" s="3">
        <v>6.53E-143</v>
      </c>
      <c r="F10703" s="2">
        <v>1100</v>
      </c>
      <c r="G10703" s="2">
        <v>86</v>
      </c>
      <c r="H10703" s="2">
        <v>259</v>
      </c>
      <c r="I10703" s="2">
        <v>398</v>
      </c>
      <c r="J10703" s="2">
        <v>1174</v>
      </c>
      <c r="K10703" s="2">
        <v>84</v>
      </c>
      <c r="L10703" s="2">
        <v>308</v>
      </c>
    </row>
    <row r="10704" spans="1:12" x14ac:dyDescent="0.25">
      <c r="A10704" s="4" t="str">
        <f>HYPERLINK("http://www.rosaceae.org/Prunus/Prunus_persica/p.persica_gdr_reftransV1_0012148","p.persica_gdr_reftransV1_0012148")</f>
        <v>p.persica_gdr_reftransV1_0012148</v>
      </c>
      <c r="B10704" s="2">
        <v>2081</v>
      </c>
      <c r="C10704" s="4" t="str">
        <f>HYPERLINK("http://www.uniprot.org/uniprot/M5VM00","M5VM00")</f>
        <v>M5VM00</v>
      </c>
      <c r="D10704" s="2" t="s">
        <v>9138</v>
      </c>
      <c r="E10704" s="3">
        <v>0</v>
      </c>
      <c r="F10704" s="2">
        <v>2180</v>
      </c>
      <c r="G10704" s="2">
        <v>100</v>
      </c>
      <c r="H10704" s="2">
        <v>442</v>
      </c>
      <c r="I10704" s="2">
        <v>179</v>
      </c>
      <c r="J10704" s="2">
        <v>1504</v>
      </c>
      <c r="K10704" s="2">
        <v>1</v>
      </c>
      <c r="L10704" s="2">
        <v>442</v>
      </c>
    </row>
    <row r="10705" spans="1:12" x14ac:dyDescent="0.25">
      <c r="A10705" s="4" t="str">
        <f>HYPERLINK("http://www.rosaceae.org/Prunus/Prunus_persica/p.persica_gdr_reftransV1_0012498","p.persica_gdr_reftransV1_0012498")</f>
        <v>p.persica_gdr_reftransV1_0012498</v>
      </c>
      <c r="B10705" s="2">
        <v>1290</v>
      </c>
      <c r="C10705" s="4" t="str">
        <f>HYPERLINK("http://www.uniprot.org/uniprot/M5W080","M5W080")</f>
        <v>M5W080</v>
      </c>
      <c r="D10705" s="2" t="s">
        <v>9139</v>
      </c>
      <c r="E10705" s="3">
        <v>1.4700000000000001E-114</v>
      </c>
      <c r="F10705" s="2">
        <v>887</v>
      </c>
      <c r="G10705" s="2">
        <v>100</v>
      </c>
      <c r="H10705" s="2">
        <v>197</v>
      </c>
      <c r="I10705" s="2">
        <v>268</v>
      </c>
      <c r="J10705" s="2">
        <v>858</v>
      </c>
      <c r="K10705" s="2">
        <v>1</v>
      </c>
      <c r="L10705" s="2">
        <v>197</v>
      </c>
    </row>
    <row r="10706" spans="1:12" x14ac:dyDescent="0.25">
      <c r="A10706" s="4" t="str">
        <f>HYPERLINK("http://www.rosaceae.org/Prunus/Prunus_persica/p.persica_gdr_reftransV1_0013198","p.persica_gdr_reftransV1_0013198")</f>
        <v>p.persica_gdr_reftransV1_0013198</v>
      </c>
      <c r="B10706" s="2">
        <v>1517</v>
      </c>
      <c r="C10706" s="4" t="str">
        <f>HYPERLINK("http://www.uniprot.org/uniprot/M5XRJ9","M5XRJ9")</f>
        <v>M5XRJ9</v>
      </c>
      <c r="D10706" s="2" t="s">
        <v>9140</v>
      </c>
      <c r="E10706" s="3">
        <v>4.1700000000000001E-92</v>
      </c>
      <c r="F10706" s="2">
        <v>755</v>
      </c>
      <c r="G10706" s="2">
        <v>99</v>
      </c>
      <c r="H10706" s="2">
        <v>157</v>
      </c>
      <c r="I10706" s="2">
        <v>878</v>
      </c>
      <c r="J10706" s="2">
        <v>1348</v>
      </c>
      <c r="K10706" s="2">
        <v>157</v>
      </c>
      <c r="L10706" s="2">
        <v>313</v>
      </c>
    </row>
    <row r="10707" spans="1:12" x14ac:dyDescent="0.25">
      <c r="A10707" s="4" t="str">
        <f>HYPERLINK("http://www.rosaceae.org/Prunus/Prunus_persica/p.persica_gdr_reftransV1_0013898","p.persica_gdr_reftransV1_0013898")</f>
        <v>p.persica_gdr_reftransV1_0013898</v>
      </c>
      <c r="B10707" s="2">
        <v>2011</v>
      </c>
      <c r="C10707" s="4" t="str">
        <f>HYPERLINK("http://www.uniprot.org/uniprot/M5WAM4","M5WAM4")</f>
        <v>M5WAM4</v>
      </c>
      <c r="D10707" s="2" t="s">
        <v>9141</v>
      </c>
      <c r="E10707" s="3">
        <v>0</v>
      </c>
      <c r="F10707" s="2">
        <v>1869</v>
      </c>
      <c r="G10707" s="2">
        <v>100</v>
      </c>
      <c r="H10707" s="2">
        <v>411</v>
      </c>
      <c r="I10707" s="2">
        <v>391</v>
      </c>
      <c r="J10707" s="2">
        <v>1623</v>
      </c>
      <c r="K10707" s="2">
        <v>15</v>
      </c>
      <c r="L10707" s="2">
        <v>425</v>
      </c>
    </row>
    <row r="10708" spans="1:12" x14ac:dyDescent="0.25">
      <c r="A10708" s="4" t="str">
        <f>HYPERLINK("http://www.rosaceae.org/Prunus/Prunus_persica/p.persica_gdr_reftransV1_0014248","p.persica_gdr_reftransV1_0014248")</f>
        <v>p.persica_gdr_reftransV1_0014248</v>
      </c>
      <c r="B10708" s="2">
        <v>476</v>
      </c>
      <c r="C10708" s="4" t="str">
        <f>HYPERLINK("http://www.uniprot.org/uniprot/M5XQ05","M5XQ05")</f>
        <v>M5XQ05</v>
      </c>
      <c r="D10708" s="2" t="s">
        <v>9142</v>
      </c>
      <c r="E10708" s="3">
        <v>2.1199999999999998E-93</v>
      </c>
      <c r="F10708" s="2">
        <v>745</v>
      </c>
      <c r="G10708" s="2">
        <v>87</v>
      </c>
      <c r="H10708" s="2">
        <v>158</v>
      </c>
      <c r="I10708" s="2">
        <v>1</v>
      </c>
      <c r="J10708" s="2">
        <v>474</v>
      </c>
      <c r="K10708" s="2">
        <v>322</v>
      </c>
      <c r="L10708" s="2">
        <v>479</v>
      </c>
    </row>
    <row r="10709" spans="1:12" x14ac:dyDescent="0.25">
      <c r="A10709" s="4" t="str">
        <f>HYPERLINK("http://www.rosaceae.org/Prunus/Prunus_persica/p.persica_gdr_reftransV1_0015998","p.persica_gdr_reftransV1_0015998")</f>
        <v>p.persica_gdr_reftransV1_0015998</v>
      </c>
      <c r="B10709" s="2">
        <v>1623</v>
      </c>
      <c r="C10709" s="4" t="str">
        <f>HYPERLINK("http://www.uniprot.org/uniprot/M5VTJ1","M5VTJ1")</f>
        <v>M5VTJ1</v>
      </c>
      <c r="D10709" s="2" t="s">
        <v>9143</v>
      </c>
      <c r="E10709" s="3">
        <v>0</v>
      </c>
      <c r="F10709" s="2">
        <v>1807</v>
      </c>
      <c r="G10709" s="2">
        <v>99</v>
      </c>
      <c r="H10709" s="2">
        <v>338</v>
      </c>
      <c r="I10709" s="2">
        <v>331</v>
      </c>
      <c r="J10709" s="2">
        <v>1344</v>
      </c>
      <c r="K10709" s="2">
        <v>1</v>
      </c>
      <c r="L10709" s="2">
        <v>338</v>
      </c>
    </row>
    <row r="10710" spans="1:12" x14ac:dyDescent="0.25">
      <c r="A10710" s="4" t="str">
        <f>HYPERLINK("http://www.rosaceae.org/Prunus/Prunus_persica/p.persica_gdr_reftransV1_0017048","p.persica_gdr_reftransV1_0017048")</f>
        <v>p.persica_gdr_reftransV1_0017048</v>
      </c>
      <c r="B10710" s="2">
        <v>2255</v>
      </c>
      <c r="C10710" s="4" t="str">
        <f>HYPERLINK("http://www.uniprot.org/uniprot/W9QRJ6","W9QRJ6")</f>
        <v>W9QRJ6</v>
      </c>
      <c r="D10710" s="2" t="s">
        <v>9144</v>
      </c>
      <c r="E10710" s="3">
        <v>6.7999999999999999E-158</v>
      </c>
      <c r="F10710" s="2">
        <v>1220</v>
      </c>
      <c r="G10710" s="2">
        <v>75</v>
      </c>
      <c r="H10710" s="2">
        <v>310</v>
      </c>
      <c r="I10710" s="2">
        <v>704</v>
      </c>
      <c r="J10710" s="2">
        <v>1624</v>
      </c>
      <c r="K10710" s="2">
        <v>57</v>
      </c>
      <c r="L10710" s="2">
        <v>364</v>
      </c>
    </row>
    <row r="10711" spans="1:12" x14ac:dyDescent="0.25">
      <c r="A10711" s="4" t="str">
        <f>HYPERLINK("http://www.rosaceae.org/Prunus/Prunus_persica/p.persica_gdr_reftransV1_0017398","p.persica_gdr_reftransV1_0017398")</f>
        <v>p.persica_gdr_reftransV1_0017398</v>
      </c>
      <c r="B10711" s="2">
        <v>2784</v>
      </c>
      <c r="C10711" s="4" t="str">
        <f>HYPERLINK("http://www.uniprot.org/uniprot/M5XCK8","M5XCK8")</f>
        <v>M5XCK8</v>
      </c>
      <c r="D10711" s="2" t="s">
        <v>9145</v>
      </c>
      <c r="E10711" s="3">
        <v>0</v>
      </c>
      <c r="F10711" s="2">
        <v>3404</v>
      </c>
      <c r="G10711" s="2">
        <v>100</v>
      </c>
      <c r="H10711" s="2">
        <v>632</v>
      </c>
      <c r="I10711" s="2">
        <v>449</v>
      </c>
      <c r="J10711" s="2">
        <v>2344</v>
      </c>
      <c r="K10711" s="2">
        <v>1</v>
      </c>
      <c r="L10711" s="2">
        <v>632</v>
      </c>
    </row>
    <row r="10712" spans="1:12" x14ac:dyDescent="0.25">
      <c r="A10712" s="4" t="str">
        <f>HYPERLINK("http://www.rosaceae.org/Prunus/Prunus_persica/p.persica_gdr_reftransV1_0019148","p.persica_gdr_reftransV1_0019148")</f>
        <v>p.persica_gdr_reftransV1_0019148</v>
      </c>
      <c r="B10712" s="2">
        <v>1251</v>
      </c>
      <c r="C10712" s="4" t="str">
        <f>HYPERLINK("http://www.uniprot.org/uniprot/M5WTC5","M5WTC5")</f>
        <v>M5WTC5</v>
      </c>
      <c r="D10712" s="2" t="s">
        <v>9146</v>
      </c>
      <c r="E10712" s="3">
        <v>1.2099999999999999E-89</v>
      </c>
      <c r="F10712" s="2">
        <v>724</v>
      </c>
      <c r="G10712" s="2">
        <v>100</v>
      </c>
      <c r="H10712" s="2">
        <v>137</v>
      </c>
      <c r="I10712" s="2">
        <v>186</v>
      </c>
      <c r="J10712" s="2">
        <v>596</v>
      </c>
      <c r="K10712" s="2">
        <v>1</v>
      </c>
      <c r="L10712" s="2">
        <v>137</v>
      </c>
    </row>
    <row r="10713" spans="1:12" x14ac:dyDescent="0.25">
      <c r="A10713" s="4" t="str">
        <f>HYPERLINK("http://www.rosaceae.org/Prunus/Prunus_persica/p.persica_gdr_reftransV1_0019498","p.persica_gdr_reftransV1_0019498")</f>
        <v>p.persica_gdr_reftransV1_0019498</v>
      </c>
      <c r="B10713" s="2">
        <v>4276</v>
      </c>
      <c r="C10713" s="4" t="str">
        <f>HYPERLINK("http://www.uniprot.org/uniprot/M5WK23","M5WK23")</f>
        <v>M5WK23</v>
      </c>
      <c r="D10713" s="2" t="s">
        <v>9147</v>
      </c>
      <c r="E10713" s="3">
        <v>0</v>
      </c>
      <c r="F10713" s="2">
        <v>6567</v>
      </c>
      <c r="G10713" s="2">
        <v>100</v>
      </c>
      <c r="H10713" s="2">
        <v>1276</v>
      </c>
      <c r="I10713" s="2">
        <v>340</v>
      </c>
      <c r="J10713" s="2">
        <v>4167</v>
      </c>
      <c r="K10713" s="2">
        <v>1</v>
      </c>
      <c r="L10713" s="2">
        <v>1276</v>
      </c>
    </row>
    <row r="10714" spans="1:12" x14ac:dyDescent="0.25">
      <c r="A10714" s="4" t="str">
        <f>HYPERLINK("http://www.rosaceae.org/Prunus/Prunus_persica/p.persica_gdr_reftransV1_0019848","p.persica_gdr_reftransV1_0019848")</f>
        <v>p.persica_gdr_reftransV1_0019848</v>
      </c>
      <c r="B10714" s="2">
        <v>495</v>
      </c>
      <c r="C10714" s="4" t="str">
        <f>HYPERLINK("http://www.uniprot.org/uniprot/M5XKH9","M5XKH9")</f>
        <v>M5XKH9</v>
      </c>
      <c r="D10714" s="2" t="s">
        <v>432</v>
      </c>
      <c r="E10714" s="3">
        <v>1.7999999999999999E-50</v>
      </c>
      <c r="F10714" s="2">
        <v>439</v>
      </c>
      <c r="G10714" s="2">
        <v>100</v>
      </c>
      <c r="H10714" s="2">
        <v>96</v>
      </c>
      <c r="I10714" s="2">
        <v>146</v>
      </c>
      <c r="J10714" s="2">
        <v>433</v>
      </c>
      <c r="K10714" s="2">
        <v>1</v>
      </c>
      <c r="L10714" s="2">
        <v>96</v>
      </c>
    </row>
    <row r="10715" spans="1:12" x14ac:dyDescent="0.25">
      <c r="A10715" s="4" t="str">
        <f>HYPERLINK("http://www.rosaceae.org/Prunus/Prunus_persica/p.persica_gdr_reftransV1_0020548","p.persica_gdr_reftransV1_0020548")</f>
        <v>p.persica_gdr_reftransV1_0020548</v>
      </c>
      <c r="B10715" s="2">
        <v>1216</v>
      </c>
      <c r="C10715" s="4" t="str">
        <f>HYPERLINK("http://www.uniprot.org/uniprot/M5X1L9","M5X1L9")</f>
        <v>M5X1L9</v>
      </c>
      <c r="D10715" s="2" t="s">
        <v>9148</v>
      </c>
      <c r="E10715" s="3">
        <v>0</v>
      </c>
      <c r="F10715" s="2">
        <v>1549</v>
      </c>
      <c r="G10715" s="2">
        <v>100</v>
      </c>
      <c r="H10715" s="2">
        <v>291</v>
      </c>
      <c r="I10715" s="2">
        <v>267</v>
      </c>
      <c r="J10715" s="2">
        <v>1139</v>
      </c>
      <c r="K10715" s="2">
        <v>1</v>
      </c>
      <c r="L10715" s="2">
        <v>291</v>
      </c>
    </row>
    <row r="10716" spans="1:12" x14ac:dyDescent="0.25">
      <c r="A10716" s="4" t="str">
        <f>HYPERLINK("http://www.rosaceae.org/Prunus/Prunus_persica/p.persica_gdr_reftransV1_0020898","p.persica_gdr_reftransV1_0020898")</f>
        <v>p.persica_gdr_reftransV1_0020898</v>
      </c>
      <c r="B10716" s="2">
        <v>2411</v>
      </c>
      <c r="C10716" s="4" t="str">
        <f>HYPERLINK("http://www.uniprot.org/uniprot/M5VUM6","M5VUM6")</f>
        <v>M5VUM6</v>
      </c>
      <c r="D10716" s="2" t="s">
        <v>3118</v>
      </c>
      <c r="E10716" s="3">
        <v>0</v>
      </c>
      <c r="F10716" s="2">
        <v>1881</v>
      </c>
      <c r="G10716" s="2">
        <v>100</v>
      </c>
      <c r="H10716" s="2">
        <v>401</v>
      </c>
      <c r="I10716" s="2">
        <v>980</v>
      </c>
      <c r="J10716" s="2">
        <v>2182</v>
      </c>
      <c r="K10716" s="2">
        <v>1</v>
      </c>
      <c r="L10716" s="2">
        <v>401</v>
      </c>
    </row>
    <row r="10717" spans="1:12" x14ac:dyDescent="0.25">
      <c r="A10717" s="4" t="str">
        <f>HYPERLINK("http://www.rosaceae.org/Prunus/Prunus_persica/p.persica_gdr_reftransV1_0021248","p.persica_gdr_reftransV1_0021248")</f>
        <v>p.persica_gdr_reftransV1_0021248</v>
      </c>
      <c r="B10717" s="2">
        <v>1276</v>
      </c>
      <c r="C10717" s="4" t="str">
        <f>HYPERLINK("http://www.uniprot.org/uniprot/M5VG88","M5VG88")</f>
        <v>M5VG88</v>
      </c>
      <c r="D10717" s="2" t="s">
        <v>9149</v>
      </c>
      <c r="E10717" s="3">
        <v>3.2300000000000001E-89</v>
      </c>
      <c r="F10717" s="2">
        <v>717</v>
      </c>
      <c r="G10717" s="2">
        <v>100</v>
      </c>
      <c r="H10717" s="2">
        <v>189</v>
      </c>
      <c r="I10717" s="2">
        <v>199</v>
      </c>
      <c r="J10717" s="2">
        <v>765</v>
      </c>
      <c r="K10717" s="2">
        <v>1</v>
      </c>
      <c r="L10717" s="2">
        <v>189</v>
      </c>
    </row>
    <row r="10718" spans="1:12" x14ac:dyDescent="0.25">
      <c r="A10718" s="4" t="str">
        <f>HYPERLINK("http://www.rosaceae.org/Prunus/Prunus_persica/p.persica_gdr_reftransV1_0023348","p.persica_gdr_reftransV1_0023348")</f>
        <v>p.persica_gdr_reftransV1_0023348</v>
      </c>
      <c r="B10718" s="2">
        <v>1155</v>
      </c>
      <c r="C10718" s="4" t="str">
        <f>HYPERLINK("http://www.uniprot.org/uniprot/M5WNM3","M5WNM3")</f>
        <v>M5WNM3</v>
      </c>
      <c r="D10718" s="2" t="s">
        <v>8221</v>
      </c>
      <c r="E10718" s="3">
        <v>0</v>
      </c>
      <c r="F10718" s="2">
        <v>1819</v>
      </c>
      <c r="G10718" s="2">
        <v>100</v>
      </c>
      <c r="H10718" s="2">
        <v>335</v>
      </c>
      <c r="I10718" s="2">
        <v>1</v>
      </c>
      <c r="J10718" s="2">
        <v>1005</v>
      </c>
      <c r="K10718" s="2">
        <v>524</v>
      </c>
      <c r="L10718" s="2">
        <v>858</v>
      </c>
    </row>
    <row r="10719" spans="1:12" x14ac:dyDescent="0.25">
      <c r="A10719" s="4" t="str">
        <f>HYPERLINK("http://www.rosaceae.org/Prunus/Prunus_persica/p.persica_gdr_reftransV1_0024398","p.persica_gdr_reftransV1_0024398")</f>
        <v>p.persica_gdr_reftransV1_0024398</v>
      </c>
      <c r="B10719" s="2">
        <v>2903</v>
      </c>
      <c r="C10719" s="4" t="str">
        <f>HYPERLINK("http://www.uniprot.org/uniprot/M5W232","M5W232")</f>
        <v>M5W232</v>
      </c>
      <c r="D10719" s="2" t="s">
        <v>9150</v>
      </c>
      <c r="E10719" s="3">
        <v>0</v>
      </c>
      <c r="F10719" s="2">
        <v>3351</v>
      </c>
      <c r="G10719" s="2">
        <v>100</v>
      </c>
      <c r="H10719" s="2">
        <v>674</v>
      </c>
      <c r="I10719" s="2">
        <v>631</v>
      </c>
      <c r="J10719" s="2">
        <v>2652</v>
      </c>
      <c r="K10719" s="2">
        <v>1</v>
      </c>
      <c r="L10719" s="2">
        <v>674</v>
      </c>
    </row>
    <row r="10720" spans="1:12" x14ac:dyDescent="0.25">
      <c r="A10720" s="4" t="str">
        <f>HYPERLINK("http://www.rosaceae.org/Prunus/Prunus_persica/p.persica_gdr_reftransV1_0024748","p.persica_gdr_reftransV1_0024748")</f>
        <v>p.persica_gdr_reftransV1_0024748</v>
      </c>
      <c r="B10720" s="2">
        <v>1295</v>
      </c>
      <c r="C10720" s="4" t="str">
        <f>HYPERLINK("http://www.uniprot.org/uniprot/M5XDF5","M5XDF5")</f>
        <v>M5XDF5</v>
      </c>
      <c r="D10720" s="2" t="s">
        <v>9151</v>
      </c>
      <c r="E10720" s="3">
        <v>0</v>
      </c>
      <c r="F10720" s="2">
        <v>1646</v>
      </c>
      <c r="G10720" s="2">
        <v>100</v>
      </c>
      <c r="H10720" s="2">
        <v>320</v>
      </c>
      <c r="I10720" s="2">
        <v>280</v>
      </c>
      <c r="J10720" s="2">
        <v>1239</v>
      </c>
      <c r="K10720" s="2">
        <v>31</v>
      </c>
      <c r="L10720" s="2">
        <v>350</v>
      </c>
    </row>
    <row r="10721" spans="1:12" x14ac:dyDescent="0.25">
      <c r="A10721" s="4" t="str">
        <f>HYPERLINK("http://www.rosaceae.org/Prunus/Prunus_persica/p.persica_gdr_reftransV1_0025798","p.persica_gdr_reftransV1_0025798")</f>
        <v>p.persica_gdr_reftransV1_0025798</v>
      </c>
      <c r="B10721" s="2">
        <v>1140</v>
      </c>
      <c r="C10721" s="4" t="str">
        <f>HYPERLINK("http://www.uniprot.org/uniprot/M5VPI0","M5VPI0")</f>
        <v>M5VPI0</v>
      </c>
      <c r="D10721" s="2" t="s">
        <v>9152</v>
      </c>
      <c r="E10721" s="3">
        <v>0</v>
      </c>
      <c r="F10721" s="2">
        <v>1412</v>
      </c>
      <c r="G10721" s="2">
        <v>100</v>
      </c>
      <c r="H10721" s="2">
        <v>312</v>
      </c>
      <c r="I10721" s="2">
        <v>92</v>
      </c>
      <c r="J10721" s="2">
        <v>1027</v>
      </c>
      <c r="K10721" s="2">
        <v>1</v>
      </c>
      <c r="L10721" s="2">
        <v>312</v>
      </c>
    </row>
    <row r="10722" spans="1:12" x14ac:dyDescent="0.25">
      <c r="A10722" s="4" t="str">
        <f>HYPERLINK("http://www.rosaceae.org/Prunus/Prunus_persica/p.persica_gdr_reftransV1_0026498","p.persica_gdr_reftransV1_0026498")</f>
        <v>p.persica_gdr_reftransV1_0026498</v>
      </c>
      <c r="B10722" s="2">
        <v>1582</v>
      </c>
      <c r="C10722" s="4" t="str">
        <f>HYPERLINK("http://www.uniprot.org/uniprot/A0A067L6P9","A0A067L6P9")</f>
        <v>A0A067L6P9</v>
      </c>
      <c r="D10722" s="2" t="s">
        <v>9153</v>
      </c>
      <c r="E10722" s="3">
        <v>7.5900000000000004E-175</v>
      </c>
      <c r="F10722" s="2">
        <v>1303</v>
      </c>
      <c r="G10722" s="2">
        <v>83</v>
      </c>
      <c r="H10722" s="2">
        <v>279</v>
      </c>
      <c r="I10722" s="2">
        <v>440</v>
      </c>
      <c r="J10722" s="2">
        <v>1273</v>
      </c>
      <c r="K10722" s="2">
        <v>1</v>
      </c>
      <c r="L10722" s="2">
        <v>279</v>
      </c>
    </row>
    <row r="10723" spans="1:12" x14ac:dyDescent="0.25">
      <c r="A10723" s="4" t="str">
        <f>HYPERLINK("http://www.rosaceae.org/Prunus/Prunus_persica/p.persica_gdr_reftransV1_0026848","p.persica_gdr_reftransV1_0026848")</f>
        <v>p.persica_gdr_reftransV1_0026848</v>
      </c>
      <c r="B10723" s="2">
        <v>1510</v>
      </c>
      <c r="C10723" s="4" t="str">
        <f>HYPERLINK("http://www.uniprot.org/uniprot/M5VWU8","M5VWU8")</f>
        <v>M5VWU8</v>
      </c>
      <c r="D10723" s="2" t="s">
        <v>9154</v>
      </c>
      <c r="E10723" s="3">
        <v>0</v>
      </c>
      <c r="F10723" s="2">
        <v>1502</v>
      </c>
      <c r="G10723" s="2">
        <v>100</v>
      </c>
      <c r="H10723" s="2">
        <v>305</v>
      </c>
      <c r="I10723" s="2">
        <v>138</v>
      </c>
      <c r="J10723" s="2">
        <v>1052</v>
      </c>
      <c r="K10723" s="2">
        <v>75</v>
      </c>
      <c r="L10723" s="2">
        <v>379</v>
      </c>
    </row>
    <row r="10724" spans="1:12" x14ac:dyDescent="0.25">
      <c r="A10724" s="4" t="str">
        <f>HYPERLINK("http://www.rosaceae.org/Prunus/Prunus_persica/p.persica_gdr_reftransV1_0027198","p.persica_gdr_reftransV1_0027198")</f>
        <v>p.persica_gdr_reftransV1_0027198</v>
      </c>
      <c r="B10724" s="2">
        <v>1683</v>
      </c>
      <c r="C10724" s="4" t="str">
        <f>HYPERLINK("http://www.uniprot.org/uniprot/M5WSC3","M5WSC3")</f>
        <v>M5WSC3</v>
      </c>
      <c r="D10724" s="2" t="s">
        <v>9155</v>
      </c>
      <c r="E10724" s="3">
        <v>0</v>
      </c>
      <c r="F10724" s="2">
        <v>1777</v>
      </c>
      <c r="G10724" s="2">
        <v>100</v>
      </c>
      <c r="H10724" s="2">
        <v>386</v>
      </c>
      <c r="I10724" s="2">
        <v>420</v>
      </c>
      <c r="J10724" s="2">
        <v>1577</v>
      </c>
      <c r="K10724" s="2">
        <v>1</v>
      </c>
      <c r="L10724" s="2">
        <v>386</v>
      </c>
    </row>
    <row r="10725" spans="1:12" x14ac:dyDescent="0.25">
      <c r="A10725" s="4" t="str">
        <f>HYPERLINK("http://www.rosaceae.org/Prunus/Prunus_persica/p.persica_gdr_reftransV1_0027898","p.persica_gdr_reftransV1_0027898")</f>
        <v>p.persica_gdr_reftransV1_0027898</v>
      </c>
      <c r="B10725" s="2">
        <v>6387</v>
      </c>
      <c r="C10725" s="4" t="str">
        <f>HYPERLINK("http://www.uniprot.org/uniprot/M5W4V2","M5W4V2")</f>
        <v>M5W4V2</v>
      </c>
      <c r="D10725" s="2" t="s">
        <v>9156</v>
      </c>
      <c r="E10725" s="3">
        <v>0</v>
      </c>
      <c r="F10725" s="2">
        <v>8835</v>
      </c>
      <c r="G10725" s="2">
        <v>100</v>
      </c>
      <c r="H10725" s="2">
        <v>1782</v>
      </c>
      <c r="I10725" s="2">
        <v>485</v>
      </c>
      <c r="J10725" s="2">
        <v>5830</v>
      </c>
      <c r="K10725" s="2">
        <v>1</v>
      </c>
      <c r="L10725" s="2">
        <v>1776</v>
      </c>
    </row>
    <row r="10726" spans="1:12" x14ac:dyDescent="0.25">
      <c r="A10726" s="4" t="str">
        <f>HYPERLINK("http://www.rosaceae.org/Prunus/Prunus_persica/p.persica_gdr_reftransV1_0028948","p.persica_gdr_reftransV1_0028948")</f>
        <v>p.persica_gdr_reftransV1_0028948</v>
      </c>
      <c r="B10726" s="2">
        <v>2391</v>
      </c>
      <c r="C10726" s="4" t="str">
        <f>HYPERLINK("http://www.uniprot.org/uniprot/M5XLC1","M5XLC1")</f>
        <v>M5XLC1</v>
      </c>
      <c r="D10726" s="2" t="s">
        <v>9157</v>
      </c>
      <c r="E10726" s="3">
        <v>0</v>
      </c>
      <c r="F10726" s="2">
        <v>2814</v>
      </c>
      <c r="G10726" s="2">
        <v>100</v>
      </c>
      <c r="H10726" s="2">
        <v>530</v>
      </c>
      <c r="I10726" s="2">
        <v>339</v>
      </c>
      <c r="J10726" s="2">
        <v>1928</v>
      </c>
      <c r="K10726" s="2">
        <v>53</v>
      </c>
      <c r="L10726" s="2">
        <v>582</v>
      </c>
    </row>
    <row r="10727" spans="1:12" x14ac:dyDescent="0.25">
      <c r="A10727" s="4" t="str">
        <f>HYPERLINK("http://www.rosaceae.org/Prunus/Prunus_persica/p.persica_gdr_reftransV1_0029648","p.persica_gdr_reftransV1_0029648")</f>
        <v>p.persica_gdr_reftransV1_0029648</v>
      </c>
      <c r="B10727" s="2">
        <v>1525</v>
      </c>
      <c r="C10727" s="4" t="str">
        <f>HYPERLINK("http://www.uniprot.org/uniprot/M5WGV1","M5WGV1")</f>
        <v>M5WGV1</v>
      </c>
      <c r="D10727" s="2" t="s">
        <v>1068</v>
      </c>
      <c r="E10727" s="3">
        <v>0</v>
      </c>
      <c r="F10727" s="2">
        <v>1992</v>
      </c>
      <c r="G10727" s="2">
        <v>100</v>
      </c>
      <c r="H10727" s="2">
        <v>422</v>
      </c>
      <c r="I10727" s="2">
        <v>7</v>
      </c>
      <c r="J10727" s="2">
        <v>1272</v>
      </c>
      <c r="K10727" s="2">
        <v>1</v>
      </c>
      <c r="L10727" s="2">
        <v>422</v>
      </c>
    </row>
    <row r="10728" spans="1:12" x14ac:dyDescent="0.25">
      <c r="A10728" s="4" t="str">
        <f>HYPERLINK("http://www.rosaceae.org/Prunus/Prunus_persica/p.persica_gdr_reftransV1_0030698","p.persica_gdr_reftransV1_0030698")</f>
        <v>p.persica_gdr_reftransV1_0030698</v>
      </c>
      <c r="B10728" s="2">
        <v>1649</v>
      </c>
      <c r="C10728" s="4" t="str">
        <f>HYPERLINK("http://www.uniprot.org/uniprot/M5XBS0","M5XBS0")</f>
        <v>M5XBS0</v>
      </c>
      <c r="D10728" s="2" t="s">
        <v>9158</v>
      </c>
      <c r="E10728" s="3">
        <v>1.54E-144</v>
      </c>
      <c r="F10728" s="2">
        <v>1098</v>
      </c>
      <c r="G10728" s="2">
        <v>100</v>
      </c>
      <c r="H10728" s="2">
        <v>218</v>
      </c>
      <c r="I10728" s="2">
        <v>818</v>
      </c>
      <c r="J10728" s="2">
        <v>1471</v>
      </c>
      <c r="K10728" s="2">
        <v>1</v>
      </c>
      <c r="L10728" s="2">
        <v>218</v>
      </c>
    </row>
    <row r="10729" spans="1:12" x14ac:dyDescent="0.25">
      <c r="A10729" s="4" t="str">
        <f>HYPERLINK("http://www.rosaceae.org/Prunus/Prunus_persica/p.persica_gdr_reftransV1_0032098","p.persica_gdr_reftransV1_0032098")</f>
        <v>p.persica_gdr_reftransV1_0032098</v>
      </c>
      <c r="B10729" s="2">
        <v>2788</v>
      </c>
      <c r="C10729" s="4" t="str">
        <f>HYPERLINK("http://www.uniprot.org/uniprot/M5WXI8","M5WXI8")</f>
        <v>M5WXI8</v>
      </c>
      <c r="D10729" s="2" t="s">
        <v>7566</v>
      </c>
      <c r="E10729" s="3">
        <v>0</v>
      </c>
      <c r="F10729" s="2">
        <v>3026</v>
      </c>
      <c r="G10729" s="2">
        <v>100</v>
      </c>
      <c r="H10729" s="2">
        <v>567</v>
      </c>
      <c r="I10729" s="2">
        <v>292</v>
      </c>
      <c r="J10729" s="2">
        <v>1992</v>
      </c>
      <c r="K10729" s="2">
        <v>145</v>
      </c>
      <c r="L10729" s="2">
        <v>711</v>
      </c>
    </row>
    <row r="10730" spans="1:12" x14ac:dyDescent="0.25">
      <c r="A10730" s="4" t="str">
        <f>HYPERLINK("http://www.rosaceae.org/Prunus/Prunus_persica/p.persica_gdr_reftransV1_0036998","p.persica_gdr_reftransV1_0036998")</f>
        <v>p.persica_gdr_reftransV1_0036998</v>
      </c>
      <c r="B10730" s="2">
        <v>3073</v>
      </c>
      <c r="C10730" s="4" t="str">
        <f>HYPERLINK("http://www.uniprot.org/uniprot/A0A022RWE5","A0A022RWE5")</f>
        <v>A0A022RWE5</v>
      </c>
      <c r="D10730" s="2" t="s">
        <v>9159</v>
      </c>
      <c r="E10730" s="3">
        <v>1.1E-167</v>
      </c>
      <c r="F10730" s="2">
        <v>1314</v>
      </c>
      <c r="G10730" s="2">
        <v>63</v>
      </c>
      <c r="H10730" s="2">
        <v>452</v>
      </c>
      <c r="I10730" s="2">
        <v>345</v>
      </c>
      <c r="J10730" s="2">
        <v>1700</v>
      </c>
      <c r="K10730" s="2">
        <v>27</v>
      </c>
      <c r="L10730" s="2">
        <v>374</v>
      </c>
    </row>
    <row r="10731" spans="1:12" x14ac:dyDescent="0.25">
      <c r="A10731" s="4" t="str">
        <f>HYPERLINK("http://www.rosaceae.org/Prunus/Prunus_persica/p.persica_gdr_reftransV1_0038748","p.persica_gdr_reftransV1_0038748")</f>
        <v>p.persica_gdr_reftransV1_0038748</v>
      </c>
      <c r="B10731" s="2">
        <v>3787</v>
      </c>
      <c r="C10731" s="4" t="str">
        <f>HYPERLINK("http://www.uniprot.org/uniprot/M5XN02","M5XN02")</f>
        <v>M5XN02</v>
      </c>
      <c r="D10731" s="2" t="s">
        <v>9160</v>
      </c>
      <c r="E10731" s="3">
        <v>0</v>
      </c>
      <c r="F10731" s="2">
        <v>1610</v>
      </c>
      <c r="G10731" s="2">
        <v>92</v>
      </c>
      <c r="H10731" s="2">
        <v>354</v>
      </c>
      <c r="I10731" s="2">
        <v>320</v>
      </c>
      <c r="J10731" s="2">
        <v>1381</v>
      </c>
      <c r="K10731" s="2">
        <v>1</v>
      </c>
      <c r="L10731" s="2">
        <v>327</v>
      </c>
    </row>
    <row r="10732" spans="1:12" x14ac:dyDescent="0.25">
      <c r="A10732" s="4" t="str">
        <f>HYPERLINK("http://www.rosaceae.org/Prunus/Prunus_persica/p.persica_gdr_reftransV1_0040848","p.persica_gdr_reftransV1_0040848")</f>
        <v>p.persica_gdr_reftransV1_0040848</v>
      </c>
      <c r="B10732" s="2">
        <v>2983</v>
      </c>
      <c r="C10732" s="4" t="str">
        <f>HYPERLINK("http://www.uniprot.org/uniprot/M5W9I1","M5W9I1")</f>
        <v>M5W9I1</v>
      </c>
      <c r="D10732" s="2" t="s">
        <v>9161</v>
      </c>
      <c r="E10732" s="3">
        <v>1.38E-126</v>
      </c>
      <c r="F10732" s="2">
        <v>1028</v>
      </c>
      <c r="G10732" s="2">
        <v>100</v>
      </c>
      <c r="H10732" s="2">
        <v>189</v>
      </c>
      <c r="I10732" s="2">
        <v>1654</v>
      </c>
      <c r="J10732" s="2">
        <v>2220</v>
      </c>
      <c r="K10732" s="2">
        <v>170</v>
      </c>
      <c r="L10732" s="2">
        <v>358</v>
      </c>
    </row>
    <row r="10733" spans="1:12" x14ac:dyDescent="0.25">
      <c r="A10733" s="4" t="str">
        <f>HYPERLINK("http://www.rosaceae.org/Prunus/Prunus_persica/p.persica_gdr_reftransV1_0042948","p.persica_gdr_reftransV1_0042948")</f>
        <v>p.persica_gdr_reftransV1_0042948</v>
      </c>
      <c r="B10733" s="2">
        <v>1900</v>
      </c>
      <c r="C10733" s="4" t="str">
        <f>HYPERLINK("http://www.uniprot.org/uniprot/M5Y2K5","M5Y2K5")</f>
        <v>M5Y2K5</v>
      </c>
      <c r="D10733" s="2" t="s">
        <v>7986</v>
      </c>
      <c r="E10733" s="3">
        <v>2.54E-149</v>
      </c>
      <c r="F10733" s="2">
        <v>1138</v>
      </c>
      <c r="G10733" s="2">
        <v>100</v>
      </c>
      <c r="H10733" s="2">
        <v>218</v>
      </c>
      <c r="I10733" s="2">
        <v>234</v>
      </c>
      <c r="J10733" s="2">
        <v>887</v>
      </c>
      <c r="K10733" s="2">
        <v>1</v>
      </c>
      <c r="L10733" s="2">
        <v>218</v>
      </c>
    </row>
    <row r="10734" spans="1:12" x14ac:dyDescent="0.25">
      <c r="A10734" s="4" t="str">
        <f>HYPERLINK("http://www.rosaceae.org/Prunus/Prunus_persica/p.persica_gdr_reftransV1_0043298","p.persica_gdr_reftransV1_0043298")</f>
        <v>p.persica_gdr_reftransV1_0043298</v>
      </c>
      <c r="B10734" s="2">
        <v>464</v>
      </c>
      <c r="C10734" s="4" t="str">
        <f>HYPERLINK("http://www.uniprot.org/uniprot/M5XME7","M5XME7")</f>
        <v>M5XME7</v>
      </c>
      <c r="D10734" s="2" t="s">
        <v>9162</v>
      </c>
      <c r="E10734" s="3">
        <v>2.3100000000000001E-101</v>
      </c>
      <c r="F10734" s="2">
        <v>798</v>
      </c>
      <c r="G10734" s="2">
        <v>98</v>
      </c>
      <c r="H10734" s="2">
        <v>154</v>
      </c>
      <c r="I10734" s="2">
        <v>1</v>
      </c>
      <c r="J10734" s="2">
        <v>462</v>
      </c>
      <c r="K10734" s="2">
        <v>214</v>
      </c>
      <c r="L10734" s="2">
        <v>367</v>
      </c>
    </row>
    <row r="10735" spans="1:12" x14ac:dyDescent="0.25">
      <c r="A10735" s="4" t="str">
        <f>HYPERLINK("http://www.rosaceae.org/Prunus/Prunus_persica/p.persica_gdr_reftransV1_0043648","p.persica_gdr_reftransV1_0043648")</f>
        <v>p.persica_gdr_reftransV1_0043648</v>
      </c>
      <c r="B10735" s="2">
        <v>689</v>
      </c>
      <c r="C10735" s="4" t="str">
        <f>HYPERLINK("http://www.uniprot.org/uniprot/M5XMY3","M5XMY3")</f>
        <v>M5XMY3</v>
      </c>
      <c r="D10735" s="2" t="s">
        <v>4047</v>
      </c>
      <c r="E10735" s="3">
        <v>8.6200000000000002E-74</v>
      </c>
      <c r="F10735" s="2">
        <v>590</v>
      </c>
      <c r="G10735" s="2">
        <v>100</v>
      </c>
      <c r="H10735" s="2">
        <v>130</v>
      </c>
      <c r="I10735" s="2">
        <v>150</v>
      </c>
      <c r="J10735" s="2">
        <v>539</v>
      </c>
      <c r="K10735" s="2">
        <v>5</v>
      </c>
      <c r="L10735" s="2">
        <v>134</v>
      </c>
    </row>
    <row r="10736" spans="1:12" x14ac:dyDescent="0.25">
      <c r="A10736" s="4" t="str">
        <f>HYPERLINK("http://www.rosaceae.org/Prunus/Prunus_persica/p.persica_gdr_reftransV1_0043998","p.persica_gdr_reftransV1_0043998")</f>
        <v>p.persica_gdr_reftransV1_0043998</v>
      </c>
      <c r="B10736" s="2">
        <v>1357</v>
      </c>
      <c r="C10736" s="4" t="str">
        <f>HYPERLINK("http://www.uniprot.org/uniprot/M5X5V4","M5X5V4")</f>
        <v>M5X5V4</v>
      </c>
      <c r="D10736" s="2" t="s">
        <v>9163</v>
      </c>
      <c r="E10736" s="3">
        <v>0</v>
      </c>
      <c r="F10736" s="2">
        <v>1432</v>
      </c>
      <c r="G10736" s="2">
        <v>100</v>
      </c>
      <c r="H10736" s="2">
        <v>314</v>
      </c>
      <c r="I10736" s="2">
        <v>273</v>
      </c>
      <c r="J10736" s="2">
        <v>1214</v>
      </c>
      <c r="K10736" s="2">
        <v>1</v>
      </c>
      <c r="L10736" s="2">
        <v>314</v>
      </c>
    </row>
    <row r="10737" spans="1:12" x14ac:dyDescent="0.25">
      <c r="A10737" s="4" t="str">
        <f>HYPERLINK("http://www.rosaceae.org/Prunus/Prunus_persica/p.persica_gdr_reftransV1_0044348","p.persica_gdr_reftransV1_0044348")</f>
        <v>p.persica_gdr_reftransV1_0044348</v>
      </c>
      <c r="B10737" s="2">
        <v>1435</v>
      </c>
      <c r="C10737" s="4" t="str">
        <f>HYPERLINK("http://www.uniprot.org/uniprot/M5XRG9","M5XRG9")</f>
        <v>M5XRG9</v>
      </c>
      <c r="D10737" s="2" t="s">
        <v>1502</v>
      </c>
      <c r="E10737" s="3">
        <v>0</v>
      </c>
      <c r="F10737" s="2">
        <v>1555</v>
      </c>
      <c r="G10737" s="2">
        <v>100</v>
      </c>
      <c r="H10737" s="2">
        <v>336</v>
      </c>
      <c r="I10737" s="2">
        <v>324</v>
      </c>
      <c r="J10737" s="2">
        <v>1331</v>
      </c>
      <c r="K10737" s="2">
        <v>1</v>
      </c>
      <c r="L10737" s="2">
        <v>336</v>
      </c>
    </row>
    <row r="10738" spans="1:12" x14ac:dyDescent="0.25">
      <c r="A10738" s="4" t="str">
        <f>HYPERLINK("http://www.rosaceae.org/Prunus/Prunus_persica/p.persica_gdr_reftransV1_0044698","p.persica_gdr_reftransV1_0044698")</f>
        <v>p.persica_gdr_reftransV1_0044698</v>
      </c>
      <c r="B10738" s="2">
        <v>974</v>
      </c>
      <c r="C10738" s="4" t="str">
        <f>HYPERLINK("http://www.uniprot.org/uniprot/M5W489","M5W489")</f>
        <v>M5W489</v>
      </c>
      <c r="D10738" s="2" t="s">
        <v>9164</v>
      </c>
      <c r="E10738" s="3">
        <v>3.0099999999999999E-130</v>
      </c>
      <c r="F10738" s="2">
        <v>978</v>
      </c>
      <c r="G10738" s="2">
        <v>100</v>
      </c>
      <c r="H10738" s="2">
        <v>185</v>
      </c>
      <c r="I10738" s="2">
        <v>204</v>
      </c>
      <c r="J10738" s="2">
        <v>758</v>
      </c>
      <c r="K10738" s="2">
        <v>1</v>
      </c>
      <c r="L10738" s="2">
        <v>185</v>
      </c>
    </row>
    <row r="10739" spans="1:12" x14ac:dyDescent="0.25">
      <c r="A10739" s="4" t="str">
        <f>HYPERLINK("http://www.rosaceae.org/Prunus/Prunus_persica/p.persica_gdr_reftransV1_0045398","p.persica_gdr_reftransV1_0045398")</f>
        <v>p.persica_gdr_reftransV1_0045398</v>
      </c>
      <c r="B10739" s="2">
        <v>1604</v>
      </c>
      <c r="C10739" s="4" t="str">
        <f>HYPERLINK("http://www.uniprot.org/uniprot/M5VQL8","M5VQL8")</f>
        <v>M5VQL8</v>
      </c>
      <c r="D10739" s="2" t="s">
        <v>9165</v>
      </c>
      <c r="E10739" s="3">
        <v>2.22E-172</v>
      </c>
      <c r="F10739" s="2">
        <v>1289</v>
      </c>
      <c r="G10739" s="2">
        <v>100</v>
      </c>
      <c r="H10739" s="2">
        <v>292</v>
      </c>
      <c r="I10739" s="2">
        <v>559</v>
      </c>
      <c r="J10739" s="2">
        <v>1434</v>
      </c>
      <c r="K10739" s="2">
        <v>1</v>
      </c>
      <c r="L10739" s="2">
        <v>292</v>
      </c>
    </row>
    <row r="10740" spans="1:12" x14ac:dyDescent="0.25">
      <c r="A10740" s="4" t="str">
        <f>HYPERLINK("http://www.rosaceae.org/Prunus/Prunus_persica/p.persica_gdr_reftransV1_0045748","p.persica_gdr_reftransV1_0045748")</f>
        <v>p.persica_gdr_reftransV1_0045748</v>
      </c>
      <c r="B10740" s="2">
        <v>1377</v>
      </c>
      <c r="C10740" s="4" t="str">
        <f>HYPERLINK("http://www.uniprot.org/uniprot/M5X4J3","M5X4J3")</f>
        <v>M5X4J3</v>
      </c>
      <c r="D10740" s="2" t="s">
        <v>9166</v>
      </c>
      <c r="E10740" s="3">
        <v>0</v>
      </c>
      <c r="F10740" s="2">
        <v>1698</v>
      </c>
      <c r="G10740" s="2">
        <v>100</v>
      </c>
      <c r="H10740" s="2">
        <v>384</v>
      </c>
      <c r="I10740" s="2">
        <v>205</v>
      </c>
      <c r="J10740" s="2">
        <v>1356</v>
      </c>
      <c r="K10740" s="2">
        <v>1</v>
      </c>
      <c r="L10740" s="2">
        <v>384</v>
      </c>
    </row>
    <row r="10741" spans="1:12" x14ac:dyDescent="0.25">
      <c r="A10741" s="4" t="str">
        <f>HYPERLINK("http://www.rosaceae.org/Prunus/Prunus_persica/p.persica_gdr_reftransV1_0046098","p.persica_gdr_reftransV1_0046098")</f>
        <v>p.persica_gdr_reftransV1_0046098</v>
      </c>
      <c r="B10741" s="2">
        <v>2578</v>
      </c>
      <c r="C10741" s="4" t="str">
        <f>HYPERLINK("http://www.uniprot.org/uniprot/M5VMU5","M5VMU5")</f>
        <v>M5VMU5</v>
      </c>
      <c r="D10741" s="2" t="s">
        <v>9167</v>
      </c>
      <c r="E10741" s="3">
        <v>4.67E-175</v>
      </c>
      <c r="F10741" s="2">
        <v>1355</v>
      </c>
      <c r="G10741" s="2">
        <v>95</v>
      </c>
      <c r="H10741" s="2">
        <v>372</v>
      </c>
      <c r="I10741" s="2">
        <v>81</v>
      </c>
      <c r="J10741" s="2">
        <v>1196</v>
      </c>
      <c r="K10741" s="2">
        <v>1</v>
      </c>
      <c r="L10741" s="2">
        <v>356</v>
      </c>
    </row>
    <row r="10742" spans="1:12" x14ac:dyDescent="0.25">
      <c r="A10742" s="4" t="str">
        <f>HYPERLINK("http://www.rosaceae.org/Prunus/Prunus_persica/p.persica_gdr_reftransV1_0046448","p.persica_gdr_reftransV1_0046448")</f>
        <v>p.persica_gdr_reftransV1_0046448</v>
      </c>
      <c r="B10742" s="2">
        <v>824</v>
      </c>
      <c r="C10742" s="4" t="str">
        <f>HYPERLINK("http://www.uniprot.org/uniprot/M5VRZ5","M5VRZ5")</f>
        <v>M5VRZ5</v>
      </c>
      <c r="D10742" s="2" t="s">
        <v>9168</v>
      </c>
      <c r="E10742" s="3">
        <v>1.1899999999999999E-85</v>
      </c>
      <c r="F10742" s="2">
        <v>680</v>
      </c>
      <c r="G10742" s="2">
        <v>98</v>
      </c>
      <c r="H10742" s="2">
        <v>133</v>
      </c>
      <c r="I10742" s="2">
        <v>28</v>
      </c>
      <c r="J10742" s="2">
        <v>426</v>
      </c>
      <c r="K10742" s="2">
        <v>1</v>
      </c>
      <c r="L10742" s="2">
        <v>133</v>
      </c>
    </row>
    <row r="10743" spans="1:12" x14ac:dyDescent="0.25">
      <c r="A10743" s="4" t="str">
        <f>HYPERLINK("http://www.rosaceae.org/Prunus/Prunus_persica/p.persica_gdr_reftransV1_0046798","p.persica_gdr_reftransV1_0046798")</f>
        <v>p.persica_gdr_reftransV1_0046798</v>
      </c>
      <c r="B10743" s="2">
        <v>2844</v>
      </c>
      <c r="C10743" s="4" t="str">
        <f>HYPERLINK("http://www.uniprot.org/uniprot/M5Y1N1","M5Y1N1")</f>
        <v>M5Y1N1</v>
      </c>
      <c r="D10743" s="2" t="s">
        <v>9169</v>
      </c>
      <c r="E10743" s="3">
        <v>0</v>
      </c>
      <c r="F10743" s="2">
        <v>3343</v>
      </c>
      <c r="G10743" s="2">
        <v>100</v>
      </c>
      <c r="H10743" s="2">
        <v>640</v>
      </c>
      <c r="I10743" s="2">
        <v>542</v>
      </c>
      <c r="J10743" s="2">
        <v>2461</v>
      </c>
      <c r="K10743" s="2">
        <v>1</v>
      </c>
      <c r="L10743" s="2">
        <v>640</v>
      </c>
    </row>
    <row r="10744" spans="1:12" x14ac:dyDescent="0.25">
      <c r="A10744" s="4" t="str">
        <f>HYPERLINK("http://www.rosaceae.org/Prunus/Prunus_persica/p.persica_gdr_reftransV1_0047148","p.persica_gdr_reftransV1_0047148")</f>
        <v>p.persica_gdr_reftransV1_0047148</v>
      </c>
      <c r="B10744" s="2">
        <v>512</v>
      </c>
      <c r="C10744" s="4" t="str">
        <f>HYPERLINK("http://www.uniprot.org/uniprot/M5Y545","M5Y545")</f>
        <v>M5Y545</v>
      </c>
      <c r="D10744" s="2" t="s">
        <v>2368</v>
      </c>
      <c r="E10744" s="3">
        <v>6.9999999999999997E-99</v>
      </c>
      <c r="F10744" s="2">
        <v>782</v>
      </c>
      <c r="G10744" s="2">
        <v>95</v>
      </c>
      <c r="H10744" s="2">
        <v>151</v>
      </c>
      <c r="I10744" s="2">
        <v>58</v>
      </c>
      <c r="J10744" s="2">
        <v>510</v>
      </c>
      <c r="K10744" s="2">
        <v>349</v>
      </c>
      <c r="L10744" s="2">
        <v>499</v>
      </c>
    </row>
    <row r="10745" spans="1:12" x14ac:dyDescent="0.25">
      <c r="A10745" s="4" t="str">
        <f>HYPERLINK("http://www.rosaceae.org/Prunus/Prunus_persica/p.persica_gdr_reftransV1_0048198","p.persica_gdr_reftransV1_0048198")</f>
        <v>p.persica_gdr_reftransV1_0048198</v>
      </c>
      <c r="B10745" s="2">
        <v>638</v>
      </c>
      <c r="C10745" s="4" t="str">
        <f>HYPERLINK("http://www.uniprot.org/uniprot/M5VIA3","M5VIA3")</f>
        <v>M5VIA3</v>
      </c>
      <c r="D10745" s="2" t="s">
        <v>4803</v>
      </c>
      <c r="E10745" s="3">
        <v>9.6899999999999996E-40</v>
      </c>
      <c r="F10745" s="2">
        <v>386</v>
      </c>
      <c r="G10745" s="2">
        <v>97</v>
      </c>
      <c r="H10745" s="2">
        <v>106</v>
      </c>
      <c r="I10745" s="2">
        <v>1</v>
      </c>
      <c r="J10745" s="2">
        <v>318</v>
      </c>
      <c r="K10745" s="2">
        <v>45</v>
      </c>
      <c r="L10745" s="2">
        <v>150</v>
      </c>
    </row>
    <row r="10746" spans="1:12" x14ac:dyDescent="0.25">
      <c r="A10746" s="4" t="str">
        <f>HYPERLINK("http://www.rosaceae.org/Prunus/Prunus_persica/p.persica_gdr_reftransV1_0048548","p.persica_gdr_reftransV1_0048548")</f>
        <v>p.persica_gdr_reftransV1_0048548</v>
      </c>
      <c r="B10746" s="2">
        <v>1065</v>
      </c>
      <c r="C10746" s="4" t="str">
        <f>HYPERLINK("http://www.uniprot.org/uniprot/M5WJB5","M5WJB5")</f>
        <v>M5WJB5</v>
      </c>
      <c r="D10746" s="2" t="s">
        <v>8141</v>
      </c>
      <c r="E10746" s="3">
        <v>1.6700000000000001E-52</v>
      </c>
      <c r="F10746" s="2">
        <v>462</v>
      </c>
      <c r="G10746" s="2">
        <v>100</v>
      </c>
      <c r="H10746" s="2">
        <v>138</v>
      </c>
      <c r="I10746" s="2">
        <v>251</v>
      </c>
      <c r="J10746" s="2">
        <v>664</v>
      </c>
      <c r="K10746" s="2">
        <v>1</v>
      </c>
      <c r="L10746" s="2">
        <v>138</v>
      </c>
    </row>
    <row r="10747" spans="1:12" x14ac:dyDescent="0.25">
      <c r="A10747" s="4" t="str">
        <f>HYPERLINK("http://www.rosaceae.org/Prunus/Prunus_persica/p.persica_gdr_reftransV1_0048898","p.persica_gdr_reftransV1_0048898")</f>
        <v>p.persica_gdr_reftransV1_0048898</v>
      </c>
      <c r="B10747" s="2">
        <v>1011</v>
      </c>
      <c r="C10747" s="4" t="str">
        <f>HYPERLINK("http://www.uniprot.org/uniprot/M5XK89","M5XK89")</f>
        <v>M5XK89</v>
      </c>
      <c r="D10747" s="2" t="s">
        <v>9170</v>
      </c>
      <c r="E10747" s="3">
        <v>2.3399999999999999E-79</v>
      </c>
      <c r="F10747" s="2">
        <v>655</v>
      </c>
      <c r="G10747" s="2">
        <v>84</v>
      </c>
      <c r="H10747" s="2">
        <v>164</v>
      </c>
      <c r="I10747" s="2">
        <v>518</v>
      </c>
      <c r="J10747" s="2">
        <v>1009</v>
      </c>
      <c r="K10747" s="2">
        <v>1</v>
      </c>
      <c r="L10747" s="2">
        <v>164</v>
      </c>
    </row>
    <row r="10748" spans="1:12" x14ac:dyDescent="0.25">
      <c r="A10748" s="4" t="str">
        <f>HYPERLINK("http://www.rosaceae.org/Prunus/Prunus_persica/p.persica_gdr_reftransV1_0000599","p.persica_gdr_reftransV1_0000599")</f>
        <v>p.persica_gdr_reftransV1_0000599</v>
      </c>
      <c r="B10748" s="2">
        <v>539</v>
      </c>
      <c r="C10748" s="4" t="str">
        <f>HYPERLINK("http://www.uniprot.org/uniprot/M5XGV7","M5XGV7")</f>
        <v>M5XGV7</v>
      </c>
      <c r="D10748" s="2" t="s">
        <v>1943</v>
      </c>
      <c r="E10748" s="3">
        <v>1.42E-114</v>
      </c>
      <c r="F10748" s="2">
        <v>952</v>
      </c>
      <c r="G10748" s="2">
        <v>99</v>
      </c>
      <c r="H10748" s="2">
        <v>179</v>
      </c>
      <c r="I10748" s="2">
        <v>2</v>
      </c>
      <c r="J10748" s="2">
        <v>538</v>
      </c>
      <c r="K10748" s="2">
        <v>484</v>
      </c>
      <c r="L10748" s="2">
        <v>662</v>
      </c>
    </row>
    <row r="10749" spans="1:12" x14ac:dyDescent="0.25">
      <c r="A10749" s="4" t="str">
        <f>HYPERLINK("http://www.rosaceae.org/Prunus/Prunus_persica/p.persica_gdr_reftransV1_0000949","p.persica_gdr_reftransV1_0000949")</f>
        <v>p.persica_gdr_reftransV1_0000949</v>
      </c>
      <c r="B10749" s="2">
        <v>517</v>
      </c>
      <c r="C10749" s="4" t="str">
        <f>HYPERLINK("http://www.uniprot.org/uniprot/M5WF14","M5WF14")</f>
        <v>M5WF14</v>
      </c>
      <c r="D10749" s="2" t="s">
        <v>9171</v>
      </c>
      <c r="E10749" s="3">
        <v>2.2500000000000001E-81</v>
      </c>
      <c r="F10749" s="2">
        <v>648</v>
      </c>
      <c r="G10749" s="2">
        <v>100</v>
      </c>
      <c r="H10749" s="2">
        <v>120</v>
      </c>
      <c r="I10749" s="2">
        <v>3</v>
      </c>
      <c r="J10749" s="2">
        <v>362</v>
      </c>
      <c r="K10749" s="2">
        <v>1</v>
      </c>
      <c r="L10749" s="2">
        <v>120</v>
      </c>
    </row>
    <row r="10750" spans="1:12" x14ac:dyDescent="0.25">
      <c r="A10750" s="4" t="str">
        <f>HYPERLINK("http://www.rosaceae.org/Prunus/Prunus_persica/p.persica_gdr_reftransV1_0001299","p.persica_gdr_reftransV1_0001299")</f>
        <v>p.persica_gdr_reftransV1_0001299</v>
      </c>
      <c r="B10750" s="2">
        <v>1248</v>
      </c>
      <c r="C10750" s="4" t="str">
        <f>HYPERLINK("http://www.uniprot.org/uniprot/M5X0C4","M5X0C4")</f>
        <v>M5X0C4</v>
      </c>
      <c r="D10750" s="2" t="s">
        <v>9172</v>
      </c>
      <c r="E10750" s="3">
        <v>6.2899999999999996E-155</v>
      </c>
      <c r="F10750" s="2">
        <v>1197</v>
      </c>
      <c r="G10750" s="2">
        <v>95</v>
      </c>
      <c r="H10750" s="2">
        <v>232</v>
      </c>
      <c r="I10750" s="2">
        <v>69</v>
      </c>
      <c r="J10750" s="2">
        <v>764</v>
      </c>
      <c r="K10750" s="2">
        <v>29</v>
      </c>
      <c r="L10750" s="2">
        <v>260</v>
      </c>
    </row>
    <row r="10751" spans="1:12" x14ac:dyDescent="0.25">
      <c r="A10751" s="4" t="str">
        <f>HYPERLINK("http://www.rosaceae.org/Prunus/Prunus_persica/p.persica_gdr_reftransV1_0001649","p.persica_gdr_reftransV1_0001649")</f>
        <v>p.persica_gdr_reftransV1_0001649</v>
      </c>
      <c r="B10751" s="2">
        <v>972</v>
      </c>
      <c r="C10751" s="4" t="str">
        <f>HYPERLINK("http://www.uniprot.org/uniprot/A0A0A1T5Q3","A0A0A1T5Q3")</f>
        <v>A0A0A1T5Q3</v>
      </c>
      <c r="D10751" s="2" t="s">
        <v>9173</v>
      </c>
      <c r="E10751" s="3">
        <v>8.1100000000000001E-170</v>
      </c>
      <c r="F10751" s="2">
        <v>1308</v>
      </c>
      <c r="G10751" s="2">
        <v>92</v>
      </c>
      <c r="H10751" s="2">
        <v>259</v>
      </c>
      <c r="I10751" s="2">
        <v>10</v>
      </c>
      <c r="J10751" s="2">
        <v>786</v>
      </c>
      <c r="K10751" s="2">
        <v>671</v>
      </c>
      <c r="L10751" s="2">
        <v>929</v>
      </c>
    </row>
    <row r="10752" spans="1:12" x14ac:dyDescent="0.25">
      <c r="A10752" s="4" t="str">
        <f>HYPERLINK("http://www.rosaceae.org/Prunus/Prunus_persica/p.persica_gdr_reftransV1_0002349","p.persica_gdr_reftransV1_0002349")</f>
        <v>p.persica_gdr_reftransV1_0002349</v>
      </c>
      <c r="B10752" s="2">
        <v>3762</v>
      </c>
      <c r="C10752" s="4" t="str">
        <f>HYPERLINK("http://www.uniprot.org/uniprot/M5VSV9","M5VSV9")</f>
        <v>M5VSV9</v>
      </c>
      <c r="D10752" s="2" t="s">
        <v>9174</v>
      </c>
      <c r="E10752" s="3">
        <v>0</v>
      </c>
      <c r="F10752" s="2">
        <v>4903</v>
      </c>
      <c r="G10752" s="2">
        <v>99</v>
      </c>
      <c r="H10752" s="2">
        <v>957</v>
      </c>
      <c r="I10752" s="2">
        <v>377</v>
      </c>
      <c r="J10752" s="2">
        <v>3247</v>
      </c>
      <c r="K10752" s="2">
        <v>1</v>
      </c>
      <c r="L10752" s="2">
        <v>957</v>
      </c>
    </row>
    <row r="10753" spans="1:12" x14ac:dyDescent="0.25">
      <c r="A10753" s="4" t="str">
        <f>HYPERLINK("http://www.rosaceae.org/Prunus/Prunus_persica/p.persica_gdr_reftransV1_0002699","p.persica_gdr_reftransV1_0002699")</f>
        <v>p.persica_gdr_reftransV1_0002699</v>
      </c>
      <c r="B10753" s="2">
        <v>415</v>
      </c>
      <c r="C10753" s="4" t="str">
        <f>HYPERLINK("http://www.uniprot.org/uniprot/M5WL95","M5WL95")</f>
        <v>M5WL95</v>
      </c>
      <c r="D10753" s="2" t="s">
        <v>8724</v>
      </c>
      <c r="E10753" s="3">
        <v>3.3599999999999999E-91</v>
      </c>
      <c r="F10753" s="2">
        <v>723</v>
      </c>
      <c r="G10753" s="2">
        <v>100</v>
      </c>
      <c r="H10753" s="2">
        <v>137</v>
      </c>
      <c r="I10753" s="2">
        <v>3</v>
      </c>
      <c r="J10753" s="2">
        <v>413</v>
      </c>
      <c r="K10753" s="2">
        <v>272</v>
      </c>
      <c r="L10753" s="2">
        <v>408</v>
      </c>
    </row>
    <row r="10754" spans="1:12" x14ac:dyDescent="0.25">
      <c r="A10754" s="4" t="str">
        <f>HYPERLINK("http://www.rosaceae.org/Prunus/Prunus_persica/p.persica_gdr_reftransV1_0003399","p.persica_gdr_reftransV1_0003399")</f>
        <v>p.persica_gdr_reftransV1_0003399</v>
      </c>
      <c r="B10754" s="2">
        <v>2414</v>
      </c>
      <c r="C10754" s="4" t="str">
        <f>HYPERLINK("http://www.uniprot.org/uniprot/M5WQS2","M5WQS2")</f>
        <v>M5WQS2</v>
      </c>
      <c r="D10754" s="2" t="s">
        <v>9175</v>
      </c>
      <c r="E10754" s="3">
        <v>0</v>
      </c>
      <c r="F10754" s="2">
        <v>3253</v>
      </c>
      <c r="G10754" s="2">
        <v>100</v>
      </c>
      <c r="H10754" s="2">
        <v>623</v>
      </c>
      <c r="I10754" s="2">
        <v>337</v>
      </c>
      <c r="J10754" s="2">
        <v>2205</v>
      </c>
      <c r="K10754" s="2">
        <v>1</v>
      </c>
      <c r="L10754" s="2">
        <v>623</v>
      </c>
    </row>
    <row r="10755" spans="1:12" x14ac:dyDescent="0.25">
      <c r="A10755" s="4" t="str">
        <f>HYPERLINK("http://www.rosaceae.org/Prunus/Prunus_persica/p.persica_gdr_reftransV1_0004099","p.persica_gdr_reftransV1_0004099")</f>
        <v>p.persica_gdr_reftransV1_0004099</v>
      </c>
      <c r="B10755" s="2">
        <v>1325</v>
      </c>
      <c r="C10755" s="4" t="str">
        <f>HYPERLINK("http://www.uniprot.org/uniprot/M5VLB8","M5VLB8")</f>
        <v>M5VLB8</v>
      </c>
      <c r="D10755" s="2" t="s">
        <v>9176</v>
      </c>
      <c r="E10755" s="3">
        <v>0</v>
      </c>
      <c r="F10755" s="2">
        <v>1913</v>
      </c>
      <c r="G10755" s="2">
        <v>95</v>
      </c>
      <c r="H10755" s="2">
        <v>402</v>
      </c>
      <c r="I10755" s="2">
        <v>46</v>
      </c>
      <c r="J10755" s="2">
        <v>1251</v>
      </c>
      <c r="K10755" s="2">
        <v>272</v>
      </c>
      <c r="L10755" s="2">
        <v>673</v>
      </c>
    </row>
    <row r="10756" spans="1:12" x14ac:dyDescent="0.25">
      <c r="A10756" s="4" t="str">
        <f>HYPERLINK("http://www.rosaceae.org/Prunus/Prunus_persica/p.persica_gdr_reftransV1_0004449","p.persica_gdr_reftransV1_0004449")</f>
        <v>p.persica_gdr_reftransV1_0004449</v>
      </c>
      <c r="B10756" s="2">
        <v>2032</v>
      </c>
      <c r="C10756" s="4" t="str">
        <f>HYPERLINK("http://www.uniprot.org/uniprot/M5XYE8","M5XYE8")</f>
        <v>M5XYE8</v>
      </c>
      <c r="D10756" s="2" t="s">
        <v>9177</v>
      </c>
      <c r="E10756" s="3">
        <v>0</v>
      </c>
      <c r="F10756" s="2">
        <v>1818</v>
      </c>
      <c r="G10756" s="2">
        <v>100</v>
      </c>
      <c r="H10756" s="2">
        <v>379</v>
      </c>
      <c r="I10756" s="2">
        <v>54</v>
      </c>
      <c r="J10756" s="2">
        <v>1190</v>
      </c>
      <c r="K10756" s="2">
        <v>1</v>
      </c>
      <c r="L10756" s="2">
        <v>379</v>
      </c>
    </row>
    <row r="10757" spans="1:12" x14ac:dyDescent="0.25">
      <c r="A10757" s="4" t="str">
        <f>HYPERLINK("http://www.rosaceae.org/Prunus/Prunus_persica/p.persica_gdr_reftransV1_0004799","p.persica_gdr_reftransV1_0004799")</f>
        <v>p.persica_gdr_reftransV1_0004799</v>
      </c>
      <c r="B10757" s="2">
        <v>4105</v>
      </c>
      <c r="C10757" s="4" t="str">
        <f>HYPERLINK("http://www.uniprot.org/uniprot/M5X9T6","M5X9T6")</f>
        <v>M5X9T6</v>
      </c>
      <c r="D10757" s="2" t="s">
        <v>8282</v>
      </c>
      <c r="E10757" s="3">
        <v>0</v>
      </c>
      <c r="F10757" s="2">
        <v>3813</v>
      </c>
      <c r="G10757" s="2">
        <v>99</v>
      </c>
      <c r="H10757" s="2">
        <v>748</v>
      </c>
      <c r="I10757" s="2">
        <v>1740</v>
      </c>
      <c r="J10757" s="2">
        <v>3983</v>
      </c>
      <c r="K10757" s="2">
        <v>7</v>
      </c>
      <c r="L10757" s="2">
        <v>748</v>
      </c>
    </row>
    <row r="10758" spans="1:12" x14ac:dyDescent="0.25">
      <c r="A10758" s="4" t="str">
        <f>HYPERLINK("http://www.rosaceae.org/Prunus/Prunus_persica/p.persica_gdr_reftransV1_0005149","p.persica_gdr_reftransV1_0005149")</f>
        <v>p.persica_gdr_reftransV1_0005149</v>
      </c>
      <c r="B10758" s="2">
        <v>2438</v>
      </c>
      <c r="C10758" s="4" t="str">
        <f>HYPERLINK("http://www.uniprot.org/uniprot/M5VUP1","M5VUP1")</f>
        <v>M5VUP1</v>
      </c>
      <c r="D10758" s="2" t="s">
        <v>4207</v>
      </c>
      <c r="E10758" s="3">
        <v>7.86E-136</v>
      </c>
      <c r="F10758" s="2">
        <v>1068</v>
      </c>
      <c r="G10758" s="2">
        <v>92</v>
      </c>
      <c r="H10758" s="2">
        <v>233</v>
      </c>
      <c r="I10758" s="2">
        <v>318</v>
      </c>
      <c r="J10758" s="2">
        <v>1013</v>
      </c>
      <c r="K10758" s="2">
        <v>13</v>
      </c>
      <c r="L10758" s="2">
        <v>245</v>
      </c>
    </row>
    <row r="10759" spans="1:12" x14ac:dyDescent="0.25">
      <c r="A10759" s="4" t="str">
        <f>HYPERLINK("http://www.rosaceae.org/Prunus/Prunus_persica/p.persica_gdr_reftransV1_0005499","p.persica_gdr_reftransV1_0005499")</f>
        <v>p.persica_gdr_reftransV1_0005499</v>
      </c>
      <c r="B10759" s="2">
        <v>937</v>
      </c>
      <c r="C10759" s="4" t="str">
        <f>HYPERLINK("http://www.uniprot.org/uniprot/M5WDA5","M5WDA5")</f>
        <v>M5WDA5</v>
      </c>
      <c r="D10759" s="2" t="s">
        <v>9178</v>
      </c>
      <c r="E10759" s="3">
        <v>3.45E-75</v>
      </c>
      <c r="F10759" s="2">
        <v>610</v>
      </c>
      <c r="G10759" s="2">
        <v>98</v>
      </c>
      <c r="H10759" s="2">
        <v>158</v>
      </c>
      <c r="I10759" s="2">
        <v>187</v>
      </c>
      <c r="J10759" s="2">
        <v>660</v>
      </c>
      <c r="K10759" s="2">
        <v>1</v>
      </c>
      <c r="L10759" s="2">
        <v>158</v>
      </c>
    </row>
    <row r="10760" spans="1:12" x14ac:dyDescent="0.25">
      <c r="A10760" s="4" t="str">
        <f>HYPERLINK("http://www.rosaceae.org/Prunus/Prunus_persica/p.persica_gdr_reftransV1_0006199","p.persica_gdr_reftransV1_0006199")</f>
        <v>p.persica_gdr_reftransV1_0006199</v>
      </c>
      <c r="B10760" s="2">
        <v>640</v>
      </c>
      <c r="C10760" s="4" t="str">
        <f>HYPERLINK("http://www.uniprot.org/uniprot/M5X4L1","M5X4L1")</f>
        <v>M5X4L1</v>
      </c>
      <c r="D10760" s="2" t="s">
        <v>9179</v>
      </c>
      <c r="E10760" s="3">
        <v>6.4600000000000002E-139</v>
      </c>
      <c r="F10760" s="2">
        <v>1034</v>
      </c>
      <c r="G10760" s="2">
        <v>93</v>
      </c>
      <c r="H10760" s="2">
        <v>213</v>
      </c>
      <c r="I10760" s="2">
        <v>2</v>
      </c>
      <c r="J10760" s="2">
        <v>640</v>
      </c>
      <c r="K10760" s="2">
        <v>30</v>
      </c>
      <c r="L10760" s="2">
        <v>242</v>
      </c>
    </row>
    <row r="10761" spans="1:12" x14ac:dyDescent="0.25">
      <c r="A10761" s="4" t="str">
        <f>HYPERLINK("http://www.rosaceae.org/Prunus/Prunus_persica/p.persica_gdr_reftransV1_0006549","p.persica_gdr_reftransV1_0006549")</f>
        <v>p.persica_gdr_reftransV1_0006549</v>
      </c>
      <c r="B10761" s="2">
        <v>757</v>
      </c>
      <c r="C10761" s="4" t="str">
        <f>HYPERLINK("http://www.uniprot.org/uniprot/M5WF43","M5WF43")</f>
        <v>M5WF43</v>
      </c>
      <c r="D10761" s="2" t="s">
        <v>9180</v>
      </c>
      <c r="E10761" s="3">
        <v>1.6900000000000001E-135</v>
      </c>
      <c r="F10761" s="2">
        <v>1048</v>
      </c>
      <c r="G10761" s="2">
        <v>100</v>
      </c>
      <c r="H10761" s="2">
        <v>201</v>
      </c>
      <c r="I10761" s="2">
        <v>2</v>
      </c>
      <c r="J10761" s="2">
        <v>604</v>
      </c>
      <c r="K10761" s="2">
        <v>452</v>
      </c>
      <c r="L10761" s="2">
        <v>652</v>
      </c>
    </row>
    <row r="10762" spans="1:12" x14ac:dyDescent="0.25">
      <c r="A10762" s="4" t="str">
        <f>HYPERLINK("http://www.rosaceae.org/Prunus/Prunus_persica/p.persica_gdr_reftransV1_0006899","p.persica_gdr_reftransV1_0006899")</f>
        <v>p.persica_gdr_reftransV1_0006899</v>
      </c>
      <c r="B10762" s="2">
        <v>1701</v>
      </c>
      <c r="C10762" s="4" t="str">
        <f>HYPERLINK("http://www.uniprot.org/uniprot/M5X517","M5X517")</f>
        <v>M5X517</v>
      </c>
      <c r="D10762" s="2" t="s">
        <v>9181</v>
      </c>
      <c r="E10762" s="3">
        <v>2.2900000000000001E-116</v>
      </c>
      <c r="F10762" s="2">
        <v>949</v>
      </c>
      <c r="G10762" s="2">
        <v>83</v>
      </c>
      <c r="H10762" s="2">
        <v>260</v>
      </c>
      <c r="I10762" s="2">
        <v>416</v>
      </c>
      <c r="J10762" s="2">
        <v>1165</v>
      </c>
      <c r="K10762" s="2">
        <v>1</v>
      </c>
      <c r="L10762" s="2">
        <v>258</v>
      </c>
    </row>
    <row r="10763" spans="1:12" x14ac:dyDescent="0.25">
      <c r="A10763" s="4" t="str">
        <f>HYPERLINK("http://www.rosaceae.org/Prunus/Prunus_persica/p.persica_gdr_reftransV1_0007249","p.persica_gdr_reftransV1_0007249")</f>
        <v>p.persica_gdr_reftransV1_0007249</v>
      </c>
      <c r="B10763" s="2">
        <v>2149</v>
      </c>
      <c r="C10763" s="4" t="str">
        <f>HYPERLINK("http://www.uniprot.org/uniprot/M5WF67","M5WF67")</f>
        <v>M5WF67</v>
      </c>
      <c r="D10763" s="2" t="s">
        <v>9182</v>
      </c>
      <c r="E10763" s="3">
        <v>0</v>
      </c>
      <c r="F10763" s="2">
        <v>2451</v>
      </c>
      <c r="G10763" s="2">
        <v>100</v>
      </c>
      <c r="H10763" s="2">
        <v>518</v>
      </c>
      <c r="I10763" s="2">
        <v>139</v>
      </c>
      <c r="J10763" s="2">
        <v>1692</v>
      </c>
      <c r="K10763" s="2">
        <v>1</v>
      </c>
      <c r="L10763" s="2">
        <v>518</v>
      </c>
    </row>
    <row r="10764" spans="1:12" x14ac:dyDescent="0.25">
      <c r="A10764" s="4" t="str">
        <f>HYPERLINK("http://www.rosaceae.org/Prunus/Prunus_persica/p.persica_gdr_reftransV1_0007949","p.persica_gdr_reftransV1_0007949")</f>
        <v>p.persica_gdr_reftransV1_0007949</v>
      </c>
      <c r="B10764" s="2">
        <v>6018</v>
      </c>
      <c r="C10764" s="4" t="str">
        <f>HYPERLINK("http://www.uniprot.org/uniprot/M5XR66","M5XR66")</f>
        <v>M5XR66</v>
      </c>
      <c r="D10764" s="2" t="s">
        <v>9183</v>
      </c>
      <c r="E10764" s="3">
        <v>0</v>
      </c>
      <c r="F10764" s="2">
        <v>7300</v>
      </c>
      <c r="G10764" s="2">
        <v>100</v>
      </c>
      <c r="H10764" s="2">
        <v>1484</v>
      </c>
      <c r="I10764" s="2">
        <v>389</v>
      </c>
      <c r="J10764" s="2">
        <v>4837</v>
      </c>
      <c r="K10764" s="2">
        <v>238</v>
      </c>
      <c r="L10764" s="2">
        <v>1721</v>
      </c>
    </row>
    <row r="10765" spans="1:12" x14ac:dyDescent="0.25">
      <c r="A10765" s="4" t="str">
        <f>HYPERLINK("http://www.rosaceae.org/Prunus/Prunus_persica/p.persica_gdr_reftransV1_0008649","p.persica_gdr_reftransV1_0008649")</f>
        <v>p.persica_gdr_reftransV1_0008649</v>
      </c>
      <c r="B10765" s="2">
        <v>2420</v>
      </c>
      <c r="C10765" s="4" t="str">
        <f>HYPERLINK("http://www.uniprot.org/uniprot/M5X9I2","M5X9I2")</f>
        <v>M5X9I2</v>
      </c>
      <c r="D10765" s="2" t="s">
        <v>9184</v>
      </c>
      <c r="E10765" s="3">
        <v>0</v>
      </c>
      <c r="F10765" s="2">
        <v>2213</v>
      </c>
      <c r="G10765" s="2">
        <v>100</v>
      </c>
      <c r="H10765" s="2">
        <v>412</v>
      </c>
      <c r="I10765" s="2">
        <v>187</v>
      </c>
      <c r="J10765" s="2">
        <v>1422</v>
      </c>
      <c r="K10765" s="2">
        <v>1</v>
      </c>
      <c r="L10765" s="2">
        <v>412</v>
      </c>
    </row>
    <row r="10766" spans="1:12" x14ac:dyDescent="0.25">
      <c r="A10766" s="4" t="str">
        <f>HYPERLINK("http://www.rosaceae.org/Prunus/Prunus_persica/p.persica_gdr_reftransV1_0008999","p.persica_gdr_reftransV1_0008999")</f>
        <v>p.persica_gdr_reftransV1_0008999</v>
      </c>
      <c r="B10766" s="2">
        <v>1297</v>
      </c>
      <c r="C10766" s="4" t="str">
        <f>HYPERLINK("http://www.uniprot.org/uniprot/M5WDN2","M5WDN2")</f>
        <v>M5WDN2</v>
      </c>
      <c r="D10766" s="2" t="s">
        <v>9185</v>
      </c>
      <c r="E10766" s="3">
        <v>0</v>
      </c>
      <c r="F10766" s="2">
        <v>1923</v>
      </c>
      <c r="G10766" s="2">
        <v>100</v>
      </c>
      <c r="H10766" s="2">
        <v>365</v>
      </c>
      <c r="I10766" s="2">
        <v>90</v>
      </c>
      <c r="J10766" s="2">
        <v>1184</v>
      </c>
      <c r="K10766" s="2">
        <v>1</v>
      </c>
      <c r="L10766" s="2">
        <v>365</v>
      </c>
    </row>
    <row r="10767" spans="1:12" x14ac:dyDescent="0.25">
      <c r="A10767" s="4" t="str">
        <f>HYPERLINK("http://www.rosaceae.org/Prunus/Prunus_persica/p.persica_gdr_reftransV1_0010049","p.persica_gdr_reftransV1_0010049")</f>
        <v>p.persica_gdr_reftransV1_0010049</v>
      </c>
      <c r="B10767" s="2">
        <v>1758</v>
      </c>
      <c r="C10767" s="4" t="str">
        <f>HYPERLINK("http://www.uniprot.org/uniprot/M5Y028","M5Y028")</f>
        <v>M5Y028</v>
      </c>
      <c r="D10767" s="2" t="s">
        <v>9186</v>
      </c>
      <c r="E10767" s="3">
        <v>5.59E-132</v>
      </c>
      <c r="F10767" s="2">
        <v>1021</v>
      </c>
      <c r="G10767" s="2">
        <v>100</v>
      </c>
      <c r="H10767" s="2">
        <v>196</v>
      </c>
      <c r="I10767" s="2">
        <v>364</v>
      </c>
      <c r="J10767" s="2">
        <v>951</v>
      </c>
      <c r="K10767" s="2">
        <v>50</v>
      </c>
      <c r="L10767" s="2">
        <v>245</v>
      </c>
    </row>
    <row r="10768" spans="1:12" x14ac:dyDescent="0.25">
      <c r="A10768" s="4" t="str">
        <f>HYPERLINK("http://www.rosaceae.org/Prunus/Prunus_persica/p.persica_gdr_reftransV1_0010399","p.persica_gdr_reftransV1_0010399")</f>
        <v>p.persica_gdr_reftransV1_0010399</v>
      </c>
      <c r="B10768" s="2">
        <v>2174</v>
      </c>
      <c r="C10768" s="4" t="str">
        <f>HYPERLINK("http://www.uniprot.org/uniprot/K4DHS4","K4DHS4")</f>
        <v>K4DHS4</v>
      </c>
      <c r="D10768" s="2" t="s">
        <v>9187</v>
      </c>
      <c r="E10768" s="3">
        <v>7.7099999999999995E-83</v>
      </c>
      <c r="F10768" s="2">
        <v>696</v>
      </c>
      <c r="G10768" s="2">
        <v>92</v>
      </c>
      <c r="H10768" s="2">
        <v>173</v>
      </c>
      <c r="I10768" s="2">
        <v>2</v>
      </c>
      <c r="J10768" s="2">
        <v>502</v>
      </c>
      <c r="K10768" s="2">
        <v>18</v>
      </c>
      <c r="L10768" s="2">
        <v>190</v>
      </c>
    </row>
    <row r="10769" spans="1:12" x14ac:dyDescent="0.25">
      <c r="A10769" s="4" t="str">
        <f>HYPERLINK("http://www.rosaceae.org/Prunus/Prunus_persica/p.persica_gdr_reftransV1_0011099","p.persica_gdr_reftransV1_0011099")</f>
        <v>p.persica_gdr_reftransV1_0011099</v>
      </c>
      <c r="B10769" s="2">
        <v>1830</v>
      </c>
      <c r="C10769" s="4" t="str">
        <f>HYPERLINK("http://www.uniprot.org/uniprot/M5X5K5","M5X5K5")</f>
        <v>M5X5K5</v>
      </c>
      <c r="D10769" s="2" t="s">
        <v>9188</v>
      </c>
      <c r="E10769" s="3">
        <v>0</v>
      </c>
      <c r="F10769" s="2">
        <v>1659</v>
      </c>
      <c r="G10769" s="2">
        <v>99</v>
      </c>
      <c r="H10769" s="2">
        <v>319</v>
      </c>
      <c r="I10769" s="2">
        <v>427</v>
      </c>
      <c r="J10769" s="2">
        <v>1383</v>
      </c>
      <c r="K10769" s="2">
        <v>1</v>
      </c>
      <c r="L10769" s="2">
        <v>319</v>
      </c>
    </row>
    <row r="10770" spans="1:12" x14ac:dyDescent="0.25">
      <c r="A10770" s="4" t="str">
        <f>HYPERLINK("http://www.rosaceae.org/Prunus/Prunus_persica/p.persica_gdr_reftransV1_0012499","p.persica_gdr_reftransV1_0012499")</f>
        <v>p.persica_gdr_reftransV1_0012499</v>
      </c>
      <c r="B10770" s="2">
        <v>624</v>
      </c>
      <c r="C10770" s="4" t="str">
        <f>HYPERLINK("http://www.uniprot.org/uniprot/M5XJ55","M5XJ55")</f>
        <v>M5XJ55</v>
      </c>
      <c r="D10770" s="2" t="s">
        <v>6223</v>
      </c>
      <c r="E10770" s="3">
        <v>2.0699999999999999E-144</v>
      </c>
      <c r="F10770" s="2">
        <v>1110</v>
      </c>
      <c r="G10770" s="2">
        <v>100</v>
      </c>
      <c r="H10770" s="2">
        <v>207</v>
      </c>
      <c r="I10770" s="2">
        <v>2</v>
      </c>
      <c r="J10770" s="2">
        <v>622</v>
      </c>
      <c r="K10770" s="2">
        <v>226</v>
      </c>
      <c r="L10770" s="2">
        <v>432</v>
      </c>
    </row>
    <row r="10771" spans="1:12" x14ac:dyDescent="0.25">
      <c r="A10771" s="4" t="str">
        <f>HYPERLINK("http://www.rosaceae.org/Prunus/Prunus_persica/p.persica_gdr_reftransV1_0013549","p.persica_gdr_reftransV1_0013549")</f>
        <v>p.persica_gdr_reftransV1_0013549</v>
      </c>
      <c r="B10771" s="2">
        <v>2658</v>
      </c>
      <c r="C10771" s="4" t="str">
        <f>HYPERLINK("http://www.uniprot.org/uniprot/M5X723","M5X723")</f>
        <v>M5X723</v>
      </c>
      <c r="D10771" s="2" t="s">
        <v>9189</v>
      </c>
      <c r="E10771" s="3">
        <v>5.35E-156</v>
      </c>
      <c r="F10771" s="2">
        <v>1237</v>
      </c>
      <c r="G10771" s="2">
        <v>100</v>
      </c>
      <c r="H10771" s="2">
        <v>237</v>
      </c>
      <c r="I10771" s="2">
        <v>95</v>
      </c>
      <c r="J10771" s="2">
        <v>805</v>
      </c>
      <c r="K10771" s="2">
        <v>1</v>
      </c>
      <c r="L10771" s="2">
        <v>237</v>
      </c>
    </row>
    <row r="10772" spans="1:12" x14ac:dyDescent="0.25">
      <c r="A10772" s="4" t="str">
        <f>HYPERLINK("http://www.rosaceae.org/Prunus/Prunus_persica/p.persica_gdr_reftransV1_0014249","p.persica_gdr_reftransV1_0014249")</f>
        <v>p.persica_gdr_reftransV1_0014249</v>
      </c>
      <c r="B10772" s="2">
        <v>839</v>
      </c>
      <c r="C10772" s="4" t="str">
        <f>HYPERLINK("http://www.uniprot.org/uniprot/M5VSA7","M5VSA7")</f>
        <v>M5VSA7</v>
      </c>
      <c r="D10772" s="2" t="s">
        <v>9190</v>
      </c>
      <c r="E10772" s="3">
        <v>1.0999999999999999E-164</v>
      </c>
      <c r="F10772" s="2">
        <v>1211</v>
      </c>
      <c r="G10772" s="2">
        <v>100</v>
      </c>
      <c r="H10772" s="2">
        <v>243</v>
      </c>
      <c r="I10772" s="2">
        <v>1</v>
      </c>
      <c r="J10772" s="2">
        <v>729</v>
      </c>
      <c r="K10772" s="2">
        <v>51</v>
      </c>
      <c r="L10772" s="2">
        <v>293</v>
      </c>
    </row>
    <row r="10773" spans="1:12" x14ac:dyDescent="0.25">
      <c r="A10773" s="4" t="str">
        <f>HYPERLINK("http://www.rosaceae.org/Prunus/Prunus_persica/p.persica_gdr_reftransV1_0014949","p.persica_gdr_reftransV1_0014949")</f>
        <v>p.persica_gdr_reftransV1_0014949</v>
      </c>
      <c r="B10773" s="2">
        <v>2619</v>
      </c>
      <c r="C10773" s="4" t="str">
        <f>HYPERLINK("http://www.uniprot.org/uniprot/M5XQZ2","M5XQZ2")</f>
        <v>M5XQZ2</v>
      </c>
      <c r="D10773" s="2" t="s">
        <v>2883</v>
      </c>
      <c r="E10773" s="3">
        <v>0</v>
      </c>
      <c r="F10773" s="2">
        <v>2954</v>
      </c>
      <c r="G10773" s="2">
        <v>99</v>
      </c>
      <c r="H10773" s="2">
        <v>601</v>
      </c>
      <c r="I10773" s="2">
        <v>283</v>
      </c>
      <c r="J10773" s="2">
        <v>2085</v>
      </c>
      <c r="K10773" s="2">
        <v>1</v>
      </c>
      <c r="L10773" s="2">
        <v>601</v>
      </c>
    </row>
    <row r="10774" spans="1:12" x14ac:dyDescent="0.25">
      <c r="A10774" s="4" t="str">
        <f>HYPERLINK("http://www.rosaceae.org/Prunus/Prunus_persica/p.persica_gdr_reftransV1_0015299","p.persica_gdr_reftransV1_0015299")</f>
        <v>p.persica_gdr_reftransV1_0015299</v>
      </c>
      <c r="B10774" s="2">
        <v>2601</v>
      </c>
      <c r="C10774" s="4" t="str">
        <f>HYPERLINK("http://www.uniprot.org/uniprot/M5Y3K1","M5Y3K1")</f>
        <v>M5Y3K1</v>
      </c>
      <c r="D10774" s="2" t="s">
        <v>9191</v>
      </c>
      <c r="E10774" s="3">
        <v>0</v>
      </c>
      <c r="F10774" s="2">
        <v>1910</v>
      </c>
      <c r="G10774" s="2">
        <v>100</v>
      </c>
      <c r="H10774" s="2">
        <v>401</v>
      </c>
      <c r="I10774" s="2">
        <v>279</v>
      </c>
      <c r="J10774" s="2">
        <v>1481</v>
      </c>
      <c r="K10774" s="2">
        <v>1</v>
      </c>
      <c r="L10774" s="2">
        <v>401</v>
      </c>
    </row>
    <row r="10775" spans="1:12" x14ac:dyDescent="0.25">
      <c r="A10775" s="4" t="str">
        <f>HYPERLINK("http://www.rosaceae.org/Prunus/Prunus_persica/p.persica_gdr_reftransV1_0015999","p.persica_gdr_reftransV1_0015999")</f>
        <v>p.persica_gdr_reftransV1_0015999</v>
      </c>
      <c r="B10775" s="2">
        <v>3649</v>
      </c>
      <c r="C10775" s="4" t="str">
        <f>HYPERLINK("http://www.uniprot.org/uniprot/M5XLT3","M5XLT3")</f>
        <v>M5XLT3</v>
      </c>
      <c r="D10775" s="2" t="s">
        <v>9192</v>
      </c>
      <c r="E10775" s="3">
        <v>0</v>
      </c>
      <c r="F10775" s="2">
        <v>3382</v>
      </c>
      <c r="G10775" s="2">
        <v>97</v>
      </c>
      <c r="H10775" s="2">
        <v>656</v>
      </c>
      <c r="I10775" s="2">
        <v>1154</v>
      </c>
      <c r="J10775" s="2">
        <v>3121</v>
      </c>
      <c r="K10775" s="2">
        <v>1</v>
      </c>
      <c r="L10775" s="2">
        <v>644</v>
      </c>
    </row>
    <row r="10776" spans="1:12" x14ac:dyDescent="0.25">
      <c r="A10776" s="4" t="str">
        <f>HYPERLINK("http://www.rosaceae.org/Prunus/Prunus_persica/p.persica_gdr_reftransV1_0017049","p.persica_gdr_reftransV1_0017049")</f>
        <v>p.persica_gdr_reftransV1_0017049</v>
      </c>
      <c r="B10776" s="2">
        <v>2144</v>
      </c>
      <c r="C10776" s="4" t="str">
        <f>HYPERLINK("http://www.uniprot.org/uniprot/M5WSD2","M5WSD2")</f>
        <v>M5WSD2</v>
      </c>
      <c r="D10776" s="2" t="s">
        <v>9193</v>
      </c>
      <c r="E10776" s="3">
        <v>0</v>
      </c>
      <c r="F10776" s="2">
        <v>2537</v>
      </c>
      <c r="G10776" s="2">
        <v>99</v>
      </c>
      <c r="H10776" s="2">
        <v>558</v>
      </c>
      <c r="I10776" s="2">
        <v>155</v>
      </c>
      <c r="J10776" s="2">
        <v>1828</v>
      </c>
      <c r="K10776" s="2">
        <v>1</v>
      </c>
      <c r="L10776" s="2">
        <v>550</v>
      </c>
    </row>
    <row r="10777" spans="1:12" x14ac:dyDescent="0.25">
      <c r="A10777" s="4" t="str">
        <f>HYPERLINK("http://www.rosaceae.org/Prunus/Prunus_persica/p.persica_gdr_reftransV1_0019149","p.persica_gdr_reftransV1_0019149")</f>
        <v>p.persica_gdr_reftransV1_0019149</v>
      </c>
      <c r="B10777" s="2">
        <v>840</v>
      </c>
      <c r="C10777" s="4" t="str">
        <f>HYPERLINK("http://www.uniprot.org/uniprot/M5VRZ3","M5VRZ3")</f>
        <v>M5VRZ3</v>
      </c>
      <c r="D10777" s="2" t="s">
        <v>9194</v>
      </c>
      <c r="E10777" s="3">
        <v>4.0900000000000002E-142</v>
      </c>
      <c r="F10777" s="2">
        <v>1053</v>
      </c>
      <c r="G10777" s="2">
        <v>100</v>
      </c>
      <c r="H10777" s="2">
        <v>203</v>
      </c>
      <c r="I10777" s="2">
        <v>123</v>
      </c>
      <c r="J10777" s="2">
        <v>731</v>
      </c>
      <c r="K10777" s="2">
        <v>1</v>
      </c>
      <c r="L10777" s="2">
        <v>203</v>
      </c>
    </row>
    <row r="10778" spans="1:12" x14ac:dyDescent="0.25">
      <c r="A10778" s="4" t="str">
        <f>HYPERLINK("http://www.rosaceae.org/Prunus/Prunus_persica/p.persica_gdr_reftransV1_0021249","p.persica_gdr_reftransV1_0021249")</f>
        <v>p.persica_gdr_reftransV1_0021249</v>
      </c>
      <c r="B10778" s="2">
        <v>616</v>
      </c>
      <c r="C10778" s="4" t="str">
        <f>HYPERLINK("http://www.uniprot.org/uniprot/M5WVW9","M5WVW9")</f>
        <v>M5WVW9</v>
      </c>
      <c r="D10778" s="2" t="s">
        <v>9195</v>
      </c>
      <c r="E10778" s="3">
        <v>7.6500000000000007E-68</v>
      </c>
      <c r="F10778" s="2">
        <v>546</v>
      </c>
      <c r="G10778" s="2">
        <v>100</v>
      </c>
      <c r="H10778" s="2">
        <v>105</v>
      </c>
      <c r="I10778" s="2">
        <v>75</v>
      </c>
      <c r="J10778" s="2">
        <v>389</v>
      </c>
      <c r="K10778" s="2">
        <v>1</v>
      </c>
      <c r="L10778" s="2">
        <v>105</v>
      </c>
    </row>
    <row r="10779" spans="1:12" x14ac:dyDescent="0.25">
      <c r="A10779" s="4" t="str">
        <f>HYPERLINK("http://www.rosaceae.org/Prunus/Prunus_persica/p.persica_gdr_reftransV1_0021949","p.persica_gdr_reftransV1_0021949")</f>
        <v>p.persica_gdr_reftransV1_0021949</v>
      </c>
      <c r="B10779" s="2">
        <v>3161</v>
      </c>
      <c r="C10779" s="4" t="str">
        <f>HYPERLINK("http://www.uniprot.org/uniprot/M5VZ22","M5VZ22")</f>
        <v>M5VZ22</v>
      </c>
      <c r="D10779" s="2" t="s">
        <v>9196</v>
      </c>
      <c r="E10779" s="3">
        <v>8.2699999999999995E-97</v>
      </c>
      <c r="F10779" s="2">
        <v>824</v>
      </c>
      <c r="G10779" s="2">
        <v>99</v>
      </c>
      <c r="H10779" s="2">
        <v>173</v>
      </c>
      <c r="I10779" s="2">
        <v>2531</v>
      </c>
      <c r="J10779" s="2">
        <v>3049</v>
      </c>
      <c r="K10779" s="2">
        <v>79</v>
      </c>
      <c r="L10779" s="2">
        <v>251</v>
      </c>
    </row>
    <row r="10780" spans="1:12" x14ac:dyDescent="0.25">
      <c r="A10780" s="4" t="str">
        <f>HYPERLINK("http://www.rosaceae.org/Prunus/Prunus_persica/p.persica_gdr_reftransV1_0023349","p.persica_gdr_reftransV1_0023349")</f>
        <v>p.persica_gdr_reftransV1_0023349</v>
      </c>
      <c r="B10780" s="2">
        <v>2220</v>
      </c>
      <c r="C10780" s="4" t="str">
        <f>HYPERLINK("http://www.uniprot.org/uniprot/M5WY02","M5WY02")</f>
        <v>M5WY02</v>
      </c>
      <c r="D10780" s="2" t="s">
        <v>9197</v>
      </c>
      <c r="E10780" s="3">
        <v>0</v>
      </c>
      <c r="F10780" s="2">
        <v>2676</v>
      </c>
      <c r="G10780" s="2">
        <v>93</v>
      </c>
      <c r="H10780" s="2">
        <v>596</v>
      </c>
      <c r="I10780" s="2">
        <v>380</v>
      </c>
      <c r="J10780" s="2">
        <v>2167</v>
      </c>
      <c r="K10780" s="2">
        <v>35</v>
      </c>
      <c r="L10780" s="2">
        <v>590</v>
      </c>
    </row>
    <row r="10781" spans="1:12" x14ac:dyDescent="0.25">
      <c r="A10781" s="4" t="str">
        <f>HYPERLINK("http://www.rosaceae.org/Prunus/Prunus_persica/p.persica_gdr_reftransV1_0023699","p.persica_gdr_reftransV1_0023699")</f>
        <v>p.persica_gdr_reftransV1_0023699</v>
      </c>
      <c r="B10781" s="2">
        <v>1227</v>
      </c>
      <c r="C10781" s="4" t="str">
        <f>HYPERLINK("http://www.uniprot.org/uniprot/M5VWB1","M5VWB1")</f>
        <v>M5VWB1</v>
      </c>
      <c r="D10781" s="2" t="s">
        <v>9198</v>
      </c>
      <c r="E10781" s="3">
        <v>1.3899999999999999E-129</v>
      </c>
      <c r="F10781" s="2">
        <v>997</v>
      </c>
      <c r="G10781" s="2">
        <v>100</v>
      </c>
      <c r="H10781" s="2">
        <v>239</v>
      </c>
      <c r="I10781" s="2">
        <v>465</v>
      </c>
      <c r="J10781" s="2">
        <v>1181</v>
      </c>
      <c r="K10781" s="2">
        <v>12</v>
      </c>
      <c r="L10781" s="2">
        <v>250</v>
      </c>
    </row>
    <row r="10782" spans="1:12" x14ac:dyDescent="0.25">
      <c r="A10782" s="4" t="str">
        <f>HYPERLINK("http://www.rosaceae.org/Prunus/Prunus_persica/p.persica_gdr_reftransV1_0024399","p.persica_gdr_reftransV1_0024399")</f>
        <v>p.persica_gdr_reftransV1_0024399</v>
      </c>
      <c r="B10782" s="2">
        <v>2404</v>
      </c>
      <c r="C10782" s="4" t="str">
        <f>HYPERLINK("http://www.uniprot.org/uniprot/M5XEQ2","M5XEQ2")</f>
        <v>M5XEQ2</v>
      </c>
      <c r="D10782" s="2" t="s">
        <v>2945</v>
      </c>
      <c r="E10782" s="3">
        <v>0</v>
      </c>
      <c r="F10782" s="2">
        <v>1693</v>
      </c>
      <c r="G10782" s="2">
        <v>96</v>
      </c>
      <c r="H10782" s="2">
        <v>346</v>
      </c>
      <c r="I10782" s="2">
        <v>226</v>
      </c>
      <c r="J10782" s="2">
        <v>1263</v>
      </c>
      <c r="K10782" s="2">
        <v>63</v>
      </c>
      <c r="L10782" s="2">
        <v>408</v>
      </c>
    </row>
    <row r="10783" spans="1:12" x14ac:dyDescent="0.25">
      <c r="A10783" s="4" t="str">
        <f>HYPERLINK("http://www.rosaceae.org/Prunus/Prunus_persica/p.persica_gdr_reftransV1_0025099","p.persica_gdr_reftransV1_0025099")</f>
        <v>p.persica_gdr_reftransV1_0025099</v>
      </c>
      <c r="B10783" s="2">
        <v>606</v>
      </c>
      <c r="C10783" s="4" t="str">
        <f>HYPERLINK("http://www.uniprot.org/uniprot/Q93XS1","Q93XS1")</f>
        <v>Q93XS1</v>
      </c>
      <c r="D10783" s="2" t="s">
        <v>7540</v>
      </c>
      <c r="E10783" s="3">
        <v>1.1900000000000001E-78</v>
      </c>
      <c r="F10783" s="2">
        <v>672</v>
      </c>
      <c r="G10783" s="2">
        <v>100</v>
      </c>
      <c r="H10783" s="2">
        <v>141</v>
      </c>
      <c r="I10783" s="2">
        <v>183</v>
      </c>
      <c r="J10783" s="2">
        <v>605</v>
      </c>
      <c r="K10783" s="2">
        <v>1</v>
      </c>
      <c r="L10783" s="2">
        <v>141</v>
      </c>
    </row>
    <row r="10784" spans="1:12" x14ac:dyDescent="0.25">
      <c r="A10784" s="4" t="str">
        <f>HYPERLINK("http://www.rosaceae.org/Prunus/Prunus_persica/p.persica_gdr_reftransV1_0025449","p.persica_gdr_reftransV1_0025449")</f>
        <v>p.persica_gdr_reftransV1_0025449</v>
      </c>
      <c r="B10784" s="2">
        <v>723</v>
      </c>
      <c r="C10784" s="4" t="str">
        <f>HYPERLINK("http://www.uniprot.org/uniprot/M5W3E2","M5W3E2")</f>
        <v>M5W3E2</v>
      </c>
      <c r="D10784" s="2" t="s">
        <v>9199</v>
      </c>
      <c r="E10784" s="3">
        <v>2.4200000000000003E-97</v>
      </c>
      <c r="F10784" s="2">
        <v>818</v>
      </c>
      <c r="G10784" s="2">
        <v>100</v>
      </c>
      <c r="H10784" s="2">
        <v>154</v>
      </c>
      <c r="I10784" s="2">
        <v>261</v>
      </c>
      <c r="J10784" s="2">
        <v>722</v>
      </c>
      <c r="K10784" s="2">
        <v>1052</v>
      </c>
      <c r="L10784" s="2">
        <v>1205</v>
      </c>
    </row>
    <row r="10785" spans="1:12" x14ac:dyDescent="0.25">
      <c r="A10785" s="4" t="str">
        <f>HYPERLINK("http://www.rosaceae.org/Prunus/Prunus_persica/p.persica_gdr_reftransV1_0026149","p.persica_gdr_reftransV1_0026149")</f>
        <v>p.persica_gdr_reftransV1_0026149</v>
      </c>
      <c r="B10785" s="2">
        <v>2362</v>
      </c>
      <c r="C10785" s="4" t="str">
        <f>HYPERLINK("http://www.uniprot.org/uniprot/M5WAX1","M5WAX1")</f>
        <v>M5WAX1</v>
      </c>
      <c r="D10785" s="2" t="s">
        <v>9200</v>
      </c>
      <c r="E10785" s="3">
        <v>0</v>
      </c>
      <c r="F10785" s="2">
        <v>1720</v>
      </c>
      <c r="G10785" s="2">
        <v>100</v>
      </c>
      <c r="H10785" s="2">
        <v>332</v>
      </c>
      <c r="I10785" s="2">
        <v>233</v>
      </c>
      <c r="J10785" s="2">
        <v>1228</v>
      </c>
      <c r="K10785" s="2">
        <v>1</v>
      </c>
      <c r="L10785" s="2">
        <v>332</v>
      </c>
    </row>
    <row r="10786" spans="1:12" x14ac:dyDescent="0.25">
      <c r="A10786" s="4" t="str">
        <f>HYPERLINK("http://www.rosaceae.org/Prunus/Prunus_persica/p.persica_gdr_reftransV1_0026499","p.persica_gdr_reftransV1_0026499")</f>
        <v>p.persica_gdr_reftransV1_0026499</v>
      </c>
      <c r="B10786" s="2">
        <v>673</v>
      </c>
      <c r="C10786" s="4" t="str">
        <f>HYPERLINK("http://www.uniprot.org/uniprot/M5WT82","M5WT82")</f>
        <v>M5WT82</v>
      </c>
      <c r="D10786" s="2" t="s">
        <v>1187</v>
      </c>
      <c r="E10786" s="3">
        <v>2.9699999999999998E-98</v>
      </c>
      <c r="F10786" s="2">
        <v>803</v>
      </c>
      <c r="G10786" s="2">
        <v>93</v>
      </c>
      <c r="H10786" s="2">
        <v>224</v>
      </c>
      <c r="I10786" s="2">
        <v>1</v>
      </c>
      <c r="J10786" s="2">
        <v>672</v>
      </c>
      <c r="K10786" s="2">
        <v>385</v>
      </c>
      <c r="L10786" s="2">
        <v>593</v>
      </c>
    </row>
    <row r="10787" spans="1:12" x14ac:dyDescent="0.25">
      <c r="A10787" s="4" t="str">
        <f>HYPERLINK("http://www.rosaceae.org/Prunus/Prunus_persica/p.persica_gdr_reftransV1_0027199","p.persica_gdr_reftransV1_0027199")</f>
        <v>p.persica_gdr_reftransV1_0027199</v>
      </c>
      <c r="B10787" s="2">
        <v>2161</v>
      </c>
      <c r="C10787" s="4" t="str">
        <f>HYPERLINK("http://www.uniprot.org/uniprot/M5WYV1","M5WYV1")</f>
        <v>M5WYV1</v>
      </c>
      <c r="D10787" s="2" t="s">
        <v>9201</v>
      </c>
      <c r="E10787" s="3">
        <v>0</v>
      </c>
      <c r="F10787" s="2">
        <v>1547</v>
      </c>
      <c r="G10787" s="2">
        <v>99</v>
      </c>
      <c r="H10787" s="2">
        <v>291</v>
      </c>
      <c r="I10787" s="2">
        <v>1257</v>
      </c>
      <c r="J10787" s="2">
        <v>2129</v>
      </c>
      <c r="K10787" s="2">
        <v>26</v>
      </c>
      <c r="L10787" s="2">
        <v>316</v>
      </c>
    </row>
    <row r="10788" spans="1:12" x14ac:dyDescent="0.25">
      <c r="A10788" s="4" t="str">
        <f>HYPERLINK("http://www.rosaceae.org/Prunus/Prunus_persica/p.persica_gdr_reftransV1_0028249","p.persica_gdr_reftransV1_0028249")</f>
        <v>p.persica_gdr_reftransV1_0028249</v>
      </c>
      <c r="B10788" s="2">
        <v>2047</v>
      </c>
      <c r="C10788" s="4" t="str">
        <f>HYPERLINK("http://www.uniprot.org/uniprot/M5VRE2","M5VRE2")</f>
        <v>M5VRE2</v>
      </c>
      <c r="D10788" s="2" t="s">
        <v>9202</v>
      </c>
      <c r="E10788" s="3">
        <v>2.01E-87</v>
      </c>
      <c r="F10788" s="2">
        <v>735</v>
      </c>
      <c r="G10788" s="2">
        <v>100</v>
      </c>
      <c r="H10788" s="2">
        <v>136</v>
      </c>
      <c r="I10788" s="2">
        <v>464</v>
      </c>
      <c r="J10788" s="2">
        <v>871</v>
      </c>
      <c r="K10788" s="2">
        <v>167</v>
      </c>
      <c r="L10788" s="2">
        <v>302</v>
      </c>
    </row>
    <row r="10789" spans="1:12" x14ac:dyDescent="0.25">
      <c r="A10789" s="4" t="str">
        <f>HYPERLINK("http://www.rosaceae.org/Prunus/Prunus_persica/p.persica_gdr_reftransV1_0029649","p.persica_gdr_reftransV1_0029649")</f>
        <v>p.persica_gdr_reftransV1_0029649</v>
      </c>
      <c r="B10789" s="2">
        <v>1122</v>
      </c>
      <c r="C10789" s="4" t="str">
        <f>HYPERLINK("http://www.uniprot.org/uniprot/M5XQT0","M5XQT0")</f>
        <v>M5XQT0</v>
      </c>
      <c r="D10789" s="2" t="s">
        <v>1011</v>
      </c>
      <c r="E10789" s="3">
        <v>2.4300000000000001E-137</v>
      </c>
      <c r="F10789" s="2">
        <v>1114</v>
      </c>
      <c r="G10789" s="2">
        <v>100</v>
      </c>
      <c r="H10789" s="2">
        <v>207</v>
      </c>
      <c r="I10789" s="2">
        <v>55</v>
      </c>
      <c r="J10789" s="2">
        <v>675</v>
      </c>
      <c r="K10789" s="2">
        <v>1029</v>
      </c>
      <c r="L10789" s="2">
        <v>1235</v>
      </c>
    </row>
    <row r="10790" spans="1:12" x14ac:dyDescent="0.25">
      <c r="A10790" s="4" t="str">
        <f>HYPERLINK("http://www.rosaceae.org/Prunus/Prunus_persica/p.persica_gdr_reftransV1_0029999","p.persica_gdr_reftransV1_0029999")</f>
        <v>p.persica_gdr_reftransV1_0029999</v>
      </c>
      <c r="B10790" s="2">
        <v>2461</v>
      </c>
      <c r="C10790" s="4" t="str">
        <f>HYPERLINK("http://www.uniprot.org/uniprot/M5W8L9","M5W8L9")</f>
        <v>M5W8L9</v>
      </c>
      <c r="D10790" s="2" t="s">
        <v>9203</v>
      </c>
      <c r="E10790" s="3">
        <v>0</v>
      </c>
      <c r="F10790" s="2">
        <v>1643</v>
      </c>
      <c r="G10790" s="2">
        <v>100</v>
      </c>
      <c r="H10790" s="2">
        <v>315</v>
      </c>
      <c r="I10790" s="2">
        <v>239</v>
      </c>
      <c r="J10790" s="2">
        <v>1183</v>
      </c>
      <c r="K10790" s="2">
        <v>234</v>
      </c>
      <c r="L10790" s="2">
        <v>548</v>
      </c>
    </row>
    <row r="10791" spans="1:12" x14ac:dyDescent="0.25">
      <c r="A10791" s="4" t="str">
        <f>HYPERLINK("http://www.rosaceae.org/Prunus/Prunus_persica/p.persica_gdr_reftransV1_0031749","p.persica_gdr_reftransV1_0031749")</f>
        <v>p.persica_gdr_reftransV1_0031749</v>
      </c>
      <c r="B10791" s="2">
        <v>2153</v>
      </c>
      <c r="C10791" s="4" t="str">
        <f>HYPERLINK("http://www.uniprot.org/uniprot/M5X6A6","M5X6A6")</f>
        <v>M5X6A6</v>
      </c>
      <c r="D10791" s="2" t="s">
        <v>9204</v>
      </c>
      <c r="E10791" s="3">
        <v>1.61E-152</v>
      </c>
      <c r="F10791" s="2">
        <v>1169</v>
      </c>
      <c r="G10791" s="2">
        <v>89</v>
      </c>
      <c r="H10791" s="2">
        <v>275</v>
      </c>
      <c r="I10791" s="2">
        <v>1307</v>
      </c>
      <c r="J10791" s="2">
        <v>2131</v>
      </c>
      <c r="K10791" s="2">
        <v>1</v>
      </c>
      <c r="L10791" s="2">
        <v>245</v>
      </c>
    </row>
    <row r="10792" spans="1:12" x14ac:dyDescent="0.25">
      <c r="A10792" s="4" t="str">
        <f>HYPERLINK("http://www.rosaceae.org/Prunus/Prunus_persica/p.persica_gdr_reftransV1_0032799","p.persica_gdr_reftransV1_0032799")</f>
        <v>p.persica_gdr_reftransV1_0032799</v>
      </c>
      <c r="B10792" s="2">
        <v>2151</v>
      </c>
      <c r="C10792" s="4" t="str">
        <f>HYPERLINK("http://www.uniprot.org/uniprot/A0A061G8X5","A0A061G8X5")</f>
        <v>A0A061G8X5</v>
      </c>
      <c r="D10792" s="2" t="s">
        <v>9205</v>
      </c>
      <c r="E10792" s="3">
        <v>6.6199999999999999E-73</v>
      </c>
      <c r="F10792" s="2">
        <v>630</v>
      </c>
      <c r="G10792" s="2">
        <v>87</v>
      </c>
      <c r="H10792" s="2">
        <v>133</v>
      </c>
      <c r="I10792" s="2">
        <v>1167</v>
      </c>
      <c r="J10792" s="2">
        <v>1565</v>
      </c>
      <c r="K10792" s="2">
        <v>92</v>
      </c>
      <c r="L10792" s="2">
        <v>224</v>
      </c>
    </row>
    <row r="10793" spans="1:12" x14ac:dyDescent="0.25">
      <c r="A10793" s="4" t="str">
        <f>HYPERLINK("http://www.rosaceae.org/Prunus/Prunus_persica/p.persica_gdr_reftransV1_0034549","p.persica_gdr_reftransV1_0034549")</f>
        <v>p.persica_gdr_reftransV1_0034549</v>
      </c>
      <c r="B10793" s="2">
        <v>5068</v>
      </c>
      <c r="C10793" s="4" t="str">
        <f>HYPERLINK("http://www.uniprot.org/uniprot/M5VWH1","M5VWH1")</f>
        <v>M5VWH1</v>
      </c>
      <c r="D10793" s="2" t="s">
        <v>9206</v>
      </c>
      <c r="E10793" s="3">
        <v>0</v>
      </c>
      <c r="F10793" s="2">
        <v>2799</v>
      </c>
      <c r="G10793" s="2">
        <v>100</v>
      </c>
      <c r="H10793" s="2">
        <v>650</v>
      </c>
      <c r="I10793" s="2">
        <v>503</v>
      </c>
      <c r="J10793" s="2">
        <v>2452</v>
      </c>
      <c r="K10793" s="2">
        <v>1</v>
      </c>
      <c r="L10793" s="2">
        <v>650</v>
      </c>
    </row>
    <row r="10794" spans="1:12" x14ac:dyDescent="0.25">
      <c r="A10794" s="4" t="str">
        <f>HYPERLINK("http://www.rosaceae.org/Prunus/Prunus_persica/p.persica_gdr_reftransV1_0034899","p.persica_gdr_reftransV1_0034899")</f>
        <v>p.persica_gdr_reftransV1_0034899</v>
      </c>
      <c r="B10794" s="2">
        <v>4280</v>
      </c>
      <c r="C10794" s="4" t="str">
        <f>HYPERLINK("http://www.uniprot.org/uniprot/M5XKE4","M5XKE4")</f>
        <v>M5XKE4</v>
      </c>
      <c r="D10794" s="2" t="s">
        <v>5240</v>
      </c>
      <c r="E10794" s="3">
        <v>0</v>
      </c>
      <c r="F10794" s="2">
        <v>2242</v>
      </c>
      <c r="G10794" s="2">
        <v>100</v>
      </c>
      <c r="H10794" s="2">
        <v>458</v>
      </c>
      <c r="I10794" s="2">
        <v>2724</v>
      </c>
      <c r="J10794" s="2">
        <v>4097</v>
      </c>
      <c r="K10794" s="2">
        <v>496</v>
      </c>
      <c r="L10794" s="2">
        <v>953</v>
      </c>
    </row>
    <row r="10795" spans="1:12" x14ac:dyDescent="0.25">
      <c r="A10795" s="4" t="str">
        <f>HYPERLINK("http://www.rosaceae.org/Prunus/Prunus_persica/p.persica_gdr_reftransV1_0035249","p.persica_gdr_reftransV1_0035249")</f>
        <v>p.persica_gdr_reftransV1_0035249</v>
      </c>
      <c r="B10795" s="2">
        <v>1655</v>
      </c>
      <c r="C10795" s="4" t="str">
        <f>HYPERLINK("http://www.uniprot.org/uniprot/M5XXB6","M5XXB6")</f>
        <v>M5XXB6</v>
      </c>
      <c r="D10795" s="2" t="s">
        <v>9207</v>
      </c>
      <c r="E10795" s="3">
        <v>1.1000000000000001E-159</v>
      </c>
      <c r="F10795" s="2">
        <v>689</v>
      </c>
      <c r="G10795" s="2">
        <v>96</v>
      </c>
      <c r="H10795" s="2">
        <v>132</v>
      </c>
      <c r="I10795" s="2">
        <v>130</v>
      </c>
      <c r="J10795" s="2">
        <v>525</v>
      </c>
      <c r="K10795" s="2">
        <v>1</v>
      </c>
      <c r="L10795" s="2">
        <v>132</v>
      </c>
    </row>
    <row r="10796" spans="1:12" x14ac:dyDescent="0.25">
      <c r="A10796" s="4" t="str">
        <f>HYPERLINK("http://www.rosaceae.org/Prunus/Prunus_persica/p.persica_gdr_reftransV1_0037349","p.persica_gdr_reftransV1_0037349")</f>
        <v>p.persica_gdr_reftransV1_0037349</v>
      </c>
      <c r="B10796" s="2">
        <v>3224</v>
      </c>
      <c r="C10796" s="4" t="str">
        <f>HYPERLINK("http://www.uniprot.org/uniprot/M5WT94","M5WT94")</f>
        <v>M5WT94</v>
      </c>
      <c r="D10796" s="2" t="s">
        <v>9208</v>
      </c>
      <c r="E10796" s="3">
        <v>6.5500000000000003E-155</v>
      </c>
      <c r="F10796" s="2">
        <v>1240</v>
      </c>
      <c r="G10796" s="2">
        <v>100</v>
      </c>
      <c r="H10796" s="2">
        <v>236</v>
      </c>
      <c r="I10796" s="2">
        <v>488</v>
      </c>
      <c r="J10796" s="2">
        <v>1195</v>
      </c>
      <c r="K10796" s="2">
        <v>1</v>
      </c>
      <c r="L10796" s="2">
        <v>236</v>
      </c>
    </row>
    <row r="10797" spans="1:12" x14ac:dyDescent="0.25">
      <c r="A10797" s="4" t="str">
        <f>HYPERLINK("http://www.rosaceae.org/Prunus/Prunus_persica/p.persica_gdr_reftransV1_0038749","p.persica_gdr_reftransV1_0038749")</f>
        <v>p.persica_gdr_reftransV1_0038749</v>
      </c>
      <c r="B10797" s="2">
        <v>3084</v>
      </c>
      <c r="C10797" s="4" t="str">
        <f>HYPERLINK("http://www.uniprot.org/uniprot/M5WGT7","M5WGT7")</f>
        <v>M5WGT7</v>
      </c>
      <c r="D10797" s="2" t="s">
        <v>9209</v>
      </c>
      <c r="E10797" s="3">
        <v>0</v>
      </c>
      <c r="F10797" s="2">
        <v>2189</v>
      </c>
      <c r="G10797" s="2">
        <v>100</v>
      </c>
      <c r="H10797" s="2">
        <v>421</v>
      </c>
      <c r="I10797" s="2">
        <v>426</v>
      </c>
      <c r="J10797" s="2">
        <v>1688</v>
      </c>
      <c r="K10797" s="2">
        <v>1</v>
      </c>
      <c r="L10797" s="2">
        <v>421</v>
      </c>
    </row>
    <row r="10798" spans="1:12" x14ac:dyDescent="0.25">
      <c r="A10798" s="4" t="str">
        <f>HYPERLINK("http://www.rosaceae.org/Prunus/Prunus_persica/p.persica_gdr_reftransV1_0039799","p.persica_gdr_reftransV1_0039799")</f>
        <v>p.persica_gdr_reftransV1_0039799</v>
      </c>
      <c r="B10798" s="2">
        <v>1945</v>
      </c>
      <c r="C10798" s="4" t="str">
        <f>HYPERLINK("http://www.uniprot.org/uniprot/A0A067E0P4","A0A067E0P4")</f>
        <v>A0A067E0P4</v>
      </c>
      <c r="D10798" s="2" t="s">
        <v>9210</v>
      </c>
      <c r="E10798" s="3">
        <v>1.84E-62</v>
      </c>
      <c r="F10798" s="2">
        <v>395</v>
      </c>
      <c r="G10798" s="2">
        <v>52</v>
      </c>
      <c r="H10798" s="2">
        <v>165</v>
      </c>
      <c r="I10798" s="2">
        <v>1434</v>
      </c>
      <c r="J10798" s="2">
        <v>1916</v>
      </c>
      <c r="K10798" s="2">
        <v>175</v>
      </c>
      <c r="L10798" s="2">
        <v>338</v>
      </c>
    </row>
    <row r="10799" spans="1:12" x14ac:dyDescent="0.25">
      <c r="A10799" s="4" t="str">
        <f>HYPERLINK("http://www.rosaceae.org/Prunus/Prunus_persica/p.persica_gdr_reftransV1_0040149","p.persica_gdr_reftransV1_0040149")</f>
        <v>p.persica_gdr_reftransV1_0040149</v>
      </c>
      <c r="B10799" s="2">
        <v>3930</v>
      </c>
      <c r="C10799" s="4" t="str">
        <f>HYPERLINK("http://www.uniprot.org/uniprot/M5VNX9","M5VNX9")</f>
        <v>M5VNX9</v>
      </c>
      <c r="D10799" s="2" t="s">
        <v>940</v>
      </c>
      <c r="E10799" s="3">
        <v>0</v>
      </c>
      <c r="F10799" s="2">
        <v>2968</v>
      </c>
      <c r="G10799" s="2">
        <v>96</v>
      </c>
      <c r="H10799" s="2">
        <v>591</v>
      </c>
      <c r="I10799" s="2">
        <v>164</v>
      </c>
      <c r="J10799" s="2">
        <v>1894</v>
      </c>
      <c r="K10799" s="2">
        <v>385</v>
      </c>
      <c r="L10799" s="2">
        <v>975</v>
      </c>
    </row>
    <row r="10800" spans="1:12" x14ac:dyDescent="0.25">
      <c r="A10800" s="4" t="str">
        <f>HYPERLINK("http://www.rosaceae.org/Prunus/Prunus_persica/p.persica_gdr_reftransV1_0040499","p.persica_gdr_reftransV1_0040499")</f>
        <v>p.persica_gdr_reftransV1_0040499</v>
      </c>
      <c r="B10800" s="2">
        <v>4563</v>
      </c>
      <c r="C10800" s="4" t="str">
        <f>HYPERLINK("http://www.uniprot.org/uniprot/M5X619","M5X619")</f>
        <v>M5X619</v>
      </c>
      <c r="D10800" s="2" t="s">
        <v>565</v>
      </c>
      <c r="E10800" s="3">
        <v>0</v>
      </c>
      <c r="F10800" s="2">
        <v>4186</v>
      </c>
      <c r="G10800" s="2">
        <v>92</v>
      </c>
      <c r="H10800" s="2">
        <v>926</v>
      </c>
      <c r="I10800" s="2">
        <v>1379</v>
      </c>
      <c r="J10800" s="2">
        <v>4153</v>
      </c>
      <c r="K10800" s="2">
        <v>1</v>
      </c>
      <c r="L10800" s="2">
        <v>926</v>
      </c>
    </row>
    <row r="10801" spans="1:12" x14ac:dyDescent="0.25">
      <c r="A10801" s="4" t="str">
        <f>HYPERLINK("http://www.rosaceae.org/Prunus/Prunus_persica/p.persica_gdr_reftransV1_0043299","p.persica_gdr_reftransV1_0043299")</f>
        <v>p.persica_gdr_reftransV1_0043299</v>
      </c>
      <c r="B10801" s="2">
        <v>1550</v>
      </c>
      <c r="C10801" s="4" t="str">
        <f>HYPERLINK("http://www.uniprot.org/uniprot/A0A067JZP7","A0A067JZP7")</f>
        <v>A0A067JZP7</v>
      </c>
      <c r="D10801" s="2" t="s">
        <v>9211</v>
      </c>
      <c r="E10801" s="3">
        <v>0</v>
      </c>
      <c r="F10801" s="2">
        <v>1466</v>
      </c>
      <c r="G10801" s="2">
        <v>84</v>
      </c>
      <c r="H10801" s="2">
        <v>331</v>
      </c>
      <c r="I10801" s="2">
        <v>406</v>
      </c>
      <c r="J10801" s="2">
        <v>1398</v>
      </c>
      <c r="K10801" s="2">
        <v>29</v>
      </c>
      <c r="L10801" s="2">
        <v>359</v>
      </c>
    </row>
    <row r="10802" spans="1:12" x14ac:dyDescent="0.25">
      <c r="A10802" s="4" t="str">
        <f>HYPERLINK("http://www.rosaceae.org/Prunus/Prunus_persica/p.persica_gdr_reftransV1_0043649","p.persica_gdr_reftransV1_0043649")</f>
        <v>p.persica_gdr_reftransV1_0043649</v>
      </c>
      <c r="B10802" s="2">
        <v>3086</v>
      </c>
      <c r="C10802" s="4" t="str">
        <f>HYPERLINK("http://www.uniprot.org/uniprot/M5WCQ2","M5WCQ2")</f>
        <v>M5WCQ2</v>
      </c>
      <c r="D10802" s="2" t="s">
        <v>9212</v>
      </c>
      <c r="E10802" s="3">
        <v>0</v>
      </c>
      <c r="F10802" s="2">
        <v>1658</v>
      </c>
      <c r="G10802" s="2">
        <v>100</v>
      </c>
      <c r="H10802" s="2">
        <v>428</v>
      </c>
      <c r="I10802" s="2">
        <v>1535</v>
      </c>
      <c r="J10802" s="2">
        <v>2818</v>
      </c>
      <c r="K10802" s="2">
        <v>312</v>
      </c>
      <c r="L10802" s="2">
        <v>739</v>
      </c>
    </row>
    <row r="10803" spans="1:12" x14ac:dyDescent="0.25">
      <c r="A10803" s="4" t="str">
        <f>HYPERLINK("http://www.rosaceae.org/Prunus/Prunus_persica/p.persica_gdr_reftransV1_0043999","p.persica_gdr_reftransV1_0043999")</f>
        <v>p.persica_gdr_reftransV1_0043999</v>
      </c>
      <c r="B10803" s="2">
        <v>437</v>
      </c>
      <c r="C10803" s="4" t="str">
        <f>HYPERLINK("http://www.uniprot.org/uniprot/M5VHM0","M5VHM0")</f>
        <v>M5VHM0</v>
      </c>
      <c r="D10803" s="2" t="s">
        <v>9213</v>
      </c>
      <c r="E10803" s="3">
        <v>2.46E-44</v>
      </c>
      <c r="F10803" s="2">
        <v>403</v>
      </c>
      <c r="G10803" s="2">
        <v>99</v>
      </c>
      <c r="H10803" s="2">
        <v>84</v>
      </c>
      <c r="I10803" s="2">
        <v>101</v>
      </c>
      <c r="J10803" s="2">
        <v>352</v>
      </c>
      <c r="K10803" s="2">
        <v>1</v>
      </c>
      <c r="L10803" s="2">
        <v>84</v>
      </c>
    </row>
    <row r="10804" spans="1:12" x14ac:dyDescent="0.25">
      <c r="A10804" s="4" t="str">
        <f>HYPERLINK("http://www.rosaceae.org/Prunus/Prunus_persica/p.persica_gdr_reftransV1_0044349","p.persica_gdr_reftransV1_0044349")</f>
        <v>p.persica_gdr_reftransV1_0044349</v>
      </c>
      <c r="B10804" s="2">
        <v>841</v>
      </c>
      <c r="C10804" s="4" t="str">
        <f>HYPERLINK("http://www.uniprot.org/uniprot/M5VRJ3","M5VRJ3")</f>
        <v>M5VRJ3</v>
      </c>
      <c r="D10804" s="2" t="s">
        <v>9214</v>
      </c>
      <c r="E10804" s="3">
        <v>5.2900000000000001E-101</v>
      </c>
      <c r="F10804" s="2">
        <v>776</v>
      </c>
      <c r="G10804" s="2">
        <v>100</v>
      </c>
      <c r="H10804" s="2">
        <v>145</v>
      </c>
      <c r="I10804" s="2">
        <v>290</v>
      </c>
      <c r="J10804" s="2">
        <v>724</v>
      </c>
      <c r="K10804" s="2">
        <v>1</v>
      </c>
      <c r="L10804" s="2">
        <v>145</v>
      </c>
    </row>
    <row r="10805" spans="1:12" x14ac:dyDescent="0.25">
      <c r="A10805" s="4" t="str">
        <f>HYPERLINK("http://www.rosaceae.org/Prunus/Prunus_persica/p.persica_gdr_reftransV1_0044699","p.persica_gdr_reftransV1_0044699")</f>
        <v>p.persica_gdr_reftransV1_0044699</v>
      </c>
      <c r="B10805" s="2">
        <v>422</v>
      </c>
      <c r="C10805" s="4" t="str">
        <f>HYPERLINK("http://www.uniprot.org/uniprot/M5WYI5","M5WYI5")</f>
        <v>M5WYI5</v>
      </c>
      <c r="D10805" s="2" t="s">
        <v>9215</v>
      </c>
      <c r="E10805" s="3">
        <v>1.14E-52</v>
      </c>
      <c r="F10805" s="2">
        <v>481</v>
      </c>
      <c r="G10805" s="2">
        <v>100</v>
      </c>
      <c r="H10805" s="2">
        <v>110</v>
      </c>
      <c r="I10805" s="2">
        <v>93</v>
      </c>
      <c r="J10805" s="2">
        <v>422</v>
      </c>
      <c r="K10805" s="2">
        <v>780</v>
      </c>
      <c r="L10805" s="2">
        <v>889</v>
      </c>
    </row>
    <row r="10806" spans="1:12" x14ac:dyDescent="0.25">
      <c r="A10806" s="4" t="str">
        <f>HYPERLINK("http://www.rosaceae.org/Prunus/Prunus_persica/p.persica_gdr_reftransV1_0045049","p.persica_gdr_reftransV1_0045049")</f>
        <v>p.persica_gdr_reftransV1_0045049</v>
      </c>
      <c r="B10806" s="2">
        <v>2288</v>
      </c>
      <c r="C10806" s="4" t="str">
        <f>HYPERLINK("http://www.uniprot.org/uniprot/A0A067L715","A0A067L715")</f>
        <v>A0A067L715</v>
      </c>
      <c r="D10806" s="2" t="s">
        <v>9216</v>
      </c>
      <c r="E10806" s="3">
        <v>0</v>
      </c>
      <c r="F10806" s="2">
        <v>2075</v>
      </c>
      <c r="G10806" s="2">
        <v>82</v>
      </c>
      <c r="H10806" s="2">
        <v>479</v>
      </c>
      <c r="I10806" s="2">
        <v>535</v>
      </c>
      <c r="J10806" s="2">
        <v>1971</v>
      </c>
      <c r="K10806" s="2">
        <v>13</v>
      </c>
      <c r="L10806" s="2">
        <v>491</v>
      </c>
    </row>
    <row r="10807" spans="1:12" x14ac:dyDescent="0.25">
      <c r="A10807" s="4" t="str">
        <f>HYPERLINK("http://www.rosaceae.org/Prunus/Prunus_persica/p.persica_gdr_reftransV1_0045399","p.persica_gdr_reftransV1_0045399")</f>
        <v>p.persica_gdr_reftransV1_0045399</v>
      </c>
      <c r="B10807" s="2">
        <v>1591</v>
      </c>
      <c r="C10807" s="4" t="str">
        <f>HYPERLINK("http://www.uniprot.org/uniprot/M5WH80","M5WH80")</f>
        <v>M5WH80</v>
      </c>
      <c r="D10807" s="2" t="s">
        <v>728</v>
      </c>
      <c r="E10807" s="3">
        <v>0</v>
      </c>
      <c r="F10807" s="2">
        <v>2024</v>
      </c>
      <c r="G10807" s="2">
        <v>100</v>
      </c>
      <c r="H10807" s="2">
        <v>379</v>
      </c>
      <c r="I10807" s="2">
        <v>312</v>
      </c>
      <c r="J10807" s="2">
        <v>1448</v>
      </c>
      <c r="K10807" s="2">
        <v>1</v>
      </c>
      <c r="L10807" s="2">
        <v>379</v>
      </c>
    </row>
    <row r="10808" spans="1:12" x14ac:dyDescent="0.25">
      <c r="A10808" s="4" t="str">
        <f>HYPERLINK("http://www.rosaceae.org/Prunus/Prunus_persica/p.persica_gdr_reftransV1_0046099","p.persica_gdr_reftransV1_0046099")</f>
        <v>p.persica_gdr_reftransV1_0046099</v>
      </c>
      <c r="B10808" s="2">
        <v>1501</v>
      </c>
      <c r="C10808" s="4" t="str">
        <f>HYPERLINK("http://www.uniprot.org/uniprot/M5WFX9","M5WFX9")</f>
        <v>M5WFX9</v>
      </c>
      <c r="D10808" s="2" t="s">
        <v>9217</v>
      </c>
      <c r="E10808" s="3">
        <v>0</v>
      </c>
      <c r="F10808" s="2">
        <v>1617</v>
      </c>
      <c r="G10808" s="2">
        <v>100</v>
      </c>
      <c r="H10808" s="2">
        <v>351</v>
      </c>
      <c r="I10808" s="2">
        <v>286</v>
      </c>
      <c r="J10808" s="2">
        <v>1338</v>
      </c>
      <c r="K10808" s="2">
        <v>1</v>
      </c>
      <c r="L10808" s="2">
        <v>351</v>
      </c>
    </row>
    <row r="10809" spans="1:12" x14ac:dyDescent="0.25">
      <c r="A10809" s="4" t="str">
        <f>HYPERLINK("http://www.rosaceae.org/Prunus/Prunus_persica/p.persica_gdr_reftransV1_0046449","p.persica_gdr_reftransV1_0046449")</f>
        <v>p.persica_gdr_reftransV1_0046449</v>
      </c>
      <c r="B10809" s="2">
        <v>2421</v>
      </c>
      <c r="C10809" s="4" t="str">
        <f>HYPERLINK("http://www.uniprot.org/uniprot/M5Y254","M5Y254")</f>
        <v>M5Y254</v>
      </c>
      <c r="D10809" s="2" t="s">
        <v>9218</v>
      </c>
      <c r="E10809" s="3">
        <v>0</v>
      </c>
      <c r="F10809" s="2">
        <v>3123</v>
      </c>
      <c r="G10809" s="2">
        <v>100</v>
      </c>
      <c r="H10809" s="2">
        <v>624</v>
      </c>
      <c r="I10809" s="2">
        <v>312</v>
      </c>
      <c r="J10809" s="2">
        <v>2183</v>
      </c>
      <c r="K10809" s="2">
        <v>1</v>
      </c>
      <c r="L10809" s="2">
        <v>624</v>
      </c>
    </row>
    <row r="10810" spans="1:12" x14ac:dyDescent="0.25">
      <c r="A10810" s="4" t="str">
        <f>HYPERLINK("http://www.rosaceae.org/Prunus/Prunus_persica/p.persica_gdr_reftransV1_0046799","p.persica_gdr_reftransV1_0046799")</f>
        <v>p.persica_gdr_reftransV1_0046799</v>
      </c>
      <c r="B10810" s="2">
        <v>1436</v>
      </c>
      <c r="C10810" s="4" t="str">
        <f>HYPERLINK("http://www.uniprot.org/uniprot/M5WQQ7","M5WQQ7")</f>
        <v>M5WQQ7</v>
      </c>
      <c r="D10810" s="2" t="s">
        <v>9219</v>
      </c>
      <c r="E10810" s="3">
        <v>0</v>
      </c>
      <c r="F10810" s="2">
        <v>1713</v>
      </c>
      <c r="G10810" s="2">
        <v>100</v>
      </c>
      <c r="H10810" s="2">
        <v>324</v>
      </c>
      <c r="I10810" s="2">
        <v>464</v>
      </c>
      <c r="J10810" s="2">
        <v>1435</v>
      </c>
      <c r="K10810" s="2">
        <v>1</v>
      </c>
      <c r="L10810" s="2">
        <v>324</v>
      </c>
    </row>
    <row r="10811" spans="1:12" x14ac:dyDescent="0.25">
      <c r="A10811" s="4" t="str">
        <f>HYPERLINK("http://www.rosaceae.org/Prunus/Prunus_persica/p.persica_gdr_reftransV1_0047149","p.persica_gdr_reftransV1_0047149")</f>
        <v>p.persica_gdr_reftransV1_0047149</v>
      </c>
      <c r="B10811" s="2">
        <v>723</v>
      </c>
      <c r="C10811" s="4" t="str">
        <f>HYPERLINK("http://www.uniprot.org/uniprot/M5WGY2","M5WGY2")</f>
        <v>M5WGY2</v>
      </c>
      <c r="D10811" s="2" t="s">
        <v>2494</v>
      </c>
      <c r="E10811" s="3">
        <v>1.87E-138</v>
      </c>
      <c r="F10811" s="2">
        <v>1055</v>
      </c>
      <c r="G10811" s="2">
        <v>99</v>
      </c>
      <c r="H10811" s="2">
        <v>226</v>
      </c>
      <c r="I10811" s="2">
        <v>33</v>
      </c>
      <c r="J10811" s="2">
        <v>710</v>
      </c>
      <c r="K10811" s="2">
        <v>291</v>
      </c>
      <c r="L10811" s="2">
        <v>516</v>
      </c>
    </row>
    <row r="10812" spans="1:12" x14ac:dyDescent="0.25">
      <c r="A10812" s="4" t="str">
        <f>HYPERLINK("http://www.rosaceae.org/Prunus/Prunus_persica/p.persica_gdr_reftransV1_0047499","p.persica_gdr_reftransV1_0047499")</f>
        <v>p.persica_gdr_reftransV1_0047499</v>
      </c>
      <c r="B10812" s="2">
        <v>1475</v>
      </c>
      <c r="C10812" s="4" t="str">
        <f>HYPERLINK("http://www.uniprot.org/uniprot/M5WBT6","M5WBT6")</f>
        <v>M5WBT6</v>
      </c>
      <c r="D10812" s="2" t="s">
        <v>9220</v>
      </c>
      <c r="E10812" s="3">
        <v>0</v>
      </c>
      <c r="F10812" s="2">
        <v>1371</v>
      </c>
      <c r="G10812" s="2">
        <v>100</v>
      </c>
      <c r="H10812" s="2">
        <v>328</v>
      </c>
      <c r="I10812" s="2">
        <v>146</v>
      </c>
      <c r="J10812" s="2">
        <v>1129</v>
      </c>
      <c r="K10812" s="2">
        <v>1</v>
      </c>
      <c r="L10812" s="2">
        <v>328</v>
      </c>
    </row>
    <row r="10813" spans="1:12" x14ac:dyDescent="0.25">
      <c r="A10813" s="4" t="str">
        <f>HYPERLINK("http://www.rosaceae.org/Prunus/Prunus_persica/p.persica_gdr_reftransV1_0047849","p.persica_gdr_reftransV1_0047849")</f>
        <v>p.persica_gdr_reftransV1_0047849</v>
      </c>
      <c r="B10813" s="2">
        <v>1074</v>
      </c>
      <c r="C10813" s="4" t="str">
        <f>HYPERLINK("http://www.uniprot.org/uniprot/M5XMW3","M5XMW3")</f>
        <v>M5XMW3</v>
      </c>
      <c r="D10813" s="2" t="s">
        <v>4496</v>
      </c>
      <c r="E10813" s="3">
        <v>1.5399999999999999E-167</v>
      </c>
      <c r="F10813" s="2">
        <v>1237</v>
      </c>
      <c r="G10813" s="2">
        <v>86</v>
      </c>
      <c r="H10813" s="2">
        <v>289</v>
      </c>
      <c r="I10813" s="2">
        <v>213</v>
      </c>
      <c r="J10813" s="2">
        <v>1073</v>
      </c>
      <c r="K10813" s="2">
        <v>1</v>
      </c>
      <c r="L10813" s="2">
        <v>272</v>
      </c>
    </row>
    <row r="10814" spans="1:12" x14ac:dyDescent="0.25">
      <c r="A10814" s="4" t="str">
        <f>HYPERLINK("http://www.rosaceae.org/Prunus/Prunus_persica/p.persica_gdr_reftransV1_0048199","p.persica_gdr_reftransV1_0048199")</f>
        <v>p.persica_gdr_reftransV1_0048199</v>
      </c>
      <c r="B10814" s="2">
        <v>2294</v>
      </c>
      <c r="C10814" s="4" t="str">
        <f>HYPERLINK("http://www.uniprot.org/uniprot/M5XU94","M5XU94")</f>
        <v>M5XU94</v>
      </c>
      <c r="D10814" s="2" t="s">
        <v>740</v>
      </c>
      <c r="E10814" s="3">
        <v>0</v>
      </c>
      <c r="F10814" s="2">
        <v>3401</v>
      </c>
      <c r="G10814" s="2">
        <v>96</v>
      </c>
      <c r="H10814" s="2">
        <v>764</v>
      </c>
      <c r="I10814" s="2">
        <v>1</v>
      </c>
      <c r="J10814" s="2">
        <v>2292</v>
      </c>
      <c r="K10814" s="2">
        <v>478</v>
      </c>
      <c r="L10814" s="2">
        <v>1240</v>
      </c>
    </row>
    <row r="10815" spans="1:12" x14ac:dyDescent="0.25">
      <c r="A10815" s="4" t="str">
        <f>HYPERLINK("http://www.rosaceae.org/Prunus/Prunus_persica/p.persica_gdr_reftransV1_0048549","p.persica_gdr_reftransV1_0048549")</f>
        <v>p.persica_gdr_reftransV1_0048549</v>
      </c>
      <c r="B10815" s="2">
        <v>2788</v>
      </c>
      <c r="C10815" s="4" t="str">
        <f>HYPERLINK("http://www.uniprot.org/uniprot/M5WJ73","M5WJ73")</f>
        <v>M5WJ73</v>
      </c>
      <c r="D10815" s="2" t="s">
        <v>9221</v>
      </c>
      <c r="E10815" s="3">
        <v>0</v>
      </c>
      <c r="F10815" s="2">
        <v>4284</v>
      </c>
      <c r="G10815" s="2">
        <v>100</v>
      </c>
      <c r="H10815" s="2">
        <v>809</v>
      </c>
      <c r="I10815" s="2">
        <v>157</v>
      </c>
      <c r="J10815" s="2">
        <v>2583</v>
      </c>
      <c r="K10815" s="2">
        <v>1</v>
      </c>
      <c r="L10815" s="2">
        <v>809</v>
      </c>
    </row>
    <row r="10816" spans="1:12" x14ac:dyDescent="0.25">
      <c r="A10816" s="4" t="str">
        <f>HYPERLINK("http://www.rosaceae.org/Prunus/Prunus_persica/p.persica_gdr_reftransV1_0048899","p.persica_gdr_reftransV1_0048899")</f>
        <v>p.persica_gdr_reftransV1_0048899</v>
      </c>
      <c r="B10816" s="2">
        <v>469</v>
      </c>
      <c r="C10816" s="4" t="str">
        <f>HYPERLINK("http://www.uniprot.org/uniprot/D7UDE0","D7UDE0")</f>
        <v>D7UDE0</v>
      </c>
      <c r="D10816" s="2" t="s">
        <v>9222</v>
      </c>
      <c r="E10816" s="3">
        <v>5.9499999999999997E-80</v>
      </c>
      <c r="F10816" s="2">
        <v>671</v>
      </c>
      <c r="G10816" s="2">
        <v>76</v>
      </c>
      <c r="H10816" s="2">
        <v>156</v>
      </c>
      <c r="I10816" s="2">
        <v>2</v>
      </c>
      <c r="J10816" s="2">
        <v>469</v>
      </c>
      <c r="K10816" s="2">
        <v>206</v>
      </c>
      <c r="L10816" s="2">
        <v>361</v>
      </c>
    </row>
    <row r="10817" spans="1:12" x14ac:dyDescent="0.25">
      <c r="A10817" s="4" t="str">
        <f>HYPERLINK("http://www.rosaceae.org/Prunus/Prunus_persica/p.persica_gdr_reftransV1_0000600","p.persica_gdr_reftransV1_0000600")</f>
        <v>p.persica_gdr_reftransV1_0000600</v>
      </c>
      <c r="B10817" s="2">
        <v>1394</v>
      </c>
      <c r="C10817" s="4" t="str">
        <f>HYPERLINK("http://www.uniprot.org/uniprot/M5XU49","M5XU49")</f>
        <v>M5XU49</v>
      </c>
      <c r="D10817" s="2" t="s">
        <v>6933</v>
      </c>
      <c r="E10817" s="3">
        <v>2.8699999999999999E-130</v>
      </c>
      <c r="F10817" s="2">
        <v>996</v>
      </c>
      <c r="G10817" s="2">
        <v>100</v>
      </c>
      <c r="H10817" s="2">
        <v>221</v>
      </c>
      <c r="I10817" s="2">
        <v>568</v>
      </c>
      <c r="J10817" s="2">
        <v>1230</v>
      </c>
      <c r="K10817" s="2">
        <v>1</v>
      </c>
      <c r="L10817" s="2">
        <v>221</v>
      </c>
    </row>
    <row r="10818" spans="1:12" x14ac:dyDescent="0.25">
      <c r="A10818" s="4" t="str">
        <f>HYPERLINK("http://www.rosaceae.org/Prunus/Prunus_persica/p.persica_gdr_reftransV1_0000950","p.persica_gdr_reftransV1_0000950")</f>
        <v>p.persica_gdr_reftransV1_0000950</v>
      </c>
      <c r="B10818" s="2">
        <v>992</v>
      </c>
      <c r="C10818" s="4" t="str">
        <f>HYPERLINK("http://www.uniprot.org/uniprot/M5VMN9","M5VMN9")</f>
        <v>M5VMN9</v>
      </c>
      <c r="D10818" s="2" t="s">
        <v>5572</v>
      </c>
      <c r="E10818" s="3">
        <v>5.8100000000000002E-144</v>
      </c>
      <c r="F10818" s="2">
        <v>1074</v>
      </c>
      <c r="G10818" s="2">
        <v>100</v>
      </c>
      <c r="H10818" s="2">
        <v>234</v>
      </c>
      <c r="I10818" s="2">
        <v>136</v>
      </c>
      <c r="J10818" s="2">
        <v>837</v>
      </c>
      <c r="K10818" s="2">
        <v>1</v>
      </c>
      <c r="L10818" s="2">
        <v>234</v>
      </c>
    </row>
    <row r="10819" spans="1:12" x14ac:dyDescent="0.25">
      <c r="A10819" s="4" t="str">
        <f>HYPERLINK("http://www.rosaceae.org/Prunus/Prunus_persica/p.persica_gdr_reftransV1_0001650","p.persica_gdr_reftransV1_0001650")</f>
        <v>p.persica_gdr_reftransV1_0001650</v>
      </c>
      <c r="B10819" s="2">
        <v>368</v>
      </c>
      <c r="C10819" s="4" t="str">
        <f>HYPERLINK("http://www.uniprot.org/uniprot/A0FK20","A0FK20")</f>
        <v>A0FK20</v>
      </c>
      <c r="D10819" s="2" t="s">
        <v>9223</v>
      </c>
      <c r="E10819" s="3">
        <v>1.6300000000000001E-35</v>
      </c>
      <c r="F10819" s="2">
        <v>342</v>
      </c>
      <c r="G10819" s="2">
        <v>75</v>
      </c>
      <c r="H10819" s="2">
        <v>95</v>
      </c>
      <c r="I10819" s="2">
        <v>1</v>
      </c>
      <c r="J10819" s="2">
        <v>285</v>
      </c>
      <c r="K10819" s="2">
        <v>1</v>
      </c>
      <c r="L10819" s="2">
        <v>79</v>
      </c>
    </row>
    <row r="10820" spans="1:12" x14ac:dyDescent="0.25">
      <c r="A10820" s="4" t="str">
        <f>HYPERLINK("http://www.rosaceae.org/Prunus/Prunus_persica/p.persica_gdr_reftransV1_0002350","p.persica_gdr_reftransV1_0002350")</f>
        <v>p.persica_gdr_reftransV1_0002350</v>
      </c>
      <c r="B10820" s="2">
        <v>1166</v>
      </c>
      <c r="C10820" s="4" t="str">
        <f>HYPERLINK("http://www.uniprot.org/uniprot/M5XLY0","M5XLY0")</f>
        <v>M5XLY0</v>
      </c>
      <c r="D10820" s="2" t="s">
        <v>9224</v>
      </c>
      <c r="E10820" s="3">
        <v>2.51E-127</v>
      </c>
      <c r="F10820" s="2">
        <v>966</v>
      </c>
      <c r="G10820" s="2">
        <v>100</v>
      </c>
      <c r="H10820" s="2">
        <v>190</v>
      </c>
      <c r="I10820" s="2">
        <v>158</v>
      </c>
      <c r="J10820" s="2">
        <v>727</v>
      </c>
      <c r="K10820" s="2">
        <v>1</v>
      </c>
      <c r="L10820" s="2">
        <v>190</v>
      </c>
    </row>
    <row r="10821" spans="1:12" x14ac:dyDescent="0.25">
      <c r="A10821" s="4" t="str">
        <f>HYPERLINK("http://www.rosaceae.org/Prunus/Prunus_persica/p.persica_gdr_reftransV1_0002700","p.persica_gdr_reftransV1_0002700")</f>
        <v>p.persica_gdr_reftransV1_0002700</v>
      </c>
      <c r="B10821" s="2">
        <v>802</v>
      </c>
      <c r="C10821" s="4" t="str">
        <f>HYPERLINK("http://www.uniprot.org/uniprot/M5XZ97","M5XZ97")</f>
        <v>M5XZ97</v>
      </c>
      <c r="D10821" s="2" t="s">
        <v>5561</v>
      </c>
      <c r="E10821" s="3">
        <v>8.5600000000000002E-92</v>
      </c>
      <c r="F10821" s="2">
        <v>714</v>
      </c>
      <c r="G10821" s="2">
        <v>100</v>
      </c>
      <c r="H10821" s="2">
        <v>136</v>
      </c>
      <c r="I10821" s="2">
        <v>177</v>
      </c>
      <c r="J10821" s="2">
        <v>584</v>
      </c>
      <c r="K10821" s="2">
        <v>1</v>
      </c>
      <c r="L10821" s="2">
        <v>136</v>
      </c>
    </row>
    <row r="10822" spans="1:12" x14ac:dyDescent="0.25">
      <c r="A10822" s="4" t="str">
        <f>HYPERLINK("http://www.rosaceae.org/Prunus/Prunus_persica/p.persica_gdr_reftransV1_0003050","p.persica_gdr_reftransV1_0003050")</f>
        <v>p.persica_gdr_reftransV1_0003050</v>
      </c>
      <c r="B10822" s="2">
        <v>571</v>
      </c>
      <c r="C10822" s="4" t="str">
        <f>HYPERLINK("http://www.uniprot.org/uniprot/M5XXW3","M5XXW3")</f>
        <v>M5XXW3</v>
      </c>
      <c r="D10822" s="2" t="s">
        <v>9225</v>
      </c>
      <c r="E10822" s="3">
        <v>1.03E-86</v>
      </c>
      <c r="F10822" s="2">
        <v>732</v>
      </c>
      <c r="G10822" s="2">
        <v>100</v>
      </c>
      <c r="H10822" s="2">
        <v>190</v>
      </c>
      <c r="I10822" s="2">
        <v>1</v>
      </c>
      <c r="J10822" s="2">
        <v>570</v>
      </c>
      <c r="K10822" s="2">
        <v>18</v>
      </c>
      <c r="L10822" s="2">
        <v>207</v>
      </c>
    </row>
    <row r="10823" spans="1:12" x14ac:dyDescent="0.25">
      <c r="A10823" s="4" t="str">
        <f>HYPERLINK("http://www.rosaceae.org/Prunus/Prunus_persica/p.persica_gdr_reftransV1_0004100","p.persica_gdr_reftransV1_0004100")</f>
        <v>p.persica_gdr_reftransV1_0004100</v>
      </c>
      <c r="B10823" s="2">
        <v>340</v>
      </c>
      <c r="C10823" s="4" t="str">
        <f>HYPERLINK("http://www.uniprot.org/uniprot/M5W2K0","M5W2K0")</f>
        <v>M5W2K0</v>
      </c>
      <c r="D10823" s="2" t="s">
        <v>3309</v>
      </c>
      <c r="E10823" s="3">
        <v>1.41E-58</v>
      </c>
      <c r="F10823" s="2">
        <v>473</v>
      </c>
      <c r="G10823" s="2">
        <v>99</v>
      </c>
      <c r="H10823" s="2">
        <v>89</v>
      </c>
      <c r="I10823" s="2">
        <v>6</v>
      </c>
      <c r="J10823" s="2">
        <v>272</v>
      </c>
      <c r="K10823" s="2">
        <v>1</v>
      </c>
      <c r="L10823" s="2">
        <v>89</v>
      </c>
    </row>
    <row r="10824" spans="1:12" x14ac:dyDescent="0.25">
      <c r="A10824" s="4" t="str">
        <f>HYPERLINK("http://www.rosaceae.org/Prunus/Prunus_persica/p.persica_gdr_reftransV1_0004450","p.persica_gdr_reftransV1_0004450")</f>
        <v>p.persica_gdr_reftransV1_0004450</v>
      </c>
      <c r="B10824" s="2">
        <v>802</v>
      </c>
      <c r="C10824" s="4" t="str">
        <f>HYPERLINK("http://www.uniprot.org/uniprot/M5VQ09","M5VQ09")</f>
        <v>M5VQ09</v>
      </c>
      <c r="D10824" s="2" t="s">
        <v>9226</v>
      </c>
      <c r="E10824" s="3">
        <v>5.9299999999999999E-103</v>
      </c>
      <c r="F10824" s="2">
        <v>789</v>
      </c>
      <c r="G10824" s="2">
        <v>98</v>
      </c>
      <c r="H10824" s="2">
        <v>153</v>
      </c>
      <c r="I10824" s="2">
        <v>318</v>
      </c>
      <c r="J10824" s="2">
        <v>776</v>
      </c>
      <c r="K10824" s="2">
        <v>1</v>
      </c>
      <c r="L10824" s="2">
        <v>153</v>
      </c>
    </row>
    <row r="10825" spans="1:12" x14ac:dyDescent="0.25">
      <c r="A10825" s="4" t="str">
        <f>HYPERLINK("http://www.rosaceae.org/Prunus/Prunus_persica/p.persica_gdr_reftransV1_0005500","p.persica_gdr_reftransV1_0005500")</f>
        <v>p.persica_gdr_reftransV1_0005500</v>
      </c>
      <c r="B10825" s="2">
        <v>2554</v>
      </c>
      <c r="C10825" s="4" t="str">
        <f>HYPERLINK("http://www.uniprot.org/uniprot/M5WMT2","M5WMT2")</f>
        <v>M5WMT2</v>
      </c>
      <c r="D10825" s="2" t="s">
        <v>9227</v>
      </c>
      <c r="E10825" s="3">
        <v>0</v>
      </c>
      <c r="F10825" s="2">
        <v>1610</v>
      </c>
      <c r="G10825" s="2">
        <v>88</v>
      </c>
      <c r="H10825" s="2">
        <v>351</v>
      </c>
      <c r="I10825" s="2">
        <v>196</v>
      </c>
      <c r="J10825" s="2">
        <v>1248</v>
      </c>
      <c r="K10825" s="2">
        <v>232</v>
      </c>
      <c r="L10825" s="2">
        <v>541</v>
      </c>
    </row>
    <row r="10826" spans="1:12" x14ac:dyDescent="0.25">
      <c r="A10826" s="4" t="str">
        <f>HYPERLINK("http://www.rosaceae.org/Prunus/Prunus_persica/p.persica_gdr_reftransV1_0006200","p.persica_gdr_reftransV1_0006200")</f>
        <v>p.persica_gdr_reftransV1_0006200</v>
      </c>
      <c r="B10826" s="2">
        <v>852</v>
      </c>
      <c r="C10826" s="4" t="str">
        <f>HYPERLINK("http://www.uniprot.org/uniprot/M5W237","M5W237")</f>
        <v>M5W237</v>
      </c>
      <c r="D10826" s="2" t="s">
        <v>9228</v>
      </c>
      <c r="E10826" s="3">
        <v>5.3599999999999999E-111</v>
      </c>
      <c r="F10826" s="2">
        <v>845</v>
      </c>
      <c r="G10826" s="2">
        <v>100</v>
      </c>
      <c r="H10826" s="2">
        <v>158</v>
      </c>
      <c r="I10826" s="2">
        <v>213</v>
      </c>
      <c r="J10826" s="2">
        <v>686</v>
      </c>
      <c r="K10826" s="2">
        <v>8</v>
      </c>
      <c r="L10826" s="2">
        <v>165</v>
      </c>
    </row>
    <row r="10827" spans="1:12" x14ac:dyDescent="0.25">
      <c r="A10827" s="4" t="str">
        <f>HYPERLINK("http://www.rosaceae.org/Prunus/Prunus_persica/p.persica_gdr_reftransV1_0006550","p.persica_gdr_reftransV1_0006550")</f>
        <v>p.persica_gdr_reftransV1_0006550</v>
      </c>
      <c r="B10827" s="2">
        <v>340</v>
      </c>
      <c r="C10827" s="4" t="str">
        <f>HYPERLINK("http://www.uniprot.org/uniprot/M5WZX8","M5WZX8")</f>
        <v>M5WZX8</v>
      </c>
      <c r="D10827" s="2" t="s">
        <v>9229</v>
      </c>
      <c r="E10827" s="3">
        <v>2.0800000000000001E-73</v>
      </c>
      <c r="F10827" s="2">
        <v>616</v>
      </c>
      <c r="G10827" s="2">
        <v>100</v>
      </c>
      <c r="H10827" s="2">
        <v>113</v>
      </c>
      <c r="I10827" s="2">
        <v>2</v>
      </c>
      <c r="J10827" s="2">
        <v>340</v>
      </c>
      <c r="K10827" s="2">
        <v>119</v>
      </c>
      <c r="L10827" s="2">
        <v>231</v>
      </c>
    </row>
    <row r="10828" spans="1:12" x14ac:dyDescent="0.25">
      <c r="A10828" s="4" t="str">
        <f>HYPERLINK("http://www.rosaceae.org/Prunus/Prunus_persica/p.persica_gdr_reftransV1_0006900","p.persica_gdr_reftransV1_0006900")</f>
        <v>p.persica_gdr_reftransV1_0006900</v>
      </c>
      <c r="B10828" s="2">
        <v>444</v>
      </c>
      <c r="C10828" s="4" t="str">
        <f>HYPERLINK("http://www.uniprot.org/uniprot/U5GUH4","U5GUH4")</f>
        <v>U5GUH4</v>
      </c>
      <c r="D10828" s="2" t="s">
        <v>9230</v>
      </c>
      <c r="E10828" s="3">
        <v>5.8099999999999997E-16</v>
      </c>
      <c r="F10828" s="2">
        <v>193</v>
      </c>
      <c r="G10828" s="2">
        <v>59</v>
      </c>
      <c r="H10828" s="2">
        <v>93</v>
      </c>
      <c r="I10828" s="2">
        <v>137</v>
      </c>
      <c r="J10828" s="2">
        <v>409</v>
      </c>
      <c r="K10828" s="2">
        <v>20</v>
      </c>
      <c r="L10828" s="2">
        <v>109</v>
      </c>
    </row>
    <row r="10829" spans="1:12" x14ac:dyDescent="0.25">
      <c r="A10829" s="4" t="str">
        <f>HYPERLINK("http://www.rosaceae.org/Prunus/Prunus_persica/p.persica_gdr_reftransV1_0007600","p.persica_gdr_reftransV1_0007600")</f>
        <v>p.persica_gdr_reftransV1_0007600</v>
      </c>
      <c r="B10829" s="2">
        <v>2123</v>
      </c>
      <c r="C10829" s="4" t="str">
        <f>HYPERLINK("http://www.uniprot.org/uniprot/M5W4G1","M5W4G1")</f>
        <v>M5W4G1</v>
      </c>
      <c r="D10829" s="2" t="s">
        <v>9231</v>
      </c>
      <c r="E10829" s="3">
        <v>0</v>
      </c>
      <c r="F10829" s="2">
        <v>1913</v>
      </c>
      <c r="G10829" s="2">
        <v>100</v>
      </c>
      <c r="H10829" s="2">
        <v>377</v>
      </c>
      <c r="I10829" s="2">
        <v>370</v>
      </c>
      <c r="J10829" s="2">
        <v>1500</v>
      </c>
      <c r="K10829" s="2">
        <v>100</v>
      </c>
      <c r="L10829" s="2">
        <v>476</v>
      </c>
    </row>
    <row r="10830" spans="1:12" x14ac:dyDescent="0.25">
      <c r="A10830" s="4" t="str">
        <f>HYPERLINK("http://www.rosaceae.org/Prunus/Prunus_persica/p.persica_gdr_reftransV1_0007950","p.persica_gdr_reftransV1_0007950")</f>
        <v>p.persica_gdr_reftransV1_0007950</v>
      </c>
      <c r="B10830" s="2">
        <v>1180</v>
      </c>
      <c r="C10830" s="4" t="str">
        <f>HYPERLINK("http://www.uniprot.org/uniprot/M5VQE4","M5VQE4")</f>
        <v>M5VQE4</v>
      </c>
      <c r="D10830" s="2" t="s">
        <v>9232</v>
      </c>
      <c r="E10830" s="3">
        <v>0</v>
      </c>
      <c r="F10830" s="2">
        <v>1510</v>
      </c>
      <c r="G10830" s="2">
        <v>100</v>
      </c>
      <c r="H10830" s="2">
        <v>298</v>
      </c>
      <c r="I10830" s="2">
        <v>194</v>
      </c>
      <c r="J10830" s="2">
        <v>1087</v>
      </c>
      <c r="K10830" s="2">
        <v>19</v>
      </c>
      <c r="L10830" s="2">
        <v>316</v>
      </c>
    </row>
    <row r="10831" spans="1:12" x14ac:dyDescent="0.25">
      <c r="A10831" s="4" t="str">
        <f>HYPERLINK("http://www.rosaceae.org/Prunus/Prunus_persica/p.persica_gdr_reftransV1_0008300","p.persica_gdr_reftransV1_0008300")</f>
        <v>p.persica_gdr_reftransV1_0008300</v>
      </c>
      <c r="B10831" s="2">
        <v>1297</v>
      </c>
      <c r="C10831" s="4" t="str">
        <f>HYPERLINK("http://www.uniprot.org/uniprot/M5X1D6","M5X1D6")</f>
        <v>M5X1D6</v>
      </c>
      <c r="D10831" s="2" t="s">
        <v>9233</v>
      </c>
      <c r="E10831" s="3">
        <v>1.0100000000000001E-174</v>
      </c>
      <c r="F10831" s="2">
        <v>1296</v>
      </c>
      <c r="G10831" s="2">
        <v>100</v>
      </c>
      <c r="H10831" s="2">
        <v>303</v>
      </c>
      <c r="I10831" s="2">
        <v>117</v>
      </c>
      <c r="J10831" s="2">
        <v>1025</v>
      </c>
      <c r="K10831" s="2">
        <v>17</v>
      </c>
      <c r="L10831" s="2">
        <v>319</v>
      </c>
    </row>
    <row r="10832" spans="1:12" x14ac:dyDescent="0.25">
      <c r="A10832" s="4" t="str">
        <f>HYPERLINK("http://www.rosaceae.org/Prunus/Prunus_persica/p.persica_gdr_reftransV1_0008650","p.persica_gdr_reftransV1_0008650")</f>
        <v>p.persica_gdr_reftransV1_0008650</v>
      </c>
      <c r="B10832" s="2">
        <v>1912</v>
      </c>
      <c r="C10832" s="4" t="str">
        <f>HYPERLINK("http://www.uniprot.org/uniprot/M5X427","M5X427")</f>
        <v>M5X427</v>
      </c>
      <c r="D10832" s="2" t="s">
        <v>9234</v>
      </c>
      <c r="E10832" s="3">
        <v>2.4400000000000002E-106</v>
      </c>
      <c r="F10832" s="2">
        <v>846</v>
      </c>
      <c r="G10832" s="2">
        <v>100</v>
      </c>
      <c r="H10832" s="2">
        <v>163</v>
      </c>
      <c r="I10832" s="2">
        <v>120</v>
      </c>
      <c r="J10832" s="2">
        <v>608</v>
      </c>
      <c r="K10832" s="2">
        <v>1</v>
      </c>
      <c r="L10832" s="2">
        <v>163</v>
      </c>
    </row>
    <row r="10833" spans="1:12" x14ac:dyDescent="0.25">
      <c r="A10833" s="4" t="str">
        <f>HYPERLINK("http://www.rosaceae.org/Prunus/Prunus_persica/p.persica_gdr_reftransV1_0009000","p.persica_gdr_reftransV1_0009000")</f>
        <v>p.persica_gdr_reftransV1_0009000</v>
      </c>
      <c r="B10833" s="2">
        <v>831</v>
      </c>
      <c r="C10833" s="4" t="str">
        <f>HYPERLINK("http://www.uniprot.org/uniprot/M5W6U9","M5W6U9")</f>
        <v>M5W6U9</v>
      </c>
      <c r="D10833" s="2" t="s">
        <v>2949</v>
      </c>
      <c r="E10833" s="3">
        <v>8.1299999999999994E-90</v>
      </c>
      <c r="F10833" s="2">
        <v>747</v>
      </c>
      <c r="G10833" s="2">
        <v>100</v>
      </c>
      <c r="H10833" s="2">
        <v>161</v>
      </c>
      <c r="I10833" s="2">
        <v>1</v>
      </c>
      <c r="J10833" s="2">
        <v>483</v>
      </c>
      <c r="K10833" s="2">
        <v>535</v>
      </c>
      <c r="L10833" s="2">
        <v>695</v>
      </c>
    </row>
    <row r="10834" spans="1:12" x14ac:dyDescent="0.25">
      <c r="A10834" s="4" t="str">
        <f>HYPERLINK("http://www.rosaceae.org/Prunus/Prunus_persica/p.persica_gdr_reftransV1_0009350","p.persica_gdr_reftransV1_0009350")</f>
        <v>p.persica_gdr_reftransV1_0009350</v>
      </c>
      <c r="B10834" s="2">
        <v>614</v>
      </c>
      <c r="C10834" s="4" t="str">
        <f>HYPERLINK("http://www.uniprot.org/uniprot/M5XRK3","M5XRK3")</f>
        <v>M5XRK3</v>
      </c>
      <c r="D10834" s="2" t="s">
        <v>9235</v>
      </c>
      <c r="E10834" s="3">
        <v>1.7099999999999999E-80</v>
      </c>
      <c r="F10834" s="2">
        <v>652</v>
      </c>
      <c r="G10834" s="2">
        <v>100</v>
      </c>
      <c r="H10834" s="2">
        <v>120</v>
      </c>
      <c r="I10834" s="2">
        <v>255</v>
      </c>
      <c r="J10834" s="2">
        <v>614</v>
      </c>
      <c r="K10834" s="2">
        <v>242</v>
      </c>
      <c r="L10834" s="2">
        <v>361</v>
      </c>
    </row>
    <row r="10835" spans="1:12" x14ac:dyDescent="0.25">
      <c r="A10835" s="4" t="str">
        <f>HYPERLINK("http://www.rosaceae.org/Prunus/Prunus_persica/p.persica_gdr_reftransV1_0009700","p.persica_gdr_reftransV1_0009700")</f>
        <v>p.persica_gdr_reftransV1_0009700</v>
      </c>
      <c r="B10835" s="2">
        <v>2257</v>
      </c>
      <c r="C10835" s="4" t="str">
        <f>HYPERLINK("http://www.uniprot.org/uniprot/M5X1Q7","M5X1Q7")</f>
        <v>M5X1Q7</v>
      </c>
      <c r="D10835" s="2" t="s">
        <v>9236</v>
      </c>
      <c r="E10835" s="3">
        <v>0</v>
      </c>
      <c r="F10835" s="2">
        <v>1596</v>
      </c>
      <c r="G10835" s="2">
        <v>100</v>
      </c>
      <c r="H10835" s="2">
        <v>417</v>
      </c>
      <c r="I10835" s="2">
        <v>302</v>
      </c>
      <c r="J10835" s="2">
        <v>1552</v>
      </c>
      <c r="K10835" s="2">
        <v>1</v>
      </c>
      <c r="L10835" s="2">
        <v>417</v>
      </c>
    </row>
    <row r="10836" spans="1:12" x14ac:dyDescent="0.25">
      <c r="A10836" s="4" t="str">
        <f>HYPERLINK("http://www.rosaceae.org/Prunus/Prunus_persica/p.persica_gdr_reftransV1_0010400","p.persica_gdr_reftransV1_0010400")</f>
        <v>p.persica_gdr_reftransV1_0010400</v>
      </c>
      <c r="B10836" s="2">
        <v>349</v>
      </c>
      <c r="C10836" s="4" t="str">
        <f>HYPERLINK("http://www.uniprot.org/uniprot/M5W449","M5W449")</f>
        <v>M5W449</v>
      </c>
      <c r="D10836" s="2" t="s">
        <v>2729</v>
      </c>
      <c r="E10836" s="3">
        <v>2.84E-24</v>
      </c>
      <c r="F10836" s="2">
        <v>262</v>
      </c>
      <c r="G10836" s="2">
        <v>100</v>
      </c>
      <c r="H10836" s="2">
        <v>81</v>
      </c>
      <c r="I10836" s="2">
        <v>105</v>
      </c>
      <c r="J10836" s="2">
        <v>347</v>
      </c>
      <c r="K10836" s="2">
        <v>1</v>
      </c>
      <c r="L10836" s="2">
        <v>81</v>
      </c>
    </row>
    <row r="10837" spans="1:12" x14ac:dyDescent="0.25">
      <c r="A10837" s="4" t="str">
        <f>HYPERLINK("http://www.rosaceae.org/Prunus/Prunus_persica/p.persica_gdr_reftransV1_0010750","p.persica_gdr_reftransV1_0010750")</f>
        <v>p.persica_gdr_reftransV1_0010750</v>
      </c>
      <c r="B10837" s="2">
        <v>2484</v>
      </c>
      <c r="C10837" s="4" t="str">
        <f>HYPERLINK("http://www.uniprot.org/uniprot/M5WM95","M5WM95")</f>
        <v>M5WM95</v>
      </c>
      <c r="D10837" s="2" t="s">
        <v>9237</v>
      </c>
      <c r="E10837" s="3">
        <v>9.0299999999999998E-149</v>
      </c>
      <c r="F10837" s="2">
        <v>1171</v>
      </c>
      <c r="G10837" s="2">
        <v>100</v>
      </c>
      <c r="H10837" s="2">
        <v>220</v>
      </c>
      <c r="I10837" s="2">
        <v>1675</v>
      </c>
      <c r="J10837" s="2">
        <v>2334</v>
      </c>
      <c r="K10837" s="2">
        <v>1</v>
      </c>
      <c r="L10837" s="2">
        <v>220</v>
      </c>
    </row>
    <row r="10838" spans="1:12" x14ac:dyDescent="0.25">
      <c r="A10838" s="4" t="str">
        <f>HYPERLINK("http://www.rosaceae.org/Prunus/Prunus_persica/p.persica_gdr_reftransV1_0011100","p.persica_gdr_reftransV1_0011100")</f>
        <v>p.persica_gdr_reftransV1_0011100</v>
      </c>
      <c r="B10838" s="2">
        <v>1532</v>
      </c>
      <c r="C10838" s="4" t="str">
        <f>HYPERLINK("http://www.uniprot.org/uniprot/M5XR63","M5XR63")</f>
        <v>M5XR63</v>
      </c>
      <c r="D10838" s="2" t="s">
        <v>4847</v>
      </c>
      <c r="E10838" s="3">
        <v>0</v>
      </c>
      <c r="F10838" s="2">
        <v>2349</v>
      </c>
      <c r="G10838" s="2">
        <v>100</v>
      </c>
      <c r="H10838" s="2">
        <v>434</v>
      </c>
      <c r="I10838" s="2">
        <v>1</v>
      </c>
      <c r="J10838" s="2">
        <v>1302</v>
      </c>
      <c r="K10838" s="2">
        <v>708</v>
      </c>
      <c r="L10838" s="2">
        <v>1141</v>
      </c>
    </row>
    <row r="10839" spans="1:12" x14ac:dyDescent="0.25">
      <c r="A10839" s="4" t="str">
        <f>HYPERLINK("http://www.rosaceae.org/Prunus/Prunus_persica/p.persica_gdr_reftransV1_0011450","p.persica_gdr_reftransV1_0011450")</f>
        <v>p.persica_gdr_reftransV1_0011450</v>
      </c>
      <c r="B10839" s="2">
        <v>2648</v>
      </c>
      <c r="C10839" s="4" t="str">
        <f>HYPERLINK("http://www.uniprot.org/uniprot/M5XBE0","M5XBE0")</f>
        <v>M5XBE0</v>
      </c>
      <c r="D10839" s="2" t="s">
        <v>9238</v>
      </c>
      <c r="E10839" s="3">
        <v>0</v>
      </c>
      <c r="F10839" s="2">
        <v>2663</v>
      </c>
      <c r="G10839" s="2">
        <v>100</v>
      </c>
      <c r="H10839" s="2">
        <v>592</v>
      </c>
      <c r="I10839" s="2">
        <v>432</v>
      </c>
      <c r="J10839" s="2">
        <v>2207</v>
      </c>
      <c r="K10839" s="2">
        <v>38</v>
      </c>
      <c r="L10839" s="2">
        <v>629</v>
      </c>
    </row>
    <row r="10840" spans="1:12" x14ac:dyDescent="0.25">
      <c r="A10840" s="4" t="str">
        <f>HYPERLINK("http://www.rosaceae.org/Prunus/Prunus_persica/p.persica_gdr_reftransV1_0011800","p.persica_gdr_reftransV1_0011800")</f>
        <v>p.persica_gdr_reftransV1_0011800</v>
      </c>
      <c r="B10840" s="2">
        <v>780</v>
      </c>
      <c r="C10840" s="4" t="str">
        <f>HYPERLINK("http://www.uniprot.org/uniprot/M5W1G9","M5W1G9")</f>
        <v>M5W1G9</v>
      </c>
      <c r="D10840" s="2" t="s">
        <v>9239</v>
      </c>
      <c r="E10840" s="3">
        <v>1.75E-114</v>
      </c>
      <c r="F10840" s="2">
        <v>918</v>
      </c>
      <c r="G10840" s="2">
        <v>71</v>
      </c>
      <c r="H10840" s="2">
        <v>254</v>
      </c>
      <c r="I10840" s="2">
        <v>2</v>
      </c>
      <c r="J10840" s="2">
        <v>760</v>
      </c>
      <c r="K10840" s="2">
        <v>516</v>
      </c>
      <c r="L10840" s="2">
        <v>767</v>
      </c>
    </row>
    <row r="10841" spans="1:12" x14ac:dyDescent="0.25">
      <c r="A10841" s="4" t="str">
        <f>HYPERLINK("http://www.rosaceae.org/Prunus/Prunus_persica/p.persica_gdr_reftransV1_0012150","p.persica_gdr_reftransV1_0012150")</f>
        <v>p.persica_gdr_reftransV1_0012150</v>
      </c>
      <c r="B10841" s="2">
        <v>1920</v>
      </c>
      <c r="C10841" s="4" t="str">
        <f>HYPERLINK("http://www.uniprot.org/uniprot/A0A061DYA1","A0A061DYA1")</f>
        <v>A0A061DYA1</v>
      </c>
      <c r="D10841" s="2" t="s">
        <v>9240</v>
      </c>
      <c r="E10841" s="3">
        <v>2.1900000000000001E-156</v>
      </c>
      <c r="F10841" s="2">
        <v>1207</v>
      </c>
      <c r="G10841" s="2">
        <v>64</v>
      </c>
      <c r="H10841" s="2">
        <v>488</v>
      </c>
      <c r="I10841" s="2">
        <v>125</v>
      </c>
      <c r="J10841" s="2">
        <v>1585</v>
      </c>
      <c r="K10841" s="2">
        <v>1</v>
      </c>
      <c r="L10841" s="2">
        <v>425</v>
      </c>
    </row>
    <row r="10842" spans="1:12" x14ac:dyDescent="0.25">
      <c r="A10842" s="4" t="str">
        <f>HYPERLINK("http://www.rosaceae.org/Prunus/Prunus_persica/p.persica_gdr_reftransV1_0012500","p.persica_gdr_reftransV1_0012500")</f>
        <v>p.persica_gdr_reftransV1_0012500</v>
      </c>
      <c r="B10842" s="2">
        <v>2631</v>
      </c>
      <c r="C10842" s="4" t="str">
        <f>HYPERLINK("http://www.uniprot.org/uniprot/M5W951","M5W951")</f>
        <v>M5W951</v>
      </c>
      <c r="D10842" s="2" t="s">
        <v>9241</v>
      </c>
      <c r="E10842" s="3">
        <v>0</v>
      </c>
      <c r="F10842" s="2">
        <v>3355</v>
      </c>
      <c r="G10842" s="2">
        <v>99</v>
      </c>
      <c r="H10842" s="2">
        <v>641</v>
      </c>
      <c r="I10842" s="2">
        <v>255</v>
      </c>
      <c r="J10842" s="2">
        <v>2177</v>
      </c>
      <c r="K10842" s="2">
        <v>1</v>
      </c>
      <c r="L10842" s="2">
        <v>636</v>
      </c>
    </row>
    <row r="10843" spans="1:12" x14ac:dyDescent="0.25">
      <c r="A10843" s="4" t="str">
        <f>HYPERLINK("http://www.rosaceae.org/Prunus/Prunus_persica/p.persica_gdr_reftransV1_0013200","p.persica_gdr_reftransV1_0013200")</f>
        <v>p.persica_gdr_reftransV1_0013200</v>
      </c>
      <c r="B10843" s="2">
        <v>1138</v>
      </c>
      <c r="C10843" s="4" t="str">
        <f>HYPERLINK("http://www.uniprot.org/uniprot/M5VKY5","M5VKY5")</f>
        <v>M5VKY5</v>
      </c>
      <c r="D10843" s="2" t="s">
        <v>9242</v>
      </c>
      <c r="E10843" s="3">
        <v>2.3000000000000002E-78</v>
      </c>
      <c r="F10843" s="2">
        <v>639</v>
      </c>
      <c r="G10843" s="2">
        <v>85</v>
      </c>
      <c r="H10843" s="2">
        <v>160</v>
      </c>
      <c r="I10843" s="2">
        <v>609</v>
      </c>
      <c r="J10843" s="2">
        <v>1088</v>
      </c>
      <c r="K10843" s="2">
        <v>1</v>
      </c>
      <c r="L10843" s="2">
        <v>139</v>
      </c>
    </row>
    <row r="10844" spans="1:12" x14ac:dyDescent="0.25">
      <c r="A10844" s="4" t="str">
        <f>HYPERLINK("http://www.rosaceae.org/Prunus/Prunus_persica/p.persica_gdr_reftransV1_0014250","p.persica_gdr_reftransV1_0014250")</f>
        <v>p.persica_gdr_reftransV1_0014250</v>
      </c>
      <c r="B10844" s="2">
        <v>3138</v>
      </c>
      <c r="C10844" s="4" t="str">
        <f>HYPERLINK("http://www.uniprot.org/uniprot/M5WCU8","M5WCU8")</f>
        <v>M5WCU8</v>
      </c>
      <c r="D10844" s="2" t="s">
        <v>9243</v>
      </c>
      <c r="E10844" s="3">
        <v>0</v>
      </c>
      <c r="F10844" s="2">
        <v>3834</v>
      </c>
      <c r="G10844" s="2">
        <v>100</v>
      </c>
      <c r="H10844" s="2">
        <v>768</v>
      </c>
      <c r="I10844" s="2">
        <v>735</v>
      </c>
      <c r="J10844" s="2">
        <v>3032</v>
      </c>
      <c r="K10844" s="2">
        <v>1</v>
      </c>
      <c r="L10844" s="2">
        <v>768</v>
      </c>
    </row>
    <row r="10845" spans="1:12" x14ac:dyDescent="0.25">
      <c r="A10845" s="4" t="str">
        <f>HYPERLINK("http://www.rosaceae.org/Prunus/Prunus_persica/p.persica_gdr_reftransV1_0016350","p.persica_gdr_reftransV1_0016350")</f>
        <v>p.persica_gdr_reftransV1_0016350</v>
      </c>
      <c r="B10845" s="2">
        <v>3929</v>
      </c>
      <c r="C10845" s="4" t="str">
        <f>HYPERLINK("http://www.uniprot.org/uniprot/M5X762","M5X762")</f>
        <v>M5X762</v>
      </c>
      <c r="D10845" s="2" t="s">
        <v>9244</v>
      </c>
      <c r="E10845" s="3">
        <v>0</v>
      </c>
      <c r="F10845" s="2">
        <v>3120</v>
      </c>
      <c r="G10845" s="2">
        <v>100</v>
      </c>
      <c r="H10845" s="2">
        <v>646</v>
      </c>
      <c r="I10845" s="2">
        <v>1749</v>
      </c>
      <c r="J10845" s="2">
        <v>3686</v>
      </c>
      <c r="K10845" s="2">
        <v>491</v>
      </c>
      <c r="L10845" s="2">
        <v>1136</v>
      </c>
    </row>
    <row r="10846" spans="1:12" x14ac:dyDescent="0.25">
      <c r="A10846" s="4" t="str">
        <f>HYPERLINK("http://www.rosaceae.org/Prunus/Prunus_persica/p.persica_gdr_reftransV1_0017400","p.persica_gdr_reftransV1_0017400")</f>
        <v>p.persica_gdr_reftransV1_0017400</v>
      </c>
      <c r="B10846" s="2">
        <v>1319</v>
      </c>
      <c r="C10846" s="4" t="str">
        <f>HYPERLINK("http://www.uniprot.org/uniprot/M5XG00","M5XG00")</f>
        <v>M5XG00</v>
      </c>
      <c r="D10846" s="2" t="s">
        <v>9245</v>
      </c>
      <c r="E10846" s="3">
        <v>0</v>
      </c>
      <c r="F10846" s="2">
        <v>1412</v>
      </c>
      <c r="G10846" s="2">
        <v>100</v>
      </c>
      <c r="H10846" s="2">
        <v>298</v>
      </c>
      <c r="I10846" s="2">
        <v>48</v>
      </c>
      <c r="J10846" s="2">
        <v>941</v>
      </c>
      <c r="K10846" s="2">
        <v>1</v>
      </c>
      <c r="L10846" s="2">
        <v>298</v>
      </c>
    </row>
    <row r="10847" spans="1:12" x14ac:dyDescent="0.25">
      <c r="A10847" s="4" t="str">
        <f>HYPERLINK("http://www.rosaceae.org/Prunus/Prunus_persica/p.persica_gdr_reftransV1_0019150","p.persica_gdr_reftransV1_0019150")</f>
        <v>p.persica_gdr_reftransV1_0019150</v>
      </c>
      <c r="B10847" s="2">
        <v>965</v>
      </c>
      <c r="C10847" s="4" t="str">
        <f>HYPERLINK("http://www.uniprot.org/uniprot/M5W5A6","M5W5A6")</f>
        <v>M5W5A6</v>
      </c>
      <c r="D10847" s="2" t="s">
        <v>3045</v>
      </c>
      <c r="E10847" s="3">
        <v>5.5900000000000003E-130</v>
      </c>
      <c r="F10847" s="2">
        <v>1011</v>
      </c>
      <c r="G10847" s="2">
        <v>100</v>
      </c>
      <c r="H10847" s="2">
        <v>187</v>
      </c>
      <c r="I10847" s="2">
        <v>404</v>
      </c>
      <c r="J10847" s="2">
        <v>964</v>
      </c>
      <c r="K10847" s="2">
        <v>1</v>
      </c>
      <c r="L10847" s="2">
        <v>187</v>
      </c>
    </row>
    <row r="10848" spans="1:12" x14ac:dyDescent="0.25">
      <c r="A10848" s="4" t="str">
        <f>HYPERLINK("http://www.rosaceae.org/Prunus/Prunus_persica/p.persica_gdr_reftransV1_0019500","p.persica_gdr_reftransV1_0019500")</f>
        <v>p.persica_gdr_reftransV1_0019500</v>
      </c>
      <c r="B10848" s="2">
        <v>943</v>
      </c>
      <c r="C10848" s="4" t="str">
        <f>HYPERLINK("http://www.uniprot.org/uniprot/M5XFL1","M5XFL1")</f>
        <v>M5XFL1</v>
      </c>
      <c r="D10848" s="2" t="s">
        <v>9246</v>
      </c>
      <c r="E10848" s="3">
        <v>2.3800000000000001E-111</v>
      </c>
      <c r="F10848" s="2">
        <v>855</v>
      </c>
      <c r="G10848" s="2">
        <v>100</v>
      </c>
      <c r="H10848" s="2">
        <v>215</v>
      </c>
      <c r="I10848" s="2">
        <v>151</v>
      </c>
      <c r="J10848" s="2">
        <v>795</v>
      </c>
      <c r="K10848" s="2">
        <v>1</v>
      </c>
      <c r="L10848" s="2">
        <v>215</v>
      </c>
    </row>
    <row r="10849" spans="1:12" x14ac:dyDescent="0.25">
      <c r="A10849" s="4" t="str">
        <f>HYPERLINK("http://www.rosaceae.org/Prunus/Prunus_persica/p.persica_gdr_reftransV1_0021250","p.persica_gdr_reftransV1_0021250")</f>
        <v>p.persica_gdr_reftransV1_0021250</v>
      </c>
      <c r="B10849" s="2">
        <v>1143</v>
      </c>
      <c r="C10849" s="4" t="str">
        <f>HYPERLINK("http://www.uniprot.org/uniprot/M5WV67","M5WV67")</f>
        <v>M5WV67</v>
      </c>
      <c r="D10849" s="2" t="s">
        <v>9247</v>
      </c>
      <c r="E10849" s="3">
        <v>6.0499999999999998E-151</v>
      </c>
      <c r="F10849" s="2">
        <v>1124</v>
      </c>
      <c r="G10849" s="2">
        <v>99</v>
      </c>
      <c r="H10849" s="2">
        <v>211</v>
      </c>
      <c r="I10849" s="2">
        <v>261</v>
      </c>
      <c r="J10849" s="2">
        <v>893</v>
      </c>
      <c r="K10849" s="2">
        <v>1</v>
      </c>
      <c r="L10849" s="2">
        <v>211</v>
      </c>
    </row>
    <row r="10850" spans="1:12" x14ac:dyDescent="0.25">
      <c r="A10850" s="4" t="str">
        <f>HYPERLINK("http://www.rosaceae.org/Prunus/Prunus_persica/p.persica_gdr_reftransV1_0022300","p.persica_gdr_reftransV1_0022300")</f>
        <v>p.persica_gdr_reftransV1_0022300</v>
      </c>
      <c r="B10850" s="2">
        <v>2106</v>
      </c>
      <c r="C10850" s="4" t="str">
        <f>HYPERLINK("http://www.uniprot.org/uniprot/M5XXE2","M5XXE2")</f>
        <v>M5XXE2</v>
      </c>
      <c r="D10850" s="2" t="s">
        <v>9248</v>
      </c>
      <c r="E10850" s="3">
        <v>1.69E-129</v>
      </c>
      <c r="F10850" s="2">
        <v>1022</v>
      </c>
      <c r="G10850" s="2">
        <v>100</v>
      </c>
      <c r="H10850" s="2">
        <v>197</v>
      </c>
      <c r="I10850" s="2">
        <v>1126</v>
      </c>
      <c r="J10850" s="2">
        <v>1716</v>
      </c>
      <c r="K10850" s="2">
        <v>56</v>
      </c>
      <c r="L10850" s="2">
        <v>252</v>
      </c>
    </row>
    <row r="10851" spans="1:12" x14ac:dyDescent="0.25">
      <c r="A10851" s="4" t="str">
        <f>HYPERLINK("http://www.rosaceae.org/Prunus/Prunus_persica/p.persica_gdr_reftransV1_0022650","p.persica_gdr_reftransV1_0022650")</f>
        <v>p.persica_gdr_reftransV1_0022650</v>
      </c>
      <c r="B10851" s="2">
        <v>1924</v>
      </c>
      <c r="C10851" s="4" t="str">
        <f>HYPERLINK("http://www.uniprot.org/uniprot/M5XCA1","M5XCA1")</f>
        <v>M5XCA1</v>
      </c>
      <c r="D10851" s="2" t="s">
        <v>9249</v>
      </c>
      <c r="E10851" s="3">
        <v>0</v>
      </c>
      <c r="F10851" s="2">
        <v>2462</v>
      </c>
      <c r="G10851" s="2">
        <v>100</v>
      </c>
      <c r="H10851" s="2">
        <v>481</v>
      </c>
      <c r="I10851" s="2">
        <v>425</v>
      </c>
      <c r="J10851" s="2">
        <v>1867</v>
      </c>
      <c r="K10851" s="2">
        <v>1</v>
      </c>
      <c r="L10851" s="2">
        <v>481</v>
      </c>
    </row>
    <row r="10852" spans="1:12" x14ac:dyDescent="0.25">
      <c r="A10852" s="4" t="str">
        <f>HYPERLINK("http://www.rosaceae.org/Prunus/Prunus_persica/p.persica_gdr_reftransV1_0023350","p.persica_gdr_reftransV1_0023350")</f>
        <v>p.persica_gdr_reftransV1_0023350</v>
      </c>
      <c r="B10852" s="2">
        <v>584</v>
      </c>
      <c r="C10852" s="4" t="str">
        <f>HYPERLINK("http://www.uniprot.org/uniprot/M5X727","M5X727")</f>
        <v>M5X727</v>
      </c>
      <c r="D10852" s="2" t="s">
        <v>9250</v>
      </c>
      <c r="E10852" s="3">
        <v>1.1E-43</v>
      </c>
      <c r="F10852" s="2">
        <v>389</v>
      </c>
      <c r="G10852" s="2">
        <v>100</v>
      </c>
      <c r="H10852" s="2">
        <v>112</v>
      </c>
      <c r="I10852" s="2">
        <v>3</v>
      </c>
      <c r="J10852" s="2">
        <v>338</v>
      </c>
      <c r="K10852" s="2">
        <v>46</v>
      </c>
      <c r="L10852" s="2">
        <v>157</v>
      </c>
    </row>
    <row r="10853" spans="1:12" x14ac:dyDescent="0.25">
      <c r="A10853" s="4" t="str">
        <f>HYPERLINK("http://www.rosaceae.org/Prunus/Prunus_persica/p.persica_gdr_reftransV1_0024400","p.persica_gdr_reftransV1_0024400")</f>
        <v>p.persica_gdr_reftransV1_0024400</v>
      </c>
      <c r="B10853" s="2">
        <v>1581</v>
      </c>
      <c r="C10853" s="4" t="str">
        <f>HYPERLINK("http://www.uniprot.org/uniprot/M5WUI7","M5WUI7")</f>
        <v>M5WUI7</v>
      </c>
      <c r="D10853" s="2" t="s">
        <v>9251</v>
      </c>
      <c r="E10853" s="3">
        <v>0</v>
      </c>
      <c r="F10853" s="2">
        <v>1814</v>
      </c>
      <c r="G10853" s="2">
        <v>96</v>
      </c>
      <c r="H10853" s="2">
        <v>392</v>
      </c>
      <c r="I10853" s="2">
        <v>181</v>
      </c>
      <c r="J10853" s="2">
        <v>1356</v>
      </c>
      <c r="K10853" s="2">
        <v>1</v>
      </c>
      <c r="L10853" s="2">
        <v>377</v>
      </c>
    </row>
    <row r="10854" spans="1:12" x14ac:dyDescent="0.25">
      <c r="A10854" s="4" t="str">
        <f>HYPERLINK("http://www.rosaceae.org/Prunus/Prunus_persica/p.persica_gdr_reftransV1_0024750","p.persica_gdr_reftransV1_0024750")</f>
        <v>p.persica_gdr_reftransV1_0024750</v>
      </c>
      <c r="B10854" s="2">
        <v>2258</v>
      </c>
      <c r="C10854" s="4" t="str">
        <f>HYPERLINK("http://www.uniprot.org/uniprot/M5VJ62","M5VJ62")</f>
        <v>M5VJ62</v>
      </c>
      <c r="D10854" s="2" t="s">
        <v>9252</v>
      </c>
      <c r="E10854" s="3">
        <v>0</v>
      </c>
      <c r="F10854" s="2">
        <v>2163</v>
      </c>
      <c r="G10854" s="2">
        <v>100</v>
      </c>
      <c r="H10854" s="2">
        <v>401</v>
      </c>
      <c r="I10854" s="2">
        <v>460</v>
      </c>
      <c r="J10854" s="2">
        <v>1662</v>
      </c>
      <c r="K10854" s="2">
        <v>1</v>
      </c>
      <c r="L10854" s="2">
        <v>401</v>
      </c>
    </row>
    <row r="10855" spans="1:12" x14ac:dyDescent="0.25">
      <c r="A10855" s="4" t="str">
        <f>HYPERLINK("http://www.rosaceae.org/Prunus/Prunus_persica/p.persica_gdr_reftransV1_0025100","p.persica_gdr_reftransV1_0025100")</f>
        <v>p.persica_gdr_reftransV1_0025100</v>
      </c>
      <c r="B10855" s="2">
        <v>659</v>
      </c>
      <c r="C10855" s="4" t="str">
        <f>HYPERLINK("http://www.uniprot.org/uniprot/M5VVN7","M5VVN7")</f>
        <v>M5VVN7</v>
      </c>
      <c r="D10855" s="2" t="s">
        <v>9253</v>
      </c>
      <c r="E10855" s="3">
        <v>2.9399999999999998E-100</v>
      </c>
      <c r="F10855" s="2">
        <v>813</v>
      </c>
      <c r="G10855" s="2">
        <v>93</v>
      </c>
      <c r="H10855" s="2">
        <v>199</v>
      </c>
      <c r="I10855" s="2">
        <v>14</v>
      </c>
      <c r="J10855" s="2">
        <v>592</v>
      </c>
      <c r="K10855" s="2">
        <v>1</v>
      </c>
      <c r="L10855" s="2">
        <v>199</v>
      </c>
    </row>
    <row r="10856" spans="1:12" x14ac:dyDescent="0.25">
      <c r="A10856" s="4" t="str">
        <f>HYPERLINK("http://www.rosaceae.org/Prunus/Prunus_persica/p.persica_gdr_reftransV1_0025800","p.persica_gdr_reftransV1_0025800")</f>
        <v>p.persica_gdr_reftransV1_0025800</v>
      </c>
      <c r="B10856" s="2">
        <v>1912</v>
      </c>
      <c r="C10856" s="4" t="str">
        <f>HYPERLINK("http://www.uniprot.org/uniprot/M5WYS2","M5WYS2")</f>
        <v>M5WYS2</v>
      </c>
      <c r="D10856" s="2" t="s">
        <v>9254</v>
      </c>
      <c r="E10856" s="3">
        <v>2.54E-112</v>
      </c>
      <c r="F10856" s="2">
        <v>892</v>
      </c>
      <c r="G10856" s="2">
        <v>99</v>
      </c>
      <c r="H10856" s="2">
        <v>190</v>
      </c>
      <c r="I10856" s="2">
        <v>1088</v>
      </c>
      <c r="J10856" s="2">
        <v>1657</v>
      </c>
      <c r="K10856" s="2">
        <v>31</v>
      </c>
      <c r="L10856" s="2">
        <v>220</v>
      </c>
    </row>
    <row r="10857" spans="1:12" x14ac:dyDescent="0.25">
      <c r="A10857" s="4" t="str">
        <f>HYPERLINK("http://www.rosaceae.org/Prunus/Prunus_persica/p.persica_gdr_reftransV1_0028250","p.persica_gdr_reftransV1_0028250")</f>
        <v>p.persica_gdr_reftransV1_0028250</v>
      </c>
      <c r="B10857" s="2">
        <v>1324</v>
      </c>
      <c r="C10857" s="4" t="str">
        <f>HYPERLINK("http://www.uniprot.org/uniprot/M5X3T9","M5X3T9")</f>
        <v>M5X3T9</v>
      </c>
      <c r="D10857" s="2" t="s">
        <v>9255</v>
      </c>
      <c r="E10857" s="3">
        <v>0</v>
      </c>
      <c r="F10857" s="2">
        <v>1829</v>
      </c>
      <c r="G10857" s="2">
        <v>100</v>
      </c>
      <c r="H10857" s="2">
        <v>339</v>
      </c>
      <c r="I10857" s="2">
        <v>252</v>
      </c>
      <c r="J10857" s="2">
        <v>1268</v>
      </c>
      <c r="K10857" s="2">
        <v>1</v>
      </c>
      <c r="L10857" s="2">
        <v>339</v>
      </c>
    </row>
    <row r="10858" spans="1:12" x14ac:dyDescent="0.25">
      <c r="A10858" s="4" t="str">
        <f>HYPERLINK("http://www.rosaceae.org/Prunus/Prunus_persica/p.persica_gdr_reftransV1_0028950","p.persica_gdr_reftransV1_0028950")</f>
        <v>p.persica_gdr_reftransV1_0028950</v>
      </c>
      <c r="B10858" s="2">
        <v>985</v>
      </c>
      <c r="C10858" s="4" t="str">
        <f>HYPERLINK("http://www.uniprot.org/uniprot/M5VXV6","M5VXV6")</f>
        <v>M5VXV6</v>
      </c>
      <c r="D10858" s="2" t="s">
        <v>8445</v>
      </c>
      <c r="E10858" s="3">
        <v>1.5699999999999999E-77</v>
      </c>
      <c r="F10858" s="2">
        <v>629</v>
      </c>
      <c r="G10858" s="2">
        <v>99</v>
      </c>
      <c r="H10858" s="2">
        <v>182</v>
      </c>
      <c r="I10858" s="2">
        <v>128</v>
      </c>
      <c r="J10858" s="2">
        <v>673</v>
      </c>
      <c r="K10858" s="2">
        <v>1</v>
      </c>
      <c r="L10858" s="2">
        <v>182</v>
      </c>
    </row>
    <row r="10859" spans="1:12" x14ac:dyDescent="0.25">
      <c r="A10859" s="4" t="str">
        <f>HYPERLINK("http://www.rosaceae.org/Prunus/Prunus_persica/p.persica_gdr_reftransV1_0029650","p.persica_gdr_reftransV1_0029650")</f>
        <v>p.persica_gdr_reftransV1_0029650</v>
      </c>
      <c r="B10859" s="2">
        <v>1482</v>
      </c>
      <c r="C10859" s="4" t="str">
        <f>HYPERLINK("http://www.uniprot.org/uniprot/M5XFP5","M5XFP5")</f>
        <v>M5XFP5</v>
      </c>
      <c r="D10859" s="2" t="s">
        <v>9256</v>
      </c>
      <c r="E10859" s="3">
        <v>0</v>
      </c>
      <c r="F10859" s="2">
        <v>1957</v>
      </c>
      <c r="G10859" s="2">
        <v>100</v>
      </c>
      <c r="H10859" s="2">
        <v>383</v>
      </c>
      <c r="I10859" s="2">
        <v>266</v>
      </c>
      <c r="J10859" s="2">
        <v>1414</v>
      </c>
      <c r="K10859" s="2">
        <v>1</v>
      </c>
      <c r="L10859" s="2">
        <v>383</v>
      </c>
    </row>
    <row r="10860" spans="1:12" x14ac:dyDescent="0.25">
      <c r="A10860" s="4" t="str">
        <f>HYPERLINK("http://www.rosaceae.org/Prunus/Prunus_persica/p.persica_gdr_reftransV1_0030000","p.persica_gdr_reftransV1_0030000")</f>
        <v>p.persica_gdr_reftransV1_0030000</v>
      </c>
      <c r="B10860" s="2">
        <v>3439</v>
      </c>
      <c r="C10860" s="4" t="str">
        <f>HYPERLINK("http://www.uniprot.org/uniprot/M5W8A6","M5W8A6")</f>
        <v>M5W8A6</v>
      </c>
      <c r="D10860" s="2" t="s">
        <v>2203</v>
      </c>
      <c r="E10860" s="3">
        <v>0</v>
      </c>
      <c r="F10860" s="2">
        <v>2994</v>
      </c>
      <c r="G10860" s="2">
        <v>100</v>
      </c>
      <c r="H10860" s="2">
        <v>818</v>
      </c>
      <c r="I10860" s="2">
        <v>451</v>
      </c>
      <c r="J10860" s="2">
        <v>2904</v>
      </c>
      <c r="K10860" s="2">
        <v>45</v>
      </c>
      <c r="L10860" s="2">
        <v>862</v>
      </c>
    </row>
    <row r="10861" spans="1:12" x14ac:dyDescent="0.25">
      <c r="A10861" s="4" t="str">
        <f>HYPERLINK("http://www.rosaceae.org/Prunus/Prunus_persica/p.persica_gdr_reftransV1_0030700","p.persica_gdr_reftransV1_0030700")</f>
        <v>p.persica_gdr_reftransV1_0030700</v>
      </c>
      <c r="B10861" s="2">
        <v>1774</v>
      </c>
      <c r="C10861" s="4" t="str">
        <f>HYPERLINK("http://www.uniprot.org/uniprot/M5WGV5","M5WGV5")</f>
        <v>M5WGV5</v>
      </c>
      <c r="D10861" s="2" t="s">
        <v>9257</v>
      </c>
      <c r="E10861" s="3">
        <v>0</v>
      </c>
      <c r="F10861" s="2">
        <v>1384</v>
      </c>
      <c r="G10861" s="2">
        <v>89</v>
      </c>
      <c r="H10861" s="2">
        <v>325</v>
      </c>
      <c r="I10861" s="2">
        <v>353</v>
      </c>
      <c r="J10861" s="2">
        <v>1327</v>
      </c>
      <c r="K10861" s="2">
        <v>1</v>
      </c>
      <c r="L10861" s="2">
        <v>290</v>
      </c>
    </row>
    <row r="10862" spans="1:12" x14ac:dyDescent="0.25">
      <c r="A10862" s="4" t="str">
        <f>HYPERLINK("http://www.rosaceae.org/Prunus/Prunus_persica/p.persica_gdr_reftransV1_0031400","p.persica_gdr_reftransV1_0031400")</f>
        <v>p.persica_gdr_reftransV1_0031400</v>
      </c>
      <c r="B10862" s="2">
        <v>3225</v>
      </c>
      <c r="C10862" s="4" t="str">
        <f>HYPERLINK("http://www.uniprot.org/uniprot/M5VUE2","M5VUE2")</f>
        <v>M5VUE2</v>
      </c>
      <c r="D10862" s="2" t="s">
        <v>9258</v>
      </c>
      <c r="E10862" s="3">
        <v>0</v>
      </c>
      <c r="F10862" s="2">
        <v>3441</v>
      </c>
      <c r="G10862" s="2">
        <v>100</v>
      </c>
      <c r="H10862" s="2">
        <v>666</v>
      </c>
      <c r="I10862" s="2">
        <v>67</v>
      </c>
      <c r="J10862" s="2">
        <v>2064</v>
      </c>
      <c r="K10862" s="2">
        <v>1</v>
      </c>
      <c r="L10862" s="2">
        <v>666</v>
      </c>
    </row>
    <row r="10863" spans="1:12" x14ac:dyDescent="0.25">
      <c r="A10863" s="4" t="str">
        <f>HYPERLINK("http://www.rosaceae.org/Prunus/Prunus_persica/p.persica_gdr_reftransV1_0032450","p.persica_gdr_reftransV1_0032450")</f>
        <v>p.persica_gdr_reftransV1_0032450</v>
      </c>
      <c r="B10863" s="2">
        <v>1927</v>
      </c>
      <c r="C10863" s="4" t="str">
        <f>HYPERLINK("http://www.uniprot.org/uniprot/M5XHW6","M5XHW6")</f>
        <v>M5XHW6</v>
      </c>
      <c r="D10863" s="2" t="s">
        <v>9259</v>
      </c>
      <c r="E10863" s="3">
        <v>8.4400000000000003E-161</v>
      </c>
      <c r="F10863" s="2">
        <v>1221</v>
      </c>
      <c r="G10863" s="2">
        <v>100</v>
      </c>
      <c r="H10863" s="2">
        <v>244</v>
      </c>
      <c r="I10863" s="2">
        <v>1100</v>
      </c>
      <c r="J10863" s="2">
        <v>1831</v>
      </c>
      <c r="K10863" s="2">
        <v>1</v>
      </c>
      <c r="L10863" s="2">
        <v>244</v>
      </c>
    </row>
    <row r="10864" spans="1:12" x14ac:dyDescent="0.25">
      <c r="A10864" s="4" t="str">
        <f>HYPERLINK("http://www.rosaceae.org/Prunus/Prunus_persica/p.persica_gdr_reftransV1_0032800","p.persica_gdr_reftransV1_0032800")</f>
        <v>p.persica_gdr_reftransV1_0032800</v>
      </c>
      <c r="B10864" s="2">
        <v>3587</v>
      </c>
      <c r="C10864" s="4" t="str">
        <f>HYPERLINK("http://www.uniprot.org/uniprot/M5VMW8","M5VMW8")</f>
        <v>M5VMW8</v>
      </c>
      <c r="D10864" s="2" t="s">
        <v>9260</v>
      </c>
      <c r="E10864" s="3">
        <v>0</v>
      </c>
      <c r="F10864" s="2">
        <v>1542</v>
      </c>
      <c r="G10864" s="2">
        <v>100</v>
      </c>
      <c r="H10864" s="2">
        <v>336</v>
      </c>
      <c r="I10864" s="2">
        <v>685</v>
      </c>
      <c r="J10864" s="2">
        <v>1692</v>
      </c>
      <c r="K10864" s="2">
        <v>1</v>
      </c>
      <c r="L10864" s="2">
        <v>336</v>
      </c>
    </row>
    <row r="10865" spans="1:12" x14ac:dyDescent="0.25">
      <c r="A10865" s="4" t="str">
        <f>HYPERLINK("http://www.rosaceae.org/Prunus/Prunus_persica/p.persica_gdr_reftransV1_0033500","p.persica_gdr_reftransV1_0033500")</f>
        <v>p.persica_gdr_reftransV1_0033500</v>
      </c>
      <c r="B10865" s="2">
        <v>1635</v>
      </c>
      <c r="C10865" s="4" t="str">
        <f>HYPERLINK("http://www.uniprot.org/uniprot/M5WHF1","M5WHF1")</f>
        <v>M5WHF1</v>
      </c>
      <c r="D10865" s="2" t="s">
        <v>9261</v>
      </c>
      <c r="E10865" s="3">
        <v>1.5099999999999999E-92</v>
      </c>
      <c r="F10865" s="2">
        <v>752</v>
      </c>
      <c r="G10865" s="2">
        <v>78</v>
      </c>
      <c r="H10865" s="2">
        <v>227</v>
      </c>
      <c r="I10865" s="2">
        <v>448</v>
      </c>
      <c r="J10865" s="2">
        <v>1128</v>
      </c>
      <c r="K10865" s="2">
        <v>48</v>
      </c>
      <c r="L10865" s="2">
        <v>225</v>
      </c>
    </row>
    <row r="10866" spans="1:12" x14ac:dyDescent="0.25">
      <c r="A10866" s="4" t="str">
        <f>HYPERLINK("http://www.rosaceae.org/Prunus/Prunus_persica/p.persica_gdr_reftransV1_0034550","p.persica_gdr_reftransV1_0034550")</f>
        <v>p.persica_gdr_reftransV1_0034550</v>
      </c>
      <c r="B10866" s="2">
        <v>1266</v>
      </c>
      <c r="C10866" s="4" t="str">
        <f>HYPERLINK("http://www.uniprot.org/uniprot/M5XEW9","M5XEW9")</f>
        <v>M5XEW9</v>
      </c>
      <c r="D10866" s="2" t="s">
        <v>9262</v>
      </c>
      <c r="E10866" s="3">
        <v>8.9199999999999995E-113</v>
      </c>
      <c r="F10866" s="2">
        <v>874</v>
      </c>
      <c r="G10866" s="2">
        <v>100</v>
      </c>
      <c r="H10866" s="2">
        <v>201</v>
      </c>
      <c r="I10866" s="2">
        <v>416</v>
      </c>
      <c r="J10866" s="2">
        <v>1018</v>
      </c>
      <c r="K10866" s="2">
        <v>1</v>
      </c>
      <c r="L10866" s="2">
        <v>201</v>
      </c>
    </row>
    <row r="10867" spans="1:12" x14ac:dyDescent="0.25">
      <c r="A10867" s="4" t="str">
        <f>HYPERLINK("http://www.rosaceae.org/Prunus/Prunus_persica/p.persica_gdr_reftransV1_0035950","p.persica_gdr_reftransV1_0035950")</f>
        <v>p.persica_gdr_reftransV1_0035950</v>
      </c>
      <c r="B10867" s="2">
        <v>3137</v>
      </c>
      <c r="C10867" s="4" t="str">
        <f>HYPERLINK("http://www.uniprot.org/uniprot/M5WGV0","M5WGV0")</f>
        <v>M5WGV0</v>
      </c>
      <c r="D10867" s="2" t="s">
        <v>9263</v>
      </c>
      <c r="E10867" s="3">
        <v>0</v>
      </c>
      <c r="F10867" s="2">
        <v>4027</v>
      </c>
      <c r="G10867" s="2">
        <v>95</v>
      </c>
      <c r="H10867" s="2">
        <v>804</v>
      </c>
      <c r="I10867" s="2">
        <v>208</v>
      </c>
      <c r="J10867" s="2">
        <v>2619</v>
      </c>
      <c r="K10867" s="2">
        <v>1</v>
      </c>
      <c r="L10867" s="2">
        <v>766</v>
      </c>
    </row>
    <row r="10868" spans="1:12" x14ac:dyDescent="0.25">
      <c r="A10868" s="4" t="str">
        <f>HYPERLINK("http://www.rosaceae.org/Prunus/Prunus_persica/p.persica_gdr_reftransV1_0038400","p.persica_gdr_reftransV1_0038400")</f>
        <v>p.persica_gdr_reftransV1_0038400</v>
      </c>
      <c r="B10868" s="2">
        <v>1269</v>
      </c>
      <c r="C10868" s="4" t="str">
        <f>HYPERLINK("http://www.uniprot.org/uniprot/M5XEW0","M5XEW0")</f>
        <v>M5XEW0</v>
      </c>
      <c r="D10868" s="2" t="s">
        <v>5671</v>
      </c>
      <c r="E10868" s="3">
        <v>1.8200000000000001E-85</v>
      </c>
      <c r="F10868" s="2">
        <v>693</v>
      </c>
      <c r="G10868" s="2">
        <v>100</v>
      </c>
      <c r="H10868" s="2">
        <v>131</v>
      </c>
      <c r="I10868" s="2">
        <v>573</v>
      </c>
      <c r="J10868" s="2">
        <v>965</v>
      </c>
      <c r="K10868" s="2">
        <v>73</v>
      </c>
      <c r="L10868" s="2">
        <v>203</v>
      </c>
    </row>
    <row r="10869" spans="1:12" x14ac:dyDescent="0.25">
      <c r="A10869" s="4" t="str">
        <f>HYPERLINK("http://www.rosaceae.org/Prunus/Prunus_persica/p.persica_gdr_reftransV1_0041550","p.persica_gdr_reftransV1_0041550")</f>
        <v>p.persica_gdr_reftransV1_0041550</v>
      </c>
      <c r="B10869" s="2">
        <v>1254</v>
      </c>
      <c r="C10869" s="4" t="str">
        <f>HYPERLINK("http://www.uniprot.org/uniprot/M5WA01","M5WA01")</f>
        <v>M5WA01</v>
      </c>
      <c r="D10869" s="2" t="s">
        <v>9264</v>
      </c>
      <c r="E10869" s="3">
        <v>0</v>
      </c>
      <c r="F10869" s="2">
        <v>1463</v>
      </c>
      <c r="G10869" s="2">
        <v>99</v>
      </c>
      <c r="H10869" s="2">
        <v>278</v>
      </c>
      <c r="I10869" s="2">
        <v>156</v>
      </c>
      <c r="J10869" s="2">
        <v>989</v>
      </c>
      <c r="K10869" s="2">
        <v>1</v>
      </c>
      <c r="L10869" s="2">
        <v>278</v>
      </c>
    </row>
    <row r="10870" spans="1:12" x14ac:dyDescent="0.25">
      <c r="A10870" s="4" t="str">
        <f>HYPERLINK("http://www.rosaceae.org/Prunus/Prunus_persica/p.persica_gdr_reftransV1_0042250","p.persica_gdr_reftransV1_0042250")</f>
        <v>p.persica_gdr_reftransV1_0042250</v>
      </c>
      <c r="B10870" s="2">
        <v>1151</v>
      </c>
      <c r="C10870" s="4" t="str">
        <f>HYPERLINK("http://www.uniprot.org/uniprot/M5WJP8","M5WJP8")</f>
        <v>M5WJP8</v>
      </c>
      <c r="D10870" s="2" t="s">
        <v>9265</v>
      </c>
      <c r="E10870" s="3">
        <v>1.3100000000000001E-122</v>
      </c>
      <c r="F10870" s="2">
        <v>938</v>
      </c>
      <c r="G10870" s="2">
        <v>100</v>
      </c>
      <c r="H10870" s="2">
        <v>194</v>
      </c>
      <c r="I10870" s="2">
        <v>565</v>
      </c>
      <c r="J10870" s="2">
        <v>1146</v>
      </c>
      <c r="K10870" s="2">
        <v>36</v>
      </c>
      <c r="L10870" s="2">
        <v>229</v>
      </c>
    </row>
    <row r="10871" spans="1:12" x14ac:dyDescent="0.25">
      <c r="A10871" s="4" t="str">
        <f>HYPERLINK("http://www.rosaceae.org/Prunus/Prunus_persica/p.persica_gdr_reftransV1_0043300","p.persica_gdr_reftransV1_0043300")</f>
        <v>p.persica_gdr_reftransV1_0043300</v>
      </c>
      <c r="B10871" s="2">
        <v>870</v>
      </c>
      <c r="C10871" s="4" t="str">
        <f>HYPERLINK("http://www.uniprot.org/uniprot/M5XM31","M5XM31")</f>
        <v>M5XM31</v>
      </c>
      <c r="D10871" s="2" t="s">
        <v>9266</v>
      </c>
      <c r="E10871" s="3">
        <v>1.1199999999999999E-115</v>
      </c>
      <c r="F10871" s="2">
        <v>876</v>
      </c>
      <c r="G10871" s="2">
        <v>100</v>
      </c>
      <c r="H10871" s="2">
        <v>166</v>
      </c>
      <c r="I10871" s="2">
        <v>234</v>
      </c>
      <c r="J10871" s="2">
        <v>731</v>
      </c>
      <c r="K10871" s="2">
        <v>1</v>
      </c>
      <c r="L10871" s="2">
        <v>166</v>
      </c>
    </row>
    <row r="10872" spans="1:12" x14ac:dyDescent="0.25">
      <c r="A10872" s="4" t="str">
        <f>HYPERLINK("http://www.rosaceae.org/Prunus/Prunus_persica/p.persica_gdr_reftransV1_0043650","p.persica_gdr_reftransV1_0043650")</f>
        <v>p.persica_gdr_reftransV1_0043650</v>
      </c>
      <c r="B10872" s="2">
        <v>1238</v>
      </c>
      <c r="C10872" s="4" t="str">
        <f>HYPERLINK("http://www.uniprot.org/uniprot/M5W271","M5W271")</f>
        <v>M5W271</v>
      </c>
      <c r="D10872" s="2" t="s">
        <v>9267</v>
      </c>
      <c r="E10872" s="3">
        <v>0</v>
      </c>
      <c r="F10872" s="2">
        <v>1463</v>
      </c>
      <c r="G10872" s="2">
        <v>91</v>
      </c>
      <c r="H10872" s="2">
        <v>328</v>
      </c>
      <c r="I10872" s="2">
        <v>25</v>
      </c>
      <c r="J10872" s="2">
        <v>993</v>
      </c>
      <c r="K10872" s="2">
        <v>95</v>
      </c>
      <c r="L10872" s="2">
        <v>422</v>
      </c>
    </row>
    <row r="10873" spans="1:12" x14ac:dyDescent="0.25">
      <c r="A10873" s="4" t="str">
        <f>HYPERLINK("http://www.rosaceae.org/Prunus/Prunus_persica/p.persica_gdr_reftransV1_0044000","p.persica_gdr_reftransV1_0044000")</f>
        <v>p.persica_gdr_reftransV1_0044000</v>
      </c>
      <c r="B10873" s="2">
        <v>763</v>
      </c>
      <c r="C10873" s="4" t="str">
        <f>HYPERLINK("http://www.uniprot.org/uniprot/M5X6V6","M5X6V6")</f>
        <v>M5X6V6</v>
      </c>
      <c r="D10873" s="2" t="s">
        <v>4877</v>
      </c>
      <c r="E10873" s="3">
        <v>1.3399999999999999E-76</v>
      </c>
      <c r="F10873" s="2">
        <v>617</v>
      </c>
      <c r="G10873" s="2">
        <v>95</v>
      </c>
      <c r="H10873" s="2">
        <v>124</v>
      </c>
      <c r="I10873" s="2">
        <v>241</v>
      </c>
      <c r="J10873" s="2">
        <v>612</v>
      </c>
      <c r="K10873" s="2">
        <v>69</v>
      </c>
      <c r="L10873" s="2">
        <v>192</v>
      </c>
    </row>
    <row r="10874" spans="1:12" x14ac:dyDescent="0.25">
      <c r="A10874" s="4" t="str">
        <f>HYPERLINK("http://www.rosaceae.org/Prunus/Prunus_persica/p.persica_gdr_reftransV1_0044350","p.persica_gdr_reftransV1_0044350")</f>
        <v>p.persica_gdr_reftransV1_0044350</v>
      </c>
      <c r="B10874" s="2">
        <v>1233</v>
      </c>
      <c r="C10874" s="4" t="str">
        <f>HYPERLINK("http://www.uniprot.org/uniprot/M5W0N4","M5W0N4")</f>
        <v>M5W0N4</v>
      </c>
      <c r="D10874" s="2" t="s">
        <v>4153</v>
      </c>
      <c r="E10874" s="3">
        <v>2.5300000000000001E-148</v>
      </c>
      <c r="F10874" s="2">
        <v>1115</v>
      </c>
      <c r="G10874" s="2">
        <v>100</v>
      </c>
      <c r="H10874" s="2">
        <v>266</v>
      </c>
      <c r="I10874" s="2">
        <v>115</v>
      </c>
      <c r="J10874" s="2">
        <v>912</v>
      </c>
      <c r="K10874" s="2">
        <v>1</v>
      </c>
      <c r="L10874" s="2">
        <v>266</v>
      </c>
    </row>
    <row r="10875" spans="1:12" x14ac:dyDescent="0.25">
      <c r="A10875" s="4" t="str">
        <f>HYPERLINK("http://www.rosaceae.org/Prunus/Prunus_persica/p.persica_gdr_reftransV1_0044700","p.persica_gdr_reftransV1_0044700")</f>
        <v>p.persica_gdr_reftransV1_0044700</v>
      </c>
      <c r="B10875" s="2">
        <v>1470</v>
      </c>
      <c r="C10875" s="4" t="str">
        <f>HYPERLINK("http://www.uniprot.org/uniprot/M5VSJ6","M5VSJ6")</f>
        <v>M5VSJ6</v>
      </c>
      <c r="D10875" s="2" t="s">
        <v>9268</v>
      </c>
      <c r="E10875" s="3">
        <v>3.4900000000000002E-176</v>
      </c>
      <c r="F10875" s="2">
        <v>1310</v>
      </c>
      <c r="G10875" s="2">
        <v>100</v>
      </c>
      <c r="H10875" s="2">
        <v>283</v>
      </c>
      <c r="I10875" s="2">
        <v>272</v>
      </c>
      <c r="J10875" s="2">
        <v>1120</v>
      </c>
      <c r="K10875" s="2">
        <v>18</v>
      </c>
      <c r="L10875" s="2">
        <v>300</v>
      </c>
    </row>
    <row r="10876" spans="1:12" x14ac:dyDescent="0.25">
      <c r="A10876" s="4" t="str">
        <f>HYPERLINK("http://www.rosaceae.org/Prunus/Prunus_persica/p.persica_gdr_reftransV1_0045050","p.persica_gdr_reftransV1_0045050")</f>
        <v>p.persica_gdr_reftransV1_0045050</v>
      </c>
      <c r="B10876" s="2">
        <v>1012</v>
      </c>
      <c r="C10876" s="4" t="str">
        <f>HYPERLINK("http://www.uniprot.org/uniprot/M5W4N0","M5W4N0")</f>
        <v>M5W4N0</v>
      </c>
      <c r="D10876" s="2" t="s">
        <v>9269</v>
      </c>
      <c r="E10876" s="3">
        <v>0</v>
      </c>
      <c r="F10876" s="2">
        <v>1352</v>
      </c>
      <c r="G10876" s="2">
        <v>100</v>
      </c>
      <c r="H10876" s="2">
        <v>297</v>
      </c>
      <c r="I10876" s="2">
        <v>56</v>
      </c>
      <c r="J10876" s="2">
        <v>946</v>
      </c>
      <c r="K10876" s="2">
        <v>1</v>
      </c>
      <c r="L10876" s="2">
        <v>297</v>
      </c>
    </row>
    <row r="10877" spans="1:12" x14ac:dyDescent="0.25">
      <c r="A10877" s="4" t="str">
        <f>HYPERLINK("http://www.rosaceae.org/Prunus/Prunus_persica/p.persica_gdr_reftransV1_0046100","p.persica_gdr_reftransV1_0046100")</f>
        <v>p.persica_gdr_reftransV1_0046100</v>
      </c>
      <c r="B10877" s="2">
        <v>933</v>
      </c>
      <c r="C10877" s="4" t="str">
        <f>HYPERLINK("http://www.uniprot.org/uniprot/B9HWL3","B9HWL3")</f>
        <v>B9HWL3</v>
      </c>
      <c r="D10877" s="2" t="s">
        <v>9270</v>
      </c>
      <c r="E10877" s="3">
        <v>1.4700000000000001E-122</v>
      </c>
      <c r="F10877" s="2">
        <v>979</v>
      </c>
      <c r="G10877" s="2">
        <v>80</v>
      </c>
      <c r="H10877" s="2">
        <v>283</v>
      </c>
      <c r="I10877" s="2">
        <v>19</v>
      </c>
      <c r="J10877" s="2">
        <v>831</v>
      </c>
      <c r="K10877" s="2">
        <v>403</v>
      </c>
      <c r="L10877" s="2">
        <v>685</v>
      </c>
    </row>
    <row r="10878" spans="1:12" x14ac:dyDescent="0.25">
      <c r="A10878" s="4" t="str">
        <f>HYPERLINK("http://www.rosaceae.org/Prunus/Prunus_persica/p.persica_gdr_reftransV1_0046800","p.persica_gdr_reftransV1_0046800")</f>
        <v>p.persica_gdr_reftransV1_0046800</v>
      </c>
      <c r="B10878" s="2">
        <v>414</v>
      </c>
      <c r="C10878" s="4" t="str">
        <f>HYPERLINK("http://www.uniprot.org/uniprot/M5WGP0","M5WGP0")</f>
        <v>M5WGP0</v>
      </c>
      <c r="D10878" s="2" t="s">
        <v>3153</v>
      </c>
      <c r="E10878" s="3">
        <v>1.66E-92</v>
      </c>
      <c r="F10878" s="2">
        <v>763</v>
      </c>
      <c r="G10878" s="2">
        <v>100</v>
      </c>
      <c r="H10878" s="2">
        <v>137</v>
      </c>
      <c r="I10878" s="2">
        <v>3</v>
      </c>
      <c r="J10878" s="2">
        <v>413</v>
      </c>
      <c r="K10878" s="2">
        <v>787</v>
      </c>
      <c r="L10878" s="2">
        <v>923</v>
      </c>
    </row>
    <row r="10879" spans="1:12" x14ac:dyDescent="0.25">
      <c r="A10879" s="4" t="str">
        <f>HYPERLINK("http://www.rosaceae.org/Prunus/Prunus_persica/p.persica_gdr_reftransV1_0047150","p.persica_gdr_reftransV1_0047150")</f>
        <v>p.persica_gdr_reftransV1_0047150</v>
      </c>
      <c r="B10879" s="2">
        <v>458</v>
      </c>
      <c r="C10879" s="4" t="str">
        <f>HYPERLINK("http://www.uniprot.org/uniprot/M5Y4E1","M5Y4E1")</f>
        <v>M5Y4E1</v>
      </c>
      <c r="D10879" s="2" t="s">
        <v>3403</v>
      </c>
      <c r="E10879" s="3">
        <v>9.2999999999999995E-55</v>
      </c>
      <c r="F10879" s="2">
        <v>500</v>
      </c>
      <c r="G10879" s="2">
        <v>72</v>
      </c>
      <c r="H10879" s="2">
        <v>148</v>
      </c>
      <c r="I10879" s="2">
        <v>8</v>
      </c>
      <c r="J10879" s="2">
        <v>451</v>
      </c>
      <c r="K10879" s="2">
        <v>1051</v>
      </c>
      <c r="L10879" s="2">
        <v>1194</v>
      </c>
    </row>
    <row r="10880" spans="1:12" x14ac:dyDescent="0.25">
      <c r="A10880" s="4" t="str">
        <f>HYPERLINK("http://www.rosaceae.org/Prunus/Prunus_persica/p.persica_gdr_reftransV1_0047500","p.persica_gdr_reftransV1_0047500")</f>
        <v>p.persica_gdr_reftransV1_0047500</v>
      </c>
      <c r="B10880" s="2">
        <v>1767</v>
      </c>
      <c r="C10880" s="4" t="str">
        <f>HYPERLINK("http://www.uniprot.org/uniprot/M5VY58","M5VY58")</f>
        <v>M5VY58</v>
      </c>
      <c r="D10880" s="2" t="s">
        <v>2046</v>
      </c>
      <c r="E10880" s="3">
        <v>0</v>
      </c>
      <c r="F10880" s="2">
        <v>2401</v>
      </c>
      <c r="G10880" s="2">
        <v>100</v>
      </c>
      <c r="H10880" s="2">
        <v>448</v>
      </c>
      <c r="I10880" s="2">
        <v>74</v>
      </c>
      <c r="J10880" s="2">
        <v>1417</v>
      </c>
      <c r="K10880" s="2">
        <v>1</v>
      </c>
      <c r="L10880" s="2">
        <v>448</v>
      </c>
    </row>
    <row r="10881" spans="1:12" x14ac:dyDescent="0.25">
      <c r="A10881" s="4" t="str">
        <f>HYPERLINK("http://www.rosaceae.org/Prunus/Prunus_persica/p.persica_gdr_reftransV1_0047850","p.persica_gdr_reftransV1_0047850")</f>
        <v>p.persica_gdr_reftransV1_0047850</v>
      </c>
      <c r="B10881" s="2">
        <v>431</v>
      </c>
      <c r="C10881" s="4" t="str">
        <f>HYPERLINK("http://www.uniprot.org/uniprot/M5Y462","M5Y462")</f>
        <v>M5Y462</v>
      </c>
      <c r="D10881" s="2" t="s">
        <v>7429</v>
      </c>
      <c r="E10881" s="3">
        <v>1.5900000000000001E-53</v>
      </c>
      <c r="F10881" s="2">
        <v>486</v>
      </c>
      <c r="G10881" s="2">
        <v>100</v>
      </c>
      <c r="H10881" s="2">
        <v>115</v>
      </c>
      <c r="I10881" s="2">
        <v>86</v>
      </c>
      <c r="J10881" s="2">
        <v>430</v>
      </c>
      <c r="K10881" s="2">
        <v>1</v>
      </c>
      <c r="L10881" s="2">
        <v>115</v>
      </c>
    </row>
    <row r="10882" spans="1:12" x14ac:dyDescent="0.25">
      <c r="A10882" s="4" t="str">
        <f>HYPERLINK("http://www.rosaceae.org/Prunus/Prunus_persica/p.persica_gdr_reftransV1_0048550","p.persica_gdr_reftransV1_0048550")</f>
        <v>p.persica_gdr_reftransV1_0048550</v>
      </c>
      <c r="B10882" s="2">
        <v>1892</v>
      </c>
      <c r="C10882" s="4" t="str">
        <f>HYPERLINK("http://www.uniprot.org/uniprot/M5W5D3","M5W5D3")</f>
        <v>M5W5D3</v>
      </c>
      <c r="D10882" s="2" t="s">
        <v>9271</v>
      </c>
      <c r="E10882" s="3">
        <v>9.1099999999999996E-171</v>
      </c>
      <c r="F10882" s="2">
        <v>1288</v>
      </c>
      <c r="G10882" s="2">
        <v>100</v>
      </c>
      <c r="H10882" s="2">
        <v>294</v>
      </c>
      <c r="I10882" s="2">
        <v>641</v>
      </c>
      <c r="J10882" s="2">
        <v>1522</v>
      </c>
      <c r="K10882" s="2">
        <v>1</v>
      </c>
      <c r="L10882" s="2">
        <v>294</v>
      </c>
    </row>
    <row r="10883" spans="1:12" x14ac:dyDescent="0.25">
      <c r="A10883" s="4" t="str">
        <f>HYPERLINK("http://www.rosaceae.org/Prunus/Prunus_persica/p.persica_gdr_reftransV1_0000375","p.persica_gdr_reftransV1_0000375")</f>
        <v>p.persica_gdr_reftransV1_0000375</v>
      </c>
      <c r="B10883" s="2">
        <v>617</v>
      </c>
      <c r="C10883" s="4" t="str">
        <f>HYPERLINK("http://www.uniprot.org/uniprot/M5WQ02","M5WQ02")</f>
        <v>M5WQ02</v>
      </c>
      <c r="D10883" s="2" t="s">
        <v>2401</v>
      </c>
      <c r="E10883" s="3">
        <v>7.0800000000000005E-45</v>
      </c>
      <c r="F10883" s="2">
        <v>417</v>
      </c>
      <c r="G10883" s="2">
        <v>59</v>
      </c>
      <c r="H10883" s="2">
        <v>192</v>
      </c>
      <c r="I10883" s="2">
        <v>3</v>
      </c>
      <c r="J10883" s="2">
        <v>545</v>
      </c>
      <c r="K10883" s="2">
        <v>2</v>
      </c>
      <c r="L10883" s="2">
        <v>191</v>
      </c>
    </row>
    <row r="10884" spans="1:12" x14ac:dyDescent="0.25">
      <c r="A10884" s="4" t="str">
        <f>HYPERLINK("http://www.rosaceae.org/Prunus/Prunus_persica/p.persica_gdr_reftransV1_0001075","p.persica_gdr_reftransV1_0001075")</f>
        <v>p.persica_gdr_reftransV1_0001075</v>
      </c>
      <c r="B10884" s="2">
        <v>2441</v>
      </c>
      <c r="C10884" s="4" t="str">
        <f>HYPERLINK("http://www.uniprot.org/uniprot/M5W0N1","M5W0N1")</f>
        <v>M5W0N1</v>
      </c>
      <c r="D10884" s="2" t="s">
        <v>9272</v>
      </c>
      <c r="E10884" s="3">
        <v>0</v>
      </c>
      <c r="F10884" s="2">
        <v>1538</v>
      </c>
      <c r="G10884" s="2">
        <v>98</v>
      </c>
      <c r="H10884" s="2">
        <v>313</v>
      </c>
      <c r="I10884" s="2">
        <v>1013</v>
      </c>
      <c r="J10884" s="2">
        <v>1951</v>
      </c>
      <c r="K10884" s="2">
        <v>61</v>
      </c>
      <c r="L10884" s="2">
        <v>373</v>
      </c>
    </row>
    <row r="10885" spans="1:12" x14ac:dyDescent="0.25">
      <c r="A10885" s="4" t="str">
        <f>HYPERLINK("http://www.rosaceae.org/Prunus/Prunus_persica/p.persica_gdr_reftransV1_0001425","p.persica_gdr_reftransV1_0001425")</f>
        <v>p.persica_gdr_reftransV1_0001425</v>
      </c>
      <c r="B10885" s="2">
        <v>326</v>
      </c>
      <c r="C10885" s="4" t="str">
        <f>HYPERLINK("http://www.uniprot.org/uniprot/M5WF10","M5WF10")</f>
        <v>M5WF10</v>
      </c>
      <c r="D10885" s="2" t="s">
        <v>9273</v>
      </c>
      <c r="E10885" s="3">
        <v>5.6400000000000003E-70</v>
      </c>
      <c r="F10885" s="2">
        <v>576</v>
      </c>
      <c r="G10885" s="2">
        <v>100</v>
      </c>
      <c r="H10885" s="2">
        <v>108</v>
      </c>
      <c r="I10885" s="2">
        <v>3</v>
      </c>
      <c r="J10885" s="2">
        <v>326</v>
      </c>
      <c r="K10885" s="2">
        <v>259</v>
      </c>
      <c r="L10885" s="2">
        <v>366</v>
      </c>
    </row>
    <row r="10886" spans="1:12" x14ac:dyDescent="0.25">
      <c r="A10886" s="4" t="str">
        <f>HYPERLINK("http://www.rosaceae.org/Prunus/Prunus_persica/p.persica_gdr_reftransV1_0001775","p.persica_gdr_reftransV1_0001775")</f>
        <v>p.persica_gdr_reftransV1_0001775</v>
      </c>
      <c r="B10886" s="2">
        <v>1483</v>
      </c>
      <c r="C10886" s="4" t="str">
        <f>HYPERLINK("http://www.uniprot.org/uniprot/S0E1E5","S0E1E5")</f>
        <v>S0E1E5</v>
      </c>
      <c r="D10886" s="2" t="s">
        <v>9274</v>
      </c>
      <c r="E10886" s="3">
        <v>2.3799999999999999E-124</v>
      </c>
      <c r="F10886" s="2">
        <v>977</v>
      </c>
      <c r="G10886" s="2">
        <v>67</v>
      </c>
      <c r="H10886" s="2">
        <v>346</v>
      </c>
      <c r="I10886" s="2">
        <v>348</v>
      </c>
      <c r="J10886" s="2">
        <v>1382</v>
      </c>
      <c r="K10886" s="2">
        <v>1</v>
      </c>
      <c r="L10886" s="2">
        <v>345</v>
      </c>
    </row>
    <row r="10887" spans="1:12" x14ac:dyDescent="0.25">
      <c r="A10887" s="4" t="str">
        <f>HYPERLINK("http://www.rosaceae.org/Prunus/Prunus_persica/p.persica_gdr_reftransV1_0002125","p.persica_gdr_reftransV1_0002125")</f>
        <v>p.persica_gdr_reftransV1_0002125</v>
      </c>
      <c r="B10887" s="2">
        <v>1558</v>
      </c>
      <c r="C10887" s="4" t="str">
        <f>HYPERLINK("http://www.uniprot.org/uniprot/M5VWX4","M5VWX4")</f>
        <v>M5VWX4</v>
      </c>
      <c r="D10887" s="2" t="s">
        <v>9275</v>
      </c>
      <c r="E10887" s="3">
        <v>0</v>
      </c>
      <c r="F10887" s="2">
        <v>1894</v>
      </c>
      <c r="G10887" s="2">
        <v>100</v>
      </c>
      <c r="H10887" s="2">
        <v>410</v>
      </c>
      <c r="I10887" s="2">
        <v>268</v>
      </c>
      <c r="J10887" s="2">
        <v>1497</v>
      </c>
      <c r="K10887" s="2">
        <v>1</v>
      </c>
      <c r="L10887" s="2">
        <v>410</v>
      </c>
    </row>
    <row r="10888" spans="1:12" x14ac:dyDescent="0.25">
      <c r="A10888" s="4" t="str">
        <f>HYPERLINK("http://www.rosaceae.org/Prunus/Prunus_persica/p.persica_gdr_reftransV1_0002475","p.persica_gdr_reftransV1_0002475")</f>
        <v>p.persica_gdr_reftransV1_0002475</v>
      </c>
      <c r="B10888" s="2">
        <v>766</v>
      </c>
      <c r="C10888" s="4" t="str">
        <f>HYPERLINK("http://www.uniprot.org/uniprot/M5Y6F9","M5Y6F9")</f>
        <v>M5Y6F9</v>
      </c>
      <c r="D10888" s="2" t="s">
        <v>552</v>
      </c>
      <c r="E10888" s="3">
        <v>0</v>
      </c>
      <c r="F10888" s="2">
        <v>1349</v>
      </c>
      <c r="G10888" s="2">
        <v>100</v>
      </c>
      <c r="H10888" s="2">
        <v>254</v>
      </c>
      <c r="I10888" s="2">
        <v>3</v>
      </c>
      <c r="J10888" s="2">
        <v>764</v>
      </c>
      <c r="K10888" s="2">
        <v>226</v>
      </c>
      <c r="L10888" s="2">
        <v>479</v>
      </c>
    </row>
    <row r="10889" spans="1:12" x14ac:dyDescent="0.25">
      <c r="A10889" s="4" t="str">
        <f>HYPERLINK("http://www.rosaceae.org/Prunus/Prunus_persica/p.persica_gdr_reftransV1_0002825","p.persica_gdr_reftransV1_0002825")</f>
        <v>p.persica_gdr_reftransV1_0002825</v>
      </c>
      <c r="B10889" s="2">
        <v>1250</v>
      </c>
      <c r="C10889" s="4" t="str">
        <f>HYPERLINK("http://www.uniprot.org/uniprot/M5X6D9","M5X6D9")</f>
        <v>M5X6D9</v>
      </c>
      <c r="D10889" s="2" t="s">
        <v>9276</v>
      </c>
      <c r="E10889" s="3">
        <v>2.0000000000000001E-172</v>
      </c>
      <c r="F10889" s="2">
        <v>1277</v>
      </c>
      <c r="G10889" s="2">
        <v>100</v>
      </c>
      <c r="H10889" s="2">
        <v>296</v>
      </c>
      <c r="I10889" s="2">
        <v>150</v>
      </c>
      <c r="J10889" s="2">
        <v>1037</v>
      </c>
      <c r="K10889" s="2">
        <v>1</v>
      </c>
      <c r="L10889" s="2">
        <v>296</v>
      </c>
    </row>
    <row r="10890" spans="1:12" x14ac:dyDescent="0.25">
      <c r="A10890" s="4" t="str">
        <f>HYPERLINK("http://www.rosaceae.org/Prunus/Prunus_persica/p.persica_gdr_reftransV1_0003175","p.persica_gdr_reftransV1_0003175")</f>
        <v>p.persica_gdr_reftransV1_0003175</v>
      </c>
      <c r="B10890" s="2">
        <v>397</v>
      </c>
      <c r="C10890" s="4" t="str">
        <f>HYPERLINK("http://www.uniprot.org/uniprot/M5XKQ1","M5XKQ1")</f>
        <v>M5XKQ1</v>
      </c>
      <c r="D10890" s="2" t="s">
        <v>1701</v>
      </c>
      <c r="E10890" s="3">
        <v>3.5400000000000003E-80</v>
      </c>
      <c r="F10890" s="2">
        <v>679</v>
      </c>
      <c r="G10890" s="2">
        <v>100</v>
      </c>
      <c r="H10890" s="2">
        <v>132</v>
      </c>
      <c r="I10890" s="2">
        <v>2</v>
      </c>
      <c r="J10890" s="2">
        <v>397</v>
      </c>
      <c r="K10890" s="2">
        <v>414</v>
      </c>
      <c r="L10890" s="2">
        <v>545</v>
      </c>
    </row>
    <row r="10891" spans="1:12" x14ac:dyDescent="0.25">
      <c r="A10891" s="4" t="str">
        <f>HYPERLINK("http://www.rosaceae.org/Prunus/Prunus_persica/p.persica_gdr_reftransV1_0003525","p.persica_gdr_reftransV1_0003525")</f>
        <v>p.persica_gdr_reftransV1_0003525</v>
      </c>
      <c r="B10891" s="2">
        <v>2763</v>
      </c>
      <c r="C10891" s="4" t="str">
        <f>HYPERLINK("http://www.uniprot.org/uniprot/M5WRX3","M5WRX3")</f>
        <v>M5WRX3</v>
      </c>
      <c r="D10891" s="2" t="s">
        <v>9277</v>
      </c>
      <c r="E10891" s="3">
        <v>0</v>
      </c>
      <c r="F10891" s="2">
        <v>3009</v>
      </c>
      <c r="G10891" s="2">
        <v>100</v>
      </c>
      <c r="H10891" s="2">
        <v>596</v>
      </c>
      <c r="I10891" s="2">
        <v>361</v>
      </c>
      <c r="J10891" s="2">
        <v>2148</v>
      </c>
      <c r="K10891" s="2">
        <v>1</v>
      </c>
      <c r="L10891" s="2">
        <v>596</v>
      </c>
    </row>
    <row r="10892" spans="1:12" x14ac:dyDescent="0.25">
      <c r="A10892" s="4" t="str">
        <f>HYPERLINK("http://www.rosaceae.org/Prunus/Prunus_persica/p.persica_gdr_reftransV1_0004575","p.persica_gdr_reftransV1_0004575")</f>
        <v>p.persica_gdr_reftransV1_0004575</v>
      </c>
      <c r="B10892" s="2">
        <v>718</v>
      </c>
      <c r="C10892" s="4" t="str">
        <f>HYPERLINK("http://www.uniprot.org/uniprot/A0A061FVX6","A0A061FVX6")</f>
        <v>A0A061FVX6</v>
      </c>
      <c r="D10892" s="2" t="s">
        <v>9278</v>
      </c>
      <c r="E10892" s="3">
        <v>1.9300000000000001E-18</v>
      </c>
      <c r="F10892" s="2">
        <v>231</v>
      </c>
      <c r="G10892" s="2">
        <v>30</v>
      </c>
      <c r="H10892" s="2">
        <v>219</v>
      </c>
      <c r="I10892" s="2">
        <v>30</v>
      </c>
      <c r="J10892" s="2">
        <v>662</v>
      </c>
      <c r="K10892" s="2">
        <v>100</v>
      </c>
      <c r="L10892" s="2">
        <v>298</v>
      </c>
    </row>
    <row r="10893" spans="1:12" x14ac:dyDescent="0.25">
      <c r="A10893" s="4" t="str">
        <f>HYPERLINK("http://www.rosaceae.org/Prunus/Prunus_persica/p.persica_gdr_reftransV1_0004925","p.persica_gdr_reftransV1_0004925")</f>
        <v>p.persica_gdr_reftransV1_0004925</v>
      </c>
      <c r="B10893" s="2">
        <v>1805</v>
      </c>
      <c r="C10893" s="4" t="str">
        <f>HYPERLINK("http://www.uniprot.org/uniprot/U5FS86","U5FS86")</f>
        <v>U5FS86</v>
      </c>
      <c r="D10893" s="2" t="s">
        <v>9279</v>
      </c>
      <c r="E10893" s="3">
        <v>0</v>
      </c>
      <c r="F10893" s="2">
        <v>1457</v>
      </c>
      <c r="G10893" s="2">
        <v>91</v>
      </c>
      <c r="H10893" s="2">
        <v>316</v>
      </c>
      <c r="I10893" s="2">
        <v>539</v>
      </c>
      <c r="J10893" s="2">
        <v>1486</v>
      </c>
      <c r="K10893" s="2">
        <v>376</v>
      </c>
      <c r="L10893" s="2">
        <v>691</v>
      </c>
    </row>
    <row r="10894" spans="1:12" x14ac:dyDescent="0.25">
      <c r="A10894" s="4" t="str">
        <f>HYPERLINK("http://www.rosaceae.org/Prunus/Prunus_persica/p.persica_gdr_reftransV1_0005625","p.persica_gdr_reftransV1_0005625")</f>
        <v>p.persica_gdr_reftransV1_0005625</v>
      </c>
      <c r="B10894" s="2">
        <v>939</v>
      </c>
      <c r="C10894" s="4" t="str">
        <f>HYPERLINK("http://www.uniprot.org/uniprot/M5WJB3","M5WJB3")</f>
        <v>M5WJB3</v>
      </c>
      <c r="D10894" s="2" t="s">
        <v>5676</v>
      </c>
      <c r="E10894" s="3">
        <v>0</v>
      </c>
      <c r="F10894" s="2">
        <v>1498</v>
      </c>
      <c r="G10894" s="2">
        <v>100</v>
      </c>
      <c r="H10894" s="2">
        <v>312</v>
      </c>
      <c r="I10894" s="2">
        <v>3</v>
      </c>
      <c r="J10894" s="2">
        <v>938</v>
      </c>
      <c r="K10894" s="2">
        <v>147</v>
      </c>
      <c r="L10894" s="2">
        <v>458</v>
      </c>
    </row>
    <row r="10895" spans="1:12" x14ac:dyDescent="0.25">
      <c r="A10895" s="4" t="str">
        <f>HYPERLINK("http://www.rosaceae.org/Prunus/Prunus_persica/p.persica_gdr_reftransV1_0005975","p.persica_gdr_reftransV1_0005975")</f>
        <v>p.persica_gdr_reftransV1_0005975</v>
      </c>
      <c r="B10895" s="2">
        <v>870</v>
      </c>
      <c r="C10895" s="4" t="str">
        <f>HYPERLINK("http://www.uniprot.org/uniprot/M5WWV6","M5WWV6")</f>
        <v>M5WWV6</v>
      </c>
      <c r="D10895" s="2" t="s">
        <v>9280</v>
      </c>
      <c r="E10895" s="3">
        <v>0</v>
      </c>
      <c r="F10895" s="2">
        <v>1433</v>
      </c>
      <c r="G10895" s="2">
        <v>100</v>
      </c>
      <c r="H10895" s="2">
        <v>265</v>
      </c>
      <c r="I10895" s="2">
        <v>76</v>
      </c>
      <c r="J10895" s="2">
        <v>870</v>
      </c>
      <c r="K10895" s="2">
        <v>216</v>
      </c>
      <c r="L10895" s="2">
        <v>480</v>
      </c>
    </row>
    <row r="10896" spans="1:12" x14ac:dyDescent="0.25">
      <c r="A10896" s="4" t="str">
        <f>HYPERLINK("http://www.rosaceae.org/Prunus/Prunus_persica/p.persica_gdr_reftransV1_0007025","p.persica_gdr_reftransV1_0007025")</f>
        <v>p.persica_gdr_reftransV1_0007025</v>
      </c>
      <c r="B10896" s="2">
        <v>620</v>
      </c>
      <c r="C10896" s="4" t="str">
        <f>HYPERLINK("http://www.uniprot.org/uniprot/M5VNU3","M5VNU3")</f>
        <v>M5VNU3</v>
      </c>
      <c r="D10896" s="2" t="s">
        <v>9281</v>
      </c>
      <c r="E10896" s="3">
        <v>4.0500000000000001E-69</v>
      </c>
      <c r="F10896" s="2">
        <v>588</v>
      </c>
      <c r="G10896" s="2">
        <v>100</v>
      </c>
      <c r="H10896" s="2">
        <v>113</v>
      </c>
      <c r="I10896" s="2">
        <v>1</v>
      </c>
      <c r="J10896" s="2">
        <v>339</v>
      </c>
      <c r="K10896" s="2">
        <v>411</v>
      </c>
      <c r="L10896" s="2">
        <v>523</v>
      </c>
    </row>
    <row r="10897" spans="1:12" x14ac:dyDescent="0.25">
      <c r="A10897" s="4" t="str">
        <f>HYPERLINK("http://www.rosaceae.org/Prunus/Prunus_persica/p.persica_gdr_reftransV1_0007375","p.persica_gdr_reftransV1_0007375")</f>
        <v>p.persica_gdr_reftransV1_0007375</v>
      </c>
      <c r="B10897" s="2">
        <v>1575</v>
      </c>
      <c r="C10897" s="4" t="str">
        <f>HYPERLINK("http://www.uniprot.org/uniprot/M5XD81","M5XD81")</f>
        <v>M5XD81</v>
      </c>
      <c r="D10897" s="2" t="s">
        <v>9282</v>
      </c>
      <c r="E10897" s="3">
        <v>1.06E-148</v>
      </c>
      <c r="F10897" s="2">
        <v>1137</v>
      </c>
      <c r="G10897" s="2">
        <v>100</v>
      </c>
      <c r="H10897" s="2">
        <v>235</v>
      </c>
      <c r="I10897" s="2">
        <v>102</v>
      </c>
      <c r="J10897" s="2">
        <v>806</v>
      </c>
      <c r="K10897" s="2">
        <v>1</v>
      </c>
      <c r="L10897" s="2">
        <v>235</v>
      </c>
    </row>
    <row r="10898" spans="1:12" x14ac:dyDescent="0.25">
      <c r="A10898" s="4" t="str">
        <f>HYPERLINK("http://www.rosaceae.org/Prunus/Prunus_persica/p.persica_gdr_reftransV1_0007725","p.persica_gdr_reftransV1_0007725")</f>
        <v>p.persica_gdr_reftransV1_0007725</v>
      </c>
      <c r="B10898" s="2">
        <v>2815</v>
      </c>
      <c r="C10898" s="4" t="str">
        <f>HYPERLINK("http://www.uniprot.org/uniprot/M5XIV3","M5XIV3")</f>
        <v>M5XIV3</v>
      </c>
      <c r="D10898" s="2" t="s">
        <v>9283</v>
      </c>
      <c r="E10898" s="3">
        <v>0</v>
      </c>
      <c r="F10898" s="2">
        <v>2855</v>
      </c>
      <c r="G10898" s="2">
        <v>94</v>
      </c>
      <c r="H10898" s="2">
        <v>581</v>
      </c>
      <c r="I10898" s="2">
        <v>136</v>
      </c>
      <c r="J10898" s="2">
        <v>1878</v>
      </c>
      <c r="K10898" s="2">
        <v>1</v>
      </c>
      <c r="L10898" s="2">
        <v>548</v>
      </c>
    </row>
    <row r="10899" spans="1:12" x14ac:dyDescent="0.25">
      <c r="A10899" s="4" t="str">
        <f>HYPERLINK("http://www.rosaceae.org/Prunus/Prunus_persica/p.persica_gdr_reftransV1_0008075","p.persica_gdr_reftransV1_0008075")</f>
        <v>p.persica_gdr_reftransV1_0008075</v>
      </c>
      <c r="B10899" s="2">
        <v>2734</v>
      </c>
      <c r="C10899" s="4" t="str">
        <f>HYPERLINK("http://www.uniprot.org/uniprot/M5XVW8","M5XVW8")</f>
        <v>M5XVW8</v>
      </c>
      <c r="D10899" s="2" t="s">
        <v>9284</v>
      </c>
      <c r="E10899" s="3">
        <v>0</v>
      </c>
      <c r="F10899" s="2">
        <v>4011</v>
      </c>
      <c r="G10899" s="2">
        <v>100</v>
      </c>
      <c r="H10899" s="2">
        <v>799</v>
      </c>
      <c r="I10899" s="2">
        <v>139</v>
      </c>
      <c r="J10899" s="2">
        <v>2535</v>
      </c>
      <c r="K10899" s="2">
        <v>1</v>
      </c>
      <c r="L10899" s="2">
        <v>799</v>
      </c>
    </row>
    <row r="10900" spans="1:12" x14ac:dyDescent="0.25">
      <c r="A10900" s="4" t="str">
        <f>HYPERLINK("http://www.rosaceae.org/Prunus/Prunus_persica/p.persica_gdr_reftransV1_0008425","p.persica_gdr_reftransV1_0008425")</f>
        <v>p.persica_gdr_reftransV1_0008425</v>
      </c>
      <c r="B10900" s="2">
        <v>1295</v>
      </c>
      <c r="C10900" s="4" t="str">
        <f>HYPERLINK("http://www.uniprot.org/uniprot/M5XDE4","M5XDE4")</f>
        <v>M5XDE4</v>
      </c>
      <c r="D10900" s="2" t="s">
        <v>2058</v>
      </c>
      <c r="E10900" s="3">
        <v>0</v>
      </c>
      <c r="F10900" s="2">
        <v>1389</v>
      </c>
      <c r="G10900" s="2">
        <v>100</v>
      </c>
      <c r="H10900" s="2">
        <v>258</v>
      </c>
      <c r="I10900" s="2">
        <v>3</v>
      </c>
      <c r="J10900" s="2">
        <v>776</v>
      </c>
      <c r="K10900" s="2">
        <v>211</v>
      </c>
      <c r="L10900" s="2">
        <v>468</v>
      </c>
    </row>
    <row r="10901" spans="1:12" x14ac:dyDescent="0.25">
      <c r="A10901" s="4" t="str">
        <f>HYPERLINK("http://www.rosaceae.org/Prunus/Prunus_persica/p.persica_gdr_reftransV1_0008775","p.persica_gdr_reftransV1_0008775")</f>
        <v>p.persica_gdr_reftransV1_0008775</v>
      </c>
      <c r="B10901" s="2">
        <v>881</v>
      </c>
      <c r="C10901" s="4" t="str">
        <f>HYPERLINK("http://www.uniprot.org/uniprot/M5VNL3","M5VNL3")</f>
        <v>M5VNL3</v>
      </c>
      <c r="D10901" s="2" t="s">
        <v>9285</v>
      </c>
      <c r="E10901" s="3">
        <v>9.09E-56</v>
      </c>
      <c r="F10901" s="2">
        <v>473</v>
      </c>
      <c r="G10901" s="2">
        <v>92</v>
      </c>
      <c r="H10901" s="2">
        <v>101</v>
      </c>
      <c r="I10901" s="2">
        <v>388</v>
      </c>
      <c r="J10901" s="2">
        <v>684</v>
      </c>
      <c r="K10901" s="2">
        <v>1</v>
      </c>
      <c r="L10901" s="2">
        <v>101</v>
      </c>
    </row>
    <row r="10902" spans="1:12" x14ac:dyDescent="0.25">
      <c r="A10902" s="4" t="str">
        <f>HYPERLINK("http://www.rosaceae.org/Prunus/Prunus_persica/p.persica_gdr_reftransV1_0009125","p.persica_gdr_reftransV1_0009125")</f>
        <v>p.persica_gdr_reftransV1_0009125</v>
      </c>
      <c r="B10902" s="2">
        <v>620</v>
      </c>
      <c r="C10902" s="4" t="str">
        <f>HYPERLINK("http://www.uniprot.org/uniprot/M5X8S2","M5X8S2")</f>
        <v>M5X8S2</v>
      </c>
      <c r="D10902" s="2" t="s">
        <v>9286</v>
      </c>
      <c r="E10902" s="3">
        <v>3.5600000000000001E-28</v>
      </c>
      <c r="F10902" s="2">
        <v>306</v>
      </c>
      <c r="G10902" s="2">
        <v>99</v>
      </c>
      <c r="H10902" s="2">
        <v>160</v>
      </c>
      <c r="I10902" s="2">
        <v>3</v>
      </c>
      <c r="J10902" s="2">
        <v>482</v>
      </c>
      <c r="K10902" s="2">
        <v>66</v>
      </c>
      <c r="L10902" s="2">
        <v>225</v>
      </c>
    </row>
    <row r="10903" spans="1:12" x14ac:dyDescent="0.25">
      <c r="A10903" s="4" t="str">
        <f>HYPERLINK("http://www.rosaceae.org/Prunus/Prunus_persica/p.persica_gdr_reftransV1_0009825","p.persica_gdr_reftransV1_0009825")</f>
        <v>p.persica_gdr_reftransV1_0009825</v>
      </c>
      <c r="B10903" s="2">
        <v>3029</v>
      </c>
      <c r="C10903" s="4" t="str">
        <f>HYPERLINK("http://www.uniprot.org/uniprot/M5WC76","M5WC76")</f>
        <v>M5WC76</v>
      </c>
      <c r="D10903" s="2" t="s">
        <v>9287</v>
      </c>
      <c r="E10903" s="3">
        <v>0</v>
      </c>
      <c r="F10903" s="2">
        <v>4072</v>
      </c>
      <c r="G10903" s="2">
        <v>96</v>
      </c>
      <c r="H10903" s="2">
        <v>821</v>
      </c>
      <c r="I10903" s="2">
        <v>247</v>
      </c>
      <c r="J10903" s="2">
        <v>2709</v>
      </c>
      <c r="K10903" s="2">
        <v>1</v>
      </c>
      <c r="L10903" s="2">
        <v>797</v>
      </c>
    </row>
    <row r="10904" spans="1:12" x14ac:dyDescent="0.25">
      <c r="A10904" s="4" t="str">
        <f>HYPERLINK("http://www.rosaceae.org/Prunus/Prunus_persica/p.persica_gdr_reftransV1_0010175","p.persica_gdr_reftransV1_0010175")</f>
        <v>p.persica_gdr_reftransV1_0010175</v>
      </c>
      <c r="B10904" s="2">
        <v>1012</v>
      </c>
      <c r="C10904" s="4" t="str">
        <f>HYPERLINK("http://www.uniprot.org/uniprot/Q9TGM2","Q9TGM2")</f>
        <v>Q9TGM2</v>
      </c>
      <c r="D10904" s="2" t="s">
        <v>9288</v>
      </c>
      <c r="E10904" s="3">
        <v>3.1899999999999999E-137</v>
      </c>
      <c r="F10904" s="2">
        <v>1033</v>
      </c>
      <c r="G10904" s="2">
        <v>98</v>
      </c>
      <c r="H10904" s="2">
        <v>256</v>
      </c>
      <c r="I10904" s="2">
        <v>207</v>
      </c>
      <c r="J10904" s="2">
        <v>974</v>
      </c>
      <c r="K10904" s="2">
        <v>2</v>
      </c>
      <c r="L10904" s="2">
        <v>257</v>
      </c>
    </row>
    <row r="10905" spans="1:12" x14ac:dyDescent="0.25">
      <c r="A10905" s="4" t="str">
        <f>HYPERLINK("http://www.rosaceae.org/Prunus/Prunus_persica/p.persica_gdr_reftransV1_0010525","p.persica_gdr_reftransV1_0010525")</f>
        <v>p.persica_gdr_reftransV1_0010525</v>
      </c>
      <c r="B10905" s="2">
        <v>4896</v>
      </c>
      <c r="C10905" s="4" t="str">
        <f>HYPERLINK("http://www.uniprot.org/uniprot/M5XMF5","M5XMF5")</f>
        <v>M5XMF5</v>
      </c>
      <c r="D10905" s="2" t="s">
        <v>9289</v>
      </c>
      <c r="E10905" s="3">
        <v>0</v>
      </c>
      <c r="F10905" s="2">
        <v>7452</v>
      </c>
      <c r="G10905" s="2">
        <v>96</v>
      </c>
      <c r="H10905" s="2">
        <v>1570</v>
      </c>
      <c r="I10905" s="2">
        <v>215</v>
      </c>
      <c r="J10905" s="2">
        <v>4867</v>
      </c>
      <c r="K10905" s="2">
        <v>105</v>
      </c>
      <c r="L10905" s="2">
        <v>1646</v>
      </c>
    </row>
    <row r="10906" spans="1:12" x14ac:dyDescent="0.25">
      <c r="A10906" s="4" t="str">
        <f>HYPERLINK("http://www.rosaceae.org/Prunus/Prunus_persica/p.persica_gdr_reftransV1_0011225","p.persica_gdr_reftransV1_0011225")</f>
        <v>p.persica_gdr_reftransV1_0011225</v>
      </c>
      <c r="B10906" s="2">
        <v>2258</v>
      </c>
      <c r="C10906" s="4" t="str">
        <f>HYPERLINK("http://www.uniprot.org/uniprot/M5X0X2","M5X0X2")</f>
        <v>M5X0X2</v>
      </c>
      <c r="D10906" s="2" t="s">
        <v>9290</v>
      </c>
      <c r="E10906" s="3">
        <v>0</v>
      </c>
      <c r="F10906" s="2">
        <v>1823</v>
      </c>
      <c r="G10906" s="2">
        <v>100</v>
      </c>
      <c r="H10906" s="2">
        <v>349</v>
      </c>
      <c r="I10906" s="2">
        <v>1033</v>
      </c>
      <c r="J10906" s="2">
        <v>2079</v>
      </c>
      <c r="K10906" s="2">
        <v>1</v>
      </c>
      <c r="L10906" s="2">
        <v>349</v>
      </c>
    </row>
    <row r="10907" spans="1:12" x14ac:dyDescent="0.25">
      <c r="A10907" s="4" t="str">
        <f>HYPERLINK("http://www.rosaceae.org/Prunus/Prunus_persica/p.persica_gdr_reftransV1_0011575","p.persica_gdr_reftransV1_0011575")</f>
        <v>p.persica_gdr_reftransV1_0011575</v>
      </c>
      <c r="B10907" s="2">
        <v>1518</v>
      </c>
      <c r="C10907" s="4" t="str">
        <f>HYPERLINK("http://www.uniprot.org/uniprot/M5XFR0","M5XFR0")</f>
        <v>M5XFR0</v>
      </c>
      <c r="D10907" s="2" t="s">
        <v>9291</v>
      </c>
      <c r="E10907" s="3">
        <v>0</v>
      </c>
      <c r="F10907" s="2">
        <v>2045</v>
      </c>
      <c r="G10907" s="2">
        <v>100</v>
      </c>
      <c r="H10907" s="2">
        <v>382</v>
      </c>
      <c r="I10907" s="2">
        <v>292</v>
      </c>
      <c r="J10907" s="2">
        <v>1437</v>
      </c>
      <c r="K10907" s="2">
        <v>1</v>
      </c>
      <c r="L10907" s="2">
        <v>382</v>
      </c>
    </row>
    <row r="10908" spans="1:12" x14ac:dyDescent="0.25">
      <c r="A10908" s="4" t="str">
        <f>HYPERLINK("http://www.rosaceae.org/Prunus/Prunus_persica/p.persica_gdr_reftransV1_0011925","p.persica_gdr_reftransV1_0011925")</f>
        <v>p.persica_gdr_reftransV1_0011925</v>
      </c>
      <c r="B10908" s="2">
        <v>2002</v>
      </c>
      <c r="C10908" s="4" t="str">
        <f>HYPERLINK("http://www.uniprot.org/uniprot/M5WTX2","M5WTX2")</f>
        <v>M5WTX2</v>
      </c>
      <c r="D10908" s="2" t="s">
        <v>9292</v>
      </c>
      <c r="E10908" s="3">
        <v>2.06E-126</v>
      </c>
      <c r="F10908" s="2">
        <v>993</v>
      </c>
      <c r="G10908" s="2">
        <v>100</v>
      </c>
      <c r="H10908" s="2">
        <v>266</v>
      </c>
      <c r="I10908" s="2">
        <v>522</v>
      </c>
      <c r="J10908" s="2">
        <v>1319</v>
      </c>
      <c r="K10908" s="2">
        <v>1</v>
      </c>
      <c r="L10908" s="2">
        <v>266</v>
      </c>
    </row>
    <row r="10909" spans="1:12" x14ac:dyDescent="0.25">
      <c r="A10909" s="4" t="str">
        <f>HYPERLINK("http://www.rosaceae.org/Prunus/Prunus_persica/p.persica_gdr_reftransV1_0012275","p.persica_gdr_reftransV1_0012275")</f>
        <v>p.persica_gdr_reftransV1_0012275</v>
      </c>
      <c r="B10909" s="2">
        <v>871</v>
      </c>
      <c r="C10909" s="4" t="str">
        <f>HYPERLINK("http://www.uniprot.org/uniprot/M5VTK1","M5VTK1")</f>
        <v>M5VTK1</v>
      </c>
      <c r="D10909" s="2" t="s">
        <v>4115</v>
      </c>
      <c r="E10909" s="3">
        <v>5.7700000000000002E-169</v>
      </c>
      <c r="F10909" s="2">
        <v>1281</v>
      </c>
      <c r="G10909" s="2">
        <v>100</v>
      </c>
      <c r="H10909" s="2">
        <v>255</v>
      </c>
      <c r="I10909" s="2">
        <v>2</v>
      </c>
      <c r="J10909" s="2">
        <v>766</v>
      </c>
      <c r="K10909" s="2">
        <v>468</v>
      </c>
      <c r="L10909" s="2">
        <v>722</v>
      </c>
    </row>
    <row r="10910" spans="1:12" x14ac:dyDescent="0.25">
      <c r="A10910" s="4" t="str">
        <f>HYPERLINK("http://www.rosaceae.org/Prunus/Prunus_persica/p.persica_gdr_reftransV1_0012625","p.persica_gdr_reftransV1_0012625")</f>
        <v>p.persica_gdr_reftransV1_0012625</v>
      </c>
      <c r="B10910" s="2">
        <v>2767</v>
      </c>
      <c r="C10910" s="4" t="str">
        <f>HYPERLINK("http://www.uniprot.org/uniprot/M5W6U1","M5W6U1")</f>
        <v>M5W6U1</v>
      </c>
      <c r="D10910" s="2" t="s">
        <v>9293</v>
      </c>
      <c r="E10910" s="3">
        <v>0</v>
      </c>
      <c r="F10910" s="2">
        <v>2888</v>
      </c>
      <c r="G10910" s="2">
        <v>100</v>
      </c>
      <c r="H10910" s="2">
        <v>630</v>
      </c>
      <c r="I10910" s="2">
        <v>263</v>
      </c>
      <c r="J10910" s="2">
        <v>2152</v>
      </c>
      <c r="K10910" s="2">
        <v>1</v>
      </c>
      <c r="L10910" s="2">
        <v>629</v>
      </c>
    </row>
    <row r="10911" spans="1:12" x14ac:dyDescent="0.25">
      <c r="A10911" s="4" t="str">
        <f>HYPERLINK("http://www.rosaceae.org/Prunus/Prunus_persica/p.persica_gdr_reftransV1_0013325","p.persica_gdr_reftransV1_0013325")</f>
        <v>p.persica_gdr_reftransV1_0013325</v>
      </c>
      <c r="B10911" s="2">
        <v>900</v>
      </c>
      <c r="C10911" s="4" t="str">
        <f>HYPERLINK("http://www.uniprot.org/uniprot/M5XFC9","M5XFC9")</f>
        <v>M5XFC9</v>
      </c>
      <c r="D10911" s="2" t="s">
        <v>9294</v>
      </c>
      <c r="E10911" s="3">
        <v>2.6E-135</v>
      </c>
      <c r="F10911" s="2">
        <v>1011</v>
      </c>
      <c r="G10911" s="2">
        <v>100</v>
      </c>
      <c r="H10911" s="2">
        <v>206</v>
      </c>
      <c r="I10911" s="2">
        <v>235</v>
      </c>
      <c r="J10911" s="2">
        <v>852</v>
      </c>
      <c r="K10911" s="2">
        <v>6</v>
      </c>
      <c r="L10911" s="2">
        <v>211</v>
      </c>
    </row>
    <row r="10912" spans="1:12" x14ac:dyDescent="0.25">
      <c r="A10912" s="4" t="str">
        <f>HYPERLINK("http://www.rosaceae.org/Prunus/Prunus_persica/p.persica_gdr_reftransV1_0014025","p.persica_gdr_reftransV1_0014025")</f>
        <v>p.persica_gdr_reftransV1_0014025</v>
      </c>
      <c r="B10912" s="2">
        <v>1555</v>
      </c>
      <c r="C10912" s="4" t="str">
        <f>HYPERLINK("http://www.uniprot.org/uniprot/M5WHH4","M5WHH4")</f>
        <v>M5WHH4</v>
      </c>
      <c r="D10912" s="2" t="s">
        <v>9295</v>
      </c>
      <c r="E10912" s="3">
        <v>4.34E-16</v>
      </c>
      <c r="F10912" s="2">
        <v>219</v>
      </c>
      <c r="G10912" s="2">
        <v>95</v>
      </c>
      <c r="H10912" s="2">
        <v>43</v>
      </c>
      <c r="I10912" s="2">
        <v>882</v>
      </c>
      <c r="J10912" s="2">
        <v>1010</v>
      </c>
      <c r="K10912" s="2">
        <v>302</v>
      </c>
      <c r="L10912" s="2">
        <v>344</v>
      </c>
    </row>
    <row r="10913" spans="1:12" x14ac:dyDescent="0.25">
      <c r="A10913" s="4" t="str">
        <f>HYPERLINK("http://www.rosaceae.org/Prunus/Prunus_persica/p.persica_gdr_reftransV1_0014375","p.persica_gdr_reftransV1_0014375")</f>
        <v>p.persica_gdr_reftransV1_0014375</v>
      </c>
      <c r="B10913" s="2">
        <v>900</v>
      </c>
      <c r="C10913" s="4" t="str">
        <f>HYPERLINK("http://www.uniprot.org/uniprot/M5W9W6","M5W9W6")</f>
        <v>M5W9W6</v>
      </c>
      <c r="D10913" s="2" t="s">
        <v>9296</v>
      </c>
      <c r="E10913" s="3">
        <v>3.5499999999999998E-106</v>
      </c>
      <c r="F10913" s="2">
        <v>824</v>
      </c>
      <c r="G10913" s="2">
        <v>100</v>
      </c>
      <c r="H10913" s="2">
        <v>200</v>
      </c>
      <c r="I10913" s="2">
        <v>300</v>
      </c>
      <c r="J10913" s="2">
        <v>899</v>
      </c>
      <c r="K10913" s="2">
        <v>1</v>
      </c>
      <c r="L10913" s="2">
        <v>200</v>
      </c>
    </row>
    <row r="10914" spans="1:12" x14ac:dyDescent="0.25">
      <c r="A10914" s="4" t="str">
        <f>HYPERLINK("http://www.rosaceae.org/Prunus/Prunus_persica/p.persica_gdr_reftransV1_0016125","p.persica_gdr_reftransV1_0016125")</f>
        <v>p.persica_gdr_reftransV1_0016125</v>
      </c>
      <c r="B10914" s="2">
        <v>4258</v>
      </c>
      <c r="C10914" s="4" t="str">
        <f>HYPERLINK("http://www.uniprot.org/uniprot/M5W7J3","M5W7J3")</f>
        <v>M5W7J3</v>
      </c>
      <c r="D10914" s="2" t="s">
        <v>9297</v>
      </c>
      <c r="E10914" s="3">
        <v>0</v>
      </c>
      <c r="F10914" s="2">
        <v>2729</v>
      </c>
      <c r="G10914" s="2">
        <v>98</v>
      </c>
      <c r="H10914" s="2">
        <v>538</v>
      </c>
      <c r="I10914" s="2">
        <v>630</v>
      </c>
      <c r="J10914" s="2">
        <v>2222</v>
      </c>
      <c r="K10914" s="2">
        <v>21</v>
      </c>
      <c r="L10914" s="2">
        <v>558</v>
      </c>
    </row>
    <row r="10915" spans="1:12" x14ac:dyDescent="0.25">
      <c r="A10915" s="4" t="str">
        <f>HYPERLINK("http://www.rosaceae.org/Prunus/Prunus_persica/p.persica_gdr_reftransV1_0016825","p.persica_gdr_reftransV1_0016825")</f>
        <v>p.persica_gdr_reftransV1_0016825</v>
      </c>
      <c r="B10915" s="2">
        <v>648</v>
      </c>
      <c r="C10915" s="4" t="str">
        <f>HYPERLINK("http://www.uniprot.org/uniprot/M5X216","M5X216")</f>
        <v>M5X216</v>
      </c>
      <c r="D10915" s="2" t="s">
        <v>9298</v>
      </c>
      <c r="E10915" s="3">
        <v>2.35E-101</v>
      </c>
      <c r="F10915" s="2">
        <v>820</v>
      </c>
      <c r="G10915" s="2">
        <v>100</v>
      </c>
      <c r="H10915" s="2">
        <v>155</v>
      </c>
      <c r="I10915" s="2">
        <v>3</v>
      </c>
      <c r="J10915" s="2">
        <v>467</v>
      </c>
      <c r="K10915" s="2">
        <v>561</v>
      </c>
      <c r="L10915" s="2">
        <v>715</v>
      </c>
    </row>
    <row r="10916" spans="1:12" x14ac:dyDescent="0.25">
      <c r="A10916" s="4" t="str">
        <f>HYPERLINK("http://www.rosaceae.org/Prunus/Prunus_persica/p.persica_gdr_reftransV1_0017525","p.persica_gdr_reftransV1_0017525")</f>
        <v>p.persica_gdr_reftransV1_0017525</v>
      </c>
      <c r="B10916" s="2">
        <v>1984</v>
      </c>
      <c r="C10916" s="4" t="str">
        <f>HYPERLINK("http://www.uniprot.org/uniprot/M5W4N6","M5W4N6")</f>
        <v>M5W4N6</v>
      </c>
      <c r="D10916" s="2" t="s">
        <v>9299</v>
      </c>
      <c r="E10916" s="3">
        <v>0</v>
      </c>
      <c r="F10916" s="2">
        <v>2067</v>
      </c>
      <c r="G10916" s="2">
        <v>100</v>
      </c>
      <c r="H10916" s="2">
        <v>443</v>
      </c>
      <c r="I10916" s="2">
        <v>362</v>
      </c>
      <c r="J10916" s="2">
        <v>1690</v>
      </c>
      <c r="K10916" s="2">
        <v>1</v>
      </c>
      <c r="L10916" s="2">
        <v>443</v>
      </c>
    </row>
    <row r="10917" spans="1:12" x14ac:dyDescent="0.25">
      <c r="A10917" s="4" t="str">
        <f>HYPERLINK("http://www.rosaceae.org/Prunus/Prunus_persica/p.persica_gdr_reftransV1_0018925","p.persica_gdr_reftransV1_0018925")</f>
        <v>p.persica_gdr_reftransV1_0018925</v>
      </c>
      <c r="B10917" s="2">
        <v>1844</v>
      </c>
      <c r="C10917" s="4" t="str">
        <f>HYPERLINK("http://www.uniprot.org/uniprot/M5X4H2","M5X4H2")</f>
        <v>M5X4H2</v>
      </c>
      <c r="D10917" s="2" t="s">
        <v>9300</v>
      </c>
      <c r="E10917" s="3">
        <v>0</v>
      </c>
      <c r="F10917" s="2">
        <v>2608</v>
      </c>
      <c r="G10917" s="2">
        <v>100</v>
      </c>
      <c r="H10917" s="2">
        <v>502</v>
      </c>
      <c r="I10917" s="2">
        <v>26</v>
      </c>
      <c r="J10917" s="2">
        <v>1531</v>
      </c>
      <c r="K10917" s="2">
        <v>1</v>
      </c>
      <c r="L10917" s="2">
        <v>502</v>
      </c>
    </row>
    <row r="10918" spans="1:12" x14ac:dyDescent="0.25">
      <c r="A10918" s="4" t="str">
        <f>HYPERLINK("http://www.rosaceae.org/Prunus/Prunus_persica/p.persica_gdr_reftransV1_0019975","p.persica_gdr_reftransV1_0019975")</f>
        <v>p.persica_gdr_reftransV1_0019975</v>
      </c>
      <c r="B10918" s="2">
        <v>1481</v>
      </c>
      <c r="C10918" s="4" t="str">
        <f>HYPERLINK("http://www.uniprot.org/uniprot/M5WRS8","M5WRS8")</f>
        <v>M5WRS8</v>
      </c>
      <c r="D10918" s="2" t="s">
        <v>488</v>
      </c>
      <c r="E10918" s="3">
        <v>6.6300000000000004E-106</v>
      </c>
      <c r="F10918" s="2">
        <v>835</v>
      </c>
      <c r="G10918" s="2">
        <v>100</v>
      </c>
      <c r="H10918" s="2">
        <v>187</v>
      </c>
      <c r="I10918" s="2">
        <v>453</v>
      </c>
      <c r="J10918" s="2">
        <v>1013</v>
      </c>
      <c r="K10918" s="2">
        <v>11</v>
      </c>
      <c r="L10918" s="2">
        <v>197</v>
      </c>
    </row>
    <row r="10919" spans="1:12" x14ac:dyDescent="0.25">
      <c r="A10919" s="4" t="str">
        <f>HYPERLINK("http://www.rosaceae.org/Prunus/Prunus_persica/p.persica_gdr_reftransV1_0020675","p.persica_gdr_reftransV1_0020675")</f>
        <v>p.persica_gdr_reftransV1_0020675</v>
      </c>
      <c r="B10919" s="2">
        <v>2223</v>
      </c>
      <c r="C10919" s="4" t="str">
        <f>HYPERLINK("http://www.uniprot.org/uniprot/M5WX12","M5WX12")</f>
        <v>M5WX12</v>
      </c>
      <c r="D10919" s="2" t="s">
        <v>9301</v>
      </c>
      <c r="E10919" s="3">
        <v>0</v>
      </c>
      <c r="F10919" s="2">
        <v>3080</v>
      </c>
      <c r="G10919" s="2">
        <v>97</v>
      </c>
      <c r="H10919" s="2">
        <v>677</v>
      </c>
      <c r="I10919" s="2">
        <v>129</v>
      </c>
      <c r="J10919" s="2">
        <v>2159</v>
      </c>
      <c r="K10919" s="2">
        <v>1</v>
      </c>
      <c r="L10919" s="2">
        <v>657</v>
      </c>
    </row>
    <row r="10920" spans="1:12" x14ac:dyDescent="0.25">
      <c r="A10920" s="4" t="str">
        <f>HYPERLINK("http://www.rosaceae.org/Prunus/Prunus_persica/p.persica_gdr_reftransV1_0021375","p.persica_gdr_reftransV1_0021375")</f>
        <v>p.persica_gdr_reftransV1_0021375</v>
      </c>
      <c r="B10920" s="2">
        <v>1025</v>
      </c>
      <c r="C10920" s="4" t="str">
        <f>HYPERLINK("http://www.uniprot.org/uniprot/M5XEQ1","M5XEQ1")</f>
        <v>M5XEQ1</v>
      </c>
      <c r="D10920" s="2" t="s">
        <v>9302</v>
      </c>
      <c r="E10920" s="3">
        <v>8.5999999999999995E-156</v>
      </c>
      <c r="F10920" s="2">
        <v>1152</v>
      </c>
      <c r="G10920" s="2">
        <v>100</v>
      </c>
      <c r="H10920" s="2">
        <v>219</v>
      </c>
      <c r="I10920" s="2">
        <v>354</v>
      </c>
      <c r="J10920" s="2">
        <v>1010</v>
      </c>
      <c r="K10920" s="2">
        <v>1</v>
      </c>
      <c r="L10920" s="2">
        <v>219</v>
      </c>
    </row>
    <row r="10921" spans="1:12" x14ac:dyDescent="0.25">
      <c r="A10921" s="4" t="str">
        <f>HYPERLINK("http://www.rosaceae.org/Prunus/Prunus_persica/p.persica_gdr_reftransV1_0021725","p.persica_gdr_reftransV1_0021725")</f>
        <v>p.persica_gdr_reftransV1_0021725</v>
      </c>
      <c r="B10921" s="2">
        <v>546</v>
      </c>
      <c r="C10921" s="4" t="str">
        <f>HYPERLINK("http://www.uniprot.org/uniprot/M5W6J8","M5W6J8")</f>
        <v>M5W6J8</v>
      </c>
      <c r="D10921" s="2" t="s">
        <v>2172</v>
      </c>
      <c r="E10921" s="3">
        <v>1.6299999999999999E-114</v>
      </c>
      <c r="F10921" s="2">
        <v>871</v>
      </c>
      <c r="G10921" s="2">
        <v>100</v>
      </c>
      <c r="H10921" s="2">
        <v>162</v>
      </c>
      <c r="I10921" s="2">
        <v>2</v>
      </c>
      <c r="J10921" s="2">
        <v>487</v>
      </c>
      <c r="K10921" s="2">
        <v>4</v>
      </c>
      <c r="L10921" s="2">
        <v>165</v>
      </c>
    </row>
    <row r="10922" spans="1:12" x14ac:dyDescent="0.25">
      <c r="A10922" s="4" t="str">
        <f>HYPERLINK("http://www.rosaceae.org/Prunus/Prunus_persica/p.persica_gdr_reftransV1_0022075","p.persica_gdr_reftransV1_0022075")</f>
        <v>p.persica_gdr_reftransV1_0022075</v>
      </c>
      <c r="B10922" s="2">
        <v>1730</v>
      </c>
      <c r="C10922" s="4" t="str">
        <f>HYPERLINK("http://www.uniprot.org/uniprot/M5X917","M5X917")</f>
        <v>M5X917</v>
      </c>
      <c r="D10922" s="2" t="s">
        <v>9303</v>
      </c>
      <c r="E10922" s="3">
        <v>0</v>
      </c>
      <c r="F10922" s="2">
        <v>1967</v>
      </c>
      <c r="G10922" s="2">
        <v>93</v>
      </c>
      <c r="H10922" s="2">
        <v>403</v>
      </c>
      <c r="I10922" s="2">
        <v>73</v>
      </c>
      <c r="J10922" s="2">
        <v>1281</v>
      </c>
      <c r="K10922" s="2">
        <v>14</v>
      </c>
      <c r="L10922" s="2">
        <v>389</v>
      </c>
    </row>
    <row r="10923" spans="1:12" x14ac:dyDescent="0.25">
      <c r="A10923" s="4" t="str">
        <f>HYPERLINK("http://www.rosaceae.org/Prunus/Prunus_persica/p.persica_gdr_reftransV1_0023475","p.persica_gdr_reftransV1_0023475")</f>
        <v>p.persica_gdr_reftransV1_0023475</v>
      </c>
      <c r="B10923" s="2">
        <v>772</v>
      </c>
      <c r="C10923" s="4" t="str">
        <f>HYPERLINK("http://www.uniprot.org/uniprot/M5WHP3","M5WHP3")</f>
        <v>M5WHP3</v>
      </c>
      <c r="D10923" s="2" t="s">
        <v>9304</v>
      </c>
      <c r="E10923" s="3">
        <v>5.1400000000000002E-142</v>
      </c>
      <c r="F10923" s="2">
        <v>1051</v>
      </c>
      <c r="G10923" s="2">
        <v>100</v>
      </c>
      <c r="H10923" s="2">
        <v>218</v>
      </c>
      <c r="I10923" s="2">
        <v>114</v>
      </c>
      <c r="J10923" s="2">
        <v>767</v>
      </c>
      <c r="K10923" s="2">
        <v>1</v>
      </c>
      <c r="L10923" s="2">
        <v>218</v>
      </c>
    </row>
    <row r="10924" spans="1:12" x14ac:dyDescent="0.25">
      <c r="A10924" s="4" t="str">
        <f>HYPERLINK("http://www.rosaceae.org/Prunus/Prunus_persica/p.persica_gdr_reftransV1_0023825","p.persica_gdr_reftransV1_0023825")</f>
        <v>p.persica_gdr_reftransV1_0023825</v>
      </c>
      <c r="B10924" s="2">
        <v>783</v>
      </c>
      <c r="C10924" s="4" t="str">
        <f>HYPERLINK("http://www.uniprot.org/uniprot/M5X1N8","M5X1N8")</f>
        <v>M5X1N8</v>
      </c>
      <c r="D10924" s="2" t="s">
        <v>9305</v>
      </c>
      <c r="E10924" s="3">
        <v>7.5700000000000001E-116</v>
      </c>
      <c r="F10924" s="2">
        <v>882</v>
      </c>
      <c r="G10924" s="2">
        <v>100</v>
      </c>
      <c r="H10924" s="2">
        <v>236</v>
      </c>
      <c r="I10924" s="2">
        <v>75</v>
      </c>
      <c r="J10924" s="2">
        <v>782</v>
      </c>
      <c r="K10924" s="2">
        <v>6</v>
      </c>
      <c r="L10924" s="2">
        <v>241</v>
      </c>
    </row>
    <row r="10925" spans="1:12" x14ac:dyDescent="0.25">
      <c r="A10925" s="4" t="str">
        <f>HYPERLINK("http://www.rosaceae.org/Prunus/Prunus_persica/p.persica_gdr_reftransV1_0026625","p.persica_gdr_reftransV1_0026625")</f>
        <v>p.persica_gdr_reftransV1_0026625</v>
      </c>
      <c r="B10925" s="2">
        <v>3947</v>
      </c>
      <c r="C10925" s="4" t="str">
        <f>HYPERLINK("http://www.uniprot.org/uniprot/M5XI59","M5XI59")</f>
        <v>M5XI59</v>
      </c>
      <c r="D10925" s="2" t="s">
        <v>9306</v>
      </c>
      <c r="E10925" s="3">
        <v>0</v>
      </c>
      <c r="F10925" s="2">
        <v>5870</v>
      </c>
      <c r="G10925" s="2">
        <v>100</v>
      </c>
      <c r="H10925" s="2">
        <v>1155</v>
      </c>
      <c r="I10925" s="2">
        <v>112</v>
      </c>
      <c r="J10925" s="2">
        <v>3576</v>
      </c>
      <c r="K10925" s="2">
        <v>1</v>
      </c>
      <c r="L10925" s="2">
        <v>1155</v>
      </c>
    </row>
    <row r="10926" spans="1:12" x14ac:dyDescent="0.25">
      <c r="A10926" s="4" t="str">
        <f>HYPERLINK("http://www.rosaceae.org/Prunus/Prunus_persica/p.persica_gdr_reftransV1_0028725","p.persica_gdr_reftransV1_0028725")</f>
        <v>p.persica_gdr_reftransV1_0028725</v>
      </c>
      <c r="B10926" s="2">
        <v>1756</v>
      </c>
      <c r="C10926" s="4" t="str">
        <f>HYPERLINK("http://www.uniprot.org/uniprot/M5WNR2","M5WNR2")</f>
        <v>M5WNR2</v>
      </c>
      <c r="D10926" s="2" t="s">
        <v>124</v>
      </c>
      <c r="E10926" s="3">
        <v>3.86E-104</v>
      </c>
      <c r="F10926" s="2">
        <v>827</v>
      </c>
      <c r="G10926" s="2">
        <v>100</v>
      </c>
      <c r="H10926" s="2">
        <v>155</v>
      </c>
      <c r="I10926" s="2">
        <v>1007</v>
      </c>
      <c r="J10926" s="2">
        <v>1471</v>
      </c>
      <c r="K10926" s="2">
        <v>4</v>
      </c>
      <c r="L10926" s="2">
        <v>158</v>
      </c>
    </row>
    <row r="10927" spans="1:12" x14ac:dyDescent="0.25">
      <c r="A10927" s="4" t="str">
        <f>HYPERLINK("http://www.rosaceae.org/Prunus/Prunus_persica/p.persica_gdr_reftransV1_0029425","p.persica_gdr_reftransV1_0029425")</f>
        <v>p.persica_gdr_reftransV1_0029425</v>
      </c>
      <c r="B10927" s="2">
        <v>1634</v>
      </c>
      <c r="C10927" s="4" t="str">
        <f>HYPERLINK("http://www.uniprot.org/uniprot/A0A061GGH6","A0A061GGH6")</f>
        <v>A0A061GGH6</v>
      </c>
      <c r="D10927" s="2" t="s">
        <v>9307</v>
      </c>
      <c r="E10927" s="3">
        <v>5.7400000000000003E-47</v>
      </c>
      <c r="F10927" s="2">
        <v>444</v>
      </c>
      <c r="G10927" s="2">
        <v>58</v>
      </c>
      <c r="H10927" s="2">
        <v>209</v>
      </c>
      <c r="I10927" s="2">
        <v>867</v>
      </c>
      <c r="J10927" s="2">
        <v>1475</v>
      </c>
      <c r="K10927" s="2">
        <v>1</v>
      </c>
      <c r="L10927" s="2">
        <v>183</v>
      </c>
    </row>
    <row r="10928" spans="1:12" x14ac:dyDescent="0.25">
      <c r="A10928" s="4" t="str">
        <f>HYPERLINK("http://www.rosaceae.org/Prunus/Prunus_persica/p.persica_gdr_reftransV1_0031525","p.persica_gdr_reftransV1_0031525")</f>
        <v>p.persica_gdr_reftransV1_0031525</v>
      </c>
      <c r="B10928" s="2">
        <v>2874</v>
      </c>
      <c r="C10928" s="4" t="str">
        <f>HYPERLINK("http://www.uniprot.org/uniprot/M5Y1N5","M5Y1N5")</f>
        <v>M5Y1N5</v>
      </c>
      <c r="D10928" s="2" t="s">
        <v>9308</v>
      </c>
      <c r="E10928" s="3">
        <v>0</v>
      </c>
      <c r="F10928" s="2">
        <v>3151</v>
      </c>
      <c r="G10928" s="2">
        <v>94</v>
      </c>
      <c r="H10928" s="2">
        <v>648</v>
      </c>
      <c r="I10928" s="2">
        <v>442</v>
      </c>
      <c r="J10928" s="2">
        <v>2301</v>
      </c>
      <c r="K10928" s="2">
        <v>1</v>
      </c>
      <c r="L10928" s="2">
        <v>648</v>
      </c>
    </row>
    <row r="10929" spans="1:12" x14ac:dyDescent="0.25">
      <c r="A10929" s="4" t="str">
        <f>HYPERLINK("http://www.rosaceae.org/Prunus/Prunus_persica/p.persica_gdr_reftransV1_0031875","p.persica_gdr_reftransV1_0031875")</f>
        <v>p.persica_gdr_reftransV1_0031875</v>
      </c>
      <c r="B10929" s="2">
        <v>1117</v>
      </c>
      <c r="C10929" s="4" t="str">
        <f>HYPERLINK("http://www.uniprot.org/uniprot/M5WJE0","M5WJE0")</f>
        <v>M5WJE0</v>
      </c>
      <c r="D10929" s="2" t="s">
        <v>7931</v>
      </c>
      <c r="E10929" s="3">
        <v>1.0800000000000001E-100</v>
      </c>
      <c r="F10929" s="2">
        <v>784</v>
      </c>
      <c r="G10929" s="2">
        <v>100</v>
      </c>
      <c r="H10929" s="2">
        <v>151</v>
      </c>
      <c r="I10929" s="2">
        <v>166</v>
      </c>
      <c r="J10929" s="2">
        <v>618</v>
      </c>
      <c r="K10929" s="2">
        <v>1</v>
      </c>
      <c r="L10929" s="2">
        <v>151</v>
      </c>
    </row>
    <row r="10930" spans="1:12" x14ac:dyDescent="0.25">
      <c r="A10930" s="4" t="str">
        <f>HYPERLINK("http://www.rosaceae.org/Prunus/Prunus_persica/p.persica_gdr_reftransV1_0032925","p.persica_gdr_reftransV1_0032925")</f>
        <v>p.persica_gdr_reftransV1_0032925</v>
      </c>
      <c r="B10930" s="2">
        <v>2771</v>
      </c>
      <c r="C10930" s="4" t="str">
        <f>HYPERLINK("http://www.uniprot.org/uniprot/M5WM78","M5WM78")</f>
        <v>M5WM78</v>
      </c>
      <c r="D10930" s="2" t="s">
        <v>9309</v>
      </c>
      <c r="E10930" s="3">
        <v>0</v>
      </c>
      <c r="F10930" s="2">
        <v>3382</v>
      </c>
      <c r="G10930" s="2">
        <v>100</v>
      </c>
      <c r="H10930" s="2">
        <v>686</v>
      </c>
      <c r="I10930" s="2">
        <v>196</v>
      </c>
      <c r="J10930" s="2">
        <v>2253</v>
      </c>
      <c r="K10930" s="2">
        <v>1</v>
      </c>
      <c r="L10930" s="2">
        <v>686</v>
      </c>
    </row>
    <row r="10931" spans="1:12" x14ac:dyDescent="0.25">
      <c r="A10931" s="4" t="str">
        <f>HYPERLINK("http://www.rosaceae.org/Prunus/Prunus_persica/p.persica_gdr_reftransV1_0035725","p.persica_gdr_reftransV1_0035725")</f>
        <v>p.persica_gdr_reftransV1_0035725</v>
      </c>
      <c r="B10931" s="2">
        <v>562</v>
      </c>
      <c r="C10931" s="4" t="str">
        <f>HYPERLINK("http://www.uniprot.org/uniprot/M5XLE7","M5XLE7")</f>
        <v>M5XLE7</v>
      </c>
      <c r="D10931" s="2" t="s">
        <v>9310</v>
      </c>
      <c r="E10931" s="3">
        <v>2.9399999999999998E-53</v>
      </c>
      <c r="F10931" s="2">
        <v>447</v>
      </c>
      <c r="G10931" s="2">
        <v>100</v>
      </c>
      <c r="H10931" s="2">
        <v>106</v>
      </c>
      <c r="I10931" s="2">
        <v>191</v>
      </c>
      <c r="J10931" s="2">
        <v>508</v>
      </c>
      <c r="K10931" s="2">
        <v>1</v>
      </c>
      <c r="L10931" s="2">
        <v>106</v>
      </c>
    </row>
    <row r="10932" spans="1:12" x14ac:dyDescent="0.25">
      <c r="A10932" s="4" t="str">
        <f>HYPERLINK("http://www.rosaceae.org/Prunus/Prunus_persica/p.persica_gdr_reftransV1_0038875","p.persica_gdr_reftransV1_0038875")</f>
        <v>p.persica_gdr_reftransV1_0038875</v>
      </c>
      <c r="B10932" s="2">
        <v>595</v>
      </c>
      <c r="C10932" s="4" t="str">
        <f>HYPERLINK("http://www.uniprot.org/uniprot/M5WCH0","M5WCH0")</f>
        <v>M5WCH0</v>
      </c>
      <c r="D10932" s="2" t="s">
        <v>9311</v>
      </c>
      <c r="E10932" s="3">
        <v>8.0900000000000006E-74</v>
      </c>
      <c r="F10932" s="2">
        <v>585</v>
      </c>
      <c r="G10932" s="2">
        <v>100</v>
      </c>
      <c r="H10932" s="2">
        <v>109</v>
      </c>
      <c r="I10932" s="2">
        <v>116</v>
      </c>
      <c r="J10932" s="2">
        <v>442</v>
      </c>
      <c r="K10932" s="2">
        <v>1</v>
      </c>
      <c r="L10932" s="2">
        <v>109</v>
      </c>
    </row>
    <row r="10933" spans="1:12" x14ac:dyDescent="0.25">
      <c r="A10933" s="4" t="str">
        <f>HYPERLINK("http://www.rosaceae.org/Prunus/Prunus_persica/p.persica_gdr_reftransV1_0039225","p.persica_gdr_reftransV1_0039225")</f>
        <v>p.persica_gdr_reftransV1_0039225</v>
      </c>
      <c r="B10933" s="2">
        <v>3124</v>
      </c>
      <c r="C10933" s="4" t="str">
        <f>HYPERLINK("http://www.uniprot.org/uniprot/M5VVM6","M5VVM6")</f>
        <v>M5VVM6</v>
      </c>
      <c r="D10933" s="2" t="s">
        <v>6419</v>
      </c>
      <c r="E10933" s="3">
        <v>0</v>
      </c>
      <c r="F10933" s="2">
        <v>1976</v>
      </c>
      <c r="G10933" s="2">
        <v>92</v>
      </c>
      <c r="H10933" s="2">
        <v>451</v>
      </c>
      <c r="I10933" s="2">
        <v>1514</v>
      </c>
      <c r="J10933" s="2">
        <v>2866</v>
      </c>
      <c r="K10933" s="2">
        <v>294</v>
      </c>
      <c r="L10933" s="2">
        <v>710</v>
      </c>
    </row>
    <row r="10934" spans="1:12" x14ac:dyDescent="0.25">
      <c r="A10934" s="4" t="str">
        <f>HYPERLINK("http://www.rosaceae.org/Prunus/Prunus_persica/p.persica_gdr_reftransV1_0039925","p.persica_gdr_reftransV1_0039925")</f>
        <v>p.persica_gdr_reftransV1_0039925</v>
      </c>
      <c r="B10934" s="2">
        <v>1054</v>
      </c>
      <c r="C10934" s="4" t="str">
        <f>HYPERLINK("http://www.uniprot.org/uniprot/M5XDD3","M5XDD3")</f>
        <v>M5XDD3</v>
      </c>
      <c r="D10934" s="2" t="s">
        <v>7231</v>
      </c>
      <c r="E10934" s="3">
        <v>1.22E-70</v>
      </c>
      <c r="F10934" s="2">
        <v>610</v>
      </c>
      <c r="G10934" s="2">
        <v>100</v>
      </c>
      <c r="H10934" s="2">
        <v>117</v>
      </c>
      <c r="I10934" s="2">
        <v>702</v>
      </c>
      <c r="J10934" s="2">
        <v>1052</v>
      </c>
      <c r="K10934" s="2">
        <v>321</v>
      </c>
      <c r="L10934" s="2">
        <v>437</v>
      </c>
    </row>
    <row r="10935" spans="1:12" x14ac:dyDescent="0.25">
      <c r="A10935" s="4" t="str">
        <f>HYPERLINK("http://www.rosaceae.org/Prunus/Prunus_persica/p.persica_gdr_reftransV1_0040975","p.persica_gdr_reftransV1_0040975")</f>
        <v>p.persica_gdr_reftransV1_0040975</v>
      </c>
      <c r="B10935" s="2">
        <v>1853</v>
      </c>
      <c r="C10935" s="4" t="str">
        <f>HYPERLINK("http://www.uniprot.org/uniprot/M5WH60","M5WH60")</f>
        <v>M5WH60</v>
      </c>
      <c r="D10935" s="2" t="s">
        <v>9312</v>
      </c>
      <c r="E10935" s="3">
        <v>0</v>
      </c>
      <c r="F10935" s="2">
        <v>2084</v>
      </c>
      <c r="G10935" s="2">
        <v>100</v>
      </c>
      <c r="H10935" s="2">
        <v>382</v>
      </c>
      <c r="I10935" s="2">
        <v>542</v>
      </c>
      <c r="J10935" s="2">
        <v>1687</v>
      </c>
      <c r="K10935" s="2">
        <v>6</v>
      </c>
      <c r="L10935" s="2">
        <v>387</v>
      </c>
    </row>
    <row r="10936" spans="1:12" x14ac:dyDescent="0.25">
      <c r="A10936" s="4" t="str">
        <f>HYPERLINK("http://www.rosaceae.org/Prunus/Prunus_persica/p.persica_gdr_reftransV1_0043075","p.persica_gdr_reftransV1_0043075")</f>
        <v>p.persica_gdr_reftransV1_0043075</v>
      </c>
      <c r="B10936" s="2">
        <v>535</v>
      </c>
      <c r="C10936" s="4" t="str">
        <f>HYPERLINK("http://www.uniprot.org/uniprot/M5W7P7","M5W7P7")</f>
        <v>M5W7P7</v>
      </c>
      <c r="D10936" s="2" t="s">
        <v>9313</v>
      </c>
      <c r="E10936" s="3">
        <v>3.2500000000000002E-99</v>
      </c>
      <c r="F10936" s="2">
        <v>811</v>
      </c>
      <c r="G10936" s="2">
        <v>91</v>
      </c>
      <c r="H10936" s="2">
        <v>178</v>
      </c>
      <c r="I10936" s="2">
        <v>1</v>
      </c>
      <c r="J10936" s="2">
        <v>534</v>
      </c>
      <c r="K10936" s="2">
        <v>90</v>
      </c>
      <c r="L10936" s="2">
        <v>267</v>
      </c>
    </row>
    <row r="10937" spans="1:12" x14ac:dyDescent="0.25">
      <c r="A10937" s="4" t="str">
        <f>HYPERLINK("http://www.rosaceae.org/Prunus/Prunus_persica/p.persica_gdr_reftransV1_0043425","p.persica_gdr_reftransV1_0043425")</f>
        <v>p.persica_gdr_reftransV1_0043425</v>
      </c>
      <c r="B10937" s="2">
        <v>755</v>
      </c>
      <c r="C10937" s="4" t="str">
        <f>HYPERLINK("http://www.uniprot.org/uniprot/M5VHN4","M5VHN4")</f>
        <v>M5VHN4</v>
      </c>
      <c r="D10937" s="2" t="s">
        <v>9314</v>
      </c>
      <c r="E10937" s="3">
        <v>4.4599999999999999E-53</v>
      </c>
      <c r="F10937" s="2">
        <v>451</v>
      </c>
      <c r="G10937" s="2">
        <v>78</v>
      </c>
      <c r="H10937" s="2">
        <v>119</v>
      </c>
      <c r="I10937" s="2">
        <v>123</v>
      </c>
      <c r="J10937" s="2">
        <v>479</v>
      </c>
      <c r="K10937" s="2">
        <v>1</v>
      </c>
      <c r="L10937" s="2">
        <v>93</v>
      </c>
    </row>
    <row r="10938" spans="1:12" x14ac:dyDescent="0.25">
      <c r="A10938" s="4" t="str">
        <f>HYPERLINK("http://www.rosaceae.org/Prunus/Prunus_persica/p.persica_gdr_reftransV1_0043775","p.persica_gdr_reftransV1_0043775")</f>
        <v>p.persica_gdr_reftransV1_0043775</v>
      </c>
      <c r="B10938" s="2">
        <v>815</v>
      </c>
      <c r="C10938" s="4" t="str">
        <f>HYPERLINK("http://www.uniprot.org/uniprot/M5WA63","M5WA63")</f>
        <v>M5WA63</v>
      </c>
      <c r="D10938" s="2" t="s">
        <v>9315</v>
      </c>
      <c r="E10938" s="3">
        <v>2.7100000000000001E-173</v>
      </c>
      <c r="F10938" s="2">
        <v>1322</v>
      </c>
      <c r="G10938" s="2">
        <v>100</v>
      </c>
      <c r="H10938" s="2">
        <v>271</v>
      </c>
      <c r="I10938" s="2">
        <v>2</v>
      </c>
      <c r="J10938" s="2">
        <v>814</v>
      </c>
      <c r="K10938" s="2">
        <v>372</v>
      </c>
      <c r="L10938" s="2">
        <v>642</v>
      </c>
    </row>
    <row r="10939" spans="1:12" x14ac:dyDescent="0.25">
      <c r="A10939" s="4" t="str">
        <f>HYPERLINK("http://www.rosaceae.org/Prunus/Prunus_persica/p.persica_gdr_reftransV1_0044125","p.persica_gdr_reftransV1_0044125")</f>
        <v>p.persica_gdr_reftransV1_0044125</v>
      </c>
      <c r="B10939" s="2">
        <v>696</v>
      </c>
      <c r="C10939" s="4" t="str">
        <f>HYPERLINK("http://www.uniprot.org/uniprot/M5VUX2","M5VUX2")</f>
        <v>M5VUX2</v>
      </c>
      <c r="D10939" s="2" t="s">
        <v>9316</v>
      </c>
      <c r="E10939" s="3">
        <v>2.53E-137</v>
      </c>
      <c r="F10939" s="2">
        <v>1045</v>
      </c>
      <c r="G10939" s="2">
        <v>99</v>
      </c>
      <c r="H10939" s="2">
        <v>216</v>
      </c>
      <c r="I10939" s="2">
        <v>2</v>
      </c>
      <c r="J10939" s="2">
        <v>649</v>
      </c>
      <c r="K10939" s="2">
        <v>283</v>
      </c>
      <c r="L10939" s="2">
        <v>498</v>
      </c>
    </row>
    <row r="10940" spans="1:12" x14ac:dyDescent="0.25">
      <c r="A10940" s="4" t="str">
        <f>HYPERLINK("http://www.rosaceae.org/Prunus/Prunus_persica/p.persica_gdr_reftransV1_0044475","p.persica_gdr_reftransV1_0044475")</f>
        <v>p.persica_gdr_reftransV1_0044475</v>
      </c>
      <c r="B10940" s="2">
        <v>499</v>
      </c>
      <c r="C10940" s="4" t="str">
        <f>HYPERLINK("http://www.uniprot.org/uniprot/M5WQN1","M5WQN1")</f>
        <v>M5WQN1</v>
      </c>
      <c r="D10940" s="2" t="s">
        <v>9317</v>
      </c>
      <c r="E10940" s="3">
        <v>2.76E-54</v>
      </c>
      <c r="F10940" s="2">
        <v>498</v>
      </c>
      <c r="G10940" s="2">
        <v>94</v>
      </c>
      <c r="H10940" s="2">
        <v>138</v>
      </c>
      <c r="I10940" s="2">
        <v>1</v>
      </c>
      <c r="J10940" s="2">
        <v>411</v>
      </c>
      <c r="K10940" s="2">
        <v>1239</v>
      </c>
      <c r="L10940" s="2">
        <v>1376</v>
      </c>
    </row>
    <row r="10941" spans="1:12" x14ac:dyDescent="0.25">
      <c r="A10941" s="4" t="str">
        <f>HYPERLINK("http://www.rosaceae.org/Prunus/Prunus_persica/p.persica_gdr_reftransV1_0044825","p.persica_gdr_reftransV1_0044825")</f>
        <v>p.persica_gdr_reftransV1_0044825</v>
      </c>
      <c r="B10941" s="2">
        <v>1712</v>
      </c>
      <c r="C10941" s="4" t="str">
        <f>HYPERLINK("http://www.uniprot.org/uniprot/A0A068B251","A0A068B251")</f>
        <v>A0A068B251</v>
      </c>
      <c r="D10941" s="2" t="s">
        <v>1953</v>
      </c>
      <c r="E10941" s="3">
        <v>1.0100000000000001E-166</v>
      </c>
      <c r="F10941" s="2">
        <v>1277</v>
      </c>
      <c r="G10941" s="2">
        <v>75</v>
      </c>
      <c r="H10941" s="2">
        <v>318</v>
      </c>
      <c r="I10941" s="2">
        <v>760</v>
      </c>
      <c r="J10941" s="2">
        <v>1710</v>
      </c>
      <c r="K10941" s="2">
        <v>132</v>
      </c>
      <c r="L10941" s="2">
        <v>447</v>
      </c>
    </row>
    <row r="10942" spans="1:12" x14ac:dyDescent="0.25">
      <c r="A10942" s="4" t="str">
        <f>HYPERLINK("http://www.rosaceae.org/Prunus/Prunus_persica/p.persica_gdr_reftransV1_0045175","p.persica_gdr_reftransV1_0045175")</f>
        <v>p.persica_gdr_reftransV1_0045175</v>
      </c>
      <c r="B10942" s="2">
        <v>539</v>
      </c>
      <c r="C10942" s="4" t="str">
        <f>HYPERLINK("http://www.uniprot.org/uniprot/M5WAK5","M5WAK5")</f>
        <v>M5WAK5</v>
      </c>
      <c r="D10942" s="2" t="s">
        <v>8082</v>
      </c>
      <c r="E10942" s="3">
        <v>4.9799999999999999E-111</v>
      </c>
      <c r="F10942" s="2">
        <v>840</v>
      </c>
      <c r="G10942" s="2">
        <v>100</v>
      </c>
      <c r="H10942" s="2">
        <v>157</v>
      </c>
      <c r="I10942" s="2">
        <v>1</v>
      </c>
      <c r="J10942" s="2">
        <v>471</v>
      </c>
      <c r="K10942" s="2">
        <v>1</v>
      </c>
      <c r="L10942" s="2">
        <v>157</v>
      </c>
    </row>
    <row r="10943" spans="1:12" x14ac:dyDescent="0.25">
      <c r="A10943" s="4" t="str">
        <f>HYPERLINK("http://www.rosaceae.org/Prunus/Prunus_persica/p.persica_gdr_reftransV1_0045525","p.persica_gdr_reftransV1_0045525")</f>
        <v>p.persica_gdr_reftransV1_0045525</v>
      </c>
      <c r="B10943" s="2">
        <v>919</v>
      </c>
      <c r="C10943" s="4" t="str">
        <f>HYPERLINK("http://www.uniprot.org/uniprot/M5XDR4","M5XDR4")</f>
        <v>M5XDR4</v>
      </c>
      <c r="D10943" s="2" t="s">
        <v>9318</v>
      </c>
      <c r="E10943" s="3">
        <v>2.2799999999999999E-106</v>
      </c>
      <c r="F10943" s="2">
        <v>819</v>
      </c>
      <c r="G10943" s="2">
        <v>100</v>
      </c>
      <c r="H10943" s="2">
        <v>195</v>
      </c>
      <c r="I10943" s="2">
        <v>44</v>
      </c>
      <c r="J10943" s="2">
        <v>628</v>
      </c>
      <c r="K10943" s="2">
        <v>1</v>
      </c>
      <c r="L10943" s="2">
        <v>195</v>
      </c>
    </row>
    <row r="10944" spans="1:12" x14ac:dyDescent="0.25">
      <c r="A10944" s="4" t="str">
        <f>HYPERLINK("http://www.rosaceae.org/Prunus/Prunus_persica/p.persica_gdr_reftransV1_0045875","p.persica_gdr_reftransV1_0045875")</f>
        <v>p.persica_gdr_reftransV1_0045875</v>
      </c>
      <c r="B10944" s="2">
        <v>1000</v>
      </c>
      <c r="C10944" s="4" t="str">
        <f>HYPERLINK("http://www.uniprot.org/uniprot/M5W0B2","M5W0B2")</f>
        <v>M5W0B2</v>
      </c>
      <c r="D10944" s="2" t="s">
        <v>9319</v>
      </c>
      <c r="E10944" s="3">
        <v>3.9700000000000002E-125</v>
      </c>
      <c r="F10944" s="2">
        <v>945</v>
      </c>
      <c r="G10944" s="2">
        <v>100</v>
      </c>
      <c r="H10944" s="2">
        <v>179</v>
      </c>
      <c r="I10944" s="2">
        <v>98</v>
      </c>
      <c r="J10944" s="2">
        <v>634</v>
      </c>
      <c r="K10944" s="2">
        <v>1</v>
      </c>
      <c r="L10944" s="2">
        <v>179</v>
      </c>
    </row>
    <row r="10945" spans="1:12" x14ac:dyDescent="0.25">
      <c r="A10945" s="4" t="str">
        <f>HYPERLINK("http://www.rosaceae.org/Prunus/Prunus_persica/p.persica_gdr_reftransV1_0046225","p.persica_gdr_reftransV1_0046225")</f>
        <v>p.persica_gdr_reftransV1_0046225</v>
      </c>
      <c r="B10945" s="2">
        <v>1239</v>
      </c>
      <c r="C10945" s="4" t="str">
        <f>HYPERLINK("http://www.uniprot.org/uniprot/M5X3C3","M5X3C3")</f>
        <v>M5X3C3</v>
      </c>
      <c r="D10945" s="2" t="s">
        <v>2115</v>
      </c>
      <c r="E10945" s="3">
        <v>3.0299999999999998E-164</v>
      </c>
      <c r="F10945" s="2">
        <v>1290</v>
      </c>
      <c r="G10945" s="2">
        <v>91</v>
      </c>
      <c r="H10945" s="2">
        <v>286</v>
      </c>
      <c r="I10945" s="2">
        <v>55</v>
      </c>
      <c r="J10945" s="2">
        <v>912</v>
      </c>
      <c r="K10945" s="2">
        <v>784</v>
      </c>
      <c r="L10945" s="2">
        <v>1060</v>
      </c>
    </row>
    <row r="10946" spans="1:12" x14ac:dyDescent="0.25">
      <c r="A10946" s="4" t="str">
        <f>HYPERLINK("http://www.rosaceae.org/Prunus/Prunus_persica/p.persica_gdr_reftransV1_0046575","p.persica_gdr_reftransV1_0046575")</f>
        <v>p.persica_gdr_reftransV1_0046575</v>
      </c>
      <c r="B10946" s="2">
        <v>417</v>
      </c>
      <c r="C10946" s="4" t="str">
        <f>HYPERLINK("http://www.uniprot.org/uniprot/M5VW17","M5VW17")</f>
        <v>M5VW17</v>
      </c>
      <c r="D10946" s="2" t="s">
        <v>9320</v>
      </c>
      <c r="E10946" s="3">
        <v>2.7100000000000001E-69</v>
      </c>
      <c r="F10946" s="2">
        <v>554</v>
      </c>
      <c r="G10946" s="2">
        <v>100</v>
      </c>
      <c r="H10946" s="2">
        <v>138</v>
      </c>
      <c r="I10946" s="2">
        <v>3</v>
      </c>
      <c r="J10946" s="2">
        <v>416</v>
      </c>
      <c r="K10946" s="2">
        <v>26</v>
      </c>
      <c r="L10946" s="2">
        <v>163</v>
      </c>
    </row>
    <row r="10947" spans="1:12" x14ac:dyDescent="0.25">
      <c r="A10947" s="4" t="str">
        <f>HYPERLINK("http://www.rosaceae.org/Prunus/Prunus_persica/p.persica_gdr_reftransV1_0046925","p.persica_gdr_reftransV1_0046925")</f>
        <v>p.persica_gdr_reftransV1_0046925</v>
      </c>
      <c r="B10947" s="2">
        <v>2023</v>
      </c>
      <c r="C10947" s="4" t="str">
        <f>HYPERLINK("http://www.uniprot.org/uniprot/M5X0F4","M5X0F4")</f>
        <v>M5X0F4</v>
      </c>
      <c r="D10947" s="2" t="s">
        <v>9321</v>
      </c>
      <c r="E10947" s="3">
        <v>0</v>
      </c>
      <c r="F10947" s="2">
        <v>2949</v>
      </c>
      <c r="G10947" s="2">
        <v>88</v>
      </c>
      <c r="H10947" s="2">
        <v>645</v>
      </c>
      <c r="I10947" s="2">
        <v>2</v>
      </c>
      <c r="J10947" s="2">
        <v>1936</v>
      </c>
      <c r="K10947" s="2">
        <v>27</v>
      </c>
      <c r="L10947" s="2">
        <v>669</v>
      </c>
    </row>
    <row r="10948" spans="1:12" x14ac:dyDescent="0.25">
      <c r="A10948" s="4" t="str">
        <f>HYPERLINK("http://www.rosaceae.org/Prunus/Prunus_persica/p.persica_gdr_reftransV1_0047275","p.persica_gdr_reftransV1_0047275")</f>
        <v>p.persica_gdr_reftransV1_0047275</v>
      </c>
      <c r="B10948" s="2">
        <v>1063</v>
      </c>
      <c r="C10948" s="4" t="str">
        <f>HYPERLINK("http://www.uniprot.org/uniprot/M5X6L8","M5X6L8")</f>
        <v>M5X6L8</v>
      </c>
      <c r="D10948" s="2" t="s">
        <v>9322</v>
      </c>
      <c r="E10948" s="3">
        <v>4.8199999999999996E-140</v>
      </c>
      <c r="F10948" s="2">
        <v>1047</v>
      </c>
      <c r="G10948" s="2">
        <v>99</v>
      </c>
      <c r="H10948" s="2">
        <v>199</v>
      </c>
      <c r="I10948" s="2">
        <v>214</v>
      </c>
      <c r="J10948" s="2">
        <v>810</v>
      </c>
      <c r="K10948" s="2">
        <v>1</v>
      </c>
      <c r="L10948" s="2">
        <v>198</v>
      </c>
    </row>
    <row r="10949" spans="1:12" x14ac:dyDescent="0.25">
      <c r="A10949" s="4" t="str">
        <f>HYPERLINK("http://www.rosaceae.org/Prunus/Prunus_persica/p.persica_gdr_reftransV1_0047625","p.persica_gdr_reftransV1_0047625")</f>
        <v>p.persica_gdr_reftransV1_0047625</v>
      </c>
      <c r="B10949" s="2">
        <v>437</v>
      </c>
      <c r="C10949" s="4" t="str">
        <f>HYPERLINK("http://www.uniprot.org/uniprot/M5X1Y6","M5X1Y6")</f>
        <v>M5X1Y6</v>
      </c>
      <c r="D10949" s="2" t="s">
        <v>7821</v>
      </c>
      <c r="E10949" s="3">
        <v>3.5899999999999999E-85</v>
      </c>
      <c r="F10949" s="2">
        <v>717</v>
      </c>
      <c r="G10949" s="2">
        <v>100</v>
      </c>
      <c r="H10949" s="2">
        <v>145</v>
      </c>
      <c r="I10949" s="2">
        <v>1</v>
      </c>
      <c r="J10949" s="2">
        <v>435</v>
      </c>
      <c r="K10949" s="2">
        <v>527</v>
      </c>
      <c r="L10949" s="2">
        <v>671</v>
      </c>
    </row>
    <row r="10950" spans="1:12" x14ac:dyDescent="0.25">
      <c r="A10950" s="4" t="str">
        <f>HYPERLINK("http://www.rosaceae.org/Prunus/Prunus_persica/p.persica_gdr_reftransV1_0047975","p.persica_gdr_reftransV1_0047975")</f>
        <v>p.persica_gdr_reftransV1_0047975</v>
      </c>
      <c r="B10950" s="2">
        <v>1941</v>
      </c>
      <c r="C10950" s="4" t="str">
        <f>HYPERLINK("http://www.uniprot.org/uniprot/M5WM38","M5WM38")</f>
        <v>M5WM38</v>
      </c>
      <c r="D10950" s="2" t="s">
        <v>436</v>
      </c>
      <c r="E10950" s="3">
        <v>0</v>
      </c>
      <c r="F10950" s="2">
        <v>2933</v>
      </c>
      <c r="G10950" s="2">
        <v>98</v>
      </c>
      <c r="H10950" s="2">
        <v>636</v>
      </c>
      <c r="I10950" s="2">
        <v>33</v>
      </c>
      <c r="J10950" s="2">
        <v>1940</v>
      </c>
      <c r="K10950" s="2">
        <v>67</v>
      </c>
      <c r="L10950" s="2">
        <v>702</v>
      </c>
    </row>
    <row r="10951" spans="1:12" x14ac:dyDescent="0.25">
      <c r="A10951" s="4" t="str">
        <f>HYPERLINK("http://www.rosaceae.org/Prunus/Prunus_persica/p.persica_gdr_reftransV1_0048325","p.persica_gdr_reftransV1_0048325")</f>
        <v>p.persica_gdr_reftransV1_0048325</v>
      </c>
      <c r="B10951" s="2">
        <v>495</v>
      </c>
      <c r="C10951" s="4" t="str">
        <f>HYPERLINK("http://www.uniprot.org/uniprot/M5W8B9","M5W8B9")</f>
        <v>M5W8B9</v>
      </c>
      <c r="D10951" s="2" t="s">
        <v>978</v>
      </c>
      <c r="E10951" s="3">
        <v>1.6500000000000001E-94</v>
      </c>
      <c r="F10951" s="2">
        <v>782</v>
      </c>
      <c r="G10951" s="2">
        <v>100</v>
      </c>
      <c r="H10951" s="2">
        <v>165</v>
      </c>
      <c r="I10951" s="2">
        <v>1</v>
      </c>
      <c r="J10951" s="2">
        <v>495</v>
      </c>
      <c r="K10951" s="2">
        <v>720</v>
      </c>
      <c r="L10951" s="2">
        <v>884</v>
      </c>
    </row>
    <row r="10952" spans="1:12" x14ac:dyDescent="0.25">
      <c r="A10952" s="4" t="str">
        <f>HYPERLINK("http://www.rosaceae.org/Prunus/Prunus_persica/p.persica_gdr_reftransV1_0048675","p.persica_gdr_reftransV1_0048675")</f>
        <v>p.persica_gdr_reftransV1_0048675</v>
      </c>
      <c r="B10952" s="2">
        <v>802</v>
      </c>
      <c r="C10952" s="4" t="str">
        <f>HYPERLINK("http://www.uniprot.org/uniprot/A0A061GM44","A0A061GM44")</f>
        <v>A0A061GM44</v>
      </c>
      <c r="D10952" s="2" t="s">
        <v>9323</v>
      </c>
      <c r="E10952" s="3">
        <v>2.1099999999999999E-91</v>
      </c>
      <c r="F10952" s="2">
        <v>609</v>
      </c>
      <c r="G10952" s="2">
        <v>85</v>
      </c>
      <c r="H10952" s="2">
        <v>147</v>
      </c>
      <c r="I10952" s="2">
        <v>175</v>
      </c>
      <c r="J10952" s="2">
        <v>615</v>
      </c>
      <c r="K10952" s="2">
        <v>97</v>
      </c>
      <c r="L10952" s="2">
        <v>243</v>
      </c>
    </row>
    <row r="10953" spans="1:12" x14ac:dyDescent="0.25">
      <c r="A10953" s="4" t="str">
        <f>HYPERLINK("http://www.rosaceae.org/Prunus/Prunus_persica/p.persica_gdr_reftransV1_0000251","p.persica_gdr_reftransV1_0000251")</f>
        <v>p.persica_gdr_reftransV1_0000251</v>
      </c>
      <c r="B10953" s="2">
        <v>961</v>
      </c>
      <c r="C10953" s="4" t="str">
        <f>HYPERLINK("http://www.uniprot.org/uniprot/M5WJV1","M5WJV1")</f>
        <v>M5WJV1</v>
      </c>
      <c r="D10953" s="2" t="s">
        <v>9324</v>
      </c>
      <c r="E10953" s="3">
        <v>2.0999999999999999E-63</v>
      </c>
      <c r="F10953" s="2">
        <v>451</v>
      </c>
      <c r="G10953" s="2">
        <v>92</v>
      </c>
      <c r="H10953" s="2">
        <v>134</v>
      </c>
      <c r="I10953" s="2">
        <v>485</v>
      </c>
      <c r="J10953" s="2">
        <v>886</v>
      </c>
      <c r="K10953" s="2">
        <v>82</v>
      </c>
      <c r="L10953" s="2">
        <v>215</v>
      </c>
    </row>
    <row r="10954" spans="1:12" x14ac:dyDescent="0.25">
      <c r="A10954" s="4" t="str">
        <f>HYPERLINK("http://www.rosaceae.org/Prunus/Prunus_persica/p.persica_gdr_reftransV1_0002001","p.persica_gdr_reftransV1_0002001")</f>
        <v>p.persica_gdr_reftransV1_0002001</v>
      </c>
      <c r="B10954" s="2">
        <v>2238</v>
      </c>
      <c r="C10954" s="4" t="str">
        <f>HYPERLINK("http://www.uniprot.org/uniprot/M5VWN2","M5VWN2")</f>
        <v>M5VWN2</v>
      </c>
      <c r="D10954" s="2" t="s">
        <v>9325</v>
      </c>
      <c r="E10954" s="3">
        <v>0</v>
      </c>
      <c r="F10954" s="2">
        <v>3392</v>
      </c>
      <c r="G10954" s="2">
        <v>100</v>
      </c>
      <c r="H10954" s="2">
        <v>709</v>
      </c>
      <c r="I10954" s="2">
        <v>14</v>
      </c>
      <c r="J10954" s="2">
        <v>2140</v>
      </c>
      <c r="K10954" s="2">
        <v>1</v>
      </c>
      <c r="L10954" s="2">
        <v>709</v>
      </c>
    </row>
    <row r="10955" spans="1:12" x14ac:dyDescent="0.25">
      <c r="A10955" s="4" t="str">
        <f>HYPERLINK("http://www.rosaceae.org/Prunus/Prunus_persica/p.persica_gdr_reftransV1_0002351","p.persica_gdr_reftransV1_0002351")</f>
        <v>p.persica_gdr_reftransV1_0002351</v>
      </c>
      <c r="B10955" s="2">
        <v>335</v>
      </c>
      <c r="C10955" s="4" t="str">
        <f>HYPERLINK("http://www.uniprot.org/uniprot/N1RAM8","N1RAM8")</f>
        <v>N1RAM8</v>
      </c>
      <c r="D10955" s="2" t="s">
        <v>9326</v>
      </c>
      <c r="E10955" s="3">
        <v>2.4999999999999998E-72</v>
      </c>
      <c r="F10955" s="2">
        <v>573</v>
      </c>
      <c r="G10955" s="2">
        <v>99</v>
      </c>
      <c r="H10955" s="2">
        <v>111</v>
      </c>
      <c r="I10955" s="2">
        <v>1</v>
      </c>
      <c r="J10955" s="2">
        <v>333</v>
      </c>
      <c r="K10955" s="2">
        <v>37</v>
      </c>
      <c r="L10955" s="2">
        <v>147</v>
      </c>
    </row>
    <row r="10956" spans="1:12" x14ac:dyDescent="0.25">
      <c r="A10956" s="4" t="str">
        <f>HYPERLINK("http://www.rosaceae.org/Prunus/Prunus_persica/p.persica_gdr_reftransV1_0002701","p.persica_gdr_reftransV1_0002701")</f>
        <v>p.persica_gdr_reftransV1_0002701</v>
      </c>
      <c r="B10956" s="2">
        <v>411</v>
      </c>
      <c r="C10956" s="4" t="str">
        <f>HYPERLINK("http://www.uniprot.org/uniprot/M5XD46","M5XD46")</f>
        <v>M5XD46</v>
      </c>
      <c r="D10956" s="2" t="s">
        <v>2201</v>
      </c>
      <c r="E10956" s="3">
        <v>3.5300000000000002E-68</v>
      </c>
      <c r="F10956" s="2">
        <v>571</v>
      </c>
      <c r="G10956" s="2">
        <v>100</v>
      </c>
      <c r="H10956" s="2">
        <v>137</v>
      </c>
      <c r="I10956" s="2">
        <v>1</v>
      </c>
      <c r="J10956" s="2">
        <v>411</v>
      </c>
      <c r="K10956" s="2">
        <v>20</v>
      </c>
      <c r="L10956" s="2">
        <v>156</v>
      </c>
    </row>
    <row r="10957" spans="1:12" x14ac:dyDescent="0.25">
      <c r="A10957" s="4" t="str">
        <f>HYPERLINK("http://www.rosaceae.org/Prunus/Prunus_persica/p.persica_gdr_reftransV1_0003051","p.persica_gdr_reftransV1_0003051")</f>
        <v>p.persica_gdr_reftransV1_0003051</v>
      </c>
      <c r="B10957" s="2">
        <v>330</v>
      </c>
      <c r="C10957" s="4" t="str">
        <f>HYPERLINK("http://www.uniprot.org/uniprot/M5WWA6","M5WWA6")</f>
        <v>M5WWA6</v>
      </c>
      <c r="D10957" s="2" t="s">
        <v>3779</v>
      </c>
      <c r="E10957" s="3">
        <v>4.3599999999999999E-73</v>
      </c>
      <c r="F10957" s="2">
        <v>587</v>
      </c>
      <c r="G10957" s="2">
        <v>100</v>
      </c>
      <c r="H10957" s="2">
        <v>109</v>
      </c>
      <c r="I10957" s="2">
        <v>3</v>
      </c>
      <c r="J10957" s="2">
        <v>329</v>
      </c>
      <c r="K10957" s="2">
        <v>38</v>
      </c>
      <c r="L10957" s="2">
        <v>146</v>
      </c>
    </row>
    <row r="10958" spans="1:12" x14ac:dyDescent="0.25">
      <c r="A10958" s="4" t="str">
        <f>HYPERLINK("http://www.rosaceae.org/Prunus/Prunus_persica/p.persica_gdr_reftransV1_0003401","p.persica_gdr_reftransV1_0003401")</f>
        <v>p.persica_gdr_reftransV1_0003401</v>
      </c>
      <c r="B10958" s="2">
        <v>2997</v>
      </c>
      <c r="C10958" s="4" t="str">
        <f>HYPERLINK("http://www.uniprot.org/uniprot/M5W403","M5W403")</f>
        <v>M5W403</v>
      </c>
      <c r="D10958" s="2" t="s">
        <v>9327</v>
      </c>
      <c r="E10958" s="3">
        <v>0</v>
      </c>
      <c r="F10958" s="2">
        <v>3963</v>
      </c>
      <c r="G10958" s="2">
        <v>99</v>
      </c>
      <c r="H10958" s="2">
        <v>786</v>
      </c>
      <c r="I10958" s="2">
        <v>182</v>
      </c>
      <c r="J10958" s="2">
        <v>2539</v>
      </c>
      <c r="K10958" s="2">
        <v>1</v>
      </c>
      <c r="L10958" s="2">
        <v>786</v>
      </c>
    </row>
    <row r="10959" spans="1:12" x14ac:dyDescent="0.25">
      <c r="A10959" s="4" t="str">
        <f>HYPERLINK("http://www.rosaceae.org/Prunus/Prunus_persica/p.persica_gdr_reftransV1_0004801","p.persica_gdr_reftransV1_0004801")</f>
        <v>p.persica_gdr_reftransV1_0004801</v>
      </c>
      <c r="B10959" s="2">
        <v>1106</v>
      </c>
      <c r="C10959" s="4" t="str">
        <f>HYPERLINK("http://www.uniprot.org/uniprot/M5WGP6","M5WGP6")</f>
        <v>M5WGP6</v>
      </c>
      <c r="D10959" s="2" t="s">
        <v>9328</v>
      </c>
      <c r="E10959" s="3">
        <v>2.9499999999999999E-145</v>
      </c>
      <c r="F10959" s="2">
        <v>911</v>
      </c>
      <c r="G10959" s="2">
        <v>99</v>
      </c>
      <c r="H10959" s="2">
        <v>179</v>
      </c>
      <c r="I10959" s="2">
        <v>496</v>
      </c>
      <c r="J10959" s="2">
        <v>1032</v>
      </c>
      <c r="K10959" s="2">
        <v>1</v>
      </c>
      <c r="L10959" s="2">
        <v>179</v>
      </c>
    </row>
    <row r="10960" spans="1:12" x14ac:dyDescent="0.25">
      <c r="A10960" s="4" t="str">
        <f>HYPERLINK("http://www.rosaceae.org/Prunus/Prunus_persica/p.persica_gdr_reftransV1_0006201","p.persica_gdr_reftransV1_0006201")</f>
        <v>p.persica_gdr_reftransV1_0006201</v>
      </c>
      <c r="B10960" s="2">
        <v>1153</v>
      </c>
      <c r="C10960" s="4" t="str">
        <f>HYPERLINK("http://www.uniprot.org/uniprot/M5XVL6","M5XVL6")</f>
        <v>M5XVL6</v>
      </c>
      <c r="D10960" s="2" t="s">
        <v>9329</v>
      </c>
      <c r="E10960" s="3">
        <v>0</v>
      </c>
      <c r="F10960" s="2">
        <v>1885</v>
      </c>
      <c r="G10960" s="2">
        <v>99</v>
      </c>
      <c r="H10960" s="2">
        <v>357</v>
      </c>
      <c r="I10960" s="2">
        <v>81</v>
      </c>
      <c r="J10960" s="2">
        <v>1151</v>
      </c>
      <c r="K10960" s="2">
        <v>131</v>
      </c>
      <c r="L10960" s="2">
        <v>487</v>
      </c>
    </row>
    <row r="10961" spans="1:12" x14ac:dyDescent="0.25">
      <c r="A10961" s="4" t="str">
        <f>HYPERLINK("http://www.rosaceae.org/Prunus/Prunus_persica/p.persica_gdr_reftransV1_0006551","p.persica_gdr_reftransV1_0006551")</f>
        <v>p.persica_gdr_reftransV1_0006551</v>
      </c>
      <c r="B10961" s="2">
        <v>652</v>
      </c>
      <c r="C10961" s="4" t="str">
        <f>HYPERLINK("http://www.uniprot.org/uniprot/A5BCQ9","A5BCQ9")</f>
        <v>A5BCQ9</v>
      </c>
      <c r="D10961" s="2" t="s">
        <v>5030</v>
      </c>
      <c r="E10961" s="3">
        <v>4.0199999999999999E-17</v>
      </c>
      <c r="F10961" s="2">
        <v>223</v>
      </c>
      <c r="G10961" s="2">
        <v>45</v>
      </c>
      <c r="H10961" s="2">
        <v>119</v>
      </c>
      <c r="I10961" s="2">
        <v>287</v>
      </c>
      <c r="J10961" s="2">
        <v>625</v>
      </c>
      <c r="K10961" s="2">
        <v>411</v>
      </c>
      <c r="L10961" s="2">
        <v>525</v>
      </c>
    </row>
    <row r="10962" spans="1:12" x14ac:dyDescent="0.25">
      <c r="A10962" s="4" t="str">
        <f>HYPERLINK("http://www.rosaceae.org/Prunus/Prunus_persica/p.persica_gdr_reftransV1_0006901","p.persica_gdr_reftransV1_0006901")</f>
        <v>p.persica_gdr_reftransV1_0006901</v>
      </c>
      <c r="B10962" s="2">
        <v>756</v>
      </c>
      <c r="C10962" s="4" t="str">
        <f>HYPERLINK("http://www.uniprot.org/uniprot/A5BLB0","A5BLB0")</f>
        <v>A5BLB0</v>
      </c>
      <c r="D10962" s="2" t="s">
        <v>2204</v>
      </c>
      <c r="E10962" s="3">
        <v>2.14E-95</v>
      </c>
      <c r="F10962" s="2">
        <v>808</v>
      </c>
      <c r="G10962" s="2">
        <v>63</v>
      </c>
      <c r="H10962" s="2">
        <v>252</v>
      </c>
      <c r="I10962" s="2">
        <v>3</v>
      </c>
      <c r="J10962" s="2">
        <v>755</v>
      </c>
      <c r="K10962" s="2">
        <v>1058</v>
      </c>
      <c r="L10962" s="2">
        <v>1309</v>
      </c>
    </row>
    <row r="10963" spans="1:12" x14ac:dyDescent="0.25">
      <c r="A10963" s="4" t="str">
        <f>HYPERLINK("http://www.rosaceae.org/Prunus/Prunus_persica/p.persica_gdr_reftransV1_0007251","p.persica_gdr_reftransV1_0007251")</f>
        <v>p.persica_gdr_reftransV1_0007251</v>
      </c>
      <c r="B10963" s="2">
        <v>1161</v>
      </c>
      <c r="C10963" s="4" t="str">
        <f>HYPERLINK("http://www.uniprot.org/uniprot/M5XFK9","M5XFK9")</f>
        <v>M5XFK9</v>
      </c>
      <c r="D10963" s="2" t="s">
        <v>9330</v>
      </c>
      <c r="E10963" s="3">
        <v>0</v>
      </c>
      <c r="F10963" s="2">
        <v>1355</v>
      </c>
      <c r="G10963" s="2">
        <v>100</v>
      </c>
      <c r="H10963" s="2">
        <v>252</v>
      </c>
      <c r="I10963" s="2">
        <v>156</v>
      </c>
      <c r="J10963" s="2">
        <v>911</v>
      </c>
      <c r="K10963" s="2">
        <v>1</v>
      </c>
      <c r="L10963" s="2">
        <v>252</v>
      </c>
    </row>
    <row r="10964" spans="1:12" x14ac:dyDescent="0.25">
      <c r="A10964" s="4" t="str">
        <f>HYPERLINK("http://www.rosaceae.org/Prunus/Prunus_persica/p.persica_gdr_reftransV1_0007951","p.persica_gdr_reftransV1_0007951")</f>
        <v>p.persica_gdr_reftransV1_0007951</v>
      </c>
      <c r="B10964" s="2">
        <v>1562</v>
      </c>
      <c r="C10964" s="4" t="str">
        <f>HYPERLINK("http://www.uniprot.org/uniprot/M5WY84","M5WY84")</f>
        <v>M5WY84</v>
      </c>
      <c r="D10964" s="2" t="s">
        <v>9331</v>
      </c>
      <c r="E10964" s="3">
        <v>0</v>
      </c>
      <c r="F10964" s="2">
        <v>2232</v>
      </c>
      <c r="G10964" s="2">
        <v>100</v>
      </c>
      <c r="H10964" s="2">
        <v>457</v>
      </c>
      <c r="I10964" s="2">
        <v>155</v>
      </c>
      <c r="J10964" s="2">
        <v>1525</v>
      </c>
      <c r="K10964" s="2">
        <v>1</v>
      </c>
      <c r="L10964" s="2">
        <v>457</v>
      </c>
    </row>
    <row r="10965" spans="1:12" x14ac:dyDescent="0.25">
      <c r="A10965" s="4" t="str">
        <f>HYPERLINK("http://www.rosaceae.org/Prunus/Prunus_persica/p.persica_gdr_reftransV1_0008301","p.persica_gdr_reftransV1_0008301")</f>
        <v>p.persica_gdr_reftransV1_0008301</v>
      </c>
      <c r="B10965" s="2">
        <v>2098</v>
      </c>
      <c r="C10965" s="4" t="str">
        <f>HYPERLINK("http://www.uniprot.org/uniprot/M5XRY5","M5XRY5")</f>
        <v>M5XRY5</v>
      </c>
      <c r="D10965" s="2" t="s">
        <v>9332</v>
      </c>
      <c r="E10965" s="3">
        <v>0</v>
      </c>
      <c r="F10965" s="2">
        <v>2374</v>
      </c>
      <c r="G10965" s="2">
        <v>100</v>
      </c>
      <c r="H10965" s="2">
        <v>482</v>
      </c>
      <c r="I10965" s="2">
        <v>516</v>
      </c>
      <c r="J10965" s="2">
        <v>1961</v>
      </c>
      <c r="K10965" s="2">
        <v>1</v>
      </c>
      <c r="L10965" s="2">
        <v>482</v>
      </c>
    </row>
    <row r="10966" spans="1:12" x14ac:dyDescent="0.25">
      <c r="A10966" s="4" t="str">
        <f>HYPERLINK("http://www.rosaceae.org/Prunus/Prunus_persica/p.persica_gdr_reftransV1_0009001","p.persica_gdr_reftransV1_0009001")</f>
        <v>p.persica_gdr_reftransV1_0009001</v>
      </c>
      <c r="B10966" s="2">
        <v>1673</v>
      </c>
      <c r="C10966" s="4" t="str">
        <f>HYPERLINK("http://www.uniprot.org/uniprot/M5XRH3","M5XRH3")</f>
        <v>M5XRH3</v>
      </c>
      <c r="D10966" s="2" t="s">
        <v>9333</v>
      </c>
      <c r="E10966" s="3">
        <v>0</v>
      </c>
      <c r="F10966" s="2">
        <v>1672</v>
      </c>
      <c r="G10966" s="2">
        <v>100</v>
      </c>
      <c r="H10966" s="2">
        <v>315</v>
      </c>
      <c r="I10966" s="2">
        <v>536</v>
      </c>
      <c r="J10966" s="2">
        <v>1480</v>
      </c>
      <c r="K10966" s="2">
        <v>1</v>
      </c>
      <c r="L10966" s="2">
        <v>315</v>
      </c>
    </row>
    <row r="10967" spans="1:12" x14ac:dyDescent="0.25">
      <c r="A10967" s="4" t="str">
        <f>HYPERLINK("http://www.rosaceae.org/Prunus/Prunus_persica/p.persica_gdr_reftransV1_0009701","p.persica_gdr_reftransV1_0009701")</f>
        <v>p.persica_gdr_reftransV1_0009701</v>
      </c>
      <c r="B10967" s="2">
        <v>2068</v>
      </c>
      <c r="C10967" s="4" t="str">
        <f>HYPERLINK("http://www.uniprot.org/uniprot/M5VSS5","M5VSS5")</f>
        <v>M5VSS5</v>
      </c>
      <c r="D10967" s="2" t="s">
        <v>9334</v>
      </c>
      <c r="E10967" s="3">
        <v>0</v>
      </c>
      <c r="F10967" s="2">
        <v>2358</v>
      </c>
      <c r="G10967" s="2">
        <v>100</v>
      </c>
      <c r="H10967" s="2">
        <v>496</v>
      </c>
      <c r="I10967" s="2">
        <v>334</v>
      </c>
      <c r="J10967" s="2">
        <v>1821</v>
      </c>
      <c r="K10967" s="2">
        <v>1</v>
      </c>
      <c r="L10967" s="2">
        <v>496</v>
      </c>
    </row>
    <row r="10968" spans="1:12" x14ac:dyDescent="0.25">
      <c r="A10968" s="4" t="str">
        <f>HYPERLINK("http://www.rosaceae.org/Prunus/Prunus_persica/p.persica_gdr_reftransV1_0010051","p.persica_gdr_reftransV1_0010051")</f>
        <v>p.persica_gdr_reftransV1_0010051</v>
      </c>
      <c r="B10968" s="2">
        <v>808</v>
      </c>
      <c r="C10968" s="4" t="str">
        <f>HYPERLINK("http://www.uniprot.org/uniprot/M5X3D0","M5X3D0")</f>
        <v>M5X3D0</v>
      </c>
      <c r="D10968" s="2" t="s">
        <v>9335</v>
      </c>
      <c r="E10968" s="3">
        <v>3.7400000000000001E-147</v>
      </c>
      <c r="F10968" s="2">
        <v>1093</v>
      </c>
      <c r="G10968" s="2">
        <v>100</v>
      </c>
      <c r="H10968" s="2">
        <v>246</v>
      </c>
      <c r="I10968" s="2">
        <v>3</v>
      </c>
      <c r="J10968" s="2">
        <v>740</v>
      </c>
      <c r="K10968" s="2">
        <v>1</v>
      </c>
      <c r="L10968" s="2">
        <v>246</v>
      </c>
    </row>
    <row r="10969" spans="1:12" x14ac:dyDescent="0.25">
      <c r="A10969" s="4" t="str">
        <f>HYPERLINK("http://www.rosaceae.org/Prunus/Prunus_persica/p.persica_gdr_reftransV1_0010401","p.persica_gdr_reftransV1_0010401")</f>
        <v>p.persica_gdr_reftransV1_0010401</v>
      </c>
      <c r="B10969" s="2">
        <v>833</v>
      </c>
      <c r="C10969" s="4" t="str">
        <f>HYPERLINK("http://www.uniprot.org/uniprot/M5X501","M5X501")</f>
        <v>M5X501</v>
      </c>
      <c r="D10969" s="2" t="s">
        <v>9336</v>
      </c>
      <c r="E10969" s="3">
        <v>3.2299999999999999E-67</v>
      </c>
      <c r="F10969" s="2">
        <v>550</v>
      </c>
      <c r="G10969" s="2">
        <v>100</v>
      </c>
      <c r="H10969" s="2">
        <v>103</v>
      </c>
      <c r="I10969" s="2">
        <v>224</v>
      </c>
      <c r="J10969" s="2">
        <v>532</v>
      </c>
      <c r="K10969" s="2">
        <v>1</v>
      </c>
      <c r="L10969" s="2">
        <v>103</v>
      </c>
    </row>
    <row r="10970" spans="1:12" x14ac:dyDescent="0.25">
      <c r="A10970" s="4" t="str">
        <f>HYPERLINK("http://www.rosaceae.org/Prunus/Prunus_persica/p.persica_gdr_reftransV1_0011801","p.persica_gdr_reftransV1_0011801")</f>
        <v>p.persica_gdr_reftransV1_0011801</v>
      </c>
      <c r="B10970" s="2">
        <v>1673</v>
      </c>
      <c r="C10970" s="4" t="str">
        <f>HYPERLINK("http://www.uniprot.org/uniprot/M5X1T0","M5X1T0")</f>
        <v>M5X1T0</v>
      </c>
      <c r="D10970" s="2" t="s">
        <v>9337</v>
      </c>
      <c r="E10970" s="3">
        <v>2.1999999999999999E-111</v>
      </c>
      <c r="F10970" s="2">
        <v>884</v>
      </c>
      <c r="G10970" s="2">
        <v>100</v>
      </c>
      <c r="H10970" s="2">
        <v>169</v>
      </c>
      <c r="I10970" s="2">
        <v>212</v>
      </c>
      <c r="J10970" s="2">
        <v>718</v>
      </c>
      <c r="K10970" s="2">
        <v>101</v>
      </c>
      <c r="L10970" s="2">
        <v>269</v>
      </c>
    </row>
    <row r="10971" spans="1:12" x14ac:dyDescent="0.25">
      <c r="A10971" s="4" t="str">
        <f>HYPERLINK("http://www.rosaceae.org/Prunus/Prunus_persica/p.persica_gdr_reftransV1_0012151","p.persica_gdr_reftransV1_0012151")</f>
        <v>p.persica_gdr_reftransV1_0012151</v>
      </c>
      <c r="B10971" s="2">
        <v>2016</v>
      </c>
      <c r="C10971" s="4" t="str">
        <f>HYPERLINK("http://www.uniprot.org/uniprot/M5VS05","M5VS05")</f>
        <v>M5VS05</v>
      </c>
      <c r="D10971" s="2" t="s">
        <v>9338</v>
      </c>
      <c r="E10971" s="3">
        <v>1.55E-97</v>
      </c>
      <c r="F10971" s="2">
        <v>744</v>
      </c>
      <c r="G10971" s="2">
        <v>100</v>
      </c>
      <c r="H10971" s="2">
        <v>141</v>
      </c>
      <c r="I10971" s="2">
        <v>897</v>
      </c>
      <c r="J10971" s="2">
        <v>1319</v>
      </c>
      <c r="K10971" s="2">
        <v>1</v>
      </c>
      <c r="L10971" s="2">
        <v>141</v>
      </c>
    </row>
    <row r="10972" spans="1:12" x14ac:dyDescent="0.25">
      <c r="A10972" s="4" t="str">
        <f>HYPERLINK("http://www.rosaceae.org/Prunus/Prunus_persica/p.persica_gdr_reftransV1_0012851","p.persica_gdr_reftransV1_0012851")</f>
        <v>p.persica_gdr_reftransV1_0012851</v>
      </c>
      <c r="B10972" s="2">
        <v>1896</v>
      </c>
      <c r="C10972" s="4" t="str">
        <f>HYPERLINK("http://www.uniprot.org/uniprot/M5XYX6","M5XYX6")</f>
        <v>M5XYX6</v>
      </c>
      <c r="D10972" s="2" t="s">
        <v>9339</v>
      </c>
      <c r="E10972" s="3">
        <v>1.21E-127</v>
      </c>
      <c r="F10972" s="2">
        <v>991</v>
      </c>
      <c r="G10972" s="2">
        <v>100</v>
      </c>
      <c r="H10972" s="2">
        <v>189</v>
      </c>
      <c r="I10972" s="2">
        <v>355</v>
      </c>
      <c r="J10972" s="2">
        <v>921</v>
      </c>
      <c r="K10972" s="2">
        <v>6</v>
      </c>
      <c r="L10972" s="2">
        <v>194</v>
      </c>
    </row>
    <row r="10973" spans="1:12" x14ac:dyDescent="0.25">
      <c r="A10973" s="4" t="str">
        <f>HYPERLINK("http://www.rosaceae.org/Prunus/Prunus_persica/p.persica_gdr_reftransV1_0013901","p.persica_gdr_reftransV1_0013901")</f>
        <v>p.persica_gdr_reftransV1_0013901</v>
      </c>
      <c r="B10973" s="2">
        <v>2494</v>
      </c>
      <c r="C10973" s="4" t="str">
        <f>HYPERLINK("http://www.uniprot.org/uniprot/M5WR23","M5WR23")</f>
        <v>M5WR23</v>
      </c>
      <c r="D10973" s="2" t="s">
        <v>4278</v>
      </c>
      <c r="E10973" s="3">
        <v>0</v>
      </c>
      <c r="F10973" s="2">
        <v>1569</v>
      </c>
      <c r="G10973" s="2">
        <v>100</v>
      </c>
      <c r="H10973" s="2">
        <v>288</v>
      </c>
      <c r="I10973" s="2">
        <v>2</v>
      </c>
      <c r="J10973" s="2">
        <v>865</v>
      </c>
      <c r="K10973" s="2">
        <v>1</v>
      </c>
      <c r="L10973" s="2">
        <v>288</v>
      </c>
    </row>
    <row r="10974" spans="1:12" x14ac:dyDescent="0.25">
      <c r="A10974" s="4" t="str">
        <f>HYPERLINK("http://www.rosaceae.org/Prunus/Prunus_persica/p.persica_gdr_reftransV1_0014251","p.persica_gdr_reftransV1_0014251")</f>
        <v>p.persica_gdr_reftransV1_0014251</v>
      </c>
      <c r="B10974" s="2">
        <v>1404</v>
      </c>
      <c r="C10974" s="4" t="str">
        <f>HYPERLINK("http://www.uniprot.org/uniprot/M5X5C8","M5X5C8")</f>
        <v>M5X5C8</v>
      </c>
      <c r="D10974" s="2" t="s">
        <v>9340</v>
      </c>
      <c r="E10974" s="3">
        <v>0</v>
      </c>
      <c r="F10974" s="2">
        <v>1915</v>
      </c>
      <c r="G10974" s="2">
        <v>100</v>
      </c>
      <c r="H10974" s="2">
        <v>360</v>
      </c>
      <c r="I10974" s="2">
        <v>294</v>
      </c>
      <c r="J10974" s="2">
        <v>1373</v>
      </c>
      <c r="K10974" s="2">
        <v>1</v>
      </c>
      <c r="L10974" s="2">
        <v>360</v>
      </c>
    </row>
    <row r="10975" spans="1:12" x14ac:dyDescent="0.25">
      <c r="A10975" s="4" t="str">
        <f>HYPERLINK("http://www.rosaceae.org/Prunus/Prunus_persica/p.persica_gdr_reftransV1_0017401","p.persica_gdr_reftransV1_0017401")</f>
        <v>p.persica_gdr_reftransV1_0017401</v>
      </c>
      <c r="B10975" s="2">
        <v>633</v>
      </c>
      <c r="C10975" s="4" t="str">
        <f>HYPERLINK("http://www.uniprot.org/uniprot/M5VVC5","M5VVC5")</f>
        <v>M5VVC5</v>
      </c>
      <c r="D10975" s="2" t="s">
        <v>1828</v>
      </c>
      <c r="E10975" s="3">
        <v>1.14E-136</v>
      </c>
      <c r="F10975" s="2">
        <v>1120</v>
      </c>
      <c r="G10975" s="2">
        <v>100</v>
      </c>
      <c r="H10975" s="2">
        <v>210</v>
      </c>
      <c r="I10975" s="2">
        <v>3</v>
      </c>
      <c r="J10975" s="2">
        <v>632</v>
      </c>
      <c r="K10975" s="2">
        <v>193</v>
      </c>
      <c r="L10975" s="2">
        <v>402</v>
      </c>
    </row>
    <row r="10976" spans="1:12" x14ac:dyDescent="0.25">
      <c r="A10976" s="4" t="str">
        <f>HYPERLINK("http://www.rosaceae.org/Prunus/Prunus_persica/p.persica_gdr_reftransV1_0017751","p.persica_gdr_reftransV1_0017751")</f>
        <v>p.persica_gdr_reftransV1_0017751</v>
      </c>
      <c r="B10976" s="2">
        <v>2913</v>
      </c>
      <c r="C10976" s="4" t="str">
        <f>HYPERLINK("http://www.uniprot.org/uniprot/M5VRA1","M5VRA1")</f>
        <v>M5VRA1</v>
      </c>
      <c r="D10976" s="2" t="s">
        <v>9341</v>
      </c>
      <c r="E10976" s="3">
        <v>4.2999999999999999E-154</v>
      </c>
      <c r="F10976" s="2">
        <v>1211</v>
      </c>
      <c r="G10976" s="2">
        <v>100</v>
      </c>
      <c r="H10976" s="2">
        <v>223</v>
      </c>
      <c r="I10976" s="2">
        <v>611</v>
      </c>
      <c r="J10976" s="2">
        <v>1279</v>
      </c>
      <c r="K10976" s="2">
        <v>114</v>
      </c>
      <c r="L10976" s="2">
        <v>336</v>
      </c>
    </row>
    <row r="10977" spans="1:12" x14ac:dyDescent="0.25">
      <c r="A10977" s="4" t="str">
        <f>HYPERLINK("http://www.rosaceae.org/Prunus/Prunus_persica/p.persica_gdr_reftransV1_0018101","p.persica_gdr_reftransV1_0018101")</f>
        <v>p.persica_gdr_reftransV1_0018101</v>
      </c>
      <c r="B10977" s="2">
        <v>1780</v>
      </c>
      <c r="C10977" s="4" t="str">
        <f>HYPERLINK("http://www.uniprot.org/uniprot/M5XDG5","M5XDG5")</f>
        <v>M5XDG5</v>
      </c>
      <c r="D10977" s="2" t="s">
        <v>9342</v>
      </c>
      <c r="E10977" s="3">
        <v>5.8100000000000003E-68</v>
      </c>
      <c r="F10977" s="2">
        <v>590</v>
      </c>
      <c r="G10977" s="2">
        <v>100</v>
      </c>
      <c r="H10977" s="2">
        <v>128</v>
      </c>
      <c r="I10977" s="2">
        <v>311</v>
      </c>
      <c r="J10977" s="2">
        <v>694</v>
      </c>
      <c r="K10977" s="2">
        <v>1</v>
      </c>
      <c r="L10977" s="2">
        <v>128</v>
      </c>
    </row>
    <row r="10978" spans="1:12" x14ac:dyDescent="0.25">
      <c r="A10978" s="4" t="str">
        <f>HYPERLINK("http://www.rosaceae.org/Prunus/Prunus_persica/p.persica_gdr_reftransV1_0018801","p.persica_gdr_reftransV1_0018801")</f>
        <v>p.persica_gdr_reftransV1_0018801</v>
      </c>
      <c r="B10978" s="2">
        <v>3584</v>
      </c>
      <c r="C10978" s="4" t="str">
        <f>HYPERLINK("http://www.uniprot.org/uniprot/M5WE99","M5WE99")</f>
        <v>M5WE99</v>
      </c>
      <c r="D10978" s="2" t="s">
        <v>9343</v>
      </c>
      <c r="E10978" s="3">
        <v>0</v>
      </c>
      <c r="F10978" s="2">
        <v>2969</v>
      </c>
      <c r="G10978" s="2">
        <v>98</v>
      </c>
      <c r="H10978" s="2">
        <v>581</v>
      </c>
      <c r="I10978" s="2">
        <v>621</v>
      </c>
      <c r="J10978" s="2">
        <v>2363</v>
      </c>
      <c r="K10978" s="2">
        <v>1</v>
      </c>
      <c r="L10978" s="2">
        <v>569</v>
      </c>
    </row>
    <row r="10979" spans="1:12" x14ac:dyDescent="0.25">
      <c r="A10979" s="4" t="str">
        <f>HYPERLINK("http://www.rosaceae.org/Prunus/Prunus_persica/p.persica_gdr_reftransV1_0019501","p.persica_gdr_reftransV1_0019501")</f>
        <v>p.persica_gdr_reftransV1_0019501</v>
      </c>
      <c r="B10979" s="2">
        <v>4269</v>
      </c>
      <c r="C10979" s="4" t="str">
        <f>HYPERLINK("http://www.uniprot.org/uniprot/M5W6F3","M5W6F3")</f>
        <v>M5W6F3</v>
      </c>
      <c r="D10979" s="2" t="s">
        <v>9344</v>
      </c>
      <c r="E10979" s="3">
        <v>0</v>
      </c>
      <c r="F10979" s="2">
        <v>6177</v>
      </c>
      <c r="G10979" s="2">
        <v>98</v>
      </c>
      <c r="H10979" s="2">
        <v>1195</v>
      </c>
      <c r="I10979" s="2">
        <v>270</v>
      </c>
      <c r="J10979" s="2">
        <v>3854</v>
      </c>
      <c r="K10979" s="2">
        <v>1</v>
      </c>
      <c r="L10979" s="2">
        <v>1171</v>
      </c>
    </row>
    <row r="10980" spans="1:12" x14ac:dyDescent="0.25">
      <c r="A10980" s="4" t="str">
        <f>HYPERLINK("http://www.rosaceae.org/Prunus/Prunus_persica/p.persica_gdr_reftransV1_0020201","p.persica_gdr_reftransV1_0020201")</f>
        <v>p.persica_gdr_reftransV1_0020201</v>
      </c>
      <c r="B10980" s="2">
        <v>2534</v>
      </c>
      <c r="C10980" s="4" t="str">
        <f>HYPERLINK("http://www.uniprot.org/uniprot/M5VM72","M5VM72")</f>
        <v>M5VM72</v>
      </c>
      <c r="D10980" s="2" t="s">
        <v>9345</v>
      </c>
      <c r="E10980" s="3">
        <v>0</v>
      </c>
      <c r="F10980" s="2">
        <v>1419</v>
      </c>
      <c r="G10980" s="2">
        <v>100</v>
      </c>
      <c r="H10980" s="2">
        <v>318</v>
      </c>
      <c r="I10980" s="2">
        <v>880</v>
      </c>
      <c r="J10980" s="2">
        <v>1833</v>
      </c>
      <c r="K10980" s="2">
        <v>77</v>
      </c>
      <c r="L10980" s="2">
        <v>394</v>
      </c>
    </row>
    <row r="10981" spans="1:12" x14ac:dyDescent="0.25">
      <c r="A10981" s="4" t="str">
        <f>HYPERLINK("http://www.rosaceae.org/Prunus/Prunus_persica/p.persica_gdr_reftransV1_0020551","p.persica_gdr_reftransV1_0020551")</f>
        <v>p.persica_gdr_reftransV1_0020551</v>
      </c>
      <c r="B10981" s="2">
        <v>3950</v>
      </c>
      <c r="C10981" s="4" t="str">
        <f>HYPERLINK("http://www.uniprot.org/uniprot/M5XLI8","M5XLI8")</f>
        <v>M5XLI8</v>
      </c>
      <c r="D10981" s="2" t="s">
        <v>9346</v>
      </c>
      <c r="E10981" s="3">
        <v>4.57E-125</v>
      </c>
      <c r="F10981" s="2">
        <v>1067</v>
      </c>
      <c r="G10981" s="2">
        <v>93</v>
      </c>
      <c r="H10981" s="2">
        <v>230</v>
      </c>
      <c r="I10981" s="2">
        <v>250</v>
      </c>
      <c r="J10981" s="2">
        <v>939</v>
      </c>
      <c r="K10981" s="2">
        <v>1</v>
      </c>
      <c r="L10981" s="2">
        <v>230</v>
      </c>
    </row>
    <row r="10982" spans="1:12" x14ac:dyDescent="0.25">
      <c r="A10982" s="4" t="str">
        <f>HYPERLINK("http://www.rosaceae.org/Prunus/Prunus_persica/p.persica_gdr_reftransV1_0021251","p.persica_gdr_reftransV1_0021251")</f>
        <v>p.persica_gdr_reftransV1_0021251</v>
      </c>
      <c r="B10982" s="2">
        <v>2318</v>
      </c>
      <c r="C10982" s="4" t="str">
        <f>HYPERLINK("http://www.uniprot.org/uniprot/M5XMD2","M5XMD2")</f>
        <v>M5XMD2</v>
      </c>
      <c r="D10982" s="2" t="s">
        <v>9347</v>
      </c>
      <c r="E10982" s="3">
        <v>0</v>
      </c>
      <c r="F10982" s="2">
        <v>1967</v>
      </c>
      <c r="G10982" s="2">
        <v>100</v>
      </c>
      <c r="H10982" s="2">
        <v>385</v>
      </c>
      <c r="I10982" s="2">
        <v>34</v>
      </c>
      <c r="J10982" s="2">
        <v>1188</v>
      </c>
      <c r="K10982" s="2">
        <v>27</v>
      </c>
      <c r="L10982" s="2">
        <v>411</v>
      </c>
    </row>
    <row r="10983" spans="1:12" x14ac:dyDescent="0.25">
      <c r="A10983" s="4" t="str">
        <f>HYPERLINK("http://www.rosaceae.org/Prunus/Prunus_persica/p.persica_gdr_reftransV1_0022651","p.persica_gdr_reftransV1_0022651")</f>
        <v>p.persica_gdr_reftransV1_0022651</v>
      </c>
      <c r="B10983" s="2">
        <v>3471</v>
      </c>
      <c r="C10983" s="4" t="str">
        <f>HYPERLINK("http://www.uniprot.org/uniprot/M5VQ53","M5VQ53")</f>
        <v>M5VQ53</v>
      </c>
      <c r="D10983" s="2" t="s">
        <v>9348</v>
      </c>
      <c r="E10983" s="3">
        <v>1.6900000000000002E-80</v>
      </c>
      <c r="F10983" s="2">
        <v>708</v>
      </c>
      <c r="G10983" s="2">
        <v>96</v>
      </c>
      <c r="H10983" s="2">
        <v>208</v>
      </c>
      <c r="I10983" s="2">
        <v>2515</v>
      </c>
      <c r="J10983" s="2">
        <v>3138</v>
      </c>
      <c r="K10983" s="2">
        <v>52</v>
      </c>
      <c r="L10983" s="2">
        <v>259</v>
      </c>
    </row>
    <row r="10984" spans="1:12" x14ac:dyDescent="0.25">
      <c r="A10984" s="4" t="str">
        <f>HYPERLINK("http://www.rosaceae.org/Prunus/Prunus_persica/p.persica_gdr_reftransV1_0023001","p.persica_gdr_reftransV1_0023001")</f>
        <v>p.persica_gdr_reftransV1_0023001</v>
      </c>
      <c r="B10984" s="2">
        <v>3708</v>
      </c>
      <c r="C10984" s="4" t="str">
        <f>HYPERLINK("http://www.uniprot.org/uniprot/M5WJG1","M5WJG1")</f>
        <v>M5WJG1</v>
      </c>
      <c r="D10984" s="2" t="s">
        <v>9349</v>
      </c>
      <c r="E10984" s="3">
        <v>0</v>
      </c>
      <c r="F10984" s="2">
        <v>3825</v>
      </c>
      <c r="G10984" s="2">
        <v>100</v>
      </c>
      <c r="H10984" s="2">
        <v>742</v>
      </c>
      <c r="I10984" s="2">
        <v>357</v>
      </c>
      <c r="J10984" s="2">
        <v>2582</v>
      </c>
      <c r="K10984" s="2">
        <v>1</v>
      </c>
      <c r="L10984" s="2">
        <v>742</v>
      </c>
    </row>
    <row r="10985" spans="1:12" x14ac:dyDescent="0.25">
      <c r="A10985" s="4" t="str">
        <f>HYPERLINK("http://www.rosaceae.org/Prunus/Prunus_persica/p.persica_gdr_reftransV1_0023701","p.persica_gdr_reftransV1_0023701")</f>
        <v>p.persica_gdr_reftransV1_0023701</v>
      </c>
      <c r="B10985" s="2">
        <v>2410</v>
      </c>
      <c r="C10985" s="4" t="str">
        <f>HYPERLINK("http://www.uniprot.org/uniprot/M5WUP4","M5WUP4")</f>
        <v>M5WUP4</v>
      </c>
      <c r="D10985" s="2" t="s">
        <v>9350</v>
      </c>
      <c r="E10985" s="3">
        <v>0</v>
      </c>
      <c r="F10985" s="2">
        <v>1458</v>
      </c>
      <c r="G10985" s="2">
        <v>98</v>
      </c>
      <c r="H10985" s="2">
        <v>278</v>
      </c>
      <c r="I10985" s="2">
        <v>1548</v>
      </c>
      <c r="J10985" s="2">
        <v>2381</v>
      </c>
      <c r="K10985" s="2">
        <v>1</v>
      </c>
      <c r="L10985" s="2">
        <v>278</v>
      </c>
    </row>
    <row r="10986" spans="1:12" x14ac:dyDescent="0.25">
      <c r="A10986" s="4" t="str">
        <f>HYPERLINK("http://www.rosaceae.org/Prunus/Prunus_persica/p.persica_gdr_reftransV1_0024401","p.persica_gdr_reftransV1_0024401")</f>
        <v>p.persica_gdr_reftransV1_0024401</v>
      </c>
      <c r="B10986" s="2">
        <v>2045</v>
      </c>
      <c r="C10986" s="4" t="str">
        <f>HYPERLINK("http://www.uniprot.org/uniprot/M5XRE6","M5XRE6")</f>
        <v>M5XRE6</v>
      </c>
      <c r="D10986" s="2" t="s">
        <v>9351</v>
      </c>
      <c r="E10986" s="3">
        <v>0</v>
      </c>
      <c r="F10986" s="2">
        <v>2352</v>
      </c>
      <c r="G10986" s="2">
        <v>96</v>
      </c>
      <c r="H10986" s="2">
        <v>493</v>
      </c>
      <c r="I10986" s="2">
        <v>173</v>
      </c>
      <c r="J10986" s="2">
        <v>1651</v>
      </c>
      <c r="K10986" s="2">
        <v>1</v>
      </c>
      <c r="L10986" s="2">
        <v>472</v>
      </c>
    </row>
    <row r="10987" spans="1:12" x14ac:dyDescent="0.25">
      <c r="A10987" s="4" t="str">
        <f>HYPERLINK("http://www.rosaceae.org/Prunus/Prunus_persica/p.persica_gdr_reftransV1_0024751","p.persica_gdr_reftransV1_0024751")</f>
        <v>p.persica_gdr_reftransV1_0024751</v>
      </c>
      <c r="B10987" s="2">
        <v>2340</v>
      </c>
      <c r="C10987" s="4" t="str">
        <f>HYPERLINK("http://www.uniprot.org/uniprot/M5WUR8","M5WUR8")</f>
        <v>M5WUR8</v>
      </c>
      <c r="D10987" s="2" t="s">
        <v>9352</v>
      </c>
      <c r="E10987" s="3">
        <v>0</v>
      </c>
      <c r="F10987" s="2">
        <v>2100</v>
      </c>
      <c r="G10987" s="2">
        <v>95</v>
      </c>
      <c r="H10987" s="2">
        <v>419</v>
      </c>
      <c r="I10987" s="2">
        <v>197</v>
      </c>
      <c r="J10987" s="2">
        <v>1453</v>
      </c>
      <c r="K10987" s="2">
        <v>1</v>
      </c>
      <c r="L10987" s="2">
        <v>398</v>
      </c>
    </row>
    <row r="10988" spans="1:12" x14ac:dyDescent="0.25">
      <c r="A10988" s="4" t="str">
        <f>HYPERLINK("http://www.rosaceae.org/Prunus/Prunus_persica/p.persica_gdr_reftransV1_0025451","p.persica_gdr_reftransV1_0025451")</f>
        <v>p.persica_gdr_reftransV1_0025451</v>
      </c>
      <c r="B10988" s="2">
        <v>1234</v>
      </c>
      <c r="C10988" s="4" t="str">
        <f>HYPERLINK("http://www.uniprot.org/uniprot/M5WRE2","M5WRE2")</f>
        <v>M5WRE2</v>
      </c>
      <c r="D10988" s="2" t="s">
        <v>9353</v>
      </c>
      <c r="E10988" s="3">
        <v>5.8700000000000001E-28</v>
      </c>
      <c r="F10988" s="2">
        <v>290</v>
      </c>
      <c r="G10988" s="2">
        <v>100</v>
      </c>
      <c r="H10988" s="2">
        <v>74</v>
      </c>
      <c r="I10988" s="2">
        <v>870</v>
      </c>
      <c r="J10988" s="2">
        <v>1091</v>
      </c>
      <c r="K10988" s="2">
        <v>1</v>
      </c>
      <c r="L10988" s="2">
        <v>74</v>
      </c>
    </row>
    <row r="10989" spans="1:12" x14ac:dyDescent="0.25">
      <c r="A10989" s="4" t="str">
        <f>HYPERLINK("http://www.rosaceae.org/Prunus/Prunus_persica/p.persica_gdr_reftransV1_0027201","p.persica_gdr_reftransV1_0027201")</f>
        <v>p.persica_gdr_reftransV1_0027201</v>
      </c>
      <c r="B10989" s="2">
        <v>1935</v>
      </c>
      <c r="C10989" s="4" t="str">
        <f>HYPERLINK("http://www.uniprot.org/uniprot/M5VPM8","M5VPM8")</f>
        <v>M5VPM8</v>
      </c>
      <c r="D10989" s="2" t="s">
        <v>9354</v>
      </c>
      <c r="E10989" s="3">
        <v>5.5100000000000002E-155</v>
      </c>
      <c r="F10989" s="2">
        <v>1205</v>
      </c>
      <c r="G10989" s="2">
        <v>93</v>
      </c>
      <c r="H10989" s="2">
        <v>243</v>
      </c>
      <c r="I10989" s="2">
        <v>1137</v>
      </c>
      <c r="J10989" s="2">
        <v>1865</v>
      </c>
      <c r="K10989" s="2">
        <v>73</v>
      </c>
      <c r="L10989" s="2">
        <v>309</v>
      </c>
    </row>
    <row r="10990" spans="1:12" x14ac:dyDescent="0.25">
      <c r="A10990" s="4" t="str">
        <f>HYPERLINK("http://www.rosaceae.org/Prunus/Prunus_persica/p.persica_gdr_reftransV1_0027901","p.persica_gdr_reftransV1_0027901")</f>
        <v>p.persica_gdr_reftransV1_0027901</v>
      </c>
      <c r="B10990" s="2">
        <v>3626</v>
      </c>
      <c r="C10990" s="4" t="str">
        <f>HYPERLINK("http://www.uniprot.org/uniprot/M5X9L2","M5X9L2")</f>
        <v>M5X9L2</v>
      </c>
      <c r="D10990" s="2" t="s">
        <v>9355</v>
      </c>
      <c r="E10990" s="3">
        <v>0</v>
      </c>
      <c r="F10990" s="2">
        <v>4669</v>
      </c>
      <c r="G10990" s="2">
        <v>100</v>
      </c>
      <c r="H10990" s="2">
        <v>918</v>
      </c>
      <c r="I10990" s="2">
        <v>585</v>
      </c>
      <c r="J10990" s="2">
        <v>3338</v>
      </c>
      <c r="K10990" s="2">
        <v>1</v>
      </c>
      <c r="L10990" s="2">
        <v>918</v>
      </c>
    </row>
    <row r="10991" spans="1:12" x14ac:dyDescent="0.25">
      <c r="A10991" s="4" t="str">
        <f>HYPERLINK("http://www.rosaceae.org/Prunus/Prunus_persica/p.persica_gdr_reftransV1_0028251","p.persica_gdr_reftransV1_0028251")</f>
        <v>p.persica_gdr_reftransV1_0028251</v>
      </c>
      <c r="B10991" s="2">
        <v>1700</v>
      </c>
      <c r="C10991" s="4" t="str">
        <f>HYPERLINK("http://www.uniprot.org/uniprot/M5WVR3","M5WVR3")</f>
        <v>M5WVR3</v>
      </c>
      <c r="D10991" s="2" t="s">
        <v>9356</v>
      </c>
      <c r="E10991" s="3">
        <v>0</v>
      </c>
      <c r="F10991" s="2">
        <v>2300</v>
      </c>
      <c r="G10991" s="2">
        <v>99</v>
      </c>
      <c r="H10991" s="2">
        <v>445</v>
      </c>
      <c r="I10991" s="2">
        <v>21</v>
      </c>
      <c r="J10991" s="2">
        <v>1355</v>
      </c>
      <c r="K10991" s="2">
        <v>108</v>
      </c>
      <c r="L10991" s="2">
        <v>552</v>
      </c>
    </row>
    <row r="10992" spans="1:12" x14ac:dyDescent="0.25">
      <c r="A10992" s="4" t="str">
        <f>HYPERLINK("http://www.rosaceae.org/Prunus/Prunus_persica/p.persica_gdr_reftransV1_0028601","p.persica_gdr_reftransV1_0028601")</f>
        <v>p.persica_gdr_reftransV1_0028601</v>
      </c>
      <c r="B10992" s="2">
        <v>4086</v>
      </c>
      <c r="C10992" s="4" t="str">
        <f>HYPERLINK("http://www.uniprot.org/uniprot/A0A061DUJ5","A0A061DUJ5")</f>
        <v>A0A061DUJ5</v>
      </c>
      <c r="D10992" s="2" t="s">
        <v>9357</v>
      </c>
      <c r="E10992" s="3">
        <v>6.3499999999999995E-125</v>
      </c>
      <c r="F10992" s="2">
        <v>1063</v>
      </c>
      <c r="G10992" s="2">
        <v>57</v>
      </c>
      <c r="H10992" s="2">
        <v>377</v>
      </c>
      <c r="I10992" s="2">
        <v>2810</v>
      </c>
      <c r="J10992" s="2">
        <v>3916</v>
      </c>
      <c r="K10992" s="2">
        <v>9</v>
      </c>
      <c r="L10992" s="2">
        <v>369</v>
      </c>
    </row>
    <row r="10993" spans="1:12" x14ac:dyDescent="0.25">
      <c r="A10993" s="4" t="str">
        <f>HYPERLINK("http://www.rosaceae.org/Prunus/Prunus_persica/p.persica_gdr_reftransV1_0030001","p.persica_gdr_reftransV1_0030001")</f>
        <v>p.persica_gdr_reftransV1_0030001</v>
      </c>
      <c r="B10993" s="2">
        <v>969</v>
      </c>
      <c r="C10993" s="4" t="str">
        <f>HYPERLINK("http://www.uniprot.org/uniprot/M5WU44","M5WU44")</f>
        <v>M5WU44</v>
      </c>
      <c r="D10993" s="2" t="s">
        <v>7524</v>
      </c>
      <c r="E10993" s="3">
        <v>6.3800000000000001E-59</v>
      </c>
      <c r="F10993" s="2">
        <v>520</v>
      </c>
      <c r="G10993" s="2">
        <v>95</v>
      </c>
      <c r="H10993" s="2">
        <v>113</v>
      </c>
      <c r="I10993" s="2">
        <v>427</v>
      </c>
      <c r="J10993" s="2">
        <v>765</v>
      </c>
      <c r="K10993" s="2">
        <v>1</v>
      </c>
      <c r="L10993" s="2">
        <v>109</v>
      </c>
    </row>
    <row r="10994" spans="1:12" x14ac:dyDescent="0.25">
      <c r="A10994" s="4" t="str">
        <f>HYPERLINK("http://www.rosaceae.org/Prunus/Prunus_persica/p.persica_gdr_reftransV1_0030351","p.persica_gdr_reftransV1_0030351")</f>
        <v>p.persica_gdr_reftransV1_0030351</v>
      </c>
      <c r="B10994" s="2">
        <v>691</v>
      </c>
      <c r="C10994" s="4" t="str">
        <f>HYPERLINK("http://www.uniprot.org/uniprot/M5XMZ7","M5XMZ7")</f>
        <v>M5XMZ7</v>
      </c>
      <c r="D10994" s="2" t="s">
        <v>9358</v>
      </c>
      <c r="E10994" s="3">
        <v>3.8099999999999998E-90</v>
      </c>
      <c r="F10994" s="2">
        <v>744</v>
      </c>
      <c r="G10994" s="2">
        <v>99</v>
      </c>
      <c r="H10994" s="2">
        <v>147</v>
      </c>
      <c r="I10994" s="2">
        <v>235</v>
      </c>
      <c r="J10994" s="2">
        <v>675</v>
      </c>
      <c r="K10994" s="2">
        <v>1</v>
      </c>
      <c r="L10994" s="2">
        <v>147</v>
      </c>
    </row>
    <row r="10995" spans="1:12" x14ac:dyDescent="0.25">
      <c r="A10995" s="4" t="str">
        <f>HYPERLINK("http://www.rosaceae.org/Prunus/Prunus_persica/p.persica_gdr_reftransV1_0031751","p.persica_gdr_reftransV1_0031751")</f>
        <v>p.persica_gdr_reftransV1_0031751</v>
      </c>
      <c r="B10995" s="2">
        <v>2336</v>
      </c>
      <c r="C10995" s="4" t="str">
        <f>HYPERLINK("http://www.uniprot.org/uniprot/M5WHC9","M5WHC9")</f>
        <v>M5WHC9</v>
      </c>
      <c r="D10995" s="2" t="s">
        <v>9359</v>
      </c>
      <c r="E10995" s="3">
        <v>0</v>
      </c>
      <c r="F10995" s="2">
        <v>2463</v>
      </c>
      <c r="G10995" s="2">
        <v>93</v>
      </c>
      <c r="H10995" s="2">
        <v>563</v>
      </c>
      <c r="I10995" s="2">
        <v>376</v>
      </c>
      <c r="J10995" s="2">
        <v>1965</v>
      </c>
      <c r="K10995" s="2">
        <v>17</v>
      </c>
      <c r="L10995" s="2">
        <v>579</v>
      </c>
    </row>
    <row r="10996" spans="1:12" x14ac:dyDescent="0.25">
      <c r="A10996" s="4" t="str">
        <f>HYPERLINK("http://www.rosaceae.org/Prunus/Prunus_persica/p.persica_gdr_reftransV1_0033851","p.persica_gdr_reftransV1_0033851")</f>
        <v>p.persica_gdr_reftransV1_0033851</v>
      </c>
      <c r="B10996" s="2">
        <v>1817</v>
      </c>
      <c r="C10996" s="4" t="str">
        <f>HYPERLINK("http://www.uniprot.org/uniprot/M4QEJ5","M4QEJ5")</f>
        <v>M4QEJ5</v>
      </c>
      <c r="D10996" s="2" t="s">
        <v>9360</v>
      </c>
      <c r="E10996" s="3">
        <v>0</v>
      </c>
      <c r="F10996" s="2">
        <v>1691</v>
      </c>
      <c r="G10996" s="2">
        <v>99</v>
      </c>
      <c r="H10996" s="2">
        <v>321</v>
      </c>
      <c r="I10996" s="2">
        <v>185</v>
      </c>
      <c r="J10996" s="2">
        <v>1147</v>
      </c>
      <c r="K10996" s="2">
        <v>119</v>
      </c>
      <c r="L10996" s="2">
        <v>438</v>
      </c>
    </row>
    <row r="10997" spans="1:12" x14ac:dyDescent="0.25">
      <c r="A10997" s="4" t="str">
        <f>HYPERLINK("http://www.rosaceae.org/Prunus/Prunus_persica/p.persica_gdr_reftransV1_0034551","p.persica_gdr_reftransV1_0034551")</f>
        <v>p.persica_gdr_reftransV1_0034551</v>
      </c>
      <c r="B10997" s="2">
        <v>2834</v>
      </c>
      <c r="C10997" s="4" t="str">
        <f>HYPERLINK("http://www.uniprot.org/uniprot/M5XRM8","M5XRM8")</f>
        <v>M5XRM8</v>
      </c>
      <c r="D10997" s="2" t="s">
        <v>9361</v>
      </c>
      <c r="E10997" s="3">
        <v>0</v>
      </c>
      <c r="F10997" s="2">
        <v>3969</v>
      </c>
      <c r="G10997" s="2">
        <v>100</v>
      </c>
      <c r="H10997" s="2">
        <v>763</v>
      </c>
      <c r="I10997" s="2">
        <v>334</v>
      </c>
      <c r="J10997" s="2">
        <v>2622</v>
      </c>
      <c r="K10997" s="2">
        <v>22</v>
      </c>
      <c r="L10997" s="2">
        <v>784</v>
      </c>
    </row>
    <row r="10998" spans="1:12" x14ac:dyDescent="0.25">
      <c r="A10998" s="4" t="str">
        <f>HYPERLINK("http://www.rosaceae.org/Prunus/Prunus_persica/p.persica_gdr_reftransV1_0034901","p.persica_gdr_reftransV1_0034901")</f>
        <v>p.persica_gdr_reftransV1_0034901</v>
      </c>
      <c r="B10998" s="2">
        <v>3130</v>
      </c>
      <c r="C10998" s="4" t="str">
        <f>HYPERLINK("http://www.uniprot.org/uniprot/M5X3Z0","M5X3Z0")</f>
        <v>M5X3Z0</v>
      </c>
      <c r="D10998" s="2" t="s">
        <v>9362</v>
      </c>
      <c r="E10998" s="3">
        <v>0</v>
      </c>
      <c r="F10998" s="2">
        <v>1609</v>
      </c>
      <c r="G10998" s="2">
        <v>100</v>
      </c>
      <c r="H10998" s="2">
        <v>300</v>
      </c>
      <c r="I10998" s="2">
        <v>1</v>
      </c>
      <c r="J10998" s="2">
        <v>900</v>
      </c>
      <c r="K10998" s="2">
        <v>57</v>
      </c>
      <c r="L10998" s="2">
        <v>356</v>
      </c>
    </row>
    <row r="10999" spans="1:12" x14ac:dyDescent="0.25">
      <c r="A10999" s="4" t="str">
        <f>HYPERLINK("http://www.rosaceae.org/Prunus/Prunus_persica/p.persica_gdr_reftransV1_0035251","p.persica_gdr_reftransV1_0035251")</f>
        <v>p.persica_gdr_reftransV1_0035251</v>
      </c>
      <c r="B10999" s="2">
        <v>2320</v>
      </c>
      <c r="C10999" s="4" t="str">
        <f>HYPERLINK("http://www.uniprot.org/uniprot/M5XCL8","M5XCL8")</f>
        <v>M5XCL8</v>
      </c>
      <c r="D10999" s="2" t="s">
        <v>9363</v>
      </c>
      <c r="E10999" s="3">
        <v>0</v>
      </c>
      <c r="F10999" s="2">
        <v>2386</v>
      </c>
      <c r="G10999" s="2">
        <v>100</v>
      </c>
      <c r="H10999" s="2">
        <v>483</v>
      </c>
      <c r="I10999" s="2">
        <v>498</v>
      </c>
      <c r="J10999" s="2">
        <v>1946</v>
      </c>
      <c r="K10999" s="2">
        <v>1</v>
      </c>
      <c r="L10999" s="2">
        <v>483</v>
      </c>
    </row>
    <row r="11000" spans="1:12" x14ac:dyDescent="0.25">
      <c r="A11000" s="4" t="str">
        <f>HYPERLINK("http://www.rosaceae.org/Prunus/Prunus_persica/p.persica_gdr_reftransV1_0036301","p.persica_gdr_reftransV1_0036301")</f>
        <v>p.persica_gdr_reftransV1_0036301</v>
      </c>
      <c r="B11000" s="2">
        <v>321</v>
      </c>
      <c r="C11000" s="4" t="str">
        <f>HYPERLINK("http://www.uniprot.org/uniprot/M5WNH2","M5WNH2")</f>
        <v>M5WNH2</v>
      </c>
      <c r="D11000" s="2" t="s">
        <v>7487</v>
      </c>
      <c r="E11000" s="3">
        <v>9.9999999999999992E-66</v>
      </c>
      <c r="F11000" s="2">
        <v>560</v>
      </c>
      <c r="G11000" s="2">
        <v>100</v>
      </c>
      <c r="H11000" s="2">
        <v>106</v>
      </c>
      <c r="I11000" s="2">
        <v>3</v>
      </c>
      <c r="J11000" s="2">
        <v>320</v>
      </c>
      <c r="K11000" s="2">
        <v>216</v>
      </c>
      <c r="L11000" s="2">
        <v>321</v>
      </c>
    </row>
    <row r="11001" spans="1:12" x14ac:dyDescent="0.25">
      <c r="A11001" s="4" t="str">
        <f>HYPERLINK("http://www.rosaceae.org/Prunus/Prunus_persica/p.persica_gdr_reftransV1_0037701","p.persica_gdr_reftransV1_0037701")</f>
        <v>p.persica_gdr_reftransV1_0037701</v>
      </c>
      <c r="B11001" s="2">
        <v>3583</v>
      </c>
      <c r="C11001" s="4" t="str">
        <f>HYPERLINK("http://www.uniprot.org/uniprot/M5XDV4","M5XDV4")</f>
        <v>M5XDV4</v>
      </c>
      <c r="D11001" s="2" t="s">
        <v>4186</v>
      </c>
      <c r="E11001" s="3">
        <v>2.5900000000000002E-116</v>
      </c>
      <c r="F11001" s="2">
        <v>959</v>
      </c>
      <c r="G11001" s="2">
        <v>99</v>
      </c>
      <c r="H11001" s="2">
        <v>196</v>
      </c>
      <c r="I11001" s="2">
        <v>1120</v>
      </c>
      <c r="J11001" s="2">
        <v>1707</v>
      </c>
      <c r="K11001" s="2">
        <v>1</v>
      </c>
      <c r="L11001" s="2">
        <v>196</v>
      </c>
    </row>
    <row r="11002" spans="1:12" x14ac:dyDescent="0.25">
      <c r="A11002" s="4" t="str">
        <f>HYPERLINK("http://www.rosaceae.org/Prunus/Prunus_persica/p.persica_gdr_reftransV1_0039101","p.persica_gdr_reftransV1_0039101")</f>
        <v>p.persica_gdr_reftransV1_0039101</v>
      </c>
      <c r="B11002" s="2">
        <v>5754</v>
      </c>
      <c r="C11002" s="4" t="str">
        <f>HYPERLINK("http://www.uniprot.org/uniprot/M5WJC4","M5WJC4")</f>
        <v>M5WJC4</v>
      </c>
      <c r="D11002" s="2" t="s">
        <v>9364</v>
      </c>
      <c r="E11002" s="3">
        <v>0</v>
      </c>
      <c r="F11002" s="2">
        <v>2618</v>
      </c>
      <c r="G11002" s="2">
        <v>100</v>
      </c>
      <c r="H11002" s="2">
        <v>484</v>
      </c>
      <c r="I11002" s="2">
        <v>4303</v>
      </c>
      <c r="J11002" s="2">
        <v>5754</v>
      </c>
      <c r="K11002" s="2">
        <v>1</v>
      </c>
      <c r="L11002" s="2">
        <v>484</v>
      </c>
    </row>
    <row r="11003" spans="1:12" x14ac:dyDescent="0.25">
      <c r="A11003" s="4" t="str">
        <f>HYPERLINK("http://www.rosaceae.org/Prunus/Prunus_persica/p.persica_gdr_reftransV1_0039451","p.persica_gdr_reftransV1_0039451")</f>
        <v>p.persica_gdr_reftransV1_0039451</v>
      </c>
      <c r="B11003" s="2">
        <v>2095</v>
      </c>
      <c r="C11003" s="4" t="str">
        <f>HYPERLINK("http://www.uniprot.org/uniprot/M5WX38","M5WX38")</f>
        <v>M5WX38</v>
      </c>
      <c r="D11003" s="2" t="s">
        <v>9365</v>
      </c>
      <c r="E11003" s="3">
        <v>9.6900000000000001E-177</v>
      </c>
      <c r="F11003" s="2">
        <v>1067</v>
      </c>
      <c r="G11003" s="2">
        <v>100</v>
      </c>
      <c r="H11003" s="2">
        <v>198</v>
      </c>
      <c r="I11003" s="2">
        <v>527</v>
      </c>
      <c r="J11003" s="2">
        <v>1120</v>
      </c>
      <c r="K11003" s="2">
        <v>139</v>
      </c>
      <c r="L11003" s="2">
        <v>336</v>
      </c>
    </row>
    <row r="11004" spans="1:12" x14ac:dyDescent="0.25">
      <c r="A11004" s="4" t="str">
        <f>HYPERLINK("http://www.rosaceae.org/Prunus/Prunus_persica/p.persica_gdr_reftransV1_0039801","p.persica_gdr_reftransV1_0039801")</f>
        <v>p.persica_gdr_reftransV1_0039801</v>
      </c>
      <c r="B11004" s="2">
        <v>643</v>
      </c>
      <c r="C11004" s="4" t="str">
        <f>HYPERLINK("http://www.uniprot.org/uniprot/M5WX26","M5WX26")</f>
        <v>M5WX26</v>
      </c>
      <c r="D11004" s="2" t="s">
        <v>6000</v>
      </c>
      <c r="E11004" s="3">
        <v>1.68E-79</v>
      </c>
      <c r="F11004" s="2">
        <v>676</v>
      </c>
      <c r="G11004" s="2">
        <v>100</v>
      </c>
      <c r="H11004" s="2">
        <v>171</v>
      </c>
      <c r="I11004" s="2">
        <v>131</v>
      </c>
      <c r="J11004" s="2">
        <v>643</v>
      </c>
      <c r="K11004" s="2">
        <v>1</v>
      </c>
      <c r="L11004" s="2">
        <v>171</v>
      </c>
    </row>
    <row r="11005" spans="1:12" x14ac:dyDescent="0.25">
      <c r="A11005" s="4" t="str">
        <f>HYPERLINK("http://www.rosaceae.org/Prunus/Prunus_persica/p.persica_gdr_reftransV1_0042951","p.persica_gdr_reftransV1_0042951")</f>
        <v>p.persica_gdr_reftransV1_0042951</v>
      </c>
      <c r="B11005" s="2">
        <v>2448</v>
      </c>
      <c r="C11005" s="4" t="str">
        <f>HYPERLINK("http://www.uniprot.org/uniprot/M5WMM1","M5WMM1")</f>
        <v>M5WMM1</v>
      </c>
      <c r="D11005" s="2" t="s">
        <v>9366</v>
      </c>
      <c r="E11005" s="3">
        <v>0</v>
      </c>
      <c r="F11005" s="2">
        <v>1384</v>
      </c>
      <c r="G11005" s="2">
        <v>100</v>
      </c>
      <c r="H11005" s="2">
        <v>260</v>
      </c>
      <c r="I11005" s="2">
        <v>1164</v>
      </c>
      <c r="J11005" s="2">
        <v>1943</v>
      </c>
      <c r="K11005" s="2">
        <v>1</v>
      </c>
      <c r="L11005" s="2">
        <v>260</v>
      </c>
    </row>
    <row r="11006" spans="1:12" x14ac:dyDescent="0.25">
      <c r="A11006" s="4" t="str">
        <f>HYPERLINK("http://www.rosaceae.org/Prunus/Prunus_persica/p.persica_gdr_reftransV1_0043301","p.persica_gdr_reftransV1_0043301")</f>
        <v>p.persica_gdr_reftransV1_0043301</v>
      </c>
      <c r="B11006" s="2">
        <v>1296</v>
      </c>
      <c r="C11006" s="4" t="str">
        <f>HYPERLINK("http://www.uniprot.org/uniprot/M5WV76","M5WV76")</f>
        <v>M5WV76</v>
      </c>
      <c r="D11006" s="2" t="s">
        <v>9367</v>
      </c>
      <c r="E11006" s="3">
        <v>9.9400000000000006E-135</v>
      </c>
      <c r="F11006" s="2">
        <v>1026</v>
      </c>
      <c r="G11006" s="2">
        <v>100</v>
      </c>
      <c r="H11006" s="2">
        <v>242</v>
      </c>
      <c r="I11006" s="2">
        <v>432</v>
      </c>
      <c r="J11006" s="2">
        <v>1157</v>
      </c>
      <c r="K11006" s="2">
        <v>17</v>
      </c>
      <c r="L11006" s="2">
        <v>258</v>
      </c>
    </row>
    <row r="11007" spans="1:12" x14ac:dyDescent="0.25">
      <c r="A11007" s="4" t="str">
        <f>HYPERLINK("http://www.rosaceae.org/Prunus/Prunus_persica/p.persica_gdr_reftransV1_0043651","p.persica_gdr_reftransV1_0043651")</f>
        <v>p.persica_gdr_reftransV1_0043651</v>
      </c>
      <c r="B11007" s="2">
        <v>2339</v>
      </c>
      <c r="C11007" s="4" t="str">
        <f>HYPERLINK("http://www.uniprot.org/uniprot/M5WNZ5","M5WNZ5")</f>
        <v>M5WNZ5</v>
      </c>
      <c r="D11007" s="2" t="s">
        <v>5488</v>
      </c>
      <c r="E11007" s="3">
        <v>0</v>
      </c>
      <c r="F11007" s="2">
        <v>1719</v>
      </c>
      <c r="G11007" s="2">
        <v>100</v>
      </c>
      <c r="H11007" s="2">
        <v>356</v>
      </c>
      <c r="I11007" s="2">
        <v>805</v>
      </c>
      <c r="J11007" s="2">
        <v>1872</v>
      </c>
      <c r="K11007" s="2">
        <v>1</v>
      </c>
      <c r="L11007" s="2">
        <v>356</v>
      </c>
    </row>
    <row r="11008" spans="1:12" x14ac:dyDescent="0.25">
      <c r="A11008" s="4" t="str">
        <f>HYPERLINK("http://www.rosaceae.org/Prunus/Prunus_persica/p.persica_gdr_reftransV1_0044001","p.persica_gdr_reftransV1_0044001")</f>
        <v>p.persica_gdr_reftransV1_0044001</v>
      </c>
      <c r="B11008" s="2">
        <v>1412</v>
      </c>
      <c r="C11008" s="4" t="str">
        <f>HYPERLINK("http://www.uniprot.org/uniprot/M5W9R9","M5W9R9")</f>
        <v>M5W9R9</v>
      </c>
      <c r="D11008" s="2" t="s">
        <v>8005</v>
      </c>
      <c r="E11008" s="3">
        <v>6.4099999999999998E-165</v>
      </c>
      <c r="F11008" s="2">
        <v>1238</v>
      </c>
      <c r="G11008" s="2">
        <v>88</v>
      </c>
      <c r="H11008" s="2">
        <v>276</v>
      </c>
      <c r="I11008" s="2">
        <v>18</v>
      </c>
      <c r="J11008" s="2">
        <v>845</v>
      </c>
      <c r="K11008" s="2">
        <v>73</v>
      </c>
      <c r="L11008" s="2">
        <v>316</v>
      </c>
    </row>
    <row r="11009" spans="1:12" x14ac:dyDescent="0.25">
      <c r="A11009" s="4" t="str">
        <f>HYPERLINK("http://www.rosaceae.org/Prunus/Prunus_persica/p.persica_gdr_reftransV1_0044351","p.persica_gdr_reftransV1_0044351")</f>
        <v>p.persica_gdr_reftransV1_0044351</v>
      </c>
      <c r="B11009" s="2">
        <v>1182</v>
      </c>
      <c r="C11009" s="4" t="str">
        <f>HYPERLINK("http://www.uniprot.org/uniprot/M5WGJ7","M5WGJ7")</f>
        <v>M5WGJ7</v>
      </c>
      <c r="D11009" s="2" t="s">
        <v>8392</v>
      </c>
      <c r="E11009" s="3">
        <v>1.4500000000000001E-162</v>
      </c>
      <c r="F11009" s="2">
        <v>813</v>
      </c>
      <c r="G11009" s="2">
        <v>100</v>
      </c>
      <c r="H11009" s="2">
        <v>154</v>
      </c>
      <c r="I11009" s="2">
        <v>524</v>
      </c>
      <c r="J11009" s="2">
        <v>985</v>
      </c>
      <c r="K11009" s="2">
        <v>180</v>
      </c>
      <c r="L11009" s="2">
        <v>333</v>
      </c>
    </row>
    <row r="11010" spans="1:12" x14ac:dyDescent="0.25">
      <c r="A11010" s="4" t="str">
        <f>HYPERLINK("http://www.rosaceae.org/Prunus/Prunus_persica/p.persica_gdr_reftransV1_0044701","p.persica_gdr_reftransV1_0044701")</f>
        <v>p.persica_gdr_reftransV1_0044701</v>
      </c>
      <c r="B11010" s="2">
        <v>2501</v>
      </c>
      <c r="C11010" s="4" t="str">
        <f>HYPERLINK("http://www.uniprot.org/uniprot/M5X1Y3","M5X1Y3")</f>
        <v>M5X1Y3</v>
      </c>
      <c r="D11010" s="2" t="s">
        <v>7709</v>
      </c>
      <c r="E11010" s="3">
        <v>0</v>
      </c>
      <c r="F11010" s="2">
        <v>3869</v>
      </c>
      <c r="G11010" s="2">
        <v>97</v>
      </c>
      <c r="H11010" s="2">
        <v>754</v>
      </c>
      <c r="I11010" s="2">
        <v>103</v>
      </c>
      <c r="J11010" s="2">
        <v>2346</v>
      </c>
      <c r="K11010" s="2">
        <v>1370</v>
      </c>
      <c r="L11010" s="2">
        <v>2123</v>
      </c>
    </row>
    <row r="11011" spans="1:12" x14ac:dyDescent="0.25">
      <c r="A11011" s="4" t="str">
        <f>HYPERLINK("http://www.rosaceae.org/Prunus/Prunus_persica/p.persica_gdr_reftransV1_0045401","p.persica_gdr_reftransV1_0045401")</f>
        <v>p.persica_gdr_reftransV1_0045401</v>
      </c>
      <c r="B11011" s="2">
        <v>7040</v>
      </c>
      <c r="C11011" s="4" t="str">
        <f>HYPERLINK("http://www.uniprot.org/uniprot/M5X2D6","M5X2D6")</f>
        <v>M5X2D6</v>
      </c>
      <c r="D11011" s="2" t="s">
        <v>9368</v>
      </c>
      <c r="E11011" s="3">
        <v>0</v>
      </c>
      <c r="F11011" s="2">
        <v>10269</v>
      </c>
      <c r="G11011" s="2">
        <v>95</v>
      </c>
      <c r="H11011" s="2">
        <v>2151</v>
      </c>
      <c r="I11011" s="2">
        <v>367</v>
      </c>
      <c r="J11011" s="2">
        <v>6819</v>
      </c>
      <c r="K11011" s="2">
        <v>1</v>
      </c>
      <c r="L11011" s="2">
        <v>2061</v>
      </c>
    </row>
    <row r="11012" spans="1:12" x14ac:dyDescent="0.25">
      <c r="A11012" s="4" t="str">
        <f>HYPERLINK("http://www.rosaceae.org/Prunus/Prunus_persica/p.persica_gdr_reftransV1_0045751","p.persica_gdr_reftransV1_0045751")</f>
        <v>p.persica_gdr_reftransV1_0045751</v>
      </c>
      <c r="B11012" s="2">
        <v>1112</v>
      </c>
      <c r="C11012" s="4" t="str">
        <f>HYPERLINK("http://www.uniprot.org/uniprot/M5VR15","M5VR15")</f>
        <v>M5VR15</v>
      </c>
      <c r="D11012" s="2" t="s">
        <v>3258</v>
      </c>
      <c r="E11012" s="3">
        <v>1.67E-51</v>
      </c>
      <c r="F11012" s="2">
        <v>470</v>
      </c>
      <c r="G11012" s="2">
        <v>93</v>
      </c>
      <c r="H11012" s="2">
        <v>116</v>
      </c>
      <c r="I11012" s="2">
        <v>629</v>
      </c>
      <c r="J11012" s="2">
        <v>976</v>
      </c>
      <c r="K11012" s="2">
        <v>39</v>
      </c>
      <c r="L11012" s="2">
        <v>154</v>
      </c>
    </row>
    <row r="11013" spans="1:12" x14ac:dyDescent="0.25">
      <c r="A11013" s="4" t="str">
        <f>HYPERLINK("http://www.rosaceae.org/Prunus/Prunus_persica/p.persica_gdr_reftransV1_0046101","p.persica_gdr_reftransV1_0046101")</f>
        <v>p.persica_gdr_reftransV1_0046101</v>
      </c>
      <c r="B11013" s="2">
        <v>649</v>
      </c>
      <c r="C11013" s="4" t="str">
        <f>HYPERLINK("http://www.uniprot.org/uniprot/M5XCR4","M5XCR4")</f>
        <v>M5XCR4</v>
      </c>
      <c r="D11013" s="2" t="s">
        <v>7329</v>
      </c>
      <c r="E11013" s="3">
        <v>2.62E-78</v>
      </c>
      <c r="F11013" s="2">
        <v>656</v>
      </c>
      <c r="G11013" s="2">
        <v>100</v>
      </c>
      <c r="H11013" s="2">
        <v>128</v>
      </c>
      <c r="I11013" s="2">
        <v>168</v>
      </c>
      <c r="J11013" s="2">
        <v>551</v>
      </c>
      <c r="K11013" s="2">
        <v>412</v>
      </c>
      <c r="L11013" s="2">
        <v>539</v>
      </c>
    </row>
    <row r="11014" spans="1:12" x14ac:dyDescent="0.25">
      <c r="A11014" s="4" t="str">
        <f>HYPERLINK("http://www.rosaceae.org/Prunus/Prunus_persica/p.persica_gdr_reftransV1_0046801","p.persica_gdr_reftransV1_0046801")</f>
        <v>p.persica_gdr_reftransV1_0046801</v>
      </c>
      <c r="B11014" s="2">
        <v>2102</v>
      </c>
      <c r="C11014" s="4" t="str">
        <f>HYPERLINK("http://www.uniprot.org/uniprot/B9RZI4","B9RZI4")</f>
        <v>B9RZI4</v>
      </c>
      <c r="D11014" s="2" t="s">
        <v>9369</v>
      </c>
      <c r="E11014" s="3">
        <v>0</v>
      </c>
      <c r="F11014" s="2">
        <v>1672</v>
      </c>
      <c r="G11014" s="2">
        <v>75</v>
      </c>
      <c r="H11014" s="2">
        <v>470</v>
      </c>
      <c r="I11014" s="2">
        <v>352</v>
      </c>
      <c r="J11014" s="2">
        <v>1761</v>
      </c>
      <c r="K11014" s="2">
        <v>47</v>
      </c>
      <c r="L11014" s="2">
        <v>513</v>
      </c>
    </row>
    <row r="11015" spans="1:12" x14ac:dyDescent="0.25">
      <c r="A11015" s="4" t="str">
        <f>HYPERLINK("http://www.rosaceae.org/Prunus/Prunus_persica/p.persica_gdr_reftransV1_0047151","p.persica_gdr_reftransV1_0047151")</f>
        <v>p.persica_gdr_reftransV1_0047151</v>
      </c>
      <c r="B11015" s="2">
        <v>1226</v>
      </c>
      <c r="C11015" s="4" t="str">
        <f>HYPERLINK("http://www.uniprot.org/uniprot/M5W4A6","M5W4A6")</f>
        <v>M5W4A6</v>
      </c>
      <c r="D11015" s="2" t="s">
        <v>9370</v>
      </c>
      <c r="E11015" s="3">
        <v>0</v>
      </c>
      <c r="F11015" s="2">
        <v>1621</v>
      </c>
      <c r="G11015" s="2">
        <v>100</v>
      </c>
      <c r="H11015" s="2">
        <v>319</v>
      </c>
      <c r="I11015" s="2">
        <v>173</v>
      </c>
      <c r="J11015" s="2">
        <v>1129</v>
      </c>
      <c r="K11015" s="2">
        <v>3</v>
      </c>
      <c r="L11015" s="2">
        <v>321</v>
      </c>
    </row>
    <row r="11016" spans="1:12" x14ac:dyDescent="0.25">
      <c r="A11016" s="4" t="str">
        <f>HYPERLINK("http://www.rosaceae.org/Prunus/Prunus_persica/p.persica_gdr_reftransV1_0047851","p.persica_gdr_reftransV1_0047851")</f>
        <v>p.persica_gdr_reftransV1_0047851</v>
      </c>
      <c r="B11016" s="2">
        <v>1135</v>
      </c>
      <c r="C11016" s="4" t="str">
        <f>HYPERLINK("http://www.uniprot.org/uniprot/M5WQY7","M5WQY7")</f>
        <v>M5WQY7</v>
      </c>
      <c r="D11016" s="2" t="s">
        <v>9371</v>
      </c>
      <c r="E11016" s="3">
        <v>0</v>
      </c>
      <c r="F11016" s="2">
        <v>2023</v>
      </c>
      <c r="G11016" s="2">
        <v>100</v>
      </c>
      <c r="H11016" s="2">
        <v>378</v>
      </c>
      <c r="I11016" s="2">
        <v>1</v>
      </c>
      <c r="J11016" s="2">
        <v>1134</v>
      </c>
      <c r="K11016" s="2">
        <v>341</v>
      </c>
      <c r="L11016" s="2">
        <v>718</v>
      </c>
    </row>
    <row r="11017" spans="1:12" x14ac:dyDescent="0.25">
      <c r="A11017" s="4" t="str">
        <f>HYPERLINK("http://www.rosaceae.org/Prunus/Prunus_persica/p.persica_gdr_reftransV1_0048201","p.persica_gdr_reftransV1_0048201")</f>
        <v>p.persica_gdr_reftransV1_0048201</v>
      </c>
      <c r="B11017" s="2">
        <v>2103</v>
      </c>
      <c r="C11017" s="4" t="str">
        <f>HYPERLINK("http://www.uniprot.org/uniprot/M5W8S7","M5W8S7")</f>
        <v>M5W8S7</v>
      </c>
      <c r="D11017" s="2" t="s">
        <v>5232</v>
      </c>
      <c r="E11017" s="3">
        <v>0</v>
      </c>
      <c r="F11017" s="2">
        <v>2348</v>
      </c>
      <c r="G11017" s="2">
        <v>94</v>
      </c>
      <c r="H11017" s="2">
        <v>503</v>
      </c>
      <c r="I11017" s="2">
        <v>448</v>
      </c>
      <c r="J11017" s="2">
        <v>1956</v>
      </c>
      <c r="K11017" s="2">
        <v>1</v>
      </c>
      <c r="L11017" s="2">
        <v>475</v>
      </c>
    </row>
    <row r="11018" spans="1:12" x14ac:dyDescent="0.25">
      <c r="A11018" s="4" t="str">
        <f>HYPERLINK("http://www.rosaceae.org/Prunus/Prunus_persica/p.persica_gdr_reftransV1_0048551","p.persica_gdr_reftransV1_0048551")</f>
        <v>p.persica_gdr_reftransV1_0048551</v>
      </c>
      <c r="B11018" s="2">
        <v>2435</v>
      </c>
      <c r="C11018" s="4" t="str">
        <f>HYPERLINK("http://www.uniprot.org/uniprot/M5WXP6","M5WXP6")</f>
        <v>M5WXP6</v>
      </c>
      <c r="D11018" s="2" t="s">
        <v>2674</v>
      </c>
      <c r="E11018" s="3">
        <v>0</v>
      </c>
      <c r="F11018" s="2">
        <v>2438</v>
      </c>
      <c r="G11018" s="2">
        <v>98</v>
      </c>
      <c r="H11018" s="2">
        <v>488</v>
      </c>
      <c r="I11018" s="2">
        <v>815</v>
      </c>
      <c r="J11018" s="2">
        <v>2278</v>
      </c>
      <c r="K11018" s="2">
        <v>1</v>
      </c>
      <c r="L11018" s="2">
        <v>477</v>
      </c>
    </row>
    <row r="11019" spans="1:12" x14ac:dyDescent="0.25">
      <c r="A11019" s="4" t="str">
        <f>HYPERLINK("http://www.rosaceae.org/Prunus/Prunus_persica/p.persica_gdr_reftransV1_0048901","p.persica_gdr_reftransV1_0048901")</f>
        <v>p.persica_gdr_reftransV1_0048901</v>
      </c>
      <c r="B11019" s="2">
        <v>2306</v>
      </c>
      <c r="C11019" s="4" t="str">
        <f>HYPERLINK("http://www.uniprot.org/uniprot/M5WNF8","M5WNF8")</f>
        <v>M5WNF8</v>
      </c>
      <c r="D11019" s="2" t="s">
        <v>5323</v>
      </c>
      <c r="E11019" s="3">
        <v>0</v>
      </c>
      <c r="F11019" s="2">
        <v>1999</v>
      </c>
      <c r="G11019" s="2">
        <v>100</v>
      </c>
      <c r="H11019" s="2">
        <v>394</v>
      </c>
      <c r="I11019" s="2">
        <v>1119</v>
      </c>
      <c r="J11019" s="2">
        <v>2300</v>
      </c>
      <c r="K11019" s="2">
        <v>215</v>
      </c>
      <c r="L11019" s="2">
        <v>608</v>
      </c>
    </row>
    <row r="11020" spans="1:12" x14ac:dyDescent="0.25">
      <c r="A11020" s="4" t="str">
        <f>HYPERLINK("http://www.rosaceae.org/Prunus/Prunus_persica/p.persica_gdr_reftransV1_0000602","p.persica_gdr_reftransV1_0000602")</f>
        <v>p.persica_gdr_reftransV1_0000602</v>
      </c>
      <c r="B11020" s="2">
        <v>1541</v>
      </c>
      <c r="C11020" s="4" t="str">
        <f>HYPERLINK("http://www.uniprot.org/uniprot/V4SJC8","V4SJC8")</f>
        <v>V4SJC8</v>
      </c>
      <c r="D11020" s="2" t="s">
        <v>9372</v>
      </c>
      <c r="E11020" s="3">
        <v>0</v>
      </c>
      <c r="F11020" s="2">
        <v>1395</v>
      </c>
      <c r="G11020" s="2">
        <v>68</v>
      </c>
      <c r="H11020" s="2">
        <v>381</v>
      </c>
      <c r="I11020" s="2">
        <v>218</v>
      </c>
      <c r="J11020" s="2">
        <v>1348</v>
      </c>
      <c r="K11020" s="2">
        <v>14</v>
      </c>
      <c r="L11020" s="2">
        <v>393</v>
      </c>
    </row>
    <row r="11021" spans="1:12" x14ac:dyDescent="0.25">
      <c r="A11021" s="4" t="str">
        <f>HYPERLINK("http://www.rosaceae.org/Prunus/Prunus_persica/p.persica_gdr_reftransV1_0000952","p.persica_gdr_reftransV1_0000952")</f>
        <v>p.persica_gdr_reftransV1_0000952</v>
      </c>
      <c r="B11021" s="2">
        <v>1945</v>
      </c>
      <c r="C11021" s="4" t="str">
        <f>HYPERLINK("http://www.uniprot.org/uniprot/M5XDI6","M5XDI6")</f>
        <v>M5XDI6</v>
      </c>
      <c r="D11021" s="2" t="s">
        <v>8432</v>
      </c>
      <c r="E11021" s="3">
        <v>0</v>
      </c>
      <c r="F11021" s="2">
        <v>2657</v>
      </c>
      <c r="G11021" s="2">
        <v>100</v>
      </c>
      <c r="H11021" s="2">
        <v>540</v>
      </c>
      <c r="I11021" s="2">
        <v>133</v>
      </c>
      <c r="J11021" s="2">
        <v>1752</v>
      </c>
      <c r="K11021" s="2">
        <v>1</v>
      </c>
      <c r="L11021" s="2">
        <v>540</v>
      </c>
    </row>
    <row r="11022" spans="1:12" x14ac:dyDescent="0.25">
      <c r="A11022" s="4" t="str">
        <f>HYPERLINK("http://www.rosaceae.org/Prunus/Prunus_persica/p.persica_gdr_reftransV1_0001302","p.persica_gdr_reftransV1_0001302")</f>
        <v>p.persica_gdr_reftransV1_0001302</v>
      </c>
      <c r="B11022" s="2">
        <v>1011</v>
      </c>
      <c r="C11022" s="4" t="str">
        <f>HYPERLINK("http://www.uniprot.org/uniprot/M5WBZ2","M5WBZ2")</f>
        <v>M5WBZ2</v>
      </c>
      <c r="D11022" s="2" t="s">
        <v>9373</v>
      </c>
      <c r="E11022" s="3">
        <v>1.8100000000000001E-109</v>
      </c>
      <c r="F11022" s="2">
        <v>841</v>
      </c>
      <c r="G11022" s="2">
        <v>100</v>
      </c>
      <c r="H11022" s="2">
        <v>179</v>
      </c>
      <c r="I11022" s="2">
        <v>408</v>
      </c>
      <c r="J11022" s="2">
        <v>944</v>
      </c>
      <c r="K11022" s="2">
        <v>1</v>
      </c>
      <c r="L11022" s="2">
        <v>179</v>
      </c>
    </row>
    <row r="11023" spans="1:12" x14ac:dyDescent="0.25">
      <c r="A11023" s="4" t="str">
        <f>HYPERLINK("http://www.rosaceae.org/Prunus/Prunus_persica/p.persica_gdr_reftransV1_0001652","p.persica_gdr_reftransV1_0001652")</f>
        <v>p.persica_gdr_reftransV1_0001652</v>
      </c>
      <c r="B11023" s="2">
        <v>3522</v>
      </c>
      <c r="C11023" s="4" t="str">
        <f>HYPERLINK("http://www.uniprot.org/uniprot/M5VNU7","M5VNU7")</f>
        <v>M5VNU7</v>
      </c>
      <c r="D11023" s="2" t="s">
        <v>183</v>
      </c>
      <c r="E11023" s="3">
        <v>0</v>
      </c>
      <c r="F11023" s="2">
        <v>1116</v>
      </c>
      <c r="G11023" s="2">
        <v>97</v>
      </c>
      <c r="H11023" s="2">
        <v>338</v>
      </c>
      <c r="I11023" s="2">
        <v>1576</v>
      </c>
      <c r="J11023" s="2">
        <v>2589</v>
      </c>
      <c r="K11023" s="2">
        <v>201</v>
      </c>
      <c r="L11023" s="2">
        <v>528</v>
      </c>
    </row>
    <row r="11024" spans="1:12" x14ac:dyDescent="0.25">
      <c r="A11024" s="4" t="str">
        <f>HYPERLINK("http://www.rosaceae.org/Prunus/Prunus_persica/p.persica_gdr_reftransV1_0002002","p.persica_gdr_reftransV1_0002002")</f>
        <v>p.persica_gdr_reftransV1_0002002</v>
      </c>
      <c r="B11024" s="2">
        <v>1129</v>
      </c>
      <c r="C11024" s="4" t="str">
        <f>HYPERLINK("http://www.uniprot.org/uniprot/M5VQT5","M5VQT5")</f>
        <v>M5VQT5</v>
      </c>
      <c r="D11024" s="2" t="s">
        <v>9374</v>
      </c>
      <c r="E11024" s="3">
        <v>7.5699999999999998E-101</v>
      </c>
      <c r="F11024" s="2">
        <v>811</v>
      </c>
      <c r="G11024" s="2">
        <v>99</v>
      </c>
      <c r="H11024" s="2">
        <v>161</v>
      </c>
      <c r="I11024" s="2">
        <v>196</v>
      </c>
      <c r="J11024" s="2">
        <v>678</v>
      </c>
      <c r="K11024" s="2">
        <v>260</v>
      </c>
      <c r="L11024" s="2">
        <v>420</v>
      </c>
    </row>
    <row r="11025" spans="1:12" x14ac:dyDescent="0.25">
      <c r="A11025" s="4" t="str">
        <f>HYPERLINK("http://www.rosaceae.org/Prunus/Prunus_persica/p.persica_gdr_reftransV1_0002352","p.persica_gdr_reftransV1_0002352")</f>
        <v>p.persica_gdr_reftransV1_0002352</v>
      </c>
      <c r="B11025" s="2">
        <v>1798</v>
      </c>
      <c r="C11025" s="4" t="str">
        <f>HYPERLINK("http://www.uniprot.org/uniprot/M5XSC3","M5XSC3")</f>
        <v>M5XSC3</v>
      </c>
      <c r="D11025" s="2" t="s">
        <v>1330</v>
      </c>
      <c r="E11025" s="3">
        <v>0</v>
      </c>
      <c r="F11025" s="2">
        <v>2925</v>
      </c>
      <c r="G11025" s="2">
        <v>97</v>
      </c>
      <c r="H11025" s="2">
        <v>600</v>
      </c>
      <c r="I11025" s="2">
        <v>2</v>
      </c>
      <c r="J11025" s="2">
        <v>1798</v>
      </c>
      <c r="K11025" s="2">
        <v>331</v>
      </c>
      <c r="L11025" s="2">
        <v>930</v>
      </c>
    </row>
    <row r="11026" spans="1:12" x14ac:dyDescent="0.25">
      <c r="A11026" s="4" t="str">
        <f>HYPERLINK("http://www.rosaceae.org/Prunus/Prunus_persica/p.persica_gdr_reftransV1_0002702","p.persica_gdr_reftransV1_0002702")</f>
        <v>p.persica_gdr_reftransV1_0002702</v>
      </c>
      <c r="B11026" s="2">
        <v>339</v>
      </c>
      <c r="C11026" s="4" t="str">
        <f>HYPERLINK("http://www.uniprot.org/uniprot/A0A098DXE2","A0A098DXE2")</f>
        <v>A0A098DXE2</v>
      </c>
      <c r="D11026" s="2" t="s">
        <v>9375</v>
      </c>
      <c r="E11026" s="3">
        <v>5.4500000000000001E-61</v>
      </c>
      <c r="F11026" s="2">
        <v>492</v>
      </c>
      <c r="G11026" s="2">
        <v>87</v>
      </c>
      <c r="H11026" s="2">
        <v>113</v>
      </c>
      <c r="I11026" s="2">
        <v>1</v>
      </c>
      <c r="J11026" s="2">
        <v>339</v>
      </c>
      <c r="K11026" s="2">
        <v>12</v>
      </c>
      <c r="L11026" s="2">
        <v>123</v>
      </c>
    </row>
    <row r="11027" spans="1:12" x14ac:dyDescent="0.25">
      <c r="A11027" s="4" t="str">
        <f>HYPERLINK("http://www.rosaceae.org/Prunus/Prunus_persica/p.persica_gdr_reftransV1_0003052","p.persica_gdr_reftransV1_0003052")</f>
        <v>p.persica_gdr_reftransV1_0003052</v>
      </c>
      <c r="B11027" s="2">
        <v>2470</v>
      </c>
      <c r="C11027" s="4" t="str">
        <f>HYPERLINK("http://www.uniprot.org/uniprot/M5WTY3","M5WTY3")</f>
        <v>M5WTY3</v>
      </c>
      <c r="D11027" s="2" t="s">
        <v>9376</v>
      </c>
      <c r="E11027" s="3">
        <v>0</v>
      </c>
      <c r="F11027" s="2">
        <v>2033</v>
      </c>
      <c r="G11027" s="2">
        <v>100</v>
      </c>
      <c r="H11027" s="2">
        <v>392</v>
      </c>
      <c r="I11027" s="2">
        <v>464</v>
      </c>
      <c r="J11027" s="2">
        <v>1639</v>
      </c>
      <c r="K11027" s="2">
        <v>4</v>
      </c>
      <c r="L11027" s="2">
        <v>395</v>
      </c>
    </row>
    <row r="11028" spans="1:12" x14ac:dyDescent="0.25">
      <c r="A11028" s="4" t="str">
        <f>HYPERLINK("http://www.rosaceae.org/Prunus/Prunus_persica/p.persica_gdr_reftransV1_0003402","p.persica_gdr_reftransV1_0003402")</f>
        <v>p.persica_gdr_reftransV1_0003402</v>
      </c>
      <c r="B11028" s="2">
        <v>814</v>
      </c>
      <c r="C11028" s="4" t="str">
        <f>HYPERLINK("http://www.uniprot.org/uniprot/M5X431","M5X431")</f>
        <v>M5X431</v>
      </c>
      <c r="D11028" s="2" t="s">
        <v>2794</v>
      </c>
      <c r="E11028" s="3">
        <v>1.32E-76</v>
      </c>
      <c r="F11028" s="2">
        <v>613</v>
      </c>
      <c r="G11028" s="2">
        <v>100</v>
      </c>
      <c r="H11028" s="2">
        <v>124</v>
      </c>
      <c r="I11028" s="2">
        <v>139</v>
      </c>
      <c r="J11028" s="2">
        <v>510</v>
      </c>
      <c r="K11028" s="2">
        <v>7</v>
      </c>
      <c r="L11028" s="2">
        <v>130</v>
      </c>
    </row>
    <row r="11029" spans="1:12" x14ac:dyDescent="0.25">
      <c r="A11029" s="4" t="str">
        <f>HYPERLINK("http://www.rosaceae.org/Prunus/Prunus_persica/p.persica_gdr_reftransV1_0003752","p.persica_gdr_reftransV1_0003752")</f>
        <v>p.persica_gdr_reftransV1_0003752</v>
      </c>
      <c r="B11029" s="2">
        <v>388</v>
      </c>
      <c r="C11029" s="4" t="str">
        <f>HYPERLINK("http://www.uniprot.org/uniprot/D4D1Y3","D4D1Y3")</f>
        <v>D4D1Y3</v>
      </c>
      <c r="D11029" s="2" t="s">
        <v>9377</v>
      </c>
      <c r="E11029" s="3">
        <v>7.9300000000000005E-79</v>
      </c>
      <c r="F11029" s="2">
        <v>620</v>
      </c>
      <c r="G11029" s="2">
        <v>99</v>
      </c>
      <c r="H11029" s="2">
        <v>118</v>
      </c>
      <c r="I11029" s="2">
        <v>33</v>
      </c>
      <c r="J11029" s="2">
        <v>386</v>
      </c>
      <c r="K11029" s="2">
        <v>92</v>
      </c>
      <c r="L11029" s="2">
        <v>209</v>
      </c>
    </row>
    <row r="11030" spans="1:12" x14ac:dyDescent="0.25">
      <c r="A11030" s="4" t="str">
        <f>HYPERLINK("http://www.rosaceae.org/Prunus/Prunus_persica/p.persica_gdr_reftransV1_0004802","p.persica_gdr_reftransV1_0004802")</f>
        <v>p.persica_gdr_reftransV1_0004802</v>
      </c>
      <c r="B11030" s="2">
        <v>1926</v>
      </c>
      <c r="C11030" s="4" t="str">
        <f>HYPERLINK("http://www.uniprot.org/uniprot/M5WX47","M5WX47")</f>
        <v>M5WX47</v>
      </c>
      <c r="D11030" s="2" t="s">
        <v>7659</v>
      </c>
      <c r="E11030" s="3">
        <v>0</v>
      </c>
      <c r="F11030" s="2">
        <v>2392</v>
      </c>
      <c r="G11030" s="2">
        <v>93</v>
      </c>
      <c r="H11030" s="2">
        <v>487</v>
      </c>
      <c r="I11030" s="2">
        <v>466</v>
      </c>
      <c r="J11030" s="2">
        <v>1926</v>
      </c>
      <c r="K11030" s="2">
        <v>93</v>
      </c>
      <c r="L11030" s="2">
        <v>579</v>
      </c>
    </row>
    <row r="11031" spans="1:12" x14ac:dyDescent="0.25">
      <c r="A11031" s="4" t="str">
        <f>HYPERLINK("http://www.rosaceae.org/Prunus/Prunus_persica/p.persica_gdr_reftransV1_0005502","p.persica_gdr_reftransV1_0005502")</f>
        <v>p.persica_gdr_reftransV1_0005502</v>
      </c>
      <c r="B11031" s="2">
        <v>1862</v>
      </c>
      <c r="C11031" s="4" t="str">
        <f>HYPERLINK("http://www.uniprot.org/uniprot/M5WS72","M5WS72")</f>
        <v>M5WS72</v>
      </c>
      <c r="D11031" s="2" t="s">
        <v>6821</v>
      </c>
      <c r="E11031" s="3">
        <v>0</v>
      </c>
      <c r="F11031" s="2">
        <v>1878</v>
      </c>
      <c r="G11031" s="2">
        <v>100</v>
      </c>
      <c r="H11031" s="2">
        <v>398</v>
      </c>
      <c r="I11031" s="2">
        <v>346</v>
      </c>
      <c r="J11031" s="2">
        <v>1539</v>
      </c>
      <c r="K11031" s="2">
        <v>1</v>
      </c>
      <c r="L11031" s="2">
        <v>398</v>
      </c>
    </row>
    <row r="11032" spans="1:12" x14ac:dyDescent="0.25">
      <c r="A11032" s="4" t="str">
        <f>HYPERLINK("http://www.rosaceae.org/Prunus/Prunus_persica/p.persica_gdr_reftransV1_0006202","p.persica_gdr_reftransV1_0006202")</f>
        <v>p.persica_gdr_reftransV1_0006202</v>
      </c>
      <c r="B11032" s="2">
        <v>1114</v>
      </c>
      <c r="C11032" s="4" t="str">
        <f>HYPERLINK("http://www.uniprot.org/uniprot/M5VM23","M5VM23")</f>
        <v>M5VM23</v>
      </c>
      <c r="D11032" s="2" t="s">
        <v>6490</v>
      </c>
      <c r="E11032" s="3">
        <v>8.8899999999999999E-116</v>
      </c>
      <c r="F11032" s="2">
        <v>913</v>
      </c>
      <c r="G11032" s="2">
        <v>100</v>
      </c>
      <c r="H11032" s="2">
        <v>276</v>
      </c>
      <c r="I11032" s="2">
        <v>287</v>
      </c>
      <c r="J11032" s="2">
        <v>1114</v>
      </c>
      <c r="K11032" s="2">
        <v>185</v>
      </c>
      <c r="L11032" s="2">
        <v>460</v>
      </c>
    </row>
    <row r="11033" spans="1:12" x14ac:dyDescent="0.25">
      <c r="A11033" s="4" t="str">
        <f>HYPERLINK("http://www.rosaceae.org/Prunus/Prunus_persica/p.persica_gdr_reftransV1_0006552","p.persica_gdr_reftransV1_0006552")</f>
        <v>p.persica_gdr_reftransV1_0006552</v>
      </c>
      <c r="B11033" s="2">
        <v>1389</v>
      </c>
      <c r="C11033" s="4" t="str">
        <f>HYPERLINK("http://www.uniprot.org/uniprot/M5WLJ2","M5WLJ2")</f>
        <v>M5WLJ2</v>
      </c>
      <c r="D11033" s="2" t="s">
        <v>9378</v>
      </c>
      <c r="E11033" s="3">
        <v>0</v>
      </c>
      <c r="F11033" s="2">
        <v>1691</v>
      </c>
      <c r="G11033" s="2">
        <v>100</v>
      </c>
      <c r="H11033" s="2">
        <v>344</v>
      </c>
      <c r="I11033" s="2">
        <v>358</v>
      </c>
      <c r="J11033" s="2">
        <v>1389</v>
      </c>
      <c r="K11033" s="2">
        <v>5</v>
      </c>
      <c r="L11033" s="2">
        <v>348</v>
      </c>
    </row>
    <row r="11034" spans="1:12" x14ac:dyDescent="0.25">
      <c r="A11034" s="4" t="str">
        <f>HYPERLINK("http://www.rosaceae.org/Prunus/Prunus_persica/p.persica_gdr_reftransV1_0006902","p.persica_gdr_reftransV1_0006902")</f>
        <v>p.persica_gdr_reftransV1_0006902</v>
      </c>
      <c r="B11034" s="2">
        <v>869</v>
      </c>
      <c r="C11034" s="4" t="str">
        <f>HYPERLINK("http://www.uniprot.org/uniprot/M5W0M4","M5W0M4")</f>
        <v>M5W0M4</v>
      </c>
      <c r="D11034" s="2" t="s">
        <v>9379</v>
      </c>
      <c r="E11034" s="3">
        <v>8.6099999999999998E-160</v>
      </c>
      <c r="F11034" s="2">
        <v>1256</v>
      </c>
      <c r="G11034" s="2">
        <v>100</v>
      </c>
      <c r="H11034" s="2">
        <v>235</v>
      </c>
      <c r="I11034" s="2">
        <v>2</v>
      </c>
      <c r="J11034" s="2">
        <v>706</v>
      </c>
      <c r="K11034" s="2">
        <v>980</v>
      </c>
      <c r="L11034" s="2">
        <v>1214</v>
      </c>
    </row>
    <row r="11035" spans="1:12" x14ac:dyDescent="0.25">
      <c r="A11035" s="4" t="str">
        <f>HYPERLINK("http://www.rosaceae.org/Prunus/Prunus_persica/p.persica_gdr_reftransV1_0007252","p.persica_gdr_reftransV1_0007252")</f>
        <v>p.persica_gdr_reftransV1_0007252</v>
      </c>
      <c r="B11035" s="2">
        <v>1275</v>
      </c>
      <c r="C11035" s="4" t="str">
        <f>HYPERLINK("http://www.uniprot.org/uniprot/M5XN39","M5XN39")</f>
        <v>M5XN39</v>
      </c>
      <c r="D11035" s="2" t="s">
        <v>9380</v>
      </c>
      <c r="E11035" s="3">
        <v>0</v>
      </c>
      <c r="F11035" s="2">
        <v>1723</v>
      </c>
      <c r="G11035" s="2">
        <v>100</v>
      </c>
      <c r="H11035" s="2">
        <v>319</v>
      </c>
      <c r="I11035" s="2">
        <v>288</v>
      </c>
      <c r="J11035" s="2">
        <v>1244</v>
      </c>
      <c r="K11035" s="2">
        <v>1</v>
      </c>
      <c r="L11035" s="2">
        <v>319</v>
      </c>
    </row>
    <row r="11036" spans="1:12" x14ac:dyDescent="0.25">
      <c r="A11036" s="4" t="str">
        <f>HYPERLINK("http://www.rosaceae.org/Prunus/Prunus_persica/p.persica_gdr_reftransV1_0007602","p.persica_gdr_reftransV1_0007602")</f>
        <v>p.persica_gdr_reftransV1_0007602</v>
      </c>
      <c r="B11036" s="2">
        <v>1366</v>
      </c>
      <c r="C11036" s="4" t="str">
        <f>HYPERLINK("http://www.uniprot.org/uniprot/M5VL24","M5VL24")</f>
        <v>M5VL24</v>
      </c>
      <c r="D11036" s="2" t="s">
        <v>9381</v>
      </c>
      <c r="E11036" s="3">
        <v>0</v>
      </c>
      <c r="F11036" s="2">
        <v>1335</v>
      </c>
      <c r="G11036" s="2">
        <v>100</v>
      </c>
      <c r="H11036" s="2">
        <v>247</v>
      </c>
      <c r="I11036" s="2">
        <v>274</v>
      </c>
      <c r="J11036" s="2">
        <v>1014</v>
      </c>
      <c r="K11036" s="2">
        <v>1</v>
      </c>
      <c r="L11036" s="2">
        <v>247</v>
      </c>
    </row>
    <row r="11037" spans="1:12" x14ac:dyDescent="0.25">
      <c r="A11037" s="4" t="str">
        <f>HYPERLINK("http://www.rosaceae.org/Prunus/Prunus_persica/p.persica_gdr_reftransV1_0007952","p.persica_gdr_reftransV1_0007952")</f>
        <v>p.persica_gdr_reftransV1_0007952</v>
      </c>
      <c r="B11037" s="2">
        <v>1075</v>
      </c>
      <c r="C11037" s="4" t="str">
        <f>HYPERLINK("http://www.uniprot.org/uniprot/M5WVB4","M5WVB4")</f>
        <v>M5WVB4</v>
      </c>
      <c r="D11037" s="2" t="s">
        <v>9382</v>
      </c>
      <c r="E11037" s="3">
        <v>7.4899999999999997E-138</v>
      </c>
      <c r="F11037" s="2">
        <v>1033</v>
      </c>
      <c r="G11037" s="2">
        <v>100</v>
      </c>
      <c r="H11037" s="2">
        <v>199</v>
      </c>
      <c r="I11037" s="2">
        <v>59</v>
      </c>
      <c r="J11037" s="2">
        <v>655</v>
      </c>
      <c r="K11037" s="2">
        <v>1</v>
      </c>
      <c r="L11037" s="2">
        <v>199</v>
      </c>
    </row>
    <row r="11038" spans="1:12" x14ac:dyDescent="0.25">
      <c r="A11038" s="4" t="str">
        <f>HYPERLINK("http://www.rosaceae.org/Prunus/Prunus_persica/p.persica_gdr_reftransV1_0008652","p.persica_gdr_reftransV1_0008652")</f>
        <v>p.persica_gdr_reftransV1_0008652</v>
      </c>
      <c r="B11038" s="2">
        <v>4334</v>
      </c>
      <c r="C11038" s="4" t="str">
        <f>HYPERLINK("http://www.uniprot.org/uniprot/M5XKQ2","M5XKQ2")</f>
        <v>M5XKQ2</v>
      </c>
      <c r="D11038" s="2" t="s">
        <v>9383</v>
      </c>
      <c r="E11038" s="3">
        <v>0</v>
      </c>
      <c r="F11038" s="2">
        <v>5640</v>
      </c>
      <c r="G11038" s="2">
        <v>100</v>
      </c>
      <c r="H11038" s="2">
        <v>1098</v>
      </c>
      <c r="I11038" s="2">
        <v>813</v>
      </c>
      <c r="J11038" s="2">
        <v>4106</v>
      </c>
      <c r="K11038" s="2">
        <v>1</v>
      </c>
      <c r="L11038" s="2">
        <v>1098</v>
      </c>
    </row>
    <row r="11039" spans="1:12" x14ac:dyDescent="0.25">
      <c r="A11039" s="4" t="str">
        <f>HYPERLINK("http://www.rosaceae.org/Prunus/Prunus_persica/p.persica_gdr_reftransV1_0009002","p.persica_gdr_reftransV1_0009002")</f>
        <v>p.persica_gdr_reftransV1_0009002</v>
      </c>
      <c r="B11039" s="2">
        <v>980</v>
      </c>
      <c r="C11039" s="4" t="str">
        <f>HYPERLINK("http://www.uniprot.org/uniprot/M5XZQ5","M5XZQ5")</f>
        <v>M5XZQ5</v>
      </c>
      <c r="D11039" s="2" t="s">
        <v>9384</v>
      </c>
      <c r="E11039" s="3">
        <v>1.9E-100</v>
      </c>
      <c r="F11039" s="2">
        <v>779</v>
      </c>
      <c r="G11039" s="2">
        <v>100</v>
      </c>
      <c r="H11039" s="2">
        <v>165</v>
      </c>
      <c r="I11039" s="2">
        <v>274</v>
      </c>
      <c r="J11039" s="2">
        <v>768</v>
      </c>
      <c r="K11039" s="2">
        <v>1</v>
      </c>
      <c r="L11039" s="2">
        <v>165</v>
      </c>
    </row>
    <row r="11040" spans="1:12" x14ac:dyDescent="0.25">
      <c r="A11040" s="4" t="str">
        <f>HYPERLINK("http://www.rosaceae.org/Prunus/Prunus_persica/p.persica_gdr_reftransV1_0009702","p.persica_gdr_reftransV1_0009702")</f>
        <v>p.persica_gdr_reftransV1_0009702</v>
      </c>
      <c r="B11040" s="2">
        <v>1028</v>
      </c>
      <c r="C11040" s="4" t="str">
        <f>HYPERLINK("http://www.uniprot.org/uniprot/M5X202","M5X202")</f>
        <v>M5X202</v>
      </c>
      <c r="D11040" s="2" t="s">
        <v>9385</v>
      </c>
      <c r="E11040" s="3">
        <v>5.3600000000000002E-155</v>
      </c>
      <c r="F11040" s="2">
        <v>1150</v>
      </c>
      <c r="G11040" s="2">
        <v>100</v>
      </c>
      <c r="H11040" s="2">
        <v>212</v>
      </c>
      <c r="I11040" s="2">
        <v>198</v>
      </c>
      <c r="J11040" s="2">
        <v>833</v>
      </c>
      <c r="K11040" s="2">
        <v>35</v>
      </c>
      <c r="L11040" s="2">
        <v>246</v>
      </c>
    </row>
    <row r="11041" spans="1:12" x14ac:dyDescent="0.25">
      <c r="A11041" s="4" t="str">
        <f>HYPERLINK("http://www.rosaceae.org/Prunus/Prunus_persica/p.persica_gdr_reftransV1_0010052","p.persica_gdr_reftransV1_0010052")</f>
        <v>p.persica_gdr_reftransV1_0010052</v>
      </c>
      <c r="B11041" s="2">
        <v>597</v>
      </c>
      <c r="C11041" s="4" t="str">
        <f>HYPERLINK("http://www.uniprot.org/uniprot/J9PFN2","J9PFN2")</f>
        <v>J9PFN2</v>
      </c>
      <c r="D11041" s="2" t="s">
        <v>9386</v>
      </c>
      <c r="E11041" s="3">
        <v>2.58E-36</v>
      </c>
      <c r="F11041" s="2">
        <v>351</v>
      </c>
      <c r="G11041" s="2">
        <v>100</v>
      </c>
      <c r="H11041" s="2">
        <v>71</v>
      </c>
      <c r="I11041" s="2">
        <v>385</v>
      </c>
      <c r="J11041" s="2">
        <v>597</v>
      </c>
      <c r="K11041" s="2">
        <v>1</v>
      </c>
      <c r="L11041" s="2">
        <v>71</v>
      </c>
    </row>
    <row r="11042" spans="1:12" x14ac:dyDescent="0.25">
      <c r="A11042" s="4" t="str">
        <f>HYPERLINK("http://www.rosaceae.org/Prunus/Prunus_persica/p.persica_gdr_reftransV1_0010402","p.persica_gdr_reftransV1_0010402")</f>
        <v>p.persica_gdr_reftransV1_0010402</v>
      </c>
      <c r="B11042" s="2">
        <v>1668</v>
      </c>
      <c r="C11042" s="4" t="str">
        <f>HYPERLINK("http://www.uniprot.org/uniprot/M5XC05","M5XC05")</f>
        <v>M5XC05</v>
      </c>
      <c r="D11042" s="2" t="s">
        <v>9387</v>
      </c>
      <c r="E11042" s="3">
        <v>5.1799999999999996E-162</v>
      </c>
      <c r="F11042" s="2">
        <v>1229</v>
      </c>
      <c r="G11042" s="2">
        <v>100</v>
      </c>
      <c r="H11042" s="2">
        <v>244</v>
      </c>
      <c r="I11042" s="2">
        <v>854</v>
      </c>
      <c r="J11042" s="2">
        <v>1585</v>
      </c>
      <c r="K11042" s="2">
        <v>1</v>
      </c>
      <c r="L11042" s="2">
        <v>244</v>
      </c>
    </row>
    <row r="11043" spans="1:12" x14ac:dyDescent="0.25">
      <c r="A11043" s="4" t="str">
        <f>HYPERLINK("http://www.rosaceae.org/Prunus/Prunus_persica/p.persica_gdr_reftransV1_0011802","p.persica_gdr_reftransV1_0011802")</f>
        <v>p.persica_gdr_reftransV1_0011802</v>
      </c>
      <c r="B11043" s="2">
        <v>1266</v>
      </c>
      <c r="C11043" s="4" t="str">
        <f>HYPERLINK("http://www.uniprot.org/uniprot/M5VZA3","M5VZA3")</f>
        <v>M5VZA3</v>
      </c>
      <c r="D11043" s="2" t="s">
        <v>9388</v>
      </c>
      <c r="E11043" s="3">
        <v>0</v>
      </c>
      <c r="F11043" s="2">
        <v>1465</v>
      </c>
      <c r="G11043" s="2">
        <v>100</v>
      </c>
      <c r="H11043" s="2">
        <v>294</v>
      </c>
      <c r="I11043" s="2">
        <v>3</v>
      </c>
      <c r="J11043" s="2">
        <v>884</v>
      </c>
      <c r="K11043" s="2">
        <v>24</v>
      </c>
      <c r="L11043" s="2">
        <v>317</v>
      </c>
    </row>
    <row r="11044" spans="1:12" x14ac:dyDescent="0.25">
      <c r="A11044" s="4" t="str">
        <f>HYPERLINK("http://www.rosaceae.org/Prunus/Prunus_persica/p.persica_gdr_reftransV1_0012852","p.persica_gdr_reftransV1_0012852")</f>
        <v>p.persica_gdr_reftransV1_0012852</v>
      </c>
      <c r="B11044" s="2">
        <v>826</v>
      </c>
      <c r="C11044" s="4" t="str">
        <f>HYPERLINK("http://www.uniprot.org/uniprot/M5VPU9","M5VPU9")</f>
        <v>M5VPU9</v>
      </c>
      <c r="D11044" s="2" t="s">
        <v>9389</v>
      </c>
      <c r="E11044" s="3">
        <v>1.7800000000000001E-19</v>
      </c>
      <c r="F11044" s="2">
        <v>237</v>
      </c>
      <c r="G11044" s="2">
        <v>77</v>
      </c>
      <c r="H11044" s="2">
        <v>81</v>
      </c>
      <c r="I11044" s="2">
        <v>584</v>
      </c>
      <c r="J11044" s="2">
        <v>826</v>
      </c>
      <c r="K11044" s="2">
        <v>276</v>
      </c>
      <c r="L11044" s="2">
        <v>340</v>
      </c>
    </row>
    <row r="11045" spans="1:12" x14ac:dyDescent="0.25">
      <c r="A11045" s="4" t="str">
        <f>HYPERLINK("http://www.rosaceae.org/Prunus/Prunus_persica/p.persica_gdr_reftransV1_0013902","p.persica_gdr_reftransV1_0013902")</f>
        <v>p.persica_gdr_reftransV1_0013902</v>
      </c>
      <c r="B11045" s="2">
        <v>3139</v>
      </c>
      <c r="C11045" s="4" t="str">
        <f>HYPERLINK("http://www.uniprot.org/uniprot/M5XLZ2","M5XLZ2")</f>
        <v>M5XLZ2</v>
      </c>
      <c r="D11045" s="2" t="s">
        <v>9390</v>
      </c>
      <c r="E11045" s="3">
        <v>0</v>
      </c>
      <c r="F11045" s="2">
        <v>4274</v>
      </c>
      <c r="G11045" s="2">
        <v>92</v>
      </c>
      <c r="H11045" s="2">
        <v>936</v>
      </c>
      <c r="I11045" s="2">
        <v>148</v>
      </c>
      <c r="J11045" s="2">
        <v>2955</v>
      </c>
      <c r="K11045" s="2">
        <v>1</v>
      </c>
      <c r="L11045" s="2">
        <v>882</v>
      </c>
    </row>
    <row r="11046" spans="1:12" x14ac:dyDescent="0.25">
      <c r="A11046" s="4" t="str">
        <f>HYPERLINK("http://www.rosaceae.org/Prunus/Prunus_persica/p.persica_gdr_reftransV1_0014252","p.persica_gdr_reftransV1_0014252")</f>
        <v>p.persica_gdr_reftransV1_0014252</v>
      </c>
      <c r="B11046" s="2">
        <v>1247</v>
      </c>
      <c r="C11046" s="4" t="str">
        <f>HYPERLINK("http://www.uniprot.org/uniprot/W9QTV6","W9QTV6")</f>
        <v>W9QTV6</v>
      </c>
      <c r="D11046" s="2" t="s">
        <v>9391</v>
      </c>
      <c r="E11046" s="3">
        <v>7.6199999999999999E-51</v>
      </c>
      <c r="F11046" s="2">
        <v>454</v>
      </c>
      <c r="G11046" s="2">
        <v>90</v>
      </c>
      <c r="H11046" s="2">
        <v>147</v>
      </c>
      <c r="I11046" s="2">
        <v>430</v>
      </c>
      <c r="J11046" s="2">
        <v>870</v>
      </c>
      <c r="K11046" s="2">
        <v>1</v>
      </c>
      <c r="L11046" s="2">
        <v>147</v>
      </c>
    </row>
    <row r="11047" spans="1:12" x14ac:dyDescent="0.25">
      <c r="A11047" s="4" t="str">
        <f>HYPERLINK("http://www.rosaceae.org/Prunus/Prunus_persica/p.persica_gdr_reftransV1_0014952","p.persica_gdr_reftransV1_0014952")</f>
        <v>p.persica_gdr_reftransV1_0014952</v>
      </c>
      <c r="B11047" s="2">
        <v>2942</v>
      </c>
      <c r="C11047" s="4" t="str">
        <f>HYPERLINK("http://www.uniprot.org/uniprot/M5XD14","M5XD14")</f>
        <v>M5XD14</v>
      </c>
      <c r="D11047" s="2" t="s">
        <v>9392</v>
      </c>
      <c r="E11047" s="3">
        <v>0</v>
      </c>
      <c r="F11047" s="2">
        <v>2300</v>
      </c>
      <c r="G11047" s="2">
        <v>100</v>
      </c>
      <c r="H11047" s="2">
        <v>446</v>
      </c>
      <c r="I11047" s="2">
        <v>1471</v>
      </c>
      <c r="J11047" s="2">
        <v>2805</v>
      </c>
      <c r="K11047" s="2">
        <v>1</v>
      </c>
      <c r="L11047" s="2">
        <v>446</v>
      </c>
    </row>
    <row r="11048" spans="1:12" x14ac:dyDescent="0.25">
      <c r="A11048" s="4" t="str">
        <f>HYPERLINK("http://www.rosaceae.org/Prunus/Prunus_persica/p.persica_gdr_reftransV1_0016352","p.persica_gdr_reftransV1_0016352")</f>
        <v>p.persica_gdr_reftransV1_0016352</v>
      </c>
      <c r="B11048" s="2">
        <v>727</v>
      </c>
      <c r="C11048" s="4" t="str">
        <f>HYPERLINK("http://www.uniprot.org/uniprot/M5W8S5","M5W8S5")</f>
        <v>M5W8S5</v>
      </c>
      <c r="D11048" s="2" t="s">
        <v>9393</v>
      </c>
      <c r="E11048" s="3">
        <v>1.97E-89</v>
      </c>
      <c r="F11048" s="2">
        <v>695</v>
      </c>
      <c r="G11048" s="2">
        <v>100</v>
      </c>
      <c r="H11048" s="2">
        <v>133</v>
      </c>
      <c r="I11048" s="2">
        <v>35</v>
      </c>
      <c r="J11048" s="2">
        <v>433</v>
      </c>
      <c r="K11048" s="2">
        <v>1</v>
      </c>
      <c r="L11048" s="2">
        <v>133</v>
      </c>
    </row>
    <row r="11049" spans="1:12" x14ac:dyDescent="0.25">
      <c r="A11049" s="4" t="str">
        <f>HYPERLINK("http://www.rosaceae.org/Prunus/Prunus_persica/p.persica_gdr_reftransV1_0017052","p.persica_gdr_reftransV1_0017052")</f>
        <v>p.persica_gdr_reftransV1_0017052</v>
      </c>
      <c r="B11049" s="2">
        <v>1174</v>
      </c>
      <c r="C11049" s="4" t="str">
        <f>HYPERLINK("http://www.uniprot.org/uniprot/M5VZX4","M5VZX4")</f>
        <v>M5VZX4</v>
      </c>
      <c r="D11049" s="2" t="s">
        <v>9394</v>
      </c>
      <c r="E11049" s="3">
        <v>3.9499999999999998E-126</v>
      </c>
      <c r="F11049" s="2">
        <v>702</v>
      </c>
      <c r="G11049" s="2">
        <v>95</v>
      </c>
      <c r="H11049" s="2">
        <v>139</v>
      </c>
      <c r="I11049" s="2">
        <v>688</v>
      </c>
      <c r="J11049" s="2">
        <v>1104</v>
      </c>
      <c r="K11049" s="2">
        <v>1</v>
      </c>
      <c r="L11049" s="2">
        <v>139</v>
      </c>
    </row>
    <row r="11050" spans="1:12" x14ac:dyDescent="0.25">
      <c r="A11050" s="4" t="str">
        <f>HYPERLINK("http://www.rosaceae.org/Prunus/Prunus_persica/p.persica_gdr_reftransV1_0017402","p.persica_gdr_reftransV1_0017402")</f>
        <v>p.persica_gdr_reftransV1_0017402</v>
      </c>
      <c r="B11050" s="2">
        <v>681</v>
      </c>
      <c r="C11050" s="4" t="str">
        <f>HYPERLINK("http://www.uniprot.org/uniprot/M5VMP9","M5VMP9")</f>
        <v>M5VMP9</v>
      </c>
      <c r="D11050" s="2" t="s">
        <v>9395</v>
      </c>
      <c r="E11050" s="3">
        <v>3.1200000000000001E-133</v>
      </c>
      <c r="F11050" s="2">
        <v>1061</v>
      </c>
      <c r="G11050" s="2">
        <v>93</v>
      </c>
      <c r="H11050" s="2">
        <v>226</v>
      </c>
      <c r="I11050" s="2">
        <v>2</v>
      </c>
      <c r="J11050" s="2">
        <v>679</v>
      </c>
      <c r="K11050" s="2">
        <v>715</v>
      </c>
      <c r="L11050" s="2">
        <v>925</v>
      </c>
    </row>
    <row r="11051" spans="1:12" x14ac:dyDescent="0.25">
      <c r="A11051" s="4" t="str">
        <f>HYPERLINK("http://www.rosaceae.org/Prunus/Prunus_persica/p.persica_gdr_reftransV1_0018102","p.persica_gdr_reftransV1_0018102")</f>
        <v>p.persica_gdr_reftransV1_0018102</v>
      </c>
      <c r="B11051" s="2">
        <v>843</v>
      </c>
      <c r="C11051" s="4" t="str">
        <f>HYPERLINK("http://www.uniprot.org/uniprot/M5W4W9","M5W4W9")</f>
        <v>M5W4W9</v>
      </c>
      <c r="D11051" s="2" t="s">
        <v>9396</v>
      </c>
      <c r="E11051" s="3">
        <v>2.1700000000000001E-141</v>
      </c>
      <c r="F11051" s="2">
        <v>1048</v>
      </c>
      <c r="G11051" s="2">
        <v>100</v>
      </c>
      <c r="H11051" s="2">
        <v>203</v>
      </c>
      <c r="I11051" s="2">
        <v>30</v>
      </c>
      <c r="J11051" s="2">
        <v>638</v>
      </c>
      <c r="K11051" s="2">
        <v>1</v>
      </c>
      <c r="L11051" s="2">
        <v>203</v>
      </c>
    </row>
    <row r="11052" spans="1:12" x14ac:dyDescent="0.25">
      <c r="A11052" s="4" t="str">
        <f>HYPERLINK("http://www.rosaceae.org/Prunus/Prunus_persica/p.persica_gdr_reftransV1_0018802","p.persica_gdr_reftransV1_0018802")</f>
        <v>p.persica_gdr_reftransV1_0018802</v>
      </c>
      <c r="B11052" s="2">
        <v>1400</v>
      </c>
      <c r="C11052" s="4" t="str">
        <f>HYPERLINK("http://www.uniprot.org/uniprot/A6XN03","A6XN03")</f>
        <v>A6XN03</v>
      </c>
      <c r="D11052" s="2" t="s">
        <v>9397</v>
      </c>
      <c r="E11052" s="3">
        <v>0</v>
      </c>
      <c r="F11052" s="2">
        <v>1512</v>
      </c>
      <c r="G11052" s="2">
        <v>76</v>
      </c>
      <c r="H11052" s="2">
        <v>395</v>
      </c>
      <c r="I11052" s="2">
        <v>82</v>
      </c>
      <c r="J11052" s="2">
        <v>1266</v>
      </c>
      <c r="K11052" s="2">
        <v>2</v>
      </c>
      <c r="L11052" s="2">
        <v>301</v>
      </c>
    </row>
    <row r="11053" spans="1:12" x14ac:dyDescent="0.25">
      <c r="A11053" s="4" t="str">
        <f>HYPERLINK("http://www.rosaceae.org/Prunus/Prunus_persica/p.persica_gdr_reftransV1_0025102","p.persica_gdr_reftransV1_0025102")</f>
        <v>p.persica_gdr_reftransV1_0025102</v>
      </c>
      <c r="B11053" s="2">
        <v>7384</v>
      </c>
      <c r="C11053" s="4" t="str">
        <f>HYPERLINK("http://www.uniprot.org/uniprot/M5X9V4","M5X9V4")</f>
        <v>M5X9V4</v>
      </c>
      <c r="D11053" s="2" t="s">
        <v>9398</v>
      </c>
      <c r="E11053" s="3">
        <v>0</v>
      </c>
      <c r="F11053" s="2">
        <v>2989</v>
      </c>
      <c r="G11053" s="2">
        <v>96</v>
      </c>
      <c r="H11053" s="2">
        <v>656</v>
      </c>
      <c r="I11053" s="2">
        <v>299</v>
      </c>
      <c r="J11053" s="2">
        <v>2266</v>
      </c>
      <c r="K11053" s="2">
        <v>1</v>
      </c>
      <c r="L11053" s="2">
        <v>648</v>
      </c>
    </row>
    <row r="11054" spans="1:12" x14ac:dyDescent="0.25">
      <c r="A11054" s="4" t="str">
        <f>HYPERLINK("http://www.rosaceae.org/Prunus/Prunus_persica/p.persica_gdr_reftransV1_0026502","p.persica_gdr_reftransV1_0026502")</f>
        <v>p.persica_gdr_reftransV1_0026502</v>
      </c>
      <c r="B11054" s="2">
        <v>1744</v>
      </c>
      <c r="C11054" s="4" t="str">
        <f>HYPERLINK("http://www.uniprot.org/uniprot/M5XP31","M5XP31")</f>
        <v>M5XP31</v>
      </c>
      <c r="D11054" s="2" t="s">
        <v>9399</v>
      </c>
      <c r="E11054" s="3">
        <v>0</v>
      </c>
      <c r="F11054" s="2">
        <v>1906</v>
      </c>
      <c r="G11054" s="2">
        <v>100</v>
      </c>
      <c r="H11054" s="2">
        <v>364</v>
      </c>
      <c r="I11054" s="2">
        <v>544</v>
      </c>
      <c r="J11054" s="2">
        <v>1635</v>
      </c>
      <c r="K11054" s="2">
        <v>1</v>
      </c>
      <c r="L11054" s="2">
        <v>364</v>
      </c>
    </row>
    <row r="11055" spans="1:12" x14ac:dyDescent="0.25">
      <c r="A11055" s="4" t="str">
        <f>HYPERLINK("http://www.rosaceae.org/Prunus/Prunus_persica/p.persica_gdr_reftransV1_0026852","p.persica_gdr_reftransV1_0026852")</f>
        <v>p.persica_gdr_reftransV1_0026852</v>
      </c>
      <c r="B11055" s="2">
        <v>3558</v>
      </c>
      <c r="C11055" s="4" t="str">
        <f>HYPERLINK("http://www.uniprot.org/uniprot/M5WDR4","M5WDR4")</f>
        <v>M5WDR4</v>
      </c>
      <c r="D11055" s="2" t="s">
        <v>9400</v>
      </c>
      <c r="E11055" s="3">
        <v>0</v>
      </c>
      <c r="F11055" s="2">
        <v>2954</v>
      </c>
      <c r="G11055" s="2">
        <v>100</v>
      </c>
      <c r="H11055" s="2">
        <v>562</v>
      </c>
      <c r="I11055" s="2">
        <v>145</v>
      </c>
      <c r="J11055" s="2">
        <v>1830</v>
      </c>
      <c r="K11055" s="2">
        <v>1</v>
      </c>
      <c r="L11055" s="2">
        <v>562</v>
      </c>
    </row>
    <row r="11056" spans="1:12" x14ac:dyDescent="0.25">
      <c r="A11056" s="4" t="str">
        <f>HYPERLINK("http://www.rosaceae.org/Prunus/Prunus_persica/p.persica_gdr_reftransV1_0028252","p.persica_gdr_reftransV1_0028252")</f>
        <v>p.persica_gdr_reftransV1_0028252</v>
      </c>
      <c r="B11056" s="2">
        <v>1558</v>
      </c>
      <c r="C11056" s="4" t="str">
        <f>HYPERLINK("http://www.uniprot.org/uniprot/M5X2W5","M5X2W5")</f>
        <v>M5X2W5</v>
      </c>
      <c r="D11056" s="2" t="s">
        <v>9401</v>
      </c>
      <c r="E11056" s="3">
        <v>1.05E-69</v>
      </c>
      <c r="F11056" s="2">
        <v>588</v>
      </c>
      <c r="G11056" s="2">
        <v>100</v>
      </c>
      <c r="H11056" s="2">
        <v>129</v>
      </c>
      <c r="I11056" s="2">
        <v>824</v>
      </c>
      <c r="J11056" s="2">
        <v>1210</v>
      </c>
      <c r="K11056" s="2">
        <v>1</v>
      </c>
      <c r="L11056" s="2">
        <v>129</v>
      </c>
    </row>
    <row r="11057" spans="1:12" x14ac:dyDescent="0.25">
      <c r="A11057" s="4" t="str">
        <f>HYPERLINK("http://www.rosaceae.org/Prunus/Prunus_persica/p.persica_gdr_reftransV1_0032452","p.persica_gdr_reftransV1_0032452")</f>
        <v>p.persica_gdr_reftransV1_0032452</v>
      </c>
      <c r="B11057" s="2">
        <v>1498</v>
      </c>
      <c r="C11057" s="4" t="str">
        <f>HYPERLINK("http://www.uniprot.org/uniprot/M5WEF2","M5WEF2")</f>
        <v>M5WEF2</v>
      </c>
      <c r="D11057" s="2" t="s">
        <v>6764</v>
      </c>
      <c r="E11057" s="3">
        <v>0</v>
      </c>
      <c r="F11057" s="2">
        <v>1607</v>
      </c>
      <c r="G11057" s="2">
        <v>100</v>
      </c>
      <c r="H11057" s="2">
        <v>294</v>
      </c>
      <c r="I11057" s="2">
        <v>2</v>
      </c>
      <c r="J11057" s="2">
        <v>883</v>
      </c>
      <c r="K11057" s="2">
        <v>648</v>
      </c>
      <c r="L11057" s="2">
        <v>941</v>
      </c>
    </row>
    <row r="11058" spans="1:12" x14ac:dyDescent="0.25">
      <c r="A11058" s="4" t="str">
        <f>HYPERLINK("http://www.rosaceae.org/Prunus/Prunus_persica/p.persica_gdr_reftransV1_0034202","p.persica_gdr_reftransV1_0034202")</f>
        <v>p.persica_gdr_reftransV1_0034202</v>
      </c>
      <c r="B11058" s="2">
        <v>2968</v>
      </c>
      <c r="C11058" s="4" t="str">
        <f>HYPERLINK("http://www.uniprot.org/uniprot/M5VZJ7","M5VZJ7")</f>
        <v>M5VZJ7</v>
      </c>
      <c r="D11058" s="2" t="s">
        <v>9402</v>
      </c>
      <c r="E11058" s="3">
        <v>1.8100000000000001E-130</v>
      </c>
      <c r="F11058" s="2">
        <v>1046</v>
      </c>
      <c r="G11058" s="2">
        <v>100</v>
      </c>
      <c r="H11058" s="2">
        <v>201</v>
      </c>
      <c r="I11058" s="2">
        <v>2188</v>
      </c>
      <c r="J11058" s="2">
        <v>2790</v>
      </c>
      <c r="K11058" s="2">
        <v>81</v>
      </c>
      <c r="L11058" s="2">
        <v>281</v>
      </c>
    </row>
    <row r="11059" spans="1:12" x14ac:dyDescent="0.25">
      <c r="A11059" s="4" t="str">
        <f>HYPERLINK("http://www.rosaceae.org/Prunus/Prunus_persica/p.persica_gdr_reftransV1_0035252","p.persica_gdr_reftransV1_0035252")</f>
        <v>p.persica_gdr_reftransV1_0035252</v>
      </c>
      <c r="B11059" s="2">
        <v>1052</v>
      </c>
      <c r="C11059" s="4" t="str">
        <f>HYPERLINK("http://www.uniprot.org/uniprot/M5WQL9","M5WQL9")</f>
        <v>M5WQL9</v>
      </c>
      <c r="D11059" s="2" t="s">
        <v>9403</v>
      </c>
      <c r="E11059" s="3">
        <v>2.5399999999999999E-136</v>
      </c>
      <c r="F11059" s="2">
        <v>1022</v>
      </c>
      <c r="G11059" s="2">
        <v>100</v>
      </c>
      <c r="H11059" s="2">
        <v>195</v>
      </c>
      <c r="I11059" s="2">
        <v>391</v>
      </c>
      <c r="J11059" s="2">
        <v>975</v>
      </c>
      <c r="K11059" s="2">
        <v>1</v>
      </c>
      <c r="L11059" s="2">
        <v>195</v>
      </c>
    </row>
    <row r="11060" spans="1:12" x14ac:dyDescent="0.25">
      <c r="A11060" s="4" t="str">
        <f>HYPERLINK("http://www.rosaceae.org/Prunus/Prunus_persica/p.persica_gdr_reftransV1_0035602","p.persica_gdr_reftransV1_0035602")</f>
        <v>p.persica_gdr_reftransV1_0035602</v>
      </c>
      <c r="B11060" s="2">
        <v>910</v>
      </c>
      <c r="C11060" s="4" t="str">
        <f>HYPERLINK("http://www.uniprot.org/uniprot/M5XG84","M5XG84")</f>
        <v>M5XG84</v>
      </c>
      <c r="D11060" s="2" t="s">
        <v>4122</v>
      </c>
      <c r="E11060" s="3">
        <v>1.52E-47</v>
      </c>
      <c r="F11060" s="2">
        <v>430</v>
      </c>
      <c r="G11060" s="2">
        <v>100</v>
      </c>
      <c r="H11060" s="2">
        <v>153</v>
      </c>
      <c r="I11060" s="2">
        <v>374</v>
      </c>
      <c r="J11060" s="2">
        <v>832</v>
      </c>
      <c r="K11060" s="2">
        <v>1</v>
      </c>
      <c r="L11060" s="2">
        <v>153</v>
      </c>
    </row>
    <row r="11061" spans="1:12" x14ac:dyDescent="0.25">
      <c r="A11061" s="4" t="str">
        <f>HYPERLINK("http://www.rosaceae.org/Prunus/Prunus_persica/p.persica_gdr_reftransV1_0036302","p.persica_gdr_reftransV1_0036302")</f>
        <v>p.persica_gdr_reftransV1_0036302</v>
      </c>
      <c r="B11061" s="2">
        <v>980</v>
      </c>
      <c r="C11061" s="4" t="str">
        <f>HYPERLINK("http://www.uniprot.org/uniprot/M5XQP2","M5XQP2")</f>
        <v>M5XQP2</v>
      </c>
      <c r="D11061" s="2" t="s">
        <v>9404</v>
      </c>
      <c r="E11061" s="3">
        <v>1.4800000000000001E-26</v>
      </c>
      <c r="F11061" s="2">
        <v>303</v>
      </c>
      <c r="G11061" s="2">
        <v>100</v>
      </c>
      <c r="H11061" s="2">
        <v>57</v>
      </c>
      <c r="I11061" s="2">
        <v>694</v>
      </c>
      <c r="J11061" s="2">
        <v>864</v>
      </c>
      <c r="K11061" s="2">
        <v>817</v>
      </c>
      <c r="L11061" s="2">
        <v>873</v>
      </c>
    </row>
    <row r="11062" spans="1:12" x14ac:dyDescent="0.25">
      <c r="A11062" s="4" t="str">
        <f>HYPERLINK("http://www.rosaceae.org/Prunus/Prunus_persica/p.persica_gdr_reftransV1_0038052","p.persica_gdr_reftransV1_0038052")</f>
        <v>p.persica_gdr_reftransV1_0038052</v>
      </c>
      <c r="B11062" s="2">
        <v>3442</v>
      </c>
      <c r="C11062" s="4" t="str">
        <f>HYPERLINK("http://www.uniprot.org/uniprot/M5WGY5","M5WGY5")</f>
        <v>M5WGY5</v>
      </c>
      <c r="D11062" s="2" t="s">
        <v>9405</v>
      </c>
      <c r="E11062" s="3">
        <v>0</v>
      </c>
      <c r="F11062" s="2">
        <v>1684</v>
      </c>
      <c r="G11062" s="2">
        <v>92</v>
      </c>
      <c r="H11062" s="2">
        <v>362</v>
      </c>
      <c r="I11062" s="2">
        <v>696</v>
      </c>
      <c r="J11062" s="2">
        <v>1781</v>
      </c>
      <c r="K11062" s="2">
        <v>3</v>
      </c>
      <c r="L11062" s="2">
        <v>340</v>
      </c>
    </row>
    <row r="11063" spans="1:12" x14ac:dyDescent="0.25">
      <c r="A11063" s="4" t="str">
        <f>HYPERLINK("http://www.rosaceae.org/Prunus/Prunus_persica/p.persica_gdr_reftransV1_0039802","p.persica_gdr_reftransV1_0039802")</f>
        <v>p.persica_gdr_reftransV1_0039802</v>
      </c>
      <c r="B11063" s="2">
        <v>1770</v>
      </c>
      <c r="C11063" s="4" t="str">
        <f>HYPERLINK("http://www.uniprot.org/uniprot/M5W9K1","M5W9K1")</f>
        <v>M5W9K1</v>
      </c>
      <c r="D11063" s="2" t="s">
        <v>9406</v>
      </c>
      <c r="E11063" s="3">
        <v>0</v>
      </c>
      <c r="F11063" s="2">
        <v>1777</v>
      </c>
      <c r="G11063" s="2">
        <v>100</v>
      </c>
      <c r="H11063" s="2">
        <v>352</v>
      </c>
      <c r="I11063" s="2">
        <v>307</v>
      </c>
      <c r="J11063" s="2">
        <v>1362</v>
      </c>
      <c r="K11063" s="2">
        <v>38</v>
      </c>
      <c r="L11063" s="2">
        <v>389</v>
      </c>
    </row>
    <row r="11064" spans="1:12" x14ac:dyDescent="0.25">
      <c r="A11064" s="4" t="str">
        <f>HYPERLINK("http://www.rosaceae.org/Prunus/Prunus_persica/p.persica_gdr_reftransV1_0040502","p.persica_gdr_reftransV1_0040502")</f>
        <v>p.persica_gdr_reftransV1_0040502</v>
      </c>
      <c r="B11064" s="2">
        <v>3825</v>
      </c>
      <c r="C11064" s="4" t="str">
        <f>HYPERLINK("http://www.uniprot.org/uniprot/A5BCQ9","A5BCQ9")</f>
        <v>A5BCQ9</v>
      </c>
      <c r="D11064" s="2" t="s">
        <v>5030</v>
      </c>
      <c r="E11064" s="3">
        <v>0</v>
      </c>
      <c r="F11064" s="2">
        <v>2130</v>
      </c>
      <c r="G11064" s="2">
        <v>68</v>
      </c>
      <c r="H11064" s="2">
        <v>574</v>
      </c>
      <c r="I11064" s="2">
        <v>1275</v>
      </c>
      <c r="J11064" s="2">
        <v>2993</v>
      </c>
      <c r="K11064" s="2">
        <v>887</v>
      </c>
      <c r="L11064" s="2">
        <v>1460</v>
      </c>
    </row>
    <row r="11065" spans="1:12" x14ac:dyDescent="0.25">
      <c r="A11065" s="4" t="str">
        <f>HYPERLINK("http://www.rosaceae.org/Prunus/Prunus_persica/p.persica_gdr_reftransV1_0042252","p.persica_gdr_reftransV1_0042252")</f>
        <v>p.persica_gdr_reftransV1_0042252</v>
      </c>
      <c r="B11065" s="2">
        <v>3435</v>
      </c>
      <c r="C11065" s="4" t="str">
        <f>HYPERLINK("http://www.uniprot.org/uniprot/M5XBD6","M5XBD6")</f>
        <v>M5XBD6</v>
      </c>
      <c r="D11065" s="2" t="s">
        <v>9407</v>
      </c>
      <c r="E11065" s="3">
        <v>0</v>
      </c>
      <c r="F11065" s="2">
        <v>3159</v>
      </c>
      <c r="G11065" s="2">
        <v>100</v>
      </c>
      <c r="H11065" s="2">
        <v>600</v>
      </c>
      <c r="I11065" s="2">
        <v>538</v>
      </c>
      <c r="J11065" s="2">
        <v>2337</v>
      </c>
      <c r="K11065" s="2">
        <v>1</v>
      </c>
      <c r="L11065" s="2">
        <v>600</v>
      </c>
    </row>
    <row r="11066" spans="1:12" x14ac:dyDescent="0.25">
      <c r="A11066" s="4" t="str">
        <f>HYPERLINK("http://www.rosaceae.org/Prunus/Prunus_persica/p.persica_gdr_reftransV1_0043302","p.persica_gdr_reftransV1_0043302")</f>
        <v>p.persica_gdr_reftransV1_0043302</v>
      </c>
      <c r="B11066" s="2">
        <v>1705</v>
      </c>
      <c r="C11066" s="4" t="str">
        <f>HYPERLINK("http://www.uniprot.org/uniprot/M5Y0R0","M5Y0R0")</f>
        <v>M5Y0R0</v>
      </c>
      <c r="D11066" s="2" t="s">
        <v>9408</v>
      </c>
      <c r="E11066" s="3">
        <v>0</v>
      </c>
      <c r="F11066" s="2">
        <v>2633</v>
      </c>
      <c r="G11066" s="2">
        <v>100</v>
      </c>
      <c r="H11066" s="2">
        <v>507</v>
      </c>
      <c r="I11066" s="2">
        <v>93</v>
      </c>
      <c r="J11066" s="2">
        <v>1613</v>
      </c>
      <c r="K11066" s="2">
        <v>11</v>
      </c>
      <c r="L11066" s="2">
        <v>517</v>
      </c>
    </row>
    <row r="11067" spans="1:12" x14ac:dyDescent="0.25">
      <c r="A11067" s="4" t="str">
        <f>HYPERLINK("http://www.rosaceae.org/Prunus/Prunus_persica/p.persica_gdr_reftransV1_0043652","p.persica_gdr_reftransV1_0043652")</f>
        <v>p.persica_gdr_reftransV1_0043652</v>
      </c>
      <c r="B11067" s="2">
        <v>1309</v>
      </c>
      <c r="C11067" s="4" t="str">
        <f>HYPERLINK("http://www.uniprot.org/uniprot/M5XCC1","M5XCC1")</f>
        <v>M5XCC1</v>
      </c>
      <c r="D11067" s="2" t="s">
        <v>9409</v>
      </c>
      <c r="E11067" s="3">
        <v>0</v>
      </c>
      <c r="F11067" s="2">
        <v>1647</v>
      </c>
      <c r="G11067" s="2">
        <v>100</v>
      </c>
      <c r="H11067" s="2">
        <v>333</v>
      </c>
      <c r="I11067" s="2">
        <v>179</v>
      </c>
      <c r="J11067" s="2">
        <v>1177</v>
      </c>
      <c r="K11067" s="2">
        <v>1</v>
      </c>
      <c r="L11067" s="2">
        <v>333</v>
      </c>
    </row>
    <row r="11068" spans="1:12" x14ac:dyDescent="0.25">
      <c r="A11068" s="4" t="str">
        <f>HYPERLINK("http://www.rosaceae.org/Prunus/Prunus_persica/p.persica_gdr_reftransV1_0044002","p.persica_gdr_reftransV1_0044002")</f>
        <v>p.persica_gdr_reftransV1_0044002</v>
      </c>
      <c r="B11068" s="2">
        <v>2965</v>
      </c>
      <c r="C11068" s="4" t="str">
        <f>HYPERLINK("http://www.uniprot.org/uniprot/E3W0H8","E3W0H8")</f>
        <v>E3W0H8</v>
      </c>
      <c r="D11068" s="2" t="s">
        <v>9410</v>
      </c>
      <c r="E11068" s="3">
        <v>0</v>
      </c>
      <c r="F11068" s="2">
        <v>2409</v>
      </c>
      <c r="G11068" s="2">
        <v>99</v>
      </c>
      <c r="H11068" s="2">
        <v>507</v>
      </c>
      <c r="I11068" s="2">
        <v>22</v>
      </c>
      <c r="J11068" s="2">
        <v>1542</v>
      </c>
      <c r="K11068" s="2">
        <v>1</v>
      </c>
      <c r="L11068" s="2">
        <v>507</v>
      </c>
    </row>
    <row r="11069" spans="1:12" x14ac:dyDescent="0.25">
      <c r="A11069" s="4" t="str">
        <f>HYPERLINK("http://www.rosaceae.org/Prunus/Prunus_persica/p.persica_gdr_reftransV1_0045402","p.persica_gdr_reftransV1_0045402")</f>
        <v>p.persica_gdr_reftransV1_0045402</v>
      </c>
      <c r="B11069" s="2">
        <v>1080</v>
      </c>
      <c r="C11069" s="4" t="str">
        <f>HYPERLINK("http://www.uniprot.org/uniprot/D5I3A5","D5I3A5")</f>
        <v>D5I3A5</v>
      </c>
      <c r="D11069" s="2" t="s">
        <v>9411</v>
      </c>
      <c r="E11069" s="3">
        <v>0</v>
      </c>
      <c r="F11069" s="2">
        <v>1608</v>
      </c>
      <c r="G11069" s="2">
        <v>95</v>
      </c>
      <c r="H11069" s="2">
        <v>353</v>
      </c>
      <c r="I11069" s="2">
        <v>20</v>
      </c>
      <c r="J11069" s="2">
        <v>1078</v>
      </c>
      <c r="K11069" s="2">
        <v>3</v>
      </c>
      <c r="L11069" s="2">
        <v>355</v>
      </c>
    </row>
    <row r="11070" spans="1:12" x14ac:dyDescent="0.25">
      <c r="A11070" s="4" t="str">
        <f>HYPERLINK("http://www.rosaceae.org/Prunus/Prunus_persica/p.persica_gdr_reftransV1_0045752","p.persica_gdr_reftransV1_0045752")</f>
        <v>p.persica_gdr_reftransV1_0045752</v>
      </c>
      <c r="B11070" s="2">
        <v>1727</v>
      </c>
      <c r="C11070" s="4" t="str">
        <f>HYPERLINK("http://www.uniprot.org/uniprot/M5WPE9","M5WPE9")</f>
        <v>M5WPE9</v>
      </c>
      <c r="D11070" s="2" t="s">
        <v>3358</v>
      </c>
      <c r="E11070" s="3">
        <v>0</v>
      </c>
      <c r="F11070" s="2">
        <v>2607</v>
      </c>
      <c r="G11070" s="2">
        <v>100</v>
      </c>
      <c r="H11070" s="2">
        <v>501</v>
      </c>
      <c r="I11070" s="2">
        <v>132</v>
      </c>
      <c r="J11070" s="2">
        <v>1634</v>
      </c>
      <c r="K11070" s="2">
        <v>19</v>
      </c>
      <c r="L11070" s="2">
        <v>519</v>
      </c>
    </row>
    <row r="11071" spans="1:12" x14ac:dyDescent="0.25">
      <c r="A11071" s="4" t="str">
        <f>HYPERLINK("http://www.rosaceae.org/Prunus/Prunus_persica/p.persica_gdr_reftransV1_0046102","p.persica_gdr_reftransV1_0046102")</f>
        <v>p.persica_gdr_reftransV1_0046102</v>
      </c>
      <c r="B11071" s="2">
        <v>424</v>
      </c>
      <c r="C11071" s="4" t="str">
        <f>HYPERLINK("http://www.uniprot.org/uniprot/M5WAZ6","M5WAZ6")</f>
        <v>M5WAZ6</v>
      </c>
      <c r="D11071" s="2" t="s">
        <v>9412</v>
      </c>
      <c r="E11071" s="3">
        <v>4.5200000000000001E-31</v>
      </c>
      <c r="F11071" s="2">
        <v>299</v>
      </c>
      <c r="G11071" s="2">
        <v>100</v>
      </c>
      <c r="H11071" s="2">
        <v>80</v>
      </c>
      <c r="I11071" s="2">
        <v>104</v>
      </c>
      <c r="J11071" s="2">
        <v>343</v>
      </c>
      <c r="K11071" s="2">
        <v>1</v>
      </c>
      <c r="L11071" s="2">
        <v>80</v>
      </c>
    </row>
    <row r="11072" spans="1:12" x14ac:dyDescent="0.25">
      <c r="A11072" s="4" t="str">
        <f>HYPERLINK("http://www.rosaceae.org/Prunus/Prunus_persica/p.persica_gdr_reftransV1_0046452","p.persica_gdr_reftransV1_0046452")</f>
        <v>p.persica_gdr_reftransV1_0046452</v>
      </c>
      <c r="B11072" s="2">
        <v>2122</v>
      </c>
      <c r="C11072" s="4" t="str">
        <f>HYPERLINK("http://www.uniprot.org/uniprot/M5XBN5","M5XBN5")</f>
        <v>M5XBN5</v>
      </c>
      <c r="D11072" s="2" t="s">
        <v>657</v>
      </c>
      <c r="E11072" s="3">
        <v>0</v>
      </c>
      <c r="F11072" s="2">
        <v>2541</v>
      </c>
      <c r="G11072" s="2">
        <v>100</v>
      </c>
      <c r="H11072" s="2">
        <v>486</v>
      </c>
      <c r="I11072" s="2">
        <v>301</v>
      </c>
      <c r="J11072" s="2">
        <v>1758</v>
      </c>
      <c r="K11072" s="2">
        <v>7</v>
      </c>
      <c r="L11072" s="2">
        <v>492</v>
      </c>
    </row>
    <row r="11073" spans="1:12" x14ac:dyDescent="0.25">
      <c r="A11073" s="4" t="str">
        <f>HYPERLINK("http://www.rosaceae.org/Prunus/Prunus_persica/p.persica_gdr_reftransV1_0046802","p.persica_gdr_reftransV1_0046802")</f>
        <v>p.persica_gdr_reftransV1_0046802</v>
      </c>
      <c r="B11073" s="2">
        <v>4484</v>
      </c>
      <c r="C11073" s="4" t="str">
        <f>HYPERLINK("http://www.uniprot.org/uniprot/M5WE95","M5WE95")</f>
        <v>M5WE95</v>
      </c>
      <c r="D11073" s="2" t="s">
        <v>9413</v>
      </c>
      <c r="E11073" s="3">
        <v>0</v>
      </c>
      <c r="F11073" s="2">
        <v>6183</v>
      </c>
      <c r="G11073" s="2">
        <v>96</v>
      </c>
      <c r="H11073" s="2">
        <v>1293</v>
      </c>
      <c r="I11073" s="2">
        <v>176</v>
      </c>
      <c r="J11073" s="2">
        <v>4012</v>
      </c>
      <c r="K11073" s="2">
        <v>1</v>
      </c>
      <c r="L11073" s="2">
        <v>1251</v>
      </c>
    </row>
    <row r="11074" spans="1:12" x14ac:dyDescent="0.25">
      <c r="A11074" s="4" t="str">
        <f>HYPERLINK("http://www.rosaceae.org/Prunus/Prunus_persica/p.persica_gdr_reftransV1_0047152","p.persica_gdr_reftransV1_0047152")</f>
        <v>p.persica_gdr_reftransV1_0047152</v>
      </c>
      <c r="B11074" s="2">
        <v>943</v>
      </c>
      <c r="C11074" s="4" t="str">
        <f>HYPERLINK("http://www.uniprot.org/uniprot/M5WLT0","M5WLT0")</f>
        <v>M5WLT0</v>
      </c>
      <c r="D11074" s="2" t="s">
        <v>8360</v>
      </c>
      <c r="E11074" s="3">
        <v>0</v>
      </c>
      <c r="F11074" s="2">
        <v>1477</v>
      </c>
      <c r="G11074" s="2">
        <v>100</v>
      </c>
      <c r="H11074" s="2">
        <v>314</v>
      </c>
      <c r="I11074" s="2">
        <v>1</v>
      </c>
      <c r="J11074" s="2">
        <v>942</v>
      </c>
      <c r="K11074" s="2">
        <v>266</v>
      </c>
      <c r="L11074" s="2">
        <v>579</v>
      </c>
    </row>
    <row r="11075" spans="1:12" x14ac:dyDescent="0.25">
      <c r="A11075" s="4" t="str">
        <f>HYPERLINK("http://www.rosaceae.org/Prunus/Prunus_persica/p.persica_gdr_reftransV1_0047852","p.persica_gdr_reftransV1_0047852")</f>
        <v>p.persica_gdr_reftransV1_0047852</v>
      </c>
      <c r="B11075" s="2">
        <v>610</v>
      </c>
      <c r="C11075" s="4" t="str">
        <f>HYPERLINK("http://www.uniprot.org/uniprot/M5WW37","M5WW37")</f>
        <v>M5WW37</v>
      </c>
      <c r="D11075" s="2" t="s">
        <v>5997</v>
      </c>
      <c r="E11075" s="3">
        <v>5.3300000000000004E-137</v>
      </c>
      <c r="F11075" s="2">
        <v>1030</v>
      </c>
      <c r="G11075" s="2">
        <v>100</v>
      </c>
      <c r="H11075" s="2">
        <v>203</v>
      </c>
      <c r="I11075" s="2">
        <v>1</v>
      </c>
      <c r="J11075" s="2">
        <v>609</v>
      </c>
      <c r="K11075" s="2">
        <v>193</v>
      </c>
      <c r="L11075" s="2">
        <v>395</v>
      </c>
    </row>
    <row r="11076" spans="1:12" x14ac:dyDescent="0.25">
      <c r="A11076" s="4" t="str">
        <f>HYPERLINK("http://www.rosaceae.org/Prunus/Prunus_persica/p.persica_gdr_reftransV1_0048202","p.persica_gdr_reftransV1_0048202")</f>
        <v>p.persica_gdr_reftransV1_0048202</v>
      </c>
      <c r="B11076" s="2">
        <v>1104</v>
      </c>
      <c r="C11076" s="4" t="str">
        <f>HYPERLINK("http://www.uniprot.org/uniprot/M5VPA5","M5VPA5")</f>
        <v>M5VPA5</v>
      </c>
      <c r="D11076" s="2" t="s">
        <v>8163</v>
      </c>
      <c r="E11076" s="3">
        <v>7.5500000000000002E-96</v>
      </c>
      <c r="F11076" s="2">
        <v>751</v>
      </c>
      <c r="G11076" s="2">
        <v>100</v>
      </c>
      <c r="H11076" s="2">
        <v>145</v>
      </c>
      <c r="I11076" s="2">
        <v>450</v>
      </c>
      <c r="J11076" s="2">
        <v>884</v>
      </c>
      <c r="K11076" s="2">
        <v>1</v>
      </c>
      <c r="L11076" s="2">
        <v>145</v>
      </c>
    </row>
    <row r="11077" spans="1:12" x14ac:dyDescent="0.25">
      <c r="A11077" s="4" t="str">
        <f>HYPERLINK("http://www.rosaceae.org/Prunus/Prunus_persica/p.persica_gdr_reftransV1_0048552","p.persica_gdr_reftransV1_0048552")</f>
        <v>p.persica_gdr_reftransV1_0048552</v>
      </c>
      <c r="B11077" s="2">
        <v>2506</v>
      </c>
      <c r="C11077" s="4" t="str">
        <f>HYPERLINK("http://www.uniprot.org/uniprot/M5VXN5","M5VXN5")</f>
        <v>M5VXN5</v>
      </c>
      <c r="D11077" s="2" t="s">
        <v>5386</v>
      </c>
      <c r="E11077" s="3">
        <v>0</v>
      </c>
      <c r="F11077" s="2">
        <v>2043</v>
      </c>
      <c r="G11077" s="2">
        <v>100</v>
      </c>
      <c r="H11077" s="2">
        <v>383</v>
      </c>
      <c r="I11077" s="2">
        <v>325</v>
      </c>
      <c r="J11077" s="2">
        <v>1473</v>
      </c>
      <c r="K11077" s="2">
        <v>1</v>
      </c>
      <c r="L11077" s="2">
        <v>383</v>
      </c>
    </row>
    <row r="11078" spans="1:12" x14ac:dyDescent="0.25">
      <c r="A11078" s="4" t="str">
        <f>HYPERLINK("http://www.rosaceae.org/Prunus/Prunus_persica/p.persica_gdr_reftransV1_0048902","p.persica_gdr_reftransV1_0048902")</f>
        <v>p.persica_gdr_reftransV1_0048902</v>
      </c>
      <c r="B11078" s="2">
        <v>2557</v>
      </c>
      <c r="C11078" s="4" t="str">
        <f>HYPERLINK("http://www.uniprot.org/uniprot/M5XK03","M5XK03")</f>
        <v>M5XK03</v>
      </c>
      <c r="D11078" s="2" t="s">
        <v>4433</v>
      </c>
      <c r="E11078" s="3">
        <v>0</v>
      </c>
      <c r="F11078" s="2">
        <v>3673</v>
      </c>
      <c r="G11078" s="2">
        <v>99</v>
      </c>
      <c r="H11078" s="2">
        <v>724</v>
      </c>
      <c r="I11078" s="2">
        <v>334</v>
      </c>
      <c r="J11078" s="2">
        <v>2505</v>
      </c>
      <c r="K11078" s="2">
        <v>1</v>
      </c>
      <c r="L11078" s="2">
        <v>724</v>
      </c>
    </row>
    <row r="11079" spans="1:12" x14ac:dyDescent="0.25">
      <c r="A11079" s="4" t="str">
        <f>HYPERLINK("http://www.rosaceae.org/Prunus/Prunus_persica/p.persica_gdr_reftransV1_0000253","p.persica_gdr_reftransV1_0000253")</f>
        <v>p.persica_gdr_reftransV1_0000253</v>
      </c>
      <c r="B11079" s="2">
        <v>2000</v>
      </c>
      <c r="C11079" s="4" t="str">
        <f>HYPERLINK("http://www.uniprot.org/uniprot/M5XVN4","M5XVN4")</f>
        <v>M5XVN4</v>
      </c>
      <c r="D11079" s="2" t="s">
        <v>9414</v>
      </c>
      <c r="E11079" s="3">
        <v>0</v>
      </c>
      <c r="F11079" s="2">
        <v>1889</v>
      </c>
      <c r="G11079" s="2">
        <v>100</v>
      </c>
      <c r="H11079" s="2">
        <v>353</v>
      </c>
      <c r="I11079" s="2">
        <v>154</v>
      </c>
      <c r="J11079" s="2">
        <v>1212</v>
      </c>
      <c r="K11079" s="2">
        <v>268</v>
      </c>
      <c r="L11079" s="2">
        <v>620</v>
      </c>
    </row>
    <row r="11080" spans="1:12" x14ac:dyDescent="0.25">
      <c r="A11080" s="4" t="str">
        <f>HYPERLINK("http://www.rosaceae.org/Prunus/Prunus_persica/p.persica_gdr_reftransV1_0000953","p.persica_gdr_reftransV1_0000953")</f>
        <v>p.persica_gdr_reftransV1_0000953</v>
      </c>
      <c r="B11080" s="2">
        <v>1749</v>
      </c>
      <c r="C11080" s="4" t="str">
        <f>HYPERLINK("http://www.uniprot.org/uniprot/M5WFT6","M5WFT6")</f>
        <v>M5WFT6</v>
      </c>
      <c r="D11080" s="2" t="s">
        <v>4271</v>
      </c>
      <c r="E11080" s="3">
        <v>0</v>
      </c>
      <c r="F11080" s="2">
        <v>1854</v>
      </c>
      <c r="G11080" s="2">
        <v>100</v>
      </c>
      <c r="H11080" s="2">
        <v>371</v>
      </c>
      <c r="I11080" s="2">
        <v>262</v>
      </c>
      <c r="J11080" s="2">
        <v>1374</v>
      </c>
      <c r="K11080" s="2">
        <v>1</v>
      </c>
      <c r="L11080" s="2">
        <v>371</v>
      </c>
    </row>
    <row r="11081" spans="1:12" x14ac:dyDescent="0.25">
      <c r="A11081" s="4" t="str">
        <f>HYPERLINK("http://www.rosaceae.org/Prunus/Prunus_persica/p.persica_gdr_reftransV1_0001303","p.persica_gdr_reftransV1_0001303")</f>
        <v>p.persica_gdr_reftransV1_0001303</v>
      </c>
      <c r="B11081" s="2">
        <v>1525</v>
      </c>
      <c r="C11081" s="4" t="str">
        <f>HYPERLINK("http://www.uniprot.org/uniprot/M5VQL5","M5VQL5")</f>
        <v>M5VQL5</v>
      </c>
      <c r="D11081" s="2" t="s">
        <v>9415</v>
      </c>
      <c r="E11081" s="3">
        <v>0</v>
      </c>
      <c r="F11081" s="2">
        <v>1977</v>
      </c>
      <c r="G11081" s="2">
        <v>88</v>
      </c>
      <c r="H11081" s="2">
        <v>443</v>
      </c>
      <c r="I11081" s="2">
        <v>2</v>
      </c>
      <c r="J11081" s="2">
        <v>1330</v>
      </c>
      <c r="K11081" s="2">
        <v>42</v>
      </c>
      <c r="L11081" s="2">
        <v>433</v>
      </c>
    </row>
    <row r="11082" spans="1:12" x14ac:dyDescent="0.25">
      <c r="A11082" s="4" t="str">
        <f>HYPERLINK("http://www.rosaceae.org/Prunus/Prunus_persica/p.persica_gdr_reftransV1_0001653","p.persica_gdr_reftransV1_0001653")</f>
        <v>p.persica_gdr_reftransV1_0001653</v>
      </c>
      <c r="B11082" s="2">
        <v>688</v>
      </c>
      <c r="C11082" s="4" t="str">
        <f>HYPERLINK("http://www.uniprot.org/uniprot/M5WT41","M5WT41")</f>
        <v>M5WT41</v>
      </c>
      <c r="D11082" s="2" t="s">
        <v>5341</v>
      </c>
      <c r="E11082" s="3">
        <v>4.0599999999999997E-89</v>
      </c>
      <c r="F11082" s="2">
        <v>709</v>
      </c>
      <c r="G11082" s="2">
        <v>100</v>
      </c>
      <c r="H11082" s="2">
        <v>133</v>
      </c>
      <c r="I11082" s="2">
        <v>3</v>
      </c>
      <c r="J11082" s="2">
        <v>401</v>
      </c>
      <c r="K11082" s="2">
        <v>168</v>
      </c>
      <c r="L11082" s="2">
        <v>300</v>
      </c>
    </row>
    <row r="11083" spans="1:12" x14ac:dyDescent="0.25">
      <c r="A11083" s="4" t="str">
        <f>HYPERLINK("http://www.rosaceae.org/Prunus/Prunus_persica/p.persica_gdr_reftransV1_0002003","p.persica_gdr_reftransV1_0002003")</f>
        <v>p.persica_gdr_reftransV1_0002003</v>
      </c>
      <c r="B11083" s="2">
        <v>3114</v>
      </c>
      <c r="C11083" s="4" t="str">
        <f>HYPERLINK("http://www.uniprot.org/uniprot/M5W6G3","M5W6G3")</f>
        <v>M5W6G3</v>
      </c>
      <c r="D11083" s="2" t="s">
        <v>1787</v>
      </c>
      <c r="E11083" s="3">
        <v>0</v>
      </c>
      <c r="F11083" s="2">
        <v>3112</v>
      </c>
      <c r="G11083" s="2">
        <v>100</v>
      </c>
      <c r="H11083" s="2">
        <v>588</v>
      </c>
      <c r="I11083" s="2">
        <v>1079</v>
      </c>
      <c r="J11083" s="2">
        <v>2842</v>
      </c>
      <c r="K11083" s="2">
        <v>291</v>
      </c>
      <c r="L11083" s="2">
        <v>878</v>
      </c>
    </row>
    <row r="11084" spans="1:12" x14ac:dyDescent="0.25">
      <c r="A11084" s="4" t="str">
        <f>HYPERLINK("http://www.rosaceae.org/Prunus/Prunus_persica/p.persica_gdr_reftransV1_0002353","p.persica_gdr_reftransV1_0002353")</f>
        <v>p.persica_gdr_reftransV1_0002353</v>
      </c>
      <c r="B11084" s="2">
        <v>1597</v>
      </c>
      <c r="C11084" s="4" t="str">
        <f>HYPERLINK("http://www.uniprot.org/uniprot/M5XBH3","M5XBH3")</f>
        <v>M5XBH3</v>
      </c>
      <c r="D11084" s="2" t="s">
        <v>9416</v>
      </c>
      <c r="E11084" s="3">
        <v>0</v>
      </c>
      <c r="F11084" s="2">
        <v>1527</v>
      </c>
      <c r="G11084" s="2">
        <v>89</v>
      </c>
      <c r="H11084" s="2">
        <v>352</v>
      </c>
      <c r="I11084" s="2">
        <v>88</v>
      </c>
      <c r="J11084" s="2">
        <v>1140</v>
      </c>
      <c r="K11084" s="2">
        <v>1</v>
      </c>
      <c r="L11084" s="2">
        <v>351</v>
      </c>
    </row>
    <row r="11085" spans="1:12" x14ac:dyDescent="0.25">
      <c r="A11085" s="4" t="str">
        <f>HYPERLINK("http://www.rosaceae.org/Prunus/Prunus_persica/p.persica_gdr_reftransV1_0002703","p.persica_gdr_reftransV1_0002703")</f>
        <v>p.persica_gdr_reftransV1_0002703</v>
      </c>
      <c r="B11085" s="2">
        <v>677</v>
      </c>
      <c r="C11085" s="4" t="str">
        <f>HYPERLINK("http://www.uniprot.org/uniprot/M5VND9","M5VND9")</f>
        <v>M5VND9</v>
      </c>
      <c r="D11085" s="2" t="s">
        <v>9417</v>
      </c>
      <c r="E11085" s="3">
        <v>3.2399999999999998E-140</v>
      </c>
      <c r="F11085" s="2">
        <v>1082</v>
      </c>
      <c r="G11085" s="2">
        <v>100</v>
      </c>
      <c r="H11085" s="2">
        <v>200</v>
      </c>
      <c r="I11085" s="2">
        <v>76</v>
      </c>
      <c r="J11085" s="2">
        <v>675</v>
      </c>
      <c r="K11085" s="2">
        <v>274</v>
      </c>
      <c r="L11085" s="2">
        <v>473</v>
      </c>
    </row>
    <row r="11086" spans="1:12" x14ac:dyDescent="0.25">
      <c r="A11086" s="4" t="str">
        <f>HYPERLINK("http://www.rosaceae.org/Prunus/Prunus_persica/p.persica_gdr_reftransV1_0003053","p.persica_gdr_reftransV1_0003053")</f>
        <v>p.persica_gdr_reftransV1_0003053</v>
      </c>
      <c r="B11086" s="2">
        <v>1589</v>
      </c>
      <c r="C11086" s="4" t="str">
        <f>HYPERLINK("http://www.uniprot.org/uniprot/M5XR53","M5XR53")</f>
        <v>M5XR53</v>
      </c>
      <c r="D11086" s="2" t="s">
        <v>8157</v>
      </c>
      <c r="E11086" s="3">
        <v>0</v>
      </c>
      <c r="F11086" s="2">
        <v>2734</v>
      </c>
      <c r="G11086" s="2">
        <v>94</v>
      </c>
      <c r="H11086" s="2">
        <v>557</v>
      </c>
      <c r="I11086" s="2">
        <v>1</v>
      </c>
      <c r="J11086" s="2">
        <v>1587</v>
      </c>
      <c r="K11086" s="2">
        <v>196</v>
      </c>
      <c r="L11086" s="2">
        <v>752</v>
      </c>
    </row>
    <row r="11087" spans="1:12" x14ac:dyDescent="0.25">
      <c r="A11087" s="4" t="str">
        <f>HYPERLINK("http://www.rosaceae.org/Prunus/Prunus_persica/p.persica_gdr_reftransV1_0003403","p.persica_gdr_reftransV1_0003403")</f>
        <v>p.persica_gdr_reftransV1_0003403</v>
      </c>
      <c r="B11087" s="2">
        <v>1681</v>
      </c>
      <c r="C11087" s="4" t="str">
        <f>HYPERLINK("http://www.uniprot.org/uniprot/M5W683","M5W683")</f>
        <v>M5W683</v>
      </c>
      <c r="D11087" s="2" t="s">
        <v>9418</v>
      </c>
      <c r="E11087" s="3">
        <v>0</v>
      </c>
      <c r="F11087" s="2">
        <v>2575</v>
      </c>
      <c r="G11087" s="2">
        <v>100</v>
      </c>
      <c r="H11087" s="2">
        <v>519</v>
      </c>
      <c r="I11087" s="2">
        <v>2</v>
      </c>
      <c r="J11087" s="2">
        <v>1558</v>
      </c>
      <c r="K11087" s="2">
        <v>1</v>
      </c>
      <c r="L11087" s="2">
        <v>519</v>
      </c>
    </row>
    <row r="11088" spans="1:12" x14ac:dyDescent="0.25">
      <c r="A11088" s="4" t="str">
        <f>HYPERLINK("http://www.rosaceae.org/Prunus/Prunus_persica/p.persica_gdr_reftransV1_0003753","p.persica_gdr_reftransV1_0003753")</f>
        <v>p.persica_gdr_reftransV1_0003753</v>
      </c>
      <c r="B11088" s="2">
        <v>578</v>
      </c>
      <c r="C11088" s="4" t="str">
        <f>HYPERLINK("http://www.uniprot.org/uniprot/M5WZI3","M5WZI3")</f>
        <v>M5WZI3</v>
      </c>
      <c r="D11088" s="2" t="s">
        <v>9419</v>
      </c>
      <c r="E11088" s="3">
        <v>1.6399999999999999E-110</v>
      </c>
      <c r="F11088" s="2">
        <v>831</v>
      </c>
      <c r="G11088" s="2">
        <v>100</v>
      </c>
      <c r="H11088" s="2">
        <v>157</v>
      </c>
      <c r="I11088" s="2">
        <v>50</v>
      </c>
      <c r="J11088" s="2">
        <v>520</v>
      </c>
      <c r="K11088" s="2">
        <v>1</v>
      </c>
      <c r="L11088" s="2">
        <v>157</v>
      </c>
    </row>
    <row r="11089" spans="1:12" x14ac:dyDescent="0.25">
      <c r="A11089" s="4" t="str">
        <f>HYPERLINK("http://www.rosaceae.org/Prunus/Prunus_persica/p.persica_gdr_reftransV1_0004103","p.persica_gdr_reftransV1_0004103")</f>
        <v>p.persica_gdr_reftransV1_0004103</v>
      </c>
      <c r="B11089" s="2">
        <v>2180</v>
      </c>
      <c r="C11089" s="4" t="str">
        <f>HYPERLINK("http://www.uniprot.org/uniprot/M5XCV6","M5XCV6")</f>
        <v>M5XCV6</v>
      </c>
      <c r="D11089" s="2" t="s">
        <v>6790</v>
      </c>
      <c r="E11089" s="3">
        <v>0</v>
      </c>
      <c r="F11089" s="2">
        <v>1485</v>
      </c>
      <c r="G11089" s="2">
        <v>89</v>
      </c>
      <c r="H11089" s="2">
        <v>454</v>
      </c>
      <c r="I11089" s="2">
        <v>540</v>
      </c>
      <c r="J11089" s="2">
        <v>1901</v>
      </c>
      <c r="K11089" s="2">
        <v>1</v>
      </c>
      <c r="L11089" s="2">
        <v>409</v>
      </c>
    </row>
    <row r="11090" spans="1:12" x14ac:dyDescent="0.25">
      <c r="A11090" s="4" t="str">
        <f>HYPERLINK("http://www.rosaceae.org/Prunus/Prunus_persica/p.persica_gdr_reftransV1_0004453","p.persica_gdr_reftransV1_0004453")</f>
        <v>p.persica_gdr_reftransV1_0004453</v>
      </c>
      <c r="B11090" s="2">
        <v>715</v>
      </c>
      <c r="C11090" s="4" t="str">
        <f>HYPERLINK("http://www.uniprot.org/uniprot/M5XV96","M5XV96")</f>
        <v>M5XV96</v>
      </c>
      <c r="D11090" s="2" t="s">
        <v>9420</v>
      </c>
      <c r="E11090" s="3">
        <v>1.3499999999999999E-120</v>
      </c>
      <c r="F11090" s="2">
        <v>945</v>
      </c>
      <c r="G11090" s="2">
        <v>99</v>
      </c>
      <c r="H11090" s="2">
        <v>177</v>
      </c>
      <c r="I11090" s="2">
        <v>185</v>
      </c>
      <c r="J11090" s="2">
        <v>715</v>
      </c>
      <c r="K11090" s="2">
        <v>444</v>
      </c>
      <c r="L11090" s="2">
        <v>620</v>
      </c>
    </row>
    <row r="11091" spans="1:12" x14ac:dyDescent="0.25">
      <c r="A11091" s="4" t="str">
        <f>HYPERLINK("http://www.rosaceae.org/Prunus/Prunus_persica/p.persica_gdr_reftransV1_0005503","p.persica_gdr_reftransV1_0005503")</f>
        <v>p.persica_gdr_reftransV1_0005503</v>
      </c>
      <c r="B11091" s="2">
        <v>599</v>
      </c>
      <c r="C11091" s="4" t="str">
        <f>HYPERLINK("http://www.uniprot.org/uniprot/M5WEF2","M5WEF2")</f>
        <v>M5WEF2</v>
      </c>
      <c r="D11091" s="2" t="s">
        <v>6764</v>
      </c>
      <c r="E11091" s="3">
        <v>4.1700000000000001E-83</v>
      </c>
      <c r="F11091" s="2">
        <v>704</v>
      </c>
      <c r="G11091" s="2">
        <v>100</v>
      </c>
      <c r="H11091" s="2">
        <v>135</v>
      </c>
      <c r="I11091" s="2">
        <v>2</v>
      </c>
      <c r="J11091" s="2">
        <v>406</v>
      </c>
      <c r="K11091" s="2">
        <v>1</v>
      </c>
      <c r="L11091" s="2">
        <v>135</v>
      </c>
    </row>
    <row r="11092" spans="1:12" x14ac:dyDescent="0.25">
      <c r="A11092" s="4" t="str">
        <f>HYPERLINK("http://www.rosaceae.org/Prunus/Prunus_persica/p.persica_gdr_reftransV1_0006203","p.persica_gdr_reftransV1_0006203")</f>
        <v>p.persica_gdr_reftransV1_0006203</v>
      </c>
      <c r="B11092" s="2">
        <v>534</v>
      </c>
      <c r="C11092" s="4" t="str">
        <f>HYPERLINK("http://www.uniprot.org/uniprot/M5W936","M5W936")</f>
        <v>M5W936</v>
      </c>
      <c r="D11092" s="2" t="s">
        <v>2387</v>
      </c>
      <c r="E11092" s="3">
        <v>1.5399999999999999E-91</v>
      </c>
      <c r="F11092" s="2">
        <v>745</v>
      </c>
      <c r="G11092" s="2">
        <v>100</v>
      </c>
      <c r="H11092" s="2">
        <v>139</v>
      </c>
      <c r="I11092" s="2">
        <v>3</v>
      </c>
      <c r="J11092" s="2">
        <v>419</v>
      </c>
      <c r="K11092" s="2">
        <v>215</v>
      </c>
      <c r="L11092" s="2">
        <v>353</v>
      </c>
    </row>
    <row r="11093" spans="1:12" x14ac:dyDescent="0.25">
      <c r="A11093" s="4" t="str">
        <f>HYPERLINK("http://www.rosaceae.org/Prunus/Prunus_persica/p.persica_gdr_reftransV1_0006553","p.persica_gdr_reftransV1_0006553")</f>
        <v>p.persica_gdr_reftransV1_0006553</v>
      </c>
      <c r="B11093" s="2">
        <v>444</v>
      </c>
      <c r="C11093" s="4" t="str">
        <f>HYPERLINK("http://www.uniprot.org/uniprot/M5W7R0","M5W7R0")</f>
        <v>M5W7R0</v>
      </c>
      <c r="D11093" s="2" t="s">
        <v>9421</v>
      </c>
      <c r="E11093" s="3">
        <v>3.6300000000000002E-80</v>
      </c>
      <c r="F11093" s="2">
        <v>634</v>
      </c>
      <c r="G11093" s="2">
        <v>100</v>
      </c>
      <c r="H11093" s="2">
        <v>122</v>
      </c>
      <c r="I11093" s="2">
        <v>3</v>
      </c>
      <c r="J11093" s="2">
        <v>368</v>
      </c>
      <c r="K11093" s="2">
        <v>81</v>
      </c>
      <c r="L11093" s="2">
        <v>202</v>
      </c>
    </row>
    <row r="11094" spans="1:12" x14ac:dyDescent="0.25">
      <c r="A11094" s="4" t="str">
        <f>HYPERLINK("http://www.rosaceae.org/Prunus/Prunus_persica/p.persica_gdr_reftransV1_0006903","p.persica_gdr_reftransV1_0006903")</f>
        <v>p.persica_gdr_reftransV1_0006903</v>
      </c>
      <c r="B11094" s="2">
        <v>966</v>
      </c>
      <c r="C11094" s="4" t="str">
        <f>HYPERLINK("http://www.uniprot.org/uniprot/A0A0B2SCQ2","A0A0B2SCQ2")</f>
        <v>A0A0B2SCQ2</v>
      </c>
      <c r="D11094" s="2" t="s">
        <v>4512</v>
      </c>
      <c r="E11094" s="3">
        <v>5.5000000000000001E-57</v>
      </c>
      <c r="F11094" s="2">
        <v>509</v>
      </c>
      <c r="G11094" s="2">
        <v>37</v>
      </c>
      <c r="H11094" s="2">
        <v>323</v>
      </c>
      <c r="I11094" s="2">
        <v>5</v>
      </c>
      <c r="J11094" s="2">
        <v>964</v>
      </c>
      <c r="K11094" s="2">
        <v>96</v>
      </c>
      <c r="L11094" s="2">
        <v>393</v>
      </c>
    </row>
    <row r="11095" spans="1:12" x14ac:dyDescent="0.25">
      <c r="A11095" s="4" t="str">
        <f>HYPERLINK("http://www.rosaceae.org/Prunus/Prunus_persica/p.persica_gdr_reftransV1_0007253","p.persica_gdr_reftransV1_0007253")</f>
        <v>p.persica_gdr_reftransV1_0007253</v>
      </c>
      <c r="B11095" s="2">
        <v>1570</v>
      </c>
      <c r="C11095" s="4" t="str">
        <f>HYPERLINK("http://www.uniprot.org/uniprot/M5XGD4","M5XGD4")</f>
        <v>M5XGD4</v>
      </c>
      <c r="D11095" s="2" t="s">
        <v>9422</v>
      </c>
      <c r="E11095" s="3">
        <v>0</v>
      </c>
      <c r="F11095" s="2">
        <v>1756</v>
      </c>
      <c r="G11095" s="2">
        <v>100</v>
      </c>
      <c r="H11095" s="2">
        <v>364</v>
      </c>
      <c r="I11095" s="2">
        <v>163</v>
      </c>
      <c r="J11095" s="2">
        <v>1254</v>
      </c>
      <c r="K11095" s="2">
        <v>1</v>
      </c>
      <c r="L11095" s="2">
        <v>364</v>
      </c>
    </row>
    <row r="11096" spans="1:12" x14ac:dyDescent="0.25">
      <c r="A11096" s="4" t="str">
        <f>HYPERLINK("http://www.rosaceae.org/Prunus/Prunus_persica/p.persica_gdr_reftransV1_0007603","p.persica_gdr_reftransV1_0007603")</f>
        <v>p.persica_gdr_reftransV1_0007603</v>
      </c>
      <c r="B11096" s="2">
        <v>715</v>
      </c>
      <c r="C11096" s="4" t="str">
        <f>HYPERLINK("http://www.uniprot.org/uniprot/M5WJ09","M5WJ09")</f>
        <v>M5WJ09</v>
      </c>
      <c r="D11096" s="2" t="s">
        <v>9423</v>
      </c>
      <c r="E11096" s="3">
        <v>2.3200000000000002E-100</v>
      </c>
      <c r="F11096" s="2">
        <v>784</v>
      </c>
      <c r="G11096" s="2">
        <v>100</v>
      </c>
      <c r="H11096" s="2">
        <v>149</v>
      </c>
      <c r="I11096" s="2">
        <v>3</v>
      </c>
      <c r="J11096" s="2">
        <v>449</v>
      </c>
      <c r="K11096" s="2">
        <v>167</v>
      </c>
      <c r="L11096" s="2">
        <v>315</v>
      </c>
    </row>
    <row r="11097" spans="1:12" x14ac:dyDescent="0.25">
      <c r="A11097" s="4" t="str">
        <f>HYPERLINK("http://www.rosaceae.org/Prunus/Prunus_persica/p.persica_gdr_reftransV1_0007953","p.persica_gdr_reftransV1_0007953")</f>
        <v>p.persica_gdr_reftransV1_0007953</v>
      </c>
      <c r="B11097" s="2">
        <v>1914</v>
      </c>
      <c r="C11097" s="4" t="str">
        <f>HYPERLINK("http://www.uniprot.org/uniprot/M5XCE4","M5XCE4")</f>
        <v>M5XCE4</v>
      </c>
      <c r="D11097" s="2" t="s">
        <v>9424</v>
      </c>
      <c r="E11097" s="3">
        <v>0</v>
      </c>
      <c r="F11097" s="2">
        <v>1613</v>
      </c>
      <c r="G11097" s="2">
        <v>98</v>
      </c>
      <c r="H11097" s="2">
        <v>418</v>
      </c>
      <c r="I11097" s="2">
        <v>358</v>
      </c>
      <c r="J11097" s="2">
        <v>1587</v>
      </c>
      <c r="K11097" s="2">
        <v>1</v>
      </c>
      <c r="L11097" s="2">
        <v>418</v>
      </c>
    </row>
    <row r="11098" spans="1:12" x14ac:dyDescent="0.25">
      <c r="A11098" s="4" t="str">
        <f>HYPERLINK("http://www.rosaceae.org/Prunus/Prunus_persica/p.persica_gdr_reftransV1_0008653","p.persica_gdr_reftransV1_0008653")</f>
        <v>p.persica_gdr_reftransV1_0008653</v>
      </c>
      <c r="B11098" s="2">
        <v>972</v>
      </c>
      <c r="C11098" s="4" t="str">
        <f>HYPERLINK("http://www.uniprot.org/uniprot/M5VKS1","M5VKS1")</f>
        <v>M5VKS1</v>
      </c>
      <c r="D11098" s="2" t="s">
        <v>9425</v>
      </c>
      <c r="E11098" s="3">
        <v>1.67E-133</v>
      </c>
      <c r="F11098" s="2">
        <v>1002</v>
      </c>
      <c r="G11098" s="2">
        <v>100</v>
      </c>
      <c r="H11098" s="2">
        <v>206</v>
      </c>
      <c r="I11098" s="2">
        <v>37</v>
      </c>
      <c r="J11098" s="2">
        <v>654</v>
      </c>
      <c r="K11098" s="2">
        <v>1</v>
      </c>
      <c r="L11098" s="2">
        <v>206</v>
      </c>
    </row>
    <row r="11099" spans="1:12" x14ac:dyDescent="0.25">
      <c r="A11099" s="4" t="str">
        <f>HYPERLINK("http://www.rosaceae.org/Prunus/Prunus_persica/p.persica_gdr_reftransV1_0009003","p.persica_gdr_reftransV1_0009003")</f>
        <v>p.persica_gdr_reftransV1_0009003</v>
      </c>
      <c r="B11099" s="2">
        <v>1430</v>
      </c>
      <c r="C11099" s="4" t="str">
        <f>HYPERLINK("http://www.uniprot.org/uniprot/M5W4A1","M5W4A1")</f>
        <v>M5W4A1</v>
      </c>
      <c r="D11099" s="2" t="s">
        <v>9426</v>
      </c>
      <c r="E11099" s="3">
        <v>8.0200000000000005E-180</v>
      </c>
      <c r="F11099" s="2">
        <v>1335</v>
      </c>
      <c r="G11099" s="2">
        <v>100</v>
      </c>
      <c r="H11099" s="2">
        <v>321</v>
      </c>
      <c r="I11099" s="2">
        <v>262</v>
      </c>
      <c r="J11099" s="2">
        <v>1224</v>
      </c>
      <c r="K11099" s="2">
        <v>1</v>
      </c>
      <c r="L11099" s="2">
        <v>321</v>
      </c>
    </row>
    <row r="11100" spans="1:12" x14ac:dyDescent="0.25">
      <c r="A11100" s="4" t="str">
        <f>HYPERLINK("http://www.rosaceae.org/Prunus/Prunus_persica/p.persica_gdr_reftransV1_0009703","p.persica_gdr_reftransV1_0009703")</f>
        <v>p.persica_gdr_reftransV1_0009703</v>
      </c>
      <c r="B11100" s="2">
        <v>2534</v>
      </c>
      <c r="C11100" s="4" t="str">
        <f>HYPERLINK("http://www.uniprot.org/uniprot/M5WIJ1","M5WIJ1")</f>
        <v>M5WIJ1</v>
      </c>
      <c r="D11100" s="2" t="s">
        <v>9427</v>
      </c>
      <c r="E11100" s="3">
        <v>0</v>
      </c>
      <c r="F11100" s="2">
        <v>2741</v>
      </c>
      <c r="G11100" s="2">
        <v>100</v>
      </c>
      <c r="H11100" s="2">
        <v>623</v>
      </c>
      <c r="I11100" s="2">
        <v>371</v>
      </c>
      <c r="J11100" s="2">
        <v>2239</v>
      </c>
      <c r="K11100" s="2">
        <v>1</v>
      </c>
      <c r="L11100" s="2">
        <v>623</v>
      </c>
    </row>
    <row r="11101" spans="1:12" x14ac:dyDescent="0.25">
      <c r="A11101" s="4" t="str">
        <f>HYPERLINK("http://www.rosaceae.org/Prunus/Prunus_persica/p.persica_gdr_reftransV1_0010053","p.persica_gdr_reftransV1_0010053")</f>
        <v>p.persica_gdr_reftransV1_0010053</v>
      </c>
      <c r="B11101" s="2">
        <v>960</v>
      </c>
      <c r="C11101" s="4" t="str">
        <f>HYPERLINK("http://www.uniprot.org/uniprot/M5W478","M5W478")</f>
        <v>M5W478</v>
      </c>
      <c r="D11101" s="2" t="s">
        <v>9428</v>
      </c>
      <c r="E11101" s="3">
        <v>2.7199999999999999E-80</v>
      </c>
      <c r="F11101" s="2">
        <v>641</v>
      </c>
      <c r="G11101" s="2">
        <v>100</v>
      </c>
      <c r="H11101" s="2">
        <v>122</v>
      </c>
      <c r="I11101" s="2">
        <v>331</v>
      </c>
      <c r="J11101" s="2">
        <v>696</v>
      </c>
      <c r="K11101" s="2">
        <v>1</v>
      </c>
      <c r="L11101" s="2">
        <v>122</v>
      </c>
    </row>
    <row r="11102" spans="1:12" x14ac:dyDescent="0.25">
      <c r="A11102" s="4" t="str">
        <f>HYPERLINK("http://www.rosaceae.org/Prunus/Prunus_persica/p.persica_gdr_reftransV1_0010753","p.persica_gdr_reftransV1_0010753")</f>
        <v>p.persica_gdr_reftransV1_0010753</v>
      </c>
      <c r="B11102" s="2">
        <v>650</v>
      </c>
      <c r="C11102" s="4" t="str">
        <f>HYPERLINK("http://www.uniprot.org/uniprot/M5XJU6","M5XJU6")</f>
        <v>M5XJU6</v>
      </c>
      <c r="D11102" s="2" t="s">
        <v>7228</v>
      </c>
      <c r="E11102" s="3">
        <v>2.52E-98</v>
      </c>
      <c r="F11102" s="2">
        <v>797</v>
      </c>
      <c r="G11102" s="2">
        <v>100</v>
      </c>
      <c r="H11102" s="2">
        <v>147</v>
      </c>
      <c r="I11102" s="2">
        <v>209</v>
      </c>
      <c r="J11102" s="2">
        <v>649</v>
      </c>
      <c r="K11102" s="2">
        <v>151</v>
      </c>
      <c r="L11102" s="2">
        <v>297</v>
      </c>
    </row>
    <row r="11103" spans="1:12" x14ac:dyDescent="0.25">
      <c r="A11103" s="4" t="str">
        <f>HYPERLINK("http://www.rosaceae.org/Prunus/Prunus_persica/p.persica_gdr_reftransV1_0011103","p.persica_gdr_reftransV1_0011103")</f>
        <v>p.persica_gdr_reftransV1_0011103</v>
      </c>
      <c r="B11103" s="2">
        <v>790</v>
      </c>
      <c r="C11103" s="4" t="str">
        <f>HYPERLINK("http://www.uniprot.org/uniprot/M5VSG2","M5VSG2")</f>
        <v>M5VSG2</v>
      </c>
      <c r="D11103" s="2" t="s">
        <v>9429</v>
      </c>
      <c r="E11103" s="3">
        <v>9.2400000000000008E-84</v>
      </c>
      <c r="F11103" s="2">
        <v>658</v>
      </c>
      <c r="G11103" s="2">
        <v>100</v>
      </c>
      <c r="H11103" s="2">
        <v>122</v>
      </c>
      <c r="I11103" s="2">
        <v>274</v>
      </c>
      <c r="J11103" s="2">
        <v>639</v>
      </c>
      <c r="K11103" s="2">
        <v>1</v>
      </c>
      <c r="L11103" s="2">
        <v>122</v>
      </c>
    </row>
    <row r="11104" spans="1:12" x14ac:dyDescent="0.25">
      <c r="A11104" s="4" t="str">
        <f>HYPERLINK("http://www.rosaceae.org/Prunus/Prunus_persica/p.persica_gdr_reftransV1_0011803","p.persica_gdr_reftransV1_0011803")</f>
        <v>p.persica_gdr_reftransV1_0011803</v>
      </c>
      <c r="B11104" s="2">
        <v>1721</v>
      </c>
      <c r="C11104" s="4" t="str">
        <f>HYPERLINK("http://www.uniprot.org/uniprot/M5XCW1","M5XCW1")</f>
        <v>M5XCW1</v>
      </c>
      <c r="D11104" s="2" t="s">
        <v>9430</v>
      </c>
      <c r="E11104" s="3">
        <v>0</v>
      </c>
      <c r="F11104" s="2">
        <v>1774</v>
      </c>
      <c r="G11104" s="2">
        <v>100</v>
      </c>
      <c r="H11104" s="2">
        <v>333</v>
      </c>
      <c r="I11104" s="2">
        <v>366</v>
      </c>
      <c r="J11104" s="2">
        <v>1364</v>
      </c>
      <c r="K11104" s="2">
        <v>1</v>
      </c>
      <c r="L11104" s="2">
        <v>333</v>
      </c>
    </row>
    <row r="11105" spans="1:12" x14ac:dyDescent="0.25">
      <c r="A11105" s="4" t="str">
        <f>HYPERLINK("http://www.rosaceae.org/Prunus/Prunus_persica/p.persica_gdr_reftransV1_0012153","p.persica_gdr_reftransV1_0012153")</f>
        <v>p.persica_gdr_reftransV1_0012153</v>
      </c>
      <c r="B11105" s="2">
        <v>2275</v>
      </c>
      <c r="C11105" s="4" t="str">
        <f>HYPERLINK("http://www.uniprot.org/uniprot/M5X4W1","M5X4W1")</f>
        <v>M5X4W1</v>
      </c>
      <c r="D11105" s="2" t="s">
        <v>9431</v>
      </c>
      <c r="E11105" s="3">
        <v>0</v>
      </c>
      <c r="F11105" s="2">
        <v>2112</v>
      </c>
      <c r="G11105" s="2">
        <v>100</v>
      </c>
      <c r="H11105" s="2">
        <v>453</v>
      </c>
      <c r="I11105" s="2">
        <v>591</v>
      </c>
      <c r="J11105" s="2">
        <v>1949</v>
      </c>
      <c r="K11105" s="2">
        <v>1</v>
      </c>
      <c r="L11105" s="2">
        <v>453</v>
      </c>
    </row>
    <row r="11106" spans="1:12" x14ac:dyDescent="0.25">
      <c r="A11106" s="4" t="str">
        <f>HYPERLINK("http://www.rosaceae.org/Prunus/Prunus_persica/p.persica_gdr_reftransV1_0012853","p.persica_gdr_reftransV1_0012853")</f>
        <v>p.persica_gdr_reftransV1_0012853</v>
      </c>
      <c r="B11106" s="2">
        <v>534</v>
      </c>
      <c r="C11106" s="4" t="str">
        <f>HYPERLINK("http://www.uniprot.org/uniprot/E3W0I3","E3W0I3")</f>
        <v>E3W0I3</v>
      </c>
      <c r="D11106" s="2" t="s">
        <v>3816</v>
      </c>
      <c r="E11106" s="3">
        <v>3.4200000000000002E-116</v>
      </c>
      <c r="F11106" s="2">
        <v>949</v>
      </c>
      <c r="G11106" s="2">
        <v>100</v>
      </c>
      <c r="H11106" s="2">
        <v>177</v>
      </c>
      <c r="I11106" s="2">
        <v>3</v>
      </c>
      <c r="J11106" s="2">
        <v>533</v>
      </c>
      <c r="K11106" s="2">
        <v>378</v>
      </c>
      <c r="L11106" s="2">
        <v>554</v>
      </c>
    </row>
    <row r="11107" spans="1:12" x14ac:dyDescent="0.25">
      <c r="A11107" s="4" t="str">
        <f>HYPERLINK("http://www.rosaceae.org/Prunus/Prunus_persica/p.persica_gdr_reftransV1_0014253","p.persica_gdr_reftransV1_0014253")</f>
        <v>p.persica_gdr_reftransV1_0014253</v>
      </c>
      <c r="B11107" s="2">
        <v>1575</v>
      </c>
      <c r="C11107" s="4" t="str">
        <f>HYPERLINK("http://www.uniprot.org/uniprot/M5WBI3","M5WBI3")</f>
        <v>M5WBI3</v>
      </c>
      <c r="D11107" s="2" t="s">
        <v>9432</v>
      </c>
      <c r="E11107" s="3">
        <v>0</v>
      </c>
      <c r="F11107" s="2">
        <v>1640</v>
      </c>
      <c r="G11107" s="2">
        <v>100</v>
      </c>
      <c r="H11107" s="2">
        <v>357</v>
      </c>
      <c r="I11107" s="2">
        <v>121</v>
      </c>
      <c r="J11107" s="2">
        <v>1191</v>
      </c>
      <c r="K11107" s="2">
        <v>1</v>
      </c>
      <c r="L11107" s="2">
        <v>357</v>
      </c>
    </row>
    <row r="11108" spans="1:12" x14ac:dyDescent="0.25">
      <c r="A11108" s="4" t="str">
        <f>HYPERLINK("http://www.rosaceae.org/Prunus/Prunus_persica/p.persica_gdr_reftransV1_0014953","p.persica_gdr_reftransV1_0014953")</f>
        <v>p.persica_gdr_reftransV1_0014953</v>
      </c>
      <c r="B11108" s="2">
        <v>1565</v>
      </c>
      <c r="C11108" s="4" t="str">
        <f>HYPERLINK("http://www.uniprot.org/uniprot/M5XFE8","M5XFE8")</f>
        <v>M5XFE8</v>
      </c>
      <c r="D11108" s="2" t="s">
        <v>9433</v>
      </c>
      <c r="E11108" s="3">
        <v>3.8E-169</v>
      </c>
      <c r="F11108" s="2">
        <v>1268</v>
      </c>
      <c r="G11108" s="2">
        <v>100</v>
      </c>
      <c r="H11108" s="2">
        <v>311</v>
      </c>
      <c r="I11108" s="2">
        <v>383</v>
      </c>
      <c r="J11108" s="2">
        <v>1315</v>
      </c>
      <c r="K11108" s="2">
        <v>1</v>
      </c>
      <c r="L11108" s="2">
        <v>311</v>
      </c>
    </row>
    <row r="11109" spans="1:12" x14ac:dyDescent="0.25">
      <c r="A11109" s="4" t="str">
        <f>HYPERLINK("http://www.rosaceae.org/Prunus/Prunus_persica/p.persica_gdr_reftransV1_0015303","p.persica_gdr_reftransV1_0015303")</f>
        <v>p.persica_gdr_reftransV1_0015303</v>
      </c>
      <c r="B11109" s="2">
        <v>1939</v>
      </c>
      <c r="C11109" s="4" t="str">
        <f>HYPERLINK("http://www.uniprot.org/uniprot/M5XCG4","M5XCG4")</f>
        <v>M5XCG4</v>
      </c>
      <c r="D11109" s="2" t="s">
        <v>9434</v>
      </c>
      <c r="E11109" s="3">
        <v>0</v>
      </c>
      <c r="F11109" s="2">
        <v>2406</v>
      </c>
      <c r="G11109" s="2">
        <v>100</v>
      </c>
      <c r="H11109" s="2">
        <v>447</v>
      </c>
      <c r="I11109" s="2">
        <v>346</v>
      </c>
      <c r="J11109" s="2">
        <v>1686</v>
      </c>
      <c r="K11109" s="2">
        <v>1</v>
      </c>
      <c r="L11109" s="2">
        <v>447</v>
      </c>
    </row>
    <row r="11110" spans="1:12" x14ac:dyDescent="0.25">
      <c r="A11110" s="4" t="str">
        <f>HYPERLINK("http://www.rosaceae.org/Prunus/Prunus_persica/p.persica_gdr_reftransV1_0018103","p.persica_gdr_reftransV1_0018103")</f>
        <v>p.persica_gdr_reftransV1_0018103</v>
      </c>
      <c r="B11110" s="2">
        <v>902</v>
      </c>
      <c r="C11110" s="4" t="str">
        <f>HYPERLINK("http://www.uniprot.org/uniprot/M5VSS3","M5VSS3")</f>
        <v>M5VSS3</v>
      </c>
      <c r="D11110" s="2" t="s">
        <v>9435</v>
      </c>
      <c r="E11110" s="3">
        <v>4.73E-60</v>
      </c>
      <c r="F11110" s="2">
        <v>504</v>
      </c>
      <c r="G11110" s="2">
        <v>100</v>
      </c>
      <c r="H11110" s="2">
        <v>114</v>
      </c>
      <c r="I11110" s="2">
        <v>190</v>
      </c>
      <c r="J11110" s="2">
        <v>531</v>
      </c>
      <c r="K11110" s="2">
        <v>1</v>
      </c>
      <c r="L11110" s="2">
        <v>114</v>
      </c>
    </row>
    <row r="11111" spans="1:12" x14ac:dyDescent="0.25">
      <c r="A11111" s="4" t="str">
        <f>HYPERLINK("http://www.rosaceae.org/Prunus/Prunus_persica/p.persica_gdr_reftransV1_0018453","p.persica_gdr_reftransV1_0018453")</f>
        <v>p.persica_gdr_reftransV1_0018453</v>
      </c>
      <c r="B11111" s="2">
        <v>722</v>
      </c>
      <c r="C11111" s="4" t="str">
        <f>HYPERLINK("http://www.uniprot.org/uniprot/M5WS26","M5WS26")</f>
        <v>M5WS26</v>
      </c>
      <c r="D11111" s="2" t="s">
        <v>2232</v>
      </c>
      <c r="E11111" s="3">
        <v>4.6700000000000003E-46</v>
      </c>
      <c r="F11111" s="2">
        <v>436</v>
      </c>
      <c r="G11111" s="2">
        <v>94</v>
      </c>
      <c r="H11111" s="2">
        <v>89</v>
      </c>
      <c r="I11111" s="2">
        <v>174</v>
      </c>
      <c r="J11111" s="2">
        <v>440</v>
      </c>
      <c r="K11111" s="2">
        <v>1</v>
      </c>
      <c r="L11111" s="2">
        <v>84</v>
      </c>
    </row>
    <row r="11112" spans="1:12" x14ac:dyDescent="0.25">
      <c r="A11112" s="4" t="str">
        <f>HYPERLINK("http://www.rosaceae.org/Prunus/Prunus_persica/p.persica_gdr_reftransV1_0020203","p.persica_gdr_reftransV1_0020203")</f>
        <v>p.persica_gdr_reftransV1_0020203</v>
      </c>
      <c r="B11112" s="2">
        <v>1749</v>
      </c>
      <c r="C11112" s="4" t="str">
        <f>HYPERLINK("http://www.uniprot.org/uniprot/M5Y5S1","M5Y5S1")</f>
        <v>M5Y5S1</v>
      </c>
      <c r="D11112" s="2" t="s">
        <v>9436</v>
      </c>
      <c r="E11112" s="3">
        <v>7.1599999999999997E-113</v>
      </c>
      <c r="F11112" s="2">
        <v>893</v>
      </c>
      <c r="G11112" s="2">
        <v>99</v>
      </c>
      <c r="H11112" s="2">
        <v>181</v>
      </c>
      <c r="I11112" s="2">
        <v>999</v>
      </c>
      <c r="J11112" s="2">
        <v>1541</v>
      </c>
      <c r="K11112" s="2">
        <v>62</v>
      </c>
      <c r="L11112" s="2">
        <v>242</v>
      </c>
    </row>
    <row r="11113" spans="1:12" x14ac:dyDescent="0.25">
      <c r="A11113" s="4" t="str">
        <f>HYPERLINK("http://www.rosaceae.org/Prunus/Prunus_persica/p.persica_gdr_reftransV1_0020903","p.persica_gdr_reftransV1_0020903")</f>
        <v>p.persica_gdr_reftransV1_0020903</v>
      </c>
      <c r="B11113" s="2">
        <v>5471</v>
      </c>
      <c r="C11113" s="4" t="str">
        <f>HYPERLINK("http://www.uniprot.org/uniprot/M5X9M7","M5X9M7")</f>
        <v>M5X9M7</v>
      </c>
      <c r="D11113" s="2" t="s">
        <v>9437</v>
      </c>
      <c r="E11113" s="3">
        <v>0</v>
      </c>
      <c r="F11113" s="2">
        <v>4928</v>
      </c>
      <c r="G11113" s="2">
        <v>94</v>
      </c>
      <c r="H11113" s="2">
        <v>1053</v>
      </c>
      <c r="I11113" s="2">
        <v>2012</v>
      </c>
      <c r="J11113" s="2">
        <v>5149</v>
      </c>
      <c r="K11113" s="2">
        <v>1</v>
      </c>
      <c r="L11113" s="2">
        <v>1008</v>
      </c>
    </row>
    <row r="11114" spans="1:12" x14ac:dyDescent="0.25">
      <c r="A11114" s="4" t="str">
        <f>HYPERLINK("http://www.rosaceae.org/Prunus/Prunus_persica/p.persica_gdr_reftransV1_0021253","p.persica_gdr_reftransV1_0021253")</f>
        <v>p.persica_gdr_reftransV1_0021253</v>
      </c>
      <c r="B11114" s="2">
        <v>1676</v>
      </c>
      <c r="C11114" s="4" t="str">
        <f>HYPERLINK("http://www.uniprot.org/uniprot/M5XPW2","M5XPW2")</f>
        <v>M5XPW2</v>
      </c>
      <c r="D11114" s="2" t="s">
        <v>9438</v>
      </c>
      <c r="E11114" s="3">
        <v>5.1399999999999997E-116</v>
      </c>
      <c r="F11114" s="2">
        <v>919</v>
      </c>
      <c r="G11114" s="2">
        <v>99</v>
      </c>
      <c r="H11114" s="2">
        <v>187</v>
      </c>
      <c r="I11114" s="2">
        <v>903</v>
      </c>
      <c r="J11114" s="2">
        <v>1463</v>
      </c>
      <c r="K11114" s="2">
        <v>126</v>
      </c>
      <c r="L11114" s="2">
        <v>312</v>
      </c>
    </row>
    <row r="11115" spans="1:12" x14ac:dyDescent="0.25">
      <c r="A11115" s="4" t="str">
        <f>HYPERLINK("http://www.rosaceae.org/Prunus/Prunus_persica/p.persica_gdr_reftransV1_0021953","p.persica_gdr_reftransV1_0021953")</f>
        <v>p.persica_gdr_reftransV1_0021953</v>
      </c>
      <c r="B11115" s="2">
        <v>3049</v>
      </c>
      <c r="C11115" s="4" t="str">
        <f>HYPERLINK("http://www.uniprot.org/uniprot/M5X0F4","M5X0F4")</f>
        <v>M5X0F4</v>
      </c>
      <c r="D11115" s="2" t="s">
        <v>9321</v>
      </c>
      <c r="E11115" s="3">
        <v>0</v>
      </c>
      <c r="F11115" s="2">
        <v>3219</v>
      </c>
      <c r="G11115" s="2">
        <v>100</v>
      </c>
      <c r="H11115" s="2">
        <v>636</v>
      </c>
      <c r="I11115" s="2">
        <v>385</v>
      </c>
      <c r="J11115" s="2">
        <v>2292</v>
      </c>
      <c r="K11115" s="2">
        <v>34</v>
      </c>
      <c r="L11115" s="2">
        <v>669</v>
      </c>
    </row>
    <row r="11116" spans="1:12" x14ac:dyDescent="0.25">
      <c r="A11116" s="4" t="str">
        <f>HYPERLINK("http://www.rosaceae.org/Prunus/Prunus_persica/p.persica_gdr_reftransV1_0022303","p.persica_gdr_reftransV1_0022303")</f>
        <v>p.persica_gdr_reftransV1_0022303</v>
      </c>
      <c r="B11116" s="2">
        <v>2979</v>
      </c>
      <c r="C11116" s="4" t="str">
        <f>HYPERLINK("http://www.uniprot.org/uniprot/M5Y3Y4","M5Y3Y4")</f>
        <v>M5Y3Y4</v>
      </c>
      <c r="D11116" s="2" t="s">
        <v>9439</v>
      </c>
      <c r="E11116" s="3">
        <v>0</v>
      </c>
      <c r="F11116" s="2">
        <v>4079</v>
      </c>
      <c r="G11116" s="2">
        <v>100</v>
      </c>
      <c r="H11116" s="2">
        <v>845</v>
      </c>
      <c r="I11116" s="2">
        <v>434</v>
      </c>
      <c r="J11116" s="2">
        <v>2968</v>
      </c>
      <c r="K11116" s="2">
        <v>1</v>
      </c>
      <c r="L11116" s="2">
        <v>845</v>
      </c>
    </row>
    <row r="11117" spans="1:12" x14ac:dyDescent="0.25">
      <c r="A11117" s="4" t="str">
        <f>HYPERLINK("http://www.rosaceae.org/Prunus/Prunus_persica/p.persica_gdr_reftransV1_0023003","p.persica_gdr_reftransV1_0023003")</f>
        <v>p.persica_gdr_reftransV1_0023003</v>
      </c>
      <c r="B11117" s="2">
        <v>1409</v>
      </c>
      <c r="C11117" s="4" t="str">
        <f>HYPERLINK("http://www.uniprot.org/uniprot/M5WGU8","M5WGU8")</f>
        <v>M5WGU8</v>
      </c>
      <c r="D11117" s="2" t="s">
        <v>9440</v>
      </c>
      <c r="E11117" s="3">
        <v>6.0899999999999997E-173</v>
      </c>
      <c r="F11117" s="2">
        <v>1286</v>
      </c>
      <c r="G11117" s="2">
        <v>100</v>
      </c>
      <c r="H11117" s="2">
        <v>279</v>
      </c>
      <c r="I11117" s="2">
        <v>251</v>
      </c>
      <c r="J11117" s="2">
        <v>1087</v>
      </c>
      <c r="K11117" s="2">
        <v>15</v>
      </c>
      <c r="L11117" s="2">
        <v>293</v>
      </c>
    </row>
    <row r="11118" spans="1:12" x14ac:dyDescent="0.25">
      <c r="A11118" s="4" t="str">
        <f>HYPERLINK("http://www.rosaceae.org/Prunus/Prunus_persica/p.persica_gdr_reftransV1_0023703","p.persica_gdr_reftransV1_0023703")</f>
        <v>p.persica_gdr_reftransV1_0023703</v>
      </c>
      <c r="B11118" s="2">
        <v>1878</v>
      </c>
      <c r="C11118" s="4" t="str">
        <f>HYPERLINK("http://www.uniprot.org/uniprot/M5VW21","M5VW21")</f>
        <v>M5VW21</v>
      </c>
      <c r="D11118" s="2" t="s">
        <v>9441</v>
      </c>
      <c r="E11118" s="3">
        <v>0</v>
      </c>
      <c r="F11118" s="2">
        <v>2935</v>
      </c>
      <c r="G11118" s="2">
        <v>99</v>
      </c>
      <c r="H11118" s="2">
        <v>585</v>
      </c>
      <c r="I11118" s="2">
        <v>3</v>
      </c>
      <c r="J11118" s="2">
        <v>1757</v>
      </c>
      <c r="K11118" s="2">
        <v>44</v>
      </c>
      <c r="L11118" s="2">
        <v>623</v>
      </c>
    </row>
    <row r="11119" spans="1:12" x14ac:dyDescent="0.25">
      <c r="A11119" s="4" t="str">
        <f>HYPERLINK("http://www.rosaceae.org/Prunus/Prunus_persica/p.persica_gdr_reftransV1_0024053","p.persica_gdr_reftransV1_0024053")</f>
        <v>p.persica_gdr_reftransV1_0024053</v>
      </c>
      <c r="B11119" s="2">
        <v>2717</v>
      </c>
      <c r="C11119" s="4" t="str">
        <f>HYPERLINK("http://www.uniprot.org/uniprot/M5WCU1","M5WCU1")</f>
        <v>M5WCU1</v>
      </c>
      <c r="D11119" s="2" t="s">
        <v>9442</v>
      </c>
      <c r="E11119" s="3">
        <v>0</v>
      </c>
      <c r="F11119" s="2">
        <v>4425</v>
      </c>
      <c r="G11119" s="2">
        <v>100</v>
      </c>
      <c r="H11119" s="2">
        <v>864</v>
      </c>
      <c r="I11119" s="2">
        <v>125</v>
      </c>
      <c r="J11119" s="2">
        <v>2716</v>
      </c>
      <c r="K11119" s="2">
        <v>35</v>
      </c>
      <c r="L11119" s="2">
        <v>898</v>
      </c>
    </row>
    <row r="11120" spans="1:12" x14ac:dyDescent="0.25">
      <c r="A11120" s="4" t="str">
        <f>HYPERLINK("http://www.rosaceae.org/Prunus/Prunus_persica/p.persica_gdr_reftransV1_0024403","p.persica_gdr_reftransV1_0024403")</f>
        <v>p.persica_gdr_reftransV1_0024403</v>
      </c>
      <c r="B11120" s="2">
        <v>2590</v>
      </c>
      <c r="C11120" s="4" t="str">
        <f>HYPERLINK("http://www.uniprot.org/uniprot/M5XLA0","M5XLA0")</f>
        <v>M5XLA0</v>
      </c>
      <c r="D11120" s="2" t="s">
        <v>9443</v>
      </c>
      <c r="E11120" s="3">
        <v>0</v>
      </c>
      <c r="F11120" s="2">
        <v>2169</v>
      </c>
      <c r="G11120" s="2">
        <v>97</v>
      </c>
      <c r="H11120" s="2">
        <v>454</v>
      </c>
      <c r="I11120" s="2">
        <v>358</v>
      </c>
      <c r="J11120" s="2">
        <v>1719</v>
      </c>
      <c r="K11120" s="2">
        <v>39</v>
      </c>
      <c r="L11120" s="2">
        <v>478</v>
      </c>
    </row>
    <row r="11121" spans="1:12" x14ac:dyDescent="0.25">
      <c r="A11121" s="4" t="str">
        <f>HYPERLINK("http://www.rosaceae.org/Prunus/Prunus_persica/p.persica_gdr_reftransV1_0024753","p.persica_gdr_reftransV1_0024753")</f>
        <v>p.persica_gdr_reftransV1_0024753</v>
      </c>
      <c r="B11121" s="2">
        <v>3820</v>
      </c>
      <c r="C11121" s="4" t="str">
        <f>HYPERLINK("http://www.uniprot.org/uniprot/M5VH20","M5VH20")</f>
        <v>M5VH20</v>
      </c>
      <c r="D11121" s="2" t="s">
        <v>9444</v>
      </c>
      <c r="E11121" s="3">
        <v>2.1300000000000001E-127</v>
      </c>
      <c r="F11121" s="2">
        <v>1058</v>
      </c>
      <c r="G11121" s="2">
        <v>99</v>
      </c>
      <c r="H11121" s="2">
        <v>199</v>
      </c>
      <c r="I11121" s="2">
        <v>447</v>
      </c>
      <c r="J11121" s="2">
        <v>1043</v>
      </c>
      <c r="K11121" s="2">
        <v>1</v>
      </c>
      <c r="L11121" s="2">
        <v>199</v>
      </c>
    </row>
    <row r="11122" spans="1:12" x14ac:dyDescent="0.25">
      <c r="A11122" s="4" t="str">
        <f>HYPERLINK("http://www.rosaceae.org/Prunus/Prunus_persica/p.persica_gdr_reftransV1_0025453","p.persica_gdr_reftransV1_0025453")</f>
        <v>p.persica_gdr_reftransV1_0025453</v>
      </c>
      <c r="B11122" s="2">
        <v>3987</v>
      </c>
      <c r="C11122" s="4" t="str">
        <f>HYPERLINK("http://www.uniprot.org/uniprot/M5WQJ0","M5WQJ0")</f>
        <v>M5WQJ0</v>
      </c>
      <c r="D11122" s="2" t="s">
        <v>9445</v>
      </c>
      <c r="E11122" s="3">
        <v>0</v>
      </c>
      <c r="F11122" s="2">
        <v>4365</v>
      </c>
      <c r="G11122" s="2">
        <v>94</v>
      </c>
      <c r="H11122" s="2">
        <v>921</v>
      </c>
      <c r="I11122" s="2">
        <v>1048</v>
      </c>
      <c r="J11122" s="2">
        <v>3810</v>
      </c>
      <c r="K11122" s="2">
        <v>1</v>
      </c>
      <c r="L11122" s="2">
        <v>921</v>
      </c>
    </row>
    <row r="11123" spans="1:12" x14ac:dyDescent="0.25">
      <c r="A11123" s="4" t="str">
        <f>HYPERLINK("http://www.rosaceae.org/Prunus/Prunus_persica/p.persica_gdr_reftransV1_0025803","p.persica_gdr_reftransV1_0025803")</f>
        <v>p.persica_gdr_reftransV1_0025803</v>
      </c>
      <c r="B11123" s="2">
        <v>1000</v>
      </c>
      <c r="C11123" s="4" t="str">
        <f>HYPERLINK("http://www.uniprot.org/uniprot/M5XZA3","M5XZA3")</f>
        <v>M5XZA3</v>
      </c>
      <c r="D11123" s="2" t="s">
        <v>9446</v>
      </c>
      <c r="E11123" s="3">
        <v>9.2100000000000002E-157</v>
      </c>
      <c r="F11123" s="2">
        <v>1157</v>
      </c>
      <c r="G11123" s="2">
        <v>100</v>
      </c>
      <c r="H11123" s="2">
        <v>216</v>
      </c>
      <c r="I11123" s="2">
        <v>106</v>
      </c>
      <c r="J11123" s="2">
        <v>753</v>
      </c>
      <c r="K11123" s="2">
        <v>1</v>
      </c>
      <c r="L11123" s="2">
        <v>216</v>
      </c>
    </row>
    <row r="11124" spans="1:12" x14ac:dyDescent="0.25">
      <c r="A11124" s="4" t="str">
        <f>HYPERLINK("http://www.rosaceae.org/Prunus/Prunus_persica/p.persica_gdr_reftransV1_0027903","p.persica_gdr_reftransV1_0027903")</f>
        <v>p.persica_gdr_reftransV1_0027903</v>
      </c>
      <c r="B11124" s="2">
        <v>1404</v>
      </c>
      <c r="C11124" s="4" t="str">
        <f>HYPERLINK("http://www.uniprot.org/uniprot/M5XWN4","M5XWN4")</f>
        <v>M5XWN4</v>
      </c>
      <c r="D11124" s="2" t="s">
        <v>9447</v>
      </c>
      <c r="E11124" s="3">
        <v>0</v>
      </c>
      <c r="F11124" s="2">
        <v>1662</v>
      </c>
      <c r="G11124" s="2">
        <v>100</v>
      </c>
      <c r="H11124" s="2">
        <v>340</v>
      </c>
      <c r="I11124" s="2">
        <v>328</v>
      </c>
      <c r="J11124" s="2">
        <v>1347</v>
      </c>
      <c r="K11124" s="2">
        <v>1</v>
      </c>
      <c r="L11124" s="2">
        <v>340</v>
      </c>
    </row>
    <row r="11125" spans="1:12" x14ac:dyDescent="0.25">
      <c r="A11125" s="4" t="str">
        <f>HYPERLINK("http://www.rosaceae.org/Prunus/Prunus_persica/p.persica_gdr_reftransV1_0029303","p.persica_gdr_reftransV1_0029303")</f>
        <v>p.persica_gdr_reftransV1_0029303</v>
      </c>
      <c r="B11125" s="2">
        <v>1651</v>
      </c>
      <c r="C11125" s="4" t="str">
        <f>HYPERLINK("http://www.uniprot.org/uniprot/M5X9Q5","M5X9Q5")</f>
        <v>M5X9Q5</v>
      </c>
      <c r="D11125" s="2" t="s">
        <v>9448</v>
      </c>
      <c r="E11125" s="3">
        <v>2.8100000000000001E-169</v>
      </c>
      <c r="F11125" s="2">
        <v>1265</v>
      </c>
      <c r="G11125" s="2">
        <v>100</v>
      </c>
      <c r="H11125" s="2">
        <v>241</v>
      </c>
      <c r="I11125" s="2">
        <v>137</v>
      </c>
      <c r="J11125" s="2">
        <v>859</v>
      </c>
      <c r="K11125" s="2">
        <v>1</v>
      </c>
      <c r="L11125" s="2">
        <v>241</v>
      </c>
    </row>
    <row r="11126" spans="1:12" x14ac:dyDescent="0.25">
      <c r="A11126" s="4" t="str">
        <f>HYPERLINK("http://www.rosaceae.org/Prunus/Prunus_persica/p.persica_gdr_reftransV1_0031753","p.persica_gdr_reftransV1_0031753")</f>
        <v>p.persica_gdr_reftransV1_0031753</v>
      </c>
      <c r="B11126" s="2">
        <v>642</v>
      </c>
      <c r="C11126" s="4" t="str">
        <f>HYPERLINK("http://www.uniprot.org/uniprot/M5WEV6","M5WEV6")</f>
        <v>M5WEV6</v>
      </c>
      <c r="D11126" s="2" t="s">
        <v>9449</v>
      </c>
      <c r="E11126" s="3">
        <v>6.8800000000000003E-81</v>
      </c>
      <c r="F11126" s="2">
        <v>662</v>
      </c>
      <c r="G11126" s="2">
        <v>99</v>
      </c>
      <c r="H11126" s="2">
        <v>124</v>
      </c>
      <c r="I11126" s="2">
        <v>271</v>
      </c>
      <c r="J11126" s="2">
        <v>642</v>
      </c>
      <c r="K11126" s="2">
        <v>300</v>
      </c>
      <c r="L11126" s="2">
        <v>423</v>
      </c>
    </row>
    <row r="11127" spans="1:12" x14ac:dyDescent="0.25">
      <c r="A11127" s="4" t="str">
        <f>HYPERLINK("http://www.rosaceae.org/Prunus/Prunus_persica/p.persica_gdr_reftransV1_0032103","p.persica_gdr_reftransV1_0032103")</f>
        <v>p.persica_gdr_reftransV1_0032103</v>
      </c>
      <c r="B11127" s="2">
        <v>3058</v>
      </c>
      <c r="C11127" s="4" t="str">
        <f>HYPERLINK("http://www.uniprot.org/uniprot/M5WZJ2","M5WZJ2")</f>
        <v>M5WZJ2</v>
      </c>
      <c r="D11127" s="2" t="s">
        <v>9450</v>
      </c>
      <c r="E11127" s="3">
        <v>8.5800000000000005E-132</v>
      </c>
      <c r="F11127" s="2">
        <v>1072</v>
      </c>
      <c r="G11127" s="2">
        <v>100</v>
      </c>
      <c r="H11127" s="2">
        <v>233</v>
      </c>
      <c r="I11127" s="2">
        <v>1991</v>
      </c>
      <c r="J11127" s="2">
        <v>2689</v>
      </c>
      <c r="K11127" s="2">
        <v>202</v>
      </c>
      <c r="L11127" s="2">
        <v>434</v>
      </c>
    </row>
    <row r="11128" spans="1:12" x14ac:dyDescent="0.25">
      <c r="A11128" s="4" t="str">
        <f>HYPERLINK("http://www.rosaceae.org/Prunus/Prunus_persica/p.persica_gdr_reftransV1_0032453","p.persica_gdr_reftransV1_0032453")</f>
        <v>p.persica_gdr_reftransV1_0032453</v>
      </c>
      <c r="B11128" s="2">
        <v>772</v>
      </c>
      <c r="C11128" s="4" t="str">
        <f>HYPERLINK("http://www.uniprot.org/uniprot/M5XAB9","M5XAB9")</f>
        <v>M5XAB9</v>
      </c>
      <c r="D11128" s="2" t="s">
        <v>9451</v>
      </c>
      <c r="E11128" s="3">
        <v>6.1599999999999995E-97</v>
      </c>
      <c r="F11128" s="2">
        <v>519</v>
      </c>
      <c r="G11128" s="2">
        <v>100</v>
      </c>
      <c r="H11128" s="2">
        <v>96</v>
      </c>
      <c r="I11128" s="2">
        <v>165</v>
      </c>
      <c r="J11128" s="2">
        <v>452</v>
      </c>
      <c r="K11128" s="2">
        <v>1</v>
      </c>
      <c r="L11128" s="2">
        <v>96</v>
      </c>
    </row>
    <row r="11129" spans="1:12" x14ac:dyDescent="0.25">
      <c r="A11129" s="4" t="str">
        <f>HYPERLINK("http://www.rosaceae.org/Prunus/Prunus_persica/p.persica_gdr_reftransV1_0034903","p.persica_gdr_reftransV1_0034903")</f>
        <v>p.persica_gdr_reftransV1_0034903</v>
      </c>
      <c r="B11129" s="2">
        <v>3157</v>
      </c>
      <c r="C11129" s="4" t="str">
        <f>HYPERLINK("http://www.uniprot.org/uniprot/M5WLW6","M5WLW6")</f>
        <v>M5WLW6</v>
      </c>
      <c r="D11129" s="2" t="s">
        <v>9452</v>
      </c>
      <c r="E11129" s="3">
        <v>0</v>
      </c>
      <c r="F11129" s="2">
        <v>2430</v>
      </c>
      <c r="G11129" s="2">
        <v>100</v>
      </c>
      <c r="H11129" s="2">
        <v>459</v>
      </c>
      <c r="I11129" s="2">
        <v>220</v>
      </c>
      <c r="J11129" s="2">
        <v>1596</v>
      </c>
      <c r="K11129" s="2">
        <v>1</v>
      </c>
      <c r="L11129" s="2">
        <v>459</v>
      </c>
    </row>
    <row r="11130" spans="1:12" x14ac:dyDescent="0.25">
      <c r="A11130" s="4" t="str">
        <f>HYPERLINK("http://www.rosaceae.org/Prunus/Prunus_persica/p.persica_gdr_reftransV1_0035253","p.persica_gdr_reftransV1_0035253")</f>
        <v>p.persica_gdr_reftransV1_0035253</v>
      </c>
      <c r="B11130" s="2">
        <v>2289</v>
      </c>
      <c r="C11130" s="4" t="str">
        <f>HYPERLINK("http://www.uniprot.org/uniprot/M5W5L0","M5W5L0")</f>
        <v>M5W5L0</v>
      </c>
      <c r="D11130" s="2" t="s">
        <v>9453</v>
      </c>
      <c r="E11130" s="3">
        <v>0</v>
      </c>
      <c r="F11130" s="2">
        <v>2117</v>
      </c>
      <c r="G11130" s="2">
        <v>100</v>
      </c>
      <c r="H11130" s="2">
        <v>485</v>
      </c>
      <c r="I11130" s="2">
        <v>512</v>
      </c>
      <c r="J11130" s="2">
        <v>1966</v>
      </c>
      <c r="K11130" s="2">
        <v>1</v>
      </c>
      <c r="L11130" s="2">
        <v>485</v>
      </c>
    </row>
    <row r="11131" spans="1:12" x14ac:dyDescent="0.25">
      <c r="A11131" s="4" t="str">
        <f>HYPERLINK("http://www.rosaceae.org/Prunus/Prunus_persica/p.persica_gdr_reftransV1_0037703","p.persica_gdr_reftransV1_0037703")</f>
        <v>p.persica_gdr_reftransV1_0037703</v>
      </c>
      <c r="B11131" s="2">
        <v>1826</v>
      </c>
      <c r="C11131" s="4" t="str">
        <f>HYPERLINK("http://www.uniprot.org/uniprot/M5X1T7","M5X1T7")</f>
        <v>M5X1T7</v>
      </c>
      <c r="D11131" s="2" t="s">
        <v>9454</v>
      </c>
      <c r="E11131" s="3">
        <v>0</v>
      </c>
      <c r="F11131" s="2">
        <v>1655</v>
      </c>
      <c r="G11131" s="2">
        <v>94</v>
      </c>
      <c r="H11131" s="2">
        <v>338</v>
      </c>
      <c r="I11131" s="2">
        <v>403</v>
      </c>
      <c r="J11131" s="2">
        <v>1416</v>
      </c>
      <c r="K11131" s="2">
        <v>1</v>
      </c>
      <c r="L11131" s="2">
        <v>318</v>
      </c>
    </row>
    <row r="11132" spans="1:12" x14ac:dyDescent="0.25">
      <c r="A11132" s="4" t="str">
        <f>HYPERLINK("http://www.rosaceae.org/Prunus/Prunus_persica/p.persica_gdr_reftransV1_0038403","p.persica_gdr_reftransV1_0038403")</f>
        <v>p.persica_gdr_reftransV1_0038403</v>
      </c>
      <c r="B11132" s="2">
        <v>3943</v>
      </c>
      <c r="C11132" s="4" t="str">
        <f>HYPERLINK("http://www.uniprot.org/uniprot/M5XF37","M5XF37")</f>
        <v>M5XF37</v>
      </c>
      <c r="D11132" s="2" t="s">
        <v>9455</v>
      </c>
      <c r="E11132" s="3">
        <v>0</v>
      </c>
      <c r="F11132" s="2">
        <v>2546</v>
      </c>
      <c r="G11132" s="2">
        <v>78</v>
      </c>
      <c r="H11132" s="2">
        <v>677</v>
      </c>
      <c r="I11132" s="2">
        <v>589</v>
      </c>
      <c r="J11132" s="2">
        <v>2445</v>
      </c>
      <c r="K11132" s="2">
        <v>163</v>
      </c>
      <c r="L11132" s="2">
        <v>801</v>
      </c>
    </row>
    <row r="11133" spans="1:12" x14ac:dyDescent="0.25">
      <c r="A11133" s="4" t="str">
        <f>HYPERLINK("http://www.rosaceae.org/Prunus/Prunus_persica/p.persica_gdr_reftransV1_0039103","p.persica_gdr_reftransV1_0039103")</f>
        <v>p.persica_gdr_reftransV1_0039103</v>
      </c>
      <c r="B11133" s="2">
        <v>2318</v>
      </c>
      <c r="C11133" s="4" t="str">
        <f>HYPERLINK("http://www.uniprot.org/uniprot/M5X5I2","M5X5I2")</f>
        <v>M5X5I2</v>
      </c>
      <c r="D11133" s="2" t="s">
        <v>1198</v>
      </c>
      <c r="E11133" s="3">
        <v>0</v>
      </c>
      <c r="F11133" s="2">
        <v>1979</v>
      </c>
      <c r="G11133" s="2">
        <v>100</v>
      </c>
      <c r="H11133" s="2">
        <v>360</v>
      </c>
      <c r="I11133" s="2">
        <v>814</v>
      </c>
      <c r="J11133" s="2">
        <v>1893</v>
      </c>
      <c r="K11133" s="2">
        <v>1</v>
      </c>
      <c r="L11133" s="2">
        <v>360</v>
      </c>
    </row>
    <row r="11134" spans="1:12" x14ac:dyDescent="0.25">
      <c r="A11134" s="4" t="str">
        <f>HYPERLINK("http://www.rosaceae.org/Prunus/Prunus_persica/p.persica_gdr_reftransV1_0043303","p.persica_gdr_reftransV1_0043303")</f>
        <v>p.persica_gdr_reftransV1_0043303</v>
      </c>
      <c r="B11134" s="2">
        <v>1148</v>
      </c>
      <c r="C11134" s="4" t="str">
        <f>HYPERLINK("http://www.uniprot.org/uniprot/M5WCT0","M5WCT0")</f>
        <v>M5WCT0</v>
      </c>
      <c r="D11134" s="2" t="s">
        <v>2272</v>
      </c>
      <c r="E11134" s="3">
        <v>0</v>
      </c>
      <c r="F11134" s="2">
        <v>2009</v>
      </c>
      <c r="G11134" s="2">
        <v>100</v>
      </c>
      <c r="H11134" s="2">
        <v>373</v>
      </c>
      <c r="I11134" s="2">
        <v>27</v>
      </c>
      <c r="J11134" s="2">
        <v>1145</v>
      </c>
      <c r="K11134" s="2">
        <v>1</v>
      </c>
      <c r="L11134" s="2">
        <v>373</v>
      </c>
    </row>
    <row r="11135" spans="1:12" x14ac:dyDescent="0.25">
      <c r="A11135" s="4" t="str">
        <f>HYPERLINK("http://www.rosaceae.org/Prunus/Prunus_persica/p.persica_gdr_reftransV1_0043653","p.persica_gdr_reftransV1_0043653")</f>
        <v>p.persica_gdr_reftransV1_0043653</v>
      </c>
      <c r="B11135" s="2">
        <v>970</v>
      </c>
      <c r="C11135" s="4" t="str">
        <f>HYPERLINK("http://www.uniprot.org/uniprot/M5WWF6","M5WWF6")</f>
        <v>M5WWF6</v>
      </c>
      <c r="D11135" s="2" t="s">
        <v>9456</v>
      </c>
      <c r="E11135" s="3">
        <v>7.5899999999999996E-178</v>
      </c>
      <c r="F11135" s="2">
        <v>1324</v>
      </c>
      <c r="G11135" s="2">
        <v>100</v>
      </c>
      <c r="H11135" s="2">
        <v>288</v>
      </c>
      <c r="I11135" s="2">
        <v>107</v>
      </c>
      <c r="J11135" s="2">
        <v>970</v>
      </c>
      <c r="K11135" s="2">
        <v>1</v>
      </c>
      <c r="L11135" s="2">
        <v>288</v>
      </c>
    </row>
    <row r="11136" spans="1:12" x14ac:dyDescent="0.25">
      <c r="A11136" s="4" t="str">
        <f>HYPERLINK("http://www.rosaceae.org/Prunus/Prunus_persica/p.persica_gdr_reftransV1_0044003","p.persica_gdr_reftransV1_0044003")</f>
        <v>p.persica_gdr_reftransV1_0044003</v>
      </c>
      <c r="B11136" s="2">
        <v>1293</v>
      </c>
      <c r="C11136" s="4" t="str">
        <f>HYPERLINK("http://www.uniprot.org/uniprot/M5XLR4","M5XLR4")</f>
        <v>M5XLR4</v>
      </c>
      <c r="D11136" s="2" t="s">
        <v>9457</v>
      </c>
      <c r="E11136" s="3">
        <v>0</v>
      </c>
      <c r="F11136" s="2">
        <v>1465</v>
      </c>
      <c r="G11136" s="2">
        <v>100</v>
      </c>
      <c r="H11136" s="2">
        <v>286</v>
      </c>
      <c r="I11136" s="2">
        <v>124</v>
      </c>
      <c r="J11136" s="2">
        <v>981</v>
      </c>
      <c r="K11136" s="2">
        <v>1</v>
      </c>
      <c r="L11136" s="2">
        <v>286</v>
      </c>
    </row>
    <row r="11137" spans="1:12" x14ac:dyDescent="0.25">
      <c r="A11137" s="4" t="str">
        <f>HYPERLINK("http://www.rosaceae.org/Prunus/Prunus_persica/p.persica_gdr_reftransV1_0044703","p.persica_gdr_reftransV1_0044703")</f>
        <v>p.persica_gdr_reftransV1_0044703</v>
      </c>
      <c r="B11137" s="2">
        <v>1152</v>
      </c>
      <c r="C11137" s="4" t="str">
        <f>HYPERLINK("http://www.uniprot.org/uniprot/M5VPM5","M5VPM5")</f>
        <v>M5VPM5</v>
      </c>
      <c r="D11137" s="2" t="s">
        <v>9458</v>
      </c>
      <c r="E11137" s="3">
        <v>0</v>
      </c>
      <c r="F11137" s="2">
        <v>1716</v>
      </c>
      <c r="G11137" s="2">
        <v>93</v>
      </c>
      <c r="H11137" s="2">
        <v>372</v>
      </c>
      <c r="I11137" s="2">
        <v>36</v>
      </c>
      <c r="J11137" s="2">
        <v>1151</v>
      </c>
      <c r="K11137" s="2">
        <v>1</v>
      </c>
      <c r="L11137" s="2">
        <v>372</v>
      </c>
    </row>
    <row r="11138" spans="1:12" x14ac:dyDescent="0.25">
      <c r="A11138" s="4" t="str">
        <f>HYPERLINK("http://www.rosaceae.org/Prunus/Prunus_persica/p.persica_gdr_reftransV1_0045403","p.persica_gdr_reftransV1_0045403")</f>
        <v>p.persica_gdr_reftransV1_0045403</v>
      </c>
      <c r="B11138" s="2">
        <v>1345</v>
      </c>
      <c r="C11138" s="4" t="str">
        <f>HYPERLINK("http://www.uniprot.org/uniprot/M5VSH4","M5VSH4")</f>
        <v>M5VSH4</v>
      </c>
      <c r="D11138" s="2" t="s">
        <v>9459</v>
      </c>
      <c r="E11138" s="3">
        <v>0</v>
      </c>
      <c r="F11138" s="2">
        <v>1602</v>
      </c>
      <c r="G11138" s="2">
        <v>100</v>
      </c>
      <c r="H11138" s="2">
        <v>316</v>
      </c>
      <c r="I11138" s="2">
        <v>178</v>
      </c>
      <c r="J11138" s="2">
        <v>1125</v>
      </c>
      <c r="K11138" s="2">
        <v>1</v>
      </c>
      <c r="L11138" s="2">
        <v>316</v>
      </c>
    </row>
    <row r="11139" spans="1:12" x14ac:dyDescent="0.25">
      <c r="A11139" s="4" t="str">
        <f>HYPERLINK("http://www.rosaceae.org/Prunus/Prunus_persica/p.persica_gdr_reftransV1_0045753","p.persica_gdr_reftransV1_0045753")</f>
        <v>p.persica_gdr_reftransV1_0045753</v>
      </c>
      <c r="B11139" s="2">
        <v>2392</v>
      </c>
      <c r="C11139" s="4" t="str">
        <f>HYPERLINK("http://www.uniprot.org/uniprot/M5W0J4","M5W0J4")</f>
        <v>M5W0J4</v>
      </c>
      <c r="D11139" s="2" t="s">
        <v>9460</v>
      </c>
      <c r="E11139" s="3">
        <v>0</v>
      </c>
      <c r="F11139" s="2">
        <v>2757</v>
      </c>
      <c r="G11139" s="2">
        <v>100</v>
      </c>
      <c r="H11139" s="2">
        <v>654</v>
      </c>
      <c r="I11139" s="2">
        <v>222</v>
      </c>
      <c r="J11139" s="2">
        <v>2183</v>
      </c>
      <c r="K11139" s="2">
        <v>83</v>
      </c>
      <c r="L11139" s="2">
        <v>736</v>
      </c>
    </row>
    <row r="11140" spans="1:12" x14ac:dyDescent="0.25">
      <c r="A11140" s="4" t="str">
        <f>HYPERLINK("http://www.rosaceae.org/Prunus/Prunus_persica/p.persica_gdr_reftransV1_0046103","p.persica_gdr_reftransV1_0046103")</f>
        <v>p.persica_gdr_reftransV1_0046103</v>
      </c>
      <c r="B11140" s="2">
        <v>1735</v>
      </c>
      <c r="C11140" s="4" t="str">
        <f>HYPERLINK("http://www.uniprot.org/uniprot/D7SLW2","D7SLW2")</f>
        <v>D7SLW2</v>
      </c>
      <c r="D11140" s="2" t="s">
        <v>9461</v>
      </c>
      <c r="E11140" s="3">
        <v>5.4100000000000002E-164</v>
      </c>
      <c r="F11140" s="2">
        <v>1248</v>
      </c>
      <c r="G11140" s="2">
        <v>73</v>
      </c>
      <c r="H11140" s="2">
        <v>335</v>
      </c>
      <c r="I11140" s="2">
        <v>242</v>
      </c>
      <c r="J11140" s="2">
        <v>1240</v>
      </c>
      <c r="K11140" s="2">
        <v>58</v>
      </c>
      <c r="L11140" s="2">
        <v>382</v>
      </c>
    </row>
    <row r="11141" spans="1:12" x14ac:dyDescent="0.25">
      <c r="A11141" s="4" t="str">
        <f>HYPERLINK("http://www.rosaceae.org/Prunus/Prunus_persica/p.persica_gdr_reftransV1_0046453","p.persica_gdr_reftransV1_0046453")</f>
        <v>p.persica_gdr_reftransV1_0046453</v>
      </c>
      <c r="B11141" s="2">
        <v>539</v>
      </c>
      <c r="C11141" s="4" t="str">
        <f>HYPERLINK("http://www.uniprot.org/uniprot/M5XQQ2","M5XQQ2")</f>
        <v>M5XQQ2</v>
      </c>
      <c r="D11141" s="2" t="s">
        <v>8464</v>
      </c>
      <c r="E11141" s="3">
        <v>1.7300000000000001E-58</v>
      </c>
      <c r="F11141" s="2">
        <v>529</v>
      </c>
      <c r="G11141" s="2">
        <v>99</v>
      </c>
      <c r="H11141" s="2">
        <v>98</v>
      </c>
      <c r="I11141" s="2">
        <v>246</v>
      </c>
      <c r="J11141" s="2">
        <v>539</v>
      </c>
      <c r="K11141" s="2">
        <v>786</v>
      </c>
      <c r="L11141" s="2">
        <v>883</v>
      </c>
    </row>
    <row r="11142" spans="1:12" x14ac:dyDescent="0.25">
      <c r="A11142" s="4" t="str">
        <f>HYPERLINK("http://www.rosaceae.org/Prunus/Prunus_persica/p.persica_gdr_reftransV1_0046803","p.persica_gdr_reftransV1_0046803")</f>
        <v>p.persica_gdr_reftransV1_0046803</v>
      </c>
      <c r="B11142" s="2">
        <v>315</v>
      </c>
      <c r="C11142" s="4" t="str">
        <f>HYPERLINK("http://www.uniprot.org/uniprot/M5VSD1","M5VSD1")</f>
        <v>M5VSD1</v>
      </c>
      <c r="D11142" s="2" t="s">
        <v>9462</v>
      </c>
      <c r="E11142" s="3">
        <v>1.7699999999999999E-63</v>
      </c>
      <c r="F11142" s="2">
        <v>558</v>
      </c>
      <c r="G11142" s="2">
        <v>100</v>
      </c>
      <c r="H11142" s="2">
        <v>104</v>
      </c>
      <c r="I11142" s="2">
        <v>2</v>
      </c>
      <c r="J11142" s="2">
        <v>313</v>
      </c>
      <c r="K11142" s="2">
        <v>423</v>
      </c>
      <c r="L11142" s="2">
        <v>526</v>
      </c>
    </row>
    <row r="11143" spans="1:12" x14ac:dyDescent="0.25">
      <c r="A11143" s="4" t="str">
        <f>HYPERLINK("http://www.rosaceae.org/Prunus/Prunus_persica/p.persica_gdr_reftransV1_0047153","p.persica_gdr_reftransV1_0047153")</f>
        <v>p.persica_gdr_reftransV1_0047153</v>
      </c>
      <c r="B11143" s="2">
        <v>529</v>
      </c>
      <c r="C11143" s="4" t="str">
        <f>HYPERLINK("http://www.uniprot.org/uniprot/M5VP47","M5VP47")</f>
        <v>M5VP47</v>
      </c>
      <c r="D11143" s="2" t="s">
        <v>9463</v>
      </c>
      <c r="E11143" s="3">
        <v>1.1399999999999999E-78</v>
      </c>
      <c r="F11143" s="2">
        <v>615</v>
      </c>
      <c r="G11143" s="2">
        <v>94</v>
      </c>
      <c r="H11143" s="2">
        <v>126</v>
      </c>
      <c r="I11143" s="2">
        <v>140</v>
      </c>
      <c r="J11143" s="2">
        <v>517</v>
      </c>
      <c r="K11143" s="2">
        <v>1</v>
      </c>
      <c r="L11143" s="2">
        <v>120</v>
      </c>
    </row>
    <row r="11144" spans="1:12" x14ac:dyDescent="0.25">
      <c r="A11144" s="4" t="str">
        <f>HYPERLINK("http://www.rosaceae.org/Prunus/Prunus_persica/p.persica_gdr_reftransV1_0047853","p.persica_gdr_reftransV1_0047853")</f>
        <v>p.persica_gdr_reftransV1_0047853</v>
      </c>
      <c r="B11144" s="2">
        <v>1446</v>
      </c>
      <c r="C11144" s="4" t="str">
        <f>HYPERLINK("http://www.uniprot.org/uniprot/M5XCN4","M5XCN4")</f>
        <v>M5XCN4</v>
      </c>
      <c r="D11144" s="2" t="s">
        <v>9464</v>
      </c>
      <c r="E11144" s="3">
        <v>0</v>
      </c>
      <c r="F11144" s="2">
        <v>1542</v>
      </c>
      <c r="G11144" s="2">
        <v>100</v>
      </c>
      <c r="H11144" s="2">
        <v>323</v>
      </c>
      <c r="I11144" s="2">
        <v>259</v>
      </c>
      <c r="J11144" s="2">
        <v>1227</v>
      </c>
      <c r="K11144" s="2">
        <v>3</v>
      </c>
      <c r="L11144" s="2">
        <v>325</v>
      </c>
    </row>
    <row r="11145" spans="1:12" x14ac:dyDescent="0.25">
      <c r="A11145" s="4" t="str">
        <f>HYPERLINK("http://www.rosaceae.org/Prunus/Prunus_persica/p.persica_gdr_reftransV1_0048203","p.persica_gdr_reftransV1_0048203")</f>
        <v>p.persica_gdr_reftransV1_0048203</v>
      </c>
      <c r="B11145" s="2">
        <v>1272</v>
      </c>
      <c r="C11145" s="4" t="str">
        <f>HYPERLINK("http://www.uniprot.org/uniprot/A0A0D2QN20","A0A0D2QN20")</f>
        <v>A0A0D2QN20</v>
      </c>
      <c r="D11145" s="2" t="s">
        <v>9465</v>
      </c>
      <c r="E11145" s="3">
        <v>6.2099999999999999E-163</v>
      </c>
      <c r="F11145" s="2">
        <v>1217</v>
      </c>
      <c r="G11145" s="2">
        <v>88</v>
      </c>
      <c r="H11145" s="2">
        <v>253</v>
      </c>
      <c r="I11145" s="2">
        <v>277</v>
      </c>
      <c r="J11145" s="2">
        <v>1035</v>
      </c>
      <c r="K11145" s="2">
        <v>60</v>
      </c>
      <c r="L11145" s="2">
        <v>311</v>
      </c>
    </row>
    <row r="11146" spans="1:12" x14ac:dyDescent="0.25">
      <c r="A11146" s="4" t="str">
        <f>HYPERLINK("http://www.rosaceae.org/Prunus/Prunus_persica/p.persica_gdr_reftransV1_0048903","p.persica_gdr_reftransV1_0048903")</f>
        <v>p.persica_gdr_reftransV1_0048903</v>
      </c>
      <c r="B11146" s="2">
        <v>716</v>
      </c>
      <c r="C11146" s="4" t="str">
        <f>HYPERLINK("http://www.uniprot.org/uniprot/M5XIV9","M5XIV9")</f>
        <v>M5XIV9</v>
      </c>
      <c r="D11146" s="2" t="s">
        <v>9466</v>
      </c>
      <c r="E11146" s="3">
        <v>1.9599999999999999E-107</v>
      </c>
      <c r="F11146" s="2">
        <v>815</v>
      </c>
      <c r="G11146" s="2">
        <v>100</v>
      </c>
      <c r="H11146" s="2">
        <v>152</v>
      </c>
      <c r="I11146" s="2">
        <v>114</v>
      </c>
      <c r="J11146" s="2">
        <v>569</v>
      </c>
      <c r="K11146" s="2">
        <v>1</v>
      </c>
      <c r="L11146" s="2">
        <v>152</v>
      </c>
    </row>
    <row r="11147" spans="1:12" x14ac:dyDescent="0.25">
      <c r="A11147" s="4" t="str">
        <f>HYPERLINK("http://www.rosaceae.org/Prunus/Prunus_persica/p.persica_gdr_reftransV1_0000954","p.persica_gdr_reftransV1_0000954")</f>
        <v>p.persica_gdr_reftransV1_0000954</v>
      </c>
      <c r="B11147" s="2">
        <v>3307</v>
      </c>
      <c r="C11147" s="4" t="str">
        <f>HYPERLINK("http://www.uniprot.org/uniprot/M5WSC5","M5WSC5")</f>
        <v>M5WSC5</v>
      </c>
      <c r="D11147" s="2" t="s">
        <v>9467</v>
      </c>
      <c r="E11147" s="3">
        <v>0</v>
      </c>
      <c r="F11147" s="2">
        <v>4954</v>
      </c>
      <c r="G11147" s="2">
        <v>100</v>
      </c>
      <c r="H11147" s="2">
        <v>1010</v>
      </c>
      <c r="I11147" s="2">
        <v>9</v>
      </c>
      <c r="J11147" s="2">
        <v>3035</v>
      </c>
      <c r="K11147" s="2">
        <v>1</v>
      </c>
      <c r="L11147" s="2">
        <v>1010</v>
      </c>
    </row>
    <row r="11148" spans="1:12" x14ac:dyDescent="0.25">
      <c r="A11148" s="4" t="str">
        <f>HYPERLINK("http://www.rosaceae.org/Prunus/Prunus_persica/p.persica_gdr_reftransV1_0001304","p.persica_gdr_reftransV1_0001304")</f>
        <v>p.persica_gdr_reftransV1_0001304</v>
      </c>
      <c r="B11148" s="2">
        <v>1790</v>
      </c>
      <c r="C11148" s="4" t="str">
        <f>HYPERLINK("http://www.uniprot.org/uniprot/M5XJ33","M5XJ33")</f>
        <v>M5XJ33</v>
      </c>
      <c r="D11148" s="2" t="s">
        <v>9468</v>
      </c>
      <c r="E11148" s="3">
        <v>0</v>
      </c>
      <c r="F11148" s="2">
        <v>2101</v>
      </c>
      <c r="G11148" s="2">
        <v>100</v>
      </c>
      <c r="H11148" s="2">
        <v>447</v>
      </c>
      <c r="I11148" s="2">
        <v>154</v>
      </c>
      <c r="J11148" s="2">
        <v>1494</v>
      </c>
      <c r="K11148" s="2">
        <v>1</v>
      </c>
      <c r="L11148" s="2">
        <v>447</v>
      </c>
    </row>
    <row r="11149" spans="1:12" x14ac:dyDescent="0.25">
      <c r="A11149" s="4" t="str">
        <f>HYPERLINK("http://www.rosaceae.org/Prunus/Prunus_persica/p.persica_gdr_reftransV1_0001654","p.persica_gdr_reftransV1_0001654")</f>
        <v>p.persica_gdr_reftransV1_0001654</v>
      </c>
      <c r="B11149" s="2">
        <v>2255</v>
      </c>
      <c r="C11149" s="4" t="str">
        <f>HYPERLINK("http://www.uniprot.org/uniprot/M5WLE4","M5WLE4")</f>
        <v>M5WLE4</v>
      </c>
      <c r="D11149" s="2" t="s">
        <v>9469</v>
      </c>
      <c r="E11149" s="3">
        <v>0</v>
      </c>
      <c r="F11149" s="2">
        <v>1492</v>
      </c>
      <c r="G11149" s="2">
        <v>100</v>
      </c>
      <c r="H11149" s="2">
        <v>280</v>
      </c>
      <c r="I11149" s="2">
        <v>3</v>
      </c>
      <c r="J11149" s="2">
        <v>842</v>
      </c>
      <c r="K11149" s="2">
        <v>131</v>
      </c>
      <c r="L11149" s="2">
        <v>410</v>
      </c>
    </row>
    <row r="11150" spans="1:12" x14ac:dyDescent="0.25">
      <c r="A11150" s="4" t="str">
        <f>HYPERLINK("http://www.rosaceae.org/Prunus/Prunus_persica/p.persica_gdr_reftransV1_0002354","p.persica_gdr_reftransV1_0002354")</f>
        <v>p.persica_gdr_reftransV1_0002354</v>
      </c>
      <c r="B11150" s="2">
        <v>1452</v>
      </c>
      <c r="C11150" s="4" t="str">
        <f>HYPERLINK("http://www.uniprot.org/uniprot/M5WBA5","M5WBA5")</f>
        <v>M5WBA5</v>
      </c>
      <c r="D11150" s="2" t="s">
        <v>224</v>
      </c>
      <c r="E11150" s="3">
        <v>0</v>
      </c>
      <c r="F11150" s="2">
        <v>1899</v>
      </c>
      <c r="G11150" s="2">
        <v>98</v>
      </c>
      <c r="H11150" s="2">
        <v>362</v>
      </c>
      <c r="I11150" s="2">
        <v>15</v>
      </c>
      <c r="J11150" s="2">
        <v>1100</v>
      </c>
      <c r="K11150" s="2">
        <v>19</v>
      </c>
      <c r="L11150" s="2">
        <v>380</v>
      </c>
    </row>
    <row r="11151" spans="1:12" x14ac:dyDescent="0.25">
      <c r="A11151" s="4" t="str">
        <f>HYPERLINK("http://www.rosaceae.org/Prunus/Prunus_persica/p.persica_gdr_reftransV1_0002704","p.persica_gdr_reftransV1_0002704")</f>
        <v>p.persica_gdr_reftransV1_0002704</v>
      </c>
      <c r="B11151" s="2">
        <v>545</v>
      </c>
      <c r="C11151" s="4" t="str">
        <f>HYPERLINK("http://www.uniprot.org/uniprot/M5W1N2","M5W1N2")</f>
        <v>M5W1N2</v>
      </c>
      <c r="D11151" s="2" t="s">
        <v>9470</v>
      </c>
      <c r="E11151" s="3">
        <v>4.1700000000000001E-125</v>
      </c>
      <c r="F11151" s="2">
        <v>965</v>
      </c>
      <c r="G11151" s="2">
        <v>100</v>
      </c>
      <c r="H11151" s="2">
        <v>181</v>
      </c>
      <c r="I11151" s="2">
        <v>3</v>
      </c>
      <c r="J11151" s="2">
        <v>545</v>
      </c>
      <c r="K11151" s="2">
        <v>354</v>
      </c>
      <c r="L11151" s="2">
        <v>534</v>
      </c>
    </row>
    <row r="11152" spans="1:12" x14ac:dyDescent="0.25">
      <c r="A11152" s="4" t="str">
        <f>HYPERLINK("http://www.rosaceae.org/Prunus/Prunus_persica/p.persica_gdr_reftransV1_0003054","p.persica_gdr_reftransV1_0003054")</f>
        <v>p.persica_gdr_reftransV1_0003054</v>
      </c>
      <c r="B11152" s="2">
        <v>1173</v>
      </c>
      <c r="C11152" s="4" t="str">
        <f>HYPERLINK("http://www.uniprot.org/uniprot/M5W1P0","M5W1P0")</f>
        <v>M5W1P0</v>
      </c>
      <c r="D11152" s="2" t="s">
        <v>9471</v>
      </c>
      <c r="E11152" s="3">
        <v>2.4E-101</v>
      </c>
      <c r="F11152" s="2">
        <v>790</v>
      </c>
      <c r="G11152" s="2">
        <v>100</v>
      </c>
      <c r="H11152" s="2">
        <v>148</v>
      </c>
      <c r="I11152" s="2">
        <v>351</v>
      </c>
      <c r="J11152" s="2">
        <v>794</v>
      </c>
      <c r="K11152" s="2">
        <v>1</v>
      </c>
      <c r="L11152" s="2">
        <v>148</v>
      </c>
    </row>
    <row r="11153" spans="1:12" x14ac:dyDescent="0.25">
      <c r="A11153" s="4" t="str">
        <f>HYPERLINK("http://www.rosaceae.org/Prunus/Prunus_persica/p.persica_gdr_reftransV1_0003404","p.persica_gdr_reftransV1_0003404")</f>
        <v>p.persica_gdr_reftransV1_0003404</v>
      </c>
      <c r="B11153" s="2">
        <v>1993</v>
      </c>
      <c r="C11153" s="4" t="str">
        <f>HYPERLINK("http://www.uniprot.org/uniprot/M5WBQ5","M5WBQ5")</f>
        <v>M5WBQ5</v>
      </c>
      <c r="D11153" s="2" t="s">
        <v>9472</v>
      </c>
      <c r="E11153" s="3">
        <v>0</v>
      </c>
      <c r="F11153" s="2">
        <v>2577</v>
      </c>
      <c r="G11153" s="2">
        <v>100</v>
      </c>
      <c r="H11153" s="2">
        <v>488</v>
      </c>
      <c r="I11153" s="2">
        <v>176</v>
      </c>
      <c r="J11153" s="2">
        <v>1639</v>
      </c>
      <c r="K11153" s="2">
        <v>1</v>
      </c>
      <c r="L11153" s="2">
        <v>488</v>
      </c>
    </row>
    <row r="11154" spans="1:12" x14ac:dyDescent="0.25">
      <c r="A11154" s="4" t="str">
        <f>HYPERLINK("http://www.rosaceae.org/Prunus/Prunus_persica/p.persica_gdr_reftransV1_0003754","p.persica_gdr_reftransV1_0003754")</f>
        <v>p.persica_gdr_reftransV1_0003754</v>
      </c>
      <c r="B11154" s="2">
        <v>475</v>
      </c>
      <c r="C11154" s="4" t="str">
        <f>HYPERLINK("http://www.uniprot.org/uniprot/M5WGT2","M5WGT2")</f>
        <v>M5WGT2</v>
      </c>
      <c r="D11154" s="2" t="s">
        <v>9473</v>
      </c>
      <c r="E11154" s="3">
        <v>8.7600000000000004E-94</v>
      </c>
      <c r="F11154" s="2">
        <v>776</v>
      </c>
      <c r="G11154" s="2">
        <v>100</v>
      </c>
      <c r="H11154" s="2">
        <v>157</v>
      </c>
      <c r="I11154" s="2">
        <v>3</v>
      </c>
      <c r="J11154" s="2">
        <v>473</v>
      </c>
      <c r="K11154" s="2">
        <v>382</v>
      </c>
      <c r="L11154" s="2">
        <v>538</v>
      </c>
    </row>
    <row r="11155" spans="1:12" x14ac:dyDescent="0.25">
      <c r="A11155" s="4" t="str">
        <f>HYPERLINK("http://www.rosaceae.org/Prunus/Prunus_persica/p.persica_gdr_reftransV1_0004104","p.persica_gdr_reftransV1_0004104")</f>
        <v>p.persica_gdr_reftransV1_0004104</v>
      </c>
      <c r="B11155" s="2">
        <v>1201</v>
      </c>
      <c r="C11155" s="4" t="str">
        <f>HYPERLINK("http://www.uniprot.org/uniprot/M5VS58","M5VS58")</f>
        <v>M5VS58</v>
      </c>
      <c r="D11155" s="2" t="s">
        <v>1111</v>
      </c>
      <c r="E11155" s="3">
        <v>7.8399999999999998E-93</v>
      </c>
      <c r="F11155" s="2">
        <v>737</v>
      </c>
      <c r="G11155" s="2">
        <v>100</v>
      </c>
      <c r="H11155" s="2">
        <v>172</v>
      </c>
      <c r="I11155" s="2">
        <v>493</v>
      </c>
      <c r="J11155" s="2">
        <v>1008</v>
      </c>
      <c r="K11155" s="2">
        <v>1</v>
      </c>
      <c r="L11155" s="2">
        <v>172</v>
      </c>
    </row>
    <row r="11156" spans="1:12" x14ac:dyDescent="0.25">
      <c r="A11156" s="4" t="str">
        <f>HYPERLINK("http://www.rosaceae.org/Prunus/Prunus_persica/p.persica_gdr_reftransV1_0004454","p.persica_gdr_reftransV1_0004454")</f>
        <v>p.persica_gdr_reftransV1_0004454</v>
      </c>
      <c r="B11156" s="2">
        <v>1852</v>
      </c>
      <c r="C11156" s="4" t="str">
        <f>HYPERLINK("http://www.uniprot.org/uniprot/M5X1G7","M5X1G7")</f>
        <v>M5X1G7</v>
      </c>
      <c r="D11156" s="2" t="s">
        <v>3411</v>
      </c>
      <c r="E11156" s="3">
        <v>0</v>
      </c>
      <c r="F11156" s="2">
        <v>1932</v>
      </c>
      <c r="G11156" s="2">
        <v>91</v>
      </c>
      <c r="H11156" s="2">
        <v>417</v>
      </c>
      <c r="I11156" s="2">
        <v>70</v>
      </c>
      <c r="J11156" s="2">
        <v>1320</v>
      </c>
      <c r="K11156" s="2">
        <v>1</v>
      </c>
      <c r="L11156" s="2">
        <v>383</v>
      </c>
    </row>
    <row r="11157" spans="1:12" x14ac:dyDescent="0.25">
      <c r="A11157" s="4" t="str">
        <f>HYPERLINK("http://www.rosaceae.org/Prunus/Prunus_persica/p.persica_gdr_reftransV1_0005154","p.persica_gdr_reftransV1_0005154")</f>
        <v>p.persica_gdr_reftransV1_0005154</v>
      </c>
      <c r="B11157" s="2">
        <v>450</v>
      </c>
      <c r="C11157" s="4" t="str">
        <f>HYPERLINK("http://www.uniprot.org/uniprot/M5XCU8","M5XCU8")</f>
        <v>M5XCU8</v>
      </c>
      <c r="D11157" s="2" t="s">
        <v>7143</v>
      </c>
      <c r="E11157" s="3">
        <v>6.6299999999999997E-58</v>
      </c>
      <c r="F11157" s="2">
        <v>492</v>
      </c>
      <c r="G11157" s="2">
        <v>98</v>
      </c>
      <c r="H11157" s="2">
        <v>110</v>
      </c>
      <c r="I11157" s="2">
        <v>42</v>
      </c>
      <c r="J11157" s="2">
        <v>371</v>
      </c>
      <c r="K11157" s="2">
        <v>1</v>
      </c>
      <c r="L11157" s="2">
        <v>110</v>
      </c>
    </row>
    <row r="11158" spans="1:12" x14ac:dyDescent="0.25">
      <c r="A11158" s="4" t="str">
        <f>HYPERLINK("http://www.rosaceae.org/Prunus/Prunus_persica/p.persica_gdr_reftransV1_0005504","p.persica_gdr_reftransV1_0005504")</f>
        <v>p.persica_gdr_reftransV1_0005504</v>
      </c>
      <c r="B11158" s="2">
        <v>1349</v>
      </c>
      <c r="C11158" s="4" t="str">
        <f>HYPERLINK("http://www.uniprot.org/uniprot/M5W1G8","M5W1G8")</f>
        <v>M5W1G8</v>
      </c>
      <c r="D11158" s="2" t="s">
        <v>8488</v>
      </c>
      <c r="E11158" s="3">
        <v>2.4599999999999999E-163</v>
      </c>
      <c r="F11158" s="2">
        <v>1215</v>
      </c>
      <c r="G11158" s="2">
        <v>100</v>
      </c>
      <c r="H11158" s="2">
        <v>243</v>
      </c>
      <c r="I11158" s="2">
        <v>455</v>
      </c>
      <c r="J11158" s="2">
        <v>1183</v>
      </c>
      <c r="K11158" s="2">
        <v>1</v>
      </c>
      <c r="L11158" s="2">
        <v>243</v>
      </c>
    </row>
    <row r="11159" spans="1:12" x14ac:dyDescent="0.25">
      <c r="A11159" s="4" t="str">
        <f>HYPERLINK("http://www.rosaceae.org/Prunus/Prunus_persica/p.persica_gdr_reftransV1_0005854","p.persica_gdr_reftransV1_0005854")</f>
        <v>p.persica_gdr_reftransV1_0005854</v>
      </c>
      <c r="B11159" s="2">
        <v>828</v>
      </c>
      <c r="C11159" s="4" t="str">
        <f>HYPERLINK("http://www.uniprot.org/uniprot/M5Y6G9","M5Y6G9")</f>
        <v>M5Y6G9</v>
      </c>
      <c r="D11159" s="2" t="s">
        <v>9474</v>
      </c>
      <c r="E11159" s="3">
        <v>3.0699999999999999E-98</v>
      </c>
      <c r="F11159" s="2">
        <v>776</v>
      </c>
      <c r="G11159" s="2">
        <v>100</v>
      </c>
      <c r="H11159" s="2">
        <v>144</v>
      </c>
      <c r="I11159" s="2">
        <v>110</v>
      </c>
      <c r="J11159" s="2">
        <v>541</v>
      </c>
      <c r="K11159" s="2">
        <v>1</v>
      </c>
      <c r="L11159" s="2">
        <v>144</v>
      </c>
    </row>
    <row r="11160" spans="1:12" x14ac:dyDescent="0.25">
      <c r="A11160" s="4" t="str">
        <f>HYPERLINK("http://www.rosaceae.org/Prunus/Prunus_persica/p.persica_gdr_reftransV1_0006204","p.persica_gdr_reftransV1_0006204")</f>
        <v>p.persica_gdr_reftransV1_0006204</v>
      </c>
      <c r="B11160" s="2">
        <v>773</v>
      </c>
      <c r="C11160" s="4" t="str">
        <f>HYPERLINK("http://www.uniprot.org/uniprot/M5WN87","M5WN87")</f>
        <v>M5WN87</v>
      </c>
      <c r="D11160" s="2" t="s">
        <v>9475</v>
      </c>
      <c r="E11160" s="3">
        <v>3.2899999999999998E-98</v>
      </c>
      <c r="F11160" s="2">
        <v>755</v>
      </c>
      <c r="G11160" s="2">
        <v>100</v>
      </c>
      <c r="H11160" s="2">
        <v>138</v>
      </c>
      <c r="I11160" s="2">
        <v>166</v>
      </c>
      <c r="J11160" s="2">
        <v>579</v>
      </c>
      <c r="K11160" s="2">
        <v>1</v>
      </c>
      <c r="L11160" s="2">
        <v>138</v>
      </c>
    </row>
    <row r="11161" spans="1:12" x14ac:dyDescent="0.25">
      <c r="A11161" s="4" t="str">
        <f>HYPERLINK("http://www.rosaceae.org/Prunus/Prunus_persica/p.persica_gdr_reftransV1_0006554","p.persica_gdr_reftransV1_0006554")</f>
        <v>p.persica_gdr_reftransV1_0006554</v>
      </c>
      <c r="B11161" s="2">
        <v>1103</v>
      </c>
      <c r="C11161" s="4" t="str">
        <f>HYPERLINK("http://www.uniprot.org/uniprot/M5X3M6","M5X3M6")</f>
        <v>M5X3M6</v>
      </c>
      <c r="D11161" s="2" t="s">
        <v>9476</v>
      </c>
      <c r="E11161" s="3">
        <v>2.48E-163</v>
      </c>
      <c r="F11161" s="2">
        <v>1222</v>
      </c>
      <c r="G11161" s="2">
        <v>100</v>
      </c>
      <c r="H11161" s="2">
        <v>282</v>
      </c>
      <c r="I11161" s="2">
        <v>256</v>
      </c>
      <c r="J11161" s="2">
        <v>1101</v>
      </c>
      <c r="K11161" s="2">
        <v>110</v>
      </c>
      <c r="L11161" s="2">
        <v>391</v>
      </c>
    </row>
    <row r="11162" spans="1:12" x14ac:dyDescent="0.25">
      <c r="A11162" s="4" t="str">
        <f>HYPERLINK("http://www.rosaceae.org/Prunus/Prunus_persica/p.persica_gdr_reftransV1_0007254","p.persica_gdr_reftransV1_0007254")</f>
        <v>p.persica_gdr_reftransV1_0007254</v>
      </c>
      <c r="B11162" s="2">
        <v>804</v>
      </c>
      <c r="C11162" s="4" t="str">
        <f>HYPERLINK("http://www.uniprot.org/uniprot/M5VK63","M5VK63")</f>
        <v>M5VK63</v>
      </c>
      <c r="D11162" s="2" t="s">
        <v>9477</v>
      </c>
      <c r="E11162" s="3">
        <v>1.16E-110</v>
      </c>
      <c r="F11162" s="2">
        <v>872</v>
      </c>
      <c r="G11162" s="2">
        <v>100</v>
      </c>
      <c r="H11162" s="2">
        <v>200</v>
      </c>
      <c r="I11162" s="2">
        <v>203</v>
      </c>
      <c r="J11162" s="2">
        <v>802</v>
      </c>
      <c r="K11162" s="2">
        <v>301</v>
      </c>
      <c r="L11162" s="2">
        <v>500</v>
      </c>
    </row>
    <row r="11163" spans="1:12" x14ac:dyDescent="0.25">
      <c r="A11163" s="4" t="str">
        <f>HYPERLINK("http://www.rosaceae.org/Prunus/Prunus_persica/p.persica_gdr_reftransV1_0007954","p.persica_gdr_reftransV1_0007954")</f>
        <v>p.persica_gdr_reftransV1_0007954</v>
      </c>
      <c r="B11163" s="2">
        <v>1448</v>
      </c>
      <c r="C11163" s="4" t="str">
        <f>HYPERLINK("http://www.uniprot.org/uniprot/M5VIT6","M5VIT6")</f>
        <v>M5VIT6</v>
      </c>
      <c r="D11163" s="2" t="s">
        <v>8410</v>
      </c>
      <c r="E11163" s="3">
        <v>0</v>
      </c>
      <c r="F11163" s="2">
        <v>1579</v>
      </c>
      <c r="G11163" s="2">
        <v>100</v>
      </c>
      <c r="H11163" s="2">
        <v>331</v>
      </c>
      <c r="I11163" s="2">
        <v>324</v>
      </c>
      <c r="J11163" s="2">
        <v>1316</v>
      </c>
      <c r="K11163" s="2">
        <v>1</v>
      </c>
      <c r="L11163" s="2">
        <v>331</v>
      </c>
    </row>
    <row r="11164" spans="1:12" x14ac:dyDescent="0.25">
      <c r="A11164" s="4" t="str">
        <f>HYPERLINK("http://www.rosaceae.org/Prunus/Prunus_persica/p.persica_gdr_reftransV1_0008304","p.persica_gdr_reftransV1_0008304")</f>
        <v>p.persica_gdr_reftransV1_0008304</v>
      </c>
      <c r="B11164" s="2">
        <v>3989</v>
      </c>
      <c r="C11164" s="4" t="str">
        <f>HYPERLINK("http://www.uniprot.org/uniprot/M5WNQ8","M5WNQ8")</f>
        <v>M5WNQ8</v>
      </c>
      <c r="D11164" s="2" t="s">
        <v>9478</v>
      </c>
      <c r="E11164" s="3">
        <v>0</v>
      </c>
      <c r="F11164" s="2">
        <v>4259</v>
      </c>
      <c r="G11164" s="2">
        <v>97</v>
      </c>
      <c r="H11164" s="2">
        <v>871</v>
      </c>
      <c r="I11164" s="2">
        <v>932</v>
      </c>
      <c r="J11164" s="2">
        <v>3544</v>
      </c>
      <c r="K11164" s="2">
        <v>1</v>
      </c>
      <c r="L11164" s="2">
        <v>848</v>
      </c>
    </row>
    <row r="11165" spans="1:12" x14ac:dyDescent="0.25">
      <c r="A11165" s="4" t="str">
        <f>HYPERLINK("http://www.rosaceae.org/Prunus/Prunus_persica/p.persica_gdr_reftransV1_0008654","p.persica_gdr_reftransV1_0008654")</f>
        <v>p.persica_gdr_reftransV1_0008654</v>
      </c>
      <c r="B11165" s="2">
        <v>1824</v>
      </c>
      <c r="C11165" s="4" t="str">
        <f>HYPERLINK("http://www.uniprot.org/uniprot/M5X507","M5X507")</f>
        <v>M5X507</v>
      </c>
      <c r="D11165" s="2" t="s">
        <v>9479</v>
      </c>
      <c r="E11165" s="3">
        <v>3.7499999999999997E-129</v>
      </c>
      <c r="F11165" s="2">
        <v>998</v>
      </c>
      <c r="G11165" s="2">
        <v>100</v>
      </c>
      <c r="H11165" s="2">
        <v>185</v>
      </c>
      <c r="I11165" s="2">
        <v>1053</v>
      </c>
      <c r="J11165" s="2">
        <v>1607</v>
      </c>
      <c r="K11165" s="2">
        <v>1</v>
      </c>
      <c r="L11165" s="2">
        <v>185</v>
      </c>
    </row>
    <row r="11166" spans="1:12" x14ac:dyDescent="0.25">
      <c r="A11166" s="4" t="str">
        <f>HYPERLINK("http://www.rosaceae.org/Prunus/Prunus_persica/p.persica_gdr_reftransV1_0009004","p.persica_gdr_reftransV1_0009004")</f>
        <v>p.persica_gdr_reftransV1_0009004</v>
      </c>
      <c r="B11166" s="2">
        <v>1955</v>
      </c>
      <c r="C11166" s="4" t="str">
        <f>HYPERLINK("http://www.uniprot.org/uniprot/M5XLL2","M5XLL2")</f>
        <v>M5XLL2</v>
      </c>
      <c r="D11166" s="2" t="s">
        <v>9480</v>
      </c>
      <c r="E11166" s="3">
        <v>0</v>
      </c>
      <c r="F11166" s="2">
        <v>1531</v>
      </c>
      <c r="G11166" s="2">
        <v>100</v>
      </c>
      <c r="H11166" s="2">
        <v>303</v>
      </c>
      <c r="I11166" s="2">
        <v>573</v>
      </c>
      <c r="J11166" s="2">
        <v>1481</v>
      </c>
      <c r="K11166" s="2">
        <v>1</v>
      </c>
      <c r="L11166" s="2">
        <v>303</v>
      </c>
    </row>
    <row r="11167" spans="1:12" x14ac:dyDescent="0.25">
      <c r="A11167" s="4" t="str">
        <f>HYPERLINK("http://www.rosaceae.org/Prunus/Prunus_persica/p.persica_gdr_reftransV1_0009354","p.persica_gdr_reftransV1_0009354")</f>
        <v>p.persica_gdr_reftransV1_0009354</v>
      </c>
      <c r="B11167" s="2">
        <v>1859</v>
      </c>
      <c r="C11167" s="4" t="str">
        <f>HYPERLINK("http://www.uniprot.org/uniprot/D7T2D6","D7T2D6")</f>
        <v>D7T2D6</v>
      </c>
      <c r="D11167" s="2" t="s">
        <v>9481</v>
      </c>
      <c r="E11167" s="3">
        <v>1.4399999999999999E-102</v>
      </c>
      <c r="F11167" s="2">
        <v>846</v>
      </c>
      <c r="G11167" s="2">
        <v>88</v>
      </c>
      <c r="H11167" s="2">
        <v>181</v>
      </c>
      <c r="I11167" s="2">
        <v>257</v>
      </c>
      <c r="J11167" s="2">
        <v>799</v>
      </c>
      <c r="K11167" s="2">
        <v>260</v>
      </c>
      <c r="L11167" s="2">
        <v>440</v>
      </c>
    </row>
    <row r="11168" spans="1:12" x14ac:dyDescent="0.25">
      <c r="A11168" s="4" t="str">
        <f>HYPERLINK("http://www.rosaceae.org/Prunus/Prunus_persica/p.persica_gdr_reftransV1_0010754","p.persica_gdr_reftransV1_0010754")</f>
        <v>p.persica_gdr_reftransV1_0010754</v>
      </c>
      <c r="B11168" s="2">
        <v>1972</v>
      </c>
      <c r="C11168" s="4" t="str">
        <f>HYPERLINK("http://www.uniprot.org/uniprot/M5WTQ9","M5WTQ9")</f>
        <v>M5WTQ9</v>
      </c>
      <c r="D11168" s="2" t="s">
        <v>9482</v>
      </c>
      <c r="E11168" s="3">
        <v>0</v>
      </c>
      <c r="F11168" s="2">
        <v>2220</v>
      </c>
      <c r="G11168" s="2">
        <v>92</v>
      </c>
      <c r="H11168" s="2">
        <v>465</v>
      </c>
      <c r="I11168" s="2">
        <v>490</v>
      </c>
      <c r="J11168" s="2">
        <v>1881</v>
      </c>
      <c r="K11168" s="2">
        <v>1</v>
      </c>
      <c r="L11168" s="2">
        <v>433</v>
      </c>
    </row>
    <row r="11169" spans="1:12" x14ac:dyDescent="0.25">
      <c r="A11169" s="4" t="str">
        <f>HYPERLINK("http://www.rosaceae.org/Prunus/Prunus_persica/p.persica_gdr_reftransV1_0011104","p.persica_gdr_reftransV1_0011104")</f>
        <v>p.persica_gdr_reftransV1_0011104</v>
      </c>
      <c r="B11169" s="2">
        <v>2048</v>
      </c>
      <c r="C11169" s="4" t="str">
        <f>HYPERLINK("http://www.uniprot.org/uniprot/M5W2M8","M5W2M8")</f>
        <v>M5W2M8</v>
      </c>
      <c r="D11169" s="2" t="s">
        <v>9483</v>
      </c>
      <c r="E11169" s="3">
        <v>0</v>
      </c>
      <c r="F11169" s="2">
        <v>2099</v>
      </c>
      <c r="G11169" s="2">
        <v>100</v>
      </c>
      <c r="H11169" s="2">
        <v>447</v>
      </c>
      <c r="I11169" s="2">
        <v>358</v>
      </c>
      <c r="J11169" s="2">
        <v>1698</v>
      </c>
      <c r="K11169" s="2">
        <v>1</v>
      </c>
      <c r="L11169" s="2">
        <v>447</v>
      </c>
    </row>
    <row r="11170" spans="1:12" x14ac:dyDescent="0.25">
      <c r="A11170" s="4" t="str">
        <f>HYPERLINK("http://www.rosaceae.org/Prunus/Prunus_persica/p.persica_gdr_reftransV1_0011804","p.persica_gdr_reftransV1_0011804")</f>
        <v>p.persica_gdr_reftransV1_0011804</v>
      </c>
      <c r="B11170" s="2">
        <v>1391</v>
      </c>
      <c r="C11170" s="4" t="str">
        <f>HYPERLINK("http://www.uniprot.org/uniprot/M5WTP0","M5WTP0")</f>
        <v>M5WTP0</v>
      </c>
      <c r="D11170" s="2" t="s">
        <v>9484</v>
      </c>
      <c r="E11170" s="3">
        <v>1.6599999999999999E-139</v>
      </c>
      <c r="F11170" s="2">
        <v>1061</v>
      </c>
      <c r="G11170" s="2">
        <v>90</v>
      </c>
      <c r="H11170" s="2">
        <v>285</v>
      </c>
      <c r="I11170" s="2">
        <v>298</v>
      </c>
      <c r="J11170" s="2">
        <v>1152</v>
      </c>
      <c r="K11170" s="2">
        <v>1</v>
      </c>
      <c r="L11170" s="2">
        <v>257</v>
      </c>
    </row>
    <row r="11171" spans="1:12" x14ac:dyDescent="0.25">
      <c r="A11171" s="4" t="str">
        <f>HYPERLINK("http://www.rosaceae.org/Prunus/Prunus_persica/p.persica_gdr_reftransV1_0012504","p.persica_gdr_reftransV1_0012504")</f>
        <v>p.persica_gdr_reftransV1_0012504</v>
      </c>
      <c r="B11171" s="2">
        <v>1002</v>
      </c>
      <c r="C11171" s="4" t="str">
        <f>HYPERLINK("http://www.uniprot.org/uniprot/M5WHC4","M5WHC4")</f>
        <v>M5WHC4</v>
      </c>
      <c r="D11171" s="2" t="s">
        <v>9074</v>
      </c>
      <c r="E11171" s="3">
        <v>1.35E-8</v>
      </c>
      <c r="F11171" s="2">
        <v>155</v>
      </c>
      <c r="G11171" s="2">
        <v>97</v>
      </c>
      <c r="H11171" s="2">
        <v>32</v>
      </c>
      <c r="I11171" s="2">
        <v>787</v>
      </c>
      <c r="J11171" s="2">
        <v>882</v>
      </c>
      <c r="K11171" s="2">
        <v>34</v>
      </c>
      <c r="L11171" s="2">
        <v>65</v>
      </c>
    </row>
    <row r="11172" spans="1:12" x14ac:dyDescent="0.25">
      <c r="A11172" s="4" t="str">
        <f>HYPERLINK("http://www.rosaceae.org/Prunus/Prunus_persica/p.persica_gdr_reftransV1_0012854","p.persica_gdr_reftransV1_0012854")</f>
        <v>p.persica_gdr_reftransV1_0012854</v>
      </c>
      <c r="B11172" s="2">
        <v>1703</v>
      </c>
      <c r="C11172" s="4" t="str">
        <f>HYPERLINK("http://www.uniprot.org/uniprot/M5WTN1","M5WTN1")</f>
        <v>M5WTN1</v>
      </c>
      <c r="D11172" s="2" t="s">
        <v>9485</v>
      </c>
      <c r="E11172" s="3">
        <v>3.8400000000000003E-154</v>
      </c>
      <c r="F11172" s="2">
        <v>1168</v>
      </c>
      <c r="G11172" s="2">
        <v>100</v>
      </c>
      <c r="H11172" s="2">
        <v>260</v>
      </c>
      <c r="I11172" s="2">
        <v>201</v>
      </c>
      <c r="J11172" s="2">
        <v>980</v>
      </c>
      <c r="K11172" s="2">
        <v>1</v>
      </c>
      <c r="L11172" s="2">
        <v>260</v>
      </c>
    </row>
    <row r="11173" spans="1:12" x14ac:dyDescent="0.25">
      <c r="A11173" s="4" t="str">
        <f>HYPERLINK("http://www.rosaceae.org/Prunus/Prunus_persica/p.persica_gdr_reftransV1_0013554","p.persica_gdr_reftransV1_0013554")</f>
        <v>p.persica_gdr_reftransV1_0013554</v>
      </c>
      <c r="B11173" s="2">
        <v>2128</v>
      </c>
      <c r="C11173" s="4" t="str">
        <f>HYPERLINK("http://www.uniprot.org/uniprot/M5VPS6","M5VPS6")</f>
        <v>M5VPS6</v>
      </c>
      <c r="D11173" s="2" t="s">
        <v>9486</v>
      </c>
      <c r="E11173" s="3">
        <v>0</v>
      </c>
      <c r="F11173" s="2">
        <v>1880</v>
      </c>
      <c r="G11173" s="2">
        <v>100</v>
      </c>
      <c r="H11173" s="2">
        <v>363</v>
      </c>
      <c r="I11173" s="2">
        <v>522</v>
      </c>
      <c r="J11173" s="2">
        <v>1610</v>
      </c>
      <c r="K11173" s="2">
        <v>1</v>
      </c>
      <c r="L11173" s="2">
        <v>363</v>
      </c>
    </row>
    <row r="11174" spans="1:12" x14ac:dyDescent="0.25">
      <c r="A11174" s="4" t="str">
        <f>HYPERLINK("http://www.rosaceae.org/Prunus/Prunus_persica/p.persica_gdr_reftransV1_0013904","p.persica_gdr_reftransV1_0013904")</f>
        <v>p.persica_gdr_reftransV1_0013904</v>
      </c>
      <c r="B11174" s="2">
        <v>425</v>
      </c>
      <c r="C11174" s="4" t="str">
        <f>HYPERLINK("http://www.uniprot.org/uniprot/M5Y9P5","M5Y9P5")</f>
        <v>M5Y9P5</v>
      </c>
      <c r="D11174" s="2" t="s">
        <v>9487</v>
      </c>
      <c r="E11174" s="3">
        <v>1.4E-56</v>
      </c>
      <c r="F11174" s="2">
        <v>464</v>
      </c>
      <c r="G11174" s="2">
        <v>100</v>
      </c>
      <c r="H11174" s="2">
        <v>89</v>
      </c>
      <c r="I11174" s="2">
        <v>94</v>
      </c>
      <c r="J11174" s="2">
        <v>360</v>
      </c>
      <c r="K11174" s="2">
        <v>13</v>
      </c>
      <c r="L11174" s="2">
        <v>101</v>
      </c>
    </row>
    <row r="11175" spans="1:12" x14ac:dyDescent="0.25">
      <c r="A11175" s="4" t="str">
        <f>HYPERLINK("http://www.rosaceae.org/Prunus/Prunus_persica/p.persica_gdr_reftransV1_0014254","p.persica_gdr_reftransV1_0014254")</f>
        <v>p.persica_gdr_reftransV1_0014254</v>
      </c>
      <c r="B11175" s="2">
        <v>930</v>
      </c>
      <c r="C11175" s="4" t="str">
        <f>HYPERLINK("http://www.uniprot.org/uniprot/M5WD03","M5WD03")</f>
        <v>M5WD03</v>
      </c>
      <c r="D11175" s="2" t="s">
        <v>9488</v>
      </c>
      <c r="E11175" s="3">
        <v>9.2799999999999996E-125</v>
      </c>
      <c r="F11175" s="2">
        <v>940</v>
      </c>
      <c r="G11175" s="2">
        <v>100</v>
      </c>
      <c r="H11175" s="2">
        <v>186</v>
      </c>
      <c r="I11175" s="2">
        <v>130</v>
      </c>
      <c r="J11175" s="2">
        <v>687</v>
      </c>
      <c r="K11175" s="2">
        <v>1</v>
      </c>
      <c r="L11175" s="2">
        <v>186</v>
      </c>
    </row>
    <row r="11176" spans="1:12" x14ac:dyDescent="0.25">
      <c r="A11176" s="4" t="str">
        <f>HYPERLINK("http://www.rosaceae.org/Prunus/Prunus_persica/p.persica_gdr_reftransV1_0016004","p.persica_gdr_reftransV1_0016004")</f>
        <v>p.persica_gdr_reftransV1_0016004</v>
      </c>
      <c r="B11176" s="2">
        <v>1497</v>
      </c>
      <c r="C11176" s="4" t="str">
        <f>HYPERLINK("http://www.uniprot.org/uniprot/M5X3C5","M5X3C5")</f>
        <v>M5X3C5</v>
      </c>
      <c r="D11176" s="2" t="s">
        <v>9489</v>
      </c>
      <c r="E11176" s="3">
        <v>1.45E-142</v>
      </c>
      <c r="F11176" s="2">
        <v>1087</v>
      </c>
      <c r="G11176" s="2">
        <v>93</v>
      </c>
      <c r="H11176" s="2">
        <v>223</v>
      </c>
      <c r="I11176" s="2">
        <v>181</v>
      </c>
      <c r="J11176" s="2">
        <v>840</v>
      </c>
      <c r="K11176" s="2">
        <v>1</v>
      </c>
      <c r="L11176" s="2">
        <v>223</v>
      </c>
    </row>
    <row r="11177" spans="1:12" x14ac:dyDescent="0.25">
      <c r="A11177" s="4" t="str">
        <f>HYPERLINK("http://www.rosaceae.org/Prunus/Prunus_persica/p.persica_gdr_reftransV1_0016354","p.persica_gdr_reftransV1_0016354")</f>
        <v>p.persica_gdr_reftransV1_0016354</v>
      </c>
      <c r="B11177" s="2">
        <v>1569</v>
      </c>
      <c r="C11177" s="4" t="str">
        <f>HYPERLINK("http://www.uniprot.org/uniprot/M5Y2Y0","M5Y2Y0")</f>
        <v>M5Y2Y0</v>
      </c>
      <c r="D11177" s="2" t="s">
        <v>9490</v>
      </c>
      <c r="E11177" s="3">
        <v>0</v>
      </c>
      <c r="F11177" s="2">
        <v>1506</v>
      </c>
      <c r="G11177" s="2">
        <v>100</v>
      </c>
      <c r="H11177" s="2">
        <v>421</v>
      </c>
      <c r="I11177" s="2">
        <v>121</v>
      </c>
      <c r="J11177" s="2">
        <v>1383</v>
      </c>
      <c r="K11177" s="2">
        <v>1</v>
      </c>
      <c r="L11177" s="2">
        <v>421</v>
      </c>
    </row>
    <row r="11178" spans="1:12" x14ac:dyDescent="0.25">
      <c r="A11178" s="4" t="str">
        <f>HYPERLINK("http://www.rosaceae.org/Prunus/Prunus_persica/p.persica_gdr_reftransV1_0017054","p.persica_gdr_reftransV1_0017054")</f>
        <v>p.persica_gdr_reftransV1_0017054</v>
      </c>
      <c r="B11178" s="2">
        <v>2522</v>
      </c>
      <c r="C11178" s="4" t="str">
        <f>HYPERLINK("http://www.uniprot.org/uniprot/M5WFU5","M5WFU5")</f>
        <v>M5WFU5</v>
      </c>
      <c r="D11178" s="2" t="s">
        <v>9491</v>
      </c>
      <c r="E11178" s="3">
        <v>0</v>
      </c>
      <c r="F11178" s="2">
        <v>2887</v>
      </c>
      <c r="G11178" s="2">
        <v>97</v>
      </c>
      <c r="H11178" s="2">
        <v>621</v>
      </c>
      <c r="I11178" s="2">
        <v>306</v>
      </c>
      <c r="J11178" s="2">
        <v>2168</v>
      </c>
      <c r="K11178" s="2">
        <v>1</v>
      </c>
      <c r="L11178" s="2">
        <v>603</v>
      </c>
    </row>
    <row r="11179" spans="1:12" x14ac:dyDescent="0.25">
      <c r="A11179" s="4" t="str">
        <f>HYPERLINK("http://www.rosaceae.org/Prunus/Prunus_persica/p.persica_gdr_reftransV1_0019854","p.persica_gdr_reftransV1_0019854")</f>
        <v>p.persica_gdr_reftransV1_0019854</v>
      </c>
      <c r="B11179" s="2">
        <v>2879</v>
      </c>
      <c r="C11179" s="4" t="str">
        <f>HYPERLINK("http://www.uniprot.org/uniprot/M5XMJ8","M5XMJ8")</f>
        <v>M5XMJ8</v>
      </c>
      <c r="D11179" s="2" t="s">
        <v>6367</v>
      </c>
      <c r="E11179" s="3">
        <v>4.9700000000000001E-114</v>
      </c>
      <c r="F11179" s="2">
        <v>933</v>
      </c>
      <c r="G11179" s="2">
        <v>74</v>
      </c>
      <c r="H11179" s="2">
        <v>306</v>
      </c>
      <c r="I11179" s="2">
        <v>472</v>
      </c>
      <c r="J11179" s="2">
        <v>1389</v>
      </c>
      <c r="K11179" s="2">
        <v>31</v>
      </c>
      <c r="L11179" s="2">
        <v>270</v>
      </c>
    </row>
    <row r="11180" spans="1:12" x14ac:dyDescent="0.25">
      <c r="A11180" s="4" t="str">
        <f>HYPERLINK("http://www.rosaceae.org/Prunus/Prunus_persica/p.persica_gdr_reftransV1_0020204","p.persica_gdr_reftransV1_0020204")</f>
        <v>p.persica_gdr_reftransV1_0020204</v>
      </c>
      <c r="B11180" s="2">
        <v>1919</v>
      </c>
      <c r="C11180" s="4" t="str">
        <f>HYPERLINK("http://www.uniprot.org/uniprot/M5WGW6","M5WGW6")</f>
        <v>M5WGW6</v>
      </c>
      <c r="D11180" s="2" t="s">
        <v>9492</v>
      </c>
      <c r="E11180" s="3">
        <v>0</v>
      </c>
      <c r="F11180" s="2">
        <v>2809</v>
      </c>
      <c r="G11180" s="2">
        <v>100</v>
      </c>
      <c r="H11180" s="2">
        <v>539</v>
      </c>
      <c r="I11180" s="2">
        <v>70</v>
      </c>
      <c r="J11180" s="2">
        <v>1686</v>
      </c>
      <c r="K11180" s="2">
        <v>1</v>
      </c>
      <c r="L11180" s="2">
        <v>539</v>
      </c>
    </row>
    <row r="11181" spans="1:12" x14ac:dyDescent="0.25">
      <c r="A11181" s="4" t="str">
        <f>HYPERLINK("http://www.rosaceae.org/Prunus/Prunus_persica/p.persica_gdr_reftransV1_0021254","p.persica_gdr_reftransV1_0021254")</f>
        <v>p.persica_gdr_reftransV1_0021254</v>
      </c>
      <c r="B11181" s="2">
        <v>3065</v>
      </c>
      <c r="C11181" s="4" t="str">
        <f>HYPERLINK("http://www.uniprot.org/uniprot/M5WZ41","M5WZ41")</f>
        <v>M5WZ41</v>
      </c>
      <c r="D11181" s="2" t="s">
        <v>9493</v>
      </c>
      <c r="E11181" s="3">
        <v>0</v>
      </c>
      <c r="F11181" s="2">
        <v>3551</v>
      </c>
      <c r="G11181" s="2">
        <v>100</v>
      </c>
      <c r="H11181" s="2">
        <v>696</v>
      </c>
      <c r="I11181" s="2">
        <v>388</v>
      </c>
      <c r="J11181" s="2">
        <v>2475</v>
      </c>
      <c r="K11181" s="2">
        <v>1</v>
      </c>
      <c r="L11181" s="2">
        <v>696</v>
      </c>
    </row>
    <row r="11182" spans="1:12" x14ac:dyDescent="0.25">
      <c r="A11182" s="4" t="str">
        <f>HYPERLINK("http://www.rosaceae.org/Prunus/Prunus_persica/p.persica_gdr_reftransV1_0022304","p.persica_gdr_reftransV1_0022304")</f>
        <v>p.persica_gdr_reftransV1_0022304</v>
      </c>
      <c r="B11182" s="2">
        <v>2482</v>
      </c>
      <c r="C11182" s="4" t="str">
        <f>HYPERLINK("http://www.uniprot.org/uniprot/M5W9A5","M5W9A5")</f>
        <v>M5W9A5</v>
      </c>
      <c r="D11182" s="2" t="s">
        <v>9494</v>
      </c>
      <c r="E11182" s="3">
        <v>0</v>
      </c>
      <c r="F11182" s="2">
        <v>2669</v>
      </c>
      <c r="G11182" s="2">
        <v>97</v>
      </c>
      <c r="H11182" s="2">
        <v>559</v>
      </c>
      <c r="I11182" s="2">
        <v>283</v>
      </c>
      <c r="J11182" s="2">
        <v>1935</v>
      </c>
      <c r="K11182" s="2">
        <v>1</v>
      </c>
      <c r="L11182" s="2">
        <v>559</v>
      </c>
    </row>
    <row r="11183" spans="1:12" x14ac:dyDescent="0.25">
      <c r="A11183" s="4" t="str">
        <f>HYPERLINK("http://www.rosaceae.org/Prunus/Prunus_persica/p.persica_gdr_reftransV1_0022654","p.persica_gdr_reftransV1_0022654")</f>
        <v>p.persica_gdr_reftransV1_0022654</v>
      </c>
      <c r="B11183" s="2">
        <v>1227</v>
      </c>
      <c r="C11183" s="4" t="str">
        <f>HYPERLINK("http://www.uniprot.org/uniprot/M5WCM6","M5WCM6")</f>
        <v>M5WCM6</v>
      </c>
      <c r="D11183" s="2" t="s">
        <v>9495</v>
      </c>
      <c r="E11183" s="3">
        <v>4.0899999999999997E-119</v>
      </c>
      <c r="F11183" s="2">
        <v>917</v>
      </c>
      <c r="G11183" s="2">
        <v>100</v>
      </c>
      <c r="H11183" s="2">
        <v>176</v>
      </c>
      <c r="I11183" s="2">
        <v>503</v>
      </c>
      <c r="J11183" s="2">
        <v>1030</v>
      </c>
      <c r="K11183" s="2">
        <v>51</v>
      </c>
      <c r="L11183" s="2">
        <v>226</v>
      </c>
    </row>
    <row r="11184" spans="1:12" x14ac:dyDescent="0.25">
      <c r="A11184" s="4" t="str">
        <f>HYPERLINK("http://www.rosaceae.org/Prunus/Prunus_persica/p.persica_gdr_reftransV1_0023704","p.persica_gdr_reftransV1_0023704")</f>
        <v>p.persica_gdr_reftransV1_0023704</v>
      </c>
      <c r="B11184" s="2">
        <v>925</v>
      </c>
      <c r="C11184" s="4" t="str">
        <f>HYPERLINK("http://www.uniprot.org/uniprot/M5W0U6","M5W0U6")</f>
        <v>M5W0U6</v>
      </c>
      <c r="D11184" s="2" t="s">
        <v>9496</v>
      </c>
      <c r="E11184" s="3">
        <v>8.8200000000000004E-68</v>
      </c>
      <c r="F11184" s="2">
        <v>557</v>
      </c>
      <c r="G11184" s="2">
        <v>97</v>
      </c>
      <c r="H11184" s="2">
        <v>121</v>
      </c>
      <c r="I11184" s="2">
        <v>191</v>
      </c>
      <c r="J11184" s="2">
        <v>553</v>
      </c>
      <c r="K11184" s="2">
        <v>1</v>
      </c>
      <c r="L11184" s="2">
        <v>121</v>
      </c>
    </row>
    <row r="11185" spans="1:12" x14ac:dyDescent="0.25">
      <c r="A11185" s="4" t="str">
        <f>HYPERLINK("http://www.rosaceae.org/Prunus/Prunus_persica/p.persica_gdr_reftransV1_0024054","p.persica_gdr_reftransV1_0024054")</f>
        <v>p.persica_gdr_reftransV1_0024054</v>
      </c>
      <c r="B11185" s="2">
        <v>1562</v>
      </c>
      <c r="C11185" s="4" t="str">
        <f>HYPERLINK("http://www.uniprot.org/uniprot/M5WVN3","M5WVN3")</f>
        <v>M5WVN3</v>
      </c>
      <c r="D11185" s="2" t="s">
        <v>9497</v>
      </c>
      <c r="E11185" s="3">
        <v>2.5099999999999999E-67</v>
      </c>
      <c r="F11185" s="2">
        <v>574</v>
      </c>
      <c r="G11185" s="2">
        <v>100</v>
      </c>
      <c r="H11185" s="2">
        <v>108</v>
      </c>
      <c r="I11185" s="2">
        <v>379</v>
      </c>
      <c r="J11185" s="2">
        <v>702</v>
      </c>
      <c r="K11185" s="2">
        <v>49</v>
      </c>
      <c r="L11185" s="2">
        <v>156</v>
      </c>
    </row>
    <row r="11186" spans="1:12" x14ac:dyDescent="0.25">
      <c r="A11186" s="4" t="str">
        <f>HYPERLINK("http://www.rosaceae.org/Prunus/Prunus_persica/p.persica_gdr_reftransV1_0025804","p.persica_gdr_reftransV1_0025804")</f>
        <v>p.persica_gdr_reftransV1_0025804</v>
      </c>
      <c r="B11186" s="2">
        <v>1450</v>
      </c>
      <c r="C11186" s="4" t="str">
        <f>HYPERLINK("http://www.uniprot.org/uniprot/M5XFS9","M5XFS9")</f>
        <v>M5XFS9</v>
      </c>
      <c r="D11186" s="2" t="s">
        <v>9498</v>
      </c>
      <c r="E11186" s="3">
        <v>0</v>
      </c>
      <c r="F11186" s="2">
        <v>1791</v>
      </c>
      <c r="G11186" s="2">
        <v>87</v>
      </c>
      <c r="H11186" s="2">
        <v>413</v>
      </c>
      <c r="I11186" s="2">
        <v>137</v>
      </c>
      <c r="J11186" s="2">
        <v>1249</v>
      </c>
      <c r="K11186" s="2">
        <v>1</v>
      </c>
      <c r="L11186" s="2">
        <v>413</v>
      </c>
    </row>
    <row r="11187" spans="1:12" x14ac:dyDescent="0.25">
      <c r="A11187" s="4" t="str">
        <f>HYPERLINK("http://www.rosaceae.org/Prunus/Prunus_persica/p.persica_gdr_reftransV1_0026154","p.persica_gdr_reftransV1_0026154")</f>
        <v>p.persica_gdr_reftransV1_0026154</v>
      </c>
      <c r="B11187" s="2">
        <v>4283</v>
      </c>
      <c r="C11187" s="4" t="str">
        <f>HYPERLINK("http://www.uniprot.org/uniprot/M5XXB3","M5XXB3")</f>
        <v>M5XXB3</v>
      </c>
      <c r="D11187" s="2" t="s">
        <v>9499</v>
      </c>
      <c r="E11187" s="3">
        <v>0</v>
      </c>
      <c r="F11187" s="2">
        <v>2075</v>
      </c>
      <c r="G11187" s="2">
        <v>100</v>
      </c>
      <c r="H11187" s="2">
        <v>391</v>
      </c>
      <c r="I11187" s="2">
        <v>440</v>
      </c>
      <c r="J11187" s="2">
        <v>1612</v>
      </c>
      <c r="K11187" s="2">
        <v>1</v>
      </c>
      <c r="L11187" s="2">
        <v>391</v>
      </c>
    </row>
    <row r="11188" spans="1:12" x14ac:dyDescent="0.25">
      <c r="A11188" s="4" t="str">
        <f>HYPERLINK("http://www.rosaceae.org/Prunus/Prunus_persica/p.persica_gdr_reftransV1_0027204","p.persica_gdr_reftransV1_0027204")</f>
        <v>p.persica_gdr_reftransV1_0027204</v>
      </c>
      <c r="B11188" s="2">
        <v>810</v>
      </c>
      <c r="C11188" s="4" t="str">
        <f>HYPERLINK("http://www.uniprot.org/uniprot/M5W5Z6","M5W5Z6")</f>
        <v>M5W5Z6</v>
      </c>
      <c r="D11188" s="2" t="s">
        <v>3939</v>
      </c>
      <c r="E11188" s="3">
        <v>1.2300000000000001E-83</v>
      </c>
      <c r="F11188" s="2">
        <v>660</v>
      </c>
      <c r="G11188" s="2">
        <v>100</v>
      </c>
      <c r="H11188" s="2">
        <v>141</v>
      </c>
      <c r="I11188" s="2">
        <v>41</v>
      </c>
      <c r="J11188" s="2">
        <v>463</v>
      </c>
      <c r="K11188" s="2">
        <v>1</v>
      </c>
      <c r="L11188" s="2">
        <v>141</v>
      </c>
    </row>
    <row r="11189" spans="1:12" x14ac:dyDescent="0.25">
      <c r="A11189" s="4" t="str">
        <f>HYPERLINK("http://www.rosaceae.org/Prunus/Prunus_persica/p.persica_gdr_reftransV1_0027904","p.persica_gdr_reftransV1_0027904")</f>
        <v>p.persica_gdr_reftransV1_0027904</v>
      </c>
      <c r="B11189" s="2">
        <v>3948</v>
      </c>
      <c r="C11189" s="4" t="str">
        <f>HYPERLINK("http://www.uniprot.org/uniprot/M5X0Q3","M5X0Q3")</f>
        <v>M5X0Q3</v>
      </c>
      <c r="D11189" s="2" t="s">
        <v>9500</v>
      </c>
      <c r="E11189" s="3">
        <v>0</v>
      </c>
      <c r="F11189" s="2">
        <v>1697</v>
      </c>
      <c r="G11189" s="2">
        <v>96</v>
      </c>
      <c r="H11189" s="2">
        <v>330</v>
      </c>
      <c r="I11189" s="2">
        <v>2817</v>
      </c>
      <c r="J11189" s="2">
        <v>3806</v>
      </c>
      <c r="K11189" s="2">
        <v>1</v>
      </c>
      <c r="L11189" s="2">
        <v>330</v>
      </c>
    </row>
    <row r="11190" spans="1:12" x14ac:dyDescent="0.25">
      <c r="A11190" s="4" t="str">
        <f>HYPERLINK("http://www.rosaceae.org/Prunus/Prunus_persica/p.persica_gdr_reftransV1_0028954","p.persica_gdr_reftransV1_0028954")</f>
        <v>p.persica_gdr_reftransV1_0028954</v>
      </c>
      <c r="B11190" s="2">
        <v>432</v>
      </c>
      <c r="C11190" s="4" t="str">
        <f>HYPERLINK("http://www.uniprot.org/uniprot/M5WWJ6","M5WWJ6")</f>
        <v>M5WWJ6</v>
      </c>
      <c r="D11190" s="2" t="s">
        <v>1657</v>
      </c>
      <c r="E11190" s="3">
        <v>5.1500000000000002E-60</v>
      </c>
      <c r="F11190" s="2">
        <v>524</v>
      </c>
      <c r="G11190" s="2">
        <v>100</v>
      </c>
      <c r="H11190" s="2">
        <v>116</v>
      </c>
      <c r="I11190" s="2">
        <v>2</v>
      </c>
      <c r="J11190" s="2">
        <v>349</v>
      </c>
      <c r="K11190" s="2">
        <v>326</v>
      </c>
      <c r="L11190" s="2">
        <v>441</v>
      </c>
    </row>
    <row r="11191" spans="1:12" x14ac:dyDescent="0.25">
      <c r="A11191" s="4" t="str">
        <f>HYPERLINK("http://www.rosaceae.org/Prunus/Prunus_persica/p.persica_gdr_reftransV1_0030354","p.persica_gdr_reftransV1_0030354")</f>
        <v>p.persica_gdr_reftransV1_0030354</v>
      </c>
      <c r="B11191" s="2">
        <v>3460</v>
      </c>
      <c r="C11191" s="4" t="str">
        <f>HYPERLINK("http://www.uniprot.org/uniprot/M5XCA4","M5XCA4")</f>
        <v>M5XCA4</v>
      </c>
      <c r="D11191" s="2" t="s">
        <v>9501</v>
      </c>
      <c r="E11191" s="3">
        <v>0</v>
      </c>
      <c r="F11191" s="2">
        <v>3442</v>
      </c>
      <c r="G11191" s="2">
        <v>99</v>
      </c>
      <c r="H11191" s="2">
        <v>707</v>
      </c>
      <c r="I11191" s="2">
        <v>188</v>
      </c>
      <c r="J11191" s="2">
        <v>2302</v>
      </c>
      <c r="K11191" s="2">
        <v>28</v>
      </c>
      <c r="L11191" s="2">
        <v>734</v>
      </c>
    </row>
    <row r="11192" spans="1:12" x14ac:dyDescent="0.25">
      <c r="A11192" s="4" t="str">
        <f>HYPERLINK("http://www.rosaceae.org/Prunus/Prunus_persica/p.persica_gdr_reftransV1_0030704","p.persica_gdr_reftransV1_0030704")</f>
        <v>p.persica_gdr_reftransV1_0030704</v>
      </c>
      <c r="B11192" s="2">
        <v>1448</v>
      </c>
      <c r="C11192" s="4" t="str">
        <f>HYPERLINK("http://www.uniprot.org/uniprot/A0A067JU06","A0A067JU06")</f>
        <v>A0A067JU06</v>
      </c>
      <c r="D11192" s="2" t="s">
        <v>9502</v>
      </c>
      <c r="E11192" s="3">
        <v>0</v>
      </c>
      <c r="F11192" s="2">
        <v>1460</v>
      </c>
      <c r="G11192" s="2">
        <v>76</v>
      </c>
      <c r="H11192" s="2">
        <v>369</v>
      </c>
      <c r="I11192" s="2">
        <v>59</v>
      </c>
      <c r="J11192" s="2">
        <v>1156</v>
      </c>
      <c r="K11192" s="2">
        <v>3</v>
      </c>
      <c r="L11192" s="2">
        <v>371</v>
      </c>
    </row>
    <row r="11193" spans="1:12" x14ac:dyDescent="0.25">
      <c r="A11193" s="4" t="str">
        <f>HYPERLINK("http://www.rosaceae.org/Prunus/Prunus_persica/p.persica_gdr_reftransV1_0031404","p.persica_gdr_reftransV1_0031404")</f>
        <v>p.persica_gdr_reftransV1_0031404</v>
      </c>
      <c r="B11193" s="2">
        <v>776</v>
      </c>
      <c r="C11193" s="4" t="str">
        <f>HYPERLINK("http://www.uniprot.org/uniprot/A0A061EX08","A0A061EX08")</f>
        <v>A0A061EX08</v>
      </c>
      <c r="D11193" s="2" t="s">
        <v>9503</v>
      </c>
      <c r="E11193" s="3">
        <v>6.9300000000000003E-47</v>
      </c>
      <c r="F11193" s="2">
        <v>441</v>
      </c>
      <c r="G11193" s="2">
        <v>71</v>
      </c>
      <c r="H11193" s="2">
        <v>114</v>
      </c>
      <c r="I11193" s="2">
        <v>435</v>
      </c>
      <c r="J11193" s="2">
        <v>776</v>
      </c>
      <c r="K11193" s="2">
        <v>1</v>
      </c>
      <c r="L11193" s="2">
        <v>113</v>
      </c>
    </row>
    <row r="11194" spans="1:12" x14ac:dyDescent="0.25">
      <c r="A11194" s="4" t="str">
        <f>HYPERLINK("http://www.rosaceae.org/Prunus/Prunus_persica/p.persica_gdr_reftransV1_0033154","p.persica_gdr_reftransV1_0033154")</f>
        <v>p.persica_gdr_reftransV1_0033154</v>
      </c>
      <c r="B11194" s="2">
        <v>2788</v>
      </c>
      <c r="C11194" s="4" t="str">
        <f>HYPERLINK("http://www.uniprot.org/uniprot/M5VNV0","M5VNV0")</f>
        <v>M5VNV0</v>
      </c>
      <c r="D11194" s="2" t="s">
        <v>9504</v>
      </c>
      <c r="E11194" s="3">
        <v>0</v>
      </c>
      <c r="F11194" s="2">
        <v>2424</v>
      </c>
      <c r="G11194" s="2">
        <v>100</v>
      </c>
      <c r="H11194" s="2">
        <v>495</v>
      </c>
      <c r="I11194" s="2">
        <v>275</v>
      </c>
      <c r="J11194" s="2">
        <v>1759</v>
      </c>
      <c r="K11194" s="2">
        <v>1</v>
      </c>
      <c r="L11194" s="2">
        <v>495</v>
      </c>
    </row>
    <row r="11195" spans="1:12" x14ac:dyDescent="0.25">
      <c r="A11195" s="4" t="str">
        <f>HYPERLINK("http://www.rosaceae.org/Prunus/Prunus_persica/p.persica_gdr_reftransV1_0033504","p.persica_gdr_reftransV1_0033504")</f>
        <v>p.persica_gdr_reftransV1_0033504</v>
      </c>
      <c r="B11195" s="2">
        <v>1000</v>
      </c>
      <c r="C11195" s="4" t="str">
        <f>HYPERLINK("http://www.uniprot.org/uniprot/M5W053","M5W053")</f>
        <v>M5W053</v>
      </c>
      <c r="D11195" s="2" t="s">
        <v>9505</v>
      </c>
      <c r="E11195" s="3">
        <v>5.3299999999999996E-136</v>
      </c>
      <c r="F11195" s="2">
        <v>1019</v>
      </c>
      <c r="G11195" s="2">
        <v>100</v>
      </c>
      <c r="H11195" s="2">
        <v>205</v>
      </c>
      <c r="I11195" s="2">
        <v>269</v>
      </c>
      <c r="J11195" s="2">
        <v>883</v>
      </c>
      <c r="K11195" s="2">
        <v>1</v>
      </c>
      <c r="L11195" s="2">
        <v>205</v>
      </c>
    </row>
    <row r="11196" spans="1:12" x14ac:dyDescent="0.25">
      <c r="A11196" s="4" t="str">
        <f>HYPERLINK("http://www.rosaceae.org/Prunus/Prunus_persica/p.persica_gdr_reftransV1_0035954","p.persica_gdr_reftransV1_0035954")</f>
        <v>p.persica_gdr_reftransV1_0035954</v>
      </c>
      <c r="B11196" s="2">
        <v>3387</v>
      </c>
      <c r="C11196" s="4" t="str">
        <f>HYPERLINK("http://www.uniprot.org/uniprot/M5WMV1","M5WMV1")</f>
        <v>M5WMV1</v>
      </c>
      <c r="D11196" s="2" t="s">
        <v>9506</v>
      </c>
      <c r="E11196" s="3">
        <v>0</v>
      </c>
      <c r="F11196" s="2">
        <v>1900</v>
      </c>
      <c r="G11196" s="2">
        <v>93</v>
      </c>
      <c r="H11196" s="2">
        <v>423</v>
      </c>
      <c r="I11196" s="2">
        <v>1163</v>
      </c>
      <c r="J11196" s="2">
        <v>2431</v>
      </c>
      <c r="K11196" s="2">
        <v>1</v>
      </c>
      <c r="L11196" s="2">
        <v>422</v>
      </c>
    </row>
    <row r="11197" spans="1:12" x14ac:dyDescent="0.25">
      <c r="A11197" s="4" t="str">
        <f>HYPERLINK("http://www.rosaceae.org/Prunus/Prunus_persica/p.persica_gdr_reftransV1_0037704","p.persica_gdr_reftransV1_0037704")</f>
        <v>p.persica_gdr_reftransV1_0037704</v>
      </c>
      <c r="B11197" s="2">
        <v>6536</v>
      </c>
      <c r="C11197" s="4" t="str">
        <f>HYPERLINK("http://www.uniprot.org/uniprot/M5VZD8","M5VZD8")</f>
        <v>M5VZD8</v>
      </c>
      <c r="D11197" s="2" t="s">
        <v>9507</v>
      </c>
      <c r="E11197" s="3">
        <v>7.6599999999999997E-101</v>
      </c>
      <c r="F11197" s="2">
        <v>868</v>
      </c>
      <c r="G11197" s="2">
        <v>83</v>
      </c>
      <c r="H11197" s="2">
        <v>213</v>
      </c>
      <c r="I11197" s="2">
        <v>4850</v>
      </c>
      <c r="J11197" s="2">
        <v>5488</v>
      </c>
      <c r="K11197" s="2">
        <v>129</v>
      </c>
      <c r="L11197" s="2">
        <v>305</v>
      </c>
    </row>
    <row r="11198" spans="1:12" x14ac:dyDescent="0.25">
      <c r="A11198" s="4" t="str">
        <f>HYPERLINK("http://www.rosaceae.org/Prunus/Prunus_persica/p.persica_gdr_reftransV1_0039454","p.persica_gdr_reftransV1_0039454")</f>
        <v>p.persica_gdr_reftransV1_0039454</v>
      </c>
      <c r="B11198" s="2">
        <v>557</v>
      </c>
      <c r="C11198" s="4" t="str">
        <f>HYPERLINK("http://www.uniprot.org/uniprot/M5XJ75","M5XJ75")</f>
        <v>M5XJ75</v>
      </c>
      <c r="D11198" s="2" t="s">
        <v>9508</v>
      </c>
      <c r="E11198" s="3">
        <v>3.8199999999999998E-97</v>
      </c>
      <c r="F11198" s="2">
        <v>752</v>
      </c>
      <c r="G11198" s="2">
        <v>100</v>
      </c>
      <c r="H11198" s="2">
        <v>171</v>
      </c>
      <c r="I11198" s="2">
        <v>44</v>
      </c>
      <c r="J11198" s="2">
        <v>556</v>
      </c>
      <c r="K11198" s="2">
        <v>1</v>
      </c>
      <c r="L11198" s="2">
        <v>171</v>
      </c>
    </row>
    <row r="11199" spans="1:12" x14ac:dyDescent="0.25">
      <c r="A11199" s="4" t="str">
        <f>HYPERLINK("http://www.rosaceae.org/Prunus/Prunus_persica/p.persica_gdr_reftransV1_0039804","p.persica_gdr_reftransV1_0039804")</f>
        <v>p.persica_gdr_reftransV1_0039804</v>
      </c>
      <c r="B11199" s="2">
        <v>2263</v>
      </c>
      <c r="C11199" s="4" t="str">
        <f>HYPERLINK("http://www.uniprot.org/uniprot/M5Y303","M5Y303")</f>
        <v>M5Y303</v>
      </c>
      <c r="D11199" s="2" t="s">
        <v>9509</v>
      </c>
      <c r="E11199" s="3">
        <v>0</v>
      </c>
      <c r="F11199" s="2">
        <v>1954</v>
      </c>
      <c r="G11199" s="2">
        <v>100</v>
      </c>
      <c r="H11199" s="2">
        <v>373</v>
      </c>
      <c r="I11199" s="2">
        <v>727</v>
      </c>
      <c r="J11199" s="2">
        <v>1845</v>
      </c>
      <c r="K11199" s="2">
        <v>1</v>
      </c>
      <c r="L11199" s="2">
        <v>373</v>
      </c>
    </row>
    <row r="11200" spans="1:12" x14ac:dyDescent="0.25">
      <c r="A11200" s="4" t="str">
        <f>HYPERLINK("http://www.rosaceae.org/Prunus/Prunus_persica/p.persica_gdr_reftransV1_0040504","p.persica_gdr_reftransV1_0040504")</f>
        <v>p.persica_gdr_reftransV1_0040504</v>
      </c>
      <c r="B11200" s="2">
        <v>3960</v>
      </c>
      <c r="C11200" s="4" t="str">
        <f>HYPERLINK("http://www.uniprot.org/uniprot/M5VIS8","M5VIS8")</f>
        <v>M5VIS8</v>
      </c>
      <c r="D11200" s="2" t="s">
        <v>9510</v>
      </c>
      <c r="E11200" s="3">
        <v>0</v>
      </c>
      <c r="F11200" s="2">
        <v>3091</v>
      </c>
      <c r="G11200" s="2">
        <v>100</v>
      </c>
      <c r="H11200" s="2">
        <v>628</v>
      </c>
      <c r="I11200" s="2">
        <v>345</v>
      </c>
      <c r="J11200" s="2">
        <v>2228</v>
      </c>
      <c r="K11200" s="2">
        <v>1</v>
      </c>
      <c r="L11200" s="2">
        <v>628</v>
      </c>
    </row>
    <row r="11201" spans="1:12" x14ac:dyDescent="0.25">
      <c r="A11201" s="4" t="str">
        <f>HYPERLINK("http://www.rosaceae.org/Prunus/Prunus_persica/p.persica_gdr_reftransV1_0043304","p.persica_gdr_reftransV1_0043304")</f>
        <v>p.persica_gdr_reftransV1_0043304</v>
      </c>
      <c r="B11201" s="2">
        <v>990</v>
      </c>
      <c r="C11201" s="4" t="str">
        <f>HYPERLINK("http://www.uniprot.org/uniprot/M5Y9J3","M5Y9J3")</f>
        <v>M5Y9J3</v>
      </c>
      <c r="D11201" s="2" t="s">
        <v>4886</v>
      </c>
      <c r="E11201" s="3">
        <v>1.11E-72</v>
      </c>
      <c r="F11201" s="2">
        <v>593</v>
      </c>
      <c r="G11201" s="2">
        <v>100</v>
      </c>
      <c r="H11201" s="2">
        <v>115</v>
      </c>
      <c r="I11201" s="2">
        <v>172</v>
      </c>
      <c r="J11201" s="2">
        <v>516</v>
      </c>
      <c r="K11201" s="2">
        <v>1</v>
      </c>
      <c r="L11201" s="2">
        <v>115</v>
      </c>
    </row>
    <row r="11202" spans="1:12" x14ac:dyDescent="0.25">
      <c r="A11202" s="4" t="str">
        <f>HYPERLINK("http://www.rosaceae.org/Prunus/Prunus_persica/p.persica_gdr_reftransV1_0043654","p.persica_gdr_reftransV1_0043654")</f>
        <v>p.persica_gdr_reftransV1_0043654</v>
      </c>
      <c r="B11202" s="2">
        <v>776</v>
      </c>
      <c r="C11202" s="4" t="str">
        <f>HYPERLINK("http://www.uniprot.org/uniprot/R0I5H7","R0I5H7")</f>
        <v>R0I5H7</v>
      </c>
      <c r="D11202" s="2" t="s">
        <v>9511</v>
      </c>
      <c r="E11202" s="3">
        <v>1.1499999999999999E-93</v>
      </c>
      <c r="F11202" s="2">
        <v>727</v>
      </c>
      <c r="G11202" s="2">
        <v>94</v>
      </c>
      <c r="H11202" s="2">
        <v>149</v>
      </c>
      <c r="I11202" s="2">
        <v>328</v>
      </c>
      <c r="J11202" s="2">
        <v>774</v>
      </c>
      <c r="K11202" s="2">
        <v>13</v>
      </c>
      <c r="L11202" s="2">
        <v>161</v>
      </c>
    </row>
    <row r="11203" spans="1:12" x14ac:dyDescent="0.25">
      <c r="A11203" s="4" t="str">
        <f>HYPERLINK("http://www.rosaceae.org/Prunus/Prunus_persica/p.persica_gdr_reftransV1_0044004","p.persica_gdr_reftransV1_0044004")</f>
        <v>p.persica_gdr_reftransV1_0044004</v>
      </c>
      <c r="B11203" s="2">
        <v>722</v>
      </c>
      <c r="C11203" s="4" t="str">
        <f>HYPERLINK("http://www.uniprot.org/uniprot/M5XTN0","M5XTN0")</f>
        <v>M5XTN0</v>
      </c>
      <c r="D11203" s="2" t="s">
        <v>9512</v>
      </c>
      <c r="E11203" s="3">
        <v>2.7600000000000001E-70</v>
      </c>
      <c r="F11203" s="2">
        <v>568</v>
      </c>
      <c r="G11203" s="2">
        <v>98</v>
      </c>
      <c r="H11203" s="2">
        <v>113</v>
      </c>
      <c r="I11203" s="2">
        <v>255</v>
      </c>
      <c r="J11203" s="2">
        <v>593</v>
      </c>
      <c r="K11203" s="2">
        <v>17</v>
      </c>
      <c r="L11203" s="2">
        <v>129</v>
      </c>
    </row>
    <row r="11204" spans="1:12" x14ac:dyDescent="0.25">
      <c r="A11204" s="4" t="str">
        <f>HYPERLINK("http://www.rosaceae.org/Prunus/Prunus_persica/p.persica_gdr_reftransV1_0044354","p.persica_gdr_reftransV1_0044354")</f>
        <v>p.persica_gdr_reftransV1_0044354</v>
      </c>
      <c r="B11204" s="2">
        <v>1846</v>
      </c>
      <c r="C11204" s="4" t="str">
        <f>HYPERLINK("http://www.uniprot.org/uniprot/M5WVB0","M5WVB0")</f>
        <v>M5WVB0</v>
      </c>
      <c r="D11204" s="2" t="s">
        <v>9513</v>
      </c>
      <c r="E11204" s="3">
        <v>2.16E-174</v>
      </c>
      <c r="F11204" s="2">
        <v>1305</v>
      </c>
      <c r="G11204" s="2">
        <v>100</v>
      </c>
      <c r="H11204" s="2">
        <v>243</v>
      </c>
      <c r="I11204" s="2">
        <v>560</v>
      </c>
      <c r="J11204" s="2">
        <v>1288</v>
      </c>
      <c r="K11204" s="2">
        <v>1</v>
      </c>
      <c r="L11204" s="2">
        <v>243</v>
      </c>
    </row>
    <row r="11205" spans="1:12" x14ac:dyDescent="0.25">
      <c r="A11205" s="4" t="str">
        <f>HYPERLINK("http://www.rosaceae.org/Prunus/Prunus_persica/p.persica_gdr_reftransV1_0044704","p.persica_gdr_reftransV1_0044704")</f>
        <v>p.persica_gdr_reftransV1_0044704</v>
      </c>
      <c r="B11205" s="2">
        <v>2411</v>
      </c>
      <c r="C11205" s="4" t="str">
        <f>HYPERLINK("http://www.uniprot.org/uniprot/M5WF96","M5WF96")</f>
        <v>M5WF96</v>
      </c>
      <c r="D11205" s="2" t="s">
        <v>9514</v>
      </c>
      <c r="E11205" s="3">
        <v>0</v>
      </c>
      <c r="F11205" s="2">
        <v>1867</v>
      </c>
      <c r="G11205" s="2">
        <v>99</v>
      </c>
      <c r="H11205" s="2">
        <v>371</v>
      </c>
      <c r="I11205" s="2">
        <v>1016</v>
      </c>
      <c r="J11205" s="2">
        <v>2128</v>
      </c>
      <c r="K11205" s="2">
        <v>6</v>
      </c>
      <c r="L11205" s="2">
        <v>376</v>
      </c>
    </row>
    <row r="11206" spans="1:12" x14ac:dyDescent="0.25">
      <c r="A11206" s="4" t="str">
        <f>HYPERLINK("http://www.rosaceae.org/Prunus/Prunus_persica/p.persica_gdr_reftransV1_0045404","p.persica_gdr_reftransV1_0045404")</f>
        <v>p.persica_gdr_reftransV1_0045404</v>
      </c>
      <c r="B11206" s="2">
        <v>1798</v>
      </c>
      <c r="C11206" s="4" t="str">
        <f>HYPERLINK("http://www.uniprot.org/uniprot/V4SXR6","V4SXR6")</f>
        <v>V4SXR6</v>
      </c>
      <c r="D11206" s="2" t="s">
        <v>6105</v>
      </c>
      <c r="E11206" s="3">
        <v>0</v>
      </c>
      <c r="F11206" s="2">
        <v>1577</v>
      </c>
      <c r="G11206" s="2">
        <v>62</v>
      </c>
      <c r="H11206" s="2">
        <v>538</v>
      </c>
      <c r="I11206" s="2">
        <v>3</v>
      </c>
      <c r="J11206" s="2">
        <v>1616</v>
      </c>
      <c r="K11206" s="2">
        <v>55</v>
      </c>
      <c r="L11206" s="2">
        <v>556</v>
      </c>
    </row>
    <row r="11207" spans="1:12" x14ac:dyDescent="0.25">
      <c r="A11207" s="4" t="str">
        <f>HYPERLINK("http://www.rosaceae.org/Prunus/Prunus_persica/p.persica_gdr_reftransV1_0045754","p.persica_gdr_reftransV1_0045754")</f>
        <v>p.persica_gdr_reftransV1_0045754</v>
      </c>
      <c r="B11207" s="2">
        <v>1694</v>
      </c>
      <c r="C11207" s="4" t="str">
        <f>HYPERLINK("http://www.uniprot.org/uniprot/M5XD09","M5XD09")</f>
        <v>M5XD09</v>
      </c>
      <c r="D11207" s="2" t="s">
        <v>3296</v>
      </c>
      <c r="E11207" s="3">
        <v>0</v>
      </c>
      <c r="F11207" s="2">
        <v>1552</v>
      </c>
      <c r="G11207" s="2">
        <v>100</v>
      </c>
      <c r="H11207" s="2">
        <v>328</v>
      </c>
      <c r="I11207" s="2">
        <v>292</v>
      </c>
      <c r="J11207" s="2">
        <v>1275</v>
      </c>
      <c r="K11207" s="2">
        <v>1</v>
      </c>
      <c r="L11207" s="2">
        <v>328</v>
      </c>
    </row>
    <row r="11208" spans="1:12" x14ac:dyDescent="0.25">
      <c r="A11208" s="4" t="str">
        <f>HYPERLINK("http://www.rosaceae.org/Prunus/Prunus_persica/p.persica_gdr_reftransV1_0046104","p.persica_gdr_reftransV1_0046104")</f>
        <v>p.persica_gdr_reftransV1_0046104</v>
      </c>
      <c r="B11208" s="2">
        <v>1103</v>
      </c>
      <c r="C11208" s="4" t="str">
        <f>HYPERLINK("http://www.uniprot.org/uniprot/M5WVG1","M5WVG1")</f>
        <v>M5WVG1</v>
      </c>
      <c r="D11208" s="2" t="s">
        <v>6038</v>
      </c>
      <c r="E11208" s="3">
        <v>3.5100000000000001E-126</v>
      </c>
      <c r="F11208" s="2">
        <v>959</v>
      </c>
      <c r="G11208" s="2">
        <v>99</v>
      </c>
      <c r="H11208" s="2">
        <v>181</v>
      </c>
      <c r="I11208" s="2">
        <v>210</v>
      </c>
      <c r="J11208" s="2">
        <v>752</v>
      </c>
      <c r="K11208" s="2">
        <v>42</v>
      </c>
      <c r="L11208" s="2">
        <v>222</v>
      </c>
    </row>
    <row r="11209" spans="1:12" x14ac:dyDescent="0.25">
      <c r="A11209" s="4" t="str">
        <f>HYPERLINK("http://www.rosaceae.org/Prunus/Prunus_persica/p.persica_gdr_reftransV1_0046454","p.persica_gdr_reftransV1_0046454")</f>
        <v>p.persica_gdr_reftransV1_0046454</v>
      </c>
      <c r="B11209" s="2">
        <v>2412</v>
      </c>
      <c r="C11209" s="4" t="str">
        <f>HYPERLINK("http://www.uniprot.org/uniprot/M5XMF1","M5XMF1")</f>
        <v>M5XMF1</v>
      </c>
      <c r="D11209" s="2" t="s">
        <v>9515</v>
      </c>
      <c r="E11209" s="3">
        <v>0</v>
      </c>
      <c r="F11209" s="2">
        <v>1803</v>
      </c>
      <c r="G11209" s="2">
        <v>100</v>
      </c>
      <c r="H11209" s="2">
        <v>341</v>
      </c>
      <c r="I11209" s="2">
        <v>164</v>
      </c>
      <c r="J11209" s="2">
        <v>1186</v>
      </c>
      <c r="K11209" s="2">
        <v>1</v>
      </c>
      <c r="L11209" s="2">
        <v>341</v>
      </c>
    </row>
    <row r="11210" spans="1:12" x14ac:dyDescent="0.25">
      <c r="A11210" s="4" t="str">
        <f>HYPERLINK("http://www.rosaceae.org/Prunus/Prunus_persica/p.persica_gdr_reftransV1_0046804","p.persica_gdr_reftransV1_0046804")</f>
        <v>p.persica_gdr_reftransV1_0046804</v>
      </c>
      <c r="B11210" s="2">
        <v>395</v>
      </c>
      <c r="C11210" s="4" t="str">
        <f>HYPERLINK("http://www.uniprot.org/uniprot/M5VZT8","M5VZT8")</f>
        <v>M5VZT8</v>
      </c>
      <c r="D11210" s="2" t="s">
        <v>3043</v>
      </c>
      <c r="E11210" s="3">
        <v>6.0200000000000002E-40</v>
      </c>
      <c r="F11210" s="2">
        <v>364</v>
      </c>
      <c r="G11210" s="2">
        <v>67</v>
      </c>
      <c r="H11210" s="2">
        <v>129</v>
      </c>
      <c r="I11210" s="2">
        <v>1</v>
      </c>
      <c r="J11210" s="2">
        <v>384</v>
      </c>
      <c r="K11210" s="2">
        <v>68</v>
      </c>
      <c r="L11210" s="2">
        <v>192</v>
      </c>
    </row>
    <row r="11211" spans="1:12" x14ac:dyDescent="0.25">
      <c r="A11211" s="4" t="str">
        <f>HYPERLINK("http://www.rosaceae.org/Prunus/Prunus_persica/p.persica_gdr_reftransV1_0047154","p.persica_gdr_reftransV1_0047154")</f>
        <v>p.persica_gdr_reftransV1_0047154</v>
      </c>
      <c r="B11211" s="2">
        <v>938</v>
      </c>
      <c r="C11211" s="4" t="str">
        <f>HYPERLINK("http://www.uniprot.org/uniprot/M5VMY8","M5VMY8")</f>
        <v>M5VMY8</v>
      </c>
      <c r="D11211" s="2" t="s">
        <v>9516</v>
      </c>
      <c r="E11211" s="3">
        <v>1.9200000000000001E-118</v>
      </c>
      <c r="F11211" s="2">
        <v>906</v>
      </c>
      <c r="G11211" s="2">
        <v>98</v>
      </c>
      <c r="H11211" s="2">
        <v>176</v>
      </c>
      <c r="I11211" s="2">
        <v>124</v>
      </c>
      <c r="J11211" s="2">
        <v>651</v>
      </c>
      <c r="K11211" s="2">
        <v>1</v>
      </c>
      <c r="L11211" s="2">
        <v>176</v>
      </c>
    </row>
    <row r="11212" spans="1:12" x14ac:dyDescent="0.25">
      <c r="A11212" s="4" t="str">
        <f>HYPERLINK("http://www.rosaceae.org/Prunus/Prunus_persica/p.persica_gdr_reftransV1_0047504","p.persica_gdr_reftransV1_0047504")</f>
        <v>p.persica_gdr_reftransV1_0047504</v>
      </c>
      <c r="B11212" s="2">
        <v>1259</v>
      </c>
      <c r="C11212" s="4" t="str">
        <f>HYPERLINK("http://www.uniprot.org/uniprot/M5VQC4","M5VQC4")</f>
        <v>M5VQC4</v>
      </c>
      <c r="D11212" s="2" t="s">
        <v>9517</v>
      </c>
      <c r="E11212" s="3">
        <v>0</v>
      </c>
      <c r="F11212" s="2">
        <v>2115</v>
      </c>
      <c r="G11212" s="2">
        <v>99</v>
      </c>
      <c r="H11212" s="2">
        <v>394</v>
      </c>
      <c r="I11212" s="2">
        <v>78</v>
      </c>
      <c r="J11212" s="2">
        <v>1259</v>
      </c>
      <c r="K11212" s="2">
        <v>97</v>
      </c>
      <c r="L11212" s="2">
        <v>490</v>
      </c>
    </row>
    <row r="11213" spans="1:12" x14ac:dyDescent="0.25">
      <c r="A11213" s="4" t="str">
        <f>HYPERLINK("http://www.rosaceae.org/Prunus/Prunus_persica/p.persica_gdr_reftransV1_0047854","p.persica_gdr_reftransV1_0047854")</f>
        <v>p.persica_gdr_reftransV1_0047854</v>
      </c>
      <c r="B11213" s="2">
        <v>1815</v>
      </c>
      <c r="C11213" s="4" t="str">
        <f>HYPERLINK("http://www.uniprot.org/uniprot/A4GVG3","A4GVG3")</f>
        <v>A4GVG3</v>
      </c>
      <c r="D11213" s="2" t="s">
        <v>3806</v>
      </c>
      <c r="E11213" s="3">
        <v>6.4000000000000003E-171</v>
      </c>
      <c r="F11213" s="2">
        <v>1281</v>
      </c>
      <c r="G11213" s="2">
        <v>100</v>
      </c>
      <c r="H11213" s="2">
        <v>240</v>
      </c>
      <c r="I11213" s="2">
        <v>239</v>
      </c>
      <c r="J11213" s="2">
        <v>958</v>
      </c>
      <c r="K11213" s="2">
        <v>1</v>
      </c>
      <c r="L11213" s="2">
        <v>240</v>
      </c>
    </row>
    <row r="11214" spans="1:12" x14ac:dyDescent="0.25">
      <c r="A11214" s="4" t="str">
        <f>HYPERLINK("http://www.rosaceae.org/Prunus/Prunus_persica/p.persica_gdr_reftransV1_0048204","p.persica_gdr_reftransV1_0048204")</f>
        <v>p.persica_gdr_reftransV1_0048204</v>
      </c>
      <c r="B11214" s="2">
        <v>2248</v>
      </c>
      <c r="C11214" s="4" t="str">
        <f>HYPERLINK("http://www.uniprot.org/uniprot/M5XAM0","M5XAM0")</f>
        <v>M5XAM0</v>
      </c>
      <c r="D11214" s="2" t="s">
        <v>9518</v>
      </c>
      <c r="E11214" s="3">
        <v>0</v>
      </c>
      <c r="F11214" s="2">
        <v>2250</v>
      </c>
      <c r="G11214" s="2">
        <v>100</v>
      </c>
      <c r="H11214" s="2">
        <v>451</v>
      </c>
      <c r="I11214" s="2">
        <v>369</v>
      </c>
      <c r="J11214" s="2">
        <v>1721</v>
      </c>
      <c r="K11214" s="2">
        <v>1</v>
      </c>
      <c r="L11214" s="2">
        <v>451</v>
      </c>
    </row>
    <row r="11215" spans="1:12" x14ac:dyDescent="0.25">
      <c r="A11215" s="4" t="str">
        <f>HYPERLINK("http://www.rosaceae.org/Prunus/Prunus_persica/p.persica_gdr_reftransV1_0048554","p.persica_gdr_reftransV1_0048554")</f>
        <v>p.persica_gdr_reftransV1_0048554</v>
      </c>
      <c r="B11215" s="2">
        <v>519</v>
      </c>
      <c r="C11215" s="4" t="str">
        <f>HYPERLINK("http://www.uniprot.org/uniprot/M5WTA5","M5WTA5")</f>
        <v>M5WTA5</v>
      </c>
      <c r="D11215" s="2" t="s">
        <v>9519</v>
      </c>
      <c r="E11215" s="3">
        <v>8.1700000000000003E-81</v>
      </c>
      <c r="F11215" s="2">
        <v>634</v>
      </c>
      <c r="G11215" s="2">
        <v>87</v>
      </c>
      <c r="H11215" s="2">
        <v>135</v>
      </c>
      <c r="I11215" s="2">
        <v>2</v>
      </c>
      <c r="J11215" s="2">
        <v>406</v>
      </c>
      <c r="K11215" s="2">
        <v>26</v>
      </c>
      <c r="L11215" s="2">
        <v>160</v>
      </c>
    </row>
    <row r="11216" spans="1:12" x14ac:dyDescent="0.25">
      <c r="A11216" s="4" t="str">
        <f>HYPERLINK("http://www.rosaceae.org/Prunus/Prunus_persica/p.persica_gdr_reftransV1_0048904","p.persica_gdr_reftransV1_0048904")</f>
        <v>p.persica_gdr_reftransV1_0048904</v>
      </c>
      <c r="B11216" s="2">
        <v>1911</v>
      </c>
      <c r="C11216" s="4" t="str">
        <f>HYPERLINK("http://www.uniprot.org/uniprot/M5XRQ8","M5XRQ8")</f>
        <v>M5XRQ8</v>
      </c>
      <c r="D11216" s="2" t="s">
        <v>9520</v>
      </c>
      <c r="E11216" s="3">
        <v>1.5199999999999999E-178</v>
      </c>
      <c r="F11216" s="2">
        <v>1340</v>
      </c>
      <c r="G11216" s="2">
        <v>83</v>
      </c>
      <c r="H11216" s="2">
        <v>356</v>
      </c>
      <c r="I11216" s="2">
        <v>641</v>
      </c>
      <c r="J11216" s="2">
        <v>1708</v>
      </c>
      <c r="K11216" s="2">
        <v>1</v>
      </c>
      <c r="L11216" s="2">
        <v>299</v>
      </c>
    </row>
    <row r="11217" spans="1:12" x14ac:dyDescent="0.25">
      <c r="A11217" s="4" t="str">
        <f>HYPERLINK("http://www.rosaceae.org/Prunus/Prunus_persica/p.persica_gdr_reftransV1_0000255","p.persica_gdr_reftransV1_0000255")</f>
        <v>p.persica_gdr_reftransV1_0000255</v>
      </c>
      <c r="B11217" s="2">
        <v>1290</v>
      </c>
      <c r="C11217" s="4" t="str">
        <f>HYPERLINK("http://www.uniprot.org/uniprot/M5XCJ8","M5XCJ8")</f>
        <v>M5XCJ8</v>
      </c>
      <c r="D11217" s="2" t="s">
        <v>4439</v>
      </c>
      <c r="E11217" s="3">
        <v>0</v>
      </c>
      <c r="F11217" s="2">
        <v>1439</v>
      </c>
      <c r="G11217" s="2">
        <v>95</v>
      </c>
      <c r="H11217" s="2">
        <v>332</v>
      </c>
      <c r="I11217" s="2">
        <v>295</v>
      </c>
      <c r="J11217" s="2">
        <v>1290</v>
      </c>
      <c r="K11217" s="2">
        <v>376</v>
      </c>
      <c r="L11217" s="2">
        <v>697</v>
      </c>
    </row>
    <row r="11218" spans="1:12" x14ac:dyDescent="0.25">
      <c r="A11218" s="4" t="str">
        <f>HYPERLINK("http://www.rosaceae.org/Prunus/Prunus_persica/p.persica_gdr_reftransV1_0000605","p.persica_gdr_reftransV1_0000605")</f>
        <v>p.persica_gdr_reftransV1_0000605</v>
      </c>
      <c r="B11218" s="2">
        <v>629</v>
      </c>
      <c r="C11218" s="4" t="str">
        <f>HYPERLINK("http://www.uniprot.org/uniprot/M5XPD7","M5XPD7")</f>
        <v>M5XPD7</v>
      </c>
      <c r="D11218" s="2" t="s">
        <v>9521</v>
      </c>
      <c r="E11218" s="3">
        <v>3.8000000000000003E-52</v>
      </c>
      <c r="F11218" s="2">
        <v>457</v>
      </c>
      <c r="G11218" s="2">
        <v>74</v>
      </c>
      <c r="H11218" s="2">
        <v>129</v>
      </c>
      <c r="I11218" s="2">
        <v>1</v>
      </c>
      <c r="J11218" s="2">
        <v>387</v>
      </c>
      <c r="K11218" s="2">
        <v>91</v>
      </c>
      <c r="L11218" s="2">
        <v>219</v>
      </c>
    </row>
    <row r="11219" spans="1:12" x14ac:dyDescent="0.25">
      <c r="A11219" s="4" t="str">
        <f>HYPERLINK("http://www.rosaceae.org/Prunus/Prunus_persica/p.persica_gdr_reftransV1_0000955","p.persica_gdr_reftransV1_0000955")</f>
        <v>p.persica_gdr_reftransV1_0000955</v>
      </c>
      <c r="B11219" s="2">
        <v>1845</v>
      </c>
      <c r="C11219" s="4" t="str">
        <f>HYPERLINK("http://www.uniprot.org/uniprot/M5Y1R1","M5Y1R1")</f>
        <v>M5Y1R1</v>
      </c>
      <c r="D11219" s="2" t="s">
        <v>9522</v>
      </c>
      <c r="E11219" s="3">
        <v>0</v>
      </c>
      <c r="F11219" s="2">
        <v>3081</v>
      </c>
      <c r="G11219" s="2">
        <v>98</v>
      </c>
      <c r="H11219" s="2">
        <v>600</v>
      </c>
      <c r="I11219" s="2">
        <v>74</v>
      </c>
      <c r="J11219" s="2">
        <v>1843</v>
      </c>
      <c r="K11219" s="2">
        <v>152</v>
      </c>
      <c r="L11219" s="2">
        <v>751</v>
      </c>
    </row>
    <row r="11220" spans="1:12" x14ac:dyDescent="0.25">
      <c r="A11220" s="4" t="str">
        <f>HYPERLINK("http://www.rosaceae.org/Prunus/Prunus_persica/p.persica_gdr_reftransV1_0001305","p.persica_gdr_reftransV1_0001305")</f>
        <v>p.persica_gdr_reftransV1_0001305</v>
      </c>
      <c r="B11220" s="2">
        <v>909</v>
      </c>
      <c r="C11220" s="4" t="str">
        <f>HYPERLINK("http://www.uniprot.org/uniprot/M5Y1C7","M5Y1C7")</f>
        <v>M5Y1C7</v>
      </c>
      <c r="D11220" s="2" t="s">
        <v>9523</v>
      </c>
      <c r="E11220" s="3">
        <v>1.1300000000000001E-168</v>
      </c>
      <c r="F11220" s="2">
        <v>1237</v>
      </c>
      <c r="G11220" s="2">
        <v>90</v>
      </c>
      <c r="H11220" s="2">
        <v>267</v>
      </c>
      <c r="I11220" s="2">
        <v>31</v>
      </c>
      <c r="J11220" s="2">
        <v>831</v>
      </c>
      <c r="K11220" s="2">
        <v>1</v>
      </c>
      <c r="L11220" s="2">
        <v>241</v>
      </c>
    </row>
    <row r="11221" spans="1:12" x14ac:dyDescent="0.25">
      <c r="A11221" s="4" t="str">
        <f>HYPERLINK("http://www.rosaceae.org/Prunus/Prunus_persica/p.persica_gdr_reftransV1_0001655","p.persica_gdr_reftransV1_0001655")</f>
        <v>p.persica_gdr_reftransV1_0001655</v>
      </c>
      <c r="B11221" s="2">
        <v>540</v>
      </c>
      <c r="C11221" s="4" t="str">
        <f>HYPERLINK("http://www.uniprot.org/uniprot/M5VPD4","M5VPD4")</f>
        <v>M5VPD4</v>
      </c>
      <c r="D11221" s="2" t="s">
        <v>9524</v>
      </c>
      <c r="E11221" s="3">
        <v>6.5399999999999997E-103</v>
      </c>
      <c r="F11221" s="2">
        <v>780</v>
      </c>
      <c r="G11221" s="2">
        <v>97</v>
      </c>
      <c r="H11221" s="2">
        <v>148</v>
      </c>
      <c r="I11221" s="2">
        <v>95</v>
      </c>
      <c r="J11221" s="2">
        <v>538</v>
      </c>
      <c r="K11221" s="2">
        <v>21</v>
      </c>
      <c r="L11221" s="2">
        <v>168</v>
      </c>
    </row>
    <row r="11222" spans="1:12" x14ac:dyDescent="0.25">
      <c r="A11222" s="4" t="str">
        <f>HYPERLINK("http://www.rosaceae.org/Prunus/Prunus_persica/p.persica_gdr_reftransV1_0002005","p.persica_gdr_reftransV1_0002005")</f>
        <v>p.persica_gdr_reftransV1_0002005</v>
      </c>
      <c r="B11222" s="2">
        <v>1381</v>
      </c>
      <c r="C11222" s="4" t="str">
        <f>HYPERLINK("http://www.uniprot.org/uniprot/M5XHT7","M5XHT7")</f>
        <v>M5XHT7</v>
      </c>
      <c r="D11222" s="2" t="s">
        <v>9525</v>
      </c>
      <c r="E11222" s="3">
        <v>3.36E-134</v>
      </c>
      <c r="F11222" s="2">
        <v>1023</v>
      </c>
      <c r="G11222" s="2">
        <v>100</v>
      </c>
      <c r="H11222" s="2">
        <v>228</v>
      </c>
      <c r="I11222" s="2">
        <v>589</v>
      </c>
      <c r="J11222" s="2">
        <v>1272</v>
      </c>
      <c r="K11222" s="2">
        <v>1</v>
      </c>
      <c r="L11222" s="2">
        <v>228</v>
      </c>
    </row>
    <row r="11223" spans="1:12" x14ac:dyDescent="0.25">
      <c r="A11223" s="4" t="str">
        <f>HYPERLINK("http://www.rosaceae.org/Prunus/Prunus_persica/p.persica_gdr_reftransV1_0002355","p.persica_gdr_reftransV1_0002355")</f>
        <v>p.persica_gdr_reftransV1_0002355</v>
      </c>
      <c r="B11223" s="2">
        <v>2383</v>
      </c>
      <c r="C11223" s="4" t="str">
        <f>HYPERLINK("http://www.uniprot.org/uniprot/M5VUW7","M5VUW7")</f>
        <v>M5VUW7</v>
      </c>
      <c r="D11223" s="2" t="s">
        <v>9526</v>
      </c>
      <c r="E11223" s="3">
        <v>0</v>
      </c>
      <c r="F11223" s="2">
        <v>3404</v>
      </c>
      <c r="G11223" s="2">
        <v>99</v>
      </c>
      <c r="H11223" s="2">
        <v>686</v>
      </c>
      <c r="I11223" s="2">
        <v>250</v>
      </c>
      <c r="J11223" s="2">
        <v>2307</v>
      </c>
      <c r="K11223" s="2">
        <v>1</v>
      </c>
      <c r="L11223" s="2">
        <v>686</v>
      </c>
    </row>
    <row r="11224" spans="1:12" x14ac:dyDescent="0.25">
      <c r="A11224" s="4" t="str">
        <f>HYPERLINK("http://www.rosaceae.org/Prunus/Prunus_persica/p.persica_gdr_reftransV1_0002705","p.persica_gdr_reftransV1_0002705")</f>
        <v>p.persica_gdr_reftransV1_0002705</v>
      </c>
      <c r="B11224" s="2">
        <v>1470</v>
      </c>
      <c r="C11224" s="4" t="str">
        <f>HYPERLINK("http://www.uniprot.org/uniprot/M5XRK0","M5XRK0")</f>
        <v>M5XRK0</v>
      </c>
      <c r="D11224" s="2" t="s">
        <v>2676</v>
      </c>
      <c r="E11224" s="3">
        <v>8.9900000000000004E-122</v>
      </c>
      <c r="F11224" s="2">
        <v>942</v>
      </c>
      <c r="G11224" s="2">
        <v>100</v>
      </c>
      <c r="H11224" s="2">
        <v>217</v>
      </c>
      <c r="I11224" s="2">
        <v>535</v>
      </c>
      <c r="J11224" s="2">
        <v>1185</v>
      </c>
      <c r="K11224" s="2">
        <v>1</v>
      </c>
      <c r="L11224" s="2">
        <v>217</v>
      </c>
    </row>
    <row r="11225" spans="1:12" x14ac:dyDescent="0.25">
      <c r="A11225" s="4" t="str">
        <f>HYPERLINK("http://www.rosaceae.org/Prunus/Prunus_persica/p.persica_gdr_reftransV1_0003055","p.persica_gdr_reftransV1_0003055")</f>
        <v>p.persica_gdr_reftransV1_0003055</v>
      </c>
      <c r="B11225" s="2">
        <v>368</v>
      </c>
      <c r="C11225" s="4" t="str">
        <f>HYPERLINK("http://www.uniprot.org/uniprot/M5XJA8","M5XJA8")</f>
        <v>M5XJA8</v>
      </c>
      <c r="D11225" s="2" t="s">
        <v>1489</v>
      </c>
      <c r="E11225" s="3">
        <v>6.57E-68</v>
      </c>
      <c r="F11225" s="2">
        <v>567</v>
      </c>
      <c r="G11225" s="2">
        <v>91</v>
      </c>
      <c r="H11225" s="2">
        <v>122</v>
      </c>
      <c r="I11225" s="2">
        <v>1</v>
      </c>
      <c r="J11225" s="2">
        <v>366</v>
      </c>
      <c r="K11225" s="2">
        <v>100</v>
      </c>
      <c r="L11225" s="2">
        <v>210</v>
      </c>
    </row>
    <row r="11226" spans="1:12" x14ac:dyDescent="0.25">
      <c r="A11226" s="4" t="str">
        <f>HYPERLINK("http://www.rosaceae.org/Prunus/Prunus_persica/p.persica_gdr_reftransV1_0003405","p.persica_gdr_reftransV1_0003405")</f>
        <v>p.persica_gdr_reftransV1_0003405</v>
      </c>
      <c r="B11226" s="2">
        <v>1684</v>
      </c>
      <c r="C11226" s="4" t="str">
        <f>HYPERLINK("http://www.uniprot.org/uniprot/M5WBF0","M5WBF0")</f>
        <v>M5WBF0</v>
      </c>
      <c r="D11226" s="2" t="s">
        <v>9527</v>
      </c>
      <c r="E11226" s="3">
        <v>0</v>
      </c>
      <c r="F11226" s="2">
        <v>1744</v>
      </c>
      <c r="G11226" s="2">
        <v>100</v>
      </c>
      <c r="H11226" s="2">
        <v>365</v>
      </c>
      <c r="I11226" s="2">
        <v>408</v>
      </c>
      <c r="J11226" s="2">
        <v>1502</v>
      </c>
      <c r="K11226" s="2">
        <v>4</v>
      </c>
      <c r="L11226" s="2">
        <v>368</v>
      </c>
    </row>
    <row r="11227" spans="1:12" x14ac:dyDescent="0.25">
      <c r="A11227" s="4" t="str">
        <f>HYPERLINK("http://www.rosaceae.org/Prunus/Prunus_persica/p.persica_gdr_reftransV1_0005855","p.persica_gdr_reftransV1_0005855")</f>
        <v>p.persica_gdr_reftransV1_0005855</v>
      </c>
      <c r="B11227" s="2">
        <v>964</v>
      </c>
      <c r="C11227" s="4" t="str">
        <f>HYPERLINK("http://www.uniprot.org/uniprot/W9REB9","W9REB9")</f>
        <v>W9REB9</v>
      </c>
      <c r="D11227" s="2" t="s">
        <v>9528</v>
      </c>
      <c r="E11227" s="3">
        <v>3.3199999999999998E-104</v>
      </c>
      <c r="F11227" s="2">
        <v>872</v>
      </c>
      <c r="G11227" s="2">
        <v>82</v>
      </c>
      <c r="H11227" s="2">
        <v>193</v>
      </c>
      <c r="I11227" s="2">
        <v>382</v>
      </c>
      <c r="J11227" s="2">
        <v>960</v>
      </c>
      <c r="K11227" s="2">
        <v>906</v>
      </c>
      <c r="L11227" s="2">
        <v>1098</v>
      </c>
    </row>
    <row r="11228" spans="1:12" x14ac:dyDescent="0.25">
      <c r="A11228" s="4" t="str">
        <f>HYPERLINK("http://www.rosaceae.org/Prunus/Prunus_persica/p.persica_gdr_reftransV1_0006205","p.persica_gdr_reftransV1_0006205")</f>
        <v>p.persica_gdr_reftransV1_0006205</v>
      </c>
      <c r="B11228" s="2">
        <v>656</v>
      </c>
      <c r="C11228" s="4" t="str">
        <f>HYPERLINK("http://www.uniprot.org/uniprot/M5Y1H5","M5Y1H5")</f>
        <v>M5Y1H5</v>
      </c>
      <c r="D11228" s="2" t="s">
        <v>9529</v>
      </c>
      <c r="E11228" s="3">
        <v>3.1300000000000002E-32</v>
      </c>
      <c r="F11228" s="2">
        <v>319</v>
      </c>
      <c r="G11228" s="2">
        <v>92</v>
      </c>
      <c r="H11228" s="2">
        <v>109</v>
      </c>
      <c r="I11228" s="2">
        <v>349</v>
      </c>
      <c r="J11228" s="2">
        <v>651</v>
      </c>
      <c r="K11228" s="2">
        <v>123</v>
      </c>
      <c r="L11228" s="2">
        <v>231</v>
      </c>
    </row>
    <row r="11229" spans="1:12" x14ac:dyDescent="0.25">
      <c r="A11229" s="4" t="str">
        <f>HYPERLINK("http://www.rosaceae.org/Prunus/Prunus_persica/p.persica_gdr_reftransV1_0006555","p.persica_gdr_reftransV1_0006555")</f>
        <v>p.persica_gdr_reftransV1_0006555</v>
      </c>
      <c r="B11229" s="2">
        <v>465</v>
      </c>
      <c r="C11229" s="4" t="str">
        <f>HYPERLINK("http://www.uniprot.org/uniprot/M5W7S1","M5W7S1")</f>
        <v>M5W7S1</v>
      </c>
      <c r="D11229" s="2" t="s">
        <v>9530</v>
      </c>
      <c r="E11229" s="3">
        <v>1.4200000000000001E-59</v>
      </c>
      <c r="F11229" s="2">
        <v>494</v>
      </c>
      <c r="G11229" s="2">
        <v>99</v>
      </c>
      <c r="H11229" s="2">
        <v>112</v>
      </c>
      <c r="I11229" s="2">
        <v>3</v>
      </c>
      <c r="J11229" s="2">
        <v>338</v>
      </c>
      <c r="K11229" s="2">
        <v>79</v>
      </c>
      <c r="L11229" s="2">
        <v>190</v>
      </c>
    </row>
    <row r="11230" spans="1:12" x14ac:dyDescent="0.25">
      <c r="A11230" s="4" t="str">
        <f>HYPERLINK("http://www.rosaceae.org/Prunus/Prunus_persica/p.persica_gdr_reftransV1_0006905","p.persica_gdr_reftransV1_0006905")</f>
        <v>p.persica_gdr_reftransV1_0006905</v>
      </c>
      <c r="B11230" s="2">
        <v>1084</v>
      </c>
      <c r="C11230" s="4" t="str">
        <f>HYPERLINK("http://www.uniprot.org/uniprot/M5VQ84","M5VQ84")</f>
        <v>M5VQ84</v>
      </c>
      <c r="D11230" s="2" t="s">
        <v>9531</v>
      </c>
      <c r="E11230" s="3">
        <v>0</v>
      </c>
      <c r="F11230" s="2">
        <v>1468</v>
      </c>
      <c r="G11230" s="2">
        <v>100</v>
      </c>
      <c r="H11230" s="2">
        <v>277</v>
      </c>
      <c r="I11230" s="2">
        <v>253</v>
      </c>
      <c r="J11230" s="2">
        <v>1083</v>
      </c>
      <c r="K11230" s="2">
        <v>53</v>
      </c>
      <c r="L11230" s="2">
        <v>329</v>
      </c>
    </row>
    <row r="11231" spans="1:12" x14ac:dyDescent="0.25">
      <c r="A11231" s="4" t="str">
        <f>HYPERLINK("http://www.rosaceae.org/Prunus/Prunus_persica/p.persica_gdr_reftransV1_0007255","p.persica_gdr_reftransV1_0007255")</f>
        <v>p.persica_gdr_reftransV1_0007255</v>
      </c>
      <c r="B11231" s="2">
        <v>1031</v>
      </c>
      <c r="C11231" s="4" t="str">
        <f>HYPERLINK("http://www.uniprot.org/uniprot/M5VRC2","M5VRC2")</f>
        <v>M5VRC2</v>
      </c>
      <c r="D11231" s="2" t="s">
        <v>9532</v>
      </c>
      <c r="E11231" s="3">
        <v>3.73E-147</v>
      </c>
      <c r="F11231" s="2">
        <v>1107</v>
      </c>
      <c r="G11231" s="2">
        <v>95</v>
      </c>
      <c r="H11231" s="2">
        <v>240</v>
      </c>
      <c r="I11231" s="2">
        <v>36</v>
      </c>
      <c r="J11231" s="2">
        <v>755</v>
      </c>
      <c r="K11231" s="2">
        <v>115</v>
      </c>
      <c r="L11231" s="2">
        <v>342</v>
      </c>
    </row>
    <row r="11232" spans="1:12" x14ac:dyDescent="0.25">
      <c r="A11232" s="4" t="str">
        <f>HYPERLINK("http://www.rosaceae.org/Prunus/Prunus_persica/p.persica_gdr_reftransV1_0007605","p.persica_gdr_reftransV1_0007605")</f>
        <v>p.persica_gdr_reftransV1_0007605</v>
      </c>
      <c r="B11232" s="2">
        <v>1043</v>
      </c>
      <c r="C11232" s="4" t="str">
        <f>HYPERLINK("http://www.uniprot.org/uniprot/H6SV47","H6SV47")</f>
        <v>H6SV47</v>
      </c>
      <c r="D11232" s="2" t="s">
        <v>9533</v>
      </c>
      <c r="E11232" s="3">
        <v>7.6200000000000003E-141</v>
      </c>
      <c r="F11232" s="2">
        <v>1053</v>
      </c>
      <c r="G11232" s="2">
        <v>100</v>
      </c>
      <c r="H11232" s="2">
        <v>209</v>
      </c>
      <c r="I11232" s="2">
        <v>205</v>
      </c>
      <c r="J11232" s="2">
        <v>831</v>
      </c>
      <c r="K11232" s="2">
        <v>1</v>
      </c>
      <c r="L11232" s="2">
        <v>209</v>
      </c>
    </row>
    <row r="11233" spans="1:12" x14ac:dyDescent="0.25">
      <c r="A11233" s="4" t="str">
        <f>HYPERLINK("http://www.rosaceae.org/Prunus/Prunus_persica/p.persica_gdr_reftransV1_0009355","p.persica_gdr_reftransV1_0009355")</f>
        <v>p.persica_gdr_reftransV1_0009355</v>
      </c>
      <c r="B11233" s="2">
        <v>485</v>
      </c>
      <c r="C11233" s="4" t="str">
        <f>HYPERLINK("http://www.uniprot.org/uniprot/M5VJA9","M5VJA9")</f>
        <v>M5VJA9</v>
      </c>
      <c r="D11233" s="2" t="s">
        <v>7723</v>
      </c>
      <c r="E11233" s="3">
        <v>1.37E-58</v>
      </c>
      <c r="F11233" s="2">
        <v>515</v>
      </c>
      <c r="G11233" s="2">
        <v>90</v>
      </c>
      <c r="H11233" s="2">
        <v>108</v>
      </c>
      <c r="I11233" s="2">
        <v>161</v>
      </c>
      <c r="J11233" s="2">
        <v>484</v>
      </c>
      <c r="K11233" s="2">
        <v>4</v>
      </c>
      <c r="L11233" s="2">
        <v>111</v>
      </c>
    </row>
    <row r="11234" spans="1:12" x14ac:dyDescent="0.25">
      <c r="A11234" s="4" t="str">
        <f>HYPERLINK("http://www.rosaceae.org/Prunus/Prunus_persica/p.persica_gdr_reftransV1_0010405","p.persica_gdr_reftransV1_0010405")</f>
        <v>p.persica_gdr_reftransV1_0010405</v>
      </c>
      <c r="B11234" s="2">
        <v>1673</v>
      </c>
      <c r="C11234" s="4" t="str">
        <f>HYPERLINK("http://www.uniprot.org/uniprot/M5WZT5","M5WZT5")</f>
        <v>M5WZT5</v>
      </c>
      <c r="D11234" s="2" t="s">
        <v>9534</v>
      </c>
      <c r="E11234" s="3">
        <v>0</v>
      </c>
      <c r="F11234" s="2">
        <v>2100</v>
      </c>
      <c r="G11234" s="2">
        <v>100</v>
      </c>
      <c r="H11234" s="2">
        <v>387</v>
      </c>
      <c r="I11234" s="2">
        <v>377</v>
      </c>
      <c r="J11234" s="2">
        <v>1537</v>
      </c>
      <c r="K11234" s="2">
        <v>1</v>
      </c>
      <c r="L11234" s="2">
        <v>387</v>
      </c>
    </row>
    <row r="11235" spans="1:12" x14ac:dyDescent="0.25">
      <c r="A11235" s="4" t="str">
        <f>HYPERLINK("http://www.rosaceae.org/Prunus/Prunus_persica/p.persica_gdr_reftransV1_0010755","p.persica_gdr_reftransV1_0010755")</f>
        <v>p.persica_gdr_reftransV1_0010755</v>
      </c>
      <c r="B11235" s="2">
        <v>1692</v>
      </c>
      <c r="C11235" s="4" t="str">
        <f>HYPERLINK("http://www.uniprot.org/uniprot/M5XF57","M5XF57")</f>
        <v>M5XF57</v>
      </c>
      <c r="D11235" s="2" t="s">
        <v>9535</v>
      </c>
      <c r="E11235" s="3">
        <v>0</v>
      </c>
      <c r="F11235" s="2">
        <v>1821</v>
      </c>
      <c r="G11235" s="2">
        <v>100</v>
      </c>
      <c r="H11235" s="2">
        <v>368</v>
      </c>
      <c r="I11235" s="2">
        <v>193</v>
      </c>
      <c r="J11235" s="2">
        <v>1296</v>
      </c>
      <c r="K11235" s="2">
        <v>1</v>
      </c>
      <c r="L11235" s="2">
        <v>368</v>
      </c>
    </row>
    <row r="11236" spans="1:12" x14ac:dyDescent="0.25">
      <c r="A11236" s="4" t="str">
        <f>HYPERLINK("http://www.rosaceae.org/Prunus/Prunus_persica/p.persica_gdr_reftransV1_0011805","p.persica_gdr_reftransV1_0011805")</f>
        <v>p.persica_gdr_reftransV1_0011805</v>
      </c>
      <c r="B11236" s="2">
        <v>1480</v>
      </c>
      <c r="C11236" s="4" t="str">
        <f>HYPERLINK("http://www.uniprot.org/uniprot/M5VMW6","M5VMW6")</f>
        <v>M5VMW6</v>
      </c>
      <c r="D11236" s="2" t="s">
        <v>9536</v>
      </c>
      <c r="E11236" s="3">
        <v>2.4599999999999998E-125</v>
      </c>
      <c r="F11236" s="2">
        <v>962</v>
      </c>
      <c r="G11236" s="2">
        <v>99</v>
      </c>
      <c r="H11236" s="2">
        <v>179</v>
      </c>
      <c r="I11236" s="2">
        <v>908</v>
      </c>
      <c r="J11236" s="2">
        <v>1444</v>
      </c>
      <c r="K11236" s="2">
        <v>1</v>
      </c>
      <c r="L11236" s="2">
        <v>179</v>
      </c>
    </row>
    <row r="11237" spans="1:12" x14ac:dyDescent="0.25">
      <c r="A11237" s="4" t="str">
        <f>HYPERLINK("http://www.rosaceae.org/Prunus/Prunus_persica/p.persica_gdr_reftransV1_0012505","p.persica_gdr_reftransV1_0012505")</f>
        <v>p.persica_gdr_reftransV1_0012505</v>
      </c>
      <c r="B11237" s="2">
        <v>545</v>
      </c>
      <c r="C11237" s="4" t="str">
        <f>HYPERLINK("http://www.uniprot.org/uniprot/M5WME7","M5WME7")</f>
        <v>M5WME7</v>
      </c>
      <c r="D11237" s="2" t="s">
        <v>1776</v>
      </c>
      <c r="E11237" s="3">
        <v>1.08E-122</v>
      </c>
      <c r="F11237" s="2">
        <v>939</v>
      </c>
      <c r="G11237" s="2">
        <v>100</v>
      </c>
      <c r="H11237" s="2">
        <v>181</v>
      </c>
      <c r="I11237" s="2">
        <v>1</v>
      </c>
      <c r="J11237" s="2">
        <v>543</v>
      </c>
      <c r="K11237" s="2">
        <v>30</v>
      </c>
      <c r="L11237" s="2">
        <v>210</v>
      </c>
    </row>
    <row r="11238" spans="1:12" x14ac:dyDescent="0.25">
      <c r="A11238" s="4" t="str">
        <f>HYPERLINK("http://www.rosaceae.org/Prunus/Prunus_persica/p.persica_gdr_reftransV1_0014255","p.persica_gdr_reftransV1_0014255")</f>
        <v>p.persica_gdr_reftransV1_0014255</v>
      </c>
      <c r="B11238" s="2">
        <v>598</v>
      </c>
      <c r="C11238" s="4" t="str">
        <f>HYPERLINK("http://www.uniprot.org/uniprot/M5VSZ0","M5VSZ0")</f>
        <v>M5VSZ0</v>
      </c>
      <c r="D11238" s="2" t="s">
        <v>5704</v>
      </c>
      <c r="E11238" s="3">
        <v>3.64E-70</v>
      </c>
      <c r="F11238" s="2">
        <v>590</v>
      </c>
      <c r="G11238" s="2">
        <v>100</v>
      </c>
      <c r="H11238" s="2">
        <v>127</v>
      </c>
      <c r="I11238" s="2">
        <v>218</v>
      </c>
      <c r="J11238" s="2">
        <v>598</v>
      </c>
      <c r="K11238" s="2">
        <v>333</v>
      </c>
      <c r="L11238" s="2">
        <v>459</v>
      </c>
    </row>
    <row r="11239" spans="1:12" x14ac:dyDescent="0.25">
      <c r="A11239" s="4" t="str">
        <f>HYPERLINK("http://www.rosaceae.org/Prunus/Prunus_persica/p.persica_gdr_reftransV1_0014605","p.persica_gdr_reftransV1_0014605")</f>
        <v>p.persica_gdr_reftransV1_0014605</v>
      </c>
      <c r="B11239" s="2">
        <v>1900</v>
      </c>
      <c r="C11239" s="4" t="str">
        <f>HYPERLINK("http://www.uniprot.org/uniprot/B9T2N5","B9T2N5")</f>
        <v>B9T2N5</v>
      </c>
      <c r="D11239" s="2" t="s">
        <v>9537</v>
      </c>
      <c r="E11239" s="3">
        <v>4.4100000000000002E-148</v>
      </c>
      <c r="F11239" s="2">
        <v>798</v>
      </c>
      <c r="G11239" s="2">
        <v>80</v>
      </c>
      <c r="H11239" s="2">
        <v>205</v>
      </c>
      <c r="I11239" s="2">
        <v>466</v>
      </c>
      <c r="J11239" s="2">
        <v>1080</v>
      </c>
      <c r="K11239" s="2">
        <v>184</v>
      </c>
      <c r="L11239" s="2">
        <v>388</v>
      </c>
    </row>
    <row r="11240" spans="1:12" x14ac:dyDescent="0.25">
      <c r="A11240" s="4" t="str">
        <f>HYPERLINK("http://www.rosaceae.org/Prunus/Prunus_persica/p.persica_gdr_reftransV1_0014955","p.persica_gdr_reftransV1_0014955")</f>
        <v>p.persica_gdr_reftransV1_0014955</v>
      </c>
      <c r="B11240" s="2">
        <v>1159</v>
      </c>
      <c r="C11240" s="4" t="str">
        <f>HYPERLINK("http://www.uniprot.org/uniprot/M5X2M5","M5X2M5")</f>
        <v>M5X2M5</v>
      </c>
      <c r="D11240" s="2" t="s">
        <v>9538</v>
      </c>
      <c r="E11240" s="3">
        <v>3.83E-105</v>
      </c>
      <c r="F11240" s="2">
        <v>815</v>
      </c>
      <c r="G11240" s="2">
        <v>100</v>
      </c>
      <c r="H11240" s="2">
        <v>154</v>
      </c>
      <c r="I11240" s="2">
        <v>157</v>
      </c>
      <c r="J11240" s="2">
        <v>618</v>
      </c>
      <c r="K11240" s="2">
        <v>1</v>
      </c>
      <c r="L11240" s="2">
        <v>154</v>
      </c>
    </row>
    <row r="11241" spans="1:12" x14ac:dyDescent="0.25">
      <c r="A11241" s="4" t="str">
        <f>HYPERLINK("http://www.rosaceae.org/Prunus/Prunus_persica/p.persica_gdr_reftransV1_0015305","p.persica_gdr_reftransV1_0015305")</f>
        <v>p.persica_gdr_reftransV1_0015305</v>
      </c>
      <c r="B11241" s="2">
        <v>1743</v>
      </c>
      <c r="C11241" s="4" t="str">
        <f>HYPERLINK("http://www.uniprot.org/uniprot/M5VW23","M5VW23")</f>
        <v>M5VW23</v>
      </c>
      <c r="D11241" s="2" t="s">
        <v>9539</v>
      </c>
      <c r="E11241" s="3">
        <v>0</v>
      </c>
      <c r="F11241" s="2">
        <v>1801</v>
      </c>
      <c r="G11241" s="2">
        <v>100</v>
      </c>
      <c r="H11241" s="2">
        <v>384</v>
      </c>
      <c r="I11241" s="2">
        <v>94</v>
      </c>
      <c r="J11241" s="2">
        <v>1245</v>
      </c>
      <c r="K11241" s="2">
        <v>1</v>
      </c>
      <c r="L11241" s="2">
        <v>384</v>
      </c>
    </row>
    <row r="11242" spans="1:12" x14ac:dyDescent="0.25">
      <c r="A11242" s="4" t="str">
        <f>HYPERLINK("http://www.rosaceae.org/Prunus/Prunus_persica/p.persica_gdr_reftransV1_0016355","p.persica_gdr_reftransV1_0016355")</f>
        <v>p.persica_gdr_reftransV1_0016355</v>
      </c>
      <c r="B11242" s="2">
        <v>2700</v>
      </c>
      <c r="C11242" s="4" t="str">
        <f>HYPERLINK("http://www.uniprot.org/uniprot/M5X456","M5X456")</f>
        <v>M5X456</v>
      </c>
      <c r="D11242" s="2" t="s">
        <v>9540</v>
      </c>
      <c r="E11242" s="3">
        <v>6.7900000000000003E-82</v>
      </c>
      <c r="F11242" s="2">
        <v>694</v>
      </c>
      <c r="G11242" s="2">
        <v>99</v>
      </c>
      <c r="H11242" s="2">
        <v>151</v>
      </c>
      <c r="I11242" s="2">
        <v>1554</v>
      </c>
      <c r="J11242" s="2">
        <v>2006</v>
      </c>
      <c r="K11242" s="2">
        <v>1</v>
      </c>
      <c r="L11242" s="2">
        <v>151</v>
      </c>
    </row>
    <row r="11243" spans="1:12" x14ac:dyDescent="0.25">
      <c r="A11243" s="4" t="str">
        <f>HYPERLINK("http://www.rosaceae.org/Prunus/Prunus_persica/p.persica_gdr_reftransV1_0016705","p.persica_gdr_reftransV1_0016705")</f>
        <v>p.persica_gdr_reftransV1_0016705</v>
      </c>
      <c r="B11243" s="2">
        <v>1679</v>
      </c>
      <c r="C11243" s="4" t="str">
        <f>HYPERLINK("http://www.uniprot.org/uniprot/M5WGY4","M5WGY4")</f>
        <v>M5WGY4</v>
      </c>
      <c r="D11243" s="2" t="s">
        <v>1570</v>
      </c>
      <c r="E11243" s="3">
        <v>0</v>
      </c>
      <c r="F11243" s="2">
        <v>2541</v>
      </c>
      <c r="G11243" s="2">
        <v>95</v>
      </c>
      <c r="H11243" s="2">
        <v>520</v>
      </c>
      <c r="I11243" s="2">
        <v>118</v>
      </c>
      <c r="J11243" s="2">
        <v>1677</v>
      </c>
      <c r="K11243" s="2">
        <v>219</v>
      </c>
      <c r="L11243" s="2">
        <v>737</v>
      </c>
    </row>
    <row r="11244" spans="1:12" x14ac:dyDescent="0.25">
      <c r="A11244" s="4" t="str">
        <f>HYPERLINK("http://www.rosaceae.org/Prunus/Prunus_persica/p.persica_gdr_reftransV1_0017055","p.persica_gdr_reftransV1_0017055")</f>
        <v>p.persica_gdr_reftransV1_0017055</v>
      </c>
      <c r="B11244" s="2">
        <v>1349</v>
      </c>
      <c r="C11244" s="4" t="str">
        <f>HYPERLINK("http://www.uniprot.org/uniprot/M5WGS4","M5WGS4")</f>
        <v>M5WGS4</v>
      </c>
      <c r="D11244" s="2" t="s">
        <v>9541</v>
      </c>
      <c r="E11244" s="3">
        <v>0</v>
      </c>
      <c r="F11244" s="2">
        <v>1453</v>
      </c>
      <c r="G11244" s="2">
        <v>100</v>
      </c>
      <c r="H11244" s="2">
        <v>272</v>
      </c>
      <c r="I11244" s="2">
        <v>348</v>
      </c>
      <c r="J11244" s="2">
        <v>1163</v>
      </c>
      <c r="K11244" s="2">
        <v>1</v>
      </c>
      <c r="L11244" s="2">
        <v>272</v>
      </c>
    </row>
    <row r="11245" spans="1:12" x14ac:dyDescent="0.25">
      <c r="A11245" s="4" t="str">
        <f>HYPERLINK("http://www.rosaceae.org/Prunus/Prunus_persica/p.persica_gdr_reftransV1_0018455","p.persica_gdr_reftransV1_0018455")</f>
        <v>p.persica_gdr_reftransV1_0018455</v>
      </c>
      <c r="B11245" s="2">
        <v>864</v>
      </c>
      <c r="C11245" s="4" t="str">
        <f>HYPERLINK("http://www.uniprot.org/uniprot/M5XDV1","M5XDV1")</f>
        <v>M5XDV1</v>
      </c>
      <c r="D11245" s="2" t="s">
        <v>2916</v>
      </c>
      <c r="E11245" s="3">
        <v>0</v>
      </c>
      <c r="F11245" s="2">
        <v>1516</v>
      </c>
      <c r="G11245" s="2">
        <v>100</v>
      </c>
      <c r="H11245" s="2">
        <v>287</v>
      </c>
      <c r="I11245" s="2">
        <v>3</v>
      </c>
      <c r="J11245" s="2">
        <v>863</v>
      </c>
      <c r="K11245" s="2">
        <v>29</v>
      </c>
      <c r="L11245" s="2">
        <v>315</v>
      </c>
    </row>
    <row r="11246" spans="1:12" x14ac:dyDescent="0.25">
      <c r="A11246" s="4" t="str">
        <f>HYPERLINK("http://www.rosaceae.org/Prunus/Prunus_persica/p.persica_gdr_reftransV1_0019855","p.persica_gdr_reftransV1_0019855")</f>
        <v>p.persica_gdr_reftransV1_0019855</v>
      </c>
      <c r="B11246" s="2">
        <v>2541</v>
      </c>
      <c r="C11246" s="4" t="str">
        <f>HYPERLINK("http://www.uniprot.org/uniprot/A5BCC4","A5BCC4")</f>
        <v>A5BCC4</v>
      </c>
      <c r="D11246" s="2" t="s">
        <v>9542</v>
      </c>
      <c r="E11246" s="3">
        <v>0</v>
      </c>
      <c r="F11246" s="2">
        <v>2324</v>
      </c>
      <c r="G11246" s="2">
        <v>76</v>
      </c>
      <c r="H11246" s="2">
        <v>572</v>
      </c>
      <c r="I11246" s="2">
        <v>576</v>
      </c>
      <c r="J11246" s="2">
        <v>2291</v>
      </c>
      <c r="K11246" s="2">
        <v>108</v>
      </c>
      <c r="L11246" s="2">
        <v>679</v>
      </c>
    </row>
    <row r="11247" spans="1:12" x14ac:dyDescent="0.25">
      <c r="A11247" s="4" t="str">
        <f>HYPERLINK("http://www.rosaceae.org/Prunus/Prunus_persica/p.persica_gdr_reftransV1_0020205","p.persica_gdr_reftransV1_0020205")</f>
        <v>p.persica_gdr_reftransV1_0020205</v>
      </c>
      <c r="B11247" s="2">
        <v>3087</v>
      </c>
      <c r="C11247" s="4" t="str">
        <f>HYPERLINK("http://www.uniprot.org/uniprot/M5WGD1","M5WGD1")</f>
        <v>M5WGD1</v>
      </c>
      <c r="D11247" s="2" t="s">
        <v>9543</v>
      </c>
      <c r="E11247" s="3">
        <v>0</v>
      </c>
      <c r="F11247" s="2">
        <v>2042</v>
      </c>
      <c r="G11247" s="2">
        <v>98</v>
      </c>
      <c r="H11247" s="2">
        <v>402</v>
      </c>
      <c r="I11247" s="2">
        <v>959</v>
      </c>
      <c r="J11247" s="2">
        <v>2152</v>
      </c>
      <c r="K11247" s="2">
        <v>187</v>
      </c>
      <c r="L11247" s="2">
        <v>584</v>
      </c>
    </row>
    <row r="11248" spans="1:12" x14ac:dyDescent="0.25">
      <c r="A11248" s="4" t="str">
        <f>HYPERLINK("http://www.rosaceae.org/Prunus/Prunus_persica/p.persica_gdr_reftransV1_0021255","p.persica_gdr_reftransV1_0021255")</f>
        <v>p.persica_gdr_reftransV1_0021255</v>
      </c>
      <c r="B11248" s="2">
        <v>1866</v>
      </c>
      <c r="C11248" s="4" t="str">
        <f>HYPERLINK("http://www.uniprot.org/uniprot/M5W152","M5W152")</f>
        <v>M5W152</v>
      </c>
      <c r="D11248" s="2" t="s">
        <v>4763</v>
      </c>
      <c r="E11248" s="3">
        <v>3.2599999999999998E-145</v>
      </c>
      <c r="F11248" s="2">
        <v>1122</v>
      </c>
      <c r="G11248" s="2">
        <v>100</v>
      </c>
      <c r="H11248" s="2">
        <v>211</v>
      </c>
      <c r="I11248" s="2">
        <v>60</v>
      </c>
      <c r="J11248" s="2">
        <v>692</v>
      </c>
      <c r="K11248" s="2">
        <v>1</v>
      </c>
      <c r="L11248" s="2">
        <v>211</v>
      </c>
    </row>
    <row r="11249" spans="1:12" x14ac:dyDescent="0.25">
      <c r="A11249" s="4" t="str">
        <f>HYPERLINK("http://www.rosaceae.org/Prunus/Prunus_persica/p.persica_gdr_reftransV1_0022305","p.persica_gdr_reftransV1_0022305")</f>
        <v>p.persica_gdr_reftransV1_0022305</v>
      </c>
      <c r="B11249" s="2">
        <v>992</v>
      </c>
      <c r="C11249" s="4" t="str">
        <f>HYPERLINK("http://www.uniprot.org/uniprot/M5XG87","M5XG87")</f>
        <v>M5XG87</v>
      </c>
      <c r="D11249" s="2" t="s">
        <v>9544</v>
      </c>
      <c r="E11249" s="3">
        <v>1.29E-60</v>
      </c>
      <c r="F11249" s="2">
        <v>512</v>
      </c>
      <c r="G11249" s="2">
        <v>100</v>
      </c>
      <c r="H11249" s="2">
        <v>127</v>
      </c>
      <c r="I11249" s="2">
        <v>69</v>
      </c>
      <c r="J11249" s="2">
        <v>449</v>
      </c>
      <c r="K11249" s="2">
        <v>1</v>
      </c>
      <c r="L11249" s="2">
        <v>127</v>
      </c>
    </row>
    <row r="11250" spans="1:12" x14ac:dyDescent="0.25">
      <c r="A11250" s="4" t="str">
        <f>HYPERLINK("http://www.rosaceae.org/Prunus/Prunus_persica/p.persica_gdr_reftransV1_0023705","p.persica_gdr_reftransV1_0023705")</f>
        <v>p.persica_gdr_reftransV1_0023705</v>
      </c>
      <c r="B11250" s="2">
        <v>4151</v>
      </c>
      <c r="C11250" s="4" t="str">
        <f>HYPERLINK("http://www.uniprot.org/uniprot/M5XIY8","M5XIY8")</f>
        <v>M5XIY8</v>
      </c>
      <c r="D11250" s="2" t="s">
        <v>9545</v>
      </c>
      <c r="E11250" s="3">
        <v>0</v>
      </c>
      <c r="F11250" s="2">
        <v>2256</v>
      </c>
      <c r="G11250" s="2">
        <v>96</v>
      </c>
      <c r="H11250" s="2">
        <v>455</v>
      </c>
      <c r="I11250" s="2">
        <v>2494</v>
      </c>
      <c r="J11250" s="2">
        <v>3858</v>
      </c>
      <c r="K11250" s="2">
        <v>1</v>
      </c>
      <c r="L11250" s="2">
        <v>437</v>
      </c>
    </row>
    <row r="11251" spans="1:12" x14ac:dyDescent="0.25">
      <c r="A11251" s="4" t="str">
        <f>HYPERLINK("http://www.rosaceae.org/Prunus/Prunus_persica/p.persica_gdr_reftransV1_0024405","p.persica_gdr_reftransV1_0024405")</f>
        <v>p.persica_gdr_reftransV1_0024405</v>
      </c>
      <c r="B11251" s="2">
        <v>1888</v>
      </c>
      <c r="C11251" s="4" t="str">
        <f>HYPERLINK("http://www.uniprot.org/uniprot/M5VJ53","M5VJ53")</f>
        <v>M5VJ53</v>
      </c>
      <c r="D11251" s="2" t="s">
        <v>9546</v>
      </c>
      <c r="E11251" s="3">
        <v>0</v>
      </c>
      <c r="F11251" s="2">
        <v>2057</v>
      </c>
      <c r="G11251" s="2">
        <v>94</v>
      </c>
      <c r="H11251" s="2">
        <v>430</v>
      </c>
      <c r="I11251" s="2">
        <v>141</v>
      </c>
      <c r="J11251" s="2">
        <v>1430</v>
      </c>
      <c r="K11251" s="2">
        <v>1</v>
      </c>
      <c r="L11251" s="2">
        <v>404</v>
      </c>
    </row>
    <row r="11252" spans="1:12" x14ac:dyDescent="0.25">
      <c r="A11252" s="4" t="str">
        <f>HYPERLINK("http://www.rosaceae.org/Prunus/Prunus_persica/p.persica_gdr_reftransV1_0025105","p.persica_gdr_reftransV1_0025105")</f>
        <v>p.persica_gdr_reftransV1_0025105</v>
      </c>
      <c r="B11252" s="2">
        <v>2307</v>
      </c>
      <c r="C11252" s="4" t="str">
        <f>HYPERLINK("http://www.uniprot.org/uniprot/M5WI86","M5WI86")</f>
        <v>M5WI86</v>
      </c>
      <c r="D11252" s="2" t="s">
        <v>5666</v>
      </c>
      <c r="E11252" s="3">
        <v>8.3900000000000003E-127</v>
      </c>
      <c r="F11252" s="2">
        <v>1017</v>
      </c>
      <c r="G11252" s="2">
        <v>99</v>
      </c>
      <c r="H11252" s="2">
        <v>214</v>
      </c>
      <c r="I11252" s="2">
        <v>1510</v>
      </c>
      <c r="J11252" s="2">
        <v>2151</v>
      </c>
      <c r="K11252" s="2">
        <v>1</v>
      </c>
      <c r="L11252" s="2">
        <v>214</v>
      </c>
    </row>
    <row r="11253" spans="1:12" x14ac:dyDescent="0.25">
      <c r="A11253" s="4" t="str">
        <f>HYPERLINK("http://www.rosaceae.org/Prunus/Prunus_persica/p.persica_gdr_reftransV1_0026155","p.persica_gdr_reftransV1_0026155")</f>
        <v>p.persica_gdr_reftransV1_0026155</v>
      </c>
      <c r="B11253" s="2">
        <v>1447</v>
      </c>
      <c r="C11253" s="4" t="str">
        <f>HYPERLINK("http://www.uniprot.org/uniprot/M5W9F0","M5W9F0")</f>
        <v>M5W9F0</v>
      </c>
      <c r="D11253" s="2" t="s">
        <v>9547</v>
      </c>
      <c r="E11253" s="3">
        <v>0</v>
      </c>
      <c r="F11253" s="2">
        <v>1866</v>
      </c>
      <c r="G11253" s="2">
        <v>100</v>
      </c>
      <c r="H11253" s="2">
        <v>366</v>
      </c>
      <c r="I11253" s="2">
        <v>3</v>
      </c>
      <c r="J11253" s="2">
        <v>1100</v>
      </c>
      <c r="K11253" s="2">
        <v>60</v>
      </c>
      <c r="L11253" s="2">
        <v>425</v>
      </c>
    </row>
    <row r="11254" spans="1:12" x14ac:dyDescent="0.25">
      <c r="A11254" s="4" t="str">
        <f>HYPERLINK("http://www.rosaceae.org/Prunus/Prunus_persica/p.persica_gdr_reftransV1_0026505","p.persica_gdr_reftransV1_0026505")</f>
        <v>p.persica_gdr_reftransV1_0026505</v>
      </c>
      <c r="B11254" s="2">
        <v>782</v>
      </c>
      <c r="C11254" s="4" t="str">
        <f>HYPERLINK("http://www.uniprot.org/uniprot/M5WWF2","M5WWF2")</f>
        <v>M5WWF2</v>
      </c>
      <c r="D11254" s="2" t="s">
        <v>9548</v>
      </c>
      <c r="E11254" s="3">
        <v>1.2100000000000001E-97</v>
      </c>
      <c r="F11254" s="2">
        <v>759</v>
      </c>
      <c r="G11254" s="2">
        <v>100</v>
      </c>
      <c r="H11254" s="2">
        <v>188</v>
      </c>
      <c r="I11254" s="2">
        <v>219</v>
      </c>
      <c r="J11254" s="2">
        <v>782</v>
      </c>
      <c r="K11254" s="2">
        <v>25</v>
      </c>
      <c r="L11254" s="2">
        <v>212</v>
      </c>
    </row>
    <row r="11255" spans="1:12" x14ac:dyDescent="0.25">
      <c r="A11255" s="4" t="str">
        <f>HYPERLINK("http://www.rosaceae.org/Prunus/Prunus_persica/p.persica_gdr_reftransV1_0029655","p.persica_gdr_reftransV1_0029655")</f>
        <v>p.persica_gdr_reftransV1_0029655</v>
      </c>
      <c r="B11255" s="2">
        <v>2115</v>
      </c>
      <c r="C11255" s="4" t="str">
        <f>HYPERLINK("http://www.uniprot.org/uniprot/M5VKQ7","M5VKQ7")</f>
        <v>M5VKQ7</v>
      </c>
      <c r="D11255" s="2" t="s">
        <v>9549</v>
      </c>
      <c r="E11255" s="3">
        <v>2.1600000000000001E-122</v>
      </c>
      <c r="F11255" s="2">
        <v>972</v>
      </c>
      <c r="G11255" s="2">
        <v>98</v>
      </c>
      <c r="H11255" s="2">
        <v>202</v>
      </c>
      <c r="I11255" s="2">
        <v>1368</v>
      </c>
      <c r="J11255" s="2">
        <v>1973</v>
      </c>
      <c r="K11255" s="2">
        <v>1</v>
      </c>
      <c r="L11255" s="2">
        <v>202</v>
      </c>
    </row>
    <row r="11256" spans="1:12" x14ac:dyDescent="0.25">
      <c r="A11256" s="4" t="str">
        <f>HYPERLINK("http://www.rosaceae.org/Prunus/Prunus_persica/p.persica_gdr_reftransV1_0030355","p.persica_gdr_reftransV1_0030355")</f>
        <v>p.persica_gdr_reftransV1_0030355</v>
      </c>
      <c r="B11256" s="2">
        <v>2087</v>
      </c>
      <c r="C11256" s="4" t="str">
        <f>HYPERLINK("http://www.uniprot.org/uniprot/M5XCQ3","M5XCQ3")</f>
        <v>M5XCQ3</v>
      </c>
      <c r="D11256" s="2" t="s">
        <v>9550</v>
      </c>
      <c r="E11256" s="3">
        <v>0</v>
      </c>
      <c r="F11256" s="2">
        <v>1926</v>
      </c>
      <c r="G11256" s="2">
        <v>98</v>
      </c>
      <c r="H11256" s="2">
        <v>387</v>
      </c>
      <c r="I11256" s="2">
        <v>297</v>
      </c>
      <c r="J11256" s="2">
        <v>1457</v>
      </c>
      <c r="K11256" s="2">
        <v>1</v>
      </c>
      <c r="L11256" s="2">
        <v>387</v>
      </c>
    </row>
    <row r="11257" spans="1:12" x14ac:dyDescent="0.25">
      <c r="A11257" s="4" t="str">
        <f>HYPERLINK("http://www.rosaceae.org/Prunus/Prunus_persica/p.persica_gdr_reftransV1_0030705","p.persica_gdr_reftransV1_0030705")</f>
        <v>p.persica_gdr_reftransV1_0030705</v>
      </c>
      <c r="B11257" s="2">
        <v>803</v>
      </c>
      <c r="C11257" s="4" t="str">
        <f>HYPERLINK("http://www.uniprot.org/uniprot/M5WJW7","M5WJW7")</f>
        <v>M5WJW7</v>
      </c>
      <c r="D11257" s="2" t="s">
        <v>5879</v>
      </c>
      <c r="E11257" s="3">
        <v>1.81E-160</v>
      </c>
      <c r="F11257" s="2">
        <v>1235</v>
      </c>
      <c r="G11257" s="2">
        <v>89</v>
      </c>
      <c r="H11257" s="2">
        <v>266</v>
      </c>
      <c r="I11257" s="2">
        <v>3</v>
      </c>
      <c r="J11257" s="2">
        <v>800</v>
      </c>
      <c r="K11257" s="2">
        <v>335</v>
      </c>
      <c r="L11257" s="2">
        <v>600</v>
      </c>
    </row>
    <row r="11258" spans="1:12" x14ac:dyDescent="0.25">
      <c r="A11258" s="4" t="str">
        <f>HYPERLINK("http://www.rosaceae.org/Prunus/Prunus_persica/p.persica_gdr_reftransV1_0031055","p.persica_gdr_reftransV1_0031055")</f>
        <v>p.persica_gdr_reftransV1_0031055</v>
      </c>
      <c r="B11258" s="2">
        <v>4191</v>
      </c>
      <c r="C11258" s="4" t="str">
        <f>HYPERLINK("http://www.uniprot.org/uniprot/M5X0S7","M5X0S7")</f>
        <v>M5X0S7</v>
      </c>
      <c r="D11258" s="2" t="s">
        <v>9551</v>
      </c>
      <c r="E11258" s="3">
        <v>1.04E-126</v>
      </c>
      <c r="F11258" s="2">
        <v>1036</v>
      </c>
      <c r="G11258" s="2">
        <v>100</v>
      </c>
      <c r="H11258" s="2">
        <v>200</v>
      </c>
      <c r="I11258" s="2">
        <v>271</v>
      </c>
      <c r="J11258" s="2">
        <v>870</v>
      </c>
      <c r="K11258" s="2">
        <v>1</v>
      </c>
      <c r="L11258" s="2">
        <v>200</v>
      </c>
    </row>
    <row r="11259" spans="1:12" x14ac:dyDescent="0.25">
      <c r="A11259" s="4" t="str">
        <f>HYPERLINK("http://www.rosaceae.org/Prunus/Prunus_persica/p.persica_gdr_reftransV1_0031405","p.persica_gdr_reftransV1_0031405")</f>
        <v>p.persica_gdr_reftransV1_0031405</v>
      </c>
      <c r="B11259" s="2">
        <v>1270</v>
      </c>
      <c r="C11259" s="4" t="str">
        <f>HYPERLINK("http://www.uniprot.org/uniprot/M5X9J7","M5X9J7")</f>
        <v>M5X9J7</v>
      </c>
      <c r="D11259" s="2" t="s">
        <v>9552</v>
      </c>
      <c r="E11259" s="3">
        <v>0</v>
      </c>
      <c r="F11259" s="2">
        <v>1729</v>
      </c>
      <c r="G11259" s="2">
        <v>100</v>
      </c>
      <c r="H11259" s="2">
        <v>322</v>
      </c>
      <c r="I11259" s="2">
        <v>1</v>
      </c>
      <c r="J11259" s="2">
        <v>966</v>
      </c>
      <c r="K11259" s="2">
        <v>178</v>
      </c>
      <c r="L11259" s="2">
        <v>499</v>
      </c>
    </row>
    <row r="11260" spans="1:12" x14ac:dyDescent="0.25">
      <c r="A11260" s="4" t="str">
        <f>HYPERLINK("http://www.rosaceae.org/Prunus/Prunus_persica/p.persica_gdr_reftransV1_0031755","p.persica_gdr_reftransV1_0031755")</f>
        <v>p.persica_gdr_reftransV1_0031755</v>
      </c>
      <c r="B11260" s="2">
        <v>4736</v>
      </c>
      <c r="C11260" s="4" t="str">
        <f>HYPERLINK("http://www.uniprot.org/uniprot/M5Y4C0","M5Y4C0")</f>
        <v>M5Y4C0</v>
      </c>
      <c r="D11260" s="2" t="s">
        <v>9553</v>
      </c>
      <c r="E11260" s="3">
        <v>0</v>
      </c>
      <c r="F11260" s="2">
        <v>5582</v>
      </c>
      <c r="G11260" s="2">
        <v>99</v>
      </c>
      <c r="H11260" s="2">
        <v>1393</v>
      </c>
      <c r="I11260" s="2">
        <v>265</v>
      </c>
      <c r="J11260" s="2">
        <v>4443</v>
      </c>
      <c r="K11260" s="2">
        <v>1</v>
      </c>
      <c r="L11260" s="2">
        <v>1382</v>
      </c>
    </row>
    <row r="11261" spans="1:12" x14ac:dyDescent="0.25">
      <c r="A11261" s="4" t="str">
        <f>HYPERLINK("http://www.rosaceae.org/Prunus/Prunus_persica/p.persica_gdr_reftransV1_0032455","p.persica_gdr_reftransV1_0032455")</f>
        <v>p.persica_gdr_reftransV1_0032455</v>
      </c>
      <c r="B11261" s="2">
        <v>3504</v>
      </c>
      <c r="C11261" s="4" t="str">
        <f>HYPERLINK("http://www.uniprot.org/uniprot/M5XUT5","M5XUT5")</f>
        <v>M5XUT5</v>
      </c>
      <c r="D11261" s="2" t="s">
        <v>5065</v>
      </c>
      <c r="E11261" s="3">
        <v>0</v>
      </c>
      <c r="F11261" s="2">
        <v>1432</v>
      </c>
      <c r="G11261" s="2">
        <v>89</v>
      </c>
      <c r="H11261" s="2">
        <v>323</v>
      </c>
      <c r="I11261" s="2">
        <v>1444</v>
      </c>
      <c r="J11261" s="2">
        <v>2394</v>
      </c>
      <c r="K11261" s="2">
        <v>4</v>
      </c>
      <c r="L11261" s="2">
        <v>326</v>
      </c>
    </row>
    <row r="11262" spans="1:12" x14ac:dyDescent="0.25">
      <c r="A11262" s="4" t="str">
        <f>HYPERLINK("http://www.rosaceae.org/Prunus/Prunus_persica/p.persica_gdr_reftransV1_0033855","p.persica_gdr_reftransV1_0033855")</f>
        <v>p.persica_gdr_reftransV1_0033855</v>
      </c>
      <c r="B11262" s="2">
        <v>2188</v>
      </c>
      <c r="C11262" s="4" t="str">
        <f>HYPERLINK("http://www.uniprot.org/uniprot/M5W710","M5W710")</f>
        <v>M5W710</v>
      </c>
      <c r="D11262" s="2" t="s">
        <v>2804</v>
      </c>
      <c r="E11262" s="3">
        <v>1.89E-76</v>
      </c>
      <c r="F11262" s="2">
        <v>651</v>
      </c>
      <c r="G11262" s="2">
        <v>98</v>
      </c>
      <c r="H11262" s="2">
        <v>133</v>
      </c>
      <c r="I11262" s="2">
        <v>873</v>
      </c>
      <c r="J11262" s="2">
        <v>1271</v>
      </c>
      <c r="K11262" s="2">
        <v>48</v>
      </c>
      <c r="L11262" s="2">
        <v>179</v>
      </c>
    </row>
    <row r="11263" spans="1:12" x14ac:dyDescent="0.25">
      <c r="A11263" s="4" t="str">
        <f>HYPERLINK("http://www.rosaceae.org/Prunus/Prunus_persica/p.persica_gdr_reftransV1_0034555","p.persica_gdr_reftransV1_0034555")</f>
        <v>p.persica_gdr_reftransV1_0034555</v>
      </c>
      <c r="B11263" s="2">
        <v>1079</v>
      </c>
      <c r="C11263" s="4" t="str">
        <f>HYPERLINK("http://www.uniprot.org/uniprot/M5Y5J1","M5Y5J1")</f>
        <v>M5Y5J1</v>
      </c>
      <c r="D11263" s="2" t="s">
        <v>9554</v>
      </c>
      <c r="E11263" s="3">
        <v>1.68E-65</v>
      </c>
      <c r="F11263" s="2">
        <v>518</v>
      </c>
      <c r="G11263" s="2">
        <v>100</v>
      </c>
      <c r="H11263" s="2">
        <v>99</v>
      </c>
      <c r="I11263" s="2">
        <v>140</v>
      </c>
      <c r="J11263" s="2">
        <v>436</v>
      </c>
      <c r="K11263" s="2">
        <v>1</v>
      </c>
      <c r="L11263" s="2">
        <v>99</v>
      </c>
    </row>
    <row r="11264" spans="1:12" x14ac:dyDescent="0.25">
      <c r="A11264" s="4" t="str">
        <f>HYPERLINK("http://www.rosaceae.org/Prunus/Prunus_persica/p.persica_gdr_reftransV1_0035605","p.persica_gdr_reftransV1_0035605")</f>
        <v>p.persica_gdr_reftransV1_0035605</v>
      </c>
      <c r="B11264" s="2">
        <v>3230</v>
      </c>
      <c r="C11264" s="4" t="str">
        <f>HYPERLINK("http://www.uniprot.org/uniprot/M5XGL5","M5XGL5")</f>
        <v>M5XGL5</v>
      </c>
      <c r="D11264" s="2" t="s">
        <v>9555</v>
      </c>
      <c r="E11264" s="3">
        <v>0</v>
      </c>
      <c r="F11264" s="2">
        <v>2574</v>
      </c>
      <c r="G11264" s="2">
        <v>100</v>
      </c>
      <c r="H11264" s="2">
        <v>691</v>
      </c>
      <c r="I11264" s="2">
        <v>784</v>
      </c>
      <c r="J11264" s="2">
        <v>2856</v>
      </c>
      <c r="K11264" s="2">
        <v>1</v>
      </c>
      <c r="L11264" s="2">
        <v>691</v>
      </c>
    </row>
    <row r="11265" spans="1:12" x14ac:dyDescent="0.25">
      <c r="A11265" s="4" t="str">
        <f>HYPERLINK("http://www.rosaceae.org/Prunus/Prunus_persica/p.persica_gdr_reftransV1_0037355","p.persica_gdr_reftransV1_0037355")</f>
        <v>p.persica_gdr_reftransV1_0037355</v>
      </c>
      <c r="B11265" s="2">
        <v>1848</v>
      </c>
      <c r="C11265" s="4" t="str">
        <f>HYPERLINK("http://www.uniprot.org/uniprot/M5W213","M5W213")</f>
        <v>M5W213</v>
      </c>
      <c r="D11265" s="2" t="s">
        <v>9556</v>
      </c>
      <c r="E11265" s="3">
        <v>0</v>
      </c>
      <c r="F11265" s="2">
        <v>2178</v>
      </c>
      <c r="G11265" s="2">
        <v>96</v>
      </c>
      <c r="H11265" s="2">
        <v>446</v>
      </c>
      <c r="I11265" s="2">
        <v>339</v>
      </c>
      <c r="J11265" s="2">
        <v>1676</v>
      </c>
      <c r="K11265" s="2">
        <v>1</v>
      </c>
      <c r="L11265" s="2">
        <v>434</v>
      </c>
    </row>
    <row r="11266" spans="1:12" x14ac:dyDescent="0.25">
      <c r="A11266" s="4" t="str">
        <f>HYPERLINK("http://www.rosaceae.org/Prunus/Prunus_persica/p.persica_gdr_reftransV1_0038405","p.persica_gdr_reftransV1_0038405")</f>
        <v>p.persica_gdr_reftransV1_0038405</v>
      </c>
      <c r="B11266" s="2">
        <v>1253</v>
      </c>
      <c r="C11266" s="4" t="str">
        <f>HYPERLINK("http://www.uniprot.org/uniprot/M5WHB9","M5WHB9")</f>
        <v>M5WHB9</v>
      </c>
      <c r="D11266" s="2" t="s">
        <v>9557</v>
      </c>
      <c r="E11266" s="3">
        <v>1.49E-136</v>
      </c>
      <c r="F11266" s="2">
        <v>978</v>
      </c>
      <c r="G11266" s="2">
        <v>96</v>
      </c>
      <c r="H11266" s="2">
        <v>191</v>
      </c>
      <c r="I11266" s="2">
        <v>603</v>
      </c>
      <c r="J11266" s="2">
        <v>1175</v>
      </c>
      <c r="K11266" s="2">
        <v>5</v>
      </c>
      <c r="L11266" s="2">
        <v>195</v>
      </c>
    </row>
    <row r="11267" spans="1:12" x14ac:dyDescent="0.25">
      <c r="A11267" s="4" t="str">
        <f>HYPERLINK("http://www.rosaceae.org/Prunus/Prunus_persica/p.persica_gdr_reftransV1_0041205","p.persica_gdr_reftransV1_0041205")</f>
        <v>p.persica_gdr_reftransV1_0041205</v>
      </c>
      <c r="B11267" s="2">
        <v>2007</v>
      </c>
      <c r="C11267" s="4" t="str">
        <f>HYPERLINK("http://www.uniprot.org/uniprot/M5X8W7","M5X8W7")</f>
        <v>M5X8W7</v>
      </c>
      <c r="D11267" s="2" t="s">
        <v>9558</v>
      </c>
      <c r="E11267" s="3">
        <v>4.2699999999999997E-177</v>
      </c>
      <c r="F11267" s="2">
        <v>1332</v>
      </c>
      <c r="G11267" s="2">
        <v>100</v>
      </c>
      <c r="H11267" s="2">
        <v>250</v>
      </c>
      <c r="I11267" s="2">
        <v>251</v>
      </c>
      <c r="J11267" s="2">
        <v>1000</v>
      </c>
      <c r="K11267" s="2">
        <v>15</v>
      </c>
      <c r="L11267" s="2">
        <v>264</v>
      </c>
    </row>
    <row r="11268" spans="1:12" x14ac:dyDescent="0.25">
      <c r="A11268" s="4" t="str">
        <f>HYPERLINK("http://www.rosaceae.org/Prunus/Prunus_persica/p.persica_gdr_reftransV1_0043305","p.persica_gdr_reftransV1_0043305")</f>
        <v>p.persica_gdr_reftransV1_0043305</v>
      </c>
      <c r="B11268" s="2">
        <v>1328</v>
      </c>
      <c r="C11268" s="4" t="str">
        <f>HYPERLINK("http://www.uniprot.org/uniprot/M5XBH2","M5XBH2")</f>
        <v>M5XBH2</v>
      </c>
      <c r="D11268" s="2" t="s">
        <v>9559</v>
      </c>
      <c r="E11268" s="3">
        <v>0</v>
      </c>
      <c r="F11268" s="2">
        <v>1751</v>
      </c>
      <c r="G11268" s="2">
        <v>96</v>
      </c>
      <c r="H11268" s="2">
        <v>376</v>
      </c>
      <c r="I11268" s="2">
        <v>2</v>
      </c>
      <c r="J11268" s="2">
        <v>1129</v>
      </c>
      <c r="K11268" s="2">
        <v>2</v>
      </c>
      <c r="L11268" s="2">
        <v>362</v>
      </c>
    </row>
    <row r="11269" spans="1:12" x14ac:dyDescent="0.25">
      <c r="A11269" s="4" t="str">
        <f>HYPERLINK("http://www.rosaceae.org/Prunus/Prunus_persica/p.persica_gdr_reftransV1_0043655","p.persica_gdr_reftransV1_0043655")</f>
        <v>p.persica_gdr_reftransV1_0043655</v>
      </c>
      <c r="B11269" s="2">
        <v>656</v>
      </c>
      <c r="C11269" s="4" t="str">
        <f>HYPERLINK("http://www.uniprot.org/uniprot/M5WGL8","M5WGL8")</f>
        <v>M5WGL8</v>
      </c>
      <c r="D11269" s="2" t="s">
        <v>8312</v>
      </c>
      <c r="E11269" s="3">
        <v>4.2999999999999996E-140</v>
      </c>
      <c r="F11269" s="2">
        <v>1043</v>
      </c>
      <c r="G11269" s="2">
        <v>100</v>
      </c>
      <c r="H11269" s="2">
        <v>193</v>
      </c>
      <c r="I11269" s="2">
        <v>3</v>
      </c>
      <c r="J11269" s="2">
        <v>581</v>
      </c>
      <c r="K11269" s="2">
        <v>115</v>
      </c>
      <c r="L11269" s="2">
        <v>307</v>
      </c>
    </row>
    <row r="11270" spans="1:12" x14ac:dyDescent="0.25">
      <c r="A11270" s="4" t="str">
        <f>HYPERLINK("http://www.rosaceae.org/Prunus/Prunus_persica/p.persica_gdr_reftransV1_0044005","p.persica_gdr_reftransV1_0044005")</f>
        <v>p.persica_gdr_reftransV1_0044005</v>
      </c>
      <c r="B11270" s="2">
        <v>350</v>
      </c>
      <c r="C11270" s="4" t="str">
        <f>HYPERLINK("http://www.uniprot.org/uniprot/M5WM19","M5WM19")</f>
        <v>M5WM19</v>
      </c>
      <c r="D11270" s="2" t="s">
        <v>9560</v>
      </c>
      <c r="E11270" s="3">
        <v>1.7700000000000001E-7</v>
      </c>
      <c r="F11270" s="2">
        <v>128</v>
      </c>
      <c r="G11270" s="2">
        <v>100</v>
      </c>
      <c r="H11270" s="2">
        <v>25</v>
      </c>
      <c r="I11270" s="2">
        <v>245</v>
      </c>
      <c r="J11270" s="2">
        <v>319</v>
      </c>
      <c r="K11270" s="2">
        <v>1</v>
      </c>
      <c r="L11270" s="2">
        <v>25</v>
      </c>
    </row>
    <row r="11271" spans="1:12" x14ac:dyDescent="0.25">
      <c r="A11271" s="4" t="str">
        <f>HYPERLINK("http://www.rosaceae.org/Prunus/Prunus_persica/p.persica_gdr_reftransV1_0044355","p.persica_gdr_reftransV1_0044355")</f>
        <v>p.persica_gdr_reftransV1_0044355</v>
      </c>
      <c r="B11271" s="2">
        <v>1920</v>
      </c>
      <c r="C11271" s="4" t="str">
        <f>HYPERLINK("http://www.uniprot.org/uniprot/M5W8P6","M5W8P6")</f>
        <v>M5W8P6</v>
      </c>
      <c r="D11271" s="2" t="s">
        <v>9561</v>
      </c>
      <c r="E11271" s="3">
        <v>0</v>
      </c>
      <c r="F11271" s="2">
        <v>1545</v>
      </c>
      <c r="G11271" s="2">
        <v>99</v>
      </c>
      <c r="H11271" s="2">
        <v>308</v>
      </c>
      <c r="I11271" s="2">
        <v>797</v>
      </c>
      <c r="J11271" s="2">
        <v>1720</v>
      </c>
      <c r="K11271" s="2">
        <v>1</v>
      </c>
      <c r="L11271" s="2">
        <v>308</v>
      </c>
    </row>
    <row r="11272" spans="1:12" x14ac:dyDescent="0.25">
      <c r="A11272" s="4" t="str">
        <f>HYPERLINK("http://www.rosaceae.org/Prunus/Prunus_persica/p.persica_gdr_reftransV1_0045055","p.persica_gdr_reftransV1_0045055")</f>
        <v>p.persica_gdr_reftransV1_0045055</v>
      </c>
      <c r="B11272" s="2">
        <v>1716</v>
      </c>
      <c r="C11272" s="4" t="str">
        <f>HYPERLINK("http://www.uniprot.org/uniprot/M5XG64","M5XG64")</f>
        <v>M5XG64</v>
      </c>
      <c r="D11272" s="2" t="s">
        <v>2440</v>
      </c>
      <c r="E11272" s="3">
        <v>0</v>
      </c>
      <c r="F11272" s="2">
        <v>1442</v>
      </c>
      <c r="G11272" s="2">
        <v>100</v>
      </c>
      <c r="H11272" s="2">
        <v>295</v>
      </c>
      <c r="I11272" s="2">
        <v>516</v>
      </c>
      <c r="J11272" s="2">
        <v>1400</v>
      </c>
      <c r="K11272" s="2">
        <v>1</v>
      </c>
      <c r="L11272" s="2">
        <v>295</v>
      </c>
    </row>
    <row r="11273" spans="1:12" x14ac:dyDescent="0.25">
      <c r="A11273" s="4" t="str">
        <f>HYPERLINK("http://www.rosaceae.org/Prunus/Prunus_persica/p.persica_gdr_reftransV1_0045405","p.persica_gdr_reftransV1_0045405")</f>
        <v>p.persica_gdr_reftransV1_0045405</v>
      </c>
      <c r="B11273" s="2">
        <v>1280</v>
      </c>
      <c r="C11273" s="4" t="str">
        <f>HYPERLINK("http://www.uniprot.org/uniprot/M5XSI4","M5XSI4")</f>
        <v>M5XSI4</v>
      </c>
      <c r="D11273" s="2" t="s">
        <v>9562</v>
      </c>
      <c r="E11273" s="3">
        <v>0</v>
      </c>
      <c r="F11273" s="2">
        <v>1431</v>
      </c>
      <c r="G11273" s="2">
        <v>91</v>
      </c>
      <c r="H11273" s="2">
        <v>327</v>
      </c>
      <c r="I11273" s="2">
        <v>243</v>
      </c>
      <c r="J11273" s="2">
        <v>1214</v>
      </c>
      <c r="K11273" s="2">
        <v>1</v>
      </c>
      <c r="L11273" s="2">
        <v>310</v>
      </c>
    </row>
    <row r="11274" spans="1:12" x14ac:dyDescent="0.25">
      <c r="A11274" s="4" t="str">
        <f>HYPERLINK("http://www.rosaceae.org/Prunus/Prunus_persica/p.persica_gdr_reftransV1_0045755","p.persica_gdr_reftransV1_0045755")</f>
        <v>p.persica_gdr_reftransV1_0045755</v>
      </c>
      <c r="B11274" s="2">
        <v>1134</v>
      </c>
      <c r="C11274" s="4" t="str">
        <f>HYPERLINK("http://www.uniprot.org/uniprot/M5W0K3","M5W0K3")</f>
        <v>M5W0K3</v>
      </c>
      <c r="D11274" s="2" t="s">
        <v>2779</v>
      </c>
      <c r="E11274" s="3">
        <v>9.1199999999999994E-126</v>
      </c>
      <c r="F11274" s="2">
        <v>963</v>
      </c>
      <c r="G11274" s="2">
        <v>100</v>
      </c>
      <c r="H11274" s="2">
        <v>206</v>
      </c>
      <c r="I11274" s="2">
        <v>3</v>
      </c>
      <c r="J11274" s="2">
        <v>620</v>
      </c>
      <c r="K11274" s="2">
        <v>76</v>
      </c>
      <c r="L11274" s="2">
        <v>281</v>
      </c>
    </row>
    <row r="11275" spans="1:12" x14ac:dyDescent="0.25">
      <c r="A11275" s="4" t="str">
        <f>HYPERLINK("http://www.rosaceae.org/Prunus/Prunus_persica/p.persica_gdr_reftransV1_0046105","p.persica_gdr_reftransV1_0046105")</f>
        <v>p.persica_gdr_reftransV1_0046105</v>
      </c>
      <c r="B11275" s="2">
        <v>2108</v>
      </c>
      <c r="C11275" s="4" t="str">
        <f>HYPERLINK("http://www.uniprot.org/uniprot/M5WY75","M5WY75")</f>
        <v>M5WY75</v>
      </c>
      <c r="D11275" s="2" t="s">
        <v>2295</v>
      </c>
      <c r="E11275" s="3">
        <v>0</v>
      </c>
      <c r="F11275" s="2">
        <v>2610</v>
      </c>
      <c r="G11275" s="2">
        <v>98</v>
      </c>
      <c r="H11275" s="2">
        <v>492</v>
      </c>
      <c r="I11275" s="2">
        <v>318</v>
      </c>
      <c r="J11275" s="2">
        <v>1793</v>
      </c>
      <c r="K11275" s="2">
        <v>1</v>
      </c>
      <c r="L11275" s="2">
        <v>492</v>
      </c>
    </row>
    <row r="11276" spans="1:12" x14ac:dyDescent="0.25">
      <c r="A11276" s="4" t="str">
        <f>HYPERLINK("http://www.rosaceae.org/Prunus/Prunus_persica/p.persica_gdr_reftransV1_0046805","p.persica_gdr_reftransV1_0046805")</f>
        <v>p.persica_gdr_reftransV1_0046805</v>
      </c>
      <c r="B11276" s="2">
        <v>1813</v>
      </c>
      <c r="C11276" s="4" t="str">
        <f>HYPERLINK("http://www.uniprot.org/uniprot/M5VV76","M5VV76")</f>
        <v>M5VV76</v>
      </c>
      <c r="D11276" s="2" t="s">
        <v>9563</v>
      </c>
      <c r="E11276" s="3">
        <v>0</v>
      </c>
      <c r="F11276" s="2">
        <v>2119</v>
      </c>
      <c r="G11276" s="2">
        <v>100</v>
      </c>
      <c r="H11276" s="2">
        <v>399</v>
      </c>
      <c r="I11276" s="2">
        <v>2</v>
      </c>
      <c r="J11276" s="2">
        <v>1198</v>
      </c>
      <c r="K11276" s="2">
        <v>222</v>
      </c>
      <c r="L11276" s="2">
        <v>620</v>
      </c>
    </row>
    <row r="11277" spans="1:12" x14ac:dyDescent="0.25">
      <c r="A11277" s="4" t="str">
        <f>HYPERLINK("http://www.rosaceae.org/Prunus/Prunus_persica/p.persica_gdr_reftransV1_0047155","p.persica_gdr_reftransV1_0047155")</f>
        <v>p.persica_gdr_reftransV1_0047155</v>
      </c>
      <c r="B11277" s="2">
        <v>414</v>
      </c>
      <c r="C11277" s="4" t="str">
        <f>HYPERLINK("http://www.uniprot.org/uniprot/M5VTL8","M5VTL8")</f>
        <v>M5VTL8</v>
      </c>
      <c r="D11277" s="2" t="s">
        <v>9564</v>
      </c>
      <c r="E11277" s="3">
        <v>5.5900000000000002E-74</v>
      </c>
      <c r="F11277" s="2">
        <v>639</v>
      </c>
      <c r="G11277" s="2">
        <v>100</v>
      </c>
      <c r="H11277" s="2">
        <v>117</v>
      </c>
      <c r="I11277" s="2">
        <v>63</v>
      </c>
      <c r="J11277" s="2">
        <v>413</v>
      </c>
      <c r="K11277" s="2">
        <v>1367</v>
      </c>
      <c r="L11277" s="2">
        <v>1483</v>
      </c>
    </row>
    <row r="11278" spans="1:12" x14ac:dyDescent="0.25">
      <c r="A11278" s="4" t="str">
        <f>HYPERLINK("http://www.rosaceae.org/Prunus/Prunus_persica/p.persica_gdr_reftransV1_0047505","p.persica_gdr_reftransV1_0047505")</f>
        <v>p.persica_gdr_reftransV1_0047505</v>
      </c>
      <c r="B11278" s="2">
        <v>1511</v>
      </c>
      <c r="C11278" s="4" t="str">
        <f>HYPERLINK("http://www.uniprot.org/uniprot/M5WPS8","M5WPS8")</f>
        <v>M5WPS8</v>
      </c>
      <c r="D11278" s="2" t="s">
        <v>9565</v>
      </c>
      <c r="E11278" s="3">
        <v>0</v>
      </c>
      <c r="F11278" s="2">
        <v>1500</v>
      </c>
      <c r="G11278" s="2">
        <v>100</v>
      </c>
      <c r="H11278" s="2">
        <v>281</v>
      </c>
      <c r="I11278" s="2">
        <v>457</v>
      </c>
      <c r="J11278" s="2">
        <v>1299</v>
      </c>
      <c r="K11278" s="2">
        <v>1</v>
      </c>
      <c r="L11278" s="2">
        <v>281</v>
      </c>
    </row>
    <row r="11279" spans="1:12" x14ac:dyDescent="0.25">
      <c r="A11279" s="4" t="str">
        <f>HYPERLINK("http://www.rosaceae.org/Prunus/Prunus_persica/p.persica_gdr_reftransV1_0047855","p.persica_gdr_reftransV1_0047855")</f>
        <v>p.persica_gdr_reftransV1_0047855</v>
      </c>
      <c r="B11279" s="2">
        <v>3808</v>
      </c>
      <c r="C11279" s="4" t="str">
        <f>HYPERLINK("http://www.uniprot.org/uniprot/M5WRW8","M5WRW8")</f>
        <v>M5WRW8</v>
      </c>
      <c r="D11279" s="2" t="s">
        <v>7302</v>
      </c>
      <c r="E11279" s="3">
        <v>0</v>
      </c>
      <c r="F11279" s="2">
        <v>4855</v>
      </c>
      <c r="G11279" s="2">
        <v>100</v>
      </c>
      <c r="H11279" s="2">
        <v>961</v>
      </c>
      <c r="I11279" s="2">
        <v>222</v>
      </c>
      <c r="J11279" s="2">
        <v>3104</v>
      </c>
      <c r="K11279" s="2">
        <v>1</v>
      </c>
      <c r="L11279" s="2">
        <v>961</v>
      </c>
    </row>
    <row r="11280" spans="1:12" x14ac:dyDescent="0.25">
      <c r="A11280" s="4" t="str">
        <f>HYPERLINK("http://www.rosaceae.org/Prunus/Prunus_persica/p.persica_gdr_reftransV1_0048205","p.persica_gdr_reftransV1_0048205")</f>
        <v>p.persica_gdr_reftransV1_0048205</v>
      </c>
      <c r="B11280" s="2">
        <v>2134</v>
      </c>
      <c r="C11280" s="4" t="str">
        <f>HYPERLINK("http://www.uniprot.org/uniprot/M5WE67","M5WE67")</f>
        <v>M5WE67</v>
      </c>
      <c r="D11280" s="2" t="s">
        <v>9566</v>
      </c>
      <c r="E11280" s="3">
        <v>0</v>
      </c>
      <c r="F11280" s="2">
        <v>2269</v>
      </c>
      <c r="G11280" s="2">
        <v>100</v>
      </c>
      <c r="H11280" s="2">
        <v>433</v>
      </c>
      <c r="I11280" s="2">
        <v>520</v>
      </c>
      <c r="J11280" s="2">
        <v>1818</v>
      </c>
      <c r="K11280" s="2">
        <v>99</v>
      </c>
      <c r="L11280" s="2">
        <v>531</v>
      </c>
    </row>
    <row r="11281" spans="1:12" x14ac:dyDescent="0.25">
      <c r="A11281" s="4" t="str">
        <f>HYPERLINK("http://www.rosaceae.org/Prunus/Prunus_persica/p.persica_gdr_reftransV1_0048555","p.persica_gdr_reftransV1_0048555")</f>
        <v>p.persica_gdr_reftransV1_0048555</v>
      </c>
      <c r="B11281" s="2">
        <v>1855</v>
      </c>
      <c r="C11281" s="4" t="str">
        <f>HYPERLINK("http://www.uniprot.org/uniprot/M5WSJ4","M5WSJ4")</f>
        <v>M5WSJ4</v>
      </c>
      <c r="D11281" s="2" t="s">
        <v>9567</v>
      </c>
      <c r="E11281" s="3">
        <v>0</v>
      </c>
      <c r="F11281" s="2">
        <v>2212</v>
      </c>
      <c r="G11281" s="2">
        <v>100</v>
      </c>
      <c r="H11281" s="2">
        <v>413</v>
      </c>
      <c r="I11281" s="2">
        <v>299</v>
      </c>
      <c r="J11281" s="2">
        <v>1537</v>
      </c>
      <c r="K11281" s="2">
        <v>1</v>
      </c>
      <c r="L11281" s="2">
        <v>413</v>
      </c>
    </row>
    <row r="11282" spans="1:12" x14ac:dyDescent="0.25">
      <c r="A11282" s="4" t="str">
        <f>HYPERLINK("http://www.rosaceae.org/Prunus/Prunus_persica/p.persica_gdr_reftransV1_0000256","p.persica_gdr_reftransV1_0000256")</f>
        <v>p.persica_gdr_reftransV1_0000256</v>
      </c>
      <c r="B11282" s="2">
        <v>668</v>
      </c>
      <c r="C11282" s="4" t="str">
        <f>HYPERLINK("http://www.uniprot.org/uniprot/M5WM47","M5WM47")</f>
        <v>M5WM47</v>
      </c>
      <c r="D11282" s="2" t="s">
        <v>6520</v>
      </c>
      <c r="E11282" s="3">
        <v>6.1200000000000006E-11</v>
      </c>
      <c r="F11282" s="2">
        <v>173</v>
      </c>
      <c r="G11282" s="2">
        <v>54</v>
      </c>
      <c r="H11282" s="2">
        <v>74</v>
      </c>
      <c r="I11282" s="2">
        <v>134</v>
      </c>
      <c r="J11282" s="2">
        <v>313</v>
      </c>
      <c r="K11282" s="2">
        <v>242</v>
      </c>
      <c r="L11282" s="2">
        <v>315</v>
      </c>
    </row>
    <row r="11283" spans="1:12" x14ac:dyDescent="0.25">
      <c r="A11283" s="4" t="str">
        <f>HYPERLINK("http://www.rosaceae.org/Prunus/Prunus_persica/p.persica_gdr_reftransV1_0000606","p.persica_gdr_reftransV1_0000606")</f>
        <v>p.persica_gdr_reftransV1_0000606</v>
      </c>
      <c r="B11283" s="2">
        <v>1286</v>
      </c>
      <c r="C11283" s="4" t="str">
        <f>HYPERLINK("http://www.uniprot.org/uniprot/M5VMT9","M5VMT9")</f>
        <v>M5VMT9</v>
      </c>
      <c r="D11283" s="2" t="s">
        <v>2845</v>
      </c>
      <c r="E11283" s="3">
        <v>0</v>
      </c>
      <c r="F11283" s="2">
        <v>1455</v>
      </c>
      <c r="G11283" s="2">
        <v>100</v>
      </c>
      <c r="H11283" s="2">
        <v>270</v>
      </c>
      <c r="I11283" s="2">
        <v>157</v>
      </c>
      <c r="J11283" s="2">
        <v>966</v>
      </c>
      <c r="K11283" s="2">
        <v>96</v>
      </c>
      <c r="L11283" s="2">
        <v>365</v>
      </c>
    </row>
    <row r="11284" spans="1:12" x14ac:dyDescent="0.25">
      <c r="A11284" s="4" t="str">
        <f>HYPERLINK("http://www.rosaceae.org/Prunus/Prunus_persica/p.persica_gdr_reftransV1_0000956","p.persica_gdr_reftransV1_0000956")</f>
        <v>p.persica_gdr_reftransV1_0000956</v>
      </c>
      <c r="B11284" s="2">
        <v>662</v>
      </c>
      <c r="C11284" s="4" t="str">
        <f>HYPERLINK("http://www.uniprot.org/uniprot/M5X3I0","M5X3I0")</f>
        <v>M5X3I0</v>
      </c>
      <c r="D11284" s="2" t="s">
        <v>5214</v>
      </c>
      <c r="E11284" s="3">
        <v>1.14E-136</v>
      </c>
      <c r="F11284" s="2">
        <v>1037</v>
      </c>
      <c r="G11284" s="2">
        <v>99</v>
      </c>
      <c r="H11284" s="2">
        <v>196</v>
      </c>
      <c r="I11284" s="2">
        <v>3</v>
      </c>
      <c r="J11284" s="2">
        <v>590</v>
      </c>
      <c r="K11284" s="2">
        <v>1</v>
      </c>
      <c r="L11284" s="2">
        <v>196</v>
      </c>
    </row>
    <row r="11285" spans="1:12" x14ac:dyDescent="0.25">
      <c r="A11285" s="4" t="str">
        <f>HYPERLINK("http://www.rosaceae.org/Prunus/Prunus_persica/p.persica_gdr_reftransV1_0001306","p.persica_gdr_reftransV1_0001306")</f>
        <v>p.persica_gdr_reftransV1_0001306</v>
      </c>
      <c r="B11285" s="2">
        <v>487</v>
      </c>
      <c r="C11285" s="4" t="str">
        <f>HYPERLINK("http://www.uniprot.org/uniprot/Q6EZE9","Q6EZE9")</f>
        <v>Q6EZE9</v>
      </c>
      <c r="D11285" s="2" t="s">
        <v>9568</v>
      </c>
      <c r="E11285" s="3">
        <v>3.1100000000000002E-46</v>
      </c>
      <c r="F11285" s="2">
        <v>397</v>
      </c>
      <c r="G11285" s="2">
        <v>99</v>
      </c>
      <c r="H11285" s="2">
        <v>94</v>
      </c>
      <c r="I11285" s="2">
        <v>82</v>
      </c>
      <c r="J11285" s="2">
        <v>363</v>
      </c>
      <c r="K11285" s="2">
        <v>1</v>
      </c>
      <c r="L11285" s="2">
        <v>94</v>
      </c>
    </row>
    <row r="11286" spans="1:12" x14ac:dyDescent="0.25">
      <c r="A11286" s="4" t="str">
        <f>HYPERLINK("http://www.rosaceae.org/Prunus/Prunus_persica/p.persica_gdr_reftransV1_0001656","p.persica_gdr_reftransV1_0001656")</f>
        <v>p.persica_gdr_reftransV1_0001656</v>
      </c>
      <c r="B11286" s="2">
        <v>3199</v>
      </c>
      <c r="C11286" s="4" t="str">
        <f>HYPERLINK("http://www.uniprot.org/uniprot/M5VIB3","M5VIB3")</f>
        <v>M5VIB3</v>
      </c>
      <c r="D11286" s="2" t="s">
        <v>8759</v>
      </c>
      <c r="E11286" s="3">
        <v>0</v>
      </c>
      <c r="F11286" s="2">
        <v>2723</v>
      </c>
      <c r="G11286" s="2">
        <v>100</v>
      </c>
      <c r="H11286" s="2">
        <v>548</v>
      </c>
      <c r="I11286" s="2">
        <v>1148</v>
      </c>
      <c r="J11286" s="2">
        <v>2791</v>
      </c>
      <c r="K11286" s="2">
        <v>290</v>
      </c>
      <c r="L11286" s="2">
        <v>837</v>
      </c>
    </row>
    <row r="11287" spans="1:12" x14ac:dyDescent="0.25">
      <c r="A11287" s="4" t="str">
        <f>HYPERLINK("http://www.rosaceae.org/Prunus/Prunus_persica/p.persica_gdr_reftransV1_0002006","p.persica_gdr_reftransV1_0002006")</f>
        <v>p.persica_gdr_reftransV1_0002006</v>
      </c>
      <c r="B11287" s="2">
        <v>1333</v>
      </c>
      <c r="C11287" s="4" t="str">
        <f>HYPERLINK("http://www.uniprot.org/uniprot/M5XMC0","M5XMC0")</f>
        <v>M5XMC0</v>
      </c>
      <c r="D11287" s="2" t="s">
        <v>9569</v>
      </c>
      <c r="E11287" s="3">
        <v>0</v>
      </c>
      <c r="F11287" s="2">
        <v>1864</v>
      </c>
      <c r="G11287" s="2">
        <v>100</v>
      </c>
      <c r="H11287" s="2">
        <v>369</v>
      </c>
      <c r="I11287" s="2">
        <v>226</v>
      </c>
      <c r="J11287" s="2">
        <v>1332</v>
      </c>
      <c r="K11287" s="2">
        <v>153</v>
      </c>
      <c r="L11287" s="2">
        <v>521</v>
      </c>
    </row>
    <row r="11288" spans="1:12" x14ac:dyDescent="0.25">
      <c r="A11288" s="4" t="str">
        <f>HYPERLINK("http://www.rosaceae.org/Prunus/Prunus_persica/p.persica_gdr_reftransV1_0002356","p.persica_gdr_reftransV1_0002356")</f>
        <v>p.persica_gdr_reftransV1_0002356</v>
      </c>
      <c r="B11288" s="2">
        <v>1343</v>
      </c>
      <c r="C11288" s="4" t="str">
        <f>HYPERLINK("http://www.uniprot.org/uniprot/M5X1E6","M5X1E6")</f>
        <v>M5X1E6</v>
      </c>
      <c r="D11288" s="2" t="s">
        <v>9570</v>
      </c>
      <c r="E11288" s="3">
        <v>0</v>
      </c>
      <c r="F11288" s="2">
        <v>1690</v>
      </c>
      <c r="G11288" s="2">
        <v>100</v>
      </c>
      <c r="H11288" s="2">
        <v>314</v>
      </c>
      <c r="I11288" s="2">
        <v>170</v>
      </c>
      <c r="J11288" s="2">
        <v>1111</v>
      </c>
      <c r="K11288" s="2">
        <v>1</v>
      </c>
      <c r="L11288" s="2">
        <v>314</v>
      </c>
    </row>
    <row r="11289" spans="1:12" x14ac:dyDescent="0.25">
      <c r="A11289" s="4" t="str">
        <f>HYPERLINK("http://www.rosaceae.org/Prunus/Prunus_persica/p.persica_gdr_reftransV1_0002706","p.persica_gdr_reftransV1_0002706")</f>
        <v>p.persica_gdr_reftransV1_0002706</v>
      </c>
      <c r="B11289" s="2">
        <v>323</v>
      </c>
      <c r="C11289" s="4" t="str">
        <f>HYPERLINK("http://www.uniprot.org/uniprot/M5WAA8","M5WAA8")</f>
        <v>M5WAA8</v>
      </c>
      <c r="D11289" s="2" t="s">
        <v>5299</v>
      </c>
      <c r="E11289" s="3">
        <v>1.3E-53</v>
      </c>
      <c r="F11289" s="2">
        <v>473</v>
      </c>
      <c r="G11289" s="2">
        <v>100</v>
      </c>
      <c r="H11289" s="2">
        <v>107</v>
      </c>
      <c r="I11289" s="2">
        <v>2</v>
      </c>
      <c r="J11289" s="2">
        <v>322</v>
      </c>
      <c r="K11289" s="2">
        <v>371</v>
      </c>
      <c r="L11289" s="2">
        <v>477</v>
      </c>
    </row>
    <row r="11290" spans="1:12" x14ac:dyDescent="0.25">
      <c r="A11290" s="4" t="str">
        <f>HYPERLINK("http://www.rosaceae.org/Prunus/Prunus_persica/p.persica_gdr_reftransV1_0003056","p.persica_gdr_reftransV1_0003056")</f>
        <v>p.persica_gdr_reftransV1_0003056</v>
      </c>
      <c r="B11290" s="2">
        <v>402</v>
      </c>
      <c r="C11290" s="4" t="str">
        <f>HYPERLINK("http://www.uniprot.org/uniprot/M5W945","M5W945")</f>
        <v>M5W945</v>
      </c>
      <c r="D11290" s="2" t="s">
        <v>3113</v>
      </c>
      <c r="E11290" s="3">
        <v>3.5200000000000002E-88</v>
      </c>
      <c r="F11290" s="2">
        <v>709</v>
      </c>
      <c r="G11290" s="2">
        <v>100</v>
      </c>
      <c r="H11290" s="2">
        <v>133</v>
      </c>
      <c r="I11290" s="2">
        <v>2</v>
      </c>
      <c r="J11290" s="2">
        <v>400</v>
      </c>
      <c r="K11290" s="2">
        <v>346</v>
      </c>
      <c r="L11290" s="2">
        <v>478</v>
      </c>
    </row>
    <row r="11291" spans="1:12" x14ac:dyDescent="0.25">
      <c r="A11291" s="4" t="str">
        <f>HYPERLINK("http://www.rosaceae.org/Prunus/Prunus_persica/p.persica_gdr_reftransV1_0003406","p.persica_gdr_reftransV1_0003406")</f>
        <v>p.persica_gdr_reftransV1_0003406</v>
      </c>
      <c r="B11291" s="2">
        <v>813</v>
      </c>
      <c r="C11291" s="4" t="str">
        <f>HYPERLINK("http://www.uniprot.org/uniprot/M5XPE9","M5XPE9")</f>
        <v>M5XPE9</v>
      </c>
      <c r="D11291" s="2" t="s">
        <v>9571</v>
      </c>
      <c r="E11291" s="3">
        <v>9.0299999999999999E-65</v>
      </c>
      <c r="F11291" s="2">
        <v>539</v>
      </c>
      <c r="G11291" s="2">
        <v>98</v>
      </c>
      <c r="H11291" s="2">
        <v>121</v>
      </c>
      <c r="I11291" s="2">
        <v>46</v>
      </c>
      <c r="J11291" s="2">
        <v>408</v>
      </c>
      <c r="K11291" s="2">
        <v>1</v>
      </c>
      <c r="L11291" s="2">
        <v>121</v>
      </c>
    </row>
    <row r="11292" spans="1:12" x14ac:dyDescent="0.25">
      <c r="A11292" s="4" t="str">
        <f>HYPERLINK("http://www.rosaceae.org/Prunus/Prunus_persica/p.persica_gdr_reftransV1_0004456","p.persica_gdr_reftransV1_0004456")</f>
        <v>p.persica_gdr_reftransV1_0004456</v>
      </c>
      <c r="B11292" s="2">
        <v>2278</v>
      </c>
      <c r="C11292" s="4" t="str">
        <f>HYPERLINK("http://www.uniprot.org/uniprot/A0A0G2QTK6","A0A0G2QTK6")</f>
        <v>A0A0G2QTK6</v>
      </c>
      <c r="D11292" s="2" t="s">
        <v>9572</v>
      </c>
      <c r="E11292" s="3">
        <v>0</v>
      </c>
      <c r="F11292" s="2">
        <v>1489</v>
      </c>
      <c r="G11292" s="2">
        <v>99</v>
      </c>
      <c r="H11292" s="2">
        <v>283</v>
      </c>
      <c r="I11292" s="2">
        <v>473</v>
      </c>
      <c r="J11292" s="2">
        <v>1321</v>
      </c>
      <c r="K11292" s="2">
        <v>21</v>
      </c>
      <c r="L11292" s="2">
        <v>303</v>
      </c>
    </row>
    <row r="11293" spans="1:12" x14ac:dyDescent="0.25">
      <c r="A11293" s="4" t="str">
        <f>HYPERLINK("http://www.rosaceae.org/Prunus/Prunus_persica/p.persica_gdr_reftransV1_0004806","p.persica_gdr_reftransV1_0004806")</f>
        <v>p.persica_gdr_reftransV1_0004806</v>
      </c>
      <c r="B11293" s="2">
        <v>2927</v>
      </c>
      <c r="C11293" s="4" t="str">
        <f>HYPERLINK("http://www.uniprot.org/uniprot/M5WRH3","M5WRH3")</f>
        <v>M5WRH3</v>
      </c>
      <c r="D11293" s="2" t="s">
        <v>9573</v>
      </c>
      <c r="E11293" s="3">
        <v>0</v>
      </c>
      <c r="F11293" s="2">
        <v>4161</v>
      </c>
      <c r="G11293" s="2">
        <v>95</v>
      </c>
      <c r="H11293" s="2">
        <v>851</v>
      </c>
      <c r="I11293" s="2">
        <v>281</v>
      </c>
      <c r="J11293" s="2">
        <v>2797</v>
      </c>
      <c r="K11293" s="2">
        <v>1</v>
      </c>
      <c r="L11293" s="2">
        <v>849</v>
      </c>
    </row>
    <row r="11294" spans="1:12" x14ac:dyDescent="0.25">
      <c r="A11294" s="4" t="str">
        <f>HYPERLINK("http://www.rosaceae.org/Prunus/Prunus_persica/p.persica_gdr_reftransV1_0005156","p.persica_gdr_reftransV1_0005156")</f>
        <v>p.persica_gdr_reftransV1_0005156</v>
      </c>
      <c r="B11294" s="2">
        <v>664</v>
      </c>
      <c r="C11294" s="4" t="str">
        <f>HYPERLINK("http://www.uniprot.org/uniprot/M5WAV8","M5WAV8")</f>
        <v>M5WAV8</v>
      </c>
      <c r="D11294" s="2" t="s">
        <v>9574</v>
      </c>
      <c r="E11294" s="3">
        <v>1.51E-47</v>
      </c>
      <c r="F11294" s="2">
        <v>418</v>
      </c>
      <c r="G11294" s="2">
        <v>100</v>
      </c>
      <c r="H11294" s="2">
        <v>79</v>
      </c>
      <c r="I11294" s="2">
        <v>427</v>
      </c>
      <c r="J11294" s="2">
        <v>663</v>
      </c>
      <c r="K11294" s="2">
        <v>1</v>
      </c>
      <c r="L11294" s="2">
        <v>79</v>
      </c>
    </row>
    <row r="11295" spans="1:12" x14ac:dyDescent="0.25">
      <c r="A11295" s="4" t="str">
        <f>HYPERLINK("http://www.rosaceae.org/Prunus/Prunus_persica/p.persica_gdr_reftransV1_0005506","p.persica_gdr_reftransV1_0005506")</f>
        <v>p.persica_gdr_reftransV1_0005506</v>
      </c>
      <c r="B11295" s="2">
        <v>2557</v>
      </c>
      <c r="C11295" s="4" t="str">
        <f>HYPERLINK("http://www.uniprot.org/uniprot/M5WX22","M5WX22")</f>
        <v>M5WX22</v>
      </c>
      <c r="D11295" s="2" t="s">
        <v>2723</v>
      </c>
      <c r="E11295" s="3">
        <v>0</v>
      </c>
      <c r="F11295" s="2">
        <v>2790</v>
      </c>
      <c r="G11295" s="2">
        <v>91</v>
      </c>
      <c r="H11295" s="2">
        <v>664</v>
      </c>
      <c r="I11295" s="2">
        <v>277</v>
      </c>
      <c r="J11295" s="2">
        <v>2268</v>
      </c>
      <c r="K11295" s="2">
        <v>1</v>
      </c>
      <c r="L11295" s="2">
        <v>608</v>
      </c>
    </row>
    <row r="11296" spans="1:12" x14ac:dyDescent="0.25">
      <c r="A11296" s="4" t="str">
        <f>HYPERLINK("http://www.rosaceae.org/Prunus/Prunus_persica/p.persica_gdr_reftransV1_0006206","p.persica_gdr_reftransV1_0006206")</f>
        <v>p.persica_gdr_reftransV1_0006206</v>
      </c>
      <c r="B11296" s="2">
        <v>587</v>
      </c>
      <c r="C11296" s="4" t="str">
        <f>HYPERLINK("http://www.uniprot.org/uniprot/M5X7T2","M5X7T2")</f>
        <v>M5X7T2</v>
      </c>
      <c r="D11296" s="2" t="s">
        <v>9575</v>
      </c>
      <c r="E11296" s="3">
        <v>1.0099999999999999E-67</v>
      </c>
      <c r="F11296" s="2">
        <v>560</v>
      </c>
      <c r="G11296" s="2">
        <v>100</v>
      </c>
      <c r="H11296" s="2">
        <v>128</v>
      </c>
      <c r="I11296" s="2">
        <v>204</v>
      </c>
      <c r="J11296" s="2">
        <v>587</v>
      </c>
      <c r="K11296" s="2">
        <v>159</v>
      </c>
      <c r="L11296" s="2">
        <v>286</v>
      </c>
    </row>
    <row r="11297" spans="1:12" x14ac:dyDescent="0.25">
      <c r="A11297" s="4" t="str">
        <f>HYPERLINK("http://www.rosaceae.org/Prunus/Prunus_persica/p.persica_gdr_reftransV1_0006556","p.persica_gdr_reftransV1_0006556")</f>
        <v>p.persica_gdr_reftransV1_0006556</v>
      </c>
      <c r="B11297" s="2">
        <v>577</v>
      </c>
      <c r="C11297" s="4" t="str">
        <f>HYPERLINK("http://www.uniprot.org/uniprot/M5VLQ3","M5VLQ3")</f>
        <v>M5VLQ3</v>
      </c>
      <c r="D11297" s="2" t="s">
        <v>9576</v>
      </c>
      <c r="E11297" s="3">
        <v>2.44E-40</v>
      </c>
      <c r="F11297" s="2">
        <v>308</v>
      </c>
      <c r="G11297" s="2">
        <v>97</v>
      </c>
      <c r="H11297" s="2">
        <v>59</v>
      </c>
      <c r="I11297" s="2">
        <v>104</v>
      </c>
      <c r="J11297" s="2">
        <v>280</v>
      </c>
      <c r="K11297" s="2">
        <v>42</v>
      </c>
      <c r="L11297" s="2">
        <v>100</v>
      </c>
    </row>
    <row r="11298" spans="1:12" x14ac:dyDescent="0.25">
      <c r="A11298" s="4" t="str">
        <f>HYPERLINK("http://www.rosaceae.org/Prunus/Prunus_persica/p.persica_gdr_reftransV1_0006906","p.persica_gdr_reftransV1_0006906")</f>
        <v>p.persica_gdr_reftransV1_0006906</v>
      </c>
      <c r="B11298" s="2">
        <v>449</v>
      </c>
      <c r="C11298" s="4" t="str">
        <f>HYPERLINK("http://www.uniprot.org/uniprot/M5W6J5","M5W6J5")</f>
        <v>M5W6J5</v>
      </c>
      <c r="D11298" s="2" t="s">
        <v>3368</v>
      </c>
      <c r="E11298" s="3">
        <v>3.5800000000000002E-95</v>
      </c>
      <c r="F11298" s="2">
        <v>772</v>
      </c>
      <c r="G11298" s="2">
        <v>99</v>
      </c>
      <c r="H11298" s="2">
        <v>149</v>
      </c>
      <c r="I11298" s="2">
        <v>3</v>
      </c>
      <c r="J11298" s="2">
        <v>449</v>
      </c>
      <c r="K11298" s="2">
        <v>560</v>
      </c>
      <c r="L11298" s="2">
        <v>708</v>
      </c>
    </row>
    <row r="11299" spans="1:12" x14ac:dyDescent="0.25">
      <c r="A11299" s="4" t="str">
        <f>HYPERLINK("http://www.rosaceae.org/Prunus/Prunus_persica/p.persica_gdr_reftransV1_0007606","p.persica_gdr_reftransV1_0007606")</f>
        <v>p.persica_gdr_reftransV1_0007606</v>
      </c>
      <c r="B11299" s="2">
        <v>888</v>
      </c>
      <c r="C11299" s="4" t="str">
        <f>HYPERLINK("http://www.uniprot.org/uniprot/M5VMA4","M5VMA4")</f>
        <v>M5VMA4</v>
      </c>
      <c r="D11299" s="2" t="s">
        <v>9577</v>
      </c>
      <c r="E11299" s="3">
        <v>5.9599999999999995E-138</v>
      </c>
      <c r="F11299" s="2">
        <v>1029</v>
      </c>
      <c r="G11299" s="2">
        <v>98</v>
      </c>
      <c r="H11299" s="2">
        <v>214</v>
      </c>
      <c r="I11299" s="2">
        <v>35</v>
      </c>
      <c r="J11299" s="2">
        <v>676</v>
      </c>
      <c r="K11299" s="2">
        <v>1</v>
      </c>
      <c r="L11299" s="2">
        <v>214</v>
      </c>
    </row>
    <row r="11300" spans="1:12" x14ac:dyDescent="0.25">
      <c r="A11300" s="4" t="str">
        <f>HYPERLINK("http://www.rosaceae.org/Prunus/Prunus_persica/p.persica_gdr_reftransV1_0007956","p.persica_gdr_reftransV1_0007956")</f>
        <v>p.persica_gdr_reftransV1_0007956</v>
      </c>
      <c r="B11300" s="2">
        <v>1675</v>
      </c>
      <c r="C11300" s="4" t="str">
        <f>HYPERLINK("http://www.uniprot.org/uniprot/M5W1I3","M5W1I3")</f>
        <v>M5W1I3</v>
      </c>
      <c r="D11300" s="2" t="s">
        <v>9578</v>
      </c>
      <c r="E11300" s="3">
        <v>1.79E-76</v>
      </c>
      <c r="F11300" s="2">
        <v>637</v>
      </c>
      <c r="G11300" s="2">
        <v>100</v>
      </c>
      <c r="H11300" s="2">
        <v>123</v>
      </c>
      <c r="I11300" s="2">
        <v>1031</v>
      </c>
      <c r="J11300" s="2">
        <v>1399</v>
      </c>
      <c r="K11300" s="2">
        <v>18</v>
      </c>
      <c r="L11300" s="2">
        <v>140</v>
      </c>
    </row>
    <row r="11301" spans="1:12" x14ac:dyDescent="0.25">
      <c r="A11301" s="4" t="str">
        <f>HYPERLINK("http://www.rosaceae.org/Prunus/Prunus_persica/p.persica_gdr_reftransV1_0008306","p.persica_gdr_reftransV1_0008306")</f>
        <v>p.persica_gdr_reftransV1_0008306</v>
      </c>
      <c r="B11301" s="2">
        <v>2399</v>
      </c>
      <c r="C11301" s="4" t="str">
        <f>HYPERLINK("http://www.uniprot.org/uniprot/M5XJX3","M5XJX3")</f>
        <v>M5XJX3</v>
      </c>
      <c r="D11301" s="2" t="s">
        <v>6926</v>
      </c>
      <c r="E11301" s="3">
        <v>0</v>
      </c>
      <c r="F11301" s="2">
        <v>3271</v>
      </c>
      <c r="G11301" s="2">
        <v>100</v>
      </c>
      <c r="H11301" s="2">
        <v>707</v>
      </c>
      <c r="I11301" s="2">
        <v>162</v>
      </c>
      <c r="J11301" s="2">
        <v>2282</v>
      </c>
      <c r="K11301" s="2">
        <v>1</v>
      </c>
      <c r="L11301" s="2">
        <v>707</v>
      </c>
    </row>
    <row r="11302" spans="1:12" x14ac:dyDescent="0.25">
      <c r="A11302" s="4" t="str">
        <f>HYPERLINK("http://www.rosaceae.org/Prunus/Prunus_persica/p.persica_gdr_reftransV1_0008656","p.persica_gdr_reftransV1_0008656")</f>
        <v>p.persica_gdr_reftransV1_0008656</v>
      </c>
      <c r="B11302" s="2">
        <v>672</v>
      </c>
      <c r="C11302" s="4" t="str">
        <f>HYPERLINK("http://www.uniprot.org/uniprot/M5X4X1","M5X4X1")</f>
        <v>M5X4X1</v>
      </c>
      <c r="D11302" s="2" t="s">
        <v>9579</v>
      </c>
      <c r="E11302" s="3">
        <v>8.0899999999999999E-137</v>
      </c>
      <c r="F11302" s="2">
        <v>1038</v>
      </c>
      <c r="G11302" s="2">
        <v>98</v>
      </c>
      <c r="H11302" s="2">
        <v>194</v>
      </c>
      <c r="I11302" s="2">
        <v>58</v>
      </c>
      <c r="J11302" s="2">
        <v>639</v>
      </c>
      <c r="K11302" s="2">
        <v>1</v>
      </c>
      <c r="L11302" s="2">
        <v>194</v>
      </c>
    </row>
    <row r="11303" spans="1:12" x14ac:dyDescent="0.25">
      <c r="A11303" s="4" t="str">
        <f>HYPERLINK("http://www.rosaceae.org/Prunus/Prunus_persica/p.persica_gdr_reftransV1_0009006","p.persica_gdr_reftransV1_0009006")</f>
        <v>p.persica_gdr_reftransV1_0009006</v>
      </c>
      <c r="B11303" s="2">
        <v>2604</v>
      </c>
      <c r="C11303" s="4" t="str">
        <f>HYPERLINK("http://www.uniprot.org/uniprot/M5X362","M5X362")</f>
        <v>M5X362</v>
      </c>
      <c r="D11303" s="2" t="s">
        <v>6046</v>
      </c>
      <c r="E11303" s="3">
        <v>5.0600000000000003E-109</v>
      </c>
      <c r="F11303" s="2">
        <v>895</v>
      </c>
      <c r="G11303" s="2">
        <v>100</v>
      </c>
      <c r="H11303" s="2">
        <v>209</v>
      </c>
      <c r="I11303" s="2">
        <v>1536</v>
      </c>
      <c r="J11303" s="2">
        <v>2162</v>
      </c>
      <c r="K11303" s="2">
        <v>1</v>
      </c>
      <c r="L11303" s="2">
        <v>209</v>
      </c>
    </row>
    <row r="11304" spans="1:12" x14ac:dyDescent="0.25">
      <c r="A11304" s="4" t="str">
        <f>HYPERLINK("http://www.rosaceae.org/Prunus/Prunus_persica/p.persica_gdr_reftransV1_0009356","p.persica_gdr_reftransV1_0009356")</f>
        <v>p.persica_gdr_reftransV1_0009356</v>
      </c>
      <c r="B11304" s="2">
        <v>3648</v>
      </c>
      <c r="C11304" s="4" t="str">
        <f>HYPERLINK("http://www.uniprot.org/uniprot/M5XAH5","M5XAH5")</f>
        <v>M5XAH5</v>
      </c>
      <c r="D11304" s="2" t="s">
        <v>9580</v>
      </c>
      <c r="E11304" s="3">
        <v>0</v>
      </c>
      <c r="F11304" s="2">
        <v>5319</v>
      </c>
      <c r="G11304" s="2">
        <v>98</v>
      </c>
      <c r="H11304" s="2">
        <v>1053</v>
      </c>
      <c r="I11304" s="2">
        <v>225</v>
      </c>
      <c r="J11304" s="2">
        <v>3383</v>
      </c>
      <c r="K11304" s="2">
        <v>1</v>
      </c>
      <c r="L11304" s="2">
        <v>1037</v>
      </c>
    </row>
    <row r="11305" spans="1:12" x14ac:dyDescent="0.25">
      <c r="A11305" s="4" t="str">
        <f>HYPERLINK("http://www.rosaceae.org/Prunus/Prunus_persica/p.persica_gdr_reftransV1_0009706","p.persica_gdr_reftransV1_0009706")</f>
        <v>p.persica_gdr_reftransV1_0009706</v>
      </c>
      <c r="B11305" s="2">
        <v>2136</v>
      </c>
      <c r="C11305" s="4" t="str">
        <f>HYPERLINK("http://www.uniprot.org/uniprot/M5VQH8","M5VQH8")</f>
        <v>M5VQH8</v>
      </c>
      <c r="D11305" s="2" t="s">
        <v>9581</v>
      </c>
      <c r="E11305" s="3">
        <v>0</v>
      </c>
      <c r="F11305" s="2">
        <v>1940</v>
      </c>
      <c r="G11305" s="2">
        <v>100</v>
      </c>
      <c r="H11305" s="2">
        <v>381</v>
      </c>
      <c r="I11305" s="2">
        <v>662</v>
      </c>
      <c r="J11305" s="2">
        <v>1804</v>
      </c>
      <c r="K11305" s="2">
        <v>1</v>
      </c>
      <c r="L11305" s="2">
        <v>381</v>
      </c>
    </row>
    <row r="11306" spans="1:12" x14ac:dyDescent="0.25">
      <c r="A11306" s="4" t="str">
        <f>HYPERLINK("http://www.rosaceae.org/Prunus/Prunus_persica/p.persica_gdr_reftransV1_0010406","p.persica_gdr_reftransV1_0010406")</f>
        <v>p.persica_gdr_reftransV1_0010406</v>
      </c>
      <c r="B11306" s="2">
        <v>1089</v>
      </c>
      <c r="C11306" s="4" t="str">
        <f>HYPERLINK("http://www.uniprot.org/uniprot/M5X688","M5X688")</f>
        <v>M5X688</v>
      </c>
      <c r="D11306" s="2" t="s">
        <v>9582</v>
      </c>
      <c r="E11306" s="3">
        <v>0</v>
      </c>
      <c r="F11306" s="2">
        <v>1343</v>
      </c>
      <c r="G11306" s="2">
        <v>100</v>
      </c>
      <c r="H11306" s="2">
        <v>250</v>
      </c>
      <c r="I11306" s="2">
        <v>64</v>
      </c>
      <c r="J11306" s="2">
        <v>813</v>
      </c>
      <c r="K11306" s="2">
        <v>1</v>
      </c>
      <c r="L11306" s="2">
        <v>250</v>
      </c>
    </row>
    <row r="11307" spans="1:12" x14ac:dyDescent="0.25">
      <c r="A11307" s="4" t="str">
        <f>HYPERLINK("http://www.rosaceae.org/Prunus/Prunus_persica/p.persica_gdr_reftransV1_0012156","p.persica_gdr_reftransV1_0012156")</f>
        <v>p.persica_gdr_reftransV1_0012156</v>
      </c>
      <c r="B11307" s="2">
        <v>1614</v>
      </c>
      <c r="C11307" s="4" t="str">
        <f>HYPERLINK("http://www.uniprot.org/uniprot/M5X591","M5X591")</f>
        <v>M5X591</v>
      </c>
      <c r="D11307" s="2" t="s">
        <v>9583</v>
      </c>
      <c r="E11307" s="3">
        <v>6.0199999999999995E-122</v>
      </c>
      <c r="F11307" s="2">
        <v>959</v>
      </c>
      <c r="G11307" s="2">
        <v>100</v>
      </c>
      <c r="H11307" s="2">
        <v>213</v>
      </c>
      <c r="I11307" s="2">
        <v>491</v>
      </c>
      <c r="J11307" s="2">
        <v>1129</v>
      </c>
      <c r="K11307" s="2">
        <v>1</v>
      </c>
      <c r="L11307" s="2">
        <v>213</v>
      </c>
    </row>
    <row r="11308" spans="1:12" x14ac:dyDescent="0.25">
      <c r="A11308" s="4" t="str">
        <f>HYPERLINK("http://www.rosaceae.org/Prunus/Prunus_persica/p.persica_gdr_reftransV1_0013206","p.persica_gdr_reftransV1_0013206")</f>
        <v>p.persica_gdr_reftransV1_0013206</v>
      </c>
      <c r="B11308" s="2">
        <v>3417</v>
      </c>
      <c r="C11308" s="4" t="str">
        <f>HYPERLINK("http://www.uniprot.org/uniprot/W9RC97","W9RC97")</f>
        <v>W9RC97</v>
      </c>
      <c r="D11308" s="2" t="s">
        <v>4520</v>
      </c>
      <c r="E11308" s="3">
        <v>5.8500000000000001E-130</v>
      </c>
      <c r="F11308" s="2">
        <v>1068</v>
      </c>
      <c r="G11308" s="2">
        <v>52</v>
      </c>
      <c r="H11308" s="2">
        <v>443</v>
      </c>
      <c r="I11308" s="2">
        <v>228</v>
      </c>
      <c r="J11308" s="2">
        <v>1511</v>
      </c>
      <c r="K11308" s="2">
        <v>1</v>
      </c>
      <c r="L11308" s="2">
        <v>435</v>
      </c>
    </row>
    <row r="11309" spans="1:12" x14ac:dyDescent="0.25">
      <c r="A11309" s="4" t="str">
        <f>HYPERLINK("http://www.rosaceae.org/Prunus/Prunus_persica/p.persica_gdr_reftransV1_0013556","p.persica_gdr_reftransV1_0013556")</f>
        <v>p.persica_gdr_reftransV1_0013556</v>
      </c>
      <c r="B11309" s="2">
        <v>328</v>
      </c>
      <c r="C11309" s="4" t="str">
        <f>HYPERLINK("http://www.uniprot.org/uniprot/M5XYU4","M5XYU4")</f>
        <v>M5XYU4</v>
      </c>
      <c r="D11309" s="2" t="s">
        <v>6137</v>
      </c>
      <c r="E11309" s="3">
        <v>1.5E-9</v>
      </c>
      <c r="F11309" s="2">
        <v>146</v>
      </c>
      <c r="G11309" s="2">
        <v>44</v>
      </c>
      <c r="H11309" s="2">
        <v>106</v>
      </c>
      <c r="I11309" s="2">
        <v>31</v>
      </c>
      <c r="J11309" s="2">
        <v>327</v>
      </c>
      <c r="K11309" s="2">
        <v>1</v>
      </c>
      <c r="L11309" s="2">
        <v>91</v>
      </c>
    </row>
    <row r="11310" spans="1:12" x14ac:dyDescent="0.25">
      <c r="A11310" s="4" t="str">
        <f>HYPERLINK("http://www.rosaceae.org/Prunus/Prunus_persica/p.persica_gdr_reftransV1_0013906","p.persica_gdr_reftransV1_0013906")</f>
        <v>p.persica_gdr_reftransV1_0013906</v>
      </c>
      <c r="B11310" s="2">
        <v>1704</v>
      </c>
      <c r="C11310" s="4" t="str">
        <f>HYPERLINK("http://www.uniprot.org/uniprot/M5W9X8","M5W9X8")</f>
        <v>M5W9X8</v>
      </c>
      <c r="D11310" s="2" t="s">
        <v>9584</v>
      </c>
      <c r="E11310" s="3">
        <v>5.6799999999999996E-137</v>
      </c>
      <c r="F11310" s="2">
        <v>1057</v>
      </c>
      <c r="G11310" s="2">
        <v>100</v>
      </c>
      <c r="H11310" s="2">
        <v>195</v>
      </c>
      <c r="I11310" s="2">
        <v>784</v>
      </c>
      <c r="J11310" s="2">
        <v>1368</v>
      </c>
      <c r="K11310" s="2">
        <v>97</v>
      </c>
      <c r="L11310" s="2">
        <v>291</v>
      </c>
    </row>
    <row r="11311" spans="1:12" x14ac:dyDescent="0.25">
      <c r="A11311" s="4" t="str">
        <f>HYPERLINK("http://www.rosaceae.org/Prunus/Prunus_persica/p.persica_gdr_reftransV1_0014256","p.persica_gdr_reftransV1_0014256")</f>
        <v>p.persica_gdr_reftransV1_0014256</v>
      </c>
      <c r="B11311" s="2">
        <v>537</v>
      </c>
      <c r="C11311" s="4" t="str">
        <f>HYPERLINK("http://www.uniprot.org/uniprot/F6HJ80","F6HJ80")</f>
        <v>F6HJ80</v>
      </c>
      <c r="D11311" s="2" t="s">
        <v>9585</v>
      </c>
      <c r="E11311" s="3">
        <v>2.8699999999999999E-38</v>
      </c>
      <c r="F11311" s="2">
        <v>354</v>
      </c>
      <c r="G11311" s="2">
        <v>46</v>
      </c>
      <c r="H11311" s="2">
        <v>185</v>
      </c>
      <c r="I11311" s="2">
        <v>17</v>
      </c>
      <c r="J11311" s="2">
        <v>529</v>
      </c>
      <c r="K11311" s="2">
        <v>5</v>
      </c>
      <c r="L11311" s="2">
        <v>188</v>
      </c>
    </row>
    <row r="11312" spans="1:12" x14ac:dyDescent="0.25">
      <c r="A11312" s="4" t="str">
        <f>HYPERLINK("http://www.rosaceae.org/Prunus/Prunus_persica/p.persica_gdr_reftransV1_0014606","p.persica_gdr_reftransV1_0014606")</f>
        <v>p.persica_gdr_reftransV1_0014606</v>
      </c>
      <c r="B11312" s="2">
        <v>2220</v>
      </c>
      <c r="C11312" s="4" t="str">
        <f>HYPERLINK("http://www.uniprot.org/uniprot/M5VQV0","M5VQV0")</f>
        <v>M5VQV0</v>
      </c>
      <c r="D11312" s="2" t="s">
        <v>9586</v>
      </c>
      <c r="E11312" s="3">
        <v>0</v>
      </c>
      <c r="F11312" s="2">
        <v>1813</v>
      </c>
      <c r="G11312" s="2">
        <v>100</v>
      </c>
      <c r="H11312" s="2">
        <v>412</v>
      </c>
      <c r="I11312" s="2">
        <v>525</v>
      </c>
      <c r="J11312" s="2">
        <v>1760</v>
      </c>
      <c r="K11312" s="2">
        <v>1</v>
      </c>
      <c r="L11312" s="2">
        <v>412</v>
      </c>
    </row>
    <row r="11313" spans="1:12" x14ac:dyDescent="0.25">
      <c r="A11313" s="4" t="str">
        <f>HYPERLINK("http://www.rosaceae.org/Prunus/Prunus_persica/p.persica_gdr_reftransV1_0014956","p.persica_gdr_reftransV1_0014956")</f>
        <v>p.persica_gdr_reftransV1_0014956</v>
      </c>
      <c r="B11313" s="2">
        <v>2845</v>
      </c>
      <c r="C11313" s="4" t="str">
        <f>HYPERLINK("http://www.uniprot.org/uniprot/M5W1Z0","M5W1Z0")</f>
        <v>M5W1Z0</v>
      </c>
      <c r="D11313" s="2" t="s">
        <v>9587</v>
      </c>
      <c r="E11313" s="3">
        <v>0</v>
      </c>
      <c r="F11313" s="2">
        <v>2400</v>
      </c>
      <c r="G11313" s="2">
        <v>100</v>
      </c>
      <c r="H11313" s="2">
        <v>446</v>
      </c>
      <c r="I11313" s="2">
        <v>941</v>
      </c>
      <c r="J11313" s="2">
        <v>2278</v>
      </c>
      <c r="K11313" s="2">
        <v>1</v>
      </c>
      <c r="L11313" s="2">
        <v>446</v>
      </c>
    </row>
    <row r="11314" spans="1:12" x14ac:dyDescent="0.25">
      <c r="A11314" s="4" t="str">
        <f>HYPERLINK("http://www.rosaceae.org/Prunus/Prunus_persica/p.persica_gdr_reftransV1_0015306","p.persica_gdr_reftransV1_0015306")</f>
        <v>p.persica_gdr_reftransV1_0015306</v>
      </c>
      <c r="B11314" s="2">
        <v>2814</v>
      </c>
      <c r="C11314" s="4" t="str">
        <f>HYPERLINK("http://www.uniprot.org/uniprot/M5WTC7","M5WTC7")</f>
        <v>M5WTC7</v>
      </c>
      <c r="D11314" s="2" t="s">
        <v>9588</v>
      </c>
      <c r="E11314" s="3">
        <v>0</v>
      </c>
      <c r="F11314" s="2">
        <v>3364</v>
      </c>
      <c r="G11314" s="2">
        <v>93</v>
      </c>
      <c r="H11314" s="2">
        <v>733</v>
      </c>
      <c r="I11314" s="2">
        <v>446</v>
      </c>
      <c r="J11314" s="2">
        <v>2644</v>
      </c>
      <c r="K11314" s="2">
        <v>1</v>
      </c>
      <c r="L11314" s="2">
        <v>684</v>
      </c>
    </row>
    <row r="11315" spans="1:12" x14ac:dyDescent="0.25">
      <c r="A11315" s="4" t="str">
        <f>HYPERLINK("http://www.rosaceae.org/Prunus/Prunus_persica/p.persica_gdr_reftransV1_0015656","p.persica_gdr_reftransV1_0015656")</f>
        <v>p.persica_gdr_reftransV1_0015656</v>
      </c>
      <c r="B11315" s="2">
        <v>5316</v>
      </c>
      <c r="C11315" s="4" t="str">
        <f>HYPERLINK("http://www.uniprot.org/uniprot/M5WYI5","M5WYI5")</f>
        <v>M5WYI5</v>
      </c>
      <c r="D11315" s="2" t="s">
        <v>9215</v>
      </c>
      <c r="E11315" s="3">
        <v>0</v>
      </c>
      <c r="F11315" s="2">
        <v>3838</v>
      </c>
      <c r="G11315" s="2">
        <v>93</v>
      </c>
      <c r="H11315" s="2">
        <v>812</v>
      </c>
      <c r="I11315" s="2">
        <v>2230</v>
      </c>
      <c r="J11315" s="2">
        <v>4614</v>
      </c>
      <c r="K11315" s="2">
        <v>1</v>
      </c>
      <c r="L11315" s="2">
        <v>773</v>
      </c>
    </row>
    <row r="11316" spans="1:12" x14ac:dyDescent="0.25">
      <c r="A11316" s="4" t="str">
        <f>HYPERLINK("http://www.rosaceae.org/Prunus/Prunus_persica/p.persica_gdr_reftransV1_0016006","p.persica_gdr_reftransV1_0016006")</f>
        <v>p.persica_gdr_reftransV1_0016006</v>
      </c>
      <c r="B11316" s="2">
        <v>3953</v>
      </c>
      <c r="C11316" s="4" t="str">
        <f>HYPERLINK("http://www.uniprot.org/uniprot/M5WS01","M5WS01")</f>
        <v>M5WS01</v>
      </c>
      <c r="D11316" s="2" t="s">
        <v>9589</v>
      </c>
      <c r="E11316" s="3">
        <v>0</v>
      </c>
      <c r="F11316" s="2">
        <v>4341</v>
      </c>
      <c r="G11316" s="2">
        <v>96</v>
      </c>
      <c r="H11316" s="2">
        <v>863</v>
      </c>
      <c r="I11316" s="2">
        <v>945</v>
      </c>
      <c r="J11316" s="2">
        <v>3530</v>
      </c>
      <c r="K11316" s="2">
        <v>1</v>
      </c>
      <c r="L11316" s="2">
        <v>838</v>
      </c>
    </row>
    <row r="11317" spans="1:12" x14ac:dyDescent="0.25">
      <c r="A11317" s="4" t="str">
        <f>HYPERLINK("http://www.rosaceae.org/Prunus/Prunus_persica/p.persica_gdr_reftransV1_0017056","p.persica_gdr_reftransV1_0017056")</f>
        <v>p.persica_gdr_reftransV1_0017056</v>
      </c>
      <c r="B11317" s="2">
        <v>1132</v>
      </c>
      <c r="C11317" s="4" t="str">
        <f>HYPERLINK("http://www.uniprot.org/uniprot/M5WPI4","M5WPI4")</f>
        <v>M5WPI4</v>
      </c>
      <c r="D11317" s="2" t="s">
        <v>9590</v>
      </c>
      <c r="E11317" s="3">
        <v>1.3100000000000001E-105</v>
      </c>
      <c r="F11317" s="2">
        <v>824</v>
      </c>
      <c r="G11317" s="2">
        <v>99</v>
      </c>
      <c r="H11317" s="2">
        <v>187</v>
      </c>
      <c r="I11317" s="2">
        <v>210</v>
      </c>
      <c r="J11317" s="2">
        <v>770</v>
      </c>
      <c r="K11317" s="2">
        <v>28</v>
      </c>
      <c r="L11317" s="2">
        <v>214</v>
      </c>
    </row>
    <row r="11318" spans="1:12" x14ac:dyDescent="0.25">
      <c r="A11318" s="4" t="str">
        <f>HYPERLINK("http://www.rosaceae.org/Prunus/Prunus_persica/p.persica_gdr_reftransV1_0017406","p.persica_gdr_reftransV1_0017406")</f>
        <v>p.persica_gdr_reftransV1_0017406</v>
      </c>
      <c r="B11318" s="2">
        <v>4439</v>
      </c>
      <c r="C11318" s="4" t="str">
        <f>HYPERLINK("http://www.uniprot.org/uniprot/V4URE3","V4URE3")</f>
        <v>V4URE3</v>
      </c>
      <c r="D11318" s="2" t="s">
        <v>9591</v>
      </c>
      <c r="E11318" s="3">
        <v>0</v>
      </c>
      <c r="F11318" s="2">
        <v>1543</v>
      </c>
      <c r="G11318" s="2">
        <v>46</v>
      </c>
      <c r="H11318" s="2">
        <v>701</v>
      </c>
      <c r="I11318" s="2">
        <v>1555</v>
      </c>
      <c r="J11318" s="2">
        <v>3642</v>
      </c>
      <c r="K11318" s="2">
        <v>3</v>
      </c>
      <c r="L11318" s="2">
        <v>663</v>
      </c>
    </row>
    <row r="11319" spans="1:12" x14ac:dyDescent="0.25">
      <c r="A11319" s="4" t="str">
        <f>HYPERLINK("http://www.rosaceae.org/Prunus/Prunus_persica/p.persica_gdr_reftransV1_0017756","p.persica_gdr_reftransV1_0017756")</f>
        <v>p.persica_gdr_reftransV1_0017756</v>
      </c>
      <c r="B11319" s="2">
        <v>426</v>
      </c>
      <c r="C11319" s="4" t="str">
        <f>HYPERLINK("http://www.uniprot.org/uniprot/M5WQX6","M5WQX6")</f>
        <v>M5WQX6</v>
      </c>
      <c r="D11319" s="2" t="s">
        <v>9592</v>
      </c>
      <c r="E11319" s="3">
        <v>3.2700000000000001E-65</v>
      </c>
      <c r="F11319" s="2">
        <v>563</v>
      </c>
      <c r="G11319" s="2">
        <v>100</v>
      </c>
      <c r="H11319" s="2">
        <v>124</v>
      </c>
      <c r="I11319" s="2">
        <v>3</v>
      </c>
      <c r="J11319" s="2">
        <v>374</v>
      </c>
      <c r="K11319" s="2">
        <v>169</v>
      </c>
      <c r="L11319" s="2">
        <v>292</v>
      </c>
    </row>
    <row r="11320" spans="1:12" x14ac:dyDescent="0.25">
      <c r="A11320" s="4" t="str">
        <f>HYPERLINK("http://www.rosaceae.org/Prunus/Prunus_persica/p.persica_gdr_reftransV1_0018456","p.persica_gdr_reftransV1_0018456")</f>
        <v>p.persica_gdr_reftransV1_0018456</v>
      </c>
      <c r="B11320" s="2">
        <v>3937</v>
      </c>
      <c r="C11320" s="4" t="str">
        <f>HYPERLINK("http://www.uniprot.org/uniprot/M5WQN7","M5WQN7")</f>
        <v>M5WQN7</v>
      </c>
      <c r="D11320" s="2" t="s">
        <v>9593</v>
      </c>
      <c r="E11320" s="3">
        <v>0</v>
      </c>
      <c r="F11320" s="2">
        <v>5392</v>
      </c>
      <c r="G11320" s="2">
        <v>97</v>
      </c>
      <c r="H11320" s="2">
        <v>1087</v>
      </c>
      <c r="I11320" s="2">
        <v>745</v>
      </c>
      <c r="J11320" s="2">
        <v>3936</v>
      </c>
      <c r="K11320" s="2">
        <v>49</v>
      </c>
      <c r="L11320" s="2">
        <v>1135</v>
      </c>
    </row>
    <row r="11321" spans="1:12" x14ac:dyDescent="0.25">
      <c r="A11321" s="4" t="str">
        <f>HYPERLINK("http://www.rosaceae.org/Prunus/Prunus_persica/p.persica_gdr_reftransV1_0019506","p.persica_gdr_reftransV1_0019506")</f>
        <v>p.persica_gdr_reftransV1_0019506</v>
      </c>
      <c r="B11321" s="2">
        <v>1619</v>
      </c>
      <c r="C11321" s="4" t="str">
        <f>HYPERLINK("http://www.uniprot.org/uniprot/M5X9Y1","M5X9Y1")</f>
        <v>M5X9Y1</v>
      </c>
      <c r="D11321" s="2" t="s">
        <v>9594</v>
      </c>
      <c r="E11321" s="3">
        <v>1.6600000000000001E-95</v>
      </c>
      <c r="F11321" s="2">
        <v>765</v>
      </c>
      <c r="G11321" s="2">
        <v>96</v>
      </c>
      <c r="H11321" s="2">
        <v>154</v>
      </c>
      <c r="I11321" s="2">
        <v>358</v>
      </c>
      <c r="J11321" s="2">
        <v>819</v>
      </c>
      <c r="K11321" s="2">
        <v>1</v>
      </c>
      <c r="L11321" s="2">
        <v>154</v>
      </c>
    </row>
    <row r="11322" spans="1:12" x14ac:dyDescent="0.25">
      <c r="A11322" s="4" t="str">
        <f>HYPERLINK("http://www.rosaceae.org/Prunus/Prunus_persica/p.persica_gdr_reftransV1_0020906","p.persica_gdr_reftransV1_0020906")</f>
        <v>p.persica_gdr_reftransV1_0020906</v>
      </c>
      <c r="B11322" s="2">
        <v>1613</v>
      </c>
      <c r="C11322" s="4" t="str">
        <f>HYPERLINK("http://www.uniprot.org/uniprot/M5WWY4","M5WWY4")</f>
        <v>M5WWY4</v>
      </c>
      <c r="D11322" s="2" t="s">
        <v>9595</v>
      </c>
      <c r="E11322" s="3">
        <v>0</v>
      </c>
      <c r="F11322" s="2">
        <v>1340</v>
      </c>
      <c r="G11322" s="2">
        <v>100</v>
      </c>
      <c r="H11322" s="2">
        <v>252</v>
      </c>
      <c r="I11322" s="2">
        <v>488</v>
      </c>
      <c r="J11322" s="2">
        <v>1243</v>
      </c>
      <c r="K11322" s="2">
        <v>1</v>
      </c>
      <c r="L11322" s="2">
        <v>252</v>
      </c>
    </row>
    <row r="11323" spans="1:12" x14ac:dyDescent="0.25">
      <c r="A11323" s="4" t="str">
        <f>HYPERLINK("http://www.rosaceae.org/Prunus/Prunus_persica/p.persica_gdr_reftransV1_0021606","p.persica_gdr_reftransV1_0021606")</f>
        <v>p.persica_gdr_reftransV1_0021606</v>
      </c>
      <c r="B11323" s="2">
        <v>3708</v>
      </c>
      <c r="C11323" s="4" t="str">
        <f>HYPERLINK("http://www.uniprot.org/uniprot/M5XMC4","M5XMC4")</f>
        <v>M5XMC4</v>
      </c>
      <c r="D11323" s="2" t="s">
        <v>4370</v>
      </c>
      <c r="E11323" s="3">
        <v>0</v>
      </c>
      <c r="F11323" s="2">
        <v>3033</v>
      </c>
      <c r="G11323" s="2">
        <v>95</v>
      </c>
      <c r="H11323" s="2">
        <v>688</v>
      </c>
      <c r="I11323" s="2">
        <v>885</v>
      </c>
      <c r="J11323" s="2">
        <v>2948</v>
      </c>
      <c r="K11323" s="2">
        <v>1</v>
      </c>
      <c r="L11323" s="2">
        <v>651</v>
      </c>
    </row>
    <row r="11324" spans="1:12" x14ac:dyDescent="0.25">
      <c r="A11324" s="4" t="str">
        <f>HYPERLINK("http://www.rosaceae.org/Prunus/Prunus_persica/p.persica_gdr_reftransV1_0022306","p.persica_gdr_reftransV1_0022306")</f>
        <v>p.persica_gdr_reftransV1_0022306</v>
      </c>
      <c r="B11324" s="2">
        <v>2154</v>
      </c>
      <c r="C11324" s="4" t="str">
        <f>HYPERLINK("http://www.uniprot.org/uniprot/M5WQU0","M5WQU0")</f>
        <v>M5WQU0</v>
      </c>
      <c r="D11324" s="2" t="s">
        <v>9596</v>
      </c>
      <c r="E11324" s="3">
        <v>0</v>
      </c>
      <c r="F11324" s="2">
        <v>2593</v>
      </c>
      <c r="G11324" s="2">
        <v>100</v>
      </c>
      <c r="H11324" s="2">
        <v>554</v>
      </c>
      <c r="I11324" s="2">
        <v>238</v>
      </c>
      <c r="J11324" s="2">
        <v>1899</v>
      </c>
      <c r="K11324" s="2">
        <v>1</v>
      </c>
      <c r="L11324" s="2">
        <v>554</v>
      </c>
    </row>
    <row r="11325" spans="1:12" x14ac:dyDescent="0.25">
      <c r="A11325" s="4" t="str">
        <f>HYPERLINK("http://www.rosaceae.org/Prunus/Prunus_persica/p.persica_gdr_reftransV1_0024056","p.persica_gdr_reftransV1_0024056")</f>
        <v>p.persica_gdr_reftransV1_0024056</v>
      </c>
      <c r="B11325" s="2">
        <v>2872</v>
      </c>
      <c r="C11325" s="4" t="str">
        <f>HYPERLINK("http://www.uniprot.org/uniprot/M5WWB4","M5WWB4")</f>
        <v>M5WWB4</v>
      </c>
      <c r="D11325" s="2" t="s">
        <v>697</v>
      </c>
      <c r="E11325" s="3">
        <v>0</v>
      </c>
      <c r="F11325" s="2">
        <v>1955</v>
      </c>
      <c r="G11325" s="2">
        <v>99</v>
      </c>
      <c r="H11325" s="2">
        <v>390</v>
      </c>
      <c r="I11325" s="2">
        <v>12</v>
      </c>
      <c r="J11325" s="2">
        <v>1181</v>
      </c>
      <c r="K11325" s="2">
        <v>38</v>
      </c>
      <c r="L11325" s="2">
        <v>427</v>
      </c>
    </row>
    <row r="11326" spans="1:12" x14ac:dyDescent="0.25">
      <c r="A11326" s="4" t="str">
        <f>HYPERLINK("http://www.rosaceae.org/Prunus/Prunus_persica/p.persica_gdr_reftransV1_0025106","p.persica_gdr_reftransV1_0025106")</f>
        <v>p.persica_gdr_reftransV1_0025106</v>
      </c>
      <c r="B11326" s="2">
        <v>3653</v>
      </c>
      <c r="C11326" s="4" t="str">
        <f>HYPERLINK("http://www.uniprot.org/uniprot/M5X491","M5X491")</f>
        <v>M5X491</v>
      </c>
      <c r="D11326" s="2" t="s">
        <v>9597</v>
      </c>
      <c r="E11326" s="3">
        <v>0</v>
      </c>
      <c r="F11326" s="2">
        <v>2565</v>
      </c>
      <c r="G11326" s="2">
        <v>100</v>
      </c>
      <c r="H11326" s="2">
        <v>536</v>
      </c>
      <c r="I11326" s="2">
        <v>250</v>
      </c>
      <c r="J11326" s="2">
        <v>1857</v>
      </c>
      <c r="K11326" s="2">
        <v>1</v>
      </c>
      <c r="L11326" s="2">
        <v>536</v>
      </c>
    </row>
    <row r="11327" spans="1:12" x14ac:dyDescent="0.25">
      <c r="A11327" s="4" t="str">
        <f>HYPERLINK("http://www.rosaceae.org/Prunus/Prunus_persica/p.persica_gdr_reftransV1_0026156","p.persica_gdr_reftransV1_0026156")</f>
        <v>p.persica_gdr_reftransV1_0026156</v>
      </c>
      <c r="B11327" s="2">
        <v>742</v>
      </c>
      <c r="C11327" s="4" t="str">
        <f>HYPERLINK("http://www.uniprot.org/uniprot/M5VNV7","M5VNV7")</f>
        <v>M5VNV7</v>
      </c>
      <c r="D11327" s="2" t="s">
        <v>1008</v>
      </c>
      <c r="E11327" s="3">
        <v>1.2999999999999999E-68</v>
      </c>
      <c r="F11327" s="2">
        <v>591</v>
      </c>
      <c r="G11327" s="2">
        <v>100</v>
      </c>
      <c r="H11327" s="2">
        <v>135</v>
      </c>
      <c r="I11327" s="2">
        <v>3</v>
      </c>
      <c r="J11327" s="2">
        <v>407</v>
      </c>
      <c r="K11327" s="2">
        <v>417</v>
      </c>
      <c r="L11327" s="2">
        <v>551</v>
      </c>
    </row>
    <row r="11328" spans="1:12" x14ac:dyDescent="0.25">
      <c r="A11328" s="4" t="str">
        <f>HYPERLINK("http://www.rosaceae.org/Prunus/Prunus_persica/p.persica_gdr_reftransV1_0026506","p.persica_gdr_reftransV1_0026506")</f>
        <v>p.persica_gdr_reftransV1_0026506</v>
      </c>
      <c r="B11328" s="2">
        <v>2345</v>
      </c>
      <c r="C11328" s="4" t="str">
        <f>HYPERLINK("http://www.uniprot.org/uniprot/M5WFF7","M5WFF7")</f>
        <v>M5WFF7</v>
      </c>
      <c r="D11328" s="2" t="s">
        <v>596</v>
      </c>
      <c r="E11328" s="3">
        <v>0</v>
      </c>
      <c r="F11328" s="2">
        <v>2915</v>
      </c>
      <c r="G11328" s="2">
        <v>100</v>
      </c>
      <c r="H11328" s="2">
        <v>574</v>
      </c>
      <c r="I11328" s="2">
        <v>296</v>
      </c>
      <c r="J11328" s="2">
        <v>2017</v>
      </c>
      <c r="K11328" s="2">
        <v>1</v>
      </c>
      <c r="L11328" s="2">
        <v>574</v>
      </c>
    </row>
    <row r="11329" spans="1:12" x14ac:dyDescent="0.25">
      <c r="A11329" s="4" t="str">
        <f>HYPERLINK("http://www.rosaceae.org/Prunus/Prunus_persica/p.persica_gdr_reftransV1_0027556","p.persica_gdr_reftransV1_0027556")</f>
        <v>p.persica_gdr_reftransV1_0027556</v>
      </c>
      <c r="B11329" s="2">
        <v>1315</v>
      </c>
      <c r="C11329" s="4" t="str">
        <f>HYPERLINK("http://www.uniprot.org/uniprot/M5XJK9","M5XJK9")</f>
        <v>M5XJK9</v>
      </c>
      <c r="D11329" s="2" t="s">
        <v>9598</v>
      </c>
      <c r="E11329" s="3">
        <v>1.99E-94</v>
      </c>
      <c r="F11329" s="2">
        <v>795</v>
      </c>
      <c r="G11329" s="2">
        <v>99</v>
      </c>
      <c r="H11329" s="2">
        <v>183</v>
      </c>
      <c r="I11329" s="2">
        <v>481</v>
      </c>
      <c r="J11329" s="2">
        <v>1029</v>
      </c>
      <c r="K11329" s="2">
        <v>491</v>
      </c>
      <c r="L11329" s="2">
        <v>673</v>
      </c>
    </row>
    <row r="11330" spans="1:12" x14ac:dyDescent="0.25">
      <c r="A11330" s="4" t="str">
        <f>HYPERLINK("http://www.rosaceae.org/Prunus/Prunus_persica/p.persica_gdr_reftransV1_0028256","p.persica_gdr_reftransV1_0028256")</f>
        <v>p.persica_gdr_reftransV1_0028256</v>
      </c>
      <c r="B11330" s="2">
        <v>6326</v>
      </c>
      <c r="C11330" s="4" t="str">
        <f>HYPERLINK("http://www.uniprot.org/uniprot/M5XYE8","M5XYE8")</f>
        <v>M5XYE8</v>
      </c>
      <c r="D11330" s="2" t="s">
        <v>9177</v>
      </c>
      <c r="E11330" s="3">
        <v>1.22E-143</v>
      </c>
      <c r="F11330" s="2">
        <v>1207</v>
      </c>
      <c r="G11330" s="2">
        <v>96</v>
      </c>
      <c r="H11330" s="2">
        <v>256</v>
      </c>
      <c r="I11330" s="2">
        <v>54</v>
      </c>
      <c r="J11330" s="2">
        <v>821</v>
      </c>
      <c r="K11330" s="2">
        <v>1</v>
      </c>
      <c r="L11330" s="2">
        <v>247</v>
      </c>
    </row>
    <row r="11331" spans="1:12" x14ac:dyDescent="0.25">
      <c r="A11331" s="4" t="str">
        <f>HYPERLINK("http://www.rosaceae.org/Prunus/Prunus_persica/p.persica_gdr_reftransV1_0028956","p.persica_gdr_reftransV1_0028956")</f>
        <v>p.persica_gdr_reftransV1_0028956</v>
      </c>
      <c r="B11331" s="2">
        <v>2446</v>
      </c>
      <c r="C11331" s="4" t="str">
        <f>HYPERLINK("http://www.uniprot.org/uniprot/M5VN11","M5VN11")</f>
        <v>M5VN11</v>
      </c>
      <c r="D11331" s="2" t="s">
        <v>5119</v>
      </c>
      <c r="E11331" s="3">
        <v>2.04E-159</v>
      </c>
      <c r="F11331" s="2">
        <v>1239</v>
      </c>
      <c r="G11331" s="2">
        <v>99</v>
      </c>
      <c r="H11331" s="2">
        <v>231</v>
      </c>
      <c r="I11331" s="2">
        <v>508</v>
      </c>
      <c r="J11331" s="2">
        <v>1200</v>
      </c>
      <c r="K11331" s="2">
        <v>1</v>
      </c>
      <c r="L11331" s="2">
        <v>231</v>
      </c>
    </row>
    <row r="11332" spans="1:12" x14ac:dyDescent="0.25">
      <c r="A11332" s="4" t="str">
        <f>HYPERLINK("http://www.rosaceae.org/Prunus/Prunus_persica/p.persica_gdr_reftransV1_0029306","p.persica_gdr_reftransV1_0029306")</f>
        <v>p.persica_gdr_reftransV1_0029306</v>
      </c>
      <c r="B11332" s="2">
        <v>2912</v>
      </c>
      <c r="C11332" s="4" t="str">
        <f>HYPERLINK("http://www.uniprot.org/uniprot/M5XH31","M5XH31")</f>
        <v>M5XH31</v>
      </c>
      <c r="D11332" s="2" t="s">
        <v>9599</v>
      </c>
      <c r="E11332" s="3">
        <v>0</v>
      </c>
      <c r="F11332" s="2">
        <v>2973</v>
      </c>
      <c r="G11332" s="2">
        <v>100</v>
      </c>
      <c r="H11332" s="2">
        <v>586</v>
      </c>
      <c r="I11332" s="2">
        <v>216</v>
      </c>
      <c r="J11332" s="2">
        <v>1973</v>
      </c>
      <c r="K11332" s="2">
        <v>1</v>
      </c>
      <c r="L11332" s="2">
        <v>586</v>
      </c>
    </row>
    <row r="11333" spans="1:12" x14ac:dyDescent="0.25">
      <c r="A11333" s="4" t="str">
        <f>HYPERLINK("http://www.rosaceae.org/Prunus/Prunus_persica/p.persica_gdr_reftransV1_0029656","p.persica_gdr_reftransV1_0029656")</f>
        <v>p.persica_gdr_reftransV1_0029656</v>
      </c>
      <c r="B11333" s="2">
        <v>2785</v>
      </c>
      <c r="C11333" s="4" t="str">
        <f>HYPERLINK("http://www.uniprot.org/uniprot/M5WYD6","M5WYD6")</f>
        <v>M5WYD6</v>
      </c>
      <c r="D11333" s="2" t="s">
        <v>6261</v>
      </c>
      <c r="E11333" s="3">
        <v>0</v>
      </c>
      <c r="F11333" s="2">
        <v>3742</v>
      </c>
      <c r="G11333" s="2">
        <v>82</v>
      </c>
      <c r="H11333" s="2">
        <v>887</v>
      </c>
      <c r="I11333" s="2">
        <v>2</v>
      </c>
      <c r="J11333" s="2">
        <v>2620</v>
      </c>
      <c r="K11333" s="2">
        <v>94</v>
      </c>
      <c r="L11333" s="2">
        <v>932</v>
      </c>
    </row>
    <row r="11334" spans="1:12" x14ac:dyDescent="0.25">
      <c r="A11334" s="4" t="str">
        <f>HYPERLINK("http://www.rosaceae.org/Prunus/Prunus_persica/p.persica_gdr_reftransV1_0030706","p.persica_gdr_reftransV1_0030706")</f>
        <v>p.persica_gdr_reftransV1_0030706</v>
      </c>
      <c r="B11334" s="2">
        <v>1023</v>
      </c>
      <c r="C11334" s="4" t="str">
        <f>HYPERLINK("http://www.uniprot.org/uniprot/M5WSZ3","M5WSZ3")</f>
        <v>M5WSZ3</v>
      </c>
      <c r="D11334" s="2" t="s">
        <v>9600</v>
      </c>
      <c r="E11334" s="3">
        <v>3.9000000000000002E-86</v>
      </c>
      <c r="F11334" s="2">
        <v>683</v>
      </c>
      <c r="G11334" s="2">
        <v>100</v>
      </c>
      <c r="H11334" s="2">
        <v>129</v>
      </c>
      <c r="I11334" s="2">
        <v>394</v>
      </c>
      <c r="J11334" s="2">
        <v>780</v>
      </c>
      <c r="K11334" s="2">
        <v>1</v>
      </c>
      <c r="L11334" s="2">
        <v>129</v>
      </c>
    </row>
    <row r="11335" spans="1:12" x14ac:dyDescent="0.25">
      <c r="A11335" s="4" t="str">
        <f>HYPERLINK("http://www.rosaceae.org/Prunus/Prunus_persica/p.persica_gdr_reftransV1_0033156","p.persica_gdr_reftransV1_0033156")</f>
        <v>p.persica_gdr_reftransV1_0033156</v>
      </c>
      <c r="B11335" s="2">
        <v>3082</v>
      </c>
      <c r="C11335" s="4" t="str">
        <f>HYPERLINK("http://www.uniprot.org/uniprot/M5XXY8","M5XXY8")</f>
        <v>M5XXY8</v>
      </c>
      <c r="D11335" s="2" t="s">
        <v>9601</v>
      </c>
      <c r="E11335" s="3">
        <v>0</v>
      </c>
      <c r="F11335" s="2">
        <v>1438</v>
      </c>
      <c r="G11335" s="2">
        <v>92</v>
      </c>
      <c r="H11335" s="2">
        <v>301</v>
      </c>
      <c r="I11335" s="2">
        <v>1028</v>
      </c>
      <c r="J11335" s="2">
        <v>1915</v>
      </c>
      <c r="K11335" s="2">
        <v>95</v>
      </c>
      <c r="L11335" s="2">
        <v>394</v>
      </c>
    </row>
    <row r="11336" spans="1:12" x14ac:dyDescent="0.25">
      <c r="A11336" s="4" t="str">
        <f>HYPERLINK("http://www.rosaceae.org/Prunus/Prunus_persica/p.persica_gdr_reftransV1_0034906","p.persica_gdr_reftransV1_0034906")</f>
        <v>p.persica_gdr_reftransV1_0034906</v>
      </c>
      <c r="B11336" s="2">
        <v>1085</v>
      </c>
      <c r="C11336" s="4" t="str">
        <f>HYPERLINK("http://www.uniprot.org/uniprot/M5WW65","M5WW65")</f>
        <v>M5WW65</v>
      </c>
      <c r="D11336" s="2" t="s">
        <v>9602</v>
      </c>
      <c r="E11336" s="3">
        <v>5.2199999999999997E-157</v>
      </c>
      <c r="F11336" s="2">
        <v>1165</v>
      </c>
      <c r="G11336" s="2">
        <v>100</v>
      </c>
      <c r="H11336" s="2">
        <v>253</v>
      </c>
      <c r="I11336" s="2">
        <v>106</v>
      </c>
      <c r="J11336" s="2">
        <v>864</v>
      </c>
      <c r="K11336" s="2">
        <v>1</v>
      </c>
      <c r="L11336" s="2">
        <v>253</v>
      </c>
    </row>
    <row r="11337" spans="1:12" x14ac:dyDescent="0.25">
      <c r="A11337" s="4" t="str">
        <f>HYPERLINK("http://www.rosaceae.org/Prunus/Prunus_persica/p.persica_gdr_reftransV1_0035606","p.persica_gdr_reftransV1_0035606")</f>
        <v>p.persica_gdr_reftransV1_0035606</v>
      </c>
      <c r="B11337" s="2">
        <v>2714</v>
      </c>
      <c r="C11337" s="4" t="str">
        <f>HYPERLINK("http://www.uniprot.org/uniprot/M5WQ68","M5WQ68")</f>
        <v>M5WQ68</v>
      </c>
      <c r="D11337" s="2" t="s">
        <v>9603</v>
      </c>
      <c r="E11337" s="3">
        <v>0</v>
      </c>
      <c r="F11337" s="2">
        <v>3575</v>
      </c>
      <c r="G11337" s="2">
        <v>100</v>
      </c>
      <c r="H11337" s="2">
        <v>773</v>
      </c>
      <c r="I11337" s="2">
        <v>143</v>
      </c>
      <c r="J11337" s="2">
        <v>2461</v>
      </c>
      <c r="K11337" s="2">
        <v>1</v>
      </c>
      <c r="L11337" s="2">
        <v>773</v>
      </c>
    </row>
    <row r="11338" spans="1:12" x14ac:dyDescent="0.25">
      <c r="A11338" s="4" t="str">
        <f>HYPERLINK("http://www.rosaceae.org/Prunus/Prunus_persica/p.persica_gdr_reftransV1_0036306","p.persica_gdr_reftransV1_0036306")</f>
        <v>p.persica_gdr_reftransV1_0036306</v>
      </c>
      <c r="B11338" s="2">
        <v>3551</v>
      </c>
      <c r="C11338" s="4" t="str">
        <f>HYPERLINK("http://www.uniprot.org/uniprot/M5WVI0","M5WVI0")</f>
        <v>M5WVI0</v>
      </c>
      <c r="D11338" s="2" t="s">
        <v>9604</v>
      </c>
      <c r="E11338" s="3">
        <v>0</v>
      </c>
      <c r="F11338" s="2">
        <v>2112</v>
      </c>
      <c r="G11338" s="2">
        <v>90</v>
      </c>
      <c r="H11338" s="2">
        <v>469</v>
      </c>
      <c r="I11338" s="2">
        <v>1805</v>
      </c>
      <c r="J11338" s="2">
        <v>3193</v>
      </c>
      <c r="K11338" s="2">
        <v>300</v>
      </c>
      <c r="L11338" s="2">
        <v>756</v>
      </c>
    </row>
    <row r="11339" spans="1:12" x14ac:dyDescent="0.25">
      <c r="A11339" s="4" t="str">
        <f>HYPERLINK("http://www.rosaceae.org/Prunus/Prunus_persica/p.persica_gdr_reftransV1_0036656","p.persica_gdr_reftransV1_0036656")</f>
        <v>p.persica_gdr_reftransV1_0036656</v>
      </c>
      <c r="B11339" s="2">
        <v>3311</v>
      </c>
      <c r="C11339" s="4" t="str">
        <f>HYPERLINK("http://www.uniprot.org/uniprot/M5VPE4","M5VPE4")</f>
        <v>M5VPE4</v>
      </c>
      <c r="D11339" s="2" t="s">
        <v>9605</v>
      </c>
      <c r="E11339" s="3">
        <v>8.8200000000000005E-165</v>
      </c>
      <c r="F11339" s="2">
        <v>899</v>
      </c>
      <c r="G11339" s="2">
        <v>99</v>
      </c>
      <c r="H11339" s="2">
        <v>175</v>
      </c>
      <c r="I11339" s="2">
        <v>1007</v>
      </c>
      <c r="J11339" s="2">
        <v>1531</v>
      </c>
      <c r="K11339" s="2">
        <v>188</v>
      </c>
      <c r="L11339" s="2">
        <v>362</v>
      </c>
    </row>
    <row r="11340" spans="1:12" x14ac:dyDescent="0.25">
      <c r="A11340" s="4" t="str">
        <f>HYPERLINK("http://www.rosaceae.org/Prunus/Prunus_persica/p.persica_gdr_reftransV1_0039456","p.persica_gdr_reftransV1_0039456")</f>
        <v>p.persica_gdr_reftransV1_0039456</v>
      </c>
      <c r="B11340" s="2">
        <v>2861</v>
      </c>
      <c r="C11340" s="4" t="str">
        <f>HYPERLINK("http://www.uniprot.org/uniprot/M5XD32","M5XD32")</f>
        <v>M5XD32</v>
      </c>
      <c r="D11340" s="2" t="s">
        <v>9606</v>
      </c>
      <c r="E11340" s="3">
        <v>0</v>
      </c>
      <c r="F11340" s="2">
        <v>1520</v>
      </c>
      <c r="G11340" s="2">
        <v>98</v>
      </c>
      <c r="H11340" s="2">
        <v>306</v>
      </c>
      <c r="I11340" s="2">
        <v>417</v>
      </c>
      <c r="J11340" s="2">
        <v>1334</v>
      </c>
      <c r="K11340" s="2">
        <v>58</v>
      </c>
      <c r="L11340" s="2">
        <v>363</v>
      </c>
    </row>
    <row r="11341" spans="1:12" x14ac:dyDescent="0.25">
      <c r="A11341" s="4" t="str">
        <f>HYPERLINK("http://www.rosaceae.org/Prunus/Prunus_persica/p.persica_gdr_reftransV1_0040506","p.persica_gdr_reftransV1_0040506")</f>
        <v>p.persica_gdr_reftransV1_0040506</v>
      </c>
      <c r="B11341" s="2">
        <v>822</v>
      </c>
      <c r="C11341" s="4" t="str">
        <f>HYPERLINK("http://www.uniprot.org/uniprot/M5WB21","M5WB21")</f>
        <v>M5WB21</v>
      </c>
      <c r="D11341" s="2" t="s">
        <v>9607</v>
      </c>
      <c r="E11341" s="3">
        <v>1.52E-59</v>
      </c>
      <c r="F11341" s="2">
        <v>433</v>
      </c>
      <c r="G11341" s="2">
        <v>100</v>
      </c>
      <c r="H11341" s="2">
        <v>87</v>
      </c>
      <c r="I11341" s="2">
        <v>482</v>
      </c>
      <c r="J11341" s="2">
        <v>742</v>
      </c>
      <c r="K11341" s="2">
        <v>1</v>
      </c>
      <c r="L11341" s="2">
        <v>87</v>
      </c>
    </row>
    <row r="11342" spans="1:12" x14ac:dyDescent="0.25">
      <c r="A11342" s="4" t="str">
        <f>HYPERLINK("http://www.rosaceae.org/Prunus/Prunus_persica/p.persica_gdr_reftransV1_0041206","p.persica_gdr_reftransV1_0041206")</f>
        <v>p.persica_gdr_reftransV1_0041206</v>
      </c>
      <c r="B11342" s="2">
        <v>4113</v>
      </c>
      <c r="C11342" s="4" t="str">
        <f>HYPERLINK("http://www.uniprot.org/uniprot/M5VKZ5","M5VKZ5")</f>
        <v>M5VKZ5</v>
      </c>
      <c r="D11342" s="2" t="s">
        <v>9608</v>
      </c>
      <c r="E11342" s="3">
        <v>0</v>
      </c>
      <c r="F11342" s="2">
        <v>1960</v>
      </c>
      <c r="G11342" s="2">
        <v>100</v>
      </c>
      <c r="H11342" s="2">
        <v>360</v>
      </c>
      <c r="I11342" s="2">
        <v>2760</v>
      </c>
      <c r="J11342" s="2">
        <v>3839</v>
      </c>
      <c r="K11342" s="2">
        <v>501</v>
      </c>
      <c r="L11342" s="2">
        <v>860</v>
      </c>
    </row>
    <row r="11343" spans="1:12" x14ac:dyDescent="0.25">
      <c r="A11343" s="4" t="str">
        <f>HYPERLINK("http://www.rosaceae.org/Prunus/Prunus_persica/p.persica_gdr_reftransV1_0041556","p.persica_gdr_reftransV1_0041556")</f>
        <v>p.persica_gdr_reftransV1_0041556</v>
      </c>
      <c r="B11343" s="2">
        <v>2466</v>
      </c>
      <c r="C11343" s="4" t="str">
        <f>HYPERLINK("http://www.uniprot.org/uniprot/A0A097P9R3","A0A097P9R3")</f>
        <v>A0A097P9R3</v>
      </c>
      <c r="D11343" s="2" t="s">
        <v>9609</v>
      </c>
      <c r="E11343" s="3">
        <v>3.8199999999999999E-65</v>
      </c>
      <c r="F11343" s="2">
        <v>568</v>
      </c>
      <c r="G11343" s="2">
        <v>81</v>
      </c>
      <c r="H11343" s="2">
        <v>129</v>
      </c>
      <c r="I11343" s="2">
        <v>455</v>
      </c>
      <c r="J11343" s="2">
        <v>841</v>
      </c>
      <c r="K11343" s="2">
        <v>23</v>
      </c>
      <c r="L11343" s="2">
        <v>151</v>
      </c>
    </row>
    <row r="11344" spans="1:12" x14ac:dyDescent="0.25">
      <c r="A11344" s="4" t="str">
        <f>HYPERLINK("http://www.rosaceae.org/Prunus/Prunus_persica/p.persica_gdr_reftransV1_0043306","p.persica_gdr_reftransV1_0043306")</f>
        <v>p.persica_gdr_reftransV1_0043306</v>
      </c>
      <c r="B11344" s="2">
        <v>1553</v>
      </c>
      <c r="C11344" s="4" t="str">
        <f>HYPERLINK("http://www.uniprot.org/uniprot/M5XIM3","M5XIM3")</f>
        <v>M5XIM3</v>
      </c>
      <c r="D11344" s="2" t="s">
        <v>269</v>
      </c>
      <c r="E11344" s="3">
        <v>0</v>
      </c>
      <c r="F11344" s="2">
        <v>1863</v>
      </c>
      <c r="G11344" s="2">
        <v>100</v>
      </c>
      <c r="H11344" s="2">
        <v>349</v>
      </c>
      <c r="I11344" s="2">
        <v>178</v>
      </c>
      <c r="J11344" s="2">
        <v>1224</v>
      </c>
      <c r="K11344" s="2">
        <v>17</v>
      </c>
      <c r="L11344" s="2">
        <v>365</v>
      </c>
    </row>
    <row r="11345" spans="1:12" x14ac:dyDescent="0.25">
      <c r="A11345" s="4" t="str">
        <f>HYPERLINK("http://www.rosaceae.org/Prunus/Prunus_persica/p.persica_gdr_reftransV1_0043656","p.persica_gdr_reftransV1_0043656")</f>
        <v>p.persica_gdr_reftransV1_0043656</v>
      </c>
      <c r="B11345" s="2">
        <v>840</v>
      </c>
      <c r="C11345" s="4" t="str">
        <f>HYPERLINK("http://www.uniprot.org/uniprot/M5WVL0","M5WVL0")</f>
        <v>M5WVL0</v>
      </c>
      <c r="D11345" s="2" t="s">
        <v>9610</v>
      </c>
      <c r="E11345" s="3">
        <v>4.6600000000000004E-109</v>
      </c>
      <c r="F11345" s="2">
        <v>831</v>
      </c>
      <c r="G11345" s="2">
        <v>99</v>
      </c>
      <c r="H11345" s="2">
        <v>157</v>
      </c>
      <c r="I11345" s="2">
        <v>300</v>
      </c>
      <c r="J11345" s="2">
        <v>770</v>
      </c>
      <c r="K11345" s="2">
        <v>1</v>
      </c>
      <c r="L11345" s="2">
        <v>157</v>
      </c>
    </row>
    <row r="11346" spans="1:12" x14ac:dyDescent="0.25">
      <c r="A11346" s="4" t="str">
        <f>HYPERLINK("http://www.rosaceae.org/Prunus/Prunus_persica/p.persica_gdr_reftransV1_0044006","p.persica_gdr_reftransV1_0044006")</f>
        <v>p.persica_gdr_reftransV1_0044006</v>
      </c>
      <c r="B11346" s="2">
        <v>618</v>
      </c>
      <c r="C11346" s="4" t="str">
        <f>HYPERLINK("http://www.uniprot.org/uniprot/M5W7A0","M5W7A0")</f>
        <v>M5W7A0</v>
      </c>
      <c r="D11346" s="2" t="s">
        <v>567</v>
      </c>
      <c r="E11346" s="3">
        <v>2.2700000000000001E-60</v>
      </c>
      <c r="F11346" s="2">
        <v>546</v>
      </c>
      <c r="G11346" s="2">
        <v>57</v>
      </c>
      <c r="H11346" s="2">
        <v>212</v>
      </c>
      <c r="I11346" s="2">
        <v>10</v>
      </c>
      <c r="J11346" s="2">
        <v>618</v>
      </c>
      <c r="K11346" s="2">
        <v>733</v>
      </c>
      <c r="L11346" s="2">
        <v>943</v>
      </c>
    </row>
    <row r="11347" spans="1:12" x14ac:dyDescent="0.25">
      <c r="A11347" s="4" t="str">
        <f>HYPERLINK("http://www.rosaceae.org/Prunus/Prunus_persica/p.persica_gdr_reftransV1_0044356","p.persica_gdr_reftransV1_0044356")</f>
        <v>p.persica_gdr_reftransV1_0044356</v>
      </c>
      <c r="B11347" s="2">
        <v>1860</v>
      </c>
      <c r="C11347" s="4" t="str">
        <f>HYPERLINK("http://www.uniprot.org/uniprot/M5X0Y6","M5X0Y6")</f>
        <v>M5X0Y6</v>
      </c>
      <c r="D11347" s="2" t="s">
        <v>1857</v>
      </c>
      <c r="E11347" s="3">
        <v>0</v>
      </c>
      <c r="F11347" s="2">
        <v>1340</v>
      </c>
      <c r="G11347" s="2">
        <v>100</v>
      </c>
      <c r="H11347" s="2">
        <v>268</v>
      </c>
      <c r="I11347" s="2">
        <v>326</v>
      </c>
      <c r="J11347" s="2">
        <v>1129</v>
      </c>
      <c r="K11347" s="2">
        <v>214</v>
      </c>
      <c r="L11347" s="2">
        <v>481</v>
      </c>
    </row>
    <row r="11348" spans="1:12" x14ac:dyDescent="0.25">
      <c r="A11348" s="4" t="str">
        <f>HYPERLINK("http://www.rosaceae.org/Prunus/Prunus_persica/p.persica_gdr_reftransV1_0046106","p.persica_gdr_reftransV1_0046106")</f>
        <v>p.persica_gdr_reftransV1_0046106</v>
      </c>
      <c r="B11348" s="2">
        <v>843</v>
      </c>
      <c r="C11348" s="4" t="str">
        <f>HYPERLINK("http://www.uniprot.org/uniprot/M5WNS2","M5WNS2")</f>
        <v>M5WNS2</v>
      </c>
      <c r="D11348" s="2" t="s">
        <v>9611</v>
      </c>
      <c r="E11348" s="3">
        <v>4.2899999999999998E-96</v>
      </c>
      <c r="F11348" s="2">
        <v>745</v>
      </c>
      <c r="G11348" s="2">
        <v>100</v>
      </c>
      <c r="H11348" s="2">
        <v>140</v>
      </c>
      <c r="I11348" s="2">
        <v>361</v>
      </c>
      <c r="J11348" s="2">
        <v>780</v>
      </c>
      <c r="K11348" s="2">
        <v>1</v>
      </c>
      <c r="L11348" s="2">
        <v>140</v>
      </c>
    </row>
    <row r="11349" spans="1:12" x14ac:dyDescent="0.25">
      <c r="A11349" s="4" t="str">
        <f>HYPERLINK("http://www.rosaceae.org/Prunus/Prunus_persica/p.persica_gdr_reftransV1_0046456","p.persica_gdr_reftransV1_0046456")</f>
        <v>p.persica_gdr_reftransV1_0046456</v>
      </c>
      <c r="B11349" s="2">
        <v>1326</v>
      </c>
      <c r="C11349" s="4" t="str">
        <f>HYPERLINK("http://www.uniprot.org/uniprot/M5VKW9","M5VKW9")</f>
        <v>M5VKW9</v>
      </c>
      <c r="D11349" s="2" t="s">
        <v>450</v>
      </c>
      <c r="E11349" s="3">
        <v>0</v>
      </c>
      <c r="F11349" s="2">
        <v>1849</v>
      </c>
      <c r="G11349" s="2">
        <v>100</v>
      </c>
      <c r="H11349" s="2">
        <v>356</v>
      </c>
      <c r="I11349" s="2">
        <v>85</v>
      </c>
      <c r="J11349" s="2">
        <v>1152</v>
      </c>
      <c r="K11349" s="2">
        <v>1</v>
      </c>
      <c r="L11349" s="2">
        <v>356</v>
      </c>
    </row>
    <row r="11350" spans="1:12" x14ac:dyDescent="0.25">
      <c r="A11350" s="4" t="str">
        <f>HYPERLINK("http://www.rosaceae.org/Prunus/Prunus_persica/p.persica_gdr_reftransV1_0046806","p.persica_gdr_reftransV1_0046806")</f>
        <v>p.persica_gdr_reftransV1_0046806</v>
      </c>
      <c r="B11350" s="2">
        <v>1244</v>
      </c>
      <c r="C11350" s="4" t="str">
        <f>HYPERLINK("http://www.uniprot.org/uniprot/M5XJS9","M5XJS9")</f>
        <v>M5XJS9</v>
      </c>
      <c r="D11350" s="2" t="s">
        <v>9612</v>
      </c>
      <c r="E11350" s="3">
        <v>1.2400000000000001E-10</v>
      </c>
      <c r="F11350" s="2">
        <v>174</v>
      </c>
      <c r="G11350" s="2">
        <v>34</v>
      </c>
      <c r="H11350" s="2">
        <v>281</v>
      </c>
      <c r="I11350" s="2">
        <v>111</v>
      </c>
      <c r="J11350" s="2">
        <v>872</v>
      </c>
      <c r="K11350" s="2">
        <v>30</v>
      </c>
      <c r="L11350" s="2">
        <v>295</v>
      </c>
    </row>
    <row r="11351" spans="1:12" x14ac:dyDescent="0.25">
      <c r="A11351" s="4" t="str">
        <f>HYPERLINK("http://www.rosaceae.org/Prunus/Prunus_persica/p.persica_gdr_reftransV1_0047156","p.persica_gdr_reftransV1_0047156")</f>
        <v>p.persica_gdr_reftransV1_0047156</v>
      </c>
      <c r="B11351" s="2">
        <v>739</v>
      </c>
      <c r="C11351" s="4" t="str">
        <f>HYPERLINK("http://www.uniprot.org/uniprot/M5XNX7","M5XNX7")</f>
        <v>M5XNX7</v>
      </c>
      <c r="D11351" s="2" t="s">
        <v>9613</v>
      </c>
      <c r="E11351" s="3">
        <v>3.25E-91</v>
      </c>
      <c r="F11351" s="2">
        <v>717</v>
      </c>
      <c r="G11351" s="2">
        <v>92</v>
      </c>
      <c r="H11351" s="2">
        <v>167</v>
      </c>
      <c r="I11351" s="2">
        <v>2</v>
      </c>
      <c r="J11351" s="2">
        <v>502</v>
      </c>
      <c r="K11351" s="2">
        <v>81</v>
      </c>
      <c r="L11351" s="2">
        <v>234</v>
      </c>
    </row>
    <row r="11352" spans="1:12" x14ac:dyDescent="0.25">
      <c r="A11352" s="4" t="str">
        <f>HYPERLINK("http://www.rosaceae.org/Prunus/Prunus_persica/p.persica_gdr_reftransV1_0047506","p.persica_gdr_reftransV1_0047506")</f>
        <v>p.persica_gdr_reftransV1_0047506</v>
      </c>
      <c r="B11352" s="2">
        <v>1101</v>
      </c>
      <c r="C11352" s="4" t="str">
        <f>HYPERLINK("http://www.uniprot.org/uniprot/M5VZP1","M5VZP1")</f>
        <v>M5VZP1</v>
      </c>
      <c r="D11352" s="2" t="s">
        <v>9614</v>
      </c>
      <c r="E11352" s="3">
        <v>9.4899999999999994E-154</v>
      </c>
      <c r="F11352" s="2">
        <v>1145</v>
      </c>
      <c r="G11352" s="2">
        <v>100</v>
      </c>
      <c r="H11352" s="2">
        <v>263</v>
      </c>
      <c r="I11352" s="2">
        <v>68</v>
      </c>
      <c r="J11352" s="2">
        <v>856</v>
      </c>
      <c r="K11352" s="2">
        <v>1</v>
      </c>
      <c r="L11352" s="2">
        <v>263</v>
      </c>
    </row>
    <row r="11353" spans="1:12" x14ac:dyDescent="0.25">
      <c r="A11353" s="4" t="str">
        <f>HYPERLINK("http://www.rosaceae.org/Prunus/Prunus_persica/p.persica_gdr_reftransV1_0047856","p.persica_gdr_reftransV1_0047856")</f>
        <v>p.persica_gdr_reftransV1_0047856</v>
      </c>
      <c r="B11353" s="2">
        <v>764</v>
      </c>
      <c r="C11353" s="4" t="str">
        <f>HYPERLINK("http://www.uniprot.org/uniprot/Q93WZ6","Q93WZ6")</f>
        <v>Q93WZ6</v>
      </c>
      <c r="D11353" s="2" t="s">
        <v>4124</v>
      </c>
      <c r="E11353" s="3">
        <v>1.13E-34</v>
      </c>
      <c r="F11353" s="2">
        <v>336</v>
      </c>
      <c r="G11353" s="2">
        <v>100</v>
      </c>
      <c r="H11353" s="2">
        <v>168</v>
      </c>
      <c r="I11353" s="2">
        <v>35</v>
      </c>
      <c r="J11353" s="2">
        <v>538</v>
      </c>
      <c r="K11353" s="2">
        <v>1</v>
      </c>
      <c r="L11353" s="2">
        <v>168</v>
      </c>
    </row>
    <row r="11354" spans="1:12" x14ac:dyDescent="0.25">
      <c r="A11354" s="4" t="str">
        <f>HYPERLINK("http://www.rosaceae.org/Prunus/Prunus_persica/p.persica_gdr_reftransV1_0048206","p.persica_gdr_reftransV1_0048206")</f>
        <v>p.persica_gdr_reftransV1_0048206</v>
      </c>
      <c r="B11354" s="2">
        <v>1489</v>
      </c>
      <c r="C11354" s="4" t="str">
        <f>HYPERLINK("http://www.uniprot.org/uniprot/M5WGF1","M5WGF1")</f>
        <v>M5WGF1</v>
      </c>
      <c r="D11354" s="2" t="s">
        <v>9615</v>
      </c>
      <c r="E11354" s="3">
        <v>0</v>
      </c>
      <c r="F11354" s="2">
        <v>1378</v>
      </c>
      <c r="G11354" s="2">
        <v>100</v>
      </c>
      <c r="H11354" s="2">
        <v>291</v>
      </c>
      <c r="I11354" s="2">
        <v>615</v>
      </c>
      <c r="J11354" s="2">
        <v>1487</v>
      </c>
      <c r="K11354" s="2">
        <v>1</v>
      </c>
      <c r="L11354" s="2">
        <v>291</v>
      </c>
    </row>
    <row r="11355" spans="1:12" x14ac:dyDescent="0.25">
      <c r="A11355" s="4" t="str">
        <f>HYPERLINK("http://www.rosaceae.org/Prunus/Prunus_persica/p.persica_gdr_reftransV1_0048556","p.persica_gdr_reftransV1_0048556")</f>
        <v>p.persica_gdr_reftransV1_0048556</v>
      </c>
      <c r="B11355" s="2">
        <v>1608</v>
      </c>
      <c r="C11355" s="4" t="str">
        <f>HYPERLINK("http://www.uniprot.org/uniprot/M5X9Z4","M5X9Z4")</f>
        <v>M5X9Z4</v>
      </c>
      <c r="D11355" s="2" t="s">
        <v>9616</v>
      </c>
      <c r="E11355" s="3">
        <v>0</v>
      </c>
      <c r="F11355" s="2">
        <v>1708</v>
      </c>
      <c r="G11355" s="2">
        <v>100</v>
      </c>
      <c r="H11355" s="2">
        <v>400</v>
      </c>
      <c r="I11355" s="2">
        <v>321</v>
      </c>
      <c r="J11355" s="2">
        <v>1520</v>
      </c>
      <c r="K11355" s="2">
        <v>1</v>
      </c>
      <c r="L11355" s="2">
        <v>400</v>
      </c>
    </row>
    <row r="11356" spans="1:12" x14ac:dyDescent="0.25">
      <c r="A11356" s="4" t="str">
        <f>HYPERLINK("http://www.rosaceae.org/Prunus/Prunus_persica/p.persica_gdr_reftransV1_0048906","p.persica_gdr_reftransV1_0048906")</f>
        <v>p.persica_gdr_reftransV1_0048906</v>
      </c>
      <c r="B11356" s="2">
        <v>1581</v>
      </c>
      <c r="C11356" s="4" t="str">
        <f>HYPERLINK("http://www.uniprot.org/uniprot/M5VM17","M5VM17")</f>
        <v>M5VM17</v>
      </c>
      <c r="D11356" s="2" t="s">
        <v>9617</v>
      </c>
      <c r="E11356" s="3">
        <v>0</v>
      </c>
      <c r="F11356" s="2">
        <v>1673</v>
      </c>
      <c r="G11356" s="2">
        <v>100</v>
      </c>
      <c r="H11356" s="2">
        <v>329</v>
      </c>
      <c r="I11356" s="2">
        <v>527</v>
      </c>
      <c r="J11356" s="2">
        <v>1513</v>
      </c>
      <c r="K11356" s="2">
        <v>121</v>
      </c>
      <c r="L11356" s="2">
        <v>449</v>
      </c>
    </row>
    <row r="11357" spans="1:12" x14ac:dyDescent="0.25">
      <c r="A11357" s="4" t="str">
        <f>HYPERLINK("http://www.rosaceae.org/Prunus/Prunus_persica/p.persica_gdr_reftransV1_0000257","p.persica_gdr_reftransV1_0000257")</f>
        <v>p.persica_gdr_reftransV1_0000257</v>
      </c>
      <c r="B11357" s="2">
        <v>595</v>
      </c>
      <c r="C11357" s="4" t="str">
        <f>HYPERLINK("http://www.uniprot.org/uniprot/M5VW22","M5VW22")</f>
        <v>M5VW22</v>
      </c>
      <c r="D11357" s="2" t="s">
        <v>989</v>
      </c>
      <c r="E11357" s="3">
        <v>4.6600000000000001E-115</v>
      </c>
      <c r="F11357" s="2">
        <v>888</v>
      </c>
      <c r="G11357" s="2">
        <v>99</v>
      </c>
      <c r="H11357" s="2">
        <v>168</v>
      </c>
      <c r="I11357" s="2">
        <v>91</v>
      </c>
      <c r="J11357" s="2">
        <v>594</v>
      </c>
      <c r="K11357" s="2">
        <v>259</v>
      </c>
      <c r="L11357" s="2">
        <v>426</v>
      </c>
    </row>
    <row r="11358" spans="1:12" x14ac:dyDescent="0.25">
      <c r="A11358" s="4" t="str">
        <f>HYPERLINK("http://www.rosaceae.org/Prunus/Prunus_persica/p.persica_gdr_reftransV1_0001657","p.persica_gdr_reftransV1_0001657")</f>
        <v>p.persica_gdr_reftransV1_0001657</v>
      </c>
      <c r="B11358" s="2">
        <v>1322</v>
      </c>
      <c r="C11358" s="4" t="str">
        <f>HYPERLINK("http://www.uniprot.org/uniprot/M5WPA0","M5WPA0")</f>
        <v>M5WPA0</v>
      </c>
      <c r="D11358" s="2" t="s">
        <v>9618</v>
      </c>
      <c r="E11358" s="3">
        <v>0</v>
      </c>
      <c r="F11358" s="2">
        <v>1899</v>
      </c>
      <c r="G11358" s="2">
        <v>97</v>
      </c>
      <c r="H11358" s="2">
        <v>384</v>
      </c>
      <c r="I11358" s="2">
        <v>2</v>
      </c>
      <c r="J11358" s="2">
        <v>1153</v>
      </c>
      <c r="K11358" s="2">
        <v>93</v>
      </c>
      <c r="L11358" s="2">
        <v>464</v>
      </c>
    </row>
    <row r="11359" spans="1:12" x14ac:dyDescent="0.25">
      <c r="A11359" s="4" t="str">
        <f>HYPERLINK("http://www.rosaceae.org/Prunus/Prunus_persica/p.persica_gdr_reftransV1_0002357","p.persica_gdr_reftransV1_0002357")</f>
        <v>p.persica_gdr_reftransV1_0002357</v>
      </c>
      <c r="B11359" s="2">
        <v>430</v>
      </c>
      <c r="C11359" s="4" t="str">
        <f>HYPERLINK("http://www.uniprot.org/uniprot/A0A075B6H6","A0A075B6H6")</f>
        <v>A0A075B6H6</v>
      </c>
      <c r="D11359" s="2" t="s">
        <v>9619</v>
      </c>
      <c r="E11359" s="3">
        <v>3.01E-53</v>
      </c>
      <c r="F11359" s="2">
        <v>443</v>
      </c>
      <c r="G11359" s="2">
        <v>100</v>
      </c>
      <c r="H11359" s="2">
        <v>96</v>
      </c>
      <c r="I11359" s="2">
        <v>142</v>
      </c>
      <c r="J11359" s="2">
        <v>429</v>
      </c>
      <c r="K11359" s="2">
        <v>12</v>
      </c>
      <c r="L11359" s="2">
        <v>107</v>
      </c>
    </row>
    <row r="11360" spans="1:12" x14ac:dyDescent="0.25">
      <c r="A11360" s="4" t="str">
        <f>HYPERLINK("http://www.rosaceae.org/Prunus/Prunus_persica/p.persica_gdr_reftransV1_0002707","p.persica_gdr_reftransV1_0002707")</f>
        <v>p.persica_gdr_reftransV1_0002707</v>
      </c>
      <c r="B11360" s="2">
        <v>515</v>
      </c>
      <c r="C11360" s="4" t="str">
        <f>HYPERLINK("http://www.uniprot.org/uniprot/R0HVC4","R0HVC4")</f>
        <v>R0HVC4</v>
      </c>
      <c r="D11360" s="2" t="s">
        <v>6534</v>
      </c>
      <c r="E11360" s="3">
        <v>1.6900000000000002E-80</v>
      </c>
      <c r="F11360" s="2">
        <v>632</v>
      </c>
      <c r="G11360" s="2">
        <v>98</v>
      </c>
      <c r="H11360" s="2">
        <v>123</v>
      </c>
      <c r="I11360" s="2">
        <v>145</v>
      </c>
      <c r="J11360" s="2">
        <v>513</v>
      </c>
      <c r="K11360" s="2">
        <v>19</v>
      </c>
      <c r="L11360" s="2">
        <v>141</v>
      </c>
    </row>
    <row r="11361" spans="1:12" x14ac:dyDescent="0.25">
      <c r="A11361" s="4" t="str">
        <f>HYPERLINK("http://www.rosaceae.org/Prunus/Prunus_persica/p.persica_gdr_reftransV1_0003057","p.persica_gdr_reftransV1_0003057")</f>
        <v>p.persica_gdr_reftransV1_0003057</v>
      </c>
      <c r="B11361" s="2">
        <v>1393</v>
      </c>
      <c r="C11361" s="4" t="str">
        <f>HYPERLINK("http://www.uniprot.org/uniprot/M5WZ86","M5WZ86")</f>
        <v>M5WZ86</v>
      </c>
      <c r="D11361" s="2" t="s">
        <v>9620</v>
      </c>
      <c r="E11361" s="3">
        <v>1.3900000000000001E-107</v>
      </c>
      <c r="F11361" s="2">
        <v>843</v>
      </c>
      <c r="G11361" s="2">
        <v>100</v>
      </c>
      <c r="H11361" s="2">
        <v>197</v>
      </c>
      <c r="I11361" s="2">
        <v>593</v>
      </c>
      <c r="J11361" s="2">
        <v>1183</v>
      </c>
      <c r="K11361" s="2">
        <v>4</v>
      </c>
      <c r="L11361" s="2">
        <v>200</v>
      </c>
    </row>
    <row r="11362" spans="1:12" x14ac:dyDescent="0.25">
      <c r="A11362" s="4" t="str">
        <f>HYPERLINK("http://www.rosaceae.org/Prunus/Prunus_persica/p.persica_gdr_reftransV1_0003407","p.persica_gdr_reftransV1_0003407")</f>
        <v>p.persica_gdr_reftransV1_0003407</v>
      </c>
      <c r="B11362" s="2">
        <v>4601</v>
      </c>
      <c r="C11362" s="4" t="str">
        <f>HYPERLINK("http://www.uniprot.org/uniprot/M5XAL6","M5XAL6")</f>
        <v>M5XAL6</v>
      </c>
      <c r="D11362" s="2" t="s">
        <v>7475</v>
      </c>
      <c r="E11362" s="3">
        <v>0</v>
      </c>
      <c r="F11362" s="2">
        <v>7531</v>
      </c>
      <c r="G11362" s="2">
        <v>100</v>
      </c>
      <c r="H11362" s="2">
        <v>1443</v>
      </c>
      <c r="I11362" s="2">
        <v>1</v>
      </c>
      <c r="J11362" s="2">
        <v>4329</v>
      </c>
      <c r="K11362" s="2">
        <v>507</v>
      </c>
      <c r="L11362" s="2">
        <v>1949</v>
      </c>
    </row>
    <row r="11363" spans="1:12" x14ac:dyDescent="0.25">
      <c r="A11363" s="4" t="str">
        <f>HYPERLINK("http://www.rosaceae.org/Prunus/Prunus_persica/p.persica_gdr_reftransV1_0004457","p.persica_gdr_reftransV1_0004457")</f>
        <v>p.persica_gdr_reftransV1_0004457</v>
      </c>
      <c r="B11363" s="2">
        <v>385</v>
      </c>
      <c r="C11363" s="4" t="str">
        <f>HYPERLINK("http://www.uniprot.org/uniprot/W9SJH5","W9SJH5")</f>
        <v>W9SJH5</v>
      </c>
      <c r="D11363" s="2" t="s">
        <v>9621</v>
      </c>
      <c r="E11363" s="3">
        <v>1.36E-65</v>
      </c>
      <c r="F11363" s="2">
        <v>564</v>
      </c>
      <c r="G11363" s="2">
        <v>71</v>
      </c>
      <c r="H11363" s="2">
        <v>141</v>
      </c>
      <c r="I11363" s="2">
        <v>4</v>
      </c>
      <c r="J11363" s="2">
        <v>384</v>
      </c>
      <c r="K11363" s="2">
        <v>158</v>
      </c>
      <c r="L11363" s="2">
        <v>298</v>
      </c>
    </row>
    <row r="11364" spans="1:12" x14ac:dyDescent="0.25">
      <c r="A11364" s="4" t="str">
        <f>HYPERLINK("http://www.rosaceae.org/Prunus/Prunus_persica/p.persica_gdr_reftransV1_0004807","p.persica_gdr_reftransV1_0004807")</f>
        <v>p.persica_gdr_reftransV1_0004807</v>
      </c>
      <c r="B11364" s="2">
        <v>368</v>
      </c>
      <c r="C11364" s="4" t="str">
        <f>HYPERLINK("http://www.uniprot.org/uniprot/I1LC58","I1LC58")</f>
        <v>I1LC58</v>
      </c>
      <c r="D11364" s="2" t="s">
        <v>575</v>
      </c>
      <c r="E11364" s="3">
        <v>1.1E-39</v>
      </c>
      <c r="F11364" s="2">
        <v>358</v>
      </c>
      <c r="G11364" s="2">
        <v>99</v>
      </c>
      <c r="H11364" s="2">
        <v>86</v>
      </c>
      <c r="I11364" s="2">
        <v>2</v>
      </c>
      <c r="J11364" s="2">
        <v>259</v>
      </c>
      <c r="K11364" s="2">
        <v>54</v>
      </c>
      <c r="L11364" s="2">
        <v>139</v>
      </c>
    </row>
    <row r="11365" spans="1:12" x14ac:dyDescent="0.25">
      <c r="A11365" s="4" t="str">
        <f>HYPERLINK("http://www.rosaceae.org/Prunus/Prunus_persica/p.persica_gdr_reftransV1_0005157","p.persica_gdr_reftransV1_0005157")</f>
        <v>p.persica_gdr_reftransV1_0005157</v>
      </c>
      <c r="B11365" s="2">
        <v>3611</v>
      </c>
      <c r="C11365" s="4" t="str">
        <f>HYPERLINK("http://www.uniprot.org/uniprot/M5X2R2","M5X2R2")</f>
        <v>M5X2R2</v>
      </c>
      <c r="D11365" s="2" t="s">
        <v>8652</v>
      </c>
      <c r="E11365" s="3">
        <v>0</v>
      </c>
      <c r="F11365" s="2">
        <v>4599</v>
      </c>
      <c r="G11365" s="2">
        <v>100</v>
      </c>
      <c r="H11365" s="2">
        <v>854</v>
      </c>
      <c r="I11365" s="2">
        <v>700</v>
      </c>
      <c r="J11365" s="2">
        <v>3261</v>
      </c>
      <c r="K11365" s="2">
        <v>1</v>
      </c>
      <c r="L11365" s="2">
        <v>854</v>
      </c>
    </row>
    <row r="11366" spans="1:12" x14ac:dyDescent="0.25">
      <c r="A11366" s="4" t="str">
        <f>HYPERLINK("http://www.rosaceae.org/Prunus/Prunus_persica/p.persica_gdr_reftransV1_0005507","p.persica_gdr_reftransV1_0005507")</f>
        <v>p.persica_gdr_reftransV1_0005507</v>
      </c>
      <c r="B11366" s="2">
        <v>4064</v>
      </c>
      <c r="C11366" s="4" t="str">
        <f>HYPERLINK("http://www.uniprot.org/uniprot/M5Y1U4","M5Y1U4")</f>
        <v>M5Y1U4</v>
      </c>
      <c r="D11366" s="2" t="s">
        <v>7860</v>
      </c>
      <c r="E11366" s="3">
        <v>0</v>
      </c>
      <c r="F11366" s="2">
        <v>6426</v>
      </c>
      <c r="G11366" s="2">
        <v>100</v>
      </c>
      <c r="H11366" s="2">
        <v>1259</v>
      </c>
      <c r="I11366" s="2">
        <v>287</v>
      </c>
      <c r="J11366" s="2">
        <v>4063</v>
      </c>
      <c r="K11366" s="2">
        <v>1</v>
      </c>
      <c r="L11366" s="2">
        <v>1259</v>
      </c>
    </row>
    <row r="11367" spans="1:12" x14ac:dyDescent="0.25">
      <c r="A11367" s="4" t="str">
        <f>HYPERLINK("http://www.rosaceae.org/Prunus/Prunus_persica/p.persica_gdr_reftransV1_0006207","p.persica_gdr_reftransV1_0006207")</f>
        <v>p.persica_gdr_reftransV1_0006207</v>
      </c>
      <c r="B11367" s="2">
        <v>1240</v>
      </c>
      <c r="C11367" s="4" t="str">
        <f>HYPERLINK("http://www.uniprot.org/uniprot/M5WME3","M5WME3")</f>
        <v>M5WME3</v>
      </c>
      <c r="D11367" s="2" t="s">
        <v>9622</v>
      </c>
      <c r="E11367" s="3">
        <v>0</v>
      </c>
      <c r="F11367" s="2">
        <v>1799</v>
      </c>
      <c r="G11367" s="2">
        <v>96</v>
      </c>
      <c r="H11367" s="2">
        <v>350</v>
      </c>
      <c r="I11367" s="2">
        <v>1</v>
      </c>
      <c r="J11367" s="2">
        <v>1050</v>
      </c>
      <c r="K11367" s="2">
        <v>147</v>
      </c>
      <c r="L11367" s="2">
        <v>496</v>
      </c>
    </row>
    <row r="11368" spans="1:12" x14ac:dyDescent="0.25">
      <c r="A11368" s="4" t="str">
        <f>HYPERLINK("http://www.rosaceae.org/Prunus/Prunus_persica/p.persica_gdr_reftransV1_0006907","p.persica_gdr_reftransV1_0006907")</f>
        <v>p.persica_gdr_reftransV1_0006907</v>
      </c>
      <c r="B11368" s="2">
        <v>711</v>
      </c>
      <c r="C11368" s="4" t="str">
        <f>HYPERLINK("http://www.uniprot.org/uniprot/M5X743","M5X743")</f>
        <v>M5X743</v>
      </c>
      <c r="D11368" s="2" t="s">
        <v>8397</v>
      </c>
      <c r="E11368" s="3">
        <v>6.5299999999999996E-94</v>
      </c>
      <c r="F11368" s="2">
        <v>803</v>
      </c>
      <c r="G11368" s="2">
        <v>99</v>
      </c>
      <c r="H11368" s="2">
        <v>169</v>
      </c>
      <c r="I11368" s="2">
        <v>120</v>
      </c>
      <c r="J11368" s="2">
        <v>626</v>
      </c>
      <c r="K11368" s="2">
        <v>1</v>
      </c>
      <c r="L11368" s="2">
        <v>169</v>
      </c>
    </row>
    <row r="11369" spans="1:12" x14ac:dyDescent="0.25">
      <c r="A11369" s="4" t="str">
        <f>HYPERLINK("http://www.rosaceae.org/Prunus/Prunus_persica/p.persica_gdr_reftransV1_0007257","p.persica_gdr_reftransV1_0007257")</f>
        <v>p.persica_gdr_reftransV1_0007257</v>
      </c>
      <c r="B11369" s="2">
        <v>3781</v>
      </c>
      <c r="C11369" s="4" t="str">
        <f>HYPERLINK("http://www.uniprot.org/uniprot/M5X665","M5X665")</f>
        <v>M5X665</v>
      </c>
      <c r="D11369" s="2" t="s">
        <v>9623</v>
      </c>
      <c r="E11369" s="3">
        <v>0</v>
      </c>
      <c r="F11369" s="2">
        <v>2126</v>
      </c>
      <c r="G11369" s="2">
        <v>99</v>
      </c>
      <c r="H11369" s="2">
        <v>403</v>
      </c>
      <c r="I11369" s="2">
        <v>2455</v>
      </c>
      <c r="J11369" s="2">
        <v>3663</v>
      </c>
      <c r="K11369" s="2">
        <v>1</v>
      </c>
      <c r="L11369" s="2">
        <v>403</v>
      </c>
    </row>
    <row r="11370" spans="1:12" x14ac:dyDescent="0.25">
      <c r="A11370" s="4" t="str">
        <f>HYPERLINK("http://www.rosaceae.org/Prunus/Prunus_persica/p.persica_gdr_reftransV1_0007957","p.persica_gdr_reftransV1_0007957")</f>
        <v>p.persica_gdr_reftransV1_0007957</v>
      </c>
      <c r="B11370" s="2">
        <v>1762</v>
      </c>
      <c r="C11370" s="4" t="str">
        <f>HYPERLINK("http://www.uniprot.org/uniprot/M5WZ59","M5WZ59")</f>
        <v>M5WZ59</v>
      </c>
      <c r="D11370" s="2" t="s">
        <v>9624</v>
      </c>
      <c r="E11370" s="3">
        <v>5.1799999999999995E-94</v>
      </c>
      <c r="F11370" s="2">
        <v>760</v>
      </c>
      <c r="G11370" s="2">
        <v>99</v>
      </c>
      <c r="H11370" s="2">
        <v>166</v>
      </c>
      <c r="I11370" s="2">
        <v>379</v>
      </c>
      <c r="J11370" s="2">
        <v>876</v>
      </c>
      <c r="K11370" s="2">
        <v>1</v>
      </c>
      <c r="L11370" s="2">
        <v>166</v>
      </c>
    </row>
    <row r="11371" spans="1:12" x14ac:dyDescent="0.25">
      <c r="A11371" s="4" t="str">
        <f>HYPERLINK("http://www.rosaceae.org/Prunus/Prunus_persica/p.persica_gdr_reftransV1_0008307","p.persica_gdr_reftransV1_0008307")</f>
        <v>p.persica_gdr_reftransV1_0008307</v>
      </c>
      <c r="B11371" s="2">
        <v>1509</v>
      </c>
      <c r="C11371" s="4" t="str">
        <f>HYPERLINK("http://www.uniprot.org/uniprot/A0A097PQC4","A0A097PQC4")</f>
        <v>A0A097PQC4</v>
      </c>
      <c r="D11371" s="2" t="s">
        <v>9625</v>
      </c>
      <c r="E11371" s="3">
        <v>2.6199999999999999E-123</v>
      </c>
      <c r="F11371" s="2">
        <v>961</v>
      </c>
      <c r="G11371" s="2">
        <v>99</v>
      </c>
      <c r="H11371" s="2">
        <v>183</v>
      </c>
      <c r="I11371" s="2">
        <v>736</v>
      </c>
      <c r="J11371" s="2">
        <v>1284</v>
      </c>
      <c r="K11371" s="2">
        <v>108</v>
      </c>
      <c r="L11371" s="2">
        <v>290</v>
      </c>
    </row>
    <row r="11372" spans="1:12" x14ac:dyDescent="0.25">
      <c r="A11372" s="4" t="str">
        <f>HYPERLINK("http://www.rosaceae.org/Prunus/Prunus_persica/p.persica_gdr_reftransV1_0008657","p.persica_gdr_reftransV1_0008657")</f>
        <v>p.persica_gdr_reftransV1_0008657</v>
      </c>
      <c r="B11372" s="2">
        <v>2968</v>
      </c>
      <c r="C11372" s="4" t="str">
        <f>HYPERLINK("http://www.uniprot.org/uniprot/M5X3T1","M5X3T1")</f>
        <v>M5X3T1</v>
      </c>
      <c r="D11372" s="2" t="s">
        <v>9626</v>
      </c>
      <c r="E11372" s="3">
        <v>0</v>
      </c>
      <c r="F11372" s="2">
        <v>2810</v>
      </c>
      <c r="G11372" s="2">
        <v>100</v>
      </c>
      <c r="H11372" s="2">
        <v>560</v>
      </c>
      <c r="I11372" s="2">
        <v>928</v>
      </c>
      <c r="J11372" s="2">
        <v>2607</v>
      </c>
      <c r="K11372" s="2">
        <v>1</v>
      </c>
      <c r="L11372" s="2">
        <v>560</v>
      </c>
    </row>
    <row r="11373" spans="1:12" x14ac:dyDescent="0.25">
      <c r="A11373" s="4" t="str">
        <f>HYPERLINK("http://www.rosaceae.org/Prunus/Prunus_persica/p.persica_gdr_reftransV1_0009357","p.persica_gdr_reftransV1_0009357")</f>
        <v>p.persica_gdr_reftransV1_0009357</v>
      </c>
      <c r="B11373" s="2">
        <v>3752</v>
      </c>
      <c r="C11373" s="4" t="str">
        <f>HYPERLINK("http://www.uniprot.org/uniprot/M5WUT5","M5WUT5")</f>
        <v>M5WUT5</v>
      </c>
      <c r="D11373" s="2" t="s">
        <v>7205</v>
      </c>
      <c r="E11373" s="3">
        <v>2.8899999999999997E-160</v>
      </c>
      <c r="F11373" s="2">
        <v>1262</v>
      </c>
      <c r="G11373" s="2">
        <v>100</v>
      </c>
      <c r="H11373" s="2">
        <v>250</v>
      </c>
      <c r="I11373" s="2">
        <v>566</v>
      </c>
      <c r="J11373" s="2">
        <v>1315</v>
      </c>
      <c r="K11373" s="2">
        <v>1</v>
      </c>
      <c r="L11373" s="2">
        <v>250</v>
      </c>
    </row>
    <row r="11374" spans="1:12" x14ac:dyDescent="0.25">
      <c r="A11374" s="4" t="str">
        <f>HYPERLINK("http://www.rosaceae.org/Prunus/Prunus_persica/p.persica_gdr_reftransV1_0009707","p.persica_gdr_reftransV1_0009707")</f>
        <v>p.persica_gdr_reftransV1_0009707</v>
      </c>
      <c r="B11374" s="2">
        <v>2084</v>
      </c>
      <c r="C11374" s="4" t="str">
        <f>HYPERLINK("http://www.uniprot.org/uniprot/M5VQC8","M5VQC8")</f>
        <v>M5VQC8</v>
      </c>
      <c r="D11374" s="2" t="s">
        <v>9627</v>
      </c>
      <c r="E11374" s="3">
        <v>0</v>
      </c>
      <c r="F11374" s="2">
        <v>1421</v>
      </c>
      <c r="G11374" s="2">
        <v>97</v>
      </c>
      <c r="H11374" s="2">
        <v>278</v>
      </c>
      <c r="I11374" s="2">
        <v>206</v>
      </c>
      <c r="J11374" s="2">
        <v>1039</v>
      </c>
      <c r="K11374" s="2">
        <v>1</v>
      </c>
      <c r="L11374" s="2">
        <v>271</v>
      </c>
    </row>
    <row r="11375" spans="1:12" x14ac:dyDescent="0.25">
      <c r="A11375" s="4" t="str">
        <f>HYPERLINK("http://www.rosaceae.org/Prunus/Prunus_persica/p.persica_gdr_reftransV1_0010057","p.persica_gdr_reftransV1_0010057")</f>
        <v>p.persica_gdr_reftransV1_0010057</v>
      </c>
      <c r="B11375" s="2">
        <v>980</v>
      </c>
      <c r="C11375" s="4" t="str">
        <f>HYPERLINK("http://www.uniprot.org/uniprot/M5VKW4","M5VKW4")</f>
        <v>M5VKW4</v>
      </c>
      <c r="D11375" s="2" t="s">
        <v>872</v>
      </c>
      <c r="E11375" s="3">
        <v>5.8899999999999995E-122</v>
      </c>
      <c r="F11375" s="2">
        <v>924</v>
      </c>
      <c r="G11375" s="2">
        <v>100</v>
      </c>
      <c r="H11375" s="2">
        <v>191</v>
      </c>
      <c r="I11375" s="2">
        <v>296</v>
      </c>
      <c r="J11375" s="2">
        <v>868</v>
      </c>
      <c r="K11375" s="2">
        <v>1</v>
      </c>
      <c r="L11375" s="2">
        <v>191</v>
      </c>
    </row>
    <row r="11376" spans="1:12" x14ac:dyDescent="0.25">
      <c r="A11376" s="4" t="str">
        <f>HYPERLINK("http://www.rosaceae.org/Prunus/Prunus_persica/p.persica_gdr_reftransV1_0010757","p.persica_gdr_reftransV1_0010757")</f>
        <v>p.persica_gdr_reftransV1_0010757</v>
      </c>
      <c r="B11376" s="2">
        <v>1037</v>
      </c>
      <c r="C11376" s="4" t="str">
        <f>HYPERLINK("http://www.uniprot.org/uniprot/M5XAK7","M5XAK7")</f>
        <v>M5XAK7</v>
      </c>
      <c r="D11376" s="2" t="s">
        <v>2609</v>
      </c>
      <c r="E11376" s="3">
        <v>3.1999999999999998E-111</v>
      </c>
      <c r="F11376" s="2">
        <v>908</v>
      </c>
      <c r="G11376" s="2">
        <v>100</v>
      </c>
      <c r="H11376" s="2">
        <v>202</v>
      </c>
      <c r="I11376" s="2">
        <v>335</v>
      </c>
      <c r="J11376" s="2">
        <v>940</v>
      </c>
      <c r="K11376" s="2">
        <v>1</v>
      </c>
      <c r="L11376" s="2">
        <v>202</v>
      </c>
    </row>
    <row r="11377" spans="1:12" x14ac:dyDescent="0.25">
      <c r="A11377" s="4" t="str">
        <f>HYPERLINK("http://www.rosaceae.org/Prunus/Prunus_persica/p.persica_gdr_reftransV1_0011107","p.persica_gdr_reftransV1_0011107")</f>
        <v>p.persica_gdr_reftransV1_0011107</v>
      </c>
      <c r="B11377" s="2">
        <v>2726</v>
      </c>
      <c r="C11377" s="4" t="str">
        <f>HYPERLINK("http://www.uniprot.org/uniprot/M5VWL9","M5VWL9")</f>
        <v>M5VWL9</v>
      </c>
      <c r="D11377" s="2" t="s">
        <v>9628</v>
      </c>
      <c r="E11377" s="3">
        <v>0</v>
      </c>
      <c r="F11377" s="2">
        <v>3133</v>
      </c>
      <c r="G11377" s="2">
        <v>100</v>
      </c>
      <c r="H11377" s="2">
        <v>672</v>
      </c>
      <c r="I11377" s="2">
        <v>469</v>
      </c>
      <c r="J11377" s="2">
        <v>2484</v>
      </c>
      <c r="K11377" s="2">
        <v>1</v>
      </c>
      <c r="L11377" s="2">
        <v>672</v>
      </c>
    </row>
    <row r="11378" spans="1:12" x14ac:dyDescent="0.25">
      <c r="A11378" s="4" t="str">
        <f>HYPERLINK("http://www.rosaceae.org/Prunus/Prunus_persica/p.persica_gdr_reftransV1_0012157","p.persica_gdr_reftransV1_0012157")</f>
        <v>p.persica_gdr_reftransV1_0012157</v>
      </c>
      <c r="B11378" s="2">
        <v>1043</v>
      </c>
      <c r="C11378" s="4" t="str">
        <f>HYPERLINK("http://www.uniprot.org/uniprot/A0A067L479","A0A067L479")</f>
        <v>A0A067L479</v>
      </c>
      <c r="D11378" s="2" t="s">
        <v>9629</v>
      </c>
      <c r="E11378" s="3">
        <v>1.2599999999999999E-114</v>
      </c>
      <c r="F11378" s="2">
        <v>889</v>
      </c>
      <c r="G11378" s="2">
        <v>78</v>
      </c>
      <c r="H11378" s="2">
        <v>195</v>
      </c>
      <c r="I11378" s="2">
        <v>456</v>
      </c>
      <c r="J11378" s="2">
        <v>1040</v>
      </c>
      <c r="K11378" s="2">
        <v>106</v>
      </c>
      <c r="L11378" s="2">
        <v>300</v>
      </c>
    </row>
    <row r="11379" spans="1:12" x14ac:dyDescent="0.25">
      <c r="A11379" s="4" t="str">
        <f>HYPERLINK("http://www.rosaceae.org/Prunus/Prunus_persica/p.persica_gdr_reftransV1_0013557","p.persica_gdr_reftransV1_0013557")</f>
        <v>p.persica_gdr_reftransV1_0013557</v>
      </c>
      <c r="B11379" s="2">
        <v>1377</v>
      </c>
      <c r="C11379" s="4" t="str">
        <f>HYPERLINK("http://www.uniprot.org/uniprot/M5WVC1","M5WVC1")</f>
        <v>M5WVC1</v>
      </c>
      <c r="D11379" s="2" t="s">
        <v>9630</v>
      </c>
      <c r="E11379" s="3">
        <v>5.34E-127</v>
      </c>
      <c r="F11379" s="2">
        <v>975</v>
      </c>
      <c r="G11379" s="2">
        <v>100</v>
      </c>
      <c r="H11379" s="2">
        <v>228</v>
      </c>
      <c r="I11379" s="2">
        <v>476</v>
      </c>
      <c r="J11379" s="2">
        <v>1159</v>
      </c>
      <c r="K11379" s="2">
        <v>1</v>
      </c>
      <c r="L11379" s="2">
        <v>228</v>
      </c>
    </row>
    <row r="11380" spans="1:12" x14ac:dyDescent="0.25">
      <c r="A11380" s="4" t="str">
        <f>HYPERLINK("http://www.rosaceae.org/Prunus/Prunus_persica/p.persica_gdr_reftransV1_0016357","p.persica_gdr_reftransV1_0016357")</f>
        <v>p.persica_gdr_reftransV1_0016357</v>
      </c>
      <c r="B11380" s="2">
        <v>932</v>
      </c>
      <c r="C11380" s="4" t="str">
        <f>HYPERLINK("http://www.uniprot.org/uniprot/M5XPD7","M5XPD7")</f>
        <v>M5XPD7</v>
      </c>
      <c r="D11380" s="2" t="s">
        <v>9521</v>
      </c>
      <c r="E11380" s="3">
        <v>3.2599999999999999E-118</v>
      </c>
      <c r="F11380" s="2">
        <v>907</v>
      </c>
      <c r="G11380" s="2">
        <v>100</v>
      </c>
      <c r="H11380" s="2">
        <v>186</v>
      </c>
      <c r="I11380" s="2">
        <v>303</v>
      </c>
      <c r="J11380" s="2">
        <v>860</v>
      </c>
      <c r="K11380" s="2">
        <v>98</v>
      </c>
      <c r="L11380" s="2">
        <v>283</v>
      </c>
    </row>
    <row r="11381" spans="1:12" x14ac:dyDescent="0.25">
      <c r="A11381" s="4" t="str">
        <f>HYPERLINK("http://www.rosaceae.org/Prunus/Prunus_persica/p.persica_gdr_reftransV1_0017057","p.persica_gdr_reftransV1_0017057")</f>
        <v>p.persica_gdr_reftransV1_0017057</v>
      </c>
      <c r="B11381" s="2">
        <v>1701</v>
      </c>
      <c r="C11381" s="4" t="str">
        <f>HYPERLINK("http://www.uniprot.org/uniprot/M5WQH7","M5WQH7")</f>
        <v>M5WQH7</v>
      </c>
      <c r="D11381" s="2" t="s">
        <v>9631</v>
      </c>
      <c r="E11381" s="3">
        <v>6.8999999999999998E-171</v>
      </c>
      <c r="F11381" s="2">
        <v>1278</v>
      </c>
      <c r="G11381" s="2">
        <v>93</v>
      </c>
      <c r="H11381" s="2">
        <v>275</v>
      </c>
      <c r="I11381" s="2">
        <v>400</v>
      </c>
      <c r="J11381" s="2">
        <v>1224</v>
      </c>
      <c r="K11381" s="2">
        <v>1</v>
      </c>
      <c r="L11381" s="2">
        <v>256</v>
      </c>
    </row>
    <row r="11382" spans="1:12" x14ac:dyDescent="0.25">
      <c r="A11382" s="4" t="str">
        <f>HYPERLINK("http://www.rosaceae.org/Prunus/Prunus_persica/p.persica_gdr_reftransV1_0017407","p.persica_gdr_reftransV1_0017407")</f>
        <v>p.persica_gdr_reftransV1_0017407</v>
      </c>
      <c r="B11382" s="2">
        <v>1513</v>
      </c>
      <c r="C11382" s="4" t="str">
        <f>HYPERLINK("http://www.uniprot.org/uniprot/M5X1X0","M5X1X0")</f>
        <v>M5X1X0</v>
      </c>
      <c r="D11382" s="2" t="s">
        <v>9632</v>
      </c>
      <c r="E11382" s="3">
        <v>6.07E-108</v>
      </c>
      <c r="F11382" s="2">
        <v>857</v>
      </c>
      <c r="G11382" s="2">
        <v>99</v>
      </c>
      <c r="H11382" s="2">
        <v>208</v>
      </c>
      <c r="I11382" s="2">
        <v>884</v>
      </c>
      <c r="J11382" s="2">
        <v>1507</v>
      </c>
      <c r="K11382" s="2">
        <v>56</v>
      </c>
      <c r="L11382" s="2">
        <v>263</v>
      </c>
    </row>
    <row r="11383" spans="1:12" x14ac:dyDescent="0.25">
      <c r="A11383" s="4" t="str">
        <f>HYPERLINK("http://www.rosaceae.org/Prunus/Prunus_persica/p.persica_gdr_reftransV1_0017757","p.persica_gdr_reftransV1_0017757")</f>
        <v>p.persica_gdr_reftransV1_0017757</v>
      </c>
      <c r="B11383" s="2">
        <v>722</v>
      </c>
      <c r="C11383" s="4" t="str">
        <f>HYPERLINK("http://www.uniprot.org/uniprot/M5W6Z9","M5W6Z9")</f>
        <v>M5W6Z9</v>
      </c>
      <c r="D11383" s="2" t="s">
        <v>2073</v>
      </c>
      <c r="E11383" s="3">
        <v>1.1500000000000001E-92</v>
      </c>
      <c r="F11383" s="2">
        <v>757</v>
      </c>
      <c r="G11383" s="2">
        <v>100</v>
      </c>
      <c r="H11383" s="2">
        <v>139</v>
      </c>
      <c r="I11383" s="2">
        <v>304</v>
      </c>
      <c r="J11383" s="2">
        <v>720</v>
      </c>
      <c r="K11383" s="2">
        <v>465</v>
      </c>
      <c r="L11383" s="2">
        <v>603</v>
      </c>
    </row>
    <row r="11384" spans="1:12" x14ac:dyDescent="0.25">
      <c r="A11384" s="4" t="str">
        <f>HYPERLINK("http://www.rosaceae.org/Prunus/Prunus_persica/p.persica_gdr_reftransV1_0018457","p.persica_gdr_reftransV1_0018457")</f>
        <v>p.persica_gdr_reftransV1_0018457</v>
      </c>
      <c r="B11384" s="2">
        <v>3223</v>
      </c>
      <c r="C11384" s="4" t="str">
        <f>HYPERLINK("http://www.uniprot.org/uniprot/M5WXM8","M5WXM8")</f>
        <v>M5WXM8</v>
      </c>
      <c r="D11384" s="2" t="s">
        <v>9633</v>
      </c>
      <c r="E11384" s="3">
        <v>0</v>
      </c>
      <c r="F11384" s="2">
        <v>4446</v>
      </c>
      <c r="G11384" s="2">
        <v>97</v>
      </c>
      <c r="H11384" s="2">
        <v>888</v>
      </c>
      <c r="I11384" s="2">
        <v>265</v>
      </c>
      <c r="J11384" s="2">
        <v>2928</v>
      </c>
      <c r="K11384" s="2">
        <v>1</v>
      </c>
      <c r="L11384" s="2">
        <v>862</v>
      </c>
    </row>
    <row r="11385" spans="1:12" x14ac:dyDescent="0.25">
      <c r="A11385" s="4" t="str">
        <f>HYPERLINK("http://www.rosaceae.org/Prunus/Prunus_persica/p.persica_gdr_reftransV1_0019857","p.persica_gdr_reftransV1_0019857")</f>
        <v>p.persica_gdr_reftransV1_0019857</v>
      </c>
      <c r="B11385" s="2">
        <v>1251</v>
      </c>
      <c r="C11385" s="4" t="str">
        <f>HYPERLINK("http://www.uniprot.org/uniprot/M5WMH2","M5WMH2")</f>
        <v>M5WMH2</v>
      </c>
      <c r="D11385" s="2" t="s">
        <v>9634</v>
      </c>
      <c r="E11385" s="3">
        <v>9.7000000000000005E-80</v>
      </c>
      <c r="F11385" s="2">
        <v>708</v>
      </c>
      <c r="G11385" s="2">
        <v>100</v>
      </c>
      <c r="H11385" s="2">
        <v>183</v>
      </c>
      <c r="I11385" s="2">
        <v>40</v>
      </c>
      <c r="J11385" s="2">
        <v>588</v>
      </c>
      <c r="K11385" s="2">
        <v>936</v>
      </c>
      <c r="L11385" s="2">
        <v>1118</v>
      </c>
    </row>
    <row r="11386" spans="1:12" x14ac:dyDescent="0.25">
      <c r="A11386" s="4" t="str">
        <f>HYPERLINK("http://www.rosaceae.org/Prunus/Prunus_persica/p.persica_gdr_reftransV1_0020557","p.persica_gdr_reftransV1_0020557")</f>
        <v>p.persica_gdr_reftransV1_0020557</v>
      </c>
      <c r="B11386" s="2">
        <v>1927</v>
      </c>
      <c r="C11386" s="4" t="str">
        <f>HYPERLINK("http://www.uniprot.org/uniprot/M5WE45","M5WE45")</f>
        <v>M5WE45</v>
      </c>
      <c r="D11386" s="2" t="s">
        <v>5517</v>
      </c>
      <c r="E11386" s="3">
        <v>0</v>
      </c>
      <c r="F11386" s="2">
        <v>2773</v>
      </c>
      <c r="G11386" s="2">
        <v>100</v>
      </c>
      <c r="H11386" s="2">
        <v>540</v>
      </c>
      <c r="I11386" s="2">
        <v>2</v>
      </c>
      <c r="J11386" s="2">
        <v>1621</v>
      </c>
      <c r="K11386" s="2">
        <v>345</v>
      </c>
      <c r="L11386" s="2">
        <v>884</v>
      </c>
    </row>
    <row r="11387" spans="1:12" x14ac:dyDescent="0.25">
      <c r="A11387" s="4" t="str">
        <f>HYPERLINK("http://www.rosaceae.org/Prunus/Prunus_persica/p.persica_gdr_reftransV1_0020907","p.persica_gdr_reftransV1_0020907")</f>
        <v>p.persica_gdr_reftransV1_0020907</v>
      </c>
      <c r="B11387" s="2">
        <v>1129</v>
      </c>
      <c r="C11387" s="4" t="str">
        <f>HYPERLINK("http://www.uniprot.org/uniprot/M5VR64","M5VR64")</f>
        <v>M5VR64</v>
      </c>
      <c r="D11387" s="2" t="s">
        <v>0</v>
      </c>
      <c r="E11387" s="3">
        <v>5.5499999999999996E-90</v>
      </c>
      <c r="F11387" s="2">
        <v>718</v>
      </c>
      <c r="G11387" s="2">
        <v>100</v>
      </c>
      <c r="H11387" s="2">
        <v>153</v>
      </c>
      <c r="I11387" s="2">
        <v>540</v>
      </c>
      <c r="J11387" s="2">
        <v>998</v>
      </c>
      <c r="K11387" s="2">
        <v>49</v>
      </c>
      <c r="L11387" s="2">
        <v>201</v>
      </c>
    </row>
    <row r="11388" spans="1:12" x14ac:dyDescent="0.25">
      <c r="A11388" s="4" t="str">
        <f>HYPERLINK("http://www.rosaceae.org/Prunus/Prunus_persica/p.persica_gdr_reftransV1_0022307","p.persica_gdr_reftransV1_0022307")</f>
        <v>p.persica_gdr_reftransV1_0022307</v>
      </c>
      <c r="B11388" s="2">
        <v>3189</v>
      </c>
      <c r="C11388" s="4" t="str">
        <f>HYPERLINK("http://www.uniprot.org/uniprot/M5WRB5","M5WRB5")</f>
        <v>M5WRB5</v>
      </c>
      <c r="D11388" s="2" t="s">
        <v>9635</v>
      </c>
      <c r="E11388" s="3">
        <v>0</v>
      </c>
      <c r="F11388" s="2">
        <v>3464</v>
      </c>
      <c r="G11388" s="2">
        <v>100</v>
      </c>
      <c r="H11388" s="2">
        <v>655</v>
      </c>
      <c r="I11388" s="2">
        <v>360</v>
      </c>
      <c r="J11388" s="2">
        <v>2324</v>
      </c>
      <c r="K11388" s="2">
        <v>1</v>
      </c>
      <c r="L11388" s="2">
        <v>655</v>
      </c>
    </row>
    <row r="11389" spans="1:12" x14ac:dyDescent="0.25">
      <c r="A11389" s="4" t="str">
        <f>HYPERLINK("http://www.rosaceae.org/Prunus/Prunus_persica/p.persica_gdr_reftransV1_0026857","p.persica_gdr_reftransV1_0026857")</f>
        <v>p.persica_gdr_reftransV1_0026857</v>
      </c>
      <c r="B11389" s="2">
        <v>3237</v>
      </c>
      <c r="C11389" s="4" t="str">
        <f>HYPERLINK("http://www.uniprot.org/uniprot/M5WKN1","M5WKN1")</f>
        <v>M5WKN1</v>
      </c>
      <c r="D11389" s="2" t="s">
        <v>9636</v>
      </c>
      <c r="E11389" s="3">
        <v>0</v>
      </c>
      <c r="F11389" s="2">
        <v>3921</v>
      </c>
      <c r="G11389" s="2">
        <v>91</v>
      </c>
      <c r="H11389" s="2">
        <v>893</v>
      </c>
      <c r="I11389" s="2">
        <v>409</v>
      </c>
      <c r="J11389" s="2">
        <v>3087</v>
      </c>
      <c r="K11389" s="2">
        <v>11</v>
      </c>
      <c r="L11389" s="2">
        <v>842</v>
      </c>
    </row>
    <row r="11390" spans="1:12" x14ac:dyDescent="0.25">
      <c r="A11390" s="4" t="str">
        <f>HYPERLINK("http://www.rosaceae.org/Prunus/Prunus_persica/p.persica_gdr_reftransV1_0027207","p.persica_gdr_reftransV1_0027207")</f>
        <v>p.persica_gdr_reftransV1_0027207</v>
      </c>
      <c r="B11390" s="2">
        <v>4020</v>
      </c>
      <c r="C11390" s="4" t="str">
        <f>HYPERLINK("http://www.uniprot.org/uniprot/M5VLZ6","M5VLZ6")</f>
        <v>M5VLZ6</v>
      </c>
      <c r="D11390" s="2" t="s">
        <v>9637</v>
      </c>
      <c r="E11390" s="3">
        <v>8.7399999999999999E-161</v>
      </c>
      <c r="F11390" s="2">
        <v>1296</v>
      </c>
      <c r="G11390" s="2">
        <v>100</v>
      </c>
      <c r="H11390" s="2">
        <v>265</v>
      </c>
      <c r="I11390" s="2">
        <v>3141</v>
      </c>
      <c r="J11390" s="2">
        <v>3935</v>
      </c>
      <c r="K11390" s="2">
        <v>1</v>
      </c>
      <c r="L11390" s="2">
        <v>265</v>
      </c>
    </row>
    <row r="11391" spans="1:12" x14ac:dyDescent="0.25">
      <c r="A11391" s="4" t="str">
        <f>HYPERLINK("http://www.rosaceae.org/Prunus/Prunus_persica/p.persica_gdr_reftransV1_0029307","p.persica_gdr_reftransV1_0029307")</f>
        <v>p.persica_gdr_reftransV1_0029307</v>
      </c>
      <c r="B11391" s="2">
        <v>1969</v>
      </c>
      <c r="C11391" s="4" t="str">
        <f>HYPERLINK("http://www.uniprot.org/uniprot/M5XD90","M5XD90")</f>
        <v>M5XD90</v>
      </c>
      <c r="D11391" s="2" t="s">
        <v>3110</v>
      </c>
      <c r="E11391" s="3">
        <v>0</v>
      </c>
      <c r="F11391" s="2">
        <v>2199</v>
      </c>
      <c r="G11391" s="2">
        <v>100</v>
      </c>
      <c r="H11391" s="2">
        <v>427</v>
      </c>
      <c r="I11391" s="2">
        <v>346</v>
      </c>
      <c r="J11391" s="2">
        <v>1626</v>
      </c>
      <c r="K11391" s="2">
        <v>1</v>
      </c>
      <c r="L11391" s="2">
        <v>427</v>
      </c>
    </row>
    <row r="11392" spans="1:12" x14ac:dyDescent="0.25">
      <c r="A11392" s="4" t="str">
        <f>HYPERLINK("http://www.rosaceae.org/Prunus/Prunus_persica/p.persica_gdr_reftransV1_0031057","p.persica_gdr_reftransV1_0031057")</f>
        <v>p.persica_gdr_reftransV1_0031057</v>
      </c>
      <c r="B11392" s="2">
        <v>2018</v>
      </c>
      <c r="C11392" s="4" t="str">
        <f>HYPERLINK("http://www.uniprot.org/uniprot/M5XD43","M5XD43")</f>
        <v>M5XD43</v>
      </c>
      <c r="D11392" s="2" t="s">
        <v>9638</v>
      </c>
      <c r="E11392" s="3">
        <v>0</v>
      </c>
      <c r="F11392" s="2">
        <v>1666</v>
      </c>
      <c r="G11392" s="2">
        <v>100</v>
      </c>
      <c r="H11392" s="2">
        <v>322</v>
      </c>
      <c r="I11392" s="2">
        <v>709</v>
      </c>
      <c r="J11392" s="2">
        <v>1674</v>
      </c>
      <c r="K11392" s="2">
        <v>29</v>
      </c>
      <c r="L11392" s="2">
        <v>350</v>
      </c>
    </row>
    <row r="11393" spans="1:12" x14ac:dyDescent="0.25">
      <c r="A11393" s="4" t="str">
        <f>HYPERLINK("http://www.rosaceae.org/Prunus/Prunus_persica/p.persica_gdr_reftransV1_0031757","p.persica_gdr_reftransV1_0031757")</f>
        <v>p.persica_gdr_reftransV1_0031757</v>
      </c>
      <c r="B11393" s="2">
        <v>582</v>
      </c>
      <c r="C11393" s="4" t="str">
        <f>HYPERLINK("http://www.uniprot.org/uniprot/A5BIG7","A5BIG7")</f>
        <v>A5BIG7</v>
      </c>
      <c r="D11393" s="2" t="s">
        <v>9639</v>
      </c>
      <c r="E11393" s="3">
        <v>3.3600000000000002E-100</v>
      </c>
      <c r="F11393" s="2">
        <v>767</v>
      </c>
      <c r="G11393" s="2">
        <v>73</v>
      </c>
      <c r="H11393" s="2">
        <v>182</v>
      </c>
      <c r="I11393" s="2">
        <v>2</v>
      </c>
      <c r="J11393" s="2">
        <v>547</v>
      </c>
      <c r="K11393" s="2">
        <v>14</v>
      </c>
      <c r="L11393" s="2">
        <v>195</v>
      </c>
    </row>
    <row r="11394" spans="1:12" x14ac:dyDescent="0.25">
      <c r="A11394" s="4" t="str">
        <f>HYPERLINK("http://www.rosaceae.org/Prunus/Prunus_persica/p.persica_gdr_reftransV1_0037357","p.persica_gdr_reftransV1_0037357")</f>
        <v>p.persica_gdr_reftransV1_0037357</v>
      </c>
      <c r="B11394" s="2">
        <v>2108</v>
      </c>
      <c r="C11394" s="4" t="str">
        <f>HYPERLINK("http://www.uniprot.org/uniprot/M5XCM6","M5XCM6")</f>
        <v>M5XCM6</v>
      </c>
      <c r="D11394" s="2" t="s">
        <v>5402</v>
      </c>
      <c r="E11394" s="3">
        <v>6.5799999999999996E-51</v>
      </c>
      <c r="F11394" s="2">
        <v>488</v>
      </c>
      <c r="G11394" s="2">
        <v>100</v>
      </c>
      <c r="H11394" s="2">
        <v>93</v>
      </c>
      <c r="I11394" s="2">
        <v>247</v>
      </c>
      <c r="J11394" s="2">
        <v>525</v>
      </c>
      <c r="K11394" s="2">
        <v>1</v>
      </c>
      <c r="L11394" s="2">
        <v>93</v>
      </c>
    </row>
    <row r="11395" spans="1:12" x14ac:dyDescent="0.25">
      <c r="A11395" s="4" t="str">
        <f>HYPERLINK("http://www.rosaceae.org/Prunus/Prunus_persica/p.persica_gdr_reftransV1_0039807","p.persica_gdr_reftransV1_0039807")</f>
        <v>p.persica_gdr_reftransV1_0039807</v>
      </c>
      <c r="B11395" s="2">
        <v>3015</v>
      </c>
      <c r="C11395" s="4" t="str">
        <f>HYPERLINK("http://www.uniprot.org/uniprot/M5XG69","M5XG69")</f>
        <v>M5XG69</v>
      </c>
      <c r="D11395" s="2" t="s">
        <v>9640</v>
      </c>
      <c r="E11395" s="3">
        <v>2.24E-99</v>
      </c>
      <c r="F11395" s="2">
        <v>828</v>
      </c>
      <c r="G11395" s="2">
        <v>100</v>
      </c>
      <c r="H11395" s="2">
        <v>166</v>
      </c>
      <c r="I11395" s="2">
        <v>451</v>
      </c>
      <c r="J11395" s="2">
        <v>948</v>
      </c>
      <c r="K11395" s="2">
        <v>60</v>
      </c>
      <c r="L11395" s="2">
        <v>225</v>
      </c>
    </row>
    <row r="11396" spans="1:12" x14ac:dyDescent="0.25">
      <c r="A11396" s="4" t="str">
        <f>HYPERLINK("http://www.rosaceae.org/Prunus/Prunus_persica/p.persica_gdr_reftransV1_0042957","p.persica_gdr_reftransV1_0042957")</f>
        <v>p.persica_gdr_reftransV1_0042957</v>
      </c>
      <c r="B11396" s="2">
        <v>4698</v>
      </c>
      <c r="C11396" s="4" t="str">
        <f>HYPERLINK("http://www.uniprot.org/uniprot/M5VWN8","M5VWN8")</f>
        <v>M5VWN8</v>
      </c>
      <c r="D11396" s="2" t="s">
        <v>9641</v>
      </c>
      <c r="E11396" s="3">
        <v>0</v>
      </c>
      <c r="F11396" s="2">
        <v>3236</v>
      </c>
      <c r="G11396" s="2">
        <v>100</v>
      </c>
      <c r="H11396" s="2">
        <v>638</v>
      </c>
      <c r="I11396" s="2">
        <v>1870</v>
      </c>
      <c r="J11396" s="2">
        <v>3783</v>
      </c>
      <c r="K11396" s="2">
        <v>1</v>
      </c>
      <c r="L11396" s="2">
        <v>638</v>
      </c>
    </row>
    <row r="11397" spans="1:12" x14ac:dyDescent="0.25">
      <c r="A11397" s="4" t="str">
        <f>HYPERLINK("http://www.rosaceae.org/Prunus/Prunus_persica/p.persica_gdr_reftransV1_0043307","p.persica_gdr_reftransV1_0043307")</f>
        <v>p.persica_gdr_reftransV1_0043307</v>
      </c>
      <c r="B11397" s="2">
        <v>2078</v>
      </c>
      <c r="C11397" s="4" t="str">
        <f>HYPERLINK("http://www.uniprot.org/uniprot/M5WBM9","M5WBM9")</f>
        <v>M5WBM9</v>
      </c>
      <c r="D11397" s="2" t="s">
        <v>9642</v>
      </c>
      <c r="E11397" s="3">
        <v>0</v>
      </c>
      <c r="F11397" s="2">
        <v>2543</v>
      </c>
      <c r="G11397" s="2">
        <v>100</v>
      </c>
      <c r="H11397" s="2">
        <v>487</v>
      </c>
      <c r="I11397" s="2">
        <v>420</v>
      </c>
      <c r="J11397" s="2">
        <v>1880</v>
      </c>
      <c r="K11397" s="2">
        <v>1</v>
      </c>
      <c r="L11397" s="2">
        <v>487</v>
      </c>
    </row>
    <row r="11398" spans="1:12" x14ac:dyDescent="0.25">
      <c r="A11398" s="4" t="str">
        <f>HYPERLINK("http://www.rosaceae.org/Prunus/Prunus_persica/p.persica_gdr_reftransV1_0043657","p.persica_gdr_reftransV1_0043657")</f>
        <v>p.persica_gdr_reftransV1_0043657</v>
      </c>
      <c r="B11398" s="2">
        <v>978</v>
      </c>
      <c r="C11398" s="4" t="str">
        <f>HYPERLINK("http://www.uniprot.org/uniprot/M5WEK6","M5WEK6")</f>
        <v>M5WEK6</v>
      </c>
      <c r="D11398" s="2" t="s">
        <v>9643</v>
      </c>
      <c r="E11398" s="3">
        <v>2.9999999999999998E-141</v>
      </c>
      <c r="F11398" s="2">
        <v>1057</v>
      </c>
      <c r="G11398" s="2">
        <v>83</v>
      </c>
      <c r="H11398" s="2">
        <v>248</v>
      </c>
      <c r="I11398" s="2">
        <v>67</v>
      </c>
      <c r="J11398" s="2">
        <v>801</v>
      </c>
      <c r="K11398" s="2">
        <v>1</v>
      </c>
      <c r="L11398" s="2">
        <v>248</v>
      </c>
    </row>
    <row r="11399" spans="1:12" x14ac:dyDescent="0.25">
      <c r="A11399" s="4" t="str">
        <f>HYPERLINK("http://www.rosaceae.org/Prunus/Prunus_persica/p.persica_gdr_reftransV1_0044007","p.persica_gdr_reftransV1_0044007")</f>
        <v>p.persica_gdr_reftransV1_0044007</v>
      </c>
      <c r="B11399" s="2">
        <v>2370</v>
      </c>
      <c r="C11399" s="4" t="str">
        <f>HYPERLINK("http://www.uniprot.org/uniprot/M5VTA4","M5VTA4")</f>
        <v>M5VTA4</v>
      </c>
      <c r="D11399" s="2" t="s">
        <v>9644</v>
      </c>
      <c r="E11399" s="3">
        <v>0</v>
      </c>
      <c r="F11399" s="2">
        <v>2933</v>
      </c>
      <c r="G11399" s="2">
        <v>99</v>
      </c>
      <c r="H11399" s="2">
        <v>595</v>
      </c>
      <c r="I11399" s="2">
        <v>189</v>
      </c>
      <c r="J11399" s="2">
        <v>1973</v>
      </c>
      <c r="K11399" s="2">
        <v>46</v>
      </c>
      <c r="L11399" s="2">
        <v>633</v>
      </c>
    </row>
    <row r="11400" spans="1:12" x14ac:dyDescent="0.25">
      <c r="A11400" s="4" t="str">
        <f>HYPERLINK("http://www.rosaceae.org/Prunus/Prunus_persica/p.persica_gdr_reftransV1_0044357","p.persica_gdr_reftransV1_0044357")</f>
        <v>p.persica_gdr_reftransV1_0044357</v>
      </c>
      <c r="B11400" s="2">
        <v>460</v>
      </c>
      <c r="C11400" s="4" t="str">
        <f>HYPERLINK("http://www.uniprot.org/uniprot/M5W0I9","M5W0I9")</f>
        <v>M5W0I9</v>
      </c>
      <c r="D11400" s="2" t="s">
        <v>3059</v>
      </c>
      <c r="E11400" s="3">
        <v>1.6E-69</v>
      </c>
      <c r="F11400" s="2">
        <v>577</v>
      </c>
      <c r="G11400" s="2">
        <v>100</v>
      </c>
      <c r="H11400" s="2">
        <v>106</v>
      </c>
      <c r="I11400" s="2">
        <v>141</v>
      </c>
      <c r="J11400" s="2">
        <v>458</v>
      </c>
      <c r="K11400" s="2">
        <v>1</v>
      </c>
      <c r="L11400" s="2">
        <v>106</v>
      </c>
    </row>
    <row r="11401" spans="1:12" x14ac:dyDescent="0.25">
      <c r="A11401" s="4" t="str">
        <f>HYPERLINK("http://www.rosaceae.org/Prunus/Prunus_persica/p.persica_gdr_reftransV1_0045407","p.persica_gdr_reftransV1_0045407")</f>
        <v>p.persica_gdr_reftransV1_0045407</v>
      </c>
      <c r="B11401" s="2">
        <v>3087</v>
      </c>
      <c r="C11401" s="4" t="str">
        <f>HYPERLINK("http://www.uniprot.org/uniprot/B9T4Q0","B9T4Q0")</f>
        <v>B9T4Q0</v>
      </c>
      <c r="D11401" s="2" t="s">
        <v>5003</v>
      </c>
      <c r="E11401" s="3">
        <v>0</v>
      </c>
      <c r="F11401" s="2">
        <v>2835</v>
      </c>
      <c r="G11401" s="2">
        <v>90</v>
      </c>
      <c r="H11401" s="2">
        <v>623</v>
      </c>
      <c r="I11401" s="2">
        <v>975</v>
      </c>
      <c r="J11401" s="2">
        <v>2843</v>
      </c>
      <c r="K11401" s="2">
        <v>1</v>
      </c>
      <c r="L11401" s="2">
        <v>613</v>
      </c>
    </row>
    <row r="11402" spans="1:12" x14ac:dyDescent="0.25">
      <c r="A11402" s="4" t="str">
        <f>HYPERLINK("http://www.rosaceae.org/Prunus/Prunus_persica/p.persica_gdr_reftransV1_0045757","p.persica_gdr_reftransV1_0045757")</f>
        <v>p.persica_gdr_reftransV1_0045757</v>
      </c>
      <c r="B11402" s="2">
        <v>1582</v>
      </c>
      <c r="C11402" s="4" t="str">
        <f>HYPERLINK("http://www.uniprot.org/uniprot/M5XPR0","M5XPR0")</f>
        <v>M5XPR0</v>
      </c>
      <c r="D11402" s="2" t="s">
        <v>9645</v>
      </c>
      <c r="E11402" s="3">
        <v>1.0799999999999999E-169</v>
      </c>
      <c r="F11402" s="2">
        <v>1276</v>
      </c>
      <c r="G11402" s="2">
        <v>100</v>
      </c>
      <c r="H11402" s="2">
        <v>326</v>
      </c>
      <c r="I11402" s="2">
        <v>289</v>
      </c>
      <c r="J11402" s="2">
        <v>1266</v>
      </c>
      <c r="K11402" s="2">
        <v>1</v>
      </c>
      <c r="L11402" s="2">
        <v>326</v>
      </c>
    </row>
    <row r="11403" spans="1:12" x14ac:dyDescent="0.25">
      <c r="A11403" s="4" t="str">
        <f>HYPERLINK("http://www.rosaceae.org/Prunus/Prunus_persica/p.persica_gdr_reftransV1_0046457","p.persica_gdr_reftransV1_0046457")</f>
        <v>p.persica_gdr_reftransV1_0046457</v>
      </c>
      <c r="B11403" s="2">
        <v>1073</v>
      </c>
      <c r="C11403" s="4" t="str">
        <f>HYPERLINK("http://www.uniprot.org/uniprot/M5WZ72","M5WZ72")</f>
        <v>M5WZ72</v>
      </c>
      <c r="D11403" s="2" t="s">
        <v>9646</v>
      </c>
      <c r="E11403" s="3">
        <v>2.3399999999999999E-92</v>
      </c>
      <c r="F11403" s="2">
        <v>730</v>
      </c>
      <c r="G11403" s="2">
        <v>95</v>
      </c>
      <c r="H11403" s="2">
        <v>143</v>
      </c>
      <c r="I11403" s="2">
        <v>394</v>
      </c>
      <c r="J11403" s="2">
        <v>822</v>
      </c>
      <c r="K11403" s="2">
        <v>32</v>
      </c>
      <c r="L11403" s="2">
        <v>174</v>
      </c>
    </row>
    <row r="11404" spans="1:12" x14ac:dyDescent="0.25">
      <c r="A11404" s="4" t="str">
        <f>HYPERLINK("http://www.rosaceae.org/Prunus/Prunus_persica/p.persica_gdr_reftransV1_0046807","p.persica_gdr_reftransV1_0046807")</f>
        <v>p.persica_gdr_reftransV1_0046807</v>
      </c>
      <c r="B11404" s="2">
        <v>647</v>
      </c>
      <c r="C11404" s="4" t="str">
        <f>HYPERLINK("http://www.uniprot.org/uniprot/M5WAR7","M5WAR7")</f>
        <v>M5WAR7</v>
      </c>
      <c r="D11404" s="2" t="s">
        <v>7791</v>
      </c>
      <c r="E11404" s="3">
        <v>1.3399999999999999E-66</v>
      </c>
      <c r="F11404" s="2">
        <v>544</v>
      </c>
      <c r="G11404" s="2">
        <v>99</v>
      </c>
      <c r="H11404" s="2">
        <v>161</v>
      </c>
      <c r="I11404" s="2">
        <v>49</v>
      </c>
      <c r="J11404" s="2">
        <v>531</v>
      </c>
      <c r="K11404" s="2">
        <v>1</v>
      </c>
      <c r="L11404" s="2">
        <v>161</v>
      </c>
    </row>
    <row r="11405" spans="1:12" x14ac:dyDescent="0.25">
      <c r="A11405" s="4" t="str">
        <f>HYPERLINK("http://www.rosaceae.org/Prunus/Prunus_persica/p.persica_gdr_reftransV1_0047157","p.persica_gdr_reftransV1_0047157")</f>
        <v>p.persica_gdr_reftransV1_0047157</v>
      </c>
      <c r="B11405" s="2">
        <v>373</v>
      </c>
      <c r="C11405" s="4" t="str">
        <f>HYPERLINK("http://www.uniprot.org/uniprot/M5XNX7","M5XNX7")</f>
        <v>M5XNX7</v>
      </c>
      <c r="D11405" s="2" t="s">
        <v>9613</v>
      </c>
      <c r="E11405" s="3">
        <v>4.8199999999999998E-72</v>
      </c>
      <c r="F11405" s="2">
        <v>576</v>
      </c>
      <c r="G11405" s="2">
        <v>100</v>
      </c>
      <c r="H11405" s="2">
        <v>107</v>
      </c>
      <c r="I11405" s="2">
        <v>52</v>
      </c>
      <c r="J11405" s="2">
        <v>372</v>
      </c>
      <c r="K11405" s="2">
        <v>1</v>
      </c>
      <c r="L11405" s="2">
        <v>107</v>
      </c>
    </row>
    <row r="11406" spans="1:12" x14ac:dyDescent="0.25">
      <c r="A11406" s="4" t="str">
        <f>HYPERLINK("http://www.rosaceae.org/Prunus/Prunus_persica/p.persica_gdr_reftransV1_0047507","p.persica_gdr_reftransV1_0047507")</f>
        <v>p.persica_gdr_reftransV1_0047507</v>
      </c>
      <c r="B11406" s="2">
        <v>2283</v>
      </c>
      <c r="C11406" s="4" t="str">
        <f>HYPERLINK("http://www.uniprot.org/uniprot/M5X7G0","M5X7G0")</f>
        <v>M5X7G0</v>
      </c>
      <c r="D11406" s="2" t="s">
        <v>9647</v>
      </c>
      <c r="E11406" s="3">
        <v>0</v>
      </c>
      <c r="F11406" s="2">
        <v>3784</v>
      </c>
      <c r="G11406" s="2">
        <v>100</v>
      </c>
      <c r="H11406" s="2">
        <v>723</v>
      </c>
      <c r="I11406" s="2">
        <v>114</v>
      </c>
      <c r="J11406" s="2">
        <v>2282</v>
      </c>
      <c r="K11406" s="2">
        <v>29</v>
      </c>
      <c r="L11406" s="2">
        <v>751</v>
      </c>
    </row>
    <row r="11407" spans="1:12" x14ac:dyDescent="0.25">
      <c r="A11407" s="4" t="str">
        <f>HYPERLINK("http://www.rosaceae.org/Prunus/Prunus_persica/p.persica_gdr_reftransV1_0047857","p.persica_gdr_reftransV1_0047857")</f>
        <v>p.persica_gdr_reftransV1_0047857</v>
      </c>
      <c r="B11407" s="2">
        <v>1740</v>
      </c>
      <c r="C11407" s="4" t="str">
        <f>HYPERLINK("http://www.uniprot.org/uniprot/M5VTX6","M5VTX6")</f>
        <v>M5VTX6</v>
      </c>
      <c r="D11407" s="2" t="s">
        <v>9648</v>
      </c>
      <c r="E11407" s="3">
        <v>0</v>
      </c>
      <c r="F11407" s="2">
        <v>2572</v>
      </c>
      <c r="G11407" s="2">
        <v>100</v>
      </c>
      <c r="H11407" s="2">
        <v>519</v>
      </c>
      <c r="I11407" s="2">
        <v>120</v>
      </c>
      <c r="J11407" s="2">
        <v>1676</v>
      </c>
      <c r="K11407" s="2">
        <v>1</v>
      </c>
      <c r="L11407" s="2">
        <v>519</v>
      </c>
    </row>
    <row r="11408" spans="1:12" x14ac:dyDescent="0.25">
      <c r="A11408" s="4" t="str">
        <f>HYPERLINK("http://www.rosaceae.org/Prunus/Prunus_persica/p.persica_gdr_reftransV1_0048207","p.persica_gdr_reftransV1_0048207")</f>
        <v>p.persica_gdr_reftransV1_0048207</v>
      </c>
      <c r="B11408" s="2">
        <v>2429</v>
      </c>
      <c r="C11408" s="4" t="str">
        <f>HYPERLINK("http://www.uniprot.org/uniprot/M5W929","M5W929")</f>
        <v>M5W929</v>
      </c>
      <c r="D11408" s="2" t="s">
        <v>1051</v>
      </c>
      <c r="E11408" s="3">
        <v>0</v>
      </c>
      <c r="F11408" s="2">
        <v>2980</v>
      </c>
      <c r="G11408" s="2">
        <v>99</v>
      </c>
      <c r="H11408" s="2">
        <v>566</v>
      </c>
      <c r="I11408" s="2">
        <v>272</v>
      </c>
      <c r="J11408" s="2">
        <v>1969</v>
      </c>
      <c r="K11408" s="2">
        <v>79</v>
      </c>
      <c r="L11408" s="2">
        <v>644</v>
      </c>
    </row>
    <row r="11409" spans="1:12" x14ac:dyDescent="0.25">
      <c r="A11409" s="4" t="str">
        <f>HYPERLINK("http://www.rosaceae.org/Prunus/Prunus_persica/p.persica_gdr_reftransV1_0048557","p.persica_gdr_reftransV1_0048557")</f>
        <v>p.persica_gdr_reftransV1_0048557</v>
      </c>
      <c r="B11409" s="2">
        <v>2031</v>
      </c>
      <c r="C11409" s="4" t="str">
        <f>HYPERLINK("http://www.uniprot.org/uniprot/M5WBQ8","M5WBQ8")</f>
        <v>M5WBQ8</v>
      </c>
      <c r="D11409" s="2" t="s">
        <v>9649</v>
      </c>
      <c r="E11409" s="3">
        <v>0</v>
      </c>
      <c r="F11409" s="2">
        <v>2325</v>
      </c>
      <c r="G11409" s="2">
        <v>100</v>
      </c>
      <c r="H11409" s="2">
        <v>469</v>
      </c>
      <c r="I11409" s="2">
        <v>300</v>
      </c>
      <c r="J11409" s="2">
        <v>1706</v>
      </c>
      <c r="K11409" s="2">
        <v>1</v>
      </c>
      <c r="L11409" s="2">
        <v>469</v>
      </c>
    </row>
    <row r="11410" spans="1:12" x14ac:dyDescent="0.25">
      <c r="A11410" s="4" t="str">
        <f>HYPERLINK("http://www.rosaceae.org/Prunus/Prunus_persica/p.persica_gdr_reftransV1_0048907","p.persica_gdr_reftransV1_0048907")</f>
        <v>p.persica_gdr_reftransV1_0048907</v>
      </c>
      <c r="B11410" s="2">
        <v>1906</v>
      </c>
      <c r="C11410" s="4" t="str">
        <f>HYPERLINK("http://www.uniprot.org/uniprot/M5X2J8","M5X2J8")</f>
        <v>M5X2J8</v>
      </c>
      <c r="D11410" s="2" t="s">
        <v>4812</v>
      </c>
      <c r="E11410" s="3">
        <v>0</v>
      </c>
      <c r="F11410" s="2">
        <v>2548</v>
      </c>
      <c r="G11410" s="2">
        <v>100</v>
      </c>
      <c r="H11410" s="2">
        <v>489</v>
      </c>
      <c r="I11410" s="2">
        <v>70</v>
      </c>
      <c r="J11410" s="2">
        <v>1536</v>
      </c>
      <c r="K11410" s="2">
        <v>179</v>
      </c>
      <c r="L11410" s="2">
        <v>667</v>
      </c>
    </row>
    <row r="11411" spans="1:12" x14ac:dyDescent="0.25">
      <c r="A11411" s="4" t="str">
        <f>HYPERLINK("http://www.rosaceae.org/Prunus/Prunus_persica/p.persica_gdr_reftransV1_0000258","p.persica_gdr_reftransV1_0000258")</f>
        <v>p.persica_gdr_reftransV1_0000258</v>
      </c>
      <c r="B11411" s="2">
        <v>2581</v>
      </c>
      <c r="C11411" s="4" t="str">
        <f>HYPERLINK("http://www.uniprot.org/uniprot/M5VPE7","M5VPE7")</f>
        <v>M5VPE7</v>
      </c>
      <c r="D11411" s="2" t="s">
        <v>9650</v>
      </c>
      <c r="E11411" s="3">
        <v>0</v>
      </c>
      <c r="F11411" s="2">
        <v>2315</v>
      </c>
      <c r="G11411" s="2">
        <v>100</v>
      </c>
      <c r="H11411" s="2">
        <v>493</v>
      </c>
      <c r="I11411" s="2">
        <v>222</v>
      </c>
      <c r="J11411" s="2">
        <v>1700</v>
      </c>
      <c r="K11411" s="2">
        <v>1</v>
      </c>
      <c r="L11411" s="2">
        <v>493</v>
      </c>
    </row>
    <row r="11412" spans="1:12" x14ac:dyDescent="0.25">
      <c r="A11412" s="4" t="str">
        <f>HYPERLINK("http://www.rosaceae.org/Prunus/Prunus_persica/p.persica_gdr_reftransV1_0000608","p.persica_gdr_reftransV1_0000608")</f>
        <v>p.persica_gdr_reftransV1_0000608</v>
      </c>
      <c r="B11412" s="2">
        <v>534</v>
      </c>
      <c r="C11412" s="4" t="str">
        <f>HYPERLINK("http://www.uniprot.org/uniprot/M5VTH8","M5VTH8")</f>
        <v>M5VTH8</v>
      </c>
      <c r="D11412" s="2" t="s">
        <v>9651</v>
      </c>
      <c r="E11412" s="3">
        <v>1.93E-99</v>
      </c>
      <c r="F11412" s="2">
        <v>818</v>
      </c>
      <c r="G11412" s="2">
        <v>86</v>
      </c>
      <c r="H11412" s="2">
        <v>177</v>
      </c>
      <c r="I11412" s="2">
        <v>2</v>
      </c>
      <c r="J11412" s="2">
        <v>532</v>
      </c>
      <c r="K11412" s="2">
        <v>756</v>
      </c>
      <c r="L11412" s="2">
        <v>930</v>
      </c>
    </row>
    <row r="11413" spans="1:12" x14ac:dyDescent="0.25">
      <c r="A11413" s="4" t="str">
        <f>HYPERLINK("http://www.rosaceae.org/Prunus/Prunus_persica/p.persica_gdr_reftransV1_0001658","p.persica_gdr_reftransV1_0001658")</f>
        <v>p.persica_gdr_reftransV1_0001658</v>
      </c>
      <c r="B11413" s="2">
        <v>1664</v>
      </c>
      <c r="C11413" s="4" t="str">
        <f>HYPERLINK("http://www.uniprot.org/uniprot/M5VUE2","M5VUE2")</f>
        <v>M5VUE2</v>
      </c>
      <c r="D11413" s="2" t="s">
        <v>9258</v>
      </c>
      <c r="E11413" s="3">
        <v>0</v>
      </c>
      <c r="F11413" s="2">
        <v>1407</v>
      </c>
      <c r="G11413" s="2">
        <v>98</v>
      </c>
      <c r="H11413" s="2">
        <v>266</v>
      </c>
      <c r="I11413" s="2">
        <v>863</v>
      </c>
      <c r="J11413" s="2">
        <v>1660</v>
      </c>
      <c r="K11413" s="2">
        <v>300</v>
      </c>
      <c r="L11413" s="2">
        <v>565</v>
      </c>
    </row>
    <row r="11414" spans="1:12" x14ac:dyDescent="0.25">
      <c r="A11414" s="4" t="str">
        <f>HYPERLINK("http://www.rosaceae.org/Prunus/Prunus_persica/p.persica_gdr_reftransV1_0002008","p.persica_gdr_reftransV1_0002008")</f>
        <v>p.persica_gdr_reftransV1_0002008</v>
      </c>
      <c r="B11414" s="2">
        <v>404</v>
      </c>
      <c r="C11414" s="4" t="str">
        <f>HYPERLINK("http://www.uniprot.org/uniprot/M5WXT7","M5WXT7")</f>
        <v>M5WXT7</v>
      </c>
      <c r="D11414" s="2" t="s">
        <v>9652</v>
      </c>
      <c r="E11414" s="3">
        <v>1.3800000000000001E-87</v>
      </c>
      <c r="F11414" s="2">
        <v>706</v>
      </c>
      <c r="G11414" s="2">
        <v>100</v>
      </c>
      <c r="H11414" s="2">
        <v>134</v>
      </c>
      <c r="I11414" s="2">
        <v>3</v>
      </c>
      <c r="J11414" s="2">
        <v>404</v>
      </c>
      <c r="K11414" s="2">
        <v>380</v>
      </c>
      <c r="L11414" s="2">
        <v>513</v>
      </c>
    </row>
    <row r="11415" spans="1:12" x14ac:dyDescent="0.25">
      <c r="A11415" s="4" t="str">
        <f>HYPERLINK("http://www.rosaceae.org/Prunus/Prunus_persica/p.persica_gdr_reftransV1_0002358","p.persica_gdr_reftransV1_0002358")</f>
        <v>p.persica_gdr_reftransV1_0002358</v>
      </c>
      <c r="B11415" s="2">
        <v>582</v>
      </c>
      <c r="C11415" s="4" t="str">
        <f>HYPERLINK("http://www.uniprot.org/uniprot/G9NKB0","G9NKB0")</f>
        <v>G9NKB0</v>
      </c>
      <c r="D11415" s="2" t="s">
        <v>9653</v>
      </c>
      <c r="E11415" s="3">
        <v>4.48E-70</v>
      </c>
      <c r="F11415" s="2">
        <v>605</v>
      </c>
      <c r="G11415" s="2">
        <v>68</v>
      </c>
      <c r="H11415" s="2">
        <v>193</v>
      </c>
      <c r="I11415" s="2">
        <v>3</v>
      </c>
      <c r="J11415" s="2">
        <v>581</v>
      </c>
      <c r="K11415" s="2">
        <v>297</v>
      </c>
      <c r="L11415" s="2">
        <v>487</v>
      </c>
    </row>
    <row r="11416" spans="1:12" x14ac:dyDescent="0.25">
      <c r="A11416" s="4" t="str">
        <f>HYPERLINK("http://www.rosaceae.org/Prunus/Prunus_persica/p.persica_gdr_reftransV1_0002708","p.persica_gdr_reftransV1_0002708")</f>
        <v>p.persica_gdr_reftransV1_0002708</v>
      </c>
      <c r="B11416" s="2">
        <v>657</v>
      </c>
      <c r="C11416" s="4" t="str">
        <f>HYPERLINK("http://www.uniprot.org/uniprot/K7VQC2","K7VQC2")</f>
        <v>K7VQC2</v>
      </c>
      <c r="D11416" s="2" t="s">
        <v>9654</v>
      </c>
      <c r="E11416" s="3">
        <v>2.3200000000000001E-49</v>
      </c>
      <c r="F11416" s="2">
        <v>434</v>
      </c>
      <c r="G11416" s="2">
        <v>100</v>
      </c>
      <c r="H11416" s="2">
        <v>82</v>
      </c>
      <c r="I11416" s="2">
        <v>152</v>
      </c>
      <c r="J11416" s="2">
        <v>397</v>
      </c>
      <c r="K11416" s="2">
        <v>140</v>
      </c>
      <c r="L11416" s="2">
        <v>221</v>
      </c>
    </row>
    <row r="11417" spans="1:12" x14ac:dyDescent="0.25">
      <c r="A11417" s="4" t="str">
        <f>HYPERLINK("http://www.rosaceae.org/Prunus/Prunus_persica/p.persica_gdr_reftransV1_0003058","p.persica_gdr_reftransV1_0003058")</f>
        <v>p.persica_gdr_reftransV1_0003058</v>
      </c>
      <c r="B11417" s="2">
        <v>2963</v>
      </c>
      <c r="C11417" s="4" t="str">
        <f>HYPERLINK("http://www.uniprot.org/uniprot/M5XN02","M5XN02")</f>
        <v>M5XN02</v>
      </c>
      <c r="D11417" s="2" t="s">
        <v>9160</v>
      </c>
      <c r="E11417" s="3">
        <v>0</v>
      </c>
      <c r="F11417" s="2">
        <v>1610</v>
      </c>
      <c r="G11417" s="2">
        <v>92</v>
      </c>
      <c r="H11417" s="2">
        <v>354</v>
      </c>
      <c r="I11417" s="2">
        <v>357</v>
      </c>
      <c r="J11417" s="2">
        <v>1418</v>
      </c>
      <c r="K11417" s="2">
        <v>1</v>
      </c>
      <c r="L11417" s="2">
        <v>327</v>
      </c>
    </row>
    <row r="11418" spans="1:12" x14ac:dyDescent="0.25">
      <c r="A11418" s="4" t="str">
        <f>HYPERLINK("http://www.rosaceae.org/Prunus/Prunus_persica/p.persica_gdr_reftransV1_0003408","p.persica_gdr_reftransV1_0003408")</f>
        <v>p.persica_gdr_reftransV1_0003408</v>
      </c>
      <c r="B11418" s="2">
        <v>760</v>
      </c>
      <c r="C11418" s="4" t="str">
        <f>HYPERLINK("http://www.uniprot.org/uniprot/M5XLP4","M5XLP4")</f>
        <v>M5XLP4</v>
      </c>
      <c r="D11418" s="2" t="s">
        <v>5092</v>
      </c>
      <c r="E11418" s="3">
        <v>7.0900000000000001E-144</v>
      </c>
      <c r="F11418" s="2">
        <v>1063</v>
      </c>
      <c r="G11418" s="2">
        <v>100</v>
      </c>
      <c r="H11418" s="2">
        <v>204</v>
      </c>
      <c r="I11418" s="2">
        <v>145</v>
      </c>
      <c r="J11418" s="2">
        <v>756</v>
      </c>
      <c r="K11418" s="2">
        <v>1</v>
      </c>
      <c r="L11418" s="2">
        <v>204</v>
      </c>
    </row>
    <row r="11419" spans="1:12" x14ac:dyDescent="0.25">
      <c r="A11419" s="4" t="str">
        <f>HYPERLINK("http://www.rosaceae.org/Prunus/Prunus_persica/p.persica_gdr_reftransV1_0003758","p.persica_gdr_reftransV1_0003758")</f>
        <v>p.persica_gdr_reftransV1_0003758</v>
      </c>
      <c r="B11419" s="2">
        <v>1941</v>
      </c>
      <c r="C11419" s="4" t="str">
        <f>HYPERLINK("http://www.uniprot.org/uniprot/M5XES5","M5XES5")</f>
        <v>M5XES5</v>
      </c>
      <c r="D11419" s="2" t="s">
        <v>9655</v>
      </c>
      <c r="E11419" s="3">
        <v>0</v>
      </c>
      <c r="F11419" s="2">
        <v>2533</v>
      </c>
      <c r="G11419" s="2">
        <v>97</v>
      </c>
      <c r="H11419" s="2">
        <v>493</v>
      </c>
      <c r="I11419" s="2">
        <v>121</v>
      </c>
      <c r="J11419" s="2">
        <v>1599</v>
      </c>
      <c r="K11419" s="2">
        <v>20</v>
      </c>
      <c r="L11419" s="2">
        <v>512</v>
      </c>
    </row>
    <row r="11420" spans="1:12" x14ac:dyDescent="0.25">
      <c r="A11420" s="4" t="str">
        <f>HYPERLINK("http://www.rosaceae.org/Prunus/Prunus_persica/p.persica_gdr_reftransV1_0004108","p.persica_gdr_reftransV1_0004108")</f>
        <v>p.persica_gdr_reftransV1_0004108</v>
      </c>
      <c r="B11420" s="2">
        <v>738</v>
      </c>
      <c r="C11420" s="4" t="str">
        <f>HYPERLINK("http://www.uniprot.org/uniprot/M5VLD6","M5VLD6")</f>
        <v>M5VLD6</v>
      </c>
      <c r="D11420" s="2" t="s">
        <v>9656</v>
      </c>
      <c r="E11420" s="3">
        <v>2.5300000000000002E-8</v>
      </c>
      <c r="F11420" s="2">
        <v>145</v>
      </c>
      <c r="G11420" s="2">
        <v>97</v>
      </c>
      <c r="H11420" s="2">
        <v>86</v>
      </c>
      <c r="I11420" s="2">
        <v>78</v>
      </c>
      <c r="J11420" s="2">
        <v>335</v>
      </c>
      <c r="K11420" s="2">
        <v>77</v>
      </c>
      <c r="L11420" s="2">
        <v>162</v>
      </c>
    </row>
    <row r="11421" spans="1:12" x14ac:dyDescent="0.25">
      <c r="A11421" s="4" t="str">
        <f>HYPERLINK("http://www.rosaceae.org/Prunus/Prunus_persica/p.persica_gdr_reftransV1_0004458","p.persica_gdr_reftransV1_0004458")</f>
        <v>p.persica_gdr_reftransV1_0004458</v>
      </c>
      <c r="B11421" s="2">
        <v>991</v>
      </c>
      <c r="C11421" s="4" t="str">
        <f>HYPERLINK("http://www.uniprot.org/uniprot/M5WUZ5","M5WUZ5")</f>
        <v>M5WUZ5</v>
      </c>
      <c r="D11421" s="2" t="s">
        <v>9657</v>
      </c>
      <c r="E11421" s="3">
        <v>5.1600000000000001E-115</v>
      </c>
      <c r="F11421" s="2">
        <v>889</v>
      </c>
      <c r="G11421" s="2">
        <v>100</v>
      </c>
      <c r="H11421" s="2">
        <v>196</v>
      </c>
      <c r="I11421" s="2">
        <v>404</v>
      </c>
      <c r="J11421" s="2">
        <v>991</v>
      </c>
      <c r="K11421" s="2">
        <v>1</v>
      </c>
      <c r="L11421" s="2">
        <v>196</v>
      </c>
    </row>
    <row r="11422" spans="1:12" x14ac:dyDescent="0.25">
      <c r="A11422" s="4" t="str">
        <f>HYPERLINK("http://www.rosaceae.org/Prunus/Prunus_persica/p.persica_gdr_reftransV1_0005158","p.persica_gdr_reftransV1_0005158")</f>
        <v>p.persica_gdr_reftransV1_0005158</v>
      </c>
      <c r="B11422" s="2">
        <v>513</v>
      </c>
      <c r="C11422" s="4" t="str">
        <f>HYPERLINK("http://www.uniprot.org/uniprot/M5XIN8","M5XIN8")</f>
        <v>M5XIN8</v>
      </c>
      <c r="D11422" s="2" t="s">
        <v>5792</v>
      </c>
      <c r="E11422" s="3">
        <v>3.3200000000000002E-78</v>
      </c>
      <c r="F11422" s="2">
        <v>535</v>
      </c>
      <c r="G11422" s="2">
        <v>88</v>
      </c>
      <c r="H11422" s="2">
        <v>113</v>
      </c>
      <c r="I11422" s="2">
        <v>175</v>
      </c>
      <c r="J11422" s="2">
        <v>513</v>
      </c>
      <c r="K11422" s="2">
        <v>484</v>
      </c>
      <c r="L11422" s="2">
        <v>596</v>
      </c>
    </row>
    <row r="11423" spans="1:12" x14ac:dyDescent="0.25">
      <c r="A11423" s="4" t="str">
        <f>HYPERLINK("http://www.rosaceae.org/Prunus/Prunus_persica/p.persica_gdr_reftransV1_0006908","p.persica_gdr_reftransV1_0006908")</f>
        <v>p.persica_gdr_reftransV1_0006908</v>
      </c>
      <c r="B11423" s="2">
        <v>439</v>
      </c>
      <c r="C11423" s="4" t="str">
        <f>HYPERLINK("http://www.uniprot.org/uniprot/M5WJ31","M5WJ31")</f>
        <v>M5WJ31</v>
      </c>
      <c r="D11423" s="2" t="s">
        <v>9658</v>
      </c>
      <c r="E11423" s="3">
        <v>7.73E-82</v>
      </c>
      <c r="F11423" s="2">
        <v>673</v>
      </c>
      <c r="G11423" s="2">
        <v>100</v>
      </c>
      <c r="H11423" s="2">
        <v>146</v>
      </c>
      <c r="I11423" s="2">
        <v>1</v>
      </c>
      <c r="J11423" s="2">
        <v>438</v>
      </c>
      <c r="K11423" s="2">
        <v>348</v>
      </c>
      <c r="L11423" s="2">
        <v>493</v>
      </c>
    </row>
    <row r="11424" spans="1:12" x14ac:dyDescent="0.25">
      <c r="A11424" s="4" t="str">
        <f>HYPERLINK("http://www.rosaceae.org/Prunus/Prunus_persica/p.persica_gdr_reftransV1_0007608","p.persica_gdr_reftransV1_0007608")</f>
        <v>p.persica_gdr_reftransV1_0007608</v>
      </c>
      <c r="B11424" s="2">
        <v>2105</v>
      </c>
      <c r="C11424" s="4" t="str">
        <f>HYPERLINK("http://www.uniprot.org/uniprot/M5WIC0","M5WIC0")</f>
        <v>M5WIC0</v>
      </c>
      <c r="D11424" s="2" t="s">
        <v>9659</v>
      </c>
      <c r="E11424" s="3">
        <v>4.0199999999999998E-140</v>
      </c>
      <c r="F11424" s="2">
        <v>652</v>
      </c>
      <c r="G11424" s="2">
        <v>100</v>
      </c>
      <c r="H11424" s="2">
        <v>120</v>
      </c>
      <c r="I11424" s="2">
        <v>1291</v>
      </c>
      <c r="J11424" s="2">
        <v>1650</v>
      </c>
      <c r="K11424" s="2">
        <v>116</v>
      </c>
      <c r="L11424" s="2">
        <v>235</v>
      </c>
    </row>
    <row r="11425" spans="1:12" x14ac:dyDescent="0.25">
      <c r="A11425" s="4" t="str">
        <f>HYPERLINK("http://www.rosaceae.org/Prunus/Prunus_persica/p.persica_gdr_reftransV1_0007958","p.persica_gdr_reftransV1_0007958")</f>
        <v>p.persica_gdr_reftransV1_0007958</v>
      </c>
      <c r="B11425" s="2">
        <v>3575</v>
      </c>
      <c r="C11425" s="4" t="str">
        <f>HYPERLINK("http://www.uniprot.org/uniprot/M5WWT1","M5WWT1")</f>
        <v>M5WWT1</v>
      </c>
      <c r="D11425" s="2" t="s">
        <v>9660</v>
      </c>
      <c r="E11425" s="3">
        <v>0</v>
      </c>
      <c r="F11425" s="2">
        <v>4769</v>
      </c>
      <c r="G11425" s="2">
        <v>100</v>
      </c>
      <c r="H11425" s="2">
        <v>904</v>
      </c>
      <c r="I11425" s="2">
        <v>331</v>
      </c>
      <c r="J11425" s="2">
        <v>3042</v>
      </c>
      <c r="K11425" s="2">
        <v>1</v>
      </c>
      <c r="L11425" s="2">
        <v>904</v>
      </c>
    </row>
    <row r="11426" spans="1:12" x14ac:dyDescent="0.25">
      <c r="A11426" s="4" t="str">
        <f>HYPERLINK("http://www.rosaceae.org/Prunus/Prunus_persica/p.persica_gdr_reftransV1_0010058","p.persica_gdr_reftransV1_0010058")</f>
        <v>p.persica_gdr_reftransV1_0010058</v>
      </c>
      <c r="B11426" s="2">
        <v>1369</v>
      </c>
      <c r="C11426" s="4" t="str">
        <f>HYPERLINK("http://www.uniprot.org/uniprot/M5XYM6","M5XYM6")</f>
        <v>M5XYM6</v>
      </c>
      <c r="D11426" s="2" t="s">
        <v>7181</v>
      </c>
      <c r="E11426" s="3">
        <v>3.1400000000000001E-159</v>
      </c>
      <c r="F11426" s="2">
        <v>1195</v>
      </c>
      <c r="G11426" s="2">
        <v>100</v>
      </c>
      <c r="H11426" s="2">
        <v>295</v>
      </c>
      <c r="I11426" s="2">
        <v>317</v>
      </c>
      <c r="J11426" s="2">
        <v>1201</v>
      </c>
      <c r="K11426" s="2">
        <v>1</v>
      </c>
      <c r="L11426" s="2">
        <v>295</v>
      </c>
    </row>
    <row r="11427" spans="1:12" x14ac:dyDescent="0.25">
      <c r="A11427" s="4" t="str">
        <f>HYPERLINK("http://www.rosaceae.org/Prunus/Prunus_persica/p.persica_gdr_reftransV1_0010408","p.persica_gdr_reftransV1_0010408")</f>
        <v>p.persica_gdr_reftransV1_0010408</v>
      </c>
      <c r="B11427" s="2">
        <v>823</v>
      </c>
      <c r="C11427" s="4" t="str">
        <f>HYPERLINK("http://www.uniprot.org/uniprot/M5VLC1","M5VLC1")</f>
        <v>M5VLC1</v>
      </c>
      <c r="D11427" s="2" t="s">
        <v>9661</v>
      </c>
      <c r="E11427" s="3">
        <v>1.5600000000000001E-93</v>
      </c>
      <c r="F11427" s="2">
        <v>727</v>
      </c>
      <c r="G11427" s="2">
        <v>100</v>
      </c>
      <c r="H11427" s="2">
        <v>152</v>
      </c>
      <c r="I11427" s="2">
        <v>287</v>
      </c>
      <c r="J11427" s="2">
        <v>742</v>
      </c>
      <c r="K11427" s="2">
        <v>1</v>
      </c>
      <c r="L11427" s="2">
        <v>152</v>
      </c>
    </row>
    <row r="11428" spans="1:12" x14ac:dyDescent="0.25">
      <c r="A11428" s="4" t="str">
        <f>HYPERLINK("http://www.rosaceae.org/Prunus/Prunus_persica/p.persica_gdr_reftransV1_0011108","p.persica_gdr_reftransV1_0011108")</f>
        <v>p.persica_gdr_reftransV1_0011108</v>
      </c>
      <c r="B11428" s="2">
        <v>2322</v>
      </c>
      <c r="C11428" s="4" t="str">
        <f>HYPERLINK("http://www.uniprot.org/uniprot/X2G4W4","X2G4W4")</f>
        <v>X2G4W4</v>
      </c>
      <c r="D11428" s="2" t="s">
        <v>9662</v>
      </c>
      <c r="E11428" s="3">
        <v>0</v>
      </c>
      <c r="F11428" s="2">
        <v>2232</v>
      </c>
      <c r="G11428" s="2">
        <v>100</v>
      </c>
      <c r="H11428" s="2">
        <v>414</v>
      </c>
      <c r="I11428" s="2">
        <v>431</v>
      </c>
      <c r="J11428" s="2">
        <v>1672</v>
      </c>
      <c r="K11428" s="2">
        <v>61</v>
      </c>
      <c r="L11428" s="2">
        <v>474</v>
      </c>
    </row>
    <row r="11429" spans="1:12" x14ac:dyDescent="0.25">
      <c r="A11429" s="4" t="str">
        <f>HYPERLINK("http://www.rosaceae.org/Prunus/Prunus_persica/p.persica_gdr_reftransV1_0011458","p.persica_gdr_reftransV1_0011458")</f>
        <v>p.persica_gdr_reftransV1_0011458</v>
      </c>
      <c r="B11429" s="2">
        <v>3288</v>
      </c>
      <c r="C11429" s="4" t="str">
        <f>HYPERLINK("http://www.uniprot.org/uniprot/M5WPA3","M5WPA3")</f>
        <v>M5WPA3</v>
      </c>
      <c r="D11429" s="2" t="s">
        <v>9663</v>
      </c>
      <c r="E11429" s="3">
        <v>2.5300000000000001E-150</v>
      </c>
      <c r="F11429" s="2">
        <v>1210</v>
      </c>
      <c r="G11429" s="2">
        <v>100</v>
      </c>
      <c r="H11429" s="2">
        <v>224</v>
      </c>
      <c r="I11429" s="2">
        <v>1047</v>
      </c>
      <c r="J11429" s="2">
        <v>1718</v>
      </c>
      <c r="K11429" s="2">
        <v>98</v>
      </c>
      <c r="L11429" s="2">
        <v>321</v>
      </c>
    </row>
    <row r="11430" spans="1:12" x14ac:dyDescent="0.25">
      <c r="A11430" s="4" t="str">
        <f>HYPERLINK("http://www.rosaceae.org/Prunus/Prunus_persica/p.persica_gdr_reftransV1_0012508","p.persica_gdr_reftransV1_0012508")</f>
        <v>p.persica_gdr_reftransV1_0012508</v>
      </c>
      <c r="B11430" s="2">
        <v>1547</v>
      </c>
      <c r="C11430" s="4" t="str">
        <f>HYPERLINK("http://www.uniprot.org/uniprot/M5W0T3","M5W0T3")</f>
        <v>M5W0T3</v>
      </c>
      <c r="D11430" s="2" t="s">
        <v>9664</v>
      </c>
      <c r="E11430" s="3">
        <v>7.4200000000000001E-126</v>
      </c>
      <c r="F11430" s="2">
        <v>975</v>
      </c>
      <c r="G11430" s="2">
        <v>97</v>
      </c>
      <c r="H11430" s="2">
        <v>187</v>
      </c>
      <c r="I11430" s="2">
        <v>706</v>
      </c>
      <c r="J11430" s="2">
        <v>1266</v>
      </c>
      <c r="K11430" s="2">
        <v>57</v>
      </c>
      <c r="L11430" s="2">
        <v>243</v>
      </c>
    </row>
    <row r="11431" spans="1:12" x14ac:dyDescent="0.25">
      <c r="A11431" s="4" t="str">
        <f>HYPERLINK("http://www.rosaceae.org/Prunus/Prunus_persica/p.persica_gdr_reftransV1_0012858","p.persica_gdr_reftransV1_0012858")</f>
        <v>p.persica_gdr_reftransV1_0012858</v>
      </c>
      <c r="B11431" s="2">
        <v>2331</v>
      </c>
      <c r="C11431" s="4" t="str">
        <f>HYPERLINK("http://www.uniprot.org/uniprot/M5XRQ3","M5XRQ3")</f>
        <v>M5XRQ3</v>
      </c>
      <c r="D11431" s="2" t="s">
        <v>8462</v>
      </c>
      <c r="E11431" s="3">
        <v>1.21E-132</v>
      </c>
      <c r="F11431" s="2">
        <v>1042</v>
      </c>
      <c r="G11431" s="2">
        <v>100</v>
      </c>
      <c r="H11431" s="2">
        <v>202</v>
      </c>
      <c r="I11431" s="2">
        <v>162</v>
      </c>
      <c r="J11431" s="2">
        <v>767</v>
      </c>
      <c r="K11431" s="2">
        <v>1</v>
      </c>
      <c r="L11431" s="2">
        <v>202</v>
      </c>
    </row>
    <row r="11432" spans="1:12" x14ac:dyDescent="0.25">
      <c r="A11432" s="4" t="str">
        <f>HYPERLINK("http://www.rosaceae.org/Prunus/Prunus_persica/p.persica_gdr_reftransV1_0013208","p.persica_gdr_reftransV1_0013208")</f>
        <v>p.persica_gdr_reftransV1_0013208</v>
      </c>
      <c r="B11432" s="2">
        <v>1448</v>
      </c>
      <c r="C11432" s="4" t="str">
        <f>HYPERLINK("http://www.uniprot.org/uniprot/M5VX86","M5VX86")</f>
        <v>M5VX86</v>
      </c>
      <c r="D11432" s="2" t="s">
        <v>9665</v>
      </c>
      <c r="E11432" s="3">
        <v>0</v>
      </c>
      <c r="F11432" s="2">
        <v>1498</v>
      </c>
      <c r="G11432" s="2">
        <v>100</v>
      </c>
      <c r="H11432" s="2">
        <v>310</v>
      </c>
      <c r="I11432" s="2">
        <v>152</v>
      </c>
      <c r="J11432" s="2">
        <v>1081</v>
      </c>
      <c r="K11432" s="2">
        <v>1</v>
      </c>
      <c r="L11432" s="2">
        <v>310</v>
      </c>
    </row>
    <row r="11433" spans="1:12" x14ac:dyDescent="0.25">
      <c r="A11433" s="4" t="str">
        <f>HYPERLINK("http://www.rosaceae.org/Prunus/Prunus_persica/p.persica_gdr_reftransV1_0014608","p.persica_gdr_reftransV1_0014608")</f>
        <v>p.persica_gdr_reftransV1_0014608</v>
      </c>
      <c r="B11433" s="2">
        <v>2774</v>
      </c>
      <c r="C11433" s="4" t="str">
        <f>HYPERLINK("http://www.uniprot.org/uniprot/M5WRZ8","M5WRZ8")</f>
        <v>M5WRZ8</v>
      </c>
      <c r="D11433" s="2" t="s">
        <v>9666</v>
      </c>
      <c r="E11433" s="3">
        <v>0</v>
      </c>
      <c r="F11433" s="2">
        <v>4026</v>
      </c>
      <c r="G11433" s="2">
        <v>98</v>
      </c>
      <c r="H11433" s="2">
        <v>847</v>
      </c>
      <c r="I11433" s="2">
        <v>209</v>
      </c>
      <c r="J11433" s="2">
        <v>2749</v>
      </c>
      <c r="K11433" s="2">
        <v>1</v>
      </c>
      <c r="L11433" s="2">
        <v>842</v>
      </c>
    </row>
    <row r="11434" spans="1:12" x14ac:dyDescent="0.25">
      <c r="A11434" s="4" t="str">
        <f>HYPERLINK("http://www.rosaceae.org/Prunus/Prunus_persica/p.persica_gdr_reftransV1_0016008","p.persica_gdr_reftransV1_0016008")</f>
        <v>p.persica_gdr_reftransV1_0016008</v>
      </c>
      <c r="B11434" s="2">
        <v>1250</v>
      </c>
      <c r="C11434" s="4" t="str">
        <f>HYPERLINK("http://www.uniprot.org/uniprot/M5WRF5","M5WRF5")</f>
        <v>M5WRF5</v>
      </c>
      <c r="D11434" s="2" t="s">
        <v>9667</v>
      </c>
      <c r="E11434" s="3">
        <v>1.64E-105</v>
      </c>
      <c r="F11434" s="2">
        <v>823</v>
      </c>
      <c r="G11434" s="2">
        <v>96</v>
      </c>
      <c r="H11434" s="2">
        <v>158</v>
      </c>
      <c r="I11434" s="2">
        <v>93</v>
      </c>
      <c r="J11434" s="2">
        <v>566</v>
      </c>
      <c r="K11434" s="2">
        <v>1</v>
      </c>
      <c r="L11434" s="2">
        <v>158</v>
      </c>
    </row>
    <row r="11435" spans="1:12" x14ac:dyDescent="0.25">
      <c r="A11435" s="4" t="str">
        <f>HYPERLINK("http://www.rosaceae.org/Prunus/Prunus_persica/p.persica_gdr_reftransV1_0017408","p.persica_gdr_reftransV1_0017408")</f>
        <v>p.persica_gdr_reftransV1_0017408</v>
      </c>
      <c r="B11435" s="2">
        <v>1341</v>
      </c>
      <c r="C11435" s="4" t="str">
        <f>HYPERLINK("http://www.uniprot.org/uniprot/M5XE64","M5XE64")</f>
        <v>M5XE64</v>
      </c>
      <c r="D11435" s="2" t="s">
        <v>327</v>
      </c>
      <c r="E11435" s="3">
        <v>6.2399999999999997E-76</v>
      </c>
      <c r="F11435" s="2">
        <v>639</v>
      </c>
      <c r="G11435" s="2">
        <v>100</v>
      </c>
      <c r="H11435" s="2">
        <v>121</v>
      </c>
      <c r="I11435" s="2">
        <v>527</v>
      </c>
      <c r="J11435" s="2">
        <v>889</v>
      </c>
      <c r="K11435" s="2">
        <v>177</v>
      </c>
      <c r="L11435" s="2">
        <v>297</v>
      </c>
    </row>
    <row r="11436" spans="1:12" x14ac:dyDescent="0.25">
      <c r="A11436" s="4" t="str">
        <f>HYPERLINK("http://www.rosaceae.org/Prunus/Prunus_persica/p.persica_gdr_reftransV1_0018808","p.persica_gdr_reftransV1_0018808")</f>
        <v>p.persica_gdr_reftransV1_0018808</v>
      </c>
      <c r="B11436" s="2">
        <v>2583</v>
      </c>
      <c r="C11436" s="4" t="str">
        <f>HYPERLINK("http://www.uniprot.org/uniprot/M5WBM3","M5WBM3")</f>
        <v>M5WBM3</v>
      </c>
      <c r="D11436" s="2" t="s">
        <v>9668</v>
      </c>
      <c r="E11436" s="3">
        <v>0</v>
      </c>
      <c r="F11436" s="2">
        <v>1720</v>
      </c>
      <c r="G11436" s="2">
        <v>100</v>
      </c>
      <c r="H11436" s="2">
        <v>327</v>
      </c>
      <c r="I11436" s="2">
        <v>439</v>
      </c>
      <c r="J11436" s="2">
        <v>1419</v>
      </c>
      <c r="K11436" s="2">
        <v>179</v>
      </c>
      <c r="L11436" s="2">
        <v>505</v>
      </c>
    </row>
    <row r="11437" spans="1:12" x14ac:dyDescent="0.25">
      <c r="A11437" s="4" t="str">
        <f>HYPERLINK("http://www.rosaceae.org/Prunus/Prunus_persica/p.persica_gdr_reftransV1_0021958","p.persica_gdr_reftransV1_0021958")</f>
        <v>p.persica_gdr_reftransV1_0021958</v>
      </c>
      <c r="B11437" s="2">
        <v>1891</v>
      </c>
      <c r="C11437" s="4" t="str">
        <f>HYPERLINK("http://www.uniprot.org/uniprot/M5X134","M5X134")</f>
        <v>M5X134</v>
      </c>
      <c r="D11437" s="2" t="s">
        <v>9669</v>
      </c>
      <c r="E11437" s="3">
        <v>4.1600000000000002E-176</v>
      </c>
      <c r="F11437" s="2">
        <v>1327</v>
      </c>
      <c r="G11437" s="2">
        <v>100</v>
      </c>
      <c r="H11437" s="2">
        <v>248</v>
      </c>
      <c r="I11437" s="2">
        <v>1007</v>
      </c>
      <c r="J11437" s="2">
        <v>1750</v>
      </c>
      <c r="K11437" s="2">
        <v>1</v>
      </c>
      <c r="L11437" s="2">
        <v>248</v>
      </c>
    </row>
    <row r="11438" spans="1:12" x14ac:dyDescent="0.25">
      <c r="A11438" s="4" t="str">
        <f>HYPERLINK("http://www.rosaceae.org/Prunus/Prunus_persica/p.persica_gdr_reftransV1_0023008","p.persica_gdr_reftransV1_0023008")</f>
        <v>p.persica_gdr_reftransV1_0023008</v>
      </c>
      <c r="B11438" s="2">
        <v>1602</v>
      </c>
      <c r="C11438" s="4" t="str">
        <f>HYPERLINK("http://www.uniprot.org/uniprot/M5X0Y5","M5X0Y5")</f>
        <v>M5X0Y5</v>
      </c>
      <c r="D11438" s="2" t="s">
        <v>9670</v>
      </c>
      <c r="E11438" s="3">
        <v>0</v>
      </c>
      <c r="F11438" s="2">
        <v>661</v>
      </c>
      <c r="G11438" s="2">
        <v>100</v>
      </c>
      <c r="H11438" s="2">
        <v>127</v>
      </c>
      <c r="I11438" s="2">
        <v>721</v>
      </c>
      <c r="J11438" s="2">
        <v>1101</v>
      </c>
      <c r="K11438" s="2">
        <v>113</v>
      </c>
      <c r="L11438" s="2">
        <v>239</v>
      </c>
    </row>
    <row r="11439" spans="1:12" x14ac:dyDescent="0.25">
      <c r="A11439" s="4" t="str">
        <f>HYPERLINK("http://www.rosaceae.org/Prunus/Prunus_persica/p.persica_gdr_reftransV1_0023358","p.persica_gdr_reftransV1_0023358")</f>
        <v>p.persica_gdr_reftransV1_0023358</v>
      </c>
      <c r="B11439" s="2">
        <v>3444</v>
      </c>
      <c r="C11439" s="4" t="str">
        <f>HYPERLINK("http://www.uniprot.org/uniprot/M5XKP1","M5XKP1")</f>
        <v>M5XKP1</v>
      </c>
      <c r="D11439" s="2" t="s">
        <v>9671</v>
      </c>
      <c r="E11439" s="3">
        <v>0</v>
      </c>
      <c r="F11439" s="2">
        <v>2544</v>
      </c>
      <c r="G11439" s="2">
        <v>100</v>
      </c>
      <c r="H11439" s="2">
        <v>482</v>
      </c>
      <c r="I11439" s="2">
        <v>527</v>
      </c>
      <c r="J11439" s="2">
        <v>1972</v>
      </c>
      <c r="K11439" s="2">
        <v>344</v>
      </c>
      <c r="L11439" s="2">
        <v>825</v>
      </c>
    </row>
    <row r="11440" spans="1:12" x14ac:dyDescent="0.25">
      <c r="A11440" s="4" t="str">
        <f>HYPERLINK("http://www.rosaceae.org/Prunus/Prunus_persica/p.persica_gdr_reftransV1_0024058","p.persica_gdr_reftransV1_0024058")</f>
        <v>p.persica_gdr_reftransV1_0024058</v>
      </c>
      <c r="B11440" s="2">
        <v>888</v>
      </c>
      <c r="C11440" s="4" t="str">
        <f>HYPERLINK("http://www.uniprot.org/uniprot/B9RMN8","B9RMN8")</f>
        <v>B9RMN8</v>
      </c>
      <c r="D11440" s="2" t="s">
        <v>9672</v>
      </c>
      <c r="E11440" s="3">
        <v>1.97E-56</v>
      </c>
      <c r="F11440" s="2">
        <v>506</v>
      </c>
      <c r="G11440" s="2">
        <v>44</v>
      </c>
      <c r="H11440" s="2">
        <v>262</v>
      </c>
      <c r="I11440" s="2">
        <v>115</v>
      </c>
      <c r="J11440" s="2">
        <v>888</v>
      </c>
      <c r="K11440" s="2">
        <v>180</v>
      </c>
      <c r="L11440" s="2">
        <v>436</v>
      </c>
    </row>
    <row r="11441" spans="1:12" x14ac:dyDescent="0.25">
      <c r="A11441" s="4" t="str">
        <f>HYPERLINK("http://www.rosaceae.org/Prunus/Prunus_persica/p.persica_gdr_reftransV1_0024758","p.persica_gdr_reftransV1_0024758")</f>
        <v>p.persica_gdr_reftransV1_0024758</v>
      </c>
      <c r="B11441" s="2">
        <v>1752</v>
      </c>
      <c r="C11441" s="4" t="str">
        <f>HYPERLINK("http://www.uniprot.org/uniprot/M5WKY1","M5WKY1")</f>
        <v>M5WKY1</v>
      </c>
      <c r="D11441" s="2" t="s">
        <v>9673</v>
      </c>
      <c r="E11441" s="3">
        <v>5.7900000000000001E-120</v>
      </c>
      <c r="F11441" s="2">
        <v>662</v>
      </c>
      <c r="G11441" s="2">
        <v>100</v>
      </c>
      <c r="H11441" s="2">
        <v>123</v>
      </c>
      <c r="I11441" s="2">
        <v>1234</v>
      </c>
      <c r="J11441" s="2">
        <v>1602</v>
      </c>
      <c r="K11441" s="2">
        <v>1</v>
      </c>
      <c r="L11441" s="2">
        <v>123</v>
      </c>
    </row>
    <row r="11442" spans="1:12" x14ac:dyDescent="0.25">
      <c r="A11442" s="4" t="str">
        <f>HYPERLINK("http://www.rosaceae.org/Prunus/Prunus_persica/p.persica_gdr_reftransV1_0025808","p.persica_gdr_reftransV1_0025808")</f>
        <v>p.persica_gdr_reftransV1_0025808</v>
      </c>
      <c r="B11442" s="2">
        <v>2094</v>
      </c>
      <c r="C11442" s="4" t="str">
        <f>HYPERLINK("http://www.uniprot.org/uniprot/M5WP26","M5WP26")</f>
        <v>M5WP26</v>
      </c>
      <c r="D11442" s="2" t="s">
        <v>596</v>
      </c>
      <c r="E11442" s="3">
        <v>0</v>
      </c>
      <c r="F11442" s="2">
        <v>2427</v>
      </c>
      <c r="G11442" s="2">
        <v>87</v>
      </c>
      <c r="H11442" s="2">
        <v>571</v>
      </c>
      <c r="I11442" s="2">
        <v>168</v>
      </c>
      <c r="J11442" s="2">
        <v>1880</v>
      </c>
      <c r="K11442" s="2">
        <v>1</v>
      </c>
      <c r="L11442" s="2">
        <v>499</v>
      </c>
    </row>
    <row r="11443" spans="1:12" x14ac:dyDescent="0.25">
      <c r="A11443" s="4" t="str">
        <f>HYPERLINK("http://www.rosaceae.org/Prunus/Prunus_persica/p.persica_gdr_reftransV1_0026508","p.persica_gdr_reftransV1_0026508")</f>
        <v>p.persica_gdr_reftransV1_0026508</v>
      </c>
      <c r="B11443" s="2">
        <v>3788</v>
      </c>
      <c r="C11443" s="4" t="str">
        <f>HYPERLINK("http://www.uniprot.org/uniprot/M5XEH1","M5XEH1")</f>
        <v>M5XEH1</v>
      </c>
      <c r="D11443" s="2" t="s">
        <v>9674</v>
      </c>
      <c r="E11443" s="3">
        <v>0</v>
      </c>
      <c r="F11443" s="2">
        <v>2285</v>
      </c>
      <c r="G11443" s="2">
        <v>92</v>
      </c>
      <c r="H11443" s="2">
        <v>453</v>
      </c>
      <c r="I11443" s="2">
        <v>2081</v>
      </c>
      <c r="J11443" s="2">
        <v>3439</v>
      </c>
      <c r="K11443" s="2">
        <v>1</v>
      </c>
      <c r="L11443" s="2">
        <v>453</v>
      </c>
    </row>
    <row r="11444" spans="1:12" x14ac:dyDescent="0.25">
      <c r="A11444" s="4" t="str">
        <f>HYPERLINK("http://www.rosaceae.org/Prunus/Prunus_persica/p.persica_gdr_reftransV1_0026858","p.persica_gdr_reftransV1_0026858")</f>
        <v>p.persica_gdr_reftransV1_0026858</v>
      </c>
      <c r="B11444" s="2">
        <v>3332</v>
      </c>
      <c r="C11444" s="4" t="str">
        <f>HYPERLINK("http://www.uniprot.org/uniprot/M5XSN2","M5XSN2")</f>
        <v>M5XSN2</v>
      </c>
      <c r="D11444" s="2" t="s">
        <v>9675</v>
      </c>
      <c r="E11444" s="3">
        <v>0</v>
      </c>
      <c r="F11444" s="2">
        <v>3013</v>
      </c>
      <c r="G11444" s="2">
        <v>100</v>
      </c>
      <c r="H11444" s="2">
        <v>672</v>
      </c>
      <c r="I11444" s="2">
        <v>453</v>
      </c>
      <c r="J11444" s="2">
        <v>2468</v>
      </c>
      <c r="K11444" s="2">
        <v>1</v>
      </c>
      <c r="L11444" s="2">
        <v>672</v>
      </c>
    </row>
    <row r="11445" spans="1:12" x14ac:dyDescent="0.25">
      <c r="A11445" s="4" t="str">
        <f>HYPERLINK("http://www.rosaceae.org/Prunus/Prunus_persica/p.persica_gdr_reftransV1_0027208","p.persica_gdr_reftransV1_0027208")</f>
        <v>p.persica_gdr_reftransV1_0027208</v>
      </c>
      <c r="B11445" s="2">
        <v>2950</v>
      </c>
      <c r="C11445" s="4" t="str">
        <f>HYPERLINK("http://www.uniprot.org/uniprot/M5VTQ3","M5VTQ3")</f>
        <v>M5VTQ3</v>
      </c>
      <c r="D11445" s="2" t="s">
        <v>9676</v>
      </c>
      <c r="E11445" s="3">
        <v>0</v>
      </c>
      <c r="F11445" s="2">
        <v>3626</v>
      </c>
      <c r="G11445" s="2">
        <v>97</v>
      </c>
      <c r="H11445" s="2">
        <v>836</v>
      </c>
      <c r="I11445" s="2">
        <v>395</v>
      </c>
      <c r="J11445" s="2">
        <v>2902</v>
      </c>
      <c r="K11445" s="2">
        <v>15</v>
      </c>
      <c r="L11445" s="2">
        <v>821</v>
      </c>
    </row>
    <row r="11446" spans="1:12" x14ac:dyDescent="0.25">
      <c r="A11446" s="4" t="str">
        <f>HYPERLINK("http://www.rosaceae.org/Prunus/Prunus_persica/p.persica_gdr_reftransV1_0030008","p.persica_gdr_reftransV1_0030008")</f>
        <v>p.persica_gdr_reftransV1_0030008</v>
      </c>
      <c r="B11446" s="2">
        <v>1794</v>
      </c>
      <c r="C11446" s="4" t="str">
        <f>HYPERLINK("http://www.uniprot.org/uniprot/M5VJ73","M5VJ73")</f>
        <v>M5VJ73</v>
      </c>
      <c r="D11446" s="2" t="s">
        <v>9677</v>
      </c>
      <c r="E11446" s="3">
        <v>0</v>
      </c>
      <c r="F11446" s="2">
        <v>1900</v>
      </c>
      <c r="G11446" s="2">
        <v>100</v>
      </c>
      <c r="H11446" s="2">
        <v>373</v>
      </c>
      <c r="I11446" s="2">
        <v>122</v>
      </c>
      <c r="J11446" s="2">
        <v>1240</v>
      </c>
      <c r="K11446" s="2">
        <v>1</v>
      </c>
      <c r="L11446" s="2">
        <v>373</v>
      </c>
    </row>
    <row r="11447" spans="1:12" x14ac:dyDescent="0.25">
      <c r="A11447" s="4" t="str">
        <f>HYPERLINK("http://www.rosaceae.org/Prunus/Prunus_persica/p.persica_gdr_reftransV1_0030358","p.persica_gdr_reftransV1_0030358")</f>
        <v>p.persica_gdr_reftransV1_0030358</v>
      </c>
      <c r="B11447" s="2">
        <v>1884</v>
      </c>
      <c r="C11447" s="4" t="str">
        <f>HYPERLINK("http://www.uniprot.org/uniprot/M5W9U3","M5W9U3")</f>
        <v>M5W9U3</v>
      </c>
      <c r="D11447" s="2" t="s">
        <v>5717</v>
      </c>
      <c r="E11447" s="3">
        <v>0</v>
      </c>
      <c r="F11447" s="2">
        <v>1820</v>
      </c>
      <c r="G11447" s="2">
        <v>100</v>
      </c>
      <c r="H11447" s="2">
        <v>357</v>
      </c>
      <c r="I11447" s="2">
        <v>424</v>
      </c>
      <c r="J11447" s="2">
        <v>1494</v>
      </c>
      <c r="K11447" s="2">
        <v>1</v>
      </c>
      <c r="L11447" s="2">
        <v>357</v>
      </c>
    </row>
    <row r="11448" spans="1:12" x14ac:dyDescent="0.25">
      <c r="A11448" s="4" t="str">
        <f>HYPERLINK("http://www.rosaceae.org/Prunus/Prunus_persica/p.persica_gdr_reftransV1_0031058","p.persica_gdr_reftransV1_0031058")</f>
        <v>p.persica_gdr_reftransV1_0031058</v>
      </c>
      <c r="B11448" s="2">
        <v>903</v>
      </c>
      <c r="C11448" s="4" t="str">
        <f>HYPERLINK("http://www.uniprot.org/uniprot/M5WK65","M5WK65")</f>
        <v>M5WK65</v>
      </c>
      <c r="D11448" s="2" t="s">
        <v>3098</v>
      </c>
      <c r="E11448" s="3">
        <v>2.8E-105</v>
      </c>
      <c r="F11448" s="2">
        <v>810</v>
      </c>
      <c r="G11448" s="2">
        <v>100</v>
      </c>
      <c r="H11448" s="2">
        <v>165</v>
      </c>
      <c r="I11448" s="2">
        <v>94</v>
      </c>
      <c r="J11448" s="2">
        <v>588</v>
      </c>
      <c r="K11448" s="2">
        <v>1</v>
      </c>
      <c r="L11448" s="2">
        <v>165</v>
      </c>
    </row>
    <row r="11449" spans="1:12" x14ac:dyDescent="0.25">
      <c r="A11449" s="4" t="str">
        <f>HYPERLINK("http://www.rosaceae.org/Prunus/Prunus_persica/p.persica_gdr_reftransV1_0031408","p.persica_gdr_reftransV1_0031408")</f>
        <v>p.persica_gdr_reftransV1_0031408</v>
      </c>
      <c r="B11449" s="2">
        <v>3259</v>
      </c>
      <c r="C11449" s="4" t="str">
        <f>HYPERLINK("http://www.uniprot.org/uniprot/M5Y9A8","M5Y9A8")</f>
        <v>M5Y9A8</v>
      </c>
      <c r="D11449" s="2" t="s">
        <v>9678</v>
      </c>
      <c r="E11449" s="3">
        <v>0</v>
      </c>
      <c r="F11449" s="2">
        <v>2548</v>
      </c>
      <c r="G11449" s="2">
        <v>93</v>
      </c>
      <c r="H11449" s="2">
        <v>577</v>
      </c>
      <c r="I11449" s="2">
        <v>925</v>
      </c>
      <c r="J11449" s="2">
        <v>2655</v>
      </c>
      <c r="K11449" s="2">
        <v>1</v>
      </c>
      <c r="L11449" s="2">
        <v>538</v>
      </c>
    </row>
    <row r="11450" spans="1:12" x14ac:dyDescent="0.25">
      <c r="A11450" s="4" t="str">
        <f>HYPERLINK("http://www.rosaceae.org/Prunus/Prunus_persica/p.persica_gdr_reftransV1_0031758","p.persica_gdr_reftransV1_0031758")</f>
        <v>p.persica_gdr_reftransV1_0031758</v>
      </c>
      <c r="B11450" s="2">
        <v>1862</v>
      </c>
      <c r="C11450" s="4" t="str">
        <f>HYPERLINK("http://www.uniprot.org/uniprot/M5XJN5","M5XJN5")</f>
        <v>M5XJN5</v>
      </c>
      <c r="D11450" s="2" t="s">
        <v>702</v>
      </c>
      <c r="E11450" s="3">
        <v>5.1999999999999997E-89</v>
      </c>
      <c r="F11450" s="2">
        <v>741</v>
      </c>
      <c r="G11450" s="2">
        <v>100</v>
      </c>
      <c r="H11450" s="2">
        <v>135</v>
      </c>
      <c r="I11450" s="2">
        <v>970</v>
      </c>
      <c r="J11450" s="2">
        <v>1374</v>
      </c>
      <c r="K11450" s="2">
        <v>158</v>
      </c>
      <c r="L11450" s="2">
        <v>292</v>
      </c>
    </row>
    <row r="11451" spans="1:12" x14ac:dyDescent="0.25">
      <c r="A11451" s="4" t="str">
        <f>HYPERLINK("http://www.rosaceae.org/Prunus/Prunus_persica/p.persica_gdr_reftransV1_0032108","p.persica_gdr_reftransV1_0032108")</f>
        <v>p.persica_gdr_reftransV1_0032108</v>
      </c>
      <c r="B11451" s="2">
        <v>1468</v>
      </c>
      <c r="C11451" s="4" t="str">
        <f>HYPERLINK("http://www.uniprot.org/uniprot/M5WAN1","M5WAN1")</f>
        <v>M5WAN1</v>
      </c>
      <c r="D11451" s="2" t="s">
        <v>9679</v>
      </c>
      <c r="E11451" s="3">
        <v>1.5900000000000001E-98</v>
      </c>
      <c r="F11451" s="2">
        <v>787</v>
      </c>
      <c r="G11451" s="2">
        <v>100</v>
      </c>
      <c r="H11451" s="2">
        <v>221</v>
      </c>
      <c r="I11451" s="2">
        <v>586</v>
      </c>
      <c r="J11451" s="2">
        <v>1248</v>
      </c>
      <c r="K11451" s="2">
        <v>1</v>
      </c>
      <c r="L11451" s="2">
        <v>221</v>
      </c>
    </row>
    <row r="11452" spans="1:12" x14ac:dyDescent="0.25">
      <c r="A11452" s="4" t="str">
        <f>HYPERLINK("http://www.rosaceae.org/Prunus/Prunus_persica/p.persica_gdr_reftransV1_0032458","p.persica_gdr_reftransV1_0032458")</f>
        <v>p.persica_gdr_reftransV1_0032458</v>
      </c>
      <c r="B11452" s="2">
        <v>2076</v>
      </c>
      <c r="C11452" s="4" t="str">
        <f>HYPERLINK("http://www.uniprot.org/uniprot/M5VZL2","M5VZL2")</f>
        <v>M5VZL2</v>
      </c>
      <c r="D11452" s="2" t="s">
        <v>9680</v>
      </c>
      <c r="E11452" s="3">
        <v>8.0499999999999994E-121</v>
      </c>
      <c r="F11452" s="2">
        <v>969</v>
      </c>
      <c r="G11452" s="2">
        <v>100</v>
      </c>
      <c r="H11452" s="2">
        <v>195</v>
      </c>
      <c r="I11452" s="2">
        <v>715</v>
      </c>
      <c r="J11452" s="2">
        <v>1299</v>
      </c>
      <c r="K11452" s="2">
        <v>88</v>
      </c>
      <c r="L11452" s="2">
        <v>282</v>
      </c>
    </row>
    <row r="11453" spans="1:12" x14ac:dyDescent="0.25">
      <c r="A11453" s="4" t="str">
        <f>HYPERLINK("http://www.rosaceae.org/Prunus/Prunus_persica/p.persica_gdr_reftransV1_0032808","p.persica_gdr_reftransV1_0032808")</f>
        <v>p.persica_gdr_reftransV1_0032808</v>
      </c>
      <c r="B11453" s="2">
        <v>3714</v>
      </c>
      <c r="C11453" s="4" t="str">
        <f>HYPERLINK("http://www.uniprot.org/uniprot/M5XN53","M5XN53")</f>
        <v>M5XN53</v>
      </c>
      <c r="D11453" s="2" t="s">
        <v>2821</v>
      </c>
      <c r="E11453" s="3">
        <v>0</v>
      </c>
      <c r="F11453" s="2">
        <v>1474</v>
      </c>
      <c r="G11453" s="2">
        <v>99</v>
      </c>
      <c r="H11453" s="2">
        <v>296</v>
      </c>
      <c r="I11453" s="2">
        <v>337</v>
      </c>
      <c r="J11453" s="2">
        <v>1224</v>
      </c>
      <c r="K11453" s="2">
        <v>174</v>
      </c>
      <c r="L11453" s="2">
        <v>469</v>
      </c>
    </row>
    <row r="11454" spans="1:12" x14ac:dyDescent="0.25">
      <c r="A11454" s="4" t="str">
        <f>HYPERLINK("http://www.rosaceae.org/Prunus/Prunus_persica/p.persica_gdr_reftransV1_0034208","p.persica_gdr_reftransV1_0034208")</f>
        <v>p.persica_gdr_reftransV1_0034208</v>
      </c>
      <c r="B11454" s="2">
        <v>2139</v>
      </c>
      <c r="C11454" s="4" t="str">
        <f>HYPERLINK("http://www.uniprot.org/uniprot/M5WB20","M5WB20")</f>
        <v>M5WB20</v>
      </c>
      <c r="D11454" s="2" t="s">
        <v>9681</v>
      </c>
      <c r="E11454" s="3">
        <v>4.1799999999999997E-170</v>
      </c>
      <c r="F11454" s="2">
        <v>1297</v>
      </c>
      <c r="G11454" s="2">
        <v>100</v>
      </c>
      <c r="H11454" s="2">
        <v>287</v>
      </c>
      <c r="I11454" s="2">
        <v>1122</v>
      </c>
      <c r="J11454" s="2">
        <v>1982</v>
      </c>
      <c r="K11454" s="2">
        <v>69</v>
      </c>
      <c r="L11454" s="2">
        <v>355</v>
      </c>
    </row>
    <row r="11455" spans="1:12" x14ac:dyDescent="0.25">
      <c r="A11455" s="4" t="str">
        <f>HYPERLINK("http://www.rosaceae.org/Prunus/Prunus_persica/p.persica_gdr_reftransV1_0035258","p.persica_gdr_reftransV1_0035258")</f>
        <v>p.persica_gdr_reftransV1_0035258</v>
      </c>
      <c r="B11455" s="2">
        <v>3631</v>
      </c>
      <c r="C11455" s="4" t="str">
        <f>HYPERLINK("http://www.uniprot.org/uniprot/M5WXA9","M5WXA9")</f>
        <v>M5WXA9</v>
      </c>
      <c r="D11455" s="2" t="s">
        <v>9682</v>
      </c>
      <c r="E11455" s="3">
        <v>0</v>
      </c>
      <c r="F11455" s="2">
        <v>1560</v>
      </c>
      <c r="G11455" s="2">
        <v>100</v>
      </c>
      <c r="H11455" s="2">
        <v>298</v>
      </c>
      <c r="I11455" s="2">
        <v>825</v>
      </c>
      <c r="J11455" s="2">
        <v>1718</v>
      </c>
      <c r="K11455" s="2">
        <v>1</v>
      </c>
      <c r="L11455" s="2">
        <v>298</v>
      </c>
    </row>
    <row r="11456" spans="1:12" x14ac:dyDescent="0.25">
      <c r="A11456" s="4" t="str">
        <f>HYPERLINK("http://www.rosaceae.org/Prunus/Prunus_persica/p.persica_gdr_reftransV1_0038758","p.persica_gdr_reftransV1_0038758")</f>
        <v>p.persica_gdr_reftransV1_0038758</v>
      </c>
      <c r="B11456" s="2">
        <v>1119</v>
      </c>
      <c r="C11456" s="4" t="str">
        <f>HYPERLINK("http://www.uniprot.org/uniprot/M5WKH9","M5WKH9")</f>
        <v>M5WKH9</v>
      </c>
      <c r="D11456" s="2" t="s">
        <v>9683</v>
      </c>
      <c r="E11456" s="3">
        <v>3.8600000000000002E-40</v>
      </c>
      <c r="F11456" s="2">
        <v>373</v>
      </c>
      <c r="G11456" s="2">
        <v>96</v>
      </c>
      <c r="H11456" s="2">
        <v>74</v>
      </c>
      <c r="I11456" s="2">
        <v>173</v>
      </c>
      <c r="J11456" s="2">
        <v>394</v>
      </c>
      <c r="K11456" s="2">
        <v>1</v>
      </c>
      <c r="L11456" s="2">
        <v>74</v>
      </c>
    </row>
    <row r="11457" spans="1:12" x14ac:dyDescent="0.25">
      <c r="A11457" s="4" t="str">
        <f>HYPERLINK("http://www.rosaceae.org/Prunus/Prunus_persica/p.persica_gdr_reftransV1_0041908","p.persica_gdr_reftransV1_0041908")</f>
        <v>p.persica_gdr_reftransV1_0041908</v>
      </c>
      <c r="B11457" s="2">
        <v>2323</v>
      </c>
      <c r="C11457" s="4" t="str">
        <f>HYPERLINK("http://www.uniprot.org/uniprot/M5XTK0","M5XTK0")</f>
        <v>M5XTK0</v>
      </c>
      <c r="D11457" s="2" t="s">
        <v>9684</v>
      </c>
      <c r="E11457" s="3">
        <v>2.2900000000000001E-103</v>
      </c>
      <c r="F11457" s="2">
        <v>862</v>
      </c>
      <c r="G11457" s="2">
        <v>100</v>
      </c>
      <c r="H11457" s="2">
        <v>160</v>
      </c>
      <c r="I11457" s="2">
        <v>999</v>
      </c>
      <c r="J11457" s="2">
        <v>1478</v>
      </c>
      <c r="K11457" s="2">
        <v>154</v>
      </c>
      <c r="L11457" s="2">
        <v>313</v>
      </c>
    </row>
    <row r="11458" spans="1:12" x14ac:dyDescent="0.25">
      <c r="A11458" s="4" t="str">
        <f>HYPERLINK("http://www.rosaceae.org/Prunus/Prunus_persica/p.persica_gdr_reftransV1_0042608","p.persica_gdr_reftransV1_0042608")</f>
        <v>p.persica_gdr_reftransV1_0042608</v>
      </c>
      <c r="B11458" s="2">
        <v>2139</v>
      </c>
      <c r="C11458" s="4" t="str">
        <f>HYPERLINK("http://www.uniprot.org/uniprot/M5XG81","M5XG81")</f>
        <v>M5XG81</v>
      </c>
      <c r="D11458" s="2" t="s">
        <v>9685</v>
      </c>
      <c r="E11458" s="3">
        <v>1.8E-110</v>
      </c>
      <c r="F11458" s="2">
        <v>886</v>
      </c>
      <c r="G11458" s="2">
        <v>100</v>
      </c>
      <c r="H11458" s="2">
        <v>194</v>
      </c>
      <c r="I11458" s="2">
        <v>1305</v>
      </c>
      <c r="J11458" s="2">
        <v>1886</v>
      </c>
      <c r="K11458" s="2">
        <v>30</v>
      </c>
      <c r="L11458" s="2">
        <v>223</v>
      </c>
    </row>
    <row r="11459" spans="1:12" x14ac:dyDescent="0.25">
      <c r="A11459" s="4" t="str">
        <f>HYPERLINK("http://www.rosaceae.org/Prunus/Prunus_persica/p.persica_gdr_reftransV1_0043308","p.persica_gdr_reftransV1_0043308")</f>
        <v>p.persica_gdr_reftransV1_0043308</v>
      </c>
      <c r="B11459" s="2">
        <v>1161</v>
      </c>
      <c r="C11459" s="4" t="str">
        <f>HYPERLINK("http://www.uniprot.org/uniprot/V4T088","V4T088")</f>
        <v>V4T088</v>
      </c>
      <c r="D11459" s="2" t="s">
        <v>9686</v>
      </c>
      <c r="E11459" s="3">
        <v>2.2500000000000001E-96</v>
      </c>
      <c r="F11459" s="2">
        <v>773</v>
      </c>
      <c r="G11459" s="2">
        <v>57</v>
      </c>
      <c r="H11459" s="2">
        <v>344</v>
      </c>
      <c r="I11459" s="2">
        <v>111</v>
      </c>
      <c r="J11459" s="2">
        <v>1106</v>
      </c>
      <c r="K11459" s="2">
        <v>1</v>
      </c>
      <c r="L11459" s="2">
        <v>317</v>
      </c>
    </row>
    <row r="11460" spans="1:12" x14ac:dyDescent="0.25">
      <c r="A11460" s="4" t="str">
        <f>HYPERLINK("http://www.rosaceae.org/Prunus/Prunus_persica/p.persica_gdr_reftransV1_0043658","p.persica_gdr_reftransV1_0043658")</f>
        <v>p.persica_gdr_reftransV1_0043658</v>
      </c>
      <c r="B11460" s="2">
        <v>1774</v>
      </c>
      <c r="C11460" s="4" t="str">
        <f>HYPERLINK("http://www.uniprot.org/uniprot/A0A061ED13","A0A061ED13")</f>
        <v>A0A061ED13</v>
      </c>
      <c r="D11460" s="2" t="s">
        <v>9687</v>
      </c>
      <c r="E11460" s="3">
        <v>2.1800000000000001E-158</v>
      </c>
      <c r="F11460" s="2">
        <v>1222</v>
      </c>
      <c r="G11460" s="2">
        <v>59</v>
      </c>
      <c r="H11460" s="2">
        <v>529</v>
      </c>
      <c r="I11460" s="2">
        <v>233</v>
      </c>
      <c r="J11460" s="2">
        <v>1678</v>
      </c>
      <c r="K11460" s="2">
        <v>1</v>
      </c>
      <c r="L11460" s="2">
        <v>497</v>
      </c>
    </row>
    <row r="11461" spans="1:12" x14ac:dyDescent="0.25">
      <c r="A11461" s="4" t="str">
        <f>HYPERLINK("http://www.rosaceae.org/Prunus/Prunus_persica/p.persica_gdr_reftransV1_0044008","p.persica_gdr_reftransV1_0044008")</f>
        <v>p.persica_gdr_reftransV1_0044008</v>
      </c>
      <c r="B11461" s="2">
        <v>319</v>
      </c>
      <c r="C11461" s="4" t="str">
        <f>HYPERLINK("http://www.uniprot.org/uniprot/M5X3M4","M5X3M4")</f>
        <v>M5X3M4</v>
      </c>
      <c r="D11461" s="2" t="s">
        <v>2124</v>
      </c>
      <c r="E11461" s="3">
        <v>1.8300000000000001E-62</v>
      </c>
      <c r="F11461" s="2">
        <v>548</v>
      </c>
      <c r="G11461" s="2">
        <v>100</v>
      </c>
      <c r="H11461" s="2">
        <v>106</v>
      </c>
      <c r="I11461" s="2">
        <v>1</v>
      </c>
      <c r="J11461" s="2">
        <v>318</v>
      </c>
      <c r="K11461" s="2">
        <v>670</v>
      </c>
      <c r="L11461" s="2">
        <v>775</v>
      </c>
    </row>
    <row r="11462" spans="1:12" x14ac:dyDescent="0.25">
      <c r="A11462" s="4" t="str">
        <f>HYPERLINK("http://www.rosaceae.org/Prunus/Prunus_persica/p.persica_gdr_reftransV1_0044358","p.persica_gdr_reftransV1_0044358")</f>
        <v>p.persica_gdr_reftransV1_0044358</v>
      </c>
      <c r="B11462" s="2">
        <v>1810</v>
      </c>
      <c r="C11462" s="4" t="str">
        <f>HYPERLINK("http://www.uniprot.org/uniprot/M5VPQ2","M5VPQ2")</f>
        <v>M5VPQ2</v>
      </c>
      <c r="D11462" s="2" t="s">
        <v>5559</v>
      </c>
      <c r="E11462" s="3">
        <v>0</v>
      </c>
      <c r="F11462" s="2">
        <v>2282</v>
      </c>
      <c r="G11462" s="2">
        <v>100</v>
      </c>
      <c r="H11462" s="2">
        <v>422</v>
      </c>
      <c r="I11462" s="2">
        <v>279</v>
      </c>
      <c r="J11462" s="2">
        <v>1544</v>
      </c>
      <c r="K11462" s="2">
        <v>7</v>
      </c>
      <c r="L11462" s="2">
        <v>428</v>
      </c>
    </row>
    <row r="11463" spans="1:12" x14ac:dyDescent="0.25">
      <c r="A11463" s="4" t="str">
        <f>HYPERLINK("http://www.rosaceae.org/Prunus/Prunus_persica/p.persica_gdr_reftransV1_0045408","p.persica_gdr_reftransV1_0045408")</f>
        <v>p.persica_gdr_reftransV1_0045408</v>
      </c>
      <c r="B11463" s="2">
        <v>2709</v>
      </c>
      <c r="C11463" s="4" t="str">
        <f>HYPERLINK("http://www.uniprot.org/uniprot/M5WES2","M5WES2")</f>
        <v>M5WES2</v>
      </c>
      <c r="D11463" s="2" t="s">
        <v>3821</v>
      </c>
      <c r="E11463" s="3">
        <v>0</v>
      </c>
      <c r="F11463" s="2">
        <v>3668</v>
      </c>
      <c r="G11463" s="2">
        <v>100</v>
      </c>
      <c r="H11463" s="2">
        <v>820</v>
      </c>
      <c r="I11463" s="2">
        <v>1</v>
      </c>
      <c r="J11463" s="2">
        <v>2460</v>
      </c>
      <c r="K11463" s="2">
        <v>278</v>
      </c>
      <c r="L11463" s="2">
        <v>1097</v>
      </c>
    </row>
    <row r="11464" spans="1:12" x14ac:dyDescent="0.25">
      <c r="A11464" s="4" t="str">
        <f>HYPERLINK("http://www.rosaceae.org/Prunus/Prunus_persica/p.persica_gdr_reftransV1_0045758","p.persica_gdr_reftransV1_0045758")</f>
        <v>p.persica_gdr_reftransV1_0045758</v>
      </c>
      <c r="B11464" s="2">
        <v>866</v>
      </c>
      <c r="C11464" s="4" t="str">
        <f>HYPERLINK("http://www.uniprot.org/uniprot/M5XM26","M5XM26")</f>
        <v>M5XM26</v>
      </c>
      <c r="D11464" s="2" t="s">
        <v>9688</v>
      </c>
      <c r="E11464" s="3">
        <v>4.8100000000000002E-115</v>
      </c>
      <c r="F11464" s="2">
        <v>872</v>
      </c>
      <c r="G11464" s="2">
        <v>100</v>
      </c>
      <c r="H11464" s="2">
        <v>167</v>
      </c>
      <c r="I11464" s="2">
        <v>222</v>
      </c>
      <c r="J11464" s="2">
        <v>722</v>
      </c>
      <c r="K11464" s="2">
        <v>1</v>
      </c>
      <c r="L11464" s="2">
        <v>167</v>
      </c>
    </row>
    <row r="11465" spans="1:12" x14ac:dyDescent="0.25">
      <c r="A11465" s="4" t="str">
        <f>HYPERLINK("http://www.rosaceae.org/Prunus/Prunus_persica/p.persica_gdr_reftransV1_0046108","p.persica_gdr_reftransV1_0046108")</f>
        <v>p.persica_gdr_reftransV1_0046108</v>
      </c>
      <c r="B11465" s="2">
        <v>851</v>
      </c>
      <c r="C11465" s="4" t="str">
        <f>HYPERLINK("http://www.uniprot.org/uniprot/M5WB10","M5WB10")</f>
        <v>M5WB10</v>
      </c>
      <c r="D11465" s="2" t="s">
        <v>9689</v>
      </c>
      <c r="E11465" s="3">
        <v>4.28E-98</v>
      </c>
      <c r="F11465" s="2">
        <v>757</v>
      </c>
      <c r="G11465" s="2">
        <v>100</v>
      </c>
      <c r="H11465" s="2">
        <v>143</v>
      </c>
      <c r="I11465" s="2">
        <v>124</v>
      </c>
      <c r="J11465" s="2">
        <v>552</v>
      </c>
      <c r="K11465" s="2">
        <v>1</v>
      </c>
      <c r="L11465" s="2">
        <v>143</v>
      </c>
    </row>
    <row r="11466" spans="1:12" x14ac:dyDescent="0.25">
      <c r="A11466" s="4" t="str">
        <f>HYPERLINK("http://www.rosaceae.org/Prunus/Prunus_persica/p.persica_gdr_reftransV1_0046808","p.persica_gdr_reftransV1_0046808")</f>
        <v>p.persica_gdr_reftransV1_0046808</v>
      </c>
      <c r="B11466" s="2">
        <v>3418</v>
      </c>
      <c r="C11466" s="4" t="str">
        <f>HYPERLINK("http://www.uniprot.org/uniprot/M5VX55","M5VX55")</f>
        <v>M5VX55</v>
      </c>
      <c r="D11466" s="2" t="s">
        <v>9690</v>
      </c>
      <c r="E11466" s="3">
        <v>0</v>
      </c>
      <c r="F11466" s="2">
        <v>3524</v>
      </c>
      <c r="G11466" s="2">
        <v>100</v>
      </c>
      <c r="H11466" s="2">
        <v>690</v>
      </c>
      <c r="I11466" s="2">
        <v>133</v>
      </c>
      <c r="J11466" s="2">
        <v>2202</v>
      </c>
      <c r="K11466" s="2">
        <v>21</v>
      </c>
      <c r="L11466" s="2">
        <v>710</v>
      </c>
    </row>
    <row r="11467" spans="1:12" x14ac:dyDescent="0.25">
      <c r="A11467" s="4" t="str">
        <f>HYPERLINK("http://www.rosaceae.org/Prunus/Prunus_persica/p.persica_gdr_reftransV1_0047158","p.persica_gdr_reftransV1_0047158")</f>
        <v>p.persica_gdr_reftransV1_0047158</v>
      </c>
      <c r="B11467" s="2">
        <v>360</v>
      </c>
      <c r="C11467" s="4" t="str">
        <f>HYPERLINK("http://www.uniprot.org/uniprot/M5Y1T6","M5Y1T6")</f>
        <v>M5Y1T6</v>
      </c>
      <c r="D11467" s="2" t="s">
        <v>9691</v>
      </c>
      <c r="E11467" s="3">
        <v>1.0300000000000001E-63</v>
      </c>
      <c r="F11467" s="2">
        <v>526</v>
      </c>
      <c r="G11467" s="2">
        <v>100</v>
      </c>
      <c r="H11467" s="2">
        <v>99</v>
      </c>
      <c r="I11467" s="2">
        <v>3</v>
      </c>
      <c r="J11467" s="2">
        <v>299</v>
      </c>
      <c r="K11467" s="2">
        <v>1</v>
      </c>
      <c r="L11467" s="2">
        <v>99</v>
      </c>
    </row>
    <row r="11468" spans="1:12" x14ac:dyDescent="0.25">
      <c r="A11468" s="4" t="str">
        <f>HYPERLINK("http://www.rosaceae.org/Prunus/Prunus_persica/p.persica_gdr_reftransV1_0047508","p.persica_gdr_reftransV1_0047508")</f>
        <v>p.persica_gdr_reftransV1_0047508</v>
      </c>
      <c r="B11468" s="2">
        <v>664</v>
      </c>
      <c r="C11468" s="4" t="str">
        <f>HYPERLINK("http://www.uniprot.org/uniprot/M5XVF3","M5XVF3")</f>
        <v>M5XVF3</v>
      </c>
      <c r="D11468" s="2" t="s">
        <v>9692</v>
      </c>
      <c r="E11468" s="3">
        <v>2.8600000000000001E-111</v>
      </c>
      <c r="F11468" s="2">
        <v>893</v>
      </c>
      <c r="G11468" s="2">
        <v>80</v>
      </c>
      <c r="H11468" s="2">
        <v>220</v>
      </c>
      <c r="I11468" s="2">
        <v>3</v>
      </c>
      <c r="J11468" s="2">
        <v>662</v>
      </c>
      <c r="K11468" s="2">
        <v>44</v>
      </c>
      <c r="L11468" s="2">
        <v>222</v>
      </c>
    </row>
    <row r="11469" spans="1:12" x14ac:dyDescent="0.25">
      <c r="A11469" s="4" t="str">
        <f>HYPERLINK("http://www.rosaceae.org/Prunus/Prunus_persica/p.persica_gdr_reftransV1_0047858","p.persica_gdr_reftransV1_0047858")</f>
        <v>p.persica_gdr_reftransV1_0047858</v>
      </c>
      <c r="B11469" s="2">
        <v>328</v>
      </c>
      <c r="C11469" s="4" t="str">
        <f>HYPERLINK("http://www.uniprot.org/uniprot/M5WYL9","M5WYL9")</f>
        <v>M5WYL9</v>
      </c>
      <c r="D11469" s="2" t="s">
        <v>4436</v>
      </c>
      <c r="E11469" s="3">
        <v>4.12E-60</v>
      </c>
      <c r="F11469" s="2">
        <v>514</v>
      </c>
      <c r="G11469" s="2">
        <v>100</v>
      </c>
      <c r="H11469" s="2">
        <v>99</v>
      </c>
      <c r="I11469" s="2">
        <v>31</v>
      </c>
      <c r="J11469" s="2">
        <v>327</v>
      </c>
      <c r="K11469" s="2">
        <v>159</v>
      </c>
      <c r="L11469" s="2">
        <v>257</v>
      </c>
    </row>
    <row r="11470" spans="1:12" x14ac:dyDescent="0.25">
      <c r="A11470" s="4" t="str">
        <f>HYPERLINK("http://www.rosaceae.org/Prunus/Prunus_persica/p.persica_gdr_reftransV1_0048558","p.persica_gdr_reftransV1_0048558")</f>
        <v>p.persica_gdr_reftransV1_0048558</v>
      </c>
      <c r="B11470" s="2">
        <v>674</v>
      </c>
      <c r="C11470" s="4" t="str">
        <f>HYPERLINK("http://www.uniprot.org/uniprot/M5X808","M5X808")</f>
        <v>M5X808</v>
      </c>
      <c r="D11470" s="2" t="s">
        <v>313</v>
      </c>
      <c r="E11470" s="3">
        <v>7.5399999999999998E-97</v>
      </c>
      <c r="F11470" s="2">
        <v>753</v>
      </c>
      <c r="G11470" s="2">
        <v>77</v>
      </c>
      <c r="H11470" s="2">
        <v>199</v>
      </c>
      <c r="I11470" s="2">
        <v>202</v>
      </c>
      <c r="J11470" s="2">
        <v>672</v>
      </c>
      <c r="K11470" s="2">
        <v>1</v>
      </c>
      <c r="L11470" s="2">
        <v>199</v>
      </c>
    </row>
    <row r="11471" spans="1:12" x14ac:dyDescent="0.25">
      <c r="A11471" s="4" t="str">
        <f>HYPERLINK("http://www.rosaceae.org/Prunus/Prunus_persica/p.persica_gdr_reftransV1_0048908","p.persica_gdr_reftransV1_0048908")</f>
        <v>p.persica_gdr_reftransV1_0048908</v>
      </c>
      <c r="B11471" s="2">
        <v>569</v>
      </c>
      <c r="C11471" s="4" t="str">
        <f>HYPERLINK("http://www.uniprot.org/uniprot/M5VXU2","M5VXU2")</f>
        <v>M5VXU2</v>
      </c>
      <c r="D11471" s="2" t="s">
        <v>9693</v>
      </c>
      <c r="E11471" s="3">
        <v>3.0800000000000001E-57</v>
      </c>
      <c r="F11471" s="2">
        <v>487</v>
      </c>
      <c r="G11471" s="2">
        <v>80</v>
      </c>
      <c r="H11471" s="2">
        <v>111</v>
      </c>
      <c r="I11471" s="2">
        <v>236</v>
      </c>
      <c r="J11471" s="2">
        <v>568</v>
      </c>
      <c r="K11471" s="2">
        <v>1</v>
      </c>
      <c r="L11471" s="2">
        <v>110</v>
      </c>
    </row>
    <row r="11472" spans="1:12" x14ac:dyDescent="0.25">
      <c r="A11472" s="4" t="str">
        <f>HYPERLINK("http://www.rosaceae.org/Prunus/Prunus_persica/p.persica_gdr_reftransV1_0000259","p.persica_gdr_reftransV1_0000259")</f>
        <v>p.persica_gdr_reftransV1_0000259</v>
      </c>
      <c r="B11472" s="2">
        <v>426</v>
      </c>
      <c r="C11472" s="4" t="str">
        <f>HYPERLINK("http://www.uniprot.org/uniprot/M5VP81","M5VP81")</f>
        <v>M5VP81</v>
      </c>
      <c r="D11472" s="2" t="s">
        <v>8112</v>
      </c>
      <c r="E11472" s="3">
        <v>2.56E-76</v>
      </c>
      <c r="F11472" s="2">
        <v>632</v>
      </c>
      <c r="G11472" s="2">
        <v>100</v>
      </c>
      <c r="H11472" s="2">
        <v>116</v>
      </c>
      <c r="I11472" s="2">
        <v>3</v>
      </c>
      <c r="J11472" s="2">
        <v>350</v>
      </c>
      <c r="K11472" s="2">
        <v>269</v>
      </c>
      <c r="L11472" s="2">
        <v>384</v>
      </c>
    </row>
    <row r="11473" spans="1:12" x14ac:dyDescent="0.25">
      <c r="A11473" s="4" t="str">
        <f>HYPERLINK("http://www.rosaceae.org/Prunus/Prunus_persica/p.persica_gdr_reftransV1_0000959","p.persica_gdr_reftransV1_0000959")</f>
        <v>p.persica_gdr_reftransV1_0000959</v>
      </c>
      <c r="B11473" s="2">
        <v>1783</v>
      </c>
      <c r="C11473" s="4" t="str">
        <f>HYPERLINK("http://www.uniprot.org/uniprot/G8HZH1","G8HZH1")</f>
        <v>G8HZH1</v>
      </c>
      <c r="D11473" s="2" t="s">
        <v>9694</v>
      </c>
      <c r="E11473" s="3">
        <v>2.8300000000000001E-146</v>
      </c>
      <c r="F11473" s="2">
        <v>1118</v>
      </c>
      <c r="G11473" s="2">
        <v>100</v>
      </c>
      <c r="H11473" s="2">
        <v>241</v>
      </c>
      <c r="I11473" s="2">
        <v>155</v>
      </c>
      <c r="J11473" s="2">
        <v>877</v>
      </c>
      <c r="K11473" s="2">
        <v>1</v>
      </c>
      <c r="L11473" s="2">
        <v>241</v>
      </c>
    </row>
    <row r="11474" spans="1:12" x14ac:dyDescent="0.25">
      <c r="A11474" s="4" t="str">
        <f>HYPERLINK("http://www.rosaceae.org/Prunus/Prunus_persica/p.persica_gdr_reftransV1_0001659","p.persica_gdr_reftransV1_0001659")</f>
        <v>p.persica_gdr_reftransV1_0001659</v>
      </c>
      <c r="B11474" s="2">
        <v>597</v>
      </c>
      <c r="C11474" s="4" t="str">
        <f>HYPERLINK("http://www.uniprot.org/uniprot/A0A059BLB2","A0A059BLB2")</f>
        <v>A0A059BLB2</v>
      </c>
      <c r="D11474" s="2" t="s">
        <v>9695</v>
      </c>
      <c r="E11474" s="3">
        <v>5.9999999999999996E-63</v>
      </c>
      <c r="F11474" s="2">
        <v>519</v>
      </c>
      <c r="G11474" s="2">
        <v>83</v>
      </c>
      <c r="H11474" s="2">
        <v>144</v>
      </c>
      <c r="I11474" s="2">
        <v>5</v>
      </c>
      <c r="J11474" s="2">
        <v>394</v>
      </c>
      <c r="K11474" s="2">
        <v>35</v>
      </c>
      <c r="L11474" s="2">
        <v>177</v>
      </c>
    </row>
    <row r="11475" spans="1:12" x14ac:dyDescent="0.25">
      <c r="A11475" s="4" t="str">
        <f>HYPERLINK("http://www.rosaceae.org/Prunus/Prunus_persica/p.persica_gdr_reftransV1_0002009","p.persica_gdr_reftransV1_0002009")</f>
        <v>p.persica_gdr_reftransV1_0002009</v>
      </c>
      <c r="B11475" s="2">
        <v>336</v>
      </c>
      <c r="C11475" s="4" t="str">
        <f>HYPERLINK("http://www.uniprot.org/uniprot/M5XIP9","M5XIP9")</f>
        <v>M5XIP9</v>
      </c>
      <c r="D11475" s="2" t="s">
        <v>3436</v>
      </c>
      <c r="E11475" s="3">
        <v>2.5000000000000001E-57</v>
      </c>
      <c r="F11475" s="2">
        <v>507</v>
      </c>
      <c r="G11475" s="2">
        <v>100</v>
      </c>
      <c r="H11475" s="2">
        <v>112</v>
      </c>
      <c r="I11475" s="2">
        <v>1</v>
      </c>
      <c r="J11475" s="2">
        <v>336</v>
      </c>
      <c r="K11475" s="2">
        <v>26</v>
      </c>
      <c r="L11475" s="2">
        <v>137</v>
      </c>
    </row>
    <row r="11476" spans="1:12" x14ac:dyDescent="0.25">
      <c r="A11476" s="4" t="str">
        <f>HYPERLINK("http://www.rosaceae.org/Prunus/Prunus_persica/p.persica_gdr_reftransV1_0002359","p.persica_gdr_reftransV1_0002359")</f>
        <v>p.persica_gdr_reftransV1_0002359</v>
      </c>
      <c r="B11476" s="2">
        <v>1818</v>
      </c>
      <c r="C11476" s="4" t="str">
        <f>HYPERLINK("http://www.uniprot.org/uniprot/M5XES2","M5XES2")</f>
        <v>M5XES2</v>
      </c>
      <c r="D11476" s="2" t="s">
        <v>8956</v>
      </c>
      <c r="E11476" s="3">
        <v>8.1400000000000002E-85</v>
      </c>
      <c r="F11476" s="2">
        <v>714</v>
      </c>
      <c r="G11476" s="2">
        <v>100</v>
      </c>
      <c r="H11476" s="2">
        <v>320</v>
      </c>
      <c r="I11476" s="2">
        <v>473</v>
      </c>
      <c r="J11476" s="2">
        <v>1432</v>
      </c>
      <c r="K11476" s="2">
        <v>1</v>
      </c>
      <c r="L11476" s="2">
        <v>320</v>
      </c>
    </row>
    <row r="11477" spans="1:12" x14ac:dyDescent="0.25">
      <c r="A11477" s="4" t="str">
        <f>HYPERLINK("http://www.rosaceae.org/Prunus/Prunus_persica/p.persica_gdr_reftransV1_0003409","p.persica_gdr_reftransV1_0003409")</f>
        <v>p.persica_gdr_reftransV1_0003409</v>
      </c>
      <c r="B11477" s="2">
        <v>2524</v>
      </c>
      <c r="C11477" s="4" t="str">
        <f>HYPERLINK("http://www.uniprot.org/uniprot/M5WSK6","M5WSK6")</f>
        <v>M5WSK6</v>
      </c>
      <c r="D11477" s="2" t="s">
        <v>1060</v>
      </c>
      <c r="E11477" s="3">
        <v>0</v>
      </c>
      <c r="F11477" s="2">
        <v>1241</v>
      </c>
      <c r="G11477" s="2">
        <v>100</v>
      </c>
      <c r="H11477" s="2">
        <v>228</v>
      </c>
      <c r="I11477" s="2">
        <v>1041</v>
      </c>
      <c r="J11477" s="2">
        <v>1724</v>
      </c>
      <c r="K11477" s="2">
        <v>186</v>
      </c>
      <c r="L11477" s="2">
        <v>413</v>
      </c>
    </row>
    <row r="11478" spans="1:12" x14ac:dyDescent="0.25">
      <c r="A11478" s="4" t="str">
        <f>HYPERLINK("http://www.rosaceae.org/Prunus/Prunus_persica/p.persica_gdr_reftransV1_0003759","p.persica_gdr_reftransV1_0003759")</f>
        <v>p.persica_gdr_reftransV1_0003759</v>
      </c>
      <c r="B11478" s="2">
        <v>1470</v>
      </c>
      <c r="C11478" s="4" t="str">
        <f>HYPERLINK("http://www.uniprot.org/uniprot/M5VY91","M5VY91")</f>
        <v>M5VY91</v>
      </c>
      <c r="D11478" s="2" t="s">
        <v>407</v>
      </c>
      <c r="E11478" s="3">
        <v>0</v>
      </c>
      <c r="F11478" s="2">
        <v>2176</v>
      </c>
      <c r="G11478" s="2">
        <v>100</v>
      </c>
      <c r="H11478" s="2">
        <v>443</v>
      </c>
      <c r="I11478" s="2">
        <v>71</v>
      </c>
      <c r="J11478" s="2">
        <v>1399</v>
      </c>
      <c r="K11478" s="2">
        <v>1</v>
      </c>
      <c r="L11478" s="2">
        <v>443</v>
      </c>
    </row>
    <row r="11479" spans="1:12" x14ac:dyDescent="0.25">
      <c r="A11479" s="4" t="str">
        <f>HYPERLINK("http://www.rosaceae.org/Prunus/Prunus_persica/p.persica_gdr_reftransV1_0004809","p.persica_gdr_reftransV1_0004809")</f>
        <v>p.persica_gdr_reftransV1_0004809</v>
      </c>
      <c r="B11479" s="2">
        <v>1045</v>
      </c>
      <c r="C11479" s="4" t="str">
        <f>HYPERLINK("http://www.uniprot.org/uniprot/M5X0X5","M5X0X5")</f>
        <v>M5X0X5</v>
      </c>
      <c r="D11479" s="2" t="s">
        <v>9696</v>
      </c>
      <c r="E11479" s="3">
        <v>4.2999999999999998E-152</v>
      </c>
      <c r="F11479" s="2">
        <v>1128</v>
      </c>
      <c r="G11479" s="2">
        <v>100</v>
      </c>
      <c r="H11479" s="2">
        <v>213</v>
      </c>
      <c r="I11479" s="2">
        <v>216</v>
      </c>
      <c r="J11479" s="2">
        <v>854</v>
      </c>
      <c r="K11479" s="2">
        <v>12</v>
      </c>
      <c r="L11479" s="2">
        <v>224</v>
      </c>
    </row>
    <row r="11480" spans="1:12" x14ac:dyDescent="0.25">
      <c r="A11480" s="4" t="str">
        <f>HYPERLINK("http://www.rosaceae.org/Prunus/Prunus_persica/p.persica_gdr_reftransV1_0005159","p.persica_gdr_reftransV1_0005159")</f>
        <v>p.persica_gdr_reftransV1_0005159</v>
      </c>
      <c r="B11480" s="2">
        <v>1831</v>
      </c>
      <c r="C11480" s="4" t="str">
        <f>HYPERLINK("http://www.uniprot.org/uniprot/M5W985","M5W985")</f>
        <v>M5W985</v>
      </c>
      <c r="D11480" s="2" t="s">
        <v>9697</v>
      </c>
      <c r="E11480" s="3">
        <v>0</v>
      </c>
      <c r="F11480" s="2">
        <v>2150</v>
      </c>
      <c r="G11480" s="2">
        <v>100</v>
      </c>
      <c r="H11480" s="2">
        <v>412</v>
      </c>
      <c r="I11480" s="2">
        <v>239</v>
      </c>
      <c r="J11480" s="2">
        <v>1474</v>
      </c>
      <c r="K11480" s="2">
        <v>1</v>
      </c>
      <c r="L11480" s="2">
        <v>412</v>
      </c>
    </row>
    <row r="11481" spans="1:12" x14ac:dyDescent="0.25">
      <c r="A11481" s="4" t="str">
        <f>HYPERLINK("http://www.rosaceae.org/Prunus/Prunus_persica/p.persica_gdr_reftransV1_0005509","p.persica_gdr_reftransV1_0005509")</f>
        <v>p.persica_gdr_reftransV1_0005509</v>
      </c>
      <c r="B11481" s="2">
        <v>2326</v>
      </c>
      <c r="C11481" s="4" t="str">
        <f>HYPERLINK("http://www.uniprot.org/uniprot/M5XAN7","M5XAN7")</f>
        <v>M5XAN7</v>
      </c>
      <c r="D11481" s="2" t="s">
        <v>671</v>
      </c>
      <c r="E11481" s="3">
        <v>0</v>
      </c>
      <c r="F11481" s="2">
        <v>2753</v>
      </c>
      <c r="G11481" s="2">
        <v>99</v>
      </c>
      <c r="H11481" s="2">
        <v>530</v>
      </c>
      <c r="I11481" s="2">
        <v>334</v>
      </c>
      <c r="J11481" s="2">
        <v>1923</v>
      </c>
      <c r="K11481" s="2">
        <v>1</v>
      </c>
      <c r="L11481" s="2">
        <v>530</v>
      </c>
    </row>
    <row r="11482" spans="1:12" x14ac:dyDescent="0.25">
      <c r="A11482" s="4" t="str">
        <f>HYPERLINK("http://www.rosaceae.org/Prunus/Prunus_persica/p.persica_gdr_reftransV1_0005859","p.persica_gdr_reftransV1_0005859")</f>
        <v>p.persica_gdr_reftransV1_0005859</v>
      </c>
      <c r="B11482" s="2">
        <v>1184</v>
      </c>
      <c r="C11482" s="4" t="str">
        <f>HYPERLINK("http://www.uniprot.org/uniprot/M5XK63","M5XK63")</f>
        <v>M5XK63</v>
      </c>
      <c r="D11482" s="2" t="s">
        <v>9698</v>
      </c>
      <c r="E11482" s="3">
        <v>0</v>
      </c>
      <c r="F11482" s="2">
        <v>1727</v>
      </c>
      <c r="G11482" s="2">
        <v>98</v>
      </c>
      <c r="H11482" s="2">
        <v>353</v>
      </c>
      <c r="I11482" s="2">
        <v>7</v>
      </c>
      <c r="J11482" s="2">
        <v>1065</v>
      </c>
      <c r="K11482" s="2">
        <v>1</v>
      </c>
      <c r="L11482" s="2">
        <v>350</v>
      </c>
    </row>
    <row r="11483" spans="1:12" x14ac:dyDescent="0.25">
      <c r="A11483" s="4" t="str">
        <f>HYPERLINK("http://www.rosaceae.org/Prunus/Prunus_persica/p.persica_gdr_reftransV1_0006209","p.persica_gdr_reftransV1_0006209")</f>
        <v>p.persica_gdr_reftransV1_0006209</v>
      </c>
      <c r="B11483" s="2">
        <v>2181</v>
      </c>
      <c r="C11483" s="4" t="str">
        <f>HYPERLINK("http://www.uniprot.org/uniprot/M5WCE8","M5WCE8")</f>
        <v>M5WCE8</v>
      </c>
      <c r="D11483" s="2" t="s">
        <v>9699</v>
      </c>
      <c r="E11483" s="3">
        <v>0</v>
      </c>
      <c r="F11483" s="2">
        <v>1655</v>
      </c>
      <c r="G11483" s="2">
        <v>96</v>
      </c>
      <c r="H11483" s="2">
        <v>454</v>
      </c>
      <c r="I11483" s="2">
        <v>326</v>
      </c>
      <c r="J11483" s="2">
        <v>1687</v>
      </c>
      <c r="K11483" s="2">
        <v>1</v>
      </c>
      <c r="L11483" s="2">
        <v>437</v>
      </c>
    </row>
    <row r="11484" spans="1:12" x14ac:dyDescent="0.25">
      <c r="A11484" s="4" t="str">
        <f>HYPERLINK("http://www.rosaceae.org/Prunus/Prunus_persica/p.persica_gdr_reftransV1_0006909","p.persica_gdr_reftransV1_0006909")</f>
        <v>p.persica_gdr_reftransV1_0006909</v>
      </c>
      <c r="B11484" s="2">
        <v>1477</v>
      </c>
      <c r="C11484" s="4" t="str">
        <f>HYPERLINK("http://www.uniprot.org/uniprot/M5XK38","M5XK38")</f>
        <v>M5XK38</v>
      </c>
      <c r="D11484" s="2" t="s">
        <v>9700</v>
      </c>
      <c r="E11484" s="3">
        <v>3.1900000000000003E-101</v>
      </c>
      <c r="F11484" s="2">
        <v>808</v>
      </c>
      <c r="G11484" s="2">
        <v>90</v>
      </c>
      <c r="H11484" s="2">
        <v>269</v>
      </c>
      <c r="I11484" s="2">
        <v>515</v>
      </c>
      <c r="J11484" s="2">
        <v>1321</v>
      </c>
      <c r="K11484" s="2">
        <v>1</v>
      </c>
      <c r="L11484" s="2">
        <v>248</v>
      </c>
    </row>
    <row r="11485" spans="1:12" x14ac:dyDescent="0.25">
      <c r="A11485" s="4" t="str">
        <f>HYPERLINK("http://www.rosaceae.org/Prunus/Prunus_persica/p.persica_gdr_reftransV1_0007259","p.persica_gdr_reftransV1_0007259")</f>
        <v>p.persica_gdr_reftransV1_0007259</v>
      </c>
      <c r="B11485" s="2">
        <v>2672</v>
      </c>
      <c r="C11485" s="4" t="str">
        <f>HYPERLINK("http://www.uniprot.org/uniprot/M5WCV2","M5WCV2")</f>
        <v>M5WCV2</v>
      </c>
      <c r="D11485" s="2" t="s">
        <v>9701</v>
      </c>
      <c r="E11485" s="3">
        <v>0</v>
      </c>
      <c r="F11485" s="2">
        <v>3100</v>
      </c>
      <c r="G11485" s="2">
        <v>100</v>
      </c>
      <c r="H11485" s="2">
        <v>612</v>
      </c>
      <c r="I11485" s="2">
        <v>779</v>
      </c>
      <c r="J11485" s="2">
        <v>2614</v>
      </c>
      <c r="K11485" s="2">
        <v>175</v>
      </c>
      <c r="L11485" s="2">
        <v>786</v>
      </c>
    </row>
    <row r="11486" spans="1:12" x14ac:dyDescent="0.25">
      <c r="A11486" s="4" t="str">
        <f>HYPERLINK("http://www.rosaceae.org/Prunus/Prunus_persica/p.persica_gdr_reftransV1_0007959","p.persica_gdr_reftransV1_0007959")</f>
        <v>p.persica_gdr_reftransV1_0007959</v>
      </c>
      <c r="B11486" s="2">
        <v>1623</v>
      </c>
      <c r="C11486" s="4" t="str">
        <f>HYPERLINK("http://www.uniprot.org/uniprot/M5WCG2","M5WCG2")</f>
        <v>M5WCG2</v>
      </c>
      <c r="D11486" s="2" t="s">
        <v>9702</v>
      </c>
      <c r="E11486" s="3">
        <v>1.4100000000000001E-144</v>
      </c>
      <c r="F11486" s="2">
        <v>1102</v>
      </c>
      <c r="G11486" s="2">
        <v>100</v>
      </c>
      <c r="H11486" s="2">
        <v>255</v>
      </c>
      <c r="I11486" s="2">
        <v>578</v>
      </c>
      <c r="J11486" s="2">
        <v>1342</v>
      </c>
      <c r="K11486" s="2">
        <v>1</v>
      </c>
      <c r="L11486" s="2">
        <v>255</v>
      </c>
    </row>
    <row r="11487" spans="1:12" x14ac:dyDescent="0.25">
      <c r="A11487" s="4" t="str">
        <f>HYPERLINK("http://www.rosaceae.org/Prunus/Prunus_persica/p.persica_gdr_reftransV1_0008309","p.persica_gdr_reftransV1_0008309")</f>
        <v>p.persica_gdr_reftransV1_0008309</v>
      </c>
      <c r="B11487" s="2">
        <v>962</v>
      </c>
      <c r="C11487" s="4" t="str">
        <f>HYPERLINK("http://www.uniprot.org/uniprot/M5VRZ5","M5VRZ5")</f>
        <v>M5VRZ5</v>
      </c>
      <c r="D11487" s="2" t="s">
        <v>9168</v>
      </c>
      <c r="E11487" s="3">
        <v>5.04E-139</v>
      </c>
      <c r="F11487" s="2">
        <v>1037</v>
      </c>
      <c r="G11487" s="2">
        <v>100</v>
      </c>
      <c r="H11487" s="2">
        <v>198</v>
      </c>
      <c r="I11487" s="2">
        <v>233</v>
      </c>
      <c r="J11487" s="2">
        <v>826</v>
      </c>
      <c r="K11487" s="2">
        <v>5</v>
      </c>
      <c r="L11487" s="2">
        <v>202</v>
      </c>
    </row>
    <row r="11488" spans="1:12" x14ac:dyDescent="0.25">
      <c r="A11488" s="4" t="str">
        <f>HYPERLINK("http://www.rosaceae.org/Prunus/Prunus_persica/p.persica_gdr_reftransV1_0008659","p.persica_gdr_reftransV1_0008659")</f>
        <v>p.persica_gdr_reftransV1_0008659</v>
      </c>
      <c r="B11488" s="2">
        <v>1533</v>
      </c>
      <c r="C11488" s="4" t="str">
        <f>HYPERLINK("http://www.uniprot.org/uniprot/M5WHR2","M5WHR2")</f>
        <v>M5WHR2</v>
      </c>
      <c r="D11488" s="2" t="s">
        <v>2064</v>
      </c>
      <c r="E11488" s="3">
        <v>0</v>
      </c>
      <c r="F11488" s="2">
        <v>2293</v>
      </c>
      <c r="G11488" s="2">
        <v>100</v>
      </c>
      <c r="H11488" s="2">
        <v>487</v>
      </c>
      <c r="I11488" s="2">
        <v>27</v>
      </c>
      <c r="J11488" s="2">
        <v>1487</v>
      </c>
      <c r="K11488" s="2">
        <v>1</v>
      </c>
      <c r="L11488" s="2">
        <v>487</v>
      </c>
    </row>
    <row r="11489" spans="1:12" x14ac:dyDescent="0.25">
      <c r="A11489" s="4" t="str">
        <f>HYPERLINK("http://www.rosaceae.org/Prunus/Prunus_persica/p.persica_gdr_reftransV1_0009009","p.persica_gdr_reftransV1_0009009")</f>
        <v>p.persica_gdr_reftransV1_0009009</v>
      </c>
      <c r="B11489" s="2">
        <v>1141</v>
      </c>
      <c r="C11489" s="4" t="str">
        <f>HYPERLINK("http://www.uniprot.org/uniprot/M5XIY4","M5XIY4")</f>
        <v>M5XIY4</v>
      </c>
      <c r="D11489" s="2" t="s">
        <v>9703</v>
      </c>
      <c r="E11489" s="3">
        <v>0</v>
      </c>
      <c r="F11489" s="2">
        <v>1459</v>
      </c>
      <c r="G11489" s="2">
        <v>100</v>
      </c>
      <c r="H11489" s="2">
        <v>295</v>
      </c>
      <c r="I11489" s="2">
        <v>133</v>
      </c>
      <c r="J11489" s="2">
        <v>1017</v>
      </c>
      <c r="K11489" s="2">
        <v>1</v>
      </c>
      <c r="L11489" s="2">
        <v>295</v>
      </c>
    </row>
    <row r="11490" spans="1:12" x14ac:dyDescent="0.25">
      <c r="A11490" s="4" t="str">
        <f>HYPERLINK("http://www.rosaceae.org/Prunus/Prunus_persica/p.persica_gdr_reftransV1_0009359","p.persica_gdr_reftransV1_0009359")</f>
        <v>p.persica_gdr_reftransV1_0009359</v>
      </c>
      <c r="B11490" s="2">
        <v>5606</v>
      </c>
      <c r="C11490" s="4" t="str">
        <f>HYPERLINK("http://www.uniprot.org/uniprot/M5X3P3","M5X3P3")</f>
        <v>M5X3P3</v>
      </c>
      <c r="D11490" s="2" t="s">
        <v>9704</v>
      </c>
      <c r="E11490" s="3">
        <v>0</v>
      </c>
      <c r="F11490" s="2">
        <v>3160</v>
      </c>
      <c r="G11490" s="2">
        <v>100</v>
      </c>
      <c r="H11490" s="2">
        <v>804</v>
      </c>
      <c r="I11490" s="2">
        <v>3108</v>
      </c>
      <c r="J11490" s="2">
        <v>5519</v>
      </c>
      <c r="K11490" s="2">
        <v>1</v>
      </c>
      <c r="L11490" s="2">
        <v>804</v>
      </c>
    </row>
    <row r="11491" spans="1:12" x14ac:dyDescent="0.25">
      <c r="A11491" s="4" t="str">
        <f>HYPERLINK("http://www.rosaceae.org/Prunus/Prunus_persica/p.persica_gdr_reftransV1_0010059","p.persica_gdr_reftransV1_0010059")</f>
        <v>p.persica_gdr_reftransV1_0010059</v>
      </c>
      <c r="B11491" s="2">
        <v>1530</v>
      </c>
      <c r="C11491" s="4" t="str">
        <f>HYPERLINK("http://www.uniprot.org/uniprot/M5WHF3","M5WHF3")</f>
        <v>M5WHF3</v>
      </c>
      <c r="D11491" s="2" t="s">
        <v>9705</v>
      </c>
      <c r="E11491" s="3">
        <v>0</v>
      </c>
      <c r="F11491" s="2">
        <v>1799</v>
      </c>
      <c r="G11491" s="2">
        <v>100</v>
      </c>
      <c r="H11491" s="2">
        <v>350</v>
      </c>
      <c r="I11491" s="2">
        <v>243</v>
      </c>
      <c r="J11491" s="2">
        <v>1292</v>
      </c>
      <c r="K11491" s="2">
        <v>1</v>
      </c>
      <c r="L11491" s="2">
        <v>350</v>
      </c>
    </row>
    <row r="11492" spans="1:12" x14ac:dyDescent="0.25">
      <c r="A11492" s="4" t="str">
        <f>HYPERLINK("http://www.rosaceae.org/Prunus/Prunus_persica/p.persica_gdr_reftransV1_0010409","p.persica_gdr_reftransV1_0010409")</f>
        <v>p.persica_gdr_reftransV1_0010409</v>
      </c>
      <c r="B11492" s="2">
        <v>1955</v>
      </c>
      <c r="C11492" s="4" t="str">
        <f>HYPERLINK("http://www.uniprot.org/uniprot/W9S5W5","W9S5W5")</f>
        <v>W9S5W5</v>
      </c>
      <c r="D11492" s="2" t="s">
        <v>9706</v>
      </c>
      <c r="E11492" s="3">
        <v>0</v>
      </c>
      <c r="F11492" s="2">
        <v>1880</v>
      </c>
      <c r="G11492" s="2">
        <v>81</v>
      </c>
      <c r="H11492" s="2">
        <v>447</v>
      </c>
      <c r="I11492" s="2">
        <v>565</v>
      </c>
      <c r="J11492" s="2">
        <v>1905</v>
      </c>
      <c r="K11492" s="2">
        <v>1</v>
      </c>
      <c r="L11492" s="2">
        <v>447</v>
      </c>
    </row>
    <row r="11493" spans="1:12" x14ac:dyDescent="0.25">
      <c r="A11493" s="4" t="str">
        <f>HYPERLINK("http://www.rosaceae.org/Prunus/Prunus_persica/p.persica_gdr_reftransV1_0010759","p.persica_gdr_reftransV1_0010759")</f>
        <v>p.persica_gdr_reftransV1_0010759</v>
      </c>
      <c r="B11493" s="2">
        <v>1264</v>
      </c>
      <c r="C11493" s="4" t="str">
        <f>HYPERLINK("http://www.uniprot.org/uniprot/M5XFD3","M5XFD3")</f>
        <v>M5XFD3</v>
      </c>
      <c r="D11493" s="2" t="s">
        <v>9707</v>
      </c>
      <c r="E11493" s="3">
        <v>0</v>
      </c>
      <c r="F11493" s="2">
        <v>1680</v>
      </c>
      <c r="G11493" s="2">
        <v>100</v>
      </c>
      <c r="H11493" s="2">
        <v>313</v>
      </c>
      <c r="I11493" s="2">
        <v>55</v>
      </c>
      <c r="J11493" s="2">
        <v>993</v>
      </c>
      <c r="K11493" s="2">
        <v>1</v>
      </c>
      <c r="L11493" s="2">
        <v>313</v>
      </c>
    </row>
    <row r="11494" spans="1:12" x14ac:dyDescent="0.25">
      <c r="A11494" s="4" t="str">
        <f>HYPERLINK("http://www.rosaceae.org/Prunus/Prunus_persica/p.persica_gdr_reftransV1_0011109","p.persica_gdr_reftransV1_0011109")</f>
        <v>p.persica_gdr_reftransV1_0011109</v>
      </c>
      <c r="B11494" s="2">
        <v>1995</v>
      </c>
      <c r="C11494" s="4" t="str">
        <f>HYPERLINK("http://www.uniprot.org/uniprot/M5XDZ5","M5XDZ5")</f>
        <v>M5XDZ5</v>
      </c>
      <c r="D11494" s="2" t="s">
        <v>9708</v>
      </c>
      <c r="E11494" s="3">
        <v>0</v>
      </c>
      <c r="F11494" s="2">
        <v>2571</v>
      </c>
      <c r="G11494" s="2">
        <v>100</v>
      </c>
      <c r="H11494" s="2">
        <v>516</v>
      </c>
      <c r="I11494" s="2">
        <v>19</v>
      </c>
      <c r="J11494" s="2">
        <v>1566</v>
      </c>
      <c r="K11494" s="2">
        <v>1</v>
      </c>
      <c r="L11494" s="2">
        <v>516</v>
      </c>
    </row>
    <row r="11495" spans="1:12" x14ac:dyDescent="0.25">
      <c r="A11495" s="4" t="str">
        <f>HYPERLINK("http://www.rosaceae.org/Prunus/Prunus_persica/p.persica_gdr_reftransV1_0011809","p.persica_gdr_reftransV1_0011809")</f>
        <v>p.persica_gdr_reftransV1_0011809</v>
      </c>
      <c r="B11495" s="2">
        <v>741</v>
      </c>
      <c r="C11495" s="4" t="str">
        <f>HYPERLINK("http://www.uniprot.org/uniprot/M5WHI1","M5WHI1")</f>
        <v>M5WHI1</v>
      </c>
      <c r="D11495" s="2" t="s">
        <v>9709</v>
      </c>
      <c r="E11495" s="3">
        <v>3.53E-28</v>
      </c>
      <c r="F11495" s="2">
        <v>284</v>
      </c>
      <c r="G11495" s="2">
        <v>100</v>
      </c>
      <c r="H11495" s="2">
        <v>86</v>
      </c>
      <c r="I11495" s="2">
        <v>336</v>
      </c>
      <c r="J11495" s="2">
        <v>593</v>
      </c>
      <c r="K11495" s="2">
        <v>1</v>
      </c>
      <c r="L11495" s="2">
        <v>86</v>
      </c>
    </row>
    <row r="11496" spans="1:12" x14ac:dyDescent="0.25">
      <c r="A11496" s="4" t="str">
        <f>HYPERLINK("http://www.rosaceae.org/Prunus/Prunus_persica/p.persica_gdr_reftransV1_0012509","p.persica_gdr_reftransV1_0012509")</f>
        <v>p.persica_gdr_reftransV1_0012509</v>
      </c>
      <c r="B11496" s="2">
        <v>1072</v>
      </c>
      <c r="C11496" s="4" t="str">
        <f>HYPERLINK("http://www.uniprot.org/uniprot/M5WWI3","M5WWI3")</f>
        <v>M5WWI3</v>
      </c>
      <c r="D11496" s="2" t="s">
        <v>9710</v>
      </c>
      <c r="E11496" s="3">
        <v>3.9700000000000002E-125</v>
      </c>
      <c r="F11496" s="2">
        <v>952</v>
      </c>
      <c r="G11496" s="2">
        <v>100</v>
      </c>
      <c r="H11496" s="2">
        <v>197</v>
      </c>
      <c r="I11496" s="2">
        <v>381</v>
      </c>
      <c r="J11496" s="2">
        <v>971</v>
      </c>
      <c r="K11496" s="2">
        <v>17</v>
      </c>
      <c r="L11496" s="2">
        <v>213</v>
      </c>
    </row>
    <row r="11497" spans="1:12" x14ac:dyDescent="0.25">
      <c r="A11497" s="4" t="str">
        <f>HYPERLINK("http://www.rosaceae.org/Prunus/Prunus_persica/p.persica_gdr_reftransV1_0013209","p.persica_gdr_reftransV1_0013209")</f>
        <v>p.persica_gdr_reftransV1_0013209</v>
      </c>
      <c r="B11497" s="2">
        <v>1108</v>
      </c>
      <c r="C11497" s="4" t="str">
        <f>HYPERLINK("http://www.uniprot.org/uniprot/M5VWV7","M5VWV7")</f>
        <v>M5VWV7</v>
      </c>
      <c r="D11497" s="2" t="s">
        <v>9711</v>
      </c>
      <c r="E11497" s="3">
        <v>0</v>
      </c>
      <c r="F11497" s="2">
        <v>1449</v>
      </c>
      <c r="G11497" s="2">
        <v>100</v>
      </c>
      <c r="H11497" s="2">
        <v>273</v>
      </c>
      <c r="I11497" s="2">
        <v>203</v>
      </c>
      <c r="J11497" s="2">
        <v>1021</v>
      </c>
      <c r="K11497" s="2">
        <v>1</v>
      </c>
      <c r="L11497" s="2">
        <v>273</v>
      </c>
    </row>
    <row r="11498" spans="1:12" x14ac:dyDescent="0.25">
      <c r="A11498" s="4" t="str">
        <f>HYPERLINK("http://www.rosaceae.org/Prunus/Prunus_persica/p.persica_gdr_reftransV1_0013559","p.persica_gdr_reftransV1_0013559")</f>
        <v>p.persica_gdr_reftransV1_0013559</v>
      </c>
      <c r="B11498" s="2">
        <v>3135</v>
      </c>
      <c r="C11498" s="4" t="str">
        <f>HYPERLINK("http://www.uniprot.org/uniprot/M5XY47","M5XY47")</f>
        <v>M5XY47</v>
      </c>
      <c r="D11498" s="2" t="s">
        <v>9712</v>
      </c>
      <c r="E11498" s="3">
        <v>0</v>
      </c>
      <c r="F11498" s="2">
        <v>2241</v>
      </c>
      <c r="G11498" s="2">
        <v>100</v>
      </c>
      <c r="H11498" s="2">
        <v>427</v>
      </c>
      <c r="I11498" s="2">
        <v>301</v>
      </c>
      <c r="J11498" s="2">
        <v>1581</v>
      </c>
      <c r="K11498" s="2">
        <v>257</v>
      </c>
      <c r="L11498" s="2">
        <v>683</v>
      </c>
    </row>
    <row r="11499" spans="1:12" x14ac:dyDescent="0.25">
      <c r="A11499" s="4" t="str">
        <f>HYPERLINK("http://www.rosaceae.org/Prunus/Prunus_persica/p.persica_gdr_reftransV1_0013909","p.persica_gdr_reftransV1_0013909")</f>
        <v>p.persica_gdr_reftransV1_0013909</v>
      </c>
      <c r="B11499" s="2">
        <v>1668</v>
      </c>
      <c r="C11499" s="4" t="str">
        <f>HYPERLINK("http://www.uniprot.org/uniprot/M5XLV4","M5XLV4")</f>
        <v>M5XLV4</v>
      </c>
      <c r="D11499" s="2" t="s">
        <v>9713</v>
      </c>
      <c r="E11499" s="3">
        <v>3.0100000000000001E-176</v>
      </c>
      <c r="F11499" s="2">
        <v>1313</v>
      </c>
      <c r="G11499" s="2">
        <v>100</v>
      </c>
      <c r="H11499" s="2">
        <v>253</v>
      </c>
      <c r="I11499" s="2">
        <v>161</v>
      </c>
      <c r="J11499" s="2">
        <v>919</v>
      </c>
      <c r="K11499" s="2">
        <v>8</v>
      </c>
      <c r="L11499" s="2">
        <v>260</v>
      </c>
    </row>
    <row r="11500" spans="1:12" x14ac:dyDescent="0.25">
      <c r="A11500" s="4" t="str">
        <f>HYPERLINK("http://www.rosaceae.org/Prunus/Prunus_persica/p.persica_gdr_reftransV1_0014259","p.persica_gdr_reftransV1_0014259")</f>
        <v>p.persica_gdr_reftransV1_0014259</v>
      </c>
      <c r="B11500" s="2">
        <v>2275</v>
      </c>
      <c r="C11500" s="4" t="str">
        <f>HYPERLINK("http://www.uniprot.org/uniprot/M5XJK1","M5XJK1")</f>
        <v>M5XJK1</v>
      </c>
      <c r="D11500" s="2" t="s">
        <v>9714</v>
      </c>
      <c r="E11500" s="3">
        <v>1.83E-165</v>
      </c>
      <c r="F11500" s="2">
        <v>1258</v>
      </c>
      <c r="G11500" s="2">
        <v>100</v>
      </c>
      <c r="H11500" s="2">
        <v>235</v>
      </c>
      <c r="I11500" s="2">
        <v>337</v>
      </c>
      <c r="J11500" s="2">
        <v>1041</v>
      </c>
      <c r="K11500" s="2">
        <v>1</v>
      </c>
      <c r="L11500" s="2">
        <v>235</v>
      </c>
    </row>
    <row r="11501" spans="1:12" x14ac:dyDescent="0.25">
      <c r="A11501" s="4" t="str">
        <f>HYPERLINK("http://www.rosaceae.org/Prunus/Prunus_persica/p.persica_gdr_reftransV1_0014609","p.persica_gdr_reftransV1_0014609")</f>
        <v>p.persica_gdr_reftransV1_0014609</v>
      </c>
      <c r="B11501" s="2">
        <v>1139</v>
      </c>
      <c r="C11501" s="4" t="str">
        <f>HYPERLINK("http://www.uniprot.org/uniprot/M5WY25","M5WY25")</f>
        <v>M5WY25</v>
      </c>
      <c r="D11501" s="2" t="s">
        <v>9715</v>
      </c>
      <c r="E11501" s="3">
        <v>0</v>
      </c>
      <c r="F11501" s="2">
        <v>1467</v>
      </c>
      <c r="G11501" s="2">
        <v>100</v>
      </c>
      <c r="H11501" s="2">
        <v>301</v>
      </c>
      <c r="I11501" s="2">
        <v>139</v>
      </c>
      <c r="J11501" s="2">
        <v>1041</v>
      </c>
      <c r="K11501" s="2">
        <v>1</v>
      </c>
      <c r="L11501" s="2">
        <v>301</v>
      </c>
    </row>
    <row r="11502" spans="1:12" x14ac:dyDescent="0.25">
      <c r="A11502" s="4" t="str">
        <f>HYPERLINK("http://www.rosaceae.org/Prunus/Prunus_persica/p.persica_gdr_reftransV1_0014959","p.persica_gdr_reftransV1_0014959")</f>
        <v>p.persica_gdr_reftransV1_0014959</v>
      </c>
      <c r="B11502" s="2">
        <v>2233</v>
      </c>
      <c r="C11502" s="4" t="str">
        <f>HYPERLINK("http://www.uniprot.org/uniprot/M5X0I1","M5X0I1")</f>
        <v>M5X0I1</v>
      </c>
      <c r="D11502" s="2" t="s">
        <v>9716</v>
      </c>
      <c r="E11502" s="3">
        <v>0</v>
      </c>
      <c r="F11502" s="2">
        <v>2034</v>
      </c>
      <c r="G11502" s="2">
        <v>100</v>
      </c>
      <c r="H11502" s="2">
        <v>395</v>
      </c>
      <c r="I11502" s="2">
        <v>567</v>
      </c>
      <c r="J11502" s="2">
        <v>1751</v>
      </c>
      <c r="K11502" s="2">
        <v>1</v>
      </c>
      <c r="L11502" s="2">
        <v>395</v>
      </c>
    </row>
    <row r="11503" spans="1:12" x14ac:dyDescent="0.25">
      <c r="A11503" s="4" t="str">
        <f>HYPERLINK("http://www.rosaceae.org/Prunus/Prunus_persica/p.persica_gdr_reftransV1_0016009","p.persica_gdr_reftransV1_0016009")</f>
        <v>p.persica_gdr_reftransV1_0016009</v>
      </c>
      <c r="B11503" s="2">
        <v>2612</v>
      </c>
      <c r="C11503" s="4" t="str">
        <f>HYPERLINK("http://www.uniprot.org/uniprot/M5VL52","M5VL52")</f>
        <v>M5VL52</v>
      </c>
      <c r="D11503" s="2" t="s">
        <v>9717</v>
      </c>
      <c r="E11503" s="3">
        <v>1.5999999999999999E-147</v>
      </c>
      <c r="F11503" s="2">
        <v>1147</v>
      </c>
      <c r="G11503" s="2">
        <v>100</v>
      </c>
      <c r="H11503" s="2">
        <v>227</v>
      </c>
      <c r="I11503" s="2">
        <v>806</v>
      </c>
      <c r="J11503" s="2">
        <v>1486</v>
      </c>
      <c r="K11503" s="2">
        <v>1</v>
      </c>
      <c r="L11503" s="2">
        <v>227</v>
      </c>
    </row>
    <row r="11504" spans="1:12" x14ac:dyDescent="0.25">
      <c r="A11504" s="4" t="str">
        <f>HYPERLINK("http://www.rosaceae.org/Prunus/Prunus_persica/p.persica_gdr_reftransV1_0016709","p.persica_gdr_reftransV1_0016709")</f>
        <v>p.persica_gdr_reftransV1_0016709</v>
      </c>
      <c r="B11504" s="2">
        <v>2101</v>
      </c>
      <c r="C11504" s="4" t="str">
        <f>HYPERLINK("http://www.uniprot.org/uniprot/M5XLR9","M5XLR9")</f>
        <v>M5XLR9</v>
      </c>
      <c r="D11504" s="2" t="s">
        <v>9718</v>
      </c>
      <c r="E11504" s="3">
        <v>2.3000000000000001E-113</v>
      </c>
      <c r="F11504" s="2">
        <v>910</v>
      </c>
      <c r="G11504" s="2">
        <v>100</v>
      </c>
      <c r="H11504" s="2">
        <v>171</v>
      </c>
      <c r="I11504" s="2">
        <v>1356</v>
      </c>
      <c r="J11504" s="2">
        <v>1868</v>
      </c>
      <c r="K11504" s="2">
        <v>113</v>
      </c>
      <c r="L11504" s="2">
        <v>283</v>
      </c>
    </row>
    <row r="11505" spans="1:12" x14ac:dyDescent="0.25">
      <c r="A11505" s="4" t="str">
        <f>HYPERLINK("http://www.rosaceae.org/Prunus/Prunus_persica/p.persica_gdr_reftransV1_0017059","p.persica_gdr_reftransV1_0017059")</f>
        <v>p.persica_gdr_reftransV1_0017059</v>
      </c>
      <c r="B11505" s="2">
        <v>3583</v>
      </c>
      <c r="C11505" s="4" t="str">
        <f>HYPERLINK("http://www.uniprot.org/uniprot/M5X7A9","M5X7A9")</f>
        <v>M5X7A9</v>
      </c>
      <c r="D11505" s="2" t="s">
        <v>9719</v>
      </c>
      <c r="E11505" s="3">
        <v>0</v>
      </c>
      <c r="F11505" s="2">
        <v>2715</v>
      </c>
      <c r="G11505" s="2">
        <v>100</v>
      </c>
      <c r="H11505" s="2">
        <v>527</v>
      </c>
      <c r="I11505" s="2">
        <v>970</v>
      </c>
      <c r="J11505" s="2">
        <v>2550</v>
      </c>
      <c r="K11505" s="2">
        <v>46</v>
      </c>
      <c r="L11505" s="2">
        <v>572</v>
      </c>
    </row>
    <row r="11506" spans="1:12" x14ac:dyDescent="0.25">
      <c r="A11506" s="4" t="str">
        <f>HYPERLINK("http://www.rosaceae.org/Prunus/Prunus_persica/p.persica_gdr_reftransV1_0017409","p.persica_gdr_reftransV1_0017409")</f>
        <v>p.persica_gdr_reftransV1_0017409</v>
      </c>
      <c r="B11506" s="2">
        <v>1435</v>
      </c>
      <c r="C11506" s="4" t="str">
        <f>HYPERLINK("http://www.uniprot.org/uniprot/M5XHI6","M5XHI6")</f>
        <v>M5XHI6</v>
      </c>
      <c r="D11506" s="2" t="s">
        <v>9720</v>
      </c>
      <c r="E11506" s="3">
        <v>5.2700000000000003E-142</v>
      </c>
      <c r="F11506" s="2">
        <v>1076</v>
      </c>
      <c r="G11506" s="2">
        <v>100</v>
      </c>
      <c r="H11506" s="2">
        <v>230</v>
      </c>
      <c r="I11506" s="2">
        <v>223</v>
      </c>
      <c r="J11506" s="2">
        <v>912</v>
      </c>
      <c r="K11506" s="2">
        <v>1</v>
      </c>
      <c r="L11506" s="2">
        <v>230</v>
      </c>
    </row>
    <row r="11507" spans="1:12" x14ac:dyDescent="0.25">
      <c r="A11507" s="4" t="str">
        <f>HYPERLINK("http://www.rosaceae.org/Prunus/Prunus_persica/p.persica_gdr_reftransV1_0017759","p.persica_gdr_reftransV1_0017759")</f>
        <v>p.persica_gdr_reftransV1_0017759</v>
      </c>
      <c r="B11507" s="2">
        <v>2597</v>
      </c>
      <c r="C11507" s="4" t="str">
        <f>HYPERLINK("http://www.uniprot.org/uniprot/M5VQF0","M5VQF0")</f>
        <v>M5VQF0</v>
      </c>
      <c r="D11507" s="2" t="s">
        <v>9721</v>
      </c>
      <c r="E11507" s="3">
        <v>0</v>
      </c>
      <c r="F11507" s="2">
        <v>2059</v>
      </c>
      <c r="G11507" s="2">
        <v>100</v>
      </c>
      <c r="H11507" s="2">
        <v>557</v>
      </c>
      <c r="I11507" s="2">
        <v>301</v>
      </c>
      <c r="J11507" s="2">
        <v>1971</v>
      </c>
      <c r="K11507" s="2">
        <v>121</v>
      </c>
      <c r="L11507" s="2">
        <v>677</v>
      </c>
    </row>
    <row r="11508" spans="1:12" x14ac:dyDescent="0.25">
      <c r="A11508" s="4" t="str">
        <f>HYPERLINK("http://www.rosaceae.org/Prunus/Prunus_persica/p.persica_gdr_reftransV1_0019859","p.persica_gdr_reftransV1_0019859")</f>
        <v>p.persica_gdr_reftransV1_0019859</v>
      </c>
      <c r="B11508" s="2">
        <v>1730</v>
      </c>
      <c r="C11508" s="4" t="str">
        <f>HYPERLINK("http://www.uniprot.org/uniprot/M5WW98","M5WW98")</f>
        <v>M5WW98</v>
      </c>
      <c r="D11508" s="2" t="s">
        <v>9722</v>
      </c>
      <c r="E11508" s="3">
        <v>2.6499999999999999E-108</v>
      </c>
      <c r="F11508" s="2">
        <v>872</v>
      </c>
      <c r="G11508" s="2">
        <v>96</v>
      </c>
      <c r="H11508" s="2">
        <v>188</v>
      </c>
      <c r="I11508" s="2">
        <v>181</v>
      </c>
      <c r="J11508" s="2">
        <v>744</v>
      </c>
      <c r="K11508" s="2">
        <v>167</v>
      </c>
      <c r="L11508" s="2">
        <v>347</v>
      </c>
    </row>
    <row r="11509" spans="1:12" x14ac:dyDescent="0.25">
      <c r="A11509" s="4" t="str">
        <f>HYPERLINK("http://www.rosaceae.org/Prunus/Prunus_persica/p.persica_gdr_reftransV1_0020209","p.persica_gdr_reftransV1_0020209")</f>
        <v>p.persica_gdr_reftransV1_0020209</v>
      </c>
      <c r="B11509" s="2">
        <v>2528</v>
      </c>
      <c r="C11509" s="4" t="str">
        <f>HYPERLINK("http://www.uniprot.org/uniprot/M5XRK6","M5XRK6")</f>
        <v>M5XRK6</v>
      </c>
      <c r="D11509" s="2" t="s">
        <v>9723</v>
      </c>
      <c r="E11509" s="3">
        <v>0</v>
      </c>
      <c r="F11509" s="2">
        <v>2114</v>
      </c>
      <c r="G11509" s="2">
        <v>99</v>
      </c>
      <c r="H11509" s="2">
        <v>412</v>
      </c>
      <c r="I11509" s="2">
        <v>873</v>
      </c>
      <c r="J11509" s="2">
        <v>2108</v>
      </c>
      <c r="K11509" s="2">
        <v>29</v>
      </c>
      <c r="L11509" s="2">
        <v>440</v>
      </c>
    </row>
    <row r="11510" spans="1:12" x14ac:dyDescent="0.25">
      <c r="A11510" s="4" t="str">
        <f>HYPERLINK("http://www.rosaceae.org/Prunus/Prunus_persica/p.persica_gdr_reftransV1_0020559","p.persica_gdr_reftransV1_0020559")</f>
        <v>p.persica_gdr_reftransV1_0020559</v>
      </c>
      <c r="B11510" s="2">
        <v>1839</v>
      </c>
      <c r="C11510" s="4" t="str">
        <f>HYPERLINK("http://www.uniprot.org/uniprot/M5XEN6","M5XEN6")</f>
        <v>M5XEN6</v>
      </c>
      <c r="D11510" s="2" t="s">
        <v>9724</v>
      </c>
      <c r="E11510" s="3">
        <v>0</v>
      </c>
      <c r="F11510" s="2">
        <v>1575</v>
      </c>
      <c r="G11510" s="2">
        <v>100</v>
      </c>
      <c r="H11510" s="2">
        <v>307</v>
      </c>
      <c r="I11510" s="2">
        <v>480</v>
      </c>
      <c r="J11510" s="2">
        <v>1400</v>
      </c>
      <c r="K11510" s="2">
        <v>1</v>
      </c>
      <c r="L11510" s="2">
        <v>307</v>
      </c>
    </row>
    <row r="11511" spans="1:12" x14ac:dyDescent="0.25">
      <c r="A11511" s="4" t="str">
        <f>HYPERLINK("http://www.rosaceae.org/Prunus/Prunus_persica/p.persica_gdr_reftransV1_0020909","p.persica_gdr_reftransV1_0020909")</f>
        <v>p.persica_gdr_reftransV1_0020909</v>
      </c>
      <c r="B11511" s="2">
        <v>3015</v>
      </c>
      <c r="C11511" s="4" t="str">
        <f>HYPERLINK("http://www.uniprot.org/uniprot/M5WFW1","M5WFW1")</f>
        <v>M5WFW1</v>
      </c>
      <c r="D11511" s="2" t="s">
        <v>9725</v>
      </c>
      <c r="E11511" s="3">
        <v>0</v>
      </c>
      <c r="F11511" s="2">
        <v>1839</v>
      </c>
      <c r="G11511" s="2">
        <v>74</v>
      </c>
      <c r="H11511" s="2">
        <v>523</v>
      </c>
      <c r="I11511" s="2">
        <v>1394</v>
      </c>
      <c r="J11511" s="2">
        <v>2962</v>
      </c>
      <c r="K11511" s="2">
        <v>1</v>
      </c>
      <c r="L11511" s="2">
        <v>412</v>
      </c>
    </row>
    <row r="11512" spans="1:12" x14ac:dyDescent="0.25">
      <c r="A11512" s="4" t="str">
        <f>HYPERLINK("http://www.rosaceae.org/Prunus/Prunus_persica/p.persica_gdr_reftransV1_0021959","p.persica_gdr_reftransV1_0021959")</f>
        <v>p.persica_gdr_reftransV1_0021959</v>
      </c>
      <c r="B11512" s="2">
        <v>1246</v>
      </c>
      <c r="C11512" s="4" t="str">
        <f>HYPERLINK("http://www.uniprot.org/uniprot/M5W1Z6","M5W1Z6")</f>
        <v>M5W1Z6</v>
      </c>
      <c r="D11512" s="2" t="s">
        <v>9726</v>
      </c>
      <c r="E11512" s="3">
        <v>3.5299999999999998E-96</v>
      </c>
      <c r="F11512" s="2">
        <v>759</v>
      </c>
      <c r="G11512" s="2">
        <v>95</v>
      </c>
      <c r="H11512" s="2">
        <v>170</v>
      </c>
      <c r="I11512" s="2">
        <v>479</v>
      </c>
      <c r="J11512" s="2">
        <v>988</v>
      </c>
      <c r="K11512" s="2">
        <v>1</v>
      </c>
      <c r="L11512" s="2">
        <v>162</v>
      </c>
    </row>
    <row r="11513" spans="1:12" x14ac:dyDescent="0.25">
      <c r="A11513" s="4" t="str">
        <f>HYPERLINK("http://www.rosaceae.org/Prunus/Prunus_persica/p.persica_gdr_reftransV1_0023709","p.persica_gdr_reftransV1_0023709")</f>
        <v>p.persica_gdr_reftransV1_0023709</v>
      </c>
      <c r="B11513" s="2">
        <v>4031</v>
      </c>
      <c r="C11513" s="4" t="str">
        <f>HYPERLINK("http://www.uniprot.org/uniprot/M5WAY7","M5WAY7")</f>
        <v>M5WAY7</v>
      </c>
      <c r="D11513" s="2" t="s">
        <v>9727</v>
      </c>
      <c r="E11513" s="3">
        <v>4.5399999999999998E-151</v>
      </c>
      <c r="F11513" s="2">
        <v>1224</v>
      </c>
      <c r="G11513" s="2">
        <v>100</v>
      </c>
      <c r="H11513" s="2">
        <v>298</v>
      </c>
      <c r="I11513" s="2">
        <v>420</v>
      </c>
      <c r="J11513" s="2">
        <v>1313</v>
      </c>
      <c r="K11513" s="2">
        <v>137</v>
      </c>
      <c r="L11513" s="2">
        <v>434</v>
      </c>
    </row>
    <row r="11514" spans="1:12" x14ac:dyDescent="0.25">
      <c r="A11514" s="4" t="str">
        <f>HYPERLINK("http://www.rosaceae.org/Prunus/Prunus_persica/p.persica_gdr_reftransV1_0025459","p.persica_gdr_reftransV1_0025459")</f>
        <v>p.persica_gdr_reftransV1_0025459</v>
      </c>
      <c r="B11514" s="2">
        <v>1853</v>
      </c>
      <c r="C11514" s="4" t="str">
        <f>HYPERLINK("http://www.uniprot.org/uniprot/M5WN18","M5WN18")</f>
        <v>M5WN18</v>
      </c>
      <c r="D11514" s="2" t="s">
        <v>2481</v>
      </c>
      <c r="E11514" s="3">
        <v>5.8499999999999997E-157</v>
      </c>
      <c r="F11514" s="2">
        <v>1192</v>
      </c>
      <c r="G11514" s="2">
        <v>100</v>
      </c>
      <c r="H11514" s="2">
        <v>243</v>
      </c>
      <c r="I11514" s="2">
        <v>201</v>
      </c>
      <c r="J11514" s="2">
        <v>929</v>
      </c>
      <c r="K11514" s="2">
        <v>22</v>
      </c>
      <c r="L11514" s="2">
        <v>264</v>
      </c>
    </row>
    <row r="11515" spans="1:12" x14ac:dyDescent="0.25">
      <c r="A11515" s="4" t="str">
        <f>HYPERLINK("http://www.rosaceae.org/Prunus/Prunus_persica/p.persica_gdr_reftransV1_0025809","p.persica_gdr_reftransV1_0025809")</f>
        <v>p.persica_gdr_reftransV1_0025809</v>
      </c>
      <c r="B11515" s="2">
        <v>846</v>
      </c>
      <c r="C11515" s="4" t="str">
        <f>HYPERLINK("http://www.uniprot.org/uniprot/M5WA65","M5WA65")</f>
        <v>M5WA65</v>
      </c>
      <c r="D11515" s="2" t="s">
        <v>9728</v>
      </c>
      <c r="E11515" s="3">
        <v>4.4100000000000002E-122</v>
      </c>
      <c r="F11515" s="2">
        <v>925</v>
      </c>
      <c r="G11515" s="2">
        <v>100</v>
      </c>
      <c r="H11515" s="2">
        <v>243</v>
      </c>
      <c r="I11515" s="2">
        <v>35</v>
      </c>
      <c r="J11515" s="2">
        <v>763</v>
      </c>
      <c r="K11515" s="2">
        <v>1</v>
      </c>
      <c r="L11515" s="2">
        <v>243</v>
      </c>
    </row>
    <row r="11516" spans="1:12" x14ac:dyDescent="0.25">
      <c r="A11516" s="4" t="str">
        <f>HYPERLINK("http://www.rosaceae.org/Prunus/Prunus_persica/p.persica_gdr_reftransV1_0026159","p.persica_gdr_reftransV1_0026159")</f>
        <v>p.persica_gdr_reftransV1_0026159</v>
      </c>
      <c r="B11516" s="2">
        <v>1996</v>
      </c>
      <c r="C11516" s="4" t="str">
        <f>HYPERLINK("http://www.uniprot.org/uniprot/M5W8X6","M5W8X6")</f>
        <v>M5W8X6</v>
      </c>
      <c r="D11516" s="2" t="s">
        <v>9729</v>
      </c>
      <c r="E11516" s="3">
        <v>0</v>
      </c>
      <c r="F11516" s="2">
        <v>1463</v>
      </c>
      <c r="G11516" s="2">
        <v>92</v>
      </c>
      <c r="H11516" s="2">
        <v>307</v>
      </c>
      <c r="I11516" s="2">
        <v>847</v>
      </c>
      <c r="J11516" s="2">
        <v>1767</v>
      </c>
      <c r="K11516" s="2">
        <v>114</v>
      </c>
      <c r="L11516" s="2">
        <v>394</v>
      </c>
    </row>
    <row r="11517" spans="1:12" x14ac:dyDescent="0.25">
      <c r="A11517" s="4" t="str">
        <f>HYPERLINK("http://www.rosaceae.org/Prunus/Prunus_persica/p.persica_gdr_reftransV1_0030009","p.persica_gdr_reftransV1_0030009")</f>
        <v>p.persica_gdr_reftransV1_0030009</v>
      </c>
      <c r="B11517" s="2">
        <v>1534</v>
      </c>
      <c r="C11517" s="4" t="str">
        <f>HYPERLINK("http://www.uniprot.org/uniprot/M5W916","M5W916")</f>
        <v>M5W916</v>
      </c>
      <c r="D11517" s="2" t="s">
        <v>9730</v>
      </c>
      <c r="E11517" s="3">
        <v>0</v>
      </c>
      <c r="F11517" s="2">
        <v>2254</v>
      </c>
      <c r="G11517" s="2">
        <v>95</v>
      </c>
      <c r="H11517" s="2">
        <v>478</v>
      </c>
      <c r="I11517" s="2">
        <v>99</v>
      </c>
      <c r="J11517" s="2">
        <v>1532</v>
      </c>
      <c r="K11517" s="2">
        <v>5</v>
      </c>
      <c r="L11517" s="2">
        <v>467</v>
      </c>
    </row>
    <row r="11518" spans="1:12" x14ac:dyDescent="0.25">
      <c r="A11518" s="4" t="str">
        <f>HYPERLINK("http://www.rosaceae.org/Prunus/Prunus_persica/p.persica_gdr_reftransV1_0030709","p.persica_gdr_reftransV1_0030709")</f>
        <v>p.persica_gdr_reftransV1_0030709</v>
      </c>
      <c r="B11518" s="2">
        <v>2083</v>
      </c>
      <c r="C11518" s="4" t="str">
        <f>HYPERLINK("http://www.uniprot.org/uniprot/M5X160","M5X160")</f>
        <v>M5X160</v>
      </c>
      <c r="D11518" s="2" t="s">
        <v>9731</v>
      </c>
      <c r="E11518" s="3">
        <v>2.4299999999999999E-72</v>
      </c>
      <c r="F11518" s="2">
        <v>615</v>
      </c>
      <c r="G11518" s="2">
        <v>100</v>
      </c>
      <c r="H11518" s="2">
        <v>117</v>
      </c>
      <c r="I11518" s="2">
        <v>678</v>
      </c>
      <c r="J11518" s="2">
        <v>1028</v>
      </c>
      <c r="K11518" s="2">
        <v>1</v>
      </c>
      <c r="L11518" s="2">
        <v>117</v>
      </c>
    </row>
    <row r="11519" spans="1:12" x14ac:dyDescent="0.25">
      <c r="A11519" s="4" t="str">
        <f>HYPERLINK("http://www.rosaceae.org/Prunus/Prunus_persica/p.persica_gdr_reftransV1_0031059","p.persica_gdr_reftransV1_0031059")</f>
        <v>p.persica_gdr_reftransV1_0031059</v>
      </c>
      <c r="B11519" s="2">
        <v>820</v>
      </c>
      <c r="C11519" s="4" t="str">
        <f>HYPERLINK("http://www.uniprot.org/uniprot/M5Y2B2","M5Y2B2")</f>
        <v>M5Y2B2</v>
      </c>
      <c r="D11519" s="2" t="s">
        <v>5611</v>
      </c>
      <c r="E11519" s="3">
        <v>2.3799999999999999E-91</v>
      </c>
      <c r="F11519" s="2">
        <v>765</v>
      </c>
      <c r="G11519" s="2">
        <v>100</v>
      </c>
      <c r="H11519" s="2">
        <v>220</v>
      </c>
      <c r="I11519" s="2">
        <v>161</v>
      </c>
      <c r="J11519" s="2">
        <v>820</v>
      </c>
      <c r="K11519" s="2">
        <v>1</v>
      </c>
      <c r="L11519" s="2">
        <v>220</v>
      </c>
    </row>
    <row r="11520" spans="1:12" x14ac:dyDescent="0.25">
      <c r="A11520" s="4" t="str">
        <f>HYPERLINK("http://www.rosaceae.org/Prunus/Prunus_persica/p.persica_gdr_reftransV1_0031409","p.persica_gdr_reftransV1_0031409")</f>
        <v>p.persica_gdr_reftransV1_0031409</v>
      </c>
      <c r="B11520" s="2">
        <v>5471</v>
      </c>
      <c r="C11520" s="4" t="str">
        <f>HYPERLINK("http://www.uniprot.org/uniprot/A0A061FG32","A0A061FG32")</f>
        <v>A0A061FG32</v>
      </c>
      <c r="D11520" s="2" t="s">
        <v>9732</v>
      </c>
      <c r="E11520" s="3">
        <v>0</v>
      </c>
      <c r="F11520" s="2">
        <v>4130</v>
      </c>
      <c r="G11520" s="2">
        <v>58</v>
      </c>
      <c r="H11520" s="2">
        <v>1476</v>
      </c>
      <c r="I11520" s="2">
        <v>1157</v>
      </c>
      <c r="J11520" s="2">
        <v>5329</v>
      </c>
      <c r="K11520" s="2">
        <v>1</v>
      </c>
      <c r="L11520" s="2">
        <v>1422</v>
      </c>
    </row>
    <row r="11521" spans="1:12" x14ac:dyDescent="0.25">
      <c r="A11521" s="4" t="str">
        <f>HYPERLINK("http://www.rosaceae.org/Prunus/Prunus_persica/p.persica_gdr_reftransV1_0032109","p.persica_gdr_reftransV1_0032109")</f>
        <v>p.persica_gdr_reftransV1_0032109</v>
      </c>
      <c r="B11521" s="2">
        <v>3396</v>
      </c>
      <c r="C11521" s="4" t="str">
        <f>HYPERLINK("http://www.uniprot.org/uniprot/M5XNR1","M5XNR1")</f>
        <v>M5XNR1</v>
      </c>
      <c r="D11521" s="2" t="s">
        <v>9733</v>
      </c>
      <c r="E11521" s="3">
        <v>0</v>
      </c>
      <c r="F11521" s="2">
        <v>3641</v>
      </c>
      <c r="G11521" s="2">
        <v>100</v>
      </c>
      <c r="H11521" s="2">
        <v>786</v>
      </c>
      <c r="I11521" s="2">
        <v>487</v>
      </c>
      <c r="J11521" s="2">
        <v>2844</v>
      </c>
      <c r="K11521" s="2">
        <v>1</v>
      </c>
      <c r="L11521" s="2">
        <v>786</v>
      </c>
    </row>
    <row r="11522" spans="1:12" x14ac:dyDescent="0.25">
      <c r="A11522" s="4" t="str">
        <f>HYPERLINK("http://www.rosaceae.org/Prunus/Prunus_persica/p.persica_gdr_reftransV1_0033159","p.persica_gdr_reftransV1_0033159")</f>
        <v>p.persica_gdr_reftransV1_0033159</v>
      </c>
      <c r="B11522" s="2">
        <v>1244</v>
      </c>
      <c r="C11522" s="4" t="str">
        <f>HYPERLINK("http://www.uniprot.org/uniprot/M5W7J1","M5W7J1")</f>
        <v>M5W7J1</v>
      </c>
      <c r="D11522" s="2" t="s">
        <v>9734</v>
      </c>
      <c r="E11522" s="3">
        <v>1.3500000000000001E-163</v>
      </c>
      <c r="F11522" s="2">
        <v>1242</v>
      </c>
      <c r="G11522" s="2">
        <v>100</v>
      </c>
      <c r="H11522" s="2">
        <v>232</v>
      </c>
      <c r="I11522" s="2">
        <v>547</v>
      </c>
      <c r="J11522" s="2">
        <v>1242</v>
      </c>
      <c r="K11522" s="2">
        <v>1</v>
      </c>
      <c r="L11522" s="2">
        <v>232</v>
      </c>
    </row>
    <row r="11523" spans="1:12" x14ac:dyDescent="0.25">
      <c r="A11523" s="4" t="str">
        <f>HYPERLINK("http://www.rosaceae.org/Prunus/Prunus_persica/p.persica_gdr_reftransV1_0038409","p.persica_gdr_reftransV1_0038409")</f>
        <v>p.persica_gdr_reftransV1_0038409</v>
      </c>
      <c r="B11523" s="2">
        <v>1244</v>
      </c>
      <c r="C11523" s="4" t="str">
        <f>HYPERLINK("http://www.uniprot.org/uniprot/M5WIN7","M5WIN7")</f>
        <v>M5WIN7</v>
      </c>
      <c r="D11523" s="2" t="s">
        <v>9735</v>
      </c>
      <c r="E11523" s="3">
        <v>4.9600000000000004E-171</v>
      </c>
      <c r="F11523" s="2">
        <v>1262</v>
      </c>
      <c r="G11523" s="2">
        <v>100</v>
      </c>
      <c r="H11523" s="2">
        <v>237</v>
      </c>
      <c r="I11523" s="2">
        <v>300</v>
      </c>
      <c r="J11523" s="2">
        <v>1010</v>
      </c>
      <c r="K11523" s="2">
        <v>1</v>
      </c>
      <c r="L11523" s="2">
        <v>237</v>
      </c>
    </row>
    <row r="11524" spans="1:12" x14ac:dyDescent="0.25">
      <c r="A11524" s="4" t="str">
        <f>HYPERLINK("http://www.rosaceae.org/Prunus/Prunus_persica/p.persica_gdr_reftransV1_0040159","p.persica_gdr_reftransV1_0040159")</f>
        <v>p.persica_gdr_reftransV1_0040159</v>
      </c>
      <c r="B11524" s="2">
        <v>1616</v>
      </c>
      <c r="C11524" s="4" t="str">
        <f>HYPERLINK("http://www.uniprot.org/uniprot/A0A067KL71","A0A067KL71")</f>
        <v>A0A067KL71</v>
      </c>
      <c r="D11524" s="2" t="s">
        <v>9736</v>
      </c>
      <c r="E11524" s="3">
        <v>0</v>
      </c>
      <c r="F11524" s="2">
        <v>1541</v>
      </c>
      <c r="G11524" s="2">
        <v>67</v>
      </c>
      <c r="H11524" s="2">
        <v>442</v>
      </c>
      <c r="I11524" s="2">
        <v>1</v>
      </c>
      <c r="J11524" s="2">
        <v>1326</v>
      </c>
      <c r="K11524" s="2">
        <v>111</v>
      </c>
      <c r="L11524" s="2">
        <v>494</v>
      </c>
    </row>
    <row r="11525" spans="1:12" x14ac:dyDescent="0.25">
      <c r="A11525" s="4" t="str">
        <f>HYPERLINK("http://www.rosaceae.org/Prunus/Prunus_persica/p.persica_gdr_reftransV1_0040509","p.persica_gdr_reftransV1_0040509")</f>
        <v>p.persica_gdr_reftransV1_0040509</v>
      </c>
      <c r="B11525" s="2">
        <v>2680</v>
      </c>
      <c r="C11525" s="4" t="str">
        <f>HYPERLINK("http://www.uniprot.org/uniprot/M5W847","M5W847")</f>
        <v>M5W847</v>
      </c>
      <c r="D11525" s="2" t="s">
        <v>9737</v>
      </c>
      <c r="E11525" s="3">
        <v>0</v>
      </c>
      <c r="F11525" s="2">
        <v>2366</v>
      </c>
      <c r="G11525" s="2">
        <v>100</v>
      </c>
      <c r="H11525" s="2">
        <v>497</v>
      </c>
      <c r="I11525" s="2">
        <v>159</v>
      </c>
      <c r="J11525" s="2">
        <v>1649</v>
      </c>
      <c r="K11525" s="2">
        <v>15</v>
      </c>
      <c r="L11525" s="2">
        <v>511</v>
      </c>
    </row>
    <row r="11526" spans="1:12" x14ac:dyDescent="0.25">
      <c r="A11526" s="4" t="str">
        <f>HYPERLINK("http://www.rosaceae.org/Prunus/Prunus_persica/p.persica_gdr_reftransV1_0041559","p.persica_gdr_reftransV1_0041559")</f>
        <v>p.persica_gdr_reftransV1_0041559</v>
      </c>
      <c r="B11526" s="2">
        <v>1766</v>
      </c>
      <c r="C11526" s="4" t="str">
        <f>HYPERLINK("http://www.uniprot.org/uniprot/M5WDJ5","M5WDJ5")</f>
        <v>M5WDJ5</v>
      </c>
      <c r="D11526" s="2" t="s">
        <v>2062</v>
      </c>
      <c r="E11526" s="3">
        <v>0</v>
      </c>
      <c r="F11526" s="2">
        <v>2193</v>
      </c>
      <c r="G11526" s="2">
        <v>100</v>
      </c>
      <c r="H11526" s="2">
        <v>487</v>
      </c>
      <c r="I11526" s="2">
        <v>1</v>
      </c>
      <c r="J11526" s="2">
        <v>1461</v>
      </c>
      <c r="K11526" s="2">
        <v>44</v>
      </c>
      <c r="L11526" s="2">
        <v>530</v>
      </c>
    </row>
    <row r="11527" spans="1:12" x14ac:dyDescent="0.25">
      <c r="A11527" s="4" t="str">
        <f>HYPERLINK("http://www.rosaceae.org/Prunus/Prunus_persica/p.persica_gdr_reftransV1_0043309","p.persica_gdr_reftransV1_0043309")</f>
        <v>p.persica_gdr_reftransV1_0043309</v>
      </c>
      <c r="B11527" s="2">
        <v>625</v>
      </c>
      <c r="C11527" s="4" t="str">
        <f>HYPERLINK("http://www.uniprot.org/uniprot/W9RBQ5","W9RBQ5")</f>
        <v>W9RBQ5</v>
      </c>
      <c r="D11527" s="2" t="s">
        <v>9738</v>
      </c>
      <c r="E11527" s="3">
        <v>8.0899999999999998E-106</v>
      </c>
      <c r="F11527" s="2">
        <v>815</v>
      </c>
      <c r="G11527" s="2">
        <v>84</v>
      </c>
      <c r="H11527" s="2">
        <v>182</v>
      </c>
      <c r="I11527" s="2">
        <v>69</v>
      </c>
      <c r="J11527" s="2">
        <v>611</v>
      </c>
      <c r="K11527" s="2">
        <v>1</v>
      </c>
      <c r="L11527" s="2">
        <v>182</v>
      </c>
    </row>
    <row r="11528" spans="1:12" x14ac:dyDescent="0.25">
      <c r="A11528" s="4" t="str">
        <f>HYPERLINK("http://www.rosaceae.org/Prunus/Prunus_persica/p.persica_gdr_reftransV1_0043659","p.persica_gdr_reftransV1_0043659")</f>
        <v>p.persica_gdr_reftransV1_0043659</v>
      </c>
      <c r="B11528" s="2">
        <v>334</v>
      </c>
      <c r="C11528" s="4" t="str">
        <f>HYPERLINK("http://www.uniprot.org/uniprot/M5WN99","M5WN99")</f>
        <v>M5WN99</v>
      </c>
      <c r="D11528" s="2" t="s">
        <v>3047</v>
      </c>
      <c r="E11528" s="3">
        <v>7.3400000000000001E-72</v>
      </c>
      <c r="F11528" s="2">
        <v>593</v>
      </c>
      <c r="G11528" s="2">
        <v>100</v>
      </c>
      <c r="H11528" s="2">
        <v>111</v>
      </c>
      <c r="I11528" s="2">
        <v>1</v>
      </c>
      <c r="J11528" s="2">
        <v>333</v>
      </c>
      <c r="K11528" s="2">
        <v>102</v>
      </c>
      <c r="L11528" s="2">
        <v>212</v>
      </c>
    </row>
    <row r="11529" spans="1:12" x14ac:dyDescent="0.25">
      <c r="A11529" s="4" t="str">
        <f>HYPERLINK("http://www.rosaceae.org/Prunus/Prunus_persica/p.persica_gdr_reftransV1_0044009","p.persica_gdr_reftransV1_0044009")</f>
        <v>p.persica_gdr_reftransV1_0044009</v>
      </c>
      <c r="B11529" s="2">
        <v>2691</v>
      </c>
      <c r="C11529" s="4" t="str">
        <f>HYPERLINK("http://www.uniprot.org/uniprot/M5XXW3","M5XXW3")</f>
        <v>M5XXW3</v>
      </c>
      <c r="D11529" s="2" t="s">
        <v>9225</v>
      </c>
      <c r="E11529" s="3">
        <v>0</v>
      </c>
      <c r="F11529" s="2">
        <v>4262</v>
      </c>
      <c r="G11529" s="2">
        <v>99</v>
      </c>
      <c r="H11529" s="2">
        <v>859</v>
      </c>
      <c r="I11529" s="2">
        <v>3</v>
      </c>
      <c r="J11529" s="2">
        <v>2579</v>
      </c>
      <c r="K11529" s="2">
        <v>200</v>
      </c>
      <c r="L11529" s="2">
        <v>1053</v>
      </c>
    </row>
    <row r="11530" spans="1:12" x14ac:dyDescent="0.25">
      <c r="A11530" s="4" t="str">
        <f>HYPERLINK("http://www.rosaceae.org/Prunus/Prunus_persica/p.persica_gdr_reftransV1_0044359","p.persica_gdr_reftransV1_0044359")</f>
        <v>p.persica_gdr_reftransV1_0044359</v>
      </c>
      <c r="B11530" s="2">
        <v>1795</v>
      </c>
      <c r="C11530" s="4" t="str">
        <f>HYPERLINK("http://www.uniprot.org/uniprot/M5WNN3","M5WNN3")</f>
        <v>M5WNN3</v>
      </c>
      <c r="D11530" s="2" t="s">
        <v>9739</v>
      </c>
      <c r="E11530" s="3">
        <v>0</v>
      </c>
      <c r="F11530" s="2">
        <v>2301</v>
      </c>
      <c r="G11530" s="2">
        <v>98</v>
      </c>
      <c r="H11530" s="2">
        <v>452</v>
      </c>
      <c r="I11530" s="2">
        <v>374</v>
      </c>
      <c r="J11530" s="2">
        <v>1705</v>
      </c>
      <c r="K11530" s="2">
        <v>1</v>
      </c>
      <c r="L11530" s="2">
        <v>452</v>
      </c>
    </row>
    <row r="11531" spans="1:12" x14ac:dyDescent="0.25">
      <c r="A11531" s="4" t="str">
        <f>HYPERLINK("http://www.rosaceae.org/Prunus/Prunus_persica/p.persica_gdr_reftransV1_0044709","p.persica_gdr_reftransV1_0044709")</f>
        <v>p.persica_gdr_reftransV1_0044709</v>
      </c>
      <c r="B11531" s="2">
        <v>1779</v>
      </c>
      <c r="C11531" s="4" t="str">
        <f>HYPERLINK("http://www.uniprot.org/uniprot/M5X1V9","M5X1V9")</f>
        <v>M5X1V9</v>
      </c>
      <c r="D11531" s="2" t="s">
        <v>2659</v>
      </c>
      <c r="E11531" s="3">
        <v>0</v>
      </c>
      <c r="F11531" s="2">
        <v>2155</v>
      </c>
      <c r="G11531" s="2">
        <v>99</v>
      </c>
      <c r="H11531" s="2">
        <v>422</v>
      </c>
      <c r="I11531" s="2">
        <v>303</v>
      </c>
      <c r="J11531" s="2">
        <v>1568</v>
      </c>
      <c r="K11531" s="2">
        <v>75</v>
      </c>
      <c r="L11531" s="2">
        <v>492</v>
      </c>
    </row>
    <row r="11532" spans="1:12" x14ac:dyDescent="0.25">
      <c r="A11532" s="4" t="str">
        <f>HYPERLINK("http://www.rosaceae.org/Prunus/Prunus_persica/p.persica_gdr_reftransV1_0045409","p.persica_gdr_reftransV1_0045409")</f>
        <v>p.persica_gdr_reftransV1_0045409</v>
      </c>
      <c r="B11532" s="2">
        <v>1555</v>
      </c>
      <c r="C11532" s="4" t="str">
        <f>HYPERLINK("http://www.uniprot.org/uniprot/M5W6D6","M5W6D6")</f>
        <v>M5W6D6</v>
      </c>
      <c r="D11532" s="2" t="s">
        <v>9740</v>
      </c>
      <c r="E11532" s="3">
        <v>8.5099999999999997E-147</v>
      </c>
      <c r="F11532" s="2">
        <v>1116</v>
      </c>
      <c r="G11532" s="2">
        <v>84</v>
      </c>
      <c r="H11532" s="2">
        <v>290</v>
      </c>
      <c r="I11532" s="2">
        <v>334</v>
      </c>
      <c r="J11532" s="2">
        <v>1185</v>
      </c>
      <c r="K11532" s="2">
        <v>1</v>
      </c>
      <c r="L11532" s="2">
        <v>272</v>
      </c>
    </row>
    <row r="11533" spans="1:12" x14ac:dyDescent="0.25">
      <c r="A11533" s="4" t="str">
        <f>HYPERLINK("http://www.rosaceae.org/Prunus/Prunus_persica/p.persica_gdr_reftransV1_0045759","p.persica_gdr_reftransV1_0045759")</f>
        <v>p.persica_gdr_reftransV1_0045759</v>
      </c>
      <c r="B11533" s="2">
        <v>1338</v>
      </c>
      <c r="C11533" s="4" t="str">
        <f>HYPERLINK("http://www.uniprot.org/uniprot/M5VQB7","M5VQB7")</f>
        <v>M5VQB7</v>
      </c>
      <c r="D11533" s="2" t="s">
        <v>9741</v>
      </c>
      <c r="E11533" s="3">
        <v>0</v>
      </c>
      <c r="F11533" s="2">
        <v>1699</v>
      </c>
      <c r="G11533" s="2">
        <v>100</v>
      </c>
      <c r="H11533" s="2">
        <v>357</v>
      </c>
      <c r="I11533" s="2">
        <v>97</v>
      </c>
      <c r="J11533" s="2">
        <v>1167</v>
      </c>
      <c r="K11533" s="2">
        <v>1</v>
      </c>
      <c r="L11533" s="2">
        <v>357</v>
      </c>
    </row>
    <row r="11534" spans="1:12" x14ac:dyDescent="0.25">
      <c r="A11534" s="4" t="str">
        <f>HYPERLINK("http://www.rosaceae.org/Prunus/Prunus_persica/p.persica_gdr_reftransV1_0046109","p.persica_gdr_reftransV1_0046109")</f>
        <v>p.persica_gdr_reftransV1_0046109</v>
      </c>
      <c r="B11534" s="2">
        <v>357</v>
      </c>
      <c r="C11534" s="4" t="str">
        <f>HYPERLINK("http://www.uniprot.org/uniprot/A0A067G8D2","A0A067G8D2")</f>
        <v>A0A067G8D2</v>
      </c>
      <c r="D11534" s="2" t="s">
        <v>7687</v>
      </c>
      <c r="E11534" s="3">
        <v>2.3199999999999998E-40</v>
      </c>
      <c r="F11534" s="2">
        <v>361</v>
      </c>
      <c r="G11534" s="2">
        <v>99</v>
      </c>
      <c r="H11534" s="2">
        <v>89</v>
      </c>
      <c r="I11534" s="2">
        <v>90</v>
      </c>
      <c r="J11534" s="2">
        <v>356</v>
      </c>
      <c r="K11534" s="2">
        <v>1</v>
      </c>
      <c r="L11534" s="2">
        <v>89</v>
      </c>
    </row>
    <row r="11535" spans="1:12" x14ac:dyDescent="0.25">
      <c r="A11535" s="4" t="str">
        <f>HYPERLINK("http://www.rosaceae.org/Prunus/Prunus_persica/p.persica_gdr_reftransV1_0046459","p.persica_gdr_reftransV1_0046459")</f>
        <v>p.persica_gdr_reftransV1_0046459</v>
      </c>
      <c r="B11535" s="2">
        <v>932</v>
      </c>
      <c r="C11535" s="4" t="str">
        <f>HYPERLINK("http://www.uniprot.org/uniprot/M5XRD2","M5XRD2")</f>
        <v>M5XRD2</v>
      </c>
      <c r="D11535" s="2" t="s">
        <v>5620</v>
      </c>
      <c r="E11535" s="3">
        <v>1.97E-106</v>
      </c>
      <c r="F11535" s="2">
        <v>863</v>
      </c>
      <c r="G11535" s="2">
        <v>100</v>
      </c>
      <c r="H11535" s="2">
        <v>161</v>
      </c>
      <c r="I11535" s="2">
        <v>2</v>
      </c>
      <c r="J11535" s="2">
        <v>484</v>
      </c>
      <c r="K11535" s="2">
        <v>9</v>
      </c>
      <c r="L11535" s="2">
        <v>169</v>
      </c>
    </row>
    <row r="11536" spans="1:12" x14ac:dyDescent="0.25">
      <c r="A11536" s="4" t="str">
        <f>HYPERLINK("http://www.rosaceae.org/Prunus/Prunus_persica/p.persica_gdr_reftransV1_0046809","p.persica_gdr_reftransV1_0046809")</f>
        <v>p.persica_gdr_reftransV1_0046809</v>
      </c>
      <c r="B11536" s="2">
        <v>531</v>
      </c>
      <c r="C11536" s="4" t="str">
        <f>HYPERLINK("http://www.uniprot.org/uniprot/M5XZQ1","M5XZQ1")</f>
        <v>M5XZQ1</v>
      </c>
      <c r="D11536" s="2" t="s">
        <v>9742</v>
      </c>
      <c r="E11536" s="3">
        <v>3.6300000000000003E-39</v>
      </c>
      <c r="F11536" s="2">
        <v>351</v>
      </c>
      <c r="G11536" s="2">
        <v>93</v>
      </c>
      <c r="H11536" s="2">
        <v>90</v>
      </c>
      <c r="I11536" s="2">
        <v>194</v>
      </c>
      <c r="J11536" s="2">
        <v>463</v>
      </c>
      <c r="K11536" s="2">
        <v>1</v>
      </c>
      <c r="L11536" s="2">
        <v>90</v>
      </c>
    </row>
    <row r="11537" spans="1:12" x14ac:dyDescent="0.25">
      <c r="A11537" s="4" t="str">
        <f>HYPERLINK("http://www.rosaceae.org/Prunus/Prunus_persica/p.persica_gdr_reftransV1_0047159","p.persica_gdr_reftransV1_0047159")</f>
        <v>p.persica_gdr_reftransV1_0047159</v>
      </c>
      <c r="B11537" s="2">
        <v>798</v>
      </c>
      <c r="C11537" s="4" t="str">
        <f>HYPERLINK("http://www.uniprot.org/uniprot/M5XPD9","M5XPD9")</f>
        <v>M5XPD9</v>
      </c>
      <c r="D11537" s="2" t="s">
        <v>9743</v>
      </c>
      <c r="E11537" s="3">
        <v>1.3E-112</v>
      </c>
      <c r="F11537" s="2">
        <v>865</v>
      </c>
      <c r="G11537" s="2">
        <v>100</v>
      </c>
      <c r="H11537" s="2">
        <v>170</v>
      </c>
      <c r="I11537" s="2">
        <v>288</v>
      </c>
      <c r="J11537" s="2">
        <v>797</v>
      </c>
      <c r="K11537" s="2">
        <v>114</v>
      </c>
      <c r="L11537" s="2">
        <v>283</v>
      </c>
    </row>
    <row r="11538" spans="1:12" x14ac:dyDescent="0.25">
      <c r="A11538" s="4" t="str">
        <f>HYPERLINK("http://www.rosaceae.org/Prunus/Prunus_persica/p.persica_gdr_reftransV1_0047509","p.persica_gdr_reftransV1_0047509")</f>
        <v>p.persica_gdr_reftransV1_0047509</v>
      </c>
      <c r="B11538" s="2">
        <v>1288</v>
      </c>
      <c r="C11538" s="4" t="str">
        <f>HYPERLINK("http://www.uniprot.org/uniprot/M5VKQ0","M5VKQ0")</f>
        <v>M5VKQ0</v>
      </c>
      <c r="D11538" s="2" t="s">
        <v>3133</v>
      </c>
      <c r="E11538" s="3">
        <v>1.9599999999999998E-136</v>
      </c>
      <c r="F11538" s="2">
        <v>795</v>
      </c>
      <c r="G11538" s="2">
        <v>97</v>
      </c>
      <c r="H11538" s="2">
        <v>159</v>
      </c>
      <c r="I11538" s="2">
        <v>171</v>
      </c>
      <c r="J11538" s="2">
        <v>647</v>
      </c>
      <c r="K11538" s="2">
        <v>1</v>
      </c>
      <c r="L11538" s="2">
        <v>159</v>
      </c>
    </row>
    <row r="11539" spans="1:12" x14ac:dyDescent="0.25">
      <c r="A11539" s="4" t="str">
        <f>HYPERLINK("http://www.rosaceae.org/Prunus/Prunus_persica/p.persica_gdr_reftransV1_0047859","p.persica_gdr_reftransV1_0047859")</f>
        <v>p.persica_gdr_reftransV1_0047859</v>
      </c>
      <c r="B11539" s="2">
        <v>1362</v>
      </c>
      <c r="C11539" s="4" t="str">
        <f>HYPERLINK("http://www.uniprot.org/uniprot/M5WGH9","M5WGH9")</f>
        <v>M5WGH9</v>
      </c>
      <c r="D11539" s="2" t="s">
        <v>9081</v>
      </c>
      <c r="E11539" s="3">
        <v>0</v>
      </c>
      <c r="F11539" s="2">
        <v>1631</v>
      </c>
      <c r="G11539" s="2">
        <v>97</v>
      </c>
      <c r="H11539" s="2">
        <v>365</v>
      </c>
      <c r="I11539" s="2">
        <v>68</v>
      </c>
      <c r="J11539" s="2">
        <v>1156</v>
      </c>
      <c r="K11539" s="2">
        <v>80</v>
      </c>
      <c r="L11539" s="2">
        <v>444</v>
      </c>
    </row>
    <row r="11540" spans="1:12" x14ac:dyDescent="0.25">
      <c r="A11540" s="4" t="str">
        <f>HYPERLINK("http://www.rosaceae.org/Prunus/Prunus_persica/p.persica_gdr_reftransV1_0048559","p.persica_gdr_reftransV1_0048559")</f>
        <v>p.persica_gdr_reftransV1_0048559</v>
      </c>
      <c r="B11540" s="2">
        <v>687</v>
      </c>
      <c r="C11540" s="4" t="str">
        <f>HYPERLINK("http://www.uniprot.org/uniprot/M5XMQ3","M5XMQ3")</f>
        <v>M5XMQ3</v>
      </c>
      <c r="D11540" s="2" t="s">
        <v>9744</v>
      </c>
      <c r="E11540" s="3">
        <v>1.3600000000000001E-90</v>
      </c>
      <c r="F11540" s="2">
        <v>701</v>
      </c>
      <c r="G11540" s="2">
        <v>98</v>
      </c>
      <c r="H11540" s="2">
        <v>131</v>
      </c>
      <c r="I11540" s="2">
        <v>245</v>
      </c>
      <c r="J11540" s="2">
        <v>637</v>
      </c>
      <c r="K11540" s="2">
        <v>1</v>
      </c>
      <c r="L11540" s="2">
        <v>131</v>
      </c>
    </row>
    <row r="11541" spans="1:12" x14ac:dyDescent="0.25">
      <c r="A11541" s="4" t="str">
        <f>HYPERLINK("http://www.rosaceae.org/Prunus/Prunus_persica/p.persica_gdr_reftransV1_0048909","p.persica_gdr_reftransV1_0048909")</f>
        <v>p.persica_gdr_reftransV1_0048909</v>
      </c>
      <c r="B11541" s="2">
        <v>1472</v>
      </c>
      <c r="C11541" s="4" t="str">
        <f>HYPERLINK("http://www.uniprot.org/uniprot/M5WGM0","M5WGM0")</f>
        <v>M5WGM0</v>
      </c>
      <c r="D11541" s="2" t="s">
        <v>9745</v>
      </c>
      <c r="E11541" s="3">
        <v>0</v>
      </c>
      <c r="F11541" s="2">
        <v>1838</v>
      </c>
      <c r="G11541" s="2">
        <v>91</v>
      </c>
      <c r="H11541" s="2">
        <v>419</v>
      </c>
      <c r="I11541" s="2">
        <v>2</v>
      </c>
      <c r="J11541" s="2">
        <v>1147</v>
      </c>
      <c r="K11541" s="2">
        <v>1</v>
      </c>
      <c r="L11541" s="2">
        <v>419</v>
      </c>
    </row>
    <row r="11542" spans="1:12" x14ac:dyDescent="0.25">
      <c r="A11542" s="4" t="str">
        <f>HYPERLINK("http://www.rosaceae.org/Prunus/Prunus_persica/p.persica_gdr_reftransV1_0000260","p.persica_gdr_reftransV1_0000260")</f>
        <v>p.persica_gdr_reftransV1_0000260</v>
      </c>
      <c r="B11542" s="2">
        <v>356</v>
      </c>
      <c r="C11542" s="4" t="str">
        <f>HYPERLINK("http://www.uniprot.org/uniprot/M5XTP1","M5XTP1")</f>
        <v>M5XTP1</v>
      </c>
      <c r="D11542" s="2" t="s">
        <v>9746</v>
      </c>
      <c r="E11542" s="3">
        <v>4.45E-68</v>
      </c>
      <c r="F11542" s="2">
        <v>566</v>
      </c>
      <c r="G11542" s="2">
        <v>100</v>
      </c>
      <c r="H11542" s="2">
        <v>118</v>
      </c>
      <c r="I11542" s="2">
        <v>2</v>
      </c>
      <c r="J11542" s="2">
        <v>355</v>
      </c>
      <c r="K11542" s="2">
        <v>1</v>
      </c>
      <c r="L11542" s="2">
        <v>118</v>
      </c>
    </row>
    <row r="11543" spans="1:12" x14ac:dyDescent="0.25">
      <c r="A11543" s="4" t="str">
        <f>HYPERLINK("http://www.rosaceae.org/Prunus/Prunus_persica/p.persica_gdr_reftransV1_0000610","p.persica_gdr_reftransV1_0000610")</f>
        <v>p.persica_gdr_reftransV1_0000610</v>
      </c>
      <c r="B11543" s="2">
        <v>1744</v>
      </c>
      <c r="C11543" s="4" t="str">
        <f>HYPERLINK("http://www.uniprot.org/uniprot/M5VYL7","M5VYL7")</f>
        <v>M5VYL7</v>
      </c>
      <c r="D11543" s="2" t="s">
        <v>9747</v>
      </c>
      <c r="E11543" s="3">
        <v>0</v>
      </c>
      <c r="F11543" s="2">
        <v>2107</v>
      </c>
      <c r="G11543" s="2">
        <v>100</v>
      </c>
      <c r="H11543" s="2">
        <v>391</v>
      </c>
      <c r="I11543" s="2">
        <v>186</v>
      </c>
      <c r="J11543" s="2">
        <v>1358</v>
      </c>
      <c r="K11543" s="2">
        <v>1</v>
      </c>
      <c r="L11543" s="2">
        <v>391</v>
      </c>
    </row>
    <row r="11544" spans="1:12" x14ac:dyDescent="0.25">
      <c r="A11544" s="4" t="str">
        <f>HYPERLINK("http://www.rosaceae.org/Prunus/Prunus_persica/p.persica_gdr_reftransV1_0000960","p.persica_gdr_reftransV1_0000960")</f>
        <v>p.persica_gdr_reftransV1_0000960</v>
      </c>
      <c r="B11544" s="2">
        <v>2103</v>
      </c>
      <c r="C11544" s="4" t="str">
        <f>HYPERLINK("http://www.uniprot.org/uniprot/M5WDI6","M5WDI6")</f>
        <v>M5WDI6</v>
      </c>
      <c r="D11544" s="2" t="s">
        <v>9748</v>
      </c>
      <c r="E11544" s="3">
        <v>0</v>
      </c>
      <c r="F11544" s="2">
        <v>2226</v>
      </c>
      <c r="G11544" s="2">
        <v>98</v>
      </c>
      <c r="H11544" s="2">
        <v>491</v>
      </c>
      <c r="I11544" s="2">
        <v>406</v>
      </c>
      <c r="J11544" s="2">
        <v>1860</v>
      </c>
      <c r="K11544" s="2">
        <v>44</v>
      </c>
      <c r="L11544" s="2">
        <v>534</v>
      </c>
    </row>
    <row r="11545" spans="1:12" x14ac:dyDescent="0.25">
      <c r="A11545" s="4" t="str">
        <f>HYPERLINK("http://www.rosaceae.org/Prunus/Prunus_persica/p.persica_gdr_reftransV1_0001660","p.persica_gdr_reftransV1_0001660")</f>
        <v>p.persica_gdr_reftransV1_0001660</v>
      </c>
      <c r="B11545" s="2">
        <v>2422</v>
      </c>
      <c r="C11545" s="4" t="str">
        <f>HYPERLINK("http://www.uniprot.org/uniprot/M5WQB5","M5WQB5")</f>
        <v>M5WQB5</v>
      </c>
      <c r="D11545" s="2" t="s">
        <v>3294</v>
      </c>
      <c r="E11545" s="3">
        <v>0</v>
      </c>
      <c r="F11545" s="2">
        <v>3218</v>
      </c>
      <c r="G11545" s="2">
        <v>100</v>
      </c>
      <c r="H11545" s="2">
        <v>647</v>
      </c>
      <c r="I11545" s="2">
        <v>113</v>
      </c>
      <c r="J11545" s="2">
        <v>2053</v>
      </c>
      <c r="K11545" s="2">
        <v>1</v>
      </c>
      <c r="L11545" s="2">
        <v>647</v>
      </c>
    </row>
    <row r="11546" spans="1:12" x14ac:dyDescent="0.25">
      <c r="A11546" s="4" t="str">
        <f>HYPERLINK("http://www.rosaceae.org/Prunus/Prunus_persica/p.persica_gdr_reftransV1_0002010","p.persica_gdr_reftransV1_0002010")</f>
        <v>p.persica_gdr_reftransV1_0002010</v>
      </c>
      <c r="B11546" s="2">
        <v>870</v>
      </c>
      <c r="C11546" s="4" t="str">
        <f>HYPERLINK("http://www.uniprot.org/uniprot/M5WIP2","M5WIP2")</f>
        <v>M5WIP2</v>
      </c>
      <c r="D11546" s="2" t="s">
        <v>9749</v>
      </c>
      <c r="E11546" s="3">
        <v>3.6399999999999999E-87</v>
      </c>
      <c r="F11546" s="2">
        <v>563</v>
      </c>
      <c r="G11546" s="2">
        <v>100</v>
      </c>
      <c r="H11546" s="2">
        <v>104</v>
      </c>
      <c r="I11546" s="2">
        <v>1</v>
      </c>
      <c r="J11546" s="2">
        <v>312</v>
      </c>
      <c r="K11546" s="2">
        <v>183</v>
      </c>
      <c r="L11546" s="2">
        <v>286</v>
      </c>
    </row>
    <row r="11547" spans="1:12" x14ac:dyDescent="0.25">
      <c r="A11547" s="4" t="str">
        <f>HYPERLINK("http://www.rosaceae.org/Prunus/Prunus_persica/p.persica_gdr_reftransV1_0002360","p.persica_gdr_reftransV1_0002360")</f>
        <v>p.persica_gdr_reftransV1_0002360</v>
      </c>
      <c r="B11547" s="2">
        <v>305</v>
      </c>
      <c r="C11547" s="4" t="str">
        <f>HYPERLINK("http://www.uniprot.org/uniprot/M5VXM3","M5VXM3")</f>
        <v>M5VXM3</v>
      </c>
      <c r="D11547" s="2" t="s">
        <v>4346</v>
      </c>
      <c r="E11547" s="3">
        <v>4.3499999999999999E-61</v>
      </c>
      <c r="F11547" s="2">
        <v>532</v>
      </c>
      <c r="G11547" s="2">
        <v>100</v>
      </c>
      <c r="H11547" s="2">
        <v>101</v>
      </c>
      <c r="I11547" s="2">
        <v>3</v>
      </c>
      <c r="J11547" s="2">
        <v>305</v>
      </c>
      <c r="K11547" s="2">
        <v>670</v>
      </c>
      <c r="L11547" s="2">
        <v>770</v>
      </c>
    </row>
    <row r="11548" spans="1:12" x14ac:dyDescent="0.25">
      <c r="A11548" s="4" t="str">
        <f>HYPERLINK("http://www.rosaceae.org/Prunus/Prunus_persica/p.persica_gdr_reftransV1_0002710","p.persica_gdr_reftransV1_0002710")</f>
        <v>p.persica_gdr_reftransV1_0002710</v>
      </c>
      <c r="B11548" s="2">
        <v>1703</v>
      </c>
      <c r="C11548" s="4" t="str">
        <f>HYPERLINK("http://www.uniprot.org/uniprot/M5WSQ9","M5WSQ9")</f>
        <v>M5WSQ9</v>
      </c>
      <c r="D11548" s="2" t="s">
        <v>9750</v>
      </c>
      <c r="E11548" s="3">
        <v>0</v>
      </c>
      <c r="F11548" s="2">
        <v>1755</v>
      </c>
      <c r="G11548" s="2">
        <v>96</v>
      </c>
      <c r="H11548" s="2">
        <v>346</v>
      </c>
      <c r="I11548" s="2">
        <v>525</v>
      </c>
      <c r="J11548" s="2">
        <v>1562</v>
      </c>
      <c r="K11548" s="2">
        <v>5</v>
      </c>
      <c r="L11548" s="2">
        <v>337</v>
      </c>
    </row>
    <row r="11549" spans="1:12" x14ac:dyDescent="0.25">
      <c r="A11549" s="4" t="str">
        <f>HYPERLINK("http://www.rosaceae.org/Prunus/Prunus_persica/p.persica_gdr_reftransV1_0003060","p.persica_gdr_reftransV1_0003060")</f>
        <v>p.persica_gdr_reftransV1_0003060</v>
      </c>
      <c r="B11549" s="2">
        <v>1029</v>
      </c>
      <c r="C11549" s="4" t="str">
        <f>HYPERLINK("http://www.uniprot.org/uniprot/M5XYV2","M5XYV2")</f>
        <v>M5XYV2</v>
      </c>
      <c r="D11549" s="2" t="s">
        <v>9751</v>
      </c>
      <c r="E11549" s="3">
        <v>9.4699999999999996E-103</v>
      </c>
      <c r="F11549" s="2">
        <v>806</v>
      </c>
      <c r="G11549" s="2">
        <v>99</v>
      </c>
      <c r="H11549" s="2">
        <v>183</v>
      </c>
      <c r="I11549" s="2">
        <v>73</v>
      </c>
      <c r="J11549" s="2">
        <v>621</v>
      </c>
      <c r="K11549" s="2">
        <v>78</v>
      </c>
      <c r="L11549" s="2">
        <v>260</v>
      </c>
    </row>
    <row r="11550" spans="1:12" x14ac:dyDescent="0.25">
      <c r="A11550" s="4" t="str">
        <f>HYPERLINK("http://www.rosaceae.org/Prunus/Prunus_persica/p.persica_gdr_reftransV1_0003410","p.persica_gdr_reftransV1_0003410")</f>
        <v>p.persica_gdr_reftransV1_0003410</v>
      </c>
      <c r="B11550" s="2">
        <v>636</v>
      </c>
      <c r="C11550" s="4" t="str">
        <f>HYPERLINK("http://www.uniprot.org/uniprot/M5X7A4","M5X7A4")</f>
        <v>M5X7A4</v>
      </c>
      <c r="D11550" s="2" t="s">
        <v>9752</v>
      </c>
      <c r="E11550" s="3">
        <v>9.3999999999999998E-66</v>
      </c>
      <c r="F11550" s="2">
        <v>534</v>
      </c>
      <c r="G11550" s="2">
        <v>97</v>
      </c>
      <c r="H11550" s="2">
        <v>108</v>
      </c>
      <c r="I11550" s="2">
        <v>94</v>
      </c>
      <c r="J11550" s="2">
        <v>417</v>
      </c>
      <c r="K11550" s="2">
        <v>1</v>
      </c>
      <c r="L11550" s="2">
        <v>108</v>
      </c>
    </row>
    <row r="11551" spans="1:12" x14ac:dyDescent="0.25">
      <c r="A11551" s="4" t="str">
        <f>HYPERLINK("http://www.rosaceae.org/Prunus/Prunus_persica/p.persica_gdr_reftransV1_0003760","p.persica_gdr_reftransV1_0003760")</f>
        <v>p.persica_gdr_reftransV1_0003760</v>
      </c>
      <c r="B11551" s="2">
        <v>667</v>
      </c>
      <c r="C11551" s="4" t="str">
        <f>HYPERLINK("http://www.uniprot.org/uniprot/M5X6J5","M5X6J5")</f>
        <v>M5X6J5</v>
      </c>
      <c r="D11551" s="2" t="s">
        <v>9753</v>
      </c>
      <c r="E11551" s="3">
        <v>2.4300000000000001E-43</v>
      </c>
      <c r="F11551" s="2">
        <v>384</v>
      </c>
      <c r="G11551" s="2">
        <v>100</v>
      </c>
      <c r="H11551" s="2">
        <v>72</v>
      </c>
      <c r="I11551" s="2">
        <v>143</v>
      </c>
      <c r="J11551" s="2">
        <v>358</v>
      </c>
      <c r="K11551" s="2">
        <v>1</v>
      </c>
      <c r="L11551" s="2">
        <v>72</v>
      </c>
    </row>
    <row r="11552" spans="1:12" x14ac:dyDescent="0.25">
      <c r="A11552" s="4" t="str">
        <f>HYPERLINK("http://www.rosaceae.org/Prunus/Prunus_persica/p.persica_gdr_reftransV1_0004810","p.persica_gdr_reftransV1_0004810")</f>
        <v>p.persica_gdr_reftransV1_0004810</v>
      </c>
      <c r="B11552" s="2">
        <v>528</v>
      </c>
      <c r="C11552" s="4" t="str">
        <f>HYPERLINK("http://www.uniprot.org/uniprot/M5X356","M5X356")</f>
        <v>M5X356</v>
      </c>
      <c r="D11552" s="2" t="s">
        <v>9754</v>
      </c>
      <c r="E11552" s="3">
        <v>1.99E-94</v>
      </c>
      <c r="F11552" s="2">
        <v>732</v>
      </c>
      <c r="G11552" s="2">
        <v>99</v>
      </c>
      <c r="H11552" s="2">
        <v>140</v>
      </c>
      <c r="I11552" s="2">
        <v>2</v>
      </c>
      <c r="J11552" s="2">
        <v>421</v>
      </c>
      <c r="K11552" s="2">
        <v>112</v>
      </c>
      <c r="L11552" s="2">
        <v>251</v>
      </c>
    </row>
    <row r="11553" spans="1:12" x14ac:dyDescent="0.25">
      <c r="A11553" s="4" t="str">
        <f>HYPERLINK("http://www.rosaceae.org/Prunus/Prunus_persica/p.persica_gdr_reftransV1_0005160","p.persica_gdr_reftransV1_0005160")</f>
        <v>p.persica_gdr_reftransV1_0005160</v>
      </c>
      <c r="B11553" s="2">
        <v>347</v>
      </c>
      <c r="C11553" s="4" t="str">
        <f>HYPERLINK("http://www.uniprot.org/uniprot/M5WV10","M5WV10")</f>
        <v>M5WV10</v>
      </c>
      <c r="D11553" s="2" t="s">
        <v>9755</v>
      </c>
      <c r="E11553" s="3">
        <v>9.5500000000000007E-22</v>
      </c>
      <c r="F11553" s="2">
        <v>235</v>
      </c>
      <c r="G11553" s="2">
        <v>70</v>
      </c>
      <c r="H11553" s="2">
        <v>89</v>
      </c>
      <c r="I11553" s="2">
        <v>1</v>
      </c>
      <c r="J11553" s="2">
        <v>267</v>
      </c>
      <c r="K11553" s="2">
        <v>93</v>
      </c>
      <c r="L11553" s="2">
        <v>178</v>
      </c>
    </row>
    <row r="11554" spans="1:12" x14ac:dyDescent="0.25">
      <c r="A11554" s="4" t="str">
        <f>HYPERLINK("http://www.rosaceae.org/Prunus/Prunus_persica/p.persica_gdr_reftransV1_0006560","p.persica_gdr_reftransV1_0006560")</f>
        <v>p.persica_gdr_reftransV1_0006560</v>
      </c>
      <c r="B11554" s="2">
        <v>2043</v>
      </c>
      <c r="C11554" s="4" t="str">
        <f>HYPERLINK("http://www.uniprot.org/uniprot/M5VZ17","M5VZ17")</f>
        <v>M5VZ17</v>
      </c>
      <c r="D11554" s="2" t="s">
        <v>9756</v>
      </c>
      <c r="E11554" s="3">
        <v>2.9200000000000002E-97</v>
      </c>
      <c r="F11554" s="2">
        <v>803</v>
      </c>
      <c r="G11554" s="2">
        <v>100</v>
      </c>
      <c r="H11554" s="2">
        <v>153</v>
      </c>
      <c r="I11554" s="2">
        <v>1396</v>
      </c>
      <c r="J11554" s="2">
        <v>1854</v>
      </c>
      <c r="K11554" s="2">
        <v>1</v>
      </c>
      <c r="L11554" s="2">
        <v>153</v>
      </c>
    </row>
    <row r="11555" spans="1:12" x14ac:dyDescent="0.25">
      <c r="A11555" s="4" t="str">
        <f>HYPERLINK("http://www.rosaceae.org/Prunus/Prunus_persica/p.persica_gdr_reftransV1_0007610","p.persica_gdr_reftransV1_0007610")</f>
        <v>p.persica_gdr_reftransV1_0007610</v>
      </c>
      <c r="B11555" s="2">
        <v>1031</v>
      </c>
      <c r="C11555" s="4" t="str">
        <f>HYPERLINK("http://www.uniprot.org/uniprot/M5XQB5","M5XQB5")</f>
        <v>M5XQB5</v>
      </c>
      <c r="D11555" s="2" t="s">
        <v>9757</v>
      </c>
      <c r="E11555" s="3">
        <v>2.5799999999999999E-172</v>
      </c>
      <c r="F11555" s="2">
        <v>1266</v>
      </c>
      <c r="G11555" s="2">
        <v>89</v>
      </c>
      <c r="H11555" s="2">
        <v>282</v>
      </c>
      <c r="I11555" s="2">
        <v>184</v>
      </c>
      <c r="J11555" s="2">
        <v>1029</v>
      </c>
      <c r="K11555" s="2">
        <v>23</v>
      </c>
      <c r="L11555" s="2">
        <v>274</v>
      </c>
    </row>
    <row r="11556" spans="1:12" x14ac:dyDescent="0.25">
      <c r="A11556" s="4" t="str">
        <f>HYPERLINK("http://www.rosaceae.org/Prunus/Prunus_persica/p.persica_gdr_reftransV1_0007960","p.persica_gdr_reftransV1_0007960")</f>
        <v>p.persica_gdr_reftransV1_0007960</v>
      </c>
      <c r="B11556" s="2">
        <v>1063</v>
      </c>
      <c r="C11556" s="4" t="str">
        <f>HYPERLINK("http://www.uniprot.org/uniprot/M5WCA3","M5WCA3")</f>
        <v>M5WCA3</v>
      </c>
      <c r="D11556" s="2" t="s">
        <v>9758</v>
      </c>
      <c r="E11556" s="3">
        <v>2.89E-177</v>
      </c>
      <c r="F11556" s="2">
        <v>1335</v>
      </c>
      <c r="G11556" s="2">
        <v>98</v>
      </c>
      <c r="H11556" s="2">
        <v>257</v>
      </c>
      <c r="I11556" s="2">
        <v>27</v>
      </c>
      <c r="J11556" s="2">
        <v>797</v>
      </c>
      <c r="K11556" s="2">
        <v>1</v>
      </c>
      <c r="L11556" s="2">
        <v>257</v>
      </c>
    </row>
    <row r="11557" spans="1:12" x14ac:dyDescent="0.25">
      <c r="A11557" s="4" t="str">
        <f>HYPERLINK("http://www.rosaceae.org/Prunus/Prunus_persica/p.persica_gdr_reftransV1_0008660","p.persica_gdr_reftransV1_0008660")</f>
        <v>p.persica_gdr_reftransV1_0008660</v>
      </c>
      <c r="B11557" s="2">
        <v>1958</v>
      </c>
      <c r="C11557" s="4" t="str">
        <f>HYPERLINK("http://www.uniprot.org/uniprot/M5VY11","M5VY11")</f>
        <v>M5VY11</v>
      </c>
      <c r="D11557" s="2" t="s">
        <v>9759</v>
      </c>
      <c r="E11557" s="3">
        <v>0</v>
      </c>
      <c r="F11557" s="2">
        <v>2405</v>
      </c>
      <c r="G11557" s="2">
        <v>100</v>
      </c>
      <c r="H11557" s="2">
        <v>462</v>
      </c>
      <c r="I11557" s="2">
        <v>265</v>
      </c>
      <c r="J11557" s="2">
        <v>1650</v>
      </c>
      <c r="K11557" s="2">
        <v>1</v>
      </c>
      <c r="L11557" s="2">
        <v>462</v>
      </c>
    </row>
    <row r="11558" spans="1:12" x14ac:dyDescent="0.25">
      <c r="A11558" s="4" t="str">
        <f>HYPERLINK("http://www.rosaceae.org/Prunus/Prunus_persica/p.persica_gdr_reftransV1_0009010","p.persica_gdr_reftransV1_0009010")</f>
        <v>p.persica_gdr_reftransV1_0009010</v>
      </c>
      <c r="B11558" s="2">
        <v>4111</v>
      </c>
      <c r="C11558" s="4" t="str">
        <f>HYPERLINK("http://www.uniprot.org/uniprot/M5WCY1","M5WCY1")</f>
        <v>M5WCY1</v>
      </c>
      <c r="D11558" s="2" t="s">
        <v>9760</v>
      </c>
      <c r="E11558" s="3">
        <v>0</v>
      </c>
      <c r="F11558" s="2">
        <v>5773</v>
      </c>
      <c r="G11558" s="2">
        <v>100</v>
      </c>
      <c r="H11558" s="2">
        <v>1126</v>
      </c>
      <c r="I11558" s="2">
        <v>460</v>
      </c>
      <c r="J11558" s="2">
        <v>3837</v>
      </c>
      <c r="K11558" s="2">
        <v>1</v>
      </c>
      <c r="L11558" s="2">
        <v>1126</v>
      </c>
    </row>
    <row r="11559" spans="1:12" x14ac:dyDescent="0.25">
      <c r="A11559" s="4" t="str">
        <f>HYPERLINK("http://www.rosaceae.org/Prunus/Prunus_persica/p.persica_gdr_reftransV1_0010060","p.persica_gdr_reftransV1_0010060")</f>
        <v>p.persica_gdr_reftransV1_0010060</v>
      </c>
      <c r="B11559" s="2">
        <v>1252</v>
      </c>
      <c r="C11559" s="4" t="str">
        <f>HYPERLINK("http://www.uniprot.org/uniprot/M5XYE5","M5XYE5")</f>
        <v>M5XYE5</v>
      </c>
      <c r="D11559" s="2" t="s">
        <v>9761</v>
      </c>
      <c r="E11559" s="3">
        <v>0</v>
      </c>
      <c r="F11559" s="2">
        <v>1640</v>
      </c>
      <c r="G11559" s="2">
        <v>98</v>
      </c>
      <c r="H11559" s="2">
        <v>346</v>
      </c>
      <c r="I11559" s="2">
        <v>115</v>
      </c>
      <c r="J11559" s="2">
        <v>1152</v>
      </c>
      <c r="K11559" s="2">
        <v>1</v>
      </c>
      <c r="L11559" s="2">
        <v>346</v>
      </c>
    </row>
    <row r="11560" spans="1:12" x14ac:dyDescent="0.25">
      <c r="A11560" s="4" t="str">
        <f>HYPERLINK("http://www.rosaceae.org/Prunus/Prunus_persica/p.persica_gdr_reftransV1_0011110","p.persica_gdr_reftransV1_0011110")</f>
        <v>p.persica_gdr_reftransV1_0011110</v>
      </c>
      <c r="B11560" s="2">
        <v>2231</v>
      </c>
      <c r="C11560" s="4" t="str">
        <f>HYPERLINK("http://www.uniprot.org/uniprot/M5XAU7","M5XAU7")</f>
        <v>M5XAU7</v>
      </c>
      <c r="D11560" s="2" t="s">
        <v>5991</v>
      </c>
      <c r="E11560" s="3">
        <v>0</v>
      </c>
      <c r="F11560" s="2">
        <v>3584</v>
      </c>
      <c r="G11560" s="2">
        <v>100</v>
      </c>
      <c r="H11560" s="2">
        <v>657</v>
      </c>
      <c r="I11560" s="2">
        <v>1</v>
      </c>
      <c r="J11560" s="2">
        <v>1971</v>
      </c>
      <c r="K11560" s="2">
        <v>103</v>
      </c>
      <c r="L11560" s="2">
        <v>759</v>
      </c>
    </row>
    <row r="11561" spans="1:12" x14ac:dyDescent="0.25">
      <c r="A11561" s="4" t="str">
        <f>HYPERLINK("http://www.rosaceae.org/Prunus/Prunus_persica/p.persica_gdr_reftransV1_0011460","p.persica_gdr_reftransV1_0011460")</f>
        <v>p.persica_gdr_reftransV1_0011460</v>
      </c>
      <c r="B11561" s="2">
        <v>1664</v>
      </c>
      <c r="C11561" s="4" t="str">
        <f>HYPERLINK("http://www.uniprot.org/uniprot/M5W2N0","M5W2N0")</f>
        <v>M5W2N0</v>
      </c>
      <c r="D11561" s="2" t="s">
        <v>1246</v>
      </c>
      <c r="E11561" s="3">
        <v>0</v>
      </c>
      <c r="F11561" s="2">
        <v>1519</v>
      </c>
      <c r="G11561" s="2">
        <v>100</v>
      </c>
      <c r="H11561" s="2">
        <v>334</v>
      </c>
      <c r="I11561" s="2">
        <v>3</v>
      </c>
      <c r="J11561" s="2">
        <v>1004</v>
      </c>
      <c r="K11561" s="2">
        <v>1</v>
      </c>
      <c r="L11561" s="2">
        <v>334</v>
      </c>
    </row>
    <row r="11562" spans="1:12" x14ac:dyDescent="0.25">
      <c r="A11562" s="4" t="str">
        <f>HYPERLINK("http://www.rosaceae.org/Prunus/Prunus_persica/p.persica_gdr_reftransV1_0012160","p.persica_gdr_reftransV1_0012160")</f>
        <v>p.persica_gdr_reftransV1_0012160</v>
      </c>
      <c r="B11562" s="2">
        <v>3059</v>
      </c>
      <c r="C11562" s="4" t="str">
        <f>HYPERLINK("http://www.uniprot.org/uniprot/B9RV63","B9RV63")</f>
        <v>B9RV63</v>
      </c>
      <c r="D11562" s="2" t="s">
        <v>9762</v>
      </c>
      <c r="E11562" s="3">
        <v>0</v>
      </c>
      <c r="F11562" s="2">
        <v>2882</v>
      </c>
      <c r="G11562" s="2">
        <v>69</v>
      </c>
      <c r="H11562" s="2">
        <v>776</v>
      </c>
      <c r="I11562" s="2">
        <v>291</v>
      </c>
      <c r="J11562" s="2">
        <v>2612</v>
      </c>
      <c r="K11562" s="2">
        <v>1</v>
      </c>
      <c r="L11562" s="2">
        <v>774</v>
      </c>
    </row>
    <row r="11563" spans="1:12" x14ac:dyDescent="0.25">
      <c r="A11563" s="4" t="str">
        <f>HYPERLINK("http://www.rosaceae.org/Prunus/Prunus_persica/p.persica_gdr_reftransV1_0012860","p.persica_gdr_reftransV1_0012860")</f>
        <v>p.persica_gdr_reftransV1_0012860</v>
      </c>
      <c r="B11563" s="2">
        <v>382</v>
      </c>
      <c r="C11563" s="4" t="str">
        <f>HYPERLINK("http://www.uniprot.org/uniprot/M5WIJ2","M5WIJ2")</f>
        <v>M5WIJ2</v>
      </c>
      <c r="D11563" s="2" t="s">
        <v>9763</v>
      </c>
      <c r="E11563" s="3">
        <v>2.0099999999999999E-85</v>
      </c>
      <c r="F11563" s="2">
        <v>682</v>
      </c>
      <c r="G11563" s="2">
        <v>100</v>
      </c>
      <c r="H11563" s="2">
        <v>127</v>
      </c>
      <c r="I11563" s="2">
        <v>2</v>
      </c>
      <c r="J11563" s="2">
        <v>382</v>
      </c>
      <c r="K11563" s="2">
        <v>260</v>
      </c>
      <c r="L11563" s="2">
        <v>386</v>
      </c>
    </row>
    <row r="11564" spans="1:12" x14ac:dyDescent="0.25">
      <c r="A11564" s="4" t="str">
        <f>HYPERLINK("http://www.rosaceae.org/Prunus/Prunus_persica/p.persica_gdr_reftransV1_0013210","p.persica_gdr_reftransV1_0013210")</f>
        <v>p.persica_gdr_reftransV1_0013210</v>
      </c>
      <c r="B11564" s="2">
        <v>3114</v>
      </c>
      <c r="C11564" s="4" t="str">
        <f>HYPERLINK("http://www.uniprot.org/uniprot/M5VLF1","M5VLF1")</f>
        <v>M5VLF1</v>
      </c>
      <c r="D11564" s="2" t="s">
        <v>9764</v>
      </c>
      <c r="E11564" s="3">
        <v>0</v>
      </c>
      <c r="F11564" s="2">
        <v>2032</v>
      </c>
      <c r="G11564" s="2">
        <v>99</v>
      </c>
      <c r="H11564" s="2">
        <v>380</v>
      </c>
      <c r="I11564" s="2">
        <v>1974</v>
      </c>
      <c r="J11564" s="2">
        <v>3113</v>
      </c>
      <c r="K11564" s="2">
        <v>182</v>
      </c>
      <c r="L11564" s="2">
        <v>561</v>
      </c>
    </row>
    <row r="11565" spans="1:12" x14ac:dyDescent="0.25">
      <c r="A11565" s="4" t="str">
        <f>HYPERLINK("http://www.rosaceae.org/Prunus/Prunus_persica/p.persica_gdr_reftransV1_0014610","p.persica_gdr_reftransV1_0014610")</f>
        <v>p.persica_gdr_reftransV1_0014610</v>
      </c>
      <c r="B11565" s="2">
        <v>2384</v>
      </c>
      <c r="C11565" s="4" t="str">
        <f>HYPERLINK("http://www.uniprot.org/uniprot/M5VY74","M5VY74")</f>
        <v>M5VY74</v>
      </c>
      <c r="D11565" s="2" t="s">
        <v>9765</v>
      </c>
      <c r="E11565" s="3">
        <v>0</v>
      </c>
      <c r="F11565" s="2">
        <v>1987</v>
      </c>
      <c r="G11565" s="2">
        <v>99</v>
      </c>
      <c r="H11565" s="2">
        <v>434</v>
      </c>
      <c r="I11565" s="2">
        <v>490</v>
      </c>
      <c r="J11565" s="2">
        <v>1791</v>
      </c>
      <c r="K11565" s="2">
        <v>2</v>
      </c>
      <c r="L11565" s="2">
        <v>435</v>
      </c>
    </row>
    <row r="11566" spans="1:12" x14ac:dyDescent="0.25">
      <c r="A11566" s="4" t="str">
        <f>HYPERLINK("http://www.rosaceae.org/Prunus/Prunus_persica/p.persica_gdr_reftransV1_0015310","p.persica_gdr_reftransV1_0015310")</f>
        <v>p.persica_gdr_reftransV1_0015310</v>
      </c>
      <c r="B11566" s="2">
        <v>1797</v>
      </c>
      <c r="C11566" s="4" t="str">
        <f>HYPERLINK("http://www.uniprot.org/uniprot/M5XL33","M5XL33")</f>
        <v>M5XL33</v>
      </c>
      <c r="D11566" s="2" t="s">
        <v>9766</v>
      </c>
      <c r="E11566" s="3">
        <v>0</v>
      </c>
      <c r="F11566" s="2">
        <v>1966</v>
      </c>
      <c r="G11566" s="2">
        <v>100</v>
      </c>
      <c r="H11566" s="2">
        <v>383</v>
      </c>
      <c r="I11566" s="2">
        <v>375</v>
      </c>
      <c r="J11566" s="2">
        <v>1523</v>
      </c>
      <c r="K11566" s="2">
        <v>1</v>
      </c>
      <c r="L11566" s="2">
        <v>383</v>
      </c>
    </row>
    <row r="11567" spans="1:12" x14ac:dyDescent="0.25">
      <c r="A11567" s="4" t="str">
        <f>HYPERLINK("http://www.rosaceae.org/Prunus/Prunus_persica/p.persica_gdr_reftransV1_0015660","p.persica_gdr_reftransV1_0015660")</f>
        <v>p.persica_gdr_reftransV1_0015660</v>
      </c>
      <c r="B11567" s="2">
        <v>1137</v>
      </c>
      <c r="C11567" s="4" t="str">
        <f>HYPERLINK("http://www.uniprot.org/uniprot/M5WV92","M5WV92")</f>
        <v>M5WV92</v>
      </c>
      <c r="D11567" s="2" t="s">
        <v>9767</v>
      </c>
      <c r="E11567" s="3">
        <v>3.37E-103</v>
      </c>
      <c r="F11567" s="2">
        <v>807</v>
      </c>
      <c r="G11567" s="2">
        <v>100</v>
      </c>
      <c r="H11567" s="2">
        <v>207</v>
      </c>
      <c r="I11567" s="2">
        <v>437</v>
      </c>
      <c r="J11567" s="2">
        <v>1057</v>
      </c>
      <c r="K11567" s="2">
        <v>1</v>
      </c>
      <c r="L11567" s="2">
        <v>207</v>
      </c>
    </row>
    <row r="11568" spans="1:12" x14ac:dyDescent="0.25">
      <c r="A11568" s="4" t="str">
        <f>HYPERLINK("http://www.rosaceae.org/Prunus/Prunus_persica/p.persica_gdr_reftransV1_0016710","p.persica_gdr_reftransV1_0016710")</f>
        <v>p.persica_gdr_reftransV1_0016710</v>
      </c>
      <c r="B11568" s="2">
        <v>2384</v>
      </c>
      <c r="C11568" s="4" t="str">
        <f>HYPERLINK("http://www.uniprot.org/uniprot/M5XGK1","M5XGK1")</f>
        <v>M5XGK1</v>
      </c>
      <c r="D11568" s="2" t="s">
        <v>9768</v>
      </c>
      <c r="E11568" s="3">
        <v>0</v>
      </c>
      <c r="F11568" s="2">
        <v>3321</v>
      </c>
      <c r="G11568" s="2">
        <v>100</v>
      </c>
      <c r="H11568" s="2">
        <v>650</v>
      </c>
      <c r="I11568" s="2">
        <v>30</v>
      </c>
      <c r="J11568" s="2">
        <v>1979</v>
      </c>
      <c r="K11568" s="2">
        <v>5</v>
      </c>
      <c r="L11568" s="2">
        <v>654</v>
      </c>
    </row>
    <row r="11569" spans="1:12" x14ac:dyDescent="0.25">
      <c r="A11569" s="4" t="str">
        <f>HYPERLINK("http://www.rosaceae.org/Prunus/Prunus_persica/p.persica_gdr_reftransV1_0017060","p.persica_gdr_reftransV1_0017060")</f>
        <v>p.persica_gdr_reftransV1_0017060</v>
      </c>
      <c r="B11569" s="2">
        <v>1909</v>
      </c>
      <c r="C11569" s="4" t="str">
        <f>HYPERLINK("http://www.uniprot.org/uniprot/M5XW55","M5XW55")</f>
        <v>M5XW55</v>
      </c>
      <c r="D11569" s="2" t="s">
        <v>9769</v>
      </c>
      <c r="E11569" s="3">
        <v>3.4000000000000001E-138</v>
      </c>
      <c r="F11569" s="2">
        <v>1086</v>
      </c>
      <c r="G11569" s="2">
        <v>100</v>
      </c>
      <c r="H11569" s="2">
        <v>232</v>
      </c>
      <c r="I11569" s="2">
        <v>781</v>
      </c>
      <c r="J11569" s="2">
        <v>1476</v>
      </c>
      <c r="K11569" s="2">
        <v>197</v>
      </c>
      <c r="L11569" s="2">
        <v>428</v>
      </c>
    </row>
    <row r="11570" spans="1:12" x14ac:dyDescent="0.25">
      <c r="A11570" s="4" t="str">
        <f>HYPERLINK("http://www.rosaceae.org/Prunus/Prunus_persica/p.persica_gdr_reftransV1_0018460","p.persica_gdr_reftransV1_0018460")</f>
        <v>p.persica_gdr_reftransV1_0018460</v>
      </c>
      <c r="B11570" s="2">
        <v>2810</v>
      </c>
      <c r="C11570" s="4" t="str">
        <f>HYPERLINK("http://www.uniprot.org/uniprot/M5X122","M5X122")</f>
        <v>M5X122</v>
      </c>
      <c r="D11570" s="2" t="s">
        <v>9770</v>
      </c>
      <c r="E11570" s="3">
        <v>0</v>
      </c>
      <c r="F11570" s="2">
        <v>2143</v>
      </c>
      <c r="G11570" s="2">
        <v>100</v>
      </c>
      <c r="H11570" s="2">
        <v>452</v>
      </c>
      <c r="I11570" s="2">
        <v>396</v>
      </c>
      <c r="J11570" s="2">
        <v>1751</v>
      </c>
      <c r="K11570" s="2">
        <v>10</v>
      </c>
      <c r="L11570" s="2">
        <v>461</v>
      </c>
    </row>
    <row r="11571" spans="1:12" x14ac:dyDescent="0.25">
      <c r="A11571" s="4" t="str">
        <f>HYPERLINK("http://www.rosaceae.org/Prunus/Prunus_persica/p.persica_gdr_reftransV1_0018810","p.persica_gdr_reftransV1_0018810")</f>
        <v>p.persica_gdr_reftransV1_0018810</v>
      </c>
      <c r="B11571" s="2">
        <v>1489</v>
      </c>
      <c r="C11571" s="4" t="str">
        <f>HYPERLINK("http://www.uniprot.org/uniprot/J3ML17","J3ML17")</f>
        <v>J3ML17</v>
      </c>
      <c r="D11571" s="2" t="s">
        <v>6725</v>
      </c>
      <c r="E11571" s="3">
        <v>3.53E-83</v>
      </c>
      <c r="F11571" s="2">
        <v>684</v>
      </c>
      <c r="G11571" s="2">
        <v>100</v>
      </c>
      <c r="H11571" s="2">
        <v>130</v>
      </c>
      <c r="I11571" s="2">
        <v>885</v>
      </c>
      <c r="J11571" s="2">
        <v>1274</v>
      </c>
      <c r="K11571" s="2">
        <v>1</v>
      </c>
      <c r="L11571" s="2">
        <v>130</v>
      </c>
    </row>
    <row r="11572" spans="1:12" x14ac:dyDescent="0.25">
      <c r="A11572" s="4" t="str">
        <f>HYPERLINK("http://www.rosaceae.org/Prunus/Prunus_persica/p.persica_gdr_reftransV1_0019510","p.persica_gdr_reftransV1_0019510")</f>
        <v>p.persica_gdr_reftransV1_0019510</v>
      </c>
      <c r="B11572" s="2">
        <v>2570</v>
      </c>
      <c r="C11572" s="4" t="str">
        <f>HYPERLINK("http://www.uniprot.org/uniprot/M5WCP0","M5WCP0")</f>
        <v>M5WCP0</v>
      </c>
      <c r="D11572" s="2" t="s">
        <v>9771</v>
      </c>
      <c r="E11572" s="3">
        <v>0</v>
      </c>
      <c r="F11572" s="2">
        <v>2810</v>
      </c>
      <c r="G11572" s="2">
        <v>99</v>
      </c>
      <c r="H11572" s="2">
        <v>570</v>
      </c>
      <c r="I11572" s="2">
        <v>157</v>
      </c>
      <c r="J11572" s="2">
        <v>1866</v>
      </c>
      <c r="K11572" s="2">
        <v>78</v>
      </c>
      <c r="L11572" s="2">
        <v>647</v>
      </c>
    </row>
    <row r="11573" spans="1:12" x14ac:dyDescent="0.25">
      <c r="A11573" s="4" t="str">
        <f>HYPERLINK("http://www.rosaceae.org/Prunus/Prunus_persica/p.persica_gdr_reftransV1_0020560","p.persica_gdr_reftransV1_0020560")</f>
        <v>p.persica_gdr_reftransV1_0020560</v>
      </c>
      <c r="B11573" s="2">
        <v>3643</v>
      </c>
      <c r="C11573" s="4" t="str">
        <f>HYPERLINK("http://www.uniprot.org/uniprot/M5W2P4","M5W2P4")</f>
        <v>M5W2P4</v>
      </c>
      <c r="D11573" s="2" t="s">
        <v>3429</v>
      </c>
      <c r="E11573" s="3">
        <v>0</v>
      </c>
      <c r="F11573" s="2">
        <v>3624</v>
      </c>
      <c r="G11573" s="2">
        <v>100</v>
      </c>
      <c r="H11573" s="2">
        <v>757</v>
      </c>
      <c r="I11573" s="2">
        <v>175</v>
      </c>
      <c r="J11573" s="2">
        <v>2445</v>
      </c>
      <c r="K11573" s="2">
        <v>257</v>
      </c>
      <c r="L11573" s="2">
        <v>1013</v>
      </c>
    </row>
    <row r="11574" spans="1:12" x14ac:dyDescent="0.25">
      <c r="A11574" s="4" t="str">
        <f>HYPERLINK("http://www.rosaceae.org/Prunus/Prunus_persica/p.persica_gdr_reftransV1_0021960","p.persica_gdr_reftransV1_0021960")</f>
        <v>p.persica_gdr_reftransV1_0021960</v>
      </c>
      <c r="B11574" s="2">
        <v>592</v>
      </c>
      <c r="C11574" s="4" t="str">
        <f>HYPERLINK("http://www.uniprot.org/uniprot/M5W6J8","M5W6J8")</f>
        <v>M5W6J8</v>
      </c>
      <c r="D11574" s="2" t="s">
        <v>2172</v>
      </c>
      <c r="E11574" s="3">
        <v>3.0399999999999998E-104</v>
      </c>
      <c r="F11574" s="2">
        <v>805</v>
      </c>
      <c r="G11574" s="2">
        <v>100</v>
      </c>
      <c r="H11574" s="2">
        <v>150</v>
      </c>
      <c r="I11574" s="2">
        <v>2</v>
      </c>
      <c r="J11574" s="2">
        <v>451</v>
      </c>
      <c r="K11574" s="2">
        <v>1</v>
      </c>
      <c r="L11574" s="2">
        <v>150</v>
      </c>
    </row>
    <row r="11575" spans="1:12" x14ac:dyDescent="0.25">
      <c r="A11575" s="4" t="str">
        <f>HYPERLINK("http://www.rosaceae.org/Prunus/Prunus_persica/p.persica_gdr_reftransV1_0023010","p.persica_gdr_reftransV1_0023010")</f>
        <v>p.persica_gdr_reftransV1_0023010</v>
      </c>
      <c r="B11575" s="2">
        <v>832</v>
      </c>
      <c r="C11575" s="4" t="str">
        <f>HYPERLINK("http://www.uniprot.org/uniprot/M5VXE7","M5VXE7")</f>
        <v>M5VXE7</v>
      </c>
      <c r="D11575" s="2" t="s">
        <v>7002</v>
      </c>
      <c r="E11575" s="3">
        <v>1.6400000000000001E-101</v>
      </c>
      <c r="F11575" s="2">
        <v>780</v>
      </c>
      <c r="G11575" s="2">
        <v>86</v>
      </c>
      <c r="H11575" s="2">
        <v>182</v>
      </c>
      <c r="I11575" s="2">
        <v>120</v>
      </c>
      <c r="J11575" s="2">
        <v>665</v>
      </c>
      <c r="K11575" s="2">
        <v>1</v>
      </c>
      <c r="L11575" s="2">
        <v>156</v>
      </c>
    </row>
    <row r="11576" spans="1:12" x14ac:dyDescent="0.25">
      <c r="A11576" s="4" t="str">
        <f>HYPERLINK("http://www.rosaceae.org/Prunus/Prunus_persica/p.persica_gdr_reftransV1_0025810","p.persica_gdr_reftransV1_0025810")</f>
        <v>p.persica_gdr_reftransV1_0025810</v>
      </c>
      <c r="B11576" s="2">
        <v>2515</v>
      </c>
      <c r="C11576" s="4" t="str">
        <f>HYPERLINK("http://www.uniprot.org/uniprot/M5XEE8","M5XEE8")</f>
        <v>M5XEE8</v>
      </c>
      <c r="D11576" s="2" t="s">
        <v>4916</v>
      </c>
      <c r="E11576" s="3">
        <v>2.07E-176</v>
      </c>
      <c r="F11576" s="2">
        <v>1361</v>
      </c>
      <c r="G11576" s="2">
        <v>90</v>
      </c>
      <c r="H11576" s="2">
        <v>345</v>
      </c>
      <c r="I11576" s="2">
        <v>197</v>
      </c>
      <c r="J11576" s="2">
        <v>1210</v>
      </c>
      <c r="K11576" s="2">
        <v>1</v>
      </c>
      <c r="L11576" s="2">
        <v>345</v>
      </c>
    </row>
    <row r="11577" spans="1:12" x14ac:dyDescent="0.25">
      <c r="A11577" s="4" t="str">
        <f>HYPERLINK("http://www.rosaceae.org/Prunus/Prunus_persica/p.persica_gdr_reftransV1_0026160","p.persica_gdr_reftransV1_0026160")</f>
        <v>p.persica_gdr_reftransV1_0026160</v>
      </c>
      <c r="B11577" s="2">
        <v>1432</v>
      </c>
      <c r="C11577" s="4" t="str">
        <f>HYPERLINK("http://www.uniprot.org/uniprot/M5Y1V8","M5Y1V8")</f>
        <v>M5Y1V8</v>
      </c>
      <c r="D11577" s="2" t="s">
        <v>9772</v>
      </c>
      <c r="E11577" s="3">
        <v>1.8200000000000001E-92</v>
      </c>
      <c r="F11577" s="2">
        <v>741</v>
      </c>
      <c r="G11577" s="2">
        <v>100</v>
      </c>
      <c r="H11577" s="2">
        <v>174</v>
      </c>
      <c r="I11577" s="2">
        <v>394</v>
      </c>
      <c r="J11577" s="2">
        <v>915</v>
      </c>
      <c r="K11577" s="2">
        <v>1</v>
      </c>
      <c r="L11577" s="2">
        <v>174</v>
      </c>
    </row>
    <row r="11578" spans="1:12" x14ac:dyDescent="0.25">
      <c r="A11578" s="4" t="str">
        <f>HYPERLINK("http://www.rosaceae.org/Prunus/Prunus_persica/p.persica_gdr_reftransV1_0026510","p.persica_gdr_reftransV1_0026510")</f>
        <v>p.persica_gdr_reftransV1_0026510</v>
      </c>
      <c r="B11578" s="2">
        <v>1548</v>
      </c>
      <c r="C11578" s="4" t="str">
        <f>HYPERLINK("http://www.uniprot.org/uniprot/M5XBN7","M5XBN7")</f>
        <v>M5XBN7</v>
      </c>
      <c r="D11578" s="2" t="s">
        <v>9773</v>
      </c>
      <c r="E11578" s="3">
        <v>2.07E-168</v>
      </c>
      <c r="F11578" s="2">
        <v>1266</v>
      </c>
      <c r="G11578" s="2">
        <v>100</v>
      </c>
      <c r="H11578" s="2">
        <v>348</v>
      </c>
      <c r="I11578" s="2">
        <v>248</v>
      </c>
      <c r="J11578" s="2">
        <v>1291</v>
      </c>
      <c r="K11578" s="2">
        <v>1</v>
      </c>
      <c r="L11578" s="2">
        <v>348</v>
      </c>
    </row>
    <row r="11579" spans="1:12" x14ac:dyDescent="0.25">
      <c r="A11579" s="4" t="str">
        <f>HYPERLINK("http://www.rosaceae.org/Prunus/Prunus_persica/p.persica_gdr_reftransV1_0026860","p.persica_gdr_reftransV1_0026860")</f>
        <v>p.persica_gdr_reftransV1_0026860</v>
      </c>
      <c r="B11579" s="2">
        <v>714</v>
      </c>
      <c r="C11579" s="4" t="str">
        <f>HYPERLINK("http://www.uniprot.org/uniprot/M5XCT1","M5XCT1")</f>
        <v>M5XCT1</v>
      </c>
      <c r="D11579" s="2" t="s">
        <v>9774</v>
      </c>
      <c r="E11579" s="3">
        <v>2.6699999999999999E-169</v>
      </c>
      <c r="F11579" s="2">
        <v>1267</v>
      </c>
      <c r="G11579" s="2">
        <v>100</v>
      </c>
      <c r="H11579" s="2">
        <v>237</v>
      </c>
      <c r="I11579" s="2">
        <v>3</v>
      </c>
      <c r="J11579" s="2">
        <v>713</v>
      </c>
      <c r="K11579" s="2">
        <v>362</v>
      </c>
      <c r="L11579" s="2">
        <v>598</v>
      </c>
    </row>
    <row r="11580" spans="1:12" x14ac:dyDescent="0.25">
      <c r="A11580" s="4" t="str">
        <f>HYPERLINK("http://www.rosaceae.org/Prunus/Prunus_persica/p.persica_gdr_reftransV1_0027560","p.persica_gdr_reftransV1_0027560")</f>
        <v>p.persica_gdr_reftransV1_0027560</v>
      </c>
      <c r="B11580" s="2">
        <v>3000</v>
      </c>
      <c r="C11580" s="4" t="str">
        <f>HYPERLINK("http://www.uniprot.org/uniprot/M5Y1S5","M5Y1S5")</f>
        <v>M5Y1S5</v>
      </c>
      <c r="D11580" s="2" t="s">
        <v>9775</v>
      </c>
      <c r="E11580" s="3">
        <v>1.67E-88</v>
      </c>
      <c r="F11580" s="2">
        <v>755</v>
      </c>
      <c r="G11580" s="2">
        <v>100</v>
      </c>
      <c r="H11580" s="2">
        <v>147</v>
      </c>
      <c r="I11580" s="2">
        <v>216</v>
      </c>
      <c r="J11580" s="2">
        <v>656</v>
      </c>
      <c r="K11580" s="2">
        <v>112</v>
      </c>
      <c r="L11580" s="2">
        <v>258</v>
      </c>
    </row>
    <row r="11581" spans="1:12" x14ac:dyDescent="0.25">
      <c r="A11581" s="4" t="str">
        <f>HYPERLINK("http://www.rosaceae.org/Prunus/Prunus_persica/p.persica_gdr_reftransV1_0027910","p.persica_gdr_reftransV1_0027910")</f>
        <v>p.persica_gdr_reftransV1_0027910</v>
      </c>
      <c r="B11581" s="2">
        <v>2108</v>
      </c>
      <c r="C11581" s="4" t="str">
        <f>HYPERLINK("http://www.uniprot.org/uniprot/M5X085","M5X085")</f>
        <v>M5X085</v>
      </c>
      <c r="D11581" s="2" t="s">
        <v>9776</v>
      </c>
      <c r="E11581" s="3">
        <v>0</v>
      </c>
      <c r="F11581" s="2">
        <v>1392</v>
      </c>
      <c r="G11581" s="2">
        <v>100</v>
      </c>
      <c r="H11581" s="2">
        <v>325</v>
      </c>
      <c r="I11581" s="2">
        <v>912</v>
      </c>
      <c r="J11581" s="2">
        <v>1886</v>
      </c>
      <c r="K11581" s="2">
        <v>1</v>
      </c>
      <c r="L11581" s="2">
        <v>325</v>
      </c>
    </row>
    <row r="11582" spans="1:12" x14ac:dyDescent="0.25">
      <c r="A11582" s="4" t="str">
        <f>HYPERLINK("http://www.rosaceae.org/Prunus/Prunus_persica/p.persica_gdr_reftransV1_0028960","p.persica_gdr_reftransV1_0028960")</f>
        <v>p.persica_gdr_reftransV1_0028960</v>
      </c>
      <c r="B11582" s="2">
        <v>2595</v>
      </c>
      <c r="C11582" s="4" t="str">
        <f>HYPERLINK("http://www.uniprot.org/uniprot/M5X830","M5X830")</f>
        <v>M5X830</v>
      </c>
      <c r="D11582" s="2" t="s">
        <v>9777</v>
      </c>
      <c r="E11582" s="3">
        <v>0</v>
      </c>
      <c r="F11582" s="2">
        <v>2894</v>
      </c>
      <c r="G11582" s="2">
        <v>100</v>
      </c>
      <c r="H11582" s="2">
        <v>717</v>
      </c>
      <c r="I11582" s="2">
        <v>235</v>
      </c>
      <c r="J11582" s="2">
        <v>2385</v>
      </c>
      <c r="K11582" s="2">
        <v>14</v>
      </c>
      <c r="L11582" s="2">
        <v>730</v>
      </c>
    </row>
    <row r="11583" spans="1:12" x14ac:dyDescent="0.25">
      <c r="A11583" s="4" t="str">
        <f>HYPERLINK("http://www.rosaceae.org/Prunus/Prunus_persica/p.persica_gdr_reftransV1_0029310","p.persica_gdr_reftransV1_0029310")</f>
        <v>p.persica_gdr_reftransV1_0029310</v>
      </c>
      <c r="B11583" s="2">
        <v>1966</v>
      </c>
      <c r="C11583" s="4" t="str">
        <f>HYPERLINK("http://www.uniprot.org/uniprot/M5X8K4","M5X8K4")</f>
        <v>M5X8K4</v>
      </c>
      <c r="D11583" s="2" t="s">
        <v>6690</v>
      </c>
      <c r="E11583" s="3">
        <v>9.2600000000000004E-125</v>
      </c>
      <c r="F11583" s="2">
        <v>1007</v>
      </c>
      <c r="G11583" s="2">
        <v>100</v>
      </c>
      <c r="H11583" s="2">
        <v>205</v>
      </c>
      <c r="I11583" s="2">
        <v>1066</v>
      </c>
      <c r="J11583" s="2">
        <v>1680</v>
      </c>
      <c r="K11583" s="2">
        <v>321</v>
      </c>
      <c r="L11583" s="2">
        <v>525</v>
      </c>
    </row>
    <row r="11584" spans="1:12" x14ac:dyDescent="0.25">
      <c r="A11584" s="4" t="str">
        <f>HYPERLINK("http://www.rosaceae.org/Prunus/Prunus_persica/p.persica_gdr_reftransV1_0030010","p.persica_gdr_reftransV1_0030010")</f>
        <v>p.persica_gdr_reftransV1_0030010</v>
      </c>
      <c r="B11584" s="2">
        <v>1857</v>
      </c>
      <c r="C11584" s="4" t="str">
        <f>HYPERLINK("http://www.uniprot.org/uniprot/M5W2F1","M5W2F1")</f>
        <v>M5W2F1</v>
      </c>
      <c r="D11584" s="2" t="s">
        <v>9778</v>
      </c>
      <c r="E11584" s="3">
        <v>0</v>
      </c>
      <c r="F11584" s="2">
        <v>1632</v>
      </c>
      <c r="G11584" s="2">
        <v>100</v>
      </c>
      <c r="H11584" s="2">
        <v>327</v>
      </c>
      <c r="I11584" s="2">
        <v>685</v>
      </c>
      <c r="J11584" s="2">
        <v>1665</v>
      </c>
      <c r="K11584" s="2">
        <v>1</v>
      </c>
      <c r="L11584" s="2">
        <v>327</v>
      </c>
    </row>
    <row r="11585" spans="1:12" x14ac:dyDescent="0.25">
      <c r="A11585" s="4" t="str">
        <f>HYPERLINK("http://www.rosaceae.org/Prunus/Prunus_persica/p.persica_gdr_reftransV1_0030360","p.persica_gdr_reftransV1_0030360")</f>
        <v>p.persica_gdr_reftransV1_0030360</v>
      </c>
      <c r="B11585" s="2">
        <v>1112</v>
      </c>
      <c r="C11585" s="4" t="str">
        <f>HYPERLINK("http://www.uniprot.org/uniprot/M5WSE6","M5WSE6")</f>
        <v>M5WSE6</v>
      </c>
      <c r="D11585" s="2" t="s">
        <v>9779</v>
      </c>
      <c r="E11585" s="3">
        <v>0</v>
      </c>
      <c r="F11585" s="2">
        <v>1572</v>
      </c>
      <c r="G11585" s="2">
        <v>100</v>
      </c>
      <c r="H11585" s="2">
        <v>295</v>
      </c>
      <c r="I11585" s="2">
        <v>227</v>
      </c>
      <c r="J11585" s="2">
        <v>1111</v>
      </c>
      <c r="K11585" s="2">
        <v>142</v>
      </c>
      <c r="L11585" s="2">
        <v>436</v>
      </c>
    </row>
    <row r="11586" spans="1:12" x14ac:dyDescent="0.25">
      <c r="A11586" s="4" t="str">
        <f>HYPERLINK("http://www.rosaceae.org/Prunus/Prunus_persica/p.persica_gdr_reftransV1_0031060","p.persica_gdr_reftransV1_0031060")</f>
        <v>p.persica_gdr_reftransV1_0031060</v>
      </c>
      <c r="B11586" s="2">
        <v>1281</v>
      </c>
      <c r="C11586" s="4" t="str">
        <f>HYPERLINK("http://www.uniprot.org/uniprot/M5VYS0","M5VYS0")</f>
        <v>M5VYS0</v>
      </c>
      <c r="D11586" s="2" t="s">
        <v>9780</v>
      </c>
      <c r="E11586" s="3">
        <v>4.9499999999999997E-168</v>
      </c>
      <c r="F11586" s="2">
        <v>1271</v>
      </c>
      <c r="G11586" s="2">
        <v>99</v>
      </c>
      <c r="H11586" s="2">
        <v>248</v>
      </c>
      <c r="I11586" s="2">
        <v>360</v>
      </c>
      <c r="J11586" s="2">
        <v>1103</v>
      </c>
      <c r="K11586" s="2">
        <v>263</v>
      </c>
      <c r="L11586" s="2">
        <v>510</v>
      </c>
    </row>
    <row r="11587" spans="1:12" x14ac:dyDescent="0.25">
      <c r="A11587" s="4" t="str">
        <f>HYPERLINK("http://www.rosaceae.org/Prunus/Prunus_persica/p.persica_gdr_reftransV1_0032110","p.persica_gdr_reftransV1_0032110")</f>
        <v>p.persica_gdr_reftransV1_0032110</v>
      </c>
      <c r="B11587" s="2">
        <v>2682</v>
      </c>
      <c r="C11587" s="4" t="str">
        <f>HYPERLINK("http://www.uniprot.org/uniprot/M5XGI4","M5XGI4")</f>
        <v>M5XGI4</v>
      </c>
      <c r="D11587" s="2" t="s">
        <v>9781</v>
      </c>
      <c r="E11587" s="3">
        <v>0</v>
      </c>
      <c r="F11587" s="2">
        <v>2983</v>
      </c>
      <c r="G11587" s="2">
        <v>100</v>
      </c>
      <c r="H11587" s="2">
        <v>604</v>
      </c>
      <c r="I11587" s="2">
        <v>414</v>
      </c>
      <c r="J11587" s="2">
        <v>2225</v>
      </c>
      <c r="K11587" s="2">
        <v>1</v>
      </c>
      <c r="L11587" s="2">
        <v>604</v>
      </c>
    </row>
    <row r="11588" spans="1:12" x14ac:dyDescent="0.25">
      <c r="A11588" s="4" t="str">
        <f>HYPERLINK("http://www.rosaceae.org/Prunus/Prunus_persica/p.persica_gdr_reftransV1_0032810","p.persica_gdr_reftransV1_0032810")</f>
        <v>p.persica_gdr_reftransV1_0032810</v>
      </c>
      <c r="B11588" s="2">
        <v>2179</v>
      </c>
      <c r="C11588" s="4" t="str">
        <f>HYPERLINK("http://www.uniprot.org/uniprot/M5XC54","M5XC54")</f>
        <v>M5XC54</v>
      </c>
      <c r="D11588" s="2" t="s">
        <v>9782</v>
      </c>
      <c r="E11588" s="3">
        <v>1.3599999999999999E-178</v>
      </c>
      <c r="F11588" s="2">
        <v>1353</v>
      </c>
      <c r="G11588" s="2">
        <v>100</v>
      </c>
      <c r="H11588" s="2">
        <v>275</v>
      </c>
      <c r="I11588" s="2">
        <v>1191</v>
      </c>
      <c r="J11588" s="2">
        <v>2015</v>
      </c>
      <c r="K11588" s="2">
        <v>1</v>
      </c>
      <c r="L11588" s="2">
        <v>275</v>
      </c>
    </row>
    <row r="11589" spans="1:12" x14ac:dyDescent="0.25">
      <c r="A11589" s="4" t="str">
        <f>HYPERLINK("http://www.rosaceae.org/Prunus/Prunus_persica/p.persica_gdr_reftransV1_0033860","p.persica_gdr_reftransV1_0033860")</f>
        <v>p.persica_gdr_reftransV1_0033860</v>
      </c>
      <c r="B11589" s="2">
        <v>2840</v>
      </c>
      <c r="C11589" s="4" t="str">
        <f>HYPERLINK("http://www.uniprot.org/uniprot/M5WQH2","M5WQH2")</f>
        <v>M5WQH2</v>
      </c>
      <c r="D11589" s="2" t="s">
        <v>6730</v>
      </c>
      <c r="E11589" s="3">
        <v>0</v>
      </c>
      <c r="F11589" s="2">
        <v>3667</v>
      </c>
      <c r="G11589" s="2">
        <v>100</v>
      </c>
      <c r="H11589" s="2">
        <v>791</v>
      </c>
      <c r="I11589" s="2">
        <v>298</v>
      </c>
      <c r="J11589" s="2">
        <v>2670</v>
      </c>
      <c r="K11589" s="2">
        <v>1</v>
      </c>
      <c r="L11589" s="2">
        <v>791</v>
      </c>
    </row>
    <row r="11590" spans="1:12" x14ac:dyDescent="0.25">
      <c r="A11590" s="4" t="str">
        <f>HYPERLINK("http://www.rosaceae.org/Prunus/Prunus_persica/p.persica_gdr_reftransV1_0035610","p.persica_gdr_reftransV1_0035610")</f>
        <v>p.persica_gdr_reftransV1_0035610</v>
      </c>
      <c r="B11590" s="2">
        <v>1461</v>
      </c>
      <c r="C11590" s="4" t="str">
        <f>HYPERLINK("http://www.uniprot.org/uniprot/M5XC22","M5XC22")</f>
        <v>M5XC22</v>
      </c>
      <c r="D11590" s="2" t="s">
        <v>3490</v>
      </c>
      <c r="E11590" s="3">
        <v>2.6699999999999999E-87</v>
      </c>
      <c r="F11590" s="2">
        <v>711</v>
      </c>
      <c r="G11590" s="2">
        <v>99</v>
      </c>
      <c r="H11590" s="2">
        <v>133</v>
      </c>
      <c r="I11590" s="2">
        <v>195</v>
      </c>
      <c r="J11590" s="2">
        <v>593</v>
      </c>
      <c r="K11590" s="2">
        <v>1</v>
      </c>
      <c r="L11590" s="2">
        <v>133</v>
      </c>
    </row>
    <row r="11591" spans="1:12" x14ac:dyDescent="0.25">
      <c r="A11591" s="4" t="str">
        <f>HYPERLINK("http://www.rosaceae.org/Prunus/Prunus_persica/p.persica_gdr_reftransV1_0036310","p.persica_gdr_reftransV1_0036310")</f>
        <v>p.persica_gdr_reftransV1_0036310</v>
      </c>
      <c r="B11591" s="2">
        <v>1743</v>
      </c>
      <c r="C11591" s="4" t="str">
        <f>HYPERLINK("http://www.uniprot.org/uniprot/M5VS74","M5VS74")</f>
        <v>M5VS74</v>
      </c>
      <c r="D11591" s="2" t="s">
        <v>9783</v>
      </c>
      <c r="E11591" s="3">
        <v>9.6199999999999994E-173</v>
      </c>
      <c r="F11591" s="2">
        <v>1290</v>
      </c>
      <c r="G11591" s="2">
        <v>100</v>
      </c>
      <c r="H11591" s="2">
        <v>236</v>
      </c>
      <c r="I11591" s="2">
        <v>277</v>
      </c>
      <c r="J11591" s="2">
        <v>984</v>
      </c>
      <c r="K11591" s="2">
        <v>1</v>
      </c>
      <c r="L11591" s="2">
        <v>236</v>
      </c>
    </row>
    <row r="11592" spans="1:12" x14ac:dyDescent="0.25">
      <c r="A11592" s="4" t="str">
        <f>HYPERLINK("http://www.rosaceae.org/Prunus/Prunus_persica/p.persica_gdr_reftransV1_0037360","p.persica_gdr_reftransV1_0037360")</f>
        <v>p.persica_gdr_reftransV1_0037360</v>
      </c>
      <c r="B11592" s="2">
        <v>1634</v>
      </c>
      <c r="C11592" s="4" t="str">
        <f>HYPERLINK("http://www.uniprot.org/uniprot/M5X1L2","M5X1L2")</f>
        <v>M5X1L2</v>
      </c>
      <c r="D11592" s="2" t="s">
        <v>9784</v>
      </c>
      <c r="E11592" s="3">
        <v>0</v>
      </c>
      <c r="F11592" s="2">
        <v>1869</v>
      </c>
      <c r="G11592" s="2">
        <v>93</v>
      </c>
      <c r="H11592" s="2">
        <v>390</v>
      </c>
      <c r="I11592" s="2">
        <v>155</v>
      </c>
      <c r="J11592" s="2">
        <v>1324</v>
      </c>
      <c r="K11592" s="2">
        <v>1</v>
      </c>
      <c r="L11592" s="2">
        <v>361</v>
      </c>
    </row>
    <row r="11593" spans="1:12" x14ac:dyDescent="0.25">
      <c r="A11593" s="4" t="str">
        <f>HYPERLINK("http://www.rosaceae.org/Prunus/Prunus_persica/p.persica_gdr_reftransV1_0039460","p.persica_gdr_reftransV1_0039460")</f>
        <v>p.persica_gdr_reftransV1_0039460</v>
      </c>
      <c r="B11593" s="2">
        <v>2133</v>
      </c>
      <c r="C11593" s="4" t="str">
        <f>HYPERLINK("http://www.uniprot.org/uniprot/M5WTL5","M5WTL5")</f>
        <v>M5WTL5</v>
      </c>
      <c r="D11593" s="2" t="s">
        <v>9785</v>
      </c>
      <c r="E11593" s="3">
        <v>5.4699999999999997E-164</v>
      </c>
      <c r="F11593" s="2">
        <v>1247</v>
      </c>
      <c r="G11593" s="2">
        <v>100</v>
      </c>
      <c r="H11593" s="2">
        <v>266</v>
      </c>
      <c r="I11593" s="2">
        <v>591</v>
      </c>
      <c r="J11593" s="2">
        <v>1388</v>
      </c>
      <c r="K11593" s="2">
        <v>1</v>
      </c>
      <c r="L11593" s="2">
        <v>266</v>
      </c>
    </row>
    <row r="11594" spans="1:12" x14ac:dyDescent="0.25">
      <c r="A11594" s="4" t="str">
        <f>HYPERLINK("http://www.rosaceae.org/Prunus/Prunus_persica/p.persica_gdr_reftransV1_0040160","p.persica_gdr_reftransV1_0040160")</f>
        <v>p.persica_gdr_reftransV1_0040160</v>
      </c>
      <c r="B11594" s="2">
        <v>3424</v>
      </c>
      <c r="C11594" s="4" t="str">
        <f>HYPERLINK("http://www.uniprot.org/uniprot/M5X7I0","M5X7I0")</f>
        <v>M5X7I0</v>
      </c>
      <c r="D11594" s="2" t="s">
        <v>9786</v>
      </c>
      <c r="E11594" s="3">
        <v>1.0899999999999999E-56</v>
      </c>
      <c r="F11594" s="2">
        <v>431</v>
      </c>
      <c r="G11594" s="2">
        <v>100</v>
      </c>
      <c r="H11594" s="2">
        <v>140</v>
      </c>
      <c r="I11594" s="2">
        <v>2817</v>
      </c>
      <c r="J11594" s="2">
        <v>3236</v>
      </c>
      <c r="K11594" s="2">
        <v>106</v>
      </c>
      <c r="L11594" s="2">
        <v>245</v>
      </c>
    </row>
    <row r="11595" spans="1:12" x14ac:dyDescent="0.25">
      <c r="A11595" s="4" t="str">
        <f>HYPERLINK("http://www.rosaceae.org/Prunus/Prunus_persica/p.persica_gdr_reftransV1_0043310","p.persica_gdr_reftransV1_0043310")</f>
        <v>p.persica_gdr_reftransV1_0043310</v>
      </c>
      <c r="B11595" s="2">
        <v>357</v>
      </c>
      <c r="C11595" s="4" t="str">
        <f>HYPERLINK("http://www.uniprot.org/uniprot/M5WZI4","M5WZI4")</f>
        <v>M5WZI4</v>
      </c>
      <c r="D11595" s="2" t="s">
        <v>542</v>
      </c>
      <c r="E11595" s="3">
        <v>6.9100000000000006E-76</v>
      </c>
      <c r="F11595" s="2">
        <v>618</v>
      </c>
      <c r="G11595" s="2">
        <v>98</v>
      </c>
      <c r="H11595" s="2">
        <v>118</v>
      </c>
      <c r="I11595" s="2">
        <v>2</v>
      </c>
      <c r="J11595" s="2">
        <v>355</v>
      </c>
      <c r="K11595" s="2">
        <v>27</v>
      </c>
      <c r="L11595" s="2">
        <v>142</v>
      </c>
    </row>
    <row r="11596" spans="1:12" x14ac:dyDescent="0.25">
      <c r="A11596" s="4" t="str">
        <f>HYPERLINK("http://www.rosaceae.org/Prunus/Prunus_persica/p.persica_gdr_reftransV1_0043660","p.persica_gdr_reftransV1_0043660")</f>
        <v>p.persica_gdr_reftransV1_0043660</v>
      </c>
      <c r="B11596" s="2">
        <v>2901</v>
      </c>
      <c r="C11596" s="4" t="str">
        <f>HYPERLINK("http://www.uniprot.org/uniprot/M5VN89","M5VN89")</f>
        <v>M5VN89</v>
      </c>
      <c r="D11596" s="2" t="s">
        <v>9787</v>
      </c>
      <c r="E11596" s="3">
        <v>0</v>
      </c>
      <c r="F11596" s="2">
        <v>3831</v>
      </c>
      <c r="G11596" s="2">
        <v>98</v>
      </c>
      <c r="H11596" s="2">
        <v>838</v>
      </c>
      <c r="I11596" s="2">
        <v>195</v>
      </c>
      <c r="J11596" s="2">
        <v>2708</v>
      </c>
      <c r="K11596" s="2">
        <v>21</v>
      </c>
      <c r="L11596" s="2">
        <v>840</v>
      </c>
    </row>
    <row r="11597" spans="1:12" x14ac:dyDescent="0.25">
      <c r="A11597" s="4" t="str">
        <f>HYPERLINK("http://www.rosaceae.org/Prunus/Prunus_persica/p.persica_gdr_reftransV1_0044010","p.persica_gdr_reftransV1_0044010")</f>
        <v>p.persica_gdr_reftransV1_0044010</v>
      </c>
      <c r="B11597" s="2">
        <v>2586</v>
      </c>
      <c r="C11597" s="4" t="str">
        <f>HYPERLINK("http://www.uniprot.org/uniprot/M5WYQ3","M5WYQ3")</f>
        <v>M5WYQ3</v>
      </c>
      <c r="D11597" s="2" t="s">
        <v>5990</v>
      </c>
      <c r="E11597" s="3">
        <v>0</v>
      </c>
      <c r="F11597" s="2">
        <v>3741</v>
      </c>
      <c r="G11597" s="2">
        <v>100</v>
      </c>
      <c r="H11597" s="2">
        <v>758</v>
      </c>
      <c r="I11597" s="2">
        <v>3</v>
      </c>
      <c r="J11597" s="2">
        <v>2276</v>
      </c>
      <c r="K11597" s="2">
        <v>12</v>
      </c>
      <c r="L11597" s="2">
        <v>769</v>
      </c>
    </row>
    <row r="11598" spans="1:12" x14ac:dyDescent="0.25">
      <c r="A11598" s="4" t="str">
        <f>HYPERLINK("http://www.rosaceae.org/Prunus/Prunus_persica/p.persica_gdr_reftransV1_0044360","p.persica_gdr_reftransV1_0044360")</f>
        <v>p.persica_gdr_reftransV1_0044360</v>
      </c>
      <c r="B11598" s="2">
        <v>1246</v>
      </c>
      <c r="C11598" s="4" t="str">
        <f>HYPERLINK("http://www.uniprot.org/uniprot/M5X4A0","M5X4A0")</f>
        <v>M5X4A0</v>
      </c>
      <c r="D11598" s="2" t="s">
        <v>1951</v>
      </c>
      <c r="E11598" s="3">
        <v>0</v>
      </c>
      <c r="F11598" s="2">
        <v>1517</v>
      </c>
      <c r="G11598" s="2">
        <v>100</v>
      </c>
      <c r="H11598" s="2">
        <v>285</v>
      </c>
      <c r="I11598" s="2">
        <v>3</v>
      </c>
      <c r="J11598" s="2">
        <v>857</v>
      </c>
      <c r="K11598" s="2">
        <v>461</v>
      </c>
      <c r="L11598" s="2">
        <v>745</v>
      </c>
    </row>
    <row r="11599" spans="1:12" x14ac:dyDescent="0.25">
      <c r="A11599" s="4" t="str">
        <f>HYPERLINK("http://www.rosaceae.org/Prunus/Prunus_persica/p.persica_gdr_reftransV1_0044710","p.persica_gdr_reftransV1_0044710")</f>
        <v>p.persica_gdr_reftransV1_0044710</v>
      </c>
      <c r="B11599" s="2">
        <v>1109</v>
      </c>
      <c r="C11599" s="4" t="str">
        <f>HYPERLINK("http://www.uniprot.org/uniprot/M5X0P8","M5X0P8")</f>
        <v>M5X0P8</v>
      </c>
      <c r="D11599" s="2" t="s">
        <v>9788</v>
      </c>
      <c r="E11599" s="3">
        <v>0</v>
      </c>
      <c r="F11599" s="2">
        <v>1426</v>
      </c>
      <c r="G11599" s="2">
        <v>90</v>
      </c>
      <c r="H11599" s="2">
        <v>305</v>
      </c>
      <c r="I11599" s="2">
        <v>194</v>
      </c>
      <c r="J11599" s="2">
        <v>1108</v>
      </c>
      <c r="K11599" s="2">
        <v>288</v>
      </c>
      <c r="L11599" s="2">
        <v>568</v>
      </c>
    </row>
    <row r="11600" spans="1:12" x14ac:dyDescent="0.25">
      <c r="A11600" s="4" t="str">
        <f>HYPERLINK("http://www.rosaceae.org/Prunus/Prunus_persica/p.persica_gdr_reftransV1_0045410","p.persica_gdr_reftransV1_0045410")</f>
        <v>p.persica_gdr_reftransV1_0045410</v>
      </c>
      <c r="B11600" s="2">
        <v>2318</v>
      </c>
      <c r="C11600" s="4" t="str">
        <f>HYPERLINK("http://www.uniprot.org/uniprot/F6HFL0","F6HFL0")</f>
        <v>F6HFL0</v>
      </c>
      <c r="D11600" s="2" t="s">
        <v>4964</v>
      </c>
      <c r="E11600" s="3">
        <v>0</v>
      </c>
      <c r="F11600" s="2">
        <v>2409</v>
      </c>
      <c r="G11600" s="2">
        <v>91</v>
      </c>
      <c r="H11600" s="2">
        <v>521</v>
      </c>
      <c r="I11600" s="2">
        <v>476</v>
      </c>
      <c r="J11600" s="2">
        <v>2014</v>
      </c>
      <c r="K11600" s="2">
        <v>20</v>
      </c>
      <c r="L11600" s="2">
        <v>540</v>
      </c>
    </row>
    <row r="11601" spans="1:12" x14ac:dyDescent="0.25">
      <c r="A11601" s="4" t="str">
        <f>HYPERLINK("http://www.rosaceae.org/Prunus/Prunus_persica/p.persica_gdr_reftransV1_0045760","p.persica_gdr_reftransV1_0045760")</f>
        <v>p.persica_gdr_reftransV1_0045760</v>
      </c>
      <c r="B11601" s="2">
        <v>1400</v>
      </c>
      <c r="C11601" s="4" t="str">
        <f>HYPERLINK("http://www.uniprot.org/uniprot/M5XP19","M5XP19")</f>
        <v>M5XP19</v>
      </c>
      <c r="D11601" s="2" t="s">
        <v>9789</v>
      </c>
      <c r="E11601" s="3">
        <v>2.15E-53</v>
      </c>
      <c r="F11601" s="2">
        <v>476</v>
      </c>
      <c r="G11601" s="2">
        <v>68</v>
      </c>
      <c r="H11601" s="2">
        <v>174</v>
      </c>
      <c r="I11601" s="2">
        <v>323</v>
      </c>
      <c r="J11601" s="2">
        <v>844</v>
      </c>
      <c r="K11601" s="2">
        <v>12</v>
      </c>
      <c r="L11601" s="2">
        <v>163</v>
      </c>
    </row>
    <row r="11602" spans="1:12" x14ac:dyDescent="0.25">
      <c r="A11602" s="4" t="str">
        <f>HYPERLINK("http://www.rosaceae.org/Prunus/Prunus_persica/p.persica_gdr_reftransV1_0047860","p.persica_gdr_reftransV1_0047860")</f>
        <v>p.persica_gdr_reftransV1_0047860</v>
      </c>
      <c r="B11602" s="2">
        <v>2158</v>
      </c>
      <c r="C11602" s="4" t="str">
        <f>HYPERLINK("http://www.uniprot.org/uniprot/M5WHJ0","M5WHJ0")</f>
        <v>M5WHJ0</v>
      </c>
      <c r="D11602" s="2" t="s">
        <v>4528</v>
      </c>
      <c r="E11602" s="3">
        <v>0</v>
      </c>
      <c r="F11602" s="2">
        <v>2575</v>
      </c>
      <c r="G11602" s="2">
        <v>100</v>
      </c>
      <c r="H11602" s="2">
        <v>508</v>
      </c>
      <c r="I11602" s="2">
        <v>383</v>
      </c>
      <c r="J11602" s="2">
        <v>1906</v>
      </c>
      <c r="K11602" s="2">
        <v>28</v>
      </c>
      <c r="L11602" s="2">
        <v>535</v>
      </c>
    </row>
    <row r="11603" spans="1:12" x14ac:dyDescent="0.25">
      <c r="A11603" s="4" t="str">
        <f>HYPERLINK("http://www.rosaceae.org/Prunus/Prunus_persica/p.persica_gdr_reftransV1_0048910","p.persica_gdr_reftransV1_0048910")</f>
        <v>p.persica_gdr_reftransV1_0048910</v>
      </c>
      <c r="B11603" s="2">
        <v>533</v>
      </c>
      <c r="C11603" s="4" t="str">
        <f>HYPERLINK("http://www.uniprot.org/uniprot/S4RDR5","S4RDR5")</f>
        <v>S4RDR5</v>
      </c>
      <c r="D11603" s="2" t="s">
        <v>9790</v>
      </c>
      <c r="E11603" s="3">
        <v>1.3E-7</v>
      </c>
      <c r="F11603" s="2">
        <v>136</v>
      </c>
      <c r="G11603" s="2">
        <v>45</v>
      </c>
      <c r="H11603" s="2">
        <v>75</v>
      </c>
      <c r="I11603" s="2">
        <v>307</v>
      </c>
      <c r="J11603" s="2">
        <v>531</v>
      </c>
      <c r="K11603" s="2">
        <v>14</v>
      </c>
      <c r="L11603" s="2">
        <v>88</v>
      </c>
    </row>
    <row r="11604" spans="1:12" x14ac:dyDescent="0.25">
      <c r="A11604" s="4" t="str">
        <f>HYPERLINK("http://www.rosaceae.org/Prunus/Prunus_persica/p.persica_gdr_reftransV1_0000026","p.persica_gdr_reftransV1_0000026")</f>
        <v>p.persica_gdr_reftransV1_0000026</v>
      </c>
      <c r="B11604" s="2">
        <v>427</v>
      </c>
      <c r="C11604" s="4" t="str">
        <f>HYPERLINK("http://www.uniprot.org/uniprot/A0A067KY95","A0A067KY95")</f>
        <v>A0A067KY95</v>
      </c>
      <c r="D11604" s="2" t="s">
        <v>9791</v>
      </c>
      <c r="E11604" s="3">
        <v>1.4599999999999999E-101</v>
      </c>
      <c r="F11604" s="2">
        <v>808</v>
      </c>
      <c r="G11604" s="2">
        <v>99</v>
      </c>
      <c r="H11604" s="2">
        <v>141</v>
      </c>
      <c r="I11604" s="2">
        <v>3</v>
      </c>
      <c r="J11604" s="2">
        <v>425</v>
      </c>
      <c r="K11604" s="2">
        <v>226</v>
      </c>
      <c r="L11604" s="2">
        <v>366</v>
      </c>
    </row>
    <row r="11605" spans="1:12" x14ac:dyDescent="0.25">
      <c r="A11605" s="4" t="str">
        <f>HYPERLINK("http://www.rosaceae.org/Prunus/Prunus_persica/p.persica_gdr_reftransV1_0000376","p.persica_gdr_reftransV1_0000376")</f>
        <v>p.persica_gdr_reftransV1_0000376</v>
      </c>
      <c r="B11605" s="2">
        <v>1542</v>
      </c>
      <c r="C11605" s="4" t="str">
        <f>HYPERLINK("http://www.uniprot.org/uniprot/M5XD08","M5XD08")</f>
        <v>M5XD08</v>
      </c>
      <c r="D11605" s="2" t="s">
        <v>6450</v>
      </c>
      <c r="E11605" s="3">
        <v>0</v>
      </c>
      <c r="F11605" s="2">
        <v>1655</v>
      </c>
      <c r="G11605" s="2">
        <v>100</v>
      </c>
      <c r="H11605" s="2">
        <v>311</v>
      </c>
      <c r="I11605" s="2">
        <v>379</v>
      </c>
      <c r="J11605" s="2">
        <v>1311</v>
      </c>
      <c r="K11605" s="2">
        <v>91</v>
      </c>
      <c r="L11605" s="2">
        <v>401</v>
      </c>
    </row>
    <row r="11606" spans="1:12" x14ac:dyDescent="0.25">
      <c r="A11606" s="4" t="str">
        <f>HYPERLINK("http://www.rosaceae.org/Prunus/Prunus_persica/p.persica_gdr_reftransV1_0000726","p.persica_gdr_reftransV1_0000726")</f>
        <v>p.persica_gdr_reftransV1_0000726</v>
      </c>
      <c r="B11606" s="2">
        <v>1836</v>
      </c>
      <c r="C11606" s="4" t="str">
        <f>HYPERLINK("http://www.uniprot.org/uniprot/A0A087HB22","A0A087HB22")</f>
        <v>A0A087HB22</v>
      </c>
      <c r="D11606" s="2" t="s">
        <v>9792</v>
      </c>
      <c r="E11606" s="3">
        <v>4.1399999999999997E-170</v>
      </c>
      <c r="F11606" s="2">
        <v>1174</v>
      </c>
      <c r="G11606" s="2">
        <v>97</v>
      </c>
      <c r="H11606" s="2">
        <v>222</v>
      </c>
      <c r="I11606" s="2">
        <v>90</v>
      </c>
      <c r="J11606" s="2">
        <v>755</v>
      </c>
      <c r="K11606" s="2">
        <v>1</v>
      </c>
      <c r="L11606" s="2">
        <v>222</v>
      </c>
    </row>
    <row r="11607" spans="1:12" x14ac:dyDescent="0.25">
      <c r="A11607" s="4" t="str">
        <f>HYPERLINK("http://www.rosaceae.org/Prunus/Prunus_persica/p.persica_gdr_reftransV1_0001076","p.persica_gdr_reftransV1_0001076")</f>
        <v>p.persica_gdr_reftransV1_0001076</v>
      </c>
      <c r="B11607" s="2">
        <v>2107</v>
      </c>
      <c r="C11607" s="4" t="str">
        <f>HYPERLINK("http://www.uniprot.org/uniprot/M5WF89","M5WF89")</f>
        <v>M5WF89</v>
      </c>
      <c r="D11607" s="2" t="s">
        <v>8115</v>
      </c>
      <c r="E11607" s="3">
        <v>0</v>
      </c>
      <c r="F11607" s="2">
        <v>1916</v>
      </c>
      <c r="G11607" s="2">
        <v>100</v>
      </c>
      <c r="H11607" s="2">
        <v>525</v>
      </c>
      <c r="I11607" s="2">
        <v>245</v>
      </c>
      <c r="J11607" s="2">
        <v>1819</v>
      </c>
      <c r="K11607" s="2">
        <v>137</v>
      </c>
      <c r="L11607" s="2">
        <v>661</v>
      </c>
    </row>
    <row r="11608" spans="1:12" x14ac:dyDescent="0.25">
      <c r="A11608" s="4" t="str">
        <f>HYPERLINK("http://www.rosaceae.org/Prunus/Prunus_persica/p.persica_gdr_reftransV1_0001426","p.persica_gdr_reftransV1_0001426")</f>
        <v>p.persica_gdr_reftransV1_0001426</v>
      </c>
      <c r="B11608" s="2">
        <v>404</v>
      </c>
      <c r="C11608" s="4" t="str">
        <f>HYPERLINK("http://www.uniprot.org/uniprot/M5XLR8","M5XLR8")</f>
        <v>M5XLR8</v>
      </c>
      <c r="D11608" s="2" t="s">
        <v>3892</v>
      </c>
      <c r="E11608" s="3">
        <v>1.5000000000000001E-61</v>
      </c>
      <c r="F11608" s="2">
        <v>539</v>
      </c>
      <c r="G11608" s="2">
        <v>100</v>
      </c>
      <c r="H11608" s="2">
        <v>104</v>
      </c>
      <c r="I11608" s="2">
        <v>3</v>
      </c>
      <c r="J11608" s="2">
        <v>314</v>
      </c>
      <c r="K11608" s="2">
        <v>1</v>
      </c>
      <c r="L11608" s="2">
        <v>104</v>
      </c>
    </row>
    <row r="11609" spans="1:12" x14ac:dyDescent="0.25">
      <c r="A11609" s="4" t="str">
        <f>HYPERLINK("http://www.rosaceae.org/Prunus/Prunus_persica/p.persica_gdr_reftransV1_0001776","p.persica_gdr_reftransV1_0001776")</f>
        <v>p.persica_gdr_reftransV1_0001776</v>
      </c>
      <c r="B11609" s="2">
        <v>2192</v>
      </c>
      <c r="C11609" s="4" t="str">
        <f>HYPERLINK("http://www.uniprot.org/uniprot/M5XYH9","M5XYH9")</f>
        <v>M5XYH9</v>
      </c>
      <c r="D11609" s="2" t="s">
        <v>7559</v>
      </c>
      <c r="E11609" s="3">
        <v>0</v>
      </c>
      <c r="F11609" s="2">
        <v>1726</v>
      </c>
      <c r="G11609" s="2">
        <v>78</v>
      </c>
      <c r="H11609" s="2">
        <v>450</v>
      </c>
      <c r="I11609" s="2">
        <v>295</v>
      </c>
      <c r="J11609" s="2">
        <v>1644</v>
      </c>
      <c r="K11609" s="2">
        <v>185</v>
      </c>
      <c r="L11609" s="2">
        <v>534</v>
      </c>
    </row>
    <row r="11610" spans="1:12" x14ac:dyDescent="0.25">
      <c r="A11610" s="4" t="str">
        <f>HYPERLINK("http://www.rosaceae.org/Prunus/Prunus_persica/p.persica_gdr_reftransV1_0002126","p.persica_gdr_reftransV1_0002126")</f>
        <v>p.persica_gdr_reftransV1_0002126</v>
      </c>
      <c r="B11610" s="2">
        <v>1668</v>
      </c>
      <c r="C11610" s="4" t="str">
        <f>HYPERLINK("http://www.uniprot.org/uniprot/M5XUC3","M5XUC3")</f>
        <v>M5XUC3</v>
      </c>
      <c r="D11610" s="2" t="s">
        <v>9793</v>
      </c>
      <c r="E11610" s="3">
        <v>0</v>
      </c>
      <c r="F11610" s="2">
        <v>1389</v>
      </c>
      <c r="G11610" s="2">
        <v>100</v>
      </c>
      <c r="H11610" s="2">
        <v>265</v>
      </c>
      <c r="I11610" s="2">
        <v>660</v>
      </c>
      <c r="J11610" s="2">
        <v>1454</v>
      </c>
      <c r="K11610" s="2">
        <v>1</v>
      </c>
      <c r="L11610" s="2">
        <v>265</v>
      </c>
    </row>
    <row r="11611" spans="1:12" x14ac:dyDescent="0.25">
      <c r="A11611" s="4" t="str">
        <f>HYPERLINK("http://www.rosaceae.org/Prunus/Prunus_persica/p.persica_gdr_reftransV1_0002476","p.persica_gdr_reftransV1_0002476")</f>
        <v>p.persica_gdr_reftransV1_0002476</v>
      </c>
      <c r="B11611" s="2">
        <v>486</v>
      </c>
      <c r="C11611" s="4" t="str">
        <f>HYPERLINK("http://www.uniprot.org/uniprot/M5X7N0","M5X7N0")</f>
        <v>M5X7N0</v>
      </c>
      <c r="D11611" s="2" t="s">
        <v>4865</v>
      </c>
      <c r="E11611" s="3">
        <v>4.83E-92</v>
      </c>
      <c r="F11611" s="2">
        <v>762</v>
      </c>
      <c r="G11611" s="2">
        <v>100</v>
      </c>
      <c r="H11611" s="2">
        <v>162</v>
      </c>
      <c r="I11611" s="2">
        <v>1</v>
      </c>
      <c r="J11611" s="2">
        <v>486</v>
      </c>
      <c r="K11611" s="2">
        <v>627</v>
      </c>
      <c r="L11611" s="2">
        <v>788</v>
      </c>
    </row>
    <row r="11612" spans="1:12" x14ac:dyDescent="0.25">
      <c r="A11612" s="4" t="str">
        <f>HYPERLINK("http://www.rosaceae.org/Prunus/Prunus_persica/p.persica_gdr_reftransV1_0003526","p.persica_gdr_reftransV1_0003526")</f>
        <v>p.persica_gdr_reftransV1_0003526</v>
      </c>
      <c r="B11612" s="2">
        <v>1427</v>
      </c>
      <c r="C11612" s="4" t="str">
        <f>HYPERLINK("http://www.uniprot.org/uniprot/M5WEH2","M5WEH2")</f>
        <v>M5WEH2</v>
      </c>
      <c r="D11612" s="2" t="s">
        <v>9794</v>
      </c>
      <c r="E11612" s="3">
        <v>0</v>
      </c>
      <c r="F11612" s="2">
        <v>1958</v>
      </c>
      <c r="G11612" s="2">
        <v>100</v>
      </c>
      <c r="H11612" s="2">
        <v>388</v>
      </c>
      <c r="I11612" s="2">
        <v>99</v>
      </c>
      <c r="J11612" s="2">
        <v>1262</v>
      </c>
      <c r="K11612" s="2">
        <v>1</v>
      </c>
      <c r="L11612" s="2">
        <v>388</v>
      </c>
    </row>
    <row r="11613" spans="1:12" x14ac:dyDescent="0.25">
      <c r="A11613" s="4" t="str">
        <f>HYPERLINK("http://www.rosaceae.org/Prunus/Prunus_persica/p.persica_gdr_reftransV1_0003876","p.persica_gdr_reftransV1_0003876")</f>
        <v>p.persica_gdr_reftransV1_0003876</v>
      </c>
      <c r="B11613" s="2">
        <v>1463</v>
      </c>
      <c r="C11613" s="4" t="str">
        <f>HYPERLINK("http://www.uniprot.org/uniprot/M5WTM8","M5WTM8")</f>
        <v>M5WTM8</v>
      </c>
      <c r="D11613" s="2" t="s">
        <v>6478</v>
      </c>
      <c r="E11613" s="3">
        <v>0</v>
      </c>
      <c r="F11613" s="2">
        <v>919</v>
      </c>
      <c r="G11613" s="2">
        <v>100</v>
      </c>
      <c r="H11613" s="2">
        <v>172</v>
      </c>
      <c r="I11613" s="2">
        <v>276</v>
      </c>
      <c r="J11613" s="2">
        <v>791</v>
      </c>
      <c r="K11613" s="2">
        <v>194</v>
      </c>
      <c r="L11613" s="2">
        <v>365</v>
      </c>
    </row>
    <row r="11614" spans="1:12" x14ac:dyDescent="0.25">
      <c r="A11614" s="4" t="str">
        <f>HYPERLINK("http://www.rosaceae.org/Prunus/Prunus_persica/p.persica_gdr_reftransV1_0004226","p.persica_gdr_reftransV1_0004226")</f>
        <v>p.persica_gdr_reftransV1_0004226</v>
      </c>
      <c r="B11614" s="2">
        <v>4796</v>
      </c>
      <c r="C11614" s="4" t="str">
        <f>HYPERLINK("http://www.uniprot.org/uniprot/D7U2V9","D7U2V9")</f>
        <v>D7U2V9</v>
      </c>
      <c r="D11614" s="2" t="s">
        <v>9795</v>
      </c>
      <c r="E11614" s="3">
        <v>0</v>
      </c>
      <c r="F11614" s="2">
        <v>4743</v>
      </c>
      <c r="G11614" s="2">
        <v>89</v>
      </c>
      <c r="H11614" s="2">
        <v>1022</v>
      </c>
      <c r="I11614" s="2">
        <v>54</v>
      </c>
      <c r="J11614" s="2">
        <v>3119</v>
      </c>
      <c r="K11614" s="2">
        <v>1</v>
      </c>
      <c r="L11614" s="2">
        <v>1011</v>
      </c>
    </row>
    <row r="11615" spans="1:12" x14ac:dyDescent="0.25">
      <c r="A11615" s="4" t="str">
        <f>HYPERLINK("http://www.rosaceae.org/Prunus/Prunus_persica/p.persica_gdr_reftransV1_0004576","p.persica_gdr_reftransV1_0004576")</f>
        <v>p.persica_gdr_reftransV1_0004576</v>
      </c>
      <c r="B11615" s="2">
        <v>2347</v>
      </c>
      <c r="C11615" s="4" t="str">
        <f>HYPERLINK("http://www.uniprot.org/uniprot/M5VLR2","M5VLR2")</f>
        <v>M5VLR2</v>
      </c>
      <c r="D11615" s="2" t="s">
        <v>1784</v>
      </c>
      <c r="E11615" s="3">
        <v>0</v>
      </c>
      <c r="F11615" s="2">
        <v>2972</v>
      </c>
      <c r="G11615" s="2">
        <v>92</v>
      </c>
      <c r="H11615" s="2">
        <v>652</v>
      </c>
      <c r="I11615" s="2">
        <v>390</v>
      </c>
      <c r="J11615" s="2">
        <v>2345</v>
      </c>
      <c r="K11615" s="2">
        <v>179</v>
      </c>
      <c r="L11615" s="2">
        <v>783</v>
      </c>
    </row>
    <row r="11616" spans="1:12" x14ac:dyDescent="0.25">
      <c r="A11616" s="4" t="str">
        <f>HYPERLINK("http://www.rosaceae.org/Prunus/Prunus_persica/p.persica_gdr_reftransV1_0004926","p.persica_gdr_reftransV1_0004926")</f>
        <v>p.persica_gdr_reftransV1_0004926</v>
      </c>
      <c r="B11616" s="2">
        <v>629</v>
      </c>
      <c r="C11616" s="4" t="str">
        <f>HYPERLINK("http://www.uniprot.org/uniprot/M5W7R3","M5W7R3")</f>
        <v>M5W7R3</v>
      </c>
      <c r="D11616" s="2" t="s">
        <v>9796</v>
      </c>
      <c r="E11616" s="3">
        <v>3.7100000000000001E-69</v>
      </c>
      <c r="F11616" s="2">
        <v>589</v>
      </c>
      <c r="G11616" s="2">
        <v>100</v>
      </c>
      <c r="H11616" s="2">
        <v>162</v>
      </c>
      <c r="I11616" s="2">
        <v>1</v>
      </c>
      <c r="J11616" s="2">
        <v>486</v>
      </c>
      <c r="K11616" s="2">
        <v>1</v>
      </c>
      <c r="L11616" s="2">
        <v>162</v>
      </c>
    </row>
    <row r="11617" spans="1:12" x14ac:dyDescent="0.25">
      <c r="A11617" s="4" t="str">
        <f>HYPERLINK("http://www.rosaceae.org/Prunus/Prunus_persica/p.persica_gdr_reftransV1_0005276","p.persica_gdr_reftransV1_0005276")</f>
        <v>p.persica_gdr_reftransV1_0005276</v>
      </c>
      <c r="B11617" s="2">
        <v>1369</v>
      </c>
      <c r="C11617" s="4" t="str">
        <f>HYPERLINK("http://www.uniprot.org/uniprot/M5VZF7","M5VZF7")</f>
        <v>M5VZF7</v>
      </c>
      <c r="D11617" s="2" t="s">
        <v>9797</v>
      </c>
      <c r="E11617" s="3">
        <v>2.8900000000000001E-165</v>
      </c>
      <c r="F11617" s="2">
        <v>942</v>
      </c>
      <c r="G11617" s="2">
        <v>100</v>
      </c>
      <c r="H11617" s="2">
        <v>175</v>
      </c>
      <c r="I11617" s="2">
        <v>462</v>
      </c>
      <c r="J11617" s="2">
        <v>986</v>
      </c>
      <c r="K11617" s="2">
        <v>120</v>
      </c>
      <c r="L11617" s="2">
        <v>294</v>
      </c>
    </row>
    <row r="11618" spans="1:12" x14ac:dyDescent="0.25">
      <c r="A11618" s="4" t="str">
        <f>HYPERLINK("http://www.rosaceae.org/Prunus/Prunus_persica/p.persica_gdr_reftransV1_0005976","p.persica_gdr_reftransV1_0005976")</f>
        <v>p.persica_gdr_reftransV1_0005976</v>
      </c>
      <c r="B11618" s="2">
        <v>751</v>
      </c>
      <c r="C11618" s="4" t="str">
        <f>HYPERLINK("http://www.uniprot.org/uniprot/M5X1X2","M5X1X2")</f>
        <v>M5X1X2</v>
      </c>
      <c r="D11618" s="2" t="s">
        <v>9798</v>
      </c>
      <c r="E11618" s="3">
        <v>2.07E-51</v>
      </c>
      <c r="F11618" s="2">
        <v>455</v>
      </c>
      <c r="G11618" s="2">
        <v>97</v>
      </c>
      <c r="H11618" s="2">
        <v>107</v>
      </c>
      <c r="I11618" s="2">
        <v>431</v>
      </c>
      <c r="J11618" s="2">
        <v>751</v>
      </c>
      <c r="K11618" s="2">
        <v>1</v>
      </c>
      <c r="L11618" s="2">
        <v>107</v>
      </c>
    </row>
    <row r="11619" spans="1:12" x14ac:dyDescent="0.25">
      <c r="A11619" s="4" t="str">
        <f>HYPERLINK("http://www.rosaceae.org/Prunus/Prunus_persica/p.persica_gdr_reftransV1_0006326","p.persica_gdr_reftransV1_0006326")</f>
        <v>p.persica_gdr_reftransV1_0006326</v>
      </c>
      <c r="B11619" s="2">
        <v>904</v>
      </c>
      <c r="C11619" s="4" t="str">
        <f>HYPERLINK("http://www.uniprot.org/uniprot/M5WT15","M5WT15")</f>
        <v>M5WT15</v>
      </c>
      <c r="D11619" s="2" t="s">
        <v>2895</v>
      </c>
      <c r="E11619" s="3">
        <v>9.1699999999999997E-135</v>
      </c>
      <c r="F11619" s="2">
        <v>1030</v>
      </c>
      <c r="G11619" s="2">
        <v>100</v>
      </c>
      <c r="H11619" s="2">
        <v>207</v>
      </c>
      <c r="I11619" s="2">
        <v>284</v>
      </c>
      <c r="J11619" s="2">
        <v>904</v>
      </c>
      <c r="K11619" s="2">
        <v>12</v>
      </c>
      <c r="L11619" s="2">
        <v>218</v>
      </c>
    </row>
    <row r="11620" spans="1:12" x14ac:dyDescent="0.25">
      <c r="A11620" s="4" t="str">
        <f>HYPERLINK("http://www.rosaceae.org/Prunus/Prunus_persica/p.persica_gdr_reftransV1_0006676","p.persica_gdr_reftransV1_0006676")</f>
        <v>p.persica_gdr_reftransV1_0006676</v>
      </c>
      <c r="B11620" s="2">
        <v>1114</v>
      </c>
      <c r="C11620" s="4" t="str">
        <f>HYPERLINK("http://www.uniprot.org/uniprot/M5XRN2","M5XRN2")</f>
        <v>M5XRN2</v>
      </c>
      <c r="D11620" s="2" t="s">
        <v>9799</v>
      </c>
      <c r="E11620" s="3">
        <v>1.5799999999999999E-101</v>
      </c>
      <c r="F11620" s="2">
        <v>792</v>
      </c>
      <c r="G11620" s="2">
        <v>100</v>
      </c>
      <c r="H11620" s="2">
        <v>180</v>
      </c>
      <c r="I11620" s="2">
        <v>384</v>
      </c>
      <c r="J11620" s="2">
        <v>923</v>
      </c>
      <c r="K11620" s="2">
        <v>1</v>
      </c>
      <c r="L11620" s="2">
        <v>180</v>
      </c>
    </row>
    <row r="11621" spans="1:12" x14ac:dyDescent="0.25">
      <c r="A11621" s="4" t="str">
        <f>HYPERLINK("http://www.rosaceae.org/Prunus/Prunus_persica/p.persica_gdr_reftransV1_0007026","p.persica_gdr_reftransV1_0007026")</f>
        <v>p.persica_gdr_reftransV1_0007026</v>
      </c>
      <c r="B11621" s="2">
        <v>1724</v>
      </c>
      <c r="C11621" s="4" t="str">
        <f>HYPERLINK("http://www.uniprot.org/uniprot/M5VHT4","M5VHT4")</f>
        <v>M5VHT4</v>
      </c>
      <c r="D11621" s="2" t="s">
        <v>7364</v>
      </c>
      <c r="E11621" s="3">
        <v>0</v>
      </c>
      <c r="F11621" s="2">
        <v>1712</v>
      </c>
      <c r="G11621" s="2">
        <v>100</v>
      </c>
      <c r="H11621" s="2">
        <v>391</v>
      </c>
      <c r="I11621" s="2">
        <v>513</v>
      </c>
      <c r="J11621" s="2">
        <v>1685</v>
      </c>
      <c r="K11621" s="2">
        <v>18</v>
      </c>
      <c r="L11621" s="2">
        <v>408</v>
      </c>
    </row>
    <row r="11622" spans="1:12" x14ac:dyDescent="0.25">
      <c r="A11622" s="4" t="str">
        <f>HYPERLINK("http://www.rosaceae.org/Prunus/Prunus_persica/p.persica_gdr_reftransV1_0007726","p.persica_gdr_reftransV1_0007726")</f>
        <v>p.persica_gdr_reftransV1_0007726</v>
      </c>
      <c r="B11622" s="2">
        <v>4355</v>
      </c>
      <c r="C11622" s="4" t="str">
        <f>HYPERLINK("http://www.uniprot.org/uniprot/M5XBJ9","M5XBJ9")</f>
        <v>M5XBJ9</v>
      </c>
      <c r="D11622" s="2" t="s">
        <v>9800</v>
      </c>
      <c r="E11622" s="3">
        <v>0</v>
      </c>
      <c r="F11622" s="2">
        <v>5897</v>
      </c>
      <c r="G11622" s="2">
        <v>100</v>
      </c>
      <c r="H11622" s="2">
        <v>1161</v>
      </c>
      <c r="I11622" s="2">
        <v>254</v>
      </c>
      <c r="J11622" s="2">
        <v>3736</v>
      </c>
      <c r="K11622" s="2">
        <v>3</v>
      </c>
      <c r="L11622" s="2">
        <v>1163</v>
      </c>
    </row>
    <row r="11623" spans="1:12" x14ac:dyDescent="0.25">
      <c r="A11623" s="4" t="str">
        <f>HYPERLINK("http://www.rosaceae.org/Prunus/Prunus_persica/p.persica_gdr_reftransV1_0008076","p.persica_gdr_reftransV1_0008076")</f>
        <v>p.persica_gdr_reftransV1_0008076</v>
      </c>
      <c r="B11623" s="2">
        <v>1673</v>
      </c>
      <c r="C11623" s="4" t="str">
        <f>HYPERLINK("http://www.uniprot.org/uniprot/M5XSR7","M5XSR7")</f>
        <v>M5XSR7</v>
      </c>
      <c r="D11623" s="2" t="s">
        <v>9801</v>
      </c>
      <c r="E11623" s="3">
        <v>1.17E-28</v>
      </c>
      <c r="F11623" s="2">
        <v>326</v>
      </c>
      <c r="G11623" s="2">
        <v>30</v>
      </c>
      <c r="H11623" s="2">
        <v>293</v>
      </c>
      <c r="I11623" s="2">
        <v>337</v>
      </c>
      <c r="J11623" s="2">
        <v>1113</v>
      </c>
      <c r="K11623" s="2">
        <v>74</v>
      </c>
      <c r="L11623" s="2">
        <v>364</v>
      </c>
    </row>
    <row r="11624" spans="1:12" x14ac:dyDescent="0.25">
      <c r="A11624" s="4" t="str">
        <f>HYPERLINK("http://www.rosaceae.org/Prunus/Prunus_persica/p.persica_gdr_reftransV1_0008426","p.persica_gdr_reftransV1_0008426")</f>
        <v>p.persica_gdr_reftransV1_0008426</v>
      </c>
      <c r="B11624" s="2">
        <v>743</v>
      </c>
      <c r="C11624" s="4" t="str">
        <f>HYPERLINK("http://www.uniprot.org/uniprot/W9R773","W9R773")</f>
        <v>W9R773</v>
      </c>
      <c r="D11624" s="2" t="s">
        <v>9802</v>
      </c>
      <c r="E11624" s="3">
        <v>2.8099999999999999E-65</v>
      </c>
      <c r="F11624" s="2">
        <v>578</v>
      </c>
      <c r="G11624" s="2">
        <v>57</v>
      </c>
      <c r="H11624" s="2">
        <v>214</v>
      </c>
      <c r="I11624" s="2">
        <v>100</v>
      </c>
      <c r="J11624" s="2">
        <v>741</v>
      </c>
      <c r="K11624" s="2">
        <v>20</v>
      </c>
      <c r="L11624" s="2">
        <v>233</v>
      </c>
    </row>
    <row r="11625" spans="1:12" x14ac:dyDescent="0.25">
      <c r="A11625" s="4" t="str">
        <f>HYPERLINK("http://www.rosaceae.org/Prunus/Prunus_persica/p.persica_gdr_reftransV1_0009126","p.persica_gdr_reftransV1_0009126")</f>
        <v>p.persica_gdr_reftransV1_0009126</v>
      </c>
      <c r="B11625" s="2">
        <v>824</v>
      </c>
      <c r="C11625" s="4" t="str">
        <f>HYPERLINK("http://www.uniprot.org/uniprot/M5X4M1","M5X4M1")</f>
        <v>M5X4M1</v>
      </c>
      <c r="D11625" s="2" t="s">
        <v>9803</v>
      </c>
      <c r="E11625" s="3">
        <v>0</v>
      </c>
      <c r="F11625" s="2">
        <v>1345</v>
      </c>
      <c r="G11625" s="2">
        <v>100</v>
      </c>
      <c r="H11625" s="2">
        <v>250</v>
      </c>
      <c r="I11625" s="2">
        <v>75</v>
      </c>
      <c r="J11625" s="2">
        <v>824</v>
      </c>
      <c r="K11625" s="2">
        <v>61</v>
      </c>
      <c r="L11625" s="2">
        <v>310</v>
      </c>
    </row>
    <row r="11626" spans="1:12" x14ac:dyDescent="0.25">
      <c r="A11626" s="4" t="str">
        <f>HYPERLINK("http://www.rosaceae.org/Prunus/Prunus_persica/p.persica_gdr_reftransV1_0009476","p.persica_gdr_reftransV1_0009476")</f>
        <v>p.persica_gdr_reftransV1_0009476</v>
      </c>
      <c r="B11626" s="2">
        <v>1133</v>
      </c>
      <c r="C11626" s="4" t="str">
        <f>HYPERLINK("http://www.uniprot.org/uniprot/M5XQA5","M5XQA5")</f>
        <v>M5XQA5</v>
      </c>
      <c r="D11626" s="2" t="s">
        <v>9804</v>
      </c>
      <c r="E11626" s="3">
        <v>0</v>
      </c>
      <c r="F11626" s="2">
        <v>1475</v>
      </c>
      <c r="G11626" s="2">
        <v>100</v>
      </c>
      <c r="H11626" s="2">
        <v>274</v>
      </c>
      <c r="I11626" s="2">
        <v>195</v>
      </c>
      <c r="J11626" s="2">
        <v>1016</v>
      </c>
      <c r="K11626" s="2">
        <v>1</v>
      </c>
      <c r="L11626" s="2">
        <v>274</v>
      </c>
    </row>
    <row r="11627" spans="1:12" x14ac:dyDescent="0.25">
      <c r="A11627" s="4" t="str">
        <f>HYPERLINK("http://www.rosaceae.org/Prunus/Prunus_persica/p.persica_gdr_reftransV1_0009826","p.persica_gdr_reftransV1_0009826")</f>
        <v>p.persica_gdr_reftransV1_0009826</v>
      </c>
      <c r="B11627" s="2">
        <v>3605</v>
      </c>
      <c r="C11627" s="4" t="str">
        <f>HYPERLINK("http://www.uniprot.org/uniprot/M5WNL4","M5WNL4")</f>
        <v>M5WNL4</v>
      </c>
      <c r="D11627" s="2" t="s">
        <v>8977</v>
      </c>
      <c r="E11627" s="3">
        <v>0</v>
      </c>
      <c r="F11627" s="2">
        <v>2487</v>
      </c>
      <c r="G11627" s="2">
        <v>99</v>
      </c>
      <c r="H11627" s="2">
        <v>508</v>
      </c>
      <c r="I11627" s="2">
        <v>1643</v>
      </c>
      <c r="J11627" s="2">
        <v>3166</v>
      </c>
      <c r="K11627" s="2">
        <v>1</v>
      </c>
      <c r="L11627" s="2">
        <v>508</v>
      </c>
    </row>
    <row r="11628" spans="1:12" x14ac:dyDescent="0.25">
      <c r="A11628" s="4" t="str">
        <f>HYPERLINK("http://www.rosaceae.org/Prunus/Prunus_persica/p.persica_gdr_reftransV1_0010176","p.persica_gdr_reftransV1_0010176")</f>
        <v>p.persica_gdr_reftransV1_0010176</v>
      </c>
      <c r="B11628" s="2">
        <v>2334</v>
      </c>
      <c r="C11628" s="4" t="str">
        <f>HYPERLINK("http://www.uniprot.org/uniprot/M5X2A4","M5X2A4")</f>
        <v>M5X2A4</v>
      </c>
      <c r="D11628" s="2" t="s">
        <v>9805</v>
      </c>
      <c r="E11628" s="3">
        <v>0</v>
      </c>
      <c r="F11628" s="2">
        <v>2053</v>
      </c>
      <c r="G11628" s="2">
        <v>99</v>
      </c>
      <c r="H11628" s="2">
        <v>428</v>
      </c>
      <c r="I11628" s="2">
        <v>392</v>
      </c>
      <c r="J11628" s="2">
        <v>1675</v>
      </c>
      <c r="K11628" s="2">
        <v>62</v>
      </c>
      <c r="L11628" s="2">
        <v>489</v>
      </c>
    </row>
    <row r="11629" spans="1:12" x14ac:dyDescent="0.25">
      <c r="A11629" s="4" t="str">
        <f>HYPERLINK("http://www.rosaceae.org/Prunus/Prunus_persica/p.persica_gdr_reftransV1_0010876","p.persica_gdr_reftransV1_0010876")</f>
        <v>p.persica_gdr_reftransV1_0010876</v>
      </c>
      <c r="B11629" s="2">
        <v>1219</v>
      </c>
      <c r="C11629" s="4" t="str">
        <f>HYPERLINK("http://www.uniprot.org/uniprot/M5XHQ5","M5XHQ5")</f>
        <v>M5XHQ5</v>
      </c>
      <c r="D11629" s="2" t="s">
        <v>9806</v>
      </c>
      <c r="E11629" s="3">
        <v>3.6800000000000003E-130</v>
      </c>
      <c r="F11629" s="2">
        <v>991</v>
      </c>
      <c r="G11629" s="2">
        <v>100</v>
      </c>
      <c r="H11629" s="2">
        <v>238</v>
      </c>
      <c r="I11629" s="2">
        <v>201</v>
      </c>
      <c r="J11629" s="2">
        <v>914</v>
      </c>
      <c r="K11629" s="2">
        <v>1</v>
      </c>
      <c r="L11629" s="2">
        <v>238</v>
      </c>
    </row>
    <row r="11630" spans="1:12" x14ac:dyDescent="0.25">
      <c r="A11630" s="4" t="str">
        <f>HYPERLINK("http://www.rosaceae.org/Prunus/Prunus_persica/p.persica_gdr_reftransV1_0011226","p.persica_gdr_reftransV1_0011226")</f>
        <v>p.persica_gdr_reftransV1_0011226</v>
      </c>
      <c r="B11630" s="2">
        <v>1736</v>
      </c>
      <c r="C11630" s="4" t="str">
        <f>HYPERLINK("http://www.uniprot.org/uniprot/M5WH95","M5WH95")</f>
        <v>M5WH95</v>
      </c>
      <c r="D11630" s="2" t="s">
        <v>9807</v>
      </c>
      <c r="E11630" s="3">
        <v>0</v>
      </c>
      <c r="F11630" s="2">
        <v>1696</v>
      </c>
      <c r="G11630" s="2">
        <v>100</v>
      </c>
      <c r="H11630" s="2">
        <v>373</v>
      </c>
      <c r="I11630" s="2">
        <v>413</v>
      </c>
      <c r="J11630" s="2">
        <v>1531</v>
      </c>
      <c r="K11630" s="2">
        <v>1</v>
      </c>
      <c r="L11630" s="2">
        <v>373</v>
      </c>
    </row>
    <row r="11631" spans="1:12" x14ac:dyDescent="0.25">
      <c r="A11631" s="4" t="str">
        <f>HYPERLINK("http://www.rosaceae.org/Prunus/Prunus_persica/p.persica_gdr_reftransV1_0011576","p.persica_gdr_reftransV1_0011576")</f>
        <v>p.persica_gdr_reftransV1_0011576</v>
      </c>
      <c r="B11631" s="2">
        <v>1751</v>
      </c>
      <c r="C11631" s="4" t="str">
        <f>HYPERLINK("http://www.uniprot.org/uniprot/M5W621","M5W621")</f>
        <v>M5W621</v>
      </c>
      <c r="D11631" s="2" t="s">
        <v>9808</v>
      </c>
      <c r="E11631" s="3">
        <v>0</v>
      </c>
      <c r="F11631" s="2">
        <v>2181</v>
      </c>
      <c r="G11631" s="2">
        <v>100</v>
      </c>
      <c r="H11631" s="2">
        <v>440</v>
      </c>
      <c r="I11631" s="2">
        <v>345</v>
      </c>
      <c r="J11631" s="2">
        <v>1664</v>
      </c>
      <c r="K11631" s="2">
        <v>1</v>
      </c>
      <c r="L11631" s="2">
        <v>440</v>
      </c>
    </row>
    <row r="11632" spans="1:12" x14ac:dyDescent="0.25">
      <c r="A11632" s="4" t="str">
        <f>HYPERLINK("http://www.rosaceae.org/Prunus/Prunus_persica/p.persica_gdr_reftransV1_0011926","p.persica_gdr_reftransV1_0011926")</f>
        <v>p.persica_gdr_reftransV1_0011926</v>
      </c>
      <c r="B11632" s="2">
        <v>1704</v>
      </c>
      <c r="C11632" s="4" t="str">
        <f>HYPERLINK("http://www.uniprot.org/uniprot/M5WTR5","M5WTR5")</f>
        <v>M5WTR5</v>
      </c>
      <c r="D11632" s="2" t="s">
        <v>9809</v>
      </c>
      <c r="E11632" s="3">
        <v>0</v>
      </c>
      <c r="F11632" s="2">
        <v>1909</v>
      </c>
      <c r="G11632" s="2">
        <v>100</v>
      </c>
      <c r="H11632" s="2">
        <v>399</v>
      </c>
      <c r="I11632" s="2">
        <v>463</v>
      </c>
      <c r="J11632" s="2">
        <v>1659</v>
      </c>
      <c r="K11632" s="2">
        <v>32</v>
      </c>
      <c r="L11632" s="2">
        <v>430</v>
      </c>
    </row>
    <row r="11633" spans="1:12" x14ac:dyDescent="0.25">
      <c r="A11633" s="4" t="str">
        <f>HYPERLINK("http://www.rosaceae.org/Prunus/Prunus_persica/p.persica_gdr_reftransV1_0012276","p.persica_gdr_reftransV1_0012276")</f>
        <v>p.persica_gdr_reftransV1_0012276</v>
      </c>
      <c r="B11633" s="2">
        <v>321</v>
      </c>
      <c r="C11633" s="4" t="str">
        <f>HYPERLINK("http://www.uniprot.org/uniprot/M5XPW9","M5XPW9")</f>
        <v>M5XPW9</v>
      </c>
      <c r="D11633" s="2" t="s">
        <v>3721</v>
      </c>
      <c r="E11633" s="3">
        <v>3.17E-47</v>
      </c>
      <c r="F11633" s="2">
        <v>422</v>
      </c>
      <c r="G11633" s="2">
        <v>100</v>
      </c>
      <c r="H11633" s="2">
        <v>106</v>
      </c>
      <c r="I11633" s="2">
        <v>3</v>
      </c>
      <c r="J11633" s="2">
        <v>320</v>
      </c>
      <c r="K11633" s="2">
        <v>1</v>
      </c>
      <c r="L11633" s="2">
        <v>106</v>
      </c>
    </row>
    <row r="11634" spans="1:12" x14ac:dyDescent="0.25">
      <c r="A11634" s="4" t="str">
        <f>HYPERLINK("http://www.rosaceae.org/Prunus/Prunus_persica/p.persica_gdr_reftransV1_0012626","p.persica_gdr_reftransV1_0012626")</f>
        <v>p.persica_gdr_reftransV1_0012626</v>
      </c>
      <c r="B11634" s="2">
        <v>1237</v>
      </c>
      <c r="C11634" s="4" t="str">
        <f>HYPERLINK("http://www.uniprot.org/uniprot/M5XD83","M5XD83")</f>
        <v>M5XD83</v>
      </c>
      <c r="D11634" s="2" t="s">
        <v>9810</v>
      </c>
      <c r="E11634" s="3">
        <v>2.4E-175</v>
      </c>
      <c r="F11634" s="2">
        <v>1292</v>
      </c>
      <c r="G11634" s="2">
        <v>100</v>
      </c>
      <c r="H11634" s="2">
        <v>248</v>
      </c>
      <c r="I11634" s="2">
        <v>313</v>
      </c>
      <c r="J11634" s="2">
        <v>1056</v>
      </c>
      <c r="K11634" s="2">
        <v>1</v>
      </c>
      <c r="L11634" s="2">
        <v>248</v>
      </c>
    </row>
    <row r="11635" spans="1:12" x14ac:dyDescent="0.25">
      <c r="A11635" s="4" t="str">
        <f>HYPERLINK("http://www.rosaceae.org/Prunus/Prunus_persica/p.persica_gdr_reftransV1_0012976","p.persica_gdr_reftransV1_0012976")</f>
        <v>p.persica_gdr_reftransV1_0012976</v>
      </c>
      <c r="B11635" s="2">
        <v>3739</v>
      </c>
      <c r="C11635" s="4" t="str">
        <f>HYPERLINK("http://www.uniprot.org/uniprot/M5XCA3","M5XCA3")</f>
        <v>M5XCA3</v>
      </c>
      <c r="D11635" s="2" t="s">
        <v>1645</v>
      </c>
      <c r="E11635" s="3">
        <v>0</v>
      </c>
      <c r="F11635" s="2">
        <v>2180</v>
      </c>
      <c r="G11635" s="2">
        <v>100</v>
      </c>
      <c r="H11635" s="2">
        <v>504</v>
      </c>
      <c r="I11635" s="2">
        <v>2098</v>
      </c>
      <c r="J11635" s="2">
        <v>3609</v>
      </c>
      <c r="K11635" s="2">
        <v>1</v>
      </c>
      <c r="L11635" s="2">
        <v>504</v>
      </c>
    </row>
    <row r="11636" spans="1:12" x14ac:dyDescent="0.25">
      <c r="A11636" s="4" t="str">
        <f>HYPERLINK("http://www.rosaceae.org/Prunus/Prunus_persica/p.persica_gdr_reftransV1_0014376","p.persica_gdr_reftransV1_0014376")</f>
        <v>p.persica_gdr_reftransV1_0014376</v>
      </c>
      <c r="B11636" s="2">
        <v>1786</v>
      </c>
      <c r="C11636" s="4" t="str">
        <f>HYPERLINK("http://www.uniprot.org/uniprot/M5WB85","M5WB85")</f>
        <v>M5WB85</v>
      </c>
      <c r="D11636" s="2" t="s">
        <v>9811</v>
      </c>
      <c r="E11636" s="3">
        <v>0</v>
      </c>
      <c r="F11636" s="2">
        <v>1856</v>
      </c>
      <c r="G11636" s="2">
        <v>100</v>
      </c>
      <c r="H11636" s="2">
        <v>387</v>
      </c>
      <c r="I11636" s="2">
        <v>277</v>
      </c>
      <c r="J11636" s="2">
        <v>1437</v>
      </c>
      <c r="K11636" s="2">
        <v>1</v>
      </c>
      <c r="L11636" s="2">
        <v>387</v>
      </c>
    </row>
    <row r="11637" spans="1:12" x14ac:dyDescent="0.25">
      <c r="A11637" s="4" t="str">
        <f>HYPERLINK("http://www.rosaceae.org/Prunus/Prunus_persica/p.persica_gdr_reftransV1_0016476","p.persica_gdr_reftransV1_0016476")</f>
        <v>p.persica_gdr_reftransV1_0016476</v>
      </c>
      <c r="B11637" s="2">
        <v>2265</v>
      </c>
      <c r="C11637" s="4" t="str">
        <f>HYPERLINK("http://www.uniprot.org/uniprot/M5VIT2","M5VIT2")</f>
        <v>M5VIT2</v>
      </c>
      <c r="D11637" s="2" t="s">
        <v>9812</v>
      </c>
      <c r="E11637" s="3">
        <v>0</v>
      </c>
      <c r="F11637" s="2">
        <v>2727</v>
      </c>
      <c r="G11637" s="2">
        <v>100</v>
      </c>
      <c r="H11637" s="2">
        <v>599</v>
      </c>
      <c r="I11637" s="2">
        <v>385</v>
      </c>
      <c r="J11637" s="2">
        <v>2181</v>
      </c>
      <c r="K11637" s="2">
        <v>1</v>
      </c>
      <c r="L11637" s="2">
        <v>599</v>
      </c>
    </row>
    <row r="11638" spans="1:12" x14ac:dyDescent="0.25">
      <c r="A11638" s="4" t="str">
        <f>HYPERLINK("http://www.rosaceae.org/Prunus/Prunus_persica/p.persica_gdr_reftransV1_0016826","p.persica_gdr_reftransV1_0016826")</f>
        <v>p.persica_gdr_reftransV1_0016826</v>
      </c>
      <c r="B11638" s="2">
        <v>3708</v>
      </c>
      <c r="C11638" s="4" t="str">
        <f>HYPERLINK("http://www.uniprot.org/uniprot/M5WSL9","M5WSL9")</f>
        <v>M5WSL9</v>
      </c>
      <c r="D11638" s="2" t="s">
        <v>9813</v>
      </c>
      <c r="E11638" s="3">
        <v>2.13E-140</v>
      </c>
      <c r="F11638" s="2">
        <v>1136</v>
      </c>
      <c r="G11638" s="2">
        <v>100</v>
      </c>
      <c r="H11638" s="2">
        <v>228</v>
      </c>
      <c r="I11638" s="2">
        <v>2802</v>
      </c>
      <c r="J11638" s="2">
        <v>3485</v>
      </c>
      <c r="K11638" s="2">
        <v>126</v>
      </c>
      <c r="L11638" s="2">
        <v>353</v>
      </c>
    </row>
    <row r="11639" spans="1:12" x14ac:dyDescent="0.25">
      <c r="A11639" s="4" t="str">
        <f>HYPERLINK("http://www.rosaceae.org/Prunus/Prunus_persica/p.persica_gdr_reftransV1_0017176","p.persica_gdr_reftransV1_0017176")</f>
        <v>p.persica_gdr_reftransV1_0017176</v>
      </c>
      <c r="B11639" s="2">
        <v>603</v>
      </c>
      <c r="C11639" s="4" t="str">
        <f>HYPERLINK("http://www.uniprot.org/uniprot/M5XI14","M5XI14")</f>
        <v>M5XI14</v>
      </c>
      <c r="D11639" s="2" t="s">
        <v>9814</v>
      </c>
      <c r="E11639" s="3">
        <v>1.3E-113</v>
      </c>
      <c r="F11639" s="2">
        <v>889</v>
      </c>
      <c r="G11639" s="2">
        <v>100</v>
      </c>
      <c r="H11639" s="2">
        <v>183</v>
      </c>
      <c r="I11639" s="2">
        <v>3</v>
      </c>
      <c r="J11639" s="2">
        <v>551</v>
      </c>
      <c r="K11639" s="2">
        <v>1</v>
      </c>
      <c r="L11639" s="2">
        <v>183</v>
      </c>
    </row>
    <row r="11640" spans="1:12" x14ac:dyDescent="0.25">
      <c r="A11640" s="4" t="str">
        <f>HYPERLINK("http://www.rosaceae.org/Prunus/Prunus_persica/p.persica_gdr_reftransV1_0017526","p.persica_gdr_reftransV1_0017526")</f>
        <v>p.persica_gdr_reftransV1_0017526</v>
      </c>
      <c r="B11640" s="2">
        <v>2010</v>
      </c>
      <c r="C11640" s="4" t="str">
        <f>HYPERLINK("http://www.uniprot.org/uniprot/M5WJ74","M5WJ74")</f>
        <v>M5WJ74</v>
      </c>
      <c r="D11640" s="2" t="s">
        <v>9815</v>
      </c>
      <c r="E11640" s="3">
        <v>0</v>
      </c>
      <c r="F11640" s="2">
        <v>1511</v>
      </c>
      <c r="G11640" s="2">
        <v>100</v>
      </c>
      <c r="H11640" s="2">
        <v>290</v>
      </c>
      <c r="I11640" s="2">
        <v>75</v>
      </c>
      <c r="J11640" s="2">
        <v>944</v>
      </c>
      <c r="K11640" s="2">
        <v>1</v>
      </c>
      <c r="L11640" s="2">
        <v>290</v>
      </c>
    </row>
    <row r="11641" spans="1:12" x14ac:dyDescent="0.25">
      <c r="A11641" s="4" t="str">
        <f>HYPERLINK("http://www.rosaceae.org/Prunus/Prunus_persica/p.persica_gdr_reftransV1_0019976","p.persica_gdr_reftransV1_0019976")</f>
        <v>p.persica_gdr_reftransV1_0019976</v>
      </c>
      <c r="B11641" s="2">
        <v>1129</v>
      </c>
      <c r="C11641" s="4" t="str">
        <f>HYPERLINK("http://www.uniprot.org/uniprot/M5XL05","M5XL05")</f>
        <v>M5XL05</v>
      </c>
      <c r="D11641" s="2" t="s">
        <v>9816</v>
      </c>
      <c r="E11641" s="3">
        <v>6.9699999999999999E-140</v>
      </c>
      <c r="F11641" s="2">
        <v>1053</v>
      </c>
      <c r="G11641" s="2">
        <v>100</v>
      </c>
      <c r="H11641" s="2">
        <v>240</v>
      </c>
      <c r="I11641" s="2">
        <v>197</v>
      </c>
      <c r="J11641" s="2">
        <v>916</v>
      </c>
      <c r="K11641" s="2">
        <v>1</v>
      </c>
      <c r="L11641" s="2">
        <v>240</v>
      </c>
    </row>
    <row r="11642" spans="1:12" x14ac:dyDescent="0.25">
      <c r="A11642" s="4" t="str">
        <f>HYPERLINK("http://www.rosaceae.org/Prunus/Prunus_persica/p.persica_gdr_reftransV1_0021026","p.persica_gdr_reftransV1_0021026")</f>
        <v>p.persica_gdr_reftransV1_0021026</v>
      </c>
      <c r="B11642" s="2">
        <v>1475</v>
      </c>
      <c r="C11642" s="4" t="str">
        <f>HYPERLINK("http://www.uniprot.org/uniprot/M5XM77","M5XM77")</f>
        <v>M5XM77</v>
      </c>
      <c r="D11642" s="2" t="s">
        <v>2886</v>
      </c>
      <c r="E11642" s="3">
        <v>3.1899999999999998E-94</v>
      </c>
      <c r="F11642" s="2">
        <v>758</v>
      </c>
      <c r="G11642" s="2">
        <v>97</v>
      </c>
      <c r="H11642" s="2">
        <v>168</v>
      </c>
      <c r="I11642" s="2">
        <v>195</v>
      </c>
      <c r="J11642" s="2">
        <v>698</v>
      </c>
      <c r="K11642" s="2">
        <v>42</v>
      </c>
      <c r="L11642" s="2">
        <v>209</v>
      </c>
    </row>
    <row r="11643" spans="1:12" x14ac:dyDescent="0.25">
      <c r="A11643" s="4" t="str">
        <f>HYPERLINK("http://www.rosaceae.org/Prunus/Prunus_persica/p.persica_gdr_reftransV1_0021376","p.persica_gdr_reftransV1_0021376")</f>
        <v>p.persica_gdr_reftransV1_0021376</v>
      </c>
      <c r="B11643" s="2">
        <v>1641</v>
      </c>
      <c r="C11643" s="4" t="str">
        <f>HYPERLINK("http://www.uniprot.org/uniprot/M5Y4Q5","M5Y4Q5")</f>
        <v>M5Y4Q5</v>
      </c>
      <c r="D11643" s="2" t="s">
        <v>9817</v>
      </c>
      <c r="E11643" s="3">
        <v>0</v>
      </c>
      <c r="F11643" s="2">
        <v>1788</v>
      </c>
      <c r="G11643" s="2">
        <v>100</v>
      </c>
      <c r="H11643" s="2">
        <v>350</v>
      </c>
      <c r="I11643" s="2">
        <v>28</v>
      </c>
      <c r="J11643" s="2">
        <v>1077</v>
      </c>
      <c r="K11643" s="2">
        <v>1</v>
      </c>
      <c r="L11643" s="2">
        <v>350</v>
      </c>
    </row>
    <row r="11644" spans="1:12" x14ac:dyDescent="0.25">
      <c r="A11644" s="4" t="str">
        <f>HYPERLINK("http://www.rosaceae.org/Prunus/Prunus_persica/p.persica_gdr_reftransV1_0021726","p.persica_gdr_reftransV1_0021726")</f>
        <v>p.persica_gdr_reftransV1_0021726</v>
      </c>
      <c r="B11644" s="2">
        <v>964</v>
      </c>
      <c r="C11644" s="4" t="str">
        <f>HYPERLINK("http://www.uniprot.org/uniprot/M5XHN2","M5XHN2")</f>
        <v>M5XHN2</v>
      </c>
      <c r="D11644" s="2" t="s">
        <v>9818</v>
      </c>
      <c r="E11644" s="3">
        <v>4.4900000000000001E-70</v>
      </c>
      <c r="F11644" s="2">
        <v>575</v>
      </c>
      <c r="G11644" s="2">
        <v>100</v>
      </c>
      <c r="H11644" s="2">
        <v>107</v>
      </c>
      <c r="I11644" s="2">
        <v>448</v>
      </c>
      <c r="J11644" s="2">
        <v>768</v>
      </c>
      <c r="K11644" s="2">
        <v>18</v>
      </c>
      <c r="L11644" s="2">
        <v>124</v>
      </c>
    </row>
    <row r="11645" spans="1:12" x14ac:dyDescent="0.25">
      <c r="A11645" s="4" t="str">
        <f>HYPERLINK("http://www.rosaceae.org/Prunus/Prunus_persica/p.persica_gdr_reftransV1_0022426","p.persica_gdr_reftransV1_0022426")</f>
        <v>p.persica_gdr_reftransV1_0022426</v>
      </c>
      <c r="B11645" s="2">
        <v>1408</v>
      </c>
      <c r="C11645" s="4" t="str">
        <f>HYPERLINK("http://www.uniprot.org/uniprot/M5WLU5","M5WLU5")</f>
        <v>M5WLU5</v>
      </c>
      <c r="D11645" s="2" t="s">
        <v>9819</v>
      </c>
      <c r="E11645" s="3">
        <v>8.2600000000000003E-60</v>
      </c>
      <c r="F11645" s="2">
        <v>522</v>
      </c>
      <c r="G11645" s="2">
        <v>100</v>
      </c>
      <c r="H11645" s="2">
        <v>178</v>
      </c>
      <c r="I11645" s="2">
        <v>442</v>
      </c>
      <c r="J11645" s="2">
        <v>975</v>
      </c>
      <c r="K11645" s="2">
        <v>1</v>
      </c>
      <c r="L11645" s="2">
        <v>178</v>
      </c>
    </row>
    <row r="11646" spans="1:12" x14ac:dyDescent="0.25">
      <c r="A11646" s="4" t="str">
        <f>HYPERLINK("http://www.rosaceae.org/Prunus/Prunus_persica/p.persica_gdr_reftransV1_0023476","p.persica_gdr_reftransV1_0023476")</f>
        <v>p.persica_gdr_reftransV1_0023476</v>
      </c>
      <c r="B11646" s="2">
        <v>839</v>
      </c>
      <c r="C11646" s="4" t="str">
        <f>HYPERLINK("http://www.uniprot.org/uniprot/M5WJC5","M5WJC5")</f>
        <v>M5WJC5</v>
      </c>
      <c r="D11646" s="2" t="s">
        <v>9820</v>
      </c>
      <c r="E11646" s="3">
        <v>2.87E-68</v>
      </c>
      <c r="F11646" s="2">
        <v>561</v>
      </c>
      <c r="G11646" s="2">
        <v>100</v>
      </c>
      <c r="H11646" s="2">
        <v>148</v>
      </c>
      <c r="I11646" s="2">
        <v>256</v>
      </c>
      <c r="J11646" s="2">
        <v>699</v>
      </c>
      <c r="K11646" s="2">
        <v>1</v>
      </c>
      <c r="L11646" s="2">
        <v>148</v>
      </c>
    </row>
    <row r="11647" spans="1:12" x14ac:dyDescent="0.25">
      <c r="A11647" s="4" t="str">
        <f>HYPERLINK("http://www.rosaceae.org/Prunus/Prunus_persica/p.persica_gdr_reftransV1_0024176","p.persica_gdr_reftransV1_0024176")</f>
        <v>p.persica_gdr_reftransV1_0024176</v>
      </c>
      <c r="B11647" s="2">
        <v>2094</v>
      </c>
      <c r="C11647" s="4" t="str">
        <f>HYPERLINK("http://www.uniprot.org/uniprot/M5W9H2","M5W9H2")</f>
        <v>M5W9H2</v>
      </c>
      <c r="D11647" s="2" t="s">
        <v>9821</v>
      </c>
      <c r="E11647" s="3">
        <v>0</v>
      </c>
      <c r="F11647" s="2">
        <v>1776</v>
      </c>
      <c r="G11647" s="2">
        <v>99</v>
      </c>
      <c r="H11647" s="2">
        <v>404</v>
      </c>
      <c r="I11647" s="2">
        <v>442</v>
      </c>
      <c r="J11647" s="2">
        <v>1653</v>
      </c>
      <c r="K11647" s="2">
        <v>18</v>
      </c>
      <c r="L11647" s="2">
        <v>421</v>
      </c>
    </row>
    <row r="11648" spans="1:12" x14ac:dyDescent="0.25">
      <c r="A11648" s="4" t="str">
        <f>HYPERLINK("http://www.rosaceae.org/Prunus/Prunus_persica/p.persica_gdr_reftransV1_0024876","p.persica_gdr_reftransV1_0024876")</f>
        <v>p.persica_gdr_reftransV1_0024876</v>
      </c>
      <c r="B11648" s="2">
        <v>2613</v>
      </c>
      <c r="C11648" s="4" t="str">
        <f>HYPERLINK("http://www.uniprot.org/uniprot/M5WCS5","M5WCS5")</f>
        <v>M5WCS5</v>
      </c>
      <c r="D11648" s="2" t="s">
        <v>9822</v>
      </c>
      <c r="E11648" s="3">
        <v>0</v>
      </c>
      <c r="F11648" s="2">
        <v>2573</v>
      </c>
      <c r="G11648" s="2">
        <v>93</v>
      </c>
      <c r="H11648" s="2">
        <v>552</v>
      </c>
      <c r="I11648" s="2">
        <v>326</v>
      </c>
      <c r="J11648" s="2">
        <v>1978</v>
      </c>
      <c r="K11648" s="2">
        <v>1</v>
      </c>
      <c r="L11648" s="2">
        <v>526</v>
      </c>
    </row>
    <row r="11649" spans="1:12" x14ac:dyDescent="0.25">
      <c r="A11649" s="4" t="str">
        <f>HYPERLINK("http://www.rosaceae.org/Prunus/Prunus_persica/p.persica_gdr_reftransV1_0025576","p.persica_gdr_reftransV1_0025576")</f>
        <v>p.persica_gdr_reftransV1_0025576</v>
      </c>
      <c r="B11649" s="2">
        <v>775</v>
      </c>
      <c r="C11649" s="4" t="str">
        <f>HYPERLINK("http://www.uniprot.org/uniprot/M5X3Y5","M5X3Y5")</f>
        <v>M5X3Y5</v>
      </c>
      <c r="D11649" s="2" t="s">
        <v>9823</v>
      </c>
      <c r="E11649" s="3">
        <v>2.02E-63</v>
      </c>
      <c r="F11649" s="2">
        <v>522</v>
      </c>
      <c r="G11649" s="2">
        <v>100</v>
      </c>
      <c r="H11649" s="2">
        <v>103</v>
      </c>
      <c r="I11649" s="2">
        <v>240</v>
      </c>
      <c r="J11649" s="2">
        <v>548</v>
      </c>
      <c r="K11649" s="2">
        <v>1</v>
      </c>
      <c r="L11649" s="2">
        <v>103</v>
      </c>
    </row>
    <row r="11650" spans="1:12" x14ac:dyDescent="0.25">
      <c r="A11650" s="4" t="str">
        <f>HYPERLINK("http://www.rosaceae.org/Prunus/Prunus_persica/p.persica_gdr_reftransV1_0026626","p.persica_gdr_reftransV1_0026626")</f>
        <v>p.persica_gdr_reftransV1_0026626</v>
      </c>
      <c r="B11650" s="2">
        <v>639</v>
      </c>
      <c r="C11650" s="4" t="str">
        <f>HYPERLINK("http://www.uniprot.org/uniprot/M5XKC9","M5XKC9")</f>
        <v>M5XKC9</v>
      </c>
      <c r="D11650" s="2" t="s">
        <v>9824</v>
      </c>
      <c r="E11650" s="3">
        <v>1.21E-25</v>
      </c>
      <c r="F11650" s="2">
        <v>286</v>
      </c>
      <c r="G11650" s="2">
        <v>100</v>
      </c>
      <c r="H11650" s="2">
        <v>107</v>
      </c>
      <c r="I11650" s="2">
        <v>319</v>
      </c>
      <c r="J11650" s="2">
        <v>639</v>
      </c>
      <c r="K11650" s="2">
        <v>552</v>
      </c>
      <c r="L11650" s="2">
        <v>658</v>
      </c>
    </row>
    <row r="11651" spans="1:12" x14ac:dyDescent="0.25">
      <c r="A11651" s="4" t="str">
        <f>HYPERLINK("http://www.rosaceae.org/Prunus/Prunus_persica/p.persica_gdr_reftransV1_0026976","p.persica_gdr_reftransV1_0026976")</f>
        <v>p.persica_gdr_reftransV1_0026976</v>
      </c>
      <c r="B11651" s="2">
        <v>1944</v>
      </c>
      <c r="C11651" s="4" t="str">
        <f>HYPERLINK("http://www.uniprot.org/uniprot/M5XJE9","M5XJE9")</f>
        <v>M5XJE9</v>
      </c>
      <c r="D11651" s="2" t="s">
        <v>3766</v>
      </c>
      <c r="E11651" s="3">
        <v>0</v>
      </c>
      <c r="F11651" s="2">
        <v>2487</v>
      </c>
      <c r="G11651" s="2">
        <v>100</v>
      </c>
      <c r="H11651" s="2">
        <v>521</v>
      </c>
      <c r="I11651" s="2">
        <v>234</v>
      </c>
      <c r="J11651" s="2">
        <v>1796</v>
      </c>
      <c r="K11651" s="2">
        <v>1</v>
      </c>
      <c r="L11651" s="2">
        <v>521</v>
      </c>
    </row>
    <row r="11652" spans="1:12" x14ac:dyDescent="0.25">
      <c r="A11652" s="4" t="str">
        <f>HYPERLINK("http://www.rosaceae.org/Prunus/Prunus_persica/p.persica_gdr_reftransV1_0028376","p.persica_gdr_reftransV1_0028376")</f>
        <v>p.persica_gdr_reftransV1_0028376</v>
      </c>
      <c r="B11652" s="2">
        <v>3001</v>
      </c>
      <c r="C11652" s="4" t="str">
        <f>HYPERLINK("http://www.uniprot.org/uniprot/A0A067GC45","A0A067GC45")</f>
        <v>A0A067GC45</v>
      </c>
      <c r="D11652" s="2" t="s">
        <v>9825</v>
      </c>
      <c r="E11652" s="3">
        <v>0</v>
      </c>
      <c r="F11652" s="2">
        <v>2641</v>
      </c>
      <c r="G11652" s="2">
        <v>72</v>
      </c>
      <c r="H11652" s="2">
        <v>713</v>
      </c>
      <c r="I11652" s="2">
        <v>599</v>
      </c>
      <c r="J11652" s="2">
        <v>2737</v>
      </c>
      <c r="K11652" s="2">
        <v>1</v>
      </c>
      <c r="L11652" s="2">
        <v>643</v>
      </c>
    </row>
    <row r="11653" spans="1:12" x14ac:dyDescent="0.25">
      <c r="A11653" s="4" t="str">
        <f>HYPERLINK("http://www.rosaceae.org/Prunus/Prunus_persica/p.persica_gdr_reftransV1_0029776","p.persica_gdr_reftransV1_0029776")</f>
        <v>p.persica_gdr_reftransV1_0029776</v>
      </c>
      <c r="B11653" s="2">
        <v>4501</v>
      </c>
      <c r="C11653" s="4" t="str">
        <f>HYPERLINK("http://www.uniprot.org/uniprot/M5X275","M5X275")</f>
        <v>M5X275</v>
      </c>
      <c r="D11653" s="2" t="s">
        <v>9826</v>
      </c>
      <c r="E11653" s="3">
        <v>7.1099999999999997E-119</v>
      </c>
      <c r="F11653" s="2">
        <v>1003</v>
      </c>
      <c r="G11653" s="2">
        <v>99</v>
      </c>
      <c r="H11653" s="2">
        <v>191</v>
      </c>
      <c r="I11653" s="2">
        <v>1251</v>
      </c>
      <c r="J11653" s="2">
        <v>1820</v>
      </c>
      <c r="K11653" s="2">
        <v>128</v>
      </c>
      <c r="L11653" s="2">
        <v>318</v>
      </c>
    </row>
    <row r="11654" spans="1:12" x14ac:dyDescent="0.25">
      <c r="A11654" s="4" t="str">
        <f>HYPERLINK("http://www.rosaceae.org/Prunus/Prunus_persica/p.persica_gdr_reftransV1_0033626","p.persica_gdr_reftransV1_0033626")</f>
        <v>p.persica_gdr_reftransV1_0033626</v>
      </c>
      <c r="B11654" s="2">
        <v>3075</v>
      </c>
      <c r="C11654" s="4" t="str">
        <f>HYPERLINK("http://www.uniprot.org/uniprot/M5XM05","M5XM05")</f>
        <v>M5XM05</v>
      </c>
      <c r="D11654" s="2" t="s">
        <v>9827</v>
      </c>
      <c r="E11654" s="3">
        <v>0</v>
      </c>
      <c r="F11654" s="2">
        <v>2322</v>
      </c>
      <c r="G11654" s="2">
        <v>96</v>
      </c>
      <c r="H11654" s="2">
        <v>474</v>
      </c>
      <c r="I11654" s="2">
        <v>1412</v>
      </c>
      <c r="J11654" s="2">
        <v>2824</v>
      </c>
      <c r="K11654" s="2">
        <v>1</v>
      </c>
      <c r="L11654" s="2">
        <v>464</v>
      </c>
    </row>
    <row r="11655" spans="1:12" x14ac:dyDescent="0.25">
      <c r="A11655" s="4" t="str">
        <f>HYPERLINK("http://www.rosaceae.org/Prunus/Prunus_persica/p.persica_gdr_reftransV1_0034676","p.persica_gdr_reftransV1_0034676")</f>
        <v>p.persica_gdr_reftransV1_0034676</v>
      </c>
      <c r="B11655" s="2">
        <v>1956</v>
      </c>
      <c r="C11655" s="4" t="str">
        <f>HYPERLINK("http://www.uniprot.org/uniprot/A5B8Q2","A5B8Q2")</f>
        <v>A5B8Q2</v>
      </c>
      <c r="D11655" s="2" t="s">
        <v>9828</v>
      </c>
      <c r="E11655" s="3">
        <v>8.4800000000000005E-57</v>
      </c>
      <c r="F11655" s="2">
        <v>557</v>
      </c>
      <c r="G11655" s="2">
        <v>41</v>
      </c>
      <c r="H11655" s="2">
        <v>305</v>
      </c>
      <c r="I11655" s="2">
        <v>636</v>
      </c>
      <c r="J11655" s="2">
        <v>1544</v>
      </c>
      <c r="K11655" s="2">
        <v>567</v>
      </c>
      <c r="L11655" s="2">
        <v>863</v>
      </c>
    </row>
    <row r="11656" spans="1:12" x14ac:dyDescent="0.25">
      <c r="A11656" s="4" t="str">
        <f>HYPERLINK("http://www.rosaceae.org/Prunus/Prunus_persica/p.persica_gdr_reftransV1_0036426","p.persica_gdr_reftransV1_0036426")</f>
        <v>p.persica_gdr_reftransV1_0036426</v>
      </c>
      <c r="B11656" s="2">
        <v>4072</v>
      </c>
      <c r="C11656" s="4" t="str">
        <f>HYPERLINK("http://www.uniprot.org/uniprot/M5XCH0","M5XCH0")</f>
        <v>M5XCH0</v>
      </c>
      <c r="D11656" s="2" t="s">
        <v>9829</v>
      </c>
      <c r="E11656" s="3">
        <v>0</v>
      </c>
      <c r="F11656" s="2">
        <v>2419</v>
      </c>
      <c r="G11656" s="2">
        <v>79</v>
      </c>
      <c r="H11656" s="2">
        <v>693</v>
      </c>
      <c r="I11656" s="2">
        <v>846</v>
      </c>
      <c r="J11656" s="2">
        <v>2912</v>
      </c>
      <c r="K11656" s="2">
        <v>1</v>
      </c>
      <c r="L11656" s="2">
        <v>620</v>
      </c>
    </row>
    <row r="11657" spans="1:12" x14ac:dyDescent="0.25">
      <c r="A11657" s="4" t="str">
        <f>HYPERLINK("http://www.rosaceae.org/Prunus/Prunus_persica/p.persica_gdr_reftransV1_0038876","p.persica_gdr_reftransV1_0038876")</f>
        <v>p.persica_gdr_reftransV1_0038876</v>
      </c>
      <c r="B11657" s="2">
        <v>4430</v>
      </c>
      <c r="C11657" s="4" t="str">
        <f>HYPERLINK("http://www.uniprot.org/uniprot/M5X757","M5X757")</f>
        <v>M5X757</v>
      </c>
      <c r="D11657" s="2" t="s">
        <v>9830</v>
      </c>
      <c r="E11657" s="3">
        <v>0</v>
      </c>
      <c r="F11657" s="2">
        <v>6394</v>
      </c>
      <c r="G11657" s="2">
        <v>100</v>
      </c>
      <c r="H11657" s="2">
        <v>1225</v>
      </c>
      <c r="I11657" s="2">
        <v>325</v>
      </c>
      <c r="J11657" s="2">
        <v>3999</v>
      </c>
      <c r="K11657" s="2">
        <v>30</v>
      </c>
      <c r="L11657" s="2">
        <v>1254</v>
      </c>
    </row>
    <row r="11658" spans="1:12" x14ac:dyDescent="0.25">
      <c r="A11658" s="4" t="str">
        <f>HYPERLINK("http://www.rosaceae.org/Prunus/Prunus_persica/p.persica_gdr_reftransV1_0040626","p.persica_gdr_reftransV1_0040626")</f>
        <v>p.persica_gdr_reftransV1_0040626</v>
      </c>
      <c r="B11658" s="2">
        <v>3543</v>
      </c>
      <c r="C11658" s="4" t="str">
        <f>HYPERLINK("http://www.uniprot.org/uniprot/M5WNF2","M5WNF2")</f>
        <v>M5WNF2</v>
      </c>
      <c r="D11658" s="2" t="s">
        <v>9831</v>
      </c>
      <c r="E11658" s="3">
        <v>0</v>
      </c>
      <c r="F11658" s="2">
        <v>3568</v>
      </c>
      <c r="G11658" s="2">
        <v>100</v>
      </c>
      <c r="H11658" s="2">
        <v>753</v>
      </c>
      <c r="I11658" s="2">
        <v>643</v>
      </c>
      <c r="J11658" s="2">
        <v>2901</v>
      </c>
      <c r="K11658" s="2">
        <v>1</v>
      </c>
      <c r="L11658" s="2">
        <v>753</v>
      </c>
    </row>
    <row r="11659" spans="1:12" x14ac:dyDescent="0.25">
      <c r="A11659" s="4" t="str">
        <f>HYPERLINK("http://www.rosaceae.org/Prunus/Prunus_persica/p.persica_gdr_reftransV1_0042376","p.persica_gdr_reftransV1_0042376")</f>
        <v>p.persica_gdr_reftransV1_0042376</v>
      </c>
      <c r="B11659" s="2">
        <v>2169</v>
      </c>
      <c r="C11659" s="4" t="str">
        <f>HYPERLINK("http://www.uniprot.org/uniprot/M5XFF2","M5XFF2")</f>
        <v>M5XFF2</v>
      </c>
      <c r="D11659" s="2" t="s">
        <v>9832</v>
      </c>
      <c r="E11659" s="3">
        <v>0</v>
      </c>
      <c r="F11659" s="2">
        <v>1651</v>
      </c>
      <c r="G11659" s="2">
        <v>100</v>
      </c>
      <c r="H11659" s="2">
        <v>358</v>
      </c>
      <c r="I11659" s="2">
        <v>241</v>
      </c>
      <c r="J11659" s="2">
        <v>1314</v>
      </c>
      <c r="K11659" s="2">
        <v>1</v>
      </c>
      <c r="L11659" s="2">
        <v>358</v>
      </c>
    </row>
    <row r="11660" spans="1:12" x14ac:dyDescent="0.25">
      <c r="A11660" s="4" t="str">
        <f>HYPERLINK("http://www.rosaceae.org/Prunus/Prunus_persica/p.persica_gdr_reftransV1_0042726","p.persica_gdr_reftransV1_0042726")</f>
        <v>p.persica_gdr_reftransV1_0042726</v>
      </c>
      <c r="B11660" s="2">
        <v>2995</v>
      </c>
      <c r="C11660" s="4" t="str">
        <f>HYPERLINK("http://www.uniprot.org/uniprot/M5XE19","M5XE19")</f>
        <v>M5XE19</v>
      </c>
      <c r="D11660" s="2" t="s">
        <v>9833</v>
      </c>
      <c r="E11660" s="3">
        <v>1.4799999999999999E-96</v>
      </c>
      <c r="F11660" s="2">
        <v>820</v>
      </c>
      <c r="G11660" s="2">
        <v>100</v>
      </c>
      <c r="H11660" s="2">
        <v>170</v>
      </c>
      <c r="I11660" s="2">
        <v>2111</v>
      </c>
      <c r="J11660" s="2">
        <v>2620</v>
      </c>
      <c r="K11660" s="2">
        <v>169</v>
      </c>
      <c r="L11660" s="2">
        <v>338</v>
      </c>
    </row>
    <row r="11661" spans="1:12" x14ac:dyDescent="0.25">
      <c r="A11661" s="4" t="str">
        <f>HYPERLINK("http://www.rosaceae.org/Prunus/Prunus_persica/p.persica_gdr_reftransV1_0043076","p.persica_gdr_reftransV1_0043076")</f>
        <v>p.persica_gdr_reftransV1_0043076</v>
      </c>
      <c r="B11661" s="2">
        <v>1096</v>
      </c>
      <c r="C11661" s="4" t="str">
        <f>HYPERLINK("http://www.uniprot.org/uniprot/M5W5Y7","M5W5Y7")</f>
        <v>M5W5Y7</v>
      </c>
      <c r="D11661" s="2" t="s">
        <v>9834</v>
      </c>
      <c r="E11661" s="3">
        <v>0</v>
      </c>
      <c r="F11661" s="2">
        <v>1684</v>
      </c>
      <c r="G11661" s="2">
        <v>100</v>
      </c>
      <c r="H11661" s="2">
        <v>365</v>
      </c>
      <c r="I11661" s="2">
        <v>2</v>
      </c>
      <c r="J11661" s="2">
        <v>1096</v>
      </c>
      <c r="K11661" s="2">
        <v>246</v>
      </c>
      <c r="L11661" s="2">
        <v>610</v>
      </c>
    </row>
    <row r="11662" spans="1:12" x14ac:dyDescent="0.25">
      <c r="A11662" s="4" t="str">
        <f>HYPERLINK("http://www.rosaceae.org/Prunus/Prunus_persica/p.persica_gdr_reftransV1_0043426","p.persica_gdr_reftransV1_0043426")</f>
        <v>p.persica_gdr_reftransV1_0043426</v>
      </c>
      <c r="B11662" s="2">
        <v>505</v>
      </c>
      <c r="C11662" s="4" t="str">
        <f>HYPERLINK("http://www.uniprot.org/uniprot/M5X0Q1","M5X0Q1")</f>
        <v>M5X0Q1</v>
      </c>
      <c r="D11662" s="2" t="s">
        <v>9835</v>
      </c>
      <c r="E11662" s="3">
        <v>2.7300000000000001E-54</v>
      </c>
      <c r="F11662" s="2">
        <v>477</v>
      </c>
      <c r="G11662" s="2">
        <v>100</v>
      </c>
      <c r="H11662" s="2">
        <v>110</v>
      </c>
      <c r="I11662" s="2">
        <v>173</v>
      </c>
      <c r="J11662" s="2">
        <v>502</v>
      </c>
      <c r="K11662" s="2">
        <v>314</v>
      </c>
      <c r="L11662" s="2">
        <v>423</v>
      </c>
    </row>
    <row r="11663" spans="1:12" x14ac:dyDescent="0.25">
      <c r="A11663" s="4" t="str">
        <f>HYPERLINK("http://www.rosaceae.org/Prunus/Prunus_persica/p.persica_gdr_reftransV1_0043776","p.persica_gdr_reftransV1_0043776")</f>
        <v>p.persica_gdr_reftransV1_0043776</v>
      </c>
      <c r="B11663" s="2">
        <v>339</v>
      </c>
      <c r="C11663" s="4" t="str">
        <f>HYPERLINK("http://www.uniprot.org/uniprot/M5Y417","M5Y417")</f>
        <v>M5Y417</v>
      </c>
      <c r="D11663" s="2" t="s">
        <v>8043</v>
      </c>
      <c r="E11663" s="3">
        <v>1.6499999999999999E-59</v>
      </c>
      <c r="F11663" s="2">
        <v>523</v>
      </c>
      <c r="G11663" s="2">
        <v>100</v>
      </c>
      <c r="H11663" s="2">
        <v>99</v>
      </c>
      <c r="I11663" s="2">
        <v>41</v>
      </c>
      <c r="J11663" s="2">
        <v>337</v>
      </c>
      <c r="K11663" s="2">
        <v>813</v>
      </c>
      <c r="L11663" s="2">
        <v>911</v>
      </c>
    </row>
    <row r="11664" spans="1:12" x14ac:dyDescent="0.25">
      <c r="A11664" s="4" t="str">
        <f>HYPERLINK("http://www.rosaceae.org/Prunus/Prunus_persica/p.persica_gdr_reftransV1_0044476","p.persica_gdr_reftransV1_0044476")</f>
        <v>p.persica_gdr_reftransV1_0044476</v>
      </c>
      <c r="B11664" s="2">
        <v>3568</v>
      </c>
      <c r="C11664" s="4" t="str">
        <f>HYPERLINK("http://www.uniprot.org/uniprot/M5W783","M5W783")</f>
        <v>M5W783</v>
      </c>
      <c r="D11664" s="2" t="s">
        <v>9836</v>
      </c>
      <c r="E11664" s="3">
        <v>0</v>
      </c>
      <c r="F11664" s="2">
        <v>3020</v>
      </c>
      <c r="G11664" s="2">
        <v>100</v>
      </c>
      <c r="H11664" s="2">
        <v>664</v>
      </c>
      <c r="I11664" s="2">
        <v>65</v>
      </c>
      <c r="J11664" s="2">
        <v>2056</v>
      </c>
      <c r="K11664" s="2">
        <v>1</v>
      </c>
      <c r="L11664" s="2">
        <v>664</v>
      </c>
    </row>
    <row r="11665" spans="1:12" x14ac:dyDescent="0.25">
      <c r="A11665" s="4" t="str">
        <f>HYPERLINK("http://www.rosaceae.org/Prunus/Prunus_persica/p.persica_gdr_reftransV1_0045176","p.persica_gdr_reftransV1_0045176")</f>
        <v>p.persica_gdr_reftransV1_0045176</v>
      </c>
      <c r="B11665" s="2">
        <v>916</v>
      </c>
      <c r="C11665" s="4" t="str">
        <f>HYPERLINK("http://www.uniprot.org/uniprot/M5WAP7","M5WAP7")</f>
        <v>M5WAP7</v>
      </c>
      <c r="D11665" s="2" t="s">
        <v>9837</v>
      </c>
      <c r="E11665" s="3">
        <v>1.6400000000000001E-104</v>
      </c>
      <c r="F11665" s="2">
        <v>804</v>
      </c>
      <c r="G11665" s="2">
        <v>100</v>
      </c>
      <c r="H11665" s="2">
        <v>168</v>
      </c>
      <c r="I11665" s="2">
        <v>115</v>
      </c>
      <c r="J11665" s="2">
        <v>618</v>
      </c>
      <c r="K11665" s="2">
        <v>1</v>
      </c>
      <c r="L11665" s="2">
        <v>168</v>
      </c>
    </row>
    <row r="11666" spans="1:12" x14ac:dyDescent="0.25">
      <c r="A11666" s="4" t="str">
        <f>HYPERLINK("http://www.rosaceae.org/Prunus/Prunus_persica/p.persica_gdr_reftransV1_0045526","p.persica_gdr_reftransV1_0045526")</f>
        <v>p.persica_gdr_reftransV1_0045526</v>
      </c>
      <c r="B11666" s="2">
        <v>668</v>
      </c>
      <c r="C11666" s="4" t="str">
        <f>HYPERLINK("http://www.uniprot.org/uniprot/M5W813","M5W813")</f>
        <v>M5W813</v>
      </c>
      <c r="D11666" s="2" t="s">
        <v>9838</v>
      </c>
      <c r="E11666" s="3">
        <v>6.1099999999999996E-124</v>
      </c>
      <c r="F11666" s="2">
        <v>961</v>
      </c>
      <c r="G11666" s="2">
        <v>100</v>
      </c>
      <c r="H11666" s="2">
        <v>188</v>
      </c>
      <c r="I11666" s="2">
        <v>105</v>
      </c>
      <c r="J11666" s="2">
        <v>668</v>
      </c>
      <c r="K11666" s="2">
        <v>381</v>
      </c>
      <c r="L11666" s="2">
        <v>568</v>
      </c>
    </row>
    <row r="11667" spans="1:12" x14ac:dyDescent="0.25">
      <c r="A11667" s="4" t="str">
        <f>HYPERLINK("http://www.rosaceae.org/Prunus/Prunus_persica/p.persica_gdr_reftransV1_0045876","p.persica_gdr_reftransV1_0045876")</f>
        <v>p.persica_gdr_reftransV1_0045876</v>
      </c>
      <c r="B11667" s="2">
        <v>2785</v>
      </c>
      <c r="C11667" s="4" t="str">
        <f>HYPERLINK("http://www.uniprot.org/uniprot/M5XR63","M5XR63")</f>
        <v>M5XR63</v>
      </c>
      <c r="D11667" s="2" t="s">
        <v>4847</v>
      </c>
      <c r="E11667" s="3">
        <v>0</v>
      </c>
      <c r="F11667" s="2">
        <v>2079</v>
      </c>
      <c r="G11667" s="2">
        <v>93</v>
      </c>
      <c r="H11667" s="2">
        <v>428</v>
      </c>
      <c r="I11667" s="2">
        <v>176</v>
      </c>
      <c r="J11667" s="2">
        <v>1387</v>
      </c>
      <c r="K11667" s="2">
        <v>714</v>
      </c>
      <c r="L11667" s="2">
        <v>1141</v>
      </c>
    </row>
    <row r="11668" spans="1:12" x14ac:dyDescent="0.25">
      <c r="A11668" s="4" t="str">
        <f>HYPERLINK("http://www.rosaceae.org/Prunus/Prunus_persica/p.persica_gdr_reftransV1_0046576","p.persica_gdr_reftransV1_0046576")</f>
        <v>p.persica_gdr_reftransV1_0046576</v>
      </c>
      <c r="B11668" s="2">
        <v>366</v>
      </c>
      <c r="C11668" s="4" t="str">
        <f>HYPERLINK("http://www.uniprot.org/uniprot/M5X8H4","M5X8H4")</f>
        <v>M5X8H4</v>
      </c>
      <c r="D11668" s="2" t="s">
        <v>5843</v>
      </c>
      <c r="E11668" s="3">
        <v>1.21E-76</v>
      </c>
      <c r="F11668" s="2">
        <v>660</v>
      </c>
      <c r="G11668" s="2">
        <v>99</v>
      </c>
      <c r="H11668" s="2">
        <v>121</v>
      </c>
      <c r="I11668" s="2">
        <v>2</v>
      </c>
      <c r="J11668" s="2">
        <v>364</v>
      </c>
      <c r="K11668" s="2">
        <v>21</v>
      </c>
      <c r="L11668" s="2">
        <v>141</v>
      </c>
    </row>
    <row r="11669" spans="1:12" x14ac:dyDescent="0.25">
      <c r="A11669" s="4" t="str">
        <f>HYPERLINK("http://www.rosaceae.org/Prunus/Prunus_persica/p.persica_gdr_reftransV1_0047276","p.persica_gdr_reftransV1_0047276")</f>
        <v>p.persica_gdr_reftransV1_0047276</v>
      </c>
      <c r="B11669" s="2">
        <v>1884</v>
      </c>
      <c r="C11669" s="4" t="str">
        <f>HYPERLINK("http://www.uniprot.org/uniprot/M5WQU1","M5WQU1")</f>
        <v>M5WQU1</v>
      </c>
      <c r="D11669" s="2" t="s">
        <v>5042</v>
      </c>
      <c r="E11669" s="3">
        <v>0</v>
      </c>
      <c r="F11669" s="2">
        <v>2790</v>
      </c>
      <c r="G11669" s="2">
        <v>100</v>
      </c>
      <c r="H11669" s="2">
        <v>524</v>
      </c>
      <c r="I11669" s="2">
        <v>311</v>
      </c>
      <c r="J11669" s="2">
        <v>1882</v>
      </c>
      <c r="K11669" s="2">
        <v>306</v>
      </c>
      <c r="L11669" s="2">
        <v>829</v>
      </c>
    </row>
    <row r="11670" spans="1:12" x14ac:dyDescent="0.25">
      <c r="A11670" s="4" t="str">
        <f>HYPERLINK("http://www.rosaceae.org/Prunus/Prunus_persica/p.persica_gdr_reftransV1_0047626","p.persica_gdr_reftransV1_0047626")</f>
        <v>p.persica_gdr_reftransV1_0047626</v>
      </c>
      <c r="B11670" s="2">
        <v>370</v>
      </c>
      <c r="C11670" s="4" t="str">
        <f>HYPERLINK("http://www.uniprot.org/uniprot/M5W7E1","M5W7E1")</f>
        <v>M5W7E1</v>
      </c>
      <c r="D11670" s="2" t="s">
        <v>9839</v>
      </c>
      <c r="E11670" s="3">
        <v>4.07E-78</v>
      </c>
      <c r="F11670" s="2">
        <v>661</v>
      </c>
      <c r="G11670" s="2">
        <v>100</v>
      </c>
      <c r="H11670" s="2">
        <v>122</v>
      </c>
      <c r="I11670" s="2">
        <v>3</v>
      </c>
      <c r="J11670" s="2">
        <v>368</v>
      </c>
      <c r="K11670" s="2">
        <v>872</v>
      </c>
      <c r="L11670" s="2">
        <v>993</v>
      </c>
    </row>
    <row r="11671" spans="1:12" x14ac:dyDescent="0.25">
      <c r="A11671" s="4" t="str">
        <f>HYPERLINK("http://www.rosaceae.org/Prunus/Prunus_persica/p.persica_gdr_reftransV1_0047976","p.persica_gdr_reftransV1_0047976")</f>
        <v>p.persica_gdr_reftransV1_0047976</v>
      </c>
      <c r="B11671" s="2">
        <v>3397</v>
      </c>
      <c r="C11671" s="4" t="str">
        <f>HYPERLINK("http://www.uniprot.org/uniprot/M5WCU6","M5WCU6")</f>
        <v>M5WCU6</v>
      </c>
      <c r="D11671" s="2" t="s">
        <v>4171</v>
      </c>
      <c r="E11671" s="3">
        <v>0</v>
      </c>
      <c r="F11671" s="2">
        <v>4637</v>
      </c>
      <c r="G11671" s="2">
        <v>100</v>
      </c>
      <c r="H11671" s="2">
        <v>885</v>
      </c>
      <c r="I11671" s="2">
        <v>373</v>
      </c>
      <c r="J11671" s="2">
        <v>3027</v>
      </c>
      <c r="K11671" s="2">
        <v>6</v>
      </c>
      <c r="L11671" s="2">
        <v>889</v>
      </c>
    </row>
    <row r="11672" spans="1:12" x14ac:dyDescent="0.25">
      <c r="A11672" s="4" t="str">
        <f>HYPERLINK("http://www.rosaceae.org/Prunus/Prunus_persica/p.persica_gdr_reftransV1_0048326","p.persica_gdr_reftransV1_0048326")</f>
        <v>p.persica_gdr_reftransV1_0048326</v>
      </c>
      <c r="B11672" s="2">
        <v>363</v>
      </c>
      <c r="C11672" s="4" t="str">
        <f>HYPERLINK("http://www.uniprot.org/uniprot/M5W0I4","M5W0I4")</f>
        <v>M5W0I4</v>
      </c>
      <c r="D11672" s="2" t="s">
        <v>9840</v>
      </c>
      <c r="E11672" s="3">
        <v>4.4000000000000002E-67</v>
      </c>
      <c r="F11672" s="2">
        <v>554</v>
      </c>
      <c r="G11672" s="2">
        <v>100</v>
      </c>
      <c r="H11672" s="2">
        <v>117</v>
      </c>
      <c r="I11672" s="2">
        <v>12</v>
      </c>
      <c r="J11672" s="2">
        <v>362</v>
      </c>
      <c r="K11672" s="2">
        <v>208</v>
      </c>
      <c r="L11672" s="2">
        <v>324</v>
      </c>
    </row>
    <row r="11673" spans="1:12" x14ac:dyDescent="0.25">
      <c r="A11673" s="4" t="str">
        <f>HYPERLINK("http://www.rosaceae.org/Prunus/Prunus_persica/p.persica_gdr_reftransV1_0048676","p.persica_gdr_reftransV1_0048676")</f>
        <v>p.persica_gdr_reftransV1_0048676</v>
      </c>
      <c r="B11673" s="2">
        <v>2751</v>
      </c>
      <c r="C11673" s="4" t="str">
        <f>HYPERLINK("http://www.uniprot.org/uniprot/M5XPF5","M5XPF5")</f>
        <v>M5XPF5</v>
      </c>
      <c r="D11673" s="2" t="s">
        <v>9841</v>
      </c>
      <c r="E11673" s="3">
        <v>0</v>
      </c>
      <c r="F11673" s="2">
        <v>4221</v>
      </c>
      <c r="G11673" s="2">
        <v>91</v>
      </c>
      <c r="H11673" s="2">
        <v>913</v>
      </c>
      <c r="I11673" s="2">
        <v>12</v>
      </c>
      <c r="J11673" s="2">
        <v>2732</v>
      </c>
      <c r="K11673" s="2">
        <v>13</v>
      </c>
      <c r="L11673" s="2">
        <v>925</v>
      </c>
    </row>
    <row r="11674" spans="1:12" x14ac:dyDescent="0.25">
      <c r="A11674" s="4" t="str">
        <f>HYPERLINK("http://www.rosaceae.org/Prunus/Prunus_persica/p.persica_gdr_reftransV1_0049026","p.persica_gdr_reftransV1_0049026")</f>
        <v>p.persica_gdr_reftransV1_0049026</v>
      </c>
      <c r="B11674" s="2">
        <v>666</v>
      </c>
      <c r="C11674" s="4" t="str">
        <f>HYPERLINK("http://www.uniprot.org/uniprot/M5WVI3","M5WVI3")</f>
        <v>M5WVI3</v>
      </c>
      <c r="D11674" s="2" t="s">
        <v>2221</v>
      </c>
      <c r="E11674" s="3">
        <v>9.6700000000000004E-66</v>
      </c>
      <c r="F11674" s="2">
        <v>543</v>
      </c>
      <c r="G11674" s="2">
        <v>96</v>
      </c>
      <c r="H11674" s="2">
        <v>108</v>
      </c>
      <c r="I11674" s="2">
        <v>96</v>
      </c>
      <c r="J11674" s="2">
        <v>419</v>
      </c>
      <c r="K11674" s="2">
        <v>14</v>
      </c>
      <c r="L11674" s="2">
        <v>121</v>
      </c>
    </row>
    <row r="11675" spans="1:12" x14ac:dyDescent="0.25">
      <c r="A11675" s="4" t="str">
        <f>HYPERLINK("http://www.rosaceae.org/Prunus/Prunus_persica/p.persica_gdr_reftransV1_0000961","p.persica_gdr_reftransV1_0000961")</f>
        <v>p.persica_gdr_reftransV1_0000961</v>
      </c>
      <c r="B11675" s="2">
        <v>378</v>
      </c>
      <c r="C11675" s="4" t="str">
        <f>HYPERLINK("http://www.uniprot.org/uniprot/M5VV93","M5VV93")</f>
        <v>M5VV93</v>
      </c>
      <c r="D11675" s="2" t="s">
        <v>9842</v>
      </c>
      <c r="E11675" s="3">
        <v>1.5999999999999999E-80</v>
      </c>
      <c r="F11675" s="2">
        <v>681</v>
      </c>
      <c r="G11675" s="2">
        <v>100</v>
      </c>
      <c r="H11675" s="2">
        <v>126</v>
      </c>
      <c r="I11675" s="2">
        <v>1</v>
      </c>
      <c r="J11675" s="2">
        <v>378</v>
      </c>
      <c r="K11675" s="2">
        <v>838</v>
      </c>
      <c r="L11675" s="2">
        <v>963</v>
      </c>
    </row>
    <row r="11676" spans="1:12" x14ac:dyDescent="0.25">
      <c r="A11676" s="4" t="str">
        <f>HYPERLINK("http://www.rosaceae.org/Prunus/Prunus_persica/p.persica_gdr_reftransV1_0001661","p.persica_gdr_reftransV1_0001661")</f>
        <v>p.persica_gdr_reftransV1_0001661</v>
      </c>
      <c r="B11676" s="2">
        <v>1549</v>
      </c>
      <c r="C11676" s="4" t="str">
        <f>HYPERLINK("http://www.uniprot.org/uniprot/M5VZP9","M5VZP9")</f>
        <v>M5VZP9</v>
      </c>
      <c r="D11676" s="2" t="s">
        <v>9843</v>
      </c>
      <c r="E11676" s="3">
        <v>0</v>
      </c>
      <c r="F11676" s="2">
        <v>1803</v>
      </c>
      <c r="G11676" s="2">
        <v>100</v>
      </c>
      <c r="H11676" s="2">
        <v>355</v>
      </c>
      <c r="I11676" s="2">
        <v>125</v>
      </c>
      <c r="J11676" s="2">
        <v>1189</v>
      </c>
      <c r="K11676" s="2">
        <v>14</v>
      </c>
      <c r="L11676" s="2">
        <v>368</v>
      </c>
    </row>
    <row r="11677" spans="1:12" x14ac:dyDescent="0.25">
      <c r="A11677" s="4" t="str">
        <f>HYPERLINK("http://www.rosaceae.org/Prunus/Prunus_persica/p.persica_gdr_reftransV1_0002011","p.persica_gdr_reftransV1_0002011")</f>
        <v>p.persica_gdr_reftransV1_0002011</v>
      </c>
      <c r="B11677" s="2">
        <v>1291</v>
      </c>
      <c r="C11677" s="4" t="str">
        <f>HYPERLINK("http://www.uniprot.org/uniprot/A0A0F6SUP1","A0A0F6SUP1")</f>
        <v>A0A0F6SUP1</v>
      </c>
      <c r="D11677" s="2" t="s">
        <v>9844</v>
      </c>
      <c r="E11677" s="3">
        <v>2.5099999999999999E-174</v>
      </c>
      <c r="F11677" s="2">
        <v>1290</v>
      </c>
      <c r="G11677" s="2">
        <v>93</v>
      </c>
      <c r="H11677" s="2">
        <v>271</v>
      </c>
      <c r="I11677" s="2">
        <v>477</v>
      </c>
      <c r="J11677" s="2">
        <v>1289</v>
      </c>
      <c r="K11677" s="2">
        <v>14</v>
      </c>
      <c r="L11677" s="2">
        <v>282</v>
      </c>
    </row>
    <row r="11678" spans="1:12" x14ac:dyDescent="0.25">
      <c r="A11678" s="4" t="str">
        <f>HYPERLINK("http://www.rosaceae.org/Prunus/Prunus_persica/p.persica_gdr_reftransV1_0002361","p.persica_gdr_reftransV1_0002361")</f>
        <v>p.persica_gdr_reftransV1_0002361</v>
      </c>
      <c r="B11678" s="2">
        <v>2545</v>
      </c>
      <c r="C11678" s="4" t="str">
        <f>HYPERLINK("http://www.uniprot.org/uniprot/M5XKP7","M5XKP7")</f>
        <v>M5XKP7</v>
      </c>
      <c r="D11678" s="2" t="s">
        <v>6831</v>
      </c>
      <c r="E11678" s="3">
        <v>0</v>
      </c>
      <c r="F11678" s="2">
        <v>3874</v>
      </c>
      <c r="G11678" s="2">
        <v>99</v>
      </c>
      <c r="H11678" s="2">
        <v>798</v>
      </c>
      <c r="I11678" s="2">
        <v>2</v>
      </c>
      <c r="J11678" s="2">
        <v>2395</v>
      </c>
      <c r="K11678" s="2">
        <v>1</v>
      </c>
      <c r="L11678" s="2">
        <v>798</v>
      </c>
    </row>
    <row r="11679" spans="1:12" x14ac:dyDescent="0.25">
      <c r="A11679" s="4" t="str">
        <f>HYPERLINK("http://www.rosaceae.org/Prunus/Prunus_persica/p.persica_gdr_reftransV1_0002711","p.persica_gdr_reftransV1_0002711")</f>
        <v>p.persica_gdr_reftransV1_0002711</v>
      </c>
      <c r="B11679" s="2">
        <v>2976</v>
      </c>
      <c r="C11679" s="4" t="str">
        <f>HYPERLINK("http://www.uniprot.org/uniprot/M5X9V4","M5X9V4")</f>
        <v>M5X9V4</v>
      </c>
      <c r="D11679" s="2" t="s">
        <v>9398</v>
      </c>
      <c r="E11679" s="3">
        <v>0</v>
      </c>
      <c r="F11679" s="2">
        <v>3854</v>
      </c>
      <c r="G11679" s="2">
        <v>100</v>
      </c>
      <c r="H11679" s="2">
        <v>802</v>
      </c>
      <c r="I11679" s="2">
        <v>400</v>
      </c>
      <c r="J11679" s="2">
        <v>2805</v>
      </c>
      <c r="K11679" s="2">
        <v>1</v>
      </c>
      <c r="L11679" s="2">
        <v>802</v>
      </c>
    </row>
    <row r="11680" spans="1:12" x14ac:dyDescent="0.25">
      <c r="A11680" s="4" t="str">
        <f>HYPERLINK("http://www.rosaceae.org/Prunus/Prunus_persica/p.persica_gdr_reftransV1_0003061","p.persica_gdr_reftransV1_0003061")</f>
        <v>p.persica_gdr_reftransV1_0003061</v>
      </c>
      <c r="B11680" s="2">
        <v>4051</v>
      </c>
      <c r="C11680" s="4" t="str">
        <f>HYPERLINK("http://www.uniprot.org/uniprot/M5WCV1","M5WCV1")</f>
        <v>M5WCV1</v>
      </c>
      <c r="D11680" s="2" t="s">
        <v>6464</v>
      </c>
      <c r="E11680" s="3">
        <v>0</v>
      </c>
      <c r="F11680" s="2">
        <v>4769</v>
      </c>
      <c r="G11680" s="2">
        <v>100</v>
      </c>
      <c r="H11680" s="2">
        <v>936</v>
      </c>
      <c r="I11680" s="2">
        <v>505</v>
      </c>
      <c r="J11680" s="2">
        <v>3312</v>
      </c>
      <c r="K11680" s="2">
        <v>1</v>
      </c>
      <c r="L11680" s="2">
        <v>936</v>
      </c>
    </row>
    <row r="11681" spans="1:12" x14ac:dyDescent="0.25">
      <c r="A11681" s="4" t="str">
        <f>HYPERLINK("http://www.rosaceae.org/Prunus/Prunus_persica/p.persica_gdr_reftransV1_0003411","p.persica_gdr_reftransV1_0003411")</f>
        <v>p.persica_gdr_reftransV1_0003411</v>
      </c>
      <c r="B11681" s="2">
        <v>1547</v>
      </c>
      <c r="C11681" s="4" t="str">
        <f>HYPERLINK("http://www.uniprot.org/uniprot/M5XXG0","M5XXG0")</f>
        <v>M5XXG0</v>
      </c>
      <c r="D11681" s="2" t="s">
        <v>9845</v>
      </c>
      <c r="E11681" s="3">
        <v>0</v>
      </c>
      <c r="F11681" s="2">
        <v>1226</v>
      </c>
      <c r="G11681" s="2">
        <v>100</v>
      </c>
      <c r="H11681" s="2">
        <v>246</v>
      </c>
      <c r="I11681" s="2">
        <v>292</v>
      </c>
      <c r="J11681" s="2">
        <v>1029</v>
      </c>
      <c r="K11681" s="2">
        <v>165</v>
      </c>
      <c r="L11681" s="2">
        <v>410</v>
      </c>
    </row>
    <row r="11682" spans="1:12" x14ac:dyDescent="0.25">
      <c r="A11682" s="4" t="str">
        <f>HYPERLINK("http://www.rosaceae.org/Prunus/Prunus_persica/p.persica_gdr_reftransV1_0003761","p.persica_gdr_reftransV1_0003761")</f>
        <v>p.persica_gdr_reftransV1_0003761</v>
      </c>
      <c r="B11682" s="2">
        <v>391</v>
      </c>
      <c r="C11682" s="4" t="str">
        <f>HYPERLINK("http://www.uniprot.org/uniprot/M5VI24","M5VI24")</f>
        <v>M5VI24</v>
      </c>
      <c r="D11682" s="2" t="s">
        <v>1469</v>
      </c>
      <c r="E11682" s="3">
        <v>1.4699999999999999E-74</v>
      </c>
      <c r="F11682" s="2">
        <v>606</v>
      </c>
      <c r="G11682" s="2">
        <v>95</v>
      </c>
      <c r="H11682" s="2">
        <v>118</v>
      </c>
      <c r="I11682" s="2">
        <v>3</v>
      </c>
      <c r="J11682" s="2">
        <v>356</v>
      </c>
      <c r="K11682" s="2">
        <v>10</v>
      </c>
      <c r="L11682" s="2">
        <v>127</v>
      </c>
    </row>
    <row r="11683" spans="1:12" x14ac:dyDescent="0.25">
      <c r="A11683" s="4" t="str">
        <f>HYPERLINK("http://www.rosaceae.org/Prunus/Prunus_persica/p.persica_gdr_reftransV1_0004111","p.persica_gdr_reftransV1_0004111")</f>
        <v>p.persica_gdr_reftransV1_0004111</v>
      </c>
      <c r="B11683" s="2">
        <v>1384</v>
      </c>
      <c r="C11683" s="4" t="str">
        <f>HYPERLINK("http://www.uniprot.org/uniprot/M5W5F5","M5W5F5")</f>
        <v>M5W5F5</v>
      </c>
      <c r="D11683" s="2" t="s">
        <v>153</v>
      </c>
      <c r="E11683" s="3">
        <v>0</v>
      </c>
      <c r="F11683" s="2">
        <v>1781</v>
      </c>
      <c r="G11683" s="2">
        <v>100</v>
      </c>
      <c r="H11683" s="2">
        <v>375</v>
      </c>
      <c r="I11683" s="2">
        <v>260</v>
      </c>
      <c r="J11683" s="2">
        <v>1384</v>
      </c>
      <c r="K11683" s="2">
        <v>128</v>
      </c>
      <c r="L11683" s="2">
        <v>502</v>
      </c>
    </row>
    <row r="11684" spans="1:12" x14ac:dyDescent="0.25">
      <c r="A11684" s="4" t="str">
        <f>HYPERLINK("http://www.rosaceae.org/Prunus/Prunus_persica/p.persica_gdr_reftransV1_0004461","p.persica_gdr_reftransV1_0004461")</f>
        <v>p.persica_gdr_reftransV1_0004461</v>
      </c>
      <c r="B11684" s="2">
        <v>2268</v>
      </c>
      <c r="C11684" s="4" t="str">
        <f>HYPERLINK("http://www.uniprot.org/uniprot/M5WLZ6","M5WLZ6")</f>
        <v>M5WLZ6</v>
      </c>
      <c r="D11684" s="2" t="s">
        <v>9846</v>
      </c>
      <c r="E11684" s="3">
        <v>0</v>
      </c>
      <c r="F11684" s="2">
        <v>1712</v>
      </c>
      <c r="G11684" s="2">
        <v>100</v>
      </c>
      <c r="H11684" s="2">
        <v>324</v>
      </c>
      <c r="I11684" s="2">
        <v>363</v>
      </c>
      <c r="J11684" s="2">
        <v>1334</v>
      </c>
      <c r="K11684" s="2">
        <v>221</v>
      </c>
      <c r="L11684" s="2">
        <v>544</v>
      </c>
    </row>
    <row r="11685" spans="1:12" x14ac:dyDescent="0.25">
      <c r="A11685" s="4" t="str">
        <f>HYPERLINK("http://www.rosaceae.org/Prunus/Prunus_persica/p.persica_gdr_reftransV1_0004811","p.persica_gdr_reftransV1_0004811")</f>
        <v>p.persica_gdr_reftransV1_0004811</v>
      </c>
      <c r="B11685" s="2">
        <v>360</v>
      </c>
      <c r="C11685" s="4" t="str">
        <f>HYPERLINK("http://www.uniprot.org/uniprot/M5WYI6","M5WYI6")</f>
        <v>M5WYI6</v>
      </c>
      <c r="D11685" s="2" t="s">
        <v>3818</v>
      </c>
      <c r="E11685" s="3">
        <v>2.1199999999999999E-73</v>
      </c>
      <c r="F11685" s="2">
        <v>633</v>
      </c>
      <c r="G11685" s="2">
        <v>100</v>
      </c>
      <c r="H11685" s="2">
        <v>119</v>
      </c>
      <c r="I11685" s="2">
        <v>3</v>
      </c>
      <c r="J11685" s="2">
        <v>359</v>
      </c>
      <c r="K11685" s="2">
        <v>328</v>
      </c>
      <c r="L11685" s="2">
        <v>446</v>
      </c>
    </row>
    <row r="11686" spans="1:12" x14ac:dyDescent="0.25">
      <c r="A11686" s="4" t="str">
        <f>HYPERLINK("http://www.rosaceae.org/Prunus/Prunus_persica/p.persica_gdr_reftransV1_0005161","p.persica_gdr_reftransV1_0005161")</f>
        <v>p.persica_gdr_reftransV1_0005161</v>
      </c>
      <c r="B11686" s="2">
        <v>975</v>
      </c>
      <c r="C11686" s="4" t="str">
        <f>HYPERLINK("http://www.uniprot.org/uniprot/M5XGI6","M5XGI6")</f>
        <v>M5XGI6</v>
      </c>
      <c r="D11686" s="2" t="s">
        <v>6704</v>
      </c>
      <c r="E11686" s="3">
        <v>3.7200000000000002E-125</v>
      </c>
      <c r="F11686" s="2">
        <v>949</v>
      </c>
      <c r="G11686" s="2">
        <v>86</v>
      </c>
      <c r="H11686" s="2">
        <v>233</v>
      </c>
      <c r="I11686" s="2">
        <v>107</v>
      </c>
      <c r="J11686" s="2">
        <v>805</v>
      </c>
      <c r="K11686" s="2">
        <v>1</v>
      </c>
      <c r="L11686" s="2">
        <v>226</v>
      </c>
    </row>
    <row r="11687" spans="1:12" x14ac:dyDescent="0.25">
      <c r="A11687" s="4" t="str">
        <f>HYPERLINK("http://www.rosaceae.org/Prunus/Prunus_persica/p.persica_gdr_reftransV1_0005861","p.persica_gdr_reftransV1_0005861")</f>
        <v>p.persica_gdr_reftransV1_0005861</v>
      </c>
      <c r="B11687" s="2">
        <v>374</v>
      </c>
      <c r="C11687" s="4" t="str">
        <f>HYPERLINK("http://www.uniprot.org/uniprot/M5WJQ6","M5WJQ6")</f>
        <v>M5WJQ6</v>
      </c>
      <c r="D11687" s="2" t="s">
        <v>9847</v>
      </c>
      <c r="E11687" s="3">
        <v>3.83E-68</v>
      </c>
      <c r="F11687" s="2">
        <v>567</v>
      </c>
      <c r="G11687" s="2">
        <v>87</v>
      </c>
      <c r="H11687" s="2">
        <v>124</v>
      </c>
      <c r="I11687" s="2">
        <v>1</v>
      </c>
      <c r="J11687" s="2">
        <v>372</v>
      </c>
      <c r="K11687" s="2">
        <v>188</v>
      </c>
      <c r="L11687" s="2">
        <v>299</v>
      </c>
    </row>
    <row r="11688" spans="1:12" x14ac:dyDescent="0.25">
      <c r="A11688" s="4" t="str">
        <f>HYPERLINK("http://www.rosaceae.org/Prunus/Prunus_persica/p.persica_gdr_reftransV1_0006211","p.persica_gdr_reftransV1_0006211")</f>
        <v>p.persica_gdr_reftransV1_0006211</v>
      </c>
      <c r="B11688" s="2">
        <v>798</v>
      </c>
      <c r="C11688" s="4" t="str">
        <f>HYPERLINK("http://www.uniprot.org/uniprot/M5W9R6","M5W9R6")</f>
        <v>M5W9R6</v>
      </c>
      <c r="D11688" s="2" t="s">
        <v>9848</v>
      </c>
      <c r="E11688" s="3">
        <v>2.15E-100</v>
      </c>
      <c r="F11688" s="2">
        <v>807</v>
      </c>
      <c r="G11688" s="2">
        <v>100</v>
      </c>
      <c r="H11688" s="2">
        <v>171</v>
      </c>
      <c r="I11688" s="2">
        <v>1</v>
      </c>
      <c r="J11688" s="2">
        <v>513</v>
      </c>
      <c r="K11688" s="2">
        <v>374</v>
      </c>
      <c r="L11688" s="2">
        <v>544</v>
      </c>
    </row>
    <row r="11689" spans="1:12" x14ac:dyDescent="0.25">
      <c r="A11689" s="4" t="str">
        <f>HYPERLINK("http://www.rosaceae.org/Prunus/Prunus_persica/p.persica_gdr_reftransV1_0006911","p.persica_gdr_reftransV1_0006911")</f>
        <v>p.persica_gdr_reftransV1_0006911</v>
      </c>
      <c r="B11689" s="2">
        <v>472</v>
      </c>
      <c r="C11689" s="4" t="str">
        <f>HYPERLINK("http://www.uniprot.org/uniprot/M5WKP0","M5WKP0")</f>
        <v>M5WKP0</v>
      </c>
      <c r="D11689" s="2" t="s">
        <v>9849</v>
      </c>
      <c r="E11689" s="3">
        <v>5.6799999999999999E-90</v>
      </c>
      <c r="F11689" s="2">
        <v>755</v>
      </c>
      <c r="G11689" s="2">
        <v>100</v>
      </c>
      <c r="H11689" s="2">
        <v>157</v>
      </c>
      <c r="I11689" s="2">
        <v>1</v>
      </c>
      <c r="J11689" s="2">
        <v>471</v>
      </c>
      <c r="K11689" s="2">
        <v>1066</v>
      </c>
      <c r="L11689" s="2">
        <v>1222</v>
      </c>
    </row>
    <row r="11690" spans="1:12" x14ac:dyDescent="0.25">
      <c r="A11690" s="4" t="str">
        <f>HYPERLINK("http://www.rosaceae.org/Prunus/Prunus_persica/p.persica_gdr_reftransV1_0008661","p.persica_gdr_reftransV1_0008661")</f>
        <v>p.persica_gdr_reftransV1_0008661</v>
      </c>
      <c r="B11690" s="2">
        <v>2924</v>
      </c>
      <c r="C11690" s="4" t="str">
        <f>HYPERLINK("http://www.uniprot.org/uniprot/M5XNV6","M5XNV6")</f>
        <v>M5XNV6</v>
      </c>
      <c r="D11690" s="2" t="s">
        <v>9850</v>
      </c>
      <c r="E11690" s="3">
        <v>0</v>
      </c>
      <c r="F11690" s="2">
        <v>2429</v>
      </c>
      <c r="G11690" s="2">
        <v>100</v>
      </c>
      <c r="H11690" s="2">
        <v>455</v>
      </c>
      <c r="I11690" s="2">
        <v>982</v>
      </c>
      <c r="J11690" s="2">
        <v>2346</v>
      </c>
      <c r="K11690" s="2">
        <v>1</v>
      </c>
      <c r="L11690" s="2">
        <v>455</v>
      </c>
    </row>
    <row r="11691" spans="1:12" x14ac:dyDescent="0.25">
      <c r="A11691" s="4" t="str">
        <f>HYPERLINK("http://www.rosaceae.org/Prunus/Prunus_persica/p.persica_gdr_reftransV1_0009711","p.persica_gdr_reftransV1_0009711")</f>
        <v>p.persica_gdr_reftransV1_0009711</v>
      </c>
      <c r="B11691" s="2">
        <v>877</v>
      </c>
      <c r="C11691" s="4" t="str">
        <f>HYPERLINK("http://www.uniprot.org/uniprot/M5X720","M5X720")</f>
        <v>M5X720</v>
      </c>
      <c r="D11691" s="2" t="s">
        <v>9851</v>
      </c>
      <c r="E11691" s="3">
        <v>4.0899999999999999E-49</v>
      </c>
      <c r="F11691" s="2">
        <v>430</v>
      </c>
      <c r="G11691" s="2">
        <v>100</v>
      </c>
      <c r="H11691" s="2">
        <v>116</v>
      </c>
      <c r="I11691" s="2">
        <v>332</v>
      </c>
      <c r="J11691" s="2">
        <v>679</v>
      </c>
      <c r="K11691" s="2">
        <v>1</v>
      </c>
      <c r="L11691" s="2">
        <v>116</v>
      </c>
    </row>
    <row r="11692" spans="1:12" x14ac:dyDescent="0.25">
      <c r="A11692" s="4" t="str">
        <f>HYPERLINK("http://www.rosaceae.org/Prunus/Prunus_persica/p.persica_gdr_reftransV1_0010061","p.persica_gdr_reftransV1_0010061")</f>
        <v>p.persica_gdr_reftransV1_0010061</v>
      </c>
      <c r="B11692" s="2">
        <v>2543</v>
      </c>
      <c r="C11692" s="4" t="str">
        <f>HYPERLINK("http://www.uniprot.org/uniprot/M5WRA1","M5WRA1")</f>
        <v>M5WRA1</v>
      </c>
      <c r="D11692" s="2" t="s">
        <v>9852</v>
      </c>
      <c r="E11692" s="3">
        <v>0</v>
      </c>
      <c r="F11692" s="2">
        <v>3621</v>
      </c>
      <c r="G11692" s="2">
        <v>100</v>
      </c>
      <c r="H11692" s="2">
        <v>668</v>
      </c>
      <c r="I11692" s="2">
        <v>240</v>
      </c>
      <c r="J11692" s="2">
        <v>2243</v>
      </c>
      <c r="K11692" s="2">
        <v>1</v>
      </c>
      <c r="L11692" s="2">
        <v>668</v>
      </c>
    </row>
    <row r="11693" spans="1:12" x14ac:dyDescent="0.25">
      <c r="A11693" s="4" t="str">
        <f>HYPERLINK("http://www.rosaceae.org/Prunus/Prunus_persica/p.persica_gdr_reftransV1_0010761","p.persica_gdr_reftransV1_0010761")</f>
        <v>p.persica_gdr_reftransV1_0010761</v>
      </c>
      <c r="B11693" s="2">
        <v>1645</v>
      </c>
      <c r="C11693" s="4" t="str">
        <f>HYPERLINK("http://www.uniprot.org/uniprot/M5XIV6","M5XIV6")</f>
        <v>M5XIV6</v>
      </c>
      <c r="D11693" s="2" t="s">
        <v>9853</v>
      </c>
      <c r="E11693" s="3">
        <v>2.33E-51</v>
      </c>
      <c r="F11693" s="2">
        <v>340</v>
      </c>
      <c r="G11693" s="2">
        <v>99</v>
      </c>
      <c r="H11693" s="2">
        <v>105</v>
      </c>
      <c r="I11693" s="2">
        <v>1089</v>
      </c>
      <c r="J11693" s="2">
        <v>1403</v>
      </c>
      <c r="K11693" s="2">
        <v>1</v>
      </c>
      <c r="L11693" s="2">
        <v>105</v>
      </c>
    </row>
    <row r="11694" spans="1:12" x14ac:dyDescent="0.25">
      <c r="A11694" s="4" t="str">
        <f>HYPERLINK("http://www.rosaceae.org/Prunus/Prunus_persica/p.persica_gdr_reftransV1_0011111","p.persica_gdr_reftransV1_0011111")</f>
        <v>p.persica_gdr_reftransV1_0011111</v>
      </c>
      <c r="B11694" s="2">
        <v>1016</v>
      </c>
      <c r="C11694" s="4" t="str">
        <f>HYPERLINK("http://www.uniprot.org/uniprot/M5VS99","M5VS99")</f>
        <v>M5VS99</v>
      </c>
      <c r="D11694" s="2" t="s">
        <v>3158</v>
      </c>
      <c r="E11694" s="3">
        <v>5.91E-155</v>
      </c>
      <c r="F11694" s="2">
        <v>1194</v>
      </c>
      <c r="G11694" s="2">
        <v>100</v>
      </c>
      <c r="H11694" s="2">
        <v>246</v>
      </c>
      <c r="I11694" s="2">
        <v>279</v>
      </c>
      <c r="J11694" s="2">
        <v>1016</v>
      </c>
      <c r="K11694" s="2">
        <v>1</v>
      </c>
      <c r="L11694" s="2">
        <v>246</v>
      </c>
    </row>
    <row r="11695" spans="1:12" x14ac:dyDescent="0.25">
      <c r="A11695" s="4" t="str">
        <f>HYPERLINK("http://www.rosaceae.org/Prunus/Prunus_persica/p.persica_gdr_reftransV1_0011461","p.persica_gdr_reftransV1_0011461")</f>
        <v>p.persica_gdr_reftransV1_0011461</v>
      </c>
      <c r="B11695" s="2">
        <v>1303</v>
      </c>
      <c r="C11695" s="4" t="str">
        <f>HYPERLINK("http://www.uniprot.org/uniprot/M5Y665","M5Y665")</f>
        <v>M5Y665</v>
      </c>
      <c r="D11695" s="2" t="s">
        <v>9854</v>
      </c>
      <c r="E11695" s="3">
        <v>0</v>
      </c>
      <c r="F11695" s="2">
        <v>1778</v>
      </c>
      <c r="G11695" s="2">
        <v>100</v>
      </c>
      <c r="H11695" s="2">
        <v>356</v>
      </c>
      <c r="I11695" s="2">
        <v>121</v>
      </c>
      <c r="J11695" s="2">
        <v>1188</v>
      </c>
      <c r="K11695" s="2">
        <v>1</v>
      </c>
      <c r="L11695" s="2">
        <v>356</v>
      </c>
    </row>
    <row r="11696" spans="1:12" x14ac:dyDescent="0.25">
      <c r="A11696" s="4" t="str">
        <f>HYPERLINK("http://www.rosaceae.org/Prunus/Prunus_persica/p.persica_gdr_reftransV1_0011811","p.persica_gdr_reftransV1_0011811")</f>
        <v>p.persica_gdr_reftransV1_0011811</v>
      </c>
      <c r="B11696" s="2">
        <v>773</v>
      </c>
      <c r="C11696" s="4" t="str">
        <f>HYPERLINK("http://www.uniprot.org/uniprot/F6HZH9","F6HZH9")</f>
        <v>F6HZH9</v>
      </c>
      <c r="D11696" s="2" t="s">
        <v>9855</v>
      </c>
      <c r="E11696" s="3">
        <v>3.9299999999999999E-39</v>
      </c>
      <c r="F11696" s="2">
        <v>386</v>
      </c>
      <c r="G11696" s="2">
        <v>72</v>
      </c>
      <c r="H11696" s="2">
        <v>127</v>
      </c>
      <c r="I11696" s="2">
        <v>386</v>
      </c>
      <c r="J11696" s="2">
        <v>766</v>
      </c>
      <c r="K11696" s="2">
        <v>445</v>
      </c>
      <c r="L11696" s="2">
        <v>569</v>
      </c>
    </row>
    <row r="11697" spans="1:12" x14ac:dyDescent="0.25">
      <c r="A11697" s="4" t="str">
        <f>HYPERLINK("http://www.rosaceae.org/Prunus/Prunus_persica/p.persica_gdr_reftransV1_0012161","p.persica_gdr_reftransV1_0012161")</f>
        <v>p.persica_gdr_reftransV1_0012161</v>
      </c>
      <c r="B11697" s="2">
        <v>765</v>
      </c>
      <c r="C11697" s="4" t="str">
        <f>HYPERLINK("http://www.uniprot.org/uniprot/M5WFT2","M5WFT2")</f>
        <v>M5WFT2</v>
      </c>
      <c r="D11697" s="2" t="s">
        <v>9856</v>
      </c>
      <c r="E11697" s="3">
        <v>4.6999999999999998E-57</v>
      </c>
      <c r="F11697" s="2">
        <v>501</v>
      </c>
      <c r="G11697" s="2">
        <v>100</v>
      </c>
      <c r="H11697" s="2">
        <v>112</v>
      </c>
      <c r="I11697" s="2">
        <v>388</v>
      </c>
      <c r="J11697" s="2">
        <v>723</v>
      </c>
      <c r="K11697" s="2">
        <v>262</v>
      </c>
      <c r="L11697" s="2">
        <v>373</v>
      </c>
    </row>
    <row r="11698" spans="1:12" x14ac:dyDescent="0.25">
      <c r="A11698" s="4" t="str">
        <f>HYPERLINK("http://www.rosaceae.org/Prunus/Prunus_persica/p.persica_gdr_reftransV1_0012511","p.persica_gdr_reftransV1_0012511")</f>
        <v>p.persica_gdr_reftransV1_0012511</v>
      </c>
      <c r="B11698" s="2">
        <v>2845</v>
      </c>
      <c r="C11698" s="4" t="str">
        <f>HYPERLINK("http://www.uniprot.org/uniprot/M5VQJ7","M5VQJ7")</f>
        <v>M5VQJ7</v>
      </c>
      <c r="D11698" s="2" t="s">
        <v>9857</v>
      </c>
      <c r="E11698" s="3">
        <v>0</v>
      </c>
      <c r="F11698" s="2">
        <v>1639</v>
      </c>
      <c r="G11698" s="2">
        <v>98</v>
      </c>
      <c r="H11698" s="2">
        <v>342</v>
      </c>
      <c r="I11698" s="2">
        <v>1774</v>
      </c>
      <c r="J11698" s="2">
        <v>2799</v>
      </c>
      <c r="K11698" s="2">
        <v>1</v>
      </c>
      <c r="L11698" s="2">
        <v>342</v>
      </c>
    </row>
    <row r="11699" spans="1:12" x14ac:dyDescent="0.25">
      <c r="A11699" s="4" t="str">
        <f>HYPERLINK("http://www.rosaceae.org/Prunus/Prunus_persica/p.persica_gdr_reftransV1_0012861","p.persica_gdr_reftransV1_0012861")</f>
        <v>p.persica_gdr_reftransV1_0012861</v>
      </c>
      <c r="B11699" s="2">
        <v>1588</v>
      </c>
      <c r="C11699" s="4" t="str">
        <f>HYPERLINK("http://www.uniprot.org/uniprot/M5X2Q6","M5X2Q6")</f>
        <v>M5X2Q6</v>
      </c>
      <c r="D11699" s="2" t="s">
        <v>9858</v>
      </c>
      <c r="E11699" s="3">
        <v>7.25E-50</v>
      </c>
      <c r="F11699" s="2">
        <v>453</v>
      </c>
      <c r="G11699" s="2">
        <v>100</v>
      </c>
      <c r="H11699" s="2">
        <v>140</v>
      </c>
      <c r="I11699" s="2">
        <v>1006</v>
      </c>
      <c r="J11699" s="2">
        <v>1425</v>
      </c>
      <c r="K11699" s="2">
        <v>1</v>
      </c>
      <c r="L11699" s="2">
        <v>140</v>
      </c>
    </row>
    <row r="11700" spans="1:12" x14ac:dyDescent="0.25">
      <c r="A11700" s="4" t="str">
        <f>HYPERLINK("http://www.rosaceae.org/Prunus/Prunus_persica/p.persica_gdr_reftransV1_0014961","p.persica_gdr_reftransV1_0014961")</f>
        <v>p.persica_gdr_reftransV1_0014961</v>
      </c>
      <c r="B11700" s="2">
        <v>1451</v>
      </c>
      <c r="C11700" s="4" t="str">
        <f>HYPERLINK("http://www.uniprot.org/uniprot/M5WA56","M5WA56")</f>
        <v>M5WA56</v>
      </c>
      <c r="D11700" s="2" t="s">
        <v>9859</v>
      </c>
      <c r="E11700" s="3">
        <v>1.4100000000000001E-119</v>
      </c>
      <c r="F11700" s="2">
        <v>930</v>
      </c>
      <c r="G11700" s="2">
        <v>95</v>
      </c>
      <c r="H11700" s="2">
        <v>262</v>
      </c>
      <c r="I11700" s="2">
        <v>548</v>
      </c>
      <c r="J11700" s="2">
        <v>1333</v>
      </c>
      <c r="K11700" s="2">
        <v>1</v>
      </c>
      <c r="L11700" s="2">
        <v>248</v>
      </c>
    </row>
    <row r="11701" spans="1:12" x14ac:dyDescent="0.25">
      <c r="A11701" s="4" t="str">
        <f>HYPERLINK("http://www.rosaceae.org/Prunus/Prunus_persica/p.persica_gdr_reftransV1_0015311","p.persica_gdr_reftransV1_0015311")</f>
        <v>p.persica_gdr_reftransV1_0015311</v>
      </c>
      <c r="B11701" s="2">
        <v>2729</v>
      </c>
      <c r="C11701" s="4" t="str">
        <f>HYPERLINK("http://www.uniprot.org/uniprot/M5VWN4","M5VWN4")</f>
        <v>M5VWN4</v>
      </c>
      <c r="D11701" s="2" t="s">
        <v>9860</v>
      </c>
      <c r="E11701" s="3">
        <v>0</v>
      </c>
      <c r="F11701" s="2">
        <v>3810</v>
      </c>
      <c r="G11701" s="2">
        <v>100</v>
      </c>
      <c r="H11701" s="2">
        <v>701</v>
      </c>
      <c r="I11701" s="2">
        <v>268</v>
      </c>
      <c r="J11701" s="2">
        <v>2370</v>
      </c>
      <c r="K11701" s="2">
        <v>1</v>
      </c>
      <c r="L11701" s="2">
        <v>701</v>
      </c>
    </row>
    <row r="11702" spans="1:12" x14ac:dyDescent="0.25">
      <c r="A11702" s="4" t="str">
        <f>HYPERLINK("http://www.rosaceae.org/Prunus/Prunus_persica/p.persica_gdr_reftransV1_0015661","p.persica_gdr_reftransV1_0015661")</f>
        <v>p.persica_gdr_reftransV1_0015661</v>
      </c>
      <c r="B11702" s="2">
        <v>3173</v>
      </c>
      <c r="C11702" s="4" t="str">
        <f>HYPERLINK("http://www.uniprot.org/uniprot/M5XLX9","M5XLX9")</f>
        <v>M5XLX9</v>
      </c>
      <c r="D11702" s="2" t="s">
        <v>9861</v>
      </c>
      <c r="E11702" s="3">
        <v>0</v>
      </c>
      <c r="F11702" s="2">
        <v>4534</v>
      </c>
      <c r="G11702" s="2">
        <v>100</v>
      </c>
      <c r="H11702" s="2">
        <v>866</v>
      </c>
      <c r="I11702" s="2">
        <v>297</v>
      </c>
      <c r="J11702" s="2">
        <v>2894</v>
      </c>
      <c r="K11702" s="2">
        <v>1</v>
      </c>
      <c r="L11702" s="2">
        <v>866</v>
      </c>
    </row>
    <row r="11703" spans="1:12" x14ac:dyDescent="0.25">
      <c r="A11703" s="4" t="str">
        <f>HYPERLINK("http://www.rosaceae.org/Prunus/Prunus_persica/p.persica_gdr_reftransV1_0016361","p.persica_gdr_reftransV1_0016361")</f>
        <v>p.persica_gdr_reftransV1_0016361</v>
      </c>
      <c r="B11703" s="2">
        <v>4524</v>
      </c>
      <c r="C11703" s="4" t="str">
        <f>HYPERLINK("http://www.uniprot.org/uniprot/M5WK13","M5WK13")</f>
        <v>M5WK13</v>
      </c>
      <c r="D11703" s="2" t="s">
        <v>9862</v>
      </c>
      <c r="E11703" s="3">
        <v>0</v>
      </c>
      <c r="F11703" s="2">
        <v>2777</v>
      </c>
      <c r="G11703" s="2">
        <v>100</v>
      </c>
      <c r="H11703" s="2">
        <v>530</v>
      </c>
      <c r="I11703" s="2">
        <v>1791</v>
      </c>
      <c r="J11703" s="2">
        <v>3380</v>
      </c>
      <c r="K11703" s="2">
        <v>287</v>
      </c>
      <c r="L11703" s="2">
        <v>816</v>
      </c>
    </row>
    <row r="11704" spans="1:12" x14ac:dyDescent="0.25">
      <c r="A11704" s="4" t="str">
        <f>HYPERLINK("http://www.rosaceae.org/Prunus/Prunus_persica/p.persica_gdr_reftransV1_0017061","p.persica_gdr_reftransV1_0017061")</f>
        <v>p.persica_gdr_reftransV1_0017061</v>
      </c>
      <c r="B11704" s="2">
        <v>4239</v>
      </c>
      <c r="C11704" s="4" t="str">
        <f>HYPERLINK("http://www.uniprot.org/uniprot/M5WCX6","M5WCX6")</f>
        <v>M5WCX6</v>
      </c>
      <c r="D11704" s="2" t="s">
        <v>9863</v>
      </c>
      <c r="E11704" s="3">
        <v>0</v>
      </c>
      <c r="F11704" s="2">
        <v>5224</v>
      </c>
      <c r="G11704" s="2">
        <v>99</v>
      </c>
      <c r="H11704" s="2">
        <v>1085</v>
      </c>
      <c r="I11704" s="2">
        <v>462</v>
      </c>
      <c r="J11704" s="2">
        <v>3689</v>
      </c>
      <c r="K11704" s="2">
        <v>1</v>
      </c>
      <c r="L11704" s="2">
        <v>1085</v>
      </c>
    </row>
    <row r="11705" spans="1:12" x14ac:dyDescent="0.25">
      <c r="A11705" s="4" t="str">
        <f>HYPERLINK("http://www.rosaceae.org/Prunus/Prunus_persica/p.persica_gdr_reftransV1_0017761","p.persica_gdr_reftransV1_0017761")</f>
        <v>p.persica_gdr_reftransV1_0017761</v>
      </c>
      <c r="B11705" s="2">
        <v>1565</v>
      </c>
      <c r="C11705" s="4" t="str">
        <f>HYPERLINK("http://www.uniprot.org/uniprot/M5W1F9","M5W1F9")</f>
        <v>M5W1F9</v>
      </c>
      <c r="D11705" s="2" t="s">
        <v>9864</v>
      </c>
      <c r="E11705" s="3">
        <v>1.3200000000000001E-112</v>
      </c>
      <c r="F11705" s="2">
        <v>888</v>
      </c>
      <c r="G11705" s="2">
        <v>100</v>
      </c>
      <c r="H11705" s="2">
        <v>168</v>
      </c>
      <c r="I11705" s="2">
        <v>578</v>
      </c>
      <c r="J11705" s="2">
        <v>1081</v>
      </c>
      <c r="K11705" s="2">
        <v>99</v>
      </c>
      <c r="L11705" s="2">
        <v>266</v>
      </c>
    </row>
    <row r="11706" spans="1:12" x14ac:dyDescent="0.25">
      <c r="A11706" s="4" t="str">
        <f>HYPERLINK("http://www.rosaceae.org/Prunus/Prunus_persica/p.persica_gdr_reftransV1_0018461","p.persica_gdr_reftransV1_0018461")</f>
        <v>p.persica_gdr_reftransV1_0018461</v>
      </c>
      <c r="B11706" s="2">
        <v>2007</v>
      </c>
      <c r="C11706" s="4" t="str">
        <f>HYPERLINK("http://www.uniprot.org/uniprot/M5XQA4","M5XQA4")</f>
        <v>M5XQA4</v>
      </c>
      <c r="D11706" s="2" t="s">
        <v>9865</v>
      </c>
      <c r="E11706" s="3">
        <v>0</v>
      </c>
      <c r="F11706" s="2">
        <v>2325</v>
      </c>
      <c r="G11706" s="2">
        <v>100</v>
      </c>
      <c r="H11706" s="2">
        <v>471</v>
      </c>
      <c r="I11706" s="2">
        <v>466</v>
      </c>
      <c r="J11706" s="2">
        <v>1878</v>
      </c>
      <c r="K11706" s="2">
        <v>30</v>
      </c>
      <c r="L11706" s="2">
        <v>500</v>
      </c>
    </row>
    <row r="11707" spans="1:12" x14ac:dyDescent="0.25">
      <c r="A11707" s="4" t="str">
        <f>HYPERLINK("http://www.rosaceae.org/Prunus/Prunus_persica/p.persica_gdr_reftransV1_0019161","p.persica_gdr_reftransV1_0019161")</f>
        <v>p.persica_gdr_reftransV1_0019161</v>
      </c>
      <c r="B11707" s="2">
        <v>3585</v>
      </c>
      <c r="C11707" s="4" t="str">
        <f>HYPERLINK("http://www.uniprot.org/uniprot/M5VY66","M5VY66")</f>
        <v>M5VY66</v>
      </c>
      <c r="D11707" s="2" t="s">
        <v>3762</v>
      </c>
      <c r="E11707" s="3">
        <v>0</v>
      </c>
      <c r="F11707" s="2">
        <v>1710</v>
      </c>
      <c r="G11707" s="2">
        <v>99</v>
      </c>
      <c r="H11707" s="2">
        <v>344</v>
      </c>
      <c r="I11707" s="2">
        <v>620</v>
      </c>
      <c r="J11707" s="2">
        <v>1651</v>
      </c>
      <c r="K11707" s="2">
        <v>172</v>
      </c>
      <c r="L11707" s="2">
        <v>515</v>
      </c>
    </row>
    <row r="11708" spans="1:12" x14ac:dyDescent="0.25">
      <c r="A11708" s="4" t="str">
        <f>HYPERLINK("http://www.rosaceae.org/Prunus/Prunus_persica/p.persica_gdr_reftransV1_0019511","p.persica_gdr_reftransV1_0019511")</f>
        <v>p.persica_gdr_reftransV1_0019511</v>
      </c>
      <c r="B11708" s="2">
        <v>1596</v>
      </c>
      <c r="C11708" s="4" t="str">
        <f>HYPERLINK("http://www.uniprot.org/uniprot/M5WT41","M5WT41")</f>
        <v>M5WT41</v>
      </c>
      <c r="D11708" s="2" t="s">
        <v>5341</v>
      </c>
      <c r="E11708" s="3">
        <v>0</v>
      </c>
      <c r="F11708" s="2">
        <v>1461</v>
      </c>
      <c r="G11708" s="2">
        <v>100</v>
      </c>
      <c r="H11708" s="2">
        <v>275</v>
      </c>
      <c r="I11708" s="2">
        <v>239</v>
      </c>
      <c r="J11708" s="2">
        <v>1063</v>
      </c>
      <c r="K11708" s="2">
        <v>26</v>
      </c>
      <c r="L11708" s="2">
        <v>300</v>
      </c>
    </row>
    <row r="11709" spans="1:12" x14ac:dyDescent="0.25">
      <c r="A11709" s="4" t="str">
        <f>HYPERLINK("http://www.rosaceae.org/Prunus/Prunus_persica/p.persica_gdr_reftransV1_0020211","p.persica_gdr_reftransV1_0020211")</f>
        <v>p.persica_gdr_reftransV1_0020211</v>
      </c>
      <c r="B11709" s="2">
        <v>1510</v>
      </c>
      <c r="C11709" s="4" t="str">
        <f>HYPERLINK("http://www.uniprot.org/uniprot/M5WAE8","M5WAE8")</f>
        <v>M5WAE8</v>
      </c>
      <c r="D11709" s="2" t="s">
        <v>9866</v>
      </c>
      <c r="E11709" s="3">
        <v>1.3400000000000001E-110</v>
      </c>
      <c r="F11709" s="2">
        <v>871</v>
      </c>
      <c r="G11709" s="2">
        <v>99</v>
      </c>
      <c r="H11709" s="2">
        <v>183</v>
      </c>
      <c r="I11709" s="2">
        <v>137</v>
      </c>
      <c r="J11709" s="2">
        <v>685</v>
      </c>
      <c r="K11709" s="2">
        <v>1</v>
      </c>
      <c r="L11709" s="2">
        <v>183</v>
      </c>
    </row>
    <row r="11710" spans="1:12" x14ac:dyDescent="0.25">
      <c r="A11710" s="4" t="str">
        <f>HYPERLINK("http://www.rosaceae.org/Prunus/Prunus_persica/p.persica_gdr_reftransV1_0020911","p.persica_gdr_reftransV1_0020911")</f>
        <v>p.persica_gdr_reftransV1_0020911</v>
      </c>
      <c r="B11710" s="2">
        <v>2218</v>
      </c>
      <c r="C11710" s="4" t="str">
        <f>HYPERLINK("http://www.uniprot.org/uniprot/M5VXS5","M5VXS5")</f>
        <v>M5VXS5</v>
      </c>
      <c r="D11710" s="2" t="s">
        <v>9867</v>
      </c>
      <c r="E11710" s="3">
        <v>0</v>
      </c>
      <c r="F11710" s="2">
        <v>2776</v>
      </c>
      <c r="G11710" s="2">
        <v>100</v>
      </c>
      <c r="H11710" s="2">
        <v>528</v>
      </c>
      <c r="I11710" s="2">
        <v>135</v>
      </c>
      <c r="J11710" s="2">
        <v>1718</v>
      </c>
      <c r="K11710" s="2">
        <v>1</v>
      </c>
      <c r="L11710" s="2">
        <v>528</v>
      </c>
    </row>
    <row r="11711" spans="1:12" x14ac:dyDescent="0.25">
      <c r="A11711" s="4" t="str">
        <f>HYPERLINK("http://www.rosaceae.org/Prunus/Prunus_persica/p.persica_gdr_reftransV1_0021261","p.persica_gdr_reftransV1_0021261")</f>
        <v>p.persica_gdr_reftransV1_0021261</v>
      </c>
      <c r="B11711" s="2">
        <v>2802</v>
      </c>
      <c r="C11711" s="4" t="str">
        <f>HYPERLINK("http://www.uniprot.org/uniprot/M5X814","M5X814")</f>
        <v>M5X814</v>
      </c>
      <c r="D11711" s="2" t="s">
        <v>9868</v>
      </c>
      <c r="E11711" s="3">
        <v>2.4499999999999999E-134</v>
      </c>
      <c r="F11711" s="2">
        <v>1075</v>
      </c>
      <c r="G11711" s="2">
        <v>99</v>
      </c>
      <c r="H11711" s="2">
        <v>199</v>
      </c>
      <c r="I11711" s="2">
        <v>903</v>
      </c>
      <c r="J11711" s="2">
        <v>1499</v>
      </c>
      <c r="K11711" s="2">
        <v>59</v>
      </c>
      <c r="L11711" s="2">
        <v>257</v>
      </c>
    </row>
    <row r="11712" spans="1:12" x14ac:dyDescent="0.25">
      <c r="A11712" s="4" t="str">
        <f>HYPERLINK("http://www.rosaceae.org/Prunus/Prunus_persica/p.persica_gdr_reftransV1_0023011","p.persica_gdr_reftransV1_0023011")</f>
        <v>p.persica_gdr_reftransV1_0023011</v>
      </c>
      <c r="B11712" s="2">
        <v>616</v>
      </c>
      <c r="C11712" s="4" t="str">
        <f>HYPERLINK("http://www.uniprot.org/uniprot/M5WY68","M5WY68")</f>
        <v>M5WY68</v>
      </c>
      <c r="D11712" s="2" t="s">
        <v>5737</v>
      </c>
      <c r="E11712" s="3">
        <v>9.3200000000000008E-131</v>
      </c>
      <c r="F11712" s="2">
        <v>1015</v>
      </c>
      <c r="G11712" s="2">
        <v>100</v>
      </c>
      <c r="H11712" s="2">
        <v>191</v>
      </c>
      <c r="I11712" s="2">
        <v>3</v>
      </c>
      <c r="J11712" s="2">
        <v>575</v>
      </c>
      <c r="K11712" s="2">
        <v>1</v>
      </c>
      <c r="L11712" s="2">
        <v>191</v>
      </c>
    </row>
    <row r="11713" spans="1:12" x14ac:dyDescent="0.25">
      <c r="A11713" s="4" t="str">
        <f>HYPERLINK("http://www.rosaceae.org/Prunus/Prunus_persica/p.persica_gdr_reftransV1_0024411","p.persica_gdr_reftransV1_0024411")</f>
        <v>p.persica_gdr_reftransV1_0024411</v>
      </c>
      <c r="B11713" s="2">
        <v>2714</v>
      </c>
      <c r="C11713" s="4" t="str">
        <f>HYPERLINK("http://www.uniprot.org/uniprot/M5WI92","M5WI92")</f>
        <v>M5WI92</v>
      </c>
      <c r="D11713" s="2" t="s">
        <v>9869</v>
      </c>
      <c r="E11713" s="3">
        <v>2.67E-150</v>
      </c>
      <c r="F11713" s="2">
        <v>1185</v>
      </c>
      <c r="G11713" s="2">
        <v>71</v>
      </c>
      <c r="H11713" s="2">
        <v>345</v>
      </c>
      <c r="I11713" s="2">
        <v>1497</v>
      </c>
      <c r="J11713" s="2">
        <v>2492</v>
      </c>
      <c r="K11713" s="2">
        <v>82</v>
      </c>
      <c r="L11713" s="2">
        <v>393</v>
      </c>
    </row>
    <row r="11714" spans="1:12" x14ac:dyDescent="0.25">
      <c r="A11714" s="4" t="str">
        <f>HYPERLINK("http://www.rosaceae.org/Prunus/Prunus_persica/p.persica_gdr_reftransV1_0025111","p.persica_gdr_reftransV1_0025111")</f>
        <v>p.persica_gdr_reftransV1_0025111</v>
      </c>
      <c r="B11714" s="2">
        <v>3415</v>
      </c>
      <c r="C11714" s="4" t="str">
        <f>HYPERLINK("http://www.uniprot.org/uniprot/M5XS03","M5XS03")</f>
        <v>M5XS03</v>
      </c>
      <c r="D11714" s="2" t="s">
        <v>9870</v>
      </c>
      <c r="E11714" s="3">
        <v>0</v>
      </c>
      <c r="F11714" s="2">
        <v>3718</v>
      </c>
      <c r="G11714" s="2">
        <v>93</v>
      </c>
      <c r="H11714" s="2">
        <v>753</v>
      </c>
      <c r="I11714" s="2">
        <v>412</v>
      </c>
      <c r="J11714" s="2">
        <v>2670</v>
      </c>
      <c r="K11714" s="2">
        <v>13</v>
      </c>
      <c r="L11714" s="2">
        <v>765</v>
      </c>
    </row>
    <row r="11715" spans="1:12" x14ac:dyDescent="0.25">
      <c r="A11715" s="4" t="str">
        <f>HYPERLINK("http://www.rosaceae.org/Prunus/Prunus_persica/p.persica_gdr_reftransV1_0025811","p.persica_gdr_reftransV1_0025811")</f>
        <v>p.persica_gdr_reftransV1_0025811</v>
      </c>
      <c r="B11715" s="2">
        <v>1453</v>
      </c>
      <c r="C11715" s="4" t="str">
        <f>HYPERLINK("http://www.uniprot.org/uniprot/M5XP50","M5XP50")</f>
        <v>M5XP50</v>
      </c>
      <c r="D11715" s="2" t="s">
        <v>9871</v>
      </c>
      <c r="E11715" s="3">
        <v>1.25E-166</v>
      </c>
      <c r="F11715" s="2">
        <v>1240</v>
      </c>
      <c r="G11715" s="2">
        <v>100</v>
      </c>
      <c r="H11715" s="2">
        <v>235</v>
      </c>
      <c r="I11715" s="2">
        <v>361</v>
      </c>
      <c r="J11715" s="2">
        <v>1065</v>
      </c>
      <c r="K11715" s="2">
        <v>1</v>
      </c>
      <c r="L11715" s="2">
        <v>235</v>
      </c>
    </row>
    <row r="11716" spans="1:12" x14ac:dyDescent="0.25">
      <c r="A11716" s="4" t="str">
        <f>HYPERLINK("http://www.rosaceae.org/Prunus/Prunus_persica/p.persica_gdr_reftransV1_0026161","p.persica_gdr_reftransV1_0026161")</f>
        <v>p.persica_gdr_reftransV1_0026161</v>
      </c>
      <c r="B11716" s="2">
        <v>665</v>
      </c>
      <c r="C11716" s="4" t="str">
        <f>HYPERLINK("http://www.uniprot.org/uniprot/M5WFE7","M5WFE7")</f>
        <v>M5WFE7</v>
      </c>
      <c r="D11716" s="2" t="s">
        <v>2299</v>
      </c>
      <c r="E11716" s="3">
        <v>9.0199999999999993E-62</v>
      </c>
      <c r="F11716" s="2">
        <v>559</v>
      </c>
      <c r="G11716" s="2">
        <v>100</v>
      </c>
      <c r="H11716" s="2">
        <v>147</v>
      </c>
      <c r="I11716" s="2">
        <v>224</v>
      </c>
      <c r="J11716" s="2">
        <v>664</v>
      </c>
      <c r="K11716" s="2">
        <v>1</v>
      </c>
      <c r="L11716" s="2">
        <v>147</v>
      </c>
    </row>
    <row r="11717" spans="1:12" x14ac:dyDescent="0.25">
      <c r="A11717" s="4" t="str">
        <f>HYPERLINK("http://www.rosaceae.org/Prunus/Prunus_persica/p.persica_gdr_reftransV1_0026511","p.persica_gdr_reftransV1_0026511")</f>
        <v>p.persica_gdr_reftransV1_0026511</v>
      </c>
      <c r="B11717" s="2">
        <v>2653</v>
      </c>
      <c r="C11717" s="4" t="str">
        <f>HYPERLINK("http://www.uniprot.org/uniprot/M5WXQ9","M5WXQ9")</f>
        <v>M5WXQ9</v>
      </c>
      <c r="D11717" s="2" t="s">
        <v>9872</v>
      </c>
      <c r="E11717" s="3">
        <v>0</v>
      </c>
      <c r="F11717" s="2">
        <v>2828</v>
      </c>
      <c r="G11717" s="2">
        <v>100</v>
      </c>
      <c r="H11717" s="2">
        <v>541</v>
      </c>
      <c r="I11717" s="2">
        <v>1031</v>
      </c>
      <c r="J11717" s="2">
        <v>2653</v>
      </c>
      <c r="K11717" s="2">
        <v>297</v>
      </c>
      <c r="L11717" s="2">
        <v>837</v>
      </c>
    </row>
    <row r="11718" spans="1:12" x14ac:dyDescent="0.25">
      <c r="A11718" s="4" t="str">
        <f>HYPERLINK("http://www.rosaceae.org/Prunus/Prunus_persica/p.persica_gdr_reftransV1_0027211","p.persica_gdr_reftransV1_0027211")</f>
        <v>p.persica_gdr_reftransV1_0027211</v>
      </c>
      <c r="B11718" s="2">
        <v>1762</v>
      </c>
      <c r="C11718" s="4" t="str">
        <f>HYPERLINK("http://www.uniprot.org/uniprot/M5XCM8","M5XCM8")</f>
        <v>M5XCM8</v>
      </c>
      <c r="D11718" s="2" t="s">
        <v>2693</v>
      </c>
      <c r="E11718" s="3">
        <v>1.16E-138</v>
      </c>
      <c r="F11718" s="2">
        <v>1074</v>
      </c>
      <c r="G11718" s="2">
        <v>92</v>
      </c>
      <c r="H11718" s="2">
        <v>223</v>
      </c>
      <c r="I11718" s="2">
        <v>326</v>
      </c>
      <c r="J11718" s="2">
        <v>994</v>
      </c>
      <c r="K11718" s="2">
        <v>114</v>
      </c>
      <c r="L11718" s="2">
        <v>326</v>
      </c>
    </row>
    <row r="11719" spans="1:12" x14ac:dyDescent="0.25">
      <c r="A11719" s="4" t="str">
        <f>HYPERLINK("http://www.rosaceae.org/Prunus/Prunus_persica/p.persica_gdr_reftransV1_0027911","p.persica_gdr_reftransV1_0027911")</f>
        <v>p.persica_gdr_reftransV1_0027911</v>
      </c>
      <c r="B11719" s="2">
        <v>2675</v>
      </c>
      <c r="C11719" s="4" t="str">
        <f>HYPERLINK("http://www.uniprot.org/uniprot/M5VW23","M5VW23")</f>
        <v>M5VW23</v>
      </c>
      <c r="D11719" s="2" t="s">
        <v>9539</v>
      </c>
      <c r="E11719" s="3">
        <v>0</v>
      </c>
      <c r="F11719" s="2">
        <v>1797</v>
      </c>
      <c r="G11719" s="2">
        <v>100</v>
      </c>
      <c r="H11719" s="2">
        <v>384</v>
      </c>
      <c r="I11719" s="2">
        <v>1405</v>
      </c>
      <c r="J11719" s="2">
        <v>2556</v>
      </c>
      <c r="K11719" s="2">
        <v>1</v>
      </c>
      <c r="L11719" s="2">
        <v>384</v>
      </c>
    </row>
    <row r="11720" spans="1:12" x14ac:dyDescent="0.25">
      <c r="A11720" s="4" t="str">
        <f>HYPERLINK("http://www.rosaceae.org/Prunus/Prunus_persica/p.persica_gdr_reftransV1_0029661","p.persica_gdr_reftransV1_0029661")</f>
        <v>p.persica_gdr_reftransV1_0029661</v>
      </c>
      <c r="B11720" s="2">
        <v>1970</v>
      </c>
      <c r="C11720" s="4" t="str">
        <f>HYPERLINK("http://www.uniprot.org/uniprot/M5XS11","M5XS11")</f>
        <v>M5XS11</v>
      </c>
      <c r="D11720" s="2" t="s">
        <v>2498</v>
      </c>
      <c r="E11720" s="3">
        <v>1.4900000000000001E-51</v>
      </c>
      <c r="F11720" s="2">
        <v>476</v>
      </c>
      <c r="G11720" s="2">
        <v>100</v>
      </c>
      <c r="H11720" s="2">
        <v>90</v>
      </c>
      <c r="I11720" s="2">
        <v>440</v>
      </c>
      <c r="J11720" s="2">
        <v>709</v>
      </c>
      <c r="K11720" s="2">
        <v>1</v>
      </c>
      <c r="L11720" s="2">
        <v>90</v>
      </c>
    </row>
    <row r="11721" spans="1:12" x14ac:dyDescent="0.25">
      <c r="A11721" s="4" t="str">
        <f>HYPERLINK("http://www.rosaceae.org/Prunus/Prunus_persica/p.persica_gdr_reftransV1_0030011","p.persica_gdr_reftransV1_0030011")</f>
        <v>p.persica_gdr_reftransV1_0030011</v>
      </c>
      <c r="B11721" s="2">
        <v>3056</v>
      </c>
      <c r="C11721" s="4" t="str">
        <f>HYPERLINK("http://www.uniprot.org/uniprot/M5VYB1","M5VYB1")</f>
        <v>M5VYB1</v>
      </c>
      <c r="D11721" s="2" t="s">
        <v>9873</v>
      </c>
      <c r="E11721" s="3">
        <v>0</v>
      </c>
      <c r="F11721" s="2">
        <v>3635</v>
      </c>
      <c r="G11721" s="2">
        <v>100</v>
      </c>
      <c r="H11721" s="2">
        <v>775</v>
      </c>
      <c r="I11721" s="2">
        <v>392</v>
      </c>
      <c r="J11721" s="2">
        <v>2716</v>
      </c>
      <c r="K11721" s="2">
        <v>1</v>
      </c>
      <c r="L11721" s="2">
        <v>775</v>
      </c>
    </row>
    <row r="11722" spans="1:12" x14ac:dyDescent="0.25">
      <c r="A11722" s="4" t="str">
        <f>HYPERLINK("http://www.rosaceae.org/Prunus/Prunus_persica/p.persica_gdr_reftransV1_0030711","p.persica_gdr_reftransV1_0030711")</f>
        <v>p.persica_gdr_reftransV1_0030711</v>
      </c>
      <c r="B11722" s="2">
        <v>399</v>
      </c>
      <c r="C11722" s="4" t="str">
        <f>HYPERLINK("http://www.uniprot.org/uniprot/M5XHL5","M5XHL5")</f>
        <v>M5XHL5</v>
      </c>
      <c r="D11722" s="2" t="s">
        <v>9874</v>
      </c>
      <c r="E11722" s="3">
        <v>4.14E-51</v>
      </c>
      <c r="F11722" s="2">
        <v>463</v>
      </c>
      <c r="G11722" s="2">
        <v>99</v>
      </c>
      <c r="H11722" s="2">
        <v>109</v>
      </c>
      <c r="I11722" s="2">
        <v>2</v>
      </c>
      <c r="J11722" s="2">
        <v>328</v>
      </c>
      <c r="K11722" s="2">
        <v>1</v>
      </c>
      <c r="L11722" s="2">
        <v>109</v>
      </c>
    </row>
    <row r="11723" spans="1:12" x14ac:dyDescent="0.25">
      <c r="A11723" s="4" t="str">
        <f>HYPERLINK("http://www.rosaceae.org/Prunus/Prunus_persica/p.persica_gdr_reftransV1_0031411","p.persica_gdr_reftransV1_0031411")</f>
        <v>p.persica_gdr_reftransV1_0031411</v>
      </c>
      <c r="B11723" s="2">
        <v>2066</v>
      </c>
      <c r="C11723" s="4" t="str">
        <f>HYPERLINK("http://www.uniprot.org/uniprot/M5XEF3","M5XEF3")</f>
        <v>M5XEF3</v>
      </c>
      <c r="D11723" s="2" t="s">
        <v>9875</v>
      </c>
      <c r="E11723" s="3">
        <v>0</v>
      </c>
      <c r="F11723" s="2">
        <v>1749</v>
      </c>
      <c r="G11723" s="2">
        <v>100</v>
      </c>
      <c r="H11723" s="2">
        <v>418</v>
      </c>
      <c r="I11723" s="2">
        <v>670</v>
      </c>
      <c r="J11723" s="2">
        <v>1923</v>
      </c>
      <c r="K11723" s="2">
        <v>1</v>
      </c>
      <c r="L11723" s="2">
        <v>418</v>
      </c>
    </row>
    <row r="11724" spans="1:12" x14ac:dyDescent="0.25">
      <c r="A11724" s="4" t="str">
        <f>HYPERLINK("http://www.rosaceae.org/Prunus/Prunus_persica/p.persica_gdr_reftransV1_0032111","p.persica_gdr_reftransV1_0032111")</f>
        <v>p.persica_gdr_reftransV1_0032111</v>
      </c>
      <c r="B11724" s="2">
        <v>1742</v>
      </c>
      <c r="C11724" s="4" t="str">
        <f>HYPERLINK("http://www.uniprot.org/uniprot/M5XRQ9","M5XRQ9")</f>
        <v>M5XRQ9</v>
      </c>
      <c r="D11724" s="2" t="s">
        <v>9876</v>
      </c>
      <c r="E11724" s="3">
        <v>1.09E-175</v>
      </c>
      <c r="F11724" s="2">
        <v>1310</v>
      </c>
      <c r="G11724" s="2">
        <v>100</v>
      </c>
      <c r="H11724" s="2">
        <v>244</v>
      </c>
      <c r="I11724" s="2">
        <v>486</v>
      </c>
      <c r="J11724" s="2">
        <v>1217</v>
      </c>
      <c r="K11724" s="2">
        <v>1</v>
      </c>
      <c r="L11724" s="2">
        <v>244</v>
      </c>
    </row>
    <row r="11725" spans="1:12" x14ac:dyDescent="0.25">
      <c r="A11725" s="4" t="str">
        <f>HYPERLINK("http://www.rosaceae.org/Prunus/Prunus_persica/p.persica_gdr_reftransV1_0032461","p.persica_gdr_reftransV1_0032461")</f>
        <v>p.persica_gdr_reftransV1_0032461</v>
      </c>
      <c r="B11725" s="2">
        <v>976</v>
      </c>
      <c r="C11725" s="4" t="str">
        <f>HYPERLINK("http://www.uniprot.org/uniprot/M5WYY2","M5WYY2")</f>
        <v>M5WYY2</v>
      </c>
      <c r="D11725" s="2" t="s">
        <v>3099</v>
      </c>
      <c r="E11725" s="3">
        <v>0</v>
      </c>
      <c r="F11725" s="2">
        <v>1421</v>
      </c>
      <c r="G11725" s="2">
        <v>99</v>
      </c>
      <c r="H11725" s="2">
        <v>307</v>
      </c>
      <c r="I11725" s="2">
        <v>1</v>
      </c>
      <c r="J11725" s="2">
        <v>921</v>
      </c>
      <c r="K11725" s="2">
        <v>270</v>
      </c>
      <c r="L11725" s="2">
        <v>576</v>
      </c>
    </row>
    <row r="11726" spans="1:12" x14ac:dyDescent="0.25">
      <c r="A11726" s="4" t="str">
        <f>HYPERLINK("http://www.rosaceae.org/Prunus/Prunus_persica/p.persica_gdr_reftransV1_0033161","p.persica_gdr_reftransV1_0033161")</f>
        <v>p.persica_gdr_reftransV1_0033161</v>
      </c>
      <c r="B11726" s="2">
        <v>2167</v>
      </c>
      <c r="C11726" s="4" t="str">
        <f>HYPERLINK("http://www.uniprot.org/uniprot/M5VQ00","M5VQ00")</f>
        <v>M5VQ00</v>
      </c>
      <c r="D11726" s="2" t="s">
        <v>9877</v>
      </c>
      <c r="E11726" s="3">
        <v>1.8599999999999998E-130</v>
      </c>
      <c r="F11726" s="2">
        <v>1020</v>
      </c>
      <c r="G11726" s="2">
        <v>100</v>
      </c>
      <c r="H11726" s="2">
        <v>204</v>
      </c>
      <c r="I11726" s="2">
        <v>324</v>
      </c>
      <c r="J11726" s="2">
        <v>935</v>
      </c>
      <c r="K11726" s="2">
        <v>19</v>
      </c>
      <c r="L11726" s="2">
        <v>222</v>
      </c>
    </row>
    <row r="11727" spans="1:12" x14ac:dyDescent="0.25">
      <c r="A11727" s="4" t="str">
        <f>HYPERLINK("http://www.rosaceae.org/Prunus/Prunus_persica/p.persica_gdr_reftransV1_0037711","p.persica_gdr_reftransV1_0037711")</f>
        <v>p.persica_gdr_reftransV1_0037711</v>
      </c>
      <c r="B11727" s="2">
        <v>2020</v>
      </c>
      <c r="C11727" s="4" t="str">
        <f>HYPERLINK("http://www.uniprot.org/uniprot/M5XIR3","M5XIR3")</f>
        <v>M5XIR3</v>
      </c>
      <c r="D11727" s="2" t="s">
        <v>9878</v>
      </c>
      <c r="E11727" s="3">
        <v>0</v>
      </c>
      <c r="F11727" s="2">
        <v>2215</v>
      </c>
      <c r="G11727" s="2">
        <v>100</v>
      </c>
      <c r="H11727" s="2">
        <v>436</v>
      </c>
      <c r="I11727" s="2">
        <v>253</v>
      </c>
      <c r="J11727" s="2">
        <v>1560</v>
      </c>
      <c r="K11727" s="2">
        <v>1</v>
      </c>
      <c r="L11727" s="2">
        <v>436</v>
      </c>
    </row>
    <row r="11728" spans="1:12" x14ac:dyDescent="0.25">
      <c r="A11728" s="4" t="str">
        <f>HYPERLINK("http://www.rosaceae.org/Prunus/Prunus_persica/p.persica_gdr_reftransV1_0043311","p.persica_gdr_reftransV1_0043311")</f>
        <v>p.persica_gdr_reftransV1_0043311</v>
      </c>
      <c r="B11728" s="2">
        <v>434</v>
      </c>
      <c r="C11728" s="4" t="str">
        <f>HYPERLINK("http://www.uniprot.org/uniprot/M5W5S7","M5W5S7")</f>
        <v>M5W5S7</v>
      </c>
      <c r="D11728" s="2" t="s">
        <v>9879</v>
      </c>
      <c r="E11728" s="3">
        <v>2.68E-61</v>
      </c>
      <c r="F11728" s="2">
        <v>541</v>
      </c>
      <c r="G11728" s="2">
        <v>97</v>
      </c>
      <c r="H11728" s="2">
        <v>105</v>
      </c>
      <c r="I11728" s="2">
        <v>3</v>
      </c>
      <c r="J11728" s="2">
        <v>317</v>
      </c>
      <c r="K11728" s="2">
        <v>1</v>
      </c>
      <c r="L11728" s="2">
        <v>105</v>
      </c>
    </row>
    <row r="11729" spans="1:12" x14ac:dyDescent="0.25">
      <c r="A11729" s="4" t="str">
        <f>HYPERLINK("http://www.rosaceae.org/Prunus/Prunus_persica/p.persica_gdr_reftransV1_0043661","p.persica_gdr_reftransV1_0043661")</f>
        <v>p.persica_gdr_reftransV1_0043661</v>
      </c>
      <c r="B11729" s="2">
        <v>1577</v>
      </c>
      <c r="C11729" s="4" t="str">
        <f>HYPERLINK("http://www.uniprot.org/uniprot/M5XQE0","M5XQE0")</f>
        <v>M5XQE0</v>
      </c>
      <c r="D11729" s="2" t="s">
        <v>9880</v>
      </c>
      <c r="E11729" s="3">
        <v>0</v>
      </c>
      <c r="F11729" s="2">
        <v>2260</v>
      </c>
      <c r="G11729" s="2">
        <v>100</v>
      </c>
      <c r="H11729" s="2">
        <v>421</v>
      </c>
      <c r="I11729" s="2">
        <v>192</v>
      </c>
      <c r="J11729" s="2">
        <v>1454</v>
      </c>
      <c r="K11729" s="2">
        <v>1</v>
      </c>
      <c r="L11729" s="2">
        <v>421</v>
      </c>
    </row>
    <row r="11730" spans="1:12" x14ac:dyDescent="0.25">
      <c r="A11730" s="4" t="str">
        <f>HYPERLINK("http://www.rosaceae.org/Prunus/Prunus_persica/p.persica_gdr_reftransV1_0044011","p.persica_gdr_reftransV1_0044011")</f>
        <v>p.persica_gdr_reftransV1_0044011</v>
      </c>
      <c r="B11730" s="2">
        <v>567</v>
      </c>
      <c r="C11730" s="4" t="str">
        <f>HYPERLINK("http://www.uniprot.org/uniprot/M5XB41","M5XB41")</f>
        <v>M5XB41</v>
      </c>
      <c r="D11730" s="2" t="s">
        <v>9881</v>
      </c>
      <c r="E11730" s="3">
        <v>1.71E-120</v>
      </c>
      <c r="F11730" s="2">
        <v>928</v>
      </c>
      <c r="G11730" s="2">
        <v>100</v>
      </c>
      <c r="H11730" s="2">
        <v>185</v>
      </c>
      <c r="I11730" s="2">
        <v>2</v>
      </c>
      <c r="J11730" s="2">
        <v>556</v>
      </c>
      <c r="K11730" s="2">
        <v>1</v>
      </c>
      <c r="L11730" s="2">
        <v>185</v>
      </c>
    </row>
    <row r="11731" spans="1:12" x14ac:dyDescent="0.25">
      <c r="A11731" s="4" t="str">
        <f>HYPERLINK("http://www.rosaceae.org/Prunus/Prunus_persica/p.persica_gdr_reftransV1_0044361","p.persica_gdr_reftransV1_0044361")</f>
        <v>p.persica_gdr_reftransV1_0044361</v>
      </c>
      <c r="B11731" s="2">
        <v>718</v>
      </c>
      <c r="C11731" s="4" t="str">
        <f>HYPERLINK("http://www.uniprot.org/uniprot/M5WDA7","M5WDA7")</f>
        <v>M5WDA7</v>
      </c>
      <c r="D11731" s="2" t="s">
        <v>8898</v>
      </c>
      <c r="E11731" s="3">
        <v>1.98E-30</v>
      </c>
      <c r="F11731" s="2">
        <v>298</v>
      </c>
      <c r="G11731" s="2">
        <v>88</v>
      </c>
      <c r="H11731" s="2">
        <v>112</v>
      </c>
      <c r="I11731" s="2">
        <v>325</v>
      </c>
      <c r="J11731" s="2">
        <v>660</v>
      </c>
      <c r="K11731" s="2">
        <v>1</v>
      </c>
      <c r="L11731" s="2">
        <v>98</v>
      </c>
    </row>
    <row r="11732" spans="1:12" x14ac:dyDescent="0.25">
      <c r="A11732" s="4" t="str">
        <f>HYPERLINK("http://www.rosaceae.org/Prunus/Prunus_persica/p.persica_gdr_reftransV1_0044711","p.persica_gdr_reftransV1_0044711")</f>
        <v>p.persica_gdr_reftransV1_0044711</v>
      </c>
      <c r="B11732" s="2">
        <v>1008</v>
      </c>
      <c r="C11732" s="4" t="str">
        <f>HYPERLINK("http://www.uniprot.org/uniprot/M5X3G1","M5X3G1")</f>
        <v>M5X3G1</v>
      </c>
      <c r="D11732" s="2" t="s">
        <v>6637</v>
      </c>
      <c r="E11732" s="3">
        <v>5.7499999999999996E-165</v>
      </c>
      <c r="F11732" s="2">
        <v>1232</v>
      </c>
      <c r="G11732" s="2">
        <v>99</v>
      </c>
      <c r="H11732" s="2">
        <v>267</v>
      </c>
      <c r="I11732" s="2">
        <v>1</v>
      </c>
      <c r="J11732" s="2">
        <v>801</v>
      </c>
      <c r="K11732" s="2">
        <v>154</v>
      </c>
      <c r="L11732" s="2">
        <v>420</v>
      </c>
    </row>
    <row r="11733" spans="1:12" x14ac:dyDescent="0.25">
      <c r="A11733" s="4" t="str">
        <f>HYPERLINK("http://www.rosaceae.org/Prunus/Prunus_persica/p.persica_gdr_reftransV1_0045061","p.persica_gdr_reftransV1_0045061")</f>
        <v>p.persica_gdr_reftransV1_0045061</v>
      </c>
      <c r="B11733" s="2">
        <v>798</v>
      </c>
      <c r="C11733" s="4" t="str">
        <f>HYPERLINK("http://www.uniprot.org/uniprot/M5XFH8","M5XFH8")</f>
        <v>M5XFH8</v>
      </c>
      <c r="D11733" s="2" t="s">
        <v>9882</v>
      </c>
      <c r="E11733" s="3">
        <v>2.5299999999999999E-103</v>
      </c>
      <c r="F11733" s="2">
        <v>791</v>
      </c>
      <c r="G11733" s="2">
        <v>100</v>
      </c>
      <c r="H11733" s="2">
        <v>151</v>
      </c>
      <c r="I11733" s="2">
        <v>97</v>
      </c>
      <c r="J11733" s="2">
        <v>549</v>
      </c>
      <c r="K11733" s="2">
        <v>1</v>
      </c>
      <c r="L11733" s="2">
        <v>151</v>
      </c>
    </row>
    <row r="11734" spans="1:12" x14ac:dyDescent="0.25">
      <c r="A11734" s="4" t="str">
        <f>HYPERLINK("http://www.rosaceae.org/Prunus/Prunus_persica/p.persica_gdr_reftransV1_0045411","p.persica_gdr_reftransV1_0045411")</f>
        <v>p.persica_gdr_reftransV1_0045411</v>
      </c>
      <c r="B11734" s="2">
        <v>1118</v>
      </c>
      <c r="C11734" s="4" t="str">
        <f>HYPERLINK("http://www.uniprot.org/uniprot/M5W1H3","M5W1H3")</f>
        <v>M5W1H3</v>
      </c>
      <c r="D11734" s="2" t="s">
        <v>9883</v>
      </c>
      <c r="E11734" s="3">
        <v>5.68E-132</v>
      </c>
      <c r="F11734" s="2">
        <v>1004</v>
      </c>
      <c r="G11734" s="2">
        <v>100</v>
      </c>
      <c r="H11734" s="2">
        <v>281</v>
      </c>
      <c r="I11734" s="2">
        <v>58</v>
      </c>
      <c r="J11734" s="2">
        <v>900</v>
      </c>
      <c r="K11734" s="2">
        <v>1</v>
      </c>
      <c r="L11734" s="2">
        <v>281</v>
      </c>
    </row>
    <row r="11735" spans="1:12" x14ac:dyDescent="0.25">
      <c r="A11735" s="4" t="str">
        <f>HYPERLINK("http://www.rosaceae.org/Prunus/Prunus_persica/p.persica_gdr_reftransV1_0045761","p.persica_gdr_reftransV1_0045761")</f>
        <v>p.persica_gdr_reftransV1_0045761</v>
      </c>
      <c r="B11735" s="2">
        <v>2029</v>
      </c>
      <c r="C11735" s="4" t="str">
        <f>HYPERLINK("http://www.uniprot.org/uniprot/M5WNC5","M5WNC5")</f>
        <v>M5WNC5</v>
      </c>
      <c r="D11735" s="2" t="s">
        <v>9884</v>
      </c>
      <c r="E11735" s="3">
        <v>3.97E-97</v>
      </c>
      <c r="F11735" s="2">
        <v>786</v>
      </c>
      <c r="G11735" s="2">
        <v>100</v>
      </c>
      <c r="H11735" s="2">
        <v>149</v>
      </c>
      <c r="I11735" s="2">
        <v>714</v>
      </c>
      <c r="J11735" s="2">
        <v>1160</v>
      </c>
      <c r="K11735" s="2">
        <v>1</v>
      </c>
      <c r="L11735" s="2">
        <v>149</v>
      </c>
    </row>
    <row r="11736" spans="1:12" x14ac:dyDescent="0.25">
      <c r="A11736" s="4" t="str">
        <f>HYPERLINK("http://www.rosaceae.org/Prunus/Prunus_persica/p.persica_gdr_reftransV1_0046461","p.persica_gdr_reftransV1_0046461")</f>
        <v>p.persica_gdr_reftransV1_0046461</v>
      </c>
      <c r="B11736" s="2">
        <v>4146</v>
      </c>
      <c r="C11736" s="4" t="str">
        <f>HYPERLINK("http://www.uniprot.org/uniprot/M5X602","M5X602")</f>
        <v>M5X602</v>
      </c>
      <c r="D11736" s="2" t="s">
        <v>8287</v>
      </c>
      <c r="E11736" s="3">
        <v>0</v>
      </c>
      <c r="F11736" s="2">
        <v>6323</v>
      </c>
      <c r="G11736" s="2">
        <v>100</v>
      </c>
      <c r="H11736" s="2">
        <v>1207</v>
      </c>
      <c r="I11736" s="2">
        <v>2</v>
      </c>
      <c r="J11736" s="2">
        <v>3622</v>
      </c>
      <c r="K11736" s="2">
        <v>1</v>
      </c>
      <c r="L11736" s="2">
        <v>1207</v>
      </c>
    </row>
    <row r="11737" spans="1:12" x14ac:dyDescent="0.25">
      <c r="A11737" s="4" t="str">
        <f>HYPERLINK("http://www.rosaceae.org/Prunus/Prunus_persica/p.persica_gdr_reftransV1_0046811","p.persica_gdr_reftransV1_0046811")</f>
        <v>p.persica_gdr_reftransV1_0046811</v>
      </c>
      <c r="B11737" s="2">
        <v>2121</v>
      </c>
      <c r="C11737" s="4" t="str">
        <f>HYPERLINK("http://www.uniprot.org/uniprot/M5XRQ5","M5XRQ5")</f>
        <v>M5XRQ5</v>
      </c>
      <c r="D11737" s="2" t="s">
        <v>9885</v>
      </c>
      <c r="E11737" s="3">
        <v>0</v>
      </c>
      <c r="F11737" s="2">
        <v>2352</v>
      </c>
      <c r="G11737" s="2">
        <v>93</v>
      </c>
      <c r="H11737" s="2">
        <v>499</v>
      </c>
      <c r="I11737" s="2">
        <v>438</v>
      </c>
      <c r="J11737" s="2">
        <v>1934</v>
      </c>
      <c r="K11737" s="2">
        <v>1</v>
      </c>
      <c r="L11737" s="2">
        <v>465</v>
      </c>
    </row>
    <row r="11738" spans="1:12" x14ac:dyDescent="0.25">
      <c r="A11738" s="4" t="str">
        <f>HYPERLINK("http://www.rosaceae.org/Prunus/Prunus_persica/p.persica_gdr_reftransV1_0047511","p.persica_gdr_reftransV1_0047511")</f>
        <v>p.persica_gdr_reftransV1_0047511</v>
      </c>
      <c r="B11738" s="2">
        <v>601</v>
      </c>
      <c r="C11738" s="4" t="str">
        <f>HYPERLINK("http://www.uniprot.org/uniprot/M5WPD9","M5WPD9")</f>
        <v>M5WPD9</v>
      </c>
      <c r="D11738" s="2" t="s">
        <v>9886</v>
      </c>
      <c r="E11738" s="3">
        <v>1.4500000000000001E-104</v>
      </c>
      <c r="F11738" s="2">
        <v>823</v>
      </c>
      <c r="G11738" s="2">
        <v>100</v>
      </c>
      <c r="H11738" s="2">
        <v>173</v>
      </c>
      <c r="I11738" s="2">
        <v>82</v>
      </c>
      <c r="J11738" s="2">
        <v>600</v>
      </c>
      <c r="K11738" s="2">
        <v>314</v>
      </c>
      <c r="L11738" s="2">
        <v>486</v>
      </c>
    </row>
    <row r="11739" spans="1:12" x14ac:dyDescent="0.25">
      <c r="A11739" s="4" t="str">
        <f>HYPERLINK("http://www.rosaceae.org/Prunus/Prunus_persica/p.persica_gdr_reftransV1_0047861","p.persica_gdr_reftransV1_0047861")</f>
        <v>p.persica_gdr_reftransV1_0047861</v>
      </c>
      <c r="B11739" s="2">
        <v>625</v>
      </c>
      <c r="C11739" s="4" t="str">
        <f>HYPERLINK("http://www.uniprot.org/uniprot/M5WJE3","M5WJE3")</f>
        <v>M5WJE3</v>
      </c>
      <c r="D11739" s="2" t="s">
        <v>3985</v>
      </c>
      <c r="E11739" s="3">
        <v>1.54E-129</v>
      </c>
      <c r="F11739" s="2">
        <v>1000</v>
      </c>
      <c r="G11739" s="2">
        <v>100</v>
      </c>
      <c r="H11739" s="2">
        <v>185</v>
      </c>
      <c r="I11739" s="2">
        <v>2</v>
      </c>
      <c r="J11739" s="2">
        <v>556</v>
      </c>
      <c r="K11739" s="2">
        <v>1</v>
      </c>
      <c r="L11739" s="2">
        <v>185</v>
      </c>
    </row>
    <row r="11740" spans="1:12" x14ac:dyDescent="0.25">
      <c r="A11740" s="4" t="str">
        <f>HYPERLINK("http://www.rosaceae.org/Prunus/Prunus_persica/p.persica_gdr_reftransV1_0048561","p.persica_gdr_reftransV1_0048561")</f>
        <v>p.persica_gdr_reftransV1_0048561</v>
      </c>
      <c r="B11740" s="2">
        <v>945</v>
      </c>
      <c r="C11740" s="4" t="str">
        <f>HYPERLINK("http://www.uniprot.org/uniprot/M5W4F4","M5W4F4")</f>
        <v>M5W4F4</v>
      </c>
      <c r="D11740" s="2" t="s">
        <v>316</v>
      </c>
      <c r="E11740" s="3">
        <v>7.9900000000000005E-125</v>
      </c>
      <c r="F11740" s="2">
        <v>944</v>
      </c>
      <c r="G11740" s="2">
        <v>79</v>
      </c>
      <c r="H11740" s="2">
        <v>243</v>
      </c>
      <c r="I11740" s="2">
        <v>2</v>
      </c>
      <c r="J11740" s="2">
        <v>667</v>
      </c>
      <c r="K11740" s="2">
        <v>3</v>
      </c>
      <c r="L11740" s="2">
        <v>215</v>
      </c>
    </row>
    <row r="11741" spans="1:12" x14ac:dyDescent="0.25">
      <c r="A11741" s="4" t="str">
        <f>HYPERLINK("http://www.rosaceae.org/Prunus/Prunus_persica/p.persica_gdr_reftransV1_0048911","p.persica_gdr_reftransV1_0048911")</f>
        <v>p.persica_gdr_reftransV1_0048911</v>
      </c>
      <c r="B11741" s="2">
        <v>655</v>
      </c>
      <c r="C11741" s="4" t="str">
        <f>HYPERLINK("http://www.uniprot.org/uniprot/M5W4N1","M5W4N1")</f>
        <v>M5W4N1</v>
      </c>
      <c r="D11741" s="2" t="s">
        <v>9887</v>
      </c>
      <c r="E11741" s="3">
        <v>2.01E-27</v>
      </c>
      <c r="F11741" s="2">
        <v>280</v>
      </c>
      <c r="G11741" s="2">
        <v>99</v>
      </c>
      <c r="H11741" s="2">
        <v>67</v>
      </c>
      <c r="I11741" s="2">
        <v>125</v>
      </c>
      <c r="J11741" s="2">
        <v>325</v>
      </c>
      <c r="K11741" s="2">
        <v>1</v>
      </c>
      <c r="L11741" s="2">
        <v>67</v>
      </c>
    </row>
    <row r="11742" spans="1:12" x14ac:dyDescent="0.25">
      <c r="A11742" s="4" t="str">
        <f>HYPERLINK("http://www.rosaceae.org/Prunus/Prunus_persica/p.persica_gdr_reftransV1_0000262","p.persica_gdr_reftransV1_0000262")</f>
        <v>p.persica_gdr_reftransV1_0000262</v>
      </c>
      <c r="B11742" s="2">
        <v>1818</v>
      </c>
      <c r="C11742" s="4" t="str">
        <f>HYPERLINK("http://www.uniprot.org/uniprot/M5VWG3","M5VWG3")</f>
        <v>M5VWG3</v>
      </c>
      <c r="D11742" s="2" t="s">
        <v>4806</v>
      </c>
      <c r="E11742" s="3">
        <v>0</v>
      </c>
      <c r="F11742" s="2">
        <v>1989</v>
      </c>
      <c r="G11742" s="2">
        <v>95</v>
      </c>
      <c r="H11742" s="2">
        <v>419</v>
      </c>
      <c r="I11742" s="2">
        <v>491</v>
      </c>
      <c r="J11742" s="2">
        <v>1744</v>
      </c>
      <c r="K11742" s="2">
        <v>1</v>
      </c>
      <c r="L11742" s="2">
        <v>419</v>
      </c>
    </row>
    <row r="11743" spans="1:12" x14ac:dyDescent="0.25">
      <c r="A11743" s="4" t="str">
        <f>HYPERLINK("http://www.rosaceae.org/Prunus/Prunus_persica/p.persica_gdr_reftransV1_0000612","p.persica_gdr_reftransV1_0000612")</f>
        <v>p.persica_gdr_reftransV1_0000612</v>
      </c>
      <c r="B11743" s="2">
        <v>1759</v>
      </c>
      <c r="C11743" s="4" t="str">
        <f>HYPERLINK("http://www.uniprot.org/uniprot/M5WGB1","M5WGB1")</f>
        <v>M5WGB1</v>
      </c>
      <c r="D11743" s="2" t="s">
        <v>9888</v>
      </c>
      <c r="E11743" s="3">
        <v>1.02E-99</v>
      </c>
      <c r="F11743" s="2">
        <v>815</v>
      </c>
      <c r="G11743" s="2">
        <v>92</v>
      </c>
      <c r="H11743" s="2">
        <v>202</v>
      </c>
      <c r="I11743" s="2">
        <v>190</v>
      </c>
      <c r="J11743" s="2">
        <v>795</v>
      </c>
      <c r="K11743" s="2">
        <v>19</v>
      </c>
      <c r="L11743" s="2">
        <v>210</v>
      </c>
    </row>
    <row r="11744" spans="1:12" x14ac:dyDescent="0.25">
      <c r="A11744" s="4" t="str">
        <f>HYPERLINK("http://www.rosaceae.org/Prunus/Prunus_persica/p.persica_gdr_reftransV1_0001662","p.persica_gdr_reftransV1_0001662")</f>
        <v>p.persica_gdr_reftransV1_0001662</v>
      </c>
      <c r="B11744" s="2">
        <v>353</v>
      </c>
      <c r="C11744" s="4" t="str">
        <f>HYPERLINK("http://www.uniprot.org/uniprot/A0A0D2XJ98","A0A0D2XJ98")</f>
        <v>A0A0D2XJ98</v>
      </c>
      <c r="D11744" s="2" t="s">
        <v>9889</v>
      </c>
      <c r="E11744" s="3">
        <v>3.4800000000000003E-64</v>
      </c>
      <c r="F11744" s="2">
        <v>532</v>
      </c>
      <c r="G11744" s="2">
        <v>100</v>
      </c>
      <c r="H11744" s="2">
        <v>100</v>
      </c>
      <c r="I11744" s="2">
        <v>52</v>
      </c>
      <c r="J11744" s="2">
        <v>351</v>
      </c>
      <c r="K11744" s="2">
        <v>237</v>
      </c>
      <c r="L11744" s="2">
        <v>336</v>
      </c>
    </row>
    <row r="11745" spans="1:12" x14ac:dyDescent="0.25">
      <c r="A11745" s="4" t="str">
        <f>HYPERLINK("http://www.rosaceae.org/Prunus/Prunus_persica/p.persica_gdr_reftransV1_0002012","p.persica_gdr_reftransV1_0002012")</f>
        <v>p.persica_gdr_reftransV1_0002012</v>
      </c>
      <c r="B11745" s="2">
        <v>449</v>
      </c>
      <c r="C11745" s="4" t="str">
        <f>HYPERLINK("http://www.uniprot.org/uniprot/M5XB38","M5XB38")</f>
        <v>M5XB38</v>
      </c>
      <c r="D11745" s="2" t="s">
        <v>3285</v>
      </c>
      <c r="E11745" s="3">
        <v>4.0199999999999998E-101</v>
      </c>
      <c r="F11745" s="2">
        <v>784</v>
      </c>
      <c r="G11745" s="2">
        <v>100</v>
      </c>
      <c r="H11745" s="2">
        <v>144</v>
      </c>
      <c r="I11745" s="2">
        <v>17</v>
      </c>
      <c r="J11745" s="2">
        <v>448</v>
      </c>
      <c r="K11745" s="2">
        <v>217</v>
      </c>
      <c r="L11745" s="2">
        <v>360</v>
      </c>
    </row>
    <row r="11746" spans="1:12" x14ac:dyDescent="0.25">
      <c r="A11746" s="4" t="str">
        <f>HYPERLINK("http://www.rosaceae.org/Prunus/Prunus_persica/p.persica_gdr_reftransV1_0002362","p.persica_gdr_reftransV1_0002362")</f>
        <v>p.persica_gdr_reftransV1_0002362</v>
      </c>
      <c r="B11746" s="2">
        <v>310</v>
      </c>
      <c r="C11746" s="4" t="str">
        <f>HYPERLINK("http://www.uniprot.org/uniprot/C7YPQ9","C7YPQ9")</f>
        <v>C7YPQ9</v>
      </c>
      <c r="D11746" s="2" t="s">
        <v>9890</v>
      </c>
      <c r="E11746" s="3">
        <v>8.1599999999999999E-57</v>
      </c>
      <c r="F11746" s="2">
        <v>464</v>
      </c>
      <c r="G11746" s="2">
        <v>100</v>
      </c>
      <c r="H11746" s="2">
        <v>89</v>
      </c>
      <c r="I11746" s="2">
        <v>42</v>
      </c>
      <c r="J11746" s="2">
        <v>308</v>
      </c>
      <c r="K11746" s="2">
        <v>1</v>
      </c>
      <c r="L11746" s="2">
        <v>89</v>
      </c>
    </row>
    <row r="11747" spans="1:12" x14ac:dyDescent="0.25">
      <c r="A11747" s="4" t="str">
        <f>HYPERLINK("http://www.rosaceae.org/Prunus/Prunus_persica/p.persica_gdr_reftransV1_0003062","p.persica_gdr_reftransV1_0003062")</f>
        <v>p.persica_gdr_reftransV1_0003062</v>
      </c>
      <c r="B11747" s="2">
        <v>1180</v>
      </c>
      <c r="C11747" s="4" t="str">
        <f>HYPERLINK("http://www.uniprot.org/uniprot/M5XE98","M5XE98")</f>
        <v>M5XE98</v>
      </c>
      <c r="D11747" s="2" t="s">
        <v>9891</v>
      </c>
      <c r="E11747" s="3">
        <v>1.77E-162</v>
      </c>
      <c r="F11747" s="2">
        <v>1228</v>
      </c>
      <c r="G11747" s="2">
        <v>100</v>
      </c>
      <c r="H11747" s="2">
        <v>270</v>
      </c>
      <c r="I11747" s="2">
        <v>371</v>
      </c>
      <c r="J11747" s="2">
        <v>1180</v>
      </c>
      <c r="K11747" s="2">
        <v>36</v>
      </c>
      <c r="L11747" s="2">
        <v>305</v>
      </c>
    </row>
    <row r="11748" spans="1:12" x14ac:dyDescent="0.25">
      <c r="A11748" s="4" t="str">
        <f>HYPERLINK("http://www.rosaceae.org/Prunus/Prunus_persica/p.persica_gdr_reftransV1_0003412","p.persica_gdr_reftransV1_0003412")</f>
        <v>p.persica_gdr_reftransV1_0003412</v>
      </c>
      <c r="B11748" s="2">
        <v>1432</v>
      </c>
      <c r="C11748" s="4" t="str">
        <f>HYPERLINK("http://www.uniprot.org/uniprot/M5XDY0","M5XDY0")</f>
        <v>M5XDY0</v>
      </c>
      <c r="D11748" s="2" t="s">
        <v>9892</v>
      </c>
      <c r="E11748" s="3">
        <v>0</v>
      </c>
      <c r="F11748" s="2">
        <v>1880</v>
      </c>
      <c r="G11748" s="2">
        <v>100</v>
      </c>
      <c r="H11748" s="2">
        <v>359</v>
      </c>
      <c r="I11748" s="2">
        <v>231</v>
      </c>
      <c r="J11748" s="2">
        <v>1307</v>
      </c>
      <c r="K11748" s="2">
        <v>1</v>
      </c>
      <c r="L11748" s="2">
        <v>359</v>
      </c>
    </row>
    <row r="11749" spans="1:12" x14ac:dyDescent="0.25">
      <c r="A11749" s="4" t="str">
        <f>HYPERLINK("http://www.rosaceae.org/Prunus/Prunus_persica/p.persica_gdr_reftransV1_0003762","p.persica_gdr_reftransV1_0003762")</f>
        <v>p.persica_gdr_reftransV1_0003762</v>
      </c>
      <c r="B11749" s="2">
        <v>1578</v>
      </c>
      <c r="C11749" s="4" t="str">
        <f>HYPERLINK("http://www.uniprot.org/uniprot/M5XEG2","M5XEG2")</f>
        <v>M5XEG2</v>
      </c>
      <c r="D11749" s="2" t="s">
        <v>3144</v>
      </c>
      <c r="E11749" s="3">
        <v>1.13E-63</v>
      </c>
      <c r="F11749" s="2">
        <v>562</v>
      </c>
      <c r="G11749" s="2">
        <v>100</v>
      </c>
      <c r="H11749" s="2">
        <v>104</v>
      </c>
      <c r="I11749" s="2">
        <v>1114</v>
      </c>
      <c r="J11749" s="2">
        <v>1425</v>
      </c>
      <c r="K11749" s="2">
        <v>1</v>
      </c>
      <c r="L11749" s="2">
        <v>104</v>
      </c>
    </row>
    <row r="11750" spans="1:12" x14ac:dyDescent="0.25">
      <c r="A11750" s="4" t="str">
        <f>HYPERLINK("http://www.rosaceae.org/Prunus/Prunus_persica/p.persica_gdr_reftransV1_0004112","p.persica_gdr_reftransV1_0004112")</f>
        <v>p.persica_gdr_reftransV1_0004112</v>
      </c>
      <c r="B11750" s="2">
        <v>2200</v>
      </c>
      <c r="C11750" s="4" t="str">
        <f>HYPERLINK("http://www.uniprot.org/uniprot/M5VXW9","M5VXW9")</f>
        <v>M5VXW9</v>
      </c>
      <c r="D11750" s="2" t="s">
        <v>9893</v>
      </c>
      <c r="E11750" s="3">
        <v>0</v>
      </c>
      <c r="F11750" s="2">
        <v>1111</v>
      </c>
      <c r="G11750" s="2">
        <v>99</v>
      </c>
      <c r="H11750" s="2">
        <v>236</v>
      </c>
      <c r="I11750" s="2">
        <v>871</v>
      </c>
      <c r="J11750" s="2">
        <v>1578</v>
      </c>
      <c r="K11750" s="2">
        <v>206</v>
      </c>
      <c r="L11750" s="2">
        <v>441</v>
      </c>
    </row>
    <row r="11751" spans="1:12" x14ac:dyDescent="0.25">
      <c r="A11751" s="4" t="str">
        <f>HYPERLINK("http://www.rosaceae.org/Prunus/Prunus_persica/p.persica_gdr_reftransV1_0004462","p.persica_gdr_reftransV1_0004462")</f>
        <v>p.persica_gdr_reftransV1_0004462</v>
      </c>
      <c r="B11751" s="2">
        <v>2054</v>
      </c>
      <c r="C11751" s="4" t="str">
        <f>HYPERLINK("http://www.uniprot.org/uniprot/M5WYJ8","M5WYJ8")</f>
        <v>M5WYJ8</v>
      </c>
      <c r="D11751" s="2" t="s">
        <v>9894</v>
      </c>
      <c r="E11751" s="3">
        <v>0</v>
      </c>
      <c r="F11751" s="2">
        <v>1391</v>
      </c>
      <c r="G11751" s="2">
        <v>99</v>
      </c>
      <c r="H11751" s="2">
        <v>286</v>
      </c>
      <c r="I11751" s="2">
        <v>207</v>
      </c>
      <c r="J11751" s="2">
        <v>1064</v>
      </c>
      <c r="K11751" s="2">
        <v>305</v>
      </c>
      <c r="L11751" s="2">
        <v>589</v>
      </c>
    </row>
    <row r="11752" spans="1:12" x14ac:dyDescent="0.25">
      <c r="A11752" s="4" t="str">
        <f>HYPERLINK("http://www.rosaceae.org/Prunus/Prunus_persica/p.persica_gdr_reftransV1_0005162","p.persica_gdr_reftransV1_0005162")</f>
        <v>p.persica_gdr_reftransV1_0005162</v>
      </c>
      <c r="B11752" s="2">
        <v>1189</v>
      </c>
      <c r="C11752" s="4" t="str">
        <f>HYPERLINK("http://www.uniprot.org/uniprot/M5XLU3","M5XLU3")</f>
        <v>M5XLU3</v>
      </c>
      <c r="D11752" s="2" t="s">
        <v>9895</v>
      </c>
      <c r="E11752" s="3">
        <v>7.4000000000000005E-153</v>
      </c>
      <c r="F11752" s="2">
        <v>1143</v>
      </c>
      <c r="G11752" s="2">
        <v>100</v>
      </c>
      <c r="H11752" s="2">
        <v>266</v>
      </c>
      <c r="I11752" s="2">
        <v>145</v>
      </c>
      <c r="J11752" s="2">
        <v>942</v>
      </c>
      <c r="K11752" s="2">
        <v>1</v>
      </c>
      <c r="L11752" s="2">
        <v>266</v>
      </c>
    </row>
    <row r="11753" spans="1:12" x14ac:dyDescent="0.25">
      <c r="A11753" s="4" t="str">
        <f>HYPERLINK("http://www.rosaceae.org/Prunus/Prunus_persica/p.persica_gdr_reftransV1_0005512","p.persica_gdr_reftransV1_0005512")</f>
        <v>p.persica_gdr_reftransV1_0005512</v>
      </c>
      <c r="B11753" s="2">
        <v>1805</v>
      </c>
      <c r="C11753" s="4" t="str">
        <f>HYPERLINK("http://www.uniprot.org/uniprot/M5VN25","M5VN25")</f>
        <v>M5VN25</v>
      </c>
      <c r="D11753" s="2" t="s">
        <v>9896</v>
      </c>
      <c r="E11753" s="3">
        <v>0</v>
      </c>
      <c r="F11753" s="2">
        <v>1130</v>
      </c>
      <c r="G11753" s="2">
        <v>97</v>
      </c>
      <c r="H11753" s="2">
        <v>238</v>
      </c>
      <c r="I11753" s="2">
        <v>708</v>
      </c>
      <c r="J11753" s="2">
        <v>1421</v>
      </c>
      <c r="K11753" s="2">
        <v>1</v>
      </c>
      <c r="L11753" s="2">
        <v>238</v>
      </c>
    </row>
    <row r="11754" spans="1:12" x14ac:dyDescent="0.25">
      <c r="A11754" s="4" t="str">
        <f>HYPERLINK("http://www.rosaceae.org/Prunus/Prunus_persica/p.persica_gdr_reftransV1_0005862","p.persica_gdr_reftransV1_0005862")</f>
        <v>p.persica_gdr_reftransV1_0005862</v>
      </c>
      <c r="B11754" s="2">
        <v>1176</v>
      </c>
      <c r="C11754" s="4" t="str">
        <f>HYPERLINK("http://www.uniprot.org/uniprot/M5XBW9","M5XBW9")</f>
        <v>M5XBW9</v>
      </c>
      <c r="D11754" s="2" t="s">
        <v>9897</v>
      </c>
      <c r="E11754" s="3">
        <v>6.1499999999999997E-155</v>
      </c>
      <c r="F11754" s="2">
        <v>1170</v>
      </c>
      <c r="G11754" s="2">
        <v>81</v>
      </c>
      <c r="H11754" s="2">
        <v>323</v>
      </c>
      <c r="I11754" s="2">
        <v>1</v>
      </c>
      <c r="J11754" s="2">
        <v>960</v>
      </c>
      <c r="K11754" s="2">
        <v>102</v>
      </c>
      <c r="L11754" s="2">
        <v>406</v>
      </c>
    </row>
    <row r="11755" spans="1:12" x14ac:dyDescent="0.25">
      <c r="A11755" s="4" t="str">
        <f>HYPERLINK("http://www.rosaceae.org/Prunus/Prunus_persica/p.persica_gdr_reftransV1_0006212","p.persica_gdr_reftransV1_0006212")</f>
        <v>p.persica_gdr_reftransV1_0006212</v>
      </c>
      <c r="B11755" s="2">
        <v>792</v>
      </c>
      <c r="C11755" s="4" t="str">
        <f>HYPERLINK("http://www.uniprot.org/uniprot/M5XWF7","M5XWF7")</f>
        <v>M5XWF7</v>
      </c>
      <c r="D11755" s="2" t="s">
        <v>9898</v>
      </c>
      <c r="E11755" s="3">
        <v>6.5899999999999999E-171</v>
      </c>
      <c r="F11755" s="2">
        <v>1245</v>
      </c>
      <c r="G11755" s="2">
        <v>98</v>
      </c>
      <c r="H11755" s="2">
        <v>243</v>
      </c>
      <c r="I11755" s="2">
        <v>11</v>
      </c>
      <c r="J11755" s="2">
        <v>739</v>
      </c>
      <c r="K11755" s="2">
        <v>1</v>
      </c>
      <c r="L11755" s="2">
        <v>243</v>
      </c>
    </row>
    <row r="11756" spans="1:12" x14ac:dyDescent="0.25">
      <c r="A11756" s="4" t="str">
        <f>HYPERLINK("http://www.rosaceae.org/Prunus/Prunus_persica/p.persica_gdr_reftransV1_0006912","p.persica_gdr_reftransV1_0006912")</f>
        <v>p.persica_gdr_reftransV1_0006912</v>
      </c>
      <c r="B11756" s="2">
        <v>946</v>
      </c>
      <c r="C11756" s="4" t="str">
        <f>HYPERLINK("http://www.uniprot.org/uniprot/M5VL01","M5VL01")</f>
        <v>M5VL01</v>
      </c>
      <c r="D11756" s="2" t="s">
        <v>9899</v>
      </c>
      <c r="E11756" s="3">
        <v>2.0700000000000001E-157</v>
      </c>
      <c r="F11756" s="2">
        <v>1212</v>
      </c>
      <c r="G11756" s="2">
        <v>100</v>
      </c>
      <c r="H11756" s="2">
        <v>261</v>
      </c>
      <c r="I11756" s="2">
        <v>162</v>
      </c>
      <c r="J11756" s="2">
        <v>944</v>
      </c>
      <c r="K11756" s="2">
        <v>526</v>
      </c>
      <c r="L11756" s="2">
        <v>786</v>
      </c>
    </row>
    <row r="11757" spans="1:12" x14ac:dyDescent="0.25">
      <c r="A11757" s="4" t="str">
        <f>HYPERLINK("http://www.rosaceae.org/Prunus/Prunus_persica/p.persica_gdr_reftransV1_0007962","p.persica_gdr_reftransV1_0007962")</f>
        <v>p.persica_gdr_reftransV1_0007962</v>
      </c>
      <c r="B11757" s="2">
        <v>2052</v>
      </c>
      <c r="C11757" s="4" t="str">
        <f>HYPERLINK("http://www.uniprot.org/uniprot/M5WHK3","M5WHK3")</f>
        <v>M5WHK3</v>
      </c>
      <c r="D11757" s="2" t="s">
        <v>9900</v>
      </c>
      <c r="E11757" s="3">
        <v>0</v>
      </c>
      <c r="F11757" s="2">
        <v>2446</v>
      </c>
      <c r="G11757" s="2">
        <v>98</v>
      </c>
      <c r="H11757" s="2">
        <v>519</v>
      </c>
      <c r="I11757" s="2">
        <v>163</v>
      </c>
      <c r="J11757" s="2">
        <v>1719</v>
      </c>
      <c r="K11757" s="2">
        <v>1</v>
      </c>
      <c r="L11757" s="2">
        <v>507</v>
      </c>
    </row>
    <row r="11758" spans="1:12" x14ac:dyDescent="0.25">
      <c r="A11758" s="4" t="str">
        <f>HYPERLINK("http://www.rosaceae.org/Prunus/Prunus_persica/p.persica_gdr_reftransV1_0008312","p.persica_gdr_reftransV1_0008312")</f>
        <v>p.persica_gdr_reftransV1_0008312</v>
      </c>
      <c r="B11758" s="2">
        <v>4627</v>
      </c>
      <c r="C11758" s="4" t="str">
        <f>HYPERLINK("http://www.uniprot.org/uniprot/M5XL70","M5XL70")</f>
        <v>M5XL70</v>
      </c>
      <c r="D11758" s="2" t="s">
        <v>9901</v>
      </c>
      <c r="E11758" s="3">
        <v>1.2599999999999999E-81</v>
      </c>
      <c r="F11758" s="2">
        <v>706</v>
      </c>
      <c r="G11758" s="2">
        <v>100</v>
      </c>
      <c r="H11758" s="2">
        <v>149</v>
      </c>
      <c r="I11758" s="2">
        <v>367</v>
      </c>
      <c r="J11758" s="2">
        <v>813</v>
      </c>
      <c r="K11758" s="2">
        <v>1</v>
      </c>
      <c r="L11758" s="2">
        <v>149</v>
      </c>
    </row>
    <row r="11759" spans="1:12" x14ac:dyDescent="0.25">
      <c r="A11759" s="4" t="str">
        <f>HYPERLINK("http://www.rosaceae.org/Prunus/Prunus_persica/p.persica_gdr_reftransV1_0009362","p.persica_gdr_reftransV1_0009362")</f>
        <v>p.persica_gdr_reftransV1_0009362</v>
      </c>
      <c r="B11759" s="2">
        <v>2429</v>
      </c>
      <c r="C11759" s="4" t="str">
        <f>HYPERLINK("http://www.uniprot.org/uniprot/M5W6F5","M5W6F5")</f>
        <v>M5W6F5</v>
      </c>
      <c r="D11759" s="2" t="s">
        <v>9902</v>
      </c>
      <c r="E11759" s="3">
        <v>0</v>
      </c>
      <c r="F11759" s="2">
        <v>2995</v>
      </c>
      <c r="G11759" s="2">
        <v>100</v>
      </c>
      <c r="H11759" s="2">
        <v>577</v>
      </c>
      <c r="I11759" s="2">
        <v>266</v>
      </c>
      <c r="J11759" s="2">
        <v>1996</v>
      </c>
      <c r="K11759" s="2">
        <v>1</v>
      </c>
      <c r="L11759" s="2">
        <v>577</v>
      </c>
    </row>
    <row r="11760" spans="1:12" x14ac:dyDescent="0.25">
      <c r="A11760" s="4" t="str">
        <f>HYPERLINK("http://www.rosaceae.org/Prunus/Prunus_persica/p.persica_gdr_reftransV1_0009712","p.persica_gdr_reftransV1_0009712")</f>
        <v>p.persica_gdr_reftransV1_0009712</v>
      </c>
      <c r="B11760" s="2">
        <v>2189</v>
      </c>
      <c r="C11760" s="4" t="str">
        <f>HYPERLINK("http://www.uniprot.org/uniprot/M5WU05","M5WU05")</f>
        <v>M5WU05</v>
      </c>
      <c r="D11760" s="2" t="s">
        <v>9903</v>
      </c>
      <c r="E11760" s="3">
        <v>0</v>
      </c>
      <c r="F11760" s="2">
        <v>2722</v>
      </c>
      <c r="G11760" s="2">
        <v>97</v>
      </c>
      <c r="H11760" s="2">
        <v>573</v>
      </c>
      <c r="I11760" s="2">
        <v>164</v>
      </c>
      <c r="J11760" s="2">
        <v>1882</v>
      </c>
      <c r="K11760" s="2">
        <v>1</v>
      </c>
      <c r="L11760" s="2">
        <v>556</v>
      </c>
    </row>
    <row r="11761" spans="1:12" x14ac:dyDescent="0.25">
      <c r="A11761" s="4" t="str">
        <f>HYPERLINK("http://www.rosaceae.org/Prunus/Prunus_persica/p.persica_gdr_reftransV1_0010412","p.persica_gdr_reftransV1_0010412")</f>
        <v>p.persica_gdr_reftransV1_0010412</v>
      </c>
      <c r="B11761" s="2">
        <v>1973</v>
      </c>
      <c r="C11761" s="4" t="str">
        <f>HYPERLINK("http://www.uniprot.org/uniprot/M5VKJ0","M5VKJ0")</f>
        <v>M5VKJ0</v>
      </c>
      <c r="D11761" s="2" t="s">
        <v>9904</v>
      </c>
      <c r="E11761" s="3">
        <v>1.65E-157</v>
      </c>
      <c r="F11761" s="2">
        <v>1205</v>
      </c>
      <c r="G11761" s="2">
        <v>100</v>
      </c>
      <c r="H11761" s="2">
        <v>282</v>
      </c>
      <c r="I11761" s="2">
        <v>958</v>
      </c>
      <c r="J11761" s="2">
        <v>1803</v>
      </c>
      <c r="K11761" s="2">
        <v>1</v>
      </c>
      <c r="L11761" s="2">
        <v>282</v>
      </c>
    </row>
    <row r="11762" spans="1:12" x14ac:dyDescent="0.25">
      <c r="A11762" s="4" t="str">
        <f>HYPERLINK("http://www.rosaceae.org/Prunus/Prunus_persica/p.persica_gdr_reftransV1_0011112","p.persica_gdr_reftransV1_0011112")</f>
        <v>p.persica_gdr_reftransV1_0011112</v>
      </c>
      <c r="B11762" s="2">
        <v>1752</v>
      </c>
      <c r="C11762" s="4" t="str">
        <f>HYPERLINK("http://www.uniprot.org/uniprot/M5VNV3","M5VNV3")</f>
        <v>M5VNV3</v>
      </c>
      <c r="D11762" s="2" t="s">
        <v>1529</v>
      </c>
      <c r="E11762" s="3">
        <v>0</v>
      </c>
      <c r="F11762" s="2">
        <v>2291</v>
      </c>
      <c r="G11762" s="2">
        <v>100</v>
      </c>
      <c r="H11762" s="2">
        <v>447</v>
      </c>
      <c r="I11762" s="2">
        <v>2</v>
      </c>
      <c r="J11762" s="2">
        <v>1342</v>
      </c>
      <c r="K11762" s="2">
        <v>102</v>
      </c>
      <c r="L11762" s="2">
        <v>548</v>
      </c>
    </row>
    <row r="11763" spans="1:12" x14ac:dyDescent="0.25">
      <c r="A11763" s="4" t="str">
        <f>HYPERLINK("http://www.rosaceae.org/Prunus/Prunus_persica/p.persica_gdr_reftransV1_0011462","p.persica_gdr_reftransV1_0011462")</f>
        <v>p.persica_gdr_reftransV1_0011462</v>
      </c>
      <c r="B11763" s="2">
        <v>1196</v>
      </c>
      <c r="C11763" s="4" t="str">
        <f>HYPERLINK("http://www.uniprot.org/uniprot/M5W9P3","M5W9P3")</f>
        <v>M5W9P3</v>
      </c>
      <c r="D11763" s="2" t="s">
        <v>9905</v>
      </c>
      <c r="E11763" s="3">
        <v>0</v>
      </c>
      <c r="F11763" s="2">
        <v>1592</v>
      </c>
      <c r="G11763" s="2">
        <v>100</v>
      </c>
      <c r="H11763" s="2">
        <v>297</v>
      </c>
      <c r="I11763" s="2">
        <v>204</v>
      </c>
      <c r="J11763" s="2">
        <v>1094</v>
      </c>
      <c r="K11763" s="2">
        <v>74</v>
      </c>
      <c r="L11763" s="2">
        <v>370</v>
      </c>
    </row>
    <row r="11764" spans="1:12" x14ac:dyDescent="0.25">
      <c r="A11764" s="4" t="str">
        <f>HYPERLINK("http://www.rosaceae.org/Prunus/Prunus_persica/p.persica_gdr_reftransV1_0012862","p.persica_gdr_reftransV1_0012862")</f>
        <v>p.persica_gdr_reftransV1_0012862</v>
      </c>
      <c r="B11764" s="2">
        <v>2251</v>
      </c>
      <c r="C11764" s="4" t="str">
        <f>HYPERLINK("http://www.uniprot.org/uniprot/M5WTZ5","M5WTZ5")</f>
        <v>M5WTZ5</v>
      </c>
      <c r="D11764" s="2" t="s">
        <v>9906</v>
      </c>
      <c r="E11764" s="3">
        <v>0</v>
      </c>
      <c r="F11764" s="2">
        <v>2253</v>
      </c>
      <c r="G11764" s="2">
        <v>100</v>
      </c>
      <c r="H11764" s="2">
        <v>447</v>
      </c>
      <c r="I11764" s="2">
        <v>456</v>
      </c>
      <c r="J11764" s="2">
        <v>1796</v>
      </c>
      <c r="K11764" s="2">
        <v>1</v>
      </c>
      <c r="L11764" s="2">
        <v>447</v>
      </c>
    </row>
    <row r="11765" spans="1:12" x14ac:dyDescent="0.25">
      <c r="A11765" s="4" t="str">
        <f>HYPERLINK("http://www.rosaceae.org/Prunus/Prunus_persica/p.persica_gdr_reftransV1_0013212","p.persica_gdr_reftransV1_0013212")</f>
        <v>p.persica_gdr_reftransV1_0013212</v>
      </c>
      <c r="B11765" s="2">
        <v>1339</v>
      </c>
      <c r="C11765" s="4" t="str">
        <f>HYPERLINK("http://www.uniprot.org/uniprot/M5WWB3","M5WWB3")</f>
        <v>M5WWB3</v>
      </c>
      <c r="D11765" s="2" t="s">
        <v>9907</v>
      </c>
      <c r="E11765" s="3">
        <v>2.0000000000000001E-141</v>
      </c>
      <c r="F11765" s="2">
        <v>1078</v>
      </c>
      <c r="G11765" s="2">
        <v>95</v>
      </c>
      <c r="H11765" s="2">
        <v>231</v>
      </c>
      <c r="I11765" s="2">
        <v>74</v>
      </c>
      <c r="J11765" s="2">
        <v>766</v>
      </c>
      <c r="K11765" s="2">
        <v>1</v>
      </c>
      <c r="L11765" s="2">
        <v>229</v>
      </c>
    </row>
    <row r="11766" spans="1:12" x14ac:dyDescent="0.25">
      <c r="A11766" s="4" t="str">
        <f>HYPERLINK("http://www.rosaceae.org/Prunus/Prunus_persica/p.persica_gdr_reftransV1_0013912","p.persica_gdr_reftransV1_0013912")</f>
        <v>p.persica_gdr_reftransV1_0013912</v>
      </c>
      <c r="B11766" s="2">
        <v>1283</v>
      </c>
      <c r="C11766" s="4" t="str">
        <f>HYPERLINK("http://www.uniprot.org/uniprot/M5XE69","M5XE69")</f>
        <v>M5XE69</v>
      </c>
      <c r="D11766" s="2" t="s">
        <v>9908</v>
      </c>
      <c r="E11766" s="3">
        <v>0</v>
      </c>
      <c r="F11766" s="2">
        <v>1429</v>
      </c>
      <c r="G11766" s="2">
        <v>100</v>
      </c>
      <c r="H11766" s="2">
        <v>267</v>
      </c>
      <c r="I11766" s="2">
        <v>293</v>
      </c>
      <c r="J11766" s="2">
        <v>1093</v>
      </c>
      <c r="K11766" s="2">
        <v>1</v>
      </c>
      <c r="L11766" s="2">
        <v>267</v>
      </c>
    </row>
    <row r="11767" spans="1:12" x14ac:dyDescent="0.25">
      <c r="A11767" s="4" t="str">
        <f>HYPERLINK("http://www.rosaceae.org/Prunus/Prunus_persica/p.persica_gdr_reftransV1_0014262","p.persica_gdr_reftransV1_0014262")</f>
        <v>p.persica_gdr_reftransV1_0014262</v>
      </c>
      <c r="B11767" s="2">
        <v>1931</v>
      </c>
      <c r="C11767" s="4" t="str">
        <f>HYPERLINK("http://www.uniprot.org/uniprot/M5WSR7","M5WSR7")</f>
        <v>M5WSR7</v>
      </c>
      <c r="D11767" s="2" t="s">
        <v>9909</v>
      </c>
      <c r="E11767" s="3">
        <v>0</v>
      </c>
      <c r="F11767" s="2">
        <v>2206</v>
      </c>
      <c r="G11767" s="2">
        <v>94</v>
      </c>
      <c r="H11767" s="2">
        <v>470</v>
      </c>
      <c r="I11767" s="2">
        <v>52</v>
      </c>
      <c r="J11767" s="2">
        <v>1461</v>
      </c>
      <c r="K11767" s="2">
        <v>1</v>
      </c>
      <c r="L11767" s="2">
        <v>448</v>
      </c>
    </row>
    <row r="11768" spans="1:12" x14ac:dyDescent="0.25">
      <c r="A11768" s="4" t="str">
        <f>HYPERLINK("http://www.rosaceae.org/Prunus/Prunus_persica/p.persica_gdr_reftransV1_0014612","p.persica_gdr_reftransV1_0014612")</f>
        <v>p.persica_gdr_reftransV1_0014612</v>
      </c>
      <c r="B11768" s="2">
        <v>2172</v>
      </c>
      <c r="C11768" s="4" t="str">
        <f>HYPERLINK("http://www.uniprot.org/uniprot/M5XZ46","M5XZ46")</f>
        <v>M5XZ46</v>
      </c>
      <c r="D11768" s="2" t="s">
        <v>9910</v>
      </c>
      <c r="E11768" s="3">
        <v>9.9799999999999991E-66</v>
      </c>
      <c r="F11768" s="2">
        <v>587</v>
      </c>
      <c r="G11768" s="2">
        <v>89</v>
      </c>
      <c r="H11768" s="2">
        <v>127</v>
      </c>
      <c r="I11768" s="2">
        <v>1790</v>
      </c>
      <c r="J11768" s="2">
        <v>2170</v>
      </c>
      <c r="K11768" s="2">
        <v>141</v>
      </c>
      <c r="L11768" s="2">
        <v>265</v>
      </c>
    </row>
    <row r="11769" spans="1:12" x14ac:dyDescent="0.25">
      <c r="A11769" s="4" t="str">
        <f>HYPERLINK("http://www.rosaceae.org/Prunus/Prunus_persica/p.persica_gdr_reftransV1_0016012","p.persica_gdr_reftransV1_0016012")</f>
        <v>p.persica_gdr_reftransV1_0016012</v>
      </c>
      <c r="B11769" s="2">
        <v>1033</v>
      </c>
      <c r="C11769" s="4" t="str">
        <f>HYPERLINK("http://www.uniprot.org/uniprot/M5XTH1","M5XTH1")</f>
        <v>M5XTH1</v>
      </c>
      <c r="D11769" s="2" t="s">
        <v>596</v>
      </c>
      <c r="E11769" s="3">
        <v>5.3099999999999997E-79</v>
      </c>
      <c r="F11769" s="2">
        <v>672</v>
      </c>
      <c r="G11769" s="2">
        <v>100</v>
      </c>
      <c r="H11769" s="2">
        <v>143</v>
      </c>
      <c r="I11769" s="2">
        <v>348</v>
      </c>
      <c r="J11769" s="2">
        <v>776</v>
      </c>
      <c r="K11769" s="2">
        <v>419</v>
      </c>
      <c r="L11769" s="2">
        <v>561</v>
      </c>
    </row>
    <row r="11770" spans="1:12" x14ac:dyDescent="0.25">
      <c r="A11770" s="4" t="str">
        <f>HYPERLINK("http://www.rosaceae.org/Prunus/Prunus_persica/p.persica_gdr_reftransV1_0017412","p.persica_gdr_reftransV1_0017412")</f>
        <v>p.persica_gdr_reftransV1_0017412</v>
      </c>
      <c r="B11770" s="2">
        <v>1044</v>
      </c>
      <c r="C11770" s="4" t="str">
        <f>HYPERLINK("http://www.uniprot.org/uniprot/M5WI10","M5WI10")</f>
        <v>M5WI10</v>
      </c>
      <c r="D11770" s="2" t="s">
        <v>9911</v>
      </c>
      <c r="E11770" s="3">
        <v>3.7500000000000002E-72</v>
      </c>
      <c r="F11770" s="2">
        <v>594</v>
      </c>
      <c r="G11770" s="2">
        <v>100</v>
      </c>
      <c r="H11770" s="2">
        <v>150</v>
      </c>
      <c r="I11770" s="2">
        <v>318</v>
      </c>
      <c r="J11770" s="2">
        <v>767</v>
      </c>
      <c r="K11770" s="2">
        <v>1</v>
      </c>
      <c r="L11770" s="2">
        <v>150</v>
      </c>
    </row>
    <row r="11771" spans="1:12" x14ac:dyDescent="0.25">
      <c r="A11771" s="4" t="str">
        <f>HYPERLINK("http://www.rosaceae.org/Prunus/Prunus_persica/p.persica_gdr_reftransV1_0018112","p.persica_gdr_reftransV1_0018112")</f>
        <v>p.persica_gdr_reftransV1_0018112</v>
      </c>
      <c r="B11771" s="2">
        <v>2240</v>
      </c>
      <c r="C11771" s="4" t="str">
        <f>HYPERLINK("http://www.uniprot.org/uniprot/M5WUG3","M5WUG3")</f>
        <v>M5WUG3</v>
      </c>
      <c r="D11771" s="2" t="s">
        <v>9912</v>
      </c>
      <c r="E11771" s="3">
        <v>5.7000000000000004E-152</v>
      </c>
      <c r="F11771" s="2">
        <v>1183</v>
      </c>
      <c r="G11771" s="2">
        <v>100</v>
      </c>
      <c r="H11771" s="2">
        <v>227</v>
      </c>
      <c r="I11771" s="2">
        <v>191</v>
      </c>
      <c r="J11771" s="2">
        <v>871</v>
      </c>
      <c r="K11771" s="2">
        <v>1</v>
      </c>
      <c r="L11771" s="2">
        <v>227</v>
      </c>
    </row>
    <row r="11772" spans="1:12" x14ac:dyDescent="0.25">
      <c r="A11772" s="4" t="str">
        <f>HYPERLINK("http://www.rosaceae.org/Prunus/Prunus_persica/p.persica_gdr_reftransV1_0019512","p.persica_gdr_reftransV1_0019512")</f>
        <v>p.persica_gdr_reftransV1_0019512</v>
      </c>
      <c r="B11772" s="2">
        <v>2943</v>
      </c>
      <c r="C11772" s="4" t="str">
        <f>HYPERLINK("http://www.uniprot.org/uniprot/M5WGN1","M5WGN1")</f>
        <v>M5WGN1</v>
      </c>
      <c r="D11772" s="2" t="s">
        <v>9913</v>
      </c>
      <c r="E11772" s="3">
        <v>0</v>
      </c>
      <c r="F11772" s="2">
        <v>3609</v>
      </c>
      <c r="G11772" s="2">
        <v>98</v>
      </c>
      <c r="H11772" s="2">
        <v>723</v>
      </c>
      <c r="I11772" s="2">
        <v>283</v>
      </c>
      <c r="J11772" s="2">
        <v>2451</v>
      </c>
      <c r="K11772" s="2">
        <v>123</v>
      </c>
      <c r="L11772" s="2">
        <v>839</v>
      </c>
    </row>
    <row r="11773" spans="1:12" x14ac:dyDescent="0.25">
      <c r="A11773" s="4" t="str">
        <f>HYPERLINK("http://www.rosaceae.org/Prunus/Prunus_persica/p.persica_gdr_reftransV1_0020562","p.persica_gdr_reftransV1_0020562")</f>
        <v>p.persica_gdr_reftransV1_0020562</v>
      </c>
      <c r="B11773" s="2">
        <v>1634</v>
      </c>
      <c r="C11773" s="4" t="str">
        <f>HYPERLINK("http://www.uniprot.org/uniprot/M5WZ37","M5WZ37")</f>
        <v>M5WZ37</v>
      </c>
      <c r="D11773" s="2" t="s">
        <v>9914</v>
      </c>
      <c r="E11773" s="3">
        <v>0</v>
      </c>
      <c r="F11773" s="2">
        <v>1373</v>
      </c>
      <c r="G11773" s="2">
        <v>100</v>
      </c>
      <c r="H11773" s="2">
        <v>255</v>
      </c>
      <c r="I11773" s="2">
        <v>478</v>
      </c>
      <c r="J11773" s="2">
        <v>1242</v>
      </c>
      <c r="K11773" s="2">
        <v>1</v>
      </c>
      <c r="L11773" s="2">
        <v>255</v>
      </c>
    </row>
    <row r="11774" spans="1:12" x14ac:dyDescent="0.25">
      <c r="A11774" s="4" t="str">
        <f>HYPERLINK("http://www.rosaceae.org/Prunus/Prunus_persica/p.persica_gdr_reftransV1_0021612","p.persica_gdr_reftransV1_0021612")</f>
        <v>p.persica_gdr_reftransV1_0021612</v>
      </c>
      <c r="B11774" s="2">
        <v>1830</v>
      </c>
      <c r="C11774" s="4" t="str">
        <f>HYPERLINK("http://www.uniprot.org/uniprot/M5WHT3","M5WHT3")</f>
        <v>M5WHT3</v>
      </c>
      <c r="D11774" s="2" t="s">
        <v>9915</v>
      </c>
      <c r="E11774" s="3">
        <v>1.4299999999999999E-151</v>
      </c>
      <c r="F11774" s="2">
        <v>1161</v>
      </c>
      <c r="G11774" s="2">
        <v>100</v>
      </c>
      <c r="H11774" s="2">
        <v>323</v>
      </c>
      <c r="I11774" s="2">
        <v>217</v>
      </c>
      <c r="J11774" s="2">
        <v>1185</v>
      </c>
      <c r="K11774" s="2">
        <v>1</v>
      </c>
      <c r="L11774" s="2">
        <v>323</v>
      </c>
    </row>
    <row r="11775" spans="1:12" x14ac:dyDescent="0.25">
      <c r="A11775" s="4" t="str">
        <f>HYPERLINK("http://www.rosaceae.org/Prunus/Prunus_persica/p.persica_gdr_reftransV1_0023012","p.persica_gdr_reftransV1_0023012")</f>
        <v>p.persica_gdr_reftransV1_0023012</v>
      </c>
      <c r="B11775" s="2">
        <v>1599</v>
      </c>
      <c r="C11775" s="4" t="str">
        <f>HYPERLINK("http://www.uniprot.org/uniprot/M5VU77","M5VU77")</f>
        <v>M5VU77</v>
      </c>
      <c r="D11775" s="2" t="s">
        <v>9916</v>
      </c>
      <c r="E11775" s="3">
        <v>0</v>
      </c>
      <c r="F11775" s="2">
        <v>1902</v>
      </c>
      <c r="G11775" s="2">
        <v>100</v>
      </c>
      <c r="H11775" s="2">
        <v>378</v>
      </c>
      <c r="I11775" s="2">
        <v>203</v>
      </c>
      <c r="J11775" s="2">
        <v>1336</v>
      </c>
      <c r="K11775" s="2">
        <v>1</v>
      </c>
      <c r="L11775" s="2">
        <v>378</v>
      </c>
    </row>
    <row r="11776" spans="1:12" x14ac:dyDescent="0.25">
      <c r="A11776" s="4" t="str">
        <f>HYPERLINK("http://www.rosaceae.org/Prunus/Prunus_persica/p.persica_gdr_reftransV1_0023712","p.persica_gdr_reftransV1_0023712")</f>
        <v>p.persica_gdr_reftransV1_0023712</v>
      </c>
      <c r="B11776" s="2">
        <v>2681</v>
      </c>
      <c r="C11776" s="4" t="str">
        <f>HYPERLINK("http://www.uniprot.org/uniprot/M5X710","M5X710")</f>
        <v>M5X710</v>
      </c>
      <c r="D11776" s="2" t="s">
        <v>9917</v>
      </c>
      <c r="E11776" s="3">
        <v>0</v>
      </c>
      <c r="F11776" s="2">
        <v>3423</v>
      </c>
      <c r="G11776" s="2">
        <v>89</v>
      </c>
      <c r="H11776" s="2">
        <v>777</v>
      </c>
      <c r="I11776" s="2">
        <v>189</v>
      </c>
      <c r="J11776" s="2">
        <v>2510</v>
      </c>
      <c r="K11776" s="2">
        <v>1</v>
      </c>
      <c r="L11776" s="2">
        <v>699</v>
      </c>
    </row>
    <row r="11777" spans="1:12" x14ac:dyDescent="0.25">
      <c r="A11777" s="4" t="str">
        <f>HYPERLINK("http://www.rosaceae.org/Prunus/Prunus_persica/p.persica_gdr_reftransV1_0024062","p.persica_gdr_reftransV1_0024062")</f>
        <v>p.persica_gdr_reftransV1_0024062</v>
      </c>
      <c r="B11777" s="2">
        <v>1245</v>
      </c>
      <c r="C11777" s="4" t="str">
        <f>HYPERLINK("http://www.uniprot.org/uniprot/M5X2Z6","M5X2Z6")</f>
        <v>M5X2Z6</v>
      </c>
      <c r="D11777" s="2" t="s">
        <v>9918</v>
      </c>
      <c r="E11777" s="3">
        <v>2.5099999999999998E-153</v>
      </c>
      <c r="F11777" s="2">
        <v>1148</v>
      </c>
      <c r="G11777" s="2">
        <v>100</v>
      </c>
      <c r="H11777" s="2">
        <v>256</v>
      </c>
      <c r="I11777" s="2">
        <v>325</v>
      </c>
      <c r="J11777" s="2">
        <v>1092</v>
      </c>
      <c r="K11777" s="2">
        <v>12</v>
      </c>
      <c r="L11777" s="2">
        <v>267</v>
      </c>
    </row>
    <row r="11778" spans="1:12" x14ac:dyDescent="0.25">
      <c r="A11778" s="4" t="str">
        <f>HYPERLINK("http://www.rosaceae.org/Prunus/Prunus_persica/p.persica_gdr_reftransV1_0024762","p.persica_gdr_reftransV1_0024762")</f>
        <v>p.persica_gdr_reftransV1_0024762</v>
      </c>
      <c r="B11778" s="2">
        <v>2916</v>
      </c>
      <c r="C11778" s="4" t="str">
        <f>HYPERLINK("http://www.uniprot.org/uniprot/M5X9L8","M5X9L8")</f>
        <v>M5X9L8</v>
      </c>
      <c r="D11778" s="2" t="s">
        <v>9919</v>
      </c>
      <c r="E11778" s="3">
        <v>0</v>
      </c>
      <c r="F11778" s="2">
        <v>3672</v>
      </c>
      <c r="G11778" s="2">
        <v>100</v>
      </c>
      <c r="H11778" s="2">
        <v>706</v>
      </c>
      <c r="I11778" s="2">
        <v>279</v>
      </c>
      <c r="J11778" s="2">
        <v>2396</v>
      </c>
      <c r="K11778" s="2">
        <v>1</v>
      </c>
      <c r="L11778" s="2">
        <v>706</v>
      </c>
    </row>
    <row r="11779" spans="1:12" x14ac:dyDescent="0.25">
      <c r="A11779" s="4" t="str">
        <f>HYPERLINK("http://www.rosaceae.org/Prunus/Prunus_persica/p.persica_gdr_reftransV1_0025112","p.persica_gdr_reftransV1_0025112")</f>
        <v>p.persica_gdr_reftransV1_0025112</v>
      </c>
      <c r="B11779" s="2">
        <v>1403</v>
      </c>
      <c r="C11779" s="4" t="str">
        <f>HYPERLINK("http://www.uniprot.org/uniprot/M5XKU5","M5XKU5")</f>
        <v>M5XKU5</v>
      </c>
      <c r="D11779" s="2" t="s">
        <v>9920</v>
      </c>
      <c r="E11779" s="3">
        <v>9.1899999999999996E-120</v>
      </c>
      <c r="F11779" s="2">
        <v>924</v>
      </c>
      <c r="G11779" s="2">
        <v>100</v>
      </c>
      <c r="H11779" s="2">
        <v>192</v>
      </c>
      <c r="I11779" s="2">
        <v>440</v>
      </c>
      <c r="J11779" s="2">
        <v>1015</v>
      </c>
      <c r="K11779" s="2">
        <v>1</v>
      </c>
      <c r="L11779" s="2">
        <v>192</v>
      </c>
    </row>
    <row r="11780" spans="1:12" x14ac:dyDescent="0.25">
      <c r="A11780" s="4" t="str">
        <f>HYPERLINK("http://www.rosaceae.org/Prunus/Prunus_persica/p.persica_gdr_reftransV1_0025812","p.persica_gdr_reftransV1_0025812")</f>
        <v>p.persica_gdr_reftransV1_0025812</v>
      </c>
      <c r="B11780" s="2">
        <v>1591</v>
      </c>
      <c r="C11780" s="4" t="str">
        <f>HYPERLINK("http://www.uniprot.org/uniprot/M5W041","M5W041")</f>
        <v>M5W041</v>
      </c>
      <c r="D11780" s="2" t="s">
        <v>9921</v>
      </c>
      <c r="E11780" s="3">
        <v>0</v>
      </c>
      <c r="F11780" s="2">
        <v>1585</v>
      </c>
      <c r="G11780" s="2">
        <v>100</v>
      </c>
      <c r="H11780" s="2">
        <v>297</v>
      </c>
      <c r="I11780" s="2">
        <v>347</v>
      </c>
      <c r="J11780" s="2">
        <v>1237</v>
      </c>
      <c r="K11780" s="2">
        <v>1</v>
      </c>
      <c r="L11780" s="2">
        <v>297</v>
      </c>
    </row>
    <row r="11781" spans="1:12" x14ac:dyDescent="0.25">
      <c r="A11781" s="4" t="str">
        <f>HYPERLINK("http://www.rosaceae.org/Prunus/Prunus_persica/p.persica_gdr_reftransV1_0026162","p.persica_gdr_reftransV1_0026162")</f>
        <v>p.persica_gdr_reftransV1_0026162</v>
      </c>
      <c r="B11781" s="2">
        <v>1081</v>
      </c>
      <c r="C11781" s="4" t="str">
        <f>HYPERLINK("http://www.uniprot.org/uniprot/M5XGR6","M5XGR6")</f>
        <v>M5XGR6</v>
      </c>
      <c r="D11781" s="2" t="s">
        <v>9922</v>
      </c>
      <c r="E11781" s="3">
        <v>6.5399999999999995E-141</v>
      </c>
      <c r="F11781" s="2">
        <v>1054</v>
      </c>
      <c r="G11781" s="2">
        <v>100</v>
      </c>
      <c r="H11781" s="2">
        <v>201</v>
      </c>
      <c r="I11781" s="2">
        <v>370</v>
      </c>
      <c r="J11781" s="2">
        <v>972</v>
      </c>
      <c r="K11781" s="2">
        <v>1</v>
      </c>
      <c r="L11781" s="2">
        <v>201</v>
      </c>
    </row>
    <row r="11782" spans="1:12" x14ac:dyDescent="0.25">
      <c r="A11782" s="4" t="str">
        <f>HYPERLINK("http://www.rosaceae.org/Prunus/Prunus_persica/p.persica_gdr_reftransV1_0027212","p.persica_gdr_reftransV1_0027212")</f>
        <v>p.persica_gdr_reftransV1_0027212</v>
      </c>
      <c r="B11782" s="2">
        <v>3678</v>
      </c>
      <c r="C11782" s="4" t="str">
        <f>HYPERLINK("http://www.uniprot.org/uniprot/M5XKF3","M5XKF3")</f>
        <v>M5XKF3</v>
      </c>
      <c r="D11782" s="2" t="s">
        <v>9923</v>
      </c>
      <c r="E11782" s="3">
        <v>0</v>
      </c>
      <c r="F11782" s="2">
        <v>4285</v>
      </c>
      <c r="G11782" s="2">
        <v>97</v>
      </c>
      <c r="H11782" s="2">
        <v>845</v>
      </c>
      <c r="I11782" s="2">
        <v>161</v>
      </c>
      <c r="J11782" s="2">
        <v>2695</v>
      </c>
      <c r="K11782" s="2">
        <v>1</v>
      </c>
      <c r="L11782" s="2">
        <v>827</v>
      </c>
    </row>
    <row r="11783" spans="1:12" x14ac:dyDescent="0.25">
      <c r="A11783" s="4" t="str">
        <f>HYPERLINK("http://www.rosaceae.org/Prunus/Prunus_persica/p.persica_gdr_reftransV1_0028962","p.persica_gdr_reftransV1_0028962")</f>
        <v>p.persica_gdr_reftransV1_0028962</v>
      </c>
      <c r="B11783" s="2">
        <v>3364</v>
      </c>
      <c r="C11783" s="4" t="str">
        <f>HYPERLINK("http://www.uniprot.org/uniprot/M5XD10","M5XD10")</f>
        <v>M5XD10</v>
      </c>
      <c r="D11783" s="2" t="s">
        <v>9924</v>
      </c>
      <c r="E11783" s="3">
        <v>0</v>
      </c>
      <c r="F11783" s="2">
        <v>1678</v>
      </c>
      <c r="G11783" s="2">
        <v>99</v>
      </c>
      <c r="H11783" s="2">
        <v>322</v>
      </c>
      <c r="I11783" s="2">
        <v>1032</v>
      </c>
      <c r="J11783" s="2">
        <v>1997</v>
      </c>
      <c r="K11783" s="2">
        <v>1</v>
      </c>
      <c r="L11783" s="2">
        <v>322</v>
      </c>
    </row>
    <row r="11784" spans="1:12" x14ac:dyDescent="0.25">
      <c r="A11784" s="4" t="str">
        <f>HYPERLINK("http://www.rosaceae.org/Prunus/Prunus_persica/p.persica_gdr_reftransV1_0030012","p.persica_gdr_reftransV1_0030012")</f>
        <v>p.persica_gdr_reftransV1_0030012</v>
      </c>
      <c r="B11784" s="2">
        <v>1157</v>
      </c>
      <c r="C11784" s="4" t="str">
        <f>HYPERLINK("http://www.uniprot.org/uniprot/M5XB19","M5XB19")</f>
        <v>M5XB19</v>
      </c>
      <c r="D11784" s="2" t="s">
        <v>9925</v>
      </c>
      <c r="E11784" s="3">
        <v>2.4800000000000001E-64</v>
      </c>
      <c r="F11784" s="2">
        <v>546</v>
      </c>
      <c r="G11784" s="2">
        <v>95</v>
      </c>
      <c r="H11784" s="2">
        <v>109</v>
      </c>
      <c r="I11784" s="2">
        <v>521</v>
      </c>
      <c r="J11784" s="2">
        <v>847</v>
      </c>
      <c r="K11784" s="2">
        <v>71</v>
      </c>
      <c r="L11784" s="2">
        <v>179</v>
      </c>
    </row>
    <row r="11785" spans="1:12" x14ac:dyDescent="0.25">
      <c r="A11785" s="4" t="str">
        <f>HYPERLINK("http://www.rosaceae.org/Prunus/Prunus_persica/p.persica_gdr_reftransV1_0032112","p.persica_gdr_reftransV1_0032112")</f>
        <v>p.persica_gdr_reftransV1_0032112</v>
      </c>
      <c r="B11785" s="2">
        <v>2492</v>
      </c>
      <c r="C11785" s="4" t="str">
        <f>HYPERLINK("http://www.uniprot.org/uniprot/A0A061F8R7","A0A061F8R7")</f>
        <v>A0A061F8R7</v>
      </c>
      <c r="D11785" s="2" t="s">
        <v>9926</v>
      </c>
      <c r="E11785" s="3">
        <v>0</v>
      </c>
      <c r="F11785" s="2">
        <v>1320</v>
      </c>
      <c r="G11785" s="2">
        <v>71</v>
      </c>
      <c r="H11785" s="2">
        <v>346</v>
      </c>
      <c r="I11785" s="2">
        <v>158</v>
      </c>
      <c r="J11785" s="2">
        <v>1189</v>
      </c>
      <c r="K11785" s="2">
        <v>1</v>
      </c>
      <c r="L11785" s="2">
        <v>345</v>
      </c>
    </row>
    <row r="11786" spans="1:12" x14ac:dyDescent="0.25">
      <c r="A11786" s="4" t="str">
        <f>HYPERLINK("http://www.rosaceae.org/Prunus/Prunus_persica/p.persica_gdr_reftransV1_0034562","p.persica_gdr_reftransV1_0034562")</f>
        <v>p.persica_gdr_reftransV1_0034562</v>
      </c>
      <c r="B11786" s="2">
        <v>2110</v>
      </c>
      <c r="C11786" s="4" t="str">
        <f>HYPERLINK("http://www.uniprot.org/uniprot/M5Y1Y3","M5Y1Y3")</f>
        <v>M5Y1Y3</v>
      </c>
      <c r="D11786" s="2" t="s">
        <v>7993</v>
      </c>
      <c r="E11786" s="3">
        <v>0</v>
      </c>
      <c r="F11786" s="2">
        <v>2667</v>
      </c>
      <c r="G11786" s="2">
        <v>100</v>
      </c>
      <c r="H11786" s="2">
        <v>520</v>
      </c>
      <c r="I11786" s="2">
        <v>468</v>
      </c>
      <c r="J11786" s="2">
        <v>2027</v>
      </c>
      <c r="K11786" s="2">
        <v>11</v>
      </c>
      <c r="L11786" s="2">
        <v>530</v>
      </c>
    </row>
    <row r="11787" spans="1:12" x14ac:dyDescent="0.25">
      <c r="A11787" s="4" t="str">
        <f>HYPERLINK("http://www.rosaceae.org/Prunus/Prunus_persica/p.persica_gdr_reftransV1_0034912","p.persica_gdr_reftransV1_0034912")</f>
        <v>p.persica_gdr_reftransV1_0034912</v>
      </c>
      <c r="B11787" s="2">
        <v>1707</v>
      </c>
      <c r="C11787" s="4" t="str">
        <f>HYPERLINK("http://www.uniprot.org/uniprot/M5WF30","M5WF30")</f>
        <v>M5WF30</v>
      </c>
      <c r="D11787" s="2" t="s">
        <v>9927</v>
      </c>
      <c r="E11787" s="3">
        <v>0</v>
      </c>
      <c r="F11787" s="2">
        <v>1435</v>
      </c>
      <c r="G11787" s="2">
        <v>100</v>
      </c>
      <c r="H11787" s="2">
        <v>322</v>
      </c>
      <c r="I11787" s="2">
        <v>2</v>
      </c>
      <c r="J11787" s="2">
        <v>967</v>
      </c>
      <c r="K11787" s="2">
        <v>2</v>
      </c>
      <c r="L11787" s="2">
        <v>323</v>
      </c>
    </row>
    <row r="11788" spans="1:12" x14ac:dyDescent="0.25">
      <c r="A11788" s="4" t="str">
        <f>HYPERLINK("http://www.rosaceae.org/Prunus/Prunus_persica/p.persica_gdr_reftransV1_0036312","p.persica_gdr_reftransV1_0036312")</f>
        <v>p.persica_gdr_reftransV1_0036312</v>
      </c>
      <c r="B11788" s="2">
        <v>3821</v>
      </c>
      <c r="C11788" s="4" t="str">
        <f>HYPERLINK("http://www.uniprot.org/uniprot/M5VMI7","M5VMI7")</f>
        <v>M5VMI7</v>
      </c>
      <c r="D11788" s="2" t="s">
        <v>9928</v>
      </c>
      <c r="E11788" s="3">
        <v>0</v>
      </c>
      <c r="F11788" s="2">
        <v>5316</v>
      </c>
      <c r="G11788" s="2">
        <v>100</v>
      </c>
      <c r="H11788" s="2">
        <v>1023</v>
      </c>
      <c r="I11788" s="2">
        <v>254</v>
      </c>
      <c r="J11788" s="2">
        <v>3322</v>
      </c>
      <c r="K11788" s="2">
        <v>1</v>
      </c>
      <c r="L11788" s="2">
        <v>1023</v>
      </c>
    </row>
    <row r="11789" spans="1:12" x14ac:dyDescent="0.25">
      <c r="A11789" s="4" t="str">
        <f>HYPERLINK("http://www.rosaceae.org/Prunus/Prunus_persica/p.persica_gdr_reftransV1_0037362","p.persica_gdr_reftransV1_0037362")</f>
        <v>p.persica_gdr_reftransV1_0037362</v>
      </c>
      <c r="B11789" s="2">
        <v>2303</v>
      </c>
      <c r="C11789" s="4" t="str">
        <f>HYPERLINK("http://www.uniprot.org/uniprot/M5WWJ5","M5WWJ5")</f>
        <v>M5WWJ5</v>
      </c>
      <c r="D11789" s="2" t="s">
        <v>9929</v>
      </c>
      <c r="E11789" s="3">
        <v>3.2399999999999999E-155</v>
      </c>
      <c r="F11789" s="2">
        <v>1216</v>
      </c>
      <c r="G11789" s="2">
        <v>100</v>
      </c>
      <c r="H11789" s="2">
        <v>222</v>
      </c>
      <c r="I11789" s="2">
        <v>32</v>
      </c>
      <c r="J11789" s="2">
        <v>697</v>
      </c>
      <c r="K11789" s="2">
        <v>1</v>
      </c>
      <c r="L11789" s="2">
        <v>222</v>
      </c>
    </row>
    <row r="11790" spans="1:12" x14ac:dyDescent="0.25">
      <c r="A11790" s="4" t="str">
        <f>HYPERLINK("http://www.rosaceae.org/Prunus/Prunus_persica/p.persica_gdr_reftransV1_0037712","p.persica_gdr_reftransV1_0037712")</f>
        <v>p.persica_gdr_reftransV1_0037712</v>
      </c>
      <c r="B11790" s="2">
        <v>4044</v>
      </c>
      <c r="C11790" s="4" t="str">
        <f>HYPERLINK("http://www.uniprot.org/uniprot/M5VLX0","M5VLX0")</f>
        <v>M5VLX0</v>
      </c>
      <c r="D11790" s="2" t="s">
        <v>9930</v>
      </c>
      <c r="E11790" s="3">
        <v>0</v>
      </c>
      <c r="F11790" s="2">
        <v>3732</v>
      </c>
      <c r="G11790" s="2">
        <v>100</v>
      </c>
      <c r="H11790" s="2">
        <v>738</v>
      </c>
      <c r="I11790" s="2">
        <v>425</v>
      </c>
      <c r="J11790" s="2">
        <v>2638</v>
      </c>
      <c r="K11790" s="2">
        <v>1</v>
      </c>
      <c r="L11790" s="2">
        <v>738</v>
      </c>
    </row>
    <row r="11791" spans="1:12" x14ac:dyDescent="0.25">
      <c r="A11791" s="4" t="str">
        <f>HYPERLINK("http://www.rosaceae.org/Prunus/Prunus_persica/p.persica_gdr_reftransV1_0039812","p.persica_gdr_reftransV1_0039812")</f>
        <v>p.persica_gdr_reftransV1_0039812</v>
      </c>
      <c r="B11791" s="2">
        <v>2541</v>
      </c>
      <c r="C11791" s="4" t="str">
        <f>HYPERLINK("http://www.uniprot.org/uniprot/M5WMW8","M5WMW8")</f>
        <v>M5WMW8</v>
      </c>
      <c r="D11791" s="2" t="s">
        <v>9931</v>
      </c>
      <c r="E11791" s="3">
        <v>8.5099999999999995E-123</v>
      </c>
      <c r="F11791" s="2">
        <v>985</v>
      </c>
      <c r="G11791" s="2">
        <v>100</v>
      </c>
      <c r="H11791" s="2">
        <v>189</v>
      </c>
      <c r="I11791" s="2">
        <v>1803</v>
      </c>
      <c r="J11791" s="2">
        <v>2369</v>
      </c>
      <c r="K11791" s="2">
        <v>1</v>
      </c>
      <c r="L11791" s="2">
        <v>189</v>
      </c>
    </row>
    <row r="11792" spans="1:12" x14ac:dyDescent="0.25">
      <c r="A11792" s="4" t="str">
        <f>HYPERLINK("http://www.rosaceae.org/Prunus/Prunus_persica/p.persica_gdr_reftransV1_0040512","p.persica_gdr_reftransV1_0040512")</f>
        <v>p.persica_gdr_reftransV1_0040512</v>
      </c>
      <c r="B11792" s="2">
        <v>1579</v>
      </c>
      <c r="C11792" s="4" t="str">
        <f>HYPERLINK("http://www.uniprot.org/uniprot/M5XS22","M5XS22")</f>
        <v>M5XS22</v>
      </c>
      <c r="D11792" s="2" t="s">
        <v>3002</v>
      </c>
      <c r="E11792" s="3">
        <v>0</v>
      </c>
      <c r="F11792" s="2">
        <v>1087</v>
      </c>
      <c r="G11792" s="2">
        <v>100</v>
      </c>
      <c r="H11792" s="2">
        <v>295</v>
      </c>
      <c r="I11792" s="2">
        <v>494</v>
      </c>
      <c r="J11792" s="2">
        <v>1378</v>
      </c>
      <c r="K11792" s="2">
        <v>1</v>
      </c>
      <c r="L11792" s="2">
        <v>295</v>
      </c>
    </row>
    <row r="11793" spans="1:12" x14ac:dyDescent="0.25">
      <c r="A11793" s="4" t="str">
        <f>HYPERLINK("http://www.rosaceae.org/Prunus/Prunus_persica/p.persica_gdr_reftransV1_0041562","p.persica_gdr_reftransV1_0041562")</f>
        <v>p.persica_gdr_reftransV1_0041562</v>
      </c>
      <c r="B11793" s="2">
        <v>2182</v>
      </c>
      <c r="C11793" s="4" t="str">
        <f>HYPERLINK("http://www.uniprot.org/uniprot/M5W243","M5W243")</f>
        <v>M5W243</v>
      </c>
      <c r="D11793" s="2" t="s">
        <v>9932</v>
      </c>
      <c r="E11793" s="3">
        <v>0</v>
      </c>
      <c r="F11793" s="2">
        <v>2040</v>
      </c>
      <c r="G11793" s="2">
        <v>100</v>
      </c>
      <c r="H11793" s="2">
        <v>433</v>
      </c>
      <c r="I11793" s="2">
        <v>802</v>
      </c>
      <c r="J11793" s="2">
        <v>2100</v>
      </c>
      <c r="K11793" s="2">
        <v>1</v>
      </c>
      <c r="L11793" s="2">
        <v>433</v>
      </c>
    </row>
    <row r="11794" spans="1:12" x14ac:dyDescent="0.25">
      <c r="A11794" s="4" t="str">
        <f>HYPERLINK("http://www.rosaceae.org/Prunus/Prunus_persica/p.persica_gdr_reftransV1_0043312","p.persica_gdr_reftransV1_0043312")</f>
        <v>p.persica_gdr_reftransV1_0043312</v>
      </c>
      <c r="B11794" s="2">
        <v>1613</v>
      </c>
      <c r="C11794" s="4" t="str">
        <f>HYPERLINK("http://www.uniprot.org/uniprot/A0A061FCJ6","A0A061FCJ6")</f>
        <v>A0A061FCJ6</v>
      </c>
      <c r="D11794" s="2" t="s">
        <v>9933</v>
      </c>
      <c r="E11794" s="3">
        <v>7.2400000000000001E-24</v>
      </c>
      <c r="F11794" s="2">
        <v>289</v>
      </c>
      <c r="G11794" s="2">
        <v>30</v>
      </c>
      <c r="H11794" s="2">
        <v>336</v>
      </c>
      <c r="I11794" s="2">
        <v>811</v>
      </c>
      <c r="J11794" s="2">
        <v>1605</v>
      </c>
      <c r="K11794" s="2">
        <v>515</v>
      </c>
      <c r="L11794" s="2">
        <v>835</v>
      </c>
    </row>
    <row r="11795" spans="1:12" x14ac:dyDescent="0.25">
      <c r="A11795" s="4" t="str">
        <f>HYPERLINK("http://www.rosaceae.org/Prunus/Prunus_persica/p.persica_gdr_reftransV1_0043662","p.persica_gdr_reftransV1_0043662")</f>
        <v>p.persica_gdr_reftransV1_0043662</v>
      </c>
      <c r="B11795" s="2">
        <v>501</v>
      </c>
      <c r="C11795" s="4" t="str">
        <f>HYPERLINK("http://www.uniprot.org/uniprot/M5Y2S9","M5Y2S9")</f>
        <v>M5Y2S9</v>
      </c>
      <c r="D11795" s="2" t="s">
        <v>1282</v>
      </c>
      <c r="E11795" s="3">
        <v>9.6999999999999996E-116</v>
      </c>
      <c r="F11795" s="2">
        <v>905</v>
      </c>
      <c r="G11795" s="2">
        <v>100</v>
      </c>
      <c r="H11795" s="2">
        <v>167</v>
      </c>
      <c r="I11795" s="2">
        <v>1</v>
      </c>
      <c r="J11795" s="2">
        <v>501</v>
      </c>
      <c r="K11795" s="2">
        <v>26</v>
      </c>
      <c r="L11795" s="2">
        <v>192</v>
      </c>
    </row>
    <row r="11796" spans="1:12" x14ac:dyDescent="0.25">
      <c r="A11796" s="4" t="str">
        <f>HYPERLINK("http://www.rosaceae.org/Prunus/Prunus_persica/p.persica_gdr_reftransV1_0044012","p.persica_gdr_reftransV1_0044012")</f>
        <v>p.persica_gdr_reftransV1_0044012</v>
      </c>
      <c r="B11796" s="2">
        <v>1315</v>
      </c>
      <c r="C11796" s="4" t="str">
        <f>HYPERLINK("http://www.uniprot.org/uniprot/M5XB41","M5XB41")</f>
        <v>M5XB41</v>
      </c>
      <c r="D11796" s="2" t="s">
        <v>9881</v>
      </c>
      <c r="E11796" s="3">
        <v>0</v>
      </c>
      <c r="F11796" s="2">
        <v>1683</v>
      </c>
      <c r="G11796" s="2">
        <v>100</v>
      </c>
      <c r="H11796" s="2">
        <v>322</v>
      </c>
      <c r="I11796" s="2">
        <v>349</v>
      </c>
      <c r="J11796" s="2">
        <v>1314</v>
      </c>
      <c r="K11796" s="2">
        <v>177</v>
      </c>
      <c r="L11796" s="2">
        <v>498</v>
      </c>
    </row>
    <row r="11797" spans="1:12" x14ac:dyDescent="0.25">
      <c r="A11797" s="4" t="str">
        <f>HYPERLINK("http://www.rosaceae.org/Prunus/Prunus_persica/p.persica_gdr_reftransV1_0044362","p.persica_gdr_reftransV1_0044362")</f>
        <v>p.persica_gdr_reftransV1_0044362</v>
      </c>
      <c r="B11797" s="2">
        <v>1994</v>
      </c>
      <c r="C11797" s="4" t="str">
        <f>HYPERLINK("http://www.uniprot.org/uniprot/M5XSC2","M5XSC2")</f>
        <v>M5XSC2</v>
      </c>
      <c r="D11797" s="2" t="s">
        <v>9934</v>
      </c>
      <c r="E11797" s="3">
        <v>0</v>
      </c>
      <c r="F11797" s="2">
        <v>2103</v>
      </c>
      <c r="G11797" s="2">
        <v>86</v>
      </c>
      <c r="H11797" s="2">
        <v>443</v>
      </c>
      <c r="I11797" s="2">
        <v>329</v>
      </c>
      <c r="J11797" s="2">
        <v>1657</v>
      </c>
      <c r="K11797" s="2">
        <v>19</v>
      </c>
      <c r="L11797" s="2">
        <v>461</v>
      </c>
    </row>
    <row r="11798" spans="1:12" x14ac:dyDescent="0.25">
      <c r="A11798" s="4" t="str">
        <f>HYPERLINK("http://www.rosaceae.org/Prunus/Prunus_persica/p.persica_gdr_reftransV1_0044712","p.persica_gdr_reftransV1_0044712")</f>
        <v>p.persica_gdr_reftransV1_0044712</v>
      </c>
      <c r="B11798" s="2">
        <v>331</v>
      </c>
      <c r="C11798" s="4" t="str">
        <f>HYPERLINK("http://www.uniprot.org/uniprot/M5WH44","M5WH44")</f>
        <v>M5WH44</v>
      </c>
      <c r="D11798" s="2" t="s">
        <v>9935</v>
      </c>
      <c r="E11798" s="3">
        <v>3.1899999999999998E-61</v>
      </c>
      <c r="F11798" s="2">
        <v>502</v>
      </c>
      <c r="G11798" s="2">
        <v>88</v>
      </c>
      <c r="H11798" s="2">
        <v>109</v>
      </c>
      <c r="I11798" s="2">
        <v>3</v>
      </c>
      <c r="J11798" s="2">
        <v>329</v>
      </c>
      <c r="K11798" s="2">
        <v>81</v>
      </c>
      <c r="L11798" s="2">
        <v>189</v>
      </c>
    </row>
    <row r="11799" spans="1:12" x14ac:dyDescent="0.25">
      <c r="A11799" s="4" t="str">
        <f>HYPERLINK("http://www.rosaceae.org/Prunus/Prunus_persica/p.persica_gdr_reftransV1_0045062","p.persica_gdr_reftransV1_0045062")</f>
        <v>p.persica_gdr_reftransV1_0045062</v>
      </c>
      <c r="B11799" s="2">
        <v>1668</v>
      </c>
      <c r="C11799" s="4" t="str">
        <f>HYPERLINK("http://www.uniprot.org/uniprot/M5WRY5","M5WRY5")</f>
        <v>M5WRY5</v>
      </c>
      <c r="D11799" s="2" t="s">
        <v>9079</v>
      </c>
      <c r="E11799" s="3">
        <v>0</v>
      </c>
      <c r="F11799" s="2">
        <v>1931</v>
      </c>
      <c r="G11799" s="2">
        <v>89</v>
      </c>
      <c r="H11799" s="2">
        <v>452</v>
      </c>
      <c r="I11799" s="2">
        <v>112</v>
      </c>
      <c r="J11799" s="2">
        <v>1314</v>
      </c>
      <c r="K11799" s="2">
        <v>1</v>
      </c>
      <c r="L11799" s="2">
        <v>452</v>
      </c>
    </row>
    <row r="11800" spans="1:12" x14ac:dyDescent="0.25">
      <c r="A11800" s="4" t="str">
        <f>HYPERLINK("http://www.rosaceae.org/Prunus/Prunus_persica/p.persica_gdr_reftransV1_0045412","p.persica_gdr_reftransV1_0045412")</f>
        <v>p.persica_gdr_reftransV1_0045412</v>
      </c>
      <c r="B11800" s="2">
        <v>435</v>
      </c>
      <c r="C11800" s="4" t="str">
        <f>HYPERLINK("http://www.uniprot.org/uniprot/M5X8T4","M5X8T4")</f>
        <v>M5X8T4</v>
      </c>
      <c r="D11800" s="2" t="s">
        <v>3773</v>
      </c>
      <c r="E11800" s="3">
        <v>4.3700000000000003E-93</v>
      </c>
      <c r="F11800" s="2">
        <v>758</v>
      </c>
      <c r="G11800" s="2">
        <v>100</v>
      </c>
      <c r="H11800" s="2">
        <v>145</v>
      </c>
      <c r="I11800" s="2">
        <v>1</v>
      </c>
      <c r="J11800" s="2">
        <v>435</v>
      </c>
      <c r="K11800" s="2">
        <v>120</v>
      </c>
      <c r="L11800" s="2">
        <v>264</v>
      </c>
    </row>
    <row r="11801" spans="1:12" x14ac:dyDescent="0.25">
      <c r="A11801" s="4" t="str">
        <f>HYPERLINK("http://www.rosaceae.org/Prunus/Prunus_persica/p.persica_gdr_reftransV1_0046462","p.persica_gdr_reftransV1_0046462")</f>
        <v>p.persica_gdr_reftransV1_0046462</v>
      </c>
      <c r="B11801" s="2">
        <v>532</v>
      </c>
      <c r="C11801" s="4" t="str">
        <f>HYPERLINK("http://www.uniprot.org/uniprot/M5WRV8","M5WRV8")</f>
        <v>M5WRV8</v>
      </c>
      <c r="D11801" s="2" t="s">
        <v>7435</v>
      </c>
      <c r="E11801" s="3">
        <v>4.3799999999999998E-102</v>
      </c>
      <c r="F11801" s="2">
        <v>799</v>
      </c>
      <c r="G11801" s="2">
        <v>100</v>
      </c>
      <c r="H11801" s="2">
        <v>152</v>
      </c>
      <c r="I11801" s="2">
        <v>1</v>
      </c>
      <c r="J11801" s="2">
        <v>456</v>
      </c>
      <c r="K11801" s="2">
        <v>279</v>
      </c>
      <c r="L11801" s="2">
        <v>430</v>
      </c>
    </row>
    <row r="11802" spans="1:12" x14ac:dyDescent="0.25">
      <c r="A11802" s="4" t="str">
        <f>HYPERLINK("http://www.rosaceae.org/Prunus/Prunus_persica/p.persica_gdr_reftransV1_0046812","p.persica_gdr_reftransV1_0046812")</f>
        <v>p.persica_gdr_reftransV1_0046812</v>
      </c>
      <c r="B11802" s="2">
        <v>2086</v>
      </c>
      <c r="C11802" s="4" t="str">
        <f>HYPERLINK("http://www.uniprot.org/uniprot/M5WJH0","M5WJH0")</f>
        <v>M5WJH0</v>
      </c>
      <c r="D11802" s="2" t="s">
        <v>9936</v>
      </c>
      <c r="E11802" s="3">
        <v>0</v>
      </c>
      <c r="F11802" s="2">
        <v>1685</v>
      </c>
      <c r="G11802" s="2">
        <v>99</v>
      </c>
      <c r="H11802" s="2">
        <v>421</v>
      </c>
      <c r="I11802" s="2">
        <v>572</v>
      </c>
      <c r="J11802" s="2">
        <v>1834</v>
      </c>
      <c r="K11802" s="2">
        <v>416</v>
      </c>
      <c r="L11802" s="2">
        <v>836</v>
      </c>
    </row>
    <row r="11803" spans="1:12" x14ac:dyDescent="0.25">
      <c r="A11803" s="4" t="str">
        <f>HYPERLINK("http://www.rosaceae.org/Prunus/Prunus_persica/p.persica_gdr_reftransV1_0047512","p.persica_gdr_reftransV1_0047512")</f>
        <v>p.persica_gdr_reftransV1_0047512</v>
      </c>
      <c r="B11803" s="2">
        <v>1356</v>
      </c>
      <c r="C11803" s="4" t="str">
        <f>HYPERLINK("http://www.uniprot.org/uniprot/M5XRY9","M5XRY9")</f>
        <v>M5XRY9</v>
      </c>
      <c r="D11803" s="2" t="s">
        <v>9937</v>
      </c>
      <c r="E11803" s="3">
        <v>0</v>
      </c>
      <c r="F11803" s="2">
        <v>1786</v>
      </c>
      <c r="G11803" s="2">
        <v>97</v>
      </c>
      <c r="H11803" s="2">
        <v>338</v>
      </c>
      <c r="I11803" s="2">
        <v>2</v>
      </c>
      <c r="J11803" s="2">
        <v>1015</v>
      </c>
      <c r="K11803" s="2">
        <v>1</v>
      </c>
      <c r="L11803" s="2">
        <v>338</v>
      </c>
    </row>
    <row r="11804" spans="1:12" x14ac:dyDescent="0.25">
      <c r="A11804" s="4" t="str">
        <f>HYPERLINK("http://www.rosaceae.org/Prunus/Prunus_persica/p.persica_gdr_reftransV1_0047862","p.persica_gdr_reftransV1_0047862")</f>
        <v>p.persica_gdr_reftransV1_0047862</v>
      </c>
      <c r="B11804" s="2">
        <v>519</v>
      </c>
      <c r="C11804" s="4" t="str">
        <f>HYPERLINK("http://www.uniprot.org/uniprot/M5WUU7","M5WUU7")</f>
        <v>M5WUU7</v>
      </c>
      <c r="D11804" s="2" t="s">
        <v>9938</v>
      </c>
      <c r="E11804" s="3">
        <v>3.2400000000000002E-112</v>
      </c>
      <c r="F11804" s="2">
        <v>856</v>
      </c>
      <c r="G11804" s="2">
        <v>100</v>
      </c>
      <c r="H11804" s="2">
        <v>158</v>
      </c>
      <c r="I11804" s="2">
        <v>1</v>
      </c>
      <c r="J11804" s="2">
        <v>474</v>
      </c>
      <c r="K11804" s="2">
        <v>127</v>
      </c>
      <c r="L11804" s="2">
        <v>284</v>
      </c>
    </row>
    <row r="11805" spans="1:12" x14ac:dyDescent="0.25">
      <c r="A11805" s="4" t="str">
        <f>HYPERLINK("http://www.rosaceae.org/Prunus/Prunus_persica/p.persica_gdr_reftransV1_0048912","p.persica_gdr_reftransV1_0048912")</f>
        <v>p.persica_gdr_reftransV1_0048912</v>
      </c>
      <c r="B11805" s="2">
        <v>1254</v>
      </c>
      <c r="C11805" s="4" t="str">
        <f>HYPERLINK("http://www.uniprot.org/uniprot/W9QJP7","W9QJP7")</f>
        <v>W9QJP7</v>
      </c>
      <c r="D11805" s="2" t="s">
        <v>8806</v>
      </c>
      <c r="E11805" s="3">
        <v>5.7699999999999995E-128</v>
      </c>
      <c r="F11805" s="2">
        <v>976</v>
      </c>
      <c r="G11805" s="2">
        <v>84</v>
      </c>
      <c r="H11805" s="2">
        <v>216</v>
      </c>
      <c r="I11805" s="2">
        <v>311</v>
      </c>
      <c r="J11805" s="2">
        <v>952</v>
      </c>
      <c r="K11805" s="2">
        <v>1</v>
      </c>
      <c r="L11805" s="2">
        <v>216</v>
      </c>
    </row>
    <row r="11806" spans="1:12" x14ac:dyDescent="0.25">
      <c r="A11806" s="4" t="str">
        <f>HYPERLINK("http://www.rosaceae.org/Prunus/Prunus_persica/p.persica_gdr_reftransV1_0000263","p.persica_gdr_reftransV1_0000263")</f>
        <v>p.persica_gdr_reftransV1_0000263</v>
      </c>
      <c r="B11806" s="2">
        <v>1920</v>
      </c>
      <c r="C11806" s="4" t="str">
        <f>HYPERLINK("http://www.uniprot.org/uniprot/M5XMZ9","M5XMZ9")</f>
        <v>M5XMZ9</v>
      </c>
      <c r="D11806" s="2" t="s">
        <v>9939</v>
      </c>
      <c r="E11806" s="3">
        <v>1.29E-133</v>
      </c>
      <c r="F11806" s="2">
        <v>1038</v>
      </c>
      <c r="G11806" s="2">
        <v>95</v>
      </c>
      <c r="H11806" s="2">
        <v>210</v>
      </c>
      <c r="I11806" s="2">
        <v>275</v>
      </c>
      <c r="J11806" s="2">
        <v>898</v>
      </c>
      <c r="K11806" s="2">
        <v>48</v>
      </c>
      <c r="L11806" s="2">
        <v>257</v>
      </c>
    </row>
    <row r="11807" spans="1:12" x14ac:dyDescent="0.25">
      <c r="A11807" s="4" t="str">
        <f>HYPERLINK("http://www.rosaceae.org/Prunus/Prunus_persica/p.persica_gdr_reftransV1_0000613","p.persica_gdr_reftransV1_0000613")</f>
        <v>p.persica_gdr_reftransV1_0000613</v>
      </c>
      <c r="B11807" s="2">
        <v>4799</v>
      </c>
      <c r="C11807" s="4" t="str">
        <f>HYPERLINK("http://www.uniprot.org/uniprot/M5WEA4","M5WEA4")</f>
        <v>M5WEA4</v>
      </c>
      <c r="D11807" s="2" t="s">
        <v>9940</v>
      </c>
      <c r="E11807" s="3">
        <v>0</v>
      </c>
      <c r="F11807" s="2">
        <v>5134</v>
      </c>
      <c r="G11807" s="2">
        <v>96</v>
      </c>
      <c r="H11807" s="2">
        <v>1052</v>
      </c>
      <c r="I11807" s="2">
        <v>317</v>
      </c>
      <c r="J11807" s="2">
        <v>3472</v>
      </c>
      <c r="K11807" s="2">
        <v>1</v>
      </c>
      <c r="L11807" s="2">
        <v>1015</v>
      </c>
    </row>
    <row r="11808" spans="1:12" x14ac:dyDescent="0.25">
      <c r="A11808" s="4" t="str">
        <f>HYPERLINK("http://www.rosaceae.org/Prunus/Prunus_persica/p.persica_gdr_reftransV1_0000963","p.persica_gdr_reftransV1_0000963")</f>
        <v>p.persica_gdr_reftransV1_0000963</v>
      </c>
      <c r="B11808" s="2">
        <v>2264</v>
      </c>
      <c r="C11808" s="4" t="str">
        <f>HYPERLINK("http://www.uniprot.org/uniprot/W9QP17","W9QP17")</f>
        <v>W9QP17</v>
      </c>
      <c r="D11808" s="2" t="s">
        <v>9941</v>
      </c>
      <c r="E11808" s="3">
        <v>1.5099999999999999E-163</v>
      </c>
      <c r="F11808" s="2">
        <v>1276</v>
      </c>
      <c r="G11808" s="2">
        <v>82</v>
      </c>
      <c r="H11808" s="2">
        <v>311</v>
      </c>
      <c r="I11808" s="2">
        <v>53</v>
      </c>
      <c r="J11808" s="2">
        <v>985</v>
      </c>
      <c r="K11808" s="2">
        <v>1</v>
      </c>
      <c r="L11808" s="2">
        <v>305</v>
      </c>
    </row>
    <row r="11809" spans="1:12" x14ac:dyDescent="0.25">
      <c r="A11809" s="4" t="str">
        <f>HYPERLINK("http://www.rosaceae.org/Prunus/Prunus_persica/p.persica_gdr_reftransV1_0001663","p.persica_gdr_reftransV1_0001663")</f>
        <v>p.persica_gdr_reftransV1_0001663</v>
      </c>
      <c r="B11809" s="2">
        <v>453</v>
      </c>
      <c r="C11809" s="4" t="str">
        <f>HYPERLINK("http://www.uniprot.org/uniprot/M5Y7Y6","M5Y7Y6")</f>
        <v>M5Y7Y6</v>
      </c>
      <c r="D11809" s="2" t="s">
        <v>9942</v>
      </c>
      <c r="E11809" s="3">
        <v>4.5300000000000001E-52</v>
      </c>
      <c r="F11809" s="2">
        <v>460</v>
      </c>
      <c r="G11809" s="2">
        <v>100</v>
      </c>
      <c r="H11809" s="2">
        <v>123</v>
      </c>
      <c r="I11809" s="2">
        <v>3</v>
      </c>
      <c r="J11809" s="2">
        <v>371</v>
      </c>
      <c r="K11809" s="2">
        <v>294</v>
      </c>
      <c r="L11809" s="2">
        <v>416</v>
      </c>
    </row>
    <row r="11810" spans="1:12" x14ac:dyDescent="0.25">
      <c r="A11810" s="4" t="str">
        <f>HYPERLINK("http://www.rosaceae.org/Prunus/Prunus_persica/p.persica_gdr_reftransV1_0002013","p.persica_gdr_reftransV1_0002013")</f>
        <v>p.persica_gdr_reftransV1_0002013</v>
      </c>
      <c r="B11810" s="2">
        <v>1418</v>
      </c>
      <c r="C11810" s="4" t="str">
        <f>HYPERLINK("http://www.uniprot.org/uniprot/M5VR97","M5VR97")</f>
        <v>M5VR97</v>
      </c>
      <c r="D11810" s="2" t="s">
        <v>9943</v>
      </c>
      <c r="E11810" s="3">
        <v>0</v>
      </c>
      <c r="F11810" s="2">
        <v>1788</v>
      </c>
      <c r="G11810" s="2">
        <v>100</v>
      </c>
      <c r="H11810" s="2">
        <v>348</v>
      </c>
      <c r="I11810" s="2">
        <v>100</v>
      </c>
      <c r="J11810" s="2">
        <v>1143</v>
      </c>
      <c r="K11810" s="2">
        <v>1</v>
      </c>
      <c r="L11810" s="2">
        <v>348</v>
      </c>
    </row>
    <row r="11811" spans="1:12" x14ac:dyDescent="0.25">
      <c r="A11811" s="4" t="str">
        <f>HYPERLINK("http://www.rosaceae.org/Prunus/Prunus_persica/p.persica_gdr_reftransV1_0002363","p.persica_gdr_reftransV1_0002363")</f>
        <v>p.persica_gdr_reftransV1_0002363</v>
      </c>
      <c r="B11811" s="2">
        <v>2059</v>
      </c>
      <c r="C11811" s="4" t="str">
        <f>HYPERLINK("http://www.uniprot.org/uniprot/M5XZ53","M5XZ53")</f>
        <v>M5XZ53</v>
      </c>
      <c r="D11811" s="2" t="s">
        <v>4695</v>
      </c>
      <c r="E11811" s="3">
        <v>0</v>
      </c>
      <c r="F11811" s="2">
        <v>1883</v>
      </c>
      <c r="G11811" s="2">
        <v>100</v>
      </c>
      <c r="H11811" s="2">
        <v>367</v>
      </c>
      <c r="I11811" s="2">
        <v>433</v>
      </c>
      <c r="J11811" s="2">
        <v>1533</v>
      </c>
      <c r="K11811" s="2">
        <v>1</v>
      </c>
      <c r="L11811" s="2">
        <v>367</v>
      </c>
    </row>
    <row r="11812" spans="1:12" x14ac:dyDescent="0.25">
      <c r="A11812" s="4" t="str">
        <f>HYPERLINK("http://www.rosaceae.org/Prunus/Prunus_persica/p.persica_gdr_reftransV1_0003063","p.persica_gdr_reftransV1_0003063")</f>
        <v>p.persica_gdr_reftransV1_0003063</v>
      </c>
      <c r="B11812" s="2">
        <v>370</v>
      </c>
      <c r="C11812" s="4" t="str">
        <f>HYPERLINK("http://www.uniprot.org/uniprot/M5Y739","M5Y739")</f>
        <v>M5Y739</v>
      </c>
      <c r="D11812" s="2" t="s">
        <v>9944</v>
      </c>
      <c r="E11812" s="3">
        <v>5.04E-85</v>
      </c>
      <c r="F11812" s="2">
        <v>654</v>
      </c>
      <c r="G11812" s="2">
        <v>100</v>
      </c>
      <c r="H11812" s="2">
        <v>123</v>
      </c>
      <c r="I11812" s="2">
        <v>1</v>
      </c>
      <c r="J11812" s="2">
        <v>369</v>
      </c>
      <c r="K11812" s="2">
        <v>24</v>
      </c>
      <c r="L11812" s="2">
        <v>146</v>
      </c>
    </row>
    <row r="11813" spans="1:12" x14ac:dyDescent="0.25">
      <c r="A11813" s="4" t="str">
        <f>HYPERLINK("http://www.rosaceae.org/Prunus/Prunus_persica/p.persica_gdr_reftransV1_0003413","p.persica_gdr_reftransV1_0003413")</f>
        <v>p.persica_gdr_reftransV1_0003413</v>
      </c>
      <c r="B11813" s="2">
        <v>511</v>
      </c>
      <c r="C11813" s="4" t="str">
        <f>HYPERLINK("http://www.uniprot.org/uniprot/M5W3G2","M5W3G2")</f>
        <v>M5W3G2</v>
      </c>
      <c r="D11813" s="2" t="s">
        <v>9945</v>
      </c>
      <c r="E11813" s="3">
        <v>8.6099999999999994E-98</v>
      </c>
      <c r="F11813" s="2">
        <v>764</v>
      </c>
      <c r="G11813" s="2">
        <v>100</v>
      </c>
      <c r="H11813" s="2">
        <v>153</v>
      </c>
      <c r="I11813" s="2">
        <v>1</v>
      </c>
      <c r="J11813" s="2">
        <v>459</v>
      </c>
      <c r="K11813" s="2">
        <v>1</v>
      </c>
      <c r="L11813" s="2">
        <v>153</v>
      </c>
    </row>
    <row r="11814" spans="1:12" x14ac:dyDescent="0.25">
      <c r="A11814" s="4" t="str">
        <f>HYPERLINK("http://www.rosaceae.org/Prunus/Prunus_persica/p.persica_gdr_reftransV1_0004813","p.persica_gdr_reftransV1_0004813")</f>
        <v>p.persica_gdr_reftransV1_0004813</v>
      </c>
      <c r="B11814" s="2">
        <v>971</v>
      </c>
      <c r="C11814" s="4" t="str">
        <f>HYPERLINK("http://www.uniprot.org/uniprot/M5WRE1","M5WRE1")</f>
        <v>M5WRE1</v>
      </c>
      <c r="D11814" s="2" t="s">
        <v>9946</v>
      </c>
      <c r="E11814" s="3">
        <v>1.2500000000000001E-111</v>
      </c>
      <c r="F11814" s="2">
        <v>855</v>
      </c>
      <c r="G11814" s="2">
        <v>100</v>
      </c>
      <c r="H11814" s="2">
        <v>183</v>
      </c>
      <c r="I11814" s="2">
        <v>294</v>
      </c>
      <c r="J11814" s="2">
        <v>842</v>
      </c>
      <c r="K11814" s="2">
        <v>1</v>
      </c>
      <c r="L11814" s="2">
        <v>183</v>
      </c>
    </row>
    <row r="11815" spans="1:12" x14ac:dyDescent="0.25">
      <c r="A11815" s="4" t="str">
        <f>HYPERLINK("http://www.rosaceae.org/Prunus/Prunus_persica/p.persica_gdr_reftransV1_0005163","p.persica_gdr_reftransV1_0005163")</f>
        <v>p.persica_gdr_reftransV1_0005163</v>
      </c>
      <c r="B11815" s="2">
        <v>3459</v>
      </c>
      <c r="C11815" s="4" t="str">
        <f>HYPERLINK("http://www.uniprot.org/uniprot/M5WBJ8","M5WBJ8")</f>
        <v>M5WBJ8</v>
      </c>
      <c r="D11815" s="2" t="s">
        <v>9947</v>
      </c>
      <c r="E11815" s="3">
        <v>0</v>
      </c>
      <c r="F11815" s="2">
        <v>2453</v>
      </c>
      <c r="G11815" s="2">
        <v>100</v>
      </c>
      <c r="H11815" s="2">
        <v>465</v>
      </c>
      <c r="I11815" s="2">
        <v>490</v>
      </c>
      <c r="J11815" s="2">
        <v>1884</v>
      </c>
      <c r="K11815" s="2">
        <v>530</v>
      </c>
      <c r="L11815" s="2">
        <v>994</v>
      </c>
    </row>
    <row r="11816" spans="1:12" x14ac:dyDescent="0.25">
      <c r="A11816" s="4" t="str">
        <f>HYPERLINK("http://www.rosaceae.org/Prunus/Prunus_persica/p.persica_gdr_reftransV1_0005513","p.persica_gdr_reftransV1_0005513")</f>
        <v>p.persica_gdr_reftransV1_0005513</v>
      </c>
      <c r="B11816" s="2">
        <v>935</v>
      </c>
      <c r="C11816" s="4" t="str">
        <f>HYPERLINK("http://www.uniprot.org/uniprot/M5XGP6","M5XGP6")</f>
        <v>M5XGP6</v>
      </c>
      <c r="D11816" s="2" t="s">
        <v>1763</v>
      </c>
      <c r="E11816" s="3">
        <v>9.7199999999999998E-114</v>
      </c>
      <c r="F11816" s="2">
        <v>872</v>
      </c>
      <c r="G11816" s="2">
        <v>98</v>
      </c>
      <c r="H11816" s="2">
        <v>172</v>
      </c>
      <c r="I11816" s="2">
        <v>92</v>
      </c>
      <c r="J11816" s="2">
        <v>607</v>
      </c>
      <c r="K11816" s="2">
        <v>55</v>
      </c>
      <c r="L11816" s="2">
        <v>226</v>
      </c>
    </row>
    <row r="11817" spans="1:12" x14ac:dyDescent="0.25">
      <c r="A11817" s="4" t="str">
        <f>HYPERLINK("http://www.rosaceae.org/Prunus/Prunus_persica/p.persica_gdr_reftransV1_0006213","p.persica_gdr_reftransV1_0006213")</f>
        <v>p.persica_gdr_reftransV1_0006213</v>
      </c>
      <c r="B11817" s="2">
        <v>532</v>
      </c>
      <c r="C11817" s="4" t="str">
        <f>HYPERLINK("http://www.uniprot.org/uniprot/M5VV65","M5VV65")</f>
        <v>M5VV65</v>
      </c>
      <c r="D11817" s="2" t="s">
        <v>9948</v>
      </c>
      <c r="E11817" s="3">
        <v>5.7299999999999996E-81</v>
      </c>
      <c r="F11817" s="2">
        <v>658</v>
      </c>
      <c r="G11817" s="2">
        <v>99</v>
      </c>
      <c r="H11817" s="2">
        <v>165</v>
      </c>
      <c r="I11817" s="2">
        <v>1</v>
      </c>
      <c r="J11817" s="2">
        <v>495</v>
      </c>
      <c r="K11817" s="2">
        <v>261</v>
      </c>
      <c r="L11817" s="2">
        <v>425</v>
      </c>
    </row>
    <row r="11818" spans="1:12" x14ac:dyDescent="0.25">
      <c r="A11818" s="4" t="str">
        <f>HYPERLINK("http://www.rosaceae.org/Prunus/Prunus_persica/p.persica_gdr_reftransV1_0006913","p.persica_gdr_reftransV1_0006913")</f>
        <v>p.persica_gdr_reftransV1_0006913</v>
      </c>
      <c r="B11818" s="2">
        <v>1401</v>
      </c>
      <c r="C11818" s="4" t="str">
        <f>HYPERLINK("http://www.uniprot.org/uniprot/M5WMD4","M5WMD4")</f>
        <v>M5WMD4</v>
      </c>
      <c r="D11818" s="2" t="s">
        <v>9949</v>
      </c>
      <c r="E11818" s="3">
        <v>1.1E-128</v>
      </c>
      <c r="F11818" s="2">
        <v>731</v>
      </c>
      <c r="G11818" s="2">
        <v>97</v>
      </c>
      <c r="H11818" s="2">
        <v>194</v>
      </c>
      <c r="I11818" s="2">
        <v>821</v>
      </c>
      <c r="J11818" s="2">
        <v>1399</v>
      </c>
      <c r="K11818" s="2">
        <v>1</v>
      </c>
      <c r="L11818" s="2">
        <v>194</v>
      </c>
    </row>
    <row r="11819" spans="1:12" x14ac:dyDescent="0.25">
      <c r="A11819" s="4" t="str">
        <f>HYPERLINK("http://www.rosaceae.org/Prunus/Prunus_persica/p.persica_gdr_reftransV1_0007263","p.persica_gdr_reftransV1_0007263")</f>
        <v>p.persica_gdr_reftransV1_0007263</v>
      </c>
      <c r="B11819" s="2">
        <v>2638</v>
      </c>
      <c r="C11819" s="4" t="str">
        <f>HYPERLINK("http://www.uniprot.org/uniprot/M5XNU2","M5XNU2")</f>
        <v>M5XNU2</v>
      </c>
      <c r="D11819" s="2" t="s">
        <v>9950</v>
      </c>
      <c r="E11819" s="3">
        <v>0</v>
      </c>
      <c r="F11819" s="2">
        <v>2930</v>
      </c>
      <c r="G11819" s="2">
        <v>100</v>
      </c>
      <c r="H11819" s="2">
        <v>631</v>
      </c>
      <c r="I11819" s="2">
        <v>448</v>
      </c>
      <c r="J11819" s="2">
        <v>2340</v>
      </c>
      <c r="K11819" s="2">
        <v>1</v>
      </c>
      <c r="L11819" s="2">
        <v>631</v>
      </c>
    </row>
    <row r="11820" spans="1:12" x14ac:dyDescent="0.25">
      <c r="A11820" s="4" t="str">
        <f>HYPERLINK("http://www.rosaceae.org/Prunus/Prunus_persica/p.persica_gdr_reftransV1_0007613","p.persica_gdr_reftransV1_0007613")</f>
        <v>p.persica_gdr_reftransV1_0007613</v>
      </c>
      <c r="B11820" s="2">
        <v>2650</v>
      </c>
      <c r="C11820" s="4" t="str">
        <f>HYPERLINK("http://www.uniprot.org/uniprot/M5X3N4","M5X3N4")</f>
        <v>M5X3N4</v>
      </c>
      <c r="D11820" s="2" t="s">
        <v>2317</v>
      </c>
      <c r="E11820" s="3">
        <v>1.2700000000000001E-80</v>
      </c>
      <c r="F11820" s="2">
        <v>748</v>
      </c>
      <c r="G11820" s="2">
        <v>95</v>
      </c>
      <c r="H11820" s="2">
        <v>153</v>
      </c>
      <c r="I11820" s="2">
        <v>1526</v>
      </c>
      <c r="J11820" s="2">
        <v>1969</v>
      </c>
      <c r="K11820" s="2">
        <v>155</v>
      </c>
      <c r="L11820" s="2">
        <v>307</v>
      </c>
    </row>
    <row r="11821" spans="1:12" x14ac:dyDescent="0.25">
      <c r="A11821" s="4" t="str">
        <f>HYPERLINK("http://www.rosaceae.org/Prunus/Prunus_persica/p.persica_gdr_reftransV1_0007963","p.persica_gdr_reftransV1_0007963")</f>
        <v>p.persica_gdr_reftransV1_0007963</v>
      </c>
      <c r="B11821" s="2">
        <v>467</v>
      </c>
      <c r="C11821" s="4" t="str">
        <f>HYPERLINK("http://www.uniprot.org/uniprot/M5W8F6","M5W8F6")</f>
        <v>M5W8F6</v>
      </c>
      <c r="D11821" s="2" t="s">
        <v>8645</v>
      </c>
      <c r="E11821" s="3">
        <v>2.1599999999999998E-46</v>
      </c>
      <c r="F11821" s="2">
        <v>435</v>
      </c>
      <c r="G11821" s="2">
        <v>99</v>
      </c>
      <c r="H11821" s="2">
        <v>102</v>
      </c>
      <c r="I11821" s="2">
        <v>161</v>
      </c>
      <c r="J11821" s="2">
        <v>466</v>
      </c>
      <c r="K11821" s="2">
        <v>916</v>
      </c>
      <c r="L11821" s="2">
        <v>1017</v>
      </c>
    </row>
    <row r="11822" spans="1:12" x14ac:dyDescent="0.25">
      <c r="A11822" s="4" t="str">
        <f>HYPERLINK("http://www.rosaceae.org/Prunus/Prunus_persica/p.persica_gdr_reftransV1_0008663","p.persica_gdr_reftransV1_0008663")</f>
        <v>p.persica_gdr_reftransV1_0008663</v>
      </c>
      <c r="B11822" s="2">
        <v>1701</v>
      </c>
      <c r="C11822" s="4" t="str">
        <f>HYPERLINK("http://www.uniprot.org/uniprot/M5VZ57","M5VZ57")</f>
        <v>M5VZ57</v>
      </c>
      <c r="D11822" s="2" t="s">
        <v>9951</v>
      </c>
      <c r="E11822" s="3">
        <v>0</v>
      </c>
      <c r="F11822" s="2">
        <v>2011</v>
      </c>
      <c r="G11822" s="2">
        <v>100</v>
      </c>
      <c r="H11822" s="2">
        <v>397</v>
      </c>
      <c r="I11822" s="2">
        <v>77</v>
      </c>
      <c r="J11822" s="2">
        <v>1267</v>
      </c>
      <c r="K11822" s="2">
        <v>1</v>
      </c>
      <c r="L11822" s="2">
        <v>397</v>
      </c>
    </row>
    <row r="11823" spans="1:12" x14ac:dyDescent="0.25">
      <c r="A11823" s="4" t="str">
        <f>HYPERLINK("http://www.rosaceae.org/Prunus/Prunus_persica/p.persica_gdr_reftransV1_0009713","p.persica_gdr_reftransV1_0009713")</f>
        <v>p.persica_gdr_reftransV1_0009713</v>
      </c>
      <c r="B11823" s="2">
        <v>740</v>
      </c>
      <c r="C11823" s="4" t="str">
        <f>HYPERLINK("http://www.uniprot.org/uniprot/B9HQ03","B9HQ03")</f>
        <v>B9HQ03</v>
      </c>
      <c r="D11823" s="2" t="s">
        <v>9952</v>
      </c>
      <c r="E11823" s="3">
        <v>7.8400000000000004E-103</v>
      </c>
      <c r="F11823" s="2">
        <v>536</v>
      </c>
      <c r="G11823" s="2">
        <v>84</v>
      </c>
      <c r="H11823" s="2">
        <v>120</v>
      </c>
      <c r="I11823" s="2">
        <v>43</v>
      </c>
      <c r="J11823" s="2">
        <v>402</v>
      </c>
      <c r="K11823" s="2">
        <v>173</v>
      </c>
      <c r="L11823" s="2">
        <v>292</v>
      </c>
    </row>
    <row r="11824" spans="1:12" x14ac:dyDescent="0.25">
      <c r="A11824" s="4" t="str">
        <f>HYPERLINK("http://www.rosaceae.org/Prunus/Prunus_persica/p.persica_gdr_reftransV1_0010063","p.persica_gdr_reftransV1_0010063")</f>
        <v>p.persica_gdr_reftransV1_0010063</v>
      </c>
      <c r="B11824" s="2">
        <v>1691</v>
      </c>
      <c r="C11824" s="4" t="str">
        <f>HYPERLINK("http://www.uniprot.org/uniprot/M5XCY4","M5XCY4")</f>
        <v>M5XCY4</v>
      </c>
      <c r="D11824" s="2" t="s">
        <v>9953</v>
      </c>
      <c r="E11824" s="3">
        <v>0</v>
      </c>
      <c r="F11824" s="2">
        <v>1928</v>
      </c>
      <c r="G11824" s="2">
        <v>100</v>
      </c>
      <c r="H11824" s="2">
        <v>360</v>
      </c>
      <c r="I11824" s="2">
        <v>300</v>
      </c>
      <c r="J11824" s="2">
        <v>1379</v>
      </c>
      <c r="K11824" s="2">
        <v>1</v>
      </c>
      <c r="L11824" s="2">
        <v>360</v>
      </c>
    </row>
    <row r="11825" spans="1:12" x14ac:dyDescent="0.25">
      <c r="A11825" s="4" t="str">
        <f>HYPERLINK("http://www.rosaceae.org/Prunus/Prunus_persica/p.persica_gdr_reftransV1_0010413","p.persica_gdr_reftransV1_0010413")</f>
        <v>p.persica_gdr_reftransV1_0010413</v>
      </c>
      <c r="B11825" s="2">
        <v>2224</v>
      </c>
      <c r="C11825" s="4" t="str">
        <f>HYPERLINK("http://www.uniprot.org/uniprot/M5XXW2","M5XXW2")</f>
        <v>M5XXW2</v>
      </c>
      <c r="D11825" s="2" t="s">
        <v>9954</v>
      </c>
      <c r="E11825" s="3">
        <v>0</v>
      </c>
      <c r="F11825" s="2">
        <v>2486</v>
      </c>
      <c r="G11825" s="2">
        <v>100</v>
      </c>
      <c r="H11825" s="2">
        <v>504</v>
      </c>
      <c r="I11825" s="2">
        <v>224</v>
      </c>
      <c r="J11825" s="2">
        <v>1735</v>
      </c>
      <c r="K11825" s="2">
        <v>1</v>
      </c>
      <c r="L11825" s="2">
        <v>504</v>
      </c>
    </row>
    <row r="11826" spans="1:12" x14ac:dyDescent="0.25">
      <c r="A11826" s="4" t="str">
        <f>HYPERLINK("http://www.rosaceae.org/Prunus/Prunus_persica/p.persica_gdr_reftransV1_0010763","p.persica_gdr_reftransV1_0010763")</f>
        <v>p.persica_gdr_reftransV1_0010763</v>
      </c>
      <c r="B11826" s="2">
        <v>4080</v>
      </c>
      <c r="C11826" s="4" t="str">
        <f>HYPERLINK("http://www.uniprot.org/uniprot/I1GXM1","I1GXM1")</f>
        <v>I1GXM1</v>
      </c>
      <c r="D11826" s="2" t="s">
        <v>9955</v>
      </c>
      <c r="E11826" s="3">
        <v>0</v>
      </c>
      <c r="F11826" s="2">
        <v>3587</v>
      </c>
      <c r="G11826" s="2">
        <v>73</v>
      </c>
      <c r="H11826" s="2">
        <v>943</v>
      </c>
      <c r="I11826" s="2">
        <v>921</v>
      </c>
      <c r="J11826" s="2">
        <v>3749</v>
      </c>
      <c r="K11826" s="2">
        <v>88</v>
      </c>
      <c r="L11826" s="2">
        <v>953</v>
      </c>
    </row>
    <row r="11827" spans="1:12" x14ac:dyDescent="0.25">
      <c r="A11827" s="4" t="str">
        <f>HYPERLINK("http://www.rosaceae.org/Prunus/Prunus_persica/p.persica_gdr_reftransV1_0011113","p.persica_gdr_reftransV1_0011113")</f>
        <v>p.persica_gdr_reftransV1_0011113</v>
      </c>
      <c r="B11827" s="2">
        <v>1672</v>
      </c>
      <c r="C11827" s="4" t="str">
        <f>HYPERLINK("http://www.uniprot.org/uniprot/M5XRV5","M5XRV5")</f>
        <v>M5XRV5</v>
      </c>
      <c r="D11827" s="2" t="s">
        <v>9956</v>
      </c>
      <c r="E11827" s="3">
        <v>6.9299999999999996E-171</v>
      </c>
      <c r="F11827" s="2">
        <v>1291</v>
      </c>
      <c r="G11827" s="2">
        <v>89</v>
      </c>
      <c r="H11827" s="2">
        <v>303</v>
      </c>
      <c r="I11827" s="2">
        <v>484</v>
      </c>
      <c r="J11827" s="2">
        <v>1341</v>
      </c>
      <c r="K11827" s="2">
        <v>16</v>
      </c>
      <c r="L11827" s="2">
        <v>318</v>
      </c>
    </row>
    <row r="11828" spans="1:12" x14ac:dyDescent="0.25">
      <c r="A11828" s="4" t="str">
        <f>HYPERLINK("http://www.rosaceae.org/Prunus/Prunus_persica/p.persica_gdr_reftransV1_0012163","p.persica_gdr_reftransV1_0012163")</f>
        <v>p.persica_gdr_reftransV1_0012163</v>
      </c>
      <c r="B11828" s="2">
        <v>2945</v>
      </c>
      <c r="C11828" s="4" t="str">
        <f>HYPERLINK("http://www.uniprot.org/uniprot/M5VX25","M5VX25")</f>
        <v>M5VX25</v>
      </c>
      <c r="D11828" s="2" t="s">
        <v>9957</v>
      </c>
      <c r="E11828" s="3">
        <v>0</v>
      </c>
      <c r="F11828" s="2">
        <v>1505</v>
      </c>
      <c r="G11828" s="2">
        <v>100</v>
      </c>
      <c r="H11828" s="2">
        <v>363</v>
      </c>
      <c r="I11828" s="2">
        <v>289</v>
      </c>
      <c r="J11828" s="2">
        <v>1377</v>
      </c>
      <c r="K11828" s="2">
        <v>1</v>
      </c>
      <c r="L11828" s="2">
        <v>363</v>
      </c>
    </row>
    <row r="11829" spans="1:12" x14ac:dyDescent="0.25">
      <c r="A11829" s="4" t="str">
        <f>HYPERLINK("http://www.rosaceae.org/Prunus/Prunus_persica/p.persica_gdr_reftransV1_0012863","p.persica_gdr_reftransV1_0012863")</f>
        <v>p.persica_gdr_reftransV1_0012863</v>
      </c>
      <c r="B11829" s="2">
        <v>1114</v>
      </c>
      <c r="C11829" s="4" t="str">
        <f>HYPERLINK("http://www.uniprot.org/uniprot/M5VRS6","M5VRS6")</f>
        <v>M5VRS6</v>
      </c>
      <c r="D11829" s="2" t="s">
        <v>9958</v>
      </c>
      <c r="E11829" s="3">
        <v>1.4100000000000001E-7</v>
      </c>
      <c r="F11829" s="2">
        <v>147</v>
      </c>
      <c r="G11829" s="2">
        <v>44</v>
      </c>
      <c r="H11829" s="2">
        <v>97</v>
      </c>
      <c r="I11829" s="2">
        <v>483</v>
      </c>
      <c r="J11829" s="2">
        <v>773</v>
      </c>
      <c r="K11829" s="2">
        <v>105</v>
      </c>
      <c r="L11829" s="2">
        <v>186</v>
      </c>
    </row>
    <row r="11830" spans="1:12" x14ac:dyDescent="0.25">
      <c r="A11830" s="4" t="str">
        <f>HYPERLINK("http://www.rosaceae.org/Prunus/Prunus_persica/p.persica_gdr_reftransV1_0013213","p.persica_gdr_reftransV1_0013213")</f>
        <v>p.persica_gdr_reftransV1_0013213</v>
      </c>
      <c r="B11830" s="2">
        <v>1464</v>
      </c>
      <c r="C11830" s="4" t="str">
        <f>HYPERLINK("http://www.uniprot.org/uniprot/M5XJ80","M5XJ80")</f>
        <v>M5XJ80</v>
      </c>
      <c r="D11830" s="2" t="s">
        <v>9959</v>
      </c>
      <c r="E11830" s="3">
        <v>5.1200000000000001E-177</v>
      </c>
      <c r="F11830" s="2">
        <v>1320</v>
      </c>
      <c r="G11830" s="2">
        <v>100</v>
      </c>
      <c r="H11830" s="2">
        <v>340</v>
      </c>
      <c r="I11830" s="2">
        <v>177</v>
      </c>
      <c r="J11830" s="2">
        <v>1196</v>
      </c>
      <c r="K11830" s="2">
        <v>1</v>
      </c>
      <c r="L11830" s="2">
        <v>340</v>
      </c>
    </row>
    <row r="11831" spans="1:12" x14ac:dyDescent="0.25">
      <c r="A11831" s="4" t="str">
        <f>HYPERLINK("http://www.rosaceae.org/Prunus/Prunus_persica/p.persica_gdr_reftransV1_0013913","p.persica_gdr_reftransV1_0013913")</f>
        <v>p.persica_gdr_reftransV1_0013913</v>
      </c>
      <c r="B11831" s="2">
        <v>1181</v>
      </c>
      <c r="C11831" s="4" t="str">
        <f>HYPERLINK("http://www.uniprot.org/uniprot/M5VPX0","M5VPX0")</f>
        <v>M5VPX0</v>
      </c>
      <c r="D11831" s="2" t="s">
        <v>6900</v>
      </c>
      <c r="E11831" s="3">
        <v>5.3400000000000001E-175</v>
      </c>
      <c r="F11831" s="2">
        <v>1298</v>
      </c>
      <c r="G11831" s="2">
        <v>100</v>
      </c>
      <c r="H11831" s="2">
        <v>244</v>
      </c>
      <c r="I11831" s="2">
        <v>3</v>
      </c>
      <c r="J11831" s="2">
        <v>734</v>
      </c>
      <c r="K11831" s="2">
        <v>1</v>
      </c>
      <c r="L11831" s="2">
        <v>244</v>
      </c>
    </row>
    <row r="11832" spans="1:12" x14ac:dyDescent="0.25">
      <c r="A11832" s="4" t="str">
        <f>HYPERLINK("http://www.rosaceae.org/Prunus/Prunus_persica/p.persica_gdr_reftransV1_0015313","p.persica_gdr_reftransV1_0015313")</f>
        <v>p.persica_gdr_reftransV1_0015313</v>
      </c>
      <c r="B11832" s="2">
        <v>1264</v>
      </c>
      <c r="C11832" s="4" t="str">
        <f>HYPERLINK("http://www.uniprot.org/uniprot/M5XQM0","M5XQM0")</f>
        <v>M5XQM0</v>
      </c>
      <c r="D11832" s="2" t="s">
        <v>9960</v>
      </c>
      <c r="E11832" s="3">
        <v>2.3099999999999998E-100</v>
      </c>
      <c r="F11832" s="2">
        <v>790</v>
      </c>
      <c r="G11832" s="2">
        <v>100</v>
      </c>
      <c r="H11832" s="2">
        <v>191</v>
      </c>
      <c r="I11832" s="2">
        <v>246</v>
      </c>
      <c r="J11832" s="2">
        <v>818</v>
      </c>
      <c r="K11832" s="2">
        <v>1</v>
      </c>
      <c r="L11832" s="2">
        <v>191</v>
      </c>
    </row>
    <row r="11833" spans="1:12" x14ac:dyDescent="0.25">
      <c r="A11833" s="4" t="str">
        <f>HYPERLINK("http://www.rosaceae.org/Prunus/Prunus_persica/p.persica_gdr_reftransV1_0017413","p.persica_gdr_reftransV1_0017413")</f>
        <v>p.persica_gdr_reftransV1_0017413</v>
      </c>
      <c r="B11833" s="2">
        <v>1438</v>
      </c>
      <c r="C11833" s="4" t="str">
        <f>HYPERLINK("http://www.uniprot.org/uniprot/M5XN83","M5XN83")</f>
        <v>M5XN83</v>
      </c>
      <c r="D11833" s="2" t="s">
        <v>9961</v>
      </c>
      <c r="E11833" s="3">
        <v>0</v>
      </c>
      <c r="F11833" s="2">
        <v>1924</v>
      </c>
      <c r="G11833" s="2">
        <v>100</v>
      </c>
      <c r="H11833" s="2">
        <v>352</v>
      </c>
      <c r="I11833" s="2">
        <v>1</v>
      </c>
      <c r="J11833" s="2">
        <v>1056</v>
      </c>
      <c r="K11833" s="2">
        <v>438</v>
      </c>
      <c r="L11833" s="2">
        <v>789</v>
      </c>
    </row>
    <row r="11834" spans="1:12" x14ac:dyDescent="0.25">
      <c r="A11834" s="4" t="str">
        <f>HYPERLINK("http://www.rosaceae.org/Prunus/Prunus_persica/p.persica_gdr_reftransV1_0018463","p.persica_gdr_reftransV1_0018463")</f>
        <v>p.persica_gdr_reftransV1_0018463</v>
      </c>
      <c r="B11834" s="2">
        <v>2577</v>
      </c>
      <c r="C11834" s="4" t="str">
        <f>HYPERLINK("http://www.uniprot.org/uniprot/M5W6F4","M5W6F4")</f>
        <v>M5W6F4</v>
      </c>
      <c r="D11834" s="2" t="s">
        <v>1859</v>
      </c>
      <c r="E11834" s="3">
        <v>0</v>
      </c>
      <c r="F11834" s="2">
        <v>3051</v>
      </c>
      <c r="G11834" s="2">
        <v>100</v>
      </c>
      <c r="H11834" s="2">
        <v>595</v>
      </c>
      <c r="I11834" s="2">
        <v>686</v>
      </c>
      <c r="J11834" s="2">
        <v>2470</v>
      </c>
      <c r="K11834" s="2">
        <v>1</v>
      </c>
      <c r="L11834" s="2">
        <v>595</v>
      </c>
    </row>
    <row r="11835" spans="1:12" x14ac:dyDescent="0.25">
      <c r="A11835" s="4" t="str">
        <f>HYPERLINK("http://www.rosaceae.org/Prunus/Prunus_persica/p.persica_gdr_reftransV1_0018813","p.persica_gdr_reftransV1_0018813")</f>
        <v>p.persica_gdr_reftransV1_0018813</v>
      </c>
      <c r="B11835" s="2">
        <v>2720</v>
      </c>
      <c r="C11835" s="4" t="str">
        <f>HYPERLINK("http://www.uniprot.org/uniprot/M5WCZ2","M5WCZ2")</f>
        <v>M5WCZ2</v>
      </c>
      <c r="D11835" s="2" t="s">
        <v>9962</v>
      </c>
      <c r="E11835" s="3">
        <v>1.1100000000000001E-106</v>
      </c>
      <c r="F11835" s="2">
        <v>871</v>
      </c>
      <c r="G11835" s="2">
        <v>97</v>
      </c>
      <c r="H11835" s="2">
        <v>202</v>
      </c>
      <c r="I11835" s="2">
        <v>181</v>
      </c>
      <c r="J11835" s="2">
        <v>786</v>
      </c>
      <c r="K11835" s="2">
        <v>1</v>
      </c>
      <c r="L11835" s="2">
        <v>202</v>
      </c>
    </row>
    <row r="11836" spans="1:12" x14ac:dyDescent="0.25">
      <c r="A11836" s="4" t="str">
        <f>HYPERLINK("http://www.rosaceae.org/Prunus/Prunus_persica/p.persica_gdr_reftransV1_0019163","p.persica_gdr_reftransV1_0019163")</f>
        <v>p.persica_gdr_reftransV1_0019163</v>
      </c>
      <c r="B11836" s="2">
        <v>1670</v>
      </c>
      <c r="C11836" s="4" t="str">
        <f>HYPERLINK("http://www.uniprot.org/uniprot/M5XCN8","M5XCN8")</f>
        <v>M5XCN8</v>
      </c>
      <c r="D11836" s="2" t="s">
        <v>9963</v>
      </c>
      <c r="E11836" s="3">
        <v>1.58E-106</v>
      </c>
      <c r="F11836" s="2">
        <v>852</v>
      </c>
      <c r="G11836" s="2">
        <v>100</v>
      </c>
      <c r="H11836" s="2">
        <v>157</v>
      </c>
      <c r="I11836" s="2">
        <v>968</v>
      </c>
      <c r="J11836" s="2">
        <v>1438</v>
      </c>
      <c r="K11836" s="2">
        <v>184</v>
      </c>
      <c r="L11836" s="2">
        <v>340</v>
      </c>
    </row>
    <row r="11837" spans="1:12" x14ac:dyDescent="0.25">
      <c r="A11837" s="4" t="str">
        <f>HYPERLINK("http://www.rosaceae.org/Prunus/Prunus_persica/p.persica_gdr_reftransV1_0020213","p.persica_gdr_reftransV1_0020213")</f>
        <v>p.persica_gdr_reftransV1_0020213</v>
      </c>
      <c r="B11837" s="2">
        <v>4474</v>
      </c>
      <c r="C11837" s="4" t="str">
        <f>HYPERLINK("http://www.uniprot.org/uniprot/M5XMA4","M5XMA4")</f>
        <v>M5XMA4</v>
      </c>
      <c r="D11837" s="2" t="s">
        <v>9964</v>
      </c>
      <c r="E11837" s="3">
        <v>0</v>
      </c>
      <c r="F11837" s="2">
        <v>4470</v>
      </c>
      <c r="G11837" s="2">
        <v>99</v>
      </c>
      <c r="H11837" s="2">
        <v>852</v>
      </c>
      <c r="I11837" s="2">
        <v>1549</v>
      </c>
      <c r="J11837" s="2">
        <v>4095</v>
      </c>
      <c r="K11837" s="2">
        <v>1</v>
      </c>
      <c r="L11837" s="2">
        <v>852</v>
      </c>
    </row>
    <row r="11838" spans="1:12" x14ac:dyDescent="0.25">
      <c r="A11838" s="4" t="str">
        <f>HYPERLINK("http://www.rosaceae.org/Prunus/Prunus_persica/p.persica_gdr_reftransV1_0020913","p.persica_gdr_reftransV1_0020913")</f>
        <v>p.persica_gdr_reftransV1_0020913</v>
      </c>
      <c r="B11838" s="2">
        <v>1497</v>
      </c>
      <c r="C11838" s="4" t="str">
        <f>HYPERLINK("http://www.uniprot.org/uniprot/M5X1J9","M5X1J9")</f>
        <v>M5X1J9</v>
      </c>
      <c r="D11838" s="2" t="s">
        <v>9965</v>
      </c>
      <c r="E11838" s="3">
        <v>0</v>
      </c>
      <c r="F11838" s="2">
        <v>1480</v>
      </c>
      <c r="G11838" s="2">
        <v>96</v>
      </c>
      <c r="H11838" s="2">
        <v>359</v>
      </c>
      <c r="I11838" s="2">
        <v>128</v>
      </c>
      <c r="J11838" s="2">
        <v>1204</v>
      </c>
      <c r="K11838" s="2">
        <v>22</v>
      </c>
      <c r="L11838" s="2">
        <v>366</v>
      </c>
    </row>
    <row r="11839" spans="1:12" x14ac:dyDescent="0.25">
      <c r="A11839" s="4" t="str">
        <f>HYPERLINK("http://www.rosaceae.org/Prunus/Prunus_persica/p.persica_gdr_reftransV1_0023013","p.persica_gdr_reftransV1_0023013")</f>
        <v>p.persica_gdr_reftransV1_0023013</v>
      </c>
      <c r="B11839" s="2">
        <v>2100</v>
      </c>
      <c r="C11839" s="4" t="str">
        <f>HYPERLINK("http://www.uniprot.org/uniprot/M5Y5W8","M5Y5W8")</f>
        <v>M5Y5W8</v>
      </c>
      <c r="D11839" s="2" t="s">
        <v>9966</v>
      </c>
      <c r="E11839" s="3">
        <v>2.6999999999999998E-136</v>
      </c>
      <c r="F11839" s="2">
        <v>1058</v>
      </c>
      <c r="G11839" s="2">
        <v>100</v>
      </c>
      <c r="H11839" s="2">
        <v>225</v>
      </c>
      <c r="I11839" s="2">
        <v>1295</v>
      </c>
      <c r="J11839" s="2">
        <v>1969</v>
      </c>
      <c r="K11839" s="2">
        <v>1</v>
      </c>
      <c r="L11839" s="2">
        <v>225</v>
      </c>
    </row>
    <row r="11840" spans="1:12" x14ac:dyDescent="0.25">
      <c r="A11840" s="4" t="str">
        <f>HYPERLINK("http://www.rosaceae.org/Prunus/Prunus_persica/p.persica_gdr_reftransV1_0023713","p.persica_gdr_reftransV1_0023713")</f>
        <v>p.persica_gdr_reftransV1_0023713</v>
      </c>
      <c r="B11840" s="2">
        <v>714</v>
      </c>
      <c r="C11840" s="4" t="str">
        <f>HYPERLINK("http://www.uniprot.org/uniprot/M5VZP1","M5VZP1")</f>
        <v>M5VZP1</v>
      </c>
      <c r="D11840" s="2" t="s">
        <v>9614</v>
      </c>
      <c r="E11840" s="3">
        <v>3.6499999999999999E-102</v>
      </c>
      <c r="F11840" s="2">
        <v>791</v>
      </c>
      <c r="G11840" s="2">
        <v>100</v>
      </c>
      <c r="H11840" s="2">
        <v>193</v>
      </c>
      <c r="I11840" s="2">
        <v>67</v>
      </c>
      <c r="J11840" s="2">
        <v>645</v>
      </c>
      <c r="K11840" s="2">
        <v>1</v>
      </c>
      <c r="L11840" s="2">
        <v>193</v>
      </c>
    </row>
    <row r="11841" spans="1:12" x14ac:dyDescent="0.25">
      <c r="A11841" s="4" t="str">
        <f>HYPERLINK("http://www.rosaceae.org/Prunus/Prunus_persica/p.persica_gdr_reftransV1_0024763","p.persica_gdr_reftransV1_0024763")</f>
        <v>p.persica_gdr_reftransV1_0024763</v>
      </c>
      <c r="B11841" s="2">
        <v>472</v>
      </c>
      <c r="C11841" s="4" t="str">
        <f>HYPERLINK("http://www.uniprot.org/uniprot/M5WEK4","M5WEK4")</f>
        <v>M5WEK4</v>
      </c>
      <c r="D11841" s="2" t="s">
        <v>7508</v>
      </c>
      <c r="E11841" s="3">
        <v>1.29E-92</v>
      </c>
      <c r="F11841" s="2">
        <v>725</v>
      </c>
      <c r="G11841" s="2">
        <v>100</v>
      </c>
      <c r="H11841" s="2">
        <v>137</v>
      </c>
      <c r="I11841" s="2">
        <v>3</v>
      </c>
      <c r="J11841" s="2">
        <v>413</v>
      </c>
      <c r="K11841" s="2">
        <v>1</v>
      </c>
      <c r="L11841" s="2">
        <v>137</v>
      </c>
    </row>
    <row r="11842" spans="1:12" x14ac:dyDescent="0.25">
      <c r="A11842" s="4" t="str">
        <f>HYPERLINK("http://www.rosaceae.org/Prunus/Prunus_persica/p.persica_gdr_reftransV1_0028613","p.persica_gdr_reftransV1_0028613")</f>
        <v>p.persica_gdr_reftransV1_0028613</v>
      </c>
      <c r="B11842" s="2">
        <v>9704</v>
      </c>
      <c r="C11842" s="4" t="str">
        <f>HYPERLINK("http://www.uniprot.org/uniprot/M5X8G9","M5X8G9")</f>
        <v>M5X8G9</v>
      </c>
      <c r="D11842" s="2" t="s">
        <v>9967</v>
      </c>
      <c r="E11842" s="3">
        <v>0</v>
      </c>
      <c r="F11842" s="2">
        <v>13697</v>
      </c>
      <c r="G11842" s="2">
        <v>100</v>
      </c>
      <c r="H11842" s="2">
        <v>2969</v>
      </c>
      <c r="I11842" s="2">
        <v>541</v>
      </c>
      <c r="J11842" s="2">
        <v>9447</v>
      </c>
      <c r="K11842" s="2">
        <v>15</v>
      </c>
      <c r="L11842" s="2">
        <v>2983</v>
      </c>
    </row>
    <row r="11843" spans="1:12" x14ac:dyDescent="0.25">
      <c r="A11843" s="4" t="str">
        <f>HYPERLINK("http://www.rosaceae.org/Prunus/Prunus_persica/p.persica_gdr_reftransV1_0029313","p.persica_gdr_reftransV1_0029313")</f>
        <v>p.persica_gdr_reftransV1_0029313</v>
      </c>
      <c r="B11843" s="2">
        <v>1369</v>
      </c>
      <c r="C11843" s="4" t="str">
        <f>HYPERLINK("http://www.uniprot.org/uniprot/M5XGR1","M5XGR1")</f>
        <v>M5XGR1</v>
      </c>
      <c r="D11843" s="2" t="s">
        <v>9968</v>
      </c>
      <c r="E11843" s="3">
        <v>1.6500000000000001E-136</v>
      </c>
      <c r="F11843" s="2">
        <v>1034</v>
      </c>
      <c r="G11843" s="2">
        <v>100</v>
      </c>
      <c r="H11843" s="2">
        <v>198</v>
      </c>
      <c r="I11843" s="2">
        <v>522</v>
      </c>
      <c r="J11843" s="2">
        <v>1115</v>
      </c>
      <c r="K11843" s="2">
        <v>5</v>
      </c>
      <c r="L11843" s="2">
        <v>202</v>
      </c>
    </row>
    <row r="11844" spans="1:12" x14ac:dyDescent="0.25">
      <c r="A11844" s="4" t="str">
        <f>HYPERLINK("http://www.rosaceae.org/Prunus/Prunus_persica/p.persica_gdr_reftransV1_0030363","p.persica_gdr_reftransV1_0030363")</f>
        <v>p.persica_gdr_reftransV1_0030363</v>
      </c>
      <c r="B11844" s="2">
        <v>649</v>
      </c>
      <c r="C11844" s="4" t="str">
        <f>HYPERLINK("http://www.uniprot.org/uniprot/M5WRB7","M5WRB7")</f>
        <v>M5WRB7</v>
      </c>
      <c r="D11844" s="2" t="s">
        <v>9969</v>
      </c>
      <c r="E11844" s="3">
        <v>6.8200000000000002E-73</v>
      </c>
      <c r="F11844" s="2">
        <v>582</v>
      </c>
      <c r="G11844" s="2">
        <v>100</v>
      </c>
      <c r="H11844" s="2">
        <v>129</v>
      </c>
      <c r="I11844" s="2">
        <v>206</v>
      </c>
      <c r="J11844" s="2">
        <v>592</v>
      </c>
      <c r="K11844" s="2">
        <v>1</v>
      </c>
      <c r="L11844" s="2">
        <v>129</v>
      </c>
    </row>
    <row r="11845" spans="1:12" x14ac:dyDescent="0.25">
      <c r="A11845" s="4" t="str">
        <f>HYPERLINK("http://www.rosaceae.org/Prunus/Prunus_persica/p.persica_gdr_reftransV1_0030713","p.persica_gdr_reftransV1_0030713")</f>
        <v>p.persica_gdr_reftransV1_0030713</v>
      </c>
      <c r="B11845" s="2">
        <v>2223</v>
      </c>
      <c r="C11845" s="4" t="str">
        <f>HYPERLINK("http://www.uniprot.org/uniprot/M5XSE0","M5XSE0")</f>
        <v>M5XSE0</v>
      </c>
      <c r="D11845" s="2" t="s">
        <v>9970</v>
      </c>
      <c r="E11845" s="3">
        <v>0</v>
      </c>
      <c r="F11845" s="2">
        <v>2551</v>
      </c>
      <c r="G11845" s="2">
        <v>100</v>
      </c>
      <c r="H11845" s="2">
        <v>508</v>
      </c>
      <c r="I11845" s="2">
        <v>642</v>
      </c>
      <c r="J11845" s="2">
        <v>2165</v>
      </c>
      <c r="K11845" s="2">
        <v>1</v>
      </c>
      <c r="L11845" s="2">
        <v>508</v>
      </c>
    </row>
    <row r="11846" spans="1:12" x14ac:dyDescent="0.25">
      <c r="A11846" s="4" t="str">
        <f>HYPERLINK("http://www.rosaceae.org/Prunus/Prunus_persica/p.persica_gdr_reftransV1_0031063","p.persica_gdr_reftransV1_0031063")</f>
        <v>p.persica_gdr_reftransV1_0031063</v>
      </c>
      <c r="B11846" s="2">
        <v>2099</v>
      </c>
      <c r="C11846" s="4" t="str">
        <f>HYPERLINK("http://www.uniprot.org/uniprot/M5X5M7","M5X5M7")</f>
        <v>M5X5M7</v>
      </c>
      <c r="D11846" s="2" t="s">
        <v>9971</v>
      </c>
      <c r="E11846" s="3">
        <v>2.6100000000000001E-94</v>
      </c>
      <c r="F11846" s="2">
        <v>787</v>
      </c>
      <c r="G11846" s="2">
        <v>100</v>
      </c>
      <c r="H11846" s="2">
        <v>164</v>
      </c>
      <c r="I11846" s="2">
        <v>1188</v>
      </c>
      <c r="J11846" s="2">
        <v>1679</v>
      </c>
      <c r="K11846" s="2">
        <v>180</v>
      </c>
      <c r="L11846" s="2">
        <v>343</v>
      </c>
    </row>
    <row r="11847" spans="1:12" x14ac:dyDescent="0.25">
      <c r="A11847" s="4" t="str">
        <f>HYPERLINK("http://www.rosaceae.org/Prunus/Prunus_persica/p.persica_gdr_reftransV1_0032113","p.persica_gdr_reftransV1_0032113")</f>
        <v>p.persica_gdr_reftransV1_0032113</v>
      </c>
      <c r="B11847" s="2">
        <v>1853</v>
      </c>
      <c r="C11847" s="4" t="str">
        <f>HYPERLINK("http://www.uniprot.org/uniprot/M5WL34","M5WL34")</f>
        <v>M5WL34</v>
      </c>
      <c r="D11847" s="2" t="s">
        <v>9972</v>
      </c>
      <c r="E11847" s="3">
        <v>0</v>
      </c>
      <c r="F11847" s="2">
        <v>2151</v>
      </c>
      <c r="G11847" s="2">
        <v>95</v>
      </c>
      <c r="H11847" s="2">
        <v>482</v>
      </c>
      <c r="I11847" s="2">
        <v>46</v>
      </c>
      <c r="J11847" s="2">
        <v>1491</v>
      </c>
      <c r="K11847" s="2">
        <v>1</v>
      </c>
      <c r="L11847" s="2">
        <v>460</v>
      </c>
    </row>
    <row r="11848" spans="1:12" x14ac:dyDescent="0.25">
      <c r="A11848" s="4" t="str">
        <f>HYPERLINK("http://www.rosaceae.org/Prunus/Prunus_persica/p.persica_gdr_reftransV1_0032463","p.persica_gdr_reftransV1_0032463")</f>
        <v>p.persica_gdr_reftransV1_0032463</v>
      </c>
      <c r="B11848" s="2">
        <v>1719</v>
      </c>
      <c r="C11848" s="4" t="str">
        <f>HYPERLINK("http://www.uniprot.org/uniprot/M5X9A6","M5X9A6")</f>
        <v>M5X9A6</v>
      </c>
      <c r="D11848" s="2" t="s">
        <v>2866</v>
      </c>
      <c r="E11848" s="3">
        <v>0</v>
      </c>
      <c r="F11848" s="2">
        <v>1445</v>
      </c>
      <c r="G11848" s="2">
        <v>100</v>
      </c>
      <c r="H11848" s="2">
        <v>268</v>
      </c>
      <c r="I11848" s="2">
        <v>2</v>
      </c>
      <c r="J11848" s="2">
        <v>805</v>
      </c>
      <c r="K11848" s="2">
        <v>192</v>
      </c>
      <c r="L11848" s="2">
        <v>459</v>
      </c>
    </row>
    <row r="11849" spans="1:12" x14ac:dyDescent="0.25">
      <c r="A11849" s="4" t="str">
        <f>HYPERLINK("http://www.rosaceae.org/Prunus/Prunus_persica/p.persica_gdr_reftransV1_0034913","p.persica_gdr_reftransV1_0034913")</f>
        <v>p.persica_gdr_reftransV1_0034913</v>
      </c>
      <c r="B11849" s="2">
        <v>4021</v>
      </c>
      <c r="C11849" s="4" t="str">
        <f>HYPERLINK("http://www.uniprot.org/uniprot/M5WKN7","M5WKN7")</f>
        <v>M5WKN7</v>
      </c>
      <c r="D11849" s="2" t="s">
        <v>9973</v>
      </c>
      <c r="E11849" s="3">
        <v>1.17E-31</v>
      </c>
      <c r="F11849" s="2">
        <v>330</v>
      </c>
      <c r="G11849" s="2">
        <v>93</v>
      </c>
      <c r="H11849" s="2">
        <v>87</v>
      </c>
      <c r="I11849" s="2">
        <v>2055</v>
      </c>
      <c r="J11849" s="2">
        <v>2315</v>
      </c>
      <c r="K11849" s="2">
        <v>6</v>
      </c>
      <c r="L11849" s="2">
        <v>92</v>
      </c>
    </row>
    <row r="11850" spans="1:12" x14ac:dyDescent="0.25">
      <c r="A11850" s="4" t="str">
        <f>HYPERLINK("http://www.rosaceae.org/Prunus/Prunus_persica/p.persica_gdr_reftransV1_0035263","p.persica_gdr_reftransV1_0035263")</f>
        <v>p.persica_gdr_reftransV1_0035263</v>
      </c>
      <c r="B11850" s="2">
        <v>2742</v>
      </c>
      <c r="C11850" s="4" t="str">
        <f>HYPERLINK("http://www.uniprot.org/uniprot/M5W1V6","M5W1V6")</f>
        <v>M5W1V6</v>
      </c>
      <c r="D11850" s="2" t="s">
        <v>9974</v>
      </c>
      <c r="E11850" s="3">
        <v>0</v>
      </c>
      <c r="F11850" s="2">
        <v>2530</v>
      </c>
      <c r="G11850" s="2">
        <v>100</v>
      </c>
      <c r="H11850" s="2">
        <v>468</v>
      </c>
      <c r="I11850" s="2">
        <v>248</v>
      </c>
      <c r="J11850" s="2">
        <v>1651</v>
      </c>
      <c r="K11850" s="2">
        <v>1</v>
      </c>
      <c r="L11850" s="2">
        <v>468</v>
      </c>
    </row>
    <row r="11851" spans="1:12" x14ac:dyDescent="0.25">
      <c r="A11851" s="4" t="str">
        <f>HYPERLINK("http://www.rosaceae.org/Prunus/Prunus_persica/p.persica_gdr_reftransV1_0036313","p.persica_gdr_reftransV1_0036313")</f>
        <v>p.persica_gdr_reftransV1_0036313</v>
      </c>
      <c r="B11851" s="2">
        <v>2458</v>
      </c>
      <c r="C11851" s="4" t="str">
        <f>HYPERLINK("http://www.uniprot.org/uniprot/M5W9M6","M5W9M6")</f>
        <v>M5W9M6</v>
      </c>
      <c r="D11851" s="2" t="s">
        <v>9975</v>
      </c>
      <c r="E11851" s="3">
        <v>4.7599999999999999E-170</v>
      </c>
      <c r="F11851" s="2">
        <v>1309</v>
      </c>
      <c r="G11851" s="2">
        <v>100</v>
      </c>
      <c r="H11851" s="2">
        <v>250</v>
      </c>
      <c r="I11851" s="2">
        <v>18</v>
      </c>
      <c r="J11851" s="2">
        <v>767</v>
      </c>
      <c r="K11851" s="2">
        <v>1</v>
      </c>
      <c r="L11851" s="2">
        <v>250</v>
      </c>
    </row>
    <row r="11852" spans="1:12" x14ac:dyDescent="0.25">
      <c r="A11852" s="4" t="str">
        <f>HYPERLINK("http://www.rosaceae.org/Prunus/Prunus_persica/p.persica_gdr_reftransV1_0038413","p.persica_gdr_reftransV1_0038413")</f>
        <v>p.persica_gdr_reftransV1_0038413</v>
      </c>
      <c r="B11852" s="2">
        <v>742</v>
      </c>
      <c r="C11852" s="4" t="str">
        <f>HYPERLINK("http://www.uniprot.org/uniprot/M5XHL7","M5XHL7")</f>
        <v>M5XHL7</v>
      </c>
      <c r="D11852" s="2" t="s">
        <v>9976</v>
      </c>
      <c r="E11852" s="3">
        <v>1.1699999999999999E-111</v>
      </c>
      <c r="F11852" s="2">
        <v>858</v>
      </c>
      <c r="G11852" s="2">
        <v>100</v>
      </c>
      <c r="H11852" s="2">
        <v>166</v>
      </c>
      <c r="I11852" s="2">
        <v>244</v>
      </c>
      <c r="J11852" s="2">
        <v>741</v>
      </c>
      <c r="K11852" s="2">
        <v>129</v>
      </c>
      <c r="L11852" s="2">
        <v>294</v>
      </c>
    </row>
    <row r="11853" spans="1:12" x14ac:dyDescent="0.25">
      <c r="A11853" s="4" t="str">
        <f>HYPERLINK("http://www.rosaceae.org/Prunus/Prunus_persica/p.persica_gdr_reftransV1_0039813","p.persica_gdr_reftransV1_0039813")</f>
        <v>p.persica_gdr_reftransV1_0039813</v>
      </c>
      <c r="B11853" s="2">
        <v>3143</v>
      </c>
      <c r="C11853" s="4" t="str">
        <f>HYPERLINK("http://www.uniprot.org/uniprot/M5W001","M5W001")</f>
        <v>M5W001</v>
      </c>
      <c r="D11853" s="2" t="s">
        <v>9977</v>
      </c>
      <c r="E11853" s="3">
        <v>1.2099999999999999E-75</v>
      </c>
      <c r="F11853" s="2">
        <v>660</v>
      </c>
      <c r="G11853" s="2">
        <v>98</v>
      </c>
      <c r="H11853" s="2">
        <v>125</v>
      </c>
      <c r="I11853" s="2">
        <v>518</v>
      </c>
      <c r="J11853" s="2">
        <v>892</v>
      </c>
      <c r="K11853" s="2">
        <v>97</v>
      </c>
      <c r="L11853" s="2">
        <v>221</v>
      </c>
    </row>
    <row r="11854" spans="1:12" x14ac:dyDescent="0.25">
      <c r="A11854" s="4" t="str">
        <f>HYPERLINK("http://www.rosaceae.org/Prunus/Prunus_persica/p.persica_gdr_reftransV1_0040513","p.persica_gdr_reftransV1_0040513")</f>
        <v>p.persica_gdr_reftransV1_0040513</v>
      </c>
      <c r="B11854" s="2">
        <v>982</v>
      </c>
      <c r="C11854" s="4" t="str">
        <f>HYPERLINK("http://www.uniprot.org/uniprot/M5VS77","M5VS77")</f>
        <v>M5VS77</v>
      </c>
      <c r="D11854" s="2" t="s">
        <v>9978</v>
      </c>
      <c r="E11854" s="3">
        <v>2.0799999999999999E-104</v>
      </c>
      <c r="F11854" s="2">
        <v>804</v>
      </c>
      <c r="G11854" s="2">
        <v>100</v>
      </c>
      <c r="H11854" s="2">
        <v>152</v>
      </c>
      <c r="I11854" s="2">
        <v>474</v>
      </c>
      <c r="J11854" s="2">
        <v>929</v>
      </c>
      <c r="K11854" s="2">
        <v>1</v>
      </c>
      <c r="L11854" s="2">
        <v>152</v>
      </c>
    </row>
    <row r="11855" spans="1:12" x14ac:dyDescent="0.25">
      <c r="A11855" s="4" t="str">
        <f>HYPERLINK("http://www.rosaceae.org/Prunus/Prunus_persica/p.persica_gdr_reftransV1_0043313","p.persica_gdr_reftransV1_0043313")</f>
        <v>p.persica_gdr_reftransV1_0043313</v>
      </c>
      <c r="B11855" s="2">
        <v>1428</v>
      </c>
      <c r="C11855" s="4" t="str">
        <f>HYPERLINK("http://www.uniprot.org/uniprot/M5XD48","M5XD48")</f>
        <v>M5XD48</v>
      </c>
      <c r="D11855" s="2" t="s">
        <v>9979</v>
      </c>
      <c r="E11855" s="3">
        <v>0</v>
      </c>
      <c r="F11855" s="2">
        <v>1626</v>
      </c>
      <c r="G11855" s="2">
        <v>100</v>
      </c>
      <c r="H11855" s="2">
        <v>349</v>
      </c>
      <c r="I11855" s="2">
        <v>116</v>
      </c>
      <c r="J11855" s="2">
        <v>1162</v>
      </c>
      <c r="K11855" s="2">
        <v>1</v>
      </c>
      <c r="L11855" s="2">
        <v>349</v>
      </c>
    </row>
    <row r="11856" spans="1:12" x14ac:dyDescent="0.25">
      <c r="A11856" s="4" t="str">
        <f>HYPERLINK("http://www.rosaceae.org/Prunus/Prunus_persica/p.persica_gdr_reftransV1_0043663","p.persica_gdr_reftransV1_0043663")</f>
        <v>p.persica_gdr_reftransV1_0043663</v>
      </c>
      <c r="B11856" s="2">
        <v>2526</v>
      </c>
      <c r="C11856" s="4" t="str">
        <f>HYPERLINK("http://www.uniprot.org/uniprot/M5X3U3","M5X3U3")</f>
        <v>M5X3U3</v>
      </c>
      <c r="D11856" s="2" t="s">
        <v>9980</v>
      </c>
      <c r="E11856" s="3">
        <v>0</v>
      </c>
      <c r="F11856" s="2">
        <v>3363</v>
      </c>
      <c r="G11856" s="2">
        <v>100</v>
      </c>
      <c r="H11856" s="2">
        <v>653</v>
      </c>
      <c r="I11856" s="2">
        <v>152</v>
      </c>
      <c r="J11856" s="2">
        <v>2110</v>
      </c>
      <c r="K11856" s="2">
        <v>11</v>
      </c>
      <c r="L11856" s="2">
        <v>663</v>
      </c>
    </row>
    <row r="11857" spans="1:12" x14ac:dyDescent="0.25">
      <c r="A11857" s="4" t="str">
        <f>HYPERLINK("http://www.rosaceae.org/Prunus/Prunus_persica/p.persica_gdr_reftransV1_0044013","p.persica_gdr_reftransV1_0044013")</f>
        <v>p.persica_gdr_reftransV1_0044013</v>
      </c>
      <c r="B11857" s="2">
        <v>1662</v>
      </c>
      <c r="C11857" s="4" t="str">
        <f>HYPERLINK("http://www.uniprot.org/uniprot/M5W9I6","M5W9I6")</f>
        <v>M5W9I6</v>
      </c>
      <c r="D11857" s="2" t="s">
        <v>1003</v>
      </c>
      <c r="E11857" s="3">
        <v>0</v>
      </c>
      <c r="F11857" s="2">
        <v>2068</v>
      </c>
      <c r="G11857" s="2">
        <v>100</v>
      </c>
      <c r="H11857" s="2">
        <v>412</v>
      </c>
      <c r="I11857" s="2">
        <v>175</v>
      </c>
      <c r="J11857" s="2">
        <v>1410</v>
      </c>
      <c r="K11857" s="2">
        <v>1</v>
      </c>
      <c r="L11857" s="2">
        <v>412</v>
      </c>
    </row>
    <row r="11858" spans="1:12" x14ac:dyDescent="0.25">
      <c r="A11858" s="4" t="str">
        <f>HYPERLINK("http://www.rosaceae.org/Prunus/Prunus_persica/p.persica_gdr_reftransV1_0044363","p.persica_gdr_reftransV1_0044363")</f>
        <v>p.persica_gdr_reftransV1_0044363</v>
      </c>
      <c r="B11858" s="2">
        <v>530</v>
      </c>
      <c r="C11858" s="4" t="str">
        <f>HYPERLINK("http://www.uniprot.org/uniprot/M5XN92","M5XN92")</f>
        <v>M5XN92</v>
      </c>
      <c r="D11858" s="2" t="s">
        <v>9981</v>
      </c>
      <c r="E11858" s="3">
        <v>3.2800000000000003E-73</v>
      </c>
      <c r="F11858" s="2">
        <v>585</v>
      </c>
      <c r="G11858" s="2">
        <v>100</v>
      </c>
      <c r="H11858" s="2">
        <v>108</v>
      </c>
      <c r="I11858" s="2">
        <v>7</v>
      </c>
      <c r="J11858" s="2">
        <v>330</v>
      </c>
      <c r="K11858" s="2">
        <v>77</v>
      </c>
      <c r="L11858" s="2">
        <v>184</v>
      </c>
    </row>
    <row r="11859" spans="1:12" x14ac:dyDescent="0.25">
      <c r="A11859" s="4" t="str">
        <f>HYPERLINK("http://www.rosaceae.org/Prunus/Prunus_persica/p.persica_gdr_reftransV1_0044713","p.persica_gdr_reftransV1_0044713")</f>
        <v>p.persica_gdr_reftransV1_0044713</v>
      </c>
      <c r="B11859" s="2">
        <v>3240</v>
      </c>
      <c r="C11859" s="4" t="str">
        <f>HYPERLINK("http://www.uniprot.org/uniprot/M5W6D8","M5W6D8")</f>
        <v>M5W6D8</v>
      </c>
      <c r="D11859" s="2" t="s">
        <v>9982</v>
      </c>
      <c r="E11859" s="3">
        <v>0</v>
      </c>
      <c r="F11859" s="2">
        <v>4066</v>
      </c>
      <c r="G11859" s="2">
        <v>100</v>
      </c>
      <c r="H11859" s="2">
        <v>864</v>
      </c>
      <c r="I11859" s="2">
        <v>649</v>
      </c>
      <c r="J11859" s="2">
        <v>3240</v>
      </c>
      <c r="K11859" s="2">
        <v>109</v>
      </c>
      <c r="L11859" s="2">
        <v>972</v>
      </c>
    </row>
    <row r="11860" spans="1:12" x14ac:dyDescent="0.25">
      <c r="A11860" s="4" t="str">
        <f>HYPERLINK("http://www.rosaceae.org/Prunus/Prunus_persica/p.persica_gdr_reftransV1_0045063","p.persica_gdr_reftransV1_0045063")</f>
        <v>p.persica_gdr_reftransV1_0045063</v>
      </c>
      <c r="B11860" s="2">
        <v>420</v>
      </c>
      <c r="C11860" s="4" t="str">
        <f>HYPERLINK("http://www.uniprot.org/uniprot/M5VRU8","M5VRU8")</f>
        <v>M5VRU8</v>
      </c>
      <c r="D11860" s="2" t="s">
        <v>4195</v>
      </c>
      <c r="E11860" s="3">
        <v>6.7200000000000003E-25</v>
      </c>
      <c r="F11860" s="2">
        <v>251</v>
      </c>
      <c r="G11860" s="2">
        <v>76</v>
      </c>
      <c r="H11860" s="2">
        <v>67</v>
      </c>
      <c r="I11860" s="2">
        <v>49</v>
      </c>
      <c r="J11860" s="2">
        <v>249</v>
      </c>
      <c r="K11860" s="2">
        <v>6</v>
      </c>
      <c r="L11860" s="2">
        <v>72</v>
      </c>
    </row>
    <row r="11861" spans="1:12" x14ac:dyDescent="0.25">
      <c r="A11861" s="4" t="str">
        <f>HYPERLINK("http://www.rosaceae.org/Prunus/Prunus_persica/p.persica_gdr_reftransV1_0045763","p.persica_gdr_reftransV1_0045763")</f>
        <v>p.persica_gdr_reftransV1_0045763</v>
      </c>
      <c r="B11861" s="2">
        <v>2189</v>
      </c>
      <c r="C11861" s="4" t="str">
        <f>HYPERLINK("http://www.uniprot.org/uniprot/M5WDW6","M5WDW6")</f>
        <v>M5WDW6</v>
      </c>
      <c r="D11861" s="2" t="s">
        <v>9983</v>
      </c>
      <c r="E11861" s="3">
        <v>0</v>
      </c>
      <c r="F11861" s="2">
        <v>3099</v>
      </c>
      <c r="G11861" s="2">
        <v>96</v>
      </c>
      <c r="H11861" s="2">
        <v>619</v>
      </c>
      <c r="I11861" s="2">
        <v>132</v>
      </c>
      <c r="J11861" s="2">
        <v>1988</v>
      </c>
      <c r="K11861" s="2">
        <v>1</v>
      </c>
      <c r="L11861" s="2">
        <v>619</v>
      </c>
    </row>
    <row r="11862" spans="1:12" x14ac:dyDescent="0.25">
      <c r="A11862" s="4" t="str">
        <f>HYPERLINK("http://www.rosaceae.org/Prunus/Prunus_persica/p.persica_gdr_reftransV1_0046463","p.persica_gdr_reftransV1_0046463")</f>
        <v>p.persica_gdr_reftransV1_0046463</v>
      </c>
      <c r="B11862" s="2">
        <v>991</v>
      </c>
      <c r="C11862" s="4" t="str">
        <f>HYPERLINK("http://www.uniprot.org/uniprot/M5VS19","M5VS19")</f>
        <v>M5VS19</v>
      </c>
      <c r="D11862" s="2" t="s">
        <v>9984</v>
      </c>
      <c r="E11862" s="3">
        <v>9.1399999999999997E-132</v>
      </c>
      <c r="F11862" s="2">
        <v>989</v>
      </c>
      <c r="G11862" s="2">
        <v>100</v>
      </c>
      <c r="H11862" s="2">
        <v>191</v>
      </c>
      <c r="I11862" s="2">
        <v>157</v>
      </c>
      <c r="J11862" s="2">
        <v>729</v>
      </c>
      <c r="K11862" s="2">
        <v>1</v>
      </c>
      <c r="L11862" s="2">
        <v>191</v>
      </c>
    </row>
    <row r="11863" spans="1:12" x14ac:dyDescent="0.25">
      <c r="A11863" s="4" t="str">
        <f>HYPERLINK("http://www.rosaceae.org/Prunus/Prunus_persica/p.persica_gdr_reftransV1_0046813","p.persica_gdr_reftransV1_0046813")</f>
        <v>p.persica_gdr_reftransV1_0046813</v>
      </c>
      <c r="B11863" s="2">
        <v>1253</v>
      </c>
      <c r="C11863" s="4" t="str">
        <f>HYPERLINK("http://www.uniprot.org/uniprot/A0A067KUS4","A0A067KUS4")</f>
        <v>A0A067KUS4</v>
      </c>
      <c r="D11863" s="2" t="s">
        <v>9985</v>
      </c>
      <c r="E11863" s="3">
        <v>2.4200000000000003E-97</v>
      </c>
      <c r="F11863" s="2">
        <v>776</v>
      </c>
      <c r="G11863" s="2">
        <v>70</v>
      </c>
      <c r="H11863" s="2">
        <v>252</v>
      </c>
      <c r="I11863" s="2">
        <v>314</v>
      </c>
      <c r="J11863" s="2">
        <v>1066</v>
      </c>
      <c r="K11863" s="2">
        <v>2</v>
      </c>
      <c r="L11863" s="2">
        <v>250</v>
      </c>
    </row>
    <row r="11864" spans="1:12" x14ac:dyDescent="0.25">
      <c r="A11864" s="4" t="str">
        <f>HYPERLINK("http://www.rosaceae.org/Prunus/Prunus_persica/p.persica_gdr_reftransV1_0047513","p.persica_gdr_reftransV1_0047513")</f>
        <v>p.persica_gdr_reftransV1_0047513</v>
      </c>
      <c r="B11864" s="2">
        <v>784</v>
      </c>
      <c r="C11864" s="4" t="str">
        <f>HYPERLINK("http://www.uniprot.org/uniprot/M5XCX7","M5XCX7")</f>
        <v>M5XCX7</v>
      </c>
      <c r="D11864" s="2" t="s">
        <v>9986</v>
      </c>
      <c r="E11864" s="3">
        <v>5.0800000000000005E-60</v>
      </c>
      <c r="F11864" s="2">
        <v>517</v>
      </c>
      <c r="G11864" s="2">
        <v>99</v>
      </c>
      <c r="H11864" s="2">
        <v>147</v>
      </c>
      <c r="I11864" s="2">
        <v>344</v>
      </c>
      <c r="J11864" s="2">
        <v>784</v>
      </c>
      <c r="K11864" s="2">
        <v>157</v>
      </c>
      <c r="L11864" s="2">
        <v>303</v>
      </c>
    </row>
    <row r="11865" spans="1:12" x14ac:dyDescent="0.25">
      <c r="A11865" s="4" t="str">
        <f>HYPERLINK("http://www.rosaceae.org/Prunus/Prunus_persica/p.persica_gdr_reftransV1_0047863","p.persica_gdr_reftransV1_0047863")</f>
        <v>p.persica_gdr_reftransV1_0047863</v>
      </c>
      <c r="B11865" s="2">
        <v>904</v>
      </c>
      <c r="C11865" s="4" t="str">
        <f>HYPERLINK("http://www.uniprot.org/uniprot/W9R3N5","W9R3N5")</f>
        <v>W9R3N5</v>
      </c>
      <c r="D11865" s="2" t="s">
        <v>9987</v>
      </c>
      <c r="E11865" s="3">
        <v>4.0300000000000002E-110</v>
      </c>
      <c r="F11865" s="2">
        <v>866</v>
      </c>
      <c r="G11865" s="2">
        <v>62</v>
      </c>
      <c r="H11865" s="2">
        <v>280</v>
      </c>
      <c r="I11865" s="2">
        <v>1</v>
      </c>
      <c r="J11865" s="2">
        <v>801</v>
      </c>
      <c r="K11865" s="2">
        <v>8</v>
      </c>
      <c r="L11865" s="2">
        <v>283</v>
      </c>
    </row>
    <row r="11866" spans="1:12" x14ac:dyDescent="0.25">
      <c r="A11866" s="4" t="str">
        <f>HYPERLINK("http://www.rosaceae.org/Prunus/Prunus_persica/p.persica_gdr_reftransV1_0048213","p.persica_gdr_reftransV1_0048213")</f>
        <v>p.persica_gdr_reftransV1_0048213</v>
      </c>
      <c r="B11866" s="2">
        <v>1680</v>
      </c>
      <c r="C11866" s="4" t="str">
        <f>HYPERLINK("http://www.uniprot.org/uniprot/M5WDZ4","M5WDZ4")</f>
        <v>M5WDZ4</v>
      </c>
      <c r="D11866" s="2" t="s">
        <v>9988</v>
      </c>
      <c r="E11866" s="3">
        <v>1.7099999999999999E-81</v>
      </c>
      <c r="F11866" s="2">
        <v>680</v>
      </c>
      <c r="G11866" s="2">
        <v>99</v>
      </c>
      <c r="H11866" s="2">
        <v>134</v>
      </c>
      <c r="I11866" s="2">
        <v>408</v>
      </c>
      <c r="J11866" s="2">
        <v>809</v>
      </c>
      <c r="K11866" s="2">
        <v>98</v>
      </c>
      <c r="L11866" s="2">
        <v>231</v>
      </c>
    </row>
    <row r="11867" spans="1:12" x14ac:dyDescent="0.25">
      <c r="A11867" s="4" t="str">
        <f>HYPERLINK("http://www.rosaceae.org/Prunus/Prunus_persica/p.persica_gdr_reftransV1_0000264","p.persica_gdr_reftransV1_0000264")</f>
        <v>p.persica_gdr_reftransV1_0000264</v>
      </c>
      <c r="B11867" s="2">
        <v>734</v>
      </c>
      <c r="C11867" s="4" t="str">
        <f>HYPERLINK("http://www.uniprot.org/uniprot/M5WZ12","M5WZ12")</f>
        <v>M5WZ12</v>
      </c>
      <c r="D11867" s="2" t="s">
        <v>9989</v>
      </c>
      <c r="E11867" s="3">
        <v>8.8500000000000002E-137</v>
      </c>
      <c r="F11867" s="2">
        <v>1020</v>
      </c>
      <c r="G11867" s="2">
        <v>86</v>
      </c>
      <c r="H11867" s="2">
        <v>230</v>
      </c>
      <c r="I11867" s="2">
        <v>45</v>
      </c>
      <c r="J11867" s="2">
        <v>734</v>
      </c>
      <c r="K11867" s="2">
        <v>1</v>
      </c>
      <c r="L11867" s="2">
        <v>198</v>
      </c>
    </row>
    <row r="11868" spans="1:12" x14ac:dyDescent="0.25">
      <c r="A11868" s="4" t="str">
        <f>HYPERLINK("http://www.rosaceae.org/Prunus/Prunus_persica/p.persica_gdr_reftransV1_0000614","p.persica_gdr_reftransV1_0000614")</f>
        <v>p.persica_gdr_reftransV1_0000614</v>
      </c>
      <c r="B11868" s="2">
        <v>1737</v>
      </c>
      <c r="C11868" s="4" t="str">
        <f>HYPERLINK("http://www.uniprot.org/uniprot/M5WUF1","M5WUF1")</f>
        <v>M5WUF1</v>
      </c>
      <c r="D11868" s="2" t="s">
        <v>4248</v>
      </c>
      <c r="E11868" s="3">
        <v>0</v>
      </c>
      <c r="F11868" s="2">
        <v>2182</v>
      </c>
      <c r="G11868" s="2">
        <v>100</v>
      </c>
      <c r="H11868" s="2">
        <v>419</v>
      </c>
      <c r="I11868" s="2">
        <v>156</v>
      </c>
      <c r="J11868" s="2">
        <v>1412</v>
      </c>
      <c r="K11868" s="2">
        <v>1</v>
      </c>
      <c r="L11868" s="2">
        <v>419</v>
      </c>
    </row>
    <row r="11869" spans="1:12" x14ac:dyDescent="0.25">
      <c r="A11869" s="4" t="str">
        <f>HYPERLINK("http://www.rosaceae.org/Prunus/Prunus_persica/p.persica_gdr_reftransV1_0001314","p.persica_gdr_reftransV1_0001314")</f>
        <v>p.persica_gdr_reftransV1_0001314</v>
      </c>
      <c r="B11869" s="2">
        <v>1790</v>
      </c>
      <c r="C11869" s="4" t="str">
        <f>HYPERLINK("http://www.uniprot.org/uniprot/M5W0G3","M5W0G3")</f>
        <v>M5W0G3</v>
      </c>
      <c r="D11869" s="2" t="s">
        <v>4119</v>
      </c>
      <c r="E11869" s="3">
        <v>7.2299999999999996E-103</v>
      </c>
      <c r="F11869" s="2">
        <v>830</v>
      </c>
      <c r="G11869" s="2">
        <v>100</v>
      </c>
      <c r="H11869" s="2">
        <v>270</v>
      </c>
      <c r="I11869" s="2">
        <v>101</v>
      </c>
      <c r="J11869" s="2">
        <v>910</v>
      </c>
      <c r="K11869" s="2">
        <v>1</v>
      </c>
      <c r="L11869" s="2">
        <v>270</v>
      </c>
    </row>
    <row r="11870" spans="1:12" x14ac:dyDescent="0.25">
      <c r="A11870" s="4" t="str">
        <f>HYPERLINK("http://www.rosaceae.org/Prunus/Prunus_persica/p.persica_gdr_reftransV1_0001664","p.persica_gdr_reftransV1_0001664")</f>
        <v>p.persica_gdr_reftransV1_0001664</v>
      </c>
      <c r="B11870" s="2">
        <v>1322</v>
      </c>
      <c r="C11870" s="4" t="str">
        <f>HYPERLINK("http://www.uniprot.org/uniprot/M5WVQ6","M5WVQ6")</f>
        <v>M5WVQ6</v>
      </c>
      <c r="D11870" s="2" t="s">
        <v>9990</v>
      </c>
      <c r="E11870" s="3">
        <v>3.7399999999999998E-136</v>
      </c>
      <c r="F11870" s="2">
        <v>1034</v>
      </c>
      <c r="G11870" s="2">
        <v>95</v>
      </c>
      <c r="H11870" s="2">
        <v>251</v>
      </c>
      <c r="I11870" s="2">
        <v>258</v>
      </c>
      <c r="J11870" s="2">
        <v>1010</v>
      </c>
      <c r="K11870" s="2">
        <v>1</v>
      </c>
      <c r="L11870" s="2">
        <v>239</v>
      </c>
    </row>
    <row r="11871" spans="1:12" x14ac:dyDescent="0.25">
      <c r="A11871" s="4" t="str">
        <f>HYPERLINK("http://www.rosaceae.org/Prunus/Prunus_persica/p.persica_gdr_reftransV1_0002014","p.persica_gdr_reftransV1_0002014")</f>
        <v>p.persica_gdr_reftransV1_0002014</v>
      </c>
      <c r="B11871" s="2">
        <v>363</v>
      </c>
      <c r="C11871" s="4" t="str">
        <f>HYPERLINK("http://www.uniprot.org/uniprot/M5VP61","M5VP61")</f>
        <v>M5VP61</v>
      </c>
      <c r="D11871" s="2" t="s">
        <v>5089</v>
      </c>
      <c r="E11871" s="3">
        <v>1.43E-36</v>
      </c>
      <c r="F11871" s="2">
        <v>360</v>
      </c>
      <c r="G11871" s="2">
        <v>66</v>
      </c>
      <c r="H11871" s="2">
        <v>118</v>
      </c>
      <c r="I11871" s="2">
        <v>5</v>
      </c>
      <c r="J11871" s="2">
        <v>358</v>
      </c>
      <c r="K11871" s="2">
        <v>697</v>
      </c>
      <c r="L11871" s="2">
        <v>807</v>
      </c>
    </row>
    <row r="11872" spans="1:12" x14ac:dyDescent="0.25">
      <c r="A11872" s="4" t="str">
        <f>HYPERLINK("http://www.rosaceae.org/Prunus/Prunus_persica/p.persica_gdr_reftransV1_0002714","p.persica_gdr_reftransV1_0002714")</f>
        <v>p.persica_gdr_reftransV1_0002714</v>
      </c>
      <c r="B11872" s="2">
        <v>3091</v>
      </c>
      <c r="C11872" s="4" t="str">
        <f>HYPERLINK("http://www.uniprot.org/uniprot/M5W899","M5W899")</f>
        <v>M5W899</v>
      </c>
      <c r="D11872" s="2" t="s">
        <v>529</v>
      </c>
      <c r="E11872" s="3">
        <v>0</v>
      </c>
      <c r="F11872" s="2">
        <v>2466</v>
      </c>
      <c r="G11872" s="2">
        <v>93</v>
      </c>
      <c r="H11872" s="2">
        <v>525</v>
      </c>
      <c r="I11872" s="2">
        <v>1136</v>
      </c>
      <c r="J11872" s="2">
        <v>2710</v>
      </c>
      <c r="K11872" s="2">
        <v>16</v>
      </c>
      <c r="L11872" s="2">
        <v>513</v>
      </c>
    </row>
    <row r="11873" spans="1:12" x14ac:dyDescent="0.25">
      <c r="A11873" s="4" t="str">
        <f>HYPERLINK("http://www.rosaceae.org/Prunus/Prunus_persica/p.persica_gdr_reftransV1_0003064","p.persica_gdr_reftransV1_0003064")</f>
        <v>p.persica_gdr_reftransV1_0003064</v>
      </c>
      <c r="B11873" s="2">
        <v>796</v>
      </c>
      <c r="C11873" s="4" t="str">
        <f>HYPERLINK("http://www.uniprot.org/uniprot/M5XKQ5","M5XKQ5")</f>
        <v>M5XKQ5</v>
      </c>
      <c r="D11873" s="2" t="s">
        <v>9991</v>
      </c>
      <c r="E11873" s="3">
        <v>6.7599999999999997E-115</v>
      </c>
      <c r="F11873" s="2">
        <v>872</v>
      </c>
      <c r="G11873" s="2">
        <v>100</v>
      </c>
      <c r="H11873" s="2">
        <v>164</v>
      </c>
      <c r="I11873" s="2">
        <v>2</v>
      </c>
      <c r="J11873" s="2">
        <v>493</v>
      </c>
      <c r="K11873" s="2">
        <v>42</v>
      </c>
      <c r="L11873" s="2">
        <v>205</v>
      </c>
    </row>
    <row r="11874" spans="1:12" x14ac:dyDescent="0.25">
      <c r="A11874" s="4" t="str">
        <f>HYPERLINK("http://www.rosaceae.org/Prunus/Prunus_persica/p.persica_gdr_reftransV1_0003414","p.persica_gdr_reftransV1_0003414")</f>
        <v>p.persica_gdr_reftransV1_0003414</v>
      </c>
      <c r="B11874" s="2">
        <v>2504</v>
      </c>
      <c r="C11874" s="4" t="str">
        <f>HYPERLINK("http://www.uniprot.org/uniprot/M5XBS2","M5XBS2")</f>
        <v>M5XBS2</v>
      </c>
      <c r="D11874" s="2" t="s">
        <v>9992</v>
      </c>
      <c r="E11874" s="3">
        <v>0</v>
      </c>
      <c r="F11874" s="2">
        <v>1822</v>
      </c>
      <c r="G11874" s="2">
        <v>100</v>
      </c>
      <c r="H11874" s="2">
        <v>354</v>
      </c>
      <c r="I11874" s="2">
        <v>355</v>
      </c>
      <c r="J11874" s="2">
        <v>1416</v>
      </c>
      <c r="K11874" s="2">
        <v>1</v>
      </c>
      <c r="L11874" s="2">
        <v>354</v>
      </c>
    </row>
    <row r="11875" spans="1:12" x14ac:dyDescent="0.25">
      <c r="A11875" s="4" t="str">
        <f>HYPERLINK("http://www.rosaceae.org/Prunus/Prunus_persica/p.persica_gdr_reftransV1_0003764","p.persica_gdr_reftransV1_0003764")</f>
        <v>p.persica_gdr_reftransV1_0003764</v>
      </c>
      <c r="B11875" s="2">
        <v>1962</v>
      </c>
      <c r="C11875" s="4" t="str">
        <f>HYPERLINK("http://www.uniprot.org/uniprot/M5VZG3","M5VZG3")</f>
        <v>M5VZG3</v>
      </c>
      <c r="D11875" s="2" t="s">
        <v>9993</v>
      </c>
      <c r="E11875" s="3">
        <v>0</v>
      </c>
      <c r="F11875" s="2">
        <v>3010</v>
      </c>
      <c r="G11875" s="2">
        <v>100</v>
      </c>
      <c r="H11875" s="2">
        <v>578</v>
      </c>
      <c r="I11875" s="2">
        <v>81</v>
      </c>
      <c r="J11875" s="2">
        <v>1814</v>
      </c>
      <c r="K11875" s="2">
        <v>1</v>
      </c>
      <c r="L11875" s="2">
        <v>578</v>
      </c>
    </row>
    <row r="11876" spans="1:12" x14ac:dyDescent="0.25">
      <c r="A11876" s="4" t="str">
        <f>HYPERLINK("http://www.rosaceae.org/Prunus/Prunus_persica/p.persica_gdr_reftransV1_0004464","p.persica_gdr_reftransV1_0004464")</f>
        <v>p.persica_gdr_reftransV1_0004464</v>
      </c>
      <c r="B11876" s="2">
        <v>3105</v>
      </c>
      <c r="C11876" s="4" t="str">
        <f>HYPERLINK("http://www.uniprot.org/uniprot/M5XBA7","M5XBA7")</f>
        <v>M5XBA7</v>
      </c>
      <c r="D11876" s="2" t="s">
        <v>1989</v>
      </c>
      <c r="E11876" s="3">
        <v>0</v>
      </c>
      <c r="F11876" s="2">
        <v>1736</v>
      </c>
      <c r="G11876" s="2">
        <v>100</v>
      </c>
      <c r="H11876" s="2">
        <v>346</v>
      </c>
      <c r="I11876" s="2">
        <v>1397</v>
      </c>
      <c r="J11876" s="2">
        <v>2434</v>
      </c>
      <c r="K11876" s="2">
        <v>71</v>
      </c>
      <c r="L11876" s="2">
        <v>416</v>
      </c>
    </row>
    <row r="11877" spans="1:12" x14ac:dyDescent="0.25">
      <c r="A11877" s="4" t="str">
        <f>HYPERLINK("http://www.rosaceae.org/Prunus/Prunus_persica/p.persica_gdr_reftransV1_0005864","p.persica_gdr_reftransV1_0005864")</f>
        <v>p.persica_gdr_reftransV1_0005864</v>
      </c>
      <c r="B11877" s="2">
        <v>554</v>
      </c>
      <c r="C11877" s="4" t="str">
        <f>HYPERLINK("http://www.uniprot.org/uniprot/M5VYJ1","M5VYJ1")</f>
        <v>M5VYJ1</v>
      </c>
      <c r="D11877" s="2" t="s">
        <v>9994</v>
      </c>
      <c r="E11877" s="3">
        <v>8.4499999999999993E-71</v>
      </c>
      <c r="F11877" s="2">
        <v>588</v>
      </c>
      <c r="G11877" s="2">
        <v>100</v>
      </c>
      <c r="H11877" s="2">
        <v>108</v>
      </c>
      <c r="I11877" s="2">
        <v>229</v>
      </c>
      <c r="J11877" s="2">
        <v>552</v>
      </c>
      <c r="K11877" s="2">
        <v>284</v>
      </c>
      <c r="L11877" s="2">
        <v>391</v>
      </c>
    </row>
    <row r="11878" spans="1:12" x14ac:dyDescent="0.25">
      <c r="A11878" s="4" t="str">
        <f>HYPERLINK("http://www.rosaceae.org/Prunus/Prunus_persica/p.persica_gdr_reftransV1_0006914","p.persica_gdr_reftransV1_0006914")</f>
        <v>p.persica_gdr_reftransV1_0006914</v>
      </c>
      <c r="B11878" s="2">
        <v>2292</v>
      </c>
      <c r="C11878" s="4" t="str">
        <f>HYPERLINK("http://www.uniprot.org/uniprot/M5W1P1","M5W1P1")</f>
        <v>M5W1P1</v>
      </c>
      <c r="D11878" s="2" t="s">
        <v>9995</v>
      </c>
      <c r="E11878" s="3">
        <v>0</v>
      </c>
      <c r="F11878" s="2">
        <v>1991</v>
      </c>
      <c r="G11878" s="2">
        <v>88</v>
      </c>
      <c r="H11878" s="2">
        <v>463</v>
      </c>
      <c r="I11878" s="2">
        <v>376</v>
      </c>
      <c r="J11878" s="2">
        <v>1752</v>
      </c>
      <c r="K11878" s="2">
        <v>1</v>
      </c>
      <c r="L11878" s="2">
        <v>454</v>
      </c>
    </row>
    <row r="11879" spans="1:12" x14ac:dyDescent="0.25">
      <c r="A11879" s="4" t="str">
        <f>HYPERLINK("http://www.rosaceae.org/Prunus/Prunus_persica/p.persica_gdr_reftransV1_0007264","p.persica_gdr_reftransV1_0007264")</f>
        <v>p.persica_gdr_reftransV1_0007264</v>
      </c>
      <c r="B11879" s="2">
        <v>1350</v>
      </c>
      <c r="C11879" s="4" t="str">
        <f>HYPERLINK("http://www.uniprot.org/uniprot/M5X2L3","M5X2L3")</f>
        <v>M5X2L3</v>
      </c>
      <c r="D11879" s="2" t="s">
        <v>3009</v>
      </c>
      <c r="E11879" s="3">
        <v>3.5699999999999998E-46</v>
      </c>
      <c r="F11879" s="2">
        <v>428</v>
      </c>
      <c r="G11879" s="2">
        <v>89</v>
      </c>
      <c r="H11879" s="2">
        <v>217</v>
      </c>
      <c r="I11879" s="2">
        <v>311</v>
      </c>
      <c r="J11879" s="2">
        <v>961</v>
      </c>
      <c r="K11879" s="2">
        <v>1</v>
      </c>
      <c r="L11879" s="2">
        <v>193</v>
      </c>
    </row>
    <row r="11880" spans="1:12" x14ac:dyDescent="0.25">
      <c r="A11880" s="4" t="str">
        <f>HYPERLINK("http://www.rosaceae.org/Prunus/Prunus_persica/p.persica_gdr_reftransV1_0007614","p.persica_gdr_reftransV1_0007614")</f>
        <v>p.persica_gdr_reftransV1_0007614</v>
      </c>
      <c r="B11880" s="2">
        <v>598</v>
      </c>
      <c r="C11880" s="4" t="str">
        <f>HYPERLINK("http://www.uniprot.org/uniprot/M5XGR8","M5XGR8")</f>
        <v>M5XGR8</v>
      </c>
      <c r="D11880" s="2" t="s">
        <v>3394</v>
      </c>
      <c r="E11880" s="3">
        <v>8.9800000000000002E-120</v>
      </c>
      <c r="F11880" s="2">
        <v>954</v>
      </c>
      <c r="G11880" s="2">
        <v>100</v>
      </c>
      <c r="H11880" s="2">
        <v>179</v>
      </c>
      <c r="I11880" s="2">
        <v>60</v>
      </c>
      <c r="J11880" s="2">
        <v>596</v>
      </c>
      <c r="K11880" s="2">
        <v>1</v>
      </c>
      <c r="L11880" s="2">
        <v>179</v>
      </c>
    </row>
    <row r="11881" spans="1:12" x14ac:dyDescent="0.25">
      <c r="A11881" s="4" t="str">
        <f>HYPERLINK("http://www.rosaceae.org/Prunus/Prunus_persica/p.persica_gdr_reftransV1_0007964","p.persica_gdr_reftransV1_0007964")</f>
        <v>p.persica_gdr_reftransV1_0007964</v>
      </c>
      <c r="B11881" s="2">
        <v>2712</v>
      </c>
      <c r="C11881" s="4" t="str">
        <f>HYPERLINK("http://www.uniprot.org/uniprot/M5W9G3","M5W9G3")</f>
        <v>M5W9G3</v>
      </c>
      <c r="D11881" s="2" t="s">
        <v>9996</v>
      </c>
      <c r="E11881" s="3">
        <v>0</v>
      </c>
      <c r="F11881" s="2">
        <v>2155</v>
      </c>
      <c r="G11881" s="2">
        <v>100</v>
      </c>
      <c r="H11881" s="2">
        <v>414</v>
      </c>
      <c r="I11881" s="2">
        <v>1292</v>
      </c>
      <c r="J11881" s="2">
        <v>2533</v>
      </c>
      <c r="K11881" s="2">
        <v>1</v>
      </c>
      <c r="L11881" s="2">
        <v>414</v>
      </c>
    </row>
    <row r="11882" spans="1:12" x14ac:dyDescent="0.25">
      <c r="A11882" s="4" t="str">
        <f>HYPERLINK("http://www.rosaceae.org/Prunus/Prunus_persica/p.persica_gdr_reftransV1_0008314","p.persica_gdr_reftransV1_0008314")</f>
        <v>p.persica_gdr_reftransV1_0008314</v>
      </c>
      <c r="B11882" s="2">
        <v>2359</v>
      </c>
      <c r="C11882" s="4" t="str">
        <f>HYPERLINK("http://www.uniprot.org/uniprot/M5Y1N8","M5Y1N8")</f>
        <v>M5Y1N8</v>
      </c>
      <c r="D11882" s="2" t="s">
        <v>9997</v>
      </c>
      <c r="E11882" s="3">
        <v>0</v>
      </c>
      <c r="F11882" s="2">
        <v>3388</v>
      </c>
      <c r="G11882" s="2">
        <v>100</v>
      </c>
      <c r="H11882" s="2">
        <v>655</v>
      </c>
      <c r="I11882" s="2">
        <v>30</v>
      </c>
      <c r="J11882" s="2">
        <v>1994</v>
      </c>
      <c r="K11882" s="2">
        <v>1</v>
      </c>
      <c r="L11882" s="2">
        <v>655</v>
      </c>
    </row>
    <row r="11883" spans="1:12" x14ac:dyDescent="0.25">
      <c r="A11883" s="4" t="str">
        <f>HYPERLINK("http://www.rosaceae.org/Prunus/Prunus_persica/p.persica_gdr_reftransV1_0008664","p.persica_gdr_reftransV1_0008664")</f>
        <v>p.persica_gdr_reftransV1_0008664</v>
      </c>
      <c r="B11883" s="2">
        <v>2006</v>
      </c>
      <c r="C11883" s="4" t="str">
        <f>HYPERLINK("http://www.uniprot.org/uniprot/M5XJM3","M5XJM3")</f>
        <v>M5XJM3</v>
      </c>
      <c r="D11883" s="2" t="s">
        <v>9998</v>
      </c>
      <c r="E11883" s="3">
        <v>0</v>
      </c>
      <c r="F11883" s="2">
        <v>2183</v>
      </c>
      <c r="G11883" s="2">
        <v>100</v>
      </c>
      <c r="H11883" s="2">
        <v>431</v>
      </c>
      <c r="I11883" s="2">
        <v>330</v>
      </c>
      <c r="J11883" s="2">
        <v>1622</v>
      </c>
      <c r="K11883" s="2">
        <v>1</v>
      </c>
      <c r="L11883" s="2">
        <v>431</v>
      </c>
    </row>
    <row r="11884" spans="1:12" x14ac:dyDescent="0.25">
      <c r="A11884" s="4" t="str">
        <f>HYPERLINK("http://www.rosaceae.org/Prunus/Prunus_persica/p.persica_gdr_reftransV1_0009014","p.persica_gdr_reftransV1_0009014")</f>
        <v>p.persica_gdr_reftransV1_0009014</v>
      </c>
      <c r="B11884" s="2">
        <v>1120</v>
      </c>
      <c r="C11884" s="4" t="str">
        <f>HYPERLINK("http://www.uniprot.org/uniprot/M5VX02","M5VX02")</f>
        <v>M5VX02</v>
      </c>
      <c r="D11884" s="2" t="s">
        <v>9999</v>
      </c>
      <c r="E11884" s="3">
        <v>0</v>
      </c>
      <c r="F11884" s="2">
        <v>1820</v>
      </c>
      <c r="G11884" s="2">
        <v>97</v>
      </c>
      <c r="H11884" s="2">
        <v>349</v>
      </c>
      <c r="I11884" s="2">
        <v>72</v>
      </c>
      <c r="J11884" s="2">
        <v>1118</v>
      </c>
      <c r="K11884" s="2">
        <v>28</v>
      </c>
      <c r="L11884" s="2">
        <v>376</v>
      </c>
    </row>
    <row r="11885" spans="1:12" x14ac:dyDescent="0.25">
      <c r="A11885" s="4" t="str">
        <f>HYPERLINK("http://www.rosaceae.org/Prunus/Prunus_persica/p.persica_gdr_reftransV1_0009364","p.persica_gdr_reftransV1_0009364")</f>
        <v>p.persica_gdr_reftransV1_0009364</v>
      </c>
      <c r="B11885" s="2">
        <v>1673</v>
      </c>
      <c r="C11885" s="4" t="str">
        <f>HYPERLINK("http://www.uniprot.org/uniprot/M5WV83","M5WV83")</f>
        <v>M5WV83</v>
      </c>
      <c r="D11885" s="2" t="s">
        <v>10000</v>
      </c>
      <c r="E11885" s="3">
        <v>1.2900000000000001E-108</v>
      </c>
      <c r="F11885" s="2">
        <v>860</v>
      </c>
      <c r="G11885" s="2">
        <v>82</v>
      </c>
      <c r="H11885" s="2">
        <v>226</v>
      </c>
      <c r="I11885" s="2">
        <v>708</v>
      </c>
      <c r="J11885" s="2">
        <v>1385</v>
      </c>
      <c r="K11885" s="2">
        <v>31</v>
      </c>
      <c r="L11885" s="2">
        <v>216</v>
      </c>
    </row>
    <row r="11886" spans="1:12" x14ac:dyDescent="0.25">
      <c r="A11886" s="4" t="str">
        <f>HYPERLINK("http://www.rosaceae.org/Prunus/Prunus_persica/p.persica_gdr_reftransV1_0011814","p.persica_gdr_reftransV1_0011814")</f>
        <v>p.persica_gdr_reftransV1_0011814</v>
      </c>
      <c r="B11886" s="2">
        <v>2832</v>
      </c>
      <c r="C11886" s="4" t="str">
        <f>HYPERLINK("http://www.uniprot.org/uniprot/M5VXJ5","M5VXJ5")</f>
        <v>M5VXJ5</v>
      </c>
      <c r="D11886" s="2" t="s">
        <v>10001</v>
      </c>
      <c r="E11886" s="3">
        <v>0</v>
      </c>
      <c r="F11886" s="2">
        <v>3276</v>
      </c>
      <c r="G11886" s="2">
        <v>100</v>
      </c>
      <c r="H11886" s="2">
        <v>713</v>
      </c>
      <c r="I11886" s="2">
        <v>516</v>
      </c>
      <c r="J11886" s="2">
        <v>2654</v>
      </c>
      <c r="K11886" s="2">
        <v>1</v>
      </c>
      <c r="L11886" s="2">
        <v>713</v>
      </c>
    </row>
    <row r="11887" spans="1:12" x14ac:dyDescent="0.25">
      <c r="A11887" s="4" t="str">
        <f>HYPERLINK("http://www.rosaceae.org/Prunus/Prunus_persica/p.persica_gdr_reftransV1_0012164","p.persica_gdr_reftransV1_0012164")</f>
        <v>p.persica_gdr_reftransV1_0012164</v>
      </c>
      <c r="B11887" s="2">
        <v>2715</v>
      </c>
      <c r="C11887" s="4" t="str">
        <f>HYPERLINK("http://www.uniprot.org/uniprot/M5WMU7","M5WMU7")</f>
        <v>M5WMU7</v>
      </c>
      <c r="D11887" s="2" t="s">
        <v>10002</v>
      </c>
      <c r="E11887" s="3">
        <v>0</v>
      </c>
      <c r="F11887" s="2">
        <v>2666</v>
      </c>
      <c r="G11887" s="2">
        <v>92</v>
      </c>
      <c r="H11887" s="2">
        <v>567</v>
      </c>
      <c r="I11887" s="2">
        <v>518</v>
      </c>
      <c r="J11887" s="2">
        <v>2218</v>
      </c>
      <c r="K11887" s="2">
        <v>1</v>
      </c>
      <c r="L11887" s="2">
        <v>523</v>
      </c>
    </row>
    <row r="11888" spans="1:12" x14ac:dyDescent="0.25">
      <c r="A11888" s="4" t="str">
        <f>HYPERLINK("http://www.rosaceae.org/Prunus/Prunus_persica/p.persica_gdr_reftransV1_0012514","p.persica_gdr_reftransV1_0012514")</f>
        <v>p.persica_gdr_reftransV1_0012514</v>
      </c>
      <c r="B11888" s="2">
        <v>2039</v>
      </c>
      <c r="C11888" s="4" t="str">
        <f>HYPERLINK("http://www.uniprot.org/uniprot/M5VJ77","M5VJ77")</f>
        <v>M5VJ77</v>
      </c>
      <c r="D11888" s="2" t="s">
        <v>10003</v>
      </c>
      <c r="E11888" s="3">
        <v>1.02E-112</v>
      </c>
      <c r="F11888" s="2">
        <v>915</v>
      </c>
      <c r="G11888" s="2">
        <v>99</v>
      </c>
      <c r="H11888" s="2">
        <v>188</v>
      </c>
      <c r="I11888" s="2">
        <v>1209</v>
      </c>
      <c r="J11888" s="2">
        <v>1772</v>
      </c>
      <c r="K11888" s="2">
        <v>24</v>
      </c>
      <c r="L11888" s="2">
        <v>211</v>
      </c>
    </row>
    <row r="11889" spans="1:12" x14ac:dyDescent="0.25">
      <c r="A11889" s="4" t="str">
        <f>HYPERLINK("http://www.rosaceae.org/Prunus/Prunus_persica/p.persica_gdr_reftransV1_0014964","p.persica_gdr_reftransV1_0014964")</f>
        <v>p.persica_gdr_reftransV1_0014964</v>
      </c>
      <c r="B11889" s="2">
        <v>526</v>
      </c>
      <c r="C11889" s="4" t="str">
        <f>HYPERLINK("http://www.uniprot.org/uniprot/F6HBK0","F6HBK0")</f>
        <v>F6HBK0</v>
      </c>
      <c r="D11889" s="2" t="s">
        <v>10004</v>
      </c>
      <c r="E11889" s="3">
        <v>1.8E-75</v>
      </c>
      <c r="F11889" s="2">
        <v>644</v>
      </c>
      <c r="G11889" s="2">
        <v>71</v>
      </c>
      <c r="H11889" s="2">
        <v>171</v>
      </c>
      <c r="I11889" s="2">
        <v>12</v>
      </c>
      <c r="J11889" s="2">
        <v>524</v>
      </c>
      <c r="K11889" s="2">
        <v>30</v>
      </c>
      <c r="L11889" s="2">
        <v>200</v>
      </c>
    </row>
    <row r="11890" spans="1:12" x14ac:dyDescent="0.25">
      <c r="A11890" s="4" t="str">
        <f>HYPERLINK("http://www.rosaceae.org/Prunus/Prunus_persica/p.persica_gdr_reftransV1_0015664","p.persica_gdr_reftransV1_0015664")</f>
        <v>p.persica_gdr_reftransV1_0015664</v>
      </c>
      <c r="B11890" s="2">
        <v>1511</v>
      </c>
      <c r="C11890" s="4" t="str">
        <f>HYPERLINK("http://www.uniprot.org/uniprot/M5VRL0","M5VRL0")</f>
        <v>M5VRL0</v>
      </c>
      <c r="D11890" s="2" t="s">
        <v>10005</v>
      </c>
      <c r="E11890" s="3">
        <v>6.14E-168</v>
      </c>
      <c r="F11890" s="2">
        <v>1254</v>
      </c>
      <c r="G11890" s="2">
        <v>100</v>
      </c>
      <c r="H11890" s="2">
        <v>269</v>
      </c>
      <c r="I11890" s="2">
        <v>410</v>
      </c>
      <c r="J11890" s="2">
        <v>1216</v>
      </c>
      <c r="K11890" s="2">
        <v>1</v>
      </c>
      <c r="L11890" s="2">
        <v>269</v>
      </c>
    </row>
    <row r="11891" spans="1:12" x14ac:dyDescent="0.25">
      <c r="A11891" s="4" t="str">
        <f>HYPERLINK("http://www.rosaceae.org/Prunus/Prunus_persica/p.persica_gdr_reftransV1_0016014","p.persica_gdr_reftransV1_0016014")</f>
        <v>p.persica_gdr_reftransV1_0016014</v>
      </c>
      <c r="B11891" s="2">
        <v>804</v>
      </c>
      <c r="C11891" s="4" t="str">
        <f>HYPERLINK("http://www.uniprot.org/uniprot/M5X2V9","M5X2V9")</f>
        <v>M5X2V9</v>
      </c>
      <c r="D11891" s="2" t="s">
        <v>10006</v>
      </c>
      <c r="E11891" s="3">
        <v>2.4000000000000001E-72</v>
      </c>
      <c r="F11891" s="2">
        <v>582</v>
      </c>
      <c r="G11891" s="2">
        <v>100</v>
      </c>
      <c r="H11891" s="2">
        <v>112</v>
      </c>
      <c r="I11891" s="2">
        <v>404</v>
      </c>
      <c r="J11891" s="2">
        <v>739</v>
      </c>
      <c r="K11891" s="2">
        <v>1</v>
      </c>
      <c r="L11891" s="2">
        <v>112</v>
      </c>
    </row>
    <row r="11892" spans="1:12" x14ac:dyDescent="0.25">
      <c r="A11892" s="4" t="str">
        <f>HYPERLINK("http://www.rosaceae.org/Prunus/Prunus_persica/p.persica_gdr_reftransV1_0016714","p.persica_gdr_reftransV1_0016714")</f>
        <v>p.persica_gdr_reftransV1_0016714</v>
      </c>
      <c r="B11892" s="2">
        <v>1167</v>
      </c>
      <c r="C11892" s="4" t="str">
        <f>HYPERLINK("http://www.uniprot.org/uniprot/M5Y5C0","M5Y5C0")</f>
        <v>M5Y5C0</v>
      </c>
      <c r="D11892" s="2" t="s">
        <v>10007</v>
      </c>
      <c r="E11892" s="3">
        <v>5.8599999999999999E-60</v>
      </c>
      <c r="F11892" s="2">
        <v>511</v>
      </c>
      <c r="G11892" s="2">
        <v>100</v>
      </c>
      <c r="H11892" s="2">
        <v>117</v>
      </c>
      <c r="I11892" s="2">
        <v>133</v>
      </c>
      <c r="J11892" s="2">
        <v>483</v>
      </c>
      <c r="K11892" s="2">
        <v>1</v>
      </c>
      <c r="L11892" s="2">
        <v>117</v>
      </c>
    </row>
    <row r="11893" spans="1:12" x14ac:dyDescent="0.25">
      <c r="A11893" s="4" t="str">
        <f>HYPERLINK("http://www.rosaceae.org/Prunus/Prunus_persica/p.persica_gdr_reftransV1_0017064","p.persica_gdr_reftransV1_0017064")</f>
        <v>p.persica_gdr_reftransV1_0017064</v>
      </c>
      <c r="B11893" s="2">
        <v>3505</v>
      </c>
      <c r="C11893" s="4" t="str">
        <f>HYPERLINK("http://www.uniprot.org/uniprot/I3UIH9","I3UIH9")</f>
        <v>I3UIH9</v>
      </c>
      <c r="D11893" s="2" t="s">
        <v>10008</v>
      </c>
      <c r="E11893" s="3">
        <v>0</v>
      </c>
      <c r="F11893" s="2">
        <v>4453</v>
      </c>
      <c r="G11893" s="2">
        <v>100</v>
      </c>
      <c r="H11893" s="2">
        <v>843</v>
      </c>
      <c r="I11893" s="2">
        <v>834</v>
      </c>
      <c r="J11893" s="2">
        <v>3362</v>
      </c>
      <c r="K11893" s="2">
        <v>1</v>
      </c>
      <c r="L11893" s="2">
        <v>843</v>
      </c>
    </row>
    <row r="11894" spans="1:12" x14ac:dyDescent="0.25">
      <c r="A11894" s="4" t="str">
        <f>HYPERLINK("http://www.rosaceae.org/Prunus/Prunus_persica/p.persica_gdr_reftransV1_0017414","p.persica_gdr_reftransV1_0017414")</f>
        <v>p.persica_gdr_reftransV1_0017414</v>
      </c>
      <c r="B11894" s="2">
        <v>6125</v>
      </c>
      <c r="C11894" s="4" t="str">
        <f>HYPERLINK("http://www.uniprot.org/uniprot/M5VUU9","M5VUU9")</f>
        <v>M5VUU9</v>
      </c>
      <c r="D11894" s="2" t="s">
        <v>10009</v>
      </c>
      <c r="E11894" s="3">
        <v>0</v>
      </c>
      <c r="F11894" s="2">
        <v>9295</v>
      </c>
      <c r="G11894" s="2">
        <v>97</v>
      </c>
      <c r="H11894" s="2">
        <v>1878</v>
      </c>
      <c r="I11894" s="2">
        <v>188</v>
      </c>
      <c r="J11894" s="2">
        <v>5821</v>
      </c>
      <c r="K11894" s="2">
        <v>1</v>
      </c>
      <c r="L11894" s="2">
        <v>1824</v>
      </c>
    </row>
    <row r="11895" spans="1:12" x14ac:dyDescent="0.25">
      <c r="A11895" s="4" t="str">
        <f>HYPERLINK("http://www.rosaceae.org/Prunus/Prunus_persica/p.persica_gdr_reftransV1_0017764","p.persica_gdr_reftransV1_0017764")</f>
        <v>p.persica_gdr_reftransV1_0017764</v>
      </c>
      <c r="B11895" s="2">
        <v>709</v>
      </c>
      <c r="C11895" s="4" t="str">
        <f>HYPERLINK("http://www.uniprot.org/uniprot/W9RBZ8","W9RBZ8")</f>
        <v>W9RBZ8</v>
      </c>
      <c r="D11895" s="2" t="s">
        <v>5340</v>
      </c>
      <c r="E11895" s="3">
        <v>3.1600000000000002E-67</v>
      </c>
      <c r="F11895" s="2">
        <v>584</v>
      </c>
      <c r="G11895" s="2">
        <v>85</v>
      </c>
      <c r="H11895" s="2">
        <v>124</v>
      </c>
      <c r="I11895" s="2">
        <v>337</v>
      </c>
      <c r="J11895" s="2">
        <v>708</v>
      </c>
      <c r="K11895" s="2">
        <v>1</v>
      </c>
      <c r="L11895" s="2">
        <v>124</v>
      </c>
    </row>
    <row r="11896" spans="1:12" x14ac:dyDescent="0.25">
      <c r="A11896" s="4" t="str">
        <f>HYPERLINK("http://www.rosaceae.org/Prunus/Prunus_persica/p.persica_gdr_reftransV1_0018464","p.persica_gdr_reftransV1_0018464")</f>
        <v>p.persica_gdr_reftransV1_0018464</v>
      </c>
      <c r="B11896" s="2">
        <v>671</v>
      </c>
      <c r="C11896" s="4" t="str">
        <f>HYPERLINK("http://www.uniprot.org/uniprot/M5Y6P7","M5Y6P7")</f>
        <v>M5Y6P7</v>
      </c>
      <c r="D11896" s="2" t="s">
        <v>1544</v>
      </c>
      <c r="E11896" s="3">
        <v>5.5699999999999997E-164</v>
      </c>
      <c r="F11896" s="2">
        <v>1209</v>
      </c>
      <c r="G11896" s="2">
        <v>100</v>
      </c>
      <c r="H11896" s="2">
        <v>223</v>
      </c>
      <c r="I11896" s="2">
        <v>3</v>
      </c>
      <c r="J11896" s="2">
        <v>671</v>
      </c>
      <c r="K11896" s="2">
        <v>45</v>
      </c>
      <c r="L11896" s="2">
        <v>267</v>
      </c>
    </row>
    <row r="11897" spans="1:12" x14ac:dyDescent="0.25">
      <c r="A11897" s="4" t="str">
        <f>HYPERLINK("http://www.rosaceae.org/Prunus/Prunus_persica/p.persica_gdr_reftransV1_0018814","p.persica_gdr_reftransV1_0018814")</f>
        <v>p.persica_gdr_reftransV1_0018814</v>
      </c>
      <c r="B11897" s="2">
        <v>675</v>
      </c>
      <c r="C11897" s="4" t="str">
        <f>HYPERLINK("http://www.uniprot.org/uniprot/M5X0B7","M5X0B7")</f>
        <v>M5X0B7</v>
      </c>
      <c r="D11897" s="2" t="s">
        <v>7447</v>
      </c>
      <c r="E11897" s="3">
        <v>1.9600000000000001E-48</v>
      </c>
      <c r="F11897" s="2">
        <v>438</v>
      </c>
      <c r="G11897" s="2">
        <v>88</v>
      </c>
      <c r="H11897" s="2">
        <v>96</v>
      </c>
      <c r="I11897" s="2">
        <v>307</v>
      </c>
      <c r="J11897" s="2">
        <v>594</v>
      </c>
      <c r="K11897" s="2">
        <v>245</v>
      </c>
      <c r="L11897" s="2">
        <v>340</v>
      </c>
    </row>
    <row r="11898" spans="1:12" x14ac:dyDescent="0.25">
      <c r="A11898" s="4" t="str">
        <f>HYPERLINK("http://www.rosaceae.org/Prunus/Prunus_persica/p.persica_gdr_reftransV1_0019864","p.persica_gdr_reftransV1_0019864")</f>
        <v>p.persica_gdr_reftransV1_0019864</v>
      </c>
      <c r="B11898" s="2">
        <v>1642</v>
      </c>
      <c r="C11898" s="4" t="str">
        <f>HYPERLINK("http://www.uniprot.org/uniprot/F6H5F1","F6H5F1")</f>
        <v>F6H5F1</v>
      </c>
      <c r="D11898" s="2" t="s">
        <v>10010</v>
      </c>
      <c r="E11898" s="3">
        <v>6.4300000000000004E-162</v>
      </c>
      <c r="F11898" s="2">
        <v>1245</v>
      </c>
      <c r="G11898" s="2">
        <v>69</v>
      </c>
      <c r="H11898" s="2">
        <v>416</v>
      </c>
      <c r="I11898" s="2">
        <v>307</v>
      </c>
      <c r="J11898" s="2">
        <v>1551</v>
      </c>
      <c r="K11898" s="2">
        <v>121</v>
      </c>
      <c r="L11898" s="2">
        <v>534</v>
      </c>
    </row>
    <row r="11899" spans="1:12" x14ac:dyDescent="0.25">
      <c r="A11899" s="4" t="str">
        <f>HYPERLINK("http://www.rosaceae.org/Prunus/Prunus_persica/p.persica_gdr_reftransV1_0020564","p.persica_gdr_reftransV1_0020564")</f>
        <v>p.persica_gdr_reftransV1_0020564</v>
      </c>
      <c r="B11899" s="2">
        <v>691</v>
      </c>
      <c r="C11899" s="4" t="str">
        <f>HYPERLINK("http://www.uniprot.org/uniprot/M5X0C5","M5X0C5")</f>
        <v>M5X0C5</v>
      </c>
      <c r="D11899" s="2" t="s">
        <v>10011</v>
      </c>
      <c r="E11899" s="3">
        <v>9.1600000000000002E-67</v>
      </c>
      <c r="F11899" s="2">
        <v>503</v>
      </c>
      <c r="G11899" s="2">
        <v>98</v>
      </c>
      <c r="H11899" s="2">
        <v>130</v>
      </c>
      <c r="I11899" s="2">
        <v>201</v>
      </c>
      <c r="J11899" s="2">
        <v>590</v>
      </c>
      <c r="K11899" s="2">
        <v>25</v>
      </c>
      <c r="L11899" s="2">
        <v>154</v>
      </c>
    </row>
    <row r="11900" spans="1:12" x14ac:dyDescent="0.25">
      <c r="A11900" s="4" t="str">
        <f>HYPERLINK("http://www.rosaceae.org/Prunus/Prunus_persica/p.persica_gdr_reftransV1_0021264","p.persica_gdr_reftransV1_0021264")</f>
        <v>p.persica_gdr_reftransV1_0021264</v>
      </c>
      <c r="B11900" s="2">
        <v>863</v>
      </c>
      <c r="C11900" s="4" t="str">
        <f>HYPERLINK("http://www.uniprot.org/uniprot/M5VZX0","M5VZX0")</f>
        <v>M5VZX0</v>
      </c>
      <c r="D11900" s="2" t="s">
        <v>8846</v>
      </c>
      <c r="E11900" s="3">
        <v>1.81E-80</v>
      </c>
      <c r="F11900" s="2">
        <v>653</v>
      </c>
      <c r="G11900" s="2">
        <v>100</v>
      </c>
      <c r="H11900" s="2">
        <v>130</v>
      </c>
      <c r="I11900" s="2">
        <v>472</v>
      </c>
      <c r="J11900" s="2">
        <v>861</v>
      </c>
      <c r="K11900" s="2">
        <v>25</v>
      </c>
      <c r="L11900" s="2">
        <v>154</v>
      </c>
    </row>
    <row r="11901" spans="1:12" x14ac:dyDescent="0.25">
      <c r="A11901" s="4" t="str">
        <f>HYPERLINK("http://www.rosaceae.org/Prunus/Prunus_persica/p.persica_gdr_reftransV1_0022664","p.persica_gdr_reftransV1_0022664")</f>
        <v>p.persica_gdr_reftransV1_0022664</v>
      </c>
      <c r="B11901" s="2">
        <v>2283</v>
      </c>
      <c r="C11901" s="4" t="str">
        <f>HYPERLINK("http://www.uniprot.org/uniprot/M5XK16","M5XK16")</f>
        <v>M5XK16</v>
      </c>
      <c r="D11901" s="2" t="s">
        <v>6672</v>
      </c>
      <c r="E11901" s="3">
        <v>0</v>
      </c>
      <c r="F11901" s="2">
        <v>1923</v>
      </c>
      <c r="G11901" s="2">
        <v>77</v>
      </c>
      <c r="H11901" s="2">
        <v>545</v>
      </c>
      <c r="I11901" s="2">
        <v>233</v>
      </c>
      <c r="J11901" s="2">
        <v>1852</v>
      </c>
      <c r="K11901" s="2">
        <v>41</v>
      </c>
      <c r="L11901" s="2">
        <v>499</v>
      </c>
    </row>
    <row r="11902" spans="1:12" x14ac:dyDescent="0.25">
      <c r="A11902" s="4" t="str">
        <f>HYPERLINK("http://www.rosaceae.org/Prunus/Prunus_persica/p.persica_gdr_reftransV1_0024064","p.persica_gdr_reftransV1_0024064")</f>
        <v>p.persica_gdr_reftransV1_0024064</v>
      </c>
      <c r="B11902" s="2">
        <v>3722</v>
      </c>
      <c r="C11902" s="4" t="str">
        <f>HYPERLINK("http://www.uniprot.org/uniprot/M5WQI1","M5WQI1")</f>
        <v>M5WQI1</v>
      </c>
      <c r="D11902" s="2" t="s">
        <v>10012</v>
      </c>
      <c r="E11902" s="3">
        <v>0</v>
      </c>
      <c r="F11902" s="2">
        <v>4650</v>
      </c>
      <c r="G11902" s="2">
        <v>100</v>
      </c>
      <c r="H11902" s="2">
        <v>870</v>
      </c>
      <c r="I11902" s="2">
        <v>649</v>
      </c>
      <c r="J11902" s="2">
        <v>3258</v>
      </c>
      <c r="K11902" s="2">
        <v>1</v>
      </c>
      <c r="L11902" s="2">
        <v>870</v>
      </c>
    </row>
    <row r="11903" spans="1:12" x14ac:dyDescent="0.25">
      <c r="A11903" s="4" t="str">
        <f>HYPERLINK("http://www.rosaceae.org/Prunus/Prunus_persica/p.persica_gdr_reftransV1_0026164","p.persica_gdr_reftransV1_0026164")</f>
        <v>p.persica_gdr_reftransV1_0026164</v>
      </c>
      <c r="B11903" s="2">
        <v>1949</v>
      </c>
      <c r="C11903" s="4" t="str">
        <f>HYPERLINK("http://www.uniprot.org/uniprot/M5XJD4","M5XJD4")</f>
        <v>M5XJD4</v>
      </c>
      <c r="D11903" s="2" t="s">
        <v>10013</v>
      </c>
      <c r="E11903" s="3">
        <v>3.74E-149</v>
      </c>
      <c r="F11903" s="2">
        <v>1145</v>
      </c>
      <c r="G11903" s="2">
        <v>100</v>
      </c>
      <c r="H11903" s="2">
        <v>281</v>
      </c>
      <c r="I11903" s="2">
        <v>960</v>
      </c>
      <c r="J11903" s="2">
        <v>1802</v>
      </c>
      <c r="K11903" s="2">
        <v>1</v>
      </c>
      <c r="L11903" s="2">
        <v>281</v>
      </c>
    </row>
    <row r="11904" spans="1:12" x14ac:dyDescent="0.25">
      <c r="A11904" s="4" t="str">
        <f>HYPERLINK("http://www.rosaceae.org/Prunus/Prunus_persica/p.persica_gdr_reftransV1_0027914","p.persica_gdr_reftransV1_0027914")</f>
        <v>p.persica_gdr_reftransV1_0027914</v>
      </c>
      <c r="B11904" s="2">
        <v>609</v>
      </c>
      <c r="C11904" s="4" t="str">
        <f>HYPERLINK("http://www.uniprot.org/uniprot/M5VNH9","M5VNH9")</f>
        <v>M5VNH9</v>
      </c>
      <c r="D11904" s="2" t="s">
        <v>10014</v>
      </c>
      <c r="E11904" s="3">
        <v>3.14E-112</v>
      </c>
      <c r="F11904" s="2">
        <v>856</v>
      </c>
      <c r="G11904" s="2">
        <v>99</v>
      </c>
      <c r="H11904" s="2">
        <v>159</v>
      </c>
      <c r="I11904" s="2">
        <v>131</v>
      </c>
      <c r="J11904" s="2">
        <v>607</v>
      </c>
      <c r="K11904" s="2">
        <v>126</v>
      </c>
      <c r="L11904" s="2">
        <v>284</v>
      </c>
    </row>
    <row r="11905" spans="1:12" x14ac:dyDescent="0.25">
      <c r="A11905" s="4" t="str">
        <f>HYPERLINK("http://www.rosaceae.org/Prunus/Prunus_persica/p.persica_gdr_reftransV1_0029314","p.persica_gdr_reftransV1_0029314")</f>
        <v>p.persica_gdr_reftransV1_0029314</v>
      </c>
      <c r="B11905" s="2">
        <v>3014</v>
      </c>
      <c r="C11905" s="4" t="str">
        <f>HYPERLINK("http://www.uniprot.org/uniprot/M5VVC5","M5VVC5")</f>
        <v>M5VVC5</v>
      </c>
      <c r="D11905" s="2" t="s">
        <v>1828</v>
      </c>
      <c r="E11905" s="3">
        <v>0</v>
      </c>
      <c r="F11905" s="2">
        <v>1847</v>
      </c>
      <c r="G11905" s="2">
        <v>91</v>
      </c>
      <c r="H11905" s="2">
        <v>416</v>
      </c>
      <c r="I11905" s="2">
        <v>634</v>
      </c>
      <c r="J11905" s="2">
        <v>1872</v>
      </c>
      <c r="K11905" s="2">
        <v>1137</v>
      </c>
      <c r="L11905" s="2">
        <v>1552</v>
      </c>
    </row>
    <row r="11906" spans="1:12" x14ac:dyDescent="0.25">
      <c r="A11906" s="4" t="str">
        <f>HYPERLINK("http://www.rosaceae.org/Prunus/Prunus_persica/p.persica_gdr_reftransV1_0030014","p.persica_gdr_reftransV1_0030014")</f>
        <v>p.persica_gdr_reftransV1_0030014</v>
      </c>
      <c r="B11906" s="2">
        <v>1745</v>
      </c>
      <c r="C11906" s="4" t="str">
        <f>HYPERLINK("http://www.uniprot.org/uniprot/M5W8H2","M5W8H2")</f>
        <v>M5W8H2</v>
      </c>
      <c r="D11906" s="2" t="s">
        <v>10015</v>
      </c>
      <c r="E11906" s="3">
        <v>0</v>
      </c>
      <c r="F11906" s="2">
        <v>1385</v>
      </c>
      <c r="G11906" s="2">
        <v>100</v>
      </c>
      <c r="H11906" s="2">
        <v>378</v>
      </c>
      <c r="I11906" s="2">
        <v>422</v>
      </c>
      <c r="J11906" s="2">
        <v>1555</v>
      </c>
      <c r="K11906" s="2">
        <v>1</v>
      </c>
      <c r="L11906" s="2">
        <v>378</v>
      </c>
    </row>
    <row r="11907" spans="1:12" x14ac:dyDescent="0.25">
      <c r="A11907" s="4" t="str">
        <f>HYPERLINK("http://www.rosaceae.org/Prunus/Prunus_persica/p.persica_gdr_reftransV1_0031414","p.persica_gdr_reftransV1_0031414")</f>
        <v>p.persica_gdr_reftransV1_0031414</v>
      </c>
      <c r="B11907" s="2">
        <v>8315</v>
      </c>
      <c r="C11907" s="4" t="str">
        <f>HYPERLINK("http://www.uniprot.org/uniprot/W9SAQ6","W9SAQ6")</f>
        <v>W9SAQ6</v>
      </c>
      <c r="D11907" s="2" t="s">
        <v>10016</v>
      </c>
      <c r="E11907" s="3">
        <v>0</v>
      </c>
      <c r="F11907" s="2">
        <v>8669</v>
      </c>
      <c r="G11907" s="2">
        <v>71</v>
      </c>
      <c r="H11907" s="2">
        <v>2482</v>
      </c>
      <c r="I11907" s="2">
        <v>404</v>
      </c>
      <c r="J11907" s="2">
        <v>7810</v>
      </c>
      <c r="K11907" s="2">
        <v>1</v>
      </c>
      <c r="L11907" s="2">
        <v>2395</v>
      </c>
    </row>
    <row r="11908" spans="1:12" x14ac:dyDescent="0.25">
      <c r="A11908" s="4" t="str">
        <f>HYPERLINK("http://www.rosaceae.org/Prunus/Prunus_persica/p.persica_gdr_reftransV1_0032464","p.persica_gdr_reftransV1_0032464")</f>
        <v>p.persica_gdr_reftransV1_0032464</v>
      </c>
      <c r="B11908" s="2">
        <v>733</v>
      </c>
      <c r="C11908" s="4" t="str">
        <f>HYPERLINK("http://www.uniprot.org/uniprot/M5XT48","M5XT48")</f>
        <v>M5XT48</v>
      </c>
      <c r="D11908" s="2" t="s">
        <v>10017</v>
      </c>
      <c r="E11908" s="3">
        <v>6.5100000000000003E-71</v>
      </c>
      <c r="F11908" s="2">
        <v>578</v>
      </c>
      <c r="G11908" s="2">
        <v>96</v>
      </c>
      <c r="H11908" s="2">
        <v>192</v>
      </c>
      <c r="I11908" s="2">
        <v>113</v>
      </c>
      <c r="J11908" s="2">
        <v>688</v>
      </c>
      <c r="K11908" s="2">
        <v>1</v>
      </c>
      <c r="L11908" s="2">
        <v>192</v>
      </c>
    </row>
    <row r="11909" spans="1:12" x14ac:dyDescent="0.25">
      <c r="A11909" s="4" t="str">
        <f>HYPERLINK("http://www.rosaceae.org/Prunus/Prunus_persica/p.persica_gdr_reftransV1_0033164","p.persica_gdr_reftransV1_0033164")</f>
        <v>p.persica_gdr_reftransV1_0033164</v>
      </c>
      <c r="B11909" s="2">
        <v>2384</v>
      </c>
      <c r="C11909" s="4" t="str">
        <f>HYPERLINK("http://www.uniprot.org/uniprot/M5WHU9","M5WHU9")</f>
        <v>M5WHU9</v>
      </c>
      <c r="D11909" s="2" t="s">
        <v>9023</v>
      </c>
      <c r="E11909" s="3">
        <v>0</v>
      </c>
      <c r="F11909" s="2">
        <v>2070</v>
      </c>
      <c r="G11909" s="2">
        <v>100</v>
      </c>
      <c r="H11909" s="2">
        <v>397</v>
      </c>
      <c r="I11909" s="2">
        <v>1009</v>
      </c>
      <c r="J11909" s="2">
        <v>2199</v>
      </c>
      <c r="K11909" s="2">
        <v>1</v>
      </c>
      <c r="L11909" s="2">
        <v>397</v>
      </c>
    </row>
    <row r="11910" spans="1:12" x14ac:dyDescent="0.25">
      <c r="A11910" s="4" t="str">
        <f>HYPERLINK("http://www.rosaceae.org/Prunus/Prunus_persica/p.persica_gdr_reftransV1_0037714","p.persica_gdr_reftransV1_0037714")</f>
        <v>p.persica_gdr_reftransV1_0037714</v>
      </c>
      <c r="B11910" s="2">
        <v>976</v>
      </c>
      <c r="C11910" s="4" t="str">
        <f>HYPERLINK("http://www.uniprot.org/uniprot/M5X028","M5X028")</f>
        <v>M5X028</v>
      </c>
      <c r="D11910" s="2" t="s">
        <v>3654</v>
      </c>
      <c r="E11910" s="3">
        <v>5.3300000000000004E-72</v>
      </c>
      <c r="F11910" s="2">
        <v>597</v>
      </c>
      <c r="G11910" s="2">
        <v>97</v>
      </c>
      <c r="H11910" s="2">
        <v>119</v>
      </c>
      <c r="I11910" s="2">
        <v>120</v>
      </c>
      <c r="J11910" s="2">
        <v>476</v>
      </c>
      <c r="K11910" s="2">
        <v>123</v>
      </c>
      <c r="L11910" s="2">
        <v>241</v>
      </c>
    </row>
    <row r="11911" spans="1:12" x14ac:dyDescent="0.25">
      <c r="A11911" s="4" t="str">
        <f>HYPERLINK("http://www.rosaceae.org/Prunus/Prunus_persica/p.persica_gdr_reftransV1_0040514","p.persica_gdr_reftransV1_0040514")</f>
        <v>p.persica_gdr_reftransV1_0040514</v>
      </c>
      <c r="B11911" s="2">
        <v>1292</v>
      </c>
      <c r="C11911" s="4" t="str">
        <f>HYPERLINK("http://www.uniprot.org/uniprot/M5XKX8","M5XKX8")</f>
        <v>M5XKX8</v>
      </c>
      <c r="D11911" s="2" t="s">
        <v>10018</v>
      </c>
      <c r="E11911" s="3">
        <v>2.0200000000000001E-106</v>
      </c>
      <c r="F11911" s="2">
        <v>831</v>
      </c>
      <c r="G11911" s="2">
        <v>100</v>
      </c>
      <c r="H11911" s="2">
        <v>180</v>
      </c>
      <c r="I11911" s="2">
        <v>498</v>
      </c>
      <c r="J11911" s="2">
        <v>1037</v>
      </c>
      <c r="K11911" s="2">
        <v>1</v>
      </c>
      <c r="L11911" s="2">
        <v>180</v>
      </c>
    </row>
    <row r="11912" spans="1:12" x14ac:dyDescent="0.25">
      <c r="A11912" s="4" t="str">
        <f>HYPERLINK("http://www.rosaceae.org/Prunus/Prunus_persica/p.persica_gdr_reftransV1_0041564","p.persica_gdr_reftransV1_0041564")</f>
        <v>p.persica_gdr_reftransV1_0041564</v>
      </c>
      <c r="B11912" s="2">
        <v>2539</v>
      </c>
      <c r="C11912" s="4" t="str">
        <f>HYPERLINK("http://www.uniprot.org/uniprot/M5XRZ1","M5XRZ1")</f>
        <v>M5XRZ1</v>
      </c>
      <c r="D11912" s="2" t="s">
        <v>10019</v>
      </c>
      <c r="E11912" s="3">
        <v>0</v>
      </c>
      <c r="F11912" s="2">
        <v>2803</v>
      </c>
      <c r="G11912" s="2">
        <v>100</v>
      </c>
      <c r="H11912" s="2">
        <v>550</v>
      </c>
      <c r="I11912" s="2">
        <v>807</v>
      </c>
      <c r="J11912" s="2">
        <v>2456</v>
      </c>
      <c r="K11912" s="2">
        <v>1</v>
      </c>
      <c r="L11912" s="2">
        <v>550</v>
      </c>
    </row>
    <row r="11913" spans="1:12" x14ac:dyDescent="0.25">
      <c r="A11913" s="4" t="str">
        <f>HYPERLINK("http://www.rosaceae.org/Prunus/Prunus_persica/p.persica_gdr_reftransV1_0042964","p.persica_gdr_reftransV1_0042964")</f>
        <v>p.persica_gdr_reftransV1_0042964</v>
      </c>
      <c r="B11913" s="2">
        <v>1863</v>
      </c>
      <c r="C11913" s="4" t="str">
        <f>HYPERLINK("http://www.uniprot.org/uniprot/M5VJ24","M5VJ24")</f>
        <v>M5VJ24</v>
      </c>
      <c r="D11913" s="2" t="s">
        <v>10020</v>
      </c>
      <c r="E11913" s="3">
        <v>0</v>
      </c>
      <c r="F11913" s="2">
        <v>1893</v>
      </c>
      <c r="G11913" s="2">
        <v>100</v>
      </c>
      <c r="H11913" s="2">
        <v>411</v>
      </c>
      <c r="I11913" s="2">
        <v>327</v>
      </c>
      <c r="J11913" s="2">
        <v>1559</v>
      </c>
      <c r="K11913" s="2">
        <v>1</v>
      </c>
      <c r="L11913" s="2">
        <v>411</v>
      </c>
    </row>
    <row r="11914" spans="1:12" x14ac:dyDescent="0.25">
      <c r="A11914" s="4" t="str">
        <f>HYPERLINK("http://www.rosaceae.org/Prunus/Prunus_persica/p.persica_gdr_reftransV1_0043314","p.persica_gdr_reftransV1_0043314")</f>
        <v>p.persica_gdr_reftransV1_0043314</v>
      </c>
      <c r="B11914" s="2">
        <v>1773</v>
      </c>
      <c r="C11914" s="4" t="str">
        <f>HYPERLINK("http://www.uniprot.org/uniprot/M5Y7B8","M5Y7B8")</f>
        <v>M5Y7B8</v>
      </c>
      <c r="D11914" s="2" t="s">
        <v>10021</v>
      </c>
      <c r="E11914" s="3">
        <v>0</v>
      </c>
      <c r="F11914" s="2">
        <v>1863</v>
      </c>
      <c r="G11914" s="2">
        <v>100</v>
      </c>
      <c r="H11914" s="2">
        <v>459</v>
      </c>
      <c r="I11914" s="2">
        <v>77</v>
      </c>
      <c r="J11914" s="2">
        <v>1453</v>
      </c>
      <c r="K11914" s="2">
        <v>1</v>
      </c>
      <c r="L11914" s="2">
        <v>459</v>
      </c>
    </row>
    <row r="11915" spans="1:12" x14ac:dyDescent="0.25">
      <c r="A11915" s="4" t="str">
        <f>HYPERLINK("http://www.rosaceae.org/Prunus/Prunus_persica/p.persica_gdr_reftransV1_0043664","p.persica_gdr_reftransV1_0043664")</f>
        <v>p.persica_gdr_reftransV1_0043664</v>
      </c>
      <c r="B11915" s="2">
        <v>674</v>
      </c>
      <c r="C11915" s="4" t="str">
        <f>HYPERLINK("http://www.uniprot.org/uniprot/A7Y7I2","A7Y7I2")</f>
        <v>A7Y7I2</v>
      </c>
      <c r="D11915" s="2" t="s">
        <v>10022</v>
      </c>
      <c r="E11915" s="3">
        <v>1.4500000000000001E-14</v>
      </c>
      <c r="F11915" s="2">
        <v>188</v>
      </c>
      <c r="G11915" s="2">
        <v>96</v>
      </c>
      <c r="H11915" s="2">
        <v>54</v>
      </c>
      <c r="I11915" s="2">
        <v>17</v>
      </c>
      <c r="J11915" s="2">
        <v>178</v>
      </c>
      <c r="K11915" s="2">
        <v>4</v>
      </c>
      <c r="L11915" s="2">
        <v>57</v>
      </c>
    </row>
    <row r="11916" spans="1:12" x14ac:dyDescent="0.25">
      <c r="A11916" s="4" t="str">
        <f>HYPERLINK("http://www.rosaceae.org/Prunus/Prunus_persica/p.persica_gdr_reftransV1_0044014","p.persica_gdr_reftransV1_0044014")</f>
        <v>p.persica_gdr_reftransV1_0044014</v>
      </c>
      <c r="B11916" s="2">
        <v>2679</v>
      </c>
      <c r="C11916" s="4" t="str">
        <f>HYPERLINK("http://www.uniprot.org/uniprot/M5WRY9","M5WRY9")</f>
        <v>M5WRY9</v>
      </c>
      <c r="D11916" s="2" t="s">
        <v>2210</v>
      </c>
      <c r="E11916" s="3">
        <v>0</v>
      </c>
      <c r="F11916" s="2">
        <v>4240</v>
      </c>
      <c r="G11916" s="2">
        <v>100</v>
      </c>
      <c r="H11916" s="2">
        <v>824</v>
      </c>
      <c r="I11916" s="2">
        <v>2</v>
      </c>
      <c r="J11916" s="2">
        <v>2473</v>
      </c>
      <c r="K11916" s="2">
        <v>1</v>
      </c>
      <c r="L11916" s="2">
        <v>824</v>
      </c>
    </row>
    <row r="11917" spans="1:12" x14ac:dyDescent="0.25">
      <c r="A11917" s="4" t="str">
        <f>HYPERLINK("http://www.rosaceae.org/Prunus/Prunus_persica/p.persica_gdr_reftransV1_0044714","p.persica_gdr_reftransV1_0044714")</f>
        <v>p.persica_gdr_reftransV1_0044714</v>
      </c>
      <c r="B11917" s="2">
        <v>1738</v>
      </c>
      <c r="C11917" s="4" t="str">
        <f>HYPERLINK("http://www.uniprot.org/uniprot/M5XD06","M5XD06")</f>
        <v>M5XD06</v>
      </c>
      <c r="D11917" s="2" t="s">
        <v>2653</v>
      </c>
      <c r="E11917" s="3">
        <v>0</v>
      </c>
      <c r="F11917" s="2">
        <v>2236</v>
      </c>
      <c r="G11917" s="2">
        <v>99</v>
      </c>
      <c r="H11917" s="2">
        <v>445</v>
      </c>
      <c r="I11917" s="2">
        <v>73</v>
      </c>
      <c r="J11917" s="2">
        <v>1407</v>
      </c>
      <c r="K11917" s="2">
        <v>3</v>
      </c>
      <c r="L11917" s="2">
        <v>447</v>
      </c>
    </row>
    <row r="11918" spans="1:12" x14ac:dyDescent="0.25">
      <c r="A11918" s="4" t="str">
        <f>HYPERLINK("http://www.rosaceae.org/Prunus/Prunus_persica/p.persica_gdr_reftransV1_0045064","p.persica_gdr_reftransV1_0045064")</f>
        <v>p.persica_gdr_reftransV1_0045064</v>
      </c>
      <c r="B11918" s="2">
        <v>1072</v>
      </c>
      <c r="C11918" s="4" t="str">
        <f>HYPERLINK("http://www.uniprot.org/uniprot/M5WRN3","M5WRN3")</f>
        <v>M5WRN3</v>
      </c>
      <c r="D11918" s="2" t="s">
        <v>6881</v>
      </c>
      <c r="E11918" s="3">
        <v>5.5699999999999997E-68</v>
      </c>
      <c r="F11918" s="2">
        <v>563</v>
      </c>
      <c r="G11918" s="2">
        <v>100</v>
      </c>
      <c r="H11918" s="2">
        <v>128</v>
      </c>
      <c r="I11918" s="2">
        <v>234</v>
      </c>
      <c r="J11918" s="2">
        <v>617</v>
      </c>
      <c r="K11918" s="2">
        <v>1</v>
      </c>
      <c r="L11918" s="2">
        <v>128</v>
      </c>
    </row>
    <row r="11919" spans="1:12" x14ac:dyDescent="0.25">
      <c r="A11919" s="4" t="str">
        <f>HYPERLINK("http://www.rosaceae.org/Prunus/Prunus_persica/p.persica_gdr_reftransV1_0045764","p.persica_gdr_reftransV1_0045764")</f>
        <v>p.persica_gdr_reftransV1_0045764</v>
      </c>
      <c r="B11919" s="2">
        <v>516</v>
      </c>
      <c r="C11919" s="4" t="str">
        <f>HYPERLINK("http://www.uniprot.org/uniprot/M5WN71","M5WN71")</f>
        <v>M5WN71</v>
      </c>
      <c r="D11919" s="2" t="s">
        <v>10023</v>
      </c>
      <c r="E11919" s="3">
        <v>2.8199999999999998E-88</v>
      </c>
      <c r="F11919" s="2">
        <v>698</v>
      </c>
      <c r="G11919" s="2">
        <v>100</v>
      </c>
      <c r="H11919" s="2">
        <v>166</v>
      </c>
      <c r="I11919" s="2">
        <v>17</v>
      </c>
      <c r="J11919" s="2">
        <v>514</v>
      </c>
      <c r="K11919" s="2">
        <v>167</v>
      </c>
      <c r="L11919" s="2">
        <v>332</v>
      </c>
    </row>
    <row r="11920" spans="1:12" x14ac:dyDescent="0.25">
      <c r="A11920" s="4" t="str">
        <f>HYPERLINK("http://www.rosaceae.org/Prunus/Prunus_persica/p.persica_gdr_reftransV1_0046114","p.persica_gdr_reftransV1_0046114")</f>
        <v>p.persica_gdr_reftransV1_0046114</v>
      </c>
      <c r="B11920" s="2">
        <v>1984</v>
      </c>
      <c r="C11920" s="4" t="str">
        <f>HYPERLINK("http://www.uniprot.org/uniprot/M5XRF1","M5XRF1")</f>
        <v>M5XRF1</v>
      </c>
      <c r="D11920" s="2" t="s">
        <v>7080</v>
      </c>
      <c r="E11920" s="3">
        <v>0</v>
      </c>
      <c r="F11920" s="2">
        <v>2385</v>
      </c>
      <c r="G11920" s="2">
        <v>100</v>
      </c>
      <c r="H11920" s="2">
        <v>471</v>
      </c>
      <c r="I11920" s="2">
        <v>447</v>
      </c>
      <c r="J11920" s="2">
        <v>1859</v>
      </c>
      <c r="K11920" s="2">
        <v>1</v>
      </c>
      <c r="L11920" s="2">
        <v>471</v>
      </c>
    </row>
    <row r="11921" spans="1:12" x14ac:dyDescent="0.25">
      <c r="A11921" s="4" t="str">
        <f>HYPERLINK("http://www.rosaceae.org/Prunus/Prunus_persica/p.persica_gdr_reftransV1_0046464","p.persica_gdr_reftransV1_0046464")</f>
        <v>p.persica_gdr_reftransV1_0046464</v>
      </c>
      <c r="B11921" s="2">
        <v>877</v>
      </c>
      <c r="C11921" s="4" t="str">
        <f>HYPERLINK("http://www.uniprot.org/uniprot/M5W7I0","M5W7I0")</f>
        <v>M5W7I0</v>
      </c>
      <c r="D11921" s="2" t="s">
        <v>10024</v>
      </c>
      <c r="E11921" s="3">
        <v>1.04E-42</v>
      </c>
      <c r="F11921" s="2">
        <v>414</v>
      </c>
      <c r="G11921" s="2">
        <v>100</v>
      </c>
      <c r="H11921" s="2">
        <v>134</v>
      </c>
      <c r="I11921" s="2">
        <v>18</v>
      </c>
      <c r="J11921" s="2">
        <v>419</v>
      </c>
      <c r="K11921" s="2">
        <v>1</v>
      </c>
      <c r="L11921" s="2">
        <v>134</v>
      </c>
    </row>
    <row r="11922" spans="1:12" x14ac:dyDescent="0.25">
      <c r="A11922" s="4" t="str">
        <f>HYPERLINK("http://www.rosaceae.org/Prunus/Prunus_persica/p.persica_gdr_reftransV1_0048564","p.persica_gdr_reftransV1_0048564")</f>
        <v>p.persica_gdr_reftransV1_0048564</v>
      </c>
      <c r="B11922" s="2">
        <v>3114</v>
      </c>
      <c r="C11922" s="4" t="str">
        <f>HYPERLINK("http://www.uniprot.org/uniprot/M5XPC8","M5XPC8")</f>
        <v>M5XPC8</v>
      </c>
      <c r="D11922" s="2" t="s">
        <v>10025</v>
      </c>
      <c r="E11922" s="3">
        <v>0</v>
      </c>
      <c r="F11922" s="2">
        <v>1877</v>
      </c>
      <c r="G11922" s="2">
        <v>99</v>
      </c>
      <c r="H11922" s="2">
        <v>356</v>
      </c>
      <c r="I11922" s="2">
        <v>583</v>
      </c>
      <c r="J11922" s="2">
        <v>1650</v>
      </c>
      <c r="K11922" s="2">
        <v>1</v>
      </c>
      <c r="L11922" s="2">
        <v>356</v>
      </c>
    </row>
    <row r="11923" spans="1:12" x14ac:dyDescent="0.25">
      <c r="A11923" s="4" t="str">
        <f>HYPERLINK("http://www.rosaceae.org/Prunus/Prunus_persica/p.persica_gdr_reftransV1_0048914","p.persica_gdr_reftransV1_0048914")</f>
        <v>p.persica_gdr_reftransV1_0048914</v>
      </c>
      <c r="B11923" s="2">
        <v>717</v>
      </c>
      <c r="C11923" s="4" t="str">
        <f>HYPERLINK("http://www.uniprot.org/uniprot/M5Y0L8","M5Y0L8")</f>
        <v>M5Y0L8</v>
      </c>
      <c r="D11923" s="2" t="s">
        <v>10026</v>
      </c>
      <c r="E11923" s="3">
        <v>1.3800000000000001E-161</v>
      </c>
      <c r="F11923" s="2">
        <v>1198</v>
      </c>
      <c r="G11923" s="2">
        <v>100</v>
      </c>
      <c r="H11923" s="2">
        <v>222</v>
      </c>
      <c r="I11923" s="2">
        <v>52</v>
      </c>
      <c r="J11923" s="2">
        <v>717</v>
      </c>
      <c r="K11923" s="2">
        <v>26</v>
      </c>
      <c r="L11923" s="2">
        <v>247</v>
      </c>
    </row>
    <row r="11924" spans="1:12" x14ac:dyDescent="0.25">
      <c r="A11924" s="4" t="str">
        <f>HYPERLINK("http://www.rosaceae.org/Prunus/Prunus_persica/p.persica_gdr_reftransV1_0000265","p.persica_gdr_reftransV1_0000265")</f>
        <v>p.persica_gdr_reftransV1_0000265</v>
      </c>
      <c r="B11924" s="2">
        <v>799</v>
      </c>
      <c r="C11924" s="4" t="str">
        <f>HYPERLINK("http://www.uniprot.org/uniprot/M5WC38","M5WC38")</f>
        <v>M5WC38</v>
      </c>
      <c r="D11924" s="2" t="s">
        <v>10027</v>
      </c>
      <c r="E11924" s="3">
        <v>1.77E-54</v>
      </c>
      <c r="F11924" s="2">
        <v>465</v>
      </c>
      <c r="G11924" s="2">
        <v>98</v>
      </c>
      <c r="H11924" s="2">
        <v>90</v>
      </c>
      <c r="I11924" s="2">
        <v>189</v>
      </c>
      <c r="J11924" s="2">
        <v>458</v>
      </c>
      <c r="K11924" s="2">
        <v>40</v>
      </c>
      <c r="L11924" s="2">
        <v>129</v>
      </c>
    </row>
    <row r="11925" spans="1:12" x14ac:dyDescent="0.25">
      <c r="A11925" s="4" t="str">
        <f>HYPERLINK("http://www.rosaceae.org/Prunus/Prunus_persica/p.persica_gdr_reftransV1_0000615","p.persica_gdr_reftransV1_0000615")</f>
        <v>p.persica_gdr_reftransV1_0000615</v>
      </c>
      <c r="B11925" s="2">
        <v>1306</v>
      </c>
      <c r="C11925" s="4" t="str">
        <f>HYPERLINK("http://www.uniprot.org/uniprot/M5WBW0","M5WBW0")</f>
        <v>M5WBW0</v>
      </c>
      <c r="D11925" s="2" t="s">
        <v>10028</v>
      </c>
      <c r="E11925" s="3">
        <v>5.2500000000000001E-148</v>
      </c>
      <c r="F11925" s="2">
        <v>1110</v>
      </c>
      <c r="G11925" s="2">
        <v>100</v>
      </c>
      <c r="H11925" s="2">
        <v>213</v>
      </c>
      <c r="I11925" s="2">
        <v>343</v>
      </c>
      <c r="J11925" s="2">
        <v>981</v>
      </c>
      <c r="K11925" s="2">
        <v>1</v>
      </c>
      <c r="L11925" s="2">
        <v>213</v>
      </c>
    </row>
    <row r="11926" spans="1:12" x14ac:dyDescent="0.25">
      <c r="A11926" s="4" t="str">
        <f>HYPERLINK("http://www.rosaceae.org/Prunus/Prunus_persica/p.persica_gdr_reftransV1_0000965","p.persica_gdr_reftransV1_0000965")</f>
        <v>p.persica_gdr_reftransV1_0000965</v>
      </c>
      <c r="B11926" s="2">
        <v>1076</v>
      </c>
      <c r="C11926" s="4" t="str">
        <f>HYPERLINK("http://www.uniprot.org/uniprot/M5X3Z7","M5X3Z7")</f>
        <v>M5X3Z7</v>
      </c>
      <c r="D11926" s="2" t="s">
        <v>10029</v>
      </c>
      <c r="E11926" s="3">
        <v>6.9799999999999995E-17</v>
      </c>
      <c r="F11926" s="2">
        <v>213</v>
      </c>
      <c r="G11926" s="2">
        <v>100</v>
      </c>
      <c r="H11926" s="2">
        <v>121</v>
      </c>
      <c r="I11926" s="2">
        <v>596</v>
      </c>
      <c r="J11926" s="2">
        <v>958</v>
      </c>
      <c r="K11926" s="2">
        <v>1</v>
      </c>
      <c r="L11926" s="2">
        <v>121</v>
      </c>
    </row>
    <row r="11927" spans="1:12" x14ac:dyDescent="0.25">
      <c r="A11927" s="4" t="str">
        <f>HYPERLINK("http://www.rosaceae.org/Prunus/Prunus_persica/p.persica_gdr_reftransV1_0001315","p.persica_gdr_reftransV1_0001315")</f>
        <v>p.persica_gdr_reftransV1_0001315</v>
      </c>
      <c r="B11927" s="2">
        <v>2227</v>
      </c>
      <c r="C11927" s="4" t="str">
        <f>HYPERLINK("http://www.uniprot.org/uniprot/M5XEH1","M5XEH1")</f>
        <v>M5XEH1</v>
      </c>
      <c r="D11927" s="2" t="s">
        <v>9674</v>
      </c>
      <c r="E11927" s="3">
        <v>0</v>
      </c>
      <c r="F11927" s="2">
        <v>2302</v>
      </c>
      <c r="G11927" s="2">
        <v>93</v>
      </c>
      <c r="H11927" s="2">
        <v>453</v>
      </c>
      <c r="I11927" s="2">
        <v>352</v>
      </c>
      <c r="J11927" s="2">
        <v>1710</v>
      </c>
      <c r="K11927" s="2">
        <v>1</v>
      </c>
      <c r="L11927" s="2">
        <v>453</v>
      </c>
    </row>
    <row r="11928" spans="1:12" x14ac:dyDescent="0.25">
      <c r="A11928" s="4" t="str">
        <f>HYPERLINK("http://www.rosaceae.org/Prunus/Prunus_persica/p.persica_gdr_reftransV1_0002015","p.persica_gdr_reftransV1_0002015")</f>
        <v>p.persica_gdr_reftransV1_0002015</v>
      </c>
      <c r="B11928" s="2">
        <v>602</v>
      </c>
      <c r="C11928" s="4" t="str">
        <f>HYPERLINK("http://www.uniprot.org/uniprot/W9RV44","W9RV44")</f>
        <v>W9RV44</v>
      </c>
      <c r="D11928" s="2" t="s">
        <v>3044</v>
      </c>
      <c r="E11928" s="3">
        <v>1.25E-26</v>
      </c>
      <c r="F11928" s="2">
        <v>285</v>
      </c>
      <c r="G11928" s="2">
        <v>81</v>
      </c>
      <c r="H11928" s="2">
        <v>69</v>
      </c>
      <c r="I11928" s="2">
        <v>1</v>
      </c>
      <c r="J11928" s="2">
        <v>207</v>
      </c>
      <c r="K11928" s="2">
        <v>51</v>
      </c>
      <c r="L11928" s="2">
        <v>117</v>
      </c>
    </row>
    <row r="11929" spans="1:12" x14ac:dyDescent="0.25">
      <c r="A11929" s="4" t="str">
        <f>HYPERLINK("http://www.rosaceae.org/Prunus/Prunus_persica/p.persica_gdr_reftransV1_0002715","p.persica_gdr_reftransV1_0002715")</f>
        <v>p.persica_gdr_reftransV1_0002715</v>
      </c>
      <c r="B11929" s="2">
        <v>403</v>
      </c>
      <c r="C11929" s="4" t="str">
        <f>HYPERLINK("http://www.uniprot.org/uniprot/I1S2L1","I1S2L1")</f>
        <v>I1S2L1</v>
      </c>
      <c r="D11929" s="2" t="s">
        <v>10030</v>
      </c>
      <c r="E11929" s="3">
        <v>5.1400000000000003E-68</v>
      </c>
      <c r="F11929" s="2">
        <v>579</v>
      </c>
      <c r="G11929" s="2">
        <v>93</v>
      </c>
      <c r="H11929" s="2">
        <v>133</v>
      </c>
      <c r="I11929" s="2">
        <v>3</v>
      </c>
      <c r="J11929" s="2">
        <v>401</v>
      </c>
      <c r="K11929" s="2">
        <v>219</v>
      </c>
      <c r="L11929" s="2">
        <v>351</v>
      </c>
    </row>
    <row r="11930" spans="1:12" x14ac:dyDescent="0.25">
      <c r="A11930" s="4" t="str">
        <f>HYPERLINK("http://www.rosaceae.org/Prunus/Prunus_persica/p.persica_gdr_reftransV1_0003065","p.persica_gdr_reftransV1_0003065")</f>
        <v>p.persica_gdr_reftransV1_0003065</v>
      </c>
      <c r="B11930" s="2">
        <v>1183</v>
      </c>
      <c r="C11930" s="4" t="str">
        <f>HYPERLINK("http://www.uniprot.org/uniprot/M5WV12","M5WV12")</f>
        <v>M5WV12</v>
      </c>
      <c r="D11930" s="2" t="s">
        <v>2100</v>
      </c>
      <c r="E11930" s="3">
        <v>1.8599999999999999E-179</v>
      </c>
      <c r="F11930" s="2">
        <v>1316</v>
      </c>
      <c r="G11930" s="2">
        <v>100</v>
      </c>
      <c r="H11930" s="2">
        <v>246</v>
      </c>
      <c r="I11930" s="2">
        <v>139</v>
      </c>
      <c r="J11930" s="2">
        <v>876</v>
      </c>
      <c r="K11930" s="2">
        <v>1</v>
      </c>
      <c r="L11930" s="2">
        <v>246</v>
      </c>
    </row>
    <row r="11931" spans="1:12" x14ac:dyDescent="0.25">
      <c r="A11931" s="4" t="str">
        <f>HYPERLINK("http://www.rosaceae.org/Prunus/Prunus_persica/p.persica_gdr_reftransV1_0004115","p.persica_gdr_reftransV1_0004115")</f>
        <v>p.persica_gdr_reftransV1_0004115</v>
      </c>
      <c r="B11931" s="2">
        <v>3268</v>
      </c>
      <c r="C11931" s="4" t="str">
        <f>HYPERLINK("http://www.uniprot.org/uniprot/M5WED0","M5WED0")</f>
        <v>M5WED0</v>
      </c>
      <c r="D11931" s="2" t="s">
        <v>2979</v>
      </c>
      <c r="E11931" s="3">
        <v>0</v>
      </c>
      <c r="F11931" s="2">
        <v>4852</v>
      </c>
      <c r="G11931" s="2">
        <v>100</v>
      </c>
      <c r="H11931" s="2">
        <v>954</v>
      </c>
      <c r="I11931" s="2">
        <v>291</v>
      </c>
      <c r="J11931" s="2">
        <v>3152</v>
      </c>
      <c r="K11931" s="2">
        <v>1</v>
      </c>
      <c r="L11931" s="2">
        <v>954</v>
      </c>
    </row>
    <row r="11932" spans="1:12" x14ac:dyDescent="0.25">
      <c r="A11932" s="4" t="str">
        <f>HYPERLINK("http://www.rosaceae.org/Prunus/Prunus_persica/p.persica_gdr_reftransV1_0004815","p.persica_gdr_reftransV1_0004815")</f>
        <v>p.persica_gdr_reftransV1_0004815</v>
      </c>
      <c r="B11932" s="2">
        <v>961</v>
      </c>
      <c r="C11932" s="4" t="str">
        <f>HYPERLINK("http://www.uniprot.org/uniprot/M5XQ80","M5XQ80")</f>
        <v>M5XQ80</v>
      </c>
      <c r="D11932" s="2" t="s">
        <v>10031</v>
      </c>
      <c r="E11932" s="3">
        <v>1.3E-113</v>
      </c>
      <c r="F11932" s="2">
        <v>883</v>
      </c>
      <c r="G11932" s="2">
        <v>93</v>
      </c>
      <c r="H11932" s="2">
        <v>202</v>
      </c>
      <c r="I11932" s="2">
        <v>343</v>
      </c>
      <c r="J11932" s="2">
        <v>933</v>
      </c>
      <c r="K11932" s="2">
        <v>139</v>
      </c>
      <c r="L11932" s="2">
        <v>340</v>
      </c>
    </row>
    <row r="11933" spans="1:12" x14ac:dyDescent="0.25">
      <c r="A11933" s="4" t="str">
        <f>HYPERLINK("http://www.rosaceae.org/Prunus/Prunus_persica/p.persica_gdr_reftransV1_0005165","p.persica_gdr_reftransV1_0005165")</f>
        <v>p.persica_gdr_reftransV1_0005165</v>
      </c>
      <c r="B11933" s="2">
        <v>1291</v>
      </c>
      <c r="C11933" s="4" t="str">
        <f>HYPERLINK("http://www.uniprot.org/uniprot/M5X0H5","M5X0H5")</f>
        <v>M5X0H5</v>
      </c>
      <c r="D11933" s="2" t="s">
        <v>5379</v>
      </c>
      <c r="E11933" s="3">
        <v>0</v>
      </c>
      <c r="F11933" s="2">
        <v>1033</v>
      </c>
      <c r="G11933" s="2">
        <v>100</v>
      </c>
      <c r="H11933" s="2">
        <v>191</v>
      </c>
      <c r="I11933" s="2">
        <v>72</v>
      </c>
      <c r="J11933" s="2">
        <v>644</v>
      </c>
      <c r="K11933" s="2">
        <v>144</v>
      </c>
      <c r="L11933" s="2">
        <v>334</v>
      </c>
    </row>
    <row r="11934" spans="1:12" x14ac:dyDescent="0.25">
      <c r="A11934" s="4" t="str">
        <f>HYPERLINK("http://www.rosaceae.org/Prunus/Prunus_persica/p.persica_gdr_reftransV1_0005515","p.persica_gdr_reftransV1_0005515")</f>
        <v>p.persica_gdr_reftransV1_0005515</v>
      </c>
      <c r="B11934" s="2">
        <v>326</v>
      </c>
      <c r="C11934" s="4" t="str">
        <f>HYPERLINK("http://www.uniprot.org/uniprot/B9SJ01","B9SJ01")</f>
        <v>B9SJ01</v>
      </c>
      <c r="D11934" s="2" t="s">
        <v>10032</v>
      </c>
      <c r="E11934" s="3">
        <v>1.6999999999999999E-20</v>
      </c>
      <c r="F11934" s="2">
        <v>239</v>
      </c>
      <c r="G11934" s="2">
        <v>49</v>
      </c>
      <c r="H11934" s="2">
        <v>109</v>
      </c>
      <c r="I11934" s="2">
        <v>3</v>
      </c>
      <c r="J11934" s="2">
        <v>326</v>
      </c>
      <c r="K11934" s="2">
        <v>4</v>
      </c>
      <c r="L11934" s="2">
        <v>111</v>
      </c>
    </row>
    <row r="11935" spans="1:12" x14ac:dyDescent="0.25">
      <c r="A11935" s="4" t="str">
        <f>HYPERLINK("http://www.rosaceae.org/Prunus/Prunus_persica/p.persica_gdr_reftransV1_0005865","p.persica_gdr_reftransV1_0005865")</f>
        <v>p.persica_gdr_reftransV1_0005865</v>
      </c>
      <c r="B11935" s="2">
        <v>462</v>
      </c>
      <c r="C11935" s="4" t="str">
        <f>HYPERLINK("http://www.uniprot.org/uniprot/M5VM23","M5VM23")</f>
        <v>M5VM23</v>
      </c>
      <c r="D11935" s="2" t="s">
        <v>6490</v>
      </c>
      <c r="E11935" s="3">
        <v>1.32E-109</v>
      </c>
      <c r="F11935" s="2">
        <v>849</v>
      </c>
      <c r="G11935" s="2">
        <v>100</v>
      </c>
      <c r="H11935" s="2">
        <v>153</v>
      </c>
      <c r="I11935" s="2">
        <v>2</v>
      </c>
      <c r="J11935" s="2">
        <v>460</v>
      </c>
      <c r="K11935" s="2">
        <v>53</v>
      </c>
      <c r="L11935" s="2">
        <v>205</v>
      </c>
    </row>
    <row r="11936" spans="1:12" x14ac:dyDescent="0.25">
      <c r="A11936" s="4" t="str">
        <f>HYPERLINK("http://www.rosaceae.org/Prunus/Prunus_persica/p.persica_gdr_reftransV1_0007615","p.persica_gdr_reftransV1_0007615")</f>
        <v>p.persica_gdr_reftransV1_0007615</v>
      </c>
      <c r="B11936" s="2">
        <v>1819</v>
      </c>
      <c r="C11936" s="4" t="str">
        <f>HYPERLINK("http://www.uniprot.org/uniprot/M5WDI6","M5WDI6")</f>
        <v>M5WDI6</v>
      </c>
      <c r="D11936" s="2" t="s">
        <v>9748</v>
      </c>
      <c r="E11936" s="3">
        <v>0</v>
      </c>
      <c r="F11936" s="2">
        <v>2191</v>
      </c>
      <c r="G11936" s="2">
        <v>96</v>
      </c>
      <c r="H11936" s="2">
        <v>497</v>
      </c>
      <c r="I11936" s="2">
        <v>3</v>
      </c>
      <c r="J11936" s="2">
        <v>1493</v>
      </c>
      <c r="K11936" s="2">
        <v>58</v>
      </c>
      <c r="L11936" s="2">
        <v>534</v>
      </c>
    </row>
    <row r="11937" spans="1:12" x14ac:dyDescent="0.25">
      <c r="A11937" s="4" t="str">
        <f>HYPERLINK("http://www.rosaceae.org/Prunus/Prunus_persica/p.persica_gdr_reftransV1_0007965","p.persica_gdr_reftransV1_0007965")</f>
        <v>p.persica_gdr_reftransV1_0007965</v>
      </c>
      <c r="B11937" s="2">
        <v>2411</v>
      </c>
      <c r="C11937" s="4" t="str">
        <f>HYPERLINK("http://www.uniprot.org/uniprot/M5WHJ4","M5WHJ4")</f>
        <v>M5WHJ4</v>
      </c>
      <c r="D11937" s="2" t="s">
        <v>10033</v>
      </c>
      <c r="E11937" s="3">
        <v>0</v>
      </c>
      <c r="F11937" s="2">
        <v>2813</v>
      </c>
      <c r="G11937" s="2">
        <v>100</v>
      </c>
      <c r="H11937" s="2">
        <v>519</v>
      </c>
      <c r="I11937" s="2">
        <v>513</v>
      </c>
      <c r="J11937" s="2">
        <v>2069</v>
      </c>
      <c r="K11937" s="2">
        <v>1</v>
      </c>
      <c r="L11937" s="2">
        <v>519</v>
      </c>
    </row>
    <row r="11938" spans="1:12" x14ac:dyDescent="0.25">
      <c r="A11938" s="4" t="str">
        <f>HYPERLINK("http://www.rosaceae.org/Prunus/Prunus_persica/p.persica_gdr_reftransV1_0008665","p.persica_gdr_reftransV1_0008665")</f>
        <v>p.persica_gdr_reftransV1_0008665</v>
      </c>
      <c r="B11938" s="2">
        <v>1015</v>
      </c>
      <c r="C11938" s="4" t="str">
        <f>HYPERLINK("http://www.uniprot.org/uniprot/M5WXY4","M5WXY4")</f>
        <v>M5WXY4</v>
      </c>
      <c r="D11938" s="2" t="s">
        <v>10034</v>
      </c>
      <c r="E11938" s="3">
        <v>0</v>
      </c>
      <c r="F11938" s="2">
        <v>1477</v>
      </c>
      <c r="G11938" s="2">
        <v>100</v>
      </c>
      <c r="H11938" s="2">
        <v>294</v>
      </c>
      <c r="I11938" s="2">
        <v>133</v>
      </c>
      <c r="J11938" s="2">
        <v>1014</v>
      </c>
      <c r="K11938" s="2">
        <v>11</v>
      </c>
      <c r="L11938" s="2">
        <v>304</v>
      </c>
    </row>
    <row r="11939" spans="1:12" x14ac:dyDescent="0.25">
      <c r="A11939" s="4" t="str">
        <f>HYPERLINK("http://www.rosaceae.org/Prunus/Prunus_persica/p.persica_gdr_reftransV1_0009015","p.persica_gdr_reftransV1_0009015")</f>
        <v>p.persica_gdr_reftransV1_0009015</v>
      </c>
      <c r="B11939" s="2">
        <v>1894</v>
      </c>
      <c r="C11939" s="4" t="str">
        <f>HYPERLINK("http://www.uniprot.org/uniprot/M5Y7Q5","M5Y7Q5")</f>
        <v>M5Y7Q5</v>
      </c>
      <c r="D11939" s="2" t="s">
        <v>7404</v>
      </c>
      <c r="E11939" s="3">
        <v>0</v>
      </c>
      <c r="F11939" s="2">
        <v>1426</v>
      </c>
      <c r="G11939" s="2">
        <v>96</v>
      </c>
      <c r="H11939" s="2">
        <v>269</v>
      </c>
      <c r="I11939" s="2">
        <v>3</v>
      </c>
      <c r="J11939" s="2">
        <v>809</v>
      </c>
      <c r="K11939" s="2">
        <v>550</v>
      </c>
      <c r="L11939" s="2">
        <v>818</v>
      </c>
    </row>
    <row r="11940" spans="1:12" x14ac:dyDescent="0.25">
      <c r="A11940" s="4" t="str">
        <f>HYPERLINK("http://www.rosaceae.org/Prunus/Prunus_persica/p.persica_gdr_reftransV1_0009365","p.persica_gdr_reftransV1_0009365")</f>
        <v>p.persica_gdr_reftransV1_0009365</v>
      </c>
      <c r="B11940" s="2">
        <v>1767</v>
      </c>
      <c r="C11940" s="4" t="str">
        <f>HYPERLINK("http://www.uniprot.org/uniprot/M5X107","M5X107")</f>
        <v>M5X107</v>
      </c>
      <c r="D11940" s="2" t="s">
        <v>10035</v>
      </c>
      <c r="E11940" s="3">
        <v>0</v>
      </c>
      <c r="F11940" s="2">
        <v>2245</v>
      </c>
      <c r="G11940" s="2">
        <v>100</v>
      </c>
      <c r="H11940" s="2">
        <v>471</v>
      </c>
      <c r="I11940" s="2">
        <v>105</v>
      </c>
      <c r="J11940" s="2">
        <v>1517</v>
      </c>
      <c r="K11940" s="2">
        <v>1</v>
      </c>
      <c r="L11940" s="2">
        <v>471</v>
      </c>
    </row>
    <row r="11941" spans="1:12" x14ac:dyDescent="0.25">
      <c r="A11941" s="4" t="str">
        <f>HYPERLINK("http://www.rosaceae.org/Prunus/Prunus_persica/p.persica_gdr_reftransV1_0009715","p.persica_gdr_reftransV1_0009715")</f>
        <v>p.persica_gdr_reftransV1_0009715</v>
      </c>
      <c r="B11941" s="2">
        <v>868</v>
      </c>
      <c r="C11941" s="4" t="str">
        <f>HYPERLINK("http://www.uniprot.org/uniprot/M5X7F1","M5X7F1")</f>
        <v>M5X7F1</v>
      </c>
      <c r="D11941" s="2" t="s">
        <v>375</v>
      </c>
      <c r="E11941" s="3">
        <v>5.8700000000000001E-89</v>
      </c>
      <c r="F11941" s="2">
        <v>704</v>
      </c>
      <c r="G11941" s="2">
        <v>97</v>
      </c>
      <c r="H11941" s="2">
        <v>210</v>
      </c>
      <c r="I11941" s="2">
        <v>149</v>
      </c>
      <c r="J11941" s="2">
        <v>778</v>
      </c>
      <c r="K11941" s="2">
        <v>1</v>
      </c>
      <c r="L11941" s="2">
        <v>210</v>
      </c>
    </row>
    <row r="11942" spans="1:12" x14ac:dyDescent="0.25">
      <c r="A11942" s="4" t="str">
        <f>HYPERLINK("http://www.rosaceae.org/Prunus/Prunus_persica/p.persica_gdr_reftransV1_0010415","p.persica_gdr_reftransV1_0010415")</f>
        <v>p.persica_gdr_reftransV1_0010415</v>
      </c>
      <c r="B11942" s="2">
        <v>3097</v>
      </c>
      <c r="C11942" s="4" t="str">
        <f>HYPERLINK("http://www.uniprot.org/uniprot/M5WNF0","M5WNF0")</f>
        <v>M5WNF0</v>
      </c>
      <c r="D11942" s="2" t="s">
        <v>10036</v>
      </c>
      <c r="E11942" s="3">
        <v>4.3900000000000003E-59</v>
      </c>
      <c r="F11942" s="2">
        <v>539</v>
      </c>
      <c r="G11942" s="2">
        <v>100</v>
      </c>
      <c r="H11942" s="2">
        <v>119</v>
      </c>
      <c r="I11942" s="2">
        <v>2531</v>
      </c>
      <c r="J11942" s="2">
        <v>2887</v>
      </c>
      <c r="K11942" s="2">
        <v>1</v>
      </c>
      <c r="L11942" s="2">
        <v>119</v>
      </c>
    </row>
    <row r="11943" spans="1:12" x14ac:dyDescent="0.25">
      <c r="A11943" s="4" t="str">
        <f>HYPERLINK("http://www.rosaceae.org/Prunus/Prunus_persica/p.persica_gdr_reftransV1_0011115","p.persica_gdr_reftransV1_0011115")</f>
        <v>p.persica_gdr_reftransV1_0011115</v>
      </c>
      <c r="B11943" s="2">
        <v>1315</v>
      </c>
      <c r="C11943" s="4" t="str">
        <f>HYPERLINK("http://www.uniprot.org/uniprot/M5WTX0","M5WTX0")</f>
        <v>M5WTX0</v>
      </c>
      <c r="D11943" s="2" t="s">
        <v>10037</v>
      </c>
      <c r="E11943" s="3">
        <v>6.3699999999999997E-165</v>
      </c>
      <c r="F11943" s="2">
        <v>1223</v>
      </c>
      <c r="G11943" s="2">
        <v>100</v>
      </c>
      <c r="H11943" s="2">
        <v>225</v>
      </c>
      <c r="I11943" s="2">
        <v>181</v>
      </c>
      <c r="J11943" s="2">
        <v>855</v>
      </c>
      <c r="K11943" s="2">
        <v>1</v>
      </c>
      <c r="L11943" s="2">
        <v>225</v>
      </c>
    </row>
    <row r="11944" spans="1:12" x14ac:dyDescent="0.25">
      <c r="A11944" s="4" t="str">
        <f>HYPERLINK("http://www.rosaceae.org/Prunus/Prunus_persica/p.persica_gdr_reftransV1_0011815","p.persica_gdr_reftransV1_0011815")</f>
        <v>p.persica_gdr_reftransV1_0011815</v>
      </c>
      <c r="B11944" s="2">
        <v>1539</v>
      </c>
      <c r="C11944" s="4" t="str">
        <f>HYPERLINK("http://www.uniprot.org/uniprot/M5X642","M5X642")</f>
        <v>M5X642</v>
      </c>
      <c r="D11944" s="2" t="s">
        <v>10038</v>
      </c>
      <c r="E11944" s="3">
        <v>0</v>
      </c>
      <c r="F11944" s="2">
        <v>1458</v>
      </c>
      <c r="G11944" s="2">
        <v>100</v>
      </c>
      <c r="H11944" s="2">
        <v>274</v>
      </c>
      <c r="I11944" s="2">
        <v>516</v>
      </c>
      <c r="J11944" s="2">
        <v>1337</v>
      </c>
      <c r="K11944" s="2">
        <v>1</v>
      </c>
      <c r="L11944" s="2">
        <v>274</v>
      </c>
    </row>
    <row r="11945" spans="1:12" x14ac:dyDescent="0.25">
      <c r="A11945" s="4" t="str">
        <f>HYPERLINK("http://www.rosaceae.org/Prunus/Prunus_persica/p.persica_gdr_reftransV1_0012165","p.persica_gdr_reftransV1_0012165")</f>
        <v>p.persica_gdr_reftransV1_0012165</v>
      </c>
      <c r="B11945" s="2">
        <v>2088</v>
      </c>
      <c r="C11945" s="4" t="str">
        <f>HYPERLINK("http://www.uniprot.org/uniprot/M5VMC5","M5VMC5")</f>
        <v>M5VMC5</v>
      </c>
      <c r="D11945" s="2" t="s">
        <v>10039</v>
      </c>
      <c r="E11945" s="3">
        <v>0</v>
      </c>
      <c r="F11945" s="2">
        <v>2019</v>
      </c>
      <c r="G11945" s="2">
        <v>100</v>
      </c>
      <c r="H11945" s="2">
        <v>508</v>
      </c>
      <c r="I11945" s="2">
        <v>318</v>
      </c>
      <c r="J11945" s="2">
        <v>1841</v>
      </c>
      <c r="K11945" s="2">
        <v>4</v>
      </c>
      <c r="L11945" s="2">
        <v>511</v>
      </c>
    </row>
    <row r="11946" spans="1:12" x14ac:dyDescent="0.25">
      <c r="A11946" s="4" t="str">
        <f>HYPERLINK("http://www.rosaceae.org/Prunus/Prunus_persica/p.persica_gdr_reftransV1_0012865","p.persica_gdr_reftransV1_0012865")</f>
        <v>p.persica_gdr_reftransV1_0012865</v>
      </c>
      <c r="B11946" s="2">
        <v>2176</v>
      </c>
      <c r="C11946" s="4" t="str">
        <f>HYPERLINK("http://www.uniprot.org/uniprot/M5XLE9","M5XLE9")</f>
        <v>M5XLE9</v>
      </c>
      <c r="D11946" s="2" t="s">
        <v>10040</v>
      </c>
      <c r="E11946" s="3">
        <v>0</v>
      </c>
      <c r="F11946" s="2">
        <v>2782</v>
      </c>
      <c r="G11946" s="2">
        <v>99</v>
      </c>
      <c r="H11946" s="2">
        <v>522</v>
      </c>
      <c r="I11946" s="2">
        <v>390</v>
      </c>
      <c r="J11946" s="2">
        <v>1946</v>
      </c>
      <c r="K11946" s="2">
        <v>1</v>
      </c>
      <c r="L11946" s="2">
        <v>522</v>
      </c>
    </row>
    <row r="11947" spans="1:12" x14ac:dyDescent="0.25">
      <c r="A11947" s="4" t="str">
        <f>HYPERLINK("http://www.rosaceae.org/Prunus/Prunus_persica/p.persica_gdr_reftransV1_0013215","p.persica_gdr_reftransV1_0013215")</f>
        <v>p.persica_gdr_reftransV1_0013215</v>
      </c>
      <c r="B11947" s="2">
        <v>1403</v>
      </c>
      <c r="C11947" s="4" t="str">
        <f>HYPERLINK("http://www.uniprot.org/uniprot/A0A087PQ99","A0A087PQ99")</f>
        <v>A0A087PQ99</v>
      </c>
      <c r="D11947" s="2" t="s">
        <v>2781</v>
      </c>
      <c r="E11947" s="3">
        <v>2.8900000000000001E-47</v>
      </c>
      <c r="F11947" s="2">
        <v>473</v>
      </c>
      <c r="G11947" s="2">
        <v>32</v>
      </c>
      <c r="H11947" s="2">
        <v>436</v>
      </c>
      <c r="I11947" s="2">
        <v>181</v>
      </c>
      <c r="J11947" s="2">
        <v>1392</v>
      </c>
      <c r="K11947" s="2">
        <v>25</v>
      </c>
      <c r="L11947" s="2">
        <v>429</v>
      </c>
    </row>
    <row r="11948" spans="1:12" x14ac:dyDescent="0.25">
      <c r="A11948" s="4" t="str">
        <f>HYPERLINK("http://www.rosaceae.org/Prunus/Prunus_persica/p.persica_gdr_reftransV1_0013915","p.persica_gdr_reftransV1_0013915")</f>
        <v>p.persica_gdr_reftransV1_0013915</v>
      </c>
      <c r="B11948" s="2">
        <v>2356</v>
      </c>
      <c r="C11948" s="4" t="str">
        <f>HYPERLINK("http://www.uniprot.org/uniprot/M5VYY6","M5VYY6")</f>
        <v>M5VYY6</v>
      </c>
      <c r="D11948" s="2" t="s">
        <v>10041</v>
      </c>
      <c r="E11948" s="3">
        <v>0</v>
      </c>
      <c r="F11948" s="2">
        <v>2463</v>
      </c>
      <c r="G11948" s="2">
        <v>100</v>
      </c>
      <c r="H11948" s="2">
        <v>487</v>
      </c>
      <c r="I11948" s="2">
        <v>453</v>
      </c>
      <c r="J11948" s="2">
        <v>1913</v>
      </c>
      <c r="K11948" s="2">
        <v>1</v>
      </c>
      <c r="L11948" s="2">
        <v>487</v>
      </c>
    </row>
    <row r="11949" spans="1:12" x14ac:dyDescent="0.25">
      <c r="A11949" s="4" t="str">
        <f>HYPERLINK("http://www.rosaceae.org/Prunus/Prunus_persica/p.persica_gdr_reftransV1_0014965","p.persica_gdr_reftransV1_0014965")</f>
        <v>p.persica_gdr_reftransV1_0014965</v>
      </c>
      <c r="B11949" s="2">
        <v>1160</v>
      </c>
      <c r="C11949" s="4" t="str">
        <f>HYPERLINK("http://www.uniprot.org/uniprot/M5XB65","M5XB65")</f>
        <v>M5XB65</v>
      </c>
      <c r="D11949" s="2" t="s">
        <v>10042</v>
      </c>
      <c r="E11949" s="3">
        <v>6.5199999999999999E-134</v>
      </c>
      <c r="F11949" s="2">
        <v>1009</v>
      </c>
      <c r="G11949" s="2">
        <v>99</v>
      </c>
      <c r="H11949" s="2">
        <v>191</v>
      </c>
      <c r="I11949" s="2">
        <v>427</v>
      </c>
      <c r="J11949" s="2">
        <v>999</v>
      </c>
      <c r="K11949" s="2">
        <v>1</v>
      </c>
      <c r="L11949" s="2">
        <v>191</v>
      </c>
    </row>
    <row r="11950" spans="1:12" x14ac:dyDescent="0.25">
      <c r="A11950" s="4" t="str">
        <f>HYPERLINK("http://www.rosaceae.org/Prunus/Prunus_persica/p.persica_gdr_reftransV1_0015315","p.persica_gdr_reftransV1_0015315")</f>
        <v>p.persica_gdr_reftransV1_0015315</v>
      </c>
      <c r="B11950" s="2">
        <v>2801</v>
      </c>
      <c r="C11950" s="4" t="str">
        <f>HYPERLINK("http://www.uniprot.org/uniprot/M5XSR7","M5XSR7")</f>
        <v>M5XSR7</v>
      </c>
      <c r="D11950" s="2" t="s">
        <v>9801</v>
      </c>
      <c r="E11950" s="3">
        <v>0</v>
      </c>
      <c r="F11950" s="2">
        <v>2278</v>
      </c>
      <c r="G11950" s="2">
        <v>92</v>
      </c>
      <c r="H11950" s="2">
        <v>592</v>
      </c>
      <c r="I11950" s="2">
        <v>1008</v>
      </c>
      <c r="J11950" s="2">
        <v>2783</v>
      </c>
      <c r="K11950" s="2">
        <v>41</v>
      </c>
      <c r="L11950" s="2">
        <v>632</v>
      </c>
    </row>
    <row r="11951" spans="1:12" x14ac:dyDescent="0.25">
      <c r="A11951" s="4" t="str">
        <f>HYPERLINK("http://www.rosaceae.org/Prunus/Prunus_persica/p.persica_gdr_reftransV1_0016015","p.persica_gdr_reftransV1_0016015")</f>
        <v>p.persica_gdr_reftransV1_0016015</v>
      </c>
      <c r="B11951" s="2">
        <v>1181</v>
      </c>
      <c r="C11951" s="4" t="str">
        <f>HYPERLINK("http://www.uniprot.org/uniprot/M5XEG3","M5XEG3")</f>
        <v>M5XEG3</v>
      </c>
      <c r="D11951" s="2" t="s">
        <v>10043</v>
      </c>
      <c r="E11951" s="3">
        <v>5.6100000000000002E-164</v>
      </c>
      <c r="F11951" s="2">
        <v>1238</v>
      </c>
      <c r="G11951" s="2">
        <v>100</v>
      </c>
      <c r="H11951" s="2">
        <v>261</v>
      </c>
      <c r="I11951" s="2">
        <v>3</v>
      </c>
      <c r="J11951" s="2">
        <v>785</v>
      </c>
      <c r="K11951" s="2">
        <v>223</v>
      </c>
      <c r="L11951" s="2">
        <v>483</v>
      </c>
    </row>
    <row r="11952" spans="1:12" x14ac:dyDescent="0.25">
      <c r="A11952" s="4" t="str">
        <f>HYPERLINK("http://www.rosaceae.org/Prunus/Prunus_persica/p.persica_gdr_reftransV1_0016715","p.persica_gdr_reftransV1_0016715")</f>
        <v>p.persica_gdr_reftransV1_0016715</v>
      </c>
      <c r="B11952" s="2">
        <v>2485</v>
      </c>
      <c r="C11952" s="4" t="str">
        <f>HYPERLINK("http://www.uniprot.org/uniprot/M5W403","M5W403")</f>
        <v>M5W403</v>
      </c>
      <c r="D11952" s="2" t="s">
        <v>9327</v>
      </c>
      <c r="E11952" s="3">
        <v>0</v>
      </c>
      <c r="F11952" s="2">
        <v>3158</v>
      </c>
      <c r="G11952" s="2">
        <v>94</v>
      </c>
      <c r="H11952" s="2">
        <v>675</v>
      </c>
      <c r="I11952" s="2">
        <v>459</v>
      </c>
      <c r="J11952" s="2">
        <v>2483</v>
      </c>
      <c r="K11952" s="2">
        <v>149</v>
      </c>
      <c r="L11952" s="2">
        <v>786</v>
      </c>
    </row>
    <row r="11953" spans="1:12" x14ac:dyDescent="0.25">
      <c r="A11953" s="4" t="str">
        <f>HYPERLINK("http://www.rosaceae.org/Prunus/Prunus_persica/p.persica_gdr_reftransV1_0017415","p.persica_gdr_reftransV1_0017415")</f>
        <v>p.persica_gdr_reftransV1_0017415</v>
      </c>
      <c r="B11953" s="2">
        <v>895</v>
      </c>
      <c r="C11953" s="4" t="str">
        <f>HYPERLINK("http://www.uniprot.org/uniprot/M5X1R2","M5X1R2")</f>
        <v>M5X1R2</v>
      </c>
      <c r="D11953" s="2" t="s">
        <v>5755</v>
      </c>
      <c r="E11953" s="3">
        <v>2.4699999999999999E-73</v>
      </c>
      <c r="F11953" s="2">
        <v>618</v>
      </c>
      <c r="G11953" s="2">
        <v>56</v>
      </c>
      <c r="H11953" s="2">
        <v>244</v>
      </c>
      <c r="I11953" s="2">
        <v>6</v>
      </c>
      <c r="J11953" s="2">
        <v>725</v>
      </c>
      <c r="K11953" s="2">
        <v>197</v>
      </c>
      <c r="L11953" s="2">
        <v>407</v>
      </c>
    </row>
    <row r="11954" spans="1:12" x14ac:dyDescent="0.25">
      <c r="A11954" s="4" t="str">
        <f>HYPERLINK("http://www.rosaceae.org/Prunus/Prunus_persica/p.persica_gdr_reftransV1_0018115","p.persica_gdr_reftransV1_0018115")</f>
        <v>p.persica_gdr_reftransV1_0018115</v>
      </c>
      <c r="B11954" s="2">
        <v>2418</v>
      </c>
      <c r="C11954" s="4" t="str">
        <f>HYPERLINK("http://www.uniprot.org/uniprot/M5WT16","M5WT16")</f>
        <v>M5WT16</v>
      </c>
      <c r="D11954" s="2" t="s">
        <v>10044</v>
      </c>
      <c r="E11954" s="3">
        <v>0</v>
      </c>
      <c r="F11954" s="2">
        <v>1894</v>
      </c>
      <c r="G11954" s="2">
        <v>99</v>
      </c>
      <c r="H11954" s="2">
        <v>375</v>
      </c>
      <c r="I11954" s="2">
        <v>830</v>
      </c>
      <c r="J11954" s="2">
        <v>1954</v>
      </c>
      <c r="K11954" s="2">
        <v>66</v>
      </c>
      <c r="L11954" s="2">
        <v>440</v>
      </c>
    </row>
    <row r="11955" spans="1:12" x14ac:dyDescent="0.25">
      <c r="A11955" s="4" t="str">
        <f>HYPERLINK("http://www.rosaceae.org/Prunus/Prunus_persica/p.persica_gdr_reftransV1_0018465","p.persica_gdr_reftransV1_0018465")</f>
        <v>p.persica_gdr_reftransV1_0018465</v>
      </c>
      <c r="B11955" s="2">
        <v>1151</v>
      </c>
      <c r="C11955" s="4" t="str">
        <f>HYPERLINK("http://www.uniprot.org/uniprot/M5XDK1","M5XDK1")</f>
        <v>M5XDK1</v>
      </c>
      <c r="D11955" s="2" t="s">
        <v>10045</v>
      </c>
      <c r="E11955" s="3">
        <v>2.0100000000000001E-123</v>
      </c>
      <c r="F11955" s="2">
        <v>941</v>
      </c>
      <c r="G11955" s="2">
        <v>100</v>
      </c>
      <c r="H11955" s="2">
        <v>203</v>
      </c>
      <c r="I11955" s="2">
        <v>223</v>
      </c>
      <c r="J11955" s="2">
        <v>831</v>
      </c>
      <c r="K11955" s="2">
        <v>1</v>
      </c>
      <c r="L11955" s="2">
        <v>203</v>
      </c>
    </row>
    <row r="11956" spans="1:12" x14ac:dyDescent="0.25">
      <c r="A11956" s="4" t="str">
        <f>HYPERLINK("http://www.rosaceae.org/Prunus/Prunus_persica/p.persica_gdr_reftransV1_0019515","p.persica_gdr_reftransV1_0019515")</f>
        <v>p.persica_gdr_reftransV1_0019515</v>
      </c>
      <c r="B11956" s="2">
        <v>1694</v>
      </c>
      <c r="C11956" s="4" t="str">
        <f>HYPERLINK("http://www.uniprot.org/uniprot/M5XAY0","M5XAY0")</f>
        <v>M5XAY0</v>
      </c>
      <c r="D11956" s="2" t="s">
        <v>6632</v>
      </c>
      <c r="E11956" s="3">
        <v>0</v>
      </c>
      <c r="F11956" s="2">
        <v>1155</v>
      </c>
      <c r="G11956" s="2">
        <v>100</v>
      </c>
      <c r="H11956" s="2">
        <v>253</v>
      </c>
      <c r="I11956" s="2">
        <v>524</v>
      </c>
      <c r="J11956" s="2">
        <v>1282</v>
      </c>
      <c r="K11956" s="2">
        <v>409</v>
      </c>
      <c r="L11956" s="2">
        <v>661</v>
      </c>
    </row>
    <row r="11957" spans="1:12" x14ac:dyDescent="0.25">
      <c r="A11957" s="4" t="str">
        <f>HYPERLINK("http://www.rosaceae.org/Prunus/Prunus_persica/p.persica_gdr_reftransV1_0020215","p.persica_gdr_reftransV1_0020215")</f>
        <v>p.persica_gdr_reftransV1_0020215</v>
      </c>
      <c r="B11957" s="2">
        <v>1684</v>
      </c>
      <c r="C11957" s="4" t="str">
        <f>HYPERLINK("http://www.uniprot.org/uniprot/M5XSH4","M5XSH4")</f>
        <v>M5XSH4</v>
      </c>
      <c r="D11957" s="2" t="s">
        <v>7010</v>
      </c>
      <c r="E11957" s="3">
        <v>0</v>
      </c>
      <c r="F11957" s="2">
        <v>1786</v>
      </c>
      <c r="G11957" s="2">
        <v>98</v>
      </c>
      <c r="H11957" s="2">
        <v>366</v>
      </c>
      <c r="I11957" s="2">
        <v>116</v>
      </c>
      <c r="J11957" s="2">
        <v>1207</v>
      </c>
      <c r="K11957" s="2">
        <v>1</v>
      </c>
      <c r="L11957" s="2">
        <v>366</v>
      </c>
    </row>
    <row r="11958" spans="1:12" x14ac:dyDescent="0.25">
      <c r="A11958" s="4" t="str">
        <f>HYPERLINK("http://www.rosaceae.org/Prunus/Prunus_persica/p.persica_gdr_reftransV1_0020565","p.persica_gdr_reftransV1_0020565")</f>
        <v>p.persica_gdr_reftransV1_0020565</v>
      </c>
      <c r="B11958" s="2">
        <v>1387</v>
      </c>
      <c r="C11958" s="4" t="str">
        <f>HYPERLINK("http://www.uniprot.org/uniprot/M5W8D8","M5W8D8")</f>
        <v>M5W8D8</v>
      </c>
      <c r="D11958" s="2" t="s">
        <v>10046</v>
      </c>
      <c r="E11958" s="3">
        <v>0</v>
      </c>
      <c r="F11958" s="2">
        <v>1377</v>
      </c>
      <c r="G11958" s="2">
        <v>94</v>
      </c>
      <c r="H11958" s="2">
        <v>299</v>
      </c>
      <c r="I11958" s="2">
        <v>378</v>
      </c>
      <c r="J11958" s="2">
        <v>1274</v>
      </c>
      <c r="K11958" s="2">
        <v>1</v>
      </c>
      <c r="L11958" s="2">
        <v>281</v>
      </c>
    </row>
    <row r="11959" spans="1:12" x14ac:dyDescent="0.25">
      <c r="A11959" s="4" t="str">
        <f>HYPERLINK("http://www.rosaceae.org/Prunus/Prunus_persica/p.persica_gdr_reftransV1_0021265","p.persica_gdr_reftransV1_0021265")</f>
        <v>p.persica_gdr_reftransV1_0021265</v>
      </c>
      <c r="B11959" s="2">
        <v>1312</v>
      </c>
      <c r="C11959" s="4" t="str">
        <f>HYPERLINK("http://www.uniprot.org/uniprot/M5X5Q1","M5X5Q1")</f>
        <v>M5X5Q1</v>
      </c>
      <c r="D11959" s="2" t="s">
        <v>10047</v>
      </c>
      <c r="E11959" s="3">
        <v>9.8800000000000006E-117</v>
      </c>
      <c r="F11959" s="2">
        <v>921</v>
      </c>
      <c r="G11959" s="2">
        <v>100</v>
      </c>
      <c r="H11959" s="2">
        <v>172</v>
      </c>
      <c r="I11959" s="2">
        <v>3</v>
      </c>
      <c r="J11959" s="2">
        <v>518</v>
      </c>
      <c r="K11959" s="2">
        <v>1</v>
      </c>
      <c r="L11959" s="2">
        <v>172</v>
      </c>
    </row>
    <row r="11960" spans="1:12" x14ac:dyDescent="0.25">
      <c r="A11960" s="4" t="str">
        <f>HYPERLINK("http://www.rosaceae.org/Prunus/Prunus_persica/p.persica_gdr_reftransV1_0022315","p.persica_gdr_reftransV1_0022315")</f>
        <v>p.persica_gdr_reftransV1_0022315</v>
      </c>
      <c r="B11960" s="2">
        <v>1248</v>
      </c>
      <c r="C11960" s="4" t="str">
        <f>HYPERLINK("http://www.uniprot.org/uniprot/W9RDB2","W9RDB2")</f>
        <v>W9RDB2</v>
      </c>
      <c r="D11960" s="2" t="s">
        <v>10048</v>
      </c>
      <c r="E11960" s="3">
        <v>1.6299999999999999E-73</v>
      </c>
      <c r="F11960" s="2">
        <v>454</v>
      </c>
      <c r="G11960" s="2">
        <v>83</v>
      </c>
      <c r="H11960" s="2">
        <v>106</v>
      </c>
      <c r="I11960" s="2">
        <v>61</v>
      </c>
      <c r="J11960" s="2">
        <v>378</v>
      </c>
      <c r="K11960" s="2">
        <v>1</v>
      </c>
      <c r="L11960" s="2">
        <v>105</v>
      </c>
    </row>
    <row r="11961" spans="1:12" x14ac:dyDescent="0.25">
      <c r="A11961" s="4" t="str">
        <f>HYPERLINK("http://www.rosaceae.org/Prunus/Prunus_persica/p.persica_gdr_reftransV1_0023365","p.persica_gdr_reftransV1_0023365")</f>
        <v>p.persica_gdr_reftransV1_0023365</v>
      </c>
      <c r="B11961" s="2">
        <v>2538</v>
      </c>
      <c r="C11961" s="4" t="str">
        <f>HYPERLINK("http://www.uniprot.org/uniprot/M5XKA9","M5XKA9")</f>
        <v>M5XKA9</v>
      </c>
      <c r="D11961" s="2" t="s">
        <v>10049</v>
      </c>
      <c r="E11961" s="3">
        <v>0</v>
      </c>
      <c r="F11961" s="2">
        <v>3355</v>
      </c>
      <c r="G11961" s="2">
        <v>100</v>
      </c>
      <c r="H11961" s="2">
        <v>688</v>
      </c>
      <c r="I11961" s="2">
        <v>475</v>
      </c>
      <c r="J11961" s="2">
        <v>2538</v>
      </c>
      <c r="K11961" s="2">
        <v>16</v>
      </c>
      <c r="L11961" s="2">
        <v>703</v>
      </c>
    </row>
    <row r="11962" spans="1:12" x14ac:dyDescent="0.25">
      <c r="A11962" s="4" t="str">
        <f>HYPERLINK("http://www.rosaceae.org/Prunus/Prunus_persica/p.persica_gdr_reftransV1_0024065","p.persica_gdr_reftransV1_0024065")</f>
        <v>p.persica_gdr_reftransV1_0024065</v>
      </c>
      <c r="B11962" s="2">
        <v>1849</v>
      </c>
      <c r="C11962" s="4" t="str">
        <f>HYPERLINK("http://www.uniprot.org/uniprot/M5X1U7","M5X1U7")</f>
        <v>M5X1U7</v>
      </c>
      <c r="D11962" s="2" t="s">
        <v>10050</v>
      </c>
      <c r="E11962" s="3">
        <v>0</v>
      </c>
      <c r="F11962" s="2">
        <v>2382</v>
      </c>
      <c r="G11962" s="2">
        <v>100</v>
      </c>
      <c r="H11962" s="2">
        <v>505</v>
      </c>
      <c r="I11962" s="2">
        <v>213</v>
      </c>
      <c r="J11962" s="2">
        <v>1727</v>
      </c>
      <c r="K11962" s="2">
        <v>1</v>
      </c>
      <c r="L11962" s="2">
        <v>505</v>
      </c>
    </row>
    <row r="11963" spans="1:12" x14ac:dyDescent="0.25">
      <c r="A11963" s="4" t="str">
        <f>HYPERLINK("http://www.rosaceae.org/Prunus/Prunus_persica/p.persica_gdr_reftransV1_0024765","p.persica_gdr_reftransV1_0024765")</f>
        <v>p.persica_gdr_reftransV1_0024765</v>
      </c>
      <c r="B11963" s="2">
        <v>3159</v>
      </c>
      <c r="C11963" s="4" t="str">
        <f>HYPERLINK("http://www.uniprot.org/uniprot/M5XRY7","M5XRY7")</f>
        <v>M5XRY7</v>
      </c>
      <c r="D11963" s="2" t="s">
        <v>10051</v>
      </c>
      <c r="E11963" s="3">
        <v>0</v>
      </c>
      <c r="F11963" s="2">
        <v>1451</v>
      </c>
      <c r="G11963" s="2">
        <v>100</v>
      </c>
      <c r="H11963" s="2">
        <v>267</v>
      </c>
      <c r="I11963" s="2">
        <v>1876</v>
      </c>
      <c r="J11963" s="2">
        <v>2676</v>
      </c>
      <c r="K11963" s="2">
        <v>195</v>
      </c>
      <c r="L11963" s="2">
        <v>461</v>
      </c>
    </row>
    <row r="11964" spans="1:12" x14ac:dyDescent="0.25">
      <c r="A11964" s="4" t="str">
        <f>HYPERLINK("http://www.rosaceae.org/Prunus/Prunus_persica/p.persica_gdr_reftransV1_0026165","p.persica_gdr_reftransV1_0026165")</f>
        <v>p.persica_gdr_reftransV1_0026165</v>
      </c>
      <c r="B11964" s="2">
        <v>2223</v>
      </c>
      <c r="C11964" s="4" t="str">
        <f>HYPERLINK("http://www.uniprot.org/uniprot/M5XDP2","M5XDP2")</f>
        <v>M5XDP2</v>
      </c>
      <c r="D11964" s="2" t="s">
        <v>10052</v>
      </c>
      <c r="E11964" s="3">
        <v>0</v>
      </c>
      <c r="F11964" s="2">
        <v>1994</v>
      </c>
      <c r="G11964" s="2">
        <v>100</v>
      </c>
      <c r="H11964" s="2">
        <v>476</v>
      </c>
      <c r="I11964" s="2">
        <v>577</v>
      </c>
      <c r="J11964" s="2">
        <v>2004</v>
      </c>
      <c r="K11964" s="2">
        <v>1</v>
      </c>
      <c r="L11964" s="2">
        <v>476</v>
      </c>
    </row>
    <row r="11965" spans="1:12" x14ac:dyDescent="0.25">
      <c r="A11965" s="4" t="str">
        <f>HYPERLINK("http://www.rosaceae.org/Prunus/Prunus_persica/p.persica_gdr_reftransV1_0026515","p.persica_gdr_reftransV1_0026515")</f>
        <v>p.persica_gdr_reftransV1_0026515</v>
      </c>
      <c r="B11965" s="2">
        <v>4556</v>
      </c>
      <c r="C11965" s="4" t="str">
        <f>HYPERLINK("http://www.uniprot.org/uniprot/M5WUT3","M5WUT3")</f>
        <v>M5WUT3</v>
      </c>
      <c r="D11965" s="2" t="s">
        <v>10053</v>
      </c>
      <c r="E11965" s="3">
        <v>3.3600000000000001E-180</v>
      </c>
      <c r="F11965" s="2">
        <v>1422</v>
      </c>
      <c r="G11965" s="2">
        <v>100</v>
      </c>
      <c r="H11965" s="2">
        <v>266</v>
      </c>
      <c r="I11965" s="2">
        <v>2267</v>
      </c>
      <c r="J11965" s="2">
        <v>3064</v>
      </c>
      <c r="K11965" s="2">
        <v>66</v>
      </c>
      <c r="L11965" s="2">
        <v>331</v>
      </c>
    </row>
    <row r="11966" spans="1:12" x14ac:dyDescent="0.25">
      <c r="A11966" s="4" t="str">
        <f>HYPERLINK("http://www.rosaceae.org/Prunus/Prunus_persica/p.persica_gdr_reftransV1_0027565","p.persica_gdr_reftransV1_0027565")</f>
        <v>p.persica_gdr_reftransV1_0027565</v>
      </c>
      <c r="B11966" s="2">
        <v>873</v>
      </c>
      <c r="C11966" s="4" t="str">
        <f>HYPERLINK("http://www.uniprot.org/uniprot/M5W0J0","M5W0J0")</f>
        <v>M5W0J0</v>
      </c>
      <c r="D11966" s="2" t="s">
        <v>10054</v>
      </c>
      <c r="E11966" s="3">
        <v>8.6299999999999996E-106</v>
      </c>
      <c r="F11966" s="2">
        <v>811</v>
      </c>
      <c r="G11966" s="2">
        <v>100</v>
      </c>
      <c r="H11966" s="2">
        <v>156</v>
      </c>
      <c r="I11966" s="2">
        <v>163</v>
      </c>
      <c r="J11966" s="2">
        <v>630</v>
      </c>
      <c r="K11966" s="2">
        <v>1</v>
      </c>
      <c r="L11966" s="2">
        <v>156</v>
      </c>
    </row>
    <row r="11967" spans="1:12" x14ac:dyDescent="0.25">
      <c r="A11967" s="4" t="str">
        <f>HYPERLINK("http://www.rosaceae.org/Prunus/Prunus_persica/p.persica_gdr_reftransV1_0028965","p.persica_gdr_reftransV1_0028965")</f>
        <v>p.persica_gdr_reftransV1_0028965</v>
      </c>
      <c r="B11967" s="2">
        <v>1769</v>
      </c>
      <c r="C11967" s="4" t="str">
        <f>HYPERLINK("http://www.uniprot.org/uniprot/M5X5K0","M5X5K0")</f>
        <v>M5X5K0</v>
      </c>
      <c r="D11967" s="2" t="s">
        <v>10055</v>
      </c>
      <c r="E11967" s="3">
        <v>9.1899999999999999E-38</v>
      </c>
      <c r="F11967" s="2">
        <v>368</v>
      </c>
      <c r="G11967" s="2">
        <v>100</v>
      </c>
      <c r="H11967" s="2">
        <v>96</v>
      </c>
      <c r="I11967" s="2">
        <v>193</v>
      </c>
      <c r="J11967" s="2">
        <v>480</v>
      </c>
      <c r="K11967" s="2">
        <v>1</v>
      </c>
      <c r="L11967" s="2">
        <v>96</v>
      </c>
    </row>
    <row r="11968" spans="1:12" x14ac:dyDescent="0.25">
      <c r="A11968" s="4" t="str">
        <f>HYPERLINK("http://www.rosaceae.org/Prunus/Prunus_persica/p.persica_gdr_reftransV1_0030365","p.persica_gdr_reftransV1_0030365")</f>
        <v>p.persica_gdr_reftransV1_0030365</v>
      </c>
      <c r="B11968" s="2">
        <v>2589</v>
      </c>
      <c r="C11968" s="4" t="str">
        <f>HYPERLINK("http://www.uniprot.org/uniprot/M5W2R1","M5W2R1")</f>
        <v>M5W2R1</v>
      </c>
      <c r="D11968" s="2" t="s">
        <v>10056</v>
      </c>
      <c r="E11968" s="3">
        <v>0</v>
      </c>
      <c r="F11968" s="2">
        <v>1890</v>
      </c>
      <c r="G11968" s="2">
        <v>100</v>
      </c>
      <c r="H11968" s="2">
        <v>437</v>
      </c>
      <c r="I11968" s="2">
        <v>219</v>
      </c>
      <c r="J11968" s="2">
        <v>1529</v>
      </c>
      <c r="K11968" s="2">
        <v>1</v>
      </c>
      <c r="L11968" s="2">
        <v>437</v>
      </c>
    </row>
    <row r="11969" spans="1:12" x14ac:dyDescent="0.25">
      <c r="A11969" s="4" t="str">
        <f>HYPERLINK("http://www.rosaceae.org/Prunus/Prunus_persica/p.persica_gdr_reftransV1_0030715","p.persica_gdr_reftransV1_0030715")</f>
        <v>p.persica_gdr_reftransV1_0030715</v>
      </c>
      <c r="B11969" s="2">
        <v>2183</v>
      </c>
      <c r="C11969" s="4" t="str">
        <f>HYPERLINK("http://www.uniprot.org/uniprot/A0A067JMG2","A0A067JMG2")</f>
        <v>A0A067JMG2</v>
      </c>
      <c r="D11969" s="2" t="s">
        <v>10057</v>
      </c>
      <c r="E11969" s="3">
        <v>0</v>
      </c>
      <c r="F11969" s="2">
        <v>1751</v>
      </c>
      <c r="G11969" s="2">
        <v>86</v>
      </c>
      <c r="H11969" s="2">
        <v>371</v>
      </c>
      <c r="I11969" s="2">
        <v>265</v>
      </c>
      <c r="J11969" s="2">
        <v>1377</v>
      </c>
      <c r="K11969" s="2">
        <v>1</v>
      </c>
      <c r="L11969" s="2">
        <v>366</v>
      </c>
    </row>
    <row r="11970" spans="1:12" x14ac:dyDescent="0.25">
      <c r="A11970" s="4" t="str">
        <f>HYPERLINK("http://www.rosaceae.org/Prunus/Prunus_persica/p.persica_gdr_reftransV1_0032115","p.persica_gdr_reftransV1_0032115")</f>
        <v>p.persica_gdr_reftransV1_0032115</v>
      </c>
      <c r="B11970" s="2">
        <v>3344</v>
      </c>
      <c r="C11970" s="4" t="str">
        <f>HYPERLINK("http://www.uniprot.org/uniprot/M5XI95","M5XI95")</f>
        <v>M5XI95</v>
      </c>
      <c r="D11970" s="2" t="s">
        <v>10058</v>
      </c>
      <c r="E11970" s="3">
        <v>0</v>
      </c>
      <c r="F11970" s="2">
        <v>3145</v>
      </c>
      <c r="G11970" s="2">
        <v>100</v>
      </c>
      <c r="H11970" s="2">
        <v>590</v>
      </c>
      <c r="I11970" s="2">
        <v>1562</v>
      </c>
      <c r="J11970" s="2">
        <v>3331</v>
      </c>
      <c r="K11970" s="2">
        <v>1</v>
      </c>
      <c r="L11970" s="2">
        <v>590</v>
      </c>
    </row>
    <row r="11971" spans="1:12" x14ac:dyDescent="0.25">
      <c r="A11971" s="4" t="str">
        <f>HYPERLINK("http://www.rosaceae.org/Prunus/Prunus_persica/p.persica_gdr_reftransV1_0034215","p.persica_gdr_reftransV1_0034215")</f>
        <v>p.persica_gdr_reftransV1_0034215</v>
      </c>
      <c r="B11971" s="2">
        <v>2308</v>
      </c>
      <c r="C11971" s="4" t="str">
        <f>HYPERLINK("http://www.uniprot.org/uniprot/M5XE56","M5XE56")</f>
        <v>M5XE56</v>
      </c>
      <c r="D11971" s="2" t="s">
        <v>10059</v>
      </c>
      <c r="E11971" s="3">
        <v>0</v>
      </c>
      <c r="F11971" s="2">
        <v>1671</v>
      </c>
      <c r="G11971" s="2">
        <v>96</v>
      </c>
      <c r="H11971" s="2">
        <v>397</v>
      </c>
      <c r="I11971" s="2">
        <v>972</v>
      </c>
      <c r="J11971" s="2">
        <v>2162</v>
      </c>
      <c r="K11971" s="2">
        <v>14</v>
      </c>
      <c r="L11971" s="2">
        <v>395</v>
      </c>
    </row>
    <row r="11972" spans="1:12" x14ac:dyDescent="0.25">
      <c r="A11972" s="4" t="str">
        <f>HYPERLINK("http://www.rosaceae.org/Prunus/Prunus_persica/p.persica_gdr_reftransV1_0034565","p.persica_gdr_reftransV1_0034565")</f>
        <v>p.persica_gdr_reftransV1_0034565</v>
      </c>
      <c r="B11972" s="2">
        <v>905</v>
      </c>
      <c r="C11972" s="4" t="str">
        <f>HYPERLINK("http://www.uniprot.org/uniprot/M5XJ02","M5XJ02")</f>
        <v>M5XJ02</v>
      </c>
      <c r="D11972" s="2" t="s">
        <v>6951</v>
      </c>
      <c r="E11972" s="3">
        <v>5.2900000000000004E-18</v>
      </c>
      <c r="F11972" s="2">
        <v>228</v>
      </c>
      <c r="G11972" s="2">
        <v>63</v>
      </c>
      <c r="H11972" s="2">
        <v>116</v>
      </c>
      <c r="I11972" s="2">
        <v>306</v>
      </c>
      <c r="J11972" s="2">
        <v>644</v>
      </c>
      <c r="K11972" s="2">
        <v>268</v>
      </c>
      <c r="L11972" s="2">
        <v>383</v>
      </c>
    </row>
    <row r="11973" spans="1:12" x14ac:dyDescent="0.25">
      <c r="A11973" s="4" t="str">
        <f>HYPERLINK("http://www.rosaceae.org/Prunus/Prunus_persica/p.persica_gdr_reftransV1_0037715","p.persica_gdr_reftransV1_0037715")</f>
        <v>p.persica_gdr_reftransV1_0037715</v>
      </c>
      <c r="B11973" s="2">
        <v>2884</v>
      </c>
      <c r="C11973" s="4" t="str">
        <f>HYPERLINK("http://www.uniprot.org/uniprot/M5XIH0","M5XIH0")</f>
        <v>M5XIH0</v>
      </c>
      <c r="D11973" s="2" t="s">
        <v>4131</v>
      </c>
      <c r="E11973" s="3">
        <v>0</v>
      </c>
      <c r="F11973" s="2">
        <v>3500</v>
      </c>
      <c r="G11973" s="2">
        <v>100</v>
      </c>
      <c r="H11973" s="2">
        <v>700</v>
      </c>
      <c r="I11973" s="2">
        <v>544</v>
      </c>
      <c r="J11973" s="2">
        <v>2643</v>
      </c>
      <c r="K11973" s="2">
        <v>1</v>
      </c>
      <c r="L11973" s="2">
        <v>699</v>
      </c>
    </row>
    <row r="11974" spans="1:12" x14ac:dyDescent="0.25">
      <c r="A11974" s="4" t="str">
        <f>HYPERLINK("http://www.rosaceae.org/Prunus/Prunus_persica/p.persica_gdr_reftransV1_0039465","p.persica_gdr_reftransV1_0039465")</f>
        <v>p.persica_gdr_reftransV1_0039465</v>
      </c>
      <c r="B11974" s="2">
        <v>4188</v>
      </c>
      <c r="C11974" s="4" t="str">
        <f>HYPERLINK("http://www.uniprot.org/uniprot/M5VIE5","M5VIE5")</f>
        <v>M5VIE5</v>
      </c>
      <c r="D11974" s="2" t="s">
        <v>68</v>
      </c>
      <c r="E11974" s="3">
        <v>0</v>
      </c>
      <c r="F11974" s="2">
        <v>5217</v>
      </c>
      <c r="G11974" s="2">
        <v>100</v>
      </c>
      <c r="H11974" s="2">
        <v>1021</v>
      </c>
      <c r="I11974" s="2">
        <v>468</v>
      </c>
      <c r="J11974" s="2">
        <v>3530</v>
      </c>
      <c r="K11974" s="2">
        <v>1</v>
      </c>
      <c r="L11974" s="2">
        <v>1021</v>
      </c>
    </row>
    <row r="11975" spans="1:12" x14ac:dyDescent="0.25">
      <c r="A11975" s="4" t="str">
        <f>HYPERLINK("http://www.rosaceae.org/Prunus/Prunus_persica/p.persica_gdr_reftransV1_0040515","p.persica_gdr_reftransV1_0040515")</f>
        <v>p.persica_gdr_reftransV1_0040515</v>
      </c>
      <c r="B11975" s="2">
        <v>1837</v>
      </c>
      <c r="C11975" s="4" t="str">
        <f>HYPERLINK("http://www.uniprot.org/uniprot/M5WGZ5","M5WGZ5")</f>
        <v>M5WGZ5</v>
      </c>
      <c r="D11975" s="2" t="s">
        <v>10060</v>
      </c>
      <c r="E11975" s="3">
        <v>0</v>
      </c>
      <c r="F11975" s="2">
        <v>2270</v>
      </c>
      <c r="G11975" s="2">
        <v>100</v>
      </c>
      <c r="H11975" s="2">
        <v>430</v>
      </c>
      <c r="I11975" s="2">
        <v>89</v>
      </c>
      <c r="J11975" s="2">
        <v>1378</v>
      </c>
      <c r="K11975" s="2">
        <v>1</v>
      </c>
      <c r="L11975" s="2">
        <v>430</v>
      </c>
    </row>
    <row r="11976" spans="1:12" x14ac:dyDescent="0.25">
      <c r="A11976" s="4" t="str">
        <f>HYPERLINK("http://www.rosaceae.org/Prunus/Prunus_persica/p.persica_gdr_reftransV1_0040865","p.persica_gdr_reftransV1_0040865")</f>
        <v>p.persica_gdr_reftransV1_0040865</v>
      </c>
      <c r="B11976" s="2">
        <v>2076</v>
      </c>
      <c r="C11976" s="4" t="str">
        <f>HYPERLINK("http://www.uniprot.org/uniprot/M5W628","M5W628")</f>
        <v>M5W628</v>
      </c>
      <c r="D11976" s="2" t="s">
        <v>742</v>
      </c>
      <c r="E11976" s="3">
        <v>0</v>
      </c>
      <c r="F11976" s="2">
        <v>2166</v>
      </c>
      <c r="G11976" s="2">
        <v>91</v>
      </c>
      <c r="H11976" s="2">
        <v>455</v>
      </c>
      <c r="I11976" s="2">
        <v>62</v>
      </c>
      <c r="J11976" s="2">
        <v>1426</v>
      </c>
      <c r="K11976" s="2">
        <v>16</v>
      </c>
      <c r="L11976" s="2">
        <v>438</v>
      </c>
    </row>
    <row r="11977" spans="1:12" x14ac:dyDescent="0.25">
      <c r="A11977" s="4" t="str">
        <f>HYPERLINK("http://www.rosaceae.org/Prunus/Prunus_persica/p.persica_gdr_reftransV1_0041565","p.persica_gdr_reftransV1_0041565")</f>
        <v>p.persica_gdr_reftransV1_0041565</v>
      </c>
      <c r="B11977" s="2">
        <v>1130</v>
      </c>
      <c r="C11977" s="4" t="str">
        <f>HYPERLINK("http://www.uniprot.org/uniprot/M5VQT6","M5VQT6")</f>
        <v>M5VQT6</v>
      </c>
      <c r="D11977" s="2" t="s">
        <v>10061</v>
      </c>
      <c r="E11977" s="3">
        <v>3.8199999999999998E-156</v>
      </c>
      <c r="F11977" s="2">
        <v>1161</v>
      </c>
      <c r="G11977" s="2">
        <v>100</v>
      </c>
      <c r="H11977" s="2">
        <v>250</v>
      </c>
      <c r="I11977" s="2">
        <v>36</v>
      </c>
      <c r="J11977" s="2">
        <v>785</v>
      </c>
      <c r="K11977" s="2">
        <v>1</v>
      </c>
      <c r="L11977" s="2">
        <v>250</v>
      </c>
    </row>
    <row r="11978" spans="1:12" x14ac:dyDescent="0.25">
      <c r="A11978" s="4" t="str">
        <f>HYPERLINK("http://www.rosaceae.org/Prunus/Prunus_persica/p.persica_gdr_reftransV1_0042965","p.persica_gdr_reftransV1_0042965")</f>
        <v>p.persica_gdr_reftransV1_0042965</v>
      </c>
      <c r="B11978" s="2">
        <v>915</v>
      </c>
      <c r="C11978" s="4" t="str">
        <f>HYPERLINK("http://www.uniprot.org/uniprot/M5XMB2","M5XMB2")</f>
        <v>M5XMB2</v>
      </c>
      <c r="D11978" s="2" t="s">
        <v>10062</v>
      </c>
      <c r="E11978" s="3">
        <v>4.2300000000000003E-79</v>
      </c>
      <c r="F11978" s="2">
        <v>631</v>
      </c>
      <c r="G11978" s="2">
        <v>100</v>
      </c>
      <c r="H11978" s="2">
        <v>119</v>
      </c>
      <c r="I11978" s="2">
        <v>447</v>
      </c>
      <c r="J11978" s="2">
        <v>803</v>
      </c>
      <c r="K11978" s="2">
        <v>1</v>
      </c>
      <c r="L11978" s="2">
        <v>119</v>
      </c>
    </row>
    <row r="11979" spans="1:12" x14ac:dyDescent="0.25">
      <c r="A11979" s="4" t="str">
        <f>HYPERLINK("http://www.rosaceae.org/Prunus/Prunus_persica/p.persica_gdr_reftransV1_0043315","p.persica_gdr_reftransV1_0043315")</f>
        <v>p.persica_gdr_reftransV1_0043315</v>
      </c>
      <c r="B11979" s="2">
        <v>665</v>
      </c>
      <c r="C11979" s="4" t="str">
        <f>HYPERLINK("http://www.uniprot.org/uniprot/F6HWU3","F6HWU3")</f>
        <v>F6HWU3</v>
      </c>
      <c r="D11979" s="2" t="s">
        <v>10063</v>
      </c>
      <c r="E11979" s="3">
        <v>8.2699999999999996E-11</v>
      </c>
      <c r="F11979" s="2">
        <v>171</v>
      </c>
      <c r="G11979" s="2">
        <v>44</v>
      </c>
      <c r="H11979" s="2">
        <v>100</v>
      </c>
      <c r="I11979" s="2">
        <v>111</v>
      </c>
      <c r="J11979" s="2">
        <v>350</v>
      </c>
      <c r="K11979" s="2">
        <v>1</v>
      </c>
      <c r="L11979" s="2">
        <v>98</v>
      </c>
    </row>
    <row r="11980" spans="1:12" x14ac:dyDescent="0.25">
      <c r="A11980" s="4" t="str">
        <f>HYPERLINK("http://www.rosaceae.org/Prunus/Prunus_persica/p.persica_gdr_reftransV1_0043665","p.persica_gdr_reftransV1_0043665")</f>
        <v>p.persica_gdr_reftransV1_0043665</v>
      </c>
      <c r="B11980" s="2">
        <v>1550</v>
      </c>
      <c r="C11980" s="4" t="str">
        <f>HYPERLINK("http://www.uniprot.org/uniprot/M5XSZ6","M5XSZ6")</f>
        <v>M5XSZ6</v>
      </c>
      <c r="D11980" s="2" t="s">
        <v>10064</v>
      </c>
      <c r="E11980" s="3">
        <v>0</v>
      </c>
      <c r="F11980" s="2">
        <v>2236</v>
      </c>
      <c r="G11980" s="2">
        <v>100</v>
      </c>
      <c r="H11980" s="2">
        <v>446</v>
      </c>
      <c r="I11980" s="2">
        <v>2</v>
      </c>
      <c r="J11980" s="2">
        <v>1339</v>
      </c>
      <c r="K11980" s="2">
        <v>55</v>
      </c>
      <c r="L11980" s="2">
        <v>500</v>
      </c>
    </row>
    <row r="11981" spans="1:12" x14ac:dyDescent="0.25">
      <c r="A11981" s="4" t="str">
        <f>HYPERLINK("http://www.rosaceae.org/Prunus/Prunus_persica/p.persica_gdr_reftransV1_0044015","p.persica_gdr_reftransV1_0044015")</f>
        <v>p.persica_gdr_reftransV1_0044015</v>
      </c>
      <c r="B11981" s="2">
        <v>1336</v>
      </c>
      <c r="C11981" s="4" t="str">
        <f>HYPERLINK("http://www.uniprot.org/uniprot/M5XTC5","M5XTC5")</f>
        <v>M5XTC5</v>
      </c>
      <c r="D11981" s="2" t="s">
        <v>122</v>
      </c>
      <c r="E11981" s="3">
        <v>0</v>
      </c>
      <c r="F11981" s="2">
        <v>2097</v>
      </c>
      <c r="G11981" s="2">
        <v>100</v>
      </c>
      <c r="H11981" s="2">
        <v>444</v>
      </c>
      <c r="I11981" s="2">
        <v>4</v>
      </c>
      <c r="J11981" s="2">
        <v>1335</v>
      </c>
      <c r="K11981" s="2">
        <v>51</v>
      </c>
      <c r="L11981" s="2">
        <v>494</v>
      </c>
    </row>
    <row r="11982" spans="1:12" x14ac:dyDescent="0.25">
      <c r="A11982" s="4" t="str">
        <f>HYPERLINK("http://www.rosaceae.org/Prunus/Prunus_persica/p.persica_gdr_reftransV1_0044365","p.persica_gdr_reftransV1_0044365")</f>
        <v>p.persica_gdr_reftransV1_0044365</v>
      </c>
      <c r="B11982" s="2">
        <v>868</v>
      </c>
      <c r="C11982" s="4" t="str">
        <f>HYPERLINK("http://www.uniprot.org/uniprot/M5W332","M5W332")</f>
        <v>M5W332</v>
      </c>
      <c r="D11982" s="2" t="s">
        <v>10065</v>
      </c>
      <c r="E11982" s="3">
        <v>1.2399999999999999E-43</v>
      </c>
      <c r="F11982" s="2">
        <v>355</v>
      </c>
      <c r="G11982" s="2">
        <v>99</v>
      </c>
      <c r="H11982" s="2">
        <v>101</v>
      </c>
      <c r="I11982" s="2">
        <v>102</v>
      </c>
      <c r="J11982" s="2">
        <v>404</v>
      </c>
      <c r="K11982" s="2">
        <v>1</v>
      </c>
      <c r="L11982" s="2">
        <v>101</v>
      </c>
    </row>
    <row r="11983" spans="1:12" x14ac:dyDescent="0.25">
      <c r="A11983" s="4" t="str">
        <f>HYPERLINK("http://www.rosaceae.org/Prunus/Prunus_persica/p.persica_gdr_reftransV1_0044715","p.persica_gdr_reftransV1_0044715")</f>
        <v>p.persica_gdr_reftransV1_0044715</v>
      </c>
      <c r="B11983" s="2">
        <v>467</v>
      </c>
      <c r="C11983" s="4" t="str">
        <f>HYPERLINK("http://www.uniprot.org/uniprot/M5Y0Z4","M5Y0Z4")</f>
        <v>M5Y0Z4</v>
      </c>
      <c r="D11983" s="2" t="s">
        <v>10066</v>
      </c>
      <c r="E11983" s="3">
        <v>3.9399999999999998E-99</v>
      </c>
      <c r="F11983" s="2">
        <v>809</v>
      </c>
      <c r="G11983" s="2">
        <v>100</v>
      </c>
      <c r="H11983" s="2">
        <v>155</v>
      </c>
      <c r="I11983" s="2">
        <v>2</v>
      </c>
      <c r="J11983" s="2">
        <v>466</v>
      </c>
      <c r="K11983" s="2">
        <v>60</v>
      </c>
      <c r="L11983" s="2">
        <v>214</v>
      </c>
    </row>
    <row r="11984" spans="1:12" x14ac:dyDescent="0.25">
      <c r="A11984" s="4" t="str">
        <f>HYPERLINK("http://www.rosaceae.org/Prunus/Prunus_persica/p.persica_gdr_reftransV1_0045065","p.persica_gdr_reftransV1_0045065")</f>
        <v>p.persica_gdr_reftransV1_0045065</v>
      </c>
      <c r="B11984" s="2">
        <v>1391</v>
      </c>
      <c r="C11984" s="4" t="str">
        <f>HYPERLINK("http://www.uniprot.org/uniprot/M5VV99","M5VV99")</f>
        <v>M5VV99</v>
      </c>
      <c r="D11984" s="2" t="s">
        <v>1012</v>
      </c>
      <c r="E11984" s="3">
        <v>0</v>
      </c>
      <c r="F11984" s="2">
        <v>1835</v>
      </c>
      <c r="G11984" s="2">
        <v>100</v>
      </c>
      <c r="H11984" s="2">
        <v>343</v>
      </c>
      <c r="I11984" s="2">
        <v>181</v>
      </c>
      <c r="J11984" s="2">
        <v>1209</v>
      </c>
      <c r="K11984" s="2">
        <v>7</v>
      </c>
      <c r="L11984" s="2">
        <v>349</v>
      </c>
    </row>
    <row r="11985" spans="1:12" x14ac:dyDescent="0.25">
      <c r="A11985" s="4" t="str">
        <f>HYPERLINK("http://www.rosaceae.org/Prunus/Prunus_persica/p.persica_gdr_reftransV1_0045415","p.persica_gdr_reftransV1_0045415")</f>
        <v>p.persica_gdr_reftransV1_0045415</v>
      </c>
      <c r="B11985" s="2">
        <v>462</v>
      </c>
      <c r="C11985" s="4" t="str">
        <f>HYPERLINK("http://www.uniprot.org/uniprot/M5VY52","M5VY52")</f>
        <v>M5VY52</v>
      </c>
      <c r="D11985" s="2" t="s">
        <v>10067</v>
      </c>
      <c r="E11985" s="3">
        <v>2.8700000000000001E-74</v>
      </c>
      <c r="F11985" s="2">
        <v>612</v>
      </c>
      <c r="G11985" s="2">
        <v>100</v>
      </c>
      <c r="H11985" s="2">
        <v>114</v>
      </c>
      <c r="I11985" s="2">
        <v>119</v>
      </c>
      <c r="J11985" s="2">
        <v>460</v>
      </c>
      <c r="K11985" s="2">
        <v>337</v>
      </c>
      <c r="L11985" s="2">
        <v>450</v>
      </c>
    </row>
    <row r="11986" spans="1:12" x14ac:dyDescent="0.25">
      <c r="A11986" s="4" t="str">
        <f>HYPERLINK("http://www.rosaceae.org/Prunus/Prunus_persica/p.persica_gdr_reftransV1_0045765","p.persica_gdr_reftransV1_0045765")</f>
        <v>p.persica_gdr_reftransV1_0045765</v>
      </c>
      <c r="B11986" s="2">
        <v>1127</v>
      </c>
      <c r="C11986" s="4" t="str">
        <f>HYPERLINK("http://www.uniprot.org/uniprot/M5XR27","M5XR27")</f>
        <v>M5XR27</v>
      </c>
      <c r="D11986" s="2" t="s">
        <v>10068</v>
      </c>
      <c r="E11986" s="3">
        <v>0</v>
      </c>
      <c r="F11986" s="2">
        <v>1420</v>
      </c>
      <c r="G11986" s="2">
        <v>100</v>
      </c>
      <c r="H11986" s="2">
        <v>308</v>
      </c>
      <c r="I11986" s="2">
        <v>39</v>
      </c>
      <c r="J11986" s="2">
        <v>962</v>
      </c>
      <c r="K11986" s="2">
        <v>269</v>
      </c>
      <c r="L11986" s="2">
        <v>576</v>
      </c>
    </row>
    <row r="11987" spans="1:12" x14ac:dyDescent="0.25">
      <c r="A11987" s="4" t="str">
        <f>HYPERLINK("http://www.rosaceae.org/Prunus/Prunus_persica/p.persica_gdr_reftransV1_0046115","p.persica_gdr_reftransV1_0046115")</f>
        <v>p.persica_gdr_reftransV1_0046115</v>
      </c>
      <c r="B11987" s="2">
        <v>2436</v>
      </c>
      <c r="C11987" s="4" t="str">
        <f>HYPERLINK("http://www.uniprot.org/uniprot/M5WHE4","M5WHE4")</f>
        <v>M5WHE4</v>
      </c>
      <c r="D11987" s="2" t="s">
        <v>4591</v>
      </c>
      <c r="E11987" s="3">
        <v>0</v>
      </c>
      <c r="F11987" s="2">
        <v>2678</v>
      </c>
      <c r="G11987" s="2">
        <v>100</v>
      </c>
      <c r="H11987" s="2">
        <v>565</v>
      </c>
      <c r="I11987" s="2">
        <v>555</v>
      </c>
      <c r="J11987" s="2">
        <v>2249</v>
      </c>
      <c r="K11987" s="2">
        <v>1</v>
      </c>
      <c r="L11987" s="2">
        <v>565</v>
      </c>
    </row>
    <row r="11988" spans="1:12" x14ac:dyDescent="0.25">
      <c r="A11988" s="4" t="str">
        <f>HYPERLINK("http://www.rosaceae.org/Prunus/Prunus_persica/p.persica_gdr_reftransV1_0046465","p.persica_gdr_reftransV1_0046465")</f>
        <v>p.persica_gdr_reftransV1_0046465</v>
      </c>
      <c r="B11988" s="2">
        <v>543</v>
      </c>
      <c r="C11988" s="4" t="str">
        <f>HYPERLINK("http://www.uniprot.org/uniprot/M5WZ72","M5WZ72")</f>
        <v>M5WZ72</v>
      </c>
      <c r="D11988" s="2" t="s">
        <v>9646</v>
      </c>
      <c r="E11988" s="3">
        <v>4.9999999999999998E-8</v>
      </c>
      <c r="F11988" s="2">
        <v>123</v>
      </c>
      <c r="G11988" s="2">
        <v>58</v>
      </c>
      <c r="H11988" s="2">
        <v>40</v>
      </c>
      <c r="I11988" s="2">
        <v>108</v>
      </c>
      <c r="J11988" s="2">
        <v>227</v>
      </c>
      <c r="K11988" s="2">
        <v>106</v>
      </c>
      <c r="L11988" s="2">
        <v>145</v>
      </c>
    </row>
    <row r="11989" spans="1:12" x14ac:dyDescent="0.25">
      <c r="A11989" s="4" t="str">
        <f>HYPERLINK("http://www.rosaceae.org/Prunus/Prunus_persica/p.persica_gdr_reftransV1_0046815","p.persica_gdr_reftransV1_0046815")</f>
        <v>p.persica_gdr_reftransV1_0046815</v>
      </c>
      <c r="B11989" s="2">
        <v>1462</v>
      </c>
      <c r="C11989" s="4" t="str">
        <f>HYPERLINK("http://www.uniprot.org/uniprot/M5WSP7","M5WSP7")</f>
        <v>M5WSP7</v>
      </c>
      <c r="D11989" s="2" t="s">
        <v>10069</v>
      </c>
      <c r="E11989" s="3">
        <v>0</v>
      </c>
      <c r="F11989" s="2">
        <v>1491</v>
      </c>
      <c r="G11989" s="2">
        <v>100</v>
      </c>
      <c r="H11989" s="2">
        <v>338</v>
      </c>
      <c r="I11989" s="2">
        <v>245</v>
      </c>
      <c r="J11989" s="2">
        <v>1258</v>
      </c>
      <c r="K11989" s="2">
        <v>1</v>
      </c>
      <c r="L11989" s="2">
        <v>338</v>
      </c>
    </row>
    <row r="11990" spans="1:12" x14ac:dyDescent="0.25">
      <c r="A11990" s="4" t="str">
        <f>HYPERLINK("http://www.rosaceae.org/Prunus/Prunus_persica/p.persica_gdr_reftransV1_0047515","p.persica_gdr_reftransV1_0047515")</f>
        <v>p.persica_gdr_reftransV1_0047515</v>
      </c>
      <c r="B11990" s="2">
        <v>1288</v>
      </c>
      <c r="C11990" s="4" t="str">
        <f>HYPERLINK("http://www.uniprot.org/uniprot/M5XPT5","M5XPT5")</f>
        <v>M5XPT5</v>
      </c>
      <c r="D11990" s="2" t="s">
        <v>10070</v>
      </c>
      <c r="E11990" s="3">
        <v>0</v>
      </c>
      <c r="F11990" s="2">
        <v>1901</v>
      </c>
      <c r="G11990" s="2">
        <v>100</v>
      </c>
      <c r="H11990" s="2">
        <v>356</v>
      </c>
      <c r="I11990" s="2">
        <v>176</v>
      </c>
      <c r="J11990" s="2">
        <v>1243</v>
      </c>
      <c r="K11990" s="2">
        <v>1</v>
      </c>
      <c r="L11990" s="2">
        <v>356</v>
      </c>
    </row>
    <row r="11991" spans="1:12" x14ac:dyDescent="0.25">
      <c r="A11991" s="4" t="str">
        <f>HYPERLINK("http://www.rosaceae.org/Prunus/Prunus_persica/p.persica_gdr_reftransV1_0048215","p.persica_gdr_reftransV1_0048215")</f>
        <v>p.persica_gdr_reftransV1_0048215</v>
      </c>
      <c r="B11991" s="2">
        <v>1445</v>
      </c>
      <c r="C11991" s="4" t="str">
        <f>HYPERLINK("http://www.uniprot.org/uniprot/M5W580","M5W580")</f>
        <v>M5W580</v>
      </c>
      <c r="D11991" s="2" t="s">
        <v>10071</v>
      </c>
      <c r="E11991" s="3">
        <v>0</v>
      </c>
      <c r="F11991" s="2">
        <v>2457</v>
      </c>
      <c r="G11991" s="2">
        <v>100</v>
      </c>
      <c r="H11991" s="2">
        <v>459</v>
      </c>
      <c r="I11991" s="2">
        <v>69</v>
      </c>
      <c r="J11991" s="2">
        <v>1445</v>
      </c>
      <c r="K11991" s="2">
        <v>1</v>
      </c>
      <c r="L11991" s="2">
        <v>459</v>
      </c>
    </row>
    <row r="11992" spans="1:12" x14ac:dyDescent="0.25">
      <c r="A11992" s="4" t="str">
        <f>HYPERLINK("http://www.rosaceae.org/Prunus/Prunus_persica/p.persica_gdr_reftransV1_0048565","p.persica_gdr_reftransV1_0048565")</f>
        <v>p.persica_gdr_reftransV1_0048565</v>
      </c>
      <c r="B11992" s="2">
        <v>373</v>
      </c>
      <c r="C11992" s="4" t="str">
        <f>HYPERLINK("http://www.uniprot.org/uniprot/M5W295","M5W295")</f>
        <v>M5W295</v>
      </c>
      <c r="D11992" s="2" t="s">
        <v>558</v>
      </c>
      <c r="E11992" s="3">
        <v>2.26E-57</v>
      </c>
      <c r="F11992" s="2">
        <v>508</v>
      </c>
      <c r="G11992" s="2">
        <v>100</v>
      </c>
      <c r="H11992" s="2">
        <v>114</v>
      </c>
      <c r="I11992" s="2">
        <v>2</v>
      </c>
      <c r="J11992" s="2">
        <v>343</v>
      </c>
      <c r="K11992" s="2">
        <v>1</v>
      </c>
      <c r="L11992" s="2">
        <v>114</v>
      </c>
    </row>
    <row r="11993" spans="1:12" x14ac:dyDescent="0.25">
      <c r="A11993" s="4" t="str">
        <f>HYPERLINK("http://www.rosaceae.org/Prunus/Prunus_persica/p.persica_gdr_reftransV1_0048915","p.persica_gdr_reftransV1_0048915")</f>
        <v>p.persica_gdr_reftransV1_0048915</v>
      </c>
      <c r="B11993" s="2">
        <v>4404</v>
      </c>
      <c r="C11993" s="4" t="str">
        <f>HYPERLINK("http://www.uniprot.org/uniprot/M5W6J9","M5W6J9")</f>
        <v>M5W6J9</v>
      </c>
      <c r="D11993" s="2" t="s">
        <v>10072</v>
      </c>
      <c r="E11993" s="3">
        <v>0</v>
      </c>
      <c r="F11993" s="2">
        <v>4387</v>
      </c>
      <c r="G11993" s="2">
        <v>95</v>
      </c>
      <c r="H11993" s="2">
        <v>951</v>
      </c>
      <c r="I11993" s="2">
        <v>1326</v>
      </c>
      <c r="J11993" s="2">
        <v>4112</v>
      </c>
      <c r="K11993" s="2">
        <v>1</v>
      </c>
      <c r="L11993" s="2">
        <v>946</v>
      </c>
    </row>
    <row r="11994" spans="1:12" x14ac:dyDescent="0.25">
      <c r="A11994" s="4" t="str">
        <f>HYPERLINK("http://www.rosaceae.org/Prunus/Prunus_persica/p.persica_gdr_reftransV1_0000266","p.persica_gdr_reftransV1_0000266")</f>
        <v>p.persica_gdr_reftransV1_0000266</v>
      </c>
      <c r="B11994" s="2">
        <v>4368</v>
      </c>
      <c r="C11994" s="4" t="str">
        <f>HYPERLINK("http://www.uniprot.org/uniprot/M5VXK1","M5VXK1")</f>
        <v>M5VXK1</v>
      </c>
      <c r="D11994" s="2" t="s">
        <v>5122</v>
      </c>
      <c r="E11994" s="3">
        <v>0</v>
      </c>
      <c r="F11994" s="2">
        <v>6878</v>
      </c>
      <c r="G11994" s="2">
        <v>99</v>
      </c>
      <c r="H11994" s="2">
        <v>1305</v>
      </c>
      <c r="I11994" s="2">
        <v>3</v>
      </c>
      <c r="J11994" s="2">
        <v>3917</v>
      </c>
      <c r="K11994" s="2">
        <v>912</v>
      </c>
      <c r="L11994" s="2">
        <v>2197</v>
      </c>
    </row>
    <row r="11995" spans="1:12" x14ac:dyDescent="0.25">
      <c r="A11995" s="4" t="str">
        <f>HYPERLINK("http://www.rosaceae.org/Prunus/Prunus_persica/p.persica_gdr_reftransV1_0000616","p.persica_gdr_reftransV1_0000616")</f>
        <v>p.persica_gdr_reftransV1_0000616</v>
      </c>
      <c r="B11995" s="2">
        <v>551</v>
      </c>
      <c r="C11995" s="4" t="str">
        <f>HYPERLINK("http://www.uniprot.org/uniprot/M5XKJ2","M5XKJ2")</f>
        <v>M5XKJ2</v>
      </c>
      <c r="D11995" s="2" t="s">
        <v>10073</v>
      </c>
      <c r="E11995" s="3">
        <v>1.14E-89</v>
      </c>
      <c r="F11995" s="2">
        <v>717</v>
      </c>
      <c r="G11995" s="2">
        <v>100</v>
      </c>
      <c r="H11995" s="2">
        <v>161</v>
      </c>
      <c r="I11995" s="2">
        <v>67</v>
      </c>
      <c r="J11995" s="2">
        <v>549</v>
      </c>
      <c r="K11995" s="2">
        <v>149</v>
      </c>
      <c r="L11995" s="2">
        <v>309</v>
      </c>
    </row>
    <row r="11996" spans="1:12" x14ac:dyDescent="0.25">
      <c r="A11996" s="4" t="str">
        <f>HYPERLINK("http://www.rosaceae.org/Prunus/Prunus_persica/p.persica_gdr_reftransV1_0000966","p.persica_gdr_reftransV1_0000966")</f>
        <v>p.persica_gdr_reftransV1_0000966</v>
      </c>
      <c r="B11996" s="2">
        <v>2175</v>
      </c>
      <c r="C11996" s="4" t="str">
        <f>HYPERLINK("http://www.uniprot.org/uniprot/M5WTF2","M5WTF2")</f>
        <v>M5WTF2</v>
      </c>
      <c r="D11996" s="2" t="s">
        <v>3128</v>
      </c>
      <c r="E11996" s="3">
        <v>0</v>
      </c>
      <c r="F11996" s="2">
        <v>2799</v>
      </c>
      <c r="G11996" s="2">
        <v>98</v>
      </c>
      <c r="H11996" s="2">
        <v>551</v>
      </c>
      <c r="I11996" s="2">
        <v>268</v>
      </c>
      <c r="J11996" s="2">
        <v>1914</v>
      </c>
      <c r="K11996" s="2">
        <v>44</v>
      </c>
      <c r="L11996" s="2">
        <v>594</v>
      </c>
    </row>
    <row r="11997" spans="1:12" x14ac:dyDescent="0.25">
      <c r="A11997" s="4" t="str">
        <f>HYPERLINK("http://www.rosaceae.org/Prunus/Prunus_persica/p.persica_gdr_reftransV1_0001666","p.persica_gdr_reftransV1_0001666")</f>
        <v>p.persica_gdr_reftransV1_0001666</v>
      </c>
      <c r="B11997" s="2">
        <v>391</v>
      </c>
      <c r="C11997" s="4" t="str">
        <f>HYPERLINK("http://www.uniprot.org/uniprot/M5VV17","M5VV17")</f>
        <v>M5VV17</v>
      </c>
      <c r="D11997" s="2" t="s">
        <v>3310</v>
      </c>
      <c r="E11997" s="3">
        <v>2.3999999999999999E-80</v>
      </c>
      <c r="F11997" s="2">
        <v>675</v>
      </c>
      <c r="G11997" s="2">
        <v>100</v>
      </c>
      <c r="H11997" s="2">
        <v>130</v>
      </c>
      <c r="I11997" s="2">
        <v>1</v>
      </c>
      <c r="J11997" s="2">
        <v>390</v>
      </c>
      <c r="K11997" s="2">
        <v>62</v>
      </c>
      <c r="L11997" s="2">
        <v>191</v>
      </c>
    </row>
    <row r="11998" spans="1:12" x14ac:dyDescent="0.25">
      <c r="A11998" s="4" t="str">
        <f>HYPERLINK("http://www.rosaceae.org/Prunus/Prunus_persica/p.persica_gdr_reftransV1_0002016","p.persica_gdr_reftransV1_0002016")</f>
        <v>p.persica_gdr_reftransV1_0002016</v>
      </c>
      <c r="B11998" s="2">
        <v>658</v>
      </c>
      <c r="C11998" s="4" t="str">
        <f>HYPERLINK("http://www.uniprot.org/uniprot/M5Y1N2","M5Y1N2")</f>
        <v>M5Y1N2</v>
      </c>
      <c r="D11998" s="2" t="s">
        <v>10074</v>
      </c>
      <c r="E11998" s="3">
        <v>3.7199999999999999E-100</v>
      </c>
      <c r="F11998" s="2">
        <v>779</v>
      </c>
      <c r="G11998" s="2">
        <v>100</v>
      </c>
      <c r="H11998" s="2">
        <v>164</v>
      </c>
      <c r="I11998" s="2">
        <v>166</v>
      </c>
      <c r="J11998" s="2">
        <v>657</v>
      </c>
      <c r="K11998" s="2">
        <v>136</v>
      </c>
      <c r="L11998" s="2">
        <v>299</v>
      </c>
    </row>
    <row r="11999" spans="1:12" x14ac:dyDescent="0.25">
      <c r="A11999" s="4" t="str">
        <f>HYPERLINK("http://www.rosaceae.org/Prunus/Prunus_persica/p.persica_gdr_reftransV1_0002366","p.persica_gdr_reftransV1_0002366")</f>
        <v>p.persica_gdr_reftransV1_0002366</v>
      </c>
      <c r="B11999" s="2">
        <v>1523</v>
      </c>
      <c r="C11999" s="4" t="str">
        <f>HYPERLINK("http://www.uniprot.org/uniprot/M5WTB7","M5WTB7")</f>
        <v>M5WTB7</v>
      </c>
      <c r="D11999" s="2" t="s">
        <v>10075</v>
      </c>
      <c r="E11999" s="3">
        <v>6.48E-153</v>
      </c>
      <c r="F11999" s="2">
        <v>1152</v>
      </c>
      <c r="G11999" s="2">
        <v>100</v>
      </c>
      <c r="H11999" s="2">
        <v>242</v>
      </c>
      <c r="I11999" s="2">
        <v>284</v>
      </c>
      <c r="J11999" s="2">
        <v>1009</v>
      </c>
      <c r="K11999" s="2">
        <v>1</v>
      </c>
      <c r="L11999" s="2">
        <v>242</v>
      </c>
    </row>
    <row r="12000" spans="1:12" x14ac:dyDescent="0.25">
      <c r="A12000" s="4" t="str">
        <f>HYPERLINK("http://www.rosaceae.org/Prunus/Prunus_persica/p.persica_gdr_reftransV1_0002716","p.persica_gdr_reftransV1_0002716")</f>
        <v>p.persica_gdr_reftransV1_0002716</v>
      </c>
      <c r="B12000" s="2">
        <v>1281</v>
      </c>
      <c r="C12000" s="4" t="str">
        <f>HYPERLINK("http://www.uniprot.org/uniprot/M5VGF5","M5VGF5")</f>
        <v>M5VGF5</v>
      </c>
      <c r="D12000" s="2" t="s">
        <v>718</v>
      </c>
      <c r="E12000" s="3">
        <v>3.1700000000000001E-180</v>
      </c>
      <c r="F12000" s="2">
        <v>1326</v>
      </c>
      <c r="G12000" s="2">
        <v>100</v>
      </c>
      <c r="H12000" s="2">
        <v>247</v>
      </c>
      <c r="I12000" s="2">
        <v>198</v>
      </c>
      <c r="J12000" s="2">
        <v>938</v>
      </c>
      <c r="K12000" s="2">
        <v>1</v>
      </c>
      <c r="L12000" s="2">
        <v>247</v>
      </c>
    </row>
    <row r="12001" spans="1:12" x14ac:dyDescent="0.25">
      <c r="A12001" s="4" t="str">
        <f>HYPERLINK("http://www.rosaceae.org/Prunus/Prunus_persica/p.persica_gdr_reftransV1_0003066","p.persica_gdr_reftransV1_0003066")</f>
        <v>p.persica_gdr_reftransV1_0003066</v>
      </c>
      <c r="B12001" s="2">
        <v>517</v>
      </c>
      <c r="C12001" s="4" t="str">
        <f>HYPERLINK("http://www.uniprot.org/uniprot/M5VTN8","M5VTN8")</f>
        <v>M5VTN8</v>
      </c>
      <c r="D12001" s="2" t="s">
        <v>6297</v>
      </c>
      <c r="E12001" s="3">
        <v>2.2800000000000001E-120</v>
      </c>
      <c r="F12001" s="2">
        <v>940</v>
      </c>
      <c r="G12001" s="2">
        <v>100</v>
      </c>
      <c r="H12001" s="2">
        <v>172</v>
      </c>
      <c r="I12001" s="2">
        <v>1</v>
      </c>
      <c r="J12001" s="2">
        <v>516</v>
      </c>
      <c r="K12001" s="2">
        <v>466</v>
      </c>
      <c r="L12001" s="2">
        <v>637</v>
      </c>
    </row>
    <row r="12002" spans="1:12" x14ac:dyDescent="0.25">
      <c r="A12002" s="4" t="str">
        <f>HYPERLINK("http://www.rosaceae.org/Prunus/Prunus_persica/p.persica_gdr_reftransV1_0003416","p.persica_gdr_reftransV1_0003416")</f>
        <v>p.persica_gdr_reftransV1_0003416</v>
      </c>
      <c r="B12002" s="2">
        <v>1787</v>
      </c>
      <c r="C12002" s="4" t="str">
        <f>HYPERLINK("http://www.uniprot.org/uniprot/M5WL70","M5WL70")</f>
        <v>M5WL70</v>
      </c>
      <c r="D12002" s="2" t="s">
        <v>10076</v>
      </c>
      <c r="E12002" s="3">
        <v>0</v>
      </c>
      <c r="F12002" s="2">
        <v>1779</v>
      </c>
      <c r="G12002" s="2">
        <v>83</v>
      </c>
      <c r="H12002" s="2">
        <v>403</v>
      </c>
      <c r="I12002" s="2">
        <v>115</v>
      </c>
      <c r="J12002" s="2">
        <v>1323</v>
      </c>
      <c r="K12002" s="2">
        <v>6</v>
      </c>
      <c r="L12002" s="2">
        <v>388</v>
      </c>
    </row>
    <row r="12003" spans="1:12" x14ac:dyDescent="0.25">
      <c r="A12003" s="4" t="str">
        <f>HYPERLINK("http://www.rosaceae.org/Prunus/Prunus_persica/p.persica_gdr_reftransV1_0003766","p.persica_gdr_reftransV1_0003766")</f>
        <v>p.persica_gdr_reftransV1_0003766</v>
      </c>
      <c r="B12003" s="2">
        <v>297</v>
      </c>
      <c r="C12003" s="4" t="str">
        <f>HYPERLINK("http://www.uniprot.org/uniprot/G9NQU4","G9NQU4")</f>
        <v>G9NQU4</v>
      </c>
      <c r="D12003" s="2" t="s">
        <v>10077</v>
      </c>
      <c r="E12003" s="3">
        <v>4.4799999999999997E-49</v>
      </c>
      <c r="F12003" s="2">
        <v>442</v>
      </c>
      <c r="G12003" s="2">
        <v>82</v>
      </c>
      <c r="H12003" s="2">
        <v>99</v>
      </c>
      <c r="I12003" s="2">
        <v>1</v>
      </c>
      <c r="J12003" s="2">
        <v>297</v>
      </c>
      <c r="K12003" s="2">
        <v>496</v>
      </c>
      <c r="L12003" s="2">
        <v>594</v>
      </c>
    </row>
    <row r="12004" spans="1:12" x14ac:dyDescent="0.25">
      <c r="A12004" s="4" t="str">
        <f>HYPERLINK("http://www.rosaceae.org/Prunus/Prunus_persica/p.persica_gdr_reftransV1_0004816","p.persica_gdr_reftransV1_0004816")</f>
        <v>p.persica_gdr_reftransV1_0004816</v>
      </c>
      <c r="B12004" s="2">
        <v>356</v>
      </c>
      <c r="C12004" s="4" t="str">
        <f>HYPERLINK("http://www.uniprot.org/uniprot/M5XK39","M5XK39")</f>
        <v>M5XK39</v>
      </c>
      <c r="D12004" s="2" t="s">
        <v>2379</v>
      </c>
      <c r="E12004" s="3">
        <v>3.2300000000000002E-74</v>
      </c>
      <c r="F12004" s="2">
        <v>626</v>
      </c>
      <c r="G12004" s="2">
        <v>100</v>
      </c>
      <c r="H12004" s="2">
        <v>118</v>
      </c>
      <c r="I12004" s="2">
        <v>2</v>
      </c>
      <c r="J12004" s="2">
        <v>355</v>
      </c>
      <c r="K12004" s="2">
        <v>373</v>
      </c>
      <c r="L12004" s="2">
        <v>490</v>
      </c>
    </row>
    <row r="12005" spans="1:12" x14ac:dyDescent="0.25">
      <c r="A12005" s="4" t="str">
        <f>HYPERLINK("http://www.rosaceae.org/Prunus/Prunus_persica/p.persica_gdr_reftransV1_0005166","p.persica_gdr_reftransV1_0005166")</f>
        <v>p.persica_gdr_reftransV1_0005166</v>
      </c>
      <c r="B12005" s="2">
        <v>1672</v>
      </c>
      <c r="C12005" s="4" t="str">
        <f>HYPERLINK("http://www.uniprot.org/uniprot/M5WU00","M5WU00")</f>
        <v>M5WU00</v>
      </c>
      <c r="D12005" s="2" t="s">
        <v>7803</v>
      </c>
      <c r="E12005" s="3">
        <v>0</v>
      </c>
      <c r="F12005" s="2">
        <v>1369</v>
      </c>
      <c r="G12005" s="2">
        <v>100</v>
      </c>
      <c r="H12005" s="2">
        <v>364</v>
      </c>
      <c r="I12005" s="2">
        <v>417</v>
      </c>
      <c r="J12005" s="2">
        <v>1508</v>
      </c>
      <c r="K12005" s="2">
        <v>1</v>
      </c>
      <c r="L12005" s="2">
        <v>364</v>
      </c>
    </row>
    <row r="12006" spans="1:12" x14ac:dyDescent="0.25">
      <c r="A12006" s="4" t="str">
        <f>HYPERLINK("http://www.rosaceae.org/Prunus/Prunus_persica/p.persica_gdr_reftransV1_0005516","p.persica_gdr_reftransV1_0005516")</f>
        <v>p.persica_gdr_reftransV1_0005516</v>
      </c>
      <c r="B12006" s="2">
        <v>1308</v>
      </c>
      <c r="C12006" s="4" t="str">
        <f>HYPERLINK("http://www.uniprot.org/uniprot/M5VTH7","M5VTH7")</f>
        <v>M5VTH7</v>
      </c>
      <c r="D12006" s="2" t="s">
        <v>10078</v>
      </c>
      <c r="E12006" s="3">
        <v>0</v>
      </c>
      <c r="F12006" s="2">
        <v>1718</v>
      </c>
      <c r="G12006" s="2">
        <v>99</v>
      </c>
      <c r="H12006" s="2">
        <v>342</v>
      </c>
      <c r="I12006" s="2">
        <v>1</v>
      </c>
      <c r="J12006" s="2">
        <v>1026</v>
      </c>
      <c r="K12006" s="2">
        <v>1</v>
      </c>
      <c r="L12006" s="2">
        <v>338</v>
      </c>
    </row>
    <row r="12007" spans="1:12" x14ac:dyDescent="0.25">
      <c r="A12007" s="4" t="str">
        <f>HYPERLINK("http://www.rosaceae.org/Prunus/Prunus_persica/p.persica_gdr_reftransV1_0007266","p.persica_gdr_reftransV1_0007266")</f>
        <v>p.persica_gdr_reftransV1_0007266</v>
      </c>
      <c r="B12007" s="2">
        <v>6297</v>
      </c>
      <c r="C12007" s="4" t="str">
        <f>HYPERLINK("http://www.uniprot.org/uniprot/M5XIB1","M5XIB1")</f>
        <v>M5XIB1</v>
      </c>
      <c r="D12007" s="2" t="s">
        <v>10079</v>
      </c>
      <c r="E12007" s="3">
        <v>0</v>
      </c>
      <c r="F12007" s="2">
        <v>7555</v>
      </c>
      <c r="G12007" s="2">
        <v>94</v>
      </c>
      <c r="H12007" s="2">
        <v>1660</v>
      </c>
      <c r="I12007" s="2">
        <v>1193</v>
      </c>
      <c r="J12007" s="2">
        <v>6172</v>
      </c>
      <c r="K12007" s="2">
        <v>221</v>
      </c>
      <c r="L12007" s="2">
        <v>1801</v>
      </c>
    </row>
    <row r="12008" spans="1:12" x14ac:dyDescent="0.25">
      <c r="A12008" s="4" t="str">
        <f>HYPERLINK("http://www.rosaceae.org/Prunus/Prunus_persica/p.persica_gdr_reftransV1_0007966","p.persica_gdr_reftransV1_0007966")</f>
        <v>p.persica_gdr_reftransV1_0007966</v>
      </c>
      <c r="B12008" s="2">
        <v>1570</v>
      </c>
      <c r="C12008" s="4" t="str">
        <f>HYPERLINK("http://www.uniprot.org/uniprot/M5WIK8","M5WIK8")</f>
        <v>M5WIK8</v>
      </c>
      <c r="D12008" s="2" t="s">
        <v>8726</v>
      </c>
      <c r="E12008" s="3">
        <v>3.5000000000000001E-173</v>
      </c>
      <c r="F12008" s="2">
        <v>1299</v>
      </c>
      <c r="G12008" s="2">
        <v>100</v>
      </c>
      <c r="H12008" s="2">
        <v>286</v>
      </c>
      <c r="I12008" s="2">
        <v>465</v>
      </c>
      <c r="J12008" s="2">
        <v>1322</v>
      </c>
      <c r="K12008" s="2">
        <v>9</v>
      </c>
      <c r="L12008" s="2">
        <v>294</v>
      </c>
    </row>
    <row r="12009" spans="1:12" x14ac:dyDescent="0.25">
      <c r="A12009" s="4" t="str">
        <f>HYPERLINK("http://www.rosaceae.org/Prunus/Prunus_persica/p.persica_gdr_reftransV1_0008666","p.persica_gdr_reftransV1_0008666")</f>
        <v>p.persica_gdr_reftransV1_0008666</v>
      </c>
      <c r="B12009" s="2">
        <v>354</v>
      </c>
      <c r="C12009" s="4" t="str">
        <f>HYPERLINK("http://www.uniprot.org/uniprot/M5XKX1","M5XKX1")</f>
        <v>M5XKX1</v>
      </c>
      <c r="D12009" s="2" t="s">
        <v>3724</v>
      </c>
      <c r="E12009" s="3">
        <v>1.5399999999999999E-70</v>
      </c>
      <c r="F12009" s="2">
        <v>592</v>
      </c>
      <c r="G12009" s="2">
        <v>100</v>
      </c>
      <c r="H12009" s="2">
        <v>110</v>
      </c>
      <c r="I12009" s="2">
        <v>24</v>
      </c>
      <c r="J12009" s="2">
        <v>353</v>
      </c>
      <c r="K12009" s="2">
        <v>1</v>
      </c>
      <c r="L12009" s="2">
        <v>110</v>
      </c>
    </row>
    <row r="12010" spans="1:12" x14ac:dyDescent="0.25">
      <c r="A12010" s="4" t="str">
        <f>HYPERLINK("http://www.rosaceae.org/Prunus/Prunus_persica/p.persica_gdr_reftransV1_0010416","p.persica_gdr_reftransV1_0010416")</f>
        <v>p.persica_gdr_reftransV1_0010416</v>
      </c>
      <c r="B12010" s="2">
        <v>620</v>
      </c>
      <c r="C12010" s="4" t="str">
        <f>HYPERLINK("http://www.uniprot.org/uniprot/M5WJ09","M5WJ09")</f>
        <v>M5WJ09</v>
      </c>
      <c r="D12010" s="2" t="s">
        <v>9423</v>
      </c>
      <c r="E12010" s="3">
        <v>7.3299999999999999E-119</v>
      </c>
      <c r="F12010" s="2">
        <v>903</v>
      </c>
      <c r="G12010" s="2">
        <v>100</v>
      </c>
      <c r="H12010" s="2">
        <v>193</v>
      </c>
      <c r="I12010" s="2">
        <v>41</v>
      </c>
      <c r="J12010" s="2">
        <v>619</v>
      </c>
      <c r="K12010" s="2">
        <v>1</v>
      </c>
      <c r="L12010" s="2">
        <v>193</v>
      </c>
    </row>
    <row r="12011" spans="1:12" x14ac:dyDescent="0.25">
      <c r="A12011" s="4" t="str">
        <f>HYPERLINK("http://www.rosaceae.org/Prunus/Prunus_persica/p.persica_gdr_reftransV1_0011466","p.persica_gdr_reftransV1_0011466")</f>
        <v>p.persica_gdr_reftransV1_0011466</v>
      </c>
      <c r="B12011" s="2">
        <v>4899</v>
      </c>
      <c r="C12011" s="4" t="str">
        <f>HYPERLINK("http://www.uniprot.org/uniprot/M5XS74","M5XS74")</f>
        <v>M5XS74</v>
      </c>
      <c r="D12011" s="2" t="s">
        <v>4765</v>
      </c>
      <c r="E12011" s="3">
        <v>0</v>
      </c>
      <c r="F12011" s="2">
        <v>2862</v>
      </c>
      <c r="G12011" s="2">
        <v>72</v>
      </c>
      <c r="H12011" s="2">
        <v>832</v>
      </c>
      <c r="I12011" s="2">
        <v>2598</v>
      </c>
      <c r="J12011" s="2">
        <v>4898</v>
      </c>
      <c r="K12011" s="2">
        <v>17</v>
      </c>
      <c r="L12011" s="2">
        <v>841</v>
      </c>
    </row>
    <row r="12012" spans="1:12" x14ac:dyDescent="0.25">
      <c r="A12012" s="4" t="str">
        <f>HYPERLINK("http://www.rosaceae.org/Prunus/Prunus_persica/p.persica_gdr_reftransV1_0011816","p.persica_gdr_reftransV1_0011816")</f>
        <v>p.persica_gdr_reftransV1_0011816</v>
      </c>
      <c r="B12012" s="2">
        <v>1950</v>
      </c>
      <c r="C12012" s="4" t="str">
        <f>HYPERLINK("http://www.uniprot.org/uniprot/M5VZ15","M5VZ15")</f>
        <v>M5VZ15</v>
      </c>
      <c r="D12012" s="2" t="s">
        <v>10080</v>
      </c>
      <c r="E12012" s="3">
        <v>0</v>
      </c>
      <c r="F12012" s="2">
        <v>2313</v>
      </c>
      <c r="G12012" s="2">
        <v>100</v>
      </c>
      <c r="H12012" s="2">
        <v>464</v>
      </c>
      <c r="I12012" s="2">
        <v>368</v>
      </c>
      <c r="J12012" s="2">
        <v>1759</v>
      </c>
      <c r="K12012" s="2">
        <v>1</v>
      </c>
      <c r="L12012" s="2">
        <v>464</v>
      </c>
    </row>
    <row r="12013" spans="1:12" x14ac:dyDescent="0.25">
      <c r="A12013" s="4" t="str">
        <f>HYPERLINK("http://www.rosaceae.org/Prunus/Prunus_persica/p.persica_gdr_reftransV1_0012866","p.persica_gdr_reftransV1_0012866")</f>
        <v>p.persica_gdr_reftransV1_0012866</v>
      </c>
      <c r="B12013" s="2">
        <v>1375</v>
      </c>
      <c r="C12013" s="4" t="str">
        <f>HYPERLINK("http://www.uniprot.org/uniprot/M5VKP0","M5VKP0")</f>
        <v>M5VKP0</v>
      </c>
      <c r="D12013" s="2" t="s">
        <v>10081</v>
      </c>
      <c r="E12013" s="3">
        <v>6.8199999999999996E-149</v>
      </c>
      <c r="F12013" s="2">
        <v>1118</v>
      </c>
      <c r="G12013" s="2">
        <v>100</v>
      </c>
      <c r="H12013" s="2">
        <v>213</v>
      </c>
      <c r="I12013" s="2">
        <v>425</v>
      </c>
      <c r="J12013" s="2">
        <v>1063</v>
      </c>
      <c r="K12013" s="2">
        <v>1</v>
      </c>
      <c r="L12013" s="2">
        <v>213</v>
      </c>
    </row>
    <row r="12014" spans="1:12" x14ac:dyDescent="0.25">
      <c r="A12014" s="4" t="str">
        <f>HYPERLINK("http://www.rosaceae.org/Prunus/Prunus_persica/p.persica_gdr_reftransV1_0013216","p.persica_gdr_reftransV1_0013216")</f>
        <v>p.persica_gdr_reftransV1_0013216</v>
      </c>
      <c r="B12014" s="2">
        <v>1340</v>
      </c>
      <c r="C12014" s="4" t="str">
        <f>HYPERLINK("http://www.uniprot.org/uniprot/M5WD95","M5WD95")</f>
        <v>M5WD95</v>
      </c>
      <c r="D12014" s="2" t="s">
        <v>10082</v>
      </c>
      <c r="E12014" s="3">
        <v>2.5600000000000001E-60</v>
      </c>
      <c r="F12014" s="2">
        <v>366</v>
      </c>
      <c r="G12014" s="2">
        <v>99</v>
      </c>
      <c r="H12014" s="2">
        <v>69</v>
      </c>
      <c r="I12014" s="2">
        <v>453</v>
      </c>
      <c r="J12014" s="2">
        <v>659</v>
      </c>
      <c r="K12014" s="2">
        <v>39</v>
      </c>
      <c r="L12014" s="2">
        <v>107</v>
      </c>
    </row>
    <row r="12015" spans="1:12" x14ac:dyDescent="0.25">
      <c r="A12015" s="4" t="str">
        <f>HYPERLINK("http://www.rosaceae.org/Prunus/Prunus_persica/p.persica_gdr_reftransV1_0014966","p.persica_gdr_reftransV1_0014966")</f>
        <v>p.persica_gdr_reftransV1_0014966</v>
      </c>
      <c r="B12015" s="2">
        <v>8589</v>
      </c>
      <c r="C12015" s="4" t="str">
        <f>HYPERLINK("http://www.uniprot.org/uniprot/M5VMP5","M5VMP5")</f>
        <v>M5VMP5</v>
      </c>
      <c r="D12015" s="2" t="s">
        <v>10083</v>
      </c>
      <c r="E12015" s="3">
        <v>0</v>
      </c>
      <c r="F12015" s="2">
        <v>11259</v>
      </c>
      <c r="G12015" s="2">
        <v>96</v>
      </c>
      <c r="H12015" s="2">
        <v>2385</v>
      </c>
      <c r="I12015" s="2">
        <v>1435</v>
      </c>
      <c r="J12015" s="2">
        <v>8589</v>
      </c>
      <c r="K12015" s="2">
        <v>101</v>
      </c>
      <c r="L12015" s="2">
        <v>2388</v>
      </c>
    </row>
    <row r="12016" spans="1:12" x14ac:dyDescent="0.25">
      <c r="A12016" s="4" t="str">
        <f>HYPERLINK("http://www.rosaceae.org/Prunus/Prunus_persica/p.persica_gdr_reftransV1_0015316","p.persica_gdr_reftransV1_0015316")</f>
        <v>p.persica_gdr_reftransV1_0015316</v>
      </c>
      <c r="B12016" s="2">
        <v>1902</v>
      </c>
      <c r="C12016" s="4" t="str">
        <f>HYPERLINK("http://www.uniprot.org/uniprot/M5VT23","M5VT23")</f>
        <v>M5VT23</v>
      </c>
      <c r="D12016" s="2" t="s">
        <v>10084</v>
      </c>
      <c r="E12016" s="3">
        <v>0</v>
      </c>
      <c r="F12016" s="2">
        <v>2316</v>
      </c>
      <c r="G12016" s="2">
        <v>100</v>
      </c>
      <c r="H12016" s="2">
        <v>443</v>
      </c>
      <c r="I12016" s="2">
        <v>411</v>
      </c>
      <c r="J12016" s="2">
        <v>1739</v>
      </c>
      <c r="K12016" s="2">
        <v>1</v>
      </c>
      <c r="L12016" s="2">
        <v>443</v>
      </c>
    </row>
    <row r="12017" spans="1:12" x14ac:dyDescent="0.25">
      <c r="A12017" s="4" t="str">
        <f>HYPERLINK("http://www.rosaceae.org/Prunus/Prunus_persica/p.persica_gdr_reftransV1_0015666","p.persica_gdr_reftransV1_0015666")</f>
        <v>p.persica_gdr_reftransV1_0015666</v>
      </c>
      <c r="B12017" s="2">
        <v>4071</v>
      </c>
      <c r="C12017" s="4" t="str">
        <f>HYPERLINK("http://www.uniprot.org/uniprot/M5WG28","M5WG28")</f>
        <v>M5WG28</v>
      </c>
      <c r="D12017" s="2" t="s">
        <v>10085</v>
      </c>
      <c r="E12017" s="3">
        <v>0</v>
      </c>
      <c r="F12017" s="2">
        <v>2513</v>
      </c>
      <c r="G12017" s="2">
        <v>100</v>
      </c>
      <c r="H12017" s="2">
        <v>528</v>
      </c>
      <c r="I12017" s="2">
        <v>1713</v>
      </c>
      <c r="J12017" s="2">
        <v>3296</v>
      </c>
      <c r="K12017" s="2">
        <v>1</v>
      </c>
      <c r="L12017" s="2">
        <v>528</v>
      </c>
    </row>
    <row r="12018" spans="1:12" x14ac:dyDescent="0.25">
      <c r="A12018" s="4" t="str">
        <f>HYPERLINK("http://www.rosaceae.org/Prunus/Prunus_persica/p.persica_gdr_reftransV1_0016016","p.persica_gdr_reftransV1_0016016")</f>
        <v>p.persica_gdr_reftransV1_0016016</v>
      </c>
      <c r="B12018" s="2">
        <v>2492</v>
      </c>
      <c r="C12018" s="4" t="str">
        <f>HYPERLINK("http://www.uniprot.org/uniprot/M5X7P2","M5X7P2")</f>
        <v>M5X7P2</v>
      </c>
      <c r="D12018" s="2" t="s">
        <v>10086</v>
      </c>
      <c r="E12018" s="3">
        <v>0</v>
      </c>
      <c r="F12018" s="2">
        <v>2338</v>
      </c>
      <c r="G12018" s="2">
        <v>100</v>
      </c>
      <c r="H12018" s="2">
        <v>449</v>
      </c>
      <c r="I12018" s="2">
        <v>604</v>
      </c>
      <c r="J12018" s="2">
        <v>1950</v>
      </c>
      <c r="K12018" s="2">
        <v>1</v>
      </c>
      <c r="L12018" s="2">
        <v>449</v>
      </c>
    </row>
    <row r="12019" spans="1:12" x14ac:dyDescent="0.25">
      <c r="A12019" s="4" t="str">
        <f>HYPERLINK("http://www.rosaceae.org/Prunus/Prunus_persica/p.persica_gdr_reftransV1_0016366","p.persica_gdr_reftransV1_0016366")</f>
        <v>p.persica_gdr_reftransV1_0016366</v>
      </c>
      <c r="B12019" s="2">
        <v>4223</v>
      </c>
      <c r="C12019" s="4" t="str">
        <f>HYPERLINK("http://www.uniprot.org/uniprot/M5XS30","M5XS30")</f>
        <v>M5XS30</v>
      </c>
      <c r="D12019" s="2" t="s">
        <v>10087</v>
      </c>
      <c r="E12019" s="3">
        <v>0</v>
      </c>
      <c r="F12019" s="2">
        <v>2082</v>
      </c>
      <c r="G12019" s="2">
        <v>100</v>
      </c>
      <c r="H12019" s="2">
        <v>399</v>
      </c>
      <c r="I12019" s="2">
        <v>2121</v>
      </c>
      <c r="J12019" s="2">
        <v>3317</v>
      </c>
      <c r="K12019" s="2">
        <v>1</v>
      </c>
      <c r="L12019" s="2">
        <v>399</v>
      </c>
    </row>
    <row r="12020" spans="1:12" x14ac:dyDescent="0.25">
      <c r="A12020" s="4" t="str">
        <f>HYPERLINK("http://www.rosaceae.org/Prunus/Prunus_persica/p.persica_gdr_reftransV1_0017066","p.persica_gdr_reftransV1_0017066")</f>
        <v>p.persica_gdr_reftransV1_0017066</v>
      </c>
      <c r="B12020" s="2">
        <v>1895</v>
      </c>
      <c r="C12020" s="4" t="str">
        <f>HYPERLINK("http://www.uniprot.org/uniprot/M5XC84","M5XC84")</f>
        <v>M5XC84</v>
      </c>
      <c r="D12020" s="2" t="s">
        <v>10088</v>
      </c>
      <c r="E12020" s="3">
        <v>0</v>
      </c>
      <c r="F12020" s="2">
        <v>2102</v>
      </c>
      <c r="G12020" s="2">
        <v>100</v>
      </c>
      <c r="H12020" s="2">
        <v>419</v>
      </c>
      <c r="I12020" s="2">
        <v>426</v>
      </c>
      <c r="J12020" s="2">
        <v>1682</v>
      </c>
      <c r="K12020" s="2">
        <v>16</v>
      </c>
      <c r="L12020" s="2">
        <v>434</v>
      </c>
    </row>
    <row r="12021" spans="1:12" x14ac:dyDescent="0.25">
      <c r="A12021" s="4" t="str">
        <f>HYPERLINK("http://www.rosaceae.org/Prunus/Prunus_persica/p.persica_gdr_reftransV1_0017416","p.persica_gdr_reftransV1_0017416")</f>
        <v>p.persica_gdr_reftransV1_0017416</v>
      </c>
      <c r="B12021" s="2">
        <v>2372</v>
      </c>
      <c r="C12021" s="4" t="str">
        <f>HYPERLINK("http://www.uniprot.org/uniprot/M5WYE9","M5WYE9")</f>
        <v>M5WYE9</v>
      </c>
      <c r="D12021" s="2" t="s">
        <v>7104</v>
      </c>
      <c r="E12021" s="3">
        <v>0</v>
      </c>
      <c r="F12021" s="2">
        <v>2466</v>
      </c>
      <c r="G12021" s="2">
        <v>100</v>
      </c>
      <c r="H12021" s="2">
        <v>471</v>
      </c>
      <c r="I12021" s="2">
        <v>345</v>
      </c>
      <c r="J12021" s="2">
        <v>1757</v>
      </c>
      <c r="K12021" s="2">
        <v>1</v>
      </c>
      <c r="L12021" s="2">
        <v>471</v>
      </c>
    </row>
    <row r="12022" spans="1:12" x14ac:dyDescent="0.25">
      <c r="A12022" s="4" t="str">
        <f>HYPERLINK("http://www.rosaceae.org/Prunus/Prunus_persica/p.persica_gdr_reftransV1_0017766","p.persica_gdr_reftransV1_0017766")</f>
        <v>p.persica_gdr_reftransV1_0017766</v>
      </c>
      <c r="B12022" s="2">
        <v>1410</v>
      </c>
      <c r="C12022" s="4" t="str">
        <f>HYPERLINK("http://www.uniprot.org/uniprot/M5VR03","M5VR03")</f>
        <v>M5VR03</v>
      </c>
      <c r="D12022" s="2" t="s">
        <v>10089</v>
      </c>
      <c r="E12022" s="3">
        <v>6.4699999999999994E-135</v>
      </c>
      <c r="F12022" s="2">
        <v>1027</v>
      </c>
      <c r="G12022" s="2">
        <v>98</v>
      </c>
      <c r="H12022" s="2">
        <v>200</v>
      </c>
      <c r="I12022" s="2">
        <v>466</v>
      </c>
      <c r="J12022" s="2">
        <v>1065</v>
      </c>
      <c r="K12022" s="2">
        <v>1</v>
      </c>
      <c r="L12022" s="2">
        <v>200</v>
      </c>
    </row>
    <row r="12023" spans="1:12" x14ac:dyDescent="0.25">
      <c r="A12023" s="4" t="str">
        <f>HYPERLINK("http://www.rosaceae.org/Prunus/Prunus_persica/p.persica_gdr_reftransV1_0018466","p.persica_gdr_reftransV1_0018466")</f>
        <v>p.persica_gdr_reftransV1_0018466</v>
      </c>
      <c r="B12023" s="2">
        <v>1144</v>
      </c>
      <c r="C12023" s="4" t="str">
        <f>HYPERLINK("http://www.uniprot.org/uniprot/M5VK39","M5VK39")</f>
        <v>M5VK39</v>
      </c>
      <c r="D12023" s="2" t="s">
        <v>10090</v>
      </c>
      <c r="E12023" s="3">
        <v>0</v>
      </c>
      <c r="F12023" s="2">
        <v>1367</v>
      </c>
      <c r="G12023" s="2">
        <v>100</v>
      </c>
      <c r="H12023" s="2">
        <v>271</v>
      </c>
      <c r="I12023" s="2">
        <v>304</v>
      </c>
      <c r="J12023" s="2">
        <v>1116</v>
      </c>
      <c r="K12023" s="2">
        <v>1</v>
      </c>
      <c r="L12023" s="2">
        <v>271</v>
      </c>
    </row>
    <row r="12024" spans="1:12" x14ac:dyDescent="0.25">
      <c r="A12024" s="4" t="str">
        <f>HYPERLINK("http://www.rosaceae.org/Prunus/Prunus_persica/p.persica_gdr_reftransV1_0019516","p.persica_gdr_reftransV1_0019516")</f>
        <v>p.persica_gdr_reftransV1_0019516</v>
      </c>
      <c r="B12024" s="2">
        <v>622</v>
      </c>
      <c r="C12024" s="4" t="str">
        <f>HYPERLINK("http://www.uniprot.org/uniprot/M5XCK7","M5XCK7")</f>
        <v>M5XCK7</v>
      </c>
      <c r="D12024" s="2" t="s">
        <v>10091</v>
      </c>
      <c r="E12024" s="3">
        <v>3.1600000000000001E-49</v>
      </c>
      <c r="F12024" s="2">
        <v>446</v>
      </c>
      <c r="G12024" s="2">
        <v>100</v>
      </c>
      <c r="H12024" s="2">
        <v>80</v>
      </c>
      <c r="I12024" s="2">
        <v>381</v>
      </c>
      <c r="J12024" s="2">
        <v>620</v>
      </c>
      <c r="K12024" s="2">
        <v>1</v>
      </c>
      <c r="L12024" s="2">
        <v>80</v>
      </c>
    </row>
    <row r="12025" spans="1:12" x14ac:dyDescent="0.25">
      <c r="A12025" s="4" t="str">
        <f>HYPERLINK("http://www.rosaceae.org/Prunus/Prunus_persica/p.persica_gdr_reftransV1_0019866","p.persica_gdr_reftransV1_0019866")</f>
        <v>p.persica_gdr_reftransV1_0019866</v>
      </c>
      <c r="B12025" s="2">
        <v>2500</v>
      </c>
      <c r="C12025" s="4" t="str">
        <f>HYPERLINK("http://www.uniprot.org/uniprot/M5X7Q8","M5X7Q8")</f>
        <v>M5X7Q8</v>
      </c>
      <c r="D12025" s="2" t="s">
        <v>10092</v>
      </c>
      <c r="E12025" s="3">
        <v>0</v>
      </c>
      <c r="F12025" s="2">
        <v>2394</v>
      </c>
      <c r="G12025" s="2">
        <v>99</v>
      </c>
      <c r="H12025" s="2">
        <v>515</v>
      </c>
      <c r="I12025" s="2">
        <v>291</v>
      </c>
      <c r="J12025" s="2">
        <v>1835</v>
      </c>
      <c r="K12025" s="2">
        <v>1</v>
      </c>
      <c r="L12025" s="2">
        <v>515</v>
      </c>
    </row>
    <row r="12026" spans="1:12" x14ac:dyDescent="0.25">
      <c r="A12026" s="4" t="str">
        <f>HYPERLINK("http://www.rosaceae.org/Prunus/Prunus_persica/p.persica_gdr_reftransV1_0020216","p.persica_gdr_reftransV1_0020216")</f>
        <v>p.persica_gdr_reftransV1_0020216</v>
      </c>
      <c r="B12026" s="2">
        <v>3004</v>
      </c>
      <c r="C12026" s="4" t="str">
        <f>HYPERLINK("http://www.uniprot.org/uniprot/A0A061EVZ3","A0A061EVZ3")</f>
        <v>A0A061EVZ3</v>
      </c>
      <c r="D12026" s="2" t="s">
        <v>10093</v>
      </c>
      <c r="E12026" s="3">
        <v>0</v>
      </c>
      <c r="F12026" s="2">
        <v>2632</v>
      </c>
      <c r="G12026" s="2">
        <v>88</v>
      </c>
      <c r="H12026" s="2">
        <v>573</v>
      </c>
      <c r="I12026" s="2">
        <v>495</v>
      </c>
      <c r="J12026" s="2">
        <v>2210</v>
      </c>
      <c r="K12026" s="2">
        <v>5</v>
      </c>
      <c r="L12026" s="2">
        <v>576</v>
      </c>
    </row>
    <row r="12027" spans="1:12" x14ac:dyDescent="0.25">
      <c r="A12027" s="4" t="str">
        <f>HYPERLINK("http://www.rosaceae.org/Prunus/Prunus_persica/p.persica_gdr_reftransV1_0020566","p.persica_gdr_reftransV1_0020566")</f>
        <v>p.persica_gdr_reftransV1_0020566</v>
      </c>
      <c r="B12027" s="2">
        <v>1630</v>
      </c>
      <c r="C12027" s="4" t="str">
        <f>HYPERLINK("http://www.uniprot.org/uniprot/M5XG24","M5XG24")</f>
        <v>M5XG24</v>
      </c>
      <c r="D12027" s="2" t="s">
        <v>10094</v>
      </c>
      <c r="E12027" s="3">
        <v>0</v>
      </c>
      <c r="F12027" s="2">
        <v>1889</v>
      </c>
      <c r="G12027" s="2">
        <v>100</v>
      </c>
      <c r="H12027" s="2">
        <v>353</v>
      </c>
      <c r="I12027" s="2">
        <v>155</v>
      </c>
      <c r="J12027" s="2">
        <v>1213</v>
      </c>
      <c r="K12027" s="2">
        <v>27</v>
      </c>
      <c r="L12027" s="2">
        <v>379</v>
      </c>
    </row>
    <row r="12028" spans="1:12" x14ac:dyDescent="0.25">
      <c r="A12028" s="4" t="str">
        <f>HYPERLINK("http://www.rosaceae.org/Prunus/Prunus_persica/p.persica_gdr_reftransV1_0021616","p.persica_gdr_reftransV1_0021616")</f>
        <v>p.persica_gdr_reftransV1_0021616</v>
      </c>
      <c r="B12028" s="2">
        <v>3631</v>
      </c>
      <c r="C12028" s="4" t="str">
        <f>HYPERLINK("http://www.uniprot.org/uniprot/M5X2A7","M5X2A7")</f>
        <v>M5X2A7</v>
      </c>
      <c r="D12028" s="2" t="s">
        <v>9020</v>
      </c>
      <c r="E12028" s="3">
        <v>1.4499999999999999E-150</v>
      </c>
      <c r="F12028" s="2">
        <v>1220</v>
      </c>
      <c r="G12028" s="2">
        <v>100</v>
      </c>
      <c r="H12028" s="2">
        <v>245</v>
      </c>
      <c r="I12028" s="2">
        <v>800</v>
      </c>
      <c r="J12028" s="2">
        <v>1534</v>
      </c>
      <c r="K12028" s="2">
        <v>233</v>
      </c>
      <c r="L12028" s="2">
        <v>477</v>
      </c>
    </row>
    <row r="12029" spans="1:12" x14ac:dyDescent="0.25">
      <c r="A12029" s="4" t="str">
        <f>HYPERLINK("http://www.rosaceae.org/Prunus/Prunus_persica/p.persica_gdr_reftransV1_0022316","p.persica_gdr_reftransV1_0022316")</f>
        <v>p.persica_gdr_reftransV1_0022316</v>
      </c>
      <c r="B12029" s="2">
        <v>1747</v>
      </c>
      <c r="C12029" s="4" t="str">
        <f>HYPERLINK("http://www.uniprot.org/uniprot/M5WEI6","M5WEI6")</f>
        <v>M5WEI6</v>
      </c>
      <c r="D12029" s="2" t="s">
        <v>10095</v>
      </c>
      <c r="E12029" s="3">
        <v>0</v>
      </c>
      <c r="F12029" s="2">
        <v>1904</v>
      </c>
      <c r="G12029" s="2">
        <v>100</v>
      </c>
      <c r="H12029" s="2">
        <v>406</v>
      </c>
      <c r="I12029" s="2">
        <v>186</v>
      </c>
      <c r="J12029" s="2">
        <v>1403</v>
      </c>
      <c r="K12029" s="2">
        <v>1</v>
      </c>
      <c r="L12029" s="2">
        <v>406</v>
      </c>
    </row>
    <row r="12030" spans="1:12" x14ac:dyDescent="0.25">
      <c r="A12030" s="4" t="str">
        <f>HYPERLINK("http://www.rosaceae.org/Prunus/Prunus_persica/p.persica_gdr_reftransV1_0023366","p.persica_gdr_reftransV1_0023366")</f>
        <v>p.persica_gdr_reftransV1_0023366</v>
      </c>
      <c r="B12030" s="2">
        <v>1997</v>
      </c>
      <c r="C12030" s="4" t="str">
        <f>HYPERLINK("http://www.uniprot.org/uniprot/M5VVQ1","M5VVQ1")</f>
        <v>M5VVQ1</v>
      </c>
      <c r="D12030" s="2" t="s">
        <v>10096</v>
      </c>
      <c r="E12030" s="3">
        <v>0</v>
      </c>
      <c r="F12030" s="2">
        <v>2622</v>
      </c>
      <c r="G12030" s="2">
        <v>97</v>
      </c>
      <c r="H12030" s="2">
        <v>520</v>
      </c>
      <c r="I12030" s="2">
        <v>243</v>
      </c>
      <c r="J12030" s="2">
        <v>1799</v>
      </c>
      <c r="K12030" s="2">
        <v>1</v>
      </c>
      <c r="L12030" s="2">
        <v>506</v>
      </c>
    </row>
    <row r="12031" spans="1:12" x14ac:dyDescent="0.25">
      <c r="A12031" s="4" t="str">
        <f>HYPERLINK("http://www.rosaceae.org/Prunus/Prunus_persica/p.persica_gdr_reftransV1_0024066","p.persica_gdr_reftransV1_0024066")</f>
        <v>p.persica_gdr_reftransV1_0024066</v>
      </c>
      <c r="B12031" s="2">
        <v>630</v>
      </c>
      <c r="C12031" s="4" t="str">
        <f>HYPERLINK("http://www.uniprot.org/uniprot/M5WX16","M5WX16")</f>
        <v>M5WX16</v>
      </c>
      <c r="D12031" s="2" t="s">
        <v>3521</v>
      </c>
      <c r="E12031" s="3">
        <v>6.6100000000000001E-87</v>
      </c>
      <c r="F12031" s="2">
        <v>737</v>
      </c>
      <c r="G12031" s="2">
        <v>85</v>
      </c>
      <c r="H12031" s="2">
        <v>209</v>
      </c>
      <c r="I12031" s="2">
        <v>2</v>
      </c>
      <c r="J12031" s="2">
        <v>628</v>
      </c>
      <c r="K12031" s="2">
        <v>13</v>
      </c>
      <c r="L12031" s="2">
        <v>190</v>
      </c>
    </row>
    <row r="12032" spans="1:12" x14ac:dyDescent="0.25">
      <c r="A12032" s="4" t="str">
        <f>HYPERLINK("http://www.rosaceae.org/Prunus/Prunus_persica/p.persica_gdr_reftransV1_0025466","p.persica_gdr_reftransV1_0025466")</f>
        <v>p.persica_gdr_reftransV1_0025466</v>
      </c>
      <c r="B12032" s="2">
        <v>3189</v>
      </c>
      <c r="C12032" s="4" t="str">
        <f>HYPERLINK("http://www.uniprot.org/uniprot/M5W837","M5W837")</f>
        <v>M5W837</v>
      </c>
      <c r="D12032" s="2" t="s">
        <v>10097</v>
      </c>
      <c r="E12032" s="3">
        <v>1.45E-175</v>
      </c>
      <c r="F12032" s="2">
        <v>1222</v>
      </c>
      <c r="G12032" s="2">
        <v>100</v>
      </c>
      <c r="H12032" s="2">
        <v>237</v>
      </c>
      <c r="I12032" s="2">
        <v>1276</v>
      </c>
      <c r="J12032" s="2">
        <v>1986</v>
      </c>
      <c r="K12032" s="2">
        <v>262</v>
      </c>
      <c r="L12032" s="2">
        <v>498</v>
      </c>
    </row>
    <row r="12033" spans="1:12" x14ac:dyDescent="0.25">
      <c r="A12033" s="4" t="str">
        <f>HYPERLINK("http://www.rosaceae.org/Prunus/Prunus_persica/p.persica_gdr_reftransV1_0026516","p.persica_gdr_reftransV1_0026516")</f>
        <v>p.persica_gdr_reftransV1_0026516</v>
      </c>
      <c r="B12033" s="2">
        <v>3073</v>
      </c>
      <c r="C12033" s="4" t="str">
        <f>HYPERLINK("http://www.uniprot.org/uniprot/M5VVH5","M5VVH5")</f>
        <v>M5VVH5</v>
      </c>
      <c r="D12033" s="2" t="s">
        <v>10098</v>
      </c>
      <c r="E12033" s="3">
        <v>0</v>
      </c>
      <c r="F12033" s="2">
        <v>2914</v>
      </c>
      <c r="G12033" s="2">
        <v>100</v>
      </c>
      <c r="H12033" s="2">
        <v>549</v>
      </c>
      <c r="I12033" s="2">
        <v>34</v>
      </c>
      <c r="J12033" s="2">
        <v>1680</v>
      </c>
      <c r="K12033" s="2">
        <v>1</v>
      </c>
      <c r="L12033" s="2">
        <v>549</v>
      </c>
    </row>
    <row r="12034" spans="1:12" x14ac:dyDescent="0.25">
      <c r="A12034" s="4" t="str">
        <f>HYPERLINK("http://www.rosaceae.org/Prunus/Prunus_persica/p.persica_gdr_reftransV1_0026866","p.persica_gdr_reftransV1_0026866")</f>
        <v>p.persica_gdr_reftransV1_0026866</v>
      </c>
      <c r="B12034" s="2">
        <v>3367</v>
      </c>
      <c r="C12034" s="4" t="str">
        <f>HYPERLINK("http://www.uniprot.org/uniprot/M5W2F8","M5W2F8")</f>
        <v>M5W2F8</v>
      </c>
      <c r="D12034" s="2" t="s">
        <v>10099</v>
      </c>
      <c r="E12034" s="3">
        <v>0</v>
      </c>
      <c r="F12034" s="2">
        <v>1541</v>
      </c>
      <c r="G12034" s="2">
        <v>69</v>
      </c>
      <c r="H12034" s="2">
        <v>484</v>
      </c>
      <c r="I12034" s="2">
        <v>1934</v>
      </c>
      <c r="J12034" s="2">
        <v>3367</v>
      </c>
      <c r="K12034" s="2">
        <v>655</v>
      </c>
      <c r="L12034" s="2">
        <v>1076</v>
      </c>
    </row>
    <row r="12035" spans="1:12" x14ac:dyDescent="0.25">
      <c r="A12035" s="4" t="str">
        <f>HYPERLINK("http://www.rosaceae.org/Prunus/Prunus_persica/p.persica_gdr_reftransV1_0027216","p.persica_gdr_reftransV1_0027216")</f>
        <v>p.persica_gdr_reftransV1_0027216</v>
      </c>
      <c r="B12035" s="2">
        <v>2210</v>
      </c>
      <c r="C12035" s="4" t="str">
        <f>HYPERLINK("http://www.uniprot.org/uniprot/M5X3X3","M5X3X3")</f>
        <v>M5X3X3</v>
      </c>
      <c r="D12035" s="2" t="s">
        <v>10100</v>
      </c>
      <c r="E12035" s="3">
        <v>0</v>
      </c>
      <c r="F12035" s="2">
        <v>3039</v>
      </c>
      <c r="G12035" s="2">
        <v>100</v>
      </c>
      <c r="H12035" s="2">
        <v>583</v>
      </c>
      <c r="I12035" s="2">
        <v>129</v>
      </c>
      <c r="J12035" s="2">
        <v>1877</v>
      </c>
      <c r="K12035" s="2">
        <v>1</v>
      </c>
      <c r="L12035" s="2">
        <v>583</v>
      </c>
    </row>
    <row r="12036" spans="1:12" x14ac:dyDescent="0.25">
      <c r="A12036" s="4" t="str">
        <f>HYPERLINK("http://www.rosaceae.org/Prunus/Prunus_persica/p.persica_gdr_reftransV1_0027566","p.persica_gdr_reftransV1_0027566")</f>
        <v>p.persica_gdr_reftransV1_0027566</v>
      </c>
      <c r="B12036" s="2">
        <v>1873</v>
      </c>
      <c r="C12036" s="4" t="str">
        <f>HYPERLINK("http://www.uniprot.org/uniprot/M5XUH1","M5XUH1")</f>
        <v>M5XUH1</v>
      </c>
      <c r="D12036" s="2" t="s">
        <v>10101</v>
      </c>
      <c r="E12036" s="3">
        <v>0</v>
      </c>
      <c r="F12036" s="2">
        <v>1501</v>
      </c>
      <c r="G12036" s="2">
        <v>100</v>
      </c>
      <c r="H12036" s="2">
        <v>343</v>
      </c>
      <c r="I12036" s="2">
        <v>512</v>
      </c>
      <c r="J12036" s="2">
        <v>1540</v>
      </c>
      <c r="K12036" s="2">
        <v>33</v>
      </c>
      <c r="L12036" s="2">
        <v>375</v>
      </c>
    </row>
    <row r="12037" spans="1:12" x14ac:dyDescent="0.25">
      <c r="A12037" s="4" t="str">
        <f>HYPERLINK("http://www.rosaceae.org/Prunus/Prunus_persica/p.persica_gdr_reftransV1_0030016","p.persica_gdr_reftransV1_0030016")</f>
        <v>p.persica_gdr_reftransV1_0030016</v>
      </c>
      <c r="B12037" s="2">
        <v>1621</v>
      </c>
      <c r="C12037" s="4" t="str">
        <f>HYPERLINK("http://www.uniprot.org/uniprot/M5XC69","M5XC69")</f>
        <v>M5XC69</v>
      </c>
      <c r="D12037" s="2" t="s">
        <v>10102</v>
      </c>
      <c r="E12037" s="3">
        <v>0</v>
      </c>
      <c r="F12037" s="2">
        <v>1397</v>
      </c>
      <c r="G12037" s="2">
        <v>100</v>
      </c>
      <c r="H12037" s="2">
        <v>274</v>
      </c>
      <c r="I12037" s="2">
        <v>231</v>
      </c>
      <c r="J12037" s="2">
        <v>1052</v>
      </c>
      <c r="K12037" s="2">
        <v>1</v>
      </c>
      <c r="L12037" s="2">
        <v>274</v>
      </c>
    </row>
    <row r="12038" spans="1:12" x14ac:dyDescent="0.25">
      <c r="A12038" s="4" t="str">
        <f>HYPERLINK("http://www.rosaceae.org/Prunus/Prunus_persica/p.persica_gdr_reftransV1_0030716","p.persica_gdr_reftransV1_0030716")</f>
        <v>p.persica_gdr_reftransV1_0030716</v>
      </c>
      <c r="B12038" s="2">
        <v>3126</v>
      </c>
      <c r="C12038" s="4" t="str">
        <f>HYPERLINK("http://www.uniprot.org/uniprot/M5X6B5","M5X6B5")</f>
        <v>M5X6B5</v>
      </c>
      <c r="D12038" s="2" t="s">
        <v>10103</v>
      </c>
      <c r="E12038" s="3">
        <v>0</v>
      </c>
      <c r="F12038" s="2">
        <v>4056</v>
      </c>
      <c r="G12038" s="2">
        <v>100</v>
      </c>
      <c r="H12038" s="2">
        <v>919</v>
      </c>
      <c r="I12038" s="2">
        <v>79</v>
      </c>
      <c r="J12038" s="2">
        <v>2835</v>
      </c>
      <c r="K12038" s="2">
        <v>1</v>
      </c>
      <c r="L12038" s="2">
        <v>917</v>
      </c>
    </row>
    <row r="12039" spans="1:12" x14ac:dyDescent="0.25">
      <c r="A12039" s="4" t="str">
        <f>HYPERLINK("http://www.rosaceae.org/Prunus/Prunus_persica/p.persica_gdr_reftransV1_0031416","p.persica_gdr_reftransV1_0031416")</f>
        <v>p.persica_gdr_reftransV1_0031416</v>
      </c>
      <c r="B12039" s="2">
        <v>2455</v>
      </c>
      <c r="C12039" s="4" t="str">
        <f>HYPERLINK("http://www.uniprot.org/uniprot/M5W3Y8","M5W3Y8")</f>
        <v>M5W3Y8</v>
      </c>
      <c r="D12039" s="2" t="s">
        <v>10104</v>
      </c>
      <c r="E12039" s="3">
        <v>0</v>
      </c>
      <c r="F12039" s="2">
        <v>2651</v>
      </c>
      <c r="G12039" s="2">
        <v>100</v>
      </c>
      <c r="H12039" s="2">
        <v>531</v>
      </c>
      <c r="I12039" s="2">
        <v>510</v>
      </c>
      <c r="J12039" s="2">
        <v>2102</v>
      </c>
      <c r="K12039" s="2">
        <v>1</v>
      </c>
      <c r="L12039" s="2">
        <v>531</v>
      </c>
    </row>
    <row r="12040" spans="1:12" x14ac:dyDescent="0.25">
      <c r="A12040" s="4" t="str">
        <f>HYPERLINK("http://www.rosaceae.org/Prunus/Prunus_persica/p.persica_gdr_reftransV1_0034916","p.persica_gdr_reftransV1_0034916")</f>
        <v>p.persica_gdr_reftransV1_0034916</v>
      </c>
      <c r="B12040" s="2">
        <v>4086</v>
      </c>
      <c r="C12040" s="4" t="str">
        <f>HYPERLINK("http://www.uniprot.org/uniprot/M5XGH9","M5XGH9")</f>
        <v>M5XGH9</v>
      </c>
      <c r="D12040" s="2" t="s">
        <v>10105</v>
      </c>
      <c r="E12040" s="3">
        <v>0</v>
      </c>
      <c r="F12040" s="2">
        <v>1517</v>
      </c>
      <c r="G12040" s="2">
        <v>99</v>
      </c>
      <c r="H12040" s="2">
        <v>349</v>
      </c>
      <c r="I12040" s="2">
        <v>2560</v>
      </c>
      <c r="J12040" s="2">
        <v>3606</v>
      </c>
      <c r="K12040" s="2">
        <v>69</v>
      </c>
      <c r="L12040" s="2">
        <v>417</v>
      </c>
    </row>
    <row r="12041" spans="1:12" x14ac:dyDescent="0.25">
      <c r="A12041" s="4" t="str">
        <f>HYPERLINK("http://www.rosaceae.org/Prunus/Prunus_persica/p.persica_gdr_reftransV1_0035266","p.persica_gdr_reftransV1_0035266")</f>
        <v>p.persica_gdr_reftransV1_0035266</v>
      </c>
      <c r="B12041" s="2">
        <v>2893</v>
      </c>
      <c r="C12041" s="4" t="str">
        <f>HYPERLINK("http://www.uniprot.org/uniprot/M5XLP3","M5XLP3")</f>
        <v>M5XLP3</v>
      </c>
      <c r="D12041" s="2" t="s">
        <v>7936</v>
      </c>
      <c r="E12041" s="3">
        <v>0</v>
      </c>
      <c r="F12041" s="2">
        <v>3098</v>
      </c>
      <c r="G12041" s="2">
        <v>100</v>
      </c>
      <c r="H12041" s="2">
        <v>593</v>
      </c>
      <c r="I12041" s="2">
        <v>237</v>
      </c>
      <c r="J12041" s="2">
        <v>2015</v>
      </c>
      <c r="K12041" s="2">
        <v>1</v>
      </c>
      <c r="L12041" s="2">
        <v>593</v>
      </c>
    </row>
    <row r="12042" spans="1:12" x14ac:dyDescent="0.25">
      <c r="A12042" s="4" t="str">
        <f>HYPERLINK("http://www.rosaceae.org/Prunus/Prunus_persica/p.persica_gdr_reftransV1_0035966","p.persica_gdr_reftransV1_0035966")</f>
        <v>p.persica_gdr_reftransV1_0035966</v>
      </c>
      <c r="B12042" s="2">
        <v>1680</v>
      </c>
      <c r="C12042" s="4" t="str">
        <f>HYPERLINK("http://www.uniprot.org/uniprot/M5WUK8","M5WUK8")</f>
        <v>M5WUK8</v>
      </c>
      <c r="D12042" s="2" t="s">
        <v>4174</v>
      </c>
      <c r="E12042" s="3">
        <v>3.2000000000000002E-114</v>
      </c>
      <c r="F12042" s="2">
        <v>903</v>
      </c>
      <c r="G12042" s="2">
        <v>92</v>
      </c>
      <c r="H12042" s="2">
        <v>189</v>
      </c>
      <c r="I12042" s="2">
        <v>228</v>
      </c>
      <c r="J12042" s="2">
        <v>791</v>
      </c>
      <c r="K12042" s="2">
        <v>1</v>
      </c>
      <c r="L12042" s="2">
        <v>189</v>
      </c>
    </row>
    <row r="12043" spans="1:12" x14ac:dyDescent="0.25">
      <c r="A12043" s="4" t="str">
        <f>HYPERLINK("http://www.rosaceae.org/Prunus/Prunus_persica/p.persica_gdr_reftransV1_0036666","p.persica_gdr_reftransV1_0036666")</f>
        <v>p.persica_gdr_reftransV1_0036666</v>
      </c>
      <c r="B12043" s="2">
        <v>1633</v>
      </c>
      <c r="C12043" s="4" t="str">
        <f>HYPERLINK("http://www.uniprot.org/uniprot/M5W1H1","M5W1H1")</f>
        <v>M5W1H1</v>
      </c>
      <c r="D12043" s="2" t="s">
        <v>10106</v>
      </c>
      <c r="E12043" s="3">
        <v>2.4599999999999999E-33</v>
      </c>
      <c r="F12043" s="2">
        <v>337</v>
      </c>
      <c r="G12043" s="2">
        <v>100</v>
      </c>
      <c r="H12043" s="2">
        <v>67</v>
      </c>
      <c r="I12043" s="2">
        <v>1193</v>
      </c>
      <c r="J12043" s="2">
        <v>1393</v>
      </c>
      <c r="K12043" s="2">
        <v>1</v>
      </c>
      <c r="L12043" s="2">
        <v>67</v>
      </c>
    </row>
    <row r="12044" spans="1:12" x14ac:dyDescent="0.25">
      <c r="A12044" s="4" t="str">
        <f>HYPERLINK("http://www.rosaceae.org/Prunus/Prunus_persica/p.persica_gdr_reftransV1_0037716","p.persica_gdr_reftransV1_0037716")</f>
        <v>p.persica_gdr_reftransV1_0037716</v>
      </c>
      <c r="B12044" s="2">
        <v>1534</v>
      </c>
      <c r="C12044" s="4" t="str">
        <f>HYPERLINK("http://www.uniprot.org/uniprot/M5WT91","M5WT91")</f>
        <v>M5WT91</v>
      </c>
      <c r="D12044" s="2" t="s">
        <v>10107</v>
      </c>
      <c r="E12044" s="3">
        <v>0</v>
      </c>
      <c r="F12044" s="2">
        <v>1512</v>
      </c>
      <c r="G12044" s="2">
        <v>98</v>
      </c>
      <c r="H12044" s="2">
        <v>291</v>
      </c>
      <c r="I12044" s="2">
        <v>597</v>
      </c>
      <c r="J12044" s="2">
        <v>1469</v>
      </c>
      <c r="K12044" s="2">
        <v>1</v>
      </c>
      <c r="L12044" s="2">
        <v>290</v>
      </c>
    </row>
    <row r="12045" spans="1:12" x14ac:dyDescent="0.25">
      <c r="A12045" s="4" t="str">
        <f>HYPERLINK("http://www.rosaceae.org/Prunus/Prunus_persica/p.persica_gdr_reftransV1_0039466","p.persica_gdr_reftransV1_0039466")</f>
        <v>p.persica_gdr_reftransV1_0039466</v>
      </c>
      <c r="B12045" s="2">
        <v>1933</v>
      </c>
      <c r="C12045" s="4" t="str">
        <f>HYPERLINK("http://www.uniprot.org/uniprot/M5VZM1","M5VZM1")</f>
        <v>M5VZM1</v>
      </c>
      <c r="D12045" s="2" t="s">
        <v>6121</v>
      </c>
      <c r="E12045" s="3">
        <v>0</v>
      </c>
      <c r="F12045" s="2">
        <v>1806</v>
      </c>
      <c r="G12045" s="2">
        <v>100</v>
      </c>
      <c r="H12045" s="2">
        <v>356</v>
      </c>
      <c r="I12045" s="2">
        <v>317</v>
      </c>
      <c r="J12045" s="2">
        <v>1384</v>
      </c>
      <c r="K12045" s="2">
        <v>23</v>
      </c>
      <c r="L12045" s="2">
        <v>378</v>
      </c>
    </row>
    <row r="12046" spans="1:12" x14ac:dyDescent="0.25">
      <c r="A12046" s="4" t="str">
        <f>HYPERLINK("http://www.rosaceae.org/Prunus/Prunus_persica/p.persica_gdr_reftransV1_0040516","p.persica_gdr_reftransV1_0040516")</f>
        <v>p.persica_gdr_reftransV1_0040516</v>
      </c>
      <c r="B12046" s="2">
        <v>2636</v>
      </c>
      <c r="C12046" s="4" t="str">
        <f>HYPERLINK("http://www.uniprot.org/uniprot/M5X2U7","M5X2U7")</f>
        <v>M5X2U7</v>
      </c>
      <c r="D12046" s="2" t="s">
        <v>10108</v>
      </c>
      <c r="E12046" s="3">
        <v>0</v>
      </c>
      <c r="F12046" s="2">
        <v>1555</v>
      </c>
      <c r="G12046" s="2">
        <v>92</v>
      </c>
      <c r="H12046" s="2">
        <v>384</v>
      </c>
      <c r="I12046" s="2">
        <v>1332</v>
      </c>
      <c r="J12046" s="2">
        <v>2483</v>
      </c>
      <c r="K12046" s="2">
        <v>1</v>
      </c>
      <c r="L12046" s="2">
        <v>354</v>
      </c>
    </row>
    <row r="12047" spans="1:12" x14ac:dyDescent="0.25">
      <c r="A12047" s="4" t="str">
        <f>HYPERLINK("http://www.rosaceae.org/Prunus/Prunus_persica/p.persica_gdr_reftransV1_0041566","p.persica_gdr_reftransV1_0041566")</f>
        <v>p.persica_gdr_reftransV1_0041566</v>
      </c>
      <c r="B12047" s="2">
        <v>3978</v>
      </c>
      <c r="C12047" s="4" t="str">
        <f>HYPERLINK("http://www.uniprot.org/uniprot/M5XF22","M5XF22")</f>
        <v>M5XF22</v>
      </c>
      <c r="D12047" s="2" t="s">
        <v>6799</v>
      </c>
      <c r="E12047" s="3">
        <v>0</v>
      </c>
      <c r="F12047" s="2">
        <v>4357</v>
      </c>
      <c r="G12047" s="2">
        <v>100</v>
      </c>
      <c r="H12047" s="2">
        <v>830</v>
      </c>
      <c r="I12047" s="2">
        <v>1407</v>
      </c>
      <c r="J12047" s="2">
        <v>3896</v>
      </c>
      <c r="K12047" s="2">
        <v>162</v>
      </c>
      <c r="L12047" s="2">
        <v>991</v>
      </c>
    </row>
    <row r="12048" spans="1:12" x14ac:dyDescent="0.25">
      <c r="A12048" s="4" t="str">
        <f>HYPERLINK("http://www.rosaceae.org/Prunus/Prunus_persica/p.persica_gdr_reftransV1_0043316","p.persica_gdr_reftransV1_0043316")</f>
        <v>p.persica_gdr_reftransV1_0043316</v>
      </c>
      <c r="B12048" s="2">
        <v>1926</v>
      </c>
      <c r="C12048" s="4" t="str">
        <f>HYPERLINK("http://www.uniprot.org/uniprot/M5W847","M5W847")</f>
        <v>M5W847</v>
      </c>
      <c r="D12048" s="2" t="s">
        <v>9737</v>
      </c>
      <c r="E12048" s="3">
        <v>0</v>
      </c>
      <c r="F12048" s="2">
        <v>2516</v>
      </c>
      <c r="G12048" s="2">
        <v>100</v>
      </c>
      <c r="H12048" s="2">
        <v>524</v>
      </c>
      <c r="I12048" s="2">
        <v>257</v>
      </c>
      <c r="J12048" s="2">
        <v>1828</v>
      </c>
      <c r="K12048" s="2">
        <v>15</v>
      </c>
      <c r="L12048" s="2">
        <v>538</v>
      </c>
    </row>
    <row r="12049" spans="1:12" x14ac:dyDescent="0.25">
      <c r="A12049" s="4" t="str">
        <f>HYPERLINK("http://www.rosaceae.org/Prunus/Prunus_persica/p.persica_gdr_reftransV1_0043666","p.persica_gdr_reftransV1_0043666")</f>
        <v>p.persica_gdr_reftransV1_0043666</v>
      </c>
      <c r="B12049" s="2">
        <v>1029</v>
      </c>
      <c r="C12049" s="4" t="str">
        <f>HYPERLINK("http://www.uniprot.org/uniprot/M5XUG0","M5XUG0")</f>
        <v>M5XUG0</v>
      </c>
      <c r="D12049" s="2" t="s">
        <v>10109</v>
      </c>
      <c r="E12049" s="3">
        <v>9.03E-169</v>
      </c>
      <c r="F12049" s="2">
        <v>1240</v>
      </c>
      <c r="G12049" s="2">
        <v>100</v>
      </c>
      <c r="H12049" s="2">
        <v>246</v>
      </c>
      <c r="I12049" s="2">
        <v>24</v>
      </c>
      <c r="J12049" s="2">
        <v>761</v>
      </c>
      <c r="K12049" s="2">
        <v>1</v>
      </c>
      <c r="L12049" s="2">
        <v>246</v>
      </c>
    </row>
    <row r="12050" spans="1:12" x14ac:dyDescent="0.25">
      <c r="A12050" s="4" t="str">
        <f>HYPERLINK("http://www.rosaceae.org/Prunus/Prunus_persica/p.persica_gdr_reftransV1_0044016","p.persica_gdr_reftransV1_0044016")</f>
        <v>p.persica_gdr_reftransV1_0044016</v>
      </c>
      <c r="B12050" s="2">
        <v>5211</v>
      </c>
      <c r="C12050" s="4" t="str">
        <f>HYPERLINK("http://www.uniprot.org/uniprot/M5VSF5","M5VSF5")</f>
        <v>M5VSF5</v>
      </c>
      <c r="D12050" s="2" t="s">
        <v>3266</v>
      </c>
      <c r="E12050" s="3">
        <v>0</v>
      </c>
      <c r="F12050" s="2">
        <v>8348</v>
      </c>
      <c r="G12050" s="2">
        <v>100</v>
      </c>
      <c r="H12050" s="2">
        <v>1598</v>
      </c>
      <c r="I12050" s="2">
        <v>418</v>
      </c>
      <c r="J12050" s="2">
        <v>5211</v>
      </c>
      <c r="K12050" s="2">
        <v>158</v>
      </c>
      <c r="L12050" s="2">
        <v>1755</v>
      </c>
    </row>
    <row r="12051" spans="1:12" x14ac:dyDescent="0.25">
      <c r="A12051" s="4" t="str">
        <f>HYPERLINK("http://www.rosaceae.org/Prunus/Prunus_persica/p.persica_gdr_reftransV1_0044716","p.persica_gdr_reftransV1_0044716")</f>
        <v>p.persica_gdr_reftransV1_0044716</v>
      </c>
      <c r="B12051" s="2">
        <v>1250</v>
      </c>
      <c r="C12051" s="4" t="str">
        <f>HYPERLINK("http://www.uniprot.org/uniprot/M5XAT3","M5XAT3")</f>
        <v>M5XAT3</v>
      </c>
      <c r="D12051" s="2" t="s">
        <v>3566</v>
      </c>
      <c r="E12051" s="3">
        <v>0</v>
      </c>
      <c r="F12051" s="2">
        <v>1479</v>
      </c>
      <c r="G12051" s="2">
        <v>100</v>
      </c>
      <c r="H12051" s="2">
        <v>298</v>
      </c>
      <c r="I12051" s="2">
        <v>3</v>
      </c>
      <c r="J12051" s="2">
        <v>896</v>
      </c>
      <c r="K12051" s="2">
        <v>323</v>
      </c>
      <c r="L12051" s="2">
        <v>620</v>
      </c>
    </row>
    <row r="12052" spans="1:12" x14ac:dyDescent="0.25">
      <c r="A12052" s="4" t="str">
        <f>HYPERLINK("http://www.rosaceae.org/Prunus/Prunus_persica/p.persica_gdr_reftransV1_0045066","p.persica_gdr_reftransV1_0045066")</f>
        <v>p.persica_gdr_reftransV1_0045066</v>
      </c>
      <c r="B12052" s="2">
        <v>794</v>
      </c>
      <c r="C12052" s="4" t="str">
        <f>HYPERLINK("http://www.uniprot.org/uniprot/W9SC56","W9SC56")</f>
        <v>W9SC56</v>
      </c>
      <c r="D12052" s="2" t="s">
        <v>10110</v>
      </c>
      <c r="E12052" s="3">
        <v>1.24E-92</v>
      </c>
      <c r="F12052" s="2">
        <v>515</v>
      </c>
      <c r="G12052" s="2">
        <v>94</v>
      </c>
      <c r="H12052" s="2">
        <v>97</v>
      </c>
      <c r="I12052" s="2">
        <v>504</v>
      </c>
      <c r="J12052" s="2">
        <v>794</v>
      </c>
      <c r="K12052" s="2">
        <v>609</v>
      </c>
      <c r="L12052" s="2">
        <v>705</v>
      </c>
    </row>
    <row r="12053" spans="1:12" x14ac:dyDescent="0.25">
      <c r="A12053" s="4" t="str">
        <f>HYPERLINK("http://www.rosaceae.org/Prunus/Prunus_persica/p.persica_gdr_reftransV1_0045766","p.persica_gdr_reftransV1_0045766")</f>
        <v>p.persica_gdr_reftransV1_0045766</v>
      </c>
      <c r="B12053" s="2">
        <v>1081</v>
      </c>
      <c r="C12053" s="4" t="str">
        <f>HYPERLINK("http://www.uniprot.org/uniprot/M5X7V0","M5X7V0")</f>
        <v>M5X7V0</v>
      </c>
      <c r="D12053" s="2" t="s">
        <v>10111</v>
      </c>
      <c r="E12053" s="3">
        <v>1.5700000000000001E-137</v>
      </c>
      <c r="F12053" s="2">
        <v>1032</v>
      </c>
      <c r="G12053" s="2">
        <v>100</v>
      </c>
      <c r="H12053" s="2">
        <v>202</v>
      </c>
      <c r="I12053" s="2">
        <v>287</v>
      </c>
      <c r="J12053" s="2">
        <v>892</v>
      </c>
      <c r="K12053" s="2">
        <v>1</v>
      </c>
      <c r="L12053" s="2">
        <v>202</v>
      </c>
    </row>
    <row r="12054" spans="1:12" x14ac:dyDescent="0.25">
      <c r="A12054" s="4" t="str">
        <f>HYPERLINK("http://www.rosaceae.org/Prunus/Prunus_persica/p.persica_gdr_reftransV1_0046116","p.persica_gdr_reftransV1_0046116")</f>
        <v>p.persica_gdr_reftransV1_0046116</v>
      </c>
      <c r="B12054" s="2">
        <v>1840</v>
      </c>
      <c r="C12054" s="4" t="str">
        <f>HYPERLINK("http://www.uniprot.org/uniprot/M5W9V4","M5W9V4")</f>
        <v>M5W9V4</v>
      </c>
      <c r="D12054" s="2" t="s">
        <v>5629</v>
      </c>
      <c r="E12054" s="3">
        <v>9.0800000000000004E-147</v>
      </c>
      <c r="F12054" s="2">
        <v>1131</v>
      </c>
      <c r="G12054" s="2">
        <v>88</v>
      </c>
      <c r="H12054" s="2">
        <v>365</v>
      </c>
      <c r="I12054" s="2">
        <v>257</v>
      </c>
      <c r="J12054" s="2">
        <v>1351</v>
      </c>
      <c r="K12054" s="2">
        <v>14</v>
      </c>
      <c r="L12054" s="2">
        <v>336</v>
      </c>
    </row>
    <row r="12055" spans="1:12" x14ac:dyDescent="0.25">
      <c r="A12055" s="4" t="str">
        <f>HYPERLINK("http://www.rosaceae.org/Prunus/Prunus_persica/p.persica_gdr_reftransV1_0046466","p.persica_gdr_reftransV1_0046466")</f>
        <v>p.persica_gdr_reftransV1_0046466</v>
      </c>
      <c r="B12055" s="2">
        <v>410</v>
      </c>
      <c r="C12055" s="4" t="str">
        <f>HYPERLINK("http://www.uniprot.org/uniprot/M5WSK8","M5WSK8")</f>
        <v>M5WSK8</v>
      </c>
      <c r="D12055" s="2" t="s">
        <v>4386</v>
      </c>
      <c r="E12055" s="3">
        <v>8.1899999999999997E-91</v>
      </c>
      <c r="F12055" s="2">
        <v>717</v>
      </c>
      <c r="G12055" s="2">
        <v>100</v>
      </c>
      <c r="H12055" s="2">
        <v>136</v>
      </c>
      <c r="I12055" s="2">
        <v>3</v>
      </c>
      <c r="J12055" s="2">
        <v>410</v>
      </c>
      <c r="K12055" s="2">
        <v>132</v>
      </c>
      <c r="L12055" s="2">
        <v>267</v>
      </c>
    </row>
    <row r="12056" spans="1:12" x14ac:dyDescent="0.25">
      <c r="A12056" s="4" t="str">
        <f>HYPERLINK("http://www.rosaceae.org/Prunus/Prunus_persica/p.persica_gdr_reftransV1_0046816","p.persica_gdr_reftransV1_0046816")</f>
        <v>p.persica_gdr_reftransV1_0046816</v>
      </c>
      <c r="B12056" s="2">
        <v>1104</v>
      </c>
      <c r="C12056" s="4" t="str">
        <f>HYPERLINK("http://www.uniprot.org/uniprot/M5WAL6","M5WAL6")</f>
        <v>M5WAL6</v>
      </c>
      <c r="D12056" s="2" t="s">
        <v>10112</v>
      </c>
      <c r="E12056" s="3">
        <v>7.3999999999999998E-159</v>
      </c>
      <c r="F12056" s="2">
        <v>1175</v>
      </c>
      <c r="G12056" s="2">
        <v>100</v>
      </c>
      <c r="H12056" s="2">
        <v>225</v>
      </c>
      <c r="I12056" s="2">
        <v>403</v>
      </c>
      <c r="J12056" s="2">
        <v>1077</v>
      </c>
      <c r="K12056" s="2">
        <v>1</v>
      </c>
      <c r="L12056" s="2">
        <v>225</v>
      </c>
    </row>
    <row r="12057" spans="1:12" x14ac:dyDescent="0.25">
      <c r="A12057" s="4" t="str">
        <f>HYPERLINK("http://www.rosaceae.org/Prunus/Prunus_persica/p.persica_gdr_reftransV1_0047516","p.persica_gdr_reftransV1_0047516")</f>
        <v>p.persica_gdr_reftransV1_0047516</v>
      </c>
      <c r="B12057" s="2">
        <v>1065</v>
      </c>
      <c r="C12057" s="4" t="str">
        <f>HYPERLINK("http://www.uniprot.org/uniprot/M5X2A2","M5X2A2")</f>
        <v>M5X2A2</v>
      </c>
      <c r="D12057" s="2" t="s">
        <v>10113</v>
      </c>
      <c r="E12057" s="3">
        <v>2.3000000000000001E-124</v>
      </c>
      <c r="F12057" s="2">
        <v>944</v>
      </c>
      <c r="G12057" s="2">
        <v>100</v>
      </c>
      <c r="H12057" s="2">
        <v>195</v>
      </c>
      <c r="I12057" s="2">
        <v>392</v>
      </c>
      <c r="J12057" s="2">
        <v>976</v>
      </c>
      <c r="K12057" s="2">
        <v>1</v>
      </c>
      <c r="L12057" s="2">
        <v>195</v>
      </c>
    </row>
    <row r="12058" spans="1:12" x14ac:dyDescent="0.25">
      <c r="A12058" s="4" t="str">
        <f>HYPERLINK("http://www.rosaceae.org/Prunus/Prunus_persica/p.persica_gdr_reftransV1_0048216","p.persica_gdr_reftransV1_0048216")</f>
        <v>p.persica_gdr_reftransV1_0048216</v>
      </c>
      <c r="B12058" s="2">
        <v>3124</v>
      </c>
      <c r="C12058" s="4" t="str">
        <f>HYPERLINK("http://www.uniprot.org/uniprot/M5WGC1","M5WGC1")</f>
        <v>M5WGC1</v>
      </c>
      <c r="D12058" s="2" t="s">
        <v>7462</v>
      </c>
      <c r="E12058" s="3">
        <v>0</v>
      </c>
      <c r="F12058" s="2">
        <v>2846</v>
      </c>
      <c r="G12058" s="2">
        <v>78</v>
      </c>
      <c r="H12058" s="2">
        <v>727</v>
      </c>
      <c r="I12058" s="2">
        <v>435</v>
      </c>
      <c r="J12058" s="2">
        <v>2612</v>
      </c>
      <c r="K12058" s="2">
        <v>23</v>
      </c>
      <c r="L12058" s="2">
        <v>726</v>
      </c>
    </row>
    <row r="12059" spans="1:12" x14ac:dyDescent="0.25">
      <c r="A12059" s="4" t="str">
        <f>HYPERLINK("http://www.rosaceae.org/Prunus/Prunus_persica/p.persica_gdr_reftransV1_0048566","p.persica_gdr_reftransV1_0048566")</f>
        <v>p.persica_gdr_reftransV1_0048566</v>
      </c>
      <c r="B12059" s="2">
        <v>5295</v>
      </c>
      <c r="C12059" s="4" t="str">
        <f>HYPERLINK("http://www.uniprot.org/uniprot/M5X6J1","M5X6J1")</f>
        <v>M5X6J1</v>
      </c>
      <c r="D12059" s="2" t="s">
        <v>10114</v>
      </c>
      <c r="E12059" s="3">
        <v>0</v>
      </c>
      <c r="F12059" s="2">
        <v>5122</v>
      </c>
      <c r="G12059" s="2">
        <v>96</v>
      </c>
      <c r="H12059" s="2">
        <v>1016</v>
      </c>
      <c r="I12059" s="2">
        <v>798</v>
      </c>
      <c r="J12059" s="2">
        <v>3794</v>
      </c>
      <c r="K12059" s="2">
        <v>1</v>
      </c>
      <c r="L12059" s="2">
        <v>1002</v>
      </c>
    </row>
    <row r="12060" spans="1:12" x14ac:dyDescent="0.25">
      <c r="A12060" s="4" t="str">
        <f>HYPERLINK("http://www.rosaceae.org/Prunus/Prunus_persica/p.persica_gdr_reftransV1_0048916","p.persica_gdr_reftransV1_0048916")</f>
        <v>p.persica_gdr_reftransV1_0048916</v>
      </c>
      <c r="B12060" s="2">
        <v>2014</v>
      </c>
      <c r="C12060" s="4" t="str">
        <f>HYPERLINK("http://www.uniprot.org/uniprot/M5WS52","M5WS52")</f>
        <v>M5WS52</v>
      </c>
      <c r="D12060" s="2" t="s">
        <v>10115</v>
      </c>
      <c r="E12060" s="3">
        <v>0</v>
      </c>
      <c r="F12060" s="2">
        <v>2365</v>
      </c>
      <c r="G12060" s="2">
        <v>100</v>
      </c>
      <c r="H12060" s="2">
        <v>539</v>
      </c>
      <c r="I12060" s="2">
        <v>267</v>
      </c>
      <c r="J12060" s="2">
        <v>1883</v>
      </c>
      <c r="K12060" s="2">
        <v>1</v>
      </c>
      <c r="L12060" s="2">
        <v>539</v>
      </c>
    </row>
    <row r="12061" spans="1:12" x14ac:dyDescent="0.25">
      <c r="A12061" s="4" t="str">
        <f>HYPERLINK("http://www.rosaceae.org/Prunus/Prunus_persica/p.persica_gdr_reftransV1_0000267","p.persica_gdr_reftransV1_0000267")</f>
        <v>p.persica_gdr_reftransV1_0000267</v>
      </c>
      <c r="B12061" s="2">
        <v>734</v>
      </c>
      <c r="C12061" s="4" t="str">
        <f>HYPERLINK("http://www.uniprot.org/uniprot/M5Y3L0","M5Y3L0")</f>
        <v>M5Y3L0</v>
      </c>
      <c r="D12061" s="2" t="s">
        <v>10116</v>
      </c>
      <c r="E12061" s="3">
        <v>3.2500000000000002E-170</v>
      </c>
      <c r="F12061" s="2">
        <v>1281</v>
      </c>
      <c r="G12061" s="2">
        <v>100</v>
      </c>
      <c r="H12061" s="2">
        <v>244</v>
      </c>
      <c r="I12061" s="2">
        <v>2</v>
      </c>
      <c r="J12061" s="2">
        <v>733</v>
      </c>
      <c r="K12061" s="2">
        <v>3</v>
      </c>
      <c r="L12061" s="2">
        <v>246</v>
      </c>
    </row>
    <row r="12062" spans="1:12" x14ac:dyDescent="0.25">
      <c r="A12062" s="4" t="str">
        <f>HYPERLINK("http://www.rosaceae.org/Prunus/Prunus_persica/p.persica_gdr_reftransV1_0000617","p.persica_gdr_reftransV1_0000617")</f>
        <v>p.persica_gdr_reftransV1_0000617</v>
      </c>
      <c r="B12062" s="2">
        <v>1717</v>
      </c>
      <c r="C12062" s="4" t="str">
        <f>HYPERLINK("http://www.uniprot.org/uniprot/M5XEB1","M5XEB1")</f>
        <v>M5XEB1</v>
      </c>
      <c r="D12062" s="2" t="s">
        <v>10117</v>
      </c>
      <c r="E12062" s="3">
        <v>0</v>
      </c>
      <c r="F12062" s="2">
        <v>1809</v>
      </c>
      <c r="G12062" s="2">
        <v>100</v>
      </c>
      <c r="H12062" s="2">
        <v>419</v>
      </c>
      <c r="I12062" s="2">
        <v>131</v>
      </c>
      <c r="J12062" s="2">
        <v>1387</v>
      </c>
      <c r="K12062" s="2">
        <v>1</v>
      </c>
      <c r="L12062" s="2">
        <v>419</v>
      </c>
    </row>
    <row r="12063" spans="1:12" x14ac:dyDescent="0.25">
      <c r="A12063" s="4" t="str">
        <f>HYPERLINK("http://www.rosaceae.org/Prunus/Prunus_persica/p.persica_gdr_reftransV1_0000967","p.persica_gdr_reftransV1_0000967")</f>
        <v>p.persica_gdr_reftransV1_0000967</v>
      </c>
      <c r="B12063" s="2">
        <v>1698</v>
      </c>
      <c r="C12063" s="4" t="str">
        <f>HYPERLINK("http://www.uniprot.org/uniprot/M5XKB8","M5XKB8")</f>
        <v>M5XKB8</v>
      </c>
      <c r="D12063" s="2" t="s">
        <v>3517</v>
      </c>
      <c r="E12063" s="3">
        <v>1.8600000000000001E-44</v>
      </c>
      <c r="F12063" s="2">
        <v>449</v>
      </c>
      <c r="G12063" s="2">
        <v>100</v>
      </c>
      <c r="H12063" s="2">
        <v>147</v>
      </c>
      <c r="I12063" s="2">
        <v>946</v>
      </c>
      <c r="J12063" s="2">
        <v>1386</v>
      </c>
      <c r="K12063" s="2">
        <v>571</v>
      </c>
      <c r="L12063" s="2">
        <v>717</v>
      </c>
    </row>
    <row r="12064" spans="1:12" x14ac:dyDescent="0.25">
      <c r="A12064" s="4" t="str">
        <f>HYPERLINK("http://www.rosaceae.org/Prunus/Prunus_persica/p.persica_gdr_reftransV1_0001317","p.persica_gdr_reftransV1_0001317")</f>
        <v>p.persica_gdr_reftransV1_0001317</v>
      </c>
      <c r="B12064" s="2">
        <v>1787</v>
      </c>
      <c r="C12064" s="4" t="str">
        <f>HYPERLINK("http://www.uniprot.org/uniprot/M5VWQ4","M5VWQ4")</f>
        <v>M5VWQ4</v>
      </c>
      <c r="D12064" s="2" t="s">
        <v>288</v>
      </c>
      <c r="E12064" s="3">
        <v>0</v>
      </c>
      <c r="F12064" s="2">
        <v>1686</v>
      </c>
      <c r="G12064" s="2">
        <v>97</v>
      </c>
      <c r="H12064" s="2">
        <v>415</v>
      </c>
      <c r="I12064" s="2">
        <v>542</v>
      </c>
      <c r="J12064" s="2">
        <v>1786</v>
      </c>
      <c r="K12064" s="2">
        <v>1</v>
      </c>
      <c r="L12064" s="2">
        <v>403</v>
      </c>
    </row>
    <row r="12065" spans="1:12" x14ac:dyDescent="0.25">
      <c r="A12065" s="4" t="str">
        <f>HYPERLINK("http://www.rosaceae.org/Prunus/Prunus_persica/p.persica_gdr_reftransV1_0001667","p.persica_gdr_reftransV1_0001667")</f>
        <v>p.persica_gdr_reftransV1_0001667</v>
      </c>
      <c r="B12065" s="2">
        <v>500</v>
      </c>
      <c r="C12065" s="4" t="str">
        <f>HYPERLINK("http://www.uniprot.org/uniprot/M5VSI2","M5VSI2")</f>
        <v>M5VSI2</v>
      </c>
      <c r="D12065" s="2" t="s">
        <v>5552</v>
      </c>
      <c r="E12065" s="3">
        <v>2.4099999999999999E-74</v>
      </c>
      <c r="F12065" s="2">
        <v>610</v>
      </c>
      <c r="G12065" s="2">
        <v>99</v>
      </c>
      <c r="H12065" s="2">
        <v>137</v>
      </c>
      <c r="I12065" s="2">
        <v>90</v>
      </c>
      <c r="J12065" s="2">
        <v>500</v>
      </c>
      <c r="K12065" s="2">
        <v>221</v>
      </c>
      <c r="L12065" s="2">
        <v>357</v>
      </c>
    </row>
    <row r="12066" spans="1:12" x14ac:dyDescent="0.25">
      <c r="A12066" s="4" t="str">
        <f>HYPERLINK("http://www.rosaceae.org/Prunus/Prunus_persica/p.persica_gdr_reftransV1_0002367","p.persica_gdr_reftransV1_0002367")</f>
        <v>p.persica_gdr_reftransV1_0002367</v>
      </c>
      <c r="B12066" s="2">
        <v>1017</v>
      </c>
      <c r="C12066" s="4" t="str">
        <f>HYPERLINK("http://www.uniprot.org/uniprot/M5XDZ1","M5XDZ1")</f>
        <v>M5XDZ1</v>
      </c>
      <c r="D12066" s="2" t="s">
        <v>7393</v>
      </c>
      <c r="E12066" s="3">
        <v>1.12E-105</v>
      </c>
      <c r="F12066" s="2">
        <v>815</v>
      </c>
      <c r="G12066" s="2">
        <v>100</v>
      </c>
      <c r="H12066" s="2">
        <v>152</v>
      </c>
      <c r="I12066" s="2">
        <v>210</v>
      </c>
      <c r="J12066" s="2">
        <v>665</v>
      </c>
      <c r="K12066" s="2">
        <v>9</v>
      </c>
      <c r="L12066" s="2">
        <v>160</v>
      </c>
    </row>
    <row r="12067" spans="1:12" x14ac:dyDescent="0.25">
      <c r="A12067" s="4" t="str">
        <f>HYPERLINK("http://www.rosaceae.org/Prunus/Prunus_persica/p.persica_gdr_reftransV1_0002717","p.persica_gdr_reftransV1_0002717")</f>
        <v>p.persica_gdr_reftransV1_0002717</v>
      </c>
      <c r="B12067" s="2">
        <v>474</v>
      </c>
      <c r="C12067" s="4" t="str">
        <f>HYPERLINK("http://www.uniprot.org/uniprot/I1S0A4","I1S0A4")</f>
        <v>I1S0A4</v>
      </c>
      <c r="D12067" s="2" t="s">
        <v>10118</v>
      </c>
      <c r="E12067" s="3">
        <v>1.2299999999999999E-28</v>
      </c>
      <c r="F12067" s="2">
        <v>284</v>
      </c>
      <c r="G12067" s="2">
        <v>92</v>
      </c>
      <c r="H12067" s="2">
        <v>113</v>
      </c>
      <c r="I12067" s="2">
        <v>134</v>
      </c>
      <c r="J12067" s="2">
        <v>469</v>
      </c>
      <c r="K12067" s="2">
        <v>1</v>
      </c>
      <c r="L12067" s="2">
        <v>113</v>
      </c>
    </row>
    <row r="12068" spans="1:12" x14ac:dyDescent="0.25">
      <c r="A12068" s="4" t="str">
        <f>HYPERLINK("http://www.rosaceae.org/Prunus/Prunus_persica/p.persica_gdr_reftransV1_0003067","p.persica_gdr_reftransV1_0003067")</f>
        <v>p.persica_gdr_reftransV1_0003067</v>
      </c>
      <c r="B12068" s="2">
        <v>2445</v>
      </c>
      <c r="C12068" s="4" t="str">
        <f>HYPERLINK("http://www.uniprot.org/uniprot/M5W4V5","M5W4V5")</f>
        <v>M5W4V5</v>
      </c>
      <c r="D12068" s="2" t="s">
        <v>10119</v>
      </c>
      <c r="E12068" s="3">
        <v>0</v>
      </c>
      <c r="F12068" s="2">
        <v>3978</v>
      </c>
      <c r="G12068" s="2">
        <v>100</v>
      </c>
      <c r="H12068" s="2">
        <v>784</v>
      </c>
      <c r="I12068" s="2">
        <v>28</v>
      </c>
      <c r="J12068" s="2">
        <v>2379</v>
      </c>
      <c r="K12068" s="2">
        <v>1</v>
      </c>
      <c r="L12068" s="2">
        <v>784</v>
      </c>
    </row>
    <row r="12069" spans="1:12" x14ac:dyDescent="0.25">
      <c r="A12069" s="4" t="str">
        <f>HYPERLINK("http://www.rosaceae.org/Prunus/Prunus_persica/p.persica_gdr_reftransV1_0003767","p.persica_gdr_reftransV1_0003767")</f>
        <v>p.persica_gdr_reftransV1_0003767</v>
      </c>
      <c r="B12069" s="2">
        <v>1552</v>
      </c>
      <c r="C12069" s="4" t="str">
        <f>HYPERLINK("http://www.uniprot.org/uniprot/M5Y1S5","M5Y1S5")</f>
        <v>M5Y1S5</v>
      </c>
      <c r="D12069" s="2" t="s">
        <v>9775</v>
      </c>
      <c r="E12069" s="3">
        <v>1.17E-152</v>
      </c>
      <c r="F12069" s="2">
        <v>1153</v>
      </c>
      <c r="G12069" s="2">
        <v>100</v>
      </c>
      <c r="H12069" s="2">
        <v>258</v>
      </c>
      <c r="I12069" s="2">
        <v>575</v>
      </c>
      <c r="J12069" s="2">
        <v>1348</v>
      </c>
      <c r="K12069" s="2">
        <v>1</v>
      </c>
      <c r="L12069" s="2">
        <v>258</v>
      </c>
    </row>
    <row r="12070" spans="1:12" x14ac:dyDescent="0.25">
      <c r="A12070" s="4" t="str">
        <f>HYPERLINK("http://www.rosaceae.org/Prunus/Prunus_persica/p.persica_gdr_reftransV1_0004117","p.persica_gdr_reftransV1_0004117")</f>
        <v>p.persica_gdr_reftransV1_0004117</v>
      </c>
      <c r="B12070" s="2">
        <v>701</v>
      </c>
      <c r="C12070" s="4" t="str">
        <f>HYPERLINK("http://www.uniprot.org/uniprot/M5VWI1","M5VWI1")</f>
        <v>M5VWI1</v>
      </c>
      <c r="D12070" s="2" t="s">
        <v>3888</v>
      </c>
      <c r="E12070" s="3">
        <v>3.2400000000000001E-111</v>
      </c>
      <c r="F12070" s="2">
        <v>876</v>
      </c>
      <c r="G12070" s="2">
        <v>100</v>
      </c>
      <c r="H12070" s="2">
        <v>196</v>
      </c>
      <c r="I12070" s="2">
        <v>3</v>
      </c>
      <c r="J12070" s="2">
        <v>590</v>
      </c>
      <c r="K12070" s="2">
        <v>85</v>
      </c>
      <c r="L12070" s="2">
        <v>280</v>
      </c>
    </row>
    <row r="12071" spans="1:12" x14ac:dyDescent="0.25">
      <c r="A12071" s="4" t="str">
        <f>HYPERLINK("http://www.rosaceae.org/Prunus/Prunus_persica/p.persica_gdr_reftransV1_0004817","p.persica_gdr_reftransV1_0004817")</f>
        <v>p.persica_gdr_reftransV1_0004817</v>
      </c>
      <c r="B12071" s="2">
        <v>566</v>
      </c>
      <c r="C12071" s="4" t="str">
        <f>HYPERLINK("http://www.uniprot.org/uniprot/M5XDW8","M5XDW8")</f>
        <v>M5XDW8</v>
      </c>
      <c r="D12071" s="2" t="s">
        <v>6020</v>
      </c>
      <c r="E12071" s="3">
        <v>7.7799999999999999E-97</v>
      </c>
      <c r="F12071" s="2">
        <v>765</v>
      </c>
      <c r="G12071" s="2">
        <v>100</v>
      </c>
      <c r="H12071" s="2">
        <v>143</v>
      </c>
      <c r="I12071" s="2">
        <v>3</v>
      </c>
      <c r="J12071" s="2">
        <v>431</v>
      </c>
      <c r="K12071" s="2">
        <v>1</v>
      </c>
      <c r="L12071" s="2">
        <v>143</v>
      </c>
    </row>
    <row r="12072" spans="1:12" x14ac:dyDescent="0.25">
      <c r="A12072" s="4" t="str">
        <f>HYPERLINK("http://www.rosaceae.org/Prunus/Prunus_persica/p.persica_gdr_reftransV1_0005167","p.persica_gdr_reftransV1_0005167")</f>
        <v>p.persica_gdr_reftransV1_0005167</v>
      </c>
      <c r="B12072" s="2">
        <v>778</v>
      </c>
      <c r="C12072" s="4" t="str">
        <f>HYPERLINK("http://www.uniprot.org/uniprot/M5WCA5","M5WCA5")</f>
        <v>M5WCA5</v>
      </c>
      <c r="D12072" s="2" t="s">
        <v>10120</v>
      </c>
      <c r="E12072" s="3">
        <v>2.6500000000000001E-92</v>
      </c>
      <c r="F12072" s="2">
        <v>717</v>
      </c>
      <c r="G12072" s="2">
        <v>100</v>
      </c>
      <c r="H12072" s="2">
        <v>152</v>
      </c>
      <c r="I12072" s="2">
        <v>115</v>
      </c>
      <c r="J12072" s="2">
        <v>570</v>
      </c>
      <c r="K12072" s="2">
        <v>1</v>
      </c>
      <c r="L12072" s="2">
        <v>152</v>
      </c>
    </row>
    <row r="12073" spans="1:12" x14ac:dyDescent="0.25">
      <c r="A12073" s="4" t="str">
        <f>HYPERLINK("http://www.rosaceae.org/Prunus/Prunus_persica/p.persica_gdr_reftransV1_0005517","p.persica_gdr_reftransV1_0005517")</f>
        <v>p.persica_gdr_reftransV1_0005517</v>
      </c>
      <c r="B12073" s="2">
        <v>1122</v>
      </c>
      <c r="C12073" s="4" t="str">
        <f>HYPERLINK("http://www.uniprot.org/uniprot/M5VV12","M5VV12")</f>
        <v>M5VV12</v>
      </c>
      <c r="D12073" s="2" t="s">
        <v>10121</v>
      </c>
      <c r="E12073" s="3">
        <v>8.0500000000000004E-166</v>
      </c>
      <c r="F12073" s="2">
        <v>1223</v>
      </c>
      <c r="G12073" s="2">
        <v>100</v>
      </c>
      <c r="H12073" s="2">
        <v>240</v>
      </c>
      <c r="I12073" s="2">
        <v>159</v>
      </c>
      <c r="J12073" s="2">
        <v>878</v>
      </c>
      <c r="K12073" s="2">
        <v>1</v>
      </c>
      <c r="L12073" s="2">
        <v>240</v>
      </c>
    </row>
    <row r="12074" spans="1:12" x14ac:dyDescent="0.25">
      <c r="A12074" s="4" t="str">
        <f>HYPERLINK("http://www.rosaceae.org/Prunus/Prunus_persica/p.persica_gdr_reftransV1_0007267","p.persica_gdr_reftransV1_0007267")</f>
        <v>p.persica_gdr_reftransV1_0007267</v>
      </c>
      <c r="B12074" s="2">
        <v>3975</v>
      </c>
      <c r="C12074" s="4" t="str">
        <f>HYPERLINK("http://www.uniprot.org/uniprot/M5W9S4","M5W9S4")</f>
        <v>M5W9S4</v>
      </c>
      <c r="D12074" s="2" t="s">
        <v>5781</v>
      </c>
      <c r="E12074" s="3">
        <v>0</v>
      </c>
      <c r="F12074" s="2">
        <v>3743</v>
      </c>
      <c r="G12074" s="2">
        <v>100</v>
      </c>
      <c r="H12074" s="2">
        <v>728</v>
      </c>
      <c r="I12074" s="2">
        <v>1790</v>
      </c>
      <c r="J12074" s="2">
        <v>3973</v>
      </c>
      <c r="K12074" s="2">
        <v>513</v>
      </c>
      <c r="L12074" s="2">
        <v>1240</v>
      </c>
    </row>
    <row r="12075" spans="1:12" x14ac:dyDescent="0.25">
      <c r="A12075" s="4" t="str">
        <f>HYPERLINK("http://www.rosaceae.org/Prunus/Prunus_persica/p.persica_gdr_reftransV1_0007617","p.persica_gdr_reftransV1_0007617")</f>
        <v>p.persica_gdr_reftransV1_0007617</v>
      </c>
      <c r="B12075" s="2">
        <v>1726</v>
      </c>
      <c r="C12075" s="4" t="str">
        <f>HYPERLINK("http://www.uniprot.org/uniprot/M5WW17","M5WW17")</f>
        <v>M5WW17</v>
      </c>
      <c r="D12075" s="2" t="s">
        <v>10122</v>
      </c>
      <c r="E12075" s="3">
        <v>0</v>
      </c>
      <c r="F12075" s="2">
        <v>1824</v>
      </c>
      <c r="G12075" s="2">
        <v>100</v>
      </c>
      <c r="H12075" s="2">
        <v>380</v>
      </c>
      <c r="I12075" s="2">
        <v>272</v>
      </c>
      <c r="J12075" s="2">
        <v>1411</v>
      </c>
      <c r="K12075" s="2">
        <v>16</v>
      </c>
      <c r="L12075" s="2">
        <v>395</v>
      </c>
    </row>
    <row r="12076" spans="1:12" x14ac:dyDescent="0.25">
      <c r="A12076" s="4" t="str">
        <f>HYPERLINK("http://www.rosaceae.org/Prunus/Prunus_persica/p.persica_gdr_reftransV1_0007967","p.persica_gdr_reftransV1_0007967")</f>
        <v>p.persica_gdr_reftransV1_0007967</v>
      </c>
      <c r="B12076" s="2">
        <v>922</v>
      </c>
      <c r="C12076" s="4" t="str">
        <f>HYPERLINK("http://www.uniprot.org/uniprot/M5X1G2","M5X1G2")</f>
        <v>M5X1G2</v>
      </c>
      <c r="D12076" s="2" t="s">
        <v>10123</v>
      </c>
      <c r="E12076" s="3">
        <v>1.36E-125</v>
      </c>
      <c r="F12076" s="2">
        <v>958</v>
      </c>
      <c r="G12076" s="2">
        <v>99</v>
      </c>
      <c r="H12076" s="2">
        <v>180</v>
      </c>
      <c r="I12076" s="2">
        <v>240</v>
      </c>
      <c r="J12076" s="2">
        <v>779</v>
      </c>
      <c r="K12076" s="2">
        <v>1</v>
      </c>
      <c r="L12076" s="2">
        <v>180</v>
      </c>
    </row>
    <row r="12077" spans="1:12" x14ac:dyDescent="0.25">
      <c r="A12077" s="4" t="str">
        <f>HYPERLINK("http://www.rosaceae.org/Prunus/Prunus_persica/p.persica_gdr_reftransV1_0008667","p.persica_gdr_reftransV1_0008667")</f>
        <v>p.persica_gdr_reftransV1_0008667</v>
      </c>
      <c r="B12077" s="2">
        <v>2049</v>
      </c>
      <c r="C12077" s="4" t="str">
        <f>HYPERLINK("http://www.uniprot.org/uniprot/M5XDC1","M5XDC1")</f>
        <v>M5XDC1</v>
      </c>
      <c r="D12077" s="2" t="s">
        <v>10124</v>
      </c>
      <c r="E12077" s="3">
        <v>0</v>
      </c>
      <c r="F12077" s="2">
        <v>2682</v>
      </c>
      <c r="G12077" s="2">
        <v>92</v>
      </c>
      <c r="H12077" s="2">
        <v>574</v>
      </c>
      <c r="I12077" s="2">
        <v>104</v>
      </c>
      <c r="J12077" s="2">
        <v>1825</v>
      </c>
      <c r="K12077" s="2">
        <v>1</v>
      </c>
      <c r="L12077" s="2">
        <v>527</v>
      </c>
    </row>
    <row r="12078" spans="1:12" x14ac:dyDescent="0.25">
      <c r="A12078" s="4" t="str">
        <f>HYPERLINK("http://www.rosaceae.org/Prunus/Prunus_persica/p.persica_gdr_reftransV1_0009017","p.persica_gdr_reftransV1_0009017")</f>
        <v>p.persica_gdr_reftransV1_0009017</v>
      </c>
      <c r="B12078" s="2">
        <v>3886</v>
      </c>
      <c r="C12078" s="4" t="str">
        <f>HYPERLINK("http://www.uniprot.org/uniprot/M5W544","M5W544")</f>
        <v>M5W544</v>
      </c>
      <c r="D12078" s="2" t="s">
        <v>10125</v>
      </c>
      <c r="E12078" s="3">
        <v>0</v>
      </c>
      <c r="F12078" s="2">
        <v>1702</v>
      </c>
      <c r="G12078" s="2">
        <v>100</v>
      </c>
      <c r="H12078" s="2">
        <v>340</v>
      </c>
      <c r="I12078" s="2">
        <v>244</v>
      </c>
      <c r="J12078" s="2">
        <v>1263</v>
      </c>
      <c r="K12078" s="2">
        <v>107</v>
      </c>
      <c r="L12078" s="2">
        <v>446</v>
      </c>
    </row>
    <row r="12079" spans="1:12" x14ac:dyDescent="0.25">
      <c r="A12079" s="4" t="str">
        <f>HYPERLINK("http://www.rosaceae.org/Prunus/Prunus_persica/p.persica_gdr_reftransV1_0009367","p.persica_gdr_reftransV1_0009367")</f>
        <v>p.persica_gdr_reftransV1_0009367</v>
      </c>
      <c r="B12079" s="2">
        <v>1786</v>
      </c>
      <c r="C12079" s="4" t="str">
        <f>HYPERLINK("http://www.uniprot.org/uniprot/M5WFV9","M5WFV9")</f>
        <v>M5WFV9</v>
      </c>
      <c r="D12079" s="2" t="s">
        <v>3492</v>
      </c>
      <c r="E12079" s="3">
        <v>0</v>
      </c>
      <c r="F12079" s="2">
        <v>1934</v>
      </c>
      <c r="G12079" s="2">
        <v>100</v>
      </c>
      <c r="H12079" s="2">
        <v>361</v>
      </c>
      <c r="I12079" s="2">
        <v>169</v>
      </c>
      <c r="J12079" s="2">
        <v>1251</v>
      </c>
      <c r="K12079" s="2">
        <v>1</v>
      </c>
      <c r="L12079" s="2">
        <v>361</v>
      </c>
    </row>
    <row r="12080" spans="1:12" x14ac:dyDescent="0.25">
      <c r="A12080" s="4" t="str">
        <f>HYPERLINK("http://www.rosaceae.org/Prunus/Prunus_persica/p.persica_gdr_reftransV1_0009717","p.persica_gdr_reftransV1_0009717")</f>
        <v>p.persica_gdr_reftransV1_0009717</v>
      </c>
      <c r="B12080" s="2">
        <v>2242</v>
      </c>
      <c r="C12080" s="4" t="str">
        <f>HYPERLINK("http://www.uniprot.org/uniprot/M5VJQ9","M5VJQ9")</f>
        <v>M5VJQ9</v>
      </c>
      <c r="D12080" s="2" t="s">
        <v>10126</v>
      </c>
      <c r="E12080" s="3">
        <v>0</v>
      </c>
      <c r="F12080" s="2">
        <v>2341</v>
      </c>
      <c r="G12080" s="2">
        <v>100</v>
      </c>
      <c r="H12080" s="2">
        <v>454</v>
      </c>
      <c r="I12080" s="2">
        <v>562</v>
      </c>
      <c r="J12080" s="2">
        <v>1923</v>
      </c>
      <c r="K12080" s="2">
        <v>1</v>
      </c>
      <c r="L12080" s="2">
        <v>454</v>
      </c>
    </row>
    <row r="12081" spans="1:12" x14ac:dyDescent="0.25">
      <c r="A12081" s="4" t="str">
        <f>HYPERLINK("http://www.rosaceae.org/Prunus/Prunus_persica/p.persica_gdr_reftransV1_0010067","p.persica_gdr_reftransV1_0010067")</f>
        <v>p.persica_gdr_reftransV1_0010067</v>
      </c>
      <c r="B12081" s="2">
        <v>1798</v>
      </c>
      <c r="C12081" s="4" t="str">
        <f>HYPERLINK("http://www.uniprot.org/uniprot/M5XT46","M5XT46")</f>
        <v>M5XT46</v>
      </c>
      <c r="D12081" s="2" t="s">
        <v>745</v>
      </c>
      <c r="E12081" s="3">
        <v>0</v>
      </c>
      <c r="F12081" s="2">
        <v>1387</v>
      </c>
      <c r="G12081" s="2">
        <v>90</v>
      </c>
      <c r="H12081" s="2">
        <v>332</v>
      </c>
      <c r="I12081" s="2">
        <v>337</v>
      </c>
      <c r="J12081" s="2">
        <v>1332</v>
      </c>
      <c r="K12081" s="2">
        <v>381</v>
      </c>
      <c r="L12081" s="2">
        <v>680</v>
      </c>
    </row>
    <row r="12082" spans="1:12" x14ac:dyDescent="0.25">
      <c r="A12082" s="4" t="str">
        <f>HYPERLINK("http://www.rosaceae.org/Prunus/Prunus_persica/p.persica_gdr_reftransV1_0010417","p.persica_gdr_reftransV1_0010417")</f>
        <v>p.persica_gdr_reftransV1_0010417</v>
      </c>
      <c r="B12082" s="2">
        <v>1064</v>
      </c>
      <c r="C12082" s="4" t="str">
        <f>HYPERLINK("http://www.uniprot.org/uniprot/M5XDK4","M5XDK4")</f>
        <v>M5XDK4</v>
      </c>
      <c r="D12082" s="2" t="s">
        <v>10127</v>
      </c>
      <c r="E12082" s="3">
        <v>9.1400000000000002E-74</v>
      </c>
      <c r="F12082" s="2">
        <v>609</v>
      </c>
      <c r="G12082" s="2">
        <v>100</v>
      </c>
      <c r="H12082" s="2">
        <v>199</v>
      </c>
      <c r="I12082" s="2">
        <v>352</v>
      </c>
      <c r="J12082" s="2">
        <v>948</v>
      </c>
      <c r="K12082" s="2">
        <v>1</v>
      </c>
      <c r="L12082" s="2">
        <v>199</v>
      </c>
    </row>
    <row r="12083" spans="1:12" x14ac:dyDescent="0.25">
      <c r="A12083" s="4" t="str">
        <f>HYPERLINK("http://www.rosaceae.org/Prunus/Prunus_persica/p.persica_gdr_reftransV1_0010767","p.persica_gdr_reftransV1_0010767")</f>
        <v>p.persica_gdr_reftransV1_0010767</v>
      </c>
      <c r="B12083" s="2">
        <v>1861</v>
      </c>
      <c r="C12083" s="4" t="str">
        <f>HYPERLINK("http://www.uniprot.org/uniprot/M5WIJ9","M5WIJ9")</f>
        <v>M5WIJ9</v>
      </c>
      <c r="D12083" s="2" t="s">
        <v>10128</v>
      </c>
      <c r="E12083" s="3">
        <v>8.0099999999999996E-136</v>
      </c>
      <c r="F12083" s="2">
        <v>1061</v>
      </c>
      <c r="G12083" s="2">
        <v>99</v>
      </c>
      <c r="H12083" s="2">
        <v>275</v>
      </c>
      <c r="I12083" s="2">
        <v>565</v>
      </c>
      <c r="J12083" s="2">
        <v>1389</v>
      </c>
      <c r="K12083" s="2">
        <v>82</v>
      </c>
      <c r="L12083" s="2">
        <v>356</v>
      </c>
    </row>
    <row r="12084" spans="1:12" x14ac:dyDescent="0.25">
      <c r="A12084" s="4" t="str">
        <f>HYPERLINK("http://www.rosaceae.org/Prunus/Prunus_persica/p.persica_gdr_reftransV1_0012517","p.persica_gdr_reftransV1_0012517")</f>
        <v>p.persica_gdr_reftransV1_0012517</v>
      </c>
      <c r="B12084" s="2">
        <v>3342</v>
      </c>
      <c r="C12084" s="4" t="str">
        <f>HYPERLINK("http://www.uniprot.org/uniprot/M5X9L3","M5X9L3")</f>
        <v>M5X9L3</v>
      </c>
      <c r="D12084" s="2" t="s">
        <v>10129</v>
      </c>
      <c r="E12084" s="3">
        <v>0</v>
      </c>
      <c r="F12084" s="2">
        <v>3391</v>
      </c>
      <c r="G12084" s="2">
        <v>92</v>
      </c>
      <c r="H12084" s="2">
        <v>749</v>
      </c>
      <c r="I12084" s="2">
        <v>660</v>
      </c>
      <c r="J12084" s="2">
        <v>2906</v>
      </c>
      <c r="K12084" s="2">
        <v>1</v>
      </c>
      <c r="L12084" s="2">
        <v>700</v>
      </c>
    </row>
    <row r="12085" spans="1:12" x14ac:dyDescent="0.25">
      <c r="A12085" s="4" t="str">
        <f>HYPERLINK("http://www.rosaceae.org/Prunus/Prunus_persica/p.persica_gdr_reftransV1_0012867","p.persica_gdr_reftransV1_0012867")</f>
        <v>p.persica_gdr_reftransV1_0012867</v>
      </c>
      <c r="B12085" s="2">
        <v>2605</v>
      </c>
      <c r="C12085" s="4" t="str">
        <f>HYPERLINK("http://www.uniprot.org/uniprot/M5VHD4","M5VHD4")</f>
        <v>M5VHD4</v>
      </c>
      <c r="D12085" s="2" t="s">
        <v>10130</v>
      </c>
      <c r="E12085" s="3">
        <v>0</v>
      </c>
      <c r="F12085" s="2">
        <v>2525</v>
      </c>
      <c r="G12085" s="2">
        <v>100</v>
      </c>
      <c r="H12085" s="2">
        <v>479</v>
      </c>
      <c r="I12085" s="2">
        <v>443</v>
      </c>
      <c r="J12085" s="2">
        <v>1879</v>
      </c>
      <c r="K12085" s="2">
        <v>2</v>
      </c>
      <c r="L12085" s="2">
        <v>480</v>
      </c>
    </row>
    <row r="12086" spans="1:12" x14ac:dyDescent="0.25">
      <c r="A12086" s="4" t="str">
        <f>HYPERLINK("http://www.rosaceae.org/Prunus/Prunus_persica/p.persica_gdr_reftransV1_0014267","p.persica_gdr_reftransV1_0014267")</f>
        <v>p.persica_gdr_reftransV1_0014267</v>
      </c>
      <c r="B12086" s="2">
        <v>4336</v>
      </c>
      <c r="C12086" s="4" t="str">
        <f>HYPERLINK("http://www.uniprot.org/uniprot/M5X3K4","M5X3K4")</f>
        <v>M5X3K4</v>
      </c>
      <c r="D12086" s="2" t="s">
        <v>10131</v>
      </c>
      <c r="E12086" s="3">
        <v>0</v>
      </c>
      <c r="F12086" s="2">
        <v>6495</v>
      </c>
      <c r="G12086" s="2">
        <v>99</v>
      </c>
      <c r="H12086" s="2">
        <v>1229</v>
      </c>
      <c r="I12086" s="2">
        <v>293</v>
      </c>
      <c r="J12086" s="2">
        <v>3979</v>
      </c>
      <c r="K12086" s="2">
        <v>1</v>
      </c>
      <c r="L12086" s="2">
        <v>1220</v>
      </c>
    </row>
    <row r="12087" spans="1:12" x14ac:dyDescent="0.25">
      <c r="A12087" s="4" t="str">
        <f>HYPERLINK("http://www.rosaceae.org/Prunus/Prunus_persica/p.persica_gdr_reftransV1_0014617","p.persica_gdr_reftransV1_0014617")</f>
        <v>p.persica_gdr_reftransV1_0014617</v>
      </c>
      <c r="B12087" s="2">
        <v>3907</v>
      </c>
      <c r="C12087" s="4" t="str">
        <f>HYPERLINK("http://www.uniprot.org/uniprot/A0A061GN96","A0A061GN96")</f>
        <v>A0A061GN96</v>
      </c>
      <c r="D12087" s="2" t="s">
        <v>10132</v>
      </c>
      <c r="E12087" s="3">
        <v>0</v>
      </c>
      <c r="F12087" s="2">
        <v>1980</v>
      </c>
      <c r="G12087" s="2">
        <v>85</v>
      </c>
      <c r="H12087" s="2">
        <v>507</v>
      </c>
      <c r="I12087" s="2">
        <v>2087</v>
      </c>
      <c r="J12087" s="2">
        <v>3607</v>
      </c>
      <c r="K12087" s="2">
        <v>1</v>
      </c>
      <c r="L12087" s="2">
        <v>507</v>
      </c>
    </row>
    <row r="12088" spans="1:12" x14ac:dyDescent="0.25">
      <c r="A12088" s="4" t="str">
        <f>HYPERLINK("http://www.rosaceae.org/Prunus/Prunus_persica/p.persica_gdr_reftransV1_0014967","p.persica_gdr_reftransV1_0014967")</f>
        <v>p.persica_gdr_reftransV1_0014967</v>
      </c>
      <c r="B12088" s="2">
        <v>2282</v>
      </c>
      <c r="C12088" s="4" t="str">
        <f>HYPERLINK("http://www.uniprot.org/uniprot/M5XAE6","M5XAE6")</f>
        <v>M5XAE6</v>
      </c>
      <c r="D12088" s="2" t="s">
        <v>10133</v>
      </c>
      <c r="E12088" s="3">
        <v>0</v>
      </c>
      <c r="F12088" s="2">
        <v>3111</v>
      </c>
      <c r="G12088" s="2">
        <v>100</v>
      </c>
      <c r="H12088" s="2">
        <v>589</v>
      </c>
      <c r="I12088" s="2">
        <v>412</v>
      </c>
      <c r="J12088" s="2">
        <v>2178</v>
      </c>
      <c r="K12088" s="2">
        <v>1</v>
      </c>
      <c r="L12088" s="2">
        <v>589</v>
      </c>
    </row>
    <row r="12089" spans="1:12" x14ac:dyDescent="0.25">
      <c r="A12089" s="4" t="str">
        <f>HYPERLINK("http://www.rosaceae.org/Prunus/Prunus_persica/p.persica_gdr_reftransV1_0015667","p.persica_gdr_reftransV1_0015667")</f>
        <v>p.persica_gdr_reftransV1_0015667</v>
      </c>
      <c r="B12089" s="2">
        <v>1439</v>
      </c>
      <c r="C12089" s="4" t="str">
        <f>HYPERLINK("http://www.uniprot.org/uniprot/M5XZU2","M5XZU2")</f>
        <v>M5XZU2</v>
      </c>
      <c r="D12089" s="2" t="s">
        <v>5598</v>
      </c>
      <c r="E12089" s="3">
        <v>0</v>
      </c>
      <c r="F12089" s="2">
        <v>2194</v>
      </c>
      <c r="G12089" s="2">
        <v>92</v>
      </c>
      <c r="H12089" s="2">
        <v>479</v>
      </c>
      <c r="I12089" s="2">
        <v>1</v>
      </c>
      <c r="J12089" s="2">
        <v>1437</v>
      </c>
      <c r="K12089" s="2">
        <v>437</v>
      </c>
      <c r="L12089" s="2">
        <v>887</v>
      </c>
    </row>
    <row r="12090" spans="1:12" x14ac:dyDescent="0.25">
      <c r="A12090" s="4" t="str">
        <f>HYPERLINK("http://www.rosaceae.org/Prunus/Prunus_persica/p.persica_gdr_reftransV1_0016717","p.persica_gdr_reftransV1_0016717")</f>
        <v>p.persica_gdr_reftransV1_0016717</v>
      </c>
      <c r="B12090" s="2">
        <v>1068</v>
      </c>
      <c r="C12090" s="4" t="str">
        <f>HYPERLINK("http://www.uniprot.org/uniprot/M5VRD8","M5VRD8")</f>
        <v>M5VRD8</v>
      </c>
      <c r="D12090" s="2" t="s">
        <v>6203</v>
      </c>
      <c r="E12090" s="3">
        <v>9.3699999999999992E-84</v>
      </c>
      <c r="F12090" s="2">
        <v>670</v>
      </c>
      <c r="G12090" s="2">
        <v>100</v>
      </c>
      <c r="H12090" s="2">
        <v>152</v>
      </c>
      <c r="I12090" s="2">
        <v>136</v>
      </c>
      <c r="J12090" s="2">
        <v>591</v>
      </c>
      <c r="K12090" s="2">
        <v>1</v>
      </c>
      <c r="L12090" s="2">
        <v>152</v>
      </c>
    </row>
    <row r="12091" spans="1:12" x14ac:dyDescent="0.25">
      <c r="A12091" s="4" t="str">
        <f>HYPERLINK("http://www.rosaceae.org/Prunus/Prunus_persica/p.persica_gdr_reftransV1_0017067","p.persica_gdr_reftransV1_0017067")</f>
        <v>p.persica_gdr_reftransV1_0017067</v>
      </c>
      <c r="B12091" s="2">
        <v>1976</v>
      </c>
      <c r="C12091" s="4" t="str">
        <f>HYPERLINK("http://www.uniprot.org/uniprot/M5WS25","M5WS25")</f>
        <v>M5WS25</v>
      </c>
      <c r="D12091" s="2" t="s">
        <v>10134</v>
      </c>
      <c r="E12091" s="3">
        <v>0</v>
      </c>
      <c r="F12091" s="2">
        <v>2527</v>
      </c>
      <c r="G12091" s="2">
        <v>100</v>
      </c>
      <c r="H12091" s="2">
        <v>503</v>
      </c>
      <c r="I12091" s="2">
        <v>265</v>
      </c>
      <c r="J12091" s="2">
        <v>1773</v>
      </c>
      <c r="K12091" s="2">
        <v>1</v>
      </c>
      <c r="L12091" s="2">
        <v>503</v>
      </c>
    </row>
    <row r="12092" spans="1:12" x14ac:dyDescent="0.25">
      <c r="A12092" s="4" t="str">
        <f>HYPERLINK("http://www.rosaceae.org/Prunus/Prunus_persica/p.persica_gdr_reftransV1_0019867","p.persica_gdr_reftransV1_0019867")</f>
        <v>p.persica_gdr_reftransV1_0019867</v>
      </c>
      <c r="B12092" s="2">
        <v>856</v>
      </c>
      <c r="C12092" s="4" t="str">
        <f>HYPERLINK("http://www.uniprot.org/uniprot/M5WVS2","M5WVS2")</f>
        <v>M5WVS2</v>
      </c>
      <c r="D12092" s="2" t="s">
        <v>10135</v>
      </c>
      <c r="E12092" s="3">
        <v>1.32E-61</v>
      </c>
      <c r="F12092" s="2">
        <v>513</v>
      </c>
      <c r="G12092" s="2">
        <v>100</v>
      </c>
      <c r="H12092" s="2">
        <v>119</v>
      </c>
      <c r="I12092" s="2">
        <v>212</v>
      </c>
      <c r="J12092" s="2">
        <v>568</v>
      </c>
      <c r="K12092" s="2">
        <v>1</v>
      </c>
      <c r="L12092" s="2">
        <v>119</v>
      </c>
    </row>
    <row r="12093" spans="1:12" x14ac:dyDescent="0.25">
      <c r="A12093" s="4" t="str">
        <f>HYPERLINK("http://www.rosaceae.org/Prunus/Prunus_persica/p.persica_gdr_reftransV1_0020217","p.persica_gdr_reftransV1_0020217")</f>
        <v>p.persica_gdr_reftransV1_0020217</v>
      </c>
      <c r="B12093" s="2">
        <v>3207</v>
      </c>
      <c r="C12093" s="4" t="str">
        <f>HYPERLINK("http://www.uniprot.org/uniprot/M5WZX5","M5WZX5")</f>
        <v>M5WZX5</v>
      </c>
      <c r="D12093" s="2" t="s">
        <v>10136</v>
      </c>
      <c r="E12093" s="3">
        <v>0</v>
      </c>
      <c r="F12093" s="2">
        <v>4846</v>
      </c>
      <c r="G12093" s="2">
        <v>99</v>
      </c>
      <c r="H12093" s="2">
        <v>960</v>
      </c>
      <c r="I12093" s="2">
        <v>74</v>
      </c>
      <c r="J12093" s="2">
        <v>2953</v>
      </c>
      <c r="K12093" s="2">
        <v>1</v>
      </c>
      <c r="L12093" s="2">
        <v>947</v>
      </c>
    </row>
    <row r="12094" spans="1:12" x14ac:dyDescent="0.25">
      <c r="A12094" s="4" t="str">
        <f>HYPERLINK("http://www.rosaceae.org/Prunus/Prunus_persica/p.persica_gdr_reftransV1_0020917","p.persica_gdr_reftransV1_0020917")</f>
        <v>p.persica_gdr_reftransV1_0020917</v>
      </c>
      <c r="B12094" s="2">
        <v>1988</v>
      </c>
      <c r="C12094" s="4" t="str">
        <f>HYPERLINK("http://www.uniprot.org/uniprot/M5X3S9","M5X3S9")</f>
        <v>M5X3S9</v>
      </c>
      <c r="D12094" s="2" t="s">
        <v>10137</v>
      </c>
      <c r="E12094" s="3">
        <v>0</v>
      </c>
      <c r="F12094" s="2">
        <v>1446</v>
      </c>
      <c r="G12094" s="2">
        <v>100</v>
      </c>
      <c r="H12094" s="2">
        <v>358</v>
      </c>
      <c r="I12094" s="2">
        <v>681</v>
      </c>
      <c r="J12094" s="2">
        <v>1754</v>
      </c>
      <c r="K12094" s="2">
        <v>1</v>
      </c>
      <c r="L12094" s="2">
        <v>358</v>
      </c>
    </row>
    <row r="12095" spans="1:12" x14ac:dyDescent="0.25">
      <c r="A12095" s="4" t="str">
        <f>HYPERLINK("http://www.rosaceae.org/Prunus/Prunus_persica/p.persica_gdr_reftransV1_0022317","p.persica_gdr_reftransV1_0022317")</f>
        <v>p.persica_gdr_reftransV1_0022317</v>
      </c>
      <c r="B12095" s="2">
        <v>2603</v>
      </c>
      <c r="C12095" s="4" t="str">
        <f>HYPERLINK("http://www.uniprot.org/uniprot/M5WSF0","M5WSF0")</f>
        <v>M5WSF0</v>
      </c>
      <c r="D12095" s="2" t="s">
        <v>10138</v>
      </c>
      <c r="E12095" s="3">
        <v>0</v>
      </c>
      <c r="F12095" s="2">
        <v>2333</v>
      </c>
      <c r="G12095" s="2">
        <v>100</v>
      </c>
      <c r="H12095" s="2">
        <v>522</v>
      </c>
      <c r="I12095" s="2">
        <v>401</v>
      </c>
      <c r="J12095" s="2">
        <v>1966</v>
      </c>
      <c r="K12095" s="2">
        <v>1</v>
      </c>
      <c r="L12095" s="2">
        <v>522</v>
      </c>
    </row>
    <row r="12096" spans="1:12" x14ac:dyDescent="0.25">
      <c r="A12096" s="4" t="str">
        <f>HYPERLINK("http://www.rosaceae.org/Prunus/Prunus_persica/p.persica_gdr_reftransV1_0023017","p.persica_gdr_reftransV1_0023017")</f>
        <v>p.persica_gdr_reftransV1_0023017</v>
      </c>
      <c r="B12096" s="2">
        <v>1149</v>
      </c>
      <c r="C12096" s="4" t="str">
        <f>HYPERLINK("http://www.uniprot.org/uniprot/M5WL08","M5WL08")</f>
        <v>M5WL08</v>
      </c>
      <c r="D12096" s="2" t="s">
        <v>10139</v>
      </c>
      <c r="E12096" s="3">
        <v>3.7100000000000001E-34</v>
      </c>
      <c r="F12096" s="2">
        <v>337</v>
      </c>
      <c r="G12096" s="2">
        <v>100</v>
      </c>
      <c r="H12096" s="2">
        <v>86</v>
      </c>
      <c r="I12096" s="2">
        <v>537</v>
      </c>
      <c r="J12096" s="2">
        <v>794</v>
      </c>
      <c r="K12096" s="2">
        <v>65</v>
      </c>
      <c r="L12096" s="2">
        <v>150</v>
      </c>
    </row>
    <row r="12097" spans="1:12" x14ac:dyDescent="0.25">
      <c r="A12097" s="4" t="str">
        <f>HYPERLINK("http://www.rosaceae.org/Prunus/Prunus_persica/p.persica_gdr_reftransV1_0024067","p.persica_gdr_reftransV1_0024067")</f>
        <v>p.persica_gdr_reftransV1_0024067</v>
      </c>
      <c r="B12097" s="2">
        <v>1117</v>
      </c>
      <c r="C12097" s="4" t="str">
        <f>HYPERLINK("http://www.uniprot.org/uniprot/M5WSP0","M5WSP0")</f>
        <v>M5WSP0</v>
      </c>
      <c r="D12097" s="2" t="s">
        <v>10140</v>
      </c>
      <c r="E12097" s="3">
        <v>1.6099999999999998E-129</v>
      </c>
      <c r="F12097" s="2">
        <v>981</v>
      </c>
      <c r="G12097" s="2">
        <v>100</v>
      </c>
      <c r="H12097" s="2">
        <v>211</v>
      </c>
      <c r="I12097" s="2">
        <v>273</v>
      </c>
      <c r="J12097" s="2">
        <v>905</v>
      </c>
      <c r="K12097" s="2">
        <v>1</v>
      </c>
      <c r="L12097" s="2">
        <v>211</v>
      </c>
    </row>
    <row r="12098" spans="1:12" x14ac:dyDescent="0.25">
      <c r="A12098" s="4" t="str">
        <f>HYPERLINK("http://www.rosaceae.org/Prunus/Prunus_persica/p.persica_gdr_reftransV1_0027217","p.persica_gdr_reftransV1_0027217")</f>
        <v>p.persica_gdr_reftransV1_0027217</v>
      </c>
      <c r="B12098" s="2">
        <v>1836</v>
      </c>
      <c r="C12098" s="4" t="str">
        <f>HYPERLINK("http://www.uniprot.org/uniprot/M5W7S4","M5W7S4")</f>
        <v>M5W7S4</v>
      </c>
      <c r="D12098" s="2" t="s">
        <v>10141</v>
      </c>
      <c r="E12098" s="3">
        <v>0</v>
      </c>
      <c r="F12098" s="2">
        <v>2282</v>
      </c>
      <c r="G12098" s="2">
        <v>100</v>
      </c>
      <c r="H12098" s="2">
        <v>469</v>
      </c>
      <c r="I12098" s="2">
        <v>433</v>
      </c>
      <c r="J12098" s="2">
        <v>1836</v>
      </c>
      <c r="K12098" s="2">
        <v>185</v>
      </c>
      <c r="L12098" s="2">
        <v>653</v>
      </c>
    </row>
    <row r="12099" spans="1:12" x14ac:dyDescent="0.25">
      <c r="A12099" s="4" t="str">
        <f>HYPERLINK("http://www.rosaceae.org/Prunus/Prunus_persica/p.persica_gdr_reftransV1_0028617","p.persica_gdr_reftransV1_0028617")</f>
        <v>p.persica_gdr_reftransV1_0028617</v>
      </c>
      <c r="B12099" s="2">
        <v>756</v>
      </c>
      <c r="C12099" s="4" t="str">
        <f>HYPERLINK("http://www.uniprot.org/uniprot/I3WEU4","I3WEU4")</f>
        <v>I3WEU4</v>
      </c>
      <c r="D12099" s="2" t="s">
        <v>5563</v>
      </c>
      <c r="E12099" s="3">
        <v>6.8899999999999996E-70</v>
      </c>
      <c r="F12099" s="2">
        <v>564</v>
      </c>
      <c r="G12099" s="2">
        <v>90</v>
      </c>
      <c r="H12099" s="2">
        <v>125</v>
      </c>
      <c r="I12099" s="2">
        <v>141</v>
      </c>
      <c r="J12099" s="2">
        <v>515</v>
      </c>
      <c r="K12099" s="2">
        <v>1</v>
      </c>
      <c r="L12099" s="2">
        <v>112</v>
      </c>
    </row>
    <row r="12100" spans="1:12" x14ac:dyDescent="0.25">
      <c r="A12100" s="4" t="str">
        <f>HYPERLINK("http://www.rosaceae.org/Prunus/Prunus_persica/p.persica_gdr_reftransV1_0028967","p.persica_gdr_reftransV1_0028967")</f>
        <v>p.persica_gdr_reftransV1_0028967</v>
      </c>
      <c r="B12100" s="2">
        <v>797</v>
      </c>
      <c r="C12100" s="4" t="str">
        <f>HYPERLINK("http://www.uniprot.org/uniprot/M5W4D0","M5W4D0")</f>
        <v>M5W4D0</v>
      </c>
      <c r="D12100" s="2" t="s">
        <v>10142</v>
      </c>
      <c r="E12100" s="3">
        <v>7.4400000000000003E-58</v>
      </c>
      <c r="F12100" s="2">
        <v>486</v>
      </c>
      <c r="G12100" s="2">
        <v>100</v>
      </c>
      <c r="H12100" s="2">
        <v>92</v>
      </c>
      <c r="I12100" s="2">
        <v>348</v>
      </c>
      <c r="J12100" s="2">
        <v>623</v>
      </c>
      <c r="K12100" s="2">
        <v>1</v>
      </c>
      <c r="L12100" s="2">
        <v>92</v>
      </c>
    </row>
    <row r="12101" spans="1:12" x14ac:dyDescent="0.25">
      <c r="A12101" s="4" t="str">
        <f>HYPERLINK("http://www.rosaceae.org/Prunus/Prunus_persica/p.persica_gdr_reftransV1_0030017","p.persica_gdr_reftransV1_0030017")</f>
        <v>p.persica_gdr_reftransV1_0030017</v>
      </c>
      <c r="B12101" s="2">
        <v>1461</v>
      </c>
      <c r="C12101" s="4" t="str">
        <f>HYPERLINK("http://www.uniprot.org/uniprot/M5W127","M5W127")</f>
        <v>M5W127</v>
      </c>
      <c r="D12101" s="2" t="s">
        <v>10143</v>
      </c>
      <c r="E12101" s="3">
        <v>0</v>
      </c>
      <c r="F12101" s="2">
        <v>1792</v>
      </c>
      <c r="G12101" s="2">
        <v>100</v>
      </c>
      <c r="H12101" s="2">
        <v>331</v>
      </c>
      <c r="I12101" s="2">
        <v>299</v>
      </c>
      <c r="J12101" s="2">
        <v>1291</v>
      </c>
      <c r="K12101" s="2">
        <v>14</v>
      </c>
      <c r="L12101" s="2">
        <v>344</v>
      </c>
    </row>
    <row r="12102" spans="1:12" x14ac:dyDescent="0.25">
      <c r="A12102" s="4" t="str">
        <f>HYPERLINK("http://www.rosaceae.org/Prunus/Prunus_persica/p.persica_gdr_reftransV1_0030717","p.persica_gdr_reftransV1_0030717")</f>
        <v>p.persica_gdr_reftransV1_0030717</v>
      </c>
      <c r="B12102" s="2">
        <v>1498</v>
      </c>
      <c r="C12102" s="4" t="str">
        <f>HYPERLINK("http://www.uniprot.org/uniprot/M5WRQ9","M5WRQ9")</f>
        <v>M5WRQ9</v>
      </c>
      <c r="D12102" s="2" t="s">
        <v>10144</v>
      </c>
      <c r="E12102" s="3">
        <v>0</v>
      </c>
      <c r="F12102" s="2">
        <v>1726</v>
      </c>
      <c r="G12102" s="2">
        <v>100</v>
      </c>
      <c r="H12102" s="2">
        <v>346</v>
      </c>
      <c r="I12102" s="2">
        <v>228</v>
      </c>
      <c r="J12102" s="2">
        <v>1265</v>
      </c>
      <c r="K12102" s="2">
        <v>1</v>
      </c>
      <c r="L12102" s="2">
        <v>346</v>
      </c>
    </row>
    <row r="12103" spans="1:12" x14ac:dyDescent="0.25">
      <c r="A12103" s="4" t="str">
        <f>HYPERLINK("http://www.rosaceae.org/Prunus/Prunus_persica/p.persica_gdr_reftransV1_0031417","p.persica_gdr_reftransV1_0031417")</f>
        <v>p.persica_gdr_reftransV1_0031417</v>
      </c>
      <c r="B12103" s="2">
        <v>4142</v>
      </c>
      <c r="C12103" s="4" t="str">
        <f>HYPERLINK("http://www.uniprot.org/uniprot/M5X7N6","M5X7N6")</f>
        <v>M5X7N6</v>
      </c>
      <c r="D12103" s="2" t="s">
        <v>10145</v>
      </c>
      <c r="E12103" s="3">
        <v>0</v>
      </c>
      <c r="F12103" s="2">
        <v>5875</v>
      </c>
      <c r="G12103" s="2">
        <v>96</v>
      </c>
      <c r="H12103" s="2">
        <v>1239</v>
      </c>
      <c r="I12103" s="2">
        <v>323</v>
      </c>
      <c r="J12103" s="2">
        <v>4039</v>
      </c>
      <c r="K12103" s="2">
        <v>1</v>
      </c>
      <c r="L12103" s="2">
        <v>1198</v>
      </c>
    </row>
    <row r="12104" spans="1:12" x14ac:dyDescent="0.25">
      <c r="A12104" s="4" t="str">
        <f>HYPERLINK("http://www.rosaceae.org/Prunus/Prunus_persica/p.persica_gdr_reftransV1_0031767","p.persica_gdr_reftransV1_0031767")</f>
        <v>p.persica_gdr_reftransV1_0031767</v>
      </c>
      <c r="B12104" s="2">
        <v>2004</v>
      </c>
      <c r="C12104" s="4" t="str">
        <f>HYPERLINK("http://www.uniprot.org/uniprot/M5WLP4","M5WLP4")</f>
        <v>M5WLP4</v>
      </c>
      <c r="D12104" s="2" t="s">
        <v>10146</v>
      </c>
      <c r="E12104" s="3">
        <v>1.62E-108</v>
      </c>
      <c r="F12104" s="2">
        <v>872</v>
      </c>
      <c r="G12104" s="2">
        <v>91</v>
      </c>
      <c r="H12104" s="2">
        <v>222</v>
      </c>
      <c r="I12104" s="2">
        <v>866</v>
      </c>
      <c r="J12104" s="2">
        <v>1531</v>
      </c>
      <c r="K12104" s="2">
        <v>24</v>
      </c>
      <c r="L12104" s="2">
        <v>241</v>
      </c>
    </row>
    <row r="12105" spans="1:12" x14ac:dyDescent="0.25">
      <c r="A12105" s="4" t="str">
        <f>HYPERLINK("http://www.rosaceae.org/Prunus/Prunus_persica/p.persica_gdr_reftransV1_0033167","p.persica_gdr_reftransV1_0033167")</f>
        <v>p.persica_gdr_reftransV1_0033167</v>
      </c>
      <c r="B12105" s="2">
        <v>3553</v>
      </c>
      <c r="C12105" s="4" t="str">
        <f>HYPERLINK("http://www.uniprot.org/uniprot/M5X032","M5X032")</f>
        <v>M5X032</v>
      </c>
      <c r="D12105" s="2" t="s">
        <v>10147</v>
      </c>
      <c r="E12105" s="3">
        <v>0</v>
      </c>
      <c r="F12105" s="2">
        <v>1705</v>
      </c>
      <c r="G12105" s="2">
        <v>100</v>
      </c>
      <c r="H12105" s="2">
        <v>343</v>
      </c>
      <c r="I12105" s="2">
        <v>1021</v>
      </c>
      <c r="J12105" s="2">
        <v>2049</v>
      </c>
      <c r="K12105" s="2">
        <v>223</v>
      </c>
      <c r="L12105" s="2">
        <v>565</v>
      </c>
    </row>
    <row r="12106" spans="1:12" x14ac:dyDescent="0.25">
      <c r="A12106" s="4" t="str">
        <f>HYPERLINK("http://www.rosaceae.org/Prunus/Prunus_persica/p.persica_gdr_reftransV1_0034217","p.persica_gdr_reftransV1_0034217")</f>
        <v>p.persica_gdr_reftransV1_0034217</v>
      </c>
      <c r="B12106" s="2">
        <v>2368</v>
      </c>
      <c r="C12106" s="4" t="str">
        <f>HYPERLINK("http://www.uniprot.org/uniprot/M5WAV1","M5WAV1")</f>
        <v>M5WAV1</v>
      </c>
      <c r="D12106" s="2" t="s">
        <v>10148</v>
      </c>
      <c r="E12106" s="3">
        <v>0</v>
      </c>
      <c r="F12106" s="2">
        <v>1889</v>
      </c>
      <c r="G12106" s="2">
        <v>99</v>
      </c>
      <c r="H12106" s="2">
        <v>353</v>
      </c>
      <c r="I12106" s="2">
        <v>823</v>
      </c>
      <c r="J12106" s="2">
        <v>1881</v>
      </c>
      <c r="K12106" s="2">
        <v>99</v>
      </c>
      <c r="L12106" s="2">
        <v>451</v>
      </c>
    </row>
    <row r="12107" spans="1:12" x14ac:dyDescent="0.25">
      <c r="A12107" s="4" t="str">
        <f>HYPERLINK("http://www.rosaceae.org/Prunus/Prunus_persica/p.persica_gdr_reftransV1_0039817","p.persica_gdr_reftransV1_0039817")</f>
        <v>p.persica_gdr_reftransV1_0039817</v>
      </c>
      <c r="B12107" s="2">
        <v>3337</v>
      </c>
      <c r="C12107" s="4" t="str">
        <f>HYPERLINK("http://www.uniprot.org/uniprot/M5X7I4","M5X7I4")</f>
        <v>M5X7I4</v>
      </c>
      <c r="D12107" s="2" t="s">
        <v>10149</v>
      </c>
      <c r="E12107" s="3">
        <v>0</v>
      </c>
      <c r="F12107" s="2">
        <v>2876</v>
      </c>
      <c r="G12107" s="2">
        <v>99</v>
      </c>
      <c r="H12107" s="2">
        <v>556</v>
      </c>
      <c r="I12107" s="2">
        <v>1442</v>
      </c>
      <c r="J12107" s="2">
        <v>3109</v>
      </c>
      <c r="K12107" s="2">
        <v>223</v>
      </c>
      <c r="L12107" s="2">
        <v>778</v>
      </c>
    </row>
    <row r="12108" spans="1:12" x14ac:dyDescent="0.25">
      <c r="A12108" s="4" t="str">
        <f>HYPERLINK("http://www.rosaceae.org/Prunus/Prunus_persica/p.persica_gdr_reftransV1_0040867","p.persica_gdr_reftransV1_0040867")</f>
        <v>p.persica_gdr_reftransV1_0040867</v>
      </c>
      <c r="B12108" s="2">
        <v>2138</v>
      </c>
      <c r="C12108" s="4" t="str">
        <f>HYPERLINK("http://www.uniprot.org/uniprot/M5XDH0","M5XDH0")</f>
        <v>M5XDH0</v>
      </c>
      <c r="D12108" s="2" t="s">
        <v>10150</v>
      </c>
      <c r="E12108" s="3">
        <v>7.4500000000000005E-114</v>
      </c>
      <c r="F12108" s="2">
        <v>908</v>
      </c>
      <c r="G12108" s="2">
        <v>99</v>
      </c>
      <c r="H12108" s="2">
        <v>174</v>
      </c>
      <c r="I12108" s="2">
        <v>348</v>
      </c>
      <c r="J12108" s="2">
        <v>866</v>
      </c>
      <c r="K12108" s="2">
        <v>50</v>
      </c>
      <c r="L12108" s="2">
        <v>223</v>
      </c>
    </row>
    <row r="12109" spans="1:12" x14ac:dyDescent="0.25">
      <c r="A12109" s="4" t="str">
        <f>HYPERLINK("http://www.rosaceae.org/Prunus/Prunus_persica/p.persica_gdr_reftransV1_0041567","p.persica_gdr_reftransV1_0041567")</f>
        <v>p.persica_gdr_reftransV1_0041567</v>
      </c>
      <c r="B12109" s="2">
        <v>1143</v>
      </c>
      <c r="C12109" s="4" t="str">
        <f>HYPERLINK("http://www.uniprot.org/uniprot/M5X9E8","M5X9E8")</f>
        <v>M5X9E8</v>
      </c>
      <c r="D12109" s="2" t="s">
        <v>7836</v>
      </c>
      <c r="E12109" s="3">
        <v>9.0200000000000001E-136</v>
      </c>
      <c r="F12109" s="2">
        <v>1063</v>
      </c>
      <c r="G12109" s="2">
        <v>98</v>
      </c>
      <c r="H12109" s="2">
        <v>251</v>
      </c>
      <c r="I12109" s="2">
        <v>86</v>
      </c>
      <c r="J12109" s="2">
        <v>838</v>
      </c>
      <c r="K12109" s="2">
        <v>393</v>
      </c>
      <c r="L12109" s="2">
        <v>643</v>
      </c>
    </row>
    <row r="12110" spans="1:12" x14ac:dyDescent="0.25">
      <c r="A12110" s="4" t="str">
        <f>HYPERLINK("http://www.rosaceae.org/Prunus/Prunus_persica/p.persica_gdr_reftransV1_0043317","p.persica_gdr_reftransV1_0043317")</f>
        <v>p.persica_gdr_reftransV1_0043317</v>
      </c>
      <c r="B12110" s="2">
        <v>962</v>
      </c>
      <c r="C12110" s="4" t="str">
        <f>HYPERLINK("http://www.uniprot.org/uniprot/M5Y204","M5Y204")</f>
        <v>M5Y204</v>
      </c>
      <c r="D12110" s="2" t="s">
        <v>2101</v>
      </c>
      <c r="E12110" s="3">
        <v>8.3600000000000004E-143</v>
      </c>
      <c r="F12110" s="2">
        <v>1071</v>
      </c>
      <c r="G12110" s="2">
        <v>99</v>
      </c>
      <c r="H12110" s="2">
        <v>249</v>
      </c>
      <c r="I12110" s="2">
        <v>207</v>
      </c>
      <c r="J12110" s="2">
        <v>953</v>
      </c>
      <c r="K12110" s="2">
        <v>38</v>
      </c>
      <c r="L12110" s="2">
        <v>286</v>
      </c>
    </row>
    <row r="12111" spans="1:12" x14ac:dyDescent="0.25">
      <c r="A12111" s="4" t="str">
        <f>HYPERLINK("http://www.rosaceae.org/Prunus/Prunus_persica/p.persica_gdr_reftransV1_0043667","p.persica_gdr_reftransV1_0043667")</f>
        <v>p.persica_gdr_reftransV1_0043667</v>
      </c>
      <c r="B12111" s="2">
        <v>1092</v>
      </c>
      <c r="C12111" s="4" t="str">
        <f>HYPERLINK("http://www.uniprot.org/uniprot/M5VQK6","M5VQK6")</f>
        <v>M5VQK6</v>
      </c>
      <c r="D12111" s="2" t="s">
        <v>303</v>
      </c>
      <c r="E12111" s="3">
        <v>5.1800000000000003E-134</v>
      </c>
      <c r="F12111" s="2">
        <v>1032</v>
      </c>
      <c r="G12111" s="2">
        <v>100</v>
      </c>
      <c r="H12111" s="2">
        <v>214</v>
      </c>
      <c r="I12111" s="2">
        <v>3</v>
      </c>
      <c r="J12111" s="2">
        <v>644</v>
      </c>
      <c r="K12111" s="2">
        <v>216</v>
      </c>
      <c r="L12111" s="2">
        <v>429</v>
      </c>
    </row>
    <row r="12112" spans="1:12" x14ac:dyDescent="0.25">
      <c r="A12112" s="4" t="str">
        <f>HYPERLINK("http://www.rosaceae.org/Prunus/Prunus_persica/p.persica_gdr_reftransV1_0044017","p.persica_gdr_reftransV1_0044017")</f>
        <v>p.persica_gdr_reftransV1_0044017</v>
      </c>
      <c r="B12112" s="2">
        <v>423</v>
      </c>
      <c r="C12112" s="4" t="str">
        <f>HYPERLINK("http://www.uniprot.org/uniprot/M5X4H9","M5X4H9")</f>
        <v>M5X4H9</v>
      </c>
      <c r="D12112" s="2" t="s">
        <v>10151</v>
      </c>
      <c r="E12112" s="3">
        <v>4.2200000000000001E-55</v>
      </c>
      <c r="F12112" s="2">
        <v>488</v>
      </c>
      <c r="G12112" s="2">
        <v>100</v>
      </c>
      <c r="H12112" s="2">
        <v>103</v>
      </c>
      <c r="I12112" s="2">
        <v>2</v>
      </c>
      <c r="J12112" s="2">
        <v>310</v>
      </c>
      <c r="K12112" s="2">
        <v>1</v>
      </c>
      <c r="L12112" s="2">
        <v>103</v>
      </c>
    </row>
    <row r="12113" spans="1:12" x14ac:dyDescent="0.25">
      <c r="A12113" s="4" t="str">
        <f>HYPERLINK("http://www.rosaceae.org/Prunus/Prunus_persica/p.persica_gdr_reftransV1_0044367","p.persica_gdr_reftransV1_0044367")</f>
        <v>p.persica_gdr_reftransV1_0044367</v>
      </c>
      <c r="B12113" s="2">
        <v>1039</v>
      </c>
      <c r="C12113" s="4" t="str">
        <f>HYPERLINK("http://www.uniprot.org/uniprot/M5XD88","M5XD88")</f>
        <v>M5XD88</v>
      </c>
      <c r="D12113" s="2" t="s">
        <v>10152</v>
      </c>
      <c r="E12113" s="3">
        <v>9.8499999999999994E-159</v>
      </c>
      <c r="F12113" s="2">
        <v>1175</v>
      </c>
      <c r="G12113" s="2">
        <v>100</v>
      </c>
      <c r="H12113" s="2">
        <v>235</v>
      </c>
      <c r="I12113" s="2">
        <v>211</v>
      </c>
      <c r="J12113" s="2">
        <v>915</v>
      </c>
      <c r="K12113" s="2">
        <v>23</v>
      </c>
      <c r="L12113" s="2">
        <v>257</v>
      </c>
    </row>
    <row r="12114" spans="1:12" x14ac:dyDescent="0.25">
      <c r="A12114" s="4" t="str">
        <f>HYPERLINK("http://www.rosaceae.org/Prunus/Prunus_persica/p.persica_gdr_reftransV1_0044717","p.persica_gdr_reftransV1_0044717")</f>
        <v>p.persica_gdr_reftransV1_0044717</v>
      </c>
      <c r="B12114" s="2">
        <v>1362</v>
      </c>
      <c r="C12114" s="4" t="str">
        <f>HYPERLINK("http://www.uniprot.org/uniprot/M5WAR0","M5WAR0")</f>
        <v>M5WAR0</v>
      </c>
      <c r="D12114" s="2" t="s">
        <v>7713</v>
      </c>
      <c r="E12114" s="3">
        <v>8.5699999999999996E-122</v>
      </c>
      <c r="F12114" s="2">
        <v>937</v>
      </c>
      <c r="G12114" s="2">
        <v>87</v>
      </c>
      <c r="H12114" s="2">
        <v>237</v>
      </c>
      <c r="I12114" s="2">
        <v>273</v>
      </c>
      <c r="J12114" s="2">
        <v>983</v>
      </c>
      <c r="K12114" s="2">
        <v>1</v>
      </c>
      <c r="L12114" s="2">
        <v>206</v>
      </c>
    </row>
    <row r="12115" spans="1:12" x14ac:dyDescent="0.25">
      <c r="A12115" s="4" t="str">
        <f>HYPERLINK("http://www.rosaceae.org/Prunus/Prunus_persica/p.persica_gdr_reftransV1_0045067","p.persica_gdr_reftransV1_0045067")</f>
        <v>p.persica_gdr_reftransV1_0045067</v>
      </c>
      <c r="B12115" s="2">
        <v>716</v>
      </c>
      <c r="C12115" s="4" t="str">
        <f>HYPERLINK("http://www.uniprot.org/uniprot/M5X886","M5X886")</f>
        <v>M5X886</v>
      </c>
      <c r="D12115" s="2" t="s">
        <v>6760</v>
      </c>
      <c r="E12115" s="3">
        <v>9.8899999999999994E-71</v>
      </c>
      <c r="F12115" s="2">
        <v>568</v>
      </c>
      <c r="G12115" s="2">
        <v>100</v>
      </c>
      <c r="H12115" s="2">
        <v>106</v>
      </c>
      <c r="I12115" s="2">
        <v>163</v>
      </c>
      <c r="J12115" s="2">
        <v>480</v>
      </c>
      <c r="K12115" s="2">
        <v>1</v>
      </c>
      <c r="L12115" s="2">
        <v>106</v>
      </c>
    </row>
    <row r="12116" spans="1:12" x14ac:dyDescent="0.25">
      <c r="A12116" s="4" t="str">
        <f>HYPERLINK("http://www.rosaceae.org/Prunus/Prunus_persica/p.persica_gdr_reftransV1_0045417","p.persica_gdr_reftransV1_0045417")</f>
        <v>p.persica_gdr_reftransV1_0045417</v>
      </c>
      <c r="B12116" s="2">
        <v>1657</v>
      </c>
      <c r="C12116" s="4" t="str">
        <f>HYPERLINK("http://www.uniprot.org/uniprot/M5VZ50","M5VZ50")</f>
        <v>M5VZ50</v>
      </c>
      <c r="D12116" s="2" t="s">
        <v>10153</v>
      </c>
      <c r="E12116" s="3">
        <v>0</v>
      </c>
      <c r="F12116" s="2">
        <v>2192</v>
      </c>
      <c r="G12116" s="2">
        <v>97</v>
      </c>
      <c r="H12116" s="2">
        <v>448</v>
      </c>
      <c r="I12116" s="2">
        <v>214</v>
      </c>
      <c r="J12116" s="2">
        <v>1557</v>
      </c>
      <c r="K12116" s="2">
        <v>3</v>
      </c>
      <c r="L12116" s="2">
        <v>450</v>
      </c>
    </row>
    <row r="12117" spans="1:12" x14ac:dyDescent="0.25">
      <c r="A12117" s="4" t="str">
        <f>HYPERLINK("http://www.rosaceae.org/Prunus/Prunus_persica/p.persica_gdr_reftransV1_0046117","p.persica_gdr_reftransV1_0046117")</f>
        <v>p.persica_gdr_reftransV1_0046117</v>
      </c>
      <c r="B12117" s="2">
        <v>386</v>
      </c>
      <c r="C12117" s="4" t="str">
        <f>HYPERLINK("http://www.uniprot.org/uniprot/M5VX68","M5VX68")</f>
        <v>M5VX68</v>
      </c>
      <c r="D12117" s="2" t="s">
        <v>4660</v>
      </c>
      <c r="E12117" s="3">
        <v>2.3199999999999998E-64</v>
      </c>
      <c r="F12117" s="2">
        <v>567</v>
      </c>
      <c r="G12117" s="2">
        <v>100</v>
      </c>
      <c r="H12117" s="2">
        <v>128</v>
      </c>
      <c r="I12117" s="2">
        <v>3</v>
      </c>
      <c r="J12117" s="2">
        <v>386</v>
      </c>
      <c r="K12117" s="2">
        <v>1238</v>
      </c>
      <c r="L12117" s="2">
        <v>1365</v>
      </c>
    </row>
    <row r="12118" spans="1:12" x14ac:dyDescent="0.25">
      <c r="A12118" s="4" t="str">
        <f>HYPERLINK("http://www.rosaceae.org/Prunus/Prunus_persica/p.persica_gdr_reftransV1_0046467","p.persica_gdr_reftransV1_0046467")</f>
        <v>p.persica_gdr_reftransV1_0046467</v>
      </c>
      <c r="B12118" s="2">
        <v>2504</v>
      </c>
      <c r="C12118" s="4" t="str">
        <f>HYPERLINK("http://www.uniprot.org/uniprot/M5W851","M5W851")</f>
        <v>M5W851</v>
      </c>
      <c r="D12118" s="2" t="s">
        <v>10154</v>
      </c>
      <c r="E12118" s="3">
        <v>0</v>
      </c>
      <c r="F12118" s="2">
        <v>1994</v>
      </c>
      <c r="G12118" s="2">
        <v>100</v>
      </c>
      <c r="H12118" s="2">
        <v>525</v>
      </c>
      <c r="I12118" s="2">
        <v>372</v>
      </c>
      <c r="J12118" s="2">
        <v>1946</v>
      </c>
      <c r="K12118" s="2">
        <v>162</v>
      </c>
      <c r="L12118" s="2">
        <v>686</v>
      </c>
    </row>
    <row r="12119" spans="1:12" x14ac:dyDescent="0.25">
      <c r="A12119" s="4" t="str">
        <f>HYPERLINK("http://www.rosaceae.org/Prunus/Prunus_persica/p.persica_gdr_reftransV1_0046817","p.persica_gdr_reftransV1_0046817")</f>
        <v>p.persica_gdr_reftransV1_0046817</v>
      </c>
      <c r="B12119" s="2">
        <v>483</v>
      </c>
      <c r="C12119" s="4" t="str">
        <f>HYPERLINK("http://www.uniprot.org/uniprot/M5VM93","M5VM93")</f>
        <v>M5VM93</v>
      </c>
      <c r="D12119" s="2" t="s">
        <v>10155</v>
      </c>
      <c r="E12119" s="3">
        <v>3.1100000000000002E-95</v>
      </c>
      <c r="F12119" s="2">
        <v>791</v>
      </c>
      <c r="G12119" s="2">
        <v>100</v>
      </c>
      <c r="H12119" s="2">
        <v>160</v>
      </c>
      <c r="I12119" s="2">
        <v>3</v>
      </c>
      <c r="J12119" s="2">
        <v>482</v>
      </c>
      <c r="K12119" s="2">
        <v>746</v>
      </c>
      <c r="L12119" s="2">
        <v>905</v>
      </c>
    </row>
    <row r="12120" spans="1:12" x14ac:dyDescent="0.25">
      <c r="A12120" s="4" t="str">
        <f>HYPERLINK("http://www.rosaceae.org/Prunus/Prunus_persica/p.persica_gdr_reftransV1_0047517","p.persica_gdr_reftransV1_0047517")</f>
        <v>p.persica_gdr_reftransV1_0047517</v>
      </c>
      <c r="B12120" s="2">
        <v>546</v>
      </c>
      <c r="C12120" s="4" t="str">
        <f>HYPERLINK("http://www.uniprot.org/uniprot/M5VJX2","M5VJX2")</f>
        <v>M5VJX2</v>
      </c>
      <c r="D12120" s="2" t="s">
        <v>5697</v>
      </c>
      <c r="E12120" s="3">
        <v>2.3999999999999999E-80</v>
      </c>
      <c r="F12120" s="2">
        <v>652</v>
      </c>
      <c r="G12120" s="2">
        <v>99</v>
      </c>
      <c r="H12120" s="2">
        <v>124</v>
      </c>
      <c r="I12120" s="2">
        <v>52</v>
      </c>
      <c r="J12120" s="2">
        <v>423</v>
      </c>
      <c r="K12120" s="2">
        <v>1</v>
      </c>
      <c r="L12120" s="2">
        <v>124</v>
      </c>
    </row>
    <row r="12121" spans="1:12" x14ac:dyDescent="0.25">
      <c r="A12121" s="4" t="str">
        <f>HYPERLINK("http://www.rosaceae.org/Prunus/Prunus_persica/p.persica_gdr_reftransV1_0048567","p.persica_gdr_reftransV1_0048567")</f>
        <v>p.persica_gdr_reftransV1_0048567</v>
      </c>
      <c r="B12121" s="2">
        <v>1421</v>
      </c>
      <c r="C12121" s="4" t="str">
        <f>HYPERLINK("http://www.uniprot.org/uniprot/M5WZK9","M5WZK9")</f>
        <v>M5WZK9</v>
      </c>
      <c r="D12121" s="2" t="s">
        <v>6605</v>
      </c>
      <c r="E12121" s="3">
        <v>0</v>
      </c>
      <c r="F12121" s="2">
        <v>2177</v>
      </c>
      <c r="G12121" s="2">
        <v>100</v>
      </c>
      <c r="H12121" s="2">
        <v>406</v>
      </c>
      <c r="I12121" s="2">
        <v>204</v>
      </c>
      <c r="J12121" s="2">
        <v>1421</v>
      </c>
      <c r="K12121" s="2">
        <v>22</v>
      </c>
      <c r="L12121" s="2">
        <v>427</v>
      </c>
    </row>
    <row r="12122" spans="1:12" x14ac:dyDescent="0.25">
      <c r="A12122" s="4" t="str">
        <f>HYPERLINK("http://www.rosaceae.org/Prunus/Prunus_persica/p.persica_gdr_reftransV1_0048917","p.persica_gdr_reftransV1_0048917")</f>
        <v>p.persica_gdr_reftransV1_0048917</v>
      </c>
      <c r="B12122" s="2">
        <v>701</v>
      </c>
      <c r="C12122" s="4" t="str">
        <f>HYPERLINK("http://www.uniprot.org/uniprot/M5VL84","M5VL84")</f>
        <v>M5VL84</v>
      </c>
      <c r="D12122" s="2" t="s">
        <v>10156</v>
      </c>
      <c r="E12122" s="3">
        <v>8.5599999999999998E-145</v>
      </c>
      <c r="F12122" s="2">
        <v>1111</v>
      </c>
      <c r="G12122" s="2">
        <v>94</v>
      </c>
      <c r="H12122" s="2">
        <v>233</v>
      </c>
      <c r="I12122" s="2">
        <v>1</v>
      </c>
      <c r="J12122" s="2">
        <v>699</v>
      </c>
      <c r="K12122" s="2">
        <v>26</v>
      </c>
      <c r="L12122" s="2">
        <v>258</v>
      </c>
    </row>
    <row r="12123" spans="1:12" x14ac:dyDescent="0.25">
      <c r="A12123" s="4" t="str">
        <f>HYPERLINK("http://www.rosaceae.org/Prunus/Prunus_persica/p.persica_gdr_reftransV1_0000268","p.persica_gdr_reftransV1_0000268")</f>
        <v>p.persica_gdr_reftransV1_0000268</v>
      </c>
      <c r="B12123" s="2">
        <v>1703</v>
      </c>
      <c r="C12123" s="4" t="str">
        <f>HYPERLINK("http://www.uniprot.org/uniprot/M5WAH1","M5WAH1")</f>
        <v>M5WAH1</v>
      </c>
      <c r="D12123" s="2" t="s">
        <v>1734</v>
      </c>
      <c r="E12123" s="3">
        <v>0</v>
      </c>
      <c r="F12123" s="2">
        <v>2461</v>
      </c>
      <c r="G12123" s="2">
        <v>100</v>
      </c>
      <c r="H12123" s="2">
        <v>465</v>
      </c>
      <c r="I12123" s="2">
        <v>204</v>
      </c>
      <c r="J12123" s="2">
        <v>1598</v>
      </c>
      <c r="K12123" s="2">
        <v>1</v>
      </c>
      <c r="L12123" s="2">
        <v>465</v>
      </c>
    </row>
    <row r="12124" spans="1:12" x14ac:dyDescent="0.25">
      <c r="A12124" s="4" t="str">
        <f>HYPERLINK("http://www.rosaceae.org/Prunus/Prunus_persica/p.persica_gdr_reftransV1_0000618","p.persica_gdr_reftransV1_0000618")</f>
        <v>p.persica_gdr_reftransV1_0000618</v>
      </c>
      <c r="B12124" s="2">
        <v>1348</v>
      </c>
      <c r="C12124" s="4" t="str">
        <f>HYPERLINK("http://www.uniprot.org/uniprot/M5XSJ2","M5XSJ2")</f>
        <v>M5XSJ2</v>
      </c>
      <c r="D12124" s="2" t="s">
        <v>3412</v>
      </c>
      <c r="E12124" s="3">
        <v>0</v>
      </c>
      <c r="F12124" s="2">
        <v>1869</v>
      </c>
      <c r="G12124" s="2">
        <v>93</v>
      </c>
      <c r="H12124" s="2">
        <v>413</v>
      </c>
      <c r="I12124" s="2">
        <v>110</v>
      </c>
      <c r="J12124" s="2">
        <v>1348</v>
      </c>
      <c r="K12124" s="2">
        <v>8</v>
      </c>
      <c r="L12124" s="2">
        <v>392</v>
      </c>
    </row>
    <row r="12125" spans="1:12" x14ac:dyDescent="0.25">
      <c r="A12125" s="4" t="str">
        <f>HYPERLINK("http://www.rosaceae.org/Prunus/Prunus_persica/p.persica_gdr_reftransV1_0000968","p.persica_gdr_reftransV1_0000968")</f>
        <v>p.persica_gdr_reftransV1_0000968</v>
      </c>
      <c r="B12125" s="2">
        <v>2001</v>
      </c>
      <c r="C12125" s="4" t="str">
        <f>HYPERLINK("http://www.uniprot.org/uniprot/M5X558","M5X558")</f>
        <v>M5X558</v>
      </c>
      <c r="D12125" s="2" t="s">
        <v>10157</v>
      </c>
      <c r="E12125" s="3">
        <v>0</v>
      </c>
      <c r="F12125" s="2">
        <v>2176</v>
      </c>
      <c r="G12125" s="2">
        <v>100</v>
      </c>
      <c r="H12125" s="2">
        <v>410</v>
      </c>
      <c r="I12125" s="2">
        <v>79</v>
      </c>
      <c r="J12125" s="2">
        <v>1308</v>
      </c>
      <c r="K12125" s="2">
        <v>1</v>
      </c>
      <c r="L12125" s="2">
        <v>410</v>
      </c>
    </row>
    <row r="12126" spans="1:12" x14ac:dyDescent="0.25">
      <c r="A12126" s="4" t="str">
        <f>HYPERLINK("http://www.rosaceae.org/Prunus/Prunus_persica/p.persica_gdr_reftransV1_0001318","p.persica_gdr_reftransV1_0001318")</f>
        <v>p.persica_gdr_reftransV1_0001318</v>
      </c>
      <c r="B12126" s="2">
        <v>1309</v>
      </c>
      <c r="C12126" s="4" t="str">
        <f>HYPERLINK("http://www.uniprot.org/uniprot/M5W9V7","M5W9V7")</f>
        <v>M5W9V7</v>
      </c>
      <c r="D12126" s="2" t="s">
        <v>4463</v>
      </c>
      <c r="E12126" s="3">
        <v>0</v>
      </c>
      <c r="F12126" s="2">
        <v>1832</v>
      </c>
      <c r="G12126" s="2">
        <v>100</v>
      </c>
      <c r="H12126" s="2">
        <v>353</v>
      </c>
      <c r="I12126" s="2">
        <v>20</v>
      </c>
      <c r="J12126" s="2">
        <v>1075</v>
      </c>
      <c r="K12126" s="2">
        <v>1</v>
      </c>
      <c r="L12126" s="2">
        <v>353</v>
      </c>
    </row>
    <row r="12127" spans="1:12" x14ac:dyDescent="0.25">
      <c r="A12127" s="4" t="str">
        <f>HYPERLINK("http://www.rosaceae.org/Prunus/Prunus_persica/p.persica_gdr_reftransV1_0001668","p.persica_gdr_reftransV1_0001668")</f>
        <v>p.persica_gdr_reftransV1_0001668</v>
      </c>
      <c r="B12127" s="2">
        <v>395</v>
      </c>
      <c r="C12127" s="4" t="str">
        <f>HYPERLINK("http://www.uniprot.org/uniprot/A6XN05","A6XN05")</f>
        <v>A6XN05</v>
      </c>
      <c r="D12127" s="2" t="s">
        <v>2264</v>
      </c>
      <c r="E12127" s="3">
        <v>1.72E-75</v>
      </c>
      <c r="F12127" s="2">
        <v>618</v>
      </c>
      <c r="G12127" s="2">
        <v>87</v>
      </c>
      <c r="H12127" s="2">
        <v>131</v>
      </c>
      <c r="I12127" s="2">
        <v>2</v>
      </c>
      <c r="J12127" s="2">
        <v>394</v>
      </c>
      <c r="K12127" s="2">
        <v>62</v>
      </c>
      <c r="L12127" s="2">
        <v>192</v>
      </c>
    </row>
    <row r="12128" spans="1:12" x14ac:dyDescent="0.25">
      <c r="A12128" s="4" t="str">
        <f>HYPERLINK("http://www.rosaceae.org/Prunus/Prunus_persica/p.persica_gdr_reftransV1_0002718","p.persica_gdr_reftransV1_0002718")</f>
        <v>p.persica_gdr_reftransV1_0002718</v>
      </c>
      <c r="B12128" s="2">
        <v>1819</v>
      </c>
      <c r="C12128" s="4" t="str">
        <f>HYPERLINK("http://www.uniprot.org/uniprot/M5XCF7","M5XCF7")</f>
        <v>M5XCF7</v>
      </c>
      <c r="D12128" s="2" t="s">
        <v>7642</v>
      </c>
      <c r="E12128" s="3">
        <v>0</v>
      </c>
      <c r="F12128" s="2">
        <v>1347</v>
      </c>
      <c r="G12128" s="2">
        <v>99</v>
      </c>
      <c r="H12128" s="2">
        <v>257</v>
      </c>
      <c r="I12128" s="2">
        <v>333</v>
      </c>
      <c r="J12128" s="2">
        <v>1103</v>
      </c>
      <c r="K12128" s="2">
        <v>1</v>
      </c>
      <c r="L12128" s="2">
        <v>257</v>
      </c>
    </row>
    <row r="12129" spans="1:12" x14ac:dyDescent="0.25">
      <c r="A12129" s="4" t="str">
        <f>HYPERLINK("http://www.rosaceae.org/Prunus/Prunus_persica/p.persica_gdr_reftransV1_0003068","p.persica_gdr_reftransV1_0003068")</f>
        <v>p.persica_gdr_reftransV1_0003068</v>
      </c>
      <c r="B12129" s="2">
        <v>523</v>
      </c>
      <c r="C12129" s="4" t="str">
        <f>HYPERLINK("http://www.uniprot.org/uniprot/M5X0R0","M5X0R0")</f>
        <v>M5X0R0</v>
      </c>
      <c r="D12129" s="2" t="s">
        <v>3781</v>
      </c>
      <c r="E12129" s="3">
        <v>2.16E-39</v>
      </c>
      <c r="F12129" s="2">
        <v>373</v>
      </c>
      <c r="G12129" s="2">
        <v>100</v>
      </c>
      <c r="H12129" s="2">
        <v>91</v>
      </c>
      <c r="I12129" s="2">
        <v>175</v>
      </c>
      <c r="J12129" s="2">
        <v>447</v>
      </c>
      <c r="K12129" s="2">
        <v>37</v>
      </c>
      <c r="L12129" s="2">
        <v>127</v>
      </c>
    </row>
    <row r="12130" spans="1:12" x14ac:dyDescent="0.25">
      <c r="A12130" s="4" t="str">
        <f>HYPERLINK("http://www.rosaceae.org/Prunus/Prunus_persica/p.persica_gdr_reftransV1_0003768","p.persica_gdr_reftransV1_0003768")</f>
        <v>p.persica_gdr_reftransV1_0003768</v>
      </c>
      <c r="B12130" s="2">
        <v>934</v>
      </c>
      <c r="C12130" s="4" t="str">
        <f>HYPERLINK("http://www.uniprot.org/uniprot/M5WTJ0","M5WTJ0")</f>
        <v>M5WTJ0</v>
      </c>
      <c r="D12130" s="2" t="s">
        <v>897</v>
      </c>
      <c r="E12130" s="3">
        <v>1.6999999999999999E-153</v>
      </c>
      <c r="F12130" s="2">
        <v>1133</v>
      </c>
      <c r="G12130" s="2">
        <v>100</v>
      </c>
      <c r="H12130" s="2">
        <v>213</v>
      </c>
      <c r="I12130" s="2">
        <v>193</v>
      </c>
      <c r="J12130" s="2">
        <v>831</v>
      </c>
      <c r="K12130" s="2">
        <v>1</v>
      </c>
      <c r="L12130" s="2">
        <v>213</v>
      </c>
    </row>
    <row r="12131" spans="1:12" x14ac:dyDescent="0.25">
      <c r="A12131" s="4" t="str">
        <f>HYPERLINK("http://www.rosaceae.org/Prunus/Prunus_persica/p.persica_gdr_reftransV1_0004118","p.persica_gdr_reftransV1_0004118")</f>
        <v>p.persica_gdr_reftransV1_0004118</v>
      </c>
      <c r="B12131" s="2">
        <v>1991</v>
      </c>
      <c r="C12131" s="4" t="str">
        <f>HYPERLINK("http://www.uniprot.org/uniprot/M5WH50","M5WH50")</f>
        <v>M5WH50</v>
      </c>
      <c r="D12131" s="2" t="s">
        <v>528</v>
      </c>
      <c r="E12131" s="3">
        <v>0</v>
      </c>
      <c r="F12131" s="2">
        <v>1829</v>
      </c>
      <c r="G12131" s="2">
        <v>95</v>
      </c>
      <c r="H12131" s="2">
        <v>391</v>
      </c>
      <c r="I12131" s="2">
        <v>487</v>
      </c>
      <c r="J12131" s="2">
        <v>1599</v>
      </c>
      <c r="K12131" s="2">
        <v>1</v>
      </c>
      <c r="L12131" s="2">
        <v>391</v>
      </c>
    </row>
    <row r="12132" spans="1:12" x14ac:dyDescent="0.25">
      <c r="A12132" s="4" t="str">
        <f>HYPERLINK("http://www.rosaceae.org/Prunus/Prunus_persica/p.persica_gdr_reftransV1_0005168","p.persica_gdr_reftransV1_0005168")</f>
        <v>p.persica_gdr_reftransV1_0005168</v>
      </c>
      <c r="B12132" s="2">
        <v>2725</v>
      </c>
      <c r="C12132" s="4" t="str">
        <f>HYPERLINK("http://www.uniprot.org/uniprot/M5XJK9","M5XJK9")</f>
        <v>M5XJK9</v>
      </c>
      <c r="D12132" s="2" t="s">
        <v>9598</v>
      </c>
      <c r="E12132" s="3">
        <v>0</v>
      </c>
      <c r="F12132" s="2">
        <v>3476</v>
      </c>
      <c r="G12132" s="2">
        <v>100</v>
      </c>
      <c r="H12132" s="2">
        <v>673</v>
      </c>
      <c r="I12132" s="2">
        <v>229</v>
      </c>
      <c r="J12132" s="2">
        <v>2247</v>
      </c>
      <c r="K12132" s="2">
        <v>1</v>
      </c>
      <c r="L12132" s="2">
        <v>673</v>
      </c>
    </row>
    <row r="12133" spans="1:12" x14ac:dyDescent="0.25">
      <c r="A12133" s="4" t="str">
        <f>HYPERLINK("http://www.rosaceae.org/Prunus/Prunus_persica/p.persica_gdr_reftransV1_0005518","p.persica_gdr_reftransV1_0005518")</f>
        <v>p.persica_gdr_reftransV1_0005518</v>
      </c>
      <c r="B12133" s="2">
        <v>2246</v>
      </c>
      <c r="C12133" s="4" t="str">
        <f>HYPERLINK("http://www.uniprot.org/uniprot/M5X3B4","M5X3B4")</f>
        <v>M5X3B4</v>
      </c>
      <c r="D12133" s="2" t="s">
        <v>6209</v>
      </c>
      <c r="E12133" s="3">
        <v>0</v>
      </c>
      <c r="F12133" s="2">
        <v>2493</v>
      </c>
      <c r="G12133" s="2">
        <v>99</v>
      </c>
      <c r="H12133" s="2">
        <v>492</v>
      </c>
      <c r="I12133" s="2">
        <v>3</v>
      </c>
      <c r="J12133" s="2">
        <v>1469</v>
      </c>
      <c r="K12133" s="2">
        <v>134</v>
      </c>
      <c r="L12133" s="2">
        <v>625</v>
      </c>
    </row>
    <row r="12134" spans="1:12" x14ac:dyDescent="0.25">
      <c r="A12134" s="4" t="str">
        <f>HYPERLINK("http://www.rosaceae.org/Prunus/Prunus_persica/p.persica_gdr_reftransV1_0005868","p.persica_gdr_reftransV1_0005868")</f>
        <v>p.persica_gdr_reftransV1_0005868</v>
      </c>
      <c r="B12134" s="2">
        <v>626</v>
      </c>
      <c r="C12134" s="4" t="str">
        <f>HYPERLINK("http://www.uniprot.org/uniprot/M5VI29","M5VI29")</f>
        <v>M5VI29</v>
      </c>
      <c r="D12134" s="2" t="s">
        <v>10158</v>
      </c>
      <c r="E12134" s="3">
        <v>4.5900000000000001E-51</v>
      </c>
      <c r="F12134" s="2">
        <v>433</v>
      </c>
      <c r="G12134" s="2">
        <v>100</v>
      </c>
      <c r="H12134" s="2">
        <v>83</v>
      </c>
      <c r="I12134" s="2">
        <v>7</v>
      </c>
      <c r="J12134" s="2">
        <v>255</v>
      </c>
      <c r="K12134" s="2">
        <v>1</v>
      </c>
      <c r="L12134" s="2">
        <v>83</v>
      </c>
    </row>
    <row r="12135" spans="1:12" x14ac:dyDescent="0.25">
      <c r="A12135" s="4" t="str">
        <f>HYPERLINK("http://www.rosaceae.org/Prunus/Prunus_persica/p.persica_gdr_reftransV1_0007618","p.persica_gdr_reftransV1_0007618")</f>
        <v>p.persica_gdr_reftransV1_0007618</v>
      </c>
      <c r="B12135" s="2">
        <v>1454</v>
      </c>
      <c r="C12135" s="4" t="str">
        <f>HYPERLINK("http://www.uniprot.org/uniprot/M5WHV1","M5WHV1")</f>
        <v>M5WHV1</v>
      </c>
      <c r="D12135" s="2" t="s">
        <v>10159</v>
      </c>
      <c r="E12135" s="3">
        <v>3.8199999999999998E-133</v>
      </c>
      <c r="F12135" s="2">
        <v>1028</v>
      </c>
      <c r="G12135" s="2">
        <v>76</v>
      </c>
      <c r="H12135" s="2">
        <v>292</v>
      </c>
      <c r="I12135" s="2">
        <v>582</v>
      </c>
      <c r="J12135" s="2">
        <v>1454</v>
      </c>
      <c r="K12135" s="2">
        <v>54</v>
      </c>
      <c r="L12135" s="2">
        <v>331</v>
      </c>
    </row>
    <row r="12136" spans="1:12" x14ac:dyDescent="0.25">
      <c r="A12136" s="4" t="str">
        <f>HYPERLINK("http://www.rosaceae.org/Prunus/Prunus_persica/p.persica_gdr_reftransV1_0008668","p.persica_gdr_reftransV1_0008668")</f>
        <v>p.persica_gdr_reftransV1_0008668</v>
      </c>
      <c r="B12136" s="2">
        <v>2484</v>
      </c>
      <c r="C12136" s="4" t="str">
        <f>HYPERLINK("http://www.uniprot.org/uniprot/M5W4E8","M5W4E8")</f>
        <v>M5W4E8</v>
      </c>
      <c r="D12136" s="2" t="s">
        <v>10160</v>
      </c>
      <c r="E12136" s="3">
        <v>0</v>
      </c>
      <c r="F12136" s="2">
        <v>1899</v>
      </c>
      <c r="G12136" s="2">
        <v>100</v>
      </c>
      <c r="H12136" s="2">
        <v>388</v>
      </c>
      <c r="I12136" s="2">
        <v>1124</v>
      </c>
      <c r="J12136" s="2">
        <v>2287</v>
      </c>
      <c r="K12136" s="2">
        <v>1</v>
      </c>
      <c r="L12136" s="2">
        <v>388</v>
      </c>
    </row>
    <row r="12137" spans="1:12" x14ac:dyDescent="0.25">
      <c r="A12137" s="4" t="str">
        <f>HYPERLINK("http://www.rosaceae.org/Prunus/Prunus_persica/p.persica_gdr_reftransV1_0009718","p.persica_gdr_reftransV1_0009718")</f>
        <v>p.persica_gdr_reftransV1_0009718</v>
      </c>
      <c r="B12137" s="2">
        <v>534</v>
      </c>
      <c r="C12137" s="4" t="str">
        <f>HYPERLINK("http://www.uniprot.org/uniprot/M5W315","M5W315")</f>
        <v>M5W315</v>
      </c>
      <c r="D12137" s="2" t="s">
        <v>10161</v>
      </c>
      <c r="E12137" s="3">
        <v>9.0600000000000003E-59</v>
      </c>
      <c r="F12137" s="2">
        <v>497</v>
      </c>
      <c r="G12137" s="2">
        <v>85</v>
      </c>
      <c r="H12137" s="2">
        <v>113</v>
      </c>
      <c r="I12137" s="2">
        <v>15</v>
      </c>
      <c r="J12137" s="2">
        <v>344</v>
      </c>
      <c r="K12137" s="2">
        <v>155</v>
      </c>
      <c r="L12137" s="2">
        <v>267</v>
      </c>
    </row>
    <row r="12138" spans="1:12" x14ac:dyDescent="0.25">
      <c r="A12138" s="4" t="str">
        <f>HYPERLINK("http://www.rosaceae.org/Prunus/Prunus_persica/p.persica_gdr_reftransV1_0010418","p.persica_gdr_reftransV1_0010418")</f>
        <v>p.persica_gdr_reftransV1_0010418</v>
      </c>
      <c r="B12138" s="2">
        <v>1587</v>
      </c>
      <c r="C12138" s="4" t="str">
        <f>HYPERLINK("http://www.uniprot.org/uniprot/M5XKC1","M5XKC1")</f>
        <v>M5XKC1</v>
      </c>
      <c r="D12138" s="2" t="s">
        <v>2111</v>
      </c>
      <c r="E12138" s="3">
        <v>9.5899999999999998E-136</v>
      </c>
      <c r="F12138" s="2">
        <v>1110</v>
      </c>
      <c r="G12138" s="2">
        <v>89</v>
      </c>
      <c r="H12138" s="2">
        <v>235</v>
      </c>
      <c r="I12138" s="2">
        <v>1</v>
      </c>
      <c r="J12138" s="2">
        <v>705</v>
      </c>
      <c r="K12138" s="2">
        <v>824</v>
      </c>
      <c r="L12138" s="2">
        <v>1054</v>
      </c>
    </row>
    <row r="12139" spans="1:12" x14ac:dyDescent="0.25">
      <c r="A12139" s="4" t="str">
        <f>HYPERLINK("http://www.rosaceae.org/Prunus/Prunus_persica/p.persica_gdr_reftransV1_0011118","p.persica_gdr_reftransV1_0011118")</f>
        <v>p.persica_gdr_reftransV1_0011118</v>
      </c>
      <c r="B12139" s="2">
        <v>4150</v>
      </c>
      <c r="C12139" s="4" t="str">
        <f>HYPERLINK("http://www.uniprot.org/uniprot/M5X6C5","M5X6C5")</f>
        <v>M5X6C5</v>
      </c>
      <c r="D12139" s="2" t="s">
        <v>10162</v>
      </c>
      <c r="E12139" s="3">
        <v>0</v>
      </c>
      <c r="F12139" s="2">
        <v>4852</v>
      </c>
      <c r="G12139" s="2">
        <v>100</v>
      </c>
      <c r="H12139" s="2">
        <v>990</v>
      </c>
      <c r="I12139" s="2">
        <v>674</v>
      </c>
      <c r="J12139" s="2">
        <v>3643</v>
      </c>
      <c r="K12139" s="2">
        <v>19</v>
      </c>
      <c r="L12139" s="2">
        <v>1008</v>
      </c>
    </row>
    <row r="12140" spans="1:12" x14ac:dyDescent="0.25">
      <c r="A12140" s="4" t="str">
        <f>HYPERLINK("http://www.rosaceae.org/Prunus/Prunus_persica/p.persica_gdr_reftransV1_0011818","p.persica_gdr_reftransV1_0011818")</f>
        <v>p.persica_gdr_reftransV1_0011818</v>
      </c>
      <c r="B12140" s="2">
        <v>1048</v>
      </c>
      <c r="C12140" s="4" t="str">
        <f>HYPERLINK("http://www.uniprot.org/uniprot/M5WR19","M5WR19")</f>
        <v>M5WR19</v>
      </c>
      <c r="D12140" s="2" t="s">
        <v>10163</v>
      </c>
      <c r="E12140" s="3">
        <v>1.2699999999999999E-91</v>
      </c>
      <c r="F12140" s="2">
        <v>725</v>
      </c>
      <c r="G12140" s="2">
        <v>100</v>
      </c>
      <c r="H12140" s="2">
        <v>184</v>
      </c>
      <c r="I12140" s="2">
        <v>330</v>
      </c>
      <c r="J12140" s="2">
        <v>881</v>
      </c>
      <c r="K12140" s="2">
        <v>1</v>
      </c>
      <c r="L12140" s="2">
        <v>184</v>
      </c>
    </row>
    <row r="12141" spans="1:12" x14ac:dyDescent="0.25">
      <c r="A12141" s="4" t="str">
        <f>HYPERLINK("http://www.rosaceae.org/Prunus/Prunus_persica/p.persica_gdr_reftransV1_0013568","p.persica_gdr_reftransV1_0013568")</f>
        <v>p.persica_gdr_reftransV1_0013568</v>
      </c>
      <c r="B12141" s="2">
        <v>3249</v>
      </c>
      <c r="C12141" s="4" t="str">
        <f>HYPERLINK("http://www.uniprot.org/uniprot/M5XRB4","M5XRB4")</f>
        <v>M5XRB4</v>
      </c>
      <c r="D12141" s="2" t="s">
        <v>10164</v>
      </c>
      <c r="E12141" s="3">
        <v>2.3499999999999998E-18</v>
      </c>
      <c r="F12141" s="2">
        <v>230</v>
      </c>
      <c r="G12141" s="2">
        <v>100</v>
      </c>
      <c r="H12141" s="2">
        <v>85</v>
      </c>
      <c r="I12141" s="2">
        <v>2856</v>
      </c>
      <c r="J12141" s="2">
        <v>3110</v>
      </c>
      <c r="K12141" s="2">
        <v>1</v>
      </c>
      <c r="L12141" s="2">
        <v>85</v>
      </c>
    </row>
    <row r="12142" spans="1:12" x14ac:dyDescent="0.25">
      <c r="A12142" s="4" t="str">
        <f>HYPERLINK("http://www.rosaceae.org/Prunus/Prunus_persica/p.persica_gdr_reftransV1_0013918","p.persica_gdr_reftransV1_0013918")</f>
        <v>p.persica_gdr_reftransV1_0013918</v>
      </c>
      <c r="B12142" s="2">
        <v>2765</v>
      </c>
      <c r="C12142" s="4" t="str">
        <f>HYPERLINK("http://www.uniprot.org/uniprot/M5WUD6","M5WUD6")</f>
        <v>M5WUD6</v>
      </c>
      <c r="D12142" s="2" t="s">
        <v>10165</v>
      </c>
      <c r="E12142" s="3">
        <v>0</v>
      </c>
      <c r="F12142" s="2">
        <v>1396</v>
      </c>
      <c r="G12142" s="2">
        <v>100</v>
      </c>
      <c r="H12142" s="2">
        <v>334</v>
      </c>
      <c r="I12142" s="2">
        <v>1151</v>
      </c>
      <c r="J12142" s="2">
        <v>2152</v>
      </c>
      <c r="K12142" s="2">
        <v>94</v>
      </c>
      <c r="L12142" s="2">
        <v>427</v>
      </c>
    </row>
    <row r="12143" spans="1:12" x14ac:dyDescent="0.25">
      <c r="A12143" s="4" t="str">
        <f>HYPERLINK("http://www.rosaceae.org/Prunus/Prunus_persica/p.persica_gdr_reftransV1_0014268","p.persica_gdr_reftransV1_0014268")</f>
        <v>p.persica_gdr_reftransV1_0014268</v>
      </c>
      <c r="B12143" s="2">
        <v>733</v>
      </c>
      <c r="C12143" s="4" t="str">
        <f>HYPERLINK("http://www.uniprot.org/uniprot/M5XQV5","M5XQV5")</f>
        <v>M5XQV5</v>
      </c>
      <c r="D12143" s="2" t="s">
        <v>6822</v>
      </c>
      <c r="E12143" s="3">
        <v>3.74E-82</v>
      </c>
      <c r="F12143" s="2">
        <v>666</v>
      </c>
      <c r="G12143" s="2">
        <v>100</v>
      </c>
      <c r="H12143" s="2">
        <v>140</v>
      </c>
      <c r="I12143" s="2">
        <v>9</v>
      </c>
      <c r="J12143" s="2">
        <v>428</v>
      </c>
      <c r="K12143" s="2">
        <v>204</v>
      </c>
      <c r="L12143" s="2">
        <v>343</v>
      </c>
    </row>
    <row r="12144" spans="1:12" x14ac:dyDescent="0.25">
      <c r="A12144" s="4" t="str">
        <f>HYPERLINK("http://www.rosaceae.org/Prunus/Prunus_persica/p.persica_gdr_reftransV1_0015668","p.persica_gdr_reftransV1_0015668")</f>
        <v>p.persica_gdr_reftransV1_0015668</v>
      </c>
      <c r="B12144" s="2">
        <v>2988</v>
      </c>
      <c r="C12144" s="4" t="str">
        <f>HYPERLINK("http://www.uniprot.org/uniprot/M5XEL6","M5XEL6")</f>
        <v>M5XEL6</v>
      </c>
      <c r="D12144" s="2" t="s">
        <v>10166</v>
      </c>
      <c r="E12144" s="3">
        <v>5.4199999999999996E-102</v>
      </c>
      <c r="F12144" s="2">
        <v>854</v>
      </c>
      <c r="G12144" s="2">
        <v>100</v>
      </c>
      <c r="H12144" s="2">
        <v>173</v>
      </c>
      <c r="I12144" s="2">
        <v>304</v>
      </c>
      <c r="J12144" s="2">
        <v>822</v>
      </c>
      <c r="K12144" s="2">
        <v>1</v>
      </c>
      <c r="L12144" s="2">
        <v>173</v>
      </c>
    </row>
    <row r="12145" spans="1:12" x14ac:dyDescent="0.25">
      <c r="A12145" s="4" t="str">
        <f>HYPERLINK("http://www.rosaceae.org/Prunus/Prunus_persica/p.persica_gdr_reftransV1_0018118","p.persica_gdr_reftransV1_0018118")</f>
        <v>p.persica_gdr_reftransV1_0018118</v>
      </c>
      <c r="B12145" s="2">
        <v>1127</v>
      </c>
      <c r="C12145" s="4" t="str">
        <f>HYPERLINK("http://www.uniprot.org/uniprot/W9SH63","W9SH63")</f>
        <v>W9SH63</v>
      </c>
      <c r="D12145" s="2" t="s">
        <v>10167</v>
      </c>
      <c r="E12145" s="3">
        <v>1.93E-35</v>
      </c>
      <c r="F12145" s="2">
        <v>359</v>
      </c>
      <c r="G12145" s="2">
        <v>36</v>
      </c>
      <c r="H12145" s="2">
        <v>280</v>
      </c>
      <c r="I12145" s="2">
        <v>308</v>
      </c>
      <c r="J12145" s="2">
        <v>1105</v>
      </c>
      <c r="K12145" s="2">
        <v>1</v>
      </c>
      <c r="L12145" s="2">
        <v>273</v>
      </c>
    </row>
    <row r="12146" spans="1:12" x14ac:dyDescent="0.25">
      <c r="A12146" s="4" t="str">
        <f>HYPERLINK("http://www.rosaceae.org/Prunus/Prunus_persica/p.persica_gdr_reftransV1_0019168","p.persica_gdr_reftransV1_0019168")</f>
        <v>p.persica_gdr_reftransV1_0019168</v>
      </c>
      <c r="B12146" s="2">
        <v>952</v>
      </c>
      <c r="C12146" s="4" t="str">
        <f>HYPERLINK("http://www.uniprot.org/uniprot/M5WHZ5","M5WHZ5")</f>
        <v>M5WHZ5</v>
      </c>
      <c r="D12146" s="2" t="s">
        <v>10168</v>
      </c>
      <c r="E12146" s="3">
        <v>1.4399999999999999E-112</v>
      </c>
      <c r="F12146" s="2">
        <v>860</v>
      </c>
      <c r="G12146" s="2">
        <v>100</v>
      </c>
      <c r="H12146" s="2">
        <v>178</v>
      </c>
      <c r="I12146" s="2">
        <v>274</v>
      </c>
      <c r="J12146" s="2">
        <v>807</v>
      </c>
      <c r="K12146" s="2">
        <v>1</v>
      </c>
      <c r="L12146" s="2">
        <v>178</v>
      </c>
    </row>
    <row r="12147" spans="1:12" x14ac:dyDescent="0.25">
      <c r="A12147" s="4" t="str">
        <f>HYPERLINK("http://www.rosaceae.org/Prunus/Prunus_persica/p.persica_gdr_reftransV1_0020568","p.persica_gdr_reftransV1_0020568")</f>
        <v>p.persica_gdr_reftransV1_0020568</v>
      </c>
      <c r="B12147" s="2">
        <v>1002</v>
      </c>
      <c r="C12147" s="4" t="str">
        <f>HYPERLINK("http://www.uniprot.org/uniprot/M5W402","M5W402")</f>
        <v>M5W402</v>
      </c>
      <c r="D12147" s="2" t="s">
        <v>10169</v>
      </c>
      <c r="E12147" s="3">
        <v>1.31E-44</v>
      </c>
      <c r="F12147" s="2">
        <v>402</v>
      </c>
      <c r="G12147" s="2">
        <v>100</v>
      </c>
      <c r="H12147" s="2">
        <v>73</v>
      </c>
      <c r="I12147" s="2">
        <v>60</v>
      </c>
      <c r="J12147" s="2">
        <v>278</v>
      </c>
      <c r="K12147" s="2">
        <v>17</v>
      </c>
      <c r="L12147" s="2">
        <v>89</v>
      </c>
    </row>
    <row r="12148" spans="1:12" x14ac:dyDescent="0.25">
      <c r="A12148" s="4" t="str">
        <f>HYPERLINK("http://www.rosaceae.org/Prunus/Prunus_persica/p.persica_gdr_reftransV1_0020918","p.persica_gdr_reftransV1_0020918")</f>
        <v>p.persica_gdr_reftransV1_0020918</v>
      </c>
      <c r="B12148" s="2">
        <v>1415</v>
      </c>
      <c r="C12148" s="4" t="str">
        <f>HYPERLINK("http://www.uniprot.org/uniprot/M5WJH0","M5WJH0")</f>
        <v>M5WJH0</v>
      </c>
      <c r="D12148" s="2" t="s">
        <v>9936</v>
      </c>
      <c r="E12148" s="3">
        <v>1.1700000000000001E-124</v>
      </c>
      <c r="F12148" s="2">
        <v>908</v>
      </c>
      <c r="G12148" s="2">
        <v>100</v>
      </c>
      <c r="H12148" s="2">
        <v>162</v>
      </c>
      <c r="I12148" s="2">
        <v>275</v>
      </c>
      <c r="J12148" s="2">
        <v>760</v>
      </c>
      <c r="K12148" s="2">
        <v>1</v>
      </c>
      <c r="L12148" s="2">
        <v>162</v>
      </c>
    </row>
    <row r="12149" spans="1:12" x14ac:dyDescent="0.25">
      <c r="A12149" s="4" t="str">
        <f>HYPERLINK("http://www.rosaceae.org/Prunus/Prunus_persica/p.persica_gdr_reftransV1_0021268","p.persica_gdr_reftransV1_0021268")</f>
        <v>p.persica_gdr_reftransV1_0021268</v>
      </c>
      <c r="B12149" s="2">
        <v>2441</v>
      </c>
      <c r="C12149" s="4" t="str">
        <f>HYPERLINK("http://www.uniprot.org/uniprot/M5XJY9","M5XJY9")</f>
        <v>M5XJY9</v>
      </c>
      <c r="D12149" s="2" t="s">
        <v>10170</v>
      </c>
      <c r="E12149" s="3">
        <v>0</v>
      </c>
      <c r="F12149" s="2">
        <v>2214</v>
      </c>
      <c r="G12149" s="2">
        <v>100</v>
      </c>
      <c r="H12149" s="2">
        <v>439</v>
      </c>
      <c r="I12149" s="2">
        <v>549</v>
      </c>
      <c r="J12149" s="2">
        <v>1865</v>
      </c>
      <c r="K12149" s="2">
        <v>1</v>
      </c>
      <c r="L12149" s="2">
        <v>439</v>
      </c>
    </row>
    <row r="12150" spans="1:12" x14ac:dyDescent="0.25">
      <c r="A12150" s="4" t="str">
        <f>HYPERLINK("http://www.rosaceae.org/Prunus/Prunus_persica/p.persica_gdr_reftransV1_0021968","p.persica_gdr_reftransV1_0021968")</f>
        <v>p.persica_gdr_reftransV1_0021968</v>
      </c>
      <c r="B12150" s="2">
        <v>3193</v>
      </c>
      <c r="C12150" s="4" t="str">
        <f>HYPERLINK("http://www.uniprot.org/uniprot/M5WXL4","M5WXL4")</f>
        <v>M5WXL4</v>
      </c>
      <c r="D12150" s="2" t="s">
        <v>6365</v>
      </c>
      <c r="E12150" s="3">
        <v>2.2000000000000001E-137</v>
      </c>
      <c r="F12150" s="2">
        <v>1121</v>
      </c>
      <c r="G12150" s="2">
        <v>100</v>
      </c>
      <c r="H12150" s="2">
        <v>230</v>
      </c>
      <c r="I12150" s="2">
        <v>2301</v>
      </c>
      <c r="J12150" s="2">
        <v>2990</v>
      </c>
      <c r="K12150" s="2">
        <v>1</v>
      </c>
      <c r="L12150" s="2">
        <v>230</v>
      </c>
    </row>
    <row r="12151" spans="1:12" x14ac:dyDescent="0.25">
      <c r="A12151" s="4" t="str">
        <f>HYPERLINK("http://www.rosaceae.org/Prunus/Prunus_persica/p.persica_gdr_reftransV1_0022668","p.persica_gdr_reftransV1_0022668")</f>
        <v>p.persica_gdr_reftransV1_0022668</v>
      </c>
      <c r="B12151" s="2">
        <v>3341</v>
      </c>
      <c r="C12151" s="4" t="str">
        <f>HYPERLINK("http://www.uniprot.org/uniprot/M5XSZ3","M5XSZ3")</f>
        <v>M5XSZ3</v>
      </c>
      <c r="D12151" s="2" t="s">
        <v>10171</v>
      </c>
      <c r="E12151" s="3">
        <v>1.08E-153</v>
      </c>
      <c r="F12151" s="2">
        <v>1209</v>
      </c>
      <c r="G12151" s="2">
        <v>97</v>
      </c>
      <c r="H12151" s="2">
        <v>234</v>
      </c>
      <c r="I12151" s="2">
        <v>2547</v>
      </c>
      <c r="J12151" s="2">
        <v>3248</v>
      </c>
      <c r="K12151" s="2">
        <v>1</v>
      </c>
      <c r="L12151" s="2">
        <v>234</v>
      </c>
    </row>
    <row r="12152" spans="1:12" x14ac:dyDescent="0.25">
      <c r="A12152" s="4" t="str">
        <f>HYPERLINK("http://www.rosaceae.org/Prunus/Prunus_persica/p.persica_gdr_reftransV1_0024068","p.persica_gdr_reftransV1_0024068")</f>
        <v>p.persica_gdr_reftransV1_0024068</v>
      </c>
      <c r="B12152" s="2">
        <v>2371</v>
      </c>
      <c r="C12152" s="4" t="str">
        <f>HYPERLINK("http://www.uniprot.org/uniprot/M5WFM4","M5WFM4")</f>
        <v>M5WFM4</v>
      </c>
      <c r="D12152" s="2" t="s">
        <v>10172</v>
      </c>
      <c r="E12152" s="3">
        <v>0</v>
      </c>
      <c r="F12152" s="2">
        <v>2089</v>
      </c>
      <c r="G12152" s="2">
        <v>90</v>
      </c>
      <c r="H12152" s="2">
        <v>439</v>
      </c>
      <c r="I12152" s="2">
        <v>288</v>
      </c>
      <c r="J12152" s="2">
        <v>1604</v>
      </c>
      <c r="K12152" s="2">
        <v>1</v>
      </c>
      <c r="L12152" s="2">
        <v>396</v>
      </c>
    </row>
    <row r="12153" spans="1:12" x14ac:dyDescent="0.25">
      <c r="A12153" s="4" t="str">
        <f>HYPERLINK("http://www.rosaceae.org/Prunus/Prunus_persica/p.persica_gdr_reftransV1_0024418","p.persica_gdr_reftransV1_0024418")</f>
        <v>p.persica_gdr_reftransV1_0024418</v>
      </c>
      <c r="B12153" s="2">
        <v>2574</v>
      </c>
      <c r="C12153" s="4" t="str">
        <f>HYPERLINK("http://www.uniprot.org/uniprot/M5XV89","M5XV89")</f>
        <v>M5XV89</v>
      </c>
      <c r="D12153" s="2" t="s">
        <v>10173</v>
      </c>
      <c r="E12153" s="3">
        <v>0</v>
      </c>
      <c r="F12153" s="2">
        <v>1986</v>
      </c>
      <c r="G12153" s="2">
        <v>99</v>
      </c>
      <c r="H12153" s="2">
        <v>374</v>
      </c>
      <c r="I12153" s="2">
        <v>1193</v>
      </c>
      <c r="J12153" s="2">
        <v>2314</v>
      </c>
      <c r="K12153" s="2">
        <v>223</v>
      </c>
      <c r="L12153" s="2">
        <v>596</v>
      </c>
    </row>
    <row r="12154" spans="1:12" x14ac:dyDescent="0.25">
      <c r="A12154" s="4" t="str">
        <f>HYPERLINK("http://www.rosaceae.org/Prunus/Prunus_persica/p.persica_gdr_reftransV1_0025818","p.persica_gdr_reftransV1_0025818")</f>
        <v>p.persica_gdr_reftransV1_0025818</v>
      </c>
      <c r="B12154" s="2">
        <v>2329</v>
      </c>
      <c r="C12154" s="4" t="str">
        <f>HYPERLINK("http://www.uniprot.org/uniprot/M5WM01","M5WM01")</f>
        <v>M5WM01</v>
      </c>
      <c r="D12154" s="2" t="s">
        <v>10174</v>
      </c>
      <c r="E12154" s="3">
        <v>4.1899999999999999E-116</v>
      </c>
      <c r="F12154" s="2">
        <v>961</v>
      </c>
      <c r="G12154" s="2">
        <v>94</v>
      </c>
      <c r="H12154" s="2">
        <v>188</v>
      </c>
      <c r="I12154" s="2">
        <v>315</v>
      </c>
      <c r="J12154" s="2">
        <v>878</v>
      </c>
      <c r="K12154" s="2">
        <v>380</v>
      </c>
      <c r="L12154" s="2">
        <v>567</v>
      </c>
    </row>
    <row r="12155" spans="1:12" x14ac:dyDescent="0.25">
      <c r="A12155" s="4" t="str">
        <f>HYPERLINK("http://www.rosaceae.org/Prunus/Prunus_persica/p.persica_gdr_reftransV1_0026518","p.persica_gdr_reftransV1_0026518")</f>
        <v>p.persica_gdr_reftransV1_0026518</v>
      </c>
      <c r="B12155" s="2">
        <v>1603</v>
      </c>
      <c r="C12155" s="4" t="str">
        <f>HYPERLINK("http://www.uniprot.org/uniprot/M5WPB6","M5WPB6")</f>
        <v>M5WPB6</v>
      </c>
      <c r="D12155" s="2" t="s">
        <v>1213</v>
      </c>
      <c r="E12155" s="3">
        <v>1.8300000000000002E-92</v>
      </c>
      <c r="F12155" s="2">
        <v>578</v>
      </c>
      <c r="G12155" s="2">
        <v>95</v>
      </c>
      <c r="H12155" s="2">
        <v>115</v>
      </c>
      <c r="I12155" s="2">
        <v>252</v>
      </c>
      <c r="J12155" s="2">
        <v>596</v>
      </c>
      <c r="K12155" s="2">
        <v>219</v>
      </c>
      <c r="L12155" s="2">
        <v>333</v>
      </c>
    </row>
    <row r="12156" spans="1:12" x14ac:dyDescent="0.25">
      <c r="A12156" s="4" t="str">
        <f>HYPERLINK("http://www.rosaceae.org/Prunus/Prunus_persica/p.persica_gdr_reftransV1_0026868","p.persica_gdr_reftransV1_0026868")</f>
        <v>p.persica_gdr_reftransV1_0026868</v>
      </c>
      <c r="B12156" s="2">
        <v>2339</v>
      </c>
      <c r="C12156" s="4" t="str">
        <f>HYPERLINK("http://www.uniprot.org/uniprot/M5XM86","M5XM86")</f>
        <v>M5XM86</v>
      </c>
      <c r="D12156" s="2" t="s">
        <v>10175</v>
      </c>
      <c r="E12156" s="3">
        <v>0</v>
      </c>
      <c r="F12156" s="2">
        <v>2646</v>
      </c>
      <c r="G12156" s="2">
        <v>100</v>
      </c>
      <c r="H12156" s="2">
        <v>546</v>
      </c>
      <c r="I12156" s="2">
        <v>544</v>
      </c>
      <c r="J12156" s="2">
        <v>2181</v>
      </c>
      <c r="K12156" s="2">
        <v>1</v>
      </c>
      <c r="L12156" s="2">
        <v>546</v>
      </c>
    </row>
    <row r="12157" spans="1:12" x14ac:dyDescent="0.25">
      <c r="A12157" s="4" t="str">
        <f>HYPERLINK("http://www.rosaceae.org/Prunus/Prunus_persica/p.persica_gdr_reftransV1_0027218","p.persica_gdr_reftransV1_0027218")</f>
        <v>p.persica_gdr_reftransV1_0027218</v>
      </c>
      <c r="B12157" s="2">
        <v>329</v>
      </c>
      <c r="C12157" s="4" t="str">
        <f>HYPERLINK("http://www.uniprot.org/uniprot/M5X9H4","M5X9H4")</f>
        <v>M5X9H4</v>
      </c>
      <c r="D12157" s="2" t="s">
        <v>10176</v>
      </c>
      <c r="E12157" s="3">
        <v>2.8899999999999998E-60</v>
      </c>
      <c r="F12157" s="2">
        <v>509</v>
      </c>
      <c r="G12157" s="2">
        <v>100</v>
      </c>
      <c r="H12157" s="2">
        <v>102</v>
      </c>
      <c r="I12157" s="2">
        <v>1</v>
      </c>
      <c r="J12157" s="2">
        <v>306</v>
      </c>
      <c r="K12157" s="2">
        <v>298</v>
      </c>
      <c r="L12157" s="2">
        <v>399</v>
      </c>
    </row>
    <row r="12158" spans="1:12" x14ac:dyDescent="0.25">
      <c r="A12158" s="4" t="str">
        <f>HYPERLINK("http://www.rosaceae.org/Prunus/Prunus_persica/p.persica_gdr_reftransV1_0028968","p.persica_gdr_reftransV1_0028968")</f>
        <v>p.persica_gdr_reftransV1_0028968</v>
      </c>
      <c r="B12158" s="2">
        <v>3060</v>
      </c>
      <c r="C12158" s="4" t="str">
        <f>HYPERLINK("http://www.uniprot.org/uniprot/M5VWL1","M5VWL1")</f>
        <v>M5VWL1</v>
      </c>
      <c r="D12158" s="2" t="s">
        <v>10177</v>
      </c>
      <c r="E12158" s="3">
        <v>0</v>
      </c>
      <c r="F12158" s="2">
        <v>3892</v>
      </c>
      <c r="G12158" s="2">
        <v>100</v>
      </c>
      <c r="H12158" s="2">
        <v>759</v>
      </c>
      <c r="I12158" s="2">
        <v>450</v>
      </c>
      <c r="J12158" s="2">
        <v>2726</v>
      </c>
      <c r="K12158" s="2">
        <v>1</v>
      </c>
      <c r="L12158" s="2">
        <v>759</v>
      </c>
    </row>
    <row r="12159" spans="1:12" x14ac:dyDescent="0.25">
      <c r="A12159" s="4" t="str">
        <f>HYPERLINK("http://www.rosaceae.org/Prunus/Prunus_persica/p.persica_gdr_reftransV1_0030018","p.persica_gdr_reftransV1_0030018")</f>
        <v>p.persica_gdr_reftransV1_0030018</v>
      </c>
      <c r="B12159" s="2">
        <v>1999</v>
      </c>
      <c r="C12159" s="4" t="str">
        <f>HYPERLINK("http://www.uniprot.org/uniprot/M5XBB3","M5XBB3")</f>
        <v>M5XBB3</v>
      </c>
      <c r="D12159" s="2" t="s">
        <v>10178</v>
      </c>
      <c r="E12159" s="3">
        <v>4.3800000000000003E-114</v>
      </c>
      <c r="F12159" s="2">
        <v>912</v>
      </c>
      <c r="G12159" s="2">
        <v>96</v>
      </c>
      <c r="H12159" s="2">
        <v>193</v>
      </c>
      <c r="I12159" s="2">
        <v>1419</v>
      </c>
      <c r="J12159" s="2">
        <v>1997</v>
      </c>
      <c r="K12159" s="2">
        <v>5</v>
      </c>
      <c r="L12159" s="2">
        <v>197</v>
      </c>
    </row>
    <row r="12160" spans="1:12" x14ac:dyDescent="0.25">
      <c r="A12160" s="4" t="str">
        <f>HYPERLINK("http://www.rosaceae.org/Prunus/Prunus_persica/p.persica_gdr_reftransV1_0031068","p.persica_gdr_reftransV1_0031068")</f>
        <v>p.persica_gdr_reftransV1_0031068</v>
      </c>
      <c r="B12160" s="2">
        <v>1364</v>
      </c>
      <c r="C12160" s="4" t="str">
        <f>HYPERLINK("http://www.uniprot.org/uniprot/M5VZ87","M5VZ87")</f>
        <v>M5VZ87</v>
      </c>
      <c r="D12160" s="2" t="s">
        <v>10179</v>
      </c>
      <c r="E12160" s="3">
        <v>0</v>
      </c>
      <c r="F12160" s="2">
        <v>1628</v>
      </c>
      <c r="G12160" s="2">
        <v>100</v>
      </c>
      <c r="H12160" s="2">
        <v>304</v>
      </c>
      <c r="I12160" s="2">
        <v>281</v>
      </c>
      <c r="J12160" s="2">
        <v>1192</v>
      </c>
      <c r="K12160" s="2">
        <v>14</v>
      </c>
      <c r="L12160" s="2">
        <v>317</v>
      </c>
    </row>
    <row r="12161" spans="1:12" x14ac:dyDescent="0.25">
      <c r="A12161" s="4" t="str">
        <f>HYPERLINK("http://www.rosaceae.org/Prunus/Prunus_persica/p.persica_gdr_reftransV1_0032118","p.persica_gdr_reftransV1_0032118")</f>
        <v>p.persica_gdr_reftransV1_0032118</v>
      </c>
      <c r="B12161" s="2">
        <v>2082</v>
      </c>
      <c r="C12161" s="4" t="str">
        <f>HYPERLINK("http://www.uniprot.org/uniprot/M5W4J3","M5W4J3")</f>
        <v>M5W4J3</v>
      </c>
      <c r="D12161" s="2" t="s">
        <v>2744</v>
      </c>
      <c r="E12161" s="3">
        <v>0</v>
      </c>
      <c r="F12161" s="2">
        <v>2619</v>
      </c>
      <c r="G12161" s="2">
        <v>100</v>
      </c>
      <c r="H12161" s="2">
        <v>484</v>
      </c>
      <c r="I12161" s="2">
        <v>51</v>
      </c>
      <c r="J12161" s="2">
        <v>1502</v>
      </c>
      <c r="K12161" s="2">
        <v>1</v>
      </c>
      <c r="L12161" s="2">
        <v>484</v>
      </c>
    </row>
    <row r="12162" spans="1:12" x14ac:dyDescent="0.25">
      <c r="A12162" s="4" t="str">
        <f>HYPERLINK("http://www.rosaceae.org/Prunus/Prunus_persica/p.persica_gdr_reftransV1_0033518","p.persica_gdr_reftransV1_0033518")</f>
        <v>p.persica_gdr_reftransV1_0033518</v>
      </c>
      <c r="B12162" s="2">
        <v>2608</v>
      </c>
      <c r="C12162" s="4" t="str">
        <f>HYPERLINK("http://www.uniprot.org/uniprot/M5WU27","M5WU27")</f>
        <v>M5WU27</v>
      </c>
      <c r="D12162" s="2" t="s">
        <v>10180</v>
      </c>
      <c r="E12162" s="3">
        <v>0</v>
      </c>
      <c r="F12162" s="2">
        <v>2872</v>
      </c>
      <c r="G12162" s="2">
        <v>100</v>
      </c>
      <c r="H12162" s="2">
        <v>573</v>
      </c>
      <c r="I12162" s="2">
        <v>427</v>
      </c>
      <c r="J12162" s="2">
        <v>2145</v>
      </c>
      <c r="K12162" s="2">
        <v>1</v>
      </c>
      <c r="L12162" s="2">
        <v>573</v>
      </c>
    </row>
    <row r="12163" spans="1:12" x14ac:dyDescent="0.25">
      <c r="A12163" s="4" t="str">
        <f>HYPERLINK("http://www.rosaceae.org/Prunus/Prunus_persica/p.persica_gdr_reftransV1_0033868","p.persica_gdr_reftransV1_0033868")</f>
        <v>p.persica_gdr_reftransV1_0033868</v>
      </c>
      <c r="B12163" s="2">
        <v>2445</v>
      </c>
      <c r="C12163" s="4" t="str">
        <f>HYPERLINK("http://www.uniprot.org/uniprot/M5W3Z2","M5W3Z2")</f>
        <v>M5W3Z2</v>
      </c>
      <c r="D12163" s="2" t="s">
        <v>10181</v>
      </c>
      <c r="E12163" s="3">
        <v>0</v>
      </c>
      <c r="F12163" s="2">
        <v>2543</v>
      </c>
      <c r="G12163" s="2">
        <v>100</v>
      </c>
      <c r="H12163" s="2">
        <v>537</v>
      </c>
      <c r="I12163" s="2">
        <v>483</v>
      </c>
      <c r="J12163" s="2">
        <v>2093</v>
      </c>
      <c r="K12163" s="2">
        <v>1</v>
      </c>
      <c r="L12163" s="2">
        <v>535</v>
      </c>
    </row>
    <row r="12164" spans="1:12" x14ac:dyDescent="0.25">
      <c r="A12164" s="4" t="str">
        <f>HYPERLINK("http://www.rosaceae.org/Prunus/Prunus_persica/p.persica_gdr_reftransV1_0034918","p.persica_gdr_reftransV1_0034918")</f>
        <v>p.persica_gdr_reftransV1_0034918</v>
      </c>
      <c r="B12164" s="2">
        <v>459</v>
      </c>
      <c r="C12164" s="4" t="str">
        <f>HYPERLINK("http://www.uniprot.org/uniprot/M5WNA8","M5WNA8")</f>
        <v>M5WNA8</v>
      </c>
      <c r="D12164" s="2" t="s">
        <v>3106</v>
      </c>
      <c r="E12164" s="3">
        <v>7.0900000000000003E-83</v>
      </c>
      <c r="F12164" s="2">
        <v>678</v>
      </c>
      <c r="G12164" s="2">
        <v>100</v>
      </c>
      <c r="H12164" s="2">
        <v>125</v>
      </c>
      <c r="I12164" s="2">
        <v>85</v>
      </c>
      <c r="J12164" s="2">
        <v>459</v>
      </c>
      <c r="K12164" s="2">
        <v>1</v>
      </c>
      <c r="L12164" s="2">
        <v>125</v>
      </c>
    </row>
    <row r="12165" spans="1:12" x14ac:dyDescent="0.25">
      <c r="A12165" s="4" t="str">
        <f>HYPERLINK("http://www.rosaceae.org/Prunus/Prunus_persica/p.persica_gdr_reftransV1_0036668","p.persica_gdr_reftransV1_0036668")</f>
        <v>p.persica_gdr_reftransV1_0036668</v>
      </c>
      <c r="B12165" s="2">
        <v>2233</v>
      </c>
      <c r="C12165" s="4" t="str">
        <f>HYPERLINK("http://www.uniprot.org/uniprot/M5VYY7","M5VYY7")</f>
        <v>M5VYY7</v>
      </c>
      <c r="D12165" s="2" t="s">
        <v>6849</v>
      </c>
      <c r="E12165" s="3">
        <v>0</v>
      </c>
      <c r="F12165" s="2">
        <v>2031</v>
      </c>
      <c r="G12165" s="2">
        <v>83</v>
      </c>
      <c r="H12165" s="2">
        <v>515</v>
      </c>
      <c r="I12165" s="2">
        <v>425</v>
      </c>
      <c r="J12165" s="2">
        <v>1969</v>
      </c>
      <c r="K12165" s="2">
        <v>1</v>
      </c>
      <c r="L12165" s="2">
        <v>474</v>
      </c>
    </row>
    <row r="12166" spans="1:12" x14ac:dyDescent="0.25">
      <c r="A12166" s="4" t="str">
        <f>HYPERLINK("http://www.rosaceae.org/Prunus/Prunus_persica/p.persica_gdr_reftransV1_0037018","p.persica_gdr_reftransV1_0037018")</f>
        <v>p.persica_gdr_reftransV1_0037018</v>
      </c>
      <c r="B12166" s="2">
        <v>4827</v>
      </c>
      <c r="C12166" s="4" t="str">
        <f>HYPERLINK("http://www.uniprot.org/uniprot/M5WMC5","M5WMC5")</f>
        <v>M5WMC5</v>
      </c>
      <c r="D12166" s="2" t="s">
        <v>10182</v>
      </c>
      <c r="E12166" s="3">
        <v>3.1700000000000001E-84</v>
      </c>
      <c r="F12166" s="2">
        <v>749</v>
      </c>
      <c r="G12166" s="2">
        <v>100</v>
      </c>
      <c r="H12166" s="2">
        <v>142</v>
      </c>
      <c r="I12166" s="2">
        <v>644</v>
      </c>
      <c r="J12166" s="2">
        <v>1069</v>
      </c>
      <c r="K12166" s="2">
        <v>248</v>
      </c>
      <c r="L12166" s="2">
        <v>389</v>
      </c>
    </row>
    <row r="12167" spans="1:12" x14ac:dyDescent="0.25">
      <c r="A12167" s="4" t="str">
        <f>HYPERLINK("http://www.rosaceae.org/Prunus/Prunus_persica/p.persica_gdr_reftransV1_0037718","p.persica_gdr_reftransV1_0037718")</f>
        <v>p.persica_gdr_reftransV1_0037718</v>
      </c>
      <c r="B12167" s="2">
        <v>434</v>
      </c>
      <c r="C12167" s="4" t="str">
        <f>HYPERLINK("http://www.uniprot.org/uniprot/M5VZX8","M5VZX8")</f>
        <v>M5VZX8</v>
      </c>
      <c r="D12167" s="2" t="s">
        <v>10183</v>
      </c>
      <c r="E12167" s="3">
        <v>9.649999999999999E-16</v>
      </c>
      <c r="F12167" s="2">
        <v>200</v>
      </c>
      <c r="G12167" s="2">
        <v>51</v>
      </c>
      <c r="H12167" s="2">
        <v>104</v>
      </c>
      <c r="I12167" s="2">
        <v>3</v>
      </c>
      <c r="J12167" s="2">
        <v>287</v>
      </c>
      <c r="K12167" s="2">
        <v>262</v>
      </c>
      <c r="L12167" s="2">
        <v>344</v>
      </c>
    </row>
    <row r="12168" spans="1:12" x14ac:dyDescent="0.25">
      <c r="A12168" s="4" t="str">
        <f>HYPERLINK("http://www.rosaceae.org/Prunus/Prunus_persica/p.persica_gdr_reftransV1_0038418","p.persica_gdr_reftransV1_0038418")</f>
        <v>p.persica_gdr_reftransV1_0038418</v>
      </c>
      <c r="B12168" s="2">
        <v>3714</v>
      </c>
      <c r="C12168" s="4" t="str">
        <f>HYPERLINK("http://www.uniprot.org/uniprot/M5WFA4","M5WFA4")</f>
        <v>M5WFA4</v>
      </c>
      <c r="D12168" s="2" t="s">
        <v>10184</v>
      </c>
      <c r="E12168" s="3">
        <v>0</v>
      </c>
      <c r="F12168" s="2">
        <v>1451</v>
      </c>
      <c r="G12168" s="2">
        <v>100</v>
      </c>
      <c r="H12168" s="2">
        <v>312</v>
      </c>
      <c r="I12168" s="2">
        <v>2502</v>
      </c>
      <c r="J12168" s="2">
        <v>3437</v>
      </c>
      <c r="K12168" s="2">
        <v>421</v>
      </c>
      <c r="L12168" s="2">
        <v>732</v>
      </c>
    </row>
    <row r="12169" spans="1:12" x14ac:dyDescent="0.25">
      <c r="A12169" s="4" t="str">
        <f>HYPERLINK("http://www.rosaceae.org/Prunus/Prunus_persica/p.persica_gdr_reftransV1_0039118","p.persica_gdr_reftransV1_0039118")</f>
        <v>p.persica_gdr_reftransV1_0039118</v>
      </c>
      <c r="B12169" s="2">
        <v>1101</v>
      </c>
      <c r="C12169" s="4" t="str">
        <f>HYPERLINK("http://www.uniprot.org/uniprot/M5X409","M5X409")</f>
        <v>M5X409</v>
      </c>
      <c r="D12169" s="2" t="s">
        <v>10185</v>
      </c>
      <c r="E12169" s="3">
        <v>1.45E-121</v>
      </c>
      <c r="F12169" s="2">
        <v>934</v>
      </c>
      <c r="G12169" s="2">
        <v>100</v>
      </c>
      <c r="H12169" s="2">
        <v>273</v>
      </c>
      <c r="I12169" s="2">
        <v>74</v>
      </c>
      <c r="J12169" s="2">
        <v>892</v>
      </c>
      <c r="K12169" s="2">
        <v>1</v>
      </c>
      <c r="L12169" s="2">
        <v>273</v>
      </c>
    </row>
    <row r="12170" spans="1:12" x14ac:dyDescent="0.25">
      <c r="A12170" s="4" t="str">
        <f>HYPERLINK("http://www.rosaceae.org/Prunus/Prunus_persica/p.persica_gdr_reftransV1_0041218","p.persica_gdr_reftransV1_0041218")</f>
        <v>p.persica_gdr_reftransV1_0041218</v>
      </c>
      <c r="B12170" s="2">
        <v>2080</v>
      </c>
      <c r="C12170" s="4" t="str">
        <f>HYPERLINK("http://www.uniprot.org/uniprot/M5W991","M5W991")</f>
        <v>M5W991</v>
      </c>
      <c r="D12170" s="2" t="s">
        <v>10186</v>
      </c>
      <c r="E12170" s="3">
        <v>4.5599999999999997E-75</v>
      </c>
      <c r="F12170" s="2">
        <v>642</v>
      </c>
      <c r="G12170" s="2">
        <v>99</v>
      </c>
      <c r="H12170" s="2">
        <v>122</v>
      </c>
      <c r="I12170" s="2">
        <v>945</v>
      </c>
      <c r="J12170" s="2">
        <v>1310</v>
      </c>
      <c r="K12170" s="2">
        <v>71</v>
      </c>
      <c r="L12170" s="2">
        <v>192</v>
      </c>
    </row>
    <row r="12171" spans="1:12" x14ac:dyDescent="0.25">
      <c r="A12171" s="4" t="str">
        <f>HYPERLINK("http://www.rosaceae.org/Prunus/Prunus_persica/p.persica_gdr_reftransV1_0043318","p.persica_gdr_reftransV1_0043318")</f>
        <v>p.persica_gdr_reftransV1_0043318</v>
      </c>
      <c r="B12171" s="2">
        <v>391</v>
      </c>
      <c r="C12171" s="4" t="str">
        <f>HYPERLINK("http://www.uniprot.org/uniprot/M5X432","M5X432")</f>
        <v>M5X432</v>
      </c>
      <c r="D12171" s="2" t="s">
        <v>10187</v>
      </c>
      <c r="E12171" s="3">
        <v>1.38E-89</v>
      </c>
      <c r="F12171" s="2">
        <v>697</v>
      </c>
      <c r="G12171" s="2">
        <v>100</v>
      </c>
      <c r="H12171" s="2">
        <v>130</v>
      </c>
      <c r="I12171" s="2">
        <v>2</v>
      </c>
      <c r="J12171" s="2">
        <v>391</v>
      </c>
      <c r="K12171" s="2">
        <v>141</v>
      </c>
      <c r="L12171" s="2">
        <v>270</v>
      </c>
    </row>
    <row r="12172" spans="1:12" x14ac:dyDescent="0.25">
      <c r="A12172" s="4" t="str">
        <f>HYPERLINK("http://www.rosaceae.org/Prunus/Prunus_persica/p.persica_gdr_reftransV1_0043668","p.persica_gdr_reftransV1_0043668")</f>
        <v>p.persica_gdr_reftransV1_0043668</v>
      </c>
      <c r="B12172" s="2">
        <v>1646</v>
      </c>
      <c r="C12172" s="4" t="str">
        <f>HYPERLINK("http://www.uniprot.org/uniprot/M5X508","M5X508")</f>
        <v>M5X508</v>
      </c>
      <c r="D12172" s="2" t="s">
        <v>1461</v>
      </c>
      <c r="E12172" s="3">
        <v>0</v>
      </c>
      <c r="F12172" s="2">
        <v>1613</v>
      </c>
      <c r="G12172" s="2">
        <v>100</v>
      </c>
      <c r="H12172" s="2">
        <v>317</v>
      </c>
      <c r="I12172" s="2">
        <v>363</v>
      </c>
      <c r="J12172" s="2">
        <v>1313</v>
      </c>
      <c r="K12172" s="2">
        <v>116</v>
      </c>
      <c r="L12172" s="2">
        <v>432</v>
      </c>
    </row>
    <row r="12173" spans="1:12" x14ac:dyDescent="0.25">
      <c r="A12173" s="4" t="str">
        <f>HYPERLINK("http://www.rosaceae.org/Prunus/Prunus_persica/p.persica_gdr_reftransV1_0044018","p.persica_gdr_reftransV1_0044018")</f>
        <v>p.persica_gdr_reftransV1_0044018</v>
      </c>
      <c r="B12173" s="2">
        <v>418</v>
      </c>
      <c r="C12173" s="4" t="str">
        <f>HYPERLINK("http://www.uniprot.org/uniprot/M5W089","M5W089")</f>
        <v>M5W089</v>
      </c>
      <c r="D12173" s="2" t="s">
        <v>10188</v>
      </c>
      <c r="E12173" s="3">
        <v>6.9199999999999994E-61</v>
      </c>
      <c r="F12173" s="2">
        <v>521</v>
      </c>
      <c r="G12173" s="2">
        <v>91</v>
      </c>
      <c r="H12173" s="2">
        <v>139</v>
      </c>
      <c r="I12173" s="2">
        <v>1</v>
      </c>
      <c r="J12173" s="2">
        <v>417</v>
      </c>
      <c r="K12173" s="2">
        <v>166</v>
      </c>
      <c r="L12173" s="2">
        <v>292</v>
      </c>
    </row>
    <row r="12174" spans="1:12" x14ac:dyDescent="0.25">
      <c r="A12174" s="4" t="str">
        <f>HYPERLINK("http://www.rosaceae.org/Prunus/Prunus_persica/p.persica_gdr_reftransV1_0044718","p.persica_gdr_reftransV1_0044718")</f>
        <v>p.persica_gdr_reftransV1_0044718</v>
      </c>
      <c r="B12174" s="2">
        <v>2070</v>
      </c>
      <c r="C12174" s="4" t="str">
        <f>HYPERLINK("http://www.uniprot.org/uniprot/M5VUR6","M5VUR6")</f>
        <v>M5VUR6</v>
      </c>
      <c r="D12174" s="2" t="s">
        <v>5844</v>
      </c>
      <c r="E12174" s="3">
        <v>0</v>
      </c>
      <c r="F12174" s="2">
        <v>2770</v>
      </c>
      <c r="G12174" s="2">
        <v>100</v>
      </c>
      <c r="H12174" s="2">
        <v>548</v>
      </c>
      <c r="I12174" s="2">
        <v>209</v>
      </c>
      <c r="J12174" s="2">
        <v>1852</v>
      </c>
      <c r="K12174" s="2">
        <v>1</v>
      </c>
      <c r="L12174" s="2">
        <v>548</v>
      </c>
    </row>
    <row r="12175" spans="1:12" x14ac:dyDescent="0.25">
      <c r="A12175" s="4" t="str">
        <f>HYPERLINK("http://www.rosaceae.org/Prunus/Prunus_persica/p.persica_gdr_reftransV1_0045068","p.persica_gdr_reftransV1_0045068")</f>
        <v>p.persica_gdr_reftransV1_0045068</v>
      </c>
      <c r="B12175" s="2">
        <v>461</v>
      </c>
      <c r="C12175" s="4" t="str">
        <f>HYPERLINK("http://www.uniprot.org/uniprot/M5VUI7","M5VUI7")</f>
        <v>M5VUI7</v>
      </c>
      <c r="D12175" s="2" t="s">
        <v>32</v>
      </c>
      <c r="E12175" s="3">
        <v>9.3199999999999999E-99</v>
      </c>
      <c r="F12175" s="2">
        <v>811</v>
      </c>
      <c r="G12175" s="2">
        <v>100</v>
      </c>
      <c r="H12175" s="2">
        <v>152</v>
      </c>
      <c r="I12175" s="2">
        <v>1</v>
      </c>
      <c r="J12175" s="2">
        <v>456</v>
      </c>
      <c r="K12175" s="2">
        <v>384</v>
      </c>
      <c r="L12175" s="2">
        <v>535</v>
      </c>
    </row>
    <row r="12176" spans="1:12" x14ac:dyDescent="0.25">
      <c r="A12176" s="4" t="str">
        <f>HYPERLINK("http://www.rosaceae.org/Prunus/Prunus_persica/p.persica_gdr_reftransV1_0046118","p.persica_gdr_reftransV1_0046118")</f>
        <v>p.persica_gdr_reftransV1_0046118</v>
      </c>
      <c r="B12176" s="2">
        <v>1906</v>
      </c>
      <c r="C12176" s="4" t="str">
        <f>HYPERLINK("http://www.uniprot.org/uniprot/M5WBE1","M5WBE1")</f>
        <v>M5WBE1</v>
      </c>
      <c r="D12176" s="2" t="s">
        <v>10189</v>
      </c>
      <c r="E12176" s="3">
        <v>0</v>
      </c>
      <c r="F12176" s="2">
        <v>1934</v>
      </c>
      <c r="G12176" s="2">
        <v>98</v>
      </c>
      <c r="H12176" s="2">
        <v>397</v>
      </c>
      <c r="I12176" s="2">
        <v>291</v>
      </c>
      <c r="J12176" s="2">
        <v>1457</v>
      </c>
      <c r="K12176" s="2">
        <v>1</v>
      </c>
      <c r="L12176" s="2">
        <v>397</v>
      </c>
    </row>
    <row r="12177" spans="1:12" x14ac:dyDescent="0.25">
      <c r="A12177" s="4" t="str">
        <f>HYPERLINK("http://www.rosaceae.org/Prunus/Prunus_persica/p.persica_gdr_reftransV1_0046468","p.persica_gdr_reftransV1_0046468")</f>
        <v>p.persica_gdr_reftransV1_0046468</v>
      </c>
      <c r="B12177" s="2">
        <v>1211</v>
      </c>
      <c r="C12177" s="4" t="str">
        <f>HYPERLINK("http://www.uniprot.org/uniprot/M5XD70","M5XD70")</f>
        <v>M5XD70</v>
      </c>
      <c r="D12177" s="2" t="s">
        <v>10190</v>
      </c>
      <c r="E12177" s="3">
        <v>0</v>
      </c>
      <c r="F12177" s="2">
        <v>1721</v>
      </c>
      <c r="G12177" s="2">
        <v>100</v>
      </c>
      <c r="H12177" s="2">
        <v>318</v>
      </c>
      <c r="I12177" s="2">
        <v>53</v>
      </c>
      <c r="J12177" s="2">
        <v>1006</v>
      </c>
      <c r="K12177" s="2">
        <v>1</v>
      </c>
      <c r="L12177" s="2">
        <v>318</v>
      </c>
    </row>
    <row r="12178" spans="1:12" x14ac:dyDescent="0.25">
      <c r="A12178" s="4" t="str">
        <f>HYPERLINK("http://www.rosaceae.org/Prunus/Prunus_persica/p.persica_gdr_reftransV1_0046818","p.persica_gdr_reftransV1_0046818")</f>
        <v>p.persica_gdr_reftransV1_0046818</v>
      </c>
      <c r="B12178" s="2">
        <v>1557</v>
      </c>
      <c r="C12178" s="4" t="str">
        <f>HYPERLINK("http://www.uniprot.org/uniprot/M5XEE9","M5XEE9")</f>
        <v>M5XEE9</v>
      </c>
      <c r="D12178" s="2" t="s">
        <v>2167</v>
      </c>
      <c r="E12178" s="3">
        <v>0</v>
      </c>
      <c r="F12178" s="2">
        <v>1460</v>
      </c>
      <c r="G12178" s="2">
        <v>100</v>
      </c>
      <c r="H12178" s="2">
        <v>288</v>
      </c>
      <c r="I12178" s="2">
        <v>312</v>
      </c>
      <c r="J12178" s="2">
        <v>1175</v>
      </c>
      <c r="K12178" s="2">
        <v>40</v>
      </c>
      <c r="L12178" s="2">
        <v>327</v>
      </c>
    </row>
    <row r="12179" spans="1:12" x14ac:dyDescent="0.25">
      <c r="A12179" s="4" t="str">
        <f>HYPERLINK("http://www.rosaceae.org/Prunus/Prunus_persica/p.persica_gdr_reftransV1_0047168","p.persica_gdr_reftransV1_0047168")</f>
        <v>p.persica_gdr_reftransV1_0047168</v>
      </c>
      <c r="B12179" s="2">
        <v>2078</v>
      </c>
      <c r="C12179" s="4" t="str">
        <f>HYPERLINK("http://www.uniprot.org/uniprot/M5X111","M5X111")</f>
        <v>M5X111</v>
      </c>
      <c r="D12179" s="2" t="s">
        <v>10191</v>
      </c>
      <c r="E12179" s="3">
        <v>0</v>
      </c>
      <c r="F12179" s="2">
        <v>2211</v>
      </c>
      <c r="G12179" s="2">
        <v>100</v>
      </c>
      <c r="H12179" s="2">
        <v>466</v>
      </c>
      <c r="I12179" s="2">
        <v>459</v>
      </c>
      <c r="J12179" s="2">
        <v>1856</v>
      </c>
      <c r="K12179" s="2">
        <v>1</v>
      </c>
      <c r="L12179" s="2">
        <v>466</v>
      </c>
    </row>
    <row r="12180" spans="1:12" x14ac:dyDescent="0.25">
      <c r="A12180" s="4" t="str">
        <f>HYPERLINK("http://www.rosaceae.org/Prunus/Prunus_persica/p.persica_gdr_reftransV1_0047518","p.persica_gdr_reftransV1_0047518")</f>
        <v>p.persica_gdr_reftransV1_0047518</v>
      </c>
      <c r="B12180" s="2">
        <v>1864</v>
      </c>
      <c r="C12180" s="4" t="str">
        <f>HYPERLINK("http://www.uniprot.org/uniprot/M5VVY0","M5VVY0")</f>
        <v>M5VVY0</v>
      </c>
      <c r="D12180" s="2" t="s">
        <v>10192</v>
      </c>
      <c r="E12180" s="3">
        <v>0</v>
      </c>
      <c r="F12180" s="2">
        <v>1770</v>
      </c>
      <c r="G12180" s="2">
        <v>95</v>
      </c>
      <c r="H12180" s="2">
        <v>395</v>
      </c>
      <c r="I12180" s="2">
        <v>337</v>
      </c>
      <c r="J12180" s="2">
        <v>1521</v>
      </c>
      <c r="K12180" s="2">
        <v>1</v>
      </c>
      <c r="L12180" s="2">
        <v>375</v>
      </c>
    </row>
    <row r="12181" spans="1:12" x14ac:dyDescent="0.25">
      <c r="A12181" s="4" t="str">
        <f>HYPERLINK("http://www.rosaceae.org/Prunus/Prunus_persica/p.persica_gdr_reftransV1_0047868","p.persica_gdr_reftransV1_0047868")</f>
        <v>p.persica_gdr_reftransV1_0047868</v>
      </c>
      <c r="B12181" s="2">
        <v>3663</v>
      </c>
      <c r="C12181" s="4" t="str">
        <f>HYPERLINK("http://www.uniprot.org/uniprot/M5Y409","M5Y409")</f>
        <v>M5Y409</v>
      </c>
      <c r="D12181" s="2" t="s">
        <v>8852</v>
      </c>
      <c r="E12181" s="3">
        <v>0</v>
      </c>
      <c r="F12181" s="2">
        <v>4164</v>
      </c>
      <c r="G12181" s="2">
        <v>100</v>
      </c>
      <c r="H12181" s="2">
        <v>889</v>
      </c>
      <c r="I12181" s="2">
        <v>881</v>
      </c>
      <c r="J12181" s="2">
        <v>3547</v>
      </c>
      <c r="K12181" s="2">
        <v>1</v>
      </c>
      <c r="L12181" s="2">
        <v>889</v>
      </c>
    </row>
    <row r="12182" spans="1:12" x14ac:dyDescent="0.25">
      <c r="A12182" s="4" t="str">
        <f>HYPERLINK("http://www.rosaceae.org/Prunus/Prunus_persica/p.persica_gdr_reftransV1_0048218","p.persica_gdr_reftransV1_0048218")</f>
        <v>p.persica_gdr_reftransV1_0048218</v>
      </c>
      <c r="B12182" s="2">
        <v>1397</v>
      </c>
      <c r="C12182" s="4" t="str">
        <f>HYPERLINK("http://www.uniprot.org/uniprot/M5VYA8","M5VYA8")</f>
        <v>M5VYA8</v>
      </c>
      <c r="D12182" s="2" t="s">
        <v>2914</v>
      </c>
      <c r="E12182" s="3">
        <v>0</v>
      </c>
      <c r="F12182" s="2">
        <v>2156</v>
      </c>
      <c r="G12182" s="2">
        <v>100</v>
      </c>
      <c r="H12182" s="2">
        <v>416</v>
      </c>
      <c r="I12182" s="2">
        <v>2</v>
      </c>
      <c r="J12182" s="2">
        <v>1249</v>
      </c>
      <c r="K12182" s="2">
        <v>11</v>
      </c>
      <c r="L12182" s="2">
        <v>426</v>
      </c>
    </row>
    <row r="12183" spans="1:12" x14ac:dyDescent="0.25">
      <c r="A12183" s="4" t="str">
        <f>HYPERLINK("http://www.rosaceae.org/Prunus/Prunus_persica/p.persica_gdr_reftransV1_0048568","p.persica_gdr_reftransV1_0048568")</f>
        <v>p.persica_gdr_reftransV1_0048568</v>
      </c>
      <c r="B12183" s="2">
        <v>556</v>
      </c>
      <c r="C12183" s="4" t="str">
        <f>HYPERLINK("http://www.uniprot.org/uniprot/M5XD87","M5XD87")</f>
        <v>M5XD87</v>
      </c>
      <c r="D12183" s="2" t="s">
        <v>1481</v>
      </c>
      <c r="E12183" s="3">
        <v>3.39E-106</v>
      </c>
      <c r="F12183" s="2">
        <v>819</v>
      </c>
      <c r="G12183" s="2">
        <v>100</v>
      </c>
      <c r="H12183" s="2">
        <v>157</v>
      </c>
      <c r="I12183" s="2">
        <v>2</v>
      </c>
      <c r="J12183" s="2">
        <v>472</v>
      </c>
      <c r="K12183" s="2">
        <v>16</v>
      </c>
      <c r="L12183" s="2">
        <v>172</v>
      </c>
    </row>
    <row r="12184" spans="1:12" x14ac:dyDescent="0.25">
      <c r="A12184" s="4" t="str">
        <f>HYPERLINK("http://www.rosaceae.org/Prunus/Prunus_persica/p.persica_gdr_reftransV1_0048918","p.persica_gdr_reftransV1_0048918")</f>
        <v>p.persica_gdr_reftransV1_0048918</v>
      </c>
      <c r="B12184" s="2">
        <v>606</v>
      </c>
      <c r="C12184" s="4" t="str">
        <f>HYPERLINK("http://www.uniprot.org/uniprot/M5XLR8","M5XLR8")</f>
        <v>M5XLR8</v>
      </c>
      <c r="D12184" s="2" t="s">
        <v>3892</v>
      </c>
      <c r="E12184" s="3">
        <v>3.93E-78</v>
      </c>
      <c r="F12184" s="2">
        <v>664</v>
      </c>
      <c r="G12184" s="2">
        <v>82</v>
      </c>
      <c r="H12184" s="2">
        <v>154</v>
      </c>
      <c r="I12184" s="2">
        <v>144</v>
      </c>
      <c r="J12184" s="2">
        <v>605</v>
      </c>
      <c r="K12184" s="2">
        <v>1</v>
      </c>
      <c r="L12184" s="2">
        <v>154</v>
      </c>
    </row>
    <row r="12185" spans="1:12" x14ac:dyDescent="0.25">
      <c r="A12185" s="4" t="str">
        <f>HYPERLINK("http://www.rosaceae.org/Prunus/Prunus_persica/p.persica_gdr_reftransV1_0000269","p.persica_gdr_reftransV1_0000269")</f>
        <v>p.persica_gdr_reftransV1_0000269</v>
      </c>
      <c r="B12185" s="2">
        <v>561</v>
      </c>
      <c r="C12185" s="4" t="str">
        <f>HYPERLINK("http://www.uniprot.org/uniprot/M5VZ19","M5VZ19")</f>
        <v>M5VZ19</v>
      </c>
      <c r="D12185" s="2" t="s">
        <v>1072</v>
      </c>
      <c r="E12185" s="3">
        <v>1.23E-100</v>
      </c>
      <c r="F12185" s="2">
        <v>789</v>
      </c>
      <c r="G12185" s="2">
        <v>90</v>
      </c>
      <c r="H12185" s="2">
        <v>186</v>
      </c>
      <c r="I12185" s="2">
        <v>3</v>
      </c>
      <c r="J12185" s="2">
        <v>560</v>
      </c>
      <c r="K12185" s="2">
        <v>3</v>
      </c>
      <c r="L12185" s="2">
        <v>170</v>
      </c>
    </row>
    <row r="12186" spans="1:12" x14ac:dyDescent="0.25">
      <c r="A12186" s="4" t="str">
        <f>HYPERLINK("http://www.rosaceae.org/Prunus/Prunus_persica/p.persica_gdr_reftransV1_0000969","p.persica_gdr_reftransV1_0000969")</f>
        <v>p.persica_gdr_reftransV1_0000969</v>
      </c>
      <c r="B12186" s="2">
        <v>407</v>
      </c>
      <c r="C12186" s="4" t="str">
        <f>HYPERLINK("http://www.uniprot.org/uniprot/M5XNA8","M5XNA8")</f>
        <v>M5XNA8</v>
      </c>
      <c r="D12186" s="2" t="s">
        <v>10193</v>
      </c>
      <c r="E12186" s="3">
        <v>3.1399999999999999E-73</v>
      </c>
      <c r="F12186" s="2">
        <v>618</v>
      </c>
      <c r="G12186" s="2">
        <v>100</v>
      </c>
      <c r="H12186" s="2">
        <v>135</v>
      </c>
      <c r="I12186" s="2">
        <v>1</v>
      </c>
      <c r="J12186" s="2">
        <v>405</v>
      </c>
      <c r="K12186" s="2">
        <v>7</v>
      </c>
      <c r="L12186" s="2">
        <v>141</v>
      </c>
    </row>
    <row r="12187" spans="1:12" x14ac:dyDescent="0.25">
      <c r="A12187" s="4" t="str">
        <f>HYPERLINK("http://www.rosaceae.org/Prunus/Prunus_persica/p.persica_gdr_reftransV1_0001319","p.persica_gdr_reftransV1_0001319")</f>
        <v>p.persica_gdr_reftransV1_0001319</v>
      </c>
      <c r="B12187" s="2">
        <v>8403</v>
      </c>
      <c r="C12187" s="4" t="str">
        <f>HYPERLINK("http://www.uniprot.org/uniprot/M9QSF7","M9QSF7")</f>
        <v>M9QSF7</v>
      </c>
      <c r="D12187" s="2" t="s">
        <v>10194</v>
      </c>
      <c r="E12187" s="3">
        <v>0</v>
      </c>
      <c r="F12187" s="2">
        <v>10344</v>
      </c>
      <c r="G12187" s="2">
        <v>97</v>
      </c>
      <c r="H12187" s="2">
        <v>2026</v>
      </c>
      <c r="I12187" s="2">
        <v>106</v>
      </c>
      <c r="J12187" s="2">
        <v>6183</v>
      </c>
      <c r="K12187" s="2">
        <v>1</v>
      </c>
      <c r="L12187" s="2">
        <v>2026</v>
      </c>
    </row>
    <row r="12188" spans="1:12" x14ac:dyDescent="0.25">
      <c r="A12188" s="4" t="str">
        <f>HYPERLINK("http://www.rosaceae.org/Prunus/Prunus_persica/p.persica_gdr_reftransV1_0001669","p.persica_gdr_reftransV1_0001669")</f>
        <v>p.persica_gdr_reftransV1_0001669</v>
      </c>
      <c r="B12188" s="2">
        <v>2695</v>
      </c>
      <c r="C12188" s="4" t="str">
        <f>HYPERLINK("http://www.uniprot.org/uniprot/M5X9P7","M5X9P7")</f>
        <v>M5X9P7</v>
      </c>
      <c r="D12188" s="2" t="s">
        <v>6772</v>
      </c>
      <c r="E12188" s="3">
        <v>0</v>
      </c>
      <c r="F12188" s="2">
        <v>2981</v>
      </c>
      <c r="G12188" s="2">
        <v>100</v>
      </c>
      <c r="H12188" s="2">
        <v>587</v>
      </c>
      <c r="I12188" s="2">
        <v>150</v>
      </c>
      <c r="J12188" s="2">
        <v>1910</v>
      </c>
      <c r="K12188" s="2">
        <v>210</v>
      </c>
      <c r="L12188" s="2">
        <v>796</v>
      </c>
    </row>
    <row r="12189" spans="1:12" x14ac:dyDescent="0.25">
      <c r="A12189" s="4" t="str">
        <f>HYPERLINK("http://www.rosaceae.org/Prunus/Prunus_persica/p.persica_gdr_reftransV1_0002369","p.persica_gdr_reftransV1_0002369")</f>
        <v>p.persica_gdr_reftransV1_0002369</v>
      </c>
      <c r="B12189" s="2">
        <v>2235</v>
      </c>
      <c r="C12189" s="4" t="str">
        <f>HYPERLINK("http://www.uniprot.org/uniprot/M5Y858","M5Y858")</f>
        <v>M5Y858</v>
      </c>
      <c r="D12189" s="2" t="s">
        <v>7035</v>
      </c>
      <c r="E12189" s="3">
        <v>0</v>
      </c>
      <c r="F12189" s="2">
        <v>2073</v>
      </c>
      <c r="G12189" s="2">
        <v>99</v>
      </c>
      <c r="H12189" s="2">
        <v>393</v>
      </c>
      <c r="I12189" s="2">
        <v>935</v>
      </c>
      <c r="J12189" s="2">
        <v>2113</v>
      </c>
      <c r="K12189" s="2">
        <v>65</v>
      </c>
      <c r="L12189" s="2">
        <v>457</v>
      </c>
    </row>
    <row r="12190" spans="1:12" x14ac:dyDescent="0.25">
      <c r="A12190" s="4" t="str">
        <f>HYPERLINK("http://www.rosaceae.org/Prunus/Prunus_persica/p.persica_gdr_reftransV1_0002719","p.persica_gdr_reftransV1_0002719")</f>
        <v>p.persica_gdr_reftransV1_0002719</v>
      </c>
      <c r="B12190" s="2">
        <v>1609</v>
      </c>
      <c r="C12190" s="4" t="str">
        <f>HYPERLINK("http://www.uniprot.org/uniprot/M5X3Y2","M5X3Y2")</f>
        <v>M5X3Y2</v>
      </c>
      <c r="D12190" s="2" t="s">
        <v>244</v>
      </c>
      <c r="E12190" s="3">
        <v>0</v>
      </c>
      <c r="F12190" s="2">
        <v>1531</v>
      </c>
      <c r="G12190" s="2">
        <v>100</v>
      </c>
      <c r="H12190" s="2">
        <v>305</v>
      </c>
      <c r="I12190" s="2">
        <v>94</v>
      </c>
      <c r="J12190" s="2">
        <v>1008</v>
      </c>
      <c r="K12190" s="2">
        <v>212</v>
      </c>
      <c r="L12190" s="2">
        <v>516</v>
      </c>
    </row>
    <row r="12191" spans="1:12" x14ac:dyDescent="0.25">
      <c r="A12191" s="4" t="str">
        <f>HYPERLINK("http://www.rosaceae.org/Prunus/Prunus_persica/p.persica_gdr_reftransV1_0003419","p.persica_gdr_reftransV1_0003419")</f>
        <v>p.persica_gdr_reftransV1_0003419</v>
      </c>
      <c r="B12191" s="2">
        <v>328</v>
      </c>
      <c r="C12191" s="4" t="str">
        <f>HYPERLINK("http://www.uniprot.org/uniprot/M5VS03","M5VS03")</f>
        <v>M5VS03</v>
      </c>
      <c r="D12191" s="2" t="s">
        <v>10195</v>
      </c>
      <c r="E12191" s="3">
        <v>2.2900000000000001E-62</v>
      </c>
      <c r="F12191" s="2">
        <v>519</v>
      </c>
      <c r="G12191" s="2">
        <v>100</v>
      </c>
      <c r="H12191" s="2">
        <v>104</v>
      </c>
      <c r="I12191" s="2">
        <v>17</v>
      </c>
      <c r="J12191" s="2">
        <v>328</v>
      </c>
      <c r="K12191" s="2">
        <v>110</v>
      </c>
      <c r="L12191" s="2">
        <v>213</v>
      </c>
    </row>
    <row r="12192" spans="1:12" x14ac:dyDescent="0.25">
      <c r="A12192" s="4" t="str">
        <f>HYPERLINK("http://www.rosaceae.org/Prunus/Prunus_persica/p.persica_gdr_reftransV1_0003769","p.persica_gdr_reftransV1_0003769")</f>
        <v>p.persica_gdr_reftransV1_0003769</v>
      </c>
      <c r="B12192" s="2">
        <v>2925</v>
      </c>
      <c r="C12192" s="4" t="str">
        <f>HYPERLINK("http://www.uniprot.org/uniprot/X2G9E7","X2G9E7")</f>
        <v>X2G9E7</v>
      </c>
      <c r="D12192" s="2" t="s">
        <v>972</v>
      </c>
      <c r="E12192" s="3">
        <v>0</v>
      </c>
      <c r="F12192" s="2">
        <v>2783</v>
      </c>
      <c r="G12192" s="2">
        <v>100</v>
      </c>
      <c r="H12192" s="2">
        <v>538</v>
      </c>
      <c r="I12192" s="2">
        <v>206</v>
      </c>
      <c r="J12192" s="2">
        <v>1819</v>
      </c>
      <c r="K12192" s="2">
        <v>146</v>
      </c>
      <c r="L12192" s="2">
        <v>683</v>
      </c>
    </row>
    <row r="12193" spans="1:12" x14ac:dyDescent="0.25">
      <c r="A12193" s="4" t="str">
        <f>HYPERLINK("http://www.rosaceae.org/Prunus/Prunus_persica/p.persica_gdr_reftransV1_0004119","p.persica_gdr_reftransV1_0004119")</f>
        <v>p.persica_gdr_reftransV1_0004119</v>
      </c>
      <c r="B12193" s="2">
        <v>2292</v>
      </c>
      <c r="C12193" s="4" t="str">
        <f>HYPERLINK("http://www.uniprot.org/uniprot/M5VY58","M5VY58")</f>
        <v>M5VY58</v>
      </c>
      <c r="D12193" s="2" t="s">
        <v>2046</v>
      </c>
      <c r="E12193" s="3">
        <v>0</v>
      </c>
      <c r="F12193" s="2">
        <v>1239</v>
      </c>
      <c r="G12193" s="2">
        <v>98</v>
      </c>
      <c r="H12193" s="2">
        <v>238</v>
      </c>
      <c r="I12193" s="2">
        <v>150</v>
      </c>
      <c r="J12193" s="2">
        <v>863</v>
      </c>
      <c r="K12193" s="2">
        <v>1</v>
      </c>
      <c r="L12193" s="2">
        <v>235</v>
      </c>
    </row>
    <row r="12194" spans="1:12" x14ac:dyDescent="0.25">
      <c r="A12194" s="4" t="str">
        <f>HYPERLINK("http://www.rosaceae.org/Prunus/Prunus_persica/p.persica_gdr_reftransV1_0004819","p.persica_gdr_reftransV1_0004819")</f>
        <v>p.persica_gdr_reftransV1_0004819</v>
      </c>
      <c r="B12194" s="2">
        <v>1898</v>
      </c>
      <c r="C12194" s="4" t="str">
        <f>HYPERLINK("http://www.uniprot.org/uniprot/I7K8K8","I7K8K8")</f>
        <v>I7K8K8</v>
      </c>
      <c r="D12194" s="2" t="s">
        <v>1613</v>
      </c>
      <c r="E12194" s="3">
        <v>2.5700000000000002E-61</v>
      </c>
      <c r="F12194" s="2">
        <v>594</v>
      </c>
      <c r="G12194" s="2">
        <v>44</v>
      </c>
      <c r="H12194" s="2">
        <v>255</v>
      </c>
      <c r="I12194" s="2">
        <v>6</v>
      </c>
      <c r="J12194" s="2">
        <v>755</v>
      </c>
      <c r="K12194" s="2">
        <v>591</v>
      </c>
      <c r="L12194" s="2">
        <v>845</v>
      </c>
    </row>
    <row r="12195" spans="1:12" x14ac:dyDescent="0.25">
      <c r="A12195" s="4" t="str">
        <f>HYPERLINK("http://www.rosaceae.org/Prunus/Prunus_persica/p.persica_gdr_reftransV1_0005519","p.persica_gdr_reftransV1_0005519")</f>
        <v>p.persica_gdr_reftransV1_0005519</v>
      </c>
      <c r="B12195" s="2">
        <v>2625</v>
      </c>
      <c r="C12195" s="4" t="str">
        <f>HYPERLINK("http://www.uniprot.org/uniprot/M5X7G2","M5X7G2")</f>
        <v>M5X7G2</v>
      </c>
      <c r="D12195" s="2" t="s">
        <v>10196</v>
      </c>
      <c r="E12195" s="3">
        <v>0</v>
      </c>
      <c r="F12195" s="2">
        <v>3591</v>
      </c>
      <c r="G12195" s="2">
        <v>99</v>
      </c>
      <c r="H12195" s="2">
        <v>704</v>
      </c>
      <c r="I12195" s="2">
        <v>279</v>
      </c>
      <c r="J12195" s="2">
        <v>2390</v>
      </c>
      <c r="K12195" s="2">
        <v>1</v>
      </c>
      <c r="L12195" s="2">
        <v>704</v>
      </c>
    </row>
    <row r="12196" spans="1:12" x14ac:dyDescent="0.25">
      <c r="A12196" s="4" t="str">
        <f>HYPERLINK("http://www.rosaceae.org/Prunus/Prunus_persica/p.persica_gdr_reftransV1_0006219","p.persica_gdr_reftransV1_0006219")</f>
        <v>p.persica_gdr_reftransV1_0006219</v>
      </c>
      <c r="B12196" s="2">
        <v>1508</v>
      </c>
      <c r="C12196" s="4" t="str">
        <f>HYPERLINK("http://www.uniprot.org/uniprot/M5W517","M5W517")</f>
        <v>M5W517</v>
      </c>
      <c r="D12196" s="2" t="s">
        <v>10197</v>
      </c>
      <c r="E12196" s="3">
        <v>0</v>
      </c>
      <c r="F12196" s="2">
        <v>1578</v>
      </c>
      <c r="G12196" s="2">
        <v>100</v>
      </c>
      <c r="H12196" s="2">
        <v>318</v>
      </c>
      <c r="I12196" s="2">
        <v>421</v>
      </c>
      <c r="J12196" s="2">
        <v>1374</v>
      </c>
      <c r="K12196" s="2">
        <v>1</v>
      </c>
      <c r="L12196" s="2">
        <v>318</v>
      </c>
    </row>
    <row r="12197" spans="1:12" x14ac:dyDescent="0.25">
      <c r="A12197" s="4" t="str">
        <f>HYPERLINK("http://www.rosaceae.org/Prunus/Prunus_persica/p.persica_gdr_reftransV1_0007969","p.persica_gdr_reftransV1_0007969")</f>
        <v>p.persica_gdr_reftransV1_0007969</v>
      </c>
      <c r="B12197" s="2">
        <v>333</v>
      </c>
      <c r="C12197" s="4" t="str">
        <f>HYPERLINK("http://www.uniprot.org/uniprot/M5XWQ9","M5XWQ9")</f>
        <v>M5XWQ9</v>
      </c>
      <c r="D12197" s="2" t="s">
        <v>10198</v>
      </c>
      <c r="E12197" s="3">
        <v>1.5999999999999999E-48</v>
      </c>
      <c r="F12197" s="2">
        <v>423</v>
      </c>
      <c r="G12197" s="2">
        <v>99</v>
      </c>
      <c r="H12197" s="2">
        <v>83</v>
      </c>
      <c r="I12197" s="2">
        <v>2</v>
      </c>
      <c r="J12197" s="2">
        <v>250</v>
      </c>
      <c r="K12197" s="2">
        <v>193</v>
      </c>
      <c r="L12197" s="2">
        <v>275</v>
      </c>
    </row>
    <row r="12198" spans="1:12" x14ac:dyDescent="0.25">
      <c r="A12198" s="4" t="str">
        <f>HYPERLINK("http://www.rosaceae.org/Prunus/Prunus_persica/p.persica_gdr_reftransV1_0009019","p.persica_gdr_reftransV1_0009019")</f>
        <v>p.persica_gdr_reftransV1_0009019</v>
      </c>
      <c r="B12198" s="2">
        <v>2042</v>
      </c>
      <c r="C12198" s="4" t="str">
        <f>HYPERLINK("http://www.uniprot.org/uniprot/V7AEY8","V7AEY8")</f>
        <v>V7AEY8</v>
      </c>
      <c r="D12198" s="2" t="s">
        <v>10199</v>
      </c>
      <c r="E12198" s="3">
        <v>0</v>
      </c>
      <c r="F12198" s="2">
        <v>2324</v>
      </c>
      <c r="G12198" s="2">
        <v>86</v>
      </c>
      <c r="H12198" s="2">
        <v>487</v>
      </c>
      <c r="I12198" s="2">
        <v>195</v>
      </c>
      <c r="J12198" s="2">
        <v>1655</v>
      </c>
      <c r="K12198" s="2">
        <v>13</v>
      </c>
      <c r="L12198" s="2">
        <v>499</v>
      </c>
    </row>
    <row r="12199" spans="1:12" x14ac:dyDescent="0.25">
      <c r="A12199" s="4" t="str">
        <f>HYPERLINK("http://www.rosaceae.org/Prunus/Prunus_persica/p.persica_gdr_reftransV1_0009369","p.persica_gdr_reftransV1_0009369")</f>
        <v>p.persica_gdr_reftransV1_0009369</v>
      </c>
      <c r="B12199" s="2">
        <v>1879</v>
      </c>
      <c r="C12199" s="4" t="str">
        <f>HYPERLINK("http://www.uniprot.org/uniprot/M5XAU5","M5XAU5")</f>
        <v>M5XAU5</v>
      </c>
      <c r="D12199" s="2" t="s">
        <v>2139</v>
      </c>
      <c r="E12199" s="3">
        <v>0</v>
      </c>
      <c r="F12199" s="2">
        <v>2365</v>
      </c>
      <c r="G12199" s="2">
        <v>100</v>
      </c>
      <c r="H12199" s="2">
        <v>438</v>
      </c>
      <c r="I12199" s="2">
        <v>1</v>
      </c>
      <c r="J12199" s="2">
        <v>1314</v>
      </c>
      <c r="K12199" s="2">
        <v>1062</v>
      </c>
      <c r="L12199" s="2">
        <v>1499</v>
      </c>
    </row>
    <row r="12200" spans="1:12" x14ac:dyDescent="0.25">
      <c r="A12200" s="4" t="str">
        <f>HYPERLINK("http://www.rosaceae.org/Prunus/Prunus_persica/p.persica_gdr_reftransV1_0010069","p.persica_gdr_reftransV1_0010069")</f>
        <v>p.persica_gdr_reftransV1_0010069</v>
      </c>
      <c r="B12200" s="2">
        <v>916</v>
      </c>
      <c r="C12200" s="4" t="str">
        <f>HYPERLINK("http://www.uniprot.org/uniprot/M5XIA7","M5XIA7")</f>
        <v>M5XIA7</v>
      </c>
      <c r="D12200" s="2" t="s">
        <v>10200</v>
      </c>
      <c r="E12200" s="3">
        <v>1.14E-150</v>
      </c>
      <c r="F12200" s="2">
        <v>1128</v>
      </c>
      <c r="G12200" s="2">
        <v>98</v>
      </c>
      <c r="H12200" s="2">
        <v>216</v>
      </c>
      <c r="I12200" s="2">
        <v>267</v>
      </c>
      <c r="J12200" s="2">
        <v>914</v>
      </c>
      <c r="K12200" s="2">
        <v>118</v>
      </c>
      <c r="L12200" s="2">
        <v>333</v>
      </c>
    </row>
    <row r="12201" spans="1:12" x14ac:dyDescent="0.25">
      <c r="A12201" s="4" t="str">
        <f>HYPERLINK("http://www.rosaceae.org/Prunus/Prunus_persica/p.persica_gdr_reftransV1_0010419","p.persica_gdr_reftransV1_0010419")</f>
        <v>p.persica_gdr_reftransV1_0010419</v>
      </c>
      <c r="B12201" s="2">
        <v>1046</v>
      </c>
      <c r="C12201" s="4" t="str">
        <f>HYPERLINK("http://www.uniprot.org/uniprot/M5WDA0","M5WDA0")</f>
        <v>M5WDA0</v>
      </c>
      <c r="D12201" s="2" t="s">
        <v>10201</v>
      </c>
      <c r="E12201" s="3">
        <v>8.37E-106</v>
      </c>
      <c r="F12201" s="2">
        <v>816</v>
      </c>
      <c r="G12201" s="2">
        <v>100</v>
      </c>
      <c r="H12201" s="2">
        <v>159</v>
      </c>
      <c r="I12201" s="2">
        <v>391</v>
      </c>
      <c r="J12201" s="2">
        <v>867</v>
      </c>
      <c r="K12201" s="2">
        <v>1</v>
      </c>
      <c r="L12201" s="2">
        <v>159</v>
      </c>
    </row>
    <row r="12202" spans="1:12" x14ac:dyDescent="0.25">
      <c r="A12202" s="4" t="str">
        <f>HYPERLINK("http://www.rosaceae.org/Prunus/Prunus_persica/p.persica_gdr_reftransV1_0010769","p.persica_gdr_reftransV1_0010769")</f>
        <v>p.persica_gdr_reftransV1_0010769</v>
      </c>
      <c r="B12202" s="2">
        <v>3172</v>
      </c>
      <c r="C12202" s="4" t="str">
        <f>HYPERLINK("http://www.uniprot.org/uniprot/M5Y798","M5Y798")</f>
        <v>M5Y798</v>
      </c>
      <c r="D12202" s="2" t="s">
        <v>7471</v>
      </c>
      <c r="E12202" s="3">
        <v>6.0999999999999999E-52</v>
      </c>
      <c r="F12202" s="2">
        <v>489</v>
      </c>
      <c r="G12202" s="2">
        <v>100</v>
      </c>
      <c r="H12202" s="2">
        <v>115</v>
      </c>
      <c r="I12202" s="2">
        <v>201</v>
      </c>
      <c r="J12202" s="2">
        <v>545</v>
      </c>
      <c r="K12202" s="2">
        <v>1</v>
      </c>
      <c r="L12202" s="2">
        <v>115</v>
      </c>
    </row>
    <row r="12203" spans="1:12" x14ac:dyDescent="0.25">
      <c r="A12203" s="4" t="str">
        <f>HYPERLINK("http://www.rosaceae.org/Prunus/Prunus_persica/p.persica_gdr_reftransV1_0011469","p.persica_gdr_reftransV1_0011469")</f>
        <v>p.persica_gdr_reftransV1_0011469</v>
      </c>
      <c r="B12203" s="2">
        <v>2570</v>
      </c>
      <c r="C12203" s="4" t="str">
        <f>HYPERLINK("http://www.uniprot.org/uniprot/G5CZ68","G5CZ68")</f>
        <v>G5CZ68</v>
      </c>
      <c r="D12203" s="2" t="s">
        <v>10202</v>
      </c>
      <c r="E12203" s="3">
        <v>0</v>
      </c>
      <c r="F12203" s="2">
        <v>4203</v>
      </c>
      <c r="G12203" s="2">
        <v>99</v>
      </c>
      <c r="H12203" s="2">
        <v>799</v>
      </c>
      <c r="I12203" s="2">
        <v>7</v>
      </c>
      <c r="J12203" s="2">
        <v>2403</v>
      </c>
      <c r="K12203" s="2">
        <v>1</v>
      </c>
      <c r="L12203" s="2">
        <v>799</v>
      </c>
    </row>
    <row r="12204" spans="1:12" x14ac:dyDescent="0.25">
      <c r="A12204" s="4" t="str">
        <f>HYPERLINK("http://www.rosaceae.org/Prunus/Prunus_persica/p.persica_gdr_reftransV1_0011819","p.persica_gdr_reftransV1_0011819")</f>
        <v>p.persica_gdr_reftransV1_0011819</v>
      </c>
      <c r="B12204" s="2">
        <v>1581</v>
      </c>
      <c r="C12204" s="4" t="str">
        <f>HYPERLINK("http://www.uniprot.org/uniprot/M5WHV4","M5WHV4")</f>
        <v>M5WHV4</v>
      </c>
      <c r="D12204" s="2" t="s">
        <v>10203</v>
      </c>
      <c r="E12204" s="3">
        <v>2.5800000000000001E-61</v>
      </c>
      <c r="F12204" s="2">
        <v>537</v>
      </c>
      <c r="G12204" s="2">
        <v>100</v>
      </c>
      <c r="H12204" s="2">
        <v>96</v>
      </c>
      <c r="I12204" s="2">
        <v>843</v>
      </c>
      <c r="J12204" s="2">
        <v>1130</v>
      </c>
      <c r="K12204" s="2">
        <v>102</v>
      </c>
      <c r="L12204" s="2">
        <v>197</v>
      </c>
    </row>
    <row r="12205" spans="1:12" x14ac:dyDescent="0.25">
      <c r="A12205" s="4" t="str">
        <f>HYPERLINK("http://www.rosaceae.org/Prunus/Prunus_persica/p.persica_gdr_reftransV1_0012519","p.persica_gdr_reftransV1_0012519")</f>
        <v>p.persica_gdr_reftransV1_0012519</v>
      </c>
      <c r="B12205" s="2">
        <v>821</v>
      </c>
      <c r="C12205" s="4" t="str">
        <f>HYPERLINK("http://www.uniprot.org/uniprot/M5VP66","M5VP66")</f>
        <v>M5VP66</v>
      </c>
      <c r="D12205" s="2" t="s">
        <v>10204</v>
      </c>
      <c r="E12205" s="3">
        <v>8.7399999999999999E-104</v>
      </c>
      <c r="F12205" s="2">
        <v>795</v>
      </c>
      <c r="G12205" s="2">
        <v>100</v>
      </c>
      <c r="H12205" s="2">
        <v>150</v>
      </c>
      <c r="I12205" s="2">
        <v>299</v>
      </c>
      <c r="J12205" s="2">
        <v>748</v>
      </c>
      <c r="K12205" s="2">
        <v>1</v>
      </c>
      <c r="L12205" s="2">
        <v>150</v>
      </c>
    </row>
    <row r="12206" spans="1:12" x14ac:dyDescent="0.25">
      <c r="A12206" s="4" t="str">
        <f>HYPERLINK("http://www.rosaceae.org/Prunus/Prunus_persica/p.persica_gdr_reftransV1_0012869","p.persica_gdr_reftransV1_0012869")</f>
        <v>p.persica_gdr_reftransV1_0012869</v>
      </c>
      <c r="B12206" s="2">
        <v>1341</v>
      </c>
      <c r="C12206" s="4" t="str">
        <f>HYPERLINK("http://www.uniprot.org/uniprot/M5XD26","M5XD26")</f>
        <v>M5XD26</v>
      </c>
      <c r="D12206" s="2" t="s">
        <v>10205</v>
      </c>
      <c r="E12206" s="3">
        <v>0</v>
      </c>
      <c r="F12206" s="2">
        <v>1705</v>
      </c>
      <c r="G12206" s="2">
        <v>99</v>
      </c>
      <c r="H12206" s="2">
        <v>353</v>
      </c>
      <c r="I12206" s="2">
        <v>61</v>
      </c>
      <c r="J12206" s="2">
        <v>1119</v>
      </c>
      <c r="K12206" s="2">
        <v>1</v>
      </c>
      <c r="L12206" s="2">
        <v>353</v>
      </c>
    </row>
    <row r="12207" spans="1:12" x14ac:dyDescent="0.25">
      <c r="A12207" s="4" t="str">
        <f>HYPERLINK("http://www.rosaceae.org/Prunus/Prunus_persica/p.persica_gdr_reftransV1_0013219","p.persica_gdr_reftransV1_0013219")</f>
        <v>p.persica_gdr_reftransV1_0013219</v>
      </c>
      <c r="B12207" s="2">
        <v>2353</v>
      </c>
      <c r="C12207" s="4" t="str">
        <f>HYPERLINK("http://www.uniprot.org/uniprot/M5W9T0","M5W9T0")</f>
        <v>M5W9T0</v>
      </c>
      <c r="D12207" s="2" t="s">
        <v>8306</v>
      </c>
      <c r="E12207" s="3">
        <v>0</v>
      </c>
      <c r="F12207" s="2">
        <v>1657</v>
      </c>
      <c r="G12207" s="2">
        <v>100</v>
      </c>
      <c r="H12207" s="2">
        <v>304</v>
      </c>
      <c r="I12207" s="2">
        <v>922</v>
      </c>
      <c r="J12207" s="2">
        <v>1833</v>
      </c>
      <c r="K12207" s="2">
        <v>37</v>
      </c>
      <c r="L12207" s="2">
        <v>340</v>
      </c>
    </row>
    <row r="12208" spans="1:12" x14ac:dyDescent="0.25">
      <c r="A12208" s="4" t="str">
        <f>HYPERLINK("http://www.rosaceae.org/Prunus/Prunus_persica/p.persica_gdr_reftransV1_0013569","p.persica_gdr_reftransV1_0013569")</f>
        <v>p.persica_gdr_reftransV1_0013569</v>
      </c>
      <c r="B12208" s="2">
        <v>637</v>
      </c>
      <c r="C12208" s="4" t="str">
        <f>HYPERLINK("http://www.uniprot.org/uniprot/M5WFJ8","M5WFJ8")</f>
        <v>M5WFJ8</v>
      </c>
      <c r="D12208" s="2" t="s">
        <v>10206</v>
      </c>
      <c r="E12208" s="3">
        <v>2.3899999999999999E-74</v>
      </c>
      <c r="F12208" s="2">
        <v>633</v>
      </c>
      <c r="G12208" s="2">
        <v>100</v>
      </c>
      <c r="H12208" s="2">
        <v>120</v>
      </c>
      <c r="I12208" s="2">
        <v>1</v>
      </c>
      <c r="J12208" s="2">
        <v>360</v>
      </c>
      <c r="K12208" s="2">
        <v>541</v>
      </c>
      <c r="L12208" s="2">
        <v>660</v>
      </c>
    </row>
    <row r="12209" spans="1:12" x14ac:dyDescent="0.25">
      <c r="A12209" s="4" t="str">
        <f>HYPERLINK("http://www.rosaceae.org/Prunus/Prunus_persica/p.persica_gdr_reftransV1_0014619","p.persica_gdr_reftransV1_0014619")</f>
        <v>p.persica_gdr_reftransV1_0014619</v>
      </c>
      <c r="B12209" s="2">
        <v>596</v>
      </c>
      <c r="C12209" s="4" t="str">
        <f>HYPERLINK("http://www.uniprot.org/uniprot/M5XIZ1","M5XIZ1")</f>
        <v>M5XIZ1</v>
      </c>
      <c r="D12209" s="2" t="s">
        <v>2881</v>
      </c>
      <c r="E12209" s="3">
        <v>1.6699999999999999E-63</v>
      </c>
      <c r="F12209" s="2">
        <v>518</v>
      </c>
      <c r="G12209" s="2">
        <v>97</v>
      </c>
      <c r="H12209" s="2">
        <v>99</v>
      </c>
      <c r="I12209" s="2">
        <v>255</v>
      </c>
      <c r="J12209" s="2">
        <v>551</v>
      </c>
      <c r="K12209" s="2">
        <v>30</v>
      </c>
      <c r="L12209" s="2">
        <v>128</v>
      </c>
    </row>
    <row r="12210" spans="1:12" x14ac:dyDescent="0.25">
      <c r="A12210" s="4" t="str">
        <f>HYPERLINK("http://www.rosaceae.org/Prunus/Prunus_persica/p.persica_gdr_reftransV1_0016719","p.persica_gdr_reftransV1_0016719")</f>
        <v>p.persica_gdr_reftransV1_0016719</v>
      </c>
      <c r="B12210" s="2">
        <v>1227</v>
      </c>
      <c r="C12210" s="4" t="str">
        <f>HYPERLINK("http://www.uniprot.org/uniprot/M5XVT3","M5XVT3")</f>
        <v>M5XVT3</v>
      </c>
      <c r="D12210" s="2" t="s">
        <v>10207</v>
      </c>
      <c r="E12210" s="3">
        <v>0</v>
      </c>
      <c r="F12210" s="2">
        <v>1397</v>
      </c>
      <c r="G12210" s="2">
        <v>100</v>
      </c>
      <c r="H12210" s="2">
        <v>336</v>
      </c>
      <c r="I12210" s="2">
        <v>218</v>
      </c>
      <c r="J12210" s="2">
        <v>1225</v>
      </c>
      <c r="K12210" s="2">
        <v>25</v>
      </c>
      <c r="L12210" s="2">
        <v>360</v>
      </c>
    </row>
    <row r="12211" spans="1:12" x14ac:dyDescent="0.25">
      <c r="A12211" s="4" t="str">
        <f>HYPERLINK("http://www.rosaceae.org/Prunus/Prunus_persica/p.persica_gdr_reftransV1_0017419","p.persica_gdr_reftransV1_0017419")</f>
        <v>p.persica_gdr_reftransV1_0017419</v>
      </c>
      <c r="B12211" s="2">
        <v>2116</v>
      </c>
      <c r="C12211" s="4" t="str">
        <f>HYPERLINK("http://www.uniprot.org/uniprot/M5WI72","M5WI72")</f>
        <v>M5WI72</v>
      </c>
      <c r="D12211" s="2" t="s">
        <v>10208</v>
      </c>
      <c r="E12211" s="3">
        <v>1.41E-171</v>
      </c>
      <c r="F12211" s="2">
        <v>1311</v>
      </c>
      <c r="G12211" s="2">
        <v>100</v>
      </c>
      <c r="H12211" s="2">
        <v>245</v>
      </c>
      <c r="I12211" s="2">
        <v>951</v>
      </c>
      <c r="J12211" s="2">
        <v>1685</v>
      </c>
      <c r="K12211" s="2">
        <v>159</v>
      </c>
      <c r="L12211" s="2">
        <v>403</v>
      </c>
    </row>
    <row r="12212" spans="1:12" x14ac:dyDescent="0.25">
      <c r="A12212" s="4" t="str">
        <f>HYPERLINK("http://www.rosaceae.org/Prunus/Prunus_persica/p.persica_gdr_reftransV1_0018119","p.persica_gdr_reftransV1_0018119")</f>
        <v>p.persica_gdr_reftransV1_0018119</v>
      </c>
      <c r="B12212" s="2">
        <v>1948</v>
      </c>
      <c r="C12212" s="4" t="str">
        <f>HYPERLINK("http://www.uniprot.org/uniprot/M5W5Q5","M5W5Q5")</f>
        <v>M5W5Q5</v>
      </c>
      <c r="D12212" s="2" t="s">
        <v>10209</v>
      </c>
      <c r="E12212" s="3">
        <v>0</v>
      </c>
      <c r="F12212" s="2">
        <v>2159</v>
      </c>
      <c r="G12212" s="2">
        <v>100</v>
      </c>
      <c r="H12212" s="2">
        <v>421</v>
      </c>
      <c r="I12212" s="2">
        <v>435</v>
      </c>
      <c r="J12212" s="2">
        <v>1697</v>
      </c>
      <c r="K12212" s="2">
        <v>1</v>
      </c>
      <c r="L12212" s="2">
        <v>421</v>
      </c>
    </row>
    <row r="12213" spans="1:12" x14ac:dyDescent="0.25">
      <c r="A12213" s="4" t="str">
        <f>HYPERLINK("http://www.rosaceae.org/Prunus/Prunus_persica/p.persica_gdr_reftransV1_0018819","p.persica_gdr_reftransV1_0018819")</f>
        <v>p.persica_gdr_reftransV1_0018819</v>
      </c>
      <c r="B12213" s="2">
        <v>2014</v>
      </c>
      <c r="C12213" s="4" t="str">
        <f>HYPERLINK("http://www.uniprot.org/uniprot/M5WK97","M5WK97")</f>
        <v>M5WK97</v>
      </c>
      <c r="D12213" s="2" t="s">
        <v>10210</v>
      </c>
      <c r="E12213" s="3">
        <v>0</v>
      </c>
      <c r="F12213" s="2">
        <v>1456</v>
      </c>
      <c r="G12213" s="2">
        <v>91</v>
      </c>
      <c r="H12213" s="2">
        <v>326</v>
      </c>
      <c r="I12213" s="2">
        <v>595</v>
      </c>
      <c r="J12213" s="2">
        <v>1572</v>
      </c>
      <c r="K12213" s="2">
        <v>178</v>
      </c>
      <c r="L12213" s="2">
        <v>475</v>
      </c>
    </row>
    <row r="12214" spans="1:12" x14ac:dyDescent="0.25">
      <c r="A12214" s="4" t="str">
        <f>HYPERLINK("http://www.rosaceae.org/Prunus/Prunus_persica/p.persica_gdr_reftransV1_0019169","p.persica_gdr_reftransV1_0019169")</f>
        <v>p.persica_gdr_reftransV1_0019169</v>
      </c>
      <c r="B12214" s="2">
        <v>2365</v>
      </c>
      <c r="C12214" s="4" t="str">
        <f>HYPERLINK("http://www.uniprot.org/uniprot/M5XWQ8","M5XWQ8")</f>
        <v>M5XWQ8</v>
      </c>
      <c r="D12214" s="2" t="s">
        <v>10211</v>
      </c>
      <c r="E12214" s="3">
        <v>0</v>
      </c>
      <c r="F12214" s="2">
        <v>1532</v>
      </c>
      <c r="G12214" s="2">
        <v>100</v>
      </c>
      <c r="H12214" s="2">
        <v>322</v>
      </c>
      <c r="I12214" s="2">
        <v>385</v>
      </c>
      <c r="J12214" s="2">
        <v>1350</v>
      </c>
      <c r="K12214" s="2">
        <v>106</v>
      </c>
      <c r="L12214" s="2">
        <v>427</v>
      </c>
    </row>
    <row r="12215" spans="1:12" x14ac:dyDescent="0.25">
      <c r="A12215" s="4" t="str">
        <f>HYPERLINK("http://www.rosaceae.org/Prunus/Prunus_persica/p.persica_gdr_reftransV1_0019869","p.persica_gdr_reftransV1_0019869")</f>
        <v>p.persica_gdr_reftransV1_0019869</v>
      </c>
      <c r="B12215" s="2">
        <v>1440</v>
      </c>
      <c r="C12215" s="4" t="str">
        <f>HYPERLINK("http://www.uniprot.org/uniprot/M5X5Q0","M5X5Q0")</f>
        <v>M5X5Q0</v>
      </c>
      <c r="D12215" s="2" t="s">
        <v>10212</v>
      </c>
      <c r="E12215" s="3">
        <v>0</v>
      </c>
      <c r="F12215" s="2">
        <v>2003</v>
      </c>
      <c r="G12215" s="2">
        <v>100</v>
      </c>
      <c r="H12215" s="2">
        <v>378</v>
      </c>
      <c r="I12215" s="2">
        <v>109</v>
      </c>
      <c r="J12215" s="2">
        <v>1242</v>
      </c>
      <c r="K12215" s="2">
        <v>1</v>
      </c>
      <c r="L12215" s="2">
        <v>378</v>
      </c>
    </row>
    <row r="12216" spans="1:12" x14ac:dyDescent="0.25">
      <c r="A12216" s="4" t="str">
        <f>HYPERLINK("http://www.rosaceae.org/Prunus/Prunus_persica/p.persica_gdr_reftransV1_0020219","p.persica_gdr_reftransV1_0020219")</f>
        <v>p.persica_gdr_reftransV1_0020219</v>
      </c>
      <c r="B12216" s="2">
        <v>1062</v>
      </c>
      <c r="C12216" s="4" t="str">
        <f>HYPERLINK("http://www.uniprot.org/uniprot/M5VNU8","M5VNU8")</f>
        <v>M5VNU8</v>
      </c>
      <c r="D12216" s="2" t="s">
        <v>10213</v>
      </c>
      <c r="E12216" s="3">
        <v>1.5800000000000001E-84</v>
      </c>
      <c r="F12216" s="2">
        <v>678</v>
      </c>
      <c r="G12216" s="2">
        <v>100</v>
      </c>
      <c r="H12216" s="2">
        <v>153</v>
      </c>
      <c r="I12216" s="2">
        <v>299</v>
      </c>
      <c r="J12216" s="2">
        <v>757</v>
      </c>
      <c r="K12216" s="2">
        <v>30</v>
      </c>
      <c r="L12216" s="2">
        <v>182</v>
      </c>
    </row>
    <row r="12217" spans="1:12" x14ac:dyDescent="0.25">
      <c r="A12217" s="4" t="str">
        <f>HYPERLINK("http://www.rosaceae.org/Prunus/Prunus_persica/p.persica_gdr_reftransV1_0020569","p.persica_gdr_reftransV1_0020569")</f>
        <v>p.persica_gdr_reftransV1_0020569</v>
      </c>
      <c r="B12217" s="2">
        <v>1133</v>
      </c>
      <c r="C12217" s="4" t="str">
        <f>HYPERLINK("http://www.uniprot.org/uniprot/M5VTN2","M5VTN2")</f>
        <v>M5VTN2</v>
      </c>
      <c r="D12217" s="2" t="s">
        <v>8664</v>
      </c>
      <c r="E12217" s="3">
        <v>6.3999999999999997E-143</v>
      </c>
      <c r="F12217" s="2">
        <v>1111</v>
      </c>
      <c r="G12217" s="2">
        <v>83</v>
      </c>
      <c r="H12217" s="2">
        <v>264</v>
      </c>
      <c r="I12217" s="2">
        <v>202</v>
      </c>
      <c r="J12217" s="2">
        <v>993</v>
      </c>
      <c r="K12217" s="2">
        <v>1</v>
      </c>
      <c r="L12217" s="2">
        <v>220</v>
      </c>
    </row>
    <row r="12218" spans="1:12" x14ac:dyDescent="0.25">
      <c r="A12218" s="4" t="str">
        <f>HYPERLINK("http://www.rosaceae.org/Prunus/Prunus_persica/p.persica_gdr_reftransV1_0021269","p.persica_gdr_reftransV1_0021269")</f>
        <v>p.persica_gdr_reftransV1_0021269</v>
      </c>
      <c r="B12218" s="2">
        <v>1259</v>
      </c>
      <c r="C12218" s="4" t="str">
        <f>HYPERLINK("http://www.uniprot.org/uniprot/M5WHL5","M5WHL5")</f>
        <v>M5WHL5</v>
      </c>
      <c r="D12218" s="2" t="s">
        <v>10214</v>
      </c>
      <c r="E12218" s="3">
        <v>0</v>
      </c>
      <c r="F12218" s="2">
        <v>1634</v>
      </c>
      <c r="G12218" s="2">
        <v>100</v>
      </c>
      <c r="H12218" s="2">
        <v>336</v>
      </c>
      <c r="I12218" s="2">
        <v>228</v>
      </c>
      <c r="J12218" s="2">
        <v>1235</v>
      </c>
      <c r="K12218" s="2">
        <v>1</v>
      </c>
      <c r="L12218" s="2">
        <v>336</v>
      </c>
    </row>
    <row r="12219" spans="1:12" x14ac:dyDescent="0.25">
      <c r="A12219" s="4" t="str">
        <f>HYPERLINK("http://www.rosaceae.org/Prunus/Prunus_persica/p.persica_gdr_reftransV1_0022319","p.persica_gdr_reftransV1_0022319")</f>
        <v>p.persica_gdr_reftransV1_0022319</v>
      </c>
      <c r="B12219" s="2">
        <v>1274</v>
      </c>
      <c r="C12219" s="4" t="str">
        <f>HYPERLINK("http://www.uniprot.org/uniprot/M5WBX3","M5WBX3")</f>
        <v>M5WBX3</v>
      </c>
      <c r="D12219" s="2" t="s">
        <v>10215</v>
      </c>
      <c r="E12219" s="3">
        <v>0</v>
      </c>
      <c r="F12219" s="2">
        <v>1594</v>
      </c>
      <c r="G12219" s="2">
        <v>92</v>
      </c>
      <c r="H12219" s="2">
        <v>321</v>
      </c>
      <c r="I12219" s="2">
        <v>252</v>
      </c>
      <c r="J12219" s="2">
        <v>1214</v>
      </c>
      <c r="K12219" s="2">
        <v>1</v>
      </c>
      <c r="L12219" s="2">
        <v>321</v>
      </c>
    </row>
    <row r="12220" spans="1:12" x14ac:dyDescent="0.25">
      <c r="A12220" s="4" t="str">
        <f>HYPERLINK("http://www.rosaceae.org/Prunus/Prunus_persica/p.persica_gdr_reftransV1_0023369","p.persica_gdr_reftransV1_0023369")</f>
        <v>p.persica_gdr_reftransV1_0023369</v>
      </c>
      <c r="B12220" s="2">
        <v>1442</v>
      </c>
      <c r="C12220" s="4" t="str">
        <f>HYPERLINK("http://www.uniprot.org/uniprot/M5X6S8","M5X6S8")</f>
        <v>M5X6S8</v>
      </c>
      <c r="D12220" s="2" t="s">
        <v>10216</v>
      </c>
      <c r="E12220" s="3">
        <v>4.4799999999999998E-90</v>
      </c>
      <c r="F12220" s="2">
        <v>731</v>
      </c>
      <c r="G12220" s="2">
        <v>99</v>
      </c>
      <c r="H12220" s="2">
        <v>177</v>
      </c>
      <c r="I12220" s="2">
        <v>798</v>
      </c>
      <c r="J12220" s="2">
        <v>1328</v>
      </c>
      <c r="K12220" s="2">
        <v>1</v>
      </c>
      <c r="L12220" s="2">
        <v>177</v>
      </c>
    </row>
    <row r="12221" spans="1:12" x14ac:dyDescent="0.25">
      <c r="A12221" s="4" t="str">
        <f>HYPERLINK("http://www.rosaceae.org/Prunus/Prunus_persica/p.persica_gdr_reftransV1_0027219","p.persica_gdr_reftransV1_0027219")</f>
        <v>p.persica_gdr_reftransV1_0027219</v>
      </c>
      <c r="B12221" s="2">
        <v>1864</v>
      </c>
      <c r="C12221" s="4" t="str">
        <f>HYPERLINK("http://www.uniprot.org/uniprot/M5W6T5","M5W6T5")</f>
        <v>M5W6T5</v>
      </c>
      <c r="D12221" s="2" t="s">
        <v>10217</v>
      </c>
      <c r="E12221" s="3">
        <v>0</v>
      </c>
      <c r="F12221" s="2">
        <v>1804</v>
      </c>
      <c r="G12221" s="2">
        <v>98</v>
      </c>
      <c r="H12221" s="2">
        <v>416</v>
      </c>
      <c r="I12221" s="2">
        <v>435</v>
      </c>
      <c r="J12221" s="2">
        <v>1682</v>
      </c>
      <c r="K12221" s="2">
        <v>10</v>
      </c>
      <c r="L12221" s="2">
        <v>418</v>
      </c>
    </row>
    <row r="12222" spans="1:12" x14ac:dyDescent="0.25">
      <c r="A12222" s="4" t="str">
        <f>HYPERLINK("http://www.rosaceae.org/Prunus/Prunus_persica/p.persica_gdr_reftransV1_0027919","p.persica_gdr_reftransV1_0027919")</f>
        <v>p.persica_gdr_reftransV1_0027919</v>
      </c>
      <c r="B12222" s="2">
        <v>2308</v>
      </c>
      <c r="C12222" s="4" t="str">
        <f>HYPERLINK("http://www.uniprot.org/uniprot/M5XC21","M5XC21")</f>
        <v>M5XC21</v>
      </c>
      <c r="D12222" s="2" t="s">
        <v>7235</v>
      </c>
      <c r="E12222" s="3">
        <v>0</v>
      </c>
      <c r="F12222" s="2">
        <v>2793</v>
      </c>
      <c r="G12222" s="2">
        <v>100</v>
      </c>
      <c r="H12222" s="2">
        <v>544</v>
      </c>
      <c r="I12222" s="2">
        <v>263</v>
      </c>
      <c r="J12222" s="2">
        <v>1894</v>
      </c>
      <c r="K12222" s="2">
        <v>1</v>
      </c>
      <c r="L12222" s="2">
        <v>544</v>
      </c>
    </row>
    <row r="12223" spans="1:12" x14ac:dyDescent="0.25">
      <c r="A12223" s="4" t="str">
        <f>HYPERLINK("http://www.rosaceae.org/Prunus/Prunus_persica/p.persica_gdr_reftransV1_0028619","p.persica_gdr_reftransV1_0028619")</f>
        <v>p.persica_gdr_reftransV1_0028619</v>
      </c>
      <c r="B12223" s="2">
        <v>3199</v>
      </c>
      <c r="C12223" s="4" t="str">
        <f>HYPERLINK("http://www.uniprot.org/uniprot/M5XRV1","M5XRV1")</f>
        <v>M5XRV1</v>
      </c>
      <c r="D12223" s="2" t="s">
        <v>10218</v>
      </c>
      <c r="E12223" s="3">
        <v>0</v>
      </c>
      <c r="F12223" s="2">
        <v>2559</v>
      </c>
      <c r="G12223" s="2">
        <v>100</v>
      </c>
      <c r="H12223" s="2">
        <v>479</v>
      </c>
      <c r="I12223" s="2">
        <v>737</v>
      </c>
      <c r="J12223" s="2">
        <v>2173</v>
      </c>
      <c r="K12223" s="2">
        <v>72</v>
      </c>
      <c r="L12223" s="2">
        <v>550</v>
      </c>
    </row>
    <row r="12224" spans="1:12" x14ac:dyDescent="0.25">
      <c r="A12224" s="4" t="str">
        <f>HYPERLINK("http://www.rosaceae.org/Prunus/Prunus_persica/p.persica_gdr_reftransV1_0030369","p.persica_gdr_reftransV1_0030369")</f>
        <v>p.persica_gdr_reftransV1_0030369</v>
      </c>
      <c r="B12224" s="2">
        <v>1254</v>
      </c>
      <c r="C12224" s="4" t="str">
        <f>HYPERLINK("http://www.uniprot.org/uniprot/M5XFX6","M5XFX6")</f>
        <v>M5XFX6</v>
      </c>
      <c r="D12224" s="2" t="s">
        <v>10219</v>
      </c>
      <c r="E12224" s="3">
        <v>0</v>
      </c>
      <c r="F12224" s="2">
        <v>1614</v>
      </c>
      <c r="G12224" s="2">
        <v>100</v>
      </c>
      <c r="H12224" s="2">
        <v>299</v>
      </c>
      <c r="I12224" s="2">
        <v>290</v>
      </c>
      <c r="J12224" s="2">
        <v>1186</v>
      </c>
      <c r="K12224" s="2">
        <v>1</v>
      </c>
      <c r="L12224" s="2">
        <v>299</v>
      </c>
    </row>
    <row r="12225" spans="1:12" x14ac:dyDescent="0.25">
      <c r="A12225" s="4" t="str">
        <f>HYPERLINK("http://www.rosaceae.org/Prunus/Prunus_persica/p.persica_gdr_reftransV1_0031419","p.persica_gdr_reftransV1_0031419")</f>
        <v>p.persica_gdr_reftransV1_0031419</v>
      </c>
      <c r="B12225" s="2">
        <v>1428</v>
      </c>
      <c r="C12225" s="4" t="str">
        <f>HYPERLINK("http://www.uniprot.org/uniprot/M5X6P1","M5X6P1")</f>
        <v>M5X6P1</v>
      </c>
      <c r="D12225" s="2" t="s">
        <v>10220</v>
      </c>
      <c r="E12225" s="3">
        <v>0</v>
      </c>
      <c r="F12225" s="2">
        <v>1744</v>
      </c>
      <c r="G12225" s="2">
        <v>97</v>
      </c>
      <c r="H12225" s="2">
        <v>358</v>
      </c>
      <c r="I12225" s="2">
        <v>220</v>
      </c>
      <c r="J12225" s="2">
        <v>1257</v>
      </c>
      <c r="K12225" s="2">
        <v>1</v>
      </c>
      <c r="L12225" s="2">
        <v>358</v>
      </c>
    </row>
    <row r="12226" spans="1:12" x14ac:dyDescent="0.25">
      <c r="A12226" s="4" t="str">
        <f>HYPERLINK("http://www.rosaceae.org/Prunus/Prunus_persica/p.persica_gdr_reftransV1_0032119","p.persica_gdr_reftransV1_0032119")</f>
        <v>p.persica_gdr_reftransV1_0032119</v>
      </c>
      <c r="B12226" s="2">
        <v>2900</v>
      </c>
      <c r="C12226" s="4" t="str">
        <f>HYPERLINK("http://www.uniprot.org/uniprot/M5X0L9","M5X0L9")</f>
        <v>M5X0L9</v>
      </c>
      <c r="D12226" s="2" t="s">
        <v>3322</v>
      </c>
      <c r="E12226" s="3">
        <v>0</v>
      </c>
      <c r="F12226" s="2">
        <v>2084</v>
      </c>
      <c r="G12226" s="2">
        <v>100</v>
      </c>
      <c r="H12226" s="2">
        <v>423</v>
      </c>
      <c r="I12226" s="2">
        <v>956</v>
      </c>
      <c r="J12226" s="2">
        <v>2224</v>
      </c>
      <c r="K12226" s="2">
        <v>27</v>
      </c>
      <c r="L12226" s="2">
        <v>449</v>
      </c>
    </row>
    <row r="12227" spans="1:12" x14ac:dyDescent="0.25">
      <c r="A12227" s="4" t="str">
        <f>HYPERLINK("http://www.rosaceae.org/Prunus/Prunus_persica/p.persica_gdr_reftransV1_0032819","p.persica_gdr_reftransV1_0032819")</f>
        <v>p.persica_gdr_reftransV1_0032819</v>
      </c>
      <c r="B12227" s="2">
        <v>3142</v>
      </c>
      <c r="C12227" s="4" t="str">
        <f>HYPERLINK("http://www.uniprot.org/uniprot/M5WTT3","M5WTT3")</f>
        <v>M5WTT3</v>
      </c>
      <c r="D12227" s="2" t="s">
        <v>10221</v>
      </c>
      <c r="E12227" s="3">
        <v>4.1200000000000001E-53</v>
      </c>
      <c r="F12227" s="2">
        <v>492</v>
      </c>
      <c r="G12227" s="2">
        <v>100</v>
      </c>
      <c r="H12227" s="2">
        <v>92</v>
      </c>
      <c r="I12227" s="2">
        <v>378</v>
      </c>
      <c r="J12227" s="2">
        <v>653</v>
      </c>
      <c r="K12227" s="2">
        <v>1</v>
      </c>
      <c r="L12227" s="2">
        <v>92</v>
      </c>
    </row>
    <row r="12228" spans="1:12" x14ac:dyDescent="0.25">
      <c r="A12228" s="4" t="str">
        <f>HYPERLINK("http://www.rosaceae.org/Prunus/Prunus_persica/p.persica_gdr_reftransV1_0033169","p.persica_gdr_reftransV1_0033169")</f>
        <v>p.persica_gdr_reftransV1_0033169</v>
      </c>
      <c r="B12228" s="2">
        <v>2950</v>
      </c>
      <c r="C12228" s="4" t="str">
        <f>HYPERLINK("http://www.uniprot.org/uniprot/M5WEJ9","M5WEJ9")</f>
        <v>M5WEJ9</v>
      </c>
      <c r="D12228" s="2" t="s">
        <v>10222</v>
      </c>
      <c r="E12228" s="3">
        <v>9.5699999999999994E-131</v>
      </c>
      <c r="F12228" s="2">
        <v>1060</v>
      </c>
      <c r="G12228" s="2">
        <v>99</v>
      </c>
      <c r="H12228" s="2">
        <v>199</v>
      </c>
      <c r="I12228" s="2">
        <v>282</v>
      </c>
      <c r="J12228" s="2">
        <v>878</v>
      </c>
      <c r="K12228" s="2">
        <v>208</v>
      </c>
      <c r="L12228" s="2">
        <v>406</v>
      </c>
    </row>
    <row r="12229" spans="1:12" x14ac:dyDescent="0.25">
      <c r="A12229" s="4" t="str">
        <f>HYPERLINK("http://www.rosaceae.org/Prunus/Prunus_persica/p.persica_gdr_reftransV1_0033869","p.persica_gdr_reftransV1_0033869")</f>
        <v>p.persica_gdr_reftransV1_0033869</v>
      </c>
      <c r="B12229" s="2">
        <v>2387</v>
      </c>
      <c r="C12229" s="4" t="str">
        <f>HYPERLINK("http://www.uniprot.org/uniprot/M5WYX1","M5WYX1")</f>
        <v>M5WYX1</v>
      </c>
      <c r="D12229" s="2" t="s">
        <v>10223</v>
      </c>
      <c r="E12229" s="3">
        <v>1.8399999999999999E-178</v>
      </c>
      <c r="F12229" s="2">
        <v>1374</v>
      </c>
      <c r="G12229" s="2">
        <v>100</v>
      </c>
      <c r="H12229" s="2">
        <v>386</v>
      </c>
      <c r="I12229" s="2">
        <v>304</v>
      </c>
      <c r="J12229" s="2">
        <v>1461</v>
      </c>
      <c r="K12229" s="2">
        <v>1</v>
      </c>
      <c r="L12229" s="2">
        <v>386</v>
      </c>
    </row>
    <row r="12230" spans="1:12" x14ac:dyDescent="0.25">
      <c r="A12230" s="4" t="str">
        <f>HYPERLINK("http://www.rosaceae.org/Prunus/Prunus_persica/p.persica_gdr_reftransV1_0034919","p.persica_gdr_reftransV1_0034919")</f>
        <v>p.persica_gdr_reftransV1_0034919</v>
      </c>
      <c r="B12230" s="2">
        <v>967</v>
      </c>
      <c r="C12230" s="4" t="str">
        <f>HYPERLINK("http://www.uniprot.org/uniprot/M5WHU0","M5WHU0")</f>
        <v>M5WHU0</v>
      </c>
      <c r="D12230" s="2" t="s">
        <v>10224</v>
      </c>
      <c r="E12230" s="3">
        <v>7.9400000000000001E-85</v>
      </c>
      <c r="F12230" s="2">
        <v>679</v>
      </c>
      <c r="G12230" s="2">
        <v>100</v>
      </c>
      <c r="H12230" s="2">
        <v>173</v>
      </c>
      <c r="I12230" s="2">
        <v>1</v>
      </c>
      <c r="J12230" s="2">
        <v>519</v>
      </c>
      <c r="K12230" s="2">
        <v>1</v>
      </c>
      <c r="L12230" s="2">
        <v>173</v>
      </c>
    </row>
    <row r="12231" spans="1:12" x14ac:dyDescent="0.25">
      <c r="A12231" s="4" t="str">
        <f>HYPERLINK("http://www.rosaceae.org/Prunus/Prunus_persica/p.persica_gdr_reftransV1_0035269","p.persica_gdr_reftransV1_0035269")</f>
        <v>p.persica_gdr_reftransV1_0035269</v>
      </c>
      <c r="B12231" s="2">
        <v>2808</v>
      </c>
      <c r="C12231" s="4" t="str">
        <f>HYPERLINK("http://www.uniprot.org/uniprot/M5XU99","M5XU99")</f>
        <v>M5XU99</v>
      </c>
      <c r="D12231" s="2" t="s">
        <v>4793</v>
      </c>
      <c r="E12231" s="3">
        <v>0</v>
      </c>
      <c r="F12231" s="2">
        <v>3184</v>
      </c>
      <c r="G12231" s="2">
        <v>96</v>
      </c>
      <c r="H12231" s="2">
        <v>731</v>
      </c>
      <c r="I12231" s="2">
        <v>381</v>
      </c>
      <c r="J12231" s="2">
        <v>2492</v>
      </c>
      <c r="K12231" s="2">
        <v>1</v>
      </c>
      <c r="L12231" s="2">
        <v>731</v>
      </c>
    </row>
    <row r="12232" spans="1:12" x14ac:dyDescent="0.25">
      <c r="A12232" s="4" t="str">
        <f>HYPERLINK("http://www.rosaceae.org/Prunus/Prunus_persica/p.persica_gdr_reftransV1_0035619","p.persica_gdr_reftransV1_0035619")</f>
        <v>p.persica_gdr_reftransV1_0035619</v>
      </c>
      <c r="B12232" s="2">
        <v>3976</v>
      </c>
      <c r="C12232" s="4" t="str">
        <f>HYPERLINK("http://www.uniprot.org/uniprot/M5WTQ5","M5WTQ5")</f>
        <v>M5WTQ5</v>
      </c>
      <c r="D12232" s="2" t="s">
        <v>10225</v>
      </c>
      <c r="E12232" s="3">
        <v>4.7000000000000002E-146</v>
      </c>
      <c r="F12232" s="2">
        <v>1188</v>
      </c>
      <c r="G12232" s="2">
        <v>100</v>
      </c>
      <c r="H12232" s="2">
        <v>223</v>
      </c>
      <c r="I12232" s="2">
        <v>550</v>
      </c>
      <c r="J12232" s="2">
        <v>1218</v>
      </c>
      <c r="K12232" s="2">
        <v>1</v>
      </c>
      <c r="L12232" s="2">
        <v>223</v>
      </c>
    </row>
    <row r="12233" spans="1:12" x14ac:dyDescent="0.25">
      <c r="A12233" s="4" t="str">
        <f>HYPERLINK("http://www.rosaceae.org/Prunus/Prunus_persica/p.persica_gdr_reftransV1_0036319","p.persica_gdr_reftransV1_0036319")</f>
        <v>p.persica_gdr_reftransV1_0036319</v>
      </c>
      <c r="B12233" s="2">
        <v>1482</v>
      </c>
      <c r="C12233" s="4" t="str">
        <f>HYPERLINK("http://www.uniprot.org/uniprot/M5VWN2","M5VWN2")</f>
        <v>M5VWN2</v>
      </c>
      <c r="D12233" s="2" t="s">
        <v>9325</v>
      </c>
      <c r="E12233" s="3">
        <v>0</v>
      </c>
      <c r="F12233" s="2">
        <v>2091</v>
      </c>
      <c r="G12233" s="2">
        <v>100</v>
      </c>
      <c r="H12233" s="2">
        <v>452</v>
      </c>
      <c r="I12233" s="2">
        <v>125</v>
      </c>
      <c r="J12233" s="2">
        <v>1480</v>
      </c>
      <c r="K12233" s="2">
        <v>258</v>
      </c>
      <c r="L12233" s="2">
        <v>709</v>
      </c>
    </row>
    <row r="12234" spans="1:12" x14ac:dyDescent="0.25">
      <c r="A12234" s="4" t="str">
        <f>HYPERLINK("http://www.rosaceae.org/Prunus/Prunus_persica/p.persica_gdr_reftransV1_0037719","p.persica_gdr_reftransV1_0037719")</f>
        <v>p.persica_gdr_reftransV1_0037719</v>
      </c>
      <c r="B12234" s="2">
        <v>1062</v>
      </c>
      <c r="C12234" s="4" t="str">
        <f>HYPERLINK("http://www.uniprot.org/uniprot/M5WHH9","M5WHH9")</f>
        <v>M5WHH9</v>
      </c>
      <c r="D12234" s="2" t="s">
        <v>10226</v>
      </c>
      <c r="E12234" s="3">
        <v>0</v>
      </c>
      <c r="F12234" s="2">
        <v>1413</v>
      </c>
      <c r="G12234" s="2">
        <v>100</v>
      </c>
      <c r="H12234" s="2">
        <v>263</v>
      </c>
      <c r="I12234" s="2">
        <v>274</v>
      </c>
      <c r="J12234" s="2">
        <v>1062</v>
      </c>
      <c r="K12234" s="2">
        <v>140</v>
      </c>
      <c r="L12234" s="2">
        <v>402</v>
      </c>
    </row>
    <row r="12235" spans="1:12" x14ac:dyDescent="0.25">
      <c r="A12235" s="4" t="str">
        <f>HYPERLINK("http://www.rosaceae.org/Prunus/Prunus_persica/p.persica_gdr_reftransV1_0040869","p.persica_gdr_reftransV1_0040869")</f>
        <v>p.persica_gdr_reftransV1_0040869</v>
      </c>
      <c r="B12235" s="2">
        <v>2472</v>
      </c>
      <c r="C12235" s="4" t="str">
        <f>HYPERLINK("http://www.uniprot.org/uniprot/M5WHC3","M5WHC3")</f>
        <v>M5WHC3</v>
      </c>
      <c r="D12235" s="2" t="s">
        <v>596</v>
      </c>
      <c r="E12235" s="3">
        <v>4.2899999999999999E-146</v>
      </c>
      <c r="F12235" s="2">
        <v>1170</v>
      </c>
      <c r="G12235" s="2">
        <v>100</v>
      </c>
      <c r="H12235" s="2">
        <v>236</v>
      </c>
      <c r="I12235" s="2">
        <v>1669</v>
      </c>
      <c r="J12235" s="2">
        <v>2376</v>
      </c>
      <c r="K12235" s="2">
        <v>1</v>
      </c>
      <c r="L12235" s="2">
        <v>236</v>
      </c>
    </row>
    <row r="12236" spans="1:12" x14ac:dyDescent="0.25">
      <c r="A12236" s="4" t="str">
        <f>HYPERLINK("http://www.rosaceae.org/Prunus/Prunus_persica/p.persica_gdr_reftransV1_0041569","p.persica_gdr_reftransV1_0041569")</f>
        <v>p.persica_gdr_reftransV1_0041569</v>
      </c>
      <c r="B12236" s="2">
        <v>1094</v>
      </c>
      <c r="C12236" s="4" t="str">
        <f>HYPERLINK("http://www.uniprot.org/uniprot/M5WYJ6","M5WYJ6")</f>
        <v>M5WYJ6</v>
      </c>
      <c r="D12236" s="2" t="s">
        <v>10227</v>
      </c>
      <c r="E12236" s="3">
        <v>4.2400000000000003E-52</v>
      </c>
      <c r="F12236" s="2">
        <v>497</v>
      </c>
      <c r="G12236" s="2">
        <v>87</v>
      </c>
      <c r="H12236" s="2">
        <v>159</v>
      </c>
      <c r="I12236" s="2">
        <v>617</v>
      </c>
      <c r="J12236" s="2">
        <v>1093</v>
      </c>
      <c r="K12236" s="2">
        <v>8</v>
      </c>
      <c r="L12236" s="2">
        <v>153</v>
      </c>
    </row>
    <row r="12237" spans="1:12" x14ac:dyDescent="0.25">
      <c r="A12237" s="4" t="str">
        <f>HYPERLINK("http://www.rosaceae.org/Prunus/Prunus_persica/p.persica_gdr_reftransV1_0042269","p.persica_gdr_reftransV1_0042269")</f>
        <v>p.persica_gdr_reftransV1_0042269</v>
      </c>
      <c r="B12237" s="2">
        <v>4309</v>
      </c>
      <c r="C12237" s="4" t="str">
        <f>HYPERLINK("http://www.uniprot.org/uniprot/M5WDU1","M5WDU1")</f>
        <v>M5WDU1</v>
      </c>
      <c r="D12237" s="2" t="s">
        <v>4189</v>
      </c>
      <c r="E12237" s="3">
        <v>2.32E-129</v>
      </c>
      <c r="F12237" s="2">
        <v>1092</v>
      </c>
      <c r="G12237" s="2">
        <v>99</v>
      </c>
      <c r="H12237" s="2">
        <v>206</v>
      </c>
      <c r="I12237" s="2">
        <v>1200</v>
      </c>
      <c r="J12237" s="2">
        <v>1817</v>
      </c>
      <c r="K12237" s="2">
        <v>151</v>
      </c>
      <c r="L12237" s="2">
        <v>356</v>
      </c>
    </row>
    <row r="12238" spans="1:12" x14ac:dyDescent="0.25">
      <c r="A12238" s="4" t="str">
        <f>HYPERLINK("http://www.rosaceae.org/Prunus/Prunus_persica/p.persica_gdr_reftransV1_0042969","p.persica_gdr_reftransV1_0042969")</f>
        <v>p.persica_gdr_reftransV1_0042969</v>
      </c>
      <c r="B12238" s="2">
        <v>3535</v>
      </c>
      <c r="C12238" s="4" t="str">
        <f>HYPERLINK("http://www.uniprot.org/uniprot/M5X7N3","M5X7N3")</f>
        <v>M5X7N3</v>
      </c>
      <c r="D12238" s="2" t="s">
        <v>10228</v>
      </c>
      <c r="E12238" s="3">
        <v>7.5499999999999999E-152</v>
      </c>
      <c r="F12238" s="2">
        <v>1215</v>
      </c>
      <c r="G12238" s="2">
        <v>100</v>
      </c>
      <c r="H12238" s="2">
        <v>233</v>
      </c>
      <c r="I12238" s="2">
        <v>2732</v>
      </c>
      <c r="J12238" s="2">
        <v>3430</v>
      </c>
      <c r="K12238" s="2">
        <v>1</v>
      </c>
      <c r="L12238" s="2">
        <v>233</v>
      </c>
    </row>
    <row r="12239" spans="1:12" x14ac:dyDescent="0.25">
      <c r="A12239" s="4" t="str">
        <f>HYPERLINK("http://www.rosaceae.org/Prunus/Prunus_persica/p.persica_gdr_reftransV1_0043319","p.persica_gdr_reftransV1_0043319")</f>
        <v>p.persica_gdr_reftransV1_0043319</v>
      </c>
      <c r="B12239" s="2">
        <v>2130</v>
      </c>
      <c r="C12239" s="4" t="str">
        <f>HYPERLINK("http://www.uniprot.org/uniprot/M5VWD4","M5VWD4")</f>
        <v>M5VWD4</v>
      </c>
      <c r="D12239" s="2" t="s">
        <v>6470</v>
      </c>
      <c r="E12239" s="3">
        <v>0</v>
      </c>
      <c r="F12239" s="2">
        <v>3096</v>
      </c>
      <c r="G12239" s="2">
        <v>100</v>
      </c>
      <c r="H12239" s="2">
        <v>573</v>
      </c>
      <c r="I12239" s="2">
        <v>259</v>
      </c>
      <c r="J12239" s="2">
        <v>1977</v>
      </c>
      <c r="K12239" s="2">
        <v>1</v>
      </c>
      <c r="L12239" s="2">
        <v>573</v>
      </c>
    </row>
    <row r="12240" spans="1:12" x14ac:dyDescent="0.25">
      <c r="A12240" s="4" t="str">
        <f>HYPERLINK("http://www.rosaceae.org/Prunus/Prunus_persica/p.persica_gdr_reftransV1_0043669","p.persica_gdr_reftransV1_0043669")</f>
        <v>p.persica_gdr_reftransV1_0043669</v>
      </c>
      <c r="B12240" s="2">
        <v>3322</v>
      </c>
      <c r="C12240" s="4" t="str">
        <f>HYPERLINK("http://www.uniprot.org/uniprot/M5X039","M5X039")</f>
        <v>M5X039</v>
      </c>
      <c r="D12240" s="2" t="s">
        <v>7182</v>
      </c>
      <c r="E12240" s="3">
        <v>0</v>
      </c>
      <c r="F12240" s="2">
        <v>4495</v>
      </c>
      <c r="G12240" s="2">
        <v>100</v>
      </c>
      <c r="H12240" s="2">
        <v>866</v>
      </c>
      <c r="I12240" s="2">
        <v>2</v>
      </c>
      <c r="J12240" s="2">
        <v>2599</v>
      </c>
      <c r="K12240" s="2">
        <v>380</v>
      </c>
      <c r="L12240" s="2">
        <v>1245</v>
      </c>
    </row>
    <row r="12241" spans="1:12" x14ac:dyDescent="0.25">
      <c r="A12241" s="4" t="str">
        <f>HYPERLINK("http://www.rosaceae.org/Prunus/Prunus_persica/p.persica_gdr_reftransV1_0044019","p.persica_gdr_reftransV1_0044019")</f>
        <v>p.persica_gdr_reftransV1_0044019</v>
      </c>
      <c r="B12241" s="2">
        <v>1429</v>
      </c>
      <c r="C12241" s="4" t="str">
        <f>HYPERLINK("http://www.uniprot.org/uniprot/M5WRP8","M5WRP8")</f>
        <v>M5WRP8</v>
      </c>
      <c r="D12241" s="2" t="s">
        <v>10229</v>
      </c>
      <c r="E12241" s="3">
        <v>0</v>
      </c>
      <c r="F12241" s="2">
        <v>1779</v>
      </c>
      <c r="G12241" s="2">
        <v>100</v>
      </c>
      <c r="H12241" s="2">
        <v>358</v>
      </c>
      <c r="I12241" s="2">
        <v>329</v>
      </c>
      <c r="J12241" s="2">
        <v>1402</v>
      </c>
      <c r="K12241" s="2">
        <v>1</v>
      </c>
      <c r="L12241" s="2">
        <v>358</v>
      </c>
    </row>
    <row r="12242" spans="1:12" x14ac:dyDescent="0.25">
      <c r="A12242" s="4" t="str">
        <f>HYPERLINK("http://www.rosaceae.org/Prunus/Prunus_persica/p.persica_gdr_reftransV1_0044369","p.persica_gdr_reftransV1_0044369")</f>
        <v>p.persica_gdr_reftransV1_0044369</v>
      </c>
      <c r="B12242" s="2">
        <v>820</v>
      </c>
      <c r="C12242" s="4" t="str">
        <f>HYPERLINK("http://www.uniprot.org/uniprot/M5WRG1","M5WRG1")</f>
        <v>M5WRG1</v>
      </c>
      <c r="D12242" s="2" t="s">
        <v>10230</v>
      </c>
      <c r="E12242" s="3">
        <v>9.7699999999999996E-111</v>
      </c>
      <c r="F12242" s="2">
        <v>843</v>
      </c>
      <c r="G12242" s="2">
        <v>99</v>
      </c>
      <c r="H12242" s="2">
        <v>172</v>
      </c>
      <c r="I12242" s="2">
        <v>110</v>
      </c>
      <c r="J12242" s="2">
        <v>625</v>
      </c>
      <c r="K12242" s="2">
        <v>1</v>
      </c>
      <c r="L12242" s="2">
        <v>172</v>
      </c>
    </row>
    <row r="12243" spans="1:12" x14ac:dyDescent="0.25">
      <c r="A12243" s="4" t="str">
        <f>HYPERLINK("http://www.rosaceae.org/Prunus/Prunus_persica/p.persica_gdr_reftransV1_0044719","p.persica_gdr_reftransV1_0044719")</f>
        <v>p.persica_gdr_reftransV1_0044719</v>
      </c>
      <c r="B12243" s="2">
        <v>2123</v>
      </c>
      <c r="C12243" s="4" t="str">
        <f>HYPERLINK("http://www.uniprot.org/uniprot/M5XR99","M5XR99")</f>
        <v>M5XR99</v>
      </c>
      <c r="D12243" s="2" t="s">
        <v>473</v>
      </c>
      <c r="E12243" s="3">
        <v>0</v>
      </c>
      <c r="F12243" s="2">
        <v>2473</v>
      </c>
      <c r="G12243" s="2">
        <v>91</v>
      </c>
      <c r="H12243" s="2">
        <v>569</v>
      </c>
      <c r="I12243" s="2">
        <v>73</v>
      </c>
      <c r="J12243" s="2">
        <v>1779</v>
      </c>
      <c r="K12243" s="2">
        <v>1</v>
      </c>
      <c r="L12243" s="2">
        <v>517</v>
      </c>
    </row>
    <row r="12244" spans="1:12" x14ac:dyDescent="0.25">
      <c r="A12244" s="4" t="str">
        <f>HYPERLINK("http://www.rosaceae.org/Prunus/Prunus_persica/p.persica_gdr_reftransV1_0045069","p.persica_gdr_reftransV1_0045069")</f>
        <v>p.persica_gdr_reftransV1_0045069</v>
      </c>
      <c r="B12244" s="2">
        <v>558</v>
      </c>
      <c r="C12244" s="4" t="str">
        <f>HYPERLINK("http://www.uniprot.org/uniprot/M5WEQ8","M5WEQ8")</f>
        <v>M5WEQ8</v>
      </c>
      <c r="D12244" s="2" t="s">
        <v>10231</v>
      </c>
      <c r="E12244" s="3">
        <v>1.6499999999999999E-103</v>
      </c>
      <c r="F12244" s="2">
        <v>790</v>
      </c>
      <c r="G12244" s="2">
        <v>100</v>
      </c>
      <c r="H12244" s="2">
        <v>166</v>
      </c>
      <c r="I12244" s="2">
        <v>60</v>
      </c>
      <c r="J12244" s="2">
        <v>557</v>
      </c>
      <c r="K12244" s="2">
        <v>1</v>
      </c>
      <c r="L12244" s="2">
        <v>166</v>
      </c>
    </row>
    <row r="12245" spans="1:12" x14ac:dyDescent="0.25">
      <c r="A12245" s="4" t="str">
        <f>HYPERLINK("http://www.rosaceae.org/Prunus/Prunus_persica/p.persica_gdr_reftransV1_0045769","p.persica_gdr_reftransV1_0045769")</f>
        <v>p.persica_gdr_reftransV1_0045769</v>
      </c>
      <c r="B12245" s="2">
        <v>1257</v>
      </c>
      <c r="C12245" s="4" t="str">
        <f>HYPERLINK("http://www.uniprot.org/uniprot/M5WCJ0","M5WCJ0")</f>
        <v>M5WCJ0</v>
      </c>
      <c r="D12245" s="2" t="s">
        <v>3446</v>
      </c>
      <c r="E12245" s="3">
        <v>4.7500000000000002E-126</v>
      </c>
      <c r="F12245" s="2">
        <v>966</v>
      </c>
      <c r="G12245" s="2">
        <v>100</v>
      </c>
      <c r="H12245" s="2">
        <v>241</v>
      </c>
      <c r="I12245" s="2">
        <v>367</v>
      </c>
      <c r="J12245" s="2">
        <v>1089</v>
      </c>
      <c r="K12245" s="2">
        <v>1</v>
      </c>
      <c r="L12245" s="2">
        <v>241</v>
      </c>
    </row>
    <row r="12246" spans="1:12" x14ac:dyDescent="0.25">
      <c r="A12246" s="4" t="str">
        <f>HYPERLINK("http://www.rosaceae.org/Prunus/Prunus_persica/p.persica_gdr_reftransV1_0046469","p.persica_gdr_reftransV1_0046469")</f>
        <v>p.persica_gdr_reftransV1_0046469</v>
      </c>
      <c r="B12246" s="2">
        <v>1299</v>
      </c>
      <c r="C12246" s="4" t="str">
        <f>HYPERLINK("http://www.uniprot.org/uniprot/L7XVW3","L7XVW3")</f>
        <v>L7XVW3</v>
      </c>
      <c r="D12246" s="2" t="s">
        <v>10232</v>
      </c>
      <c r="E12246" s="3">
        <v>2.42E-130</v>
      </c>
      <c r="F12246" s="2">
        <v>993</v>
      </c>
      <c r="G12246" s="2">
        <v>96</v>
      </c>
      <c r="H12246" s="2">
        <v>210</v>
      </c>
      <c r="I12246" s="2">
        <v>383</v>
      </c>
      <c r="J12246" s="2">
        <v>1012</v>
      </c>
      <c r="K12246" s="2">
        <v>1</v>
      </c>
      <c r="L12246" s="2">
        <v>210</v>
      </c>
    </row>
    <row r="12247" spans="1:12" x14ac:dyDescent="0.25">
      <c r="A12247" s="4" t="str">
        <f>HYPERLINK("http://www.rosaceae.org/Prunus/Prunus_persica/p.persica_gdr_reftransV1_0046819","p.persica_gdr_reftransV1_0046819")</f>
        <v>p.persica_gdr_reftransV1_0046819</v>
      </c>
      <c r="B12247" s="2">
        <v>1667</v>
      </c>
      <c r="C12247" s="4" t="str">
        <f>HYPERLINK("http://www.uniprot.org/uniprot/M5XGC0","M5XGC0")</f>
        <v>M5XGC0</v>
      </c>
      <c r="D12247" s="2" t="s">
        <v>10233</v>
      </c>
      <c r="E12247" s="3">
        <v>0</v>
      </c>
      <c r="F12247" s="2">
        <v>1702</v>
      </c>
      <c r="G12247" s="2">
        <v>100</v>
      </c>
      <c r="H12247" s="2">
        <v>374</v>
      </c>
      <c r="I12247" s="2">
        <v>211</v>
      </c>
      <c r="J12247" s="2">
        <v>1332</v>
      </c>
      <c r="K12247" s="2">
        <v>1</v>
      </c>
      <c r="L12247" s="2">
        <v>374</v>
      </c>
    </row>
    <row r="12248" spans="1:12" x14ac:dyDescent="0.25">
      <c r="A12248" s="4" t="str">
        <f>HYPERLINK("http://www.rosaceae.org/Prunus/Prunus_persica/p.persica_gdr_reftransV1_0047519","p.persica_gdr_reftransV1_0047519")</f>
        <v>p.persica_gdr_reftransV1_0047519</v>
      </c>
      <c r="B12248" s="2">
        <v>442</v>
      </c>
      <c r="C12248" s="4" t="str">
        <f>HYPERLINK("http://www.uniprot.org/uniprot/M5Y5Q6","M5Y5Q6")</f>
        <v>M5Y5Q6</v>
      </c>
      <c r="D12248" s="2" t="s">
        <v>626</v>
      </c>
      <c r="E12248" s="3">
        <v>3.93E-83</v>
      </c>
      <c r="F12248" s="2">
        <v>644</v>
      </c>
      <c r="G12248" s="2">
        <v>88</v>
      </c>
      <c r="H12248" s="2">
        <v>144</v>
      </c>
      <c r="I12248" s="2">
        <v>11</v>
      </c>
      <c r="J12248" s="2">
        <v>442</v>
      </c>
      <c r="K12248" s="2">
        <v>4</v>
      </c>
      <c r="L12248" s="2">
        <v>140</v>
      </c>
    </row>
    <row r="12249" spans="1:12" x14ac:dyDescent="0.25">
      <c r="A12249" s="4" t="str">
        <f>HYPERLINK("http://www.rosaceae.org/Prunus/Prunus_persica/p.persica_gdr_reftransV1_0048219","p.persica_gdr_reftransV1_0048219")</f>
        <v>p.persica_gdr_reftransV1_0048219</v>
      </c>
      <c r="B12249" s="2">
        <v>2676</v>
      </c>
      <c r="C12249" s="4" t="str">
        <f>HYPERLINK("http://www.uniprot.org/uniprot/M5WDZ5","M5WDZ5")</f>
        <v>M5WDZ5</v>
      </c>
      <c r="D12249" s="2" t="s">
        <v>10234</v>
      </c>
      <c r="E12249" s="3">
        <v>0</v>
      </c>
      <c r="F12249" s="2">
        <v>3312</v>
      </c>
      <c r="G12249" s="2">
        <v>100</v>
      </c>
      <c r="H12249" s="2">
        <v>693</v>
      </c>
      <c r="I12249" s="2">
        <v>206</v>
      </c>
      <c r="J12249" s="2">
        <v>2284</v>
      </c>
      <c r="K12249" s="2">
        <v>3</v>
      </c>
      <c r="L12249" s="2">
        <v>695</v>
      </c>
    </row>
    <row r="12250" spans="1:12" x14ac:dyDescent="0.25">
      <c r="A12250" s="4" t="str">
        <f>HYPERLINK("http://www.rosaceae.org/Prunus/Prunus_persica/p.persica_gdr_reftransV1_0048569","p.persica_gdr_reftransV1_0048569")</f>
        <v>p.persica_gdr_reftransV1_0048569</v>
      </c>
      <c r="B12250" s="2">
        <v>308</v>
      </c>
      <c r="C12250" s="4" t="str">
        <f>HYPERLINK("http://www.uniprot.org/uniprot/M5WMP3","M5WMP3")</f>
        <v>M5WMP3</v>
      </c>
      <c r="D12250" s="2" t="s">
        <v>10235</v>
      </c>
      <c r="E12250" s="3">
        <v>5.8200000000000005E-48</v>
      </c>
      <c r="F12250" s="2">
        <v>438</v>
      </c>
      <c r="G12250" s="2">
        <v>99</v>
      </c>
      <c r="H12250" s="2">
        <v>102</v>
      </c>
      <c r="I12250" s="2">
        <v>1</v>
      </c>
      <c r="J12250" s="2">
        <v>306</v>
      </c>
      <c r="K12250" s="2">
        <v>383</v>
      </c>
      <c r="L12250" s="2">
        <v>484</v>
      </c>
    </row>
    <row r="12251" spans="1:12" x14ac:dyDescent="0.25">
      <c r="A12251" s="4" t="str">
        <f>HYPERLINK("http://www.rosaceae.org/Prunus/Prunus_persica/p.persica_gdr_reftransV1_0000270","p.persica_gdr_reftransV1_0000270")</f>
        <v>p.persica_gdr_reftransV1_0000270</v>
      </c>
      <c r="B12251" s="2">
        <v>994</v>
      </c>
      <c r="C12251" s="4" t="str">
        <f>HYPERLINK("http://www.uniprot.org/uniprot/M5W0J6","M5W0J6")</f>
        <v>M5W0J6</v>
      </c>
      <c r="D12251" s="2" t="s">
        <v>10236</v>
      </c>
      <c r="E12251" s="3">
        <v>2.8799999999999998E-112</v>
      </c>
      <c r="F12251" s="2">
        <v>858</v>
      </c>
      <c r="G12251" s="2">
        <v>100</v>
      </c>
      <c r="H12251" s="2">
        <v>164</v>
      </c>
      <c r="I12251" s="2">
        <v>183</v>
      </c>
      <c r="J12251" s="2">
        <v>674</v>
      </c>
      <c r="K12251" s="2">
        <v>1</v>
      </c>
      <c r="L12251" s="2">
        <v>164</v>
      </c>
    </row>
    <row r="12252" spans="1:12" x14ac:dyDescent="0.25">
      <c r="A12252" s="4" t="str">
        <f>HYPERLINK("http://www.rosaceae.org/Prunus/Prunus_persica/p.persica_gdr_reftransV1_0000620","p.persica_gdr_reftransV1_0000620")</f>
        <v>p.persica_gdr_reftransV1_0000620</v>
      </c>
      <c r="B12252" s="2">
        <v>1221</v>
      </c>
      <c r="C12252" s="4" t="str">
        <f>HYPERLINK("http://www.uniprot.org/uniprot/M5WUV6","M5WUV6")</f>
        <v>M5WUV6</v>
      </c>
      <c r="D12252" s="2" t="s">
        <v>10237</v>
      </c>
      <c r="E12252" s="3">
        <v>3.8599999999999998E-178</v>
      </c>
      <c r="F12252" s="2">
        <v>1311</v>
      </c>
      <c r="G12252" s="2">
        <v>100</v>
      </c>
      <c r="H12252" s="2">
        <v>269</v>
      </c>
      <c r="I12252" s="2">
        <v>227</v>
      </c>
      <c r="J12252" s="2">
        <v>1033</v>
      </c>
      <c r="K12252" s="2">
        <v>1</v>
      </c>
      <c r="L12252" s="2">
        <v>269</v>
      </c>
    </row>
    <row r="12253" spans="1:12" x14ac:dyDescent="0.25">
      <c r="A12253" s="4" t="str">
        <f>HYPERLINK("http://www.rosaceae.org/Prunus/Prunus_persica/p.persica_gdr_reftransV1_0000970","p.persica_gdr_reftransV1_0000970")</f>
        <v>p.persica_gdr_reftransV1_0000970</v>
      </c>
      <c r="B12253" s="2">
        <v>977</v>
      </c>
      <c r="C12253" s="4" t="str">
        <f>HYPERLINK("http://www.uniprot.org/uniprot/M5WZW7","M5WZW7")</f>
        <v>M5WZW7</v>
      </c>
      <c r="D12253" s="2" t="s">
        <v>10238</v>
      </c>
      <c r="E12253" s="3">
        <v>4.0899999999999999E-60</v>
      </c>
      <c r="F12253" s="2">
        <v>534</v>
      </c>
      <c r="G12253" s="2">
        <v>96</v>
      </c>
      <c r="H12253" s="2">
        <v>104</v>
      </c>
      <c r="I12253" s="2">
        <v>2</v>
      </c>
      <c r="J12253" s="2">
        <v>313</v>
      </c>
      <c r="K12253" s="2">
        <v>1</v>
      </c>
      <c r="L12253" s="2">
        <v>104</v>
      </c>
    </row>
    <row r="12254" spans="1:12" x14ac:dyDescent="0.25">
      <c r="A12254" s="4" t="str">
        <f>HYPERLINK("http://www.rosaceae.org/Prunus/Prunus_persica/p.persica_gdr_reftransV1_0001320","p.persica_gdr_reftransV1_0001320")</f>
        <v>p.persica_gdr_reftransV1_0001320</v>
      </c>
      <c r="B12254" s="2">
        <v>1369</v>
      </c>
      <c r="C12254" s="4" t="str">
        <f>HYPERLINK("http://www.uniprot.org/uniprot/M5WIB8","M5WIB8")</f>
        <v>M5WIB8</v>
      </c>
      <c r="D12254" s="2" t="s">
        <v>10239</v>
      </c>
      <c r="E12254" s="3">
        <v>0</v>
      </c>
      <c r="F12254" s="2">
        <v>1509</v>
      </c>
      <c r="G12254" s="2">
        <v>100</v>
      </c>
      <c r="H12254" s="2">
        <v>287</v>
      </c>
      <c r="I12254" s="2">
        <v>281</v>
      </c>
      <c r="J12254" s="2">
        <v>1141</v>
      </c>
      <c r="K12254" s="2">
        <v>1</v>
      </c>
      <c r="L12254" s="2">
        <v>287</v>
      </c>
    </row>
    <row r="12255" spans="1:12" x14ac:dyDescent="0.25">
      <c r="A12255" s="4" t="str">
        <f>HYPERLINK("http://www.rosaceae.org/Prunus/Prunus_persica/p.persica_gdr_reftransV1_0001670","p.persica_gdr_reftransV1_0001670")</f>
        <v>p.persica_gdr_reftransV1_0001670</v>
      </c>
      <c r="B12255" s="2">
        <v>635</v>
      </c>
      <c r="C12255" s="4" t="str">
        <f>HYPERLINK("http://www.uniprot.org/uniprot/M5X846","M5X846")</f>
        <v>M5X846</v>
      </c>
      <c r="D12255" s="2" t="s">
        <v>10240</v>
      </c>
      <c r="E12255" s="3">
        <v>2.8200000000000001E-117</v>
      </c>
      <c r="F12255" s="2">
        <v>907</v>
      </c>
      <c r="G12255" s="2">
        <v>100</v>
      </c>
      <c r="H12255" s="2">
        <v>201</v>
      </c>
      <c r="I12255" s="2">
        <v>3</v>
      </c>
      <c r="J12255" s="2">
        <v>605</v>
      </c>
      <c r="K12255" s="2">
        <v>1</v>
      </c>
      <c r="L12255" s="2">
        <v>201</v>
      </c>
    </row>
    <row r="12256" spans="1:12" x14ac:dyDescent="0.25">
      <c r="A12256" s="4" t="str">
        <f>HYPERLINK("http://www.rosaceae.org/Prunus/Prunus_persica/p.persica_gdr_reftransV1_0002020","p.persica_gdr_reftransV1_0002020")</f>
        <v>p.persica_gdr_reftransV1_0002020</v>
      </c>
      <c r="B12256" s="2">
        <v>1969</v>
      </c>
      <c r="C12256" s="4" t="str">
        <f>HYPERLINK("http://www.uniprot.org/uniprot/Q84QH3","Q84QH3")</f>
        <v>Q84QH3</v>
      </c>
      <c r="D12256" s="2" t="s">
        <v>21</v>
      </c>
      <c r="E12256" s="3">
        <v>0</v>
      </c>
      <c r="F12256" s="2">
        <v>2367</v>
      </c>
      <c r="G12256" s="2">
        <v>95</v>
      </c>
      <c r="H12256" s="2">
        <v>538</v>
      </c>
      <c r="I12256" s="2">
        <v>143</v>
      </c>
      <c r="J12256" s="2">
        <v>1753</v>
      </c>
      <c r="K12256" s="2">
        <v>1</v>
      </c>
      <c r="L12256" s="2">
        <v>538</v>
      </c>
    </row>
    <row r="12257" spans="1:12" x14ac:dyDescent="0.25">
      <c r="A12257" s="4" t="str">
        <f>HYPERLINK("http://www.rosaceae.org/Prunus/Prunus_persica/p.persica_gdr_reftransV1_0002370","p.persica_gdr_reftransV1_0002370")</f>
        <v>p.persica_gdr_reftransV1_0002370</v>
      </c>
      <c r="B12257" s="2">
        <v>413</v>
      </c>
      <c r="C12257" s="4" t="str">
        <f>HYPERLINK("http://www.uniprot.org/uniprot/C7YQZ3","C7YQZ3")</f>
        <v>C7YQZ3</v>
      </c>
      <c r="D12257" s="2" t="s">
        <v>10241</v>
      </c>
      <c r="E12257" s="3">
        <v>2.1100000000000001E-64</v>
      </c>
      <c r="F12257" s="2">
        <v>557</v>
      </c>
      <c r="G12257" s="2">
        <v>85</v>
      </c>
      <c r="H12257" s="2">
        <v>137</v>
      </c>
      <c r="I12257" s="2">
        <v>3</v>
      </c>
      <c r="J12257" s="2">
        <v>413</v>
      </c>
      <c r="K12257" s="2">
        <v>559</v>
      </c>
      <c r="L12257" s="2">
        <v>695</v>
      </c>
    </row>
    <row r="12258" spans="1:12" x14ac:dyDescent="0.25">
      <c r="A12258" s="4" t="str">
        <f>HYPERLINK("http://www.rosaceae.org/Prunus/Prunus_persica/p.persica_gdr_reftransV1_0002720","p.persica_gdr_reftransV1_0002720")</f>
        <v>p.persica_gdr_reftransV1_0002720</v>
      </c>
      <c r="B12258" s="2">
        <v>1385</v>
      </c>
      <c r="C12258" s="4" t="str">
        <f>HYPERLINK("http://www.uniprot.org/uniprot/M5Y6B7","M5Y6B7")</f>
        <v>M5Y6B7</v>
      </c>
      <c r="D12258" s="2" t="s">
        <v>10242</v>
      </c>
      <c r="E12258" s="3">
        <v>0</v>
      </c>
      <c r="F12258" s="2">
        <v>1801</v>
      </c>
      <c r="G12258" s="2">
        <v>100</v>
      </c>
      <c r="H12258" s="2">
        <v>343</v>
      </c>
      <c r="I12258" s="2">
        <v>357</v>
      </c>
      <c r="J12258" s="2">
        <v>1385</v>
      </c>
      <c r="K12258" s="2">
        <v>180</v>
      </c>
      <c r="L12258" s="2">
        <v>522</v>
      </c>
    </row>
    <row r="12259" spans="1:12" x14ac:dyDescent="0.25">
      <c r="A12259" s="4" t="str">
        <f>HYPERLINK("http://www.rosaceae.org/Prunus/Prunus_persica/p.persica_gdr_reftransV1_0003770","p.persica_gdr_reftransV1_0003770")</f>
        <v>p.persica_gdr_reftransV1_0003770</v>
      </c>
      <c r="B12259" s="2">
        <v>1224</v>
      </c>
      <c r="C12259" s="4" t="str">
        <f>HYPERLINK("http://www.uniprot.org/uniprot/M5WV67","M5WV67")</f>
        <v>M5WV67</v>
      </c>
      <c r="D12259" s="2" t="s">
        <v>9247</v>
      </c>
      <c r="E12259" s="3">
        <v>1.46E-113</v>
      </c>
      <c r="F12259" s="2">
        <v>879</v>
      </c>
      <c r="G12259" s="2">
        <v>100</v>
      </c>
      <c r="H12259" s="2">
        <v>162</v>
      </c>
      <c r="I12259" s="2">
        <v>522</v>
      </c>
      <c r="J12259" s="2">
        <v>1007</v>
      </c>
      <c r="K12259" s="2">
        <v>1</v>
      </c>
      <c r="L12259" s="2">
        <v>162</v>
      </c>
    </row>
    <row r="12260" spans="1:12" x14ac:dyDescent="0.25">
      <c r="A12260" s="4" t="str">
        <f>HYPERLINK("http://www.rosaceae.org/Prunus/Prunus_persica/p.persica_gdr_reftransV1_0004120","p.persica_gdr_reftransV1_0004120")</f>
        <v>p.persica_gdr_reftransV1_0004120</v>
      </c>
      <c r="B12260" s="2">
        <v>2944</v>
      </c>
      <c r="C12260" s="4" t="str">
        <f>HYPERLINK("http://www.uniprot.org/uniprot/M5X2I6","M5X2I6")</f>
        <v>M5X2I6</v>
      </c>
      <c r="D12260" s="2" t="s">
        <v>5267</v>
      </c>
      <c r="E12260" s="3">
        <v>0</v>
      </c>
      <c r="F12260" s="2">
        <v>4049</v>
      </c>
      <c r="G12260" s="2">
        <v>100</v>
      </c>
      <c r="H12260" s="2">
        <v>819</v>
      </c>
      <c r="I12260" s="2">
        <v>309</v>
      </c>
      <c r="J12260" s="2">
        <v>2765</v>
      </c>
      <c r="K12260" s="2">
        <v>1</v>
      </c>
      <c r="L12260" s="2">
        <v>819</v>
      </c>
    </row>
    <row r="12261" spans="1:12" x14ac:dyDescent="0.25">
      <c r="A12261" s="4" t="str">
        <f>HYPERLINK("http://www.rosaceae.org/Prunus/Prunus_persica/p.persica_gdr_reftransV1_0004820","p.persica_gdr_reftransV1_0004820")</f>
        <v>p.persica_gdr_reftransV1_0004820</v>
      </c>
      <c r="B12261" s="2">
        <v>2258</v>
      </c>
      <c r="C12261" s="4" t="str">
        <f>HYPERLINK("http://www.uniprot.org/uniprot/M5Y2W2","M5Y2W2")</f>
        <v>M5Y2W2</v>
      </c>
      <c r="D12261" s="2" t="s">
        <v>6307</v>
      </c>
      <c r="E12261" s="3">
        <v>0</v>
      </c>
      <c r="F12261" s="2">
        <v>2430</v>
      </c>
      <c r="G12261" s="2">
        <v>100</v>
      </c>
      <c r="H12261" s="2">
        <v>465</v>
      </c>
      <c r="I12261" s="2">
        <v>855</v>
      </c>
      <c r="J12261" s="2">
        <v>2249</v>
      </c>
      <c r="K12261" s="2">
        <v>1</v>
      </c>
      <c r="L12261" s="2">
        <v>465</v>
      </c>
    </row>
    <row r="12262" spans="1:12" x14ac:dyDescent="0.25">
      <c r="A12262" s="4" t="str">
        <f>HYPERLINK("http://www.rosaceae.org/Prunus/Prunus_persica/p.persica_gdr_reftransV1_0005520","p.persica_gdr_reftransV1_0005520")</f>
        <v>p.persica_gdr_reftransV1_0005520</v>
      </c>
      <c r="B12262" s="2">
        <v>321</v>
      </c>
      <c r="C12262" s="4" t="str">
        <f>HYPERLINK("http://www.uniprot.org/uniprot/M5VH85","M5VH85")</f>
        <v>M5VH85</v>
      </c>
      <c r="D12262" s="2" t="s">
        <v>10243</v>
      </c>
      <c r="E12262" s="3">
        <v>2.1900000000000001E-67</v>
      </c>
      <c r="F12262" s="2">
        <v>562</v>
      </c>
      <c r="G12262" s="2">
        <v>100</v>
      </c>
      <c r="H12262" s="2">
        <v>106</v>
      </c>
      <c r="I12262" s="2">
        <v>2</v>
      </c>
      <c r="J12262" s="2">
        <v>319</v>
      </c>
      <c r="K12262" s="2">
        <v>329</v>
      </c>
      <c r="L12262" s="2">
        <v>434</v>
      </c>
    </row>
    <row r="12263" spans="1:12" x14ac:dyDescent="0.25">
      <c r="A12263" s="4" t="str">
        <f>HYPERLINK("http://www.rosaceae.org/Prunus/Prunus_persica/p.persica_gdr_reftransV1_0005870","p.persica_gdr_reftransV1_0005870")</f>
        <v>p.persica_gdr_reftransV1_0005870</v>
      </c>
      <c r="B12263" s="2">
        <v>323</v>
      </c>
      <c r="C12263" s="4" t="str">
        <f>HYPERLINK("http://www.uniprot.org/uniprot/M5WJV3","M5WJV3")</f>
        <v>M5WJV3</v>
      </c>
      <c r="D12263" s="2" t="s">
        <v>4590</v>
      </c>
      <c r="E12263" s="3">
        <v>2.4899999999999998E-69</v>
      </c>
      <c r="F12263" s="2">
        <v>570</v>
      </c>
      <c r="G12263" s="2">
        <v>100</v>
      </c>
      <c r="H12263" s="2">
        <v>107</v>
      </c>
      <c r="I12263" s="2">
        <v>1</v>
      </c>
      <c r="J12263" s="2">
        <v>321</v>
      </c>
      <c r="K12263" s="2">
        <v>160</v>
      </c>
      <c r="L12263" s="2">
        <v>266</v>
      </c>
    </row>
    <row r="12264" spans="1:12" x14ac:dyDescent="0.25">
      <c r="A12264" s="4" t="str">
        <f>HYPERLINK("http://www.rosaceae.org/Prunus/Prunus_persica/p.persica_gdr_reftransV1_0006220","p.persica_gdr_reftransV1_0006220")</f>
        <v>p.persica_gdr_reftransV1_0006220</v>
      </c>
      <c r="B12264" s="2">
        <v>519</v>
      </c>
      <c r="C12264" s="4" t="str">
        <f>HYPERLINK("http://www.uniprot.org/uniprot/M5WYK2","M5WYK2")</f>
        <v>M5WYK2</v>
      </c>
      <c r="D12264" s="2" t="s">
        <v>10244</v>
      </c>
      <c r="E12264" s="3">
        <v>1.07E-73</v>
      </c>
      <c r="F12264" s="2">
        <v>607</v>
      </c>
      <c r="G12264" s="2">
        <v>100</v>
      </c>
      <c r="H12264" s="2">
        <v>114</v>
      </c>
      <c r="I12264" s="2">
        <v>2</v>
      </c>
      <c r="J12264" s="2">
        <v>343</v>
      </c>
      <c r="K12264" s="2">
        <v>298</v>
      </c>
      <c r="L12264" s="2">
        <v>411</v>
      </c>
    </row>
    <row r="12265" spans="1:12" x14ac:dyDescent="0.25">
      <c r="A12265" s="4" t="str">
        <f>HYPERLINK("http://www.rosaceae.org/Prunus/Prunus_persica/p.persica_gdr_reftransV1_0007270","p.persica_gdr_reftransV1_0007270")</f>
        <v>p.persica_gdr_reftransV1_0007270</v>
      </c>
      <c r="B12265" s="2">
        <v>3170</v>
      </c>
      <c r="C12265" s="4" t="str">
        <f>HYPERLINK("http://www.uniprot.org/uniprot/M5XWM4","M5XWM4")</f>
        <v>M5XWM4</v>
      </c>
      <c r="D12265" s="2" t="s">
        <v>10245</v>
      </c>
      <c r="E12265" s="3">
        <v>1.93E-177</v>
      </c>
      <c r="F12265" s="2">
        <v>1389</v>
      </c>
      <c r="G12265" s="2">
        <v>100</v>
      </c>
      <c r="H12265" s="2">
        <v>262</v>
      </c>
      <c r="I12265" s="2">
        <v>2220</v>
      </c>
      <c r="J12265" s="2">
        <v>3005</v>
      </c>
      <c r="K12265" s="2">
        <v>1</v>
      </c>
      <c r="L12265" s="2">
        <v>262</v>
      </c>
    </row>
    <row r="12266" spans="1:12" x14ac:dyDescent="0.25">
      <c r="A12266" s="4" t="str">
        <f>HYPERLINK("http://www.rosaceae.org/Prunus/Prunus_persica/p.persica_gdr_reftransV1_0007620","p.persica_gdr_reftransV1_0007620")</f>
        <v>p.persica_gdr_reftransV1_0007620</v>
      </c>
      <c r="B12266" s="2">
        <v>1208</v>
      </c>
      <c r="C12266" s="4" t="str">
        <f>HYPERLINK("http://www.uniprot.org/uniprot/M5W8S8","M5W8S8")</f>
        <v>M5W8S8</v>
      </c>
      <c r="D12266" s="2" t="s">
        <v>10246</v>
      </c>
      <c r="E12266" s="3">
        <v>2E-119</v>
      </c>
      <c r="F12266" s="2">
        <v>609</v>
      </c>
      <c r="G12266" s="2">
        <v>99</v>
      </c>
      <c r="H12266" s="2">
        <v>117</v>
      </c>
      <c r="I12266" s="2">
        <v>522</v>
      </c>
      <c r="J12266" s="2">
        <v>872</v>
      </c>
      <c r="K12266" s="2">
        <v>106</v>
      </c>
      <c r="L12266" s="2">
        <v>222</v>
      </c>
    </row>
    <row r="12267" spans="1:12" x14ac:dyDescent="0.25">
      <c r="A12267" s="4" t="str">
        <f>HYPERLINK("http://www.rosaceae.org/Prunus/Prunus_persica/p.persica_gdr_reftransV1_0008320","p.persica_gdr_reftransV1_0008320")</f>
        <v>p.persica_gdr_reftransV1_0008320</v>
      </c>
      <c r="B12267" s="2">
        <v>1728</v>
      </c>
      <c r="C12267" s="4" t="str">
        <f>HYPERLINK("http://www.uniprot.org/uniprot/M5XCU4","M5XCU4")</f>
        <v>M5XCU4</v>
      </c>
      <c r="D12267" s="2" t="s">
        <v>7141</v>
      </c>
      <c r="E12267" s="3">
        <v>8.0100000000000003E-89</v>
      </c>
      <c r="F12267" s="2">
        <v>739</v>
      </c>
      <c r="G12267" s="2">
        <v>90</v>
      </c>
      <c r="H12267" s="2">
        <v>160</v>
      </c>
      <c r="I12267" s="2">
        <v>563</v>
      </c>
      <c r="J12267" s="2">
        <v>1042</v>
      </c>
      <c r="K12267" s="2">
        <v>171</v>
      </c>
      <c r="L12267" s="2">
        <v>321</v>
      </c>
    </row>
    <row r="12268" spans="1:12" x14ac:dyDescent="0.25">
      <c r="A12268" s="4" t="str">
        <f>HYPERLINK("http://www.rosaceae.org/Prunus/Prunus_persica/p.persica_gdr_reftransV1_0008670","p.persica_gdr_reftransV1_0008670")</f>
        <v>p.persica_gdr_reftransV1_0008670</v>
      </c>
      <c r="B12268" s="2">
        <v>824</v>
      </c>
      <c r="C12268" s="4" t="str">
        <f>HYPERLINK("http://www.uniprot.org/uniprot/M5XP04","M5XP04")</f>
        <v>M5XP04</v>
      </c>
      <c r="D12268" s="2" t="s">
        <v>10247</v>
      </c>
      <c r="E12268" s="3">
        <v>2.47E-93</v>
      </c>
      <c r="F12268" s="2">
        <v>724</v>
      </c>
      <c r="G12268" s="2">
        <v>100</v>
      </c>
      <c r="H12268" s="2">
        <v>138</v>
      </c>
      <c r="I12268" s="2">
        <v>197</v>
      </c>
      <c r="J12268" s="2">
        <v>610</v>
      </c>
      <c r="K12268" s="2">
        <v>1</v>
      </c>
      <c r="L12268" s="2">
        <v>138</v>
      </c>
    </row>
    <row r="12269" spans="1:12" x14ac:dyDescent="0.25">
      <c r="A12269" s="4" t="str">
        <f>HYPERLINK("http://www.rosaceae.org/Prunus/Prunus_persica/p.persica_gdr_reftransV1_0009020","p.persica_gdr_reftransV1_0009020")</f>
        <v>p.persica_gdr_reftransV1_0009020</v>
      </c>
      <c r="B12269" s="2">
        <v>2812</v>
      </c>
      <c r="C12269" s="4" t="str">
        <f>HYPERLINK("http://www.uniprot.org/uniprot/M5WFB5","M5WFB5")</f>
        <v>M5WFB5</v>
      </c>
      <c r="D12269" s="2" t="s">
        <v>10248</v>
      </c>
      <c r="E12269" s="3">
        <v>0</v>
      </c>
      <c r="F12269" s="2">
        <v>3886</v>
      </c>
      <c r="G12269" s="2">
        <v>99</v>
      </c>
      <c r="H12269" s="2">
        <v>759</v>
      </c>
      <c r="I12269" s="2">
        <v>240</v>
      </c>
      <c r="J12269" s="2">
        <v>2516</v>
      </c>
      <c r="K12269" s="2">
        <v>1</v>
      </c>
      <c r="L12269" s="2">
        <v>759</v>
      </c>
    </row>
    <row r="12270" spans="1:12" x14ac:dyDescent="0.25">
      <c r="A12270" s="4" t="str">
        <f>HYPERLINK("http://www.rosaceae.org/Prunus/Prunus_persica/p.persica_gdr_reftransV1_0009370","p.persica_gdr_reftransV1_0009370")</f>
        <v>p.persica_gdr_reftransV1_0009370</v>
      </c>
      <c r="B12270" s="2">
        <v>843</v>
      </c>
      <c r="C12270" s="4" t="str">
        <f>HYPERLINK("http://www.uniprot.org/uniprot/M5XB39","M5XB39")</f>
        <v>M5XB39</v>
      </c>
      <c r="D12270" s="2" t="s">
        <v>10249</v>
      </c>
      <c r="E12270" s="3">
        <v>1.2599999999999999E-117</v>
      </c>
      <c r="F12270" s="2">
        <v>888</v>
      </c>
      <c r="G12270" s="2">
        <v>100</v>
      </c>
      <c r="H12270" s="2">
        <v>166</v>
      </c>
      <c r="I12270" s="2">
        <v>334</v>
      </c>
      <c r="J12270" s="2">
        <v>831</v>
      </c>
      <c r="K12270" s="2">
        <v>1</v>
      </c>
      <c r="L12270" s="2">
        <v>166</v>
      </c>
    </row>
    <row r="12271" spans="1:12" x14ac:dyDescent="0.25">
      <c r="A12271" s="4" t="str">
        <f>HYPERLINK("http://www.rosaceae.org/Prunus/Prunus_persica/p.persica_gdr_reftransV1_0009720","p.persica_gdr_reftransV1_0009720")</f>
        <v>p.persica_gdr_reftransV1_0009720</v>
      </c>
      <c r="B12271" s="2">
        <v>2128</v>
      </c>
      <c r="C12271" s="4" t="str">
        <f>HYPERLINK("http://www.uniprot.org/uniprot/M5WQA7","M5WQA7")</f>
        <v>M5WQA7</v>
      </c>
      <c r="D12271" s="2" t="s">
        <v>10250</v>
      </c>
      <c r="E12271" s="3">
        <v>0</v>
      </c>
      <c r="F12271" s="2">
        <v>3142</v>
      </c>
      <c r="G12271" s="2">
        <v>100</v>
      </c>
      <c r="H12271" s="2">
        <v>609</v>
      </c>
      <c r="I12271" s="2">
        <v>100</v>
      </c>
      <c r="J12271" s="2">
        <v>1926</v>
      </c>
      <c r="K12271" s="2">
        <v>5</v>
      </c>
      <c r="L12271" s="2">
        <v>613</v>
      </c>
    </row>
    <row r="12272" spans="1:12" x14ac:dyDescent="0.25">
      <c r="A12272" s="4" t="str">
        <f>HYPERLINK("http://www.rosaceae.org/Prunus/Prunus_persica/p.persica_gdr_reftransV1_0010070","p.persica_gdr_reftransV1_0010070")</f>
        <v>p.persica_gdr_reftransV1_0010070</v>
      </c>
      <c r="B12272" s="2">
        <v>944</v>
      </c>
      <c r="C12272" s="4" t="str">
        <f>HYPERLINK("http://www.uniprot.org/uniprot/M5XAN5","M5XAN5")</f>
        <v>M5XAN5</v>
      </c>
      <c r="D12272" s="2" t="s">
        <v>10251</v>
      </c>
      <c r="E12272" s="3">
        <v>1.34E-112</v>
      </c>
      <c r="F12272" s="2">
        <v>896</v>
      </c>
      <c r="G12272" s="2">
        <v>90</v>
      </c>
      <c r="H12272" s="2">
        <v>199</v>
      </c>
      <c r="I12272" s="2">
        <v>3</v>
      </c>
      <c r="J12272" s="2">
        <v>599</v>
      </c>
      <c r="K12272" s="2">
        <v>351</v>
      </c>
      <c r="L12272" s="2">
        <v>530</v>
      </c>
    </row>
    <row r="12273" spans="1:12" x14ac:dyDescent="0.25">
      <c r="A12273" s="4" t="str">
        <f>HYPERLINK("http://www.rosaceae.org/Prunus/Prunus_persica/p.persica_gdr_reftransV1_0010420","p.persica_gdr_reftransV1_0010420")</f>
        <v>p.persica_gdr_reftransV1_0010420</v>
      </c>
      <c r="B12273" s="2">
        <v>706</v>
      </c>
      <c r="C12273" s="4" t="str">
        <f>HYPERLINK("http://www.uniprot.org/uniprot/A0A0D3F612","A0A0D3F612")</f>
        <v>A0A0D3F612</v>
      </c>
      <c r="D12273" s="2" t="s">
        <v>10252</v>
      </c>
      <c r="E12273" s="3">
        <v>4.6299999999999997E-39</v>
      </c>
      <c r="F12273" s="2">
        <v>360</v>
      </c>
      <c r="G12273" s="2">
        <v>97</v>
      </c>
      <c r="H12273" s="2">
        <v>87</v>
      </c>
      <c r="I12273" s="2">
        <v>444</v>
      </c>
      <c r="J12273" s="2">
        <v>704</v>
      </c>
      <c r="K12273" s="2">
        <v>46</v>
      </c>
      <c r="L12273" s="2">
        <v>132</v>
      </c>
    </row>
    <row r="12274" spans="1:12" x14ac:dyDescent="0.25">
      <c r="A12274" s="4" t="str">
        <f>HYPERLINK("http://www.rosaceae.org/Prunus/Prunus_persica/p.persica_gdr_reftransV1_0011120","p.persica_gdr_reftransV1_0011120")</f>
        <v>p.persica_gdr_reftransV1_0011120</v>
      </c>
      <c r="B12274" s="2">
        <v>1950</v>
      </c>
      <c r="C12274" s="4" t="str">
        <f>HYPERLINK("http://www.uniprot.org/uniprot/M5XFY6","M5XFY6")</f>
        <v>M5XFY6</v>
      </c>
      <c r="D12274" s="2" t="s">
        <v>10253</v>
      </c>
      <c r="E12274" s="3">
        <v>2.3299999999999999E-153</v>
      </c>
      <c r="F12274" s="2">
        <v>1175</v>
      </c>
      <c r="G12274" s="2">
        <v>90</v>
      </c>
      <c r="H12274" s="2">
        <v>303</v>
      </c>
      <c r="I12274" s="2">
        <v>803</v>
      </c>
      <c r="J12274" s="2">
        <v>1711</v>
      </c>
      <c r="K12274" s="2">
        <v>31</v>
      </c>
      <c r="L12274" s="2">
        <v>303</v>
      </c>
    </row>
    <row r="12275" spans="1:12" x14ac:dyDescent="0.25">
      <c r="A12275" s="4" t="str">
        <f>HYPERLINK("http://www.rosaceae.org/Prunus/Prunus_persica/p.persica_gdr_reftransV1_0011470","p.persica_gdr_reftransV1_0011470")</f>
        <v>p.persica_gdr_reftransV1_0011470</v>
      </c>
      <c r="B12275" s="2">
        <v>3879</v>
      </c>
      <c r="C12275" s="4" t="str">
        <f>HYPERLINK("http://www.uniprot.org/uniprot/M5VP10","M5VP10")</f>
        <v>M5VP10</v>
      </c>
      <c r="D12275" s="2" t="s">
        <v>10254</v>
      </c>
      <c r="E12275" s="3">
        <v>0</v>
      </c>
      <c r="F12275" s="2">
        <v>4561</v>
      </c>
      <c r="G12275" s="2">
        <v>95</v>
      </c>
      <c r="H12275" s="2">
        <v>1054</v>
      </c>
      <c r="I12275" s="2">
        <v>37</v>
      </c>
      <c r="J12275" s="2">
        <v>3198</v>
      </c>
      <c r="K12275" s="2">
        <v>266</v>
      </c>
      <c r="L12275" s="2">
        <v>1270</v>
      </c>
    </row>
    <row r="12276" spans="1:12" x14ac:dyDescent="0.25">
      <c r="A12276" s="4" t="str">
        <f>HYPERLINK("http://www.rosaceae.org/Prunus/Prunus_persica/p.persica_gdr_reftransV1_0012520","p.persica_gdr_reftransV1_0012520")</f>
        <v>p.persica_gdr_reftransV1_0012520</v>
      </c>
      <c r="B12276" s="2">
        <v>1090</v>
      </c>
      <c r="C12276" s="4" t="str">
        <f>HYPERLINK("http://www.uniprot.org/uniprot/M5WR29","M5WR29")</f>
        <v>M5WR29</v>
      </c>
      <c r="D12276" s="2" t="s">
        <v>10255</v>
      </c>
      <c r="E12276" s="3">
        <v>1.7300000000000001E-122</v>
      </c>
      <c r="F12276" s="2">
        <v>987</v>
      </c>
      <c r="G12276" s="2">
        <v>100</v>
      </c>
      <c r="H12276" s="2">
        <v>185</v>
      </c>
      <c r="I12276" s="2">
        <v>2</v>
      </c>
      <c r="J12276" s="2">
        <v>556</v>
      </c>
      <c r="K12276" s="2">
        <v>652</v>
      </c>
      <c r="L12276" s="2">
        <v>836</v>
      </c>
    </row>
    <row r="12277" spans="1:12" x14ac:dyDescent="0.25">
      <c r="A12277" s="4" t="str">
        <f>HYPERLINK("http://www.rosaceae.org/Prunus/Prunus_persica/p.persica_gdr_reftransV1_0013570","p.persica_gdr_reftransV1_0013570")</f>
        <v>p.persica_gdr_reftransV1_0013570</v>
      </c>
      <c r="B12277" s="2">
        <v>1687</v>
      </c>
      <c r="C12277" s="4" t="str">
        <f>HYPERLINK("http://www.uniprot.org/uniprot/M5X6Q4","M5X6Q4")</f>
        <v>M5X6Q4</v>
      </c>
      <c r="D12277" s="2" t="s">
        <v>10256</v>
      </c>
      <c r="E12277" s="3">
        <v>1.2399999999999999E-105</v>
      </c>
      <c r="F12277" s="2">
        <v>877</v>
      </c>
      <c r="G12277" s="2">
        <v>99</v>
      </c>
      <c r="H12277" s="2">
        <v>179</v>
      </c>
      <c r="I12277" s="2">
        <v>961</v>
      </c>
      <c r="J12277" s="2">
        <v>1497</v>
      </c>
      <c r="K12277" s="2">
        <v>450</v>
      </c>
      <c r="L12277" s="2">
        <v>628</v>
      </c>
    </row>
    <row r="12278" spans="1:12" x14ac:dyDescent="0.25">
      <c r="A12278" s="4" t="str">
        <f>HYPERLINK("http://www.rosaceae.org/Prunus/Prunus_persica/p.persica_gdr_reftransV1_0013920","p.persica_gdr_reftransV1_0013920")</f>
        <v>p.persica_gdr_reftransV1_0013920</v>
      </c>
      <c r="B12278" s="2">
        <v>3309</v>
      </c>
      <c r="C12278" s="4" t="str">
        <f>HYPERLINK("http://www.uniprot.org/uniprot/M5VXN8","M5VXN8")</f>
        <v>M5VXN8</v>
      </c>
      <c r="D12278" s="2" t="s">
        <v>10257</v>
      </c>
      <c r="E12278" s="3">
        <v>0</v>
      </c>
      <c r="F12278" s="2">
        <v>3383</v>
      </c>
      <c r="G12278" s="2">
        <v>99</v>
      </c>
      <c r="H12278" s="2">
        <v>673</v>
      </c>
      <c r="I12278" s="2">
        <v>350</v>
      </c>
      <c r="J12278" s="2">
        <v>2368</v>
      </c>
      <c r="K12278" s="2">
        <v>208</v>
      </c>
      <c r="L12278" s="2">
        <v>880</v>
      </c>
    </row>
    <row r="12279" spans="1:12" x14ac:dyDescent="0.25">
      <c r="A12279" s="4" t="str">
        <f>HYPERLINK("http://www.rosaceae.org/Prunus/Prunus_persica/p.persica_gdr_reftransV1_0014620","p.persica_gdr_reftransV1_0014620")</f>
        <v>p.persica_gdr_reftransV1_0014620</v>
      </c>
      <c r="B12279" s="2">
        <v>5857</v>
      </c>
      <c r="C12279" s="4" t="str">
        <f>HYPERLINK("http://www.uniprot.org/uniprot/M5VXD5","M5VXD5")</f>
        <v>M5VXD5</v>
      </c>
      <c r="D12279" s="2" t="s">
        <v>10258</v>
      </c>
      <c r="E12279" s="3">
        <v>0</v>
      </c>
      <c r="F12279" s="2">
        <v>4006</v>
      </c>
      <c r="G12279" s="2">
        <v>100</v>
      </c>
      <c r="H12279" s="2">
        <v>745</v>
      </c>
      <c r="I12279" s="2">
        <v>710</v>
      </c>
      <c r="J12279" s="2">
        <v>2944</v>
      </c>
      <c r="K12279" s="2">
        <v>1</v>
      </c>
      <c r="L12279" s="2">
        <v>745</v>
      </c>
    </row>
    <row r="12280" spans="1:12" x14ac:dyDescent="0.25">
      <c r="A12280" s="4" t="str">
        <f>HYPERLINK("http://www.rosaceae.org/Prunus/Prunus_persica/p.persica_gdr_reftransV1_0016020","p.persica_gdr_reftransV1_0016020")</f>
        <v>p.persica_gdr_reftransV1_0016020</v>
      </c>
      <c r="B12280" s="2">
        <v>1802</v>
      </c>
      <c r="C12280" s="4" t="str">
        <f>HYPERLINK("http://www.uniprot.org/uniprot/M5WSF9","M5WSF9")</f>
        <v>M5WSF9</v>
      </c>
      <c r="D12280" s="2" t="s">
        <v>10259</v>
      </c>
      <c r="E12280" s="3">
        <v>0</v>
      </c>
      <c r="F12280" s="2">
        <v>1378</v>
      </c>
      <c r="G12280" s="2">
        <v>98</v>
      </c>
      <c r="H12280" s="2">
        <v>278</v>
      </c>
      <c r="I12280" s="2">
        <v>785</v>
      </c>
      <c r="J12280" s="2">
        <v>1618</v>
      </c>
      <c r="K12280" s="2">
        <v>1</v>
      </c>
      <c r="L12280" s="2">
        <v>277</v>
      </c>
    </row>
    <row r="12281" spans="1:12" x14ac:dyDescent="0.25">
      <c r="A12281" s="4" t="str">
        <f>HYPERLINK("http://www.rosaceae.org/Prunus/Prunus_persica/p.persica_gdr_reftransV1_0016720","p.persica_gdr_reftransV1_0016720")</f>
        <v>p.persica_gdr_reftransV1_0016720</v>
      </c>
      <c r="B12281" s="2">
        <v>1561</v>
      </c>
      <c r="C12281" s="4" t="str">
        <f>HYPERLINK("http://www.uniprot.org/uniprot/M5X117","M5X117")</f>
        <v>M5X117</v>
      </c>
      <c r="D12281" s="2" t="s">
        <v>10260</v>
      </c>
      <c r="E12281" s="3">
        <v>6.7599999999999995E-70</v>
      </c>
      <c r="F12281" s="2">
        <v>597</v>
      </c>
      <c r="G12281" s="2">
        <v>100</v>
      </c>
      <c r="H12281" s="2">
        <v>112</v>
      </c>
      <c r="I12281" s="2">
        <v>841</v>
      </c>
      <c r="J12281" s="2">
        <v>1176</v>
      </c>
      <c r="K12281" s="2">
        <v>101</v>
      </c>
      <c r="L12281" s="2">
        <v>212</v>
      </c>
    </row>
    <row r="12282" spans="1:12" x14ac:dyDescent="0.25">
      <c r="A12282" s="4" t="str">
        <f>HYPERLINK("http://www.rosaceae.org/Prunus/Prunus_persica/p.persica_gdr_reftransV1_0017070","p.persica_gdr_reftransV1_0017070")</f>
        <v>p.persica_gdr_reftransV1_0017070</v>
      </c>
      <c r="B12282" s="2">
        <v>3757</v>
      </c>
      <c r="C12282" s="4" t="str">
        <f>HYPERLINK("http://www.uniprot.org/uniprot/M5W863","M5W863")</f>
        <v>M5W863</v>
      </c>
      <c r="D12282" s="2" t="s">
        <v>10261</v>
      </c>
      <c r="E12282" s="3">
        <v>0</v>
      </c>
      <c r="F12282" s="2">
        <v>2500</v>
      </c>
      <c r="G12282" s="2">
        <v>99</v>
      </c>
      <c r="H12282" s="2">
        <v>469</v>
      </c>
      <c r="I12282" s="2">
        <v>1834</v>
      </c>
      <c r="J12282" s="2">
        <v>3240</v>
      </c>
      <c r="K12282" s="2">
        <v>431</v>
      </c>
      <c r="L12282" s="2">
        <v>899</v>
      </c>
    </row>
    <row r="12283" spans="1:12" x14ac:dyDescent="0.25">
      <c r="A12283" s="4" t="str">
        <f>HYPERLINK("http://www.rosaceae.org/Prunus/Prunus_persica/p.persica_gdr_reftransV1_0017770","p.persica_gdr_reftransV1_0017770")</f>
        <v>p.persica_gdr_reftransV1_0017770</v>
      </c>
      <c r="B12283" s="2">
        <v>1449</v>
      </c>
      <c r="C12283" s="4" t="str">
        <f>HYPERLINK("http://www.uniprot.org/uniprot/M5XD54","M5XD54")</f>
        <v>M5XD54</v>
      </c>
      <c r="D12283" s="2" t="s">
        <v>10262</v>
      </c>
      <c r="E12283" s="3">
        <v>0</v>
      </c>
      <c r="F12283" s="2">
        <v>1594</v>
      </c>
      <c r="G12283" s="2">
        <v>100</v>
      </c>
      <c r="H12283" s="2">
        <v>326</v>
      </c>
      <c r="I12283" s="2">
        <v>190</v>
      </c>
      <c r="J12283" s="2">
        <v>1167</v>
      </c>
      <c r="K12283" s="2">
        <v>1</v>
      </c>
      <c r="L12283" s="2">
        <v>326</v>
      </c>
    </row>
    <row r="12284" spans="1:12" x14ac:dyDescent="0.25">
      <c r="A12284" s="4" t="str">
        <f>HYPERLINK("http://www.rosaceae.org/Prunus/Prunus_persica/p.persica_gdr_reftransV1_0019870","p.persica_gdr_reftransV1_0019870")</f>
        <v>p.persica_gdr_reftransV1_0019870</v>
      </c>
      <c r="B12284" s="2">
        <v>1112</v>
      </c>
      <c r="C12284" s="4" t="str">
        <f>HYPERLINK("http://www.uniprot.org/uniprot/M5WJT0","M5WJT0")</f>
        <v>M5WJT0</v>
      </c>
      <c r="D12284" s="2" t="s">
        <v>10263</v>
      </c>
      <c r="E12284" s="3">
        <v>1.09E-125</v>
      </c>
      <c r="F12284" s="2">
        <v>956</v>
      </c>
      <c r="G12284" s="2">
        <v>100</v>
      </c>
      <c r="H12284" s="2">
        <v>211</v>
      </c>
      <c r="I12284" s="2">
        <v>121</v>
      </c>
      <c r="J12284" s="2">
        <v>753</v>
      </c>
      <c r="K12284" s="2">
        <v>1</v>
      </c>
      <c r="L12284" s="2">
        <v>211</v>
      </c>
    </row>
    <row r="12285" spans="1:12" x14ac:dyDescent="0.25">
      <c r="A12285" s="4" t="str">
        <f>HYPERLINK("http://www.rosaceae.org/Prunus/Prunus_persica/p.persica_gdr_reftransV1_0020220","p.persica_gdr_reftransV1_0020220")</f>
        <v>p.persica_gdr_reftransV1_0020220</v>
      </c>
      <c r="B12285" s="2">
        <v>1834</v>
      </c>
      <c r="C12285" s="4" t="str">
        <f>HYPERLINK("http://www.uniprot.org/uniprot/M5VYB8","M5VYB8")</f>
        <v>M5VYB8</v>
      </c>
      <c r="D12285" s="2" t="s">
        <v>10264</v>
      </c>
      <c r="E12285" s="3">
        <v>0</v>
      </c>
      <c r="F12285" s="2">
        <v>2107</v>
      </c>
      <c r="G12285" s="2">
        <v>100</v>
      </c>
      <c r="H12285" s="2">
        <v>391</v>
      </c>
      <c r="I12285" s="2">
        <v>292</v>
      </c>
      <c r="J12285" s="2">
        <v>1464</v>
      </c>
      <c r="K12285" s="2">
        <v>42</v>
      </c>
      <c r="L12285" s="2">
        <v>432</v>
      </c>
    </row>
    <row r="12286" spans="1:12" x14ac:dyDescent="0.25">
      <c r="A12286" s="4" t="str">
        <f>HYPERLINK("http://www.rosaceae.org/Prunus/Prunus_persica/p.persica_gdr_reftransV1_0021270","p.persica_gdr_reftransV1_0021270")</f>
        <v>p.persica_gdr_reftransV1_0021270</v>
      </c>
      <c r="B12286" s="2">
        <v>2676</v>
      </c>
      <c r="C12286" s="4" t="str">
        <f>HYPERLINK("http://www.uniprot.org/uniprot/M5X9S9","M5X9S9")</f>
        <v>M5X9S9</v>
      </c>
      <c r="D12286" s="2" t="s">
        <v>10265</v>
      </c>
      <c r="E12286" s="3">
        <v>0</v>
      </c>
      <c r="F12286" s="2">
        <v>3302</v>
      </c>
      <c r="G12286" s="2">
        <v>97</v>
      </c>
      <c r="H12286" s="2">
        <v>702</v>
      </c>
      <c r="I12286" s="2">
        <v>362</v>
      </c>
      <c r="J12286" s="2">
        <v>2413</v>
      </c>
      <c r="K12286" s="2">
        <v>1</v>
      </c>
      <c r="L12286" s="2">
        <v>702</v>
      </c>
    </row>
    <row r="12287" spans="1:12" x14ac:dyDescent="0.25">
      <c r="A12287" s="4" t="str">
        <f>HYPERLINK("http://www.rosaceae.org/Prunus/Prunus_persica/p.persica_gdr_reftransV1_0024420","p.persica_gdr_reftransV1_0024420")</f>
        <v>p.persica_gdr_reftransV1_0024420</v>
      </c>
      <c r="B12287" s="2">
        <v>1981</v>
      </c>
      <c r="C12287" s="4" t="str">
        <f>HYPERLINK("http://www.uniprot.org/uniprot/M5XNN2","M5XNN2")</f>
        <v>M5XNN2</v>
      </c>
      <c r="D12287" s="2" t="s">
        <v>10266</v>
      </c>
      <c r="E12287" s="3">
        <v>0</v>
      </c>
      <c r="F12287" s="2">
        <v>2660</v>
      </c>
      <c r="G12287" s="2">
        <v>95</v>
      </c>
      <c r="H12287" s="2">
        <v>528</v>
      </c>
      <c r="I12287" s="2">
        <v>211</v>
      </c>
      <c r="J12287" s="2">
        <v>1794</v>
      </c>
      <c r="K12287" s="2">
        <v>1</v>
      </c>
      <c r="L12287" s="2">
        <v>501</v>
      </c>
    </row>
    <row r="12288" spans="1:12" x14ac:dyDescent="0.25">
      <c r="A12288" s="4" t="str">
        <f>HYPERLINK("http://www.rosaceae.org/Prunus/Prunus_persica/p.persica_gdr_reftransV1_0025470","p.persica_gdr_reftransV1_0025470")</f>
        <v>p.persica_gdr_reftransV1_0025470</v>
      </c>
      <c r="B12288" s="2">
        <v>1585</v>
      </c>
      <c r="C12288" s="4" t="str">
        <f>HYPERLINK("http://www.uniprot.org/uniprot/M5VQ56","M5VQ56")</f>
        <v>M5VQ56</v>
      </c>
      <c r="D12288" s="2" t="s">
        <v>10267</v>
      </c>
      <c r="E12288" s="3">
        <v>0</v>
      </c>
      <c r="F12288" s="2">
        <v>1482</v>
      </c>
      <c r="G12288" s="2">
        <v>100</v>
      </c>
      <c r="H12288" s="2">
        <v>275</v>
      </c>
      <c r="I12288" s="2">
        <v>470</v>
      </c>
      <c r="J12288" s="2">
        <v>1294</v>
      </c>
      <c r="K12288" s="2">
        <v>1</v>
      </c>
      <c r="L12288" s="2">
        <v>275</v>
      </c>
    </row>
    <row r="12289" spans="1:12" x14ac:dyDescent="0.25">
      <c r="A12289" s="4" t="str">
        <f>HYPERLINK("http://www.rosaceae.org/Prunus/Prunus_persica/p.persica_gdr_reftransV1_0026870","p.persica_gdr_reftransV1_0026870")</f>
        <v>p.persica_gdr_reftransV1_0026870</v>
      </c>
      <c r="B12289" s="2">
        <v>4147</v>
      </c>
      <c r="C12289" s="4" t="str">
        <f>HYPERLINK("http://www.uniprot.org/uniprot/M5WD18","M5WD18")</f>
        <v>M5WD18</v>
      </c>
      <c r="D12289" s="2" t="s">
        <v>9021</v>
      </c>
      <c r="E12289" s="3">
        <v>0</v>
      </c>
      <c r="F12289" s="2">
        <v>4046</v>
      </c>
      <c r="G12289" s="2">
        <v>100</v>
      </c>
      <c r="H12289" s="2">
        <v>835</v>
      </c>
      <c r="I12289" s="2">
        <v>1160</v>
      </c>
      <c r="J12289" s="2">
        <v>3664</v>
      </c>
      <c r="K12289" s="2">
        <v>24</v>
      </c>
      <c r="L12289" s="2">
        <v>858</v>
      </c>
    </row>
    <row r="12290" spans="1:12" x14ac:dyDescent="0.25">
      <c r="A12290" s="4" t="str">
        <f>HYPERLINK("http://www.rosaceae.org/Prunus/Prunus_persica/p.persica_gdr_reftransV1_0027920","p.persica_gdr_reftransV1_0027920")</f>
        <v>p.persica_gdr_reftransV1_0027920</v>
      </c>
      <c r="B12290" s="2">
        <v>1392</v>
      </c>
      <c r="C12290" s="4" t="str">
        <f>HYPERLINK("http://www.uniprot.org/uniprot/M5X170","M5X170")</f>
        <v>M5X170</v>
      </c>
      <c r="D12290" s="2" t="s">
        <v>10268</v>
      </c>
      <c r="E12290" s="3">
        <v>3.7200000000000002E-137</v>
      </c>
      <c r="F12290" s="2">
        <v>1039</v>
      </c>
      <c r="G12290" s="2">
        <v>100</v>
      </c>
      <c r="H12290" s="2">
        <v>193</v>
      </c>
      <c r="I12290" s="2">
        <v>270</v>
      </c>
      <c r="J12290" s="2">
        <v>848</v>
      </c>
      <c r="K12290" s="2">
        <v>1</v>
      </c>
      <c r="L12290" s="2">
        <v>193</v>
      </c>
    </row>
    <row r="12291" spans="1:12" x14ac:dyDescent="0.25">
      <c r="A12291" s="4" t="str">
        <f>HYPERLINK("http://www.rosaceae.org/Prunus/Prunus_persica/p.persica_gdr_reftransV1_0028970","p.persica_gdr_reftransV1_0028970")</f>
        <v>p.persica_gdr_reftransV1_0028970</v>
      </c>
      <c r="B12291" s="2">
        <v>1488</v>
      </c>
      <c r="C12291" s="4" t="str">
        <f>HYPERLINK("http://www.uniprot.org/uniprot/M5W2S5","M5W2S5")</f>
        <v>M5W2S5</v>
      </c>
      <c r="D12291" s="2" t="s">
        <v>10269</v>
      </c>
      <c r="E12291" s="3">
        <v>0</v>
      </c>
      <c r="F12291" s="2">
        <v>1853</v>
      </c>
      <c r="G12291" s="2">
        <v>100</v>
      </c>
      <c r="H12291" s="2">
        <v>379</v>
      </c>
      <c r="I12291" s="2">
        <v>250</v>
      </c>
      <c r="J12291" s="2">
        <v>1386</v>
      </c>
      <c r="K12291" s="2">
        <v>1</v>
      </c>
      <c r="L12291" s="2">
        <v>379</v>
      </c>
    </row>
    <row r="12292" spans="1:12" x14ac:dyDescent="0.25">
      <c r="A12292" s="4" t="str">
        <f>HYPERLINK("http://www.rosaceae.org/Prunus/Prunus_persica/p.persica_gdr_reftransV1_0030020","p.persica_gdr_reftransV1_0030020")</f>
        <v>p.persica_gdr_reftransV1_0030020</v>
      </c>
      <c r="B12292" s="2">
        <v>1132</v>
      </c>
      <c r="C12292" s="4" t="str">
        <f>HYPERLINK("http://www.uniprot.org/uniprot/M5VP83","M5VP83")</f>
        <v>M5VP83</v>
      </c>
      <c r="D12292" s="2" t="s">
        <v>10270</v>
      </c>
      <c r="E12292" s="3">
        <v>1.2000000000000001E-96</v>
      </c>
      <c r="F12292" s="2">
        <v>758</v>
      </c>
      <c r="G12292" s="2">
        <v>99</v>
      </c>
      <c r="H12292" s="2">
        <v>148</v>
      </c>
      <c r="I12292" s="2">
        <v>683</v>
      </c>
      <c r="J12292" s="2">
        <v>1126</v>
      </c>
      <c r="K12292" s="2">
        <v>1</v>
      </c>
      <c r="L12292" s="2">
        <v>148</v>
      </c>
    </row>
    <row r="12293" spans="1:12" x14ac:dyDescent="0.25">
      <c r="A12293" s="4" t="str">
        <f>HYPERLINK("http://www.rosaceae.org/Prunus/Prunus_persica/p.persica_gdr_reftransV1_0030370","p.persica_gdr_reftransV1_0030370")</f>
        <v>p.persica_gdr_reftransV1_0030370</v>
      </c>
      <c r="B12293" s="2">
        <v>4064</v>
      </c>
      <c r="C12293" s="4" t="str">
        <f>HYPERLINK("http://www.uniprot.org/uniprot/M5VJB1","M5VJB1")</f>
        <v>M5VJB1</v>
      </c>
      <c r="D12293" s="2" t="s">
        <v>10271</v>
      </c>
      <c r="E12293" s="3">
        <v>0</v>
      </c>
      <c r="F12293" s="2">
        <v>5525</v>
      </c>
      <c r="G12293" s="2">
        <v>96</v>
      </c>
      <c r="H12293" s="2">
        <v>1187</v>
      </c>
      <c r="I12293" s="2">
        <v>233</v>
      </c>
      <c r="J12293" s="2">
        <v>3646</v>
      </c>
      <c r="K12293" s="2">
        <v>1</v>
      </c>
      <c r="L12293" s="2">
        <v>1187</v>
      </c>
    </row>
    <row r="12294" spans="1:12" x14ac:dyDescent="0.25">
      <c r="A12294" s="4" t="str">
        <f>HYPERLINK("http://www.rosaceae.org/Prunus/Prunus_persica/p.persica_gdr_reftransV1_0031070","p.persica_gdr_reftransV1_0031070")</f>
        <v>p.persica_gdr_reftransV1_0031070</v>
      </c>
      <c r="B12294" s="2">
        <v>2923</v>
      </c>
      <c r="C12294" s="4" t="str">
        <f>HYPERLINK("http://www.uniprot.org/uniprot/M5XPR9","M5XPR9")</f>
        <v>M5XPR9</v>
      </c>
      <c r="D12294" s="2" t="s">
        <v>10272</v>
      </c>
      <c r="E12294" s="3">
        <v>2.7300000000000001E-160</v>
      </c>
      <c r="F12294" s="2">
        <v>1253</v>
      </c>
      <c r="G12294" s="2">
        <v>97</v>
      </c>
      <c r="H12294" s="2">
        <v>244</v>
      </c>
      <c r="I12294" s="2">
        <v>1064</v>
      </c>
      <c r="J12294" s="2">
        <v>1795</v>
      </c>
      <c r="K12294" s="2">
        <v>103</v>
      </c>
      <c r="L12294" s="2">
        <v>346</v>
      </c>
    </row>
    <row r="12295" spans="1:12" x14ac:dyDescent="0.25">
      <c r="A12295" s="4" t="str">
        <f>HYPERLINK("http://www.rosaceae.org/Prunus/Prunus_persica/p.persica_gdr_reftransV1_0031420","p.persica_gdr_reftransV1_0031420")</f>
        <v>p.persica_gdr_reftransV1_0031420</v>
      </c>
      <c r="B12295" s="2">
        <v>2635</v>
      </c>
      <c r="C12295" s="4" t="str">
        <f>HYPERLINK("http://www.uniprot.org/uniprot/M5X6F2","M5X6F2")</f>
        <v>M5X6F2</v>
      </c>
      <c r="D12295" s="2" t="s">
        <v>10273</v>
      </c>
      <c r="E12295" s="3">
        <v>3.72E-159</v>
      </c>
      <c r="F12295" s="2">
        <v>1225</v>
      </c>
      <c r="G12295" s="2">
        <v>100</v>
      </c>
      <c r="H12295" s="2">
        <v>227</v>
      </c>
      <c r="I12295" s="2">
        <v>1476</v>
      </c>
      <c r="J12295" s="2">
        <v>2156</v>
      </c>
      <c r="K12295" s="2">
        <v>1</v>
      </c>
      <c r="L12295" s="2">
        <v>227</v>
      </c>
    </row>
    <row r="12296" spans="1:12" x14ac:dyDescent="0.25">
      <c r="A12296" s="4" t="str">
        <f>HYPERLINK("http://www.rosaceae.org/Prunus/Prunus_persica/p.persica_gdr_reftransV1_0031770","p.persica_gdr_reftransV1_0031770")</f>
        <v>p.persica_gdr_reftransV1_0031770</v>
      </c>
      <c r="B12296" s="2">
        <v>1853</v>
      </c>
      <c r="C12296" s="4" t="str">
        <f>HYPERLINK("http://www.uniprot.org/uniprot/M5VMV4","M5VMV4")</f>
        <v>M5VMV4</v>
      </c>
      <c r="D12296" s="2" t="s">
        <v>10274</v>
      </c>
      <c r="E12296" s="3">
        <v>0</v>
      </c>
      <c r="F12296" s="2">
        <v>2591</v>
      </c>
      <c r="G12296" s="2">
        <v>100</v>
      </c>
      <c r="H12296" s="2">
        <v>480</v>
      </c>
      <c r="I12296" s="2">
        <v>147</v>
      </c>
      <c r="J12296" s="2">
        <v>1586</v>
      </c>
      <c r="K12296" s="2">
        <v>1</v>
      </c>
      <c r="L12296" s="2">
        <v>480</v>
      </c>
    </row>
    <row r="12297" spans="1:12" x14ac:dyDescent="0.25">
      <c r="A12297" s="4" t="str">
        <f>HYPERLINK("http://www.rosaceae.org/Prunus/Prunus_persica/p.persica_gdr_reftransV1_0032120","p.persica_gdr_reftransV1_0032120")</f>
        <v>p.persica_gdr_reftransV1_0032120</v>
      </c>
      <c r="B12297" s="2">
        <v>1530</v>
      </c>
      <c r="C12297" s="4" t="str">
        <f>HYPERLINK("http://www.uniprot.org/uniprot/M5WMV4","M5WMV4")</f>
        <v>M5WMV4</v>
      </c>
      <c r="D12297" s="2" t="s">
        <v>4815</v>
      </c>
      <c r="E12297" s="3">
        <v>2.5099999999999999E-89</v>
      </c>
      <c r="F12297" s="2">
        <v>734</v>
      </c>
      <c r="G12297" s="2">
        <v>100</v>
      </c>
      <c r="H12297" s="2">
        <v>261</v>
      </c>
      <c r="I12297" s="2">
        <v>228</v>
      </c>
      <c r="J12297" s="2">
        <v>1010</v>
      </c>
      <c r="K12297" s="2">
        <v>26</v>
      </c>
      <c r="L12297" s="2">
        <v>286</v>
      </c>
    </row>
    <row r="12298" spans="1:12" x14ac:dyDescent="0.25">
      <c r="A12298" s="4" t="str">
        <f>HYPERLINK("http://www.rosaceae.org/Prunus/Prunus_persica/p.persica_gdr_reftransV1_0033520","p.persica_gdr_reftransV1_0033520")</f>
        <v>p.persica_gdr_reftransV1_0033520</v>
      </c>
      <c r="B12298" s="2">
        <v>3312</v>
      </c>
      <c r="C12298" s="4" t="str">
        <f>HYPERLINK("http://www.uniprot.org/uniprot/M5WRI3","M5WRI3")</f>
        <v>M5WRI3</v>
      </c>
      <c r="D12298" s="2" t="s">
        <v>10275</v>
      </c>
      <c r="E12298" s="3">
        <v>0</v>
      </c>
      <c r="F12298" s="2">
        <v>3519</v>
      </c>
      <c r="G12298" s="2">
        <v>83</v>
      </c>
      <c r="H12298" s="2">
        <v>895</v>
      </c>
      <c r="I12298" s="2">
        <v>433</v>
      </c>
      <c r="J12298" s="2">
        <v>3111</v>
      </c>
      <c r="K12298" s="2">
        <v>1</v>
      </c>
      <c r="L12298" s="2">
        <v>830</v>
      </c>
    </row>
    <row r="12299" spans="1:12" x14ac:dyDescent="0.25">
      <c r="A12299" s="4" t="str">
        <f>HYPERLINK("http://www.rosaceae.org/Prunus/Prunus_persica/p.persica_gdr_reftransV1_0034920","p.persica_gdr_reftransV1_0034920")</f>
        <v>p.persica_gdr_reftransV1_0034920</v>
      </c>
      <c r="B12299" s="2">
        <v>1992</v>
      </c>
      <c r="C12299" s="4" t="str">
        <f>HYPERLINK("http://www.uniprot.org/uniprot/M5Y523","M5Y523")</f>
        <v>M5Y523</v>
      </c>
      <c r="D12299" s="2" t="s">
        <v>10276</v>
      </c>
      <c r="E12299" s="3">
        <v>0</v>
      </c>
      <c r="F12299" s="2">
        <v>2455</v>
      </c>
      <c r="G12299" s="2">
        <v>98</v>
      </c>
      <c r="H12299" s="2">
        <v>521</v>
      </c>
      <c r="I12299" s="2">
        <v>165</v>
      </c>
      <c r="J12299" s="2">
        <v>1727</v>
      </c>
      <c r="K12299" s="2">
        <v>1</v>
      </c>
      <c r="L12299" s="2">
        <v>508</v>
      </c>
    </row>
    <row r="12300" spans="1:12" x14ac:dyDescent="0.25">
      <c r="A12300" s="4" t="str">
        <f>HYPERLINK("http://www.rosaceae.org/Prunus/Prunus_persica/p.persica_gdr_reftransV1_0035270","p.persica_gdr_reftransV1_0035270")</f>
        <v>p.persica_gdr_reftransV1_0035270</v>
      </c>
      <c r="B12300" s="2">
        <v>2167</v>
      </c>
      <c r="C12300" s="4" t="str">
        <f>HYPERLINK("http://www.uniprot.org/uniprot/M5XJI8","M5XJI8")</f>
        <v>M5XJI8</v>
      </c>
      <c r="D12300" s="2" t="s">
        <v>10277</v>
      </c>
      <c r="E12300" s="3">
        <v>0</v>
      </c>
      <c r="F12300" s="2">
        <v>2142</v>
      </c>
      <c r="G12300" s="2">
        <v>100</v>
      </c>
      <c r="H12300" s="2">
        <v>448</v>
      </c>
      <c r="I12300" s="2">
        <v>369</v>
      </c>
      <c r="J12300" s="2">
        <v>1712</v>
      </c>
      <c r="K12300" s="2">
        <v>1</v>
      </c>
      <c r="L12300" s="2">
        <v>448</v>
      </c>
    </row>
    <row r="12301" spans="1:12" x14ac:dyDescent="0.25">
      <c r="A12301" s="4" t="str">
        <f>HYPERLINK("http://www.rosaceae.org/Prunus/Prunus_persica/p.persica_gdr_reftransV1_0036320","p.persica_gdr_reftransV1_0036320")</f>
        <v>p.persica_gdr_reftransV1_0036320</v>
      </c>
      <c r="B12301" s="2">
        <v>891</v>
      </c>
      <c r="C12301" s="4" t="str">
        <f>HYPERLINK("http://www.uniprot.org/uniprot/M5W0U7","M5W0U7")</f>
        <v>M5W0U7</v>
      </c>
      <c r="D12301" s="2" t="s">
        <v>10278</v>
      </c>
      <c r="E12301" s="3">
        <v>8.78E-56</v>
      </c>
      <c r="F12301" s="2">
        <v>475</v>
      </c>
      <c r="G12301" s="2">
        <v>99</v>
      </c>
      <c r="H12301" s="2">
        <v>109</v>
      </c>
      <c r="I12301" s="2">
        <v>277</v>
      </c>
      <c r="J12301" s="2">
        <v>603</v>
      </c>
      <c r="K12301" s="2">
        <v>1</v>
      </c>
      <c r="L12301" s="2">
        <v>109</v>
      </c>
    </row>
    <row r="12302" spans="1:12" x14ac:dyDescent="0.25">
      <c r="A12302" s="4" t="str">
        <f>HYPERLINK("http://www.rosaceae.org/Prunus/Prunus_persica/p.persica_gdr_reftransV1_0039470","p.persica_gdr_reftransV1_0039470")</f>
        <v>p.persica_gdr_reftransV1_0039470</v>
      </c>
      <c r="B12302" s="2">
        <v>1329</v>
      </c>
      <c r="C12302" s="4" t="str">
        <f>HYPERLINK("http://www.uniprot.org/uniprot/A0A0D2TZR0","A0A0D2TZR0")</f>
        <v>A0A0D2TZR0</v>
      </c>
      <c r="D12302" s="2" t="s">
        <v>10279</v>
      </c>
      <c r="E12302" s="3">
        <v>5.0700000000000001E-10</v>
      </c>
      <c r="F12302" s="2">
        <v>166</v>
      </c>
      <c r="G12302" s="2">
        <v>56</v>
      </c>
      <c r="H12302" s="2">
        <v>61</v>
      </c>
      <c r="I12302" s="2">
        <v>499</v>
      </c>
      <c r="J12302" s="2">
        <v>681</v>
      </c>
      <c r="K12302" s="2">
        <v>103</v>
      </c>
      <c r="L12302" s="2">
        <v>159</v>
      </c>
    </row>
    <row r="12303" spans="1:12" x14ac:dyDescent="0.25">
      <c r="A12303" s="4" t="str">
        <f>HYPERLINK("http://www.rosaceae.org/Prunus/Prunus_persica/p.persica_gdr_reftransV1_0041220","p.persica_gdr_reftransV1_0041220")</f>
        <v>p.persica_gdr_reftransV1_0041220</v>
      </c>
      <c r="B12303" s="2">
        <v>2536</v>
      </c>
      <c r="C12303" s="4" t="str">
        <f>HYPERLINK("http://www.uniprot.org/uniprot/M5WGJ6","M5WGJ6")</f>
        <v>M5WGJ6</v>
      </c>
      <c r="D12303" s="2" t="s">
        <v>10280</v>
      </c>
      <c r="E12303" s="3">
        <v>2.2799999999999999E-75</v>
      </c>
      <c r="F12303" s="2">
        <v>653</v>
      </c>
      <c r="G12303" s="2">
        <v>100</v>
      </c>
      <c r="H12303" s="2">
        <v>134</v>
      </c>
      <c r="I12303" s="2">
        <v>382</v>
      </c>
      <c r="J12303" s="2">
        <v>783</v>
      </c>
      <c r="K12303" s="2">
        <v>84</v>
      </c>
      <c r="L12303" s="2">
        <v>217</v>
      </c>
    </row>
    <row r="12304" spans="1:12" x14ac:dyDescent="0.25">
      <c r="A12304" s="4" t="str">
        <f>HYPERLINK("http://www.rosaceae.org/Prunus/Prunus_persica/p.persica_gdr_reftransV1_0041570","p.persica_gdr_reftransV1_0041570")</f>
        <v>p.persica_gdr_reftransV1_0041570</v>
      </c>
      <c r="B12304" s="2">
        <v>3711</v>
      </c>
      <c r="C12304" s="4" t="str">
        <f>HYPERLINK("http://www.uniprot.org/uniprot/M5XL42","M5XL42")</f>
        <v>M5XL42</v>
      </c>
      <c r="D12304" s="2" t="s">
        <v>10281</v>
      </c>
      <c r="E12304" s="3">
        <v>0</v>
      </c>
      <c r="F12304" s="2">
        <v>4733</v>
      </c>
      <c r="G12304" s="2">
        <v>100</v>
      </c>
      <c r="H12304" s="2">
        <v>1035</v>
      </c>
      <c r="I12304" s="2">
        <v>36</v>
      </c>
      <c r="J12304" s="2">
        <v>3140</v>
      </c>
      <c r="K12304" s="2">
        <v>192</v>
      </c>
      <c r="L12304" s="2">
        <v>1226</v>
      </c>
    </row>
    <row r="12305" spans="1:12" x14ac:dyDescent="0.25">
      <c r="A12305" s="4" t="str">
        <f>HYPERLINK("http://www.rosaceae.org/Prunus/Prunus_persica/p.persica_gdr_reftransV1_0042270","p.persica_gdr_reftransV1_0042270")</f>
        <v>p.persica_gdr_reftransV1_0042270</v>
      </c>
      <c r="B12305" s="2">
        <v>428</v>
      </c>
      <c r="C12305" s="4" t="str">
        <f>HYPERLINK("http://www.uniprot.org/uniprot/M5W756","M5W756")</f>
        <v>M5W756</v>
      </c>
      <c r="D12305" s="2" t="s">
        <v>10282</v>
      </c>
      <c r="E12305" s="3">
        <v>9.7999999999999993E-93</v>
      </c>
      <c r="F12305" s="2">
        <v>751</v>
      </c>
      <c r="G12305" s="2">
        <v>100</v>
      </c>
      <c r="H12305" s="2">
        <v>142</v>
      </c>
      <c r="I12305" s="2">
        <v>2</v>
      </c>
      <c r="J12305" s="2">
        <v>427</v>
      </c>
      <c r="K12305" s="2">
        <v>304</v>
      </c>
      <c r="L12305" s="2">
        <v>445</v>
      </c>
    </row>
    <row r="12306" spans="1:12" x14ac:dyDescent="0.25">
      <c r="A12306" s="4" t="str">
        <f>HYPERLINK("http://www.rosaceae.org/Prunus/Prunus_persica/p.persica_gdr_reftransV1_0043320","p.persica_gdr_reftransV1_0043320")</f>
        <v>p.persica_gdr_reftransV1_0043320</v>
      </c>
      <c r="B12306" s="2">
        <v>841</v>
      </c>
      <c r="C12306" s="4" t="str">
        <f>HYPERLINK("http://www.uniprot.org/uniprot/M5WJJ1","M5WJJ1")</f>
        <v>M5WJJ1</v>
      </c>
      <c r="D12306" s="2" t="s">
        <v>10283</v>
      </c>
      <c r="E12306" s="3">
        <v>5.0800000000000002E-150</v>
      </c>
      <c r="F12306" s="2">
        <v>1155</v>
      </c>
      <c r="G12306" s="2">
        <v>100</v>
      </c>
      <c r="H12306" s="2">
        <v>217</v>
      </c>
      <c r="I12306" s="2">
        <v>100</v>
      </c>
      <c r="J12306" s="2">
        <v>750</v>
      </c>
      <c r="K12306" s="2">
        <v>362</v>
      </c>
      <c r="L12306" s="2">
        <v>578</v>
      </c>
    </row>
    <row r="12307" spans="1:12" x14ac:dyDescent="0.25">
      <c r="A12307" s="4" t="str">
        <f>HYPERLINK("http://www.rosaceae.org/Prunus/Prunus_persica/p.persica_gdr_reftransV1_0043670","p.persica_gdr_reftransV1_0043670")</f>
        <v>p.persica_gdr_reftransV1_0043670</v>
      </c>
      <c r="B12307" s="2">
        <v>1252</v>
      </c>
      <c r="C12307" s="4" t="str">
        <f>HYPERLINK("http://www.uniprot.org/uniprot/M5XZ39","M5XZ39")</f>
        <v>M5XZ39</v>
      </c>
      <c r="D12307" s="2" t="s">
        <v>10284</v>
      </c>
      <c r="E12307" s="3">
        <v>0</v>
      </c>
      <c r="F12307" s="2">
        <v>1708</v>
      </c>
      <c r="G12307" s="2">
        <v>100</v>
      </c>
      <c r="H12307" s="2">
        <v>348</v>
      </c>
      <c r="I12307" s="2">
        <v>3</v>
      </c>
      <c r="J12307" s="2">
        <v>1046</v>
      </c>
      <c r="K12307" s="2">
        <v>23</v>
      </c>
      <c r="L12307" s="2">
        <v>370</v>
      </c>
    </row>
    <row r="12308" spans="1:12" x14ac:dyDescent="0.25">
      <c r="A12308" s="4" t="str">
        <f>HYPERLINK("http://www.rosaceae.org/Prunus/Prunus_persica/p.persica_gdr_reftransV1_0044020","p.persica_gdr_reftransV1_0044020")</f>
        <v>p.persica_gdr_reftransV1_0044020</v>
      </c>
      <c r="B12308" s="2">
        <v>1788</v>
      </c>
      <c r="C12308" s="4" t="str">
        <f>HYPERLINK("http://www.uniprot.org/uniprot/M5WGS6","M5WGS6")</f>
        <v>M5WGS6</v>
      </c>
      <c r="D12308" s="2" t="s">
        <v>5062</v>
      </c>
      <c r="E12308" s="3">
        <v>0</v>
      </c>
      <c r="F12308" s="2">
        <v>2237</v>
      </c>
      <c r="G12308" s="2">
        <v>97</v>
      </c>
      <c r="H12308" s="2">
        <v>427</v>
      </c>
      <c r="I12308" s="2">
        <v>188</v>
      </c>
      <c r="J12308" s="2">
        <v>1468</v>
      </c>
      <c r="K12308" s="2">
        <v>1</v>
      </c>
      <c r="L12308" s="2">
        <v>427</v>
      </c>
    </row>
    <row r="12309" spans="1:12" x14ac:dyDescent="0.25">
      <c r="A12309" s="4" t="str">
        <f>HYPERLINK("http://www.rosaceae.org/Prunus/Prunus_persica/p.persica_gdr_reftransV1_0044370","p.persica_gdr_reftransV1_0044370")</f>
        <v>p.persica_gdr_reftransV1_0044370</v>
      </c>
      <c r="B12309" s="2">
        <v>2809</v>
      </c>
      <c r="C12309" s="4" t="str">
        <f>HYPERLINK("http://www.uniprot.org/uniprot/M5W4S7","M5W4S7")</f>
        <v>M5W4S7</v>
      </c>
      <c r="D12309" s="2" t="s">
        <v>10285</v>
      </c>
      <c r="E12309" s="3">
        <v>0</v>
      </c>
      <c r="F12309" s="2">
        <v>3175</v>
      </c>
      <c r="G12309" s="2">
        <v>100</v>
      </c>
      <c r="H12309" s="2">
        <v>639</v>
      </c>
      <c r="I12309" s="2">
        <v>665</v>
      </c>
      <c r="J12309" s="2">
        <v>2581</v>
      </c>
      <c r="K12309" s="2">
        <v>1</v>
      </c>
      <c r="L12309" s="2">
        <v>639</v>
      </c>
    </row>
    <row r="12310" spans="1:12" x14ac:dyDescent="0.25">
      <c r="A12310" s="4" t="str">
        <f>HYPERLINK("http://www.rosaceae.org/Prunus/Prunus_persica/p.persica_gdr_reftransV1_0045070","p.persica_gdr_reftransV1_0045070")</f>
        <v>p.persica_gdr_reftransV1_0045070</v>
      </c>
      <c r="B12310" s="2">
        <v>1242</v>
      </c>
      <c r="C12310" s="4" t="str">
        <f>HYPERLINK("http://www.uniprot.org/uniprot/M5WIV9","M5WIV9")</f>
        <v>M5WIV9</v>
      </c>
      <c r="D12310" s="2" t="s">
        <v>10286</v>
      </c>
      <c r="E12310" s="3">
        <v>0</v>
      </c>
      <c r="F12310" s="2">
        <v>1723</v>
      </c>
      <c r="G12310" s="2">
        <v>99</v>
      </c>
      <c r="H12310" s="2">
        <v>326</v>
      </c>
      <c r="I12310" s="2">
        <v>213</v>
      </c>
      <c r="J12310" s="2">
        <v>1190</v>
      </c>
      <c r="K12310" s="2">
        <v>1</v>
      </c>
      <c r="L12310" s="2">
        <v>326</v>
      </c>
    </row>
    <row r="12311" spans="1:12" x14ac:dyDescent="0.25">
      <c r="A12311" s="4" t="str">
        <f>HYPERLINK("http://www.rosaceae.org/Prunus/Prunus_persica/p.persica_gdr_reftransV1_0045420","p.persica_gdr_reftransV1_0045420")</f>
        <v>p.persica_gdr_reftransV1_0045420</v>
      </c>
      <c r="B12311" s="2">
        <v>571</v>
      </c>
      <c r="C12311" s="4" t="str">
        <f>HYPERLINK("http://www.uniprot.org/uniprot/M5VY52","M5VY52")</f>
        <v>M5VY52</v>
      </c>
      <c r="D12311" s="2" t="s">
        <v>10067</v>
      </c>
      <c r="E12311" s="3">
        <v>1.3699999999999999E-124</v>
      </c>
      <c r="F12311" s="2">
        <v>951</v>
      </c>
      <c r="G12311" s="2">
        <v>97</v>
      </c>
      <c r="H12311" s="2">
        <v>182</v>
      </c>
      <c r="I12311" s="2">
        <v>1</v>
      </c>
      <c r="J12311" s="2">
        <v>546</v>
      </c>
      <c r="K12311" s="2">
        <v>1</v>
      </c>
      <c r="L12311" s="2">
        <v>182</v>
      </c>
    </row>
    <row r="12312" spans="1:12" x14ac:dyDescent="0.25">
      <c r="A12312" s="4" t="str">
        <f>HYPERLINK("http://www.rosaceae.org/Prunus/Prunus_persica/p.persica_gdr_reftransV1_0045770","p.persica_gdr_reftransV1_0045770")</f>
        <v>p.persica_gdr_reftransV1_0045770</v>
      </c>
      <c r="B12312" s="2">
        <v>1062</v>
      </c>
      <c r="C12312" s="4" t="str">
        <f>HYPERLINK("http://www.uniprot.org/uniprot/M5WGK9","M5WGK9")</f>
        <v>M5WGK9</v>
      </c>
      <c r="D12312" s="2" t="s">
        <v>10287</v>
      </c>
      <c r="E12312" s="3">
        <v>0</v>
      </c>
      <c r="F12312" s="2">
        <v>1700</v>
      </c>
      <c r="G12312" s="2">
        <v>100</v>
      </c>
      <c r="H12312" s="2">
        <v>319</v>
      </c>
      <c r="I12312" s="2">
        <v>105</v>
      </c>
      <c r="J12312" s="2">
        <v>1061</v>
      </c>
      <c r="K12312" s="2">
        <v>107</v>
      </c>
      <c r="L12312" s="2">
        <v>425</v>
      </c>
    </row>
    <row r="12313" spans="1:12" x14ac:dyDescent="0.25">
      <c r="A12313" s="4" t="str">
        <f>HYPERLINK("http://www.rosaceae.org/Prunus/Prunus_persica/p.persica_gdr_reftransV1_0046470","p.persica_gdr_reftransV1_0046470")</f>
        <v>p.persica_gdr_reftransV1_0046470</v>
      </c>
      <c r="B12313" s="2">
        <v>2322</v>
      </c>
      <c r="C12313" s="4" t="str">
        <f>HYPERLINK("http://www.uniprot.org/uniprot/M5W7J1","M5W7J1")</f>
        <v>M5W7J1</v>
      </c>
      <c r="D12313" s="2" t="s">
        <v>9734</v>
      </c>
      <c r="E12313" s="3">
        <v>0</v>
      </c>
      <c r="F12313" s="2">
        <v>2821</v>
      </c>
      <c r="G12313" s="2">
        <v>100</v>
      </c>
      <c r="H12313" s="2">
        <v>527</v>
      </c>
      <c r="I12313" s="2">
        <v>274</v>
      </c>
      <c r="J12313" s="2">
        <v>1854</v>
      </c>
      <c r="K12313" s="2">
        <v>1</v>
      </c>
      <c r="L12313" s="2">
        <v>527</v>
      </c>
    </row>
    <row r="12314" spans="1:12" x14ac:dyDescent="0.25">
      <c r="A12314" s="4" t="str">
        <f>HYPERLINK("http://www.rosaceae.org/Prunus/Prunus_persica/p.persica_gdr_reftransV1_0046820","p.persica_gdr_reftransV1_0046820")</f>
        <v>p.persica_gdr_reftransV1_0046820</v>
      </c>
      <c r="B12314" s="2">
        <v>1445</v>
      </c>
      <c r="C12314" s="4" t="str">
        <f>HYPERLINK("http://www.uniprot.org/uniprot/M5VQR7","M5VQR7")</f>
        <v>M5VQR7</v>
      </c>
      <c r="D12314" s="2" t="s">
        <v>2290</v>
      </c>
      <c r="E12314" s="3">
        <v>0</v>
      </c>
      <c r="F12314" s="2">
        <v>1378</v>
      </c>
      <c r="G12314" s="2">
        <v>94</v>
      </c>
      <c r="H12314" s="2">
        <v>280</v>
      </c>
      <c r="I12314" s="2">
        <v>356</v>
      </c>
      <c r="J12314" s="2">
        <v>1195</v>
      </c>
      <c r="K12314" s="2">
        <v>1</v>
      </c>
      <c r="L12314" s="2">
        <v>264</v>
      </c>
    </row>
    <row r="12315" spans="1:12" x14ac:dyDescent="0.25">
      <c r="A12315" s="4" t="str">
        <f>HYPERLINK("http://www.rosaceae.org/Prunus/Prunus_persica/p.persica_gdr_reftransV1_0047170","p.persica_gdr_reftransV1_0047170")</f>
        <v>p.persica_gdr_reftransV1_0047170</v>
      </c>
      <c r="B12315" s="2">
        <v>972</v>
      </c>
      <c r="C12315" s="4" t="str">
        <f>HYPERLINK("http://www.uniprot.org/uniprot/B9HTD1","B9HTD1")</f>
        <v>B9HTD1</v>
      </c>
      <c r="D12315" s="2" t="s">
        <v>10288</v>
      </c>
      <c r="E12315" s="3">
        <v>7.0499999999999996E-51</v>
      </c>
      <c r="F12315" s="2">
        <v>470</v>
      </c>
      <c r="G12315" s="2">
        <v>44</v>
      </c>
      <c r="H12315" s="2">
        <v>239</v>
      </c>
      <c r="I12315" s="2">
        <v>3</v>
      </c>
      <c r="J12315" s="2">
        <v>707</v>
      </c>
      <c r="K12315" s="2">
        <v>192</v>
      </c>
      <c r="L12315" s="2">
        <v>429</v>
      </c>
    </row>
    <row r="12316" spans="1:12" x14ac:dyDescent="0.25">
      <c r="A12316" s="4" t="str">
        <f>HYPERLINK("http://www.rosaceae.org/Prunus/Prunus_persica/p.persica_gdr_reftransV1_0047870","p.persica_gdr_reftransV1_0047870")</f>
        <v>p.persica_gdr_reftransV1_0047870</v>
      </c>
      <c r="B12316" s="2">
        <v>1653</v>
      </c>
      <c r="C12316" s="4" t="str">
        <f>HYPERLINK("http://www.uniprot.org/uniprot/M5WMR9","M5WMR9")</f>
        <v>M5WMR9</v>
      </c>
      <c r="D12316" s="2" t="s">
        <v>10289</v>
      </c>
      <c r="E12316" s="3">
        <v>1.6300000000000001E-172</v>
      </c>
      <c r="F12316" s="2">
        <v>1288</v>
      </c>
      <c r="G12316" s="2">
        <v>100</v>
      </c>
      <c r="H12316" s="2">
        <v>260</v>
      </c>
      <c r="I12316" s="2">
        <v>449</v>
      </c>
      <c r="J12316" s="2">
        <v>1228</v>
      </c>
      <c r="K12316" s="2">
        <v>5</v>
      </c>
      <c r="L12316" s="2">
        <v>264</v>
      </c>
    </row>
    <row r="12317" spans="1:12" x14ac:dyDescent="0.25">
      <c r="A12317" s="4" t="str">
        <f>HYPERLINK("http://www.rosaceae.org/Prunus/Prunus_persica/p.persica_gdr_reftransV1_0048220","p.persica_gdr_reftransV1_0048220")</f>
        <v>p.persica_gdr_reftransV1_0048220</v>
      </c>
      <c r="B12317" s="2">
        <v>1850</v>
      </c>
      <c r="C12317" s="4" t="str">
        <f>HYPERLINK("http://www.uniprot.org/uniprot/M5XS04","M5XS04")</f>
        <v>M5XS04</v>
      </c>
      <c r="D12317" s="2" t="s">
        <v>10290</v>
      </c>
      <c r="E12317" s="3">
        <v>1.3E-116</v>
      </c>
      <c r="F12317" s="2">
        <v>934</v>
      </c>
      <c r="G12317" s="2">
        <v>86</v>
      </c>
      <c r="H12317" s="2">
        <v>391</v>
      </c>
      <c r="I12317" s="2">
        <v>542</v>
      </c>
      <c r="J12317" s="2">
        <v>1609</v>
      </c>
      <c r="K12317" s="2">
        <v>1</v>
      </c>
      <c r="L12317" s="2">
        <v>371</v>
      </c>
    </row>
    <row r="12318" spans="1:12" x14ac:dyDescent="0.25">
      <c r="A12318" s="4" t="str">
        <f>HYPERLINK("http://www.rosaceae.org/Prunus/Prunus_persica/p.persica_gdr_reftransV1_0048570","p.persica_gdr_reftransV1_0048570")</f>
        <v>p.persica_gdr_reftransV1_0048570</v>
      </c>
      <c r="B12318" s="2">
        <v>1682</v>
      </c>
      <c r="C12318" s="4" t="str">
        <f>HYPERLINK("http://www.uniprot.org/uniprot/M5W718","M5W718")</f>
        <v>M5W718</v>
      </c>
      <c r="D12318" s="2" t="s">
        <v>2225</v>
      </c>
      <c r="E12318" s="3">
        <v>0</v>
      </c>
      <c r="F12318" s="2">
        <v>2789</v>
      </c>
      <c r="G12318" s="2">
        <v>100</v>
      </c>
      <c r="H12318" s="2">
        <v>541</v>
      </c>
      <c r="I12318" s="2">
        <v>2</v>
      </c>
      <c r="J12318" s="2">
        <v>1624</v>
      </c>
      <c r="K12318" s="2">
        <v>160</v>
      </c>
      <c r="L12318" s="2">
        <v>700</v>
      </c>
    </row>
    <row r="12319" spans="1:12" x14ac:dyDescent="0.25">
      <c r="A12319" s="4" t="str">
        <f>HYPERLINK("http://www.rosaceae.org/Prunus/Prunus_persica/p.persica_gdr_reftransV1_0048920","p.persica_gdr_reftransV1_0048920")</f>
        <v>p.persica_gdr_reftransV1_0048920</v>
      </c>
      <c r="B12319" s="2">
        <v>2563</v>
      </c>
      <c r="C12319" s="4" t="str">
        <f>HYPERLINK("http://www.uniprot.org/uniprot/W9RK39","W9RK39")</f>
        <v>W9RK39</v>
      </c>
      <c r="D12319" s="2" t="s">
        <v>10291</v>
      </c>
      <c r="E12319" s="3">
        <v>0</v>
      </c>
      <c r="F12319" s="2">
        <v>1618</v>
      </c>
      <c r="G12319" s="2">
        <v>55</v>
      </c>
      <c r="H12319" s="2">
        <v>675</v>
      </c>
      <c r="I12319" s="2">
        <v>260</v>
      </c>
      <c r="J12319" s="2">
        <v>2122</v>
      </c>
      <c r="K12319" s="2">
        <v>1</v>
      </c>
      <c r="L12319" s="2">
        <v>662</v>
      </c>
    </row>
    <row r="12320" spans="1:12" x14ac:dyDescent="0.25">
      <c r="A12320" s="4" t="str">
        <f>HYPERLINK("http://www.rosaceae.org/Prunus/Prunus_persica/p.persica_gdr_reftransV1_0000027","p.persica_gdr_reftransV1_0000027")</f>
        <v>p.persica_gdr_reftransV1_0000027</v>
      </c>
      <c r="B12320" s="2">
        <v>1988</v>
      </c>
      <c r="C12320" s="4" t="str">
        <f>HYPERLINK("http://www.uniprot.org/uniprot/M5W8U5","M5W8U5")</f>
        <v>M5W8U5</v>
      </c>
      <c r="D12320" s="2" t="s">
        <v>10292</v>
      </c>
      <c r="E12320" s="3">
        <v>0</v>
      </c>
      <c r="F12320" s="2">
        <v>2529</v>
      </c>
      <c r="G12320" s="2">
        <v>100</v>
      </c>
      <c r="H12320" s="2">
        <v>475</v>
      </c>
      <c r="I12320" s="2">
        <v>490</v>
      </c>
      <c r="J12320" s="2">
        <v>1914</v>
      </c>
      <c r="K12320" s="2">
        <v>1</v>
      </c>
      <c r="L12320" s="2">
        <v>475</v>
      </c>
    </row>
    <row r="12321" spans="1:12" x14ac:dyDescent="0.25">
      <c r="A12321" s="4" t="str">
        <f>HYPERLINK("http://www.rosaceae.org/Prunus/Prunus_persica/p.persica_gdr_reftransV1_0000377","p.persica_gdr_reftransV1_0000377")</f>
        <v>p.persica_gdr_reftransV1_0000377</v>
      </c>
      <c r="B12321" s="2">
        <v>2749</v>
      </c>
      <c r="C12321" s="4" t="str">
        <f>HYPERLINK("http://www.uniprot.org/uniprot/M5WPX7","M5WPX7")</f>
        <v>M5WPX7</v>
      </c>
      <c r="D12321" s="2" t="s">
        <v>10293</v>
      </c>
      <c r="E12321" s="3">
        <v>0</v>
      </c>
      <c r="F12321" s="2">
        <v>4276</v>
      </c>
      <c r="G12321" s="2">
        <v>100</v>
      </c>
      <c r="H12321" s="2">
        <v>799</v>
      </c>
      <c r="I12321" s="2">
        <v>353</v>
      </c>
      <c r="J12321" s="2">
        <v>2749</v>
      </c>
      <c r="K12321" s="2">
        <v>288</v>
      </c>
      <c r="L12321" s="2">
        <v>1086</v>
      </c>
    </row>
    <row r="12322" spans="1:12" x14ac:dyDescent="0.25">
      <c r="A12322" s="4" t="str">
        <f>HYPERLINK("http://www.rosaceae.org/Prunus/Prunus_persica/p.persica_gdr_reftransV1_0000727","p.persica_gdr_reftransV1_0000727")</f>
        <v>p.persica_gdr_reftransV1_0000727</v>
      </c>
      <c r="B12322" s="2">
        <v>1468</v>
      </c>
      <c r="C12322" s="4" t="str">
        <f>HYPERLINK("http://www.uniprot.org/uniprot/M5WU01","M5WU01")</f>
        <v>M5WU01</v>
      </c>
      <c r="D12322" s="2" t="s">
        <v>4294</v>
      </c>
      <c r="E12322" s="3">
        <v>0</v>
      </c>
      <c r="F12322" s="2">
        <v>2180</v>
      </c>
      <c r="G12322" s="2">
        <v>100</v>
      </c>
      <c r="H12322" s="2">
        <v>462</v>
      </c>
      <c r="I12322" s="2">
        <v>41</v>
      </c>
      <c r="J12322" s="2">
        <v>1426</v>
      </c>
      <c r="K12322" s="2">
        <v>1</v>
      </c>
      <c r="L12322" s="2">
        <v>462</v>
      </c>
    </row>
    <row r="12323" spans="1:12" x14ac:dyDescent="0.25">
      <c r="A12323" s="4" t="str">
        <f>HYPERLINK("http://www.rosaceae.org/Prunus/Prunus_persica/p.persica_gdr_reftransV1_0001427","p.persica_gdr_reftransV1_0001427")</f>
        <v>p.persica_gdr_reftransV1_0001427</v>
      </c>
      <c r="B12323" s="2">
        <v>2029</v>
      </c>
      <c r="C12323" s="4" t="str">
        <f>HYPERLINK("http://www.uniprot.org/uniprot/M5VXD9","M5VXD9")</f>
        <v>M5VXD9</v>
      </c>
      <c r="D12323" s="2" t="s">
        <v>10294</v>
      </c>
      <c r="E12323" s="3">
        <v>0</v>
      </c>
      <c r="F12323" s="2">
        <v>2078</v>
      </c>
      <c r="G12323" s="2">
        <v>100</v>
      </c>
      <c r="H12323" s="2">
        <v>384</v>
      </c>
      <c r="I12323" s="2">
        <v>255</v>
      </c>
      <c r="J12323" s="2">
        <v>1406</v>
      </c>
      <c r="K12323" s="2">
        <v>6</v>
      </c>
      <c r="L12323" s="2">
        <v>389</v>
      </c>
    </row>
    <row r="12324" spans="1:12" x14ac:dyDescent="0.25">
      <c r="A12324" s="4" t="str">
        <f>HYPERLINK("http://www.rosaceae.org/Prunus/Prunus_persica/p.persica_gdr_reftransV1_0001777","p.persica_gdr_reftransV1_0001777")</f>
        <v>p.persica_gdr_reftransV1_0001777</v>
      </c>
      <c r="B12324" s="2">
        <v>884</v>
      </c>
      <c r="C12324" s="4" t="str">
        <f>HYPERLINK("http://www.uniprot.org/uniprot/M5XN75","M5XN75")</f>
        <v>M5XN75</v>
      </c>
      <c r="D12324" s="2" t="s">
        <v>10295</v>
      </c>
      <c r="E12324" s="3">
        <v>0</v>
      </c>
      <c r="F12324" s="2">
        <v>1572</v>
      </c>
      <c r="G12324" s="2">
        <v>100</v>
      </c>
      <c r="H12324" s="2">
        <v>294</v>
      </c>
      <c r="I12324" s="2">
        <v>1</v>
      </c>
      <c r="J12324" s="2">
        <v>882</v>
      </c>
      <c r="K12324" s="2">
        <v>149</v>
      </c>
      <c r="L12324" s="2">
        <v>442</v>
      </c>
    </row>
    <row r="12325" spans="1:12" x14ac:dyDescent="0.25">
      <c r="A12325" s="4" t="str">
        <f>HYPERLINK("http://www.rosaceae.org/Prunus/Prunus_persica/p.persica_gdr_reftransV1_0002127","p.persica_gdr_reftransV1_0002127")</f>
        <v>p.persica_gdr_reftransV1_0002127</v>
      </c>
      <c r="B12325" s="2">
        <v>522</v>
      </c>
      <c r="C12325" s="4" t="str">
        <f>HYPERLINK("http://www.uniprot.org/uniprot/M5VGW8","M5VGW8")</f>
        <v>M5VGW8</v>
      </c>
      <c r="D12325" s="2" t="s">
        <v>10296</v>
      </c>
      <c r="E12325" s="3">
        <v>9.7700000000000006E-90</v>
      </c>
      <c r="F12325" s="2">
        <v>740</v>
      </c>
      <c r="G12325" s="2">
        <v>84</v>
      </c>
      <c r="H12325" s="2">
        <v>166</v>
      </c>
      <c r="I12325" s="2">
        <v>3</v>
      </c>
      <c r="J12325" s="2">
        <v>500</v>
      </c>
      <c r="K12325" s="2">
        <v>1</v>
      </c>
      <c r="L12325" s="2">
        <v>166</v>
      </c>
    </row>
    <row r="12326" spans="1:12" x14ac:dyDescent="0.25">
      <c r="A12326" s="4" t="str">
        <f>HYPERLINK("http://www.rosaceae.org/Prunus/Prunus_persica/p.persica_gdr_reftransV1_0002827","p.persica_gdr_reftransV1_0002827")</f>
        <v>p.persica_gdr_reftransV1_0002827</v>
      </c>
      <c r="B12326" s="2">
        <v>599</v>
      </c>
      <c r="C12326" s="4" t="str">
        <f>HYPERLINK("http://www.uniprot.org/uniprot/A0A0D9PG95","A0A0D9PG95")</f>
        <v>A0A0D9PG95</v>
      </c>
      <c r="D12326" s="2" t="s">
        <v>10297</v>
      </c>
      <c r="E12326" s="3">
        <v>6.7699999999999995E-138</v>
      </c>
      <c r="F12326" s="2">
        <v>1040</v>
      </c>
      <c r="G12326" s="2">
        <v>97</v>
      </c>
      <c r="H12326" s="2">
        <v>199</v>
      </c>
      <c r="I12326" s="2">
        <v>3</v>
      </c>
      <c r="J12326" s="2">
        <v>599</v>
      </c>
      <c r="K12326" s="2">
        <v>32</v>
      </c>
      <c r="L12326" s="2">
        <v>230</v>
      </c>
    </row>
    <row r="12327" spans="1:12" x14ac:dyDescent="0.25">
      <c r="A12327" s="4" t="str">
        <f>HYPERLINK("http://www.rosaceae.org/Prunus/Prunus_persica/p.persica_gdr_reftransV1_0003527","p.persica_gdr_reftransV1_0003527")</f>
        <v>p.persica_gdr_reftransV1_0003527</v>
      </c>
      <c r="B12327" s="2">
        <v>1742</v>
      </c>
      <c r="C12327" s="4" t="str">
        <f>HYPERLINK("http://www.uniprot.org/uniprot/M5XJT2","M5XJT2")</f>
        <v>M5XJT2</v>
      </c>
      <c r="D12327" s="2" t="s">
        <v>6815</v>
      </c>
      <c r="E12327" s="3">
        <v>0</v>
      </c>
      <c r="F12327" s="2">
        <v>2071</v>
      </c>
      <c r="G12327" s="2">
        <v>100</v>
      </c>
      <c r="H12327" s="2">
        <v>402</v>
      </c>
      <c r="I12327" s="2">
        <v>445</v>
      </c>
      <c r="J12327" s="2">
        <v>1650</v>
      </c>
      <c r="K12327" s="2">
        <v>1</v>
      </c>
      <c r="L12327" s="2">
        <v>402</v>
      </c>
    </row>
    <row r="12328" spans="1:12" x14ac:dyDescent="0.25">
      <c r="A12328" s="4" t="str">
        <f>HYPERLINK("http://www.rosaceae.org/Prunus/Prunus_persica/p.persica_gdr_reftransV1_0003877","p.persica_gdr_reftransV1_0003877")</f>
        <v>p.persica_gdr_reftransV1_0003877</v>
      </c>
      <c r="B12328" s="2">
        <v>1682</v>
      </c>
      <c r="C12328" s="4" t="str">
        <f>HYPERLINK("http://www.uniprot.org/uniprot/M5X0B2","M5X0B2")</f>
        <v>M5X0B2</v>
      </c>
      <c r="D12328" s="2" t="s">
        <v>3221</v>
      </c>
      <c r="E12328" s="3">
        <v>0</v>
      </c>
      <c r="F12328" s="2">
        <v>1393</v>
      </c>
      <c r="G12328" s="2">
        <v>85</v>
      </c>
      <c r="H12328" s="2">
        <v>351</v>
      </c>
      <c r="I12328" s="2">
        <v>393</v>
      </c>
      <c r="J12328" s="2">
        <v>1445</v>
      </c>
      <c r="K12328" s="2">
        <v>48</v>
      </c>
      <c r="L12328" s="2">
        <v>356</v>
      </c>
    </row>
    <row r="12329" spans="1:12" x14ac:dyDescent="0.25">
      <c r="A12329" s="4" t="str">
        <f>HYPERLINK("http://www.rosaceae.org/Prunus/Prunus_persica/p.persica_gdr_reftransV1_0004227","p.persica_gdr_reftransV1_0004227")</f>
        <v>p.persica_gdr_reftransV1_0004227</v>
      </c>
      <c r="B12329" s="2">
        <v>1421</v>
      </c>
      <c r="C12329" s="4" t="str">
        <f>HYPERLINK("http://www.uniprot.org/uniprot/A0A0F6PYQ3","A0A0F6PYQ3")</f>
        <v>A0A0F6PYQ3</v>
      </c>
      <c r="D12329" s="2" t="s">
        <v>10298</v>
      </c>
      <c r="E12329" s="3">
        <v>2.2900000000000001E-109</v>
      </c>
      <c r="F12329" s="2">
        <v>854</v>
      </c>
      <c r="G12329" s="2">
        <v>100</v>
      </c>
      <c r="H12329" s="2">
        <v>184</v>
      </c>
      <c r="I12329" s="2">
        <v>195</v>
      </c>
      <c r="J12329" s="2">
        <v>746</v>
      </c>
      <c r="K12329" s="2">
        <v>1</v>
      </c>
      <c r="L12329" s="2">
        <v>184</v>
      </c>
    </row>
    <row r="12330" spans="1:12" x14ac:dyDescent="0.25">
      <c r="A12330" s="4" t="str">
        <f>HYPERLINK("http://www.rosaceae.org/Prunus/Prunus_persica/p.persica_gdr_reftransV1_0004577","p.persica_gdr_reftransV1_0004577")</f>
        <v>p.persica_gdr_reftransV1_0004577</v>
      </c>
      <c r="B12330" s="2">
        <v>1940</v>
      </c>
      <c r="C12330" s="4" t="str">
        <f>HYPERLINK("http://www.uniprot.org/uniprot/M5W1R8","M5W1R8")</f>
        <v>M5W1R8</v>
      </c>
      <c r="D12330" s="2" t="s">
        <v>10299</v>
      </c>
      <c r="E12330" s="3">
        <v>0</v>
      </c>
      <c r="F12330" s="2">
        <v>2497</v>
      </c>
      <c r="G12330" s="2">
        <v>98</v>
      </c>
      <c r="H12330" s="2">
        <v>491</v>
      </c>
      <c r="I12330" s="2">
        <v>125</v>
      </c>
      <c r="J12330" s="2">
        <v>1597</v>
      </c>
      <c r="K12330" s="2">
        <v>1</v>
      </c>
      <c r="L12330" s="2">
        <v>491</v>
      </c>
    </row>
    <row r="12331" spans="1:12" x14ac:dyDescent="0.25">
      <c r="A12331" s="4" t="str">
        <f>HYPERLINK("http://www.rosaceae.org/Prunus/Prunus_persica/p.persica_gdr_reftransV1_0004927","p.persica_gdr_reftransV1_0004927")</f>
        <v>p.persica_gdr_reftransV1_0004927</v>
      </c>
      <c r="B12331" s="2">
        <v>1598</v>
      </c>
      <c r="C12331" s="4" t="str">
        <f>HYPERLINK("http://www.uniprot.org/uniprot/Q9MBD7","Q9MBD7")</f>
        <v>Q9MBD7</v>
      </c>
      <c r="D12331" s="2" t="s">
        <v>5382</v>
      </c>
      <c r="E12331" s="3">
        <v>0</v>
      </c>
      <c r="F12331" s="2">
        <v>1879</v>
      </c>
      <c r="G12331" s="2">
        <v>100</v>
      </c>
      <c r="H12331" s="2">
        <v>356</v>
      </c>
      <c r="I12331" s="2">
        <v>327</v>
      </c>
      <c r="J12331" s="2">
        <v>1394</v>
      </c>
      <c r="K12331" s="2">
        <v>12</v>
      </c>
      <c r="L12331" s="2">
        <v>367</v>
      </c>
    </row>
    <row r="12332" spans="1:12" x14ac:dyDescent="0.25">
      <c r="A12332" s="4" t="str">
        <f>HYPERLINK("http://www.rosaceae.org/Prunus/Prunus_persica/p.persica_gdr_reftransV1_0005277","p.persica_gdr_reftransV1_0005277")</f>
        <v>p.persica_gdr_reftransV1_0005277</v>
      </c>
      <c r="B12332" s="2">
        <v>1277</v>
      </c>
      <c r="C12332" s="4" t="str">
        <f>HYPERLINK("http://www.uniprot.org/uniprot/B6ZL94","B6ZL94")</f>
        <v>B6ZL94</v>
      </c>
      <c r="D12332" s="2" t="s">
        <v>10300</v>
      </c>
      <c r="E12332" s="3">
        <v>1.25E-156</v>
      </c>
      <c r="F12332" s="2">
        <v>1171</v>
      </c>
      <c r="G12332" s="2">
        <v>100</v>
      </c>
      <c r="H12332" s="2">
        <v>220</v>
      </c>
      <c r="I12332" s="2">
        <v>122</v>
      </c>
      <c r="J12332" s="2">
        <v>781</v>
      </c>
      <c r="K12332" s="2">
        <v>1</v>
      </c>
      <c r="L12332" s="2">
        <v>220</v>
      </c>
    </row>
    <row r="12333" spans="1:12" x14ac:dyDescent="0.25">
      <c r="A12333" s="4" t="str">
        <f>HYPERLINK("http://www.rosaceae.org/Prunus/Prunus_persica/p.persica_gdr_reftransV1_0005977","p.persica_gdr_reftransV1_0005977")</f>
        <v>p.persica_gdr_reftransV1_0005977</v>
      </c>
      <c r="B12333" s="2">
        <v>2609</v>
      </c>
      <c r="C12333" s="4" t="str">
        <f>HYPERLINK("http://www.uniprot.org/uniprot/M5X6Y7","M5X6Y7")</f>
        <v>M5X6Y7</v>
      </c>
      <c r="D12333" s="2" t="s">
        <v>10301</v>
      </c>
      <c r="E12333" s="3">
        <v>0</v>
      </c>
      <c r="F12333" s="2">
        <v>3926</v>
      </c>
      <c r="G12333" s="2">
        <v>100</v>
      </c>
      <c r="H12333" s="2">
        <v>765</v>
      </c>
      <c r="I12333" s="2">
        <v>38</v>
      </c>
      <c r="J12333" s="2">
        <v>2332</v>
      </c>
      <c r="K12333" s="2">
        <v>1</v>
      </c>
      <c r="L12333" s="2">
        <v>765</v>
      </c>
    </row>
    <row r="12334" spans="1:12" x14ac:dyDescent="0.25">
      <c r="A12334" s="4" t="str">
        <f>HYPERLINK("http://www.rosaceae.org/Prunus/Prunus_persica/p.persica_gdr_reftransV1_0007377","p.persica_gdr_reftransV1_0007377")</f>
        <v>p.persica_gdr_reftransV1_0007377</v>
      </c>
      <c r="B12334" s="2">
        <v>1771</v>
      </c>
      <c r="C12334" s="4" t="str">
        <f>HYPERLINK("http://www.uniprot.org/uniprot/W9RGR0","W9RGR0")</f>
        <v>W9RGR0</v>
      </c>
      <c r="D12334" s="2" t="s">
        <v>5300</v>
      </c>
      <c r="E12334" s="3">
        <v>0</v>
      </c>
      <c r="F12334" s="2">
        <v>1749</v>
      </c>
      <c r="G12334" s="2">
        <v>76</v>
      </c>
      <c r="H12334" s="2">
        <v>417</v>
      </c>
      <c r="I12334" s="2">
        <v>49</v>
      </c>
      <c r="J12334" s="2">
        <v>1293</v>
      </c>
      <c r="K12334" s="2">
        <v>638</v>
      </c>
      <c r="L12334" s="2">
        <v>1054</v>
      </c>
    </row>
    <row r="12335" spans="1:12" x14ac:dyDescent="0.25">
      <c r="A12335" s="4" t="str">
        <f>HYPERLINK("http://www.rosaceae.org/Prunus/Prunus_persica/p.persica_gdr_reftransV1_0007727","p.persica_gdr_reftransV1_0007727")</f>
        <v>p.persica_gdr_reftransV1_0007727</v>
      </c>
      <c r="B12335" s="2">
        <v>464</v>
      </c>
      <c r="C12335" s="4" t="str">
        <f>HYPERLINK("http://www.uniprot.org/uniprot/M5X7W9","M5X7W9")</f>
        <v>M5X7W9</v>
      </c>
      <c r="D12335" s="2" t="s">
        <v>1124</v>
      </c>
      <c r="E12335" s="3">
        <v>2.4199999999999999E-89</v>
      </c>
      <c r="F12335" s="2">
        <v>727</v>
      </c>
      <c r="G12335" s="2">
        <v>98</v>
      </c>
      <c r="H12335" s="2">
        <v>152</v>
      </c>
      <c r="I12335" s="2">
        <v>9</v>
      </c>
      <c r="J12335" s="2">
        <v>464</v>
      </c>
      <c r="K12335" s="2">
        <v>263</v>
      </c>
      <c r="L12335" s="2">
        <v>414</v>
      </c>
    </row>
    <row r="12336" spans="1:12" x14ac:dyDescent="0.25">
      <c r="A12336" s="4" t="str">
        <f>HYPERLINK("http://www.rosaceae.org/Prunus/Prunus_persica/p.persica_gdr_reftransV1_0008077","p.persica_gdr_reftransV1_0008077")</f>
        <v>p.persica_gdr_reftransV1_0008077</v>
      </c>
      <c r="B12336" s="2">
        <v>923</v>
      </c>
      <c r="C12336" s="4" t="str">
        <f>HYPERLINK("http://www.uniprot.org/uniprot/M5XYF4","M5XYF4")</f>
        <v>M5XYF4</v>
      </c>
      <c r="D12336" s="2" t="s">
        <v>7350</v>
      </c>
      <c r="E12336" s="3">
        <v>2.0700000000000001E-160</v>
      </c>
      <c r="F12336" s="2">
        <v>1199</v>
      </c>
      <c r="G12336" s="2">
        <v>100</v>
      </c>
      <c r="H12336" s="2">
        <v>225</v>
      </c>
      <c r="I12336" s="2">
        <v>249</v>
      </c>
      <c r="J12336" s="2">
        <v>923</v>
      </c>
      <c r="K12336" s="2">
        <v>1</v>
      </c>
      <c r="L12336" s="2">
        <v>225</v>
      </c>
    </row>
    <row r="12337" spans="1:12" x14ac:dyDescent="0.25">
      <c r="A12337" s="4" t="str">
        <f>HYPERLINK("http://www.rosaceae.org/Prunus/Prunus_persica/p.persica_gdr_reftransV1_0008427","p.persica_gdr_reftransV1_0008427")</f>
        <v>p.persica_gdr_reftransV1_0008427</v>
      </c>
      <c r="B12337" s="2">
        <v>408</v>
      </c>
      <c r="C12337" s="4" t="str">
        <f>HYPERLINK("http://www.uniprot.org/uniprot/M5WCR1","M5WCR1")</f>
        <v>M5WCR1</v>
      </c>
      <c r="D12337" s="2" t="s">
        <v>6756</v>
      </c>
      <c r="E12337" s="3">
        <v>6.7600000000000004E-10</v>
      </c>
      <c r="F12337" s="2">
        <v>153</v>
      </c>
      <c r="G12337" s="2">
        <v>100</v>
      </c>
      <c r="H12337" s="2">
        <v>55</v>
      </c>
      <c r="I12337" s="2">
        <v>78</v>
      </c>
      <c r="J12337" s="2">
        <v>242</v>
      </c>
      <c r="K12337" s="2">
        <v>1</v>
      </c>
      <c r="L12337" s="2">
        <v>55</v>
      </c>
    </row>
    <row r="12338" spans="1:12" x14ac:dyDescent="0.25">
      <c r="A12338" s="4" t="str">
        <f>HYPERLINK("http://www.rosaceae.org/Prunus/Prunus_persica/p.persica_gdr_reftransV1_0009127","p.persica_gdr_reftransV1_0009127")</f>
        <v>p.persica_gdr_reftransV1_0009127</v>
      </c>
      <c r="B12338" s="2">
        <v>471</v>
      </c>
      <c r="C12338" s="4" t="str">
        <f>HYPERLINK("http://www.uniprot.org/uniprot/M5Y318","M5Y318")</f>
        <v>M5Y318</v>
      </c>
      <c r="D12338" s="2" t="s">
        <v>7261</v>
      </c>
      <c r="E12338" s="3">
        <v>1.4199999999999999E-75</v>
      </c>
      <c r="F12338" s="2">
        <v>610</v>
      </c>
      <c r="G12338" s="2">
        <v>99</v>
      </c>
      <c r="H12338" s="2">
        <v>112</v>
      </c>
      <c r="I12338" s="2">
        <v>134</v>
      </c>
      <c r="J12338" s="2">
        <v>469</v>
      </c>
      <c r="K12338" s="2">
        <v>204</v>
      </c>
      <c r="L12338" s="2">
        <v>315</v>
      </c>
    </row>
    <row r="12339" spans="1:12" x14ac:dyDescent="0.25">
      <c r="A12339" s="4" t="str">
        <f>HYPERLINK("http://www.rosaceae.org/Prunus/Prunus_persica/p.persica_gdr_reftransV1_0009827","p.persica_gdr_reftransV1_0009827")</f>
        <v>p.persica_gdr_reftransV1_0009827</v>
      </c>
      <c r="B12339" s="2">
        <v>754</v>
      </c>
      <c r="C12339" s="4" t="str">
        <f>HYPERLINK("http://www.uniprot.org/uniprot/M5VJV5","M5VJV5")</f>
        <v>M5VJV5</v>
      </c>
      <c r="D12339" s="2" t="s">
        <v>6492</v>
      </c>
      <c r="E12339" s="3">
        <v>2.9400000000000002E-112</v>
      </c>
      <c r="F12339" s="2">
        <v>870</v>
      </c>
      <c r="G12339" s="2">
        <v>100</v>
      </c>
      <c r="H12339" s="2">
        <v>158</v>
      </c>
      <c r="I12339" s="2">
        <v>281</v>
      </c>
      <c r="J12339" s="2">
        <v>754</v>
      </c>
      <c r="K12339" s="2">
        <v>220</v>
      </c>
      <c r="L12339" s="2">
        <v>377</v>
      </c>
    </row>
    <row r="12340" spans="1:12" x14ac:dyDescent="0.25">
      <c r="A12340" s="4" t="str">
        <f>HYPERLINK("http://www.rosaceae.org/Prunus/Prunus_persica/p.persica_gdr_reftransV1_0010177","p.persica_gdr_reftransV1_0010177")</f>
        <v>p.persica_gdr_reftransV1_0010177</v>
      </c>
      <c r="B12340" s="2">
        <v>2012</v>
      </c>
      <c r="C12340" s="4" t="str">
        <f>HYPERLINK("http://www.uniprot.org/uniprot/M5VXW3","M5VXW3")</f>
        <v>M5VXW3</v>
      </c>
      <c r="D12340" s="2" t="s">
        <v>10302</v>
      </c>
      <c r="E12340" s="3">
        <v>0</v>
      </c>
      <c r="F12340" s="2">
        <v>1789</v>
      </c>
      <c r="G12340" s="2">
        <v>100</v>
      </c>
      <c r="H12340" s="2">
        <v>347</v>
      </c>
      <c r="I12340" s="2">
        <v>433</v>
      </c>
      <c r="J12340" s="2">
        <v>1473</v>
      </c>
      <c r="K12340" s="2">
        <v>6</v>
      </c>
      <c r="L12340" s="2">
        <v>352</v>
      </c>
    </row>
    <row r="12341" spans="1:12" x14ac:dyDescent="0.25">
      <c r="A12341" s="4" t="str">
        <f>HYPERLINK("http://www.rosaceae.org/Prunus/Prunus_persica/p.persica_gdr_reftransV1_0010527","p.persica_gdr_reftransV1_0010527")</f>
        <v>p.persica_gdr_reftransV1_0010527</v>
      </c>
      <c r="B12341" s="2">
        <v>1562</v>
      </c>
      <c r="C12341" s="4" t="str">
        <f>HYPERLINK("http://www.uniprot.org/uniprot/M5W9X2","M5W9X2")</f>
        <v>M5W9X2</v>
      </c>
      <c r="D12341" s="2" t="s">
        <v>10303</v>
      </c>
      <c r="E12341" s="3">
        <v>6.4199999999999997E-177</v>
      </c>
      <c r="F12341" s="2">
        <v>1250</v>
      </c>
      <c r="G12341" s="2">
        <v>100</v>
      </c>
      <c r="H12341" s="2">
        <v>235</v>
      </c>
      <c r="I12341" s="2">
        <v>453</v>
      </c>
      <c r="J12341" s="2">
        <v>1157</v>
      </c>
      <c r="K12341" s="2">
        <v>92</v>
      </c>
      <c r="L12341" s="2">
        <v>326</v>
      </c>
    </row>
    <row r="12342" spans="1:12" x14ac:dyDescent="0.25">
      <c r="A12342" s="4" t="str">
        <f>HYPERLINK("http://www.rosaceae.org/Prunus/Prunus_persica/p.persica_gdr_reftransV1_0010877","p.persica_gdr_reftransV1_0010877")</f>
        <v>p.persica_gdr_reftransV1_0010877</v>
      </c>
      <c r="B12342" s="2">
        <v>1799</v>
      </c>
      <c r="C12342" s="4" t="str">
        <f>HYPERLINK("http://www.uniprot.org/uniprot/M5VKY3","M5VKY3")</f>
        <v>M5VKY3</v>
      </c>
      <c r="D12342" s="2" t="s">
        <v>10304</v>
      </c>
      <c r="E12342" s="3">
        <v>1.1499999999999999E-35</v>
      </c>
      <c r="F12342" s="2">
        <v>353</v>
      </c>
      <c r="G12342" s="2">
        <v>96</v>
      </c>
      <c r="H12342" s="2">
        <v>99</v>
      </c>
      <c r="I12342" s="2">
        <v>794</v>
      </c>
      <c r="J12342" s="2">
        <v>1090</v>
      </c>
      <c r="K12342" s="2">
        <v>37</v>
      </c>
      <c r="L12342" s="2">
        <v>135</v>
      </c>
    </row>
    <row r="12343" spans="1:12" x14ac:dyDescent="0.25">
      <c r="A12343" s="4" t="str">
        <f>HYPERLINK("http://www.rosaceae.org/Prunus/Prunus_persica/p.persica_gdr_reftransV1_0011577","p.persica_gdr_reftransV1_0011577")</f>
        <v>p.persica_gdr_reftransV1_0011577</v>
      </c>
      <c r="B12343" s="2">
        <v>1077</v>
      </c>
      <c r="C12343" s="4" t="str">
        <f>HYPERLINK("http://www.uniprot.org/uniprot/M5WTG0","M5WTG0")</f>
        <v>M5WTG0</v>
      </c>
      <c r="D12343" s="2" t="s">
        <v>10305</v>
      </c>
      <c r="E12343" s="3">
        <v>2.7499999999999999E-144</v>
      </c>
      <c r="F12343" s="2">
        <v>530</v>
      </c>
      <c r="G12343" s="2">
        <v>100</v>
      </c>
      <c r="H12343" s="2">
        <v>98</v>
      </c>
      <c r="I12343" s="2">
        <v>754</v>
      </c>
      <c r="J12343" s="2">
        <v>1047</v>
      </c>
      <c r="K12343" s="2">
        <v>10</v>
      </c>
      <c r="L12343" s="2">
        <v>107</v>
      </c>
    </row>
    <row r="12344" spans="1:12" x14ac:dyDescent="0.25">
      <c r="A12344" s="4" t="str">
        <f>HYPERLINK("http://www.rosaceae.org/Prunus/Prunus_persica/p.persica_gdr_reftransV1_0012277","p.persica_gdr_reftransV1_0012277")</f>
        <v>p.persica_gdr_reftransV1_0012277</v>
      </c>
      <c r="B12344" s="2">
        <v>1969</v>
      </c>
      <c r="C12344" s="4" t="str">
        <f>HYPERLINK("http://www.uniprot.org/uniprot/M5WI33","M5WI33")</f>
        <v>M5WI33</v>
      </c>
      <c r="D12344" s="2" t="s">
        <v>10306</v>
      </c>
      <c r="E12344" s="3">
        <v>0</v>
      </c>
      <c r="F12344" s="2">
        <v>2056</v>
      </c>
      <c r="G12344" s="2">
        <v>100</v>
      </c>
      <c r="H12344" s="2">
        <v>408</v>
      </c>
      <c r="I12344" s="2">
        <v>74</v>
      </c>
      <c r="J12344" s="2">
        <v>1297</v>
      </c>
      <c r="K12344" s="2">
        <v>1</v>
      </c>
      <c r="L12344" s="2">
        <v>408</v>
      </c>
    </row>
    <row r="12345" spans="1:12" x14ac:dyDescent="0.25">
      <c r="A12345" s="4" t="str">
        <f>HYPERLINK("http://www.rosaceae.org/Prunus/Prunus_persica/p.persica_gdr_reftransV1_0013327","p.persica_gdr_reftransV1_0013327")</f>
        <v>p.persica_gdr_reftransV1_0013327</v>
      </c>
      <c r="B12345" s="2">
        <v>1708</v>
      </c>
      <c r="C12345" s="4" t="str">
        <f>HYPERLINK("http://www.uniprot.org/uniprot/M5WTF0","M5WTF0")</f>
        <v>M5WTF0</v>
      </c>
      <c r="D12345" s="2" t="s">
        <v>10307</v>
      </c>
      <c r="E12345" s="3">
        <v>4.5099999999999997E-121</v>
      </c>
      <c r="F12345" s="2">
        <v>946</v>
      </c>
      <c r="G12345" s="2">
        <v>100</v>
      </c>
      <c r="H12345" s="2">
        <v>177</v>
      </c>
      <c r="I12345" s="2">
        <v>252</v>
      </c>
      <c r="J12345" s="2">
        <v>782</v>
      </c>
      <c r="K12345" s="2">
        <v>1</v>
      </c>
      <c r="L12345" s="2">
        <v>177</v>
      </c>
    </row>
    <row r="12346" spans="1:12" x14ac:dyDescent="0.25">
      <c r="A12346" s="4" t="str">
        <f>HYPERLINK("http://www.rosaceae.org/Prunus/Prunus_persica/p.persica_gdr_reftransV1_0013677","p.persica_gdr_reftransV1_0013677")</f>
        <v>p.persica_gdr_reftransV1_0013677</v>
      </c>
      <c r="B12346" s="2">
        <v>1221</v>
      </c>
      <c r="C12346" s="4" t="str">
        <f>HYPERLINK("http://www.uniprot.org/uniprot/M5XHM0","M5XHM0")</f>
        <v>M5XHM0</v>
      </c>
      <c r="D12346" s="2" t="s">
        <v>10308</v>
      </c>
      <c r="E12346" s="3">
        <v>2.19E-159</v>
      </c>
      <c r="F12346" s="2">
        <v>1185</v>
      </c>
      <c r="G12346" s="2">
        <v>100</v>
      </c>
      <c r="H12346" s="2">
        <v>243</v>
      </c>
      <c r="I12346" s="2">
        <v>460</v>
      </c>
      <c r="J12346" s="2">
        <v>1188</v>
      </c>
      <c r="K12346" s="2">
        <v>1</v>
      </c>
      <c r="L12346" s="2">
        <v>243</v>
      </c>
    </row>
    <row r="12347" spans="1:12" x14ac:dyDescent="0.25">
      <c r="A12347" s="4" t="str">
        <f>HYPERLINK("http://www.rosaceae.org/Prunus/Prunus_persica/p.persica_gdr_reftransV1_0014377","p.persica_gdr_reftransV1_0014377")</f>
        <v>p.persica_gdr_reftransV1_0014377</v>
      </c>
      <c r="B12347" s="2">
        <v>1979</v>
      </c>
      <c r="C12347" s="4" t="str">
        <f>HYPERLINK("http://www.uniprot.org/uniprot/M5WQW6","M5WQW6")</f>
        <v>M5WQW6</v>
      </c>
      <c r="D12347" s="2" t="s">
        <v>10309</v>
      </c>
      <c r="E12347" s="3">
        <v>0</v>
      </c>
      <c r="F12347" s="2">
        <v>2087</v>
      </c>
      <c r="G12347" s="2">
        <v>100</v>
      </c>
      <c r="H12347" s="2">
        <v>422</v>
      </c>
      <c r="I12347" s="2">
        <v>531</v>
      </c>
      <c r="J12347" s="2">
        <v>1796</v>
      </c>
      <c r="K12347" s="2">
        <v>1</v>
      </c>
      <c r="L12347" s="2">
        <v>422</v>
      </c>
    </row>
    <row r="12348" spans="1:12" x14ac:dyDescent="0.25">
      <c r="A12348" s="4" t="str">
        <f>HYPERLINK("http://www.rosaceae.org/Prunus/Prunus_persica/p.persica_gdr_reftransV1_0015077","p.persica_gdr_reftransV1_0015077")</f>
        <v>p.persica_gdr_reftransV1_0015077</v>
      </c>
      <c r="B12348" s="2">
        <v>2917</v>
      </c>
      <c r="C12348" s="4" t="str">
        <f>HYPERLINK("http://www.uniprot.org/uniprot/M5WMT6","M5WMT6")</f>
        <v>M5WMT6</v>
      </c>
      <c r="D12348" s="2" t="s">
        <v>10310</v>
      </c>
      <c r="E12348" s="3">
        <v>0</v>
      </c>
      <c r="F12348" s="2">
        <v>2078</v>
      </c>
      <c r="G12348" s="2">
        <v>100</v>
      </c>
      <c r="H12348" s="2">
        <v>451</v>
      </c>
      <c r="I12348" s="2">
        <v>1010</v>
      </c>
      <c r="J12348" s="2">
        <v>2362</v>
      </c>
      <c r="K12348" s="2">
        <v>1</v>
      </c>
      <c r="L12348" s="2">
        <v>451</v>
      </c>
    </row>
    <row r="12349" spans="1:12" x14ac:dyDescent="0.25">
      <c r="A12349" s="4" t="str">
        <f>HYPERLINK("http://www.rosaceae.org/Prunus/Prunus_persica/p.persica_gdr_reftransV1_0016477","p.persica_gdr_reftransV1_0016477")</f>
        <v>p.persica_gdr_reftransV1_0016477</v>
      </c>
      <c r="B12349" s="2">
        <v>2330</v>
      </c>
      <c r="C12349" s="4" t="str">
        <f>HYPERLINK("http://www.uniprot.org/uniprot/M5X2Z1","M5X2Z1")</f>
        <v>M5X2Z1</v>
      </c>
      <c r="D12349" s="2" t="s">
        <v>10311</v>
      </c>
      <c r="E12349" s="3">
        <v>1.4E-142</v>
      </c>
      <c r="F12349" s="2">
        <v>1109</v>
      </c>
      <c r="G12349" s="2">
        <v>100</v>
      </c>
      <c r="H12349" s="2">
        <v>225</v>
      </c>
      <c r="I12349" s="2">
        <v>1235</v>
      </c>
      <c r="J12349" s="2">
        <v>1909</v>
      </c>
      <c r="K12349" s="2">
        <v>2</v>
      </c>
      <c r="L12349" s="2">
        <v>226</v>
      </c>
    </row>
    <row r="12350" spans="1:12" x14ac:dyDescent="0.25">
      <c r="A12350" s="4" t="str">
        <f>HYPERLINK("http://www.rosaceae.org/Prunus/Prunus_persica/p.persica_gdr_reftransV1_0017177","p.persica_gdr_reftransV1_0017177")</f>
        <v>p.persica_gdr_reftransV1_0017177</v>
      </c>
      <c r="B12350" s="2">
        <v>1163</v>
      </c>
      <c r="C12350" s="4" t="str">
        <f>HYPERLINK("http://www.uniprot.org/uniprot/M5VJH8","M5VJH8")</f>
        <v>M5VJH8</v>
      </c>
      <c r="D12350" s="2" t="s">
        <v>10312</v>
      </c>
      <c r="E12350" s="3">
        <v>0</v>
      </c>
      <c r="F12350" s="2">
        <v>2061</v>
      </c>
      <c r="G12350" s="2">
        <v>100</v>
      </c>
      <c r="H12350" s="2">
        <v>387</v>
      </c>
      <c r="I12350" s="2">
        <v>2</v>
      </c>
      <c r="J12350" s="2">
        <v>1162</v>
      </c>
      <c r="K12350" s="2">
        <v>304</v>
      </c>
      <c r="L12350" s="2">
        <v>690</v>
      </c>
    </row>
    <row r="12351" spans="1:12" x14ac:dyDescent="0.25">
      <c r="A12351" s="4" t="str">
        <f>HYPERLINK("http://www.rosaceae.org/Prunus/Prunus_persica/p.persica_gdr_reftransV1_0018227","p.persica_gdr_reftransV1_0018227")</f>
        <v>p.persica_gdr_reftransV1_0018227</v>
      </c>
      <c r="B12351" s="2">
        <v>2134</v>
      </c>
      <c r="C12351" s="4" t="str">
        <f>HYPERLINK("http://www.uniprot.org/uniprot/M5VIF9","M5VIF9")</f>
        <v>M5VIF9</v>
      </c>
      <c r="D12351" s="2" t="s">
        <v>10313</v>
      </c>
      <c r="E12351" s="3">
        <v>0</v>
      </c>
      <c r="F12351" s="2">
        <v>1630</v>
      </c>
      <c r="G12351" s="2">
        <v>85</v>
      </c>
      <c r="H12351" s="2">
        <v>384</v>
      </c>
      <c r="I12351" s="2">
        <v>543</v>
      </c>
      <c r="J12351" s="2">
        <v>1694</v>
      </c>
      <c r="K12351" s="2">
        <v>61</v>
      </c>
      <c r="L12351" s="2">
        <v>409</v>
      </c>
    </row>
    <row r="12352" spans="1:12" x14ac:dyDescent="0.25">
      <c r="A12352" s="4" t="str">
        <f>HYPERLINK("http://www.rosaceae.org/Prunus/Prunus_persica/p.persica_gdr_reftransV1_0018927","p.persica_gdr_reftransV1_0018927")</f>
        <v>p.persica_gdr_reftransV1_0018927</v>
      </c>
      <c r="B12352" s="2">
        <v>548</v>
      </c>
      <c r="C12352" s="4" t="str">
        <f>HYPERLINK("http://www.uniprot.org/uniprot/M5W2Y7","M5W2Y7")</f>
        <v>M5W2Y7</v>
      </c>
      <c r="D12352" s="2" t="s">
        <v>7277</v>
      </c>
      <c r="E12352" s="3">
        <v>1.6399999999999999E-77</v>
      </c>
      <c r="F12352" s="2">
        <v>618</v>
      </c>
      <c r="G12352" s="2">
        <v>100</v>
      </c>
      <c r="H12352" s="2">
        <v>139</v>
      </c>
      <c r="I12352" s="2">
        <v>14</v>
      </c>
      <c r="J12352" s="2">
        <v>430</v>
      </c>
      <c r="K12352" s="2">
        <v>31</v>
      </c>
      <c r="L12352" s="2">
        <v>169</v>
      </c>
    </row>
    <row r="12353" spans="1:12" x14ac:dyDescent="0.25">
      <c r="A12353" s="4" t="str">
        <f>HYPERLINK("http://www.rosaceae.org/Prunus/Prunus_persica/p.persica_gdr_reftransV1_0019977","p.persica_gdr_reftransV1_0019977")</f>
        <v>p.persica_gdr_reftransV1_0019977</v>
      </c>
      <c r="B12353" s="2">
        <v>2441</v>
      </c>
      <c r="C12353" s="4" t="str">
        <f>HYPERLINK("http://www.uniprot.org/uniprot/M5X0L5","M5X0L5")</f>
        <v>M5X0L5</v>
      </c>
      <c r="D12353" s="2" t="s">
        <v>10314</v>
      </c>
      <c r="E12353" s="3">
        <v>0</v>
      </c>
      <c r="F12353" s="2">
        <v>2932</v>
      </c>
      <c r="G12353" s="2">
        <v>99</v>
      </c>
      <c r="H12353" s="2">
        <v>588</v>
      </c>
      <c r="I12353" s="2">
        <v>606</v>
      </c>
      <c r="J12353" s="2">
        <v>2369</v>
      </c>
      <c r="K12353" s="2">
        <v>1</v>
      </c>
      <c r="L12353" s="2">
        <v>588</v>
      </c>
    </row>
    <row r="12354" spans="1:12" x14ac:dyDescent="0.25">
      <c r="A12354" s="4" t="str">
        <f>HYPERLINK("http://www.rosaceae.org/Prunus/Prunus_persica/p.persica_gdr_reftransV1_0020327","p.persica_gdr_reftransV1_0020327")</f>
        <v>p.persica_gdr_reftransV1_0020327</v>
      </c>
      <c r="B12354" s="2">
        <v>1134</v>
      </c>
      <c r="C12354" s="4" t="str">
        <f>HYPERLINK("http://www.uniprot.org/uniprot/M5VZJ7","M5VZJ7")</f>
        <v>M5VZJ7</v>
      </c>
      <c r="D12354" s="2" t="s">
        <v>9402</v>
      </c>
      <c r="E12354" s="3">
        <v>0</v>
      </c>
      <c r="F12354" s="2">
        <v>1388</v>
      </c>
      <c r="G12354" s="2">
        <v>100</v>
      </c>
      <c r="H12354" s="2">
        <v>278</v>
      </c>
      <c r="I12354" s="2">
        <v>168</v>
      </c>
      <c r="J12354" s="2">
        <v>1001</v>
      </c>
      <c r="K12354" s="2">
        <v>4</v>
      </c>
      <c r="L12354" s="2">
        <v>281</v>
      </c>
    </row>
    <row r="12355" spans="1:12" x14ac:dyDescent="0.25">
      <c r="A12355" s="4" t="str">
        <f>HYPERLINK("http://www.rosaceae.org/Prunus/Prunus_persica/p.persica_gdr_reftransV1_0021377","p.persica_gdr_reftransV1_0021377")</f>
        <v>p.persica_gdr_reftransV1_0021377</v>
      </c>
      <c r="B12355" s="2">
        <v>3136</v>
      </c>
      <c r="C12355" s="4" t="str">
        <f>HYPERLINK("http://www.uniprot.org/uniprot/M5VMH7","M5VMH7")</f>
        <v>M5VMH7</v>
      </c>
      <c r="D12355" s="2" t="s">
        <v>10315</v>
      </c>
      <c r="E12355" s="3">
        <v>0</v>
      </c>
      <c r="F12355" s="2">
        <v>3346</v>
      </c>
      <c r="G12355" s="2">
        <v>98</v>
      </c>
      <c r="H12355" s="2">
        <v>782</v>
      </c>
      <c r="I12355" s="2">
        <v>130</v>
      </c>
      <c r="J12355" s="2">
        <v>2475</v>
      </c>
      <c r="K12355" s="2">
        <v>1</v>
      </c>
      <c r="L12355" s="2">
        <v>772</v>
      </c>
    </row>
    <row r="12356" spans="1:12" x14ac:dyDescent="0.25">
      <c r="A12356" s="4" t="str">
        <f>HYPERLINK("http://www.rosaceae.org/Prunus/Prunus_persica/p.persica_gdr_reftransV1_0023127","p.persica_gdr_reftransV1_0023127")</f>
        <v>p.persica_gdr_reftransV1_0023127</v>
      </c>
      <c r="B12356" s="2">
        <v>2349</v>
      </c>
      <c r="C12356" s="4" t="str">
        <f>HYPERLINK("http://www.uniprot.org/uniprot/M5VKX7","M5VKX7")</f>
        <v>M5VKX7</v>
      </c>
      <c r="D12356" s="2" t="s">
        <v>10316</v>
      </c>
      <c r="E12356" s="3">
        <v>2.4799999999999999E-153</v>
      </c>
      <c r="F12356" s="2">
        <v>1191</v>
      </c>
      <c r="G12356" s="2">
        <v>100</v>
      </c>
      <c r="H12356" s="2">
        <v>224</v>
      </c>
      <c r="I12356" s="2">
        <v>238</v>
      </c>
      <c r="J12356" s="2">
        <v>909</v>
      </c>
      <c r="K12356" s="2">
        <v>1</v>
      </c>
      <c r="L12356" s="2">
        <v>224</v>
      </c>
    </row>
    <row r="12357" spans="1:12" x14ac:dyDescent="0.25">
      <c r="A12357" s="4" t="str">
        <f>HYPERLINK("http://www.rosaceae.org/Prunus/Prunus_persica/p.persica_gdr_reftransV1_0023477","p.persica_gdr_reftransV1_0023477")</f>
        <v>p.persica_gdr_reftransV1_0023477</v>
      </c>
      <c r="B12357" s="2">
        <v>1453</v>
      </c>
      <c r="C12357" s="4" t="str">
        <f>HYPERLINK("http://www.uniprot.org/uniprot/M5VLP1","M5VLP1")</f>
        <v>M5VLP1</v>
      </c>
      <c r="D12357" s="2" t="s">
        <v>10317</v>
      </c>
      <c r="E12357" s="3">
        <v>0</v>
      </c>
      <c r="F12357" s="2">
        <v>1538</v>
      </c>
      <c r="G12357" s="2">
        <v>96</v>
      </c>
      <c r="H12357" s="2">
        <v>342</v>
      </c>
      <c r="I12357" s="2">
        <v>108</v>
      </c>
      <c r="J12357" s="2">
        <v>1133</v>
      </c>
      <c r="K12357" s="2">
        <v>1</v>
      </c>
      <c r="L12357" s="2">
        <v>342</v>
      </c>
    </row>
    <row r="12358" spans="1:12" x14ac:dyDescent="0.25">
      <c r="A12358" s="4" t="str">
        <f>HYPERLINK("http://www.rosaceae.org/Prunus/Prunus_persica/p.persica_gdr_reftransV1_0023827","p.persica_gdr_reftransV1_0023827")</f>
        <v>p.persica_gdr_reftransV1_0023827</v>
      </c>
      <c r="B12358" s="2">
        <v>2130</v>
      </c>
      <c r="C12358" s="4" t="str">
        <f>HYPERLINK("http://www.uniprot.org/uniprot/D7SV62","D7SV62")</f>
        <v>D7SV62</v>
      </c>
      <c r="D12358" s="2" t="s">
        <v>10318</v>
      </c>
      <c r="E12358" s="3">
        <v>1.6399999999999999E-113</v>
      </c>
      <c r="F12358" s="2">
        <v>598</v>
      </c>
      <c r="G12358" s="2">
        <v>79</v>
      </c>
      <c r="H12358" s="2">
        <v>174</v>
      </c>
      <c r="I12358" s="2">
        <v>784</v>
      </c>
      <c r="J12358" s="2">
        <v>1305</v>
      </c>
      <c r="K12358" s="2">
        <v>156</v>
      </c>
      <c r="L12358" s="2">
        <v>327</v>
      </c>
    </row>
    <row r="12359" spans="1:12" x14ac:dyDescent="0.25">
      <c r="A12359" s="4" t="str">
        <f>HYPERLINK("http://www.rosaceae.org/Prunus/Prunus_persica/p.persica_gdr_reftransV1_0025927","p.persica_gdr_reftransV1_0025927")</f>
        <v>p.persica_gdr_reftransV1_0025927</v>
      </c>
      <c r="B12359" s="2">
        <v>1490</v>
      </c>
      <c r="C12359" s="4" t="str">
        <f>HYPERLINK("http://www.uniprot.org/uniprot/M5W1Q3","M5W1Q3")</f>
        <v>M5W1Q3</v>
      </c>
      <c r="D12359" s="2" t="s">
        <v>10319</v>
      </c>
      <c r="E12359" s="3">
        <v>0</v>
      </c>
      <c r="F12359" s="2">
        <v>1224</v>
      </c>
      <c r="G12359" s="2">
        <v>98</v>
      </c>
      <c r="H12359" s="2">
        <v>244</v>
      </c>
      <c r="I12359" s="2">
        <v>2</v>
      </c>
      <c r="J12359" s="2">
        <v>733</v>
      </c>
      <c r="K12359" s="2">
        <v>5</v>
      </c>
      <c r="L12359" s="2">
        <v>248</v>
      </c>
    </row>
    <row r="12360" spans="1:12" x14ac:dyDescent="0.25">
      <c r="A12360" s="4" t="str">
        <f>HYPERLINK("http://www.rosaceae.org/Prunus/Prunus_persica/p.persica_gdr_reftransV1_0026627","p.persica_gdr_reftransV1_0026627")</f>
        <v>p.persica_gdr_reftransV1_0026627</v>
      </c>
      <c r="B12360" s="2">
        <v>2757</v>
      </c>
      <c r="C12360" s="4" t="str">
        <f>HYPERLINK("http://www.uniprot.org/uniprot/M5Y1Q0","M5Y1Q0")</f>
        <v>M5Y1Q0</v>
      </c>
      <c r="D12360" s="2" t="s">
        <v>10320</v>
      </c>
      <c r="E12360" s="3">
        <v>0</v>
      </c>
      <c r="F12360" s="2">
        <v>3433</v>
      </c>
      <c r="G12360" s="2">
        <v>100</v>
      </c>
      <c r="H12360" s="2">
        <v>692</v>
      </c>
      <c r="I12360" s="2">
        <v>387</v>
      </c>
      <c r="J12360" s="2">
        <v>2462</v>
      </c>
      <c r="K12360" s="2">
        <v>1</v>
      </c>
      <c r="L12360" s="2">
        <v>692</v>
      </c>
    </row>
    <row r="12361" spans="1:12" x14ac:dyDescent="0.25">
      <c r="A12361" s="4" t="str">
        <f>HYPERLINK("http://www.rosaceae.org/Prunus/Prunus_persica/p.persica_gdr_reftransV1_0027327","p.persica_gdr_reftransV1_0027327")</f>
        <v>p.persica_gdr_reftransV1_0027327</v>
      </c>
      <c r="B12361" s="2">
        <v>3610</v>
      </c>
      <c r="C12361" s="4" t="str">
        <f>HYPERLINK("http://www.uniprot.org/uniprot/M5VSD1","M5VSD1")</f>
        <v>M5VSD1</v>
      </c>
      <c r="D12361" s="2" t="s">
        <v>9462</v>
      </c>
      <c r="E12361" s="3">
        <v>0</v>
      </c>
      <c r="F12361" s="2">
        <v>5587</v>
      </c>
      <c r="G12361" s="2">
        <v>100</v>
      </c>
      <c r="H12361" s="2">
        <v>1119</v>
      </c>
      <c r="I12361" s="2">
        <v>252</v>
      </c>
      <c r="J12361" s="2">
        <v>3608</v>
      </c>
      <c r="K12361" s="2">
        <v>494</v>
      </c>
      <c r="L12361" s="2">
        <v>1612</v>
      </c>
    </row>
    <row r="12362" spans="1:12" x14ac:dyDescent="0.25">
      <c r="A12362" s="4" t="str">
        <f>HYPERLINK("http://www.rosaceae.org/Prunus/Prunus_persica/p.persica_gdr_reftransV1_0027677","p.persica_gdr_reftransV1_0027677")</f>
        <v>p.persica_gdr_reftransV1_0027677</v>
      </c>
      <c r="B12362" s="2">
        <v>1294</v>
      </c>
      <c r="C12362" s="4" t="str">
        <f>HYPERLINK("http://www.uniprot.org/uniprot/M5WSQ8","M5WSQ8")</f>
        <v>M5WSQ8</v>
      </c>
      <c r="D12362" s="2" t="s">
        <v>10321</v>
      </c>
      <c r="E12362" s="3">
        <v>0</v>
      </c>
      <c r="F12362" s="2">
        <v>1544</v>
      </c>
      <c r="G12362" s="2">
        <v>100</v>
      </c>
      <c r="H12362" s="2">
        <v>312</v>
      </c>
      <c r="I12362" s="2">
        <v>277</v>
      </c>
      <c r="J12362" s="2">
        <v>1212</v>
      </c>
      <c r="K12362" s="2">
        <v>27</v>
      </c>
      <c r="L12362" s="2">
        <v>338</v>
      </c>
    </row>
    <row r="12363" spans="1:12" x14ac:dyDescent="0.25">
      <c r="A12363" s="4" t="str">
        <f>HYPERLINK("http://www.rosaceae.org/Prunus/Prunus_persica/p.persica_gdr_reftransV1_0028727","p.persica_gdr_reftransV1_0028727")</f>
        <v>p.persica_gdr_reftransV1_0028727</v>
      </c>
      <c r="B12363" s="2">
        <v>2928</v>
      </c>
      <c r="C12363" s="4" t="str">
        <f>HYPERLINK("http://www.uniprot.org/uniprot/M5XN06","M5XN06")</f>
        <v>M5XN06</v>
      </c>
      <c r="D12363" s="2" t="s">
        <v>10322</v>
      </c>
      <c r="E12363" s="3">
        <v>0</v>
      </c>
      <c r="F12363" s="2">
        <v>1529</v>
      </c>
      <c r="G12363" s="2">
        <v>94</v>
      </c>
      <c r="H12363" s="2">
        <v>314</v>
      </c>
      <c r="I12363" s="2">
        <v>1746</v>
      </c>
      <c r="J12363" s="2">
        <v>2687</v>
      </c>
      <c r="K12363" s="2">
        <v>34</v>
      </c>
      <c r="L12363" s="2">
        <v>344</v>
      </c>
    </row>
    <row r="12364" spans="1:12" x14ac:dyDescent="0.25">
      <c r="A12364" s="4" t="str">
        <f>HYPERLINK("http://www.rosaceae.org/Prunus/Prunus_persica/p.persica_gdr_reftransV1_0029077","p.persica_gdr_reftransV1_0029077")</f>
        <v>p.persica_gdr_reftransV1_0029077</v>
      </c>
      <c r="B12364" s="2">
        <v>2152</v>
      </c>
      <c r="C12364" s="4" t="str">
        <f>HYPERLINK("http://www.uniprot.org/uniprot/M5WNV5","M5WNV5")</f>
        <v>M5WNV5</v>
      </c>
      <c r="D12364" s="2" t="s">
        <v>10323</v>
      </c>
      <c r="E12364" s="3">
        <v>1.39E-99</v>
      </c>
      <c r="F12364" s="2">
        <v>803</v>
      </c>
      <c r="G12364" s="2">
        <v>96</v>
      </c>
      <c r="H12364" s="2">
        <v>157</v>
      </c>
      <c r="I12364" s="2">
        <v>481</v>
      </c>
      <c r="J12364" s="2">
        <v>951</v>
      </c>
      <c r="K12364" s="2">
        <v>16</v>
      </c>
      <c r="L12364" s="2">
        <v>172</v>
      </c>
    </row>
    <row r="12365" spans="1:12" x14ac:dyDescent="0.25">
      <c r="A12365" s="4" t="str">
        <f>HYPERLINK("http://www.rosaceae.org/Prunus/Prunus_persica/p.persica_gdr_reftransV1_0029777","p.persica_gdr_reftransV1_0029777")</f>
        <v>p.persica_gdr_reftransV1_0029777</v>
      </c>
      <c r="B12365" s="2">
        <v>1963</v>
      </c>
      <c r="C12365" s="4" t="str">
        <f>HYPERLINK("http://www.uniprot.org/uniprot/M5XJN9","M5XJN9")</f>
        <v>M5XJN9</v>
      </c>
      <c r="D12365" s="2" t="s">
        <v>10324</v>
      </c>
      <c r="E12365" s="3">
        <v>0</v>
      </c>
      <c r="F12365" s="2">
        <v>2123</v>
      </c>
      <c r="G12365" s="2">
        <v>100</v>
      </c>
      <c r="H12365" s="2">
        <v>425</v>
      </c>
      <c r="I12365" s="2">
        <v>349</v>
      </c>
      <c r="J12365" s="2">
        <v>1623</v>
      </c>
      <c r="K12365" s="2">
        <v>1</v>
      </c>
      <c r="L12365" s="2">
        <v>425</v>
      </c>
    </row>
    <row r="12366" spans="1:12" x14ac:dyDescent="0.25">
      <c r="A12366" s="4" t="str">
        <f>HYPERLINK("http://www.rosaceae.org/Prunus/Prunus_persica/p.persica_gdr_reftransV1_0030127","p.persica_gdr_reftransV1_0030127")</f>
        <v>p.persica_gdr_reftransV1_0030127</v>
      </c>
      <c r="B12366" s="2">
        <v>3380</v>
      </c>
      <c r="C12366" s="4" t="str">
        <f>HYPERLINK("http://www.uniprot.org/uniprot/M5XEK3","M5XEK3")</f>
        <v>M5XEK3</v>
      </c>
      <c r="D12366" s="2" t="s">
        <v>10325</v>
      </c>
      <c r="E12366" s="3">
        <v>2.0200000000000001E-138</v>
      </c>
      <c r="F12366" s="2">
        <v>1122</v>
      </c>
      <c r="G12366" s="2">
        <v>100</v>
      </c>
      <c r="H12366" s="2">
        <v>212</v>
      </c>
      <c r="I12366" s="2">
        <v>339</v>
      </c>
      <c r="J12366" s="2">
        <v>974</v>
      </c>
      <c r="K12366" s="2">
        <v>202</v>
      </c>
      <c r="L12366" s="2">
        <v>413</v>
      </c>
    </row>
    <row r="12367" spans="1:12" x14ac:dyDescent="0.25">
      <c r="A12367" s="4" t="str">
        <f>HYPERLINK("http://www.rosaceae.org/Prunus/Prunus_persica/p.persica_gdr_reftransV1_0030827","p.persica_gdr_reftransV1_0030827")</f>
        <v>p.persica_gdr_reftransV1_0030827</v>
      </c>
      <c r="B12367" s="2">
        <v>4062</v>
      </c>
      <c r="C12367" s="4" t="str">
        <f>HYPERLINK("http://www.uniprot.org/uniprot/M5X1S0","M5X1S0")</f>
        <v>M5X1S0</v>
      </c>
      <c r="D12367" s="2" t="s">
        <v>10326</v>
      </c>
      <c r="E12367" s="3">
        <v>3.3200000000000002E-114</v>
      </c>
      <c r="F12367" s="2">
        <v>953</v>
      </c>
      <c r="G12367" s="2">
        <v>94</v>
      </c>
      <c r="H12367" s="2">
        <v>206</v>
      </c>
      <c r="I12367" s="2">
        <v>1524</v>
      </c>
      <c r="J12367" s="2">
        <v>2135</v>
      </c>
      <c r="K12367" s="2">
        <v>89</v>
      </c>
      <c r="L12367" s="2">
        <v>294</v>
      </c>
    </row>
    <row r="12368" spans="1:12" x14ac:dyDescent="0.25">
      <c r="A12368" s="4" t="str">
        <f>HYPERLINK("http://www.rosaceae.org/Prunus/Prunus_persica/p.persica_gdr_reftransV1_0031177","p.persica_gdr_reftransV1_0031177")</f>
        <v>p.persica_gdr_reftransV1_0031177</v>
      </c>
      <c r="B12368" s="2">
        <v>908</v>
      </c>
      <c r="C12368" s="4" t="str">
        <f>HYPERLINK("http://www.uniprot.org/uniprot/M5X2I2","M5X2I2")</f>
        <v>M5X2I2</v>
      </c>
      <c r="D12368" s="2" t="s">
        <v>10327</v>
      </c>
      <c r="E12368" s="3">
        <v>1.8E-110</v>
      </c>
      <c r="F12368" s="2">
        <v>845</v>
      </c>
      <c r="G12368" s="2">
        <v>100</v>
      </c>
      <c r="H12368" s="2">
        <v>179</v>
      </c>
      <c r="I12368" s="2">
        <v>307</v>
      </c>
      <c r="J12368" s="2">
        <v>843</v>
      </c>
      <c r="K12368" s="2">
        <v>1</v>
      </c>
      <c r="L12368" s="2">
        <v>179</v>
      </c>
    </row>
    <row r="12369" spans="1:12" x14ac:dyDescent="0.25">
      <c r="A12369" s="4" t="str">
        <f>HYPERLINK("http://www.rosaceae.org/Prunus/Prunus_persica/p.persica_gdr_reftransV1_0031527","p.persica_gdr_reftransV1_0031527")</f>
        <v>p.persica_gdr_reftransV1_0031527</v>
      </c>
      <c r="B12369" s="2">
        <v>1866</v>
      </c>
      <c r="C12369" s="4" t="str">
        <f>HYPERLINK("http://www.uniprot.org/uniprot/M5XD07","M5XD07")</f>
        <v>M5XD07</v>
      </c>
      <c r="D12369" s="2" t="s">
        <v>4384</v>
      </c>
      <c r="E12369" s="3">
        <v>0</v>
      </c>
      <c r="F12369" s="2">
        <v>1042</v>
      </c>
      <c r="G12369" s="2">
        <v>97</v>
      </c>
      <c r="H12369" s="2">
        <v>221</v>
      </c>
      <c r="I12369" s="2">
        <v>893</v>
      </c>
      <c r="J12369" s="2">
        <v>1555</v>
      </c>
      <c r="K12369" s="2">
        <v>1</v>
      </c>
      <c r="L12369" s="2">
        <v>221</v>
      </c>
    </row>
    <row r="12370" spans="1:12" x14ac:dyDescent="0.25">
      <c r="A12370" s="4" t="str">
        <f>HYPERLINK("http://www.rosaceae.org/Prunus/Prunus_persica/p.persica_gdr_reftransV1_0032577","p.persica_gdr_reftransV1_0032577")</f>
        <v>p.persica_gdr_reftransV1_0032577</v>
      </c>
      <c r="B12370" s="2">
        <v>3871</v>
      </c>
      <c r="C12370" s="4" t="str">
        <f>HYPERLINK("http://www.uniprot.org/uniprot/M5WF51","M5WF51")</f>
        <v>M5WF51</v>
      </c>
      <c r="D12370" s="2" t="s">
        <v>10328</v>
      </c>
      <c r="E12370" s="3">
        <v>0</v>
      </c>
      <c r="F12370" s="2">
        <v>2626</v>
      </c>
      <c r="G12370" s="2">
        <v>98</v>
      </c>
      <c r="H12370" s="2">
        <v>576</v>
      </c>
      <c r="I12370" s="2">
        <v>2037</v>
      </c>
      <c r="J12370" s="2">
        <v>3764</v>
      </c>
      <c r="K12370" s="2">
        <v>1</v>
      </c>
      <c r="L12370" s="2">
        <v>562</v>
      </c>
    </row>
    <row r="12371" spans="1:12" x14ac:dyDescent="0.25">
      <c r="A12371" s="4" t="str">
        <f>HYPERLINK("http://www.rosaceae.org/Prunus/Prunus_persica/p.persica_gdr_reftransV1_0033277","p.persica_gdr_reftransV1_0033277")</f>
        <v>p.persica_gdr_reftransV1_0033277</v>
      </c>
      <c r="B12371" s="2">
        <v>7504</v>
      </c>
      <c r="C12371" s="4" t="str">
        <f>HYPERLINK("http://www.uniprot.org/uniprot/M5X1R1","M5X1R1")</f>
        <v>M5X1R1</v>
      </c>
      <c r="D12371" s="2" t="s">
        <v>2191</v>
      </c>
      <c r="E12371" s="3">
        <v>0</v>
      </c>
      <c r="F12371" s="2">
        <v>4170</v>
      </c>
      <c r="G12371" s="2">
        <v>99</v>
      </c>
      <c r="H12371" s="2">
        <v>786</v>
      </c>
      <c r="I12371" s="2">
        <v>4705</v>
      </c>
      <c r="J12371" s="2">
        <v>7062</v>
      </c>
      <c r="K12371" s="2">
        <v>1</v>
      </c>
      <c r="L12371" s="2">
        <v>786</v>
      </c>
    </row>
    <row r="12372" spans="1:12" x14ac:dyDescent="0.25">
      <c r="A12372" s="4" t="str">
        <f>HYPERLINK("http://www.rosaceae.org/Prunus/Prunus_persica/p.persica_gdr_reftransV1_0035027","p.persica_gdr_reftransV1_0035027")</f>
        <v>p.persica_gdr_reftransV1_0035027</v>
      </c>
      <c r="B12372" s="2">
        <v>2645</v>
      </c>
      <c r="C12372" s="4" t="str">
        <f>HYPERLINK("http://www.uniprot.org/uniprot/H6S374","H6S374")</f>
        <v>H6S374</v>
      </c>
      <c r="D12372" s="2" t="s">
        <v>10329</v>
      </c>
      <c r="E12372" s="3">
        <v>1.9699999999999998E-142</v>
      </c>
      <c r="F12372" s="2">
        <v>1117</v>
      </c>
      <c r="G12372" s="2">
        <v>100</v>
      </c>
      <c r="H12372" s="2">
        <v>256</v>
      </c>
      <c r="I12372" s="2">
        <v>1631</v>
      </c>
      <c r="J12372" s="2">
        <v>2398</v>
      </c>
      <c r="K12372" s="2">
        <v>1</v>
      </c>
      <c r="L12372" s="2">
        <v>256</v>
      </c>
    </row>
    <row r="12373" spans="1:12" x14ac:dyDescent="0.25">
      <c r="A12373" s="4" t="str">
        <f>HYPERLINK("http://www.rosaceae.org/Prunus/Prunus_persica/p.persica_gdr_reftransV1_0037477","p.persica_gdr_reftransV1_0037477")</f>
        <v>p.persica_gdr_reftransV1_0037477</v>
      </c>
      <c r="B12373" s="2">
        <v>1656</v>
      </c>
      <c r="C12373" s="4" t="str">
        <f>HYPERLINK("http://www.uniprot.org/uniprot/V4TZI9","V4TZI9")</f>
        <v>V4TZI9</v>
      </c>
      <c r="D12373" s="2" t="s">
        <v>10330</v>
      </c>
      <c r="E12373" s="3">
        <v>2.4600000000000001E-48</v>
      </c>
      <c r="F12373" s="2">
        <v>443</v>
      </c>
      <c r="G12373" s="2">
        <v>99</v>
      </c>
      <c r="H12373" s="2">
        <v>83</v>
      </c>
      <c r="I12373" s="2">
        <v>261</v>
      </c>
      <c r="J12373" s="2">
        <v>509</v>
      </c>
      <c r="K12373" s="2">
        <v>55</v>
      </c>
      <c r="L12373" s="2">
        <v>137</v>
      </c>
    </row>
    <row r="12374" spans="1:12" x14ac:dyDescent="0.25">
      <c r="A12374" s="4" t="str">
        <f>HYPERLINK("http://www.rosaceae.org/Prunus/Prunus_persica/p.persica_gdr_reftransV1_0037827","p.persica_gdr_reftransV1_0037827")</f>
        <v>p.persica_gdr_reftransV1_0037827</v>
      </c>
      <c r="B12374" s="2">
        <v>4015</v>
      </c>
      <c r="C12374" s="4" t="str">
        <f>HYPERLINK("http://www.uniprot.org/uniprot/M5VNW0","M5VNW0")</f>
        <v>M5VNW0</v>
      </c>
      <c r="D12374" s="2" t="s">
        <v>5658</v>
      </c>
      <c r="E12374" s="3">
        <v>0</v>
      </c>
      <c r="F12374" s="2">
        <v>3141</v>
      </c>
      <c r="G12374" s="2">
        <v>98</v>
      </c>
      <c r="H12374" s="2">
        <v>596</v>
      </c>
      <c r="I12374" s="2">
        <v>1984</v>
      </c>
      <c r="J12374" s="2">
        <v>3771</v>
      </c>
      <c r="K12374" s="2">
        <v>48</v>
      </c>
      <c r="L12374" s="2">
        <v>643</v>
      </c>
    </row>
    <row r="12375" spans="1:12" x14ac:dyDescent="0.25">
      <c r="A12375" s="4" t="str">
        <f>HYPERLINK("http://www.rosaceae.org/Prunus/Prunus_persica/p.persica_gdr_reftransV1_0038527","p.persica_gdr_reftransV1_0038527")</f>
        <v>p.persica_gdr_reftransV1_0038527</v>
      </c>
      <c r="B12375" s="2">
        <v>1808</v>
      </c>
      <c r="C12375" s="4" t="str">
        <f>HYPERLINK("http://www.uniprot.org/uniprot/A0A0B0NLQ2","A0A0B0NLQ2")</f>
        <v>A0A0B0NLQ2</v>
      </c>
      <c r="D12375" s="2" t="s">
        <v>10331</v>
      </c>
      <c r="E12375" s="3">
        <v>9.9700000000000001E-66</v>
      </c>
      <c r="F12375" s="2">
        <v>581</v>
      </c>
      <c r="G12375" s="2">
        <v>57</v>
      </c>
      <c r="H12375" s="2">
        <v>276</v>
      </c>
      <c r="I12375" s="2">
        <v>561</v>
      </c>
      <c r="J12375" s="2">
        <v>1367</v>
      </c>
      <c r="K12375" s="2">
        <v>41</v>
      </c>
      <c r="L12375" s="2">
        <v>299</v>
      </c>
    </row>
    <row r="12376" spans="1:12" x14ac:dyDescent="0.25">
      <c r="A12376" s="4" t="str">
        <f>HYPERLINK("http://www.rosaceae.org/Prunus/Prunus_persica/p.persica_gdr_reftransV1_0039927","p.persica_gdr_reftransV1_0039927")</f>
        <v>p.persica_gdr_reftransV1_0039927</v>
      </c>
      <c r="B12376" s="2">
        <v>1243</v>
      </c>
      <c r="C12376" s="4" t="str">
        <f>HYPERLINK("http://www.uniprot.org/uniprot/M5XXV5","M5XXV5")</f>
        <v>M5XXV5</v>
      </c>
      <c r="D12376" s="2" t="s">
        <v>5682</v>
      </c>
      <c r="E12376" s="3">
        <v>0</v>
      </c>
      <c r="F12376" s="2">
        <v>1657</v>
      </c>
      <c r="G12376" s="2">
        <v>100</v>
      </c>
      <c r="H12376" s="2">
        <v>330</v>
      </c>
      <c r="I12376" s="2">
        <v>253</v>
      </c>
      <c r="J12376" s="2">
        <v>1242</v>
      </c>
      <c r="K12376" s="2">
        <v>1</v>
      </c>
      <c r="L12376" s="2">
        <v>330</v>
      </c>
    </row>
    <row r="12377" spans="1:12" x14ac:dyDescent="0.25">
      <c r="A12377" s="4" t="str">
        <f>HYPERLINK("http://www.rosaceae.org/Prunus/Prunus_persica/p.persica_gdr_reftransV1_0040977","p.persica_gdr_reftransV1_0040977")</f>
        <v>p.persica_gdr_reftransV1_0040977</v>
      </c>
      <c r="B12377" s="2">
        <v>710</v>
      </c>
      <c r="C12377" s="4" t="str">
        <f>HYPERLINK("http://www.uniprot.org/uniprot/B0X778","B0X778")</f>
        <v>B0X778</v>
      </c>
      <c r="D12377" s="2" t="s">
        <v>10332</v>
      </c>
      <c r="E12377" s="3">
        <v>6.6599999999999996E-77</v>
      </c>
      <c r="F12377" s="2">
        <v>614</v>
      </c>
      <c r="G12377" s="2">
        <v>88</v>
      </c>
      <c r="H12377" s="2">
        <v>156</v>
      </c>
      <c r="I12377" s="2">
        <v>8</v>
      </c>
      <c r="J12377" s="2">
        <v>475</v>
      </c>
      <c r="K12377" s="2">
        <v>3</v>
      </c>
      <c r="L12377" s="2">
        <v>158</v>
      </c>
    </row>
    <row r="12378" spans="1:12" x14ac:dyDescent="0.25">
      <c r="A12378" s="4" t="str">
        <f>HYPERLINK("http://www.rosaceae.org/Prunus/Prunus_persica/p.persica_gdr_reftransV1_0043077","p.persica_gdr_reftransV1_0043077")</f>
        <v>p.persica_gdr_reftransV1_0043077</v>
      </c>
      <c r="B12378" s="2">
        <v>1663</v>
      </c>
      <c r="C12378" s="4" t="str">
        <f>HYPERLINK("http://www.uniprot.org/uniprot/X2G4W4","X2G4W4")</f>
        <v>X2G4W4</v>
      </c>
      <c r="D12378" s="2" t="s">
        <v>9662</v>
      </c>
      <c r="E12378" s="3">
        <v>0</v>
      </c>
      <c r="F12378" s="2">
        <v>2464</v>
      </c>
      <c r="G12378" s="2">
        <v>100</v>
      </c>
      <c r="H12378" s="2">
        <v>474</v>
      </c>
      <c r="I12378" s="2">
        <v>180</v>
      </c>
      <c r="J12378" s="2">
        <v>1601</v>
      </c>
      <c r="K12378" s="2">
        <v>1</v>
      </c>
      <c r="L12378" s="2">
        <v>474</v>
      </c>
    </row>
    <row r="12379" spans="1:12" x14ac:dyDescent="0.25">
      <c r="A12379" s="4" t="str">
        <f>HYPERLINK("http://www.rosaceae.org/Prunus/Prunus_persica/p.persica_gdr_reftransV1_0043427","p.persica_gdr_reftransV1_0043427")</f>
        <v>p.persica_gdr_reftransV1_0043427</v>
      </c>
      <c r="B12379" s="2">
        <v>354</v>
      </c>
      <c r="C12379" s="4" t="str">
        <f>HYPERLINK("http://www.uniprot.org/uniprot/M5WTW3","M5WTW3")</f>
        <v>M5WTW3</v>
      </c>
      <c r="D12379" s="2" t="s">
        <v>10333</v>
      </c>
      <c r="E12379" s="3">
        <v>1.9000000000000001E-64</v>
      </c>
      <c r="F12379" s="2">
        <v>558</v>
      </c>
      <c r="G12379" s="2">
        <v>100</v>
      </c>
      <c r="H12379" s="2">
        <v>109</v>
      </c>
      <c r="I12379" s="2">
        <v>3</v>
      </c>
      <c r="J12379" s="2">
        <v>329</v>
      </c>
      <c r="K12379" s="2">
        <v>161</v>
      </c>
      <c r="L12379" s="2">
        <v>269</v>
      </c>
    </row>
    <row r="12380" spans="1:12" x14ac:dyDescent="0.25">
      <c r="A12380" s="4" t="str">
        <f>HYPERLINK("http://www.rosaceae.org/Prunus/Prunus_persica/p.persica_gdr_reftransV1_0043777","p.persica_gdr_reftransV1_0043777")</f>
        <v>p.persica_gdr_reftransV1_0043777</v>
      </c>
      <c r="B12380" s="2">
        <v>694</v>
      </c>
      <c r="C12380" s="4" t="str">
        <f>HYPERLINK("http://www.uniprot.org/uniprot/M5Y778","M5Y778")</f>
        <v>M5Y778</v>
      </c>
      <c r="D12380" s="2" t="s">
        <v>10334</v>
      </c>
      <c r="E12380" s="3">
        <v>1.74E-40</v>
      </c>
      <c r="F12380" s="2">
        <v>366</v>
      </c>
      <c r="G12380" s="2">
        <v>100</v>
      </c>
      <c r="H12380" s="2">
        <v>105</v>
      </c>
      <c r="I12380" s="2">
        <v>57</v>
      </c>
      <c r="J12380" s="2">
        <v>371</v>
      </c>
      <c r="K12380" s="2">
        <v>6</v>
      </c>
      <c r="L12380" s="2">
        <v>110</v>
      </c>
    </row>
    <row r="12381" spans="1:12" x14ac:dyDescent="0.25">
      <c r="A12381" s="4" t="str">
        <f>HYPERLINK("http://www.rosaceae.org/Prunus/Prunus_persica/p.persica_gdr_reftransV1_0044127","p.persica_gdr_reftransV1_0044127")</f>
        <v>p.persica_gdr_reftransV1_0044127</v>
      </c>
      <c r="B12381" s="2">
        <v>745</v>
      </c>
      <c r="C12381" s="4" t="str">
        <f>HYPERLINK("http://www.uniprot.org/uniprot/M5WK93","M5WK93")</f>
        <v>M5WK93</v>
      </c>
      <c r="D12381" s="2" t="s">
        <v>10335</v>
      </c>
      <c r="E12381" s="3">
        <v>4.5800000000000002E-118</v>
      </c>
      <c r="F12381" s="2">
        <v>888</v>
      </c>
      <c r="G12381" s="2">
        <v>100</v>
      </c>
      <c r="H12381" s="2">
        <v>167</v>
      </c>
      <c r="I12381" s="2">
        <v>90</v>
      </c>
      <c r="J12381" s="2">
        <v>590</v>
      </c>
      <c r="K12381" s="2">
        <v>1</v>
      </c>
      <c r="L12381" s="2">
        <v>167</v>
      </c>
    </row>
    <row r="12382" spans="1:12" x14ac:dyDescent="0.25">
      <c r="A12382" s="4" t="str">
        <f>HYPERLINK("http://www.rosaceae.org/Prunus/Prunus_persica/p.persica_gdr_reftransV1_0044477","p.persica_gdr_reftransV1_0044477")</f>
        <v>p.persica_gdr_reftransV1_0044477</v>
      </c>
      <c r="B12382" s="2">
        <v>1382</v>
      </c>
      <c r="C12382" s="4" t="str">
        <f>HYPERLINK("http://www.uniprot.org/uniprot/J7MB15","J7MB15")</f>
        <v>J7MB15</v>
      </c>
      <c r="D12382" s="2" t="s">
        <v>10336</v>
      </c>
      <c r="E12382" s="3">
        <v>0</v>
      </c>
      <c r="F12382" s="2">
        <v>1578</v>
      </c>
      <c r="G12382" s="2">
        <v>89</v>
      </c>
      <c r="H12382" s="2">
        <v>329</v>
      </c>
      <c r="I12382" s="2">
        <v>252</v>
      </c>
      <c r="J12382" s="2">
        <v>1238</v>
      </c>
      <c r="K12382" s="2">
        <v>1</v>
      </c>
      <c r="L12382" s="2">
        <v>328</v>
      </c>
    </row>
    <row r="12383" spans="1:12" x14ac:dyDescent="0.25">
      <c r="A12383" s="4" t="str">
        <f>HYPERLINK("http://www.rosaceae.org/Prunus/Prunus_persica/p.persica_gdr_reftransV1_0044827","p.persica_gdr_reftransV1_0044827")</f>
        <v>p.persica_gdr_reftransV1_0044827</v>
      </c>
      <c r="B12383" s="2">
        <v>1032</v>
      </c>
      <c r="C12383" s="4" t="str">
        <f>HYPERLINK("http://www.uniprot.org/uniprot/M5X936","M5X936")</f>
        <v>M5X936</v>
      </c>
      <c r="D12383" s="2" t="s">
        <v>10337</v>
      </c>
      <c r="E12383" s="3">
        <v>2.4E-10</v>
      </c>
      <c r="F12383" s="2">
        <v>168</v>
      </c>
      <c r="G12383" s="2">
        <v>100</v>
      </c>
      <c r="H12383" s="2">
        <v>87</v>
      </c>
      <c r="I12383" s="2">
        <v>115</v>
      </c>
      <c r="J12383" s="2">
        <v>375</v>
      </c>
      <c r="K12383" s="2">
        <v>153</v>
      </c>
      <c r="L12383" s="2">
        <v>239</v>
      </c>
    </row>
    <row r="12384" spans="1:12" x14ac:dyDescent="0.25">
      <c r="A12384" s="4" t="str">
        <f>HYPERLINK("http://www.rosaceae.org/Prunus/Prunus_persica/p.persica_gdr_reftransV1_0045527","p.persica_gdr_reftransV1_0045527")</f>
        <v>p.persica_gdr_reftransV1_0045527</v>
      </c>
      <c r="B12384" s="2">
        <v>1729</v>
      </c>
      <c r="C12384" s="4" t="str">
        <f>HYPERLINK("http://www.uniprot.org/uniprot/M5XLI5","M5XLI5")</f>
        <v>M5XLI5</v>
      </c>
      <c r="D12384" s="2" t="s">
        <v>7963</v>
      </c>
      <c r="E12384" s="3">
        <v>0</v>
      </c>
      <c r="F12384" s="2">
        <v>2524</v>
      </c>
      <c r="G12384" s="2">
        <v>100</v>
      </c>
      <c r="H12384" s="2">
        <v>464</v>
      </c>
      <c r="I12384" s="2">
        <v>1</v>
      </c>
      <c r="J12384" s="2">
        <v>1392</v>
      </c>
      <c r="K12384" s="2">
        <v>85</v>
      </c>
      <c r="L12384" s="2">
        <v>548</v>
      </c>
    </row>
    <row r="12385" spans="1:12" x14ac:dyDescent="0.25">
      <c r="A12385" s="4" t="str">
        <f>HYPERLINK("http://www.rosaceae.org/Prunus/Prunus_persica/p.persica_gdr_reftransV1_0045877","p.persica_gdr_reftransV1_0045877")</f>
        <v>p.persica_gdr_reftransV1_0045877</v>
      </c>
      <c r="B12385" s="2">
        <v>449</v>
      </c>
      <c r="C12385" s="4" t="str">
        <f>HYPERLINK("http://www.uniprot.org/uniprot/M5VH14","M5VH14")</f>
        <v>M5VH14</v>
      </c>
      <c r="D12385" s="2" t="s">
        <v>10338</v>
      </c>
      <c r="E12385" s="3">
        <v>3.2999999999999999E-40</v>
      </c>
      <c r="F12385" s="2">
        <v>356</v>
      </c>
      <c r="G12385" s="2">
        <v>100</v>
      </c>
      <c r="H12385" s="2">
        <v>97</v>
      </c>
      <c r="I12385" s="2">
        <v>37</v>
      </c>
      <c r="J12385" s="2">
        <v>327</v>
      </c>
      <c r="K12385" s="2">
        <v>1</v>
      </c>
      <c r="L12385" s="2">
        <v>97</v>
      </c>
    </row>
    <row r="12386" spans="1:12" x14ac:dyDescent="0.25">
      <c r="A12386" s="4" t="str">
        <f>HYPERLINK("http://www.rosaceae.org/Prunus/Prunus_persica/p.persica_gdr_reftransV1_0046577","p.persica_gdr_reftransV1_0046577")</f>
        <v>p.persica_gdr_reftransV1_0046577</v>
      </c>
      <c r="B12386" s="2">
        <v>1276</v>
      </c>
      <c r="C12386" s="4" t="str">
        <f>HYPERLINK("http://www.uniprot.org/uniprot/M5WM01","M5WM01")</f>
        <v>M5WM01</v>
      </c>
      <c r="D12386" s="2" t="s">
        <v>10174</v>
      </c>
      <c r="E12386" s="3">
        <v>1.08E-129</v>
      </c>
      <c r="F12386" s="2">
        <v>862</v>
      </c>
      <c r="G12386" s="2">
        <v>76</v>
      </c>
      <c r="H12386" s="2">
        <v>245</v>
      </c>
      <c r="I12386" s="2">
        <v>488</v>
      </c>
      <c r="J12386" s="2">
        <v>1198</v>
      </c>
      <c r="K12386" s="2">
        <v>1</v>
      </c>
      <c r="L12386" s="2">
        <v>218</v>
      </c>
    </row>
    <row r="12387" spans="1:12" x14ac:dyDescent="0.25">
      <c r="A12387" s="4" t="str">
        <f>HYPERLINK("http://www.rosaceae.org/Prunus/Prunus_persica/p.persica_gdr_reftransV1_0046927","p.persica_gdr_reftransV1_0046927")</f>
        <v>p.persica_gdr_reftransV1_0046927</v>
      </c>
      <c r="B12387" s="2">
        <v>1275</v>
      </c>
      <c r="C12387" s="4" t="str">
        <f>HYPERLINK("http://www.uniprot.org/uniprot/M5W0X2","M5W0X2")</f>
        <v>M5W0X2</v>
      </c>
      <c r="D12387" s="2" t="s">
        <v>2315</v>
      </c>
      <c r="E12387" s="3">
        <v>4.4700000000000004E-127</v>
      </c>
      <c r="F12387" s="2">
        <v>740</v>
      </c>
      <c r="G12387" s="2">
        <v>99</v>
      </c>
      <c r="H12387" s="2">
        <v>153</v>
      </c>
      <c r="I12387" s="2">
        <v>659</v>
      </c>
      <c r="J12387" s="2">
        <v>1117</v>
      </c>
      <c r="K12387" s="2">
        <v>1</v>
      </c>
      <c r="L12387" s="2">
        <v>153</v>
      </c>
    </row>
    <row r="12388" spans="1:12" x14ac:dyDescent="0.25">
      <c r="A12388" s="4" t="str">
        <f>HYPERLINK("http://www.rosaceae.org/Prunus/Prunus_persica/p.persica_gdr_reftransV1_0047277","p.persica_gdr_reftransV1_0047277")</f>
        <v>p.persica_gdr_reftransV1_0047277</v>
      </c>
      <c r="B12388" s="2">
        <v>738</v>
      </c>
      <c r="C12388" s="4" t="str">
        <f>HYPERLINK("http://www.uniprot.org/uniprot/W5GDX3","W5GDX3")</f>
        <v>W5GDX3</v>
      </c>
      <c r="D12388" s="2" t="s">
        <v>10339</v>
      </c>
      <c r="E12388" s="3">
        <v>1.5400000000000001E-48</v>
      </c>
      <c r="F12388" s="2">
        <v>424</v>
      </c>
      <c r="G12388" s="2">
        <v>76</v>
      </c>
      <c r="H12388" s="2">
        <v>119</v>
      </c>
      <c r="I12388" s="2">
        <v>141</v>
      </c>
      <c r="J12388" s="2">
        <v>491</v>
      </c>
      <c r="K12388" s="2">
        <v>22</v>
      </c>
      <c r="L12388" s="2">
        <v>136</v>
      </c>
    </row>
    <row r="12389" spans="1:12" x14ac:dyDescent="0.25">
      <c r="A12389" s="4" t="str">
        <f>HYPERLINK("http://www.rosaceae.org/Prunus/Prunus_persica/p.persica_gdr_reftransV1_0047627","p.persica_gdr_reftransV1_0047627")</f>
        <v>p.persica_gdr_reftransV1_0047627</v>
      </c>
      <c r="B12389" s="2">
        <v>1001</v>
      </c>
      <c r="C12389" s="4" t="str">
        <f>HYPERLINK("http://www.uniprot.org/uniprot/M5VLE7","M5VLE7")</f>
        <v>M5VLE7</v>
      </c>
      <c r="D12389" s="2" t="s">
        <v>7898</v>
      </c>
      <c r="E12389" s="3">
        <v>0</v>
      </c>
      <c r="F12389" s="2">
        <v>1393</v>
      </c>
      <c r="G12389" s="2">
        <v>99</v>
      </c>
      <c r="H12389" s="2">
        <v>298</v>
      </c>
      <c r="I12389" s="2">
        <v>34</v>
      </c>
      <c r="J12389" s="2">
        <v>927</v>
      </c>
      <c r="K12389" s="2">
        <v>1</v>
      </c>
      <c r="L12389" s="2">
        <v>298</v>
      </c>
    </row>
    <row r="12390" spans="1:12" x14ac:dyDescent="0.25">
      <c r="A12390" s="4" t="str">
        <f>HYPERLINK("http://www.rosaceae.org/Prunus/Prunus_persica/p.persica_gdr_reftransV1_0047977","p.persica_gdr_reftransV1_0047977")</f>
        <v>p.persica_gdr_reftransV1_0047977</v>
      </c>
      <c r="B12390" s="2">
        <v>1977</v>
      </c>
      <c r="C12390" s="4" t="str">
        <f>HYPERLINK("http://www.uniprot.org/uniprot/M5W4X4","M5W4X4")</f>
        <v>M5W4X4</v>
      </c>
      <c r="D12390" s="2" t="s">
        <v>1018</v>
      </c>
      <c r="E12390" s="3">
        <v>0</v>
      </c>
      <c r="F12390" s="2">
        <v>2727</v>
      </c>
      <c r="G12390" s="2">
        <v>94</v>
      </c>
      <c r="H12390" s="2">
        <v>569</v>
      </c>
      <c r="I12390" s="2">
        <v>227</v>
      </c>
      <c r="J12390" s="2">
        <v>1933</v>
      </c>
      <c r="K12390" s="2">
        <v>1</v>
      </c>
      <c r="L12390" s="2">
        <v>535</v>
      </c>
    </row>
    <row r="12391" spans="1:12" x14ac:dyDescent="0.25">
      <c r="A12391" s="4" t="str">
        <f>HYPERLINK("http://www.rosaceae.org/Prunus/Prunus_persica/p.persica_gdr_reftransV1_0048327","p.persica_gdr_reftransV1_0048327")</f>
        <v>p.persica_gdr_reftransV1_0048327</v>
      </c>
      <c r="B12391" s="2">
        <v>469</v>
      </c>
      <c r="C12391" s="4" t="str">
        <f>HYPERLINK("http://www.uniprot.org/uniprot/M5XSK7","M5XSK7")</f>
        <v>M5XSK7</v>
      </c>
      <c r="D12391" s="2" t="s">
        <v>6149</v>
      </c>
      <c r="E12391" s="3">
        <v>2.4000000000000001E-63</v>
      </c>
      <c r="F12391" s="2">
        <v>533</v>
      </c>
      <c r="G12391" s="2">
        <v>100</v>
      </c>
      <c r="H12391" s="2">
        <v>116</v>
      </c>
      <c r="I12391" s="2">
        <v>120</v>
      </c>
      <c r="J12391" s="2">
        <v>467</v>
      </c>
      <c r="K12391" s="2">
        <v>1</v>
      </c>
      <c r="L12391" s="2">
        <v>116</v>
      </c>
    </row>
    <row r="12392" spans="1:12" x14ac:dyDescent="0.25">
      <c r="A12392" s="4" t="str">
        <f>HYPERLINK("http://www.rosaceae.org/Prunus/Prunus_persica/p.persica_gdr_reftransV1_0048677","p.persica_gdr_reftransV1_0048677")</f>
        <v>p.persica_gdr_reftransV1_0048677</v>
      </c>
      <c r="B12392" s="2">
        <v>1858</v>
      </c>
      <c r="C12392" s="4" t="str">
        <f>HYPERLINK("http://www.uniprot.org/uniprot/M5VL06","M5VL06")</f>
        <v>M5VL06</v>
      </c>
      <c r="D12392" s="2" t="s">
        <v>10340</v>
      </c>
      <c r="E12392" s="3">
        <v>1.23E-169</v>
      </c>
      <c r="F12392" s="2">
        <v>1334</v>
      </c>
      <c r="G12392" s="2">
        <v>100</v>
      </c>
      <c r="H12392" s="2">
        <v>270</v>
      </c>
      <c r="I12392" s="2">
        <v>511</v>
      </c>
      <c r="J12392" s="2">
        <v>1320</v>
      </c>
      <c r="K12392" s="2">
        <v>617</v>
      </c>
      <c r="L12392" s="2">
        <v>886</v>
      </c>
    </row>
    <row r="12393" spans="1:12" x14ac:dyDescent="0.25">
      <c r="A12393" s="4" t="str">
        <f>HYPERLINK("http://www.rosaceae.org/Prunus/Prunus_persica/p.persica_gdr_reftransV1_0049027","p.persica_gdr_reftransV1_0049027")</f>
        <v>p.persica_gdr_reftransV1_0049027</v>
      </c>
      <c r="B12393" s="2">
        <v>2096</v>
      </c>
      <c r="C12393" s="4" t="str">
        <f>HYPERLINK("http://www.uniprot.org/uniprot/M5X5N2","M5X5N2")</f>
        <v>M5X5N2</v>
      </c>
      <c r="D12393" s="2" t="s">
        <v>2880</v>
      </c>
      <c r="E12393" s="3">
        <v>0</v>
      </c>
      <c r="F12393" s="2">
        <v>2568</v>
      </c>
      <c r="G12393" s="2">
        <v>100</v>
      </c>
      <c r="H12393" s="2">
        <v>543</v>
      </c>
      <c r="I12393" s="2">
        <v>143</v>
      </c>
      <c r="J12393" s="2">
        <v>1771</v>
      </c>
      <c r="K12393" s="2">
        <v>1</v>
      </c>
      <c r="L12393" s="2">
        <v>543</v>
      </c>
    </row>
    <row r="12394" spans="1:12" x14ac:dyDescent="0.25">
      <c r="A12394" s="4" t="str">
        <f>HYPERLINK("http://www.rosaceae.org/Prunus/Prunus_persica/p.persica_gdr_reftransV1_0000271","p.persica_gdr_reftransV1_0000271")</f>
        <v>p.persica_gdr_reftransV1_0000271</v>
      </c>
      <c r="B12394" s="2">
        <v>722</v>
      </c>
      <c r="C12394" s="4" t="str">
        <f>HYPERLINK("http://www.uniprot.org/uniprot/M5XDS5","M5XDS5")</f>
        <v>M5XDS5</v>
      </c>
      <c r="D12394" s="2" t="s">
        <v>691</v>
      </c>
      <c r="E12394" s="3">
        <v>2.6300000000000002E-53</v>
      </c>
      <c r="F12394" s="2">
        <v>483</v>
      </c>
      <c r="G12394" s="2">
        <v>99</v>
      </c>
      <c r="H12394" s="2">
        <v>89</v>
      </c>
      <c r="I12394" s="2">
        <v>2</v>
      </c>
      <c r="J12394" s="2">
        <v>268</v>
      </c>
      <c r="K12394" s="2">
        <v>407</v>
      </c>
      <c r="L12394" s="2">
        <v>495</v>
      </c>
    </row>
    <row r="12395" spans="1:12" x14ac:dyDescent="0.25">
      <c r="A12395" s="4" t="str">
        <f>HYPERLINK("http://www.rosaceae.org/Prunus/Prunus_persica/p.persica_gdr_reftransV1_0000621","p.persica_gdr_reftransV1_0000621")</f>
        <v>p.persica_gdr_reftransV1_0000621</v>
      </c>
      <c r="B12395" s="2">
        <v>1207</v>
      </c>
      <c r="C12395" s="4" t="str">
        <f>HYPERLINK("http://www.uniprot.org/uniprot/M5X7I0","M5X7I0")</f>
        <v>M5X7I0</v>
      </c>
      <c r="D12395" s="2" t="s">
        <v>9786</v>
      </c>
      <c r="E12395" s="3">
        <v>8.7999999999999999E-134</v>
      </c>
      <c r="F12395" s="2">
        <v>1015</v>
      </c>
      <c r="G12395" s="2">
        <v>100</v>
      </c>
      <c r="H12395" s="2">
        <v>245</v>
      </c>
      <c r="I12395" s="2">
        <v>253</v>
      </c>
      <c r="J12395" s="2">
        <v>987</v>
      </c>
      <c r="K12395" s="2">
        <v>1</v>
      </c>
      <c r="L12395" s="2">
        <v>245</v>
      </c>
    </row>
    <row r="12396" spans="1:12" x14ac:dyDescent="0.25">
      <c r="A12396" s="4" t="str">
        <f>HYPERLINK("http://www.rosaceae.org/Prunus/Prunus_persica/p.persica_gdr_reftransV1_0000971","p.persica_gdr_reftransV1_0000971")</f>
        <v>p.persica_gdr_reftransV1_0000971</v>
      </c>
      <c r="B12396" s="2">
        <v>671</v>
      </c>
      <c r="C12396" s="4" t="str">
        <f>HYPERLINK("http://www.uniprot.org/uniprot/M5W543","M5W543")</f>
        <v>M5W543</v>
      </c>
      <c r="D12396" s="2" t="s">
        <v>10341</v>
      </c>
      <c r="E12396" s="3">
        <v>1.6300000000000001E-126</v>
      </c>
      <c r="F12396" s="2">
        <v>970</v>
      </c>
      <c r="G12396" s="2">
        <v>100</v>
      </c>
      <c r="H12396" s="2">
        <v>193</v>
      </c>
      <c r="I12396" s="2">
        <v>3</v>
      </c>
      <c r="J12396" s="2">
        <v>581</v>
      </c>
      <c r="K12396" s="2">
        <v>1</v>
      </c>
      <c r="L12396" s="2">
        <v>193</v>
      </c>
    </row>
    <row r="12397" spans="1:12" x14ac:dyDescent="0.25">
      <c r="A12397" s="4" t="str">
        <f>HYPERLINK("http://www.rosaceae.org/Prunus/Prunus_persica/p.persica_gdr_reftransV1_0001321","p.persica_gdr_reftransV1_0001321")</f>
        <v>p.persica_gdr_reftransV1_0001321</v>
      </c>
      <c r="B12397" s="2">
        <v>342</v>
      </c>
      <c r="C12397" s="4" t="str">
        <f>HYPERLINK("http://www.uniprot.org/uniprot/M5XQB7","M5XQB7")</f>
        <v>M5XQB7</v>
      </c>
      <c r="D12397" s="2" t="s">
        <v>10342</v>
      </c>
      <c r="E12397" s="3">
        <v>9.5499999999999991E-72</v>
      </c>
      <c r="F12397" s="2">
        <v>565</v>
      </c>
      <c r="G12397" s="2">
        <v>100</v>
      </c>
      <c r="H12397" s="2">
        <v>108</v>
      </c>
      <c r="I12397" s="2">
        <v>18</v>
      </c>
      <c r="J12397" s="2">
        <v>341</v>
      </c>
      <c r="K12397" s="2">
        <v>1</v>
      </c>
      <c r="L12397" s="2">
        <v>108</v>
      </c>
    </row>
    <row r="12398" spans="1:12" x14ac:dyDescent="0.25">
      <c r="A12398" s="4" t="str">
        <f>HYPERLINK("http://www.rosaceae.org/Prunus/Prunus_persica/p.persica_gdr_reftransV1_0001671","p.persica_gdr_reftransV1_0001671")</f>
        <v>p.persica_gdr_reftransV1_0001671</v>
      </c>
      <c r="B12398" s="2">
        <v>894</v>
      </c>
      <c r="C12398" s="4" t="str">
        <f>HYPERLINK("http://www.uniprot.org/uniprot/M5XZH6","M5XZH6")</f>
        <v>M5XZH6</v>
      </c>
      <c r="D12398" s="2" t="s">
        <v>10343</v>
      </c>
      <c r="E12398" s="3">
        <v>2.6299999999999999E-76</v>
      </c>
      <c r="F12398" s="2">
        <v>619</v>
      </c>
      <c r="G12398" s="2">
        <v>100</v>
      </c>
      <c r="H12398" s="2">
        <v>160</v>
      </c>
      <c r="I12398" s="2">
        <v>103</v>
      </c>
      <c r="J12398" s="2">
        <v>582</v>
      </c>
      <c r="K12398" s="2">
        <v>1</v>
      </c>
      <c r="L12398" s="2">
        <v>160</v>
      </c>
    </row>
    <row r="12399" spans="1:12" x14ac:dyDescent="0.25">
      <c r="A12399" s="4" t="str">
        <f>HYPERLINK("http://www.rosaceae.org/Prunus/Prunus_persica/p.persica_gdr_reftransV1_0002021","p.persica_gdr_reftransV1_0002021")</f>
        <v>p.persica_gdr_reftransV1_0002021</v>
      </c>
      <c r="B12399" s="2">
        <v>323</v>
      </c>
      <c r="C12399" s="4" t="str">
        <f>HYPERLINK("http://www.uniprot.org/uniprot/A0A0E9NEL7","A0A0E9NEL7")</f>
        <v>A0A0E9NEL7</v>
      </c>
      <c r="D12399" s="2" t="s">
        <v>10344</v>
      </c>
      <c r="E12399" s="3">
        <v>2.2199999999999998E-12</v>
      </c>
      <c r="F12399" s="2">
        <v>167</v>
      </c>
      <c r="G12399" s="2">
        <v>78</v>
      </c>
      <c r="H12399" s="2">
        <v>37</v>
      </c>
      <c r="I12399" s="2">
        <v>1</v>
      </c>
      <c r="J12399" s="2">
        <v>111</v>
      </c>
      <c r="K12399" s="2">
        <v>31</v>
      </c>
      <c r="L12399" s="2">
        <v>67</v>
      </c>
    </row>
    <row r="12400" spans="1:12" x14ac:dyDescent="0.25">
      <c r="A12400" s="4" t="str">
        <f>HYPERLINK("http://www.rosaceae.org/Prunus/Prunus_persica/p.persica_gdr_reftransV1_0002371","p.persica_gdr_reftransV1_0002371")</f>
        <v>p.persica_gdr_reftransV1_0002371</v>
      </c>
      <c r="B12400" s="2">
        <v>1313</v>
      </c>
      <c r="C12400" s="4" t="str">
        <f>HYPERLINK("http://www.uniprot.org/uniprot/M5X1Y1","M5X1Y1")</f>
        <v>M5X1Y1</v>
      </c>
      <c r="D12400" s="2" t="s">
        <v>2051</v>
      </c>
      <c r="E12400" s="3">
        <v>3.0000000000000001E-142</v>
      </c>
      <c r="F12400" s="2">
        <v>1077</v>
      </c>
      <c r="G12400" s="2">
        <v>100</v>
      </c>
      <c r="H12400" s="2">
        <v>204</v>
      </c>
      <c r="I12400" s="2">
        <v>313</v>
      </c>
      <c r="J12400" s="2">
        <v>924</v>
      </c>
      <c r="K12400" s="2">
        <v>38</v>
      </c>
      <c r="L12400" s="2">
        <v>241</v>
      </c>
    </row>
    <row r="12401" spans="1:12" x14ac:dyDescent="0.25">
      <c r="A12401" s="4" t="str">
        <f>HYPERLINK("http://www.rosaceae.org/Prunus/Prunus_persica/p.persica_gdr_reftransV1_0002721","p.persica_gdr_reftransV1_0002721")</f>
        <v>p.persica_gdr_reftransV1_0002721</v>
      </c>
      <c r="B12401" s="2">
        <v>952</v>
      </c>
      <c r="C12401" s="4" t="str">
        <f>HYPERLINK("http://www.uniprot.org/uniprot/M5VHB0","M5VHB0")</f>
        <v>M5VHB0</v>
      </c>
      <c r="D12401" s="2" t="s">
        <v>10345</v>
      </c>
      <c r="E12401" s="3">
        <v>4.5200000000000001E-64</v>
      </c>
      <c r="F12401" s="2">
        <v>535</v>
      </c>
      <c r="G12401" s="2">
        <v>100</v>
      </c>
      <c r="H12401" s="2">
        <v>132</v>
      </c>
      <c r="I12401" s="2">
        <v>394</v>
      </c>
      <c r="J12401" s="2">
        <v>789</v>
      </c>
      <c r="K12401" s="2">
        <v>1</v>
      </c>
      <c r="L12401" s="2">
        <v>132</v>
      </c>
    </row>
    <row r="12402" spans="1:12" x14ac:dyDescent="0.25">
      <c r="A12402" s="4" t="str">
        <f>HYPERLINK("http://www.rosaceae.org/Prunus/Prunus_persica/p.persica_gdr_reftransV1_0003071","p.persica_gdr_reftransV1_0003071")</f>
        <v>p.persica_gdr_reftransV1_0003071</v>
      </c>
      <c r="B12402" s="2">
        <v>1127</v>
      </c>
      <c r="C12402" s="4" t="str">
        <f>HYPERLINK("http://www.uniprot.org/uniprot/M5WEW0","M5WEW0")</f>
        <v>M5WEW0</v>
      </c>
      <c r="D12402" s="2" t="s">
        <v>4357</v>
      </c>
      <c r="E12402" s="3">
        <v>0</v>
      </c>
      <c r="F12402" s="2">
        <v>1784</v>
      </c>
      <c r="G12402" s="2">
        <v>100</v>
      </c>
      <c r="H12402" s="2">
        <v>345</v>
      </c>
      <c r="I12402" s="2">
        <v>92</v>
      </c>
      <c r="J12402" s="2">
        <v>1126</v>
      </c>
      <c r="K12402" s="2">
        <v>5</v>
      </c>
      <c r="L12402" s="2">
        <v>349</v>
      </c>
    </row>
    <row r="12403" spans="1:12" x14ac:dyDescent="0.25">
      <c r="A12403" s="4" t="str">
        <f>HYPERLINK("http://www.rosaceae.org/Prunus/Prunus_persica/p.persica_gdr_reftransV1_0003771","p.persica_gdr_reftransV1_0003771")</f>
        <v>p.persica_gdr_reftransV1_0003771</v>
      </c>
      <c r="B12403" s="2">
        <v>377</v>
      </c>
      <c r="C12403" s="4" t="str">
        <f>HYPERLINK("http://www.uniprot.org/uniprot/M5VQU0","M5VQU0")</f>
        <v>M5VQU0</v>
      </c>
      <c r="D12403" s="2" t="s">
        <v>10346</v>
      </c>
      <c r="E12403" s="3">
        <v>3.1599999999999999E-85</v>
      </c>
      <c r="F12403" s="2">
        <v>665</v>
      </c>
      <c r="G12403" s="2">
        <v>100</v>
      </c>
      <c r="H12403" s="2">
        <v>125</v>
      </c>
      <c r="I12403" s="2">
        <v>1</v>
      </c>
      <c r="J12403" s="2">
        <v>375</v>
      </c>
      <c r="K12403" s="2">
        <v>63</v>
      </c>
      <c r="L12403" s="2">
        <v>187</v>
      </c>
    </row>
    <row r="12404" spans="1:12" x14ac:dyDescent="0.25">
      <c r="A12404" s="4" t="str">
        <f>HYPERLINK("http://www.rosaceae.org/Prunus/Prunus_persica/p.persica_gdr_reftransV1_0004471","p.persica_gdr_reftransV1_0004471")</f>
        <v>p.persica_gdr_reftransV1_0004471</v>
      </c>
      <c r="B12404" s="2">
        <v>1142</v>
      </c>
      <c r="C12404" s="4" t="str">
        <f>HYPERLINK("http://www.uniprot.org/uniprot/M5WMP7","M5WMP7")</f>
        <v>M5WMP7</v>
      </c>
      <c r="D12404" s="2" t="s">
        <v>10347</v>
      </c>
      <c r="E12404" s="3">
        <v>0</v>
      </c>
      <c r="F12404" s="2">
        <v>1514</v>
      </c>
      <c r="G12404" s="2">
        <v>99</v>
      </c>
      <c r="H12404" s="2">
        <v>327</v>
      </c>
      <c r="I12404" s="2">
        <v>11</v>
      </c>
      <c r="J12404" s="2">
        <v>991</v>
      </c>
      <c r="K12404" s="2">
        <v>1</v>
      </c>
      <c r="L12404" s="2">
        <v>324</v>
      </c>
    </row>
    <row r="12405" spans="1:12" x14ac:dyDescent="0.25">
      <c r="A12405" s="4" t="str">
        <f>HYPERLINK("http://www.rosaceae.org/Prunus/Prunus_persica/p.persica_gdr_reftransV1_0004821","p.persica_gdr_reftransV1_0004821")</f>
        <v>p.persica_gdr_reftransV1_0004821</v>
      </c>
      <c r="B12405" s="2">
        <v>298</v>
      </c>
      <c r="C12405" s="4" t="str">
        <f>HYPERLINK("http://www.uniprot.org/uniprot/M5WPZ1","M5WPZ1")</f>
        <v>M5WPZ1</v>
      </c>
      <c r="D12405" s="2" t="s">
        <v>3735</v>
      </c>
      <c r="E12405" s="3">
        <v>3.3299999999999998E-59</v>
      </c>
      <c r="F12405" s="2">
        <v>525</v>
      </c>
      <c r="G12405" s="2">
        <v>100</v>
      </c>
      <c r="H12405" s="2">
        <v>99</v>
      </c>
      <c r="I12405" s="2">
        <v>1</v>
      </c>
      <c r="J12405" s="2">
        <v>297</v>
      </c>
      <c r="K12405" s="2">
        <v>179</v>
      </c>
      <c r="L12405" s="2">
        <v>277</v>
      </c>
    </row>
    <row r="12406" spans="1:12" x14ac:dyDescent="0.25">
      <c r="A12406" s="4" t="str">
        <f>HYPERLINK("http://www.rosaceae.org/Prunus/Prunus_persica/p.persica_gdr_reftransV1_0005171","p.persica_gdr_reftransV1_0005171")</f>
        <v>p.persica_gdr_reftransV1_0005171</v>
      </c>
      <c r="B12406" s="2">
        <v>1574</v>
      </c>
      <c r="C12406" s="4" t="str">
        <f>HYPERLINK("http://www.uniprot.org/uniprot/M5X0U7","M5X0U7")</f>
        <v>M5X0U7</v>
      </c>
      <c r="D12406" s="2" t="s">
        <v>10348</v>
      </c>
      <c r="E12406" s="3">
        <v>5.2600000000000001E-161</v>
      </c>
      <c r="F12406" s="2">
        <v>1216</v>
      </c>
      <c r="G12406" s="2">
        <v>94</v>
      </c>
      <c r="H12406" s="2">
        <v>250</v>
      </c>
      <c r="I12406" s="2">
        <v>814</v>
      </c>
      <c r="J12406" s="2">
        <v>1563</v>
      </c>
      <c r="K12406" s="2">
        <v>2</v>
      </c>
      <c r="L12406" s="2">
        <v>235</v>
      </c>
    </row>
    <row r="12407" spans="1:12" x14ac:dyDescent="0.25">
      <c r="A12407" s="4" t="str">
        <f>HYPERLINK("http://www.rosaceae.org/Prunus/Prunus_persica/p.persica_gdr_reftransV1_0005521","p.persica_gdr_reftransV1_0005521")</f>
        <v>p.persica_gdr_reftransV1_0005521</v>
      </c>
      <c r="B12407" s="2">
        <v>843</v>
      </c>
      <c r="C12407" s="4" t="str">
        <f>HYPERLINK("http://www.uniprot.org/uniprot/M5WRN2","M5WRN2")</f>
        <v>M5WRN2</v>
      </c>
      <c r="D12407" s="2" t="s">
        <v>10349</v>
      </c>
      <c r="E12407" s="3">
        <v>1.03E-99</v>
      </c>
      <c r="F12407" s="2">
        <v>770</v>
      </c>
      <c r="G12407" s="2">
        <v>100</v>
      </c>
      <c r="H12407" s="2">
        <v>162</v>
      </c>
      <c r="I12407" s="2">
        <v>1</v>
      </c>
      <c r="J12407" s="2">
        <v>486</v>
      </c>
      <c r="K12407" s="2">
        <v>3</v>
      </c>
      <c r="L12407" s="2">
        <v>164</v>
      </c>
    </row>
    <row r="12408" spans="1:12" x14ac:dyDescent="0.25">
      <c r="A12408" s="4" t="str">
        <f>HYPERLINK("http://www.rosaceae.org/Prunus/Prunus_persica/p.persica_gdr_reftransV1_0005871","p.persica_gdr_reftransV1_0005871")</f>
        <v>p.persica_gdr_reftransV1_0005871</v>
      </c>
      <c r="B12408" s="2">
        <v>760</v>
      </c>
      <c r="C12408" s="4" t="str">
        <f>HYPERLINK("http://www.uniprot.org/uniprot/M5XNT3","M5XNT3")</f>
        <v>M5XNT3</v>
      </c>
      <c r="D12408" s="2" t="s">
        <v>10350</v>
      </c>
      <c r="E12408" s="3">
        <v>4.1499999999999999E-104</v>
      </c>
      <c r="F12408" s="2">
        <v>795</v>
      </c>
      <c r="G12408" s="2">
        <v>100</v>
      </c>
      <c r="H12408" s="2">
        <v>161</v>
      </c>
      <c r="I12408" s="2">
        <v>228</v>
      </c>
      <c r="J12408" s="2">
        <v>710</v>
      </c>
      <c r="K12408" s="2">
        <v>1</v>
      </c>
      <c r="L12408" s="2">
        <v>161</v>
      </c>
    </row>
    <row r="12409" spans="1:12" x14ac:dyDescent="0.25">
      <c r="A12409" s="4" t="str">
        <f>HYPERLINK("http://www.rosaceae.org/Prunus/Prunus_persica/p.persica_gdr_reftransV1_0006921","p.persica_gdr_reftransV1_0006921")</f>
        <v>p.persica_gdr_reftransV1_0006921</v>
      </c>
      <c r="B12409" s="2">
        <v>1028</v>
      </c>
      <c r="C12409" s="4" t="str">
        <f>HYPERLINK("http://www.uniprot.org/uniprot/M5VHR0","M5VHR0")</f>
        <v>M5VHR0</v>
      </c>
      <c r="D12409" s="2" t="s">
        <v>10351</v>
      </c>
      <c r="E12409" s="3">
        <v>5.4300000000000001E-154</v>
      </c>
      <c r="F12409" s="2">
        <v>1147</v>
      </c>
      <c r="G12409" s="2">
        <v>100</v>
      </c>
      <c r="H12409" s="2">
        <v>221</v>
      </c>
      <c r="I12409" s="2">
        <v>294</v>
      </c>
      <c r="J12409" s="2">
        <v>956</v>
      </c>
      <c r="K12409" s="2">
        <v>72</v>
      </c>
      <c r="L12409" s="2">
        <v>292</v>
      </c>
    </row>
    <row r="12410" spans="1:12" x14ac:dyDescent="0.25">
      <c r="A12410" s="4" t="str">
        <f>HYPERLINK("http://www.rosaceae.org/Prunus/Prunus_persica/p.persica_gdr_reftransV1_0007271","p.persica_gdr_reftransV1_0007271")</f>
        <v>p.persica_gdr_reftransV1_0007271</v>
      </c>
      <c r="B12410" s="2">
        <v>2321</v>
      </c>
      <c r="C12410" s="4" t="str">
        <f>HYPERLINK("http://www.uniprot.org/uniprot/M5WAB7","M5WAB7")</f>
        <v>M5WAB7</v>
      </c>
      <c r="D12410" s="2" t="s">
        <v>10352</v>
      </c>
      <c r="E12410" s="3">
        <v>0</v>
      </c>
      <c r="F12410" s="2">
        <v>2527</v>
      </c>
      <c r="G12410" s="2">
        <v>99</v>
      </c>
      <c r="H12410" s="2">
        <v>573</v>
      </c>
      <c r="I12410" s="2">
        <v>184</v>
      </c>
      <c r="J12410" s="2">
        <v>1902</v>
      </c>
      <c r="K12410" s="2">
        <v>1</v>
      </c>
      <c r="L12410" s="2">
        <v>568</v>
      </c>
    </row>
    <row r="12411" spans="1:12" x14ac:dyDescent="0.25">
      <c r="A12411" s="4" t="str">
        <f>HYPERLINK("http://www.rosaceae.org/Prunus/Prunus_persica/p.persica_gdr_reftransV1_0007971","p.persica_gdr_reftransV1_0007971")</f>
        <v>p.persica_gdr_reftransV1_0007971</v>
      </c>
      <c r="B12411" s="2">
        <v>2407</v>
      </c>
      <c r="C12411" s="4" t="str">
        <f>HYPERLINK("http://www.uniprot.org/uniprot/M5W1V2","M5W1V2")</f>
        <v>M5W1V2</v>
      </c>
      <c r="D12411" s="2" t="s">
        <v>10353</v>
      </c>
      <c r="E12411" s="3">
        <v>0</v>
      </c>
      <c r="F12411" s="2">
        <v>3128</v>
      </c>
      <c r="G12411" s="2">
        <v>100</v>
      </c>
      <c r="H12411" s="2">
        <v>633</v>
      </c>
      <c r="I12411" s="2">
        <v>350</v>
      </c>
      <c r="J12411" s="2">
        <v>2248</v>
      </c>
      <c r="K12411" s="2">
        <v>1</v>
      </c>
      <c r="L12411" s="2">
        <v>633</v>
      </c>
    </row>
    <row r="12412" spans="1:12" x14ac:dyDescent="0.25">
      <c r="A12412" s="4" t="str">
        <f>HYPERLINK("http://www.rosaceae.org/Prunus/Prunus_persica/p.persica_gdr_reftransV1_0008321","p.persica_gdr_reftransV1_0008321")</f>
        <v>p.persica_gdr_reftransV1_0008321</v>
      </c>
      <c r="B12412" s="2">
        <v>584</v>
      </c>
      <c r="C12412" s="4" t="str">
        <f>HYPERLINK("http://www.uniprot.org/uniprot/M5WD94","M5WD94")</f>
        <v>M5WD94</v>
      </c>
      <c r="D12412" s="2" t="s">
        <v>10354</v>
      </c>
      <c r="E12412" s="3">
        <v>1.5199999999999999E-20</v>
      </c>
      <c r="F12412" s="2">
        <v>230</v>
      </c>
      <c r="G12412" s="2">
        <v>67</v>
      </c>
      <c r="H12412" s="2">
        <v>58</v>
      </c>
      <c r="I12412" s="2">
        <v>299</v>
      </c>
      <c r="J12412" s="2">
        <v>472</v>
      </c>
      <c r="K12412" s="2">
        <v>21</v>
      </c>
      <c r="L12412" s="2">
        <v>78</v>
      </c>
    </row>
    <row r="12413" spans="1:12" x14ac:dyDescent="0.25">
      <c r="A12413" s="4" t="str">
        <f>HYPERLINK("http://www.rosaceae.org/Prunus/Prunus_persica/p.persica_gdr_reftransV1_0008671","p.persica_gdr_reftransV1_0008671")</f>
        <v>p.persica_gdr_reftransV1_0008671</v>
      </c>
      <c r="B12413" s="2">
        <v>1646</v>
      </c>
      <c r="C12413" s="4" t="str">
        <f>HYPERLINK("http://www.uniprot.org/uniprot/M5XGH3","M5XGH3")</f>
        <v>M5XGH3</v>
      </c>
      <c r="D12413" s="2" t="s">
        <v>10355</v>
      </c>
      <c r="E12413" s="3">
        <v>6.8000000000000003E-163</v>
      </c>
      <c r="F12413" s="2">
        <v>1222</v>
      </c>
      <c r="G12413" s="2">
        <v>100</v>
      </c>
      <c r="H12413" s="2">
        <v>231</v>
      </c>
      <c r="I12413" s="2">
        <v>195</v>
      </c>
      <c r="J12413" s="2">
        <v>887</v>
      </c>
      <c r="K12413" s="2">
        <v>1</v>
      </c>
      <c r="L12413" s="2">
        <v>231</v>
      </c>
    </row>
    <row r="12414" spans="1:12" x14ac:dyDescent="0.25">
      <c r="A12414" s="4" t="str">
        <f>HYPERLINK("http://www.rosaceae.org/Prunus/Prunus_persica/p.persica_gdr_reftransV1_0009021","p.persica_gdr_reftransV1_0009021")</f>
        <v>p.persica_gdr_reftransV1_0009021</v>
      </c>
      <c r="B12414" s="2">
        <v>3053</v>
      </c>
      <c r="C12414" s="4" t="str">
        <f>HYPERLINK("http://www.uniprot.org/uniprot/M5X3A8","M5X3A8")</f>
        <v>M5X3A8</v>
      </c>
      <c r="D12414" s="2" t="s">
        <v>10356</v>
      </c>
      <c r="E12414" s="3">
        <v>0</v>
      </c>
      <c r="F12414" s="2">
        <v>4113</v>
      </c>
      <c r="G12414" s="2">
        <v>100</v>
      </c>
      <c r="H12414" s="2">
        <v>820</v>
      </c>
      <c r="I12414" s="2">
        <v>369</v>
      </c>
      <c r="J12414" s="2">
        <v>2828</v>
      </c>
      <c r="K12414" s="2">
        <v>1</v>
      </c>
      <c r="L12414" s="2">
        <v>820</v>
      </c>
    </row>
    <row r="12415" spans="1:12" x14ac:dyDescent="0.25">
      <c r="A12415" s="4" t="str">
        <f>HYPERLINK("http://www.rosaceae.org/Prunus/Prunus_persica/p.persica_gdr_reftransV1_0009371","p.persica_gdr_reftransV1_0009371")</f>
        <v>p.persica_gdr_reftransV1_0009371</v>
      </c>
      <c r="B12415" s="2">
        <v>2564</v>
      </c>
      <c r="C12415" s="4" t="str">
        <f>HYPERLINK("http://www.uniprot.org/uniprot/M5VME8","M5VME8")</f>
        <v>M5VME8</v>
      </c>
      <c r="D12415" s="2" t="s">
        <v>10357</v>
      </c>
      <c r="E12415" s="3">
        <v>0</v>
      </c>
      <c r="F12415" s="2">
        <v>2880</v>
      </c>
      <c r="G12415" s="2">
        <v>100</v>
      </c>
      <c r="H12415" s="2">
        <v>579</v>
      </c>
      <c r="I12415" s="2">
        <v>521</v>
      </c>
      <c r="J12415" s="2">
        <v>2257</v>
      </c>
      <c r="K12415" s="2">
        <v>1</v>
      </c>
      <c r="L12415" s="2">
        <v>579</v>
      </c>
    </row>
    <row r="12416" spans="1:12" x14ac:dyDescent="0.25">
      <c r="A12416" s="4" t="str">
        <f>HYPERLINK("http://www.rosaceae.org/Prunus/Prunus_persica/p.persica_gdr_reftransV1_0010071","p.persica_gdr_reftransV1_0010071")</f>
        <v>p.persica_gdr_reftransV1_0010071</v>
      </c>
      <c r="B12416" s="2">
        <v>1741</v>
      </c>
      <c r="C12416" s="4" t="str">
        <f>HYPERLINK("http://www.uniprot.org/uniprot/M5VX58","M5VX58")</f>
        <v>M5VX58</v>
      </c>
      <c r="D12416" s="2" t="s">
        <v>10358</v>
      </c>
      <c r="E12416" s="3">
        <v>0</v>
      </c>
      <c r="F12416" s="2">
        <v>1837</v>
      </c>
      <c r="G12416" s="2">
        <v>100</v>
      </c>
      <c r="H12416" s="2">
        <v>346</v>
      </c>
      <c r="I12416" s="2">
        <v>461</v>
      </c>
      <c r="J12416" s="2">
        <v>1498</v>
      </c>
      <c r="K12416" s="2">
        <v>1</v>
      </c>
      <c r="L12416" s="2">
        <v>346</v>
      </c>
    </row>
    <row r="12417" spans="1:12" x14ac:dyDescent="0.25">
      <c r="A12417" s="4" t="str">
        <f>HYPERLINK("http://www.rosaceae.org/Prunus/Prunus_persica/p.persica_gdr_reftransV1_0010421","p.persica_gdr_reftransV1_0010421")</f>
        <v>p.persica_gdr_reftransV1_0010421</v>
      </c>
      <c r="B12417" s="2">
        <v>1693</v>
      </c>
      <c r="C12417" s="4" t="str">
        <f>HYPERLINK("http://www.uniprot.org/uniprot/M5VHY9","M5VHY9")</f>
        <v>M5VHY9</v>
      </c>
      <c r="D12417" s="2" t="s">
        <v>10359</v>
      </c>
      <c r="E12417" s="3">
        <v>2.9799999999999999E-173</v>
      </c>
      <c r="F12417" s="2">
        <v>1294</v>
      </c>
      <c r="G12417" s="2">
        <v>100</v>
      </c>
      <c r="H12417" s="2">
        <v>260</v>
      </c>
      <c r="I12417" s="2">
        <v>227</v>
      </c>
      <c r="J12417" s="2">
        <v>1006</v>
      </c>
      <c r="K12417" s="2">
        <v>1</v>
      </c>
      <c r="L12417" s="2">
        <v>260</v>
      </c>
    </row>
    <row r="12418" spans="1:12" x14ac:dyDescent="0.25">
      <c r="A12418" s="4" t="str">
        <f>HYPERLINK("http://www.rosaceae.org/Prunus/Prunus_persica/p.persica_gdr_reftransV1_0011121","p.persica_gdr_reftransV1_0011121")</f>
        <v>p.persica_gdr_reftransV1_0011121</v>
      </c>
      <c r="B12418" s="2">
        <v>2601</v>
      </c>
      <c r="C12418" s="4" t="str">
        <f>HYPERLINK("http://www.uniprot.org/uniprot/M5Y3R6","M5Y3R6")</f>
        <v>M5Y3R6</v>
      </c>
      <c r="D12418" s="2" t="s">
        <v>10360</v>
      </c>
      <c r="E12418" s="3">
        <v>0</v>
      </c>
      <c r="F12418" s="2">
        <v>3407</v>
      </c>
      <c r="G12418" s="2">
        <v>100</v>
      </c>
      <c r="H12418" s="2">
        <v>727</v>
      </c>
      <c r="I12418" s="2">
        <v>107</v>
      </c>
      <c r="J12418" s="2">
        <v>2287</v>
      </c>
      <c r="K12418" s="2">
        <v>1</v>
      </c>
      <c r="L12418" s="2">
        <v>727</v>
      </c>
    </row>
    <row r="12419" spans="1:12" x14ac:dyDescent="0.25">
      <c r="A12419" s="4" t="str">
        <f>HYPERLINK("http://www.rosaceae.org/Prunus/Prunus_persica/p.persica_gdr_reftransV1_0011471","p.persica_gdr_reftransV1_0011471")</f>
        <v>p.persica_gdr_reftransV1_0011471</v>
      </c>
      <c r="B12419" s="2">
        <v>1425</v>
      </c>
      <c r="C12419" s="4" t="str">
        <f>HYPERLINK("http://www.uniprot.org/uniprot/M5XME4","M5XME4")</f>
        <v>M5XME4</v>
      </c>
      <c r="D12419" s="2" t="s">
        <v>10361</v>
      </c>
      <c r="E12419" s="3">
        <v>3.4399999999999997E-70</v>
      </c>
      <c r="F12419" s="2">
        <v>586</v>
      </c>
      <c r="G12419" s="2">
        <v>100</v>
      </c>
      <c r="H12419" s="2">
        <v>115</v>
      </c>
      <c r="I12419" s="2">
        <v>732</v>
      </c>
      <c r="J12419" s="2">
        <v>1076</v>
      </c>
      <c r="K12419" s="2">
        <v>1</v>
      </c>
      <c r="L12419" s="2">
        <v>115</v>
      </c>
    </row>
    <row r="12420" spans="1:12" x14ac:dyDescent="0.25">
      <c r="A12420" s="4" t="str">
        <f>HYPERLINK("http://www.rosaceae.org/Prunus/Prunus_persica/p.persica_gdr_reftransV1_0011821","p.persica_gdr_reftransV1_0011821")</f>
        <v>p.persica_gdr_reftransV1_0011821</v>
      </c>
      <c r="B12420" s="2">
        <v>650</v>
      </c>
      <c r="C12420" s="4" t="str">
        <f>HYPERLINK("http://www.uniprot.org/uniprot/M5WXV2","M5WXV2")</f>
        <v>M5WXV2</v>
      </c>
      <c r="D12420" s="2" t="s">
        <v>10362</v>
      </c>
      <c r="E12420" s="3">
        <v>1.7199999999999999E-93</v>
      </c>
      <c r="F12420" s="2">
        <v>719</v>
      </c>
      <c r="G12420" s="2">
        <v>100</v>
      </c>
      <c r="H12420" s="2">
        <v>135</v>
      </c>
      <c r="I12420" s="2">
        <v>32</v>
      </c>
      <c r="J12420" s="2">
        <v>436</v>
      </c>
      <c r="K12420" s="2">
        <v>1</v>
      </c>
      <c r="L12420" s="2">
        <v>135</v>
      </c>
    </row>
    <row r="12421" spans="1:12" x14ac:dyDescent="0.25">
      <c r="A12421" s="4" t="str">
        <f>HYPERLINK("http://www.rosaceae.org/Prunus/Prunus_persica/p.persica_gdr_reftransV1_0012521","p.persica_gdr_reftransV1_0012521")</f>
        <v>p.persica_gdr_reftransV1_0012521</v>
      </c>
      <c r="B12421" s="2">
        <v>1182</v>
      </c>
      <c r="C12421" s="4" t="str">
        <f>HYPERLINK("http://www.uniprot.org/uniprot/M5WP91","M5WP91")</f>
        <v>M5WP91</v>
      </c>
      <c r="D12421" s="2" t="s">
        <v>10363</v>
      </c>
      <c r="E12421" s="3">
        <v>3.3699999999999998E-140</v>
      </c>
      <c r="F12421" s="2">
        <v>1052</v>
      </c>
      <c r="G12421" s="2">
        <v>100</v>
      </c>
      <c r="H12421" s="2">
        <v>197</v>
      </c>
      <c r="I12421" s="2">
        <v>193</v>
      </c>
      <c r="J12421" s="2">
        <v>783</v>
      </c>
      <c r="K12421" s="2">
        <v>1</v>
      </c>
      <c r="L12421" s="2">
        <v>197</v>
      </c>
    </row>
    <row r="12422" spans="1:12" x14ac:dyDescent="0.25">
      <c r="A12422" s="4" t="str">
        <f>HYPERLINK("http://www.rosaceae.org/Prunus/Prunus_persica/p.persica_gdr_reftransV1_0013571","p.persica_gdr_reftransV1_0013571")</f>
        <v>p.persica_gdr_reftransV1_0013571</v>
      </c>
      <c r="B12422" s="2">
        <v>1066</v>
      </c>
      <c r="C12422" s="4" t="str">
        <f>HYPERLINK("http://www.uniprot.org/uniprot/M5WH42","M5WH42")</f>
        <v>M5WH42</v>
      </c>
      <c r="D12422" s="2" t="s">
        <v>2452</v>
      </c>
      <c r="E12422" s="3">
        <v>1.3799999999999999E-55</v>
      </c>
      <c r="F12422" s="2">
        <v>490</v>
      </c>
      <c r="G12422" s="2">
        <v>100</v>
      </c>
      <c r="H12422" s="2">
        <v>88</v>
      </c>
      <c r="I12422" s="2">
        <v>143</v>
      </c>
      <c r="J12422" s="2">
        <v>406</v>
      </c>
      <c r="K12422" s="2">
        <v>1</v>
      </c>
      <c r="L12422" s="2">
        <v>88</v>
      </c>
    </row>
    <row r="12423" spans="1:12" x14ac:dyDescent="0.25">
      <c r="A12423" s="4" t="str">
        <f>HYPERLINK("http://www.rosaceae.org/Prunus/Prunus_persica/p.persica_gdr_reftransV1_0014621","p.persica_gdr_reftransV1_0014621")</f>
        <v>p.persica_gdr_reftransV1_0014621</v>
      </c>
      <c r="B12423" s="2">
        <v>2117</v>
      </c>
      <c r="C12423" s="4" t="str">
        <f>HYPERLINK("http://www.uniprot.org/uniprot/M5W651","M5W651")</f>
        <v>M5W651</v>
      </c>
      <c r="D12423" s="2" t="s">
        <v>10364</v>
      </c>
      <c r="E12423" s="3">
        <v>0</v>
      </c>
      <c r="F12423" s="2">
        <v>1740</v>
      </c>
      <c r="G12423" s="2">
        <v>100</v>
      </c>
      <c r="H12423" s="2">
        <v>375</v>
      </c>
      <c r="I12423" s="2">
        <v>293</v>
      </c>
      <c r="J12423" s="2">
        <v>1417</v>
      </c>
      <c r="K12423" s="2">
        <v>1</v>
      </c>
      <c r="L12423" s="2">
        <v>375</v>
      </c>
    </row>
    <row r="12424" spans="1:12" x14ac:dyDescent="0.25">
      <c r="A12424" s="4" t="str">
        <f>HYPERLINK("http://www.rosaceae.org/Prunus/Prunus_persica/p.persica_gdr_reftransV1_0015671","p.persica_gdr_reftransV1_0015671")</f>
        <v>p.persica_gdr_reftransV1_0015671</v>
      </c>
      <c r="B12424" s="2">
        <v>1527</v>
      </c>
      <c r="C12424" s="4" t="str">
        <f>HYPERLINK("http://www.uniprot.org/uniprot/M5VZG5","M5VZG5")</f>
        <v>M5VZG5</v>
      </c>
      <c r="D12424" s="2" t="s">
        <v>10365</v>
      </c>
      <c r="E12424" s="3">
        <v>1.6199999999999999E-127</v>
      </c>
      <c r="F12424" s="2">
        <v>796</v>
      </c>
      <c r="G12424" s="2">
        <v>100</v>
      </c>
      <c r="H12424" s="2">
        <v>150</v>
      </c>
      <c r="I12424" s="2">
        <v>784</v>
      </c>
      <c r="J12424" s="2">
        <v>1233</v>
      </c>
      <c r="K12424" s="2">
        <v>140</v>
      </c>
      <c r="L12424" s="2">
        <v>289</v>
      </c>
    </row>
    <row r="12425" spans="1:12" x14ac:dyDescent="0.25">
      <c r="A12425" s="4" t="str">
        <f>HYPERLINK("http://www.rosaceae.org/Prunus/Prunus_persica/p.persica_gdr_reftransV1_0016021","p.persica_gdr_reftransV1_0016021")</f>
        <v>p.persica_gdr_reftransV1_0016021</v>
      </c>
      <c r="B12425" s="2">
        <v>438</v>
      </c>
      <c r="C12425" s="4" t="str">
        <f>HYPERLINK("http://www.uniprot.org/uniprot/M5WL26","M5WL26")</f>
        <v>M5WL26</v>
      </c>
      <c r="D12425" s="2" t="s">
        <v>8117</v>
      </c>
      <c r="E12425" s="3">
        <v>1.7999999999999999E-64</v>
      </c>
      <c r="F12425" s="2">
        <v>535</v>
      </c>
      <c r="G12425" s="2">
        <v>98</v>
      </c>
      <c r="H12425" s="2">
        <v>123</v>
      </c>
      <c r="I12425" s="2">
        <v>70</v>
      </c>
      <c r="J12425" s="2">
        <v>438</v>
      </c>
      <c r="K12425" s="2">
        <v>1</v>
      </c>
      <c r="L12425" s="2">
        <v>120</v>
      </c>
    </row>
    <row r="12426" spans="1:12" x14ac:dyDescent="0.25">
      <c r="A12426" s="4" t="str">
        <f>HYPERLINK("http://www.rosaceae.org/Prunus/Prunus_persica/p.persica_gdr_reftransV1_0017771","p.persica_gdr_reftransV1_0017771")</f>
        <v>p.persica_gdr_reftransV1_0017771</v>
      </c>
      <c r="B12426" s="2">
        <v>950</v>
      </c>
      <c r="C12426" s="4" t="str">
        <f>HYPERLINK("http://www.uniprot.org/uniprot/M5WAS0","M5WAS0")</f>
        <v>M5WAS0</v>
      </c>
      <c r="D12426" s="2" t="s">
        <v>10366</v>
      </c>
      <c r="E12426" s="3">
        <v>1.1899999999999999E-114</v>
      </c>
      <c r="F12426" s="2">
        <v>876</v>
      </c>
      <c r="G12426" s="2">
        <v>100</v>
      </c>
      <c r="H12426" s="2">
        <v>200</v>
      </c>
      <c r="I12426" s="2">
        <v>182</v>
      </c>
      <c r="J12426" s="2">
        <v>781</v>
      </c>
      <c r="K12426" s="2">
        <v>1</v>
      </c>
      <c r="L12426" s="2">
        <v>200</v>
      </c>
    </row>
    <row r="12427" spans="1:12" x14ac:dyDescent="0.25">
      <c r="A12427" s="4" t="str">
        <f>HYPERLINK("http://www.rosaceae.org/Prunus/Prunus_persica/p.persica_gdr_reftransV1_0018121","p.persica_gdr_reftransV1_0018121")</f>
        <v>p.persica_gdr_reftransV1_0018121</v>
      </c>
      <c r="B12427" s="2">
        <v>2062</v>
      </c>
      <c r="C12427" s="4" t="str">
        <f>HYPERLINK("http://www.uniprot.org/uniprot/M5WV49","M5WV49")</f>
        <v>M5WV49</v>
      </c>
      <c r="D12427" s="2" t="s">
        <v>10367</v>
      </c>
      <c r="E12427" s="3">
        <v>5.4600000000000001E-170</v>
      </c>
      <c r="F12427" s="2">
        <v>1285</v>
      </c>
      <c r="G12427" s="2">
        <v>100</v>
      </c>
      <c r="H12427" s="2">
        <v>271</v>
      </c>
      <c r="I12427" s="2">
        <v>845</v>
      </c>
      <c r="J12427" s="2">
        <v>1657</v>
      </c>
      <c r="K12427" s="2">
        <v>1</v>
      </c>
      <c r="L12427" s="2">
        <v>271</v>
      </c>
    </row>
    <row r="12428" spans="1:12" x14ac:dyDescent="0.25">
      <c r="A12428" s="4" t="str">
        <f>HYPERLINK("http://www.rosaceae.org/Prunus/Prunus_persica/p.persica_gdr_reftransV1_0018471","p.persica_gdr_reftransV1_0018471")</f>
        <v>p.persica_gdr_reftransV1_0018471</v>
      </c>
      <c r="B12428" s="2">
        <v>1802</v>
      </c>
      <c r="C12428" s="4" t="str">
        <f>HYPERLINK("http://www.uniprot.org/uniprot/M5WUD8","M5WUD8")</f>
        <v>M5WUD8</v>
      </c>
      <c r="D12428" s="2" t="s">
        <v>5339</v>
      </c>
      <c r="E12428" s="3">
        <v>0</v>
      </c>
      <c r="F12428" s="2">
        <v>1520</v>
      </c>
      <c r="G12428" s="2">
        <v>94</v>
      </c>
      <c r="H12428" s="2">
        <v>302</v>
      </c>
      <c r="I12428" s="2">
        <v>109</v>
      </c>
      <c r="J12428" s="2">
        <v>960</v>
      </c>
      <c r="K12428" s="2">
        <v>253</v>
      </c>
      <c r="L12428" s="2">
        <v>554</v>
      </c>
    </row>
    <row r="12429" spans="1:12" x14ac:dyDescent="0.25">
      <c r="A12429" s="4" t="str">
        <f>HYPERLINK("http://www.rosaceae.org/Prunus/Prunus_persica/p.persica_gdr_reftransV1_0019171","p.persica_gdr_reftransV1_0019171")</f>
        <v>p.persica_gdr_reftransV1_0019171</v>
      </c>
      <c r="B12429" s="2">
        <v>3528</v>
      </c>
      <c r="C12429" s="4" t="str">
        <f>HYPERLINK("http://www.uniprot.org/uniprot/M5WE14","M5WE14")</f>
        <v>M5WE14</v>
      </c>
      <c r="D12429" s="2" t="s">
        <v>10368</v>
      </c>
      <c r="E12429" s="3">
        <v>0</v>
      </c>
      <c r="F12429" s="2">
        <v>4183</v>
      </c>
      <c r="G12429" s="2">
        <v>98</v>
      </c>
      <c r="H12429" s="2">
        <v>810</v>
      </c>
      <c r="I12429" s="2">
        <v>478</v>
      </c>
      <c r="J12429" s="2">
        <v>2907</v>
      </c>
      <c r="K12429" s="2">
        <v>1</v>
      </c>
      <c r="L12429" s="2">
        <v>795</v>
      </c>
    </row>
    <row r="12430" spans="1:12" x14ac:dyDescent="0.25">
      <c r="A12430" s="4" t="str">
        <f>HYPERLINK("http://www.rosaceae.org/Prunus/Prunus_persica/p.persica_gdr_reftransV1_0019871","p.persica_gdr_reftransV1_0019871")</f>
        <v>p.persica_gdr_reftransV1_0019871</v>
      </c>
      <c r="B12430" s="2">
        <v>497</v>
      </c>
      <c r="C12430" s="4" t="str">
        <f>HYPERLINK("http://www.uniprot.org/uniprot/M5WLZ0","M5WLZ0")</f>
        <v>M5WLZ0</v>
      </c>
      <c r="D12430" s="2" t="s">
        <v>10369</v>
      </c>
      <c r="E12430" s="3">
        <v>4.4500000000000002E-97</v>
      </c>
      <c r="F12430" s="2">
        <v>739</v>
      </c>
      <c r="G12430" s="2">
        <v>100</v>
      </c>
      <c r="H12430" s="2">
        <v>144</v>
      </c>
      <c r="I12430" s="2">
        <v>64</v>
      </c>
      <c r="J12430" s="2">
        <v>495</v>
      </c>
      <c r="K12430" s="2">
        <v>1</v>
      </c>
      <c r="L12430" s="2">
        <v>144</v>
      </c>
    </row>
    <row r="12431" spans="1:12" x14ac:dyDescent="0.25">
      <c r="A12431" s="4" t="str">
        <f>HYPERLINK("http://www.rosaceae.org/Prunus/Prunus_persica/p.persica_gdr_reftransV1_0020221","p.persica_gdr_reftransV1_0020221")</f>
        <v>p.persica_gdr_reftransV1_0020221</v>
      </c>
      <c r="B12431" s="2">
        <v>1437</v>
      </c>
      <c r="C12431" s="4" t="str">
        <f>HYPERLINK("http://www.uniprot.org/uniprot/M5XCZ8","M5XCZ8")</f>
        <v>M5XCZ8</v>
      </c>
      <c r="D12431" s="2" t="s">
        <v>6158</v>
      </c>
      <c r="E12431" s="3">
        <v>0</v>
      </c>
      <c r="F12431" s="2">
        <v>1715</v>
      </c>
      <c r="G12431" s="2">
        <v>100</v>
      </c>
      <c r="H12431" s="2">
        <v>348</v>
      </c>
      <c r="I12431" s="2">
        <v>136</v>
      </c>
      <c r="J12431" s="2">
        <v>1179</v>
      </c>
      <c r="K12431" s="2">
        <v>12</v>
      </c>
      <c r="L12431" s="2">
        <v>359</v>
      </c>
    </row>
    <row r="12432" spans="1:12" x14ac:dyDescent="0.25">
      <c r="A12432" s="4" t="str">
        <f>HYPERLINK("http://www.rosaceae.org/Prunus/Prunus_persica/p.persica_gdr_reftransV1_0020921","p.persica_gdr_reftransV1_0020921")</f>
        <v>p.persica_gdr_reftransV1_0020921</v>
      </c>
      <c r="B12432" s="2">
        <v>1637</v>
      </c>
      <c r="C12432" s="4" t="str">
        <f>HYPERLINK("http://www.uniprot.org/uniprot/M5WUS1","M5WUS1")</f>
        <v>M5WUS1</v>
      </c>
      <c r="D12432" s="2" t="s">
        <v>10370</v>
      </c>
      <c r="E12432" s="3">
        <v>0</v>
      </c>
      <c r="F12432" s="2">
        <v>1805</v>
      </c>
      <c r="G12432" s="2">
        <v>100</v>
      </c>
      <c r="H12432" s="2">
        <v>339</v>
      </c>
      <c r="I12432" s="2">
        <v>317</v>
      </c>
      <c r="J12432" s="2">
        <v>1333</v>
      </c>
      <c r="K12432" s="2">
        <v>1</v>
      </c>
      <c r="L12432" s="2">
        <v>339</v>
      </c>
    </row>
    <row r="12433" spans="1:12" x14ac:dyDescent="0.25">
      <c r="A12433" s="4" t="str">
        <f>HYPERLINK("http://www.rosaceae.org/Prunus/Prunus_persica/p.persica_gdr_reftransV1_0022321","p.persica_gdr_reftransV1_0022321")</f>
        <v>p.persica_gdr_reftransV1_0022321</v>
      </c>
      <c r="B12433" s="2">
        <v>1598</v>
      </c>
      <c r="C12433" s="4" t="str">
        <f>HYPERLINK("http://www.uniprot.org/uniprot/M5WGW7","M5WGW7")</f>
        <v>M5WGW7</v>
      </c>
      <c r="D12433" s="2" t="s">
        <v>10371</v>
      </c>
      <c r="E12433" s="3">
        <v>0</v>
      </c>
      <c r="F12433" s="2">
        <v>1982</v>
      </c>
      <c r="G12433" s="2">
        <v>100</v>
      </c>
      <c r="H12433" s="2">
        <v>372</v>
      </c>
      <c r="I12433" s="2">
        <v>364</v>
      </c>
      <c r="J12433" s="2">
        <v>1479</v>
      </c>
      <c r="K12433" s="2">
        <v>7</v>
      </c>
      <c r="L12433" s="2">
        <v>378</v>
      </c>
    </row>
    <row r="12434" spans="1:12" x14ac:dyDescent="0.25">
      <c r="A12434" s="4" t="str">
        <f>HYPERLINK("http://www.rosaceae.org/Prunus/Prunus_persica/p.persica_gdr_reftransV1_0023371","p.persica_gdr_reftransV1_0023371")</f>
        <v>p.persica_gdr_reftransV1_0023371</v>
      </c>
      <c r="B12434" s="2">
        <v>1281</v>
      </c>
      <c r="C12434" s="4" t="str">
        <f>HYPERLINK("http://www.uniprot.org/uniprot/M5WJ39","M5WJ39")</f>
        <v>M5WJ39</v>
      </c>
      <c r="D12434" s="2" t="s">
        <v>10372</v>
      </c>
      <c r="E12434" s="3">
        <v>5.1700000000000002E-168</v>
      </c>
      <c r="F12434" s="2">
        <v>1250</v>
      </c>
      <c r="G12434" s="2">
        <v>100</v>
      </c>
      <c r="H12434" s="2">
        <v>304</v>
      </c>
      <c r="I12434" s="2">
        <v>61</v>
      </c>
      <c r="J12434" s="2">
        <v>972</v>
      </c>
      <c r="K12434" s="2">
        <v>1</v>
      </c>
      <c r="L12434" s="2">
        <v>304</v>
      </c>
    </row>
    <row r="12435" spans="1:12" x14ac:dyDescent="0.25">
      <c r="A12435" s="4" t="str">
        <f>HYPERLINK("http://www.rosaceae.org/Prunus/Prunus_persica/p.persica_gdr_reftransV1_0025121","p.persica_gdr_reftransV1_0025121")</f>
        <v>p.persica_gdr_reftransV1_0025121</v>
      </c>
      <c r="B12435" s="2">
        <v>4374</v>
      </c>
      <c r="C12435" s="4" t="str">
        <f>HYPERLINK("http://www.uniprot.org/uniprot/M5X4Q9","M5X4Q9")</f>
        <v>M5X4Q9</v>
      </c>
      <c r="D12435" s="2" t="s">
        <v>1075</v>
      </c>
      <c r="E12435" s="3">
        <v>0</v>
      </c>
      <c r="F12435" s="2">
        <v>2882</v>
      </c>
      <c r="G12435" s="2">
        <v>100</v>
      </c>
      <c r="H12435" s="2">
        <v>542</v>
      </c>
      <c r="I12435" s="2">
        <v>940</v>
      </c>
      <c r="J12435" s="2">
        <v>2565</v>
      </c>
      <c r="K12435" s="2">
        <v>304</v>
      </c>
      <c r="L12435" s="2">
        <v>845</v>
      </c>
    </row>
    <row r="12436" spans="1:12" x14ac:dyDescent="0.25">
      <c r="A12436" s="4" t="str">
        <f>HYPERLINK("http://www.rosaceae.org/Prunus/Prunus_persica/p.persica_gdr_reftransV1_0025471","p.persica_gdr_reftransV1_0025471")</f>
        <v>p.persica_gdr_reftransV1_0025471</v>
      </c>
      <c r="B12436" s="2">
        <v>1971</v>
      </c>
      <c r="C12436" s="4" t="str">
        <f>HYPERLINK("http://www.uniprot.org/uniprot/M5W9F4","M5W9F4")</f>
        <v>M5W9F4</v>
      </c>
      <c r="D12436" s="2" t="s">
        <v>10373</v>
      </c>
      <c r="E12436" s="3">
        <v>0</v>
      </c>
      <c r="F12436" s="2">
        <v>1884</v>
      </c>
      <c r="G12436" s="2">
        <v>100</v>
      </c>
      <c r="H12436" s="2">
        <v>351</v>
      </c>
      <c r="I12436" s="2">
        <v>1</v>
      </c>
      <c r="J12436" s="2">
        <v>1053</v>
      </c>
      <c r="K12436" s="2">
        <v>116</v>
      </c>
      <c r="L12436" s="2">
        <v>466</v>
      </c>
    </row>
    <row r="12437" spans="1:12" x14ac:dyDescent="0.25">
      <c r="A12437" s="4" t="str">
        <f>HYPERLINK("http://www.rosaceae.org/Prunus/Prunus_persica/p.persica_gdr_reftransV1_0026871","p.persica_gdr_reftransV1_0026871")</f>
        <v>p.persica_gdr_reftransV1_0026871</v>
      </c>
      <c r="B12437" s="2">
        <v>712</v>
      </c>
      <c r="C12437" s="4" t="str">
        <f>HYPERLINK("http://www.uniprot.org/uniprot/M5XLI8","M5XLI8")</f>
        <v>M5XLI8</v>
      </c>
      <c r="D12437" s="2" t="s">
        <v>9346</v>
      </c>
      <c r="E12437" s="3">
        <v>1.5100000000000001E-29</v>
      </c>
      <c r="F12437" s="2">
        <v>316</v>
      </c>
      <c r="G12437" s="2">
        <v>100</v>
      </c>
      <c r="H12437" s="2">
        <v>113</v>
      </c>
      <c r="I12437" s="2">
        <v>3</v>
      </c>
      <c r="J12437" s="2">
        <v>341</v>
      </c>
      <c r="K12437" s="2">
        <v>585</v>
      </c>
      <c r="L12437" s="2">
        <v>697</v>
      </c>
    </row>
    <row r="12438" spans="1:12" x14ac:dyDescent="0.25">
      <c r="A12438" s="4" t="str">
        <f>HYPERLINK("http://www.rosaceae.org/Prunus/Prunus_persica/p.persica_gdr_reftransV1_0031771","p.persica_gdr_reftransV1_0031771")</f>
        <v>p.persica_gdr_reftransV1_0031771</v>
      </c>
      <c r="B12438" s="2">
        <v>2751</v>
      </c>
      <c r="C12438" s="4" t="str">
        <f>HYPERLINK("http://www.uniprot.org/uniprot/V4T3E4","V4T3E4")</f>
        <v>V4T3E4</v>
      </c>
      <c r="D12438" s="2" t="s">
        <v>10374</v>
      </c>
      <c r="E12438" s="3">
        <v>0</v>
      </c>
      <c r="F12438" s="2">
        <v>3313</v>
      </c>
      <c r="G12438" s="2">
        <v>78</v>
      </c>
      <c r="H12438" s="2">
        <v>863</v>
      </c>
      <c r="I12438" s="2">
        <v>167</v>
      </c>
      <c r="J12438" s="2">
        <v>2749</v>
      </c>
      <c r="K12438" s="2">
        <v>222</v>
      </c>
      <c r="L12438" s="2">
        <v>1083</v>
      </c>
    </row>
    <row r="12439" spans="1:12" x14ac:dyDescent="0.25">
      <c r="A12439" s="4" t="str">
        <f>HYPERLINK("http://www.rosaceae.org/Prunus/Prunus_persica/p.persica_gdr_reftransV1_0032121","p.persica_gdr_reftransV1_0032121")</f>
        <v>p.persica_gdr_reftransV1_0032121</v>
      </c>
      <c r="B12439" s="2">
        <v>602</v>
      </c>
      <c r="C12439" s="4" t="str">
        <f>HYPERLINK("http://www.uniprot.org/uniprot/I1L6Y6","I1L6Y6")</f>
        <v>I1L6Y6</v>
      </c>
      <c r="D12439" s="2" t="s">
        <v>1584</v>
      </c>
      <c r="E12439" s="3">
        <v>7.7599999999999996E-60</v>
      </c>
      <c r="F12439" s="2">
        <v>495</v>
      </c>
      <c r="G12439" s="2">
        <v>98</v>
      </c>
      <c r="H12439" s="2">
        <v>95</v>
      </c>
      <c r="I12439" s="2">
        <v>69</v>
      </c>
      <c r="J12439" s="2">
        <v>353</v>
      </c>
      <c r="K12439" s="2">
        <v>45</v>
      </c>
      <c r="L12439" s="2">
        <v>139</v>
      </c>
    </row>
    <row r="12440" spans="1:12" x14ac:dyDescent="0.25">
      <c r="A12440" s="4" t="str">
        <f>HYPERLINK("http://www.rosaceae.org/Prunus/Prunus_persica/p.persica_gdr_reftransV1_0032471","p.persica_gdr_reftransV1_0032471")</f>
        <v>p.persica_gdr_reftransV1_0032471</v>
      </c>
      <c r="B12440" s="2">
        <v>1803</v>
      </c>
      <c r="C12440" s="4" t="str">
        <f>HYPERLINK("http://www.uniprot.org/uniprot/M5XD05","M5XD05")</f>
        <v>M5XD05</v>
      </c>
      <c r="D12440" s="2" t="s">
        <v>10375</v>
      </c>
      <c r="E12440" s="3">
        <v>0</v>
      </c>
      <c r="F12440" s="2">
        <v>2143</v>
      </c>
      <c r="G12440" s="2">
        <v>100</v>
      </c>
      <c r="H12440" s="2">
        <v>403</v>
      </c>
      <c r="I12440" s="2">
        <v>328</v>
      </c>
      <c r="J12440" s="2">
        <v>1536</v>
      </c>
      <c r="K12440" s="2">
        <v>1</v>
      </c>
      <c r="L12440" s="2">
        <v>403</v>
      </c>
    </row>
    <row r="12441" spans="1:12" x14ac:dyDescent="0.25">
      <c r="A12441" s="4" t="str">
        <f>HYPERLINK("http://www.rosaceae.org/Prunus/Prunus_persica/p.persica_gdr_reftransV1_0034921","p.persica_gdr_reftransV1_0034921")</f>
        <v>p.persica_gdr_reftransV1_0034921</v>
      </c>
      <c r="B12441" s="2">
        <v>2601</v>
      </c>
      <c r="C12441" s="4" t="str">
        <f>HYPERLINK("http://www.uniprot.org/uniprot/M5WYG2","M5WYG2")</f>
        <v>M5WYG2</v>
      </c>
      <c r="D12441" s="2" t="s">
        <v>10376</v>
      </c>
      <c r="E12441" s="3">
        <v>0</v>
      </c>
      <c r="F12441" s="2">
        <v>2423</v>
      </c>
      <c r="G12441" s="2">
        <v>95</v>
      </c>
      <c r="H12441" s="2">
        <v>511</v>
      </c>
      <c r="I12441" s="2">
        <v>368</v>
      </c>
      <c r="J12441" s="2">
        <v>1900</v>
      </c>
      <c r="K12441" s="2">
        <v>1</v>
      </c>
      <c r="L12441" s="2">
        <v>484</v>
      </c>
    </row>
    <row r="12442" spans="1:12" x14ac:dyDescent="0.25">
      <c r="A12442" s="4" t="str">
        <f>HYPERLINK("http://www.rosaceae.org/Prunus/Prunus_persica/p.persica_gdr_reftransV1_0036321","p.persica_gdr_reftransV1_0036321")</f>
        <v>p.persica_gdr_reftransV1_0036321</v>
      </c>
      <c r="B12442" s="2">
        <v>1779</v>
      </c>
      <c r="C12442" s="4" t="str">
        <f>HYPERLINK("http://www.uniprot.org/uniprot/M5WYQ8","M5WYQ8")</f>
        <v>M5WYQ8</v>
      </c>
      <c r="D12442" s="2" t="s">
        <v>10377</v>
      </c>
      <c r="E12442" s="3">
        <v>0</v>
      </c>
      <c r="F12442" s="2">
        <v>1663</v>
      </c>
      <c r="G12442" s="2">
        <v>100</v>
      </c>
      <c r="H12442" s="2">
        <v>349</v>
      </c>
      <c r="I12442" s="2">
        <v>516</v>
      </c>
      <c r="J12442" s="2">
        <v>1562</v>
      </c>
      <c r="K12442" s="2">
        <v>1</v>
      </c>
      <c r="L12442" s="2">
        <v>349</v>
      </c>
    </row>
    <row r="12443" spans="1:12" x14ac:dyDescent="0.25">
      <c r="A12443" s="4" t="str">
        <f>HYPERLINK("http://www.rosaceae.org/Prunus/Prunus_persica/p.persica_gdr_reftransV1_0037721","p.persica_gdr_reftransV1_0037721")</f>
        <v>p.persica_gdr_reftransV1_0037721</v>
      </c>
      <c r="B12443" s="2">
        <v>4674</v>
      </c>
      <c r="C12443" s="4" t="str">
        <f>HYPERLINK("http://www.uniprot.org/uniprot/M5W1K9","M5W1K9")</f>
        <v>M5W1K9</v>
      </c>
      <c r="D12443" s="2" t="s">
        <v>10378</v>
      </c>
      <c r="E12443" s="3">
        <v>0</v>
      </c>
      <c r="F12443" s="2">
        <v>3546</v>
      </c>
      <c r="G12443" s="2">
        <v>100</v>
      </c>
      <c r="H12443" s="2">
        <v>730</v>
      </c>
      <c r="I12443" s="2">
        <v>419</v>
      </c>
      <c r="J12443" s="2">
        <v>2608</v>
      </c>
      <c r="K12443" s="2">
        <v>1</v>
      </c>
      <c r="L12443" s="2">
        <v>730</v>
      </c>
    </row>
    <row r="12444" spans="1:12" x14ac:dyDescent="0.25">
      <c r="A12444" s="4" t="str">
        <f>HYPERLINK("http://www.rosaceae.org/Prunus/Prunus_persica/p.persica_gdr_reftransV1_0039821","p.persica_gdr_reftransV1_0039821")</f>
        <v>p.persica_gdr_reftransV1_0039821</v>
      </c>
      <c r="B12444" s="2">
        <v>2542</v>
      </c>
      <c r="C12444" s="4" t="str">
        <f>HYPERLINK("http://www.uniprot.org/uniprot/M5X7H6","M5X7H6")</f>
        <v>M5X7H6</v>
      </c>
      <c r="D12444" s="2" t="s">
        <v>10379</v>
      </c>
      <c r="E12444" s="3">
        <v>0</v>
      </c>
      <c r="F12444" s="2">
        <v>2268</v>
      </c>
      <c r="G12444" s="2">
        <v>93</v>
      </c>
      <c r="H12444" s="2">
        <v>502</v>
      </c>
      <c r="I12444" s="2">
        <v>614</v>
      </c>
      <c r="J12444" s="2">
        <v>2119</v>
      </c>
      <c r="K12444" s="2">
        <v>1</v>
      </c>
      <c r="L12444" s="2">
        <v>465</v>
      </c>
    </row>
    <row r="12445" spans="1:12" x14ac:dyDescent="0.25">
      <c r="A12445" s="4" t="str">
        <f>HYPERLINK("http://www.rosaceae.org/Prunus/Prunus_persica/p.persica_gdr_reftransV1_0040171","p.persica_gdr_reftransV1_0040171")</f>
        <v>p.persica_gdr_reftransV1_0040171</v>
      </c>
      <c r="B12445" s="2">
        <v>4359</v>
      </c>
      <c r="C12445" s="4" t="str">
        <f>HYPERLINK("http://www.uniprot.org/uniprot/M5X6D7","M5X6D7")</f>
        <v>M5X6D7</v>
      </c>
      <c r="D12445" s="2" t="s">
        <v>10380</v>
      </c>
      <c r="E12445" s="3">
        <v>0</v>
      </c>
      <c r="F12445" s="2">
        <v>5617</v>
      </c>
      <c r="G12445" s="2">
        <v>100</v>
      </c>
      <c r="H12445" s="2">
        <v>1155</v>
      </c>
      <c r="I12445" s="2">
        <v>700</v>
      </c>
      <c r="J12445" s="2">
        <v>4164</v>
      </c>
      <c r="K12445" s="2">
        <v>1</v>
      </c>
      <c r="L12445" s="2">
        <v>1155</v>
      </c>
    </row>
    <row r="12446" spans="1:12" x14ac:dyDescent="0.25">
      <c r="A12446" s="4" t="str">
        <f>HYPERLINK("http://www.rosaceae.org/Prunus/Prunus_persica/p.persica_gdr_reftransV1_0040871","p.persica_gdr_reftransV1_0040871")</f>
        <v>p.persica_gdr_reftransV1_0040871</v>
      </c>
      <c r="B12446" s="2">
        <v>517</v>
      </c>
      <c r="C12446" s="4" t="str">
        <f>HYPERLINK("http://www.uniprot.org/uniprot/M5WSB8","M5WSB8")</f>
        <v>M5WSB8</v>
      </c>
      <c r="D12446" s="2" t="s">
        <v>10381</v>
      </c>
      <c r="E12446" s="3">
        <v>9.2799999999999996E-39</v>
      </c>
      <c r="F12446" s="2">
        <v>369</v>
      </c>
      <c r="G12446" s="2">
        <v>100</v>
      </c>
      <c r="H12446" s="2">
        <v>69</v>
      </c>
      <c r="I12446" s="2">
        <v>195</v>
      </c>
      <c r="J12446" s="2">
        <v>401</v>
      </c>
      <c r="K12446" s="2">
        <v>320</v>
      </c>
      <c r="L12446" s="2">
        <v>388</v>
      </c>
    </row>
    <row r="12447" spans="1:12" x14ac:dyDescent="0.25">
      <c r="A12447" s="4" t="str">
        <f>HYPERLINK("http://www.rosaceae.org/Prunus/Prunus_persica/p.persica_gdr_reftransV1_0042271","p.persica_gdr_reftransV1_0042271")</f>
        <v>p.persica_gdr_reftransV1_0042271</v>
      </c>
      <c r="B12447" s="2">
        <v>1212</v>
      </c>
      <c r="C12447" s="4" t="str">
        <f>HYPERLINK("http://www.uniprot.org/uniprot/M5X1A9","M5X1A9")</f>
        <v>M5X1A9</v>
      </c>
      <c r="D12447" s="2" t="s">
        <v>10382</v>
      </c>
      <c r="E12447" s="3">
        <v>1.5699999999999999E-96</v>
      </c>
      <c r="F12447" s="2">
        <v>785</v>
      </c>
      <c r="G12447" s="2">
        <v>90</v>
      </c>
      <c r="H12447" s="2">
        <v>185</v>
      </c>
      <c r="I12447" s="2">
        <v>529</v>
      </c>
      <c r="J12447" s="2">
        <v>1065</v>
      </c>
      <c r="K12447" s="2">
        <v>1</v>
      </c>
      <c r="L12447" s="2">
        <v>185</v>
      </c>
    </row>
    <row r="12448" spans="1:12" x14ac:dyDescent="0.25">
      <c r="A12448" s="4" t="str">
        <f>HYPERLINK("http://www.rosaceae.org/Prunus/Prunus_persica/p.persica_gdr_reftransV1_0043321","p.persica_gdr_reftransV1_0043321")</f>
        <v>p.persica_gdr_reftransV1_0043321</v>
      </c>
      <c r="B12448" s="2">
        <v>1053</v>
      </c>
      <c r="C12448" s="4" t="str">
        <f>HYPERLINK("http://www.uniprot.org/uniprot/M5XMG7","M5XMG7")</f>
        <v>M5XMG7</v>
      </c>
      <c r="D12448" s="2" t="s">
        <v>10383</v>
      </c>
      <c r="E12448" s="3">
        <v>9.5100000000000006E-129</v>
      </c>
      <c r="F12448" s="2">
        <v>972</v>
      </c>
      <c r="G12448" s="2">
        <v>100</v>
      </c>
      <c r="H12448" s="2">
        <v>187</v>
      </c>
      <c r="I12448" s="2">
        <v>99</v>
      </c>
      <c r="J12448" s="2">
        <v>659</v>
      </c>
      <c r="K12448" s="2">
        <v>1</v>
      </c>
      <c r="L12448" s="2">
        <v>187</v>
      </c>
    </row>
    <row r="12449" spans="1:12" x14ac:dyDescent="0.25">
      <c r="A12449" s="4" t="str">
        <f>HYPERLINK("http://www.rosaceae.org/Prunus/Prunus_persica/p.persica_gdr_reftransV1_0043671","p.persica_gdr_reftransV1_0043671")</f>
        <v>p.persica_gdr_reftransV1_0043671</v>
      </c>
      <c r="B12449" s="2">
        <v>1330</v>
      </c>
      <c r="C12449" s="4" t="str">
        <f>HYPERLINK("http://www.uniprot.org/uniprot/M5XHE4","M5XHE4")</f>
        <v>M5XHE4</v>
      </c>
      <c r="D12449" s="2" t="s">
        <v>10384</v>
      </c>
      <c r="E12449" s="3">
        <v>2.2799999999999999E-100</v>
      </c>
      <c r="F12449" s="2">
        <v>792</v>
      </c>
      <c r="G12449" s="2">
        <v>100</v>
      </c>
      <c r="H12449" s="2">
        <v>191</v>
      </c>
      <c r="I12449" s="2">
        <v>45</v>
      </c>
      <c r="J12449" s="2">
        <v>617</v>
      </c>
      <c r="K12449" s="2">
        <v>1</v>
      </c>
      <c r="L12449" s="2">
        <v>191</v>
      </c>
    </row>
    <row r="12450" spans="1:12" x14ac:dyDescent="0.25">
      <c r="A12450" s="4" t="str">
        <f>HYPERLINK("http://www.rosaceae.org/Prunus/Prunus_persica/p.persica_gdr_reftransV1_0044021","p.persica_gdr_reftransV1_0044021")</f>
        <v>p.persica_gdr_reftransV1_0044021</v>
      </c>
      <c r="B12450" s="2">
        <v>2894</v>
      </c>
      <c r="C12450" s="4" t="str">
        <f>HYPERLINK("http://www.uniprot.org/uniprot/M5WRV2","M5WRV2")</f>
        <v>M5WRV2</v>
      </c>
      <c r="D12450" s="2" t="s">
        <v>10385</v>
      </c>
      <c r="E12450" s="3">
        <v>0</v>
      </c>
      <c r="F12450" s="2">
        <v>3869</v>
      </c>
      <c r="G12450" s="2">
        <v>100</v>
      </c>
      <c r="H12450" s="2">
        <v>772</v>
      </c>
      <c r="I12450" s="2">
        <v>142</v>
      </c>
      <c r="J12450" s="2">
        <v>2457</v>
      </c>
      <c r="K12450" s="2">
        <v>1</v>
      </c>
      <c r="L12450" s="2">
        <v>772</v>
      </c>
    </row>
    <row r="12451" spans="1:12" x14ac:dyDescent="0.25">
      <c r="A12451" s="4" t="str">
        <f>HYPERLINK("http://www.rosaceae.org/Prunus/Prunus_persica/p.persica_gdr_reftransV1_0044371","p.persica_gdr_reftransV1_0044371")</f>
        <v>p.persica_gdr_reftransV1_0044371</v>
      </c>
      <c r="B12451" s="2">
        <v>650</v>
      </c>
      <c r="C12451" s="4" t="str">
        <f>HYPERLINK("http://www.uniprot.org/uniprot/M5X3S0","M5X3S0")</f>
        <v>M5X3S0</v>
      </c>
      <c r="D12451" s="2" t="s">
        <v>1520</v>
      </c>
      <c r="E12451" s="3">
        <v>2.2999999999999999E-20</v>
      </c>
      <c r="F12451" s="2">
        <v>236</v>
      </c>
      <c r="G12451" s="2">
        <v>90</v>
      </c>
      <c r="H12451" s="2">
        <v>59</v>
      </c>
      <c r="I12451" s="2">
        <v>406</v>
      </c>
      <c r="J12451" s="2">
        <v>582</v>
      </c>
      <c r="K12451" s="2">
        <v>13</v>
      </c>
      <c r="L12451" s="2">
        <v>71</v>
      </c>
    </row>
    <row r="12452" spans="1:12" x14ac:dyDescent="0.25">
      <c r="A12452" s="4" t="str">
        <f>HYPERLINK("http://www.rosaceae.org/Prunus/Prunus_persica/p.persica_gdr_reftransV1_0044721","p.persica_gdr_reftransV1_0044721")</f>
        <v>p.persica_gdr_reftransV1_0044721</v>
      </c>
      <c r="B12452" s="2">
        <v>1194</v>
      </c>
      <c r="C12452" s="4" t="str">
        <f>HYPERLINK("http://www.uniprot.org/uniprot/M5WHJ8","M5WHJ8")</f>
        <v>M5WHJ8</v>
      </c>
      <c r="D12452" s="2" t="s">
        <v>10386</v>
      </c>
      <c r="E12452" s="3">
        <v>3.5199999999999999E-108</v>
      </c>
      <c r="F12452" s="2">
        <v>844</v>
      </c>
      <c r="G12452" s="2">
        <v>100</v>
      </c>
      <c r="H12452" s="2">
        <v>227</v>
      </c>
      <c r="I12452" s="2">
        <v>391</v>
      </c>
      <c r="J12452" s="2">
        <v>1071</v>
      </c>
      <c r="K12452" s="2">
        <v>1</v>
      </c>
      <c r="L12452" s="2">
        <v>227</v>
      </c>
    </row>
    <row r="12453" spans="1:12" x14ac:dyDescent="0.25">
      <c r="A12453" s="4" t="str">
        <f>HYPERLINK("http://www.rosaceae.org/Prunus/Prunus_persica/p.persica_gdr_reftransV1_0045071","p.persica_gdr_reftransV1_0045071")</f>
        <v>p.persica_gdr_reftransV1_0045071</v>
      </c>
      <c r="B12453" s="2">
        <v>2497</v>
      </c>
      <c r="C12453" s="4" t="str">
        <f>HYPERLINK("http://www.uniprot.org/uniprot/A0A075F4R2","A0A075F4R2")</f>
        <v>A0A075F4R2</v>
      </c>
      <c r="D12453" s="2" t="s">
        <v>10387</v>
      </c>
      <c r="E12453" s="3">
        <v>0</v>
      </c>
      <c r="F12453" s="2">
        <v>3184</v>
      </c>
      <c r="G12453" s="2">
        <v>100</v>
      </c>
      <c r="H12453" s="2">
        <v>704</v>
      </c>
      <c r="I12453" s="2">
        <v>236</v>
      </c>
      <c r="J12453" s="2">
        <v>2347</v>
      </c>
      <c r="K12453" s="2">
        <v>1</v>
      </c>
      <c r="L12453" s="2">
        <v>704</v>
      </c>
    </row>
    <row r="12454" spans="1:12" x14ac:dyDescent="0.25">
      <c r="A12454" s="4" t="str">
        <f>HYPERLINK("http://www.rosaceae.org/Prunus/Prunus_persica/p.persica_gdr_reftransV1_0045771","p.persica_gdr_reftransV1_0045771")</f>
        <v>p.persica_gdr_reftransV1_0045771</v>
      </c>
      <c r="B12454" s="2">
        <v>1191</v>
      </c>
      <c r="C12454" s="4" t="str">
        <f>HYPERLINK("http://www.uniprot.org/uniprot/M5WIS1","M5WIS1")</f>
        <v>M5WIS1</v>
      </c>
      <c r="D12454" s="2" t="s">
        <v>10388</v>
      </c>
      <c r="E12454" s="3">
        <v>1.7599999999999999E-96</v>
      </c>
      <c r="F12454" s="2">
        <v>776</v>
      </c>
      <c r="G12454" s="2">
        <v>99</v>
      </c>
      <c r="H12454" s="2">
        <v>146</v>
      </c>
      <c r="I12454" s="2">
        <v>620</v>
      </c>
      <c r="J12454" s="2">
        <v>1057</v>
      </c>
      <c r="K12454" s="2">
        <v>1</v>
      </c>
      <c r="L12454" s="2">
        <v>146</v>
      </c>
    </row>
    <row r="12455" spans="1:12" x14ac:dyDescent="0.25">
      <c r="A12455" s="4" t="str">
        <f>HYPERLINK("http://www.rosaceae.org/Prunus/Prunus_persica/p.persica_gdr_reftransV1_0046121","p.persica_gdr_reftransV1_0046121")</f>
        <v>p.persica_gdr_reftransV1_0046121</v>
      </c>
      <c r="B12455" s="2">
        <v>1898</v>
      </c>
      <c r="C12455" s="4" t="str">
        <f>HYPERLINK("http://www.uniprot.org/uniprot/M5WBY1","M5WBY1")</f>
        <v>M5WBY1</v>
      </c>
      <c r="D12455" s="2" t="s">
        <v>10389</v>
      </c>
      <c r="E12455" s="3">
        <v>0</v>
      </c>
      <c r="F12455" s="2">
        <v>2645</v>
      </c>
      <c r="G12455" s="2">
        <v>100</v>
      </c>
      <c r="H12455" s="2">
        <v>519</v>
      </c>
      <c r="I12455" s="2">
        <v>195</v>
      </c>
      <c r="J12455" s="2">
        <v>1751</v>
      </c>
      <c r="K12455" s="2">
        <v>1</v>
      </c>
      <c r="L12455" s="2">
        <v>519</v>
      </c>
    </row>
    <row r="12456" spans="1:12" x14ac:dyDescent="0.25">
      <c r="A12456" s="4" t="str">
        <f>HYPERLINK("http://www.rosaceae.org/Prunus/Prunus_persica/p.persica_gdr_reftransV1_0046821","p.persica_gdr_reftransV1_0046821")</f>
        <v>p.persica_gdr_reftransV1_0046821</v>
      </c>
      <c r="B12456" s="2">
        <v>440</v>
      </c>
      <c r="C12456" s="4" t="str">
        <f>HYPERLINK("http://www.uniprot.org/uniprot/M5WCS0","M5WCS0")</f>
        <v>M5WCS0</v>
      </c>
      <c r="D12456" s="2" t="s">
        <v>10390</v>
      </c>
      <c r="E12456" s="3">
        <v>1.06E-96</v>
      </c>
      <c r="F12456" s="2">
        <v>768</v>
      </c>
      <c r="G12456" s="2">
        <v>100</v>
      </c>
      <c r="H12456" s="2">
        <v>146</v>
      </c>
      <c r="I12456" s="2">
        <v>2</v>
      </c>
      <c r="J12456" s="2">
        <v>439</v>
      </c>
      <c r="K12456" s="2">
        <v>155</v>
      </c>
      <c r="L12456" s="2">
        <v>300</v>
      </c>
    </row>
    <row r="12457" spans="1:12" x14ac:dyDescent="0.25">
      <c r="A12457" s="4" t="str">
        <f>HYPERLINK("http://www.rosaceae.org/Prunus/Prunus_persica/p.persica_gdr_reftransV1_0047521","p.persica_gdr_reftransV1_0047521")</f>
        <v>p.persica_gdr_reftransV1_0047521</v>
      </c>
      <c r="B12457" s="2">
        <v>1755</v>
      </c>
      <c r="C12457" s="4" t="str">
        <f>HYPERLINK("http://www.uniprot.org/uniprot/M5XKC0","M5XKC0")</f>
        <v>M5XKC0</v>
      </c>
      <c r="D12457" s="2" t="s">
        <v>5833</v>
      </c>
      <c r="E12457" s="3">
        <v>1.5000000000000001E-174</v>
      </c>
      <c r="F12457" s="2">
        <v>1313</v>
      </c>
      <c r="G12457" s="2">
        <v>100</v>
      </c>
      <c r="H12457" s="2">
        <v>251</v>
      </c>
      <c r="I12457" s="2">
        <v>369</v>
      </c>
      <c r="J12457" s="2">
        <v>1121</v>
      </c>
      <c r="K12457" s="2">
        <v>1</v>
      </c>
      <c r="L12457" s="2">
        <v>251</v>
      </c>
    </row>
    <row r="12458" spans="1:12" x14ac:dyDescent="0.25">
      <c r="A12458" s="4" t="str">
        <f>HYPERLINK("http://www.rosaceae.org/Prunus/Prunus_persica/p.persica_gdr_reftransV1_0048221","p.persica_gdr_reftransV1_0048221")</f>
        <v>p.persica_gdr_reftransV1_0048221</v>
      </c>
      <c r="B12458" s="2">
        <v>2725</v>
      </c>
      <c r="C12458" s="4" t="str">
        <f>HYPERLINK("http://www.uniprot.org/uniprot/M5X3N8","M5X3N8")</f>
        <v>M5X3N8</v>
      </c>
      <c r="D12458" s="2" t="s">
        <v>10391</v>
      </c>
      <c r="E12458" s="3">
        <v>0</v>
      </c>
      <c r="F12458" s="2">
        <v>3896</v>
      </c>
      <c r="G12458" s="2">
        <v>100</v>
      </c>
      <c r="H12458" s="2">
        <v>824</v>
      </c>
      <c r="I12458" s="2">
        <v>150</v>
      </c>
      <c r="J12458" s="2">
        <v>2621</v>
      </c>
      <c r="K12458" s="2">
        <v>1</v>
      </c>
      <c r="L12458" s="2">
        <v>824</v>
      </c>
    </row>
    <row r="12459" spans="1:12" x14ac:dyDescent="0.25">
      <c r="A12459" s="4" t="str">
        <f>HYPERLINK("http://www.rosaceae.org/Prunus/Prunus_persica/p.persica_gdr_reftransV1_0048571","p.persica_gdr_reftransV1_0048571")</f>
        <v>p.persica_gdr_reftransV1_0048571</v>
      </c>
      <c r="B12459" s="2">
        <v>1024</v>
      </c>
      <c r="C12459" s="4" t="str">
        <f>HYPERLINK("http://www.uniprot.org/uniprot/M5X201","M5X201")</f>
        <v>M5X201</v>
      </c>
      <c r="D12459" s="2" t="s">
        <v>3579</v>
      </c>
      <c r="E12459" s="3">
        <v>1.1299999999999999E-153</v>
      </c>
      <c r="F12459" s="2">
        <v>1139</v>
      </c>
      <c r="G12459" s="2">
        <v>100</v>
      </c>
      <c r="H12459" s="2">
        <v>235</v>
      </c>
      <c r="I12459" s="2">
        <v>79</v>
      </c>
      <c r="J12459" s="2">
        <v>783</v>
      </c>
      <c r="K12459" s="2">
        <v>1</v>
      </c>
      <c r="L12459" s="2">
        <v>235</v>
      </c>
    </row>
    <row r="12460" spans="1:12" x14ac:dyDescent="0.25">
      <c r="A12460" s="4" t="str">
        <f>HYPERLINK("http://www.rosaceae.org/Prunus/Prunus_persica/p.persica_gdr_reftransV1_0048921","p.persica_gdr_reftransV1_0048921")</f>
        <v>p.persica_gdr_reftransV1_0048921</v>
      </c>
      <c r="B12460" s="2">
        <v>702</v>
      </c>
      <c r="C12460" s="4" t="str">
        <f>HYPERLINK("http://www.uniprot.org/uniprot/M5WW20","M5WW20")</f>
        <v>M5WW20</v>
      </c>
      <c r="D12460" s="2" t="s">
        <v>10392</v>
      </c>
      <c r="E12460" s="3">
        <v>7.7499999999999998E-80</v>
      </c>
      <c r="F12460" s="2">
        <v>629</v>
      </c>
      <c r="G12460" s="2">
        <v>100</v>
      </c>
      <c r="H12460" s="2">
        <v>118</v>
      </c>
      <c r="I12460" s="2">
        <v>170</v>
      </c>
      <c r="J12460" s="2">
        <v>523</v>
      </c>
      <c r="K12460" s="2">
        <v>1</v>
      </c>
      <c r="L12460" s="2">
        <v>118</v>
      </c>
    </row>
    <row r="12461" spans="1:12" x14ac:dyDescent="0.25">
      <c r="A12461" s="4" t="str">
        <f>HYPERLINK("http://www.rosaceae.org/Prunus/Prunus_persica/p.persica_gdr_reftransV1_0000272","p.persica_gdr_reftransV1_0000272")</f>
        <v>p.persica_gdr_reftransV1_0000272</v>
      </c>
      <c r="B12461" s="2">
        <v>3722</v>
      </c>
      <c r="C12461" s="4" t="str">
        <f>HYPERLINK("http://www.uniprot.org/uniprot/M5WV02","M5WV02")</f>
        <v>M5WV02</v>
      </c>
      <c r="D12461" s="2" t="s">
        <v>4251</v>
      </c>
      <c r="E12461" s="3">
        <v>0</v>
      </c>
      <c r="F12461" s="2">
        <v>3080</v>
      </c>
      <c r="G12461" s="2">
        <v>100</v>
      </c>
      <c r="H12461" s="2">
        <v>581</v>
      </c>
      <c r="I12461" s="2">
        <v>1469</v>
      </c>
      <c r="J12461" s="2">
        <v>3211</v>
      </c>
      <c r="K12461" s="2">
        <v>1</v>
      </c>
      <c r="L12461" s="2">
        <v>581</v>
      </c>
    </row>
    <row r="12462" spans="1:12" x14ac:dyDescent="0.25">
      <c r="A12462" s="4" t="str">
        <f>HYPERLINK("http://www.rosaceae.org/Prunus/Prunus_persica/p.persica_gdr_reftransV1_0000622","p.persica_gdr_reftransV1_0000622")</f>
        <v>p.persica_gdr_reftransV1_0000622</v>
      </c>
      <c r="B12462" s="2">
        <v>774</v>
      </c>
      <c r="C12462" s="4" t="str">
        <f>HYPERLINK("http://www.uniprot.org/uniprot/M5WTJ3","M5WTJ3")</f>
        <v>M5WTJ3</v>
      </c>
      <c r="D12462" s="2" t="s">
        <v>4843</v>
      </c>
      <c r="E12462" s="3">
        <v>2.56E-173</v>
      </c>
      <c r="F12462" s="2">
        <v>1310</v>
      </c>
      <c r="G12462" s="2">
        <v>100</v>
      </c>
      <c r="H12462" s="2">
        <v>243</v>
      </c>
      <c r="I12462" s="2">
        <v>44</v>
      </c>
      <c r="J12462" s="2">
        <v>772</v>
      </c>
      <c r="K12462" s="2">
        <v>1</v>
      </c>
      <c r="L12462" s="2">
        <v>243</v>
      </c>
    </row>
    <row r="12463" spans="1:12" x14ac:dyDescent="0.25">
      <c r="A12463" s="4" t="str">
        <f>HYPERLINK("http://www.rosaceae.org/Prunus/Prunus_persica/p.persica_gdr_reftransV1_0000972","p.persica_gdr_reftransV1_0000972")</f>
        <v>p.persica_gdr_reftransV1_0000972</v>
      </c>
      <c r="B12463" s="2">
        <v>781</v>
      </c>
      <c r="C12463" s="4" t="str">
        <f>HYPERLINK("http://www.uniprot.org/uniprot/M5XEQ9","M5XEQ9")</f>
        <v>M5XEQ9</v>
      </c>
      <c r="D12463" s="2" t="s">
        <v>6855</v>
      </c>
      <c r="E12463" s="3">
        <v>9.7099999999999996E-85</v>
      </c>
      <c r="F12463" s="2">
        <v>665</v>
      </c>
      <c r="G12463" s="2">
        <v>100</v>
      </c>
      <c r="H12463" s="2">
        <v>127</v>
      </c>
      <c r="I12463" s="2">
        <v>237</v>
      </c>
      <c r="J12463" s="2">
        <v>617</v>
      </c>
      <c r="K12463" s="2">
        <v>1</v>
      </c>
      <c r="L12463" s="2">
        <v>127</v>
      </c>
    </row>
    <row r="12464" spans="1:12" x14ac:dyDescent="0.25">
      <c r="A12464" s="4" t="str">
        <f>HYPERLINK("http://www.rosaceae.org/Prunus/Prunus_persica/p.persica_gdr_reftransV1_0001322","p.persica_gdr_reftransV1_0001322")</f>
        <v>p.persica_gdr_reftransV1_0001322</v>
      </c>
      <c r="B12464" s="2">
        <v>3117</v>
      </c>
      <c r="C12464" s="4" t="str">
        <f>HYPERLINK("http://www.uniprot.org/uniprot/M5XDT1","M5XDT1")</f>
        <v>M5XDT1</v>
      </c>
      <c r="D12464" s="2" t="s">
        <v>4315</v>
      </c>
      <c r="E12464" s="3">
        <v>0</v>
      </c>
      <c r="F12464" s="2">
        <v>2872</v>
      </c>
      <c r="G12464" s="2">
        <v>100</v>
      </c>
      <c r="H12464" s="2">
        <v>551</v>
      </c>
      <c r="I12464" s="2">
        <v>1412</v>
      </c>
      <c r="J12464" s="2">
        <v>3064</v>
      </c>
      <c r="K12464" s="2">
        <v>1</v>
      </c>
      <c r="L12464" s="2">
        <v>551</v>
      </c>
    </row>
    <row r="12465" spans="1:12" x14ac:dyDescent="0.25">
      <c r="A12465" s="4" t="str">
        <f>HYPERLINK("http://www.rosaceae.org/Prunus/Prunus_persica/p.persica_gdr_reftransV1_0001672","p.persica_gdr_reftransV1_0001672")</f>
        <v>p.persica_gdr_reftransV1_0001672</v>
      </c>
      <c r="B12465" s="2">
        <v>737</v>
      </c>
      <c r="C12465" s="4" t="str">
        <f>HYPERLINK("http://www.uniprot.org/uniprot/M5Y6V8","M5Y6V8")</f>
        <v>M5Y6V8</v>
      </c>
      <c r="D12465" s="2" t="s">
        <v>10393</v>
      </c>
      <c r="E12465" s="3">
        <v>9.1099999999999999E-67</v>
      </c>
      <c r="F12465" s="2">
        <v>568</v>
      </c>
      <c r="G12465" s="2">
        <v>100</v>
      </c>
      <c r="H12465" s="2">
        <v>106</v>
      </c>
      <c r="I12465" s="2">
        <v>3</v>
      </c>
      <c r="J12465" s="2">
        <v>320</v>
      </c>
      <c r="K12465" s="2">
        <v>293</v>
      </c>
      <c r="L12465" s="2">
        <v>398</v>
      </c>
    </row>
    <row r="12466" spans="1:12" x14ac:dyDescent="0.25">
      <c r="A12466" s="4" t="str">
        <f>HYPERLINK("http://www.rosaceae.org/Prunus/Prunus_persica/p.persica_gdr_reftransV1_0002372","p.persica_gdr_reftransV1_0002372")</f>
        <v>p.persica_gdr_reftransV1_0002372</v>
      </c>
      <c r="B12466" s="2">
        <v>359</v>
      </c>
      <c r="C12466" s="4" t="str">
        <f>HYPERLINK("http://www.uniprot.org/uniprot/M5W5W2","M5W5W2")</f>
        <v>M5W5W2</v>
      </c>
      <c r="D12466" s="2" t="s">
        <v>10394</v>
      </c>
      <c r="E12466" s="3">
        <v>8.51E-78</v>
      </c>
      <c r="F12466" s="2">
        <v>641</v>
      </c>
      <c r="G12466" s="2">
        <v>100</v>
      </c>
      <c r="H12466" s="2">
        <v>119</v>
      </c>
      <c r="I12466" s="2">
        <v>2</v>
      </c>
      <c r="J12466" s="2">
        <v>358</v>
      </c>
      <c r="K12466" s="2">
        <v>442</v>
      </c>
      <c r="L12466" s="2">
        <v>560</v>
      </c>
    </row>
    <row r="12467" spans="1:12" x14ac:dyDescent="0.25">
      <c r="A12467" s="4" t="str">
        <f>HYPERLINK("http://www.rosaceae.org/Prunus/Prunus_persica/p.persica_gdr_reftransV1_0002722","p.persica_gdr_reftransV1_0002722")</f>
        <v>p.persica_gdr_reftransV1_0002722</v>
      </c>
      <c r="B12467" s="2">
        <v>1157</v>
      </c>
      <c r="C12467" s="4" t="str">
        <f>HYPERLINK("http://www.uniprot.org/uniprot/M5WMX0","M5WMX0")</f>
        <v>M5WMX0</v>
      </c>
      <c r="D12467" s="2" t="s">
        <v>10395</v>
      </c>
      <c r="E12467" s="3">
        <v>0</v>
      </c>
      <c r="F12467" s="2">
        <v>1742</v>
      </c>
      <c r="G12467" s="2">
        <v>99</v>
      </c>
      <c r="H12467" s="2">
        <v>366</v>
      </c>
      <c r="I12467" s="2">
        <v>47</v>
      </c>
      <c r="J12467" s="2">
        <v>1144</v>
      </c>
      <c r="K12467" s="2">
        <v>1</v>
      </c>
      <c r="L12467" s="2">
        <v>366</v>
      </c>
    </row>
    <row r="12468" spans="1:12" x14ac:dyDescent="0.25">
      <c r="A12468" s="4" t="str">
        <f>HYPERLINK("http://www.rosaceae.org/Prunus/Prunus_persica/p.persica_gdr_reftransV1_0003072","p.persica_gdr_reftransV1_0003072")</f>
        <v>p.persica_gdr_reftransV1_0003072</v>
      </c>
      <c r="B12468" s="2">
        <v>781</v>
      </c>
      <c r="C12468" s="4" t="str">
        <f>HYPERLINK("http://www.uniprot.org/uniprot/M5VJ62","M5VJ62")</f>
        <v>M5VJ62</v>
      </c>
      <c r="D12468" s="2" t="s">
        <v>9252</v>
      </c>
      <c r="E12468" s="3">
        <v>3.0299999999999999E-107</v>
      </c>
      <c r="F12468" s="2">
        <v>840</v>
      </c>
      <c r="G12468" s="2">
        <v>100</v>
      </c>
      <c r="H12468" s="2">
        <v>154</v>
      </c>
      <c r="I12468" s="2">
        <v>104</v>
      </c>
      <c r="J12468" s="2">
        <v>565</v>
      </c>
      <c r="K12468" s="2">
        <v>248</v>
      </c>
      <c r="L12468" s="2">
        <v>401</v>
      </c>
    </row>
    <row r="12469" spans="1:12" x14ac:dyDescent="0.25">
      <c r="A12469" s="4" t="str">
        <f>HYPERLINK("http://www.rosaceae.org/Prunus/Prunus_persica/p.persica_gdr_reftransV1_0003422","p.persica_gdr_reftransV1_0003422")</f>
        <v>p.persica_gdr_reftransV1_0003422</v>
      </c>
      <c r="B12469" s="2">
        <v>1178</v>
      </c>
      <c r="C12469" s="4" t="str">
        <f>HYPERLINK("http://www.uniprot.org/uniprot/M5XGW0","M5XGW0")</f>
        <v>M5XGW0</v>
      </c>
      <c r="D12469" s="2" t="s">
        <v>7200</v>
      </c>
      <c r="E12469" s="3">
        <v>7.9400000000000003E-128</v>
      </c>
      <c r="F12469" s="2">
        <v>970</v>
      </c>
      <c r="G12469" s="2">
        <v>93</v>
      </c>
      <c r="H12469" s="2">
        <v>205</v>
      </c>
      <c r="I12469" s="2">
        <v>285</v>
      </c>
      <c r="J12469" s="2">
        <v>899</v>
      </c>
      <c r="K12469" s="2">
        <v>1</v>
      </c>
      <c r="L12469" s="2">
        <v>191</v>
      </c>
    </row>
    <row r="12470" spans="1:12" x14ac:dyDescent="0.25">
      <c r="A12470" s="4" t="str">
        <f>HYPERLINK("http://www.rosaceae.org/Prunus/Prunus_persica/p.persica_gdr_reftransV1_0003772","p.persica_gdr_reftransV1_0003772")</f>
        <v>p.persica_gdr_reftransV1_0003772</v>
      </c>
      <c r="B12470" s="2">
        <v>625</v>
      </c>
      <c r="C12470" s="4" t="str">
        <f>HYPERLINK("http://www.uniprot.org/uniprot/M5Y0J5","M5Y0J5")</f>
        <v>M5Y0J5</v>
      </c>
      <c r="D12470" s="2" t="s">
        <v>5466</v>
      </c>
      <c r="E12470" s="3">
        <v>1.7000000000000001E-67</v>
      </c>
      <c r="F12470" s="2">
        <v>567</v>
      </c>
      <c r="G12470" s="2">
        <v>100</v>
      </c>
      <c r="H12470" s="2">
        <v>111</v>
      </c>
      <c r="I12470" s="2">
        <v>237</v>
      </c>
      <c r="J12470" s="2">
        <v>569</v>
      </c>
      <c r="K12470" s="2">
        <v>1</v>
      </c>
      <c r="L12470" s="2">
        <v>111</v>
      </c>
    </row>
    <row r="12471" spans="1:12" x14ac:dyDescent="0.25">
      <c r="A12471" s="4" t="str">
        <f>HYPERLINK("http://www.rosaceae.org/Prunus/Prunus_persica/p.persica_gdr_reftransV1_0004122","p.persica_gdr_reftransV1_0004122")</f>
        <v>p.persica_gdr_reftransV1_0004122</v>
      </c>
      <c r="B12471" s="2">
        <v>2375</v>
      </c>
      <c r="C12471" s="4" t="str">
        <f>HYPERLINK("http://www.uniprot.org/uniprot/M5WCP5","M5WCP5")</f>
        <v>M5WCP5</v>
      </c>
      <c r="D12471" s="2" t="s">
        <v>5680</v>
      </c>
      <c r="E12471" s="3">
        <v>0</v>
      </c>
      <c r="F12471" s="2">
        <v>3143</v>
      </c>
      <c r="G12471" s="2">
        <v>96</v>
      </c>
      <c r="H12471" s="2">
        <v>631</v>
      </c>
      <c r="I12471" s="2">
        <v>168</v>
      </c>
      <c r="J12471" s="2">
        <v>2060</v>
      </c>
      <c r="K12471" s="2">
        <v>26</v>
      </c>
      <c r="L12471" s="2">
        <v>656</v>
      </c>
    </row>
    <row r="12472" spans="1:12" x14ac:dyDescent="0.25">
      <c r="A12472" s="4" t="str">
        <f>HYPERLINK("http://www.rosaceae.org/Prunus/Prunus_persica/p.persica_gdr_reftransV1_0004472","p.persica_gdr_reftransV1_0004472")</f>
        <v>p.persica_gdr_reftransV1_0004472</v>
      </c>
      <c r="B12472" s="2">
        <v>1148</v>
      </c>
      <c r="C12472" s="4" t="str">
        <f>HYPERLINK("http://www.uniprot.org/uniprot/U5XKZ4","U5XKZ4")</f>
        <v>U5XKZ4</v>
      </c>
      <c r="D12472" s="2" t="s">
        <v>10396</v>
      </c>
      <c r="E12472" s="3">
        <v>2.4100000000000002E-170</v>
      </c>
      <c r="F12472" s="2">
        <v>1279</v>
      </c>
      <c r="G12472" s="2">
        <v>100</v>
      </c>
      <c r="H12472" s="2">
        <v>252</v>
      </c>
      <c r="I12472" s="2">
        <v>393</v>
      </c>
      <c r="J12472" s="2">
        <v>1148</v>
      </c>
      <c r="K12472" s="2">
        <v>183</v>
      </c>
      <c r="L12472" s="2">
        <v>434</v>
      </c>
    </row>
    <row r="12473" spans="1:12" x14ac:dyDescent="0.25">
      <c r="A12473" s="4" t="str">
        <f>HYPERLINK("http://www.rosaceae.org/Prunus/Prunus_persica/p.persica_gdr_reftransV1_0004822","p.persica_gdr_reftransV1_0004822")</f>
        <v>p.persica_gdr_reftransV1_0004822</v>
      </c>
      <c r="B12473" s="2">
        <v>696</v>
      </c>
      <c r="C12473" s="4" t="str">
        <f>HYPERLINK("http://www.uniprot.org/uniprot/A0A061F6G5","A0A061F6G5")</f>
        <v>A0A061F6G5</v>
      </c>
      <c r="D12473" s="2" t="s">
        <v>10397</v>
      </c>
      <c r="E12473" s="3">
        <v>2.02E-99</v>
      </c>
      <c r="F12473" s="2">
        <v>793</v>
      </c>
      <c r="G12473" s="2">
        <v>76</v>
      </c>
      <c r="H12473" s="2">
        <v>219</v>
      </c>
      <c r="I12473" s="2">
        <v>1</v>
      </c>
      <c r="J12473" s="2">
        <v>654</v>
      </c>
      <c r="K12473" s="2">
        <v>63</v>
      </c>
      <c r="L12473" s="2">
        <v>281</v>
      </c>
    </row>
    <row r="12474" spans="1:12" x14ac:dyDescent="0.25">
      <c r="A12474" s="4" t="str">
        <f>HYPERLINK("http://www.rosaceae.org/Prunus/Prunus_persica/p.persica_gdr_reftransV1_0005522","p.persica_gdr_reftransV1_0005522")</f>
        <v>p.persica_gdr_reftransV1_0005522</v>
      </c>
      <c r="B12474" s="2">
        <v>2186</v>
      </c>
      <c r="C12474" s="4" t="str">
        <f>HYPERLINK("http://www.uniprot.org/uniprot/M5XB59","M5XB59")</f>
        <v>M5XB59</v>
      </c>
      <c r="D12474" s="2" t="s">
        <v>2455</v>
      </c>
      <c r="E12474" s="3">
        <v>0</v>
      </c>
      <c r="F12474" s="2">
        <v>3371</v>
      </c>
      <c r="G12474" s="2">
        <v>100</v>
      </c>
      <c r="H12474" s="2">
        <v>629</v>
      </c>
      <c r="I12474" s="2">
        <v>65</v>
      </c>
      <c r="J12474" s="2">
        <v>1951</v>
      </c>
      <c r="K12474" s="2">
        <v>1</v>
      </c>
      <c r="L12474" s="2">
        <v>629</v>
      </c>
    </row>
    <row r="12475" spans="1:12" x14ac:dyDescent="0.25">
      <c r="A12475" s="4" t="str">
        <f>HYPERLINK("http://www.rosaceae.org/Prunus/Prunus_persica/p.persica_gdr_reftransV1_0006222","p.persica_gdr_reftransV1_0006222")</f>
        <v>p.persica_gdr_reftransV1_0006222</v>
      </c>
      <c r="B12475" s="2">
        <v>423</v>
      </c>
      <c r="C12475" s="4" t="str">
        <f>HYPERLINK("http://www.uniprot.org/uniprot/M5WF32","M5WF32")</f>
        <v>M5WF32</v>
      </c>
      <c r="D12475" s="2" t="s">
        <v>1758</v>
      </c>
      <c r="E12475" s="3">
        <v>2.95E-92</v>
      </c>
      <c r="F12475" s="2">
        <v>759</v>
      </c>
      <c r="G12475" s="2">
        <v>100</v>
      </c>
      <c r="H12475" s="2">
        <v>140</v>
      </c>
      <c r="I12475" s="2">
        <v>2</v>
      </c>
      <c r="J12475" s="2">
        <v>421</v>
      </c>
      <c r="K12475" s="2">
        <v>283</v>
      </c>
      <c r="L12475" s="2">
        <v>422</v>
      </c>
    </row>
    <row r="12476" spans="1:12" x14ac:dyDescent="0.25">
      <c r="A12476" s="4" t="str">
        <f>HYPERLINK("http://www.rosaceae.org/Prunus/Prunus_persica/p.persica_gdr_reftransV1_0006572","p.persica_gdr_reftransV1_0006572")</f>
        <v>p.persica_gdr_reftransV1_0006572</v>
      </c>
      <c r="B12476" s="2">
        <v>942</v>
      </c>
      <c r="C12476" s="4" t="str">
        <f>HYPERLINK("http://www.uniprot.org/uniprot/M5Y3E6","M5Y3E6")</f>
        <v>M5Y3E6</v>
      </c>
      <c r="D12476" s="2" t="s">
        <v>10398</v>
      </c>
      <c r="E12476" s="3">
        <v>1.24E-86</v>
      </c>
      <c r="F12476" s="2">
        <v>687</v>
      </c>
      <c r="G12476" s="2">
        <v>88</v>
      </c>
      <c r="H12476" s="2">
        <v>162</v>
      </c>
      <c r="I12476" s="2">
        <v>208</v>
      </c>
      <c r="J12476" s="2">
        <v>660</v>
      </c>
      <c r="K12476" s="2">
        <v>5</v>
      </c>
      <c r="L12476" s="2">
        <v>166</v>
      </c>
    </row>
    <row r="12477" spans="1:12" x14ac:dyDescent="0.25">
      <c r="A12477" s="4" t="str">
        <f>HYPERLINK("http://www.rosaceae.org/Prunus/Prunus_persica/p.persica_gdr_reftransV1_0006922","p.persica_gdr_reftransV1_0006922")</f>
        <v>p.persica_gdr_reftransV1_0006922</v>
      </c>
      <c r="B12477" s="2">
        <v>2219</v>
      </c>
      <c r="C12477" s="4" t="str">
        <f>HYPERLINK("http://www.uniprot.org/uniprot/M5WBZ1","M5WBZ1")</f>
        <v>M5WBZ1</v>
      </c>
      <c r="D12477" s="2" t="s">
        <v>10399</v>
      </c>
      <c r="E12477" s="3">
        <v>0</v>
      </c>
      <c r="F12477" s="2">
        <v>3077</v>
      </c>
      <c r="G12477" s="2">
        <v>100</v>
      </c>
      <c r="H12477" s="2">
        <v>628</v>
      </c>
      <c r="I12477" s="2">
        <v>334</v>
      </c>
      <c r="J12477" s="2">
        <v>2217</v>
      </c>
      <c r="K12477" s="2">
        <v>2</v>
      </c>
      <c r="L12477" s="2">
        <v>629</v>
      </c>
    </row>
    <row r="12478" spans="1:12" x14ac:dyDescent="0.25">
      <c r="A12478" s="4" t="str">
        <f>HYPERLINK("http://www.rosaceae.org/Prunus/Prunus_persica/p.persica_gdr_reftransV1_0007622","p.persica_gdr_reftransV1_0007622")</f>
        <v>p.persica_gdr_reftransV1_0007622</v>
      </c>
      <c r="B12478" s="2">
        <v>1821</v>
      </c>
      <c r="C12478" s="4" t="str">
        <f>HYPERLINK("http://www.uniprot.org/uniprot/M5XFC6","M5XFC6")</f>
        <v>M5XFC6</v>
      </c>
      <c r="D12478" s="2" t="s">
        <v>10400</v>
      </c>
      <c r="E12478" s="3">
        <v>0</v>
      </c>
      <c r="F12478" s="2">
        <v>2314</v>
      </c>
      <c r="G12478" s="2">
        <v>99</v>
      </c>
      <c r="H12478" s="2">
        <v>518</v>
      </c>
      <c r="I12478" s="2">
        <v>162</v>
      </c>
      <c r="J12478" s="2">
        <v>1715</v>
      </c>
      <c r="K12478" s="2">
        <v>1</v>
      </c>
      <c r="L12478" s="2">
        <v>518</v>
      </c>
    </row>
    <row r="12479" spans="1:12" x14ac:dyDescent="0.25">
      <c r="A12479" s="4" t="str">
        <f>HYPERLINK("http://www.rosaceae.org/Prunus/Prunus_persica/p.persica_gdr_reftransV1_0008322","p.persica_gdr_reftransV1_0008322")</f>
        <v>p.persica_gdr_reftransV1_0008322</v>
      </c>
      <c r="B12479" s="2">
        <v>1442</v>
      </c>
      <c r="C12479" s="4" t="str">
        <f>HYPERLINK("http://www.uniprot.org/uniprot/M5X8F9","M5X8F9")</f>
        <v>M5X8F9</v>
      </c>
      <c r="D12479" s="2" t="s">
        <v>10401</v>
      </c>
      <c r="E12479" s="3">
        <v>2.8699999999999999E-13</v>
      </c>
      <c r="F12479" s="2">
        <v>186</v>
      </c>
      <c r="G12479" s="2">
        <v>100</v>
      </c>
      <c r="H12479" s="2">
        <v>36</v>
      </c>
      <c r="I12479" s="2">
        <v>1332</v>
      </c>
      <c r="J12479" s="2">
        <v>1439</v>
      </c>
      <c r="K12479" s="2">
        <v>1</v>
      </c>
      <c r="L12479" s="2">
        <v>36</v>
      </c>
    </row>
    <row r="12480" spans="1:12" x14ac:dyDescent="0.25">
      <c r="A12480" s="4" t="str">
        <f>HYPERLINK("http://www.rosaceae.org/Prunus/Prunus_persica/p.persica_gdr_reftransV1_0008672","p.persica_gdr_reftransV1_0008672")</f>
        <v>p.persica_gdr_reftransV1_0008672</v>
      </c>
      <c r="B12480" s="2">
        <v>1214</v>
      </c>
      <c r="C12480" s="4" t="str">
        <f>HYPERLINK("http://www.uniprot.org/uniprot/M5WBB7","M5WBB7")</f>
        <v>M5WBB7</v>
      </c>
      <c r="D12480" s="2" t="s">
        <v>1524</v>
      </c>
      <c r="E12480" s="3">
        <v>4.9500000000000002E-98</v>
      </c>
      <c r="F12480" s="2">
        <v>784</v>
      </c>
      <c r="G12480" s="2">
        <v>100</v>
      </c>
      <c r="H12480" s="2">
        <v>150</v>
      </c>
      <c r="I12480" s="2">
        <v>281</v>
      </c>
      <c r="J12480" s="2">
        <v>730</v>
      </c>
      <c r="K12480" s="2">
        <v>150</v>
      </c>
      <c r="L12480" s="2">
        <v>299</v>
      </c>
    </row>
    <row r="12481" spans="1:12" x14ac:dyDescent="0.25">
      <c r="A12481" s="4" t="str">
        <f>HYPERLINK("http://www.rosaceae.org/Prunus/Prunus_persica/p.persica_gdr_reftransV1_0009022","p.persica_gdr_reftransV1_0009022")</f>
        <v>p.persica_gdr_reftransV1_0009022</v>
      </c>
      <c r="B12481" s="2">
        <v>1425</v>
      </c>
      <c r="C12481" s="4" t="str">
        <f>HYPERLINK("http://www.uniprot.org/uniprot/M5X7G0","M5X7G0")</f>
        <v>M5X7G0</v>
      </c>
      <c r="D12481" s="2" t="s">
        <v>9647</v>
      </c>
      <c r="E12481" s="3">
        <v>0</v>
      </c>
      <c r="F12481" s="2">
        <v>2017</v>
      </c>
      <c r="G12481" s="2">
        <v>100</v>
      </c>
      <c r="H12481" s="2">
        <v>394</v>
      </c>
      <c r="I12481" s="2">
        <v>242</v>
      </c>
      <c r="J12481" s="2">
        <v>1423</v>
      </c>
      <c r="K12481" s="2">
        <v>358</v>
      </c>
      <c r="L12481" s="2">
        <v>751</v>
      </c>
    </row>
    <row r="12482" spans="1:12" x14ac:dyDescent="0.25">
      <c r="A12482" s="4" t="str">
        <f>HYPERLINK("http://www.rosaceae.org/Prunus/Prunus_persica/p.persica_gdr_reftransV1_0009722","p.persica_gdr_reftransV1_0009722")</f>
        <v>p.persica_gdr_reftransV1_0009722</v>
      </c>
      <c r="B12482" s="2">
        <v>3440</v>
      </c>
      <c r="C12482" s="4" t="str">
        <f>HYPERLINK("http://www.uniprot.org/uniprot/M5XRE2","M5XRE2")</f>
        <v>M5XRE2</v>
      </c>
      <c r="D12482" s="2" t="s">
        <v>1005</v>
      </c>
      <c r="E12482" s="3">
        <v>0</v>
      </c>
      <c r="F12482" s="2">
        <v>2513</v>
      </c>
      <c r="G12482" s="2">
        <v>100</v>
      </c>
      <c r="H12482" s="2">
        <v>556</v>
      </c>
      <c r="I12482" s="2">
        <v>1420</v>
      </c>
      <c r="J12482" s="2">
        <v>3087</v>
      </c>
      <c r="K12482" s="2">
        <v>1</v>
      </c>
      <c r="L12482" s="2">
        <v>556</v>
      </c>
    </row>
    <row r="12483" spans="1:12" x14ac:dyDescent="0.25">
      <c r="A12483" s="4" t="str">
        <f>HYPERLINK("http://www.rosaceae.org/Prunus/Prunus_persica/p.persica_gdr_reftransV1_0010072","p.persica_gdr_reftransV1_0010072")</f>
        <v>p.persica_gdr_reftransV1_0010072</v>
      </c>
      <c r="B12483" s="2">
        <v>2330</v>
      </c>
      <c r="C12483" s="4" t="str">
        <f>HYPERLINK("http://www.uniprot.org/uniprot/M5VVS9","M5VVS9")</f>
        <v>M5VVS9</v>
      </c>
      <c r="D12483" s="2" t="s">
        <v>1024</v>
      </c>
      <c r="E12483" s="3">
        <v>0</v>
      </c>
      <c r="F12483" s="2">
        <v>2001</v>
      </c>
      <c r="G12483" s="2">
        <v>100</v>
      </c>
      <c r="H12483" s="2">
        <v>396</v>
      </c>
      <c r="I12483" s="2">
        <v>1141</v>
      </c>
      <c r="J12483" s="2">
        <v>2328</v>
      </c>
      <c r="K12483" s="2">
        <v>248</v>
      </c>
      <c r="L12483" s="2">
        <v>643</v>
      </c>
    </row>
    <row r="12484" spans="1:12" x14ac:dyDescent="0.25">
      <c r="A12484" s="4" t="str">
        <f>HYPERLINK("http://www.rosaceae.org/Prunus/Prunus_persica/p.persica_gdr_reftransV1_0010422","p.persica_gdr_reftransV1_0010422")</f>
        <v>p.persica_gdr_reftransV1_0010422</v>
      </c>
      <c r="B12484" s="2">
        <v>1228</v>
      </c>
      <c r="C12484" s="4" t="str">
        <f>HYPERLINK("http://www.uniprot.org/uniprot/M5WRD2","M5WRD2")</f>
        <v>M5WRD2</v>
      </c>
      <c r="D12484" s="2" t="s">
        <v>10402</v>
      </c>
      <c r="E12484" s="3">
        <v>3.3899999999999998E-63</v>
      </c>
      <c r="F12484" s="2">
        <v>534</v>
      </c>
      <c r="G12484" s="2">
        <v>100</v>
      </c>
      <c r="H12484" s="2">
        <v>117</v>
      </c>
      <c r="I12484" s="2">
        <v>153</v>
      </c>
      <c r="J12484" s="2">
        <v>503</v>
      </c>
      <c r="K12484" s="2">
        <v>1</v>
      </c>
      <c r="L12484" s="2">
        <v>117</v>
      </c>
    </row>
    <row r="12485" spans="1:12" x14ac:dyDescent="0.25">
      <c r="A12485" s="4" t="str">
        <f>HYPERLINK("http://www.rosaceae.org/Prunus/Prunus_persica/p.persica_gdr_reftransV1_0011472","p.persica_gdr_reftransV1_0011472")</f>
        <v>p.persica_gdr_reftransV1_0011472</v>
      </c>
      <c r="B12485" s="2">
        <v>1059</v>
      </c>
      <c r="C12485" s="4" t="str">
        <f>HYPERLINK("http://www.uniprot.org/uniprot/M5X3G6","M5X3G6")</f>
        <v>M5X3G6</v>
      </c>
      <c r="D12485" s="2" t="s">
        <v>8433</v>
      </c>
      <c r="E12485" s="3">
        <v>0</v>
      </c>
      <c r="F12485" s="2">
        <v>1801</v>
      </c>
      <c r="G12485" s="2">
        <v>99</v>
      </c>
      <c r="H12485" s="2">
        <v>337</v>
      </c>
      <c r="I12485" s="2">
        <v>48</v>
      </c>
      <c r="J12485" s="2">
        <v>1058</v>
      </c>
      <c r="K12485" s="2">
        <v>469</v>
      </c>
      <c r="L12485" s="2">
        <v>805</v>
      </c>
    </row>
    <row r="12486" spans="1:12" x14ac:dyDescent="0.25">
      <c r="A12486" s="4" t="str">
        <f>HYPERLINK("http://www.rosaceae.org/Prunus/Prunus_persica/p.persica_gdr_reftransV1_0011822","p.persica_gdr_reftransV1_0011822")</f>
        <v>p.persica_gdr_reftransV1_0011822</v>
      </c>
      <c r="B12486" s="2">
        <v>1841</v>
      </c>
      <c r="C12486" s="4" t="str">
        <f>HYPERLINK("http://www.uniprot.org/uniprot/M5VQS1","M5VQS1")</f>
        <v>M5VQS1</v>
      </c>
      <c r="D12486" s="2" t="s">
        <v>10403</v>
      </c>
      <c r="E12486" s="3">
        <v>0</v>
      </c>
      <c r="F12486" s="2">
        <v>1855</v>
      </c>
      <c r="G12486" s="2">
        <v>99</v>
      </c>
      <c r="H12486" s="2">
        <v>423</v>
      </c>
      <c r="I12486" s="2">
        <v>124</v>
      </c>
      <c r="J12486" s="2">
        <v>1392</v>
      </c>
      <c r="K12486" s="2">
        <v>1</v>
      </c>
      <c r="L12486" s="2">
        <v>420</v>
      </c>
    </row>
    <row r="12487" spans="1:12" x14ac:dyDescent="0.25">
      <c r="A12487" s="4" t="str">
        <f>HYPERLINK("http://www.rosaceae.org/Prunus/Prunus_persica/p.persica_gdr_reftransV1_0012522","p.persica_gdr_reftransV1_0012522")</f>
        <v>p.persica_gdr_reftransV1_0012522</v>
      </c>
      <c r="B12487" s="2">
        <v>1652</v>
      </c>
      <c r="C12487" s="4" t="str">
        <f>HYPERLINK("http://www.uniprot.org/uniprot/M5XDE1","M5XDE1")</f>
        <v>M5XDE1</v>
      </c>
      <c r="D12487" s="2" t="s">
        <v>10404</v>
      </c>
      <c r="E12487" s="3">
        <v>0</v>
      </c>
      <c r="F12487" s="2">
        <v>2204</v>
      </c>
      <c r="G12487" s="2">
        <v>91</v>
      </c>
      <c r="H12487" s="2">
        <v>469</v>
      </c>
      <c r="I12487" s="2">
        <v>2</v>
      </c>
      <c r="J12487" s="2">
        <v>1408</v>
      </c>
      <c r="K12487" s="2">
        <v>8</v>
      </c>
      <c r="L12487" s="2">
        <v>439</v>
      </c>
    </row>
    <row r="12488" spans="1:12" x14ac:dyDescent="0.25">
      <c r="A12488" s="4" t="str">
        <f>HYPERLINK("http://www.rosaceae.org/Prunus/Prunus_persica/p.persica_gdr_reftransV1_0013572","p.persica_gdr_reftransV1_0013572")</f>
        <v>p.persica_gdr_reftransV1_0013572</v>
      </c>
      <c r="B12488" s="2">
        <v>1075</v>
      </c>
      <c r="C12488" s="4" t="str">
        <f>HYPERLINK("http://www.uniprot.org/uniprot/M5XFF5","M5XFF5")</f>
        <v>M5XFF5</v>
      </c>
      <c r="D12488" s="2" t="s">
        <v>10405</v>
      </c>
      <c r="E12488" s="3">
        <v>4.1799999999999999E-141</v>
      </c>
      <c r="F12488" s="2">
        <v>1055</v>
      </c>
      <c r="G12488" s="2">
        <v>100</v>
      </c>
      <c r="H12488" s="2">
        <v>203</v>
      </c>
      <c r="I12488" s="2">
        <v>77</v>
      </c>
      <c r="J12488" s="2">
        <v>685</v>
      </c>
      <c r="K12488" s="2">
        <v>1</v>
      </c>
      <c r="L12488" s="2">
        <v>203</v>
      </c>
    </row>
    <row r="12489" spans="1:12" x14ac:dyDescent="0.25">
      <c r="A12489" s="4" t="str">
        <f>HYPERLINK("http://www.rosaceae.org/Prunus/Prunus_persica/p.persica_gdr_reftransV1_0014972","p.persica_gdr_reftransV1_0014972")</f>
        <v>p.persica_gdr_reftransV1_0014972</v>
      </c>
      <c r="B12489" s="2">
        <v>2772</v>
      </c>
      <c r="C12489" s="4" t="str">
        <f>HYPERLINK("http://www.uniprot.org/uniprot/M5XD51","M5XD51")</f>
        <v>M5XD51</v>
      </c>
      <c r="D12489" s="2" t="s">
        <v>10406</v>
      </c>
      <c r="E12489" s="3">
        <v>0</v>
      </c>
      <c r="F12489" s="2">
        <v>2545</v>
      </c>
      <c r="G12489" s="2">
        <v>100</v>
      </c>
      <c r="H12489" s="2">
        <v>476</v>
      </c>
      <c r="I12489" s="2">
        <v>936</v>
      </c>
      <c r="J12489" s="2">
        <v>2363</v>
      </c>
      <c r="K12489" s="2">
        <v>1</v>
      </c>
      <c r="L12489" s="2">
        <v>476</v>
      </c>
    </row>
    <row r="12490" spans="1:12" x14ac:dyDescent="0.25">
      <c r="A12490" s="4" t="str">
        <f>HYPERLINK("http://www.rosaceae.org/Prunus/Prunus_persica/p.persica_gdr_reftransV1_0015322","p.persica_gdr_reftransV1_0015322")</f>
        <v>p.persica_gdr_reftransV1_0015322</v>
      </c>
      <c r="B12490" s="2">
        <v>3106</v>
      </c>
      <c r="C12490" s="4" t="str">
        <f>HYPERLINK("http://www.uniprot.org/uniprot/M5XB44","M5XB44")</f>
        <v>M5XB44</v>
      </c>
      <c r="D12490" s="2" t="s">
        <v>10407</v>
      </c>
      <c r="E12490" s="3">
        <v>0</v>
      </c>
      <c r="F12490" s="2">
        <v>3241</v>
      </c>
      <c r="G12490" s="2">
        <v>94</v>
      </c>
      <c r="H12490" s="2">
        <v>745</v>
      </c>
      <c r="I12490" s="2">
        <v>821</v>
      </c>
      <c r="J12490" s="2">
        <v>3055</v>
      </c>
      <c r="K12490" s="2">
        <v>31</v>
      </c>
      <c r="L12490" s="2">
        <v>731</v>
      </c>
    </row>
    <row r="12491" spans="1:12" x14ac:dyDescent="0.25">
      <c r="A12491" s="4" t="str">
        <f>HYPERLINK("http://www.rosaceae.org/Prunus/Prunus_persica/p.persica_gdr_reftransV1_0015672","p.persica_gdr_reftransV1_0015672")</f>
        <v>p.persica_gdr_reftransV1_0015672</v>
      </c>
      <c r="B12491" s="2">
        <v>1873</v>
      </c>
      <c r="C12491" s="4" t="str">
        <f>HYPERLINK("http://www.uniprot.org/uniprot/M5WAP4","M5WAP4")</f>
        <v>M5WAP4</v>
      </c>
      <c r="D12491" s="2" t="s">
        <v>10408</v>
      </c>
      <c r="E12491" s="3">
        <v>0</v>
      </c>
      <c r="F12491" s="2">
        <v>2425</v>
      </c>
      <c r="G12491" s="2">
        <v>100</v>
      </c>
      <c r="H12491" s="2">
        <v>485</v>
      </c>
      <c r="I12491" s="2">
        <v>287</v>
      </c>
      <c r="J12491" s="2">
        <v>1741</v>
      </c>
      <c r="K12491" s="2">
        <v>1</v>
      </c>
      <c r="L12491" s="2">
        <v>485</v>
      </c>
    </row>
    <row r="12492" spans="1:12" x14ac:dyDescent="0.25">
      <c r="A12492" s="4" t="str">
        <f>HYPERLINK("http://www.rosaceae.org/Prunus/Prunus_persica/p.persica_gdr_reftransV1_0016022","p.persica_gdr_reftransV1_0016022")</f>
        <v>p.persica_gdr_reftransV1_0016022</v>
      </c>
      <c r="B12492" s="2">
        <v>1720</v>
      </c>
      <c r="C12492" s="4" t="str">
        <f>HYPERLINK("http://www.uniprot.org/uniprot/M5VTX1","M5VTX1")</f>
        <v>M5VTX1</v>
      </c>
      <c r="D12492" s="2" t="s">
        <v>10409</v>
      </c>
      <c r="E12492" s="3">
        <v>0</v>
      </c>
      <c r="F12492" s="2">
        <v>2378</v>
      </c>
      <c r="G12492" s="2">
        <v>93</v>
      </c>
      <c r="H12492" s="2">
        <v>501</v>
      </c>
      <c r="I12492" s="2">
        <v>218</v>
      </c>
      <c r="J12492" s="2">
        <v>1720</v>
      </c>
      <c r="K12492" s="2">
        <v>58</v>
      </c>
      <c r="L12492" s="2">
        <v>525</v>
      </c>
    </row>
    <row r="12493" spans="1:12" x14ac:dyDescent="0.25">
      <c r="A12493" s="4" t="str">
        <f>HYPERLINK("http://www.rosaceae.org/Prunus/Prunus_persica/p.persica_gdr_reftransV1_0017422","p.persica_gdr_reftransV1_0017422")</f>
        <v>p.persica_gdr_reftransV1_0017422</v>
      </c>
      <c r="B12493" s="2">
        <v>6019</v>
      </c>
      <c r="C12493" s="4" t="str">
        <f>HYPERLINK("http://www.uniprot.org/uniprot/M5W8C0","M5W8C0")</f>
        <v>M5W8C0</v>
      </c>
      <c r="D12493" s="2" t="s">
        <v>10410</v>
      </c>
      <c r="E12493" s="3">
        <v>0</v>
      </c>
      <c r="F12493" s="2">
        <v>7669</v>
      </c>
      <c r="G12493" s="2">
        <v>98</v>
      </c>
      <c r="H12493" s="2">
        <v>1536</v>
      </c>
      <c r="I12493" s="2">
        <v>856</v>
      </c>
      <c r="J12493" s="2">
        <v>5463</v>
      </c>
      <c r="K12493" s="2">
        <v>1</v>
      </c>
      <c r="L12493" s="2">
        <v>1504</v>
      </c>
    </row>
    <row r="12494" spans="1:12" x14ac:dyDescent="0.25">
      <c r="A12494" s="4" t="str">
        <f>HYPERLINK("http://www.rosaceae.org/Prunus/Prunus_persica/p.persica_gdr_reftransV1_0019172","p.persica_gdr_reftransV1_0019172")</f>
        <v>p.persica_gdr_reftransV1_0019172</v>
      </c>
      <c r="B12494" s="2">
        <v>1555</v>
      </c>
      <c r="C12494" s="4" t="str">
        <f>HYPERLINK("http://www.uniprot.org/uniprot/M5W7C1","M5W7C1")</f>
        <v>M5W7C1</v>
      </c>
      <c r="D12494" s="2" t="s">
        <v>8569</v>
      </c>
      <c r="E12494" s="3">
        <v>0</v>
      </c>
      <c r="F12494" s="2">
        <v>1830</v>
      </c>
      <c r="G12494" s="2">
        <v>100</v>
      </c>
      <c r="H12494" s="2">
        <v>379</v>
      </c>
      <c r="I12494" s="2">
        <v>1</v>
      </c>
      <c r="J12494" s="2">
        <v>1137</v>
      </c>
      <c r="K12494" s="2">
        <v>276</v>
      </c>
      <c r="L12494" s="2">
        <v>654</v>
      </c>
    </row>
    <row r="12495" spans="1:12" x14ac:dyDescent="0.25">
      <c r="A12495" s="4" t="str">
        <f>HYPERLINK("http://www.rosaceae.org/Prunus/Prunus_persica/p.persica_gdr_reftransV1_0020222","p.persica_gdr_reftransV1_0020222")</f>
        <v>p.persica_gdr_reftransV1_0020222</v>
      </c>
      <c r="B12495" s="2">
        <v>2018</v>
      </c>
      <c r="C12495" s="4" t="str">
        <f>HYPERLINK("http://www.uniprot.org/uniprot/M5VQ65","M5VQ65")</f>
        <v>M5VQ65</v>
      </c>
      <c r="D12495" s="2" t="s">
        <v>10411</v>
      </c>
      <c r="E12495" s="3">
        <v>0</v>
      </c>
      <c r="F12495" s="2">
        <v>1699</v>
      </c>
      <c r="G12495" s="2">
        <v>100</v>
      </c>
      <c r="H12495" s="2">
        <v>349</v>
      </c>
      <c r="I12495" s="2">
        <v>639</v>
      </c>
      <c r="J12495" s="2">
        <v>1685</v>
      </c>
      <c r="K12495" s="2">
        <v>1</v>
      </c>
      <c r="L12495" s="2">
        <v>349</v>
      </c>
    </row>
    <row r="12496" spans="1:12" x14ac:dyDescent="0.25">
      <c r="A12496" s="4" t="str">
        <f>HYPERLINK("http://www.rosaceae.org/Prunus/Prunus_persica/p.persica_gdr_reftransV1_0021622","p.persica_gdr_reftransV1_0021622")</f>
        <v>p.persica_gdr_reftransV1_0021622</v>
      </c>
      <c r="B12496" s="2">
        <v>2119</v>
      </c>
      <c r="C12496" s="4" t="str">
        <f>HYPERLINK("http://www.uniprot.org/uniprot/M5WUN3","M5WUN3")</f>
        <v>M5WUN3</v>
      </c>
      <c r="D12496" s="2" t="s">
        <v>7577</v>
      </c>
      <c r="E12496" s="3">
        <v>0</v>
      </c>
      <c r="F12496" s="2">
        <v>2511</v>
      </c>
      <c r="G12496" s="2">
        <v>100</v>
      </c>
      <c r="H12496" s="2">
        <v>498</v>
      </c>
      <c r="I12496" s="2">
        <v>321</v>
      </c>
      <c r="J12496" s="2">
        <v>1814</v>
      </c>
      <c r="K12496" s="2">
        <v>1</v>
      </c>
      <c r="L12496" s="2">
        <v>498</v>
      </c>
    </row>
    <row r="12497" spans="1:12" x14ac:dyDescent="0.25">
      <c r="A12497" s="4" t="str">
        <f>HYPERLINK("http://www.rosaceae.org/Prunus/Prunus_persica/p.persica_gdr_reftransV1_0022322","p.persica_gdr_reftransV1_0022322")</f>
        <v>p.persica_gdr_reftransV1_0022322</v>
      </c>
      <c r="B12497" s="2">
        <v>1836</v>
      </c>
      <c r="C12497" s="4" t="str">
        <f>HYPERLINK("http://www.uniprot.org/uniprot/M5WC04","M5WC04")</f>
        <v>M5WC04</v>
      </c>
      <c r="D12497" s="2" t="s">
        <v>10412</v>
      </c>
      <c r="E12497" s="3">
        <v>0</v>
      </c>
      <c r="F12497" s="2">
        <v>1571</v>
      </c>
      <c r="G12497" s="2">
        <v>100</v>
      </c>
      <c r="H12497" s="2">
        <v>299</v>
      </c>
      <c r="I12497" s="2">
        <v>473</v>
      </c>
      <c r="J12497" s="2">
        <v>1369</v>
      </c>
      <c r="K12497" s="2">
        <v>1</v>
      </c>
      <c r="L12497" s="2">
        <v>299</v>
      </c>
    </row>
    <row r="12498" spans="1:12" x14ac:dyDescent="0.25">
      <c r="A12498" s="4" t="str">
        <f>HYPERLINK("http://www.rosaceae.org/Prunus/Prunus_persica/p.persica_gdr_reftransV1_0023022","p.persica_gdr_reftransV1_0023022")</f>
        <v>p.persica_gdr_reftransV1_0023022</v>
      </c>
      <c r="B12498" s="2">
        <v>3445</v>
      </c>
      <c r="C12498" s="4" t="str">
        <f>HYPERLINK("http://www.uniprot.org/uniprot/M5X9J9","M5X9J9")</f>
        <v>M5X9J9</v>
      </c>
      <c r="D12498" s="2" t="s">
        <v>10413</v>
      </c>
      <c r="E12498" s="3">
        <v>1.09E-88</v>
      </c>
      <c r="F12498" s="2">
        <v>756</v>
      </c>
      <c r="G12498" s="2">
        <v>100</v>
      </c>
      <c r="H12498" s="2">
        <v>169</v>
      </c>
      <c r="I12498" s="2">
        <v>347</v>
      </c>
      <c r="J12498" s="2">
        <v>853</v>
      </c>
      <c r="K12498" s="2">
        <v>27</v>
      </c>
      <c r="L12498" s="2">
        <v>195</v>
      </c>
    </row>
    <row r="12499" spans="1:12" x14ac:dyDescent="0.25">
      <c r="A12499" s="4" t="str">
        <f>HYPERLINK("http://www.rosaceae.org/Prunus/Prunus_persica/p.persica_gdr_reftransV1_0023722","p.persica_gdr_reftransV1_0023722")</f>
        <v>p.persica_gdr_reftransV1_0023722</v>
      </c>
      <c r="B12499" s="2">
        <v>2553</v>
      </c>
      <c r="C12499" s="4" t="str">
        <f>HYPERLINK("http://www.uniprot.org/uniprot/A0A061E5Z3","A0A061E5Z3")</f>
        <v>A0A061E5Z3</v>
      </c>
      <c r="D12499" s="2" t="s">
        <v>10414</v>
      </c>
      <c r="E12499" s="3">
        <v>2.0500000000000002E-118</v>
      </c>
      <c r="F12499" s="2">
        <v>708</v>
      </c>
      <c r="G12499" s="2">
        <v>72</v>
      </c>
      <c r="H12499" s="2">
        <v>178</v>
      </c>
      <c r="I12499" s="2">
        <v>1114</v>
      </c>
      <c r="J12499" s="2">
        <v>1647</v>
      </c>
      <c r="K12499" s="2">
        <v>261</v>
      </c>
      <c r="L12499" s="2">
        <v>438</v>
      </c>
    </row>
    <row r="12500" spans="1:12" x14ac:dyDescent="0.25">
      <c r="A12500" s="4" t="str">
        <f>HYPERLINK("http://www.rosaceae.org/Prunus/Prunus_persica/p.persica_gdr_reftransV1_0024422","p.persica_gdr_reftransV1_0024422")</f>
        <v>p.persica_gdr_reftransV1_0024422</v>
      </c>
      <c r="B12500" s="2">
        <v>1338</v>
      </c>
      <c r="C12500" s="4" t="str">
        <f>HYPERLINK("http://www.uniprot.org/uniprot/W9QUF3","W9QUF3")</f>
        <v>W9QUF3</v>
      </c>
      <c r="D12500" s="2" t="s">
        <v>3547</v>
      </c>
      <c r="E12500" s="3">
        <v>3.7900000000000001E-149</v>
      </c>
      <c r="F12500" s="2">
        <v>1141</v>
      </c>
      <c r="G12500" s="2">
        <v>66</v>
      </c>
      <c r="H12500" s="2">
        <v>355</v>
      </c>
      <c r="I12500" s="2">
        <v>2</v>
      </c>
      <c r="J12500" s="2">
        <v>1063</v>
      </c>
      <c r="K12500" s="2">
        <v>133</v>
      </c>
      <c r="L12500" s="2">
        <v>441</v>
      </c>
    </row>
    <row r="12501" spans="1:12" x14ac:dyDescent="0.25">
      <c r="A12501" s="4" t="str">
        <f>HYPERLINK("http://www.rosaceae.org/Prunus/Prunus_persica/p.persica_gdr_reftransV1_0024772","p.persica_gdr_reftransV1_0024772")</f>
        <v>p.persica_gdr_reftransV1_0024772</v>
      </c>
      <c r="B12501" s="2">
        <v>1437</v>
      </c>
      <c r="C12501" s="4" t="str">
        <f>HYPERLINK("http://www.uniprot.org/uniprot/M5WTX6","M5WTX6")</f>
        <v>M5WTX6</v>
      </c>
      <c r="D12501" s="2" t="s">
        <v>10415</v>
      </c>
      <c r="E12501" s="3">
        <v>0</v>
      </c>
      <c r="F12501" s="2">
        <v>1638</v>
      </c>
      <c r="G12501" s="2">
        <v>100</v>
      </c>
      <c r="H12501" s="2">
        <v>335</v>
      </c>
      <c r="I12501" s="2">
        <v>232</v>
      </c>
      <c r="J12501" s="2">
        <v>1236</v>
      </c>
      <c r="K12501" s="2">
        <v>1</v>
      </c>
      <c r="L12501" s="2">
        <v>335</v>
      </c>
    </row>
    <row r="12502" spans="1:12" x14ac:dyDescent="0.25">
      <c r="A12502" s="4" t="str">
        <f>HYPERLINK("http://www.rosaceae.org/Prunus/Prunus_persica/p.persica_gdr_reftransV1_0025472","p.persica_gdr_reftransV1_0025472")</f>
        <v>p.persica_gdr_reftransV1_0025472</v>
      </c>
      <c r="B12502" s="2">
        <v>1567</v>
      </c>
      <c r="C12502" s="4" t="str">
        <f>HYPERLINK("http://www.uniprot.org/uniprot/M5Y4T5","M5Y4T5")</f>
        <v>M5Y4T5</v>
      </c>
      <c r="D12502" s="2" t="s">
        <v>10416</v>
      </c>
      <c r="E12502" s="3">
        <v>0</v>
      </c>
      <c r="F12502" s="2">
        <v>1689</v>
      </c>
      <c r="G12502" s="2">
        <v>100</v>
      </c>
      <c r="H12502" s="2">
        <v>312</v>
      </c>
      <c r="I12502" s="2">
        <v>448</v>
      </c>
      <c r="J12502" s="2">
        <v>1383</v>
      </c>
      <c r="K12502" s="2">
        <v>18</v>
      </c>
      <c r="L12502" s="2">
        <v>329</v>
      </c>
    </row>
    <row r="12503" spans="1:12" x14ac:dyDescent="0.25">
      <c r="A12503" s="4" t="str">
        <f>HYPERLINK("http://www.rosaceae.org/Prunus/Prunus_persica/p.persica_gdr_reftransV1_0026522","p.persica_gdr_reftransV1_0026522")</f>
        <v>p.persica_gdr_reftransV1_0026522</v>
      </c>
      <c r="B12503" s="2">
        <v>3188</v>
      </c>
      <c r="C12503" s="4" t="str">
        <f>HYPERLINK("http://www.uniprot.org/uniprot/M5WM93","M5WM93")</f>
        <v>M5WM93</v>
      </c>
      <c r="D12503" s="2" t="s">
        <v>10417</v>
      </c>
      <c r="E12503" s="3">
        <v>0</v>
      </c>
      <c r="F12503" s="2">
        <v>1751</v>
      </c>
      <c r="G12503" s="2">
        <v>100</v>
      </c>
      <c r="H12503" s="2">
        <v>360</v>
      </c>
      <c r="I12503" s="2">
        <v>1133</v>
      </c>
      <c r="J12503" s="2">
        <v>2212</v>
      </c>
      <c r="K12503" s="2">
        <v>297</v>
      </c>
      <c r="L12503" s="2">
        <v>656</v>
      </c>
    </row>
    <row r="12504" spans="1:12" x14ac:dyDescent="0.25">
      <c r="A12504" s="4" t="str">
        <f>HYPERLINK("http://www.rosaceae.org/Prunus/Prunus_persica/p.persica_gdr_reftransV1_0026872","p.persica_gdr_reftransV1_0026872")</f>
        <v>p.persica_gdr_reftransV1_0026872</v>
      </c>
      <c r="B12504" s="2">
        <v>2409</v>
      </c>
      <c r="C12504" s="4" t="str">
        <f>HYPERLINK("http://www.uniprot.org/uniprot/M5VXK8","M5VXK8")</f>
        <v>M5VXK8</v>
      </c>
      <c r="D12504" s="2" t="s">
        <v>10418</v>
      </c>
      <c r="E12504" s="3">
        <v>1.49E-167</v>
      </c>
      <c r="F12504" s="2">
        <v>1315</v>
      </c>
      <c r="G12504" s="2">
        <v>99</v>
      </c>
      <c r="H12504" s="2">
        <v>305</v>
      </c>
      <c r="I12504" s="2">
        <v>65</v>
      </c>
      <c r="J12504" s="2">
        <v>979</v>
      </c>
      <c r="K12504" s="2">
        <v>1</v>
      </c>
      <c r="L12504" s="2">
        <v>305</v>
      </c>
    </row>
    <row r="12505" spans="1:12" x14ac:dyDescent="0.25">
      <c r="A12505" s="4" t="str">
        <f>HYPERLINK("http://www.rosaceae.org/Prunus/Prunus_persica/p.persica_gdr_reftransV1_0027222","p.persica_gdr_reftransV1_0027222")</f>
        <v>p.persica_gdr_reftransV1_0027222</v>
      </c>
      <c r="B12505" s="2">
        <v>2921</v>
      </c>
      <c r="C12505" s="4" t="str">
        <f>HYPERLINK("http://www.uniprot.org/uniprot/M5WSI7","M5WSI7")</f>
        <v>M5WSI7</v>
      </c>
      <c r="D12505" s="2" t="s">
        <v>10419</v>
      </c>
      <c r="E12505" s="3">
        <v>0</v>
      </c>
      <c r="F12505" s="2">
        <v>2470</v>
      </c>
      <c r="G12505" s="2">
        <v>99</v>
      </c>
      <c r="H12505" s="2">
        <v>456</v>
      </c>
      <c r="I12505" s="2">
        <v>3</v>
      </c>
      <c r="J12505" s="2">
        <v>1370</v>
      </c>
      <c r="K12505" s="2">
        <v>73</v>
      </c>
      <c r="L12505" s="2">
        <v>528</v>
      </c>
    </row>
    <row r="12506" spans="1:12" x14ac:dyDescent="0.25">
      <c r="A12506" s="4" t="str">
        <f>HYPERLINK("http://www.rosaceae.org/Prunus/Prunus_persica/p.persica_gdr_reftransV1_0027572","p.persica_gdr_reftransV1_0027572")</f>
        <v>p.persica_gdr_reftransV1_0027572</v>
      </c>
      <c r="B12506" s="2">
        <v>1791</v>
      </c>
      <c r="C12506" s="4" t="str">
        <f>HYPERLINK("http://www.uniprot.org/uniprot/M5W9D0","M5W9D0")</f>
        <v>M5W9D0</v>
      </c>
      <c r="D12506" s="2" t="s">
        <v>10420</v>
      </c>
      <c r="E12506" s="3">
        <v>0</v>
      </c>
      <c r="F12506" s="2">
        <v>1534</v>
      </c>
      <c r="G12506" s="2">
        <v>100</v>
      </c>
      <c r="H12506" s="2">
        <v>318</v>
      </c>
      <c r="I12506" s="2">
        <v>299</v>
      </c>
      <c r="J12506" s="2">
        <v>1252</v>
      </c>
      <c r="K12506" s="2">
        <v>56</v>
      </c>
      <c r="L12506" s="2">
        <v>373</v>
      </c>
    </row>
    <row r="12507" spans="1:12" x14ac:dyDescent="0.25">
      <c r="A12507" s="4" t="str">
        <f>HYPERLINK("http://www.rosaceae.org/Prunus/Prunus_persica/p.persica_gdr_reftransV1_0030372","p.persica_gdr_reftransV1_0030372")</f>
        <v>p.persica_gdr_reftransV1_0030372</v>
      </c>
      <c r="B12507" s="2">
        <v>940</v>
      </c>
      <c r="C12507" s="4" t="str">
        <f>HYPERLINK("http://www.uniprot.org/uniprot/M5WPG7","M5WPG7")</f>
        <v>M5WPG7</v>
      </c>
      <c r="D12507" s="2" t="s">
        <v>10421</v>
      </c>
      <c r="E12507" s="3">
        <v>5.9700000000000003E-91</v>
      </c>
      <c r="F12507" s="2">
        <v>743</v>
      </c>
      <c r="G12507" s="2">
        <v>100</v>
      </c>
      <c r="H12507" s="2">
        <v>137</v>
      </c>
      <c r="I12507" s="2">
        <v>1</v>
      </c>
      <c r="J12507" s="2">
        <v>411</v>
      </c>
      <c r="K12507" s="2">
        <v>333</v>
      </c>
      <c r="L12507" s="2">
        <v>469</v>
      </c>
    </row>
    <row r="12508" spans="1:12" x14ac:dyDescent="0.25">
      <c r="A12508" s="4" t="str">
        <f>HYPERLINK("http://www.rosaceae.org/Prunus/Prunus_persica/p.persica_gdr_reftransV1_0031072","p.persica_gdr_reftransV1_0031072")</f>
        <v>p.persica_gdr_reftransV1_0031072</v>
      </c>
      <c r="B12508" s="2">
        <v>1364</v>
      </c>
      <c r="C12508" s="4" t="str">
        <f>HYPERLINK("http://www.uniprot.org/uniprot/M5WCE6","M5WCE6")</f>
        <v>M5WCE6</v>
      </c>
      <c r="D12508" s="2" t="s">
        <v>10422</v>
      </c>
      <c r="E12508" s="3">
        <v>3.7600000000000001E-128</v>
      </c>
      <c r="F12508" s="2">
        <v>985</v>
      </c>
      <c r="G12508" s="2">
        <v>86</v>
      </c>
      <c r="H12508" s="2">
        <v>279</v>
      </c>
      <c r="I12508" s="2">
        <v>190</v>
      </c>
      <c r="J12508" s="2">
        <v>1026</v>
      </c>
      <c r="K12508" s="2">
        <v>1</v>
      </c>
      <c r="L12508" s="2">
        <v>243</v>
      </c>
    </row>
    <row r="12509" spans="1:12" x14ac:dyDescent="0.25">
      <c r="A12509" s="4" t="str">
        <f>HYPERLINK("http://www.rosaceae.org/Prunus/Prunus_persica/p.persica_gdr_reftransV1_0032122","p.persica_gdr_reftransV1_0032122")</f>
        <v>p.persica_gdr_reftransV1_0032122</v>
      </c>
      <c r="B12509" s="2">
        <v>872</v>
      </c>
      <c r="C12509" s="4" t="str">
        <f>HYPERLINK("http://www.uniprot.org/uniprot/A0A097PRE8","A0A097PRE8")</f>
        <v>A0A097PRE8</v>
      </c>
      <c r="D12509" s="2" t="s">
        <v>10423</v>
      </c>
      <c r="E12509" s="3">
        <v>7.0600000000000004E-85</v>
      </c>
      <c r="F12509" s="2">
        <v>676</v>
      </c>
      <c r="G12509" s="2">
        <v>100</v>
      </c>
      <c r="H12509" s="2">
        <v>126</v>
      </c>
      <c r="I12509" s="2">
        <v>1</v>
      </c>
      <c r="J12509" s="2">
        <v>378</v>
      </c>
      <c r="K12509" s="2">
        <v>72</v>
      </c>
      <c r="L12509" s="2">
        <v>197</v>
      </c>
    </row>
    <row r="12510" spans="1:12" x14ac:dyDescent="0.25">
      <c r="A12510" s="4" t="str">
        <f>HYPERLINK("http://www.rosaceae.org/Prunus/Prunus_persica/p.persica_gdr_reftransV1_0039472","p.persica_gdr_reftransV1_0039472")</f>
        <v>p.persica_gdr_reftransV1_0039472</v>
      </c>
      <c r="B12510" s="2">
        <v>1227</v>
      </c>
      <c r="C12510" s="4" t="str">
        <f>HYPERLINK("http://www.uniprot.org/uniprot/M5XRC4","M5XRC4")</f>
        <v>M5XRC4</v>
      </c>
      <c r="D12510" s="2" t="s">
        <v>10424</v>
      </c>
      <c r="E12510" s="3">
        <v>1.1299999999999999E-155</v>
      </c>
      <c r="F12510" s="2">
        <v>1163</v>
      </c>
      <c r="G12510" s="2">
        <v>100</v>
      </c>
      <c r="H12510" s="2">
        <v>214</v>
      </c>
      <c r="I12510" s="2">
        <v>533</v>
      </c>
      <c r="J12510" s="2">
        <v>1174</v>
      </c>
      <c r="K12510" s="2">
        <v>2</v>
      </c>
      <c r="L12510" s="2">
        <v>215</v>
      </c>
    </row>
    <row r="12511" spans="1:12" x14ac:dyDescent="0.25">
      <c r="A12511" s="4" t="str">
        <f>HYPERLINK("http://www.rosaceae.org/Prunus/Prunus_persica/p.persica_gdr_reftransV1_0040872","p.persica_gdr_reftransV1_0040872")</f>
        <v>p.persica_gdr_reftransV1_0040872</v>
      </c>
      <c r="B12511" s="2">
        <v>1631</v>
      </c>
      <c r="C12511" s="4" t="str">
        <f>HYPERLINK("http://www.uniprot.org/uniprot/W9R8C4","W9R8C4")</f>
        <v>W9R8C4</v>
      </c>
      <c r="D12511" s="2" t="s">
        <v>10425</v>
      </c>
      <c r="E12511" s="3">
        <v>4.5799999999999999E-129</v>
      </c>
      <c r="F12511" s="2">
        <v>766</v>
      </c>
      <c r="G12511" s="2">
        <v>80</v>
      </c>
      <c r="H12511" s="2">
        <v>177</v>
      </c>
      <c r="I12511" s="2">
        <v>229</v>
      </c>
      <c r="J12511" s="2">
        <v>759</v>
      </c>
      <c r="K12511" s="2">
        <v>1</v>
      </c>
      <c r="L12511" s="2">
        <v>175</v>
      </c>
    </row>
    <row r="12512" spans="1:12" x14ac:dyDescent="0.25">
      <c r="A12512" s="4" t="str">
        <f>HYPERLINK("http://www.rosaceae.org/Prunus/Prunus_persica/p.persica_gdr_reftransV1_0043322","p.persica_gdr_reftransV1_0043322")</f>
        <v>p.persica_gdr_reftransV1_0043322</v>
      </c>
      <c r="B12512" s="2">
        <v>949</v>
      </c>
      <c r="C12512" s="4" t="str">
        <f>HYPERLINK("http://www.uniprot.org/uniprot/M5VJL2","M5VJL2")</f>
        <v>M5VJL2</v>
      </c>
      <c r="D12512" s="2" t="s">
        <v>10426</v>
      </c>
      <c r="E12512" s="3">
        <v>1.89E-177</v>
      </c>
      <c r="F12512" s="2">
        <v>1297</v>
      </c>
      <c r="G12512" s="2">
        <v>100</v>
      </c>
      <c r="H12512" s="2">
        <v>248</v>
      </c>
      <c r="I12512" s="2">
        <v>93</v>
      </c>
      <c r="J12512" s="2">
        <v>836</v>
      </c>
      <c r="K12512" s="2">
        <v>28</v>
      </c>
      <c r="L12512" s="2">
        <v>275</v>
      </c>
    </row>
    <row r="12513" spans="1:12" x14ac:dyDescent="0.25">
      <c r="A12513" s="4" t="str">
        <f>HYPERLINK("http://www.rosaceae.org/Prunus/Prunus_persica/p.persica_gdr_reftransV1_0043672","p.persica_gdr_reftransV1_0043672")</f>
        <v>p.persica_gdr_reftransV1_0043672</v>
      </c>
      <c r="B12513" s="2">
        <v>652</v>
      </c>
      <c r="C12513" s="4" t="str">
        <f>HYPERLINK("http://www.uniprot.org/uniprot/M5W0S9","M5W0S9")</f>
        <v>M5W0S9</v>
      </c>
      <c r="D12513" s="2" t="s">
        <v>759</v>
      </c>
      <c r="E12513" s="3">
        <v>5.8300000000000001E-56</v>
      </c>
      <c r="F12513" s="2">
        <v>470</v>
      </c>
      <c r="G12513" s="2">
        <v>100</v>
      </c>
      <c r="H12513" s="2">
        <v>123</v>
      </c>
      <c r="I12513" s="2">
        <v>166</v>
      </c>
      <c r="J12513" s="2">
        <v>534</v>
      </c>
      <c r="K12513" s="2">
        <v>1</v>
      </c>
      <c r="L12513" s="2">
        <v>123</v>
      </c>
    </row>
    <row r="12514" spans="1:12" x14ac:dyDescent="0.25">
      <c r="A12514" s="4" t="str">
        <f>HYPERLINK("http://www.rosaceae.org/Prunus/Prunus_persica/p.persica_gdr_reftransV1_0044022","p.persica_gdr_reftransV1_0044022")</f>
        <v>p.persica_gdr_reftransV1_0044022</v>
      </c>
      <c r="B12514" s="2">
        <v>2141</v>
      </c>
      <c r="C12514" s="4" t="str">
        <f>HYPERLINK("http://www.uniprot.org/uniprot/M5Y0P1","M5Y0P1")</f>
        <v>M5Y0P1</v>
      </c>
      <c r="D12514" s="2" t="s">
        <v>5982</v>
      </c>
      <c r="E12514" s="3">
        <v>0</v>
      </c>
      <c r="F12514" s="2">
        <v>2869</v>
      </c>
      <c r="G12514" s="2">
        <v>100</v>
      </c>
      <c r="H12514" s="2">
        <v>597</v>
      </c>
      <c r="I12514" s="2">
        <v>149</v>
      </c>
      <c r="J12514" s="2">
        <v>1939</v>
      </c>
      <c r="K12514" s="2">
        <v>1</v>
      </c>
      <c r="L12514" s="2">
        <v>596</v>
      </c>
    </row>
    <row r="12515" spans="1:12" x14ac:dyDescent="0.25">
      <c r="A12515" s="4" t="str">
        <f>HYPERLINK("http://www.rosaceae.org/Prunus/Prunus_persica/p.persica_gdr_reftransV1_0044372","p.persica_gdr_reftransV1_0044372")</f>
        <v>p.persica_gdr_reftransV1_0044372</v>
      </c>
      <c r="B12515" s="2">
        <v>671</v>
      </c>
      <c r="C12515" s="4" t="str">
        <f>HYPERLINK("http://www.uniprot.org/uniprot/M5X4E8","M5X4E8")</f>
        <v>M5X4E8</v>
      </c>
      <c r="D12515" s="2" t="s">
        <v>10427</v>
      </c>
      <c r="E12515" s="3">
        <v>1.55E-114</v>
      </c>
      <c r="F12515" s="2">
        <v>863</v>
      </c>
      <c r="G12515" s="2">
        <v>91</v>
      </c>
      <c r="H12515" s="2">
        <v>180</v>
      </c>
      <c r="I12515" s="2">
        <v>141</v>
      </c>
      <c r="J12515" s="2">
        <v>665</v>
      </c>
      <c r="K12515" s="2">
        <v>5</v>
      </c>
      <c r="L12515" s="2">
        <v>180</v>
      </c>
    </row>
    <row r="12516" spans="1:12" x14ac:dyDescent="0.25">
      <c r="A12516" s="4" t="str">
        <f>HYPERLINK("http://www.rosaceae.org/Prunus/Prunus_persica/p.persica_gdr_reftransV1_0044722","p.persica_gdr_reftransV1_0044722")</f>
        <v>p.persica_gdr_reftransV1_0044722</v>
      </c>
      <c r="B12516" s="2">
        <v>1607</v>
      </c>
      <c r="C12516" s="4" t="str">
        <f>HYPERLINK("http://www.uniprot.org/uniprot/M5X1U6","M5X1U6")</f>
        <v>M5X1U6</v>
      </c>
      <c r="D12516" s="2" t="s">
        <v>10428</v>
      </c>
      <c r="E12516" s="3">
        <v>0</v>
      </c>
      <c r="F12516" s="2">
        <v>1503</v>
      </c>
      <c r="G12516" s="2">
        <v>100</v>
      </c>
      <c r="H12516" s="2">
        <v>313</v>
      </c>
      <c r="I12516" s="2">
        <v>157</v>
      </c>
      <c r="J12516" s="2">
        <v>1095</v>
      </c>
      <c r="K12516" s="2">
        <v>1</v>
      </c>
      <c r="L12516" s="2">
        <v>313</v>
      </c>
    </row>
    <row r="12517" spans="1:12" x14ac:dyDescent="0.25">
      <c r="A12517" s="4" t="str">
        <f>HYPERLINK("http://www.rosaceae.org/Prunus/Prunus_persica/p.persica_gdr_reftransV1_0045072","p.persica_gdr_reftransV1_0045072")</f>
        <v>p.persica_gdr_reftransV1_0045072</v>
      </c>
      <c r="B12517" s="2">
        <v>1473</v>
      </c>
      <c r="C12517" s="4" t="str">
        <f>HYPERLINK("http://www.uniprot.org/uniprot/M5WBA2","M5WBA2")</f>
        <v>M5WBA2</v>
      </c>
      <c r="D12517" s="2" t="s">
        <v>10429</v>
      </c>
      <c r="E12517" s="3">
        <v>0</v>
      </c>
      <c r="F12517" s="2">
        <v>1506</v>
      </c>
      <c r="G12517" s="2">
        <v>100</v>
      </c>
      <c r="H12517" s="2">
        <v>285</v>
      </c>
      <c r="I12517" s="2">
        <v>477</v>
      </c>
      <c r="J12517" s="2">
        <v>1331</v>
      </c>
      <c r="K12517" s="2">
        <v>1</v>
      </c>
      <c r="L12517" s="2">
        <v>285</v>
      </c>
    </row>
    <row r="12518" spans="1:12" x14ac:dyDescent="0.25">
      <c r="A12518" s="4" t="str">
        <f>HYPERLINK("http://www.rosaceae.org/Prunus/Prunus_persica/p.persica_gdr_reftransV1_0045422","p.persica_gdr_reftransV1_0045422")</f>
        <v>p.persica_gdr_reftransV1_0045422</v>
      </c>
      <c r="B12518" s="2">
        <v>326</v>
      </c>
      <c r="C12518" s="4" t="str">
        <f>HYPERLINK("http://www.uniprot.org/uniprot/M5WQS7","M5WQS7")</f>
        <v>M5WQS7</v>
      </c>
      <c r="D12518" s="2" t="s">
        <v>2984</v>
      </c>
      <c r="E12518" s="3">
        <v>3.1899999999999998E-66</v>
      </c>
      <c r="F12518" s="2">
        <v>573</v>
      </c>
      <c r="G12518" s="2">
        <v>99</v>
      </c>
      <c r="H12518" s="2">
        <v>109</v>
      </c>
      <c r="I12518" s="2">
        <v>1</v>
      </c>
      <c r="J12518" s="2">
        <v>324</v>
      </c>
      <c r="K12518" s="2">
        <v>24</v>
      </c>
      <c r="L12518" s="2">
        <v>132</v>
      </c>
    </row>
    <row r="12519" spans="1:12" x14ac:dyDescent="0.25">
      <c r="A12519" s="4" t="str">
        <f>HYPERLINK("http://www.rosaceae.org/Prunus/Prunus_persica/p.persica_gdr_reftransV1_0045772","p.persica_gdr_reftransV1_0045772")</f>
        <v>p.persica_gdr_reftransV1_0045772</v>
      </c>
      <c r="B12519" s="2">
        <v>1231</v>
      </c>
      <c r="C12519" s="4" t="str">
        <f>HYPERLINK("http://www.uniprot.org/uniprot/M5XFF3","M5XFF3")</f>
        <v>M5XFF3</v>
      </c>
      <c r="D12519" s="2" t="s">
        <v>8291</v>
      </c>
      <c r="E12519" s="3">
        <v>0</v>
      </c>
      <c r="F12519" s="2">
        <v>1617</v>
      </c>
      <c r="G12519" s="2">
        <v>100</v>
      </c>
      <c r="H12519" s="2">
        <v>301</v>
      </c>
      <c r="I12519" s="2">
        <v>261</v>
      </c>
      <c r="J12519" s="2">
        <v>1163</v>
      </c>
      <c r="K12519" s="2">
        <v>1</v>
      </c>
      <c r="L12519" s="2">
        <v>301</v>
      </c>
    </row>
    <row r="12520" spans="1:12" x14ac:dyDescent="0.25">
      <c r="A12520" s="4" t="str">
        <f>HYPERLINK("http://www.rosaceae.org/Prunus/Prunus_persica/p.persica_gdr_reftransV1_0046122","p.persica_gdr_reftransV1_0046122")</f>
        <v>p.persica_gdr_reftransV1_0046122</v>
      </c>
      <c r="B12520" s="2">
        <v>816</v>
      </c>
      <c r="C12520" s="4" t="str">
        <f>HYPERLINK("http://www.uniprot.org/uniprot/M5VMJ2","M5VMJ2")</f>
        <v>M5VMJ2</v>
      </c>
      <c r="D12520" s="2" t="s">
        <v>2862</v>
      </c>
      <c r="E12520" s="3">
        <v>5.6799999999999994E-57</v>
      </c>
      <c r="F12520" s="2">
        <v>486</v>
      </c>
      <c r="G12520" s="2">
        <v>100</v>
      </c>
      <c r="H12520" s="2">
        <v>113</v>
      </c>
      <c r="I12520" s="2">
        <v>103</v>
      </c>
      <c r="J12520" s="2">
        <v>441</v>
      </c>
      <c r="K12520" s="2">
        <v>60</v>
      </c>
      <c r="L12520" s="2">
        <v>172</v>
      </c>
    </row>
    <row r="12521" spans="1:12" x14ac:dyDescent="0.25">
      <c r="A12521" s="4" t="str">
        <f>HYPERLINK("http://www.rosaceae.org/Prunus/Prunus_persica/p.persica_gdr_reftransV1_0046472","p.persica_gdr_reftransV1_0046472")</f>
        <v>p.persica_gdr_reftransV1_0046472</v>
      </c>
      <c r="B12521" s="2">
        <v>1604</v>
      </c>
      <c r="C12521" s="4" t="str">
        <f>HYPERLINK("http://www.uniprot.org/uniprot/M5W912","M5W912")</f>
        <v>M5W912</v>
      </c>
      <c r="D12521" s="2" t="s">
        <v>10430</v>
      </c>
      <c r="E12521" s="3">
        <v>0</v>
      </c>
      <c r="F12521" s="2">
        <v>1801</v>
      </c>
      <c r="G12521" s="2">
        <v>100</v>
      </c>
      <c r="H12521" s="2">
        <v>336</v>
      </c>
      <c r="I12521" s="2">
        <v>275</v>
      </c>
      <c r="J12521" s="2">
        <v>1282</v>
      </c>
      <c r="K12521" s="2">
        <v>29</v>
      </c>
      <c r="L12521" s="2">
        <v>364</v>
      </c>
    </row>
    <row r="12522" spans="1:12" x14ac:dyDescent="0.25">
      <c r="A12522" s="4" t="str">
        <f>HYPERLINK("http://www.rosaceae.org/Prunus/Prunus_persica/p.persica_gdr_reftransV1_0046822","p.persica_gdr_reftransV1_0046822")</f>
        <v>p.persica_gdr_reftransV1_0046822</v>
      </c>
      <c r="B12522" s="2">
        <v>1084</v>
      </c>
      <c r="C12522" s="4" t="str">
        <f>HYPERLINK("http://www.uniprot.org/uniprot/A9XLF4","A9XLF4")</f>
        <v>A9XLF4</v>
      </c>
      <c r="D12522" s="2" t="s">
        <v>10431</v>
      </c>
      <c r="E12522" s="3">
        <v>9.6199999999999997E-14</v>
      </c>
      <c r="F12522" s="2">
        <v>198</v>
      </c>
      <c r="G12522" s="2">
        <v>40</v>
      </c>
      <c r="H12522" s="2">
        <v>181</v>
      </c>
      <c r="I12522" s="2">
        <v>207</v>
      </c>
      <c r="J12522" s="2">
        <v>689</v>
      </c>
      <c r="K12522" s="2">
        <v>129</v>
      </c>
      <c r="L12522" s="2">
        <v>299</v>
      </c>
    </row>
    <row r="12523" spans="1:12" x14ac:dyDescent="0.25">
      <c r="A12523" s="4" t="str">
        <f>HYPERLINK("http://www.rosaceae.org/Prunus/Prunus_persica/p.persica_gdr_reftransV1_0047872","p.persica_gdr_reftransV1_0047872")</f>
        <v>p.persica_gdr_reftransV1_0047872</v>
      </c>
      <c r="B12523" s="2">
        <v>1436</v>
      </c>
      <c r="C12523" s="4" t="str">
        <f>HYPERLINK("http://www.uniprot.org/uniprot/A0A0D2NDD9","A0A0D2NDD9")</f>
        <v>A0A0D2NDD9</v>
      </c>
      <c r="D12523" s="2" t="s">
        <v>10432</v>
      </c>
      <c r="E12523" s="3">
        <v>1.28E-79</v>
      </c>
      <c r="F12523" s="2">
        <v>713</v>
      </c>
      <c r="G12523" s="2">
        <v>39</v>
      </c>
      <c r="H12523" s="2">
        <v>512</v>
      </c>
      <c r="I12523" s="2">
        <v>35</v>
      </c>
      <c r="J12523" s="2">
        <v>1435</v>
      </c>
      <c r="K12523" s="2">
        <v>665</v>
      </c>
      <c r="L12523" s="2">
        <v>1167</v>
      </c>
    </row>
    <row r="12524" spans="1:12" x14ac:dyDescent="0.25">
      <c r="A12524" s="4" t="str">
        <f>HYPERLINK("http://www.rosaceae.org/Prunus/Prunus_persica/p.persica_gdr_reftransV1_0048222","p.persica_gdr_reftransV1_0048222")</f>
        <v>p.persica_gdr_reftransV1_0048222</v>
      </c>
      <c r="B12524" s="2">
        <v>1553</v>
      </c>
      <c r="C12524" s="4" t="str">
        <f>HYPERLINK("http://www.uniprot.org/uniprot/M5WNZ5","M5WNZ5")</f>
        <v>M5WNZ5</v>
      </c>
      <c r="D12524" s="2" t="s">
        <v>5488</v>
      </c>
      <c r="E12524" s="3">
        <v>0</v>
      </c>
      <c r="F12524" s="2">
        <v>1719</v>
      </c>
      <c r="G12524" s="2">
        <v>100</v>
      </c>
      <c r="H12524" s="2">
        <v>356</v>
      </c>
      <c r="I12524" s="2">
        <v>199</v>
      </c>
      <c r="J12524" s="2">
        <v>1266</v>
      </c>
      <c r="K12524" s="2">
        <v>1</v>
      </c>
      <c r="L12524" s="2">
        <v>356</v>
      </c>
    </row>
    <row r="12525" spans="1:12" x14ac:dyDescent="0.25">
      <c r="A12525" s="4" t="str">
        <f>HYPERLINK("http://www.rosaceae.org/Prunus/Prunus_persica/p.persica_gdr_reftransV1_0048572","p.persica_gdr_reftransV1_0048572")</f>
        <v>p.persica_gdr_reftransV1_0048572</v>
      </c>
      <c r="B12525" s="2">
        <v>1891</v>
      </c>
      <c r="C12525" s="4" t="str">
        <f>HYPERLINK("http://www.uniprot.org/uniprot/M5XQ14","M5XQ14")</f>
        <v>M5XQ14</v>
      </c>
      <c r="D12525" s="2" t="s">
        <v>10433</v>
      </c>
      <c r="E12525" s="3">
        <v>0</v>
      </c>
      <c r="F12525" s="2">
        <v>2398</v>
      </c>
      <c r="G12525" s="2">
        <v>100</v>
      </c>
      <c r="H12525" s="2">
        <v>486</v>
      </c>
      <c r="I12525" s="2">
        <v>128</v>
      </c>
      <c r="J12525" s="2">
        <v>1585</v>
      </c>
      <c r="K12525" s="2">
        <v>1</v>
      </c>
      <c r="L12525" s="2">
        <v>486</v>
      </c>
    </row>
    <row r="12526" spans="1:12" x14ac:dyDescent="0.25">
      <c r="A12526" s="4" t="str">
        <f>HYPERLINK("http://www.rosaceae.org/Prunus/Prunus_persica/p.persica_gdr_reftransV1_0048922","p.persica_gdr_reftransV1_0048922")</f>
        <v>p.persica_gdr_reftransV1_0048922</v>
      </c>
      <c r="B12526" s="2">
        <v>386</v>
      </c>
      <c r="C12526" s="4" t="str">
        <f>HYPERLINK("http://www.uniprot.org/uniprot/A5AZ88","A5AZ88")</f>
        <v>A5AZ88</v>
      </c>
      <c r="D12526" s="2" t="s">
        <v>10434</v>
      </c>
      <c r="E12526" s="3">
        <v>1.52E-22</v>
      </c>
      <c r="F12526" s="2">
        <v>256</v>
      </c>
      <c r="G12526" s="2">
        <v>45</v>
      </c>
      <c r="H12526" s="2">
        <v>118</v>
      </c>
      <c r="I12526" s="2">
        <v>1</v>
      </c>
      <c r="J12526" s="2">
        <v>348</v>
      </c>
      <c r="K12526" s="2">
        <v>426</v>
      </c>
      <c r="L12526" s="2">
        <v>543</v>
      </c>
    </row>
    <row r="12527" spans="1:12" x14ac:dyDescent="0.25">
      <c r="A12527" s="4" t="str">
        <f>HYPERLINK("http://www.rosaceae.org/Prunus/Prunus_persica/p.persica_gdr_reftransV1_0000623","p.persica_gdr_reftransV1_0000623")</f>
        <v>p.persica_gdr_reftransV1_0000623</v>
      </c>
      <c r="B12527" s="2">
        <v>3618</v>
      </c>
      <c r="C12527" s="4" t="str">
        <f>HYPERLINK("http://www.uniprot.org/uniprot/M5VTD0","M5VTD0")</f>
        <v>M5VTD0</v>
      </c>
      <c r="D12527" s="2" t="s">
        <v>9100</v>
      </c>
      <c r="E12527" s="3">
        <v>0</v>
      </c>
      <c r="F12527" s="2">
        <v>5318</v>
      </c>
      <c r="G12527" s="2">
        <v>98</v>
      </c>
      <c r="H12527" s="2">
        <v>1076</v>
      </c>
      <c r="I12527" s="2">
        <v>294</v>
      </c>
      <c r="J12527" s="2">
        <v>3521</v>
      </c>
      <c r="K12527" s="2">
        <v>1</v>
      </c>
      <c r="L12527" s="2">
        <v>1053</v>
      </c>
    </row>
    <row r="12528" spans="1:12" x14ac:dyDescent="0.25">
      <c r="A12528" s="4" t="str">
        <f>HYPERLINK("http://www.rosaceae.org/Prunus/Prunus_persica/p.persica_gdr_reftransV1_0000973","p.persica_gdr_reftransV1_0000973")</f>
        <v>p.persica_gdr_reftransV1_0000973</v>
      </c>
      <c r="B12528" s="2">
        <v>1378</v>
      </c>
      <c r="C12528" s="4" t="str">
        <f>HYPERLINK("http://www.uniprot.org/uniprot/M5WSZ8","M5WSZ8")</f>
        <v>M5WSZ8</v>
      </c>
      <c r="D12528" s="2" t="s">
        <v>409</v>
      </c>
      <c r="E12528" s="3">
        <v>0</v>
      </c>
      <c r="F12528" s="2">
        <v>1553</v>
      </c>
      <c r="G12528" s="2">
        <v>100</v>
      </c>
      <c r="H12528" s="2">
        <v>304</v>
      </c>
      <c r="I12528" s="2">
        <v>393</v>
      </c>
      <c r="J12528" s="2">
        <v>1304</v>
      </c>
      <c r="K12528" s="2">
        <v>48</v>
      </c>
      <c r="L12528" s="2">
        <v>351</v>
      </c>
    </row>
    <row r="12529" spans="1:12" x14ac:dyDescent="0.25">
      <c r="A12529" s="4" t="str">
        <f>HYPERLINK("http://www.rosaceae.org/Prunus/Prunus_persica/p.persica_gdr_reftransV1_0001323","p.persica_gdr_reftransV1_0001323")</f>
        <v>p.persica_gdr_reftransV1_0001323</v>
      </c>
      <c r="B12529" s="2">
        <v>1373</v>
      </c>
      <c r="C12529" s="4" t="str">
        <f>HYPERLINK("http://www.uniprot.org/uniprot/M5YA03","M5YA03")</f>
        <v>M5YA03</v>
      </c>
      <c r="D12529" s="2" t="s">
        <v>7613</v>
      </c>
      <c r="E12529" s="3">
        <v>0</v>
      </c>
      <c r="F12529" s="2">
        <v>1552</v>
      </c>
      <c r="G12529" s="2">
        <v>100</v>
      </c>
      <c r="H12529" s="2">
        <v>299</v>
      </c>
      <c r="I12529" s="2">
        <v>345</v>
      </c>
      <c r="J12529" s="2">
        <v>1241</v>
      </c>
      <c r="K12529" s="2">
        <v>1</v>
      </c>
      <c r="L12529" s="2">
        <v>299</v>
      </c>
    </row>
    <row r="12530" spans="1:12" x14ac:dyDescent="0.25">
      <c r="A12530" s="4" t="str">
        <f>HYPERLINK("http://www.rosaceae.org/Prunus/Prunus_persica/p.persica_gdr_reftransV1_0001673","p.persica_gdr_reftransV1_0001673")</f>
        <v>p.persica_gdr_reftransV1_0001673</v>
      </c>
      <c r="B12530" s="2">
        <v>1644</v>
      </c>
      <c r="C12530" s="4" t="str">
        <f>HYPERLINK("http://www.uniprot.org/uniprot/M5WTD9","M5WTD9")</f>
        <v>M5WTD9</v>
      </c>
      <c r="D12530" s="2" t="s">
        <v>10435</v>
      </c>
      <c r="E12530" s="3">
        <v>0</v>
      </c>
      <c r="F12530" s="2">
        <v>1340</v>
      </c>
      <c r="G12530" s="2">
        <v>99</v>
      </c>
      <c r="H12530" s="2">
        <v>296</v>
      </c>
      <c r="I12530" s="2">
        <v>33</v>
      </c>
      <c r="J12530" s="2">
        <v>920</v>
      </c>
      <c r="K12530" s="2">
        <v>1</v>
      </c>
      <c r="L12530" s="2">
        <v>296</v>
      </c>
    </row>
    <row r="12531" spans="1:12" x14ac:dyDescent="0.25">
      <c r="A12531" s="4" t="str">
        <f>HYPERLINK("http://www.rosaceae.org/Prunus/Prunus_persica/p.persica_gdr_reftransV1_0002023","p.persica_gdr_reftransV1_0002023")</f>
        <v>p.persica_gdr_reftransV1_0002023</v>
      </c>
      <c r="B12531" s="2">
        <v>316</v>
      </c>
      <c r="C12531" s="4" t="str">
        <f>HYPERLINK("http://www.uniprot.org/uniprot/M5W514","M5W514")</f>
        <v>M5W514</v>
      </c>
      <c r="D12531" s="2" t="s">
        <v>5750</v>
      </c>
      <c r="E12531" s="3">
        <v>9.9000000000000006E-61</v>
      </c>
      <c r="F12531" s="2">
        <v>534</v>
      </c>
      <c r="G12531" s="2">
        <v>100</v>
      </c>
      <c r="H12531" s="2">
        <v>98</v>
      </c>
      <c r="I12531" s="2">
        <v>3</v>
      </c>
      <c r="J12531" s="2">
        <v>296</v>
      </c>
      <c r="K12531" s="2">
        <v>1</v>
      </c>
      <c r="L12531" s="2">
        <v>98</v>
      </c>
    </row>
    <row r="12532" spans="1:12" x14ac:dyDescent="0.25">
      <c r="A12532" s="4" t="str">
        <f>HYPERLINK("http://www.rosaceae.org/Prunus/Prunus_persica/p.persica_gdr_reftransV1_0002723","p.persica_gdr_reftransV1_0002723")</f>
        <v>p.persica_gdr_reftransV1_0002723</v>
      </c>
      <c r="B12532" s="2">
        <v>319</v>
      </c>
      <c r="C12532" s="4" t="str">
        <f>HYPERLINK("http://www.uniprot.org/uniprot/M5W8Z4","M5W8Z4")</f>
        <v>M5W8Z4</v>
      </c>
      <c r="D12532" s="2" t="s">
        <v>1553</v>
      </c>
      <c r="E12532" s="3">
        <v>5.7099999999999998E-67</v>
      </c>
      <c r="F12532" s="2">
        <v>560</v>
      </c>
      <c r="G12532" s="2">
        <v>100</v>
      </c>
      <c r="H12532" s="2">
        <v>106</v>
      </c>
      <c r="I12532" s="2">
        <v>2</v>
      </c>
      <c r="J12532" s="2">
        <v>319</v>
      </c>
      <c r="K12532" s="2">
        <v>80</v>
      </c>
      <c r="L12532" s="2">
        <v>185</v>
      </c>
    </row>
    <row r="12533" spans="1:12" x14ac:dyDescent="0.25">
      <c r="A12533" s="4" t="str">
        <f>HYPERLINK("http://www.rosaceae.org/Prunus/Prunus_persica/p.persica_gdr_reftransV1_0003073","p.persica_gdr_reftransV1_0003073")</f>
        <v>p.persica_gdr_reftransV1_0003073</v>
      </c>
      <c r="B12533" s="2">
        <v>1326</v>
      </c>
      <c r="C12533" s="4" t="str">
        <f>HYPERLINK("http://www.uniprot.org/uniprot/M5VVY4","M5VVY4")</f>
        <v>M5VVY4</v>
      </c>
      <c r="D12533" s="2" t="s">
        <v>9026</v>
      </c>
      <c r="E12533" s="3">
        <v>0</v>
      </c>
      <c r="F12533" s="2">
        <v>1927</v>
      </c>
      <c r="G12533" s="2">
        <v>100</v>
      </c>
      <c r="H12533" s="2">
        <v>372</v>
      </c>
      <c r="I12533" s="2">
        <v>104</v>
      </c>
      <c r="J12533" s="2">
        <v>1219</v>
      </c>
      <c r="K12533" s="2">
        <v>1</v>
      </c>
      <c r="L12533" s="2">
        <v>372</v>
      </c>
    </row>
    <row r="12534" spans="1:12" x14ac:dyDescent="0.25">
      <c r="A12534" s="4" t="str">
        <f>HYPERLINK("http://www.rosaceae.org/Prunus/Prunus_persica/p.persica_gdr_reftransV1_0003423","p.persica_gdr_reftransV1_0003423")</f>
        <v>p.persica_gdr_reftransV1_0003423</v>
      </c>
      <c r="B12534" s="2">
        <v>2209</v>
      </c>
      <c r="C12534" s="4" t="str">
        <f>HYPERLINK("http://www.uniprot.org/uniprot/M5WH19","M5WH19")</f>
        <v>M5WH19</v>
      </c>
      <c r="D12534" s="2" t="s">
        <v>10436</v>
      </c>
      <c r="E12534" s="3">
        <v>0</v>
      </c>
      <c r="F12534" s="2">
        <v>2796</v>
      </c>
      <c r="G12534" s="2">
        <v>100</v>
      </c>
      <c r="H12534" s="2">
        <v>533</v>
      </c>
      <c r="I12534" s="2">
        <v>433</v>
      </c>
      <c r="J12534" s="2">
        <v>2031</v>
      </c>
      <c r="K12534" s="2">
        <v>118</v>
      </c>
      <c r="L12534" s="2">
        <v>650</v>
      </c>
    </row>
    <row r="12535" spans="1:12" x14ac:dyDescent="0.25">
      <c r="A12535" s="4" t="str">
        <f>HYPERLINK("http://www.rosaceae.org/Prunus/Prunus_persica/p.persica_gdr_reftransV1_0004123","p.persica_gdr_reftransV1_0004123")</f>
        <v>p.persica_gdr_reftransV1_0004123</v>
      </c>
      <c r="B12535" s="2">
        <v>1210</v>
      </c>
      <c r="C12535" s="4" t="str">
        <f>HYPERLINK("http://www.uniprot.org/uniprot/A4GRE2","A4GRE2")</f>
        <v>A4GRE2</v>
      </c>
      <c r="D12535" s="2" t="s">
        <v>10437</v>
      </c>
      <c r="E12535" s="3">
        <v>0</v>
      </c>
      <c r="F12535" s="2">
        <v>1625</v>
      </c>
      <c r="G12535" s="2">
        <v>100</v>
      </c>
      <c r="H12535" s="2">
        <v>311</v>
      </c>
      <c r="I12535" s="2">
        <v>207</v>
      </c>
      <c r="J12535" s="2">
        <v>1139</v>
      </c>
      <c r="K12535" s="2">
        <v>20</v>
      </c>
      <c r="L12535" s="2">
        <v>330</v>
      </c>
    </row>
    <row r="12536" spans="1:12" x14ac:dyDescent="0.25">
      <c r="A12536" s="4" t="str">
        <f>HYPERLINK("http://www.rosaceae.org/Prunus/Prunus_persica/p.persica_gdr_reftransV1_0004473","p.persica_gdr_reftransV1_0004473")</f>
        <v>p.persica_gdr_reftransV1_0004473</v>
      </c>
      <c r="B12536" s="2">
        <v>1153</v>
      </c>
      <c r="C12536" s="4" t="str">
        <f>HYPERLINK("http://www.uniprot.org/uniprot/A0A061ERS6","A0A061ERS6")</f>
        <v>A0A061ERS6</v>
      </c>
      <c r="D12536" s="2" t="s">
        <v>10438</v>
      </c>
      <c r="E12536" s="3">
        <v>2.35E-71</v>
      </c>
      <c r="F12536" s="2">
        <v>628</v>
      </c>
      <c r="G12536" s="2">
        <v>61</v>
      </c>
      <c r="H12536" s="2">
        <v>212</v>
      </c>
      <c r="I12536" s="2">
        <v>1</v>
      </c>
      <c r="J12536" s="2">
        <v>636</v>
      </c>
      <c r="K12536" s="2">
        <v>474</v>
      </c>
      <c r="L12536" s="2">
        <v>642</v>
      </c>
    </row>
    <row r="12537" spans="1:12" x14ac:dyDescent="0.25">
      <c r="A12537" s="4" t="str">
        <f>HYPERLINK("http://www.rosaceae.org/Prunus/Prunus_persica/p.persica_gdr_reftransV1_0004823","p.persica_gdr_reftransV1_0004823")</f>
        <v>p.persica_gdr_reftransV1_0004823</v>
      </c>
      <c r="B12537" s="2">
        <v>2043</v>
      </c>
      <c r="C12537" s="4" t="str">
        <f>HYPERLINK("http://www.uniprot.org/uniprot/M5W9C6","M5W9C6")</f>
        <v>M5W9C6</v>
      </c>
      <c r="D12537" s="2" t="s">
        <v>6146</v>
      </c>
      <c r="E12537" s="3">
        <v>2.1200000000000001E-162</v>
      </c>
      <c r="F12537" s="2">
        <v>1252</v>
      </c>
      <c r="G12537" s="2">
        <v>88</v>
      </c>
      <c r="H12537" s="2">
        <v>281</v>
      </c>
      <c r="I12537" s="2">
        <v>113</v>
      </c>
      <c r="J12537" s="2">
        <v>928</v>
      </c>
      <c r="K12537" s="2">
        <v>163</v>
      </c>
      <c r="L12537" s="2">
        <v>442</v>
      </c>
    </row>
    <row r="12538" spans="1:12" x14ac:dyDescent="0.25">
      <c r="A12538" s="4" t="str">
        <f>HYPERLINK("http://www.rosaceae.org/Prunus/Prunus_persica/p.persica_gdr_reftransV1_0005523","p.persica_gdr_reftransV1_0005523")</f>
        <v>p.persica_gdr_reftransV1_0005523</v>
      </c>
      <c r="B12538" s="2">
        <v>4223</v>
      </c>
      <c r="C12538" s="4" t="str">
        <f>HYPERLINK("http://www.uniprot.org/uniprot/M5XL50","M5XL50")</f>
        <v>M5XL50</v>
      </c>
      <c r="D12538" s="2" t="s">
        <v>564</v>
      </c>
      <c r="E12538" s="3">
        <v>0</v>
      </c>
      <c r="F12538" s="2">
        <v>3744</v>
      </c>
      <c r="G12538" s="2">
        <v>100</v>
      </c>
      <c r="H12538" s="2">
        <v>754</v>
      </c>
      <c r="I12538" s="2">
        <v>1790</v>
      </c>
      <c r="J12538" s="2">
        <v>4051</v>
      </c>
      <c r="K12538" s="2">
        <v>573</v>
      </c>
      <c r="L12538" s="2">
        <v>1326</v>
      </c>
    </row>
    <row r="12539" spans="1:12" x14ac:dyDescent="0.25">
      <c r="A12539" s="4" t="str">
        <f>HYPERLINK("http://www.rosaceae.org/Prunus/Prunus_persica/p.persica_gdr_reftransV1_0005873","p.persica_gdr_reftransV1_0005873")</f>
        <v>p.persica_gdr_reftransV1_0005873</v>
      </c>
      <c r="B12539" s="2">
        <v>1880</v>
      </c>
      <c r="C12539" s="4" t="str">
        <f>HYPERLINK("http://www.uniprot.org/uniprot/M5Y3B0","M5Y3B0")</f>
        <v>M5Y3B0</v>
      </c>
      <c r="D12539" s="2" t="s">
        <v>5053</v>
      </c>
      <c r="E12539" s="3">
        <v>0</v>
      </c>
      <c r="F12539" s="2">
        <v>1492</v>
      </c>
      <c r="G12539" s="2">
        <v>97</v>
      </c>
      <c r="H12539" s="2">
        <v>289</v>
      </c>
      <c r="I12539" s="2">
        <v>819</v>
      </c>
      <c r="J12539" s="2">
        <v>1685</v>
      </c>
      <c r="K12539" s="2">
        <v>133</v>
      </c>
      <c r="L12539" s="2">
        <v>421</v>
      </c>
    </row>
    <row r="12540" spans="1:12" x14ac:dyDescent="0.25">
      <c r="A12540" s="4" t="str">
        <f>HYPERLINK("http://www.rosaceae.org/Prunus/Prunus_persica/p.persica_gdr_reftransV1_0006223","p.persica_gdr_reftransV1_0006223")</f>
        <v>p.persica_gdr_reftransV1_0006223</v>
      </c>
      <c r="B12540" s="2">
        <v>588</v>
      </c>
      <c r="C12540" s="4" t="str">
        <f>HYPERLINK("http://www.uniprot.org/uniprot/A0A061DXD3","A0A061DXD3")</f>
        <v>A0A061DXD3</v>
      </c>
      <c r="D12540" s="2" t="s">
        <v>10439</v>
      </c>
      <c r="E12540" s="3">
        <v>1.9899999999999999E-31</v>
      </c>
      <c r="F12540" s="2">
        <v>313</v>
      </c>
      <c r="G12540" s="2">
        <v>50</v>
      </c>
      <c r="H12540" s="2">
        <v>140</v>
      </c>
      <c r="I12540" s="2">
        <v>176</v>
      </c>
      <c r="J12540" s="2">
        <v>580</v>
      </c>
      <c r="K12540" s="2">
        <v>112</v>
      </c>
      <c r="L12540" s="2">
        <v>251</v>
      </c>
    </row>
    <row r="12541" spans="1:12" x14ac:dyDescent="0.25">
      <c r="A12541" s="4" t="str">
        <f>HYPERLINK("http://www.rosaceae.org/Prunus/Prunus_persica/p.persica_gdr_reftransV1_0006573","p.persica_gdr_reftransV1_0006573")</f>
        <v>p.persica_gdr_reftransV1_0006573</v>
      </c>
      <c r="B12541" s="2">
        <v>535</v>
      </c>
      <c r="C12541" s="4" t="str">
        <f>HYPERLINK("http://www.uniprot.org/uniprot/M5Y449","M5Y449")</f>
        <v>M5Y449</v>
      </c>
      <c r="D12541" s="2" t="s">
        <v>2079</v>
      </c>
      <c r="E12541" s="3">
        <v>3.1899999999999999E-86</v>
      </c>
      <c r="F12541" s="2">
        <v>725</v>
      </c>
      <c r="G12541" s="2">
        <v>100</v>
      </c>
      <c r="H12541" s="2">
        <v>150</v>
      </c>
      <c r="I12541" s="2">
        <v>3</v>
      </c>
      <c r="J12541" s="2">
        <v>452</v>
      </c>
      <c r="K12541" s="2">
        <v>836</v>
      </c>
      <c r="L12541" s="2">
        <v>985</v>
      </c>
    </row>
    <row r="12542" spans="1:12" x14ac:dyDescent="0.25">
      <c r="A12542" s="4" t="str">
        <f>HYPERLINK("http://www.rosaceae.org/Prunus/Prunus_persica/p.persica_gdr_reftransV1_0007623","p.persica_gdr_reftransV1_0007623")</f>
        <v>p.persica_gdr_reftransV1_0007623</v>
      </c>
      <c r="B12542" s="2">
        <v>2796</v>
      </c>
      <c r="C12542" s="4" t="str">
        <f>HYPERLINK("http://www.uniprot.org/uniprot/M5WQI8","M5WQI8")</f>
        <v>M5WQI8</v>
      </c>
      <c r="D12542" s="2" t="s">
        <v>5186</v>
      </c>
      <c r="E12542" s="3">
        <v>0</v>
      </c>
      <c r="F12542" s="2">
        <v>3984</v>
      </c>
      <c r="G12542" s="2">
        <v>100</v>
      </c>
      <c r="H12542" s="2">
        <v>871</v>
      </c>
      <c r="I12542" s="2">
        <v>2</v>
      </c>
      <c r="J12542" s="2">
        <v>2614</v>
      </c>
      <c r="K12542" s="2">
        <v>40</v>
      </c>
      <c r="L12542" s="2">
        <v>910</v>
      </c>
    </row>
    <row r="12543" spans="1:12" x14ac:dyDescent="0.25">
      <c r="A12543" s="4" t="str">
        <f>HYPERLINK("http://www.rosaceae.org/Prunus/Prunus_persica/p.persica_gdr_reftransV1_0007973","p.persica_gdr_reftransV1_0007973")</f>
        <v>p.persica_gdr_reftransV1_0007973</v>
      </c>
      <c r="B12543" s="2">
        <v>682</v>
      </c>
      <c r="C12543" s="4" t="str">
        <f>HYPERLINK("http://www.uniprot.org/uniprot/S8D4Z9","S8D4Z9")</f>
        <v>S8D4Z9</v>
      </c>
      <c r="D12543" s="2" t="s">
        <v>10440</v>
      </c>
      <c r="E12543" s="3">
        <v>2.55E-104</v>
      </c>
      <c r="F12543" s="2">
        <v>752</v>
      </c>
      <c r="G12543" s="2">
        <v>91</v>
      </c>
      <c r="H12543" s="2">
        <v>151</v>
      </c>
      <c r="I12543" s="2">
        <v>227</v>
      </c>
      <c r="J12543" s="2">
        <v>679</v>
      </c>
      <c r="K12543" s="2">
        <v>1063</v>
      </c>
      <c r="L12543" s="2">
        <v>1213</v>
      </c>
    </row>
    <row r="12544" spans="1:12" x14ac:dyDescent="0.25">
      <c r="A12544" s="4" t="str">
        <f>HYPERLINK("http://www.rosaceae.org/Prunus/Prunus_persica/p.persica_gdr_reftransV1_0008323","p.persica_gdr_reftransV1_0008323")</f>
        <v>p.persica_gdr_reftransV1_0008323</v>
      </c>
      <c r="B12544" s="2">
        <v>657</v>
      </c>
      <c r="C12544" s="4" t="str">
        <f>HYPERLINK("http://www.uniprot.org/uniprot/M5W9Q0","M5W9Q0")</f>
        <v>M5W9Q0</v>
      </c>
      <c r="D12544" s="2" t="s">
        <v>10441</v>
      </c>
      <c r="E12544" s="3">
        <v>8.3399999999999998E-34</v>
      </c>
      <c r="F12544" s="2">
        <v>338</v>
      </c>
      <c r="G12544" s="2">
        <v>100</v>
      </c>
      <c r="H12544" s="2">
        <v>89</v>
      </c>
      <c r="I12544" s="2">
        <v>210</v>
      </c>
      <c r="J12544" s="2">
        <v>476</v>
      </c>
      <c r="K12544" s="2">
        <v>13</v>
      </c>
      <c r="L12544" s="2">
        <v>101</v>
      </c>
    </row>
    <row r="12545" spans="1:12" x14ac:dyDescent="0.25">
      <c r="A12545" s="4" t="str">
        <f>HYPERLINK("http://www.rosaceae.org/Prunus/Prunus_persica/p.persica_gdr_reftransV1_0008673","p.persica_gdr_reftransV1_0008673")</f>
        <v>p.persica_gdr_reftransV1_0008673</v>
      </c>
      <c r="B12545" s="2">
        <v>868</v>
      </c>
      <c r="C12545" s="4" t="str">
        <f>HYPERLINK("http://www.uniprot.org/uniprot/M5VN49","M5VN49")</f>
        <v>M5VN49</v>
      </c>
      <c r="D12545" s="2" t="s">
        <v>10442</v>
      </c>
      <c r="E12545" s="3">
        <v>5.7299999999999998E-66</v>
      </c>
      <c r="F12545" s="2">
        <v>541</v>
      </c>
      <c r="G12545" s="2">
        <v>100</v>
      </c>
      <c r="H12545" s="2">
        <v>102</v>
      </c>
      <c r="I12545" s="2">
        <v>271</v>
      </c>
      <c r="J12545" s="2">
        <v>576</v>
      </c>
      <c r="K12545" s="2">
        <v>1</v>
      </c>
      <c r="L12545" s="2">
        <v>102</v>
      </c>
    </row>
    <row r="12546" spans="1:12" x14ac:dyDescent="0.25">
      <c r="A12546" s="4" t="str">
        <f>HYPERLINK("http://www.rosaceae.org/Prunus/Prunus_persica/p.persica_gdr_reftransV1_0009373","p.persica_gdr_reftransV1_0009373")</f>
        <v>p.persica_gdr_reftransV1_0009373</v>
      </c>
      <c r="B12546" s="2">
        <v>1046</v>
      </c>
      <c r="C12546" s="4" t="str">
        <f>HYPERLINK("http://www.uniprot.org/uniprot/M5WPT8","M5WPT8")</f>
        <v>M5WPT8</v>
      </c>
      <c r="D12546" s="2" t="s">
        <v>10443</v>
      </c>
      <c r="E12546" s="3">
        <v>1.4700000000000001E-81</v>
      </c>
      <c r="F12546" s="2">
        <v>654</v>
      </c>
      <c r="G12546" s="2">
        <v>99</v>
      </c>
      <c r="H12546" s="2">
        <v>146</v>
      </c>
      <c r="I12546" s="2">
        <v>542</v>
      </c>
      <c r="J12546" s="2">
        <v>979</v>
      </c>
      <c r="K12546" s="2">
        <v>1</v>
      </c>
      <c r="L12546" s="2">
        <v>146</v>
      </c>
    </row>
    <row r="12547" spans="1:12" x14ac:dyDescent="0.25">
      <c r="A12547" s="4" t="str">
        <f>HYPERLINK("http://www.rosaceae.org/Prunus/Prunus_persica/p.persica_gdr_reftransV1_0009723","p.persica_gdr_reftransV1_0009723")</f>
        <v>p.persica_gdr_reftransV1_0009723</v>
      </c>
      <c r="B12547" s="2">
        <v>747</v>
      </c>
      <c r="C12547" s="4" t="str">
        <f>HYPERLINK("http://www.uniprot.org/uniprot/M5WVX3","M5WVX3")</f>
        <v>M5WVX3</v>
      </c>
      <c r="D12547" s="2" t="s">
        <v>10444</v>
      </c>
      <c r="E12547" s="3">
        <v>4.5399999999999998E-62</v>
      </c>
      <c r="F12547" s="2">
        <v>511</v>
      </c>
      <c r="G12547" s="2">
        <v>100</v>
      </c>
      <c r="H12547" s="2">
        <v>100</v>
      </c>
      <c r="I12547" s="2">
        <v>165</v>
      </c>
      <c r="J12547" s="2">
        <v>464</v>
      </c>
      <c r="K12547" s="2">
        <v>1</v>
      </c>
      <c r="L12547" s="2">
        <v>100</v>
      </c>
    </row>
    <row r="12548" spans="1:12" x14ac:dyDescent="0.25">
      <c r="A12548" s="4" t="str">
        <f>HYPERLINK("http://www.rosaceae.org/Prunus/Prunus_persica/p.persica_gdr_reftransV1_0010073","p.persica_gdr_reftransV1_0010073")</f>
        <v>p.persica_gdr_reftransV1_0010073</v>
      </c>
      <c r="B12548" s="2">
        <v>1272</v>
      </c>
      <c r="C12548" s="4" t="str">
        <f>HYPERLINK("http://www.uniprot.org/uniprot/M5VXR9","M5VXR9")</f>
        <v>M5VXR9</v>
      </c>
      <c r="D12548" s="2" t="s">
        <v>10445</v>
      </c>
      <c r="E12548" s="3">
        <v>1.8400000000000001E-112</v>
      </c>
      <c r="F12548" s="2">
        <v>872</v>
      </c>
      <c r="G12548" s="2">
        <v>100</v>
      </c>
      <c r="H12548" s="2">
        <v>198</v>
      </c>
      <c r="I12548" s="2">
        <v>364</v>
      </c>
      <c r="J12548" s="2">
        <v>957</v>
      </c>
      <c r="K12548" s="2">
        <v>1</v>
      </c>
      <c r="L12548" s="2">
        <v>198</v>
      </c>
    </row>
    <row r="12549" spans="1:12" x14ac:dyDescent="0.25">
      <c r="A12549" s="4" t="str">
        <f>HYPERLINK("http://www.rosaceae.org/Prunus/Prunus_persica/p.persica_gdr_reftransV1_0010423","p.persica_gdr_reftransV1_0010423")</f>
        <v>p.persica_gdr_reftransV1_0010423</v>
      </c>
      <c r="B12549" s="2">
        <v>2364</v>
      </c>
      <c r="C12549" s="4" t="str">
        <f>HYPERLINK("http://www.uniprot.org/uniprot/M5W8G3","M5W8G3")</f>
        <v>M5W8G3</v>
      </c>
      <c r="D12549" s="2" t="s">
        <v>10446</v>
      </c>
      <c r="E12549" s="3">
        <v>1E-10</v>
      </c>
      <c r="F12549" s="2">
        <v>169</v>
      </c>
      <c r="G12549" s="2">
        <v>97</v>
      </c>
      <c r="H12549" s="2">
        <v>34</v>
      </c>
      <c r="I12549" s="2">
        <v>1775</v>
      </c>
      <c r="J12549" s="2">
        <v>1876</v>
      </c>
      <c r="K12549" s="2">
        <v>50</v>
      </c>
      <c r="L12549" s="2">
        <v>83</v>
      </c>
    </row>
    <row r="12550" spans="1:12" x14ac:dyDescent="0.25">
      <c r="A12550" s="4" t="str">
        <f>HYPERLINK("http://www.rosaceae.org/Prunus/Prunus_persica/p.persica_gdr_reftransV1_0010773","p.persica_gdr_reftransV1_0010773")</f>
        <v>p.persica_gdr_reftransV1_0010773</v>
      </c>
      <c r="B12550" s="2">
        <v>904</v>
      </c>
      <c r="C12550" s="4" t="str">
        <f>HYPERLINK("http://www.uniprot.org/uniprot/M5VYX8","M5VYX8")</f>
        <v>M5VYX8</v>
      </c>
      <c r="D12550" s="2" t="s">
        <v>7654</v>
      </c>
      <c r="E12550" s="3">
        <v>3.3200000000000002E-120</v>
      </c>
      <c r="F12550" s="2">
        <v>938</v>
      </c>
      <c r="G12550" s="2">
        <v>100</v>
      </c>
      <c r="H12550" s="2">
        <v>203</v>
      </c>
      <c r="I12550" s="2">
        <v>173</v>
      </c>
      <c r="J12550" s="2">
        <v>781</v>
      </c>
      <c r="K12550" s="2">
        <v>1</v>
      </c>
      <c r="L12550" s="2">
        <v>203</v>
      </c>
    </row>
    <row r="12551" spans="1:12" x14ac:dyDescent="0.25">
      <c r="A12551" s="4" t="str">
        <f>HYPERLINK("http://www.rosaceae.org/Prunus/Prunus_persica/p.persica_gdr_reftransV1_0012173","p.persica_gdr_reftransV1_0012173")</f>
        <v>p.persica_gdr_reftransV1_0012173</v>
      </c>
      <c r="B12551" s="2">
        <v>3726</v>
      </c>
      <c r="C12551" s="4" t="str">
        <f>HYPERLINK("http://www.uniprot.org/uniprot/M5WQH6","M5WQH6")</f>
        <v>M5WQH6</v>
      </c>
      <c r="D12551" s="2" t="s">
        <v>1639</v>
      </c>
      <c r="E12551" s="3">
        <v>0</v>
      </c>
      <c r="F12551" s="2">
        <v>2638</v>
      </c>
      <c r="G12551" s="2">
        <v>100</v>
      </c>
      <c r="H12551" s="2">
        <v>536</v>
      </c>
      <c r="I12551" s="2">
        <v>284</v>
      </c>
      <c r="J12551" s="2">
        <v>1891</v>
      </c>
      <c r="K12551" s="2">
        <v>1</v>
      </c>
      <c r="L12551" s="2">
        <v>536</v>
      </c>
    </row>
    <row r="12552" spans="1:12" x14ac:dyDescent="0.25">
      <c r="A12552" s="4" t="str">
        <f>HYPERLINK("http://www.rosaceae.org/Prunus/Prunus_persica/p.persica_gdr_reftransV1_0013573","p.persica_gdr_reftransV1_0013573")</f>
        <v>p.persica_gdr_reftransV1_0013573</v>
      </c>
      <c r="B12552" s="2">
        <v>1252</v>
      </c>
      <c r="C12552" s="4" t="str">
        <f>HYPERLINK("http://www.uniprot.org/uniprot/M5XTG8","M5XTG8")</f>
        <v>M5XTG8</v>
      </c>
      <c r="D12552" s="2" t="s">
        <v>10447</v>
      </c>
      <c r="E12552" s="3">
        <v>6.7999999999999995E-85</v>
      </c>
      <c r="F12552" s="2">
        <v>683</v>
      </c>
      <c r="G12552" s="2">
        <v>100</v>
      </c>
      <c r="H12552" s="2">
        <v>149</v>
      </c>
      <c r="I12552" s="2">
        <v>141</v>
      </c>
      <c r="J12552" s="2">
        <v>587</v>
      </c>
      <c r="K12552" s="2">
        <v>1</v>
      </c>
      <c r="L12552" s="2">
        <v>149</v>
      </c>
    </row>
    <row r="12553" spans="1:12" x14ac:dyDescent="0.25">
      <c r="A12553" s="4" t="str">
        <f>HYPERLINK("http://www.rosaceae.org/Prunus/Prunus_persica/p.persica_gdr_reftransV1_0014273","p.persica_gdr_reftransV1_0014273")</f>
        <v>p.persica_gdr_reftransV1_0014273</v>
      </c>
      <c r="B12553" s="2">
        <v>1624</v>
      </c>
      <c r="C12553" s="4" t="str">
        <f>HYPERLINK("http://www.uniprot.org/uniprot/M5WSG5","M5WSG5")</f>
        <v>M5WSG5</v>
      </c>
      <c r="D12553" s="2" t="s">
        <v>10448</v>
      </c>
      <c r="E12553" s="3">
        <v>8.8699999999999996E-161</v>
      </c>
      <c r="F12553" s="2">
        <v>1221</v>
      </c>
      <c r="G12553" s="2">
        <v>100</v>
      </c>
      <c r="H12553" s="2">
        <v>371</v>
      </c>
      <c r="I12553" s="2">
        <v>180</v>
      </c>
      <c r="J12553" s="2">
        <v>1292</v>
      </c>
      <c r="K12553" s="2">
        <v>1</v>
      </c>
      <c r="L12553" s="2">
        <v>371</v>
      </c>
    </row>
    <row r="12554" spans="1:12" x14ac:dyDescent="0.25">
      <c r="A12554" s="4" t="str">
        <f>HYPERLINK("http://www.rosaceae.org/Prunus/Prunus_persica/p.persica_gdr_reftransV1_0014623","p.persica_gdr_reftransV1_0014623")</f>
        <v>p.persica_gdr_reftransV1_0014623</v>
      </c>
      <c r="B12554" s="2">
        <v>1223</v>
      </c>
      <c r="C12554" s="4" t="str">
        <f>HYPERLINK("http://www.uniprot.org/uniprot/M5VJV3","M5VJV3")</f>
        <v>M5VJV3</v>
      </c>
      <c r="D12554" s="2" t="s">
        <v>10449</v>
      </c>
      <c r="E12554" s="3">
        <v>1.1100000000000001E-25</v>
      </c>
      <c r="F12554" s="2">
        <v>245</v>
      </c>
      <c r="G12554" s="2">
        <v>36</v>
      </c>
      <c r="H12554" s="2">
        <v>191</v>
      </c>
      <c r="I12554" s="2">
        <v>139</v>
      </c>
      <c r="J12554" s="2">
        <v>699</v>
      </c>
      <c r="K12554" s="2">
        <v>3</v>
      </c>
      <c r="L12554" s="2">
        <v>142</v>
      </c>
    </row>
    <row r="12555" spans="1:12" x14ac:dyDescent="0.25">
      <c r="A12555" s="4" t="str">
        <f>HYPERLINK("http://www.rosaceae.org/Prunus/Prunus_persica/p.persica_gdr_reftransV1_0014973","p.persica_gdr_reftransV1_0014973")</f>
        <v>p.persica_gdr_reftransV1_0014973</v>
      </c>
      <c r="B12555" s="2">
        <v>2321</v>
      </c>
      <c r="C12555" s="4" t="str">
        <f>HYPERLINK("http://www.uniprot.org/uniprot/M5VQR9","M5VQR9")</f>
        <v>M5VQR9</v>
      </c>
      <c r="D12555" s="2" t="s">
        <v>10450</v>
      </c>
      <c r="E12555" s="3">
        <v>2.0099999999999999E-152</v>
      </c>
      <c r="F12555" s="2">
        <v>1177</v>
      </c>
      <c r="G12555" s="2">
        <v>100</v>
      </c>
      <c r="H12555" s="2">
        <v>218</v>
      </c>
      <c r="I12555" s="2">
        <v>1316</v>
      </c>
      <c r="J12555" s="2">
        <v>1969</v>
      </c>
      <c r="K12555" s="2">
        <v>66</v>
      </c>
      <c r="L12555" s="2">
        <v>283</v>
      </c>
    </row>
    <row r="12556" spans="1:12" x14ac:dyDescent="0.25">
      <c r="A12556" s="4" t="str">
        <f>HYPERLINK("http://www.rosaceae.org/Prunus/Prunus_persica/p.persica_gdr_reftransV1_0016723","p.persica_gdr_reftransV1_0016723")</f>
        <v>p.persica_gdr_reftransV1_0016723</v>
      </c>
      <c r="B12556" s="2">
        <v>4739</v>
      </c>
      <c r="C12556" s="4" t="str">
        <f>HYPERLINK("http://www.uniprot.org/uniprot/M5VK84","M5VK84")</f>
        <v>M5VK84</v>
      </c>
      <c r="D12556" s="2" t="s">
        <v>190</v>
      </c>
      <c r="E12556" s="3">
        <v>0</v>
      </c>
      <c r="F12556" s="2">
        <v>7212</v>
      </c>
      <c r="G12556" s="2">
        <v>97</v>
      </c>
      <c r="H12556" s="2">
        <v>1412</v>
      </c>
      <c r="I12556" s="2">
        <v>252</v>
      </c>
      <c r="J12556" s="2">
        <v>4487</v>
      </c>
      <c r="K12556" s="2">
        <v>1</v>
      </c>
      <c r="L12556" s="2">
        <v>1412</v>
      </c>
    </row>
    <row r="12557" spans="1:12" x14ac:dyDescent="0.25">
      <c r="A12557" s="4" t="str">
        <f>HYPERLINK("http://www.rosaceae.org/Prunus/Prunus_persica/p.persica_gdr_reftransV1_0017073","p.persica_gdr_reftransV1_0017073")</f>
        <v>p.persica_gdr_reftransV1_0017073</v>
      </c>
      <c r="B12557" s="2">
        <v>2164</v>
      </c>
      <c r="C12557" s="4" t="str">
        <f>HYPERLINK("http://www.uniprot.org/uniprot/M5WS14","M5WS14")</f>
        <v>M5WS14</v>
      </c>
      <c r="D12557" s="2" t="s">
        <v>10451</v>
      </c>
      <c r="E12557" s="3">
        <v>0</v>
      </c>
      <c r="F12557" s="2">
        <v>2246</v>
      </c>
      <c r="G12557" s="2">
        <v>100</v>
      </c>
      <c r="H12557" s="2">
        <v>437</v>
      </c>
      <c r="I12557" s="2">
        <v>206</v>
      </c>
      <c r="J12557" s="2">
        <v>1516</v>
      </c>
      <c r="K12557" s="2">
        <v>1</v>
      </c>
      <c r="L12557" s="2">
        <v>437</v>
      </c>
    </row>
    <row r="12558" spans="1:12" x14ac:dyDescent="0.25">
      <c r="A12558" s="4" t="str">
        <f>HYPERLINK("http://www.rosaceae.org/Prunus/Prunus_persica/p.persica_gdr_reftransV1_0017773","p.persica_gdr_reftransV1_0017773")</f>
        <v>p.persica_gdr_reftransV1_0017773</v>
      </c>
      <c r="B12558" s="2">
        <v>1795</v>
      </c>
      <c r="C12558" s="4" t="str">
        <f>HYPERLINK("http://www.uniprot.org/uniprot/Q5DW96","Q5DW96")</f>
        <v>Q5DW96</v>
      </c>
      <c r="D12558" s="2" t="s">
        <v>10452</v>
      </c>
      <c r="E12558" s="3">
        <v>0</v>
      </c>
      <c r="F12558" s="2">
        <v>1886</v>
      </c>
      <c r="G12558" s="2">
        <v>93</v>
      </c>
      <c r="H12558" s="2">
        <v>404</v>
      </c>
      <c r="I12558" s="2">
        <v>369</v>
      </c>
      <c r="J12558" s="2">
        <v>1577</v>
      </c>
      <c r="K12558" s="2">
        <v>1</v>
      </c>
      <c r="L12558" s="2">
        <v>404</v>
      </c>
    </row>
    <row r="12559" spans="1:12" x14ac:dyDescent="0.25">
      <c r="A12559" s="4" t="str">
        <f>HYPERLINK("http://www.rosaceae.org/Prunus/Prunus_persica/p.persica_gdr_reftransV1_0019173","p.persica_gdr_reftransV1_0019173")</f>
        <v>p.persica_gdr_reftransV1_0019173</v>
      </c>
      <c r="B12559" s="2">
        <v>1929</v>
      </c>
      <c r="C12559" s="4" t="str">
        <f>HYPERLINK("http://www.uniprot.org/uniprot/M5XYL6","M5XYL6")</f>
        <v>M5XYL6</v>
      </c>
      <c r="D12559" s="2" t="s">
        <v>10453</v>
      </c>
      <c r="E12559" s="3">
        <v>0</v>
      </c>
      <c r="F12559" s="2">
        <v>2187</v>
      </c>
      <c r="G12559" s="2">
        <v>90</v>
      </c>
      <c r="H12559" s="2">
        <v>467</v>
      </c>
      <c r="I12559" s="2">
        <v>350</v>
      </c>
      <c r="J12559" s="2">
        <v>1729</v>
      </c>
      <c r="K12559" s="2">
        <v>1</v>
      </c>
      <c r="L12559" s="2">
        <v>459</v>
      </c>
    </row>
    <row r="12560" spans="1:12" x14ac:dyDescent="0.25">
      <c r="A12560" s="4" t="str">
        <f>HYPERLINK("http://www.rosaceae.org/Prunus/Prunus_persica/p.persica_gdr_reftransV1_0020223","p.persica_gdr_reftransV1_0020223")</f>
        <v>p.persica_gdr_reftransV1_0020223</v>
      </c>
      <c r="B12560" s="2">
        <v>3316</v>
      </c>
      <c r="C12560" s="4" t="str">
        <f>HYPERLINK("http://www.uniprot.org/uniprot/M5XKF5","M5XKF5")</f>
        <v>M5XKF5</v>
      </c>
      <c r="D12560" s="2" t="s">
        <v>10454</v>
      </c>
      <c r="E12560" s="3">
        <v>0</v>
      </c>
      <c r="F12560" s="2">
        <v>3765</v>
      </c>
      <c r="G12560" s="2">
        <v>100</v>
      </c>
      <c r="H12560" s="2">
        <v>711</v>
      </c>
      <c r="I12560" s="2">
        <v>374</v>
      </c>
      <c r="J12560" s="2">
        <v>2506</v>
      </c>
      <c r="K12560" s="2">
        <v>1</v>
      </c>
      <c r="L12560" s="2">
        <v>711</v>
      </c>
    </row>
    <row r="12561" spans="1:12" x14ac:dyDescent="0.25">
      <c r="A12561" s="4" t="str">
        <f>HYPERLINK("http://www.rosaceae.org/Prunus/Prunus_persica/p.persica_gdr_reftransV1_0020573","p.persica_gdr_reftransV1_0020573")</f>
        <v>p.persica_gdr_reftransV1_0020573</v>
      </c>
      <c r="B12561" s="2">
        <v>2129</v>
      </c>
      <c r="C12561" s="4" t="str">
        <f>HYPERLINK("http://www.uniprot.org/uniprot/M5XWY8","M5XWY8")</f>
        <v>M5XWY8</v>
      </c>
      <c r="D12561" s="2" t="s">
        <v>382</v>
      </c>
      <c r="E12561" s="3">
        <v>1.2999999999999999E-157</v>
      </c>
      <c r="F12561" s="2">
        <v>1006</v>
      </c>
      <c r="G12561" s="2">
        <v>100</v>
      </c>
      <c r="H12561" s="2">
        <v>230</v>
      </c>
      <c r="I12561" s="2">
        <v>737</v>
      </c>
      <c r="J12561" s="2">
        <v>1426</v>
      </c>
      <c r="K12561" s="2">
        <v>1</v>
      </c>
      <c r="L12561" s="2">
        <v>230</v>
      </c>
    </row>
    <row r="12562" spans="1:12" x14ac:dyDescent="0.25">
      <c r="A12562" s="4" t="str">
        <f>HYPERLINK("http://www.rosaceae.org/Prunus/Prunus_persica/p.persica_gdr_reftransV1_0020923","p.persica_gdr_reftransV1_0020923")</f>
        <v>p.persica_gdr_reftransV1_0020923</v>
      </c>
      <c r="B12562" s="2">
        <v>3893</v>
      </c>
      <c r="C12562" s="4" t="str">
        <f>HYPERLINK("http://www.uniprot.org/uniprot/M5WZF0","M5WZF0")</f>
        <v>M5WZF0</v>
      </c>
      <c r="D12562" s="2" t="s">
        <v>10455</v>
      </c>
      <c r="E12562" s="3">
        <v>0</v>
      </c>
      <c r="F12562" s="2">
        <v>3925</v>
      </c>
      <c r="G12562" s="2">
        <v>93</v>
      </c>
      <c r="H12562" s="2">
        <v>826</v>
      </c>
      <c r="I12562" s="2">
        <v>209</v>
      </c>
      <c r="J12562" s="2">
        <v>2686</v>
      </c>
      <c r="K12562" s="2">
        <v>1</v>
      </c>
      <c r="L12562" s="2">
        <v>770</v>
      </c>
    </row>
    <row r="12563" spans="1:12" x14ac:dyDescent="0.25">
      <c r="A12563" s="4" t="str">
        <f>HYPERLINK("http://www.rosaceae.org/Prunus/Prunus_persica/p.persica_gdr_reftransV1_0021273","p.persica_gdr_reftransV1_0021273")</f>
        <v>p.persica_gdr_reftransV1_0021273</v>
      </c>
      <c r="B12563" s="2">
        <v>2414</v>
      </c>
      <c r="C12563" s="4" t="str">
        <f>HYPERLINK("http://www.uniprot.org/uniprot/M5VIK0","M5VIK0")</f>
        <v>M5VIK0</v>
      </c>
      <c r="D12563" s="2" t="s">
        <v>2436</v>
      </c>
      <c r="E12563" s="3">
        <v>0</v>
      </c>
      <c r="F12563" s="2">
        <v>1972</v>
      </c>
      <c r="G12563" s="2">
        <v>96</v>
      </c>
      <c r="H12563" s="2">
        <v>406</v>
      </c>
      <c r="I12563" s="2">
        <v>1056</v>
      </c>
      <c r="J12563" s="2">
        <v>2273</v>
      </c>
      <c r="K12563" s="2">
        <v>1</v>
      </c>
      <c r="L12563" s="2">
        <v>406</v>
      </c>
    </row>
    <row r="12564" spans="1:12" x14ac:dyDescent="0.25">
      <c r="A12564" s="4" t="str">
        <f>HYPERLINK("http://www.rosaceae.org/Prunus/Prunus_persica/p.persica_gdr_reftransV1_0022673","p.persica_gdr_reftransV1_0022673")</f>
        <v>p.persica_gdr_reftransV1_0022673</v>
      </c>
      <c r="B12564" s="2">
        <v>1838</v>
      </c>
      <c r="C12564" s="4" t="str">
        <f>HYPERLINK("http://www.uniprot.org/uniprot/M5WCV3","M5WCV3")</f>
        <v>M5WCV3</v>
      </c>
      <c r="D12564" s="2" t="s">
        <v>10456</v>
      </c>
      <c r="E12564" s="3">
        <v>3.68E-141</v>
      </c>
      <c r="F12564" s="2">
        <v>1080</v>
      </c>
      <c r="G12564" s="2">
        <v>100</v>
      </c>
      <c r="H12564" s="2">
        <v>205</v>
      </c>
      <c r="I12564" s="2">
        <v>211</v>
      </c>
      <c r="J12564" s="2">
        <v>825</v>
      </c>
      <c r="K12564" s="2">
        <v>1</v>
      </c>
      <c r="L12564" s="2">
        <v>205</v>
      </c>
    </row>
    <row r="12565" spans="1:12" x14ac:dyDescent="0.25">
      <c r="A12565" s="4" t="str">
        <f>HYPERLINK("http://www.rosaceae.org/Prunus/Prunus_persica/p.persica_gdr_reftransV1_0023373","p.persica_gdr_reftransV1_0023373")</f>
        <v>p.persica_gdr_reftransV1_0023373</v>
      </c>
      <c r="B12565" s="2">
        <v>860</v>
      </c>
      <c r="C12565" s="4" t="str">
        <f>HYPERLINK("http://www.uniprot.org/uniprot/M5WKC2","M5WKC2")</f>
        <v>M5WKC2</v>
      </c>
      <c r="D12565" s="2" t="s">
        <v>10457</v>
      </c>
      <c r="E12565" s="3">
        <v>2.87E-80</v>
      </c>
      <c r="F12565" s="2">
        <v>641</v>
      </c>
      <c r="G12565" s="2">
        <v>97</v>
      </c>
      <c r="H12565" s="2">
        <v>158</v>
      </c>
      <c r="I12565" s="2">
        <v>111</v>
      </c>
      <c r="J12565" s="2">
        <v>584</v>
      </c>
      <c r="K12565" s="2">
        <v>1</v>
      </c>
      <c r="L12565" s="2">
        <v>158</v>
      </c>
    </row>
    <row r="12566" spans="1:12" x14ac:dyDescent="0.25">
      <c r="A12566" s="4" t="str">
        <f>HYPERLINK("http://www.rosaceae.org/Prunus/Prunus_persica/p.persica_gdr_reftransV1_0026523","p.persica_gdr_reftransV1_0026523")</f>
        <v>p.persica_gdr_reftransV1_0026523</v>
      </c>
      <c r="B12566" s="2">
        <v>555</v>
      </c>
      <c r="C12566" s="4" t="str">
        <f>HYPERLINK("http://www.uniprot.org/uniprot/M5VMF9","M5VMF9")</f>
        <v>M5VMF9</v>
      </c>
      <c r="D12566" s="2" t="s">
        <v>209</v>
      </c>
      <c r="E12566" s="3">
        <v>1.22E-65</v>
      </c>
      <c r="F12566" s="2">
        <v>567</v>
      </c>
      <c r="G12566" s="2">
        <v>100</v>
      </c>
      <c r="H12566" s="2">
        <v>104</v>
      </c>
      <c r="I12566" s="2">
        <v>3</v>
      </c>
      <c r="J12566" s="2">
        <v>314</v>
      </c>
      <c r="K12566" s="2">
        <v>1</v>
      </c>
      <c r="L12566" s="2">
        <v>104</v>
      </c>
    </row>
    <row r="12567" spans="1:12" x14ac:dyDescent="0.25">
      <c r="A12567" s="4" t="str">
        <f>HYPERLINK("http://www.rosaceae.org/Prunus/Prunus_persica/p.persica_gdr_reftransV1_0026873","p.persica_gdr_reftransV1_0026873")</f>
        <v>p.persica_gdr_reftransV1_0026873</v>
      </c>
      <c r="B12567" s="2">
        <v>2278</v>
      </c>
      <c r="C12567" s="4" t="str">
        <f>HYPERLINK("http://www.uniprot.org/uniprot/M1Q4F6","M1Q4F6")</f>
        <v>M1Q4F6</v>
      </c>
      <c r="D12567" s="2" t="s">
        <v>10458</v>
      </c>
      <c r="E12567" s="3">
        <v>0</v>
      </c>
      <c r="F12567" s="2">
        <v>2549</v>
      </c>
      <c r="G12567" s="2">
        <v>100</v>
      </c>
      <c r="H12567" s="2">
        <v>477</v>
      </c>
      <c r="I12567" s="2">
        <v>561</v>
      </c>
      <c r="J12567" s="2">
        <v>1991</v>
      </c>
      <c r="K12567" s="2">
        <v>1</v>
      </c>
      <c r="L12567" s="2">
        <v>477</v>
      </c>
    </row>
    <row r="12568" spans="1:12" x14ac:dyDescent="0.25">
      <c r="A12568" s="4" t="str">
        <f>HYPERLINK("http://www.rosaceae.org/Prunus/Prunus_persica/p.persica_gdr_reftransV1_0027923","p.persica_gdr_reftransV1_0027923")</f>
        <v>p.persica_gdr_reftransV1_0027923</v>
      </c>
      <c r="B12568" s="2">
        <v>819</v>
      </c>
      <c r="C12568" s="4" t="str">
        <f>HYPERLINK("http://www.uniprot.org/uniprot/A0A0D2PCG5","A0A0D2PCG5")</f>
        <v>A0A0D2PCG5</v>
      </c>
      <c r="D12568" s="2" t="s">
        <v>10459</v>
      </c>
      <c r="E12568" s="3">
        <v>1.1E-45</v>
      </c>
      <c r="F12568" s="2">
        <v>412</v>
      </c>
      <c r="G12568" s="2">
        <v>70</v>
      </c>
      <c r="H12568" s="2">
        <v>187</v>
      </c>
      <c r="I12568" s="2">
        <v>255</v>
      </c>
      <c r="J12568" s="2">
        <v>791</v>
      </c>
      <c r="K12568" s="2">
        <v>7</v>
      </c>
      <c r="L12568" s="2">
        <v>187</v>
      </c>
    </row>
    <row r="12569" spans="1:12" x14ac:dyDescent="0.25">
      <c r="A12569" s="4" t="str">
        <f>HYPERLINK("http://www.rosaceae.org/Prunus/Prunus_persica/p.persica_gdr_reftransV1_0029323","p.persica_gdr_reftransV1_0029323")</f>
        <v>p.persica_gdr_reftransV1_0029323</v>
      </c>
      <c r="B12569" s="2">
        <v>992</v>
      </c>
      <c r="C12569" s="4" t="str">
        <f>HYPERLINK("http://www.uniprot.org/uniprot/M5Y337","M5Y337")</f>
        <v>M5Y337</v>
      </c>
      <c r="D12569" s="2" t="s">
        <v>10460</v>
      </c>
      <c r="E12569" s="3">
        <v>3.2500000000000001E-100</v>
      </c>
      <c r="F12569" s="2">
        <v>779</v>
      </c>
      <c r="G12569" s="2">
        <v>100</v>
      </c>
      <c r="H12569" s="2">
        <v>150</v>
      </c>
      <c r="I12569" s="2">
        <v>239</v>
      </c>
      <c r="J12569" s="2">
        <v>688</v>
      </c>
      <c r="K12569" s="2">
        <v>19</v>
      </c>
      <c r="L12569" s="2">
        <v>168</v>
      </c>
    </row>
    <row r="12570" spans="1:12" x14ac:dyDescent="0.25">
      <c r="A12570" s="4" t="str">
        <f>HYPERLINK("http://www.rosaceae.org/Prunus/Prunus_persica/p.persica_gdr_reftransV1_0030023","p.persica_gdr_reftransV1_0030023")</f>
        <v>p.persica_gdr_reftransV1_0030023</v>
      </c>
      <c r="B12570" s="2">
        <v>2339</v>
      </c>
      <c r="C12570" s="4" t="str">
        <f>HYPERLINK("http://www.uniprot.org/uniprot/W9RH16","W9RH16")</f>
        <v>W9RH16</v>
      </c>
      <c r="D12570" s="2" t="s">
        <v>1516</v>
      </c>
      <c r="E12570" s="3">
        <v>6.41E-108</v>
      </c>
      <c r="F12570" s="2">
        <v>880</v>
      </c>
      <c r="G12570" s="2">
        <v>66</v>
      </c>
      <c r="H12570" s="2">
        <v>250</v>
      </c>
      <c r="I12570" s="2">
        <v>320</v>
      </c>
      <c r="J12570" s="2">
        <v>1069</v>
      </c>
      <c r="K12570" s="2">
        <v>38</v>
      </c>
      <c r="L12570" s="2">
        <v>271</v>
      </c>
    </row>
    <row r="12571" spans="1:12" x14ac:dyDescent="0.25">
      <c r="A12571" s="4" t="str">
        <f>HYPERLINK("http://www.rosaceae.org/Prunus/Prunus_persica/p.persica_gdr_reftransV1_0031423","p.persica_gdr_reftransV1_0031423")</f>
        <v>p.persica_gdr_reftransV1_0031423</v>
      </c>
      <c r="B12571" s="2">
        <v>679</v>
      </c>
      <c r="C12571" s="4" t="str">
        <f>HYPERLINK("http://www.uniprot.org/uniprot/M5WLN7","M5WLN7")</f>
        <v>M5WLN7</v>
      </c>
      <c r="D12571" s="2" t="s">
        <v>10461</v>
      </c>
      <c r="E12571" s="3">
        <v>1.7400000000000001E-70</v>
      </c>
      <c r="F12571" s="2">
        <v>607</v>
      </c>
      <c r="G12571" s="2">
        <v>100</v>
      </c>
      <c r="H12571" s="2">
        <v>114</v>
      </c>
      <c r="I12571" s="2">
        <v>3</v>
      </c>
      <c r="J12571" s="2">
        <v>344</v>
      </c>
      <c r="K12571" s="2">
        <v>483</v>
      </c>
      <c r="L12571" s="2">
        <v>596</v>
      </c>
    </row>
    <row r="12572" spans="1:12" x14ac:dyDescent="0.25">
      <c r="A12572" s="4" t="str">
        <f>HYPERLINK("http://www.rosaceae.org/Prunus/Prunus_persica/p.persica_gdr_reftransV1_0031773","p.persica_gdr_reftransV1_0031773")</f>
        <v>p.persica_gdr_reftransV1_0031773</v>
      </c>
      <c r="B12572" s="2">
        <v>2473</v>
      </c>
      <c r="C12572" s="4" t="str">
        <f>HYPERLINK("http://www.uniprot.org/uniprot/A0A087PQ99","A0A087PQ99")</f>
        <v>A0A087PQ99</v>
      </c>
      <c r="D12572" s="2" t="s">
        <v>2781</v>
      </c>
      <c r="E12572" s="3">
        <v>2.23E-116</v>
      </c>
      <c r="F12572" s="2">
        <v>650</v>
      </c>
      <c r="G12572" s="2">
        <v>37</v>
      </c>
      <c r="H12572" s="2">
        <v>418</v>
      </c>
      <c r="I12572" s="2">
        <v>629</v>
      </c>
      <c r="J12572" s="2">
        <v>1804</v>
      </c>
      <c r="K12572" s="2">
        <v>55</v>
      </c>
      <c r="L12572" s="2">
        <v>459</v>
      </c>
    </row>
    <row r="12573" spans="1:12" x14ac:dyDescent="0.25">
      <c r="A12573" s="4" t="str">
        <f>HYPERLINK("http://www.rosaceae.org/Prunus/Prunus_persica/p.persica_gdr_reftransV1_0036323","p.persica_gdr_reftransV1_0036323")</f>
        <v>p.persica_gdr_reftransV1_0036323</v>
      </c>
      <c r="B12573" s="2">
        <v>2022</v>
      </c>
      <c r="C12573" s="4" t="str">
        <f>HYPERLINK("http://www.uniprot.org/uniprot/M5XHL3","M5XHL3")</f>
        <v>M5XHL3</v>
      </c>
      <c r="D12573" s="2" t="s">
        <v>4252</v>
      </c>
      <c r="E12573" s="3">
        <v>0</v>
      </c>
      <c r="F12573" s="2">
        <v>2799</v>
      </c>
      <c r="G12573" s="2">
        <v>100</v>
      </c>
      <c r="H12573" s="2">
        <v>579</v>
      </c>
      <c r="I12573" s="2">
        <v>162</v>
      </c>
      <c r="J12573" s="2">
        <v>1898</v>
      </c>
      <c r="K12573" s="2">
        <v>1</v>
      </c>
      <c r="L12573" s="2">
        <v>579</v>
      </c>
    </row>
    <row r="12574" spans="1:12" x14ac:dyDescent="0.25">
      <c r="A12574" s="4" t="str">
        <f>HYPERLINK("http://www.rosaceae.org/Prunus/Prunus_persica/p.persica_gdr_reftransV1_0037023","p.persica_gdr_reftransV1_0037023")</f>
        <v>p.persica_gdr_reftransV1_0037023</v>
      </c>
      <c r="B12574" s="2">
        <v>3342</v>
      </c>
      <c r="C12574" s="4" t="str">
        <f>HYPERLINK("http://www.uniprot.org/uniprot/I7K8K8","I7K8K8")</f>
        <v>I7K8K8</v>
      </c>
      <c r="D12574" s="2" t="s">
        <v>1613</v>
      </c>
      <c r="E12574" s="3">
        <v>0</v>
      </c>
      <c r="F12574" s="2">
        <v>2860</v>
      </c>
      <c r="G12574" s="2">
        <v>55</v>
      </c>
      <c r="H12574" s="2">
        <v>1048</v>
      </c>
      <c r="I12574" s="2">
        <v>112</v>
      </c>
      <c r="J12574" s="2">
        <v>3159</v>
      </c>
      <c r="K12574" s="2">
        <v>614</v>
      </c>
      <c r="L12574" s="2">
        <v>1658</v>
      </c>
    </row>
    <row r="12575" spans="1:12" x14ac:dyDescent="0.25">
      <c r="A12575" s="4" t="str">
        <f>HYPERLINK("http://www.rosaceae.org/Prunus/Prunus_persica/p.persica_gdr_reftransV1_0040173","p.persica_gdr_reftransV1_0040173")</f>
        <v>p.persica_gdr_reftransV1_0040173</v>
      </c>
      <c r="B12575" s="2">
        <v>2010</v>
      </c>
      <c r="C12575" s="4" t="str">
        <f>HYPERLINK("http://www.uniprot.org/uniprot/M5WUQ7","M5WUQ7")</f>
        <v>M5WUQ7</v>
      </c>
      <c r="D12575" s="2" t="s">
        <v>10462</v>
      </c>
      <c r="E12575" s="3">
        <v>0</v>
      </c>
      <c r="F12575" s="2">
        <v>1319</v>
      </c>
      <c r="G12575" s="2">
        <v>99</v>
      </c>
      <c r="H12575" s="2">
        <v>258</v>
      </c>
      <c r="I12575" s="2">
        <v>1057</v>
      </c>
      <c r="J12575" s="2">
        <v>1830</v>
      </c>
      <c r="K12575" s="2">
        <v>34</v>
      </c>
      <c r="L12575" s="2">
        <v>291</v>
      </c>
    </row>
    <row r="12576" spans="1:12" x14ac:dyDescent="0.25">
      <c r="A12576" s="4" t="str">
        <f>HYPERLINK("http://www.rosaceae.org/Prunus/Prunus_persica/p.persica_gdr_reftransV1_0041923","p.persica_gdr_reftransV1_0041923")</f>
        <v>p.persica_gdr_reftransV1_0041923</v>
      </c>
      <c r="B12576" s="2">
        <v>1046</v>
      </c>
      <c r="C12576" s="4" t="str">
        <f>HYPERLINK("http://www.uniprot.org/uniprot/M5XFI9","M5XFI9")</f>
        <v>M5XFI9</v>
      </c>
      <c r="D12576" s="2" t="s">
        <v>10463</v>
      </c>
      <c r="E12576" s="3">
        <v>2.0000000000000001E-139</v>
      </c>
      <c r="F12576" s="2">
        <v>1042</v>
      </c>
      <c r="G12576" s="2">
        <v>99</v>
      </c>
      <c r="H12576" s="2">
        <v>197</v>
      </c>
      <c r="I12576" s="2">
        <v>91</v>
      </c>
      <c r="J12576" s="2">
        <v>681</v>
      </c>
      <c r="K12576" s="2">
        <v>1</v>
      </c>
      <c r="L12576" s="2">
        <v>197</v>
      </c>
    </row>
    <row r="12577" spans="1:12" x14ac:dyDescent="0.25">
      <c r="A12577" s="4" t="str">
        <f>HYPERLINK("http://www.rosaceae.org/Prunus/Prunus_persica/p.persica_gdr_reftransV1_0042623","p.persica_gdr_reftransV1_0042623")</f>
        <v>p.persica_gdr_reftransV1_0042623</v>
      </c>
      <c r="B12577" s="2">
        <v>3205</v>
      </c>
      <c r="C12577" s="4" t="str">
        <f>HYPERLINK("http://www.uniprot.org/uniprot/M5X7Q9","M5X7Q9")</f>
        <v>M5X7Q9</v>
      </c>
      <c r="D12577" s="2" t="s">
        <v>10464</v>
      </c>
      <c r="E12577" s="3">
        <v>0</v>
      </c>
      <c r="F12577" s="2">
        <v>2290</v>
      </c>
      <c r="G12577" s="2">
        <v>100</v>
      </c>
      <c r="H12577" s="2">
        <v>451</v>
      </c>
      <c r="I12577" s="2">
        <v>293</v>
      </c>
      <c r="J12577" s="2">
        <v>1645</v>
      </c>
      <c r="K12577" s="2">
        <v>18</v>
      </c>
      <c r="L12577" s="2">
        <v>468</v>
      </c>
    </row>
    <row r="12578" spans="1:12" x14ac:dyDescent="0.25">
      <c r="A12578" s="4" t="str">
        <f>HYPERLINK("http://www.rosaceae.org/Prunus/Prunus_persica/p.persica_gdr_reftransV1_0043323","p.persica_gdr_reftransV1_0043323")</f>
        <v>p.persica_gdr_reftransV1_0043323</v>
      </c>
      <c r="B12578" s="2">
        <v>925</v>
      </c>
      <c r="C12578" s="4" t="str">
        <f>HYPERLINK("http://www.uniprot.org/uniprot/M5VR07","M5VR07")</f>
        <v>M5VR07</v>
      </c>
      <c r="D12578" s="2" t="s">
        <v>10465</v>
      </c>
      <c r="E12578" s="3">
        <v>1.3300000000000001E-114</v>
      </c>
      <c r="F12578" s="2">
        <v>876</v>
      </c>
      <c r="G12578" s="2">
        <v>100</v>
      </c>
      <c r="H12578" s="2">
        <v>211</v>
      </c>
      <c r="I12578" s="2">
        <v>245</v>
      </c>
      <c r="J12578" s="2">
        <v>877</v>
      </c>
      <c r="K12578" s="2">
        <v>1</v>
      </c>
      <c r="L12578" s="2">
        <v>211</v>
      </c>
    </row>
    <row r="12579" spans="1:12" x14ac:dyDescent="0.25">
      <c r="A12579" s="4" t="str">
        <f>HYPERLINK("http://www.rosaceae.org/Prunus/Prunus_persica/p.persica_gdr_reftransV1_0043673","p.persica_gdr_reftransV1_0043673")</f>
        <v>p.persica_gdr_reftransV1_0043673</v>
      </c>
      <c r="B12579" s="2">
        <v>1532</v>
      </c>
      <c r="C12579" s="4" t="str">
        <f>HYPERLINK("http://www.uniprot.org/uniprot/M5XRW5","M5XRW5")</f>
        <v>M5XRW5</v>
      </c>
      <c r="D12579" s="2" t="s">
        <v>10466</v>
      </c>
      <c r="E12579" s="3">
        <v>0</v>
      </c>
      <c r="F12579" s="2">
        <v>1982</v>
      </c>
      <c r="G12579" s="2">
        <v>100</v>
      </c>
      <c r="H12579" s="2">
        <v>385</v>
      </c>
      <c r="I12579" s="2">
        <v>130</v>
      </c>
      <c r="J12579" s="2">
        <v>1284</v>
      </c>
      <c r="K12579" s="2">
        <v>1</v>
      </c>
      <c r="L12579" s="2">
        <v>385</v>
      </c>
    </row>
    <row r="12580" spans="1:12" x14ac:dyDescent="0.25">
      <c r="A12580" s="4" t="str">
        <f>HYPERLINK("http://www.rosaceae.org/Prunus/Prunus_persica/p.persica_gdr_reftransV1_0044023","p.persica_gdr_reftransV1_0044023")</f>
        <v>p.persica_gdr_reftransV1_0044023</v>
      </c>
      <c r="B12580" s="2">
        <v>605</v>
      </c>
      <c r="C12580" s="4" t="str">
        <f>HYPERLINK("http://www.uniprot.org/uniprot/M5W7T3","M5W7T3")</f>
        <v>M5W7T3</v>
      </c>
      <c r="D12580" s="2" t="s">
        <v>10467</v>
      </c>
      <c r="E12580" s="3">
        <v>1.2300000000000001E-74</v>
      </c>
      <c r="F12580" s="2">
        <v>596</v>
      </c>
      <c r="G12580" s="2">
        <v>74</v>
      </c>
      <c r="H12580" s="2">
        <v>160</v>
      </c>
      <c r="I12580" s="2">
        <v>71</v>
      </c>
      <c r="J12580" s="2">
        <v>541</v>
      </c>
      <c r="K12580" s="2">
        <v>4</v>
      </c>
      <c r="L12580" s="2">
        <v>163</v>
      </c>
    </row>
    <row r="12581" spans="1:12" x14ac:dyDescent="0.25">
      <c r="A12581" s="4" t="str">
        <f>HYPERLINK("http://www.rosaceae.org/Prunus/Prunus_persica/p.persica_gdr_reftransV1_0044373","p.persica_gdr_reftransV1_0044373")</f>
        <v>p.persica_gdr_reftransV1_0044373</v>
      </c>
      <c r="B12581" s="2">
        <v>377</v>
      </c>
      <c r="C12581" s="4" t="str">
        <f>HYPERLINK("http://www.uniprot.org/uniprot/M5WQG7","M5WQG7")</f>
        <v>M5WQG7</v>
      </c>
      <c r="D12581" s="2" t="s">
        <v>4268</v>
      </c>
      <c r="E12581" s="3">
        <v>1.73E-79</v>
      </c>
      <c r="F12581" s="2">
        <v>664</v>
      </c>
      <c r="G12581" s="2">
        <v>100</v>
      </c>
      <c r="H12581" s="2">
        <v>125</v>
      </c>
      <c r="I12581" s="2">
        <v>3</v>
      </c>
      <c r="J12581" s="2">
        <v>377</v>
      </c>
      <c r="K12581" s="2">
        <v>498</v>
      </c>
      <c r="L12581" s="2">
        <v>622</v>
      </c>
    </row>
    <row r="12582" spans="1:12" x14ac:dyDescent="0.25">
      <c r="A12582" s="4" t="str">
        <f>HYPERLINK("http://www.rosaceae.org/Prunus/Prunus_persica/p.persica_gdr_reftransV1_0045073","p.persica_gdr_reftransV1_0045073")</f>
        <v>p.persica_gdr_reftransV1_0045073</v>
      </c>
      <c r="B12582" s="2">
        <v>353</v>
      </c>
      <c r="C12582" s="4" t="str">
        <f>HYPERLINK("http://www.uniprot.org/uniprot/M5VME7","M5VME7")</f>
        <v>M5VME7</v>
      </c>
      <c r="D12582" s="2" t="s">
        <v>2364</v>
      </c>
      <c r="E12582" s="3">
        <v>2.3499999999999999E-77</v>
      </c>
      <c r="F12582" s="2">
        <v>633</v>
      </c>
      <c r="G12582" s="2">
        <v>100</v>
      </c>
      <c r="H12582" s="2">
        <v>117</v>
      </c>
      <c r="I12582" s="2">
        <v>1</v>
      </c>
      <c r="J12582" s="2">
        <v>351</v>
      </c>
      <c r="K12582" s="2">
        <v>165</v>
      </c>
      <c r="L12582" s="2">
        <v>281</v>
      </c>
    </row>
    <row r="12583" spans="1:12" x14ac:dyDescent="0.25">
      <c r="A12583" s="4" t="str">
        <f>HYPERLINK("http://www.rosaceae.org/Prunus/Prunus_persica/p.persica_gdr_reftransV1_0045773","p.persica_gdr_reftransV1_0045773")</f>
        <v>p.persica_gdr_reftransV1_0045773</v>
      </c>
      <c r="B12583" s="2">
        <v>1069</v>
      </c>
      <c r="C12583" s="4" t="str">
        <f>HYPERLINK("http://www.uniprot.org/uniprot/M5W225","M5W225")</f>
        <v>M5W225</v>
      </c>
      <c r="D12583" s="2" t="s">
        <v>7746</v>
      </c>
      <c r="E12583" s="3">
        <v>5.1499999999999997E-162</v>
      </c>
      <c r="F12583" s="2">
        <v>1206</v>
      </c>
      <c r="G12583" s="2">
        <v>100</v>
      </c>
      <c r="H12583" s="2">
        <v>259</v>
      </c>
      <c r="I12583" s="2">
        <v>2</v>
      </c>
      <c r="J12583" s="2">
        <v>778</v>
      </c>
      <c r="K12583" s="2">
        <v>1</v>
      </c>
      <c r="L12583" s="2">
        <v>259</v>
      </c>
    </row>
    <row r="12584" spans="1:12" x14ac:dyDescent="0.25">
      <c r="A12584" s="4" t="str">
        <f>HYPERLINK("http://www.rosaceae.org/Prunus/Prunus_persica/p.persica_gdr_reftransV1_0046123","p.persica_gdr_reftransV1_0046123")</f>
        <v>p.persica_gdr_reftransV1_0046123</v>
      </c>
      <c r="B12584" s="2">
        <v>672</v>
      </c>
      <c r="C12584" s="4" t="str">
        <f>HYPERLINK("http://www.uniprot.org/uniprot/M5XC16","M5XC16")</f>
        <v>M5XC16</v>
      </c>
      <c r="D12584" s="2" t="s">
        <v>10468</v>
      </c>
      <c r="E12584" s="3">
        <v>1.9500000000000001E-74</v>
      </c>
      <c r="F12584" s="2">
        <v>619</v>
      </c>
      <c r="G12584" s="2">
        <v>100</v>
      </c>
      <c r="H12584" s="2">
        <v>136</v>
      </c>
      <c r="I12584" s="2">
        <v>200</v>
      </c>
      <c r="J12584" s="2">
        <v>607</v>
      </c>
      <c r="K12584" s="2">
        <v>14</v>
      </c>
      <c r="L12584" s="2">
        <v>149</v>
      </c>
    </row>
    <row r="12585" spans="1:12" x14ac:dyDescent="0.25">
      <c r="A12585" s="4" t="str">
        <f>HYPERLINK("http://www.rosaceae.org/Prunus/Prunus_persica/p.persica_gdr_reftransV1_0046473","p.persica_gdr_reftransV1_0046473")</f>
        <v>p.persica_gdr_reftransV1_0046473</v>
      </c>
      <c r="B12585" s="2">
        <v>1542</v>
      </c>
      <c r="C12585" s="4" t="str">
        <f>HYPERLINK("http://www.uniprot.org/uniprot/M5XRX9","M5XRX9")</f>
        <v>M5XRX9</v>
      </c>
      <c r="D12585" s="2" t="s">
        <v>10469</v>
      </c>
      <c r="E12585" s="3">
        <v>0</v>
      </c>
      <c r="F12585" s="2">
        <v>1644</v>
      </c>
      <c r="G12585" s="2">
        <v>95</v>
      </c>
      <c r="H12585" s="2">
        <v>425</v>
      </c>
      <c r="I12585" s="2">
        <v>267</v>
      </c>
      <c r="J12585" s="2">
        <v>1541</v>
      </c>
      <c r="K12585" s="2">
        <v>119</v>
      </c>
      <c r="L12585" s="2">
        <v>524</v>
      </c>
    </row>
    <row r="12586" spans="1:12" x14ac:dyDescent="0.25">
      <c r="A12586" s="4" t="str">
        <f>HYPERLINK("http://www.rosaceae.org/Prunus/Prunus_persica/p.persica_gdr_reftransV1_0047173","p.persica_gdr_reftransV1_0047173")</f>
        <v>p.persica_gdr_reftransV1_0047173</v>
      </c>
      <c r="B12586" s="2">
        <v>318</v>
      </c>
      <c r="C12586" s="4" t="str">
        <f>HYPERLINK("http://www.uniprot.org/uniprot/M5X3F3","M5X3F3")</f>
        <v>M5X3F3</v>
      </c>
      <c r="D12586" s="2" t="s">
        <v>10470</v>
      </c>
      <c r="E12586" s="3">
        <v>8.9500000000000005E-19</v>
      </c>
      <c r="F12586" s="2">
        <v>221</v>
      </c>
      <c r="G12586" s="2">
        <v>43</v>
      </c>
      <c r="H12586" s="2">
        <v>107</v>
      </c>
      <c r="I12586" s="2">
        <v>15</v>
      </c>
      <c r="J12586" s="2">
        <v>317</v>
      </c>
      <c r="K12586" s="2">
        <v>312</v>
      </c>
      <c r="L12586" s="2">
        <v>418</v>
      </c>
    </row>
    <row r="12587" spans="1:12" x14ac:dyDescent="0.25">
      <c r="A12587" s="4" t="str">
        <f>HYPERLINK("http://www.rosaceae.org/Prunus/Prunus_persica/p.persica_gdr_reftransV1_0047523","p.persica_gdr_reftransV1_0047523")</f>
        <v>p.persica_gdr_reftransV1_0047523</v>
      </c>
      <c r="B12587" s="2">
        <v>1004</v>
      </c>
      <c r="C12587" s="4" t="str">
        <f>HYPERLINK("http://www.uniprot.org/uniprot/M5W543","M5W543")</f>
        <v>M5W543</v>
      </c>
      <c r="D12587" s="2" t="s">
        <v>10341</v>
      </c>
      <c r="E12587" s="3">
        <v>2.46E-170</v>
      </c>
      <c r="F12587" s="2">
        <v>1273</v>
      </c>
      <c r="G12587" s="2">
        <v>100</v>
      </c>
      <c r="H12587" s="2">
        <v>237</v>
      </c>
      <c r="I12587" s="2">
        <v>2</v>
      </c>
      <c r="J12587" s="2">
        <v>712</v>
      </c>
      <c r="K12587" s="2">
        <v>242</v>
      </c>
      <c r="L12587" s="2">
        <v>478</v>
      </c>
    </row>
    <row r="12588" spans="1:12" x14ac:dyDescent="0.25">
      <c r="A12588" s="4" t="str">
        <f>HYPERLINK("http://www.rosaceae.org/Prunus/Prunus_persica/p.persica_gdr_reftransV1_0048223","p.persica_gdr_reftransV1_0048223")</f>
        <v>p.persica_gdr_reftransV1_0048223</v>
      </c>
      <c r="B12588" s="2">
        <v>1866</v>
      </c>
      <c r="C12588" s="4" t="str">
        <f>HYPERLINK("http://www.uniprot.org/uniprot/M5XCR9","M5XCR9")</f>
        <v>M5XCR9</v>
      </c>
      <c r="D12588" s="2" t="s">
        <v>10471</v>
      </c>
      <c r="E12588" s="3">
        <v>0</v>
      </c>
      <c r="F12588" s="2">
        <v>2961</v>
      </c>
      <c r="G12588" s="2">
        <v>100</v>
      </c>
      <c r="H12588" s="2">
        <v>569</v>
      </c>
      <c r="I12588" s="2">
        <v>109</v>
      </c>
      <c r="J12588" s="2">
        <v>1815</v>
      </c>
      <c r="K12588" s="2">
        <v>37</v>
      </c>
      <c r="L12588" s="2">
        <v>605</v>
      </c>
    </row>
    <row r="12589" spans="1:12" x14ac:dyDescent="0.25">
      <c r="A12589" s="4" t="str">
        <f>HYPERLINK("http://www.rosaceae.org/Prunus/Prunus_persica/p.persica_gdr_reftransV1_0048573","p.persica_gdr_reftransV1_0048573")</f>
        <v>p.persica_gdr_reftransV1_0048573</v>
      </c>
      <c r="B12589" s="2">
        <v>2279</v>
      </c>
      <c r="C12589" s="4" t="str">
        <f>HYPERLINK("http://www.uniprot.org/uniprot/M5VT35","M5VT35")</f>
        <v>M5VT35</v>
      </c>
      <c r="D12589" s="2" t="s">
        <v>10472</v>
      </c>
      <c r="E12589" s="3">
        <v>0</v>
      </c>
      <c r="F12589" s="2">
        <v>1589</v>
      </c>
      <c r="G12589" s="2">
        <v>81</v>
      </c>
      <c r="H12589" s="2">
        <v>442</v>
      </c>
      <c r="I12589" s="2">
        <v>930</v>
      </c>
      <c r="J12589" s="2">
        <v>2255</v>
      </c>
      <c r="K12589" s="2">
        <v>323</v>
      </c>
      <c r="L12589" s="2">
        <v>694</v>
      </c>
    </row>
    <row r="12590" spans="1:12" x14ac:dyDescent="0.25">
      <c r="A12590" s="4" t="str">
        <f>HYPERLINK("http://www.rosaceae.org/Prunus/Prunus_persica/p.persica_gdr_reftransV1_0048923","p.persica_gdr_reftransV1_0048923")</f>
        <v>p.persica_gdr_reftransV1_0048923</v>
      </c>
      <c r="B12590" s="2">
        <v>2267</v>
      </c>
      <c r="C12590" s="4" t="str">
        <f>HYPERLINK("http://www.uniprot.org/uniprot/M5XTB6","M5XTB6")</f>
        <v>M5XTB6</v>
      </c>
      <c r="D12590" s="2" t="s">
        <v>3911</v>
      </c>
      <c r="E12590" s="3">
        <v>0</v>
      </c>
      <c r="F12590" s="2">
        <v>2882</v>
      </c>
      <c r="G12590" s="2">
        <v>98</v>
      </c>
      <c r="H12590" s="2">
        <v>576</v>
      </c>
      <c r="I12590" s="2">
        <v>418</v>
      </c>
      <c r="J12590" s="2">
        <v>2145</v>
      </c>
      <c r="K12590" s="2">
        <v>1</v>
      </c>
      <c r="L12590" s="2">
        <v>563</v>
      </c>
    </row>
    <row r="12591" spans="1:12" x14ac:dyDescent="0.25">
      <c r="A12591" s="4" t="str">
        <f>HYPERLINK("http://www.rosaceae.org/Prunus/Prunus_persica/p.persica_gdr_reftransV1_0000274","p.persica_gdr_reftransV1_0000274")</f>
        <v>p.persica_gdr_reftransV1_0000274</v>
      </c>
      <c r="B12591" s="2">
        <v>1309</v>
      </c>
      <c r="C12591" s="4" t="str">
        <f>HYPERLINK("http://www.uniprot.org/uniprot/M5VMX5","M5VMX5")</f>
        <v>M5VMX5</v>
      </c>
      <c r="D12591" s="2" t="s">
        <v>10473</v>
      </c>
      <c r="E12591" s="3">
        <v>0</v>
      </c>
      <c r="F12591" s="2">
        <v>1762</v>
      </c>
      <c r="G12591" s="2">
        <v>93</v>
      </c>
      <c r="H12591" s="2">
        <v>356</v>
      </c>
      <c r="I12591" s="2">
        <v>214</v>
      </c>
      <c r="J12591" s="2">
        <v>1272</v>
      </c>
      <c r="K12591" s="2">
        <v>1</v>
      </c>
      <c r="L12591" s="2">
        <v>356</v>
      </c>
    </row>
    <row r="12592" spans="1:12" x14ac:dyDescent="0.25">
      <c r="A12592" s="4" t="str">
        <f>HYPERLINK("http://www.rosaceae.org/Prunus/Prunus_persica/p.persica_gdr_reftransV1_0000974","p.persica_gdr_reftransV1_0000974")</f>
        <v>p.persica_gdr_reftransV1_0000974</v>
      </c>
      <c r="B12592" s="2">
        <v>1340</v>
      </c>
      <c r="C12592" s="4" t="str">
        <f>HYPERLINK("http://www.uniprot.org/uniprot/M5XFJ6","M5XFJ6")</f>
        <v>M5XFJ6</v>
      </c>
      <c r="D12592" s="2" t="s">
        <v>10474</v>
      </c>
      <c r="E12592" s="3">
        <v>0</v>
      </c>
      <c r="F12592" s="2">
        <v>1757</v>
      </c>
      <c r="G12592" s="2">
        <v>100</v>
      </c>
      <c r="H12592" s="2">
        <v>336</v>
      </c>
      <c r="I12592" s="2">
        <v>331</v>
      </c>
      <c r="J12592" s="2">
        <v>1338</v>
      </c>
      <c r="K12592" s="2">
        <v>129</v>
      </c>
      <c r="L12592" s="2">
        <v>464</v>
      </c>
    </row>
    <row r="12593" spans="1:12" x14ac:dyDescent="0.25">
      <c r="A12593" s="4" t="str">
        <f>HYPERLINK("http://www.rosaceae.org/Prunus/Prunus_persica/p.persica_gdr_reftransV1_0001674","p.persica_gdr_reftransV1_0001674")</f>
        <v>p.persica_gdr_reftransV1_0001674</v>
      </c>
      <c r="B12593" s="2">
        <v>482</v>
      </c>
      <c r="C12593" s="4" t="str">
        <f>HYPERLINK("http://www.uniprot.org/uniprot/M5WWV0","M5WWV0")</f>
        <v>M5WWV0</v>
      </c>
      <c r="D12593" s="2" t="s">
        <v>1693</v>
      </c>
      <c r="E12593" s="3">
        <v>2.19E-86</v>
      </c>
      <c r="F12593" s="2">
        <v>727</v>
      </c>
      <c r="G12593" s="2">
        <v>82</v>
      </c>
      <c r="H12593" s="2">
        <v>175</v>
      </c>
      <c r="I12593" s="2">
        <v>1</v>
      </c>
      <c r="J12593" s="2">
        <v>480</v>
      </c>
      <c r="K12593" s="2">
        <v>740</v>
      </c>
      <c r="L12593" s="2">
        <v>914</v>
      </c>
    </row>
    <row r="12594" spans="1:12" x14ac:dyDescent="0.25">
      <c r="A12594" s="4" t="str">
        <f>HYPERLINK("http://www.rosaceae.org/Prunus/Prunus_persica/p.persica_gdr_reftransV1_0002024","p.persica_gdr_reftransV1_0002024")</f>
        <v>p.persica_gdr_reftransV1_0002024</v>
      </c>
      <c r="B12594" s="2">
        <v>1944</v>
      </c>
      <c r="C12594" s="4" t="str">
        <f>HYPERLINK("http://www.uniprot.org/uniprot/M5Y447","M5Y447")</f>
        <v>M5Y447</v>
      </c>
      <c r="D12594" s="2" t="s">
        <v>8600</v>
      </c>
      <c r="E12594" s="3">
        <v>0</v>
      </c>
      <c r="F12594" s="2">
        <v>3314</v>
      </c>
      <c r="G12594" s="2">
        <v>99</v>
      </c>
      <c r="H12594" s="2">
        <v>647</v>
      </c>
      <c r="I12594" s="2">
        <v>3</v>
      </c>
      <c r="J12594" s="2">
        <v>1943</v>
      </c>
      <c r="K12594" s="2">
        <v>247</v>
      </c>
      <c r="L12594" s="2">
        <v>889</v>
      </c>
    </row>
    <row r="12595" spans="1:12" x14ac:dyDescent="0.25">
      <c r="A12595" s="4" t="str">
        <f>HYPERLINK("http://www.rosaceae.org/Prunus/Prunus_persica/p.persica_gdr_reftransV1_0002374","p.persica_gdr_reftransV1_0002374")</f>
        <v>p.persica_gdr_reftransV1_0002374</v>
      </c>
      <c r="B12595" s="2">
        <v>884</v>
      </c>
      <c r="C12595" s="4" t="str">
        <f>HYPERLINK("http://www.uniprot.org/uniprot/M5X2J5","M5X2J5")</f>
        <v>M5X2J5</v>
      </c>
      <c r="D12595" s="2" t="s">
        <v>10475</v>
      </c>
      <c r="E12595" s="3">
        <v>6.0800000000000002E-115</v>
      </c>
      <c r="F12595" s="2">
        <v>872</v>
      </c>
      <c r="G12595" s="2">
        <v>99</v>
      </c>
      <c r="H12595" s="2">
        <v>167</v>
      </c>
      <c r="I12595" s="2">
        <v>113</v>
      </c>
      <c r="J12595" s="2">
        <v>613</v>
      </c>
      <c r="K12595" s="2">
        <v>1</v>
      </c>
      <c r="L12595" s="2">
        <v>167</v>
      </c>
    </row>
    <row r="12596" spans="1:12" x14ac:dyDescent="0.25">
      <c r="A12596" s="4" t="str">
        <f>HYPERLINK("http://www.rosaceae.org/Prunus/Prunus_persica/p.persica_gdr_reftransV1_0002724","p.persica_gdr_reftransV1_0002724")</f>
        <v>p.persica_gdr_reftransV1_0002724</v>
      </c>
      <c r="B12596" s="2">
        <v>520</v>
      </c>
      <c r="C12596" s="4" t="str">
        <f>HYPERLINK("http://www.uniprot.org/uniprot/M5XR99","M5XR99")</f>
        <v>M5XR99</v>
      </c>
      <c r="D12596" s="2" t="s">
        <v>473</v>
      </c>
      <c r="E12596" s="3">
        <v>1.5000000000000001E-84</v>
      </c>
      <c r="F12596" s="2">
        <v>688</v>
      </c>
      <c r="G12596" s="2">
        <v>83</v>
      </c>
      <c r="H12596" s="2">
        <v>172</v>
      </c>
      <c r="I12596" s="2">
        <v>3</v>
      </c>
      <c r="J12596" s="2">
        <v>515</v>
      </c>
      <c r="K12596" s="2">
        <v>330</v>
      </c>
      <c r="L12596" s="2">
        <v>498</v>
      </c>
    </row>
    <row r="12597" spans="1:12" x14ac:dyDescent="0.25">
      <c r="A12597" s="4" t="str">
        <f>HYPERLINK("http://www.rosaceae.org/Prunus/Prunus_persica/p.persica_gdr_reftransV1_0003074","p.persica_gdr_reftransV1_0003074")</f>
        <v>p.persica_gdr_reftransV1_0003074</v>
      </c>
      <c r="B12597" s="2">
        <v>389</v>
      </c>
      <c r="C12597" s="4" t="str">
        <f>HYPERLINK("http://www.uniprot.org/uniprot/B9I0W3","B9I0W3")</f>
        <v>B9I0W3</v>
      </c>
      <c r="D12597" s="2" t="s">
        <v>10476</v>
      </c>
      <c r="E12597" s="3">
        <v>1.4100000000000001E-66</v>
      </c>
      <c r="F12597" s="2">
        <v>552</v>
      </c>
      <c r="G12597" s="2">
        <v>77</v>
      </c>
      <c r="H12597" s="2">
        <v>129</v>
      </c>
      <c r="I12597" s="2">
        <v>3</v>
      </c>
      <c r="J12597" s="2">
        <v>389</v>
      </c>
      <c r="K12597" s="2">
        <v>141</v>
      </c>
      <c r="L12597" s="2">
        <v>269</v>
      </c>
    </row>
    <row r="12598" spans="1:12" x14ac:dyDescent="0.25">
      <c r="A12598" s="4" t="str">
        <f>HYPERLINK("http://www.rosaceae.org/Prunus/Prunus_persica/p.persica_gdr_reftransV1_0003424","p.persica_gdr_reftransV1_0003424")</f>
        <v>p.persica_gdr_reftransV1_0003424</v>
      </c>
      <c r="B12598" s="2">
        <v>1208</v>
      </c>
      <c r="C12598" s="4" t="str">
        <f>HYPERLINK("http://www.uniprot.org/uniprot/M5WMW2","M5WMW2")</f>
        <v>M5WMW2</v>
      </c>
      <c r="D12598" s="2" t="s">
        <v>10477</v>
      </c>
      <c r="E12598" s="3">
        <v>9.1999999999999991E-171</v>
      </c>
      <c r="F12598" s="2">
        <v>1260</v>
      </c>
      <c r="G12598" s="2">
        <v>100</v>
      </c>
      <c r="H12598" s="2">
        <v>248</v>
      </c>
      <c r="I12598" s="2">
        <v>158</v>
      </c>
      <c r="J12598" s="2">
        <v>901</v>
      </c>
      <c r="K12598" s="2">
        <v>1</v>
      </c>
      <c r="L12598" s="2">
        <v>248</v>
      </c>
    </row>
    <row r="12599" spans="1:12" x14ac:dyDescent="0.25">
      <c r="A12599" s="4" t="str">
        <f>HYPERLINK("http://www.rosaceae.org/Prunus/Prunus_persica/p.persica_gdr_reftransV1_0004124","p.persica_gdr_reftransV1_0004124")</f>
        <v>p.persica_gdr_reftransV1_0004124</v>
      </c>
      <c r="B12599" s="2">
        <v>640</v>
      </c>
      <c r="C12599" s="4" t="str">
        <f>HYPERLINK("http://www.uniprot.org/uniprot/M5WHA1","M5WHA1")</f>
        <v>M5WHA1</v>
      </c>
      <c r="D12599" s="2" t="s">
        <v>47</v>
      </c>
      <c r="E12599" s="3">
        <v>3.9899999999999998E-32</v>
      </c>
      <c r="F12599" s="2">
        <v>329</v>
      </c>
      <c r="G12599" s="2">
        <v>97</v>
      </c>
      <c r="H12599" s="2">
        <v>65</v>
      </c>
      <c r="I12599" s="2">
        <v>137</v>
      </c>
      <c r="J12599" s="2">
        <v>331</v>
      </c>
      <c r="K12599" s="2">
        <v>427</v>
      </c>
      <c r="L12599" s="2">
        <v>491</v>
      </c>
    </row>
    <row r="12600" spans="1:12" x14ac:dyDescent="0.25">
      <c r="A12600" s="4" t="str">
        <f>HYPERLINK("http://www.rosaceae.org/Prunus/Prunus_persica/p.persica_gdr_reftransV1_0004474","p.persica_gdr_reftransV1_0004474")</f>
        <v>p.persica_gdr_reftransV1_0004474</v>
      </c>
      <c r="B12600" s="2">
        <v>470</v>
      </c>
      <c r="C12600" s="4" t="str">
        <f>HYPERLINK("http://www.uniprot.org/uniprot/M5X7E4","M5X7E4")</f>
        <v>M5X7E4</v>
      </c>
      <c r="D12600" s="2" t="s">
        <v>10478</v>
      </c>
      <c r="E12600" s="3">
        <v>6.2000000000000003E-90</v>
      </c>
      <c r="F12600" s="2">
        <v>731</v>
      </c>
      <c r="G12600" s="2">
        <v>100</v>
      </c>
      <c r="H12600" s="2">
        <v>156</v>
      </c>
      <c r="I12600" s="2">
        <v>2</v>
      </c>
      <c r="J12600" s="2">
        <v>469</v>
      </c>
      <c r="K12600" s="2">
        <v>428</v>
      </c>
      <c r="L12600" s="2">
        <v>583</v>
      </c>
    </row>
    <row r="12601" spans="1:12" x14ac:dyDescent="0.25">
      <c r="A12601" s="4" t="str">
        <f>HYPERLINK("http://www.rosaceae.org/Prunus/Prunus_persica/p.persica_gdr_reftransV1_0005174","p.persica_gdr_reftransV1_0005174")</f>
        <v>p.persica_gdr_reftransV1_0005174</v>
      </c>
      <c r="B12601" s="2">
        <v>850</v>
      </c>
      <c r="C12601" s="4" t="str">
        <f>HYPERLINK("http://www.uniprot.org/uniprot/M5XK82","M5XK82")</f>
        <v>M5XK82</v>
      </c>
      <c r="D12601" s="2" t="s">
        <v>3929</v>
      </c>
      <c r="E12601" s="3">
        <v>3.24E-75</v>
      </c>
      <c r="F12601" s="2">
        <v>620</v>
      </c>
      <c r="G12601" s="2">
        <v>97</v>
      </c>
      <c r="H12601" s="2">
        <v>158</v>
      </c>
      <c r="I12601" s="2">
        <v>321</v>
      </c>
      <c r="J12601" s="2">
        <v>794</v>
      </c>
      <c r="K12601" s="2">
        <v>127</v>
      </c>
      <c r="L12601" s="2">
        <v>284</v>
      </c>
    </row>
    <row r="12602" spans="1:12" x14ac:dyDescent="0.25">
      <c r="A12602" s="4" t="str">
        <f>HYPERLINK("http://www.rosaceae.org/Prunus/Prunus_persica/p.persica_gdr_reftransV1_0005524","p.persica_gdr_reftransV1_0005524")</f>
        <v>p.persica_gdr_reftransV1_0005524</v>
      </c>
      <c r="B12602" s="2">
        <v>2148</v>
      </c>
      <c r="C12602" s="4" t="str">
        <f>HYPERLINK("http://www.uniprot.org/uniprot/M5XV65","M5XV65")</f>
        <v>M5XV65</v>
      </c>
      <c r="D12602" s="2" t="s">
        <v>10479</v>
      </c>
      <c r="E12602" s="3">
        <v>0</v>
      </c>
      <c r="F12602" s="2">
        <v>2724</v>
      </c>
      <c r="G12602" s="2">
        <v>96</v>
      </c>
      <c r="H12602" s="2">
        <v>533</v>
      </c>
      <c r="I12602" s="2">
        <v>308</v>
      </c>
      <c r="J12602" s="2">
        <v>1906</v>
      </c>
      <c r="K12602" s="2">
        <v>1</v>
      </c>
      <c r="L12602" s="2">
        <v>515</v>
      </c>
    </row>
    <row r="12603" spans="1:12" x14ac:dyDescent="0.25">
      <c r="A12603" s="4" t="str">
        <f>HYPERLINK("http://www.rosaceae.org/Prunus/Prunus_persica/p.persica_gdr_reftransV1_0005874","p.persica_gdr_reftransV1_0005874")</f>
        <v>p.persica_gdr_reftransV1_0005874</v>
      </c>
      <c r="B12603" s="2">
        <v>1257</v>
      </c>
      <c r="C12603" s="4" t="str">
        <f>HYPERLINK("http://www.uniprot.org/uniprot/M5Y1I5","M5Y1I5")</f>
        <v>M5Y1I5</v>
      </c>
      <c r="D12603" s="2" t="s">
        <v>10480</v>
      </c>
      <c r="E12603" s="3">
        <v>0</v>
      </c>
      <c r="F12603" s="2">
        <v>1459</v>
      </c>
      <c r="G12603" s="2">
        <v>100</v>
      </c>
      <c r="H12603" s="2">
        <v>327</v>
      </c>
      <c r="I12603" s="2">
        <v>2</v>
      </c>
      <c r="J12603" s="2">
        <v>982</v>
      </c>
      <c r="K12603" s="2">
        <v>103</v>
      </c>
      <c r="L12603" s="2">
        <v>429</v>
      </c>
    </row>
    <row r="12604" spans="1:12" x14ac:dyDescent="0.25">
      <c r="A12604" s="4" t="str">
        <f>HYPERLINK("http://www.rosaceae.org/Prunus/Prunus_persica/p.persica_gdr_reftransV1_0006224","p.persica_gdr_reftransV1_0006224")</f>
        <v>p.persica_gdr_reftransV1_0006224</v>
      </c>
      <c r="B12604" s="2">
        <v>463</v>
      </c>
      <c r="C12604" s="4" t="str">
        <f>HYPERLINK("http://www.uniprot.org/uniprot/M5Y1T6","M5Y1T6")</f>
        <v>M5Y1T6</v>
      </c>
      <c r="D12604" s="2" t="s">
        <v>9691</v>
      </c>
      <c r="E12604" s="3">
        <v>3.7400000000000002E-85</v>
      </c>
      <c r="F12604" s="2">
        <v>672</v>
      </c>
      <c r="G12604" s="2">
        <v>100</v>
      </c>
      <c r="H12604" s="2">
        <v>150</v>
      </c>
      <c r="I12604" s="2">
        <v>12</v>
      </c>
      <c r="J12604" s="2">
        <v>461</v>
      </c>
      <c r="K12604" s="2">
        <v>1</v>
      </c>
      <c r="L12604" s="2">
        <v>150</v>
      </c>
    </row>
    <row r="12605" spans="1:12" x14ac:dyDescent="0.25">
      <c r="A12605" s="4" t="str">
        <f>HYPERLINK("http://www.rosaceae.org/Prunus/Prunus_persica/p.persica_gdr_reftransV1_0006574","p.persica_gdr_reftransV1_0006574")</f>
        <v>p.persica_gdr_reftransV1_0006574</v>
      </c>
      <c r="B12605" s="2">
        <v>550</v>
      </c>
      <c r="C12605" s="4" t="str">
        <f>HYPERLINK("http://www.uniprot.org/uniprot/M5Y2G7","M5Y2G7")</f>
        <v>M5Y2G7</v>
      </c>
      <c r="D12605" s="2" t="s">
        <v>8525</v>
      </c>
      <c r="E12605" s="3">
        <v>1.4400000000000001E-69</v>
      </c>
      <c r="F12605" s="2">
        <v>570</v>
      </c>
      <c r="G12605" s="2">
        <v>100</v>
      </c>
      <c r="H12605" s="2">
        <v>104</v>
      </c>
      <c r="I12605" s="2">
        <v>1</v>
      </c>
      <c r="J12605" s="2">
        <v>312</v>
      </c>
      <c r="K12605" s="2">
        <v>175</v>
      </c>
      <c r="L12605" s="2">
        <v>278</v>
      </c>
    </row>
    <row r="12606" spans="1:12" x14ac:dyDescent="0.25">
      <c r="A12606" s="4" t="str">
        <f>HYPERLINK("http://www.rosaceae.org/Prunus/Prunus_persica/p.persica_gdr_reftransV1_0007974","p.persica_gdr_reftransV1_0007974")</f>
        <v>p.persica_gdr_reftransV1_0007974</v>
      </c>
      <c r="B12606" s="2">
        <v>1184</v>
      </c>
      <c r="C12606" s="4" t="str">
        <f>HYPERLINK("http://www.uniprot.org/uniprot/U5FQ28","U5FQ28")</f>
        <v>U5FQ28</v>
      </c>
      <c r="D12606" s="2" t="s">
        <v>10481</v>
      </c>
      <c r="E12606" s="3">
        <v>5.2700000000000002E-139</v>
      </c>
      <c r="F12606" s="2">
        <v>1124</v>
      </c>
      <c r="G12606" s="2">
        <v>58</v>
      </c>
      <c r="H12606" s="2">
        <v>395</v>
      </c>
      <c r="I12606" s="2">
        <v>1</v>
      </c>
      <c r="J12606" s="2">
        <v>1182</v>
      </c>
      <c r="K12606" s="2">
        <v>196</v>
      </c>
      <c r="L12606" s="2">
        <v>587</v>
      </c>
    </row>
    <row r="12607" spans="1:12" x14ac:dyDescent="0.25">
      <c r="A12607" s="4" t="str">
        <f>HYPERLINK("http://www.rosaceae.org/Prunus/Prunus_persica/p.persica_gdr_reftransV1_0008324","p.persica_gdr_reftransV1_0008324")</f>
        <v>p.persica_gdr_reftransV1_0008324</v>
      </c>
      <c r="B12607" s="2">
        <v>1419</v>
      </c>
      <c r="C12607" s="4" t="str">
        <f>HYPERLINK("http://www.uniprot.org/uniprot/M5XNW9","M5XNW9")</f>
        <v>M5XNW9</v>
      </c>
      <c r="D12607" s="2" t="s">
        <v>10482</v>
      </c>
      <c r="E12607" s="3">
        <v>0</v>
      </c>
      <c r="F12607" s="2">
        <v>2102</v>
      </c>
      <c r="G12607" s="2">
        <v>100</v>
      </c>
      <c r="H12607" s="2">
        <v>393</v>
      </c>
      <c r="I12607" s="2">
        <v>3</v>
      </c>
      <c r="J12607" s="2">
        <v>1181</v>
      </c>
      <c r="K12607" s="2">
        <v>229</v>
      </c>
      <c r="L12607" s="2">
        <v>621</v>
      </c>
    </row>
    <row r="12608" spans="1:12" x14ac:dyDescent="0.25">
      <c r="A12608" s="4" t="str">
        <f>HYPERLINK("http://www.rosaceae.org/Prunus/Prunus_persica/p.persica_gdr_reftransV1_0008674","p.persica_gdr_reftransV1_0008674")</f>
        <v>p.persica_gdr_reftransV1_0008674</v>
      </c>
      <c r="B12608" s="2">
        <v>1564</v>
      </c>
      <c r="C12608" s="4" t="str">
        <f>HYPERLINK("http://www.uniprot.org/uniprot/M5Y0U7","M5Y0U7")</f>
        <v>M5Y0U7</v>
      </c>
      <c r="D12608" s="2" t="s">
        <v>10483</v>
      </c>
      <c r="E12608" s="3">
        <v>0</v>
      </c>
      <c r="F12608" s="2">
        <v>1583</v>
      </c>
      <c r="G12608" s="2">
        <v>100</v>
      </c>
      <c r="H12608" s="2">
        <v>321</v>
      </c>
      <c r="I12608" s="2">
        <v>160</v>
      </c>
      <c r="J12608" s="2">
        <v>1122</v>
      </c>
      <c r="K12608" s="2">
        <v>22</v>
      </c>
      <c r="L12608" s="2">
        <v>342</v>
      </c>
    </row>
    <row r="12609" spans="1:12" x14ac:dyDescent="0.25">
      <c r="A12609" s="4" t="str">
        <f>HYPERLINK("http://www.rosaceae.org/Prunus/Prunus_persica/p.persica_gdr_reftransV1_0009374","p.persica_gdr_reftransV1_0009374")</f>
        <v>p.persica_gdr_reftransV1_0009374</v>
      </c>
      <c r="B12609" s="2">
        <v>1454</v>
      </c>
      <c r="C12609" s="4" t="str">
        <f>HYPERLINK("http://www.uniprot.org/uniprot/M5X3F6","M5X3F6")</f>
        <v>M5X3F6</v>
      </c>
      <c r="D12609" s="2" t="s">
        <v>10484</v>
      </c>
      <c r="E12609" s="3">
        <v>0</v>
      </c>
      <c r="F12609" s="2">
        <v>1866</v>
      </c>
      <c r="G12609" s="2">
        <v>100</v>
      </c>
      <c r="H12609" s="2">
        <v>350</v>
      </c>
      <c r="I12609" s="2">
        <v>369</v>
      </c>
      <c r="J12609" s="2">
        <v>1418</v>
      </c>
      <c r="K12609" s="2">
        <v>1</v>
      </c>
      <c r="L12609" s="2">
        <v>350</v>
      </c>
    </row>
    <row r="12610" spans="1:12" x14ac:dyDescent="0.25">
      <c r="A12610" s="4" t="str">
        <f>HYPERLINK("http://www.rosaceae.org/Prunus/Prunus_persica/p.persica_gdr_reftransV1_0010074","p.persica_gdr_reftransV1_0010074")</f>
        <v>p.persica_gdr_reftransV1_0010074</v>
      </c>
      <c r="B12610" s="2">
        <v>1923</v>
      </c>
      <c r="C12610" s="4" t="str">
        <f>HYPERLINK("http://www.uniprot.org/uniprot/M5W647","M5W647")</f>
        <v>M5W647</v>
      </c>
      <c r="D12610" s="2" t="s">
        <v>8586</v>
      </c>
      <c r="E12610" s="3">
        <v>1.4699999999999999E-124</v>
      </c>
      <c r="F12610" s="2">
        <v>672</v>
      </c>
      <c r="G12610" s="2">
        <v>61</v>
      </c>
      <c r="H12610" s="2">
        <v>240</v>
      </c>
      <c r="I12610" s="2">
        <v>443</v>
      </c>
      <c r="J12610" s="2">
        <v>1147</v>
      </c>
      <c r="K12610" s="2">
        <v>736</v>
      </c>
      <c r="L12610" s="2">
        <v>972</v>
      </c>
    </row>
    <row r="12611" spans="1:12" x14ac:dyDescent="0.25">
      <c r="A12611" s="4" t="str">
        <f>HYPERLINK("http://www.rosaceae.org/Prunus/Prunus_persica/p.persica_gdr_reftransV1_0010774","p.persica_gdr_reftransV1_0010774")</f>
        <v>p.persica_gdr_reftransV1_0010774</v>
      </c>
      <c r="B12611" s="2">
        <v>2069</v>
      </c>
      <c r="C12611" s="4" t="str">
        <f>HYPERLINK("http://www.uniprot.org/uniprot/E9P297","E9P297")</f>
        <v>E9P297</v>
      </c>
      <c r="D12611" s="2" t="s">
        <v>10485</v>
      </c>
      <c r="E12611" s="3">
        <v>0</v>
      </c>
      <c r="F12611" s="2">
        <v>2747</v>
      </c>
      <c r="G12611" s="2">
        <v>91</v>
      </c>
      <c r="H12611" s="2">
        <v>600</v>
      </c>
      <c r="I12611" s="2">
        <v>159</v>
      </c>
      <c r="J12611" s="2">
        <v>1958</v>
      </c>
      <c r="K12611" s="2">
        <v>1</v>
      </c>
      <c r="L12611" s="2">
        <v>598</v>
      </c>
    </row>
    <row r="12612" spans="1:12" x14ac:dyDescent="0.25">
      <c r="A12612" s="4" t="str">
        <f>HYPERLINK("http://www.rosaceae.org/Prunus/Prunus_persica/p.persica_gdr_reftransV1_0011824","p.persica_gdr_reftransV1_0011824")</f>
        <v>p.persica_gdr_reftransV1_0011824</v>
      </c>
      <c r="B12612" s="2">
        <v>2845</v>
      </c>
      <c r="C12612" s="4" t="str">
        <f>HYPERLINK("http://www.uniprot.org/uniprot/M5WE67","M5WE67")</f>
        <v>M5WE67</v>
      </c>
      <c r="D12612" s="2" t="s">
        <v>9566</v>
      </c>
      <c r="E12612" s="3">
        <v>0</v>
      </c>
      <c r="F12612" s="2">
        <v>1462</v>
      </c>
      <c r="G12612" s="2">
        <v>100</v>
      </c>
      <c r="H12612" s="2">
        <v>270</v>
      </c>
      <c r="I12612" s="2">
        <v>204</v>
      </c>
      <c r="J12612" s="2">
        <v>1013</v>
      </c>
      <c r="K12612" s="2">
        <v>1</v>
      </c>
      <c r="L12612" s="2">
        <v>270</v>
      </c>
    </row>
    <row r="12613" spans="1:12" x14ac:dyDescent="0.25">
      <c r="A12613" s="4" t="str">
        <f>HYPERLINK("http://www.rosaceae.org/Prunus/Prunus_persica/p.persica_gdr_reftransV1_0013224","p.persica_gdr_reftransV1_0013224")</f>
        <v>p.persica_gdr_reftransV1_0013224</v>
      </c>
      <c r="B12613" s="2">
        <v>1266</v>
      </c>
      <c r="C12613" s="4" t="str">
        <f>HYPERLINK("http://www.uniprot.org/uniprot/M5XKR6","M5XKR6")</f>
        <v>M5XKR6</v>
      </c>
      <c r="D12613" s="2" t="s">
        <v>10486</v>
      </c>
      <c r="E12613" s="3">
        <v>1.15E-52</v>
      </c>
      <c r="F12613" s="2">
        <v>463</v>
      </c>
      <c r="G12613" s="2">
        <v>100</v>
      </c>
      <c r="H12613" s="2">
        <v>101</v>
      </c>
      <c r="I12613" s="2">
        <v>547</v>
      </c>
      <c r="J12613" s="2">
        <v>849</v>
      </c>
      <c r="K12613" s="2">
        <v>1</v>
      </c>
      <c r="L12613" s="2">
        <v>101</v>
      </c>
    </row>
    <row r="12614" spans="1:12" x14ac:dyDescent="0.25">
      <c r="A12614" s="4" t="str">
        <f>HYPERLINK("http://www.rosaceae.org/Prunus/Prunus_persica/p.persica_gdr_reftransV1_0013574","p.persica_gdr_reftransV1_0013574")</f>
        <v>p.persica_gdr_reftransV1_0013574</v>
      </c>
      <c r="B12614" s="2">
        <v>1188</v>
      </c>
      <c r="C12614" s="4" t="str">
        <f>HYPERLINK("http://www.uniprot.org/uniprot/A0A067F9D4","A0A067F9D4")</f>
        <v>A0A067F9D4</v>
      </c>
      <c r="D12614" s="2" t="s">
        <v>10487</v>
      </c>
      <c r="E12614" s="3">
        <v>9.8900000000000001E-45</v>
      </c>
      <c r="F12614" s="2">
        <v>406</v>
      </c>
      <c r="G12614" s="2">
        <v>95</v>
      </c>
      <c r="H12614" s="2">
        <v>80</v>
      </c>
      <c r="I12614" s="2">
        <v>104</v>
      </c>
      <c r="J12614" s="2">
        <v>343</v>
      </c>
      <c r="K12614" s="2">
        <v>1</v>
      </c>
      <c r="L12614" s="2">
        <v>80</v>
      </c>
    </row>
    <row r="12615" spans="1:12" x14ac:dyDescent="0.25">
      <c r="A12615" s="4" t="str">
        <f>HYPERLINK("http://www.rosaceae.org/Prunus/Prunus_persica/p.persica_gdr_reftransV1_0015674","p.persica_gdr_reftransV1_0015674")</f>
        <v>p.persica_gdr_reftransV1_0015674</v>
      </c>
      <c r="B12615" s="2">
        <v>2267</v>
      </c>
      <c r="C12615" s="4" t="str">
        <f>HYPERLINK("http://www.uniprot.org/uniprot/M5W9U3","M5W9U3")</f>
        <v>M5W9U3</v>
      </c>
      <c r="D12615" s="2" t="s">
        <v>5717</v>
      </c>
      <c r="E12615" s="3">
        <v>0</v>
      </c>
      <c r="F12615" s="2">
        <v>1824</v>
      </c>
      <c r="G12615" s="2">
        <v>100</v>
      </c>
      <c r="H12615" s="2">
        <v>358</v>
      </c>
      <c r="I12615" s="2">
        <v>212</v>
      </c>
      <c r="J12615" s="2">
        <v>1285</v>
      </c>
      <c r="K12615" s="2">
        <v>1</v>
      </c>
      <c r="L12615" s="2">
        <v>358</v>
      </c>
    </row>
    <row r="12616" spans="1:12" x14ac:dyDescent="0.25">
      <c r="A12616" s="4" t="str">
        <f>HYPERLINK("http://www.rosaceae.org/Prunus/Prunus_persica/p.persica_gdr_reftransV1_0016024","p.persica_gdr_reftransV1_0016024")</f>
        <v>p.persica_gdr_reftransV1_0016024</v>
      </c>
      <c r="B12616" s="2">
        <v>1273</v>
      </c>
      <c r="C12616" s="4" t="str">
        <f>HYPERLINK("http://www.uniprot.org/uniprot/M5WH56","M5WH56")</f>
        <v>M5WH56</v>
      </c>
      <c r="D12616" s="2" t="s">
        <v>1260</v>
      </c>
      <c r="E12616" s="3">
        <v>3.0999999999999998E-151</v>
      </c>
      <c r="F12616" s="2">
        <v>1132</v>
      </c>
      <c r="G12616" s="2">
        <v>98</v>
      </c>
      <c r="H12616" s="2">
        <v>231</v>
      </c>
      <c r="I12616" s="2">
        <v>2</v>
      </c>
      <c r="J12616" s="2">
        <v>694</v>
      </c>
      <c r="K12616" s="2">
        <v>1</v>
      </c>
      <c r="L12616" s="2">
        <v>230</v>
      </c>
    </row>
    <row r="12617" spans="1:12" x14ac:dyDescent="0.25">
      <c r="A12617" s="4" t="str">
        <f>HYPERLINK("http://www.rosaceae.org/Prunus/Prunus_persica/p.persica_gdr_reftransV1_0016724","p.persica_gdr_reftransV1_0016724")</f>
        <v>p.persica_gdr_reftransV1_0016724</v>
      </c>
      <c r="B12617" s="2">
        <v>2010</v>
      </c>
      <c r="C12617" s="4" t="str">
        <f>HYPERLINK("http://www.uniprot.org/uniprot/M5XCF6","M5XCF6")</f>
        <v>M5XCF6</v>
      </c>
      <c r="D12617" s="2" t="s">
        <v>10488</v>
      </c>
      <c r="E12617" s="3">
        <v>0</v>
      </c>
      <c r="F12617" s="2">
        <v>2026</v>
      </c>
      <c r="G12617" s="2">
        <v>100</v>
      </c>
      <c r="H12617" s="2">
        <v>419</v>
      </c>
      <c r="I12617" s="2">
        <v>150</v>
      </c>
      <c r="J12617" s="2">
        <v>1406</v>
      </c>
      <c r="K12617" s="2">
        <v>1</v>
      </c>
      <c r="L12617" s="2">
        <v>419</v>
      </c>
    </row>
    <row r="12618" spans="1:12" x14ac:dyDescent="0.25">
      <c r="A12618" s="4" t="str">
        <f>HYPERLINK("http://www.rosaceae.org/Prunus/Prunus_persica/p.persica_gdr_reftransV1_0017074","p.persica_gdr_reftransV1_0017074")</f>
        <v>p.persica_gdr_reftransV1_0017074</v>
      </c>
      <c r="B12618" s="2">
        <v>1496</v>
      </c>
      <c r="C12618" s="4" t="str">
        <f>HYPERLINK("http://www.uniprot.org/uniprot/M5VII1","M5VII1")</f>
        <v>M5VII1</v>
      </c>
      <c r="D12618" s="2" t="s">
        <v>10489</v>
      </c>
      <c r="E12618" s="3">
        <v>4.3799999999999998E-119</v>
      </c>
      <c r="F12618" s="2">
        <v>929</v>
      </c>
      <c r="G12618" s="2">
        <v>99</v>
      </c>
      <c r="H12618" s="2">
        <v>265</v>
      </c>
      <c r="I12618" s="2">
        <v>546</v>
      </c>
      <c r="J12618" s="2">
        <v>1331</v>
      </c>
      <c r="K12618" s="2">
        <v>1</v>
      </c>
      <c r="L12618" s="2">
        <v>265</v>
      </c>
    </row>
    <row r="12619" spans="1:12" x14ac:dyDescent="0.25">
      <c r="A12619" s="4" t="str">
        <f>HYPERLINK("http://www.rosaceae.org/Prunus/Prunus_persica/p.persica_gdr_reftransV1_0017424","p.persica_gdr_reftransV1_0017424")</f>
        <v>p.persica_gdr_reftransV1_0017424</v>
      </c>
      <c r="B12619" s="2">
        <v>2825</v>
      </c>
      <c r="C12619" s="4" t="str">
        <f>HYPERLINK("http://www.uniprot.org/uniprot/M5XXG0","M5XXG0")</f>
        <v>M5XXG0</v>
      </c>
      <c r="D12619" s="2" t="s">
        <v>9845</v>
      </c>
      <c r="E12619" s="3">
        <v>9.3299999999999995E-82</v>
      </c>
      <c r="F12619" s="2">
        <v>720</v>
      </c>
      <c r="G12619" s="2">
        <v>99</v>
      </c>
      <c r="H12619" s="2">
        <v>154</v>
      </c>
      <c r="I12619" s="2">
        <v>451</v>
      </c>
      <c r="J12619" s="2">
        <v>912</v>
      </c>
      <c r="K12619" s="2">
        <v>257</v>
      </c>
      <c r="L12619" s="2">
        <v>410</v>
      </c>
    </row>
    <row r="12620" spans="1:12" x14ac:dyDescent="0.25">
      <c r="A12620" s="4" t="str">
        <f>HYPERLINK("http://www.rosaceae.org/Prunus/Prunus_persica/p.persica_gdr_reftransV1_0017774","p.persica_gdr_reftransV1_0017774")</f>
        <v>p.persica_gdr_reftransV1_0017774</v>
      </c>
      <c r="B12620" s="2">
        <v>3971</v>
      </c>
      <c r="C12620" s="4" t="str">
        <f>HYPERLINK("http://www.uniprot.org/uniprot/M5XXR8","M5XXR8")</f>
        <v>M5XXR8</v>
      </c>
      <c r="D12620" s="2" t="s">
        <v>10490</v>
      </c>
      <c r="E12620" s="3">
        <v>0</v>
      </c>
      <c r="F12620" s="2">
        <v>2829</v>
      </c>
      <c r="G12620" s="2">
        <v>100</v>
      </c>
      <c r="H12620" s="2">
        <v>592</v>
      </c>
      <c r="I12620" s="2">
        <v>597</v>
      </c>
      <c r="J12620" s="2">
        <v>2372</v>
      </c>
      <c r="K12620" s="2">
        <v>1</v>
      </c>
      <c r="L12620" s="2">
        <v>592</v>
      </c>
    </row>
    <row r="12621" spans="1:12" x14ac:dyDescent="0.25">
      <c r="A12621" s="4" t="str">
        <f>HYPERLINK("http://www.rosaceae.org/Prunus/Prunus_persica/p.persica_gdr_reftransV1_0019174","p.persica_gdr_reftransV1_0019174")</f>
        <v>p.persica_gdr_reftransV1_0019174</v>
      </c>
      <c r="B12621" s="2">
        <v>1629</v>
      </c>
      <c r="C12621" s="4" t="str">
        <f>HYPERLINK("http://www.uniprot.org/uniprot/M5XXD0","M5XXD0")</f>
        <v>M5XXD0</v>
      </c>
      <c r="D12621" s="2" t="s">
        <v>10491</v>
      </c>
      <c r="E12621" s="3">
        <v>0</v>
      </c>
      <c r="F12621" s="2">
        <v>2132</v>
      </c>
      <c r="G12621" s="2">
        <v>100</v>
      </c>
      <c r="H12621" s="2">
        <v>416</v>
      </c>
      <c r="I12621" s="2">
        <v>208</v>
      </c>
      <c r="J12621" s="2">
        <v>1455</v>
      </c>
      <c r="K12621" s="2">
        <v>1</v>
      </c>
      <c r="L12621" s="2">
        <v>416</v>
      </c>
    </row>
    <row r="12622" spans="1:12" x14ac:dyDescent="0.25">
      <c r="A12622" s="4" t="str">
        <f>HYPERLINK("http://www.rosaceae.org/Prunus/Prunus_persica/p.persica_gdr_reftransV1_0019874","p.persica_gdr_reftransV1_0019874")</f>
        <v>p.persica_gdr_reftransV1_0019874</v>
      </c>
      <c r="B12622" s="2">
        <v>933</v>
      </c>
      <c r="C12622" s="4" t="str">
        <f>HYPERLINK("http://www.uniprot.org/uniprot/M5W725","M5W725")</f>
        <v>M5W725</v>
      </c>
      <c r="D12622" s="2" t="s">
        <v>10492</v>
      </c>
      <c r="E12622" s="3">
        <v>4.0299999999999997E-71</v>
      </c>
      <c r="F12622" s="2">
        <v>580</v>
      </c>
      <c r="G12622" s="2">
        <v>100</v>
      </c>
      <c r="H12622" s="2">
        <v>115</v>
      </c>
      <c r="I12622" s="2">
        <v>323</v>
      </c>
      <c r="J12622" s="2">
        <v>667</v>
      </c>
      <c r="K12622" s="2">
        <v>1</v>
      </c>
      <c r="L12622" s="2">
        <v>115</v>
      </c>
    </row>
    <row r="12623" spans="1:12" x14ac:dyDescent="0.25">
      <c r="A12623" s="4" t="str">
        <f>HYPERLINK("http://www.rosaceae.org/Prunus/Prunus_persica/p.persica_gdr_reftransV1_0021274","p.persica_gdr_reftransV1_0021274")</f>
        <v>p.persica_gdr_reftransV1_0021274</v>
      </c>
      <c r="B12623" s="2">
        <v>1399</v>
      </c>
      <c r="C12623" s="4" t="str">
        <f>HYPERLINK("http://www.uniprot.org/uniprot/M5W5Z4","M5W5Z4")</f>
        <v>M5W5Z4</v>
      </c>
      <c r="D12623" s="2" t="s">
        <v>10493</v>
      </c>
      <c r="E12623" s="3">
        <v>2.88E-109</v>
      </c>
      <c r="F12623" s="2">
        <v>854</v>
      </c>
      <c r="G12623" s="2">
        <v>99</v>
      </c>
      <c r="H12623" s="2">
        <v>188</v>
      </c>
      <c r="I12623" s="2">
        <v>401</v>
      </c>
      <c r="J12623" s="2">
        <v>964</v>
      </c>
      <c r="K12623" s="2">
        <v>1</v>
      </c>
      <c r="L12623" s="2">
        <v>188</v>
      </c>
    </row>
    <row r="12624" spans="1:12" x14ac:dyDescent="0.25">
      <c r="A12624" s="4" t="str">
        <f>HYPERLINK("http://www.rosaceae.org/Prunus/Prunus_persica/p.persica_gdr_reftransV1_0025474","p.persica_gdr_reftransV1_0025474")</f>
        <v>p.persica_gdr_reftransV1_0025474</v>
      </c>
      <c r="B12624" s="2">
        <v>2140</v>
      </c>
      <c r="C12624" s="4" t="str">
        <f>HYPERLINK("http://www.uniprot.org/uniprot/M1QDP5","M1QDP5")</f>
        <v>M1QDP5</v>
      </c>
      <c r="D12624" s="2" t="s">
        <v>6738</v>
      </c>
      <c r="E12624" s="3">
        <v>0</v>
      </c>
      <c r="F12624" s="2">
        <v>2009</v>
      </c>
      <c r="G12624" s="2">
        <v>100</v>
      </c>
      <c r="H12624" s="2">
        <v>393</v>
      </c>
      <c r="I12624" s="2">
        <v>440</v>
      </c>
      <c r="J12624" s="2">
        <v>1618</v>
      </c>
      <c r="K12624" s="2">
        <v>1</v>
      </c>
      <c r="L12624" s="2">
        <v>393</v>
      </c>
    </row>
    <row r="12625" spans="1:12" x14ac:dyDescent="0.25">
      <c r="A12625" s="4" t="str">
        <f>HYPERLINK("http://www.rosaceae.org/Prunus/Prunus_persica/p.persica_gdr_reftransV1_0026524","p.persica_gdr_reftransV1_0026524")</f>
        <v>p.persica_gdr_reftransV1_0026524</v>
      </c>
      <c r="B12625" s="2">
        <v>4438</v>
      </c>
      <c r="C12625" s="4" t="str">
        <f>HYPERLINK("http://www.uniprot.org/uniprot/M5WLE4","M5WLE4")</f>
        <v>M5WLE4</v>
      </c>
      <c r="D12625" s="2" t="s">
        <v>9469</v>
      </c>
      <c r="E12625" s="3">
        <v>0</v>
      </c>
      <c r="F12625" s="2">
        <v>2911</v>
      </c>
      <c r="G12625" s="2">
        <v>100</v>
      </c>
      <c r="H12625" s="2">
        <v>579</v>
      </c>
      <c r="I12625" s="2">
        <v>230</v>
      </c>
      <c r="J12625" s="2">
        <v>1966</v>
      </c>
      <c r="K12625" s="2">
        <v>474</v>
      </c>
      <c r="L12625" s="2">
        <v>1052</v>
      </c>
    </row>
    <row r="12626" spans="1:12" x14ac:dyDescent="0.25">
      <c r="A12626" s="4" t="str">
        <f>HYPERLINK("http://www.rosaceae.org/Prunus/Prunus_persica/p.persica_gdr_reftransV1_0027924","p.persica_gdr_reftransV1_0027924")</f>
        <v>p.persica_gdr_reftransV1_0027924</v>
      </c>
      <c r="B12626" s="2">
        <v>1153</v>
      </c>
      <c r="C12626" s="4" t="str">
        <f>HYPERLINK("http://www.uniprot.org/uniprot/M5WT36","M5WT36")</f>
        <v>M5WT36</v>
      </c>
      <c r="D12626" s="2" t="s">
        <v>10494</v>
      </c>
      <c r="E12626" s="3">
        <v>0</v>
      </c>
      <c r="F12626" s="2">
        <v>1506</v>
      </c>
      <c r="G12626" s="2">
        <v>100</v>
      </c>
      <c r="H12626" s="2">
        <v>277</v>
      </c>
      <c r="I12626" s="2">
        <v>260</v>
      </c>
      <c r="J12626" s="2">
        <v>1090</v>
      </c>
      <c r="K12626" s="2">
        <v>55</v>
      </c>
      <c r="L12626" s="2">
        <v>331</v>
      </c>
    </row>
    <row r="12627" spans="1:12" x14ac:dyDescent="0.25">
      <c r="A12627" s="4" t="str">
        <f>HYPERLINK("http://www.rosaceae.org/Prunus/Prunus_persica/p.persica_gdr_reftransV1_0030374","p.persica_gdr_reftransV1_0030374")</f>
        <v>p.persica_gdr_reftransV1_0030374</v>
      </c>
      <c r="B12627" s="2">
        <v>1921</v>
      </c>
      <c r="C12627" s="4" t="str">
        <f>HYPERLINK("http://www.uniprot.org/uniprot/M5VM26","M5VM26")</f>
        <v>M5VM26</v>
      </c>
      <c r="D12627" s="2" t="s">
        <v>10495</v>
      </c>
      <c r="E12627" s="3">
        <v>0</v>
      </c>
      <c r="F12627" s="2">
        <v>2137</v>
      </c>
      <c r="G12627" s="2">
        <v>100</v>
      </c>
      <c r="H12627" s="2">
        <v>442</v>
      </c>
      <c r="I12627" s="2">
        <v>187</v>
      </c>
      <c r="J12627" s="2">
        <v>1512</v>
      </c>
      <c r="K12627" s="2">
        <v>1</v>
      </c>
      <c r="L12627" s="2">
        <v>442</v>
      </c>
    </row>
    <row r="12628" spans="1:12" x14ac:dyDescent="0.25">
      <c r="A12628" s="4" t="str">
        <f>HYPERLINK("http://www.rosaceae.org/Prunus/Prunus_persica/p.persica_gdr_reftransV1_0030724","p.persica_gdr_reftransV1_0030724")</f>
        <v>p.persica_gdr_reftransV1_0030724</v>
      </c>
      <c r="B12628" s="2">
        <v>574</v>
      </c>
      <c r="C12628" s="4" t="str">
        <f>HYPERLINK("http://www.uniprot.org/uniprot/M5VMU2","M5VMU2")</f>
        <v>M5VMU2</v>
      </c>
      <c r="D12628" s="2" t="s">
        <v>8176</v>
      </c>
      <c r="E12628" s="3">
        <v>4.1100000000000001E-99</v>
      </c>
      <c r="F12628" s="2">
        <v>759</v>
      </c>
      <c r="G12628" s="2">
        <v>100</v>
      </c>
      <c r="H12628" s="2">
        <v>157</v>
      </c>
      <c r="I12628" s="2">
        <v>104</v>
      </c>
      <c r="J12628" s="2">
        <v>574</v>
      </c>
      <c r="K12628" s="2">
        <v>1</v>
      </c>
      <c r="L12628" s="2">
        <v>157</v>
      </c>
    </row>
    <row r="12629" spans="1:12" x14ac:dyDescent="0.25">
      <c r="A12629" s="4" t="str">
        <f>HYPERLINK("http://www.rosaceae.org/Prunus/Prunus_persica/p.persica_gdr_reftransV1_0031774","p.persica_gdr_reftransV1_0031774")</f>
        <v>p.persica_gdr_reftransV1_0031774</v>
      </c>
      <c r="B12629" s="2">
        <v>1191</v>
      </c>
      <c r="C12629" s="4" t="str">
        <f>HYPERLINK("http://www.uniprot.org/uniprot/H6WZZ8","H6WZZ8")</f>
        <v>H6WZZ8</v>
      </c>
      <c r="D12629" s="2" t="s">
        <v>10496</v>
      </c>
      <c r="E12629" s="3">
        <v>1.9900000000000001E-170</v>
      </c>
      <c r="F12629" s="2">
        <v>1256</v>
      </c>
      <c r="G12629" s="2">
        <v>100</v>
      </c>
      <c r="H12629" s="2">
        <v>237</v>
      </c>
      <c r="I12629" s="2">
        <v>406</v>
      </c>
      <c r="J12629" s="2">
        <v>1116</v>
      </c>
      <c r="K12629" s="2">
        <v>1</v>
      </c>
      <c r="L12629" s="2">
        <v>237</v>
      </c>
    </row>
    <row r="12630" spans="1:12" x14ac:dyDescent="0.25">
      <c r="A12630" s="4" t="str">
        <f>HYPERLINK("http://www.rosaceae.org/Prunus/Prunus_persica/p.persica_gdr_reftransV1_0032124","p.persica_gdr_reftransV1_0032124")</f>
        <v>p.persica_gdr_reftransV1_0032124</v>
      </c>
      <c r="B12630" s="2">
        <v>487</v>
      </c>
      <c r="C12630" s="4" t="str">
        <f>HYPERLINK("http://www.uniprot.org/uniprot/M5X8W1","M5X8W1")</f>
        <v>M5X8W1</v>
      </c>
      <c r="D12630" s="2" t="s">
        <v>10497</v>
      </c>
      <c r="E12630" s="3">
        <v>5.9499999999999999E-44</v>
      </c>
      <c r="F12630" s="2">
        <v>389</v>
      </c>
      <c r="G12630" s="2">
        <v>100</v>
      </c>
      <c r="H12630" s="2">
        <v>70</v>
      </c>
      <c r="I12630" s="2">
        <v>146</v>
      </c>
      <c r="J12630" s="2">
        <v>355</v>
      </c>
      <c r="K12630" s="2">
        <v>107</v>
      </c>
      <c r="L12630" s="2">
        <v>176</v>
      </c>
    </row>
    <row r="12631" spans="1:12" x14ac:dyDescent="0.25">
      <c r="A12631" s="4" t="str">
        <f>HYPERLINK("http://www.rosaceae.org/Prunus/Prunus_persica/p.persica_gdr_reftransV1_0032474","p.persica_gdr_reftransV1_0032474")</f>
        <v>p.persica_gdr_reftransV1_0032474</v>
      </c>
      <c r="B12631" s="2">
        <v>1818</v>
      </c>
      <c r="C12631" s="4" t="str">
        <f>HYPERLINK("http://www.uniprot.org/uniprot/M5XHZ8","M5XHZ8")</f>
        <v>M5XHZ8</v>
      </c>
      <c r="D12631" s="2" t="s">
        <v>10498</v>
      </c>
      <c r="E12631" s="3">
        <v>8.5200000000000004E-125</v>
      </c>
      <c r="F12631" s="2">
        <v>982</v>
      </c>
      <c r="G12631" s="2">
        <v>59</v>
      </c>
      <c r="H12631" s="2">
        <v>379</v>
      </c>
      <c r="I12631" s="2">
        <v>269</v>
      </c>
      <c r="J12631" s="2">
        <v>1402</v>
      </c>
      <c r="K12631" s="2">
        <v>1</v>
      </c>
      <c r="L12631" s="2">
        <v>320</v>
      </c>
    </row>
    <row r="12632" spans="1:12" x14ac:dyDescent="0.25">
      <c r="A12632" s="4" t="str">
        <f>HYPERLINK("http://www.rosaceae.org/Prunus/Prunus_persica/p.persica_gdr_reftransV1_0033874","p.persica_gdr_reftransV1_0033874")</f>
        <v>p.persica_gdr_reftransV1_0033874</v>
      </c>
      <c r="B12632" s="2">
        <v>8701</v>
      </c>
      <c r="C12632" s="4" t="str">
        <f>HYPERLINK("http://www.uniprot.org/uniprot/M5WXK2","M5WXK2")</f>
        <v>M5WXK2</v>
      </c>
      <c r="D12632" s="2" t="s">
        <v>632</v>
      </c>
      <c r="E12632" s="3">
        <v>0</v>
      </c>
      <c r="F12632" s="2">
        <v>3475</v>
      </c>
      <c r="G12632" s="2">
        <v>99</v>
      </c>
      <c r="H12632" s="2">
        <v>695</v>
      </c>
      <c r="I12632" s="2">
        <v>6616</v>
      </c>
      <c r="J12632" s="2">
        <v>8700</v>
      </c>
      <c r="K12632" s="2">
        <v>106</v>
      </c>
      <c r="L12632" s="2">
        <v>797</v>
      </c>
    </row>
    <row r="12633" spans="1:12" x14ac:dyDescent="0.25">
      <c r="A12633" s="4" t="str">
        <f>HYPERLINK("http://www.rosaceae.org/Prunus/Prunus_persica/p.persica_gdr_reftransV1_0034574","p.persica_gdr_reftransV1_0034574")</f>
        <v>p.persica_gdr_reftransV1_0034574</v>
      </c>
      <c r="B12633" s="2">
        <v>2076</v>
      </c>
      <c r="C12633" s="4" t="str">
        <f>HYPERLINK("http://www.uniprot.org/uniprot/M5XKN6","M5XKN6")</f>
        <v>M5XKN6</v>
      </c>
      <c r="D12633" s="2" t="s">
        <v>10499</v>
      </c>
      <c r="E12633" s="3">
        <v>0</v>
      </c>
      <c r="F12633" s="2">
        <v>1644</v>
      </c>
      <c r="G12633" s="2">
        <v>93</v>
      </c>
      <c r="H12633" s="2">
        <v>458</v>
      </c>
      <c r="I12633" s="2">
        <v>638</v>
      </c>
      <c r="J12633" s="2">
        <v>2011</v>
      </c>
      <c r="K12633" s="2">
        <v>1</v>
      </c>
      <c r="L12633" s="2">
        <v>431</v>
      </c>
    </row>
    <row r="12634" spans="1:12" x14ac:dyDescent="0.25">
      <c r="A12634" s="4" t="str">
        <f>HYPERLINK("http://www.rosaceae.org/Prunus/Prunus_persica/p.persica_gdr_reftransV1_0037374","p.persica_gdr_reftransV1_0037374")</f>
        <v>p.persica_gdr_reftransV1_0037374</v>
      </c>
      <c r="B12634" s="2">
        <v>3420</v>
      </c>
      <c r="C12634" s="4" t="str">
        <f>HYPERLINK("http://www.uniprot.org/uniprot/M5WEZ3","M5WEZ3")</f>
        <v>M5WEZ3</v>
      </c>
      <c r="D12634" s="2" t="s">
        <v>2001</v>
      </c>
      <c r="E12634" s="3">
        <v>1.5699999999999999E-98</v>
      </c>
      <c r="F12634" s="2">
        <v>848</v>
      </c>
      <c r="G12634" s="2">
        <v>96</v>
      </c>
      <c r="H12634" s="2">
        <v>194</v>
      </c>
      <c r="I12634" s="2">
        <v>1511</v>
      </c>
      <c r="J12634" s="2">
        <v>2083</v>
      </c>
      <c r="K12634" s="2">
        <v>10</v>
      </c>
      <c r="L12634" s="2">
        <v>203</v>
      </c>
    </row>
    <row r="12635" spans="1:12" x14ac:dyDescent="0.25">
      <c r="A12635" s="4" t="str">
        <f>HYPERLINK("http://www.rosaceae.org/Prunus/Prunus_persica/p.persica_gdr_reftransV1_0038774","p.persica_gdr_reftransV1_0038774")</f>
        <v>p.persica_gdr_reftransV1_0038774</v>
      </c>
      <c r="B12635" s="2">
        <v>3060</v>
      </c>
      <c r="C12635" s="4" t="str">
        <f>HYPERLINK("http://www.uniprot.org/uniprot/M5Y326","M5Y326")</f>
        <v>M5Y326</v>
      </c>
      <c r="D12635" s="2" t="s">
        <v>10500</v>
      </c>
      <c r="E12635" s="3">
        <v>0</v>
      </c>
      <c r="F12635" s="2">
        <v>2547</v>
      </c>
      <c r="G12635" s="2">
        <v>98</v>
      </c>
      <c r="H12635" s="2">
        <v>483</v>
      </c>
      <c r="I12635" s="2">
        <v>1610</v>
      </c>
      <c r="J12635" s="2">
        <v>3058</v>
      </c>
      <c r="K12635" s="2">
        <v>358</v>
      </c>
      <c r="L12635" s="2">
        <v>840</v>
      </c>
    </row>
    <row r="12636" spans="1:12" x14ac:dyDescent="0.25">
      <c r="A12636" s="4" t="str">
        <f>HYPERLINK("http://www.rosaceae.org/Prunus/Prunus_persica/p.persica_gdr_reftransV1_0040524","p.persica_gdr_reftransV1_0040524")</f>
        <v>p.persica_gdr_reftransV1_0040524</v>
      </c>
      <c r="B12636" s="2">
        <v>3046</v>
      </c>
      <c r="C12636" s="4" t="str">
        <f>HYPERLINK("http://www.uniprot.org/uniprot/M5WWI1","M5WWI1")</f>
        <v>M5WWI1</v>
      </c>
      <c r="D12636" s="2" t="s">
        <v>10501</v>
      </c>
      <c r="E12636" s="3">
        <v>4.2899999999999998E-157</v>
      </c>
      <c r="F12636" s="2">
        <v>1249</v>
      </c>
      <c r="G12636" s="2">
        <v>100</v>
      </c>
      <c r="H12636" s="2">
        <v>275</v>
      </c>
      <c r="I12636" s="2">
        <v>455</v>
      </c>
      <c r="J12636" s="2">
        <v>1279</v>
      </c>
      <c r="K12636" s="2">
        <v>1</v>
      </c>
      <c r="L12636" s="2">
        <v>275</v>
      </c>
    </row>
    <row r="12637" spans="1:12" x14ac:dyDescent="0.25">
      <c r="A12637" s="4" t="str">
        <f>HYPERLINK("http://www.rosaceae.org/Prunus/Prunus_persica/p.persica_gdr_reftransV1_0043324","p.persica_gdr_reftransV1_0043324")</f>
        <v>p.persica_gdr_reftransV1_0043324</v>
      </c>
      <c r="B12637" s="2">
        <v>365</v>
      </c>
      <c r="C12637" s="4" t="str">
        <f>HYPERLINK("http://www.uniprot.org/uniprot/M5XKP5","M5XKP5")</f>
        <v>M5XKP5</v>
      </c>
      <c r="D12637" s="2" t="s">
        <v>1876</v>
      </c>
      <c r="E12637" s="3">
        <v>1.4200000000000001E-64</v>
      </c>
      <c r="F12637" s="2">
        <v>560</v>
      </c>
      <c r="G12637" s="2">
        <v>100</v>
      </c>
      <c r="H12637" s="2">
        <v>106</v>
      </c>
      <c r="I12637" s="2">
        <v>2</v>
      </c>
      <c r="J12637" s="2">
        <v>319</v>
      </c>
      <c r="K12637" s="2">
        <v>308</v>
      </c>
      <c r="L12637" s="2">
        <v>413</v>
      </c>
    </row>
    <row r="12638" spans="1:12" x14ac:dyDescent="0.25">
      <c r="A12638" s="4" t="str">
        <f>HYPERLINK("http://www.rosaceae.org/Prunus/Prunus_persica/p.persica_gdr_reftransV1_0044374","p.persica_gdr_reftransV1_0044374")</f>
        <v>p.persica_gdr_reftransV1_0044374</v>
      </c>
      <c r="B12638" s="2">
        <v>2278</v>
      </c>
      <c r="C12638" s="4" t="str">
        <f>HYPERLINK("http://www.uniprot.org/uniprot/M5WYS0","M5WYS0")</f>
        <v>M5WYS0</v>
      </c>
      <c r="D12638" s="2" t="s">
        <v>10502</v>
      </c>
      <c r="E12638" s="3">
        <v>0</v>
      </c>
      <c r="F12638" s="2">
        <v>2536</v>
      </c>
      <c r="G12638" s="2">
        <v>100</v>
      </c>
      <c r="H12638" s="2">
        <v>483</v>
      </c>
      <c r="I12638" s="2">
        <v>363</v>
      </c>
      <c r="J12638" s="2">
        <v>1811</v>
      </c>
      <c r="K12638" s="2">
        <v>153</v>
      </c>
      <c r="L12638" s="2">
        <v>635</v>
      </c>
    </row>
    <row r="12639" spans="1:12" x14ac:dyDescent="0.25">
      <c r="A12639" s="4" t="str">
        <f>HYPERLINK("http://www.rosaceae.org/Prunus/Prunus_persica/p.persica_gdr_reftransV1_0045074","p.persica_gdr_reftransV1_0045074")</f>
        <v>p.persica_gdr_reftransV1_0045074</v>
      </c>
      <c r="B12639" s="2">
        <v>2132</v>
      </c>
      <c r="C12639" s="4" t="str">
        <f>HYPERLINK("http://www.uniprot.org/uniprot/M5VMI0","M5VMI0")</f>
        <v>M5VMI0</v>
      </c>
      <c r="D12639" s="2" t="s">
        <v>10503</v>
      </c>
      <c r="E12639" s="3">
        <v>0</v>
      </c>
      <c r="F12639" s="2">
        <v>3170</v>
      </c>
      <c r="G12639" s="2">
        <v>99</v>
      </c>
      <c r="H12639" s="2">
        <v>601</v>
      </c>
      <c r="I12639" s="2">
        <v>3</v>
      </c>
      <c r="J12639" s="2">
        <v>1805</v>
      </c>
      <c r="K12639" s="2">
        <v>37</v>
      </c>
      <c r="L12639" s="2">
        <v>637</v>
      </c>
    </row>
    <row r="12640" spans="1:12" x14ac:dyDescent="0.25">
      <c r="A12640" s="4" t="str">
        <f>HYPERLINK("http://www.rosaceae.org/Prunus/Prunus_persica/p.persica_gdr_reftransV1_0045424","p.persica_gdr_reftransV1_0045424")</f>
        <v>p.persica_gdr_reftransV1_0045424</v>
      </c>
      <c r="B12640" s="2">
        <v>714</v>
      </c>
      <c r="C12640" s="4" t="str">
        <f>HYPERLINK("http://www.uniprot.org/uniprot/M5XR55","M5XR55")</f>
        <v>M5XR55</v>
      </c>
      <c r="D12640" s="2" t="s">
        <v>5363</v>
      </c>
      <c r="E12640" s="3">
        <v>6.7199999999999998E-122</v>
      </c>
      <c r="F12640" s="2">
        <v>974</v>
      </c>
      <c r="G12640" s="2">
        <v>100</v>
      </c>
      <c r="H12640" s="2">
        <v>238</v>
      </c>
      <c r="I12640" s="2">
        <v>1</v>
      </c>
      <c r="J12640" s="2">
        <v>714</v>
      </c>
      <c r="K12640" s="2">
        <v>595</v>
      </c>
      <c r="L12640" s="2">
        <v>832</v>
      </c>
    </row>
    <row r="12641" spans="1:12" x14ac:dyDescent="0.25">
      <c r="A12641" s="4" t="str">
        <f>HYPERLINK("http://www.rosaceae.org/Prunus/Prunus_persica/p.persica_gdr_reftransV1_0045774","p.persica_gdr_reftransV1_0045774")</f>
        <v>p.persica_gdr_reftransV1_0045774</v>
      </c>
      <c r="B12641" s="2">
        <v>906</v>
      </c>
      <c r="C12641" s="4" t="str">
        <f>HYPERLINK("http://www.uniprot.org/uniprot/M5X0B7","M5X0B7")</f>
        <v>M5X0B7</v>
      </c>
      <c r="D12641" s="2" t="s">
        <v>7447</v>
      </c>
      <c r="E12641" s="3">
        <v>2.3599999999999998E-62</v>
      </c>
      <c r="F12641" s="2">
        <v>539</v>
      </c>
      <c r="G12641" s="2">
        <v>100</v>
      </c>
      <c r="H12641" s="2">
        <v>100</v>
      </c>
      <c r="I12641" s="2">
        <v>321</v>
      </c>
      <c r="J12641" s="2">
        <v>620</v>
      </c>
      <c r="K12641" s="2">
        <v>245</v>
      </c>
      <c r="L12641" s="2">
        <v>344</v>
      </c>
    </row>
    <row r="12642" spans="1:12" x14ac:dyDescent="0.25">
      <c r="A12642" s="4" t="str">
        <f>HYPERLINK("http://www.rosaceae.org/Prunus/Prunus_persica/p.persica_gdr_reftransV1_0046124","p.persica_gdr_reftransV1_0046124")</f>
        <v>p.persica_gdr_reftransV1_0046124</v>
      </c>
      <c r="B12642" s="2">
        <v>2534</v>
      </c>
      <c r="C12642" s="4" t="str">
        <f>HYPERLINK("http://www.uniprot.org/uniprot/F2VR44","F2VR44")</f>
        <v>F2VR44</v>
      </c>
      <c r="D12642" s="2" t="s">
        <v>10504</v>
      </c>
      <c r="E12642" s="3">
        <v>0</v>
      </c>
      <c r="F12642" s="2">
        <v>2832</v>
      </c>
      <c r="G12642" s="2">
        <v>96</v>
      </c>
      <c r="H12642" s="2">
        <v>605</v>
      </c>
      <c r="I12642" s="2">
        <v>468</v>
      </c>
      <c r="J12642" s="2">
        <v>2282</v>
      </c>
      <c r="K12642" s="2">
        <v>1</v>
      </c>
      <c r="L12642" s="2">
        <v>603</v>
      </c>
    </row>
    <row r="12643" spans="1:12" x14ac:dyDescent="0.25">
      <c r="A12643" s="4" t="str">
        <f>HYPERLINK("http://www.rosaceae.org/Prunus/Prunus_persica/p.persica_gdr_reftransV1_0047174","p.persica_gdr_reftransV1_0047174")</f>
        <v>p.persica_gdr_reftransV1_0047174</v>
      </c>
      <c r="B12643" s="2">
        <v>1826</v>
      </c>
      <c r="C12643" s="4" t="str">
        <f>HYPERLINK("http://www.uniprot.org/uniprot/D8L7V7","D8L7V7")</f>
        <v>D8L7V7</v>
      </c>
      <c r="D12643" s="2" t="s">
        <v>10505</v>
      </c>
      <c r="E12643" s="3">
        <v>0</v>
      </c>
      <c r="F12643" s="2">
        <v>1729</v>
      </c>
      <c r="G12643" s="2">
        <v>99</v>
      </c>
      <c r="H12643" s="2">
        <v>323</v>
      </c>
      <c r="I12643" s="2">
        <v>88</v>
      </c>
      <c r="J12643" s="2">
        <v>1056</v>
      </c>
      <c r="K12643" s="2">
        <v>1</v>
      </c>
      <c r="L12643" s="2">
        <v>323</v>
      </c>
    </row>
    <row r="12644" spans="1:12" x14ac:dyDescent="0.25">
      <c r="A12644" s="4" t="str">
        <f>HYPERLINK("http://www.rosaceae.org/Prunus/Prunus_persica/p.persica_gdr_reftransV1_0047524","p.persica_gdr_reftransV1_0047524")</f>
        <v>p.persica_gdr_reftransV1_0047524</v>
      </c>
      <c r="B12644" s="2">
        <v>827</v>
      </c>
      <c r="C12644" s="4" t="str">
        <f>HYPERLINK("http://www.uniprot.org/uniprot/M5XU00","M5XU00")</f>
        <v>M5XU00</v>
      </c>
      <c r="D12644" s="2" t="s">
        <v>10506</v>
      </c>
      <c r="E12644" s="3">
        <v>5.6299999999999998E-77</v>
      </c>
      <c r="F12644" s="2">
        <v>625</v>
      </c>
      <c r="G12644" s="2">
        <v>100</v>
      </c>
      <c r="H12644" s="2">
        <v>114</v>
      </c>
      <c r="I12644" s="2">
        <v>249</v>
      </c>
      <c r="J12644" s="2">
        <v>590</v>
      </c>
      <c r="K12644" s="2">
        <v>119</v>
      </c>
      <c r="L12644" s="2">
        <v>232</v>
      </c>
    </row>
    <row r="12645" spans="1:12" x14ac:dyDescent="0.25">
      <c r="A12645" s="4" t="str">
        <f>HYPERLINK("http://www.rosaceae.org/Prunus/Prunus_persica/p.persica_gdr_reftransV1_0048574","p.persica_gdr_reftransV1_0048574")</f>
        <v>p.persica_gdr_reftransV1_0048574</v>
      </c>
      <c r="B12645" s="2">
        <v>689</v>
      </c>
      <c r="C12645" s="4" t="str">
        <f>HYPERLINK("http://www.uniprot.org/uniprot/W9RZ13","W9RZ13")</f>
        <v>W9RZ13</v>
      </c>
      <c r="D12645" s="2" t="s">
        <v>10507</v>
      </c>
      <c r="E12645" s="3">
        <v>2.32E-73</v>
      </c>
      <c r="F12645" s="2">
        <v>640</v>
      </c>
      <c r="G12645" s="2">
        <v>57</v>
      </c>
      <c r="H12645" s="2">
        <v>230</v>
      </c>
      <c r="I12645" s="2">
        <v>3</v>
      </c>
      <c r="J12645" s="2">
        <v>686</v>
      </c>
      <c r="K12645" s="2">
        <v>194</v>
      </c>
      <c r="L12645" s="2">
        <v>398</v>
      </c>
    </row>
    <row r="12646" spans="1:12" x14ac:dyDescent="0.25">
      <c r="A12646" s="4" t="str">
        <f>HYPERLINK("http://www.rosaceae.org/Prunus/Prunus_persica/p.persica_gdr_reftransV1_0048924","p.persica_gdr_reftransV1_0048924")</f>
        <v>p.persica_gdr_reftransV1_0048924</v>
      </c>
      <c r="B12646" s="2">
        <v>4290</v>
      </c>
      <c r="C12646" s="4" t="str">
        <f>HYPERLINK("http://www.uniprot.org/uniprot/M5VVU5","M5VVU5")</f>
        <v>M5VVU5</v>
      </c>
      <c r="D12646" s="2" t="s">
        <v>10508</v>
      </c>
      <c r="E12646" s="3">
        <v>0</v>
      </c>
      <c r="F12646" s="2">
        <v>5363</v>
      </c>
      <c r="G12646" s="2">
        <v>98</v>
      </c>
      <c r="H12646" s="2">
        <v>1026</v>
      </c>
      <c r="I12646" s="2">
        <v>186</v>
      </c>
      <c r="J12646" s="2">
        <v>3263</v>
      </c>
      <c r="K12646" s="2">
        <v>263</v>
      </c>
      <c r="L12646" s="2">
        <v>1287</v>
      </c>
    </row>
    <row r="12647" spans="1:12" x14ac:dyDescent="0.25">
      <c r="A12647" s="4" t="str">
        <f>HYPERLINK("http://www.rosaceae.org/Prunus/Prunus_persica/p.persica_gdr_reftransV1_0000625","p.persica_gdr_reftransV1_0000625")</f>
        <v>p.persica_gdr_reftransV1_0000625</v>
      </c>
      <c r="B12647" s="2">
        <v>535</v>
      </c>
      <c r="C12647" s="4" t="str">
        <f>HYPERLINK("http://www.uniprot.org/uniprot/M5X8M8","M5X8M8")</f>
        <v>M5X8M8</v>
      </c>
      <c r="D12647" s="2" t="s">
        <v>5608</v>
      </c>
      <c r="E12647" s="3">
        <v>7.2200000000000001E-96</v>
      </c>
      <c r="F12647" s="2">
        <v>777</v>
      </c>
      <c r="G12647" s="2">
        <v>75</v>
      </c>
      <c r="H12647" s="2">
        <v>231</v>
      </c>
      <c r="I12647" s="2">
        <v>2</v>
      </c>
      <c r="J12647" s="2">
        <v>535</v>
      </c>
      <c r="K12647" s="2">
        <v>235</v>
      </c>
      <c r="L12647" s="2">
        <v>465</v>
      </c>
    </row>
    <row r="12648" spans="1:12" x14ac:dyDescent="0.25">
      <c r="A12648" s="4" t="str">
        <f>HYPERLINK("http://www.rosaceae.org/Prunus/Prunus_persica/p.persica_gdr_reftransV1_0000975","p.persica_gdr_reftransV1_0000975")</f>
        <v>p.persica_gdr_reftransV1_0000975</v>
      </c>
      <c r="B12648" s="2">
        <v>2000</v>
      </c>
      <c r="C12648" s="4" t="str">
        <f>HYPERLINK("http://www.uniprot.org/uniprot/M5VIJ2","M5VIJ2")</f>
        <v>M5VIJ2</v>
      </c>
      <c r="D12648" s="2" t="s">
        <v>10509</v>
      </c>
      <c r="E12648" s="3">
        <v>0</v>
      </c>
      <c r="F12648" s="2">
        <v>1959</v>
      </c>
      <c r="G12648" s="2">
        <v>87</v>
      </c>
      <c r="H12648" s="2">
        <v>513</v>
      </c>
      <c r="I12648" s="2">
        <v>351</v>
      </c>
      <c r="J12648" s="2">
        <v>1745</v>
      </c>
      <c r="K12648" s="2">
        <v>1</v>
      </c>
      <c r="L12648" s="2">
        <v>512</v>
      </c>
    </row>
    <row r="12649" spans="1:12" x14ac:dyDescent="0.25">
      <c r="A12649" s="4" t="str">
        <f>HYPERLINK("http://www.rosaceae.org/Prunus/Prunus_persica/p.persica_gdr_reftransV1_0001325","p.persica_gdr_reftransV1_0001325")</f>
        <v>p.persica_gdr_reftransV1_0001325</v>
      </c>
      <c r="B12649" s="2">
        <v>2298</v>
      </c>
      <c r="C12649" s="4" t="str">
        <f>HYPERLINK("http://www.uniprot.org/uniprot/M5WED3","M5WED3")</f>
        <v>M5WED3</v>
      </c>
      <c r="D12649" s="2" t="s">
        <v>2465</v>
      </c>
      <c r="E12649" s="3">
        <v>0</v>
      </c>
      <c r="F12649" s="2">
        <v>2101</v>
      </c>
      <c r="G12649" s="2">
        <v>96</v>
      </c>
      <c r="H12649" s="2">
        <v>469</v>
      </c>
      <c r="I12649" s="2">
        <v>818</v>
      </c>
      <c r="J12649" s="2">
        <v>2224</v>
      </c>
      <c r="K12649" s="2">
        <v>1</v>
      </c>
      <c r="L12649" s="2">
        <v>457</v>
      </c>
    </row>
    <row r="12650" spans="1:12" x14ac:dyDescent="0.25">
      <c r="A12650" s="4" t="str">
        <f>HYPERLINK("http://www.rosaceae.org/Prunus/Prunus_persica/p.persica_gdr_reftransV1_0001675","p.persica_gdr_reftransV1_0001675")</f>
        <v>p.persica_gdr_reftransV1_0001675</v>
      </c>
      <c r="B12650" s="2">
        <v>2331</v>
      </c>
      <c r="C12650" s="4" t="str">
        <f>HYPERLINK("http://www.uniprot.org/uniprot/M5XGJ6","M5XGJ6")</f>
        <v>M5XGJ6</v>
      </c>
      <c r="D12650" s="2" t="s">
        <v>10510</v>
      </c>
      <c r="E12650" s="3">
        <v>0</v>
      </c>
      <c r="F12650" s="2">
        <v>2971</v>
      </c>
      <c r="G12650" s="2">
        <v>100</v>
      </c>
      <c r="H12650" s="2">
        <v>644</v>
      </c>
      <c r="I12650" s="2">
        <v>286</v>
      </c>
      <c r="J12650" s="2">
        <v>2217</v>
      </c>
      <c r="K12650" s="2">
        <v>1</v>
      </c>
      <c r="L12650" s="2">
        <v>644</v>
      </c>
    </row>
    <row r="12651" spans="1:12" x14ac:dyDescent="0.25">
      <c r="A12651" s="4" t="str">
        <f>HYPERLINK("http://www.rosaceae.org/Prunus/Prunus_persica/p.persica_gdr_reftransV1_0002025","p.persica_gdr_reftransV1_0002025")</f>
        <v>p.persica_gdr_reftransV1_0002025</v>
      </c>
      <c r="B12651" s="2">
        <v>323</v>
      </c>
      <c r="C12651" s="4" t="str">
        <f>HYPERLINK("http://www.uniprot.org/uniprot/M5WXM1","M5WXM1")</f>
        <v>M5WXM1</v>
      </c>
      <c r="D12651" s="2" t="s">
        <v>10511</v>
      </c>
      <c r="E12651" s="3">
        <v>7.5799999999999995E-55</v>
      </c>
      <c r="F12651" s="2">
        <v>487</v>
      </c>
      <c r="G12651" s="2">
        <v>100</v>
      </c>
      <c r="H12651" s="2">
        <v>107</v>
      </c>
      <c r="I12651" s="2">
        <v>2</v>
      </c>
      <c r="J12651" s="2">
        <v>322</v>
      </c>
      <c r="K12651" s="2">
        <v>200</v>
      </c>
      <c r="L12651" s="2">
        <v>306</v>
      </c>
    </row>
    <row r="12652" spans="1:12" x14ac:dyDescent="0.25">
      <c r="A12652" s="4" t="str">
        <f>HYPERLINK("http://www.rosaceae.org/Prunus/Prunus_persica/p.persica_gdr_reftransV1_0002375","p.persica_gdr_reftransV1_0002375")</f>
        <v>p.persica_gdr_reftransV1_0002375</v>
      </c>
      <c r="B12652" s="2">
        <v>1996</v>
      </c>
      <c r="C12652" s="4" t="str">
        <f>HYPERLINK("http://www.uniprot.org/uniprot/M5WTI2","M5WTI2")</f>
        <v>M5WTI2</v>
      </c>
      <c r="D12652" s="2" t="s">
        <v>848</v>
      </c>
      <c r="E12652" s="3">
        <v>0</v>
      </c>
      <c r="F12652" s="2">
        <v>2342</v>
      </c>
      <c r="G12652" s="2">
        <v>94</v>
      </c>
      <c r="H12652" s="2">
        <v>469</v>
      </c>
      <c r="I12652" s="2">
        <v>154</v>
      </c>
      <c r="J12652" s="2">
        <v>1473</v>
      </c>
      <c r="K12652" s="2">
        <v>1</v>
      </c>
      <c r="L12652" s="2">
        <v>469</v>
      </c>
    </row>
    <row r="12653" spans="1:12" x14ac:dyDescent="0.25">
      <c r="A12653" s="4" t="str">
        <f>HYPERLINK("http://www.rosaceae.org/Prunus/Prunus_persica/p.persica_gdr_reftransV1_0002725","p.persica_gdr_reftransV1_0002725")</f>
        <v>p.persica_gdr_reftransV1_0002725</v>
      </c>
      <c r="B12653" s="2">
        <v>351</v>
      </c>
      <c r="C12653" s="4" t="str">
        <f>HYPERLINK("http://www.uniprot.org/uniprot/M5XGV7","M5XGV7")</f>
        <v>M5XGV7</v>
      </c>
      <c r="D12653" s="2" t="s">
        <v>1943</v>
      </c>
      <c r="E12653" s="3">
        <v>3.6299999999999998E-74</v>
      </c>
      <c r="F12653" s="2">
        <v>642</v>
      </c>
      <c r="G12653" s="2">
        <v>100</v>
      </c>
      <c r="H12653" s="2">
        <v>116</v>
      </c>
      <c r="I12653" s="2">
        <v>2</v>
      </c>
      <c r="J12653" s="2">
        <v>349</v>
      </c>
      <c r="K12653" s="2">
        <v>2027</v>
      </c>
      <c r="L12653" s="2">
        <v>2142</v>
      </c>
    </row>
    <row r="12654" spans="1:12" x14ac:dyDescent="0.25">
      <c r="A12654" s="4" t="str">
        <f>HYPERLINK("http://www.rosaceae.org/Prunus/Prunus_persica/p.persica_gdr_reftransV1_0003425","p.persica_gdr_reftransV1_0003425")</f>
        <v>p.persica_gdr_reftransV1_0003425</v>
      </c>
      <c r="B12654" s="2">
        <v>467</v>
      </c>
      <c r="C12654" s="4" t="str">
        <f>HYPERLINK("http://www.uniprot.org/uniprot/M5VP61","M5VP61")</f>
        <v>M5VP61</v>
      </c>
      <c r="D12654" s="2" t="s">
        <v>5089</v>
      </c>
      <c r="E12654" s="3">
        <v>2.0299999999999999E-86</v>
      </c>
      <c r="F12654" s="2">
        <v>728</v>
      </c>
      <c r="G12654" s="2">
        <v>88</v>
      </c>
      <c r="H12654" s="2">
        <v>155</v>
      </c>
      <c r="I12654" s="2">
        <v>2</v>
      </c>
      <c r="J12654" s="2">
        <v>466</v>
      </c>
      <c r="K12654" s="2">
        <v>149</v>
      </c>
      <c r="L12654" s="2">
        <v>303</v>
      </c>
    </row>
    <row r="12655" spans="1:12" x14ac:dyDescent="0.25">
      <c r="A12655" s="4" t="str">
        <f>HYPERLINK("http://www.rosaceae.org/Prunus/Prunus_persica/p.persica_gdr_reftransV1_0003775","p.persica_gdr_reftransV1_0003775")</f>
        <v>p.persica_gdr_reftransV1_0003775</v>
      </c>
      <c r="B12655" s="2">
        <v>3245</v>
      </c>
      <c r="C12655" s="4" t="str">
        <f>HYPERLINK("http://www.uniprot.org/uniprot/M5WKR5","M5WKR5")</f>
        <v>M5WKR5</v>
      </c>
      <c r="D12655" s="2" t="s">
        <v>10512</v>
      </c>
      <c r="E12655" s="3">
        <v>0</v>
      </c>
      <c r="F12655" s="2">
        <v>4441</v>
      </c>
      <c r="G12655" s="2">
        <v>97</v>
      </c>
      <c r="H12655" s="2">
        <v>934</v>
      </c>
      <c r="I12655" s="2">
        <v>442</v>
      </c>
      <c r="J12655" s="2">
        <v>3243</v>
      </c>
      <c r="K12655" s="2">
        <v>8</v>
      </c>
      <c r="L12655" s="2">
        <v>941</v>
      </c>
    </row>
    <row r="12656" spans="1:12" x14ac:dyDescent="0.25">
      <c r="A12656" s="4" t="str">
        <f>HYPERLINK("http://www.rosaceae.org/Prunus/Prunus_persica/p.persica_gdr_reftransV1_0004125","p.persica_gdr_reftransV1_0004125")</f>
        <v>p.persica_gdr_reftransV1_0004125</v>
      </c>
      <c r="B12656" s="2">
        <v>845</v>
      </c>
      <c r="C12656" s="4" t="str">
        <f>HYPERLINK("http://www.uniprot.org/uniprot/M5XSJ2","M5XSJ2")</f>
        <v>M5XSJ2</v>
      </c>
      <c r="D12656" s="2" t="s">
        <v>3412</v>
      </c>
      <c r="E12656" s="3">
        <v>7.6E-87</v>
      </c>
      <c r="F12656" s="2">
        <v>717</v>
      </c>
      <c r="G12656" s="2">
        <v>100</v>
      </c>
      <c r="H12656" s="2">
        <v>142</v>
      </c>
      <c r="I12656" s="2">
        <v>418</v>
      </c>
      <c r="J12656" s="2">
        <v>843</v>
      </c>
      <c r="K12656" s="2">
        <v>381</v>
      </c>
      <c r="L12656" s="2">
        <v>522</v>
      </c>
    </row>
    <row r="12657" spans="1:12" x14ac:dyDescent="0.25">
      <c r="A12657" s="4" t="str">
        <f>HYPERLINK("http://www.rosaceae.org/Prunus/Prunus_persica/p.persica_gdr_reftransV1_0004475","p.persica_gdr_reftransV1_0004475")</f>
        <v>p.persica_gdr_reftransV1_0004475</v>
      </c>
      <c r="B12657" s="2">
        <v>2425</v>
      </c>
      <c r="C12657" s="4" t="str">
        <f>HYPERLINK("http://www.uniprot.org/uniprot/M5VXH4","M5VXH4")</f>
        <v>M5VXH4</v>
      </c>
      <c r="D12657" s="2" t="s">
        <v>10513</v>
      </c>
      <c r="E12657" s="3">
        <v>0</v>
      </c>
      <c r="F12657" s="2">
        <v>3071</v>
      </c>
      <c r="G12657" s="2">
        <v>100</v>
      </c>
      <c r="H12657" s="2">
        <v>582</v>
      </c>
      <c r="I12657" s="2">
        <v>622</v>
      </c>
      <c r="J12657" s="2">
        <v>2367</v>
      </c>
      <c r="K12657" s="2">
        <v>26</v>
      </c>
      <c r="L12657" s="2">
        <v>607</v>
      </c>
    </row>
    <row r="12658" spans="1:12" x14ac:dyDescent="0.25">
      <c r="A12658" s="4" t="str">
        <f>HYPERLINK("http://www.rosaceae.org/Prunus/Prunus_persica/p.persica_gdr_reftransV1_0004825","p.persica_gdr_reftransV1_0004825")</f>
        <v>p.persica_gdr_reftransV1_0004825</v>
      </c>
      <c r="B12658" s="2">
        <v>2675</v>
      </c>
      <c r="C12658" s="4" t="str">
        <f>HYPERLINK("http://www.uniprot.org/uniprot/M5X5D4","M5X5D4")</f>
        <v>M5X5D4</v>
      </c>
      <c r="D12658" s="2" t="s">
        <v>10514</v>
      </c>
      <c r="E12658" s="3">
        <v>0</v>
      </c>
      <c r="F12658" s="2">
        <v>2329</v>
      </c>
      <c r="G12658" s="2">
        <v>99</v>
      </c>
      <c r="H12658" s="2">
        <v>435</v>
      </c>
      <c r="I12658" s="2">
        <v>87</v>
      </c>
      <c r="J12658" s="2">
        <v>1391</v>
      </c>
      <c r="K12658" s="2">
        <v>80</v>
      </c>
      <c r="L12658" s="2">
        <v>514</v>
      </c>
    </row>
    <row r="12659" spans="1:12" x14ac:dyDescent="0.25">
      <c r="A12659" s="4" t="str">
        <f>HYPERLINK("http://www.rosaceae.org/Prunus/Prunus_persica/p.persica_gdr_reftransV1_0005175","p.persica_gdr_reftransV1_0005175")</f>
        <v>p.persica_gdr_reftransV1_0005175</v>
      </c>
      <c r="B12659" s="2">
        <v>637</v>
      </c>
      <c r="C12659" s="4" t="str">
        <f>HYPERLINK("http://www.uniprot.org/uniprot/M5XNG8","M5XNG8")</f>
        <v>M5XNG8</v>
      </c>
      <c r="D12659" s="2" t="s">
        <v>10515</v>
      </c>
      <c r="E12659" s="3">
        <v>1.3299999999999999E-60</v>
      </c>
      <c r="F12659" s="2">
        <v>514</v>
      </c>
      <c r="G12659" s="2">
        <v>100</v>
      </c>
      <c r="H12659" s="2">
        <v>183</v>
      </c>
      <c r="I12659" s="2">
        <v>2</v>
      </c>
      <c r="J12659" s="2">
        <v>550</v>
      </c>
      <c r="K12659" s="2">
        <v>103</v>
      </c>
      <c r="L12659" s="2">
        <v>285</v>
      </c>
    </row>
    <row r="12660" spans="1:12" x14ac:dyDescent="0.25">
      <c r="A12660" s="4" t="str">
        <f>HYPERLINK("http://www.rosaceae.org/Prunus/Prunus_persica/p.persica_gdr_reftransV1_0005525","p.persica_gdr_reftransV1_0005525")</f>
        <v>p.persica_gdr_reftransV1_0005525</v>
      </c>
      <c r="B12660" s="2">
        <v>1914</v>
      </c>
      <c r="C12660" s="4" t="str">
        <f>HYPERLINK("http://www.uniprot.org/uniprot/M4QFX1","M4QFX1")</f>
        <v>M4QFX1</v>
      </c>
      <c r="D12660" s="2" t="s">
        <v>7117</v>
      </c>
      <c r="E12660" s="3">
        <v>0</v>
      </c>
      <c r="F12660" s="2">
        <v>2455</v>
      </c>
      <c r="G12660" s="2">
        <v>98</v>
      </c>
      <c r="H12660" s="2">
        <v>482</v>
      </c>
      <c r="I12660" s="2">
        <v>176</v>
      </c>
      <c r="J12660" s="2">
        <v>1621</v>
      </c>
      <c r="K12660" s="2">
        <v>1</v>
      </c>
      <c r="L12660" s="2">
        <v>482</v>
      </c>
    </row>
    <row r="12661" spans="1:12" x14ac:dyDescent="0.25">
      <c r="A12661" s="4" t="str">
        <f>HYPERLINK("http://www.rosaceae.org/Prunus/Prunus_persica/p.persica_gdr_reftransV1_0005875","p.persica_gdr_reftransV1_0005875")</f>
        <v>p.persica_gdr_reftransV1_0005875</v>
      </c>
      <c r="B12661" s="2">
        <v>1478</v>
      </c>
      <c r="C12661" s="4" t="str">
        <f>HYPERLINK("http://www.uniprot.org/uniprot/J7G0Q7","J7G0Q7")</f>
        <v>J7G0Q7</v>
      </c>
      <c r="D12661" s="2" t="s">
        <v>10516</v>
      </c>
      <c r="E12661" s="3">
        <v>6.3300000000000004E-33</v>
      </c>
      <c r="F12661" s="2">
        <v>209</v>
      </c>
      <c r="G12661" s="2">
        <v>44</v>
      </c>
      <c r="H12661" s="2">
        <v>142</v>
      </c>
      <c r="I12661" s="2">
        <v>375</v>
      </c>
      <c r="J12661" s="2">
        <v>788</v>
      </c>
      <c r="K12661" s="2">
        <v>293</v>
      </c>
      <c r="L12661" s="2">
        <v>434</v>
      </c>
    </row>
    <row r="12662" spans="1:12" x14ac:dyDescent="0.25">
      <c r="A12662" s="4" t="str">
        <f>HYPERLINK("http://www.rosaceae.org/Prunus/Prunus_persica/p.persica_gdr_reftransV1_0006575","p.persica_gdr_reftransV1_0006575")</f>
        <v>p.persica_gdr_reftransV1_0006575</v>
      </c>
      <c r="B12662" s="2">
        <v>492</v>
      </c>
      <c r="C12662" s="4" t="str">
        <f>HYPERLINK("http://www.uniprot.org/uniprot/A5BVQ3","A5BVQ3")</f>
        <v>A5BVQ3</v>
      </c>
      <c r="D12662" s="2" t="s">
        <v>10517</v>
      </c>
      <c r="E12662" s="3">
        <v>6.6799999999999994E-42</v>
      </c>
      <c r="F12662" s="2">
        <v>406</v>
      </c>
      <c r="G12662" s="2">
        <v>51</v>
      </c>
      <c r="H12662" s="2">
        <v>186</v>
      </c>
      <c r="I12662" s="2">
        <v>20</v>
      </c>
      <c r="J12662" s="2">
        <v>490</v>
      </c>
      <c r="K12662" s="2">
        <v>267</v>
      </c>
      <c r="L12662" s="2">
        <v>452</v>
      </c>
    </row>
    <row r="12663" spans="1:12" x14ac:dyDescent="0.25">
      <c r="A12663" s="4" t="str">
        <f>HYPERLINK("http://www.rosaceae.org/Prunus/Prunus_persica/p.persica_gdr_reftransV1_0007625","p.persica_gdr_reftransV1_0007625")</f>
        <v>p.persica_gdr_reftransV1_0007625</v>
      </c>
      <c r="B12663" s="2">
        <v>2500</v>
      </c>
      <c r="C12663" s="4" t="str">
        <f>HYPERLINK("http://www.uniprot.org/uniprot/M5VV91","M5VV91")</f>
        <v>M5VV91</v>
      </c>
      <c r="D12663" s="2" t="s">
        <v>10518</v>
      </c>
      <c r="E12663" s="3">
        <v>0</v>
      </c>
      <c r="F12663" s="2">
        <v>1985</v>
      </c>
      <c r="G12663" s="2">
        <v>98</v>
      </c>
      <c r="H12663" s="2">
        <v>382</v>
      </c>
      <c r="I12663" s="2">
        <v>3</v>
      </c>
      <c r="J12663" s="2">
        <v>1148</v>
      </c>
      <c r="K12663" s="2">
        <v>71</v>
      </c>
      <c r="L12663" s="2">
        <v>451</v>
      </c>
    </row>
    <row r="12664" spans="1:12" x14ac:dyDescent="0.25">
      <c r="A12664" s="4" t="str">
        <f>HYPERLINK("http://www.rosaceae.org/Prunus/Prunus_persica/p.persica_gdr_reftransV1_0008325","p.persica_gdr_reftransV1_0008325")</f>
        <v>p.persica_gdr_reftransV1_0008325</v>
      </c>
      <c r="B12664" s="2">
        <v>807</v>
      </c>
      <c r="C12664" s="4" t="str">
        <f>HYPERLINK("http://www.uniprot.org/uniprot/M5Y9V4","M5Y9V4")</f>
        <v>M5Y9V4</v>
      </c>
      <c r="D12664" s="2" t="s">
        <v>10519</v>
      </c>
      <c r="E12664" s="3">
        <v>5.9599999999999998E-108</v>
      </c>
      <c r="F12664" s="2">
        <v>845</v>
      </c>
      <c r="G12664" s="2">
        <v>100</v>
      </c>
      <c r="H12664" s="2">
        <v>175</v>
      </c>
      <c r="I12664" s="2">
        <v>283</v>
      </c>
      <c r="J12664" s="2">
        <v>807</v>
      </c>
      <c r="K12664" s="2">
        <v>227</v>
      </c>
      <c r="L12664" s="2">
        <v>401</v>
      </c>
    </row>
    <row r="12665" spans="1:12" x14ac:dyDescent="0.25">
      <c r="A12665" s="4" t="str">
        <f>HYPERLINK("http://www.rosaceae.org/Prunus/Prunus_persica/p.persica_gdr_reftransV1_0008675","p.persica_gdr_reftransV1_0008675")</f>
        <v>p.persica_gdr_reftransV1_0008675</v>
      </c>
      <c r="B12665" s="2">
        <v>2419</v>
      </c>
      <c r="C12665" s="4" t="str">
        <f>HYPERLINK("http://www.uniprot.org/uniprot/M5XBN4","M5XBN4")</f>
        <v>M5XBN4</v>
      </c>
      <c r="D12665" s="2" t="s">
        <v>10520</v>
      </c>
      <c r="E12665" s="3">
        <v>0</v>
      </c>
      <c r="F12665" s="2">
        <v>2331</v>
      </c>
      <c r="G12665" s="2">
        <v>90</v>
      </c>
      <c r="H12665" s="2">
        <v>510</v>
      </c>
      <c r="I12665" s="2">
        <v>201</v>
      </c>
      <c r="J12665" s="2">
        <v>1730</v>
      </c>
      <c r="K12665" s="2">
        <v>1</v>
      </c>
      <c r="L12665" s="2">
        <v>461</v>
      </c>
    </row>
    <row r="12666" spans="1:12" x14ac:dyDescent="0.25">
      <c r="A12666" s="4" t="str">
        <f>HYPERLINK("http://www.rosaceae.org/Prunus/Prunus_persica/p.persica_gdr_reftransV1_0009025","p.persica_gdr_reftransV1_0009025")</f>
        <v>p.persica_gdr_reftransV1_0009025</v>
      </c>
      <c r="B12666" s="2">
        <v>1033</v>
      </c>
      <c r="C12666" s="4" t="str">
        <f>HYPERLINK("http://www.uniprot.org/uniprot/M5X712","M5X712")</f>
        <v>M5X712</v>
      </c>
      <c r="D12666" s="2" t="s">
        <v>10521</v>
      </c>
      <c r="E12666" s="3">
        <v>4.3900000000000002E-128</v>
      </c>
      <c r="F12666" s="2">
        <v>966</v>
      </c>
      <c r="G12666" s="2">
        <v>99</v>
      </c>
      <c r="H12666" s="2">
        <v>185</v>
      </c>
      <c r="I12666" s="2">
        <v>381</v>
      </c>
      <c r="J12666" s="2">
        <v>935</v>
      </c>
      <c r="K12666" s="2">
        <v>1</v>
      </c>
      <c r="L12666" s="2">
        <v>185</v>
      </c>
    </row>
    <row r="12667" spans="1:12" x14ac:dyDescent="0.25">
      <c r="A12667" s="4" t="str">
        <f>HYPERLINK("http://www.rosaceae.org/Prunus/Prunus_persica/p.persica_gdr_reftransV1_0009725","p.persica_gdr_reftransV1_0009725")</f>
        <v>p.persica_gdr_reftransV1_0009725</v>
      </c>
      <c r="B12667" s="2">
        <v>2193</v>
      </c>
      <c r="C12667" s="4" t="str">
        <f>HYPERLINK("http://www.uniprot.org/uniprot/M5XCC4","M5XCC4")</f>
        <v>M5XCC4</v>
      </c>
      <c r="D12667" s="2" t="s">
        <v>10522</v>
      </c>
      <c r="E12667" s="3">
        <v>0</v>
      </c>
      <c r="F12667" s="2">
        <v>2525</v>
      </c>
      <c r="G12667" s="2">
        <v>100</v>
      </c>
      <c r="H12667" s="2">
        <v>547</v>
      </c>
      <c r="I12667" s="2">
        <v>394</v>
      </c>
      <c r="J12667" s="2">
        <v>2034</v>
      </c>
      <c r="K12667" s="2">
        <v>1</v>
      </c>
      <c r="L12667" s="2">
        <v>547</v>
      </c>
    </row>
    <row r="12668" spans="1:12" x14ac:dyDescent="0.25">
      <c r="A12668" s="4" t="str">
        <f>HYPERLINK("http://www.rosaceae.org/Prunus/Prunus_persica/p.persica_gdr_reftransV1_0010075","p.persica_gdr_reftransV1_0010075")</f>
        <v>p.persica_gdr_reftransV1_0010075</v>
      </c>
      <c r="B12668" s="2">
        <v>1158</v>
      </c>
      <c r="C12668" s="4" t="str">
        <f>HYPERLINK("http://www.uniprot.org/uniprot/M5WVD7","M5WVD7")</f>
        <v>M5WVD7</v>
      </c>
      <c r="D12668" s="2" t="s">
        <v>10523</v>
      </c>
      <c r="E12668" s="3">
        <v>2.7699999999999998E-106</v>
      </c>
      <c r="F12668" s="2">
        <v>831</v>
      </c>
      <c r="G12668" s="2">
        <v>97</v>
      </c>
      <c r="H12668" s="2">
        <v>188</v>
      </c>
      <c r="I12668" s="2">
        <v>275</v>
      </c>
      <c r="J12668" s="2">
        <v>838</v>
      </c>
      <c r="K12668" s="2">
        <v>1</v>
      </c>
      <c r="L12668" s="2">
        <v>188</v>
      </c>
    </row>
    <row r="12669" spans="1:12" x14ac:dyDescent="0.25">
      <c r="A12669" s="4" t="str">
        <f>HYPERLINK("http://www.rosaceae.org/Prunus/Prunus_persica/p.persica_gdr_reftransV1_0010425","p.persica_gdr_reftransV1_0010425")</f>
        <v>p.persica_gdr_reftransV1_0010425</v>
      </c>
      <c r="B12669" s="2">
        <v>3283</v>
      </c>
      <c r="C12669" s="4" t="str">
        <f>HYPERLINK("http://www.uniprot.org/uniprot/M1BQ36","M1BQ36")</f>
        <v>M1BQ36</v>
      </c>
      <c r="D12669" s="2" t="s">
        <v>10524</v>
      </c>
      <c r="E12669" s="3">
        <v>1.2799999999999999E-19</v>
      </c>
      <c r="F12669" s="2">
        <v>240</v>
      </c>
      <c r="G12669" s="2">
        <v>88</v>
      </c>
      <c r="H12669" s="2">
        <v>49</v>
      </c>
      <c r="I12669" s="2">
        <v>1</v>
      </c>
      <c r="J12669" s="2">
        <v>147</v>
      </c>
      <c r="K12669" s="2">
        <v>8</v>
      </c>
      <c r="L12669" s="2">
        <v>56</v>
      </c>
    </row>
    <row r="12670" spans="1:12" x14ac:dyDescent="0.25">
      <c r="A12670" s="4" t="str">
        <f>HYPERLINK("http://www.rosaceae.org/Prunus/Prunus_persica/p.persica_gdr_reftransV1_0010775","p.persica_gdr_reftransV1_0010775")</f>
        <v>p.persica_gdr_reftransV1_0010775</v>
      </c>
      <c r="B12670" s="2">
        <v>1106</v>
      </c>
      <c r="C12670" s="4" t="str">
        <f>HYPERLINK("http://www.uniprot.org/uniprot/M5X883","M5X883")</f>
        <v>M5X883</v>
      </c>
      <c r="D12670" s="2" t="s">
        <v>10525</v>
      </c>
      <c r="E12670" s="3">
        <v>7.2499999999999998E-162</v>
      </c>
      <c r="F12670" s="2">
        <v>1196</v>
      </c>
      <c r="G12670" s="2">
        <v>100</v>
      </c>
      <c r="H12670" s="2">
        <v>237</v>
      </c>
      <c r="I12670" s="2">
        <v>157</v>
      </c>
      <c r="J12670" s="2">
        <v>867</v>
      </c>
      <c r="K12670" s="2">
        <v>1</v>
      </c>
      <c r="L12670" s="2">
        <v>237</v>
      </c>
    </row>
    <row r="12671" spans="1:12" x14ac:dyDescent="0.25">
      <c r="A12671" s="4" t="str">
        <f>HYPERLINK("http://www.rosaceae.org/Prunus/Prunus_persica/p.persica_gdr_reftransV1_0011475","p.persica_gdr_reftransV1_0011475")</f>
        <v>p.persica_gdr_reftransV1_0011475</v>
      </c>
      <c r="B12671" s="2">
        <v>2791</v>
      </c>
      <c r="C12671" s="4" t="str">
        <f>HYPERLINK("http://www.uniprot.org/uniprot/M5W7F7","M5W7F7")</f>
        <v>M5W7F7</v>
      </c>
      <c r="D12671" s="2" t="s">
        <v>10526</v>
      </c>
      <c r="E12671" s="3">
        <v>0</v>
      </c>
      <c r="F12671" s="2">
        <v>2508</v>
      </c>
      <c r="G12671" s="2">
        <v>100</v>
      </c>
      <c r="H12671" s="2">
        <v>525</v>
      </c>
      <c r="I12671" s="2">
        <v>68</v>
      </c>
      <c r="J12671" s="2">
        <v>1642</v>
      </c>
      <c r="K12671" s="2">
        <v>1</v>
      </c>
      <c r="L12671" s="2">
        <v>525</v>
      </c>
    </row>
    <row r="12672" spans="1:12" x14ac:dyDescent="0.25">
      <c r="A12672" s="4" t="str">
        <f>HYPERLINK("http://www.rosaceae.org/Prunus/Prunus_persica/p.persica_gdr_reftransV1_0012175","p.persica_gdr_reftransV1_0012175")</f>
        <v>p.persica_gdr_reftransV1_0012175</v>
      </c>
      <c r="B12672" s="2">
        <v>1442</v>
      </c>
      <c r="C12672" s="4" t="str">
        <f>HYPERLINK("http://www.uniprot.org/uniprot/M5WKE4","M5WKE4")</f>
        <v>M5WKE4</v>
      </c>
      <c r="D12672" s="2" t="s">
        <v>6823</v>
      </c>
      <c r="E12672" s="3">
        <v>2.61E-37</v>
      </c>
      <c r="F12672" s="2">
        <v>330</v>
      </c>
      <c r="G12672" s="2">
        <v>97</v>
      </c>
      <c r="H12672" s="2">
        <v>63</v>
      </c>
      <c r="I12672" s="2">
        <v>860</v>
      </c>
      <c r="J12672" s="2">
        <v>1048</v>
      </c>
      <c r="K12672" s="2">
        <v>7</v>
      </c>
      <c r="L12672" s="2">
        <v>69</v>
      </c>
    </row>
    <row r="12673" spans="1:12" x14ac:dyDescent="0.25">
      <c r="A12673" s="4" t="str">
        <f>HYPERLINK("http://www.rosaceae.org/Prunus/Prunus_persica/p.persica_gdr_reftransV1_0013225","p.persica_gdr_reftransV1_0013225")</f>
        <v>p.persica_gdr_reftransV1_0013225</v>
      </c>
      <c r="B12673" s="2">
        <v>2071</v>
      </c>
      <c r="C12673" s="4" t="str">
        <f>HYPERLINK("http://www.uniprot.org/uniprot/M5XEV9","M5XEV9")</f>
        <v>M5XEV9</v>
      </c>
      <c r="D12673" s="2" t="s">
        <v>2121</v>
      </c>
      <c r="E12673" s="3">
        <v>0</v>
      </c>
      <c r="F12673" s="2">
        <v>1998</v>
      </c>
      <c r="G12673" s="2">
        <v>100</v>
      </c>
      <c r="H12673" s="2">
        <v>381</v>
      </c>
      <c r="I12673" s="2">
        <v>261</v>
      </c>
      <c r="J12673" s="2">
        <v>1403</v>
      </c>
      <c r="K12673" s="2">
        <v>21</v>
      </c>
      <c r="L12673" s="2">
        <v>401</v>
      </c>
    </row>
    <row r="12674" spans="1:12" x14ac:dyDescent="0.25">
      <c r="A12674" s="4" t="str">
        <f>HYPERLINK("http://www.rosaceae.org/Prunus/Prunus_persica/p.persica_gdr_reftransV1_0013575","p.persica_gdr_reftransV1_0013575")</f>
        <v>p.persica_gdr_reftransV1_0013575</v>
      </c>
      <c r="B12674" s="2">
        <v>851</v>
      </c>
      <c r="C12674" s="4" t="str">
        <f>HYPERLINK("http://www.uniprot.org/uniprot/M5XNI7","M5XNI7")</f>
        <v>M5XNI7</v>
      </c>
      <c r="D12674" s="2" t="s">
        <v>4876</v>
      </c>
      <c r="E12674" s="3">
        <v>5.6499999999999998E-132</v>
      </c>
      <c r="F12674" s="2">
        <v>1026</v>
      </c>
      <c r="G12674" s="2">
        <v>100</v>
      </c>
      <c r="H12674" s="2">
        <v>190</v>
      </c>
      <c r="I12674" s="2">
        <v>1</v>
      </c>
      <c r="J12674" s="2">
        <v>570</v>
      </c>
      <c r="K12674" s="2">
        <v>431</v>
      </c>
      <c r="L12674" s="2">
        <v>620</v>
      </c>
    </row>
    <row r="12675" spans="1:12" x14ac:dyDescent="0.25">
      <c r="A12675" s="4" t="str">
        <f>HYPERLINK("http://www.rosaceae.org/Prunus/Prunus_persica/p.persica_gdr_reftransV1_0014275","p.persica_gdr_reftransV1_0014275")</f>
        <v>p.persica_gdr_reftransV1_0014275</v>
      </c>
      <c r="B12675" s="2">
        <v>2343</v>
      </c>
      <c r="C12675" s="4" t="str">
        <f>HYPERLINK("http://www.uniprot.org/uniprot/M5WNA5","M5WNA5")</f>
        <v>M5WNA5</v>
      </c>
      <c r="D12675" s="2" t="s">
        <v>10527</v>
      </c>
      <c r="E12675" s="3">
        <v>0</v>
      </c>
      <c r="F12675" s="2">
        <v>1961</v>
      </c>
      <c r="G12675" s="2">
        <v>100</v>
      </c>
      <c r="H12675" s="2">
        <v>400</v>
      </c>
      <c r="I12675" s="2">
        <v>1058</v>
      </c>
      <c r="J12675" s="2">
        <v>2257</v>
      </c>
      <c r="K12675" s="2">
        <v>1</v>
      </c>
      <c r="L12675" s="2">
        <v>400</v>
      </c>
    </row>
    <row r="12676" spans="1:12" x14ac:dyDescent="0.25">
      <c r="A12676" s="4" t="str">
        <f>HYPERLINK("http://www.rosaceae.org/Prunus/Prunus_persica/p.persica_gdr_reftransV1_0014975","p.persica_gdr_reftransV1_0014975")</f>
        <v>p.persica_gdr_reftransV1_0014975</v>
      </c>
      <c r="B12676" s="2">
        <v>1057</v>
      </c>
      <c r="C12676" s="4" t="str">
        <f>HYPERLINK("http://www.uniprot.org/uniprot/M5X2I7","M5X2I7")</f>
        <v>M5X2I7</v>
      </c>
      <c r="D12676" s="2" t="s">
        <v>10528</v>
      </c>
      <c r="E12676" s="3">
        <v>5.44E-120</v>
      </c>
      <c r="F12676" s="2">
        <v>912</v>
      </c>
      <c r="G12676" s="2">
        <v>100</v>
      </c>
      <c r="H12676" s="2">
        <v>172</v>
      </c>
      <c r="I12676" s="2">
        <v>132</v>
      </c>
      <c r="J12676" s="2">
        <v>647</v>
      </c>
      <c r="K12676" s="2">
        <v>1</v>
      </c>
      <c r="L12676" s="2">
        <v>172</v>
      </c>
    </row>
    <row r="12677" spans="1:12" x14ac:dyDescent="0.25">
      <c r="A12677" s="4" t="str">
        <f>HYPERLINK("http://www.rosaceae.org/Prunus/Prunus_persica/p.persica_gdr_reftransV1_0016025","p.persica_gdr_reftransV1_0016025")</f>
        <v>p.persica_gdr_reftransV1_0016025</v>
      </c>
      <c r="B12677" s="2">
        <v>1155</v>
      </c>
      <c r="C12677" s="4" t="str">
        <f>HYPERLINK("http://www.uniprot.org/uniprot/M5WWW6","M5WWW6")</f>
        <v>M5WWW6</v>
      </c>
      <c r="D12677" s="2" t="s">
        <v>10529</v>
      </c>
      <c r="E12677" s="3">
        <v>0</v>
      </c>
      <c r="F12677" s="2">
        <v>1096</v>
      </c>
      <c r="G12677" s="2">
        <v>100</v>
      </c>
      <c r="H12677" s="2">
        <v>203</v>
      </c>
      <c r="I12677" s="2">
        <v>470</v>
      </c>
      <c r="J12677" s="2">
        <v>1078</v>
      </c>
      <c r="K12677" s="2">
        <v>1</v>
      </c>
      <c r="L12677" s="2">
        <v>203</v>
      </c>
    </row>
    <row r="12678" spans="1:12" x14ac:dyDescent="0.25">
      <c r="A12678" s="4" t="str">
        <f>HYPERLINK("http://www.rosaceae.org/Prunus/Prunus_persica/p.persica_gdr_reftransV1_0017075","p.persica_gdr_reftransV1_0017075")</f>
        <v>p.persica_gdr_reftransV1_0017075</v>
      </c>
      <c r="B12678" s="2">
        <v>2263</v>
      </c>
      <c r="C12678" s="4" t="str">
        <f>HYPERLINK("http://www.uniprot.org/uniprot/M5WGP3","M5WGP3")</f>
        <v>M5WGP3</v>
      </c>
      <c r="D12678" s="2" t="s">
        <v>10530</v>
      </c>
      <c r="E12678" s="3">
        <v>0</v>
      </c>
      <c r="F12678" s="2">
        <v>2851</v>
      </c>
      <c r="G12678" s="2">
        <v>96</v>
      </c>
      <c r="H12678" s="2">
        <v>584</v>
      </c>
      <c r="I12678" s="2">
        <v>367</v>
      </c>
      <c r="J12678" s="2">
        <v>2118</v>
      </c>
      <c r="K12678" s="2">
        <v>1</v>
      </c>
      <c r="L12678" s="2">
        <v>563</v>
      </c>
    </row>
    <row r="12679" spans="1:12" x14ac:dyDescent="0.25">
      <c r="A12679" s="4" t="str">
        <f>HYPERLINK("http://www.rosaceae.org/Prunus/Prunus_persica/p.persica_gdr_reftransV1_0018125","p.persica_gdr_reftransV1_0018125")</f>
        <v>p.persica_gdr_reftransV1_0018125</v>
      </c>
      <c r="B12679" s="2">
        <v>2054</v>
      </c>
      <c r="C12679" s="4" t="str">
        <f>HYPERLINK("http://www.uniprot.org/uniprot/M5WFZ2","M5WFZ2")</f>
        <v>M5WFZ2</v>
      </c>
      <c r="D12679" s="2" t="s">
        <v>10531</v>
      </c>
      <c r="E12679" s="3">
        <v>0</v>
      </c>
      <c r="F12679" s="2">
        <v>2047</v>
      </c>
      <c r="G12679" s="2">
        <v>100</v>
      </c>
      <c r="H12679" s="2">
        <v>379</v>
      </c>
      <c r="I12679" s="2">
        <v>715</v>
      </c>
      <c r="J12679" s="2">
        <v>1851</v>
      </c>
      <c r="K12679" s="2">
        <v>1</v>
      </c>
      <c r="L12679" s="2">
        <v>379</v>
      </c>
    </row>
    <row r="12680" spans="1:12" x14ac:dyDescent="0.25">
      <c r="A12680" s="4" t="str">
        <f>HYPERLINK("http://www.rosaceae.org/Prunus/Prunus_persica/p.persica_gdr_reftransV1_0019875","p.persica_gdr_reftransV1_0019875")</f>
        <v>p.persica_gdr_reftransV1_0019875</v>
      </c>
      <c r="B12680" s="2">
        <v>1856</v>
      </c>
      <c r="C12680" s="4" t="str">
        <f>HYPERLINK("http://www.uniprot.org/uniprot/M5XME1","M5XME1")</f>
        <v>M5XME1</v>
      </c>
      <c r="D12680" s="2" t="s">
        <v>5297</v>
      </c>
      <c r="E12680" s="3">
        <v>0</v>
      </c>
      <c r="F12680" s="2">
        <v>2475</v>
      </c>
      <c r="G12680" s="2">
        <v>100</v>
      </c>
      <c r="H12680" s="2">
        <v>467</v>
      </c>
      <c r="I12680" s="2">
        <v>311</v>
      </c>
      <c r="J12680" s="2">
        <v>1711</v>
      </c>
      <c r="K12680" s="2">
        <v>1</v>
      </c>
      <c r="L12680" s="2">
        <v>467</v>
      </c>
    </row>
    <row r="12681" spans="1:12" x14ac:dyDescent="0.25">
      <c r="A12681" s="4" t="str">
        <f>HYPERLINK("http://www.rosaceae.org/Prunus/Prunus_persica/p.persica_gdr_reftransV1_0020225","p.persica_gdr_reftransV1_0020225")</f>
        <v>p.persica_gdr_reftransV1_0020225</v>
      </c>
      <c r="B12681" s="2">
        <v>1686</v>
      </c>
      <c r="C12681" s="4" t="str">
        <f>HYPERLINK("http://www.uniprot.org/uniprot/M5VLL4","M5VLL4")</f>
        <v>M5VLL4</v>
      </c>
      <c r="D12681" s="2" t="s">
        <v>10532</v>
      </c>
      <c r="E12681" s="3">
        <v>2.0599999999999999E-165</v>
      </c>
      <c r="F12681" s="2">
        <v>1240</v>
      </c>
      <c r="G12681" s="2">
        <v>100</v>
      </c>
      <c r="H12681" s="2">
        <v>230</v>
      </c>
      <c r="I12681" s="2">
        <v>434</v>
      </c>
      <c r="J12681" s="2">
        <v>1123</v>
      </c>
      <c r="K12681" s="2">
        <v>1</v>
      </c>
      <c r="L12681" s="2">
        <v>230</v>
      </c>
    </row>
    <row r="12682" spans="1:12" x14ac:dyDescent="0.25">
      <c r="A12682" s="4" t="str">
        <f>HYPERLINK("http://www.rosaceae.org/Prunus/Prunus_persica/p.persica_gdr_reftransV1_0020925","p.persica_gdr_reftransV1_0020925")</f>
        <v>p.persica_gdr_reftransV1_0020925</v>
      </c>
      <c r="B12682" s="2">
        <v>1637</v>
      </c>
      <c r="C12682" s="4" t="str">
        <f>HYPERLINK("http://www.uniprot.org/uniprot/M5XIZ0","M5XIZ0")</f>
        <v>M5XIZ0</v>
      </c>
      <c r="D12682" s="2" t="s">
        <v>10533</v>
      </c>
      <c r="E12682" s="3">
        <v>0</v>
      </c>
      <c r="F12682" s="2">
        <v>2175</v>
      </c>
      <c r="G12682" s="2">
        <v>100</v>
      </c>
      <c r="H12682" s="2">
        <v>416</v>
      </c>
      <c r="I12682" s="2">
        <v>93</v>
      </c>
      <c r="J12682" s="2">
        <v>1340</v>
      </c>
      <c r="K12682" s="2">
        <v>1</v>
      </c>
      <c r="L12682" s="2">
        <v>416</v>
      </c>
    </row>
    <row r="12683" spans="1:12" x14ac:dyDescent="0.25">
      <c r="A12683" s="4" t="str">
        <f>HYPERLINK("http://www.rosaceae.org/Prunus/Prunus_persica/p.persica_gdr_reftransV1_0021975","p.persica_gdr_reftransV1_0021975")</f>
        <v>p.persica_gdr_reftransV1_0021975</v>
      </c>
      <c r="B12683" s="2">
        <v>2393</v>
      </c>
      <c r="C12683" s="4" t="str">
        <f>HYPERLINK("http://www.uniprot.org/uniprot/M5VX38","M5VX38")</f>
        <v>M5VX38</v>
      </c>
      <c r="D12683" s="2" t="s">
        <v>10534</v>
      </c>
      <c r="E12683" s="3">
        <v>0</v>
      </c>
      <c r="F12683" s="2">
        <v>1720</v>
      </c>
      <c r="G12683" s="2">
        <v>92</v>
      </c>
      <c r="H12683" s="2">
        <v>360</v>
      </c>
      <c r="I12683" s="2">
        <v>372</v>
      </c>
      <c r="J12683" s="2">
        <v>1451</v>
      </c>
      <c r="K12683" s="2">
        <v>1</v>
      </c>
      <c r="L12683" s="2">
        <v>332</v>
      </c>
    </row>
    <row r="12684" spans="1:12" x14ac:dyDescent="0.25">
      <c r="A12684" s="4" t="str">
        <f>HYPERLINK("http://www.rosaceae.org/Prunus/Prunus_persica/p.persica_gdr_reftransV1_0022325","p.persica_gdr_reftransV1_0022325")</f>
        <v>p.persica_gdr_reftransV1_0022325</v>
      </c>
      <c r="B12684" s="2">
        <v>2027</v>
      </c>
      <c r="C12684" s="4" t="str">
        <f>HYPERLINK("http://www.uniprot.org/uniprot/M5X0U2","M5X0U2")</f>
        <v>M5X0U2</v>
      </c>
      <c r="D12684" s="2" t="s">
        <v>10535</v>
      </c>
      <c r="E12684" s="3">
        <v>6.0999999999999994E-132</v>
      </c>
      <c r="F12684" s="2">
        <v>1038</v>
      </c>
      <c r="G12684" s="2">
        <v>90</v>
      </c>
      <c r="H12684" s="2">
        <v>241</v>
      </c>
      <c r="I12684" s="2">
        <v>842</v>
      </c>
      <c r="J12684" s="2">
        <v>1564</v>
      </c>
      <c r="K12684" s="2">
        <v>1</v>
      </c>
      <c r="L12684" s="2">
        <v>231</v>
      </c>
    </row>
    <row r="12685" spans="1:12" x14ac:dyDescent="0.25">
      <c r="A12685" s="4" t="str">
        <f>HYPERLINK("http://www.rosaceae.org/Prunus/Prunus_persica/p.persica_gdr_reftransV1_0022675","p.persica_gdr_reftransV1_0022675")</f>
        <v>p.persica_gdr_reftransV1_0022675</v>
      </c>
      <c r="B12685" s="2">
        <v>881</v>
      </c>
      <c r="C12685" s="4" t="str">
        <f>HYPERLINK("http://www.uniprot.org/uniprot/M5WHX7","M5WHX7")</f>
        <v>M5WHX7</v>
      </c>
      <c r="D12685" s="2" t="s">
        <v>10536</v>
      </c>
      <c r="E12685" s="3">
        <v>3.3799999999999998E-131</v>
      </c>
      <c r="F12685" s="2">
        <v>981</v>
      </c>
      <c r="G12685" s="2">
        <v>100</v>
      </c>
      <c r="H12685" s="2">
        <v>184</v>
      </c>
      <c r="I12685" s="2">
        <v>59</v>
      </c>
      <c r="J12685" s="2">
        <v>610</v>
      </c>
      <c r="K12685" s="2">
        <v>1</v>
      </c>
      <c r="L12685" s="2">
        <v>184</v>
      </c>
    </row>
    <row r="12686" spans="1:12" x14ac:dyDescent="0.25">
      <c r="A12686" s="4" t="str">
        <f>HYPERLINK("http://www.rosaceae.org/Prunus/Prunus_persica/p.persica_gdr_reftransV1_0024075","p.persica_gdr_reftransV1_0024075")</f>
        <v>p.persica_gdr_reftransV1_0024075</v>
      </c>
      <c r="B12686" s="2">
        <v>2338</v>
      </c>
      <c r="C12686" s="4" t="str">
        <f>HYPERLINK("http://www.uniprot.org/uniprot/M5XNB0","M5XNB0")</f>
        <v>M5XNB0</v>
      </c>
      <c r="D12686" s="2" t="s">
        <v>10537</v>
      </c>
      <c r="E12686" s="3">
        <v>4.5E-172</v>
      </c>
      <c r="F12686" s="2">
        <v>1318</v>
      </c>
      <c r="G12686" s="2">
        <v>98</v>
      </c>
      <c r="H12686" s="2">
        <v>246</v>
      </c>
      <c r="I12686" s="2">
        <v>664</v>
      </c>
      <c r="J12686" s="2">
        <v>1401</v>
      </c>
      <c r="K12686" s="2">
        <v>3</v>
      </c>
      <c r="L12686" s="2">
        <v>248</v>
      </c>
    </row>
    <row r="12687" spans="1:12" x14ac:dyDescent="0.25">
      <c r="A12687" s="4" t="str">
        <f>HYPERLINK("http://www.rosaceae.org/Prunus/Prunus_persica/p.persica_gdr_reftransV1_0024425","p.persica_gdr_reftransV1_0024425")</f>
        <v>p.persica_gdr_reftransV1_0024425</v>
      </c>
      <c r="B12687" s="2">
        <v>1785</v>
      </c>
      <c r="C12687" s="4" t="str">
        <f>HYPERLINK("http://www.uniprot.org/uniprot/M5XXG5","M5XXG5")</f>
        <v>M5XXG5</v>
      </c>
      <c r="D12687" s="2" t="s">
        <v>10538</v>
      </c>
      <c r="E12687" s="3">
        <v>3.3600000000000001E-170</v>
      </c>
      <c r="F12687" s="2">
        <v>1278</v>
      </c>
      <c r="G12687" s="2">
        <v>84</v>
      </c>
      <c r="H12687" s="2">
        <v>307</v>
      </c>
      <c r="I12687" s="2">
        <v>115</v>
      </c>
      <c r="J12687" s="2">
        <v>1035</v>
      </c>
      <c r="K12687" s="2">
        <v>1</v>
      </c>
      <c r="L12687" s="2">
        <v>271</v>
      </c>
    </row>
    <row r="12688" spans="1:12" x14ac:dyDescent="0.25">
      <c r="A12688" s="4" t="str">
        <f>HYPERLINK("http://www.rosaceae.org/Prunus/Prunus_persica/p.persica_gdr_reftransV1_0025125","p.persica_gdr_reftransV1_0025125")</f>
        <v>p.persica_gdr_reftransV1_0025125</v>
      </c>
      <c r="B12688" s="2">
        <v>1045</v>
      </c>
      <c r="C12688" s="4" t="str">
        <f>HYPERLINK("http://www.uniprot.org/uniprot/M5WV58","M5WV58")</f>
        <v>M5WV58</v>
      </c>
      <c r="D12688" s="2" t="s">
        <v>10539</v>
      </c>
      <c r="E12688" s="3">
        <v>1.03E-143</v>
      </c>
      <c r="F12688" s="2">
        <v>1073</v>
      </c>
      <c r="G12688" s="2">
        <v>84</v>
      </c>
      <c r="H12688" s="2">
        <v>249</v>
      </c>
      <c r="I12688" s="2">
        <v>252</v>
      </c>
      <c r="J12688" s="2">
        <v>998</v>
      </c>
      <c r="K12688" s="2">
        <v>1</v>
      </c>
      <c r="L12688" s="2">
        <v>220</v>
      </c>
    </row>
    <row r="12689" spans="1:12" x14ac:dyDescent="0.25">
      <c r="A12689" s="4" t="str">
        <f>HYPERLINK("http://www.rosaceae.org/Prunus/Prunus_persica/p.persica_gdr_reftransV1_0025475","p.persica_gdr_reftransV1_0025475")</f>
        <v>p.persica_gdr_reftransV1_0025475</v>
      </c>
      <c r="B12689" s="2">
        <v>7607</v>
      </c>
      <c r="C12689" s="4" t="str">
        <f>HYPERLINK("http://www.uniprot.org/uniprot/M5XVG9","M5XVG9")</f>
        <v>M5XVG9</v>
      </c>
      <c r="D12689" s="2" t="s">
        <v>1400</v>
      </c>
      <c r="E12689" s="3">
        <v>0</v>
      </c>
      <c r="F12689" s="2">
        <v>11901</v>
      </c>
      <c r="G12689" s="2">
        <v>100</v>
      </c>
      <c r="H12689" s="2">
        <v>2259</v>
      </c>
      <c r="I12689" s="2">
        <v>528</v>
      </c>
      <c r="J12689" s="2">
        <v>7304</v>
      </c>
      <c r="K12689" s="2">
        <v>6</v>
      </c>
      <c r="L12689" s="2">
        <v>2264</v>
      </c>
    </row>
    <row r="12690" spans="1:12" x14ac:dyDescent="0.25">
      <c r="A12690" s="4" t="str">
        <f>HYPERLINK("http://www.rosaceae.org/Prunus/Prunus_persica/p.persica_gdr_reftransV1_0027575","p.persica_gdr_reftransV1_0027575")</f>
        <v>p.persica_gdr_reftransV1_0027575</v>
      </c>
      <c r="B12690" s="2">
        <v>4184</v>
      </c>
      <c r="C12690" s="4" t="str">
        <f>HYPERLINK("http://www.uniprot.org/uniprot/M5W5B3","M5W5B3")</f>
        <v>M5W5B3</v>
      </c>
      <c r="D12690" s="2" t="s">
        <v>10540</v>
      </c>
      <c r="E12690" s="3">
        <v>0</v>
      </c>
      <c r="F12690" s="2">
        <v>6147</v>
      </c>
      <c r="G12690" s="2">
        <v>95</v>
      </c>
      <c r="H12690" s="2">
        <v>1282</v>
      </c>
      <c r="I12690" s="2">
        <v>220</v>
      </c>
      <c r="J12690" s="2">
        <v>4065</v>
      </c>
      <c r="K12690" s="2">
        <v>1</v>
      </c>
      <c r="L12690" s="2">
        <v>1227</v>
      </c>
    </row>
    <row r="12691" spans="1:12" x14ac:dyDescent="0.25">
      <c r="A12691" s="4" t="str">
        <f>HYPERLINK("http://www.rosaceae.org/Prunus/Prunus_persica/p.persica_gdr_reftransV1_0027925","p.persica_gdr_reftransV1_0027925")</f>
        <v>p.persica_gdr_reftransV1_0027925</v>
      </c>
      <c r="B12691" s="2">
        <v>1498</v>
      </c>
      <c r="C12691" s="4" t="str">
        <f>HYPERLINK("http://www.uniprot.org/uniprot/M5XF25","M5XF25")</f>
        <v>M5XF25</v>
      </c>
      <c r="D12691" s="2" t="s">
        <v>10541</v>
      </c>
      <c r="E12691" s="3">
        <v>4.2599999999999998E-105</v>
      </c>
      <c r="F12691" s="2">
        <v>829</v>
      </c>
      <c r="G12691" s="2">
        <v>100</v>
      </c>
      <c r="H12691" s="2">
        <v>186</v>
      </c>
      <c r="I12691" s="2">
        <v>653</v>
      </c>
      <c r="J12691" s="2">
        <v>1210</v>
      </c>
      <c r="K12691" s="2">
        <v>1</v>
      </c>
      <c r="L12691" s="2">
        <v>186</v>
      </c>
    </row>
    <row r="12692" spans="1:12" x14ac:dyDescent="0.25">
      <c r="A12692" s="4" t="str">
        <f>HYPERLINK("http://www.rosaceae.org/Prunus/Prunus_persica/p.persica_gdr_reftransV1_0028275","p.persica_gdr_reftransV1_0028275")</f>
        <v>p.persica_gdr_reftransV1_0028275</v>
      </c>
      <c r="B12692" s="2">
        <v>4768</v>
      </c>
      <c r="C12692" s="4" t="str">
        <f>HYPERLINK("http://www.uniprot.org/uniprot/M5XV59","M5XV59")</f>
        <v>M5XV59</v>
      </c>
      <c r="D12692" s="2" t="s">
        <v>4767</v>
      </c>
      <c r="E12692" s="3">
        <v>7.0800000000000003E-144</v>
      </c>
      <c r="F12692" s="2">
        <v>1139</v>
      </c>
      <c r="G12692" s="2">
        <v>99</v>
      </c>
      <c r="H12692" s="2">
        <v>216</v>
      </c>
      <c r="I12692" s="2">
        <v>431</v>
      </c>
      <c r="J12692" s="2">
        <v>1078</v>
      </c>
      <c r="K12692" s="2">
        <v>64</v>
      </c>
      <c r="L12692" s="2">
        <v>277</v>
      </c>
    </row>
    <row r="12693" spans="1:12" x14ac:dyDescent="0.25">
      <c r="A12693" s="4" t="str">
        <f>HYPERLINK("http://www.rosaceae.org/Prunus/Prunus_persica/p.persica_gdr_reftransV1_0030375","p.persica_gdr_reftransV1_0030375")</f>
        <v>p.persica_gdr_reftransV1_0030375</v>
      </c>
      <c r="B12693" s="2">
        <v>2560</v>
      </c>
      <c r="C12693" s="4" t="str">
        <f>HYPERLINK("http://www.uniprot.org/uniprot/M5WX69","M5WX69")</f>
        <v>M5WX69</v>
      </c>
      <c r="D12693" s="2" t="s">
        <v>10542</v>
      </c>
      <c r="E12693" s="3">
        <v>0</v>
      </c>
      <c r="F12693" s="2">
        <v>3383</v>
      </c>
      <c r="G12693" s="2">
        <v>98</v>
      </c>
      <c r="H12693" s="2">
        <v>742</v>
      </c>
      <c r="I12693" s="2">
        <v>2</v>
      </c>
      <c r="J12693" s="2">
        <v>2227</v>
      </c>
      <c r="K12693" s="2">
        <v>326</v>
      </c>
      <c r="L12693" s="2">
        <v>1050</v>
      </c>
    </row>
    <row r="12694" spans="1:12" x14ac:dyDescent="0.25">
      <c r="A12694" s="4" t="str">
        <f>HYPERLINK("http://www.rosaceae.org/Prunus/Prunus_persica/p.persica_gdr_reftransV1_0030725","p.persica_gdr_reftransV1_0030725")</f>
        <v>p.persica_gdr_reftransV1_0030725</v>
      </c>
      <c r="B12694" s="2">
        <v>1688</v>
      </c>
      <c r="C12694" s="4" t="str">
        <f>HYPERLINK("http://www.uniprot.org/uniprot/M5WWZ4","M5WWZ4")</f>
        <v>M5WWZ4</v>
      </c>
      <c r="D12694" s="2" t="s">
        <v>10543</v>
      </c>
      <c r="E12694" s="3">
        <v>3.1400000000000003E-101</v>
      </c>
      <c r="F12694" s="2">
        <v>847</v>
      </c>
      <c r="G12694" s="2">
        <v>100</v>
      </c>
      <c r="H12694" s="2">
        <v>178</v>
      </c>
      <c r="I12694" s="2">
        <v>261</v>
      </c>
      <c r="J12694" s="2">
        <v>794</v>
      </c>
      <c r="K12694" s="2">
        <v>449</v>
      </c>
      <c r="L12694" s="2">
        <v>626</v>
      </c>
    </row>
    <row r="12695" spans="1:12" x14ac:dyDescent="0.25">
      <c r="A12695" s="4" t="str">
        <f>HYPERLINK("http://www.rosaceae.org/Prunus/Prunus_persica/p.persica_gdr_reftransV1_0031075","p.persica_gdr_reftransV1_0031075")</f>
        <v>p.persica_gdr_reftransV1_0031075</v>
      </c>
      <c r="B12695" s="2">
        <v>2614</v>
      </c>
      <c r="C12695" s="4" t="str">
        <f>HYPERLINK("http://www.uniprot.org/uniprot/M5XDN1","M5XDN1")</f>
        <v>M5XDN1</v>
      </c>
      <c r="D12695" s="2" t="s">
        <v>10544</v>
      </c>
      <c r="E12695" s="3">
        <v>3.68E-115</v>
      </c>
      <c r="F12695" s="2">
        <v>934</v>
      </c>
      <c r="G12695" s="2">
        <v>100</v>
      </c>
      <c r="H12695" s="2">
        <v>245</v>
      </c>
      <c r="I12695" s="2">
        <v>242</v>
      </c>
      <c r="J12695" s="2">
        <v>976</v>
      </c>
      <c r="K12695" s="2">
        <v>34</v>
      </c>
      <c r="L12695" s="2">
        <v>278</v>
      </c>
    </row>
    <row r="12696" spans="1:12" x14ac:dyDescent="0.25">
      <c r="A12696" s="4" t="str">
        <f>HYPERLINK("http://www.rosaceae.org/Prunus/Prunus_persica/p.persica_gdr_reftransV1_0032125","p.persica_gdr_reftransV1_0032125")</f>
        <v>p.persica_gdr_reftransV1_0032125</v>
      </c>
      <c r="B12696" s="2">
        <v>1089</v>
      </c>
      <c r="C12696" s="4" t="str">
        <f>HYPERLINK("http://www.uniprot.org/uniprot/M5XFR2","M5XFR2")</f>
        <v>M5XFR2</v>
      </c>
      <c r="D12696" s="2" t="s">
        <v>5031</v>
      </c>
      <c r="E12696" s="3">
        <v>3.3399999999999999E-108</v>
      </c>
      <c r="F12696" s="2">
        <v>835</v>
      </c>
      <c r="G12696" s="2">
        <v>100</v>
      </c>
      <c r="H12696" s="2">
        <v>175</v>
      </c>
      <c r="I12696" s="2">
        <v>474</v>
      </c>
      <c r="J12696" s="2">
        <v>998</v>
      </c>
      <c r="K12696" s="2">
        <v>2</v>
      </c>
      <c r="L12696" s="2">
        <v>176</v>
      </c>
    </row>
    <row r="12697" spans="1:12" x14ac:dyDescent="0.25">
      <c r="A12697" s="4" t="str">
        <f>HYPERLINK("http://www.rosaceae.org/Prunus/Prunus_persica/p.persica_gdr_reftransV1_0036675","p.persica_gdr_reftransV1_0036675")</f>
        <v>p.persica_gdr_reftransV1_0036675</v>
      </c>
      <c r="B12697" s="2">
        <v>1690</v>
      </c>
      <c r="C12697" s="4" t="str">
        <f>HYPERLINK("http://www.uniprot.org/uniprot/M5WQP7","M5WQP7")</f>
        <v>M5WQP7</v>
      </c>
      <c r="D12697" s="2" t="s">
        <v>4137</v>
      </c>
      <c r="E12697" s="3">
        <v>0</v>
      </c>
      <c r="F12697" s="2">
        <v>2867</v>
      </c>
      <c r="G12697" s="2">
        <v>100</v>
      </c>
      <c r="H12697" s="2">
        <v>563</v>
      </c>
      <c r="I12697" s="2">
        <v>1</v>
      </c>
      <c r="J12697" s="2">
        <v>1689</v>
      </c>
      <c r="K12697" s="2">
        <v>252</v>
      </c>
      <c r="L12697" s="2">
        <v>814</v>
      </c>
    </row>
    <row r="12698" spans="1:12" x14ac:dyDescent="0.25">
      <c r="A12698" s="4" t="str">
        <f>HYPERLINK("http://www.rosaceae.org/Prunus/Prunus_persica/p.persica_gdr_reftransV1_0037025","p.persica_gdr_reftransV1_0037025")</f>
        <v>p.persica_gdr_reftransV1_0037025</v>
      </c>
      <c r="B12698" s="2">
        <v>1410</v>
      </c>
      <c r="C12698" s="4" t="str">
        <f>HYPERLINK("http://www.uniprot.org/uniprot/M5X4Z8","M5X4Z8")</f>
        <v>M5X4Z8</v>
      </c>
      <c r="D12698" s="2" t="s">
        <v>1404</v>
      </c>
      <c r="E12698" s="3">
        <v>3.7999999999999998E-160</v>
      </c>
      <c r="F12698" s="2">
        <v>1216</v>
      </c>
      <c r="G12698" s="2">
        <v>89</v>
      </c>
      <c r="H12698" s="2">
        <v>373</v>
      </c>
      <c r="I12698" s="2">
        <v>1</v>
      </c>
      <c r="J12698" s="2">
        <v>1119</v>
      </c>
      <c r="K12698" s="2">
        <v>1</v>
      </c>
      <c r="L12698" s="2">
        <v>331</v>
      </c>
    </row>
    <row r="12699" spans="1:12" x14ac:dyDescent="0.25">
      <c r="A12699" s="4" t="str">
        <f>HYPERLINK("http://www.rosaceae.org/Prunus/Prunus_persica/p.persica_gdr_reftransV1_0038425","p.persica_gdr_reftransV1_0038425")</f>
        <v>p.persica_gdr_reftransV1_0038425</v>
      </c>
      <c r="B12699" s="2">
        <v>1386</v>
      </c>
      <c r="C12699" s="4" t="str">
        <f>HYPERLINK("http://www.uniprot.org/uniprot/M5W1C0","M5W1C0")</f>
        <v>M5W1C0</v>
      </c>
      <c r="D12699" s="2" t="s">
        <v>10545</v>
      </c>
      <c r="E12699" s="3">
        <v>0</v>
      </c>
      <c r="F12699" s="2">
        <v>1578</v>
      </c>
      <c r="G12699" s="2">
        <v>100</v>
      </c>
      <c r="H12699" s="2">
        <v>317</v>
      </c>
      <c r="I12699" s="2">
        <v>348</v>
      </c>
      <c r="J12699" s="2">
        <v>1298</v>
      </c>
      <c r="K12699" s="2">
        <v>1</v>
      </c>
      <c r="L12699" s="2">
        <v>317</v>
      </c>
    </row>
    <row r="12700" spans="1:12" x14ac:dyDescent="0.25">
      <c r="A12700" s="4" t="str">
        <f>HYPERLINK("http://www.rosaceae.org/Prunus/Prunus_persica/p.persica_gdr_reftransV1_0039475","p.persica_gdr_reftransV1_0039475")</f>
        <v>p.persica_gdr_reftransV1_0039475</v>
      </c>
      <c r="B12700" s="2">
        <v>1869</v>
      </c>
      <c r="C12700" s="4" t="str">
        <f>HYPERLINK("http://www.uniprot.org/uniprot/M5VL87","M5VL87")</f>
        <v>M5VL87</v>
      </c>
      <c r="D12700" s="2" t="s">
        <v>10546</v>
      </c>
      <c r="E12700" s="3">
        <v>7.09E-177</v>
      </c>
      <c r="F12700" s="2">
        <v>1330</v>
      </c>
      <c r="G12700" s="2">
        <v>100</v>
      </c>
      <c r="H12700" s="2">
        <v>314</v>
      </c>
      <c r="I12700" s="2">
        <v>317</v>
      </c>
      <c r="J12700" s="2">
        <v>1258</v>
      </c>
      <c r="K12700" s="2">
        <v>1</v>
      </c>
      <c r="L12700" s="2">
        <v>314</v>
      </c>
    </row>
    <row r="12701" spans="1:12" x14ac:dyDescent="0.25">
      <c r="A12701" s="4" t="str">
        <f>HYPERLINK("http://www.rosaceae.org/Prunus/Prunus_persica/p.persica_gdr_reftransV1_0043325","p.persica_gdr_reftransV1_0043325")</f>
        <v>p.persica_gdr_reftransV1_0043325</v>
      </c>
      <c r="B12701" s="2">
        <v>689</v>
      </c>
      <c r="C12701" s="4" t="str">
        <f>HYPERLINK("http://www.uniprot.org/uniprot/M5Y342","M5Y342")</f>
        <v>M5Y342</v>
      </c>
      <c r="D12701" s="2" t="s">
        <v>4188</v>
      </c>
      <c r="E12701" s="3">
        <v>3.9199999999999998E-101</v>
      </c>
      <c r="F12701" s="2">
        <v>782</v>
      </c>
      <c r="G12701" s="2">
        <v>100</v>
      </c>
      <c r="H12701" s="2">
        <v>155</v>
      </c>
      <c r="I12701" s="2">
        <v>3</v>
      </c>
      <c r="J12701" s="2">
        <v>467</v>
      </c>
      <c r="K12701" s="2">
        <v>101</v>
      </c>
      <c r="L12701" s="2">
        <v>255</v>
      </c>
    </row>
    <row r="12702" spans="1:12" x14ac:dyDescent="0.25">
      <c r="A12702" s="4" t="str">
        <f>HYPERLINK("http://www.rosaceae.org/Prunus/Prunus_persica/p.persica_gdr_reftransV1_0043675","p.persica_gdr_reftransV1_0043675")</f>
        <v>p.persica_gdr_reftransV1_0043675</v>
      </c>
      <c r="B12702" s="2">
        <v>1675</v>
      </c>
      <c r="C12702" s="4" t="str">
        <f>HYPERLINK("http://www.uniprot.org/uniprot/M5WQ87","M5WQ87")</f>
        <v>M5WQ87</v>
      </c>
      <c r="D12702" s="2" t="s">
        <v>10547</v>
      </c>
      <c r="E12702" s="3">
        <v>0</v>
      </c>
      <c r="F12702" s="2">
        <v>2127</v>
      </c>
      <c r="G12702" s="2">
        <v>100</v>
      </c>
      <c r="H12702" s="2">
        <v>466</v>
      </c>
      <c r="I12702" s="2">
        <v>120</v>
      </c>
      <c r="J12702" s="2">
        <v>1517</v>
      </c>
      <c r="K12702" s="2">
        <v>1</v>
      </c>
      <c r="L12702" s="2">
        <v>466</v>
      </c>
    </row>
    <row r="12703" spans="1:12" x14ac:dyDescent="0.25">
      <c r="A12703" s="4" t="str">
        <f>HYPERLINK("http://www.rosaceae.org/Prunus/Prunus_persica/p.persica_gdr_reftransV1_0044025","p.persica_gdr_reftransV1_0044025")</f>
        <v>p.persica_gdr_reftransV1_0044025</v>
      </c>
      <c r="B12703" s="2">
        <v>3815</v>
      </c>
      <c r="C12703" s="4" t="str">
        <f>HYPERLINK("http://www.uniprot.org/uniprot/M5WRA9","M5WRA9")</f>
        <v>M5WRA9</v>
      </c>
      <c r="D12703" s="2" t="s">
        <v>2542</v>
      </c>
      <c r="E12703" s="3">
        <v>0</v>
      </c>
      <c r="F12703" s="2">
        <v>5990</v>
      </c>
      <c r="G12703" s="2">
        <v>100</v>
      </c>
      <c r="H12703" s="2">
        <v>1123</v>
      </c>
      <c r="I12703" s="2">
        <v>77</v>
      </c>
      <c r="J12703" s="2">
        <v>3445</v>
      </c>
      <c r="K12703" s="2">
        <v>1</v>
      </c>
      <c r="L12703" s="2">
        <v>1123</v>
      </c>
    </row>
    <row r="12704" spans="1:12" x14ac:dyDescent="0.25">
      <c r="A12704" s="4" t="str">
        <f>HYPERLINK("http://www.rosaceae.org/Prunus/Prunus_persica/p.persica_gdr_reftransV1_0044375","p.persica_gdr_reftransV1_0044375")</f>
        <v>p.persica_gdr_reftransV1_0044375</v>
      </c>
      <c r="B12704" s="2">
        <v>753</v>
      </c>
      <c r="C12704" s="4" t="str">
        <f>HYPERLINK("http://www.uniprot.org/uniprot/M5W0T8","M5W0T8")</f>
        <v>M5W0T8</v>
      </c>
      <c r="D12704" s="2" t="s">
        <v>3674</v>
      </c>
      <c r="E12704" s="3">
        <v>1.8E-24</v>
      </c>
      <c r="F12704" s="2">
        <v>260</v>
      </c>
      <c r="G12704" s="2">
        <v>99</v>
      </c>
      <c r="H12704" s="2">
        <v>76</v>
      </c>
      <c r="I12704" s="2">
        <v>459</v>
      </c>
      <c r="J12704" s="2">
        <v>686</v>
      </c>
      <c r="K12704" s="2">
        <v>1</v>
      </c>
      <c r="L12704" s="2">
        <v>76</v>
      </c>
    </row>
    <row r="12705" spans="1:12" x14ac:dyDescent="0.25">
      <c r="A12705" s="4" t="str">
        <f>HYPERLINK("http://www.rosaceae.org/Prunus/Prunus_persica/p.persica_gdr_reftransV1_0044725","p.persica_gdr_reftransV1_0044725")</f>
        <v>p.persica_gdr_reftransV1_0044725</v>
      </c>
      <c r="B12705" s="2">
        <v>2392</v>
      </c>
      <c r="C12705" s="4" t="str">
        <f>HYPERLINK("http://www.uniprot.org/uniprot/M5WUH1","M5WUH1")</f>
        <v>M5WUH1</v>
      </c>
      <c r="D12705" s="2" t="s">
        <v>10548</v>
      </c>
      <c r="E12705" s="3">
        <v>0</v>
      </c>
      <c r="F12705" s="2">
        <v>2452</v>
      </c>
      <c r="G12705" s="2">
        <v>97</v>
      </c>
      <c r="H12705" s="2">
        <v>580</v>
      </c>
      <c r="I12705" s="2">
        <v>273</v>
      </c>
      <c r="J12705" s="2">
        <v>1964</v>
      </c>
      <c r="K12705" s="2">
        <v>1</v>
      </c>
      <c r="L12705" s="2">
        <v>580</v>
      </c>
    </row>
    <row r="12706" spans="1:12" x14ac:dyDescent="0.25">
      <c r="A12706" s="4" t="str">
        <f>HYPERLINK("http://www.rosaceae.org/Prunus/Prunus_persica/p.persica_gdr_reftransV1_0045075","p.persica_gdr_reftransV1_0045075")</f>
        <v>p.persica_gdr_reftransV1_0045075</v>
      </c>
      <c r="B12706" s="2">
        <v>711</v>
      </c>
      <c r="C12706" s="4" t="str">
        <f>HYPERLINK("http://www.uniprot.org/uniprot/M5WR79","M5WR79")</f>
        <v>M5WR79</v>
      </c>
      <c r="D12706" s="2" t="s">
        <v>10549</v>
      </c>
      <c r="E12706" s="3">
        <v>7.9299999999999995E-74</v>
      </c>
      <c r="F12706" s="2">
        <v>593</v>
      </c>
      <c r="G12706" s="2">
        <v>100</v>
      </c>
      <c r="H12706" s="2">
        <v>153</v>
      </c>
      <c r="I12706" s="2">
        <v>153</v>
      </c>
      <c r="J12706" s="2">
        <v>611</v>
      </c>
      <c r="K12706" s="2">
        <v>1</v>
      </c>
      <c r="L12706" s="2">
        <v>153</v>
      </c>
    </row>
    <row r="12707" spans="1:12" x14ac:dyDescent="0.25">
      <c r="A12707" s="4" t="str">
        <f>HYPERLINK("http://www.rosaceae.org/Prunus/Prunus_persica/p.persica_gdr_reftransV1_0045775","p.persica_gdr_reftransV1_0045775")</f>
        <v>p.persica_gdr_reftransV1_0045775</v>
      </c>
      <c r="B12707" s="2">
        <v>2803</v>
      </c>
      <c r="C12707" s="4" t="str">
        <f>HYPERLINK("http://www.uniprot.org/uniprot/M5W7I8","M5W7I8")</f>
        <v>M5W7I8</v>
      </c>
      <c r="D12707" s="2" t="s">
        <v>10550</v>
      </c>
      <c r="E12707" s="3">
        <v>0</v>
      </c>
      <c r="F12707" s="2">
        <v>3924</v>
      </c>
      <c r="G12707" s="2">
        <v>98</v>
      </c>
      <c r="H12707" s="2">
        <v>816</v>
      </c>
      <c r="I12707" s="2">
        <v>163</v>
      </c>
      <c r="J12707" s="2">
        <v>2610</v>
      </c>
      <c r="K12707" s="2">
        <v>1</v>
      </c>
      <c r="L12707" s="2">
        <v>808</v>
      </c>
    </row>
    <row r="12708" spans="1:12" x14ac:dyDescent="0.25">
      <c r="A12708" s="4" t="str">
        <f>HYPERLINK("http://www.rosaceae.org/Prunus/Prunus_persica/p.persica_gdr_reftransV1_0046125","p.persica_gdr_reftransV1_0046125")</f>
        <v>p.persica_gdr_reftransV1_0046125</v>
      </c>
      <c r="B12708" s="2">
        <v>1710</v>
      </c>
      <c r="C12708" s="4" t="str">
        <f>HYPERLINK("http://www.uniprot.org/uniprot/M5XM28","M5XM28")</f>
        <v>M5XM28</v>
      </c>
      <c r="D12708" s="2" t="s">
        <v>10551</v>
      </c>
      <c r="E12708" s="3">
        <v>0</v>
      </c>
      <c r="F12708" s="2">
        <v>1556</v>
      </c>
      <c r="G12708" s="2">
        <v>100</v>
      </c>
      <c r="H12708" s="2">
        <v>290</v>
      </c>
      <c r="I12708" s="2">
        <v>430</v>
      </c>
      <c r="J12708" s="2">
        <v>1299</v>
      </c>
      <c r="K12708" s="2">
        <v>1</v>
      </c>
      <c r="L12708" s="2">
        <v>290</v>
      </c>
    </row>
    <row r="12709" spans="1:12" x14ac:dyDescent="0.25">
      <c r="A12709" s="4" t="str">
        <f>HYPERLINK("http://www.rosaceae.org/Prunus/Prunus_persica/p.persica_gdr_reftransV1_0046475","p.persica_gdr_reftransV1_0046475")</f>
        <v>p.persica_gdr_reftransV1_0046475</v>
      </c>
      <c r="B12709" s="2">
        <v>809</v>
      </c>
      <c r="C12709" s="4" t="str">
        <f>HYPERLINK("http://www.uniprot.org/uniprot/M5WL91","M5WL91")</f>
        <v>M5WL91</v>
      </c>
      <c r="D12709" s="2" t="s">
        <v>10552</v>
      </c>
      <c r="E12709" s="3">
        <v>4.94E-45</v>
      </c>
      <c r="F12709" s="2">
        <v>399</v>
      </c>
      <c r="G12709" s="2">
        <v>85</v>
      </c>
      <c r="H12709" s="2">
        <v>112</v>
      </c>
      <c r="I12709" s="2">
        <v>230</v>
      </c>
      <c r="J12709" s="2">
        <v>565</v>
      </c>
      <c r="K12709" s="2">
        <v>1</v>
      </c>
      <c r="L12709" s="2">
        <v>95</v>
      </c>
    </row>
    <row r="12710" spans="1:12" x14ac:dyDescent="0.25">
      <c r="A12710" s="4" t="str">
        <f>HYPERLINK("http://www.rosaceae.org/Prunus/Prunus_persica/p.persica_gdr_reftransV1_0046825","p.persica_gdr_reftransV1_0046825")</f>
        <v>p.persica_gdr_reftransV1_0046825</v>
      </c>
      <c r="B12710" s="2">
        <v>2516</v>
      </c>
      <c r="C12710" s="4" t="str">
        <f>HYPERLINK("http://www.uniprot.org/uniprot/M5XS21","M5XS21")</f>
        <v>M5XS21</v>
      </c>
      <c r="D12710" s="2" t="s">
        <v>168</v>
      </c>
      <c r="E12710" s="3">
        <v>0</v>
      </c>
      <c r="F12710" s="2">
        <v>3396</v>
      </c>
      <c r="G12710" s="2">
        <v>97</v>
      </c>
      <c r="H12710" s="2">
        <v>701</v>
      </c>
      <c r="I12710" s="2">
        <v>157</v>
      </c>
      <c r="J12710" s="2">
        <v>2259</v>
      </c>
      <c r="K12710" s="2">
        <v>1</v>
      </c>
      <c r="L12710" s="2">
        <v>701</v>
      </c>
    </row>
    <row r="12711" spans="1:12" x14ac:dyDescent="0.25">
      <c r="A12711" s="4" t="str">
        <f>HYPERLINK("http://www.rosaceae.org/Prunus/Prunus_persica/p.persica_gdr_reftransV1_0047175","p.persica_gdr_reftransV1_0047175")</f>
        <v>p.persica_gdr_reftransV1_0047175</v>
      </c>
      <c r="B12711" s="2">
        <v>754</v>
      </c>
      <c r="C12711" s="4" t="str">
        <f>HYPERLINK("http://www.uniprot.org/uniprot/B9RML3","B9RML3")</f>
        <v>B9RML3</v>
      </c>
      <c r="D12711" s="2" t="s">
        <v>5508</v>
      </c>
      <c r="E12711" s="3">
        <v>1.44E-45</v>
      </c>
      <c r="F12711" s="2">
        <v>426</v>
      </c>
      <c r="G12711" s="2">
        <v>46</v>
      </c>
      <c r="H12711" s="2">
        <v>198</v>
      </c>
      <c r="I12711" s="2">
        <v>54</v>
      </c>
      <c r="J12711" s="2">
        <v>632</v>
      </c>
      <c r="K12711" s="2">
        <v>235</v>
      </c>
      <c r="L12711" s="2">
        <v>432</v>
      </c>
    </row>
    <row r="12712" spans="1:12" x14ac:dyDescent="0.25">
      <c r="A12712" s="4" t="str">
        <f>HYPERLINK("http://www.rosaceae.org/Prunus/Prunus_persica/p.persica_gdr_reftransV1_0047525","p.persica_gdr_reftransV1_0047525")</f>
        <v>p.persica_gdr_reftransV1_0047525</v>
      </c>
      <c r="B12712" s="2">
        <v>1462</v>
      </c>
      <c r="C12712" s="4" t="str">
        <f>HYPERLINK("http://www.uniprot.org/uniprot/M5W9T2","M5W9T2")</f>
        <v>M5W9T2</v>
      </c>
      <c r="D12712" s="2" t="s">
        <v>10553</v>
      </c>
      <c r="E12712" s="3">
        <v>0</v>
      </c>
      <c r="F12712" s="2">
        <v>1719</v>
      </c>
      <c r="G12712" s="2">
        <v>100</v>
      </c>
      <c r="H12712" s="2">
        <v>333</v>
      </c>
      <c r="I12712" s="2">
        <v>188</v>
      </c>
      <c r="J12712" s="2">
        <v>1186</v>
      </c>
      <c r="K12712" s="2">
        <v>1</v>
      </c>
      <c r="L12712" s="2">
        <v>333</v>
      </c>
    </row>
    <row r="12713" spans="1:12" x14ac:dyDescent="0.25">
      <c r="A12713" s="4" t="str">
        <f>HYPERLINK("http://www.rosaceae.org/Prunus/Prunus_persica/p.persica_gdr_reftransV1_0047875","p.persica_gdr_reftransV1_0047875")</f>
        <v>p.persica_gdr_reftransV1_0047875</v>
      </c>
      <c r="B12713" s="2">
        <v>971</v>
      </c>
      <c r="C12713" s="4" t="str">
        <f>HYPERLINK("http://www.uniprot.org/uniprot/M5WCL3","M5WCL3")</f>
        <v>M5WCL3</v>
      </c>
      <c r="D12713" s="2" t="s">
        <v>8875</v>
      </c>
      <c r="E12713" s="3">
        <v>5.9899999999999998E-108</v>
      </c>
      <c r="F12713" s="2">
        <v>855</v>
      </c>
      <c r="G12713" s="2">
        <v>100</v>
      </c>
      <c r="H12713" s="2">
        <v>204</v>
      </c>
      <c r="I12713" s="2">
        <v>359</v>
      </c>
      <c r="J12713" s="2">
        <v>970</v>
      </c>
      <c r="K12713" s="2">
        <v>1</v>
      </c>
      <c r="L12713" s="2">
        <v>204</v>
      </c>
    </row>
    <row r="12714" spans="1:12" x14ac:dyDescent="0.25">
      <c r="A12714" s="4" t="str">
        <f>HYPERLINK("http://www.rosaceae.org/Prunus/Prunus_persica/p.persica_gdr_reftransV1_0048225","p.persica_gdr_reftransV1_0048225")</f>
        <v>p.persica_gdr_reftransV1_0048225</v>
      </c>
      <c r="B12714" s="2">
        <v>1802</v>
      </c>
      <c r="C12714" s="4" t="str">
        <f>HYPERLINK("http://www.uniprot.org/uniprot/M5XF70","M5XF70")</f>
        <v>M5XF70</v>
      </c>
      <c r="D12714" s="2" t="s">
        <v>5820</v>
      </c>
      <c r="E12714" s="3">
        <v>0</v>
      </c>
      <c r="F12714" s="2">
        <v>2232</v>
      </c>
      <c r="G12714" s="2">
        <v>100</v>
      </c>
      <c r="H12714" s="2">
        <v>432</v>
      </c>
      <c r="I12714" s="2">
        <v>243</v>
      </c>
      <c r="J12714" s="2">
        <v>1538</v>
      </c>
      <c r="K12714" s="2">
        <v>1</v>
      </c>
      <c r="L12714" s="2">
        <v>432</v>
      </c>
    </row>
    <row r="12715" spans="1:12" x14ac:dyDescent="0.25">
      <c r="A12715" s="4" t="str">
        <f>HYPERLINK("http://www.rosaceae.org/Prunus/Prunus_persica/p.persica_gdr_reftransV1_0048575","p.persica_gdr_reftransV1_0048575")</f>
        <v>p.persica_gdr_reftransV1_0048575</v>
      </c>
      <c r="B12715" s="2">
        <v>2154</v>
      </c>
      <c r="C12715" s="4" t="str">
        <f>HYPERLINK("http://www.uniprot.org/uniprot/M5WCH5","M5WCH5")</f>
        <v>M5WCH5</v>
      </c>
      <c r="D12715" s="2" t="s">
        <v>10554</v>
      </c>
      <c r="E12715" s="3">
        <v>0</v>
      </c>
      <c r="F12715" s="2">
        <v>2845</v>
      </c>
      <c r="G12715" s="2">
        <v>100</v>
      </c>
      <c r="H12715" s="2">
        <v>593</v>
      </c>
      <c r="I12715" s="2">
        <v>296</v>
      </c>
      <c r="J12715" s="2">
        <v>2074</v>
      </c>
      <c r="K12715" s="2">
        <v>1</v>
      </c>
      <c r="L12715" s="2">
        <v>593</v>
      </c>
    </row>
    <row r="12716" spans="1:12" x14ac:dyDescent="0.25">
      <c r="A12716" s="4" t="str">
        <f>HYPERLINK("http://www.rosaceae.org/Prunus/Prunus_persica/p.persica_gdr_reftransV1_0048925","p.persica_gdr_reftransV1_0048925")</f>
        <v>p.persica_gdr_reftransV1_0048925</v>
      </c>
      <c r="B12716" s="2">
        <v>554</v>
      </c>
      <c r="C12716" s="4" t="str">
        <f>HYPERLINK("http://www.uniprot.org/uniprot/M5W126","M5W126")</f>
        <v>M5W126</v>
      </c>
      <c r="D12716" s="2" t="s">
        <v>10555</v>
      </c>
      <c r="E12716" s="3">
        <v>4.4000000000000002E-14</v>
      </c>
      <c r="F12716" s="2">
        <v>194</v>
      </c>
      <c r="G12716" s="2">
        <v>100</v>
      </c>
      <c r="H12716" s="2">
        <v>34</v>
      </c>
      <c r="I12716" s="2">
        <v>1</v>
      </c>
      <c r="J12716" s="2">
        <v>102</v>
      </c>
      <c r="K12716" s="2">
        <v>1</v>
      </c>
      <c r="L12716" s="2">
        <v>34</v>
      </c>
    </row>
    <row r="12717" spans="1:12" x14ac:dyDescent="0.25">
      <c r="A12717" s="4" t="str">
        <f>HYPERLINK("http://www.rosaceae.org/Prunus/Prunus_persica/p.persica_gdr_reftransV1_0000626","p.persica_gdr_reftransV1_0000626")</f>
        <v>p.persica_gdr_reftransV1_0000626</v>
      </c>
      <c r="B12717" s="2">
        <v>1445</v>
      </c>
      <c r="C12717" s="4" t="str">
        <f>HYPERLINK("http://www.uniprot.org/uniprot/M5XCY7","M5XCY7")</f>
        <v>M5XCY7</v>
      </c>
      <c r="D12717" s="2" t="s">
        <v>10556</v>
      </c>
      <c r="E12717" s="3">
        <v>1.2E-138</v>
      </c>
      <c r="F12717" s="2">
        <v>1061</v>
      </c>
      <c r="G12717" s="2">
        <v>99</v>
      </c>
      <c r="H12717" s="2">
        <v>216</v>
      </c>
      <c r="I12717" s="2">
        <v>393</v>
      </c>
      <c r="J12717" s="2">
        <v>1040</v>
      </c>
      <c r="K12717" s="2">
        <v>82</v>
      </c>
      <c r="L12717" s="2">
        <v>297</v>
      </c>
    </row>
    <row r="12718" spans="1:12" x14ac:dyDescent="0.25">
      <c r="A12718" s="4" t="str">
        <f>HYPERLINK("http://www.rosaceae.org/Prunus/Prunus_persica/p.persica_gdr_reftransV1_0001326","p.persica_gdr_reftransV1_0001326")</f>
        <v>p.persica_gdr_reftransV1_0001326</v>
      </c>
      <c r="B12718" s="2">
        <v>945</v>
      </c>
      <c r="C12718" s="4" t="str">
        <f>HYPERLINK("http://www.uniprot.org/uniprot/M5X946","M5X946")</f>
        <v>M5X946</v>
      </c>
      <c r="D12718" s="2" t="s">
        <v>10557</v>
      </c>
      <c r="E12718" s="3">
        <v>1.0999999999999999E-124</v>
      </c>
      <c r="F12718" s="2">
        <v>951</v>
      </c>
      <c r="G12718" s="2">
        <v>67</v>
      </c>
      <c r="H12718" s="2">
        <v>271</v>
      </c>
      <c r="I12718" s="2">
        <v>4</v>
      </c>
      <c r="J12718" s="2">
        <v>807</v>
      </c>
      <c r="K12718" s="2">
        <v>38</v>
      </c>
      <c r="L12718" s="2">
        <v>291</v>
      </c>
    </row>
    <row r="12719" spans="1:12" x14ac:dyDescent="0.25">
      <c r="A12719" s="4" t="str">
        <f>HYPERLINK("http://www.rosaceae.org/Prunus/Prunus_persica/p.persica_gdr_reftransV1_0001676","p.persica_gdr_reftransV1_0001676")</f>
        <v>p.persica_gdr_reftransV1_0001676</v>
      </c>
      <c r="B12719" s="2">
        <v>631</v>
      </c>
      <c r="C12719" s="4" t="str">
        <f>HYPERLINK("http://www.uniprot.org/uniprot/M5VXD3","M5VXD3")</f>
        <v>M5VXD3</v>
      </c>
      <c r="D12719" s="2" t="s">
        <v>10558</v>
      </c>
      <c r="E12719" s="3">
        <v>6.5999999999999999E-52</v>
      </c>
      <c r="F12719" s="2">
        <v>445</v>
      </c>
      <c r="G12719" s="2">
        <v>77</v>
      </c>
      <c r="H12719" s="2">
        <v>145</v>
      </c>
      <c r="I12719" s="2">
        <v>89</v>
      </c>
      <c r="J12719" s="2">
        <v>424</v>
      </c>
      <c r="K12719" s="2">
        <v>1</v>
      </c>
      <c r="L12719" s="2">
        <v>145</v>
      </c>
    </row>
    <row r="12720" spans="1:12" x14ac:dyDescent="0.25">
      <c r="A12720" s="4" t="str">
        <f>HYPERLINK("http://www.rosaceae.org/Prunus/Prunus_persica/p.persica_gdr_reftransV1_0002026","p.persica_gdr_reftransV1_0002026")</f>
        <v>p.persica_gdr_reftransV1_0002026</v>
      </c>
      <c r="B12720" s="2">
        <v>818</v>
      </c>
      <c r="C12720" s="4" t="str">
        <f>HYPERLINK("http://www.uniprot.org/uniprot/M5VUW1","M5VUW1")</f>
        <v>M5VUW1</v>
      </c>
      <c r="D12720" s="2" t="s">
        <v>10559</v>
      </c>
      <c r="E12720" s="3">
        <v>1.2999999999999999E-102</v>
      </c>
      <c r="F12720" s="2">
        <v>789</v>
      </c>
      <c r="G12720" s="2">
        <v>100</v>
      </c>
      <c r="H12720" s="2">
        <v>178</v>
      </c>
      <c r="I12720" s="2">
        <v>135</v>
      </c>
      <c r="J12720" s="2">
        <v>668</v>
      </c>
      <c r="K12720" s="2">
        <v>1</v>
      </c>
      <c r="L12720" s="2">
        <v>178</v>
      </c>
    </row>
    <row r="12721" spans="1:12" x14ac:dyDescent="0.25">
      <c r="A12721" s="4" t="str">
        <f>HYPERLINK("http://www.rosaceae.org/Prunus/Prunus_persica/p.persica_gdr_reftransV1_0002376","p.persica_gdr_reftransV1_0002376")</f>
        <v>p.persica_gdr_reftransV1_0002376</v>
      </c>
      <c r="B12721" s="2">
        <v>1759</v>
      </c>
      <c r="C12721" s="4" t="str">
        <f>HYPERLINK("http://www.uniprot.org/uniprot/M5WSR5","M5WSR5")</f>
        <v>M5WSR5</v>
      </c>
      <c r="D12721" s="2" t="s">
        <v>10560</v>
      </c>
      <c r="E12721" s="3">
        <v>0</v>
      </c>
      <c r="F12721" s="2">
        <v>1723</v>
      </c>
      <c r="G12721" s="2">
        <v>100</v>
      </c>
      <c r="H12721" s="2">
        <v>379</v>
      </c>
      <c r="I12721" s="2">
        <v>302</v>
      </c>
      <c r="J12721" s="2">
        <v>1438</v>
      </c>
      <c r="K12721" s="2">
        <v>1</v>
      </c>
      <c r="L12721" s="2">
        <v>379</v>
      </c>
    </row>
    <row r="12722" spans="1:12" x14ac:dyDescent="0.25">
      <c r="A12722" s="4" t="str">
        <f>HYPERLINK("http://www.rosaceae.org/Prunus/Prunus_persica/p.persica_gdr_reftransV1_0002726","p.persica_gdr_reftransV1_0002726")</f>
        <v>p.persica_gdr_reftransV1_0002726</v>
      </c>
      <c r="B12722" s="2">
        <v>1114</v>
      </c>
      <c r="C12722" s="4" t="str">
        <f>HYPERLINK("http://www.uniprot.org/uniprot/M5W265","M5W265")</f>
        <v>M5W265</v>
      </c>
      <c r="D12722" s="2" t="s">
        <v>10561</v>
      </c>
      <c r="E12722" s="3">
        <v>8.5199999999999998E-172</v>
      </c>
      <c r="F12722" s="2">
        <v>1318</v>
      </c>
      <c r="G12722" s="2">
        <v>99</v>
      </c>
      <c r="H12722" s="2">
        <v>296</v>
      </c>
      <c r="I12722" s="2">
        <v>139</v>
      </c>
      <c r="J12722" s="2">
        <v>1026</v>
      </c>
      <c r="K12722" s="2">
        <v>1</v>
      </c>
      <c r="L12722" s="2">
        <v>296</v>
      </c>
    </row>
    <row r="12723" spans="1:12" x14ac:dyDescent="0.25">
      <c r="A12723" s="4" t="str">
        <f>HYPERLINK("http://www.rosaceae.org/Prunus/Prunus_persica/p.persica_gdr_reftransV1_0003076","p.persica_gdr_reftransV1_0003076")</f>
        <v>p.persica_gdr_reftransV1_0003076</v>
      </c>
      <c r="B12723" s="2">
        <v>1086</v>
      </c>
      <c r="C12723" s="4" t="str">
        <f>HYPERLINK("http://www.uniprot.org/uniprot/M5WJK6","M5WJK6")</f>
        <v>M5WJK6</v>
      </c>
      <c r="D12723" s="2" t="s">
        <v>10562</v>
      </c>
      <c r="E12723" s="3">
        <v>1.12E-147</v>
      </c>
      <c r="F12723" s="2">
        <v>1105</v>
      </c>
      <c r="G12723" s="2">
        <v>100</v>
      </c>
      <c r="H12723" s="2">
        <v>245</v>
      </c>
      <c r="I12723" s="2">
        <v>101</v>
      </c>
      <c r="J12723" s="2">
        <v>835</v>
      </c>
      <c r="K12723" s="2">
        <v>22</v>
      </c>
      <c r="L12723" s="2">
        <v>266</v>
      </c>
    </row>
    <row r="12724" spans="1:12" x14ac:dyDescent="0.25">
      <c r="A12724" s="4" t="str">
        <f>HYPERLINK("http://www.rosaceae.org/Prunus/Prunus_persica/p.persica_gdr_reftransV1_0005176","p.persica_gdr_reftransV1_0005176")</f>
        <v>p.persica_gdr_reftransV1_0005176</v>
      </c>
      <c r="B12724" s="2">
        <v>1334</v>
      </c>
      <c r="C12724" s="4" t="str">
        <f>HYPERLINK("http://www.uniprot.org/uniprot/R0HMC3","R0HMC3")</f>
        <v>R0HMC3</v>
      </c>
      <c r="D12724" s="2" t="s">
        <v>10563</v>
      </c>
      <c r="E12724" s="3">
        <v>6.1400000000000002E-133</v>
      </c>
      <c r="F12724" s="2">
        <v>764</v>
      </c>
      <c r="G12724" s="2">
        <v>74</v>
      </c>
      <c r="H12724" s="2">
        <v>188</v>
      </c>
      <c r="I12724" s="2">
        <v>547</v>
      </c>
      <c r="J12724" s="2">
        <v>1110</v>
      </c>
      <c r="K12724" s="2">
        <v>171</v>
      </c>
      <c r="L12724" s="2">
        <v>358</v>
      </c>
    </row>
    <row r="12725" spans="1:12" x14ac:dyDescent="0.25">
      <c r="A12725" s="4" t="str">
        <f>HYPERLINK("http://www.rosaceae.org/Prunus/Prunus_persica/p.persica_gdr_reftransV1_0005876","p.persica_gdr_reftransV1_0005876")</f>
        <v>p.persica_gdr_reftransV1_0005876</v>
      </c>
      <c r="B12725" s="2">
        <v>971</v>
      </c>
      <c r="C12725" s="4" t="str">
        <f>HYPERLINK("http://www.uniprot.org/uniprot/M5XNU0","M5XNU0")</f>
        <v>M5XNU0</v>
      </c>
      <c r="D12725" s="2" t="s">
        <v>10564</v>
      </c>
      <c r="E12725" s="3">
        <v>6.7499999999999997E-149</v>
      </c>
      <c r="F12725" s="2">
        <v>1105</v>
      </c>
      <c r="G12725" s="2">
        <v>100</v>
      </c>
      <c r="H12725" s="2">
        <v>227</v>
      </c>
      <c r="I12725" s="2">
        <v>129</v>
      </c>
      <c r="J12725" s="2">
        <v>809</v>
      </c>
      <c r="K12725" s="2">
        <v>1</v>
      </c>
      <c r="L12725" s="2">
        <v>227</v>
      </c>
    </row>
    <row r="12726" spans="1:12" x14ac:dyDescent="0.25">
      <c r="A12726" s="4" t="str">
        <f>HYPERLINK("http://www.rosaceae.org/Prunus/Prunus_persica/p.persica_gdr_reftransV1_0006226","p.persica_gdr_reftransV1_0006226")</f>
        <v>p.persica_gdr_reftransV1_0006226</v>
      </c>
      <c r="B12726" s="2">
        <v>1048</v>
      </c>
      <c r="C12726" s="4" t="str">
        <f>HYPERLINK("http://www.uniprot.org/uniprot/M5XQH7","M5XQH7")</f>
        <v>M5XQH7</v>
      </c>
      <c r="D12726" s="2" t="s">
        <v>10565</v>
      </c>
      <c r="E12726" s="3">
        <v>7.55E-84</v>
      </c>
      <c r="F12726" s="2">
        <v>541</v>
      </c>
      <c r="G12726" s="2">
        <v>99</v>
      </c>
      <c r="H12726" s="2">
        <v>107</v>
      </c>
      <c r="I12726" s="2">
        <v>193</v>
      </c>
      <c r="J12726" s="2">
        <v>513</v>
      </c>
      <c r="K12726" s="2">
        <v>1</v>
      </c>
      <c r="L12726" s="2">
        <v>107</v>
      </c>
    </row>
    <row r="12727" spans="1:12" x14ac:dyDescent="0.25">
      <c r="A12727" s="4" t="str">
        <f>HYPERLINK("http://www.rosaceae.org/Prunus/Prunus_persica/p.persica_gdr_reftransV1_0006576","p.persica_gdr_reftransV1_0006576")</f>
        <v>p.persica_gdr_reftransV1_0006576</v>
      </c>
      <c r="B12727" s="2">
        <v>475</v>
      </c>
      <c r="C12727" s="4" t="str">
        <f>HYPERLINK("http://www.uniprot.org/uniprot/M5VQP6","M5VQP6")</f>
        <v>M5VQP6</v>
      </c>
      <c r="D12727" s="2" t="s">
        <v>7234</v>
      </c>
      <c r="E12727" s="3">
        <v>1.7999999999999999E-85</v>
      </c>
      <c r="F12727" s="2">
        <v>674</v>
      </c>
      <c r="G12727" s="2">
        <v>99</v>
      </c>
      <c r="H12727" s="2">
        <v>149</v>
      </c>
      <c r="I12727" s="2">
        <v>27</v>
      </c>
      <c r="J12727" s="2">
        <v>473</v>
      </c>
      <c r="K12727" s="2">
        <v>1</v>
      </c>
      <c r="L12727" s="2">
        <v>149</v>
      </c>
    </row>
    <row r="12728" spans="1:12" x14ac:dyDescent="0.25">
      <c r="A12728" s="4" t="str">
        <f>HYPERLINK("http://www.rosaceae.org/Prunus/Prunus_persica/p.persica_gdr_reftransV1_0006926","p.persica_gdr_reftransV1_0006926")</f>
        <v>p.persica_gdr_reftransV1_0006926</v>
      </c>
      <c r="B12728" s="2">
        <v>2700</v>
      </c>
      <c r="C12728" s="4" t="str">
        <f>HYPERLINK("http://www.uniprot.org/uniprot/M5XLC5","M5XLC5")</f>
        <v>M5XLC5</v>
      </c>
      <c r="D12728" s="2" t="s">
        <v>8352</v>
      </c>
      <c r="E12728" s="3">
        <v>0</v>
      </c>
      <c r="F12728" s="2">
        <v>2005</v>
      </c>
      <c r="G12728" s="2">
        <v>100</v>
      </c>
      <c r="H12728" s="2">
        <v>424</v>
      </c>
      <c r="I12728" s="2">
        <v>256</v>
      </c>
      <c r="J12728" s="2">
        <v>1527</v>
      </c>
      <c r="K12728" s="2">
        <v>224</v>
      </c>
      <c r="L12728" s="2">
        <v>647</v>
      </c>
    </row>
    <row r="12729" spans="1:12" x14ac:dyDescent="0.25">
      <c r="A12729" s="4" t="str">
        <f>HYPERLINK("http://www.rosaceae.org/Prunus/Prunus_persica/p.persica_gdr_reftransV1_0007976","p.persica_gdr_reftransV1_0007976")</f>
        <v>p.persica_gdr_reftransV1_0007976</v>
      </c>
      <c r="B12729" s="2">
        <v>2548</v>
      </c>
      <c r="C12729" s="4" t="str">
        <f>HYPERLINK("http://www.uniprot.org/uniprot/M5XNT7","M5XNT7")</f>
        <v>M5XNT7</v>
      </c>
      <c r="D12729" s="2" t="s">
        <v>10566</v>
      </c>
      <c r="E12729" s="3">
        <v>0</v>
      </c>
      <c r="F12729" s="2">
        <v>3251</v>
      </c>
      <c r="G12729" s="2">
        <v>99</v>
      </c>
      <c r="H12729" s="2">
        <v>605</v>
      </c>
      <c r="I12729" s="2">
        <v>304</v>
      </c>
      <c r="J12729" s="2">
        <v>2118</v>
      </c>
      <c r="K12729" s="2">
        <v>32</v>
      </c>
      <c r="L12729" s="2">
        <v>636</v>
      </c>
    </row>
    <row r="12730" spans="1:12" x14ac:dyDescent="0.25">
      <c r="A12730" s="4" t="str">
        <f>HYPERLINK("http://www.rosaceae.org/Prunus/Prunus_persica/p.persica_gdr_reftransV1_0009026","p.persica_gdr_reftransV1_0009026")</f>
        <v>p.persica_gdr_reftransV1_0009026</v>
      </c>
      <c r="B12730" s="2">
        <v>2506</v>
      </c>
      <c r="C12730" s="4" t="str">
        <f>HYPERLINK("http://www.uniprot.org/uniprot/M5XEJ3","M5XEJ3")</f>
        <v>M5XEJ3</v>
      </c>
      <c r="D12730" s="2" t="s">
        <v>10567</v>
      </c>
      <c r="E12730" s="3">
        <v>0</v>
      </c>
      <c r="F12730" s="2">
        <v>2633</v>
      </c>
      <c r="G12730" s="2">
        <v>100</v>
      </c>
      <c r="H12730" s="2">
        <v>508</v>
      </c>
      <c r="I12730" s="2">
        <v>473</v>
      </c>
      <c r="J12730" s="2">
        <v>1996</v>
      </c>
      <c r="K12730" s="2">
        <v>1</v>
      </c>
      <c r="L12730" s="2">
        <v>508</v>
      </c>
    </row>
    <row r="12731" spans="1:12" x14ac:dyDescent="0.25">
      <c r="A12731" s="4" t="str">
        <f>HYPERLINK("http://www.rosaceae.org/Prunus/Prunus_persica/p.persica_gdr_reftransV1_0009726","p.persica_gdr_reftransV1_0009726")</f>
        <v>p.persica_gdr_reftransV1_0009726</v>
      </c>
      <c r="B12731" s="2">
        <v>569</v>
      </c>
      <c r="C12731" s="4" t="str">
        <f>HYPERLINK("http://www.uniprot.org/uniprot/M5W261","M5W261")</f>
        <v>M5W261</v>
      </c>
      <c r="D12731" s="2" t="s">
        <v>10568</v>
      </c>
      <c r="E12731" s="3">
        <v>1.13E-132</v>
      </c>
      <c r="F12731" s="2">
        <v>1041</v>
      </c>
      <c r="G12731" s="2">
        <v>100</v>
      </c>
      <c r="H12731" s="2">
        <v>189</v>
      </c>
      <c r="I12731" s="2">
        <v>1</v>
      </c>
      <c r="J12731" s="2">
        <v>567</v>
      </c>
      <c r="K12731" s="2">
        <v>654</v>
      </c>
      <c r="L12731" s="2">
        <v>842</v>
      </c>
    </row>
    <row r="12732" spans="1:12" x14ac:dyDescent="0.25">
      <c r="A12732" s="4" t="str">
        <f>HYPERLINK("http://www.rosaceae.org/Prunus/Prunus_persica/p.persica_gdr_reftransV1_0010076","p.persica_gdr_reftransV1_0010076")</f>
        <v>p.persica_gdr_reftransV1_0010076</v>
      </c>
      <c r="B12732" s="2">
        <v>1712</v>
      </c>
      <c r="C12732" s="4" t="str">
        <f>HYPERLINK("http://www.uniprot.org/uniprot/M5WZR9","M5WZR9")</f>
        <v>M5WZR9</v>
      </c>
      <c r="D12732" s="2" t="s">
        <v>10569</v>
      </c>
      <c r="E12732" s="3">
        <v>0</v>
      </c>
      <c r="F12732" s="2">
        <v>1730</v>
      </c>
      <c r="G12732" s="2">
        <v>100</v>
      </c>
      <c r="H12732" s="2">
        <v>399</v>
      </c>
      <c r="I12732" s="2">
        <v>208</v>
      </c>
      <c r="J12732" s="2">
        <v>1404</v>
      </c>
      <c r="K12732" s="2">
        <v>1</v>
      </c>
      <c r="L12732" s="2">
        <v>399</v>
      </c>
    </row>
    <row r="12733" spans="1:12" x14ac:dyDescent="0.25">
      <c r="A12733" s="4" t="str">
        <f>HYPERLINK("http://www.rosaceae.org/Prunus/Prunus_persica/p.persica_gdr_reftransV1_0010426","p.persica_gdr_reftransV1_0010426")</f>
        <v>p.persica_gdr_reftransV1_0010426</v>
      </c>
      <c r="B12733" s="2">
        <v>1254</v>
      </c>
      <c r="C12733" s="4" t="str">
        <f>HYPERLINK("http://www.uniprot.org/uniprot/M5XHG9","M5XHG9")</f>
        <v>M5XHG9</v>
      </c>
      <c r="D12733" s="2" t="s">
        <v>10570</v>
      </c>
      <c r="E12733" s="3">
        <v>1.37E-151</v>
      </c>
      <c r="F12733" s="2">
        <v>1135</v>
      </c>
      <c r="G12733" s="2">
        <v>100</v>
      </c>
      <c r="H12733" s="2">
        <v>229</v>
      </c>
      <c r="I12733" s="2">
        <v>68</v>
      </c>
      <c r="J12733" s="2">
        <v>754</v>
      </c>
      <c r="K12733" s="2">
        <v>1</v>
      </c>
      <c r="L12733" s="2">
        <v>229</v>
      </c>
    </row>
    <row r="12734" spans="1:12" x14ac:dyDescent="0.25">
      <c r="A12734" s="4" t="str">
        <f>HYPERLINK("http://www.rosaceae.org/Prunus/Prunus_persica/p.persica_gdr_reftransV1_0011126","p.persica_gdr_reftransV1_0011126")</f>
        <v>p.persica_gdr_reftransV1_0011126</v>
      </c>
      <c r="B12734" s="2">
        <v>1053</v>
      </c>
      <c r="C12734" s="4" t="str">
        <f>HYPERLINK("http://www.uniprot.org/uniprot/M5Y024","M5Y024")</f>
        <v>M5Y024</v>
      </c>
      <c r="D12734" s="2" t="s">
        <v>4383</v>
      </c>
      <c r="E12734" s="3">
        <v>1.0299999999999999E-174</v>
      </c>
      <c r="F12734" s="2">
        <v>1280</v>
      </c>
      <c r="G12734" s="2">
        <v>100</v>
      </c>
      <c r="H12734" s="2">
        <v>245</v>
      </c>
      <c r="I12734" s="2">
        <v>63</v>
      </c>
      <c r="J12734" s="2">
        <v>797</v>
      </c>
      <c r="K12734" s="2">
        <v>1</v>
      </c>
      <c r="L12734" s="2">
        <v>245</v>
      </c>
    </row>
    <row r="12735" spans="1:12" x14ac:dyDescent="0.25">
      <c r="A12735" s="4" t="str">
        <f>HYPERLINK("http://www.rosaceae.org/Prunus/Prunus_persica/p.persica_gdr_reftransV1_0011826","p.persica_gdr_reftransV1_0011826")</f>
        <v>p.persica_gdr_reftransV1_0011826</v>
      </c>
      <c r="B12735" s="2">
        <v>1424</v>
      </c>
      <c r="C12735" s="4" t="str">
        <f>HYPERLINK("http://www.uniprot.org/uniprot/M5XKK2","M5XKK2")</f>
        <v>M5XKK2</v>
      </c>
      <c r="D12735" s="2" t="s">
        <v>10571</v>
      </c>
      <c r="E12735" s="3">
        <v>5.5999999999999997E-116</v>
      </c>
      <c r="F12735" s="2">
        <v>903</v>
      </c>
      <c r="G12735" s="2">
        <v>80</v>
      </c>
      <c r="H12735" s="2">
        <v>226</v>
      </c>
      <c r="I12735" s="2">
        <v>94</v>
      </c>
      <c r="J12735" s="2">
        <v>636</v>
      </c>
      <c r="K12735" s="2">
        <v>1</v>
      </c>
      <c r="L12735" s="2">
        <v>226</v>
      </c>
    </row>
    <row r="12736" spans="1:12" x14ac:dyDescent="0.25">
      <c r="A12736" s="4" t="str">
        <f>HYPERLINK("http://www.rosaceae.org/Prunus/Prunus_persica/p.persica_gdr_reftransV1_0012176","p.persica_gdr_reftransV1_0012176")</f>
        <v>p.persica_gdr_reftransV1_0012176</v>
      </c>
      <c r="B12736" s="2">
        <v>1367</v>
      </c>
      <c r="C12736" s="4" t="str">
        <f>HYPERLINK("http://www.uniprot.org/uniprot/M5W0D5","M5W0D5")</f>
        <v>M5W0D5</v>
      </c>
      <c r="D12736" s="2" t="s">
        <v>10572</v>
      </c>
      <c r="E12736" s="3">
        <v>0</v>
      </c>
      <c r="F12736" s="2">
        <v>1503</v>
      </c>
      <c r="G12736" s="2">
        <v>100</v>
      </c>
      <c r="H12736" s="2">
        <v>296</v>
      </c>
      <c r="I12736" s="2">
        <v>391</v>
      </c>
      <c r="J12736" s="2">
        <v>1278</v>
      </c>
      <c r="K12736" s="2">
        <v>9</v>
      </c>
      <c r="L12736" s="2">
        <v>304</v>
      </c>
    </row>
    <row r="12737" spans="1:12" x14ac:dyDescent="0.25">
      <c r="A12737" s="4" t="str">
        <f>HYPERLINK("http://www.rosaceae.org/Prunus/Prunus_persica/p.persica_gdr_reftransV1_0012526","p.persica_gdr_reftransV1_0012526")</f>
        <v>p.persica_gdr_reftransV1_0012526</v>
      </c>
      <c r="B12737" s="2">
        <v>1056</v>
      </c>
      <c r="C12737" s="4" t="str">
        <f>HYPERLINK("http://www.uniprot.org/uniprot/M5WVR4","M5WVR4")</f>
        <v>M5WVR4</v>
      </c>
      <c r="D12737" s="2" t="s">
        <v>10573</v>
      </c>
      <c r="E12737" s="3">
        <v>2.09E-121</v>
      </c>
      <c r="F12737" s="2">
        <v>922</v>
      </c>
      <c r="G12737" s="2">
        <v>100</v>
      </c>
      <c r="H12737" s="2">
        <v>176</v>
      </c>
      <c r="I12737" s="2">
        <v>335</v>
      </c>
      <c r="J12737" s="2">
        <v>862</v>
      </c>
      <c r="K12737" s="2">
        <v>1</v>
      </c>
      <c r="L12737" s="2">
        <v>176</v>
      </c>
    </row>
    <row r="12738" spans="1:12" x14ac:dyDescent="0.25">
      <c r="A12738" s="4" t="str">
        <f>HYPERLINK("http://www.rosaceae.org/Prunus/Prunus_persica/p.persica_gdr_reftransV1_0013226","p.persica_gdr_reftransV1_0013226")</f>
        <v>p.persica_gdr_reftransV1_0013226</v>
      </c>
      <c r="B12738" s="2">
        <v>1892</v>
      </c>
      <c r="C12738" s="4" t="str">
        <f>HYPERLINK("http://www.uniprot.org/uniprot/M5W1W1","M5W1W1")</f>
        <v>M5W1W1</v>
      </c>
      <c r="D12738" s="2" t="s">
        <v>10574</v>
      </c>
      <c r="E12738" s="3">
        <v>0</v>
      </c>
      <c r="F12738" s="2">
        <v>2567</v>
      </c>
      <c r="G12738" s="2">
        <v>100</v>
      </c>
      <c r="H12738" s="2">
        <v>483</v>
      </c>
      <c r="I12738" s="2">
        <v>198</v>
      </c>
      <c r="J12738" s="2">
        <v>1646</v>
      </c>
      <c r="K12738" s="2">
        <v>1</v>
      </c>
      <c r="L12738" s="2">
        <v>483</v>
      </c>
    </row>
    <row r="12739" spans="1:12" x14ac:dyDescent="0.25">
      <c r="A12739" s="4" t="str">
        <f>HYPERLINK("http://www.rosaceae.org/Prunus/Prunus_persica/p.persica_gdr_reftransV1_0013576","p.persica_gdr_reftransV1_0013576")</f>
        <v>p.persica_gdr_reftransV1_0013576</v>
      </c>
      <c r="B12739" s="2">
        <v>2910</v>
      </c>
      <c r="C12739" s="4" t="str">
        <f>HYPERLINK("http://www.uniprot.org/uniprot/M5X2I4","M5X2I4")</f>
        <v>M5X2I4</v>
      </c>
      <c r="D12739" s="2" t="s">
        <v>4178</v>
      </c>
      <c r="E12739" s="3">
        <v>0</v>
      </c>
      <c r="F12739" s="2">
        <v>3332</v>
      </c>
      <c r="G12739" s="2">
        <v>97</v>
      </c>
      <c r="H12739" s="2">
        <v>706</v>
      </c>
      <c r="I12739" s="2">
        <v>560</v>
      </c>
      <c r="J12739" s="2">
        <v>2677</v>
      </c>
      <c r="K12739" s="2">
        <v>3</v>
      </c>
      <c r="L12739" s="2">
        <v>685</v>
      </c>
    </row>
    <row r="12740" spans="1:12" x14ac:dyDescent="0.25">
      <c r="A12740" s="4" t="str">
        <f>HYPERLINK("http://www.rosaceae.org/Prunus/Prunus_persica/p.persica_gdr_reftransV1_0014976","p.persica_gdr_reftransV1_0014976")</f>
        <v>p.persica_gdr_reftransV1_0014976</v>
      </c>
      <c r="B12740" s="2">
        <v>1927</v>
      </c>
      <c r="C12740" s="4" t="str">
        <f>HYPERLINK("http://www.uniprot.org/uniprot/M5W8K0","M5W8K0")</f>
        <v>M5W8K0</v>
      </c>
      <c r="D12740" s="2" t="s">
        <v>10575</v>
      </c>
      <c r="E12740" s="3">
        <v>0</v>
      </c>
      <c r="F12740" s="2">
        <v>2603</v>
      </c>
      <c r="G12740" s="2">
        <v>100</v>
      </c>
      <c r="H12740" s="2">
        <v>515</v>
      </c>
      <c r="I12740" s="2">
        <v>278</v>
      </c>
      <c r="J12740" s="2">
        <v>1822</v>
      </c>
      <c r="K12740" s="2">
        <v>1</v>
      </c>
      <c r="L12740" s="2">
        <v>515</v>
      </c>
    </row>
    <row r="12741" spans="1:12" x14ac:dyDescent="0.25">
      <c r="A12741" s="4" t="str">
        <f>HYPERLINK("http://www.rosaceae.org/Prunus/Prunus_persica/p.persica_gdr_reftransV1_0015676","p.persica_gdr_reftransV1_0015676")</f>
        <v>p.persica_gdr_reftransV1_0015676</v>
      </c>
      <c r="B12741" s="2">
        <v>2395</v>
      </c>
      <c r="C12741" s="4" t="str">
        <f>HYPERLINK("http://www.uniprot.org/uniprot/M5XE38","M5XE38")</f>
        <v>M5XE38</v>
      </c>
      <c r="D12741" s="2" t="s">
        <v>10576</v>
      </c>
      <c r="E12741" s="3">
        <v>0</v>
      </c>
      <c r="F12741" s="2">
        <v>2356</v>
      </c>
      <c r="G12741" s="2">
        <v>98</v>
      </c>
      <c r="H12741" s="2">
        <v>539</v>
      </c>
      <c r="I12741" s="2">
        <v>351</v>
      </c>
      <c r="J12741" s="2">
        <v>1967</v>
      </c>
      <c r="K12741" s="2">
        <v>1</v>
      </c>
      <c r="L12741" s="2">
        <v>527</v>
      </c>
    </row>
    <row r="12742" spans="1:12" x14ac:dyDescent="0.25">
      <c r="A12742" s="4" t="str">
        <f>HYPERLINK("http://www.rosaceae.org/Prunus/Prunus_persica/p.persica_gdr_reftransV1_0016026","p.persica_gdr_reftransV1_0016026")</f>
        <v>p.persica_gdr_reftransV1_0016026</v>
      </c>
      <c r="B12742" s="2">
        <v>336</v>
      </c>
      <c r="C12742" s="4" t="str">
        <f>HYPERLINK("http://www.uniprot.org/uniprot/M5X259","M5X259")</f>
        <v>M5X259</v>
      </c>
      <c r="D12742" s="2" t="s">
        <v>10577</v>
      </c>
      <c r="E12742" s="3">
        <v>3.6500000000000002E-52</v>
      </c>
      <c r="F12742" s="2">
        <v>431</v>
      </c>
      <c r="G12742" s="2">
        <v>97</v>
      </c>
      <c r="H12742" s="2">
        <v>99</v>
      </c>
      <c r="I12742" s="2">
        <v>33</v>
      </c>
      <c r="J12742" s="2">
        <v>329</v>
      </c>
      <c r="K12742" s="2">
        <v>1</v>
      </c>
      <c r="L12742" s="2">
        <v>99</v>
      </c>
    </row>
    <row r="12743" spans="1:12" x14ac:dyDescent="0.25">
      <c r="A12743" s="4" t="str">
        <f>HYPERLINK("http://www.rosaceae.org/Prunus/Prunus_persica/p.persica_gdr_reftransV1_0017776","p.persica_gdr_reftransV1_0017776")</f>
        <v>p.persica_gdr_reftransV1_0017776</v>
      </c>
      <c r="B12743" s="2">
        <v>3120</v>
      </c>
      <c r="C12743" s="4" t="str">
        <f>HYPERLINK("http://www.uniprot.org/uniprot/A0A061DJI1","A0A061DJI1")</f>
        <v>A0A061DJI1</v>
      </c>
      <c r="D12743" s="2" t="s">
        <v>10578</v>
      </c>
      <c r="E12743" s="3">
        <v>0</v>
      </c>
      <c r="F12743" s="2">
        <v>2412</v>
      </c>
      <c r="G12743" s="2">
        <v>52</v>
      </c>
      <c r="H12743" s="2">
        <v>1044</v>
      </c>
      <c r="I12743" s="2">
        <v>1</v>
      </c>
      <c r="J12743" s="2">
        <v>3102</v>
      </c>
      <c r="K12743" s="2">
        <v>67</v>
      </c>
      <c r="L12743" s="2">
        <v>1093</v>
      </c>
    </row>
    <row r="12744" spans="1:12" x14ac:dyDescent="0.25">
      <c r="A12744" s="4" t="str">
        <f>HYPERLINK("http://www.rosaceae.org/Prunus/Prunus_persica/p.persica_gdr_reftransV1_0019176","p.persica_gdr_reftransV1_0019176")</f>
        <v>p.persica_gdr_reftransV1_0019176</v>
      </c>
      <c r="B12744" s="2">
        <v>2563</v>
      </c>
      <c r="C12744" s="4" t="str">
        <f>HYPERLINK("http://www.uniprot.org/uniprot/M5W4S7","M5W4S7")</f>
        <v>M5W4S7</v>
      </c>
      <c r="D12744" s="2" t="s">
        <v>10285</v>
      </c>
      <c r="E12744" s="3">
        <v>0</v>
      </c>
      <c r="F12744" s="2">
        <v>2705</v>
      </c>
      <c r="G12744" s="2">
        <v>100</v>
      </c>
      <c r="H12744" s="2">
        <v>532</v>
      </c>
      <c r="I12744" s="2">
        <v>730</v>
      </c>
      <c r="J12744" s="2">
        <v>2325</v>
      </c>
      <c r="K12744" s="2">
        <v>108</v>
      </c>
      <c r="L12744" s="2">
        <v>639</v>
      </c>
    </row>
    <row r="12745" spans="1:12" x14ac:dyDescent="0.25">
      <c r="A12745" s="4" t="str">
        <f>HYPERLINK("http://www.rosaceae.org/Prunus/Prunus_persica/p.persica_gdr_reftransV1_0020926","p.persica_gdr_reftransV1_0020926")</f>
        <v>p.persica_gdr_reftransV1_0020926</v>
      </c>
      <c r="B12745" s="2">
        <v>1200</v>
      </c>
      <c r="C12745" s="4" t="str">
        <f>HYPERLINK("http://www.uniprot.org/uniprot/M5VKM0","M5VKM0")</f>
        <v>M5VKM0</v>
      </c>
      <c r="D12745" s="2" t="s">
        <v>10579</v>
      </c>
      <c r="E12745" s="3">
        <v>6.0500000000000003E-152</v>
      </c>
      <c r="F12745" s="2">
        <v>1132</v>
      </c>
      <c r="G12745" s="2">
        <v>100</v>
      </c>
      <c r="H12745" s="2">
        <v>213</v>
      </c>
      <c r="I12745" s="2">
        <v>218</v>
      </c>
      <c r="J12745" s="2">
        <v>856</v>
      </c>
      <c r="K12745" s="2">
        <v>1</v>
      </c>
      <c r="L12745" s="2">
        <v>213</v>
      </c>
    </row>
    <row r="12746" spans="1:12" x14ac:dyDescent="0.25">
      <c r="A12746" s="4" t="str">
        <f>HYPERLINK("http://www.rosaceae.org/Prunus/Prunus_persica/p.persica_gdr_reftransV1_0021276","p.persica_gdr_reftransV1_0021276")</f>
        <v>p.persica_gdr_reftransV1_0021276</v>
      </c>
      <c r="B12746" s="2">
        <v>698</v>
      </c>
      <c r="C12746" s="4" t="str">
        <f>HYPERLINK("http://www.uniprot.org/uniprot/M5VRF2","M5VRF2")</f>
        <v>M5VRF2</v>
      </c>
      <c r="D12746" s="2" t="s">
        <v>10580</v>
      </c>
      <c r="E12746" s="3">
        <v>4.8899999999999999E-101</v>
      </c>
      <c r="F12746" s="2">
        <v>771</v>
      </c>
      <c r="G12746" s="2">
        <v>100</v>
      </c>
      <c r="H12746" s="2">
        <v>143</v>
      </c>
      <c r="I12746" s="2">
        <v>251</v>
      </c>
      <c r="J12746" s="2">
        <v>679</v>
      </c>
      <c r="K12746" s="2">
        <v>1</v>
      </c>
      <c r="L12746" s="2">
        <v>143</v>
      </c>
    </row>
    <row r="12747" spans="1:12" x14ac:dyDescent="0.25">
      <c r="A12747" s="4" t="str">
        <f>HYPERLINK("http://www.rosaceae.org/Prunus/Prunus_persica/p.persica_gdr_reftransV1_0021976","p.persica_gdr_reftransV1_0021976")</f>
        <v>p.persica_gdr_reftransV1_0021976</v>
      </c>
      <c r="B12747" s="2">
        <v>6030</v>
      </c>
      <c r="C12747" s="4" t="str">
        <f>HYPERLINK("http://www.uniprot.org/uniprot/M5WYU3","M5WYU3")</f>
        <v>M5WYU3</v>
      </c>
      <c r="D12747" s="2" t="s">
        <v>10581</v>
      </c>
      <c r="E12747" s="3">
        <v>0</v>
      </c>
      <c r="F12747" s="2">
        <v>2538</v>
      </c>
      <c r="G12747" s="2">
        <v>100</v>
      </c>
      <c r="H12747" s="2">
        <v>607</v>
      </c>
      <c r="I12747" s="2">
        <v>4051</v>
      </c>
      <c r="J12747" s="2">
        <v>5871</v>
      </c>
      <c r="K12747" s="2">
        <v>1</v>
      </c>
      <c r="L12747" s="2">
        <v>607</v>
      </c>
    </row>
    <row r="12748" spans="1:12" x14ac:dyDescent="0.25">
      <c r="A12748" s="4" t="str">
        <f>HYPERLINK("http://www.rosaceae.org/Prunus/Prunus_persica/p.persica_gdr_reftransV1_0022676","p.persica_gdr_reftransV1_0022676")</f>
        <v>p.persica_gdr_reftransV1_0022676</v>
      </c>
      <c r="B12748" s="2">
        <v>865</v>
      </c>
      <c r="C12748" s="4" t="str">
        <f>HYPERLINK("http://www.uniprot.org/uniprot/M5W983","M5W983")</f>
        <v>M5W983</v>
      </c>
      <c r="D12748" s="2" t="s">
        <v>10582</v>
      </c>
      <c r="E12748" s="3">
        <v>6.3700000000000003E-109</v>
      </c>
      <c r="F12748" s="2">
        <v>877</v>
      </c>
      <c r="G12748" s="2">
        <v>100</v>
      </c>
      <c r="H12748" s="2">
        <v>228</v>
      </c>
      <c r="I12748" s="2">
        <v>180</v>
      </c>
      <c r="J12748" s="2">
        <v>863</v>
      </c>
      <c r="K12748" s="2">
        <v>1</v>
      </c>
      <c r="L12748" s="2">
        <v>228</v>
      </c>
    </row>
    <row r="12749" spans="1:12" x14ac:dyDescent="0.25">
      <c r="A12749" s="4" t="str">
        <f>HYPERLINK("http://www.rosaceae.org/Prunus/Prunus_persica/p.persica_gdr_reftransV1_0023376","p.persica_gdr_reftransV1_0023376")</f>
        <v>p.persica_gdr_reftransV1_0023376</v>
      </c>
      <c r="B12749" s="2">
        <v>909</v>
      </c>
      <c r="C12749" s="4" t="str">
        <f>HYPERLINK("http://www.uniprot.org/uniprot/M5XHA2","M5XHA2")</f>
        <v>M5XHA2</v>
      </c>
      <c r="D12749" s="2" t="s">
        <v>10583</v>
      </c>
      <c r="E12749" s="3">
        <v>1.58E-70</v>
      </c>
      <c r="F12749" s="2">
        <v>492</v>
      </c>
      <c r="G12749" s="2">
        <v>100</v>
      </c>
      <c r="H12749" s="2">
        <v>97</v>
      </c>
      <c r="I12749" s="2">
        <v>347</v>
      </c>
      <c r="J12749" s="2">
        <v>637</v>
      </c>
      <c r="K12749" s="2">
        <v>55</v>
      </c>
      <c r="L12749" s="2">
        <v>151</v>
      </c>
    </row>
    <row r="12750" spans="1:12" x14ac:dyDescent="0.25">
      <c r="A12750" s="4" t="str">
        <f>HYPERLINK("http://www.rosaceae.org/Prunus/Prunus_persica/p.persica_gdr_reftransV1_0024426","p.persica_gdr_reftransV1_0024426")</f>
        <v>p.persica_gdr_reftransV1_0024426</v>
      </c>
      <c r="B12750" s="2">
        <v>1881</v>
      </c>
      <c r="C12750" s="4" t="str">
        <f>HYPERLINK("http://www.uniprot.org/uniprot/M5WUB5","M5WUB5")</f>
        <v>M5WUB5</v>
      </c>
      <c r="D12750" s="2" t="s">
        <v>10584</v>
      </c>
      <c r="E12750" s="3">
        <v>0</v>
      </c>
      <c r="F12750" s="2">
        <v>2058</v>
      </c>
      <c r="G12750" s="2">
        <v>100</v>
      </c>
      <c r="H12750" s="2">
        <v>422</v>
      </c>
      <c r="I12750" s="2">
        <v>170</v>
      </c>
      <c r="J12750" s="2">
        <v>1435</v>
      </c>
      <c r="K12750" s="2">
        <v>1</v>
      </c>
      <c r="L12750" s="2">
        <v>422</v>
      </c>
    </row>
    <row r="12751" spans="1:12" x14ac:dyDescent="0.25">
      <c r="A12751" s="4" t="str">
        <f>HYPERLINK("http://www.rosaceae.org/Prunus/Prunus_persica/p.persica_gdr_reftransV1_0026526","p.persica_gdr_reftransV1_0026526")</f>
        <v>p.persica_gdr_reftransV1_0026526</v>
      </c>
      <c r="B12751" s="2">
        <v>1633</v>
      </c>
      <c r="C12751" s="4" t="str">
        <f>HYPERLINK("http://www.uniprot.org/uniprot/M5XGP7","M5XGP7")</f>
        <v>M5XGP7</v>
      </c>
      <c r="D12751" s="2" t="s">
        <v>7472</v>
      </c>
      <c r="E12751" s="3">
        <v>0</v>
      </c>
      <c r="F12751" s="2">
        <v>1802</v>
      </c>
      <c r="G12751" s="2">
        <v>100</v>
      </c>
      <c r="H12751" s="2">
        <v>440</v>
      </c>
      <c r="I12751" s="2">
        <v>42</v>
      </c>
      <c r="J12751" s="2">
        <v>1361</v>
      </c>
      <c r="K12751" s="2">
        <v>1</v>
      </c>
      <c r="L12751" s="2">
        <v>440</v>
      </c>
    </row>
    <row r="12752" spans="1:12" x14ac:dyDescent="0.25">
      <c r="A12752" s="4" t="str">
        <f>HYPERLINK("http://www.rosaceae.org/Prunus/Prunus_persica/p.persica_gdr_reftransV1_0027926","p.persica_gdr_reftransV1_0027926")</f>
        <v>p.persica_gdr_reftransV1_0027926</v>
      </c>
      <c r="B12752" s="2">
        <v>356</v>
      </c>
      <c r="C12752" s="4" t="str">
        <f>HYPERLINK("http://www.uniprot.org/uniprot/M5VR69","M5VR69")</f>
        <v>M5VR69</v>
      </c>
      <c r="D12752" s="2" t="s">
        <v>1580</v>
      </c>
      <c r="E12752" s="3">
        <v>7.9399999999999996E-8</v>
      </c>
      <c r="F12752" s="2">
        <v>136</v>
      </c>
      <c r="G12752" s="2">
        <v>100</v>
      </c>
      <c r="H12752" s="2">
        <v>25</v>
      </c>
      <c r="I12752" s="2">
        <v>3</v>
      </c>
      <c r="J12752" s="2">
        <v>77</v>
      </c>
      <c r="K12752" s="2">
        <v>159</v>
      </c>
      <c r="L12752" s="2">
        <v>183</v>
      </c>
    </row>
    <row r="12753" spans="1:12" x14ac:dyDescent="0.25">
      <c r="A12753" s="4" t="str">
        <f>HYPERLINK("http://www.rosaceae.org/Prunus/Prunus_persica/p.persica_gdr_reftransV1_0028626","p.persica_gdr_reftransV1_0028626")</f>
        <v>p.persica_gdr_reftransV1_0028626</v>
      </c>
      <c r="B12753" s="2">
        <v>2836</v>
      </c>
      <c r="C12753" s="4" t="str">
        <f>HYPERLINK("http://www.uniprot.org/uniprot/M5XF58","M5XF58")</f>
        <v>M5XF58</v>
      </c>
      <c r="D12753" s="2" t="s">
        <v>10585</v>
      </c>
      <c r="E12753" s="3">
        <v>0</v>
      </c>
      <c r="F12753" s="2">
        <v>2412</v>
      </c>
      <c r="G12753" s="2">
        <v>100</v>
      </c>
      <c r="H12753" s="2">
        <v>501</v>
      </c>
      <c r="I12753" s="2">
        <v>1097</v>
      </c>
      <c r="J12753" s="2">
        <v>2599</v>
      </c>
      <c r="K12753" s="2">
        <v>1</v>
      </c>
      <c r="L12753" s="2">
        <v>500</v>
      </c>
    </row>
    <row r="12754" spans="1:12" x14ac:dyDescent="0.25">
      <c r="A12754" s="4" t="str">
        <f>HYPERLINK("http://www.rosaceae.org/Prunus/Prunus_persica/p.persica_gdr_reftransV1_0029326","p.persica_gdr_reftransV1_0029326")</f>
        <v>p.persica_gdr_reftransV1_0029326</v>
      </c>
      <c r="B12754" s="2">
        <v>2645</v>
      </c>
      <c r="C12754" s="4" t="str">
        <f>HYPERLINK("http://www.uniprot.org/uniprot/A0A067GHT2","A0A067GHT2")</f>
        <v>A0A067GHT2</v>
      </c>
      <c r="D12754" s="2" t="s">
        <v>10586</v>
      </c>
      <c r="E12754" s="3">
        <v>2.0199999999999999E-124</v>
      </c>
      <c r="F12754" s="2">
        <v>995</v>
      </c>
      <c r="G12754" s="2">
        <v>73</v>
      </c>
      <c r="H12754" s="2">
        <v>257</v>
      </c>
      <c r="I12754" s="2">
        <v>1712</v>
      </c>
      <c r="J12754" s="2">
        <v>2482</v>
      </c>
      <c r="K12754" s="2">
        <v>1</v>
      </c>
      <c r="L12754" s="2">
        <v>257</v>
      </c>
    </row>
    <row r="12755" spans="1:12" x14ac:dyDescent="0.25">
      <c r="A12755" s="4" t="str">
        <f>HYPERLINK("http://www.rosaceae.org/Prunus/Prunus_persica/p.persica_gdr_reftransV1_0029676","p.persica_gdr_reftransV1_0029676")</f>
        <v>p.persica_gdr_reftransV1_0029676</v>
      </c>
      <c r="B12755" s="2">
        <v>2188</v>
      </c>
      <c r="C12755" s="4" t="str">
        <f>HYPERLINK("http://www.uniprot.org/uniprot/M5W749","M5W749")</f>
        <v>M5W749</v>
      </c>
      <c r="D12755" s="2" t="s">
        <v>10587</v>
      </c>
      <c r="E12755" s="3">
        <v>2.9100000000000002E-76</v>
      </c>
      <c r="F12755" s="2">
        <v>663</v>
      </c>
      <c r="G12755" s="2">
        <v>99</v>
      </c>
      <c r="H12755" s="2">
        <v>125</v>
      </c>
      <c r="I12755" s="2">
        <v>1157</v>
      </c>
      <c r="J12755" s="2">
        <v>1531</v>
      </c>
      <c r="K12755" s="2">
        <v>107</v>
      </c>
      <c r="L12755" s="2">
        <v>231</v>
      </c>
    </row>
    <row r="12756" spans="1:12" x14ac:dyDescent="0.25">
      <c r="A12756" s="4" t="str">
        <f>HYPERLINK("http://www.rosaceae.org/Prunus/Prunus_persica/p.persica_gdr_reftransV1_0030026","p.persica_gdr_reftransV1_0030026")</f>
        <v>p.persica_gdr_reftransV1_0030026</v>
      </c>
      <c r="B12756" s="2">
        <v>1497</v>
      </c>
      <c r="C12756" s="4" t="str">
        <f>HYPERLINK("http://www.uniprot.org/uniprot/M5VXG3","M5VXG3")</f>
        <v>M5VXG3</v>
      </c>
      <c r="D12756" s="2" t="s">
        <v>10588</v>
      </c>
      <c r="E12756" s="3">
        <v>0</v>
      </c>
      <c r="F12756" s="2">
        <v>1470</v>
      </c>
      <c r="G12756" s="2">
        <v>100</v>
      </c>
      <c r="H12756" s="2">
        <v>275</v>
      </c>
      <c r="I12756" s="2">
        <v>421</v>
      </c>
      <c r="J12756" s="2">
        <v>1245</v>
      </c>
      <c r="K12756" s="2">
        <v>1</v>
      </c>
      <c r="L12756" s="2">
        <v>275</v>
      </c>
    </row>
    <row r="12757" spans="1:12" x14ac:dyDescent="0.25">
      <c r="A12757" s="4" t="str">
        <f>HYPERLINK("http://www.rosaceae.org/Prunus/Prunus_persica/p.persica_gdr_reftransV1_0030376","p.persica_gdr_reftransV1_0030376")</f>
        <v>p.persica_gdr_reftransV1_0030376</v>
      </c>
      <c r="B12757" s="2">
        <v>1435</v>
      </c>
      <c r="C12757" s="4" t="str">
        <f>HYPERLINK("http://www.uniprot.org/uniprot/M5X4S7","M5X4S7")</f>
        <v>M5X4S7</v>
      </c>
      <c r="D12757" s="2" t="s">
        <v>10589</v>
      </c>
      <c r="E12757" s="3">
        <v>1.1100000000000001E-152</v>
      </c>
      <c r="F12757" s="2">
        <v>1150</v>
      </c>
      <c r="G12757" s="2">
        <v>100</v>
      </c>
      <c r="H12757" s="2">
        <v>246</v>
      </c>
      <c r="I12757" s="2">
        <v>268</v>
      </c>
      <c r="J12757" s="2">
        <v>1005</v>
      </c>
      <c r="K12757" s="2">
        <v>15</v>
      </c>
      <c r="L12757" s="2">
        <v>260</v>
      </c>
    </row>
    <row r="12758" spans="1:12" x14ac:dyDescent="0.25">
      <c r="A12758" s="4" t="str">
        <f>HYPERLINK("http://www.rosaceae.org/Prunus/Prunus_persica/p.persica_gdr_reftransV1_0031776","p.persica_gdr_reftransV1_0031776")</f>
        <v>p.persica_gdr_reftransV1_0031776</v>
      </c>
      <c r="B12758" s="2">
        <v>4311</v>
      </c>
      <c r="C12758" s="4" t="str">
        <f>HYPERLINK("http://www.uniprot.org/uniprot/M5WQ75","M5WQ75")</f>
        <v>M5WQ75</v>
      </c>
      <c r="D12758" s="2" t="s">
        <v>10590</v>
      </c>
      <c r="E12758" s="3">
        <v>0</v>
      </c>
      <c r="F12758" s="2">
        <v>1887</v>
      </c>
      <c r="G12758" s="2">
        <v>99</v>
      </c>
      <c r="H12758" s="2">
        <v>361</v>
      </c>
      <c r="I12758" s="2">
        <v>2184</v>
      </c>
      <c r="J12758" s="2">
        <v>3266</v>
      </c>
      <c r="K12758" s="2">
        <v>173</v>
      </c>
      <c r="L12758" s="2">
        <v>533</v>
      </c>
    </row>
    <row r="12759" spans="1:12" x14ac:dyDescent="0.25">
      <c r="A12759" s="4" t="str">
        <f>HYPERLINK("http://www.rosaceae.org/Prunus/Prunus_persica/p.persica_gdr_reftransV1_0032126","p.persica_gdr_reftransV1_0032126")</f>
        <v>p.persica_gdr_reftransV1_0032126</v>
      </c>
      <c r="B12759" s="2">
        <v>1585</v>
      </c>
      <c r="C12759" s="4" t="str">
        <f>HYPERLINK("http://www.uniprot.org/uniprot/M5X589","M5X589")</f>
        <v>M5X589</v>
      </c>
      <c r="D12759" s="2" t="s">
        <v>10591</v>
      </c>
      <c r="E12759" s="3">
        <v>0</v>
      </c>
      <c r="F12759" s="2">
        <v>1922</v>
      </c>
      <c r="G12759" s="2">
        <v>100</v>
      </c>
      <c r="H12759" s="2">
        <v>374</v>
      </c>
      <c r="I12759" s="2">
        <v>82</v>
      </c>
      <c r="J12759" s="2">
        <v>1203</v>
      </c>
      <c r="K12759" s="2">
        <v>1</v>
      </c>
      <c r="L12759" s="2">
        <v>374</v>
      </c>
    </row>
    <row r="12760" spans="1:12" x14ac:dyDescent="0.25">
      <c r="A12760" s="4" t="str">
        <f>HYPERLINK("http://www.rosaceae.org/Prunus/Prunus_persica/p.persica_gdr_reftransV1_0033876","p.persica_gdr_reftransV1_0033876")</f>
        <v>p.persica_gdr_reftransV1_0033876</v>
      </c>
      <c r="B12760" s="2">
        <v>3044</v>
      </c>
      <c r="C12760" s="4" t="str">
        <f>HYPERLINK("http://www.uniprot.org/uniprot/M5XQ00","M5XQ00")</f>
        <v>M5XQ00</v>
      </c>
      <c r="D12760" s="2" t="s">
        <v>8403</v>
      </c>
      <c r="E12760" s="3">
        <v>0</v>
      </c>
      <c r="F12760" s="2">
        <v>3153</v>
      </c>
      <c r="G12760" s="2">
        <v>100</v>
      </c>
      <c r="H12760" s="2">
        <v>663</v>
      </c>
      <c r="I12760" s="2">
        <v>872</v>
      </c>
      <c r="J12760" s="2">
        <v>2860</v>
      </c>
      <c r="K12760" s="2">
        <v>1</v>
      </c>
      <c r="L12760" s="2">
        <v>663</v>
      </c>
    </row>
    <row r="12761" spans="1:12" x14ac:dyDescent="0.25">
      <c r="A12761" s="4" t="str">
        <f>HYPERLINK("http://www.rosaceae.org/Prunus/Prunus_persica/p.persica_gdr_reftransV1_0035276","p.persica_gdr_reftransV1_0035276")</f>
        <v>p.persica_gdr_reftransV1_0035276</v>
      </c>
      <c r="B12761" s="2">
        <v>3111</v>
      </c>
      <c r="C12761" s="4" t="str">
        <f>HYPERLINK("http://www.uniprot.org/uniprot/M5WBW0","M5WBW0")</f>
        <v>M5WBW0</v>
      </c>
      <c r="D12761" s="2" t="s">
        <v>10028</v>
      </c>
      <c r="E12761" s="3">
        <v>7.04E-56</v>
      </c>
      <c r="F12761" s="2">
        <v>516</v>
      </c>
      <c r="G12761" s="2">
        <v>92</v>
      </c>
      <c r="H12761" s="2">
        <v>112</v>
      </c>
      <c r="I12761" s="2">
        <v>1610</v>
      </c>
      <c r="J12761" s="2">
        <v>1945</v>
      </c>
      <c r="K12761" s="2">
        <v>18</v>
      </c>
      <c r="L12761" s="2">
        <v>129</v>
      </c>
    </row>
    <row r="12762" spans="1:12" x14ac:dyDescent="0.25">
      <c r="A12762" s="4" t="str">
        <f>HYPERLINK("http://www.rosaceae.org/Prunus/Prunus_persica/p.persica_gdr_reftransV1_0036326","p.persica_gdr_reftransV1_0036326")</f>
        <v>p.persica_gdr_reftransV1_0036326</v>
      </c>
      <c r="B12762" s="2">
        <v>3017</v>
      </c>
      <c r="C12762" s="4" t="str">
        <f>HYPERLINK("http://www.uniprot.org/uniprot/M5WZH4","M5WZH4")</f>
        <v>M5WZH4</v>
      </c>
      <c r="D12762" s="2" t="s">
        <v>10592</v>
      </c>
      <c r="E12762" s="3">
        <v>0</v>
      </c>
      <c r="F12762" s="2">
        <v>1666</v>
      </c>
      <c r="G12762" s="2">
        <v>100</v>
      </c>
      <c r="H12762" s="2">
        <v>311</v>
      </c>
      <c r="I12762" s="2">
        <v>1806</v>
      </c>
      <c r="J12762" s="2">
        <v>2738</v>
      </c>
      <c r="K12762" s="2">
        <v>133</v>
      </c>
      <c r="L12762" s="2">
        <v>443</v>
      </c>
    </row>
    <row r="12763" spans="1:12" x14ac:dyDescent="0.25">
      <c r="A12763" s="4" t="str">
        <f>HYPERLINK("http://www.rosaceae.org/Prunus/Prunus_persica/p.persica_gdr_reftransV1_0038426","p.persica_gdr_reftransV1_0038426")</f>
        <v>p.persica_gdr_reftransV1_0038426</v>
      </c>
      <c r="B12763" s="2">
        <v>1565</v>
      </c>
      <c r="C12763" s="4" t="str">
        <f>HYPERLINK("http://www.uniprot.org/uniprot/M5WG02","M5WG02")</f>
        <v>M5WG02</v>
      </c>
      <c r="D12763" s="2" t="s">
        <v>10593</v>
      </c>
      <c r="E12763" s="3">
        <v>6.24E-165</v>
      </c>
      <c r="F12763" s="2">
        <v>926</v>
      </c>
      <c r="G12763" s="2">
        <v>100</v>
      </c>
      <c r="H12763" s="2">
        <v>189</v>
      </c>
      <c r="I12763" s="2">
        <v>679</v>
      </c>
      <c r="J12763" s="2">
        <v>1245</v>
      </c>
      <c r="K12763" s="2">
        <v>188</v>
      </c>
      <c r="L12763" s="2">
        <v>376</v>
      </c>
    </row>
    <row r="12764" spans="1:12" x14ac:dyDescent="0.25">
      <c r="A12764" s="4" t="str">
        <f>HYPERLINK("http://www.rosaceae.org/Prunus/Prunus_persica/p.persica_gdr_reftransV1_0038776","p.persica_gdr_reftransV1_0038776")</f>
        <v>p.persica_gdr_reftransV1_0038776</v>
      </c>
      <c r="B12764" s="2">
        <v>1769</v>
      </c>
      <c r="C12764" s="4" t="str">
        <f>HYPERLINK("http://www.uniprot.org/uniprot/M5W6H4","M5W6H4")</f>
        <v>M5W6H4</v>
      </c>
      <c r="D12764" s="2" t="s">
        <v>10594</v>
      </c>
      <c r="E12764" s="3">
        <v>0</v>
      </c>
      <c r="F12764" s="2">
        <v>1570</v>
      </c>
      <c r="G12764" s="2">
        <v>99</v>
      </c>
      <c r="H12764" s="2">
        <v>354</v>
      </c>
      <c r="I12764" s="2">
        <v>576</v>
      </c>
      <c r="J12764" s="2">
        <v>1637</v>
      </c>
      <c r="K12764" s="2">
        <v>1</v>
      </c>
      <c r="L12764" s="2">
        <v>353</v>
      </c>
    </row>
    <row r="12765" spans="1:12" x14ac:dyDescent="0.25">
      <c r="A12765" s="4" t="str">
        <f>HYPERLINK("http://www.rosaceae.org/Prunus/Prunus_persica/p.persica_gdr_reftransV1_0039826","p.persica_gdr_reftransV1_0039826")</f>
        <v>p.persica_gdr_reftransV1_0039826</v>
      </c>
      <c r="B12765" s="2">
        <v>766</v>
      </c>
      <c r="C12765" s="4" t="str">
        <f>HYPERLINK("http://www.uniprot.org/uniprot/M5W2H5","M5W2H5")</f>
        <v>M5W2H5</v>
      </c>
      <c r="D12765" s="2" t="s">
        <v>10595</v>
      </c>
      <c r="E12765" s="3">
        <v>6.2100000000000002E-81</v>
      </c>
      <c r="F12765" s="2">
        <v>678</v>
      </c>
      <c r="G12765" s="2">
        <v>100</v>
      </c>
      <c r="H12765" s="2">
        <v>169</v>
      </c>
      <c r="I12765" s="2">
        <v>1</v>
      </c>
      <c r="J12765" s="2">
        <v>507</v>
      </c>
      <c r="K12765" s="2">
        <v>1</v>
      </c>
      <c r="L12765" s="2">
        <v>169</v>
      </c>
    </row>
    <row r="12766" spans="1:12" x14ac:dyDescent="0.25">
      <c r="A12766" s="4" t="str">
        <f>HYPERLINK("http://www.rosaceae.org/Prunus/Prunus_persica/p.persica_gdr_reftransV1_0041926","p.persica_gdr_reftransV1_0041926")</f>
        <v>p.persica_gdr_reftransV1_0041926</v>
      </c>
      <c r="B12766" s="2">
        <v>1369</v>
      </c>
      <c r="C12766" s="4" t="str">
        <f>HYPERLINK("http://www.uniprot.org/uniprot/M5XL35","M5XL35")</f>
        <v>M5XL35</v>
      </c>
      <c r="D12766" s="2" t="s">
        <v>5130</v>
      </c>
      <c r="E12766" s="3">
        <v>1.52E-93</v>
      </c>
      <c r="F12766" s="2">
        <v>744</v>
      </c>
      <c r="G12766" s="2">
        <v>100</v>
      </c>
      <c r="H12766" s="2">
        <v>149</v>
      </c>
      <c r="I12766" s="2">
        <v>703</v>
      </c>
      <c r="J12766" s="2">
        <v>1149</v>
      </c>
      <c r="K12766" s="2">
        <v>1</v>
      </c>
      <c r="L12766" s="2">
        <v>149</v>
      </c>
    </row>
    <row r="12767" spans="1:12" x14ac:dyDescent="0.25">
      <c r="A12767" s="4" t="str">
        <f>HYPERLINK("http://www.rosaceae.org/Prunus/Prunus_persica/p.persica_gdr_reftransV1_0042626","p.persica_gdr_reftransV1_0042626")</f>
        <v>p.persica_gdr_reftransV1_0042626</v>
      </c>
      <c r="B12767" s="2">
        <v>685</v>
      </c>
      <c r="C12767" s="4" t="str">
        <f>HYPERLINK("http://www.uniprot.org/uniprot/M5W549","M5W549")</f>
        <v>M5W549</v>
      </c>
      <c r="D12767" s="2" t="s">
        <v>2814</v>
      </c>
      <c r="E12767" s="3">
        <v>4.3099999999999997E-160</v>
      </c>
      <c r="F12767" s="2">
        <v>1217</v>
      </c>
      <c r="G12767" s="2">
        <v>100</v>
      </c>
      <c r="H12767" s="2">
        <v>227</v>
      </c>
      <c r="I12767" s="2">
        <v>3</v>
      </c>
      <c r="J12767" s="2">
        <v>683</v>
      </c>
      <c r="K12767" s="2">
        <v>451</v>
      </c>
      <c r="L12767" s="2">
        <v>677</v>
      </c>
    </row>
    <row r="12768" spans="1:12" x14ac:dyDescent="0.25">
      <c r="A12768" s="4" t="str">
        <f>HYPERLINK("http://www.rosaceae.org/Prunus/Prunus_persica/p.persica_gdr_reftransV1_0043326","p.persica_gdr_reftransV1_0043326")</f>
        <v>p.persica_gdr_reftransV1_0043326</v>
      </c>
      <c r="B12768" s="2">
        <v>4457</v>
      </c>
      <c r="C12768" s="4" t="str">
        <f>HYPERLINK("http://www.uniprot.org/uniprot/M5VXQ8","M5VXQ8")</f>
        <v>M5VXQ8</v>
      </c>
      <c r="D12768" s="2" t="s">
        <v>10596</v>
      </c>
      <c r="E12768" s="3">
        <v>0</v>
      </c>
      <c r="F12768" s="2">
        <v>6528</v>
      </c>
      <c r="G12768" s="2">
        <v>99</v>
      </c>
      <c r="H12768" s="2">
        <v>1379</v>
      </c>
      <c r="I12768" s="2">
        <v>220</v>
      </c>
      <c r="J12768" s="2">
        <v>4356</v>
      </c>
      <c r="K12768" s="2">
        <v>1</v>
      </c>
      <c r="L12768" s="2">
        <v>1371</v>
      </c>
    </row>
    <row r="12769" spans="1:12" x14ac:dyDescent="0.25">
      <c r="A12769" s="4" t="str">
        <f>HYPERLINK("http://www.rosaceae.org/Prunus/Prunus_persica/p.persica_gdr_reftransV1_0043676","p.persica_gdr_reftransV1_0043676")</f>
        <v>p.persica_gdr_reftransV1_0043676</v>
      </c>
      <c r="B12769" s="2">
        <v>2819</v>
      </c>
      <c r="C12769" s="4" t="str">
        <f>HYPERLINK("http://www.uniprot.org/uniprot/W9SHA7","W9SHA7")</f>
        <v>W9SHA7</v>
      </c>
      <c r="D12769" s="2" t="s">
        <v>10597</v>
      </c>
      <c r="E12769" s="3">
        <v>0</v>
      </c>
      <c r="F12769" s="2">
        <v>3314</v>
      </c>
      <c r="G12769" s="2">
        <v>81</v>
      </c>
      <c r="H12769" s="2">
        <v>797</v>
      </c>
      <c r="I12769" s="2">
        <v>377</v>
      </c>
      <c r="J12769" s="2">
        <v>2728</v>
      </c>
      <c r="K12769" s="2">
        <v>1</v>
      </c>
      <c r="L12769" s="2">
        <v>781</v>
      </c>
    </row>
    <row r="12770" spans="1:12" x14ac:dyDescent="0.25">
      <c r="A12770" s="4" t="str">
        <f>HYPERLINK("http://www.rosaceae.org/Prunus/Prunus_persica/p.persica_gdr_reftransV1_0044026","p.persica_gdr_reftransV1_0044026")</f>
        <v>p.persica_gdr_reftransV1_0044026</v>
      </c>
      <c r="B12770" s="2">
        <v>1400</v>
      </c>
      <c r="C12770" s="4" t="str">
        <f>HYPERLINK("http://www.uniprot.org/uniprot/M5VTK1","M5VTK1")</f>
        <v>M5VTK1</v>
      </c>
      <c r="D12770" s="2" t="s">
        <v>4115</v>
      </c>
      <c r="E12770" s="3">
        <v>0</v>
      </c>
      <c r="F12770" s="2">
        <v>2378</v>
      </c>
      <c r="G12770" s="2">
        <v>100</v>
      </c>
      <c r="H12770" s="2">
        <v>458</v>
      </c>
      <c r="I12770" s="2">
        <v>27</v>
      </c>
      <c r="J12770" s="2">
        <v>1400</v>
      </c>
      <c r="K12770" s="2">
        <v>265</v>
      </c>
      <c r="L12770" s="2">
        <v>722</v>
      </c>
    </row>
    <row r="12771" spans="1:12" x14ac:dyDescent="0.25">
      <c r="A12771" s="4" t="str">
        <f>HYPERLINK("http://www.rosaceae.org/Prunus/Prunus_persica/p.persica_gdr_reftransV1_0044726","p.persica_gdr_reftransV1_0044726")</f>
        <v>p.persica_gdr_reftransV1_0044726</v>
      </c>
      <c r="B12771" s="2">
        <v>1785</v>
      </c>
      <c r="C12771" s="4" t="str">
        <f>HYPERLINK("http://www.uniprot.org/uniprot/M5WCR8","M5WCR8")</f>
        <v>M5WCR8</v>
      </c>
      <c r="D12771" s="2" t="s">
        <v>10598</v>
      </c>
      <c r="E12771" s="3">
        <v>0</v>
      </c>
      <c r="F12771" s="2">
        <v>2514</v>
      </c>
      <c r="G12771" s="2">
        <v>100</v>
      </c>
      <c r="H12771" s="2">
        <v>515</v>
      </c>
      <c r="I12771" s="2">
        <v>126</v>
      </c>
      <c r="J12771" s="2">
        <v>1670</v>
      </c>
      <c r="K12771" s="2">
        <v>1</v>
      </c>
      <c r="L12771" s="2">
        <v>515</v>
      </c>
    </row>
    <row r="12772" spans="1:12" x14ac:dyDescent="0.25">
      <c r="A12772" s="4" t="str">
        <f>HYPERLINK("http://www.rosaceae.org/Prunus/Prunus_persica/p.persica_gdr_reftransV1_0045076","p.persica_gdr_reftransV1_0045076")</f>
        <v>p.persica_gdr_reftransV1_0045076</v>
      </c>
      <c r="B12772" s="2">
        <v>762</v>
      </c>
      <c r="C12772" s="4" t="str">
        <f>HYPERLINK("http://www.uniprot.org/uniprot/M5WAS7","M5WAS7")</f>
        <v>M5WAS7</v>
      </c>
      <c r="D12772" s="2" t="s">
        <v>10599</v>
      </c>
      <c r="E12772" s="3">
        <v>1.72E-79</v>
      </c>
      <c r="F12772" s="2">
        <v>633</v>
      </c>
      <c r="G12772" s="2">
        <v>100</v>
      </c>
      <c r="H12772" s="2">
        <v>158</v>
      </c>
      <c r="I12772" s="2">
        <v>41</v>
      </c>
      <c r="J12772" s="2">
        <v>514</v>
      </c>
      <c r="K12772" s="2">
        <v>1</v>
      </c>
      <c r="L12772" s="2">
        <v>158</v>
      </c>
    </row>
    <row r="12773" spans="1:12" x14ac:dyDescent="0.25">
      <c r="A12773" s="4" t="str">
        <f>HYPERLINK("http://www.rosaceae.org/Prunus/Prunus_persica/p.persica_gdr_reftransV1_0045426","p.persica_gdr_reftransV1_0045426")</f>
        <v>p.persica_gdr_reftransV1_0045426</v>
      </c>
      <c r="B12773" s="2">
        <v>829</v>
      </c>
      <c r="C12773" s="4" t="str">
        <f>HYPERLINK("http://www.uniprot.org/uniprot/M5XJ88","M5XJ88")</f>
        <v>M5XJ88</v>
      </c>
      <c r="D12773" s="2" t="s">
        <v>1338</v>
      </c>
      <c r="E12773" s="3">
        <v>1.18E-42</v>
      </c>
      <c r="F12773" s="2">
        <v>421</v>
      </c>
      <c r="G12773" s="2">
        <v>56</v>
      </c>
      <c r="H12773" s="2">
        <v>149</v>
      </c>
      <c r="I12773" s="2">
        <v>2</v>
      </c>
      <c r="J12773" s="2">
        <v>442</v>
      </c>
      <c r="K12773" s="2">
        <v>521</v>
      </c>
      <c r="L12773" s="2">
        <v>669</v>
      </c>
    </row>
    <row r="12774" spans="1:12" x14ac:dyDescent="0.25">
      <c r="A12774" s="4" t="str">
        <f>HYPERLINK("http://www.rosaceae.org/Prunus/Prunus_persica/p.persica_gdr_reftransV1_0045776","p.persica_gdr_reftransV1_0045776")</f>
        <v>p.persica_gdr_reftransV1_0045776</v>
      </c>
      <c r="B12774" s="2">
        <v>1830</v>
      </c>
      <c r="C12774" s="4" t="str">
        <f>HYPERLINK("http://www.uniprot.org/uniprot/M5W7E7","M5W7E7")</f>
        <v>M5W7E7</v>
      </c>
      <c r="D12774" s="2" t="s">
        <v>1940</v>
      </c>
      <c r="E12774" s="3">
        <v>0</v>
      </c>
      <c r="F12774" s="2">
        <v>2741</v>
      </c>
      <c r="G12774" s="2">
        <v>96</v>
      </c>
      <c r="H12774" s="2">
        <v>528</v>
      </c>
      <c r="I12774" s="2">
        <v>146</v>
      </c>
      <c r="J12774" s="2">
        <v>1729</v>
      </c>
      <c r="K12774" s="2">
        <v>1</v>
      </c>
      <c r="L12774" s="2">
        <v>528</v>
      </c>
    </row>
    <row r="12775" spans="1:12" x14ac:dyDescent="0.25">
      <c r="A12775" s="4" t="str">
        <f>HYPERLINK("http://www.rosaceae.org/Prunus/Prunus_persica/p.persica_gdr_reftransV1_0046126","p.persica_gdr_reftransV1_0046126")</f>
        <v>p.persica_gdr_reftransV1_0046126</v>
      </c>
      <c r="B12775" s="2">
        <v>739</v>
      </c>
      <c r="C12775" s="4" t="str">
        <f>HYPERLINK("http://www.uniprot.org/uniprot/M5WRW6","M5WRW6")</f>
        <v>M5WRW6</v>
      </c>
      <c r="D12775" s="2" t="s">
        <v>10600</v>
      </c>
      <c r="E12775" s="3">
        <v>2.9900000000000001E-92</v>
      </c>
      <c r="F12775" s="2">
        <v>744</v>
      </c>
      <c r="G12775" s="2">
        <v>92</v>
      </c>
      <c r="H12775" s="2">
        <v>173</v>
      </c>
      <c r="I12775" s="2">
        <v>161</v>
      </c>
      <c r="J12775" s="2">
        <v>679</v>
      </c>
      <c r="K12775" s="2">
        <v>1</v>
      </c>
      <c r="L12775" s="2">
        <v>173</v>
      </c>
    </row>
    <row r="12776" spans="1:12" x14ac:dyDescent="0.25">
      <c r="A12776" s="4" t="str">
        <f>HYPERLINK("http://www.rosaceae.org/Prunus/Prunus_persica/p.persica_gdr_reftransV1_0046476","p.persica_gdr_reftransV1_0046476")</f>
        <v>p.persica_gdr_reftransV1_0046476</v>
      </c>
      <c r="B12776" s="2">
        <v>409</v>
      </c>
      <c r="C12776" s="4" t="str">
        <f>HYPERLINK("http://www.uniprot.org/uniprot/M5WT14","M5WT14")</f>
        <v>M5WT14</v>
      </c>
      <c r="D12776" s="2" t="s">
        <v>10601</v>
      </c>
      <c r="E12776" s="3">
        <v>8.9800000000000002E-31</v>
      </c>
      <c r="F12776" s="2">
        <v>292</v>
      </c>
      <c r="G12776" s="2">
        <v>100</v>
      </c>
      <c r="H12776" s="2">
        <v>90</v>
      </c>
      <c r="I12776" s="2">
        <v>138</v>
      </c>
      <c r="J12776" s="2">
        <v>407</v>
      </c>
      <c r="K12776" s="2">
        <v>17</v>
      </c>
      <c r="L12776" s="2">
        <v>106</v>
      </c>
    </row>
    <row r="12777" spans="1:12" x14ac:dyDescent="0.25">
      <c r="A12777" s="4" t="str">
        <f>HYPERLINK("http://www.rosaceae.org/Prunus/Prunus_persica/p.persica_gdr_reftransV1_0046826","p.persica_gdr_reftransV1_0046826")</f>
        <v>p.persica_gdr_reftransV1_0046826</v>
      </c>
      <c r="B12777" s="2">
        <v>646</v>
      </c>
      <c r="C12777" s="4" t="str">
        <f>HYPERLINK("http://www.uniprot.org/uniprot/B9RXK6","B9RXK6")</f>
        <v>B9RXK6</v>
      </c>
      <c r="D12777" s="2" t="s">
        <v>10602</v>
      </c>
      <c r="E12777" s="3">
        <v>1.1800000000000001E-10</v>
      </c>
      <c r="F12777" s="2">
        <v>163</v>
      </c>
      <c r="G12777" s="2">
        <v>52</v>
      </c>
      <c r="H12777" s="2">
        <v>102</v>
      </c>
      <c r="I12777" s="2">
        <v>140</v>
      </c>
      <c r="J12777" s="2">
        <v>418</v>
      </c>
      <c r="K12777" s="2">
        <v>23</v>
      </c>
      <c r="L12777" s="2">
        <v>123</v>
      </c>
    </row>
    <row r="12778" spans="1:12" x14ac:dyDescent="0.25">
      <c r="A12778" s="4" t="str">
        <f>HYPERLINK("http://www.rosaceae.org/Prunus/Prunus_persica/p.persica_gdr_reftransV1_0047526","p.persica_gdr_reftransV1_0047526")</f>
        <v>p.persica_gdr_reftransV1_0047526</v>
      </c>
      <c r="B12778" s="2">
        <v>672</v>
      </c>
      <c r="C12778" s="4" t="str">
        <f>HYPERLINK("http://www.uniprot.org/uniprot/M5WML5","M5WML5")</f>
        <v>M5WML5</v>
      </c>
      <c r="D12778" s="2" t="s">
        <v>1084</v>
      </c>
      <c r="E12778" s="3">
        <v>3.6499999999999998E-125</v>
      </c>
      <c r="F12778" s="2">
        <v>1028</v>
      </c>
      <c r="G12778" s="2">
        <v>100</v>
      </c>
      <c r="H12778" s="2">
        <v>223</v>
      </c>
      <c r="I12778" s="2">
        <v>3</v>
      </c>
      <c r="J12778" s="2">
        <v>671</v>
      </c>
      <c r="K12778" s="2">
        <v>358</v>
      </c>
      <c r="L12778" s="2">
        <v>580</v>
      </c>
    </row>
    <row r="12779" spans="1:12" x14ac:dyDescent="0.25">
      <c r="A12779" s="4" t="str">
        <f>HYPERLINK("http://www.rosaceae.org/Prunus/Prunus_persica/p.persica_gdr_reftransV1_0047876","p.persica_gdr_reftransV1_0047876")</f>
        <v>p.persica_gdr_reftransV1_0047876</v>
      </c>
      <c r="B12779" s="2">
        <v>615</v>
      </c>
      <c r="C12779" s="4" t="str">
        <f>HYPERLINK("http://www.uniprot.org/uniprot/M5XAZ3","M5XAZ3")</f>
        <v>M5XAZ3</v>
      </c>
      <c r="D12779" s="2" t="s">
        <v>7977</v>
      </c>
      <c r="E12779" s="3">
        <v>9.8599999999999996E-74</v>
      </c>
      <c r="F12779" s="2">
        <v>619</v>
      </c>
      <c r="G12779" s="2">
        <v>100</v>
      </c>
      <c r="H12779" s="2">
        <v>117</v>
      </c>
      <c r="I12779" s="2">
        <v>1</v>
      </c>
      <c r="J12779" s="2">
        <v>351</v>
      </c>
      <c r="K12779" s="2">
        <v>406</v>
      </c>
      <c r="L12779" s="2">
        <v>522</v>
      </c>
    </row>
    <row r="12780" spans="1:12" x14ac:dyDescent="0.25">
      <c r="A12780" s="4" t="str">
        <f>HYPERLINK("http://www.rosaceae.org/Prunus/Prunus_persica/p.persica_gdr_reftransV1_0048226","p.persica_gdr_reftransV1_0048226")</f>
        <v>p.persica_gdr_reftransV1_0048226</v>
      </c>
      <c r="B12780" s="2">
        <v>1963</v>
      </c>
      <c r="C12780" s="4" t="str">
        <f>HYPERLINK("http://www.uniprot.org/uniprot/M5X624","M5X624")</f>
        <v>M5X624</v>
      </c>
      <c r="D12780" s="2" t="s">
        <v>1422</v>
      </c>
      <c r="E12780" s="3">
        <v>0</v>
      </c>
      <c r="F12780" s="2">
        <v>1766</v>
      </c>
      <c r="G12780" s="2">
        <v>99</v>
      </c>
      <c r="H12780" s="2">
        <v>340</v>
      </c>
      <c r="I12780" s="2">
        <v>833</v>
      </c>
      <c r="J12780" s="2">
        <v>1852</v>
      </c>
      <c r="K12780" s="2">
        <v>807</v>
      </c>
      <c r="L12780" s="2">
        <v>1146</v>
      </c>
    </row>
    <row r="12781" spans="1:12" x14ac:dyDescent="0.25">
      <c r="A12781" s="4" t="str">
        <f>HYPERLINK("http://www.rosaceae.org/Prunus/Prunus_persica/p.persica_gdr_reftransV1_0048576","p.persica_gdr_reftransV1_0048576")</f>
        <v>p.persica_gdr_reftransV1_0048576</v>
      </c>
      <c r="B12781" s="2">
        <v>1529</v>
      </c>
      <c r="C12781" s="4" t="str">
        <f>HYPERLINK("http://www.uniprot.org/uniprot/M5WU50","M5WU50")</f>
        <v>M5WU50</v>
      </c>
      <c r="D12781" s="2" t="s">
        <v>10603</v>
      </c>
      <c r="E12781" s="3">
        <v>0</v>
      </c>
      <c r="F12781" s="2">
        <v>1652</v>
      </c>
      <c r="G12781" s="2">
        <v>100</v>
      </c>
      <c r="H12781" s="2">
        <v>318</v>
      </c>
      <c r="I12781" s="2">
        <v>370</v>
      </c>
      <c r="J12781" s="2">
        <v>1323</v>
      </c>
      <c r="K12781" s="2">
        <v>1</v>
      </c>
      <c r="L12781" s="2">
        <v>318</v>
      </c>
    </row>
    <row r="12782" spans="1:12" x14ac:dyDescent="0.25">
      <c r="A12782" s="4" t="str">
        <f>HYPERLINK("http://www.rosaceae.org/Prunus/Prunus_persica/p.persica_gdr_reftransV1_0048926","p.persica_gdr_reftransV1_0048926")</f>
        <v>p.persica_gdr_reftransV1_0048926</v>
      </c>
      <c r="B12782" s="2">
        <v>2399</v>
      </c>
      <c r="C12782" s="4" t="str">
        <f>HYPERLINK("http://www.uniprot.org/uniprot/X2G6I9","X2G6I9")</f>
        <v>X2G6I9</v>
      </c>
      <c r="D12782" s="2" t="s">
        <v>4141</v>
      </c>
      <c r="E12782" s="3">
        <v>0</v>
      </c>
      <c r="F12782" s="2">
        <v>1691</v>
      </c>
      <c r="G12782" s="2">
        <v>100</v>
      </c>
      <c r="H12782" s="2">
        <v>369</v>
      </c>
      <c r="I12782" s="2">
        <v>975</v>
      </c>
      <c r="J12782" s="2">
        <v>2081</v>
      </c>
      <c r="K12782" s="2">
        <v>1366</v>
      </c>
      <c r="L12782" s="2">
        <v>1734</v>
      </c>
    </row>
    <row r="12783" spans="1:12" x14ac:dyDescent="0.25">
      <c r="A12783" s="4" t="str">
        <f>HYPERLINK("http://www.rosaceae.org/Prunus/Prunus_persica/p.persica_gdr_reftransV1_0000277","p.persica_gdr_reftransV1_0000277")</f>
        <v>p.persica_gdr_reftransV1_0000277</v>
      </c>
      <c r="B12783" s="2">
        <v>1025</v>
      </c>
      <c r="C12783" s="4" t="str">
        <f>HYPERLINK("http://www.uniprot.org/uniprot/M5VYQ4","M5VYQ4")</f>
        <v>M5VYQ4</v>
      </c>
      <c r="D12783" s="2" t="s">
        <v>10604</v>
      </c>
      <c r="E12783" s="3">
        <v>7.1499999999999997E-58</v>
      </c>
      <c r="F12783" s="2">
        <v>515</v>
      </c>
      <c r="G12783" s="2">
        <v>100</v>
      </c>
      <c r="H12783" s="2">
        <v>130</v>
      </c>
      <c r="I12783" s="2">
        <v>572</v>
      </c>
      <c r="J12783" s="2">
        <v>961</v>
      </c>
      <c r="K12783" s="2">
        <v>1</v>
      </c>
      <c r="L12783" s="2">
        <v>130</v>
      </c>
    </row>
    <row r="12784" spans="1:12" x14ac:dyDescent="0.25">
      <c r="A12784" s="4" t="str">
        <f>HYPERLINK("http://www.rosaceae.org/Prunus/Prunus_persica/p.persica_gdr_reftransV1_0000627","p.persica_gdr_reftransV1_0000627")</f>
        <v>p.persica_gdr_reftransV1_0000627</v>
      </c>
      <c r="B12784" s="2">
        <v>2202</v>
      </c>
      <c r="C12784" s="4" t="str">
        <f>HYPERLINK("http://www.uniprot.org/uniprot/M5X2P4","M5X2P4")</f>
        <v>M5X2P4</v>
      </c>
      <c r="D12784" s="2" t="s">
        <v>4276</v>
      </c>
      <c r="E12784" s="3">
        <v>0</v>
      </c>
      <c r="F12784" s="2">
        <v>2869</v>
      </c>
      <c r="G12784" s="2">
        <v>100</v>
      </c>
      <c r="H12784" s="2">
        <v>534</v>
      </c>
      <c r="I12784" s="2">
        <v>246</v>
      </c>
      <c r="J12784" s="2">
        <v>1847</v>
      </c>
      <c r="K12784" s="2">
        <v>1</v>
      </c>
      <c r="L12784" s="2">
        <v>534</v>
      </c>
    </row>
    <row r="12785" spans="1:12" x14ac:dyDescent="0.25">
      <c r="A12785" s="4" t="str">
        <f>HYPERLINK("http://www.rosaceae.org/Prunus/Prunus_persica/p.persica_gdr_reftransV1_0001327","p.persica_gdr_reftransV1_0001327")</f>
        <v>p.persica_gdr_reftransV1_0001327</v>
      </c>
      <c r="B12785" s="2">
        <v>1311</v>
      </c>
      <c r="C12785" s="4" t="str">
        <f>HYPERLINK("http://www.uniprot.org/uniprot/M5VXE2","M5VXE2")</f>
        <v>M5VXE2</v>
      </c>
      <c r="D12785" s="2" t="s">
        <v>10605</v>
      </c>
      <c r="E12785" s="3">
        <v>2.3900000000000001E-156</v>
      </c>
      <c r="F12785" s="2">
        <v>1166</v>
      </c>
      <c r="G12785" s="2">
        <v>100</v>
      </c>
      <c r="H12785" s="2">
        <v>225</v>
      </c>
      <c r="I12785" s="2">
        <v>525</v>
      </c>
      <c r="J12785" s="2">
        <v>1199</v>
      </c>
      <c r="K12785" s="2">
        <v>1</v>
      </c>
      <c r="L12785" s="2">
        <v>225</v>
      </c>
    </row>
    <row r="12786" spans="1:12" x14ac:dyDescent="0.25">
      <c r="A12786" s="4" t="str">
        <f>HYPERLINK("http://www.rosaceae.org/Prunus/Prunus_persica/p.persica_gdr_reftransV1_0001677","p.persica_gdr_reftransV1_0001677")</f>
        <v>p.persica_gdr_reftransV1_0001677</v>
      </c>
      <c r="B12786" s="2">
        <v>795</v>
      </c>
      <c r="C12786" s="4" t="str">
        <f>HYPERLINK("http://www.uniprot.org/uniprot/M5VRG8","M5VRG8")</f>
        <v>M5VRG8</v>
      </c>
      <c r="D12786" s="2" t="s">
        <v>10606</v>
      </c>
      <c r="E12786" s="3">
        <v>2.7499999999999998E-91</v>
      </c>
      <c r="F12786" s="2">
        <v>709</v>
      </c>
      <c r="G12786" s="2">
        <v>100</v>
      </c>
      <c r="H12786" s="2">
        <v>134</v>
      </c>
      <c r="I12786" s="2">
        <v>47</v>
      </c>
      <c r="J12786" s="2">
        <v>448</v>
      </c>
      <c r="K12786" s="2">
        <v>1</v>
      </c>
      <c r="L12786" s="2">
        <v>134</v>
      </c>
    </row>
    <row r="12787" spans="1:12" x14ac:dyDescent="0.25">
      <c r="A12787" s="4" t="str">
        <f>HYPERLINK("http://www.rosaceae.org/Prunus/Prunus_persica/p.persica_gdr_reftransV1_0002027","p.persica_gdr_reftransV1_0002027")</f>
        <v>p.persica_gdr_reftransV1_0002027</v>
      </c>
      <c r="B12787" s="2">
        <v>339</v>
      </c>
      <c r="C12787" s="4" t="str">
        <f>HYPERLINK("http://www.uniprot.org/uniprot/A0A0D2XUS2","A0A0D2XUS2")</f>
        <v>A0A0D2XUS2</v>
      </c>
      <c r="D12787" s="2" t="s">
        <v>10607</v>
      </c>
      <c r="E12787" s="3">
        <v>3.7300000000000003E-48</v>
      </c>
      <c r="F12787" s="2">
        <v>422</v>
      </c>
      <c r="G12787" s="2">
        <v>100</v>
      </c>
      <c r="H12787" s="2">
        <v>79</v>
      </c>
      <c r="I12787" s="2">
        <v>103</v>
      </c>
      <c r="J12787" s="2">
        <v>339</v>
      </c>
      <c r="K12787" s="2">
        <v>1</v>
      </c>
      <c r="L12787" s="2">
        <v>79</v>
      </c>
    </row>
    <row r="12788" spans="1:12" x14ac:dyDescent="0.25">
      <c r="A12788" s="4" t="str">
        <f>HYPERLINK("http://www.rosaceae.org/Prunus/Prunus_persica/p.persica_gdr_reftransV1_0002727","p.persica_gdr_reftransV1_0002727")</f>
        <v>p.persica_gdr_reftransV1_0002727</v>
      </c>
      <c r="B12788" s="2">
        <v>1688</v>
      </c>
      <c r="C12788" s="4" t="str">
        <f>HYPERLINK("http://www.uniprot.org/uniprot/M5WCS1","M5WCS1")</f>
        <v>M5WCS1</v>
      </c>
      <c r="D12788" s="2" t="s">
        <v>10608</v>
      </c>
      <c r="E12788" s="3">
        <v>6.1200000000000001E-152</v>
      </c>
      <c r="F12788" s="2">
        <v>1148</v>
      </c>
      <c r="G12788" s="2">
        <v>100</v>
      </c>
      <c r="H12788" s="2">
        <v>216</v>
      </c>
      <c r="I12788" s="2">
        <v>667</v>
      </c>
      <c r="J12788" s="2">
        <v>1314</v>
      </c>
      <c r="K12788" s="2">
        <v>1</v>
      </c>
      <c r="L12788" s="2">
        <v>216</v>
      </c>
    </row>
    <row r="12789" spans="1:12" x14ac:dyDescent="0.25">
      <c r="A12789" s="4" t="str">
        <f>HYPERLINK("http://www.rosaceae.org/Prunus/Prunus_persica/p.persica_gdr_reftransV1_0003077","p.persica_gdr_reftransV1_0003077")</f>
        <v>p.persica_gdr_reftransV1_0003077</v>
      </c>
      <c r="B12789" s="2">
        <v>582</v>
      </c>
      <c r="C12789" s="4" t="str">
        <f>HYPERLINK("http://www.uniprot.org/uniprot/W9QZN7","W9QZN7")</f>
        <v>W9QZN7</v>
      </c>
      <c r="D12789" s="2" t="s">
        <v>10609</v>
      </c>
      <c r="E12789" s="3">
        <v>1.6800000000000001E-88</v>
      </c>
      <c r="F12789" s="2">
        <v>725</v>
      </c>
      <c r="G12789" s="2">
        <v>71</v>
      </c>
      <c r="H12789" s="2">
        <v>185</v>
      </c>
      <c r="I12789" s="2">
        <v>7</v>
      </c>
      <c r="J12789" s="2">
        <v>561</v>
      </c>
      <c r="K12789" s="2">
        <v>5</v>
      </c>
      <c r="L12789" s="2">
        <v>189</v>
      </c>
    </row>
    <row r="12790" spans="1:12" x14ac:dyDescent="0.25">
      <c r="A12790" s="4" t="str">
        <f>HYPERLINK("http://www.rosaceae.org/Prunus/Prunus_persica/p.persica_gdr_reftransV1_0003427","p.persica_gdr_reftransV1_0003427")</f>
        <v>p.persica_gdr_reftransV1_0003427</v>
      </c>
      <c r="B12790" s="2">
        <v>2156</v>
      </c>
      <c r="C12790" s="4" t="str">
        <f>HYPERLINK("http://www.uniprot.org/uniprot/M5XES0","M5XES0")</f>
        <v>M5XES0</v>
      </c>
      <c r="D12790" s="2" t="s">
        <v>1497</v>
      </c>
      <c r="E12790" s="3">
        <v>0</v>
      </c>
      <c r="F12790" s="2">
        <v>1452</v>
      </c>
      <c r="G12790" s="2">
        <v>100</v>
      </c>
      <c r="H12790" s="2">
        <v>290</v>
      </c>
      <c r="I12790" s="2">
        <v>410</v>
      </c>
      <c r="J12790" s="2">
        <v>1279</v>
      </c>
      <c r="K12790" s="2">
        <v>1</v>
      </c>
      <c r="L12790" s="2">
        <v>290</v>
      </c>
    </row>
    <row r="12791" spans="1:12" x14ac:dyDescent="0.25">
      <c r="A12791" s="4" t="str">
        <f>HYPERLINK("http://www.rosaceae.org/Prunus/Prunus_persica/p.persica_gdr_reftransV1_0003777","p.persica_gdr_reftransV1_0003777")</f>
        <v>p.persica_gdr_reftransV1_0003777</v>
      </c>
      <c r="B12791" s="2">
        <v>2031</v>
      </c>
      <c r="C12791" s="4" t="str">
        <f>HYPERLINK("http://www.uniprot.org/uniprot/M5XG25","M5XG25")</f>
        <v>M5XG25</v>
      </c>
      <c r="D12791" s="2" t="s">
        <v>10610</v>
      </c>
      <c r="E12791" s="3">
        <v>0</v>
      </c>
      <c r="F12791" s="2">
        <v>1805</v>
      </c>
      <c r="G12791" s="2">
        <v>100</v>
      </c>
      <c r="H12791" s="2">
        <v>451</v>
      </c>
      <c r="I12791" s="2">
        <v>552</v>
      </c>
      <c r="J12791" s="2">
        <v>1904</v>
      </c>
      <c r="K12791" s="2">
        <v>29</v>
      </c>
      <c r="L12791" s="2">
        <v>479</v>
      </c>
    </row>
    <row r="12792" spans="1:12" x14ac:dyDescent="0.25">
      <c r="A12792" s="4" t="str">
        <f>HYPERLINK("http://www.rosaceae.org/Prunus/Prunus_persica/p.persica_gdr_reftransV1_0004127","p.persica_gdr_reftransV1_0004127")</f>
        <v>p.persica_gdr_reftransV1_0004127</v>
      </c>
      <c r="B12792" s="2">
        <v>922</v>
      </c>
      <c r="C12792" s="4" t="str">
        <f>HYPERLINK("http://www.uniprot.org/uniprot/M5XNX6","M5XNX6")</f>
        <v>M5XNX6</v>
      </c>
      <c r="D12792" s="2" t="s">
        <v>7504</v>
      </c>
      <c r="E12792" s="3">
        <v>3.5000000000000002E-115</v>
      </c>
      <c r="F12792" s="2">
        <v>880</v>
      </c>
      <c r="G12792" s="2">
        <v>89</v>
      </c>
      <c r="H12792" s="2">
        <v>244</v>
      </c>
      <c r="I12792" s="2">
        <v>60</v>
      </c>
      <c r="J12792" s="2">
        <v>791</v>
      </c>
      <c r="K12792" s="2">
        <v>1</v>
      </c>
      <c r="L12792" s="2">
        <v>217</v>
      </c>
    </row>
    <row r="12793" spans="1:12" x14ac:dyDescent="0.25">
      <c r="A12793" s="4" t="str">
        <f>HYPERLINK("http://www.rosaceae.org/Prunus/Prunus_persica/p.persica_gdr_reftransV1_0004477","p.persica_gdr_reftransV1_0004477")</f>
        <v>p.persica_gdr_reftransV1_0004477</v>
      </c>
      <c r="B12793" s="2">
        <v>1485</v>
      </c>
      <c r="C12793" s="4" t="str">
        <f>HYPERLINK("http://www.uniprot.org/uniprot/M5VRA4","M5VRA4")</f>
        <v>M5VRA4</v>
      </c>
      <c r="D12793" s="2" t="s">
        <v>10611</v>
      </c>
      <c r="E12793" s="3">
        <v>5.4199999999999999E-156</v>
      </c>
      <c r="F12793" s="2">
        <v>1182</v>
      </c>
      <c r="G12793" s="2">
        <v>97</v>
      </c>
      <c r="H12793" s="2">
        <v>229</v>
      </c>
      <c r="I12793" s="2">
        <v>193</v>
      </c>
      <c r="J12793" s="2">
        <v>879</v>
      </c>
      <c r="K12793" s="2">
        <v>117</v>
      </c>
      <c r="L12793" s="2">
        <v>345</v>
      </c>
    </row>
    <row r="12794" spans="1:12" x14ac:dyDescent="0.25">
      <c r="A12794" s="4" t="str">
        <f>HYPERLINK("http://www.rosaceae.org/Prunus/Prunus_persica/p.persica_gdr_reftransV1_0005877","p.persica_gdr_reftransV1_0005877")</f>
        <v>p.persica_gdr_reftransV1_0005877</v>
      </c>
      <c r="B12794" s="2">
        <v>1655</v>
      </c>
      <c r="C12794" s="4" t="str">
        <f>HYPERLINK("http://www.uniprot.org/uniprot/M5W4R1","M5W4R1")</f>
        <v>M5W4R1</v>
      </c>
      <c r="D12794" s="2" t="s">
        <v>10612</v>
      </c>
      <c r="E12794" s="3">
        <v>0</v>
      </c>
      <c r="F12794" s="2">
        <v>1927</v>
      </c>
      <c r="G12794" s="2">
        <v>93</v>
      </c>
      <c r="H12794" s="2">
        <v>396</v>
      </c>
      <c r="I12794" s="2">
        <v>313</v>
      </c>
      <c r="J12794" s="2">
        <v>1494</v>
      </c>
      <c r="K12794" s="2">
        <v>3</v>
      </c>
      <c r="L12794" s="2">
        <v>394</v>
      </c>
    </row>
    <row r="12795" spans="1:12" x14ac:dyDescent="0.25">
      <c r="A12795" s="4" t="str">
        <f>HYPERLINK("http://www.rosaceae.org/Prunus/Prunus_persica/p.persica_gdr_reftransV1_0006227","p.persica_gdr_reftransV1_0006227")</f>
        <v>p.persica_gdr_reftransV1_0006227</v>
      </c>
      <c r="B12795" s="2">
        <v>422</v>
      </c>
      <c r="C12795" s="4" t="str">
        <f>HYPERLINK("http://www.uniprot.org/uniprot/M5XLC3","M5XLC3")</f>
        <v>M5XLC3</v>
      </c>
      <c r="D12795" s="2" t="s">
        <v>10613</v>
      </c>
      <c r="E12795" s="3">
        <v>1.2599999999999999E-54</v>
      </c>
      <c r="F12795" s="2">
        <v>452</v>
      </c>
      <c r="G12795" s="2">
        <v>100</v>
      </c>
      <c r="H12795" s="2">
        <v>86</v>
      </c>
      <c r="I12795" s="2">
        <v>85</v>
      </c>
      <c r="J12795" s="2">
        <v>342</v>
      </c>
      <c r="K12795" s="2">
        <v>25</v>
      </c>
      <c r="L12795" s="2">
        <v>110</v>
      </c>
    </row>
    <row r="12796" spans="1:12" x14ac:dyDescent="0.25">
      <c r="A12796" s="4" t="str">
        <f>HYPERLINK("http://www.rosaceae.org/Prunus/Prunus_persica/p.persica_gdr_reftransV1_0006577","p.persica_gdr_reftransV1_0006577")</f>
        <v>p.persica_gdr_reftransV1_0006577</v>
      </c>
      <c r="B12796" s="2">
        <v>1051</v>
      </c>
      <c r="C12796" s="4" t="str">
        <f>HYPERLINK("http://www.uniprot.org/uniprot/M5Y9V9","M5Y9V9")</f>
        <v>M5Y9V9</v>
      </c>
      <c r="D12796" s="2" t="s">
        <v>10614</v>
      </c>
      <c r="E12796" s="3">
        <v>1.3E-104</v>
      </c>
      <c r="F12796" s="2">
        <v>809</v>
      </c>
      <c r="G12796" s="2">
        <v>99</v>
      </c>
      <c r="H12796" s="2">
        <v>160</v>
      </c>
      <c r="I12796" s="2">
        <v>149</v>
      </c>
      <c r="J12796" s="2">
        <v>628</v>
      </c>
      <c r="K12796" s="2">
        <v>1</v>
      </c>
      <c r="L12796" s="2">
        <v>160</v>
      </c>
    </row>
    <row r="12797" spans="1:12" x14ac:dyDescent="0.25">
      <c r="A12797" s="4" t="str">
        <f>HYPERLINK("http://www.rosaceae.org/Prunus/Prunus_persica/p.persica_gdr_reftransV1_0006927","p.persica_gdr_reftransV1_0006927")</f>
        <v>p.persica_gdr_reftransV1_0006927</v>
      </c>
      <c r="B12797" s="2">
        <v>666</v>
      </c>
      <c r="C12797" s="4" t="str">
        <f>HYPERLINK("http://www.uniprot.org/uniprot/M5WF37","M5WF37")</f>
        <v>M5WF37</v>
      </c>
      <c r="D12797" s="2" t="s">
        <v>10615</v>
      </c>
      <c r="E12797" s="3">
        <v>2.3300000000000001E-80</v>
      </c>
      <c r="F12797" s="2">
        <v>640</v>
      </c>
      <c r="G12797" s="2">
        <v>100</v>
      </c>
      <c r="H12797" s="2">
        <v>137</v>
      </c>
      <c r="I12797" s="2">
        <v>41</v>
      </c>
      <c r="J12797" s="2">
        <v>451</v>
      </c>
      <c r="K12797" s="2">
        <v>78</v>
      </c>
      <c r="L12797" s="2">
        <v>214</v>
      </c>
    </row>
    <row r="12798" spans="1:12" x14ac:dyDescent="0.25">
      <c r="A12798" s="4" t="str">
        <f>HYPERLINK("http://www.rosaceae.org/Prunus/Prunus_persica/p.persica_gdr_reftransV1_0007627","p.persica_gdr_reftransV1_0007627")</f>
        <v>p.persica_gdr_reftransV1_0007627</v>
      </c>
      <c r="B12798" s="2">
        <v>1026</v>
      </c>
      <c r="C12798" s="4" t="str">
        <f>HYPERLINK("http://www.uniprot.org/uniprot/M5W0C9","M5W0C9")</f>
        <v>M5W0C9</v>
      </c>
      <c r="D12798" s="2" t="s">
        <v>10616</v>
      </c>
      <c r="E12798" s="3">
        <v>2.1700000000000002E-127</v>
      </c>
      <c r="F12798" s="2">
        <v>961</v>
      </c>
      <c r="G12798" s="2">
        <v>100</v>
      </c>
      <c r="H12798" s="2">
        <v>185</v>
      </c>
      <c r="I12798" s="2">
        <v>194</v>
      </c>
      <c r="J12798" s="2">
        <v>748</v>
      </c>
      <c r="K12798" s="2">
        <v>1</v>
      </c>
      <c r="L12798" s="2">
        <v>185</v>
      </c>
    </row>
    <row r="12799" spans="1:12" x14ac:dyDescent="0.25">
      <c r="A12799" s="4" t="str">
        <f>HYPERLINK("http://www.rosaceae.org/Prunus/Prunus_persica/p.persica_gdr_reftransV1_0008677","p.persica_gdr_reftransV1_0008677")</f>
        <v>p.persica_gdr_reftransV1_0008677</v>
      </c>
      <c r="B12799" s="2">
        <v>317</v>
      </c>
      <c r="C12799" s="4" t="str">
        <f>HYPERLINK("http://www.uniprot.org/uniprot/M5WJY7","M5WJY7")</f>
        <v>M5WJY7</v>
      </c>
      <c r="D12799" s="2" t="s">
        <v>6960</v>
      </c>
      <c r="E12799" s="3">
        <v>2.1399999999999998E-64</v>
      </c>
      <c r="F12799" s="2">
        <v>555</v>
      </c>
      <c r="G12799" s="2">
        <v>100</v>
      </c>
      <c r="H12799" s="2">
        <v>105</v>
      </c>
      <c r="I12799" s="2">
        <v>1</v>
      </c>
      <c r="J12799" s="2">
        <v>315</v>
      </c>
      <c r="K12799" s="2">
        <v>47</v>
      </c>
      <c r="L12799" s="2">
        <v>151</v>
      </c>
    </row>
    <row r="12800" spans="1:12" x14ac:dyDescent="0.25">
      <c r="A12800" s="4" t="str">
        <f>HYPERLINK("http://www.rosaceae.org/Prunus/Prunus_persica/p.persica_gdr_reftransV1_0009727","p.persica_gdr_reftransV1_0009727")</f>
        <v>p.persica_gdr_reftransV1_0009727</v>
      </c>
      <c r="B12800" s="2">
        <v>2312</v>
      </c>
      <c r="C12800" s="4" t="str">
        <f>HYPERLINK("http://www.uniprot.org/uniprot/M5WUY2","M5WUY2")</f>
        <v>M5WUY2</v>
      </c>
      <c r="D12800" s="2" t="s">
        <v>10617</v>
      </c>
      <c r="E12800" s="3">
        <v>0</v>
      </c>
      <c r="F12800" s="2">
        <v>2499</v>
      </c>
      <c r="G12800" s="2">
        <v>100</v>
      </c>
      <c r="H12800" s="2">
        <v>529</v>
      </c>
      <c r="I12800" s="2">
        <v>474</v>
      </c>
      <c r="J12800" s="2">
        <v>2060</v>
      </c>
      <c r="K12800" s="2">
        <v>1</v>
      </c>
      <c r="L12800" s="2">
        <v>529</v>
      </c>
    </row>
    <row r="12801" spans="1:12" x14ac:dyDescent="0.25">
      <c r="A12801" s="4" t="str">
        <f>HYPERLINK("http://www.rosaceae.org/Prunus/Prunus_persica/p.persica_gdr_reftransV1_0010077","p.persica_gdr_reftransV1_0010077")</f>
        <v>p.persica_gdr_reftransV1_0010077</v>
      </c>
      <c r="B12801" s="2">
        <v>1100</v>
      </c>
      <c r="C12801" s="4" t="str">
        <f>HYPERLINK("http://www.uniprot.org/uniprot/M5VKJ5","M5VKJ5")</f>
        <v>M5VKJ5</v>
      </c>
      <c r="D12801" s="2" t="s">
        <v>10618</v>
      </c>
      <c r="E12801" s="3">
        <v>2.1500000000000001E-176</v>
      </c>
      <c r="F12801" s="2">
        <v>1300</v>
      </c>
      <c r="G12801" s="2">
        <v>100</v>
      </c>
      <c r="H12801" s="2">
        <v>282</v>
      </c>
      <c r="I12801" s="2">
        <v>253</v>
      </c>
      <c r="J12801" s="2">
        <v>1098</v>
      </c>
      <c r="K12801" s="2">
        <v>36</v>
      </c>
      <c r="L12801" s="2">
        <v>317</v>
      </c>
    </row>
    <row r="12802" spans="1:12" x14ac:dyDescent="0.25">
      <c r="A12802" s="4" t="str">
        <f>HYPERLINK("http://www.rosaceae.org/Prunus/Prunus_persica/p.persica_gdr_reftransV1_0012527","p.persica_gdr_reftransV1_0012527")</f>
        <v>p.persica_gdr_reftransV1_0012527</v>
      </c>
      <c r="B12802" s="2">
        <v>1486</v>
      </c>
      <c r="C12802" s="4" t="str">
        <f>HYPERLINK("http://www.uniprot.org/uniprot/M5W7R3","M5W7R3")</f>
        <v>M5W7R3</v>
      </c>
      <c r="D12802" s="2" t="s">
        <v>9796</v>
      </c>
      <c r="E12802" s="3">
        <v>0</v>
      </c>
      <c r="F12802" s="2">
        <v>1987</v>
      </c>
      <c r="G12802" s="2">
        <v>100</v>
      </c>
      <c r="H12802" s="2">
        <v>383</v>
      </c>
      <c r="I12802" s="2">
        <v>3</v>
      </c>
      <c r="J12802" s="2">
        <v>1151</v>
      </c>
      <c r="K12802" s="2">
        <v>151</v>
      </c>
      <c r="L12802" s="2">
        <v>533</v>
      </c>
    </row>
    <row r="12803" spans="1:12" x14ac:dyDescent="0.25">
      <c r="A12803" s="4" t="str">
        <f>HYPERLINK("http://www.rosaceae.org/Prunus/Prunus_persica/p.persica_gdr_reftransV1_0012877","p.persica_gdr_reftransV1_0012877")</f>
        <v>p.persica_gdr_reftransV1_0012877</v>
      </c>
      <c r="B12803" s="2">
        <v>1930</v>
      </c>
      <c r="C12803" s="4" t="str">
        <f>HYPERLINK("http://www.uniprot.org/uniprot/M5X5R7","M5X5R7")</f>
        <v>M5X5R7</v>
      </c>
      <c r="D12803" s="2" t="s">
        <v>10619</v>
      </c>
      <c r="E12803" s="3">
        <v>6.6700000000000006E-101</v>
      </c>
      <c r="F12803" s="2">
        <v>826</v>
      </c>
      <c r="G12803" s="2">
        <v>99</v>
      </c>
      <c r="H12803" s="2">
        <v>168</v>
      </c>
      <c r="I12803" s="2">
        <v>283</v>
      </c>
      <c r="J12803" s="2">
        <v>786</v>
      </c>
      <c r="K12803" s="2">
        <v>1</v>
      </c>
      <c r="L12803" s="2">
        <v>168</v>
      </c>
    </row>
    <row r="12804" spans="1:12" x14ac:dyDescent="0.25">
      <c r="A12804" s="4" t="str">
        <f>HYPERLINK("http://www.rosaceae.org/Prunus/Prunus_persica/p.persica_gdr_reftransV1_0014277","p.persica_gdr_reftransV1_0014277")</f>
        <v>p.persica_gdr_reftransV1_0014277</v>
      </c>
      <c r="B12804" s="2">
        <v>1799</v>
      </c>
      <c r="C12804" s="4" t="str">
        <f>HYPERLINK("http://www.uniprot.org/uniprot/M5XCU1","M5XCU1")</f>
        <v>M5XCU1</v>
      </c>
      <c r="D12804" s="2" t="s">
        <v>10620</v>
      </c>
      <c r="E12804" s="3">
        <v>0</v>
      </c>
      <c r="F12804" s="2">
        <v>1643</v>
      </c>
      <c r="G12804" s="2">
        <v>99</v>
      </c>
      <c r="H12804" s="2">
        <v>369</v>
      </c>
      <c r="I12804" s="2">
        <v>559</v>
      </c>
      <c r="J12804" s="2">
        <v>1665</v>
      </c>
      <c r="K12804" s="2">
        <v>1</v>
      </c>
      <c r="L12804" s="2">
        <v>369</v>
      </c>
    </row>
    <row r="12805" spans="1:12" x14ac:dyDescent="0.25">
      <c r="A12805" s="4" t="str">
        <f>HYPERLINK("http://www.rosaceae.org/Prunus/Prunus_persica/p.persica_gdr_reftransV1_0016377","p.persica_gdr_reftransV1_0016377")</f>
        <v>p.persica_gdr_reftransV1_0016377</v>
      </c>
      <c r="B12805" s="2">
        <v>2584</v>
      </c>
      <c r="C12805" s="4" t="str">
        <f>HYPERLINK("http://www.uniprot.org/uniprot/M5VNX5","M5VNX5")</f>
        <v>M5VNX5</v>
      </c>
      <c r="D12805" s="2" t="s">
        <v>10621</v>
      </c>
      <c r="E12805" s="3">
        <v>0</v>
      </c>
      <c r="F12805" s="2">
        <v>3054</v>
      </c>
      <c r="G12805" s="2">
        <v>92</v>
      </c>
      <c r="H12805" s="2">
        <v>659</v>
      </c>
      <c r="I12805" s="2">
        <v>451</v>
      </c>
      <c r="J12805" s="2">
        <v>2331</v>
      </c>
      <c r="K12805" s="2">
        <v>1</v>
      </c>
      <c r="L12805" s="2">
        <v>636</v>
      </c>
    </row>
    <row r="12806" spans="1:12" x14ac:dyDescent="0.25">
      <c r="A12806" s="4" t="str">
        <f>HYPERLINK("http://www.rosaceae.org/Prunus/Prunus_persica/p.persica_gdr_reftransV1_0016727","p.persica_gdr_reftransV1_0016727")</f>
        <v>p.persica_gdr_reftransV1_0016727</v>
      </c>
      <c r="B12806" s="2">
        <v>4807</v>
      </c>
      <c r="C12806" s="4" t="str">
        <f>HYPERLINK("http://www.uniprot.org/uniprot/M5XXY3","M5XXY3")</f>
        <v>M5XXY3</v>
      </c>
      <c r="D12806" s="2" t="s">
        <v>10622</v>
      </c>
      <c r="E12806" s="3">
        <v>0</v>
      </c>
      <c r="F12806" s="2">
        <v>4059</v>
      </c>
      <c r="G12806" s="2">
        <v>100</v>
      </c>
      <c r="H12806" s="2">
        <v>834</v>
      </c>
      <c r="I12806" s="2">
        <v>283</v>
      </c>
      <c r="J12806" s="2">
        <v>2784</v>
      </c>
      <c r="K12806" s="2">
        <v>1</v>
      </c>
      <c r="L12806" s="2">
        <v>834</v>
      </c>
    </row>
    <row r="12807" spans="1:12" x14ac:dyDescent="0.25">
      <c r="A12807" s="4" t="str">
        <f>HYPERLINK("http://www.rosaceae.org/Prunus/Prunus_persica/p.persica_gdr_reftransV1_0017077","p.persica_gdr_reftransV1_0017077")</f>
        <v>p.persica_gdr_reftransV1_0017077</v>
      </c>
      <c r="B12807" s="2">
        <v>1598</v>
      </c>
      <c r="C12807" s="4" t="str">
        <f>HYPERLINK("http://www.uniprot.org/uniprot/M5XKZ2","M5XKZ2")</f>
        <v>M5XKZ2</v>
      </c>
      <c r="D12807" s="2" t="s">
        <v>2630</v>
      </c>
      <c r="E12807" s="3">
        <v>6.47E-64</v>
      </c>
      <c r="F12807" s="2">
        <v>553</v>
      </c>
      <c r="G12807" s="2">
        <v>92</v>
      </c>
      <c r="H12807" s="2">
        <v>119</v>
      </c>
      <c r="I12807" s="2">
        <v>1069</v>
      </c>
      <c r="J12807" s="2">
        <v>1422</v>
      </c>
      <c r="K12807" s="2">
        <v>1</v>
      </c>
      <c r="L12807" s="2">
        <v>119</v>
      </c>
    </row>
    <row r="12808" spans="1:12" x14ac:dyDescent="0.25">
      <c r="A12808" s="4" t="str">
        <f>HYPERLINK("http://www.rosaceae.org/Prunus/Prunus_persica/p.persica_gdr_reftransV1_0017777","p.persica_gdr_reftransV1_0017777")</f>
        <v>p.persica_gdr_reftransV1_0017777</v>
      </c>
      <c r="B12808" s="2">
        <v>2046</v>
      </c>
      <c r="C12808" s="4" t="str">
        <f>HYPERLINK("http://www.uniprot.org/uniprot/M5XR45","M5XR45")</f>
        <v>M5XR45</v>
      </c>
      <c r="D12808" s="2" t="s">
        <v>8999</v>
      </c>
      <c r="E12808" s="3">
        <v>0</v>
      </c>
      <c r="F12808" s="2">
        <v>2584</v>
      </c>
      <c r="G12808" s="2">
        <v>100</v>
      </c>
      <c r="H12808" s="2">
        <v>516</v>
      </c>
      <c r="I12808" s="2">
        <v>402</v>
      </c>
      <c r="J12808" s="2">
        <v>1949</v>
      </c>
      <c r="K12808" s="2">
        <v>6</v>
      </c>
      <c r="L12808" s="2">
        <v>521</v>
      </c>
    </row>
    <row r="12809" spans="1:12" x14ac:dyDescent="0.25">
      <c r="A12809" s="4" t="str">
        <f>HYPERLINK("http://www.rosaceae.org/Prunus/Prunus_persica/p.persica_gdr_reftransV1_0019527","p.persica_gdr_reftransV1_0019527")</f>
        <v>p.persica_gdr_reftransV1_0019527</v>
      </c>
      <c r="B12809" s="2">
        <v>2725</v>
      </c>
      <c r="C12809" s="4" t="str">
        <f>HYPERLINK("http://www.uniprot.org/uniprot/A0A096ZNR5","A0A096ZNR5")</f>
        <v>A0A096ZNR5</v>
      </c>
      <c r="D12809" s="2" t="s">
        <v>10623</v>
      </c>
      <c r="E12809" s="3">
        <v>0</v>
      </c>
      <c r="F12809" s="2">
        <v>3231</v>
      </c>
      <c r="G12809" s="2">
        <v>87</v>
      </c>
      <c r="H12809" s="2">
        <v>713</v>
      </c>
      <c r="I12809" s="2">
        <v>358</v>
      </c>
      <c r="J12809" s="2">
        <v>2493</v>
      </c>
      <c r="K12809" s="2">
        <v>15</v>
      </c>
      <c r="L12809" s="2">
        <v>727</v>
      </c>
    </row>
    <row r="12810" spans="1:12" x14ac:dyDescent="0.25">
      <c r="A12810" s="4" t="str">
        <f>HYPERLINK("http://www.rosaceae.org/Prunus/Prunus_persica/p.persica_gdr_reftransV1_0020227","p.persica_gdr_reftransV1_0020227")</f>
        <v>p.persica_gdr_reftransV1_0020227</v>
      </c>
      <c r="B12810" s="2">
        <v>3097</v>
      </c>
      <c r="C12810" s="4" t="str">
        <f>HYPERLINK("http://www.uniprot.org/uniprot/M5WQ51","M5WQ51")</f>
        <v>M5WQ51</v>
      </c>
      <c r="D12810" s="2" t="s">
        <v>10624</v>
      </c>
      <c r="E12810" s="3">
        <v>0</v>
      </c>
      <c r="F12810" s="2">
        <v>1664</v>
      </c>
      <c r="G12810" s="2">
        <v>97</v>
      </c>
      <c r="H12810" s="2">
        <v>418</v>
      </c>
      <c r="I12810" s="2">
        <v>1119</v>
      </c>
      <c r="J12810" s="2">
        <v>2372</v>
      </c>
      <c r="K12810" s="2">
        <v>1</v>
      </c>
      <c r="L12810" s="2">
        <v>404</v>
      </c>
    </row>
    <row r="12811" spans="1:12" x14ac:dyDescent="0.25">
      <c r="A12811" s="4" t="str">
        <f>HYPERLINK("http://www.rosaceae.org/Prunus/Prunus_persica/p.persica_gdr_reftransV1_0020927","p.persica_gdr_reftransV1_0020927")</f>
        <v>p.persica_gdr_reftransV1_0020927</v>
      </c>
      <c r="B12811" s="2">
        <v>435</v>
      </c>
      <c r="C12811" s="4" t="str">
        <f>HYPERLINK("http://www.uniprot.org/uniprot/M5XM19","M5XM19")</f>
        <v>M5XM19</v>
      </c>
      <c r="D12811" s="2" t="s">
        <v>8913</v>
      </c>
      <c r="E12811" s="3">
        <v>1.1900000000000001E-66</v>
      </c>
      <c r="F12811" s="2">
        <v>579</v>
      </c>
      <c r="G12811" s="2">
        <v>99</v>
      </c>
      <c r="H12811" s="2">
        <v>115</v>
      </c>
      <c r="I12811" s="2">
        <v>90</v>
      </c>
      <c r="J12811" s="2">
        <v>434</v>
      </c>
      <c r="K12811" s="2">
        <v>1</v>
      </c>
      <c r="L12811" s="2">
        <v>115</v>
      </c>
    </row>
    <row r="12812" spans="1:12" x14ac:dyDescent="0.25">
      <c r="A12812" s="4" t="str">
        <f>HYPERLINK("http://www.rosaceae.org/Prunus/Prunus_persica/p.persica_gdr_reftransV1_0022327","p.persica_gdr_reftransV1_0022327")</f>
        <v>p.persica_gdr_reftransV1_0022327</v>
      </c>
      <c r="B12812" s="2">
        <v>3078</v>
      </c>
      <c r="C12812" s="4" t="str">
        <f>HYPERLINK("http://www.uniprot.org/uniprot/M5X2I1","M5X2I1")</f>
        <v>M5X2I1</v>
      </c>
      <c r="D12812" s="2" t="s">
        <v>10625</v>
      </c>
      <c r="E12812" s="3">
        <v>0</v>
      </c>
      <c r="F12812" s="2">
        <v>3356</v>
      </c>
      <c r="G12812" s="2">
        <v>96</v>
      </c>
      <c r="H12812" s="2">
        <v>715</v>
      </c>
      <c r="I12812" s="2">
        <v>455</v>
      </c>
      <c r="J12812" s="2">
        <v>2599</v>
      </c>
      <c r="K12812" s="2">
        <v>23</v>
      </c>
      <c r="L12812" s="2">
        <v>717</v>
      </c>
    </row>
    <row r="12813" spans="1:12" x14ac:dyDescent="0.25">
      <c r="A12813" s="4" t="str">
        <f>HYPERLINK("http://www.rosaceae.org/Prunus/Prunus_persica/p.persica_gdr_reftransV1_0023027","p.persica_gdr_reftransV1_0023027")</f>
        <v>p.persica_gdr_reftransV1_0023027</v>
      </c>
      <c r="B12813" s="2">
        <v>2044</v>
      </c>
      <c r="C12813" s="4" t="str">
        <f>HYPERLINK("http://www.uniprot.org/uniprot/A0A0B0MT01","A0A0B0MT01")</f>
        <v>A0A0B0MT01</v>
      </c>
      <c r="D12813" s="2" t="s">
        <v>10626</v>
      </c>
      <c r="E12813" s="3">
        <v>0</v>
      </c>
      <c r="F12813" s="2">
        <v>1723</v>
      </c>
      <c r="G12813" s="2">
        <v>69</v>
      </c>
      <c r="H12813" s="2">
        <v>490</v>
      </c>
      <c r="I12813" s="2">
        <v>408</v>
      </c>
      <c r="J12813" s="2">
        <v>1820</v>
      </c>
      <c r="K12813" s="2">
        <v>1</v>
      </c>
      <c r="L12813" s="2">
        <v>443</v>
      </c>
    </row>
    <row r="12814" spans="1:12" x14ac:dyDescent="0.25">
      <c r="A12814" s="4" t="str">
        <f>HYPERLINK("http://www.rosaceae.org/Prunus/Prunus_persica/p.persica_gdr_reftransV1_0023377","p.persica_gdr_reftransV1_0023377")</f>
        <v>p.persica_gdr_reftransV1_0023377</v>
      </c>
      <c r="B12814" s="2">
        <v>1302</v>
      </c>
      <c r="C12814" s="4" t="str">
        <f>HYPERLINK("http://www.uniprot.org/uniprot/A7Y7K8","A7Y7K8")</f>
        <v>A7Y7K8</v>
      </c>
      <c r="D12814" s="2" t="s">
        <v>10627</v>
      </c>
      <c r="E12814" s="3">
        <v>5.0400000000000002E-22</v>
      </c>
      <c r="F12814" s="2">
        <v>250</v>
      </c>
      <c r="G12814" s="2">
        <v>100</v>
      </c>
      <c r="H12814" s="2">
        <v>86</v>
      </c>
      <c r="I12814" s="2">
        <v>640</v>
      </c>
      <c r="J12814" s="2">
        <v>897</v>
      </c>
      <c r="K12814" s="2">
        <v>45</v>
      </c>
      <c r="L12814" s="2">
        <v>130</v>
      </c>
    </row>
    <row r="12815" spans="1:12" x14ac:dyDescent="0.25">
      <c r="A12815" s="4" t="str">
        <f>HYPERLINK("http://www.rosaceae.org/Prunus/Prunus_persica/p.persica_gdr_reftransV1_0023727","p.persica_gdr_reftransV1_0023727")</f>
        <v>p.persica_gdr_reftransV1_0023727</v>
      </c>
      <c r="B12815" s="2">
        <v>3706</v>
      </c>
      <c r="C12815" s="4" t="str">
        <f>HYPERLINK("http://www.uniprot.org/uniprot/M5VIN4","M5VIN4")</f>
        <v>M5VIN4</v>
      </c>
      <c r="D12815" s="2" t="s">
        <v>10628</v>
      </c>
      <c r="E12815" s="3">
        <v>0</v>
      </c>
      <c r="F12815" s="2">
        <v>2870</v>
      </c>
      <c r="G12815" s="2">
        <v>90</v>
      </c>
      <c r="H12815" s="2">
        <v>740</v>
      </c>
      <c r="I12815" s="2">
        <v>1363</v>
      </c>
      <c r="J12815" s="2">
        <v>3495</v>
      </c>
      <c r="K12815" s="2">
        <v>268</v>
      </c>
      <c r="L12815" s="2">
        <v>995</v>
      </c>
    </row>
    <row r="12816" spans="1:12" x14ac:dyDescent="0.25">
      <c r="A12816" s="4" t="str">
        <f>HYPERLINK("http://www.rosaceae.org/Prunus/Prunus_persica/p.persica_gdr_reftransV1_0026527","p.persica_gdr_reftransV1_0026527")</f>
        <v>p.persica_gdr_reftransV1_0026527</v>
      </c>
      <c r="B12816" s="2">
        <v>1721</v>
      </c>
      <c r="C12816" s="4" t="str">
        <f>HYPERLINK("http://www.uniprot.org/uniprot/M5WBL8","M5WBL8")</f>
        <v>M5WBL8</v>
      </c>
      <c r="D12816" s="2" t="s">
        <v>10629</v>
      </c>
      <c r="E12816" s="3">
        <v>0</v>
      </c>
      <c r="F12816" s="2">
        <v>2550</v>
      </c>
      <c r="G12816" s="2">
        <v>100</v>
      </c>
      <c r="H12816" s="2">
        <v>487</v>
      </c>
      <c r="I12816" s="2">
        <v>103</v>
      </c>
      <c r="J12816" s="2">
        <v>1563</v>
      </c>
      <c r="K12816" s="2">
        <v>22</v>
      </c>
      <c r="L12816" s="2">
        <v>508</v>
      </c>
    </row>
    <row r="12817" spans="1:12" x14ac:dyDescent="0.25">
      <c r="A12817" s="4" t="str">
        <f>HYPERLINK("http://www.rosaceae.org/Prunus/Prunus_persica/p.persica_gdr_reftransV1_0027927","p.persica_gdr_reftransV1_0027927")</f>
        <v>p.persica_gdr_reftransV1_0027927</v>
      </c>
      <c r="B12817" s="2">
        <v>1207</v>
      </c>
      <c r="C12817" s="4" t="str">
        <f>HYPERLINK("http://www.uniprot.org/uniprot/M5WTH6","M5WTH6")</f>
        <v>M5WTH6</v>
      </c>
      <c r="D12817" s="2" t="s">
        <v>10630</v>
      </c>
      <c r="E12817" s="3">
        <v>8.5399999999999997E-65</v>
      </c>
      <c r="F12817" s="2">
        <v>559</v>
      </c>
      <c r="G12817" s="2">
        <v>100</v>
      </c>
      <c r="H12817" s="2">
        <v>164</v>
      </c>
      <c r="I12817" s="2">
        <v>327</v>
      </c>
      <c r="J12817" s="2">
        <v>818</v>
      </c>
      <c r="K12817" s="2">
        <v>118</v>
      </c>
      <c r="L12817" s="2">
        <v>281</v>
      </c>
    </row>
    <row r="12818" spans="1:12" x14ac:dyDescent="0.25">
      <c r="A12818" s="4" t="str">
        <f>HYPERLINK("http://www.rosaceae.org/Prunus/Prunus_persica/p.persica_gdr_reftransV1_0029677","p.persica_gdr_reftransV1_0029677")</f>
        <v>p.persica_gdr_reftransV1_0029677</v>
      </c>
      <c r="B12818" s="2">
        <v>1434</v>
      </c>
      <c r="C12818" s="4" t="str">
        <f>HYPERLINK("http://www.uniprot.org/uniprot/M5VN09","M5VN09")</f>
        <v>M5VN09</v>
      </c>
      <c r="D12818" s="2" t="s">
        <v>10631</v>
      </c>
      <c r="E12818" s="3">
        <v>4.7000000000000002E-97</v>
      </c>
      <c r="F12818" s="2">
        <v>772</v>
      </c>
      <c r="G12818" s="2">
        <v>100</v>
      </c>
      <c r="H12818" s="2">
        <v>179</v>
      </c>
      <c r="I12818" s="2">
        <v>211</v>
      </c>
      <c r="J12818" s="2">
        <v>747</v>
      </c>
      <c r="K12818" s="2">
        <v>1</v>
      </c>
      <c r="L12818" s="2">
        <v>179</v>
      </c>
    </row>
    <row r="12819" spans="1:12" x14ac:dyDescent="0.25">
      <c r="A12819" s="4" t="str">
        <f>HYPERLINK("http://www.rosaceae.org/Prunus/Prunus_persica/p.persica_gdr_reftransV1_0030027","p.persica_gdr_reftransV1_0030027")</f>
        <v>p.persica_gdr_reftransV1_0030027</v>
      </c>
      <c r="B12819" s="2">
        <v>1125</v>
      </c>
      <c r="C12819" s="4" t="str">
        <f>HYPERLINK("http://www.uniprot.org/uniprot/M5WJM0","M5WJM0")</f>
        <v>M5WJM0</v>
      </c>
      <c r="D12819" s="2" t="s">
        <v>10632</v>
      </c>
      <c r="E12819" s="3">
        <v>1.6800000000000001E-40</v>
      </c>
      <c r="F12819" s="2">
        <v>377</v>
      </c>
      <c r="G12819" s="2">
        <v>100</v>
      </c>
      <c r="H12819" s="2">
        <v>72</v>
      </c>
      <c r="I12819" s="2">
        <v>717</v>
      </c>
      <c r="J12819" s="2">
        <v>932</v>
      </c>
      <c r="K12819" s="2">
        <v>37</v>
      </c>
      <c r="L12819" s="2">
        <v>108</v>
      </c>
    </row>
    <row r="12820" spans="1:12" x14ac:dyDescent="0.25">
      <c r="A12820" s="4" t="str">
        <f>HYPERLINK("http://www.rosaceae.org/Prunus/Prunus_persica/p.persica_gdr_reftransV1_0030727","p.persica_gdr_reftransV1_0030727")</f>
        <v>p.persica_gdr_reftransV1_0030727</v>
      </c>
      <c r="B12820" s="2">
        <v>1513</v>
      </c>
      <c r="C12820" s="4" t="str">
        <f>HYPERLINK("http://www.uniprot.org/uniprot/M5WAW3","M5WAW3")</f>
        <v>M5WAW3</v>
      </c>
      <c r="D12820" s="2" t="s">
        <v>5400</v>
      </c>
      <c r="E12820" s="3">
        <v>8.1400000000000006E-98</v>
      </c>
      <c r="F12820" s="2">
        <v>779</v>
      </c>
      <c r="G12820" s="2">
        <v>99</v>
      </c>
      <c r="H12820" s="2">
        <v>149</v>
      </c>
      <c r="I12820" s="2">
        <v>196</v>
      </c>
      <c r="J12820" s="2">
        <v>642</v>
      </c>
      <c r="K12820" s="2">
        <v>22</v>
      </c>
      <c r="L12820" s="2">
        <v>170</v>
      </c>
    </row>
    <row r="12821" spans="1:12" x14ac:dyDescent="0.25">
      <c r="A12821" s="4" t="str">
        <f>HYPERLINK("http://www.rosaceae.org/Prunus/Prunus_persica/p.persica_gdr_reftransV1_0032127","p.persica_gdr_reftransV1_0032127")</f>
        <v>p.persica_gdr_reftransV1_0032127</v>
      </c>
      <c r="B12821" s="2">
        <v>758</v>
      </c>
      <c r="C12821" s="4" t="str">
        <f>HYPERLINK("http://www.uniprot.org/uniprot/M5XNV8","M5XNV8")</f>
        <v>M5XNV8</v>
      </c>
      <c r="D12821" s="2" t="s">
        <v>10633</v>
      </c>
      <c r="E12821" s="3">
        <v>4.15E-36</v>
      </c>
      <c r="F12821" s="2">
        <v>350</v>
      </c>
      <c r="G12821" s="2">
        <v>100</v>
      </c>
      <c r="H12821" s="2">
        <v>175</v>
      </c>
      <c r="I12821" s="2">
        <v>45</v>
      </c>
      <c r="J12821" s="2">
        <v>569</v>
      </c>
      <c r="K12821" s="2">
        <v>80</v>
      </c>
      <c r="L12821" s="2">
        <v>254</v>
      </c>
    </row>
    <row r="12822" spans="1:12" x14ac:dyDescent="0.25">
      <c r="A12822" s="4" t="str">
        <f>HYPERLINK("http://www.rosaceae.org/Prunus/Prunus_persica/p.persica_gdr_reftransV1_0036327","p.persica_gdr_reftransV1_0036327")</f>
        <v>p.persica_gdr_reftransV1_0036327</v>
      </c>
      <c r="B12822" s="2">
        <v>796</v>
      </c>
      <c r="C12822" s="4" t="str">
        <f>HYPERLINK("http://www.uniprot.org/uniprot/M5XDS9","M5XDS9")</f>
        <v>M5XDS9</v>
      </c>
      <c r="D12822" s="2" t="s">
        <v>10634</v>
      </c>
      <c r="E12822" s="3">
        <v>2.4499999999999998E-124</v>
      </c>
      <c r="F12822" s="2">
        <v>933</v>
      </c>
      <c r="G12822" s="2">
        <v>100</v>
      </c>
      <c r="H12822" s="2">
        <v>190</v>
      </c>
      <c r="I12822" s="2">
        <v>112</v>
      </c>
      <c r="J12822" s="2">
        <v>681</v>
      </c>
      <c r="K12822" s="2">
        <v>1</v>
      </c>
      <c r="L12822" s="2">
        <v>190</v>
      </c>
    </row>
    <row r="12823" spans="1:12" x14ac:dyDescent="0.25">
      <c r="A12823" s="4" t="str">
        <f>HYPERLINK("http://www.rosaceae.org/Prunus/Prunus_persica/p.persica_gdr_reftransV1_0036677","p.persica_gdr_reftransV1_0036677")</f>
        <v>p.persica_gdr_reftransV1_0036677</v>
      </c>
      <c r="B12823" s="2">
        <v>1739</v>
      </c>
      <c r="C12823" s="4" t="str">
        <f>HYPERLINK("http://www.uniprot.org/uniprot/M5XES8","M5XES8")</f>
        <v>M5XES8</v>
      </c>
      <c r="D12823" s="2" t="s">
        <v>10635</v>
      </c>
      <c r="E12823" s="3">
        <v>0</v>
      </c>
      <c r="F12823" s="2">
        <v>1467</v>
      </c>
      <c r="G12823" s="2">
        <v>100</v>
      </c>
      <c r="H12823" s="2">
        <v>275</v>
      </c>
      <c r="I12823" s="2">
        <v>365</v>
      </c>
      <c r="J12823" s="2">
        <v>1189</v>
      </c>
      <c r="K12823" s="2">
        <v>1</v>
      </c>
      <c r="L12823" s="2">
        <v>275</v>
      </c>
    </row>
    <row r="12824" spans="1:12" x14ac:dyDescent="0.25">
      <c r="A12824" s="4" t="str">
        <f>HYPERLINK("http://www.rosaceae.org/Prunus/Prunus_persica/p.persica_gdr_reftransV1_0037027","p.persica_gdr_reftransV1_0037027")</f>
        <v>p.persica_gdr_reftransV1_0037027</v>
      </c>
      <c r="B12824" s="2">
        <v>2150</v>
      </c>
      <c r="C12824" s="4" t="str">
        <f>HYPERLINK("http://www.uniprot.org/uniprot/M5VQU6","M5VQU6")</f>
        <v>M5VQU6</v>
      </c>
      <c r="D12824" s="2" t="s">
        <v>10636</v>
      </c>
      <c r="E12824" s="3">
        <v>0</v>
      </c>
      <c r="F12824" s="2">
        <v>2090</v>
      </c>
      <c r="G12824" s="2">
        <v>100</v>
      </c>
      <c r="H12824" s="2">
        <v>414</v>
      </c>
      <c r="I12824" s="2">
        <v>460</v>
      </c>
      <c r="J12824" s="2">
        <v>1701</v>
      </c>
      <c r="K12824" s="2">
        <v>1</v>
      </c>
      <c r="L12824" s="2">
        <v>414</v>
      </c>
    </row>
    <row r="12825" spans="1:12" x14ac:dyDescent="0.25">
      <c r="A12825" s="4" t="str">
        <f>HYPERLINK("http://www.rosaceae.org/Prunus/Prunus_persica/p.persica_gdr_reftransV1_0038427","p.persica_gdr_reftransV1_0038427")</f>
        <v>p.persica_gdr_reftransV1_0038427</v>
      </c>
      <c r="B12825" s="2">
        <v>326</v>
      </c>
      <c r="C12825" s="4" t="str">
        <f>HYPERLINK("http://www.uniprot.org/uniprot/M5WQ96","M5WQ96")</f>
        <v>M5WQ96</v>
      </c>
      <c r="D12825" s="2" t="s">
        <v>7646</v>
      </c>
      <c r="E12825" s="3">
        <v>2.6700000000000001E-68</v>
      </c>
      <c r="F12825" s="2">
        <v>585</v>
      </c>
      <c r="G12825" s="2">
        <v>100</v>
      </c>
      <c r="H12825" s="2">
        <v>108</v>
      </c>
      <c r="I12825" s="2">
        <v>2</v>
      </c>
      <c r="J12825" s="2">
        <v>325</v>
      </c>
      <c r="K12825" s="2">
        <v>235</v>
      </c>
      <c r="L12825" s="2">
        <v>342</v>
      </c>
    </row>
    <row r="12826" spans="1:12" x14ac:dyDescent="0.25">
      <c r="A12826" s="4" t="str">
        <f>HYPERLINK("http://www.rosaceae.org/Prunus/Prunus_persica/p.persica_gdr_reftransV1_0039477","p.persica_gdr_reftransV1_0039477")</f>
        <v>p.persica_gdr_reftransV1_0039477</v>
      </c>
      <c r="B12826" s="2">
        <v>1644</v>
      </c>
      <c r="C12826" s="4" t="str">
        <f>HYPERLINK("http://www.uniprot.org/uniprot/F6HAB7","F6HAB7")</f>
        <v>F6HAB7</v>
      </c>
      <c r="D12826" s="2" t="s">
        <v>10637</v>
      </c>
      <c r="E12826" s="3">
        <v>0</v>
      </c>
      <c r="F12826" s="2">
        <v>1742</v>
      </c>
      <c r="G12826" s="2">
        <v>66</v>
      </c>
      <c r="H12826" s="2">
        <v>508</v>
      </c>
      <c r="I12826" s="2">
        <v>81</v>
      </c>
      <c r="J12826" s="2">
        <v>1556</v>
      </c>
      <c r="K12826" s="2">
        <v>18</v>
      </c>
      <c r="L12826" s="2">
        <v>518</v>
      </c>
    </row>
    <row r="12827" spans="1:12" x14ac:dyDescent="0.25">
      <c r="A12827" s="4" t="str">
        <f>HYPERLINK("http://www.rosaceae.org/Prunus/Prunus_persica/p.persica_gdr_reftransV1_0040177","p.persica_gdr_reftransV1_0040177")</f>
        <v>p.persica_gdr_reftransV1_0040177</v>
      </c>
      <c r="B12827" s="2">
        <v>3534</v>
      </c>
      <c r="C12827" s="4" t="str">
        <f>HYPERLINK("http://www.uniprot.org/uniprot/M5XKS2","M5XKS2")</f>
        <v>M5XKS2</v>
      </c>
      <c r="D12827" s="2" t="s">
        <v>10638</v>
      </c>
      <c r="E12827" s="3">
        <v>0</v>
      </c>
      <c r="F12827" s="2">
        <v>4370</v>
      </c>
      <c r="G12827" s="2">
        <v>100</v>
      </c>
      <c r="H12827" s="2">
        <v>885</v>
      </c>
      <c r="I12827" s="2">
        <v>631</v>
      </c>
      <c r="J12827" s="2">
        <v>3285</v>
      </c>
      <c r="K12827" s="2">
        <v>1</v>
      </c>
      <c r="L12827" s="2">
        <v>885</v>
      </c>
    </row>
    <row r="12828" spans="1:12" x14ac:dyDescent="0.25">
      <c r="A12828" s="4" t="str">
        <f>HYPERLINK("http://www.rosaceae.org/Prunus/Prunus_persica/p.persica_gdr_reftransV1_0040877","p.persica_gdr_reftransV1_0040877")</f>
        <v>p.persica_gdr_reftransV1_0040877</v>
      </c>
      <c r="B12828" s="2">
        <v>1925</v>
      </c>
      <c r="C12828" s="4" t="str">
        <f>HYPERLINK("http://www.uniprot.org/uniprot/M5WTX3","M5WTX3")</f>
        <v>M5WTX3</v>
      </c>
      <c r="D12828" s="2" t="s">
        <v>1766</v>
      </c>
      <c r="E12828" s="3">
        <v>2.8899999999999999E-151</v>
      </c>
      <c r="F12828" s="2">
        <v>1170</v>
      </c>
      <c r="G12828" s="2">
        <v>100</v>
      </c>
      <c r="H12828" s="2">
        <v>253</v>
      </c>
      <c r="I12828" s="2">
        <v>984</v>
      </c>
      <c r="J12828" s="2">
        <v>1742</v>
      </c>
      <c r="K12828" s="2">
        <v>1</v>
      </c>
      <c r="L12828" s="2">
        <v>253</v>
      </c>
    </row>
    <row r="12829" spans="1:12" x14ac:dyDescent="0.25">
      <c r="A12829" s="4" t="str">
        <f>HYPERLINK("http://www.rosaceae.org/Prunus/Prunus_persica/p.persica_gdr_reftransV1_0043327","p.persica_gdr_reftransV1_0043327")</f>
        <v>p.persica_gdr_reftransV1_0043327</v>
      </c>
      <c r="B12829" s="2">
        <v>1087</v>
      </c>
      <c r="C12829" s="4" t="str">
        <f>HYPERLINK("http://www.uniprot.org/uniprot/M5VR96","M5VR96")</f>
        <v>M5VR96</v>
      </c>
      <c r="D12829" s="2" t="s">
        <v>10639</v>
      </c>
      <c r="E12829" s="3">
        <v>2.1500000000000001E-110</v>
      </c>
      <c r="F12829" s="2">
        <v>851</v>
      </c>
      <c r="G12829" s="2">
        <v>100</v>
      </c>
      <c r="H12829" s="2">
        <v>184</v>
      </c>
      <c r="I12829" s="2">
        <v>183</v>
      </c>
      <c r="J12829" s="2">
        <v>734</v>
      </c>
      <c r="K12829" s="2">
        <v>1</v>
      </c>
      <c r="L12829" s="2">
        <v>184</v>
      </c>
    </row>
    <row r="12830" spans="1:12" x14ac:dyDescent="0.25">
      <c r="A12830" s="4" t="str">
        <f>HYPERLINK("http://www.rosaceae.org/Prunus/Prunus_persica/p.persica_gdr_reftransV1_0043677","p.persica_gdr_reftransV1_0043677")</f>
        <v>p.persica_gdr_reftransV1_0043677</v>
      </c>
      <c r="B12830" s="2">
        <v>371</v>
      </c>
      <c r="C12830" s="4" t="str">
        <f>HYPERLINK("http://www.uniprot.org/uniprot/M5W089","M5W089")</f>
        <v>M5W089</v>
      </c>
      <c r="D12830" s="2" t="s">
        <v>10188</v>
      </c>
      <c r="E12830" s="3">
        <v>5.7099999999999999E-64</v>
      </c>
      <c r="F12830" s="2">
        <v>540</v>
      </c>
      <c r="G12830" s="2">
        <v>88</v>
      </c>
      <c r="H12830" s="2">
        <v>114</v>
      </c>
      <c r="I12830" s="2">
        <v>1</v>
      </c>
      <c r="J12830" s="2">
        <v>342</v>
      </c>
      <c r="K12830" s="2">
        <v>296</v>
      </c>
      <c r="L12830" s="2">
        <v>409</v>
      </c>
    </row>
    <row r="12831" spans="1:12" x14ac:dyDescent="0.25">
      <c r="A12831" s="4" t="str">
        <f>HYPERLINK("http://www.rosaceae.org/Prunus/Prunus_persica/p.persica_gdr_reftransV1_0044027","p.persica_gdr_reftransV1_0044027")</f>
        <v>p.persica_gdr_reftransV1_0044027</v>
      </c>
      <c r="B12831" s="2">
        <v>398</v>
      </c>
      <c r="C12831" s="4" t="str">
        <f>HYPERLINK("http://www.uniprot.org/uniprot/M5W131","M5W131")</f>
        <v>M5W131</v>
      </c>
      <c r="D12831" s="2" t="s">
        <v>10640</v>
      </c>
      <c r="E12831" s="3">
        <v>6.2500000000000005E-88</v>
      </c>
      <c r="F12831" s="2">
        <v>693</v>
      </c>
      <c r="G12831" s="2">
        <v>100</v>
      </c>
      <c r="H12831" s="2">
        <v>132</v>
      </c>
      <c r="I12831" s="2">
        <v>1</v>
      </c>
      <c r="J12831" s="2">
        <v>396</v>
      </c>
      <c r="K12831" s="2">
        <v>133</v>
      </c>
      <c r="L12831" s="2">
        <v>264</v>
      </c>
    </row>
    <row r="12832" spans="1:12" x14ac:dyDescent="0.25">
      <c r="A12832" s="4" t="str">
        <f>HYPERLINK("http://www.rosaceae.org/Prunus/Prunus_persica/p.persica_gdr_reftransV1_0044377","p.persica_gdr_reftransV1_0044377")</f>
        <v>p.persica_gdr_reftransV1_0044377</v>
      </c>
      <c r="B12832" s="2">
        <v>2474</v>
      </c>
      <c r="C12832" s="4" t="str">
        <f>HYPERLINK("http://www.uniprot.org/uniprot/M5X8M9","M5X8M9")</f>
        <v>M5X8M9</v>
      </c>
      <c r="D12832" s="2" t="s">
        <v>4895</v>
      </c>
      <c r="E12832" s="3">
        <v>0</v>
      </c>
      <c r="F12832" s="2">
        <v>3481</v>
      </c>
      <c r="G12832" s="2">
        <v>98</v>
      </c>
      <c r="H12832" s="2">
        <v>676</v>
      </c>
      <c r="I12832" s="2">
        <v>2</v>
      </c>
      <c r="J12832" s="2">
        <v>2029</v>
      </c>
      <c r="K12832" s="2">
        <v>674</v>
      </c>
      <c r="L12832" s="2">
        <v>1336</v>
      </c>
    </row>
    <row r="12833" spans="1:12" x14ac:dyDescent="0.25">
      <c r="A12833" s="4" t="str">
        <f>HYPERLINK("http://www.rosaceae.org/Prunus/Prunus_persica/p.persica_gdr_reftransV1_0044727","p.persica_gdr_reftransV1_0044727")</f>
        <v>p.persica_gdr_reftransV1_0044727</v>
      </c>
      <c r="B12833" s="2">
        <v>1497</v>
      </c>
      <c r="C12833" s="4" t="str">
        <f>HYPERLINK("http://www.uniprot.org/uniprot/M5WUF8","M5WUF8")</f>
        <v>M5WUF8</v>
      </c>
      <c r="D12833" s="2" t="s">
        <v>10641</v>
      </c>
      <c r="E12833" s="3">
        <v>0</v>
      </c>
      <c r="F12833" s="2">
        <v>1846</v>
      </c>
      <c r="G12833" s="2">
        <v>100</v>
      </c>
      <c r="H12833" s="2">
        <v>398</v>
      </c>
      <c r="I12833" s="2">
        <v>207</v>
      </c>
      <c r="J12833" s="2">
        <v>1400</v>
      </c>
      <c r="K12833" s="2">
        <v>1</v>
      </c>
      <c r="L12833" s="2">
        <v>398</v>
      </c>
    </row>
    <row r="12834" spans="1:12" x14ac:dyDescent="0.25">
      <c r="A12834" s="4" t="str">
        <f>HYPERLINK("http://www.rosaceae.org/Prunus/Prunus_persica/p.persica_gdr_reftransV1_0045077","p.persica_gdr_reftransV1_0045077")</f>
        <v>p.persica_gdr_reftransV1_0045077</v>
      </c>
      <c r="B12834" s="2">
        <v>424</v>
      </c>
      <c r="C12834" s="4" t="str">
        <f>HYPERLINK("http://www.uniprot.org/uniprot/M5WWM1","M5WWM1")</f>
        <v>M5WWM1</v>
      </c>
      <c r="D12834" s="2" t="s">
        <v>10642</v>
      </c>
      <c r="E12834" s="3">
        <v>1.9899999999999999E-93</v>
      </c>
      <c r="F12834" s="2">
        <v>759</v>
      </c>
      <c r="G12834" s="2">
        <v>100</v>
      </c>
      <c r="H12834" s="2">
        <v>141</v>
      </c>
      <c r="I12834" s="2">
        <v>2</v>
      </c>
      <c r="J12834" s="2">
        <v>424</v>
      </c>
      <c r="K12834" s="2">
        <v>518</v>
      </c>
      <c r="L12834" s="2">
        <v>658</v>
      </c>
    </row>
    <row r="12835" spans="1:12" x14ac:dyDescent="0.25">
      <c r="A12835" s="4" t="str">
        <f>HYPERLINK("http://www.rosaceae.org/Prunus/Prunus_persica/p.persica_gdr_reftransV1_0045777","p.persica_gdr_reftransV1_0045777")</f>
        <v>p.persica_gdr_reftransV1_0045777</v>
      </c>
      <c r="B12835" s="2">
        <v>1380</v>
      </c>
      <c r="C12835" s="4" t="str">
        <f>HYPERLINK("http://www.uniprot.org/uniprot/M5VSF8","M5VSF8")</f>
        <v>M5VSF8</v>
      </c>
      <c r="D12835" s="2" t="s">
        <v>10643</v>
      </c>
      <c r="E12835" s="3">
        <v>0</v>
      </c>
      <c r="F12835" s="2">
        <v>1840</v>
      </c>
      <c r="G12835" s="2">
        <v>100</v>
      </c>
      <c r="H12835" s="2">
        <v>363</v>
      </c>
      <c r="I12835" s="2">
        <v>290</v>
      </c>
      <c r="J12835" s="2">
        <v>1378</v>
      </c>
      <c r="K12835" s="2">
        <v>60</v>
      </c>
      <c r="L12835" s="2">
        <v>422</v>
      </c>
    </row>
    <row r="12836" spans="1:12" x14ac:dyDescent="0.25">
      <c r="A12836" s="4" t="str">
        <f>HYPERLINK("http://www.rosaceae.org/Prunus/Prunus_persica/p.persica_gdr_reftransV1_0046127","p.persica_gdr_reftransV1_0046127")</f>
        <v>p.persica_gdr_reftransV1_0046127</v>
      </c>
      <c r="B12836" s="2">
        <v>1164</v>
      </c>
      <c r="C12836" s="4" t="str">
        <f>HYPERLINK("http://www.uniprot.org/uniprot/M5VZC3","M5VZC3")</f>
        <v>M5VZC3</v>
      </c>
      <c r="D12836" s="2" t="s">
        <v>10644</v>
      </c>
      <c r="E12836" s="3">
        <v>2.2499999999999999E-154</v>
      </c>
      <c r="F12836" s="2">
        <v>1156</v>
      </c>
      <c r="G12836" s="2">
        <v>100</v>
      </c>
      <c r="H12836" s="2">
        <v>304</v>
      </c>
      <c r="I12836" s="2">
        <v>153</v>
      </c>
      <c r="J12836" s="2">
        <v>1064</v>
      </c>
      <c r="K12836" s="2">
        <v>3</v>
      </c>
      <c r="L12836" s="2">
        <v>306</v>
      </c>
    </row>
    <row r="12837" spans="1:12" x14ac:dyDescent="0.25">
      <c r="A12837" s="4" t="str">
        <f>HYPERLINK("http://www.rosaceae.org/Prunus/Prunus_persica/p.persica_gdr_reftransV1_0047177","p.persica_gdr_reftransV1_0047177")</f>
        <v>p.persica_gdr_reftransV1_0047177</v>
      </c>
      <c r="B12837" s="2">
        <v>1802</v>
      </c>
      <c r="C12837" s="4" t="str">
        <f>HYPERLINK("http://www.uniprot.org/uniprot/M5X3F3","M5X3F3")</f>
        <v>M5X3F3</v>
      </c>
      <c r="D12837" s="2" t="s">
        <v>10470</v>
      </c>
      <c r="E12837" s="3">
        <v>0</v>
      </c>
      <c r="F12837" s="2">
        <v>2290</v>
      </c>
      <c r="G12837" s="2">
        <v>92</v>
      </c>
      <c r="H12837" s="2">
        <v>478</v>
      </c>
      <c r="I12837" s="2">
        <v>169</v>
      </c>
      <c r="J12837" s="2">
        <v>1599</v>
      </c>
      <c r="K12837" s="2">
        <v>1</v>
      </c>
      <c r="L12837" s="2">
        <v>472</v>
      </c>
    </row>
    <row r="12838" spans="1:12" x14ac:dyDescent="0.25">
      <c r="A12838" s="4" t="str">
        <f>HYPERLINK("http://www.rosaceae.org/Prunus/Prunus_persica/p.persica_gdr_reftransV1_0047877","p.persica_gdr_reftransV1_0047877")</f>
        <v>p.persica_gdr_reftransV1_0047877</v>
      </c>
      <c r="B12838" s="2">
        <v>406</v>
      </c>
      <c r="C12838" s="4" t="str">
        <f>HYPERLINK("http://www.uniprot.org/uniprot/M5WKT4","M5WKT4")</f>
        <v>M5WKT4</v>
      </c>
      <c r="D12838" s="2" t="s">
        <v>4823</v>
      </c>
      <c r="E12838" s="3">
        <v>8.2599999999999999E-71</v>
      </c>
      <c r="F12838" s="2">
        <v>593</v>
      </c>
      <c r="G12838" s="2">
        <v>87</v>
      </c>
      <c r="H12838" s="2">
        <v>135</v>
      </c>
      <c r="I12838" s="2">
        <v>1</v>
      </c>
      <c r="J12838" s="2">
        <v>405</v>
      </c>
      <c r="K12838" s="2">
        <v>333</v>
      </c>
      <c r="L12838" s="2">
        <v>450</v>
      </c>
    </row>
    <row r="12839" spans="1:12" x14ac:dyDescent="0.25">
      <c r="A12839" s="4" t="str">
        <f>HYPERLINK("http://www.rosaceae.org/Prunus/Prunus_persica/p.persica_gdr_reftransV1_0048227","p.persica_gdr_reftransV1_0048227")</f>
        <v>p.persica_gdr_reftransV1_0048227</v>
      </c>
      <c r="B12839" s="2">
        <v>408</v>
      </c>
      <c r="C12839" s="4" t="str">
        <f>HYPERLINK("http://www.uniprot.org/uniprot/M5WY52","M5WY52")</f>
        <v>M5WY52</v>
      </c>
      <c r="D12839" s="2" t="s">
        <v>10645</v>
      </c>
      <c r="E12839" s="3">
        <v>8.2999999999999998E-16</v>
      </c>
      <c r="F12839" s="2">
        <v>189</v>
      </c>
      <c r="G12839" s="2">
        <v>95</v>
      </c>
      <c r="H12839" s="2">
        <v>58</v>
      </c>
      <c r="I12839" s="2">
        <v>142</v>
      </c>
      <c r="J12839" s="2">
        <v>315</v>
      </c>
      <c r="K12839" s="2">
        <v>1</v>
      </c>
      <c r="L12839" s="2">
        <v>58</v>
      </c>
    </row>
    <row r="12840" spans="1:12" x14ac:dyDescent="0.25">
      <c r="A12840" s="4" t="str">
        <f>HYPERLINK("http://www.rosaceae.org/Prunus/Prunus_persica/p.persica_gdr_reftransV1_0000278","p.persica_gdr_reftransV1_0000278")</f>
        <v>p.persica_gdr_reftransV1_0000278</v>
      </c>
      <c r="B12840" s="2">
        <v>390</v>
      </c>
      <c r="C12840" s="4" t="str">
        <f>HYPERLINK("http://www.uniprot.org/uniprot/A0A061FAF4","A0A061FAF4")</f>
        <v>A0A061FAF4</v>
      </c>
      <c r="D12840" s="2" t="s">
        <v>10646</v>
      </c>
      <c r="E12840" s="3">
        <v>1.6599999999999999E-26</v>
      </c>
      <c r="F12840" s="2">
        <v>286</v>
      </c>
      <c r="G12840" s="2">
        <v>58</v>
      </c>
      <c r="H12840" s="2">
        <v>105</v>
      </c>
      <c r="I12840" s="2">
        <v>83</v>
      </c>
      <c r="J12840" s="2">
        <v>388</v>
      </c>
      <c r="K12840" s="2">
        <v>166</v>
      </c>
      <c r="L12840" s="2">
        <v>270</v>
      </c>
    </row>
    <row r="12841" spans="1:12" x14ac:dyDescent="0.25">
      <c r="A12841" s="4" t="str">
        <f>HYPERLINK("http://www.rosaceae.org/Prunus/Prunus_persica/p.persica_gdr_reftransV1_0000628","p.persica_gdr_reftransV1_0000628")</f>
        <v>p.persica_gdr_reftransV1_0000628</v>
      </c>
      <c r="B12841" s="2">
        <v>1358</v>
      </c>
      <c r="C12841" s="4" t="str">
        <f>HYPERLINK("http://www.uniprot.org/uniprot/M5WIS6","M5WIS6")</f>
        <v>M5WIS6</v>
      </c>
      <c r="D12841" s="2" t="s">
        <v>4085</v>
      </c>
      <c r="E12841" s="3">
        <v>0</v>
      </c>
      <c r="F12841" s="2">
        <v>1766</v>
      </c>
      <c r="G12841" s="2">
        <v>100</v>
      </c>
      <c r="H12841" s="2">
        <v>334</v>
      </c>
      <c r="I12841" s="2">
        <v>202</v>
      </c>
      <c r="J12841" s="2">
        <v>1203</v>
      </c>
      <c r="K12841" s="2">
        <v>3</v>
      </c>
      <c r="L12841" s="2">
        <v>336</v>
      </c>
    </row>
    <row r="12842" spans="1:12" x14ac:dyDescent="0.25">
      <c r="A12842" s="4" t="str">
        <f>HYPERLINK("http://www.rosaceae.org/Prunus/Prunus_persica/p.persica_gdr_reftransV1_0001328","p.persica_gdr_reftransV1_0001328")</f>
        <v>p.persica_gdr_reftransV1_0001328</v>
      </c>
      <c r="B12842" s="2">
        <v>1917</v>
      </c>
      <c r="C12842" s="4" t="str">
        <f>HYPERLINK("http://www.uniprot.org/uniprot/M5WBK0","M5WBK0")</f>
        <v>M5WBK0</v>
      </c>
      <c r="D12842" s="2" t="s">
        <v>10647</v>
      </c>
      <c r="E12842" s="3">
        <v>0</v>
      </c>
      <c r="F12842" s="2">
        <v>1534</v>
      </c>
      <c r="G12842" s="2">
        <v>100</v>
      </c>
      <c r="H12842" s="2">
        <v>500</v>
      </c>
      <c r="I12842" s="2">
        <v>231</v>
      </c>
      <c r="J12842" s="2">
        <v>1730</v>
      </c>
      <c r="K12842" s="2">
        <v>1</v>
      </c>
      <c r="L12842" s="2">
        <v>500</v>
      </c>
    </row>
    <row r="12843" spans="1:12" x14ac:dyDescent="0.25">
      <c r="A12843" s="4" t="str">
        <f>HYPERLINK("http://www.rosaceae.org/Prunus/Prunus_persica/p.persica_gdr_reftransV1_0001678","p.persica_gdr_reftransV1_0001678")</f>
        <v>p.persica_gdr_reftransV1_0001678</v>
      </c>
      <c r="B12843" s="2">
        <v>959</v>
      </c>
      <c r="C12843" s="4" t="str">
        <f>HYPERLINK("http://www.uniprot.org/uniprot/M5XU25","M5XU25")</f>
        <v>M5XU25</v>
      </c>
      <c r="D12843" s="2" t="s">
        <v>10648</v>
      </c>
      <c r="E12843" s="3">
        <v>1.21E-164</v>
      </c>
      <c r="F12843" s="2">
        <v>1208</v>
      </c>
      <c r="G12843" s="2">
        <v>100</v>
      </c>
      <c r="H12843" s="2">
        <v>226</v>
      </c>
      <c r="I12843" s="2">
        <v>85</v>
      </c>
      <c r="J12843" s="2">
        <v>762</v>
      </c>
      <c r="K12843" s="2">
        <v>1</v>
      </c>
      <c r="L12843" s="2">
        <v>226</v>
      </c>
    </row>
    <row r="12844" spans="1:12" x14ac:dyDescent="0.25">
      <c r="A12844" s="4" t="str">
        <f>HYPERLINK("http://www.rosaceae.org/Prunus/Prunus_persica/p.persica_gdr_reftransV1_0002378","p.persica_gdr_reftransV1_0002378")</f>
        <v>p.persica_gdr_reftransV1_0002378</v>
      </c>
      <c r="B12844" s="2">
        <v>494</v>
      </c>
      <c r="C12844" s="4" t="str">
        <f>HYPERLINK("http://www.uniprot.org/uniprot/M5WU04","M5WU04")</f>
        <v>M5WU04</v>
      </c>
      <c r="D12844" s="2" t="s">
        <v>10649</v>
      </c>
      <c r="E12844" s="3">
        <v>1.56E-57</v>
      </c>
      <c r="F12844" s="2">
        <v>500</v>
      </c>
      <c r="G12844" s="2">
        <v>99</v>
      </c>
      <c r="H12844" s="2">
        <v>95</v>
      </c>
      <c r="I12844" s="2">
        <v>31</v>
      </c>
      <c r="J12844" s="2">
        <v>315</v>
      </c>
      <c r="K12844" s="2">
        <v>1</v>
      </c>
      <c r="L12844" s="2">
        <v>95</v>
      </c>
    </row>
    <row r="12845" spans="1:12" x14ac:dyDescent="0.25">
      <c r="A12845" s="4" t="str">
        <f>HYPERLINK("http://www.rosaceae.org/Prunus/Prunus_persica/p.persica_gdr_reftransV1_0002728","p.persica_gdr_reftransV1_0002728")</f>
        <v>p.persica_gdr_reftransV1_0002728</v>
      </c>
      <c r="B12845" s="2">
        <v>329</v>
      </c>
      <c r="C12845" s="4" t="str">
        <f>HYPERLINK("http://www.uniprot.org/uniprot/W9QHZ3","W9QHZ3")</f>
        <v>W9QHZ3</v>
      </c>
      <c r="D12845" s="2" t="s">
        <v>10650</v>
      </c>
      <c r="E12845" s="3">
        <v>5.41E-27</v>
      </c>
      <c r="F12845" s="2">
        <v>288</v>
      </c>
      <c r="G12845" s="2">
        <v>77</v>
      </c>
      <c r="H12845" s="2">
        <v>69</v>
      </c>
      <c r="I12845" s="2">
        <v>5</v>
      </c>
      <c r="J12845" s="2">
        <v>211</v>
      </c>
      <c r="K12845" s="2">
        <v>27</v>
      </c>
      <c r="L12845" s="2">
        <v>94</v>
      </c>
    </row>
    <row r="12846" spans="1:12" x14ac:dyDescent="0.25">
      <c r="A12846" s="4" t="str">
        <f>HYPERLINK("http://www.rosaceae.org/Prunus/Prunus_persica/p.persica_gdr_reftransV1_0003078","p.persica_gdr_reftransV1_0003078")</f>
        <v>p.persica_gdr_reftransV1_0003078</v>
      </c>
      <c r="B12846" s="2">
        <v>880</v>
      </c>
      <c r="C12846" s="4" t="str">
        <f>HYPERLINK("http://www.uniprot.org/uniprot/M5XRD3","M5XRD3")</f>
        <v>M5XRD3</v>
      </c>
      <c r="D12846" s="2" t="s">
        <v>10651</v>
      </c>
      <c r="E12846" s="3">
        <v>2.9399999999999999E-107</v>
      </c>
      <c r="F12846" s="2">
        <v>857</v>
      </c>
      <c r="G12846" s="2">
        <v>99</v>
      </c>
      <c r="H12846" s="2">
        <v>192</v>
      </c>
      <c r="I12846" s="2">
        <v>305</v>
      </c>
      <c r="J12846" s="2">
        <v>880</v>
      </c>
      <c r="K12846" s="2">
        <v>369</v>
      </c>
      <c r="L12846" s="2">
        <v>560</v>
      </c>
    </row>
    <row r="12847" spans="1:12" x14ac:dyDescent="0.25">
      <c r="A12847" s="4" t="str">
        <f>HYPERLINK("http://www.rosaceae.org/Prunus/Prunus_persica/p.persica_gdr_reftransV1_0003428","p.persica_gdr_reftransV1_0003428")</f>
        <v>p.persica_gdr_reftransV1_0003428</v>
      </c>
      <c r="B12847" s="2">
        <v>463</v>
      </c>
      <c r="C12847" s="4" t="str">
        <f>HYPERLINK("http://www.uniprot.org/uniprot/M5X451","M5X451")</f>
        <v>M5X451</v>
      </c>
      <c r="D12847" s="2" t="s">
        <v>688</v>
      </c>
      <c r="E12847" s="3">
        <v>4.6599999999999995E-81</v>
      </c>
      <c r="F12847" s="2">
        <v>660</v>
      </c>
      <c r="G12847" s="2">
        <v>100</v>
      </c>
      <c r="H12847" s="2">
        <v>153</v>
      </c>
      <c r="I12847" s="2">
        <v>3</v>
      </c>
      <c r="J12847" s="2">
        <v>461</v>
      </c>
      <c r="K12847" s="2">
        <v>3</v>
      </c>
      <c r="L12847" s="2">
        <v>155</v>
      </c>
    </row>
    <row r="12848" spans="1:12" x14ac:dyDescent="0.25">
      <c r="A12848" s="4" t="str">
        <f>HYPERLINK("http://www.rosaceae.org/Prunus/Prunus_persica/p.persica_gdr_reftransV1_0003778","p.persica_gdr_reftransV1_0003778")</f>
        <v>p.persica_gdr_reftransV1_0003778</v>
      </c>
      <c r="B12848" s="2">
        <v>311</v>
      </c>
      <c r="C12848" s="4" t="str">
        <f>HYPERLINK("http://www.uniprot.org/uniprot/C7YRZ3","C7YRZ3")</f>
        <v>C7YRZ3</v>
      </c>
      <c r="D12848" s="2" t="s">
        <v>10652</v>
      </c>
      <c r="E12848" s="3">
        <v>1.7599999999999999E-69</v>
      </c>
      <c r="F12848" s="2">
        <v>556</v>
      </c>
      <c r="G12848" s="2">
        <v>100</v>
      </c>
      <c r="H12848" s="2">
        <v>103</v>
      </c>
      <c r="I12848" s="2">
        <v>1</v>
      </c>
      <c r="J12848" s="2">
        <v>309</v>
      </c>
      <c r="K12848" s="2">
        <v>21</v>
      </c>
      <c r="L12848" s="2">
        <v>123</v>
      </c>
    </row>
    <row r="12849" spans="1:12" x14ac:dyDescent="0.25">
      <c r="A12849" s="4" t="str">
        <f>HYPERLINK("http://www.rosaceae.org/Prunus/Prunus_persica/p.persica_gdr_reftransV1_0004128","p.persica_gdr_reftransV1_0004128")</f>
        <v>p.persica_gdr_reftransV1_0004128</v>
      </c>
      <c r="B12849" s="2">
        <v>1884</v>
      </c>
      <c r="C12849" s="4" t="str">
        <f>HYPERLINK("http://www.uniprot.org/uniprot/M5X835","M5X835")</f>
        <v>M5X835</v>
      </c>
      <c r="D12849" s="2" t="s">
        <v>10653</v>
      </c>
      <c r="E12849" s="3">
        <v>0</v>
      </c>
      <c r="F12849" s="2">
        <v>1153</v>
      </c>
      <c r="G12849" s="2">
        <v>100</v>
      </c>
      <c r="H12849" s="2">
        <v>266</v>
      </c>
      <c r="I12849" s="2">
        <v>59</v>
      </c>
      <c r="J12849" s="2">
        <v>856</v>
      </c>
      <c r="K12849" s="2">
        <v>1</v>
      </c>
      <c r="L12849" s="2">
        <v>266</v>
      </c>
    </row>
    <row r="12850" spans="1:12" x14ac:dyDescent="0.25">
      <c r="A12850" s="4" t="str">
        <f>HYPERLINK("http://www.rosaceae.org/Prunus/Prunus_persica/p.persica_gdr_reftransV1_0004478","p.persica_gdr_reftransV1_0004478")</f>
        <v>p.persica_gdr_reftransV1_0004478</v>
      </c>
      <c r="B12850" s="2">
        <v>665</v>
      </c>
      <c r="C12850" s="4" t="str">
        <f>HYPERLINK("http://www.uniprot.org/uniprot/M5WN71","M5WN71")</f>
        <v>M5WN71</v>
      </c>
      <c r="D12850" s="2" t="s">
        <v>10023</v>
      </c>
      <c r="E12850" s="3">
        <v>4.3900000000000003E-78</v>
      </c>
      <c r="F12850" s="2">
        <v>636</v>
      </c>
      <c r="G12850" s="2">
        <v>100</v>
      </c>
      <c r="H12850" s="2">
        <v>135</v>
      </c>
      <c r="I12850" s="2">
        <v>25</v>
      </c>
      <c r="J12850" s="2">
        <v>429</v>
      </c>
      <c r="K12850" s="2">
        <v>198</v>
      </c>
      <c r="L12850" s="2">
        <v>332</v>
      </c>
    </row>
    <row r="12851" spans="1:12" x14ac:dyDescent="0.25">
      <c r="A12851" s="4" t="str">
        <f>HYPERLINK("http://www.rosaceae.org/Prunus/Prunus_persica/p.persica_gdr_reftransV1_0004828","p.persica_gdr_reftransV1_0004828")</f>
        <v>p.persica_gdr_reftransV1_0004828</v>
      </c>
      <c r="B12851" s="2">
        <v>1574</v>
      </c>
      <c r="C12851" s="4" t="str">
        <f>HYPERLINK("http://www.uniprot.org/uniprot/M5XEV1","M5XEV1")</f>
        <v>M5XEV1</v>
      </c>
      <c r="D12851" s="2" t="s">
        <v>10654</v>
      </c>
      <c r="E12851" s="3">
        <v>0</v>
      </c>
      <c r="F12851" s="2">
        <v>2120</v>
      </c>
      <c r="G12851" s="2">
        <v>100</v>
      </c>
      <c r="H12851" s="2">
        <v>403</v>
      </c>
      <c r="I12851" s="2">
        <v>165</v>
      </c>
      <c r="J12851" s="2">
        <v>1373</v>
      </c>
      <c r="K12851" s="2">
        <v>1</v>
      </c>
      <c r="L12851" s="2">
        <v>403</v>
      </c>
    </row>
    <row r="12852" spans="1:12" x14ac:dyDescent="0.25">
      <c r="A12852" s="4" t="str">
        <f>HYPERLINK("http://www.rosaceae.org/Prunus/Prunus_persica/p.persica_gdr_reftransV1_0005178","p.persica_gdr_reftransV1_0005178")</f>
        <v>p.persica_gdr_reftransV1_0005178</v>
      </c>
      <c r="B12852" s="2">
        <v>1641</v>
      </c>
      <c r="C12852" s="4" t="str">
        <f>HYPERLINK("http://www.uniprot.org/uniprot/M5XQN6","M5XQN6")</f>
        <v>M5XQN6</v>
      </c>
      <c r="D12852" s="2" t="s">
        <v>10655</v>
      </c>
      <c r="E12852" s="3">
        <v>0</v>
      </c>
      <c r="F12852" s="2">
        <v>2074</v>
      </c>
      <c r="G12852" s="2">
        <v>84</v>
      </c>
      <c r="H12852" s="2">
        <v>498</v>
      </c>
      <c r="I12852" s="2">
        <v>7</v>
      </c>
      <c r="J12852" s="2">
        <v>1401</v>
      </c>
      <c r="K12852" s="2">
        <v>1</v>
      </c>
      <c r="L12852" s="2">
        <v>474</v>
      </c>
    </row>
    <row r="12853" spans="1:12" x14ac:dyDescent="0.25">
      <c r="A12853" s="4" t="str">
        <f>HYPERLINK("http://www.rosaceae.org/Prunus/Prunus_persica/p.persica_gdr_reftransV1_0005878","p.persica_gdr_reftransV1_0005878")</f>
        <v>p.persica_gdr_reftransV1_0005878</v>
      </c>
      <c r="B12853" s="2">
        <v>1335</v>
      </c>
      <c r="C12853" s="4" t="str">
        <f>HYPERLINK("http://www.uniprot.org/uniprot/M5X475","M5X475")</f>
        <v>M5X475</v>
      </c>
      <c r="D12853" s="2" t="s">
        <v>10656</v>
      </c>
      <c r="E12853" s="3">
        <v>1.32E-48</v>
      </c>
      <c r="F12853" s="2">
        <v>440</v>
      </c>
      <c r="G12853" s="2">
        <v>93</v>
      </c>
      <c r="H12853" s="2">
        <v>92</v>
      </c>
      <c r="I12853" s="2">
        <v>120</v>
      </c>
      <c r="J12853" s="2">
        <v>395</v>
      </c>
      <c r="K12853" s="2">
        <v>1</v>
      </c>
      <c r="L12853" s="2">
        <v>92</v>
      </c>
    </row>
    <row r="12854" spans="1:12" x14ac:dyDescent="0.25">
      <c r="A12854" s="4" t="str">
        <f>HYPERLINK("http://www.rosaceae.org/Prunus/Prunus_persica/p.persica_gdr_reftransV1_0006228","p.persica_gdr_reftransV1_0006228")</f>
        <v>p.persica_gdr_reftransV1_0006228</v>
      </c>
      <c r="B12854" s="2">
        <v>1725</v>
      </c>
      <c r="C12854" s="4" t="str">
        <f>HYPERLINK("http://www.uniprot.org/uniprot/M5VIZ3","M5VIZ3")</f>
        <v>M5VIZ3</v>
      </c>
      <c r="D12854" s="2" t="s">
        <v>10657</v>
      </c>
      <c r="E12854" s="3">
        <v>0</v>
      </c>
      <c r="F12854" s="2">
        <v>2448</v>
      </c>
      <c r="G12854" s="2">
        <v>100</v>
      </c>
      <c r="H12854" s="2">
        <v>473</v>
      </c>
      <c r="I12854" s="2">
        <v>26</v>
      </c>
      <c r="J12854" s="2">
        <v>1444</v>
      </c>
      <c r="K12854" s="2">
        <v>1</v>
      </c>
      <c r="L12854" s="2">
        <v>473</v>
      </c>
    </row>
    <row r="12855" spans="1:12" x14ac:dyDescent="0.25">
      <c r="A12855" s="4" t="str">
        <f>HYPERLINK("http://www.rosaceae.org/Prunus/Prunus_persica/p.persica_gdr_reftransV1_0006928","p.persica_gdr_reftransV1_0006928")</f>
        <v>p.persica_gdr_reftransV1_0006928</v>
      </c>
      <c r="B12855" s="2">
        <v>1536</v>
      </c>
      <c r="C12855" s="4" t="str">
        <f>HYPERLINK("http://www.uniprot.org/uniprot/M5W834","M5W834")</f>
        <v>M5W834</v>
      </c>
      <c r="D12855" s="2" t="s">
        <v>6032</v>
      </c>
      <c r="E12855" s="3">
        <v>0</v>
      </c>
      <c r="F12855" s="2">
        <v>1531</v>
      </c>
      <c r="G12855" s="2">
        <v>99</v>
      </c>
      <c r="H12855" s="2">
        <v>285</v>
      </c>
      <c r="I12855" s="2">
        <v>2</v>
      </c>
      <c r="J12855" s="2">
        <v>856</v>
      </c>
      <c r="K12855" s="2">
        <v>237</v>
      </c>
      <c r="L12855" s="2">
        <v>521</v>
      </c>
    </row>
    <row r="12856" spans="1:12" x14ac:dyDescent="0.25">
      <c r="A12856" s="4" t="str">
        <f>HYPERLINK("http://www.rosaceae.org/Prunus/Prunus_persica/p.persica_gdr_reftransV1_0007978","p.persica_gdr_reftransV1_0007978")</f>
        <v>p.persica_gdr_reftransV1_0007978</v>
      </c>
      <c r="B12856" s="2">
        <v>534</v>
      </c>
      <c r="C12856" s="4" t="str">
        <f>HYPERLINK("http://www.uniprot.org/uniprot/M5Y9E6","M5Y9E6")</f>
        <v>M5Y9E6</v>
      </c>
      <c r="D12856" s="2" t="s">
        <v>8456</v>
      </c>
      <c r="E12856" s="3">
        <v>3.6099999999999998E-81</v>
      </c>
      <c r="F12856" s="2">
        <v>641</v>
      </c>
      <c r="G12856" s="2">
        <v>100</v>
      </c>
      <c r="H12856" s="2">
        <v>130</v>
      </c>
      <c r="I12856" s="2">
        <v>1</v>
      </c>
      <c r="J12856" s="2">
        <v>390</v>
      </c>
      <c r="K12856" s="2">
        <v>1</v>
      </c>
      <c r="L12856" s="2">
        <v>130</v>
      </c>
    </row>
    <row r="12857" spans="1:12" x14ac:dyDescent="0.25">
      <c r="A12857" s="4" t="str">
        <f>HYPERLINK("http://www.rosaceae.org/Prunus/Prunus_persica/p.persica_gdr_reftransV1_0008678","p.persica_gdr_reftransV1_0008678")</f>
        <v>p.persica_gdr_reftransV1_0008678</v>
      </c>
      <c r="B12857" s="2">
        <v>2137</v>
      </c>
      <c r="C12857" s="4" t="str">
        <f>HYPERLINK("http://www.uniprot.org/uniprot/M5WT84","M5WT84")</f>
        <v>M5WT84</v>
      </c>
      <c r="D12857" s="2" t="s">
        <v>10658</v>
      </c>
      <c r="E12857" s="3">
        <v>0</v>
      </c>
      <c r="F12857" s="2">
        <v>2709</v>
      </c>
      <c r="G12857" s="2">
        <v>100</v>
      </c>
      <c r="H12857" s="2">
        <v>528</v>
      </c>
      <c r="I12857" s="2">
        <v>314</v>
      </c>
      <c r="J12857" s="2">
        <v>1897</v>
      </c>
      <c r="K12857" s="2">
        <v>1</v>
      </c>
      <c r="L12857" s="2">
        <v>528</v>
      </c>
    </row>
    <row r="12858" spans="1:12" x14ac:dyDescent="0.25">
      <c r="A12858" s="4" t="str">
        <f>HYPERLINK("http://www.rosaceae.org/Prunus/Prunus_persica/p.persica_gdr_reftransV1_0009378","p.persica_gdr_reftransV1_0009378")</f>
        <v>p.persica_gdr_reftransV1_0009378</v>
      </c>
      <c r="B12858" s="2">
        <v>2416</v>
      </c>
      <c r="C12858" s="4" t="str">
        <f>HYPERLINK("http://www.uniprot.org/uniprot/M5Y4V8","M5Y4V8")</f>
        <v>M5Y4V8</v>
      </c>
      <c r="D12858" s="2" t="s">
        <v>10659</v>
      </c>
      <c r="E12858" s="3">
        <v>0</v>
      </c>
      <c r="F12858" s="2">
        <v>3252</v>
      </c>
      <c r="G12858" s="2">
        <v>96</v>
      </c>
      <c r="H12858" s="2">
        <v>635</v>
      </c>
      <c r="I12858" s="2">
        <v>308</v>
      </c>
      <c r="J12858" s="2">
        <v>2212</v>
      </c>
      <c r="K12858" s="2">
        <v>1</v>
      </c>
      <c r="L12858" s="2">
        <v>612</v>
      </c>
    </row>
    <row r="12859" spans="1:12" x14ac:dyDescent="0.25">
      <c r="A12859" s="4" t="str">
        <f>HYPERLINK("http://www.rosaceae.org/Prunus/Prunus_persica/p.persica_gdr_reftransV1_0010078","p.persica_gdr_reftransV1_0010078")</f>
        <v>p.persica_gdr_reftransV1_0010078</v>
      </c>
      <c r="B12859" s="2">
        <v>1054</v>
      </c>
      <c r="C12859" s="4" t="str">
        <f>HYPERLINK("http://www.uniprot.org/uniprot/M5W3V9","M5W3V9")</f>
        <v>M5W3V9</v>
      </c>
      <c r="D12859" s="2" t="s">
        <v>10660</v>
      </c>
      <c r="E12859" s="3">
        <v>9.1399999999999997E-79</v>
      </c>
      <c r="F12859" s="2">
        <v>635</v>
      </c>
      <c r="G12859" s="2">
        <v>100</v>
      </c>
      <c r="H12859" s="2">
        <v>135</v>
      </c>
      <c r="I12859" s="2">
        <v>566</v>
      </c>
      <c r="J12859" s="2">
        <v>970</v>
      </c>
      <c r="K12859" s="2">
        <v>1</v>
      </c>
      <c r="L12859" s="2">
        <v>135</v>
      </c>
    </row>
    <row r="12860" spans="1:12" x14ac:dyDescent="0.25">
      <c r="A12860" s="4" t="str">
        <f>HYPERLINK("http://www.rosaceae.org/Prunus/Prunus_persica/p.persica_gdr_reftransV1_0010428","p.persica_gdr_reftransV1_0010428")</f>
        <v>p.persica_gdr_reftransV1_0010428</v>
      </c>
      <c r="B12860" s="2">
        <v>2254</v>
      </c>
      <c r="C12860" s="4" t="str">
        <f>HYPERLINK("http://www.uniprot.org/uniprot/M5WFV5","M5WFV5")</f>
        <v>M5WFV5</v>
      </c>
      <c r="D12860" s="2" t="s">
        <v>10661</v>
      </c>
      <c r="E12860" s="3">
        <v>0</v>
      </c>
      <c r="F12860" s="2">
        <v>2828</v>
      </c>
      <c r="G12860" s="2">
        <v>100</v>
      </c>
      <c r="H12860" s="2">
        <v>584</v>
      </c>
      <c r="I12860" s="2">
        <v>189</v>
      </c>
      <c r="J12860" s="2">
        <v>1940</v>
      </c>
      <c r="K12860" s="2">
        <v>1</v>
      </c>
      <c r="L12860" s="2">
        <v>584</v>
      </c>
    </row>
    <row r="12861" spans="1:12" x14ac:dyDescent="0.25">
      <c r="A12861" s="4" t="str">
        <f>HYPERLINK("http://www.rosaceae.org/Prunus/Prunus_persica/p.persica_gdr_reftransV1_0012528","p.persica_gdr_reftransV1_0012528")</f>
        <v>p.persica_gdr_reftransV1_0012528</v>
      </c>
      <c r="B12861" s="2">
        <v>1703</v>
      </c>
      <c r="C12861" s="4" t="str">
        <f>HYPERLINK("http://www.uniprot.org/uniprot/M5XQM7","M5XQM7")</f>
        <v>M5XQM7</v>
      </c>
      <c r="D12861" s="2" t="s">
        <v>10662</v>
      </c>
      <c r="E12861" s="3">
        <v>0</v>
      </c>
      <c r="F12861" s="2">
        <v>1765</v>
      </c>
      <c r="G12861" s="2">
        <v>100</v>
      </c>
      <c r="H12861" s="2">
        <v>328</v>
      </c>
      <c r="I12861" s="2">
        <v>143</v>
      </c>
      <c r="J12861" s="2">
        <v>1126</v>
      </c>
      <c r="K12861" s="2">
        <v>1</v>
      </c>
      <c r="L12861" s="2">
        <v>328</v>
      </c>
    </row>
    <row r="12862" spans="1:12" x14ac:dyDescent="0.25">
      <c r="A12862" s="4" t="str">
        <f>HYPERLINK("http://www.rosaceae.org/Prunus/Prunus_persica/p.persica_gdr_reftransV1_0013928","p.persica_gdr_reftransV1_0013928")</f>
        <v>p.persica_gdr_reftransV1_0013928</v>
      </c>
      <c r="B12862" s="2">
        <v>2846</v>
      </c>
      <c r="C12862" s="4" t="str">
        <f>HYPERLINK("http://www.uniprot.org/uniprot/M5WFJ1","M5WFJ1")</f>
        <v>M5WFJ1</v>
      </c>
      <c r="D12862" s="2" t="s">
        <v>10663</v>
      </c>
      <c r="E12862" s="3">
        <v>0</v>
      </c>
      <c r="F12862" s="2">
        <v>3636</v>
      </c>
      <c r="G12862" s="2">
        <v>100</v>
      </c>
      <c r="H12862" s="2">
        <v>724</v>
      </c>
      <c r="I12862" s="2">
        <v>325</v>
      </c>
      <c r="J12862" s="2">
        <v>2496</v>
      </c>
      <c r="K12862" s="2">
        <v>1</v>
      </c>
      <c r="L12862" s="2">
        <v>724</v>
      </c>
    </row>
    <row r="12863" spans="1:12" x14ac:dyDescent="0.25">
      <c r="A12863" s="4" t="str">
        <f>HYPERLINK("http://www.rosaceae.org/Prunus/Prunus_persica/p.persica_gdr_reftransV1_0014628","p.persica_gdr_reftransV1_0014628")</f>
        <v>p.persica_gdr_reftransV1_0014628</v>
      </c>
      <c r="B12863" s="2">
        <v>7193</v>
      </c>
      <c r="C12863" s="4" t="str">
        <f>HYPERLINK("http://www.uniprot.org/uniprot/M5X6U0","M5X6U0")</f>
        <v>M5X6U0</v>
      </c>
      <c r="D12863" s="2" t="s">
        <v>10664</v>
      </c>
      <c r="E12863" s="3">
        <v>0</v>
      </c>
      <c r="F12863" s="2">
        <v>6710</v>
      </c>
      <c r="G12863" s="2">
        <v>100</v>
      </c>
      <c r="H12863" s="2">
        <v>1330</v>
      </c>
      <c r="I12863" s="2">
        <v>108</v>
      </c>
      <c r="J12863" s="2">
        <v>4097</v>
      </c>
      <c r="K12863" s="2">
        <v>1</v>
      </c>
      <c r="L12863" s="2">
        <v>1330</v>
      </c>
    </row>
    <row r="12864" spans="1:12" x14ac:dyDescent="0.25">
      <c r="A12864" s="4" t="str">
        <f>HYPERLINK("http://www.rosaceae.org/Prunus/Prunus_persica/p.persica_gdr_reftransV1_0014978","p.persica_gdr_reftransV1_0014978")</f>
        <v>p.persica_gdr_reftransV1_0014978</v>
      </c>
      <c r="B12864" s="2">
        <v>3331</v>
      </c>
      <c r="C12864" s="4" t="str">
        <f>HYPERLINK("http://www.uniprot.org/uniprot/M5XRP7","M5XRP7")</f>
        <v>M5XRP7</v>
      </c>
      <c r="D12864" s="2" t="s">
        <v>10665</v>
      </c>
      <c r="E12864" s="3">
        <v>0</v>
      </c>
      <c r="F12864" s="2">
        <v>4670</v>
      </c>
      <c r="G12864" s="2">
        <v>100</v>
      </c>
      <c r="H12864" s="2">
        <v>898</v>
      </c>
      <c r="I12864" s="2">
        <v>246</v>
      </c>
      <c r="J12864" s="2">
        <v>2939</v>
      </c>
      <c r="K12864" s="2">
        <v>1</v>
      </c>
      <c r="L12864" s="2">
        <v>898</v>
      </c>
    </row>
    <row r="12865" spans="1:12" x14ac:dyDescent="0.25">
      <c r="A12865" s="4" t="str">
        <f>HYPERLINK("http://www.rosaceae.org/Prunus/Prunus_persica/p.persica_gdr_reftransV1_0016028","p.persica_gdr_reftransV1_0016028")</f>
        <v>p.persica_gdr_reftransV1_0016028</v>
      </c>
      <c r="B12865" s="2">
        <v>1772</v>
      </c>
      <c r="C12865" s="4" t="str">
        <f>HYPERLINK("http://www.uniprot.org/uniprot/M5XXF2","M5XXF2")</f>
        <v>M5XXF2</v>
      </c>
      <c r="D12865" s="2" t="s">
        <v>10666</v>
      </c>
      <c r="E12865" s="3">
        <v>0</v>
      </c>
      <c r="F12865" s="2">
        <v>1853</v>
      </c>
      <c r="G12865" s="2">
        <v>100</v>
      </c>
      <c r="H12865" s="2">
        <v>369</v>
      </c>
      <c r="I12865" s="2">
        <v>71</v>
      </c>
      <c r="J12865" s="2">
        <v>1177</v>
      </c>
      <c r="K12865" s="2">
        <v>1</v>
      </c>
      <c r="L12865" s="2">
        <v>369</v>
      </c>
    </row>
    <row r="12866" spans="1:12" x14ac:dyDescent="0.25">
      <c r="A12866" s="4" t="str">
        <f>HYPERLINK("http://www.rosaceae.org/Prunus/Prunus_persica/p.persica_gdr_reftransV1_0018128","p.persica_gdr_reftransV1_0018128")</f>
        <v>p.persica_gdr_reftransV1_0018128</v>
      </c>
      <c r="B12866" s="2">
        <v>2219</v>
      </c>
      <c r="C12866" s="4" t="str">
        <f>HYPERLINK("http://www.uniprot.org/uniprot/M5XM38","M5XM38")</f>
        <v>M5XM38</v>
      </c>
      <c r="D12866" s="2" t="s">
        <v>10667</v>
      </c>
      <c r="E12866" s="3">
        <v>0</v>
      </c>
      <c r="F12866" s="2">
        <v>1974</v>
      </c>
      <c r="G12866" s="2">
        <v>100</v>
      </c>
      <c r="H12866" s="2">
        <v>366</v>
      </c>
      <c r="I12866" s="2">
        <v>832</v>
      </c>
      <c r="J12866" s="2">
        <v>1929</v>
      </c>
      <c r="K12866" s="2">
        <v>1</v>
      </c>
      <c r="L12866" s="2">
        <v>366</v>
      </c>
    </row>
    <row r="12867" spans="1:12" x14ac:dyDescent="0.25">
      <c r="A12867" s="4" t="str">
        <f>HYPERLINK("http://www.rosaceae.org/Prunus/Prunus_persica/p.persica_gdr_reftransV1_0019178","p.persica_gdr_reftransV1_0019178")</f>
        <v>p.persica_gdr_reftransV1_0019178</v>
      </c>
      <c r="B12867" s="2">
        <v>3904</v>
      </c>
      <c r="C12867" s="4" t="str">
        <f>HYPERLINK("http://www.uniprot.org/uniprot/A5AXV2","A5AXV2")</f>
        <v>A5AXV2</v>
      </c>
      <c r="D12867" s="2" t="s">
        <v>10668</v>
      </c>
      <c r="E12867" s="3">
        <v>6.2600000000000001E-170</v>
      </c>
      <c r="F12867" s="2">
        <v>1383</v>
      </c>
      <c r="G12867" s="2">
        <v>51</v>
      </c>
      <c r="H12867" s="2">
        <v>566</v>
      </c>
      <c r="I12867" s="2">
        <v>2032</v>
      </c>
      <c r="J12867" s="2">
        <v>3720</v>
      </c>
      <c r="K12867" s="2">
        <v>180</v>
      </c>
      <c r="L12867" s="2">
        <v>736</v>
      </c>
    </row>
    <row r="12868" spans="1:12" x14ac:dyDescent="0.25">
      <c r="A12868" s="4" t="str">
        <f>HYPERLINK("http://www.rosaceae.org/Prunus/Prunus_persica/p.persica_gdr_reftransV1_0020928","p.persica_gdr_reftransV1_0020928")</f>
        <v>p.persica_gdr_reftransV1_0020928</v>
      </c>
      <c r="B12868" s="2">
        <v>925</v>
      </c>
      <c r="C12868" s="4" t="str">
        <f>HYPERLINK("http://www.uniprot.org/uniprot/M5WPQ9","M5WPQ9")</f>
        <v>M5WPQ9</v>
      </c>
      <c r="D12868" s="2" t="s">
        <v>10669</v>
      </c>
      <c r="E12868" s="3">
        <v>1.4299999999999999E-85</v>
      </c>
      <c r="F12868" s="2">
        <v>725</v>
      </c>
      <c r="G12868" s="2">
        <v>100</v>
      </c>
      <c r="H12868" s="2">
        <v>148</v>
      </c>
      <c r="I12868" s="2">
        <v>3</v>
      </c>
      <c r="J12868" s="2">
        <v>446</v>
      </c>
      <c r="K12868" s="2">
        <v>1</v>
      </c>
      <c r="L12868" s="2">
        <v>148</v>
      </c>
    </row>
    <row r="12869" spans="1:12" x14ac:dyDescent="0.25">
      <c r="A12869" s="4" t="str">
        <f>HYPERLINK("http://www.rosaceae.org/Prunus/Prunus_persica/p.persica_gdr_reftransV1_0021978","p.persica_gdr_reftransV1_0021978")</f>
        <v>p.persica_gdr_reftransV1_0021978</v>
      </c>
      <c r="B12869" s="2">
        <v>1684</v>
      </c>
      <c r="C12869" s="4" t="str">
        <f>HYPERLINK("http://www.uniprot.org/uniprot/M5W4M1","M5W4M1")</f>
        <v>M5W4M1</v>
      </c>
      <c r="D12869" s="2" t="s">
        <v>10670</v>
      </c>
      <c r="E12869" s="3">
        <v>0</v>
      </c>
      <c r="F12869" s="2">
        <v>1778</v>
      </c>
      <c r="G12869" s="2">
        <v>100</v>
      </c>
      <c r="H12869" s="2">
        <v>337</v>
      </c>
      <c r="I12869" s="2">
        <v>278</v>
      </c>
      <c r="J12869" s="2">
        <v>1288</v>
      </c>
      <c r="K12869" s="2">
        <v>1</v>
      </c>
      <c r="L12869" s="2">
        <v>337</v>
      </c>
    </row>
    <row r="12870" spans="1:12" x14ac:dyDescent="0.25">
      <c r="A12870" s="4" t="str">
        <f>HYPERLINK("http://www.rosaceae.org/Prunus/Prunus_persica/p.persica_gdr_reftransV1_0022328","p.persica_gdr_reftransV1_0022328")</f>
        <v>p.persica_gdr_reftransV1_0022328</v>
      </c>
      <c r="B12870" s="2">
        <v>1807</v>
      </c>
      <c r="C12870" s="4" t="str">
        <f>HYPERLINK("http://www.uniprot.org/uniprot/U7DYG2","U7DYG2")</f>
        <v>U7DYG2</v>
      </c>
      <c r="D12870" s="2" t="s">
        <v>10671</v>
      </c>
      <c r="E12870" s="3">
        <v>1.8300000000000002E-173</v>
      </c>
      <c r="F12870" s="2">
        <v>755</v>
      </c>
      <c r="G12870" s="2">
        <v>55</v>
      </c>
      <c r="H12870" s="2">
        <v>269</v>
      </c>
      <c r="I12870" s="2">
        <v>27</v>
      </c>
      <c r="J12870" s="2">
        <v>833</v>
      </c>
      <c r="K12870" s="2">
        <v>140</v>
      </c>
      <c r="L12870" s="2">
        <v>407</v>
      </c>
    </row>
    <row r="12871" spans="1:12" x14ac:dyDescent="0.25">
      <c r="A12871" s="4" t="str">
        <f>HYPERLINK("http://www.rosaceae.org/Prunus/Prunus_persica/p.persica_gdr_reftransV1_0022678","p.persica_gdr_reftransV1_0022678")</f>
        <v>p.persica_gdr_reftransV1_0022678</v>
      </c>
      <c r="B12871" s="2">
        <v>2312</v>
      </c>
      <c r="C12871" s="4" t="str">
        <f>HYPERLINK("http://www.uniprot.org/uniprot/M5VSV0","M5VSV0")</f>
        <v>M5VSV0</v>
      </c>
      <c r="D12871" s="2" t="s">
        <v>1725</v>
      </c>
      <c r="E12871" s="3">
        <v>0</v>
      </c>
      <c r="F12871" s="2">
        <v>2298</v>
      </c>
      <c r="G12871" s="2">
        <v>100</v>
      </c>
      <c r="H12871" s="2">
        <v>476</v>
      </c>
      <c r="I12871" s="2">
        <v>805</v>
      </c>
      <c r="J12871" s="2">
        <v>2232</v>
      </c>
      <c r="K12871" s="2">
        <v>1</v>
      </c>
      <c r="L12871" s="2">
        <v>476</v>
      </c>
    </row>
    <row r="12872" spans="1:12" x14ac:dyDescent="0.25">
      <c r="A12872" s="4" t="str">
        <f>HYPERLINK("http://www.rosaceae.org/Prunus/Prunus_persica/p.persica_gdr_reftransV1_0023028","p.persica_gdr_reftransV1_0023028")</f>
        <v>p.persica_gdr_reftransV1_0023028</v>
      </c>
      <c r="B12872" s="2">
        <v>1612</v>
      </c>
      <c r="C12872" s="4" t="str">
        <f>HYPERLINK("http://www.uniprot.org/uniprot/M5XC86","M5XC86")</f>
        <v>M5XC86</v>
      </c>
      <c r="D12872" s="2" t="s">
        <v>10672</v>
      </c>
      <c r="E12872" s="3">
        <v>0</v>
      </c>
      <c r="F12872" s="2">
        <v>1288</v>
      </c>
      <c r="G12872" s="2">
        <v>98</v>
      </c>
      <c r="H12872" s="2">
        <v>250</v>
      </c>
      <c r="I12872" s="2">
        <v>343</v>
      </c>
      <c r="J12872" s="2">
        <v>1092</v>
      </c>
      <c r="K12872" s="2">
        <v>140</v>
      </c>
      <c r="L12872" s="2">
        <v>389</v>
      </c>
    </row>
    <row r="12873" spans="1:12" x14ac:dyDescent="0.25">
      <c r="A12873" s="4" t="str">
        <f>HYPERLINK("http://www.rosaceae.org/Prunus/Prunus_persica/p.persica_gdr_reftransV1_0023378","p.persica_gdr_reftransV1_0023378")</f>
        <v>p.persica_gdr_reftransV1_0023378</v>
      </c>
      <c r="B12873" s="2">
        <v>1325</v>
      </c>
      <c r="C12873" s="4" t="str">
        <f>HYPERLINK("http://www.uniprot.org/uniprot/M5VQM5","M5VQM5")</f>
        <v>M5VQM5</v>
      </c>
      <c r="D12873" s="2" t="s">
        <v>10673</v>
      </c>
      <c r="E12873" s="3">
        <v>0</v>
      </c>
      <c r="F12873" s="2">
        <v>1423</v>
      </c>
      <c r="G12873" s="2">
        <v>100</v>
      </c>
      <c r="H12873" s="2">
        <v>301</v>
      </c>
      <c r="I12873" s="2">
        <v>102</v>
      </c>
      <c r="J12873" s="2">
        <v>1004</v>
      </c>
      <c r="K12873" s="2">
        <v>1</v>
      </c>
      <c r="L12873" s="2">
        <v>301</v>
      </c>
    </row>
    <row r="12874" spans="1:12" x14ac:dyDescent="0.25">
      <c r="A12874" s="4" t="str">
        <f>HYPERLINK("http://www.rosaceae.org/Prunus/Prunus_persica/p.persica_gdr_reftransV1_0024428","p.persica_gdr_reftransV1_0024428")</f>
        <v>p.persica_gdr_reftransV1_0024428</v>
      </c>
      <c r="B12874" s="2">
        <v>1407</v>
      </c>
      <c r="C12874" s="4" t="str">
        <f>HYPERLINK("http://www.uniprot.org/uniprot/M5XEL5","M5XEL5")</f>
        <v>M5XEL5</v>
      </c>
      <c r="D12874" s="2" t="s">
        <v>10674</v>
      </c>
      <c r="E12874" s="3">
        <v>0</v>
      </c>
      <c r="F12874" s="2">
        <v>1889</v>
      </c>
      <c r="G12874" s="2">
        <v>100</v>
      </c>
      <c r="H12874" s="2">
        <v>368</v>
      </c>
      <c r="I12874" s="2">
        <v>137</v>
      </c>
      <c r="J12874" s="2">
        <v>1240</v>
      </c>
      <c r="K12874" s="2">
        <v>1</v>
      </c>
      <c r="L12874" s="2">
        <v>368</v>
      </c>
    </row>
    <row r="12875" spans="1:12" x14ac:dyDescent="0.25">
      <c r="A12875" s="4" t="str">
        <f>HYPERLINK("http://www.rosaceae.org/Prunus/Prunus_persica/p.persica_gdr_reftransV1_0024778","p.persica_gdr_reftransV1_0024778")</f>
        <v>p.persica_gdr_reftransV1_0024778</v>
      </c>
      <c r="B12875" s="2">
        <v>2869</v>
      </c>
      <c r="C12875" s="4" t="str">
        <f>HYPERLINK("http://www.uniprot.org/uniprot/M5WHE8","M5WHE8")</f>
        <v>M5WHE8</v>
      </c>
      <c r="D12875" s="2" t="s">
        <v>10675</v>
      </c>
      <c r="E12875" s="3">
        <v>4.4099999999999998E-140</v>
      </c>
      <c r="F12875" s="2">
        <v>1116</v>
      </c>
      <c r="G12875" s="2">
        <v>100</v>
      </c>
      <c r="H12875" s="2">
        <v>264</v>
      </c>
      <c r="I12875" s="2">
        <v>200</v>
      </c>
      <c r="J12875" s="2">
        <v>991</v>
      </c>
      <c r="K12875" s="2">
        <v>1</v>
      </c>
      <c r="L12875" s="2">
        <v>264</v>
      </c>
    </row>
    <row r="12876" spans="1:12" x14ac:dyDescent="0.25">
      <c r="A12876" s="4" t="str">
        <f>HYPERLINK("http://www.rosaceae.org/Prunus/Prunus_persica/p.persica_gdr_reftransV1_0026528","p.persica_gdr_reftransV1_0026528")</f>
        <v>p.persica_gdr_reftransV1_0026528</v>
      </c>
      <c r="B12876" s="2">
        <v>1213</v>
      </c>
      <c r="C12876" s="4" t="str">
        <f>HYPERLINK("http://www.uniprot.org/uniprot/M5VQU7","M5VQU7")</f>
        <v>M5VQU7</v>
      </c>
      <c r="D12876" s="2" t="s">
        <v>10676</v>
      </c>
      <c r="E12876" s="3">
        <v>1.0799999999999999E-98</v>
      </c>
      <c r="F12876" s="2">
        <v>785</v>
      </c>
      <c r="G12876" s="2">
        <v>100</v>
      </c>
      <c r="H12876" s="2">
        <v>182</v>
      </c>
      <c r="I12876" s="2">
        <v>90</v>
      </c>
      <c r="J12876" s="2">
        <v>635</v>
      </c>
      <c r="K12876" s="2">
        <v>86</v>
      </c>
      <c r="L12876" s="2">
        <v>267</v>
      </c>
    </row>
    <row r="12877" spans="1:12" x14ac:dyDescent="0.25">
      <c r="A12877" s="4" t="str">
        <f>HYPERLINK("http://www.rosaceae.org/Prunus/Prunus_persica/p.persica_gdr_reftransV1_0026878","p.persica_gdr_reftransV1_0026878")</f>
        <v>p.persica_gdr_reftransV1_0026878</v>
      </c>
      <c r="B12877" s="2">
        <v>1865</v>
      </c>
      <c r="C12877" s="4" t="str">
        <f>HYPERLINK("http://www.uniprot.org/uniprot/M5X2C7","M5X2C7")</f>
        <v>M5X2C7</v>
      </c>
      <c r="D12877" s="2" t="s">
        <v>10677</v>
      </c>
      <c r="E12877" s="3">
        <v>0</v>
      </c>
      <c r="F12877" s="2">
        <v>2531</v>
      </c>
      <c r="G12877" s="2">
        <v>100</v>
      </c>
      <c r="H12877" s="2">
        <v>499</v>
      </c>
      <c r="I12877" s="2">
        <v>153</v>
      </c>
      <c r="J12877" s="2">
        <v>1649</v>
      </c>
      <c r="K12877" s="2">
        <v>1</v>
      </c>
      <c r="L12877" s="2">
        <v>499</v>
      </c>
    </row>
    <row r="12878" spans="1:12" x14ac:dyDescent="0.25">
      <c r="A12878" s="4" t="str">
        <f>HYPERLINK("http://www.rosaceae.org/Prunus/Prunus_persica/p.persica_gdr_reftransV1_0027228","p.persica_gdr_reftransV1_0027228")</f>
        <v>p.persica_gdr_reftransV1_0027228</v>
      </c>
      <c r="B12878" s="2">
        <v>4060</v>
      </c>
      <c r="C12878" s="4" t="str">
        <f>HYPERLINK("http://www.uniprot.org/uniprot/M5W8F6","M5W8F6")</f>
        <v>M5W8F6</v>
      </c>
      <c r="D12878" s="2" t="s">
        <v>8645</v>
      </c>
      <c r="E12878" s="3">
        <v>0</v>
      </c>
      <c r="F12878" s="2">
        <v>2872</v>
      </c>
      <c r="G12878" s="2">
        <v>99</v>
      </c>
      <c r="H12878" s="2">
        <v>560</v>
      </c>
      <c r="I12878" s="2">
        <v>129</v>
      </c>
      <c r="J12878" s="2">
        <v>1808</v>
      </c>
      <c r="K12878" s="2">
        <v>1</v>
      </c>
      <c r="L12878" s="2">
        <v>560</v>
      </c>
    </row>
    <row r="12879" spans="1:12" x14ac:dyDescent="0.25">
      <c r="A12879" s="4" t="str">
        <f>HYPERLINK("http://www.rosaceae.org/Prunus/Prunus_persica/p.persica_gdr_reftransV1_0029678","p.persica_gdr_reftransV1_0029678")</f>
        <v>p.persica_gdr_reftransV1_0029678</v>
      </c>
      <c r="B12879" s="2">
        <v>1550</v>
      </c>
      <c r="C12879" s="4" t="str">
        <f>HYPERLINK("http://www.uniprot.org/uniprot/M5XS32","M5XS32")</f>
        <v>M5XS32</v>
      </c>
      <c r="D12879" s="2" t="s">
        <v>10678</v>
      </c>
      <c r="E12879" s="3">
        <v>0</v>
      </c>
      <c r="F12879" s="2">
        <v>1433</v>
      </c>
      <c r="G12879" s="2">
        <v>100</v>
      </c>
      <c r="H12879" s="2">
        <v>297</v>
      </c>
      <c r="I12879" s="2">
        <v>286</v>
      </c>
      <c r="J12879" s="2">
        <v>1176</v>
      </c>
      <c r="K12879" s="2">
        <v>1</v>
      </c>
      <c r="L12879" s="2">
        <v>297</v>
      </c>
    </row>
    <row r="12880" spans="1:12" x14ac:dyDescent="0.25">
      <c r="A12880" s="4" t="str">
        <f>HYPERLINK("http://www.rosaceae.org/Prunus/Prunus_persica/p.persica_gdr_reftransV1_0030028","p.persica_gdr_reftransV1_0030028")</f>
        <v>p.persica_gdr_reftransV1_0030028</v>
      </c>
      <c r="B12880" s="2">
        <v>2803</v>
      </c>
      <c r="C12880" s="4" t="str">
        <f>HYPERLINK("http://www.uniprot.org/uniprot/W9QI16","W9QI16")</f>
        <v>W9QI16</v>
      </c>
      <c r="D12880" s="2" t="s">
        <v>10679</v>
      </c>
      <c r="E12880" s="3">
        <v>0</v>
      </c>
      <c r="F12880" s="2">
        <v>3299</v>
      </c>
      <c r="G12880" s="2">
        <v>83</v>
      </c>
      <c r="H12880" s="2">
        <v>758</v>
      </c>
      <c r="I12880" s="2">
        <v>366</v>
      </c>
      <c r="J12880" s="2">
        <v>2639</v>
      </c>
      <c r="K12880" s="2">
        <v>5</v>
      </c>
      <c r="L12880" s="2">
        <v>761</v>
      </c>
    </row>
    <row r="12881" spans="1:12" x14ac:dyDescent="0.25">
      <c r="A12881" s="4" t="str">
        <f>HYPERLINK("http://www.rosaceae.org/Prunus/Prunus_persica/p.persica_gdr_reftransV1_0033178","p.persica_gdr_reftransV1_0033178")</f>
        <v>p.persica_gdr_reftransV1_0033178</v>
      </c>
      <c r="B12881" s="2">
        <v>2376</v>
      </c>
      <c r="C12881" s="4" t="str">
        <f>HYPERLINK("http://www.uniprot.org/uniprot/M5W7X7","M5W7X7")</f>
        <v>M5W7X7</v>
      </c>
      <c r="D12881" s="2" t="s">
        <v>10680</v>
      </c>
      <c r="E12881" s="3">
        <v>0</v>
      </c>
      <c r="F12881" s="2">
        <v>1630</v>
      </c>
      <c r="G12881" s="2">
        <v>99</v>
      </c>
      <c r="H12881" s="2">
        <v>341</v>
      </c>
      <c r="I12881" s="2">
        <v>175</v>
      </c>
      <c r="J12881" s="2">
        <v>1197</v>
      </c>
      <c r="K12881" s="2">
        <v>1</v>
      </c>
      <c r="L12881" s="2">
        <v>341</v>
      </c>
    </row>
    <row r="12882" spans="1:12" x14ac:dyDescent="0.25">
      <c r="A12882" s="4" t="str">
        <f>HYPERLINK("http://www.rosaceae.org/Prunus/Prunus_persica/p.persica_gdr_reftransV1_0036678","p.persica_gdr_reftransV1_0036678")</f>
        <v>p.persica_gdr_reftransV1_0036678</v>
      </c>
      <c r="B12882" s="2">
        <v>4903</v>
      </c>
      <c r="C12882" s="4" t="str">
        <f>HYPERLINK("http://www.uniprot.org/uniprot/M5WYH2","M5WYH2")</f>
        <v>M5WYH2</v>
      </c>
      <c r="D12882" s="2" t="s">
        <v>10681</v>
      </c>
      <c r="E12882" s="3">
        <v>0</v>
      </c>
      <c r="F12882" s="2">
        <v>4993</v>
      </c>
      <c r="G12882" s="2">
        <v>98</v>
      </c>
      <c r="H12882" s="2">
        <v>971</v>
      </c>
      <c r="I12882" s="2">
        <v>1821</v>
      </c>
      <c r="J12882" s="2">
        <v>4733</v>
      </c>
      <c r="K12882" s="2">
        <v>1</v>
      </c>
      <c r="L12882" s="2">
        <v>952</v>
      </c>
    </row>
    <row r="12883" spans="1:12" x14ac:dyDescent="0.25">
      <c r="A12883" s="4" t="str">
        <f>HYPERLINK("http://www.rosaceae.org/Prunus/Prunus_persica/p.persica_gdr_reftransV1_0038428","p.persica_gdr_reftransV1_0038428")</f>
        <v>p.persica_gdr_reftransV1_0038428</v>
      </c>
      <c r="B12883" s="2">
        <v>1943</v>
      </c>
      <c r="C12883" s="4" t="str">
        <f>HYPERLINK("http://www.uniprot.org/uniprot/M5X596","M5X596")</f>
        <v>M5X596</v>
      </c>
      <c r="D12883" s="2" t="s">
        <v>10682</v>
      </c>
      <c r="E12883" s="3">
        <v>0</v>
      </c>
      <c r="F12883" s="2">
        <v>1671</v>
      </c>
      <c r="G12883" s="2">
        <v>100</v>
      </c>
      <c r="H12883" s="2">
        <v>384</v>
      </c>
      <c r="I12883" s="2">
        <v>263</v>
      </c>
      <c r="J12883" s="2">
        <v>1414</v>
      </c>
      <c r="K12883" s="2">
        <v>1</v>
      </c>
      <c r="L12883" s="2">
        <v>384</v>
      </c>
    </row>
    <row r="12884" spans="1:12" x14ac:dyDescent="0.25">
      <c r="A12884" s="4" t="str">
        <f>HYPERLINK("http://www.rosaceae.org/Prunus/Prunus_persica/p.persica_gdr_reftransV1_0039828","p.persica_gdr_reftransV1_0039828")</f>
        <v>p.persica_gdr_reftransV1_0039828</v>
      </c>
      <c r="B12884" s="2">
        <v>1891</v>
      </c>
      <c r="C12884" s="4" t="str">
        <f>HYPERLINK("http://www.uniprot.org/uniprot/M5W0R0","M5W0R0")</f>
        <v>M5W0R0</v>
      </c>
      <c r="D12884" s="2" t="s">
        <v>10683</v>
      </c>
      <c r="E12884" s="3">
        <v>6.2600000000000001E-118</v>
      </c>
      <c r="F12884" s="2">
        <v>933</v>
      </c>
      <c r="G12884" s="2">
        <v>99</v>
      </c>
      <c r="H12884" s="2">
        <v>175</v>
      </c>
      <c r="I12884" s="2">
        <v>313</v>
      </c>
      <c r="J12884" s="2">
        <v>837</v>
      </c>
      <c r="K12884" s="2">
        <v>84</v>
      </c>
      <c r="L12884" s="2">
        <v>258</v>
      </c>
    </row>
    <row r="12885" spans="1:12" x14ac:dyDescent="0.25">
      <c r="A12885" s="4" t="str">
        <f>HYPERLINK("http://www.rosaceae.org/Prunus/Prunus_persica/p.persica_gdr_reftransV1_0040878","p.persica_gdr_reftransV1_0040878")</f>
        <v>p.persica_gdr_reftransV1_0040878</v>
      </c>
      <c r="B12885" s="2">
        <v>1076</v>
      </c>
      <c r="C12885" s="4" t="str">
        <f>HYPERLINK("http://www.uniprot.org/uniprot/M5WYW6","M5WYW6")</f>
        <v>M5WYW6</v>
      </c>
      <c r="D12885" s="2" t="s">
        <v>545</v>
      </c>
      <c r="E12885" s="3">
        <v>1.32E-9</v>
      </c>
      <c r="F12885" s="2">
        <v>157</v>
      </c>
      <c r="G12885" s="2">
        <v>96</v>
      </c>
      <c r="H12885" s="2">
        <v>48</v>
      </c>
      <c r="I12885" s="2">
        <v>703</v>
      </c>
      <c r="J12885" s="2">
        <v>846</v>
      </c>
      <c r="K12885" s="2">
        <v>62</v>
      </c>
      <c r="L12885" s="2">
        <v>109</v>
      </c>
    </row>
    <row r="12886" spans="1:12" x14ac:dyDescent="0.25">
      <c r="A12886" s="4" t="str">
        <f>HYPERLINK("http://www.rosaceae.org/Prunus/Prunus_persica/p.persica_gdr_reftransV1_0041928","p.persica_gdr_reftransV1_0041928")</f>
        <v>p.persica_gdr_reftransV1_0041928</v>
      </c>
      <c r="B12886" s="2">
        <v>2073</v>
      </c>
      <c r="C12886" s="4" t="str">
        <f>HYPERLINK("http://www.uniprot.org/uniprot/M5XFA8","M5XFA8")</f>
        <v>M5XFA8</v>
      </c>
      <c r="D12886" s="2" t="s">
        <v>10684</v>
      </c>
      <c r="E12886" s="3">
        <v>7.8000000000000003E-74</v>
      </c>
      <c r="F12886" s="2">
        <v>630</v>
      </c>
      <c r="G12886" s="2">
        <v>84</v>
      </c>
      <c r="H12886" s="2">
        <v>197</v>
      </c>
      <c r="I12886" s="2">
        <v>92</v>
      </c>
      <c r="J12886" s="2">
        <v>682</v>
      </c>
      <c r="K12886" s="2">
        <v>1</v>
      </c>
      <c r="L12886" s="2">
        <v>165</v>
      </c>
    </row>
    <row r="12887" spans="1:12" x14ac:dyDescent="0.25">
      <c r="A12887" s="4" t="str">
        <f>HYPERLINK("http://www.rosaceae.org/Prunus/Prunus_persica/p.persica_gdr_reftransV1_0042628","p.persica_gdr_reftransV1_0042628")</f>
        <v>p.persica_gdr_reftransV1_0042628</v>
      </c>
      <c r="B12887" s="2">
        <v>2923</v>
      </c>
      <c r="C12887" s="4" t="str">
        <f>HYPERLINK("http://www.uniprot.org/uniprot/M5WR90","M5WR90")</f>
        <v>M5WR90</v>
      </c>
      <c r="D12887" s="2" t="s">
        <v>10685</v>
      </c>
      <c r="E12887" s="3">
        <v>0</v>
      </c>
      <c r="F12887" s="2">
        <v>3282</v>
      </c>
      <c r="G12887" s="2">
        <v>99</v>
      </c>
      <c r="H12887" s="2">
        <v>689</v>
      </c>
      <c r="I12887" s="2">
        <v>543</v>
      </c>
      <c r="J12887" s="2">
        <v>2609</v>
      </c>
      <c r="K12887" s="2">
        <v>1</v>
      </c>
      <c r="L12887" s="2">
        <v>683</v>
      </c>
    </row>
    <row r="12888" spans="1:12" x14ac:dyDescent="0.25">
      <c r="A12888" s="4" t="str">
        <f>HYPERLINK("http://www.rosaceae.org/Prunus/Prunus_persica/p.persica_gdr_reftransV1_0042978","p.persica_gdr_reftransV1_0042978")</f>
        <v>p.persica_gdr_reftransV1_0042978</v>
      </c>
      <c r="B12888" s="2">
        <v>2465</v>
      </c>
      <c r="C12888" s="4" t="str">
        <f>HYPERLINK("http://www.uniprot.org/uniprot/A0A068VDJ1","A0A068VDJ1")</f>
        <v>A0A068VDJ1</v>
      </c>
      <c r="D12888" s="2" t="s">
        <v>10686</v>
      </c>
      <c r="E12888" s="3">
        <v>5.33E-34</v>
      </c>
      <c r="F12888" s="2">
        <v>195</v>
      </c>
      <c r="G12888" s="2">
        <v>67</v>
      </c>
      <c r="H12888" s="2">
        <v>58</v>
      </c>
      <c r="I12888" s="2">
        <v>1767</v>
      </c>
      <c r="J12888" s="2">
        <v>1940</v>
      </c>
      <c r="K12888" s="2">
        <v>166</v>
      </c>
      <c r="L12888" s="2">
        <v>223</v>
      </c>
    </row>
    <row r="12889" spans="1:12" x14ac:dyDescent="0.25">
      <c r="A12889" s="4" t="str">
        <f>HYPERLINK("http://www.rosaceae.org/Prunus/Prunus_persica/p.persica_gdr_reftransV1_0043328","p.persica_gdr_reftransV1_0043328")</f>
        <v>p.persica_gdr_reftransV1_0043328</v>
      </c>
      <c r="B12889" s="2">
        <v>2897</v>
      </c>
      <c r="C12889" s="4" t="str">
        <f>HYPERLINK("http://www.uniprot.org/uniprot/M5X1Y3","M5X1Y3")</f>
        <v>M5X1Y3</v>
      </c>
      <c r="D12889" s="2" t="s">
        <v>7709</v>
      </c>
      <c r="E12889" s="3">
        <v>0</v>
      </c>
      <c r="F12889" s="2">
        <v>4511</v>
      </c>
      <c r="G12889" s="2">
        <v>100</v>
      </c>
      <c r="H12889" s="2">
        <v>833</v>
      </c>
      <c r="I12889" s="2">
        <v>50</v>
      </c>
      <c r="J12889" s="2">
        <v>2548</v>
      </c>
      <c r="K12889" s="2">
        <v>1291</v>
      </c>
      <c r="L12889" s="2">
        <v>2123</v>
      </c>
    </row>
    <row r="12890" spans="1:12" x14ac:dyDescent="0.25">
      <c r="A12890" s="4" t="str">
        <f>HYPERLINK("http://www.rosaceae.org/Prunus/Prunus_persica/p.persica_gdr_reftransV1_0043678","p.persica_gdr_reftransV1_0043678")</f>
        <v>p.persica_gdr_reftransV1_0043678</v>
      </c>
      <c r="B12890" s="2">
        <v>1598</v>
      </c>
      <c r="C12890" s="4" t="str">
        <f>HYPERLINK("http://www.uniprot.org/uniprot/A0A067JDP1","A0A067JDP1")</f>
        <v>A0A067JDP1</v>
      </c>
      <c r="D12890" s="2" t="s">
        <v>7552</v>
      </c>
      <c r="E12890" s="3">
        <v>0</v>
      </c>
      <c r="F12890" s="2">
        <v>1901</v>
      </c>
      <c r="G12890" s="2">
        <v>90</v>
      </c>
      <c r="H12890" s="2">
        <v>407</v>
      </c>
      <c r="I12890" s="2">
        <v>215</v>
      </c>
      <c r="J12890" s="2">
        <v>1420</v>
      </c>
      <c r="K12890" s="2">
        <v>1</v>
      </c>
      <c r="L12890" s="2">
        <v>405</v>
      </c>
    </row>
    <row r="12891" spans="1:12" x14ac:dyDescent="0.25">
      <c r="A12891" s="4" t="str">
        <f>HYPERLINK("http://www.rosaceae.org/Prunus/Prunus_persica/p.persica_gdr_reftransV1_0044028","p.persica_gdr_reftransV1_0044028")</f>
        <v>p.persica_gdr_reftransV1_0044028</v>
      </c>
      <c r="B12891" s="2">
        <v>1042</v>
      </c>
      <c r="C12891" s="4" t="str">
        <f>HYPERLINK("http://www.uniprot.org/uniprot/M5X2E3","M5X2E3")</f>
        <v>M5X2E3</v>
      </c>
      <c r="D12891" s="2" t="s">
        <v>10687</v>
      </c>
      <c r="E12891" s="3">
        <v>2.63E-154</v>
      </c>
      <c r="F12891" s="2">
        <v>1142</v>
      </c>
      <c r="G12891" s="2">
        <v>100</v>
      </c>
      <c r="H12891" s="2">
        <v>217</v>
      </c>
      <c r="I12891" s="2">
        <v>310</v>
      </c>
      <c r="J12891" s="2">
        <v>960</v>
      </c>
      <c r="K12891" s="2">
        <v>1</v>
      </c>
      <c r="L12891" s="2">
        <v>217</v>
      </c>
    </row>
    <row r="12892" spans="1:12" x14ac:dyDescent="0.25">
      <c r="A12892" s="4" t="str">
        <f>HYPERLINK("http://www.rosaceae.org/Prunus/Prunus_persica/p.persica_gdr_reftransV1_0045078","p.persica_gdr_reftransV1_0045078")</f>
        <v>p.persica_gdr_reftransV1_0045078</v>
      </c>
      <c r="B12892" s="2">
        <v>1998</v>
      </c>
      <c r="C12892" s="4" t="str">
        <f>HYPERLINK("http://www.uniprot.org/uniprot/M5XVH4","M5XVH4")</f>
        <v>M5XVH4</v>
      </c>
      <c r="D12892" s="2" t="s">
        <v>10688</v>
      </c>
      <c r="E12892" s="3">
        <v>2.4300000000000001E-90</v>
      </c>
      <c r="F12892" s="2">
        <v>773</v>
      </c>
      <c r="G12892" s="2">
        <v>77</v>
      </c>
      <c r="H12892" s="2">
        <v>214</v>
      </c>
      <c r="I12892" s="2">
        <v>222</v>
      </c>
      <c r="J12892" s="2">
        <v>863</v>
      </c>
      <c r="K12892" s="2">
        <v>321</v>
      </c>
      <c r="L12892" s="2">
        <v>518</v>
      </c>
    </row>
    <row r="12893" spans="1:12" x14ac:dyDescent="0.25">
      <c r="A12893" s="4" t="str">
        <f>HYPERLINK("http://www.rosaceae.org/Prunus/Prunus_persica/p.persica_gdr_reftransV1_0045778","p.persica_gdr_reftransV1_0045778")</f>
        <v>p.persica_gdr_reftransV1_0045778</v>
      </c>
      <c r="B12893" s="2">
        <v>454</v>
      </c>
      <c r="C12893" s="4" t="str">
        <f>HYPERLINK("http://www.uniprot.org/uniprot/M5W9H3","M5W9H3")</f>
        <v>M5W9H3</v>
      </c>
      <c r="D12893" s="2" t="s">
        <v>3324</v>
      </c>
      <c r="E12893" s="3">
        <v>1.68E-65</v>
      </c>
      <c r="F12893" s="2">
        <v>539</v>
      </c>
      <c r="G12893" s="2">
        <v>100</v>
      </c>
      <c r="H12893" s="2">
        <v>115</v>
      </c>
      <c r="I12893" s="2">
        <v>40</v>
      </c>
      <c r="J12893" s="2">
        <v>384</v>
      </c>
      <c r="K12893" s="2">
        <v>1</v>
      </c>
      <c r="L12893" s="2">
        <v>115</v>
      </c>
    </row>
    <row r="12894" spans="1:12" x14ac:dyDescent="0.25">
      <c r="A12894" s="4" t="str">
        <f>HYPERLINK("http://www.rosaceae.org/Prunus/Prunus_persica/p.persica_gdr_reftransV1_0046128","p.persica_gdr_reftransV1_0046128")</f>
        <v>p.persica_gdr_reftransV1_0046128</v>
      </c>
      <c r="B12894" s="2">
        <v>1246</v>
      </c>
      <c r="C12894" s="4" t="str">
        <f>HYPERLINK("http://www.uniprot.org/uniprot/M5Y3H7","M5Y3H7")</f>
        <v>M5Y3H7</v>
      </c>
      <c r="D12894" s="2" t="s">
        <v>6638</v>
      </c>
      <c r="E12894" s="3">
        <v>0</v>
      </c>
      <c r="F12894" s="2">
        <v>1880</v>
      </c>
      <c r="G12894" s="2">
        <v>100</v>
      </c>
      <c r="H12894" s="2">
        <v>352</v>
      </c>
      <c r="I12894" s="2">
        <v>3</v>
      </c>
      <c r="J12894" s="2">
        <v>1058</v>
      </c>
      <c r="K12894" s="2">
        <v>290</v>
      </c>
      <c r="L12894" s="2">
        <v>641</v>
      </c>
    </row>
    <row r="12895" spans="1:12" x14ac:dyDescent="0.25">
      <c r="A12895" s="4" t="str">
        <f>HYPERLINK("http://www.rosaceae.org/Prunus/Prunus_persica/p.persica_gdr_reftransV1_0046478","p.persica_gdr_reftransV1_0046478")</f>
        <v>p.persica_gdr_reftransV1_0046478</v>
      </c>
      <c r="B12895" s="2">
        <v>2288</v>
      </c>
      <c r="C12895" s="4" t="str">
        <f>HYPERLINK("http://www.uniprot.org/uniprot/M5X7D0","M5X7D0")</f>
        <v>M5X7D0</v>
      </c>
      <c r="D12895" s="2" t="s">
        <v>10689</v>
      </c>
      <c r="E12895" s="3">
        <v>1.34E-150</v>
      </c>
      <c r="F12895" s="2">
        <v>1244</v>
      </c>
      <c r="G12895" s="2">
        <v>80</v>
      </c>
      <c r="H12895" s="2">
        <v>333</v>
      </c>
      <c r="I12895" s="2">
        <v>73</v>
      </c>
      <c r="J12895" s="2">
        <v>1059</v>
      </c>
      <c r="K12895" s="2">
        <v>903</v>
      </c>
      <c r="L12895" s="2">
        <v>1235</v>
      </c>
    </row>
    <row r="12896" spans="1:12" x14ac:dyDescent="0.25">
      <c r="A12896" s="4" t="str">
        <f>HYPERLINK("http://www.rosaceae.org/Prunus/Prunus_persica/p.persica_gdr_reftransV1_0047528","p.persica_gdr_reftransV1_0047528")</f>
        <v>p.persica_gdr_reftransV1_0047528</v>
      </c>
      <c r="B12896" s="2">
        <v>876</v>
      </c>
      <c r="C12896" s="4" t="str">
        <f>HYPERLINK("http://www.uniprot.org/uniprot/A0A0D9V2Y8","A0A0D9V2Y8")</f>
        <v>A0A0D9V2Y8</v>
      </c>
      <c r="D12896" s="2" t="s">
        <v>10690</v>
      </c>
      <c r="E12896" s="3">
        <v>5.2599999999999999E-87</v>
      </c>
      <c r="F12896" s="2">
        <v>709</v>
      </c>
      <c r="G12896" s="2">
        <v>53</v>
      </c>
      <c r="H12896" s="2">
        <v>275</v>
      </c>
      <c r="I12896" s="2">
        <v>58</v>
      </c>
      <c r="J12896" s="2">
        <v>876</v>
      </c>
      <c r="K12896" s="2">
        <v>28</v>
      </c>
      <c r="L12896" s="2">
        <v>252</v>
      </c>
    </row>
    <row r="12897" spans="1:12" x14ac:dyDescent="0.25">
      <c r="A12897" s="4" t="str">
        <f>HYPERLINK("http://www.rosaceae.org/Prunus/Prunus_persica/p.persica_gdr_reftransV1_0048228","p.persica_gdr_reftransV1_0048228")</f>
        <v>p.persica_gdr_reftransV1_0048228</v>
      </c>
      <c r="B12897" s="2">
        <v>1610</v>
      </c>
      <c r="C12897" s="4" t="str">
        <f>HYPERLINK("http://www.uniprot.org/uniprot/W9QGB5","W9QGB5")</f>
        <v>W9QGB5</v>
      </c>
      <c r="D12897" s="2" t="s">
        <v>10691</v>
      </c>
      <c r="E12897" s="3">
        <v>0</v>
      </c>
      <c r="F12897" s="2">
        <v>1727</v>
      </c>
      <c r="G12897" s="2">
        <v>75</v>
      </c>
      <c r="H12897" s="2">
        <v>448</v>
      </c>
      <c r="I12897" s="2">
        <v>267</v>
      </c>
      <c r="J12897" s="2">
        <v>1610</v>
      </c>
      <c r="K12897" s="2">
        <v>743</v>
      </c>
      <c r="L12897" s="2">
        <v>1184</v>
      </c>
    </row>
    <row r="12898" spans="1:12" x14ac:dyDescent="0.25">
      <c r="A12898" s="4" t="str">
        <f>HYPERLINK("http://www.rosaceae.org/Prunus/Prunus_persica/p.persica_gdr_reftransV1_0048578","p.persica_gdr_reftransV1_0048578")</f>
        <v>p.persica_gdr_reftransV1_0048578</v>
      </c>
      <c r="B12898" s="2">
        <v>1547</v>
      </c>
      <c r="C12898" s="4" t="str">
        <f>HYPERLINK("http://www.uniprot.org/uniprot/M5X5P7","M5X5P7")</f>
        <v>M5X5P7</v>
      </c>
      <c r="D12898" s="2" t="s">
        <v>10321</v>
      </c>
      <c r="E12898" s="3">
        <v>3.6500000000000004E-161</v>
      </c>
      <c r="F12898" s="2">
        <v>1216</v>
      </c>
      <c r="G12898" s="2">
        <v>100</v>
      </c>
      <c r="H12898" s="2">
        <v>250</v>
      </c>
      <c r="I12898" s="2">
        <v>15</v>
      </c>
      <c r="J12898" s="2">
        <v>764</v>
      </c>
      <c r="K12898" s="2">
        <v>66</v>
      </c>
      <c r="L12898" s="2">
        <v>315</v>
      </c>
    </row>
    <row r="12899" spans="1:12" x14ac:dyDescent="0.25">
      <c r="A12899" s="4" t="str">
        <f>HYPERLINK("http://www.rosaceae.org/Prunus/Prunus_persica/p.persica_gdr_reftransV1_0048928","p.persica_gdr_reftransV1_0048928")</f>
        <v>p.persica_gdr_reftransV1_0048928</v>
      </c>
      <c r="B12899" s="2">
        <v>3171</v>
      </c>
      <c r="C12899" s="4" t="str">
        <f>HYPERLINK("http://www.uniprot.org/uniprot/M5VKA2","M5VKA2")</f>
        <v>M5VKA2</v>
      </c>
      <c r="D12899" s="2" t="s">
        <v>2807</v>
      </c>
      <c r="E12899" s="3">
        <v>0</v>
      </c>
      <c r="F12899" s="2">
        <v>4626</v>
      </c>
      <c r="G12899" s="2">
        <v>93</v>
      </c>
      <c r="H12899" s="2">
        <v>958</v>
      </c>
      <c r="I12899" s="2">
        <v>298</v>
      </c>
      <c r="J12899" s="2">
        <v>3171</v>
      </c>
      <c r="K12899" s="2">
        <v>32</v>
      </c>
      <c r="L12899" s="2">
        <v>982</v>
      </c>
    </row>
    <row r="12900" spans="1:12" x14ac:dyDescent="0.25">
      <c r="A12900" s="4" t="str">
        <f>HYPERLINK("http://www.rosaceae.org/Prunus/Prunus_persica/p.persica_gdr_reftransV1_0000279","p.persica_gdr_reftransV1_0000279")</f>
        <v>p.persica_gdr_reftransV1_0000279</v>
      </c>
      <c r="B12900" s="2">
        <v>813</v>
      </c>
      <c r="C12900" s="4" t="str">
        <f>HYPERLINK("http://www.uniprot.org/uniprot/M5WLF6","M5WLF6")</f>
        <v>M5WLF6</v>
      </c>
      <c r="D12900" s="2" t="s">
        <v>10692</v>
      </c>
      <c r="E12900" s="3">
        <v>0</v>
      </c>
      <c r="F12900" s="2">
        <v>1331</v>
      </c>
      <c r="G12900" s="2">
        <v>99</v>
      </c>
      <c r="H12900" s="2">
        <v>274</v>
      </c>
      <c r="I12900" s="2">
        <v>2</v>
      </c>
      <c r="J12900" s="2">
        <v>811</v>
      </c>
      <c r="K12900" s="2">
        <v>33</v>
      </c>
      <c r="L12900" s="2">
        <v>306</v>
      </c>
    </row>
    <row r="12901" spans="1:12" x14ac:dyDescent="0.25">
      <c r="A12901" s="4" t="str">
        <f>HYPERLINK("http://www.rosaceae.org/Prunus/Prunus_persica/p.persica_gdr_reftransV1_0000629","p.persica_gdr_reftransV1_0000629")</f>
        <v>p.persica_gdr_reftransV1_0000629</v>
      </c>
      <c r="B12901" s="2">
        <v>1016</v>
      </c>
      <c r="C12901" s="4" t="str">
        <f>HYPERLINK("http://www.uniprot.org/uniprot/M5X3S4","M5X3S4")</f>
        <v>M5X3S4</v>
      </c>
      <c r="D12901" s="2" t="s">
        <v>3185</v>
      </c>
      <c r="E12901" s="3">
        <v>0</v>
      </c>
      <c r="F12901" s="2">
        <v>1630</v>
      </c>
      <c r="G12901" s="2">
        <v>95</v>
      </c>
      <c r="H12901" s="2">
        <v>329</v>
      </c>
      <c r="I12901" s="2">
        <v>2</v>
      </c>
      <c r="J12901" s="2">
        <v>988</v>
      </c>
      <c r="K12901" s="2">
        <v>453</v>
      </c>
      <c r="L12901" s="2">
        <v>763</v>
      </c>
    </row>
    <row r="12902" spans="1:12" x14ac:dyDescent="0.25">
      <c r="A12902" s="4" t="str">
        <f>HYPERLINK("http://www.rosaceae.org/Prunus/Prunus_persica/p.persica_gdr_reftransV1_0001329","p.persica_gdr_reftransV1_0001329")</f>
        <v>p.persica_gdr_reftransV1_0001329</v>
      </c>
      <c r="B12902" s="2">
        <v>1192</v>
      </c>
      <c r="C12902" s="4" t="str">
        <f>HYPERLINK("http://www.uniprot.org/uniprot/M5XG38","M5XG38")</f>
        <v>M5XG38</v>
      </c>
      <c r="D12902" s="2" t="s">
        <v>10693</v>
      </c>
      <c r="E12902" s="3">
        <v>6.08E-26</v>
      </c>
      <c r="F12902" s="2">
        <v>296</v>
      </c>
      <c r="G12902" s="2">
        <v>100</v>
      </c>
      <c r="H12902" s="2">
        <v>159</v>
      </c>
      <c r="I12902" s="2">
        <v>304</v>
      </c>
      <c r="J12902" s="2">
        <v>780</v>
      </c>
      <c r="K12902" s="2">
        <v>390</v>
      </c>
      <c r="L12902" s="2">
        <v>548</v>
      </c>
    </row>
    <row r="12903" spans="1:12" x14ac:dyDescent="0.25">
      <c r="A12903" s="4" t="str">
        <f>HYPERLINK("http://www.rosaceae.org/Prunus/Prunus_persica/p.persica_gdr_reftransV1_0001679","p.persica_gdr_reftransV1_0001679")</f>
        <v>p.persica_gdr_reftransV1_0001679</v>
      </c>
      <c r="B12903" s="2">
        <v>627</v>
      </c>
      <c r="C12903" s="4" t="str">
        <f>HYPERLINK("http://www.uniprot.org/uniprot/M5XSD5","M5XSD5")</f>
        <v>M5XSD5</v>
      </c>
      <c r="D12903" s="2" t="s">
        <v>10694</v>
      </c>
      <c r="E12903" s="3">
        <v>1.1E-68</v>
      </c>
      <c r="F12903" s="2">
        <v>566</v>
      </c>
      <c r="G12903" s="2">
        <v>100</v>
      </c>
      <c r="H12903" s="2">
        <v>126</v>
      </c>
      <c r="I12903" s="2">
        <v>3</v>
      </c>
      <c r="J12903" s="2">
        <v>380</v>
      </c>
      <c r="K12903" s="2">
        <v>144</v>
      </c>
      <c r="L12903" s="2">
        <v>269</v>
      </c>
    </row>
    <row r="12904" spans="1:12" x14ac:dyDescent="0.25">
      <c r="A12904" s="4" t="str">
        <f>HYPERLINK("http://www.rosaceae.org/Prunus/Prunus_persica/p.persica_gdr_reftransV1_0002029","p.persica_gdr_reftransV1_0002029")</f>
        <v>p.persica_gdr_reftransV1_0002029</v>
      </c>
      <c r="B12904" s="2">
        <v>2473</v>
      </c>
      <c r="C12904" s="4" t="str">
        <f>HYPERLINK("http://www.uniprot.org/uniprot/M5WQT0","M5WQT0")</f>
        <v>M5WQT0</v>
      </c>
      <c r="D12904" s="2" t="s">
        <v>10695</v>
      </c>
      <c r="E12904" s="3">
        <v>0</v>
      </c>
      <c r="F12904" s="2">
        <v>2615</v>
      </c>
      <c r="G12904" s="2">
        <v>93</v>
      </c>
      <c r="H12904" s="2">
        <v>567</v>
      </c>
      <c r="I12904" s="2">
        <v>133</v>
      </c>
      <c r="J12904" s="2">
        <v>1740</v>
      </c>
      <c r="K12904" s="2">
        <v>1</v>
      </c>
      <c r="L12904" s="2">
        <v>563</v>
      </c>
    </row>
    <row r="12905" spans="1:12" x14ac:dyDescent="0.25">
      <c r="A12905" s="4" t="str">
        <f>HYPERLINK("http://www.rosaceae.org/Prunus/Prunus_persica/p.persica_gdr_reftransV1_0002379","p.persica_gdr_reftransV1_0002379")</f>
        <v>p.persica_gdr_reftransV1_0002379</v>
      </c>
      <c r="B12905" s="2">
        <v>1240</v>
      </c>
      <c r="C12905" s="4" t="str">
        <f>HYPERLINK("http://www.uniprot.org/uniprot/M5WTA1","M5WTA1")</f>
        <v>M5WTA1</v>
      </c>
      <c r="D12905" s="2" t="s">
        <v>10696</v>
      </c>
      <c r="E12905" s="3">
        <v>2.6200000000000002E-155</v>
      </c>
      <c r="F12905" s="2">
        <v>1159</v>
      </c>
      <c r="G12905" s="2">
        <v>100</v>
      </c>
      <c r="H12905" s="2">
        <v>236</v>
      </c>
      <c r="I12905" s="2">
        <v>382</v>
      </c>
      <c r="J12905" s="2">
        <v>1089</v>
      </c>
      <c r="K12905" s="2">
        <v>15</v>
      </c>
      <c r="L12905" s="2">
        <v>250</v>
      </c>
    </row>
    <row r="12906" spans="1:12" x14ac:dyDescent="0.25">
      <c r="A12906" s="4" t="str">
        <f>HYPERLINK("http://www.rosaceae.org/Prunus/Prunus_persica/p.persica_gdr_reftransV1_0002729","p.persica_gdr_reftransV1_0002729")</f>
        <v>p.persica_gdr_reftransV1_0002729</v>
      </c>
      <c r="B12906" s="2">
        <v>2771</v>
      </c>
      <c r="C12906" s="4" t="str">
        <f>HYPERLINK("http://www.uniprot.org/uniprot/M5XX78","M5XX78")</f>
        <v>M5XX78</v>
      </c>
      <c r="D12906" s="2" t="s">
        <v>10697</v>
      </c>
      <c r="E12906" s="3">
        <v>0</v>
      </c>
      <c r="F12906" s="2">
        <v>3494</v>
      </c>
      <c r="G12906" s="2">
        <v>98</v>
      </c>
      <c r="H12906" s="2">
        <v>663</v>
      </c>
      <c r="I12906" s="2">
        <v>446</v>
      </c>
      <c r="J12906" s="2">
        <v>2434</v>
      </c>
      <c r="K12906" s="2">
        <v>2</v>
      </c>
      <c r="L12906" s="2">
        <v>664</v>
      </c>
    </row>
    <row r="12907" spans="1:12" x14ac:dyDescent="0.25">
      <c r="A12907" s="4" t="str">
        <f>HYPERLINK("http://www.rosaceae.org/Prunus/Prunus_persica/p.persica_gdr_reftransV1_0003079","p.persica_gdr_reftransV1_0003079")</f>
        <v>p.persica_gdr_reftransV1_0003079</v>
      </c>
      <c r="B12907" s="2">
        <v>823</v>
      </c>
      <c r="C12907" s="4" t="str">
        <f>HYPERLINK("http://www.uniprot.org/uniprot/M5WD03","M5WD03")</f>
        <v>M5WD03</v>
      </c>
      <c r="D12907" s="2" t="s">
        <v>9488</v>
      </c>
      <c r="E12907" s="3">
        <v>2.1999999999999999E-115</v>
      </c>
      <c r="F12907" s="2">
        <v>875</v>
      </c>
      <c r="G12907" s="2">
        <v>96</v>
      </c>
      <c r="H12907" s="2">
        <v>186</v>
      </c>
      <c r="I12907" s="2">
        <v>257</v>
      </c>
      <c r="J12907" s="2">
        <v>793</v>
      </c>
      <c r="K12907" s="2">
        <v>1</v>
      </c>
      <c r="L12907" s="2">
        <v>186</v>
      </c>
    </row>
    <row r="12908" spans="1:12" x14ac:dyDescent="0.25">
      <c r="A12908" s="4" t="str">
        <f>HYPERLINK("http://www.rosaceae.org/Prunus/Prunus_persica/p.persica_gdr_reftransV1_0003779","p.persica_gdr_reftransV1_0003779")</f>
        <v>p.persica_gdr_reftransV1_0003779</v>
      </c>
      <c r="B12908" s="2">
        <v>333</v>
      </c>
      <c r="C12908" s="4" t="str">
        <f>HYPERLINK("http://www.uniprot.org/uniprot/M5XXS3","M5XXS3")</f>
        <v>M5XXS3</v>
      </c>
      <c r="D12908" s="2" t="s">
        <v>1824</v>
      </c>
      <c r="E12908" s="3">
        <v>6.2200000000000001E-70</v>
      </c>
      <c r="F12908" s="2">
        <v>599</v>
      </c>
      <c r="G12908" s="2">
        <v>100</v>
      </c>
      <c r="H12908" s="2">
        <v>110</v>
      </c>
      <c r="I12908" s="2">
        <v>3</v>
      </c>
      <c r="J12908" s="2">
        <v>332</v>
      </c>
      <c r="K12908" s="2">
        <v>791</v>
      </c>
      <c r="L12908" s="2">
        <v>900</v>
      </c>
    </row>
    <row r="12909" spans="1:12" x14ac:dyDescent="0.25">
      <c r="A12909" s="4" t="str">
        <f>HYPERLINK("http://www.rosaceae.org/Prunus/Prunus_persica/p.persica_gdr_reftransV1_0004129","p.persica_gdr_reftransV1_0004129")</f>
        <v>p.persica_gdr_reftransV1_0004129</v>
      </c>
      <c r="B12909" s="2">
        <v>489</v>
      </c>
      <c r="C12909" s="4" t="str">
        <f>HYPERLINK("http://www.uniprot.org/uniprot/W9R6Y0","W9R6Y0")</f>
        <v>W9R6Y0</v>
      </c>
      <c r="D12909" s="2" t="s">
        <v>10698</v>
      </c>
      <c r="E12909" s="3">
        <v>1.1E-68</v>
      </c>
      <c r="F12909" s="2">
        <v>573</v>
      </c>
      <c r="G12909" s="2">
        <v>69</v>
      </c>
      <c r="H12909" s="2">
        <v>159</v>
      </c>
      <c r="I12909" s="2">
        <v>2</v>
      </c>
      <c r="J12909" s="2">
        <v>478</v>
      </c>
      <c r="K12909" s="2">
        <v>55</v>
      </c>
      <c r="L12909" s="2">
        <v>213</v>
      </c>
    </row>
    <row r="12910" spans="1:12" x14ac:dyDescent="0.25">
      <c r="A12910" s="4" t="str">
        <f>HYPERLINK("http://www.rosaceae.org/Prunus/Prunus_persica/p.persica_gdr_reftransV1_0004479","p.persica_gdr_reftransV1_0004479")</f>
        <v>p.persica_gdr_reftransV1_0004479</v>
      </c>
      <c r="B12910" s="2">
        <v>1508</v>
      </c>
      <c r="C12910" s="4" t="str">
        <f>HYPERLINK("http://www.uniprot.org/uniprot/M5WHT3","M5WHT3")</f>
        <v>M5WHT3</v>
      </c>
      <c r="D12910" s="2" t="s">
        <v>9915</v>
      </c>
      <c r="E12910" s="3">
        <v>5.7099999999999998E-106</v>
      </c>
      <c r="F12910" s="2">
        <v>848</v>
      </c>
      <c r="G12910" s="2">
        <v>100</v>
      </c>
      <c r="H12910" s="2">
        <v>251</v>
      </c>
      <c r="I12910" s="2">
        <v>397</v>
      </c>
      <c r="J12910" s="2">
        <v>1149</v>
      </c>
      <c r="K12910" s="2">
        <v>73</v>
      </c>
      <c r="L12910" s="2">
        <v>323</v>
      </c>
    </row>
    <row r="12911" spans="1:12" x14ac:dyDescent="0.25">
      <c r="A12911" s="4" t="str">
        <f>HYPERLINK("http://www.rosaceae.org/Prunus/Prunus_persica/p.persica_gdr_reftransV1_0005179","p.persica_gdr_reftransV1_0005179")</f>
        <v>p.persica_gdr_reftransV1_0005179</v>
      </c>
      <c r="B12911" s="2">
        <v>2258</v>
      </c>
      <c r="C12911" s="4" t="str">
        <f>HYPERLINK("http://www.uniprot.org/uniprot/M5X4U2","M5X4U2")</f>
        <v>M5X4U2</v>
      </c>
      <c r="D12911" s="2" t="s">
        <v>10699</v>
      </c>
      <c r="E12911" s="3">
        <v>0</v>
      </c>
      <c r="F12911" s="2">
        <v>3657</v>
      </c>
      <c r="G12911" s="2">
        <v>96</v>
      </c>
      <c r="H12911" s="2">
        <v>742</v>
      </c>
      <c r="I12911" s="2">
        <v>6</v>
      </c>
      <c r="J12911" s="2">
        <v>2231</v>
      </c>
      <c r="K12911" s="2">
        <v>1</v>
      </c>
      <c r="L12911" s="2">
        <v>721</v>
      </c>
    </row>
    <row r="12912" spans="1:12" x14ac:dyDescent="0.25">
      <c r="A12912" s="4" t="str">
        <f>HYPERLINK("http://www.rosaceae.org/Prunus/Prunus_persica/p.persica_gdr_reftransV1_0006229","p.persica_gdr_reftransV1_0006229")</f>
        <v>p.persica_gdr_reftransV1_0006229</v>
      </c>
      <c r="B12912" s="2">
        <v>478</v>
      </c>
      <c r="C12912" s="4" t="str">
        <f>HYPERLINK("http://www.uniprot.org/uniprot/M5WPV3","M5WPV3")</f>
        <v>M5WPV3</v>
      </c>
      <c r="D12912" s="2" t="s">
        <v>649</v>
      </c>
      <c r="E12912" s="3">
        <v>4.6299999999999997E-105</v>
      </c>
      <c r="F12912" s="2">
        <v>847</v>
      </c>
      <c r="G12912" s="2">
        <v>99</v>
      </c>
      <c r="H12912" s="2">
        <v>159</v>
      </c>
      <c r="I12912" s="2">
        <v>2</v>
      </c>
      <c r="J12912" s="2">
        <v>478</v>
      </c>
      <c r="K12912" s="2">
        <v>296</v>
      </c>
      <c r="L12912" s="2">
        <v>454</v>
      </c>
    </row>
    <row r="12913" spans="1:12" x14ac:dyDescent="0.25">
      <c r="A12913" s="4" t="str">
        <f>HYPERLINK("http://www.rosaceae.org/Prunus/Prunus_persica/p.persica_gdr_reftransV1_0006579","p.persica_gdr_reftransV1_0006579")</f>
        <v>p.persica_gdr_reftransV1_0006579</v>
      </c>
      <c r="B12913" s="2">
        <v>759</v>
      </c>
      <c r="C12913" s="4" t="str">
        <f>HYPERLINK("http://www.uniprot.org/uniprot/M5VU86","M5VU86")</f>
        <v>M5VU86</v>
      </c>
      <c r="D12913" s="2" t="s">
        <v>10700</v>
      </c>
      <c r="E12913" s="3">
        <v>5.0900000000000001E-141</v>
      </c>
      <c r="F12913" s="2">
        <v>1042</v>
      </c>
      <c r="G12913" s="2">
        <v>100</v>
      </c>
      <c r="H12913" s="2">
        <v>197</v>
      </c>
      <c r="I12913" s="2">
        <v>152</v>
      </c>
      <c r="J12913" s="2">
        <v>742</v>
      </c>
      <c r="K12913" s="2">
        <v>1</v>
      </c>
      <c r="L12913" s="2">
        <v>197</v>
      </c>
    </row>
    <row r="12914" spans="1:12" x14ac:dyDescent="0.25">
      <c r="A12914" s="4" t="str">
        <f>HYPERLINK("http://www.rosaceae.org/Prunus/Prunus_persica/p.persica_gdr_reftransV1_0007629","p.persica_gdr_reftransV1_0007629")</f>
        <v>p.persica_gdr_reftransV1_0007629</v>
      </c>
      <c r="B12914" s="2">
        <v>15615</v>
      </c>
      <c r="C12914" s="4" t="str">
        <f>HYPERLINK("http://www.uniprot.org/uniprot/M5XAL1","M5XAL1")</f>
        <v>M5XAL1</v>
      </c>
      <c r="D12914" s="2" t="s">
        <v>10701</v>
      </c>
      <c r="E12914" s="3">
        <v>0</v>
      </c>
      <c r="F12914" s="2">
        <v>25127</v>
      </c>
      <c r="G12914" s="2">
        <v>100</v>
      </c>
      <c r="H12914" s="2">
        <v>4976</v>
      </c>
      <c r="I12914" s="2">
        <v>223</v>
      </c>
      <c r="J12914" s="2">
        <v>15147</v>
      </c>
      <c r="K12914" s="2">
        <v>1</v>
      </c>
      <c r="L12914" s="2">
        <v>4976</v>
      </c>
    </row>
    <row r="12915" spans="1:12" x14ac:dyDescent="0.25">
      <c r="A12915" s="4" t="str">
        <f>HYPERLINK("http://www.rosaceae.org/Prunus/Prunus_persica/p.persica_gdr_reftransV1_0007979","p.persica_gdr_reftransV1_0007979")</f>
        <v>p.persica_gdr_reftransV1_0007979</v>
      </c>
      <c r="B12915" s="2">
        <v>1412</v>
      </c>
      <c r="C12915" s="4" t="str">
        <f>HYPERLINK("http://www.uniprot.org/uniprot/M5XYH8","M5XYH8")</f>
        <v>M5XYH8</v>
      </c>
      <c r="D12915" s="2" t="s">
        <v>3166</v>
      </c>
      <c r="E12915" s="3">
        <v>0</v>
      </c>
      <c r="F12915" s="2">
        <v>2362</v>
      </c>
      <c r="G12915" s="2">
        <v>100</v>
      </c>
      <c r="H12915" s="2">
        <v>441</v>
      </c>
      <c r="I12915" s="2">
        <v>90</v>
      </c>
      <c r="J12915" s="2">
        <v>1412</v>
      </c>
      <c r="K12915" s="2">
        <v>213</v>
      </c>
      <c r="L12915" s="2">
        <v>653</v>
      </c>
    </row>
    <row r="12916" spans="1:12" x14ac:dyDescent="0.25">
      <c r="A12916" s="4" t="str">
        <f>HYPERLINK("http://www.rosaceae.org/Prunus/Prunus_persica/p.persica_gdr_reftransV1_0009029","p.persica_gdr_reftransV1_0009029")</f>
        <v>p.persica_gdr_reftransV1_0009029</v>
      </c>
      <c r="B12916" s="2">
        <v>3647</v>
      </c>
      <c r="C12916" s="4" t="str">
        <f>HYPERLINK("http://www.uniprot.org/uniprot/M5XRQ2","M5XRQ2")</f>
        <v>M5XRQ2</v>
      </c>
      <c r="D12916" s="2" t="s">
        <v>10702</v>
      </c>
      <c r="E12916" s="3">
        <v>0</v>
      </c>
      <c r="F12916" s="2">
        <v>3395</v>
      </c>
      <c r="G12916" s="2">
        <v>99</v>
      </c>
      <c r="H12916" s="2">
        <v>855</v>
      </c>
      <c r="I12916" s="2">
        <v>754</v>
      </c>
      <c r="J12916" s="2">
        <v>3297</v>
      </c>
      <c r="K12916" s="2">
        <v>1</v>
      </c>
      <c r="L12916" s="2">
        <v>855</v>
      </c>
    </row>
    <row r="12917" spans="1:12" x14ac:dyDescent="0.25">
      <c r="A12917" s="4" t="str">
        <f>HYPERLINK("http://www.rosaceae.org/Prunus/Prunus_persica/p.persica_gdr_reftransV1_0009379","p.persica_gdr_reftransV1_0009379")</f>
        <v>p.persica_gdr_reftransV1_0009379</v>
      </c>
      <c r="B12917" s="2">
        <v>1821</v>
      </c>
      <c r="C12917" s="4" t="str">
        <f>HYPERLINK("http://www.uniprot.org/uniprot/M5WFQ2","M5WFQ2")</f>
        <v>M5WFQ2</v>
      </c>
      <c r="D12917" s="2" t="s">
        <v>10703</v>
      </c>
      <c r="E12917" s="3">
        <v>0</v>
      </c>
      <c r="F12917" s="2">
        <v>1494</v>
      </c>
      <c r="G12917" s="2">
        <v>100</v>
      </c>
      <c r="H12917" s="2">
        <v>382</v>
      </c>
      <c r="I12917" s="2">
        <v>382</v>
      </c>
      <c r="J12917" s="2">
        <v>1527</v>
      </c>
      <c r="K12917" s="2">
        <v>1</v>
      </c>
      <c r="L12917" s="2">
        <v>382</v>
      </c>
    </row>
    <row r="12918" spans="1:12" x14ac:dyDescent="0.25">
      <c r="A12918" s="4" t="str">
        <f>HYPERLINK("http://www.rosaceae.org/Prunus/Prunus_persica/p.persica_gdr_reftransV1_0009729","p.persica_gdr_reftransV1_0009729")</f>
        <v>p.persica_gdr_reftransV1_0009729</v>
      </c>
      <c r="B12918" s="2">
        <v>1709</v>
      </c>
      <c r="C12918" s="4" t="str">
        <f>HYPERLINK("http://www.uniprot.org/uniprot/M5X0D1","M5X0D1")</f>
        <v>M5X0D1</v>
      </c>
      <c r="D12918" s="2" t="s">
        <v>10704</v>
      </c>
      <c r="E12918" s="3">
        <v>0</v>
      </c>
      <c r="F12918" s="2">
        <v>1616</v>
      </c>
      <c r="G12918" s="2">
        <v>100</v>
      </c>
      <c r="H12918" s="2">
        <v>330</v>
      </c>
      <c r="I12918" s="2">
        <v>377</v>
      </c>
      <c r="J12918" s="2">
        <v>1366</v>
      </c>
      <c r="K12918" s="2">
        <v>1</v>
      </c>
      <c r="L12918" s="2">
        <v>330</v>
      </c>
    </row>
    <row r="12919" spans="1:12" x14ac:dyDescent="0.25">
      <c r="A12919" s="4" t="str">
        <f>HYPERLINK("http://www.rosaceae.org/Prunus/Prunus_persica/p.persica_gdr_reftransV1_0010079","p.persica_gdr_reftransV1_0010079")</f>
        <v>p.persica_gdr_reftransV1_0010079</v>
      </c>
      <c r="B12919" s="2">
        <v>634</v>
      </c>
      <c r="C12919" s="4" t="str">
        <f>HYPERLINK("http://www.uniprot.org/uniprot/M5WER9","M5WER9")</f>
        <v>M5WER9</v>
      </c>
      <c r="D12919" s="2" t="s">
        <v>10705</v>
      </c>
      <c r="E12919" s="3">
        <v>1.34E-39</v>
      </c>
      <c r="F12919" s="2">
        <v>382</v>
      </c>
      <c r="G12919" s="2">
        <v>100</v>
      </c>
      <c r="H12919" s="2">
        <v>125</v>
      </c>
      <c r="I12919" s="2">
        <v>258</v>
      </c>
      <c r="J12919" s="2">
        <v>632</v>
      </c>
      <c r="K12919" s="2">
        <v>347</v>
      </c>
      <c r="L12919" s="2">
        <v>471</v>
      </c>
    </row>
    <row r="12920" spans="1:12" x14ac:dyDescent="0.25">
      <c r="A12920" s="4" t="str">
        <f>HYPERLINK("http://www.rosaceae.org/Prunus/Prunus_persica/p.persica_gdr_reftransV1_0010429","p.persica_gdr_reftransV1_0010429")</f>
        <v>p.persica_gdr_reftransV1_0010429</v>
      </c>
      <c r="B12920" s="2">
        <v>1955</v>
      </c>
      <c r="C12920" s="4" t="str">
        <f>HYPERLINK("http://www.uniprot.org/uniprot/M5X218","M5X218")</f>
        <v>M5X218</v>
      </c>
      <c r="D12920" s="2" t="s">
        <v>8285</v>
      </c>
      <c r="E12920" s="3">
        <v>0</v>
      </c>
      <c r="F12920" s="2">
        <v>2765</v>
      </c>
      <c r="G12920" s="2">
        <v>100</v>
      </c>
      <c r="H12920" s="2">
        <v>582</v>
      </c>
      <c r="I12920" s="2">
        <v>84</v>
      </c>
      <c r="J12920" s="2">
        <v>1829</v>
      </c>
      <c r="K12920" s="2">
        <v>1</v>
      </c>
      <c r="L12920" s="2">
        <v>582</v>
      </c>
    </row>
    <row r="12921" spans="1:12" x14ac:dyDescent="0.25">
      <c r="A12921" s="4" t="str">
        <f>HYPERLINK("http://www.rosaceae.org/Prunus/Prunus_persica/p.persica_gdr_reftransV1_0011479","p.persica_gdr_reftransV1_0011479")</f>
        <v>p.persica_gdr_reftransV1_0011479</v>
      </c>
      <c r="B12921" s="2">
        <v>877</v>
      </c>
      <c r="C12921" s="4" t="str">
        <f>HYPERLINK("http://www.uniprot.org/uniprot/M5X2J5","M5X2J5")</f>
        <v>M5X2J5</v>
      </c>
      <c r="D12921" s="2" t="s">
        <v>10475</v>
      </c>
      <c r="E12921" s="3">
        <v>4.01E-115</v>
      </c>
      <c r="F12921" s="2">
        <v>873</v>
      </c>
      <c r="G12921" s="2">
        <v>100</v>
      </c>
      <c r="H12921" s="2">
        <v>166</v>
      </c>
      <c r="I12921" s="2">
        <v>102</v>
      </c>
      <c r="J12921" s="2">
        <v>599</v>
      </c>
      <c r="K12921" s="2">
        <v>1</v>
      </c>
      <c r="L12921" s="2">
        <v>166</v>
      </c>
    </row>
    <row r="12922" spans="1:12" x14ac:dyDescent="0.25">
      <c r="A12922" s="4" t="str">
        <f>HYPERLINK("http://www.rosaceae.org/Prunus/Prunus_persica/p.persica_gdr_reftransV1_0011829","p.persica_gdr_reftransV1_0011829")</f>
        <v>p.persica_gdr_reftransV1_0011829</v>
      </c>
      <c r="B12922" s="2">
        <v>1177</v>
      </c>
      <c r="C12922" s="4" t="str">
        <f>HYPERLINK("http://www.uniprot.org/uniprot/A0A061FHG6","A0A061FHG6")</f>
        <v>A0A061FHG6</v>
      </c>
      <c r="D12922" s="2" t="s">
        <v>10706</v>
      </c>
      <c r="E12922" s="3">
        <v>5.6999999999999996E-136</v>
      </c>
      <c r="F12922" s="2">
        <v>1043</v>
      </c>
      <c r="G12922" s="2">
        <v>82</v>
      </c>
      <c r="H12922" s="2">
        <v>265</v>
      </c>
      <c r="I12922" s="2">
        <v>3</v>
      </c>
      <c r="J12922" s="2">
        <v>782</v>
      </c>
      <c r="K12922" s="2">
        <v>125</v>
      </c>
      <c r="L12922" s="2">
        <v>388</v>
      </c>
    </row>
    <row r="12923" spans="1:12" x14ac:dyDescent="0.25">
      <c r="A12923" s="4" t="str">
        <f>HYPERLINK("http://www.rosaceae.org/Prunus/Prunus_persica/p.persica_gdr_reftransV1_0013229","p.persica_gdr_reftransV1_0013229")</f>
        <v>p.persica_gdr_reftransV1_0013229</v>
      </c>
      <c r="B12923" s="2">
        <v>2588</v>
      </c>
      <c r="C12923" s="4" t="str">
        <f>HYPERLINK("http://www.uniprot.org/uniprot/M5W723","M5W723")</f>
        <v>M5W723</v>
      </c>
      <c r="D12923" s="2" t="s">
        <v>10707</v>
      </c>
      <c r="E12923" s="3">
        <v>0</v>
      </c>
      <c r="F12923" s="2">
        <v>2308</v>
      </c>
      <c r="G12923" s="2">
        <v>99</v>
      </c>
      <c r="H12923" s="2">
        <v>517</v>
      </c>
      <c r="I12923" s="2">
        <v>943</v>
      </c>
      <c r="J12923" s="2">
        <v>2493</v>
      </c>
      <c r="K12923" s="2">
        <v>1</v>
      </c>
      <c r="L12923" s="2">
        <v>517</v>
      </c>
    </row>
    <row r="12924" spans="1:12" x14ac:dyDescent="0.25">
      <c r="A12924" s="4" t="str">
        <f>HYPERLINK("http://www.rosaceae.org/Prunus/Prunus_persica/p.persica_gdr_reftransV1_0013929","p.persica_gdr_reftransV1_0013929")</f>
        <v>p.persica_gdr_reftransV1_0013929</v>
      </c>
      <c r="B12924" s="2">
        <v>983</v>
      </c>
      <c r="C12924" s="4" t="str">
        <f>HYPERLINK("http://www.uniprot.org/uniprot/M5WK79","M5WK79")</f>
        <v>M5WK79</v>
      </c>
      <c r="D12924" s="2" t="s">
        <v>10708</v>
      </c>
      <c r="E12924" s="3">
        <v>2.0900000000000001E-95</v>
      </c>
      <c r="F12924" s="2">
        <v>747</v>
      </c>
      <c r="G12924" s="2">
        <v>97</v>
      </c>
      <c r="H12924" s="2">
        <v>140</v>
      </c>
      <c r="I12924" s="2">
        <v>28</v>
      </c>
      <c r="J12924" s="2">
        <v>447</v>
      </c>
      <c r="K12924" s="2">
        <v>1</v>
      </c>
      <c r="L12924" s="2">
        <v>140</v>
      </c>
    </row>
    <row r="12925" spans="1:12" x14ac:dyDescent="0.25">
      <c r="A12925" s="4" t="str">
        <f>HYPERLINK("http://www.rosaceae.org/Prunus/Prunus_persica/p.persica_gdr_reftransV1_0014629","p.persica_gdr_reftransV1_0014629")</f>
        <v>p.persica_gdr_reftransV1_0014629</v>
      </c>
      <c r="B12925" s="2">
        <v>524</v>
      </c>
      <c r="C12925" s="4" t="str">
        <f>HYPERLINK("http://www.uniprot.org/uniprot/M5WG75","M5WG75")</f>
        <v>M5WG75</v>
      </c>
      <c r="D12925" s="2" t="s">
        <v>10709</v>
      </c>
      <c r="E12925" s="3">
        <v>1.2400000000000001E-107</v>
      </c>
      <c r="F12925" s="2">
        <v>838</v>
      </c>
      <c r="G12925" s="2">
        <v>100</v>
      </c>
      <c r="H12925" s="2">
        <v>174</v>
      </c>
      <c r="I12925" s="2">
        <v>2</v>
      </c>
      <c r="J12925" s="2">
        <v>523</v>
      </c>
      <c r="K12925" s="2">
        <v>31</v>
      </c>
      <c r="L12925" s="2">
        <v>204</v>
      </c>
    </row>
    <row r="12926" spans="1:12" x14ac:dyDescent="0.25">
      <c r="A12926" s="4" t="str">
        <f>HYPERLINK("http://www.rosaceae.org/Prunus/Prunus_persica/p.persica_gdr_reftransV1_0016029","p.persica_gdr_reftransV1_0016029")</f>
        <v>p.persica_gdr_reftransV1_0016029</v>
      </c>
      <c r="B12926" s="2">
        <v>634</v>
      </c>
      <c r="C12926" s="4" t="str">
        <f>HYPERLINK("http://www.uniprot.org/uniprot/M5VSY5","M5VSY5")</f>
        <v>M5VSY5</v>
      </c>
      <c r="D12926" s="2" t="s">
        <v>10710</v>
      </c>
      <c r="E12926" s="3">
        <v>2.4599999999999998E-87</v>
      </c>
      <c r="F12926" s="2">
        <v>694</v>
      </c>
      <c r="G12926" s="2">
        <v>93</v>
      </c>
      <c r="H12926" s="2">
        <v>200</v>
      </c>
      <c r="I12926" s="2">
        <v>79</v>
      </c>
      <c r="J12926" s="2">
        <v>633</v>
      </c>
      <c r="K12926" s="2">
        <v>114</v>
      </c>
      <c r="L12926" s="2">
        <v>313</v>
      </c>
    </row>
    <row r="12927" spans="1:12" x14ac:dyDescent="0.25">
      <c r="A12927" s="4" t="str">
        <f>HYPERLINK("http://www.rosaceae.org/Prunus/Prunus_persica/p.persica_gdr_reftransV1_0016379","p.persica_gdr_reftransV1_0016379")</f>
        <v>p.persica_gdr_reftransV1_0016379</v>
      </c>
      <c r="B12927" s="2">
        <v>1232</v>
      </c>
      <c r="C12927" s="4" t="str">
        <f>HYPERLINK("http://www.uniprot.org/uniprot/M5WAW9","M5WAW9")</f>
        <v>M5WAW9</v>
      </c>
      <c r="D12927" s="2" t="s">
        <v>10711</v>
      </c>
      <c r="E12927" s="3">
        <v>3.2899999999999998E-98</v>
      </c>
      <c r="F12927" s="2">
        <v>774</v>
      </c>
      <c r="G12927" s="2">
        <v>100</v>
      </c>
      <c r="H12927" s="2">
        <v>180</v>
      </c>
      <c r="I12927" s="2">
        <v>484</v>
      </c>
      <c r="J12927" s="2">
        <v>1023</v>
      </c>
      <c r="K12927" s="2">
        <v>1</v>
      </c>
      <c r="L12927" s="2">
        <v>180</v>
      </c>
    </row>
    <row r="12928" spans="1:12" x14ac:dyDescent="0.25">
      <c r="A12928" s="4" t="str">
        <f>HYPERLINK("http://www.rosaceae.org/Prunus/Prunus_persica/p.persica_gdr_reftransV1_0017429","p.persica_gdr_reftransV1_0017429")</f>
        <v>p.persica_gdr_reftransV1_0017429</v>
      </c>
      <c r="B12928" s="2">
        <v>1320</v>
      </c>
      <c r="C12928" s="4" t="str">
        <f>HYPERLINK("http://www.uniprot.org/uniprot/M5XSA5","M5XSA5")</f>
        <v>M5XSA5</v>
      </c>
      <c r="D12928" s="2" t="s">
        <v>10712</v>
      </c>
      <c r="E12928" s="3">
        <v>0</v>
      </c>
      <c r="F12928" s="2">
        <v>1858</v>
      </c>
      <c r="G12928" s="2">
        <v>99</v>
      </c>
      <c r="H12928" s="2">
        <v>411</v>
      </c>
      <c r="I12928" s="2">
        <v>3</v>
      </c>
      <c r="J12928" s="2">
        <v>1235</v>
      </c>
      <c r="K12928" s="2">
        <v>102</v>
      </c>
      <c r="L12928" s="2">
        <v>512</v>
      </c>
    </row>
    <row r="12929" spans="1:12" x14ac:dyDescent="0.25">
      <c r="A12929" s="4" t="str">
        <f>HYPERLINK("http://www.rosaceae.org/Prunus/Prunus_persica/p.persica_gdr_reftransV1_0017779","p.persica_gdr_reftransV1_0017779")</f>
        <v>p.persica_gdr_reftransV1_0017779</v>
      </c>
      <c r="B12929" s="2">
        <v>1311</v>
      </c>
      <c r="C12929" s="4" t="str">
        <f>HYPERLINK("http://www.uniprot.org/uniprot/K7KSG8","K7KSG8")</f>
        <v>K7KSG8</v>
      </c>
      <c r="D12929" s="2" t="s">
        <v>575</v>
      </c>
      <c r="E12929" s="3">
        <v>3.5499999999999999E-22</v>
      </c>
      <c r="F12929" s="2">
        <v>253</v>
      </c>
      <c r="G12929" s="2">
        <v>84</v>
      </c>
      <c r="H12929" s="2">
        <v>57</v>
      </c>
      <c r="I12929" s="2">
        <v>518</v>
      </c>
      <c r="J12929" s="2">
        <v>688</v>
      </c>
      <c r="K12929" s="2">
        <v>1</v>
      </c>
      <c r="L12929" s="2">
        <v>57</v>
      </c>
    </row>
    <row r="12930" spans="1:12" x14ac:dyDescent="0.25">
      <c r="A12930" s="4" t="str">
        <f>HYPERLINK("http://www.rosaceae.org/Prunus/Prunus_persica/p.persica_gdr_reftransV1_0018479","p.persica_gdr_reftransV1_0018479")</f>
        <v>p.persica_gdr_reftransV1_0018479</v>
      </c>
      <c r="B12930" s="2">
        <v>3248</v>
      </c>
      <c r="C12930" s="4" t="str">
        <f>HYPERLINK("http://www.uniprot.org/uniprot/Q8GT93","Q8GT93")</f>
        <v>Q8GT93</v>
      </c>
      <c r="D12930" s="2" t="s">
        <v>10713</v>
      </c>
      <c r="E12930" s="3">
        <v>0</v>
      </c>
      <c r="F12930" s="2">
        <v>1920</v>
      </c>
      <c r="G12930" s="2">
        <v>100</v>
      </c>
      <c r="H12930" s="2">
        <v>422</v>
      </c>
      <c r="I12930" s="2">
        <v>1741</v>
      </c>
      <c r="J12930" s="2">
        <v>3006</v>
      </c>
      <c r="K12930" s="2">
        <v>20</v>
      </c>
      <c r="L12930" s="2">
        <v>441</v>
      </c>
    </row>
    <row r="12931" spans="1:12" x14ac:dyDescent="0.25">
      <c r="A12931" s="4" t="str">
        <f>HYPERLINK("http://www.rosaceae.org/Prunus/Prunus_persica/p.persica_gdr_reftransV1_0018829","p.persica_gdr_reftransV1_0018829")</f>
        <v>p.persica_gdr_reftransV1_0018829</v>
      </c>
      <c r="B12931" s="2">
        <v>902</v>
      </c>
      <c r="C12931" s="4" t="str">
        <f>HYPERLINK("http://www.uniprot.org/uniprot/M5XMW9","M5XMW9")</f>
        <v>M5XMW9</v>
      </c>
      <c r="D12931" s="2" t="s">
        <v>10714</v>
      </c>
      <c r="E12931" s="3">
        <v>1.0699999999999999E-112</v>
      </c>
      <c r="F12931" s="2">
        <v>861</v>
      </c>
      <c r="G12931" s="2">
        <v>100</v>
      </c>
      <c r="H12931" s="2">
        <v>184</v>
      </c>
      <c r="I12931" s="2">
        <v>52</v>
      </c>
      <c r="J12931" s="2">
        <v>603</v>
      </c>
      <c r="K12931" s="2">
        <v>1</v>
      </c>
      <c r="L12931" s="2">
        <v>184</v>
      </c>
    </row>
    <row r="12932" spans="1:12" x14ac:dyDescent="0.25">
      <c r="A12932" s="4" t="str">
        <f>HYPERLINK("http://www.rosaceae.org/Prunus/Prunus_persica/p.persica_gdr_reftransV1_0020579","p.persica_gdr_reftransV1_0020579")</f>
        <v>p.persica_gdr_reftransV1_0020579</v>
      </c>
      <c r="B12932" s="2">
        <v>1420</v>
      </c>
      <c r="C12932" s="4" t="str">
        <f>HYPERLINK("http://www.uniprot.org/uniprot/M5XLC4","M5XLC4")</f>
        <v>M5XLC4</v>
      </c>
      <c r="D12932" s="2" t="s">
        <v>10715</v>
      </c>
      <c r="E12932" s="3">
        <v>0</v>
      </c>
      <c r="F12932" s="2">
        <v>1366</v>
      </c>
      <c r="G12932" s="2">
        <v>99</v>
      </c>
      <c r="H12932" s="2">
        <v>257</v>
      </c>
      <c r="I12932" s="2">
        <v>48</v>
      </c>
      <c r="J12932" s="2">
        <v>818</v>
      </c>
      <c r="K12932" s="2">
        <v>1</v>
      </c>
      <c r="L12932" s="2">
        <v>257</v>
      </c>
    </row>
    <row r="12933" spans="1:12" x14ac:dyDescent="0.25">
      <c r="A12933" s="4" t="str">
        <f>HYPERLINK("http://www.rosaceae.org/Prunus/Prunus_persica/p.persica_gdr_reftransV1_0021279","p.persica_gdr_reftransV1_0021279")</f>
        <v>p.persica_gdr_reftransV1_0021279</v>
      </c>
      <c r="B12933" s="2">
        <v>1273</v>
      </c>
      <c r="C12933" s="4" t="str">
        <f>HYPERLINK("http://www.uniprot.org/uniprot/M5WK89","M5WK89")</f>
        <v>M5WK89</v>
      </c>
      <c r="D12933" s="2" t="s">
        <v>10716</v>
      </c>
      <c r="E12933" s="3">
        <v>2.0800000000000001E-105</v>
      </c>
      <c r="F12933" s="2">
        <v>822</v>
      </c>
      <c r="G12933" s="2">
        <v>100</v>
      </c>
      <c r="H12933" s="2">
        <v>168</v>
      </c>
      <c r="I12933" s="2">
        <v>92</v>
      </c>
      <c r="J12933" s="2">
        <v>595</v>
      </c>
      <c r="K12933" s="2">
        <v>1</v>
      </c>
      <c r="L12933" s="2">
        <v>168</v>
      </c>
    </row>
    <row r="12934" spans="1:12" x14ac:dyDescent="0.25">
      <c r="A12934" s="4" t="str">
        <f>HYPERLINK("http://www.rosaceae.org/Prunus/Prunus_persica/p.persica_gdr_reftransV1_0022329","p.persica_gdr_reftransV1_0022329")</f>
        <v>p.persica_gdr_reftransV1_0022329</v>
      </c>
      <c r="B12934" s="2">
        <v>3007</v>
      </c>
      <c r="C12934" s="4" t="str">
        <f>HYPERLINK("http://www.uniprot.org/uniprot/M5W775","M5W775")</f>
        <v>M5W775</v>
      </c>
      <c r="D12934" s="2" t="s">
        <v>8266</v>
      </c>
      <c r="E12934" s="3">
        <v>0</v>
      </c>
      <c r="F12934" s="2">
        <v>3433</v>
      </c>
      <c r="G12934" s="2">
        <v>100</v>
      </c>
      <c r="H12934" s="2">
        <v>763</v>
      </c>
      <c r="I12934" s="2">
        <v>349</v>
      </c>
      <c r="J12934" s="2">
        <v>2637</v>
      </c>
      <c r="K12934" s="2">
        <v>1</v>
      </c>
      <c r="L12934" s="2">
        <v>763</v>
      </c>
    </row>
    <row r="12935" spans="1:12" x14ac:dyDescent="0.25">
      <c r="A12935" s="4" t="str">
        <f>HYPERLINK("http://www.rosaceae.org/Prunus/Prunus_persica/p.persica_gdr_reftransV1_0022679","p.persica_gdr_reftransV1_0022679")</f>
        <v>p.persica_gdr_reftransV1_0022679</v>
      </c>
      <c r="B12935" s="2">
        <v>1415</v>
      </c>
      <c r="C12935" s="4" t="str">
        <f>HYPERLINK("http://www.uniprot.org/uniprot/M5VNP7","M5VNP7")</f>
        <v>M5VNP7</v>
      </c>
      <c r="D12935" s="2" t="s">
        <v>10717</v>
      </c>
      <c r="E12935" s="3">
        <v>0</v>
      </c>
      <c r="F12935" s="2">
        <v>1355</v>
      </c>
      <c r="G12935" s="2">
        <v>100</v>
      </c>
      <c r="H12935" s="2">
        <v>268</v>
      </c>
      <c r="I12935" s="2">
        <v>449</v>
      </c>
      <c r="J12935" s="2">
        <v>1252</v>
      </c>
      <c r="K12935" s="2">
        <v>1</v>
      </c>
      <c r="L12935" s="2">
        <v>268</v>
      </c>
    </row>
    <row r="12936" spans="1:12" x14ac:dyDescent="0.25">
      <c r="A12936" s="4" t="str">
        <f>HYPERLINK("http://www.rosaceae.org/Prunus/Prunus_persica/p.persica_gdr_reftransV1_0023029","p.persica_gdr_reftransV1_0023029")</f>
        <v>p.persica_gdr_reftransV1_0023029</v>
      </c>
      <c r="B12936" s="2">
        <v>627</v>
      </c>
      <c r="C12936" s="4" t="str">
        <f>HYPERLINK("http://www.uniprot.org/uniprot/M5VLC3","M5VLC3")</f>
        <v>M5VLC3</v>
      </c>
      <c r="D12936" s="2" t="s">
        <v>1102</v>
      </c>
      <c r="E12936" s="3">
        <v>2.0400000000000001E-76</v>
      </c>
      <c r="F12936" s="2">
        <v>621</v>
      </c>
      <c r="G12936" s="2">
        <v>100</v>
      </c>
      <c r="H12936" s="2">
        <v>153</v>
      </c>
      <c r="I12936" s="2">
        <v>169</v>
      </c>
      <c r="J12936" s="2">
        <v>627</v>
      </c>
      <c r="K12936" s="2">
        <v>1</v>
      </c>
      <c r="L12936" s="2">
        <v>153</v>
      </c>
    </row>
    <row r="12937" spans="1:12" x14ac:dyDescent="0.25">
      <c r="A12937" s="4" t="str">
        <f>HYPERLINK("http://www.rosaceae.org/Prunus/Prunus_persica/p.persica_gdr_reftransV1_0023379","p.persica_gdr_reftransV1_0023379")</f>
        <v>p.persica_gdr_reftransV1_0023379</v>
      </c>
      <c r="B12937" s="2">
        <v>1172</v>
      </c>
      <c r="C12937" s="4" t="str">
        <f>HYPERLINK("http://www.uniprot.org/uniprot/M5XPI5","M5XPI5")</f>
        <v>M5XPI5</v>
      </c>
      <c r="D12937" s="2" t="s">
        <v>10718</v>
      </c>
      <c r="E12937" s="3">
        <v>7.7199999999999996E-56</v>
      </c>
      <c r="F12937" s="2">
        <v>511</v>
      </c>
      <c r="G12937" s="2">
        <v>100</v>
      </c>
      <c r="H12937" s="2">
        <v>96</v>
      </c>
      <c r="I12937" s="2">
        <v>570</v>
      </c>
      <c r="J12937" s="2">
        <v>857</v>
      </c>
      <c r="K12937" s="2">
        <v>365</v>
      </c>
      <c r="L12937" s="2">
        <v>460</v>
      </c>
    </row>
    <row r="12938" spans="1:12" x14ac:dyDescent="0.25">
      <c r="A12938" s="4" t="str">
        <f>HYPERLINK("http://www.rosaceae.org/Prunus/Prunus_persica/p.persica_gdr_reftransV1_0026529","p.persica_gdr_reftransV1_0026529")</f>
        <v>p.persica_gdr_reftransV1_0026529</v>
      </c>
      <c r="B12938" s="2">
        <v>549</v>
      </c>
      <c r="C12938" s="4" t="str">
        <f>HYPERLINK("http://www.uniprot.org/uniprot/M5X8M6","M5X8M6")</f>
        <v>M5X8M6</v>
      </c>
      <c r="D12938" s="2" t="s">
        <v>4829</v>
      </c>
      <c r="E12938" s="3">
        <v>2.94E-75</v>
      </c>
      <c r="F12938" s="2">
        <v>647</v>
      </c>
      <c r="G12938" s="2">
        <v>99</v>
      </c>
      <c r="H12938" s="2">
        <v>128</v>
      </c>
      <c r="I12938" s="2">
        <v>2</v>
      </c>
      <c r="J12938" s="2">
        <v>385</v>
      </c>
      <c r="K12938" s="2">
        <v>37</v>
      </c>
      <c r="L12938" s="2">
        <v>164</v>
      </c>
    </row>
    <row r="12939" spans="1:12" x14ac:dyDescent="0.25">
      <c r="A12939" s="4" t="str">
        <f>HYPERLINK("http://www.rosaceae.org/Prunus/Prunus_persica/p.persica_gdr_reftransV1_0026879","p.persica_gdr_reftransV1_0026879")</f>
        <v>p.persica_gdr_reftransV1_0026879</v>
      </c>
      <c r="B12939" s="2">
        <v>2286</v>
      </c>
      <c r="C12939" s="4" t="str">
        <f>HYPERLINK("http://www.uniprot.org/uniprot/M5XGA2","M5XGA2")</f>
        <v>M5XGA2</v>
      </c>
      <c r="D12939" s="2" t="s">
        <v>10719</v>
      </c>
      <c r="E12939" s="3">
        <v>0</v>
      </c>
      <c r="F12939" s="2">
        <v>2097</v>
      </c>
      <c r="G12939" s="2">
        <v>96</v>
      </c>
      <c r="H12939" s="2">
        <v>450</v>
      </c>
      <c r="I12939" s="2">
        <v>442</v>
      </c>
      <c r="J12939" s="2">
        <v>1788</v>
      </c>
      <c r="K12939" s="2">
        <v>4</v>
      </c>
      <c r="L12939" s="2">
        <v>453</v>
      </c>
    </row>
    <row r="12940" spans="1:12" x14ac:dyDescent="0.25">
      <c r="A12940" s="4" t="str">
        <f>HYPERLINK("http://www.rosaceae.org/Prunus/Prunus_persica/p.persica_gdr_reftransV1_0028629","p.persica_gdr_reftransV1_0028629")</f>
        <v>p.persica_gdr_reftransV1_0028629</v>
      </c>
      <c r="B12940" s="2">
        <v>1195</v>
      </c>
      <c r="C12940" s="4" t="str">
        <f>HYPERLINK("http://www.uniprot.org/uniprot/M5X0N2","M5X0N2")</f>
        <v>M5X0N2</v>
      </c>
      <c r="D12940" s="2" t="s">
        <v>10720</v>
      </c>
      <c r="E12940" s="3">
        <v>6.9299999999999996E-109</v>
      </c>
      <c r="F12940" s="2">
        <v>813</v>
      </c>
      <c r="G12940" s="2">
        <v>99</v>
      </c>
      <c r="H12940" s="2">
        <v>154</v>
      </c>
      <c r="I12940" s="2">
        <v>546</v>
      </c>
      <c r="J12940" s="2">
        <v>1007</v>
      </c>
      <c r="K12940" s="2">
        <v>47</v>
      </c>
      <c r="L12940" s="2">
        <v>200</v>
      </c>
    </row>
    <row r="12941" spans="1:12" x14ac:dyDescent="0.25">
      <c r="A12941" s="4" t="str">
        <f>HYPERLINK("http://www.rosaceae.org/Prunus/Prunus_persica/p.persica_gdr_reftransV1_0029679","p.persica_gdr_reftransV1_0029679")</f>
        <v>p.persica_gdr_reftransV1_0029679</v>
      </c>
      <c r="B12941" s="2">
        <v>2823</v>
      </c>
      <c r="C12941" s="4" t="str">
        <f>HYPERLINK("http://www.uniprot.org/uniprot/M5XET8","M5XET8")</f>
        <v>M5XET8</v>
      </c>
      <c r="D12941" s="2" t="s">
        <v>10721</v>
      </c>
      <c r="E12941" s="3">
        <v>0</v>
      </c>
      <c r="F12941" s="2">
        <v>1622</v>
      </c>
      <c r="G12941" s="2">
        <v>100</v>
      </c>
      <c r="H12941" s="2">
        <v>331</v>
      </c>
      <c r="I12941" s="2">
        <v>438</v>
      </c>
      <c r="J12941" s="2">
        <v>1430</v>
      </c>
      <c r="K12941" s="2">
        <v>1</v>
      </c>
      <c r="L12941" s="2">
        <v>331</v>
      </c>
    </row>
    <row r="12942" spans="1:12" x14ac:dyDescent="0.25">
      <c r="A12942" s="4" t="str">
        <f>HYPERLINK("http://www.rosaceae.org/Prunus/Prunus_persica/p.persica_gdr_reftransV1_0030379","p.persica_gdr_reftransV1_0030379")</f>
        <v>p.persica_gdr_reftransV1_0030379</v>
      </c>
      <c r="B12942" s="2">
        <v>1879</v>
      </c>
      <c r="C12942" s="4" t="str">
        <f>HYPERLINK("http://www.uniprot.org/uniprot/M5XQ85","M5XQ85")</f>
        <v>M5XQ85</v>
      </c>
      <c r="D12942" s="2" t="s">
        <v>10722</v>
      </c>
      <c r="E12942" s="3">
        <v>0</v>
      </c>
      <c r="F12942" s="2">
        <v>1392</v>
      </c>
      <c r="G12942" s="2">
        <v>99</v>
      </c>
      <c r="H12942" s="2">
        <v>290</v>
      </c>
      <c r="I12942" s="2">
        <v>218</v>
      </c>
      <c r="J12942" s="2">
        <v>1087</v>
      </c>
      <c r="K12942" s="2">
        <v>1</v>
      </c>
      <c r="L12942" s="2">
        <v>290</v>
      </c>
    </row>
    <row r="12943" spans="1:12" x14ac:dyDescent="0.25">
      <c r="A12943" s="4" t="str">
        <f>HYPERLINK("http://www.rosaceae.org/Prunus/Prunus_persica/p.persica_gdr_reftransV1_0030729","p.persica_gdr_reftransV1_0030729")</f>
        <v>p.persica_gdr_reftransV1_0030729</v>
      </c>
      <c r="B12943" s="2">
        <v>2208</v>
      </c>
      <c r="C12943" s="4" t="str">
        <f>HYPERLINK("http://www.uniprot.org/uniprot/B9SXJ1","B9SXJ1")</f>
        <v>B9SXJ1</v>
      </c>
      <c r="D12943" s="2" t="s">
        <v>10723</v>
      </c>
      <c r="E12943" s="3">
        <v>0</v>
      </c>
      <c r="F12943" s="2">
        <v>2669</v>
      </c>
      <c r="G12943" s="2">
        <v>88</v>
      </c>
      <c r="H12943" s="2">
        <v>555</v>
      </c>
      <c r="I12943" s="2">
        <v>270</v>
      </c>
      <c r="J12943" s="2">
        <v>1934</v>
      </c>
      <c r="K12943" s="2">
        <v>63</v>
      </c>
      <c r="L12943" s="2">
        <v>617</v>
      </c>
    </row>
    <row r="12944" spans="1:12" x14ac:dyDescent="0.25">
      <c r="A12944" s="4" t="str">
        <f>HYPERLINK("http://www.rosaceae.org/Prunus/Prunus_persica/p.persica_gdr_reftransV1_0032129","p.persica_gdr_reftransV1_0032129")</f>
        <v>p.persica_gdr_reftransV1_0032129</v>
      </c>
      <c r="B12944" s="2">
        <v>3127</v>
      </c>
      <c r="C12944" s="4" t="str">
        <f>HYPERLINK("http://www.uniprot.org/uniprot/M5XRE3","M5XRE3")</f>
        <v>M5XRE3</v>
      </c>
      <c r="D12944" s="2" t="s">
        <v>10724</v>
      </c>
      <c r="E12944" s="3">
        <v>0</v>
      </c>
      <c r="F12944" s="2">
        <v>3815</v>
      </c>
      <c r="G12944" s="2">
        <v>100</v>
      </c>
      <c r="H12944" s="2">
        <v>793</v>
      </c>
      <c r="I12944" s="2">
        <v>391</v>
      </c>
      <c r="J12944" s="2">
        <v>2769</v>
      </c>
      <c r="K12944" s="2">
        <v>9</v>
      </c>
      <c r="L12944" s="2">
        <v>801</v>
      </c>
    </row>
    <row r="12945" spans="1:12" x14ac:dyDescent="0.25">
      <c r="A12945" s="4" t="str">
        <f>HYPERLINK("http://www.rosaceae.org/Prunus/Prunus_persica/p.persica_gdr_reftransV1_0033879","p.persica_gdr_reftransV1_0033879")</f>
        <v>p.persica_gdr_reftransV1_0033879</v>
      </c>
      <c r="B12945" s="2">
        <v>1547</v>
      </c>
      <c r="C12945" s="4" t="str">
        <f>HYPERLINK("http://www.uniprot.org/uniprot/M5XDJ6","M5XDJ6")</f>
        <v>M5XDJ6</v>
      </c>
      <c r="D12945" s="2" t="s">
        <v>10725</v>
      </c>
      <c r="E12945" s="3">
        <v>1.3100000000000001E-60</v>
      </c>
      <c r="F12945" s="2">
        <v>532</v>
      </c>
      <c r="G12945" s="2">
        <v>99</v>
      </c>
      <c r="H12945" s="2">
        <v>99</v>
      </c>
      <c r="I12945" s="2">
        <v>579</v>
      </c>
      <c r="J12945" s="2">
        <v>875</v>
      </c>
      <c r="K12945" s="2">
        <v>75</v>
      </c>
      <c r="L12945" s="2">
        <v>173</v>
      </c>
    </row>
    <row r="12946" spans="1:12" x14ac:dyDescent="0.25">
      <c r="A12946" s="4" t="str">
        <f>HYPERLINK("http://www.rosaceae.org/Prunus/Prunus_persica/p.persica_gdr_reftransV1_0036329","p.persica_gdr_reftransV1_0036329")</f>
        <v>p.persica_gdr_reftransV1_0036329</v>
      </c>
      <c r="B12946" s="2">
        <v>879</v>
      </c>
      <c r="C12946" s="4" t="str">
        <f>HYPERLINK("http://www.uniprot.org/uniprot/M5VYG3","M5VYG3")</f>
        <v>M5VYG3</v>
      </c>
      <c r="D12946" s="2" t="s">
        <v>10726</v>
      </c>
      <c r="E12946" s="3">
        <v>3.95E-60</v>
      </c>
      <c r="F12946" s="2">
        <v>504</v>
      </c>
      <c r="G12946" s="2">
        <v>100</v>
      </c>
      <c r="H12946" s="2">
        <v>107</v>
      </c>
      <c r="I12946" s="2">
        <v>395</v>
      </c>
      <c r="J12946" s="2">
        <v>715</v>
      </c>
      <c r="K12946" s="2">
        <v>1</v>
      </c>
      <c r="L12946" s="2">
        <v>107</v>
      </c>
    </row>
    <row r="12947" spans="1:12" x14ac:dyDescent="0.25">
      <c r="A12947" s="4" t="str">
        <f>HYPERLINK("http://www.rosaceae.org/Prunus/Prunus_persica/p.persica_gdr_reftransV1_0037029","p.persica_gdr_reftransV1_0037029")</f>
        <v>p.persica_gdr_reftransV1_0037029</v>
      </c>
      <c r="B12947" s="2">
        <v>3291</v>
      </c>
      <c r="C12947" s="4" t="str">
        <f>HYPERLINK("http://www.uniprot.org/uniprot/M5WR34","M5WR34")</f>
        <v>M5WR34</v>
      </c>
      <c r="D12947" s="2" t="s">
        <v>10727</v>
      </c>
      <c r="E12947" s="3">
        <v>0</v>
      </c>
      <c r="F12947" s="2">
        <v>4224</v>
      </c>
      <c r="G12947" s="2">
        <v>100</v>
      </c>
      <c r="H12947" s="2">
        <v>853</v>
      </c>
      <c r="I12947" s="2">
        <v>336</v>
      </c>
      <c r="J12947" s="2">
        <v>2894</v>
      </c>
      <c r="K12947" s="2">
        <v>1</v>
      </c>
      <c r="L12947" s="2">
        <v>853</v>
      </c>
    </row>
    <row r="12948" spans="1:12" x14ac:dyDescent="0.25">
      <c r="A12948" s="4" t="str">
        <f>HYPERLINK("http://www.rosaceae.org/Prunus/Prunus_persica/p.persica_gdr_reftransV1_0038079","p.persica_gdr_reftransV1_0038079")</f>
        <v>p.persica_gdr_reftransV1_0038079</v>
      </c>
      <c r="B12948" s="2">
        <v>2556</v>
      </c>
      <c r="C12948" s="4" t="str">
        <f>HYPERLINK("http://www.uniprot.org/uniprot/M5WD43","M5WD43")</f>
        <v>M5WD43</v>
      </c>
      <c r="D12948" s="2" t="s">
        <v>10728</v>
      </c>
      <c r="E12948" s="3">
        <v>4.8399999999999999E-79</v>
      </c>
      <c r="F12948" s="2">
        <v>674</v>
      </c>
      <c r="G12948" s="2">
        <v>100</v>
      </c>
      <c r="H12948" s="2">
        <v>174</v>
      </c>
      <c r="I12948" s="2">
        <v>154</v>
      </c>
      <c r="J12948" s="2">
        <v>675</v>
      </c>
      <c r="K12948" s="2">
        <v>1</v>
      </c>
      <c r="L12948" s="2">
        <v>174</v>
      </c>
    </row>
    <row r="12949" spans="1:12" x14ac:dyDescent="0.25">
      <c r="A12949" s="4" t="str">
        <f>HYPERLINK("http://www.rosaceae.org/Prunus/Prunus_persica/p.persica_gdr_reftransV1_0039479","p.persica_gdr_reftransV1_0039479")</f>
        <v>p.persica_gdr_reftransV1_0039479</v>
      </c>
      <c r="B12949" s="2">
        <v>1170</v>
      </c>
      <c r="C12949" s="4" t="str">
        <f>HYPERLINK("http://www.uniprot.org/uniprot/M5WV94","M5WV94")</f>
        <v>M5WV94</v>
      </c>
      <c r="D12949" s="2" t="s">
        <v>10729</v>
      </c>
      <c r="E12949" s="3">
        <v>6.9299999999999998E-148</v>
      </c>
      <c r="F12949" s="2">
        <v>1104</v>
      </c>
      <c r="G12949" s="2">
        <v>100</v>
      </c>
      <c r="H12949" s="2">
        <v>207</v>
      </c>
      <c r="I12949" s="2">
        <v>104</v>
      </c>
      <c r="J12949" s="2">
        <v>724</v>
      </c>
      <c r="K12949" s="2">
        <v>1</v>
      </c>
      <c r="L12949" s="2">
        <v>207</v>
      </c>
    </row>
    <row r="12950" spans="1:12" x14ac:dyDescent="0.25">
      <c r="A12950" s="4" t="str">
        <f>HYPERLINK("http://www.rosaceae.org/Prunus/Prunus_persica/p.persica_gdr_reftransV1_0040179","p.persica_gdr_reftransV1_0040179")</f>
        <v>p.persica_gdr_reftransV1_0040179</v>
      </c>
      <c r="B12950" s="2">
        <v>3340</v>
      </c>
      <c r="C12950" s="4" t="str">
        <f>HYPERLINK("http://www.uniprot.org/uniprot/M5VP25","M5VP25")</f>
        <v>M5VP25</v>
      </c>
      <c r="D12950" s="2" t="s">
        <v>10730</v>
      </c>
      <c r="E12950" s="3">
        <v>0</v>
      </c>
      <c r="F12950" s="2">
        <v>3438</v>
      </c>
      <c r="G12950" s="2">
        <v>100</v>
      </c>
      <c r="H12950" s="2">
        <v>726</v>
      </c>
      <c r="I12950" s="2">
        <v>343</v>
      </c>
      <c r="J12950" s="2">
        <v>2520</v>
      </c>
      <c r="K12950" s="2">
        <v>1</v>
      </c>
      <c r="L12950" s="2">
        <v>726</v>
      </c>
    </row>
    <row r="12951" spans="1:12" x14ac:dyDescent="0.25">
      <c r="A12951" s="4" t="str">
        <f>HYPERLINK("http://www.rosaceae.org/Prunus/Prunus_persica/p.persica_gdr_reftransV1_0041229","p.persica_gdr_reftransV1_0041229")</f>
        <v>p.persica_gdr_reftransV1_0041229</v>
      </c>
      <c r="B12951" s="2">
        <v>1391</v>
      </c>
      <c r="C12951" s="4" t="str">
        <f>HYPERLINK("http://www.uniprot.org/uniprot/M5X9X2","M5X9X2")</f>
        <v>M5X9X2</v>
      </c>
      <c r="D12951" s="2" t="s">
        <v>10731</v>
      </c>
      <c r="E12951" s="3">
        <v>6.5099999999999995E-144</v>
      </c>
      <c r="F12951" s="2">
        <v>1087</v>
      </c>
      <c r="G12951" s="2">
        <v>100</v>
      </c>
      <c r="H12951" s="2">
        <v>225</v>
      </c>
      <c r="I12951" s="2">
        <v>492</v>
      </c>
      <c r="J12951" s="2">
        <v>1166</v>
      </c>
      <c r="K12951" s="2">
        <v>1</v>
      </c>
      <c r="L12951" s="2">
        <v>225</v>
      </c>
    </row>
    <row r="12952" spans="1:12" x14ac:dyDescent="0.25">
      <c r="A12952" s="4" t="str">
        <f>HYPERLINK("http://www.rosaceae.org/Prunus/Prunus_persica/p.persica_gdr_reftransV1_0042629","p.persica_gdr_reftransV1_0042629")</f>
        <v>p.persica_gdr_reftransV1_0042629</v>
      </c>
      <c r="B12952" s="2">
        <v>1823</v>
      </c>
      <c r="C12952" s="4" t="str">
        <f>HYPERLINK("http://www.uniprot.org/uniprot/M5XF89","M5XF89")</f>
        <v>M5XF89</v>
      </c>
      <c r="D12952" s="2" t="s">
        <v>1578</v>
      </c>
      <c r="E12952" s="3">
        <v>0</v>
      </c>
      <c r="F12952" s="2">
        <v>1954</v>
      </c>
      <c r="G12952" s="2">
        <v>100</v>
      </c>
      <c r="H12952" s="2">
        <v>433</v>
      </c>
      <c r="I12952" s="2">
        <v>433</v>
      </c>
      <c r="J12952" s="2">
        <v>1731</v>
      </c>
      <c r="K12952" s="2">
        <v>40</v>
      </c>
      <c r="L12952" s="2">
        <v>472</v>
      </c>
    </row>
    <row r="12953" spans="1:12" x14ac:dyDescent="0.25">
      <c r="A12953" s="4" t="str">
        <f>HYPERLINK("http://www.rosaceae.org/Prunus/Prunus_persica/p.persica_gdr_reftransV1_0043329","p.persica_gdr_reftransV1_0043329")</f>
        <v>p.persica_gdr_reftransV1_0043329</v>
      </c>
      <c r="B12953" s="2">
        <v>1036</v>
      </c>
      <c r="C12953" s="4" t="str">
        <f>HYPERLINK("http://www.uniprot.org/uniprot/M5WA41","M5WA41")</f>
        <v>M5WA41</v>
      </c>
      <c r="D12953" s="2" t="s">
        <v>10732</v>
      </c>
      <c r="E12953" s="3">
        <v>6.8999999999999997E-166</v>
      </c>
      <c r="F12953" s="2">
        <v>1223</v>
      </c>
      <c r="G12953" s="2">
        <v>86</v>
      </c>
      <c r="H12953" s="2">
        <v>306</v>
      </c>
      <c r="I12953" s="2">
        <v>9</v>
      </c>
      <c r="J12953" s="2">
        <v>926</v>
      </c>
      <c r="K12953" s="2">
        <v>1</v>
      </c>
      <c r="L12953" s="2">
        <v>262</v>
      </c>
    </row>
    <row r="12954" spans="1:12" x14ac:dyDescent="0.25">
      <c r="A12954" s="4" t="str">
        <f>HYPERLINK("http://www.rosaceae.org/Prunus/Prunus_persica/p.persica_gdr_reftransV1_0043679","p.persica_gdr_reftransV1_0043679")</f>
        <v>p.persica_gdr_reftransV1_0043679</v>
      </c>
      <c r="B12954" s="2">
        <v>927</v>
      </c>
      <c r="C12954" s="4" t="str">
        <f>HYPERLINK("http://www.uniprot.org/uniprot/M5XBM5","M5XBM5")</f>
        <v>M5XBM5</v>
      </c>
      <c r="D12954" s="2" t="s">
        <v>4804</v>
      </c>
      <c r="E12954" s="3">
        <v>3.9099999999999998E-81</v>
      </c>
      <c r="F12954" s="2">
        <v>674</v>
      </c>
      <c r="G12954" s="2">
        <v>100</v>
      </c>
      <c r="H12954" s="2">
        <v>239</v>
      </c>
      <c r="I12954" s="2">
        <v>35</v>
      </c>
      <c r="J12954" s="2">
        <v>751</v>
      </c>
      <c r="K12954" s="2">
        <v>208</v>
      </c>
      <c r="L12954" s="2">
        <v>446</v>
      </c>
    </row>
    <row r="12955" spans="1:12" x14ac:dyDescent="0.25">
      <c r="A12955" s="4" t="str">
        <f>HYPERLINK("http://www.rosaceae.org/Prunus/Prunus_persica/p.persica_gdr_reftransV1_0044029","p.persica_gdr_reftransV1_0044029")</f>
        <v>p.persica_gdr_reftransV1_0044029</v>
      </c>
      <c r="B12955" s="2">
        <v>1481</v>
      </c>
      <c r="C12955" s="4" t="str">
        <f>HYPERLINK("http://www.uniprot.org/uniprot/M5X0T5","M5X0T5")</f>
        <v>M5X0T5</v>
      </c>
      <c r="D12955" s="2" t="s">
        <v>10733</v>
      </c>
      <c r="E12955" s="3">
        <v>0</v>
      </c>
      <c r="F12955" s="2">
        <v>1810</v>
      </c>
      <c r="G12955" s="2">
        <v>99</v>
      </c>
      <c r="H12955" s="2">
        <v>364</v>
      </c>
      <c r="I12955" s="2">
        <v>113</v>
      </c>
      <c r="J12955" s="2">
        <v>1204</v>
      </c>
      <c r="K12955" s="2">
        <v>1</v>
      </c>
      <c r="L12955" s="2">
        <v>364</v>
      </c>
    </row>
    <row r="12956" spans="1:12" x14ac:dyDescent="0.25">
      <c r="A12956" s="4" t="str">
        <f>HYPERLINK("http://www.rosaceae.org/Prunus/Prunus_persica/p.persica_gdr_reftransV1_0044729","p.persica_gdr_reftransV1_0044729")</f>
        <v>p.persica_gdr_reftransV1_0044729</v>
      </c>
      <c r="B12956" s="2">
        <v>1536</v>
      </c>
      <c r="C12956" s="4" t="str">
        <f>HYPERLINK("http://www.uniprot.org/uniprot/W9QKQ9","W9QKQ9")</f>
        <v>W9QKQ9</v>
      </c>
      <c r="D12956" s="2" t="s">
        <v>1465</v>
      </c>
      <c r="E12956" s="3">
        <v>6.5999999999999997E-81</v>
      </c>
      <c r="F12956" s="2">
        <v>681</v>
      </c>
      <c r="G12956" s="2">
        <v>48</v>
      </c>
      <c r="H12956" s="2">
        <v>334</v>
      </c>
      <c r="I12956" s="2">
        <v>378</v>
      </c>
      <c r="J12956" s="2">
        <v>1337</v>
      </c>
      <c r="K12956" s="2">
        <v>6</v>
      </c>
      <c r="L12956" s="2">
        <v>328</v>
      </c>
    </row>
    <row r="12957" spans="1:12" x14ac:dyDescent="0.25">
      <c r="A12957" s="4" t="str">
        <f>HYPERLINK("http://www.rosaceae.org/Prunus/Prunus_persica/p.persica_gdr_reftransV1_0045079","p.persica_gdr_reftransV1_0045079")</f>
        <v>p.persica_gdr_reftransV1_0045079</v>
      </c>
      <c r="B12957" s="2">
        <v>3341</v>
      </c>
      <c r="C12957" s="4" t="str">
        <f>HYPERLINK("http://www.uniprot.org/uniprot/M5XB96","M5XB96")</f>
        <v>M5XB96</v>
      </c>
      <c r="D12957" s="2" t="s">
        <v>10734</v>
      </c>
      <c r="E12957" s="3">
        <v>0</v>
      </c>
      <c r="F12957" s="2">
        <v>3679</v>
      </c>
      <c r="G12957" s="2">
        <v>100</v>
      </c>
      <c r="H12957" s="2">
        <v>756</v>
      </c>
      <c r="I12957" s="2">
        <v>710</v>
      </c>
      <c r="J12957" s="2">
        <v>2977</v>
      </c>
      <c r="K12957" s="2">
        <v>1</v>
      </c>
      <c r="L12957" s="2">
        <v>756</v>
      </c>
    </row>
    <row r="12958" spans="1:12" x14ac:dyDescent="0.25">
      <c r="A12958" s="4" t="str">
        <f>HYPERLINK("http://www.rosaceae.org/Prunus/Prunus_persica/p.persica_gdr_reftransV1_0045779","p.persica_gdr_reftransV1_0045779")</f>
        <v>p.persica_gdr_reftransV1_0045779</v>
      </c>
      <c r="B12958" s="2">
        <v>1780</v>
      </c>
      <c r="C12958" s="4" t="str">
        <f>HYPERLINK("http://www.uniprot.org/uniprot/M5VNX6","M5VNX6")</f>
        <v>M5VNX6</v>
      </c>
      <c r="D12958" s="2" t="s">
        <v>9025</v>
      </c>
      <c r="E12958" s="3">
        <v>2.1200000000000002E-180</v>
      </c>
      <c r="F12958" s="2">
        <v>1353</v>
      </c>
      <c r="G12958" s="2">
        <v>100</v>
      </c>
      <c r="H12958" s="2">
        <v>325</v>
      </c>
      <c r="I12958" s="2">
        <v>495</v>
      </c>
      <c r="J12958" s="2">
        <v>1469</v>
      </c>
      <c r="K12958" s="2">
        <v>24</v>
      </c>
      <c r="L12958" s="2">
        <v>348</v>
      </c>
    </row>
    <row r="12959" spans="1:12" x14ac:dyDescent="0.25">
      <c r="A12959" s="4" t="str">
        <f>HYPERLINK("http://www.rosaceae.org/Prunus/Prunus_persica/p.persica_gdr_reftransV1_0046829","p.persica_gdr_reftransV1_0046829")</f>
        <v>p.persica_gdr_reftransV1_0046829</v>
      </c>
      <c r="B12959" s="2">
        <v>1627</v>
      </c>
      <c r="C12959" s="4" t="str">
        <f>HYPERLINK("http://www.uniprot.org/uniprot/M5XH00","M5XH00")</f>
        <v>M5XH00</v>
      </c>
      <c r="D12959" s="2" t="s">
        <v>10735</v>
      </c>
      <c r="E12959" s="3">
        <v>0</v>
      </c>
      <c r="F12959" s="2">
        <v>1409</v>
      </c>
      <c r="G12959" s="2">
        <v>93</v>
      </c>
      <c r="H12959" s="2">
        <v>286</v>
      </c>
      <c r="I12959" s="2">
        <v>563</v>
      </c>
      <c r="J12959" s="2">
        <v>1420</v>
      </c>
      <c r="K12959" s="2">
        <v>77</v>
      </c>
      <c r="L12959" s="2">
        <v>345</v>
      </c>
    </row>
    <row r="12960" spans="1:12" x14ac:dyDescent="0.25">
      <c r="A12960" s="4" t="str">
        <f>HYPERLINK("http://www.rosaceae.org/Prunus/Prunus_persica/p.persica_gdr_reftransV1_0047879","p.persica_gdr_reftransV1_0047879")</f>
        <v>p.persica_gdr_reftransV1_0047879</v>
      </c>
      <c r="B12960" s="2">
        <v>1705</v>
      </c>
      <c r="C12960" s="4" t="str">
        <f>HYPERLINK("http://www.uniprot.org/uniprot/M5X154","M5X154")</f>
        <v>M5X154</v>
      </c>
      <c r="D12960" s="2" t="s">
        <v>6447</v>
      </c>
      <c r="E12960" s="3">
        <v>0</v>
      </c>
      <c r="F12960" s="2">
        <v>2429</v>
      </c>
      <c r="G12960" s="2">
        <v>100</v>
      </c>
      <c r="H12960" s="2">
        <v>462</v>
      </c>
      <c r="I12960" s="2">
        <v>250</v>
      </c>
      <c r="J12960" s="2">
        <v>1635</v>
      </c>
      <c r="K12960" s="2">
        <v>1</v>
      </c>
      <c r="L12960" s="2">
        <v>462</v>
      </c>
    </row>
    <row r="12961" spans="1:12" x14ac:dyDescent="0.25">
      <c r="A12961" s="4" t="str">
        <f>HYPERLINK("http://www.rosaceae.org/Prunus/Prunus_persica/p.persica_gdr_reftransV1_0048229","p.persica_gdr_reftransV1_0048229")</f>
        <v>p.persica_gdr_reftransV1_0048229</v>
      </c>
      <c r="B12961" s="2">
        <v>1042</v>
      </c>
      <c r="C12961" s="4" t="str">
        <f>HYPERLINK("http://www.uniprot.org/uniprot/M5XPZ2","M5XPZ2")</f>
        <v>M5XPZ2</v>
      </c>
      <c r="D12961" s="2" t="s">
        <v>10736</v>
      </c>
      <c r="E12961" s="3">
        <v>0</v>
      </c>
      <c r="F12961" s="2">
        <v>1330</v>
      </c>
      <c r="G12961" s="2">
        <v>100</v>
      </c>
      <c r="H12961" s="2">
        <v>255</v>
      </c>
      <c r="I12961" s="2">
        <v>164</v>
      </c>
      <c r="J12961" s="2">
        <v>928</v>
      </c>
      <c r="K12961" s="2">
        <v>1</v>
      </c>
      <c r="L12961" s="2">
        <v>255</v>
      </c>
    </row>
    <row r="12962" spans="1:12" x14ac:dyDescent="0.25">
      <c r="A12962" s="4" t="str">
        <f>HYPERLINK("http://www.rosaceae.org/Prunus/Prunus_persica/p.persica_gdr_reftransV1_0048579","p.persica_gdr_reftransV1_0048579")</f>
        <v>p.persica_gdr_reftransV1_0048579</v>
      </c>
      <c r="B12962" s="2">
        <v>797</v>
      </c>
      <c r="C12962" s="4" t="str">
        <f>HYPERLINK("http://www.uniprot.org/uniprot/M5WI12","M5WI12")</f>
        <v>M5WI12</v>
      </c>
      <c r="D12962" s="2" t="s">
        <v>2</v>
      </c>
      <c r="E12962" s="3">
        <v>5.7000000000000001E-61</v>
      </c>
      <c r="F12962" s="2">
        <v>507</v>
      </c>
      <c r="G12962" s="2">
        <v>100</v>
      </c>
      <c r="H12962" s="2">
        <v>119</v>
      </c>
      <c r="I12962" s="2">
        <v>30</v>
      </c>
      <c r="J12962" s="2">
        <v>386</v>
      </c>
      <c r="K12962" s="2">
        <v>1</v>
      </c>
      <c r="L12962" s="2">
        <v>119</v>
      </c>
    </row>
    <row r="12963" spans="1:12" x14ac:dyDescent="0.25">
      <c r="A12963" s="4" t="str">
        <f>HYPERLINK("http://www.rosaceae.org/Prunus/Prunus_persica/p.persica_gdr_reftransV1_0048929","p.persica_gdr_reftransV1_0048929")</f>
        <v>p.persica_gdr_reftransV1_0048929</v>
      </c>
      <c r="B12963" s="2">
        <v>599</v>
      </c>
      <c r="C12963" s="4" t="str">
        <f>HYPERLINK("http://www.uniprot.org/uniprot/M5WD32","M5WD32")</f>
        <v>M5WD32</v>
      </c>
      <c r="D12963" s="2" t="s">
        <v>10737</v>
      </c>
      <c r="E12963" s="3">
        <v>2.1999999999999999E-59</v>
      </c>
      <c r="F12963" s="2">
        <v>527</v>
      </c>
      <c r="G12963" s="2">
        <v>99</v>
      </c>
      <c r="H12963" s="2">
        <v>101</v>
      </c>
      <c r="I12963" s="2">
        <v>296</v>
      </c>
      <c r="J12963" s="2">
        <v>598</v>
      </c>
      <c r="K12963" s="2">
        <v>236</v>
      </c>
      <c r="L12963" s="2">
        <v>336</v>
      </c>
    </row>
    <row r="12964" spans="1:12" x14ac:dyDescent="0.25">
      <c r="A12964" s="4" t="str">
        <f>HYPERLINK("http://www.rosaceae.org/Prunus/Prunus_persica/p.persica_gdr_reftransV1_0000630","p.persica_gdr_reftransV1_0000630")</f>
        <v>p.persica_gdr_reftransV1_0000630</v>
      </c>
      <c r="B12964" s="2">
        <v>3842</v>
      </c>
      <c r="C12964" s="4" t="str">
        <f>HYPERLINK("http://www.uniprot.org/uniprot/M5XKJ9","M5XKJ9")</f>
        <v>M5XKJ9</v>
      </c>
      <c r="D12964" s="2" t="s">
        <v>2454</v>
      </c>
      <c r="E12964" s="3">
        <v>0</v>
      </c>
      <c r="F12964" s="2">
        <v>5650</v>
      </c>
      <c r="G12964" s="2">
        <v>100</v>
      </c>
      <c r="H12964" s="2">
        <v>1091</v>
      </c>
      <c r="I12964" s="2">
        <v>168</v>
      </c>
      <c r="J12964" s="2">
        <v>3440</v>
      </c>
      <c r="K12964" s="2">
        <v>1</v>
      </c>
      <c r="L12964" s="2">
        <v>1091</v>
      </c>
    </row>
    <row r="12965" spans="1:12" x14ac:dyDescent="0.25">
      <c r="A12965" s="4" t="str">
        <f>HYPERLINK("http://www.rosaceae.org/Prunus/Prunus_persica/p.persica_gdr_reftransV1_0000980","p.persica_gdr_reftransV1_0000980")</f>
        <v>p.persica_gdr_reftransV1_0000980</v>
      </c>
      <c r="B12965" s="2">
        <v>932</v>
      </c>
      <c r="C12965" s="4" t="str">
        <f>HYPERLINK("http://www.uniprot.org/uniprot/M5W8A4","M5W8A4")</f>
        <v>M5W8A4</v>
      </c>
      <c r="D12965" s="2" t="s">
        <v>7411</v>
      </c>
      <c r="E12965" s="3">
        <v>0</v>
      </c>
      <c r="F12965" s="2">
        <v>1395</v>
      </c>
      <c r="G12965" s="2">
        <v>100</v>
      </c>
      <c r="H12965" s="2">
        <v>270</v>
      </c>
      <c r="I12965" s="2">
        <v>2</v>
      </c>
      <c r="J12965" s="2">
        <v>811</v>
      </c>
      <c r="K12965" s="2">
        <v>256</v>
      </c>
      <c r="L12965" s="2">
        <v>525</v>
      </c>
    </row>
    <row r="12966" spans="1:12" x14ac:dyDescent="0.25">
      <c r="A12966" s="4" t="str">
        <f>HYPERLINK("http://www.rosaceae.org/Prunus/Prunus_persica/p.persica_gdr_reftransV1_0001330","p.persica_gdr_reftransV1_0001330")</f>
        <v>p.persica_gdr_reftransV1_0001330</v>
      </c>
      <c r="B12966" s="2">
        <v>714</v>
      </c>
      <c r="C12966" s="4" t="str">
        <f>HYPERLINK("http://www.uniprot.org/uniprot/M5X4T0","M5X4T0")</f>
        <v>M5X4T0</v>
      </c>
      <c r="D12966" s="2" t="s">
        <v>10738</v>
      </c>
      <c r="E12966" s="3">
        <v>4.2399999999999997E-155</v>
      </c>
      <c r="F12966" s="2">
        <v>1223</v>
      </c>
      <c r="G12966" s="2">
        <v>100</v>
      </c>
      <c r="H12966" s="2">
        <v>237</v>
      </c>
      <c r="I12966" s="2">
        <v>2</v>
      </c>
      <c r="J12966" s="2">
        <v>712</v>
      </c>
      <c r="K12966" s="2">
        <v>782</v>
      </c>
      <c r="L12966" s="2">
        <v>1018</v>
      </c>
    </row>
    <row r="12967" spans="1:12" x14ac:dyDescent="0.25">
      <c r="A12967" s="4" t="str">
        <f>HYPERLINK("http://www.rosaceae.org/Prunus/Prunus_persica/p.persica_gdr_reftransV1_0002380","p.persica_gdr_reftransV1_0002380")</f>
        <v>p.persica_gdr_reftransV1_0002380</v>
      </c>
      <c r="B12967" s="2">
        <v>373</v>
      </c>
      <c r="C12967" s="4" t="str">
        <f>HYPERLINK("http://www.uniprot.org/uniprot/K3VLP8","K3VLP8")</f>
        <v>K3VLP8</v>
      </c>
      <c r="D12967" s="2" t="s">
        <v>10739</v>
      </c>
      <c r="E12967" s="3">
        <v>2.2100000000000001E-60</v>
      </c>
      <c r="F12967" s="2">
        <v>528</v>
      </c>
      <c r="G12967" s="2">
        <v>83</v>
      </c>
      <c r="H12967" s="2">
        <v>124</v>
      </c>
      <c r="I12967" s="2">
        <v>2</v>
      </c>
      <c r="J12967" s="2">
        <v>370</v>
      </c>
      <c r="K12967" s="2">
        <v>487</v>
      </c>
      <c r="L12967" s="2">
        <v>610</v>
      </c>
    </row>
    <row r="12968" spans="1:12" x14ac:dyDescent="0.25">
      <c r="A12968" s="4" t="str">
        <f>HYPERLINK("http://www.rosaceae.org/Prunus/Prunus_persica/p.persica_gdr_reftransV1_0002730","p.persica_gdr_reftransV1_0002730")</f>
        <v>p.persica_gdr_reftransV1_0002730</v>
      </c>
      <c r="B12968" s="2">
        <v>1222</v>
      </c>
      <c r="C12968" s="4" t="str">
        <f>HYPERLINK("http://www.uniprot.org/uniprot/M5VN75","M5VN75")</f>
        <v>M5VN75</v>
      </c>
      <c r="D12968" s="2" t="s">
        <v>7273</v>
      </c>
      <c r="E12968" s="3">
        <v>0</v>
      </c>
      <c r="F12968" s="2">
        <v>1717</v>
      </c>
      <c r="G12968" s="2">
        <v>100</v>
      </c>
      <c r="H12968" s="2">
        <v>361</v>
      </c>
      <c r="I12968" s="2">
        <v>115</v>
      </c>
      <c r="J12968" s="2">
        <v>1197</v>
      </c>
      <c r="K12968" s="2">
        <v>1</v>
      </c>
      <c r="L12968" s="2">
        <v>361</v>
      </c>
    </row>
    <row r="12969" spans="1:12" x14ac:dyDescent="0.25">
      <c r="A12969" s="4" t="str">
        <f>HYPERLINK("http://www.rosaceae.org/Prunus/Prunus_persica/p.persica_gdr_reftransV1_0003080","p.persica_gdr_reftransV1_0003080")</f>
        <v>p.persica_gdr_reftransV1_0003080</v>
      </c>
      <c r="B12969" s="2">
        <v>531</v>
      </c>
      <c r="C12969" s="4" t="str">
        <f>HYPERLINK("http://www.uniprot.org/uniprot/A0A090MEA5","A0A090MEA5")</f>
        <v>A0A090MEA5</v>
      </c>
      <c r="D12969" s="2" t="s">
        <v>10740</v>
      </c>
      <c r="E12969" s="3">
        <v>8.8100000000000004E-72</v>
      </c>
      <c r="F12969" s="2">
        <v>569</v>
      </c>
      <c r="G12969" s="2">
        <v>100</v>
      </c>
      <c r="H12969" s="2">
        <v>109</v>
      </c>
      <c r="I12969" s="2">
        <v>129</v>
      </c>
      <c r="J12969" s="2">
        <v>455</v>
      </c>
      <c r="K12969" s="2">
        <v>1</v>
      </c>
      <c r="L12969" s="2">
        <v>109</v>
      </c>
    </row>
    <row r="12970" spans="1:12" x14ac:dyDescent="0.25">
      <c r="A12970" s="4" t="str">
        <f>HYPERLINK("http://www.rosaceae.org/Prunus/Prunus_persica/p.persica_gdr_reftransV1_0003430","p.persica_gdr_reftransV1_0003430")</f>
        <v>p.persica_gdr_reftransV1_0003430</v>
      </c>
      <c r="B12970" s="2">
        <v>1392</v>
      </c>
      <c r="C12970" s="4" t="str">
        <f>HYPERLINK("http://www.uniprot.org/uniprot/M5W0B0","M5W0B0")</f>
        <v>M5W0B0</v>
      </c>
      <c r="D12970" s="2" t="s">
        <v>4342</v>
      </c>
      <c r="E12970" s="3">
        <v>6.1399999999999997E-115</v>
      </c>
      <c r="F12970" s="2">
        <v>891</v>
      </c>
      <c r="G12970" s="2">
        <v>100</v>
      </c>
      <c r="H12970" s="2">
        <v>191</v>
      </c>
      <c r="I12970" s="2">
        <v>564</v>
      </c>
      <c r="J12970" s="2">
        <v>1136</v>
      </c>
      <c r="K12970" s="2">
        <v>1</v>
      </c>
      <c r="L12970" s="2">
        <v>191</v>
      </c>
    </row>
    <row r="12971" spans="1:12" x14ac:dyDescent="0.25">
      <c r="A12971" s="4" t="str">
        <f>HYPERLINK("http://www.rosaceae.org/Prunus/Prunus_persica/p.persica_gdr_reftransV1_0003780","p.persica_gdr_reftransV1_0003780")</f>
        <v>p.persica_gdr_reftransV1_0003780</v>
      </c>
      <c r="B12971" s="2">
        <v>1109</v>
      </c>
      <c r="C12971" s="4" t="str">
        <f>HYPERLINK("http://www.uniprot.org/uniprot/M5VZG7","M5VZG7")</f>
        <v>M5VZG7</v>
      </c>
      <c r="D12971" s="2" t="s">
        <v>840</v>
      </c>
      <c r="E12971" s="3">
        <v>8.7999999999999999E-43</v>
      </c>
      <c r="F12971" s="2">
        <v>423</v>
      </c>
      <c r="G12971" s="2">
        <v>100</v>
      </c>
      <c r="H12971" s="2">
        <v>79</v>
      </c>
      <c r="I12971" s="2">
        <v>2</v>
      </c>
      <c r="J12971" s="2">
        <v>238</v>
      </c>
      <c r="K12971" s="2">
        <v>198</v>
      </c>
      <c r="L12971" s="2">
        <v>276</v>
      </c>
    </row>
    <row r="12972" spans="1:12" x14ac:dyDescent="0.25">
      <c r="A12972" s="4" t="str">
        <f>HYPERLINK("http://www.rosaceae.org/Prunus/Prunus_persica/p.persica_gdr_reftransV1_0004130","p.persica_gdr_reftransV1_0004130")</f>
        <v>p.persica_gdr_reftransV1_0004130</v>
      </c>
      <c r="B12972" s="2">
        <v>581</v>
      </c>
      <c r="C12972" s="4" t="str">
        <f>HYPERLINK("http://www.uniprot.org/uniprot/M5XG53","M5XG53")</f>
        <v>M5XG53</v>
      </c>
      <c r="D12972" s="2" t="s">
        <v>10741</v>
      </c>
      <c r="E12972" s="3">
        <v>2.4499999999999998E-124</v>
      </c>
      <c r="F12972" s="2">
        <v>931</v>
      </c>
      <c r="G12972" s="2">
        <v>100</v>
      </c>
      <c r="H12972" s="2">
        <v>176</v>
      </c>
      <c r="I12972" s="2">
        <v>1</v>
      </c>
      <c r="J12972" s="2">
        <v>528</v>
      </c>
      <c r="K12972" s="2">
        <v>74</v>
      </c>
      <c r="L12972" s="2">
        <v>249</v>
      </c>
    </row>
    <row r="12973" spans="1:12" x14ac:dyDescent="0.25">
      <c r="A12973" s="4" t="str">
        <f>HYPERLINK("http://www.rosaceae.org/Prunus/Prunus_persica/p.persica_gdr_reftransV1_0004480","p.persica_gdr_reftransV1_0004480")</f>
        <v>p.persica_gdr_reftransV1_0004480</v>
      </c>
      <c r="B12973" s="2">
        <v>2829</v>
      </c>
      <c r="C12973" s="4" t="str">
        <f>HYPERLINK("http://www.uniprot.org/uniprot/M5WGM6","M5WGM6")</f>
        <v>M5WGM6</v>
      </c>
      <c r="D12973" s="2" t="s">
        <v>8419</v>
      </c>
      <c r="E12973" s="3">
        <v>0</v>
      </c>
      <c r="F12973" s="2">
        <v>3945</v>
      </c>
      <c r="G12973" s="2">
        <v>100</v>
      </c>
      <c r="H12973" s="2">
        <v>750</v>
      </c>
      <c r="I12973" s="2">
        <v>84</v>
      </c>
      <c r="J12973" s="2">
        <v>2333</v>
      </c>
      <c r="K12973" s="2">
        <v>1</v>
      </c>
      <c r="L12973" s="2">
        <v>750</v>
      </c>
    </row>
    <row r="12974" spans="1:12" x14ac:dyDescent="0.25">
      <c r="A12974" s="4" t="str">
        <f>HYPERLINK("http://www.rosaceae.org/Prunus/Prunus_persica/p.persica_gdr_reftransV1_0004830","p.persica_gdr_reftransV1_0004830")</f>
        <v>p.persica_gdr_reftransV1_0004830</v>
      </c>
      <c r="B12974" s="2">
        <v>2693</v>
      </c>
      <c r="C12974" s="4" t="str">
        <f>HYPERLINK("http://www.uniprot.org/uniprot/M5XMJ1","M5XMJ1")</f>
        <v>M5XMJ1</v>
      </c>
      <c r="D12974" s="2" t="s">
        <v>10742</v>
      </c>
      <c r="E12974" s="3">
        <v>0</v>
      </c>
      <c r="F12974" s="2">
        <v>3287</v>
      </c>
      <c r="G12974" s="2">
        <v>100</v>
      </c>
      <c r="H12974" s="2">
        <v>711</v>
      </c>
      <c r="I12974" s="2">
        <v>337</v>
      </c>
      <c r="J12974" s="2">
        <v>2469</v>
      </c>
      <c r="K12974" s="2">
        <v>1</v>
      </c>
      <c r="L12974" s="2">
        <v>711</v>
      </c>
    </row>
    <row r="12975" spans="1:12" x14ac:dyDescent="0.25">
      <c r="A12975" s="4" t="str">
        <f>HYPERLINK("http://www.rosaceae.org/Prunus/Prunus_persica/p.persica_gdr_reftransV1_0005530","p.persica_gdr_reftransV1_0005530")</f>
        <v>p.persica_gdr_reftransV1_0005530</v>
      </c>
      <c r="B12975" s="2">
        <v>3772</v>
      </c>
      <c r="C12975" s="4" t="str">
        <f>HYPERLINK("http://www.uniprot.org/uniprot/M5WWU5","M5WWU5")</f>
        <v>M5WWU5</v>
      </c>
      <c r="D12975" s="2" t="s">
        <v>10743</v>
      </c>
      <c r="E12975" s="3">
        <v>0</v>
      </c>
      <c r="F12975" s="2">
        <v>5004</v>
      </c>
      <c r="G12975" s="2">
        <v>100</v>
      </c>
      <c r="H12975" s="2">
        <v>989</v>
      </c>
      <c r="I12975" s="2">
        <v>430</v>
      </c>
      <c r="J12975" s="2">
        <v>3396</v>
      </c>
      <c r="K12975" s="2">
        <v>1</v>
      </c>
      <c r="L12975" s="2">
        <v>989</v>
      </c>
    </row>
    <row r="12976" spans="1:12" x14ac:dyDescent="0.25">
      <c r="A12976" s="4" t="str">
        <f>HYPERLINK("http://www.rosaceae.org/Prunus/Prunus_persica/p.persica_gdr_reftransV1_0006580","p.persica_gdr_reftransV1_0006580")</f>
        <v>p.persica_gdr_reftransV1_0006580</v>
      </c>
      <c r="B12976" s="2">
        <v>796</v>
      </c>
      <c r="C12976" s="4" t="str">
        <f>HYPERLINK("http://www.uniprot.org/uniprot/M5WHU7","M5WHU7")</f>
        <v>M5WHU7</v>
      </c>
      <c r="D12976" s="2" t="s">
        <v>1148</v>
      </c>
      <c r="E12976" s="3">
        <v>4.3400000000000001E-134</v>
      </c>
      <c r="F12976" s="2">
        <v>1024</v>
      </c>
      <c r="G12976" s="2">
        <v>98</v>
      </c>
      <c r="H12976" s="2">
        <v>200</v>
      </c>
      <c r="I12976" s="2">
        <v>2</v>
      </c>
      <c r="J12976" s="2">
        <v>601</v>
      </c>
      <c r="K12976" s="2">
        <v>264</v>
      </c>
      <c r="L12976" s="2">
        <v>463</v>
      </c>
    </row>
    <row r="12977" spans="1:12" x14ac:dyDescent="0.25">
      <c r="A12977" s="4" t="str">
        <f>HYPERLINK("http://www.rosaceae.org/Prunus/Prunus_persica/p.persica_gdr_reftransV1_0006930","p.persica_gdr_reftransV1_0006930")</f>
        <v>p.persica_gdr_reftransV1_0006930</v>
      </c>
      <c r="B12977" s="2">
        <v>941</v>
      </c>
      <c r="C12977" s="4" t="str">
        <f>HYPERLINK("http://www.uniprot.org/uniprot/M5Y6I7","M5Y6I7")</f>
        <v>M5Y6I7</v>
      </c>
      <c r="D12977" s="2" t="s">
        <v>10744</v>
      </c>
      <c r="E12977" s="3">
        <v>1.8299999999999998E-161</v>
      </c>
      <c r="F12977" s="2">
        <v>1190</v>
      </c>
      <c r="G12977" s="2">
        <v>100</v>
      </c>
      <c r="H12977" s="2">
        <v>254</v>
      </c>
      <c r="I12977" s="2">
        <v>2</v>
      </c>
      <c r="J12977" s="2">
        <v>763</v>
      </c>
      <c r="K12977" s="2">
        <v>2</v>
      </c>
      <c r="L12977" s="2">
        <v>255</v>
      </c>
    </row>
    <row r="12978" spans="1:12" x14ac:dyDescent="0.25">
      <c r="A12978" s="4" t="str">
        <f>HYPERLINK("http://www.rosaceae.org/Prunus/Prunus_persica/p.persica_gdr_reftransV1_0007980","p.persica_gdr_reftransV1_0007980")</f>
        <v>p.persica_gdr_reftransV1_0007980</v>
      </c>
      <c r="B12978" s="2">
        <v>498</v>
      </c>
      <c r="C12978" s="4" t="str">
        <f>HYPERLINK("http://www.uniprot.org/uniprot/M5X9A3","M5X9A3")</f>
        <v>M5X9A3</v>
      </c>
      <c r="D12978" s="2" t="s">
        <v>10745</v>
      </c>
      <c r="E12978" s="3">
        <v>3.9299999999999998E-36</v>
      </c>
      <c r="F12978" s="2">
        <v>340</v>
      </c>
      <c r="G12978" s="2">
        <v>99</v>
      </c>
      <c r="H12978" s="2">
        <v>134</v>
      </c>
      <c r="I12978" s="2">
        <v>95</v>
      </c>
      <c r="J12978" s="2">
        <v>496</v>
      </c>
      <c r="K12978" s="2">
        <v>1</v>
      </c>
      <c r="L12978" s="2">
        <v>134</v>
      </c>
    </row>
    <row r="12979" spans="1:12" x14ac:dyDescent="0.25">
      <c r="A12979" s="4" t="str">
        <f>HYPERLINK("http://www.rosaceae.org/Prunus/Prunus_persica/p.persica_gdr_reftransV1_0008680","p.persica_gdr_reftransV1_0008680")</f>
        <v>p.persica_gdr_reftransV1_0008680</v>
      </c>
      <c r="B12979" s="2">
        <v>1066</v>
      </c>
      <c r="C12979" s="4" t="str">
        <f>HYPERLINK("http://www.uniprot.org/uniprot/M5XDF3","M5XDF3")</f>
        <v>M5XDF3</v>
      </c>
      <c r="D12979" s="2" t="s">
        <v>6375</v>
      </c>
      <c r="E12979" s="3">
        <v>1.11E-163</v>
      </c>
      <c r="F12979" s="2">
        <v>1206</v>
      </c>
      <c r="G12979" s="2">
        <v>100</v>
      </c>
      <c r="H12979" s="2">
        <v>227</v>
      </c>
      <c r="I12979" s="2">
        <v>143</v>
      </c>
      <c r="J12979" s="2">
        <v>823</v>
      </c>
      <c r="K12979" s="2">
        <v>1</v>
      </c>
      <c r="L12979" s="2">
        <v>227</v>
      </c>
    </row>
    <row r="12980" spans="1:12" x14ac:dyDescent="0.25">
      <c r="A12980" s="4" t="str">
        <f>HYPERLINK("http://www.rosaceae.org/Prunus/Prunus_persica/p.persica_gdr_reftransV1_0009030","p.persica_gdr_reftransV1_0009030")</f>
        <v>p.persica_gdr_reftransV1_0009030</v>
      </c>
      <c r="B12980" s="2">
        <v>3746</v>
      </c>
      <c r="C12980" s="4" t="str">
        <f>HYPERLINK("http://www.uniprot.org/uniprot/M5VUX3","M5VUX3")</f>
        <v>M5VUX3</v>
      </c>
      <c r="D12980" s="2" t="s">
        <v>10746</v>
      </c>
      <c r="E12980" s="3">
        <v>0</v>
      </c>
      <c r="F12980" s="2">
        <v>5556</v>
      </c>
      <c r="G12980" s="2">
        <v>99</v>
      </c>
      <c r="H12980" s="2">
        <v>1053</v>
      </c>
      <c r="I12980" s="2">
        <v>119</v>
      </c>
      <c r="J12980" s="2">
        <v>3277</v>
      </c>
      <c r="K12980" s="2">
        <v>1</v>
      </c>
      <c r="L12980" s="2">
        <v>1049</v>
      </c>
    </row>
    <row r="12981" spans="1:12" x14ac:dyDescent="0.25">
      <c r="A12981" s="4" t="str">
        <f>HYPERLINK("http://www.rosaceae.org/Prunus/Prunus_persica/p.persica_gdr_reftransV1_0010080","p.persica_gdr_reftransV1_0010080")</f>
        <v>p.persica_gdr_reftransV1_0010080</v>
      </c>
      <c r="B12981" s="2">
        <v>5478</v>
      </c>
      <c r="C12981" s="4" t="str">
        <f>HYPERLINK("http://www.uniprot.org/uniprot/M5W752","M5W752")</f>
        <v>M5W752</v>
      </c>
      <c r="D12981" s="2" t="s">
        <v>10747</v>
      </c>
      <c r="E12981" s="3">
        <v>0</v>
      </c>
      <c r="F12981" s="2">
        <v>4719</v>
      </c>
      <c r="G12981" s="2">
        <v>99</v>
      </c>
      <c r="H12981" s="2">
        <v>912</v>
      </c>
      <c r="I12981" s="2">
        <v>2468</v>
      </c>
      <c r="J12981" s="2">
        <v>5203</v>
      </c>
      <c r="K12981" s="2">
        <v>1</v>
      </c>
      <c r="L12981" s="2">
        <v>905</v>
      </c>
    </row>
    <row r="12982" spans="1:12" x14ac:dyDescent="0.25">
      <c r="A12982" s="4" t="str">
        <f>HYPERLINK("http://www.rosaceae.org/Prunus/Prunus_persica/p.persica_gdr_reftransV1_0010780","p.persica_gdr_reftransV1_0010780")</f>
        <v>p.persica_gdr_reftransV1_0010780</v>
      </c>
      <c r="B12982" s="2">
        <v>553</v>
      </c>
      <c r="C12982" s="4" t="str">
        <f>HYPERLINK("http://www.uniprot.org/uniprot/M5VR85","M5VR85")</f>
        <v>M5VR85</v>
      </c>
      <c r="D12982" s="2" t="s">
        <v>6524</v>
      </c>
      <c r="E12982" s="3">
        <v>9.9900000000000008E-56</v>
      </c>
      <c r="F12982" s="2">
        <v>480</v>
      </c>
      <c r="G12982" s="2">
        <v>100</v>
      </c>
      <c r="H12982" s="2">
        <v>90</v>
      </c>
      <c r="I12982" s="2">
        <v>283</v>
      </c>
      <c r="J12982" s="2">
        <v>552</v>
      </c>
      <c r="K12982" s="2">
        <v>137</v>
      </c>
      <c r="L12982" s="2">
        <v>226</v>
      </c>
    </row>
    <row r="12983" spans="1:12" x14ac:dyDescent="0.25">
      <c r="A12983" s="4" t="str">
        <f>HYPERLINK("http://www.rosaceae.org/Prunus/Prunus_persica/p.persica_gdr_reftransV1_0011130","p.persica_gdr_reftransV1_0011130")</f>
        <v>p.persica_gdr_reftransV1_0011130</v>
      </c>
      <c r="B12983" s="2">
        <v>1695</v>
      </c>
      <c r="C12983" s="4" t="str">
        <f>HYPERLINK("http://www.uniprot.org/uniprot/M5VQZ4","M5VQZ4")</f>
        <v>M5VQZ4</v>
      </c>
      <c r="D12983" s="2" t="s">
        <v>10748</v>
      </c>
      <c r="E12983" s="3">
        <v>2.3E-165</v>
      </c>
      <c r="F12983" s="2">
        <v>1240</v>
      </c>
      <c r="G12983" s="2">
        <v>100</v>
      </c>
      <c r="H12983" s="2">
        <v>237</v>
      </c>
      <c r="I12983" s="2">
        <v>757</v>
      </c>
      <c r="J12983" s="2">
        <v>1467</v>
      </c>
      <c r="K12983" s="2">
        <v>1</v>
      </c>
      <c r="L12983" s="2">
        <v>237</v>
      </c>
    </row>
    <row r="12984" spans="1:12" x14ac:dyDescent="0.25">
      <c r="A12984" s="4" t="str">
        <f>HYPERLINK("http://www.rosaceae.org/Prunus/Prunus_persica/p.persica_gdr_reftransV1_0011480","p.persica_gdr_reftransV1_0011480")</f>
        <v>p.persica_gdr_reftransV1_0011480</v>
      </c>
      <c r="B12984" s="2">
        <v>419</v>
      </c>
      <c r="C12984" s="4" t="str">
        <f>HYPERLINK("http://www.uniprot.org/uniprot/M5XR56","M5XR56")</f>
        <v>M5XR56</v>
      </c>
      <c r="D12984" s="2" t="s">
        <v>10749</v>
      </c>
      <c r="E12984" s="3">
        <v>9.25E-65</v>
      </c>
      <c r="F12984" s="2">
        <v>550</v>
      </c>
      <c r="G12984" s="2">
        <v>100</v>
      </c>
      <c r="H12984" s="2">
        <v>120</v>
      </c>
      <c r="I12984" s="2">
        <v>2</v>
      </c>
      <c r="J12984" s="2">
        <v>361</v>
      </c>
      <c r="K12984" s="2">
        <v>1</v>
      </c>
      <c r="L12984" s="2">
        <v>120</v>
      </c>
    </row>
    <row r="12985" spans="1:12" x14ac:dyDescent="0.25">
      <c r="A12985" s="4" t="str">
        <f>HYPERLINK("http://www.rosaceae.org/Prunus/Prunus_persica/p.persica_gdr_reftransV1_0012530","p.persica_gdr_reftransV1_0012530")</f>
        <v>p.persica_gdr_reftransV1_0012530</v>
      </c>
      <c r="B12985" s="2">
        <v>1064</v>
      </c>
      <c r="C12985" s="4" t="str">
        <f>HYPERLINK("http://www.uniprot.org/uniprot/M5WEW9","M5WEW9")</f>
        <v>M5WEW9</v>
      </c>
      <c r="D12985" s="2" t="s">
        <v>10750</v>
      </c>
      <c r="E12985" s="3">
        <v>0</v>
      </c>
      <c r="F12985" s="2">
        <v>1592</v>
      </c>
      <c r="G12985" s="2">
        <v>100</v>
      </c>
      <c r="H12985" s="2">
        <v>301</v>
      </c>
      <c r="I12985" s="2">
        <v>3</v>
      </c>
      <c r="J12985" s="2">
        <v>905</v>
      </c>
      <c r="K12985" s="2">
        <v>222</v>
      </c>
      <c r="L12985" s="2">
        <v>522</v>
      </c>
    </row>
    <row r="12986" spans="1:12" x14ac:dyDescent="0.25">
      <c r="A12986" s="4" t="str">
        <f>HYPERLINK("http://www.rosaceae.org/Prunus/Prunus_persica/p.persica_gdr_reftransV1_0013230","p.persica_gdr_reftransV1_0013230")</f>
        <v>p.persica_gdr_reftransV1_0013230</v>
      </c>
      <c r="B12986" s="2">
        <v>977</v>
      </c>
      <c r="C12986" s="4" t="str">
        <f>HYPERLINK("http://www.uniprot.org/uniprot/M5X7W9","M5X7W9")</f>
        <v>M5X7W9</v>
      </c>
      <c r="D12986" s="2" t="s">
        <v>1124</v>
      </c>
      <c r="E12986" s="3">
        <v>0</v>
      </c>
      <c r="F12986" s="2">
        <v>1365</v>
      </c>
      <c r="G12986" s="2">
        <v>99</v>
      </c>
      <c r="H12986" s="2">
        <v>259</v>
      </c>
      <c r="I12986" s="2">
        <v>199</v>
      </c>
      <c r="J12986" s="2">
        <v>975</v>
      </c>
      <c r="K12986" s="2">
        <v>386</v>
      </c>
      <c r="L12986" s="2">
        <v>644</v>
      </c>
    </row>
    <row r="12987" spans="1:12" x14ac:dyDescent="0.25">
      <c r="A12987" s="4" t="str">
        <f>HYPERLINK("http://www.rosaceae.org/Prunus/Prunus_persica/p.persica_gdr_reftransV1_0013930","p.persica_gdr_reftransV1_0013930")</f>
        <v>p.persica_gdr_reftransV1_0013930</v>
      </c>
      <c r="B12987" s="2">
        <v>505</v>
      </c>
      <c r="C12987" s="4" t="str">
        <f>HYPERLINK("http://www.uniprot.org/uniprot/M5XNY9","M5XNY9")</f>
        <v>M5XNY9</v>
      </c>
      <c r="D12987" s="2" t="s">
        <v>10751</v>
      </c>
      <c r="E12987" s="3">
        <v>4.89E-66</v>
      </c>
      <c r="F12987" s="2">
        <v>529</v>
      </c>
      <c r="G12987" s="2">
        <v>100</v>
      </c>
      <c r="H12987" s="2">
        <v>100</v>
      </c>
      <c r="I12987" s="2">
        <v>58</v>
      </c>
      <c r="J12987" s="2">
        <v>357</v>
      </c>
      <c r="K12987" s="2">
        <v>1</v>
      </c>
      <c r="L12987" s="2">
        <v>100</v>
      </c>
    </row>
    <row r="12988" spans="1:12" x14ac:dyDescent="0.25">
      <c r="A12988" s="4" t="str">
        <f>HYPERLINK("http://www.rosaceae.org/Prunus/Prunus_persica/p.persica_gdr_reftransV1_0014630","p.persica_gdr_reftransV1_0014630")</f>
        <v>p.persica_gdr_reftransV1_0014630</v>
      </c>
      <c r="B12988" s="2">
        <v>2057</v>
      </c>
      <c r="C12988" s="4" t="str">
        <f>HYPERLINK("http://www.uniprot.org/uniprot/M5VKH7","M5VKH7")</f>
        <v>M5VKH7</v>
      </c>
      <c r="D12988" s="2" t="s">
        <v>10752</v>
      </c>
      <c r="E12988" s="3">
        <v>0</v>
      </c>
      <c r="F12988" s="2">
        <v>1447</v>
      </c>
      <c r="G12988" s="2">
        <v>99</v>
      </c>
      <c r="H12988" s="2">
        <v>298</v>
      </c>
      <c r="I12988" s="2">
        <v>336</v>
      </c>
      <c r="J12988" s="2">
        <v>1229</v>
      </c>
      <c r="K12988" s="2">
        <v>25</v>
      </c>
      <c r="L12988" s="2">
        <v>322</v>
      </c>
    </row>
    <row r="12989" spans="1:12" x14ac:dyDescent="0.25">
      <c r="A12989" s="4" t="str">
        <f>HYPERLINK("http://www.rosaceae.org/Prunus/Prunus_persica/p.persica_gdr_reftransV1_0014980","p.persica_gdr_reftransV1_0014980")</f>
        <v>p.persica_gdr_reftransV1_0014980</v>
      </c>
      <c r="B12989" s="2">
        <v>3337</v>
      </c>
      <c r="C12989" s="4" t="str">
        <f>HYPERLINK("http://www.uniprot.org/uniprot/M5X0B6","M5X0B6")</f>
        <v>M5X0B6</v>
      </c>
      <c r="D12989" s="2" t="s">
        <v>10753</v>
      </c>
      <c r="E12989" s="3">
        <v>0</v>
      </c>
      <c r="F12989" s="2">
        <v>1420</v>
      </c>
      <c r="G12989" s="2">
        <v>100</v>
      </c>
      <c r="H12989" s="2">
        <v>312</v>
      </c>
      <c r="I12989" s="2">
        <v>191</v>
      </c>
      <c r="J12989" s="2">
        <v>1126</v>
      </c>
      <c r="K12989" s="2">
        <v>1</v>
      </c>
      <c r="L12989" s="2">
        <v>312</v>
      </c>
    </row>
    <row r="12990" spans="1:12" x14ac:dyDescent="0.25">
      <c r="A12990" s="4" t="str">
        <f>HYPERLINK("http://www.rosaceae.org/Prunus/Prunus_persica/p.persica_gdr_reftransV1_0016030","p.persica_gdr_reftransV1_0016030")</f>
        <v>p.persica_gdr_reftransV1_0016030</v>
      </c>
      <c r="B12990" s="2">
        <v>499</v>
      </c>
      <c r="C12990" s="4" t="str">
        <f>HYPERLINK("http://www.uniprot.org/uniprot/M5XP12","M5XP12")</f>
        <v>M5XP12</v>
      </c>
      <c r="D12990" s="2" t="s">
        <v>10754</v>
      </c>
      <c r="E12990" s="3">
        <v>7.3000000000000005E-49</v>
      </c>
      <c r="F12990" s="2">
        <v>415</v>
      </c>
      <c r="G12990" s="2">
        <v>100</v>
      </c>
      <c r="H12990" s="2">
        <v>95</v>
      </c>
      <c r="I12990" s="2">
        <v>48</v>
      </c>
      <c r="J12990" s="2">
        <v>332</v>
      </c>
      <c r="K12990" s="2">
        <v>1</v>
      </c>
      <c r="L12990" s="2">
        <v>95</v>
      </c>
    </row>
    <row r="12991" spans="1:12" x14ac:dyDescent="0.25">
      <c r="A12991" s="4" t="str">
        <f>HYPERLINK("http://www.rosaceae.org/Prunus/Prunus_persica/p.persica_gdr_reftransV1_0016380","p.persica_gdr_reftransV1_0016380")</f>
        <v>p.persica_gdr_reftransV1_0016380</v>
      </c>
      <c r="B12991" s="2">
        <v>5544</v>
      </c>
      <c r="C12991" s="4" t="str">
        <f>HYPERLINK("http://www.uniprot.org/uniprot/M5WQM6","M5WQM6")</f>
        <v>M5WQM6</v>
      </c>
      <c r="D12991" s="2" t="s">
        <v>10755</v>
      </c>
      <c r="E12991" s="3">
        <v>0</v>
      </c>
      <c r="F12991" s="2">
        <v>5806</v>
      </c>
      <c r="G12991" s="2">
        <v>100</v>
      </c>
      <c r="H12991" s="2">
        <v>1149</v>
      </c>
      <c r="I12991" s="2">
        <v>1622</v>
      </c>
      <c r="J12991" s="2">
        <v>5068</v>
      </c>
      <c r="K12991" s="2">
        <v>70</v>
      </c>
      <c r="L12991" s="2">
        <v>1218</v>
      </c>
    </row>
    <row r="12992" spans="1:12" x14ac:dyDescent="0.25">
      <c r="A12992" s="4" t="str">
        <f>HYPERLINK("http://www.rosaceae.org/Prunus/Prunus_persica/p.persica_gdr_reftransV1_0017430","p.persica_gdr_reftransV1_0017430")</f>
        <v>p.persica_gdr_reftransV1_0017430</v>
      </c>
      <c r="B12992" s="2">
        <v>2308</v>
      </c>
      <c r="C12992" s="4" t="str">
        <f>HYPERLINK("http://www.uniprot.org/uniprot/M5WJJ8","M5WJJ8")</f>
        <v>M5WJJ8</v>
      </c>
      <c r="D12992" s="2" t="s">
        <v>10756</v>
      </c>
      <c r="E12992" s="3">
        <v>3.4999999999999999E-93</v>
      </c>
      <c r="F12992" s="2">
        <v>775</v>
      </c>
      <c r="G12992" s="2">
        <v>100</v>
      </c>
      <c r="H12992" s="2">
        <v>252</v>
      </c>
      <c r="I12992" s="2">
        <v>1380</v>
      </c>
      <c r="J12992" s="2">
        <v>2135</v>
      </c>
      <c r="K12992" s="2">
        <v>1</v>
      </c>
      <c r="L12992" s="2">
        <v>252</v>
      </c>
    </row>
    <row r="12993" spans="1:12" x14ac:dyDescent="0.25">
      <c r="A12993" s="4" t="str">
        <f>HYPERLINK("http://www.rosaceae.org/Prunus/Prunus_persica/p.persica_gdr_reftransV1_0018480","p.persica_gdr_reftransV1_0018480")</f>
        <v>p.persica_gdr_reftransV1_0018480</v>
      </c>
      <c r="B12993" s="2">
        <v>2515</v>
      </c>
      <c r="C12993" s="4" t="str">
        <f>HYPERLINK("http://www.uniprot.org/uniprot/M5XFW0","M5XFW0")</f>
        <v>M5XFW0</v>
      </c>
      <c r="D12993" s="2" t="s">
        <v>6667</v>
      </c>
      <c r="E12993" s="3">
        <v>0</v>
      </c>
      <c r="F12993" s="2">
        <v>2492</v>
      </c>
      <c r="G12993" s="2">
        <v>100</v>
      </c>
      <c r="H12993" s="2">
        <v>493</v>
      </c>
      <c r="I12993" s="2">
        <v>707</v>
      </c>
      <c r="J12993" s="2">
        <v>2185</v>
      </c>
      <c r="K12993" s="2">
        <v>1</v>
      </c>
      <c r="L12993" s="2">
        <v>493</v>
      </c>
    </row>
    <row r="12994" spans="1:12" x14ac:dyDescent="0.25">
      <c r="A12994" s="4" t="str">
        <f>HYPERLINK("http://www.rosaceae.org/Prunus/Prunus_persica/p.persica_gdr_reftransV1_0019530","p.persica_gdr_reftransV1_0019530")</f>
        <v>p.persica_gdr_reftransV1_0019530</v>
      </c>
      <c r="B12994" s="2">
        <v>3418</v>
      </c>
      <c r="C12994" s="4" t="str">
        <f>HYPERLINK("http://www.uniprot.org/uniprot/M5XBG8","M5XBG8")</f>
        <v>M5XBG8</v>
      </c>
      <c r="D12994" s="2" t="s">
        <v>10757</v>
      </c>
      <c r="E12994" s="3">
        <v>0</v>
      </c>
      <c r="F12994" s="2">
        <v>1784</v>
      </c>
      <c r="G12994" s="2">
        <v>93</v>
      </c>
      <c r="H12994" s="2">
        <v>399</v>
      </c>
      <c r="I12994" s="2">
        <v>1627</v>
      </c>
      <c r="J12994" s="2">
        <v>2787</v>
      </c>
      <c r="K12994" s="2">
        <v>1</v>
      </c>
      <c r="L12994" s="2">
        <v>399</v>
      </c>
    </row>
    <row r="12995" spans="1:12" x14ac:dyDescent="0.25">
      <c r="A12995" s="4" t="str">
        <f>HYPERLINK("http://www.rosaceae.org/Prunus/Prunus_persica/p.persica_gdr_reftransV1_0020580","p.persica_gdr_reftransV1_0020580")</f>
        <v>p.persica_gdr_reftransV1_0020580</v>
      </c>
      <c r="B12995" s="2">
        <v>1836</v>
      </c>
      <c r="C12995" s="4" t="str">
        <f>HYPERLINK("http://www.uniprot.org/uniprot/M5VZC7","M5VZC7")</f>
        <v>M5VZC7</v>
      </c>
      <c r="D12995" s="2" t="s">
        <v>10758</v>
      </c>
      <c r="E12995" s="3">
        <v>0</v>
      </c>
      <c r="F12995" s="2">
        <v>1528</v>
      </c>
      <c r="G12995" s="2">
        <v>100</v>
      </c>
      <c r="H12995" s="2">
        <v>307</v>
      </c>
      <c r="I12995" s="2">
        <v>339</v>
      </c>
      <c r="J12995" s="2">
        <v>1259</v>
      </c>
      <c r="K12995" s="2">
        <v>1</v>
      </c>
      <c r="L12995" s="2">
        <v>307</v>
      </c>
    </row>
    <row r="12996" spans="1:12" x14ac:dyDescent="0.25">
      <c r="A12996" s="4" t="str">
        <f>HYPERLINK("http://www.rosaceae.org/Prunus/Prunus_persica/p.persica_gdr_reftransV1_0022330","p.persica_gdr_reftransV1_0022330")</f>
        <v>p.persica_gdr_reftransV1_0022330</v>
      </c>
      <c r="B12996" s="2">
        <v>2559</v>
      </c>
      <c r="C12996" s="4" t="str">
        <f>HYPERLINK("http://www.uniprot.org/uniprot/M5VT13","M5VT13")</f>
        <v>M5VT13</v>
      </c>
      <c r="D12996" s="2" t="s">
        <v>10759</v>
      </c>
      <c r="E12996" s="3">
        <v>1.38E-101</v>
      </c>
      <c r="F12996" s="2">
        <v>838</v>
      </c>
      <c r="G12996" s="2">
        <v>100</v>
      </c>
      <c r="H12996" s="2">
        <v>174</v>
      </c>
      <c r="I12996" s="2">
        <v>1822</v>
      </c>
      <c r="J12996" s="2">
        <v>2343</v>
      </c>
      <c r="K12996" s="2">
        <v>1</v>
      </c>
      <c r="L12996" s="2">
        <v>174</v>
      </c>
    </row>
    <row r="12997" spans="1:12" x14ac:dyDescent="0.25">
      <c r="A12997" s="4" t="str">
        <f>HYPERLINK("http://www.rosaceae.org/Prunus/Prunus_persica/p.persica_gdr_reftransV1_0023030","p.persica_gdr_reftransV1_0023030")</f>
        <v>p.persica_gdr_reftransV1_0023030</v>
      </c>
      <c r="B12997" s="2">
        <v>2826</v>
      </c>
      <c r="C12997" s="4" t="str">
        <f>HYPERLINK("http://www.uniprot.org/uniprot/M5XIR6","M5XIR6")</f>
        <v>M5XIR6</v>
      </c>
      <c r="D12997" s="2" t="s">
        <v>10760</v>
      </c>
      <c r="E12997" s="3">
        <v>0</v>
      </c>
      <c r="F12997" s="2">
        <v>3172</v>
      </c>
      <c r="G12997" s="2">
        <v>100</v>
      </c>
      <c r="H12997" s="2">
        <v>615</v>
      </c>
      <c r="I12997" s="2">
        <v>259</v>
      </c>
      <c r="J12997" s="2">
        <v>2103</v>
      </c>
      <c r="K12997" s="2">
        <v>1</v>
      </c>
      <c r="L12997" s="2">
        <v>615</v>
      </c>
    </row>
    <row r="12998" spans="1:12" x14ac:dyDescent="0.25">
      <c r="A12998" s="4" t="str">
        <f>HYPERLINK("http://www.rosaceae.org/Prunus/Prunus_persica/p.persica_gdr_reftransV1_0023380","p.persica_gdr_reftransV1_0023380")</f>
        <v>p.persica_gdr_reftransV1_0023380</v>
      </c>
      <c r="B12998" s="2">
        <v>1842</v>
      </c>
      <c r="C12998" s="4" t="str">
        <f>HYPERLINK("http://www.uniprot.org/uniprot/M5VTK0","M5VTK0")</f>
        <v>M5VTK0</v>
      </c>
      <c r="D12998" s="2" t="s">
        <v>6716</v>
      </c>
      <c r="E12998" s="3">
        <v>0</v>
      </c>
      <c r="F12998" s="2">
        <v>2566</v>
      </c>
      <c r="G12998" s="2">
        <v>100</v>
      </c>
      <c r="H12998" s="2">
        <v>484</v>
      </c>
      <c r="I12998" s="2">
        <v>3</v>
      </c>
      <c r="J12998" s="2">
        <v>1454</v>
      </c>
      <c r="K12998" s="2">
        <v>9</v>
      </c>
      <c r="L12998" s="2">
        <v>492</v>
      </c>
    </row>
    <row r="12999" spans="1:12" x14ac:dyDescent="0.25">
      <c r="A12999" s="4" t="str">
        <f>HYPERLINK("http://www.rosaceae.org/Prunus/Prunus_persica/p.persica_gdr_reftransV1_0024780","p.persica_gdr_reftransV1_0024780")</f>
        <v>p.persica_gdr_reftransV1_0024780</v>
      </c>
      <c r="B12999" s="2">
        <v>1576</v>
      </c>
      <c r="C12999" s="4" t="str">
        <f>HYPERLINK("http://www.uniprot.org/uniprot/M5XTW1","M5XTW1")</f>
        <v>M5XTW1</v>
      </c>
      <c r="D12999" s="2" t="s">
        <v>8593</v>
      </c>
      <c r="E12999" s="3">
        <v>0</v>
      </c>
      <c r="F12999" s="2">
        <v>2294</v>
      </c>
      <c r="G12999" s="2">
        <v>100</v>
      </c>
      <c r="H12999" s="2">
        <v>467</v>
      </c>
      <c r="I12999" s="2">
        <v>1</v>
      </c>
      <c r="J12999" s="2">
        <v>1401</v>
      </c>
      <c r="K12999" s="2">
        <v>390</v>
      </c>
      <c r="L12999" s="2">
        <v>856</v>
      </c>
    </row>
    <row r="13000" spans="1:12" x14ac:dyDescent="0.25">
      <c r="A13000" s="4" t="str">
        <f>HYPERLINK("http://www.rosaceae.org/Prunus/Prunus_persica/p.persica_gdr_reftransV1_0026180","p.persica_gdr_reftransV1_0026180")</f>
        <v>p.persica_gdr_reftransV1_0026180</v>
      </c>
      <c r="B13000" s="2">
        <v>3027</v>
      </c>
      <c r="C13000" s="4" t="str">
        <f>HYPERLINK("http://www.uniprot.org/uniprot/M5WXQ5","M5WXQ5")</f>
        <v>M5WXQ5</v>
      </c>
      <c r="D13000" s="2" t="s">
        <v>10761</v>
      </c>
      <c r="E13000" s="3">
        <v>1.3899999999999999E-108</v>
      </c>
      <c r="F13000" s="2">
        <v>906</v>
      </c>
      <c r="G13000" s="2">
        <v>100</v>
      </c>
      <c r="H13000" s="2">
        <v>226</v>
      </c>
      <c r="I13000" s="2">
        <v>2091</v>
      </c>
      <c r="J13000" s="2">
        <v>2768</v>
      </c>
      <c r="K13000" s="2">
        <v>1</v>
      </c>
      <c r="L13000" s="2">
        <v>226</v>
      </c>
    </row>
    <row r="13001" spans="1:12" x14ac:dyDescent="0.25">
      <c r="A13001" s="4" t="str">
        <f>HYPERLINK("http://www.rosaceae.org/Prunus/Prunus_persica/p.persica_gdr_reftransV1_0026530","p.persica_gdr_reftransV1_0026530")</f>
        <v>p.persica_gdr_reftransV1_0026530</v>
      </c>
      <c r="B13001" s="2">
        <v>1750</v>
      </c>
      <c r="C13001" s="4" t="str">
        <f>HYPERLINK("http://www.uniprot.org/uniprot/M5VMV0","M5VMV0")</f>
        <v>M5VMV0</v>
      </c>
      <c r="D13001" s="2" t="s">
        <v>10762</v>
      </c>
      <c r="E13001" s="3">
        <v>0</v>
      </c>
      <c r="F13001" s="2">
        <v>1485</v>
      </c>
      <c r="G13001" s="2">
        <v>99</v>
      </c>
      <c r="H13001" s="2">
        <v>317</v>
      </c>
      <c r="I13001" s="2">
        <v>233</v>
      </c>
      <c r="J13001" s="2">
        <v>1171</v>
      </c>
      <c r="K13001" s="2">
        <v>150</v>
      </c>
      <c r="L13001" s="2">
        <v>466</v>
      </c>
    </row>
    <row r="13002" spans="1:12" x14ac:dyDescent="0.25">
      <c r="A13002" s="4" t="str">
        <f>HYPERLINK("http://www.rosaceae.org/Prunus/Prunus_persica/p.persica_gdr_reftransV1_0027580","p.persica_gdr_reftransV1_0027580")</f>
        <v>p.persica_gdr_reftransV1_0027580</v>
      </c>
      <c r="B13002" s="2">
        <v>2401</v>
      </c>
      <c r="C13002" s="4" t="str">
        <f>HYPERLINK("http://www.uniprot.org/uniprot/M5WNL2","M5WNL2")</f>
        <v>M5WNL2</v>
      </c>
      <c r="D13002" s="2" t="s">
        <v>10763</v>
      </c>
      <c r="E13002" s="3">
        <v>0</v>
      </c>
      <c r="F13002" s="2">
        <v>3286</v>
      </c>
      <c r="G13002" s="2">
        <v>100</v>
      </c>
      <c r="H13002" s="2">
        <v>650</v>
      </c>
      <c r="I13002" s="2">
        <v>406</v>
      </c>
      <c r="J13002" s="2">
        <v>2355</v>
      </c>
      <c r="K13002" s="2">
        <v>1</v>
      </c>
      <c r="L13002" s="2">
        <v>650</v>
      </c>
    </row>
    <row r="13003" spans="1:12" x14ac:dyDescent="0.25">
      <c r="A13003" s="4" t="str">
        <f>HYPERLINK("http://www.rosaceae.org/Prunus/Prunus_persica/p.persica_gdr_reftransV1_0028280","p.persica_gdr_reftransV1_0028280")</f>
        <v>p.persica_gdr_reftransV1_0028280</v>
      </c>
      <c r="B13003" s="2">
        <v>1469</v>
      </c>
      <c r="C13003" s="4" t="str">
        <f>HYPERLINK("http://www.uniprot.org/uniprot/M5WGQ4","M5WGQ4")</f>
        <v>M5WGQ4</v>
      </c>
      <c r="D13003" s="2" t="s">
        <v>10764</v>
      </c>
      <c r="E13003" s="3">
        <v>4.2000000000000001E-169</v>
      </c>
      <c r="F13003" s="2">
        <v>1263</v>
      </c>
      <c r="G13003" s="2">
        <v>100</v>
      </c>
      <c r="H13003" s="2">
        <v>297</v>
      </c>
      <c r="I13003" s="2">
        <v>39</v>
      </c>
      <c r="J13003" s="2">
        <v>929</v>
      </c>
      <c r="K13003" s="2">
        <v>1</v>
      </c>
      <c r="L13003" s="2">
        <v>297</v>
      </c>
    </row>
    <row r="13004" spans="1:12" x14ac:dyDescent="0.25">
      <c r="A13004" s="4" t="str">
        <f>HYPERLINK("http://www.rosaceae.org/Prunus/Prunus_persica/p.persica_gdr_reftransV1_0029330","p.persica_gdr_reftransV1_0029330")</f>
        <v>p.persica_gdr_reftransV1_0029330</v>
      </c>
      <c r="B13004" s="2">
        <v>970</v>
      </c>
      <c r="C13004" s="4" t="str">
        <f>HYPERLINK("http://www.uniprot.org/uniprot/M5XBC9","M5XBC9")</f>
        <v>M5XBC9</v>
      </c>
      <c r="D13004" s="2" t="s">
        <v>10765</v>
      </c>
      <c r="E13004" s="3">
        <v>6.3299999999999997E-49</v>
      </c>
      <c r="F13004" s="2">
        <v>431</v>
      </c>
      <c r="G13004" s="2">
        <v>100</v>
      </c>
      <c r="H13004" s="2">
        <v>113</v>
      </c>
      <c r="I13004" s="2">
        <v>89</v>
      </c>
      <c r="J13004" s="2">
        <v>427</v>
      </c>
      <c r="K13004" s="2">
        <v>1</v>
      </c>
      <c r="L13004" s="2">
        <v>113</v>
      </c>
    </row>
    <row r="13005" spans="1:12" x14ac:dyDescent="0.25">
      <c r="A13005" s="4" t="str">
        <f>HYPERLINK("http://www.rosaceae.org/Prunus/Prunus_persica/p.persica_gdr_reftransV1_0031430","p.persica_gdr_reftransV1_0031430")</f>
        <v>p.persica_gdr_reftransV1_0031430</v>
      </c>
      <c r="B13005" s="2">
        <v>2411</v>
      </c>
      <c r="C13005" s="4" t="str">
        <f>HYPERLINK("http://www.uniprot.org/uniprot/M5VQA9","M5VQA9")</f>
        <v>M5VQA9</v>
      </c>
      <c r="D13005" s="2" t="s">
        <v>10766</v>
      </c>
      <c r="E13005" s="3">
        <v>0</v>
      </c>
      <c r="F13005" s="2">
        <v>2458</v>
      </c>
      <c r="G13005" s="2">
        <v>100</v>
      </c>
      <c r="H13005" s="2">
        <v>497</v>
      </c>
      <c r="I13005" s="2">
        <v>195</v>
      </c>
      <c r="J13005" s="2">
        <v>1685</v>
      </c>
      <c r="K13005" s="2">
        <v>1</v>
      </c>
      <c r="L13005" s="2">
        <v>497</v>
      </c>
    </row>
    <row r="13006" spans="1:12" x14ac:dyDescent="0.25">
      <c r="A13006" s="4" t="str">
        <f>HYPERLINK("http://www.rosaceae.org/Prunus/Prunus_persica/p.persica_gdr_reftransV1_0034580","p.persica_gdr_reftransV1_0034580")</f>
        <v>p.persica_gdr_reftransV1_0034580</v>
      </c>
      <c r="B13006" s="2">
        <v>4709</v>
      </c>
      <c r="C13006" s="4" t="str">
        <f>HYPERLINK("http://www.uniprot.org/uniprot/M5WMA4","M5WMA4")</f>
        <v>M5WMA4</v>
      </c>
      <c r="D13006" s="2" t="s">
        <v>10767</v>
      </c>
      <c r="E13006" s="3">
        <v>0</v>
      </c>
      <c r="F13006" s="2">
        <v>4011</v>
      </c>
      <c r="G13006" s="2">
        <v>98</v>
      </c>
      <c r="H13006" s="2">
        <v>802</v>
      </c>
      <c r="I13006" s="2">
        <v>289</v>
      </c>
      <c r="J13006" s="2">
        <v>2694</v>
      </c>
      <c r="K13006" s="2">
        <v>1</v>
      </c>
      <c r="L13006" s="2">
        <v>787</v>
      </c>
    </row>
    <row r="13007" spans="1:12" x14ac:dyDescent="0.25">
      <c r="A13007" s="4" t="str">
        <f>HYPERLINK("http://www.rosaceae.org/Prunus/Prunus_persica/p.persica_gdr_reftransV1_0036330","p.persica_gdr_reftransV1_0036330")</f>
        <v>p.persica_gdr_reftransV1_0036330</v>
      </c>
      <c r="B13007" s="2">
        <v>1976</v>
      </c>
      <c r="C13007" s="4" t="str">
        <f>HYPERLINK("http://www.uniprot.org/uniprot/M5VYL7","M5VYL7")</f>
        <v>M5VYL7</v>
      </c>
      <c r="D13007" s="2" t="s">
        <v>9747</v>
      </c>
      <c r="E13007" s="3">
        <v>1.0199999999999999E-130</v>
      </c>
      <c r="F13007" s="2">
        <v>1034</v>
      </c>
      <c r="G13007" s="2">
        <v>99</v>
      </c>
      <c r="H13007" s="2">
        <v>193</v>
      </c>
      <c r="I13007" s="2">
        <v>1397</v>
      </c>
      <c r="J13007" s="2">
        <v>1975</v>
      </c>
      <c r="K13007" s="2">
        <v>106</v>
      </c>
      <c r="L13007" s="2">
        <v>298</v>
      </c>
    </row>
    <row r="13008" spans="1:12" x14ac:dyDescent="0.25">
      <c r="A13008" s="4" t="str">
        <f>HYPERLINK("http://www.rosaceae.org/Prunus/Prunus_persica/p.persica_gdr_reftransV1_0039480","p.persica_gdr_reftransV1_0039480")</f>
        <v>p.persica_gdr_reftransV1_0039480</v>
      </c>
      <c r="B13008" s="2">
        <v>1101</v>
      </c>
      <c r="C13008" s="4" t="str">
        <f>HYPERLINK("http://www.uniprot.org/uniprot/M5W350","M5W350")</f>
        <v>M5W350</v>
      </c>
      <c r="D13008" s="2" t="s">
        <v>10768</v>
      </c>
      <c r="E13008" s="3">
        <v>1.7500000000000001E-179</v>
      </c>
      <c r="F13008" s="2">
        <v>1313</v>
      </c>
      <c r="G13008" s="2">
        <v>100</v>
      </c>
      <c r="H13008" s="2">
        <v>247</v>
      </c>
      <c r="I13008" s="2">
        <v>97</v>
      </c>
      <c r="J13008" s="2">
        <v>837</v>
      </c>
      <c r="K13008" s="2">
        <v>1</v>
      </c>
      <c r="L13008" s="2">
        <v>247</v>
      </c>
    </row>
    <row r="13009" spans="1:12" x14ac:dyDescent="0.25">
      <c r="A13009" s="4" t="str">
        <f>HYPERLINK("http://www.rosaceae.org/Prunus/Prunus_persica/p.persica_gdr_reftransV1_0043330","p.persica_gdr_reftransV1_0043330")</f>
        <v>p.persica_gdr_reftransV1_0043330</v>
      </c>
      <c r="B13009" s="2">
        <v>1712</v>
      </c>
      <c r="C13009" s="4" t="str">
        <f>HYPERLINK("http://www.uniprot.org/uniprot/M5VHC2","M5VHC2")</f>
        <v>M5VHC2</v>
      </c>
      <c r="D13009" s="2" t="s">
        <v>10769</v>
      </c>
      <c r="E13009" s="3">
        <v>0</v>
      </c>
      <c r="F13009" s="2">
        <v>2432</v>
      </c>
      <c r="G13009" s="2">
        <v>87</v>
      </c>
      <c r="H13009" s="2">
        <v>551</v>
      </c>
      <c r="I13009" s="2">
        <v>58</v>
      </c>
      <c r="J13009" s="2">
        <v>1710</v>
      </c>
      <c r="K13009" s="2">
        <v>156</v>
      </c>
      <c r="L13009" s="2">
        <v>688</v>
      </c>
    </row>
    <row r="13010" spans="1:12" x14ac:dyDescent="0.25">
      <c r="A13010" s="4" t="str">
        <f>HYPERLINK("http://www.rosaceae.org/Prunus/Prunus_persica/p.persica_gdr_reftransV1_0043680","p.persica_gdr_reftransV1_0043680")</f>
        <v>p.persica_gdr_reftransV1_0043680</v>
      </c>
      <c r="B13010" s="2">
        <v>2226</v>
      </c>
      <c r="C13010" s="4" t="str">
        <f>HYPERLINK("http://www.uniprot.org/uniprot/M5X3Q3","M5X3Q3")</f>
        <v>M5X3Q3</v>
      </c>
      <c r="D13010" s="2" t="s">
        <v>4898</v>
      </c>
      <c r="E13010" s="3">
        <v>0</v>
      </c>
      <c r="F13010" s="2">
        <v>2796</v>
      </c>
      <c r="G13010" s="2">
        <v>100</v>
      </c>
      <c r="H13010" s="2">
        <v>594</v>
      </c>
      <c r="I13010" s="2">
        <v>353</v>
      </c>
      <c r="J13010" s="2">
        <v>2134</v>
      </c>
      <c r="K13010" s="2">
        <v>1</v>
      </c>
      <c r="L13010" s="2">
        <v>594</v>
      </c>
    </row>
    <row r="13011" spans="1:12" x14ac:dyDescent="0.25">
      <c r="A13011" s="4" t="str">
        <f>HYPERLINK("http://www.rosaceae.org/Prunus/Prunus_persica/p.persica_gdr_reftransV1_0044030","p.persica_gdr_reftransV1_0044030")</f>
        <v>p.persica_gdr_reftransV1_0044030</v>
      </c>
      <c r="B13011" s="2">
        <v>1352</v>
      </c>
      <c r="C13011" s="4" t="str">
        <f>HYPERLINK("http://www.uniprot.org/uniprot/M5Y397","M5Y397")</f>
        <v>M5Y397</v>
      </c>
      <c r="D13011" s="2" t="s">
        <v>10770</v>
      </c>
      <c r="E13011" s="3">
        <v>0</v>
      </c>
      <c r="F13011" s="2">
        <v>1687</v>
      </c>
      <c r="G13011" s="2">
        <v>100</v>
      </c>
      <c r="H13011" s="2">
        <v>334</v>
      </c>
      <c r="I13011" s="2">
        <v>157</v>
      </c>
      <c r="J13011" s="2">
        <v>1158</v>
      </c>
      <c r="K13011" s="2">
        <v>1</v>
      </c>
      <c r="L13011" s="2">
        <v>334</v>
      </c>
    </row>
    <row r="13012" spans="1:12" x14ac:dyDescent="0.25">
      <c r="A13012" s="4" t="str">
        <f>HYPERLINK("http://www.rosaceae.org/Prunus/Prunus_persica/p.persica_gdr_reftransV1_0044380","p.persica_gdr_reftransV1_0044380")</f>
        <v>p.persica_gdr_reftransV1_0044380</v>
      </c>
      <c r="B13012" s="2">
        <v>2625</v>
      </c>
      <c r="C13012" s="4" t="str">
        <f>HYPERLINK("http://www.uniprot.org/uniprot/M5X9F6","M5X9F6")</f>
        <v>M5X9F6</v>
      </c>
      <c r="D13012" s="2" t="s">
        <v>6495</v>
      </c>
      <c r="E13012" s="3">
        <v>0</v>
      </c>
      <c r="F13012" s="2">
        <v>1888</v>
      </c>
      <c r="G13012" s="2">
        <v>99</v>
      </c>
      <c r="H13012" s="2">
        <v>401</v>
      </c>
      <c r="I13012" s="2">
        <v>1428</v>
      </c>
      <c r="J13012" s="2">
        <v>2618</v>
      </c>
      <c r="K13012" s="2">
        <v>1</v>
      </c>
      <c r="L13012" s="2">
        <v>401</v>
      </c>
    </row>
    <row r="13013" spans="1:12" x14ac:dyDescent="0.25">
      <c r="A13013" s="4" t="str">
        <f>HYPERLINK("http://www.rosaceae.org/Prunus/Prunus_persica/p.persica_gdr_reftransV1_0044730","p.persica_gdr_reftransV1_0044730")</f>
        <v>p.persica_gdr_reftransV1_0044730</v>
      </c>
      <c r="B13013" s="2">
        <v>1005</v>
      </c>
      <c r="C13013" s="4" t="str">
        <f>HYPERLINK("http://www.uniprot.org/uniprot/M5WAL0","M5WAL0")</f>
        <v>M5WAL0</v>
      </c>
      <c r="D13013" s="2" t="s">
        <v>5120</v>
      </c>
      <c r="E13013" s="3">
        <v>5.9399999999999996E-126</v>
      </c>
      <c r="F13013" s="2">
        <v>951</v>
      </c>
      <c r="G13013" s="2">
        <v>100</v>
      </c>
      <c r="H13013" s="2">
        <v>183</v>
      </c>
      <c r="I13013" s="2">
        <v>85</v>
      </c>
      <c r="J13013" s="2">
        <v>633</v>
      </c>
      <c r="K13013" s="2">
        <v>2</v>
      </c>
      <c r="L13013" s="2">
        <v>184</v>
      </c>
    </row>
    <row r="13014" spans="1:12" x14ac:dyDescent="0.25">
      <c r="A13014" s="4" t="str">
        <f>HYPERLINK("http://www.rosaceae.org/Prunus/Prunus_persica/p.persica_gdr_reftransV1_0045080","p.persica_gdr_reftransV1_0045080")</f>
        <v>p.persica_gdr_reftransV1_0045080</v>
      </c>
      <c r="B13014" s="2">
        <v>1002</v>
      </c>
      <c r="C13014" s="4" t="str">
        <f>HYPERLINK("http://www.uniprot.org/uniprot/M5X9K4","M5X9K4")</f>
        <v>M5X9K4</v>
      </c>
      <c r="D13014" s="2" t="s">
        <v>10771</v>
      </c>
      <c r="E13014" s="3">
        <v>0</v>
      </c>
      <c r="F13014" s="2">
        <v>1589</v>
      </c>
      <c r="G13014" s="2">
        <v>100</v>
      </c>
      <c r="H13014" s="2">
        <v>327</v>
      </c>
      <c r="I13014" s="2">
        <v>3</v>
      </c>
      <c r="J13014" s="2">
        <v>983</v>
      </c>
      <c r="K13014" s="2">
        <v>93</v>
      </c>
      <c r="L13014" s="2">
        <v>419</v>
      </c>
    </row>
    <row r="13015" spans="1:12" x14ac:dyDescent="0.25">
      <c r="A13015" s="4" t="str">
        <f>HYPERLINK("http://www.rosaceae.org/Prunus/Prunus_persica/p.persica_gdr_reftransV1_0045780","p.persica_gdr_reftransV1_0045780")</f>
        <v>p.persica_gdr_reftransV1_0045780</v>
      </c>
      <c r="B13015" s="2">
        <v>2447</v>
      </c>
      <c r="C13015" s="4" t="str">
        <f>HYPERLINK("http://www.uniprot.org/uniprot/M5XAW1","M5XAW1")</f>
        <v>M5XAW1</v>
      </c>
      <c r="D13015" s="2" t="s">
        <v>3605</v>
      </c>
      <c r="E13015" s="3">
        <v>0</v>
      </c>
      <c r="F13015" s="2">
        <v>3463</v>
      </c>
      <c r="G13015" s="2">
        <v>99</v>
      </c>
      <c r="H13015" s="2">
        <v>679</v>
      </c>
      <c r="I13015" s="2">
        <v>159</v>
      </c>
      <c r="J13015" s="2">
        <v>2186</v>
      </c>
      <c r="K13015" s="2">
        <v>1</v>
      </c>
      <c r="L13015" s="2">
        <v>679</v>
      </c>
    </row>
    <row r="13016" spans="1:12" x14ac:dyDescent="0.25">
      <c r="A13016" s="4" t="str">
        <f>HYPERLINK("http://www.rosaceae.org/Prunus/Prunus_persica/p.persica_gdr_reftransV1_0046130","p.persica_gdr_reftransV1_0046130")</f>
        <v>p.persica_gdr_reftransV1_0046130</v>
      </c>
      <c r="B13016" s="2">
        <v>1580</v>
      </c>
      <c r="C13016" s="4" t="str">
        <f>HYPERLINK("http://www.uniprot.org/uniprot/M5W626","M5W626")</f>
        <v>M5W626</v>
      </c>
      <c r="D13016" s="2" t="s">
        <v>10772</v>
      </c>
      <c r="E13016" s="3">
        <v>0</v>
      </c>
      <c r="F13016" s="2">
        <v>1790</v>
      </c>
      <c r="G13016" s="2">
        <v>100</v>
      </c>
      <c r="H13016" s="2">
        <v>339</v>
      </c>
      <c r="I13016" s="2">
        <v>79</v>
      </c>
      <c r="J13016" s="2">
        <v>1095</v>
      </c>
      <c r="K13016" s="2">
        <v>93</v>
      </c>
      <c r="L13016" s="2">
        <v>431</v>
      </c>
    </row>
    <row r="13017" spans="1:12" x14ac:dyDescent="0.25">
      <c r="A13017" s="4" t="str">
        <f>HYPERLINK("http://www.rosaceae.org/Prunus/Prunus_persica/p.persica_gdr_reftransV1_0046830","p.persica_gdr_reftransV1_0046830")</f>
        <v>p.persica_gdr_reftransV1_0046830</v>
      </c>
      <c r="B13017" s="2">
        <v>548</v>
      </c>
      <c r="C13017" s="4" t="str">
        <f>HYPERLINK("http://www.uniprot.org/uniprot/M5XKP6","M5XKP6")</f>
        <v>M5XKP6</v>
      </c>
      <c r="D13017" s="2" t="s">
        <v>10773</v>
      </c>
      <c r="E13017" s="3">
        <v>8.4599999999999997E-97</v>
      </c>
      <c r="F13017" s="2">
        <v>777</v>
      </c>
      <c r="G13017" s="2">
        <v>89</v>
      </c>
      <c r="H13017" s="2">
        <v>166</v>
      </c>
      <c r="I13017" s="2">
        <v>51</v>
      </c>
      <c r="J13017" s="2">
        <v>548</v>
      </c>
      <c r="K13017" s="2">
        <v>294</v>
      </c>
      <c r="L13017" s="2">
        <v>459</v>
      </c>
    </row>
    <row r="13018" spans="1:12" x14ac:dyDescent="0.25">
      <c r="A13018" s="4" t="str">
        <f>HYPERLINK("http://www.rosaceae.org/Prunus/Prunus_persica/p.persica_gdr_reftransV1_0047180","p.persica_gdr_reftransV1_0047180")</f>
        <v>p.persica_gdr_reftransV1_0047180</v>
      </c>
      <c r="B13018" s="2">
        <v>1030</v>
      </c>
      <c r="C13018" s="4" t="str">
        <f>HYPERLINK("http://www.uniprot.org/uniprot/M5WT54","M5WT54")</f>
        <v>M5WT54</v>
      </c>
      <c r="D13018" s="2" t="s">
        <v>10774</v>
      </c>
      <c r="E13018" s="3">
        <v>0</v>
      </c>
      <c r="F13018" s="2">
        <v>1446</v>
      </c>
      <c r="G13018" s="2">
        <v>100</v>
      </c>
      <c r="H13018" s="2">
        <v>271</v>
      </c>
      <c r="I13018" s="2">
        <v>43</v>
      </c>
      <c r="J13018" s="2">
        <v>855</v>
      </c>
      <c r="K13018" s="2">
        <v>1</v>
      </c>
      <c r="L13018" s="2">
        <v>271</v>
      </c>
    </row>
    <row r="13019" spans="1:12" x14ac:dyDescent="0.25">
      <c r="A13019" s="4" t="str">
        <f>HYPERLINK("http://www.rosaceae.org/Prunus/Prunus_persica/p.persica_gdr_reftransV1_0047530","p.persica_gdr_reftransV1_0047530")</f>
        <v>p.persica_gdr_reftransV1_0047530</v>
      </c>
      <c r="B13019" s="2">
        <v>392</v>
      </c>
      <c r="C13019" s="4" t="str">
        <f>HYPERLINK("http://www.uniprot.org/uniprot/M5VSE7","M5VSE7")</f>
        <v>M5VSE7</v>
      </c>
      <c r="D13019" s="2" t="s">
        <v>7703</v>
      </c>
      <c r="E13019" s="3">
        <v>2.1800000000000001E-67</v>
      </c>
      <c r="F13019" s="2">
        <v>589</v>
      </c>
      <c r="G13019" s="2">
        <v>100</v>
      </c>
      <c r="H13019" s="2">
        <v>130</v>
      </c>
      <c r="I13019" s="2">
        <v>2</v>
      </c>
      <c r="J13019" s="2">
        <v>391</v>
      </c>
      <c r="K13019" s="2">
        <v>665</v>
      </c>
      <c r="L13019" s="2">
        <v>794</v>
      </c>
    </row>
    <row r="13020" spans="1:12" x14ac:dyDescent="0.25">
      <c r="A13020" s="4" t="str">
        <f>HYPERLINK("http://www.rosaceae.org/Prunus/Prunus_persica/p.persica_gdr_reftransV1_0047880","p.persica_gdr_reftransV1_0047880")</f>
        <v>p.persica_gdr_reftransV1_0047880</v>
      </c>
      <c r="B13020" s="2">
        <v>1459</v>
      </c>
      <c r="C13020" s="4" t="str">
        <f>HYPERLINK("http://www.uniprot.org/uniprot/M5VSF8","M5VSF8")</f>
        <v>M5VSF8</v>
      </c>
      <c r="D13020" s="2" t="s">
        <v>10643</v>
      </c>
      <c r="E13020" s="3">
        <v>0</v>
      </c>
      <c r="F13020" s="2">
        <v>2056</v>
      </c>
      <c r="G13020" s="2">
        <v>98</v>
      </c>
      <c r="H13020" s="2">
        <v>411</v>
      </c>
      <c r="I13020" s="2">
        <v>225</v>
      </c>
      <c r="J13020" s="2">
        <v>1457</v>
      </c>
      <c r="K13020" s="2">
        <v>12</v>
      </c>
      <c r="L13020" s="2">
        <v>422</v>
      </c>
    </row>
    <row r="13021" spans="1:12" x14ac:dyDescent="0.25">
      <c r="A13021" s="4" t="str">
        <f>HYPERLINK("http://www.rosaceae.org/Prunus/Prunus_persica/p.persica_gdr_reftransV1_0048230","p.persica_gdr_reftransV1_0048230")</f>
        <v>p.persica_gdr_reftransV1_0048230</v>
      </c>
      <c r="B13021" s="2">
        <v>2446</v>
      </c>
      <c r="C13021" s="4" t="str">
        <f>HYPERLINK("http://www.uniprot.org/uniprot/M5X3J7","M5X3J7")</f>
        <v>M5X3J7</v>
      </c>
      <c r="D13021" s="2" t="s">
        <v>2151</v>
      </c>
      <c r="E13021" s="3">
        <v>0</v>
      </c>
      <c r="F13021" s="2">
        <v>2978</v>
      </c>
      <c r="G13021" s="2">
        <v>100</v>
      </c>
      <c r="H13021" s="2">
        <v>590</v>
      </c>
      <c r="I13021" s="2">
        <v>467</v>
      </c>
      <c r="J13021" s="2">
        <v>2236</v>
      </c>
      <c r="K13021" s="2">
        <v>1</v>
      </c>
      <c r="L13021" s="2">
        <v>590</v>
      </c>
    </row>
    <row r="13022" spans="1:12" x14ac:dyDescent="0.25">
      <c r="A13022" s="4" t="str">
        <f>HYPERLINK("http://www.rosaceae.org/Prunus/Prunus_persica/p.persica_gdr_reftransV1_0048580","p.persica_gdr_reftransV1_0048580")</f>
        <v>p.persica_gdr_reftransV1_0048580</v>
      </c>
      <c r="B13022" s="2">
        <v>875</v>
      </c>
      <c r="C13022" s="4" t="str">
        <f>HYPERLINK("http://www.uniprot.org/uniprot/M5W0H8","M5W0H8")</f>
        <v>M5W0H8</v>
      </c>
      <c r="D13022" s="2" t="s">
        <v>8826</v>
      </c>
      <c r="E13022" s="3">
        <v>3.1200000000000001E-93</v>
      </c>
      <c r="F13022" s="2">
        <v>728</v>
      </c>
      <c r="G13022" s="2">
        <v>100</v>
      </c>
      <c r="H13022" s="2">
        <v>140</v>
      </c>
      <c r="I13022" s="2">
        <v>215</v>
      </c>
      <c r="J13022" s="2">
        <v>634</v>
      </c>
      <c r="K13022" s="2">
        <v>1</v>
      </c>
      <c r="L13022" s="2">
        <v>140</v>
      </c>
    </row>
    <row r="13023" spans="1:12" x14ac:dyDescent="0.25">
      <c r="A13023" s="4" t="str">
        <f>HYPERLINK("http://www.rosaceae.org/Prunus/Prunus_persica/p.persica_gdr_reftransV1_0048930","p.persica_gdr_reftransV1_0048930")</f>
        <v>p.persica_gdr_reftransV1_0048930</v>
      </c>
      <c r="B13023" s="2">
        <v>1716</v>
      </c>
      <c r="C13023" s="4" t="str">
        <f>HYPERLINK("http://www.uniprot.org/uniprot/M5XG86","M5XG86")</f>
        <v>M5XG86</v>
      </c>
      <c r="D13023" s="2" t="s">
        <v>10775</v>
      </c>
      <c r="E13023" s="3">
        <v>1.43E-137</v>
      </c>
      <c r="F13023" s="2">
        <v>1062</v>
      </c>
      <c r="G13023" s="2">
        <v>100</v>
      </c>
      <c r="H13023" s="2">
        <v>279</v>
      </c>
      <c r="I13023" s="2">
        <v>514</v>
      </c>
      <c r="J13023" s="2">
        <v>1350</v>
      </c>
      <c r="K13023" s="2">
        <v>1</v>
      </c>
      <c r="L13023" s="2">
        <v>279</v>
      </c>
    </row>
    <row r="13024" spans="1:12" x14ac:dyDescent="0.25">
      <c r="A13024" s="4" t="str">
        <f>HYPERLINK("http://www.rosaceae.org/Prunus/Prunus_persica/p.persica_gdr_reftransV1_0000028","p.persica_gdr_reftransV1_0000028")</f>
        <v>p.persica_gdr_reftransV1_0000028</v>
      </c>
      <c r="B13024" s="2">
        <v>1216</v>
      </c>
      <c r="C13024" s="4" t="str">
        <f>HYPERLINK("http://www.uniprot.org/uniprot/M5VSC4","M5VSC4")</f>
        <v>M5VSC4</v>
      </c>
      <c r="D13024" s="2" t="s">
        <v>10776</v>
      </c>
      <c r="E13024" s="3">
        <v>2.7600000000000001E-91</v>
      </c>
      <c r="F13024" s="2">
        <v>724</v>
      </c>
      <c r="G13024" s="2">
        <v>100</v>
      </c>
      <c r="H13024" s="2">
        <v>137</v>
      </c>
      <c r="I13024" s="2">
        <v>262</v>
      </c>
      <c r="J13024" s="2">
        <v>672</v>
      </c>
      <c r="K13024" s="2">
        <v>8</v>
      </c>
      <c r="L13024" s="2">
        <v>144</v>
      </c>
    </row>
    <row r="13025" spans="1:12" x14ac:dyDescent="0.25">
      <c r="A13025" s="4" t="str">
        <f>HYPERLINK("http://www.rosaceae.org/Prunus/Prunus_persica/p.persica_gdr_reftransV1_0000378","p.persica_gdr_reftransV1_0000378")</f>
        <v>p.persica_gdr_reftransV1_0000378</v>
      </c>
      <c r="B13025" s="2">
        <v>502</v>
      </c>
      <c r="C13025" s="4" t="str">
        <f>HYPERLINK("http://www.uniprot.org/uniprot/M5XCR1","M5XCR1")</f>
        <v>M5XCR1</v>
      </c>
      <c r="D13025" s="2" t="s">
        <v>5371</v>
      </c>
      <c r="E13025" s="3">
        <v>3.15E-66</v>
      </c>
      <c r="F13025" s="2">
        <v>565</v>
      </c>
      <c r="G13025" s="2">
        <v>99</v>
      </c>
      <c r="H13025" s="2">
        <v>122</v>
      </c>
      <c r="I13025" s="2">
        <v>1</v>
      </c>
      <c r="J13025" s="2">
        <v>366</v>
      </c>
      <c r="K13025" s="2">
        <v>1</v>
      </c>
      <c r="L13025" s="2">
        <v>122</v>
      </c>
    </row>
    <row r="13026" spans="1:12" x14ac:dyDescent="0.25">
      <c r="A13026" s="4" t="str">
        <f>HYPERLINK("http://www.rosaceae.org/Prunus/Prunus_persica/p.persica_gdr_reftransV1_0001078","p.persica_gdr_reftransV1_0001078")</f>
        <v>p.persica_gdr_reftransV1_0001078</v>
      </c>
      <c r="B13026" s="2">
        <v>1851</v>
      </c>
      <c r="C13026" s="4" t="str">
        <f>HYPERLINK("http://www.uniprot.org/uniprot/M5WF80","M5WF80")</f>
        <v>M5WF80</v>
      </c>
      <c r="D13026" s="2" t="s">
        <v>10777</v>
      </c>
      <c r="E13026" s="3">
        <v>0</v>
      </c>
      <c r="F13026" s="2">
        <v>1164</v>
      </c>
      <c r="G13026" s="2">
        <v>85</v>
      </c>
      <c r="H13026" s="2">
        <v>272</v>
      </c>
      <c r="I13026" s="2">
        <v>1063</v>
      </c>
      <c r="J13026" s="2">
        <v>1791</v>
      </c>
      <c r="K13026" s="2">
        <v>1</v>
      </c>
      <c r="L13026" s="2">
        <v>272</v>
      </c>
    </row>
    <row r="13027" spans="1:12" x14ac:dyDescent="0.25">
      <c r="A13027" s="4" t="str">
        <f>HYPERLINK("http://www.rosaceae.org/Prunus/Prunus_persica/p.persica_gdr_reftransV1_0001428","p.persica_gdr_reftransV1_0001428")</f>
        <v>p.persica_gdr_reftransV1_0001428</v>
      </c>
      <c r="B13027" s="2">
        <v>830</v>
      </c>
      <c r="C13027" s="4" t="str">
        <f>HYPERLINK("http://www.uniprot.org/uniprot/M5XVG6","M5XVG6")</f>
        <v>M5XVG6</v>
      </c>
      <c r="D13027" s="2" t="s">
        <v>752</v>
      </c>
      <c r="E13027" s="3">
        <v>2.23E-170</v>
      </c>
      <c r="F13027" s="2">
        <v>1380</v>
      </c>
      <c r="G13027" s="2">
        <v>100</v>
      </c>
      <c r="H13027" s="2">
        <v>276</v>
      </c>
      <c r="I13027" s="2">
        <v>2</v>
      </c>
      <c r="J13027" s="2">
        <v>829</v>
      </c>
      <c r="K13027" s="2">
        <v>552</v>
      </c>
      <c r="L13027" s="2">
        <v>827</v>
      </c>
    </row>
    <row r="13028" spans="1:12" x14ac:dyDescent="0.25">
      <c r="A13028" s="4" t="str">
        <f>HYPERLINK("http://www.rosaceae.org/Prunus/Prunus_persica/p.persica_gdr_reftransV1_0001778","p.persica_gdr_reftransV1_0001778")</f>
        <v>p.persica_gdr_reftransV1_0001778</v>
      </c>
      <c r="B13028" s="2">
        <v>806</v>
      </c>
      <c r="C13028" s="4" t="str">
        <f>HYPERLINK("http://www.uniprot.org/uniprot/M5WQ93","M5WQ93")</f>
        <v>M5WQ93</v>
      </c>
      <c r="D13028" s="2" t="s">
        <v>3662</v>
      </c>
      <c r="E13028" s="3">
        <v>0</v>
      </c>
      <c r="F13028" s="2">
        <v>1442</v>
      </c>
      <c r="G13028" s="2">
        <v>100</v>
      </c>
      <c r="H13028" s="2">
        <v>268</v>
      </c>
      <c r="I13028" s="2">
        <v>2</v>
      </c>
      <c r="J13028" s="2">
        <v>805</v>
      </c>
      <c r="K13028" s="2">
        <v>89</v>
      </c>
      <c r="L13028" s="2">
        <v>356</v>
      </c>
    </row>
    <row r="13029" spans="1:12" x14ac:dyDescent="0.25">
      <c r="A13029" s="4" t="str">
        <f>HYPERLINK("http://www.rosaceae.org/Prunus/Prunus_persica/p.persica_gdr_reftransV1_0002128","p.persica_gdr_reftransV1_0002128")</f>
        <v>p.persica_gdr_reftransV1_0002128</v>
      </c>
      <c r="B13029" s="2">
        <v>2112</v>
      </c>
      <c r="C13029" s="4" t="str">
        <f>HYPERLINK("http://www.uniprot.org/uniprot/M5X594","M5X594")</f>
        <v>M5X594</v>
      </c>
      <c r="D13029" s="2" t="s">
        <v>10778</v>
      </c>
      <c r="E13029" s="3">
        <v>0</v>
      </c>
      <c r="F13029" s="2">
        <v>2059</v>
      </c>
      <c r="G13029" s="2">
        <v>100</v>
      </c>
      <c r="H13029" s="2">
        <v>391</v>
      </c>
      <c r="I13029" s="2">
        <v>815</v>
      </c>
      <c r="J13029" s="2">
        <v>1987</v>
      </c>
      <c r="K13029" s="2">
        <v>1</v>
      </c>
      <c r="L13029" s="2">
        <v>391</v>
      </c>
    </row>
    <row r="13030" spans="1:12" x14ac:dyDescent="0.25">
      <c r="A13030" s="4" t="str">
        <f>HYPERLINK("http://www.rosaceae.org/Prunus/Prunus_persica/p.persica_gdr_reftransV1_0002478","p.persica_gdr_reftransV1_0002478")</f>
        <v>p.persica_gdr_reftransV1_0002478</v>
      </c>
      <c r="B13030" s="2">
        <v>2422</v>
      </c>
      <c r="C13030" s="4" t="str">
        <f>HYPERLINK("http://www.uniprot.org/uniprot/M5XBB5","M5XBB5")</f>
        <v>M5XBB5</v>
      </c>
      <c r="D13030" s="2" t="s">
        <v>1501</v>
      </c>
      <c r="E13030" s="3">
        <v>0</v>
      </c>
      <c r="F13030" s="2">
        <v>2363</v>
      </c>
      <c r="G13030" s="2">
        <v>100</v>
      </c>
      <c r="H13030" s="2">
        <v>453</v>
      </c>
      <c r="I13030" s="2">
        <v>425</v>
      </c>
      <c r="J13030" s="2">
        <v>1783</v>
      </c>
      <c r="K13030" s="2">
        <v>157</v>
      </c>
      <c r="L13030" s="2">
        <v>609</v>
      </c>
    </row>
    <row r="13031" spans="1:12" x14ac:dyDescent="0.25">
      <c r="A13031" s="4" t="str">
        <f>HYPERLINK("http://www.rosaceae.org/Prunus/Prunus_persica/p.persica_gdr_reftransV1_0002828","p.persica_gdr_reftransV1_0002828")</f>
        <v>p.persica_gdr_reftransV1_0002828</v>
      </c>
      <c r="B13031" s="2">
        <v>1533</v>
      </c>
      <c r="C13031" s="4" t="str">
        <f>HYPERLINK("http://www.uniprot.org/uniprot/M5VJ33","M5VJ33")</f>
        <v>M5VJ33</v>
      </c>
      <c r="D13031" s="2" t="s">
        <v>10779</v>
      </c>
      <c r="E13031" s="3">
        <v>0</v>
      </c>
      <c r="F13031" s="2">
        <v>1808</v>
      </c>
      <c r="G13031" s="2">
        <v>100</v>
      </c>
      <c r="H13031" s="2">
        <v>428</v>
      </c>
      <c r="I13031" s="2">
        <v>249</v>
      </c>
      <c r="J13031" s="2">
        <v>1532</v>
      </c>
      <c r="K13031" s="2">
        <v>16</v>
      </c>
      <c r="L13031" s="2">
        <v>443</v>
      </c>
    </row>
    <row r="13032" spans="1:12" x14ac:dyDescent="0.25">
      <c r="A13032" s="4" t="str">
        <f>HYPERLINK("http://www.rosaceae.org/Prunus/Prunus_persica/p.persica_gdr_reftransV1_0003878","p.persica_gdr_reftransV1_0003878")</f>
        <v>p.persica_gdr_reftransV1_0003878</v>
      </c>
      <c r="B13032" s="2">
        <v>722</v>
      </c>
      <c r="C13032" s="4" t="str">
        <f>HYPERLINK("http://www.uniprot.org/uniprot/D5JGT2","D5JGT2")</f>
        <v>D5JGT2</v>
      </c>
      <c r="D13032" s="2" t="s">
        <v>10780</v>
      </c>
      <c r="E13032" s="3">
        <v>2.29E-76</v>
      </c>
      <c r="F13032" s="2">
        <v>617</v>
      </c>
      <c r="G13032" s="2">
        <v>98</v>
      </c>
      <c r="H13032" s="2">
        <v>122</v>
      </c>
      <c r="I13032" s="2">
        <v>72</v>
      </c>
      <c r="J13032" s="2">
        <v>437</v>
      </c>
      <c r="K13032" s="2">
        <v>101</v>
      </c>
      <c r="L13032" s="2">
        <v>222</v>
      </c>
    </row>
    <row r="13033" spans="1:12" x14ac:dyDescent="0.25">
      <c r="A13033" s="4" t="str">
        <f>HYPERLINK("http://www.rosaceae.org/Prunus/Prunus_persica/p.persica_gdr_reftransV1_0004228","p.persica_gdr_reftransV1_0004228")</f>
        <v>p.persica_gdr_reftransV1_0004228</v>
      </c>
      <c r="B13033" s="2">
        <v>644</v>
      </c>
      <c r="C13033" s="4" t="str">
        <f>HYPERLINK("http://www.uniprot.org/uniprot/M5W931","M5W931")</f>
        <v>M5W931</v>
      </c>
      <c r="D13033" s="2" t="s">
        <v>5747</v>
      </c>
      <c r="E13033" s="3">
        <v>2.7100000000000001E-79</v>
      </c>
      <c r="F13033" s="2">
        <v>661</v>
      </c>
      <c r="G13033" s="2">
        <v>100</v>
      </c>
      <c r="H13033" s="2">
        <v>145</v>
      </c>
      <c r="I13033" s="2">
        <v>2</v>
      </c>
      <c r="J13033" s="2">
        <v>436</v>
      </c>
      <c r="K13033" s="2">
        <v>1</v>
      </c>
      <c r="L13033" s="2">
        <v>145</v>
      </c>
    </row>
    <row r="13034" spans="1:12" x14ac:dyDescent="0.25">
      <c r="A13034" s="4" t="str">
        <f>HYPERLINK("http://www.rosaceae.org/Prunus/Prunus_persica/p.persica_gdr_reftransV1_0004928","p.persica_gdr_reftransV1_0004928")</f>
        <v>p.persica_gdr_reftransV1_0004928</v>
      </c>
      <c r="B13034" s="2">
        <v>2453</v>
      </c>
      <c r="C13034" s="4" t="str">
        <f>HYPERLINK("http://www.uniprot.org/uniprot/M5WGI4","M5WGI4")</f>
        <v>M5WGI4</v>
      </c>
      <c r="D13034" s="2" t="s">
        <v>10781</v>
      </c>
      <c r="E13034" s="3">
        <v>2.1900000000000001E-156</v>
      </c>
      <c r="F13034" s="2">
        <v>1224</v>
      </c>
      <c r="G13034" s="2">
        <v>100</v>
      </c>
      <c r="H13034" s="2">
        <v>275</v>
      </c>
      <c r="I13034" s="2">
        <v>97</v>
      </c>
      <c r="J13034" s="2">
        <v>921</v>
      </c>
      <c r="K13034" s="2">
        <v>1</v>
      </c>
      <c r="L13034" s="2">
        <v>275</v>
      </c>
    </row>
    <row r="13035" spans="1:12" x14ac:dyDescent="0.25">
      <c r="A13035" s="4" t="str">
        <f>HYPERLINK("http://www.rosaceae.org/Prunus/Prunus_persica/p.persica_gdr_reftransV1_0005278","p.persica_gdr_reftransV1_0005278")</f>
        <v>p.persica_gdr_reftransV1_0005278</v>
      </c>
      <c r="B13035" s="2">
        <v>893</v>
      </c>
      <c r="C13035" s="4" t="str">
        <f>HYPERLINK("http://www.uniprot.org/uniprot/M5VKY3","M5VKY3")</f>
        <v>M5VKY3</v>
      </c>
      <c r="D13035" s="2" t="s">
        <v>10304</v>
      </c>
      <c r="E13035" s="3">
        <v>2.5499999999999998E-59</v>
      </c>
      <c r="F13035" s="2">
        <v>501</v>
      </c>
      <c r="G13035" s="2">
        <v>100</v>
      </c>
      <c r="H13035" s="2">
        <v>135</v>
      </c>
      <c r="I13035" s="2">
        <v>160</v>
      </c>
      <c r="J13035" s="2">
        <v>564</v>
      </c>
      <c r="K13035" s="2">
        <v>1</v>
      </c>
      <c r="L13035" s="2">
        <v>135</v>
      </c>
    </row>
    <row r="13036" spans="1:12" x14ac:dyDescent="0.25">
      <c r="A13036" s="4" t="str">
        <f>HYPERLINK("http://www.rosaceae.org/Prunus/Prunus_persica/p.persica_gdr_reftransV1_0007028","p.persica_gdr_reftransV1_0007028")</f>
        <v>p.persica_gdr_reftransV1_0007028</v>
      </c>
      <c r="B13036" s="2">
        <v>1867</v>
      </c>
      <c r="C13036" s="4" t="str">
        <f>HYPERLINK("http://www.uniprot.org/uniprot/M5XX12","M5XX12")</f>
        <v>M5XX12</v>
      </c>
      <c r="D13036" s="2" t="s">
        <v>10782</v>
      </c>
      <c r="E13036" s="3">
        <v>0</v>
      </c>
      <c r="F13036" s="2">
        <v>2333</v>
      </c>
      <c r="G13036" s="2">
        <v>100</v>
      </c>
      <c r="H13036" s="2">
        <v>470</v>
      </c>
      <c r="I13036" s="2">
        <v>250</v>
      </c>
      <c r="J13036" s="2">
        <v>1659</v>
      </c>
      <c r="K13036" s="2">
        <v>1</v>
      </c>
      <c r="L13036" s="2">
        <v>470</v>
      </c>
    </row>
    <row r="13037" spans="1:12" x14ac:dyDescent="0.25">
      <c r="A13037" s="4" t="str">
        <f>HYPERLINK("http://www.rosaceae.org/Prunus/Prunus_persica/p.persica_gdr_reftransV1_0007728","p.persica_gdr_reftransV1_0007728")</f>
        <v>p.persica_gdr_reftransV1_0007728</v>
      </c>
      <c r="B13037" s="2">
        <v>2237</v>
      </c>
      <c r="C13037" s="4" t="str">
        <f>HYPERLINK("http://www.uniprot.org/uniprot/M5WBI6","M5WBI6")</f>
        <v>M5WBI6</v>
      </c>
      <c r="D13037" s="2" t="s">
        <v>10783</v>
      </c>
      <c r="E13037" s="3">
        <v>0</v>
      </c>
      <c r="F13037" s="2">
        <v>2469</v>
      </c>
      <c r="G13037" s="2">
        <v>100</v>
      </c>
      <c r="H13037" s="2">
        <v>492</v>
      </c>
      <c r="I13037" s="2">
        <v>280</v>
      </c>
      <c r="J13037" s="2">
        <v>1755</v>
      </c>
      <c r="K13037" s="2">
        <v>18</v>
      </c>
      <c r="L13037" s="2">
        <v>509</v>
      </c>
    </row>
    <row r="13038" spans="1:12" x14ac:dyDescent="0.25">
      <c r="A13038" s="4" t="str">
        <f>HYPERLINK("http://www.rosaceae.org/Prunus/Prunus_persica/p.persica_gdr_reftransV1_0008078","p.persica_gdr_reftransV1_0008078")</f>
        <v>p.persica_gdr_reftransV1_0008078</v>
      </c>
      <c r="B13038" s="2">
        <v>3337</v>
      </c>
      <c r="C13038" s="4" t="str">
        <f>HYPERLINK("http://www.uniprot.org/uniprot/M5XVE4","M5XVE4")</f>
        <v>M5XVE4</v>
      </c>
      <c r="D13038" s="2" t="s">
        <v>10784</v>
      </c>
      <c r="E13038" s="3">
        <v>0</v>
      </c>
      <c r="F13038" s="2">
        <v>3431</v>
      </c>
      <c r="G13038" s="2">
        <v>99</v>
      </c>
      <c r="H13038" s="2">
        <v>664</v>
      </c>
      <c r="I13038" s="2">
        <v>1065</v>
      </c>
      <c r="J13038" s="2">
        <v>3056</v>
      </c>
      <c r="K13038" s="2">
        <v>303</v>
      </c>
      <c r="L13038" s="2">
        <v>966</v>
      </c>
    </row>
    <row r="13039" spans="1:12" x14ac:dyDescent="0.25">
      <c r="A13039" s="4" t="str">
        <f>HYPERLINK("http://www.rosaceae.org/Prunus/Prunus_persica/p.persica_gdr_reftransV1_0008428","p.persica_gdr_reftransV1_0008428")</f>
        <v>p.persica_gdr_reftransV1_0008428</v>
      </c>
      <c r="B13039" s="2">
        <v>689</v>
      </c>
      <c r="C13039" s="4" t="str">
        <f>HYPERLINK("http://www.uniprot.org/uniprot/M5WCD2","M5WCD2")</f>
        <v>M5WCD2</v>
      </c>
      <c r="D13039" s="2" t="s">
        <v>10785</v>
      </c>
      <c r="E13039" s="3">
        <v>8.8299999999999997E-100</v>
      </c>
      <c r="F13039" s="2">
        <v>771</v>
      </c>
      <c r="G13039" s="2">
        <v>92</v>
      </c>
      <c r="H13039" s="2">
        <v>169</v>
      </c>
      <c r="I13039" s="2">
        <v>3</v>
      </c>
      <c r="J13039" s="2">
        <v>476</v>
      </c>
      <c r="K13039" s="2">
        <v>53</v>
      </c>
      <c r="L13039" s="2">
        <v>221</v>
      </c>
    </row>
    <row r="13040" spans="1:12" x14ac:dyDescent="0.25">
      <c r="A13040" s="4" t="str">
        <f>HYPERLINK("http://www.rosaceae.org/Prunus/Prunus_persica/p.persica_gdr_reftransV1_0009128","p.persica_gdr_reftransV1_0009128")</f>
        <v>p.persica_gdr_reftransV1_0009128</v>
      </c>
      <c r="B13040" s="2">
        <v>1518</v>
      </c>
      <c r="C13040" s="4" t="str">
        <f>HYPERLINK("http://www.uniprot.org/uniprot/M5VW37","M5VW37")</f>
        <v>M5VW37</v>
      </c>
      <c r="D13040" s="2" t="s">
        <v>10786</v>
      </c>
      <c r="E13040" s="3">
        <v>1.4099999999999999E-109</v>
      </c>
      <c r="F13040" s="2">
        <v>928</v>
      </c>
      <c r="G13040" s="2">
        <v>100</v>
      </c>
      <c r="H13040" s="2">
        <v>185</v>
      </c>
      <c r="I13040" s="2">
        <v>823</v>
      </c>
      <c r="J13040" s="2">
        <v>1377</v>
      </c>
      <c r="K13040" s="2">
        <v>897</v>
      </c>
      <c r="L13040" s="2">
        <v>1081</v>
      </c>
    </row>
    <row r="13041" spans="1:12" x14ac:dyDescent="0.25">
      <c r="A13041" s="4" t="str">
        <f>HYPERLINK("http://www.rosaceae.org/Prunus/Prunus_persica/p.persica_gdr_reftransV1_0009478","p.persica_gdr_reftransV1_0009478")</f>
        <v>p.persica_gdr_reftransV1_0009478</v>
      </c>
      <c r="B13041" s="2">
        <v>734</v>
      </c>
      <c r="C13041" s="4" t="str">
        <f>HYPERLINK("http://www.uniprot.org/uniprot/V4SU02","V4SU02")</f>
        <v>V4SU02</v>
      </c>
      <c r="D13041" s="2" t="s">
        <v>10787</v>
      </c>
      <c r="E13041" s="3">
        <v>3.0000000000000001E-72</v>
      </c>
      <c r="F13041" s="2">
        <v>632</v>
      </c>
      <c r="G13041" s="2">
        <v>58</v>
      </c>
      <c r="H13041" s="2">
        <v>224</v>
      </c>
      <c r="I13041" s="2">
        <v>62</v>
      </c>
      <c r="J13041" s="2">
        <v>733</v>
      </c>
      <c r="K13041" s="2">
        <v>485</v>
      </c>
      <c r="L13041" s="2">
        <v>708</v>
      </c>
    </row>
    <row r="13042" spans="1:12" x14ac:dyDescent="0.25">
      <c r="A13042" s="4" t="str">
        <f>HYPERLINK("http://www.rosaceae.org/Prunus/Prunus_persica/p.persica_gdr_reftransV1_0009828","p.persica_gdr_reftransV1_0009828")</f>
        <v>p.persica_gdr_reftransV1_0009828</v>
      </c>
      <c r="B13042" s="2">
        <v>2618</v>
      </c>
      <c r="C13042" s="4" t="str">
        <f>HYPERLINK("http://www.uniprot.org/uniprot/M5X5T0","M5X5T0")</f>
        <v>M5X5T0</v>
      </c>
      <c r="D13042" s="2" t="s">
        <v>10788</v>
      </c>
      <c r="E13042" s="3">
        <v>1.92E-174</v>
      </c>
      <c r="F13042" s="2">
        <v>1370</v>
      </c>
      <c r="G13042" s="2">
        <v>95</v>
      </c>
      <c r="H13042" s="2">
        <v>283</v>
      </c>
      <c r="I13042" s="2">
        <v>1</v>
      </c>
      <c r="J13042" s="2">
        <v>849</v>
      </c>
      <c r="K13042" s="2">
        <v>156</v>
      </c>
      <c r="L13042" s="2">
        <v>425</v>
      </c>
    </row>
    <row r="13043" spans="1:12" x14ac:dyDescent="0.25">
      <c r="A13043" s="4" t="str">
        <f>HYPERLINK("http://www.rosaceae.org/Prunus/Prunus_persica/p.persica_gdr_reftransV1_0010528","p.persica_gdr_reftransV1_0010528")</f>
        <v>p.persica_gdr_reftransV1_0010528</v>
      </c>
      <c r="B13043" s="2">
        <v>1904</v>
      </c>
      <c r="C13043" s="4" t="str">
        <f>HYPERLINK("http://www.uniprot.org/uniprot/A0A0A0KTS4","A0A0A0KTS4")</f>
        <v>A0A0A0KTS4</v>
      </c>
      <c r="D13043" s="2" t="s">
        <v>10789</v>
      </c>
      <c r="E13043" s="3">
        <v>2.11E-92</v>
      </c>
      <c r="F13043" s="2">
        <v>762</v>
      </c>
      <c r="G13043" s="2">
        <v>70</v>
      </c>
      <c r="H13043" s="2">
        <v>216</v>
      </c>
      <c r="I13043" s="2">
        <v>786</v>
      </c>
      <c r="J13043" s="2">
        <v>1433</v>
      </c>
      <c r="K13043" s="2">
        <v>204</v>
      </c>
      <c r="L13043" s="2">
        <v>419</v>
      </c>
    </row>
    <row r="13044" spans="1:12" x14ac:dyDescent="0.25">
      <c r="A13044" s="4" t="str">
        <f>HYPERLINK("http://www.rosaceae.org/Prunus/Prunus_persica/p.persica_gdr_reftransV1_0011228","p.persica_gdr_reftransV1_0011228")</f>
        <v>p.persica_gdr_reftransV1_0011228</v>
      </c>
      <c r="B13044" s="2">
        <v>1188</v>
      </c>
      <c r="C13044" s="4" t="str">
        <f>HYPERLINK("http://www.uniprot.org/uniprot/M5XFQ1","M5XFQ1")</f>
        <v>M5XFQ1</v>
      </c>
      <c r="D13044" s="2" t="s">
        <v>10790</v>
      </c>
      <c r="E13044" s="3">
        <v>6.8600000000000004E-137</v>
      </c>
      <c r="F13044" s="2">
        <v>1035</v>
      </c>
      <c r="G13044" s="2">
        <v>100</v>
      </c>
      <c r="H13044" s="2">
        <v>243</v>
      </c>
      <c r="I13044" s="2">
        <v>266</v>
      </c>
      <c r="J13044" s="2">
        <v>994</v>
      </c>
      <c r="K13044" s="2">
        <v>1</v>
      </c>
      <c r="L13044" s="2">
        <v>243</v>
      </c>
    </row>
    <row r="13045" spans="1:12" x14ac:dyDescent="0.25">
      <c r="A13045" s="4" t="str">
        <f>HYPERLINK("http://www.rosaceae.org/Prunus/Prunus_persica/p.persica_gdr_reftransV1_0011928","p.persica_gdr_reftransV1_0011928")</f>
        <v>p.persica_gdr_reftransV1_0011928</v>
      </c>
      <c r="B13045" s="2">
        <v>615</v>
      </c>
      <c r="C13045" s="4" t="str">
        <f>HYPERLINK("http://www.uniprot.org/uniprot/M5WVV9","M5WVV9")</f>
        <v>M5WVV9</v>
      </c>
      <c r="D13045" s="2" t="s">
        <v>1458</v>
      </c>
      <c r="E13045" s="3">
        <v>1.3199999999999999E-123</v>
      </c>
      <c r="F13045" s="2">
        <v>1008</v>
      </c>
      <c r="G13045" s="2">
        <v>100</v>
      </c>
      <c r="H13045" s="2">
        <v>204</v>
      </c>
      <c r="I13045" s="2">
        <v>2</v>
      </c>
      <c r="J13045" s="2">
        <v>613</v>
      </c>
      <c r="K13045" s="2">
        <v>801</v>
      </c>
      <c r="L13045" s="2">
        <v>1004</v>
      </c>
    </row>
    <row r="13046" spans="1:12" x14ac:dyDescent="0.25">
      <c r="A13046" s="4" t="str">
        <f>HYPERLINK("http://www.rosaceae.org/Prunus/Prunus_persica/p.persica_gdr_reftransV1_0012278","p.persica_gdr_reftransV1_0012278")</f>
        <v>p.persica_gdr_reftransV1_0012278</v>
      </c>
      <c r="B13046" s="2">
        <v>901</v>
      </c>
      <c r="C13046" s="4" t="str">
        <f>HYPERLINK("http://www.uniprot.org/uniprot/M5XNH5","M5XNH5")</f>
        <v>M5XNH5</v>
      </c>
      <c r="D13046" s="2" t="s">
        <v>10791</v>
      </c>
      <c r="E13046" s="3">
        <v>2.7999999999999999E-169</v>
      </c>
      <c r="F13046" s="2">
        <v>1302</v>
      </c>
      <c r="G13046" s="2">
        <v>100</v>
      </c>
      <c r="H13046" s="2">
        <v>260</v>
      </c>
      <c r="I13046" s="2">
        <v>3</v>
      </c>
      <c r="J13046" s="2">
        <v>782</v>
      </c>
      <c r="K13046" s="2">
        <v>683</v>
      </c>
      <c r="L13046" s="2">
        <v>942</v>
      </c>
    </row>
    <row r="13047" spans="1:12" x14ac:dyDescent="0.25">
      <c r="A13047" s="4" t="str">
        <f>HYPERLINK("http://www.rosaceae.org/Prunus/Prunus_persica/p.persica_gdr_reftransV1_0012628","p.persica_gdr_reftransV1_0012628")</f>
        <v>p.persica_gdr_reftransV1_0012628</v>
      </c>
      <c r="B13047" s="2">
        <v>895</v>
      </c>
      <c r="C13047" s="4" t="str">
        <f>HYPERLINK("http://www.uniprot.org/uniprot/M5VWQ4","M5VWQ4")</f>
        <v>M5VWQ4</v>
      </c>
      <c r="D13047" s="2" t="s">
        <v>288</v>
      </c>
      <c r="E13047" s="3">
        <v>2.7E-116</v>
      </c>
      <c r="F13047" s="2">
        <v>821</v>
      </c>
      <c r="G13047" s="2">
        <v>91</v>
      </c>
      <c r="H13047" s="2">
        <v>181</v>
      </c>
      <c r="I13047" s="2">
        <v>396</v>
      </c>
      <c r="J13047" s="2">
        <v>893</v>
      </c>
      <c r="K13047" s="2">
        <v>386</v>
      </c>
      <c r="L13047" s="2">
        <v>566</v>
      </c>
    </row>
    <row r="13048" spans="1:12" x14ac:dyDescent="0.25">
      <c r="A13048" s="4" t="str">
        <f>HYPERLINK("http://www.rosaceae.org/Prunus/Prunus_persica/p.persica_gdr_reftransV1_0012978","p.persica_gdr_reftransV1_0012978")</f>
        <v>p.persica_gdr_reftransV1_0012978</v>
      </c>
      <c r="B13048" s="2">
        <v>1424</v>
      </c>
      <c r="C13048" s="4" t="str">
        <f>HYPERLINK("http://www.uniprot.org/uniprot/M5VZD1","M5VZD1")</f>
        <v>M5VZD1</v>
      </c>
      <c r="D13048" s="2" t="s">
        <v>10792</v>
      </c>
      <c r="E13048" s="3">
        <v>0</v>
      </c>
      <c r="F13048" s="2">
        <v>1510</v>
      </c>
      <c r="G13048" s="2">
        <v>100</v>
      </c>
      <c r="H13048" s="2">
        <v>306</v>
      </c>
      <c r="I13048" s="2">
        <v>230</v>
      </c>
      <c r="J13048" s="2">
        <v>1147</v>
      </c>
      <c r="K13048" s="2">
        <v>1</v>
      </c>
      <c r="L13048" s="2">
        <v>306</v>
      </c>
    </row>
    <row r="13049" spans="1:12" x14ac:dyDescent="0.25">
      <c r="A13049" s="4" t="str">
        <f>HYPERLINK("http://www.rosaceae.org/Prunus/Prunus_persica/p.persica_gdr_reftransV1_0013678","p.persica_gdr_reftransV1_0013678")</f>
        <v>p.persica_gdr_reftransV1_0013678</v>
      </c>
      <c r="B13049" s="2">
        <v>2101</v>
      </c>
      <c r="C13049" s="4" t="str">
        <f>HYPERLINK("http://www.uniprot.org/uniprot/M5VXX4","M5VXX4")</f>
        <v>M5VXX4</v>
      </c>
      <c r="D13049" s="2" t="s">
        <v>10793</v>
      </c>
      <c r="E13049" s="3">
        <v>0</v>
      </c>
      <c r="F13049" s="2">
        <v>1726</v>
      </c>
      <c r="G13049" s="2">
        <v>97</v>
      </c>
      <c r="H13049" s="2">
        <v>332</v>
      </c>
      <c r="I13049" s="2">
        <v>686</v>
      </c>
      <c r="J13049" s="2">
        <v>1681</v>
      </c>
      <c r="K13049" s="2">
        <v>1</v>
      </c>
      <c r="L13049" s="2">
        <v>329</v>
      </c>
    </row>
    <row r="13050" spans="1:12" x14ac:dyDescent="0.25">
      <c r="A13050" s="4" t="str">
        <f>HYPERLINK("http://www.rosaceae.org/Prunus/Prunus_persica/p.persica_gdr_reftransV1_0014378","p.persica_gdr_reftransV1_0014378")</f>
        <v>p.persica_gdr_reftransV1_0014378</v>
      </c>
      <c r="B13050" s="2">
        <v>2527</v>
      </c>
      <c r="C13050" s="4" t="str">
        <f>HYPERLINK("http://www.uniprot.org/uniprot/M5WFQ1","M5WFQ1")</f>
        <v>M5WFQ1</v>
      </c>
      <c r="D13050" s="2" t="s">
        <v>10794</v>
      </c>
      <c r="E13050" s="3">
        <v>0</v>
      </c>
      <c r="F13050" s="2">
        <v>3071</v>
      </c>
      <c r="G13050" s="2">
        <v>100</v>
      </c>
      <c r="H13050" s="2">
        <v>622</v>
      </c>
      <c r="I13050" s="2">
        <v>62</v>
      </c>
      <c r="J13050" s="2">
        <v>1927</v>
      </c>
      <c r="K13050" s="2">
        <v>1</v>
      </c>
      <c r="L13050" s="2">
        <v>622</v>
      </c>
    </row>
    <row r="13051" spans="1:12" x14ac:dyDescent="0.25">
      <c r="A13051" s="4" t="str">
        <f>HYPERLINK("http://www.rosaceae.org/Prunus/Prunus_persica/p.persica_gdr_reftransV1_0015078","p.persica_gdr_reftransV1_0015078")</f>
        <v>p.persica_gdr_reftransV1_0015078</v>
      </c>
      <c r="B13051" s="2">
        <v>394</v>
      </c>
      <c r="C13051" s="4" t="str">
        <f>HYPERLINK("http://www.uniprot.org/uniprot/M5WNG5","M5WNG5")</f>
        <v>M5WNG5</v>
      </c>
      <c r="D13051" s="2" t="s">
        <v>10795</v>
      </c>
      <c r="E13051" s="3">
        <v>9.2400000000000008E-84</v>
      </c>
      <c r="F13051" s="2">
        <v>703</v>
      </c>
      <c r="G13051" s="2">
        <v>100</v>
      </c>
      <c r="H13051" s="2">
        <v>131</v>
      </c>
      <c r="I13051" s="2">
        <v>2</v>
      </c>
      <c r="J13051" s="2">
        <v>394</v>
      </c>
      <c r="K13051" s="2">
        <v>680</v>
      </c>
      <c r="L13051" s="2">
        <v>810</v>
      </c>
    </row>
    <row r="13052" spans="1:12" x14ac:dyDescent="0.25">
      <c r="A13052" s="4" t="str">
        <f>HYPERLINK("http://www.rosaceae.org/Prunus/Prunus_persica/p.persica_gdr_reftransV1_0019278","p.persica_gdr_reftransV1_0019278")</f>
        <v>p.persica_gdr_reftransV1_0019278</v>
      </c>
      <c r="B13052" s="2">
        <v>4365</v>
      </c>
      <c r="C13052" s="4" t="str">
        <f>HYPERLINK("http://www.uniprot.org/uniprot/M5XRV9","M5XRV9")</f>
        <v>M5XRV9</v>
      </c>
      <c r="D13052" s="2" t="s">
        <v>10796</v>
      </c>
      <c r="E13052" s="3">
        <v>0</v>
      </c>
      <c r="F13052" s="2">
        <v>2469</v>
      </c>
      <c r="G13052" s="2">
        <v>100</v>
      </c>
      <c r="H13052" s="2">
        <v>453</v>
      </c>
      <c r="I13052" s="2">
        <v>1718</v>
      </c>
      <c r="J13052" s="2">
        <v>3076</v>
      </c>
      <c r="K13052" s="2">
        <v>336</v>
      </c>
      <c r="L13052" s="2">
        <v>788</v>
      </c>
    </row>
    <row r="13053" spans="1:12" x14ac:dyDescent="0.25">
      <c r="A13053" s="4" t="str">
        <f>HYPERLINK("http://www.rosaceae.org/Prunus/Prunus_persica/p.persica_gdr_reftransV1_0019628","p.persica_gdr_reftransV1_0019628")</f>
        <v>p.persica_gdr_reftransV1_0019628</v>
      </c>
      <c r="B13053" s="2">
        <v>2378</v>
      </c>
      <c r="C13053" s="4" t="str">
        <f>HYPERLINK("http://www.uniprot.org/uniprot/M5WK39","M5WK39")</f>
        <v>M5WK39</v>
      </c>
      <c r="D13053" s="2" t="s">
        <v>10797</v>
      </c>
      <c r="E13053" s="3">
        <v>0</v>
      </c>
      <c r="F13053" s="2">
        <v>1519</v>
      </c>
      <c r="G13053" s="2">
        <v>100</v>
      </c>
      <c r="H13053" s="2">
        <v>322</v>
      </c>
      <c r="I13053" s="2">
        <v>1321</v>
      </c>
      <c r="J13053" s="2">
        <v>2286</v>
      </c>
      <c r="K13053" s="2">
        <v>1</v>
      </c>
      <c r="L13053" s="2">
        <v>322</v>
      </c>
    </row>
    <row r="13054" spans="1:12" x14ac:dyDescent="0.25">
      <c r="A13054" s="4" t="str">
        <f>HYPERLINK("http://www.rosaceae.org/Prunus/Prunus_persica/p.persica_gdr_reftransV1_0020328","p.persica_gdr_reftransV1_0020328")</f>
        <v>p.persica_gdr_reftransV1_0020328</v>
      </c>
      <c r="B13054" s="2">
        <v>954</v>
      </c>
      <c r="C13054" s="4" t="str">
        <f>HYPERLINK("http://www.uniprot.org/uniprot/M5WB22","M5WB22")</f>
        <v>M5WB22</v>
      </c>
      <c r="D13054" s="2" t="s">
        <v>10798</v>
      </c>
      <c r="E13054" s="3">
        <v>5.1100000000000001E-107</v>
      </c>
      <c r="F13054" s="2">
        <v>821</v>
      </c>
      <c r="G13054" s="2">
        <v>100</v>
      </c>
      <c r="H13054" s="2">
        <v>154</v>
      </c>
      <c r="I13054" s="2">
        <v>242</v>
      </c>
      <c r="J13054" s="2">
        <v>703</v>
      </c>
      <c r="K13054" s="2">
        <v>1</v>
      </c>
      <c r="L13054" s="2">
        <v>154</v>
      </c>
    </row>
    <row r="13055" spans="1:12" x14ac:dyDescent="0.25">
      <c r="A13055" s="4" t="str">
        <f>HYPERLINK("http://www.rosaceae.org/Prunus/Prunus_persica/p.persica_gdr_reftransV1_0020678","p.persica_gdr_reftransV1_0020678")</f>
        <v>p.persica_gdr_reftransV1_0020678</v>
      </c>
      <c r="B13055" s="2">
        <v>3872</v>
      </c>
      <c r="C13055" s="4" t="str">
        <f>HYPERLINK("http://www.uniprot.org/uniprot/M5XXY7","M5XXY7")</f>
        <v>M5XXY7</v>
      </c>
      <c r="D13055" s="2" t="s">
        <v>10799</v>
      </c>
      <c r="E13055" s="3">
        <v>0</v>
      </c>
      <c r="F13055" s="2">
        <v>6256</v>
      </c>
      <c r="G13055" s="2">
        <v>100</v>
      </c>
      <c r="H13055" s="2">
        <v>1182</v>
      </c>
      <c r="I13055" s="2">
        <v>56</v>
      </c>
      <c r="J13055" s="2">
        <v>3601</v>
      </c>
      <c r="K13055" s="2">
        <v>1</v>
      </c>
      <c r="L13055" s="2">
        <v>1182</v>
      </c>
    </row>
    <row r="13056" spans="1:12" x14ac:dyDescent="0.25">
      <c r="A13056" s="4" t="str">
        <f>HYPERLINK("http://www.rosaceae.org/Prunus/Prunus_persica/p.persica_gdr_reftransV1_0021028","p.persica_gdr_reftransV1_0021028")</f>
        <v>p.persica_gdr_reftransV1_0021028</v>
      </c>
      <c r="B13056" s="2">
        <v>3763</v>
      </c>
      <c r="C13056" s="4" t="str">
        <f>HYPERLINK("http://www.uniprot.org/uniprot/M5XRJ7","M5XRJ7")</f>
        <v>M5XRJ7</v>
      </c>
      <c r="D13056" s="2" t="s">
        <v>325</v>
      </c>
      <c r="E13056" s="3">
        <v>0</v>
      </c>
      <c r="F13056" s="2">
        <v>2713</v>
      </c>
      <c r="G13056" s="2">
        <v>100</v>
      </c>
      <c r="H13056" s="2">
        <v>563</v>
      </c>
      <c r="I13056" s="2">
        <v>1672</v>
      </c>
      <c r="J13056" s="2">
        <v>3360</v>
      </c>
      <c r="K13056" s="2">
        <v>1</v>
      </c>
      <c r="L13056" s="2">
        <v>563</v>
      </c>
    </row>
    <row r="13057" spans="1:12" x14ac:dyDescent="0.25">
      <c r="A13057" s="4" t="str">
        <f>HYPERLINK("http://www.rosaceae.org/Prunus/Prunus_persica/p.persica_gdr_reftransV1_0021728","p.persica_gdr_reftransV1_0021728")</f>
        <v>p.persica_gdr_reftransV1_0021728</v>
      </c>
      <c r="B13057" s="2">
        <v>3412</v>
      </c>
      <c r="C13057" s="4" t="str">
        <f>HYPERLINK("http://www.uniprot.org/uniprot/M5WES8","M5WES8")</f>
        <v>M5WES8</v>
      </c>
      <c r="D13057" s="2" t="s">
        <v>2750</v>
      </c>
      <c r="E13057" s="3">
        <v>0</v>
      </c>
      <c r="F13057" s="2">
        <v>3026</v>
      </c>
      <c r="G13057" s="2">
        <v>100</v>
      </c>
      <c r="H13057" s="2">
        <v>627</v>
      </c>
      <c r="I13057" s="2">
        <v>979</v>
      </c>
      <c r="J13057" s="2">
        <v>2859</v>
      </c>
      <c r="K13057" s="2">
        <v>20</v>
      </c>
      <c r="L13057" s="2">
        <v>646</v>
      </c>
    </row>
    <row r="13058" spans="1:12" x14ac:dyDescent="0.25">
      <c r="A13058" s="4" t="str">
        <f>HYPERLINK("http://www.rosaceae.org/Prunus/Prunus_persica/p.persica_gdr_reftransV1_0022078","p.persica_gdr_reftransV1_0022078")</f>
        <v>p.persica_gdr_reftransV1_0022078</v>
      </c>
      <c r="B13058" s="2">
        <v>3049</v>
      </c>
      <c r="C13058" s="4" t="str">
        <f>HYPERLINK("http://www.uniprot.org/uniprot/M5W7Y7","M5W7Y7")</f>
        <v>M5W7Y7</v>
      </c>
      <c r="D13058" s="2" t="s">
        <v>10800</v>
      </c>
      <c r="E13058" s="3">
        <v>0</v>
      </c>
      <c r="F13058" s="2">
        <v>2196</v>
      </c>
      <c r="G13058" s="2">
        <v>100</v>
      </c>
      <c r="H13058" s="2">
        <v>461</v>
      </c>
      <c r="I13058" s="2">
        <v>1245</v>
      </c>
      <c r="J13058" s="2">
        <v>2627</v>
      </c>
      <c r="K13058" s="2">
        <v>122</v>
      </c>
      <c r="L13058" s="2">
        <v>582</v>
      </c>
    </row>
    <row r="13059" spans="1:12" x14ac:dyDescent="0.25">
      <c r="A13059" s="4" t="str">
        <f>HYPERLINK("http://www.rosaceae.org/Prunus/Prunus_persica/p.persica_gdr_reftransV1_0023478","p.persica_gdr_reftransV1_0023478")</f>
        <v>p.persica_gdr_reftransV1_0023478</v>
      </c>
      <c r="B13059" s="2">
        <v>1802</v>
      </c>
      <c r="C13059" s="4" t="str">
        <f>HYPERLINK("http://www.uniprot.org/uniprot/M5XYP8","M5XYP8")</f>
        <v>M5XYP8</v>
      </c>
      <c r="D13059" s="2" t="s">
        <v>10801</v>
      </c>
      <c r="E13059" s="3">
        <v>0</v>
      </c>
      <c r="F13059" s="2">
        <v>1888</v>
      </c>
      <c r="G13059" s="2">
        <v>100</v>
      </c>
      <c r="H13059" s="2">
        <v>374</v>
      </c>
      <c r="I13059" s="2">
        <v>483</v>
      </c>
      <c r="J13059" s="2">
        <v>1604</v>
      </c>
      <c r="K13059" s="2">
        <v>1</v>
      </c>
      <c r="L13059" s="2">
        <v>374</v>
      </c>
    </row>
    <row r="13060" spans="1:12" x14ac:dyDescent="0.25">
      <c r="A13060" s="4" t="str">
        <f>HYPERLINK("http://www.rosaceae.org/Prunus/Prunus_persica/p.persica_gdr_reftransV1_0024178","p.persica_gdr_reftransV1_0024178")</f>
        <v>p.persica_gdr_reftransV1_0024178</v>
      </c>
      <c r="B13060" s="2">
        <v>1404</v>
      </c>
      <c r="C13060" s="4" t="str">
        <f>HYPERLINK("http://www.uniprot.org/uniprot/M5W6R0","M5W6R0")</f>
        <v>M5W6R0</v>
      </c>
      <c r="D13060" s="2" t="s">
        <v>10802</v>
      </c>
      <c r="E13060" s="3">
        <v>0</v>
      </c>
      <c r="F13060" s="2">
        <v>1751</v>
      </c>
      <c r="G13060" s="2">
        <v>100</v>
      </c>
      <c r="H13060" s="2">
        <v>329</v>
      </c>
      <c r="I13060" s="2">
        <v>159</v>
      </c>
      <c r="J13060" s="2">
        <v>1145</v>
      </c>
      <c r="K13060" s="2">
        <v>1</v>
      </c>
      <c r="L13060" s="2">
        <v>329</v>
      </c>
    </row>
    <row r="13061" spans="1:12" x14ac:dyDescent="0.25">
      <c r="A13061" s="4" t="str">
        <f>HYPERLINK("http://www.rosaceae.org/Prunus/Prunus_persica/p.persica_gdr_reftransV1_0024878","p.persica_gdr_reftransV1_0024878")</f>
        <v>p.persica_gdr_reftransV1_0024878</v>
      </c>
      <c r="B13061" s="2">
        <v>984</v>
      </c>
      <c r="C13061" s="4" t="str">
        <f>HYPERLINK("http://www.uniprot.org/uniprot/W9R0E8","W9R0E8")</f>
        <v>W9R0E8</v>
      </c>
      <c r="D13061" s="2" t="s">
        <v>10803</v>
      </c>
      <c r="E13061" s="3">
        <v>2.62E-139</v>
      </c>
      <c r="F13061" s="2">
        <v>1151</v>
      </c>
      <c r="G13061" s="2">
        <v>68</v>
      </c>
      <c r="H13061" s="2">
        <v>319</v>
      </c>
      <c r="I13061" s="2">
        <v>28</v>
      </c>
      <c r="J13061" s="2">
        <v>984</v>
      </c>
      <c r="K13061" s="2">
        <v>1</v>
      </c>
      <c r="L13061" s="2">
        <v>319</v>
      </c>
    </row>
    <row r="13062" spans="1:12" x14ac:dyDescent="0.25">
      <c r="A13062" s="4" t="str">
        <f>HYPERLINK("http://www.rosaceae.org/Prunus/Prunus_persica/p.persica_gdr_reftransV1_0025228","p.persica_gdr_reftransV1_0025228")</f>
        <v>p.persica_gdr_reftransV1_0025228</v>
      </c>
      <c r="B13062" s="2">
        <v>3517</v>
      </c>
      <c r="C13062" s="4" t="str">
        <f>HYPERLINK("http://www.uniprot.org/uniprot/M5VPN0","M5VPN0")</f>
        <v>M5VPN0</v>
      </c>
      <c r="D13062" s="2" t="s">
        <v>10804</v>
      </c>
      <c r="E13062" s="3">
        <v>0</v>
      </c>
      <c r="F13062" s="2">
        <v>1978</v>
      </c>
      <c r="G13062" s="2">
        <v>100</v>
      </c>
      <c r="H13062" s="2">
        <v>376</v>
      </c>
      <c r="I13062" s="2">
        <v>820</v>
      </c>
      <c r="J13062" s="2">
        <v>1947</v>
      </c>
      <c r="K13062" s="2">
        <v>89</v>
      </c>
      <c r="L13062" s="2">
        <v>464</v>
      </c>
    </row>
    <row r="13063" spans="1:12" x14ac:dyDescent="0.25">
      <c r="A13063" s="4" t="str">
        <f>HYPERLINK("http://www.rosaceae.org/Prunus/Prunus_persica/p.persica_gdr_reftransV1_0025928","p.persica_gdr_reftransV1_0025928")</f>
        <v>p.persica_gdr_reftransV1_0025928</v>
      </c>
      <c r="B13063" s="2">
        <v>2467</v>
      </c>
      <c r="C13063" s="4" t="str">
        <f>HYPERLINK("http://www.uniprot.org/uniprot/M5W4F8","M5W4F8")</f>
        <v>M5W4F8</v>
      </c>
      <c r="D13063" s="2" t="s">
        <v>10805</v>
      </c>
      <c r="E13063" s="3">
        <v>0</v>
      </c>
      <c r="F13063" s="2">
        <v>2357</v>
      </c>
      <c r="G13063" s="2">
        <v>100</v>
      </c>
      <c r="H13063" s="2">
        <v>511</v>
      </c>
      <c r="I13063" s="2">
        <v>480</v>
      </c>
      <c r="J13063" s="2">
        <v>2012</v>
      </c>
      <c r="K13063" s="2">
        <v>1</v>
      </c>
      <c r="L13063" s="2">
        <v>511</v>
      </c>
    </row>
    <row r="13064" spans="1:12" x14ac:dyDescent="0.25">
      <c r="A13064" s="4" t="str">
        <f>HYPERLINK("http://www.rosaceae.org/Prunus/Prunus_persica/p.persica_gdr_reftransV1_0026278","p.persica_gdr_reftransV1_0026278")</f>
        <v>p.persica_gdr_reftransV1_0026278</v>
      </c>
      <c r="B13064" s="2">
        <v>5138</v>
      </c>
      <c r="C13064" s="4" t="str">
        <f>HYPERLINK("http://www.uniprot.org/uniprot/M5W2B1","M5W2B1")</f>
        <v>M5W2B1</v>
      </c>
      <c r="D13064" s="2" t="s">
        <v>10806</v>
      </c>
      <c r="E13064" s="3">
        <v>0</v>
      </c>
      <c r="F13064" s="2">
        <v>3442</v>
      </c>
      <c r="G13064" s="2">
        <v>98</v>
      </c>
      <c r="H13064" s="2">
        <v>693</v>
      </c>
      <c r="I13064" s="2">
        <v>1586</v>
      </c>
      <c r="J13064" s="2">
        <v>3664</v>
      </c>
      <c r="K13064" s="2">
        <v>1</v>
      </c>
      <c r="L13064" s="2">
        <v>676</v>
      </c>
    </row>
    <row r="13065" spans="1:12" x14ac:dyDescent="0.25">
      <c r="A13065" s="4" t="str">
        <f>HYPERLINK("http://www.rosaceae.org/Prunus/Prunus_persica/p.persica_gdr_reftransV1_0026628","p.persica_gdr_reftransV1_0026628")</f>
        <v>p.persica_gdr_reftransV1_0026628</v>
      </c>
      <c r="B13065" s="2">
        <v>2058</v>
      </c>
      <c r="C13065" s="4" t="str">
        <f>HYPERLINK("http://www.uniprot.org/uniprot/M5XJC5","M5XJC5")</f>
        <v>M5XJC5</v>
      </c>
      <c r="D13065" s="2" t="s">
        <v>10807</v>
      </c>
      <c r="E13065" s="3">
        <v>0</v>
      </c>
      <c r="F13065" s="2">
        <v>2193</v>
      </c>
      <c r="G13065" s="2">
        <v>100</v>
      </c>
      <c r="H13065" s="2">
        <v>435</v>
      </c>
      <c r="I13065" s="2">
        <v>509</v>
      </c>
      <c r="J13065" s="2">
        <v>1813</v>
      </c>
      <c r="K13065" s="2">
        <v>1</v>
      </c>
      <c r="L13065" s="2">
        <v>435</v>
      </c>
    </row>
    <row r="13066" spans="1:12" x14ac:dyDescent="0.25">
      <c r="A13066" s="4" t="str">
        <f>HYPERLINK("http://www.rosaceae.org/Prunus/Prunus_persica/p.persica_gdr_reftransV1_0027328","p.persica_gdr_reftransV1_0027328")</f>
        <v>p.persica_gdr_reftransV1_0027328</v>
      </c>
      <c r="B13066" s="2">
        <v>780</v>
      </c>
      <c r="C13066" s="4" t="str">
        <f>HYPERLINK("http://www.uniprot.org/uniprot/M5XH05","M5XH05")</f>
        <v>M5XH05</v>
      </c>
      <c r="D13066" s="2" t="s">
        <v>10808</v>
      </c>
      <c r="E13066" s="3">
        <v>8.2699999999999998E-81</v>
      </c>
      <c r="F13066" s="2">
        <v>640</v>
      </c>
      <c r="G13066" s="2">
        <v>100</v>
      </c>
      <c r="H13066" s="2">
        <v>121</v>
      </c>
      <c r="I13066" s="2">
        <v>247</v>
      </c>
      <c r="J13066" s="2">
        <v>609</v>
      </c>
      <c r="K13066" s="2">
        <v>1</v>
      </c>
      <c r="L13066" s="2">
        <v>121</v>
      </c>
    </row>
    <row r="13067" spans="1:12" x14ac:dyDescent="0.25">
      <c r="A13067" s="4" t="str">
        <f>HYPERLINK("http://www.rosaceae.org/Prunus/Prunus_persica/p.persica_gdr_reftransV1_0028028","p.persica_gdr_reftransV1_0028028")</f>
        <v>p.persica_gdr_reftransV1_0028028</v>
      </c>
      <c r="B13067" s="2">
        <v>1792</v>
      </c>
      <c r="C13067" s="4" t="str">
        <f>HYPERLINK("http://www.uniprot.org/uniprot/M5WPF4","M5WPF4")</f>
        <v>M5WPF4</v>
      </c>
      <c r="D13067" s="2" t="s">
        <v>946</v>
      </c>
      <c r="E13067" s="3">
        <v>7.6699999999999998E-90</v>
      </c>
      <c r="F13067" s="2">
        <v>764</v>
      </c>
      <c r="G13067" s="2">
        <v>98</v>
      </c>
      <c r="H13067" s="2">
        <v>195</v>
      </c>
      <c r="I13067" s="2">
        <v>523</v>
      </c>
      <c r="J13067" s="2">
        <v>1107</v>
      </c>
      <c r="K13067" s="2">
        <v>308</v>
      </c>
      <c r="L13067" s="2">
        <v>502</v>
      </c>
    </row>
    <row r="13068" spans="1:12" x14ac:dyDescent="0.25">
      <c r="A13068" s="4" t="str">
        <f>HYPERLINK("http://www.rosaceae.org/Prunus/Prunus_persica/p.persica_gdr_reftransV1_0031528","p.persica_gdr_reftransV1_0031528")</f>
        <v>p.persica_gdr_reftransV1_0031528</v>
      </c>
      <c r="B13068" s="2">
        <v>523</v>
      </c>
      <c r="C13068" s="4" t="str">
        <f>HYPERLINK("http://www.uniprot.org/uniprot/M5WZX8","M5WZX8")</f>
        <v>M5WZX8</v>
      </c>
      <c r="D13068" s="2" t="s">
        <v>9229</v>
      </c>
      <c r="E13068" s="3">
        <v>1.34E-51</v>
      </c>
      <c r="F13068" s="2">
        <v>470</v>
      </c>
      <c r="G13068" s="2">
        <v>100</v>
      </c>
      <c r="H13068" s="2">
        <v>103</v>
      </c>
      <c r="I13068" s="2">
        <v>213</v>
      </c>
      <c r="J13068" s="2">
        <v>521</v>
      </c>
      <c r="K13068" s="2">
        <v>1</v>
      </c>
      <c r="L13068" s="2">
        <v>103</v>
      </c>
    </row>
    <row r="13069" spans="1:12" x14ac:dyDescent="0.25">
      <c r="A13069" s="4" t="str">
        <f>HYPERLINK("http://www.rosaceae.org/Prunus/Prunus_persica/p.persica_gdr_reftransV1_0033628","p.persica_gdr_reftransV1_0033628")</f>
        <v>p.persica_gdr_reftransV1_0033628</v>
      </c>
      <c r="B13069" s="2">
        <v>2151</v>
      </c>
      <c r="C13069" s="4" t="str">
        <f>HYPERLINK("http://www.uniprot.org/uniprot/M5WG16","M5WG16")</f>
        <v>M5WG16</v>
      </c>
      <c r="D13069" s="2" t="s">
        <v>10809</v>
      </c>
      <c r="E13069" s="3">
        <v>4.3800000000000002E-167</v>
      </c>
      <c r="F13069" s="2">
        <v>1279</v>
      </c>
      <c r="G13069" s="2">
        <v>100</v>
      </c>
      <c r="H13069" s="2">
        <v>253</v>
      </c>
      <c r="I13069" s="2">
        <v>1141</v>
      </c>
      <c r="J13069" s="2">
        <v>1899</v>
      </c>
      <c r="K13069" s="2">
        <v>117</v>
      </c>
      <c r="L13069" s="2">
        <v>369</v>
      </c>
    </row>
    <row r="13070" spans="1:12" x14ac:dyDescent="0.25">
      <c r="A13070" s="4" t="str">
        <f>HYPERLINK("http://www.rosaceae.org/Prunus/Prunus_persica/p.persica_gdr_reftransV1_0035028","p.persica_gdr_reftransV1_0035028")</f>
        <v>p.persica_gdr_reftransV1_0035028</v>
      </c>
      <c r="B13070" s="2">
        <v>1909</v>
      </c>
      <c r="C13070" s="4" t="str">
        <f>HYPERLINK("http://www.uniprot.org/uniprot/M5WTS1","M5WTS1")</f>
        <v>M5WTS1</v>
      </c>
      <c r="D13070" s="2" t="s">
        <v>10810</v>
      </c>
      <c r="E13070" s="3">
        <v>0</v>
      </c>
      <c r="F13070" s="2">
        <v>2214</v>
      </c>
      <c r="G13070" s="2">
        <v>100</v>
      </c>
      <c r="H13070" s="2">
        <v>427</v>
      </c>
      <c r="I13070" s="2">
        <v>365</v>
      </c>
      <c r="J13070" s="2">
        <v>1645</v>
      </c>
      <c r="K13070" s="2">
        <v>1</v>
      </c>
      <c r="L13070" s="2">
        <v>427</v>
      </c>
    </row>
    <row r="13071" spans="1:12" x14ac:dyDescent="0.25">
      <c r="A13071" s="4" t="str">
        <f>HYPERLINK("http://www.rosaceae.org/Prunus/Prunus_persica/p.persica_gdr_reftransV1_0035378","p.persica_gdr_reftransV1_0035378")</f>
        <v>p.persica_gdr_reftransV1_0035378</v>
      </c>
      <c r="B13071" s="2">
        <v>2576</v>
      </c>
      <c r="C13071" s="4" t="str">
        <f>HYPERLINK("http://www.uniprot.org/uniprot/M5XG16","M5XG16")</f>
        <v>M5XG16</v>
      </c>
      <c r="D13071" s="2" t="s">
        <v>10811</v>
      </c>
      <c r="E13071" s="3">
        <v>2.1699999999999999E-70</v>
      </c>
      <c r="F13071" s="2">
        <v>621</v>
      </c>
      <c r="G13071" s="2">
        <v>100</v>
      </c>
      <c r="H13071" s="2">
        <v>117</v>
      </c>
      <c r="I13071" s="2">
        <v>167</v>
      </c>
      <c r="J13071" s="2">
        <v>517</v>
      </c>
      <c r="K13071" s="2">
        <v>1</v>
      </c>
      <c r="L13071" s="2">
        <v>117</v>
      </c>
    </row>
    <row r="13072" spans="1:12" x14ac:dyDescent="0.25">
      <c r="A13072" s="4" t="str">
        <f>HYPERLINK("http://www.rosaceae.org/Prunus/Prunus_persica/p.persica_gdr_reftransV1_0038878","p.persica_gdr_reftransV1_0038878")</f>
        <v>p.persica_gdr_reftransV1_0038878</v>
      </c>
      <c r="B13072" s="2">
        <v>1211</v>
      </c>
      <c r="C13072" s="4" t="str">
        <f>HYPERLINK("http://www.uniprot.org/uniprot/M5WL82","M5WL82")</f>
        <v>M5WL82</v>
      </c>
      <c r="D13072" s="2" t="s">
        <v>10812</v>
      </c>
      <c r="E13072" s="3">
        <v>0</v>
      </c>
      <c r="F13072" s="2">
        <v>1445</v>
      </c>
      <c r="G13072" s="2">
        <v>100</v>
      </c>
      <c r="H13072" s="2">
        <v>308</v>
      </c>
      <c r="I13072" s="2">
        <v>1</v>
      </c>
      <c r="J13072" s="2">
        <v>924</v>
      </c>
      <c r="K13072" s="2">
        <v>35</v>
      </c>
      <c r="L13072" s="2">
        <v>342</v>
      </c>
    </row>
    <row r="13073" spans="1:12" x14ac:dyDescent="0.25">
      <c r="A13073" s="4" t="str">
        <f>HYPERLINK("http://www.rosaceae.org/Prunus/Prunus_persica/p.persica_gdr_reftransV1_0039578","p.persica_gdr_reftransV1_0039578")</f>
        <v>p.persica_gdr_reftransV1_0039578</v>
      </c>
      <c r="B13073" s="2">
        <v>2666</v>
      </c>
      <c r="C13073" s="4" t="str">
        <f>HYPERLINK("http://www.uniprot.org/uniprot/M5WM13","M5WM13")</f>
        <v>M5WM13</v>
      </c>
      <c r="D13073" s="2" t="s">
        <v>10813</v>
      </c>
      <c r="E13073" s="3">
        <v>8.2499999999999997E-148</v>
      </c>
      <c r="F13073" s="2">
        <v>1152</v>
      </c>
      <c r="G13073" s="2">
        <v>100</v>
      </c>
      <c r="H13073" s="2">
        <v>232</v>
      </c>
      <c r="I13073" s="2">
        <v>1642</v>
      </c>
      <c r="J13073" s="2">
        <v>2337</v>
      </c>
      <c r="K13073" s="2">
        <v>1</v>
      </c>
      <c r="L13073" s="2">
        <v>232</v>
      </c>
    </row>
    <row r="13074" spans="1:12" x14ac:dyDescent="0.25">
      <c r="A13074" s="4" t="str">
        <f>HYPERLINK("http://www.rosaceae.org/Prunus/Prunus_persica/p.persica_gdr_reftransV1_0039928","p.persica_gdr_reftransV1_0039928")</f>
        <v>p.persica_gdr_reftransV1_0039928</v>
      </c>
      <c r="B13074" s="2">
        <v>3088</v>
      </c>
      <c r="C13074" s="4" t="str">
        <f>HYPERLINK("http://www.uniprot.org/uniprot/M5WV21","M5WV21")</f>
        <v>M5WV21</v>
      </c>
      <c r="D13074" s="2" t="s">
        <v>10814</v>
      </c>
      <c r="E13074" s="3">
        <v>0</v>
      </c>
      <c r="F13074" s="2">
        <v>2348</v>
      </c>
      <c r="G13074" s="2">
        <v>100</v>
      </c>
      <c r="H13074" s="2">
        <v>491</v>
      </c>
      <c r="I13074" s="2">
        <v>1347</v>
      </c>
      <c r="J13074" s="2">
        <v>2819</v>
      </c>
      <c r="K13074" s="2">
        <v>1</v>
      </c>
      <c r="L13074" s="2">
        <v>491</v>
      </c>
    </row>
    <row r="13075" spans="1:12" x14ac:dyDescent="0.25">
      <c r="A13075" s="4" t="str">
        <f>HYPERLINK("http://www.rosaceae.org/Prunus/Prunus_persica/p.persica_gdr_reftransV1_0040628","p.persica_gdr_reftransV1_0040628")</f>
        <v>p.persica_gdr_reftransV1_0040628</v>
      </c>
      <c r="B13075" s="2">
        <v>1185</v>
      </c>
      <c r="C13075" s="4" t="str">
        <f>HYPERLINK("http://www.uniprot.org/uniprot/M5WEF3","M5WEF3")</f>
        <v>M5WEF3</v>
      </c>
      <c r="D13075" s="2" t="s">
        <v>10815</v>
      </c>
      <c r="E13075" s="3">
        <v>3.49E-58</v>
      </c>
      <c r="F13075" s="2">
        <v>499</v>
      </c>
      <c r="G13075" s="2">
        <v>100</v>
      </c>
      <c r="H13075" s="2">
        <v>114</v>
      </c>
      <c r="I13075" s="2">
        <v>414</v>
      </c>
      <c r="J13075" s="2">
        <v>755</v>
      </c>
      <c r="K13075" s="2">
        <v>1</v>
      </c>
      <c r="L13075" s="2">
        <v>114</v>
      </c>
    </row>
    <row r="13076" spans="1:12" x14ac:dyDescent="0.25">
      <c r="A13076" s="4" t="str">
        <f>HYPERLINK("http://www.rosaceae.org/Prunus/Prunus_persica/p.persica_gdr_reftransV1_0040978","p.persica_gdr_reftransV1_0040978")</f>
        <v>p.persica_gdr_reftransV1_0040978</v>
      </c>
      <c r="B13076" s="2">
        <v>322</v>
      </c>
      <c r="C13076" s="4" t="str">
        <f>HYPERLINK("http://www.uniprot.org/uniprot/M5WUQ9","M5WUQ9")</f>
        <v>M5WUQ9</v>
      </c>
      <c r="D13076" s="2" t="s">
        <v>10816</v>
      </c>
      <c r="E13076" s="3">
        <v>8.9599999999999998E-51</v>
      </c>
      <c r="F13076" s="2">
        <v>435</v>
      </c>
      <c r="G13076" s="2">
        <v>100</v>
      </c>
      <c r="H13076" s="2">
        <v>85</v>
      </c>
      <c r="I13076" s="2">
        <v>2</v>
      </c>
      <c r="J13076" s="2">
        <v>256</v>
      </c>
      <c r="K13076" s="2">
        <v>1</v>
      </c>
      <c r="L13076" s="2">
        <v>85</v>
      </c>
    </row>
    <row r="13077" spans="1:12" x14ac:dyDescent="0.25">
      <c r="A13077" s="4" t="str">
        <f>HYPERLINK("http://www.rosaceae.org/Prunus/Prunus_persica/p.persica_gdr_reftransV1_0043078","p.persica_gdr_reftransV1_0043078")</f>
        <v>p.persica_gdr_reftransV1_0043078</v>
      </c>
      <c r="B13077" s="2">
        <v>578</v>
      </c>
      <c r="C13077" s="4" t="str">
        <f>HYPERLINK("http://www.uniprot.org/uniprot/M5VNG8","M5VNG8")</f>
        <v>M5VNG8</v>
      </c>
      <c r="D13077" s="2" t="s">
        <v>10817</v>
      </c>
      <c r="E13077" s="3">
        <v>9.7E-57</v>
      </c>
      <c r="F13077" s="2">
        <v>483</v>
      </c>
      <c r="G13077" s="2">
        <v>100</v>
      </c>
      <c r="H13077" s="2">
        <v>157</v>
      </c>
      <c r="I13077" s="2">
        <v>106</v>
      </c>
      <c r="J13077" s="2">
        <v>576</v>
      </c>
      <c r="K13077" s="2">
        <v>90</v>
      </c>
      <c r="L13077" s="2">
        <v>246</v>
      </c>
    </row>
    <row r="13078" spans="1:12" x14ac:dyDescent="0.25">
      <c r="A13078" s="4" t="str">
        <f>HYPERLINK("http://www.rosaceae.org/Prunus/Prunus_persica/p.persica_gdr_reftransV1_0043428","p.persica_gdr_reftransV1_0043428")</f>
        <v>p.persica_gdr_reftransV1_0043428</v>
      </c>
      <c r="B13078" s="2">
        <v>1288</v>
      </c>
      <c r="C13078" s="4" t="str">
        <f>HYPERLINK("http://www.uniprot.org/uniprot/M5XIJ9","M5XIJ9")</f>
        <v>M5XIJ9</v>
      </c>
      <c r="D13078" s="2" t="s">
        <v>10818</v>
      </c>
      <c r="E13078" s="3">
        <v>0</v>
      </c>
      <c r="F13078" s="2">
        <v>1650</v>
      </c>
      <c r="G13078" s="2">
        <v>100</v>
      </c>
      <c r="H13078" s="2">
        <v>308</v>
      </c>
      <c r="I13078" s="2">
        <v>10</v>
      </c>
      <c r="J13078" s="2">
        <v>933</v>
      </c>
      <c r="K13078" s="2">
        <v>1</v>
      </c>
      <c r="L13078" s="2">
        <v>308</v>
      </c>
    </row>
    <row r="13079" spans="1:12" x14ac:dyDescent="0.25">
      <c r="A13079" s="4" t="str">
        <f>HYPERLINK("http://www.rosaceae.org/Prunus/Prunus_persica/p.persica_gdr_reftransV1_0043778","p.persica_gdr_reftransV1_0043778")</f>
        <v>p.persica_gdr_reftransV1_0043778</v>
      </c>
      <c r="B13079" s="2">
        <v>549</v>
      </c>
      <c r="C13079" s="4" t="str">
        <f>HYPERLINK("http://www.uniprot.org/uniprot/M5X7H3","M5X7H3")</f>
        <v>M5X7H3</v>
      </c>
      <c r="D13079" s="2" t="s">
        <v>4673</v>
      </c>
      <c r="E13079" s="3">
        <v>2.9900000000000001E-121</v>
      </c>
      <c r="F13079" s="2">
        <v>952</v>
      </c>
      <c r="G13079" s="2">
        <v>99</v>
      </c>
      <c r="H13079" s="2">
        <v>182</v>
      </c>
      <c r="I13079" s="2">
        <v>2</v>
      </c>
      <c r="J13079" s="2">
        <v>547</v>
      </c>
      <c r="K13079" s="2">
        <v>315</v>
      </c>
      <c r="L13079" s="2">
        <v>496</v>
      </c>
    </row>
    <row r="13080" spans="1:12" x14ac:dyDescent="0.25">
      <c r="A13080" s="4" t="str">
        <f>HYPERLINK("http://www.rosaceae.org/Prunus/Prunus_persica/p.persica_gdr_reftransV1_0044128","p.persica_gdr_reftransV1_0044128")</f>
        <v>p.persica_gdr_reftransV1_0044128</v>
      </c>
      <c r="B13080" s="2">
        <v>1027</v>
      </c>
      <c r="C13080" s="4" t="str">
        <f>HYPERLINK("http://www.uniprot.org/uniprot/M5X2P6","M5X2P6")</f>
        <v>M5X2P6</v>
      </c>
      <c r="D13080" s="2" t="s">
        <v>29</v>
      </c>
      <c r="E13080" s="3">
        <v>1.4099999999999999E-104</v>
      </c>
      <c r="F13080" s="2">
        <v>810</v>
      </c>
      <c r="G13080" s="2">
        <v>100</v>
      </c>
      <c r="H13080" s="2">
        <v>152</v>
      </c>
      <c r="I13080" s="2">
        <v>353</v>
      </c>
      <c r="J13080" s="2">
        <v>808</v>
      </c>
      <c r="K13080" s="2">
        <v>28</v>
      </c>
      <c r="L13080" s="2">
        <v>179</v>
      </c>
    </row>
    <row r="13081" spans="1:12" x14ac:dyDescent="0.25">
      <c r="A13081" s="4" t="str">
        <f>HYPERLINK("http://www.rosaceae.org/Prunus/Prunus_persica/p.persica_gdr_reftransV1_0044478","p.persica_gdr_reftransV1_0044478")</f>
        <v>p.persica_gdr_reftransV1_0044478</v>
      </c>
      <c r="B13081" s="2">
        <v>960</v>
      </c>
      <c r="C13081" s="4" t="str">
        <f>HYPERLINK("http://www.uniprot.org/uniprot/M5WVK1","M5WVK1")</f>
        <v>M5WVK1</v>
      </c>
      <c r="D13081" s="2" t="s">
        <v>10819</v>
      </c>
      <c r="E13081" s="3">
        <v>1.9999999999999999E-124</v>
      </c>
      <c r="F13081" s="2">
        <v>938</v>
      </c>
      <c r="G13081" s="2">
        <v>100</v>
      </c>
      <c r="H13081" s="2">
        <v>172</v>
      </c>
      <c r="I13081" s="2">
        <v>424</v>
      </c>
      <c r="J13081" s="2">
        <v>939</v>
      </c>
      <c r="K13081" s="2">
        <v>1</v>
      </c>
      <c r="L13081" s="2">
        <v>172</v>
      </c>
    </row>
    <row r="13082" spans="1:12" x14ac:dyDescent="0.25">
      <c r="A13082" s="4" t="str">
        <f>HYPERLINK("http://www.rosaceae.org/Prunus/Prunus_persica/p.persica_gdr_reftransV1_0044828","p.persica_gdr_reftransV1_0044828")</f>
        <v>p.persica_gdr_reftransV1_0044828</v>
      </c>
      <c r="B13082" s="2">
        <v>2232</v>
      </c>
      <c r="C13082" s="4" t="str">
        <f>HYPERLINK("http://www.uniprot.org/uniprot/M5WR00","M5WR00")</f>
        <v>M5WR00</v>
      </c>
      <c r="D13082" s="2" t="s">
        <v>6542</v>
      </c>
      <c r="E13082" s="3">
        <v>0</v>
      </c>
      <c r="F13082" s="2">
        <v>3111</v>
      </c>
      <c r="G13082" s="2">
        <v>100</v>
      </c>
      <c r="H13082" s="2">
        <v>587</v>
      </c>
      <c r="I13082" s="2">
        <v>219</v>
      </c>
      <c r="J13082" s="2">
        <v>1979</v>
      </c>
      <c r="K13082" s="2">
        <v>1</v>
      </c>
      <c r="L13082" s="2">
        <v>587</v>
      </c>
    </row>
    <row r="13083" spans="1:12" x14ac:dyDescent="0.25">
      <c r="A13083" s="4" t="str">
        <f>HYPERLINK("http://www.rosaceae.org/Prunus/Prunus_persica/p.persica_gdr_reftransV1_0045178","p.persica_gdr_reftransV1_0045178")</f>
        <v>p.persica_gdr_reftransV1_0045178</v>
      </c>
      <c r="B13083" s="2">
        <v>2067</v>
      </c>
      <c r="C13083" s="4" t="str">
        <f>HYPERLINK("http://www.uniprot.org/uniprot/M5XDA2","M5XDA2")</f>
        <v>M5XDA2</v>
      </c>
      <c r="D13083" s="2" t="s">
        <v>10820</v>
      </c>
      <c r="E13083" s="3">
        <v>0</v>
      </c>
      <c r="F13083" s="2">
        <v>2510</v>
      </c>
      <c r="G13083" s="2">
        <v>94</v>
      </c>
      <c r="H13083" s="2">
        <v>563</v>
      </c>
      <c r="I13083" s="2">
        <v>117</v>
      </c>
      <c r="J13083" s="2">
        <v>1805</v>
      </c>
      <c r="K13083" s="2">
        <v>1</v>
      </c>
      <c r="L13083" s="2">
        <v>563</v>
      </c>
    </row>
    <row r="13084" spans="1:12" x14ac:dyDescent="0.25">
      <c r="A13084" s="4" t="str">
        <f>HYPERLINK("http://www.rosaceae.org/Prunus/Prunus_persica/p.persica_gdr_reftransV1_0045528","p.persica_gdr_reftransV1_0045528")</f>
        <v>p.persica_gdr_reftransV1_0045528</v>
      </c>
      <c r="B13084" s="2">
        <v>1448</v>
      </c>
      <c r="C13084" s="4" t="str">
        <f>HYPERLINK("http://www.uniprot.org/uniprot/I1NEK0","I1NEK0")</f>
        <v>I1NEK0</v>
      </c>
      <c r="D13084" s="2" t="s">
        <v>5855</v>
      </c>
      <c r="E13084" s="3">
        <v>0</v>
      </c>
      <c r="F13084" s="2">
        <v>1145</v>
      </c>
      <c r="G13084" s="2">
        <v>78</v>
      </c>
      <c r="H13084" s="2">
        <v>265</v>
      </c>
      <c r="I13084" s="2">
        <v>617</v>
      </c>
      <c r="J13084" s="2">
        <v>1408</v>
      </c>
      <c r="K13084" s="2">
        <v>205</v>
      </c>
      <c r="L13084" s="2">
        <v>452</v>
      </c>
    </row>
    <row r="13085" spans="1:12" x14ac:dyDescent="0.25">
      <c r="A13085" s="4" t="str">
        <f>HYPERLINK("http://www.rosaceae.org/Prunus/Prunus_persica/p.persica_gdr_reftransV1_0045878","p.persica_gdr_reftransV1_0045878")</f>
        <v>p.persica_gdr_reftransV1_0045878</v>
      </c>
      <c r="B13085" s="2">
        <v>1141</v>
      </c>
      <c r="C13085" s="4" t="str">
        <f>HYPERLINK("http://www.uniprot.org/uniprot/M5VV11","M5VV11")</f>
        <v>M5VV11</v>
      </c>
      <c r="D13085" s="2" t="s">
        <v>10821</v>
      </c>
      <c r="E13085" s="3">
        <v>2.1399999999999998E-168</v>
      </c>
      <c r="F13085" s="2">
        <v>1250</v>
      </c>
      <c r="G13085" s="2">
        <v>100</v>
      </c>
      <c r="H13085" s="2">
        <v>320</v>
      </c>
      <c r="I13085" s="2">
        <v>59</v>
      </c>
      <c r="J13085" s="2">
        <v>1018</v>
      </c>
      <c r="K13085" s="2">
        <v>1</v>
      </c>
      <c r="L13085" s="2">
        <v>320</v>
      </c>
    </row>
    <row r="13086" spans="1:12" x14ac:dyDescent="0.25">
      <c r="A13086" s="4" t="str">
        <f>HYPERLINK("http://www.rosaceae.org/Prunus/Prunus_persica/p.persica_gdr_reftransV1_0046928","p.persica_gdr_reftransV1_0046928")</f>
        <v>p.persica_gdr_reftransV1_0046928</v>
      </c>
      <c r="B13086" s="2">
        <v>1905</v>
      </c>
      <c r="C13086" s="4" t="str">
        <f>HYPERLINK("http://www.uniprot.org/uniprot/M5XCY9","M5XCY9")</f>
        <v>M5XCY9</v>
      </c>
      <c r="D13086" s="2" t="s">
        <v>4679</v>
      </c>
      <c r="E13086" s="3">
        <v>0</v>
      </c>
      <c r="F13086" s="2">
        <v>2331</v>
      </c>
      <c r="G13086" s="2">
        <v>100</v>
      </c>
      <c r="H13086" s="2">
        <v>499</v>
      </c>
      <c r="I13086" s="2">
        <v>233</v>
      </c>
      <c r="J13086" s="2">
        <v>1729</v>
      </c>
      <c r="K13086" s="2">
        <v>1</v>
      </c>
      <c r="L13086" s="2">
        <v>499</v>
      </c>
    </row>
    <row r="13087" spans="1:12" x14ac:dyDescent="0.25">
      <c r="A13087" s="4" t="str">
        <f>HYPERLINK("http://www.rosaceae.org/Prunus/Prunus_persica/p.persica_gdr_reftransV1_0047628","p.persica_gdr_reftransV1_0047628")</f>
        <v>p.persica_gdr_reftransV1_0047628</v>
      </c>
      <c r="B13087" s="2">
        <v>430</v>
      </c>
      <c r="C13087" s="4" t="str">
        <f>HYPERLINK("http://www.uniprot.org/uniprot/F6H8A1","F6H8A1")</f>
        <v>F6H8A1</v>
      </c>
      <c r="D13087" s="2" t="s">
        <v>58</v>
      </c>
      <c r="E13087" s="3">
        <v>7.0799999999999999E-68</v>
      </c>
      <c r="F13087" s="2">
        <v>584</v>
      </c>
      <c r="G13087" s="2">
        <v>77</v>
      </c>
      <c r="H13087" s="2">
        <v>140</v>
      </c>
      <c r="I13087" s="2">
        <v>4</v>
      </c>
      <c r="J13087" s="2">
        <v>423</v>
      </c>
      <c r="K13087" s="2">
        <v>399</v>
      </c>
      <c r="L13087" s="2">
        <v>538</v>
      </c>
    </row>
    <row r="13088" spans="1:12" x14ac:dyDescent="0.25">
      <c r="A13088" s="4" t="str">
        <f>HYPERLINK("http://www.rosaceae.org/Prunus/Prunus_persica/p.persica_gdr_reftransV1_0047978","p.persica_gdr_reftransV1_0047978")</f>
        <v>p.persica_gdr_reftransV1_0047978</v>
      </c>
      <c r="B13088" s="2">
        <v>1837</v>
      </c>
      <c r="C13088" s="4" t="str">
        <f>HYPERLINK("http://www.uniprot.org/uniprot/G9CM55","G9CM55")</f>
        <v>G9CM55</v>
      </c>
      <c r="D13088" s="2" t="s">
        <v>10822</v>
      </c>
      <c r="E13088" s="3">
        <v>0</v>
      </c>
      <c r="F13088" s="2">
        <v>1403</v>
      </c>
      <c r="G13088" s="2">
        <v>100</v>
      </c>
      <c r="H13088" s="2">
        <v>301</v>
      </c>
      <c r="I13088" s="2">
        <v>384</v>
      </c>
      <c r="J13088" s="2">
        <v>1286</v>
      </c>
      <c r="K13088" s="2">
        <v>18</v>
      </c>
      <c r="L13088" s="2">
        <v>318</v>
      </c>
    </row>
    <row r="13089" spans="1:12" x14ac:dyDescent="0.25">
      <c r="A13089" s="4" t="str">
        <f>HYPERLINK("http://www.rosaceae.org/Prunus/Prunus_persica/p.persica_gdr_reftransV1_0048328","p.persica_gdr_reftransV1_0048328")</f>
        <v>p.persica_gdr_reftransV1_0048328</v>
      </c>
      <c r="B13089" s="2">
        <v>1519</v>
      </c>
      <c r="C13089" s="4" t="str">
        <f>HYPERLINK("http://www.uniprot.org/uniprot/M5W0C8","M5W0C8")</f>
        <v>M5W0C8</v>
      </c>
      <c r="D13089" s="2" t="s">
        <v>10823</v>
      </c>
      <c r="E13089" s="3">
        <v>0</v>
      </c>
      <c r="F13089" s="2">
        <v>1638</v>
      </c>
      <c r="G13089" s="2">
        <v>100</v>
      </c>
      <c r="H13089" s="2">
        <v>306</v>
      </c>
      <c r="I13089" s="2">
        <v>269</v>
      </c>
      <c r="J13089" s="2">
        <v>1186</v>
      </c>
      <c r="K13089" s="2">
        <v>1</v>
      </c>
      <c r="L13089" s="2">
        <v>306</v>
      </c>
    </row>
    <row r="13090" spans="1:12" x14ac:dyDescent="0.25">
      <c r="A13090" s="4" t="str">
        <f>HYPERLINK("http://www.rosaceae.org/Prunus/Prunus_persica/p.persica_gdr_reftransV1_0048678","p.persica_gdr_reftransV1_0048678")</f>
        <v>p.persica_gdr_reftransV1_0048678</v>
      </c>
      <c r="B13090" s="2">
        <v>1248</v>
      </c>
      <c r="C13090" s="4" t="str">
        <f>HYPERLINK("http://www.uniprot.org/uniprot/M5WY15","M5WY15")</f>
        <v>M5WY15</v>
      </c>
      <c r="D13090" s="2" t="s">
        <v>3139</v>
      </c>
      <c r="E13090" s="3">
        <v>3.0099999999999998E-81</v>
      </c>
      <c r="F13090" s="2">
        <v>688</v>
      </c>
      <c r="G13090" s="2">
        <v>100</v>
      </c>
      <c r="H13090" s="2">
        <v>162</v>
      </c>
      <c r="I13090" s="2">
        <v>762</v>
      </c>
      <c r="J13090" s="2">
        <v>1247</v>
      </c>
      <c r="K13090" s="2">
        <v>1</v>
      </c>
      <c r="L13090" s="2">
        <v>162</v>
      </c>
    </row>
    <row r="13091" spans="1:12" x14ac:dyDescent="0.25">
      <c r="A13091" s="4" t="str">
        <f>HYPERLINK("http://www.rosaceae.org/Prunus/Prunus_persica/p.persica_gdr_reftransV1_0000281","p.persica_gdr_reftransV1_0000281")</f>
        <v>p.persica_gdr_reftransV1_0000281</v>
      </c>
      <c r="B13091" s="2">
        <v>1962</v>
      </c>
      <c r="C13091" s="4" t="str">
        <f>HYPERLINK("http://www.uniprot.org/uniprot/M5VXV2","M5VXV2")</f>
        <v>M5VXV2</v>
      </c>
      <c r="D13091" s="2" t="s">
        <v>10824</v>
      </c>
      <c r="E13091" s="3">
        <v>0</v>
      </c>
      <c r="F13091" s="2">
        <v>2720</v>
      </c>
      <c r="G13091" s="2">
        <v>100</v>
      </c>
      <c r="H13091" s="2">
        <v>510</v>
      </c>
      <c r="I13091" s="2">
        <v>272</v>
      </c>
      <c r="J13091" s="2">
        <v>1801</v>
      </c>
      <c r="K13091" s="2">
        <v>1</v>
      </c>
      <c r="L13091" s="2">
        <v>510</v>
      </c>
    </row>
    <row r="13092" spans="1:12" x14ac:dyDescent="0.25">
      <c r="A13092" s="4" t="str">
        <f>HYPERLINK("http://www.rosaceae.org/Prunus/Prunus_persica/p.persica_gdr_reftransV1_0000631","p.persica_gdr_reftransV1_0000631")</f>
        <v>p.persica_gdr_reftransV1_0000631</v>
      </c>
      <c r="B13092" s="2">
        <v>1342</v>
      </c>
      <c r="C13092" s="4" t="str">
        <f>HYPERLINK("http://www.uniprot.org/uniprot/M5WMX4","M5WMX4")</f>
        <v>M5WMX4</v>
      </c>
      <c r="D13092" s="2" t="s">
        <v>10825</v>
      </c>
      <c r="E13092" s="3">
        <v>0</v>
      </c>
      <c r="F13092" s="2">
        <v>1482</v>
      </c>
      <c r="G13092" s="2">
        <v>100</v>
      </c>
      <c r="H13092" s="2">
        <v>286</v>
      </c>
      <c r="I13092" s="2">
        <v>256</v>
      </c>
      <c r="J13092" s="2">
        <v>1113</v>
      </c>
      <c r="K13092" s="2">
        <v>1</v>
      </c>
      <c r="L13092" s="2">
        <v>286</v>
      </c>
    </row>
    <row r="13093" spans="1:12" x14ac:dyDescent="0.25">
      <c r="A13093" s="4" t="str">
        <f>HYPERLINK("http://www.rosaceae.org/Prunus/Prunus_persica/p.persica_gdr_reftransV1_0000981","p.persica_gdr_reftransV1_0000981")</f>
        <v>p.persica_gdr_reftransV1_0000981</v>
      </c>
      <c r="B13093" s="2">
        <v>387</v>
      </c>
      <c r="C13093" s="4" t="str">
        <f>HYPERLINK("http://www.uniprot.org/uniprot/M5XJ88","M5XJ88")</f>
        <v>M5XJ88</v>
      </c>
      <c r="D13093" s="2" t="s">
        <v>1338</v>
      </c>
      <c r="E13093" s="3">
        <v>2.7600000000000001E-80</v>
      </c>
      <c r="F13093" s="2">
        <v>679</v>
      </c>
      <c r="G13093" s="2">
        <v>100</v>
      </c>
      <c r="H13093" s="2">
        <v>128</v>
      </c>
      <c r="I13093" s="2">
        <v>2</v>
      </c>
      <c r="J13093" s="2">
        <v>385</v>
      </c>
      <c r="K13093" s="2">
        <v>49</v>
      </c>
      <c r="L13093" s="2">
        <v>176</v>
      </c>
    </row>
    <row r="13094" spans="1:12" x14ac:dyDescent="0.25">
      <c r="A13094" s="4" t="str">
        <f>HYPERLINK("http://www.rosaceae.org/Prunus/Prunus_persica/p.persica_gdr_reftransV1_0001331","p.persica_gdr_reftransV1_0001331")</f>
        <v>p.persica_gdr_reftransV1_0001331</v>
      </c>
      <c r="B13094" s="2">
        <v>2021</v>
      </c>
      <c r="C13094" s="4" t="str">
        <f>HYPERLINK("http://www.uniprot.org/uniprot/M5W2U5","M5W2U5")</f>
        <v>M5W2U5</v>
      </c>
      <c r="D13094" s="2" t="s">
        <v>10826</v>
      </c>
      <c r="E13094" s="3">
        <v>0</v>
      </c>
      <c r="F13094" s="2">
        <v>2108</v>
      </c>
      <c r="G13094" s="2">
        <v>100</v>
      </c>
      <c r="H13094" s="2">
        <v>399</v>
      </c>
      <c r="I13094" s="2">
        <v>466</v>
      </c>
      <c r="J13094" s="2">
        <v>1662</v>
      </c>
      <c r="K13094" s="2">
        <v>1</v>
      </c>
      <c r="L13094" s="2">
        <v>399</v>
      </c>
    </row>
    <row r="13095" spans="1:12" x14ac:dyDescent="0.25">
      <c r="A13095" s="4" t="str">
        <f>HYPERLINK("http://www.rosaceae.org/Prunus/Prunus_persica/p.persica_gdr_reftransV1_0001681","p.persica_gdr_reftransV1_0001681")</f>
        <v>p.persica_gdr_reftransV1_0001681</v>
      </c>
      <c r="B13095" s="2">
        <v>3959</v>
      </c>
      <c r="C13095" s="4" t="str">
        <f>HYPERLINK("http://www.uniprot.org/uniprot/M5XKH6","M5XKH6")</f>
        <v>M5XKH6</v>
      </c>
      <c r="D13095" s="2" t="s">
        <v>5495</v>
      </c>
      <c r="E13095" s="3">
        <v>0</v>
      </c>
      <c r="F13095" s="2">
        <v>5232</v>
      </c>
      <c r="G13095" s="2">
        <v>100</v>
      </c>
      <c r="H13095" s="2">
        <v>1016</v>
      </c>
      <c r="I13095" s="2">
        <v>395</v>
      </c>
      <c r="J13095" s="2">
        <v>3442</v>
      </c>
      <c r="K13095" s="2">
        <v>1</v>
      </c>
      <c r="L13095" s="2">
        <v>1016</v>
      </c>
    </row>
    <row r="13096" spans="1:12" x14ac:dyDescent="0.25">
      <c r="A13096" s="4" t="str">
        <f>HYPERLINK("http://www.rosaceae.org/Prunus/Prunus_persica/p.persica_gdr_reftransV1_0002031","p.persica_gdr_reftransV1_0002031")</f>
        <v>p.persica_gdr_reftransV1_0002031</v>
      </c>
      <c r="B13096" s="2">
        <v>1162</v>
      </c>
      <c r="C13096" s="4" t="str">
        <f>HYPERLINK("http://www.uniprot.org/uniprot/M5XDX8","M5XDX8")</f>
        <v>M5XDX8</v>
      </c>
      <c r="D13096" s="2" t="s">
        <v>2973</v>
      </c>
      <c r="E13096" s="3">
        <v>0</v>
      </c>
      <c r="F13096" s="2">
        <v>1618</v>
      </c>
      <c r="G13096" s="2">
        <v>97</v>
      </c>
      <c r="H13096" s="2">
        <v>321</v>
      </c>
      <c r="I13096" s="2">
        <v>2</v>
      </c>
      <c r="J13096" s="2">
        <v>964</v>
      </c>
      <c r="K13096" s="2">
        <v>21</v>
      </c>
      <c r="L13096" s="2">
        <v>341</v>
      </c>
    </row>
    <row r="13097" spans="1:12" x14ac:dyDescent="0.25">
      <c r="A13097" s="4" t="str">
        <f>HYPERLINK("http://www.rosaceae.org/Prunus/Prunus_persica/p.persica_gdr_reftransV1_0002381","p.persica_gdr_reftransV1_0002381")</f>
        <v>p.persica_gdr_reftransV1_0002381</v>
      </c>
      <c r="B13097" s="2">
        <v>1454</v>
      </c>
      <c r="C13097" s="4" t="str">
        <f>HYPERLINK("http://www.uniprot.org/uniprot/M5VW29","M5VW29")</f>
        <v>M5VW29</v>
      </c>
      <c r="D13097" s="2" t="s">
        <v>10827</v>
      </c>
      <c r="E13097" s="3">
        <v>0</v>
      </c>
      <c r="F13097" s="2">
        <v>1908</v>
      </c>
      <c r="G13097" s="2">
        <v>100</v>
      </c>
      <c r="H13097" s="2">
        <v>380</v>
      </c>
      <c r="I13097" s="2">
        <v>113</v>
      </c>
      <c r="J13097" s="2">
        <v>1252</v>
      </c>
      <c r="K13097" s="2">
        <v>1</v>
      </c>
      <c r="L13097" s="2">
        <v>380</v>
      </c>
    </row>
    <row r="13098" spans="1:12" x14ac:dyDescent="0.25">
      <c r="A13098" s="4" t="str">
        <f>HYPERLINK("http://www.rosaceae.org/Prunus/Prunus_persica/p.persica_gdr_reftransV1_0002731","p.persica_gdr_reftransV1_0002731")</f>
        <v>p.persica_gdr_reftransV1_0002731</v>
      </c>
      <c r="B13098" s="2">
        <v>483</v>
      </c>
      <c r="C13098" s="4" t="str">
        <f>HYPERLINK("http://www.uniprot.org/uniprot/M5XW65","M5XW65")</f>
        <v>M5XW65</v>
      </c>
      <c r="D13098" s="2" t="s">
        <v>10828</v>
      </c>
      <c r="E13098" s="3">
        <v>8.6499999999999998E-83</v>
      </c>
      <c r="F13098" s="2">
        <v>662</v>
      </c>
      <c r="G13098" s="2">
        <v>99</v>
      </c>
      <c r="H13098" s="2">
        <v>125</v>
      </c>
      <c r="I13098" s="2">
        <v>2</v>
      </c>
      <c r="J13098" s="2">
        <v>376</v>
      </c>
      <c r="K13098" s="2">
        <v>207</v>
      </c>
      <c r="L13098" s="2">
        <v>331</v>
      </c>
    </row>
    <row r="13099" spans="1:12" x14ac:dyDescent="0.25">
      <c r="A13099" s="4" t="str">
        <f>HYPERLINK("http://www.rosaceae.org/Prunus/Prunus_persica/p.persica_gdr_reftransV1_0004131","p.persica_gdr_reftransV1_0004131")</f>
        <v>p.persica_gdr_reftransV1_0004131</v>
      </c>
      <c r="B13099" s="2">
        <v>1507</v>
      </c>
      <c r="C13099" s="4" t="str">
        <f>HYPERLINK("http://www.uniprot.org/uniprot/M5W9M6","M5W9M6")</f>
        <v>M5W9M6</v>
      </c>
      <c r="D13099" s="2" t="s">
        <v>9975</v>
      </c>
      <c r="E13099" s="3">
        <v>0</v>
      </c>
      <c r="F13099" s="2">
        <v>1930</v>
      </c>
      <c r="G13099" s="2">
        <v>100</v>
      </c>
      <c r="H13099" s="2">
        <v>383</v>
      </c>
      <c r="I13099" s="2">
        <v>331</v>
      </c>
      <c r="J13099" s="2">
        <v>1479</v>
      </c>
      <c r="K13099" s="2">
        <v>1</v>
      </c>
      <c r="L13099" s="2">
        <v>383</v>
      </c>
    </row>
    <row r="13100" spans="1:12" x14ac:dyDescent="0.25">
      <c r="A13100" s="4" t="str">
        <f>HYPERLINK("http://www.rosaceae.org/Prunus/Prunus_persica/p.persica_gdr_reftransV1_0004481","p.persica_gdr_reftransV1_0004481")</f>
        <v>p.persica_gdr_reftransV1_0004481</v>
      </c>
      <c r="B13100" s="2">
        <v>1461</v>
      </c>
      <c r="C13100" s="4" t="str">
        <f>HYPERLINK("http://www.uniprot.org/uniprot/M5VPW0","M5VPW0")</f>
        <v>M5VPW0</v>
      </c>
      <c r="D13100" s="2" t="s">
        <v>10829</v>
      </c>
      <c r="E13100" s="3">
        <v>0</v>
      </c>
      <c r="F13100" s="2">
        <v>1443</v>
      </c>
      <c r="G13100" s="2">
        <v>100</v>
      </c>
      <c r="H13100" s="2">
        <v>362</v>
      </c>
      <c r="I13100" s="2">
        <v>79</v>
      </c>
      <c r="J13100" s="2">
        <v>1164</v>
      </c>
      <c r="K13100" s="2">
        <v>1</v>
      </c>
      <c r="L13100" s="2">
        <v>362</v>
      </c>
    </row>
    <row r="13101" spans="1:12" x14ac:dyDescent="0.25">
      <c r="A13101" s="4" t="str">
        <f>HYPERLINK("http://www.rosaceae.org/Prunus/Prunus_persica/p.persica_gdr_reftransV1_0004831","p.persica_gdr_reftransV1_0004831")</f>
        <v>p.persica_gdr_reftransV1_0004831</v>
      </c>
      <c r="B13101" s="2">
        <v>1695</v>
      </c>
      <c r="C13101" s="4" t="str">
        <f>HYPERLINK("http://www.uniprot.org/uniprot/M5Y6D2","M5Y6D2")</f>
        <v>M5Y6D2</v>
      </c>
      <c r="D13101" s="2" t="s">
        <v>10830</v>
      </c>
      <c r="E13101" s="3">
        <v>0</v>
      </c>
      <c r="F13101" s="2">
        <v>2069</v>
      </c>
      <c r="G13101" s="2">
        <v>94</v>
      </c>
      <c r="H13101" s="2">
        <v>417</v>
      </c>
      <c r="I13101" s="2">
        <v>247</v>
      </c>
      <c r="J13101" s="2">
        <v>1497</v>
      </c>
      <c r="K13101" s="2">
        <v>1</v>
      </c>
      <c r="L13101" s="2">
        <v>394</v>
      </c>
    </row>
    <row r="13102" spans="1:12" x14ac:dyDescent="0.25">
      <c r="A13102" s="4" t="str">
        <f>HYPERLINK("http://www.rosaceae.org/Prunus/Prunus_persica/p.persica_gdr_reftransV1_0005531","p.persica_gdr_reftransV1_0005531")</f>
        <v>p.persica_gdr_reftransV1_0005531</v>
      </c>
      <c r="B13102" s="2">
        <v>1589</v>
      </c>
      <c r="C13102" s="4" t="str">
        <f>HYPERLINK("http://www.uniprot.org/uniprot/M5WS61","M5WS61")</f>
        <v>M5WS61</v>
      </c>
      <c r="D13102" s="2" t="s">
        <v>10831</v>
      </c>
      <c r="E13102" s="3">
        <v>4.13E-48</v>
      </c>
      <c r="F13102" s="2">
        <v>442</v>
      </c>
      <c r="G13102" s="2">
        <v>95</v>
      </c>
      <c r="H13102" s="2">
        <v>85</v>
      </c>
      <c r="I13102" s="2">
        <v>1096</v>
      </c>
      <c r="J13102" s="2">
        <v>1350</v>
      </c>
      <c r="K13102" s="2">
        <v>12</v>
      </c>
      <c r="L13102" s="2">
        <v>96</v>
      </c>
    </row>
    <row r="13103" spans="1:12" x14ac:dyDescent="0.25">
      <c r="A13103" s="4" t="str">
        <f>HYPERLINK("http://www.rosaceae.org/Prunus/Prunus_persica/p.persica_gdr_reftransV1_0005881","p.persica_gdr_reftransV1_0005881")</f>
        <v>p.persica_gdr_reftransV1_0005881</v>
      </c>
      <c r="B13103" s="2">
        <v>981</v>
      </c>
      <c r="C13103" s="4" t="str">
        <f>HYPERLINK("http://www.uniprot.org/uniprot/M5W3R3","M5W3R3")</f>
        <v>M5W3R3</v>
      </c>
      <c r="D13103" s="2" t="s">
        <v>10832</v>
      </c>
      <c r="E13103" s="3">
        <v>9.2000000000000006E-89</v>
      </c>
      <c r="F13103" s="2">
        <v>753</v>
      </c>
      <c r="G13103" s="2">
        <v>92</v>
      </c>
      <c r="H13103" s="2">
        <v>181</v>
      </c>
      <c r="I13103" s="2">
        <v>110</v>
      </c>
      <c r="J13103" s="2">
        <v>649</v>
      </c>
      <c r="K13103" s="2">
        <v>658</v>
      </c>
      <c r="L13103" s="2">
        <v>838</v>
      </c>
    </row>
    <row r="13104" spans="1:12" x14ac:dyDescent="0.25">
      <c r="A13104" s="4" t="str">
        <f>HYPERLINK("http://www.rosaceae.org/Prunus/Prunus_persica/p.persica_gdr_reftransV1_0008331","p.persica_gdr_reftransV1_0008331")</f>
        <v>p.persica_gdr_reftransV1_0008331</v>
      </c>
      <c r="B13104" s="2">
        <v>4547</v>
      </c>
      <c r="C13104" s="4" t="str">
        <f>HYPERLINK("http://www.uniprot.org/uniprot/M5VWJ6","M5VWJ6")</f>
        <v>M5VWJ6</v>
      </c>
      <c r="D13104" s="2" t="s">
        <v>10833</v>
      </c>
      <c r="E13104" s="3">
        <v>0</v>
      </c>
      <c r="F13104" s="2">
        <v>1989</v>
      </c>
      <c r="G13104" s="2">
        <v>99</v>
      </c>
      <c r="H13104" s="2">
        <v>410</v>
      </c>
      <c r="I13104" s="2">
        <v>1568</v>
      </c>
      <c r="J13104" s="2">
        <v>2794</v>
      </c>
      <c r="K13104" s="2">
        <v>318</v>
      </c>
      <c r="L13104" s="2">
        <v>727</v>
      </c>
    </row>
    <row r="13105" spans="1:12" x14ac:dyDescent="0.25">
      <c r="A13105" s="4" t="str">
        <f>HYPERLINK("http://www.rosaceae.org/Prunus/Prunus_persica/p.persica_gdr_reftransV1_0009031","p.persica_gdr_reftransV1_0009031")</f>
        <v>p.persica_gdr_reftransV1_0009031</v>
      </c>
      <c r="B13105" s="2">
        <v>4131</v>
      </c>
      <c r="C13105" s="4" t="str">
        <f>HYPERLINK("http://www.uniprot.org/uniprot/M5XBB2","M5XBB2")</f>
        <v>M5XBB2</v>
      </c>
      <c r="D13105" s="2" t="s">
        <v>10834</v>
      </c>
      <c r="E13105" s="3">
        <v>0</v>
      </c>
      <c r="F13105" s="2">
        <v>4399</v>
      </c>
      <c r="G13105" s="2">
        <v>100</v>
      </c>
      <c r="H13105" s="2">
        <v>876</v>
      </c>
      <c r="I13105" s="2">
        <v>749</v>
      </c>
      <c r="J13105" s="2">
        <v>3376</v>
      </c>
      <c r="K13105" s="2">
        <v>1</v>
      </c>
      <c r="L13105" s="2">
        <v>876</v>
      </c>
    </row>
    <row r="13106" spans="1:12" x14ac:dyDescent="0.25">
      <c r="A13106" s="4" t="str">
        <f>HYPERLINK("http://www.rosaceae.org/Prunus/Prunus_persica/p.persica_gdr_reftransV1_0009731","p.persica_gdr_reftransV1_0009731")</f>
        <v>p.persica_gdr_reftransV1_0009731</v>
      </c>
      <c r="B13106" s="2">
        <v>2105</v>
      </c>
      <c r="C13106" s="4" t="str">
        <f>HYPERLINK("http://www.uniprot.org/uniprot/M5VYP9","M5VYP9")</f>
        <v>M5VYP9</v>
      </c>
      <c r="D13106" s="2" t="s">
        <v>10835</v>
      </c>
      <c r="E13106" s="3">
        <v>0</v>
      </c>
      <c r="F13106" s="2">
        <v>1686</v>
      </c>
      <c r="G13106" s="2">
        <v>100</v>
      </c>
      <c r="H13106" s="2">
        <v>373</v>
      </c>
      <c r="I13106" s="2">
        <v>328</v>
      </c>
      <c r="J13106" s="2">
        <v>1446</v>
      </c>
      <c r="K13106" s="2">
        <v>1</v>
      </c>
      <c r="L13106" s="2">
        <v>373</v>
      </c>
    </row>
    <row r="13107" spans="1:12" x14ac:dyDescent="0.25">
      <c r="A13107" s="4" t="str">
        <f>HYPERLINK("http://www.rosaceae.org/Prunus/Prunus_persica/p.persica_gdr_reftransV1_0010781","p.persica_gdr_reftransV1_0010781")</f>
        <v>p.persica_gdr_reftransV1_0010781</v>
      </c>
      <c r="B13107" s="2">
        <v>1294</v>
      </c>
      <c r="C13107" s="4" t="str">
        <f>HYPERLINK("http://www.uniprot.org/uniprot/M5WYZ3","M5WYZ3")</f>
        <v>M5WYZ3</v>
      </c>
      <c r="D13107" s="2" t="s">
        <v>6396</v>
      </c>
      <c r="E13107" s="3">
        <v>1.91E-144</v>
      </c>
      <c r="F13107" s="2">
        <v>1087</v>
      </c>
      <c r="G13107" s="2">
        <v>96</v>
      </c>
      <c r="H13107" s="2">
        <v>234</v>
      </c>
      <c r="I13107" s="2">
        <v>341</v>
      </c>
      <c r="J13107" s="2">
        <v>1042</v>
      </c>
      <c r="K13107" s="2">
        <v>1</v>
      </c>
      <c r="L13107" s="2">
        <v>226</v>
      </c>
    </row>
    <row r="13108" spans="1:12" x14ac:dyDescent="0.25">
      <c r="A13108" s="4" t="str">
        <f>HYPERLINK("http://www.rosaceae.org/Prunus/Prunus_persica/p.persica_gdr_reftransV1_0011831","p.persica_gdr_reftransV1_0011831")</f>
        <v>p.persica_gdr_reftransV1_0011831</v>
      </c>
      <c r="B13108" s="2">
        <v>5114</v>
      </c>
      <c r="C13108" s="4" t="str">
        <f>HYPERLINK("http://www.uniprot.org/uniprot/M5XAX4","M5XAX4")</f>
        <v>M5XAX4</v>
      </c>
      <c r="D13108" s="2" t="s">
        <v>4918</v>
      </c>
      <c r="E13108" s="3">
        <v>0</v>
      </c>
      <c r="F13108" s="2">
        <v>6017</v>
      </c>
      <c r="G13108" s="2">
        <v>100</v>
      </c>
      <c r="H13108" s="2">
        <v>1208</v>
      </c>
      <c r="I13108" s="2">
        <v>1489</v>
      </c>
      <c r="J13108" s="2">
        <v>5112</v>
      </c>
      <c r="K13108" s="2">
        <v>259</v>
      </c>
      <c r="L13108" s="2">
        <v>1466</v>
      </c>
    </row>
    <row r="13109" spans="1:12" x14ac:dyDescent="0.25">
      <c r="A13109" s="4" t="str">
        <f>HYPERLINK("http://www.rosaceae.org/Prunus/Prunus_persica/p.persica_gdr_reftransV1_0012531","p.persica_gdr_reftransV1_0012531")</f>
        <v>p.persica_gdr_reftransV1_0012531</v>
      </c>
      <c r="B13109" s="2">
        <v>839</v>
      </c>
      <c r="C13109" s="4" t="str">
        <f>HYPERLINK("http://www.uniprot.org/uniprot/M5WWE2","M5WWE2")</f>
        <v>M5WWE2</v>
      </c>
      <c r="D13109" s="2" t="s">
        <v>10836</v>
      </c>
      <c r="E13109" s="3">
        <v>4.7599999999999996E-115</v>
      </c>
      <c r="F13109" s="2">
        <v>566</v>
      </c>
      <c r="G13109" s="2">
        <v>82</v>
      </c>
      <c r="H13109" s="2">
        <v>128</v>
      </c>
      <c r="I13109" s="2">
        <v>454</v>
      </c>
      <c r="J13109" s="2">
        <v>837</v>
      </c>
      <c r="K13109" s="2">
        <v>272</v>
      </c>
      <c r="L13109" s="2">
        <v>399</v>
      </c>
    </row>
    <row r="13110" spans="1:12" x14ac:dyDescent="0.25">
      <c r="A13110" s="4" t="str">
        <f>HYPERLINK("http://www.rosaceae.org/Prunus/Prunus_persica/p.persica_gdr_reftransV1_0012881","p.persica_gdr_reftransV1_0012881")</f>
        <v>p.persica_gdr_reftransV1_0012881</v>
      </c>
      <c r="B13110" s="2">
        <v>1271</v>
      </c>
      <c r="C13110" s="4" t="str">
        <f>HYPERLINK("http://www.uniprot.org/uniprot/M5XC92","M5XC92")</f>
        <v>M5XC92</v>
      </c>
      <c r="D13110" s="2" t="s">
        <v>2074</v>
      </c>
      <c r="E13110" s="3">
        <v>0</v>
      </c>
      <c r="F13110" s="2">
        <v>1440</v>
      </c>
      <c r="G13110" s="2">
        <v>97</v>
      </c>
      <c r="H13110" s="2">
        <v>286</v>
      </c>
      <c r="I13110" s="2">
        <v>146</v>
      </c>
      <c r="J13110" s="2">
        <v>997</v>
      </c>
      <c r="K13110" s="2">
        <v>101</v>
      </c>
      <c r="L13110" s="2">
        <v>386</v>
      </c>
    </row>
    <row r="13111" spans="1:12" x14ac:dyDescent="0.25">
      <c r="A13111" s="4" t="str">
        <f>HYPERLINK("http://www.rosaceae.org/Prunus/Prunus_persica/p.persica_gdr_reftransV1_0013231","p.persica_gdr_reftransV1_0013231")</f>
        <v>p.persica_gdr_reftransV1_0013231</v>
      </c>
      <c r="B13111" s="2">
        <v>1858</v>
      </c>
      <c r="C13111" s="4" t="str">
        <f>HYPERLINK("http://www.uniprot.org/uniprot/M5VVE7","M5VVE7")</f>
        <v>M5VVE7</v>
      </c>
      <c r="D13111" s="2" t="s">
        <v>428</v>
      </c>
      <c r="E13111" s="3">
        <v>1.77E-175</v>
      </c>
      <c r="F13111" s="2">
        <v>1384</v>
      </c>
      <c r="G13111" s="2">
        <v>100</v>
      </c>
      <c r="H13111" s="2">
        <v>259</v>
      </c>
      <c r="I13111" s="2">
        <v>1081</v>
      </c>
      <c r="J13111" s="2">
        <v>1857</v>
      </c>
      <c r="K13111" s="2">
        <v>763</v>
      </c>
      <c r="L13111" s="2">
        <v>1021</v>
      </c>
    </row>
    <row r="13112" spans="1:12" x14ac:dyDescent="0.25">
      <c r="A13112" s="4" t="str">
        <f>HYPERLINK("http://www.rosaceae.org/Prunus/Prunus_persica/p.persica_gdr_reftransV1_0013931","p.persica_gdr_reftransV1_0013931")</f>
        <v>p.persica_gdr_reftransV1_0013931</v>
      </c>
      <c r="B13112" s="2">
        <v>1631</v>
      </c>
      <c r="C13112" s="4" t="str">
        <f>HYPERLINK("http://www.uniprot.org/uniprot/M5W7I8","M5W7I8")</f>
        <v>M5W7I8</v>
      </c>
      <c r="D13112" s="2" t="s">
        <v>10550</v>
      </c>
      <c r="E13112" s="3">
        <v>0</v>
      </c>
      <c r="F13112" s="2">
        <v>1871</v>
      </c>
      <c r="G13112" s="2">
        <v>97</v>
      </c>
      <c r="H13112" s="2">
        <v>415</v>
      </c>
      <c r="I13112" s="2">
        <v>3</v>
      </c>
      <c r="J13112" s="2">
        <v>1247</v>
      </c>
      <c r="K13112" s="2">
        <v>26</v>
      </c>
      <c r="L13112" s="2">
        <v>436</v>
      </c>
    </row>
    <row r="13113" spans="1:12" x14ac:dyDescent="0.25">
      <c r="A13113" s="4" t="str">
        <f>HYPERLINK("http://www.rosaceae.org/Prunus/Prunus_persica/p.persica_gdr_reftransV1_0014281","p.persica_gdr_reftransV1_0014281")</f>
        <v>p.persica_gdr_reftransV1_0014281</v>
      </c>
      <c r="B13113" s="2">
        <v>1410</v>
      </c>
      <c r="C13113" s="4" t="str">
        <f>HYPERLINK("http://www.uniprot.org/uniprot/M5WCC3","M5WCC3")</f>
        <v>M5WCC3</v>
      </c>
      <c r="D13113" s="2" t="s">
        <v>10837</v>
      </c>
      <c r="E13113" s="3">
        <v>1.29E-155</v>
      </c>
      <c r="F13113" s="2">
        <v>1169</v>
      </c>
      <c r="G13113" s="2">
        <v>100</v>
      </c>
      <c r="H13113" s="2">
        <v>245</v>
      </c>
      <c r="I13113" s="2">
        <v>8</v>
      </c>
      <c r="J13113" s="2">
        <v>742</v>
      </c>
      <c r="K13113" s="2">
        <v>22</v>
      </c>
      <c r="L13113" s="2">
        <v>266</v>
      </c>
    </row>
    <row r="13114" spans="1:12" x14ac:dyDescent="0.25">
      <c r="A13114" s="4" t="str">
        <f>HYPERLINK("http://www.rosaceae.org/Prunus/Prunus_persica/p.persica_gdr_reftransV1_0016031","p.persica_gdr_reftransV1_0016031")</f>
        <v>p.persica_gdr_reftransV1_0016031</v>
      </c>
      <c r="B13114" s="2">
        <v>2588</v>
      </c>
      <c r="C13114" s="4" t="str">
        <f>HYPERLINK("http://www.uniprot.org/uniprot/M5WCB5","M5WCB5")</f>
        <v>M5WCB5</v>
      </c>
      <c r="D13114" s="2" t="s">
        <v>2012</v>
      </c>
      <c r="E13114" s="3">
        <v>0</v>
      </c>
      <c r="F13114" s="2">
        <v>4213</v>
      </c>
      <c r="G13114" s="2">
        <v>100</v>
      </c>
      <c r="H13114" s="2">
        <v>804</v>
      </c>
      <c r="I13114" s="2">
        <v>1</v>
      </c>
      <c r="J13114" s="2">
        <v>2412</v>
      </c>
      <c r="K13114" s="2">
        <v>689</v>
      </c>
      <c r="L13114" s="2">
        <v>1492</v>
      </c>
    </row>
    <row r="13115" spans="1:12" x14ac:dyDescent="0.25">
      <c r="A13115" s="4" t="str">
        <f>HYPERLINK("http://www.rosaceae.org/Prunus/Prunus_persica/p.persica_gdr_reftransV1_0016731","p.persica_gdr_reftransV1_0016731")</f>
        <v>p.persica_gdr_reftransV1_0016731</v>
      </c>
      <c r="B13115" s="2">
        <v>1119</v>
      </c>
      <c r="C13115" s="4" t="str">
        <f>HYPERLINK("http://www.uniprot.org/uniprot/M5VZA8","M5VZA8")</f>
        <v>M5VZA8</v>
      </c>
      <c r="D13115" s="2" t="s">
        <v>10838</v>
      </c>
      <c r="E13115" s="3">
        <v>0</v>
      </c>
      <c r="F13115" s="2">
        <v>1453</v>
      </c>
      <c r="G13115" s="2">
        <v>100</v>
      </c>
      <c r="H13115" s="2">
        <v>295</v>
      </c>
      <c r="I13115" s="2">
        <v>1</v>
      </c>
      <c r="J13115" s="2">
        <v>885</v>
      </c>
      <c r="K13115" s="2">
        <v>22</v>
      </c>
      <c r="L13115" s="2">
        <v>316</v>
      </c>
    </row>
    <row r="13116" spans="1:12" x14ac:dyDescent="0.25">
      <c r="A13116" s="4" t="str">
        <f>HYPERLINK("http://www.rosaceae.org/Prunus/Prunus_persica/p.persica_gdr_reftransV1_0017081","p.persica_gdr_reftransV1_0017081")</f>
        <v>p.persica_gdr_reftransV1_0017081</v>
      </c>
      <c r="B13116" s="2">
        <v>2183</v>
      </c>
      <c r="C13116" s="4" t="str">
        <f>HYPERLINK("http://www.uniprot.org/uniprot/M5WXR5","M5WXR5")</f>
        <v>M5WXR5</v>
      </c>
      <c r="D13116" s="2" t="s">
        <v>10839</v>
      </c>
      <c r="E13116" s="3">
        <v>0</v>
      </c>
      <c r="F13116" s="2">
        <v>1406</v>
      </c>
      <c r="G13116" s="2">
        <v>100</v>
      </c>
      <c r="H13116" s="2">
        <v>357</v>
      </c>
      <c r="I13116" s="2">
        <v>735</v>
      </c>
      <c r="J13116" s="2">
        <v>1805</v>
      </c>
      <c r="K13116" s="2">
        <v>1</v>
      </c>
      <c r="L13116" s="2">
        <v>357</v>
      </c>
    </row>
    <row r="13117" spans="1:12" x14ac:dyDescent="0.25">
      <c r="A13117" s="4" t="str">
        <f>HYPERLINK("http://www.rosaceae.org/Prunus/Prunus_persica/p.persica_gdr_reftransV1_0018481","p.persica_gdr_reftransV1_0018481")</f>
        <v>p.persica_gdr_reftransV1_0018481</v>
      </c>
      <c r="B13117" s="2">
        <v>1306</v>
      </c>
      <c r="C13117" s="4" t="str">
        <f>HYPERLINK("http://www.uniprot.org/uniprot/M5W179","M5W179")</f>
        <v>M5W179</v>
      </c>
      <c r="D13117" s="2" t="s">
        <v>10840</v>
      </c>
      <c r="E13117" s="3">
        <v>4.1399999999999996E-115</v>
      </c>
      <c r="F13117" s="2">
        <v>890</v>
      </c>
      <c r="G13117" s="2">
        <v>99</v>
      </c>
      <c r="H13117" s="2">
        <v>196</v>
      </c>
      <c r="I13117" s="2">
        <v>570</v>
      </c>
      <c r="J13117" s="2">
        <v>1157</v>
      </c>
      <c r="K13117" s="2">
        <v>1</v>
      </c>
      <c r="L13117" s="2">
        <v>196</v>
      </c>
    </row>
    <row r="13118" spans="1:12" x14ac:dyDescent="0.25">
      <c r="A13118" s="4" t="str">
        <f>HYPERLINK("http://www.rosaceae.org/Prunus/Prunus_persica/p.persica_gdr_reftransV1_0018831","p.persica_gdr_reftransV1_0018831")</f>
        <v>p.persica_gdr_reftransV1_0018831</v>
      </c>
      <c r="B13118" s="2">
        <v>2095</v>
      </c>
      <c r="C13118" s="4" t="str">
        <f>HYPERLINK("http://www.uniprot.org/uniprot/M5WLS2","M5WLS2")</f>
        <v>M5WLS2</v>
      </c>
      <c r="D13118" s="2" t="s">
        <v>5609</v>
      </c>
      <c r="E13118" s="3">
        <v>0</v>
      </c>
      <c r="F13118" s="2">
        <v>1598</v>
      </c>
      <c r="G13118" s="2">
        <v>98</v>
      </c>
      <c r="H13118" s="2">
        <v>333</v>
      </c>
      <c r="I13118" s="2">
        <v>459</v>
      </c>
      <c r="J13118" s="2">
        <v>1457</v>
      </c>
      <c r="K13118" s="2">
        <v>1</v>
      </c>
      <c r="L13118" s="2">
        <v>333</v>
      </c>
    </row>
    <row r="13119" spans="1:12" x14ac:dyDescent="0.25">
      <c r="A13119" s="4" t="str">
        <f>HYPERLINK("http://www.rosaceae.org/Prunus/Prunus_persica/p.persica_gdr_reftransV1_0019181","p.persica_gdr_reftransV1_0019181")</f>
        <v>p.persica_gdr_reftransV1_0019181</v>
      </c>
      <c r="B13119" s="2">
        <v>3284</v>
      </c>
      <c r="C13119" s="4" t="str">
        <f>HYPERLINK("http://www.uniprot.org/uniprot/M5VY17","M5VY17")</f>
        <v>M5VY17</v>
      </c>
      <c r="D13119" s="2" t="s">
        <v>10841</v>
      </c>
      <c r="E13119" s="3">
        <v>0</v>
      </c>
      <c r="F13119" s="2">
        <v>1573</v>
      </c>
      <c r="G13119" s="2">
        <v>96</v>
      </c>
      <c r="H13119" s="2">
        <v>321</v>
      </c>
      <c r="I13119" s="2">
        <v>2174</v>
      </c>
      <c r="J13119" s="2">
        <v>3136</v>
      </c>
      <c r="K13119" s="2">
        <v>1</v>
      </c>
      <c r="L13119" s="2">
        <v>310</v>
      </c>
    </row>
    <row r="13120" spans="1:12" x14ac:dyDescent="0.25">
      <c r="A13120" s="4" t="str">
        <f>HYPERLINK("http://www.rosaceae.org/Prunus/Prunus_persica/p.persica_gdr_reftransV1_0019881","p.persica_gdr_reftransV1_0019881")</f>
        <v>p.persica_gdr_reftransV1_0019881</v>
      </c>
      <c r="B13120" s="2">
        <v>717</v>
      </c>
      <c r="C13120" s="4" t="str">
        <f>HYPERLINK("http://www.uniprot.org/uniprot/M5W9C0","M5W9C0")</f>
        <v>M5W9C0</v>
      </c>
      <c r="D13120" s="2" t="s">
        <v>10842</v>
      </c>
      <c r="E13120" s="3">
        <v>1.12E-123</v>
      </c>
      <c r="F13120" s="2">
        <v>968</v>
      </c>
      <c r="G13120" s="2">
        <v>100</v>
      </c>
      <c r="H13120" s="2">
        <v>182</v>
      </c>
      <c r="I13120" s="2">
        <v>170</v>
      </c>
      <c r="J13120" s="2">
        <v>715</v>
      </c>
      <c r="K13120" s="2">
        <v>473</v>
      </c>
      <c r="L13120" s="2">
        <v>654</v>
      </c>
    </row>
    <row r="13121" spans="1:12" x14ac:dyDescent="0.25">
      <c r="A13121" s="4" t="str">
        <f>HYPERLINK("http://www.rosaceae.org/Prunus/Prunus_persica/p.persica_gdr_reftransV1_0021281","p.persica_gdr_reftransV1_0021281")</f>
        <v>p.persica_gdr_reftransV1_0021281</v>
      </c>
      <c r="B13121" s="2">
        <v>2949</v>
      </c>
      <c r="C13121" s="4" t="str">
        <f>HYPERLINK("http://www.uniprot.org/uniprot/M5WFI4","M5WFI4")</f>
        <v>M5WFI4</v>
      </c>
      <c r="D13121" s="2" t="s">
        <v>10843</v>
      </c>
      <c r="E13121" s="3">
        <v>0</v>
      </c>
      <c r="F13121" s="2">
        <v>1891</v>
      </c>
      <c r="G13121" s="2">
        <v>92</v>
      </c>
      <c r="H13121" s="2">
        <v>400</v>
      </c>
      <c r="I13121" s="2">
        <v>1648</v>
      </c>
      <c r="J13121" s="2">
        <v>2847</v>
      </c>
      <c r="K13121" s="2">
        <v>82</v>
      </c>
      <c r="L13121" s="2">
        <v>452</v>
      </c>
    </row>
    <row r="13122" spans="1:12" x14ac:dyDescent="0.25">
      <c r="A13122" s="4" t="str">
        <f>HYPERLINK("http://www.rosaceae.org/Prunus/Prunus_persica/p.persica_gdr_reftransV1_0022681","p.persica_gdr_reftransV1_0022681")</f>
        <v>p.persica_gdr_reftransV1_0022681</v>
      </c>
      <c r="B13122" s="2">
        <v>869</v>
      </c>
      <c r="C13122" s="4" t="str">
        <f>HYPERLINK("http://www.uniprot.org/uniprot/M5WB23","M5WB23")</f>
        <v>M5WB23</v>
      </c>
      <c r="D13122" s="2" t="s">
        <v>10844</v>
      </c>
      <c r="E13122" s="3">
        <v>3.8199999999999999E-66</v>
      </c>
      <c r="F13122" s="2">
        <v>543</v>
      </c>
      <c r="G13122" s="2">
        <v>100</v>
      </c>
      <c r="H13122" s="2">
        <v>106</v>
      </c>
      <c r="I13122" s="2">
        <v>358</v>
      </c>
      <c r="J13122" s="2">
        <v>675</v>
      </c>
      <c r="K13122" s="2">
        <v>1</v>
      </c>
      <c r="L13122" s="2">
        <v>106</v>
      </c>
    </row>
    <row r="13123" spans="1:12" x14ac:dyDescent="0.25">
      <c r="A13123" s="4" t="str">
        <f>HYPERLINK("http://www.rosaceae.org/Prunus/Prunus_persica/p.persica_gdr_reftransV1_0023031","p.persica_gdr_reftransV1_0023031")</f>
        <v>p.persica_gdr_reftransV1_0023031</v>
      </c>
      <c r="B13123" s="2">
        <v>1802</v>
      </c>
      <c r="C13123" s="4" t="str">
        <f>HYPERLINK("http://www.uniprot.org/uniprot/M5XYT9","M5XYT9")</f>
        <v>M5XYT9</v>
      </c>
      <c r="D13123" s="2" t="s">
        <v>10845</v>
      </c>
      <c r="E13123" s="3">
        <v>0</v>
      </c>
      <c r="F13123" s="2">
        <v>1876</v>
      </c>
      <c r="G13123" s="2">
        <v>100</v>
      </c>
      <c r="H13123" s="2">
        <v>363</v>
      </c>
      <c r="I13123" s="2">
        <v>313</v>
      </c>
      <c r="J13123" s="2">
        <v>1401</v>
      </c>
      <c r="K13123" s="2">
        <v>1</v>
      </c>
      <c r="L13123" s="2">
        <v>363</v>
      </c>
    </row>
    <row r="13124" spans="1:12" x14ac:dyDescent="0.25">
      <c r="A13124" s="4" t="str">
        <f>HYPERLINK("http://www.rosaceae.org/Prunus/Prunus_persica/p.persica_gdr_reftransV1_0023381","p.persica_gdr_reftransV1_0023381")</f>
        <v>p.persica_gdr_reftransV1_0023381</v>
      </c>
      <c r="B13124" s="2">
        <v>1292</v>
      </c>
      <c r="C13124" s="4" t="str">
        <f>HYPERLINK("http://www.uniprot.org/uniprot/A0A0A0KGL5","A0A0A0KGL5")</f>
        <v>A0A0A0KGL5</v>
      </c>
      <c r="D13124" s="2" t="s">
        <v>10846</v>
      </c>
      <c r="E13124" s="3">
        <v>3.8799999999999998E-107</v>
      </c>
      <c r="F13124" s="2">
        <v>844</v>
      </c>
      <c r="G13124" s="2">
        <v>69</v>
      </c>
      <c r="H13124" s="2">
        <v>240</v>
      </c>
      <c r="I13124" s="2">
        <v>189</v>
      </c>
      <c r="J13124" s="2">
        <v>905</v>
      </c>
      <c r="K13124" s="2">
        <v>13</v>
      </c>
      <c r="L13124" s="2">
        <v>251</v>
      </c>
    </row>
    <row r="13125" spans="1:12" x14ac:dyDescent="0.25">
      <c r="A13125" s="4" t="str">
        <f>HYPERLINK("http://www.rosaceae.org/Prunus/Prunus_persica/p.persica_gdr_reftransV1_0024081","p.persica_gdr_reftransV1_0024081")</f>
        <v>p.persica_gdr_reftransV1_0024081</v>
      </c>
      <c r="B13125" s="2">
        <v>1625</v>
      </c>
      <c r="C13125" s="4" t="str">
        <f>HYPERLINK("http://www.uniprot.org/uniprot/Q5I2Q5","Q5I2Q5")</f>
        <v>Q5I2Q5</v>
      </c>
      <c r="D13125" s="2" t="s">
        <v>10847</v>
      </c>
      <c r="E13125" s="3">
        <v>0</v>
      </c>
      <c r="F13125" s="2">
        <v>1827</v>
      </c>
      <c r="G13125" s="2">
        <v>79</v>
      </c>
      <c r="H13125" s="2">
        <v>458</v>
      </c>
      <c r="I13125" s="2">
        <v>95</v>
      </c>
      <c r="J13125" s="2">
        <v>1465</v>
      </c>
      <c r="K13125" s="2">
        <v>2</v>
      </c>
      <c r="L13125" s="2">
        <v>459</v>
      </c>
    </row>
    <row r="13126" spans="1:12" x14ac:dyDescent="0.25">
      <c r="A13126" s="4" t="str">
        <f>HYPERLINK("http://www.rosaceae.org/Prunus/Prunus_persica/p.persica_gdr_reftransV1_0024431","p.persica_gdr_reftransV1_0024431")</f>
        <v>p.persica_gdr_reftransV1_0024431</v>
      </c>
      <c r="B13126" s="2">
        <v>1225</v>
      </c>
      <c r="C13126" s="4" t="str">
        <f>HYPERLINK("http://www.uniprot.org/uniprot/M5WTJ0","M5WTJ0")</f>
        <v>M5WTJ0</v>
      </c>
      <c r="D13126" s="2" t="s">
        <v>897</v>
      </c>
      <c r="E13126" s="3">
        <v>2.0700000000000001E-101</v>
      </c>
      <c r="F13126" s="2">
        <v>798</v>
      </c>
      <c r="G13126" s="2">
        <v>100</v>
      </c>
      <c r="H13126" s="2">
        <v>151</v>
      </c>
      <c r="I13126" s="2">
        <v>165</v>
      </c>
      <c r="J13126" s="2">
        <v>617</v>
      </c>
      <c r="K13126" s="2">
        <v>1</v>
      </c>
      <c r="L13126" s="2">
        <v>151</v>
      </c>
    </row>
    <row r="13127" spans="1:12" x14ac:dyDescent="0.25">
      <c r="A13127" s="4" t="str">
        <f>HYPERLINK("http://www.rosaceae.org/Prunus/Prunus_persica/p.persica_gdr_reftransV1_0025131","p.persica_gdr_reftransV1_0025131")</f>
        <v>p.persica_gdr_reftransV1_0025131</v>
      </c>
      <c r="B13127" s="2">
        <v>1022</v>
      </c>
      <c r="C13127" s="4" t="str">
        <f>HYPERLINK("http://www.uniprot.org/uniprot/M5VKC9","M5VKC9")</f>
        <v>M5VKC9</v>
      </c>
      <c r="D13127" s="2" t="s">
        <v>10848</v>
      </c>
      <c r="E13127" s="3">
        <v>2.8100000000000001E-115</v>
      </c>
      <c r="F13127" s="2">
        <v>879</v>
      </c>
      <c r="G13127" s="2">
        <v>100</v>
      </c>
      <c r="H13127" s="2">
        <v>168</v>
      </c>
      <c r="I13127" s="2">
        <v>273</v>
      </c>
      <c r="J13127" s="2">
        <v>776</v>
      </c>
      <c r="K13127" s="2">
        <v>1</v>
      </c>
      <c r="L13127" s="2">
        <v>168</v>
      </c>
    </row>
    <row r="13128" spans="1:12" x14ac:dyDescent="0.25">
      <c r="A13128" s="4" t="str">
        <f>HYPERLINK("http://www.rosaceae.org/Prunus/Prunus_persica/p.persica_gdr_reftransV1_0026531","p.persica_gdr_reftransV1_0026531")</f>
        <v>p.persica_gdr_reftransV1_0026531</v>
      </c>
      <c r="B13128" s="2">
        <v>1598</v>
      </c>
      <c r="C13128" s="4" t="str">
        <f>HYPERLINK("http://www.uniprot.org/uniprot/M5W0H2","M5W0H2")</f>
        <v>M5W0H2</v>
      </c>
      <c r="D13128" s="2" t="s">
        <v>10849</v>
      </c>
      <c r="E13128" s="3">
        <v>6.8E-165</v>
      </c>
      <c r="F13128" s="2">
        <v>1239</v>
      </c>
      <c r="G13128" s="2">
        <v>96</v>
      </c>
      <c r="H13128" s="2">
        <v>275</v>
      </c>
      <c r="I13128" s="2">
        <v>774</v>
      </c>
      <c r="J13128" s="2">
        <v>1598</v>
      </c>
      <c r="K13128" s="2">
        <v>1</v>
      </c>
      <c r="L13128" s="2">
        <v>264</v>
      </c>
    </row>
    <row r="13129" spans="1:12" x14ac:dyDescent="0.25">
      <c r="A13129" s="4" t="str">
        <f>HYPERLINK("http://www.rosaceae.org/Prunus/Prunus_persica/p.persica_gdr_reftransV1_0027231","p.persica_gdr_reftransV1_0027231")</f>
        <v>p.persica_gdr_reftransV1_0027231</v>
      </c>
      <c r="B13129" s="2">
        <v>3853</v>
      </c>
      <c r="C13129" s="4" t="str">
        <f>HYPERLINK("http://www.uniprot.org/uniprot/M5W2A6","M5W2A6")</f>
        <v>M5W2A6</v>
      </c>
      <c r="D13129" s="2" t="s">
        <v>10850</v>
      </c>
      <c r="E13129" s="3">
        <v>0</v>
      </c>
      <c r="F13129" s="2">
        <v>2566</v>
      </c>
      <c r="G13129" s="2">
        <v>96</v>
      </c>
      <c r="H13129" s="2">
        <v>552</v>
      </c>
      <c r="I13129" s="2">
        <v>986</v>
      </c>
      <c r="J13129" s="2">
        <v>2641</v>
      </c>
      <c r="K13129" s="2">
        <v>262</v>
      </c>
      <c r="L13129" s="2">
        <v>797</v>
      </c>
    </row>
    <row r="13130" spans="1:12" x14ac:dyDescent="0.25">
      <c r="A13130" s="4" t="str">
        <f>HYPERLINK("http://www.rosaceae.org/Prunus/Prunus_persica/p.persica_gdr_reftransV1_0027581","p.persica_gdr_reftransV1_0027581")</f>
        <v>p.persica_gdr_reftransV1_0027581</v>
      </c>
      <c r="B13130" s="2">
        <v>937</v>
      </c>
      <c r="C13130" s="4" t="str">
        <f>HYPERLINK("http://www.uniprot.org/uniprot/M5X374","M5X374")</f>
        <v>M5X374</v>
      </c>
      <c r="D13130" s="2" t="s">
        <v>1425</v>
      </c>
      <c r="E13130" s="3">
        <v>5.0199999999999999E-75</v>
      </c>
      <c r="F13130" s="2">
        <v>624</v>
      </c>
      <c r="G13130" s="2">
        <v>100</v>
      </c>
      <c r="H13130" s="2">
        <v>144</v>
      </c>
      <c r="I13130" s="2">
        <v>440</v>
      </c>
      <c r="J13130" s="2">
        <v>871</v>
      </c>
      <c r="K13130" s="2">
        <v>1</v>
      </c>
      <c r="L13130" s="2">
        <v>144</v>
      </c>
    </row>
    <row r="13131" spans="1:12" x14ac:dyDescent="0.25">
      <c r="A13131" s="4" t="str">
        <f>HYPERLINK("http://www.rosaceae.org/Prunus/Prunus_persica/p.persica_gdr_reftransV1_0029331","p.persica_gdr_reftransV1_0029331")</f>
        <v>p.persica_gdr_reftransV1_0029331</v>
      </c>
      <c r="B13131" s="2">
        <v>1423</v>
      </c>
      <c r="C13131" s="4" t="str">
        <f>HYPERLINK("http://www.uniprot.org/uniprot/M5XCB0","M5XCB0")</f>
        <v>M5XCB0</v>
      </c>
      <c r="D13131" s="2" t="s">
        <v>10851</v>
      </c>
      <c r="E13131" s="3">
        <v>0</v>
      </c>
      <c r="F13131" s="2">
        <v>1402</v>
      </c>
      <c r="G13131" s="2">
        <v>100</v>
      </c>
      <c r="H13131" s="2">
        <v>335</v>
      </c>
      <c r="I13131" s="2">
        <v>149</v>
      </c>
      <c r="J13131" s="2">
        <v>1153</v>
      </c>
      <c r="K13131" s="2">
        <v>1</v>
      </c>
      <c r="L13131" s="2">
        <v>335</v>
      </c>
    </row>
    <row r="13132" spans="1:12" x14ac:dyDescent="0.25">
      <c r="A13132" s="4" t="str">
        <f>HYPERLINK("http://www.rosaceae.org/Prunus/Prunus_persica/p.persica_gdr_reftransV1_0029681","p.persica_gdr_reftransV1_0029681")</f>
        <v>p.persica_gdr_reftransV1_0029681</v>
      </c>
      <c r="B13132" s="2">
        <v>1074</v>
      </c>
      <c r="C13132" s="4" t="str">
        <f>HYPERLINK("http://www.uniprot.org/uniprot/M5W4E4","M5W4E4")</f>
        <v>M5W4E4</v>
      </c>
      <c r="D13132" s="2" t="s">
        <v>10852</v>
      </c>
      <c r="E13132" s="3">
        <v>4.67E-133</v>
      </c>
      <c r="F13132" s="2">
        <v>1003</v>
      </c>
      <c r="G13132" s="2">
        <v>100</v>
      </c>
      <c r="H13132" s="2">
        <v>192</v>
      </c>
      <c r="I13132" s="2">
        <v>153</v>
      </c>
      <c r="J13132" s="2">
        <v>728</v>
      </c>
      <c r="K13132" s="2">
        <v>25</v>
      </c>
      <c r="L13132" s="2">
        <v>216</v>
      </c>
    </row>
    <row r="13133" spans="1:12" x14ac:dyDescent="0.25">
      <c r="A13133" s="4" t="str">
        <f>HYPERLINK("http://www.rosaceae.org/Prunus/Prunus_persica/p.persica_gdr_reftransV1_0030031","p.persica_gdr_reftransV1_0030031")</f>
        <v>p.persica_gdr_reftransV1_0030031</v>
      </c>
      <c r="B13133" s="2">
        <v>2682</v>
      </c>
      <c r="C13133" s="4" t="str">
        <f>HYPERLINK("http://www.uniprot.org/uniprot/M5XZ09","M5XZ09")</f>
        <v>M5XZ09</v>
      </c>
      <c r="D13133" s="2" t="s">
        <v>2082</v>
      </c>
      <c r="E13133" s="3">
        <v>4.9300000000000003E-98</v>
      </c>
      <c r="F13133" s="2">
        <v>828</v>
      </c>
      <c r="G13133" s="2">
        <v>99</v>
      </c>
      <c r="H13133" s="2">
        <v>157</v>
      </c>
      <c r="I13133" s="2">
        <v>1747</v>
      </c>
      <c r="J13133" s="2">
        <v>2217</v>
      </c>
      <c r="K13133" s="2">
        <v>219</v>
      </c>
      <c r="L13133" s="2">
        <v>375</v>
      </c>
    </row>
    <row r="13134" spans="1:12" x14ac:dyDescent="0.25">
      <c r="A13134" s="4" t="str">
        <f>HYPERLINK("http://www.rosaceae.org/Prunus/Prunus_persica/p.persica_gdr_reftransV1_0035631","p.persica_gdr_reftransV1_0035631")</f>
        <v>p.persica_gdr_reftransV1_0035631</v>
      </c>
      <c r="B13134" s="2">
        <v>3710</v>
      </c>
      <c r="C13134" s="4" t="str">
        <f>HYPERLINK("http://www.uniprot.org/uniprot/M5VN87","M5VN87")</f>
        <v>M5VN87</v>
      </c>
      <c r="D13134" s="2" t="s">
        <v>126</v>
      </c>
      <c r="E13134" s="3">
        <v>1.6799999999999999E-163</v>
      </c>
      <c r="F13134" s="2">
        <v>1312</v>
      </c>
      <c r="G13134" s="2">
        <v>92</v>
      </c>
      <c r="H13134" s="2">
        <v>321</v>
      </c>
      <c r="I13134" s="2">
        <v>1356</v>
      </c>
      <c r="J13134" s="2">
        <v>2318</v>
      </c>
      <c r="K13134" s="2">
        <v>68</v>
      </c>
      <c r="L13134" s="2">
        <v>371</v>
      </c>
    </row>
    <row r="13135" spans="1:12" x14ac:dyDescent="0.25">
      <c r="A13135" s="4" t="str">
        <f>HYPERLINK("http://www.rosaceae.org/Prunus/Prunus_persica/p.persica_gdr_reftransV1_0036681","p.persica_gdr_reftransV1_0036681")</f>
        <v>p.persica_gdr_reftransV1_0036681</v>
      </c>
      <c r="B13135" s="2">
        <v>2536</v>
      </c>
      <c r="C13135" s="4" t="str">
        <f>HYPERLINK("http://www.uniprot.org/uniprot/M5XX64","M5XX64")</f>
        <v>M5XX64</v>
      </c>
      <c r="D13135" s="2" t="s">
        <v>10853</v>
      </c>
      <c r="E13135" s="3">
        <v>0</v>
      </c>
      <c r="F13135" s="2">
        <v>3389</v>
      </c>
      <c r="G13135" s="2">
        <v>100</v>
      </c>
      <c r="H13135" s="2">
        <v>650</v>
      </c>
      <c r="I13135" s="2">
        <v>483</v>
      </c>
      <c r="J13135" s="2">
        <v>2423</v>
      </c>
      <c r="K13135" s="2">
        <v>1</v>
      </c>
      <c r="L13135" s="2">
        <v>650</v>
      </c>
    </row>
    <row r="13136" spans="1:12" x14ac:dyDescent="0.25">
      <c r="A13136" s="4" t="str">
        <f>HYPERLINK("http://www.rosaceae.org/Prunus/Prunus_persica/p.persica_gdr_reftransV1_0038431","p.persica_gdr_reftransV1_0038431")</f>
        <v>p.persica_gdr_reftransV1_0038431</v>
      </c>
      <c r="B13136" s="2">
        <v>1067</v>
      </c>
      <c r="C13136" s="4" t="str">
        <f>HYPERLINK("http://www.uniprot.org/uniprot/M5WI35","M5WI35")</f>
        <v>M5WI35</v>
      </c>
      <c r="D13136" s="2" t="s">
        <v>10854</v>
      </c>
      <c r="E13136" s="3">
        <v>3.4500000000000001E-92</v>
      </c>
      <c r="F13136" s="2">
        <v>726</v>
      </c>
      <c r="G13136" s="2">
        <v>100</v>
      </c>
      <c r="H13136" s="2">
        <v>153</v>
      </c>
      <c r="I13136" s="2">
        <v>270</v>
      </c>
      <c r="J13136" s="2">
        <v>728</v>
      </c>
      <c r="K13136" s="2">
        <v>1</v>
      </c>
      <c r="L13136" s="2">
        <v>153</v>
      </c>
    </row>
    <row r="13137" spans="1:12" x14ac:dyDescent="0.25">
      <c r="A13137" s="4" t="str">
        <f>HYPERLINK("http://www.rosaceae.org/Prunus/Prunus_persica/p.persica_gdr_reftransV1_0039131","p.persica_gdr_reftransV1_0039131")</f>
        <v>p.persica_gdr_reftransV1_0039131</v>
      </c>
      <c r="B13137" s="2">
        <v>3567</v>
      </c>
      <c r="C13137" s="4" t="str">
        <f>HYPERLINK("http://www.uniprot.org/uniprot/M0T5W3","M0T5W3")</f>
        <v>M0T5W3</v>
      </c>
      <c r="D13137" s="2" t="s">
        <v>2192</v>
      </c>
      <c r="E13137" s="3">
        <v>5.9699999999999998E-108</v>
      </c>
      <c r="F13137" s="2">
        <v>625</v>
      </c>
      <c r="G13137" s="2">
        <v>82</v>
      </c>
      <c r="H13137" s="2">
        <v>136</v>
      </c>
      <c r="I13137" s="2">
        <v>1679</v>
      </c>
      <c r="J13137" s="2">
        <v>2086</v>
      </c>
      <c r="K13137" s="2">
        <v>55</v>
      </c>
      <c r="L13137" s="2">
        <v>190</v>
      </c>
    </row>
    <row r="13138" spans="1:12" x14ac:dyDescent="0.25">
      <c r="A13138" s="4" t="str">
        <f>HYPERLINK("http://www.rosaceae.org/Prunus/Prunus_persica/p.persica_gdr_reftransV1_0039831","p.persica_gdr_reftransV1_0039831")</f>
        <v>p.persica_gdr_reftransV1_0039831</v>
      </c>
      <c r="B13138" s="2">
        <v>3312</v>
      </c>
      <c r="C13138" s="4" t="str">
        <f>HYPERLINK("http://www.uniprot.org/uniprot/M5XWF5","M5XWF5")</f>
        <v>M5XWF5</v>
      </c>
      <c r="D13138" s="2" t="s">
        <v>8971</v>
      </c>
      <c r="E13138" s="3">
        <v>0</v>
      </c>
      <c r="F13138" s="2">
        <v>2022</v>
      </c>
      <c r="G13138" s="2">
        <v>100</v>
      </c>
      <c r="H13138" s="2">
        <v>381</v>
      </c>
      <c r="I13138" s="2">
        <v>401</v>
      </c>
      <c r="J13138" s="2">
        <v>1543</v>
      </c>
      <c r="K13138" s="2">
        <v>9</v>
      </c>
      <c r="L13138" s="2">
        <v>389</v>
      </c>
    </row>
    <row r="13139" spans="1:12" x14ac:dyDescent="0.25">
      <c r="A13139" s="4" t="str">
        <f>HYPERLINK("http://www.rosaceae.org/Prunus/Prunus_persica/p.persica_gdr_reftransV1_0040181","p.persica_gdr_reftransV1_0040181")</f>
        <v>p.persica_gdr_reftransV1_0040181</v>
      </c>
      <c r="B13139" s="2">
        <v>3044</v>
      </c>
      <c r="C13139" s="4" t="str">
        <f>HYPERLINK("http://www.uniprot.org/uniprot/M5X0E4","M5X0E4")</f>
        <v>M5X0E4</v>
      </c>
      <c r="D13139" s="2" t="s">
        <v>10855</v>
      </c>
      <c r="E13139" s="3">
        <v>0</v>
      </c>
      <c r="F13139" s="2">
        <v>1426</v>
      </c>
      <c r="G13139" s="2">
        <v>100</v>
      </c>
      <c r="H13139" s="2">
        <v>317</v>
      </c>
      <c r="I13139" s="2">
        <v>285</v>
      </c>
      <c r="J13139" s="2">
        <v>1235</v>
      </c>
      <c r="K13139" s="2">
        <v>1</v>
      </c>
      <c r="L13139" s="2">
        <v>317</v>
      </c>
    </row>
    <row r="13140" spans="1:12" x14ac:dyDescent="0.25">
      <c r="A13140" s="4" t="str">
        <f>HYPERLINK("http://www.rosaceae.org/Prunus/Prunus_persica/p.persica_gdr_reftransV1_0041581","p.persica_gdr_reftransV1_0041581")</f>
        <v>p.persica_gdr_reftransV1_0041581</v>
      </c>
      <c r="B13140" s="2">
        <v>2266</v>
      </c>
      <c r="C13140" s="4" t="str">
        <f>HYPERLINK("http://www.uniprot.org/uniprot/M5VXV7","M5VXV7")</f>
        <v>M5VXV7</v>
      </c>
      <c r="D13140" s="2" t="s">
        <v>10856</v>
      </c>
      <c r="E13140" s="3">
        <v>0</v>
      </c>
      <c r="F13140" s="2">
        <v>2668</v>
      </c>
      <c r="G13140" s="2">
        <v>99</v>
      </c>
      <c r="H13140" s="2">
        <v>508</v>
      </c>
      <c r="I13140" s="2">
        <v>569</v>
      </c>
      <c r="J13140" s="2">
        <v>2092</v>
      </c>
      <c r="K13140" s="2">
        <v>1</v>
      </c>
      <c r="L13140" s="2">
        <v>508</v>
      </c>
    </row>
    <row r="13141" spans="1:12" x14ac:dyDescent="0.25">
      <c r="A13141" s="4" t="str">
        <f>HYPERLINK("http://www.rosaceae.org/Prunus/Prunus_persica/p.persica_gdr_reftransV1_0042631","p.persica_gdr_reftransV1_0042631")</f>
        <v>p.persica_gdr_reftransV1_0042631</v>
      </c>
      <c r="B13141" s="2">
        <v>853</v>
      </c>
      <c r="C13141" s="4" t="str">
        <f>HYPERLINK("http://www.uniprot.org/uniprot/M5W0J7","M5W0J7")</f>
        <v>M5W0J7</v>
      </c>
      <c r="D13141" s="2" t="s">
        <v>10857</v>
      </c>
      <c r="E13141" s="3">
        <v>1.56E-113</v>
      </c>
      <c r="F13141" s="2">
        <v>861</v>
      </c>
      <c r="G13141" s="2">
        <v>100</v>
      </c>
      <c r="H13141" s="2">
        <v>158</v>
      </c>
      <c r="I13141" s="2">
        <v>298</v>
      </c>
      <c r="J13141" s="2">
        <v>771</v>
      </c>
      <c r="K13141" s="2">
        <v>1</v>
      </c>
      <c r="L13141" s="2">
        <v>158</v>
      </c>
    </row>
    <row r="13142" spans="1:12" x14ac:dyDescent="0.25">
      <c r="A13142" s="4" t="str">
        <f>HYPERLINK("http://www.rosaceae.org/Prunus/Prunus_persica/p.persica_gdr_reftransV1_0043331","p.persica_gdr_reftransV1_0043331")</f>
        <v>p.persica_gdr_reftransV1_0043331</v>
      </c>
      <c r="B13142" s="2">
        <v>909</v>
      </c>
      <c r="C13142" s="4" t="str">
        <f>HYPERLINK("http://www.uniprot.org/uniprot/M5XFX8","M5XFX8")</f>
        <v>M5XFX8</v>
      </c>
      <c r="D13142" s="2" t="s">
        <v>10858</v>
      </c>
      <c r="E13142" s="3">
        <v>2.2500000000000001E-79</v>
      </c>
      <c r="F13142" s="2">
        <v>636</v>
      </c>
      <c r="G13142" s="2">
        <v>100</v>
      </c>
      <c r="H13142" s="2">
        <v>155</v>
      </c>
      <c r="I13142" s="2">
        <v>339</v>
      </c>
      <c r="J13142" s="2">
        <v>803</v>
      </c>
      <c r="K13142" s="2">
        <v>1</v>
      </c>
      <c r="L13142" s="2">
        <v>155</v>
      </c>
    </row>
    <row r="13143" spans="1:12" x14ac:dyDescent="0.25">
      <c r="A13143" s="4" t="str">
        <f>HYPERLINK("http://www.rosaceae.org/Prunus/Prunus_persica/p.persica_gdr_reftransV1_0043681","p.persica_gdr_reftransV1_0043681")</f>
        <v>p.persica_gdr_reftransV1_0043681</v>
      </c>
      <c r="B13143" s="2">
        <v>2083</v>
      </c>
      <c r="C13143" s="4" t="str">
        <f>HYPERLINK("http://www.uniprot.org/uniprot/M5X5S1","M5X5S1")</f>
        <v>M5X5S1</v>
      </c>
      <c r="D13143" s="2" t="s">
        <v>10859</v>
      </c>
      <c r="E13143" s="3">
        <v>0</v>
      </c>
      <c r="F13143" s="2">
        <v>2734</v>
      </c>
      <c r="G13143" s="2">
        <v>100</v>
      </c>
      <c r="H13143" s="2">
        <v>535</v>
      </c>
      <c r="I13143" s="2">
        <v>352</v>
      </c>
      <c r="J13143" s="2">
        <v>1956</v>
      </c>
      <c r="K13143" s="2">
        <v>1</v>
      </c>
      <c r="L13143" s="2">
        <v>535</v>
      </c>
    </row>
    <row r="13144" spans="1:12" x14ac:dyDescent="0.25">
      <c r="A13144" s="4" t="str">
        <f>HYPERLINK("http://www.rosaceae.org/Prunus/Prunus_persica/p.persica_gdr_reftransV1_0044381","p.persica_gdr_reftransV1_0044381")</f>
        <v>p.persica_gdr_reftransV1_0044381</v>
      </c>
      <c r="B13144" s="2">
        <v>1334</v>
      </c>
      <c r="C13144" s="4" t="str">
        <f>HYPERLINK("http://www.uniprot.org/uniprot/M5X084","M5X084")</f>
        <v>M5X084</v>
      </c>
      <c r="D13144" s="2" t="s">
        <v>9632</v>
      </c>
      <c r="E13144" s="3">
        <v>2.2200000000000001E-168</v>
      </c>
      <c r="F13144" s="2">
        <v>1258</v>
      </c>
      <c r="G13144" s="2">
        <v>98</v>
      </c>
      <c r="H13144" s="2">
        <v>289</v>
      </c>
      <c r="I13144" s="2">
        <v>456</v>
      </c>
      <c r="J13144" s="2">
        <v>1322</v>
      </c>
      <c r="K13144" s="2">
        <v>51</v>
      </c>
      <c r="L13144" s="2">
        <v>339</v>
      </c>
    </row>
    <row r="13145" spans="1:12" x14ac:dyDescent="0.25">
      <c r="A13145" s="4" t="str">
        <f>HYPERLINK("http://www.rosaceae.org/Prunus/Prunus_persica/p.persica_gdr_reftransV1_0044731","p.persica_gdr_reftransV1_0044731")</f>
        <v>p.persica_gdr_reftransV1_0044731</v>
      </c>
      <c r="B13145" s="2">
        <v>480</v>
      </c>
      <c r="C13145" s="4" t="str">
        <f>HYPERLINK("http://www.uniprot.org/uniprot/M5XWC1","M5XWC1")</f>
        <v>M5XWC1</v>
      </c>
      <c r="D13145" s="2" t="s">
        <v>3761</v>
      </c>
      <c r="E13145" s="3">
        <v>3.36E-84</v>
      </c>
      <c r="F13145" s="2">
        <v>693</v>
      </c>
      <c r="G13145" s="2">
        <v>100</v>
      </c>
      <c r="H13145" s="2">
        <v>159</v>
      </c>
      <c r="I13145" s="2">
        <v>3</v>
      </c>
      <c r="J13145" s="2">
        <v>479</v>
      </c>
      <c r="K13145" s="2">
        <v>369</v>
      </c>
      <c r="L13145" s="2">
        <v>527</v>
      </c>
    </row>
    <row r="13146" spans="1:12" x14ac:dyDescent="0.25">
      <c r="A13146" s="4" t="str">
        <f>HYPERLINK("http://www.rosaceae.org/Prunus/Prunus_persica/p.persica_gdr_reftransV1_0045081","p.persica_gdr_reftransV1_0045081")</f>
        <v>p.persica_gdr_reftransV1_0045081</v>
      </c>
      <c r="B13146" s="2">
        <v>1868</v>
      </c>
      <c r="C13146" s="4" t="str">
        <f>HYPERLINK("http://www.uniprot.org/uniprot/M5WMC3","M5WMC3")</f>
        <v>M5WMC3</v>
      </c>
      <c r="D13146" s="2" t="s">
        <v>10860</v>
      </c>
      <c r="E13146" s="3">
        <v>0</v>
      </c>
      <c r="F13146" s="2">
        <v>2607</v>
      </c>
      <c r="G13146" s="2">
        <v>97</v>
      </c>
      <c r="H13146" s="2">
        <v>540</v>
      </c>
      <c r="I13146" s="2">
        <v>248</v>
      </c>
      <c r="J13146" s="2">
        <v>1867</v>
      </c>
      <c r="K13146" s="2">
        <v>291</v>
      </c>
      <c r="L13146" s="2">
        <v>830</v>
      </c>
    </row>
    <row r="13147" spans="1:12" x14ac:dyDescent="0.25">
      <c r="A13147" s="4" t="str">
        <f>HYPERLINK("http://www.rosaceae.org/Prunus/Prunus_persica/p.persica_gdr_reftransV1_0045781","p.persica_gdr_reftransV1_0045781")</f>
        <v>p.persica_gdr_reftransV1_0045781</v>
      </c>
      <c r="B13147" s="2">
        <v>1664</v>
      </c>
      <c r="C13147" s="4" t="str">
        <f>HYPERLINK("http://www.uniprot.org/uniprot/M5VW29","M5VW29")</f>
        <v>M5VW29</v>
      </c>
      <c r="D13147" s="2" t="s">
        <v>10827</v>
      </c>
      <c r="E13147" s="3">
        <v>0</v>
      </c>
      <c r="F13147" s="2">
        <v>1414</v>
      </c>
      <c r="G13147" s="2">
        <v>100</v>
      </c>
      <c r="H13147" s="2">
        <v>288</v>
      </c>
      <c r="I13147" s="2">
        <v>740</v>
      </c>
      <c r="J13147" s="2">
        <v>1603</v>
      </c>
      <c r="K13147" s="2">
        <v>1</v>
      </c>
      <c r="L13147" s="2">
        <v>288</v>
      </c>
    </row>
    <row r="13148" spans="1:12" x14ac:dyDescent="0.25">
      <c r="A13148" s="4" t="str">
        <f>HYPERLINK("http://www.rosaceae.org/Prunus/Prunus_persica/p.persica_gdr_reftransV1_0046131","p.persica_gdr_reftransV1_0046131")</f>
        <v>p.persica_gdr_reftransV1_0046131</v>
      </c>
      <c r="B13148" s="2">
        <v>1797</v>
      </c>
      <c r="C13148" s="4" t="str">
        <f>HYPERLINK("http://www.uniprot.org/uniprot/M5WSQ8","M5WSQ8")</f>
        <v>M5WSQ8</v>
      </c>
      <c r="D13148" s="2" t="s">
        <v>10321</v>
      </c>
      <c r="E13148" s="3">
        <v>0</v>
      </c>
      <c r="F13148" s="2">
        <v>1421</v>
      </c>
      <c r="G13148" s="2">
        <v>100</v>
      </c>
      <c r="H13148" s="2">
        <v>289</v>
      </c>
      <c r="I13148" s="2">
        <v>479</v>
      </c>
      <c r="J13148" s="2">
        <v>1345</v>
      </c>
      <c r="K13148" s="2">
        <v>27</v>
      </c>
      <c r="L13148" s="2">
        <v>315</v>
      </c>
    </row>
    <row r="13149" spans="1:12" x14ac:dyDescent="0.25">
      <c r="A13149" s="4" t="str">
        <f>HYPERLINK("http://www.rosaceae.org/Prunus/Prunus_persica/p.persica_gdr_reftransV1_0046831","p.persica_gdr_reftransV1_0046831")</f>
        <v>p.persica_gdr_reftransV1_0046831</v>
      </c>
      <c r="B13149" s="2">
        <v>1014</v>
      </c>
      <c r="C13149" s="4" t="str">
        <f>HYPERLINK("http://www.uniprot.org/uniprot/M5XK83","M5XK83")</f>
        <v>M5XK83</v>
      </c>
      <c r="D13149" s="2" t="s">
        <v>4761</v>
      </c>
      <c r="E13149" s="3">
        <v>3.9300000000000003E-116</v>
      </c>
      <c r="F13149" s="2">
        <v>902</v>
      </c>
      <c r="G13149" s="2">
        <v>100</v>
      </c>
      <c r="H13149" s="2">
        <v>189</v>
      </c>
      <c r="I13149" s="2">
        <v>173</v>
      </c>
      <c r="J13149" s="2">
        <v>739</v>
      </c>
      <c r="K13149" s="2">
        <v>160</v>
      </c>
      <c r="L13149" s="2">
        <v>348</v>
      </c>
    </row>
    <row r="13150" spans="1:12" x14ac:dyDescent="0.25">
      <c r="A13150" s="4" t="str">
        <f>HYPERLINK("http://www.rosaceae.org/Prunus/Prunus_persica/p.persica_gdr_reftransV1_0047181","p.persica_gdr_reftransV1_0047181")</f>
        <v>p.persica_gdr_reftransV1_0047181</v>
      </c>
      <c r="B13150" s="2">
        <v>1067</v>
      </c>
      <c r="C13150" s="4" t="str">
        <f>HYPERLINK("http://www.uniprot.org/uniprot/M5VX23","M5VX23")</f>
        <v>M5VX23</v>
      </c>
      <c r="D13150" s="2" t="s">
        <v>6631</v>
      </c>
      <c r="E13150" s="3">
        <v>1.24E-114</v>
      </c>
      <c r="F13150" s="2">
        <v>952</v>
      </c>
      <c r="G13150" s="2">
        <v>97</v>
      </c>
      <c r="H13150" s="2">
        <v>205</v>
      </c>
      <c r="I13150" s="2">
        <v>451</v>
      </c>
      <c r="J13150" s="2">
        <v>1065</v>
      </c>
      <c r="K13150" s="2">
        <v>745</v>
      </c>
      <c r="L13150" s="2">
        <v>949</v>
      </c>
    </row>
    <row r="13151" spans="1:12" x14ac:dyDescent="0.25">
      <c r="A13151" s="4" t="str">
        <f>HYPERLINK("http://www.rosaceae.org/Prunus/Prunus_persica/p.persica_gdr_reftransV1_0047531","p.persica_gdr_reftransV1_0047531")</f>
        <v>p.persica_gdr_reftransV1_0047531</v>
      </c>
      <c r="B13151" s="2">
        <v>1305</v>
      </c>
      <c r="C13151" s="4" t="str">
        <f>HYPERLINK("http://www.uniprot.org/uniprot/M5X9K7","M5X9K7")</f>
        <v>M5X9K7</v>
      </c>
      <c r="D13151" s="2" t="s">
        <v>10861</v>
      </c>
      <c r="E13151" s="3">
        <v>0</v>
      </c>
      <c r="F13151" s="2">
        <v>1842</v>
      </c>
      <c r="G13151" s="2">
        <v>100</v>
      </c>
      <c r="H13151" s="2">
        <v>341</v>
      </c>
      <c r="I13151" s="2">
        <v>281</v>
      </c>
      <c r="J13151" s="2">
        <v>1303</v>
      </c>
      <c r="K13151" s="2">
        <v>1</v>
      </c>
      <c r="L13151" s="2">
        <v>341</v>
      </c>
    </row>
    <row r="13152" spans="1:12" x14ac:dyDescent="0.25">
      <c r="A13152" s="4" t="str">
        <f>HYPERLINK("http://www.rosaceae.org/Prunus/Prunus_persica/p.persica_gdr_reftransV1_0047881","p.persica_gdr_reftransV1_0047881")</f>
        <v>p.persica_gdr_reftransV1_0047881</v>
      </c>
      <c r="B13152" s="2">
        <v>970</v>
      </c>
      <c r="C13152" s="4" t="str">
        <f>HYPERLINK("http://www.uniprot.org/uniprot/M5WAS4","M5WAS4")</f>
        <v>M5WAS4</v>
      </c>
      <c r="D13152" s="2" t="s">
        <v>10862</v>
      </c>
      <c r="E13152" s="3">
        <v>5.9200000000000003E-120</v>
      </c>
      <c r="F13152" s="2">
        <v>910</v>
      </c>
      <c r="G13152" s="2">
        <v>100</v>
      </c>
      <c r="H13152" s="2">
        <v>186</v>
      </c>
      <c r="I13152" s="2">
        <v>349</v>
      </c>
      <c r="J13152" s="2">
        <v>906</v>
      </c>
      <c r="K13152" s="2">
        <v>1</v>
      </c>
      <c r="L13152" s="2">
        <v>186</v>
      </c>
    </row>
    <row r="13153" spans="1:12" x14ac:dyDescent="0.25">
      <c r="A13153" s="4" t="str">
        <f>HYPERLINK("http://www.rosaceae.org/Prunus/Prunus_persica/p.persica_gdr_reftransV1_0048231","p.persica_gdr_reftransV1_0048231")</f>
        <v>p.persica_gdr_reftransV1_0048231</v>
      </c>
      <c r="B13153" s="2">
        <v>408</v>
      </c>
      <c r="C13153" s="4" t="str">
        <f>HYPERLINK("http://www.uniprot.org/uniprot/M5Y189","M5Y189")</f>
        <v>M5Y189</v>
      </c>
      <c r="D13153" s="2" t="s">
        <v>10863</v>
      </c>
      <c r="E13153" s="3">
        <v>1.5900000000000001E-80</v>
      </c>
      <c r="F13153" s="2">
        <v>664</v>
      </c>
      <c r="G13153" s="2">
        <v>100</v>
      </c>
      <c r="H13153" s="2">
        <v>120</v>
      </c>
      <c r="I13153" s="2">
        <v>49</v>
      </c>
      <c r="J13153" s="2">
        <v>408</v>
      </c>
      <c r="K13153" s="2">
        <v>1</v>
      </c>
      <c r="L13153" s="2">
        <v>120</v>
      </c>
    </row>
    <row r="13154" spans="1:12" x14ac:dyDescent="0.25">
      <c r="A13154" s="4" t="str">
        <f>HYPERLINK("http://www.rosaceae.org/Prunus/Prunus_persica/p.persica_gdr_reftransV1_0048581","p.persica_gdr_reftransV1_0048581")</f>
        <v>p.persica_gdr_reftransV1_0048581</v>
      </c>
      <c r="B13154" s="2">
        <v>355</v>
      </c>
      <c r="C13154" s="4" t="str">
        <f>HYPERLINK("http://www.uniprot.org/uniprot/M5WKT1","M5WKT1")</f>
        <v>M5WKT1</v>
      </c>
      <c r="D13154" s="2" t="s">
        <v>10864</v>
      </c>
      <c r="E13154" s="3">
        <v>3.07E-72</v>
      </c>
      <c r="F13154" s="2">
        <v>615</v>
      </c>
      <c r="G13154" s="2">
        <v>100</v>
      </c>
      <c r="H13154" s="2">
        <v>117</v>
      </c>
      <c r="I13154" s="2">
        <v>3</v>
      </c>
      <c r="J13154" s="2">
        <v>353</v>
      </c>
      <c r="K13154" s="2">
        <v>389</v>
      </c>
      <c r="L13154" s="2">
        <v>505</v>
      </c>
    </row>
    <row r="13155" spans="1:12" x14ac:dyDescent="0.25">
      <c r="A13155" s="4" t="str">
        <f>HYPERLINK("http://www.rosaceae.org/Prunus/Prunus_persica/p.persica_gdr_reftransV1_0048931","p.persica_gdr_reftransV1_0048931")</f>
        <v>p.persica_gdr_reftransV1_0048931</v>
      </c>
      <c r="B13155" s="2">
        <v>1284</v>
      </c>
      <c r="C13155" s="4" t="str">
        <f>HYPERLINK("http://www.uniprot.org/uniprot/D7U3S1","D7U3S1")</f>
        <v>D7U3S1</v>
      </c>
      <c r="D13155" s="2" t="s">
        <v>10865</v>
      </c>
      <c r="E13155" s="3">
        <v>5.6399999999999997E-128</v>
      </c>
      <c r="F13155" s="2">
        <v>996</v>
      </c>
      <c r="G13155" s="2">
        <v>86</v>
      </c>
      <c r="H13155" s="2">
        <v>246</v>
      </c>
      <c r="I13155" s="2">
        <v>359</v>
      </c>
      <c r="J13155" s="2">
        <v>1093</v>
      </c>
      <c r="K13155" s="2">
        <v>170</v>
      </c>
      <c r="L13155" s="2">
        <v>415</v>
      </c>
    </row>
    <row r="13156" spans="1:12" x14ac:dyDescent="0.25">
      <c r="A13156" s="4" t="str">
        <f>HYPERLINK("http://www.rosaceae.org/Prunus/Prunus_persica/p.persica_gdr_reftransV1_0000282","p.persica_gdr_reftransV1_0000282")</f>
        <v>p.persica_gdr_reftransV1_0000282</v>
      </c>
      <c r="B13156" s="2">
        <v>297</v>
      </c>
      <c r="C13156" s="4" t="str">
        <f>HYPERLINK("http://www.uniprot.org/uniprot/M5WI81","M5WI81")</f>
        <v>M5WI81</v>
      </c>
      <c r="D13156" s="2" t="s">
        <v>6354</v>
      </c>
      <c r="E13156" s="3">
        <v>1.5099999999999999E-44</v>
      </c>
      <c r="F13156" s="2">
        <v>401</v>
      </c>
      <c r="G13156" s="2">
        <v>100</v>
      </c>
      <c r="H13156" s="2">
        <v>99</v>
      </c>
      <c r="I13156" s="2">
        <v>1</v>
      </c>
      <c r="J13156" s="2">
        <v>297</v>
      </c>
      <c r="K13156" s="2">
        <v>222</v>
      </c>
      <c r="L13156" s="2">
        <v>320</v>
      </c>
    </row>
    <row r="13157" spans="1:12" x14ac:dyDescent="0.25">
      <c r="A13157" s="4" t="str">
        <f>HYPERLINK("http://www.rosaceae.org/Prunus/Prunus_persica/p.persica_gdr_reftransV1_0000632","p.persica_gdr_reftransV1_0000632")</f>
        <v>p.persica_gdr_reftransV1_0000632</v>
      </c>
      <c r="B13157" s="2">
        <v>991</v>
      </c>
      <c r="C13157" s="4" t="str">
        <f>HYPERLINK("http://www.uniprot.org/uniprot/M5X9C6","M5X9C6")</f>
        <v>M5X9C6</v>
      </c>
      <c r="D13157" s="2" t="s">
        <v>3337</v>
      </c>
      <c r="E13157" s="3">
        <v>2.1999999999999999E-125</v>
      </c>
      <c r="F13157" s="2">
        <v>987</v>
      </c>
      <c r="G13157" s="2">
        <v>76</v>
      </c>
      <c r="H13157" s="2">
        <v>262</v>
      </c>
      <c r="I13157" s="2">
        <v>1</v>
      </c>
      <c r="J13157" s="2">
        <v>786</v>
      </c>
      <c r="K13157" s="2">
        <v>97</v>
      </c>
      <c r="L13157" s="2">
        <v>331</v>
      </c>
    </row>
    <row r="13158" spans="1:12" x14ac:dyDescent="0.25">
      <c r="A13158" s="4" t="str">
        <f>HYPERLINK("http://www.rosaceae.org/Prunus/Prunus_persica/p.persica_gdr_reftransV1_0000982","p.persica_gdr_reftransV1_0000982")</f>
        <v>p.persica_gdr_reftransV1_0000982</v>
      </c>
      <c r="B13158" s="2">
        <v>1774</v>
      </c>
      <c r="C13158" s="4" t="str">
        <f>HYPERLINK("http://www.uniprot.org/uniprot/M5VXU1","M5VXU1")</f>
        <v>M5VXU1</v>
      </c>
      <c r="D13158" s="2" t="s">
        <v>10866</v>
      </c>
      <c r="E13158" s="3">
        <v>0</v>
      </c>
      <c r="F13158" s="2">
        <v>2448</v>
      </c>
      <c r="G13158" s="2">
        <v>100</v>
      </c>
      <c r="H13158" s="2">
        <v>504</v>
      </c>
      <c r="I13158" s="2">
        <v>139</v>
      </c>
      <c r="J13158" s="2">
        <v>1650</v>
      </c>
      <c r="K13158" s="2">
        <v>1</v>
      </c>
      <c r="L13158" s="2">
        <v>504</v>
      </c>
    </row>
    <row r="13159" spans="1:12" x14ac:dyDescent="0.25">
      <c r="A13159" s="4" t="str">
        <f>HYPERLINK("http://www.rosaceae.org/Prunus/Prunus_persica/p.persica_gdr_reftransV1_0001682","p.persica_gdr_reftransV1_0001682")</f>
        <v>p.persica_gdr_reftransV1_0001682</v>
      </c>
      <c r="B13159" s="2">
        <v>1882</v>
      </c>
      <c r="C13159" s="4" t="str">
        <f>HYPERLINK("http://www.uniprot.org/uniprot/M5XYD4","M5XYD4")</f>
        <v>M5XYD4</v>
      </c>
      <c r="D13159" s="2" t="s">
        <v>10867</v>
      </c>
      <c r="E13159" s="3">
        <v>0</v>
      </c>
      <c r="F13159" s="2">
        <v>2463</v>
      </c>
      <c r="G13159" s="2">
        <v>100</v>
      </c>
      <c r="H13159" s="2">
        <v>495</v>
      </c>
      <c r="I13159" s="2">
        <v>259</v>
      </c>
      <c r="J13159" s="2">
        <v>1743</v>
      </c>
      <c r="K13159" s="2">
        <v>1</v>
      </c>
      <c r="L13159" s="2">
        <v>495</v>
      </c>
    </row>
    <row r="13160" spans="1:12" x14ac:dyDescent="0.25">
      <c r="A13160" s="4" t="str">
        <f>HYPERLINK("http://www.rosaceae.org/Prunus/Prunus_persica/p.persica_gdr_reftransV1_0002032","p.persica_gdr_reftransV1_0002032")</f>
        <v>p.persica_gdr_reftransV1_0002032</v>
      </c>
      <c r="B13160" s="2">
        <v>529</v>
      </c>
      <c r="C13160" s="4" t="str">
        <f>HYPERLINK("http://www.uniprot.org/uniprot/M5Y8J8","M5Y8J8")</f>
        <v>M5Y8J8</v>
      </c>
      <c r="D13160" s="2" t="s">
        <v>10868</v>
      </c>
      <c r="E13160" s="3">
        <v>1.3900000000000001E-88</v>
      </c>
      <c r="F13160" s="2">
        <v>711</v>
      </c>
      <c r="G13160" s="2">
        <v>100</v>
      </c>
      <c r="H13160" s="2">
        <v>146</v>
      </c>
      <c r="I13160" s="2">
        <v>90</v>
      </c>
      <c r="J13160" s="2">
        <v>527</v>
      </c>
      <c r="K13160" s="2">
        <v>1</v>
      </c>
      <c r="L13160" s="2">
        <v>146</v>
      </c>
    </row>
    <row r="13161" spans="1:12" x14ac:dyDescent="0.25">
      <c r="A13161" s="4" t="str">
        <f>HYPERLINK("http://www.rosaceae.org/Prunus/Prunus_persica/p.persica_gdr_reftransV1_0002382","p.persica_gdr_reftransV1_0002382")</f>
        <v>p.persica_gdr_reftransV1_0002382</v>
      </c>
      <c r="B13161" s="2">
        <v>1289</v>
      </c>
      <c r="C13161" s="4" t="str">
        <f>HYPERLINK("http://www.uniprot.org/uniprot/M5XYH1","M5XYH1")</f>
        <v>M5XYH1</v>
      </c>
      <c r="D13161" s="2" t="s">
        <v>7772</v>
      </c>
      <c r="E13161" s="3">
        <v>0</v>
      </c>
      <c r="F13161" s="2">
        <v>1761</v>
      </c>
      <c r="G13161" s="2">
        <v>98</v>
      </c>
      <c r="H13161" s="2">
        <v>375</v>
      </c>
      <c r="I13161" s="2">
        <v>2</v>
      </c>
      <c r="J13161" s="2">
        <v>1126</v>
      </c>
      <c r="K13161" s="2">
        <v>195</v>
      </c>
      <c r="L13161" s="2">
        <v>569</v>
      </c>
    </row>
    <row r="13162" spans="1:12" x14ac:dyDescent="0.25">
      <c r="A13162" s="4" t="str">
        <f>HYPERLINK("http://www.rosaceae.org/Prunus/Prunus_persica/p.persica_gdr_reftransV1_0003082","p.persica_gdr_reftransV1_0003082")</f>
        <v>p.persica_gdr_reftransV1_0003082</v>
      </c>
      <c r="B13162" s="2">
        <v>2378</v>
      </c>
      <c r="C13162" s="4" t="str">
        <f>HYPERLINK("http://www.uniprot.org/uniprot/M5WR85","M5WR85")</f>
        <v>M5WR85</v>
      </c>
      <c r="D13162" s="2" t="s">
        <v>3416</v>
      </c>
      <c r="E13162" s="3">
        <v>0</v>
      </c>
      <c r="F13162" s="2">
        <v>2800</v>
      </c>
      <c r="G13162" s="2">
        <v>96</v>
      </c>
      <c r="H13162" s="2">
        <v>619</v>
      </c>
      <c r="I13162" s="2">
        <v>210</v>
      </c>
      <c r="J13162" s="2">
        <v>2066</v>
      </c>
      <c r="K13162" s="2">
        <v>1</v>
      </c>
      <c r="L13162" s="2">
        <v>607</v>
      </c>
    </row>
    <row r="13163" spans="1:12" x14ac:dyDescent="0.25">
      <c r="A13163" s="4" t="str">
        <f>HYPERLINK("http://www.rosaceae.org/Prunus/Prunus_persica/p.persica_gdr_reftransV1_0003432","p.persica_gdr_reftransV1_0003432")</f>
        <v>p.persica_gdr_reftransV1_0003432</v>
      </c>
      <c r="B13163" s="2">
        <v>875</v>
      </c>
      <c r="C13163" s="4" t="str">
        <f>HYPERLINK("http://www.uniprot.org/uniprot/M5X024","M5X024")</f>
        <v>M5X024</v>
      </c>
      <c r="D13163" s="2" t="s">
        <v>2475</v>
      </c>
      <c r="E13163" s="3">
        <v>9.1899999999999998E-114</v>
      </c>
      <c r="F13163" s="2">
        <v>868</v>
      </c>
      <c r="G13163" s="2">
        <v>89</v>
      </c>
      <c r="H13163" s="2">
        <v>184</v>
      </c>
      <c r="I13163" s="2">
        <v>165</v>
      </c>
      <c r="J13163" s="2">
        <v>716</v>
      </c>
      <c r="K13163" s="2">
        <v>24</v>
      </c>
      <c r="L13163" s="2">
        <v>207</v>
      </c>
    </row>
    <row r="13164" spans="1:12" x14ac:dyDescent="0.25">
      <c r="A13164" s="4" t="str">
        <f>HYPERLINK("http://www.rosaceae.org/Prunus/Prunus_persica/p.persica_gdr_reftransV1_0003782","p.persica_gdr_reftransV1_0003782")</f>
        <v>p.persica_gdr_reftransV1_0003782</v>
      </c>
      <c r="B13164" s="2">
        <v>494</v>
      </c>
      <c r="C13164" s="4" t="str">
        <f>HYPERLINK("http://www.uniprot.org/uniprot/M5WH93","M5WH93")</f>
        <v>M5WH93</v>
      </c>
      <c r="D13164" s="2" t="s">
        <v>310</v>
      </c>
      <c r="E13164" s="3">
        <v>5.8899999999999997E-96</v>
      </c>
      <c r="F13164" s="2">
        <v>799</v>
      </c>
      <c r="G13164" s="2">
        <v>100</v>
      </c>
      <c r="H13164" s="2">
        <v>164</v>
      </c>
      <c r="I13164" s="2">
        <v>1</v>
      </c>
      <c r="J13164" s="2">
        <v>492</v>
      </c>
      <c r="K13164" s="2">
        <v>712</v>
      </c>
      <c r="L13164" s="2">
        <v>875</v>
      </c>
    </row>
    <row r="13165" spans="1:12" x14ac:dyDescent="0.25">
      <c r="A13165" s="4" t="str">
        <f>HYPERLINK("http://www.rosaceae.org/Prunus/Prunus_persica/p.persica_gdr_reftransV1_0004482","p.persica_gdr_reftransV1_0004482")</f>
        <v>p.persica_gdr_reftransV1_0004482</v>
      </c>
      <c r="B13165" s="2">
        <v>2329</v>
      </c>
      <c r="C13165" s="4" t="str">
        <f>HYPERLINK("http://www.uniprot.org/uniprot/M5WCY6","M5WCY6")</f>
        <v>M5WCY6</v>
      </c>
      <c r="D13165" s="2" t="s">
        <v>4075</v>
      </c>
      <c r="E13165" s="3">
        <v>0</v>
      </c>
      <c r="F13165" s="2">
        <v>3401</v>
      </c>
      <c r="G13165" s="2">
        <v>100</v>
      </c>
      <c r="H13165" s="2">
        <v>663</v>
      </c>
      <c r="I13165" s="2">
        <v>340</v>
      </c>
      <c r="J13165" s="2">
        <v>2328</v>
      </c>
      <c r="K13165" s="2">
        <v>523</v>
      </c>
      <c r="L13165" s="2">
        <v>1185</v>
      </c>
    </row>
    <row r="13166" spans="1:12" x14ac:dyDescent="0.25">
      <c r="A13166" s="4" t="str">
        <f>HYPERLINK("http://www.rosaceae.org/Prunus/Prunus_persica/p.persica_gdr_reftransV1_0005182","p.persica_gdr_reftransV1_0005182")</f>
        <v>p.persica_gdr_reftransV1_0005182</v>
      </c>
      <c r="B13166" s="2">
        <v>1280</v>
      </c>
      <c r="C13166" s="4" t="str">
        <f>HYPERLINK("http://www.uniprot.org/uniprot/M5VJ19","M5VJ19")</f>
        <v>M5VJ19</v>
      </c>
      <c r="D13166" s="2" t="s">
        <v>1386</v>
      </c>
      <c r="E13166" s="3">
        <v>0</v>
      </c>
      <c r="F13166" s="2">
        <v>1875</v>
      </c>
      <c r="G13166" s="2">
        <v>100</v>
      </c>
      <c r="H13166" s="2">
        <v>365</v>
      </c>
      <c r="I13166" s="2">
        <v>184</v>
      </c>
      <c r="J13166" s="2">
        <v>1278</v>
      </c>
      <c r="K13166" s="2">
        <v>49</v>
      </c>
      <c r="L13166" s="2">
        <v>413</v>
      </c>
    </row>
    <row r="13167" spans="1:12" x14ac:dyDescent="0.25">
      <c r="A13167" s="4" t="str">
        <f>HYPERLINK("http://www.rosaceae.org/Prunus/Prunus_persica/p.persica_gdr_reftransV1_0006582","p.persica_gdr_reftransV1_0006582")</f>
        <v>p.persica_gdr_reftransV1_0006582</v>
      </c>
      <c r="B13167" s="2">
        <v>423</v>
      </c>
      <c r="C13167" s="4" t="str">
        <f>HYPERLINK("http://www.uniprot.org/uniprot/V4T275","V4T275")</f>
        <v>V4T275</v>
      </c>
      <c r="D13167" s="2" t="s">
        <v>10869</v>
      </c>
      <c r="E13167" s="3">
        <v>7.3700000000000003E-29</v>
      </c>
      <c r="F13167" s="2">
        <v>279</v>
      </c>
      <c r="G13167" s="2">
        <v>67</v>
      </c>
      <c r="H13167" s="2">
        <v>85</v>
      </c>
      <c r="I13167" s="2">
        <v>84</v>
      </c>
      <c r="J13167" s="2">
        <v>320</v>
      </c>
      <c r="K13167" s="2">
        <v>1</v>
      </c>
      <c r="L13167" s="2">
        <v>85</v>
      </c>
    </row>
    <row r="13168" spans="1:12" x14ac:dyDescent="0.25">
      <c r="A13168" s="4" t="str">
        <f>HYPERLINK("http://www.rosaceae.org/Prunus/Prunus_persica/p.persica_gdr_reftransV1_0006932","p.persica_gdr_reftransV1_0006932")</f>
        <v>p.persica_gdr_reftransV1_0006932</v>
      </c>
      <c r="B13168" s="2">
        <v>639</v>
      </c>
      <c r="C13168" s="4" t="str">
        <f>HYPERLINK("http://www.uniprot.org/uniprot/M5W7T4","M5W7T4")</f>
        <v>M5W7T4</v>
      </c>
      <c r="D13168" s="2" t="s">
        <v>10870</v>
      </c>
      <c r="E13168" s="3">
        <v>4.79E-122</v>
      </c>
      <c r="F13168" s="2">
        <v>980</v>
      </c>
      <c r="G13168" s="2">
        <v>100</v>
      </c>
      <c r="H13168" s="2">
        <v>190</v>
      </c>
      <c r="I13168" s="2">
        <v>69</v>
      </c>
      <c r="J13168" s="2">
        <v>638</v>
      </c>
      <c r="K13168" s="2">
        <v>851</v>
      </c>
      <c r="L13168" s="2">
        <v>1040</v>
      </c>
    </row>
    <row r="13169" spans="1:12" x14ac:dyDescent="0.25">
      <c r="A13169" s="4" t="str">
        <f>HYPERLINK("http://www.rosaceae.org/Prunus/Prunus_persica/p.persica_gdr_reftransV1_0007632","p.persica_gdr_reftransV1_0007632")</f>
        <v>p.persica_gdr_reftransV1_0007632</v>
      </c>
      <c r="B13169" s="2">
        <v>385</v>
      </c>
      <c r="C13169" s="4" t="str">
        <f>HYPERLINK("http://www.uniprot.org/uniprot/M5X537","M5X537")</f>
        <v>M5X537</v>
      </c>
      <c r="D13169" s="2" t="s">
        <v>10871</v>
      </c>
      <c r="E13169" s="3">
        <v>1.3199999999999999E-80</v>
      </c>
      <c r="F13169" s="2">
        <v>679</v>
      </c>
      <c r="G13169" s="2">
        <v>100</v>
      </c>
      <c r="H13169" s="2">
        <v>127</v>
      </c>
      <c r="I13169" s="2">
        <v>3</v>
      </c>
      <c r="J13169" s="2">
        <v>383</v>
      </c>
      <c r="K13169" s="2">
        <v>156</v>
      </c>
      <c r="L13169" s="2">
        <v>282</v>
      </c>
    </row>
    <row r="13170" spans="1:12" x14ac:dyDescent="0.25">
      <c r="A13170" s="4" t="str">
        <f>HYPERLINK("http://www.rosaceae.org/Prunus/Prunus_persica/p.persica_gdr_reftransV1_0007982","p.persica_gdr_reftransV1_0007982")</f>
        <v>p.persica_gdr_reftransV1_0007982</v>
      </c>
      <c r="B13170" s="2">
        <v>2611</v>
      </c>
      <c r="C13170" s="4" t="str">
        <f>HYPERLINK("http://www.uniprot.org/uniprot/M5XAX8","M5XAX8")</f>
        <v>M5XAX8</v>
      </c>
      <c r="D13170" s="2" t="s">
        <v>10872</v>
      </c>
      <c r="E13170" s="3">
        <v>0</v>
      </c>
      <c r="F13170" s="2">
        <v>2884</v>
      </c>
      <c r="G13170" s="2">
        <v>91</v>
      </c>
      <c r="H13170" s="2">
        <v>657</v>
      </c>
      <c r="I13170" s="2">
        <v>114</v>
      </c>
      <c r="J13170" s="2">
        <v>2084</v>
      </c>
      <c r="K13170" s="2">
        <v>1</v>
      </c>
      <c r="L13170" s="2">
        <v>595</v>
      </c>
    </row>
    <row r="13171" spans="1:12" x14ac:dyDescent="0.25">
      <c r="A13171" s="4" t="str">
        <f>HYPERLINK("http://www.rosaceae.org/Prunus/Prunus_persica/p.persica_gdr_reftransV1_0008332","p.persica_gdr_reftransV1_0008332")</f>
        <v>p.persica_gdr_reftransV1_0008332</v>
      </c>
      <c r="B13171" s="2">
        <v>2500</v>
      </c>
      <c r="C13171" s="4" t="str">
        <f>HYPERLINK("http://www.uniprot.org/uniprot/M5X4K8","M5X4K8")</f>
        <v>M5X4K8</v>
      </c>
      <c r="D13171" s="2" t="s">
        <v>10873</v>
      </c>
      <c r="E13171" s="3">
        <v>0</v>
      </c>
      <c r="F13171" s="2">
        <v>3197</v>
      </c>
      <c r="G13171" s="2">
        <v>97</v>
      </c>
      <c r="H13171" s="2">
        <v>692</v>
      </c>
      <c r="I13171" s="2">
        <v>326</v>
      </c>
      <c r="J13171" s="2">
        <v>2380</v>
      </c>
      <c r="K13171" s="2">
        <v>1</v>
      </c>
      <c r="L13171" s="2">
        <v>682</v>
      </c>
    </row>
    <row r="13172" spans="1:12" x14ac:dyDescent="0.25">
      <c r="A13172" s="4" t="str">
        <f>HYPERLINK("http://www.rosaceae.org/Prunus/Prunus_persica/p.persica_gdr_reftransV1_0008682","p.persica_gdr_reftransV1_0008682")</f>
        <v>p.persica_gdr_reftransV1_0008682</v>
      </c>
      <c r="B13172" s="2">
        <v>1426</v>
      </c>
      <c r="C13172" s="4" t="str">
        <f>HYPERLINK("http://www.uniprot.org/uniprot/M5W8P1","M5W8P1")</f>
        <v>M5W8P1</v>
      </c>
      <c r="D13172" s="2" t="s">
        <v>7216</v>
      </c>
      <c r="E13172" s="3">
        <v>4.5499999999999999E-83</v>
      </c>
      <c r="F13172" s="2">
        <v>686</v>
      </c>
      <c r="G13172" s="2">
        <v>96</v>
      </c>
      <c r="H13172" s="2">
        <v>132</v>
      </c>
      <c r="I13172" s="2">
        <v>115</v>
      </c>
      <c r="J13172" s="2">
        <v>510</v>
      </c>
      <c r="K13172" s="2">
        <v>1</v>
      </c>
      <c r="L13172" s="2">
        <v>132</v>
      </c>
    </row>
    <row r="13173" spans="1:12" x14ac:dyDescent="0.25">
      <c r="A13173" s="4" t="str">
        <f>HYPERLINK("http://www.rosaceae.org/Prunus/Prunus_persica/p.persica_gdr_reftransV1_0009382","p.persica_gdr_reftransV1_0009382")</f>
        <v>p.persica_gdr_reftransV1_0009382</v>
      </c>
      <c r="B13173" s="2">
        <v>1491</v>
      </c>
      <c r="C13173" s="4" t="str">
        <f>HYPERLINK("http://www.uniprot.org/uniprot/M5XZA2","M5XZA2")</f>
        <v>M5XZA2</v>
      </c>
      <c r="D13173" s="2" t="s">
        <v>10874</v>
      </c>
      <c r="E13173" s="3">
        <v>2.0700000000000001E-169</v>
      </c>
      <c r="F13173" s="2">
        <v>1260</v>
      </c>
      <c r="G13173" s="2">
        <v>100</v>
      </c>
      <c r="H13173" s="2">
        <v>232</v>
      </c>
      <c r="I13173" s="2">
        <v>159</v>
      </c>
      <c r="J13173" s="2">
        <v>854</v>
      </c>
      <c r="K13173" s="2">
        <v>1</v>
      </c>
      <c r="L13173" s="2">
        <v>232</v>
      </c>
    </row>
    <row r="13174" spans="1:12" x14ac:dyDescent="0.25">
      <c r="A13174" s="4" t="str">
        <f>HYPERLINK("http://www.rosaceae.org/Prunus/Prunus_persica/p.persica_gdr_reftransV1_0009732","p.persica_gdr_reftransV1_0009732")</f>
        <v>p.persica_gdr_reftransV1_0009732</v>
      </c>
      <c r="B13174" s="2">
        <v>1096</v>
      </c>
      <c r="C13174" s="4" t="str">
        <f>HYPERLINK("http://www.uniprot.org/uniprot/M5Y827","M5Y827")</f>
        <v>M5Y827</v>
      </c>
      <c r="D13174" s="2" t="s">
        <v>3922</v>
      </c>
      <c r="E13174" s="3">
        <v>3.0099999999999998E-94</v>
      </c>
      <c r="F13174" s="2">
        <v>784</v>
      </c>
      <c r="G13174" s="2">
        <v>100</v>
      </c>
      <c r="H13174" s="2">
        <v>212</v>
      </c>
      <c r="I13174" s="2">
        <v>111</v>
      </c>
      <c r="J13174" s="2">
        <v>746</v>
      </c>
      <c r="K13174" s="2">
        <v>441</v>
      </c>
      <c r="L13174" s="2">
        <v>652</v>
      </c>
    </row>
    <row r="13175" spans="1:12" x14ac:dyDescent="0.25">
      <c r="A13175" s="4" t="str">
        <f>HYPERLINK("http://www.rosaceae.org/Prunus/Prunus_persica/p.persica_gdr_reftransV1_0010782","p.persica_gdr_reftransV1_0010782")</f>
        <v>p.persica_gdr_reftransV1_0010782</v>
      </c>
      <c r="B13175" s="2">
        <v>1581</v>
      </c>
      <c r="C13175" s="4" t="str">
        <f>HYPERLINK("http://www.uniprot.org/uniprot/M5WJ02","M5WJ02")</f>
        <v>M5WJ02</v>
      </c>
      <c r="D13175" s="2" t="s">
        <v>10875</v>
      </c>
      <c r="E13175" s="3">
        <v>6.9299999999999997E-91</v>
      </c>
      <c r="F13175" s="2">
        <v>738</v>
      </c>
      <c r="G13175" s="2">
        <v>100</v>
      </c>
      <c r="H13175" s="2">
        <v>167</v>
      </c>
      <c r="I13175" s="2">
        <v>973</v>
      </c>
      <c r="J13175" s="2">
        <v>1473</v>
      </c>
      <c r="K13175" s="2">
        <v>1</v>
      </c>
      <c r="L13175" s="2">
        <v>167</v>
      </c>
    </row>
    <row r="13176" spans="1:12" x14ac:dyDescent="0.25">
      <c r="A13176" s="4" t="str">
        <f>HYPERLINK("http://www.rosaceae.org/Prunus/Prunus_persica/p.persica_gdr_reftransV1_0011132","p.persica_gdr_reftransV1_0011132")</f>
        <v>p.persica_gdr_reftransV1_0011132</v>
      </c>
      <c r="B13176" s="2">
        <v>1580</v>
      </c>
      <c r="C13176" s="4" t="str">
        <f>HYPERLINK("http://www.uniprot.org/uniprot/M5W1A9","M5W1A9")</f>
        <v>M5W1A9</v>
      </c>
      <c r="D13176" s="2" t="s">
        <v>10876</v>
      </c>
      <c r="E13176" s="3">
        <v>3.56E-151</v>
      </c>
      <c r="F13176" s="2">
        <v>1142</v>
      </c>
      <c r="G13176" s="2">
        <v>92</v>
      </c>
      <c r="H13176" s="2">
        <v>259</v>
      </c>
      <c r="I13176" s="2">
        <v>214</v>
      </c>
      <c r="J13176" s="2">
        <v>990</v>
      </c>
      <c r="K13176" s="2">
        <v>1</v>
      </c>
      <c r="L13176" s="2">
        <v>237</v>
      </c>
    </row>
    <row r="13177" spans="1:12" x14ac:dyDescent="0.25">
      <c r="A13177" s="4" t="str">
        <f>HYPERLINK("http://www.rosaceae.org/Prunus/Prunus_persica/p.persica_gdr_reftransV1_0011482","p.persica_gdr_reftransV1_0011482")</f>
        <v>p.persica_gdr_reftransV1_0011482</v>
      </c>
      <c r="B13177" s="2">
        <v>1523</v>
      </c>
      <c r="C13177" s="4" t="str">
        <f>HYPERLINK("http://www.uniprot.org/uniprot/M5XI76","M5XI76")</f>
        <v>M5XI76</v>
      </c>
      <c r="D13177" s="2" t="s">
        <v>6675</v>
      </c>
      <c r="E13177" s="3">
        <v>2.17E-146</v>
      </c>
      <c r="F13177" s="2">
        <v>1129</v>
      </c>
      <c r="G13177" s="2">
        <v>97</v>
      </c>
      <c r="H13177" s="2">
        <v>307</v>
      </c>
      <c r="I13177" s="2">
        <v>476</v>
      </c>
      <c r="J13177" s="2">
        <v>1396</v>
      </c>
      <c r="K13177" s="2">
        <v>1</v>
      </c>
      <c r="L13177" s="2">
        <v>307</v>
      </c>
    </row>
    <row r="13178" spans="1:12" x14ac:dyDescent="0.25">
      <c r="A13178" s="4" t="str">
        <f>HYPERLINK("http://www.rosaceae.org/Prunus/Prunus_persica/p.persica_gdr_reftransV1_0011832","p.persica_gdr_reftransV1_0011832")</f>
        <v>p.persica_gdr_reftransV1_0011832</v>
      </c>
      <c r="B13178" s="2">
        <v>2494</v>
      </c>
      <c r="C13178" s="4" t="str">
        <f>HYPERLINK("http://www.uniprot.org/uniprot/M5WCG1","M5WCG1")</f>
        <v>M5WCG1</v>
      </c>
      <c r="D13178" s="2" t="s">
        <v>10877</v>
      </c>
      <c r="E13178" s="3">
        <v>0</v>
      </c>
      <c r="F13178" s="2">
        <v>2158</v>
      </c>
      <c r="G13178" s="2">
        <v>100</v>
      </c>
      <c r="H13178" s="2">
        <v>474</v>
      </c>
      <c r="I13178" s="2">
        <v>483</v>
      </c>
      <c r="J13178" s="2">
        <v>1904</v>
      </c>
      <c r="K13178" s="2">
        <v>114</v>
      </c>
      <c r="L13178" s="2">
        <v>587</v>
      </c>
    </row>
    <row r="13179" spans="1:12" x14ac:dyDescent="0.25">
      <c r="A13179" s="4" t="str">
        <f>HYPERLINK("http://www.rosaceae.org/Prunus/Prunus_persica/p.persica_gdr_reftransV1_0012182","p.persica_gdr_reftransV1_0012182")</f>
        <v>p.persica_gdr_reftransV1_0012182</v>
      </c>
      <c r="B13179" s="2">
        <v>3062</v>
      </c>
      <c r="C13179" s="4" t="str">
        <f>HYPERLINK("http://www.uniprot.org/uniprot/M5WR58","M5WR58")</f>
        <v>M5WR58</v>
      </c>
      <c r="D13179" s="2" t="s">
        <v>10878</v>
      </c>
      <c r="E13179" s="3">
        <v>0</v>
      </c>
      <c r="F13179" s="2">
        <v>1885</v>
      </c>
      <c r="G13179" s="2">
        <v>64</v>
      </c>
      <c r="H13179" s="2">
        <v>741</v>
      </c>
      <c r="I13179" s="2">
        <v>363</v>
      </c>
      <c r="J13179" s="2">
        <v>2528</v>
      </c>
      <c r="K13179" s="2">
        <v>170</v>
      </c>
      <c r="L13179" s="2">
        <v>799</v>
      </c>
    </row>
    <row r="13180" spans="1:12" x14ac:dyDescent="0.25">
      <c r="A13180" s="4" t="str">
        <f>HYPERLINK("http://www.rosaceae.org/Prunus/Prunus_persica/p.persica_gdr_reftransV1_0013232","p.persica_gdr_reftransV1_0013232")</f>
        <v>p.persica_gdr_reftransV1_0013232</v>
      </c>
      <c r="B13180" s="2">
        <v>1589</v>
      </c>
      <c r="C13180" s="4" t="str">
        <f>HYPERLINK("http://www.uniprot.org/uniprot/M5W6S5","M5W6S5")</f>
        <v>M5W6S5</v>
      </c>
      <c r="D13180" s="2" t="s">
        <v>10879</v>
      </c>
      <c r="E13180" s="3">
        <v>6.6099999999999996E-175</v>
      </c>
      <c r="F13180" s="2">
        <v>1308</v>
      </c>
      <c r="G13180" s="2">
        <v>100</v>
      </c>
      <c r="H13180" s="2">
        <v>271</v>
      </c>
      <c r="I13180" s="2">
        <v>674</v>
      </c>
      <c r="J13180" s="2">
        <v>1486</v>
      </c>
      <c r="K13180" s="2">
        <v>1</v>
      </c>
      <c r="L13180" s="2">
        <v>271</v>
      </c>
    </row>
    <row r="13181" spans="1:12" x14ac:dyDescent="0.25">
      <c r="A13181" s="4" t="str">
        <f>HYPERLINK("http://www.rosaceae.org/Prunus/Prunus_persica/p.persica_gdr_reftransV1_0013582","p.persica_gdr_reftransV1_0013582")</f>
        <v>p.persica_gdr_reftransV1_0013582</v>
      </c>
      <c r="B13181" s="2">
        <v>3204</v>
      </c>
      <c r="C13181" s="4" t="str">
        <f>HYPERLINK("http://www.uniprot.org/uniprot/M5W3V1","M5W3V1")</f>
        <v>M5W3V1</v>
      </c>
      <c r="D13181" s="2" t="s">
        <v>3874</v>
      </c>
      <c r="E13181" s="3">
        <v>0</v>
      </c>
      <c r="F13181" s="2">
        <v>2728</v>
      </c>
      <c r="G13181" s="2">
        <v>100</v>
      </c>
      <c r="H13181" s="2">
        <v>513</v>
      </c>
      <c r="I13181" s="2">
        <v>361</v>
      </c>
      <c r="J13181" s="2">
        <v>1899</v>
      </c>
      <c r="K13181" s="2">
        <v>1</v>
      </c>
      <c r="L13181" s="2">
        <v>513</v>
      </c>
    </row>
    <row r="13182" spans="1:12" x14ac:dyDescent="0.25">
      <c r="A13182" s="4" t="str">
        <f>HYPERLINK("http://www.rosaceae.org/Prunus/Prunus_persica/p.persica_gdr_reftransV1_0014282","p.persica_gdr_reftransV1_0014282")</f>
        <v>p.persica_gdr_reftransV1_0014282</v>
      </c>
      <c r="B13182" s="2">
        <v>1080</v>
      </c>
      <c r="C13182" s="4" t="str">
        <f>HYPERLINK("http://www.uniprot.org/uniprot/M5VHT9","M5VHT9")</f>
        <v>M5VHT9</v>
      </c>
      <c r="D13182" s="2" t="s">
        <v>10880</v>
      </c>
      <c r="E13182" s="3">
        <v>5.0100000000000001E-124</v>
      </c>
      <c r="F13182" s="2">
        <v>943</v>
      </c>
      <c r="G13182" s="2">
        <v>100</v>
      </c>
      <c r="H13182" s="2">
        <v>210</v>
      </c>
      <c r="I13182" s="2">
        <v>214</v>
      </c>
      <c r="J13182" s="2">
        <v>843</v>
      </c>
      <c r="K13182" s="2">
        <v>1</v>
      </c>
      <c r="L13182" s="2">
        <v>210</v>
      </c>
    </row>
    <row r="13183" spans="1:12" x14ac:dyDescent="0.25">
      <c r="A13183" s="4" t="str">
        <f>HYPERLINK("http://www.rosaceae.org/Prunus/Prunus_persica/p.persica_gdr_reftransV1_0014632","p.persica_gdr_reftransV1_0014632")</f>
        <v>p.persica_gdr_reftransV1_0014632</v>
      </c>
      <c r="B13183" s="2">
        <v>1315</v>
      </c>
      <c r="C13183" s="4" t="str">
        <f>HYPERLINK("http://www.uniprot.org/uniprot/M5XHT3","M5XHT3")</f>
        <v>M5XHT3</v>
      </c>
      <c r="D13183" s="2" t="s">
        <v>10881</v>
      </c>
      <c r="E13183" s="3">
        <v>9.4400000000000007E-133</v>
      </c>
      <c r="F13183" s="2">
        <v>1012</v>
      </c>
      <c r="G13183" s="2">
        <v>95</v>
      </c>
      <c r="H13183" s="2">
        <v>246</v>
      </c>
      <c r="I13183" s="2">
        <v>464</v>
      </c>
      <c r="J13183" s="2">
        <v>1201</v>
      </c>
      <c r="K13183" s="2">
        <v>1</v>
      </c>
      <c r="L13183" s="2">
        <v>234</v>
      </c>
    </row>
    <row r="13184" spans="1:12" x14ac:dyDescent="0.25">
      <c r="A13184" s="4" t="str">
        <f>HYPERLINK("http://www.rosaceae.org/Prunus/Prunus_persica/p.persica_gdr_reftransV1_0014982","p.persica_gdr_reftransV1_0014982")</f>
        <v>p.persica_gdr_reftransV1_0014982</v>
      </c>
      <c r="B13184" s="2">
        <v>519</v>
      </c>
      <c r="C13184" s="4" t="str">
        <f>HYPERLINK("http://www.uniprot.org/uniprot/M5XRM0","M5XRM0")</f>
        <v>M5XRM0</v>
      </c>
      <c r="D13184" s="2" t="s">
        <v>3585</v>
      </c>
      <c r="E13184" s="3">
        <v>3.6800000000000001E-47</v>
      </c>
      <c r="F13184" s="2">
        <v>427</v>
      </c>
      <c r="G13184" s="2">
        <v>100</v>
      </c>
      <c r="H13184" s="2">
        <v>83</v>
      </c>
      <c r="I13184" s="2">
        <v>51</v>
      </c>
      <c r="J13184" s="2">
        <v>299</v>
      </c>
      <c r="K13184" s="2">
        <v>313</v>
      </c>
      <c r="L13184" s="2">
        <v>395</v>
      </c>
    </row>
    <row r="13185" spans="1:12" x14ac:dyDescent="0.25">
      <c r="A13185" s="4" t="str">
        <f>HYPERLINK("http://www.rosaceae.org/Prunus/Prunus_persica/p.persica_gdr_reftransV1_0015682","p.persica_gdr_reftransV1_0015682")</f>
        <v>p.persica_gdr_reftransV1_0015682</v>
      </c>
      <c r="B13185" s="2">
        <v>732</v>
      </c>
      <c r="C13185" s="4" t="str">
        <f>HYPERLINK("http://www.uniprot.org/uniprot/M5WQW4","M5WQW4")</f>
        <v>M5WQW4</v>
      </c>
      <c r="D13185" s="2" t="s">
        <v>10882</v>
      </c>
      <c r="E13185" s="3">
        <v>5.25E-55</v>
      </c>
      <c r="F13185" s="2">
        <v>467</v>
      </c>
      <c r="G13185" s="2">
        <v>100</v>
      </c>
      <c r="H13185" s="2">
        <v>92</v>
      </c>
      <c r="I13185" s="2">
        <v>206</v>
      </c>
      <c r="J13185" s="2">
        <v>481</v>
      </c>
      <c r="K13185" s="2">
        <v>49</v>
      </c>
      <c r="L13185" s="2">
        <v>140</v>
      </c>
    </row>
    <row r="13186" spans="1:12" x14ac:dyDescent="0.25">
      <c r="A13186" s="4" t="str">
        <f>HYPERLINK("http://www.rosaceae.org/Prunus/Prunus_persica/p.persica_gdr_reftransV1_0016032","p.persica_gdr_reftransV1_0016032")</f>
        <v>p.persica_gdr_reftransV1_0016032</v>
      </c>
      <c r="B13186" s="2">
        <v>2285</v>
      </c>
      <c r="C13186" s="4" t="str">
        <f>HYPERLINK("http://www.uniprot.org/uniprot/M5WLX4","M5WLX4")</f>
        <v>M5WLX4</v>
      </c>
      <c r="D13186" s="2" t="s">
        <v>10883</v>
      </c>
      <c r="E13186" s="3">
        <v>0</v>
      </c>
      <c r="F13186" s="2">
        <v>3235</v>
      </c>
      <c r="G13186" s="2">
        <v>100</v>
      </c>
      <c r="H13186" s="2">
        <v>636</v>
      </c>
      <c r="I13186" s="2">
        <v>99</v>
      </c>
      <c r="J13186" s="2">
        <v>2006</v>
      </c>
      <c r="K13186" s="2">
        <v>21</v>
      </c>
      <c r="L13186" s="2">
        <v>656</v>
      </c>
    </row>
    <row r="13187" spans="1:12" x14ac:dyDescent="0.25">
      <c r="A13187" s="4" t="str">
        <f>HYPERLINK("http://www.rosaceae.org/Prunus/Prunus_persica/p.persica_gdr_reftransV1_0016732","p.persica_gdr_reftransV1_0016732")</f>
        <v>p.persica_gdr_reftransV1_0016732</v>
      </c>
      <c r="B13187" s="2">
        <v>3295</v>
      </c>
      <c r="C13187" s="4" t="str">
        <f>HYPERLINK("http://www.uniprot.org/uniprot/M5VIS4","M5VIS4")</f>
        <v>M5VIS4</v>
      </c>
      <c r="D13187" s="2" t="s">
        <v>10884</v>
      </c>
      <c r="E13187" s="3">
        <v>0</v>
      </c>
      <c r="F13187" s="2">
        <v>3384</v>
      </c>
      <c r="G13187" s="2">
        <v>100</v>
      </c>
      <c r="H13187" s="2">
        <v>622</v>
      </c>
      <c r="I13187" s="2">
        <v>738</v>
      </c>
      <c r="J13187" s="2">
        <v>2603</v>
      </c>
      <c r="K13187" s="2">
        <v>1</v>
      </c>
      <c r="L13187" s="2">
        <v>622</v>
      </c>
    </row>
    <row r="13188" spans="1:12" x14ac:dyDescent="0.25">
      <c r="A13188" s="4" t="str">
        <f>HYPERLINK("http://www.rosaceae.org/Prunus/Prunus_persica/p.persica_gdr_reftransV1_0017082","p.persica_gdr_reftransV1_0017082")</f>
        <v>p.persica_gdr_reftransV1_0017082</v>
      </c>
      <c r="B13188" s="2">
        <v>1264</v>
      </c>
      <c r="C13188" s="4" t="str">
        <f>HYPERLINK("http://www.uniprot.org/uniprot/M5X1J5","M5X1J5")</f>
        <v>M5X1J5</v>
      </c>
      <c r="D13188" s="2" t="s">
        <v>167</v>
      </c>
      <c r="E13188" s="3">
        <v>1.2E-137</v>
      </c>
      <c r="F13188" s="2">
        <v>1061</v>
      </c>
      <c r="G13188" s="2">
        <v>100</v>
      </c>
      <c r="H13188" s="2">
        <v>194</v>
      </c>
      <c r="I13188" s="2">
        <v>682</v>
      </c>
      <c r="J13188" s="2">
        <v>1263</v>
      </c>
      <c r="K13188" s="2">
        <v>233</v>
      </c>
      <c r="L13188" s="2">
        <v>426</v>
      </c>
    </row>
    <row r="13189" spans="1:12" x14ac:dyDescent="0.25">
      <c r="A13189" s="4" t="str">
        <f>HYPERLINK("http://www.rosaceae.org/Prunus/Prunus_persica/p.persica_gdr_reftransV1_0017432","p.persica_gdr_reftransV1_0017432")</f>
        <v>p.persica_gdr_reftransV1_0017432</v>
      </c>
      <c r="B13189" s="2">
        <v>1819</v>
      </c>
      <c r="C13189" s="4" t="str">
        <f>HYPERLINK("http://www.uniprot.org/uniprot/M5XCQ9","M5XCQ9")</f>
        <v>M5XCQ9</v>
      </c>
      <c r="D13189" s="2" t="s">
        <v>10885</v>
      </c>
      <c r="E13189" s="3">
        <v>0</v>
      </c>
      <c r="F13189" s="2">
        <v>1929</v>
      </c>
      <c r="G13189" s="2">
        <v>100</v>
      </c>
      <c r="H13189" s="2">
        <v>377</v>
      </c>
      <c r="I13189" s="2">
        <v>84</v>
      </c>
      <c r="J13189" s="2">
        <v>1214</v>
      </c>
      <c r="K13189" s="2">
        <v>1</v>
      </c>
      <c r="L13189" s="2">
        <v>377</v>
      </c>
    </row>
    <row r="13190" spans="1:12" x14ac:dyDescent="0.25">
      <c r="A13190" s="4" t="str">
        <f>HYPERLINK("http://www.rosaceae.org/Prunus/Prunus_persica/p.persica_gdr_reftransV1_0018482","p.persica_gdr_reftransV1_0018482")</f>
        <v>p.persica_gdr_reftransV1_0018482</v>
      </c>
      <c r="B13190" s="2">
        <v>3638</v>
      </c>
      <c r="C13190" s="4" t="str">
        <f>HYPERLINK("http://www.uniprot.org/uniprot/M5WE09","M5WE09")</f>
        <v>M5WE09</v>
      </c>
      <c r="D13190" s="2" t="s">
        <v>10886</v>
      </c>
      <c r="E13190" s="3">
        <v>3.1600000000000003E-73</v>
      </c>
      <c r="F13190" s="2">
        <v>638</v>
      </c>
      <c r="G13190" s="2">
        <v>100</v>
      </c>
      <c r="H13190" s="2">
        <v>118</v>
      </c>
      <c r="I13190" s="2">
        <v>501</v>
      </c>
      <c r="J13190" s="2">
        <v>854</v>
      </c>
      <c r="K13190" s="2">
        <v>1</v>
      </c>
      <c r="L13190" s="2">
        <v>118</v>
      </c>
    </row>
    <row r="13191" spans="1:12" x14ac:dyDescent="0.25">
      <c r="A13191" s="4" t="str">
        <f>HYPERLINK("http://www.rosaceae.org/Prunus/Prunus_persica/p.persica_gdr_reftransV1_0019182","p.persica_gdr_reftransV1_0019182")</f>
        <v>p.persica_gdr_reftransV1_0019182</v>
      </c>
      <c r="B13191" s="2">
        <v>2706</v>
      </c>
      <c r="C13191" s="4" t="str">
        <f>HYPERLINK("http://www.uniprot.org/uniprot/M5WRF3","M5WRF3")</f>
        <v>M5WRF3</v>
      </c>
      <c r="D13191" s="2" t="s">
        <v>10887</v>
      </c>
      <c r="E13191" s="3">
        <v>0</v>
      </c>
      <c r="F13191" s="2">
        <v>2587</v>
      </c>
      <c r="G13191" s="2">
        <v>100</v>
      </c>
      <c r="H13191" s="2">
        <v>516</v>
      </c>
      <c r="I13191" s="2">
        <v>688</v>
      </c>
      <c r="J13191" s="2">
        <v>2235</v>
      </c>
      <c r="K13191" s="2">
        <v>6</v>
      </c>
      <c r="L13191" s="2">
        <v>521</v>
      </c>
    </row>
    <row r="13192" spans="1:12" x14ac:dyDescent="0.25">
      <c r="A13192" s="4" t="str">
        <f>HYPERLINK("http://www.rosaceae.org/Prunus/Prunus_persica/p.persica_gdr_reftransV1_0019882","p.persica_gdr_reftransV1_0019882")</f>
        <v>p.persica_gdr_reftransV1_0019882</v>
      </c>
      <c r="B13192" s="2">
        <v>1744</v>
      </c>
      <c r="C13192" s="4" t="str">
        <f>HYPERLINK("http://www.uniprot.org/uniprot/M5WWE2","M5WWE2")</f>
        <v>M5WWE2</v>
      </c>
      <c r="D13192" s="2" t="s">
        <v>10836</v>
      </c>
      <c r="E13192" s="3">
        <v>0</v>
      </c>
      <c r="F13192" s="2">
        <v>2564</v>
      </c>
      <c r="G13192" s="2">
        <v>100</v>
      </c>
      <c r="H13192" s="2">
        <v>481</v>
      </c>
      <c r="I13192" s="2">
        <v>165</v>
      </c>
      <c r="J13192" s="2">
        <v>1607</v>
      </c>
      <c r="K13192" s="2">
        <v>33</v>
      </c>
      <c r="L13192" s="2">
        <v>513</v>
      </c>
    </row>
    <row r="13193" spans="1:12" x14ac:dyDescent="0.25">
      <c r="A13193" s="4" t="str">
        <f>HYPERLINK("http://www.rosaceae.org/Prunus/Prunus_persica/p.persica_gdr_reftransV1_0020232","p.persica_gdr_reftransV1_0020232")</f>
        <v>p.persica_gdr_reftransV1_0020232</v>
      </c>
      <c r="B13193" s="2">
        <v>876</v>
      </c>
      <c r="C13193" s="4" t="str">
        <f>HYPERLINK("http://www.uniprot.org/uniprot/A0A061FX19","A0A061FX19")</f>
        <v>A0A061FX19</v>
      </c>
      <c r="D13193" s="2" t="s">
        <v>10888</v>
      </c>
      <c r="E13193" s="3">
        <v>2.7300000000000002E-46</v>
      </c>
      <c r="F13193" s="2">
        <v>342</v>
      </c>
      <c r="G13193" s="2">
        <v>84</v>
      </c>
      <c r="H13193" s="2">
        <v>76</v>
      </c>
      <c r="I13193" s="2">
        <v>517</v>
      </c>
      <c r="J13193" s="2">
        <v>744</v>
      </c>
      <c r="K13193" s="2">
        <v>181</v>
      </c>
      <c r="L13193" s="2">
        <v>256</v>
      </c>
    </row>
    <row r="13194" spans="1:12" x14ac:dyDescent="0.25">
      <c r="A13194" s="4" t="str">
        <f>HYPERLINK("http://www.rosaceae.org/Prunus/Prunus_persica/p.persica_gdr_reftransV1_0020582","p.persica_gdr_reftransV1_0020582")</f>
        <v>p.persica_gdr_reftransV1_0020582</v>
      </c>
      <c r="B13194" s="2">
        <v>5682</v>
      </c>
      <c r="C13194" s="4" t="str">
        <f>HYPERLINK("http://www.uniprot.org/uniprot/M5WXA0","M5WXA0")</f>
        <v>M5WXA0</v>
      </c>
      <c r="D13194" s="2" t="s">
        <v>5489</v>
      </c>
      <c r="E13194" s="3">
        <v>0</v>
      </c>
      <c r="F13194" s="2">
        <v>1562</v>
      </c>
      <c r="G13194" s="2">
        <v>100</v>
      </c>
      <c r="H13194" s="2">
        <v>290</v>
      </c>
      <c r="I13194" s="2">
        <v>477</v>
      </c>
      <c r="J13194" s="2">
        <v>1346</v>
      </c>
      <c r="K13194" s="2">
        <v>38</v>
      </c>
      <c r="L13194" s="2">
        <v>327</v>
      </c>
    </row>
    <row r="13195" spans="1:12" x14ac:dyDescent="0.25">
      <c r="A13195" s="4" t="str">
        <f>HYPERLINK("http://www.rosaceae.org/Prunus/Prunus_persica/p.persica_gdr_reftransV1_0020932","p.persica_gdr_reftransV1_0020932")</f>
        <v>p.persica_gdr_reftransV1_0020932</v>
      </c>
      <c r="B13195" s="2">
        <v>4017</v>
      </c>
      <c r="C13195" s="4" t="str">
        <f>HYPERLINK("http://www.uniprot.org/uniprot/M5W6I9","M5W6I9")</f>
        <v>M5W6I9</v>
      </c>
      <c r="D13195" s="2" t="s">
        <v>10889</v>
      </c>
      <c r="E13195" s="3">
        <v>0</v>
      </c>
      <c r="F13195" s="2">
        <v>4008</v>
      </c>
      <c r="G13195" s="2">
        <v>94</v>
      </c>
      <c r="H13195" s="2">
        <v>839</v>
      </c>
      <c r="I13195" s="2">
        <v>316</v>
      </c>
      <c r="J13195" s="2">
        <v>2832</v>
      </c>
      <c r="K13195" s="2">
        <v>1</v>
      </c>
      <c r="L13195" s="2">
        <v>790</v>
      </c>
    </row>
    <row r="13196" spans="1:12" x14ac:dyDescent="0.25">
      <c r="A13196" s="4" t="str">
        <f>HYPERLINK("http://www.rosaceae.org/Prunus/Prunus_persica/p.persica_gdr_reftransV1_0024082","p.persica_gdr_reftransV1_0024082")</f>
        <v>p.persica_gdr_reftransV1_0024082</v>
      </c>
      <c r="B13196" s="2">
        <v>1812</v>
      </c>
      <c r="C13196" s="4" t="str">
        <f>HYPERLINK("http://www.uniprot.org/uniprot/M5XTR8","M5XTR8")</f>
        <v>M5XTR8</v>
      </c>
      <c r="D13196" s="2" t="s">
        <v>10890</v>
      </c>
      <c r="E13196" s="3">
        <v>7.4199999999999997E-118</v>
      </c>
      <c r="F13196" s="2">
        <v>670</v>
      </c>
      <c r="G13196" s="2">
        <v>95</v>
      </c>
      <c r="H13196" s="2">
        <v>135</v>
      </c>
      <c r="I13196" s="2">
        <v>280</v>
      </c>
      <c r="J13196" s="2">
        <v>684</v>
      </c>
      <c r="K13196" s="2">
        <v>111</v>
      </c>
      <c r="L13196" s="2">
        <v>244</v>
      </c>
    </row>
    <row r="13197" spans="1:12" x14ac:dyDescent="0.25">
      <c r="A13197" s="4" t="str">
        <f>HYPERLINK("http://www.rosaceae.org/Prunus/Prunus_persica/p.persica_gdr_reftransV1_0025482","p.persica_gdr_reftransV1_0025482")</f>
        <v>p.persica_gdr_reftransV1_0025482</v>
      </c>
      <c r="B13197" s="2">
        <v>3095</v>
      </c>
      <c r="C13197" s="4" t="str">
        <f>HYPERLINK("http://www.uniprot.org/uniprot/M5W7C0","M5W7C0")</f>
        <v>M5W7C0</v>
      </c>
      <c r="D13197" s="2" t="s">
        <v>10891</v>
      </c>
      <c r="E13197" s="3">
        <v>0</v>
      </c>
      <c r="F13197" s="2">
        <v>1447</v>
      </c>
      <c r="G13197" s="2">
        <v>100</v>
      </c>
      <c r="H13197" s="2">
        <v>263</v>
      </c>
      <c r="I13197" s="2">
        <v>571</v>
      </c>
      <c r="J13197" s="2">
        <v>1359</v>
      </c>
      <c r="K13197" s="2">
        <v>428</v>
      </c>
      <c r="L13197" s="2">
        <v>690</v>
      </c>
    </row>
    <row r="13198" spans="1:12" x14ac:dyDescent="0.25">
      <c r="A13198" s="4" t="str">
        <f>HYPERLINK("http://www.rosaceae.org/Prunus/Prunus_persica/p.persica_gdr_reftransV1_0026532","p.persica_gdr_reftransV1_0026532")</f>
        <v>p.persica_gdr_reftransV1_0026532</v>
      </c>
      <c r="B13198" s="2">
        <v>1079</v>
      </c>
      <c r="C13198" s="4" t="str">
        <f>HYPERLINK("http://www.uniprot.org/uniprot/M5WPI8","M5WPI8")</f>
        <v>M5WPI8</v>
      </c>
      <c r="D13198" s="2" t="s">
        <v>10892</v>
      </c>
      <c r="E13198" s="3">
        <v>0</v>
      </c>
      <c r="F13198" s="2">
        <v>1659</v>
      </c>
      <c r="G13198" s="2">
        <v>100</v>
      </c>
      <c r="H13198" s="2">
        <v>303</v>
      </c>
      <c r="I13198" s="2">
        <v>1</v>
      </c>
      <c r="J13198" s="2">
        <v>909</v>
      </c>
      <c r="K13198" s="2">
        <v>377</v>
      </c>
      <c r="L13198" s="2">
        <v>679</v>
      </c>
    </row>
    <row r="13199" spans="1:12" x14ac:dyDescent="0.25">
      <c r="A13199" s="4" t="str">
        <f>HYPERLINK("http://www.rosaceae.org/Prunus/Prunus_persica/p.persica_gdr_reftransV1_0027582","p.persica_gdr_reftransV1_0027582")</f>
        <v>p.persica_gdr_reftransV1_0027582</v>
      </c>
      <c r="B13199" s="2">
        <v>731</v>
      </c>
      <c r="C13199" s="4" t="str">
        <f>HYPERLINK("http://www.uniprot.org/uniprot/M5WRJ0","M5WRJ0")</f>
        <v>M5WRJ0</v>
      </c>
      <c r="D13199" s="2" t="s">
        <v>10893</v>
      </c>
      <c r="E13199" s="3">
        <v>3.2900000000000001E-13</v>
      </c>
      <c r="F13199" s="2">
        <v>176</v>
      </c>
      <c r="G13199" s="2">
        <v>100</v>
      </c>
      <c r="H13199" s="2">
        <v>32</v>
      </c>
      <c r="I13199" s="2">
        <v>185</v>
      </c>
      <c r="J13199" s="2">
        <v>280</v>
      </c>
      <c r="K13199" s="2">
        <v>42</v>
      </c>
      <c r="L13199" s="2">
        <v>73</v>
      </c>
    </row>
    <row r="13200" spans="1:12" x14ac:dyDescent="0.25">
      <c r="A13200" s="4" t="str">
        <f>HYPERLINK("http://www.rosaceae.org/Prunus/Prunus_persica/p.persica_gdr_reftransV1_0027932","p.persica_gdr_reftransV1_0027932")</f>
        <v>p.persica_gdr_reftransV1_0027932</v>
      </c>
      <c r="B13200" s="2">
        <v>724</v>
      </c>
      <c r="C13200" s="4" t="str">
        <f>HYPERLINK("http://www.uniprot.org/uniprot/M5VL03","M5VL03")</f>
        <v>M5VL03</v>
      </c>
      <c r="D13200" s="2" t="s">
        <v>10894</v>
      </c>
      <c r="E13200" s="3">
        <v>1.7400000000000002E-61</v>
      </c>
      <c r="F13200" s="2">
        <v>508</v>
      </c>
      <c r="G13200" s="2">
        <v>100</v>
      </c>
      <c r="H13200" s="2">
        <v>115</v>
      </c>
      <c r="I13200" s="2">
        <v>284</v>
      </c>
      <c r="J13200" s="2">
        <v>628</v>
      </c>
      <c r="K13200" s="2">
        <v>1</v>
      </c>
      <c r="L13200" s="2">
        <v>115</v>
      </c>
    </row>
    <row r="13201" spans="1:12" x14ac:dyDescent="0.25">
      <c r="A13201" s="4" t="str">
        <f>HYPERLINK("http://www.rosaceae.org/Prunus/Prunus_persica/p.persica_gdr_reftransV1_0028632","p.persica_gdr_reftransV1_0028632")</f>
        <v>p.persica_gdr_reftransV1_0028632</v>
      </c>
      <c r="B13201" s="2">
        <v>4153</v>
      </c>
      <c r="C13201" s="4" t="str">
        <f>HYPERLINK("http://www.uniprot.org/uniprot/M5X244","M5X244")</f>
        <v>M5X244</v>
      </c>
      <c r="D13201" s="2" t="s">
        <v>4919</v>
      </c>
      <c r="E13201" s="3">
        <v>1.08E-65</v>
      </c>
      <c r="F13201" s="2">
        <v>600</v>
      </c>
      <c r="G13201" s="2">
        <v>96</v>
      </c>
      <c r="H13201" s="2">
        <v>122</v>
      </c>
      <c r="I13201" s="2">
        <v>1925</v>
      </c>
      <c r="J13201" s="2">
        <v>2287</v>
      </c>
      <c r="K13201" s="2">
        <v>96</v>
      </c>
      <c r="L13201" s="2">
        <v>217</v>
      </c>
    </row>
    <row r="13202" spans="1:12" x14ac:dyDescent="0.25">
      <c r="A13202" s="4" t="str">
        <f>HYPERLINK("http://www.rosaceae.org/Prunus/Prunus_persica/p.persica_gdr_reftransV1_0029332","p.persica_gdr_reftransV1_0029332")</f>
        <v>p.persica_gdr_reftransV1_0029332</v>
      </c>
      <c r="B13202" s="2">
        <v>1565</v>
      </c>
      <c r="C13202" s="4" t="str">
        <f>HYPERLINK("http://www.uniprot.org/uniprot/M5XPR1","M5XPR1")</f>
        <v>M5XPR1</v>
      </c>
      <c r="D13202" s="2" t="s">
        <v>8936</v>
      </c>
      <c r="E13202" s="3">
        <v>0</v>
      </c>
      <c r="F13202" s="2">
        <v>1533</v>
      </c>
      <c r="G13202" s="2">
        <v>100</v>
      </c>
      <c r="H13202" s="2">
        <v>289</v>
      </c>
      <c r="I13202" s="2">
        <v>698</v>
      </c>
      <c r="J13202" s="2">
        <v>1564</v>
      </c>
      <c r="K13202" s="2">
        <v>280</v>
      </c>
      <c r="L13202" s="2">
        <v>568</v>
      </c>
    </row>
    <row r="13203" spans="1:12" x14ac:dyDescent="0.25">
      <c r="A13203" s="4" t="str">
        <f>HYPERLINK("http://www.rosaceae.org/Prunus/Prunus_persica/p.persica_gdr_reftransV1_0029682","p.persica_gdr_reftransV1_0029682")</f>
        <v>p.persica_gdr_reftransV1_0029682</v>
      </c>
      <c r="B13203" s="2">
        <v>1957</v>
      </c>
      <c r="C13203" s="4" t="str">
        <f>HYPERLINK("http://www.uniprot.org/uniprot/M5W9W3","M5W9W3")</f>
        <v>M5W9W3</v>
      </c>
      <c r="D13203" s="2" t="s">
        <v>5244</v>
      </c>
      <c r="E13203" s="3">
        <v>3.7300000000000001E-121</v>
      </c>
      <c r="F13203" s="2">
        <v>965</v>
      </c>
      <c r="G13203" s="2">
        <v>100</v>
      </c>
      <c r="H13203" s="2">
        <v>178</v>
      </c>
      <c r="I13203" s="2">
        <v>1093</v>
      </c>
      <c r="J13203" s="2">
        <v>1626</v>
      </c>
      <c r="K13203" s="2">
        <v>168</v>
      </c>
      <c r="L13203" s="2">
        <v>345</v>
      </c>
    </row>
    <row r="13204" spans="1:12" x14ac:dyDescent="0.25">
      <c r="A13204" s="4" t="str">
        <f>HYPERLINK("http://www.rosaceae.org/Prunus/Prunus_persica/p.persica_gdr_reftransV1_0030032","p.persica_gdr_reftransV1_0030032")</f>
        <v>p.persica_gdr_reftransV1_0030032</v>
      </c>
      <c r="B13204" s="2">
        <v>2217</v>
      </c>
      <c r="C13204" s="4" t="str">
        <f>HYPERLINK("http://www.uniprot.org/uniprot/M5VY73","M5VY73")</f>
        <v>M5VY73</v>
      </c>
      <c r="D13204" s="2" t="s">
        <v>4283</v>
      </c>
      <c r="E13204" s="3">
        <v>0</v>
      </c>
      <c r="F13204" s="2">
        <v>2826</v>
      </c>
      <c r="G13204" s="2">
        <v>100</v>
      </c>
      <c r="H13204" s="2">
        <v>673</v>
      </c>
      <c r="I13204" s="2">
        <v>2</v>
      </c>
      <c r="J13204" s="2">
        <v>2020</v>
      </c>
      <c r="K13204" s="2">
        <v>1</v>
      </c>
      <c r="L13204" s="2">
        <v>673</v>
      </c>
    </row>
    <row r="13205" spans="1:12" x14ac:dyDescent="0.25">
      <c r="A13205" s="4" t="str">
        <f>HYPERLINK("http://www.rosaceae.org/Prunus/Prunus_persica/p.persica_gdr_reftransV1_0030382","p.persica_gdr_reftransV1_0030382")</f>
        <v>p.persica_gdr_reftransV1_0030382</v>
      </c>
      <c r="B13205" s="2">
        <v>5013</v>
      </c>
      <c r="C13205" s="4" t="str">
        <f>HYPERLINK("http://www.uniprot.org/uniprot/D7LD71","D7LD71")</f>
        <v>D7LD71</v>
      </c>
      <c r="D13205" s="2" t="s">
        <v>10895</v>
      </c>
      <c r="E13205" s="3">
        <v>7.98E-155</v>
      </c>
      <c r="F13205" s="2">
        <v>1275</v>
      </c>
      <c r="G13205" s="2">
        <v>59</v>
      </c>
      <c r="H13205" s="2">
        <v>453</v>
      </c>
      <c r="I13205" s="2">
        <v>119</v>
      </c>
      <c r="J13205" s="2">
        <v>1477</v>
      </c>
      <c r="K13205" s="2">
        <v>1</v>
      </c>
      <c r="L13205" s="2">
        <v>371</v>
      </c>
    </row>
    <row r="13206" spans="1:12" x14ac:dyDescent="0.25">
      <c r="A13206" s="4" t="str">
        <f>HYPERLINK("http://www.rosaceae.org/Prunus/Prunus_persica/p.persica_gdr_reftransV1_0030732","p.persica_gdr_reftransV1_0030732")</f>
        <v>p.persica_gdr_reftransV1_0030732</v>
      </c>
      <c r="B13206" s="2">
        <v>2359</v>
      </c>
      <c r="C13206" s="4" t="str">
        <f>HYPERLINK("http://www.uniprot.org/uniprot/M5WXR1","M5WXR1")</f>
        <v>M5WXR1</v>
      </c>
      <c r="D13206" s="2" t="s">
        <v>10896</v>
      </c>
      <c r="E13206" s="3">
        <v>3.1400000000000001E-128</v>
      </c>
      <c r="F13206" s="2">
        <v>1026</v>
      </c>
      <c r="G13206" s="2">
        <v>100</v>
      </c>
      <c r="H13206" s="2">
        <v>194</v>
      </c>
      <c r="I13206" s="2">
        <v>1532</v>
      </c>
      <c r="J13206" s="2">
        <v>2113</v>
      </c>
      <c r="K13206" s="2">
        <v>187</v>
      </c>
      <c r="L13206" s="2">
        <v>380</v>
      </c>
    </row>
    <row r="13207" spans="1:12" x14ac:dyDescent="0.25">
      <c r="A13207" s="4" t="str">
        <f>HYPERLINK("http://www.rosaceae.org/Prunus/Prunus_persica/p.persica_gdr_reftransV1_0031782","p.persica_gdr_reftransV1_0031782")</f>
        <v>p.persica_gdr_reftransV1_0031782</v>
      </c>
      <c r="B13207" s="2">
        <v>954</v>
      </c>
      <c r="C13207" s="4" t="str">
        <f>HYPERLINK("http://www.uniprot.org/uniprot/M5VS00","M5VS00")</f>
        <v>M5VS00</v>
      </c>
      <c r="D13207" s="2" t="s">
        <v>10897</v>
      </c>
      <c r="E13207" s="3">
        <v>1.6600000000000001E-123</v>
      </c>
      <c r="F13207" s="2">
        <v>934</v>
      </c>
      <c r="G13207" s="2">
        <v>100</v>
      </c>
      <c r="H13207" s="2">
        <v>185</v>
      </c>
      <c r="I13207" s="2">
        <v>129</v>
      </c>
      <c r="J13207" s="2">
        <v>683</v>
      </c>
      <c r="K13207" s="2">
        <v>1</v>
      </c>
      <c r="L13207" s="2">
        <v>185</v>
      </c>
    </row>
    <row r="13208" spans="1:12" x14ac:dyDescent="0.25">
      <c r="A13208" s="4" t="str">
        <f>HYPERLINK("http://www.rosaceae.org/Prunus/Prunus_persica/p.persica_gdr_reftransV1_0032482","p.persica_gdr_reftransV1_0032482")</f>
        <v>p.persica_gdr_reftransV1_0032482</v>
      </c>
      <c r="B13208" s="2">
        <v>3249</v>
      </c>
      <c r="C13208" s="4" t="str">
        <f>HYPERLINK("http://www.uniprot.org/uniprot/M5X6R6","M5X6R6")</f>
        <v>M5X6R6</v>
      </c>
      <c r="D13208" s="2" t="s">
        <v>10898</v>
      </c>
      <c r="E13208" s="3">
        <v>1.0999999999999999E-92</v>
      </c>
      <c r="F13208" s="2">
        <v>789</v>
      </c>
      <c r="G13208" s="2">
        <v>100</v>
      </c>
      <c r="H13208" s="2">
        <v>148</v>
      </c>
      <c r="I13208" s="2">
        <v>2205</v>
      </c>
      <c r="J13208" s="2">
        <v>2648</v>
      </c>
      <c r="K13208" s="2">
        <v>1</v>
      </c>
      <c r="L13208" s="2">
        <v>148</v>
      </c>
    </row>
    <row r="13209" spans="1:12" x14ac:dyDescent="0.25">
      <c r="A13209" s="4" t="str">
        <f>HYPERLINK("http://www.rosaceae.org/Prunus/Prunus_persica/p.persica_gdr_reftransV1_0034932","p.persica_gdr_reftransV1_0034932")</f>
        <v>p.persica_gdr_reftransV1_0034932</v>
      </c>
      <c r="B13209" s="2">
        <v>4294</v>
      </c>
      <c r="C13209" s="4" t="str">
        <f>HYPERLINK("http://www.uniprot.org/uniprot/M5WCE2","M5WCE2")</f>
        <v>M5WCE2</v>
      </c>
      <c r="D13209" s="2" t="s">
        <v>3222</v>
      </c>
      <c r="E13209" s="3">
        <v>0</v>
      </c>
      <c r="F13209" s="2">
        <v>1771</v>
      </c>
      <c r="G13209" s="2">
        <v>99</v>
      </c>
      <c r="H13209" s="2">
        <v>330</v>
      </c>
      <c r="I13209" s="2">
        <v>382</v>
      </c>
      <c r="J13209" s="2">
        <v>1371</v>
      </c>
      <c r="K13209" s="2">
        <v>597</v>
      </c>
      <c r="L13209" s="2">
        <v>926</v>
      </c>
    </row>
    <row r="13210" spans="1:12" x14ac:dyDescent="0.25">
      <c r="A13210" s="4" t="str">
        <f>HYPERLINK("http://www.rosaceae.org/Prunus/Prunus_persica/p.persica_gdr_reftransV1_0035982","p.persica_gdr_reftransV1_0035982")</f>
        <v>p.persica_gdr_reftransV1_0035982</v>
      </c>
      <c r="B13210" s="2">
        <v>4346</v>
      </c>
      <c r="C13210" s="4" t="str">
        <f>HYPERLINK("http://www.uniprot.org/uniprot/M5XIY5","M5XIY5")</f>
        <v>M5XIY5</v>
      </c>
      <c r="D13210" s="2" t="s">
        <v>7829</v>
      </c>
      <c r="E13210" s="3">
        <v>0</v>
      </c>
      <c r="F13210" s="2">
        <v>4416</v>
      </c>
      <c r="G13210" s="2">
        <v>96</v>
      </c>
      <c r="H13210" s="2">
        <v>938</v>
      </c>
      <c r="I13210" s="2">
        <v>732</v>
      </c>
      <c r="J13210" s="2">
        <v>3545</v>
      </c>
      <c r="K13210" s="2">
        <v>1</v>
      </c>
      <c r="L13210" s="2">
        <v>908</v>
      </c>
    </row>
    <row r="13211" spans="1:12" x14ac:dyDescent="0.25">
      <c r="A13211" s="4" t="str">
        <f>HYPERLINK("http://www.rosaceae.org/Prunus/Prunus_persica/p.persica_gdr_reftransV1_0036332","p.persica_gdr_reftransV1_0036332")</f>
        <v>p.persica_gdr_reftransV1_0036332</v>
      </c>
      <c r="B13211" s="2">
        <v>2105</v>
      </c>
      <c r="C13211" s="4" t="str">
        <f>HYPERLINK("http://www.uniprot.org/uniprot/M5WUV6","M5WUV6")</f>
        <v>M5WUV6</v>
      </c>
      <c r="D13211" s="2" t="s">
        <v>10237</v>
      </c>
      <c r="E13211" s="3">
        <v>7.4899999999999996E-77</v>
      </c>
      <c r="F13211" s="2">
        <v>661</v>
      </c>
      <c r="G13211" s="2">
        <v>99</v>
      </c>
      <c r="H13211" s="2">
        <v>129</v>
      </c>
      <c r="I13211" s="2">
        <v>1532</v>
      </c>
      <c r="J13211" s="2">
        <v>1918</v>
      </c>
      <c r="K13211" s="2">
        <v>141</v>
      </c>
      <c r="L13211" s="2">
        <v>269</v>
      </c>
    </row>
    <row r="13212" spans="1:12" x14ac:dyDescent="0.25">
      <c r="A13212" s="4" t="str">
        <f>HYPERLINK("http://www.rosaceae.org/Prunus/Prunus_persica/p.persica_gdr_reftransV1_0037032","p.persica_gdr_reftransV1_0037032")</f>
        <v>p.persica_gdr_reftransV1_0037032</v>
      </c>
      <c r="B13212" s="2">
        <v>4407</v>
      </c>
      <c r="C13212" s="4" t="str">
        <f>HYPERLINK("http://www.uniprot.org/uniprot/M5XUG8","M5XUG8")</f>
        <v>M5XUG8</v>
      </c>
      <c r="D13212" s="2" t="s">
        <v>10899</v>
      </c>
      <c r="E13212" s="3">
        <v>0</v>
      </c>
      <c r="F13212" s="2">
        <v>5957</v>
      </c>
      <c r="G13212" s="2">
        <v>100</v>
      </c>
      <c r="H13212" s="2">
        <v>1198</v>
      </c>
      <c r="I13212" s="2">
        <v>655</v>
      </c>
      <c r="J13212" s="2">
        <v>4248</v>
      </c>
      <c r="K13212" s="2">
        <v>1</v>
      </c>
      <c r="L13212" s="2">
        <v>1198</v>
      </c>
    </row>
    <row r="13213" spans="1:12" x14ac:dyDescent="0.25">
      <c r="A13213" s="4" t="str">
        <f>HYPERLINK("http://www.rosaceae.org/Prunus/Prunus_persica/p.persica_gdr_reftransV1_0037382","p.persica_gdr_reftransV1_0037382")</f>
        <v>p.persica_gdr_reftransV1_0037382</v>
      </c>
      <c r="B13213" s="2">
        <v>1901</v>
      </c>
      <c r="C13213" s="4" t="str">
        <f>HYPERLINK("http://www.uniprot.org/uniprot/M5X8C4","M5X8C4")</f>
        <v>M5X8C4</v>
      </c>
      <c r="D13213" s="2" t="s">
        <v>10900</v>
      </c>
      <c r="E13213" s="3">
        <v>0</v>
      </c>
      <c r="F13213" s="2">
        <v>1844</v>
      </c>
      <c r="G13213" s="2">
        <v>100</v>
      </c>
      <c r="H13213" s="2">
        <v>342</v>
      </c>
      <c r="I13213" s="2">
        <v>456</v>
      </c>
      <c r="J13213" s="2">
        <v>1481</v>
      </c>
      <c r="K13213" s="2">
        <v>1</v>
      </c>
      <c r="L13213" s="2">
        <v>342</v>
      </c>
    </row>
    <row r="13214" spans="1:12" x14ac:dyDescent="0.25">
      <c r="A13214" s="4" t="str">
        <f>HYPERLINK("http://www.rosaceae.org/Prunus/Prunus_persica/p.persica_gdr_reftransV1_0038432","p.persica_gdr_reftransV1_0038432")</f>
        <v>p.persica_gdr_reftransV1_0038432</v>
      </c>
      <c r="B13214" s="2">
        <v>4634</v>
      </c>
      <c r="C13214" s="4" t="str">
        <f>HYPERLINK("http://www.uniprot.org/uniprot/M5XBD3","M5XBD3")</f>
        <v>M5XBD3</v>
      </c>
      <c r="D13214" s="2" t="s">
        <v>10901</v>
      </c>
      <c r="E13214" s="3">
        <v>0</v>
      </c>
      <c r="F13214" s="2">
        <v>3096</v>
      </c>
      <c r="G13214" s="2">
        <v>84</v>
      </c>
      <c r="H13214" s="2">
        <v>808</v>
      </c>
      <c r="I13214" s="2">
        <v>1065</v>
      </c>
      <c r="J13214" s="2">
        <v>3479</v>
      </c>
      <c r="K13214" s="2">
        <v>166</v>
      </c>
      <c r="L13214" s="2">
        <v>948</v>
      </c>
    </row>
    <row r="13215" spans="1:12" x14ac:dyDescent="0.25">
      <c r="A13215" s="4" t="str">
        <f>HYPERLINK("http://www.rosaceae.org/Prunus/Prunus_persica/p.persica_gdr_reftransV1_0039482","p.persica_gdr_reftransV1_0039482")</f>
        <v>p.persica_gdr_reftransV1_0039482</v>
      </c>
      <c r="B13215" s="2">
        <v>2821</v>
      </c>
      <c r="C13215" s="4" t="str">
        <f>HYPERLINK("http://www.uniprot.org/uniprot/M5W7B5","M5W7B5")</f>
        <v>M5W7B5</v>
      </c>
      <c r="D13215" s="2" t="s">
        <v>10902</v>
      </c>
      <c r="E13215" s="3">
        <v>0</v>
      </c>
      <c r="F13215" s="2">
        <v>2592</v>
      </c>
      <c r="G13215" s="2">
        <v>100</v>
      </c>
      <c r="H13215" s="2">
        <v>537</v>
      </c>
      <c r="I13215" s="2">
        <v>90</v>
      </c>
      <c r="J13215" s="2">
        <v>1700</v>
      </c>
      <c r="K13215" s="2">
        <v>1</v>
      </c>
      <c r="L13215" s="2">
        <v>537</v>
      </c>
    </row>
    <row r="13216" spans="1:12" x14ac:dyDescent="0.25">
      <c r="A13216" s="4" t="str">
        <f>HYPERLINK("http://www.rosaceae.org/Prunus/Prunus_persica/p.persica_gdr_reftransV1_0041232","p.persica_gdr_reftransV1_0041232")</f>
        <v>p.persica_gdr_reftransV1_0041232</v>
      </c>
      <c r="B13216" s="2">
        <v>1681</v>
      </c>
      <c r="C13216" s="4" t="str">
        <f>HYPERLINK("http://www.uniprot.org/uniprot/M5WH44","M5WH44")</f>
        <v>M5WH44</v>
      </c>
      <c r="D13216" s="2" t="s">
        <v>9935</v>
      </c>
      <c r="E13216" s="3">
        <v>1.77E-118</v>
      </c>
      <c r="F13216" s="2">
        <v>927</v>
      </c>
      <c r="G13216" s="2">
        <v>100</v>
      </c>
      <c r="H13216" s="2">
        <v>226</v>
      </c>
      <c r="I13216" s="2">
        <v>767</v>
      </c>
      <c r="J13216" s="2">
        <v>1444</v>
      </c>
      <c r="K13216" s="2">
        <v>1</v>
      </c>
      <c r="L13216" s="2">
        <v>226</v>
      </c>
    </row>
    <row r="13217" spans="1:12" x14ac:dyDescent="0.25">
      <c r="A13217" s="4" t="str">
        <f>HYPERLINK("http://www.rosaceae.org/Prunus/Prunus_persica/p.persica_gdr_reftransV1_0043332","p.persica_gdr_reftransV1_0043332")</f>
        <v>p.persica_gdr_reftransV1_0043332</v>
      </c>
      <c r="B13217" s="2">
        <v>761</v>
      </c>
      <c r="C13217" s="4" t="str">
        <f>HYPERLINK("http://www.uniprot.org/uniprot/M5XLN3","M5XLN3")</f>
        <v>M5XLN3</v>
      </c>
      <c r="D13217" s="2" t="s">
        <v>10903</v>
      </c>
      <c r="E13217" s="3">
        <v>0</v>
      </c>
      <c r="F13217" s="2">
        <v>1348</v>
      </c>
      <c r="G13217" s="2">
        <v>100</v>
      </c>
      <c r="H13217" s="2">
        <v>253</v>
      </c>
      <c r="I13217" s="2">
        <v>2</v>
      </c>
      <c r="J13217" s="2">
        <v>760</v>
      </c>
      <c r="K13217" s="2">
        <v>45</v>
      </c>
      <c r="L13217" s="2">
        <v>297</v>
      </c>
    </row>
    <row r="13218" spans="1:12" x14ac:dyDescent="0.25">
      <c r="A13218" s="4" t="str">
        <f>HYPERLINK("http://www.rosaceae.org/Prunus/Prunus_persica/p.persica_gdr_reftransV1_0043682","p.persica_gdr_reftransV1_0043682")</f>
        <v>p.persica_gdr_reftransV1_0043682</v>
      </c>
      <c r="B13218" s="2">
        <v>402</v>
      </c>
      <c r="C13218" s="4" t="str">
        <f>HYPERLINK("http://www.uniprot.org/uniprot/M5W3J3","M5W3J3")</f>
        <v>M5W3J3</v>
      </c>
      <c r="D13218" s="2" t="s">
        <v>1761</v>
      </c>
      <c r="E13218" s="3">
        <v>6.8299999999999996E-78</v>
      </c>
      <c r="F13218" s="2">
        <v>668</v>
      </c>
      <c r="G13218" s="2">
        <v>86</v>
      </c>
      <c r="H13218" s="2">
        <v>153</v>
      </c>
      <c r="I13218" s="2">
        <v>3</v>
      </c>
      <c r="J13218" s="2">
        <v>401</v>
      </c>
      <c r="K13218" s="2">
        <v>1001</v>
      </c>
      <c r="L13218" s="2">
        <v>1153</v>
      </c>
    </row>
    <row r="13219" spans="1:12" x14ac:dyDescent="0.25">
      <c r="A13219" s="4" t="str">
        <f>HYPERLINK("http://www.rosaceae.org/Prunus/Prunus_persica/p.persica_gdr_reftransV1_0044032","p.persica_gdr_reftransV1_0044032")</f>
        <v>p.persica_gdr_reftransV1_0044032</v>
      </c>
      <c r="B13219" s="2">
        <v>1061</v>
      </c>
      <c r="C13219" s="4" t="str">
        <f>HYPERLINK("http://www.uniprot.org/uniprot/M5Y181","M5Y181")</f>
        <v>M5Y181</v>
      </c>
      <c r="D13219" s="2" t="s">
        <v>10904</v>
      </c>
      <c r="E13219" s="3">
        <v>0</v>
      </c>
      <c r="F13219" s="2">
        <v>1475</v>
      </c>
      <c r="G13219" s="2">
        <v>96</v>
      </c>
      <c r="H13219" s="2">
        <v>308</v>
      </c>
      <c r="I13219" s="2">
        <v>2</v>
      </c>
      <c r="J13219" s="2">
        <v>892</v>
      </c>
      <c r="K13219" s="2">
        <v>28</v>
      </c>
      <c r="L13219" s="2">
        <v>335</v>
      </c>
    </row>
    <row r="13220" spans="1:12" x14ac:dyDescent="0.25">
      <c r="A13220" s="4" t="str">
        <f>HYPERLINK("http://www.rosaceae.org/Prunus/Prunus_persica/p.persica_gdr_reftransV1_0044382","p.persica_gdr_reftransV1_0044382")</f>
        <v>p.persica_gdr_reftransV1_0044382</v>
      </c>
      <c r="B13220" s="2">
        <v>2405</v>
      </c>
      <c r="C13220" s="4" t="str">
        <f>HYPERLINK("http://www.uniprot.org/uniprot/M5VVR7","M5VVR7")</f>
        <v>M5VVR7</v>
      </c>
      <c r="D13220" s="2" t="s">
        <v>4890</v>
      </c>
      <c r="E13220" s="3">
        <v>0</v>
      </c>
      <c r="F13220" s="2">
        <v>3538</v>
      </c>
      <c r="G13220" s="2">
        <v>97</v>
      </c>
      <c r="H13220" s="2">
        <v>710</v>
      </c>
      <c r="I13220" s="2">
        <v>284</v>
      </c>
      <c r="J13220" s="2">
        <v>2404</v>
      </c>
      <c r="K13220" s="2">
        <v>625</v>
      </c>
      <c r="L13220" s="2">
        <v>1332</v>
      </c>
    </row>
    <row r="13221" spans="1:12" x14ac:dyDescent="0.25">
      <c r="A13221" s="4" t="str">
        <f>HYPERLINK("http://www.rosaceae.org/Prunus/Prunus_persica/p.persica_gdr_reftransV1_0044732","p.persica_gdr_reftransV1_0044732")</f>
        <v>p.persica_gdr_reftransV1_0044732</v>
      </c>
      <c r="B13221" s="2">
        <v>346</v>
      </c>
      <c r="C13221" s="4" t="str">
        <f>HYPERLINK("http://www.uniprot.org/uniprot/M5X1D9","M5X1D9")</f>
        <v>M5X1D9</v>
      </c>
      <c r="D13221" s="2" t="s">
        <v>10905</v>
      </c>
      <c r="E13221" s="3">
        <v>2.5E-74</v>
      </c>
      <c r="F13221" s="2">
        <v>603</v>
      </c>
      <c r="G13221" s="2">
        <v>100</v>
      </c>
      <c r="H13221" s="2">
        <v>115</v>
      </c>
      <c r="I13221" s="2">
        <v>1</v>
      </c>
      <c r="J13221" s="2">
        <v>345</v>
      </c>
      <c r="K13221" s="2">
        <v>273</v>
      </c>
      <c r="L13221" s="2">
        <v>387</v>
      </c>
    </row>
    <row r="13222" spans="1:12" x14ac:dyDescent="0.25">
      <c r="A13222" s="4" t="str">
        <f>HYPERLINK("http://www.rosaceae.org/Prunus/Prunus_persica/p.persica_gdr_reftransV1_0045082","p.persica_gdr_reftransV1_0045082")</f>
        <v>p.persica_gdr_reftransV1_0045082</v>
      </c>
      <c r="B13222" s="2">
        <v>1439</v>
      </c>
      <c r="C13222" s="4" t="str">
        <f>HYPERLINK("http://www.uniprot.org/uniprot/M5VRD4","M5VRD4")</f>
        <v>M5VRD4</v>
      </c>
      <c r="D13222" s="2" t="s">
        <v>10906</v>
      </c>
      <c r="E13222" s="3">
        <v>2.35E-178</v>
      </c>
      <c r="F13222" s="2">
        <v>1034</v>
      </c>
      <c r="G13222" s="2">
        <v>100</v>
      </c>
      <c r="H13222" s="2">
        <v>195</v>
      </c>
      <c r="I13222" s="2">
        <v>217</v>
      </c>
      <c r="J13222" s="2">
        <v>801</v>
      </c>
      <c r="K13222" s="2">
        <v>141</v>
      </c>
      <c r="L13222" s="2">
        <v>335</v>
      </c>
    </row>
    <row r="13223" spans="1:12" x14ac:dyDescent="0.25">
      <c r="A13223" s="4" t="str">
        <f>HYPERLINK("http://www.rosaceae.org/Prunus/Prunus_persica/p.persica_gdr_reftransV1_0046132","p.persica_gdr_reftransV1_0046132")</f>
        <v>p.persica_gdr_reftransV1_0046132</v>
      </c>
      <c r="B13223" s="2">
        <v>1911</v>
      </c>
      <c r="C13223" s="4" t="str">
        <f>HYPERLINK("http://www.uniprot.org/uniprot/M5WTH9","M5WTH9")</f>
        <v>M5WTH9</v>
      </c>
      <c r="D13223" s="2" t="s">
        <v>10907</v>
      </c>
      <c r="E13223" s="3">
        <v>0</v>
      </c>
      <c r="F13223" s="2">
        <v>2406</v>
      </c>
      <c r="G13223" s="2">
        <v>100</v>
      </c>
      <c r="H13223" s="2">
        <v>465</v>
      </c>
      <c r="I13223" s="2">
        <v>119</v>
      </c>
      <c r="J13223" s="2">
        <v>1513</v>
      </c>
      <c r="K13223" s="2">
        <v>1</v>
      </c>
      <c r="L13223" s="2">
        <v>465</v>
      </c>
    </row>
    <row r="13224" spans="1:12" x14ac:dyDescent="0.25">
      <c r="A13224" s="4" t="str">
        <f>HYPERLINK("http://www.rosaceae.org/Prunus/Prunus_persica/p.persica_gdr_reftransV1_0046832","p.persica_gdr_reftransV1_0046832")</f>
        <v>p.persica_gdr_reftransV1_0046832</v>
      </c>
      <c r="B13224" s="2">
        <v>745</v>
      </c>
      <c r="C13224" s="4" t="str">
        <f>HYPERLINK("http://www.uniprot.org/uniprot/M5WCM0","M5WCM0")</f>
        <v>M5WCM0</v>
      </c>
      <c r="D13224" s="2" t="s">
        <v>10908</v>
      </c>
      <c r="E13224" s="3">
        <v>3.01E-53</v>
      </c>
      <c r="F13224" s="2">
        <v>464</v>
      </c>
      <c r="G13224" s="2">
        <v>100</v>
      </c>
      <c r="H13224" s="2">
        <v>86</v>
      </c>
      <c r="I13224" s="2">
        <v>296</v>
      </c>
      <c r="J13224" s="2">
        <v>553</v>
      </c>
      <c r="K13224" s="2">
        <v>142</v>
      </c>
      <c r="L13224" s="2">
        <v>227</v>
      </c>
    </row>
    <row r="13225" spans="1:12" x14ac:dyDescent="0.25">
      <c r="A13225" s="4" t="str">
        <f>HYPERLINK("http://www.rosaceae.org/Prunus/Prunus_persica/p.persica_gdr_reftransV1_0047182","p.persica_gdr_reftransV1_0047182")</f>
        <v>p.persica_gdr_reftransV1_0047182</v>
      </c>
      <c r="B13225" s="2">
        <v>357</v>
      </c>
      <c r="C13225" s="4" t="str">
        <f>HYPERLINK("http://www.uniprot.org/uniprot/M5W777","M5W777")</f>
        <v>M5W777</v>
      </c>
      <c r="D13225" s="2" t="s">
        <v>10909</v>
      </c>
      <c r="E13225" s="3">
        <v>4.6599999999999999E-76</v>
      </c>
      <c r="F13225" s="2">
        <v>629</v>
      </c>
      <c r="G13225" s="2">
        <v>100</v>
      </c>
      <c r="H13225" s="2">
        <v>119</v>
      </c>
      <c r="I13225" s="2">
        <v>1</v>
      </c>
      <c r="J13225" s="2">
        <v>357</v>
      </c>
      <c r="K13225" s="2">
        <v>451</v>
      </c>
      <c r="L13225" s="2">
        <v>569</v>
      </c>
    </row>
    <row r="13226" spans="1:12" x14ac:dyDescent="0.25">
      <c r="A13226" s="4" t="str">
        <f>HYPERLINK("http://www.rosaceae.org/Prunus/Prunus_persica/p.persica_gdr_reftransV1_0047532","p.persica_gdr_reftransV1_0047532")</f>
        <v>p.persica_gdr_reftransV1_0047532</v>
      </c>
      <c r="B13226" s="2">
        <v>1134</v>
      </c>
      <c r="C13226" s="4" t="str">
        <f>HYPERLINK("http://www.uniprot.org/uniprot/M5XHM8","M5XHM8")</f>
        <v>M5XHM8</v>
      </c>
      <c r="D13226" s="2" t="s">
        <v>7453</v>
      </c>
      <c r="E13226" s="3">
        <v>1.1E-161</v>
      </c>
      <c r="F13226" s="2">
        <v>1208</v>
      </c>
      <c r="G13226" s="2">
        <v>97</v>
      </c>
      <c r="H13226" s="2">
        <v>350</v>
      </c>
      <c r="I13226" s="2">
        <v>72</v>
      </c>
      <c r="J13226" s="2">
        <v>1097</v>
      </c>
      <c r="K13226" s="2">
        <v>1</v>
      </c>
      <c r="L13226" s="2">
        <v>350</v>
      </c>
    </row>
    <row r="13227" spans="1:12" x14ac:dyDescent="0.25">
      <c r="A13227" s="4" t="str">
        <f>HYPERLINK("http://www.rosaceae.org/Prunus/Prunus_persica/p.persica_gdr_reftransV1_0047882","p.persica_gdr_reftransV1_0047882")</f>
        <v>p.persica_gdr_reftransV1_0047882</v>
      </c>
      <c r="B13227" s="2">
        <v>1810</v>
      </c>
      <c r="C13227" s="4" t="str">
        <f>HYPERLINK("http://www.uniprot.org/uniprot/M5W0P3","M5W0P3")</f>
        <v>M5W0P3</v>
      </c>
      <c r="D13227" s="2" t="s">
        <v>10910</v>
      </c>
      <c r="E13227" s="3">
        <v>0</v>
      </c>
      <c r="F13227" s="2">
        <v>3155</v>
      </c>
      <c r="G13227" s="2">
        <v>100</v>
      </c>
      <c r="H13227" s="2">
        <v>603</v>
      </c>
      <c r="I13227" s="2">
        <v>1</v>
      </c>
      <c r="J13227" s="2">
        <v>1809</v>
      </c>
      <c r="K13227" s="2">
        <v>100</v>
      </c>
      <c r="L13227" s="2">
        <v>702</v>
      </c>
    </row>
    <row r="13228" spans="1:12" x14ac:dyDescent="0.25">
      <c r="A13228" s="4" t="str">
        <f>HYPERLINK("http://www.rosaceae.org/Prunus/Prunus_persica/p.persica_gdr_reftransV1_0048232","p.persica_gdr_reftransV1_0048232")</f>
        <v>p.persica_gdr_reftransV1_0048232</v>
      </c>
      <c r="B13228" s="2">
        <v>1044</v>
      </c>
      <c r="C13228" s="4" t="str">
        <f>HYPERLINK("http://www.uniprot.org/uniprot/M5XLT6","M5XLT6")</f>
        <v>M5XLT6</v>
      </c>
      <c r="D13228" s="2" t="s">
        <v>10911</v>
      </c>
      <c r="E13228" s="3">
        <v>6.6000000000000004E-137</v>
      </c>
      <c r="F13228" s="2">
        <v>1026</v>
      </c>
      <c r="G13228" s="2">
        <v>100</v>
      </c>
      <c r="H13228" s="2">
        <v>189</v>
      </c>
      <c r="I13228" s="2">
        <v>275</v>
      </c>
      <c r="J13228" s="2">
        <v>841</v>
      </c>
      <c r="K13228" s="2">
        <v>1</v>
      </c>
      <c r="L13228" s="2">
        <v>189</v>
      </c>
    </row>
    <row r="13229" spans="1:12" x14ac:dyDescent="0.25">
      <c r="A13229" s="4" t="str">
        <f>HYPERLINK("http://www.rosaceae.org/Prunus/Prunus_persica/p.persica_gdr_reftransV1_0048582","p.persica_gdr_reftransV1_0048582")</f>
        <v>p.persica_gdr_reftransV1_0048582</v>
      </c>
      <c r="B13229" s="2">
        <v>1986</v>
      </c>
      <c r="C13229" s="4" t="str">
        <f>HYPERLINK("http://www.uniprot.org/uniprot/M5XBP0","M5XBP0")</f>
        <v>M5XBP0</v>
      </c>
      <c r="D13229" s="2" t="s">
        <v>10912</v>
      </c>
      <c r="E13229" s="3">
        <v>0</v>
      </c>
      <c r="F13229" s="2">
        <v>2712</v>
      </c>
      <c r="G13229" s="2">
        <v>100</v>
      </c>
      <c r="H13229" s="2">
        <v>538</v>
      </c>
      <c r="I13229" s="2">
        <v>126</v>
      </c>
      <c r="J13229" s="2">
        <v>1739</v>
      </c>
      <c r="K13229" s="2">
        <v>1</v>
      </c>
      <c r="L13229" s="2">
        <v>538</v>
      </c>
    </row>
    <row r="13230" spans="1:12" x14ac:dyDescent="0.25">
      <c r="A13230" s="4" t="str">
        <f>HYPERLINK("http://www.rosaceae.org/Prunus/Prunus_persica/p.persica_gdr_reftransV1_0048932","p.persica_gdr_reftransV1_0048932")</f>
        <v>p.persica_gdr_reftransV1_0048932</v>
      </c>
      <c r="B13230" s="2">
        <v>3347</v>
      </c>
      <c r="C13230" s="4" t="str">
        <f>HYPERLINK("http://www.uniprot.org/uniprot/M5XSQ0","M5XSQ0")</f>
        <v>M5XSQ0</v>
      </c>
      <c r="D13230" s="2" t="s">
        <v>5057</v>
      </c>
      <c r="E13230" s="3">
        <v>0</v>
      </c>
      <c r="F13230" s="2">
        <v>4955</v>
      </c>
      <c r="G13230" s="2">
        <v>98</v>
      </c>
      <c r="H13230" s="2">
        <v>1033</v>
      </c>
      <c r="I13230" s="2">
        <v>86</v>
      </c>
      <c r="J13230" s="2">
        <v>3184</v>
      </c>
      <c r="K13230" s="2">
        <v>246</v>
      </c>
      <c r="L13230" s="2">
        <v>1258</v>
      </c>
    </row>
    <row r="13231" spans="1:12" x14ac:dyDescent="0.25">
      <c r="A13231" s="4" t="str">
        <f>HYPERLINK("http://www.rosaceae.org/Prunus/Prunus_persica/p.persica_gdr_reftransV1_0000283","p.persica_gdr_reftransV1_0000283")</f>
        <v>p.persica_gdr_reftransV1_0000283</v>
      </c>
      <c r="B13231" s="2">
        <v>1804</v>
      </c>
      <c r="C13231" s="4" t="str">
        <f>HYPERLINK("http://www.uniprot.org/uniprot/M5VWV8","M5VWV8")</f>
        <v>M5VWV8</v>
      </c>
      <c r="D13231" s="2" t="s">
        <v>6781</v>
      </c>
      <c r="E13231" s="3">
        <v>0</v>
      </c>
      <c r="F13231" s="2">
        <v>1787</v>
      </c>
      <c r="G13231" s="2">
        <v>93</v>
      </c>
      <c r="H13231" s="2">
        <v>397</v>
      </c>
      <c r="I13231" s="2">
        <v>562</v>
      </c>
      <c r="J13231" s="2">
        <v>1752</v>
      </c>
      <c r="K13231" s="2">
        <v>1</v>
      </c>
      <c r="L13231" s="2">
        <v>374</v>
      </c>
    </row>
    <row r="13232" spans="1:12" x14ac:dyDescent="0.25">
      <c r="A13232" s="4" t="str">
        <f>HYPERLINK("http://www.rosaceae.org/Prunus/Prunus_persica/p.persica_gdr_reftransV1_0000983","p.persica_gdr_reftransV1_0000983")</f>
        <v>p.persica_gdr_reftransV1_0000983</v>
      </c>
      <c r="B13232" s="2">
        <v>2151</v>
      </c>
      <c r="C13232" s="4" t="str">
        <f>HYPERLINK("http://www.uniprot.org/uniprot/M5WRL4","M5WRL4")</f>
        <v>M5WRL4</v>
      </c>
      <c r="D13232" s="2" t="s">
        <v>10913</v>
      </c>
      <c r="E13232" s="3">
        <v>0</v>
      </c>
      <c r="F13232" s="2">
        <v>3022</v>
      </c>
      <c r="G13232" s="2">
        <v>100</v>
      </c>
      <c r="H13232" s="2">
        <v>563</v>
      </c>
      <c r="I13232" s="2">
        <v>462</v>
      </c>
      <c r="J13232" s="2">
        <v>2150</v>
      </c>
      <c r="K13232" s="2">
        <v>25</v>
      </c>
      <c r="L13232" s="2">
        <v>587</v>
      </c>
    </row>
    <row r="13233" spans="1:12" x14ac:dyDescent="0.25">
      <c r="A13233" s="4" t="str">
        <f>HYPERLINK("http://www.rosaceae.org/Prunus/Prunus_persica/p.persica_gdr_reftransV1_0001683","p.persica_gdr_reftransV1_0001683")</f>
        <v>p.persica_gdr_reftransV1_0001683</v>
      </c>
      <c r="B13233" s="2">
        <v>2129</v>
      </c>
      <c r="C13233" s="4" t="str">
        <f>HYPERLINK("http://www.uniprot.org/uniprot/M5W6H0","M5W6H0")</f>
        <v>M5W6H0</v>
      </c>
      <c r="D13233" s="2" t="s">
        <v>10914</v>
      </c>
      <c r="E13233" s="3">
        <v>0</v>
      </c>
      <c r="F13233" s="2">
        <v>1804</v>
      </c>
      <c r="G13233" s="2">
        <v>100</v>
      </c>
      <c r="H13233" s="2">
        <v>395</v>
      </c>
      <c r="I13233" s="2">
        <v>635</v>
      </c>
      <c r="J13233" s="2">
        <v>1819</v>
      </c>
      <c r="K13233" s="2">
        <v>98</v>
      </c>
      <c r="L13233" s="2">
        <v>492</v>
      </c>
    </row>
    <row r="13234" spans="1:12" x14ac:dyDescent="0.25">
      <c r="A13234" s="4" t="str">
        <f>HYPERLINK("http://www.rosaceae.org/Prunus/Prunus_persica/p.persica_gdr_reftransV1_0002033","p.persica_gdr_reftransV1_0002033")</f>
        <v>p.persica_gdr_reftransV1_0002033</v>
      </c>
      <c r="B13234" s="2">
        <v>4970</v>
      </c>
      <c r="C13234" s="4" t="str">
        <f>HYPERLINK("http://www.uniprot.org/uniprot/W9RLL2","W9RLL2")</f>
        <v>W9RLL2</v>
      </c>
      <c r="D13234" s="2" t="s">
        <v>10915</v>
      </c>
      <c r="E13234" s="3">
        <v>0</v>
      </c>
      <c r="F13234" s="2">
        <v>3873</v>
      </c>
      <c r="G13234" s="2">
        <v>54</v>
      </c>
      <c r="H13234" s="2">
        <v>1635</v>
      </c>
      <c r="I13234" s="2">
        <v>158</v>
      </c>
      <c r="J13234" s="2">
        <v>4969</v>
      </c>
      <c r="K13234" s="2">
        <v>481</v>
      </c>
      <c r="L13234" s="2">
        <v>2038</v>
      </c>
    </row>
    <row r="13235" spans="1:12" x14ac:dyDescent="0.25">
      <c r="A13235" s="4" t="str">
        <f>HYPERLINK("http://www.rosaceae.org/Prunus/Prunus_persica/p.persica_gdr_reftransV1_0002383","p.persica_gdr_reftransV1_0002383")</f>
        <v>p.persica_gdr_reftransV1_0002383</v>
      </c>
      <c r="B13235" s="2">
        <v>1201</v>
      </c>
      <c r="C13235" s="4" t="str">
        <f>HYPERLINK("http://www.uniprot.org/uniprot/M5W626","M5W626")</f>
        <v>M5W626</v>
      </c>
      <c r="D13235" s="2" t="s">
        <v>10772</v>
      </c>
      <c r="E13235" s="3">
        <v>0</v>
      </c>
      <c r="F13235" s="2">
        <v>1101</v>
      </c>
      <c r="G13235" s="2">
        <v>99</v>
      </c>
      <c r="H13235" s="2">
        <v>210</v>
      </c>
      <c r="I13235" s="2">
        <v>481</v>
      </c>
      <c r="J13235" s="2">
        <v>1110</v>
      </c>
      <c r="K13235" s="2">
        <v>222</v>
      </c>
      <c r="L13235" s="2">
        <v>431</v>
      </c>
    </row>
    <row r="13236" spans="1:12" x14ac:dyDescent="0.25">
      <c r="A13236" s="4" t="str">
        <f>HYPERLINK("http://www.rosaceae.org/Prunus/Prunus_persica/p.persica_gdr_reftransV1_0003433","p.persica_gdr_reftransV1_0003433")</f>
        <v>p.persica_gdr_reftransV1_0003433</v>
      </c>
      <c r="B13236" s="2">
        <v>3253</v>
      </c>
      <c r="C13236" s="4" t="str">
        <f>HYPERLINK("http://www.uniprot.org/uniprot/M5X868","M5X868")</f>
        <v>M5X868</v>
      </c>
      <c r="D13236" s="2" t="s">
        <v>10916</v>
      </c>
      <c r="E13236" s="3">
        <v>0</v>
      </c>
      <c r="F13236" s="2">
        <v>2423</v>
      </c>
      <c r="G13236" s="2">
        <v>94</v>
      </c>
      <c r="H13236" s="2">
        <v>527</v>
      </c>
      <c r="I13236" s="2">
        <v>996</v>
      </c>
      <c r="J13236" s="2">
        <v>2576</v>
      </c>
      <c r="K13236" s="2">
        <v>1</v>
      </c>
      <c r="L13236" s="2">
        <v>500</v>
      </c>
    </row>
    <row r="13237" spans="1:12" x14ac:dyDescent="0.25">
      <c r="A13237" s="4" t="str">
        <f>HYPERLINK("http://www.rosaceae.org/Prunus/Prunus_persica/p.persica_gdr_reftransV1_0003783","p.persica_gdr_reftransV1_0003783")</f>
        <v>p.persica_gdr_reftransV1_0003783</v>
      </c>
      <c r="B13237" s="2">
        <v>1109</v>
      </c>
      <c r="C13237" s="4" t="str">
        <f>HYPERLINK("http://www.uniprot.org/uniprot/M5Y7D4","M5Y7D4")</f>
        <v>M5Y7D4</v>
      </c>
      <c r="D13237" s="2" t="s">
        <v>1393</v>
      </c>
      <c r="E13237" s="3">
        <v>0</v>
      </c>
      <c r="F13237" s="2">
        <v>1817</v>
      </c>
      <c r="G13237" s="2">
        <v>100</v>
      </c>
      <c r="H13237" s="2">
        <v>369</v>
      </c>
      <c r="I13237" s="2">
        <v>3</v>
      </c>
      <c r="J13237" s="2">
        <v>1109</v>
      </c>
      <c r="K13237" s="2">
        <v>619</v>
      </c>
      <c r="L13237" s="2">
        <v>987</v>
      </c>
    </row>
    <row r="13238" spans="1:12" x14ac:dyDescent="0.25">
      <c r="A13238" s="4" t="str">
        <f>HYPERLINK("http://www.rosaceae.org/Prunus/Prunus_persica/p.persica_gdr_reftransV1_0004133","p.persica_gdr_reftransV1_0004133")</f>
        <v>p.persica_gdr_reftransV1_0004133</v>
      </c>
      <c r="B13238" s="2">
        <v>906</v>
      </c>
      <c r="C13238" s="4" t="str">
        <f>HYPERLINK("http://www.uniprot.org/uniprot/M5W1A2","M5W1A2")</f>
        <v>M5W1A2</v>
      </c>
      <c r="D13238" s="2" t="s">
        <v>10917</v>
      </c>
      <c r="E13238" s="3">
        <v>0</v>
      </c>
      <c r="F13238" s="2">
        <v>1371</v>
      </c>
      <c r="G13238" s="2">
        <v>98</v>
      </c>
      <c r="H13238" s="2">
        <v>270</v>
      </c>
      <c r="I13238" s="2">
        <v>95</v>
      </c>
      <c r="J13238" s="2">
        <v>904</v>
      </c>
      <c r="K13238" s="2">
        <v>1</v>
      </c>
      <c r="L13238" s="2">
        <v>264</v>
      </c>
    </row>
    <row r="13239" spans="1:12" x14ac:dyDescent="0.25">
      <c r="A13239" s="4" t="str">
        <f>HYPERLINK("http://www.rosaceae.org/Prunus/Prunus_persica/p.persica_gdr_reftransV1_0004483","p.persica_gdr_reftransV1_0004483")</f>
        <v>p.persica_gdr_reftransV1_0004483</v>
      </c>
      <c r="B13239" s="2">
        <v>1270</v>
      </c>
      <c r="C13239" s="4" t="str">
        <f>HYPERLINK("http://www.uniprot.org/uniprot/M5WTF0","M5WTF0")</f>
        <v>M5WTF0</v>
      </c>
      <c r="D13239" s="2" t="s">
        <v>10307</v>
      </c>
      <c r="E13239" s="3">
        <v>1.4600000000000001E-165</v>
      </c>
      <c r="F13239" s="2">
        <v>1226</v>
      </c>
      <c r="G13239" s="2">
        <v>100</v>
      </c>
      <c r="H13239" s="2">
        <v>231</v>
      </c>
      <c r="I13239" s="2">
        <v>368</v>
      </c>
      <c r="J13239" s="2">
        <v>1060</v>
      </c>
      <c r="K13239" s="2">
        <v>1</v>
      </c>
      <c r="L13239" s="2">
        <v>231</v>
      </c>
    </row>
    <row r="13240" spans="1:12" x14ac:dyDescent="0.25">
      <c r="A13240" s="4" t="str">
        <f>HYPERLINK("http://www.rosaceae.org/Prunus/Prunus_persica/p.persica_gdr_reftransV1_0005183","p.persica_gdr_reftransV1_0005183")</f>
        <v>p.persica_gdr_reftransV1_0005183</v>
      </c>
      <c r="B13240" s="2">
        <v>1258</v>
      </c>
      <c r="C13240" s="4" t="str">
        <f>HYPERLINK("http://www.uniprot.org/uniprot/M5WHK2","M5WHK2")</f>
        <v>M5WHK2</v>
      </c>
      <c r="D13240" s="2" t="s">
        <v>10918</v>
      </c>
      <c r="E13240" s="3">
        <v>0</v>
      </c>
      <c r="F13240" s="2">
        <v>1757</v>
      </c>
      <c r="G13240" s="2">
        <v>100</v>
      </c>
      <c r="H13240" s="2">
        <v>373</v>
      </c>
      <c r="I13240" s="2">
        <v>49</v>
      </c>
      <c r="J13240" s="2">
        <v>1167</v>
      </c>
      <c r="K13240" s="2">
        <v>1</v>
      </c>
      <c r="L13240" s="2">
        <v>373</v>
      </c>
    </row>
    <row r="13241" spans="1:12" x14ac:dyDescent="0.25">
      <c r="A13241" s="4" t="str">
        <f>HYPERLINK("http://www.rosaceae.org/Prunus/Prunus_persica/p.persica_gdr_reftransV1_0005533","p.persica_gdr_reftransV1_0005533")</f>
        <v>p.persica_gdr_reftransV1_0005533</v>
      </c>
      <c r="B13241" s="2">
        <v>1102</v>
      </c>
      <c r="C13241" s="4" t="str">
        <f>HYPERLINK("http://www.uniprot.org/uniprot/M5XP87","M5XP87")</f>
        <v>M5XP87</v>
      </c>
      <c r="D13241" s="2" t="s">
        <v>10919</v>
      </c>
      <c r="E13241" s="3">
        <v>4.9199999999999998E-174</v>
      </c>
      <c r="F13241" s="2">
        <v>1338</v>
      </c>
      <c r="G13241" s="2">
        <v>100</v>
      </c>
      <c r="H13241" s="2">
        <v>271</v>
      </c>
      <c r="I13241" s="2">
        <v>288</v>
      </c>
      <c r="J13241" s="2">
        <v>1100</v>
      </c>
      <c r="K13241" s="2">
        <v>1</v>
      </c>
      <c r="L13241" s="2">
        <v>271</v>
      </c>
    </row>
    <row r="13242" spans="1:12" x14ac:dyDescent="0.25">
      <c r="A13242" s="4" t="str">
        <f>HYPERLINK("http://www.rosaceae.org/Prunus/Prunus_persica/p.persica_gdr_reftransV1_0005883","p.persica_gdr_reftransV1_0005883")</f>
        <v>p.persica_gdr_reftransV1_0005883</v>
      </c>
      <c r="B13242" s="2">
        <v>1564</v>
      </c>
      <c r="C13242" s="4" t="str">
        <f>HYPERLINK("http://www.uniprot.org/uniprot/M5XRP6","M5XRP6")</f>
        <v>M5XRP6</v>
      </c>
      <c r="D13242" s="2" t="s">
        <v>10920</v>
      </c>
      <c r="E13242" s="3">
        <v>1.53E-15</v>
      </c>
      <c r="F13242" s="2">
        <v>203</v>
      </c>
      <c r="G13242" s="2">
        <v>95</v>
      </c>
      <c r="H13242" s="2">
        <v>41</v>
      </c>
      <c r="I13242" s="2">
        <v>1194</v>
      </c>
      <c r="J13242" s="2">
        <v>1316</v>
      </c>
      <c r="K13242" s="2">
        <v>46</v>
      </c>
      <c r="L13242" s="2">
        <v>86</v>
      </c>
    </row>
    <row r="13243" spans="1:12" x14ac:dyDescent="0.25">
      <c r="A13243" s="4" t="str">
        <f>HYPERLINK("http://www.rosaceae.org/Prunus/Prunus_persica/p.persica_gdr_reftransV1_0006233","p.persica_gdr_reftransV1_0006233")</f>
        <v>p.persica_gdr_reftransV1_0006233</v>
      </c>
      <c r="B13243" s="2">
        <v>1538</v>
      </c>
      <c r="C13243" s="4" t="str">
        <f>HYPERLINK("http://www.uniprot.org/uniprot/M5WL69","M5WL69")</f>
        <v>M5WL69</v>
      </c>
      <c r="D13243" s="2" t="s">
        <v>10921</v>
      </c>
      <c r="E13243" s="3">
        <v>0</v>
      </c>
      <c r="F13243" s="2">
        <v>2175</v>
      </c>
      <c r="G13243" s="2">
        <v>100</v>
      </c>
      <c r="H13243" s="2">
        <v>402</v>
      </c>
      <c r="I13243" s="2">
        <v>2</v>
      </c>
      <c r="J13243" s="2">
        <v>1207</v>
      </c>
      <c r="K13243" s="2">
        <v>92</v>
      </c>
      <c r="L13243" s="2">
        <v>493</v>
      </c>
    </row>
    <row r="13244" spans="1:12" x14ac:dyDescent="0.25">
      <c r="A13244" s="4" t="str">
        <f>HYPERLINK("http://www.rosaceae.org/Prunus/Prunus_persica/p.persica_gdr_reftransV1_0006583","p.persica_gdr_reftransV1_0006583")</f>
        <v>p.persica_gdr_reftransV1_0006583</v>
      </c>
      <c r="B13244" s="2">
        <v>497</v>
      </c>
      <c r="C13244" s="4" t="str">
        <f>HYPERLINK("http://www.uniprot.org/uniprot/M5XJW0","M5XJW0")</f>
        <v>M5XJW0</v>
      </c>
      <c r="D13244" s="2" t="s">
        <v>10922</v>
      </c>
      <c r="E13244" s="3">
        <v>1.97E-105</v>
      </c>
      <c r="F13244" s="2">
        <v>804</v>
      </c>
      <c r="G13244" s="2">
        <v>100</v>
      </c>
      <c r="H13244" s="2">
        <v>150</v>
      </c>
      <c r="I13244" s="2">
        <v>2</v>
      </c>
      <c r="J13244" s="2">
        <v>451</v>
      </c>
      <c r="K13244" s="2">
        <v>114</v>
      </c>
      <c r="L13244" s="2">
        <v>263</v>
      </c>
    </row>
    <row r="13245" spans="1:12" x14ac:dyDescent="0.25">
      <c r="A13245" s="4" t="str">
        <f>HYPERLINK("http://www.rosaceae.org/Prunus/Prunus_persica/p.persica_gdr_reftransV1_0006933","p.persica_gdr_reftransV1_0006933")</f>
        <v>p.persica_gdr_reftransV1_0006933</v>
      </c>
      <c r="B13245" s="2">
        <v>683</v>
      </c>
      <c r="C13245" s="4" t="str">
        <f>HYPERLINK("http://www.uniprot.org/uniprot/M5WPJ2","M5WPJ2")</f>
        <v>M5WPJ2</v>
      </c>
      <c r="D13245" s="2" t="s">
        <v>8012</v>
      </c>
      <c r="E13245" s="3">
        <v>3.3800000000000001E-118</v>
      </c>
      <c r="F13245" s="2">
        <v>916</v>
      </c>
      <c r="G13245" s="2">
        <v>100</v>
      </c>
      <c r="H13245" s="2">
        <v>169</v>
      </c>
      <c r="I13245" s="2">
        <v>176</v>
      </c>
      <c r="J13245" s="2">
        <v>682</v>
      </c>
      <c r="K13245" s="2">
        <v>315</v>
      </c>
      <c r="L13245" s="2">
        <v>483</v>
      </c>
    </row>
    <row r="13246" spans="1:12" x14ac:dyDescent="0.25">
      <c r="A13246" s="4" t="str">
        <f>HYPERLINK("http://www.rosaceae.org/Prunus/Prunus_persica/p.persica_gdr_reftransV1_0008683","p.persica_gdr_reftransV1_0008683")</f>
        <v>p.persica_gdr_reftransV1_0008683</v>
      </c>
      <c r="B13246" s="2">
        <v>820</v>
      </c>
      <c r="C13246" s="4" t="str">
        <f>HYPERLINK("http://www.uniprot.org/uniprot/V4SDQ0","V4SDQ0")</f>
        <v>V4SDQ0</v>
      </c>
      <c r="D13246" s="2" t="s">
        <v>10923</v>
      </c>
      <c r="E13246" s="3">
        <v>9.3099999999999992E-34</v>
      </c>
      <c r="F13246" s="2">
        <v>326</v>
      </c>
      <c r="G13246" s="2">
        <v>89</v>
      </c>
      <c r="H13246" s="2">
        <v>94</v>
      </c>
      <c r="I13246" s="2">
        <v>421</v>
      </c>
      <c r="J13246" s="2">
        <v>702</v>
      </c>
      <c r="K13246" s="2">
        <v>23</v>
      </c>
      <c r="L13246" s="2">
        <v>115</v>
      </c>
    </row>
    <row r="13247" spans="1:12" x14ac:dyDescent="0.25">
      <c r="A13247" s="4" t="str">
        <f>HYPERLINK("http://www.rosaceae.org/Prunus/Prunus_persica/p.persica_gdr_reftransV1_0009033","p.persica_gdr_reftransV1_0009033")</f>
        <v>p.persica_gdr_reftransV1_0009033</v>
      </c>
      <c r="B13247" s="2">
        <v>2732</v>
      </c>
      <c r="C13247" s="4" t="str">
        <f>HYPERLINK("http://www.uniprot.org/uniprot/M5X9Y0","M5X9Y0")</f>
        <v>M5X9Y0</v>
      </c>
      <c r="D13247" s="2" t="s">
        <v>10924</v>
      </c>
      <c r="E13247" s="3">
        <v>0</v>
      </c>
      <c r="F13247" s="2">
        <v>2914</v>
      </c>
      <c r="G13247" s="2">
        <v>100</v>
      </c>
      <c r="H13247" s="2">
        <v>588</v>
      </c>
      <c r="I13247" s="2">
        <v>764</v>
      </c>
      <c r="J13247" s="2">
        <v>2527</v>
      </c>
      <c r="K13247" s="2">
        <v>1</v>
      </c>
      <c r="L13247" s="2">
        <v>588</v>
      </c>
    </row>
    <row r="13248" spans="1:12" x14ac:dyDescent="0.25">
      <c r="A13248" s="4" t="str">
        <f>HYPERLINK("http://www.rosaceae.org/Prunus/Prunus_persica/p.persica_gdr_reftransV1_0009383","p.persica_gdr_reftransV1_0009383")</f>
        <v>p.persica_gdr_reftransV1_0009383</v>
      </c>
      <c r="B13248" s="2">
        <v>408</v>
      </c>
      <c r="C13248" s="4" t="str">
        <f>HYPERLINK("http://www.uniprot.org/uniprot/M5XS49","M5XS49")</f>
        <v>M5XS49</v>
      </c>
      <c r="D13248" s="2" t="s">
        <v>10925</v>
      </c>
      <c r="E13248" s="3">
        <v>2.8900000000000001E-66</v>
      </c>
      <c r="F13248" s="2">
        <v>545</v>
      </c>
      <c r="G13248" s="2">
        <v>100</v>
      </c>
      <c r="H13248" s="2">
        <v>100</v>
      </c>
      <c r="I13248" s="2">
        <v>2</v>
      </c>
      <c r="J13248" s="2">
        <v>301</v>
      </c>
      <c r="K13248" s="2">
        <v>1</v>
      </c>
      <c r="L13248" s="2">
        <v>100</v>
      </c>
    </row>
    <row r="13249" spans="1:12" x14ac:dyDescent="0.25">
      <c r="A13249" s="4" t="str">
        <f>HYPERLINK("http://www.rosaceae.org/Prunus/Prunus_persica/p.persica_gdr_reftransV1_0009733","p.persica_gdr_reftransV1_0009733")</f>
        <v>p.persica_gdr_reftransV1_0009733</v>
      </c>
      <c r="B13249" s="2">
        <v>315</v>
      </c>
      <c r="C13249" s="4" t="str">
        <f>HYPERLINK("http://www.uniprot.org/uniprot/M5WMW6","M5WMW6")</f>
        <v>M5WMW6</v>
      </c>
      <c r="D13249" s="2" t="s">
        <v>6299</v>
      </c>
      <c r="E13249" s="3">
        <v>3.9200000000000004E-34</v>
      </c>
      <c r="F13249" s="2">
        <v>333</v>
      </c>
      <c r="G13249" s="2">
        <v>100</v>
      </c>
      <c r="H13249" s="2">
        <v>60</v>
      </c>
      <c r="I13249" s="2">
        <v>99</v>
      </c>
      <c r="J13249" s="2">
        <v>278</v>
      </c>
      <c r="K13249" s="2">
        <v>1</v>
      </c>
      <c r="L13249" s="2">
        <v>60</v>
      </c>
    </row>
    <row r="13250" spans="1:12" x14ac:dyDescent="0.25">
      <c r="A13250" s="4" t="str">
        <f>HYPERLINK("http://www.rosaceae.org/Prunus/Prunus_persica/p.persica_gdr_reftransV1_0010083","p.persica_gdr_reftransV1_0010083")</f>
        <v>p.persica_gdr_reftransV1_0010083</v>
      </c>
      <c r="B13250" s="2">
        <v>3818</v>
      </c>
      <c r="C13250" s="4" t="str">
        <f>HYPERLINK("http://www.uniprot.org/uniprot/M5VLH5","M5VLH5")</f>
        <v>M5VLH5</v>
      </c>
      <c r="D13250" s="2" t="s">
        <v>10926</v>
      </c>
      <c r="E13250" s="3">
        <v>0</v>
      </c>
      <c r="F13250" s="2">
        <v>5140</v>
      </c>
      <c r="G13250" s="2">
        <v>100</v>
      </c>
      <c r="H13250" s="2">
        <v>986</v>
      </c>
      <c r="I13250" s="2">
        <v>477</v>
      </c>
      <c r="J13250" s="2">
        <v>3434</v>
      </c>
      <c r="K13250" s="2">
        <v>1</v>
      </c>
      <c r="L13250" s="2">
        <v>986</v>
      </c>
    </row>
    <row r="13251" spans="1:12" x14ac:dyDescent="0.25">
      <c r="A13251" s="4" t="str">
        <f>HYPERLINK("http://www.rosaceae.org/Prunus/Prunus_persica/p.persica_gdr_reftransV1_0010783","p.persica_gdr_reftransV1_0010783")</f>
        <v>p.persica_gdr_reftransV1_0010783</v>
      </c>
      <c r="B13251" s="2">
        <v>1714</v>
      </c>
      <c r="C13251" s="4" t="str">
        <f>HYPERLINK("http://www.uniprot.org/uniprot/M5WB62","M5WB62")</f>
        <v>M5WB62</v>
      </c>
      <c r="D13251" s="2" t="s">
        <v>7211</v>
      </c>
      <c r="E13251" s="3">
        <v>0</v>
      </c>
      <c r="F13251" s="2">
        <v>1127</v>
      </c>
      <c r="G13251" s="2">
        <v>100</v>
      </c>
      <c r="H13251" s="2">
        <v>232</v>
      </c>
      <c r="I13251" s="2">
        <v>834</v>
      </c>
      <c r="J13251" s="2">
        <v>1529</v>
      </c>
      <c r="K13251" s="2">
        <v>1</v>
      </c>
      <c r="L13251" s="2">
        <v>232</v>
      </c>
    </row>
    <row r="13252" spans="1:12" x14ac:dyDescent="0.25">
      <c r="A13252" s="4" t="str">
        <f>HYPERLINK("http://www.rosaceae.org/Prunus/Prunus_persica/p.persica_gdr_reftransV1_0011133","p.persica_gdr_reftransV1_0011133")</f>
        <v>p.persica_gdr_reftransV1_0011133</v>
      </c>
      <c r="B13252" s="2">
        <v>910</v>
      </c>
      <c r="C13252" s="4" t="str">
        <f>HYPERLINK("http://www.uniprot.org/uniprot/M5WAP8","M5WAP8")</f>
        <v>M5WAP8</v>
      </c>
      <c r="D13252" s="2" t="s">
        <v>10927</v>
      </c>
      <c r="E13252" s="3">
        <v>1.9499999999999999E-141</v>
      </c>
      <c r="F13252" s="2">
        <v>1050</v>
      </c>
      <c r="G13252" s="2">
        <v>100</v>
      </c>
      <c r="H13252" s="2">
        <v>195</v>
      </c>
      <c r="I13252" s="2">
        <v>237</v>
      </c>
      <c r="J13252" s="2">
        <v>821</v>
      </c>
      <c r="K13252" s="2">
        <v>1</v>
      </c>
      <c r="L13252" s="2">
        <v>195</v>
      </c>
    </row>
    <row r="13253" spans="1:12" x14ac:dyDescent="0.25">
      <c r="A13253" s="4" t="str">
        <f>HYPERLINK("http://www.rosaceae.org/Prunus/Prunus_persica/p.persica_gdr_reftransV1_0011483","p.persica_gdr_reftransV1_0011483")</f>
        <v>p.persica_gdr_reftransV1_0011483</v>
      </c>
      <c r="B13253" s="2">
        <v>2207</v>
      </c>
      <c r="C13253" s="4" t="str">
        <f>HYPERLINK("http://www.uniprot.org/uniprot/M5VI47","M5VI47")</f>
        <v>M5VI47</v>
      </c>
      <c r="D13253" s="2" t="s">
        <v>10928</v>
      </c>
      <c r="E13253" s="3">
        <v>0</v>
      </c>
      <c r="F13253" s="2">
        <v>2664</v>
      </c>
      <c r="G13253" s="2">
        <v>100</v>
      </c>
      <c r="H13253" s="2">
        <v>570</v>
      </c>
      <c r="I13253" s="2">
        <v>419</v>
      </c>
      <c r="J13253" s="2">
        <v>2128</v>
      </c>
      <c r="K13253" s="2">
        <v>12</v>
      </c>
      <c r="L13253" s="2">
        <v>581</v>
      </c>
    </row>
    <row r="13254" spans="1:12" x14ac:dyDescent="0.25">
      <c r="A13254" s="4" t="str">
        <f>HYPERLINK("http://www.rosaceae.org/Prunus/Prunus_persica/p.persica_gdr_reftransV1_0012883","p.persica_gdr_reftransV1_0012883")</f>
        <v>p.persica_gdr_reftransV1_0012883</v>
      </c>
      <c r="B13254" s="2">
        <v>1185</v>
      </c>
      <c r="C13254" s="4" t="str">
        <f>HYPERLINK("http://www.uniprot.org/uniprot/M5Y9B9","M5Y9B9")</f>
        <v>M5Y9B9</v>
      </c>
      <c r="D13254" s="2" t="s">
        <v>10929</v>
      </c>
      <c r="E13254" s="3">
        <v>0</v>
      </c>
      <c r="F13254" s="2">
        <v>1445</v>
      </c>
      <c r="G13254" s="2">
        <v>100</v>
      </c>
      <c r="H13254" s="2">
        <v>275</v>
      </c>
      <c r="I13254" s="2">
        <v>257</v>
      </c>
      <c r="J13254" s="2">
        <v>1081</v>
      </c>
      <c r="K13254" s="2">
        <v>1</v>
      </c>
      <c r="L13254" s="2">
        <v>275</v>
      </c>
    </row>
    <row r="13255" spans="1:12" x14ac:dyDescent="0.25">
      <c r="A13255" s="4" t="str">
        <f>HYPERLINK("http://www.rosaceae.org/Prunus/Prunus_persica/p.persica_gdr_reftransV1_0013233","p.persica_gdr_reftransV1_0013233")</f>
        <v>p.persica_gdr_reftransV1_0013233</v>
      </c>
      <c r="B13255" s="2">
        <v>1034</v>
      </c>
      <c r="C13255" s="4" t="str">
        <f>HYPERLINK("http://www.uniprot.org/uniprot/M5X2D7","M5X2D7")</f>
        <v>M5X2D7</v>
      </c>
      <c r="D13255" s="2" t="s">
        <v>10930</v>
      </c>
      <c r="E13255" s="3">
        <v>2.8600000000000001E-159</v>
      </c>
      <c r="F13255" s="2">
        <v>1175</v>
      </c>
      <c r="G13255" s="2">
        <v>100</v>
      </c>
      <c r="H13255" s="2">
        <v>220</v>
      </c>
      <c r="I13255" s="2">
        <v>108</v>
      </c>
      <c r="J13255" s="2">
        <v>767</v>
      </c>
      <c r="K13255" s="2">
        <v>1</v>
      </c>
      <c r="L13255" s="2">
        <v>220</v>
      </c>
    </row>
    <row r="13256" spans="1:12" x14ac:dyDescent="0.25">
      <c r="A13256" s="4" t="str">
        <f>HYPERLINK("http://www.rosaceae.org/Prunus/Prunus_persica/p.persica_gdr_reftransV1_0013583","p.persica_gdr_reftransV1_0013583")</f>
        <v>p.persica_gdr_reftransV1_0013583</v>
      </c>
      <c r="B13256" s="2">
        <v>1537</v>
      </c>
      <c r="C13256" s="4" t="str">
        <f>HYPERLINK("http://www.uniprot.org/uniprot/M5VQM0","M5VQM0")</f>
        <v>M5VQM0</v>
      </c>
      <c r="D13256" s="2" t="s">
        <v>10931</v>
      </c>
      <c r="E13256" s="3">
        <v>0</v>
      </c>
      <c r="F13256" s="2">
        <v>1652</v>
      </c>
      <c r="G13256" s="2">
        <v>100</v>
      </c>
      <c r="H13256" s="2">
        <v>368</v>
      </c>
      <c r="I13256" s="2">
        <v>398</v>
      </c>
      <c r="J13256" s="2">
        <v>1501</v>
      </c>
      <c r="K13256" s="2">
        <v>1</v>
      </c>
      <c r="L13256" s="2">
        <v>368</v>
      </c>
    </row>
    <row r="13257" spans="1:12" x14ac:dyDescent="0.25">
      <c r="A13257" s="4" t="str">
        <f>HYPERLINK("http://www.rosaceae.org/Prunus/Prunus_persica/p.persica_gdr_reftransV1_0014633","p.persica_gdr_reftransV1_0014633")</f>
        <v>p.persica_gdr_reftransV1_0014633</v>
      </c>
      <c r="B13257" s="2">
        <v>869</v>
      </c>
      <c r="C13257" s="4" t="str">
        <f>HYPERLINK("http://www.uniprot.org/uniprot/M5XN22","M5XN22")</f>
        <v>M5XN22</v>
      </c>
      <c r="D13257" s="2" t="s">
        <v>201</v>
      </c>
      <c r="E13257" s="3">
        <v>2.7100000000000001E-33</v>
      </c>
      <c r="F13257" s="2">
        <v>321</v>
      </c>
      <c r="G13257" s="2">
        <v>100</v>
      </c>
      <c r="H13257" s="2">
        <v>78</v>
      </c>
      <c r="I13257" s="2">
        <v>573</v>
      </c>
      <c r="J13257" s="2">
        <v>806</v>
      </c>
      <c r="K13257" s="2">
        <v>1</v>
      </c>
      <c r="L13257" s="2">
        <v>78</v>
      </c>
    </row>
    <row r="13258" spans="1:12" x14ac:dyDescent="0.25">
      <c r="A13258" s="4" t="str">
        <f>HYPERLINK("http://www.rosaceae.org/Prunus/Prunus_persica/p.persica_gdr_reftransV1_0014983","p.persica_gdr_reftransV1_0014983")</f>
        <v>p.persica_gdr_reftransV1_0014983</v>
      </c>
      <c r="B13258" s="2">
        <v>2680</v>
      </c>
      <c r="C13258" s="4" t="str">
        <f>HYPERLINK("http://www.uniprot.org/uniprot/M5WJ42","M5WJ42")</f>
        <v>M5WJ42</v>
      </c>
      <c r="D13258" s="2" t="s">
        <v>10932</v>
      </c>
      <c r="E13258" s="3">
        <v>1.4200000000000001E-174</v>
      </c>
      <c r="F13258" s="2">
        <v>1355</v>
      </c>
      <c r="G13258" s="2">
        <v>96</v>
      </c>
      <c r="H13258" s="2">
        <v>271</v>
      </c>
      <c r="I13258" s="2">
        <v>913</v>
      </c>
      <c r="J13258" s="2">
        <v>1719</v>
      </c>
      <c r="K13258" s="2">
        <v>203</v>
      </c>
      <c r="L13258" s="2">
        <v>473</v>
      </c>
    </row>
    <row r="13259" spans="1:12" x14ac:dyDescent="0.25">
      <c r="A13259" s="4" t="str">
        <f>HYPERLINK("http://www.rosaceae.org/Prunus/Prunus_persica/p.persica_gdr_reftransV1_0016033","p.persica_gdr_reftransV1_0016033")</f>
        <v>p.persica_gdr_reftransV1_0016033</v>
      </c>
      <c r="B13259" s="2">
        <v>505</v>
      </c>
      <c r="C13259" s="4" t="str">
        <f>HYPERLINK("http://www.uniprot.org/uniprot/M5Y0L0","M5Y0L0")</f>
        <v>M5Y0L0</v>
      </c>
      <c r="D13259" s="2" t="s">
        <v>10933</v>
      </c>
      <c r="E13259" s="3">
        <v>4.0600000000000002E-43</v>
      </c>
      <c r="F13259" s="2">
        <v>401</v>
      </c>
      <c r="G13259" s="2">
        <v>97</v>
      </c>
      <c r="H13259" s="2">
        <v>77</v>
      </c>
      <c r="I13259" s="2">
        <v>264</v>
      </c>
      <c r="J13259" s="2">
        <v>494</v>
      </c>
      <c r="K13259" s="2">
        <v>354</v>
      </c>
      <c r="L13259" s="2">
        <v>430</v>
      </c>
    </row>
    <row r="13260" spans="1:12" x14ac:dyDescent="0.25">
      <c r="A13260" s="4" t="str">
        <f>HYPERLINK("http://www.rosaceae.org/Prunus/Prunus_persica/p.persica_gdr_reftransV1_0016383","p.persica_gdr_reftransV1_0016383")</f>
        <v>p.persica_gdr_reftransV1_0016383</v>
      </c>
      <c r="B13260" s="2">
        <v>1543</v>
      </c>
      <c r="C13260" s="4" t="str">
        <f>HYPERLINK("http://www.uniprot.org/uniprot/M5VNS2","M5VNS2")</f>
        <v>M5VNS2</v>
      </c>
      <c r="D13260" s="2" t="s">
        <v>10934</v>
      </c>
      <c r="E13260" s="3">
        <v>0</v>
      </c>
      <c r="F13260" s="2">
        <v>1498</v>
      </c>
      <c r="G13260" s="2">
        <v>97</v>
      </c>
      <c r="H13260" s="2">
        <v>289</v>
      </c>
      <c r="I13260" s="2">
        <v>224</v>
      </c>
      <c r="J13260" s="2">
        <v>1090</v>
      </c>
      <c r="K13260" s="2">
        <v>1</v>
      </c>
      <c r="L13260" s="2">
        <v>289</v>
      </c>
    </row>
    <row r="13261" spans="1:12" x14ac:dyDescent="0.25">
      <c r="A13261" s="4" t="str">
        <f>HYPERLINK("http://www.rosaceae.org/Prunus/Prunus_persica/p.persica_gdr_reftransV1_0017433","p.persica_gdr_reftransV1_0017433")</f>
        <v>p.persica_gdr_reftransV1_0017433</v>
      </c>
      <c r="B13261" s="2">
        <v>1084</v>
      </c>
      <c r="C13261" s="4" t="str">
        <f>HYPERLINK("http://www.uniprot.org/uniprot/M5XK39","M5XK39")</f>
        <v>M5XK39</v>
      </c>
      <c r="D13261" s="2" t="s">
        <v>2379</v>
      </c>
      <c r="E13261" s="3">
        <v>0</v>
      </c>
      <c r="F13261" s="2">
        <v>1706</v>
      </c>
      <c r="G13261" s="2">
        <v>100</v>
      </c>
      <c r="H13261" s="2">
        <v>317</v>
      </c>
      <c r="I13261" s="2">
        <v>3</v>
      </c>
      <c r="J13261" s="2">
        <v>953</v>
      </c>
      <c r="K13261" s="2">
        <v>445</v>
      </c>
      <c r="L13261" s="2">
        <v>761</v>
      </c>
    </row>
    <row r="13262" spans="1:12" x14ac:dyDescent="0.25">
      <c r="A13262" s="4" t="str">
        <f>HYPERLINK("http://www.rosaceae.org/Prunus/Prunus_persica/p.persica_gdr_reftransV1_0017783","p.persica_gdr_reftransV1_0017783")</f>
        <v>p.persica_gdr_reftransV1_0017783</v>
      </c>
      <c r="B13262" s="2">
        <v>3932</v>
      </c>
      <c r="C13262" s="4" t="str">
        <f>HYPERLINK("http://www.uniprot.org/uniprot/M5XF85","M5XF85")</f>
        <v>M5XF85</v>
      </c>
      <c r="D13262" s="2" t="s">
        <v>10935</v>
      </c>
      <c r="E13262" s="3">
        <v>0</v>
      </c>
      <c r="F13262" s="2">
        <v>1668</v>
      </c>
      <c r="G13262" s="2">
        <v>97</v>
      </c>
      <c r="H13262" s="2">
        <v>399</v>
      </c>
      <c r="I13262" s="2">
        <v>1832</v>
      </c>
      <c r="J13262" s="2">
        <v>3028</v>
      </c>
      <c r="K13262" s="2">
        <v>1</v>
      </c>
      <c r="L13262" s="2">
        <v>387</v>
      </c>
    </row>
    <row r="13263" spans="1:12" x14ac:dyDescent="0.25">
      <c r="A13263" s="4" t="str">
        <f>HYPERLINK("http://www.rosaceae.org/Prunus/Prunus_persica/p.persica_gdr_reftransV1_0018833","p.persica_gdr_reftransV1_0018833")</f>
        <v>p.persica_gdr_reftransV1_0018833</v>
      </c>
      <c r="B13263" s="2">
        <v>1391</v>
      </c>
      <c r="C13263" s="4" t="str">
        <f>HYPERLINK("http://www.uniprot.org/uniprot/M5VUN3","M5VUN3")</f>
        <v>M5VUN3</v>
      </c>
      <c r="D13263" s="2" t="s">
        <v>10936</v>
      </c>
      <c r="E13263" s="3">
        <v>0</v>
      </c>
      <c r="F13263" s="2">
        <v>2127</v>
      </c>
      <c r="G13263" s="2">
        <v>100</v>
      </c>
      <c r="H13263" s="2">
        <v>395</v>
      </c>
      <c r="I13263" s="2">
        <v>205</v>
      </c>
      <c r="J13263" s="2">
        <v>1389</v>
      </c>
      <c r="K13263" s="2">
        <v>395</v>
      </c>
      <c r="L13263" s="2">
        <v>789</v>
      </c>
    </row>
    <row r="13264" spans="1:12" x14ac:dyDescent="0.25">
      <c r="A13264" s="4" t="str">
        <f>HYPERLINK("http://www.rosaceae.org/Prunus/Prunus_persica/p.persica_gdr_reftransV1_0019183","p.persica_gdr_reftransV1_0019183")</f>
        <v>p.persica_gdr_reftransV1_0019183</v>
      </c>
      <c r="B13264" s="2">
        <v>2405</v>
      </c>
      <c r="C13264" s="4" t="str">
        <f>HYPERLINK("http://www.uniprot.org/uniprot/M5X0P2","M5X0P2")</f>
        <v>M5X0P2</v>
      </c>
      <c r="D13264" s="2" t="s">
        <v>10937</v>
      </c>
      <c r="E13264" s="3">
        <v>0</v>
      </c>
      <c r="F13264" s="2">
        <v>2954</v>
      </c>
      <c r="G13264" s="2">
        <v>100</v>
      </c>
      <c r="H13264" s="2">
        <v>567</v>
      </c>
      <c r="I13264" s="2">
        <v>271</v>
      </c>
      <c r="J13264" s="2">
        <v>1971</v>
      </c>
      <c r="K13264" s="2">
        <v>1</v>
      </c>
      <c r="L13264" s="2">
        <v>567</v>
      </c>
    </row>
    <row r="13265" spans="1:12" x14ac:dyDescent="0.25">
      <c r="A13265" s="4" t="str">
        <f>HYPERLINK("http://www.rosaceae.org/Prunus/Prunus_persica/p.persica_gdr_reftransV1_0019883","p.persica_gdr_reftransV1_0019883")</f>
        <v>p.persica_gdr_reftransV1_0019883</v>
      </c>
      <c r="B13265" s="2">
        <v>2427</v>
      </c>
      <c r="C13265" s="4" t="str">
        <f>HYPERLINK("http://www.uniprot.org/uniprot/M5XJP0","M5XJP0")</f>
        <v>M5XJP0</v>
      </c>
      <c r="D13265" s="2" t="s">
        <v>10938</v>
      </c>
      <c r="E13265" s="3">
        <v>0</v>
      </c>
      <c r="F13265" s="2">
        <v>3318</v>
      </c>
      <c r="G13265" s="2">
        <v>100</v>
      </c>
      <c r="H13265" s="2">
        <v>632</v>
      </c>
      <c r="I13265" s="2">
        <v>201</v>
      </c>
      <c r="J13265" s="2">
        <v>2096</v>
      </c>
      <c r="K13265" s="2">
        <v>1</v>
      </c>
      <c r="L13265" s="2">
        <v>632</v>
      </c>
    </row>
    <row r="13266" spans="1:12" x14ac:dyDescent="0.25">
      <c r="A13266" s="4" t="str">
        <f>HYPERLINK("http://www.rosaceae.org/Prunus/Prunus_persica/p.persica_gdr_reftransV1_0020233","p.persica_gdr_reftransV1_0020233")</f>
        <v>p.persica_gdr_reftransV1_0020233</v>
      </c>
      <c r="B13266" s="2">
        <v>581</v>
      </c>
      <c r="C13266" s="4" t="str">
        <f>HYPERLINK("http://www.uniprot.org/uniprot/M5WT39","M5WT39")</f>
        <v>M5WT39</v>
      </c>
      <c r="D13266" s="2" t="s">
        <v>3335</v>
      </c>
      <c r="E13266" s="3">
        <v>3.0699999999999998E-85</v>
      </c>
      <c r="F13266" s="2">
        <v>680</v>
      </c>
      <c r="G13266" s="2">
        <v>100</v>
      </c>
      <c r="H13266" s="2">
        <v>128</v>
      </c>
      <c r="I13266" s="2">
        <v>7</v>
      </c>
      <c r="J13266" s="2">
        <v>390</v>
      </c>
      <c r="K13266" s="2">
        <v>201</v>
      </c>
      <c r="L13266" s="2">
        <v>328</v>
      </c>
    </row>
    <row r="13267" spans="1:12" x14ac:dyDescent="0.25">
      <c r="A13267" s="4" t="str">
        <f>HYPERLINK("http://www.rosaceae.org/Prunus/Prunus_persica/p.persica_gdr_reftransV1_0021633","p.persica_gdr_reftransV1_0021633")</f>
        <v>p.persica_gdr_reftransV1_0021633</v>
      </c>
      <c r="B13267" s="2">
        <v>2354</v>
      </c>
      <c r="C13267" s="4" t="str">
        <f>HYPERLINK("http://www.uniprot.org/uniprot/M5X6L3","M5X6L3")</f>
        <v>M5X6L3</v>
      </c>
      <c r="D13267" s="2" t="s">
        <v>3679</v>
      </c>
      <c r="E13267" s="3">
        <v>1.6499999999999999E-50</v>
      </c>
      <c r="F13267" s="2">
        <v>470</v>
      </c>
      <c r="G13267" s="2">
        <v>100</v>
      </c>
      <c r="H13267" s="2">
        <v>95</v>
      </c>
      <c r="I13267" s="2">
        <v>1971</v>
      </c>
      <c r="J13267" s="2">
        <v>2255</v>
      </c>
      <c r="K13267" s="2">
        <v>1</v>
      </c>
      <c r="L13267" s="2">
        <v>95</v>
      </c>
    </row>
    <row r="13268" spans="1:12" x14ac:dyDescent="0.25">
      <c r="A13268" s="4" t="str">
        <f>HYPERLINK("http://www.rosaceae.org/Prunus/Prunus_persica/p.persica_gdr_reftransV1_0023383","p.persica_gdr_reftransV1_0023383")</f>
        <v>p.persica_gdr_reftransV1_0023383</v>
      </c>
      <c r="B13268" s="2">
        <v>1116</v>
      </c>
      <c r="C13268" s="4" t="str">
        <f>HYPERLINK("http://www.uniprot.org/uniprot/M5XS53","M5XS53")</f>
        <v>M5XS53</v>
      </c>
      <c r="D13268" s="2" t="s">
        <v>10939</v>
      </c>
      <c r="E13268" s="3">
        <v>0</v>
      </c>
      <c r="F13268" s="2">
        <v>1441</v>
      </c>
      <c r="G13268" s="2">
        <v>100</v>
      </c>
      <c r="H13268" s="2">
        <v>304</v>
      </c>
      <c r="I13268" s="2">
        <v>131</v>
      </c>
      <c r="J13268" s="2">
        <v>1042</v>
      </c>
      <c r="K13268" s="2">
        <v>1</v>
      </c>
      <c r="L13268" s="2">
        <v>304</v>
      </c>
    </row>
    <row r="13269" spans="1:12" x14ac:dyDescent="0.25">
      <c r="A13269" s="4" t="str">
        <f>HYPERLINK("http://www.rosaceae.org/Prunus/Prunus_persica/p.persica_gdr_reftransV1_0023733","p.persica_gdr_reftransV1_0023733")</f>
        <v>p.persica_gdr_reftransV1_0023733</v>
      </c>
      <c r="B13269" s="2">
        <v>536</v>
      </c>
      <c r="C13269" s="4" t="str">
        <f>HYPERLINK("http://www.uniprot.org/uniprot/M5X2K5","M5X2K5")</f>
        <v>M5X2K5</v>
      </c>
      <c r="D13269" s="2" t="s">
        <v>8105</v>
      </c>
      <c r="E13269" s="3">
        <v>1.6999999999999999E-77</v>
      </c>
      <c r="F13269" s="2">
        <v>671</v>
      </c>
      <c r="G13269" s="2">
        <v>100</v>
      </c>
      <c r="H13269" s="2">
        <v>159</v>
      </c>
      <c r="I13269" s="2">
        <v>58</v>
      </c>
      <c r="J13269" s="2">
        <v>534</v>
      </c>
      <c r="K13269" s="2">
        <v>469</v>
      </c>
      <c r="L13269" s="2">
        <v>627</v>
      </c>
    </row>
    <row r="13270" spans="1:12" x14ac:dyDescent="0.25">
      <c r="A13270" s="4" t="str">
        <f>HYPERLINK("http://www.rosaceae.org/Prunus/Prunus_persica/p.persica_gdr_reftransV1_0024433","p.persica_gdr_reftransV1_0024433")</f>
        <v>p.persica_gdr_reftransV1_0024433</v>
      </c>
      <c r="B13270" s="2">
        <v>1495</v>
      </c>
      <c r="C13270" s="4" t="str">
        <f>HYPERLINK("http://www.uniprot.org/uniprot/M5VWP7","M5VWP7")</f>
        <v>M5VWP7</v>
      </c>
      <c r="D13270" s="2" t="s">
        <v>1760</v>
      </c>
      <c r="E13270" s="3">
        <v>0</v>
      </c>
      <c r="F13270" s="2">
        <v>1662</v>
      </c>
      <c r="G13270" s="2">
        <v>100</v>
      </c>
      <c r="H13270" s="2">
        <v>308</v>
      </c>
      <c r="I13270" s="2">
        <v>1</v>
      </c>
      <c r="J13270" s="2">
        <v>924</v>
      </c>
      <c r="K13270" s="2">
        <v>448</v>
      </c>
      <c r="L13270" s="2">
        <v>755</v>
      </c>
    </row>
    <row r="13271" spans="1:12" x14ac:dyDescent="0.25">
      <c r="A13271" s="4" t="str">
        <f>HYPERLINK("http://www.rosaceae.org/Prunus/Prunus_persica/p.persica_gdr_reftransV1_0024783","p.persica_gdr_reftransV1_0024783")</f>
        <v>p.persica_gdr_reftransV1_0024783</v>
      </c>
      <c r="B13271" s="2">
        <v>1617</v>
      </c>
      <c r="C13271" s="4" t="str">
        <f>HYPERLINK("http://www.uniprot.org/uniprot/M5WUX6","M5WUX6")</f>
        <v>M5WUX6</v>
      </c>
      <c r="D13271" s="2" t="s">
        <v>10940</v>
      </c>
      <c r="E13271" s="3">
        <v>8.4799999999999995E-122</v>
      </c>
      <c r="F13271" s="2">
        <v>948</v>
      </c>
      <c r="G13271" s="2">
        <v>99</v>
      </c>
      <c r="H13271" s="2">
        <v>196</v>
      </c>
      <c r="I13271" s="2">
        <v>112</v>
      </c>
      <c r="J13271" s="2">
        <v>699</v>
      </c>
      <c r="K13271" s="2">
        <v>1</v>
      </c>
      <c r="L13271" s="2">
        <v>196</v>
      </c>
    </row>
    <row r="13272" spans="1:12" x14ac:dyDescent="0.25">
      <c r="A13272" s="4" t="str">
        <f>HYPERLINK("http://www.rosaceae.org/Prunus/Prunus_persica/p.persica_gdr_reftransV1_0025133","p.persica_gdr_reftransV1_0025133")</f>
        <v>p.persica_gdr_reftransV1_0025133</v>
      </c>
      <c r="B13272" s="2">
        <v>3068</v>
      </c>
      <c r="C13272" s="4" t="str">
        <f>HYPERLINK("http://www.uniprot.org/uniprot/M5WTP9","M5WTP9")</f>
        <v>M5WTP9</v>
      </c>
      <c r="D13272" s="2" t="s">
        <v>10941</v>
      </c>
      <c r="E13272" s="3">
        <v>0</v>
      </c>
      <c r="F13272" s="2">
        <v>1781</v>
      </c>
      <c r="G13272" s="2">
        <v>99</v>
      </c>
      <c r="H13272" s="2">
        <v>353</v>
      </c>
      <c r="I13272" s="2">
        <v>1535</v>
      </c>
      <c r="J13272" s="2">
        <v>2593</v>
      </c>
      <c r="K13272" s="2">
        <v>80</v>
      </c>
      <c r="L13272" s="2">
        <v>430</v>
      </c>
    </row>
    <row r="13273" spans="1:12" x14ac:dyDescent="0.25">
      <c r="A13273" s="4" t="str">
        <f>HYPERLINK("http://www.rosaceae.org/Prunus/Prunus_persica/p.persica_gdr_reftransV1_0025483","p.persica_gdr_reftransV1_0025483")</f>
        <v>p.persica_gdr_reftransV1_0025483</v>
      </c>
      <c r="B13273" s="2">
        <v>915</v>
      </c>
      <c r="C13273" s="4" t="str">
        <f>HYPERLINK("http://www.uniprot.org/uniprot/M5XAE4","M5XAE4")</f>
        <v>M5XAE4</v>
      </c>
      <c r="D13273" s="2" t="s">
        <v>10942</v>
      </c>
      <c r="E13273" s="3">
        <v>1.9400000000000001E-95</v>
      </c>
      <c r="F13273" s="2">
        <v>767</v>
      </c>
      <c r="G13273" s="2">
        <v>100</v>
      </c>
      <c r="H13273" s="2">
        <v>144</v>
      </c>
      <c r="I13273" s="2">
        <v>483</v>
      </c>
      <c r="J13273" s="2">
        <v>914</v>
      </c>
      <c r="K13273" s="2">
        <v>269</v>
      </c>
      <c r="L13273" s="2">
        <v>412</v>
      </c>
    </row>
    <row r="13274" spans="1:12" x14ac:dyDescent="0.25">
      <c r="A13274" s="4" t="str">
        <f>HYPERLINK("http://www.rosaceae.org/Prunus/Prunus_persica/p.persica_gdr_reftransV1_0026533","p.persica_gdr_reftransV1_0026533")</f>
        <v>p.persica_gdr_reftransV1_0026533</v>
      </c>
      <c r="B13274" s="2">
        <v>838</v>
      </c>
      <c r="C13274" s="4" t="str">
        <f>HYPERLINK("http://www.uniprot.org/uniprot/M5VU43","M5VU43")</f>
        <v>M5VU43</v>
      </c>
      <c r="D13274" s="2" t="s">
        <v>2766</v>
      </c>
      <c r="E13274" s="3">
        <v>0</v>
      </c>
      <c r="F13274" s="2">
        <v>1490</v>
      </c>
      <c r="G13274" s="2">
        <v>100</v>
      </c>
      <c r="H13274" s="2">
        <v>278</v>
      </c>
      <c r="I13274" s="2">
        <v>3</v>
      </c>
      <c r="J13274" s="2">
        <v>836</v>
      </c>
      <c r="K13274" s="2">
        <v>211</v>
      </c>
      <c r="L13274" s="2">
        <v>488</v>
      </c>
    </row>
    <row r="13275" spans="1:12" x14ac:dyDescent="0.25">
      <c r="A13275" s="4" t="str">
        <f>HYPERLINK("http://www.rosaceae.org/Prunus/Prunus_persica/p.persica_gdr_reftransV1_0026883","p.persica_gdr_reftransV1_0026883")</f>
        <v>p.persica_gdr_reftransV1_0026883</v>
      </c>
      <c r="B13275" s="2">
        <v>510</v>
      </c>
      <c r="C13275" s="4" t="str">
        <f>HYPERLINK("http://www.uniprot.org/uniprot/M5Y6E5","M5Y6E5")</f>
        <v>M5Y6E5</v>
      </c>
      <c r="D13275" s="2" t="s">
        <v>6811</v>
      </c>
      <c r="E13275" s="3">
        <v>1.35E-112</v>
      </c>
      <c r="F13275" s="2">
        <v>916</v>
      </c>
      <c r="G13275" s="2">
        <v>100</v>
      </c>
      <c r="H13275" s="2">
        <v>169</v>
      </c>
      <c r="I13275" s="2">
        <v>2</v>
      </c>
      <c r="J13275" s="2">
        <v>508</v>
      </c>
      <c r="K13275" s="2">
        <v>346</v>
      </c>
      <c r="L13275" s="2">
        <v>514</v>
      </c>
    </row>
    <row r="13276" spans="1:12" x14ac:dyDescent="0.25">
      <c r="A13276" s="4" t="str">
        <f>HYPERLINK("http://www.rosaceae.org/Prunus/Prunus_persica/p.persica_gdr_reftransV1_0027233","p.persica_gdr_reftransV1_0027233")</f>
        <v>p.persica_gdr_reftransV1_0027233</v>
      </c>
      <c r="B13276" s="2">
        <v>2503</v>
      </c>
      <c r="C13276" s="4" t="str">
        <f>HYPERLINK("http://www.uniprot.org/uniprot/D9ZJD7","D9ZJD7")</f>
        <v>D9ZJD7</v>
      </c>
      <c r="D13276" s="2" t="s">
        <v>10943</v>
      </c>
      <c r="E13276" s="3">
        <v>0</v>
      </c>
      <c r="F13276" s="2">
        <v>2558</v>
      </c>
      <c r="G13276" s="2">
        <v>97</v>
      </c>
      <c r="H13276" s="2">
        <v>525</v>
      </c>
      <c r="I13276" s="2">
        <v>145</v>
      </c>
      <c r="J13276" s="2">
        <v>1719</v>
      </c>
      <c r="K13276" s="2">
        <v>6</v>
      </c>
      <c r="L13276" s="2">
        <v>529</v>
      </c>
    </row>
    <row r="13277" spans="1:12" x14ac:dyDescent="0.25">
      <c r="A13277" s="4" t="str">
        <f>HYPERLINK("http://www.rosaceae.org/Prunus/Prunus_persica/p.persica_gdr_reftransV1_0027583","p.persica_gdr_reftransV1_0027583")</f>
        <v>p.persica_gdr_reftransV1_0027583</v>
      </c>
      <c r="B13277" s="2">
        <v>634</v>
      </c>
      <c r="C13277" s="4" t="str">
        <f>HYPERLINK("http://www.uniprot.org/uniprot/M5XBL3","M5XBL3")</f>
        <v>M5XBL3</v>
      </c>
      <c r="D13277" s="2" t="s">
        <v>10944</v>
      </c>
      <c r="E13277" s="3">
        <v>1.1399999999999999E-36</v>
      </c>
      <c r="F13277" s="2">
        <v>338</v>
      </c>
      <c r="G13277" s="2">
        <v>100</v>
      </c>
      <c r="H13277" s="2">
        <v>72</v>
      </c>
      <c r="I13277" s="2">
        <v>160</v>
      </c>
      <c r="J13277" s="2">
        <v>375</v>
      </c>
      <c r="K13277" s="2">
        <v>19</v>
      </c>
      <c r="L13277" s="2">
        <v>90</v>
      </c>
    </row>
    <row r="13278" spans="1:12" x14ac:dyDescent="0.25">
      <c r="A13278" s="4" t="str">
        <f>HYPERLINK("http://www.rosaceae.org/Prunus/Prunus_persica/p.persica_gdr_reftransV1_0028983","p.persica_gdr_reftransV1_0028983")</f>
        <v>p.persica_gdr_reftransV1_0028983</v>
      </c>
      <c r="B13278" s="2">
        <v>2055</v>
      </c>
      <c r="C13278" s="4" t="str">
        <f>HYPERLINK("http://www.uniprot.org/uniprot/M5XDZ3","M5XDZ3")</f>
        <v>M5XDZ3</v>
      </c>
      <c r="D13278" s="2" t="s">
        <v>10945</v>
      </c>
      <c r="E13278" s="3">
        <v>0</v>
      </c>
      <c r="F13278" s="2">
        <v>1532</v>
      </c>
      <c r="G13278" s="2">
        <v>92</v>
      </c>
      <c r="H13278" s="2">
        <v>346</v>
      </c>
      <c r="I13278" s="2">
        <v>869</v>
      </c>
      <c r="J13278" s="2">
        <v>1906</v>
      </c>
      <c r="K13278" s="2">
        <v>152</v>
      </c>
      <c r="L13278" s="2">
        <v>468</v>
      </c>
    </row>
    <row r="13279" spans="1:12" x14ac:dyDescent="0.25">
      <c r="A13279" s="4" t="str">
        <f>HYPERLINK("http://www.rosaceae.org/Prunus/Prunus_persica/p.persica_gdr_reftransV1_0029683","p.persica_gdr_reftransV1_0029683")</f>
        <v>p.persica_gdr_reftransV1_0029683</v>
      </c>
      <c r="B13279" s="2">
        <v>991</v>
      </c>
      <c r="C13279" s="4" t="str">
        <f>HYPERLINK("http://www.uniprot.org/uniprot/M5WN95","M5WN95")</f>
        <v>M5WN95</v>
      </c>
      <c r="D13279" s="2" t="s">
        <v>10946</v>
      </c>
      <c r="E13279" s="3">
        <v>3.88E-158</v>
      </c>
      <c r="F13279" s="2">
        <v>1167</v>
      </c>
      <c r="G13279" s="2">
        <v>100</v>
      </c>
      <c r="H13279" s="2">
        <v>232</v>
      </c>
      <c r="I13279" s="2">
        <v>286</v>
      </c>
      <c r="J13279" s="2">
        <v>981</v>
      </c>
      <c r="K13279" s="2">
        <v>1</v>
      </c>
      <c r="L13279" s="2">
        <v>232</v>
      </c>
    </row>
    <row r="13280" spans="1:12" x14ac:dyDescent="0.25">
      <c r="A13280" s="4" t="str">
        <f>HYPERLINK("http://www.rosaceae.org/Prunus/Prunus_persica/p.persica_gdr_reftransV1_0030033","p.persica_gdr_reftransV1_0030033")</f>
        <v>p.persica_gdr_reftransV1_0030033</v>
      </c>
      <c r="B13280" s="2">
        <v>1006</v>
      </c>
      <c r="C13280" s="4" t="str">
        <f>HYPERLINK("http://www.uniprot.org/uniprot/M5WK00","M5WK00")</f>
        <v>M5WK00</v>
      </c>
      <c r="D13280" s="2" t="s">
        <v>10947</v>
      </c>
      <c r="E13280" s="3">
        <v>7.9699999999999999E-112</v>
      </c>
      <c r="F13280" s="2">
        <v>859</v>
      </c>
      <c r="G13280" s="2">
        <v>99</v>
      </c>
      <c r="H13280" s="2">
        <v>163</v>
      </c>
      <c r="I13280" s="2">
        <v>186</v>
      </c>
      <c r="J13280" s="2">
        <v>674</v>
      </c>
      <c r="K13280" s="2">
        <v>23</v>
      </c>
      <c r="L13280" s="2">
        <v>185</v>
      </c>
    </row>
    <row r="13281" spans="1:12" x14ac:dyDescent="0.25">
      <c r="A13281" s="4" t="str">
        <f>HYPERLINK("http://www.rosaceae.org/Prunus/Prunus_persica/p.persica_gdr_reftransV1_0031433","p.persica_gdr_reftransV1_0031433")</f>
        <v>p.persica_gdr_reftransV1_0031433</v>
      </c>
      <c r="B13281" s="2">
        <v>1948</v>
      </c>
      <c r="C13281" s="4" t="str">
        <f>HYPERLINK("http://www.uniprot.org/uniprot/M5XD11","M5XD11")</f>
        <v>M5XD11</v>
      </c>
      <c r="D13281" s="2" t="s">
        <v>10948</v>
      </c>
      <c r="E13281" s="3">
        <v>5.3399999999999997E-117</v>
      </c>
      <c r="F13281" s="2">
        <v>735</v>
      </c>
      <c r="G13281" s="2">
        <v>100</v>
      </c>
      <c r="H13281" s="2">
        <v>140</v>
      </c>
      <c r="I13281" s="2">
        <v>999</v>
      </c>
      <c r="J13281" s="2">
        <v>1418</v>
      </c>
      <c r="K13281" s="2">
        <v>102</v>
      </c>
      <c r="L13281" s="2">
        <v>241</v>
      </c>
    </row>
    <row r="13282" spans="1:12" x14ac:dyDescent="0.25">
      <c r="A13282" s="4" t="str">
        <f>HYPERLINK("http://www.rosaceae.org/Prunus/Prunus_persica/p.persica_gdr_reftransV1_0031783","p.persica_gdr_reftransV1_0031783")</f>
        <v>p.persica_gdr_reftransV1_0031783</v>
      </c>
      <c r="B13282" s="2">
        <v>1414</v>
      </c>
      <c r="C13282" s="4" t="str">
        <f>HYPERLINK("http://www.uniprot.org/uniprot/M5VS99","M5VS99")</f>
        <v>M5VS99</v>
      </c>
      <c r="D13282" s="2" t="s">
        <v>3158</v>
      </c>
      <c r="E13282" s="3">
        <v>1.9199999999999999E-142</v>
      </c>
      <c r="F13282" s="2">
        <v>1057</v>
      </c>
      <c r="G13282" s="2">
        <v>99</v>
      </c>
      <c r="H13282" s="2">
        <v>242</v>
      </c>
      <c r="I13282" s="2">
        <v>688</v>
      </c>
      <c r="J13282" s="2">
        <v>1413</v>
      </c>
      <c r="K13282" s="2">
        <v>431</v>
      </c>
      <c r="L13282" s="2">
        <v>672</v>
      </c>
    </row>
    <row r="13283" spans="1:12" x14ac:dyDescent="0.25">
      <c r="A13283" s="4" t="str">
        <f>HYPERLINK("http://www.rosaceae.org/Prunus/Prunus_persica/p.persica_gdr_reftransV1_0032833","p.persica_gdr_reftransV1_0032833")</f>
        <v>p.persica_gdr_reftransV1_0032833</v>
      </c>
      <c r="B13283" s="2">
        <v>2289</v>
      </c>
      <c r="C13283" s="4" t="str">
        <f>HYPERLINK("http://www.uniprot.org/uniprot/M5W0F2","M5W0F2")</f>
        <v>M5W0F2</v>
      </c>
      <c r="D13283" s="2" t="s">
        <v>10949</v>
      </c>
      <c r="E13283" s="3">
        <v>2.0799999999999999E-80</v>
      </c>
      <c r="F13283" s="2">
        <v>679</v>
      </c>
      <c r="G13283" s="2">
        <v>100</v>
      </c>
      <c r="H13283" s="2">
        <v>143</v>
      </c>
      <c r="I13283" s="2">
        <v>320</v>
      </c>
      <c r="J13283" s="2">
        <v>748</v>
      </c>
      <c r="K13283" s="2">
        <v>18</v>
      </c>
      <c r="L13283" s="2">
        <v>160</v>
      </c>
    </row>
    <row r="13284" spans="1:12" x14ac:dyDescent="0.25">
      <c r="A13284" s="4" t="str">
        <f>HYPERLINK("http://www.rosaceae.org/Prunus/Prunus_persica/p.persica_gdr_reftransV1_0034583","p.persica_gdr_reftransV1_0034583")</f>
        <v>p.persica_gdr_reftransV1_0034583</v>
      </c>
      <c r="B13284" s="2">
        <v>2692</v>
      </c>
      <c r="C13284" s="4" t="str">
        <f>HYPERLINK("http://www.uniprot.org/uniprot/M5WMW5","M5WMW5")</f>
        <v>M5WMW5</v>
      </c>
      <c r="D13284" s="2" t="s">
        <v>10950</v>
      </c>
      <c r="E13284" s="3">
        <v>0</v>
      </c>
      <c r="F13284" s="2">
        <v>2782</v>
      </c>
      <c r="G13284" s="2">
        <v>91</v>
      </c>
      <c r="H13284" s="2">
        <v>582</v>
      </c>
      <c r="I13284" s="2">
        <v>108</v>
      </c>
      <c r="J13284" s="2">
        <v>1790</v>
      </c>
      <c r="K13284" s="2">
        <v>1</v>
      </c>
      <c r="L13284" s="2">
        <v>574</v>
      </c>
    </row>
    <row r="13285" spans="1:12" x14ac:dyDescent="0.25">
      <c r="A13285" s="4" t="str">
        <f>HYPERLINK("http://www.rosaceae.org/Prunus/Prunus_persica/p.persica_gdr_reftransV1_0036683","p.persica_gdr_reftransV1_0036683")</f>
        <v>p.persica_gdr_reftransV1_0036683</v>
      </c>
      <c r="B13285" s="2">
        <v>2214</v>
      </c>
      <c r="C13285" s="4" t="str">
        <f>HYPERLINK("http://www.uniprot.org/uniprot/M5WXW5","M5WXW5")</f>
        <v>M5WXW5</v>
      </c>
      <c r="D13285" s="2" t="s">
        <v>10951</v>
      </c>
      <c r="E13285" s="3">
        <v>0</v>
      </c>
      <c r="F13285" s="2">
        <v>1371</v>
      </c>
      <c r="G13285" s="2">
        <v>100</v>
      </c>
      <c r="H13285" s="2">
        <v>259</v>
      </c>
      <c r="I13285" s="2">
        <v>888</v>
      </c>
      <c r="J13285" s="2">
        <v>1664</v>
      </c>
      <c r="K13285" s="2">
        <v>253</v>
      </c>
      <c r="L13285" s="2">
        <v>511</v>
      </c>
    </row>
    <row r="13286" spans="1:12" x14ac:dyDescent="0.25">
      <c r="A13286" s="4" t="str">
        <f>HYPERLINK("http://www.rosaceae.org/Prunus/Prunus_persica/p.persica_gdr_reftransV1_0037033","p.persica_gdr_reftransV1_0037033")</f>
        <v>p.persica_gdr_reftransV1_0037033</v>
      </c>
      <c r="B13286" s="2">
        <v>3165</v>
      </c>
      <c r="C13286" s="4" t="str">
        <f>HYPERLINK("http://www.uniprot.org/uniprot/M5XH77","M5XH77")</f>
        <v>M5XH77</v>
      </c>
      <c r="D13286" s="2" t="s">
        <v>7378</v>
      </c>
      <c r="E13286" s="3">
        <v>0</v>
      </c>
      <c r="F13286" s="2">
        <v>1677</v>
      </c>
      <c r="G13286" s="2">
        <v>99</v>
      </c>
      <c r="H13286" s="2">
        <v>308</v>
      </c>
      <c r="I13286" s="2">
        <v>892</v>
      </c>
      <c r="J13286" s="2">
        <v>1815</v>
      </c>
      <c r="K13286" s="2">
        <v>149</v>
      </c>
      <c r="L13286" s="2">
        <v>456</v>
      </c>
    </row>
    <row r="13287" spans="1:12" x14ac:dyDescent="0.25">
      <c r="A13287" s="4" t="str">
        <f>HYPERLINK("http://www.rosaceae.org/Prunus/Prunus_persica/p.persica_gdr_reftransV1_0038783","p.persica_gdr_reftransV1_0038783")</f>
        <v>p.persica_gdr_reftransV1_0038783</v>
      </c>
      <c r="B13287" s="2">
        <v>2818</v>
      </c>
      <c r="C13287" s="4" t="str">
        <f>HYPERLINK("http://www.uniprot.org/uniprot/M5WZS5","M5WZS5")</f>
        <v>M5WZS5</v>
      </c>
      <c r="D13287" s="2" t="s">
        <v>10952</v>
      </c>
      <c r="E13287" s="3">
        <v>0</v>
      </c>
      <c r="F13287" s="2">
        <v>2265</v>
      </c>
      <c r="G13287" s="2">
        <v>100</v>
      </c>
      <c r="H13287" s="2">
        <v>470</v>
      </c>
      <c r="I13287" s="2">
        <v>1365</v>
      </c>
      <c r="J13287" s="2">
        <v>2774</v>
      </c>
      <c r="K13287" s="2">
        <v>1</v>
      </c>
      <c r="L13287" s="2">
        <v>470</v>
      </c>
    </row>
    <row r="13288" spans="1:12" x14ac:dyDescent="0.25">
      <c r="A13288" s="4" t="str">
        <f>HYPERLINK("http://www.rosaceae.org/Prunus/Prunus_persica/p.persica_gdr_reftransV1_0039483","p.persica_gdr_reftransV1_0039483")</f>
        <v>p.persica_gdr_reftransV1_0039483</v>
      </c>
      <c r="B13288" s="2">
        <v>633</v>
      </c>
      <c r="C13288" s="4" t="str">
        <f>HYPERLINK("http://www.uniprot.org/uniprot/M5XSL6","M5XSL6")</f>
        <v>M5XSL6</v>
      </c>
      <c r="D13288" s="2" t="s">
        <v>10953</v>
      </c>
      <c r="E13288" s="3">
        <v>5.3699999999999997E-86</v>
      </c>
      <c r="F13288" s="2">
        <v>690</v>
      </c>
      <c r="G13288" s="2">
        <v>99</v>
      </c>
      <c r="H13288" s="2">
        <v>135</v>
      </c>
      <c r="I13288" s="2">
        <v>55</v>
      </c>
      <c r="J13288" s="2">
        <v>459</v>
      </c>
      <c r="K13288" s="2">
        <v>1</v>
      </c>
      <c r="L13288" s="2">
        <v>135</v>
      </c>
    </row>
    <row r="13289" spans="1:12" x14ac:dyDescent="0.25">
      <c r="A13289" s="4" t="str">
        <f>HYPERLINK("http://www.rosaceae.org/Prunus/Prunus_persica/p.persica_gdr_reftransV1_0040533","p.persica_gdr_reftransV1_0040533")</f>
        <v>p.persica_gdr_reftransV1_0040533</v>
      </c>
      <c r="B13289" s="2">
        <v>971</v>
      </c>
      <c r="C13289" s="4" t="str">
        <f>HYPERLINK("http://www.uniprot.org/uniprot/M5WNB8","M5WNB8")</f>
        <v>M5WNB8</v>
      </c>
      <c r="D13289" s="2" t="s">
        <v>10954</v>
      </c>
      <c r="E13289" s="3">
        <v>2.72E-89</v>
      </c>
      <c r="F13289" s="2">
        <v>742</v>
      </c>
      <c r="G13289" s="2">
        <v>72</v>
      </c>
      <c r="H13289" s="2">
        <v>222</v>
      </c>
      <c r="I13289" s="2">
        <v>2</v>
      </c>
      <c r="J13289" s="2">
        <v>613</v>
      </c>
      <c r="K13289" s="2">
        <v>372</v>
      </c>
      <c r="L13289" s="2">
        <v>591</v>
      </c>
    </row>
    <row r="13290" spans="1:12" x14ac:dyDescent="0.25">
      <c r="A13290" s="4" t="str">
        <f>HYPERLINK("http://www.rosaceae.org/Prunus/Prunus_persica/p.persica_gdr_reftransV1_0041583","p.persica_gdr_reftransV1_0041583")</f>
        <v>p.persica_gdr_reftransV1_0041583</v>
      </c>
      <c r="B13290" s="2">
        <v>1856</v>
      </c>
      <c r="C13290" s="4" t="str">
        <f>HYPERLINK("http://www.uniprot.org/uniprot/M5X9C5","M5X9C5")</f>
        <v>M5X9C5</v>
      </c>
      <c r="D13290" s="2" t="s">
        <v>10955</v>
      </c>
      <c r="E13290" s="3">
        <v>1.19E-132</v>
      </c>
      <c r="F13290" s="2">
        <v>670</v>
      </c>
      <c r="G13290" s="2">
        <v>99</v>
      </c>
      <c r="H13290" s="2">
        <v>127</v>
      </c>
      <c r="I13290" s="2">
        <v>329</v>
      </c>
      <c r="J13290" s="2">
        <v>709</v>
      </c>
      <c r="K13290" s="2">
        <v>1</v>
      </c>
      <c r="L13290" s="2">
        <v>127</v>
      </c>
    </row>
    <row r="13291" spans="1:12" x14ac:dyDescent="0.25">
      <c r="A13291" s="4" t="str">
        <f>HYPERLINK("http://www.rosaceae.org/Prunus/Prunus_persica/p.persica_gdr_reftransV1_0042633","p.persica_gdr_reftransV1_0042633")</f>
        <v>p.persica_gdr_reftransV1_0042633</v>
      </c>
      <c r="B13291" s="2">
        <v>1853</v>
      </c>
      <c r="C13291" s="4" t="str">
        <f>HYPERLINK("http://www.uniprot.org/uniprot/M5XEX3","M5XEX3")</f>
        <v>M5XEX3</v>
      </c>
      <c r="D13291" s="2" t="s">
        <v>10956</v>
      </c>
      <c r="E13291" s="3">
        <v>0</v>
      </c>
      <c r="F13291" s="2">
        <v>2451</v>
      </c>
      <c r="G13291" s="2">
        <v>100</v>
      </c>
      <c r="H13291" s="2">
        <v>479</v>
      </c>
      <c r="I13291" s="2">
        <v>295</v>
      </c>
      <c r="J13291" s="2">
        <v>1731</v>
      </c>
      <c r="K13291" s="2">
        <v>1</v>
      </c>
      <c r="L13291" s="2">
        <v>479</v>
      </c>
    </row>
    <row r="13292" spans="1:12" x14ac:dyDescent="0.25">
      <c r="A13292" s="4" t="str">
        <f>HYPERLINK("http://www.rosaceae.org/Prunus/Prunus_persica/p.persica_gdr_reftransV1_0043333","p.persica_gdr_reftransV1_0043333")</f>
        <v>p.persica_gdr_reftransV1_0043333</v>
      </c>
      <c r="B13292" s="2">
        <v>868</v>
      </c>
      <c r="C13292" s="4" t="str">
        <f>HYPERLINK("http://www.uniprot.org/uniprot/B9HDE8","B9HDE8")</f>
        <v>B9HDE8</v>
      </c>
      <c r="D13292" s="2" t="s">
        <v>10957</v>
      </c>
      <c r="E13292" s="3">
        <v>1.1199999999999999E-118</v>
      </c>
      <c r="F13292" s="2">
        <v>926</v>
      </c>
      <c r="G13292" s="2">
        <v>64</v>
      </c>
      <c r="H13292" s="2">
        <v>281</v>
      </c>
      <c r="I13292" s="2">
        <v>25</v>
      </c>
      <c r="J13292" s="2">
        <v>867</v>
      </c>
      <c r="K13292" s="2">
        <v>8</v>
      </c>
      <c r="L13292" s="2">
        <v>282</v>
      </c>
    </row>
    <row r="13293" spans="1:12" x14ac:dyDescent="0.25">
      <c r="A13293" s="4" t="str">
        <f>HYPERLINK("http://www.rosaceae.org/Prunus/Prunus_persica/p.persica_gdr_reftransV1_0043683","p.persica_gdr_reftransV1_0043683")</f>
        <v>p.persica_gdr_reftransV1_0043683</v>
      </c>
      <c r="B13293" s="2">
        <v>1146</v>
      </c>
      <c r="C13293" s="4" t="str">
        <f>HYPERLINK("http://www.uniprot.org/uniprot/M5W233","M5W233")</f>
        <v>M5W233</v>
      </c>
      <c r="D13293" s="2" t="s">
        <v>10958</v>
      </c>
      <c r="E13293" s="3">
        <v>2.5400000000000001E-150</v>
      </c>
      <c r="F13293" s="2">
        <v>1122</v>
      </c>
      <c r="G13293" s="2">
        <v>100</v>
      </c>
      <c r="H13293" s="2">
        <v>243</v>
      </c>
      <c r="I13293" s="2">
        <v>243</v>
      </c>
      <c r="J13293" s="2">
        <v>971</v>
      </c>
      <c r="K13293" s="2">
        <v>1</v>
      </c>
      <c r="L13293" s="2">
        <v>243</v>
      </c>
    </row>
    <row r="13294" spans="1:12" x14ac:dyDescent="0.25">
      <c r="A13294" s="4" t="str">
        <f>HYPERLINK("http://www.rosaceae.org/Prunus/Prunus_persica/p.persica_gdr_reftransV1_0044033","p.persica_gdr_reftransV1_0044033")</f>
        <v>p.persica_gdr_reftransV1_0044033</v>
      </c>
      <c r="B13294" s="2">
        <v>1462</v>
      </c>
      <c r="C13294" s="4" t="str">
        <f>HYPERLINK("http://www.uniprot.org/uniprot/M5WKR1","M5WKR1")</f>
        <v>M5WKR1</v>
      </c>
      <c r="D13294" s="2" t="s">
        <v>10959</v>
      </c>
      <c r="E13294" s="3">
        <v>0</v>
      </c>
      <c r="F13294" s="2">
        <v>1840</v>
      </c>
      <c r="G13294" s="2">
        <v>100</v>
      </c>
      <c r="H13294" s="2">
        <v>344</v>
      </c>
      <c r="I13294" s="2">
        <v>190</v>
      </c>
      <c r="J13294" s="2">
        <v>1221</v>
      </c>
      <c r="K13294" s="2">
        <v>1</v>
      </c>
      <c r="L13294" s="2">
        <v>344</v>
      </c>
    </row>
    <row r="13295" spans="1:12" x14ac:dyDescent="0.25">
      <c r="A13295" s="4" t="str">
        <f>HYPERLINK("http://www.rosaceae.org/Prunus/Prunus_persica/p.persica_gdr_reftransV1_0044383","p.persica_gdr_reftransV1_0044383")</f>
        <v>p.persica_gdr_reftransV1_0044383</v>
      </c>
      <c r="B13295" s="2">
        <v>2180</v>
      </c>
      <c r="C13295" s="4" t="str">
        <f>HYPERLINK("http://www.uniprot.org/uniprot/M5XAY9","M5XAY9")</f>
        <v>M5XAY9</v>
      </c>
      <c r="D13295" s="2" t="s">
        <v>10960</v>
      </c>
      <c r="E13295" s="3">
        <v>0</v>
      </c>
      <c r="F13295" s="2">
        <v>2743</v>
      </c>
      <c r="G13295" s="2">
        <v>100</v>
      </c>
      <c r="H13295" s="2">
        <v>602</v>
      </c>
      <c r="I13295" s="2">
        <v>309</v>
      </c>
      <c r="J13295" s="2">
        <v>2114</v>
      </c>
      <c r="K13295" s="2">
        <v>175</v>
      </c>
      <c r="L13295" s="2">
        <v>776</v>
      </c>
    </row>
    <row r="13296" spans="1:12" x14ac:dyDescent="0.25">
      <c r="A13296" s="4" t="str">
        <f>HYPERLINK("http://www.rosaceae.org/Prunus/Prunus_persica/p.persica_gdr_reftransV1_0044733","p.persica_gdr_reftransV1_0044733")</f>
        <v>p.persica_gdr_reftransV1_0044733</v>
      </c>
      <c r="B13296" s="2">
        <v>814</v>
      </c>
      <c r="C13296" s="4" t="str">
        <f>HYPERLINK("http://www.uniprot.org/uniprot/M5WB80","M5WB80")</f>
        <v>M5WB80</v>
      </c>
      <c r="D13296" s="2" t="s">
        <v>10961</v>
      </c>
      <c r="E13296" s="3">
        <v>3.5100000000000001E-66</v>
      </c>
      <c r="F13296" s="2">
        <v>542</v>
      </c>
      <c r="G13296" s="2">
        <v>100</v>
      </c>
      <c r="H13296" s="2">
        <v>119</v>
      </c>
      <c r="I13296" s="2">
        <v>363</v>
      </c>
      <c r="J13296" s="2">
        <v>719</v>
      </c>
      <c r="K13296" s="2">
        <v>1</v>
      </c>
      <c r="L13296" s="2">
        <v>119</v>
      </c>
    </row>
    <row r="13297" spans="1:12" x14ac:dyDescent="0.25">
      <c r="A13297" s="4" t="str">
        <f>HYPERLINK("http://www.rosaceae.org/Prunus/Prunus_persica/p.persica_gdr_reftransV1_0045083","p.persica_gdr_reftransV1_0045083")</f>
        <v>p.persica_gdr_reftransV1_0045083</v>
      </c>
      <c r="B13297" s="2">
        <v>1350</v>
      </c>
      <c r="C13297" s="4" t="str">
        <f>HYPERLINK("http://www.uniprot.org/uniprot/M5W828","M5W828")</f>
        <v>M5W828</v>
      </c>
      <c r="D13297" s="2" t="s">
        <v>2104</v>
      </c>
      <c r="E13297" s="3">
        <v>0</v>
      </c>
      <c r="F13297" s="2">
        <v>1530</v>
      </c>
      <c r="G13297" s="2">
        <v>95</v>
      </c>
      <c r="H13297" s="2">
        <v>329</v>
      </c>
      <c r="I13297" s="2">
        <v>347</v>
      </c>
      <c r="J13297" s="2">
        <v>1333</v>
      </c>
      <c r="K13297" s="2">
        <v>1</v>
      </c>
      <c r="L13297" s="2">
        <v>311</v>
      </c>
    </row>
    <row r="13298" spans="1:12" x14ac:dyDescent="0.25">
      <c r="A13298" s="4" t="str">
        <f>HYPERLINK("http://www.rosaceae.org/Prunus/Prunus_persica/p.persica_gdr_reftransV1_0045783","p.persica_gdr_reftransV1_0045783")</f>
        <v>p.persica_gdr_reftransV1_0045783</v>
      </c>
      <c r="B13298" s="2">
        <v>2500</v>
      </c>
      <c r="C13298" s="4" t="str">
        <f>HYPERLINK("http://www.uniprot.org/uniprot/M5XIT0","M5XIT0")</f>
        <v>M5XIT0</v>
      </c>
      <c r="D13298" s="2" t="s">
        <v>5943</v>
      </c>
      <c r="E13298" s="3">
        <v>0</v>
      </c>
      <c r="F13298" s="2">
        <v>3361</v>
      </c>
      <c r="G13298" s="2">
        <v>95</v>
      </c>
      <c r="H13298" s="2">
        <v>707</v>
      </c>
      <c r="I13298" s="2">
        <v>197</v>
      </c>
      <c r="J13298" s="2">
        <v>2317</v>
      </c>
      <c r="K13298" s="2">
        <v>1</v>
      </c>
      <c r="L13298" s="2">
        <v>706</v>
      </c>
    </row>
    <row r="13299" spans="1:12" x14ac:dyDescent="0.25">
      <c r="A13299" s="4" t="str">
        <f>HYPERLINK("http://www.rosaceae.org/Prunus/Prunus_persica/p.persica_gdr_reftransV1_0046833","p.persica_gdr_reftransV1_0046833")</f>
        <v>p.persica_gdr_reftransV1_0046833</v>
      </c>
      <c r="B13299" s="2">
        <v>922</v>
      </c>
      <c r="C13299" s="4" t="str">
        <f>HYPERLINK("http://www.uniprot.org/uniprot/M5W1H7","M5W1H7")</f>
        <v>M5W1H7</v>
      </c>
      <c r="D13299" s="2" t="s">
        <v>4864</v>
      </c>
      <c r="E13299" s="3">
        <v>3.57E-111</v>
      </c>
      <c r="F13299" s="2">
        <v>848</v>
      </c>
      <c r="G13299" s="2">
        <v>100</v>
      </c>
      <c r="H13299" s="2">
        <v>166</v>
      </c>
      <c r="I13299" s="2">
        <v>137</v>
      </c>
      <c r="J13299" s="2">
        <v>634</v>
      </c>
      <c r="K13299" s="2">
        <v>1</v>
      </c>
      <c r="L13299" s="2">
        <v>166</v>
      </c>
    </row>
    <row r="13300" spans="1:12" x14ac:dyDescent="0.25">
      <c r="A13300" s="4" t="str">
        <f>HYPERLINK("http://www.rosaceae.org/Prunus/Prunus_persica/p.persica_gdr_reftransV1_0047183","p.persica_gdr_reftransV1_0047183")</f>
        <v>p.persica_gdr_reftransV1_0047183</v>
      </c>
      <c r="B13300" s="2">
        <v>1516</v>
      </c>
      <c r="C13300" s="4" t="str">
        <f>HYPERLINK("http://www.uniprot.org/uniprot/W9QIC3","W9QIC3")</f>
        <v>W9QIC3</v>
      </c>
      <c r="D13300" s="2" t="s">
        <v>10962</v>
      </c>
      <c r="E13300" s="3">
        <v>3.6500000000000001E-131</v>
      </c>
      <c r="F13300" s="2">
        <v>1007</v>
      </c>
      <c r="G13300" s="2">
        <v>90</v>
      </c>
      <c r="H13300" s="2">
        <v>220</v>
      </c>
      <c r="I13300" s="2">
        <v>118</v>
      </c>
      <c r="J13300" s="2">
        <v>774</v>
      </c>
      <c r="K13300" s="2">
        <v>1</v>
      </c>
      <c r="L13300" s="2">
        <v>220</v>
      </c>
    </row>
    <row r="13301" spans="1:12" x14ac:dyDescent="0.25">
      <c r="A13301" s="4" t="str">
        <f>HYPERLINK("http://www.rosaceae.org/Prunus/Prunus_persica/p.persica_gdr_reftransV1_0047533","p.persica_gdr_reftransV1_0047533")</f>
        <v>p.persica_gdr_reftransV1_0047533</v>
      </c>
      <c r="B13301" s="2">
        <v>387</v>
      </c>
      <c r="C13301" s="4" t="str">
        <f>HYPERLINK("http://www.uniprot.org/uniprot/M5XSF8","M5XSF8")</f>
        <v>M5XSF8</v>
      </c>
      <c r="D13301" s="2" t="s">
        <v>10963</v>
      </c>
      <c r="E13301" s="3">
        <v>2.2E-73</v>
      </c>
      <c r="F13301" s="2">
        <v>607</v>
      </c>
      <c r="G13301" s="2">
        <v>100</v>
      </c>
      <c r="H13301" s="2">
        <v>128</v>
      </c>
      <c r="I13301" s="2">
        <v>2</v>
      </c>
      <c r="J13301" s="2">
        <v>385</v>
      </c>
      <c r="K13301" s="2">
        <v>251</v>
      </c>
      <c r="L13301" s="2">
        <v>378</v>
      </c>
    </row>
    <row r="13302" spans="1:12" x14ac:dyDescent="0.25">
      <c r="A13302" s="4" t="str">
        <f>HYPERLINK("http://www.rosaceae.org/Prunus/Prunus_persica/p.persica_gdr_reftransV1_0047883","p.persica_gdr_reftransV1_0047883")</f>
        <v>p.persica_gdr_reftransV1_0047883</v>
      </c>
      <c r="B13302" s="2">
        <v>1897</v>
      </c>
      <c r="C13302" s="4" t="str">
        <f>HYPERLINK("http://www.uniprot.org/uniprot/A0A0D2SMX4","A0A0D2SMX4")</f>
        <v>A0A0D2SMX4</v>
      </c>
      <c r="D13302" s="2" t="s">
        <v>10964</v>
      </c>
      <c r="E13302" s="3">
        <v>0</v>
      </c>
      <c r="F13302" s="2">
        <v>1858</v>
      </c>
      <c r="G13302" s="2">
        <v>77</v>
      </c>
      <c r="H13302" s="2">
        <v>444</v>
      </c>
      <c r="I13302" s="2">
        <v>320</v>
      </c>
      <c r="J13302" s="2">
        <v>1651</v>
      </c>
      <c r="K13302" s="2">
        <v>41</v>
      </c>
      <c r="L13302" s="2">
        <v>475</v>
      </c>
    </row>
    <row r="13303" spans="1:12" x14ac:dyDescent="0.25">
      <c r="A13303" s="4" t="str">
        <f>HYPERLINK("http://www.rosaceae.org/Prunus/Prunus_persica/p.persica_gdr_reftransV1_0048233","p.persica_gdr_reftransV1_0048233")</f>
        <v>p.persica_gdr_reftransV1_0048233</v>
      </c>
      <c r="B13303" s="2">
        <v>1075</v>
      </c>
      <c r="C13303" s="4" t="str">
        <f>HYPERLINK("http://www.uniprot.org/uniprot/M5W5T3","M5W5T3")</f>
        <v>M5W5T3</v>
      </c>
      <c r="D13303" s="2" t="s">
        <v>10965</v>
      </c>
      <c r="E13303" s="3">
        <v>1.2300000000000001E-70</v>
      </c>
      <c r="F13303" s="2">
        <v>579</v>
      </c>
      <c r="G13303" s="2">
        <v>100</v>
      </c>
      <c r="H13303" s="2">
        <v>112</v>
      </c>
      <c r="I13303" s="2">
        <v>652</v>
      </c>
      <c r="J13303" s="2">
        <v>987</v>
      </c>
      <c r="K13303" s="2">
        <v>1</v>
      </c>
      <c r="L13303" s="2">
        <v>112</v>
      </c>
    </row>
    <row r="13304" spans="1:12" x14ac:dyDescent="0.25">
      <c r="A13304" s="4" t="str">
        <f>HYPERLINK("http://www.rosaceae.org/Prunus/Prunus_persica/p.persica_gdr_reftransV1_0048583","p.persica_gdr_reftransV1_0048583")</f>
        <v>p.persica_gdr_reftransV1_0048583</v>
      </c>
      <c r="B13304" s="2">
        <v>913</v>
      </c>
      <c r="C13304" s="4" t="str">
        <f>HYPERLINK("http://www.uniprot.org/uniprot/M5XDP6","M5XDP6")</f>
        <v>M5XDP6</v>
      </c>
      <c r="D13304" s="2" t="s">
        <v>10966</v>
      </c>
      <c r="E13304" s="3">
        <v>1.6500000000000001E-95</v>
      </c>
      <c r="F13304" s="2">
        <v>748</v>
      </c>
      <c r="G13304" s="2">
        <v>100</v>
      </c>
      <c r="H13304" s="2">
        <v>168</v>
      </c>
      <c r="I13304" s="2">
        <v>104</v>
      </c>
      <c r="J13304" s="2">
        <v>607</v>
      </c>
      <c r="K13304" s="2">
        <v>35</v>
      </c>
      <c r="L13304" s="2">
        <v>202</v>
      </c>
    </row>
    <row r="13305" spans="1:12" x14ac:dyDescent="0.25">
      <c r="A13305" s="4" t="str">
        <f>HYPERLINK("http://www.rosaceae.org/Prunus/Prunus_persica/p.persica_gdr_reftransV1_0048933","p.persica_gdr_reftransV1_0048933")</f>
        <v>p.persica_gdr_reftransV1_0048933</v>
      </c>
      <c r="B13305" s="2">
        <v>579</v>
      </c>
      <c r="C13305" s="4" t="str">
        <f>HYPERLINK("http://www.uniprot.org/uniprot/M5XGS0","M5XGS0")</f>
        <v>M5XGS0</v>
      </c>
      <c r="D13305" s="2" t="s">
        <v>9032</v>
      </c>
      <c r="E13305" s="3">
        <v>6.5699999999999994E-36</v>
      </c>
      <c r="F13305" s="2">
        <v>341</v>
      </c>
      <c r="G13305" s="2">
        <v>97</v>
      </c>
      <c r="H13305" s="2">
        <v>109</v>
      </c>
      <c r="I13305" s="2">
        <v>1</v>
      </c>
      <c r="J13305" s="2">
        <v>327</v>
      </c>
      <c r="K13305" s="2">
        <v>114</v>
      </c>
      <c r="L13305" s="2">
        <v>222</v>
      </c>
    </row>
    <row r="13306" spans="1:12" x14ac:dyDescent="0.25">
      <c r="A13306" s="4" t="str">
        <f>HYPERLINK("http://www.rosaceae.org/Prunus/Prunus_persica/p.persica_gdr_reftransV1_0000284","p.persica_gdr_reftransV1_0000284")</f>
        <v>p.persica_gdr_reftransV1_0000284</v>
      </c>
      <c r="B13306" s="2">
        <v>3864</v>
      </c>
      <c r="C13306" s="4" t="str">
        <f>HYPERLINK("http://www.uniprot.org/uniprot/F6HH07","F6HH07")</f>
        <v>F6HH07</v>
      </c>
      <c r="D13306" s="2" t="s">
        <v>10967</v>
      </c>
      <c r="E13306" s="3">
        <v>0</v>
      </c>
      <c r="F13306" s="2">
        <v>3569</v>
      </c>
      <c r="G13306" s="2">
        <v>69</v>
      </c>
      <c r="H13306" s="2">
        <v>1133</v>
      </c>
      <c r="I13306" s="2">
        <v>427</v>
      </c>
      <c r="J13306" s="2">
        <v>3609</v>
      </c>
      <c r="K13306" s="2">
        <v>1</v>
      </c>
      <c r="L13306" s="2">
        <v>1131</v>
      </c>
    </row>
    <row r="13307" spans="1:12" x14ac:dyDescent="0.25">
      <c r="A13307" s="4" t="str">
        <f>HYPERLINK("http://www.rosaceae.org/Prunus/Prunus_persica/p.persica_gdr_reftransV1_0000634","p.persica_gdr_reftransV1_0000634")</f>
        <v>p.persica_gdr_reftransV1_0000634</v>
      </c>
      <c r="B13307" s="2">
        <v>2022</v>
      </c>
      <c r="C13307" s="4" t="str">
        <f>HYPERLINK("http://www.uniprot.org/uniprot/M5XR11","M5XR11")</f>
        <v>M5XR11</v>
      </c>
      <c r="D13307" s="2" t="s">
        <v>10968</v>
      </c>
      <c r="E13307" s="3">
        <v>0</v>
      </c>
      <c r="F13307" s="2">
        <v>1943</v>
      </c>
      <c r="G13307" s="2">
        <v>97</v>
      </c>
      <c r="H13307" s="2">
        <v>417</v>
      </c>
      <c r="I13307" s="2">
        <v>413</v>
      </c>
      <c r="J13307" s="2">
        <v>1663</v>
      </c>
      <c r="K13307" s="2">
        <v>1</v>
      </c>
      <c r="L13307" s="2">
        <v>406</v>
      </c>
    </row>
    <row r="13308" spans="1:12" x14ac:dyDescent="0.25">
      <c r="A13308" s="4" t="str">
        <f>HYPERLINK("http://www.rosaceae.org/Prunus/Prunus_persica/p.persica_gdr_reftransV1_0000984","p.persica_gdr_reftransV1_0000984")</f>
        <v>p.persica_gdr_reftransV1_0000984</v>
      </c>
      <c r="B13308" s="2">
        <v>337</v>
      </c>
      <c r="C13308" s="4" t="str">
        <f>HYPERLINK("http://www.uniprot.org/uniprot/M5W7Q6","M5W7Q6")</f>
        <v>M5W7Q6</v>
      </c>
      <c r="D13308" s="2" t="s">
        <v>3653</v>
      </c>
      <c r="E13308" s="3">
        <v>2.93E-67</v>
      </c>
      <c r="F13308" s="2">
        <v>565</v>
      </c>
      <c r="G13308" s="2">
        <v>100</v>
      </c>
      <c r="H13308" s="2">
        <v>107</v>
      </c>
      <c r="I13308" s="2">
        <v>2</v>
      </c>
      <c r="J13308" s="2">
        <v>322</v>
      </c>
      <c r="K13308" s="2">
        <v>1</v>
      </c>
      <c r="L13308" s="2">
        <v>107</v>
      </c>
    </row>
    <row r="13309" spans="1:12" x14ac:dyDescent="0.25">
      <c r="A13309" s="4" t="str">
        <f>HYPERLINK("http://www.rosaceae.org/Prunus/Prunus_persica/p.persica_gdr_reftransV1_0001334","p.persica_gdr_reftransV1_0001334")</f>
        <v>p.persica_gdr_reftransV1_0001334</v>
      </c>
      <c r="B13309" s="2">
        <v>2220</v>
      </c>
      <c r="C13309" s="4" t="str">
        <f>HYPERLINK("http://www.uniprot.org/uniprot/M5X775","M5X775")</f>
        <v>M5X775</v>
      </c>
      <c r="D13309" s="2" t="s">
        <v>10969</v>
      </c>
      <c r="E13309" s="3">
        <v>0</v>
      </c>
      <c r="F13309" s="2">
        <v>3099</v>
      </c>
      <c r="G13309" s="2">
        <v>98</v>
      </c>
      <c r="H13309" s="2">
        <v>637</v>
      </c>
      <c r="I13309" s="2">
        <v>1</v>
      </c>
      <c r="J13309" s="2">
        <v>1911</v>
      </c>
      <c r="K13309" s="2">
        <v>1</v>
      </c>
      <c r="L13309" s="2">
        <v>628</v>
      </c>
    </row>
    <row r="13310" spans="1:12" x14ac:dyDescent="0.25">
      <c r="A13310" s="4" t="str">
        <f>HYPERLINK("http://www.rosaceae.org/Prunus/Prunus_persica/p.persica_gdr_reftransV1_0002034","p.persica_gdr_reftransV1_0002034")</f>
        <v>p.persica_gdr_reftransV1_0002034</v>
      </c>
      <c r="B13310" s="2">
        <v>1965</v>
      </c>
      <c r="C13310" s="4" t="str">
        <f>HYPERLINK("http://www.uniprot.org/uniprot/A0A067K930","A0A067K930")</f>
        <v>A0A067K930</v>
      </c>
      <c r="D13310" s="2" t="s">
        <v>10970</v>
      </c>
      <c r="E13310" s="3">
        <v>0</v>
      </c>
      <c r="F13310" s="2">
        <v>1910</v>
      </c>
      <c r="G13310" s="2">
        <v>75</v>
      </c>
      <c r="H13310" s="2">
        <v>503</v>
      </c>
      <c r="I13310" s="2">
        <v>198</v>
      </c>
      <c r="J13310" s="2">
        <v>1694</v>
      </c>
      <c r="K13310" s="2">
        <v>1</v>
      </c>
      <c r="L13310" s="2">
        <v>496</v>
      </c>
    </row>
    <row r="13311" spans="1:12" x14ac:dyDescent="0.25">
      <c r="A13311" s="4" t="str">
        <f>HYPERLINK("http://www.rosaceae.org/Prunus/Prunus_persica/p.persica_gdr_reftransV1_0002384","p.persica_gdr_reftransV1_0002384")</f>
        <v>p.persica_gdr_reftransV1_0002384</v>
      </c>
      <c r="B13311" s="2">
        <v>341</v>
      </c>
      <c r="C13311" s="4" t="str">
        <f>HYPERLINK("http://www.uniprot.org/uniprot/M5XKJ2","M5XKJ2")</f>
        <v>M5XKJ2</v>
      </c>
      <c r="D13311" s="2" t="s">
        <v>10073</v>
      </c>
      <c r="E13311" s="3">
        <v>1.36E-73</v>
      </c>
      <c r="F13311" s="2">
        <v>602</v>
      </c>
      <c r="G13311" s="2">
        <v>100</v>
      </c>
      <c r="H13311" s="2">
        <v>113</v>
      </c>
      <c r="I13311" s="2">
        <v>1</v>
      </c>
      <c r="J13311" s="2">
        <v>339</v>
      </c>
      <c r="K13311" s="2">
        <v>319</v>
      </c>
      <c r="L13311" s="2">
        <v>431</v>
      </c>
    </row>
    <row r="13312" spans="1:12" x14ac:dyDescent="0.25">
      <c r="A13312" s="4" t="str">
        <f>HYPERLINK("http://www.rosaceae.org/Prunus/Prunus_persica/p.persica_gdr_reftransV1_0003084","p.persica_gdr_reftransV1_0003084")</f>
        <v>p.persica_gdr_reftransV1_0003084</v>
      </c>
      <c r="B13312" s="2">
        <v>2559</v>
      </c>
      <c r="C13312" s="4" t="str">
        <f>HYPERLINK("http://www.uniprot.org/uniprot/M5WJ15","M5WJ15")</f>
        <v>M5WJ15</v>
      </c>
      <c r="D13312" s="2" t="s">
        <v>478</v>
      </c>
      <c r="E13312" s="3">
        <v>0</v>
      </c>
      <c r="F13312" s="2">
        <v>2031</v>
      </c>
      <c r="G13312" s="2">
        <v>100</v>
      </c>
      <c r="H13312" s="2">
        <v>449</v>
      </c>
      <c r="I13312" s="2">
        <v>48</v>
      </c>
      <c r="J13312" s="2">
        <v>1394</v>
      </c>
      <c r="K13312" s="2">
        <v>1</v>
      </c>
      <c r="L13312" s="2">
        <v>449</v>
      </c>
    </row>
    <row r="13313" spans="1:12" x14ac:dyDescent="0.25">
      <c r="A13313" s="4" t="str">
        <f>HYPERLINK("http://www.rosaceae.org/Prunus/Prunus_persica/p.persica_gdr_reftransV1_0003434","p.persica_gdr_reftransV1_0003434")</f>
        <v>p.persica_gdr_reftransV1_0003434</v>
      </c>
      <c r="B13313" s="2">
        <v>1651</v>
      </c>
      <c r="C13313" s="4" t="str">
        <f>HYPERLINK("http://www.uniprot.org/uniprot/M5WSE3","M5WSE3")</f>
        <v>M5WSE3</v>
      </c>
      <c r="D13313" s="2" t="s">
        <v>10971</v>
      </c>
      <c r="E13313" s="3">
        <v>0</v>
      </c>
      <c r="F13313" s="2">
        <v>2204</v>
      </c>
      <c r="G13313" s="2">
        <v>100</v>
      </c>
      <c r="H13313" s="2">
        <v>407</v>
      </c>
      <c r="I13313" s="2">
        <v>430</v>
      </c>
      <c r="J13313" s="2">
        <v>1650</v>
      </c>
      <c r="K13313" s="2">
        <v>439</v>
      </c>
      <c r="L13313" s="2">
        <v>845</v>
      </c>
    </row>
    <row r="13314" spans="1:12" x14ac:dyDescent="0.25">
      <c r="A13314" s="4" t="str">
        <f>HYPERLINK("http://www.rosaceae.org/Prunus/Prunus_persica/p.persica_gdr_reftransV1_0004134","p.persica_gdr_reftransV1_0004134")</f>
        <v>p.persica_gdr_reftransV1_0004134</v>
      </c>
      <c r="B13314" s="2">
        <v>498</v>
      </c>
      <c r="C13314" s="4" t="str">
        <f>HYPERLINK("http://www.uniprot.org/uniprot/A0A0D2XGN9","A0A0D2XGN9")</f>
        <v>A0A0D2XGN9</v>
      </c>
      <c r="D13314" s="2" t="s">
        <v>10972</v>
      </c>
      <c r="E13314" s="3">
        <v>1.4100000000000001E-102</v>
      </c>
      <c r="F13314" s="2">
        <v>785</v>
      </c>
      <c r="G13314" s="2">
        <v>99</v>
      </c>
      <c r="H13314" s="2">
        <v>152</v>
      </c>
      <c r="I13314" s="2">
        <v>42</v>
      </c>
      <c r="J13314" s="2">
        <v>497</v>
      </c>
      <c r="K13314" s="2">
        <v>110</v>
      </c>
      <c r="L13314" s="2">
        <v>261</v>
      </c>
    </row>
    <row r="13315" spans="1:12" x14ac:dyDescent="0.25">
      <c r="A13315" s="4" t="str">
        <f>HYPERLINK("http://www.rosaceae.org/Prunus/Prunus_persica/p.persica_gdr_reftransV1_0004484","p.persica_gdr_reftransV1_0004484")</f>
        <v>p.persica_gdr_reftransV1_0004484</v>
      </c>
      <c r="B13315" s="2">
        <v>381</v>
      </c>
      <c r="C13315" s="4" t="str">
        <f>HYPERLINK("http://www.uniprot.org/uniprot/M5VWG7","M5VWG7")</f>
        <v>M5VWG7</v>
      </c>
      <c r="D13315" s="2" t="s">
        <v>10973</v>
      </c>
      <c r="E13315" s="3">
        <v>1.25E-83</v>
      </c>
      <c r="F13315" s="2">
        <v>677</v>
      </c>
      <c r="G13315" s="2">
        <v>100</v>
      </c>
      <c r="H13315" s="2">
        <v>127</v>
      </c>
      <c r="I13315" s="2">
        <v>1</v>
      </c>
      <c r="J13315" s="2">
        <v>381</v>
      </c>
      <c r="K13315" s="2">
        <v>52</v>
      </c>
      <c r="L13315" s="2">
        <v>178</v>
      </c>
    </row>
    <row r="13316" spans="1:12" x14ac:dyDescent="0.25">
      <c r="A13316" s="4" t="str">
        <f>HYPERLINK("http://www.rosaceae.org/Prunus/Prunus_persica/p.persica_gdr_reftransV1_0004834","p.persica_gdr_reftransV1_0004834")</f>
        <v>p.persica_gdr_reftransV1_0004834</v>
      </c>
      <c r="B13316" s="2">
        <v>3407</v>
      </c>
      <c r="C13316" s="4" t="str">
        <f>HYPERLINK("http://www.uniprot.org/uniprot/M5VVN3","M5VVN3")</f>
        <v>M5VVN3</v>
      </c>
      <c r="D13316" s="2" t="s">
        <v>10974</v>
      </c>
      <c r="E13316" s="3">
        <v>0</v>
      </c>
      <c r="F13316" s="2">
        <v>3274</v>
      </c>
      <c r="G13316" s="2">
        <v>100</v>
      </c>
      <c r="H13316" s="2">
        <v>734</v>
      </c>
      <c r="I13316" s="2">
        <v>406</v>
      </c>
      <c r="J13316" s="2">
        <v>2607</v>
      </c>
      <c r="K13316" s="2">
        <v>1</v>
      </c>
      <c r="L13316" s="2">
        <v>734</v>
      </c>
    </row>
    <row r="13317" spans="1:12" x14ac:dyDescent="0.25">
      <c r="A13317" s="4" t="str">
        <f>HYPERLINK("http://www.rosaceae.org/Prunus/Prunus_persica/p.persica_gdr_reftransV1_0005534","p.persica_gdr_reftransV1_0005534")</f>
        <v>p.persica_gdr_reftransV1_0005534</v>
      </c>
      <c r="B13317" s="2">
        <v>308</v>
      </c>
      <c r="C13317" s="4" t="str">
        <f>HYPERLINK("http://www.uniprot.org/uniprot/M5WVM9","M5WVM9")</f>
        <v>M5WVM9</v>
      </c>
      <c r="D13317" s="2" t="s">
        <v>10975</v>
      </c>
      <c r="E13317" s="3">
        <v>5.6800000000000001E-63</v>
      </c>
      <c r="F13317" s="2">
        <v>546</v>
      </c>
      <c r="G13317" s="2">
        <v>100</v>
      </c>
      <c r="H13317" s="2">
        <v>102</v>
      </c>
      <c r="I13317" s="2">
        <v>1</v>
      </c>
      <c r="J13317" s="2">
        <v>306</v>
      </c>
      <c r="K13317" s="2">
        <v>595</v>
      </c>
      <c r="L13317" s="2">
        <v>696</v>
      </c>
    </row>
    <row r="13318" spans="1:12" x14ac:dyDescent="0.25">
      <c r="A13318" s="4" t="str">
        <f>HYPERLINK("http://www.rosaceae.org/Prunus/Prunus_persica/p.persica_gdr_reftransV1_0006584","p.persica_gdr_reftransV1_0006584")</f>
        <v>p.persica_gdr_reftransV1_0006584</v>
      </c>
      <c r="B13318" s="2">
        <v>1114</v>
      </c>
      <c r="C13318" s="4" t="str">
        <f>HYPERLINK("http://www.uniprot.org/uniprot/M5X828","M5X828")</f>
        <v>M5X828</v>
      </c>
      <c r="D13318" s="2" t="s">
        <v>10976</v>
      </c>
      <c r="E13318" s="3">
        <v>2.25E-102</v>
      </c>
      <c r="F13318" s="2">
        <v>805</v>
      </c>
      <c r="G13318" s="2">
        <v>100</v>
      </c>
      <c r="H13318" s="2">
        <v>195</v>
      </c>
      <c r="I13318" s="2">
        <v>163</v>
      </c>
      <c r="J13318" s="2">
        <v>747</v>
      </c>
      <c r="K13318" s="2">
        <v>56</v>
      </c>
      <c r="L13318" s="2">
        <v>250</v>
      </c>
    </row>
    <row r="13319" spans="1:12" x14ac:dyDescent="0.25">
      <c r="A13319" s="4" t="str">
        <f>HYPERLINK("http://www.rosaceae.org/Prunus/Prunus_persica/p.persica_gdr_reftransV1_0006934","p.persica_gdr_reftransV1_0006934")</f>
        <v>p.persica_gdr_reftransV1_0006934</v>
      </c>
      <c r="B13319" s="2">
        <v>454</v>
      </c>
      <c r="C13319" s="4" t="str">
        <f>HYPERLINK("http://www.uniprot.org/uniprot/W9QHZ3","W9QHZ3")</f>
        <v>W9QHZ3</v>
      </c>
      <c r="D13319" s="2" t="s">
        <v>10650</v>
      </c>
      <c r="E13319" s="3">
        <v>9.4199999999999996E-43</v>
      </c>
      <c r="F13319" s="2">
        <v>410</v>
      </c>
      <c r="G13319" s="2">
        <v>71</v>
      </c>
      <c r="H13319" s="2">
        <v>109</v>
      </c>
      <c r="I13319" s="2">
        <v>5</v>
      </c>
      <c r="J13319" s="2">
        <v>328</v>
      </c>
      <c r="K13319" s="2">
        <v>953</v>
      </c>
      <c r="L13319" s="2">
        <v>1060</v>
      </c>
    </row>
    <row r="13320" spans="1:12" x14ac:dyDescent="0.25">
      <c r="A13320" s="4" t="str">
        <f>HYPERLINK("http://www.rosaceae.org/Prunus/Prunus_persica/p.persica_gdr_reftransV1_0007284","p.persica_gdr_reftransV1_0007284")</f>
        <v>p.persica_gdr_reftransV1_0007284</v>
      </c>
      <c r="B13320" s="2">
        <v>1141</v>
      </c>
      <c r="C13320" s="4" t="str">
        <f>HYPERLINK("http://www.uniprot.org/uniprot/M5WXU0","M5WXU0")</f>
        <v>M5WXU0</v>
      </c>
      <c r="D13320" s="2" t="s">
        <v>10977</v>
      </c>
      <c r="E13320" s="3">
        <v>1.2500000000000001E-139</v>
      </c>
      <c r="F13320" s="2">
        <v>1048</v>
      </c>
      <c r="G13320" s="2">
        <v>100</v>
      </c>
      <c r="H13320" s="2">
        <v>211</v>
      </c>
      <c r="I13320" s="2">
        <v>247</v>
      </c>
      <c r="J13320" s="2">
        <v>879</v>
      </c>
      <c r="K13320" s="2">
        <v>1</v>
      </c>
      <c r="L13320" s="2">
        <v>211</v>
      </c>
    </row>
    <row r="13321" spans="1:12" x14ac:dyDescent="0.25">
      <c r="A13321" s="4" t="str">
        <f>HYPERLINK("http://www.rosaceae.org/Prunus/Prunus_persica/p.persica_gdr_reftransV1_0009034","p.persica_gdr_reftransV1_0009034")</f>
        <v>p.persica_gdr_reftransV1_0009034</v>
      </c>
      <c r="B13321" s="2">
        <v>1077</v>
      </c>
      <c r="C13321" s="4" t="str">
        <f>HYPERLINK("http://www.uniprot.org/uniprot/M5W7D3","M5W7D3")</f>
        <v>M5W7D3</v>
      </c>
      <c r="D13321" s="2" t="s">
        <v>8550</v>
      </c>
      <c r="E13321" s="3">
        <v>2.91E-99</v>
      </c>
      <c r="F13321" s="2">
        <v>809</v>
      </c>
      <c r="G13321" s="2">
        <v>100</v>
      </c>
      <c r="H13321" s="2">
        <v>182</v>
      </c>
      <c r="I13321" s="2">
        <v>362</v>
      </c>
      <c r="J13321" s="2">
        <v>907</v>
      </c>
      <c r="K13321" s="2">
        <v>1</v>
      </c>
      <c r="L13321" s="2">
        <v>182</v>
      </c>
    </row>
    <row r="13322" spans="1:12" x14ac:dyDescent="0.25">
      <c r="A13322" s="4" t="str">
        <f>HYPERLINK("http://www.rosaceae.org/Prunus/Prunus_persica/p.persica_gdr_reftransV1_0009384","p.persica_gdr_reftransV1_0009384")</f>
        <v>p.persica_gdr_reftransV1_0009384</v>
      </c>
      <c r="B13322" s="2">
        <v>897</v>
      </c>
      <c r="C13322" s="4" t="str">
        <f>HYPERLINK("http://www.uniprot.org/uniprot/E6YCZ7","E6YCZ7")</f>
        <v>E6YCZ7</v>
      </c>
      <c r="D13322" s="2" t="s">
        <v>10978</v>
      </c>
      <c r="E13322" s="3">
        <v>1.0899999999999999E-138</v>
      </c>
      <c r="F13322" s="2">
        <v>1137</v>
      </c>
      <c r="G13322" s="2">
        <v>99</v>
      </c>
      <c r="H13322" s="2">
        <v>233</v>
      </c>
      <c r="I13322" s="2">
        <v>1</v>
      </c>
      <c r="J13322" s="2">
        <v>699</v>
      </c>
      <c r="K13322" s="2">
        <v>174</v>
      </c>
      <c r="L13322" s="2">
        <v>406</v>
      </c>
    </row>
    <row r="13323" spans="1:12" x14ac:dyDescent="0.25">
      <c r="A13323" s="4" t="str">
        <f>HYPERLINK("http://www.rosaceae.org/Prunus/Prunus_persica/p.persica_gdr_reftransV1_0009734","p.persica_gdr_reftransV1_0009734")</f>
        <v>p.persica_gdr_reftransV1_0009734</v>
      </c>
      <c r="B13323" s="2">
        <v>779</v>
      </c>
      <c r="C13323" s="4" t="str">
        <f>HYPERLINK("http://www.uniprot.org/uniprot/M5X5C6","M5X5C6")</f>
        <v>M5X5C6</v>
      </c>
      <c r="D13323" s="2" t="s">
        <v>7426</v>
      </c>
      <c r="E13323" s="3">
        <v>9.3300000000000005E-41</v>
      </c>
      <c r="F13323" s="2">
        <v>380</v>
      </c>
      <c r="G13323" s="2">
        <v>100</v>
      </c>
      <c r="H13323" s="2">
        <v>72</v>
      </c>
      <c r="I13323" s="2">
        <v>68</v>
      </c>
      <c r="J13323" s="2">
        <v>283</v>
      </c>
      <c r="K13323" s="2">
        <v>1</v>
      </c>
      <c r="L13323" s="2">
        <v>72</v>
      </c>
    </row>
    <row r="13324" spans="1:12" x14ac:dyDescent="0.25">
      <c r="A13324" s="4" t="str">
        <f>HYPERLINK("http://www.rosaceae.org/Prunus/Prunus_persica/p.persica_gdr_reftransV1_0010084","p.persica_gdr_reftransV1_0010084")</f>
        <v>p.persica_gdr_reftransV1_0010084</v>
      </c>
      <c r="B13324" s="2">
        <v>1271</v>
      </c>
      <c r="C13324" s="4" t="str">
        <f>HYPERLINK("http://www.uniprot.org/uniprot/M5XF80","M5XF80")</f>
        <v>M5XF80</v>
      </c>
      <c r="D13324" s="2" t="s">
        <v>10979</v>
      </c>
      <c r="E13324" s="3">
        <v>0</v>
      </c>
      <c r="F13324" s="2">
        <v>1450</v>
      </c>
      <c r="G13324" s="2">
        <v>100</v>
      </c>
      <c r="H13324" s="2">
        <v>271</v>
      </c>
      <c r="I13324" s="2">
        <v>373</v>
      </c>
      <c r="J13324" s="2">
        <v>1185</v>
      </c>
      <c r="K13324" s="2">
        <v>17</v>
      </c>
      <c r="L13324" s="2">
        <v>287</v>
      </c>
    </row>
    <row r="13325" spans="1:12" x14ac:dyDescent="0.25">
      <c r="A13325" s="4" t="str">
        <f>HYPERLINK("http://www.rosaceae.org/Prunus/Prunus_persica/p.persica_gdr_reftransV1_0010434","p.persica_gdr_reftransV1_0010434")</f>
        <v>p.persica_gdr_reftransV1_0010434</v>
      </c>
      <c r="B13325" s="2">
        <v>2544</v>
      </c>
      <c r="C13325" s="4" t="str">
        <f>HYPERLINK("http://www.uniprot.org/uniprot/M5VVP2","M5VVP2")</f>
        <v>M5VVP2</v>
      </c>
      <c r="D13325" s="2" t="s">
        <v>10980</v>
      </c>
      <c r="E13325" s="3">
        <v>0</v>
      </c>
      <c r="F13325" s="2">
        <v>2099</v>
      </c>
      <c r="G13325" s="2">
        <v>99</v>
      </c>
      <c r="H13325" s="2">
        <v>387</v>
      </c>
      <c r="I13325" s="2">
        <v>1102</v>
      </c>
      <c r="J13325" s="2">
        <v>2262</v>
      </c>
      <c r="K13325" s="2">
        <v>1</v>
      </c>
      <c r="L13325" s="2">
        <v>387</v>
      </c>
    </row>
    <row r="13326" spans="1:12" x14ac:dyDescent="0.25">
      <c r="A13326" s="4" t="str">
        <f>HYPERLINK("http://www.rosaceae.org/Prunus/Prunus_persica/p.persica_gdr_reftransV1_0010784","p.persica_gdr_reftransV1_0010784")</f>
        <v>p.persica_gdr_reftransV1_0010784</v>
      </c>
      <c r="B13326" s="2">
        <v>577</v>
      </c>
      <c r="C13326" s="4" t="str">
        <f>HYPERLINK("http://www.uniprot.org/uniprot/M5WYB6","M5WYB6")</f>
        <v>M5WYB6</v>
      </c>
      <c r="D13326" s="2" t="s">
        <v>10981</v>
      </c>
      <c r="E13326" s="3">
        <v>7.4600000000000002E-43</v>
      </c>
      <c r="F13326" s="2">
        <v>376</v>
      </c>
      <c r="G13326" s="2">
        <v>100</v>
      </c>
      <c r="H13326" s="2">
        <v>72</v>
      </c>
      <c r="I13326" s="2">
        <v>243</v>
      </c>
      <c r="J13326" s="2">
        <v>458</v>
      </c>
      <c r="K13326" s="2">
        <v>1</v>
      </c>
      <c r="L13326" s="2">
        <v>72</v>
      </c>
    </row>
    <row r="13327" spans="1:12" x14ac:dyDescent="0.25">
      <c r="A13327" s="4" t="str">
        <f>HYPERLINK("http://www.rosaceae.org/Prunus/Prunus_persica/p.persica_gdr_reftransV1_0011134","p.persica_gdr_reftransV1_0011134")</f>
        <v>p.persica_gdr_reftransV1_0011134</v>
      </c>
      <c r="B13327" s="2">
        <v>1140</v>
      </c>
      <c r="C13327" s="4" t="str">
        <f>HYPERLINK("http://www.uniprot.org/uniprot/A0A0G2UPZ4","A0A0G2UPZ4")</f>
        <v>A0A0G2UPZ4</v>
      </c>
      <c r="D13327" s="2" t="s">
        <v>10982</v>
      </c>
      <c r="E13327" s="3">
        <v>1.52E-86</v>
      </c>
      <c r="F13327" s="2">
        <v>724</v>
      </c>
      <c r="G13327" s="2">
        <v>90</v>
      </c>
      <c r="H13327" s="2">
        <v>162</v>
      </c>
      <c r="I13327" s="2">
        <v>655</v>
      </c>
      <c r="J13327" s="2">
        <v>1140</v>
      </c>
      <c r="K13327" s="2">
        <v>365</v>
      </c>
      <c r="L13327" s="2">
        <v>526</v>
      </c>
    </row>
    <row r="13328" spans="1:12" x14ac:dyDescent="0.25">
      <c r="A13328" s="4" t="str">
        <f>HYPERLINK("http://www.rosaceae.org/Prunus/Prunus_persica/p.persica_gdr_reftransV1_0011484","p.persica_gdr_reftransV1_0011484")</f>
        <v>p.persica_gdr_reftransV1_0011484</v>
      </c>
      <c r="B13328" s="2">
        <v>2826</v>
      </c>
      <c r="C13328" s="4" t="str">
        <f>HYPERLINK("http://www.uniprot.org/uniprot/M5WDE2","M5WDE2")</f>
        <v>M5WDE2</v>
      </c>
      <c r="D13328" s="2" t="s">
        <v>10983</v>
      </c>
      <c r="E13328" s="3">
        <v>0</v>
      </c>
      <c r="F13328" s="2">
        <v>2971</v>
      </c>
      <c r="G13328" s="2">
        <v>100</v>
      </c>
      <c r="H13328" s="2">
        <v>596</v>
      </c>
      <c r="I13328" s="2">
        <v>105</v>
      </c>
      <c r="J13328" s="2">
        <v>1892</v>
      </c>
      <c r="K13328" s="2">
        <v>1</v>
      </c>
      <c r="L13328" s="2">
        <v>596</v>
      </c>
    </row>
    <row r="13329" spans="1:12" x14ac:dyDescent="0.25">
      <c r="A13329" s="4" t="str">
        <f>HYPERLINK("http://www.rosaceae.org/Prunus/Prunus_persica/p.persica_gdr_reftransV1_0011834","p.persica_gdr_reftransV1_0011834")</f>
        <v>p.persica_gdr_reftransV1_0011834</v>
      </c>
      <c r="B13329" s="2">
        <v>490</v>
      </c>
      <c r="C13329" s="4" t="str">
        <f>HYPERLINK("http://www.uniprot.org/uniprot/M5VSG6","M5VSG6")</f>
        <v>M5VSG6</v>
      </c>
      <c r="D13329" s="2" t="s">
        <v>1919</v>
      </c>
      <c r="E13329" s="3">
        <v>1.05E-107</v>
      </c>
      <c r="F13329" s="2">
        <v>848</v>
      </c>
      <c r="G13329" s="2">
        <v>100</v>
      </c>
      <c r="H13329" s="2">
        <v>162</v>
      </c>
      <c r="I13329" s="2">
        <v>3</v>
      </c>
      <c r="J13329" s="2">
        <v>488</v>
      </c>
      <c r="K13329" s="2">
        <v>90</v>
      </c>
      <c r="L13329" s="2">
        <v>251</v>
      </c>
    </row>
    <row r="13330" spans="1:12" x14ac:dyDescent="0.25">
      <c r="A13330" s="4" t="str">
        <f>HYPERLINK("http://www.rosaceae.org/Prunus/Prunus_persica/p.persica_gdr_reftransV1_0013234","p.persica_gdr_reftransV1_0013234")</f>
        <v>p.persica_gdr_reftransV1_0013234</v>
      </c>
      <c r="B13330" s="2">
        <v>1627</v>
      </c>
      <c r="C13330" s="4" t="str">
        <f>HYPERLINK("http://www.uniprot.org/uniprot/M5WZU7","M5WZU7")</f>
        <v>M5WZU7</v>
      </c>
      <c r="D13330" s="2" t="s">
        <v>10984</v>
      </c>
      <c r="E13330" s="3">
        <v>0</v>
      </c>
      <c r="F13330" s="2">
        <v>1827</v>
      </c>
      <c r="G13330" s="2">
        <v>95</v>
      </c>
      <c r="H13330" s="2">
        <v>391</v>
      </c>
      <c r="I13330" s="2">
        <v>179</v>
      </c>
      <c r="J13330" s="2">
        <v>1351</v>
      </c>
      <c r="K13330" s="2">
        <v>1</v>
      </c>
      <c r="L13330" s="2">
        <v>380</v>
      </c>
    </row>
    <row r="13331" spans="1:12" x14ac:dyDescent="0.25">
      <c r="A13331" s="4" t="str">
        <f>HYPERLINK("http://www.rosaceae.org/Prunus/Prunus_persica/p.persica_gdr_reftransV1_0013584","p.persica_gdr_reftransV1_0013584")</f>
        <v>p.persica_gdr_reftransV1_0013584</v>
      </c>
      <c r="B13331" s="2">
        <v>1880</v>
      </c>
      <c r="C13331" s="4" t="str">
        <f>HYPERLINK("http://www.uniprot.org/uniprot/M5WYF2","M5WYF2")</f>
        <v>M5WYF2</v>
      </c>
      <c r="D13331" s="2" t="s">
        <v>10985</v>
      </c>
      <c r="E13331" s="3">
        <v>0</v>
      </c>
      <c r="F13331" s="2">
        <v>2315</v>
      </c>
      <c r="G13331" s="2">
        <v>97</v>
      </c>
      <c r="H13331" s="2">
        <v>447</v>
      </c>
      <c r="I13331" s="2">
        <v>1</v>
      </c>
      <c r="J13331" s="2">
        <v>1341</v>
      </c>
      <c r="K13331" s="2">
        <v>252</v>
      </c>
      <c r="L13331" s="2">
        <v>687</v>
      </c>
    </row>
    <row r="13332" spans="1:12" x14ac:dyDescent="0.25">
      <c r="A13332" s="4" t="str">
        <f>HYPERLINK("http://www.rosaceae.org/Prunus/Prunus_persica/p.persica_gdr_reftransV1_0013934","p.persica_gdr_reftransV1_0013934")</f>
        <v>p.persica_gdr_reftransV1_0013934</v>
      </c>
      <c r="B13332" s="2">
        <v>1362</v>
      </c>
      <c r="C13332" s="4" t="str">
        <f>HYPERLINK("http://www.uniprot.org/uniprot/M5WP05","M5WP05")</f>
        <v>M5WP05</v>
      </c>
      <c r="D13332" s="2" t="s">
        <v>10986</v>
      </c>
      <c r="E13332" s="3">
        <v>9.28E-174</v>
      </c>
      <c r="F13332" s="2">
        <v>1287</v>
      </c>
      <c r="G13332" s="2">
        <v>100</v>
      </c>
      <c r="H13332" s="2">
        <v>266</v>
      </c>
      <c r="I13332" s="2">
        <v>210</v>
      </c>
      <c r="J13332" s="2">
        <v>1007</v>
      </c>
      <c r="K13332" s="2">
        <v>1</v>
      </c>
      <c r="L13332" s="2">
        <v>266</v>
      </c>
    </row>
    <row r="13333" spans="1:12" x14ac:dyDescent="0.25">
      <c r="A13333" s="4" t="str">
        <f>HYPERLINK("http://www.rosaceae.org/Prunus/Prunus_persica/p.persica_gdr_reftransV1_0014634","p.persica_gdr_reftransV1_0014634")</f>
        <v>p.persica_gdr_reftransV1_0014634</v>
      </c>
      <c r="B13333" s="2">
        <v>2713</v>
      </c>
      <c r="C13333" s="4" t="str">
        <f>HYPERLINK("http://www.uniprot.org/uniprot/M5X6P9","M5X6P9")</f>
        <v>M5X6P9</v>
      </c>
      <c r="D13333" s="2" t="s">
        <v>10987</v>
      </c>
      <c r="E13333" s="3">
        <v>0</v>
      </c>
      <c r="F13333" s="2">
        <v>3273</v>
      </c>
      <c r="G13333" s="2">
        <v>100</v>
      </c>
      <c r="H13333" s="2">
        <v>638</v>
      </c>
      <c r="I13333" s="2">
        <v>269</v>
      </c>
      <c r="J13333" s="2">
        <v>2182</v>
      </c>
      <c r="K13333" s="2">
        <v>1</v>
      </c>
      <c r="L13333" s="2">
        <v>638</v>
      </c>
    </row>
    <row r="13334" spans="1:12" x14ac:dyDescent="0.25">
      <c r="A13334" s="4" t="str">
        <f>HYPERLINK("http://www.rosaceae.org/Prunus/Prunus_persica/p.persica_gdr_reftransV1_0015684","p.persica_gdr_reftransV1_0015684")</f>
        <v>p.persica_gdr_reftransV1_0015684</v>
      </c>
      <c r="B13334" s="2">
        <v>2259</v>
      </c>
      <c r="C13334" s="4" t="str">
        <f>HYPERLINK("http://www.uniprot.org/uniprot/M5XCE6","M5XCE6")</f>
        <v>M5XCE6</v>
      </c>
      <c r="D13334" s="2" t="s">
        <v>10988</v>
      </c>
      <c r="E13334" s="3">
        <v>0</v>
      </c>
      <c r="F13334" s="2">
        <v>1420</v>
      </c>
      <c r="G13334" s="2">
        <v>100</v>
      </c>
      <c r="H13334" s="2">
        <v>318</v>
      </c>
      <c r="I13334" s="2">
        <v>32</v>
      </c>
      <c r="J13334" s="2">
        <v>985</v>
      </c>
      <c r="K13334" s="2">
        <v>1</v>
      </c>
      <c r="L13334" s="2">
        <v>318</v>
      </c>
    </row>
    <row r="13335" spans="1:12" x14ac:dyDescent="0.25">
      <c r="A13335" s="4" t="str">
        <f>HYPERLINK("http://www.rosaceae.org/Prunus/Prunus_persica/p.persica_gdr_reftransV1_0016034","p.persica_gdr_reftransV1_0016034")</f>
        <v>p.persica_gdr_reftransV1_0016034</v>
      </c>
      <c r="B13335" s="2">
        <v>2815</v>
      </c>
      <c r="C13335" s="4" t="str">
        <f>HYPERLINK("http://www.uniprot.org/uniprot/M5VJ88","M5VJ88")</f>
        <v>M5VJ88</v>
      </c>
      <c r="D13335" s="2" t="s">
        <v>10989</v>
      </c>
      <c r="E13335" s="3">
        <v>0</v>
      </c>
      <c r="F13335" s="2">
        <v>3972</v>
      </c>
      <c r="G13335" s="2">
        <v>100</v>
      </c>
      <c r="H13335" s="2">
        <v>842</v>
      </c>
      <c r="I13335" s="2">
        <v>79</v>
      </c>
      <c r="J13335" s="2">
        <v>2604</v>
      </c>
      <c r="K13335" s="2">
        <v>1</v>
      </c>
      <c r="L13335" s="2">
        <v>842</v>
      </c>
    </row>
    <row r="13336" spans="1:12" x14ac:dyDescent="0.25">
      <c r="A13336" s="4" t="str">
        <f>HYPERLINK("http://www.rosaceae.org/Prunus/Prunus_persica/p.persica_gdr_reftransV1_0016734","p.persica_gdr_reftransV1_0016734")</f>
        <v>p.persica_gdr_reftransV1_0016734</v>
      </c>
      <c r="B13336" s="2">
        <v>894</v>
      </c>
      <c r="C13336" s="4" t="str">
        <f>HYPERLINK("http://www.uniprot.org/uniprot/M5XYH1","M5XYH1")</f>
        <v>M5XYH1</v>
      </c>
      <c r="D13336" s="2" t="s">
        <v>7772</v>
      </c>
      <c r="E13336" s="3">
        <v>3.6300000000000003E-119</v>
      </c>
      <c r="F13336" s="2">
        <v>955</v>
      </c>
      <c r="G13336" s="2">
        <v>100</v>
      </c>
      <c r="H13336" s="2">
        <v>222</v>
      </c>
      <c r="I13336" s="2">
        <v>3</v>
      </c>
      <c r="J13336" s="2">
        <v>668</v>
      </c>
      <c r="K13336" s="2">
        <v>1</v>
      </c>
      <c r="L13336" s="2">
        <v>222</v>
      </c>
    </row>
    <row r="13337" spans="1:12" x14ac:dyDescent="0.25">
      <c r="A13337" s="4" t="str">
        <f>HYPERLINK("http://www.rosaceae.org/Prunus/Prunus_persica/p.persica_gdr_reftransV1_0017434","p.persica_gdr_reftransV1_0017434")</f>
        <v>p.persica_gdr_reftransV1_0017434</v>
      </c>
      <c r="B13337" s="2">
        <v>1685</v>
      </c>
      <c r="C13337" s="4" t="str">
        <f>HYPERLINK("http://www.uniprot.org/uniprot/M5WTR4","M5WTR4")</f>
        <v>M5WTR4</v>
      </c>
      <c r="D13337" s="2" t="s">
        <v>7727</v>
      </c>
      <c r="E13337" s="3">
        <v>0</v>
      </c>
      <c r="F13337" s="2">
        <v>1541</v>
      </c>
      <c r="G13337" s="2">
        <v>100</v>
      </c>
      <c r="H13337" s="2">
        <v>351</v>
      </c>
      <c r="I13337" s="2">
        <v>421</v>
      </c>
      <c r="J13337" s="2">
        <v>1473</v>
      </c>
      <c r="K13337" s="2">
        <v>1</v>
      </c>
      <c r="L13337" s="2">
        <v>351</v>
      </c>
    </row>
    <row r="13338" spans="1:12" x14ac:dyDescent="0.25">
      <c r="A13338" s="4" t="str">
        <f>HYPERLINK("http://www.rosaceae.org/Prunus/Prunus_persica/p.persica_gdr_reftransV1_0017784","p.persica_gdr_reftransV1_0017784")</f>
        <v>p.persica_gdr_reftransV1_0017784</v>
      </c>
      <c r="B13338" s="2">
        <v>2282</v>
      </c>
      <c r="C13338" s="4" t="str">
        <f>HYPERLINK("http://www.uniprot.org/uniprot/M5VXN2","M5VXN2")</f>
        <v>M5VXN2</v>
      </c>
      <c r="D13338" s="2" t="s">
        <v>10990</v>
      </c>
      <c r="E13338" s="3">
        <v>0</v>
      </c>
      <c r="F13338" s="2">
        <v>3020</v>
      </c>
      <c r="G13338" s="2">
        <v>100</v>
      </c>
      <c r="H13338" s="2">
        <v>610</v>
      </c>
      <c r="I13338" s="2">
        <v>370</v>
      </c>
      <c r="J13338" s="2">
        <v>2199</v>
      </c>
      <c r="K13338" s="2">
        <v>1</v>
      </c>
      <c r="L13338" s="2">
        <v>610</v>
      </c>
    </row>
    <row r="13339" spans="1:12" x14ac:dyDescent="0.25">
      <c r="A13339" s="4" t="str">
        <f>HYPERLINK("http://www.rosaceae.org/Prunus/Prunus_persica/p.persica_gdr_reftransV1_0018834","p.persica_gdr_reftransV1_0018834")</f>
        <v>p.persica_gdr_reftransV1_0018834</v>
      </c>
      <c r="B13339" s="2">
        <v>838</v>
      </c>
      <c r="C13339" s="4" t="str">
        <f>HYPERLINK("http://www.uniprot.org/uniprot/M5WR47","M5WR47")</f>
        <v>M5WR47</v>
      </c>
      <c r="D13339" s="2" t="s">
        <v>10991</v>
      </c>
      <c r="E13339" s="3">
        <v>2.85E-82</v>
      </c>
      <c r="F13339" s="2">
        <v>655</v>
      </c>
      <c r="G13339" s="2">
        <v>100</v>
      </c>
      <c r="H13339" s="2">
        <v>125</v>
      </c>
      <c r="I13339" s="2">
        <v>254</v>
      </c>
      <c r="J13339" s="2">
        <v>628</v>
      </c>
      <c r="K13339" s="2">
        <v>47</v>
      </c>
      <c r="L13339" s="2">
        <v>171</v>
      </c>
    </row>
    <row r="13340" spans="1:12" x14ac:dyDescent="0.25">
      <c r="A13340" s="4" t="str">
        <f>HYPERLINK("http://www.rosaceae.org/Prunus/Prunus_persica/p.persica_gdr_reftransV1_0019184","p.persica_gdr_reftransV1_0019184")</f>
        <v>p.persica_gdr_reftransV1_0019184</v>
      </c>
      <c r="B13340" s="2">
        <v>2158</v>
      </c>
      <c r="C13340" s="4" t="str">
        <f>HYPERLINK("http://www.uniprot.org/uniprot/M5XBR8","M5XBR8")</f>
        <v>M5XBR8</v>
      </c>
      <c r="D13340" s="2" t="s">
        <v>10992</v>
      </c>
      <c r="E13340" s="3">
        <v>0</v>
      </c>
      <c r="F13340" s="2">
        <v>2919</v>
      </c>
      <c r="G13340" s="2">
        <v>100</v>
      </c>
      <c r="H13340" s="2">
        <v>570</v>
      </c>
      <c r="I13340" s="2">
        <v>146</v>
      </c>
      <c r="J13340" s="2">
        <v>1855</v>
      </c>
      <c r="K13340" s="2">
        <v>1</v>
      </c>
      <c r="L13340" s="2">
        <v>570</v>
      </c>
    </row>
    <row r="13341" spans="1:12" x14ac:dyDescent="0.25">
      <c r="A13341" s="4" t="str">
        <f>HYPERLINK("http://www.rosaceae.org/Prunus/Prunus_persica/p.persica_gdr_reftransV1_0022334","p.persica_gdr_reftransV1_0022334")</f>
        <v>p.persica_gdr_reftransV1_0022334</v>
      </c>
      <c r="B13341" s="2">
        <v>2865</v>
      </c>
      <c r="C13341" s="4" t="str">
        <f>HYPERLINK("http://www.uniprot.org/uniprot/M5XK56","M5XK56")</f>
        <v>M5XK56</v>
      </c>
      <c r="D13341" s="2" t="s">
        <v>10993</v>
      </c>
      <c r="E13341" s="3">
        <v>0</v>
      </c>
      <c r="F13341" s="2">
        <v>3299</v>
      </c>
      <c r="G13341" s="2">
        <v>91</v>
      </c>
      <c r="H13341" s="2">
        <v>716</v>
      </c>
      <c r="I13341" s="2">
        <v>398</v>
      </c>
      <c r="J13341" s="2">
        <v>2545</v>
      </c>
      <c r="K13341" s="2">
        <v>1</v>
      </c>
      <c r="L13341" s="2">
        <v>650</v>
      </c>
    </row>
    <row r="13342" spans="1:12" x14ac:dyDescent="0.25">
      <c r="A13342" s="4" t="str">
        <f>HYPERLINK("http://www.rosaceae.org/Prunus/Prunus_persica/p.persica_gdr_reftransV1_0022684","p.persica_gdr_reftransV1_0022684")</f>
        <v>p.persica_gdr_reftransV1_0022684</v>
      </c>
      <c r="B13342" s="2">
        <v>1627</v>
      </c>
      <c r="C13342" s="4" t="str">
        <f>HYPERLINK("http://www.uniprot.org/uniprot/A0A0B2NPD2","A0A0B2NPD2")</f>
        <v>A0A0B2NPD2</v>
      </c>
      <c r="D13342" s="2" t="s">
        <v>10994</v>
      </c>
      <c r="E13342" s="3">
        <v>6.7800000000000004E-134</v>
      </c>
      <c r="F13342" s="2">
        <v>1029</v>
      </c>
      <c r="G13342" s="2">
        <v>96</v>
      </c>
      <c r="H13342" s="2">
        <v>204</v>
      </c>
      <c r="I13342" s="2">
        <v>235</v>
      </c>
      <c r="J13342" s="2">
        <v>846</v>
      </c>
      <c r="K13342" s="2">
        <v>1</v>
      </c>
      <c r="L13342" s="2">
        <v>204</v>
      </c>
    </row>
    <row r="13343" spans="1:12" x14ac:dyDescent="0.25">
      <c r="A13343" s="4" t="str">
        <f>HYPERLINK("http://www.rosaceae.org/Prunus/Prunus_persica/p.persica_gdr_reftransV1_0024084","p.persica_gdr_reftransV1_0024084")</f>
        <v>p.persica_gdr_reftransV1_0024084</v>
      </c>
      <c r="B13343" s="2">
        <v>2437</v>
      </c>
      <c r="C13343" s="4" t="str">
        <f>HYPERLINK("http://www.uniprot.org/uniprot/M5XCK3","M5XCK3")</f>
        <v>M5XCK3</v>
      </c>
      <c r="D13343" s="2" t="s">
        <v>10995</v>
      </c>
      <c r="E13343" s="3">
        <v>0</v>
      </c>
      <c r="F13343" s="2">
        <v>3109</v>
      </c>
      <c r="G13343" s="2">
        <v>100</v>
      </c>
      <c r="H13343" s="2">
        <v>615</v>
      </c>
      <c r="I13343" s="2">
        <v>249</v>
      </c>
      <c r="J13343" s="2">
        <v>2093</v>
      </c>
      <c r="K13343" s="2">
        <v>24</v>
      </c>
      <c r="L13343" s="2">
        <v>638</v>
      </c>
    </row>
    <row r="13344" spans="1:12" x14ac:dyDescent="0.25">
      <c r="A13344" s="4" t="str">
        <f>HYPERLINK("http://www.rosaceae.org/Prunus/Prunus_persica/p.persica_gdr_reftransV1_0024434","p.persica_gdr_reftransV1_0024434")</f>
        <v>p.persica_gdr_reftransV1_0024434</v>
      </c>
      <c r="B13344" s="2">
        <v>1821</v>
      </c>
      <c r="C13344" s="4" t="str">
        <f>HYPERLINK("http://www.uniprot.org/uniprot/M5XD34","M5XD34")</f>
        <v>M5XD34</v>
      </c>
      <c r="D13344" s="2" t="s">
        <v>10996</v>
      </c>
      <c r="E13344" s="3">
        <v>0</v>
      </c>
      <c r="F13344" s="2">
        <v>2280</v>
      </c>
      <c r="G13344" s="2">
        <v>100</v>
      </c>
      <c r="H13344" s="2">
        <v>443</v>
      </c>
      <c r="I13344" s="2">
        <v>334</v>
      </c>
      <c r="J13344" s="2">
        <v>1662</v>
      </c>
      <c r="K13344" s="2">
        <v>1</v>
      </c>
      <c r="L13344" s="2">
        <v>443</v>
      </c>
    </row>
    <row r="13345" spans="1:12" x14ac:dyDescent="0.25">
      <c r="A13345" s="4" t="str">
        <f>HYPERLINK("http://www.rosaceae.org/Prunus/Prunus_persica/p.persica_gdr_reftransV1_0025484","p.persica_gdr_reftransV1_0025484")</f>
        <v>p.persica_gdr_reftransV1_0025484</v>
      </c>
      <c r="B13345" s="2">
        <v>6799</v>
      </c>
      <c r="C13345" s="4" t="str">
        <f>HYPERLINK("http://www.uniprot.org/uniprot/M5XL79","M5XL79")</f>
        <v>M5XL79</v>
      </c>
      <c r="D13345" s="2" t="s">
        <v>10997</v>
      </c>
      <c r="E13345" s="3">
        <v>0</v>
      </c>
      <c r="F13345" s="2">
        <v>9377</v>
      </c>
      <c r="G13345" s="2">
        <v>100</v>
      </c>
      <c r="H13345" s="2">
        <v>1883</v>
      </c>
      <c r="I13345" s="2">
        <v>434</v>
      </c>
      <c r="J13345" s="2">
        <v>6082</v>
      </c>
      <c r="K13345" s="2">
        <v>1</v>
      </c>
      <c r="L13345" s="2">
        <v>1883</v>
      </c>
    </row>
    <row r="13346" spans="1:12" x14ac:dyDescent="0.25">
      <c r="A13346" s="4" t="str">
        <f>HYPERLINK("http://www.rosaceae.org/Prunus/Prunus_persica/p.persica_gdr_reftransV1_0026884","p.persica_gdr_reftransV1_0026884")</f>
        <v>p.persica_gdr_reftransV1_0026884</v>
      </c>
      <c r="B13346" s="2">
        <v>2914</v>
      </c>
      <c r="C13346" s="4" t="str">
        <f>HYPERLINK("http://www.uniprot.org/uniprot/M5X2H4","M5X2H4")</f>
        <v>M5X2H4</v>
      </c>
      <c r="D13346" s="2" t="s">
        <v>10998</v>
      </c>
      <c r="E13346" s="3">
        <v>0</v>
      </c>
      <c r="F13346" s="2">
        <v>3924</v>
      </c>
      <c r="G13346" s="2">
        <v>100</v>
      </c>
      <c r="H13346" s="2">
        <v>810</v>
      </c>
      <c r="I13346" s="2">
        <v>176</v>
      </c>
      <c r="J13346" s="2">
        <v>2605</v>
      </c>
      <c r="K13346" s="2">
        <v>1</v>
      </c>
      <c r="L13346" s="2">
        <v>810</v>
      </c>
    </row>
    <row r="13347" spans="1:12" x14ac:dyDescent="0.25">
      <c r="A13347" s="4" t="str">
        <f>HYPERLINK("http://www.rosaceae.org/Prunus/Prunus_persica/p.persica_gdr_reftransV1_0027584","p.persica_gdr_reftransV1_0027584")</f>
        <v>p.persica_gdr_reftransV1_0027584</v>
      </c>
      <c r="B13347" s="2">
        <v>379</v>
      </c>
      <c r="C13347" s="4" t="str">
        <f>HYPERLINK("http://www.uniprot.org/uniprot/M5WJL7","M5WJL7")</f>
        <v>M5WJL7</v>
      </c>
      <c r="D13347" s="2" t="s">
        <v>10999</v>
      </c>
      <c r="E13347" s="3">
        <v>1.2099999999999999E-71</v>
      </c>
      <c r="F13347" s="2">
        <v>588</v>
      </c>
      <c r="G13347" s="2">
        <v>100</v>
      </c>
      <c r="H13347" s="2">
        <v>111</v>
      </c>
      <c r="I13347" s="2">
        <v>47</v>
      </c>
      <c r="J13347" s="2">
        <v>379</v>
      </c>
      <c r="K13347" s="2">
        <v>290</v>
      </c>
      <c r="L13347" s="2">
        <v>400</v>
      </c>
    </row>
    <row r="13348" spans="1:12" x14ac:dyDescent="0.25">
      <c r="A13348" s="4" t="str">
        <f>HYPERLINK("http://www.rosaceae.org/Prunus/Prunus_persica/p.persica_gdr_reftransV1_0027934","p.persica_gdr_reftransV1_0027934")</f>
        <v>p.persica_gdr_reftransV1_0027934</v>
      </c>
      <c r="B13348" s="2">
        <v>4146</v>
      </c>
      <c r="C13348" s="4" t="str">
        <f>HYPERLINK("http://www.uniprot.org/uniprot/M5VSV9","M5VSV9")</f>
        <v>M5VSV9</v>
      </c>
      <c r="D13348" s="2" t="s">
        <v>9174</v>
      </c>
      <c r="E13348" s="3">
        <v>0</v>
      </c>
      <c r="F13348" s="2">
        <v>4953</v>
      </c>
      <c r="G13348" s="2">
        <v>100</v>
      </c>
      <c r="H13348" s="2">
        <v>957</v>
      </c>
      <c r="I13348" s="2">
        <v>708</v>
      </c>
      <c r="J13348" s="2">
        <v>3578</v>
      </c>
      <c r="K13348" s="2">
        <v>1</v>
      </c>
      <c r="L13348" s="2">
        <v>957</v>
      </c>
    </row>
    <row r="13349" spans="1:12" x14ac:dyDescent="0.25">
      <c r="A13349" s="4" t="str">
        <f>HYPERLINK("http://www.rosaceae.org/Prunus/Prunus_persica/p.persica_gdr_reftransV1_0029334","p.persica_gdr_reftransV1_0029334")</f>
        <v>p.persica_gdr_reftransV1_0029334</v>
      </c>
      <c r="B13349" s="2">
        <v>338</v>
      </c>
      <c r="C13349" s="4" t="str">
        <f>HYPERLINK("http://www.uniprot.org/uniprot/M5X774","M5X774")</f>
        <v>M5X774</v>
      </c>
      <c r="D13349" s="2" t="s">
        <v>6659</v>
      </c>
      <c r="E13349" s="3">
        <v>5.91E-20</v>
      </c>
      <c r="F13349" s="2">
        <v>224</v>
      </c>
      <c r="G13349" s="2">
        <v>96</v>
      </c>
      <c r="H13349" s="2">
        <v>48</v>
      </c>
      <c r="I13349" s="2">
        <v>1</v>
      </c>
      <c r="J13349" s="2">
        <v>144</v>
      </c>
      <c r="K13349" s="2">
        <v>73</v>
      </c>
      <c r="L13349" s="2">
        <v>120</v>
      </c>
    </row>
    <row r="13350" spans="1:12" x14ac:dyDescent="0.25">
      <c r="A13350" s="4" t="str">
        <f>HYPERLINK("http://www.rosaceae.org/Prunus/Prunus_persica/p.persica_gdr_reftransV1_0031784","p.persica_gdr_reftransV1_0031784")</f>
        <v>p.persica_gdr_reftransV1_0031784</v>
      </c>
      <c r="B13350" s="2">
        <v>1084</v>
      </c>
      <c r="C13350" s="4" t="str">
        <f>HYPERLINK("http://www.uniprot.org/uniprot/M5WCL5","M5WCL5")</f>
        <v>M5WCL5</v>
      </c>
      <c r="D13350" s="2" t="s">
        <v>1807</v>
      </c>
      <c r="E13350" s="3">
        <v>9.9199999999999995E-150</v>
      </c>
      <c r="F13350" s="2">
        <v>1156</v>
      </c>
      <c r="G13350" s="2">
        <v>99</v>
      </c>
      <c r="H13350" s="2">
        <v>221</v>
      </c>
      <c r="I13350" s="2">
        <v>179</v>
      </c>
      <c r="J13350" s="2">
        <v>841</v>
      </c>
      <c r="K13350" s="2">
        <v>1</v>
      </c>
      <c r="L13350" s="2">
        <v>221</v>
      </c>
    </row>
    <row r="13351" spans="1:12" x14ac:dyDescent="0.25">
      <c r="A13351" s="4" t="str">
        <f>HYPERLINK("http://www.rosaceae.org/Prunus/Prunus_persica/p.persica_gdr_reftransV1_0032484","p.persica_gdr_reftransV1_0032484")</f>
        <v>p.persica_gdr_reftransV1_0032484</v>
      </c>
      <c r="B13351" s="2">
        <v>1957</v>
      </c>
      <c r="C13351" s="4" t="str">
        <f>HYPERLINK("http://www.uniprot.org/uniprot/M5WSH0","M5WSH0")</f>
        <v>M5WSH0</v>
      </c>
      <c r="D13351" s="2" t="s">
        <v>11000</v>
      </c>
      <c r="E13351" s="3">
        <v>0</v>
      </c>
      <c r="F13351" s="2">
        <v>1663</v>
      </c>
      <c r="G13351" s="2">
        <v>93</v>
      </c>
      <c r="H13351" s="2">
        <v>364</v>
      </c>
      <c r="I13351" s="2">
        <v>599</v>
      </c>
      <c r="J13351" s="2">
        <v>1690</v>
      </c>
      <c r="K13351" s="2">
        <v>30</v>
      </c>
      <c r="L13351" s="2">
        <v>368</v>
      </c>
    </row>
    <row r="13352" spans="1:12" x14ac:dyDescent="0.25">
      <c r="A13352" s="4" t="str">
        <f>HYPERLINK("http://www.rosaceae.org/Prunus/Prunus_persica/p.persica_gdr_reftransV1_0033534","p.persica_gdr_reftransV1_0033534")</f>
        <v>p.persica_gdr_reftransV1_0033534</v>
      </c>
      <c r="B13352" s="2">
        <v>3242</v>
      </c>
      <c r="C13352" s="4" t="str">
        <f>HYPERLINK("http://www.uniprot.org/uniprot/M5VYK1","M5VYK1")</f>
        <v>M5VYK1</v>
      </c>
      <c r="D13352" s="2" t="s">
        <v>11001</v>
      </c>
      <c r="E13352" s="3">
        <v>0</v>
      </c>
      <c r="F13352" s="2">
        <v>1528</v>
      </c>
      <c r="G13352" s="2">
        <v>100</v>
      </c>
      <c r="H13352" s="2">
        <v>283</v>
      </c>
      <c r="I13352" s="2">
        <v>2393</v>
      </c>
      <c r="J13352" s="2">
        <v>3241</v>
      </c>
      <c r="K13352" s="2">
        <v>554</v>
      </c>
      <c r="L13352" s="2">
        <v>836</v>
      </c>
    </row>
    <row r="13353" spans="1:12" x14ac:dyDescent="0.25">
      <c r="A13353" s="4" t="str">
        <f>HYPERLINK("http://www.rosaceae.org/Prunus/Prunus_persica/p.persica_gdr_reftransV1_0033884","p.persica_gdr_reftransV1_0033884")</f>
        <v>p.persica_gdr_reftransV1_0033884</v>
      </c>
      <c r="B13353" s="2">
        <v>1554</v>
      </c>
      <c r="C13353" s="4" t="str">
        <f>HYPERLINK("http://www.uniprot.org/uniprot/M5W1P0","M5W1P0")</f>
        <v>M5W1P0</v>
      </c>
      <c r="D13353" s="2" t="s">
        <v>9471</v>
      </c>
      <c r="E13353" s="3">
        <v>2.39E-82</v>
      </c>
      <c r="F13353" s="2">
        <v>674</v>
      </c>
      <c r="G13353" s="2">
        <v>98</v>
      </c>
      <c r="H13353" s="2">
        <v>129</v>
      </c>
      <c r="I13353" s="2">
        <v>327</v>
      </c>
      <c r="J13353" s="2">
        <v>713</v>
      </c>
      <c r="K13353" s="2">
        <v>20</v>
      </c>
      <c r="L13353" s="2">
        <v>148</v>
      </c>
    </row>
    <row r="13354" spans="1:12" x14ac:dyDescent="0.25">
      <c r="A13354" s="4" t="str">
        <f>HYPERLINK("http://www.rosaceae.org/Prunus/Prunus_persica/p.persica_gdr_reftransV1_0034234","p.persica_gdr_reftransV1_0034234")</f>
        <v>p.persica_gdr_reftransV1_0034234</v>
      </c>
      <c r="B13354" s="2">
        <v>734</v>
      </c>
      <c r="C13354" s="4" t="str">
        <f>HYPERLINK("http://www.uniprot.org/uniprot/M5X8L2","M5X8L2")</f>
        <v>M5X8L2</v>
      </c>
      <c r="D13354" s="2" t="s">
        <v>2007</v>
      </c>
      <c r="E13354" s="3">
        <v>4.0600000000000001E-162</v>
      </c>
      <c r="F13354" s="2">
        <v>1217</v>
      </c>
      <c r="G13354" s="2">
        <v>89</v>
      </c>
      <c r="H13354" s="2">
        <v>275</v>
      </c>
      <c r="I13354" s="2">
        <v>1</v>
      </c>
      <c r="J13354" s="2">
        <v>732</v>
      </c>
      <c r="K13354" s="2">
        <v>81</v>
      </c>
      <c r="L13354" s="2">
        <v>355</v>
      </c>
    </row>
    <row r="13355" spans="1:12" x14ac:dyDescent="0.25">
      <c r="A13355" s="4" t="str">
        <f>HYPERLINK("http://www.rosaceae.org/Prunus/Prunus_persica/p.persica_gdr_reftransV1_0037734","p.persica_gdr_reftransV1_0037734")</f>
        <v>p.persica_gdr_reftransV1_0037734</v>
      </c>
      <c r="B13355" s="2">
        <v>1998</v>
      </c>
      <c r="C13355" s="4" t="str">
        <f>HYPERLINK("http://www.uniprot.org/uniprot/M5WIR6","M5WIR6")</f>
        <v>M5WIR6</v>
      </c>
      <c r="D13355" s="2" t="s">
        <v>1451</v>
      </c>
      <c r="E13355" s="3">
        <v>2.2599999999999999E-107</v>
      </c>
      <c r="F13355" s="2">
        <v>763</v>
      </c>
      <c r="G13355" s="2">
        <v>98</v>
      </c>
      <c r="H13355" s="2">
        <v>193</v>
      </c>
      <c r="I13355" s="2">
        <v>171</v>
      </c>
      <c r="J13355" s="2">
        <v>749</v>
      </c>
      <c r="K13355" s="2">
        <v>19</v>
      </c>
      <c r="L13355" s="2">
        <v>211</v>
      </c>
    </row>
    <row r="13356" spans="1:12" x14ac:dyDescent="0.25">
      <c r="A13356" s="4" t="str">
        <f>HYPERLINK("http://www.rosaceae.org/Prunus/Prunus_persica/p.persica_gdr_reftransV1_0038434","p.persica_gdr_reftransV1_0038434")</f>
        <v>p.persica_gdr_reftransV1_0038434</v>
      </c>
      <c r="B13356" s="2">
        <v>567</v>
      </c>
      <c r="C13356" s="4" t="str">
        <f>HYPERLINK("http://www.uniprot.org/uniprot/M5WZK1","M5WZK1")</f>
        <v>M5WZK1</v>
      </c>
      <c r="D13356" s="2" t="s">
        <v>11002</v>
      </c>
      <c r="E13356" s="3">
        <v>8.6699999999999995E-108</v>
      </c>
      <c r="F13356" s="2">
        <v>819</v>
      </c>
      <c r="G13356" s="2">
        <v>100</v>
      </c>
      <c r="H13356" s="2">
        <v>188</v>
      </c>
      <c r="I13356" s="2">
        <v>3</v>
      </c>
      <c r="J13356" s="2">
        <v>566</v>
      </c>
      <c r="K13356" s="2">
        <v>24</v>
      </c>
      <c r="L13356" s="2">
        <v>211</v>
      </c>
    </row>
    <row r="13357" spans="1:12" x14ac:dyDescent="0.25">
      <c r="A13357" s="4" t="str">
        <f>HYPERLINK("http://www.rosaceae.org/Prunus/Prunus_persica/p.persica_gdr_reftransV1_0038784","p.persica_gdr_reftransV1_0038784")</f>
        <v>p.persica_gdr_reftransV1_0038784</v>
      </c>
      <c r="B13357" s="2">
        <v>1747</v>
      </c>
      <c r="C13357" s="4" t="str">
        <f>HYPERLINK("http://www.uniprot.org/uniprot/M5XX13","M5XX13")</f>
        <v>M5XX13</v>
      </c>
      <c r="D13357" s="2" t="s">
        <v>8074</v>
      </c>
      <c r="E13357" s="3">
        <v>0</v>
      </c>
      <c r="F13357" s="2">
        <v>1543</v>
      </c>
      <c r="G13357" s="2">
        <v>100</v>
      </c>
      <c r="H13357" s="2">
        <v>293</v>
      </c>
      <c r="I13357" s="2">
        <v>628</v>
      </c>
      <c r="J13357" s="2">
        <v>1506</v>
      </c>
      <c r="K13357" s="2">
        <v>42</v>
      </c>
      <c r="L13357" s="2">
        <v>334</v>
      </c>
    </row>
    <row r="13358" spans="1:12" x14ac:dyDescent="0.25">
      <c r="A13358" s="4" t="str">
        <f>HYPERLINK("http://www.rosaceae.org/Prunus/Prunus_persica/p.persica_gdr_reftransV1_0039484","p.persica_gdr_reftransV1_0039484")</f>
        <v>p.persica_gdr_reftransV1_0039484</v>
      </c>
      <c r="B13358" s="2">
        <v>1852</v>
      </c>
      <c r="C13358" s="4" t="str">
        <f>HYPERLINK("http://www.uniprot.org/uniprot/M5X2E7","M5X2E7")</f>
        <v>M5X2E7</v>
      </c>
      <c r="D13358" s="2" t="s">
        <v>11003</v>
      </c>
      <c r="E13358" s="3">
        <v>1.28E-105</v>
      </c>
      <c r="F13358" s="2">
        <v>845</v>
      </c>
      <c r="G13358" s="2">
        <v>100</v>
      </c>
      <c r="H13358" s="2">
        <v>207</v>
      </c>
      <c r="I13358" s="2">
        <v>120</v>
      </c>
      <c r="J13358" s="2">
        <v>740</v>
      </c>
      <c r="K13358" s="2">
        <v>1</v>
      </c>
      <c r="L13358" s="2">
        <v>207</v>
      </c>
    </row>
    <row r="13359" spans="1:12" x14ac:dyDescent="0.25">
      <c r="A13359" s="4" t="str">
        <f>HYPERLINK("http://www.rosaceae.org/Prunus/Prunus_persica/p.persica_gdr_reftransV1_0041934","p.persica_gdr_reftransV1_0041934")</f>
        <v>p.persica_gdr_reftransV1_0041934</v>
      </c>
      <c r="B13359" s="2">
        <v>5027</v>
      </c>
      <c r="C13359" s="4" t="str">
        <f>HYPERLINK("http://www.uniprot.org/uniprot/M5WFX8","M5WFX8")</f>
        <v>M5WFX8</v>
      </c>
      <c r="D13359" s="2" t="s">
        <v>6048</v>
      </c>
      <c r="E13359" s="3">
        <v>0</v>
      </c>
      <c r="F13359" s="2">
        <v>2125</v>
      </c>
      <c r="G13359" s="2">
        <v>100</v>
      </c>
      <c r="H13359" s="2">
        <v>414</v>
      </c>
      <c r="I13359" s="2">
        <v>2446</v>
      </c>
      <c r="J13359" s="2">
        <v>3687</v>
      </c>
      <c r="K13359" s="2">
        <v>51</v>
      </c>
      <c r="L13359" s="2">
        <v>464</v>
      </c>
    </row>
    <row r="13360" spans="1:12" x14ac:dyDescent="0.25">
      <c r="A13360" s="4" t="str">
        <f>HYPERLINK("http://www.rosaceae.org/Prunus/Prunus_persica/p.persica_gdr_reftransV1_0043334","p.persica_gdr_reftransV1_0043334")</f>
        <v>p.persica_gdr_reftransV1_0043334</v>
      </c>
      <c r="B13360" s="2">
        <v>847</v>
      </c>
      <c r="C13360" s="4" t="str">
        <f>HYPERLINK("http://www.uniprot.org/uniprot/M5XDV1","M5XDV1")</f>
        <v>M5XDV1</v>
      </c>
      <c r="D13360" s="2" t="s">
        <v>2916</v>
      </c>
      <c r="E13360" s="3">
        <v>3.83E-125</v>
      </c>
      <c r="F13360" s="2">
        <v>969</v>
      </c>
      <c r="G13360" s="2">
        <v>100</v>
      </c>
      <c r="H13360" s="2">
        <v>196</v>
      </c>
      <c r="I13360" s="2">
        <v>258</v>
      </c>
      <c r="J13360" s="2">
        <v>845</v>
      </c>
      <c r="K13360" s="2">
        <v>291</v>
      </c>
      <c r="L13360" s="2">
        <v>486</v>
      </c>
    </row>
    <row r="13361" spans="1:12" x14ac:dyDescent="0.25">
      <c r="A13361" s="4" t="str">
        <f>HYPERLINK("http://www.rosaceae.org/Prunus/Prunus_persica/p.persica_gdr_reftransV1_0043684","p.persica_gdr_reftransV1_0043684")</f>
        <v>p.persica_gdr_reftransV1_0043684</v>
      </c>
      <c r="B13361" s="2">
        <v>950</v>
      </c>
      <c r="C13361" s="4" t="str">
        <f>HYPERLINK("http://www.uniprot.org/uniprot/M5VQE0","M5VQE0")</f>
        <v>M5VQE0</v>
      </c>
      <c r="D13361" s="2" t="s">
        <v>11004</v>
      </c>
      <c r="E13361" s="3">
        <v>1.02E-128</v>
      </c>
      <c r="F13361" s="2">
        <v>984</v>
      </c>
      <c r="G13361" s="2">
        <v>100</v>
      </c>
      <c r="H13361" s="2">
        <v>225</v>
      </c>
      <c r="I13361" s="2">
        <v>275</v>
      </c>
      <c r="J13361" s="2">
        <v>949</v>
      </c>
      <c r="K13361" s="2">
        <v>25</v>
      </c>
      <c r="L13361" s="2">
        <v>249</v>
      </c>
    </row>
    <row r="13362" spans="1:12" x14ac:dyDescent="0.25">
      <c r="A13362" s="4" t="str">
        <f>HYPERLINK("http://www.rosaceae.org/Prunus/Prunus_persica/p.persica_gdr_reftransV1_0044384","p.persica_gdr_reftransV1_0044384")</f>
        <v>p.persica_gdr_reftransV1_0044384</v>
      </c>
      <c r="B13362" s="2">
        <v>990</v>
      </c>
      <c r="C13362" s="4" t="str">
        <f>HYPERLINK("http://www.uniprot.org/uniprot/M5VST3","M5VST3")</f>
        <v>M5VST3</v>
      </c>
      <c r="D13362" s="2" t="s">
        <v>1996</v>
      </c>
      <c r="E13362" s="3">
        <v>9.4199999999999999E-55</v>
      </c>
      <c r="F13362" s="2">
        <v>477</v>
      </c>
      <c r="G13362" s="2">
        <v>100</v>
      </c>
      <c r="H13362" s="2">
        <v>89</v>
      </c>
      <c r="I13362" s="2">
        <v>211</v>
      </c>
      <c r="J13362" s="2">
        <v>477</v>
      </c>
      <c r="K13362" s="2">
        <v>36</v>
      </c>
      <c r="L13362" s="2">
        <v>124</v>
      </c>
    </row>
    <row r="13363" spans="1:12" x14ac:dyDescent="0.25">
      <c r="A13363" s="4" t="str">
        <f>HYPERLINK("http://www.rosaceae.org/Prunus/Prunus_persica/p.persica_gdr_reftransV1_0044734","p.persica_gdr_reftransV1_0044734")</f>
        <v>p.persica_gdr_reftransV1_0044734</v>
      </c>
      <c r="B13363" s="2">
        <v>1593</v>
      </c>
      <c r="C13363" s="4" t="str">
        <f>HYPERLINK("http://www.uniprot.org/uniprot/M1Q4H1","M1Q4H1")</f>
        <v>M1Q4H1</v>
      </c>
      <c r="D13363" s="2" t="s">
        <v>11005</v>
      </c>
      <c r="E13363" s="3">
        <v>0</v>
      </c>
      <c r="F13363" s="2">
        <v>1956</v>
      </c>
      <c r="G13363" s="2">
        <v>97</v>
      </c>
      <c r="H13363" s="2">
        <v>392</v>
      </c>
      <c r="I13363" s="2">
        <v>117</v>
      </c>
      <c r="J13363" s="2">
        <v>1283</v>
      </c>
      <c r="K13363" s="2">
        <v>1</v>
      </c>
      <c r="L13363" s="2">
        <v>392</v>
      </c>
    </row>
    <row r="13364" spans="1:12" x14ac:dyDescent="0.25">
      <c r="A13364" s="4" t="str">
        <f>HYPERLINK("http://www.rosaceae.org/Prunus/Prunus_persica/p.persica_gdr_reftransV1_0045084","p.persica_gdr_reftransV1_0045084")</f>
        <v>p.persica_gdr_reftransV1_0045084</v>
      </c>
      <c r="B13364" s="2">
        <v>1568</v>
      </c>
      <c r="C13364" s="4" t="str">
        <f>HYPERLINK("http://www.uniprot.org/uniprot/M5WB14","M5WB14")</f>
        <v>M5WB14</v>
      </c>
      <c r="D13364" s="2" t="s">
        <v>11006</v>
      </c>
      <c r="E13364" s="3">
        <v>0</v>
      </c>
      <c r="F13364" s="2">
        <v>2167</v>
      </c>
      <c r="G13364" s="2">
        <v>100</v>
      </c>
      <c r="H13364" s="2">
        <v>413</v>
      </c>
      <c r="I13364" s="2">
        <v>171</v>
      </c>
      <c r="J13364" s="2">
        <v>1409</v>
      </c>
      <c r="K13364" s="2">
        <v>8</v>
      </c>
      <c r="L13364" s="2">
        <v>420</v>
      </c>
    </row>
    <row r="13365" spans="1:12" x14ac:dyDescent="0.25">
      <c r="A13365" s="4" t="str">
        <f>HYPERLINK("http://www.rosaceae.org/Prunus/Prunus_persica/p.persica_gdr_reftransV1_0045434","p.persica_gdr_reftransV1_0045434")</f>
        <v>p.persica_gdr_reftransV1_0045434</v>
      </c>
      <c r="B13365" s="2">
        <v>351</v>
      </c>
      <c r="C13365" s="4" t="str">
        <f>HYPERLINK("http://www.uniprot.org/uniprot/M5XCD8","M5XCD8")</f>
        <v>M5XCD8</v>
      </c>
      <c r="D13365" s="2" t="s">
        <v>11007</v>
      </c>
      <c r="E13365" s="3">
        <v>5.6699999999999999E-75</v>
      </c>
      <c r="F13365" s="2">
        <v>607</v>
      </c>
      <c r="G13365" s="2">
        <v>100</v>
      </c>
      <c r="H13365" s="2">
        <v>117</v>
      </c>
      <c r="I13365" s="2">
        <v>1</v>
      </c>
      <c r="J13365" s="2">
        <v>351</v>
      </c>
      <c r="K13365" s="2">
        <v>250</v>
      </c>
      <c r="L13365" s="2">
        <v>366</v>
      </c>
    </row>
    <row r="13366" spans="1:12" x14ac:dyDescent="0.25">
      <c r="A13366" s="4" t="str">
        <f>HYPERLINK("http://www.rosaceae.org/Prunus/Prunus_persica/p.persica_gdr_reftransV1_0046134","p.persica_gdr_reftransV1_0046134")</f>
        <v>p.persica_gdr_reftransV1_0046134</v>
      </c>
      <c r="B13366" s="2">
        <v>2356</v>
      </c>
      <c r="C13366" s="4" t="str">
        <f>HYPERLINK("http://www.uniprot.org/uniprot/M5W639","M5W639")</f>
        <v>M5W639</v>
      </c>
      <c r="D13366" s="2" t="s">
        <v>11008</v>
      </c>
      <c r="E13366" s="3">
        <v>0</v>
      </c>
      <c r="F13366" s="2">
        <v>3091</v>
      </c>
      <c r="G13366" s="2">
        <v>100</v>
      </c>
      <c r="H13366" s="2">
        <v>588</v>
      </c>
      <c r="I13366" s="2">
        <v>344</v>
      </c>
      <c r="J13366" s="2">
        <v>2107</v>
      </c>
      <c r="K13366" s="2">
        <v>1</v>
      </c>
      <c r="L13366" s="2">
        <v>588</v>
      </c>
    </row>
    <row r="13367" spans="1:12" x14ac:dyDescent="0.25">
      <c r="A13367" s="4" t="str">
        <f>HYPERLINK("http://www.rosaceae.org/Prunus/Prunus_persica/p.persica_gdr_reftransV1_0046484","p.persica_gdr_reftransV1_0046484")</f>
        <v>p.persica_gdr_reftransV1_0046484</v>
      </c>
      <c r="B13367" s="2">
        <v>1664</v>
      </c>
      <c r="C13367" s="4" t="str">
        <f>HYPERLINK("http://www.uniprot.org/uniprot/M5WH37","M5WH37")</f>
        <v>M5WH37</v>
      </c>
      <c r="D13367" s="2" t="s">
        <v>11009</v>
      </c>
      <c r="E13367" s="3">
        <v>3.8999999999999999E-122</v>
      </c>
      <c r="F13367" s="2">
        <v>952</v>
      </c>
      <c r="G13367" s="2">
        <v>100</v>
      </c>
      <c r="H13367" s="2">
        <v>240</v>
      </c>
      <c r="I13367" s="2">
        <v>654</v>
      </c>
      <c r="J13367" s="2">
        <v>1373</v>
      </c>
      <c r="K13367" s="2">
        <v>3</v>
      </c>
      <c r="L13367" s="2">
        <v>242</v>
      </c>
    </row>
    <row r="13368" spans="1:12" x14ac:dyDescent="0.25">
      <c r="A13368" s="4" t="str">
        <f>HYPERLINK("http://www.rosaceae.org/Prunus/Prunus_persica/p.persica_gdr_reftransV1_0046834","p.persica_gdr_reftransV1_0046834")</f>
        <v>p.persica_gdr_reftransV1_0046834</v>
      </c>
      <c r="B13368" s="2">
        <v>2362</v>
      </c>
      <c r="C13368" s="4" t="str">
        <f>HYPERLINK("http://www.uniprot.org/uniprot/M5W292","M5W292")</f>
        <v>M5W292</v>
      </c>
      <c r="D13368" s="2" t="s">
        <v>11010</v>
      </c>
      <c r="E13368" s="3">
        <v>0</v>
      </c>
      <c r="F13368" s="2">
        <v>1939</v>
      </c>
      <c r="G13368" s="2">
        <v>100</v>
      </c>
      <c r="H13368" s="2">
        <v>413</v>
      </c>
      <c r="I13368" s="2">
        <v>48</v>
      </c>
      <c r="J13368" s="2">
        <v>1286</v>
      </c>
      <c r="K13368" s="2">
        <v>1</v>
      </c>
      <c r="L13368" s="2">
        <v>413</v>
      </c>
    </row>
    <row r="13369" spans="1:12" x14ac:dyDescent="0.25">
      <c r="A13369" s="4" t="str">
        <f>HYPERLINK("http://www.rosaceae.org/Prunus/Prunus_persica/p.persica_gdr_reftransV1_0047184","p.persica_gdr_reftransV1_0047184")</f>
        <v>p.persica_gdr_reftransV1_0047184</v>
      </c>
      <c r="B13369" s="2">
        <v>1507</v>
      </c>
      <c r="C13369" s="4" t="str">
        <f>HYPERLINK("http://www.uniprot.org/uniprot/M5X4S7","M5X4S7")</f>
        <v>M5X4S7</v>
      </c>
      <c r="D13369" s="2" t="s">
        <v>10589</v>
      </c>
      <c r="E13369" s="3">
        <v>1.4800000000000001E-147</v>
      </c>
      <c r="F13369" s="2">
        <v>1119</v>
      </c>
      <c r="G13369" s="2">
        <v>100</v>
      </c>
      <c r="H13369" s="2">
        <v>240</v>
      </c>
      <c r="I13369" s="2">
        <v>202</v>
      </c>
      <c r="J13369" s="2">
        <v>921</v>
      </c>
      <c r="K13369" s="2">
        <v>21</v>
      </c>
      <c r="L13369" s="2">
        <v>260</v>
      </c>
    </row>
    <row r="13370" spans="1:12" x14ac:dyDescent="0.25">
      <c r="A13370" s="4" t="str">
        <f>HYPERLINK("http://www.rosaceae.org/Prunus/Prunus_persica/p.persica_gdr_reftransV1_0047534","p.persica_gdr_reftransV1_0047534")</f>
        <v>p.persica_gdr_reftransV1_0047534</v>
      </c>
      <c r="B13370" s="2">
        <v>319</v>
      </c>
      <c r="C13370" s="4" t="str">
        <f>HYPERLINK("http://www.uniprot.org/uniprot/M5WUI7","M5WUI7")</f>
        <v>M5WUI7</v>
      </c>
      <c r="D13370" s="2" t="s">
        <v>9251</v>
      </c>
      <c r="E13370" s="3">
        <v>1.9300000000000001E-28</v>
      </c>
      <c r="F13370" s="2">
        <v>289</v>
      </c>
      <c r="G13370" s="2">
        <v>100</v>
      </c>
      <c r="H13370" s="2">
        <v>55</v>
      </c>
      <c r="I13370" s="2">
        <v>1</v>
      </c>
      <c r="J13370" s="2">
        <v>165</v>
      </c>
      <c r="K13370" s="2">
        <v>7</v>
      </c>
      <c r="L13370" s="2">
        <v>61</v>
      </c>
    </row>
    <row r="13371" spans="1:12" x14ac:dyDescent="0.25">
      <c r="A13371" s="4" t="str">
        <f>HYPERLINK("http://www.rosaceae.org/Prunus/Prunus_persica/p.persica_gdr_reftransV1_0047884","p.persica_gdr_reftransV1_0047884")</f>
        <v>p.persica_gdr_reftransV1_0047884</v>
      </c>
      <c r="B13371" s="2">
        <v>358</v>
      </c>
      <c r="C13371" s="4" t="str">
        <f>HYPERLINK("http://www.uniprot.org/uniprot/M5XH72","M5XH72")</f>
        <v>M5XH72</v>
      </c>
      <c r="D13371" s="2" t="s">
        <v>11011</v>
      </c>
      <c r="E13371" s="3">
        <v>5.9E-75</v>
      </c>
      <c r="F13371" s="2">
        <v>605</v>
      </c>
      <c r="G13371" s="2">
        <v>99</v>
      </c>
      <c r="H13371" s="2">
        <v>118</v>
      </c>
      <c r="I13371" s="2">
        <v>3</v>
      </c>
      <c r="J13371" s="2">
        <v>356</v>
      </c>
      <c r="K13371" s="2">
        <v>37</v>
      </c>
      <c r="L13371" s="2">
        <v>154</v>
      </c>
    </row>
    <row r="13372" spans="1:12" x14ac:dyDescent="0.25">
      <c r="A13372" s="4" t="str">
        <f>HYPERLINK("http://www.rosaceae.org/Prunus/Prunus_persica/p.persica_gdr_reftransV1_0048234","p.persica_gdr_reftransV1_0048234")</f>
        <v>p.persica_gdr_reftransV1_0048234</v>
      </c>
      <c r="B13372" s="2">
        <v>1485</v>
      </c>
      <c r="C13372" s="4" t="str">
        <f>HYPERLINK("http://www.uniprot.org/uniprot/M5WUA7","M5WUA7")</f>
        <v>M5WUA7</v>
      </c>
      <c r="D13372" s="2" t="s">
        <v>11012</v>
      </c>
      <c r="E13372" s="3">
        <v>0</v>
      </c>
      <c r="F13372" s="2">
        <v>1538</v>
      </c>
      <c r="G13372" s="2">
        <v>100</v>
      </c>
      <c r="H13372" s="2">
        <v>303</v>
      </c>
      <c r="I13372" s="2">
        <v>271</v>
      </c>
      <c r="J13372" s="2">
        <v>1179</v>
      </c>
      <c r="K13372" s="2">
        <v>18</v>
      </c>
      <c r="L13372" s="2">
        <v>320</v>
      </c>
    </row>
    <row r="13373" spans="1:12" x14ac:dyDescent="0.25">
      <c r="A13373" s="4" t="str">
        <f>HYPERLINK("http://www.rosaceae.org/Prunus/Prunus_persica/p.persica_gdr_reftransV1_0048584","p.persica_gdr_reftransV1_0048584")</f>
        <v>p.persica_gdr_reftransV1_0048584</v>
      </c>
      <c r="B13373" s="2">
        <v>889</v>
      </c>
      <c r="C13373" s="4" t="str">
        <f>HYPERLINK("http://www.uniprot.org/uniprot/M5WKM3","M5WKM3")</f>
        <v>M5WKM3</v>
      </c>
      <c r="D13373" s="2" t="s">
        <v>11013</v>
      </c>
      <c r="E13373" s="3">
        <v>5.2600000000000001E-144</v>
      </c>
      <c r="F13373" s="2">
        <v>1085</v>
      </c>
      <c r="G13373" s="2">
        <v>100</v>
      </c>
      <c r="H13373" s="2">
        <v>241</v>
      </c>
      <c r="I13373" s="2">
        <v>152</v>
      </c>
      <c r="J13373" s="2">
        <v>874</v>
      </c>
      <c r="K13373" s="2">
        <v>137</v>
      </c>
      <c r="L13373" s="2">
        <v>377</v>
      </c>
    </row>
    <row r="13374" spans="1:12" x14ac:dyDescent="0.25">
      <c r="A13374" s="4" t="str">
        <f>HYPERLINK("http://www.rosaceae.org/Prunus/Prunus_persica/p.persica_gdr_reftransV1_0000285","p.persica_gdr_reftransV1_0000285")</f>
        <v>p.persica_gdr_reftransV1_0000285</v>
      </c>
      <c r="B13374" s="2">
        <v>398</v>
      </c>
      <c r="C13374" s="4" t="str">
        <f>HYPERLINK("http://www.uniprot.org/uniprot/M5WYL9","M5WYL9")</f>
        <v>M5WYL9</v>
      </c>
      <c r="D13374" s="2" t="s">
        <v>4436</v>
      </c>
      <c r="E13374" s="3">
        <v>2.9599999999999998E-87</v>
      </c>
      <c r="F13374" s="2">
        <v>699</v>
      </c>
      <c r="G13374" s="2">
        <v>100</v>
      </c>
      <c r="H13374" s="2">
        <v>132</v>
      </c>
      <c r="I13374" s="2">
        <v>1</v>
      </c>
      <c r="J13374" s="2">
        <v>396</v>
      </c>
      <c r="K13374" s="2">
        <v>24</v>
      </c>
      <c r="L13374" s="2">
        <v>155</v>
      </c>
    </row>
    <row r="13375" spans="1:12" x14ac:dyDescent="0.25">
      <c r="A13375" s="4" t="str">
        <f>HYPERLINK("http://www.rosaceae.org/Prunus/Prunus_persica/p.persica_gdr_reftransV1_0000635","p.persica_gdr_reftransV1_0000635")</f>
        <v>p.persica_gdr_reftransV1_0000635</v>
      </c>
      <c r="B13375" s="2">
        <v>741</v>
      </c>
      <c r="C13375" s="4" t="str">
        <f>HYPERLINK("http://www.uniprot.org/uniprot/M5VPH5","M5VPH5")</f>
        <v>M5VPH5</v>
      </c>
      <c r="D13375" s="2" t="s">
        <v>9627</v>
      </c>
      <c r="E13375" s="3">
        <v>1.3E-90</v>
      </c>
      <c r="F13375" s="2">
        <v>568</v>
      </c>
      <c r="G13375" s="2">
        <v>99</v>
      </c>
      <c r="H13375" s="2">
        <v>109</v>
      </c>
      <c r="I13375" s="2">
        <v>221</v>
      </c>
      <c r="J13375" s="2">
        <v>547</v>
      </c>
      <c r="K13375" s="2">
        <v>1</v>
      </c>
      <c r="L13375" s="2">
        <v>109</v>
      </c>
    </row>
    <row r="13376" spans="1:12" x14ac:dyDescent="0.25">
      <c r="A13376" s="4" t="str">
        <f>HYPERLINK("http://www.rosaceae.org/Prunus/Prunus_persica/p.persica_gdr_reftransV1_0000985","p.persica_gdr_reftransV1_0000985")</f>
        <v>p.persica_gdr_reftransV1_0000985</v>
      </c>
      <c r="B13376" s="2">
        <v>1371</v>
      </c>
      <c r="C13376" s="4" t="str">
        <f>HYPERLINK("http://www.uniprot.org/uniprot/M5WC36","M5WC36")</f>
        <v>M5WC36</v>
      </c>
      <c r="D13376" s="2" t="s">
        <v>11014</v>
      </c>
      <c r="E13376" s="3">
        <v>0</v>
      </c>
      <c r="F13376" s="2">
        <v>1547</v>
      </c>
      <c r="G13376" s="2">
        <v>100</v>
      </c>
      <c r="H13376" s="2">
        <v>301</v>
      </c>
      <c r="I13376" s="2">
        <v>275</v>
      </c>
      <c r="J13376" s="2">
        <v>1177</v>
      </c>
      <c r="K13376" s="2">
        <v>1</v>
      </c>
      <c r="L13376" s="2">
        <v>301</v>
      </c>
    </row>
    <row r="13377" spans="1:12" x14ac:dyDescent="0.25">
      <c r="A13377" s="4" t="str">
        <f>HYPERLINK("http://www.rosaceae.org/Prunus/Prunus_persica/p.persica_gdr_reftransV1_0001335","p.persica_gdr_reftransV1_0001335")</f>
        <v>p.persica_gdr_reftransV1_0001335</v>
      </c>
      <c r="B13377" s="2">
        <v>533</v>
      </c>
      <c r="C13377" s="4" t="str">
        <f>HYPERLINK("http://www.uniprot.org/uniprot/A8YPG7","A8YPG7")</f>
        <v>A8YPG7</v>
      </c>
      <c r="D13377" s="2" t="s">
        <v>11015</v>
      </c>
      <c r="E13377" s="3">
        <v>2.0400000000000001E-97</v>
      </c>
      <c r="F13377" s="2">
        <v>741</v>
      </c>
      <c r="G13377" s="2">
        <v>98</v>
      </c>
      <c r="H13377" s="2">
        <v>141</v>
      </c>
      <c r="I13377" s="2">
        <v>1</v>
      </c>
      <c r="J13377" s="2">
        <v>423</v>
      </c>
      <c r="K13377" s="2">
        <v>1</v>
      </c>
      <c r="L13377" s="2">
        <v>141</v>
      </c>
    </row>
    <row r="13378" spans="1:12" x14ac:dyDescent="0.25">
      <c r="A13378" s="4" t="str">
        <f>HYPERLINK("http://www.rosaceae.org/Prunus/Prunus_persica/p.persica_gdr_reftransV1_0002385","p.persica_gdr_reftransV1_0002385")</f>
        <v>p.persica_gdr_reftransV1_0002385</v>
      </c>
      <c r="B13378" s="2">
        <v>1178</v>
      </c>
      <c r="C13378" s="4" t="str">
        <f>HYPERLINK("http://www.uniprot.org/uniprot/M5WIT3","M5WIT3")</f>
        <v>M5WIT3</v>
      </c>
      <c r="D13378" s="2" t="s">
        <v>11016</v>
      </c>
      <c r="E13378" s="3">
        <v>2.3E-148</v>
      </c>
      <c r="F13378" s="2">
        <v>1109</v>
      </c>
      <c r="G13378" s="2">
        <v>100</v>
      </c>
      <c r="H13378" s="2">
        <v>224</v>
      </c>
      <c r="I13378" s="2">
        <v>238</v>
      </c>
      <c r="J13378" s="2">
        <v>909</v>
      </c>
      <c r="K13378" s="2">
        <v>5</v>
      </c>
      <c r="L13378" s="2">
        <v>228</v>
      </c>
    </row>
    <row r="13379" spans="1:12" x14ac:dyDescent="0.25">
      <c r="A13379" s="4" t="str">
        <f>HYPERLINK("http://www.rosaceae.org/Prunus/Prunus_persica/p.persica_gdr_reftransV1_0002735","p.persica_gdr_reftransV1_0002735")</f>
        <v>p.persica_gdr_reftransV1_0002735</v>
      </c>
      <c r="B13379" s="2">
        <v>1145</v>
      </c>
      <c r="C13379" s="4" t="str">
        <f>HYPERLINK("http://www.uniprot.org/uniprot/A9XLF4","A9XLF4")</f>
        <v>A9XLF4</v>
      </c>
      <c r="D13379" s="2" t="s">
        <v>10431</v>
      </c>
      <c r="E13379" s="3">
        <v>1.02E-17</v>
      </c>
      <c r="F13379" s="2">
        <v>228</v>
      </c>
      <c r="G13379" s="2">
        <v>42</v>
      </c>
      <c r="H13379" s="2">
        <v>211</v>
      </c>
      <c r="I13379" s="2">
        <v>248</v>
      </c>
      <c r="J13379" s="2">
        <v>820</v>
      </c>
      <c r="K13379" s="2">
        <v>129</v>
      </c>
      <c r="L13379" s="2">
        <v>329</v>
      </c>
    </row>
    <row r="13380" spans="1:12" x14ac:dyDescent="0.25">
      <c r="A13380" s="4" t="str">
        <f>HYPERLINK("http://www.rosaceae.org/Prunus/Prunus_persica/p.persica_gdr_reftransV1_0003435","p.persica_gdr_reftransV1_0003435")</f>
        <v>p.persica_gdr_reftransV1_0003435</v>
      </c>
      <c r="B13380" s="2">
        <v>1328</v>
      </c>
      <c r="C13380" s="4" t="str">
        <f>HYPERLINK("http://www.uniprot.org/uniprot/M5WSW8","M5WSW8")</f>
        <v>M5WSW8</v>
      </c>
      <c r="D13380" s="2" t="s">
        <v>11017</v>
      </c>
      <c r="E13380" s="3">
        <v>0</v>
      </c>
      <c r="F13380" s="2">
        <v>1871</v>
      </c>
      <c r="G13380" s="2">
        <v>100</v>
      </c>
      <c r="H13380" s="2">
        <v>355</v>
      </c>
      <c r="I13380" s="2">
        <v>114</v>
      </c>
      <c r="J13380" s="2">
        <v>1178</v>
      </c>
      <c r="K13380" s="2">
        <v>1</v>
      </c>
      <c r="L13380" s="2">
        <v>355</v>
      </c>
    </row>
    <row r="13381" spans="1:12" x14ac:dyDescent="0.25">
      <c r="A13381" s="4" t="str">
        <f>HYPERLINK("http://www.rosaceae.org/Prunus/Prunus_persica/p.persica_gdr_reftransV1_0003785","p.persica_gdr_reftransV1_0003785")</f>
        <v>p.persica_gdr_reftransV1_0003785</v>
      </c>
      <c r="B13381" s="2">
        <v>971</v>
      </c>
      <c r="C13381" s="4" t="str">
        <f>HYPERLINK("http://www.uniprot.org/uniprot/M5X219","M5X219")</f>
        <v>M5X219</v>
      </c>
      <c r="D13381" s="2" t="s">
        <v>11018</v>
      </c>
      <c r="E13381" s="3">
        <v>1.0599999999999999E-152</v>
      </c>
      <c r="F13381" s="2">
        <v>1132</v>
      </c>
      <c r="G13381" s="2">
        <v>100</v>
      </c>
      <c r="H13381" s="2">
        <v>247</v>
      </c>
      <c r="I13381" s="2">
        <v>229</v>
      </c>
      <c r="J13381" s="2">
        <v>969</v>
      </c>
      <c r="K13381" s="2">
        <v>3</v>
      </c>
      <c r="L13381" s="2">
        <v>249</v>
      </c>
    </row>
    <row r="13382" spans="1:12" x14ac:dyDescent="0.25">
      <c r="A13382" s="4" t="str">
        <f>HYPERLINK("http://www.rosaceae.org/Prunus/Prunus_persica/p.persica_gdr_reftransV1_0004485","p.persica_gdr_reftransV1_0004485")</f>
        <v>p.persica_gdr_reftransV1_0004485</v>
      </c>
      <c r="B13382" s="2">
        <v>1962</v>
      </c>
      <c r="C13382" s="4" t="str">
        <f>HYPERLINK("http://www.uniprot.org/uniprot/M5VMN2","M5VMN2")</f>
        <v>M5VMN2</v>
      </c>
      <c r="D13382" s="2" t="s">
        <v>11019</v>
      </c>
      <c r="E13382" s="3">
        <v>2.21E-152</v>
      </c>
      <c r="F13382" s="2">
        <v>1160</v>
      </c>
      <c r="G13382" s="2">
        <v>100</v>
      </c>
      <c r="H13382" s="2">
        <v>220</v>
      </c>
      <c r="I13382" s="2">
        <v>612</v>
      </c>
      <c r="J13382" s="2">
        <v>1271</v>
      </c>
      <c r="K13382" s="2">
        <v>2</v>
      </c>
      <c r="L13382" s="2">
        <v>221</v>
      </c>
    </row>
    <row r="13383" spans="1:12" x14ac:dyDescent="0.25">
      <c r="A13383" s="4" t="str">
        <f>HYPERLINK("http://www.rosaceae.org/Prunus/Prunus_persica/p.persica_gdr_reftransV1_0004835","p.persica_gdr_reftransV1_0004835")</f>
        <v>p.persica_gdr_reftransV1_0004835</v>
      </c>
      <c r="B13383" s="2">
        <v>4297</v>
      </c>
      <c r="C13383" s="4" t="str">
        <f>HYPERLINK("http://www.uniprot.org/uniprot/M5VMP9","M5VMP9")</f>
        <v>M5VMP9</v>
      </c>
      <c r="D13383" s="2" t="s">
        <v>9395</v>
      </c>
      <c r="E13383" s="3">
        <v>0</v>
      </c>
      <c r="F13383" s="2">
        <v>2505</v>
      </c>
      <c r="G13383" s="2">
        <v>78</v>
      </c>
      <c r="H13383" s="2">
        <v>646</v>
      </c>
      <c r="I13383" s="2">
        <v>2</v>
      </c>
      <c r="J13383" s="2">
        <v>1915</v>
      </c>
      <c r="K13383" s="2">
        <v>459</v>
      </c>
      <c r="L13383" s="2">
        <v>1089</v>
      </c>
    </row>
    <row r="13384" spans="1:12" x14ac:dyDescent="0.25">
      <c r="A13384" s="4" t="str">
        <f>HYPERLINK("http://www.rosaceae.org/Prunus/Prunus_persica/p.persica_gdr_reftransV1_0005185","p.persica_gdr_reftransV1_0005185")</f>
        <v>p.persica_gdr_reftransV1_0005185</v>
      </c>
      <c r="B13384" s="2">
        <v>433</v>
      </c>
      <c r="C13384" s="4" t="str">
        <f>HYPERLINK("http://www.uniprot.org/uniprot/W9SMN6","W9SMN6")</f>
        <v>W9SMN6</v>
      </c>
      <c r="D13384" s="2" t="s">
        <v>11020</v>
      </c>
      <c r="E13384" s="3">
        <v>3.9799999999999998E-42</v>
      </c>
      <c r="F13384" s="2">
        <v>399</v>
      </c>
      <c r="G13384" s="2">
        <v>76</v>
      </c>
      <c r="H13384" s="2">
        <v>99</v>
      </c>
      <c r="I13384" s="2">
        <v>3</v>
      </c>
      <c r="J13384" s="2">
        <v>299</v>
      </c>
      <c r="K13384" s="2">
        <v>651</v>
      </c>
      <c r="L13384" s="2">
        <v>749</v>
      </c>
    </row>
    <row r="13385" spans="1:12" x14ac:dyDescent="0.25">
      <c r="A13385" s="4" t="str">
        <f>HYPERLINK("http://www.rosaceae.org/Prunus/Prunus_persica/p.persica_gdr_reftransV1_0005535","p.persica_gdr_reftransV1_0005535")</f>
        <v>p.persica_gdr_reftransV1_0005535</v>
      </c>
      <c r="B13385" s="2">
        <v>1734</v>
      </c>
      <c r="C13385" s="4" t="str">
        <f>HYPERLINK("http://www.uniprot.org/uniprot/M5VYN8","M5VYN8")</f>
        <v>M5VYN8</v>
      </c>
      <c r="D13385" s="2" t="s">
        <v>11021</v>
      </c>
      <c r="E13385" s="3">
        <v>0</v>
      </c>
      <c r="F13385" s="2">
        <v>1409</v>
      </c>
      <c r="G13385" s="2">
        <v>98</v>
      </c>
      <c r="H13385" s="2">
        <v>315</v>
      </c>
      <c r="I13385" s="2">
        <v>565</v>
      </c>
      <c r="J13385" s="2">
        <v>1509</v>
      </c>
      <c r="K13385" s="2">
        <v>1</v>
      </c>
      <c r="L13385" s="2">
        <v>315</v>
      </c>
    </row>
    <row r="13386" spans="1:12" x14ac:dyDescent="0.25">
      <c r="A13386" s="4" t="str">
        <f>HYPERLINK("http://www.rosaceae.org/Prunus/Prunus_persica/p.persica_gdr_reftransV1_0005885","p.persica_gdr_reftransV1_0005885")</f>
        <v>p.persica_gdr_reftransV1_0005885</v>
      </c>
      <c r="B13386" s="2">
        <v>832</v>
      </c>
      <c r="C13386" s="4" t="str">
        <f>HYPERLINK("http://www.uniprot.org/uniprot/M5W3R3","M5W3R3")</f>
        <v>M5W3R3</v>
      </c>
      <c r="D13386" s="2" t="s">
        <v>10832</v>
      </c>
      <c r="E13386" s="3">
        <v>1.2799999999999999E-146</v>
      </c>
      <c r="F13386" s="2">
        <v>1140</v>
      </c>
      <c r="G13386" s="2">
        <v>93</v>
      </c>
      <c r="H13386" s="2">
        <v>267</v>
      </c>
      <c r="I13386" s="2">
        <v>1</v>
      </c>
      <c r="J13386" s="2">
        <v>801</v>
      </c>
      <c r="K13386" s="2">
        <v>138</v>
      </c>
      <c r="L13386" s="2">
        <v>404</v>
      </c>
    </row>
    <row r="13387" spans="1:12" x14ac:dyDescent="0.25">
      <c r="A13387" s="4" t="str">
        <f>HYPERLINK("http://www.rosaceae.org/Prunus/Prunus_persica/p.persica_gdr_reftransV1_0006235","p.persica_gdr_reftransV1_0006235")</f>
        <v>p.persica_gdr_reftransV1_0006235</v>
      </c>
      <c r="B13387" s="2">
        <v>800</v>
      </c>
      <c r="C13387" s="4" t="str">
        <f>HYPERLINK("http://www.uniprot.org/uniprot/M5WKQ5","M5WKQ5")</f>
        <v>M5WKQ5</v>
      </c>
      <c r="D13387" s="2" t="s">
        <v>11022</v>
      </c>
      <c r="E13387" s="3">
        <v>5.1799999999999998E-139</v>
      </c>
      <c r="F13387" s="2">
        <v>1032</v>
      </c>
      <c r="G13387" s="2">
        <v>100</v>
      </c>
      <c r="H13387" s="2">
        <v>211</v>
      </c>
      <c r="I13387" s="2">
        <v>132</v>
      </c>
      <c r="J13387" s="2">
        <v>764</v>
      </c>
      <c r="K13387" s="2">
        <v>1</v>
      </c>
      <c r="L13387" s="2">
        <v>211</v>
      </c>
    </row>
    <row r="13388" spans="1:12" x14ac:dyDescent="0.25">
      <c r="A13388" s="4" t="str">
        <f>HYPERLINK("http://www.rosaceae.org/Prunus/Prunus_persica/p.persica_gdr_reftransV1_0006585","p.persica_gdr_reftransV1_0006585")</f>
        <v>p.persica_gdr_reftransV1_0006585</v>
      </c>
      <c r="B13388" s="2">
        <v>645</v>
      </c>
      <c r="C13388" s="4" t="str">
        <f>HYPERLINK("http://www.uniprot.org/uniprot/M5WIV5","M5WIV5")</f>
        <v>M5WIV5</v>
      </c>
      <c r="D13388" s="2" t="s">
        <v>5612</v>
      </c>
      <c r="E13388" s="3">
        <v>6.4E-77</v>
      </c>
      <c r="F13388" s="2">
        <v>609</v>
      </c>
      <c r="G13388" s="2">
        <v>100</v>
      </c>
      <c r="H13388" s="2">
        <v>115</v>
      </c>
      <c r="I13388" s="2">
        <v>155</v>
      </c>
      <c r="J13388" s="2">
        <v>499</v>
      </c>
      <c r="K13388" s="2">
        <v>13</v>
      </c>
      <c r="L13388" s="2">
        <v>127</v>
      </c>
    </row>
    <row r="13389" spans="1:12" x14ac:dyDescent="0.25">
      <c r="A13389" s="4" t="str">
        <f>HYPERLINK("http://www.rosaceae.org/Prunus/Prunus_persica/p.persica_gdr_reftransV1_0006935","p.persica_gdr_reftransV1_0006935")</f>
        <v>p.persica_gdr_reftransV1_0006935</v>
      </c>
      <c r="B13389" s="2">
        <v>756</v>
      </c>
      <c r="C13389" s="4" t="str">
        <f>HYPERLINK("http://www.uniprot.org/uniprot/M5XSA3","M5XSA3")</f>
        <v>M5XSA3</v>
      </c>
      <c r="D13389" s="2" t="s">
        <v>11023</v>
      </c>
      <c r="E13389" s="3">
        <v>8.7799999999999993E-102</v>
      </c>
      <c r="F13389" s="2">
        <v>783</v>
      </c>
      <c r="G13389" s="2">
        <v>100</v>
      </c>
      <c r="H13389" s="2">
        <v>193</v>
      </c>
      <c r="I13389" s="2">
        <v>38</v>
      </c>
      <c r="J13389" s="2">
        <v>616</v>
      </c>
      <c r="K13389" s="2">
        <v>1</v>
      </c>
      <c r="L13389" s="2">
        <v>193</v>
      </c>
    </row>
    <row r="13390" spans="1:12" x14ac:dyDescent="0.25">
      <c r="A13390" s="4" t="str">
        <f>HYPERLINK("http://www.rosaceae.org/Prunus/Prunus_persica/p.persica_gdr_reftransV1_0007285","p.persica_gdr_reftransV1_0007285")</f>
        <v>p.persica_gdr_reftransV1_0007285</v>
      </c>
      <c r="B13390" s="2">
        <v>2107</v>
      </c>
      <c r="C13390" s="4" t="str">
        <f>HYPERLINK("http://www.uniprot.org/uniprot/A0A061EN69","A0A061EN69")</f>
        <v>A0A061EN69</v>
      </c>
      <c r="D13390" s="2" t="s">
        <v>11024</v>
      </c>
      <c r="E13390" s="3">
        <v>0</v>
      </c>
      <c r="F13390" s="2">
        <v>1992</v>
      </c>
      <c r="G13390" s="2">
        <v>63</v>
      </c>
      <c r="H13390" s="2">
        <v>608</v>
      </c>
      <c r="I13390" s="2">
        <v>125</v>
      </c>
      <c r="J13390" s="2">
        <v>1879</v>
      </c>
      <c r="K13390" s="2">
        <v>1</v>
      </c>
      <c r="L13390" s="2">
        <v>608</v>
      </c>
    </row>
    <row r="13391" spans="1:12" x14ac:dyDescent="0.25">
      <c r="A13391" s="4" t="str">
        <f>HYPERLINK("http://www.rosaceae.org/Prunus/Prunus_persica/p.persica_gdr_reftransV1_0007985","p.persica_gdr_reftransV1_0007985")</f>
        <v>p.persica_gdr_reftransV1_0007985</v>
      </c>
      <c r="B13391" s="2">
        <v>1033</v>
      </c>
      <c r="C13391" s="4" t="str">
        <f>HYPERLINK("http://www.uniprot.org/uniprot/M5XIK7","M5XIK7")</f>
        <v>M5XIK7</v>
      </c>
      <c r="D13391" s="2" t="s">
        <v>11025</v>
      </c>
      <c r="E13391" s="3">
        <v>4.7599999999999998E-124</v>
      </c>
      <c r="F13391" s="2">
        <v>967</v>
      </c>
      <c r="G13391" s="2">
        <v>90</v>
      </c>
      <c r="H13391" s="2">
        <v>278</v>
      </c>
      <c r="I13391" s="2">
        <v>1</v>
      </c>
      <c r="J13391" s="2">
        <v>834</v>
      </c>
      <c r="K13391" s="2">
        <v>201</v>
      </c>
      <c r="L13391" s="2">
        <v>476</v>
      </c>
    </row>
    <row r="13392" spans="1:12" x14ac:dyDescent="0.25">
      <c r="A13392" s="4" t="str">
        <f>HYPERLINK("http://www.rosaceae.org/Prunus/Prunus_persica/p.persica_gdr_reftransV1_0008685","p.persica_gdr_reftransV1_0008685")</f>
        <v>p.persica_gdr_reftransV1_0008685</v>
      </c>
      <c r="B13392" s="2">
        <v>1200</v>
      </c>
      <c r="C13392" s="4" t="str">
        <f>HYPERLINK("http://www.uniprot.org/uniprot/M5X1U4","M5X1U4")</f>
        <v>M5X1U4</v>
      </c>
      <c r="D13392" s="2" t="s">
        <v>8715</v>
      </c>
      <c r="E13392" s="3">
        <v>1.95E-106</v>
      </c>
      <c r="F13392" s="2">
        <v>835</v>
      </c>
      <c r="G13392" s="2">
        <v>100</v>
      </c>
      <c r="H13392" s="2">
        <v>179</v>
      </c>
      <c r="I13392" s="2">
        <v>317</v>
      </c>
      <c r="J13392" s="2">
        <v>853</v>
      </c>
      <c r="K13392" s="2">
        <v>74</v>
      </c>
      <c r="L13392" s="2">
        <v>252</v>
      </c>
    </row>
    <row r="13393" spans="1:12" x14ac:dyDescent="0.25">
      <c r="A13393" s="4" t="str">
        <f>HYPERLINK("http://www.rosaceae.org/Prunus/Prunus_persica/p.persica_gdr_reftransV1_0009385","p.persica_gdr_reftransV1_0009385")</f>
        <v>p.persica_gdr_reftransV1_0009385</v>
      </c>
      <c r="B13393" s="2">
        <v>3081</v>
      </c>
      <c r="C13393" s="4" t="str">
        <f>HYPERLINK("http://www.uniprot.org/uniprot/M5W783","M5W783")</f>
        <v>M5W783</v>
      </c>
      <c r="D13393" s="2" t="s">
        <v>9836</v>
      </c>
      <c r="E13393" s="3">
        <v>0</v>
      </c>
      <c r="F13393" s="2">
        <v>3684</v>
      </c>
      <c r="G13393" s="2">
        <v>100</v>
      </c>
      <c r="H13393" s="2">
        <v>861</v>
      </c>
      <c r="I13393" s="2">
        <v>87</v>
      </c>
      <c r="J13393" s="2">
        <v>2669</v>
      </c>
      <c r="K13393" s="2">
        <v>1</v>
      </c>
      <c r="L13393" s="2">
        <v>861</v>
      </c>
    </row>
    <row r="13394" spans="1:12" x14ac:dyDescent="0.25">
      <c r="A13394" s="4" t="str">
        <f>HYPERLINK("http://www.rosaceae.org/Prunus/Prunus_persica/p.persica_gdr_reftransV1_0009735","p.persica_gdr_reftransV1_0009735")</f>
        <v>p.persica_gdr_reftransV1_0009735</v>
      </c>
      <c r="B13394" s="2">
        <v>1676</v>
      </c>
      <c r="C13394" s="4" t="str">
        <f>HYPERLINK("http://www.uniprot.org/uniprot/M5W9H5","M5W9H5")</f>
        <v>M5W9H5</v>
      </c>
      <c r="D13394" s="2" t="s">
        <v>11026</v>
      </c>
      <c r="E13394" s="3">
        <v>0</v>
      </c>
      <c r="F13394" s="2">
        <v>1722</v>
      </c>
      <c r="G13394" s="2">
        <v>100</v>
      </c>
      <c r="H13394" s="2">
        <v>317</v>
      </c>
      <c r="I13394" s="2">
        <v>436</v>
      </c>
      <c r="J13394" s="2">
        <v>1386</v>
      </c>
      <c r="K13394" s="2">
        <v>1</v>
      </c>
      <c r="L13394" s="2">
        <v>317</v>
      </c>
    </row>
    <row r="13395" spans="1:12" x14ac:dyDescent="0.25">
      <c r="A13395" s="4" t="str">
        <f>HYPERLINK("http://www.rosaceae.org/Prunus/Prunus_persica/p.persica_gdr_reftransV1_0010785","p.persica_gdr_reftransV1_0010785")</f>
        <v>p.persica_gdr_reftransV1_0010785</v>
      </c>
      <c r="B13395" s="2">
        <v>980</v>
      </c>
      <c r="C13395" s="4" t="str">
        <f>HYPERLINK("http://www.uniprot.org/uniprot/M5X007","M5X007")</f>
        <v>M5X007</v>
      </c>
      <c r="D13395" s="2" t="s">
        <v>11027</v>
      </c>
      <c r="E13395" s="3">
        <v>1.99E-101</v>
      </c>
      <c r="F13395" s="2">
        <v>838</v>
      </c>
      <c r="G13395" s="2">
        <v>100</v>
      </c>
      <c r="H13395" s="2">
        <v>157</v>
      </c>
      <c r="I13395" s="2">
        <v>509</v>
      </c>
      <c r="J13395" s="2">
        <v>979</v>
      </c>
      <c r="K13395" s="2">
        <v>1</v>
      </c>
      <c r="L13395" s="2">
        <v>157</v>
      </c>
    </row>
    <row r="13396" spans="1:12" x14ac:dyDescent="0.25">
      <c r="A13396" s="4" t="str">
        <f>HYPERLINK("http://www.rosaceae.org/Prunus/Prunus_persica/p.persica_gdr_reftransV1_0011835","p.persica_gdr_reftransV1_0011835")</f>
        <v>p.persica_gdr_reftransV1_0011835</v>
      </c>
      <c r="B13396" s="2">
        <v>1423</v>
      </c>
      <c r="C13396" s="4" t="str">
        <f>HYPERLINK("http://www.uniprot.org/uniprot/M5XVZ6","M5XVZ6")</f>
        <v>M5XVZ6</v>
      </c>
      <c r="D13396" s="2" t="s">
        <v>11028</v>
      </c>
      <c r="E13396" s="3">
        <v>0</v>
      </c>
      <c r="F13396" s="2">
        <v>2336</v>
      </c>
      <c r="G13396" s="2">
        <v>100</v>
      </c>
      <c r="H13396" s="2">
        <v>441</v>
      </c>
      <c r="I13396" s="2">
        <v>101</v>
      </c>
      <c r="J13396" s="2">
        <v>1423</v>
      </c>
      <c r="K13396" s="2">
        <v>6</v>
      </c>
      <c r="L13396" s="2">
        <v>446</v>
      </c>
    </row>
    <row r="13397" spans="1:12" x14ac:dyDescent="0.25">
      <c r="A13397" s="4" t="str">
        <f>HYPERLINK("http://www.rosaceae.org/Prunus/Prunus_persica/p.persica_gdr_reftransV1_0012185","p.persica_gdr_reftransV1_0012185")</f>
        <v>p.persica_gdr_reftransV1_0012185</v>
      </c>
      <c r="B13397" s="2">
        <v>1838</v>
      </c>
      <c r="C13397" s="4" t="str">
        <f>HYPERLINK("http://www.uniprot.org/uniprot/M5WXL7","M5WXL7")</f>
        <v>M5WXL7</v>
      </c>
      <c r="D13397" s="2" t="s">
        <v>11029</v>
      </c>
      <c r="E13397" s="3">
        <v>0</v>
      </c>
      <c r="F13397" s="2">
        <v>1473</v>
      </c>
      <c r="G13397" s="2">
        <v>100</v>
      </c>
      <c r="H13397" s="2">
        <v>274</v>
      </c>
      <c r="I13397" s="2">
        <v>236</v>
      </c>
      <c r="J13397" s="2">
        <v>1057</v>
      </c>
      <c r="K13397" s="2">
        <v>1</v>
      </c>
      <c r="L13397" s="2">
        <v>274</v>
      </c>
    </row>
    <row r="13398" spans="1:12" x14ac:dyDescent="0.25">
      <c r="A13398" s="4" t="str">
        <f>HYPERLINK("http://www.rosaceae.org/Prunus/Prunus_persica/p.persica_gdr_reftransV1_0012535","p.persica_gdr_reftransV1_0012535")</f>
        <v>p.persica_gdr_reftransV1_0012535</v>
      </c>
      <c r="B13398" s="2">
        <v>2435</v>
      </c>
      <c r="C13398" s="4" t="str">
        <f>HYPERLINK("http://www.uniprot.org/uniprot/M5WBH5","M5WBH5")</f>
        <v>M5WBH5</v>
      </c>
      <c r="D13398" s="2" t="s">
        <v>11030</v>
      </c>
      <c r="E13398" s="3">
        <v>0</v>
      </c>
      <c r="F13398" s="2">
        <v>2772</v>
      </c>
      <c r="G13398" s="2">
        <v>100</v>
      </c>
      <c r="H13398" s="2">
        <v>542</v>
      </c>
      <c r="I13398" s="2">
        <v>447</v>
      </c>
      <c r="J13398" s="2">
        <v>2072</v>
      </c>
      <c r="K13398" s="2">
        <v>1</v>
      </c>
      <c r="L13398" s="2">
        <v>542</v>
      </c>
    </row>
    <row r="13399" spans="1:12" x14ac:dyDescent="0.25">
      <c r="A13399" s="4" t="str">
        <f>HYPERLINK("http://www.rosaceae.org/Prunus/Prunus_persica/p.persica_gdr_reftransV1_0012885","p.persica_gdr_reftransV1_0012885")</f>
        <v>p.persica_gdr_reftransV1_0012885</v>
      </c>
      <c r="B13399" s="2">
        <v>1368</v>
      </c>
      <c r="C13399" s="4" t="str">
        <f>HYPERLINK("http://www.uniprot.org/uniprot/M5XI10","M5XI10")</f>
        <v>M5XI10</v>
      </c>
      <c r="D13399" s="2" t="s">
        <v>11031</v>
      </c>
      <c r="E13399" s="3">
        <v>2.7399999999999999E-147</v>
      </c>
      <c r="F13399" s="2">
        <v>1107</v>
      </c>
      <c r="G13399" s="2">
        <v>100</v>
      </c>
      <c r="H13399" s="2">
        <v>216</v>
      </c>
      <c r="I13399" s="2">
        <v>92</v>
      </c>
      <c r="J13399" s="2">
        <v>739</v>
      </c>
      <c r="K13399" s="2">
        <v>1</v>
      </c>
      <c r="L13399" s="2">
        <v>216</v>
      </c>
    </row>
    <row r="13400" spans="1:12" x14ac:dyDescent="0.25">
      <c r="A13400" s="4" t="str">
        <f>HYPERLINK("http://www.rosaceae.org/Prunus/Prunus_persica/p.persica_gdr_reftransV1_0014985","p.persica_gdr_reftransV1_0014985")</f>
        <v>p.persica_gdr_reftransV1_0014985</v>
      </c>
      <c r="B13400" s="2">
        <v>2088</v>
      </c>
      <c r="C13400" s="4" t="str">
        <f>HYPERLINK("http://www.uniprot.org/uniprot/M5XF03","M5XF03")</f>
        <v>M5XF03</v>
      </c>
      <c r="D13400" s="2" t="s">
        <v>11032</v>
      </c>
      <c r="E13400" s="3">
        <v>0</v>
      </c>
      <c r="F13400" s="2">
        <v>2076</v>
      </c>
      <c r="G13400" s="2">
        <v>100</v>
      </c>
      <c r="H13400" s="2">
        <v>453</v>
      </c>
      <c r="I13400" s="2">
        <v>368</v>
      </c>
      <c r="J13400" s="2">
        <v>1726</v>
      </c>
      <c r="K13400" s="2">
        <v>1</v>
      </c>
      <c r="L13400" s="2">
        <v>453</v>
      </c>
    </row>
    <row r="13401" spans="1:12" x14ac:dyDescent="0.25">
      <c r="A13401" s="4" t="str">
        <f>HYPERLINK("http://www.rosaceae.org/Prunus/Prunus_persica/p.persica_gdr_reftransV1_0016035","p.persica_gdr_reftransV1_0016035")</f>
        <v>p.persica_gdr_reftransV1_0016035</v>
      </c>
      <c r="B13401" s="2">
        <v>3243</v>
      </c>
      <c r="C13401" s="4" t="str">
        <f>HYPERLINK("http://www.uniprot.org/uniprot/M5VPG2","M5VPG2")</f>
        <v>M5VPG2</v>
      </c>
      <c r="D13401" s="2" t="s">
        <v>11033</v>
      </c>
      <c r="E13401" s="3">
        <v>0</v>
      </c>
      <c r="F13401" s="2">
        <v>2221</v>
      </c>
      <c r="G13401" s="2">
        <v>100</v>
      </c>
      <c r="H13401" s="2">
        <v>418</v>
      </c>
      <c r="I13401" s="2">
        <v>1671</v>
      </c>
      <c r="J13401" s="2">
        <v>2924</v>
      </c>
      <c r="K13401" s="2">
        <v>75</v>
      </c>
      <c r="L13401" s="2">
        <v>492</v>
      </c>
    </row>
    <row r="13402" spans="1:12" x14ac:dyDescent="0.25">
      <c r="A13402" s="4" t="str">
        <f>HYPERLINK("http://www.rosaceae.org/Prunus/Prunus_persica/p.persica_gdr_reftransV1_0017085","p.persica_gdr_reftransV1_0017085")</f>
        <v>p.persica_gdr_reftransV1_0017085</v>
      </c>
      <c r="B13402" s="2">
        <v>2288</v>
      </c>
      <c r="C13402" s="4" t="str">
        <f>HYPERLINK("http://www.uniprot.org/uniprot/M5X0U7","M5X0U7")</f>
        <v>M5X0U7</v>
      </c>
      <c r="D13402" s="2" t="s">
        <v>10348</v>
      </c>
      <c r="E13402" s="3">
        <v>1.0799999999999999E-90</v>
      </c>
      <c r="F13402" s="2">
        <v>765</v>
      </c>
      <c r="G13402" s="2">
        <v>99</v>
      </c>
      <c r="H13402" s="2">
        <v>146</v>
      </c>
      <c r="I13402" s="2">
        <v>1777</v>
      </c>
      <c r="J13402" s="2">
        <v>2214</v>
      </c>
      <c r="K13402" s="2">
        <v>2</v>
      </c>
      <c r="L13402" s="2">
        <v>147</v>
      </c>
    </row>
    <row r="13403" spans="1:12" x14ac:dyDescent="0.25">
      <c r="A13403" s="4" t="str">
        <f>HYPERLINK("http://www.rosaceae.org/Prunus/Prunus_persica/p.persica_gdr_reftransV1_0017785","p.persica_gdr_reftransV1_0017785")</f>
        <v>p.persica_gdr_reftransV1_0017785</v>
      </c>
      <c r="B13403" s="2">
        <v>569</v>
      </c>
      <c r="C13403" s="4" t="str">
        <f>HYPERLINK("http://www.uniprot.org/uniprot/M5VRQ8","M5VRQ8")</f>
        <v>M5VRQ8</v>
      </c>
      <c r="D13403" s="2" t="s">
        <v>11034</v>
      </c>
      <c r="E13403" s="3">
        <v>4.08E-56</v>
      </c>
      <c r="F13403" s="2">
        <v>467</v>
      </c>
      <c r="G13403" s="2">
        <v>100</v>
      </c>
      <c r="H13403" s="2">
        <v>104</v>
      </c>
      <c r="I13403" s="2">
        <v>3</v>
      </c>
      <c r="J13403" s="2">
        <v>314</v>
      </c>
      <c r="K13403" s="2">
        <v>11</v>
      </c>
      <c r="L13403" s="2">
        <v>114</v>
      </c>
    </row>
    <row r="13404" spans="1:12" x14ac:dyDescent="0.25">
      <c r="A13404" s="4" t="str">
        <f>HYPERLINK("http://www.rosaceae.org/Prunus/Prunus_persica/p.persica_gdr_reftransV1_0018135","p.persica_gdr_reftransV1_0018135")</f>
        <v>p.persica_gdr_reftransV1_0018135</v>
      </c>
      <c r="B13404" s="2">
        <v>2553</v>
      </c>
      <c r="C13404" s="4" t="str">
        <f>HYPERLINK("http://www.uniprot.org/uniprot/M5X6Q9","M5X6Q9")</f>
        <v>M5X6Q9</v>
      </c>
      <c r="D13404" s="2" t="s">
        <v>11035</v>
      </c>
      <c r="E13404" s="3">
        <v>0</v>
      </c>
      <c r="F13404" s="2">
        <v>2786</v>
      </c>
      <c r="G13404" s="2">
        <v>96</v>
      </c>
      <c r="H13404" s="2">
        <v>569</v>
      </c>
      <c r="I13404" s="2">
        <v>516</v>
      </c>
      <c r="J13404" s="2">
        <v>2222</v>
      </c>
      <c r="K13404" s="2">
        <v>57</v>
      </c>
      <c r="L13404" s="2">
        <v>619</v>
      </c>
    </row>
    <row r="13405" spans="1:12" x14ac:dyDescent="0.25">
      <c r="A13405" s="4" t="str">
        <f>HYPERLINK("http://www.rosaceae.org/Prunus/Prunus_persica/p.persica_gdr_reftransV1_0018835","p.persica_gdr_reftransV1_0018835")</f>
        <v>p.persica_gdr_reftransV1_0018835</v>
      </c>
      <c r="B13405" s="2">
        <v>1536</v>
      </c>
      <c r="C13405" s="4" t="str">
        <f>HYPERLINK("http://www.uniprot.org/uniprot/M5X9T7","M5X9T7")</f>
        <v>M5X9T7</v>
      </c>
      <c r="D13405" s="2" t="s">
        <v>11036</v>
      </c>
      <c r="E13405" s="3">
        <v>1.17E-38</v>
      </c>
      <c r="F13405" s="2">
        <v>372</v>
      </c>
      <c r="G13405" s="2">
        <v>99</v>
      </c>
      <c r="H13405" s="2">
        <v>72</v>
      </c>
      <c r="I13405" s="2">
        <v>80</v>
      </c>
      <c r="J13405" s="2">
        <v>295</v>
      </c>
      <c r="K13405" s="2">
        <v>1</v>
      </c>
      <c r="L13405" s="2">
        <v>72</v>
      </c>
    </row>
    <row r="13406" spans="1:12" x14ac:dyDescent="0.25">
      <c r="A13406" s="4" t="str">
        <f>HYPERLINK("http://www.rosaceae.org/Prunus/Prunus_persica/p.persica_gdr_reftransV1_0019185","p.persica_gdr_reftransV1_0019185")</f>
        <v>p.persica_gdr_reftransV1_0019185</v>
      </c>
      <c r="B13406" s="2">
        <v>2774</v>
      </c>
      <c r="C13406" s="4" t="str">
        <f>HYPERLINK("http://www.uniprot.org/uniprot/A0A0D2T0P1","A0A0D2T0P1")</f>
        <v>A0A0D2T0P1</v>
      </c>
      <c r="D13406" s="2" t="s">
        <v>11037</v>
      </c>
      <c r="E13406" s="3">
        <v>0</v>
      </c>
      <c r="F13406" s="2">
        <v>1987</v>
      </c>
      <c r="G13406" s="2">
        <v>74</v>
      </c>
      <c r="H13406" s="2">
        <v>497</v>
      </c>
      <c r="I13406" s="2">
        <v>712</v>
      </c>
      <c r="J13406" s="2">
        <v>2202</v>
      </c>
      <c r="K13406" s="2">
        <v>46</v>
      </c>
      <c r="L13406" s="2">
        <v>528</v>
      </c>
    </row>
    <row r="13407" spans="1:12" x14ac:dyDescent="0.25">
      <c r="A13407" s="4" t="str">
        <f>HYPERLINK("http://www.rosaceae.org/Prunus/Prunus_persica/p.persica_gdr_reftransV1_0019885","p.persica_gdr_reftransV1_0019885")</f>
        <v>p.persica_gdr_reftransV1_0019885</v>
      </c>
      <c r="B13407" s="2">
        <v>2698</v>
      </c>
      <c r="C13407" s="4" t="str">
        <f>HYPERLINK("http://www.uniprot.org/uniprot/M5W4D1","M5W4D1")</f>
        <v>M5W4D1</v>
      </c>
      <c r="D13407" s="2" t="s">
        <v>2992</v>
      </c>
      <c r="E13407" s="3">
        <v>0</v>
      </c>
      <c r="F13407" s="2">
        <v>2661</v>
      </c>
      <c r="G13407" s="2">
        <v>86</v>
      </c>
      <c r="H13407" s="2">
        <v>611</v>
      </c>
      <c r="I13407" s="2">
        <v>353</v>
      </c>
      <c r="J13407" s="2">
        <v>2182</v>
      </c>
      <c r="K13407" s="2">
        <v>1</v>
      </c>
      <c r="L13407" s="2">
        <v>611</v>
      </c>
    </row>
    <row r="13408" spans="1:12" x14ac:dyDescent="0.25">
      <c r="A13408" s="4" t="str">
        <f>HYPERLINK("http://www.rosaceae.org/Prunus/Prunus_persica/p.persica_gdr_reftransV1_0020235","p.persica_gdr_reftransV1_0020235")</f>
        <v>p.persica_gdr_reftransV1_0020235</v>
      </c>
      <c r="B13408" s="2">
        <v>1361</v>
      </c>
      <c r="C13408" s="4" t="str">
        <f>HYPERLINK("http://www.uniprot.org/uniprot/M5XP57","M5XP57")</f>
        <v>M5XP57</v>
      </c>
      <c r="D13408" s="2" t="s">
        <v>6148</v>
      </c>
      <c r="E13408" s="3">
        <v>5.5300000000000003E-55</v>
      </c>
      <c r="F13408" s="2">
        <v>492</v>
      </c>
      <c r="G13408" s="2">
        <v>100</v>
      </c>
      <c r="H13408" s="2">
        <v>93</v>
      </c>
      <c r="I13408" s="2">
        <v>404</v>
      </c>
      <c r="J13408" s="2">
        <v>682</v>
      </c>
      <c r="K13408" s="2">
        <v>134</v>
      </c>
      <c r="L13408" s="2">
        <v>226</v>
      </c>
    </row>
    <row r="13409" spans="1:12" x14ac:dyDescent="0.25">
      <c r="A13409" s="4" t="str">
        <f>HYPERLINK("http://www.rosaceae.org/Prunus/Prunus_persica/p.persica_gdr_reftransV1_0022685","p.persica_gdr_reftransV1_0022685")</f>
        <v>p.persica_gdr_reftransV1_0022685</v>
      </c>
      <c r="B13409" s="2">
        <v>3555</v>
      </c>
      <c r="C13409" s="4" t="str">
        <f>HYPERLINK("http://www.uniprot.org/uniprot/M5XNS7","M5XNS7")</f>
        <v>M5XNS7</v>
      </c>
      <c r="D13409" s="2" t="s">
        <v>11038</v>
      </c>
      <c r="E13409" s="3">
        <v>0</v>
      </c>
      <c r="F13409" s="2">
        <v>3673</v>
      </c>
      <c r="G13409" s="2">
        <v>100</v>
      </c>
      <c r="H13409" s="2">
        <v>764</v>
      </c>
      <c r="I13409" s="2">
        <v>611</v>
      </c>
      <c r="J13409" s="2">
        <v>2902</v>
      </c>
      <c r="K13409" s="2">
        <v>1</v>
      </c>
      <c r="L13409" s="2">
        <v>764</v>
      </c>
    </row>
    <row r="13410" spans="1:12" x14ac:dyDescent="0.25">
      <c r="A13410" s="4" t="str">
        <f>HYPERLINK("http://www.rosaceae.org/Prunus/Prunus_persica/p.persica_gdr_reftransV1_0023385","p.persica_gdr_reftransV1_0023385")</f>
        <v>p.persica_gdr_reftransV1_0023385</v>
      </c>
      <c r="B13410" s="2">
        <v>1167</v>
      </c>
      <c r="C13410" s="4" t="str">
        <f>HYPERLINK("http://www.uniprot.org/uniprot/Q946X9","Q946X9")</f>
        <v>Q946X9</v>
      </c>
      <c r="D13410" s="2" t="s">
        <v>11039</v>
      </c>
      <c r="E13410" s="3">
        <v>0</v>
      </c>
      <c r="F13410" s="2">
        <v>1661</v>
      </c>
      <c r="G13410" s="2">
        <v>100</v>
      </c>
      <c r="H13410" s="2">
        <v>307</v>
      </c>
      <c r="I13410" s="2">
        <v>245</v>
      </c>
      <c r="J13410" s="2">
        <v>1165</v>
      </c>
      <c r="K13410" s="2">
        <v>17</v>
      </c>
      <c r="L13410" s="2">
        <v>323</v>
      </c>
    </row>
    <row r="13411" spans="1:12" x14ac:dyDescent="0.25">
      <c r="A13411" s="4" t="str">
        <f>HYPERLINK("http://www.rosaceae.org/Prunus/Prunus_persica/p.persica_gdr_reftransV1_0024435","p.persica_gdr_reftransV1_0024435")</f>
        <v>p.persica_gdr_reftransV1_0024435</v>
      </c>
      <c r="B13411" s="2">
        <v>3565</v>
      </c>
      <c r="C13411" s="4" t="str">
        <f>HYPERLINK("http://www.uniprot.org/uniprot/M5WS11","M5WS11")</f>
        <v>M5WS11</v>
      </c>
      <c r="D13411" s="2" t="s">
        <v>11040</v>
      </c>
      <c r="E13411" s="3">
        <v>0</v>
      </c>
      <c r="F13411" s="2">
        <v>4854</v>
      </c>
      <c r="G13411" s="2">
        <v>100</v>
      </c>
      <c r="H13411" s="2">
        <v>984</v>
      </c>
      <c r="I13411" s="2">
        <v>438</v>
      </c>
      <c r="J13411" s="2">
        <v>3389</v>
      </c>
      <c r="K13411" s="2">
        <v>18</v>
      </c>
      <c r="L13411" s="2">
        <v>1001</v>
      </c>
    </row>
    <row r="13412" spans="1:12" x14ac:dyDescent="0.25">
      <c r="A13412" s="4" t="str">
        <f>HYPERLINK("http://www.rosaceae.org/Prunus/Prunus_persica/p.persica_gdr_reftransV1_0025135","p.persica_gdr_reftransV1_0025135")</f>
        <v>p.persica_gdr_reftransV1_0025135</v>
      </c>
      <c r="B13412" s="2">
        <v>1136</v>
      </c>
      <c r="C13412" s="4" t="str">
        <f>HYPERLINK("http://www.uniprot.org/uniprot/M5WDU9","M5WDU9")</f>
        <v>M5WDU9</v>
      </c>
      <c r="D13412" s="2" t="s">
        <v>11041</v>
      </c>
      <c r="E13412" s="3">
        <v>2.85E-108</v>
      </c>
      <c r="F13412" s="2">
        <v>618</v>
      </c>
      <c r="G13412" s="2">
        <v>100</v>
      </c>
      <c r="H13412" s="2">
        <v>119</v>
      </c>
      <c r="I13412" s="2">
        <v>608</v>
      </c>
      <c r="J13412" s="2">
        <v>964</v>
      </c>
      <c r="K13412" s="2">
        <v>151</v>
      </c>
      <c r="L13412" s="2">
        <v>269</v>
      </c>
    </row>
    <row r="13413" spans="1:12" x14ac:dyDescent="0.25">
      <c r="A13413" s="4" t="str">
        <f>HYPERLINK("http://www.rosaceae.org/Prunus/Prunus_persica/p.persica_gdr_reftransV1_0025485","p.persica_gdr_reftransV1_0025485")</f>
        <v>p.persica_gdr_reftransV1_0025485</v>
      </c>
      <c r="B13413" s="2">
        <v>2399</v>
      </c>
      <c r="C13413" s="4" t="str">
        <f>HYPERLINK("http://www.uniprot.org/uniprot/M5Y3G7","M5Y3G7")</f>
        <v>M5Y3G7</v>
      </c>
      <c r="D13413" s="2" t="s">
        <v>11042</v>
      </c>
      <c r="E13413" s="3">
        <v>0</v>
      </c>
      <c r="F13413" s="2">
        <v>2921</v>
      </c>
      <c r="G13413" s="2">
        <v>100</v>
      </c>
      <c r="H13413" s="2">
        <v>625</v>
      </c>
      <c r="I13413" s="2">
        <v>214</v>
      </c>
      <c r="J13413" s="2">
        <v>2088</v>
      </c>
      <c r="K13413" s="2">
        <v>20</v>
      </c>
      <c r="L13413" s="2">
        <v>644</v>
      </c>
    </row>
    <row r="13414" spans="1:12" x14ac:dyDescent="0.25">
      <c r="A13414" s="4" t="str">
        <f>HYPERLINK("http://www.rosaceae.org/Prunus/Prunus_persica/p.persica_gdr_reftransV1_0026535","p.persica_gdr_reftransV1_0026535")</f>
        <v>p.persica_gdr_reftransV1_0026535</v>
      </c>
      <c r="B13414" s="2">
        <v>2240</v>
      </c>
      <c r="C13414" s="4" t="str">
        <f>HYPERLINK("http://www.uniprot.org/uniprot/M5WZ28","M5WZ28")</f>
        <v>M5WZ28</v>
      </c>
      <c r="D13414" s="2" t="s">
        <v>11043</v>
      </c>
      <c r="E13414" s="3">
        <v>0</v>
      </c>
      <c r="F13414" s="2">
        <v>2877</v>
      </c>
      <c r="G13414" s="2">
        <v>100</v>
      </c>
      <c r="H13414" s="2">
        <v>594</v>
      </c>
      <c r="I13414" s="2">
        <v>109</v>
      </c>
      <c r="J13414" s="2">
        <v>1890</v>
      </c>
      <c r="K13414" s="2">
        <v>1</v>
      </c>
      <c r="L13414" s="2">
        <v>594</v>
      </c>
    </row>
    <row r="13415" spans="1:12" x14ac:dyDescent="0.25">
      <c r="A13415" s="4" t="str">
        <f>HYPERLINK("http://www.rosaceae.org/Prunus/Prunus_persica/p.persica_gdr_reftransV1_0027235","p.persica_gdr_reftransV1_0027235")</f>
        <v>p.persica_gdr_reftransV1_0027235</v>
      </c>
      <c r="B13415" s="2">
        <v>2489</v>
      </c>
      <c r="C13415" s="4" t="str">
        <f>HYPERLINK("http://www.uniprot.org/uniprot/M5WGI0","M5WGI0")</f>
        <v>M5WGI0</v>
      </c>
      <c r="D13415" s="2" t="s">
        <v>2812</v>
      </c>
      <c r="E13415" s="3">
        <v>1.13E-99</v>
      </c>
      <c r="F13415" s="2">
        <v>828</v>
      </c>
      <c r="G13415" s="2">
        <v>100</v>
      </c>
      <c r="H13415" s="2">
        <v>167</v>
      </c>
      <c r="I13415" s="2">
        <v>191</v>
      </c>
      <c r="J13415" s="2">
        <v>691</v>
      </c>
      <c r="K13415" s="2">
        <v>132</v>
      </c>
      <c r="L13415" s="2">
        <v>298</v>
      </c>
    </row>
    <row r="13416" spans="1:12" x14ac:dyDescent="0.25">
      <c r="A13416" s="4" t="str">
        <f>HYPERLINK("http://www.rosaceae.org/Prunus/Prunus_persica/p.persica_gdr_reftransV1_0030035","p.persica_gdr_reftransV1_0030035")</f>
        <v>p.persica_gdr_reftransV1_0030035</v>
      </c>
      <c r="B13416" s="2">
        <v>1431</v>
      </c>
      <c r="C13416" s="4" t="str">
        <f>HYPERLINK("http://www.uniprot.org/uniprot/M5WIP3","M5WIP3")</f>
        <v>M5WIP3</v>
      </c>
      <c r="D13416" s="2" t="s">
        <v>11044</v>
      </c>
      <c r="E13416" s="3">
        <v>6.2200000000000006E-98</v>
      </c>
      <c r="F13416" s="2">
        <v>784</v>
      </c>
      <c r="G13416" s="2">
        <v>100</v>
      </c>
      <c r="H13416" s="2">
        <v>175</v>
      </c>
      <c r="I13416" s="2">
        <v>804</v>
      </c>
      <c r="J13416" s="2">
        <v>1328</v>
      </c>
      <c r="K13416" s="2">
        <v>1</v>
      </c>
      <c r="L13416" s="2">
        <v>175</v>
      </c>
    </row>
    <row r="13417" spans="1:12" x14ac:dyDescent="0.25">
      <c r="A13417" s="4" t="str">
        <f>HYPERLINK("http://www.rosaceae.org/Prunus/Prunus_persica/p.persica_gdr_reftransV1_0030385","p.persica_gdr_reftransV1_0030385")</f>
        <v>p.persica_gdr_reftransV1_0030385</v>
      </c>
      <c r="B13417" s="2">
        <v>3664</v>
      </c>
      <c r="C13417" s="4" t="str">
        <f>HYPERLINK("http://www.uniprot.org/uniprot/M5W823","M5W823")</f>
        <v>M5W823</v>
      </c>
      <c r="D13417" s="2" t="s">
        <v>11045</v>
      </c>
      <c r="E13417" s="3">
        <v>0</v>
      </c>
      <c r="F13417" s="2">
        <v>2593</v>
      </c>
      <c r="G13417" s="2">
        <v>100</v>
      </c>
      <c r="H13417" s="2">
        <v>578</v>
      </c>
      <c r="I13417" s="2">
        <v>1448</v>
      </c>
      <c r="J13417" s="2">
        <v>3181</v>
      </c>
      <c r="K13417" s="2">
        <v>1</v>
      </c>
      <c r="L13417" s="2">
        <v>578</v>
      </c>
    </row>
    <row r="13418" spans="1:12" x14ac:dyDescent="0.25">
      <c r="A13418" s="4" t="str">
        <f>HYPERLINK("http://www.rosaceae.org/Prunus/Prunus_persica/p.persica_gdr_reftransV1_0032835","p.persica_gdr_reftransV1_0032835")</f>
        <v>p.persica_gdr_reftransV1_0032835</v>
      </c>
      <c r="B13418" s="2">
        <v>3677</v>
      </c>
      <c r="C13418" s="4" t="str">
        <f>HYPERLINK("http://www.uniprot.org/uniprot/W9SER1","W9SER1")</f>
        <v>W9SER1</v>
      </c>
      <c r="D13418" s="2" t="s">
        <v>11046</v>
      </c>
      <c r="E13418" s="3">
        <v>1.6599999999999999E-99</v>
      </c>
      <c r="F13418" s="2">
        <v>856</v>
      </c>
      <c r="G13418" s="2">
        <v>75</v>
      </c>
      <c r="H13418" s="2">
        <v>231</v>
      </c>
      <c r="I13418" s="2">
        <v>1406</v>
      </c>
      <c r="J13418" s="2">
        <v>2098</v>
      </c>
      <c r="K13418" s="2">
        <v>99</v>
      </c>
      <c r="L13418" s="2">
        <v>328</v>
      </c>
    </row>
    <row r="13419" spans="1:12" x14ac:dyDescent="0.25">
      <c r="A13419" s="4" t="str">
        <f>HYPERLINK("http://www.rosaceae.org/Prunus/Prunus_persica/p.persica_gdr_reftransV1_0033185","p.persica_gdr_reftransV1_0033185")</f>
        <v>p.persica_gdr_reftransV1_0033185</v>
      </c>
      <c r="B13419" s="2">
        <v>6192</v>
      </c>
      <c r="C13419" s="4" t="str">
        <f>HYPERLINK("http://www.uniprot.org/uniprot/Q5PY52","Q5PY52")</f>
        <v>Q5PY52</v>
      </c>
      <c r="D13419" s="2" t="s">
        <v>11047</v>
      </c>
      <c r="E13419" s="3">
        <v>0</v>
      </c>
      <c r="F13419" s="2">
        <v>1705</v>
      </c>
      <c r="G13419" s="2">
        <v>99</v>
      </c>
      <c r="H13419" s="2">
        <v>365</v>
      </c>
      <c r="I13419" s="2">
        <v>2166</v>
      </c>
      <c r="J13419" s="2">
        <v>3260</v>
      </c>
      <c r="K13419" s="2">
        <v>4</v>
      </c>
      <c r="L13419" s="2">
        <v>368</v>
      </c>
    </row>
    <row r="13420" spans="1:12" x14ac:dyDescent="0.25">
      <c r="A13420" s="4" t="str">
        <f>HYPERLINK("http://www.rosaceae.org/Prunus/Prunus_persica/p.persica_gdr_reftransV1_0033535","p.persica_gdr_reftransV1_0033535")</f>
        <v>p.persica_gdr_reftransV1_0033535</v>
      </c>
      <c r="B13420" s="2">
        <v>1259</v>
      </c>
      <c r="C13420" s="4" t="str">
        <f>HYPERLINK("http://www.uniprot.org/uniprot/M5XMD0","M5XMD0")</f>
        <v>M5XMD0</v>
      </c>
      <c r="D13420" s="2" t="s">
        <v>3159</v>
      </c>
      <c r="E13420" s="3">
        <v>0</v>
      </c>
      <c r="F13420" s="2">
        <v>2087</v>
      </c>
      <c r="G13420" s="2">
        <v>100</v>
      </c>
      <c r="H13420" s="2">
        <v>419</v>
      </c>
      <c r="I13420" s="2">
        <v>1</v>
      </c>
      <c r="J13420" s="2">
        <v>1257</v>
      </c>
      <c r="K13420" s="2">
        <v>299</v>
      </c>
      <c r="L13420" s="2">
        <v>717</v>
      </c>
    </row>
    <row r="13421" spans="1:12" x14ac:dyDescent="0.25">
      <c r="A13421" s="4" t="str">
        <f>HYPERLINK("http://www.rosaceae.org/Prunus/Prunus_persica/p.persica_gdr_reftransV1_0033885","p.persica_gdr_reftransV1_0033885")</f>
        <v>p.persica_gdr_reftransV1_0033885</v>
      </c>
      <c r="B13421" s="2">
        <v>1459</v>
      </c>
      <c r="C13421" s="4" t="str">
        <f>HYPERLINK("http://www.uniprot.org/uniprot/M5VW53","M5VW53")</f>
        <v>M5VW53</v>
      </c>
      <c r="D13421" s="2" t="s">
        <v>11048</v>
      </c>
      <c r="E13421" s="3">
        <v>0</v>
      </c>
      <c r="F13421" s="2">
        <v>1629</v>
      </c>
      <c r="G13421" s="2">
        <v>100</v>
      </c>
      <c r="H13421" s="2">
        <v>411</v>
      </c>
      <c r="I13421" s="2">
        <v>138</v>
      </c>
      <c r="J13421" s="2">
        <v>1370</v>
      </c>
      <c r="K13421" s="2">
        <v>1</v>
      </c>
      <c r="L13421" s="2">
        <v>411</v>
      </c>
    </row>
    <row r="13422" spans="1:12" x14ac:dyDescent="0.25">
      <c r="A13422" s="4" t="str">
        <f>HYPERLINK("http://www.rosaceae.org/Prunus/Prunus_persica/p.persica_gdr_reftransV1_0034235","p.persica_gdr_reftransV1_0034235")</f>
        <v>p.persica_gdr_reftransV1_0034235</v>
      </c>
      <c r="B13422" s="2">
        <v>2206</v>
      </c>
      <c r="C13422" s="4" t="str">
        <f>HYPERLINK("http://www.uniprot.org/uniprot/M5WSU7","M5WSU7")</f>
        <v>M5WSU7</v>
      </c>
      <c r="D13422" s="2" t="s">
        <v>11049</v>
      </c>
      <c r="E13422" s="3">
        <v>3.7199999999999998E-120</v>
      </c>
      <c r="F13422" s="2">
        <v>962</v>
      </c>
      <c r="G13422" s="2">
        <v>100</v>
      </c>
      <c r="H13422" s="2">
        <v>180</v>
      </c>
      <c r="I13422" s="2">
        <v>1576</v>
      </c>
      <c r="J13422" s="2">
        <v>2115</v>
      </c>
      <c r="K13422" s="2">
        <v>1</v>
      </c>
      <c r="L13422" s="2">
        <v>180</v>
      </c>
    </row>
    <row r="13423" spans="1:12" x14ac:dyDescent="0.25">
      <c r="A13423" s="4" t="str">
        <f>HYPERLINK("http://www.rosaceae.org/Prunus/Prunus_persica/p.persica_gdr_reftransV1_0035285","p.persica_gdr_reftransV1_0035285")</f>
        <v>p.persica_gdr_reftransV1_0035285</v>
      </c>
      <c r="B13423" s="2">
        <v>752</v>
      </c>
      <c r="C13423" s="4" t="str">
        <f>HYPERLINK("http://www.uniprot.org/uniprot/A0A067GMR0","A0A067GMR0")</f>
        <v>A0A067GMR0</v>
      </c>
      <c r="D13423" s="2" t="s">
        <v>11050</v>
      </c>
      <c r="E13423" s="3">
        <v>8.09E-10</v>
      </c>
      <c r="F13423" s="2">
        <v>164</v>
      </c>
      <c r="G13423" s="2">
        <v>36</v>
      </c>
      <c r="H13423" s="2">
        <v>116</v>
      </c>
      <c r="I13423" s="2">
        <v>385</v>
      </c>
      <c r="J13423" s="2">
        <v>732</v>
      </c>
      <c r="K13423" s="2">
        <v>412</v>
      </c>
      <c r="L13423" s="2">
        <v>524</v>
      </c>
    </row>
    <row r="13424" spans="1:12" x14ac:dyDescent="0.25">
      <c r="A13424" s="4" t="str">
        <f>HYPERLINK("http://www.rosaceae.org/Prunus/Prunus_persica/p.persica_gdr_reftransV1_0035985","p.persica_gdr_reftransV1_0035985")</f>
        <v>p.persica_gdr_reftransV1_0035985</v>
      </c>
      <c r="B13424" s="2">
        <v>1452</v>
      </c>
      <c r="C13424" s="4" t="str">
        <f>HYPERLINK("http://www.uniprot.org/uniprot/M5XE33","M5XE33")</f>
        <v>M5XE33</v>
      </c>
      <c r="D13424" s="2" t="s">
        <v>11051</v>
      </c>
      <c r="E13424" s="3">
        <v>0</v>
      </c>
      <c r="F13424" s="2">
        <v>1349</v>
      </c>
      <c r="G13424" s="2">
        <v>100</v>
      </c>
      <c r="H13424" s="2">
        <v>274</v>
      </c>
      <c r="I13424" s="2">
        <v>262</v>
      </c>
      <c r="J13424" s="2">
        <v>1083</v>
      </c>
      <c r="K13424" s="2">
        <v>1</v>
      </c>
      <c r="L13424" s="2">
        <v>274</v>
      </c>
    </row>
    <row r="13425" spans="1:12" x14ac:dyDescent="0.25">
      <c r="A13425" s="4" t="str">
        <f>HYPERLINK("http://www.rosaceae.org/Prunus/Prunus_persica/p.persica_gdr_reftransV1_0036335","p.persica_gdr_reftransV1_0036335")</f>
        <v>p.persica_gdr_reftransV1_0036335</v>
      </c>
      <c r="B13425" s="2">
        <v>1280</v>
      </c>
      <c r="C13425" s="4" t="str">
        <f>HYPERLINK("http://www.uniprot.org/uniprot/M5WA12","M5WA12")</f>
        <v>M5WA12</v>
      </c>
      <c r="D13425" s="2" t="s">
        <v>11052</v>
      </c>
      <c r="E13425" s="3">
        <v>0</v>
      </c>
      <c r="F13425" s="2">
        <v>1522</v>
      </c>
      <c r="G13425" s="2">
        <v>85</v>
      </c>
      <c r="H13425" s="2">
        <v>355</v>
      </c>
      <c r="I13425" s="2">
        <v>82</v>
      </c>
      <c r="J13425" s="2">
        <v>1146</v>
      </c>
      <c r="K13425" s="2">
        <v>1</v>
      </c>
      <c r="L13425" s="2">
        <v>304</v>
      </c>
    </row>
    <row r="13426" spans="1:12" x14ac:dyDescent="0.25">
      <c r="A13426" s="4" t="str">
        <f>HYPERLINK("http://www.rosaceae.org/Prunus/Prunus_persica/p.persica_gdr_reftransV1_0036685","p.persica_gdr_reftransV1_0036685")</f>
        <v>p.persica_gdr_reftransV1_0036685</v>
      </c>
      <c r="B13426" s="2">
        <v>2566</v>
      </c>
      <c r="C13426" s="4" t="str">
        <f>HYPERLINK("http://www.uniprot.org/uniprot/M5WQ57","M5WQ57")</f>
        <v>M5WQ57</v>
      </c>
      <c r="D13426" s="2" t="s">
        <v>11053</v>
      </c>
      <c r="E13426" s="3">
        <v>0</v>
      </c>
      <c r="F13426" s="2">
        <v>2874</v>
      </c>
      <c r="G13426" s="2">
        <v>100</v>
      </c>
      <c r="H13426" s="2">
        <v>605</v>
      </c>
      <c r="I13426" s="2">
        <v>620</v>
      </c>
      <c r="J13426" s="2">
        <v>2434</v>
      </c>
      <c r="K13426" s="2">
        <v>15</v>
      </c>
      <c r="L13426" s="2">
        <v>619</v>
      </c>
    </row>
    <row r="13427" spans="1:12" x14ac:dyDescent="0.25">
      <c r="A13427" s="4" t="str">
        <f>HYPERLINK("http://www.rosaceae.org/Prunus/Prunus_persica/p.persica_gdr_reftransV1_0037385","p.persica_gdr_reftransV1_0037385")</f>
        <v>p.persica_gdr_reftransV1_0037385</v>
      </c>
      <c r="B13427" s="2">
        <v>2211</v>
      </c>
      <c r="C13427" s="4" t="str">
        <f>HYPERLINK("http://www.uniprot.org/uniprot/M5XC31","M5XC31")</f>
        <v>M5XC31</v>
      </c>
      <c r="D13427" s="2" t="s">
        <v>11054</v>
      </c>
      <c r="E13427" s="3">
        <v>0</v>
      </c>
      <c r="F13427" s="2">
        <v>1914</v>
      </c>
      <c r="G13427" s="2">
        <v>100</v>
      </c>
      <c r="H13427" s="2">
        <v>378</v>
      </c>
      <c r="I13427" s="2">
        <v>867</v>
      </c>
      <c r="J13427" s="2">
        <v>2000</v>
      </c>
      <c r="K13427" s="2">
        <v>52</v>
      </c>
      <c r="L13427" s="2">
        <v>429</v>
      </c>
    </row>
    <row r="13428" spans="1:12" x14ac:dyDescent="0.25">
      <c r="A13428" s="4" t="str">
        <f>HYPERLINK("http://www.rosaceae.org/Prunus/Prunus_persica/p.persica_gdr_reftransV1_0037735","p.persica_gdr_reftransV1_0037735")</f>
        <v>p.persica_gdr_reftransV1_0037735</v>
      </c>
      <c r="B13428" s="2">
        <v>3274</v>
      </c>
      <c r="C13428" s="4" t="str">
        <f>HYPERLINK("http://www.uniprot.org/uniprot/M5WM65","M5WM65")</f>
        <v>M5WM65</v>
      </c>
      <c r="D13428" s="2" t="s">
        <v>6120</v>
      </c>
      <c r="E13428" s="3">
        <v>0</v>
      </c>
      <c r="F13428" s="2">
        <v>3420</v>
      </c>
      <c r="G13428" s="2">
        <v>99</v>
      </c>
      <c r="H13428" s="2">
        <v>674</v>
      </c>
      <c r="I13428" s="2">
        <v>1251</v>
      </c>
      <c r="J13428" s="2">
        <v>3272</v>
      </c>
      <c r="K13428" s="2">
        <v>51</v>
      </c>
      <c r="L13428" s="2">
        <v>724</v>
      </c>
    </row>
    <row r="13429" spans="1:12" x14ac:dyDescent="0.25">
      <c r="A13429" s="4" t="str">
        <f>HYPERLINK("http://www.rosaceae.org/Prunus/Prunus_persica/p.persica_gdr_reftransV1_0038435","p.persica_gdr_reftransV1_0038435")</f>
        <v>p.persica_gdr_reftransV1_0038435</v>
      </c>
      <c r="B13429" s="2">
        <v>1257</v>
      </c>
      <c r="C13429" s="4" t="str">
        <f>HYPERLINK("http://www.uniprot.org/uniprot/M5XB41","M5XB41")</f>
        <v>M5XB41</v>
      </c>
      <c r="D13429" s="2" t="s">
        <v>9881</v>
      </c>
      <c r="E13429" s="3">
        <v>0</v>
      </c>
      <c r="F13429" s="2">
        <v>1471</v>
      </c>
      <c r="G13429" s="2">
        <v>100</v>
      </c>
      <c r="H13429" s="2">
        <v>274</v>
      </c>
      <c r="I13429" s="2">
        <v>1</v>
      </c>
      <c r="J13429" s="2">
        <v>822</v>
      </c>
      <c r="K13429" s="2">
        <v>225</v>
      </c>
      <c r="L13429" s="2">
        <v>498</v>
      </c>
    </row>
    <row r="13430" spans="1:12" x14ac:dyDescent="0.25">
      <c r="A13430" s="4" t="str">
        <f>HYPERLINK("http://www.rosaceae.org/Prunus/Prunus_persica/p.persica_gdr_reftransV1_0038785","p.persica_gdr_reftransV1_0038785")</f>
        <v>p.persica_gdr_reftransV1_0038785</v>
      </c>
      <c r="B13430" s="2">
        <v>1790</v>
      </c>
      <c r="C13430" s="4" t="str">
        <f>HYPERLINK("http://www.uniprot.org/uniprot/A0A067GUY1","A0A067GUY1")</f>
        <v>A0A067GUY1</v>
      </c>
      <c r="D13430" s="2" t="s">
        <v>11055</v>
      </c>
      <c r="E13430" s="3">
        <v>1.64E-96</v>
      </c>
      <c r="F13430" s="2">
        <v>785</v>
      </c>
      <c r="G13430" s="2">
        <v>77</v>
      </c>
      <c r="H13430" s="2">
        <v>196</v>
      </c>
      <c r="I13430" s="2">
        <v>664</v>
      </c>
      <c r="J13430" s="2">
        <v>1248</v>
      </c>
      <c r="K13430" s="2">
        <v>46</v>
      </c>
      <c r="L13430" s="2">
        <v>241</v>
      </c>
    </row>
    <row r="13431" spans="1:12" x14ac:dyDescent="0.25">
      <c r="A13431" s="4" t="str">
        <f>HYPERLINK("http://www.rosaceae.org/Prunus/Prunus_persica/p.persica_gdr_reftransV1_0039835","p.persica_gdr_reftransV1_0039835")</f>
        <v>p.persica_gdr_reftransV1_0039835</v>
      </c>
      <c r="B13431" s="2">
        <v>3181</v>
      </c>
      <c r="C13431" s="4" t="str">
        <f>HYPERLINK("http://www.uniprot.org/uniprot/S4UL41","S4UL41")</f>
        <v>S4UL41</v>
      </c>
      <c r="D13431" s="2" t="s">
        <v>8967</v>
      </c>
      <c r="E13431" s="3">
        <v>0</v>
      </c>
      <c r="F13431" s="2">
        <v>4092</v>
      </c>
      <c r="G13431" s="2">
        <v>86</v>
      </c>
      <c r="H13431" s="2">
        <v>921</v>
      </c>
      <c r="I13431" s="2">
        <v>314</v>
      </c>
      <c r="J13431" s="2">
        <v>3073</v>
      </c>
      <c r="K13431" s="2">
        <v>1</v>
      </c>
      <c r="L13431" s="2">
        <v>914</v>
      </c>
    </row>
    <row r="13432" spans="1:12" x14ac:dyDescent="0.25">
      <c r="A13432" s="4" t="str">
        <f>HYPERLINK("http://www.rosaceae.org/Prunus/Prunus_persica/p.persica_gdr_reftransV1_0040535","p.persica_gdr_reftransV1_0040535")</f>
        <v>p.persica_gdr_reftransV1_0040535</v>
      </c>
      <c r="B13432" s="2">
        <v>1967</v>
      </c>
      <c r="C13432" s="4" t="str">
        <f>HYPERLINK("http://www.uniprot.org/uniprot/V4U5D1","V4U5D1")</f>
        <v>V4U5D1</v>
      </c>
      <c r="D13432" s="2" t="s">
        <v>11056</v>
      </c>
      <c r="E13432" s="3">
        <v>4.5500000000000001E-103</v>
      </c>
      <c r="F13432" s="2">
        <v>648</v>
      </c>
      <c r="G13432" s="2">
        <v>72</v>
      </c>
      <c r="H13432" s="2">
        <v>171</v>
      </c>
      <c r="I13432" s="2">
        <v>319</v>
      </c>
      <c r="J13432" s="2">
        <v>831</v>
      </c>
      <c r="K13432" s="2">
        <v>158</v>
      </c>
      <c r="L13432" s="2">
        <v>328</v>
      </c>
    </row>
    <row r="13433" spans="1:12" x14ac:dyDescent="0.25">
      <c r="A13433" s="4" t="str">
        <f>HYPERLINK("http://www.rosaceae.org/Prunus/Prunus_persica/p.persica_gdr_reftransV1_0040885","p.persica_gdr_reftransV1_0040885")</f>
        <v>p.persica_gdr_reftransV1_0040885</v>
      </c>
      <c r="B13433" s="2">
        <v>2019</v>
      </c>
      <c r="C13433" s="4" t="str">
        <f>HYPERLINK("http://www.uniprot.org/uniprot/M5XGW4","M5XGW4")</f>
        <v>M5XGW4</v>
      </c>
      <c r="D13433" s="2" t="s">
        <v>11057</v>
      </c>
      <c r="E13433" s="3">
        <v>6.08E-71</v>
      </c>
      <c r="F13433" s="2">
        <v>611</v>
      </c>
      <c r="G13433" s="2">
        <v>98</v>
      </c>
      <c r="H13433" s="2">
        <v>123</v>
      </c>
      <c r="I13433" s="2">
        <v>26</v>
      </c>
      <c r="J13433" s="2">
        <v>394</v>
      </c>
      <c r="K13433" s="2">
        <v>1</v>
      </c>
      <c r="L13433" s="2">
        <v>123</v>
      </c>
    </row>
    <row r="13434" spans="1:12" x14ac:dyDescent="0.25">
      <c r="A13434" s="4" t="str">
        <f>HYPERLINK("http://www.rosaceae.org/Prunus/Prunus_persica/p.persica_gdr_reftransV1_0041235","p.persica_gdr_reftransV1_0041235")</f>
        <v>p.persica_gdr_reftransV1_0041235</v>
      </c>
      <c r="B13434" s="2">
        <v>2265</v>
      </c>
      <c r="C13434" s="4" t="str">
        <f>HYPERLINK("http://www.uniprot.org/uniprot/M5VIX3","M5VIX3")</f>
        <v>M5VIX3</v>
      </c>
      <c r="D13434" s="2" t="s">
        <v>936</v>
      </c>
      <c r="E13434" s="3">
        <v>0</v>
      </c>
      <c r="F13434" s="2">
        <v>1811</v>
      </c>
      <c r="G13434" s="2">
        <v>100</v>
      </c>
      <c r="H13434" s="2">
        <v>401</v>
      </c>
      <c r="I13434" s="2">
        <v>133</v>
      </c>
      <c r="J13434" s="2">
        <v>1335</v>
      </c>
      <c r="K13434" s="2">
        <v>1</v>
      </c>
      <c r="L13434" s="2">
        <v>401</v>
      </c>
    </row>
    <row r="13435" spans="1:12" x14ac:dyDescent="0.25">
      <c r="A13435" s="4" t="str">
        <f>HYPERLINK("http://www.rosaceae.org/Prunus/Prunus_persica/p.persica_gdr_reftransV1_0042635","p.persica_gdr_reftransV1_0042635")</f>
        <v>p.persica_gdr_reftransV1_0042635</v>
      </c>
      <c r="B13435" s="2">
        <v>2932</v>
      </c>
      <c r="C13435" s="4" t="str">
        <f>HYPERLINK("http://www.uniprot.org/uniprot/M5WVZ0","M5WVZ0")</f>
        <v>M5WVZ0</v>
      </c>
      <c r="D13435" s="2" t="s">
        <v>4441</v>
      </c>
      <c r="E13435" s="3">
        <v>5.3299999999999999E-40</v>
      </c>
      <c r="F13435" s="2">
        <v>392</v>
      </c>
      <c r="G13435" s="2">
        <v>98</v>
      </c>
      <c r="H13435" s="2">
        <v>93</v>
      </c>
      <c r="I13435" s="2">
        <v>325</v>
      </c>
      <c r="J13435" s="2">
        <v>603</v>
      </c>
      <c r="K13435" s="2">
        <v>45</v>
      </c>
      <c r="L13435" s="2">
        <v>137</v>
      </c>
    </row>
    <row r="13436" spans="1:12" x14ac:dyDescent="0.25">
      <c r="A13436" s="4" t="str">
        <f>HYPERLINK("http://www.rosaceae.org/Prunus/Prunus_persica/p.persica_gdr_reftransV1_0043685","p.persica_gdr_reftransV1_0043685")</f>
        <v>p.persica_gdr_reftransV1_0043685</v>
      </c>
      <c r="B13436" s="2">
        <v>1415</v>
      </c>
      <c r="C13436" s="4" t="str">
        <f>HYPERLINK("http://www.uniprot.org/uniprot/A0A061ED41","A0A061ED41")</f>
        <v>A0A061ED41</v>
      </c>
      <c r="D13436" s="2" t="s">
        <v>11058</v>
      </c>
      <c r="E13436" s="3">
        <v>1.88E-97</v>
      </c>
      <c r="F13436" s="2">
        <v>791</v>
      </c>
      <c r="G13436" s="2">
        <v>60</v>
      </c>
      <c r="H13436" s="2">
        <v>289</v>
      </c>
      <c r="I13436" s="2">
        <v>244</v>
      </c>
      <c r="J13436" s="2">
        <v>1101</v>
      </c>
      <c r="K13436" s="2">
        <v>64</v>
      </c>
      <c r="L13436" s="2">
        <v>338</v>
      </c>
    </row>
    <row r="13437" spans="1:12" x14ac:dyDescent="0.25">
      <c r="A13437" s="4" t="str">
        <f>HYPERLINK("http://www.rosaceae.org/Prunus/Prunus_persica/p.persica_gdr_reftransV1_0044035","p.persica_gdr_reftransV1_0044035")</f>
        <v>p.persica_gdr_reftransV1_0044035</v>
      </c>
      <c r="B13437" s="2">
        <v>744</v>
      </c>
      <c r="C13437" s="4" t="str">
        <f>HYPERLINK("http://www.uniprot.org/uniprot/M5XDW6","M5XDW6")</f>
        <v>M5XDW6</v>
      </c>
      <c r="D13437" s="2" t="s">
        <v>11059</v>
      </c>
      <c r="E13437" s="3">
        <v>1.6099999999999999E-94</v>
      </c>
      <c r="F13437" s="2">
        <v>733</v>
      </c>
      <c r="G13437" s="2">
        <v>100</v>
      </c>
      <c r="H13437" s="2">
        <v>165</v>
      </c>
      <c r="I13437" s="2">
        <v>47</v>
      </c>
      <c r="J13437" s="2">
        <v>541</v>
      </c>
      <c r="K13437" s="2">
        <v>7</v>
      </c>
      <c r="L13437" s="2">
        <v>171</v>
      </c>
    </row>
    <row r="13438" spans="1:12" x14ac:dyDescent="0.25">
      <c r="A13438" s="4" t="str">
        <f>HYPERLINK("http://www.rosaceae.org/Prunus/Prunus_persica/p.persica_gdr_reftransV1_0044385","p.persica_gdr_reftransV1_0044385")</f>
        <v>p.persica_gdr_reftransV1_0044385</v>
      </c>
      <c r="B13438" s="2">
        <v>1855</v>
      </c>
      <c r="C13438" s="4" t="str">
        <f>HYPERLINK("http://www.uniprot.org/uniprot/M5WHX3","M5WHX3")</f>
        <v>M5WHX3</v>
      </c>
      <c r="D13438" s="2" t="s">
        <v>11060</v>
      </c>
      <c r="E13438" s="3">
        <v>0</v>
      </c>
      <c r="F13438" s="2">
        <v>2260</v>
      </c>
      <c r="G13438" s="2">
        <v>100</v>
      </c>
      <c r="H13438" s="2">
        <v>448</v>
      </c>
      <c r="I13438" s="2">
        <v>382</v>
      </c>
      <c r="J13438" s="2">
        <v>1725</v>
      </c>
      <c r="K13438" s="2">
        <v>1</v>
      </c>
      <c r="L13438" s="2">
        <v>448</v>
      </c>
    </row>
    <row r="13439" spans="1:12" x14ac:dyDescent="0.25">
      <c r="A13439" s="4" t="str">
        <f>HYPERLINK("http://www.rosaceae.org/Prunus/Prunus_persica/p.persica_gdr_reftransV1_0044735","p.persica_gdr_reftransV1_0044735")</f>
        <v>p.persica_gdr_reftransV1_0044735</v>
      </c>
      <c r="B13439" s="2">
        <v>842</v>
      </c>
      <c r="C13439" s="4" t="str">
        <f>HYPERLINK("http://www.uniprot.org/uniprot/M5W4K5","M5W4K5")</f>
        <v>M5W4K5</v>
      </c>
      <c r="D13439" s="2" t="s">
        <v>11061</v>
      </c>
      <c r="E13439" s="3">
        <v>1.8299999999999999E-117</v>
      </c>
      <c r="F13439" s="2">
        <v>890</v>
      </c>
      <c r="G13439" s="2">
        <v>100</v>
      </c>
      <c r="H13439" s="2">
        <v>194</v>
      </c>
      <c r="I13439" s="2">
        <v>216</v>
      </c>
      <c r="J13439" s="2">
        <v>797</v>
      </c>
      <c r="K13439" s="2">
        <v>1</v>
      </c>
      <c r="L13439" s="2">
        <v>194</v>
      </c>
    </row>
    <row r="13440" spans="1:12" x14ac:dyDescent="0.25">
      <c r="A13440" s="4" t="str">
        <f>HYPERLINK("http://www.rosaceae.org/Prunus/Prunus_persica/p.persica_gdr_reftransV1_0045435","p.persica_gdr_reftransV1_0045435")</f>
        <v>p.persica_gdr_reftransV1_0045435</v>
      </c>
      <c r="B13440" s="2">
        <v>349</v>
      </c>
      <c r="C13440" s="4" t="str">
        <f>HYPERLINK("http://www.uniprot.org/uniprot/F7DC88","F7DC88")</f>
        <v>F7DC88</v>
      </c>
      <c r="D13440" s="2" t="s">
        <v>11062</v>
      </c>
      <c r="E13440" s="3">
        <v>6.5299999999999996E-78</v>
      </c>
      <c r="F13440" s="2">
        <v>621</v>
      </c>
      <c r="G13440" s="2">
        <v>99</v>
      </c>
      <c r="H13440" s="2">
        <v>116</v>
      </c>
      <c r="I13440" s="2">
        <v>1</v>
      </c>
      <c r="J13440" s="2">
        <v>348</v>
      </c>
      <c r="K13440" s="2">
        <v>129</v>
      </c>
      <c r="L13440" s="2">
        <v>244</v>
      </c>
    </row>
    <row r="13441" spans="1:12" x14ac:dyDescent="0.25">
      <c r="A13441" s="4" t="str">
        <f>HYPERLINK("http://www.rosaceae.org/Prunus/Prunus_persica/p.persica_gdr_reftransV1_0045785","p.persica_gdr_reftransV1_0045785")</f>
        <v>p.persica_gdr_reftransV1_0045785</v>
      </c>
      <c r="B13441" s="2">
        <v>2674</v>
      </c>
      <c r="C13441" s="4" t="str">
        <f>HYPERLINK("http://www.uniprot.org/uniprot/M5W106","M5W106")</f>
        <v>M5W106</v>
      </c>
      <c r="D13441" s="2" t="s">
        <v>11063</v>
      </c>
      <c r="E13441" s="3">
        <v>0</v>
      </c>
      <c r="F13441" s="2">
        <v>2420</v>
      </c>
      <c r="G13441" s="2">
        <v>100</v>
      </c>
      <c r="H13441" s="2">
        <v>487</v>
      </c>
      <c r="I13441" s="2">
        <v>1</v>
      </c>
      <c r="J13441" s="2">
        <v>1461</v>
      </c>
      <c r="K13441" s="2">
        <v>66</v>
      </c>
      <c r="L13441" s="2">
        <v>552</v>
      </c>
    </row>
    <row r="13442" spans="1:12" x14ac:dyDescent="0.25">
      <c r="A13442" s="4" t="str">
        <f>HYPERLINK("http://www.rosaceae.org/Prunus/Prunus_persica/p.persica_gdr_reftransV1_0046485","p.persica_gdr_reftransV1_0046485")</f>
        <v>p.persica_gdr_reftransV1_0046485</v>
      </c>
      <c r="B13442" s="2">
        <v>899</v>
      </c>
      <c r="C13442" s="4" t="str">
        <f>HYPERLINK("http://www.uniprot.org/uniprot/M5WVU4","M5WVU4")</f>
        <v>M5WVU4</v>
      </c>
      <c r="D13442" s="2" t="s">
        <v>5840</v>
      </c>
      <c r="E13442" s="3">
        <v>3.9299999999999999E-121</v>
      </c>
      <c r="F13442" s="2">
        <v>936</v>
      </c>
      <c r="G13442" s="2">
        <v>100</v>
      </c>
      <c r="H13442" s="2">
        <v>170</v>
      </c>
      <c r="I13442" s="2">
        <v>2</v>
      </c>
      <c r="J13442" s="2">
        <v>511</v>
      </c>
      <c r="K13442" s="2">
        <v>233</v>
      </c>
      <c r="L13442" s="2">
        <v>402</v>
      </c>
    </row>
    <row r="13443" spans="1:12" x14ac:dyDescent="0.25">
      <c r="A13443" s="4" t="str">
        <f>HYPERLINK("http://www.rosaceae.org/Prunus/Prunus_persica/p.persica_gdr_reftransV1_0047535","p.persica_gdr_reftransV1_0047535")</f>
        <v>p.persica_gdr_reftransV1_0047535</v>
      </c>
      <c r="B13443" s="2">
        <v>544</v>
      </c>
      <c r="C13443" s="4" t="str">
        <f>HYPERLINK("http://www.uniprot.org/uniprot/M5XGS9","M5XGS9")</f>
        <v>M5XGS9</v>
      </c>
      <c r="D13443" s="2" t="s">
        <v>11064</v>
      </c>
      <c r="E13443" s="3">
        <v>1.5599999999999999E-39</v>
      </c>
      <c r="F13443" s="2">
        <v>356</v>
      </c>
      <c r="G13443" s="2">
        <v>97</v>
      </c>
      <c r="H13443" s="2">
        <v>72</v>
      </c>
      <c r="I13443" s="2">
        <v>20</v>
      </c>
      <c r="J13443" s="2">
        <v>235</v>
      </c>
      <c r="K13443" s="2">
        <v>28</v>
      </c>
      <c r="L13443" s="2">
        <v>99</v>
      </c>
    </row>
    <row r="13444" spans="1:12" x14ac:dyDescent="0.25">
      <c r="A13444" s="4" t="str">
        <f>HYPERLINK("http://www.rosaceae.org/Prunus/Prunus_persica/p.persica_gdr_reftransV1_0047885","p.persica_gdr_reftransV1_0047885")</f>
        <v>p.persica_gdr_reftransV1_0047885</v>
      </c>
      <c r="B13444" s="2">
        <v>942</v>
      </c>
      <c r="C13444" s="4" t="str">
        <f>HYPERLINK("http://www.uniprot.org/uniprot/M5VPA3","M5VPA3")</f>
        <v>M5VPA3</v>
      </c>
      <c r="D13444" s="2" t="s">
        <v>11065</v>
      </c>
      <c r="E13444" s="3">
        <v>1.2300000000000001E-94</v>
      </c>
      <c r="F13444" s="2">
        <v>742</v>
      </c>
      <c r="G13444" s="2">
        <v>100</v>
      </c>
      <c r="H13444" s="2">
        <v>141</v>
      </c>
      <c r="I13444" s="2">
        <v>132</v>
      </c>
      <c r="J13444" s="2">
        <v>554</v>
      </c>
      <c r="K13444" s="2">
        <v>1</v>
      </c>
      <c r="L13444" s="2">
        <v>141</v>
      </c>
    </row>
    <row r="13445" spans="1:12" x14ac:dyDescent="0.25">
      <c r="A13445" s="4" t="str">
        <f>HYPERLINK("http://www.rosaceae.org/Prunus/Prunus_persica/p.persica_gdr_reftransV1_0048585","p.persica_gdr_reftransV1_0048585")</f>
        <v>p.persica_gdr_reftransV1_0048585</v>
      </c>
      <c r="B13445" s="2">
        <v>784</v>
      </c>
      <c r="C13445" s="4" t="str">
        <f>HYPERLINK("http://www.uniprot.org/uniprot/M5XXA1","M5XXA1")</f>
        <v>M5XXA1</v>
      </c>
      <c r="D13445" s="2" t="s">
        <v>11066</v>
      </c>
      <c r="E13445" s="3">
        <v>5.5200000000000001E-132</v>
      </c>
      <c r="F13445" s="2">
        <v>997</v>
      </c>
      <c r="G13445" s="2">
        <v>99</v>
      </c>
      <c r="H13445" s="2">
        <v>188</v>
      </c>
      <c r="I13445" s="2">
        <v>220</v>
      </c>
      <c r="J13445" s="2">
        <v>783</v>
      </c>
      <c r="K13445" s="2">
        <v>1</v>
      </c>
      <c r="L13445" s="2">
        <v>187</v>
      </c>
    </row>
    <row r="13446" spans="1:12" x14ac:dyDescent="0.25">
      <c r="A13446" s="4" t="str">
        <f>HYPERLINK("http://www.rosaceae.org/Prunus/Prunus_persica/p.persica_gdr_reftransV1_0048935","p.persica_gdr_reftransV1_0048935")</f>
        <v>p.persica_gdr_reftransV1_0048935</v>
      </c>
      <c r="B13446" s="2">
        <v>490</v>
      </c>
      <c r="C13446" s="4" t="str">
        <f>HYPERLINK("http://www.uniprot.org/uniprot/M5X3Y7","M5X3Y7")</f>
        <v>M5X3Y7</v>
      </c>
      <c r="D13446" s="2" t="s">
        <v>11067</v>
      </c>
      <c r="E13446" s="3">
        <v>3.8899999999999998E-66</v>
      </c>
      <c r="F13446" s="2">
        <v>537</v>
      </c>
      <c r="G13446" s="2">
        <v>100</v>
      </c>
      <c r="H13446" s="2">
        <v>103</v>
      </c>
      <c r="I13446" s="2">
        <v>180</v>
      </c>
      <c r="J13446" s="2">
        <v>488</v>
      </c>
      <c r="K13446" s="2">
        <v>85</v>
      </c>
      <c r="L13446" s="2">
        <v>187</v>
      </c>
    </row>
    <row r="13447" spans="1:12" x14ac:dyDescent="0.25">
      <c r="A13447" s="4" t="str">
        <f>HYPERLINK("http://www.rosaceae.org/Prunus/Prunus_persica/p.persica_gdr_reftransV1_0000286","p.persica_gdr_reftransV1_0000286")</f>
        <v>p.persica_gdr_reftransV1_0000286</v>
      </c>
      <c r="B13447" s="2">
        <v>1678</v>
      </c>
      <c r="C13447" s="4" t="str">
        <f>HYPERLINK("http://www.uniprot.org/uniprot/M5XKN9","M5XKN9")</f>
        <v>M5XKN9</v>
      </c>
      <c r="D13447" s="2" t="s">
        <v>8615</v>
      </c>
      <c r="E13447" s="3">
        <v>0</v>
      </c>
      <c r="F13447" s="2">
        <v>2797</v>
      </c>
      <c r="G13447" s="2">
        <v>100</v>
      </c>
      <c r="H13447" s="2">
        <v>535</v>
      </c>
      <c r="I13447" s="2">
        <v>54</v>
      </c>
      <c r="J13447" s="2">
        <v>1658</v>
      </c>
      <c r="K13447" s="2">
        <v>82</v>
      </c>
      <c r="L13447" s="2">
        <v>616</v>
      </c>
    </row>
    <row r="13448" spans="1:12" x14ac:dyDescent="0.25">
      <c r="A13448" s="4" t="str">
        <f>HYPERLINK("http://www.rosaceae.org/Prunus/Prunus_persica/p.persica_gdr_reftransV1_0000986","p.persica_gdr_reftransV1_0000986")</f>
        <v>p.persica_gdr_reftransV1_0000986</v>
      </c>
      <c r="B13448" s="2">
        <v>1252</v>
      </c>
      <c r="C13448" s="4" t="str">
        <f>HYPERLINK("http://www.uniprot.org/uniprot/M5X7G3","M5X7G3")</f>
        <v>M5X7G3</v>
      </c>
      <c r="D13448" s="2" t="s">
        <v>11068</v>
      </c>
      <c r="E13448" s="3">
        <v>4.3199999999999999E-104</v>
      </c>
      <c r="F13448" s="2">
        <v>819</v>
      </c>
      <c r="G13448" s="2">
        <v>100</v>
      </c>
      <c r="H13448" s="2">
        <v>190</v>
      </c>
      <c r="I13448" s="2">
        <v>416</v>
      </c>
      <c r="J13448" s="2">
        <v>985</v>
      </c>
      <c r="K13448" s="2">
        <v>12</v>
      </c>
      <c r="L13448" s="2">
        <v>201</v>
      </c>
    </row>
    <row r="13449" spans="1:12" x14ac:dyDescent="0.25">
      <c r="A13449" s="4" t="str">
        <f>HYPERLINK("http://www.rosaceae.org/Prunus/Prunus_persica/p.persica_gdr_reftransV1_0001336","p.persica_gdr_reftransV1_0001336")</f>
        <v>p.persica_gdr_reftransV1_0001336</v>
      </c>
      <c r="B13449" s="2">
        <v>1297</v>
      </c>
      <c r="C13449" s="4" t="str">
        <f>HYPERLINK("http://www.uniprot.org/uniprot/M5WT25","M5WT25")</f>
        <v>M5WT25</v>
      </c>
      <c r="D13449" s="2" t="s">
        <v>11069</v>
      </c>
      <c r="E13449" s="3">
        <v>2.31E-168</v>
      </c>
      <c r="F13449" s="2">
        <v>887</v>
      </c>
      <c r="G13449" s="2">
        <v>100</v>
      </c>
      <c r="H13449" s="2">
        <v>170</v>
      </c>
      <c r="I13449" s="2">
        <v>114</v>
      </c>
      <c r="J13449" s="2">
        <v>623</v>
      </c>
      <c r="K13449" s="2">
        <v>1</v>
      </c>
      <c r="L13449" s="2">
        <v>170</v>
      </c>
    </row>
    <row r="13450" spans="1:12" x14ac:dyDescent="0.25">
      <c r="A13450" s="4" t="str">
        <f>HYPERLINK("http://www.rosaceae.org/Prunus/Prunus_persica/p.persica_gdr_reftransV1_0002036","p.persica_gdr_reftransV1_0002036")</f>
        <v>p.persica_gdr_reftransV1_0002036</v>
      </c>
      <c r="B13450" s="2">
        <v>653</v>
      </c>
      <c r="C13450" s="4" t="str">
        <f>HYPERLINK("http://www.uniprot.org/uniprot/Q71EB5","Q71EB5")</f>
        <v>Q71EB5</v>
      </c>
      <c r="D13450" s="2" t="s">
        <v>11070</v>
      </c>
      <c r="E13450" s="3">
        <v>7.1600000000000004E-61</v>
      </c>
      <c r="F13450" s="2">
        <v>512</v>
      </c>
      <c r="G13450" s="2">
        <v>52</v>
      </c>
      <c r="H13450" s="2">
        <v>196</v>
      </c>
      <c r="I13450" s="2">
        <v>65</v>
      </c>
      <c r="J13450" s="2">
        <v>652</v>
      </c>
      <c r="K13450" s="2">
        <v>36</v>
      </c>
      <c r="L13450" s="2">
        <v>231</v>
      </c>
    </row>
    <row r="13451" spans="1:12" x14ac:dyDescent="0.25">
      <c r="A13451" s="4" t="str">
        <f>HYPERLINK("http://www.rosaceae.org/Prunus/Prunus_persica/p.persica_gdr_reftransV1_0003086","p.persica_gdr_reftransV1_0003086")</f>
        <v>p.persica_gdr_reftransV1_0003086</v>
      </c>
      <c r="B13451" s="2">
        <v>1222</v>
      </c>
      <c r="C13451" s="4" t="str">
        <f>HYPERLINK("http://www.uniprot.org/uniprot/M5VZ91","M5VZ91")</f>
        <v>M5VZ91</v>
      </c>
      <c r="D13451" s="2" t="s">
        <v>11071</v>
      </c>
      <c r="E13451" s="3">
        <v>0</v>
      </c>
      <c r="F13451" s="2">
        <v>1661</v>
      </c>
      <c r="G13451" s="2">
        <v>100</v>
      </c>
      <c r="H13451" s="2">
        <v>317</v>
      </c>
      <c r="I13451" s="2">
        <v>233</v>
      </c>
      <c r="J13451" s="2">
        <v>1183</v>
      </c>
      <c r="K13451" s="2">
        <v>1</v>
      </c>
      <c r="L13451" s="2">
        <v>317</v>
      </c>
    </row>
    <row r="13452" spans="1:12" x14ac:dyDescent="0.25">
      <c r="A13452" s="4" t="str">
        <f>HYPERLINK("http://www.rosaceae.org/Prunus/Prunus_persica/p.persica_gdr_reftransV1_0003436","p.persica_gdr_reftransV1_0003436")</f>
        <v>p.persica_gdr_reftransV1_0003436</v>
      </c>
      <c r="B13452" s="2">
        <v>1573</v>
      </c>
      <c r="C13452" s="4" t="str">
        <f>HYPERLINK("http://www.uniprot.org/uniprot/M5VVR7","M5VVR7")</f>
        <v>M5VVR7</v>
      </c>
      <c r="D13452" s="2" t="s">
        <v>4890</v>
      </c>
      <c r="E13452" s="3">
        <v>0</v>
      </c>
      <c r="F13452" s="2">
        <v>2675</v>
      </c>
      <c r="G13452" s="2">
        <v>100</v>
      </c>
      <c r="H13452" s="2">
        <v>524</v>
      </c>
      <c r="I13452" s="2">
        <v>1</v>
      </c>
      <c r="J13452" s="2">
        <v>1572</v>
      </c>
      <c r="K13452" s="2">
        <v>302</v>
      </c>
      <c r="L13452" s="2">
        <v>825</v>
      </c>
    </row>
    <row r="13453" spans="1:12" x14ac:dyDescent="0.25">
      <c r="A13453" s="4" t="str">
        <f>HYPERLINK("http://www.rosaceae.org/Prunus/Prunus_persica/p.persica_gdr_reftransV1_0003786","p.persica_gdr_reftransV1_0003786")</f>
        <v>p.persica_gdr_reftransV1_0003786</v>
      </c>
      <c r="B13453" s="2">
        <v>855</v>
      </c>
      <c r="C13453" s="4" t="str">
        <f>HYPERLINK("http://www.uniprot.org/uniprot/M5W0Y0","M5W0Y0")</f>
        <v>M5W0Y0</v>
      </c>
      <c r="D13453" s="2" t="s">
        <v>11072</v>
      </c>
      <c r="E13453" s="3">
        <v>7.2900000000000001E-60</v>
      </c>
      <c r="F13453" s="2">
        <v>500</v>
      </c>
      <c r="G13453" s="2">
        <v>100</v>
      </c>
      <c r="H13453" s="2">
        <v>100</v>
      </c>
      <c r="I13453" s="2">
        <v>94</v>
      </c>
      <c r="J13453" s="2">
        <v>393</v>
      </c>
      <c r="K13453" s="2">
        <v>1</v>
      </c>
      <c r="L13453" s="2">
        <v>100</v>
      </c>
    </row>
    <row r="13454" spans="1:12" x14ac:dyDescent="0.25">
      <c r="A13454" s="4" t="str">
        <f>HYPERLINK("http://www.rosaceae.org/Prunus/Prunus_persica/p.persica_gdr_reftransV1_0004136","p.persica_gdr_reftransV1_0004136")</f>
        <v>p.persica_gdr_reftransV1_0004136</v>
      </c>
      <c r="B13454" s="2">
        <v>3548</v>
      </c>
      <c r="C13454" s="4" t="str">
        <f>HYPERLINK("http://www.uniprot.org/uniprot/M5VTH1","M5VTH1")</f>
        <v>M5VTH1</v>
      </c>
      <c r="D13454" s="2" t="s">
        <v>11073</v>
      </c>
      <c r="E13454" s="3">
        <v>0</v>
      </c>
      <c r="F13454" s="2">
        <v>4857</v>
      </c>
      <c r="G13454" s="2">
        <v>100</v>
      </c>
      <c r="H13454" s="2">
        <v>964</v>
      </c>
      <c r="I13454" s="2">
        <v>324</v>
      </c>
      <c r="J13454" s="2">
        <v>3215</v>
      </c>
      <c r="K13454" s="2">
        <v>1</v>
      </c>
      <c r="L13454" s="2">
        <v>964</v>
      </c>
    </row>
    <row r="13455" spans="1:12" x14ac:dyDescent="0.25">
      <c r="A13455" s="4" t="str">
        <f>HYPERLINK("http://www.rosaceae.org/Prunus/Prunus_persica/p.persica_gdr_reftransV1_0004836","p.persica_gdr_reftransV1_0004836")</f>
        <v>p.persica_gdr_reftransV1_0004836</v>
      </c>
      <c r="B13455" s="2">
        <v>1185</v>
      </c>
      <c r="C13455" s="4" t="str">
        <f>HYPERLINK("http://www.uniprot.org/uniprot/M5WI79","M5WI79")</f>
        <v>M5WI79</v>
      </c>
      <c r="D13455" s="2" t="s">
        <v>11074</v>
      </c>
      <c r="E13455" s="3">
        <v>6.1999999999999997E-152</v>
      </c>
      <c r="F13455" s="2">
        <v>1138</v>
      </c>
      <c r="G13455" s="2">
        <v>100</v>
      </c>
      <c r="H13455" s="2">
        <v>249</v>
      </c>
      <c r="I13455" s="2">
        <v>1</v>
      </c>
      <c r="J13455" s="2">
        <v>747</v>
      </c>
      <c r="K13455" s="2">
        <v>35</v>
      </c>
      <c r="L13455" s="2">
        <v>283</v>
      </c>
    </row>
    <row r="13456" spans="1:12" x14ac:dyDescent="0.25">
      <c r="A13456" s="4" t="str">
        <f>HYPERLINK("http://www.rosaceae.org/Prunus/Prunus_persica/p.persica_gdr_reftransV1_0005186","p.persica_gdr_reftransV1_0005186")</f>
        <v>p.persica_gdr_reftransV1_0005186</v>
      </c>
      <c r="B13456" s="2">
        <v>897</v>
      </c>
      <c r="C13456" s="4" t="str">
        <f>HYPERLINK("http://www.uniprot.org/uniprot/M5XFZ7","M5XFZ7")</f>
        <v>M5XFZ7</v>
      </c>
      <c r="D13456" s="2" t="s">
        <v>11075</v>
      </c>
      <c r="E13456" s="3">
        <v>2.8000000000000001E-76</v>
      </c>
      <c r="F13456" s="2">
        <v>615</v>
      </c>
      <c r="G13456" s="2">
        <v>100</v>
      </c>
      <c r="H13456" s="2">
        <v>150</v>
      </c>
      <c r="I13456" s="2">
        <v>395</v>
      </c>
      <c r="J13456" s="2">
        <v>844</v>
      </c>
      <c r="K13456" s="2">
        <v>1</v>
      </c>
      <c r="L13456" s="2">
        <v>150</v>
      </c>
    </row>
    <row r="13457" spans="1:12" x14ac:dyDescent="0.25">
      <c r="A13457" s="4" t="str">
        <f>HYPERLINK("http://www.rosaceae.org/Prunus/Prunus_persica/p.persica_gdr_reftransV1_0005886","p.persica_gdr_reftransV1_0005886")</f>
        <v>p.persica_gdr_reftransV1_0005886</v>
      </c>
      <c r="B13457" s="2">
        <v>370</v>
      </c>
      <c r="C13457" s="4" t="str">
        <f>HYPERLINK("http://www.uniprot.org/uniprot/M5VU37","M5VU37")</f>
        <v>M5VU37</v>
      </c>
      <c r="D13457" s="2" t="s">
        <v>7632</v>
      </c>
      <c r="E13457" s="3">
        <v>2.5000000000000001E-47</v>
      </c>
      <c r="F13457" s="2">
        <v>430</v>
      </c>
      <c r="G13457" s="2">
        <v>88</v>
      </c>
      <c r="H13457" s="2">
        <v>122</v>
      </c>
      <c r="I13457" s="2">
        <v>3</v>
      </c>
      <c r="J13457" s="2">
        <v>368</v>
      </c>
      <c r="K13457" s="2">
        <v>95</v>
      </c>
      <c r="L13457" s="2">
        <v>201</v>
      </c>
    </row>
    <row r="13458" spans="1:12" x14ac:dyDescent="0.25">
      <c r="A13458" s="4" t="str">
        <f>HYPERLINK("http://www.rosaceae.org/Prunus/Prunus_persica/p.persica_gdr_reftransV1_0006236","p.persica_gdr_reftransV1_0006236")</f>
        <v>p.persica_gdr_reftransV1_0006236</v>
      </c>
      <c r="B13458" s="2">
        <v>607</v>
      </c>
      <c r="C13458" s="4" t="str">
        <f>HYPERLINK("http://www.uniprot.org/uniprot/M5X4B5","M5X4B5")</f>
        <v>M5X4B5</v>
      </c>
      <c r="D13458" s="2" t="s">
        <v>3163</v>
      </c>
      <c r="E13458" s="3">
        <v>4.9400000000000001E-96</v>
      </c>
      <c r="F13458" s="2">
        <v>799</v>
      </c>
      <c r="G13458" s="2">
        <v>100</v>
      </c>
      <c r="H13458" s="2">
        <v>159</v>
      </c>
      <c r="I13458" s="2">
        <v>3</v>
      </c>
      <c r="J13458" s="2">
        <v>479</v>
      </c>
      <c r="K13458" s="2">
        <v>884</v>
      </c>
      <c r="L13458" s="2">
        <v>1042</v>
      </c>
    </row>
    <row r="13459" spans="1:12" x14ac:dyDescent="0.25">
      <c r="A13459" s="4" t="str">
        <f>HYPERLINK("http://www.rosaceae.org/Prunus/Prunus_persica/p.persica_gdr_reftransV1_0006586","p.persica_gdr_reftransV1_0006586")</f>
        <v>p.persica_gdr_reftransV1_0006586</v>
      </c>
      <c r="B13459" s="2">
        <v>1143</v>
      </c>
      <c r="C13459" s="4" t="str">
        <f>HYPERLINK("http://www.uniprot.org/uniprot/M5XZD7","M5XZD7")</f>
        <v>M5XZD7</v>
      </c>
      <c r="D13459" s="2" t="s">
        <v>11076</v>
      </c>
      <c r="E13459" s="3">
        <v>3.9500000000000002E-43</v>
      </c>
      <c r="F13459" s="2">
        <v>394</v>
      </c>
      <c r="G13459" s="2">
        <v>100</v>
      </c>
      <c r="H13459" s="2">
        <v>88</v>
      </c>
      <c r="I13459" s="2">
        <v>774</v>
      </c>
      <c r="J13459" s="2">
        <v>1037</v>
      </c>
      <c r="K13459" s="2">
        <v>1</v>
      </c>
      <c r="L13459" s="2">
        <v>88</v>
      </c>
    </row>
    <row r="13460" spans="1:12" x14ac:dyDescent="0.25">
      <c r="A13460" s="4" t="str">
        <f>HYPERLINK("http://www.rosaceae.org/Prunus/Prunus_persica/p.persica_gdr_reftransV1_0006936","p.persica_gdr_reftransV1_0006936")</f>
        <v>p.persica_gdr_reftransV1_0006936</v>
      </c>
      <c r="B13460" s="2">
        <v>912</v>
      </c>
      <c r="C13460" s="4" t="str">
        <f>HYPERLINK("http://www.uniprot.org/uniprot/M5W4B1","M5W4B1")</f>
        <v>M5W4B1</v>
      </c>
      <c r="D13460" s="2" t="s">
        <v>11077</v>
      </c>
      <c r="E13460" s="3">
        <v>1.74E-158</v>
      </c>
      <c r="F13460" s="2">
        <v>1166</v>
      </c>
      <c r="G13460" s="2">
        <v>100</v>
      </c>
      <c r="H13460" s="2">
        <v>224</v>
      </c>
      <c r="I13460" s="2">
        <v>149</v>
      </c>
      <c r="J13460" s="2">
        <v>820</v>
      </c>
      <c r="K13460" s="2">
        <v>1</v>
      </c>
      <c r="L13460" s="2">
        <v>224</v>
      </c>
    </row>
    <row r="13461" spans="1:12" x14ac:dyDescent="0.25">
      <c r="A13461" s="4" t="str">
        <f>HYPERLINK("http://www.rosaceae.org/Prunus/Prunus_persica/p.persica_gdr_reftransV1_0007986","p.persica_gdr_reftransV1_0007986")</f>
        <v>p.persica_gdr_reftransV1_0007986</v>
      </c>
      <c r="B13461" s="2">
        <v>2677</v>
      </c>
      <c r="C13461" s="4" t="str">
        <f>HYPERLINK("http://www.uniprot.org/uniprot/M5VXN9","M5VXN9")</f>
        <v>M5VXN9</v>
      </c>
      <c r="D13461" s="2" t="s">
        <v>11078</v>
      </c>
      <c r="E13461" s="3">
        <v>0</v>
      </c>
      <c r="F13461" s="2">
        <v>1639</v>
      </c>
      <c r="G13461" s="2">
        <v>100</v>
      </c>
      <c r="H13461" s="2">
        <v>311</v>
      </c>
      <c r="I13461" s="2">
        <v>1387</v>
      </c>
      <c r="J13461" s="2">
        <v>2319</v>
      </c>
      <c r="K13461" s="2">
        <v>17</v>
      </c>
      <c r="L13461" s="2">
        <v>327</v>
      </c>
    </row>
    <row r="13462" spans="1:12" x14ac:dyDescent="0.25">
      <c r="A13462" s="4" t="str">
        <f>HYPERLINK("http://www.rosaceae.org/Prunus/Prunus_persica/p.persica_gdr_reftransV1_0008686","p.persica_gdr_reftransV1_0008686")</f>
        <v>p.persica_gdr_reftransV1_0008686</v>
      </c>
      <c r="B13462" s="2">
        <v>900</v>
      </c>
      <c r="C13462" s="4" t="str">
        <f>HYPERLINK("http://www.uniprot.org/uniprot/M5W1J8","M5W1J8")</f>
        <v>M5W1J8</v>
      </c>
      <c r="D13462" s="2" t="s">
        <v>11079</v>
      </c>
      <c r="E13462" s="3">
        <v>5.5300000000000004E-161</v>
      </c>
      <c r="F13462" s="2">
        <v>1182</v>
      </c>
      <c r="G13462" s="2">
        <v>100</v>
      </c>
      <c r="H13462" s="2">
        <v>223</v>
      </c>
      <c r="I13462" s="2">
        <v>69</v>
      </c>
      <c r="J13462" s="2">
        <v>737</v>
      </c>
      <c r="K13462" s="2">
        <v>1</v>
      </c>
      <c r="L13462" s="2">
        <v>223</v>
      </c>
    </row>
    <row r="13463" spans="1:12" x14ac:dyDescent="0.25">
      <c r="A13463" s="4" t="str">
        <f>HYPERLINK("http://www.rosaceae.org/Prunus/Prunus_persica/p.persica_gdr_reftransV1_0009036","p.persica_gdr_reftransV1_0009036")</f>
        <v>p.persica_gdr_reftransV1_0009036</v>
      </c>
      <c r="B13463" s="2">
        <v>1188</v>
      </c>
      <c r="C13463" s="4" t="str">
        <f>HYPERLINK("http://www.uniprot.org/uniprot/M5W732","M5W732")</f>
        <v>M5W732</v>
      </c>
      <c r="D13463" s="2" t="s">
        <v>6998</v>
      </c>
      <c r="E13463" s="3">
        <v>0</v>
      </c>
      <c r="F13463" s="2">
        <v>2126</v>
      </c>
      <c r="G13463" s="2">
        <v>100</v>
      </c>
      <c r="H13463" s="2">
        <v>395</v>
      </c>
      <c r="I13463" s="2">
        <v>2</v>
      </c>
      <c r="J13463" s="2">
        <v>1186</v>
      </c>
      <c r="K13463" s="2">
        <v>70</v>
      </c>
      <c r="L13463" s="2">
        <v>464</v>
      </c>
    </row>
    <row r="13464" spans="1:12" x14ac:dyDescent="0.25">
      <c r="A13464" s="4" t="str">
        <f>HYPERLINK("http://www.rosaceae.org/Prunus/Prunus_persica/p.persica_gdr_reftransV1_0009386","p.persica_gdr_reftransV1_0009386")</f>
        <v>p.persica_gdr_reftransV1_0009386</v>
      </c>
      <c r="B13464" s="2">
        <v>1883</v>
      </c>
      <c r="C13464" s="4" t="str">
        <f>HYPERLINK("http://www.uniprot.org/uniprot/M5WPQ9","M5WPQ9")</f>
        <v>M5WPQ9</v>
      </c>
      <c r="D13464" s="2" t="s">
        <v>10669</v>
      </c>
      <c r="E13464" s="3">
        <v>0</v>
      </c>
      <c r="F13464" s="2">
        <v>2225</v>
      </c>
      <c r="G13464" s="2">
        <v>87</v>
      </c>
      <c r="H13464" s="2">
        <v>512</v>
      </c>
      <c r="I13464" s="2">
        <v>176</v>
      </c>
      <c r="J13464" s="2">
        <v>1711</v>
      </c>
      <c r="K13464" s="2">
        <v>305</v>
      </c>
      <c r="L13464" s="2">
        <v>762</v>
      </c>
    </row>
    <row r="13465" spans="1:12" x14ac:dyDescent="0.25">
      <c r="A13465" s="4" t="str">
        <f>HYPERLINK("http://www.rosaceae.org/Prunus/Prunus_persica/p.persica_gdr_reftransV1_0009736","p.persica_gdr_reftransV1_0009736")</f>
        <v>p.persica_gdr_reftransV1_0009736</v>
      </c>
      <c r="B13465" s="2">
        <v>3551</v>
      </c>
      <c r="C13465" s="4" t="str">
        <f>HYPERLINK("http://www.uniprot.org/uniprot/M5W6G8","M5W6G8")</f>
        <v>M5W6G8</v>
      </c>
      <c r="D13465" s="2" t="s">
        <v>11080</v>
      </c>
      <c r="E13465" s="3">
        <v>0</v>
      </c>
      <c r="F13465" s="2">
        <v>4743</v>
      </c>
      <c r="G13465" s="2">
        <v>100</v>
      </c>
      <c r="H13465" s="2">
        <v>933</v>
      </c>
      <c r="I13465" s="2">
        <v>347</v>
      </c>
      <c r="J13465" s="2">
        <v>3145</v>
      </c>
      <c r="K13465" s="2">
        <v>1</v>
      </c>
      <c r="L13465" s="2">
        <v>933</v>
      </c>
    </row>
    <row r="13466" spans="1:12" x14ac:dyDescent="0.25">
      <c r="A13466" s="4" t="str">
        <f>HYPERLINK("http://www.rosaceae.org/Prunus/Prunus_persica/p.persica_gdr_reftransV1_0010786","p.persica_gdr_reftransV1_0010786")</f>
        <v>p.persica_gdr_reftransV1_0010786</v>
      </c>
      <c r="B13466" s="2">
        <v>756</v>
      </c>
      <c r="C13466" s="4" t="str">
        <f>HYPERLINK("http://www.uniprot.org/uniprot/M5X367","M5X367")</f>
        <v>M5X367</v>
      </c>
      <c r="D13466" s="2" t="s">
        <v>5460</v>
      </c>
      <c r="E13466" s="3">
        <v>1.8200000000000002E-136</v>
      </c>
      <c r="F13466" s="2">
        <v>1044</v>
      </c>
      <c r="G13466" s="2">
        <v>100</v>
      </c>
      <c r="H13466" s="2">
        <v>192</v>
      </c>
      <c r="I13466" s="2">
        <v>180</v>
      </c>
      <c r="J13466" s="2">
        <v>755</v>
      </c>
      <c r="K13466" s="2">
        <v>332</v>
      </c>
      <c r="L13466" s="2">
        <v>523</v>
      </c>
    </row>
    <row r="13467" spans="1:12" x14ac:dyDescent="0.25">
      <c r="A13467" s="4" t="str">
        <f>HYPERLINK("http://www.rosaceae.org/Prunus/Prunus_persica/p.persica_gdr_reftransV1_0011136","p.persica_gdr_reftransV1_0011136")</f>
        <v>p.persica_gdr_reftransV1_0011136</v>
      </c>
      <c r="B13467" s="2">
        <v>2732</v>
      </c>
      <c r="C13467" s="4" t="str">
        <f>HYPERLINK("http://www.uniprot.org/uniprot/M5X1E7","M5X1E7")</f>
        <v>M5X1E7</v>
      </c>
      <c r="D13467" s="2" t="s">
        <v>11081</v>
      </c>
      <c r="E13467" s="3">
        <v>0</v>
      </c>
      <c r="F13467" s="2">
        <v>2249</v>
      </c>
      <c r="G13467" s="2">
        <v>100</v>
      </c>
      <c r="H13467" s="2">
        <v>438</v>
      </c>
      <c r="I13467" s="2">
        <v>1100</v>
      </c>
      <c r="J13467" s="2">
        <v>2413</v>
      </c>
      <c r="K13467" s="2">
        <v>1</v>
      </c>
      <c r="L13467" s="2">
        <v>438</v>
      </c>
    </row>
    <row r="13468" spans="1:12" x14ac:dyDescent="0.25">
      <c r="A13468" s="4" t="str">
        <f>HYPERLINK("http://www.rosaceae.org/Prunus/Prunus_persica/p.persica_gdr_reftransV1_0011486","p.persica_gdr_reftransV1_0011486")</f>
        <v>p.persica_gdr_reftransV1_0011486</v>
      </c>
      <c r="B13468" s="2">
        <v>466</v>
      </c>
      <c r="C13468" s="4" t="str">
        <f>HYPERLINK("http://www.uniprot.org/uniprot/A0A067L5D0","A0A067L5D0")</f>
        <v>A0A067L5D0</v>
      </c>
      <c r="D13468" s="2" t="s">
        <v>11082</v>
      </c>
      <c r="E13468" s="3">
        <v>2.5400000000000001E-55</v>
      </c>
      <c r="F13468" s="2">
        <v>485</v>
      </c>
      <c r="G13468" s="2">
        <v>81</v>
      </c>
      <c r="H13468" s="2">
        <v>109</v>
      </c>
      <c r="I13468" s="2">
        <v>2</v>
      </c>
      <c r="J13468" s="2">
        <v>328</v>
      </c>
      <c r="K13468" s="2">
        <v>348</v>
      </c>
      <c r="L13468" s="2">
        <v>456</v>
      </c>
    </row>
    <row r="13469" spans="1:12" x14ac:dyDescent="0.25">
      <c r="A13469" s="4" t="str">
        <f>HYPERLINK("http://www.rosaceae.org/Prunus/Prunus_persica/p.persica_gdr_reftransV1_0011836","p.persica_gdr_reftransV1_0011836")</f>
        <v>p.persica_gdr_reftransV1_0011836</v>
      </c>
      <c r="B13469" s="2">
        <v>1719</v>
      </c>
      <c r="C13469" s="4" t="str">
        <f>HYPERLINK("http://www.uniprot.org/uniprot/M5XCF2","M5XCF2")</f>
        <v>M5XCF2</v>
      </c>
      <c r="D13469" s="2" t="s">
        <v>1468</v>
      </c>
      <c r="E13469" s="3">
        <v>0</v>
      </c>
      <c r="F13469" s="2">
        <v>2336</v>
      </c>
      <c r="G13469" s="2">
        <v>100</v>
      </c>
      <c r="H13469" s="2">
        <v>450</v>
      </c>
      <c r="I13469" s="2">
        <v>192</v>
      </c>
      <c r="J13469" s="2">
        <v>1541</v>
      </c>
      <c r="K13469" s="2">
        <v>1</v>
      </c>
      <c r="L13469" s="2">
        <v>450</v>
      </c>
    </row>
    <row r="13470" spans="1:12" x14ac:dyDescent="0.25">
      <c r="A13470" s="4" t="str">
        <f>HYPERLINK("http://www.rosaceae.org/Prunus/Prunus_persica/p.persica_gdr_reftransV1_0012186","p.persica_gdr_reftransV1_0012186")</f>
        <v>p.persica_gdr_reftransV1_0012186</v>
      </c>
      <c r="B13470" s="2">
        <v>1679</v>
      </c>
      <c r="C13470" s="4" t="str">
        <f>HYPERLINK("http://www.uniprot.org/uniprot/M5XPH7","M5XPH7")</f>
        <v>M5XPH7</v>
      </c>
      <c r="D13470" s="2" t="s">
        <v>11083</v>
      </c>
      <c r="E13470" s="3">
        <v>0</v>
      </c>
      <c r="F13470" s="2">
        <v>1919</v>
      </c>
      <c r="G13470" s="2">
        <v>100</v>
      </c>
      <c r="H13470" s="2">
        <v>353</v>
      </c>
      <c r="I13470" s="2">
        <v>425</v>
      </c>
      <c r="J13470" s="2">
        <v>1483</v>
      </c>
      <c r="K13470" s="2">
        <v>1</v>
      </c>
      <c r="L13470" s="2">
        <v>353</v>
      </c>
    </row>
    <row r="13471" spans="1:12" x14ac:dyDescent="0.25">
      <c r="A13471" s="4" t="str">
        <f>HYPERLINK("http://www.rosaceae.org/Prunus/Prunus_persica/p.persica_gdr_reftransV1_0013586","p.persica_gdr_reftransV1_0013586")</f>
        <v>p.persica_gdr_reftransV1_0013586</v>
      </c>
      <c r="B13471" s="2">
        <v>1244</v>
      </c>
      <c r="C13471" s="4" t="str">
        <f>HYPERLINK("http://www.uniprot.org/uniprot/M5WTC8","M5WTC8")</f>
        <v>M5WTC8</v>
      </c>
      <c r="D13471" s="2" t="s">
        <v>5551</v>
      </c>
      <c r="E13471" s="3">
        <v>1.4100000000000001E-116</v>
      </c>
      <c r="F13471" s="2">
        <v>927</v>
      </c>
      <c r="G13471" s="2">
        <v>100</v>
      </c>
      <c r="H13471" s="2">
        <v>174</v>
      </c>
      <c r="I13471" s="2">
        <v>723</v>
      </c>
      <c r="J13471" s="2">
        <v>1244</v>
      </c>
      <c r="K13471" s="2">
        <v>1</v>
      </c>
      <c r="L13471" s="2">
        <v>174</v>
      </c>
    </row>
    <row r="13472" spans="1:12" x14ac:dyDescent="0.25">
      <c r="A13472" s="4" t="str">
        <f>HYPERLINK("http://www.rosaceae.org/Prunus/Prunus_persica/p.persica_gdr_reftransV1_0014286","p.persica_gdr_reftransV1_0014286")</f>
        <v>p.persica_gdr_reftransV1_0014286</v>
      </c>
      <c r="B13472" s="2">
        <v>653</v>
      </c>
      <c r="C13472" s="4" t="str">
        <f>HYPERLINK("http://www.uniprot.org/uniprot/W9SLK4","W9SLK4")</f>
        <v>W9SLK4</v>
      </c>
      <c r="D13472" s="2" t="s">
        <v>11084</v>
      </c>
      <c r="E13472" s="3">
        <v>1.0199999999999999E-50</v>
      </c>
      <c r="F13472" s="2">
        <v>438</v>
      </c>
      <c r="G13472" s="2">
        <v>85</v>
      </c>
      <c r="H13472" s="2">
        <v>96</v>
      </c>
      <c r="I13472" s="2">
        <v>250</v>
      </c>
      <c r="J13472" s="2">
        <v>537</v>
      </c>
      <c r="K13472" s="2">
        <v>59</v>
      </c>
      <c r="L13472" s="2">
        <v>154</v>
      </c>
    </row>
    <row r="13473" spans="1:12" x14ac:dyDescent="0.25">
      <c r="A13473" s="4" t="str">
        <f>HYPERLINK("http://www.rosaceae.org/Prunus/Prunus_persica/p.persica_gdr_reftransV1_0014636","p.persica_gdr_reftransV1_0014636")</f>
        <v>p.persica_gdr_reftransV1_0014636</v>
      </c>
      <c r="B13473" s="2">
        <v>1600</v>
      </c>
      <c r="C13473" s="4" t="str">
        <f>HYPERLINK("http://www.uniprot.org/uniprot/M5W4B6","M5W4B6")</f>
        <v>M5W4B6</v>
      </c>
      <c r="D13473" s="2" t="s">
        <v>11085</v>
      </c>
      <c r="E13473" s="3">
        <v>5.5999999999999997E-139</v>
      </c>
      <c r="F13473" s="2">
        <v>1070</v>
      </c>
      <c r="G13473" s="2">
        <v>91</v>
      </c>
      <c r="H13473" s="2">
        <v>222</v>
      </c>
      <c r="I13473" s="2">
        <v>239</v>
      </c>
      <c r="J13473" s="2">
        <v>892</v>
      </c>
      <c r="K13473" s="2">
        <v>1</v>
      </c>
      <c r="L13473" s="2">
        <v>222</v>
      </c>
    </row>
    <row r="13474" spans="1:12" x14ac:dyDescent="0.25">
      <c r="A13474" s="4" t="str">
        <f>HYPERLINK("http://www.rosaceae.org/Prunus/Prunus_persica/p.persica_gdr_reftransV1_0014986","p.persica_gdr_reftransV1_0014986")</f>
        <v>p.persica_gdr_reftransV1_0014986</v>
      </c>
      <c r="B13474" s="2">
        <v>3454</v>
      </c>
      <c r="C13474" s="4" t="str">
        <f>HYPERLINK("http://www.uniprot.org/uniprot/M5W9A4","M5W9A4")</f>
        <v>M5W9A4</v>
      </c>
      <c r="D13474" s="2" t="s">
        <v>11086</v>
      </c>
      <c r="E13474" s="3">
        <v>0</v>
      </c>
      <c r="F13474" s="2">
        <v>3251</v>
      </c>
      <c r="G13474" s="2">
        <v>100</v>
      </c>
      <c r="H13474" s="2">
        <v>609</v>
      </c>
      <c r="I13474" s="2">
        <v>1270</v>
      </c>
      <c r="J13474" s="2">
        <v>3096</v>
      </c>
      <c r="K13474" s="2">
        <v>1</v>
      </c>
      <c r="L13474" s="2">
        <v>609</v>
      </c>
    </row>
    <row r="13475" spans="1:12" x14ac:dyDescent="0.25">
      <c r="A13475" s="4" t="str">
        <f>HYPERLINK("http://www.rosaceae.org/Prunus/Prunus_persica/p.persica_gdr_reftransV1_0015686","p.persica_gdr_reftransV1_0015686")</f>
        <v>p.persica_gdr_reftransV1_0015686</v>
      </c>
      <c r="B13475" s="2">
        <v>1827</v>
      </c>
      <c r="C13475" s="4" t="str">
        <f>HYPERLINK("http://www.uniprot.org/uniprot/M5XET2","M5XET2")</f>
        <v>M5XET2</v>
      </c>
      <c r="D13475" s="2" t="s">
        <v>11087</v>
      </c>
      <c r="E13475" s="3">
        <v>1.01E-144</v>
      </c>
      <c r="F13475" s="2">
        <v>1110</v>
      </c>
      <c r="G13475" s="2">
        <v>100</v>
      </c>
      <c r="H13475" s="2">
        <v>208</v>
      </c>
      <c r="I13475" s="2">
        <v>1020</v>
      </c>
      <c r="J13475" s="2">
        <v>1643</v>
      </c>
      <c r="K13475" s="2">
        <v>1</v>
      </c>
      <c r="L13475" s="2">
        <v>208</v>
      </c>
    </row>
    <row r="13476" spans="1:12" x14ac:dyDescent="0.25">
      <c r="A13476" s="4" t="str">
        <f>HYPERLINK("http://www.rosaceae.org/Prunus/Prunus_persica/p.persica_gdr_reftransV1_0016736","p.persica_gdr_reftransV1_0016736")</f>
        <v>p.persica_gdr_reftransV1_0016736</v>
      </c>
      <c r="B13476" s="2">
        <v>840</v>
      </c>
      <c r="C13476" s="4" t="str">
        <f>HYPERLINK("http://www.uniprot.org/uniprot/A0A0A0V5L5","A0A0A0V5L5")</f>
        <v>A0A0A0V5L5</v>
      </c>
      <c r="D13476" s="2" t="s">
        <v>2422</v>
      </c>
      <c r="E13476" s="3">
        <v>3.6E-97</v>
      </c>
      <c r="F13476" s="2">
        <v>775</v>
      </c>
      <c r="G13476" s="2">
        <v>98</v>
      </c>
      <c r="H13476" s="2">
        <v>190</v>
      </c>
      <c r="I13476" s="2">
        <v>2</v>
      </c>
      <c r="J13476" s="2">
        <v>571</v>
      </c>
      <c r="K13476" s="2">
        <v>1</v>
      </c>
      <c r="L13476" s="2">
        <v>190</v>
      </c>
    </row>
    <row r="13477" spans="1:12" x14ac:dyDescent="0.25">
      <c r="A13477" s="4" t="str">
        <f>HYPERLINK("http://www.rosaceae.org/Prunus/Prunus_persica/p.persica_gdr_reftransV1_0017436","p.persica_gdr_reftransV1_0017436")</f>
        <v>p.persica_gdr_reftransV1_0017436</v>
      </c>
      <c r="B13477" s="2">
        <v>3275</v>
      </c>
      <c r="C13477" s="4" t="str">
        <f>HYPERLINK("http://www.uniprot.org/uniprot/M5W5X1","M5W5X1")</f>
        <v>M5W5X1</v>
      </c>
      <c r="D13477" s="2" t="s">
        <v>11088</v>
      </c>
      <c r="E13477" s="3">
        <v>5.2499999999999998E-123</v>
      </c>
      <c r="F13477" s="2">
        <v>1005</v>
      </c>
      <c r="G13477" s="2">
        <v>97</v>
      </c>
      <c r="H13477" s="2">
        <v>302</v>
      </c>
      <c r="I13477" s="2">
        <v>2212</v>
      </c>
      <c r="J13477" s="2">
        <v>3102</v>
      </c>
      <c r="K13477" s="2">
        <v>13</v>
      </c>
      <c r="L13477" s="2">
        <v>314</v>
      </c>
    </row>
    <row r="13478" spans="1:12" x14ac:dyDescent="0.25">
      <c r="A13478" s="4" t="str">
        <f>HYPERLINK("http://www.rosaceae.org/Prunus/Prunus_persica/p.persica_gdr_reftransV1_0017786","p.persica_gdr_reftransV1_0017786")</f>
        <v>p.persica_gdr_reftransV1_0017786</v>
      </c>
      <c r="B13478" s="2">
        <v>751</v>
      </c>
      <c r="C13478" s="4" t="str">
        <f>HYPERLINK("http://www.uniprot.org/uniprot/M5WLL9","M5WLL9")</f>
        <v>M5WLL9</v>
      </c>
      <c r="D13478" s="2" t="s">
        <v>11089</v>
      </c>
      <c r="E13478" s="3">
        <v>5.8499999999999998E-103</v>
      </c>
      <c r="F13478" s="2">
        <v>787</v>
      </c>
      <c r="G13478" s="2">
        <v>100</v>
      </c>
      <c r="H13478" s="2">
        <v>150</v>
      </c>
      <c r="I13478" s="2">
        <v>99</v>
      </c>
      <c r="J13478" s="2">
        <v>548</v>
      </c>
      <c r="K13478" s="2">
        <v>1</v>
      </c>
      <c r="L13478" s="2">
        <v>150</v>
      </c>
    </row>
    <row r="13479" spans="1:12" x14ac:dyDescent="0.25">
      <c r="A13479" s="4" t="str">
        <f>HYPERLINK("http://www.rosaceae.org/Prunus/Prunus_persica/p.persica_gdr_reftransV1_0018486","p.persica_gdr_reftransV1_0018486")</f>
        <v>p.persica_gdr_reftransV1_0018486</v>
      </c>
      <c r="B13479" s="2">
        <v>1876</v>
      </c>
      <c r="C13479" s="4" t="str">
        <f>HYPERLINK("http://www.uniprot.org/uniprot/M5XCS6","M5XCS6")</f>
        <v>M5XCS6</v>
      </c>
      <c r="D13479" s="2" t="s">
        <v>11090</v>
      </c>
      <c r="E13479" s="3">
        <v>4.6700000000000004E-143</v>
      </c>
      <c r="F13479" s="2">
        <v>1106</v>
      </c>
      <c r="G13479" s="2">
        <v>100</v>
      </c>
      <c r="H13479" s="2">
        <v>295</v>
      </c>
      <c r="I13479" s="2">
        <v>429</v>
      </c>
      <c r="J13479" s="2">
        <v>1313</v>
      </c>
      <c r="K13479" s="2">
        <v>1</v>
      </c>
      <c r="L13479" s="2">
        <v>295</v>
      </c>
    </row>
    <row r="13480" spans="1:12" x14ac:dyDescent="0.25">
      <c r="A13480" s="4" t="str">
        <f>HYPERLINK("http://www.rosaceae.org/Prunus/Prunus_persica/p.persica_gdr_reftransV1_0019536","p.persica_gdr_reftransV1_0019536")</f>
        <v>p.persica_gdr_reftransV1_0019536</v>
      </c>
      <c r="B13480" s="2">
        <v>1719</v>
      </c>
      <c r="C13480" s="4" t="str">
        <f>HYPERLINK("http://www.uniprot.org/uniprot/M5VW30","M5VW30")</f>
        <v>M5VW30</v>
      </c>
      <c r="D13480" s="2" t="s">
        <v>11091</v>
      </c>
      <c r="E13480" s="3">
        <v>0</v>
      </c>
      <c r="F13480" s="2">
        <v>1044</v>
      </c>
      <c r="G13480" s="2">
        <v>100</v>
      </c>
      <c r="H13480" s="2">
        <v>210</v>
      </c>
      <c r="I13480" s="2">
        <v>171</v>
      </c>
      <c r="J13480" s="2">
        <v>800</v>
      </c>
      <c r="K13480" s="2">
        <v>1</v>
      </c>
      <c r="L13480" s="2">
        <v>210</v>
      </c>
    </row>
    <row r="13481" spans="1:12" x14ac:dyDescent="0.25">
      <c r="A13481" s="4" t="str">
        <f>HYPERLINK("http://www.rosaceae.org/Prunus/Prunus_persica/p.persica_gdr_reftransV1_0020236","p.persica_gdr_reftransV1_0020236")</f>
        <v>p.persica_gdr_reftransV1_0020236</v>
      </c>
      <c r="B13481" s="2">
        <v>3225</v>
      </c>
      <c r="C13481" s="4" t="str">
        <f>HYPERLINK("http://www.uniprot.org/uniprot/M5WEQ3","M5WEQ3")</f>
        <v>M5WEQ3</v>
      </c>
      <c r="D13481" s="2" t="s">
        <v>11092</v>
      </c>
      <c r="E13481" s="3">
        <v>0</v>
      </c>
      <c r="F13481" s="2">
        <v>4937</v>
      </c>
      <c r="G13481" s="2">
        <v>100</v>
      </c>
      <c r="H13481" s="2">
        <v>965</v>
      </c>
      <c r="I13481" s="2">
        <v>282</v>
      </c>
      <c r="J13481" s="2">
        <v>3176</v>
      </c>
      <c r="K13481" s="2">
        <v>1</v>
      </c>
      <c r="L13481" s="2">
        <v>965</v>
      </c>
    </row>
    <row r="13482" spans="1:12" x14ac:dyDescent="0.25">
      <c r="A13482" s="4" t="str">
        <f>HYPERLINK("http://www.rosaceae.org/Prunus/Prunus_persica/p.persica_gdr_reftransV1_0020586","p.persica_gdr_reftransV1_0020586")</f>
        <v>p.persica_gdr_reftransV1_0020586</v>
      </c>
      <c r="B13482" s="2">
        <v>1623</v>
      </c>
      <c r="C13482" s="4" t="str">
        <f>HYPERLINK("http://www.uniprot.org/uniprot/M5XBS5","M5XBS5")</f>
        <v>M5XBS5</v>
      </c>
      <c r="D13482" s="2" t="s">
        <v>11093</v>
      </c>
      <c r="E13482" s="3">
        <v>1.4899999999999999E-123</v>
      </c>
      <c r="F13482" s="2">
        <v>971</v>
      </c>
      <c r="G13482" s="2">
        <v>99</v>
      </c>
      <c r="H13482" s="2">
        <v>184</v>
      </c>
      <c r="I13482" s="2">
        <v>203</v>
      </c>
      <c r="J13482" s="2">
        <v>754</v>
      </c>
      <c r="K13482" s="2">
        <v>161</v>
      </c>
      <c r="L13482" s="2">
        <v>344</v>
      </c>
    </row>
    <row r="13483" spans="1:12" x14ac:dyDescent="0.25">
      <c r="A13483" s="4" t="str">
        <f>HYPERLINK("http://www.rosaceae.org/Prunus/Prunus_persica/p.persica_gdr_reftransV1_0023386","p.persica_gdr_reftransV1_0023386")</f>
        <v>p.persica_gdr_reftransV1_0023386</v>
      </c>
      <c r="B13483" s="2">
        <v>2232</v>
      </c>
      <c r="C13483" s="4" t="str">
        <f>HYPERLINK("http://www.uniprot.org/uniprot/M5WQ76","M5WQ76")</f>
        <v>M5WQ76</v>
      </c>
      <c r="D13483" s="2" t="s">
        <v>11094</v>
      </c>
      <c r="E13483" s="3">
        <v>0</v>
      </c>
      <c r="F13483" s="2">
        <v>2529</v>
      </c>
      <c r="G13483" s="2">
        <v>98</v>
      </c>
      <c r="H13483" s="2">
        <v>475</v>
      </c>
      <c r="I13483" s="2">
        <v>542</v>
      </c>
      <c r="J13483" s="2">
        <v>1966</v>
      </c>
      <c r="K13483" s="2">
        <v>21</v>
      </c>
      <c r="L13483" s="2">
        <v>495</v>
      </c>
    </row>
    <row r="13484" spans="1:12" x14ac:dyDescent="0.25">
      <c r="A13484" s="4" t="str">
        <f>HYPERLINK("http://www.rosaceae.org/Prunus/Prunus_persica/p.persica_gdr_reftransV1_0024086","p.persica_gdr_reftransV1_0024086")</f>
        <v>p.persica_gdr_reftransV1_0024086</v>
      </c>
      <c r="B13484" s="2">
        <v>5267</v>
      </c>
      <c r="C13484" s="4" t="str">
        <f>HYPERLINK("http://www.uniprot.org/uniprot/B9GKQ1","B9GKQ1")</f>
        <v>B9GKQ1</v>
      </c>
      <c r="D13484" s="2" t="s">
        <v>11095</v>
      </c>
      <c r="E13484" s="3">
        <v>5.6100000000000004E-165</v>
      </c>
      <c r="F13484" s="2">
        <v>1366</v>
      </c>
      <c r="G13484" s="2">
        <v>82</v>
      </c>
      <c r="H13484" s="2">
        <v>349</v>
      </c>
      <c r="I13484" s="2">
        <v>547</v>
      </c>
      <c r="J13484" s="2">
        <v>1587</v>
      </c>
      <c r="K13484" s="2">
        <v>349</v>
      </c>
      <c r="L13484" s="2">
        <v>697</v>
      </c>
    </row>
    <row r="13485" spans="1:12" x14ac:dyDescent="0.25">
      <c r="A13485" s="4" t="str">
        <f>HYPERLINK("http://www.rosaceae.org/Prunus/Prunus_persica/p.persica_gdr_reftransV1_0025836","p.persica_gdr_reftransV1_0025836")</f>
        <v>p.persica_gdr_reftransV1_0025836</v>
      </c>
      <c r="B13485" s="2">
        <v>3310</v>
      </c>
      <c r="C13485" s="4" t="str">
        <f>HYPERLINK("http://www.uniprot.org/uniprot/M5XP74","M5XP74")</f>
        <v>M5XP74</v>
      </c>
      <c r="D13485" s="2" t="s">
        <v>11096</v>
      </c>
      <c r="E13485" s="3">
        <v>0</v>
      </c>
      <c r="F13485" s="2">
        <v>2304</v>
      </c>
      <c r="G13485" s="2">
        <v>100</v>
      </c>
      <c r="H13485" s="2">
        <v>499</v>
      </c>
      <c r="I13485" s="2">
        <v>1423</v>
      </c>
      <c r="J13485" s="2">
        <v>2919</v>
      </c>
      <c r="K13485" s="2">
        <v>1</v>
      </c>
      <c r="L13485" s="2">
        <v>499</v>
      </c>
    </row>
    <row r="13486" spans="1:12" x14ac:dyDescent="0.25">
      <c r="A13486" s="4" t="str">
        <f>HYPERLINK("http://www.rosaceae.org/Prunus/Prunus_persica/p.persica_gdr_reftransV1_0027586","p.persica_gdr_reftransV1_0027586")</f>
        <v>p.persica_gdr_reftransV1_0027586</v>
      </c>
      <c r="B13486" s="2">
        <v>3005</v>
      </c>
      <c r="C13486" s="4" t="str">
        <f>HYPERLINK("http://www.uniprot.org/uniprot/M5VWX8","M5VWX8")</f>
        <v>M5VWX8</v>
      </c>
      <c r="D13486" s="2" t="s">
        <v>11097</v>
      </c>
      <c r="E13486" s="3">
        <v>9.7200000000000005E-173</v>
      </c>
      <c r="F13486" s="2">
        <v>1329</v>
      </c>
      <c r="G13486" s="2">
        <v>100</v>
      </c>
      <c r="H13486" s="2">
        <v>255</v>
      </c>
      <c r="I13486" s="2">
        <v>1826</v>
      </c>
      <c r="J13486" s="2">
        <v>2590</v>
      </c>
      <c r="K13486" s="2">
        <v>1</v>
      </c>
      <c r="L13486" s="2">
        <v>255</v>
      </c>
    </row>
    <row r="13487" spans="1:12" x14ac:dyDescent="0.25">
      <c r="A13487" s="4" t="str">
        <f>HYPERLINK("http://www.rosaceae.org/Prunus/Prunus_persica/p.persica_gdr_reftransV1_0031786","p.persica_gdr_reftransV1_0031786")</f>
        <v>p.persica_gdr_reftransV1_0031786</v>
      </c>
      <c r="B13487" s="2">
        <v>1965</v>
      </c>
      <c r="C13487" s="4" t="str">
        <f>HYPERLINK("http://www.uniprot.org/uniprot/M5XJB9","M5XJB9")</f>
        <v>M5XJB9</v>
      </c>
      <c r="D13487" s="2" t="s">
        <v>11098</v>
      </c>
      <c r="E13487" s="3">
        <v>3.87E-130</v>
      </c>
      <c r="F13487" s="2">
        <v>1011</v>
      </c>
      <c r="G13487" s="2">
        <v>100</v>
      </c>
      <c r="H13487" s="2">
        <v>194</v>
      </c>
      <c r="I13487" s="2">
        <v>359</v>
      </c>
      <c r="J13487" s="2">
        <v>940</v>
      </c>
      <c r="K13487" s="2">
        <v>1</v>
      </c>
      <c r="L13487" s="2">
        <v>194</v>
      </c>
    </row>
    <row r="13488" spans="1:12" x14ac:dyDescent="0.25">
      <c r="A13488" s="4" t="str">
        <f>HYPERLINK("http://www.rosaceae.org/Prunus/Prunus_persica/p.persica_gdr_reftransV1_0032136","p.persica_gdr_reftransV1_0032136")</f>
        <v>p.persica_gdr_reftransV1_0032136</v>
      </c>
      <c r="B13488" s="2">
        <v>2665</v>
      </c>
      <c r="C13488" s="4" t="str">
        <f>HYPERLINK("http://www.uniprot.org/uniprot/M5Y4Q2","M5Y4Q2")</f>
        <v>M5Y4Q2</v>
      </c>
      <c r="D13488" s="2" t="s">
        <v>11099</v>
      </c>
      <c r="E13488" s="3">
        <v>0</v>
      </c>
      <c r="F13488" s="2">
        <v>2742</v>
      </c>
      <c r="G13488" s="2">
        <v>100</v>
      </c>
      <c r="H13488" s="2">
        <v>590</v>
      </c>
      <c r="I13488" s="2">
        <v>574</v>
      </c>
      <c r="J13488" s="2">
        <v>2343</v>
      </c>
      <c r="K13488" s="2">
        <v>1</v>
      </c>
      <c r="L13488" s="2">
        <v>590</v>
      </c>
    </row>
    <row r="13489" spans="1:12" x14ac:dyDescent="0.25">
      <c r="A13489" s="4" t="str">
        <f>HYPERLINK("http://www.rosaceae.org/Prunus/Prunus_persica/p.persica_gdr_reftransV1_0032486","p.persica_gdr_reftransV1_0032486")</f>
        <v>p.persica_gdr_reftransV1_0032486</v>
      </c>
      <c r="B13489" s="2">
        <v>2016</v>
      </c>
      <c r="C13489" s="4" t="str">
        <f>HYPERLINK("http://www.uniprot.org/uniprot/M5XJS3","M5XJS3")</f>
        <v>M5XJS3</v>
      </c>
      <c r="D13489" s="2" t="s">
        <v>11100</v>
      </c>
      <c r="E13489" s="3">
        <v>4.1499999999999997E-174</v>
      </c>
      <c r="F13489" s="2">
        <v>1326</v>
      </c>
      <c r="G13489" s="2">
        <v>99</v>
      </c>
      <c r="H13489" s="2">
        <v>332</v>
      </c>
      <c r="I13489" s="2">
        <v>717</v>
      </c>
      <c r="J13489" s="2">
        <v>1712</v>
      </c>
      <c r="K13489" s="2">
        <v>1</v>
      </c>
      <c r="L13489" s="2">
        <v>332</v>
      </c>
    </row>
    <row r="13490" spans="1:12" x14ac:dyDescent="0.25">
      <c r="A13490" s="4" t="str">
        <f>HYPERLINK("http://www.rosaceae.org/Prunus/Prunus_persica/p.persica_gdr_reftransV1_0033536","p.persica_gdr_reftransV1_0033536")</f>
        <v>p.persica_gdr_reftransV1_0033536</v>
      </c>
      <c r="B13490" s="2">
        <v>1150</v>
      </c>
      <c r="C13490" s="4" t="str">
        <f>HYPERLINK("http://www.uniprot.org/uniprot/M5Vid5","M5Vid5")</f>
        <v>M5Vid5</v>
      </c>
      <c r="D13490" s="2" t="s">
        <v>11101</v>
      </c>
      <c r="E13490" s="3">
        <v>9.0799999999999997E-123</v>
      </c>
      <c r="F13490" s="2">
        <v>943</v>
      </c>
      <c r="G13490" s="2">
        <v>100</v>
      </c>
      <c r="H13490" s="2">
        <v>271</v>
      </c>
      <c r="I13490" s="2">
        <v>77</v>
      </c>
      <c r="J13490" s="2">
        <v>889</v>
      </c>
      <c r="K13490" s="2">
        <v>1</v>
      </c>
      <c r="L13490" s="2">
        <v>271</v>
      </c>
    </row>
    <row r="13491" spans="1:12" x14ac:dyDescent="0.25">
      <c r="A13491" s="4" t="str">
        <f>HYPERLINK("http://www.rosaceae.org/Prunus/Prunus_persica/p.persica_gdr_reftransV1_0033886","p.persica_gdr_reftransV1_0033886")</f>
        <v>p.persica_gdr_reftransV1_0033886</v>
      </c>
      <c r="B13491" s="2">
        <v>3180</v>
      </c>
      <c r="C13491" s="4" t="str">
        <f>HYPERLINK("http://www.uniprot.org/uniprot/M5XED5","M5XED5")</f>
        <v>M5XED5</v>
      </c>
      <c r="D13491" s="2" t="s">
        <v>11102</v>
      </c>
      <c r="E13491" s="3">
        <v>5.29E-137</v>
      </c>
      <c r="F13491" s="2">
        <v>1106</v>
      </c>
      <c r="G13491" s="2">
        <v>95</v>
      </c>
      <c r="H13491" s="2">
        <v>277</v>
      </c>
      <c r="I13491" s="2">
        <v>1562</v>
      </c>
      <c r="J13491" s="2">
        <v>2392</v>
      </c>
      <c r="K13491" s="2">
        <v>77</v>
      </c>
      <c r="L13491" s="2">
        <v>353</v>
      </c>
    </row>
    <row r="13492" spans="1:12" x14ac:dyDescent="0.25">
      <c r="A13492" s="4" t="str">
        <f>HYPERLINK("http://www.rosaceae.org/Prunus/Prunus_persica/p.persica_gdr_reftransV1_0035286","p.persica_gdr_reftransV1_0035286")</f>
        <v>p.persica_gdr_reftransV1_0035286</v>
      </c>
      <c r="B13492" s="2">
        <v>1985</v>
      </c>
      <c r="C13492" s="4" t="str">
        <f>HYPERLINK("http://www.uniprot.org/uniprot/M5WAQ1","M5WAQ1")</f>
        <v>M5WAQ1</v>
      </c>
      <c r="D13492" s="2" t="s">
        <v>7265</v>
      </c>
      <c r="E13492" s="3">
        <v>7.0299999999999996E-65</v>
      </c>
      <c r="F13492" s="2">
        <v>571</v>
      </c>
      <c r="G13492" s="2">
        <v>100</v>
      </c>
      <c r="H13492" s="2">
        <v>108</v>
      </c>
      <c r="I13492" s="2">
        <v>1662</v>
      </c>
      <c r="J13492" s="2">
        <v>1985</v>
      </c>
      <c r="K13492" s="2">
        <v>62</v>
      </c>
      <c r="L13492" s="2">
        <v>169</v>
      </c>
    </row>
    <row r="13493" spans="1:12" x14ac:dyDescent="0.25">
      <c r="A13493" s="4" t="str">
        <f>HYPERLINK("http://www.rosaceae.org/Prunus/Prunus_persica/p.persica_gdr_reftransV1_0036336","p.persica_gdr_reftransV1_0036336")</f>
        <v>p.persica_gdr_reftransV1_0036336</v>
      </c>
      <c r="B13493" s="2">
        <v>482</v>
      </c>
      <c r="C13493" s="4" t="str">
        <f>HYPERLINK("http://www.uniprot.org/uniprot/M5VJA6","M5VJA6")</f>
        <v>M5VJA6</v>
      </c>
      <c r="D13493" s="2" t="s">
        <v>4286</v>
      </c>
      <c r="E13493" s="3">
        <v>2.89E-53</v>
      </c>
      <c r="F13493" s="2">
        <v>488</v>
      </c>
      <c r="G13493" s="2">
        <v>100</v>
      </c>
      <c r="H13493" s="2">
        <v>101</v>
      </c>
      <c r="I13493" s="2">
        <v>2</v>
      </c>
      <c r="J13493" s="2">
        <v>304</v>
      </c>
      <c r="K13493" s="2">
        <v>1</v>
      </c>
      <c r="L13493" s="2">
        <v>101</v>
      </c>
    </row>
    <row r="13494" spans="1:12" x14ac:dyDescent="0.25">
      <c r="A13494" s="4" t="str">
        <f>HYPERLINK("http://www.rosaceae.org/Prunus/Prunus_persica/p.persica_gdr_reftransV1_0036686","p.persica_gdr_reftransV1_0036686")</f>
        <v>p.persica_gdr_reftransV1_0036686</v>
      </c>
      <c r="B13494" s="2">
        <v>1787</v>
      </c>
      <c r="C13494" s="4" t="str">
        <f>HYPERLINK("http://www.uniprot.org/uniprot/M5VNL8","M5VNL8")</f>
        <v>M5VNL8</v>
      </c>
      <c r="D13494" s="2" t="s">
        <v>11103</v>
      </c>
      <c r="E13494" s="3">
        <v>0</v>
      </c>
      <c r="F13494" s="2">
        <v>1722</v>
      </c>
      <c r="G13494" s="2">
        <v>100</v>
      </c>
      <c r="H13494" s="2">
        <v>330</v>
      </c>
      <c r="I13494" s="2">
        <v>95</v>
      </c>
      <c r="J13494" s="2">
        <v>1084</v>
      </c>
      <c r="K13494" s="2">
        <v>1</v>
      </c>
      <c r="L13494" s="2">
        <v>330</v>
      </c>
    </row>
    <row r="13495" spans="1:12" x14ac:dyDescent="0.25">
      <c r="A13495" s="4" t="str">
        <f>HYPERLINK("http://www.rosaceae.org/Prunus/Prunus_persica/p.persica_gdr_reftransV1_0038436","p.persica_gdr_reftransV1_0038436")</f>
        <v>p.persica_gdr_reftransV1_0038436</v>
      </c>
      <c r="B13495" s="2">
        <v>1139</v>
      </c>
      <c r="C13495" s="4" t="str">
        <f>HYPERLINK("http://www.uniprot.org/uniprot/M5X731","M5X731")</f>
        <v>M5X731</v>
      </c>
      <c r="D13495" s="2" t="s">
        <v>11104</v>
      </c>
      <c r="E13495" s="3">
        <v>2.7200000000000002E-90</v>
      </c>
      <c r="F13495" s="2">
        <v>616</v>
      </c>
      <c r="G13495" s="2">
        <v>99</v>
      </c>
      <c r="H13495" s="2">
        <v>163</v>
      </c>
      <c r="I13495" s="2">
        <v>343</v>
      </c>
      <c r="J13495" s="2">
        <v>831</v>
      </c>
      <c r="K13495" s="2">
        <v>1</v>
      </c>
      <c r="L13495" s="2">
        <v>163</v>
      </c>
    </row>
    <row r="13496" spans="1:12" x14ac:dyDescent="0.25">
      <c r="A13496" s="4" t="str">
        <f>HYPERLINK("http://www.rosaceae.org/Prunus/Prunus_persica/p.persica_gdr_reftransV1_0041236","p.persica_gdr_reftransV1_0041236")</f>
        <v>p.persica_gdr_reftransV1_0041236</v>
      </c>
      <c r="B13496" s="2">
        <v>925</v>
      </c>
      <c r="C13496" s="4" t="str">
        <f>HYPERLINK("http://www.uniprot.org/uniprot/M5WEX7","M5WEX7")</f>
        <v>M5WEX7</v>
      </c>
      <c r="D13496" s="2" t="s">
        <v>4281</v>
      </c>
      <c r="E13496" s="3">
        <v>7.1199999999999995E-70</v>
      </c>
      <c r="F13496" s="2">
        <v>624</v>
      </c>
      <c r="G13496" s="2">
        <v>93</v>
      </c>
      <c r="H13496" s="2">
        <v>152</v>
      </c>
      <c r="I13496" s="2">
        <v>237</v>
      </c>
      <c r="J13496" s="2">
        <v>692</v>
      </c>
      <c r="K13496" s="2">
        <v>1</v>
      </c>
      <c r="L13496" s="2">
        <v>152</v>
      </c>
    </row>
    <row r="13497" spans="1:12" x14ac:dyDescent="0.25">
      <c r="A13497" s="4" t="str">
        <f>HYPERLINK("http://www.rosaceae.org/Prunus/Prunus_persica/p.persica_gdr_reftransV1_0043336","p.persica_gdr_reftransV1_0043336")</f>
        <v>p.persica_gdr_reftransV1_0043336</v>
      </c>
      <c r="B13497" s="2">
        <v>1680</v>
      </c>
      <c r="C13497" s="4" t="str">
        <f>HYPERLINK("http://www.uniprot.org/uniprot/M5WS53","M5WS53")</f>
        <v>M5WS53</v>
      </c>
      <c r="D13497" s="2" t="s">
        <v>2527</v>
      </c>
      <c r="E13497" s="3">
        <v>0</v>
      </c>
      <c r="F13497" s="2">
        <v>1660</v>
      </c>
      <c r="G13497" s="2">
        <v>71</v>
      </c>
      <c r="H13497" s="2">
        <v>478</v>
      </c>
      <c r="I13497" s="2">
        <v>41</v>
      </c>
      <c r="J13497" s="2">
        <v>1468</v>
      </c>
      <c r="K13497" s="2">
        <v>4</v>
      </c>
      <c r="L13497" s="2">
        <v>479</v>
      </c>
    </row>
    <row r="13498" spans="1:12" x14ac:dyDescent="0.25">
      <c r="A13498" s="4" t="str">
        <f>HYPERLINK("http://www.rosaceae.org/Prunus/Prunus_persica/p.persica_gdr_reftransV1_0043686","p.persica_gdr_reftransV1_0043686")</f>
        <v>p.persica_gdr_reftransV1_0043686</v>
      </c>
      <c r="B13498" s="2">
        <v>1195</v>
      </c>
      <c r="C13498" s="4" t="str">
        <f>HYPERLINK("http://www.uniprot.org/uniprot/M5WI11","M5WI11")</f>
        <v>M5WI11</v>
      </c>
      <c r="D13498" s="2" t="s">
        <v>8197</v>
      </c>
      <c r="E13498" s="3">
        <v>0</v>
      </c>
      <c r="F13498" s="2">
        <v>1465</v>
      </c>
      <c r="G13498" s="2">
        <v>100</v>
      </c>
      <c r="H13498" s="2">
        <v>295</v>
      </c>
      <c r="I13498" s="2">
        <v>79</v>
      </c>
      <c r="J13498" s="2">
        <v>963</v>
      </c>
      <c r="K13498" s="2">
        <v>1</v>
      </c>
      <c r="L13498" s="2">
        <v>295</v>
      </c>
    </row>
    <row r="13499" spans="1:12" x14ac:dyDescent="0.25">
      <c r="A13499" s="4" t="str">
        <f>HYPERLINK("http://www.rosaceae.org/Prunus/Prunus_persica/p.persica_gdr_reftransV1_0044036","p.persica_gdr_reftransV1_0044036")</f>
        <v>p.persica_gdr_reftransV1_0044036</v>
      </c>
      <c r="B13499" s="2">
        <v>1430</v>
      </c>
      <c r="C13499" s="4" t="str">
        <f>HYPERLINK("http://www.uniprot.org/uniprot/M5WI92","M5WI92")</f>
        <v>M5WI92</v>
      </c>
      <c r="D13499" s="2" t="s">
        <v>9869</v>
      </c>
      <c r="E13499" s="3">
        <v>0</v>
      </c>
      <c r="F13499" s="2">
        <v>1743</v>
      </c>
      <c r="G13499" s="2">
        <v>82</v>
      </c>
      <c r="H13499" s="2">
        <v>417</v>
      </c>
      <c r="I13499" s="2">
        <v>57</v>
      </c>
      <c r="J13499" s="2">
        <v>1268</v>
      </c>
      <c r="K13499" s="2">
        <v>7</v>
      </c>
      <c r="L13499" s="2">
        <v>393</v>
      </c>
    </row>
    <row r="13500" spans="1:12" x14ac:dyDescent="0.25">
      <c r="A13500" s="4" t="str">
        <f>HYPERLINK("http://www.rosaceae.org/Prunus/Prunus_persica/p.persica_gdr_reftransV1_0044386","p.persica_gdr_reftransV1_0044386")</f>
        <v>p.persica_gdr_reftransV1_0044386</v>
      </c>
      <c r="B13500" s="2">
        <v>319</v>
      </c>
      <c r="C13500" s="4" t="str">
        <f>HYPERLINK("http://www.uniprot.org/uniprot/W9RUY4","W9RUY4")</f>
        <v>W9RUY4</v>
      </c>
      <c r="D13500" s="2" t="s">
        <v>11105</v>
      </c>
      <c r="E13500" s="3">
        <v>1.8899999999999999E-15</v>
      </c>
      <c r="F13500" s="2">
        <v>192</v>
      </c>
      <c r="G13500" s="2">
        <v>42</v>
      </c>
      <c r="H13500" s="2">
        <v>113</v>
      </c>
      <c r="I13500" s="2">
        <v>17</v>
      </c>
      <c r="J13500" s="2">
        <v>319</v>
      </c>
      <c r="K13500" s="2">
        <v>18</v>
      </c>
      <c r="L13500" s="2">
        <v>130</v>
      </c>
    </row>
    <row r="13501" spans="1:12" x14ac:dyDescent="0.25">
      <c r="A13501" s="4" t="str">
        <f>HYPERLINK("http://www.rosaceae.org/Prunus/Prunus_persica/p.persica_gdr_reftransV1_0044736","p.persica_gdr_reftransV1_0044736")</f>
        <v>p.persica_gdr_reftransV1_0044736</v>
      </c>
      <c r="B13501" s="2">
        <v>485</v>
      </c>
      <c r="C13501" s="4" t="str">
        <f>HYPERLINK("http://www.uniprot.org/uniprot/M5W3T1","M5W3T1")</f>
        <v>M5W3T1</v>
      </c>
      <c r="D13501" s="2" t="s">
        <v>4330</v>
      </c>
      <c r="E13501" s="3">
        <v>3.3600000000000002E-74</v>
      </c>
      <c r="F13501" s="2">
        <v>609</v>
      </c>
      <c r="G13501" s="2">
        <v>98</v>
      </c>
      <c r="H13501" s="2">
        <v>140</v>
      </c>
      <c r="I13501" s="2">
        <v>65</v>
      </c>
      <c r="J13501" s="2">
        <v>484</v>
      </c>
      <c r="K13501" s="2">
        <v>7</v>
      </c>
      <c r="L13501" s="2">
        <v>146</v>
      </c>
    </row>
    <row r="13502" spans="1:12" x14ac:dyDescent="0.25">
      <c r="A13502" s="4" t="str">
        <f>HYPERLINK("http://www.rosaceae.org/Prunus/Prunus_persica/p.persica_gdr_reftransV1_0045086","p.persica_gdr_reftransV1_0045086")</f>
        <v>p.persica_gdr_reftransV1_0045086</v>
      </c>
      <c r="B13502" s="2">
        <v>777</v>
      </c>
      <c r="C13502" s="4" t="str">
        <f>HYPERLINK("http://www.uniprot.org/uniprot/M5VLE1","M5VLE1")</f>
        <v>M5VLE1</v>
      </c>
      <c r="D13502" s="2" t="s">
        <v>11106</v>
      </c>
      <c r="E13502" s="3">
        <v>6.3599999999999996E-85</v>
      </c>
      <c r="F13502" s="2">
        <v>668</v>
      </c>
      <c r="G13502" s="2">
        <v>100</v>
      </c>
      <c r="H13502" s="2">
        <v>145</v>
      </c>
      <c r="I13502" s="2">
        <v>303</v>
      </c>
      <c r="J13502" s="2">
        <v>737</v>
      </c>
      <c r="K13502" s="2">
        <v>1</v>
      </c>
      <c r="L13502" s="2">
        <v>145</v>
      </c>
    </row>
    <row r="13503" spans="1:12" x14ac:dyDescent="0.25">
      <c r="A13503" s="4" t="str">
        <f>HYPERLINK("http://www.rosaceae.org/Prunus/Prunus_persica/p.persica_gdr_reftransV1_0045436","p.persica_gdr_reftransV1_0045436")</f>
        <v>p.persica_gdr_reftransV1_0045436</v>
      </c>
      <c r="B13503" s="2">
        <v>994</v>
      </c>
      <c r="C13503" s="4" t="str">
        <f>HYPERLINK("http://www.uniprot.org/uniprot/M5Y6N4","M5Y6N4")</f>
        <v>M5Y6N4</v>
      </c>
      <c r="D13503" s="2" t="s">
        <v>11107</v>
      </c>
      <c r="E13503" s="3">
        <v>1.66E-87</v>
      </c>
      <c r="F13503" s="2">
        <v>696</v>
      </c>
      <c r="G13503" s="2">
        <v>100</v>
      </c>
      <c r="H13503" s="2">
        <v>180</v>
      </c>
      <c r="I13503" s="2">
        <v>251</v>
      </c>
      <c r="J13503" s="2">
        <v>790</v>
      </c>
      <c r="K13503" s="2">
        <v>1</v>
      </c>
      <c r="L13503" s="2">
        <v>180</v>
      </c>
    </row>
    <row r="13504" spans="1:12" x14ac:dyDescent="0.25">
      <c r="A13504" s="4" t="str">
        <f>HYPERLINK("http://www.rosaceae.org/Prunus/Prunus_persica/p.persica_gdr_reftransV1_0045786","p.persica_gdr_reftransV1_0045786")</f>
        <v>p.persica_gdr_reftransV1_0045786</v>
      </c>
      <c r="B13504" s="2">
        <v>1521</v>
      </c>
      <c r="C13504" s="4" t="str">
        <f>HYPERLINK("http://www.uniprot.org/uniprot/M5XCX5","M5XCX5")</f>
        <v>M5XCX5</v>
      </c>
      <c r="D13504" s="2" t="s">
        <v>8701</v>
      </c>
      <c r="E13504" s="3">
        <v>3.0900000000000003E-179</v>
      </c>
      <c r="F13504" s="2">
        <v>1339</v>
      </c>
      <c r="G13504" s="2">
        <v>100</v>
      </c>
      <c r="H13504" s="2">
        <v>250</v>
      </c>
      <c r="I13504" s="2">
        <v>573</v>
      </c>
      <c r="J13504" s="2">
        <v>1322</v>
      </c>
      <c r="K13504" s="2">
        <v>5</v>
      </c>
      <c r="L13504" s="2">
        <v>254</v>
      </c>
    </row>
    <row r="13505" spans="1:12" x14ac:dyDescent="0.25">
      <c r="A13505" s="4" t="str">
        <f>HYPERLINK("http://www.rosaceae.org/Prunus/Prunus_persica/p.persica_gdr_reftransV1_0046136","p.persica_gdr_reftransV1_0046136")</f>
        <v>p.persica_gdr_reftransV1_0046136</v>
      </c>
      <c r="B13505" s="2">
        <v>1581</v>
      </c>
      <c r="C13505" s="4" t="str">
        <f>HYPERLINK("http://www.uniprot.org/uniprot/B9S114","B9S114")</f>
        <v>B9S114</v>
      </c>
      <c r="D13505" s="2" t="s">
        <v>11108</v>
      </c>
      <c r="E13505" s="3">
        <v>0</v>
      </c>
      <c r="F13505" s="2">
        <v>1706</v>
      </c>
      <c r="G13505" s="2">
        <v>85</v>
      </c>
      <c r="H13505" s="2">
        <v>409</v>
      </c>
      <c r="I13505" s="2">
        <v>249</v>
      </c>
      <c r="J13505" s="2">
        <v>1466</v>
      </c>
      <c r="K13505" s="2">
        <v>1</v>
      </c>
      <c r="L13505" s="2">
        <v>408</v>
      </c>
    </row>
    <row r="13506" spans="1:12" x14ac:dyDescent="0.25">
      <c r="A13506" s="4" t="str">
        <f>HYPERLINK("http://www.rosaceae.org/Prunus/Prunus_persica/p.persica_gdr_reftransV1_0046486","p.persica_gdr_reftransV1_0046486")</f>
        <v>p.persica_gdr_reftransV1_0046486</v>
      </c>
      <c r="B13506" s="2">
        <v>314</v>
      </c>
      <c r="C13506" s="4" t="str">
        <f>HYPERLINK("http://www.uniprot.org/uniprot/A0A0A0LAZ5","A0A0A0LAZ5")</f>
        <v>A0A0A0LAZ5</v>
      </c>
      <c r="D13506" s="2" t="s">
        <v>11109</v>
      </c>
      <c r="E13506" s="3">
        <v>2.9300000000000002E-28</v>
      </c>
      <c r="F13506" s="2">
        <v>296</v>
      </c>
      <c r="G13506" s="2">
        <v>82</v>
      </c>
      <c r="H13506" s="2">
        <v>74</v>
      </c>
      <c r="I13506" s="2">
        <v>3</v>
      </c>
      <c r="J13506" s="2">
        <v>224</v>
      </c>
      <c r="K13506" s="2">
        <v>1</v>
      </c>
      <c r="L13506" s="2">
        <v>74</v>
      </c>
    </row>
    <row r="13507" spans="1:12" x14ac:dyDescent="0.25">
      <c r="A13507" s="4" t="str">
        <f>HYPERLINK("http://www.rosaceae.org/Prunus/Prunus_persica/p.persica_gdr_reftransV1_0046836","p.persica_gdr_reftransV1_0046836")</f>
        <v>p.persica_gdr_reftransV1_0046836</v>
      </c>
      <c r="B13507" s="2">
        <v>1213</v>
      </c>
      <c r="C13507" s="4" t="str">
        <f>HYPERLINK("http://www.uniprot.org/uniprot/M5WHF1","M5WHF1")</f>
        <v>M5WHF1</v>
      </c>
      <c r="D13507" s="2" t="s">
        <v>9261</v>
      </c>
      <c r="E13507" s="3">
        <v>6.2200000000000004E-106</v>
      </c>
      <c r="F13507" s="2">
        <v>829</v>
      </c>
      <c r="G13507" s="2">
        <v>91</v>
      </c>
      <c r="H13507" s="2">
        <v>225</v>
      </c>
      <c r="I13507" s="2">
        <v>391</v>
      </c>
      <c r="J13507" s="2">
        <v>1011</v>
      </c>
      <c r="K13507" s="2">
        <v>1</v>
      </c>
      <c r="L13507" s="2">
        <v>225</v>
      </c>
    </row>
    <row r="13508" spans="1:12" x14ac:dyDescent="0.25">
      <c r="A13508" s="4" t="str">
        <f>HYPERLINK("http://www.rosaceae.org/Prunus/Prunus_persica/p.persica_gdr_reftransV1_0047186","p.persica_gdr_reftransV1_0047186")</f>
        <v>p.persica_gdr_reftransV1_0047186</v>
      </c>
      <c r="B13508" s="2">
        <v>962</v>
      </c>
      <c r="C13508" s="4" t="str">
        <f>HYPERLINK("http://www.uniprot.org/uniprot/M5X1K6","M5X1K6")</f>
        <v>M5X1K6</v>
      </c>
      <c r="D13508" s="2" t="s">
        <v>11110</v>
      </c>
      <c r="E13508" s="3">
        <v>3.76E-57</v>
      </c>
      <c r="F13508" s="2">
        <v>487</v>
      </c>
      <c r="G13508" s="2">
        <v>100</v>
      </c>
      <c r="H13508" s="2">
        <v>99</v>
      </c>
      <c r="I13508" s="2">
        <v>592</v>
      </c>
      <c r="J13508" s="2">
        <v>888</v>
      </c>
      <c r="K13508" s="2">
        <v>1</v>
      </c>
      <c r="L13508" s="2">
        <v>99</v>
      </c>
    </row>
    <row r="13509" spans="1:12" x14ac:dyDescent="0.25">
      <c r="A13509" s="4" t="str">
        <f>HYPERLINK("http://www.rosaceae.org/Prunus/Prunus_persica/p.persica_gdr_reftransV1_0047536","p.persica_gdr_reftransV1_0047536")</f>
        <v>p.persica_gdr_reftransV1_0047536</v>
      </c>
      <c r="B13509" s="2">
        <v>1419</v>
      </c>
      <c r="C13509" s="4" t="str">
        <f>HYPERLINK("http://www.uniprot.org/uniprot/M5W1V8","M5W1V8")</f>
        <v>M5W1V8</v>
      </c>
      <c r="D13509" s="2" t="s">
        <v>11111</v>
      </c>
      <c r="E13509" s="3">
        <v>3.7099999999999999E-177</v>
      </c>
      <c r="F13509" s="2">
        <v>1322</v>
      </c>
      <c r="G13509" s="2">
        <v>100</v>
      </c>
      <c r="H13509" s="2">
        <v>246</v>
      </c>
      <c r="I13509" s="2">
        <v>381</v>
      </c>
      <c r="J13509" s="2">
        <v>1118</v>
      </c>
      <c r="K13509" s="2">
        <v>124</v>
      </c>
      <c r="L13509" s="2">
        <v>369</v>
      </c>
    </row>
    <row r="13510" spans="1:12" x14ac:dyDescent="0.25">
      <c r="A13510" s="4" t="str">
        <f>HYPERLINK("http://www.rosaceae.org/Prunus/Prunus_persica/p.persica_gdr_reftransV1_0047886","p.persica_gdr_reftransV1_0047886")</f>
        <v>p.persica_gdr_reftransV1_0047886</v>
      </c>
      <c r="B13510" s="2">
        <v>1594</v>
      </c>
      <c r="C13510" s="4" t="str">
        <f>HYPERLINK("http://www.uniprot.org/uniprot/M5XHM0","M5XHM0")</f>
        <v>M5XHM0</v>
      </c>
      <c r="D13510" s="2" t="s">
        <v>10308</v>
      </c>
      <c r="E13510" s="3">
        <v>9.6099999999999993E-158</v>
      </c>
      <c r="F13510" s="2">
        <v>1186</v>
      </c>
      <c r="G13510" s="2">
        <v>100</v>
      </c>
      <c r="H13510" s="2">
        <v>243</v>
      </c>
      <c r="I13510" s="2">
        <v>81</v>
      </c>
      <c r="J13510" s="2">
        <v>809</v>
      </c>
      <c r="K13510" s="2">
        <v>1</v>
      </c>
      <c r="L13510" s="2">
        <v>243</v>
      </c>
    </row>
    <row r="13511" spans="1:12" x14ac:dyDescent="0.25">
      <c r="A13511" s="4" t="str">
        <f>HYPERLINK("http://www.rosaceae.org/Prunus/Prunus_persica/p.persica_gdr_reftransV1_0048236","p.persica_gdr_reftransV1_0048236")</f>
        <v>p.persica_gdr_reftransV1_0048236</v>
      </c>
      <c r="B13511" s="2">
        <v>488</v>
      </c>
      <c r="C13511" s="4" t="str">
        <f>HYPERLINK("http://www.uniprot.org/uniprot/M5X7Z5","M5X7Z5")</f>
        <v>M5X7Z5</v>
      </c>
      <c r="D13511" s="2" t="s">
        <v>11112</v>
      </c>
      <c r="E13511" s="3">
        <v>2.44E-82</v>
      </c>
      <c r="F13511" s="2">
        <v>668</v>
      </c>
      <c r="G13511" s="2">
        <v>100</v>
      </c>
      <c r="H13511" s="2">
        <v>162</v>
      </c>
      <c r="I13511" s="2">
        <v>1</v>
      </c>
      <c r="J13511" s="2">
        <v>486</v>
      </c>
      <c r="K13511" s="2">
        <v>6</v>
      </c>
      <c r="L13511" s="2">
        <v>167</v>
      </c>
    </row>
    <row r="13512" spans="1:12" x14ac:dyDescent="0.25">
      <c r="A13512" s="4" t="str">
        <f>HYPERLINK("http://www.rosaceae.org/Prunus/Prunus_persica/p.persica_gdr_reftransV1_0048586","p.persica_gdr_reftransV1_0048586")</f>
        <v>p.persica_gdr_reftransV1_0048586</v>
      </c>
      <c r="B13512" s="2">
        <v>1915</v>
      </c>
      <c r="C13512" s="4" t="str">
        <f>HYPERLINK("http://www.uniprot.org/uniprot/M5Y4Q5","M5Y4Q5")</f>
        <v>M5Y4Q5</v>
      </c>
      <c r="D13512" s="2" t="s">
        <v>9817</v>
      </c>
      <c r="E13512" s="3">
        <v>0</v>
      </c>
      <c r="F13512" s="2">
        <v>1788</v>
      </c>
      <c r="G13512" s="2">
        <v>100</v>
      </c>
      <c r="H13512" s="2">
        <v>350</v>
      </c>
      <c r="I13512" s="2">
        <v>542</v>
      </c>
      <c r="J13512" s="2">
        <v>1591</v>
      </c>
      <c r="K13512" s="2">
        <v>1</v>
      </c>
      <c r="L13512" s="2">
        <v>350</v>
      </c>
    </row>
    <row r="13513" spans="1:12" x14ac:dyDescent="0.25">
      <c r="A13513" s="4" t="str">
        <f>HYPERLINK("http://www.rosaceae.org/Prunus/Prunus_persica/p.persica_gdr_reftransV1_0000287","p.persica_gdr_reftransV1_0000287")</f>
        <v>p.persica_gdr_reftransV1_0000287</v>
      </c>
      <c r="B13513" s="2">
        <v>2951</v>
      </c>
      <c r="C13513" s="4" t="str">
        <f>HYPERLINK("http://www.uniprot.org/uniprot/M5Y1R8","M5Y1R8")</f>
        <v>M5Y1R8</v>
      </c>
      <c r="D13513" s="2" t="s">
        <v>11113</v>
      </c>
      <c r="E13513" s="3">
        <v>0</v>
      </c>
      <c r="F13513" s="2">
        <v>4148</v>
      </c>
      <c r="G13513" s="2">
        <v>100</v>
      </c>
      <c r="H13513" s="2">
        <v>815</v>
      </c>
      <c r="I13513" s="2">
        <v>126</v>
      </c>
      <c r="J13513" s="2">
        <v>2570</v>
      </c>
      <c r="K13513" s="2">
        <v>1</v>
      </c>
      <c r="L13513" s="2">
        <v>815</v>
      </c>
    </row>
    <row r="13514" spans="1:12" x14ac:dyDescent="0.25">
      <c r="A13514" s="4" t="str">
        <f>HYPERLINK("http://www.rosaceae.org/Prunus/Prunus_persica/p.persica_gdr_reftransV1_0000637","p.persica_gdr_reftransV1_0000637")</f>
        <v>p.persica_gdr_reftransV1_0000637</v>
      </c>
      <c r="B13514" s="2">
        <v>310</v>
      </c>
      <c r="C13514" s="4" t="str">
        <f>HYPERLINK("http://www.uniprot.org/uniprot/M5Y489","M5Y489")</f>
        <v>M5Y489</v>
      </c>
      <c r="D13514" s="2" t="s">
        <v>1199</v>
      </c>
      <c r="E13514" s="3">
        <v>9.7199999999999993E-53</v>
      </c>
      <c r="F13514" s="2">
        <v>477</v>
      </c>
      <c r="G13514" s="2">
        <v>100</v>
      </c>
      <c r="H13514" s="2">
        <v>103</v>
      </c>
      <c r="I13514" s="2">
        <v>1</v>
      </c>
      <c r="J13514" s="2">
        <v>309</v>
      </c>
      <c r="K13514" s="2">
        <v>998</v>
      </c>
      <c r="L13514" s="2">
        <v>1100</v>
      </c>
    </row>
    <row r="13515" spans="1:12" x14ac:dyDescent="0.25">
      <c r="A13515" s="4" t="str">
        <f>HYPERLINK("http://www.rosaceae.org/Prunus/Prunus_persica/p.persica_gdr_reftransV1_0000987","p.persica_gdr_reftransV1_0000987")</f>
        <v>p.persica_gdr_reftransV1_0000987</v>
      </c>
      <c r="B13515" s="2">
        <v>781</v>
      </c>
      <c r="C13515" s="4" t="str">
        <f>HYPERLINK("http://www.uniprot.org/uniprot/M5X0H0","M5X0H0")</f>
        <v>M5X0H0</v>
      </c>
      <c r="D13515" s="2" t="s">
        <v>11114</v>
      </c>
      <c r="E13515" s="3">
        <v>7.2400000000000002E-107</v>
      </c>
      <c r="F13515" s="2">
        <v>818</v>
      </c>
      <c r="G13515" s="2">
        <v>100</v>
      </c>
      <c r="H13515" s="2">
        <v>157</v>
      </c>
      <c r="I13515" s="2">
        <v>97</v>
      </c>
      <c r="J13515" s="2">
        <v>567</v>
      </c>
      <c r="K13515" s="2">
        <v>36</v>
      </c>
      <c r="L13515" s="2">
        <v>192</v>
      </c>
    </row>
    <row r="13516" spans="1:12" x14ac:dyDescent="0.25">
      <c r="A13516" s="4" t="str">
        <f>HYPERLINK("http://www.rosaceae.org/Prunus/Prunus_persica/p.persica_gdr_reftransV1_0002037","p.persica_gdr_reftransV1_0002037")</f>
        <v>p.persica_gdr_reftransV1_0002037</v>
      </c>
      <c r="B13516" s="2">
        <v>1490</v>
      </c>
      <c r="C13516" s="4" t="str">
        <f>HYPERLINK("http://www.uniprot.org/uniprot/M5Y2X2","M5Y2X2")</f>
        <v>M5Y2X2</v>
      </c>
      <c r="D13516" s="2" t="s">
        <v>7984</v>
      </c>
      <c r="E13516" s="3">
        <v>0</v>
      </c>
      <c r="F13516" s="2">
        <v>2424</v>
      </c>
      <c r="G13516" s="2">
        <v>99</v>
      </c>
      <c r="H13516" s="2">
        <v>469</v>
      </c>
      <c r="I13516" s="2">
        <v>1</v>
      </c>
      <c r="J13516" s="2">
        <v>1407</v>
      </c>
      <c r="K13516" s="2">
        <v>68</v>
      </c>
      <c r="L13516" s="2">
        <v>536</v>
      </c>
    </row>
    <row r="13517" spans="1:12" x14ac:dyDescent="0.25">
      <c r="A13517" s="4" t="str">
        <f>HYPERLINK("http://www.rosaceae.org/Prunus/Prunus_persica/p.persica_gdr_reftransV1_0002387","p.persica_gdr_reftransV1_0002387")</f>
        <v>p.persica_gdr_reftransV1_0002387</v>
      </c>
      <c r="B13517" s="2">
        <v>1506</v>
      </c>
      <c r="C13517" s="4" t="str">
        <f>HYPERLINK("http://www.uniprot.org/uniprot/M5W8J7","M5W8J7")</f>
        <v>M5W8J7</v>
      </c>
      <c r="D13517" s="2" t="s">
        <v>6633</v>
      </c>
      <c r="E13517" s="3">
        <v>2.19E-159</v>
      </c>
      <c r="F13517" s="2">
        <v>1208</v>
      </c>
      <c r="G13517" s="2">
        <v>64</v>
      </c>
      <c r="H13517" s="2">
        <v>387</v>
      </c>
      <c r="I13517" s="2">
        <v>305</v>
      </c>
      <c r="J13517" s="2">
        <v>1426</v>
      </c>
      <c r="K13517" s="2">
        <v>4</v>
      </c>
      <c r="L13517" s="2">
        <v>375</v>
      </c>
    </row>
    <row r="13518" spans="1:12" x14ac:dyDescent="0.25">
      <c r="A13518" s="4" t="str">
        <f>HYPERLINK("http://www.rosaceae.org/Prunus/Prunus_persica/p.persica_gdr_reftransV1_0002737","p.persica_gdr_reftransV1_0002737")</f>
        <v>p.persica_gdr_reftransV1_0002737</v>
      </c>
      <c r="B13518" s="2">
        <v>1611</v>
      </c>
      <c r="C13518" s="4" t="str">
        <f>HYPERLINK("http://www.uniprot.org/uniprot/M5X1H2","M5X1H2")</f>
        <v>M5X1H2</v>
      </c>
      <c r="D13518" s="2" t="s">
        <v>4754</v>
      </c>
      <c r="E13518" s="3">
        <v>4.5600000000000004E-174</v>
      </c>
      <c r="F13518" s="2">
        <v>1302</v>
      </c>
      <c r="G13518" s="2">
        <v>99</v>
      </c>
      <c r="H13518" s="2">
        <v>306</v>
      </c>
      <c r="I13518" s="2">
        <v>261</v>
      </c>
      <c r="J13518" s="2">
        <v>1178</v>
      </c>
      <c r="K13518" s="2">
        <v>1</v>
      </c>
      <c r="L13518" s="2">
        <v>306</v>
      </c>
    </row>
    <row r="13519" spans="1:12" x14ac:dyDescent="0.25">
      <c r="A13519" s="4" t="str">
        <f>HYPERLINK("http://www.rosaceae.org/Prunus/Prunus_persica/p.persica_gdr_reftransV1_0003087","p.persica_gdr_reftransV1_0003087")</f>
        <v>p.persica_gdr_reftransV1_0003087</v>
      </c>
      <c r="B13519" s="2">
        <v>351</v>
      </c>
      <c r="C13519" s="4" t="str">
        <f>HYPERLINK("http://www.uniprot.org/uniprot/M5VKE2","M5VKE2")</f>
        <v>M5VKE2</v>
      </c>
      <c r="D13519" s="2" t="s">
        <v>11115</v>
      </c>
      <c r="E13519" s="3">
        <v>3.6900000000000002E-79</v>
      </c>
      <c r="F13519" s="2">
        <v>631</v>
      </c>
      <c r="G13519" s="2">
        <v>100</v>
      </c>
      <c r="H13519" s="2">
        <v>117</v>
      </c>
      <c r="I13519" s="2">
        <v>1</v>
      </c>
      <c r="J13519" s="2">
        <v>351</v>
      </c>
      <c r="K13519" s="2">
        <v>179</v>
      </c>
      <c r="L13519" s="2">
        <v>295</v>
      </c>
    </row>
    <row r="13520" spans="1:12" x14ac:dyDescent="0.25">
      <c r="A13520" s="4" t="str">
        <f>HYPERLINK("http://www.rosaceae.org/Prunus/Prunus_persica/p.persica_gdr_reftransV1_0003787","p.persica_gdr_reftransV1_0003787")</f>
        <v>p.persica_gdr_reftransV1_0003787</v>
      </c>
      <c r="B13520" s="2">
        <v>983</v>
      </c>
      <c r="C13520" s="4" t="str">
        <f>HYPERLINK("http://www.uniprot.org/uniprot/M5W6L4","M5W6L4")</f>
        <v>M5W6L4</v>
      </c>
      <c r="D13520" s="2" t="s">
        <v>3321</v>
      </c>
      <c r="E13520" s="3">
        <v>0</v>
      </c>
      <c r="F13520" s="2">
        <v>1500</v>
      </c>
      <c r="G13520" s="2">
        <v>100</v>
      </c>
      <c r="H13520" s="2">
        <v>279</v>
      </c>
      <c r="I13520" s="2">
        <v>145</v>
      </c>
      <c r="J13520" s="2">
        <v>981</v>
      </c>
      <c r="K13520" s="2">
        <v>340</v>
      </c>
      <c r="L13520" s="2">
        <v>618</v>
      </c>
    </row>
    <row r="13521" spans="1:12" x14ac:dyDescent="0.25">
      <c r="A13521" s="4" t="str">
        <f>HYPERLINK("http://www.rosaceae.org/Prunus/Prunus_persica/p.persica_gdr_reftransV1_0004837","p.persica_gdr_reftransV1_0004837")</f>
        <v>p.persica_gdr_reftransV1_0004837</v>
      </c>
      <c r="B13521" s="2">
        <v>1088</v>
      </c>
      <c r="C13521" s="4" t="str">
        <f>HYPERLINK("http://www.uniprot.org/uniprot/M5XMK5","M5XMK5")</f>
        <v>M5XMK5</v>
      </c>
      <c r="D13521" s="2" t="s">
        <v>7403</v>
      </c>
      <c r="E13521" s="3">
        <v>1.9499999999999999E-97</v>
      </c>
      <c r="F13521" s="2">
        <v>763</v>
      </c>
      <c r="G13521" s="2">
        <v>100</v>
      </c>
      <c r="H13521" s="2">
        <v>169</v>
      </c>
      <c r="I13521" s="2">
        <v>270</v>
      </c>
      <c r="J13521" s="2">
        <v>776</v>
      </c>
      <c r="K13521" s="2">
        <v>1</v>
      </c>
      <c r="L13521" s="2">
        <v>169</v>
      </c>
    </row>
    <row r="13522" spans="1:12" x14ac:dyDescent="0.25">
      <c r="A13522" s="4" t="str">
        <f>HYPERLINK("http://www.rosaceae.org/Prunus/Prunus_persica/p.persica_gdr_reftransV1_0005537","p.persica_gdr_reftransV1_0005537")</f>
        <v>p.persica_gdr_reftransV1_0005537</v>
      </c>
      <c r="B13522" s="2">
        <v>1119</v>
      </c>
      <c r="C13522" s="4" t="str">
        <f>HYPERLINK("http://www.uniprot.org/uniprot/M5WJE2","M5WJE2")</f>
        <v>M5WJE2</v>
      </c>
      <c r="D13522" s="2" t="s">
        <v>11116</v>
      </c>
      <c r="E13522" s="3">
        <v>6.9199999999999998E-131</v>
      </c>
      <c r="F13522" s="2">
        <v>524</v>
      </c>
      <c r="G13522" s="2">
        <v>94</v>
      </c>
      <c r="H13522" s="2">
        <v>103</v>
      </c>
      <c r="I13522" s="2">
        <v>176</v>
      </c>
      <c r="J13522" s="2">
        <v>484</v>
      </c>
      <c r="K13522" s="2">
        <v>164</v>
      </c>
      <c r="L13522" s="2">
        <v>266</v>
      </c>
    </row>
    <row r="13523" spans="1:12" x14ac:dyDescent="0.25">
      <c r="A13523" s="4" t="str">
        <f>HYPERLINK("http://www.rosaceae.org/Prunus/Prunus_persica/p.persica_gdr_reftransV1_0006237","p.persica_gdr_reftransV1_0006237")</f>
        <v>p.persica_gdr_reftransV1_0006237</v>
      </c>
      <c r="B13523" s="2">
        <v>1127</v>
      </c>
      <c r="C13523" s="4" t="str">
        <f>HYPERLINK("http://www.uniprot.org/uniprot/M5WXU1","M5WXU1")</f>
        <v>M5WXU1</v>
      </c>
      <c r="D13523" s="2" t="s">
        <v>11117</v>
      </c>
      <c r="E13523" s="3">
        <v>0</v>
      </c>
      <c r="F13523" s="2">
        <v>1599</v>
      </c>
      <c r="G13523" s="2">
        <v>100</v>
      </c>
      <c r="H13523" s="2">
        <v>304</v>
      </c>
      <c r="I13523" s="2">
        <v>214</v>
      </c>
      <c r="J13523" s="2">
        <v>1125</v>
      </c>
      <c r="K13523" s="2">
        <v>69</v>
      </c>
      <c r="L13523" s="2">
        <v>372</v>
      </c>
    </row>
    <row r="13524" spans="1:12" x14ac:dyDescent="0.25">
      <c r="A13524" s="4" t="str">
        <f>HYPERLINK("http://www.rosaceae.org/Prunus/Prunus_persica/p.persica_gdr_reftransV1_0006587","p.persica_gdr_reftransV1_0006587")</f>
        <v>p.persica_gdr_reftransV1_0006587</v>
      </c>
      <c r="B13524" s="2">
        <v>1901</v>
      </c>
      <c r="C13524" s="4" t="str">
        <f>HYPERLINK("http://www.uniprot.org/uniprot/M5W344","M5W344")</f>
        <v>M5W344</v>
      </c>
      <c r="D13524" s="2" t="s">
        <v>57</v>
      </c>
      <c r="E13524" s="3">
        <v>0</v>
      </c>
      <c r="F13524" s="2">
        <v>2948</v>
      </c>
      <c r="G13524" s="2">
        <v>100</v>
      </c>
      <c r="H13524" s="2">
        <v>594</v>
      </c>
      <c r="I13524" s="2">
        <v>119</v>
      </c>
      <c r="J13524" s="2">
        <v>1900</v>
      </c>
      <c r="K13524" s="2">
        <v>60</v>
      </c>
      <c r="L13524" s="2">
        <v>653</v>
      </c>
    </row>
    <row r="13525" spans="1:12" x14ac:dyDescent="0.25">
      <c r="A13525" s="4" t="str">
        <f>HYPERLINK("http://www.rosaceae.org/Prunus/Prunus_persica/p.persica_gdr_reftransV1_0007637","p.persica_gdr_reftransV1_0007637")</f>
        <v>p.persica_gdr_reftransV1_0007637</v>
      </c>
      <c r="B13525" s="2">
        <v>541</v>
      </c>
      <c r="C13525" s="4" t="str">
        <f>HYPERLINK("http://www.uniprot.org/uniprot/M5Y6V8","M5Y6V8")</f>
        <v>M5Y6V8</v>
      </c>
      <c r="D13525" s="2" t="s">
        <v>10393</v>
      </c>
      <c r="E13525" s="3">
        <v>5.0099999999999997E-110</v>
      </c>
      <c r="F13525" s="2">
        <v>850</v>
      </c>
      <c r="G13525" s="2">
        <v>100</v>
      </c>
      <c r="H13525" s="2">
        <v>161</v>
      </c>
      <c r="I13525" s="2">
        <v>1</v>
      </c>
      <c r="J13525" s="2">
        <v>483</v>
      </c>
      <c r="K13525" s="2">
        <v>1</v>
      </c>
      <c r="L13525" s="2">
        <v>161</v>
      </c>
    </row>
    <row r="13526" spans="1:12" x14ac:dyDescent="0.25">
      <c r="A13526" s="4" t="str">
        <f>HYPERLINK("http://www.rosaceae.org/Prunus/Prunus_persica/p.persica_gdr_reftransV1_0008337","p.persica_gdr_reftransV1_0008337")</f>
        <v>p.persica_gdr_reftransV1_0008337</v>
      </c>
      <c r="B13526" s="2">
        <v>1850</v>
      </c>
      <c r="C13526" s="4" t="str">
        <f>HYPERLINK("http://www.uniprot.org/uniprot/M5Y431","M5Y431")</f>
        <v>M5Y431</v>
      </c>
      <c r="D13526" s="2" t="s">
        <v>5941</v>
      </c>
      <c r="E13526" s="3">
        <v>0</v>
      </c>
      <c r="F13526" s="2">
        <v>1606</v>
      </c>
      <c r="G13526" s="2">
        <v>98</v>
      </c>
      <c r="H13526" s="2">
        <v>352</v>
      </c>
      <c r="I13526" s="2">
        <v>64</v>
      </c>
      <c r="J13526" s="2">
        <v>1119</v>
      </c>
      <c r="K13526" s="2">
        <v>153</v>
      </c>
      <c r="L13526" s="2">
        <v>498</v>
      </c>
    </row>
    <row r="13527" spans="1:12" x14ac:dyDescent="0.25">
      <c r="A13527" s="4" t="str">
        <f>HYPERLINK("http://www.rosaceae.org/Prunus/Prunus_persica/p.persica_gdr_reftransV1_0009037","p.persica_gdr_reftransV1_0009037")</f>
        <v>p.persica_gdr_reftransV1_0009037</v>
      </c>
      <c r="B13527" s="2">
        <v>2519</v>
      </c>
      <c r="C13527" s="4" t="str">
        <f>HYPERLINK("http://www.uniprot.org/uniprot/M5WU42","M5WU42")</f>
        <v>M5WU42</v>
      </c>
      <c r="D13527" s="2" t="s">
        <v>11118</v>
      </c>
      <c r="E13527" s="3">
        <v>3.6400000000000002E-166</v>
      </c>
      <c r="F13527" s="2">
        <v>1303</v>
      </c>
      <c r="G13527" s="2">
        <v>92</v>
      </c>
      <c r="H13527" s="2">
        <v>274</v>
      </c>
      <c r="I13527" s="2">
        <v>1589</v>
      </c>
      <c r="J13527" s="2">
        <v>2371</v>
      </c>
      <c r="K13527" s="2">
        <v>223</v>
      </c>
      <c r="L13527" s="2">
        <v>494</v>
      </c>
    </row>
    <row r="13528" spans="1:12" x14ac:dyDescent="0.25">
      <c r="A13528" s="4" t="str">
        <f>HYPERLINK("http://www.rosaceae.org/Prunus/Prunus_persica/p.persica_gdr_reftransV1_0009387","p.persica_gdr_reftransV1_0009387")</f>
        <v>p.persica_gdr_reftransV1_0009387</v>
      </c>
      <c r="B13528" s="2">
        <v>1934</v>
      </c>
      <c r="C13528" s="4" t="str">
        <f>HYPERLINK("http://www.uniprot.org/uniprot/M5XLK0","M5XLK0")</f>
        <v>M5XLK0</v>
      </c>
      <c r="D13528" s="2" t="s">
        <v>11119</v>
      </c>
      <c r="E13528" s="3">
        <v>0</v>
      </c>
      <c r="F13528" s="2">
        <v>1400</v>
      </c>
      <c r="G13528" s="2">
        <v>100</v>
      </c>
      <c r="H13528" s="2">
        <v>308</v>
      </c>
      <c r="I13528" s="2">
        <v>938</v>
      </c>
      <c r="J13528" s="2">
        <v>1861</v>
      </c>
      <c r="K13528" s="2">
        <v>1</v>
      </c>
      <c r="L13528" s="2">
        <v>308</v>
      </c>
    </row>
    <row r="13529" spans="1:12" x14ac:dyDescent="0.25">
      <c r="A13529" s="4" t="str">
        <f>HYPERLINK("http://www.rosaceae.org/Prunus/Prunus_persica/p.persica_gdr_reftransV1_0009737","p.persica_gdr_reftransV1_0009737")</f>
        <v>p.persica_gdr_reftransV1_0009737</v>
      </c>
      <c r="B13529" s="2">
        <v>2004</v>
      </c>
      <c r="C13529" s="4" t="str">
        <f>HYPERLINK("http://www.uniprot.org/uniprot/M5X3V4","M5X3V4")</f>
        <v>M5X3V4</v>
      </c>
      <c r="D13529" s="2" t="s">
        <v>11120</v>
      </c>
      <c r="E13529" s="3">
        <v>0</v>
      </c>
      <c r="F13529" s="2">
        <v>2825</v>
      </c>
      <c r="G13529" s="2">
        <v>98</v>
      </c>
      <c r="H13529" s="2">
        <v>548</v>
      </c>
      <c r="I13529" s="2">
        <v>288</v>
      </c>
      <c r="J13529" s="2">
        <v>1931</v>
      </c>
      <c r="K13529" s="2">
        <v>1</v>
      </c>
      <c r="L13529" s="2">
        <v>536</v>
      </c>
    </row>
    <row r="13530" spans="1:12" x14ac:dyDescent="0.25">
      <c r="A13530" s="4" t="str">
        <f>HYPERLINK("http://www.rosaceae.org/Prunus/Prunus_persica/p.persica_gdr_reftransV1_0010087","p.persica_gdr_reftransV1_0010087")</f>
        <v>p.persica_gdr_reftransV1_0010087</v>
      </c>
      <c r="B13530" s="2">
        <v>5597</v>
      </c>
      <c r="C13530" s="4" t="str">
        <f>HYPERLINK("http://www.uniprot.org/uniprot/M5XL24","M5XL24")</f>
        <v>M5XL24</v>
      </c>
      <c r="D13530" s="2" t="s">
        <v>11121</v>
      </c>
      <c r="E13530" s="3">
        <v>0</v>
      </c>
      <c r="F13530" s="2">
        <v>2272</v>
      </c>
      <c r="G13530" s="2">
        <v>100</v>
      </c>
      <c r="H13530" s="2">
        <v>470</v>
      </c>
      <c r="I13530" s="2">
        <v>1444</v>
      </c>
      <c r="J13530" s="2">
        <v>2853</v>
      </c>
      <c r="K13530" s="2">
        <v>61</v>
      </c>
      <c r="L13530" s="2">
        <v>530</v>
      </c>
    </row>
    <row r="13531" spans="1:12" x14ac:dyDescent="0.25">
      <c r="A13531" s="4" t="str">
        <f>HYPERLINK("http://www.rosaceae.org/Prunus/Prunus_persica/p.persica_gdr_reftransV1_0011487","p.persica_gdr_reftransV1_0011487")</f>
        <v>p.persica_gdr_reftransV1_0011487</v>
      </c>
      <c r="B13531" s="2">
        <v>411</v>
      </c>
      <c r="C13531" s="4" t="str">
        <f>HYPERLINK("http://www.uniprot.org/uniprot/M5XKZ8","M5XKZ8")</f>
        <v>M5XKZ8</v>
      </c>
      <c r="D13531" s="2" t="s">
        <v>2126</v>
      </c>
      <c r="E13531" s="3">
        <v>1.37E-89</v>
      </c>
      <c r="F13531" s="2">
        <v>746</v>
      </c>
      <c r="G13531" s="2">
        <v>100</v>
      </c>
      <c r="H13531" s="2">
        <v>137</v>
      </c>
      <c r="I13531" s="2">
        <v>1</v>
      </c>
      <c r="J13531" s="2">
        <v>411</v>
      </c>
      <c r="K13531" s="2">
        <v>507</v>
      </c>
      <c r="L13531" s="2">
        <v>643</v>
      </c>
    </row>
    <row r="13532" spans="1:12" x14ac:dyDescent="0.25">
      <c r="A13532" s="4" t="str">
        <f>HYPERLINK("http://www.rosaceae.org/Prunus/Prunus_persica/p.persica_gdr_reftransV1_0011837","p.persica_gdr_reftransV1_0011837")</f>
        <v>p.persica_gdr_reftransV1_0011837</v>
      </c>
      <c r="B13532" s="2">
        <v>586</v>
      </c>
      <c r="C13532" s="4" t="str">
        <f>HYPERLINK("http://www.uniprot.org/uniprot/M5WXP9","M5WXP9")</f>
        <v>M5WXP9</v>
      </c>
      <c r="D13532" s="2" t="s">
        <v>11122</v>
      </c>
      <c r="E13532" s="3">
        <v>1.2099999999999999E-66</v>
      </c>
      <c r="F13532" s="2">
        <v>572</v>
      </c>
      <c r="G13532" s="2">
        <v>99</v>
      </c>
      <c r="H13532" s="2">
        <v>111</v>
      </c>
      <c r="I13532" s="2">
        <v>227</v>
      </c>
      <c r="J13532" s="2">
        <v>559</v>
      </c>
      <c r="K13532" s="2">
        <v>1</v>
      </c>
      <c r="L13532" s="2">
        <v>111</v>
      </c>
    </row>
    <row r="13533" spans="1:12" x14ac:dyDescent="0.25">
      <c r="A13533" s="4" t="str">
        <f>HYPERLINK("http://www.rosaceae.org/Prunus/Prunus_persica/p.persica_gdr_reftransV1_0012187","p.persica_gdr_reftransV1_0012187")</f>
        <v>p.persica_gdr_reftransV1_0012187</v>
      </c>
      <c r="B13533" s="2">
        <v>1057</v>
      </c>
      <c r="C13533" s="4" t="str">
        <f>HYPERLINK("http://www.uniprot.org/uniprot/M5XS31","M5XS31")</f>
        <v>M5XS31</v>
      </c>
      <c r="D13533" s="2" t="s">
        <v>11123</v>
      </c>
      <c r="E13533" s="3">
        <v>2.6800000000000001E-127</v>
      </c>
      <c r="F13533" s="2">
        <v>961</v>
      </c>
      <c r="G13533" s="2">
        <v>100</v>
      </c>
      <c r="H13533" s="2">
        <v>181</v>
      </c>
      <c r="I13533" s="2">
        <v>165</v>
      </c>
      <c r="J13533" s="2">
        <v>707</v>
      </c>
      <c r="K13533" s="2">
        <v>6</v>
      </c>
      <c r="L13533" s="2">
        <v>186</v>
      </c>
    </row>
    <row r="13534" spans="1:12" x14ac:dyDescent="0.25">
      <c r="A13534" s="4" t="str">
        <f>HYPERLINK("http://www.rosaceae.org/Prunus/Prunus_persica/p.persica_gdr_reftransV1_0012887","p.persica_gdr_reftransV1_0012887")</f>
        <v>p.persica_gdr_reftransV1_0012887</v>
      </c>
      <c r="B13534" s="2">
        <v>3219</v>
      </c>
      <c r="C13534" s="4" t="str">
        <f>HYPERLINK("http://www.uniprot.org/uniprot/M5XYQ2","M5XYQ2")</f>
        <v>M5XYQ2</v>
      </c>
      <c r="D13534" s="2" t="s">
        <v>11124</v>
      </c>
      <c r="E13534" s="3">
        <v>4.3299999999999998E-85</v>
      </c>
      <c r="F13534" s="2">
        <v>734</v>
      </c>
      <c r="G13534" s="2">
        <v>100</v>
      </c>
      <c r="H13534" s="2">
        <v>168</v>
      </c>
      <c r="I13534" s="2">
        <v>268</v>
      </c>
      <c r="J13534" s="2">
        <v>771</v>
      </c>
      <c r="K13534" s="2">
        <v>1</v>
      </c>
      <c r="L13534" s="2">
        <v>168</v>
      </c>
    </row>
    <row r="13535" spans="1:12" x14ac:dyDescent="0.25">
      <c r="A13535" s="4" t="str">
        <f>HYPERLINK("http://www.rosaceae.org/Prunus/Prunus_persica/p.persica_gdr_reftransV1_0013237","p.persica_gdr_reftransV1_0013237")</f>
        <v>p.persica_gdr_reftransV1_0013237</v>
      </c>
      <c r="B13535" s="2">
        <v>1932</v>
      </c>
      <c r="C13535" s="4" t="str">
        <f>HYPERLINK("http://www.uniprot.org/uniprot/M5VMS3","M5VMS3")</f>
        <v>M5VMS3</v>
      </c>
      <c r="D13535" s="2" t="s">
        <v>2135</v>
      </c>
      <c r="E13535" s="3">
        <v>0</v>
      </c>
      <c r="F13535" s="2">
        <v>1420</v>
      </c>
      <c r="G13535" s="2">
        <v>99</v>
      </c>
      <c r="H13535" s="2">
        <v>321</v>
      </c>
      <c r="I13535" s="2">
        <v>556</v>
      </c>
      <c r="J13535" s="2">
        <v>1518</v>
      </c>
      <c r="K13535" s="2">
        <v>1</v>
      </c>
      <c r="L13535" s="2">
        <v>321</v>
      </c>
    </row>
    <row r="13536" spans="1:12" x14ac:dyDescent="0.25">
      <c r="A13536" s="4" t="str">
        <f>HYPERLINK("http://www.rosaceae.org/Prunus/Prunus_persica/p.persica_gdr_reftransV1_0014287","p.persica_gdr_reftransV1_0014287")</f>
        <v>p.persica_gdr_reftransV1_0014287</v>
      </c>
      <c r="B13536" s="2">
        <v>1050</v>
      </c>
      <c r="C13536" s="4" t="str">
        <f>HYPERLINK("http://www.uniprot.org/uniprot/A0A068VDJ5","A0A068VDJ5")</f>
        <v>A0A068VDJ5</v>
      </c>
      <c r="D13536" s="2" t="s">
        <v>11125</v>
      </c>
      <c r="E13536" s="3">
        <v>1.94E-52</v>
      </c>
      <c r="F13536" s="2">
        <v>495</v>
      </c>
      <c r="G13536" s="2">
        <v>51</v>
      </c>
      <c r="H13536" s="2">
        <v>187</v>
      </c>
      <c r="I13536" s="2">
        <v>42</v>
      </c>
      <c r="J13536" s="2">
        <v>599</v>
      </c>
      <c r="K13536" s="2">
        <v>26</v>
      </c>
      <c r="L13536" s="2">
        <v>212</v>
      </c>
    </row>
    <row r="13537" spans="1:12" x14ac:dyDescent="0.25">
      <c r="A13537" s="4" t="str">
        <f>HYPERLINK("http://www.rosaceae.org/Prunus/Prunus_persica/p.persica_gdr_reftransV1_0015687","p.persica_gdr_reftransV1_0015687")</f>
        <v>p.persica_gdr_reftransV1_0015687</v>
      </c>
      <c r="B13537" s="2">
        <v>2517</v>
      </c>
      <c r="C13537" s="4" t="str">
        <f>HYPERLINK("http://www.uniprot.org/uniprot/M5VXH4","M5VXH4")</f>
        <v>M5VXH4</v>
      </c>
      <c r="D13537" s="2" t="s">
        <v>10513</v>
      </c>
      <c r="E13537" s="3">
        <v>0</v>
      </c>
      <c r="F13537" s="2">
        <v>2549</v>
      </c>
      <c r="G13537" s="2">
        <v>100</v>
      </c>
      <c r="H13537" s="2">
        <v>486</v>
      </c>
      <c r="I13537" s="2">
        <v>1</v>
      </c>
      <c r="J13537" s="2">
        <v>1458</v>
      </c>
      <c r="K13537" s="2">
        <v>31</v>
      </c>
      <c r="L13537" s="2">
        <v>516</v>
      </c>
    </row>
    <row r="13538" spans="1:12" x14ac:dyDescent="0.25">
      <c r="A13538" s="4" t="str">
        <f>HYPERLINK("http://www.rosaceae.org/Prunus/Prunus_persica/p.persica_gdr_reftransV1_0017087","p.persica_gdr_reftransV1_0017087")</f>
        <v>p.persica_gdr_reftransV1_0017087</v>
      </c>
      <c r="B13538" s="2">
        <v>2914</v>
      </c>
      <c r="C13538" s="4" t="str">
        <f>HYPERLINK("http://www.uniprot.org/uniprot/M5W6I3","M5W6I3")</f>
        <v>M5W6I3</v>
      </c>
      <c r="D13538" s="2" t="s">
        <v>4089</v>
      </c>
      <c r="E13538" s="3">
        <v>0</v>
      </c>
      <c r="F13538" s="2">
        <v>3511</v>
      </c>
      <c r="G13538" s="2">
        <v>100</v>
      </c>
      <c r="H13538" s="2">
        <v>789</v>
      </c>
      <c r="I13538" s="2">
        <v>1</v>
      </c>
      <c r="J13538" s="2">
        <v>2367</v>
      </c>
      <c r="K13538" s="2">
        <v>1</v>
      </c>
      <c r="L13538" s="2">
        <v>789</v>
      </c>
    </row>
    <row r="13539" spans="1:12" x14ac:dyDescent="0.25">
      <c r="A13539" s="4" t="str">
        <f>HYPERLINK("http://www.rosaceae.org/Prunus/Prunus_persica/p.persica_gdr_reftransV1_0017787","p.persica_gdr_reftransV1_0017787")</f>
        <v>p.persica_gdr_reftransV1_0017787</v>
      </c>
      <c r="B13539" s="2">
        <v>1606</v>
      </c>
      <c r="C13539" s="4" t="str">
        <f>HYPERLINK("http://www.uniprot.org/uniprot/M5VYF1","M5VYF1")</f>
        <v>M5VYF1</v>
      </c>
      <c r="D13539" s="2" t="s">
        <v>11126</v>
      </c>
      <c r="E13539" s="3">
        <v>0</v>
      </c>
      <c r="F13539" s="2">
        <v>2140</v>
      </c>
      <c r="G13539" s="2">
        <v>100</v>
      </c>
      <c r="H13539" s="2">
        <v>418</v>
      </c>
      <c r="I13539" s="2">
        <v>211</v>
      </c>
      <c r="J13539" s="2">
        <v>1464</v>
      </c>
      <c r="K13539" s="2">
        <v>1</v>
      </c>
      <c r="L13539" s="2">
        <v>418</v>
      </c>
    </row>
    <row r="13540" spans="1:12" x14ac:dyDescent="0.25">
      <c r="A13540" s="4" t="str">
        <f>HYPERLINK("http://www.rosaceae.org/Prunus/Prunus_persica/p.persica_gdr_reftransV1_0018137","p.persica_gdr_reftransV1_0018137")</f>
        <v>p.persica_gdr_reftransV1_0018137</v>
      </c>
      <c r="B13540" s="2">
        <v>866</v>
      </c>
      <c r="C13540" s="4" t="str">
        <f>HYPERLINK("http://www.uniprot.org/uniprot/M5XPQ1","M5XPQ1")</f>
        <v>M5XPQ1</v>
      </c>
      <c r="D13540" s="2" t="s">
        <v>8229</v>
      </c>
      <c r="E13540" s="3">
        <v>3.9900000000000002E-100</v>
      </c>
      <c r="F13540" s="2">
        <v>778</v>
      </c>
      <c r="G13540" s="2">
        <v>100</v>
      </c>
      <c r="H13540" s="2">
        <v>211</v>
      </c>
      <c r="I13540" s="2">
        <v>175</v>
      </c>
      <c r="J13540" s="2">
        <v>807</v>
      </c>
      <c r="K13540" s="2">
        <v>1</v>
      </c>
      <c r="L13540" s="2">
        <v>211</v>
      </c>
    </row>
    <row r="13541" spans="1:12" x14ac:dyDescent="0.25">
      <c r="A13541" s="4" t="str">
        <f>HYPERLINK("http://www.rosaceae.org/Prunus/Prunus_persica/p.persica_gdr_reftransV1_0018487","p.persica_gdr_reftransV1_0018487")</f>
        <v>p.persica_gdr_reftransV1_0018487</v>
      </c>
      <c r="B13541" s="2">
        <v>2352</v>
      </c>
      <c r="C13541" s="4" t="str">
        <f>HYPERLINK("http://www.uniprot.org/uniprot/M5VXA7","M5VXA7")</f>
        <v>M5VXA7</v>
      </c>
      <c r="D13541" s="2" t="s">
        <v>11127</v>
      </c>
      <c r="E13541" s="3">
        <v>0</v>
      </c>
      <c r="F13541" s="2">
        <v>1918</v>
      </c>
      <c r="G13541" s="2">
        <v>100</v>
      </c>
      <c r="H13541" s="2">
        <v>438</v>
      </c>
      <c r="I13541" s="2">
        <v>744</v>
      </c>
      <c r="J13541" s="2">
        <v>2057</v>
      </c>
      <c r="K13541" s="2">
        <v>1</v>
      </c>
      <c r="L13541" s="2">
        <v>438</v>
      </c>
    </row>
    <row r="13542" spans="1:12" x14ac:dyDescent="0.25">
      <c r="A13542" s="4" t="str">
        <f>HYPERLINK("http://www.rosaceae.org/Prunus/Prunus_persica/p.persica_gdr_reftransV1_0018837","p.persica_gdr_reftransV1_0018837")</f>
        <v>p.persica_gdr_reftransV1_0018837</v>
      </c>
      <c r="B13542" s="2">
        <v>1577</v>
      </c>
      <c r="C13542" s="4" t="str">
        <f>HYPERLINK("http://www.uniprot.org/uniprot/M5WFW5","M5WFW5")</f>
        <v>M5WFW5</v>
      </c>
      <c r="D13542" s="2" t="s">
        <v>11128</v>
      </c>
      <c r="E13542" s="3">
        <v>0</v>
      </c>
      <c r="F13542" s="2">
        <v>2027</v>
      </c>
      <c r="G13542" s="2">
        <v>100</v>
      </c>
      <c r="H13542" s="2">
        <v>391</v>
      </c>
      <c r="I13542" s="2">
        <v>242</v>
      </c>
      <c r="J13542" s="2">
        <v>1414</v>
      </c>
      <c r="K13542" s="2">
        <v>1</v>
      </c>
      <c r="L13542" s="2">
        <v>391</v>
      </c>
    </row>
    <row r="13543" spans="1:12" x14ac:dyDescent="0.25">
      <c r="A13543" s="4" t="str">
        <f>HYPERLINK("http://www.rosaceae.org/Prunus/Prunus_persica/p.persica_gdr_reftransV1_0019537","p.persica_gdr_reftransV1_0019537")</f>
        <v>p.persica_gdr_reftransV1_0019537</v>
      </c>
      <c r="B13543" s="2">
        <v>2158</v>
      </c>
      <c r="C13543" s="4" t="str">
        <f>HYPERLINK("http://www.uniprot.org/uniprot/M5WPC9","M5WPC9")</f>
        <v>M5WPC9</v>
      </c>
      <c r="D13543" s="2" t="s">
        <v>11129</v>
      </c>
      <c r="E13543" s="3">
        <v>0</v>
      </c>
      <c r="F13543" s="2">
        <v>2504</v>
      </c>
      <c r="G13543" s="2">
        <v>100</v>
      </c>
      <c r="H13543" s="2">
        <v>541</v>
      </c>
      <c r="I13543" s="2">
        <v>412</v>
      </c>
      <c r="J13543" s="2">
        <v>2034</v>
      </c>
      <c r="K13543" s="2">
        <v>1</v>
      </c>
      <c r="L13543" s="2">
        <v>541</v>
      </c>
    </row>
    <row r="13544" spans="1:12" x14ac:dyDescent="0.25">
      <c r="A13544" s="4" t="str">
        <f>HYPERLINK("http://www.rosaceae.org/Prunus/Prunus_persica/p.persica_gdr_reftransV1_0019887","p.persica_gdr_reftransV1_0019887")</f>
        <v>p.persica_gdr_reftransV1_0019887</v>
      </c>
      <c r="B13544" s="2">
        <v>1660</v>
      </c>
      <c r="C13544" s="4" t="str">
        <f>HYPERLINK("http://www.uniprot.org/uniprot/M5W4P7","M5W4P7")</f>
        <v>M5W4P7</v>
      </c>
      <c r="D13544" s="2" t="s">
        <v>11130</v>
      </c>
      <c r="E13544" s="3">
        <v>1.4199999999999999E-103</v>
      </c>
      <c r="F13544" s="2">
        <v>832</v>
      </c>
      <c r="G13544" s="2">
        <v>100</v>
      </c>
      <c r="H13544" s="2">
        <v>226</v>
      </c>
      <c r="I13544" s="2">
        <v>835</v>
      </c>
      <c r="J13544" s="2">
        <v>1512</v>
      </c>
      <c r="K13544" s="2">
        <v>51</v>
      </c>
      <c r="L13544" s="2">
        <v>276</v>
      </c>
    </row>
    <row r="13545" spans="1:12" x14ac:dyDescent="0.25">
      <c r="A13545" s="4" t="str">
        <f>HYPERLINK("http://www.rosaceae.org/Prunus/Prunus_persica/p.persica_gdr_reftransV1_0020237","p.persica_gdr_reftransV1_0020237")</f>
        <v>p.persica_gdr_reftransV1_0020237</v>
      </c>
      <c r="B13545" s="2">
        <v>926</v>
      </c>
      <c r="C13545" s="4" t="str">
        <f>HYPERLINK("http://www.uniprot.org/uniprot/M5WA34","M5WA34")</f>
        <v>M5WA34</v>
      </c>
      <c r="D13545" s="2" t="s">
        <v>11131</v>
      </c>
      <c r="E13545" s="3">
        <v>4.2900000000000001E-64</v>
      </c>
      <c r="F13545" s="2">
        <v>531</v>
      </c>
      <c r="G13545" s="2">
        <v>100</v>
      </c>
      <c r="H13545" s="2">
        <v>103</v>
      </c>
      <c r="I13545" s="2">
        <v>247</v>
      </c>
      <c r="J13545" s="2">
        <v>555</v>
      </c>
      <c r="K13545" s="2">
        <v>1</v>
      </c>
      <c r="L13545" s="2">
        <v>103</v>
      </c>
    </row>
    <row r="13546" spans="1:12" x14ac:dyDescent="0.25">
      <c r="A13546" s="4" t="str">
        <f>HYPERLINK("http://www.rosaceae.org/Prunus/Prunus_persica/p.persica_gdr_reftransV1_0022687","p.persica_gdr_reftransV1_0022687")</f>
        <v>p.persica_gdr_reftransV1_0022687</v>
      </c>
      <c r="B13546" s="2">
        <v>1727</v>
      </c>
      <c r="C13546" s="4" t="str">
        <f>HYPERLINK("http://www.uniprot.org/uniprot/M5VP72","M5VP72")</f>
        <v>M5VP72</v>
      </c>
      <c r="D13546" s="2" t="s">
        <v>11132</v>
      </c>
      <c r="E13546" s="3">
        <v>3.9500000000000001E-16</v>
      </c>
      <c r="F13546" s="2">
        <v>212</v>
      </c>
      <c r="G13546" s="2">
        <v>100</v>
      </c>
      <c r="H13546" s="2">
        <v>64</v>
      </c>
      <c r="I13546" s="2">
        <v>230</v>
      </c>
      <c r="J13546" s="2">
        <v>421</v>
      </c>
      <c r="K13546" s="2">
        <v>45</v>
      </c>
      <c r="L13546" s="2">
        <v>108</v>
      </c>
    </row>
    <row r="13547" spans="1:12" x14ac:dyDescent="0.25">
      <c r="A13547" s="4" t="str">
        <f>HYPERLINK("http://www.rosaceae.org/Prunus/Prunus_persica/p.persica_gdr_reftransV1_0025137","p.persica_gdr_reftransV1_0025137")</f>
        <v>p.persica_gdr_reftransV1_0025137</v>
      </c>
      <c r="B13547" s="2">
        <v>2221</v>
      </c>
      <c r="C13547" s="4" t="str">
        <f>HYPERLINK("http://www.uniprot.org/uniprot/M5WCF5","M5WCF5")</f>
        <v>M5WCF5</v>
      </c>
      <c r="D13547" s="2" t="s">
        <v>11133</v>
      </c>
      <c r="E13547" s="3">
        <v>0</v>
      </c>
      <c r="F13547" s="2">
        <v>2599</v>
      </c>
      <c r="G13547" s="2">
        <v>100</v>
      </c>
      <c r="H13547" s="2">
        <v>576</v>
      </c>
      <c r="I13547" s="2">
        <v>365</v>
      </c>
      <c r="J13547" s="2">
        <v>2092</v>
      </c>
      <c r="K13547" s="2">
        <v>1</v>
      </c>
      <c r="L13547" s="2">
        <v>576</v>
      </c>
    </row>
    <row r="13548" spans="1:12" x14ac:dyDescent="0.25">
      <c r="A13548" s="4" t="str">
        <f>HYPERLINK("http://www.rosaceae.org/Prunus/Prunus_persica/p.persica_gdr_reftransV1_0028287","p.persica_gdr_reftransV1_0028287")</f>
        <v>p.persica_gdr_reftransV1_0028287</v>
      </c>
      <c r="B13548" s="2">
        <v>2914</v>
      </c>
      <c r="C13548" s="4" t="str">
        <f>HYPERLINK("http://www.uniprot.org/uniprot/M5W8D5","M5W8D5")</f>
        <v>M5W8D5</v>
      </c>
      <c r="D13548" s="2" t="s">
        <v>11134</v>
      </c>
      <c r="E13548" s="3">
        <v>0</v>
      </c>
      <c r="F13548" s="2">
        <v>2028</v>
      </c>
      <c r="G13548" s="2">
        <v>100</v>
      </c>
      <c r="H13548" s="2">
        <v>395</v>
      </c>
      <c r="I13548" s="2">
        <v>3</v>
      </c>
      <c r="J13548" s="2">
        <v>1187</v>
      </c>
      <c r="K13548" s="2">
        <v>386</v>
      </c>
      <c r="L13548" s="2">
        <v>780</v>
      </c>
    </row>
    <row r="13549" spans="1:12" x14ac:dyDescent="0.25">
      <c r="A13549" s="4" t="str">
        <f>HYPERLINK("http://www.rosaceae.org/Prunus/Prunus_persica/p.persica_gdr_reftransV1_0028987","p.persica_gdr_reftransV1_0028987")</f>
        <v>p.persica_gdr_reftransV1_0028987</v>
      </c>
      <c r="B13549" s="2">
        <v>2970</v>
      </c>
      <c r="C13549" s="4" t="str">
        <f>HYPERLINK("http://www.uniprot.org/uniprot/M5XNY5","M5XNY5")</f>
        <v>M5XNY5</v>
      </c>
      <c r="D13549" s="2" t="s">
        <v>3594</v>
      </c>
      <c r="E13549" s="3">
        <v>1.44E-178</v>
      </c>
      <c r="F13549" s="2">
        <v>1426</v>
      </c>
      <c r="G13549" s="2">
        <v>99</v>
      </c>
      <c r="H13549" s="2">
        <v>395</v>
      </c>
      <c r="I13549" s="2">
        <v>1470</v>
      </c>
      <c r="J13549" s="2">
        <v>2654</v>
      </c>
      <c r="K13549" s="2">
        <v>474</v>
      </c>
      <c r="L13549" s="2">
        <v>868</v>
      </c>
    </row>
    <row r="13550" spans="1:12" x14ac:dyDescent="0.25">
      <c r="A13550" s="4" t="str">
        <f>HYPERLINK("http://www.rosaceae.org/Prunus/Prunus_persica/p.persica_gdr_reftransV1_0029337","p.persica_gdr_reftransV1_0029337")</f>
        <v>p.persica_gdr_reftransV1_0029337</v>
      </c>
      <c r="B13550" s="2">
        <v>1234</v>
      </c>
      <c r="C13550" s="4" t="str">
        <f>HYPERLINK("http://www.uniprot.org/uniprot/M5XHV8","M5XHV8")</f>
        <v>M5XHV8</v>
      </c>
      <c r="D13550" s="2" t="s">
        <v>11135</v>
      </c>
      <c r="E13550" s="3">
        <v>7.9E-116</v>
      </c>
      <c r="F13550" s="2">
        <v>895</v>
      </c>
      <c r="G13550" s="2">
        <v>100</v>
      </c>
      <c r="H13550" s="2">
        <v>222</v>
      </c>
      <c r="I13550" s="2">
        <v>492</v>
      </c>
      <c r="J13550" s="2">
        <v>1157</v>
      </c>
      <c r="K13550" s="2">
        <v>1</v>
      </c>
      <c r="L13550" s="2">
        <v>222</v>
      </c>
    </row>
    <row r="13551" spans="1:12" x14ac:dyDescent="0.25">
      <c r="A13551" s="4" t="str">
        <f>HYPERLINK("http://www.rosaceae.org/Prunus/Prunus_persica/p.persica_gdr_reftransV1_0030387","p.persica_gdr_reftransV1_0030387")</f>
        <v>p.persica_gdr_reftransV1_0030387</v>
      </c>
      <c r="B13551" s="2">
        <v>486</v>
      </c>
      <c r="C13551" s="4" t="str">
        <f>HYPERLINK("http://www.uniprot.org/uniprot/G7KTQ7","G7KTQ7")</f>
        <v>G7KTQ7</v>
      </c>
      <c r="D13551" s="2" t="s">
        <v>11136</v>
      </c>
      <c r="E13551" s="3">
        <v>3.5200000000000003E-24</v>
      </c>
      <c r="F13551" s="2">
        <v>263</v>
      </c>
      <c r="G13551" s="2">
        <v>100</v>
      </c>
      <c r="H13551" s="2">
        <v>48</v>
      </c>
      <c r="I13551" s="2">
        <v>343</v>
      </c>
      <c r="J13551" s="2">
        <v>486</v>
      </c>
      <c r="K13551" s="2">
        <v>306</v>
      </c>
      <c r="L13551" s="2">
        <v>353</v>
      </c>
    </row>
    <row r="13552" spans="1:12" x14ac:dyDescent="0.25">
      <c r="A13552" s="4" t="str">
        <f>HYPERLINK("http://www.rosaceae.org/Prunus/Prunus_persica/p.persica_gdr_reftransV1_0030737","p.persica_gdr_reftransV1_0030737")</f>
        <v>p.persica_gdr_reftransV1_0030737</v>
      </c>
      <c r="B13552" s="2">
        <v>1266</v>
      </c>
      <c r="C13552" s="4" t="str">
        <f>HYPERLINK("http://www.uniprot.org/uniprot/M5W9L8","M5W9L8")</f>
        <v>M5W9L8</v>
      </c>
      <c r="D13552" s="2" t="s">
        <v>11137</v>
      </c>
      <c r="E13552" s="3">
        <v>1.97E-165</v>
      </c>
      <c r="F13552" s="2">
        <v>1225</v>
      </c>
      <c r="G13552" s="2">
        <v>97</v>
      </c>
      <c r="H13552" s="2">
        <v>236</v>
      </c>
      <c r="I13552" s="2">
        <v>303</v>
      </c>
      <c r="J13552" s="2">
        <v>1010</v>
      </c>
      <c r="K13552" s="2">
        <v>1</v>
      </c>
      <c r="L13552" s="2">
        <v>236</v>
      </c>
    </row>
    <row r="13553" spans="1:12" x14ac:dyDescent="0.25">
      <c r="A13553" s="4" t="str">
        <f>HYPERLINK("http://www.rosaceae.org/Prunus/Prunus_persica/p.persica_gdr_reftransV1_0031437","p.persica_gdr_reftransV1_0031437")</f>
        <v>p.persica_gdr_reftransV1_0031437</v>
      </c>
      <c r="B13553" s="2">
        <v>1862</v>
      </c>
      <c r="C13553" s="4" t="str">
        <f>HYPERLINK("http://www.uniprot.org/uniprot/J7G582","J7G582")</f>
        <v>J7G582</v>
      </c>
      <c r="D13553" s="2" t="s">
        <v>11138</v>
      </c>
      <c r="E13553" s="3">
        <v>3.0199999999999999E-135</v>
      </c>
      <c r="F13553" s="2">
        <v>637</v>
      </c>
      <c r="G13553" s="2">
        <v>68</v>
      </c>
      <c r="H13553" s="2">
        <v>187</v>
      </c>
      <c r="I13553" s="2">
        <v>244</v>
      </c>
      <c r="J13553" s="2">
        <v>804</v>
      </c>
      <c r="K13553" s="2">
        <v>793</v>
      </c>
      <c r="L13553" s="2">
        <v>978</v>
      </c>
    </row>
    <row r="13554" spans="1:12" x14ac:dyDescent="0.25">
      <c r="A13554" s="4" t="str">
        <f>HYPERLINK("http://www.rosaceae.org/Prunus/Prunus_persica/p.persica_gdr_reftransV1_0031787","p.persica_gdr_reftransV1_0031787")</f>
        <v>p.persica_gdr_reftransV1_0031787</v>
      </c>
      <c r="B13554" s="2">
        <v>2539</v>
      </c>
      <c r="C13554" s="4" t="str">
        <f>HYPERLINK("http://www.uniprot.org/uniprot/M5X9G6","M5X9G6")</f>
        <v>M5X9G6</v>
      </c>
      <c r="D13554" s="2" t="s">
        <v>11139</v>
      </c>
      <c r="E13554" s="3">
        <v>5.8899999999999997E-96</v>
      </c>
      <c r="F13554" s="2">
        <v>816</v>
      </c>
      <c r="G13554" s="2">
        <v>100</v>
      </c>
      <c r="H13554" s="2">
        <v>182</v>
      </c>
      <c r="I13554" s="2">
        <v>1773</v>
      </c>
      <c r="J13554" s="2">
        <v>2318</v>
      </c>
      <c r="K13554" s="2">
        <v>252</v>
      </c>
      <c r="L13554" s="2">
        <v>433</v>
      </c>
    </row>
    <row r="13555" spans="1:12" x14ac:dyDescent="0.25">
      <c r="A13555" s="4" t="str">
        <f>HYPERLINK("http://www.rosaceae.org/Prunus/Prunus_persica/p.persica_gdr_reftransV1_0032137","p.persica_gdr_reftransV1_0032137")</f>
        <v>p.persica_gdr_reftransV1_0032137</v>
      </c>
      <c r="B13555" s="2">
        <v>5700</v>
      </c>
      <c r="C13555" s="4" t="str">
        <f>HYPERLINK("http://www.uniprot.org/uniprot/M5W176","M5W176")</f>
        <v>M5W176</v>
      </c>
      <c r="D13555" s="2" t="s">
        <v>11140</v>
      </c>
      <c r="E13555" s="3">
        <v>0</v>
      </c>
      <c r="F13555" s="2">
        <v>8075</v>
      </c>
      <c r="G13555" s="2">
        <v>100</v>
      </c>
      <c r="H13555" s="2">
        <v>1600</v>
      </c>
      <c r="I13555" s="2">
        <v>484</v>
      </c>
      <c r="J13555" s="2">
        <v>5283</v>
      </c>
      <c r="K13555" s="2">
        <v>1</v>
      </c>
      <c r="L13555" s="2">
        <v>1600</v>
      </c>
    </row>
    <row r="13556" spans="1:12" x14ac:dyDescent="0.25">
      <c r="A13556" s="4" t="str">
        <f>HYPERLINK("http://www.rosaceae.org/Prunus/Prunus_persica/p.persica_gdr_reftransV1_0033187","p.persica_gdr_reftransV1_0033187")</f>
        <v>p.persica_gdr_reftransV1_0033187</v>
      </c>
      <c r="B13556" s="2">
        <v>3923</v>
      </c>
      <c r="C13556" s="4" t="str">
        <f>HYPERLINK("http://www.uniprot.org/uniprot/M5WFL3","M5WFL3")</f>
        <v>M5WFL3</v>
      </c>
      <c r="D13556" s="2" t="s">
        <v>11141</v>
      </c>
      <c r="E13556" s="3">
        <v>0</v>
      </c>
      <c r="F13556" s="2">
        <v>4428</v>
      </c>
      <c r="G13556" s="2">
        <v>96</v>
      </c>
      <c r="H13556" s="2">
        <v>869</v>
      </c>
      <c r="I13556" s="2">
        <v>654</v>
      </c>
      <c r="J13556" s="2">
        <v>3260</v>
      </c>
      <c r="K13556" s="2">
        <v>1</v>
      </c>
      <c r="L13556" s="2">
        <v>836</v>
      </c>
    </row>
    <row r="13557" spans="1:12" x14ac:dyDescent="0.25">
      <c r="A13557" s="4" t="str">
        <f>HYPERLINK("http://www.rosaceae.org/Prunus/Prunus_persica/p.persica_gdr_reftransV1_0034937","p.persica_gdr_reftransV1_0034937")</f>
        <v>p.persica_gdr_reftransV1_0034937</v>
      </c>
      <c r="B13557" s="2">
        <v>1063</v>
      </c>
      <c r="C13557" s="4" t="str">
        <f>HYPERLINK("http://www.uniprot.org/uniprot/M5X3D3","M5X3D3")</f>
        <v>M5X3D3</v>
      </c>
      <c r="D13557" s="2" t="s">
        <v>11142</v>
      </c>
      <c r="E13557" s="3">
        <v>5.5799999999999999E-81</v>
      </c>
      <c r="F13557" s="2">
        <v>652</v>
      </c>
      <c r="G13557" s="2">
        <v>99</v>
      </c>
      <c r="H13557" s="2">
        <v>158</v>
      </c>
      <c r="I13557" s="2">
        <v>588</v>
      </c>
      <c r="J13557" s="2">
        <v>1061</v>
      </c>
      <c r="K13557" s="2">
        <v>3</v>
      </c>
      <c r="L13557" s="2">
        <v>160</v>
      </c>
    </row>
    <row r="13558" spans="1:12" x14ac:dyDescent="0.25">
      <c r="A13558" s="4" t="str">
        <f>HYPERLINK("http://www.rosaceae.org/Prunus/Prunus_persica/p.persica_gdr_reftransV1_0036337","p.persica_gdr_reftransV1_0036337")</f>
        <v>p.persica_gdr_reftransV1_0036337</v>
      </c>
      <c r="B13558" s="2">
        <v>1660</v>
      </c>
      <c r="C13558" s="4" t="str">
        <f>HYPERLINK("http://www.uniprot.org/uniprot/M5W268","M5W268")</f>
        <v>M5W268</v>
      </c>
      <c r="D13558" s="2" t="s">
        <v>1146</v>
      </c>
      <c r="E13558" s="3">
        <v>0</v>
      </c>
      <c r="F13558" s="2">
        <v>1359</v>
      </c>
      <c r="G13558" s="2">
        <v>100</v>
      </c>
      <c r="H13558" s="2">
        <v>274</v>
      </c>
      <c r="I13558" s="2">
        <v>2</v>
      </c>
      <c r="J13558" s="2">
        <v>823</v>
      </c>
      <c r="K13558" s="2">
        <v>253</v>
      </c>
      <c r="L13558" s="2">
        <v>526</v>
      </c>
    </row>
    <row r="13559" spans="1:12" x14ac:dyDescent="0.25">
      <c r="A13559" s="4" t="str">
        <f>HYPERLINK("http://www.rosaceae.org/Prunus/Prunus_persica/p.persica_gdr_reftransV1_0036687","p.persica_gdr_reftransV1_0036687")</f>
        <v>p.persica_gdr_reftransV1_0036687</v>
      </c>
      <c r="B13559" s="2">
        <v>1379</v>
      </c>
      <c r="C13559" s="4" t="str">
        <f>HYPERLINK("http://www.uniprot.org/uniprot/M5Y6B7","M5Y6B7")</f>
        <v>M5Y6B7</v>
      </c>
      <c r="D13559" s="2" t="s">
        <v>10242</v>
      </c>
      <c r="E13559" s="3">
        <v>0</v>
      </c>
      <c r="F13559" s="2">
        <v>1588</v>
      </c>
      <c r="G13559" s="2">
        <v>100</v>
      </c>
      <c r="H13559" s="2">
        <v>302</v>
      </c>
      <c r="I13559" s="2">
        <v>474</v>
      </c>
      <c r="J13559" s="2">
        <v>1379</v>
      </c>
      <c r="K13559" s="2">
        <v>221</v>
      </c>
      <c r="L13559" s="2">
        <v>522</v>
      </c>
    </row>
    <row r="13560" spans="1:12" x14ac:dyDescent="0.25">
      <c r="A13560" s="4" t="str">
        <f>HYPERLINK("http://www.rosaceae.org/Prunus/Prunus_persica/p.persica_gdr_reftransV1_0038087","p.persica_gdr_reftransV1_0038087")</f>
        <v>p.persica_gdr_reftransV1_0038087</v>
      </c>
      <c r="B13560" s="2">
        <v>2833</v>
      </c>
      <c r="C13560" s="4" t="str">
        <f>HYPERLINK("http://www.uniprot.org/uniprot/M5X004","M5X004")</f>
        <v>M5X004</v>
      </c>
      <c r="D13560" s="2" t="s">
        <v>11143</v>
      </c>
      <c r="E13560" s="3">
        <v>0</v>
      </c>
      <c r="F13560" s="2">
        <v>3121</v>
      </c>
      <c r="G13560" s="2">
        <v>100</v>
      </c>
      <c r="H13560" s="2">
        <v>603</v>
      </c>
      <c r="I13560" s="2">
        <v>176</v>
      </c>
      <c r="J13560" s="2">
        <v>1984</v>
      </c>
      <c r="K13560" s="2">
        <v>1</v>
      </c>
      <c r="L13560" s="2">
        <v>603</v>
      </c>
    </row>
    <row r="13561" spans="1:12" x14ac:dyDescent="0.25">
      <c r="A13561" s="4" t="str">
        <f>HYPERLINK("http://www.rosaceae.org/Prunus/Prunus_persica/p.persica_gdr_reftransV1_0039837","p.persica_gdr_reftransV1_0039837")</f>
        <v>p.persica_gdr_reftransV1_0039837</v>
      </c>
      <c r="B13561" s="2">
        <v>1198</v>
      </c>
      <c r="C13561" s="4" t="str">
        <f>HYPERLINK("http://www.uniprot.org/uniprot/M5VH92","M5VH92")</f>
        <v>M5VH92</v>
      </c>
      <c r="D13561" s="2" t="s">
        <v>11144</v>
      </c>
      <c r="E13561" s="3">
        <v>0</v>
      </c>
      <c r="F13561" s="2">
        <v>1435</v>
      </c>
      <c r="G13561" s="2">
        <v>100</v>
      </c>
      <c r="H13561" s="2">
        <v>266</v>
      </c>
      <c r="I13561" s="2">
        <v>309</v>
      </c>
      <c r="J13561" s="2">
        <v>1106</v>
      </c>
      <c r="K13561" s="2">
        <v>1</v>
      </c>
      <c r="L13561" s="2">
        <v>266</v>
      </c>
    </row>
    <row r="13562" spans="1:12" x14ac:dyDescent="0.25">
      <c r="A13562" s="4" t="str">
        <f>HYPERLINK("http://www.rosaceae.org/Prunus/Prunus_persica/p.persica_gdr_reftransV1_0040187","p.persica_gdr_reftransV1_0040187")</f>
        <v>p.persica_gdr_reftransV1_0040187</v>
      </c>
      <c r="B13562" s="2">
        <v>2839</v>
      </c>
      <c r="C13562" s="4" t="str">
        <f>HYPERLINK("http://www.uniprot.org/uniprot/M5W9E1","M5W9E1")</f>
        <v>M5W9E1</v>
      </c>
      <c r="D13562" s="2" t="s">
        <v>11145</v>
      </c>
      <c r="E13562" s="3">
        <v>1.51E-75</v>
      </c>
      <c r="F13562" s="2">
        <v>668</v>
      </c>
      <c r="G13562" s="2">
        <v>100</v>
      </c>
      <c r="H13562" s="2">
        <v>137</v>
      </c>
      <c r="I13562" s="2">
        <v>96</v>
      </c>
      <c r="J13562" s="2">
        <v>506</v>
      </c>
      <c r="K13562" s="2">
        <v>1</v>
      </c>
      <c r="L13562" s="2">
        <v>137</v>
      </c>
    </row>
    <row r="13563" spans="1:12" x14ac:dyDescent="0.25">
      <c r="A13563" s="4" t="str">
        <f>HYPERLINK("http://www.rosaceae.org/Prunus/Prunus_persica/p.persica_gdr_reftransV1_0042987","p.persica_gdr_reftransV1_0042987")</f>
        <v>p.persica_gdr_reftransV1_0042987</v>
      </c>
      <c r="B13563" s="2">
        <v>5332</v>
      </c>
      <c r="C13563" s="4" t="str">
        <f>HYPERLINK("http://www.uniprot.org/uniprot/A0A059BA14","A0A059BA14")</f>
        <v>A0A059BA14</v>
      </c>
      <c r="D13563" s="2" t="s">
        <v>11146</v>
      </c>
      <c r="E13563" s="3">
        <v>0</v>
      </c>
      <c r="F13563" s="2">
        <v>2600</v>
      </c>
      <c r="G13563" s="2">
        <v>86</v>
      </c>
      <c r="H13563" s="2">
        <v>550</v>
      </c>
      <c r="I13563" s="2">
        <v>2554</v>
      </c>
      <c r="J13563" s="2">
        <v>4203</v>
      </c>
      <c r="K13563" s="2">
        <v>106</v>
      </c>
      <c r="L13563" s="2">
        <v>655</v>
      </c>
    </row>
    <row r="13564" spans="1:12" x14ac:dyDescent="0.25">
      <c r="A13564" s="4" t="str">
        <f>HYPERLINK("http://www.rosaceae.org/Prunus/Prunus_persica/p.persica_gdr_reftransV1_0043337","p.persica_gdr_reftransV1_0043337")</f>
        <v>p.persica_gdr_reftransV1_0043337</v>
      </c>
      <c r="B13564" s="2">
        <v>806</v>
      </c>
      <c r="C13564" s="4" t="str">
        <f>HYPERLINK("http://www.uniprot.org/uniprot/M5VR29","M5VR29")</f>
        <v>M5VR29</v>
      </c>
      <c r="D13564" s="2" t="s">
        <v>2090</v>
      </c>
      <c r="E13564" s="3">
        <v>5.8299999999999996E-171</v>
      </c>
      <c r="F13564" s="2">
        <v>1254</v>
      </c>
      <c r="G13564" s="2">
        <v>100</v>
      </c>
      <c r="H13564" s="2">
        <v>232</v>
      </c>
      <c r="I13564" s="2">
        <v>15</v>
      </c>
      <c r="J13564" s="2">
        <v>710</v>
      </c>
      <c r="K13564" s="2">
        <v>88</v>
      </c>
      <c r="L13564" s="2">
        <v>319</v>
      </c>
    </row>
    <row r="13565" spans="1:12" x14ac:dyDescent="0.25">
      <c r="A13565" s="4" t="str">
        <f>HYPERLINK("http://www.rosaceae.org/Prunus/Prunus_persica/p.persica_gdr_reftransV1_0043687","p.persica_gdr_reftransV1_0043687")</f>
        <v>p.persica_gdr_reftransV1_0043687</v>
      </c>
      <c r="B13565" s="2">
        <v>1153</v>
      </c>
      <c r="C13565" s="4" t="str">
        <f>HYPERLINK("http://www.uniprot.org/uniprot/M5XMH0","M5XMH0")</f>
        <v>M5XMH0</v>
      </c>
      <c r="D13565" s="2" t="s">
        <v>11147</v>
      </c>
      <c r="E13565" s="3">
        <v>1.22E-122</v>
      </c>
      <c r="F13565" s="2">
        <v>934</v>
      </c>
      <c r="G13565" s="2">
        <v>100</v>
      </c>
      <c r="H13565" s="2">
        <v>181</v>
      </c>
      <c r="I13565" s="2">
        <v>307</v>
      </c>
      <c r="J13565" s="2">
        <v>849</v>
      </c>
      <c r="K13565" s="2">
        <v>7</v>
      </c>
      <c r="L13565" s="2">
        <v>187</v>
      </c>
    </row>
    <row r="13566" spans="1:12" x14ac:dyDescent="0.25">
      <c r="A13566" s="4" t="str">
        <f>HYPERLINK("http://www.rosaceae.org/Prunus/Prunus_persica/p.persica_gdr_reftransV1_0044037","p.persica_gdr_reftransV1_0044037")</f>
        <v>p.persica_gdr_reftransV1_0044037</v>
      </c>
      <c r="B13566" s="2">
        <v>930</v>
      </c>
      <c r="C13566" s="4" t="str">
        <f>HYPERLINK("http://www.uniprot.org/uniprot/M5X5J6","M5X5J6")</f>
        <v>M5X5J6</v>
      </c>
      <c r="D13566" s="2" t="s">
        <v>11148</v>
      </c>
      <c r="E13566" s="3">
        <v>3.3E-170</v>
      </c>
      <c r="F13566" s="2">
        <v>1244</v>
      </c>
      <c r="G13566" s="2">
        <v>100</v>
      </c>
      <c r="H13566" s="2">
        <v>232</v>
      </c>
      <c r="I13566" s="2">
        <v>98</v>
      </c>
      <c r="J13566" s="2">
        <v>793</v>
      </c>
      <c r="K13566" s="2">
        <v>1</v>
      </c>
      <c r="L13566" s="2">
        <v>232</v>
      </c>
    </row>
    <row r="13567" spans="1:12" x14ac:dyDescent="0.25">
      <c r="A13567" s="4" t="str">
        <f>HYPERLINK("http://www.rosaceae.org/Prunus/Prunus_persica/p.persica_gdr_reftransV1_0044387","p.persica_gdr_reftransV1_0044387")</f>
        <v>p.persica_gdr_reftransV1_0044387</v>
      </c>
      <c r="B13567" s="2">
        <v>1205</v>
      </c>
      <c r="C13567" s="4" t="str">
        <f>HYPERLINK("http://www.uniprot.org/uniprot/M5WXD9","M5WXD9")</f>
        <v>M5WXD9</v>
      </c>
      <c r="D13567" s="2" t="s">
        <v>8581</v>
      </c>
      <c r="E13567" s="3">
        <v>0</v>
      </c>
      <c r="F13567" s="2">
        <v>2002</v>
      </c>
      <c r="G13567" s="2">
        <v>100</v>
      </c>
      <c r="H13567" s="2">
        <v>387</v>
      </c>
      <c r="I13567" s="2">
        <v>2</v>
      </c>
      <c r="J13567" s="2">
        <v>1162</v>
      </c>
      <c r="K13567" s="2">
        <v>1</v>
      </c>
      <c r="L13567" s="2">
        <v>387</v>
      </c>
    </row>
    <row r="13568" spans="1:12" x14ac:dyDescent="0.25">
      <c r="A13568" s="4" t="str">
        <f>HYPERLINK("http://www.rosaceae.org/Prunus/Prunus_persica/p.persica_gdr_reftransV1_0044737","p.persica_gdr_reftransV1_0044737")</f>
        <v>p.persica_gdr_reftransV1_0044737</v>
      </c>
      <c r="B13568" s="2">
        <v>2424</v>
      </c>
      <c r="C13568" s="4" t="str">
        <f>HYPERLINK("http://www.uniprot.org/uniprot/M5W8H6","M5W8H6")</f>
        <v>M5W8H6</v>
      </c>
      <c r="D13568" s="2" t="s">
        <v>11149</v>
      </c>
      <c r="E13568" s="3">
        <v>0</v>
      </c>
      <c r="F13568" s="2">
        <v>2782</v>
      </c>
      <c r="G13568" s="2">
        <v>100</v>
      </c>
      <c r="H13568" s="2">
        <v>610</v>
      </c>
      <c r="I13568" s="2">
        <v>305</v>
      </c>
      <c r="J13568" s="2">
        <v>2134</v>
      </c>
      <c r="K13568" s="2">
        <v>1</v>
      </c>
      <c r="L13568" s="2">
        <v>610</v>
      </c>
    </row>
    <row r="13569" spans="1:12" x14ac:dyDescent="0.25">
      <c r="A13569" s="4" t="str">
        <f>HYPERLINK("http://www.rosaceae.org/Prunus/Prunus_persica/p.persica_gdr_reftransV1_0045087","p.persica_gdr_reftransV1_0045087")</f>
        <v>p.persica_gdr_reftransV1_0045087</v>
      </c>
      <c r="B13569" s="2">
        <v>3080</v>
      </c>
      <c r="C13569" s="4" t="str">
        <f>HYPERLINK("http://www.uniprot.org/uniprot/M5VIC8","M5VIC8")</f>
        <v>M5VIC8</v>
      </c>
      <c r="D13569" s="2" t="s">
        <v>6130</v>
      </c>
      <c r="E13569" s="3">
        <v>0</v>
      </c>
      <c r="F13569" s="2">
        <v>1532</v>
      </c>
      <c r="G13569" s="2">
        <v>100</v>
      </c>
      <c r="H13569" s="2">
        <v>671</v>
      </c>
      <c r="I13569" s="2">
        <v>867</v>
      </c>
      <c r="J13569" s="2">
        <v>2879</v>
      </c>
      <c r="K13569" s="2">
        <v>1</v>
      </c>
      <c r="L13569" s="2">
        <v>671</v>
      </c>
    </row>
    <row r="13570" spans="1:12" x14ac:dyDescent="0.25">
      <c r="A13570" s="4" t="str">
        <f>HYPERLINK("http://www.rosaceae.org/Prunus/Prunus_persica/p.persica_gdr_reftransV1_0045437","p.persica_gdr_reftransV1_0045437")</f>
        <v>p.persica_gdr_reftransV1_0045437</v>
      </c>
      <c r="B13570" s="2">
        <v>1672</v>
      </c>
      <c r="C13570" s="4" t="str">
        <f>HYPERLINK("http://www.uniprot.org/uniprot/M5Y3P2","M5Y3P2")</f>
        <v>M5Y3P2</v>
      </c>
      <c r="D13570" s="2" t="s">
        <v>11150</v>
      </c>
      <c r="E13570" s="3">
        <v>0</v>
      </c>
      <c r="F13570" s="2">
        <v>1879</v>
      </c>
      <c r="G13570" s="2">
        <v>81</v>
      </c>
      <c r="H13570" s="2">
        <v>455</v>
      </c>
      <c r="I13570" s="2">
        <v>2</v>
      </c>
      <c r="J13570" s="2">
        <v>1366</v>
      </c>
      <c r="K13570" s="2">
        <v>265</v>
      </c>
      <c r="L13570" s="2">
        <v>718</v>
      </c>
    </row>
    <row r="13571" spans="1:12" x14ac:dyDescent="0.25">
      <c r="A13571" s="4" t="str">
        <f>HYPERLINK("http://www.rosaceae.org/Prunus/Prunus_persica/p.persica_gdr_reftransV1_0045787","p.persica_gdr_reftransV1_0045787")</f>
        <v>p.persica_gdr_reftransV1_0045787</v>
      </c>
      <c r="B13571" s="2">
        <v>561</v>
      </c>
      <c r="C13571" s="4" t="str">
        <f>HYPERLINK("http://www.uniprot.org/uniprot/M5WPF1","M5WPF1")</f>
        <v>M5WPF1</v>
      </c>
      <c r="D13571" s="2" t="s">
        <v>11151</v>
      </c>
      <c r="E13571" s="3">
        <v>2.0699999999999998E-52</v>
      </c>
      <c r="F13571" s="2">
        <v>442</v>
      </c>
      <c r="G13571" s="2">
        <v>100</v>
      </c>
      <c r="H13571" s="2">
        <v>111</v>
      </c>
      <c r="I13571" s="2">
        <v>85</v>
      </c>
      <c r="J13571" s="2">
        <v>417</v>
      </c>
      <c r="K13571" s="2">
        <v>5</v>
      </c>
      <c r="L13571" s="2">
        <v>115</v>
      </c>
    </row>
    <row r="13572" spans="1:12" x14ac:dyDescent="0.25">
      <c r="A13572" s="4" t="str">
        <f>HYPERLINK("http://www.rosaceae.org/Prunus/Prunus_persica/p.persica_gdr_reftransV1_0046837","p.persica_gdr_reftransV1_0046837")</f>
        <v>p.persica_gdr_reftransV1_0046837</v>
      </c>
      <c r="B13572" s="2">
        <v>1757</v>
      </c>
      <c r="C13572" s="4" t="str">
        <f>HYPERLINK("http://www.uniprot.org/uniprot/G7JVM1","G7JVM1")</f>
        <v>G7JVM1</v>
      </c>
      <c r="D13572" s="2" t="s">
        <v>11152</v>
      </c>
      <c r="E13572" s="3">
        <v>1.64E-99</v>
      </c>
      <c r="F13572" s="2">
        <v>580</v>
      </c>
      <c r="G13572" s="2">
        <v>83</v>
      </c>
      <c r="H13572" s="2">
        <v>145</v>
      </c>
      <c r="I13572" s="2">
        <v>1323</v>
      </c>
      <c r="J13572" s="2">
        <v>1757</v>
      </c>
      <c r="K13572" s="2">
        <v>78</v>
      </c>
      <c r="L13572" s="2">
        <v>222</v>
      </c>
    </row>
    <row r="13573" spans="1:12" x14ac:dyDescent="0.25">
      <c r="A13573" s="4" t="str">
        <f>HYPERLINK("http://www.rosaceae.org/Prunus/Prunus_persica/p.persica_gdr_reftransV1_0047187","p.persica_gdr_reftransV1_0047187")</f>
        <v>p.persica_gdr_reftransV1_0047187</v>
      </c>
      <c r="B13573" s="2">
        <v>850</v>
      </c>
      <c r="C13573" s="4" t="str">
        <f>HYPERLINK("http://www.uniprot.org/uniprot/A0A022QJ10","A0A022QJ10")</f>
        <v>A0A022QJ10</v>
      </c>
      <c r="D13573" s="2" t="s">
        <v>11153</v>
      </c>
      <c r="E13573" s="3">
        <v>5.8600000000000001E-30</v>
      </c>
      <c r="F13573" s="2">
        <v>316</v>
      </c>
      <c r="G13573" s="2">
        <v>38</v>
      </c>
      <c r="H13573" s="2">
        <v>214</v>
      </c>
      <c r="I13573" s="2">
        <v>6</v>
      </c>
      <c r="J13573" s="2">
        <v>632</v>
      </c>
      <c r="K13573" s="2">
        <v>29</v>
      </c>
      <c r="L13573" s="2">
        <v>231</v>
      </c>
    </row>
    <row r="13574" spans="1:12" x14ac:dyDescent="0.25">
      <c r="A13574" s="4" t="str">
        <f>HYPERLINK("http://www.rosaceae.org/Prunus/Prunus_persica/p.persica_gdr_reftransV1_0047537","p.persica_gdr_reftransV1_0047537")</f>
        <v>p.persica_gdr_reftransV1_0047537</v>
      </c>
      <c r="B13574" s="2">
        <v>2554</v>
      </c>
      <c r="C13574" s="4" t="str">
        <f>HYPERLINK("http://www.uniprot.org/uniprot/B9SXC9","B9SXC9")</f>
        <v>B9SXC9</v>
      </c>
      <c r="D13574" s="2" t="s">
        <v>11154</v>
      </c>
      <c r="E13574" s="3">
        <v>0</v>
      </c>
      <c r="F13574" s="2">
        <v>2319</v>
      </c>
      <c r="G13574" s="2">
        <v>72</v>
      </c>
      <c r="H13574" s="2">
        <v>597</v>
      </c>
      <c r="I13574" s="2">
        <v>329</v>
      </c>
      <c r="J13574" s="2">
        <v>2083</v>
      </c>
      <c r="K13574" s="2">
        <v>1</v>
      </c>
      <c r="L13574" s="2">
        <v>592</v>
      </c>
    </row>
    <row r="13575" spans="1:12" x14ac:dyDescent="0.25">
      <c r="A13575" s="4" t="str">
        <f>HYPERLINK("http://www.rosaceae.org/Prunus/Prunus_persica/p.persica_gdr_reftransV1_0047887","p.persica_gdr_reftransV1_0047887")</f>
        <v>p.persica_gdr_reftransV1_0047887</v>
      </c>
      <c r="B13575" s="2">
        <v>1181</v>
      </c>
      <c r="C13575" s="4" t="str">
        <f>HYPERLINK("http://www.uniprot.org/uniprot/M5VIL6","M5VIL6")</f>
        <v>M5VIL6</v>
      </c>
      <c r="D13575" s="2" t="s">
        <v>11155</v>
      </c>
      <c r="E13575" s="3">
        <v>0</v>
      </c>
      <c r="F13575" s="2">
        <v>1432</v>
      </c>
      <c r="G13575" s="2">
        <v>100</v>
      </c>
      <c r="H13575" s="2">
        <v>288</v>
      </c>
      <c r="I13575" s="2">
        <v>316</v>
      </c>
      <c r="J13575" s="2">
        <v>1179</v>
      </c>
      <c r="K13575" s="2">
        <v>4</v>
      </c>
      <c r="L13575" s="2">
        <v>291</v>
      </c>
    </row>
    <row r="13576" spans="1:12" x14ac:dyDescent="0.25">
      <c r="A13576" s="4" t="str">
        <f>HYPERLINK("http://www.rosaceae.org/Prunus/Prunus_persica/p.persica_gdr_reftransV1_0048237","p.persica_gdr_reftransV1_0048237")</f>
        <v>p.persica_gdr_reftransV1_0048237</v>
      </c>
      <c r="B13576" s="2">
        <v>1049</v>
      </c>
      <c r="C13576" s="4" t="str">
        <f>HYPERLINK("http://www.uniprot.org/uniprot/M5WI96","M5WI96")</f>
        <v>M5WI96</v>
      </c>
      <c r="D13576" s="2" t="s">
        <v>11156</v>
      </c>
      <c r="E13576" s="3">
        <v>0</v>
      </c>
      <c r="F13576" s="2">
        <v>1403</v>
      </c>
      <c r="G13576" s="2">
        <v>100</v>
      </c>
      <c r="H13576" s="2">
        <v>278</v>
      </c>
      <c r="I13576" s="2">
        <v>164</v>
      </c>
      <c r="J13576" s="2">
        <v>997</v>
      </c>
      <c r="K13576" s="2">
        <v>1</v>
      </c>
      <c r="L13576" s="2">
        <v>278</v>
      </c>
    </row>
    <row r="13577" spans="1:12" x14ac:dyDescent="0.25">
      <c r="A13577" s="4" t="str">
        <f>HYPERLINK("http://www.rosaceae.org/Prunus/Prunus_persica/p.persica_gdr_reftransV1_0048587","p.persica_gdr_reftransV1_0048587")</f>
        <v>p.persica_gdr_reftransV1_0048587</v>
      </c>
      <c r="B13577" s="2">
        <v>1071</v>
      </c>
      <c r="C13577" s="4" t="str">
        <f>HYPERLINK("http://www.uniprot.org/uniprot/M5WFD1","M5WFD1")</f>
        <v>M5WFD1</v>
      </c>
      <c r="D13577" s="2" t="s">
        <v>11157</v>
      </c>
      <c r="E13577" s="3">
        <v>4.2699999999999998E-117</v>
      </c>
      <c r="F13577" s="2">
        <v>941</v>
      </c>
      <c r="G13577" s="2">
        <v>100</v>
      </c>
      <c r="H13577" s="2">
        <v>210</v>
      </c>
      <c r="I13577" s="2">
        <v>440</v>
      </c>
      <c r="J13577" s="2">
        <v>1069</v>
      </c>
      <c r="K13577" s="2">
        <v>14</v>
      </c>
      <c r="L13577" s="2">
        <v>223</v>
      </c>
    </row>
    <row r="13578" spans="1:12" x14ac:dyDescent="0.25">
      <c r="A13578" s="4" t="str">
        <f>HYPERLINK("http://www.rosaceae.org/Prunus/Prunus_persica/p.persica_gdr_reftransV1_0048937","p.persica_gdr_reftransV1_0048937")</f>
        <v>p.persica_gdr_reftransV1_0048937</v>
      </c>
      <c r="B13578" s="2">
        <v>478</v>
      </c>
      <c r="C13578" s="4" t="str">
        <f>HYPERLINK("http://www.uniprot.org/uniprot/M5WUA9","M5WUA9")</f>
        <v>M5WUA9</v>
      </c>
      <c r="D13578" s="2" t="s">
        <v>11158</v>
      </c>
      <c r="E13578" s="3">
        <v>2.52E-47</v>
      </c>
      <c r="F13578" s="2">
        <v>406</v>
      </c>
      <c r="G13578" s="2">
        <v>100</v>
      </c>
      <c r="H13578" s="2">
        <v>93</v>
      </c>
      <c r="I13578" s="2">
        <v>105</v>
      </c>
      <c r="J13578" s="2">
        <v>383</v>
      </c>
      <c r="K13578" s="2">
        <v>16</v>
      </c>
      <c r="L13578" s="2">
        <v>108</v>
      </c>
    </row>
    <row r="13579" spans="1:12" x14ac:dyDescent="0.25">
      <c r="A13579" s="4" t="str">
        <f>HYPERLINK("http://www.rosaceae.org/Prunus/Prunus_persica/p.persica_gdr_reftransV1_0000288","p.persica_gdr_reftransV1_0000288")</f>
        <v>p.persica_gdr_reftransV1_0000288</v>
      </c>
      <c r="B13579" s="2">
        <v>1076</v>
      </c>
      <c r="C13579" s="4" t="str">
        <f>HYPERLINK("http://www.uniprot.org/uniprot/M5WNG1","M5WNG1")</f>
        <v>M5WNG1</v>
      </c>
      <c r="D13579" s="2" t="s">
        <v>11159</v>
      </c>
      <c r="E13579" s="3">
        <v>2.32E-104</v>
      </c>
      <c r="F13579" s="2">
        <v>812</v>
      </c>
      <c r="G13579" s="2">
        <v>100</v>
      </c>
      <c r="H13579" s="2">
        <v>201</v>
      </c>
      <c r="I13579" s="2">
        <v>121</v>
      </c>
      <c r="J13579" s="2">
        <v>723</v>
      </c>
      <c r="K13579" s="2">
        <v>1</v>
      </c>
      <c r="L13579" s="2">
        <v>201</v>
      </c>
    </row>
    <row r="13580" spans="1:12" x14ac:dyDescent="0.25">
      <c r="A13580" s="4" t="str">
        <f>HYPERLINK("http://www.rosaceae.org/Prunus/Prunus_persica/p.persica_gdr_reftransV1_0000638","p.persica_gdr_reftransV1_0000638")</f>
        <v>p.persica_gdr_reftransV1_0000638</v>
      </c>
      <c r="B13580" s="2">
        <v>953</v>
      </c>
      <c r="C13580" s="4" t="str">
        <f>HYPERLINK("http://www.uniprot.org/uniprot/M5WH21","M5WH21")</f>
        <v>M5WH21</v>
      </c>
      <c r="D13580" s="2" t="s">
        <v>11160</v>
      </c>
      <c r="E13580" s="3">
        <v>9.0000000000000004E-96</v>
      </c>
      <c r="F13580" s="2">
        <v>746</v>
      </c>
      <c r="G13580" s="2">
        <v>100</v>
      </c>
      <c r="H13580" s="2">
        <v>152</v>
      </c>
      <c r="I13580" s="2">
        <v>315</v>
      </c>
      <c r="J13580" s="2">
        <v>770</v>
      </c>
      <c r="K13580" s="2">
        <v>3</v>
      </c>
      <c r="L13580" s="2">
        <v>154</v>
      </c>
    </row>
    <row r="13581" spans="1:12" x14ac:dyDescent="0.25">
      <c r="A13581" s="4" t="str">
        <f>HYPERLINK("http://www.rosaceae.org/Prunus/Prunus_persica/p.persica_gdr_reftransV1_0000988","p.persica_gdr_reftransV1_0000988")</f>
        <v>p.persica_gdr_reftransV1_0000988</v>
      </c>
      <c r="B13581" s="2">
        <v>2248</v>
      </c>
      <c r="C13581" s="4" t="str">
        <f>HYPERLINK("http://www.uniprot.org/uniprot/M5WSS1","M5WSS1")</f>
        <v>M5WSS1</v>
      </c>
      <c r="D13581" s="2" t="s">
        <v>11161</v>
      </c>
      <c r="E13581" s="3">
        <v>0</v>
      </c>
      <c r="F13581" s="2">
        <v>2583</v>
      </c>
      <c r="G13581" s="2">
        <v>100</v>
      </c>
      <c r="H13581" s="2">
        <v>549</v>
      </c>
      <c r="I13581" s="2">
        <v>343</v>
      </c>
      <c r="J13581" s="2">
        <v>1989</v>
      </c>
      <c r="K13581" s="2">
        <v>1</v>
      </c>
      <c r="L13581" s="2">
        <v>549</v>
      </c>
    </row>
    <row r="13582" spans="1:12" x14ac:dyDescent="0.25">
      <c r="A13582" s="4" t="str">
        <f>HYPERLINK("http://www.rosaceae.org/Prunus/Prunus_persica/p.persica_gdr_reftransV1_0001338","p.persica_gdr_reftransV1_0001338")</f>
        <v>p.persica_gdr_reftransV1_0001338</v>
      </c>
      <c r="B13582" s="2">
        <v>1612</v>
      </c>
      <c r="C13582" s="4" t="str">
        <f>HYPERLINK("http://www.uniprot.org/uniprot/M5VLA3","M5VLA3")</f>
        <v>M5VLA3</v>
      </c>
      <c r="D13582" s="2" t="s">
        <v>11162</v>
      </c>
      <c r="E13582" s="3">
        <v>8.5699999999999998E-146</v>
      </c>
      <c r="F13582" s="2">
        <v>971</v>
      </c>
      <c r="G13582" s="2">
        <v>100</v>
      </c>
      <c r="H13582" s="2">
        <v>205</v>
      </c>
      <c r="I13582" s="2">
        <v>425</v>
      </c>
      <c r="J13582" s="2">
        <v>1039</v>
      </c>
      <c r="K13582" s="2">
        <v>109</v>
      </c>
      <c r="L13582" s="2">
        <v>313</v>
      </c>
    </row>
    <row r="13583" spans="1:12" x14ac:dyDescent="0.25">
      <c r="A13583" s="4" t="str">
        <f>HYPERLINK("http://www.rosaceae.org/Prunus/Prunus_persica/p.persica_gdr_reftransV1_0001688","p.persica_gdr_reftransV1_0001688")</f>
        <v>p.persica_gdr_reftransV1_0001688</v>
      </c>
      <c r="B13583" s="2">
        <v>3197</v>
      </c>
      <c r="C13583" s="4" t="str">
        <f>HYPERLINK("http://www.uniprot.org/uniprot/M5W286","M5W286")</f>
        <v>M5W286</v>
      </c>
      <c r="D13583" s="2" t="s">
        <v>11163</v>
      </c>
      <c r="E13583" s="3">
        <v>0</v>
      </c>
      <c r="F13583" s="2">
        <v>3506</v>
      </c>
      <c r="G13583" s="2">
        <v>100</v>
      </c>
      <c r="H13583" s="2">
        <v>705</v>
      </c>
      <c r="I13583" s="2">
        <v>3</v>
      </c>
      <c r="J13583" s="2">
        <v>2117</v>
      </c>
      <c r="K13583" s="2">
        <v>16</v>
      </c>
      <c r="L13583" s="2">
        <v>720</v>
      </c>
    </row>
    <row r="13584" spans="1:12" x14ac:dyDescent="0.25">
      <c r="A13584" s="4" t="str">
        <f>HYPERLINK("http://www.rosaceae.org/Prunus/Prunus_persica/p.persica_gdr_reftransV1_0002038","p.persica_gdr_reftransV1_0002038")</f>
        <v>p.persica_gdr_reftransV1_0002038</v>
      </c>
      <c r="B13584" s="2">
        <v>613</v>
      </c>
      <c r="C13584" s="4" t="str">
        <f>HYPERLINK("http://www.uniprot.org/uniprot/M5Y1B3","M5Y1B3")</f>
        <v>M5Y1B3</v>
      </c>
      <c r="D13584" s="2" t="s">
        <v>7692</v>
      </c>
      <c r="E13584" s="3">
        <v>1.5799999999999999E-51</v>
      </c>
      <c r="F13584" s="2">
        <v>447</v>
      </c>
      <c r="G13584" s="2">
        <v>100</v>
      </c>
      <c r="H13584" s="2">
        <v>150</v>
      </c>
      <c r="I13584" s="2">
        <v>36</v>
      </c>
      <c r="J13584" s="2">
        <v>485</v>
      </c>
      <c r="K13584" s="2">
        <v>1</v>
      </c>
      <c r="L13584" s="2">
        <v>150</v>
      </c>
    </row>
    <row r="13585" spans="1:12" x14ac:dyDescent="0.25">
      <c r="A13585" s="4" t="str">
        <f>HYPERLINK("http://www.rosaceae.org/Prunus/Prunus_persica/p.persica_gdr_reftransV1_0002388","p.persica_gdr_reftransV1_0002388")</f>
        <v>p.persica_gdr_reftransV1_0002388</v>
      </c>
      <c r="B13585" s="2">
        <v>335</v>
      </c>
      <c r="C13585" s="4" t="str">
        <f>HYPERLINK("http://www.uniprot.org/uniprot/M5Y153","M5Y153")</f>
        <v>M5Y153</v>
      </c>
      <c r="D13585" s="2" t="s">
        <v>7318</v>
      </c>
      <c r="E13585" s="3">
        <v>1.12E-60</v>
      </c>
      <c r="F13585" s="2">
        <v>529</v>
      </c>
      <c r="G13585" s="2">
        <v>100</v>
      </c>
      <c r="H13585" s="2">
        <v>98</v>
      </c>
      <c r="I13585" s="2">
        <v>42</v>
      </c>
      <c r="J13585" s="2">
        <v>335</v>
      </c>
      <c r="K13585" s="2">
        <v>237</v>
      </c>
      <c r="L13585" s="2">
        <v>334</v>
      </c>
    </row>
    <row r="13586" spans="1:12" x14ac:dyDescent="0.25">
      <c r="A13586" s="4" t="str">
        <f>HYPERLINK("http://www.rosaceae.org/Prunus/Prunus_persica/p.persica_gdr_reftransV1_0002738","p.persica_gdr_reftransV1_0002738")</f>
        <v>p.persica_gdr_reftransV1_0002738</v>
      </c>
      <c r="B13586" s="2">
        <v>677</v>
      </c>
      <c r="C13586" s="4" t="str">
        <f>HYPERLINK("http://www.uniprot.org/uniprot/M5W575","M5W575")</f>
        <v>M5W575</v>
      </c>
      <c r="D13586" s="2" t="s">
        <v>11164</v>
      </c>
      <c r="E13586" s="3">
        <v>5.0899999999999997E-158</v>
      </c>
      <c r="F13586" s="2">
        <v>1225</v>
      </c>
      <c r="G13586" s="2">
        <v>100</v>
      </c>
      <c r="H13586" s="2">
        <v>225</v>
      </c>
      <c r="I13586" s="2">
        <v>2</v>
      </c>
      <c r="J13586" s="2">
        <v>676</v>
      </c>
      <c r="K13586" s="2">
        <v>80</v>
      </c>
      <c r="L13586" s="2">
        <v>304</v>
      </c>
    </row>
    <row r="13587" spans="1:12" x14ac:dyDescent="0.25">
      <c r="A13587" s="4" t="str">
        <f>HYPERLINK("http://www.rosaceae.org/Prunus/Prunus_persica/p.persica_gdr_reftransV1_0003088","p.persica_gdr_reftransV1_0003088")</f>
        <v>p.persica_gdr_reftransV1_0003088</v>
      </c>
      <c r="B13587" s="2">
        <v>680</v>
      </c>
      <c r="C13587" s="4" t="str">
        <f>HYPERLINK("http://www.uniprot.org/uniprot/M5VMQ7","M5VMQ7")</f>
        <v>M5VMQ7</v>
      </c>
      <c r="D13587" s="2" t="s">
        <v>11165</v>
      </c>
      <c r="E13587" s="3">
        <v>1.5600000000000001E-61</v>
      </c>
      <c r="F13587" s="2">
        <v>508</v>
      </c>
      <c r="G13587" s="2">
        <v>100</v>
      </c>
      <c r="H13587" s="2">
        <v>114</v>
      </c>
      <c r="I13587" s="2">
        <v>224</v>
      </c>
      <c r="J13587" s="2">
        <v>565</v>
      </c>
      <c r="K13587" s="2">
        <v>18</v>
      </c>
      <c r="L13587" s="2">
        <v>131</v>
      </c>
    </row>
    <row r="13588" spans="1:12" x14ac:dyDescent="0.25">
      <c r="A13588" s="4" t="str">
        <f>HYPERLINK("http://www.rosaceae.org/Prunus/Prunus_persica/p.persica_gdr_reftransV1_0003438","p.persica_gdr_reftransV1_0003438")</f>
        <v>p.persica_gdr_reftransV1_0003438</v>
      </c>
      <c r="B13588" s="2">
        <v>452</v>
      </c>
      <c r="C13588" s="4" t="str">
        <f>HYPERLINK("http://www.uniprot.org/uniprot/M5W2R4","M5W2R4")</f>
        <v>M5W2R4</v>
      </c>
      <c r="D13588" s="2" t="s">
        <v>11166</v>
      </c>
      <c r="E13588" s="3">
        <v>7.2899999999999999E-88</v>
      </c>
      <c r="F13588" s="2">
        <v>707</v>
      </c>
      <c r="G13588" s="2">
        <v>100</v>
      </c>
      <c r="H13588" s="2">
        <v>130</v>
      </c>
      <c r="I13588" s="2">
        <v>2</v>
      </c>
      <c r="J13588" s="2">
        <v>391</v>
      </c>
      <c r="K13588" s="2">
        <v>122</v>
      </c>
      <c r="L13588" s="2">
        <v>251</v>
      </c>
    </row>
    <row r="13589" spans="1:12" x14ac:dyDescent="0.25">
      <c r="A13589" s="4" t="str">
        <f>HYPERLINK("http://www.rosaceae.org/Prunus/Prunus_persica/p.persica_gdr_reftransV1_0003788","p.persica_gdr_reftransV1_0003788")</f>
        <v>p.persica_gdr_reftransV1_0003788</v>
      </c>
      <c r="B13589" s="2">
        <v>1891</v>
      </c>
      <c r="C13589" s="4" t="str">
        <f>HYPERLINK("http://www.uniprot.org/uniprot/M5Y404","M5Y404")</f>
        <v>M5Y404</v>
      </c>
      <c r="D13589" s="2" t="s">
        <v>8293</v>
      </c>
      <c r="E13589" s="3">
        <v>0</v>
      </c>
      <c r="F13589" s="2">
        <v>2853</v>
      </c>
      <c r="G13589" s="2">
        <v>94</v>
      </c>
      <c r="H13589" s="2">
        <v>566</v>
      </c>
      <c r="I13589" s="2">
        <v>193</v>
      </c>
      <c r="J13589" s="2">
        <v>1890</v>
      </c>
      <c r="K13589" s="2">
        <v>320</v>
      </c>
      <c r="L13589" s="2">
        <v>885</v>
      </c>
    </row>
    <row r="13590" spans="1:12" x14ac:dyDescent="0.25">
      <c r="A13590" s="4" t="str">
        <f>HYPERLINK("http://www.rosaceae.org/Prunus/Prunus_persica/p.persica_gdr_reftransV1_0004138","p.persica_gdr_reftransV1_0004138")</f>
        <v>p.persica_gdr_reftransV1_0004138</v>
      </c>
      <c r="B13590" s="2">
        <v>450</v>
      </c>
      <c r="C13590" s="4" t="str">
        <f>HYPERLINK("http://www.uniprot.org/uniprot/Q4JNX4","Q4JNX4")</f>
        <v>Q4JNX4</v>
      </c>
      <c r="D13590" s="2" t="s">
        <v>11167</v>
      </c>
      <c r="E13590" s="3">
        <v>9.8600000000000007E-28</v>
      </c>
      <c r="F13590" s="2">
        <v>285</v>
      </c>
      <c r="G13590" s="2">
        <v>81</v>
      </c>
      <c r="H13590" s="2">
        <v>150</v>
      </c>
      <c r="I13590" s="2">
        <v>1</v>
      </c>
      <c r="J13590" s="2">
        <v>450</v>
      </c>
      <c r="K13590" s="2">
        <v>117</v>
      </c>
      <c r="L13590" s="2">
        <v>266</v>
      </c>
    </row>
    <row r="13591" spans="1:12" x14ac:dyDescent="0.25">
      <c r="A13591" s="4" t="str">
        <f>HYPERLINK("http://www.rosaceae.org/Prunus/Prunus_persica/p.persica_gdr_reftransV1_0004838","p.persica_gdr_reftransV1_0004838")</f>
        <v>p.persica_gdr_reftransV1_0004838</v>
      </c>
      <c r="B13591" s="2">
        <v>1015</v>
      </c>
      <c r="C13591" s="4" t="str">
        <f>HYPERLINK("http://www.uniprot.org/uniprot/M5VLA9","M5VLA9")</f>
        <v>M5VLA9</v>
      </c>
      <c r="D13591" s="2" t="s">
        <v>11168</v>
      </c>
      <c r="E13591" s="3">
        <v>5.5200000000000003E-76</v>
      </c>
      <c r="F13591" s="2">
        <v>623</v>
      </c>
      <c r="G13591" s="2">
        <v>100</v>
      </c>
      <c r="H13591" s="2">
        <v>166</v>
      </c>
      <c r="I13591" s="2">
        <v>236</v>
      </c>
      <c r="J13591" s="2">
        <v>733</v>
      </c>
      <c r="K13591" s="2">
        <v>1</v>
      </c>
      <c r="L13591" s="2">
        <v>166</v>
      </c>
    </row>
    <row r="13592" spans="1:12" x14ac:dyDescent="0.25">
      <c r="A13592" s="4" t="str">
        <f>HYPERLINK("http://www.rosaceae.org/Prunus/Prunus_persica/p.persica_gdr_reftransV1_0005188","p.persica_gdr_reftransV1_0005188")</f>
        <v>p.persica_gdr_reftransV1_0005188</v>
      </c>
      <c r="B13592" s="2">
        <v>1678</v>
      </c>
      <c r="C13592" s="4" t="str">
        <f>HYPERLINK("http://www.uniprot.org/uniprot/M5W9U7","M5W9U7")</f>
        <v>M5W9U7</v>
      </c>
      <c r="D13592" s="2" t="s">
        <v>11169</v>
      </c>
      <c r="E13592" s="3">
        <v>5.0800000000000001E-172</v>
      </c>
      <c r="F13592" s="2">
        <v>1059</v>
      </c>
      <c r="G13592" s="2">
        <v>100</v>
      </c>
      <c r="H13592" s="2">
        <v>218</v>
      </c>
      <c r="I13592" s="2">
        <v>454</v>
      </c>
      <c r="J13592" s="2">
        <v>1107</v>
      </c>
      <c r="K13592" s="2">
        <v>139</v>
      </c>
      <c r="L13592" s="2">
        <v>356</v>
      </c>
    </row>
    <row r="13593" spans="1:12" x14ac:dyDescent="0.25">
      <c r="A13593" s="4" t="str">
        <f>HYPERLINK("http://www.rosaceae.org/Prunus/Prunus_persica/p.persica_gdr_reftransV1_0005538","p.persica_gdr_reftransV1_0005538")</f>
        <v>p.persica_gdr_reftransV1_0005538</v>
      </c>
      <c r="B13593" s="2">
        <v>1737</v>
      </c>
      <c r="C13593" s="4" t="str">
        <f>HYPERLINK("http://www.uniprot.org/uniprot/M5XDZ3","M5XDZ3")</f>
        <v>M5XDZ3</v>
      </c>
      <c r="D13593" s="2" t="s">
        <v>10945</v>
      </c>
      <c r="E13593" s="3">
        <v>0</v>
      </c>
      <c r="F13593" s="2">
        <v>2373</v>
      </c>
      <c r="G13593" s="2">
        <v>100</v>
      </c>
      <c r="H13593" s="2">
        <v>468</v>
      </c>
      <c r="I13593" s="2">
        <v>131</v>
      </c>
      <c r="J13593" s="2">
        <v>1534</v>
      </c>
      <c r="K13593" s="2">
        <v>1</v>
      </c>
      <c r="L13593" s="2">
        <v>468</v>
      </c>
    </row>
    <row r="13594" spans="1:12" x14ac:dyDescent="0.25">
      <c r="A13594" s="4" t="str">
        <f>HYPERLINK("http://www.rosaceae.org/Prunus/Prunus_persica/p.persica_gdr_reftransV1_0006238","p.persica_gdr_reftransV1_0006238")</f>
        <v>p.persica_gdr_reftransV1_0006238</v>
      </c>
      <c r="B13594" s="2">
        <v>1190</v>
      </c>
      <c r="C13594" s="4" t="str">
        <f>HYPERLINK("http://www.uniprot.org/uniprot/M5XGE5","M5XGE5")</f>
        <v>M5XGE5</v>
      </c>
      <c r="D13594" s="2" t="s">
        <v>11170</v>
      </c>
      <c r="E13594" s="3">
        <v>1.4900000000000001E-144</v>
      </c>
      <c r="F13594" s="2">
        <v>1085</v>
      </c>
      <c r="G13594" s="2">
        <v>100</v>
      </c>
      <c r="H13594" s="2">
        <v>239</v>
      </c>
      <c r="I13594" s="2">
        <v>188</v>
      </c>
      <c r="J13594" s="2">
        <v>904</v>
      </c>
      <c r="K13594" s="2">
        <v>1</v>
      </c>
      <c r="L13594" s="2">
        <v>239</v>
      </c>
    </row>
    <row r="13595" spans="1:12" x14ac:dyDescent="0.25">
      <c r="A13595" s="4" t="str">
        <f>HYPERLINK("http://www.rosaceae.org/Prunus/Prunus_persica/p.persica_gdr_reftransV1_0006938","p.persica_gdr_reftransV1_0006938")</f>
        <v>p.persica_gdr_reftransV1_0006938</v>
      </c>
      <c r="B13595" s="2">
        <v>616</v>
      </c>
      <c r="C13595" s="4" t="str">
        <f>HYPERLINK("http://www.uniprot.org/uniprot/M5XL28","M5XL28")</f>
        <v>M5XL28</v>
      </c>
      <c r="D13595" s="2" t="s">
        <v>11171</v>
      </c>
      <c r="E13595" s="3">
        <v>1.4400000000000001E-79</v>
      </c>
      <c r="F13595" s="2">
        <v>626</v>
      </c>
      <c r="G13595" s="2">
        <v>96</v>
      </c>
      <c r="H13595" s="2">
        <v>125</v>
      </c>
      <c r="I13595" s="2">
        <v>90</v>
      </c>
      <c r="J13595" s="2">
        <v>464</v>
      </c>
      <c r="K13595" s="2">
        <v>13</v>
      </c>
      <c r="L13595" s="2">
        <v>137</v>
      </c>
    </row>
    <row r="13596" spans="1:12" x14ac:dyDescent="0.25">
      <c r="A13596" s="4" t="str">
        <f>HYPERLINK("http://www.rosaceae.org/Prunus/Prunus_persica/p.persica_gdr_reftransV1_0007288","p.persica_gdr_reftransV1_0007288")</f>
        <v>p.persica_gdr_reftransV1_0007288</v>
      </c>
      <c r="B13596" s="2">
        <v>2611</v>
      </c>
      <c r="C13596" s="4" t="str">
        <f>HYPERLINK("http://www.uniprot.org/uniprot/M5VKE0","M5VKE0")</f>
        <v>M5VKE0</v>
      </c>
      <c r="D13596" s="2" t="s">
        <v>3802</v>
      </c>
      <c r="E13596" s="3">
        <v>5.28E-163</v>
      </c>
      <c r="F13596" s="2">
        <v>1252</v>
      </c>
      <c r="G13596" s="2">
        <v>100</v>
      </c>
      <c r="H13596" s="2">
        <v>240</v>
      </c>
      <c r="I13596" s="2">
        <v>178</v>
      </c>
      <c r="J13596" s="2">
        <v>897</v>
      </c>
      <c r="K13596" s="2">
        <v>1</v>
      </c>
      <c r="L13596" s="2">
        <v>240</v>
      </c>
    </row>
    <row r="13597" spans="1:12" x14ac:dyDescent="0.25">
      <c r="A13597" s="4" t="str">
        <f>HYPERLINK("http://www.rosaceae.org/Prunus/Prunus_persica/p.persica_gdr_reftransV1_0007638","p.persica_gdr_reftransV1_0007638")</f>
        <v>p.persica_gdr_reftransV1_0007638</v>
      </c>
      <c r="B13597" s="2">
        <v>578</v>
      </c>
      <c r="C13597" s="4" t="str">
        <f>HYPERLINK("http://www.uniprot.org/uniprot/M5XG06","M5XG06")</f>
        <v>M5XG06</v>
      </c>
      <c r="D13597" s="2" t="s">
        <v>5471</v>
      </c>
      <c r="E13597" s="3">
        <v>1.7699999999999998E-46</v>
      </c>
      <c r="F13597" s="2">
        <v>415</v>
      </c>
      <c r="G13597" s="2">
        <v>100</v>
      </c>
      <c r="H13597" s="2">
        <v>98</v>
      </c>
      <c r="I13597" s="2">
        <v>284</v>
      </c>
      <c r="J13597" s="2">
        <v>577</v>
      </c>
      <c r="K13597" s="2">
        <v>143</v>
      </c>
      <c r="L13597" s="2">
        <v>240</v>
      </c>
    </row>
    <row r="13598" spans="1:12" x14ac:dyDescent="0.25">
      <c r="A13598" s="4" t="str">
        <f>HYPERLINK("http://www.rosaceae.org/Prunus/Prunus_persica/p.persica_gdr_reftransV1_0007988","p.persica_gdr_reftransV1_0007988")</f>
        <v>p.persica_gdr_reftransV1_0007988</v>
      </c>
      <c r="B13598" s="2">
        <v>537</v>
      </c>
      <c r="C13598" s="4" t="str">
        <f>HYPERLINK("http://www.uniprot.org/uniprot/M5W973","M5W973")</f>
        <v>M5W973</v>
      </c>
      <c r="D13598" s="2" t="s">
        <v>11172</v>
      </c>
      <c r="E13598" s="3">
        <v>7.2100000000000005E-70</v>
      </c>
      <c r="F13598" s="2">
        <v>592</v>
      </c>
      <c r="G13598" s="2">
        <v>100</v>
      </c>
      <c r="H13598" s="2">
        <v>146</v>
      </c>
      <c r="I13598" s="2">
        <v>3</v>
      </c>
      <c r="J13598" s="2">
        <v>440</v>
      </c>
      <c r="K13598" s="2">
        <v>1</v>
      </c>
      <c r="L13598" s="2">
        <v>146</v>
      </c>
    </row>
    <row r="13599" spans="1:12" x14ac:dyDescent="0.25">
      <c r="A13599" s="4" t="str">
        <f>HYPERLINK("http://www.rosaceae.org/Prunus/Prunus_persica/p.persica_gdr_reftransV1_0009738","p.persica_gdr_reftransV1_0009738")</f>
        <v>p.persica_gdr_reftransV1_0009738</v>
      </c>
      <c r="B13599" s="2">
        <v>676</v>
      </c>
      <c r="C13599" s="4" t="str">
        <f>HYPERLINK("http://www.uniprot.org/uniprot/M5WHM0","M5WHM0")</f>
        <v>M5WHM0</v>
      </c>
      <c r="D13599" s="2" t="s">
        <v>11173</v>
      </c>
      <c r="E13599" s="3">
        <v>7.5000000000000003E-96</v>
      </c>
      <c r="F13599" s="2">
        <v>754</v>
      </c>
      <c r="G13599" s="2">
        <v>100</v>
      </c>
      <c r="H13599" s="2">
        <v>151</v>
      </c>
      <c r="I13599" s="2">
        <v>3</v>
      </c>
      <c r="J13599" s="2">
        <v>455</v>
      </c>
      <c r="K13599" s="2">
        <v>182</v>
      </c>
      <c r="L13599" s="2">
        <v>332</v>
      </c>
    </row>
    <row r="13600" spans="1:12" x14ac:dyDescent="0.25">
      <c r="A13600" s="4" t="str">
        <f>HYPERLINK("http://www.rosaceae.org/Prunus/Prunus_persica/p.persica_gdr_reftransV1_0010788","p.persica_gdr_reftransV1_0010788")</f>
        <v>p.persica_gdr_reftransV1_0010788</v>
      </c>
      <c r="B13600" s="2">
        <v>1893</v>
      </c>
      <c r="C13600" s="4" t="str">
        <f>HYPERLINK("http://www.uniprot.org/uniprot/M5XZT8","M5XZT8")</f>
        <v>M5XZT8</v>
      </c>
      <c r="D13600" s="2" t="s">
        <v>11174</v>
      </c>
      <c r="E13600" s="3">
        <v>0</v>
      </c>
      <c r="F13600" s="2">
        <v>1378</v>
      </c>
      <c r="G13600" s="2">
        <v>100</v>
      </c>
      <c r="H13600" s="2">
        <v>258</v>
      </c>
      <c r="I13600" s="2">
        <v>9</v>
      </c>
      <c r="J13600" s="2">
        <v>782</v>
      </c>
      <c r="K13600" s="2">
        <v>1</v>
      </c>
      <c r="L13600" s="2">
        <v>258</v>
      </c>
    </row>
    <row r="13601" spans="1:12" x14ac:dyDescent="0.25">
      <c r="A13601" s="4" t="str">
        <f>HYPERLINK("http://www.rosaceae.org/Prunus/Prunus_persica/p.persica_gdr_reftransV1_0011488","p.persica_gdr_reftransV1_0011488")</f>
        <v>p.persica_gdr_reftransV1_0011488</v>
      </c>
      <c r="B13601" s="2">
        <v>425</v>
      </c>
      <c r="C13601" s="4" t="str">
        <f>HYPERLINK("http://www.uniprot.org/uniprot/M5X567","M5X567")</f>
        <v>M5X567</v>
      </c>
      <c r="D13601" s="2" t="s">
        <v>886</v>
      </c>
      <c r="E13601" s="3">
        <v>1.0699999999999999E-70</v>
      </c>
      <c r="F13601" s="2">
        <v>594</v>
      </c>
      <c r="G13601" s="2">
        <v>100</v>
      </c>
      <c r="H13601" s="2">
        <v>141</v>
      </c>
      <c r="I13601" s="2">
        <v>1</v>
      </c>
      <c r="J13601" s="2">
        <v>423</v>
      </c>
      <c r="K13601" s="2">
        <v>240</v>
      </c>
      <c r="L13601" s="2">
        <v>380</v>
      </c>
    </row>
    <row r="13602" spans="1:12" x14ac:dyDescent="0.25">
      <c r="A13602" s="4" t="str">
        <f>HYPERLINK("http://www.rosaceae.org/Prunus/Prunus_persica/p.persica_gdr_reftransV1_0012888","p.persica_gdr_reftransV1_0012888")</f>
        <v>p.persica_gdr_reftransV1_0012888</v>
      </c>
      <c r="B13602" s="2">
        <v>536</v>
      </c>
      <c r="C13602" s="4" t="str">
        <f>HYPERLINK("http://www.uniprot.org/uniprot/M5Y2W1","M5Y2W1")</f>
        <v>M5Y2W1</v>
      </c>
      <c r="D13602" s="2" t="s">
        <v>3820</v>
      </c>
      <c r="E13602" s="3">
        <v>1.1799999999999999E-86</v>
      </c>
      <c r="F13602" s="2">
        <v>704</v>
      </c>
      <c r="G13602" s="2">
        <v>100</v>
      </c>
      <c r="H13602" s="2">
        <v>178</v>
      </c>
      <c r="I13602" s="2">
        <v>1</v>
      </c>
      <c r="J13602" s="2">
        <v>534</v>
      </c>
      <c r="K13602" s="2">
        <v>4</v>
      </c>
      <c r="L13602" s="2">
        <v>181</v>
      </c>
    </row>
    <row r="13603" spans="1:12" x14ac:dyDescent="0.25">
      <c r="A13603" s="4" t="str">
        <f>HYPERLINK("http://www.rosaceae.org/Prunus/Prunus_persica/p.persica_gdr_reftransV1_0013588","p.persica_gdr_reftransV1_0013588")</f>
        <v>p.persica_gdr_reftransV1_0013588</v>
      </c>
      <c r="B13603" s="2">
        <v>2632</v>
      </c>
      <c r="C13603" s="4" t="str">
        <f>HYPERLINK("http://www.uniprot.org/uniprot/M5XLL0","M5XLL0")</f>
        <v>M5XLL0</v>
      </c>
      <c r="D13603" s="2" t="s">
        <v>11175</v>
      </c>
      <c r="E13603" s="3">
        <v>0</v>
      </c>
      <c r="F13603" s="2">
        <v>2148</v>
      </c>
      <c r="G13603" s="2">
        <v>100</v>
      </c>
      <c r="H13603" s="2">
        <v>456</v>
      </c>
      <c r="I13603" s="2">
        <v>995</v>
      </c>
      <c r="J13603" s="2">
        <v>2362</v>
      </c>
      <c r="K13603" s="2">
        <v>1</v>
      </c>
      <c r="L13603" s="2">
        <v>456</v>
      </c>
    </row>
    <row r="13604" spans="1:12" x14ac:dyDescent="0.25">
      <c r="A13604" s="4" t="str">
        <f>HYPERLINK("http://www.rosaceae.org/Prunus/Prunus_persica/p.persica_gdr_reftransV1_0014288","p.persica_gdr_reftransV1_0014288")</f>
        <v>p.persica_gdr_reftransV1_0014288</v>
      </c>
      <c r="B13604" s="2">
        <v>2766</v>
      </c>
      <c r="C13604" s="4" t="str">
        <f>HYPERLINK("http://www.uniprot.org/uniprot/M5WCQ7","M5WCQ7")</f>
        <v>M5WCQ7</v>
      </c>
      <c r="D13604" s="2" t="s">
        <v>11176</v>
      </c>
      <c r="E13604" s="3">
        <v>0</v>
      </c>
      <c r="F13604" s="2">
        <v>3901</v>
      </c>
      <c r="G13604" s="2">
        <v>100</v>
      </c>
      <c r="H13604" s="2">
        <v>754</v>
      </c>
      <c r="I13604" s="2">
        <v>146</v>
      </c>
      <c r="J13604" s="2">
        <v>2407</v>
      </c>
      <c r="K13604" s="2">
        <v>1</v>
      </c>
      <c r="L13604" s="2">
        <v>754</v>
      </c>
    </row>
    <row r="13605" spans="1:12" x14ac:dyDescent="0.25">
      <c r="A13605" s="4" t="str">
        <f>HYPERLINK("http://www.rosaceae.org/Prunus/Prunus_persica/p.persica_gdr_reftransV1_0015688","p.persica_gdr_reftransV1_0015688")</f>
        <v>p.persica_gdr_reftransV1_0015688</v>
      </c>
      <c r="B13605" s="2">
        <v>1442</v>
      </c>
      <c r="C13605" s="4" t="str">
        <f>HYPERLINK("http://www.uniprot.org/uniprot/M5WI96","M5WI96")</f>
        <v>M5WI96</v>
      </c>
      <c r="D13605" s="2" t="s">
        <v>11156</v>
      </c>
      <c r="E13605" s="3">
        <v>6.0999999999999999E-53</v>
      </c>
      <c r="F13605" s="2">
        <v>484</v>
      </c>
      <c r="G13605" s="2">
        <v>100</v>
      </c>
      <c r="H13605" s="2">
        <v>90</v>
      </c>
      <c r="I13605" s="2">
        <v>1</v>
      </c>
      <c r="J13605" s="2">
        <v>270</v>
      </c>
      <c r="K13605" s="2">
        <v>189</v>
      </c>
      <c r="L13605" s="2">
        <v>278</v>
      </c>
    </row>
    <row r="13606" spans="1:12" x14ac:dyDescent="0.25">
      <c r="A13606" s="4" t="str">
        <f>HYPERLINK("http://www.rosaceae.org/Prunus/Prunus_persica/p.persica_gdr_reftransV1_0016038","p.persica_gdr_reftransV1_0016038")</f>
        <v>p.persica_gdr_reftransV1_0016038</v>
      </c>
      <c r="B13606" s="2">
        <v>525</v>
      </c>
      <c r="C13606" s="4" t="str">
        <f>HYPERLINK("http://www.uniprot.org/uniprot/L7T9P9","L7T9P9")</f>
        <v>L7T9P9</v>
      </c>
      <c r="D13606" s="2" t="s">
        <v>11177</v>
      </c>
      <c r="E13606" s="3">
        <v>1.0699999999999999E-112</v>
      </c>
      <c r="F13606" s="2">
        <v>852</v>
      </c>
      <c r="G13606" s="2">
        <v>100</v>
      </c>
      <c r="H13606" s="2">
        <v>174</v>
      </c>
      <c r="I13606" s="2">
        <v>2</v>
      </c>
      <c r="J13606" s="2">
        <v>523</v>
      </c>
      <c r="K13606" s="2">
        <v>47</v>
      </c>
      <c r="L13606" s="2">
        <v>220</v>
      </c>
    </row>
    <row r="13607" spans="1:12" x14ac:dyDescent="0.25">
      <c r="A13607" s="4" t="str">
        <f>HYPERLINK("http://www.rosaceae.org/Prunus/Prunus_persica/p.persica_gdr_reftransV1_0016738","p.persica_gdr_reftransV1_0016738")</f>
        <v>p.persica_gdr_reftransV1_0016738</v>
      </c>
      <c r="B13607" s="2">
        <v>1258</v>
      </c>
      <c r="C13607" s="4" t="str">
        <f>HYPERLINK("http://www.uniprot.org/uniprot/M5VGX3","M5VGX3")</f>
        <v>M5VGX3</v>
      </c>
      <c r="D13607" s="2" t="s">
        <v>11178</v>
      </c>
      <c r="E13607" s="3">
        <v>0</v>
      </c>
      <c r="F13607" s="2">
        <v>1640</v>
      </c>
      <c r="G13607" s="2">
        <v>100</v>
      </c>
      <c r="H13607" s="2">
        <v>306</v>
      </c>
      <c r="I13607" s="2">
        <v>154</v>
      </c>
      <c r="J13607" s="2">
        <v>1071</v>
      </c>
      <c r="K13607" s="2">
        <v>1</v>
      </c>
      <c r="L13607" s="2">
        <v>306</v>
      </c>
    </row>
    <row r="13608" spans="1:12" x14ac:dyDescent="0.25">
      <c r="A13608" s="4" t="str">
        <f>HYPERLINK("http://www.rosaceae.org/Prunus/Prunus_persica/p.persica_gdr_reftransV1_0019538","p.persica_gdr_reftransV1_0019538")</f>
        <v>p.persica_gdr_reftransV1_0019538</v>
      </c>
      <c r="B13608" s="2">
        <v>2606</v>
      </c>
      <c r="C13608" s="4" t="str">
        <f>HYPERLINK("http://www.uniprot.org/uniprot/M5X0V2","M5X0V2")</f>
        <v>M5X0V2</v>
      </c>
      <c r="D13608" s="2" t="s">
        <v>11179</v>
      </c>
      <c r="E13608" s="3">
        <v>0</v>
      </c>
      <c r="F13608" s="2">
        <v>1425</v>
      </c>
      <c r="G13608" s="2">
        <v>100</v>
      </c>
      <c r="H13608" s="2">
        <v>264</v>
      </c>
      <c r="I13608" s="2">
        <v>360</v>
      </c>
      <c r="J13608" s="2">
        <v>1151</v>
      </c>
      <c r="K13608" s="2">
        <v>66</v>
      </c>
      <c r="L13608" s="2">
        <v>329</v>
      </c>
    </row>
    <row r="13609" spans="1:12" x14ac:dyDescent="0.25">
      <c r="A13609" s="4" t="str">
        <f>HYPERLINK("http://www.rosaceae.org/Prunus/Prunus_persica/p.persica_gdr_reftransV1_0021288","p.persica_gdr_reftransV1_0021288")</f>
        <v>p.persica_gdr_reftransV1_0021288</v>
      </c>
      <c r="B13609" s="2">
        <v>2309</v>
      </c>
      <c r="C13609" s="4" t="str">
        <f>HYPERLINK("http://www.uniprot.org/uniprot/M5WHT6","M5WHT6")</f>
        <v>M5WHT6</v>
      </c>
      <c r="D13609" s="2" t="s">
        <v>11180</v>
      </c>
      <c r="E13609" s="3">
        <v>2.45E-174</v>
      </c>
      <c r="F13609" s="2">
        <v>1340</v>
      </c>
      <c r="G13609" s="2">
        <v>100</v>
      </c>
      <c r="H13609" s="2">
        <v>277</v>
      </c>
      <c r="I13609" s="2">
        <v>1479</v>
      </c>
      <c r="J13609" s="2">
        <v>2309</v>
      </c>
      <c r="K13609" s="2">
        <v>1</v>
      </c>
      <c r="L13609" s="2">
        <v>277</v>
      </c>
    </row>
    <row r="13610" spans="1:12" x14ac:dyDescent="0.25">
      <c r="A13610" s="4" t="str">
        <f>HYPERLINK("http://www.rosaceae.org/Prunus/Prunus_persica/p.persica_gdr_reftransV1_0022688","p.persica_gdr_reftransV1_0022688")</f>
        <v>p.persica_gdr_reftransV1_0022688</v>
      </c>
      <c r="B13610" s="2">
        <v>595</v>
      </c>
      <c r="C13610" s="4" t="str">
        <f>HYPERLINK("http://www.uniprot.org/uniprot/M5XL90","M5XL90")</f>
        <v>M5XL90</v>
      </c>
      <c r="D13610" s="2" t="s">
        <v>11181</v>
      </c>
      <c r="E13610" s="3">
        <v>1.3800000000000001E-131</v>
      </c>
      <c r="F13610" s="2">
        <v>1033</v>
      </c>
      <c r="G13610" s="2">
        <v>100</v>
      </c>
      <c r="H13610" s="2">
        <v>197</v>
      </c>
      <c r="I13610" s="2">
        <v>3</v>
      </c>
      <c r="J13610" s="2">
        <v>593</v>
      </c>
      <c r="K13610" s="2">
        <v>656</v>
      </c>
      <c r="L13610" s="2">
        <v>852</v>
      </c>
    </row>
    <row r="13611" spans="1:12" x14ac:dyDescent="0.25">
      <c r="A13611" s="4" t="str">
        <f>HYPERLINK("http://www.rosaceae.org/Prunus/Prunus_persica/p.persica_gdr_reftransV1_0023388","p.persica_gdr_reftransV1_0023388")</f>
        <v>p.persica_gdr_reftransV1_0023388</v>
      </c>
      <c r="B13611" s="2">
        <v>3185</v>
      </c>
      <c r="C13611" s="4" t="str">
        <f>HYPERLINK("http://www.uniprot.org/uniprot/M5X0J4","M5X0J4")</f>
        <v>M5X0J4</v>
      </c>
      <c r="D13611" s="2" t="s">
        <v>11182</v>
      </c>
      <c r="E13611" s="3">
        <v>0</v>
      </c>
      <c r="F13611" s="2">
        <v>3313</v>
      </c>
      <c r="G13611" s="2">
        <v>100</v>
      </c>
      <c r="H13611" s="2">
        <v>644</v>
      </c>
      <c r="I13611" s="2">
        <v>847</v>
      </c>
      <c r="J13611" s="2">
        <v>2778</v>
      </c>
      <c r="K13611" s="2">
        <v>1</v>
      </c>
      <c r="L13611" s="2">
        <v>644</v>
      </c>
    </row>
    <row r="13612" spans="1:12" x14ac:dyDescent="0.25">
      <c r="A13612" s="4" t="str">
        <f>HYPERLINK("http://www.rosaceae.org/Prunus/Prunus_persica/p.persica_gdr_reftransV1_0025488","p.persica_gdr_reftransV1_0025488")</f>
        <v>p.persica_gdr_reftransV1_0025488</v>
      </c>
      <c r="B13612" s="2">
        <v>3285</v>
      </c>
      <c r="C13612" s="4" t="str">
        <f>HYPERLINK("http://www.uniprot.org/uniprot/M5XAT0","M5XAT0")</f>
        <v>M5XAT0</v>
      </c>
      <c r="D13612" s="2" t="s">
        <v>11183</v>
      </c>
      <c r="E13612" s="3">
        <v>0</v>
      </c>
      <c r="F13612" s="2">
        <v>3660</v>
      </c>
      <c r="G13612" s="2">
        <v>99</v>
      </c>
      <c r="H13612" s="2">
        <v>836</v>
      </c>
      <c r="I13612" s="2">
        <v>605</v>
      </c>
      <c r="J13612" s="2">
        <v>3112</v>
      </c>
      <c r="K13612" s="2">
        <v>1</v>
      </c>
      <c r="L13612" s="2">
        <v>836</v>
      </c>
    </row>
    <row r="13613" spans="1:12" x14ac:dyDescent="0.25">
      <c r="A13613" s="4" t="str">
        <f>HYPERLINK("http://www.rosaceae.org/Prunus/Prunus_persica/p.persica_gdr_reftransV1_0027238","p.persica_gdr_reftransV1_0027238")</f>
        <v>p.persica_gdr_reftransV1_0027238</v>
      </c>
      <c r="B13613" s="2">
        <v>1661</v>
      </c>
      <c r="C13613" s="4" t="str">
        <f>HYPERLINK("http://www.uniprot.org/uniprot/M5VPT1","M5VPT1")</f>
        <v>M5VPT1</v>
      </c>
      <c r="D13613" s="2" t="s">
        <v>11184</v>
      </c>
      <c r="E13613" s="3">
        <v>1.25E-141</v>
      </c>
      <c r="F13613" s="2">
        <v>1094</v>
      </c>
      <c r="G13613" s="2">
        <v>100</v>
      </c>
      <c r="H13613" s="2">
        <v>301</v>
      </c>
      <c r="I13613" s="2">
        <v>475</v>
      </c>
      <c r="J13613" s="2">
        <v>1377</v>
      </c>
      <c r="K13613" s="2">
        <v>50</v>
      </c>
      <c r="L13613" s="2">
        <v>350</v>
      </c>
    </row>
    <row r="13614" spans="1:12" x14ac:dyDescent="0.25">
      <c r="A13614" s="4" t="str">
        <f>HYPERLINK("http://www.rosaceae.org/Prunus/Prunus_persica/p.persica_gdr_reftransV1_0029338","p.persica_gdr_reftransV1_0029338")</f>
        <v>p.persica_gdr_reftransV1_0029338</v>
      </c>
      <c r="B13614" s="2">
        <v>1740</v>
      </c>
      <c r="C13614" s="4" t="str">
        <f>HYPERLINK("http://www.uniprot.org/uniprot/M5XD58","M5XD58")</f>
        <v>M5XD58</v>
      </c>
      <c r="D13614" s="2" t="s">
        <v>11185</v>
      </c>
      <c r="E13614" s="3">
        <v>0</v>
      </c>
      <c r="F13614" s="2">
        <v>1514</v>
      </c>
      <c r="G13614" s="2">
        <v>100</v>
      </c>
      <c r="H13614" s="2">
        <v>347</v>
      </c>
      <c r="I13614" s="2">
        <v>332</v>
      </c>
      <c r="J13614" s="2">
        <v>1372</v>
      </c>
      <c r="K13614" s="2">
        <v>1</v>
      </c>
      <c r="L13614" s="2">
        <v>347</v>
      </c>
    </row>
    <row r="13615" spans="1:12" x14ac:dyDescent="0.25">
      <c r="A13615" s="4" t="str">
        <f>HYPERLINK("http://www.rosaceae.org/Prunus/Prunus_persica/p.persica_gdr_reftransV1_0029688","p.persica_gdr_reftransV1_0029688")</f>
        <v>p.persica_gdr_reftransV1_0029688</v>
      </c>
      <c r="B13615" s="2">
        <v>2079</v>
      </c>
      <c r="C13615" s="4" t="str">
        <f>HYPERLINK("http://www.uniprot.org/uniprot/M5WFS2","M5WFS2")</f>
        <v>M5WFS2</v>
      </c>
      <c r="D13615" s="2" t="s">
        <v>11186</v>
      </c>
      <c r="E13615" s="3">
        <v>2.0800000000000001E-169</v>
      </c>
      <c r="F13615" s="2">
        <v>1293</v>
      </c>
      <c r="G13615" s="2">
        <v>100</v>
      </c>
      <c r="H13615" s="2">
        <v>239</v>
      </c>
      <c r="I13615" s="2">
        <v>306</v>
      </c>
      <c r="J13615" s="2">
        <v>1022</v>
      </c>
      <c r="K13615" s="2">
        <v>139</v>
      </c>
      <c r="L13615" s="2">
        <v>377</v>
      </c>
    </row>
    <row r="13616" spans="1:12" x14ac:dyDescent="0.25">
      <c r="A13616" s="4" t="str">
        <f>HYPERLINK("http://www.rosaceae.org/Prunus/Prunus_persica/p.persica_gdr_reftransV1_0030038","p.persica_gdr_reftransV1_0030038")</f>
        <v>p.persica_gdr_reftransV1_0030038</v>
      </c>
      <c r="B13616" s="2">
        <v>2064</v>
      </c>
      <c r="C13616" s="4" t="str">
        <f>HYPERLINK("http://www.uniprot.org/uniprot/M5XGP7","M5XGP7")</f>
        <v>M5XGP7</v>
      </c>
      <c r="D13616" s="2" t="s">
        <v>7472</v>
      </c>
      <c r="E13616" s="3">
        <v>2.2300000000000001E-121</v>
      </c>
      <c r="F13616" s="2">
        <v>1007</v>
      </c>
      <c r="G13616" s="2">
        <v>100</v>
      </c>
      <c r="H13616" s="2">
        <v>197</v>
      </c>
      <c r="I13616" s="2">
        <v>1447</v>
      </c>
      <c r="J13616" s="2">
        <v>2037</v>
      </c>
      <c r="K13616" s="2">
        <v>457</v>
      </c>
      <c r="L13616" s="2">
        <v>653</v>
      </c>
    </row>
    <row r="13617" spans="1:12" x14ac:dyDescent="0.25">
      <c r="A13617" s="4" t="str">
        <f>HYPERLINK("http://www.rosaceae.org/Prunus/Prunus_persica/p.persica_gdr_reftransV1_0030738","p.persica_gdr_reftransV1_0030738")</f>
        <v>p.persica_gdr_reftransV1_0030738</v>
      </c>
      <c r="B13617" s="2">
        <v>2583</v>
      </c>
      <c r="C13617" s="4" t="str">
        <f>HYPERLINK("http://www.uniprot.org/uniprot/M5WRR9","M5WRR9")</f>
        <v>M5WRR9</v>
      </c>
      <c r="D13617" s="2" t="s">
        <v>11187</v>
      </c>
      <c r="E13617" s="3">
        <v>0</v>
      </c>
      <c r="F13617" s="2">
        <v>2926</v>
      </c>
      <c r="G13617" s="2">
        <v>100</v>
      </c>
      <c r="H13617" s="2">
        <v>613</v>
      </c>
      <c r="I13617" s="2">
        <v>352</v>
      </c>
      <c r="J13617" s="2">
        <v>2190</v>
      </c>
      <c r="K13617" s="2">
        <v>1</v>
      </c>
      <c r="L13617" s="2">
        <v>613</v>
      </c>
    </row>
    <row r="13618" spans="1:12" x14ac:dyDescent="0.25">
      <c r="A13618" s="4" t="str">
        <f>HYPERLINK("http://www.rosaceae.org/Prunus/Prunus_persica/p.persica_gdr_reftransV1_0031088","p.persica_gdr_reftransV1_0031088")</f>
        <v>p.persica_gdr_reftransV1_0031088</v>
      </c>
      <c r="B13618" s="2">
        <v>4859</v>
      </c>
      <c r="C13618" s="4" t="str">
        <f>HYPERLINK("http://www.uniprot.org/uniprot/M5WCX7","M5WCX7")</f>
        <v>M5WCX7</v>
      </c>
      <c r="D13618" s="2" t="s">
        <v>11188</v>
      </c>
      <c r="E13618" s="3">
        <v>0</v>
      </c>
      <c r="F13618" s="2">
        <v>2247</v>
      </c>
      <c r="G13618" s="2">
        <v>100</v>
      </c>
      <c r="H13618" s="2">
        <v>438</v>
      </c>
      <c r="I13618" s="2">
        <v>3209</v>
      </c>
      <c r="J13618" s="2">
        <v>4522</v>
      </c>
      <c r="K13618" s="2">
        <v>473</v>
      </c>
      <c r="L13618" s="2">
        <v>910</v>
      </c>
    </row>
    <row r="13619" spans="1:12" x14ac:dyDescent="0.25">
      <c r="A13619" s="4" t="str">
        <f>HYPERLINK("http://www.rosaceae.org/Prunus/Prunus_persica/p.persica_gdr_reftransV1_0035288","p.persica_gdr_reftransV1_0035288")</f>
        <v>p.persica_gdr_reftransV1_0035288</v>
      </c>
      <c r="B13619" s="2">
        <v>5379</v>
      </c>
      <c r="C13619" s="4" t="str">
        <f>HYPERLINK("http://www.uniprot.org/uniprot/M5WKS4","M5WKS4")</f>
        <v>M5WKS4</v>
      </c>
      <c r="D13619" s="2" t="s">
        <v>1929</v>
      </c>
      <c r="E13619" s="3">
        <v>0</v>
      </c>
      <c r="F13619" s="2">
        <v>4356</v>
      </c>
      <c r="G13619" s="2">
        <v>100</v>
      </c>
      <c r="H13619" s="2">
        <v>818</v>
      </c>
      <c r="I13619" s="2">
        <v>2537</v>
      </c>
      <c r="J13619" s="2">
        <v>4990</v>
      </c>
      <c r="K13619" s="2">
        <v>1</v>
      </c>
      <c r="L13619" s="2">
        <v>818</v>
      </c>
    </row>
    <row r="13620" spans="1:12" x14ac:dyDescent="0.25">
      <c r="A13620" s="4" t="str">
        <f>HYPERLINK("http://www.rosaceae.org/Prunus/Prunus_persica/p.persica_gdr_reftransV1_0036688","p.persica_gdr_reftransV1_0036688")</f>
        <v>p.persica_gdr_reftransV1_0036688</v>
      </c>
      <c r="B13620" s="2">
        <v>2735</v>
      </c>
      <c r="C13620" s="4" t="str">
        <f>HYPERLINK("http://www.uniprot.org/uniprot/M5XBM7","M5XBM7")</f>
        <v>M5XBM7</v>
      </c>
      <c r="D13620" s="2" t="s">
        <v>11189</v>
      </c>
      <c r="E13620" s="3">
        <v>0</v>
      </c>
      <c r="F13620" s="2">
        <v>2367</v>
      </c>
      <c r="G13620" s="2">
        <v>100</v>
      </c>
      <c r="H13620" s="2">
        <v>468</v>
      </c>
      <c r="I13620" s="2">
        <v>271</v>
      </c>
      <c r="J13620" s="2">
        <v>1674</v>
      </c>
      <c r="K13620" s="2">
        <v>1</v>
      </c>
      <c r="L13620" s="2">
        <v>468</v>
      </c>
    </row>
    <row r="13621" spans="1:12" x14ac:dyDescent="0.25">
      <c r="A13621" s="4" t="str">
        <f>HYPERLINK("http://www.rosaceae.org/Prunus/Prunus_persica/p.persica_gdr_reftransV1_0037388","p.persica_gdr_reftransV1_0037388")</f>
        <v>p.persica_gdr_reftransV1_0037388</v>
      </c>
      <c r="B13621" s="2">
        <v>3085</v>
      </c>
      <c r="C13621" s="4" t="str">
        <f>HYPERLINK("http://www.uniprot.org/uniprot/M5XAY9","M5XAY9")</f>
        <v>M5XAY9</v>
      </c>
      <c r="D13621" s="2" t="s">
        <v>10960</v>
      </c>
      <c r="E13621" s="3">
        <v>0</v>
      </c>
      <c r="F13621" s="2">
        <v>2864</v>
      </c>
      <c r="G13621" s="2">
        <v>99</v>
      </c>
      <c r="H13621" s="2">
        <v>663</v>
      </c>
      <c r="I13621" s="2">
        <v>336</v>
      </c>
      <c r="J13621" s="2">
        <v>2324</v>
      </c>
      <c r="K13621" s="2">
        <v>1</v>
      </c>
      <c r="L13621" s="2">
        <v>663</v>
      </c>
    </row>
    <row r="13622" spans="1:12" x14ac:dyDescent="0.25">
      <c r="A13622" s="4" t="str">
        <f>HYPERLINK("http://www.rosaceae.org/Prunus/Prunus_persica/p.persica_gdr_reftransV1_0038438","p.persica_gdr_reftransV1_0038438")</f>
        <v>p.persica_gdr_reftransV1_0038438</v>
      </c>
      <c r="B13622" s="2">
        <v>2899</v>
      </c>
      <c r="C13622" s="4" t="str">
        <f>HYPERLINK("http://www.uniprot.org/uniprot/M5WRQ1","M5WRQ1")</f>
        <v>M5WRQ1</v>
      </c>
      <c r="D13622" s="2" t="s">
        <v>11190</v>
      </c>
      <c r="E13622" s="3">
        <v>0</v>
      </c>
      <c r="F13622" s="2">
        <v>2715</v>
      </c>
      <c r="G13622" s="2">
        <v>99</v>
      </c>
      <c r="H13622" s="2">
        <v>554</v>
      </c>
      <c r="I13622" s="2">
        <v>750</v>
      </c>
      <c r="J13622" s="2">
        <v>2411</v>
      </c>
      <c r="K13622" s="2">
        <v>1</v>
      </c>
      <c r="L13622" s="2">
        <v>554</v>
      </c>
    </row>
    <row r="13623" spans="1:12" x14ac:dyDescent="0.25">
      <c r="A13623" s="4" t="str">
        <f>HYPERLINK("http://www.rosaceae.org/Prunus/Prunus_persica/p.persica_gdr_reftransV1_0041938","p.persica_gdr_reftransV1_0041938")</f>
        <v>p.persica_gdr_reftransV1_0041938</v>
      </c>
      <c r="B13623" s="2">
        <v>608</v>
      </c>
      <c r="C13623" s="4" t="str">
        <f>HYPERLINK("http://www.uniprot.org/uniprot/M5X407","M5X407")</f>
        <v>M5X407</v>
      </c>
      <c r="D13623" s="2" t="s">
        <v>5381</v>
      </c>
      <c r="E13623" s="3">
        <v>1.7099999999999998E-86</v>
      </c>
      <c r="F13623" s="2">
        <v>675</v>
      </c>
      <c r="G13623" s="2">
        <v>100</v>
      </c>
      <c r="H13623" s="2">
        <v>126</v>
      </c>
      <c r="I13623" s="2">
        <v>231</v>
      </c>
      <c r="J13623" s="2">
        <v>608</v>
      </c>
      <c r="K13623" s="2">
        <v>1</v>
      </c>
      <c r="L13623" s="2">
        <v>126</v>
      </c>
    </row>
    <row r="13624" spans="1:12" x14ac:dyDescent="0.25">
      <c r="A13624" s="4" t="str">
        <f>HYPERLINK("http://www.rosaceae.org/Prunus/Prunus_persica/p.persica_gdr_reftransV1_0043338","p.persica_gdr_reftransV1_0043338")</f>
        <v>p.persica_gdr_reftransV1_0043338</v>
      </c>
      <c r="B13624" s="2">
        <v>343</v>
      </c>
      <c r="C13624" s="4" t="str">
        <f>HYPERLINK("http://www.uniprot.org/uniprot/M5XWV4","M5XWV4")</f>
        <v>M5XWV4</v>
      </c>
      <c r="D13624" s="2" t="s">
        <v>612</v>
      </c>
      <c r="E13624" s="3">
        <v>1.31E-63</v>
      </c>
      <c r="F13624" s="2">
        <v>541</v>
      </c>
      <c r="G13624" s="2">
        <v>100</v>
      </c>
      <c r="H13624" s="2">
        <v>114</v>
      </c>
      <c r="I13624" s="2">
        <v>1</v>
      </c>
      <c r="J13624" s="2">
        <v>342</v>
      </c>
      <c r="K13624" s="2">
        <v>51</v>
      </c>
      <c r="L13624" s="2">
        <v>164</v>
      </c>
    </row>
    <row r="13625" spans="1:12" x14ac:dyDescent="0.25">
      <c r="A13625" s="4" t="str">
        <f>HYPERLINK("http://www.rosaceae.org/Prunus/Prunus_persica/p.persica_gdr_reftransV1_0043688","p.persica_gdr_reftransV1_0043688")</f>
        <v>p.persica_gdr_reftransV1_0043688</v>
      </c>
      <c r="B13625" s="2">
        <v>623</v>
      </c>
      <c r="C13625" s="4" t="str">
        <f>HYPERLINK("http://www.uniprot.org/uniprot/M5VLE5","M5VLE5")</f>
        <v>M5VLE5</v>
      </c>
      <c r="D13625" s="2" t="s">
        <v>11191</v>
      </c>
      <c r="E13625" s="3">
        <v>1.01E-124</v>
      </c>
      <c r="F13625" s="2">
        <v>943</v>
      </c>
      <c r="G13625" s="2">
        <v>100</v>
      </c>
      <c r="H13625" s="2">
        <v>175</v>
      </c>
      <c r="I13625" s="2">
        <v>95</v>
      </c>
      <c r="J13625" s="2">
        <v>619</v>
      </c>
      <c r="K13625" s="2">
        <v>156</v>
      </c>
      <c r="L13625" s="2">
        <v>330</v>
      </c>
    </row>
    <row r="13626" spans="1:12" x14ac:dyDescent="0.25">
      <c r="A13626" s="4" t="str">
        <f>HYPERLINK("http://www.rosaceae.org/Prunus/Prunus_persica/p.persica_gdr_reftransV1_0044388","p.persica_gdr_reftransV1_0044388")</f>
        <v>p.persica_gdr_reftransV1_0044388</v>
      </c>
      <c r="B13626" s="2">
        <v>3160</v>
      </c>
      <c r="C13626" s="4" t="str">
        <f>HYPERLINK("http://www.uniprot.org/uniprot/M5XGQ4","M5XGQ4")</f>
        <v>M5XGQ4</v>
      </c>
      <c r="D13626" s="2" t="s">
        <v>11192</v>
      </c>
      <c r="E13626" s="3">
        <v>0</v>
      </c>
      <c r="F13626" s="2">
        <v>4165</v>
      </c>
      <c r="G13626" s="2">
        <v>100</v>
      </c>
      <c r="H13626" s="2">
        <v>810</v>
      </c>
      <c r="I13626" s="2">
        <v>179</v>
      </c>
      <c r="J13626" s="2">
        <v>2608</v>
      </c>
      <c r="K13626" s="2">
        <v>1</v>
      </c>
      <c r="L13626" s="2">
        <v>810</v>
      </c>
    </row>
    <row r="13627" spans="1:12" x14ac:dyDescent="0.25">
      <c r="A13627" s="4" t="str">
        <f>HYPERLINK("http://www.rosaceae.org/Prunus/Prunus_persica/p.persica_gdr_reftransV1_0044738","p.persica_gdr_reftransV1_0044738")</f>
        <v>p.persica_gdr_reftransV1_0044738</v>
      </c>
      <c r="B13627" s="2">
        <v>2481</v>
      </c>
      <c r="C13627" s="4" t="str">
        <f>HYPERLINK("http://www.uniprot.org/uniprot/M5VYJ0","M5VYJ0")</f>
        <v>M5VYJ0</v>
      </c>
      <c r="D13627" s="2" t="s">
        <v>11193</v>
      </c>
      <c r="E13627" s="3">
        <v>0</v>
      </c>
      <c r="F13627" s="2">
        <v>2505</v>
      </c>
      <c r="G13627" s="2">
        <v>100</v>
      </c>
      <c r="H13627" s="2">
        <v>629</v>
      </c>
      <c r="I13627" s="2">
        <v>299</v>
      </c>
      <c r="J13627" s="2">
        <v>2185</v>
      </c>
      <c r="K13627" s="2">
        <v>1</v>
      </c>
      <c r="L13627" s="2">
        <v>629</v>
      </c>
    </row>
    <row r="13628" spans="1:12" x14ac:dyDescent="0.25">
      <c r="A13628" s="4" t="str">
        <f>HYPERLINK("http://www.rosaceae.org/Prunus/Prunus_persica/p.persica_gdr_reftransV1_0045088","p.persica_gdr_reftransV1_0045088")</f>
        <v>p.persica_gdr_reftransV1_0045088</v>
      </c>
      <c r="B13628" s="2">
        <v>1526</v>
      </c>
      <c r="C13628" s="4" t="str">
        <f>HYPERLINK("http://www.uniprot.org/uniprot/M5X9R5","M5X9R5")</f>
        <v>M5X9R5</v>
      </c>
      <c r="D13628" s="2" t="s">
        <v>11194</v>
      </c>
      <c r="E13628" s="3">
        <v>0</v>
      </c>
      <c r="F13628" s="2">
        <v>2539</v>
      </c>
      <c r="G13628" s="2">
        <v>100</v>
      </c>
      <c r="H13628" s="2">
        <v>474</v>
      </c>
      <c r="I13628" s="2">
        <v>33</v>
      </c>
      <c r="J13628" s="2">
        <v>1454</v>
      </c>
      <c r="K13628" s="2">
        <v>1</v>
      </c>
      <c r="L13628" s="2">
        <v>474</v>
      </c>
    </row>
    <row r="13629" spans="1:12" x14ac:dyDescent="0.25">
      <c r="A13629" s="4" t="str">
        <f>HYPERLINK("http://www.rosaceae.org/Prunus/Prunus_persica/p.persica_gdr_reftransV1_0045788","p.persica_gdr_reftransV1_0045788")</f>
        <v>p.persica_gdr_reftransV1_0045788</v>
      </c>
      <c r="B13629" s="2">
        <v>468</v>
      </c>
      <c r="C13629" s="4" t="str">
        <f>HYPERLINK("http://www.uniprot.org/uniprot/M5VZX5","M5VZX5")</f>
        <v>M5VZX5</v>
      </c>
      <c r="D13629" s="2" t="s">
        <v>5028</v>
      </c>
      <c r="E13629" s="3">
        <v>4.7800000000000003E-42</v>
      </c>
      <c r="F13629" s="2">
        <v>388</v>
      </c>
      <c r="G13629" s="2">
        <v>100</v>
      </c>
      <c r="H13629" s="2">
        <v>104</v>
      </c>
      <c r="I13629" s="2">
        <v>2</v>
      </c>
      <c r="J13629" s="2">
        <v>313</v>
      </c>
      <c r="K13629" s="2">
        <v>1</v>
      </c>
      <c r="L13629" s="2">
        <v>104</v>
      </c>
    </row>
    <row r="13630" spans="1:12" x14ac:dyDescent="0.25">
      <c r="A13630" s="4" t="str">
        <f>HYPERLINK("http://www.rosaceae.org/Prunus/Prunus_persica/p.persica_gdr_reftransV1_0046838","p.persica_gdr_reftransV1_0046838")</f>
        <v>p.persica_gdr_reftransV1_0046838</v>
      </c>
      <c r="B13630" s="2">
        <v>1737</v>
      </c>
      <c r="C13630" s="4" t="str">
        <f>HYPERLINK("http://www.uniprot.org/uniprot/M5X816","M5X816")</f>
        <v>M5X816</v>
      </c>
      <c r="D13630" s="2" t="s">
        <v>11195</v>
      </c>
      <c r="E13630" s="3">
        <v>0</v>
      </c>
      <c r="F13630" s="2">
        <v>1744</v>
      </c>
      <c r="G13630" s="2">
        <v>100</v>
      </c>
      <c r="H13630" s="2">
        <v>322</v>
      </c>
      <c r="I13630" s="2">
        <v>385</v>
      </c>
      <c r="J13630" s="2">
        <v>1350</v>
      </c>
      <c r="K13630" s="2">
        <v>1</v>
      </c>
      <c r="L13630" s="2">
        <v>322</v>
      </c>
    </row>
    <row r="13631" spans="1:12" x14ac:dyDescent="0.25">
      <c r="A13631" s="4" t="str">
        <f>HYPERLINK("http://www.rosaceae.org/Prunus/Prunus_persica/p.persica_gdr_reftransV1_0047188","p.persica_gdr_reftransV1_0047188")</f>
        <v>p.persica_gdr_reftransV1_0047188</v>
      </c>
      <c r="B13631" s="2">
        <v>1648</v>
      </c>
      <c r="C13631" s="4" t="str">
        <f>HYPERLINK("http://www.uniprot.org/uniprot/M5VQC4","M5VQC4")</f>
        <v>M5VQC4</v>
      </c>
      <c r="D13631" s="2" t="s">
        <v>9517</v>
      </c>
      <c r="E13631" s="3">
        <v>0</v>
      </c>
      <c r="F13631" s="2">
        <v>2583</v>
      </c>
      <c r="G13631" s="2">
        <v>100</v>
      </c>
      <c r="H13631" s="2">
        <v>490</v>
      </c>
      <c r="I13631" s="2">
        <v>14</v>
      </c>
      <c r="J13631" s="2">
        <v>1483</v>
      </c>
      <c r="K13631" s="2">
        <v>1</v>
      </c>
      <c r="L13631" s="2">
        <v>490</v>
      </c>
    </row>
    <row r="13632" spans="1:12" x14ac:dyDescent="0.25">
      <c r="A13632" s="4" t="str">
        <f>HYPERLINK("http://www.rosaceae.org/Prunus/Prunus_persica/p.persica_gdr_reftransV1_0047538","p.persica_gdr_reftransV1_0047538")</f>
        <v>p.persica_gdr_reftransV1_0047538</v>
      </c>
      <c r="B13632" s="2">
        <v>1154</v>
      </c>
      <c r="C13632" s="4" t="str">
        <f>HYPERLINK("http://www.uniprot.org/uniprot/M5X8D6","M5X8D6")</f>
        <v>M5X8D6</v>
      </c>
      <c r="D13632" s="2" t="s">
        <v>11196</v>
      </c>
      <c r="E13632" s="3">
        <v>4.4800000000000004E-170</v>
      </c>
      <c r="F13632" s="2">
        <v>1254</v>
      </c>
      <c r="G13632" s="2">
        <v>100</v>
      </c>
      <c r="H13632" s="2">
        <v>236</v>
      </c>
      <c r="I13632" s="2">
        <v>368</v>
      </c>
      <c r="J13632" s="2">
        <v>1075</v>
      </c>
      <c r="K13632" s="2">
        <v>15</v>
      </c>
      <c r="L13632" s="2">
        <v>250</v>
      </c>
    </row>
    <row r="13633" spans="1:12" x14ac:dyDescent="0.25">
      <c r="A13633" s="4" t="str">
        <f>HYPERLINK("http://www.rosaceae.org/Prunus/Prunus_persica/p.persica_gdr_reftransV1_0047888","p.persica_gdr_reftransV1_0047888")</f>
        <v>p.persica_gdr_reftransV1_0047888</v>
      </c>
      <c r="B13633" s="2">
        <v>1708</v>
      </c>
      <c r="C13633" s="4" t="str">
        <f>HYPERLINK("http://www.uniprot.org/uniprot/M5W661","M5W661")</f>
        <v>M5W661</v>
      </c>
      <c r="D13633" s="2" t="s">
        <v>19</v>
      </c>
      <c r="E13633" s="3">
        <v>0</v>
      </c>
      <c r="F13633" s="2">
        <v>1930</v>
      </c>
      <c r="G13633" s="2">
        <v>100</v>
      </c>
      <c r="H13633" s="2">
        <v>390</v>
      </c>
      <c r="I13633" s="2">
        <v>205</v>
      </c>
      <c r="J13633" s="2">
        <v>1374</v>
      </c>
      <c r="K13633" s="2">
        <v>1</v>
      </c>
      <c r="L13633" s="2">
        <v>390</v>
      </c>
    </row>
    <row r="13634" spans="1:12" x14ac:dyDescent="0.25">
      <c r="A13634" s="4" t="str">
        <f>HYPERLINK("http://www.rosaceae.org/Prunus/Prunus_persica/p.persica_gdr_reftransV1_0048238","p.persica_gdr_reftransV1_0048238")</f>
        <v>p.persica_gdr_reftransV1_0048238</v>
      </c>
      <c r="B13634" s="2">
        <v>1443</v>
      </c>
      <c r="C13634" s="4" t="str">
        <f>HYPERLINK("http://www.uniprot.org/uniprot/M5WBF8","M5WBF8")</f>
        <v>M5WBF8</v>
      </c>
      <c r="D13634" s="2" t="s">
        <v>3574</v>
      </c>
      <c r="E13634" s="3">
        <v>2.6600000000000001E-157</v>
      </c>
      <c r="F13634" s="2">
        <v>1182</v>
      </c>
      <c r="G13634" s="2">
        <v>100</v>
      </c>
      <c r="H13634" s="2">
        <v>281</v>
      </c>
      <c r="I13634" s="2">
        <v>219</v>
      </c>
      <c r="J13634" s="2">
        <v>1061</v>
      </c>
      <c r="K13634" s="2">
        <v>1</v>
      </c>
      <c r="L13634" s="2">
        <v>281</v>
      </c>
    </row>
    <row r="13635" spans="1:12" x14ac:dyDescent="0.25">
      <c r="A13635" s="4" t="str">
        <f>HYPERLINK("http://www.rosaceae.org/Prunus/Prunus_persica/p.persica_gdr_reftransV1_0048588","p.persica_gdr_reftransV1_0048588")</f>
        <v>p.persica_gdr_reftransV1_0048588</v>
      </c>
      <c r="B13635" s="2">
        <v>605</v>
      </c>
      <c r="C13635" s="4" t="str">
        <f>HYPERLINK("http://www.uniprot.org/uniprot/M5VVU7","M5VVU7")</f>
        <v>M5VVU7</v>
      </c>
      <c r="D13635" s="2" t="s">
        <v>11197</v>
      </c>
      <c r="E13635" s="3">
        <v>4.46E-116</v>
      </c>
      <c r="F13635" s="2">
        <v>869</v>
      </c>
      <c r="G13635" s="2">
        <v>100</v>
      </c>
      <c r="H13635" s="2">
        <v>166</v>
      </c>
      <c r="I13635" s="2">
        <v>93</v>
      </c>
      <c r="J13635" s="2">
        <v>590</v>
      </c>
      <c r="K13635" s="2">
        <v>1</v>
      </c>
      <c r="L13635" s="2">
        <v>166</v>
      </c>
    </row>
    <row r="13636" spans="1:12" x14ac:dyDescent="0.25">
      <c r="A13636" s="4" t="str">
        <f>HYPERLINK("http://www.rosaceae.org/Prunus/Prunus_persica/p.persica_gdr_reftransV1_0048938","p.persica_gdr_reftransV1_0048938")</f>
        <v>p.persica_gdr_reftransV1_0048938</v>
      </c>
      <c r="B13636" s="2">
        <v>1069</v>
      </c>
      <c r="C13636" s="4" t="str">
        <f>HYPERLINK("http://www.uniprot.org/uniprot/M5WUZ8","M5WUZ8")</f>
        <v>M5WUZ8</v>
      </c>
      <c r="D13636" s="2" t="s">
        <v>7192</v>
      </c>
      <c r="E13636" s="3">
        <v>4.1700000000000002E-122</v>
      </c>
      <c r="F13636" s="2">
        <v>934</v>
      </c>
      <c r="G13636" s="2">
        <v>100</v>
      </c>
      <c r="H13636" s="2">
        <v>227</v>
      </c>
      <c r="I13636" s="2">
        <v>274</v>
      </c>
      <c r="J13636" s="2">
        <v>954</v>
      </c>
      <c r="K13636" s="2">
        <v>1</v>
      </c>
      <c r="L13636" s="2">
        <v>227</v>
      </c>
    </row>
    <row r="13637" spans="1:12" x14ac:dyDescent="0.25">
      <c r="A13637" s="4" t="str">
        <f>HYPERLINK("http://www.rosaceae.org/Prunus/Prunus_persica/p.persica_gdr_reftransV1_0000289","p.persica_gdr_reftransV1_0000289")</f>
        <v>p.persica_gdr_reftransV1_0000289</v>
      </c>
      <c r="B13637" s="2">
        <v>1397</v>
      </c>
      <c r="C13637" s="4" t="str">
        <f>HYPERLINK("http://www.uniprot.org/uniprot/A4GVG4","A4GVG4")</f>
        <v>A4GVG4</v>
      </c>
      <c r="D13637" s="2" t="s">
        <v>11198</v>
      </c>
      <c r="E13637" s="3">
        <v>2.6E-163</v>
      </c>
      <c r="F13637" s="2">
        <v>1217</v>
      </c>
      <c r="G13637" s="2">
        <v>100</v>
      </c>
      <c r="H13637" s="2">
        <v>245</v>
      </c>
      <c r="I13637" s="2">
        <v>414</v>
      </c>
      <c r="J13637" s="2">
        <v>1148</v>
      </c>
      <c r="K13637" s="2">
        <v>1</v>
      </c>
      <c r="L13637" s="2">
        <v>245</v>
      </c>
    </row>
    <row r="13638" spans="1:12" x14ac:dyDescent="0.25">
      <c r="A13638" s="4" t="str">
        <f>HYPERLINK("http://www.rosaceae.org/Prunus/Prunus_persica/p.persica_gdr_reftransV1_0000639","p.persica_gdr_reftransV1_0000639")</f>
        <v>p.persica_gdr_reftransV1_0000639</v>
      </c>
      <c r="B13638" s="2">
        <v>1661</v>
      </c>
      <c r="C13638" s="4" t="str">
        <f>HYPERLINK("http://www.uniprot.org/uniprot/M5VX93","M5VX93")</f>
        <v>M5VX93</v>
      </c>
      <c r="D13638" s="2" t="s">
        <v>11199</v>
      </c>
      <c r="E13638" s="3">
        <v>3.6199999999999999E-106</v>
      </c>
      <c r="F13638" s="2">
        <v>847</v>
      </c>
      <c r="G13638" s="2">
        <v>73</v>
      </c>
      <c r="H13638" s="2">
        <v>230</v>
      </c>
      <c r="I13638" s="2">
        <v>441</v>
      </c>
      <c r="J13638" s="2">
        <v>1118</v>
      </c>
      <c r="K13638" s="2">
        <v>1</v>
      </c>
      <c r="L13638" s="2">
        <v>218</v>
      </c>
    </row>
    <row r="13639" spans="1:12" x14ac:dyDescent="0.25">
      <c r="A13639" s="4" t="str">
        <f>HYPERLINK("http://www.rosaceae.org/Prunus/Prunus_persica/p.persica_gdr_reftransV1_0000989","p.persica_gdr_reftransV1_0000989")</f>
        <v>p.persica_gdr_reftransV1_0000989</v>
      </c>
      <c r="B13639" s="2">
        <v>338</v>
      </c>
      <c r="C13639" s="4" t="str">
        <f>HYPERLINK("http://www.uniprot.org/uniprot/M5XBY3","M5XBY3")</f>
        <v>M5XBY3</v>
      </c>
      <c r="D13639" s="2" t="s">
        <v>3301</v>
      </c>
      <c r="E13639" s="3">
        <v>7.5900000000000004E-71</v>
      </c>
      <c r="F13639" s="2">
        <v>590</v>
      </c>
      <c r="G13639" s="2">
        <v>100</v>
      </c>
      <c r="H13639" s="2">
        <v>112</v>
      </c>
      <c r="I13639" s="2">
        <v>1</v>
      </c>
      <c r="J13639" s="2">
        <v>336</v>
      </c>
      <c r="K13639" s="2">
        <v>304</v>
      </c>
      <c r="L13639" s="2">
        <v>415</v>
      </c>
    </row>
    <row r="13640" spans="1:12" x14ac:dyDescent="0.25">
      <c r="A13640" s="4" t="str">
        <f>HYPERLINK("http://www.rosaceae.org/Prunus/Prunus_persica/p.persica_gdr_reftransV1_0001339","p.persica_gdr_reftransV1_0001339")</f>
        <v>p.persica_gdr_reftransV1_0001339</v>
      </c>
      <c r="B13640" s="2">
        <v>1049</v>
      </c>
      <c r="C13640" s="4" t="str">
        <f>HYPERLINK("http://www.uniprot.org/uniprot/M5X2S0","M5X2S0")</f>
        <v>M5X2S0</v>
      </c>
      <c r="D13640" s="2" t="s">
        <v>1406</v>
      </c>
      <c r="E13640" s="3">
        <v>4.8699999999999998E-178</v>
      </c>
      <c r="F13640" s="2">
        <v>1329</v>
      </c>
      <c r="G13640" s="2">
        <v>100</v>
      </c>
      <c r="H13640" s="2">
        <v>269</v>
      </c>
      <c r="I13640" s="2">
        <v>241</v>
      </c>
      <c r="J13640" s="2">
        <v>1047</v>
      </c>
      <c r="K13640" s="2">
        <v>244</v>
      </c>
      <c r="L13640" s="2">
        <v>512</v>
      </c>
    </row>
    <row r="13641" spans="1:12" x14ac:dyDescent="0.25">
      <c r="A13641" s="4" t="str">
        <f>HYPERLINK("http://www.rosaceae.org/Prunus/Prunus_persica/p.persica_gdr_reftransV1_0002039","p.persica_gdr_reftransV1_0002039")</f>
        <v>p.persica_gdr_reftransV1_0002039</v>
      </c>
      <c r="B13641" s="2">
        <v>1772</v>
      </c>
      <c r="C13641" s="4" t="str">
        <f>HYPERLINK("http://www.uniprot.org/uniprot/M5WQT9","M5WQT9")</f>
        <v>M5WQT9</v>
      </c>
      <c r="D13641" s="2" t="s">
        <v>7333</v>
      </c>
      <c r="E13641" s="3">
        <v>0</v>
      </c>
      <c r="F13641" s="2">
        <v>1634</v>
      </c>
      <c r="G13641" s="2">
        <v>100</v>
      </c>
      <c r="H13641" s="2">
        <v>367</v>
      </c>
      <c r="I13641" s="2">
        <v>460</v>
      </c>
      <c r="J13641" s="2">
        <v>1560</v>
      </c>
      <c r="K13641" s="2">
        <v>358</v>
      </c>
      <c r="L13641" s="2">
        <v>724</v>
      </c>
    </row>
    <row r="13642" spans="1:12" x14ac:dyDescent="0.25">
      <c r="A13642" s="4" t="str">
        <f>HYPERLINK("http://www.rosaceae.org/Prunus/Prunus_persica/p.persica_gdr_reftransV1_0002389","p.persica_gdr_reftransV1_0002389")</f>
        <v>p.persica_gdr_reftransV1_0002389</v>
      </c>
      <c r="B13642" s="2">
        <v>436</v>
      </c>
      <c r="C13642" s="4" t="str">
        <f>HYPERLINK("http://www.uniprot.org/uniprot/X0AS64","X0AS64")</f>
        <v>X0AS64</v>
      </c>
      <c r="D13642" s="2" t="s">
        <v>11200</v>
      </c>
      <c r="E13642" s="3">
        <v>2.7700000000000002E-92</v>
      </c>
      <c r="F13642" s="2">
        <v>755</v>
      </c>
      <c r="G13642" s="2">
        <v>100</v>
      </c>
      <c r="H13642" s="2">
        <v>145</v>
      </c>
      <c r="I13642" s="2">
        <v>2</v>
      </c>
      <c r="J13642" s="2">
        <v>436</v>
      </c>
      <c r="K13642" s="2">
        <v>533</v>
      </c>
      <c r="L13642" s="2">
        <v>677</v>
      </c>
    </row>
    <row r="13643" spans="1:12" x14ac:dyDescent="0.25">
      <c r="A13643" s="4" t="str">
        <f>HYPERLINK("http://www.rosaceae.org/Prunus/Prunus_persica/p.persica_gdr_reftransV1_0002739","p.persica_gdr_reftransV1_0002739")</f>
        <v>p.persica_gdr_reftransV1_0002739</v>
      </c>
      <c r="B13643" s="2">
        <v>1790</v>
      </c>
      <c r="C13643" s="4" t="str">
        <f>HYPERLINK("http://www.uniprot.org/uniprot/M5X8C4","M5X8C4")</f>
        <v>M5X8C4</v>
      </c>
      <c r="D13643" s="2" t="s">
        <v>10900</v>
      </c>
      <c r="E13643" s="3">
        <v>0</v>
      </c>
      <c r="F13643" s="2">
        <v>1473</v>
      </c>
      <c r="G13643" s="2">
        <v>100</v>
      </c>
      <c r="H13643" s="2">
        <v>274</v>
      </c>
      <c r="I13643" s="2">
        <v>604</v>
      </c>
      <c r="J13643" s="2">
        <v>1425</v>
      </c>
      <c r="K13643" s="2">
        <v>1</v>
      </c>
      <c r="L13643" s="2">
        <v>274</v>
      </c>
    </row>
    <row r="13644" spans="1:12" x14ac:dyDescent="0.25">
      <c r="A13644" s="4" t="str">
        <f>HYPERLINK("http://www.rosaceae.org/Prunus/Prunus_persica/p.persica_gdr_reftransV1_0003089","p.persica_gdr_reftransV1_0003089")</f>
        <v>p.persica_gdr_reftransV1_0003089</v>
      </c>
      <c r="B13644" s="2">
        <v>907</v>
      </c>
      <c r="C13644" s="4" t="str">
        <f>HYPERLINK("http://www.uniprot.org/uniprot/M5VQI9","M5VQI9")</f>
        <v>M5VQI9</v>
      </c>
      <c r="D13644" s="2" t="s">
        <v>11201</v>
      </c>
      <c r="E13644" s="3">
        <v>2.2E-56</v>
      </c>
      <c r="F13644" s="2">
        <v>496</v>
      </c>
      <c r="G13644" s="2">
        <v>100</v>
      </c>
      <c r="H13644" s="2">
        <v>96</v>
      </c>
      <c r="I13644" s="2">
        <v>124</v>
      </c>
      <c r="J13644" s="2">
        <v>411</v>
      </c>
      <c r="K13644" s="2">
        <v>199</v>
      </c>
      <c r="L13644" s="2">
        <v>294</v>
      </c>
    </row>
    <row r="13645" spans="1:12" x14ac:dyDescent="0.25">
      <c r="A13645" s="4" t="str">
        <f>HYPERLINK("http://www.rosaceae.org/Prunus/Prunus_persica/p.persica_gdr_reftransV1_0003439","p.persica_gdr_reftransV1_0003439")</f>
        <v>p.persica_gdr_reftransV1_0003439</v>
      </c>
      <c r="B13645" s="2">
        <v>1844</v>
      </c>
      <c r="C13645" s="4" t="str">
        <f>HYPERLINK("http://www.uniprot.org/uniprot/M5XSN4","M5XSN4")</f>
        <v>M5XSN4</v>
      </c>
      <c r="D13645" s="2" t="s">
        <v>2655</v>
      </c>
      <c r="E13645" s="3">
        <v>0</v>
      </c>
      <c r="F13645" s="2">
        <v>1521</v>
      </c>
      <c r="G13645" s="2">
        <v>94</v>
      </c>
      <c r="H13645" s="2">
        <v>349</v>
      </c>
      <c r="I13645" s="2">
        <v>31</v>
      </c>
      <c r="J13645" s="2">
        <v>1077</v>
      </c>
      <c r="K13645" s="2">
        <v>1</v>
      </c>
      <c r="L13645" s="2">
        <v>344</v>
      </c>
    </row>
    <row r="13646" spans="1:12" x14ac:dyDescent="0.25">
      <c r="A13646" s="4" t="str">
        <f>HYPERLINK("http://www.rosaceae.org/Prunus/Prunus_persica/p.persica_gdr_reftransV1_0003789","p.persica_gdr_reftransV1_0003789")</f>
        <v>p.persica_gdr_reftransV1_0003789</v>
      </c>
      <c r="B13646" s="2">
        <v>318</v>
      </c>
      <c r="C13646" s="4" t="str">
        <f>HYPERLINK("http://www.uniprot.org/uniprot/M5WAA8","M5WAA8")</f>
        <v>M5WAA8</v>
      </c>
      <c r="D13646" s="2" t="s">
        <v>5299</v>
      </c>
      <c r="E13646" s="3">
        <v>1.3499999999999999E-65</v>
      </c>
      <c r="F13646" s="2">
        <v>556</v>
      </c>
      <c r="G13646" s="2">
        <v>100</v>
      </c>
      <c r="H13646" s="2">
        <v>106</v>
      </c>
      <c r="I13646" s="2">
        <v>1</v>
      </c>
      <c r="J13646" s="2">
        <v>318</v>
      </c>
      <c r="K13646" s="2">
        <v>475</v>
      </c>
      <c r="L13646" s="2">
        <v>580</v>
      </c>
    </row>
    <row r="13647" spans="1:12" x14ac:dyDescent="0.25">
      <c r="A13647" s="4" t="str">
        <f>HYPERLINK("http://www.rosaceae.org/Prunus/Prunus_persica/p.persica_gdr_reftransV1_0004839","p.persica_gdr_reftransV1_0004839")</f>
        <v>p.persica_gdr_reftransV1_0004839</v>
      </c>
      <c r="B13647" s="2">
        <v>1196</v>
      </c>
      <c r="C13647" s="4" t="str">
        <f>HYPERLINK("http://www.uniprot.org/uniprot/M5W0I1","M5W0I1")</f>
        <v>M5W0I1</v>
      </c>
      <c r="D13647" s="2" t="s">
        <v>11202</v>
      </c>
      <c r="E13647" s="3">
        <v>1.0000000000000001E-115</v>
      </c>
      <c r="F13647" s="2">
        <v>888</v>
      </c>
      <c r="G13647" s="2">
        <v>100</v>
      </c>
      <c r="H13647" s="2">
        <v>168</v>
      </c>
      <c r="I13647" s="2">
        <v>445</v>
      </c>
      <c r="J13647" s="2">
        <v>948</v>
      </c>
      <c r="K13647" s="2">
        <v>1</v>
      </c>
      <c r="L13647" s="2">
        <v>168</v>
      </c>
    </row>
    <row r="13648" spans="1:12" x14ac:dyDescent="0.25">
      <c r="A13648" s="4" t="str">
        <f>HYPERLINK("http://www.rosaceae.org/Prunus/Prunus_persica/p.persica_gdr_reftransV1_0005539","p.persica_gdr_reftransV1_0005539")</f>
        <v>p.persica_gdr_reftransV1_0005539</v>
      </c>
      <c r="B13648" s="2">
        <v>1209</v>
      </c>
      <c r="C13648" s="4" t="str">
        <f>HYPERLINK("http://www.uniprot.org/uniprot/M5VTA8","M5VTA8")</f>
        <v>M5VTA8</v>
      </c>
      <c r="D13648" s="2" t="s">
        <v>1847</v>
      </c>
      <c r="E13648" s="3">
        <v>1.0999999999999999E-168</v>
      </c>
      <c r="F13648" s="2">
        <v>1246</v>
      </c>
      <c r="G13648" s="2">
        <v>100</v>
      </c>
      <c r="H13648" s="2">
        <v>246</v>
      </c>
      <c r="I13648" s="2">
        <v>317</v>
      </c>
      <c r="J13648" s="2">
        <v>1054</v>
      </c>
      <c r="K13648" s="2">
        <v>1</v>
      </c>
      <c r="L13648" s="2">
        <v>246</v>
      </c>
    </row>
    <row r="13649" spans="1:12" x14ac:dyDescent="0.25">
      <c r="A13649" s="4" t="str">
        <f>HYPERLINK("http://www.rosaceae.org/Prunus/Prunus_persica/p.persica_gdr_reftransV1_0006239","p.persica_gdr_reftransV1_0006239")</f>
        <v>p.persica_gdr_reftransV1_0006239</v>
      </c>
      <c r="B13649" s="2">
        <v>1725</v>
      </c>
      <c r="C13649" s="4" t="str">
        <f>HYPERLINK("http://www.uniprot.org/uniprot/J0PL25","J0PL25")</f>
        <v>J0PL25</v>
      </c>
      <c r="D13649" s="2" t="s">
        <v>11203</v>
      </c>
      <c r="E13649" s="3">
        <v>0</v>
      </c>
      <c r="F13649" s="2">
        <v>3049</v>
      </c>
      <c r="G13649" s="2">
        <v>99</v>
      </c>
      <c r="H13649" s="2">
        <v>573</v>
      </c>
      <c r="I13649" s="2">
        <v>1</v>
      </c>
      <c r="J13649" s="2">
        <v>1719</v>
      </c>
      <c r="K13649" s="2">
        <v>458</v>
      </c>
      <c r="L13649" s="2">
        <v>1030</v>
      </c>
    </row>
    <row r="13650" spans="1:12" x14ac:dyDescent="0.25">
      <c r="A13650" s="4" t="str">
        <f>HYPERLINK("http://www.rosaceae.org/Prunus/Prunus_persica/p.persica_gdr_reftransV1_0006939","p.persica_gdr_reftransV1_0006939")</f>
        <v>p.persica_gdr_reftransV1_0006939</v>
      </c>
      <c r="B13650" s="2">
        <v>1084</v>
      </c>
      <c r="C13650" s="4" t="str">
        <f>HYPERLINK("http://www.uniprot.org/uniprot/M5W781","M5W781")</f>
        <v>M5W781</v>
      </c>
      <c r="D13650" s="2" t="s">
        <v>11204</v>
      </c>
      <c r="E13650" s="3">
        <v>5.9499999999999997E-119</v>
      </c>
      <c r="F13650" s="2">
        <v>906</v>
      </c>
      <c r="G13650" s="2">
        <v>100</v>
      </c>
      <c r="H13650" s="2">
        <v>170</v>
      </c>
      <c r="I13650" s="2">
        <v>461</v>
      </c>
      <c r="J13650" s="2">
        <v>970</v>
      </c>
      <c r="K13650" s="2">
        <v>1</v>
      </c>
      <c r="L13650" s="2">
        <v>170</v>
      </c>
    </row>
    <row r="13651" spans="1:12" x14ac:dyDescent="0.25">
      <c r="A13651" s="4" t="str">
        <f>HYPERLINK("http://www.rosaceae.org/Prunus/Prunus_persica/p.persica_gdr_reftransV1_0007639","p.persica_gdr_reftransV1_0007639")</f>
        <v>p.persica_gdr_reftransV1_0007639</v>
      </c>
      <c r="B13651" s="2">
        <v>680</v>
      </c>
      <c r="C13651" s="4" t="str">
        <f>HYPERLINK("http://www.uniprot.org/uniprot/M5WWX2","M5WWX2")</f>
        <v>M5WWX2</v>
      </c>
      <c r="D13651" s="2" t="s">
        <v>319</v>
      </c>
      <c r="E13651" s="3">
        <v>9.2500000000000005E-88</v>
      </c>
      <c r="F13651" s="2">
        <v>725</v>
      </c>
      <c r="G13651" s="2">
        <v>100</v>
      </c>
      <c r="H13651" s="2">
        <v>154</v>
      </c>
      <c r="I13651" s="2">
        <v>2</v>
      </c>
      <c r="J13651" s="2">
        <v>463</v>
      </c>
      <c r="K13651" s="2">
        <v>15</v>
      </c>
      <c r="L13651" s="2">
        <v>168</v>
      </c>
    </row>
    <row r="13652" spans="1:12" x14ac:dyDescent="0.25">
      <c r="A13652" s="4" t="str">
        <f>HYPERLINK("http://www.rosaceae.org/Prunus/Prunus_persica/p.persica_gdr_reftransV1_0007989","p.persica_gdr_reftransV1_0007989")</f>
        <v>p.persica_gdr_reftransV1_0007989</v>
      </c>
      <c r="B13652" s="2">
        <v>2141</v>
      </c>
      <c r="C13652" s="4" t="str">
        <f>HYPERLINK("http://www.uniprot.org/uniprot/M5VW59","M5VW59")</f>
        <v>M5VW59</v>
      </c>
      <c r="D13652" s="2" t="s">
        <v>11205</v>
      </c>
      <c r="E13652" s="3">
        <v>0</v>
      </c>
      <c r="F13652" s="2">
        <v>2804</v>
      </c>
      <c r="G13652" s="2">
        <v>100</v>
      </c>
      <c r="H13652" s="2">
        <v>615</v>
      </c>
      <c r="I13652" s="2">
        <v>222</v>
      </c>
      <c r="J13652" s="2">
        <v>2066</v>
      </c>
      <c r="K13652" s="2">
        <v>1</v>
      </c>
      <c r="L13652" s="2">
        <v>615</v>
      </c>
    </row>
    <row r="13653" spans="1:12" x14ac:dyDescent="0.25">
      <c r="A13653" s="4" t="str">
        <f>HYPERLINK("http://www.rosaceae.org/Prunus/Prunus_persica/p.persica_gdr_reftransV1_0009739","p.persica_gdr_reftransV1_0009739")</f>
        <v>p.persica_gdr_reftransV1_0009739</v>
      </c>
      <c r="B13653" s="2">
        <v>1537</v>
      </c>
      <c r="C13653" s="4" t="str">
        <f>HYPERLINK("http://www.uniprot.org/uniprot/M5XTG2","M5XTG2")</f>
        <v>M5XTG2</v>
      </c>
      <c r="D13653" s="2" t="s">
        <v>11206</v>
      </c>
      <c r="E13653" s="3">
        <v>0</v>
      </c>
      <c r="F13653" s="2">
        <v>1699</v>
      </c>
      <c r="G13653" s="2">
        <v>100</v>
      </c>
      <c r="H13653" s="2">
        <v>368</v>
      </c>
      <c r="I13653" s="2">
        <v>61</v>
      </c>
      <c r="J13653" s="2">
        <v>1164</v>
      </c>
      <c r="K13653" s="2">
        <v>1</v>
      </c>
      <c r="L13653" s="2">
        <v>368</v>
      </c>
    </row>
    <row r="13654" spans="1:12" x14ac:dyDescent="0.25">
      <c r="A13654" s="4" t="str">
        <f>HYPERLINK("http://www.rosaceae.org/Prunus/Prunus_persica/p.persica_gdr_reftransV1_0010089","p.persica_gdr_reftransV1_0010089")</f>
        <v>p.persica_gdr_reftransV1_0010089</v>
      </c>
      <c r="B13654" s="2">
        <v>550</v>
      </c>
      <c r="C13654" s="4" t="str">
        <f>HYPERLINK("http://www.uniprot.org/uniprot/M5X7T6","M5X7T6")</f>
        <v>M5X7T6</v>
      </c>
      <c r="D13654" s="2" t="s">
        <v>11207</v>
      </c>
      <c r="E13654" s="3">
        <v>2.2300000000000001E-68</v>
      </c>
      <c r="F13654" s="2">
        <v>547</v>
      </c>
      <c r="G13654" s="2">
        <v>100</v>
      </c>
      <c r="H13654" s="2">
        <v>104</v>
      </c>
      <c r="I13654" s="2">
        <v>226</v>
      </c>
      <c r="J13654" s="2">
        <v>537</v>
      </c>
      <c r="K13654" s="2">
        <v>1</v>
      </c>
      <c r="L13654" s="2">
        <v>104</v>
      </c>
    </row>
    <row r="13655" spans="1:12" x14ac:dyDescent="0.25">
      <c r="A13655" s="4" t="str">
        <f>HYPERLINK("http://www.rosaceae.org/Prunus/Prunus_persica/p.persica_gdr_reftransV1_0010789","p.persica_gdr_reftransV1_0010789")</f>
        <v>p.persica_gdr_reftransV1_0010789</v>
      </c>
      <c r="B13655" s="2">
        <v>788</v>
      </c>
      <c r="C13655" s="4" t="str">
        <f>HYPERLINK("http://www.uniprot.org/uniprot/V4TWU8","V4TWU8")</f>
        <v>V4TWU8</v>
      </c>
      <c r="D13655" s="2" t="s">
        <v>11208</v>
      </c>
      <c r="E13655" s="3">
        <v>4.8200000000000001E-41</v>
      </c>
      <c r="F13655" s="2">
        <v>260</v>
      </c>
      <c r="G13655" s="2">
        <v>84</v>
      </c>
      <c r="H13655" s="2">
        <v>57</v>
      </c>
      <c r="I13655" s="2">
        <v>165</v>
      </c>
      <c r="J13655" s="2">
        <v>335</v>
      </c>
      <c r="K13655" s="2">
        <v>33</v>
      </c>
      <c r="L13655" s="2">
        <v>89</v>
      </c>
    </row>
    <row r="13656" spans="1:12" x14ac:dyDescent="0.25">
      <c r="A13656" s="4" t="str">
        <f>HYPERLINK("http://www.rosaceae.org/Prunus/Prunus_persica/p.persica_gdr_reftransV1_0011139","p.persica_gdr_reftransV1_0011139")</f>
        <v>p.persica_gdr_reftransV1_0011139</v>
      </c>
      <c r="B13656" s="2">
        <v>814</v>
      </c>
      <c r="C13656" s="4" t="str">
        <f>HYPERLINK("http://www.uniprot.org/uniprot/U5GT26","U5GT26")</f>
        <v>U5GT26</v>
      </c>
      <c r="D13656" s="2" t="s">
        <v>6587</v>
      </c>
      <c r="E13656" s="3">
        <v>1.7699999999999999E-32</v>
      </c>
      <c r="F13656" s="2">
        <v>320</v>
      </c>
      <c r="G13656" s="2">
        <v>87</v>
      </c>
      <c r="H13656" s="2">
        <v>70</v>
      </c>
      <c r="I13656" s="2">
        <v>476</v>
      </c>
      <c r="J13656" s="2">
        <v>685</v>
      </c>
      <c r="K13656" s="2">
        <v>1</v>
      </c>
      <c r="L13656" s="2">
        <v>70</v>
      </c>
    </row>
    <row r="13657" spans="1:12" x14ac:dyDescent="0.25">
      <c r="A13657" s="4" t="str">
        <f>HYPERLINK("http://www.rosaceae.org/Prunus/Prunus_persica/p.persica_gdr_reftransV1_0011489","p.persica_gdr_reftransV1_0011489")</f>
        <v>p.persica_gdr_reftransV1_0011489</v>
      </c>
      <c r="B13657" s="2">
        <v>1204</v>
      </c>
      <c r="C13657" s="4" t="str">
        <f>HYPERLINK("http://www.uniprot.org/uniprot/M5VS16","M5VS16")</f>
        <v>M5VS16</v>
      </c>
      <c r="D13657" s="2" t="s">
        <v>11209</v>
      </c>
      <c r="E13657" s="3">
        <v>0</v>
      </c>
      <c r="F13657" s="2">
        <v>1454</v>
      </c>
      <c r="G13657" s="2">
        <v>100</v>
      </c>
      <c r="H13657" s="2">
        <v>287</v>
      </c>
      <c r="I13657" s="2">
        <v>2</v>
      </c>
      <c r="J13657" s="2">
        <v>862</v>
      </c>
      <c r="K13657" s="2">
        <v>252</v>
      </c>
      <c r="L13657" s="2">
        <v>538</v>
      </c>
    </row>
    <row r="13658" spans="1:12" x14ac:dyDescent="0.25">
      <c r="A13658" s="4" t="str">
        <f>HYPERLINK("http://www.rosaceae.org/Prunus/Prunus_persica/p.persica_gdr_reftransV1_0011839","p.persica_gdr_reftransV1_0011839")</f>
        <v>p.persica_gdr_reftransV1_0011839</v>
      </c>
      <c r="B13658" s="2">
        <v>1691</v>
      </c>
      <c r="C13658" s="4" t="str">
        <f>HYPERLINK("http://www.uniprot.org/uniprot/M5VZL7","M5VZL7")</f>
        <v>M5VZL7</v>
      </c>
      <c r="D13658" s="2" t="s">
        <v>11210</v>
      </c>
      <c r="E13658" s="3">
        <v>0</v>
      </c>
      <c r="F13658" s="2">
        <v>1252</v>
      </c>
      <c r="G13658" s="2">
        <v>100</v>
      </c>
      <c r="H13658" s="2">
        <v>234</v>
      </c>
      <c r="I13658" s="2">
        <v>233</v>
      </c>
      <c r="J13658" s="2">
        <v>934</v>
      </c>
      <c r="K13658" s="2">
        <v>144</v>
      </c>
      <c r="L13658" s="2">
        <v>377</v>
      </c>
    </row>
    <row r="13659" spans="1:12" x14ac:dyDescent="0.25">
      <c r="A13659" s="4" t="str">
        <f>HYPERLINK("http://www.rosaceae.org/Prunus/Prunus_persica/p.persica_gdr_reftransV1_0012539","p.persica_gdr_reftransV1_0012539")</f>
        <v>p.persica_gdr_reftransV1_0012539</v>
      </c>
      <c r="B13659" s="2">
        <v>3497</v>
      </c>
      <c r="C13659" s="4" t="str">
        <f>HYPERLINK("http://www.uniprot.org/uniprot/M5VHC1","M5VHC1")</f>
        <v>M5VHC1</v>
      </c>
      <c r="D13659" s="2" t="s">
        <v>11211</v>
      </c>
      <c r="E13659" s="3">
        <v>5.1200000000000001E-167</v>
      </c>
      <c r="F13659" s="2">
        <v>1329</v>
      </c>
      <c r="G13659" s="2">
        <v>100</v>
      </c>
      <c r="H13659" s="2">
        <v>252</v>
      </c>
      <c r="I13659" s="2">
        <v>1386</v>
      </c>
      <c r="J13659" s="2">
        <v>2141</v>
      </c>
      <c r="K13659" s="2">
        <v>176</v>
      </c>
      <c r="L13659" s="2">
        <v>427</v>
      </c>
    </row>
    <row r="13660" spans="1:12" x14ac:dyDescent="0.25">
      <c r="A13660" s="4" t="str">
        <f>HYPERLINK("http://www.rosaceae.org/Prunus/Prunus_persica/p.persica_gdr_reftransV1_0012889","p.persica_gdr_reftransV1_0012889")</f>
        <v>p.persica_gdr_reftransV1_0012889</v>
      </c>
      <c r="B13660" s="2">
        <v>2535</v>
      </c>
      <c r="C13660" s="4" t="str">
        <f>HYPERLINK("http://www.uniprot.org/uniprot/M5VV84","M5VV84")</f>
        <v>M5VV84</v>
      </c>
      <c r="D13660" s="2" t="s">
        <v>11212</v>
      </c>
      <c r="E13660" s="3">
        <v>0</v>
      </c>
      <c r="F13660" s="2">
        <v>3779</v>
      </c>
      <c r="G13660" s="2">
        <v>100</v>
      </c>
      <c r="H13660" s="2">
        <v>770</v>
      </c>
      <c r="I13660" s="2">
        <v>174</v>
      </c>
      <c r="J13660" s="2">
        <v>2483</v>
      </c>
      <c r="K13660" s="2">
        <v>1</v>
      </c>
      <c r="L13660" s="2">
        <v>770</v>
      </c>
    </row>
    <row r="13661" spans="1:12" x14ac:dyDescent="0.25">
      <c r="A13661" s="4" t="str">
        <f>HYPERLINK("http://www.rosaceae.org/Prunus/Prunus_persica/p.persica_gdr_reftransV1_0013239","p.persica_gdr_reftransV1_0013239")</f>
        <v>p.persica_gdr_reftransV1_0013239</v>
      </c>
      <c r="B13661" s="2">
        <v>1986</v>
      </c>
      <c r="C13661" s="4" t="str">
        <f>HYPERLINK("http://www.uniprot.org/uniprot/M5VZC6","M5VZC6")</f>
        <v>M5VZC6</v>
      </c>
      <c r="D13661" s="2" t="s">
        <v>11213</v>
      </c>
      <c r="E13661" s="3">
        <v>0</v>
      </c>
      <c r="F13661" s="2">
        <v>1610</v>
      </c>
      <c r="G13661" s="2">
        <v>100</v>
      </c>
      <c r="H13661" s="2">
        <v>306</v>
      </c>
      <c r="I13661" s="2">
        <v>255</v>
      </c>
      <c r="J13661" s="2">
        <v>1172</v>
      </c>
      <c r="K13661" s="2">
        <v>1</v>
      </c>
      <c r="L13661" s="2">
        <v>306</v>
      </c>
    </row>
    <row r="13662" spans="1:12" x14ac:dyDescent="0.25">
      <c r="A13662" s="4" t="str">
        <f>HYPERLINK("http://www.rosaceae.org/Prunus/Prunus_persica/p.persica_gdr_reftransV1_0013589","p.persica_gdr_reftransV1_0013589")</f>
        <v>p.persica_gdr_reftransV1_0013589</v>
      </c>
      <c r="B13662" s="2">
        <v>1830</v>
      </c>
      <c r="C13662" s="4" t="str">
        <f>HYPERLINK("http://www.uniprot.org/uniprot/M5WJQ2","M5WJQ2")</f>
        <v>M5WJQ2</v>
      </c>
      <c r="D13662" s="2" t="s">
        <v>11214</v>
      </c>
      <c r="E13662" s="3">
        <v>5.1900000000000001E-142</v>
      </c>
      <c r="F13662" s="2">
        <v>1105</v>
      </c>
      <c r="G13662" s="2">
        <v>100</v>
      </c>
      <c r="H13662" s="2">
        <v>209</v>
      </c>
      <c r="I13662" s="2">
        <v>1203</v>
      </c>
      <c r="J13662" s="2">
        <v>1829</v>
      </c>
      <c r="K13662" s="2">
        <v>132</v>
      </c>
      <c r="L13662" s="2">
        <v>340</v>
      </c>
    </row>
    <row r="13663" spans="1:12" x14ac:dyDescent="0.25">
      <c r="A13663" s="4" t="str">
        <f>HYPERLINK("http://www.rosaceae.org/Prunus/Prunus_persica/p.persica_gdr_reftransV1_0014289","p.persica_gdr_reftransV1_0014289")</f>
        <v>p.persica_gdr_reftransV1_0014289</v>
      </c>
      <c r="B13663" s="2">
        <v>878</v>
      </c>
      <c r="C13663" s="4" t="str">
        <f>HYPERLINK("http://www.uniprot.org/uniprot/A0A0F6Q041","A0A0F6Q041")</f>
        <v>A0A0F6Q041</v>
      </c>
      <c r="D13663" s="2" t="s">
        <v>11215</v>
      </c>
      <c r="E13663" s="3">
        <v>1.5300000000000001E-64</v>
      </c>
      <c r="F13663" s="2">
        <v>534</v>
      </c>
      <c r="G13663" s="2">
        <v>99</v>
      </c>
      <c r="H13663" s="2">
        <v>120</v>
      </c>
      <c r="I13663" s="2">
        <v>193</v>
      </c>
      <c r="J13663" s="2">
        <v>552</v>
      </c>
      <c r="K13663" s="2">
        <v>1</v>
      </c>
      <c r="L13663" s="2">
        <v>120</v>
      </c>
    </row>
    <row r="13664" spans="1:12" x14ac:dyDescent="0.25">
      <c r="A13664" s="4" t="str">
        <f>HYPERLINK("http://www.rosaceae.org/Prunus/Prunus_persica/p.persica_gdr_reftransV1_0014639","p.persica_gdr_reftransV1_0014639")</f>
        <v>p.persica_gdr_reftransV1_0014639</v>
      </c>
      <c r="B13664" s="2">
        <v>2216</v>
      </c>
      <c r="C13664" s="4" t="str">
        <f>HYPERLINK("http://www.uniprot.org/uniprot/M5W088","M5W088")</f>
        <v>M5W088</v>
      </c>
      <c r="D13664" s="2" t="s">
        <v>11216</v>
      </c>
      <c r="E13664" s="3">
        <v>4.5699999999999997E-162</v>
      </c>
      <c r="F13664" s="2">
        <v>1242</v>
      </c>
      <c r="G13664" s="2">
        <v>100</v>
      </c>
      <c r="H13664" s="2">
        <v>317</v>
      </c>
      <c r="I13664" s="2">
        <v>943</v>
      </c>
      <c r="J13664" s="2">
        <v>1893</v>
      </c>
      <c r="K13664" s="2">
        <v>1</v>
      </c>
      <c r="L13664" s="2">
        <v>317</v>
      </c>
    </row>
    <row r="13665" spans="1:12" x14ac:dyDescent="0.25">
      <c r="A13665" s="4" t="str">
        <f>HYPERLINK("http://www.rosaceae.org/Prunus/Prunus_persica/p.persica_gdr_reftransV1_0015339","p.persica_gdr_reftransV1_0015339")</f>
        <v>p.persica_gdr_reftransV1_0015339</v>
      </c>
      <c r="B13665" s="2">
        <v>3791</v>
      </c>
      <c r="C13665" s="4" t="str">
        <f>HYPERLINK("http://www.uniprot.org/uniprot/M5VWI3","M5VWI3")</f>
        <v>M5VWI3</v>
      </c>
      <c r="D13665" s="2" t="s">
        <v>11217</v>
      </c>
      <c r="E13665" s="3">
        <v>0</v>
      </c>
      <c r="F13665" s="2">
        <v>1660</v>
      </c>
      <c r="G13665" s="2">
        <v>100</v>
      </c>
      <c r="H13665" s="2">
        <v>353</v>
      </c>
      <c r="I13665" s="2">
        <v>214</v>
      </c>
      <c r="J13665" s="2">
        <v>1272</v>
      </c>
      <c r="K13665" s="2">
        <v>4</v>
      </c>
      <c r="L13665" s="2">
        <v>356</v>
      </c>
    </row>
    <row r="13666" spans="1:12" x14ac:dyDescent="0.25">
      <c r="A13666" s="4" t="str">
        <f>HYPERLINK("http://www.rosaceae.org/Prunus/Prunus_persica/p.persica_gdr_reftransV1_0015689","p.persica_gdr_reftransV1_0015689")</f>
        <v>p.persica_gdr_reftransV1_0015689</v>
      </c>
      <c r="B13666" s="2">
        <v>412</v>
      </c>
      <c r="C13666" s="4" t="str">
        <f>HYPERLINK("http://www.uniprot.org/uniprot/M5WPZ0","M5WPZ0")</f>
        <v>M5WPZ0</v>
      </c>
      <c r="D13666" s="2" t="s">
        <v>11218</v>
      </c>
      <c r="E13666" s="3">
        <v>2.05E-85</v>
      </c>
      <c r="F13666" s="2">
        <v>711</v>
      </c>
      <c r="G13666" s="2">
        <v>100</v>
      </c>
      <c r="H13666" s="2">
        <v>137</v>
      </c>
      <c r="I13666" s="2">
        <v>1</v>
      </c>
      <c r="J13666" s="2">
        <v>411</v>
      </c>
      <c r="K13666" s="2">
        <v>626</v>
      </c>
      <c r="L13666" s="2">
        <v>762</v>
      </c>
    </row>
    <row r="13667" spans="1:12" x14ac:dyDescent="0.25">
      <c r="A13667" s="4" t="str">
        <f>HYPERLINK("http://www.rosaceae.org/Prunus/Prunus_persica/p.persica_gdr_reftransV1_0016389","p.persica_gdr_reftransV1_0016389")</f>
        <v>p.persica_gdr_reftransV1_0016389</v>
      </c>
      <c r="B13667" s="2">
        <v>1064</v>
      </c>
      <c r="C13667" s="4" t="str">
        <f>HYPERLINK("http://www.uniprot.org/uniprot/M5WW86","M5WW86")</f>
        <v>M5WW86</v>
      </c>
      <c r="D13667" s="2" t="s">
        <v>11219</v>
      </c>
      <c r="E13667" s="3">
        <v>4.17E-67</v>
      </c>
      <c r="F13667" s="2">
        <v>556</v>
      </c>
      <c r="G13667" s="2">
        <v>100</v>
      </c>
      <c r="H13667" s="2">
        <v>118</v>
      </c>
      <c r="I13667" s="2">
        <v>640</v>
      </c>
      <c r="J13667" s="2">
        <v>993</v>
      </c>
      <c r="K13667" s="2">
        <v>1</v>
      </c>
      <c r="L13667" s="2">
        <v>118</v>
      </c>
    </row>
    <row r="13668" spans="1:12" x14ac:dyDescent="0.25">
      <c r="A13668" s="4" t="str">
        <f>HYPERLINK("http://www.rosaceae.org/Prunus/Prunus_persica/p.persica_gdr_reftransV1_0016739","p.persica_gdr_reftransV1_0016739")</f>
        <v>p.persica_gdr_reftransV1_0016739</v>
      </c>
      <c r="B13668" s="2">
        <v>3490</v>
      </c>
      <c r="C13668" s="4" t="str">
        <f>HYPERLINK("http://www.uniprot.org/uniprot/M5WQL7","M5WQL7")</f>
        <v>M5WQL7</v>
      </c>
      <c r="D13668" s="2" t="s">
        <v>3608</v>
      </c>
      <c r="E13668" s="3">
        <v>0</v>
      </c>
      <c r="F13668" s="2">
        <v>4070</v>
      </c>
      <c r="G13668" s="2">
        <v>100</v>
      </c>
      <c r="H13668" s="2">
        <v>826</v>
      </c>
      <c r="I13668" s="2">
        <v>266</v>
      </c>
      <c r="J13668" s="2">
        <v>2743</v>
      </c>
      <c r="K13668" s="2">
        <v>88</v>
      </c>
      <c r="L13668" s="2">
        <v>913</v>
      </c>
    </row>
    <row r="13669" spans="1:12" x14ac:dyDescent="0.25">
      <c r="A13669" s="4" t="str">
        <f>HYPERLINK("http://www.rosaceae.org/Prunus/Prunus_persica/p.persica_gdr_reftransV1_0017089","p.persica_gdr_reftransV1_0017089")</f>
        <v>p.persica_gdr_reftransV1_0017089</v>
      </c>
      <c r="B13669" s="2">
        <v>2007</v>
      </c>
      <c r="C13669" s="4" t="str">
        <f>HYPERLINK("http://www.uniprot.org/uniprot/M5VY98","M5VY98")</f>
        <v>M5VY98</v>
      </c>
      <c r="D13669" s="2" t="s">
        <v>11220</v>
      </c>
      <c r="E13669" s="3">
        <v>0</v>
      </c>
      <c r="F13669" s="2">
        <v>1413</v>
      </c>
      <c r="G13669" s="2">
        <v>100</v>
      </c>
      <c r="H13669" s="2">
        <v>309</v>
      </c>
      <c r="I13669" s="2">
        <v>299</v>
      </c>
      <c r="J13669" s="2">
        <v>1225</v>
      </c>
      <c r="K13669" s="2">
        <v>10</v>
      </c>
      <c r="L13669" s="2">
        <v>318</v>
      </c>
    </row>
    <row r="13670" spans="1:12" x14ac:dyDescent="0.25">
      <c r="A13670" s="4" t="str">
        <f>HYPERLINK("http://www.rosaceae.org/Prunus/Prunus_persica/p.persica_gdr_reftransV1_0017789","p.persica_gdr_reftransV1_0017789")</f>
        <v>p.persica_gdr_reftransV1_0017789</v>
      </c>
      <c r="B13670" s="2">
        <v>3700</v>
      </c>
      <c r="C13670" s="4" t="str">
        <f>HYPERLINK("http://www.uniprot.org/uniprot/M5XGQ4","M5XGQ4")</f>
        <v>M5XGQ4</v>
      </c>
      <c r="D13670" s="2" t="s">
        <v>11192</v>
      </c>
      <c r="E13670" s="3">
        <v>0</v>
      </c>
      <c r="F13670" s="2">
        <v>3863</v>
      </c>
      <c r="G13670" s="2">
        <v>100</v>
      </c>
      <c r="H13670" s="2">
        <v>736</v>
      </c>
      <c r="I13670" s="2">
        <v>170</v>
      </c>
      <c r="J13670" s="2">
        <v>2377</v>
      </c>
      <c r="K13670" s="2">
        <v>1</v>
      </c>
      <c r="L13670" s="2">
        <v>736</v>
      </c>
    </row>
    <row r="13671" spans="1:12" x14ac:dyDescent="0.25">
      <c r="A13671" s="4" t="str">
        <f>HYPERLINK("http://www.rosaceae.org/Prunus/Prunus_persica/p.persica_gdr_reftransV1_0018139","p.persica_gdr_reftransV1_0018139")</f>
        <v>p.persica_gdr_reftransV1_0018139</v>
      </c>
      <c r="B13671" s="2">
        <v>1425</v>
      </c>
      <c r="C13671" s="4" t="str">
        <f>HYPERLINK("http://www.uniprot.org/uniprot/M5X0J7","M5X0J7")</f>
        <v>M5X0J7</v>
      </c>
      <c r="D13671" s="2" t="s">
        <v>11221</v>
      </c>
      <c r="E13671" s="3">
        <v>2.0800000000000001E-113</v>
      </c>
      <c r="F13671" s="2">
        <v>884</v>
      </c>
      <c r="G13671" s="2">
        <v>100</v>
      </c>
      <c r="H13671" s="2">
        <v>207</v>
      </c>
      <c r="I13671" s="2">
        <v>735</v>
      </c>
      <c r="J13671" s="2">
        <v>1355</v>
      </c>
      <c r="K13671" s="2">
        <v>1</v>
      </c>
      <c r="L13671" s="2">
        <v>207</v>
      </c>
    </row>
    <row r="13672" spans="1:12" x14ac:dyDescent="0.25">
      <c r="A13672" s="4" t="str">
        <f>HYPERLINK("http://www.rosaceae.org/Prunus/Prunus_persica/p.persica_gdr_reftransV1_0018489","p.persica_gdr_reftransV1_0018489")</f>
        <v>p.persica_gdr_reftransV1_0018489</v>
      </c>
      <c r="B13672" s="2">
        <v>3968</v>
      </c>
      <c r="C13672" s="4" t="str">
        <f>HYPERLINK("http://www.uniprot.org/uniprot/M5WDZ9","M5WDZ9")</f>
        <v>M5WDZ9</v>
      </c>
      <c r="D13672" s="2" t="s">
        <v>11222</v>
      </c>
      <c r="E13672" s="3">
        <v>0</v>
      </c>
      <c r="F13672" s="2">
        <v>3622</v>
      </c>
      <c r="G13672" s="2">
        <v>100</v>
      </c>
      <c r="H13672" s="2">
        <v>713</v>
      </c>
      <c r="I13672" s="2">
        <v>1310</v>
      </c>
      <c r="J13672" s="2">
        <v>3448</v>
      </c>
      <c r="K13672" s="2">
        <v>1</v>
      </c>
      <c r="L13672" s="2">
        <v>713</v>
      </c>
    </row>
    <row r="13673" spans="1:12" x14ac:dyDescent="0.25">
      <c r="A13673" s="4" t="str">
        <f>HYPERLINK("http://www.rosaceae.org/Prunus/Prunus_persica/p.persica_gdr_reftransV1_0021639","p.persica_gdr_reftransV1_0021639")</f>
        <v>p.persica_gdr_reftransV1_0021639</v>
      </c>
      <c r="B13673" s="2">
        <v>1618</v>
      </c>
      <c r="C13673" s="4" t="str">
        <f>HYPERLINK("http://www.uniprot.org/uniprot/M5VZF7","M5VZF7")</f>
        <v>M5VZF7</v>
      </c>
      <c r="D13673" s="2" t="s">
        <v>9797</v>
      </c>
      <c r="E13673" s="3">
        <v>2.6799999999999998E-149</v>
      </c>
      <c r="F13673" s="2">
        <v>1137</v>
      </c>
      <c r="G13673" s="2">
        <v>100</v>
      </c>
      <c r="H13673" s="2">
        <v>214</v>
      </c>
      <c r="I13673" s="2">
        <v>957</v>
      </c>
      <c r="J13673" s="2">
        <v>1598</v>
      </c>
      <c r="K13673" s="2">
        <v>1</v>
      </c>
      <c r="L13673" s="2">
        <v>214</v>
      </c>
    </row>
    <row r="13674" spans="1:12" x14ac:dyDescent="0.25">
      <c r="A13674" s="4" t="str">
        <f>HYPERLINK("http://www.rosaceae.org/Prunus/Prunus_persica/p.persica_gdr_reftransV1_0022339","p.persica_gdr_reftransV1_0022339")</f>
        <v>p.persica_gdr_reftransV1_0022339</v>
      </c>
      <c r="B13674" s="2">
        <v>1144</v>
      </c>
      <c r="C13674" s="4" t="str">
        <f>HYPERLINK("http://www.uniprot.org/uniprot/M5XSL1","M5XSL1")</f>
        <v>M5XSL1</v>
      </c>
      <c r="D13674" s="2" t="s">
        <v>11223</v>
      </c>
      <c r="E13674" s="3">
        <v>1.5600000000000001E-141</v>
      </c>
      <c r="F13674" s="2">
        <v>1070</v>
      </c>
      <c r="G13674" s="2">
        <v>100</v>
      </c>
      <c r="H13674" s="2">
        <v>218</v>
      </c>
      <c r="I13674" s="2">
        <v>173</v>
      </c>
      <c r="J13674" s="2">
        <v>826</v>
      </c>
      <c r="K13674" s="2">
        <v>84</v>
      </c>
      <c r="L13674" s="2">
        <v>301</v>
      </c>
    </row>
    <row r="13675" spans="1:12" x14ac:dyDescent="0.25">
      <c r="A13675" s="4" t="str">
        <f>HYPERLINK("http://www.rosaceae.org/Prunus/Prunus_persica/p.persica_gdr_reftransV1_0022689","p.persica_gdr_reftransV1_0022689")</f>
        <v>p.persica_gdr_reftransV1_0022689</v>
      </c>
      <c r="B13675" s="2">
        <v>1992</v>
      </c>
      <c r="C13675" s="4" t="str">
        <f>HYPERLINK("http://www.uniprot.org/uniprot/M5WI32","M5WI32")</f>
        <v>M5WI32</v>
      </c>
      <c r="D13675" s="2" t="s">
        <v>11224</v>
      </c>
      <c r="E13675" s="3">
        <v>0</v>
      </c>
      <c r="F13675" s="2">
        <v>2089</v>
      </c>
      <c r="G13675" s="2">
        <v>100</v>
      </c>
      <c r="H13675" s="2">
        <v>407</v>
      </c>
      <c r="I13675" s="2">
        <v>272</v>
      </c>
      <c r="J13675" s="2">
        <v>1492</v>
      </c>
      <c r="K13675" s="2">
        <v>1</v>
      </c>
      <c r="L13675" s="2">
        <v>407</v>
      </c>
    </row>
    <row r="13676" spans="1:12" x14ac:dyDescent="0.25">
      <c r="A13676" s="4" t="str">
        <f>HYPERLINK("http://www.rosaceae.org/Prunus/Prunus_persica/p.persica_gdr_reftransV1_0023039","p.persica_gdr_reftransV1_0023039")</f>
        <v>p.persica_gdr_reftransV1_0023039</v>
      </c>
      <c r="B13676" s="2">
        <v>3672</v>
      </c>
      <c r="C13676" s="4" t="str">
        <f>HYPERLINK("http://www.uniprot.org/uniprot/A0A0A1CN66","A0A0A1CN66")</f>
        <v>A0A0A1CN66</v>
      </c>
      <c r="D13676" s="2" t="s">
        <v>5128</v>
      </c>
      <c r="E13676" s="3">
        <v>1.6000000000000001E-107</v>
      </c>
      <c r="F13676" s="2">
        <v>914</v>
      </c>
      <c r="G13676" s="2">
        <v>100</v>
      </c>
      <c r="H13676" s="2">
        <v>210</v>
      </c>
      <c r="I13676" s="2">
        <v>2609</v>
      </c>
      <c r="J13676" s="2">
        <v>3238</v>
      </c>
      <c r="K13676" s="2">
        <v>1</v>
      </c>
      <c r="L13676" s="2">
        <v>210</v>
      </c>
    </row>
    <row r="13677" spans="1:12" x14ac:dyDescent="0.25">
      <c r="A13677" s="4" t="str">
        <f>HYPERLINK("http://www.rosaceae.org/Prunus/Prunus_persica/p.persica_gdr_reftransV1_0023389","p.persica_gdr_reftransV1_0023389")</f>
        <v>p.persica_gdr_reftransV1_0023389</v>
      </c>
      <c r="B13677" s="2">
        <v>2184</v>
      </c>
      <c r="C13677" s="4" t="str">
        <f>HYPERLINK("http://www.uniprot.org/uniprot/M5XB69","M5XB69")</f>
        <v>M5XB69</v>
      </c>
      <c r="D13677" s="2" t="s">
        <v>11225</v>
      </c>
      <c r="E13677" s="3">
        <v>0</v>
      </c>
      <c r="F13677" s="2">
        <v>1913</v>
      </c>
      <c r="G13677" s="2">
        <v>100</v>
      </c>
      <c r="H13677" s="2">
        <v>377</v>
      </c>
      <c r="I13677" s="2">
        <v>83</v>
      </c>
      <c r="J13677" s="2">
        <v>1213</v>
      </c>
      <c r="K13677" s="2">
        <v>7</v>
      </c>
      <c r="L13677" s="2">
        <v>383</v>
      </c>
    </row>
    <row r="13678" spans="1:12" x14ac:dyDescent="0.25">
      <c r="A13678" s="4" t="str">
        <f>HYPERLINK("http://www.rosaceae.org/Prunus/Prunus_persica/p.persica_gdr_reftransV1_0023739","p.persica_gdr_reftransV1_0023739")</f>
        <v>p.persica_gdr_reftransV1_0023739</v>
      </c>
      <c r="B13678" s="2">
        <v>2296</v>
      </c>
      <c r="C13678" s="4" t="str">
        <f>HYPERLINK("http://www.uniprot.org/uniprot/M5WTK7","M5WTK7")</f>
        <v>M5WTK7</v>
      </c>
      <c r="D13678" s="2" t="s">
        <v>11226</v>
      </c>
      <c r="E13678" s="3">
        <v>0</v>
      </c>
      <c r="F13678" s="2">
        <v>1426</v>
      </c>
      <c r="G13678" s="2">
        <v>100</v>
      </c>
      <c r="H13678" s="2">
        <v>267</v>
      </c>
      <c r="I13678" s="2">
        <v>164</v>
      </c>
      <c r="J13678" s="2">
        <v>964</v>
      </c>
      <c r="K13678" s="2">
        <v>1</v>
      </c>
      <c r="L13678" s="2">
        <v>267</v>
      </c>
    </row>
    <row r="13679" spans="1:12" x14ac:dyDescent="0.25">
      <c r="A13679" s="4" t="str">
        <f>HYPERLINK("http://www.rosaceae.org/Prunus/Prunus_persica/p.persica_gdr_reftransV1_0024089","p.persica_gdr_reftransV1_0024089")</f>
        <v>p.persica_gdr_reftransV1_0024089</v>
      </c>
      <c r="B13679" s="2">
        <v>4785</v>
      </c>
      <c r="C13679" s="4" t="str">
        <f>HYPERLINK("http://www.uniprot.org/uniprot/M5XBT6","M5XBT6")</f>
        <v>M5XBT6</v>
      </c>
      <c r="D13679" s="2" t="s">
        <v>11227</v>
      </c>
      <c r="E13679" s="3">
        <v>2.0399999999999999E-120</v>
      </c>
      <c r="F13679" s="2">
        <v>1021</v>
      </c>
      <c r="G13679" s="2">
        <v>100</v>
      </c>
      <c r="H13679" s="2">
        <v>239</v>
      </c>
      <c r="I13679" s="2">
        <v>2394</v>
      </c>
      <c r="J13679" s="2">
        <v>3110</v>
      </c>
      <c r="K13679" s="2">
        <v>1</v>
      </c>
      <c r="L13679" s="2">
        <v>239</v>
      </c>
    </row>
    <row r="13680" spans="1:12" x14ac:dyDescent="0.25">
      <c r="A13680" s="4" t="str">
        <f>HYPERLINK("http://www.rosaceae.org/Prunus/Prunus_persica/p.persica_gdr_reftransV1_0025489","p.persica_gdr_reftransV1_0025489")</f>
        <v>p.persica_gdr_reftransV1_0025489</v>
      </c>
      <c r="B13680" s="2">
        <v>1492</v>
      </c>
      <c r="C13680" s="4" t="str">
        <f>HYPERLINK("http://www.uniprot.org/uniprot/M5XEU7","M5XEU7")</f>
        <v>M5XEU7</v>
      </c>
      <c r="D13680" s="2" t="s">
        <v>11228</v>
      </c>
      <c r="E13680" s="3">
        <v>0</v>
      </c>
      <c r="F13680" s="2">
        <v>1949</v>
      </c>
      <c r="G13680" s="2">
        <v>99</v>
      </c>
      <c r="H13680" s="2">
        <v>408</v>
      </c>
      <c r="I13680" s="2">
        <v>44</v>
      </c>
      <c r="J13680" s="2">
        <v>1267</v>
      </c>
      <c r="K13680" s="2">
        <v>1</v>
      </c>
      <c r="L13680" s="2">
        <v>405</v>
      </c>
    </row>
    <row r="13681" spans="1:12" x14ac:dyDescent="0.25">
      <c r="A13681" s="4" t="str">
        <f>HYPERLINK("http://www.rosaceae.org/Prunus/Prunus_persica/p.persica_gdr_reftransV1_0025839","p.persica_gdr_reftransV1_0025839")</f>
        <v>p.persica_gdr_reftransV1_0025839</v>
      </c>
      <c r="B13681" s="2">
        <v>1517</v>
      </c>
      <c r="C13681" s="4" t="str">
        <f>HYPERLINK("http://www.uniprot.org/uniprot/M5XKT5","M5XKT5")</f>
        <v>M5XKT5</v>
      </c>
      <c r="D13681" s="2" t="s">
        <v>11229</v>
      </c>
      <c r="E13681" s="3">
        <v>2.3300000000000002E-47</v>
      </c>
      <c r="F13681" s="2">
        <v>440</v>
      </c>
      <c r="G13681" s="2">
        <v>100</v>
      </c>
      <c r="H13681" s="2">
        <v>121</v>
      </c>
      <c r="I13681" s="2">
        <v>570</v>
      </c>
      <c r="J13681" s="2">
        <v>932</v>
      </c>
      <c r="K13681" s="2">
        <v>77</v>
      </c>
      <c r="L13681" s="2">
        <v>197</v>
      </c>
    </row>
    <row r="13682" spans="1:12" x14ac:dyDescent="0.25">
      <c r="A13682" s="4" t="str">
        <f>HYPERLINK("http://www.rosaceae.org/Prunus/Prunus_persica/p.persica_gdr_reftransV1_0027239","p.persica_gdr_reftransV1_0027239")</f>
        <v>p.persica_gdr_reftransV1_0027239</v>
      </c>
      <c r="B13682" s="2">
        <v>1607</v>
      </c>
      <c r="C13682" s="4" t="str">
        <f>HYPERLINK("http://www.uniprot.org/uniprot/M5VLF3","M5VLF3")</f>
        <v>M5VLF3</v>
      </c>
      <c r="D13682" s="2" t="s">
        <v>11230</v>
      </c>
      <c r="E13682" s="3">
        <v>0</v>
      </c>
      <c r="F13682" s="2">
        <v>1521</v>
      </c>
      <c r="G13682" s="2">
        <v>100</v>
      </c>
      <c r="H13682" s="2">
        <v>297</v>
      </c>
      <c r="I13682" s="2">
        <v>363</v>
      </c>
      <c r="J13682" s="2">
        <v>1253</v>
      </c>
      <c r="K13682" s="2">
        <v>1</v>
      </c>
      <c r="L13682" s="2">
        <v>297</v>
      </c>
    </row>
    <row r="13683" spans="1:12" x14ac:dyDescent="0.25">
      <c r="A13683" s="4" t="str">
        <f>HYPERLINK("http://www.rosaceae.org/Prunus/Prunus_persica/p.persica_gdr_reftransV1_0028989","p.persica_gdr_reftransV1_0028989")</f>
        <v>p.persica_gdr_reftransV1_0028989</v>
      </c>
      <c r="B13683" s="2">
        <v>3452</v>
      </c>
      <c r="C13683" s="4" t="str">
        <f>HYPERLINK("http://www.uniprot.org/uniprot/M5WQQ7","M5WQQ7")</f>
        <v>M5WQQ7</v>
      </c>
      <c r="D13683" s="2" t="s">
        <v>9219</v>
      </c>
      <c r="E13683" s="3">
        <v>0</v>
      </c>
      <c r="F13683" s="2">
        <v>3339</v>
      </c>
      <c r="G13683" s="2">
        <v>100</v>
      </c>
      <c r="H13683" s="2">
        <v>640</v>
      </c>
      <c r="I13683" s="2">
        <v>351</v>
      </c>
      <c r="J13683" s="2">
        <v>2270</v>
      </c>
      <c r="K13683" s="2">
        <v>1</v>
      </c>
      <c r="L13683" s="2">
        <v>640</v>
      </c>
    </row>
    <row r="13684" spans="1:12" x14ac:dyDescent="0.25">
      <c r="A13684" s="4" t="str">
        <f>HYPERLINK("http://www.rosaceae.org/Prunus/Prunus_persica/p.persica_gdr_reftransV1_0029339","p.persica_gdr_reftransV1_0029339")</f>
        <v>p.persica_gdr_reftransV1_0029339</v>
      </c>
      <c r="B13684" s="2">
        <v>1167</v>
      </c>
      <c r="C13684" s="4" t="str">
        <f>HYPERLINK("http://www.uniprot.org/uniprot/M5WAS2","M5WAS2")</f>
        <v>M5WAS2</v>
      </c>
      <c r="D13684" s="2" t="s">
        <v>11231</v>
      </c>
      <c r="E13684" s="3">
        <v>1.88E-98</v>
      </c>
      <c r="F13684" s="2">
        <v>772</v>
      </c>
      <c r="G13684" s="2">
        <v>100</v>
      </c>
      <c r="H13684" s="2">
        <v>158</v>
      </c>
      <c r="I13684" s="2">
        <v>113</v>
      </c>
      <c r="J13684" s="2">
        <v>586</v>
      </c>
      <c r="K13684" s="2">
        <v>1</v>
      </c>
      <c r="L13684" s="2">
        <v>158</v>
      </c>
    </row>
    <row r="13685" spans="1:12" x14ac:dyDescent="0.25">
      <c r="A13685" s="4" t="str">
        <f>HYPERLINK("http://www.rosaceae.org/Prunus/Prunus_persica/p.persica_gdr_reftransV1_0030739","p.persica_gdr_reftransV1_0030739")</f>
        <v>p.persica_gdr_reftransV1_0030739</v>
      </c>
      <c r="B13685" s="2">
        <v>3832</v>
      </c>
      <c r="C13685" s="4" t="str">
        <f>HYPERLINK("http://www.uniprot.org/uniprot/M5X779","M5X779")</f>
        <v>M5X779</v>
      </c>
      <c r="D13685" s="2" t="s">
        <v>2714</v>
      </c>
      <c r="E13685" s="3">
        <v>0</v>
      </c>
      <c r="F13685" s="2">
        <v>3582</v>
      </c>
      <c r="G13685" s="2">
        <v>93</v>
      </c>
      <c r="H13685" s="2">
        <v>777</v>
      </c>
      <c r="I13685" s="2">
        <v>699</v>
      </c>
      <c r="J13685" s="2">
        <v>3029</v>
      </c>
      <c r="K13685" s="2">
        <v>73</v>
      </c>
      <c r="L13685" s="2">
        <v>795</v>
      </c>
    </row>
    <row r="13686" spans="1:12" x14ac:dyDescent="0.25">
      <c r="A13686" s="4" t="str">
        <f>HYPERLINK("http://www.rosaceae.org/Prunus/Prunus_persica/p.persica_gdr_reftransV1_0031439","p.persica_gdr_reftransV1_0031439")</f>
        <v>p.persica_gdr_reftransV1_0031439</v>
      </c>
      <c r="B13686" s="2">
        <v>2768</v>
      </c>
      <c r="C13686" s="4" t="str">
        <f>HYPERLINK("http://www.uniprot.org/uniprot/M5WGY6","M5WGY6")</f>
        <v>M5WGY6</v>
      </c>
      <c r="D13686" s="2" t="s">
        <v>7978</v>
      </c>
      <c r="E13686" s="3">
        <v>1.15E-132</v>
      </c>
      <c r="F13686" s="2">
        <v>1077</v>
      </c>
      <c r="G13686" s="2">
        <v>99</v>
      </c>
      <c r="H13686" s="2">
        <v>216</v>
      </c>
      <c r="I13686" s="2">
        <v>87</v>
      </c>
      <c r="J13686" s="2">
        <v>734</v>
      </c>
      <c r="K13686" s="2">
        <v>1</v>
      </c>
      <c r="L13686" s="2">
        <v>216</v>
      </c>
    </row>
    <row r="13687" spans="1:12" x14ac:dyDescent="0.25">
      <c r="A13687" s="4" t="str">
        <f>HYPERLINK("http://www.rosaceae.org/Prunus/Prunus_persica/p.persica_gdr_reftransV1_0032489","p.persica_gdr_reftransV1_0032489")</f>
        <v>p.persica_gdr_reftransV1_0032489</v>
      </c>
      <c r="B13687" s="2">
        <v>1663</v>
      </c>
      <c r="C13687" s="4" t="str">
        <f>HYPERLINK("http://www.uniprot.org/uniprot/C5Y3J5","C5Y3J5")</f>
        <v>C5Y3J5</v>
      </c>
      <c r="D13687" s="2" t="s">
        <v>11232</v>
      </c>
      <c r="E13687" s="3">
        <v>1.2E-8</v>
      </c>
      <c r="F13687" s="2">
        <v>164</v>
      </c>
      <c r="G13687" s="2">
        <v>62</v>
      </c>
      <c r="H13687" s="2">
        <v>45</v>
      </c>
      <c r="I13687" s="2">
        <v>313</v>
      </c>
      <c r="J13687" s="2">
        <v>447</v>
      </c>
      <c r="K13687" s="2">
        <v>209</v>
      </c>
      <c r="L13687" s="2">
        <v>253</v>
      </c>
    </row>
    <row r="13688" spans="1:12" x14ac:dyDescent="0.25">
      <c r="A13688" s="4" t="str">
        <f>HYPERLINK("http://www.rosaceae.org/Prunus/Prunus_persica/p.persica_gdr_reftransV1_0034939","p.persica_gdr_reftransV1_0034939")</f>
        <v>p.persica_gdr_reftransV1_0034939</v>
      </c>
      <c r="B13688" s="2">
        <v>3257</v>
      </c>
      <c r="C13688" s="4" t="str">
        <f>HYPERLINK("http://www.uniprot.org/uniprot/M5WDH1","M5WDH1")</f>
        <v>M5WDH1</v>
      </c>
      <c r="D13688" s="2" t="s">
        <v>11233</v>
      </c>
      <c r="E13688" s="3">
        <v>0</v>
      </c>
      <c r="F13688" s="2">
        <v>3135</v>
      </c>
      <c r="G13688" s="2">
        <v>100</v>
      </c>
      <c r="H13688" s="2">
        <v>626</v>
      </c>
      <c r="I13688" s="2">
        <v>422</v>
      </c>
      <c r="J13688" s="2">
        <v>2299</v>
      </c>
      <c r="K13688" s="2">
        <v>1</v>
      </c>
      <c r="L13688" s="2">
        <v>626</v>
      </c>
    </row>
    <row r="13689" spans="1:12" x14ac:dyDescent="0.25">
      <c r="A13689" s="4" t="str">
        <f>HYPERLINK("http://www.rosaceae.org/Prunus/Prunus_persica/p.persica_gdr_reftransV1_0039139","p.persica_gdr_reftransV1_0039139")</f>
        <v>p.persica_gdr_reftransV1_0039139</v>
      </c>
      <c r="B13689" s="2">
        <v>1211</v>
      </c>
      <c r="C13689" s="4" t="str">
        <f>HYPERLINK("http://www.uniprot.org/uniprot/M5WF39","M5WF39")</f>
        <v>M5WF39</v>
      </c>
      <c r="D13689" s="2" t="s">
        <v>7530</v>
      </c>
      <c r="E13689" s="3">
        <v>1.2399999999999999E-38</v>
      </c>
      <c r="F13689" s="2">
        <v>375</v>
      </c>
      <c r="G13689" s="2">
        <v>99</v>
      </c>
      <c r="H13689" s="2">
        <v>67</v>
      </c>
      <c r="I13689" s="2">
        <v>517</v>
      </c>
      <c r="J13689" s="2">
        <v>717</v>
      </c>
      <c r="K13689" s="2">
        <v>2</v>
      </c>
      <c r="L13689" s="2">
        <v>68</v>
      </c>
    </row>
    <row r="13690" spans="1:12" x14ac:dyDescent="0.25">
      <c r="A13690" s="4" t="str">
        <f>HYPERLINK("http://www.rosaceae.org/Prunus/Prunus_persica/p.persica_gdr_reftransV1_0040539","p.persica_gdr_reftransV1_0040539")</f>
        <v>p.persica_gdr_reftransV1_0040539</v>
      </c>
      <c r="B13690" s="2">
        <v>1311</v>
      </c>
      <c r="C13690" s="4" t="str">
        <f>HYPERLINK("http://www.uniprot.org/uniprot/M5X7G5","M5X7G5")</f>
        <v>M5X7G5</v>
      </c>
      <c r="D13690" s="2" t="s">
        <v>4053</v>
      </c>
      <c r="E13690" s="3">
        <v>5.0899999999999998E-152</v>
      </c>
      <c r="F13690" s="2">
        <v>1143</v>
      </c>
      <c r="G13690" s="2">
        <v>100</v>
      </c>
      <c r="H13690" s="2">
        <v>253</v>
      </c>
      <c r="I13690" s="2">
        <v>143</v>
      </c>
      <c r="J13690" s="2">
        <v>901</v>
      </c>
      <c r="K13690" s="2">
        <v>19</v>
      </c>
      <c r="L13690" s="2">
        <v>271</v>
      </c>
    </row>
    <row r="13691" spans="1:12" x14ac:dyDescent="0.25">
      <c r="A13691" s="4" t="str">
        <f>HYPERLINK("http://www.rosaceae.org/Prunus/Prunus_persica/p.persica_gdr_reftransV1_0042639","p.persica_gdr_reftransV1_0042639")</f>
        <v>p.persica_gdr_reftransV1_0042639</v>
      </c>
      <c r="B13691" s="2">
        <v>2981</v>
      </c>
      <c r="C13691" s="4" t="str">
        <f>HYPERLINK("http://www.uniprot.org/uniprot/M5WED7","M5WED7")</f>
        <v>M5WED7</v>
      </c>
      <c r="D13691" s="2" t="s">
        <v>11234</v>
      </c>
      <c r="E13691" s="3">
        <v>0</v>
      </c>
      <c r="F13691" s="2">
        <v>3515</v>
      </c>
      <c r="G13691" s="2">
        <v>95</v>
      </c>
      <c r="H13691" s="2">
        <v>754</v>
      </c>
      <c r="I13691" s="2">
        <v>332</v>
      </c>
      <c r="J13691" s="2">
        <v>2503</v>
      </c>
      <c r="K13691" s="2">
        <v>1</v>
      </c>
      <c r="L13691" s="2">
        <v>752</v>
      </c>
    </row>
    <row r="13692" spans="1:12" x14ac:dyDescent="0.25">
      <c r="A13692" s="4" t="str">
        <f>HYPERLINK("http://www.rosaceae.org/Prunus/Prunus_persica/p.persica_gdr_reftransV1_0043339","p.persica_gdr_reftransV1_0043339")</f>
        <v>p.persica_gdr_reftransV1_0043339</v>
      </c>
      <c r="B13692" s="2">
        <v>777</v>
      </c>
      <c r="C13692" s="4" t="str">
        <f>HYPERLINK("http://www.uniprot.org/uniprot/M5XDX1","M5XDX1")</f>
        <v>M5XDX1</v>
      </c>
      <c r="D13692" s="2" t="s">
        <v>11235</v>
      </c>
      <c r="E13692" s="3">
        <v>1.1499999999999999E-93</v>
      </c>
      <c r="F13692" s="2">
        <v>728</v>
      </c>
      <c r="G13692" s="2">
        <v>100</v>
      </c>
      <c r="H13692" s="2">
        <v>156</v>
      </c>
      <c r="I13692" s="2">
        <v>97</v>
      </c>
      <c r="J13692" s="2">
        <v>564</v>
      </c>
      <c r="K13692" s="2">
        <v>15</v>
      </c>
      <c r="L13692" s="2">
        <v>170</v>
      </c>
    </row>
    <row r="13693" spans="1:12" x14ac:dyDescent="0.25">
      <c r="A13693" s="4" t="str">
        <f>HYPERLINK("http://www.rosaceae.org/Prunus/Prunus_persica/p.persica_gdr_reftransV1_0043689","p.persica_gdr_reftransV1_0043689")</f>
        <v>p.persica_gdr_reftransV1_0043689</v>
      </c>
      <c r="B13693" s="2">
        <v>1370</v>
      </c>
      <c r="C13693" s="4" t="str">
        <f>HYPERLINK("http://www.uniprot.org/uniprot/M5Y9Z3","M5Y9Z3")</f>
        <v>M5Y9Z3</v>
      </c>
      <c r="D13693" s="2" t="s">
        <v>11236</v>
      </c>
      <c r="E13693" s="3">
        <v>0</v>
      </c>
      <c r="F13693" s="2">
        <v>1551</v>
      </c>
      <c r="G13693" s="2">
        <v>89</v>
      </c>
      <c r="H13693" s="2">
        <v>400</v>
      </c>
      <c r="I13693" s="2">
        <v>183</v>
      </c>
      <c r="J13693" s="2">
        <v>1250</v>
      </c>
      <c r="K13693" s="2">
        <v>1</v>
      </c>
      <c r="L13693" s="2">
        <v>400</v>
      </c>
    </row>
    <row r="13694" spans="1:12" x14ac:dyDescent="0.25">
      <c r="A13694" s="4" t="str">
        <f>HYPERLINK("http://www.rosaceae.org/Prunus/Prunus_persica/p.persica_gdr_reftransV1_0044039","p.persica_gdr_reftransV1_0044039")</f>
        <v>p.persica_gdr_reftransV1_0044039</v>
      </c>
      <c r="B13694" s="2">
        <v>3407</v>
      </c>
      <c r="C13694" s="4" t="str">
        <f>HYPERLINK("http://www.uniprot.org/uniprot/M5WGN6","M5WGN6")</f>
        <v>M5WGN6</v>
      </c>
      <c r="D13694" s="2" t="s">
        <v>11237</v>
      </c>
      <c r="E13694" s="3">
        <v>0</v>
      </c>
      <c r="F13694" s="2">
        <v>2588</v>
      </c>
      <c r="G13694" s="2">
        <v>100</v>
      </c>
      <c r="H13694" s="2">
        <v>481</v>
      </c>
      <c r="I13694" s="2">
        <v>327</v>
      </c>
      <c r="J13694" s="2">
        <v>1769</v>
      </c>
      <c r="K13694" s="2">
        <v>459</v>
      </c>
      <c r="L13694" s="2">
        <v>939</v>
      </c>
    </row>
    <row r="13695" spans="1:12" x14ac:dyDescent="0.25">
      <c r="A13695" s="4" t="str">
        <f>HYPERLINK("http://www.rosaceae.org/Prunus/Prunus_persica/p.persica_gdr_reftransV1_0044389","p.persica_gdr_reftransV1_0044389")</f>
        <v>p.persica_gdr_reftransV1_0044389</v>
      </c>
      <c r="B13695" s="2">
        <v>2769</v>
      </c>
      <c r="C13695" s="4" t="str">
        <f>HYPERLINK("http://www.uniprot.org/uniprot/M5XKC9","M5XKC9")</f>
        <v>M5XKC9</v>
      </c>
      <c r="D13695" s="2" t="s">
        <v>9824</v>
      </c>
      <c r="E13695" s="3">
        <v>0</v>
      </c>
      <c r="F13695" s="2">
        <v>2945</v>
      </c>
      <c r="G13695" s="2">
        <v>82</v>
      </c>
      <c r="H13695" s="2">
        <v>814</v>
      </c>
      <c r="I13695" s="2">
        <v>222</v>
      </c>
      <c r="J13695" s="2">
        <v>2600</v>
      </c>
      <c r="K13695" s="2">
        <v>1</v>
      </c>
      <c r="L13695" s="2">
        <v>723</v>
      </c>
    </row>
    <row r="13696" spans="1:12" x14ac:dyDescent="0.25">
      <c r="A13696" s="4" t="str">
        <f>HYPERLINK("http://www.rosaceae.org/Prunus/Prunus_persica/p.persica_gdr_reftransV1_0044739","p.persica_gdr_reftransV1_0044739")</f>
        <v>p.persica_gdr_reftransV1_0044739</v>
      </c>
      <c r="B13696" s="2">
        <v>454</v>
      </c>
      <c r="C13696" s="4" t="str">
        <f>HYPERLINK("http://www.uniprot.org/uniprot/M5W1C7","M5W1C7")</f>
        <v>M5W1C7</v>
      </c>
      <c r="D13696" s="2" t="s">
        <v>3895</v>
      </c>
      <c r="E13696" s="3">
        <v>1.1E-24</v>
      </c>
      <c r="F13696" s="2">
        <v>258</v>
      </c>
      <c r="G13696" s="2">
        <v>96</v>
      </c>
      <c r="H13696" s="2">
        <v>52</v>
      </c>
      <c r="I13696" s="2">
        <v>297</v>
      </c>
      <c r="J13696" s="2">
        <v>452</v>
      </c>
      <c r="K13696" s="2">
        <v>1</v>
      </c>
      <c r="L13696" s="2">
        <v>52</v>
      </c>
    </row>
    <row r="13697" spans="1:12" x14ac:dyDescent="0.25">
      <c r="A13697" s="4" t="str">
        <f>HYPERLINK("http://www.rosaceae.org/Prunus/Prunus_persica/p.persica_gdr_reftransV1_0045089","p.persica_gdr_reftransV1_0045089")</f>
        <v>p.persica_gdr_reftransV1_0045089</v>
      </c>
      <c r="B13697" s="2">
        <v>2099</v>
      </c>
      <c r="C13697" s="4" t="str">
        <f>HYPERLINK("http://www.uniprot.org/uniprot/M5WS48","M5WS48")</f>
        <v>M5WS48</v>
      </c>
      <c r="D13697" s="2" t="s">
        <v>5170</v>
      </c>
      <c r="E13697" s="3">
        <v>0</v>
      </c>
      <c r="F13697" s="2">
        <v>1068</v>
      </c>
      <c r="G13697" s="2">
        <v>100</v>
      </c>
      <c r="H13697" s="2">
        <v>197</v>
      </c>
      <c r="I13697" s="2">
        <v>897</v>
      </c>
      <c r="J13697" s="2">
        <v>1487</v>
      </c>
      <c r="K13697" s="2">
        <v>132</v>
      </c>
      <c r="L13697" s="2">
        <v>328</v>
      </c>
    </row>
    <row r="13698" spans="1:12" x14ac:dyDescent="0.25">
      <c r="A13698" s="4" t="str">
        <f>HYPERLINK("http://www.rosaceae.org/Prunus/Prunus_persica/p.persica_gdr_reftransV1_0045789","p.persica_gdr_reftransV1_0045789")</f>
        <v>p.persica_gdr_reftransV1_0045789</v>
      </c>
      <c r="B13698" s="2">
        <v>1961</v>
      </c>
      <c r="C13698" s="4" t="str">
        <f>HYPERLINK("http://www.uniprot.org/uniprot/M5WVW6","M5WVW6")</f>
        <v>M5WVW6</v>
      </c>
      <c r="D13698" s="2" t="s">
        <v>11238</v>
      </c>
      <c r="E13698" s="3">
        <v>0</v>
      </c>
      <c r="F13698" s="2">
        <v>2553</v>
      </c>
      <c r="G13698" s="2">
        <v>99</v>
      </c>
      <c r="H13698" s="2">
        <v>548</v>
      </c>
      <c r="I13698" s="2">
        <v>25</v>
      </c>
      <c r="J13698" s="2">
        <v>1668</v>
      </c>
      <c r="K13698" s="2">
        <v>38</v>
      </c>
      <c r="L13698" s="2">
        <v>582</v>
      </c>
    </row>
    <row r="13699" spans="1:12" x14ac:dyDescent="0.25">
      <c r="A13699" s="4" t="str">
        <f>HYPERLINK("http://www.rosaceae.org/Prunus/Prunus_persica/p.persica_gdr_reftransV1_0046839","p.persica_gdr_reftransV1_0046839")</f>
        <v>p.persica_gdr_reftransV1_0046839</v>
      </c>
      <c r="B13699" s="2">
        <v>912</v>
      </c>
      <c r="C13699" s="4" t="str">
        <f>HYPERLINK("http://www.uniprot.org/uniprot/M5WAW8","M5WAW8")</f>
        <v>M5WAW8</v>
      </c>
      <c r="D13699" s="2" t="s">
        <v>741</v>
      </c>
      <c r="E13699" s="3">
        <v>4.0700000000000003E-116</v>
      </c>
      <c r="F13699" s="2">
        <v>881</v>
      </c>
      <c r="G13699" s="2">
        <v>98</v>
      </c>
      <c r="H13699" s="2">
        <v>170</v>
      </c>
      <c r="I13699" s="2">
        <v>154</v>
      </c>
      <c r="J13699" s="2">
        <v>663</v>
      </c>
      <c r="K13699" s="2">
        <v>1</v>
      </c>
      <c r="L13699" s="2">
        <v>170</v>
      </c>
    </row>
    <row r="13700" spans="1:12" x14ac:dyDescent="0.25">
      <c r="A13700" s="4" t="str">
        <f>HYPERLINK("http://www.rosaceae.org/Prunus/Prunus_persica/p.persica_gdr_reftransV1_0047539","p.persica_gdr_reftransV1_0047539")</f>
        <v>p.persica_gdr_reftransV1_0047539</v>
      </c>
      <c r="B13700" s="2">
        <v>1496</v>
      </c>
      <c r="C13700" s="4" t="str">
        <f>HYPERLINK("http://www.uniprot.org/uniprot/M5XSA5","M5XSA5")</f>
        <v>M5XSA5</v>
      </c>
      <c r="D13700" s="2" t="s">
        <v>10712</v>
      </c>
      <c r="E13700" s="3">
        <v>0</v>
      </c>
      <c r="F13700" s="2">
        <v>2220</v>
      </c>
      <c r="G13700" s="2">
        <v>100</v>
      </c>
      <c r="H13700" s="2">
        <v>473</v>
      </c>
      <c r="I13700" s="2">
        <v>3</v>
      </c>
      <c r="J13700" s="2">
        <v>1421</v>
      </c>
      <c r="K13700" s="2">
        <v>19</v>
      </c>
      <c r="L13700" s="2">
        <v>491</v>
      </c>
    </row>
    <row r="13701" spans="1:12" x14ac:dyDescent="0.25">
      <c r="A13701" s="4" t="str">
        <f>HYPERLINK("http://www.rosaceae.org/Prunus/Prunus_persica/p.persica_gdr_reftransV1_0048239","p.persica_gdr_reftransV1_0048239")</f>
        <v>p.persica_gdr_reftransV1_0048239</v>
      </c>
      <c r="B13701" s="2">
        <v>1387</v>
      </c>
      <c r="C13701" s="4" t="str">
        <f>HYPERLINK("http://www.uniprot.org/uniprot/A0A097SRT1","A0A097SRT1")</f>
        <v>A0A097SRT1</v>
      </c>
      <c r="D13701" s="2" t="s">
        <v>1409</v>
      </c>
      <c r="E13701" s="3">
        <v>1.2799999999999999E-101</v>
      </c>
      <c r="F13701" s="2">
        <v>805</v>
      </c>
      <c r="G13701" s="2">
        <v>98</v>
      </c>
      <c r="H13701" s="2">
        <v>215</v>
      </c>
      <c r="I13701" s="2">
        <v>186</v>
      </c>
      <c r="J13701" s="2">
        <v>830</v>
      </c>
      <c r="K13701" s="2">
        <v>1</v>
      </c>
      <c r="L13701" s="2">
        <v>215</v>
      </c>
    </row>
    <row r="13702" spans="1:12" x14ac:dyDescent="0.25">
      <c r="A13702" s="4" t="str">
        <f>HYPERLINK("http://www.rosaceae.org/Prunus/Prunus_persica/p.persica_gdr_reftransV1_0048589","p.persica_gdr_reftransV1_0048589")</f>
        <v>p.persica_gdr_reftransV1_0048589</v>
      </c>
      <c r="B13702" s="2">
        <v>2457</v>
      </c>
      <c r="C13702" s="4" t="str">
        <f>HYPERLINK("http://www.uniprot.org/uniprot/M5X9C1","M5X9C1")</f>
        <v>M5X9C1</v>
      </c>
      <c r="D13702" s="2" t="s">
        <v>11239</v>
      </c>
      <c r="E13702" s="3">
        <v>2.15E-146</v>
      </c>
      <c r="F13702" s="2">
        <v>1143</v>
      </c>
      <c r="G13702" s="2">
        <v>90</v>
      </c>
      <c r="H13702" s="2">
        <v>339</v>
      </c>
      <c r="I13702" s="2">
        <v>1164</v>
      </c>
      <c r="J13702" s="2">
        <v>2180</v>
      </c>
      <c r="K13702" s="2">
        <v>1</v>
      </c>
      <c r="L13702" s="2">
        <v>304</v>
      </c>
    </row>
    <row r="13703" spans="1:12" x14ac:dyDescent="0.25">
      <c r="A13703" s="4" t="str">
        <f>HYPERLINK("http://www.rosaceae.org/Prunus/Prunus_persica/p.persica_gdr_reftransV1_0000290","p.persica_gdr_reftransV1_0000290")</f>
        <v>p.persica_gdr_reftransV1_0000290</v>
      </c>
      <c r="B13703" s="2">
        <v>1081</v>
      </c>
      <c r="C13703" s="4" t="str">
        <f>HYPERLINK("http://www.uniprot.org/uniprot/M5XGE1","M5XGE1")</f>
        <v>M5XGE1</v>
      </c>
      <c r="D13703" s="2" t="s">
        <v>6965</v>
      </c>
      <c r="E13703" s="3">
        <v>5.6599999999999999E-102</v>
      </c>
      <c r="F13703" s="2">
        <v>782</v>
      </c>
      <c r="G13703" s="2">
        <v>100</v>
      </c>
      <c r="H13703" s="2">
        <v>160</v>
      </c>
      <c r="I13703" s="2">
        <v>475</v>
      </c>
      <c r="J13703" s="2">
        <v>954</v>
      </c>
      <c r="K13703" s="2">
        <v>1</v>
      </c>
      <c r="L13703" s="2">
        <v>160</v>
      </c>
    </row>
    <row r="13704" spans="1:12" x14ac:dyDescent="0.25">
      <c r="A13704" s="4" t="str">
        <f>HYPERLINK("http://www.rosaceae.org/Prunus/Prunus_persica/p.persica_gdr_reftransV1_0000990","p.persica_gdr_reftransV1_0000990")</f>
        <v>p.persica_gdr_reftransV1_0000990</v>
      </c>
      <c r="B13704" s="2">
        <v>298</v>
      </c>
      <c r="C13704" s="4" t="str">
        <f>HYPERLINK("http://www.uniprot.org/uniprot/M5WHD4","M5WHD4")</f>
        <v>M5WHD4</v>
      </c>
      <c r="D13704" s="2" t="s">
        <v>1873</v>
      </c>
      <c r="E13704" s="3">
        <v>1.3800000000000001E-52</v>
      </c>
      <c r="F13704" s="2">
        <v>465</v>
      </c>
      <c r="G13704" s="2">
        <v>100</v>
      </c>
      <c r="H13704" s="2">
        <v>99</v>
      </c>
      <c r="I13704" s="2">
        <v>1</v>
      </c>
      <c r="J13704" s="2">
        <v>297</v>
      </c>
      <c r="K13704" s="2">
        <v>196</v>
      </c>
      <c r="L13704" s="2">
        <v>294</v>
      </c>
    </row>
    <row r="13705" spans="1:12" x14ac:dyDescent="0.25">
      <c r="A13705" s="4" t="str">
        <f>HYPERLINK("http://www.rosaceae.org/Prunus/Prunus_persica/p.persica_gdr_reftransV1_0001340","p.persica_gdr_reftransV1_0001340")</f>
        <v>p.persica_gdr_reftransV1_0001340</v>
      </c>
      <c r="B13705" s="2">
        <v>877</v>
      </c>
      <c r="C13705" s="4" t="str">
        <f>HYPERLINK("http://www.uniprot.org/uniprot/M5WMB6","M5WMB6")</f>
        <v>M5WMB6</v>
      </c>
      <c r="D13705" s="2" t="s">
        <v>11240</v>
      </c>
      <c r="E13705" s="3">
        <v>3.0899999999999999E-165</v>
      </c>
      <c r="F13705" s="2">
        <v>1226</v>
      </c>
      <c r="G13705" s="2">
        <v>100</v>
      </c>
      <c r="H13705" s="2">
        <v>246</v>
      </c>
      <c r="I13705" s="2">
        <v>138</v>
      </c>
      <c r="J13705" s="2">
        <v>875</v>
      </c>
      <c r="K13705" s="2">
        <v>150</v>
      </c>
      <c r="L13705" s="2">
        <v>395</v>
      </c>
    </row>
    <row r="13706" spans="1:12" x14ac:dyDescent="0.25">
      <c r="A13706" s="4" t="str">
        <f>HYPERLINK("http://www.rosaceae.org/Prunus/Prunus_persica/p.persica_gdr_reftransV1_0001690","p.persica_gdr_reftransV1_0001690")</f>
        <v>p.persica_gdr_reftransV1_0001690</v>
      </c>
      <c r="B13706" s="2">
        <v>346</v>
      </c>
      <c r="C13706" s="4" t="str">
        <f>HYPERLINK("http://www.uniprot.org/uniprot/I1RY60","I1RY60")</f>
        <v>I1RY60</v>
      </c>
      <c r="D13706" s="2" t="s">
        <v>11241</v>
      </c>
      <c r="E13706" s="3">
        <v>4.9000000000000003E-58</v>
      </c>
      <c r="F13706" s="2">
        <v>504</v>
      </c>
      <c r="G13706" s="2">
        <v>83</v>
      </c>
      <c r="H13706" s="2">
        <v>115</v>
      </c>
      <c r="I13706" s="2">
        <v>1</v>
      </c>
      <c r="J13706" s="2">
        <v>345</v>
      </c>
      <c r="K13706" s="2">
        <v>315</v>
      </c>
      <c r="L13706" s="2">
        <v>429</v>
      </c>
    </row>
    <row r="13707" spans="1:12" x14ac:dyDescent="0.25">
      <c r="A13707" s="4" t="str">
        <f>HYPERLINK("http://www.rosaceae.org/Prunus/Prunus_persica/p.persica_gdr_reftransV1_0002040","p.persica_gdr_reftransV1_0002040")</f>
        <v>p.persica_gdr_reftransV1_0002040</v>
      </c>
      <c r="B13707" s="2">
        <v>417</v>
      </c>
      <c r="C13707" s="4" t="str">
        <f>HYPERLINK("http://www.uniprot.org/uniprot/V6R2Z2","V6R2Z2")</f>
        <v>V6R2Z2</v>
      </c>
      <c r="D13707" s="2" t="s">
        <v>11242</v>
      </c>
      <c r="E13707" s="3">
        <v>7.0900000000000004E-55</v>
      </c>
      <c r="F13707" s="2">
        <v>482</v>
      </c>
      <c r="G13707" s="2">
        <v>88</v>
      </c>
      <c r="H13707" s="2">
        <v>105</v>
      </c>
      <c r="I13707" s="2">
        <v>3</v>
      </c>
      <c r="J13707" s="2">
        <v>317</v>
      </c>
      <c r="K13707" s="2">
        <v>1</v>
      </c>
      <c r="L13707" s="2">
        <v>105</v>
      </c>
    </row>
    <row r="13708" spans="1:12" x14ac:dyDescent="0.25">
      <c r="A13708" s="4" t="str">
        <f>HYPERLINK("http://www.rosaceae.org/Prunus/Prunus_persica/p.persica_gdr_reftransV1_0002390","p.persica_gdr_reftransV1_0002390")</f>
        <v>p.persica_gdr_reftransV1_0002390</v>
      </c>
      <c r="B13708" s="2">
        <v>520</v>
      </c>
      <c r="C13708" s="4" t="str">
        <f>HYPERLINK("http://www.uniprot.org/uniprot/A0A0D2RWQ2","A0A0D2RWQ2")</f>
        <v>A0A0D2RWQ2</v>
      </c>
      <c r="D13708" s="2" t="s">
        <v>11243</v>
      </c>
      <c r="E13708" s="3">
        <v>3.0600000000000002E-35</v>
      </c>
      <c r="F13708" s="2">
        <v>344</v>
      </c>
      <c r="G13708" s="2">
        <v>69</v>
      </c>
      <c r="H13708" s="2">
        <v>101</v>
      </c>
      <c r="I13708" s="2">
        <v>65</v>
      </c>
      <c r="J13708" s="2">
        <v>358</v>
      </c>
      <c r="K13708" s="2">
        <v>1</v>
      </c>
      <c r="L13708" s="2">
        <v>100</v>
      </c>
    </row>
    <row r="13709" spans="1:12" x14ac:dyDescent="0.25">
      <c r="A13709" s="4" t="str">
        <f>HYPERLINK("http://www.rosaceae.org/Prunus/Prunus_persica/p.persica_gdr_reftransV1_0002740","p.persica_gdr_reftransV1_0002740")</f>
        <v>p.persica_gdr_reftransV1_0002740</v>
      </c>
      <c r="B13709" s="2">
        <v>524</v>
      </c>
      <c r="C13709" s="4" t="str">
        <f>HYPERLINK("http://www.uniprot.org/uniprot/W7MF39","W7MF39")</f>
        <v>W7MF39</v>
      </c>
      <c r="D13709" s="2" t="s">
        <v>11244</v>
      </c>
      <c r="E13709" s="3">
        <v>1.4099999999999999E-109</v>
      </c>
      <c r="F13709" s="2">
        <v>834</v>
      </c>
      <c r="G13709" s="2">
        <v>99</v>
      </c>
      <c r="H13709" s="2">
        <v>174</v>
      </c>
      <c r="I13709" s="2">
        <v>1</v>
      </c>
      <c r="J13709" s="2">
        <v>522</v>
      </c>
      <c r="K13709" s="2">
        <v>94</v>
      </c>
      <c r="L13709" s="2">
        <v>267</v>
      </c>
    </row>
    <row r="13710" spans="1:12" x14ac:dyDescent="0.25">
      <c r="A13710" s="4" t="str">
        <f>HYPERLINK("http://www.rosaceae.org/Prunus/Prunus_persica/p.persica_gdr_reftransV1_0003440","p.persica_gdr_reftransV1_0003440")</f>
        <v>p.persica_gdr_reftransV1_0003440</v>
      </c>
      <c r="B13710" s="2">
        <v>1120</v>
      </c>
      <c r="C13710" s="4" t="str">
        <f>HYPERLINK("http://www.uniprot.org/uniprot/M5XP24","M5XP24")</f>
        <v>M5XP24</v>
      </c>
      <c r="D13710" s="2" t="s">
        <v>2757</v>
      </c>
      <c r="E13710" s="3">
        <v>0</v>
      </c>
      <c r="F13710" s="2">
        <v>1862</v>
      </c>
      <c r="G13710" s="2">
        <v>100</v>
      </c>
      <c r="H13710" s="2">
        <v>351</v>
      </c>
      <c r="I13710" s="2">
        <v>2</v>
      </c>
      <c r="J13710" s="2">
        <v>1054</v>
      </c>
      <c r="K13710" s="2">
        <v>1</v>
      </c>
      <c r="L13710" s="2">
        <v>351</v>
      </c>
    </row>
    <row r="13711" spans="1:12" x14ac:dyDescent="0.25">
      <c r="A13711" s="4" t="str">
        <f>HYPERLINK("http://www.rosaceae.org/Prunus/Prunus_persica/p.persica_gdr_reftransV1_0003790","p.persica_gdr_reftransV1_0003790")</f>
        <v>p.persica_gdr_reftransV1_0003790</v>
      </c>
      <c r="B13711" s="2">
        <v>462</v>
      </c>
      <c r="C13711" s="4" t="str">
        <f>HYPERLINK("http://www.uniprot.org/uniprot/W7MF16","W7MF16")</f>
        <v>W7MF16</v>
      </c>
      <c r="D13711" s="2" t="s">
        <v>11245</v>
      </c>
      <c r="E13711" s="3">
        <v>1.71E-96</v>
      </c>
      <c r="F13711" s="2">
        <v>767</v>
      </c>
      <c r="G13711" s="2">
        <v>93</v>
      </c>
      <c r="H13711" s="2">
        <v>153</v>
      </c>
      <c r="I13711" s="2">
        <v>3</v>
      </c>
      <c r="J13711" s="2">
        <v>461</v>
      </c>
      <c r="K13711" s="2">
        <v>221</v>
      </c>
      <c r="L13711" s="2">
        <v>373</v>
      </c>
    </row>
    <row r="13712" spans="1:12" x14ac:dyDescent="0.25">
      <c r="A13712" s="4" t="str">
        <f>HYPERLINK("http://www.rosaceae.org/Prunus/Prunus_persica/p.persica_gdr_reftransV1_0004140","p.persica_gdr_reftransV1_0004140")</f>
        <v>p.persica_gdr_reftransV1_0004140</v>
      </c>
      <c r="B13712" s="2">
        <v>1936</v>
      </c>
      <c r="C13712" s="4" t="str">
        <f>HYPERLINK("http://www.uniprot.org/uniprot/M5WB05","M5WB05")</f>
        <v>M5WB05</v>
      </c>
      <c r="D13712" s="2" t="s">
        <v>405</v>
      </c>
      <c r="E13712" s="3">
        <v>2.0399999999999999E-83</v>
      </c>
      <c r="F13712" s="2">
        <v>690</v>
      </c>
      <c r="G13712" s="2">
        <v>100</v>
      </c>
      <c r="H13712" s="2">
        <v>131</v>
      </c>
      <c r="I13712" s="2">
        <v>1057</v>
      </c>
      <c r="J13712" s="2">
        <v>1449</v>
      </c>
      <c r="K13712" s="2">
        <v>1</v>
      </c>
      <c r="L13712" s="2">
        <v>131</v>
      </c>
    </row>
    <row r="13713" spans="1:12" x14ac:dyDescent="0.25">
      <c r="A13713" s="4" t="str">
        <f>HYPERLINK("http://www.rosaceae.org/Prunus/Prunus_persica/p.persica_gdr_reftransV1_0004840","p.persica_gdr_reftransV1_0004840")</f>
        <v>p.persica_gdr_reftransV1_0004840</v>
      </c>
      <c r="B13713" s="2">
        <v>3440</v>
      </c>
      <c r="C13713" s="4" t="str">
        <f>HYPERLINK("http://www.uniprot.org/uniprot/M5X0I3","M5X0I3")</f>
        <v>M5X0I3</v>
      </c>
      <c r="D13713" s="2" t="s">
        <v>601</v>
      </c>
      <c r="E13713" s="3">
        <v>0</v>
      </c>
      <c r="F13713" s="2">
        <v>2325</v>
      </c>
      <c r="G13713" s="2">
        <v>100</v>
      </c>
      <c r="H13713" s="2">
        <v>526</v>
      </c>
      <c r="I13713" s="2">
        <v>765</v>
      </c>
      <c r="J13713" s="2">
        <v>2342</v>
      </c>
      <c r="K13713" s="2">
        <v>119</v>
      </c>
      <c r="L13713" s="2">
        <v>644</v>
      </c>
    </row>
    <row r="13714" spans="1:12" x14ac:dyDescent="0.25">
      <c r="A13714" s="4" t="str">
        <f>HYPERLINK("http://www.rosaceae.org/Prunus/Prunus_persica/p.persica_gdr_reftransV1_0005540","p.persica_gdr_reftransV1_0005540")</f>
        <v>p.persica_gdr_reftransV1_0005540</v>
      </c>
      <c r="B13714" s="2">
        <v>4293</v>
      </c>
      <c r="C13714" s="4" t="str">
        <f>HYPERLINK("http://www.uniprot.org/uniprot/Q5PY52","Q5PY52")</f>
        <v>Q5PY52</v>
      </c>
      <c r="D13714" s="2" t="s">
        <v>11047</v>
      </c>
      <c r="E13714" s="3">
        <v>0</v>
      </c>
      <c r="F13714" s="2">
        <v>2476</v>
      </c>
      <c r="G13714" s="2">
        <v>98</v>
      </c>
      <c r="H13714" s="2">
        <v>516</v>
      </c>
      <c r="I13714" s="2">
        <v>1694</v>
      </c>
      <c r="J13714" s="2">
        <v>3241</v>
      </c>
      <c r="K13714" s="2">
        <v>4</v>
      </c>
      <c r="L13714" s="2">
        <v>519</v>
      </c>
    </row>
    <row r="13715" spans="1:12" x14ac:dyDescent="0.25">
      <c r="A13715" s="4" t="str">
        <f>HYPERLINK("http://www.rosaceae.org/Prunus/Prunus_persica/p.persica_gdr_reftransV1_0005890","p.persica_gdr_reftransV1_0005890")</f>
        <v>p.persica_gdr_reftransV1_0005890</v>
      </c>
      <c r="B13715" s="2">
        <v>1444</v>
      </c>
      <c r="C13715" s="4" t="str">
        <f>HYPERLINK("http://www.uniprot.org/uniprot/I1GPI0","I1GPI0")</f>
        <v>I1GPI0</v>
      </c>
      <c r="D13715" s="2" t="s">
        <v>11246</v>
      </c>
      <c r="E13715" s="3">
        <v>2.5899999999999998E-88</v>
      </c>
      <c r="F13715" s="2">
        <v>737</v>
      </c>
      <c r="G13715" s="2">
        <v>44</v>
      </c>
      <c r="H13715" s="2">
        <v>319</v>
      </c>
      <c r="I13715" s="2">
        <v>365</v>
      </c>
      <c r="J13715" s="2">
        <v>1294</v>
      </c>
      <c r="K13715" s="2">
        <v>46</v>
      </c>
      <c r="L13715" s="2">
        <v>364</v>
      </c>
    </row>
    <row r="13716" spans="1:12" x14ac:dyDescent="0.25">
      <c r="A13716" s="4" t="str">
        <f>HYPERLINK("http://www.rosaceae.org/Prunus/Prunus_persica/p.persica_gdr_reftransV1_0006590","p.persica_gdr_reftransV1_0006590")</f>
        <v>p.persica_gdr_reftransV1_0006590</v>
      </c>
      <c r="B13716" s="2">
        <v>2622</v>
      </c>
      <c r="C13716" s="4" t="str">
        <f>HYPERLINK("http://www.uniprot.org/uniprot/M5XRT8","M5XRT8")</f>
        <v>M5XRT8</v>
      </c>
      <c r="D13716" s="2" t="s">
        <v>11247</v>
      </c>
      <c r="E13716" s="3">
        <v>0</v>
      </c>
      <c r="F13716" s="2">
        <v>2934</v>
      </c>
      <c r="G13716" s="2">
        <v>92</v>
      </c>
      <c r="H13716" s="2">
        <v>635</v>
      </c>
      <c r="I13716" s="2">
        <v>235</v>
      </c>
      <c r="J13716" s="2">
        <v>2139</v>
      </c>
      <c r="K13716" s="2">
        <v>18</v>
      </c>
      <c r="L13716" s="2">
        <v>609</v>
      </c>
    </row>
    <row r="13717" spans="1:12" x14ac:dyDescent="0.25">
      <c r="A13717" s="4" t="str">
        <f>HYPERLINK("http://www.rosaceae.org/Prunus/Prunus_persica/p.persica_gdr_reftransV1_0006940","p.persica_gdr_reftransV1_0006940")</f>
        <v>p.persica_gdr_reftransV1_0006940</v>
      </c>
      <c r="B13717" s="2">
        <v>1761</v>
      </c>
      <c r="C13717" s="4" t="str">
        <f>HYPERLINK("http://www.uniprot.org/uniprot/A0A061E8W4","A0A061E8W4")</f>
        <v>A0A061E8W4</v>
      </c>
      <c r="D13717" s="2" t="s">
        <v>11248</v>
      </c>
      <c r="E13717" s="3">
        <v>2.9099999999999999E-140</v>
      </c>
      <c r="F13717" s="2">
        <v>1095</v>
      </c>
      <c r="G13717" s="2">
        <v>50</v>
      </c>
      <c r="H13717" s="2">
        <v>451</v>
      </c>
      <c r="I13717" s="2">
        <v>390</v>
      </c>
      <c r="J13717" s="2">
        <v>1712</v>
      </c>
      <c r="K13717" s="2">
        <v>2</v>
      </c>
      <c r="L13717" s="2">
        <v>433</v>
      </c>
    </row>
    <row r="13718" spans="1:12" x14ac:dyDescent="0.25">
      <c r="A13718" s="4" t="str">
        <f>HYPERLINK("http://www.rosaceae.org/Prunus/Prunus_persica/p.persica_gdr_reftransV1_0007640","p.persica_gdr_reftransV1_0007640")</f>
        <v>p.persica_gdr_reftransV1_0007640</v>
      </c>
      <c r="B13718" s="2">
        <v>1307</v>
      </c>
      <c r="C13718" s="4" t="str">
        <f>HYPERLINK("http://www.uniprot.org/uniprot/M5X126","M5X126")</f>
        <v>M5X126</v>
      </c>
      <c r="D13718" s="2" t="s">
        <v>11249</v>
      </c>
      <c r="E13718" s="3">
        <v>1.8599999999999999E-111</v>
      </c>
      <c r="F13718" s="2">
        <v>867</v>
      </c>
      <c r="G13718" s="2">
        <v>100</v>
      </c>
      <c r="H13718" s="2">
        <v>199</v>
      </c>
      <c r="I13718" s="2">
        <v>367</v>
      </c>
      <c r="J13718" s="2">
        <v>963</v>
      </c>
      <c r="K13718" s="2">
        <v>10</v>
      </c>
      <c r="L13718" s="2">
        <v>208</v>
      </c>
    </row>
    <row r="13719" spans="1:12" x14ac:dyDescent="0.25">
      <c r="A13719" s="4" t="str">
        <f>HYPERLINK("http://www.rosaceae.org/Prunus/Prunus_persica/p.persica_gdr_reftransV1_0007990","p.persica_gdr_reftransV1_0007990")</f>
        <v>p.persica_gdr_reftransV1_0007990</v>
      </c>
      <c r="B13719" s="2">
        <v>2817</v>
      </c>
      <c r="C13719" s="4" t="str">
        <f>HYPERLINK("http://www.uniprot.org/uniprot/M5XNW4","M5XNW4")</f>
        <v>M5XNW4</v>
      </c>
      <c r="D13719" s="2" t="s">
        <v>11250</v>
      </c>
      <c r="E13719" s="3">
        <v>0</v>
      </c>
      <c r="F13719" s="2">
        <v>2613</v>
      </c>
      <c r="G13719" s="2">
        <v>100</v>
      </c>
      <c r="H13719" s="2">
        <v>623</v>
      </c>
      <c r="I13719" s="2">
        <v>328</v>
      </c>
      <c r="J13719" s="2">
        <v>2196</v>
      </c>
      <c r="K13719" s="2">
        <v>1</v>
      </c>
      <c r="L13719" s="2">
        <v>623</v>
      </c>
    </row>
    <row r="13720" spans="1:12" x14ac:dyDescent="0.25">
      <c r="A13720" s="4" t="str">
        <f>HYPERLINK("http://www.rosaceae.org/Prunus/Prunus_persica/p.persica_gdr_reftransV1_0008690","p.persica_gdr_reftransV1_0008690")</f>
        <v>p.persica_gdr_reftransV1_0008690</v>
      </c>
      <c r="B13720" s="2">
        <v>3114</v>
      </c>
      <c r="C13720" s="4" t="str">
        <f>HYPERLINK("http://www.uniprot.org/uniprot/M5X0G5","M5X0G5")</f>
        <v>M5X0G5</v>
      </c>
      <c r="D13720" s="2" t="s">
        <v>3867</v>
      </c>
      <c r="E13720" s="3">
        <v>0</v>
      </c>
      <c r="F13720" s="2">
        <v>3503</v>
      </c>
      <c r="G13720" s="2">
        <v>98</v>
      </c>
      <c r="H13720" s="2">
        <v>696</v>
      </c>
      <c r="I13720" s="2">
        <v>2</v>
      </c>
      <c r="J13720" s="2">
        <v>2089</v>
      </c>
      <c r="K13720" s="2">
        <v>8</v>
      </c>
      <c r="L13720" s="2">
        <v>688</v>
      </c>
    </row>
    <row r="13721" spans="1:12" x14ac:dyDescent="0.25">
      <c r="A13721" s="4" t="str">
        <f>HYPERLINK("http://www.rosaceae.org/Prunus/Prunus_persica/p.persica_gdr_reftransV1_0009390","p.persica_gdr_reftransV1_0009390")</f>
        <v>p.persica_gdr_reftransV1_0009390</v>
      </c>
      <c r="B13721" s="2">
        <v>1288</v>
      </c>
      <c r="C13721" s="4" t="str">
        <f>HYPERLINK("http://www.uniprot.org/uniprot/M5XKU9","M5XKU9")</f>
        <v>M5XKU9</v>
      </c>
      <c r="D13721" s="2" t="s">
        <v>11251</v>
      </c>
      <c r="E13721" s="3">
        <v>8.8899999999999999E-71</v>
      </c>
      <c r="F13721" s="2">
        <v>594</v>
      </c>
      <c r="G13721" s="2">
        <v>100</v>
      </c>
      <c r="H13721" s="2">
        <v>132</v>
      </c>
      <c r="I13721" s="2">
        <v>636</v>
      </c>
      <c r="J13721" s="2">
        <v>1031</v>
      </c>
      <c r="K13721" s="2">
        <v>1</v>
      </c>
      <c r="L13721" s="2">
        <v>132</v>
      </c>
    </row>
    <row r="13722" spans="1:12" x14ac:dyDescent="0.25">
      <c r="A13722" s="4" t="str">
        <f>HYPERLINK("http://www.rosaceae.org/Prunus/Prunus_persica/p.persica_gdr_reftransV1_0009740","p.persica_gdr_reftransV1_0009740")</f>
        <v>p.persica_gdr_reftransV1_0009740</v>
      </c>
      <c r="B13722" s="2">
        <v>741</v>
      </c>
      <c r="C13722" s="4" t="str">
        <f>HYPERLINK("http://www.uniprot.org/uniprot/M5X0E5","M5X0E5")</f>
        <v>M5X0E5</v>
      </c>
      <c r="D13722" s="2" t="s">
        <v>1447</v>
      </c>
      <c r="E13722" s="3">
        <v>1.41E-92</v>
      </c>
      <c r="F13722" s="2">
        <v>788</v>
      </c>
      <c r="G13722" s="2">
        <v>99</v>
      </c>
      <c r="H13722" s="2">
        <v>148</v>
      </c>
      <c r="I13722" s="2">
        <v>297</v>
      </c>
      <c r="J13722" s="2">
        <v>740</v>
      </c>
      <c r="K13722" s="2">
        <v>1338</v>
      </c>
      <c r="L13722" s="2">
        <v>1485</v>
      </c>
    </row>
    <row r="13723" spans="1:12" x14ac:dyDescent="0.25">
      <c r="A13723" s="4" t="str">
        <f>HYPERLINK("http://www.rosaceae.org/Prunus/Prunus_persica/p.persica_gdr_reftransV1_0011140","p.persica_gdr_reftransV1_0011140")</f>
        <v>p.persica_gdr_reftransV1_0011140</v>
      </c>
      <c r="B13723" s="2">
        <v>1477</v>
      </c>
      <c r="C13723" s="4" t="str">
        <f>HYPERLINK("http://www.uniprot.org/uniprot/M5WX51","M5WX51")</f>
        <v>M5WX51</v>
      </c>
      <c r="D13723" s="2" t="s">
        <v>8023</v>
      </c>
      <c r="E13723" s="3">
        <v>0</v>
      </c>
      <c r="F13723" s="2">
        <v>2170</v>
      </c>
      <c r="G13723" s="2">
        <v>100</v>
      </c>
      <c r="H13723" s="2">
        <v>419</v>
      </c>
      <c r="I13723" s="2">
        <v>220</v>
      </c>
      <c r="J13723" s="2">
        <v>1476</v>
      </c>
      <c r="K13723" s="2">
        <v>375</v>
      </c>
      <c r="L13723" s="2">
        <v>793</v>
      </c>
    </row>
    <row r="13724" spans="1:12" x14ac:dyDescent="0.25">
      <c r="A13724" s="4" t="str">
        <f>HYPERLINK("http://www.rosaceae.org/Prunus/Prunus_persica/p.persica_gdr_reftransV1_0011490","p.persica_gdr_reftransV1_0011490")</f>
        <v>p.persica_gdr_reftransV1_0011490</v>
      </c>
      <c r="B13724" s="2">
        <v>645</v>
      </c>
      <c r="C13724" s="4" t="str">
        <f>HYPERLINK("http://www.uniprot.org/uniprot/M5VSU4","M5VSU4")</f>
        <v>M5VSU4</v>
      </c>
      <c r="D13724" s="2" t="s">
        <v>11252</v>
      </c>
      <c r="E13724" s="3">
        <v>2.9400000000000003E-88</v>
      </c>
      <c r="F13724" s="2">
        <v>735</v>
      </c>
      <c r="G13724" s="2">
        <v>87</v>
      </c>
      <c r="H13724" s="2">
        <v>164</v>
      </c>
      <c r="I13724" s="2">
        <v>3</v>
      </c>
      <c r="J13724" s="2">
        <v>491</v>
      </c>
      <c r="K13724" s="2">
        <v>584</v>
      </c>
      <c r="L13724" s="2">
        <v>737</v>
      </c>
    </row>
    <row r="13725" spans="1:12" x14ac:dyDescent="0.25">
      <c r="A13725" s="4" t="str">
        <f>HYPERLINK("http://www.rosaceae.org/Prunus/Prunus_persica/p.persica_gdr_reftransV1_0011840","p.persica_gdr_reftransV1_0011840")</f>
        <v>p.persica_gdr_reftransV1_0011840</v>
      </c>
      <c r="B13725" s="2">
        <v>2183</v>
      </c>
      <c r="C13725" s="4" t="str">
        <f>HYPERLINK("http://www.uniprot.org/uniprot/M5X3X2","M5X3X2")</f>
        <v>M5X3X2</v>
      </c>
      <c r="D13725" s="2" t="s">
        <v>11253</v>
      </c>
      <c r="E13725" s="3">
        <v>0</v>
      </c>
      <c r="F13725" s="2">
        <v>2531</v>
      </c>
      <c r="G13725" s="2">
        <v>100</v>
      </c>
      <c r="H13725" s="2">
        <v>521</v>
      </c>
      <c r="I13725" s="2">
        <v>373</v>
      </c>
      <c r="J13725" s="2">
        <v>1935</v>
      </c>
      <c r="K13725" s="2">
        <v>1</v>
      </c>
      <c r="L13725" s="2">
        <v>521</v>
      </c>
    </row>
    <row r="13726" spans="1:12" x14ac:dyDescent="0.25">
      <c r="A13726" s="4" t="str">
        <f>HYPERLINK("http://www.rosaceae.org/Prunus/Prunus_persica/p.persica_gdr_reftransV1_0012190","p.persica_gdr_reftransV1_0012190")</f>
        <v>p.persica_gdr_reftransV1_0012190</v>
      </c>
      <c r="B13726" s="2">
        <v>1154</v>
      </c>
      <c r="C13726" s="4" t="str">
        <f>HYPERLINK("http://www.uniprot.org/uniprot/M5XMG7","M5XMG7")</f>
        <v>M5XMG7</v>
      </c>
      <c r="D13726" s="2" t="s">
        <v>10383</v>
      </c>
      <c r="E13726" s="3">
        <v>6.5799999999999998E-78</v>
      </c>
      <c r="F13726" s="2">
        <v>638</v>
      </c>
      <c r="G13726" s="2">
        <v>100</v>
      </c>
      <c r="H13726" s="2">
        <v>125</v>
      </c>
      <c r="I13726" s="2">
        <v>424</v>
      </c>
      <c r="J13726" s="2">
        <v>798</v>
      </c>
      <c r="K13726" s="2">
        <v>63</v>
      </c>
      <c r="L13726" s="2">
        <v>187</v>
      </c>
    </row>
    <row r="13727" spans="1:12" x14ac:dyDescent="0.25">
      <c r="A13727" s="4" t="str">
        <f>HYPERLINK("http://www.rosaceae.org/Prunus/Prunus_persica/p.persica_gdr_reftransV1_0013940","p.persica_gdr_reftransV1_0013940")</f>
        <v>p.persica_gdr_reftransV1_0013940</v>
      </c>
      <c r="B13727" s="2">
        <v>2111</v>
      </c>
      <c r="C13727" s="4" t="str">
        <f>HYPERLINK("http://www.uniprot.org/uniprot/M5XDE9","M5XDE9")</f>
        <v>M5XDE9</v>
      </c>
      <c r="D13727" s="2" t="s">
        <v>11254</v>
      </c>
      <c r="E13727" s="3">
        <v>0</v>
      </c>
      <c r="F13727" s="2">
        <v>1636</v>
      </c>
      <c r="G13727" s="2">
        <v>100</v>
      </c>
      <c r="H13727" s="2">
        <v>327</v>
      </c>
      <c r="I13727" s="2">
        <v>630</v>
      </c>
      <c r="J13727" s="2">
        <v>1610</v>
      </c>
      <c r="K13727" s="2">
        <v>1</v>
      </c>
      <c r="L13727" s="2">
        <v>327</v>
      </c>
    </row>
    <row r="13728" spans="1:12" x14ac:dyDescent="0.25">
      <c r="A13728" s="4" t="str">
        <f>HYPERLINK("http://www.rosaceae.org/Prunus/Prunus_persica/p.persica_gdr_reftransV1_0014290","p.persica_gdr_reftransV1_0014290")</f>
        <v>p.persica_gdr_reftransV1_0014290</v>
      </c>
      <c r="B13728" s="2">
        <v>674</v>
      </c>
      <c r="C13728" s="4" t="str">
        <f>HYPERLINK("http://www.uniprot.org/uniprot/F6H438","F6H438")</f>
        <v>F6H438</v>
      </c>
      <c r="D13728" s="2" t="s">
        <v>11255</v>
      </c>
      <c r="E13728" s="3">
        <v>2.44E-77</v>
      </c>
      <c r="F13728" s="2">
        <v>654</v>
      </c>
      <c r="G13728" s="2">
        <v>73</v>
      </c>
      <c r="H13728" s="2">
        <v>179</v>
      </c>
      <c r="I13728" s="2">
        <v>153</v>
      </c>
      <c r="J13728" s="2">
        <v>671</v>
      </c>
      <c r="K13728" s="2">
        <v>1</v>
      </c>
      <c r="L13728" s="2">
        <v>176</v>
      </c>
    </row>
    <row r="13729" spans="1:12" x14ac:dyDescent="0.25">
      <c r="A13729" s="4" t="str">
        <f>HYPERLINK("http://www.rosaceae.org/Prunus/Prunus_persica/p.persica_gdr_reftransV1_0015690","p.persica_gdr_reftransV1_0015690")</f>
        <v>p.persica_gdr_reftransV1_0015690</v>
      </c>
      <c r="B13729" s="2">
        <v>3583</v>
      </c>
      <c r="C13729" s="4" t="str">
        <f>HYPERLINK("http://www.uniprot.org/uniprot/M5W3M6","M5W3M6")</f>
        <v>M5W3M6</v>
      </c>
      <c r="D13729" s="2" t="s">
        <v>11256</v>
      </c>
      <c r="E13729" s="3">
        <v>0</v>
      </c>
      <c r="F13729" s="2">
        <v>4543</v>
      </c>
      <c r="G13729" s="2">
        <v>96</v>
      </c>
      <c r="H13729" s="2">
        <v>910</v>
      </c>
      <c r="I13729" s="2">
        <v>302</v>
      </c>
      <c r="J13729" s="2">
        <v>3031</v>
      </c>
      <c r="K13729" s="2">
        <v>1</v>
      </c>
      <c r="L13729" s="2">
        <v>874</v>
      </c>
    </row>
    <row r="13730" spans="1:12" x14ac:dyDescent="0.25">
      <c r="A13730" s="4" t="str">
        <f>HYPERLINK("http://www.rosaceae.org/Prunus/Prunus_persica/p.persica_gdr_reftransV1_0016040","p.persica_gdr_reftransV1_0016040")</f>
        <v>p.persica_gdr_reftransV1_0016040</v>
      </c>
      <c r="B13730" s="2">
        <v>2361</v>
      </c>
      <c r="C13730" s="4" t="str">
        <f>HYPERLINK("http://www.uniprot.org/uniprot/M5X4D7","M5X4D7")</f>
        <v>M5X4D7</v>
      </c>
      <c r="D13730" s="2" t="s">
        <v>11257</v>
      </c>
      <c r="E13730" s="3">
        <v>0</v>
      </c>
      <c r="F13730" s="2">
        <v>1413</v>
      </c>
      <c r="G13730" s="2">
        <v>100</v>
      </c>
      <c r="H13730" s="2">
        <v>289</v>
      </c>
      <c r="I13730" s="2">
        <v>59</v>
      </c>
      <c r="J13730" s="2">
        <v>925</v>
      </c>
      <c r="K13730" s="2">
        <v>1</v>
      </c>
      <c r="L13730" s="2">
        <v>289</v>
      </c>
    </row>
    <row r="13731" spans="1:12" x14ac:dyDescent="0.25">
      <c r="A13731" s="4" t="str">
        <f>HYPERLINK("http://www.rosaceae.org/Prunus/Prunus_persica/p.persica_gdr_reftransV1_0016390","p.persica_gdr_reftransV1_0016390")</f>
        <v>p.persica_gdr_reftransV1_0016390</v>
      </c>
      <c r="B13731" s="2">
        <v>2662</v>
      </c>
      <c r="C13731" s="4" t="str">
        <f>HYPERLINK("http://www.uniprot.org/uniprot/M5W3U8","M5W3U8")</f>
        <v>M5W3U8</v>
      </c>
      <c r="D13731" s="2" t="s">
        <v>11258</v>
      </c>
      <c r="E13731" s="3">
        <v>0</v>
      </c>
      <c r="F13731" s="2">
        <v>3002</v>
      </c>
      <c r="G13731" s="2">
        <v>100</v>
      </c>
      <c r="H13731" s="2">
        <v>668</v>
      </c>
      <c r="I13731" s="2">
        <v>190</v>
      </c>
      <c r="J13731" s="2">
        <v>2193</v>
      </c>
      <c r="K13731" s="2">
        <v>1</v>
      </c>
      <c r="L13731" s="2">
        <v>668</v>
      </c>
    </row>
    <row r="13732" spans="1:12" x14ac:dyDescent="0.25">
      <c r="A13732" s="4" t="str">
        <f>HYPERLINK("http://www.rosaceae.org/Prunus/Prunus_persica/p.persica_gdr_reftransV1_0017090","p.persica_gdr_reftransV1_0017090")</f>
        <v>p.persica_gdr_reftransV1_0017090</v>
      </c>
      <c r="B13732" s="2">
        <v>377</v>
      </c>
      <c r="C13732" s="4" t="str">
        <f>HYPERLINK("http://www.uniprot.org/uniprot/M5XJ55","M5XJ55")</f>
        <v>M5XJ55</v>
      </c>
      <c r="D13732" s="2" t="s">
        <v>6223</v>
      </c>
      <c r="E13732" s="3">
        <v>6.4299999999999996E-79</v>
      </c>
      <c r="F13732" s="2">
        <v>658</v>
      </c>
      <c r="G13732" s="2">
        <v>100</v>
      </c>
      <c r="H13732" s="2">
        <v>125</v>
      </c>
      <c r="I13732" s="2">
        <v>3</v>
      </c>
      <c r="J13732" s="2">
        <v>377</v>
      </c>
      <c r="K13732" s="2">
        <v>436</v>
      </c>
      <c r="L13732" s="2">
        <v>560</v>
      </c>
    </row>
    <row r="13733" spans="1:12" x14ac:dyDescent="0.25">
      <c r="A13733" s="4" t="str">
        <f>HYPERLINK("http://www.rosaceae.org/Prunus/Prunus_persica/p.persica_gdr_reftransV1_0018140","p.persica_gdr_reftransV1_0018140")</f>
        <v>p.persica_gdr_reftransV1_0018140</v>
      </c>
      <c r="B13733" s="2">
        <v>779</v>
      </c>
      <c r="C13733" s="4" t="str">
        <f>HYPERLINK("http://www.uniprot.org/uniprot/M5XE71","M5XE71")</f>
        <v>M5XE71</v>
      </c>
      <c r="D13733" s="2" t="s">
        <v>11259</v>
      </c>
      <c r="E13733" s="3">
        <v>6.4399999999999996E-63</v>
      </c>
      <c r="F13733" s="2">
        <v>520</v>
      </c>
      <c r="G13733" s="2">
        <v>100</v>
      </c>
      <c r="H13733" s="2">
        <v>121</v>
      </c>
      <c r="I13733" s="2">
        <v>122</v>
      </c>
      <c r="J13733" s="2">
        <v>484</v>
      </c>
      <c r="K13733" s="2">
        <v>1</v>
      </c>
      <c r="L13733" s="2">
        <v>121</v>
      </c>
    </row>
    <row r="13734" spans="1:12" x14ac:dyDescent="0.25">
      <c r="A13734" s="4" t="str">
        <f>HYPERLINK("http://www.rosaceae.org/Prunus/Prunus_persica/p.persica_gdr_reftransV1_0018490","p.persica_gdr_reftransV1_0018490")</f>
        <v>p.persica_gdr_reftransV1_0018490</v>
      </c>
      <c r="B13734" s="2">
        <v>1390</v>
      </c>
      <c r="C13734" s="4" t="str">
        <f>HYPERLINK("http://www.uniprot.org/uniprot/M5WGI8","M5WGI8")</f>
        <v>M5WGI8</v>
      </c>
      <c r="D13734" s="2" t="s">
        <v>11260</v>
      </c>
      <c r="E13734" s="3">
        <v>0</v>
      </c>
      <c r="F13734" s="2">
        <v>1538</v>
      </c>
      <c r="G13734" s="2">
        <v>100</v>
      </c>
      <c r="H13734" s="2">
        <v>287</v>
      </c>
      <c r="I13734" s="2">
        <v>133</v>
      </c>
      <c r="J13734" s="2">
        <v>993</v>
      </c>
      <c r="K13734" s="2">
        <v>1</v>
      </c>
      <c r="L13734" s="2">
        <v>287</v>
      </c>
    </row>
    <row r="13735" spans="1:12" x14ac:dyDescent="0.25">
      <c r="A13735" s="4" t="str">
        <f>HYPERLINK("http://www.rosaceae.org/Prunus/Prunus_persica/p.persica_gdr_reftransV1_0018840","p.persica_gdr_reftransV1_0018840")</f>
        <v>p.persica_gdr_reftransV1_0018840</v>
      </c>
      <c r="B13735" s="2">
        <v>3290</v>
      </c>
      <c r="C13735" s="4" t="str">
        <f>HYPERLINK("http://www.uniprot.org/uniprot/M5WM71","M5WM71")</f>
        <v>M5WM71</v>
      </c>
      <c r="D13735" s="2" t="s">
        <v>11261</v>
      </c>
      <c r="E13735" s="3">
        <v>0</v>
      </c>
      <c r="F13735" s="2">
        <v>4196</v>
      </c>
      <c r="G13735" s="2">
        <v>100</v>
      </c>
      <c r="H13735" s="2">
        <v>828</v>
      </c>
      <c r="I13735" s="2">
        <v>308</v>
      </c>
      <c r="J13735" s="2">
        <v>2791</v>
      </c>
      <c r="K13735" s="2">
        <v>176</v>
      </c>
      <c r="L13735" s="2">
        <v>1003</v>
      </c>
    </row>
    <row r="13736" spans="1:12" x14ac:dyDescent="0.25">
      <c r="A13736" s="4" t="str">
        <f>HYPERLINK("http://www.rosaceae.org/Prunus/Prunus_persica/p.persica_gdr_reftransV1_0019890","p.persica_gdr_reftransV1_0019890")</f>
        <v>p.persica_gdr_reftransV1_0019890</v>
      </c>
      <c r="B13736" s="2">
        <v>1572</v>
      </c>
      <c r="C13736" s="4" t="str">
        <f>HYPERLINK("http://www.uniprot.org/uniprot/M5W878","M5W878")</f>
        <v>M5W878</v>
      </c>
      <c r="D13736" s="2" t="s">
        <v>7384</v>
      </c>
      <c r="E13736" s="3">
        <v>0</v>
      </c>
      <c r="F13736" s="2">
        <v>2301</v>
      </c>
      <c r="G13736" s="2">
        <v>92</v>
      </c>
      <c r="H13736" s="2">
        <v>506</v>
      </c>
      <c r="I13736" s="2">
        <v>54</v>
      </c>
      <c r="J13736" s="2">
        <v>1571</v>
      </c>
      <c r="K13736" s="2">
        <v>1</v>
      </c>
      <c r="L13736" s="2">
        <v>465</v>
      </c>
    </row>
    <row r="13737" spans="1:12" x14ac:dyDescent="0.25">
      <c r="A13737" s="4" t="str">
        <f>HYPERLINK("http://www.rosaceae.org/Prunus/Prunus_persica/p.persica_gdr_reftransV1_0022340","p.persica_gdr_reftransV1_0022340")</f>
        <v>p.persica_gdr_reftransV1_0022340</v>
      </c>
      <c r="B13737" s="2">
        <v>446</v>
      </c>
      <c r="C13737" s="4" t="str">
        <f>HYPERLINK("http://www.uniprot.org/uniprot/M5WB12","M5WB12")</f>
        <v>M5WB12</v>
      </c>
      <c r="D13737" s="2" t="s">
        <v>11262</v>
      </c>
      <c r="E13737" s="3">
        <v>3.4199999999999998E-20</v>
      </c>
      <c r="F13737" s="2">
        <v>224</v>
      </c>
      <c r="G13737" s="2">
        <v>100</v>
      </c>
      <c r="H13737" s="2">
        <v>83</v>
      </c>
      <c r="I13737" s="2">
        <v>133</v>
      </c>
      <c r="J13737" s="2">
        <v>381</v>
      </c>
      <c r="K13737" s="2">
        <v>1</v>
      </c>
      <c r="L13737" s="2">
        <v>83</v>
      </c>
    </row>
    <row r="13738" spans="1:12" x14ac:dyDescent="0.25">
      <c r="A13738" s="4" t="str">
        <f>HYPERLINK("http://www.rosaceae.org/Prunus/Prunus_persica/p.persica_gdr_reftransV1_0025490","p.persica_gdr_reftransV1_0025490")</f>
        <v>p.persica_gdr_reftransV1_0025490</v>
      </c>
      <c r="B13738" s="2">
        <v>2033</v>
      </c>
      <c r="C13738" s="4" t="str">
        <f>HYPERLINK("http://www.uniprot.org/uniprot/M5W7W6","M5W7W6")</f>
        <v>M5W7W6</v>
      </c>
      <c r="D13738" s="2" t="s">
        <v>11263</v>
      </c>
      <c r="E13738" s="3">
        <v>0</v>
      </c>
      <c r="F13738" s="2">
        <v>2659</v>
      </c>
      <c r="G13738" s="2">
        <v>100</v>
      </c>
      <c r="H13738" s="2">
        <v>507</v>
      </c>
      <c r="I13738" s="2">
        <v>236</v>
      </c>
      <c r="J13738" s="2">
        <v>1756</v>
      </c>
      <c r="K13738" s="2">
        <v>1</v>
      </c>
      <c r="L13738" s="2">
        <v>507</v>
      </c>
    </row>
    <row r="13739" spans="1:12" x14ac:dyDescent="0.25">
      <c r="A13739" s="4" t="str">
        <f>HYPERLINK("http://www.rosaceae.org/Prunus/Prunus_persica/p.persica_gdr_reftransV1_0025840","p.persica_gdr_reftransV1_0025840")</f>
        <v>p.persica_gdr_reftransV1_0025840</v>
      </c>
      <c r="B13739" s="2">
        <v>1822</v>
      </c>
      <c r="C13739" s="4" t="str">
        <f>HYPERLINK("http://www.uniprot.org/uniprot/A0A023HJ68","A0A023HJ68")</f>
        <v>A0A023HJ68</v>
      </c>
      <c r="D13739" s="2" t="s">
        <v>11264</v>
      </c>
      <c r="E13739" s="3">
        <v>9.929999999999999E-125</v>
      </c>
      <c r="F13739" s="2">
        <v>971</v>
      </c>
      <c r="G13739" s="2">
        <v>100</v>
      </c>
      <c r="H13739" s="2">
        <v>181</v>
      </c>
      <c r="I13739" s="2">
        <v>329</v>
      </c>
      <c r="J13739" s="2">
        <v>871</v>
      </c>
      <c r="K13739" s="2">
        <v>1</v>
      </c>
      <c r="L13739" s="2">
        <v>181</v>
      </c>
    </row>
    <row r="13740" spans="1:12" x14ac:dyDescent="0.25">
      <c r="A13740" s="4" t="str">
        <f>HYPERLINK("http://www.rosaceae.org/Prunus/Prunus_persica/p.persica_gdr_reftransV1_0026890","p.persica_gdr_reftransV1_0026890")</f>
        <v>p.persica_gdr_reftransV1_0026890</v>
      </c>
      <c r="B13740" s="2">
        <v>4386</v>
      </c>
      <c r="C13740" s="4" t="str">
        <f>HYPERLINK("http://www.uniprot.org/uniprot/M5X098","M5X098")</f>
        <v>M5X098</v>
      </c>
      <c r="D13740" s="2" t="s">
        <v>11265</v>
      </c>
      <c r="E13740" s="3">
        <v>8.4800000000000002E-159</v>
      </c>
      <c r="F13740" s="2">
        <v>1263</v>
      </c>
      <c r="G13740" s="2">
        <v>100</v>
      </c>
      <c r="H13740" s="2">
        <v>239</v>
      </c>
      <c r="I13740" s="2">
        <v>199</v>
      </c>
      <c r="J13740" s="2">
        <v>915</v>
      </c>
      <c r="K13740" s="2">
        <v>1</v>
      </c>
      <c r="L13740" s="2">
        <v>239</v>
      </c>
    </row>
    <row r="13741" spans="1:12" x14ac:dyDescent="0.25">
      <c r="A13741" s="4" t="str">
        <f>HYPERLINK("http://www.rosaceae.org/Prunus/Prunus_persica/p.persica_gdr_reftransV1_0027590","p.persica_gdr_reftransV1_0027590")</f>
        <v>p.persica_gdr_reftransV1_0027590</v>
      </c>
      <c r="B13741" s="2">
        <v>4980</v>
      </c>
      <c r="C13741" s="4" t="str">
        <f>HYPERLINK("http://www.uniprot.org/uniprot/M5XKI5","M5XKI5")</f>
        <v>M5XKI5</v>
      </c>
      <c r="D13741" s="2" t="s">
        <v>11266</v>
      </c>
      <c r="E13741" s="3">
        <v>0</v>
      </c>
      <c r="F13741" s="2">
        <v>4852</v>
      </c>
      <c r="G13741" s="2">
        <v>100</v>
      </c>
      <c r="H13741" s="2">
        <v>918</v>
      </c>
      <c r="I13741" s="2">
        <v>1933</v>
      </c>
      <c r="J13741" s="2">
        <v>4686</v>
      </c>
      <c r="K13741" s="2">
        <v>1</v>
      </c>
      <c r="L13741" s="2">
        <v>918</v>
      </c>
    </row>
    <row r="13742" spans="1:12" x14ac:dyDescent="0.25">
      <c r="A13742" s="4" t="str">
        <f>HYPERLINK("http://www.rosaceae.org/Prunus/Prunus_persica/p.persica_gdr_reftransV1_0028990","p.persica_gdr_reftransV1_0028990")</f>
        <v>p.persica_gdr_reftransV1_0028990</v>
      </c>
      <c r="B13742" s="2">
        <v>2510</v>
      </c>
      <c r="C13742" s="4" t="str">
        <f>HYPERLINK("http://www.uniprot.org/uniprot/M5W6H5","M5W6H5")</f>
        <v>M5W6H5</v>
      </c>
      <c r="D13742" s="2" t="s">
        <v>11267</v>
      </c>
      <c r="E13742" s="3">
        <v>0</v>
      </c>
      <c r="F13742" s="2">
        <v>3096</v>
      </c>
      <c r="G13742" s="2">
        <v>100</v>
      </c>
      <c r="H13742" s="2">
        <v>625</v>
      </c>
      <c r="I13742" s="2">
        <v>312</v>
      </c>
      <c r="J13742" s="2">
        <v>2186</v>
      </c>
      <c r="K13742" s="2">
        <v>31</v>
      </c>
      <c r="L13742" s="2">
        <v>655</v>
      </c>
    </row>
    <row r="13743" spans="1:12" x14ac:dyDescent="0.25">
      <c r="A13743" s="4" t="str">
        <f>HYPERLINK("http://www.rosaceae.org/Prunus/Prunus_persica/p.persica_gdr_reftransV1_0029340","p.persica_gdr_reftransV1_0029340")</f>
        <v>p.persica_gdr_reftransV1_0029340</v>
      </c>
      <c r="B13743" s="2">
        <v>1453</v>
      </c>
      <c r="C13743" s="4" t="str">
        <f>HYPERLINK("http://www.uniprot.org/uniprot/M5WK54","M5WK54")</f>
        <v>M5WK54</v>
      </c>
      <c r="D13743" s="2" t="s">
        <v>11268</v>
      </c>
      <c r="E13743" s="3">
        <v>6.6899999999999997E-73</v>
      </c>
      <c r="F13743" s="2">
        <v>611</v>
      </c>
      <c r="G13743" s="2">
        <v>99</v>
      </c>
      <c r="H13743" s="2">
        <v>117</v>
      </c>
      <c r="I13743" s="2">
        <v>325</v>
      </c>
      <c r="J13743" s="2">
        <v>675</v>
      </c>
      <c r="K13743" s="2">
        <v>1</v>
      </c>
      <c r="L13743" s="2">
        <v>117</v>
      </c>
    </row>
    <row r="13744" spans="1:12" x14ac:dyDescent="0.25">
      <c r="A13744" s="4" t="str">
        <f>HYPERLINK("http://www.rosaceae.org/Prunus/Prunus_persica/p.persica_gdr_reftransV1_0032140","p.persica_gdr_reftransV1_0032140")</f>
        <v>p.persica_gdr_reftransV1_0032140</v>
      </c>
      <c r="B13744" s="2">
        <v>2381</v>
      </c>
      <c r="C13744" s="4" t="str">
        <f>HYPERLINK("http://www.uniprot.org/uniprot/M5W2P9","M5W2P9")</f>
        <v>M5W2P9</v>
      </c>
      <c r="D13744" s="2" t="s">
        <v>11269</v>
      </c>
      <c r="E13744" s="3">
        <v>0</v>
      </c>
      <c r="F13744" s="2">
        <v>2877</v>
      </c>
      <c r="G13744" s="2">
        <v>100</v>
      </c>
      <c r="H13744" s="2">
        <v>553</v>
      </c>
      <c r="I13744" s="2">
        <v>122</v>
      </c>
      <c r="J13744" s="2">
        <v>1780</v>
      </c>
      <c r="K13744" s="2">
        <v>25</v>
      </c>
      <c r="L13744" s="2">
        <v>577</v>
      </c>
    </row>
    <row r="13745" spans="1:12" x14ac:dyDescent="0.25">
      <c r="A13745" s="4" t="str">
        <f>HYPERLINK("http://www.rosaceae.org/Prunus/Prunus_persica/p.persica_gdr_reftransV1_0032840","p.persica_gdr_reftransV1_0032840")</f>
        <v>p.persica_gdr_reftransV1_0032840</v>
      </c>
      <c r="B13745" s="2">
        <v>1366</v>
      </c>
      <c r="C13745" s="4" t="str">
        <f>HYPERLINK("http://www.uniprot.org/uniprot/V4T5B5","V4T5B5")</f>
        <v>V4T5B5</v>
      </c>
      <c r="D13745" s="2" t="s">
        <v>11270</v>
      </c>
      <c r="E13745" s="3">
        <v>1.5700000000000001E-47</v>
      </c>
      <c r="F13745" s="2">
        <v>441</v>
      </c>
      <c r="G13745" s="2">
        <v>60</v>
      </c>
      <c r="H13745" s="2">
        <v>149</v>
      </c>
      <c r="I13745" s="2">
        <v>141</v>
      </c>
      <c r="J13745" s="2">
        <v>575</v>
      </c>
      <c r="K13745" s="2">
        <v>1</v>
      </c>
      <c r="L13745" s="2">
        <v>149</v>
      </c>
    </row>
    <row r="13746" spans="1:12" x14ac:dyDescent="0.25">
      <c r="A13746" s="4" t="str">
        <f>HYPERLINK("http://www.rosaceae.org/Prunus/Prunus_persica/p.persica_gdr_reftransV1_0036340","p.persica_gdr_reftransV1_0036340")</f>
        <v>p.persica_gdr_reftransV1_0036340</v>
      </c>
      <c r="B13746" s="2">
        <v>2910</v>
      </c>
      <c r="C13746" s="4" t="str">
        <f>HYPERLINK("http://www.uniprot.org/uniprot/M5XLY9","M5XLY9")</f>
        <v>M5XLY9</v>
      </c>
      <c r="D13746" s="2" t="s">
        <v>11271</v>
      </c>
      <c r="E13746" s="3">
        <v>0</v>
      </c>
      <c r="F13746" s="2">
        <v>2345</v>
      </c>
      <c r="G13746" s="2">
        <v>99</v>
      </c>
      <c r="H13746" s="2">
        <v>474</v>
      </c>
      <c r="I13746" s="2">
        <v>352</v>
      </c>
      <c r="J13746" s="2">
        <v>1773</v>
      </c>
      <c r="K13746" s="2">
        <v>1</v>
      </c>
      <c r="L13746" s="2">
        <v>474</v>
      </c>
    </row>
    <row r="13747" spans="1:12" x14ac:dyDescent="0.25">
      <c r="A13747" s="4" t="str">
        <f>HYPERLINK("http://www.rosaceae.org/Prunus/Prunus_persica/p.persica_gdr_reftransV1_0038090","p.persica_gdr_reftransV1_0038090")</f>
        <v>p.persica_gdr_reftransV1_0038090</v>
      </c>
      <c r="B13747" s="2">
        <v>4121</v>
      </c>
      <c r="C13747" s="4" t="str">
        <f>HYPERLINK("http://www.uniprot.org/uniprot/M5WTB1","M5WTB1")</f>
        <v>M5WTB1</v>
      </c>
      <c r="D13747" s="2" t="s">
        <v>11272</v>
      </c>
      <c r="E13747" s="3">
        <v>0</v>
      </c>
      <c r="F13747" s="2">
        <v>2768</v>
      </c>
      <c r="G13747" s="2">
        <v>83</v>
      </c>
      <c r="H13747" s="2">
        <v>635</v>
      </c>
      <c r="I13747" s="2">
        <v>515</v>
      </c>
      <c r="J13747" s="2">
        <v>2380</v>
      </c>
      <c r="K13747" s="2">
        <v>271</v>
      </c>
      <c r="L13747" s="2">
        <v>904</v>
      </c>
    </row>
    <row r="13748" spans="1:12" x14ac:dyDescent="0.25">
      <c r="A13748" s="4" t="str">
        <f>HYPERLINK("http://www.rosaceae.org/Prunus/Prunus_persica/p.persica_gdr_reftransV1_0039490","p.persica_gdr_reftransV1_0039490")</f>
        <v>p.persica_gdr_reftransV1_0039490</v>
      </c>
      <c r="B13748" s="2">
        <v>1763</v>
      </c>
      <c r="C13748" s="4" t="str">
        <f>HYPERLINK("http://www.uniprot.org/uniprot/M5WMP8","M5WMP8")</f>
        <v>M5WMP8</v>
      </c>
      <c r="D13748" s="2" t="s">
        <v>11273</v>
      </c>
      <c r="E13748" s="3">
        <v>5.6799999999999995E-110</v>
      </c>
      <c r="F13748" s="2">
        <v>882</v>
      </c>
      <c r="G13748" s="2">
        <v>100</v>
      </c>
      <c r="H13748" s="2">
        <v>167</v>
      </c>
      <c r="I13748" s="2">
        <v>1061</v>
      </c>
      <c r="J13748" s="2">
        <v>1561</v>
      </c>
      <c r="K13748" s="2">
        <v>1</v>
      </c>
      <c r="L13748" s="2">
        <v>167</v>
      </c>
    </row>
    <row r="13749" spans="1:12" x14ac:dyDescent="0.25">
      <c r="A13749" s="4" t="str">
        <f>HYPERLINK("http://www.rosaceae.org/Prunus/Prunus_persica/p.persica_gdr_reftransV1_0040540","p.persica_gdr_reftransV1_0040540")</f>
        <v>p.persica_gdr_reftransV1_0040540</v>
      </c>
      <c r="B13749" s="2">
        <v>1199</v>
      </c>
      <c r="C13749" s="4" t="str">
        <f>HYPERLINK("http://www.uniprot.org/uniprot/M5XCI2","M5XCI2")</f>
        <v>M5XCI2</v>
      </c>
      <c r="D13749" s="2" t="s">
        <v>11274</v>
      </c>
      <c r="E13749" s="3">
        <v>5.0600000000000001E-173</v>
      </c>
      <c r="F13749" s="2">
        <v>1283</v>
      </c>
      <c r="G13749" s="2">
        <v>98</v>
      </c>
      <c r="H13749" s="2">
        <v>255</v>
      </c>
      <c r="I13749" s="2">
        <v>36</v>
      </c>
      <c r="J13749" s="2">
        <v>800</v>
      </c>
      <c r="K13749" s="2">
        <v>1</v>
      </c>
      <c r="L13749" s="2">
        <v>251</v>
      </c>
    </row>
    <row r="13750" spans="1:12" x14ac:dyDescent="0.25">
      <c r="A13750" s="4" t="str">
        <f>HYPERLINK("http://www.rosaceae.org/Prunus/Prunus_persica/p.persica_gdr_reftransV1_0041940","p.persica_gdr_reftransV1_0041940")</f>
        <v>p.persica_gdr_reftransV1_0041940</v>
      </c>
      <c r="B13750" s="2">
        <v>2139</v>
      </c>
      <c r="C13750" s="4" t="str">
        <f>HYPERLINK("http://www.uniprot.org/uniprot/M5VQ72","M5VQ72")</f>
        <v>M5VQ72</v>
      </c>
      <c r="D13750" s="2" t="s">
        <v>11275</v>
      </c>
      <c r="E13750" s="3">
        <v>0</v>
      </c>
      <c r="F13750" s="2">
        <v>1406</v>
      </c>
      <c r="G13750" s="2">
        <v>100</v>
      </c>
      <c r="H13750" s="2">
        <v>293</v>
      </c>
      <c r="I13750" s="2">
        <v>1153</v>
      </c>
      <c r="J13750" s="2">
        <v>2031</v>
      </c>
      <c r="K13750" s="2">
        <v>1</v>
      </c>
      <c r="L13750" s="2">
        <v>293</v>
      </c>
    </row>
    <row r="13751" spans="1:12" x14ac:dyDescent="0.25">
      <c r="A13751" s="4" t="str">
        <f>HYPERLINK("http://www.rosaceae.org/Prunus/Prunus_persica/p.persica_gdr_reftransV1_0042640","p.persica_gdr_reftransV1_0042640")</f>
        <v>p.persica_gdr_reftransV1_0042640</v>
      </c>
      <c r="B13751" s="2">
        <v>1007</v>
      </c>
      <c r="C13751" s="4" t="str">
        <f>HYPERLINK("http://www.uniprot.org/uniprot/M5X2U5","M5X2U5")</f>
        <v>M5X2U5</v>
      </c>
      <c r="D13751" s="2" t="s">
        <v>11276</v>
      </c>
      <c r="E13751" s="3">
        <v>2.8000000000000001E-79</v>
      </c>
      <c r="F13751" s="2">
        <v>636</v>
      </c>
      <c r="G13751" s="2">
        <v>100</v>
      </c>
      <c r="H13751" s="2">
        <v>119</v>
      </c>
      <c r="I13751" s="2">
        <v>501</v>
      </c>
      <c r="J13751" s="2">
        <v>857</v>
      </c>
      <c r="K13751" s="2">
        <v>1</v>
      </c>
      <c r="L13751" s="2">
        <v>119</v>
      </c>
    </row>
    <row r="13752" spans="1:12" x14ac:dyDescent="0.25">
      <c r="A13752" s="4" t="str">
        <f>HYPERLINK("http://www.rosaceae.org/Prunus/Prunus_persica/p.persica_gdr_reftransV1_0043340","p.persica_gdr_reftransV1_0043340")</f>
        <v>p.persica_gdr_reftransV1_0043340</v>
      </c>
      <c r="B13752" s="2">
        <v>1085</v>
      </c>
      <c r="C13752" s="4" t="str">
        <f>HYPERLINK("http://www.uniprot.org/uniprot/M5XBA3","M5XBA3")</f>
        <v>M5XBA3</v>
      </c>
      <c r="D13752" s="2" t="s">
        <v>11277</v>
      </c>
      <c r="E13752" s="3">
        <v>1.78E-150</v>
      </c>
      <c r="F13752" s="2">
        <v>1124</v>
      </c>
      <c r="G13752" s="2">
        <v>100</v>
      </c>
      <c r="H13752" s="2">
        <v>266</v>
      </c>
      <c r="I13752" s="2">
        <v>48</v>
      </c>
      <c r="J13752" s="2">
        <v>845</v>
      </c>
      <c r="K13752" s="2">
        <v>1</v>
      </c>
      <c r="L13752" s="2">
        <v>266</v>
      </c>
    </row>
    <row r="13753" spans="1:12" x14ac:dyDescent="0.25">
      <c r="A13753" s="4" t="str">
        <f>HYPERLINK("http://www.rosaceae.org/Prunus/Prunus_persica/p.persica_gdr_reftransV1_0043690","p.persica_gdr_reftransV1_0043690")</f>
        <v>p.persica_gdr_reftransV1_0043690</v>
      </c>
      <c r="B13753" s="2">
        <v>1535</v>
      </c>
      <c r="C13753" s="4" t="str">
        <f>HYPERLINK("http://www.uniprot.org/uniprot/M5W0H8","M5W0H8")</f>
        <v>M5W0H8</v>
      </c>
      <c r="D13753" s="2" t="s">
        <v>8826</v>
      </c>
      <c r="E13753" s="3">
        <v>3.3599999999999999E-90</v>
      </c>
      <c r="F13753" s="2">
        <v>728</v>
      </c>
      <c r="G13753" s="2">
        <v>100</v>
      </c>
      <c r="H13753" s="2">
        <v>140</v>
      </c>
      <c r="I13753" s="2">
        <v>557</v>
      </c>
      <c r="J13753" s="2">
        <v>976</v>
      </c>
      <c r="K13753" s="2">
        <v>1</v>
      </c>
      <c r="L13753" s="2">
        <v>140</v>
      </c>
    </row>
    <row r="13754" spans="1:12" x14ac:dyDescent="0.25">
      <c r="A13754" s="4" t="str">
        <f>HYPERLINK("http://www.rosaceae.org/Prunus/Prunus_persica/p.persica_gdr_reftransV1_0044040","p.persica_gdr_reftransV1_0044040")</f>
        <v>p.persica_gdr_reftransV1_0044040</v>
      </c>
      <c r="B13754" s="2">
        <v>427</v>
      </c>
      <c r="C13754" s="4" t="str">
        <f>HYPERLINK("http://www.uniprot.org/uniprot/M5WUL0","M5WUL0")</f>
        <v>M5WUL0</v>
      </c>
      <c r="D13754" s="2" t="s">
        <v>7406</v>
      </c>
      <c r="E13754" s="3">
        <v>4.7700000000000002E-69</v>
      </c>
      <c r="F13754" s="2">
        <v>565</v>
      </c>
      <c r="G13754" s="2">
        <v>100</v>
      </c>
      <c r="H13754" s="2">
        <v>106</v>
      </c>
      <c r="I13754" s="2">
        <v>108</v>
      </c>
      <c r="J13754" s="2">
        <v>425</v>
      </c>
      <c r="K13754" s="2">
        <v>1</v>
      </c>
      <c r="L13754" s="2">
        <v>106</v>
      </c>
    </row>
    <row r="13755" spans="1:12" x14ac:dyDescent="0.25">
      <c r="A13755" s="4" t="str">
        <f>HYPERLINK("http://www.rosaceae.org/Prunus/Prunus_persica/p.persica_gdr_reftransV1_0044390","p.persica_gdr_reftransV1_0044390")</f>
        <v>p.persica_gdr_reftransV1_0044390</v>
      </c>
      <c r="B13755" s="2">
        <v>724</v>
      </c>
      <c r="C13755" s="4" t="str">
        <f>HYPERLINK("http://www.uniprot.org/uniprot/M5WEJ1","M5WEJ1")</f>
        <v>M5WEJ1</v>
      </c>
      <c r="D13755" s="2" t="s">
        <v>11278</v>
      </c>
      <c r="E13755" s="3">
        <v>6.0300000000000003E-57</v>
      </c>
      <c r="F13755" s="2">
        <v>476</v>
      </c>
      <c r="G13755" s="2">
        <v>100</v>
      </c>
      <c r="H13755" s="2">
        <v>91</v>
      </c>
      <c r="I13755" s="2">
        <v>61</v>
      </c>
      <c r="J13755" s="2">
        <v>333</v>
      </c>
      <c r="K13755" s="2">
        <v>1</v>
      </c>
      <c r="L13755" s="2">
        <v>91</v>
      </c>
    </row>
    <row r="13756" spans="1:12" x14ac:dyDescent="0.25">
      <c r="A13756" s="4" t="str">
        <f>HYPERLINK("http://www.rosaceae.org/Prunus/Prunus_persica/p.persica_gdr_reftransV1_0044740","p.persica_gdr_reftransV1_0044740")</f>
        <v>p.persica_gdr_reftransV1_0044740</v>
      </c>
      <c r="B13756" s="2">
        <v>1242</v>
      </c>
      <c r="C13756" s="4" t="str">
        <f>HYPERLINK("http://www.uniprot.org/uniprot/M5WMB7","M5WMB7")</f>
        <v>M5WMB7</v>
      </c>
      <c r="D13756" s="2" t="s">
        <v>6889</v>
      </c>
      <c r="E13756" s="3">
        <v>0</v>
      </c>
      <c r="F13756" s="2">
        <v>1518</v>
      </c>
      <c r="G13756" s="2">
        <v>100</v>
      </c>
      <c r="H13756" s="2">
        <v>279</v>
      </c>
      <c r="I13756" s="2">
        <v>37</v>
      </c>
      <c r="J13756" s="2">
        <v>873</v>
      </c>
      <c r="K13756" s="2">
        <v>509</v>
      </c>
      <c r="L13756" s="2">
        <v>787</v>
      </c>
    </row>
    <row r="13757" spans="1:12" x14ac:dyDescent="0.25">
      <c r="A13757" s="4" t="str">
        <f>HYPERLINK("http://www.rosaceae.org/Prunus/Prunus_persica/p.persica_gdr_reftransV1_0045440","p.persica_gdr_reftransV1_0045440")</f>
        <v>p.persica_gdr_reftransV1_0045440</v>
      </c>
      <c r="B13757" s="2">
        <v>1811</v>
      </c>
      <c r="C13757" s="4" t="str">
        <f>HYPERLINK("http://www.uniprot.org/uniprot/M5WZF4","M5WZF4")</f>
        <v>M5WZF4</v>
      </c>
      <c r="D13757" s="2" t="s">
        <v>11279</v>
      </c>
      <c r="E13757" s="3">
        <v>0</v>
      </c>
      <c r="F13757" s="2">
        <v>2324</v>
      </c>
      <c r="G13757" s="2">
        <v>100</v>
      </c>
      <c r="H13757" s="2">
        <v>454</v>
      </c>
      <c r="I13757" s="2">
        <v>105</v>
      </c>
      <c r="J13757" s="2">
        <v>1466</v>
      </c>
      <c r="K13757" s="2">
        <v>1</v>
      </c>
      <c r="L13757" s="2">
        <v>454</v>
      </c>
    </row>
    <row r="13758" spans="1:12" x14ac:dyDescent="0.25">
      <c r="A13758" s="4" t="str">
        <f>HYPERLINK("http://www.rosaceae.org/Prunus/Prunus_persica/p.persica_gdr_reftransV1_0045790","p.persica_gdr_reftransV1_0045790")</f>
        <v>p.persica_gdr_reftransV1_0045790</v>
      </c>
      <c r="B13758" s="2">
        <v>973</v>
      </c>
      <c r="C13758" s="4" t="str">
        <f>HYPERLINK("http://www.uniprot.org/uniprot/M5Y016","M5Y016")</f>
        <v>M5Y016</v>
      </c>
      <c r="D13758" s="2" t="s">
        <v>11280</v>
      </c>
      <c r="E13758" s="3">
        <v>1.1700000000000001E-146</v>
      </c>
      <c r="F13758" s="2">
        <v>1092</v>
      </c>
      <c r="G13758" s="2">
        <v>98</v>
      </c>
      <c r="H13758" s="2">
        <v>238</v>
      </c>
      <c r="I13758" s="2">
        <v>167</v>
      </c>
      <c r="J13758" s="2">
        <v>880</v>
      </c>
      <c r="K13758" s="2">
        <v>15</v>
      </c>
      <c r="L13758" s="2">
        <v>247</v>
      </c>
    </row>
    <row r="13759" spans="1:12" x14ac:dyDescent="0.25">
      <c r="A13759" s="4" t="str">
        <f>HYPERLINK("http://www.rosaceae.org/Prunus/Prunus_persica/p.persica_gdr_reftransV1_0046140","p.persica_gdr_reftransV1_0046140")</f>
        <v>p.persica_gdr_reftransV1_0046140</v>
      </c>
      <c r="B13759" s="2">
        <v>2182</v>
      </c>
      <c r="C13759" s="4" t="str">
        <f>HYPERLINK("http://www.uniprot.org/uniprot/M5X7T8","M5X7T8")</f>
        <v>M5X7T8</v>
      </c>
      <c r="D13759" s="2" t="s">
        <v>11281</v>
      </c>
      <c r="E13759" s="3">
        <v>0</v>
      </c>
      <c r="F13759" s="2">
        <v>2271</v>
      </c>
      <c r="G13759" s="2">
        <v>96</v>
      </c>
      <c r="H13759" s="2">
        <v>491</v>
      </c>
      <c r="I13759" s="2">
        <v>311</v>
      </c>
      <c r="J13759" s="2">
        <v>1783</v>
      </c>
      <c r="K13759" s="2">
        <v>1</v>
      </c>
      <c r="L13759" s="2">
        <v>490</v>
      </c>
    </row>
    <row r="13760" spans="1:12" x14ac:dyDescent="0.25">
      <c r="A13760" s="4" t="str">
        <f>HYPERLINK("http://www.rosaceae.org/Prunus/Prunus_persica/p.persica_gdr_reftransV1_0046840","p.persica_gdr_reftransV1_0046840")</f>
        <v>p.persica_gdr_reftransV1_0046840</v>
      </c>
      <c r="B13760" s="2">
        <v>2284</v>
      </c>
      <c r="C13760" s="4" t="str">
        <f>HYPERLINK("http://www.uniprot.org/uniprot/M5VVL7","M5VVL7")</f>
        <v>M5VVL7</v>
      </c>
      <c r="D13760" s="2" t="s">
        <v>11282</v>
      </c>
      <c r="E13760" s="3">
        <v>0</v>
      </c>
      <c r="F13760" s="2">
        <v>3371</v>
      </c>
      <c r="G13760" s="2">
        <v>95</v>
      </c>
      <c r="H13760" s="2">
        <v>689</v>
      </c>
      <c r="I13760" s="2">
        <v>216</v>
      </c>
      <c r="J13760" s="2">
        <v>2282</v>
      </c>
      <c r="K13760" s="2">
        <v>6</v>
      </c>
      <c r="L13760" s="2">
        <v>693</v>
      </c>
    </row>
    <row r="13761" spans="1:12" x14ac:dyDescent="0.25">
      <c r="A13761" s="4" t="str">
        <f>HYPERLINK("http://www.rosaceae.org/Prunus/Prunus_persica/p.persica_gdr_reftransV1_0047190","p.persica_gdr_reftransV1_0047190")</f>
        <v>p.persica_gdr_reftransV1_0047190</v>
      </c>
      <c r="B13761" s="2">
        <v>993</v>
      </c>
      <c r="C13761" s="4" t="str">
        <f>HYPERLINK("http://www.uniprot.org/uniprot/M5XYR4","M5XYR4")</f>
        <v>M5XYR4</v>
      </c>
      <c r="D13761" s="2" t="s">
        <v>11283</v>
      </c>
      <c r="E13761" s="3">
        <v>1.7E-131</v>
      </c>
      <c r="F13761" s="2">
        <v>990</v>
      </c>
      <c r="G13761" s="2">
        <v>100</v>
      </c>
      <c r="H13761" s="2">
        <v>215</v>
      </c>
      <c r="I13761" s="2">
        <v>252</v>
      </c>
      <c r="J13761" s="2">
        <v>896</v>
      </c>
      <c r="K13761" s="2">
        <v>1</v>
      </c>
      <c r="L13761" s="2">
        <v>215</v>
      </c>
    </row>
    <row r="13762" spans="1:12" x14ac:dyDescent="0.25">
      <c r="A13762" s="4" t="str">
        <f>HYPERLINK("http://www.rosaceae.org/Prunus/Prunus_persica/p.persica_gdr_reftransV1_0047890","p.persica_gdr_reftransV1_0047890")</f>
        <v>p.persica_gdr_reftransV1_0047890</v>
      </c>
      <c r="B13762" s="2">
        <v>826</v>
      </c>
      <c r="C13762" s="4" t="str">
        <f>HYPERLINK("http://www.uniprot.org/uniprot/M5XE30","M5XE30")</f>
        <v>M5XE30</v>
      </c>
      <c r="D13762" s="2" t="s">
        <v>11284</v>
      </c>
      <c r="E13762" s="3">
        <v>5.1900000000000004E-96</v>
      </c>
      <c r="F13762" s="2">
        <v>743</v>
      </c>
      <c r="G13762" s="2">
        <v>97</v>
      </c>
      <c r="H13762" s="2">
        <v>143</v>
      </c>
      <c r="I13762" s="2">
        <v>290</v>
      </c>
      <c r="J13762" s="2">
        <v>718</v>
      </c>
      <c r="K13762" s="2">
        <v>1</v>
      </c>
      <c r="L13762" s="2">
        <v>143</v>
      </c>
    </row>
    <row r="13763" spans="1:12" x14ac:dyDescent="0.25">
      <c r="A13763" s="4" t="str">
        <f>HYPERLINK("http://www.rosaceae.org/Prunus/Prunus_persica/p.persica_gdr_reftransV1_0048240","p.persica_gdr_reftransV1_0048240")</f>
        <v>p.persica_gdr_reftransV1_0048240</v>
      </c>
      <c r="B13763" s="2">
        <v>1082</v>
      </c>
      <c r="C13763" s="4" t="str">
        <f>HYPERLINK("http://www.uniprot.org/uniprot/M5WC84","M5WC84")</f>
        <v>M5WC84</v>
      </c>
      <c r="D13763" s="2" t="s">
        <v>11285</v>
      </c>
      <c r="E13763" s="3">
        <v>0</v>
      </c>
      <c r="F13763" s="2">
        <v>1503</v>
      </c>
      <c r="G13763" s="2">
        <v>100</v>
      </c>
      <c r="H13763" s="2">
        <v>283</v>
      </c>
      <c r="I13763" s="2">
        <v>117</v>
      </c>
      <c r="J13763" s="2">
        <v>965</v>
      </c>
      <c r="K13763" s="2">
        <v>1</v>
      </c>
      <c r="L13763" s="2">
        <v>283</v>
      </c>
    </row>
    <row r="13764" spans="1:12" x14ac:dyDescent="0.25">
      <c r="A13764" s="4" t="str">
        <f>HYPERLINK("http://www.rosaceae.org/Prunus/Prunus_persica/p.persica_gdr_reftransV1_0048590","p.persica_gdr_reftransV1_0048590")</f>
        <v>p.persica_gdr_reftransV1_0048590</v>
      </c>
      <c r="B13764" s="2">
        <v>1064</v>
      </c>
      <c r="C13764" s="4" t="str">
        <f>HYPERLINK("http://www.uniprot.org/uniprot/M5WM12","M5WM12")</f>
        <v>M5WM12</v>
      </c>
      <c r="D13764" s="2" t="s">
        <v>11286</v>
      </c>
      <c r="E13764" s="3">
        <v>1.3499999999999999E-139</v>
      </c>
      <c r="F13764" s="2">
        <v>1095</v>
      </c>
      <c r="G13764" s="2">
        <v>100</v>
      </c>
      <c r="H13764" s="2">
        <v>253</v>
      </c>
      <c r="I13764" s="2">
        <v>66</v>
      </c>
      <c r="J13764" s="2">
        <v>824</v>
      </c>
      <c r="K13764" s="2">
        <v>1</v>
      </c>
      <c r="L13764" s="2">
        <v>253</v>
      </c>
    </row>
    <row r="13765" spans="1:12" x14ac:dyDescent="0.25">
      <c r="A13765" s="4" t="str">
        <f>HYPERLINK("http://www.rosaceae.org/Prunus/Prunus_persica/p.persica_gdr_reftransV1_0048940","p.persica_gdr_reftransV1_0048940")</f>
        <v>p.persica_gdr_reftransV1_0048940</v>
      </c>
      <c r="B13765" s="2">
        <v>3389</v>
      </c>
      <c r="C13765" s="4" t="str">
        <f>HYPERLINK("http://www.uniprot.org/uniprot/M5VLS4","M5VLS4")</f>
        <v>M5VLS4</v>
      </c>
      <c r="D13765" s="2" t="s">
        <v>11287</v>
      </c>
      <c r="E13765" s="3">
        <v>1.81E-114</v>
      </c>
      <c r="F13765" s="2">
        <v>932</v>
      </c>
      <c r="G13765" s="2">
        <v>98</v>
      </c>
      <c r="H13765" s="2">
        <v>180</v>
      </c>
      <c r="I13765" s="2">
        <v>2537</v>
      </c>
      <c r="J13765" s="2">
        <v>3076</v>
      </c>
      <c r="K13765" s="2">
        <v>40</v>
      </c>
      <c r="L13765" s="2">
        <v>219</v>
      </c>
    </row>
    <row r="13766" spans="1:12" x14ac:dyDescent="0.25">
      <c r="A13766" s="4" t="str">
        <f>HYPERLINK("http://www.rosaceae.org/Prunus/Prunus_persica/p.persica_gdr_reftransV1_0000029","p.persica_gdr_reftransV1_0000029")</f>
        <v>p.persica_gdr_reftransV1_0000029</v>
      </c>
      <c r="B13766" s="2">
        <v>1874</v>
      </c>
      <c r="C13766" s="4" t="str">
        <f>HYPERLINK("http://www.uniprot.org/uniprot/M5Y3K6","M5Y3K6")</f>
        <v>M5Y3K6</v>
      </c>
      <c r="D13766" s="2" t="s">
        <v>11288</v>
      </c>
      <c r="E13766" s="3">
        <v>0</v>
      </c>
      <c r="F13766" s="2">
        <v>1502</v>
      </c>
      <c r="G13766" s="2">
        <v>100</v>
      </c>
      <c r="H13766" s="2">
        <v>385</v>
      </c>
      <c r="I13766" s="2">
        <v>126</v>
      </c>
      <c r="J13766" s="2">
        <v>1280</v>
      </c>
      <c r="K13766" s="2">
        <v>1</v>
      </c>
      <c r="L13766" s="2">
        <v>385</v>
      </c>
    </row>
    <row r="13767" spans="1:12" x14ac:dyDescent="0.25">
      <c r="A13767" s="4" t="str">
        <f>HYPERLINK("http://www.rosaceae.org/Prunus/Prunus_persica/p.persica_gdr_reftransV1_0000379","p.persica_gdr_reftransV1_0000379")</f>
        <v>p.persica_gdr_reftransV1_0000379</v>
      </c>
      <c r="B13767" s="2">
        <v>1077</v>
      </c>
      <c r="C13767" s="4" t="str">
        <f>HYPERLINK("http://www.uniprot.org/uniprot/M5WA05","M5WA05")</f>
        <v>M5WA05</v>
      </c>
      <c r="D13767" s="2" t="s">
        <v>11289</v>
      </c>
      <c r="E13767" s="3">
        <v>0</v>
      </c>
      <c r="F13767" s="2">
        <v>1461</v>
      </c>
      <c r="G13767" s="2">
        <v>87</v>
      </c>
      <c r="H13767" s="2">
        <v>326</v>
      </c>
      <c r="I13767" s="2">
        <v>55</v>
      </c>
      <c r="J13767" s="2">
        <v>1032</v>
      </c>
      <c r="K13767" s="2">
        <v>8</v>
      </c>
      <c r="L13767" s="2">
        <v>298</v>
      </c>
    </row>
    <row r="13768" spans="1:12" x14ac:dyDescent="0.25">
      <c r="A13768" s="4" t="str">
        <f>HYPERLINK("http://www.rosaceae.org/Prunus/Prunus_persica/p.persica_gdr_reftransV1_0000729","p.persica_gdr_reftransV1_0000729")</f>
        <v>p.persica_gdr_reftransV1_0000729</v>
      </c>
      <c r="B13768" s="2">
        <v>3258</v>
      </c>
      <c r="C13768" s="4" t="str">
        <f>HYPERLINK("http://www.uniprot.org/uniprot/M5WQP6","M5WQP6")</f>
        <v>M5WQP6</v>
      </c>
      <c r="D13768" s="2" t="s">
        <v>6309</v>
      </c>
      <c r="E13768" s="3">
        <v>0</v>
      </c>
      <c r="F13768" s="2">
        <v>2434</v>
      </c>
      <c r="G13768" s="2">
        <v>100</v>
      </c>
      <c r="H13768" s="2">
        <v>458</v>
      </c>
      <c r="I13768" s="2">
        <v>612</v>
      </c>
      <c r="J13768" s="2">
        <v>1985</v>
      </c>
      <c r="K13768" s="2">
        <v>1</v>
      </c>
      <c r="L13768" s="2">
        <v>458</v>
      </c>
    </row>
    <row r="13769" spans="1:12" x14ac:dyDescent="0.25">
      <c r="A13769" s="4" t="str">
        <f>HYPERLINK("http://www.rosaceae.org/Prunus/Prunus_persica/p.persica_gdr_reftransV1_0001429","p.persica_gdr_reftransV1_0001429")</f>
        <v>p.persica_gdr_reftransV1_0001429</v>
      </c>
      <c r="B13769" s="2">
        <v>1779</v>
      </c>
      <c r="C13769" s="4" t="str">
        <f>HYPERLINK("http://www.uniprot.org/uniprot/M5X5C8","M5X5C8")</f>
        <v>M5X5C8</v>
      </c>
      <c r="D13769" s="2" t="s">
        <v>9340</v>
      </c>
      <c r="E13769" s="3">
        <v>0</v>
      </c>
      <c r="F13769" s="2">
        <v>1914</v>
      </c>
      <c r="G13769" s="2">
        <v>100</v>
      </c>
      <c r="H13769" s="2">
        <v>360</v>
      </c>
      <c r="I13769" s="2">
        <v>655</v>
      </c>
      <c r="J13769" s="2">
        <v>1734</v>
      </c>
      <c r="K13769" s="2">
        <v>1</v>
      </c>
      <c r="L13769" s="2">
        <v>360</v>
      </c>
    </row>
    <row r="13770" spans="1:12" x14ac:dyDescent="0.25">
      <c r="A13770" s="4" t="str">
        <f>HYPERLINK("http://www.rosaceae.org/Prunus/Prunus_persica/p.persica_gdr_reftransV1_0001779","p.persica_gdr_reftransV1_0001779")</f>
        <v>p.persica_gdr_reftransV1_0001779</v>
      </c>
      <c r="B13770" s="2">
        <v>618</v>
      </c>
      <c r="C13770" s="4" t="str">
        <f>HYPERLINK("http://www.uniprot.org/uniprot/M5W834","M5W834")</f>
        <v>M5W834</v>
      </c>
      <c r="D13770" s="2" t="s">
        <v>6032</v>
      </c>
      <c r="E13770" s="3">
        <v>1.5900000000000001E-144</v>
      </c>
      <c r="F13770" s="2">
        <v>1092</v>
      </c>
      <c r="G13770" s="2">
        <v>100</v>
      </c>
      <c r="H13770" s="2">
        <v>205</v>
      </c>
      <c r="I13770" s="2">
        <v>3</v>
      </c>
      <c r="J13770" s="2">
        <v>617</v>
      </c>
      <c r="K13770" s="2">
        <v>29</v>
      </c>
      <c r="L13770" s="2">
        <v>233</v>
      </c>
    </row>
    <row r="13771" spans="1:12" x14ac:dyDescent="0.25">
      <c r="A13771" s="4" t="str">
        <f>HYPERLINK("http://www.rosaceae.org/Prunus/Prunus_persica/p.persica_gdr_reftransV1_0002129","p.persica_gdr_reftransV1_0002129")</f>
        <v>p.persica_gdr_reftransV1_0002129</v>
      </c>
      <c r="B13771" s="2">
        <v>1189</v>
      </c>
      <c r="C13771" s="4" t="str">
        <f>HYPERLINK("http://www.uniprot.org/uniprot/M5X2F7","M5X2F7")</f>
        <v>M5X2F7</v>
      </c>
      <c r="D13771" s="2" t="s">
        <v>11290</v>
      </c>
      <c r="E13771" s="3">
        <v>1.05E-108</v>
      </c>
      <c r="F13771" s="2">
        <v>845</v>
      </c>
      <c r="G13771" s="2">
        <v>100</v>
      </c>
      <c r="H13771" s="2">
        <v>201</v>
      </c>
      <c r="I13771" s="2">
        <v>135</v>
      </c>
      <c r="J13771" s="2">
        <v>737</v>
      </c>
      <c r="K13771" s="2">
        <v>1</v>
      </c>
      <c r="L13771" s="2">
        <v>201</v>
      </c>
    </row>
    <row r="13772" spans="1:12" x14ac:dyDescent="0.25">
      <c r="A13772" s="4" t="str">
        <f>HYPERLINK("http://www.rosaceae.org/Prunus/Prunus_persica/p.persica_gdr_reftransV1_0002479","p.persica_gdr_reftransV1_0002479")</f>
        <v>p.persica_gdr_reftransV1_0002479</v>
      </c>
      <c r="B13772" s="2">
        <v>2410</v>
      </c>
      <c r="C13772" s="4" t="str">
        <f>HYPERLINK("http://www.uniprot.org/uniprot/M5X001","M5X001")</f>
        <v>M5X001</v>
      </c>
      <c r="D13772" s="2" t="s">
        <v>7505</v>
      </c>
      <c r="E13772" s="3">
        <v>0</v>
      </c>
      <c r="F13772" s="2">
        <v>3993</v>
      </c>
      <c r="G13772" s="2">
        <v>100</v>
      </c>
      <c r="H13772" s="2">
        <v>778</v>
      </c>
      <c r="I13772" s="2">
        <v>76</v>
      </c>
      <c r="J13772" s="2">
        <v>2409</v>
      </c>
      <c r="K13772" s="2">
        <v>1</v>
      </c>
      <c r="L13772" s="2">
        <v>778</v>
      </c>
    </row>
    <row r="13773" spans="1:12" x14ac:dyDescent="0.25">
      <c r="A13773" s="4" t="str">
        <f>HYPERLINK("http://www.rosaceae.org/Prunus/Prunus_persica/p.persica_gdr_reftransV1_0002829","p.persica_gdr_reftransV1_0002829")</f>
        <v>p.persica_gdr_reftransV1_0002829</v>
      </c>
      <c r="B13773" s="2">
        <v>4049</v>
      </c>
      <c r="C13773" s="4" t="str">
        <f>HYPERLINK("http://www.uniprot.org/uniprot/M5Vid3","M5Vid3")</f>
        <v>M5Vid3</v>
      </c>
      <c r="D13773" s="2" t="s">
        <v>1682</v>
      </c>
      <c r="E13773" s="3">
        <v>0</v>
      </c>
      <c r="F13773" s="2">
        <v>5307</v>
      </c>
      <c r="G13773" s="2">
        <v>98</v>
      </c>
      <c r="H13773" s="2">
        <v>1209</v>
      </c>
      <c r="I13773" s="2">
        <v>364</v>
      </c>
      <c r="J13773" s="2">
        <v>3966</v>
      </c>
      <c r="K13773" s="2">
        <v>1</v>
      </c>
      <c r="L13773" s="2">
        <v>1208</v>
      </c>
    </row>
    <row r="13774" spans="1:12" x14ac:dyDescent="0.25">
      <c r="A13774" s="4" t="str">
        <f>HYPERLINK("http://www.rosaceae.org/Prunus/Prunus_persica/p.persica_gdr_reftransV1_0003879","p.persica_gdr_reftransV1_0003879")</f>
        <v>p.persica_gdr_reftransV1_0003879</v>
      </c>
      <c r="B13774" s="2">
        <v>531</v>
      </c>
      <c r="C13774" s="4" t="str">
        <f>HYPERLINK("http://www.uniprot.org/uniprot/M5WUT0","M5WUT0")</f>
        <v>M5WUT0</v>
      </c>
      <c r="D13774" s="2" t="s">
        <v>11291</v>
      </c>
      <c r="E13774" s="3">
        <v>1.15E-14</v>
      </c>
      <c r="F13774" s="2">
        <v>180</v>
      </c>
      <c r="G13774" s="2">
        <v>100</v>
      </c>
      <c r="H13774" s="2">
        <v>53</v>
      </c>
      <c r="I13774" s="2">
        <v>116</v>
      </c>
      <c r="J13774" s="2">
        <v>274</v>
      </c>
      <c r="K13774" s="2">
        <v>200</v>
      </c>
      <c r="L13774" s="2">
        <v>252</v>
      </c>
    </row>
    <row r="13775" spans="1:12" x14ac:dyDescent="0.25">
      <c r="A13775" s="4" t="str">
        <f>HYPERLINK("http://www.rosaceae.org/Prunus/Prunus_persica/p.persica_gdr_reftransV1_0004229","p.persica_gdr_reftransV1_0004229")</f>
        <v>p.persica_gdr_reftransV1_0004229</v>
      </c>
      <c r="B13775" s="2">
        <v>1246</v>
      </c>
      <c r="C13775" s="4" t="str">
        <f>HYPERLINK("http://www.uniprot.org/uniprot/D7UC21","D7UC21")</f>
        <v>D7UC21</v>
      </c>
      <c r="D13775" s="2" t="s">
        <v>11292</v>
      </c>
      <c r="E13775" s="3">
        <v>3.08E-81</v>
      </c>
      <c r="F13775" s="2">
        <v>514</v>
      </c>
      <c r="G13775" s="2">
        <v>72</v>
      </c>
      <c r="H13775" s="2">
        <v>140</v>
      </c>
      <c r="I13775" s="2">
        <v>423</v>
      </c>
      <c r="J13775" s="2">
        <v>839</v>
      </c>
      <c r="K13775" s="2">
        <v>136</v>
      </c>
      <c r="L13775" s="2">
        <v>275</v>
      </c>
    </row>
    <row r="13776" spans="1:12" x14ac:dyDescent="0.25">
      <c r="A13776" s="4" t="str">
        <f>HYPERLINK("http://www.rosaceae.org/Prunus/Prunus_persica/p.persica_gdr_reftransV1_0004929","p.persica_gdr_reftransV1_0004929")</f>
        <v>p.persica_gdr_reftransV1_0004929</v>
      </c>
      <c r="B13776" s="2">
        <v>604</v>
      </c>
      <c r="C13776" s="4" t="str">
        <f>HYPERLINK("http://www.uniprot.org/uniprot/M5VQE0","M5VQE0")</f>
        <v>M5VQE0</v>
      </c>
      <c r="D13776" s="2" t="s">
        <v>11004</v>
      </c>
      <c r="E13776" s="3">
        <v>5.4200000000000001E-123</v>
      </c>
      <c r="F13776" s="2">
        <v>933</v>
      </c>
      <c r="G13776" s="2">
        <v>100</v>
      </c>
      <c r="H13776" s="2">
        <v>201</v>
      </c>
      <c r="I13776" s="2">
        <v>1</v>
      </c>
      <c r="J13776" s="2">
        <v>603</v>
      </c>
      <c r="K13776" s="2">
        <v>127</v>
      </c>
      <c r="L13776" s="2">
        <v>327</v>
      </c>
    </row>
    <row r="13777" spans="1:12" x14ac:dyDescent="0.25">
      <c r="A13777" s="4" t="str">
        <f>HYPERLINK("http://www.rosaceae.org/Prunus/Prunus_persica/p.persica_gdr_reftransV1_0005279","p.persica_gdr_reftransV1_0005279")</f>
        <v>p.persica_gdr_reftransV1_0005279</v>
      </c>
      <c r="B13777" s="2">
        <v>3266</v>
      </c>
      <c r="C13777" s="4" t="str">
        <f>HYPERLINK("http://www.uniprot.org/uniprot/M5WMC5","M5WMC5")</f>
        <v>M5WMC5</v>
      </c>
      <c r="D13777" s="2" t="s">
        <v>10182</v>
      </c>
      <c r="E13777" s="3">
        <v>8.2100000000000001E-159</v>
      </c>
      <c r="F13777" s="2">
        <v>1256</v>
      </c>
      <c r="G13777" s="2">
        <v>100</v>
      </c>
      <c r="H13777" s="2">
        <v>250</v>
      </c>
      <c r="I13777" s="2">
        <v>1751</v>
      </c>
      <c r="J13777" s="2">
        <v>2500</v>
      </c>
      <c r="K13777" s="2">
        <v>1</v>
      </c>
      <c r="L13777" s="2">
        <v>250</v>
      </c>
    </row>
    <row r="13778" spans="1:12" x14ac:dyDescent="0.25">
      <c r="A13778" s="4" t="str">
        <f>HYPERLINK("http://www.rosaceae.org/Prunus/Prunus_persica/p.persica_gdr_reftransV1_0005979","p.persica_gdr_reftransV1_0005979")</f>
        <v>p.persica_gdr_reftransV1_0005979</v>
      </c>
      <c r="B13778" s="2">
        <v>687</v>
      </c>
      <c r="C13778" s="4" t="str">
        <f>HYPERLINK("http://www.uniprot.org/uniprot/M5Y1Z1","M5Y1Z1")</f>
        <v>M5Y1Z1</v>
      </c>
      <c r="D13778" s="2" t="s">
        <v>11293</v>
      </c>
      <c r="E13778" s="3">
        <v>9.0200000000000005E-51</v>
      </c>
      <c r="F13778" s="2">
        <v>435</v>
      </c>
      <c r="G13778" s="2">
        <v>100</v>
      </c>
      <c r="H13778" s="2">
        <v>110</v>
      </c>
      <c r="I13778" s="2">
        <v>205</v>
      </c>
      <c r="J13778" s="2">
        <v>534</v>
      </c>
      <c r="K13778" s="2">
        <v>1</v>
      </c>
      <c r="L13778" s="2">
        <v>110</v>
      </c>
    </row>
    <row r="13779" spans="1:12" x14ac:dyDescent="0.25">
      <c r="A13779" s="4" t="str">
        <f>HYPERLINK("http://www.rosaceae.org/Prunus/Prunus_persica/p.persica_gdr_reftransV1_0006329","p.persica_gdr_reftransV1_0006329")</f>
        <v>p.persica_gdr_reftransV1_0006329</v>
      </c>
      <c r="B13779" s="2">
        <v>642</v>
      </c>
      <c r="C13779" s="4" t="str">
        <f>HYPERLINK("http://www.uniprot.org/uniprot/M5WSV4","M5WSV4")</f>
        <v>M5WSV4</v>
      </c>
      <c r="D13779" s="2" t="s">
        <v>11294</v>
      </c>
      <c r="E13779" s="3">
        <v>2.44E-116</v>
      </c>
      <c r="F13779" s="2">
        <v>892</v>
      </c>
      <c r="G13779" s="2">
        <v>100</v>
      </c>
      <c r="H13779" s="2">
        <v>165</v>
      </c>
      <c r="I13779" s="2">
        <v>3</v>
      </c>
      <c r="J13779" s="2">
        <v>497</v>
      </c>
      <c r="K13779" s="2">
        <v>189</v>
      </c>
      <c r="L13779" s="2">
        <v>353</v>
      </c>
    </row>
    <row r="13780" spans="1:12" x14ac:dyDescent="0.25">
      <c r="A13780" s="4" t="str">
        <f>HYPERLINK("http://www.rosaceae.org/Prunus/Prunus_persica/p.persica_gdr_reftransV1_0007029","p.persica_gdr_reftransV1_0007029")</f>
        <v>p.persica_gdr_reftransV1_0007029</v>
      </c>
      <c r="B13780" s="2">
        <v>1843</v>
      </c>
      <c r="C13780" s="4" t="str">
        <f>HYPERLINK("http://www.uniprot.org/uniprot/M5X2D9","M5X2D9")</f>
        <v>M5X2D9</v>
      </c>
      <c r="D13780" s="2" t="s">
        <v>11295</v>
      </c>
      <c r="E13780" s="3">
        <v>0</v>
      </c>
      <c r="F13780" s="2">
        <v>2474</v>
      </c>
      <c r="G13780" s="2">
        <v>100</v>
      </c>
      <c r="H13780" s="2">
        <v>493</v>
      </c>
      <c r="I13780" s="2">
        <v>251</v>
      </c>
      <c r="J13780" s="2">
        <v>1729</v>
      </c>
      <c r="K13780" s="2">
        <v>1</v>
      </c>
      <c r="L13780" s="2">
        <v>493</v>
      </c>
    </row>
    <row r="13781" spans="1:12" x14ac:dyDescent="0.25">
      <c r="A13781" s="4" t="str">
        <f>HYPERLINK("http://www.rosaceae.org/Prunus/Prunus_persica/p.persica_gdr_reftransV1_0008079","p.persica_gdr_reftransV1_0008079")</f>
        <v>p.persica_gdr_reftransV1_0008079</v>
      </c>
      <c r="B13781" s="2">
        <v>1576</v>
      </c>
      <c r="C13781" s="4" t="str">
        <f>HYPERLINK("http://www.uniprot.org/uniprot/M5WN37","M5WN37")</f>
        <v>M5WN37</v>
      </c>
      <c r="D13781" s="2" t="s">
        <v>11296</v>
      </c>
      <c r="E13781" s="3">
        <v>0</v>
      </c>
      <c r="F13781" s="2">
        <v>2329</v>
      </c>
      <c r="G13781" s="2">
        <v>100</v>
      </c>
      <c r="H13781" s="2">
        <v>445</v>
      </c>
      <c r="I13781" s="2">
        <v>40</v>
      </c>
      <c r="J13781" s="2">
        <v>1374</v>
      </c>
      <c r="K13781" s="2">
        <v>1</v>
      </c>
      <c r="L13781" s="2">
        <v>445</v>
      </c>
    </row>
    <row r="13782" spans="1:12" x14ac:dyDescent="0.25">
      <c r="A13782" s="4" t="str">
        <f>HYPERLINK("http://www.rosaceae.org/Prunus/Prunus_persica/p.persica_gdr_reftransV1_0009479","p.persica_gdr_reftransV1_0009479")</f>
        <v>p.persica_gdr_reftransV1_0009479</v>
      </c>
      <c r="B13782" s="2">
        <v>1077</v>
      </c>
      <c r="C13782" s="4" t="str">
        <f>HYPERLINK("http://www.uniprot.org/uniprot/M5WAV0","M5WAV0")</f>
        <v>M5WAV0</v>
      </c>
      <c r="D13782" s="2" t="s">
        <v>11297</v>
      </c>
      <c r="E13782" s="3">
        <v>1.51E-89</v>
      </c>
      <c r="F13782" s="2">
        <v>712</v>
      </c>
      <c r="G13782" s="2">
        <v>100</v>
      </c>
      <c r="H13782" s="2">
        <v>177</v>
      </c>
      <c r="I13782" s="2">
        <v>285</v>
      </c>
      <c r="J13782" s="2">
        <v>815</v>
      </c>
      <c r="K13782" s="2">
        <v>1</v>
      </c>
      <c r="L13782" s="2">
        <v>177</v>
      </c>
    </row>
    <row r="13783" spans="1:12" x14ac:dyDescent="0.25">
      <c r="A13783" s="4" t="str">
        <f>HYPERLINK("http://www.rosaceae.org/Prunus/Prunus_persica/p.persica_gdr_reftransV1_0009829","p.persica_gdr_reftransV1_0009829")</f>
        <v>p.persica_gdr_reftransV1_0009829</v>
      </c>
      <c r="B13783" s="2">
        <v>3057</v>
      </c>
      <c r="C13783" s="4" t="str">
        <f>HYPERLINK("http://www.uniprot.org/uniprot/X2G4W7","X2G4W7")</f>
        <v>X2G4W7</v>
      </c>
      <c r="D13783" s="2" t="s">
        <v>11298</v>
      </c>
      <c r="E13783" s="3">
        <v>0</v>
      </c>
      <c r="F13783" s="2">
        <v>1659</v>
      </c>
      <c r="G13783" s="2">
        <v>100</v>
      </c>
      <c r="H13783" s="2">
        <v>320</v>
      </c>
      <c r="I13783" s="2">
        <v>860</v>
      </c>
      <c r="J13783" s="2">
        <v>1819</v>
      </c>
      <c r="K13783" s="2">
        <v>1</v>
      </c>
      <c r="L13783" s="2">
        <v>320</v>
      </c>
    </row>
    <row r="13784" spans="1:12" x14ac:dyDescent="0.25">
      <c r="A13784" s="4" t="str">
        <f>HYPERLINK("http://www.rosaceae.org/Prunus/Prunus_persica/p.persica_gdr_reftransV1_0010529","p.persica_gdr_reftransV1_0010529")</f>
        <v>p.persica_gdr_reftransV1_0010529</v>
      </c>
      <c r="B13784" s="2">
        <v>749</v>
      </c>
      <c r="C13784" s="4" t="str">
        <f>HYPERLINK("http://www.uniprot.org/uniprot/M5W3P8","M5W3P8")</f>
        <v>M5W3P8</v>
      </c>
      <c r="D13784" s="2" t="s">
        <v>11299</v>
      </c>
      <c r="E13784" s="3">
        <v>2.5000000000000001E-92</v>
      </c>
      <c r="F13784" s="2">
        <v>718</v>
      </c>
      <c r="G13784" s="2">
        <v>100</v>
      </c>
      <c r="H13784" s="2">
        <v>156</v>
      </c>
      <c r="I13784" s="2">
        <v>92</v>
      </c>
      <c r="J13784" s="2">
        <v>559</v>
      </c>
      <c r="K13784" s="2">
        <v>1</v>
      </c>
      <c r="L13784" s="2">
        <v>156</v>
      </c>
    </row>
    <row r="13785" spans="1:12" x14ac:dyDescent="0.25">
      <c r="A13785" s="4" t="str">
        <f>HYPERLINK("http://www.rosaceae.org/Prunus/Prunus_persica/p.persica_gdr_reftransV1_0011229","p.persica_gdr_reftransV1_0011229")</f>
        <v>p.persica_gdr_reftransV1_0011229</v>
      </c>
      <c r="B13785" s="2">
        <v>806</v>
      </c>
      <c r="C13785" s="4" t="str">
        <f>HYPERLINK("http://www.uniprot.org/uniprot/M5XJ92","M5XJ92")</f>
        <v>M5XJ92</v>
      </c>
      <c r="D13785" s="2" t="s">
        <v>11300</v>
      </c>
      <c r="E13785" s="3">
        <v>1.84E-69</v>
      </c>
      <c r="F13785" s="2">
        <v>588</v>
      </c>
      <c r="G13785" s="2">
        <v>100</v>
      </c>
      <c r="H13785" s="2">
        <v>110</v>
      </c>
      <c r="I13785" s="2">
        <v>2</v>
      </c>
      <c r="J13785" s="2">
        <v>331</v>
      </c>
      <c r="K13785" s="2">
        <v>285</v>
      </c>
      <c r="L13785" s="2">
        <v>394</v>
      </c>
    </row>
    <row r="13786" spans="1:12" x14ac:dyDescent="0.25">
      <c r="A13786" s="4" t="str">
        <f>HYPERLINK("http://www.rosaceae.org/Prunus/Prunus_persica/p.persica_gdr_reftransV1_0011579","p.persica_gdr_reftransV1_0011579")</f>
        <v>p.persica_gdr_reftransV1_0011579</v>
      </c>
      <c r="B13786" s="2">
        <v>1686</v>
      </c>
      <c r="C13786" s="4" t="str">
        <f>HYPERLINK("http://www.uniprot.org/uniprot/M5XWQ2","M5XWQ2")</f>
        <v>M5XWQ2</v>
      </c>
      <c r="D13786" s="2" t="s">
        <v>11301</v>
      </c>
      <c r="E13786" s="3">
        <v>2.0699999999999999E-152</v>
      </c>
      <c r="F13786" s="2">
        <v>1167</v>
      </c>
      <c r="G13786" s="2">
        <v>100</v>
      </c>
      <c r="H13786" s="2">
        <v>220</v>
      </c>
      <c r="I13786" s="2">
        <v>685</v>
      </c>
      <c r="J13786" s="2">
        <v>1344</v>
      </c>
      <c r="K13786" s="2">
        <v>128</v>
      </c>
      <c r="L13786" s="2">
        <v>347</v>
      </c>
    </row>
    <row r="13787" spans="1:12" x14ac:dyDescent="0.25">
      <c r="A13787" s="4" t="str">
        <f>HYPERLINK("http://www.rosaceae.org/Prunus/Prunus_persica/p.persica_gdr_reftransV1_0012279","p.persica_gdr_reftransV1_0012279")</f>
        <v>p.persica_gdr_reftransV1_0012279</v>
      </c>
      <c r="B13787" s="2">
        <v>1214</v>
      </c>
      <c r="C13787" s="4" t="str">
        <f>HYPERLINK("http://www.uniprot.org/uniprot/M5VKZ2","M5VKZ2")</f>
        <v>M5VKZ2</v>
      </c>
      <c r="D13787" s="2" t="s">
        <v>11302</v>
      </c>
      <c r="E13787" s="3">
        <v>1.3400000000000001E-29</v>
      </c>
      <c r="F13787" s="2">
        <v>303</v>
      </c>
      <c r="G13787" s="2">
        <v>100</v>
      </c>
      <c r="H13787" s="2">
        <v>100</v>
      </c>
      <c r="I13787" s="2">
        <v>100</v>
      </c>
      <c r="J13787" s="2">
        <v>399</v>
      </c>
      <c r="K13787" s="2">
        <v>1</v>
      </c>
      <c r="L13787" s="2">
        <v>100</v>
      </c>
    </row>
    <row r="13788" spans="1:12" x14ac:dyDescent="0.25">
      <c r="A13788" s="4" t="str">
        <f>HYPERLINK("http://www.rosaceae.org/Prunus/Prunus_persica/p.persica_gdr_reftransV1_0012629","p.persica_gdr_reftransV1_0012629")</f>
        <v>p.persica_gdr_reftransV1_0012629</v>
      </c>
      <c r="B13788" s="2">
        <v>1262</v>
      </c>
      <c r="C13788" s="4" t="str">
        <f>HYPERLINK("http://www.uniprot.org/uniprot/M5X262","M5X262")</f>
        <v>M5X262</v>
      </c>
      <c r="D13788" s="2" t="s">
        <v>11303</v>
      </c>
      <c r="E13788" s="3">
        <v>1.01E-179</v>
      </c>
      <c r="F13788" s="2">
        <v>1324</v>
      </c>
      <c r="G13788" s="2">
        <v>100</v>
      </c>
      <c r="H13788" s="2">
        <v>276</v>
      </c>
      <c r="I13788" s="2">
        <v>324</v>
      </c>
      <c r="J13788" s="2">
        <v>1151</v>
      </c>
      <c r="K13788" s="2">
        <v>1</v>
      </c>
      <c r="L13788" s="2">
        <v>276</v>
      </c>
    </row>
    <row r="13789" spans="1:12" x14ac:dyDescent="0.25">
      <c r="A13789" s="4" t="str">
        <f>HYPERLINK("http://www.rosaceae.org/Prunus/Prunus_persica/p.persica_gdr_reftransV1_0013329","p.persica_gdr_reftransV1_0013329")</f>
        <v>p.persica_gdr_reftransV1_0013329</v>
      </c>
      <c r="B13789" s="2">
        <v>3179</v>
      </c>
      <c r="C13789" s="4" t="str">
        <f>HYPERLINK("http://www.uniprot.org/uniprot/B9RTT5","B9RTT5")</f>
        <v>B9RTT5</v>
      </c>
      <c r="D13789" s="2" t="s">
        <v>11304</v>
      </c>
      <c r="E13789" s="3">
        <v>4.2199999999999996E-115</v>
      </c>
      <c r="F13789" s="2">
        <v>947</v>
      </c>
      <c r="G13789" s="2">
        <v>85</v>
      </c>
      <c r="H13789" s="2">
        <v>241</v>
      </c>
      <c r="I13789" s="2">
        <v>1995</v>
      </c>
      <c r="J13789" s="2">
        <v>2702</v>
      </c>
      <c r="K13789" s="2">
        <v>1</v>
      </c>
      <c r="L13789" s="2">
        <v>241</v>
      </c>
    </row>
    <row r="13790" spans="1:12" x14ac:dyDescent="0.25">
      <c r="A13790" s="4" t="str">
        <f>HYPERLINK("http://www.rosaceae.org/Prunus/Prunus_persica/p.persica_gdr_reftransV1_0013679","p.persica_gdr_reftransV1_0013679")</f>
        <v>p.persica_gdr_reftransV1_0013679</v>
      </c>
      <c r="B13790" s="2">
        <v>354</v>
      </c>
      <c r="C13790" s="4" t="str">
        <f>HYPERLINK("http://www.uniprot.org/uniprot/M5WFL8","M5WFL8")</f>
        <v>M5WFL8</v>
      </c>
      <c r="D13790" s="2" t="s">
        <v>4587</v>
      </c>
      <c r="E13790" s="3">
        <v>3.0000000000000001E-71</v>
      </c>
      <c r="F13790" s="2">
        <v>611</v>
      </c>
      <c r="G13790" s="2">
        <v>100</v>
      </c>
      <c r="H13790" s="2">
        <v>117</v>
      </c>
      <c r="I13790" s="2">
        <v>3</v>
      </c>
      <c r="J13790" s="2">
        <v>353</v>
      </c>
      <c r="K13790" s="2">
        <v>645</v>
      </c>
      <c r="L13790" s="2">
        <v>761</v>
      </c>
    </row>
    <row r="13791" spans="1:12" x14ac:dyDescent="0.25">
      <c r="A13791" s="4" t="str">
        <f>HYPERLINK("http://www.rosaceae.org/Prunus/Prunus_persica/p.persica_gdr_reftransV1_0017179","p.persica_gdr_reftransV1_0017179")</f>
        <v>p.persica_gdr_reftransV1_0017179</v>
      </c>
      <c r="B13791" s="2">
        <v>1589</v>
      </c>
      <c r="C13791" s="4" t="str">
        <f>HYPERLINK("http://www.uniprot.org/uniprot/M5WGR9","M5WGR9")</f>
        <v>M5WGR9</v>
      </c>
      <c r="D13791" s="2" t="s">
        <v>11305</v>
      </c>
      <c r="E13791" s="3">
        <v>0</v>
      </c>
      <c r="F13791" s="2">
        <v>1525</v>
      </c>
      <c r="G13791" s="2">
        <v>100</v>
      </c>
      <c r="H13791" s="2">
        <v>294</v>
      </c>
      <c r="I13791" s="2">
        <v>444</v>
      </c>
      <c r="J13791" s="2">
        <v>1325</v>
      </c>
      <c r="K13791" s="2">
        <v>1</v>
      </c>
      <c r="L13791" s="2">
        <v>294</v>
      </c>
    </row>
    <row r="13792" spans="1:12" x14ac:dyDescent="0.25">
      <c r="A13792" s="4" t="str">
        <f>HYPERLINK("http://www.rosaceae.org/Prunus/Prunus_persica/p.persica_gdr_reftransV1_0017529","p.persica_gdr_reftransV1_0017529")</f>
        <v>p.persica_gdr_reftransV1_0017529</v>
      </c>
      <c r="B13792" s="2">
        <v>3346</v>
      </c>
      <c r="C13792" s="4" t="str">
        <f>HYPERLINK("http://www.uniprot.org/uniprot/M5XRI8","M5XRI8")</f>
        <v>M5XRI8</v>
      </c>
      <c r="D13792" s="2" t="s">
        <v>11306</v>
      </c>
      <c r="E13792" s="3">
        <v>0</v>
      </c>
      <c r="F13792" s="2">
        <v>4268</v>
      </c>
      <c r="G13792" s="2">
        <v>99</v>
      </c>
      <c r="H13792" s="2">
        <v>805</v>
      </c>
      <c r="I13792" s="2">
        <v>857</v>
      </c>
      <c r="J13792" s="2">
        <v>3271</v>
      </c>
      <c r="K13792" s="2">
        <v>1</v>
      </c>
      <c r="L13792" s="2">
        <v>805</v>
      </c>
    </row>
    <row r="13793" spans="1:12" x14ac:dyDescent="0.25">
      <c r="A13793" s="4" t="str">
        <f>HYPERLINK("http://www.rosaceae.org/Prunus/Prunus_persica/p.persica_gdr_reftransV1_0018229","p.persica_gdr_reftransV1_0018229")</f>
        <v>p.persica_gdr_reftransV1_0018229</v>
      </c>
      <c r="B13793" s="2">
        <v>2013</v>
      </c>
      <c r="C13793" s="4" t="str">
        <f>HYPERLINK("http://www.uniprot.org/uniprot/M5VY35","M5VY35")</f>
        <v>M5VY35</v>
      </c>
      <c r="D13793" s="2" t="s">
        <v>11307</v>
      </c>
      <c r="E13793" s="3">
        <v>0</v>
      </c>
      <c r="F13793" s="2">
        <v>1579</v>
      </c>
      <c r="G13793" s="2">
        <v>97</v>
      </c>
      <c r="H13793" s="2">
        <v>454</v>
      </c>
      <c r="I13793" s="2">
        <v>218</v>
      </c>
      <c r="J13793" s="2">
        <v>1579</v>
      </c>
      <c r="K13793" s="2">
        <v>16</v>
      </c>
      <c r="L13793" s="2">
        <v>455</v>
      </c>
    </row>
    <row r="13794" spans="1:12" x14ac:dyDescent="0.25">
      <c r="A13794" s="4" t="str">
        <f>HYPERLINK("http://www.rosaceae.org/Prunus/Prunus_persica/p.persica_gdr_reftransV1_0018579","p.persica_gdr_reftransV1_0018579")</f>
        <v>p.persica_gdr_reftransV1_0018579</v>
      </c>
      <c r="B13794" s="2">
        <v>2916</v>
      </c>
      <c r="C13794" s="4" t="str">
        <f>HYPERLINK("http://www.uniprot.org/uniprot/M5X272","M5X272")</f>
        <v>M5X272</v>
      </c>
      <c r="D13794" s="2" t="s">
        <v>2963</v>
      </c>
      <c r="E13794" s="3">
        <v>2.4100000000000002E-170</v>
      </c>
      <c r="F13794" s="2">
        <v>1326</v>
      </c>
      <c r="G13794" s="2">
        <v>100</v>
      </c>
      <c r="H13794" s="2">
        <v>287</v>
      </c>
      <c r="I13794" s="2">
        <v>122</v>
      </c>
      <c r="J13794" s="2">
        <v>982</v>
      </c>
      <c r="K13794" s="2">
        <v>1</v>
      </c>
      <c r="L13794" s="2">
        <v>287</v>
      </c>
    </row>
    <row r="13795" spans="1:12" x14ac:dyDescent="0.25">
      <c r="A13795" s="4" t="str">
        <f>HYPERLINK("http://www.rosaceae.org/Prunus/Prunus_persica/p.persica_gdr_reftransV1_0018929","p.persica_gdr_reftransV1_0018929")</f>
        <v>p.persica_gdr_reftransV1_0018929</v>
      </c>
      <c r="B13795" s="2">
        <v>2771</v>
      </c>
      <c r="C13795" s="4" t="str">
        <f>HYPERLINK("http://www.uniprot.org/uniprot/M5WQD6","M5WQD6")</f>
        <v>M5WQD6</v>
      </c>
      <c r="D13795" s="2" t="s">
        <v>11308</v>
      </c>
      <c r="E13795" s="3">
        <v>0</v>
      </c>
      <c r="F13795" s="2">
        <v>3577</v>
      </c>
      <c r="G13795" s="2">
        <v>100</v>
      </c>
      <c r="H13795" s="2">
        <v>686</v>
      </c>
      <c r="I13795" s="2">
        <v>417</v>
      </c>
      <c r="J13795" s="2">
        <v>2474</v>
      </c>
      <c r="K13795" s="2">
        <v>1</v>
      </c>
      <c r="L13795" s="2">
        <v>686</v>
      </c>
    </row>
    <row r="13796" spans="1:12" x14ac:dyDescent="0.25">
      <c r="A13796" s="4" t="str">
        <f>HYPERLINK("http://www.rosaceae.org/Prunus/Prunus_persica/p.persica_gdr_reftransV1_0019979","p.persica_gdr_reftransV1_0019979")</f>
        <v>p.persica_gdr_reftransV1_0019979</v>
      </c>
      <c r="B13796" s="2">
        <v>2158</v>
      </c>
      <c r="C13796" s="4" t="str">
        <f>HYPERLINK("http://www.uniprot.org/uniprot/M5VIJ2","M5VIJ2")</f>
        <v>M5VIJ2</v>
      </c>
      <c r="D13796" s="2" t="s">
        <v>10509</v>
      </c>
      <c r="E13796" s="3">
        <v>0</v>
      </c>
      <c r="F13796" s="2">
        <v>2481</v>
      </c>
      <c r="G13796" s="2">
        <v>100</v>
      </c>
      <c r="H13796" s="2">
        <v>512</v>
      </c>
      <c r="I13796" s="2">
        <v>387</v>
      </c>
      <c r="J13796" s="2">
        <v>1922</v>
      </c>
      <c r="K13796" s="2">
        <v>1</v>
      </c>
      <c r="L13796" s="2">
        <v>512</v>
      </c>
    </row>
    <row r="13797" spans="1:12" x14ac:dyDescent="0.25">
      <c r="A13797" s="4" t="str">
        <f>HYPERLINK("http://www.rosaceae.org/Prunus/Prunus_persica/p.persica_gdr_reftransV1_0021729","p.persica_gdr_reftransV1_0021729")</f>
        <v>p.persica_gdr_reftransV1_0021729</v>
      </c>
      <c r="B13797" s="2">
        <v>2857</v>
      </c>
      <c r="C13797" s="4" t="str">
        <f>HYPERLINK("http://www.uniprot.org/uniprot/M5XCR4","M5XCR4")</f>
        <v>M5XCR4</v>
      </c>
      <c r="D13797" s="2" t="s">
        <v>7329</v>
      </c>
      <c r="E13797" s="3">
        <v>0</v>
      </c>
      <c r="F13797" s="2">
        <v>2249</v>
      </c>
      <c r="G13797" s="2">
        <v>100</v>
      </c>
      <c r="H13797" s="2">
        <v>487</v>
      </c>
      <c r="I13797" s="2">
        <v>2</v>
      </c>
      <c r="J13797" s="2">
        <v>1462</v>
      </c>
      <c r="K13797" s="2">
        <v>53</v>
      </c>
      <c r="L13797" s="2">
        <v>539</v>
      </c>
    </row>
    <row r="13798" spans="1:12" x14ac:dyDescent="0.25">
      <c r="A13798" s="4" t="str">
        <f>HYPERLINK("http://www.rosaceae.org/Prunus/Prunus_persica/p.persica_gdr_reftransV1_0022429","p.persica_gdr_reftransV1_0022429")</f>
        <v>p.persica_gdr_reftransV1_0022429</v>
      </c>
      <c r="B13798" s="2">
        <v>1317</v>
      </c>
      <c r="C13798" s="4" t="str">
        <f>HYPERLINK("http://www.uniprot.org/uniprot/M5VLH7","M5VLH7")</f>
        <v>M5VLH7</v>
      </c>
      <c r="D13798" s="2" t="s">
        <v>11309</v>
      </c>
      <c r="E13798" s="3">
        <v>4.3000000000000001E-56</v>
      </c>
      <c r="F13798" s="2">
        <v>492</v>
      </c>
      <c r="G13798" s="2">
        <v>100</v>
      </c>
      <c r="H13798" s="2">
        <v>95</v>
      </c>
      <c r="I13798" s="2">
        <v>929</v>
      </c>
      <c r="J13798" s="2">
        <v>1213</v>
      </c>
      <c r="K13798" s="2">
        <v>1</v>
      </c>
      <c r="L13798" s="2">
        <v>95</v>
      </c>
    </row>
    <row r="13799" spans="1:12" x14ac:dyDescent="0.25">
      <c r="A13799" s="4" t="str">
        <f>HYPERLINK("http://www.rosaceae.org/Prunus/Prunus_persica/p.persica_gdr_reftransV1_0022779","p.persica_gdr_reftransV1_0022779")</f>
        <v>p.persica_gdr_reftransV1_0022779</v>
      </c>
      <c r="B13799" s="2">
        <v>778</v>
      </c>
      <c r="C13799" s="4" t="str">
        <f>HYPERLINK("http://www.uniprot.org/uniprot/M5VQ21","M5VQ21")</f>
        <v>M5VQ21</v>
      </c>
      <c r="D13799" s="2" t="s">
        <v>7252</v>
      </c>
      <c r="E13799" s="3">
        <v>1.22E-102</v>
      </c>
      <c r="F13799" s="2">
        <v>791</v>
      </c>
      <c r="G13799" s="2">
        <v>100</v>
      </c>
      <c r="H13799" s="2">
        <v>149</v>
      </c>
      <c r="I13799" s="2">
        <v>1</v>
      </c>
      <c r="J13799" s="2">
        <v>447</v>
      </c>
      <c r="K13799" s="2">
        <v>60</v>
      </c>
      <c r="L13799" s="2">
        <v>208</v>
      </c>
    </row>
    <row r="13800" spans="1:12" x14ac:dyDescent="0.25">
      <c r="A13800" s="4" t="str">
        <f>HYPERLINK("http://www.rosaceae.org/Prunus/Prunus_persica/p.persica_gdr_reftransV1_0024179","p.persica_gdr_reftransV1_0024179")</f>
        <v>p.persica_gdr_reftransV1_0024179</v>
      </c>
      <c r="B13800" s="2">
        <v>1313</v>
      </c>
      <c r="C13800" s="4" t="str">
        <f>HYPERLINK("http://www.uniprot.org/uniprot/I1ZBR1","I1ZBR1")</f>
        <v>I1ZBR1</v>
      </c>
      <c r="D13800" s="2" t="s">
        <v>11310</v>
      </c>
      <c r="E13800" s="3">
        <v>2.91E-59</v>
      </c>
      <c r="F13800" s="2">
        <v>513</v>
      </c>
      <c r="G13800" s="2">
        <v>100</v>
      </c>
      <c r="H13800" s="2">
        <v>99</v>
      </c>
      <c r="I13800" s="2">
        <v>96</v>
      </c>
      <c r="J13800" s="2">
        <v>392</v>
      </c>
      <c r="K13800" s="2">
        <v>1</v>
      </c>
      <c r="L13800" s="2">
        <v>99</v>
      </c>
    </row>
    <row r="13801" spans="1:12" x14ac:dyDescent="0.25">
      <c r="A13801" s="4" t="str">
        <f>HYPERLINK("http://www.rosaceae.org/Prunus/Prunus_persica/p.persica_gdr_reftransV1_0024879","p.persica_gdr_reftransV1_0024879")</f>
        <v>p.persica_gdr_reftransV1_0024879</v>
      </c>
      <c r="B13801" s="2">
        <v>2414</v>
      </c>
      <c r="C13801" s="4" t="str">
        <f>HYPERLINK("http://www.uniprot.org/uniprot/M5WPE8","M5WPE8")</f>
        <v>M5WPE8</v>
      </c>
      <c r="D13801" s="2" t="s">
        <v>11311</v>
      </c>
      <c r="E13801" s="3">
        <v>0</v>
      </c>
      <c r="F13801" s="2">
        <v>2517</v>
      </c>
      <c r="G13801" s="2">
        <v>100</v>
      </c>
      <c r="H13801" s="2">
        <v>480</v>
      </c>
      <c r="I13801" s="2">
        <v>678</v>
      </c>
      <c r="J13801" s="2">
        <v>2117</v>
      </c>
      <c r="K13801" s="2">
        <v>1</v>
      </c>
      <c r="L13801" s="2">
        <v>480</v>
      </c>
    </row>
    <row r="13802" spans="1:12" x14ac:dyDescent="0.25">
      <c r="A13802" s="4" t="str">
        <f>HYPERLINK("http://www.rosaceae.org/Prunus/Prunus_persica/p.persica_gdr_reftransV1_0025229","p.persica_gdr_reftransV1_0025229")</f>
        <v>p.persica_gdr_reftransV1_0025229</v>
      </c>
      <c r="B13802" s="2">
        <v>2921</v>
      </c>
      <c r="C13802" s="4" t="str">
        <f>HYPERLINK("http://www.uniprot.org/uniprot/M5XBF0","M5XBF0")</f>
        <v>M5XBF0</v>
      </c>
      <c r="D13802" s="2" t="s">
        <v>11312</v>
      </c>
      <c r="E13802" s="3">
        <v>0</v>
      </c>
      <c r="F13802" s="2">
        <v>2264</v>
      </c>
      <c r="G13802" s="2">
        <v>74</v>
      </c>
      <c r="H13802" s="2">
        <v>653</v>
      </c>
      <c r="I13802" s="2">
        <v>141</v>
      </c>
      <c r="J13802" s="2">
        <v>2093</v>
      </c>
      <c r="K13802" s="2">
        <v>31</v>
      </c>
      <c r="L13802" s="2">
        <v>664</v>
      </c>
    </row>
    <row r="13803" spans="1:12" x14ac:dyDescent="0.25">
      <c r="A13803" s="4" t="str">
        <f>HYPERLINK("http://www.rosaceae.org/Prunus/Prunus_persica/p.persica_gdr_reftransV1_0026629","p.persica_gdr_reftransV1_0026629")</f>
        <v>p.persica_gdr_reftransV1_0026629</v>
      </c>
      <c r="B13803" s="2">
        <v>717</v>
      </c>
      <c r="C13803" s="4" t="str">
        <f>HYPERLINK("http://www.uniprot.org/uniprot/M5X893","M5X893")</f>
        <v>M5X893</v>
      </c>
      <c r="D13803" s="2" t="s">
        <v>11313</v>
      </c>
      <c r="E13803" s="3">
        <v>3.2099999999999999E-84</v>
      </c>
      <c r="F13803" s="2">
        <v>669</v>
      </c>
      <c r="G13803" s="2">
        <v>94</v>
      </c>
      <c r="H13803" s="2">
        <v>140</v>
      </c>
      <c r="I13803" s="2">
        <v>1</v>
      </c>
      <c r="J13803" s="2">
        <v>420</v>
      </c>
      <c r="K13803" s="2">
        <v>85</v>
      </c>
      <c r="L13803" s="2">
        <v>223</v>
      </c>
    </row>
    <row r="13804" spans="1:12" x14ac:dyDescent="0.25">
      <c r="A13804" s="4" t="str">
        <f>HYPERLINK("http://www.rosaceae.org/Prunus/Prunus_persica/p.persica_gdr_reftransV1_0031529","p.persica_gdr_reftransV1_0031529")</f>
        <v>p.persica_gdr_reftransV1_0031529</v>
      </c>
      <c r="B13804" s="2">
        <v>2437</v>
      </c>
      <c r="C13804" s="4" t="str">
        <f>HYPERLINK("http://www.uniprot.org/uniprot/M5WQ30","M5WQ30")</f>
        <v>M5WQ30</v>
      </c>
      <c r="D13804" s="2" t="s">
        <v>11314</v>
      </c>
      <c r="E13804" s="3">
        <v>0</v>
      </c>
      <c r="F13804" s="2">
        <v>3326</v>
      </c>
      <c r="G13804" s="2">
        <v>92</v>
      </c>
      <c r="H13804" s="2">
        <v>682</v>
      </c>
      <c r="I13804" s="2">
        <v>278</v>
      </c>
      <c r="J13804" s="2">
        <v>2323</v>
      </c>
      <c r="K13804" s="2">
        <v>1</v>
      </c>
      <c r="L13804" s="2">
        <v>631</v>
      </c>
    </row>
    <row r="13805" spans="1:12" x14ac:dyDescent="0.25">
      <c r="A13805" s="4" t="str">
        <f>HYPERLINK("http://www.rosaceae.org/Prunus/Prunus_persica/p.persica_gdr_reftransV1_0032229","p.persica_gdr_reftransV1_0032229")</f>
        <v>p.persica_gdr_reftransV1_0032229</v>
      </c>
      <c r="B13805" s="2">
        <v>1613</v>
      </c>
      <c r="C13805" s="4" t="str">
        <f>HYPERLINK("http://www.uniprot.org/uniprot/M5VKX3","M5VKX3")</f>
        <v>M5VKX3</v>
      </c>
      <c r="D13805" s="2" t="s">
        <v>11315</v>
      </c>
      <c r="E13805" s="3">
        <v>0</v>
      </c>
      <c r="F13805" s="2">
        <v>1855</v>
      </c>
      <c r="G13805" s="2">
        <v>98</v>
      </c>
      <c r="H13805" s="2">
        <v>353</v>
      </c>
      <c r="I13805" s="2">
        <v>515</v>
      </c>
      <c r="J13805" s="2">
        <v>1573</v>
      </c>
      <c r="K13805" s="2">
        <v>1</v>
      </c>
      <c r="L13805" s="2">
        <v>353</v>
      </c>
    </row>
    <row r="13806" spans="1:12" x14ac:dyDescent="0.25">
      <c r="A13806" s="4" t="str">
        <f>HYPERLINK("http://www.rosaceae.org/Prunus/Prunus_persica/p.persica_gdr_reftransV1_0034329","p.persica_gdr_reftransV1_0034329")</f>
        <v>p.persica_gdr_reftransV1_0034329</v>
      </c>
      <c r="B13806" s="2">
        <v>2061</v>
      </c>
      <c r="C13806" s="4" t="str">
        <f>HYPERLINK("http://www.uniprot.org/uniprot/M5VQ10","M5VQ10")</f>
        <v>M5VQ10</v>
      </c>
      <c r="D13806" s="2" t="s">
        <v>11316</v>
      </c>
      <c r="E13806" s="3">
        <v>4.0700000000000002E-133</v>
      </c>
      <c r="F13806" s="2">
        <v>1051</v>
      </c>
      <c r="G13806" s="2">
        <v>98</v>
      </c>
      <c r="H13806" s="2">
        <v>202</v>
      </c>
      <c r="I13806" s="2">
        <v>210</v>
      </c>
      <c r="J13806" s="2">
        <v>815</v>
      </c>
      <c r="K13806" s="2">
        <v>182</v>
      </c>
      <c r="L13806" s="2">
        <v>383</v>
      </c>
    </row>
    <row r="13807" spans="1:12" x14ac:dyDescent="0.25">
      <c r="A13807" s="4" t="str">
        <f>HYPERLINK("http://www.rosaceae.org/Prunus/Prunus_persica/p.persica_gdr_reftransV1_0036429","p.persica_gdr_reftransV1_0036429")</f>
        <v>p.persica_gdr_reftransV1_0036429</v>
      </c>
      <c r="B13807" s="2">
        <v>1655</v>
      </c>
      <c r="C13807" s="4" t="str">
        <f>HYPERLINK("http://www.uniprot.org/uniprot/M5VVF8","M5VVF8")</f>
        <v>M5VVF8</v>
      </c>
      <c r="D13807" s="2" t="s">
        <v>11317</v>
      </c>
      <c r="E13807" s="3">
        <v>3.55E-12</v>
      </c>
      <c r="F13807" s="2">
        <v>172</v>
      </c>
      <c r="G13807" s="2">
        <v>59</v>
      </c>
      <c r="H13807" s="2">
        <v>56</v>
      </c>
      <c r="I13807" s="2">
        <v>399</v>
      </c>
      <c r="J13807" s="2">
        <v>566</v>
      </c>
      <c r="K13807" s="2">
        <v>399</v>
      </c>
      <c r="L13807" s="2">
        <v>454</v>
      </c>
    </row>
    <row r="13808" spans="1:12" x14ac:dyDescent="0.25">
      <c r="A13808" s="4" t="str">
        <f>HYPERLINK("http://www.rosaceae.org/Prunus/Prunus_persica/p.persica_gdr_reftransV1_0038179","p.persica_gdr_reftransV1_0038179")</f>
        <v>p.persica_gdr_reftransV1_0038179</v>
      </c>
      <c r="B13808" s="2">
        <v>914</v>
      </c>
      <c r="C13808" s="4" t="str">
        <f>HYPERLINK("http://www.uniprot.org/uniprot/M5Y0U1","M5Y0U1")</f>
        <v>M5Y0U1</v>
      </c>
      <c r="D13808" s="2" t="s">
        <v>11318</v>
      </c>
      <c r="E13808" s="3">
        <v>2.2299999999999999E-89</v>
      </c>
      <c r="F13808" s="2">
        <v>723</v>
      </c>
      <c r="G13808" s="2">
        <v>100</v>
      </c>
      <c r="H13808" s="2">
        <v>137</v>
      </c>
      <c r="I13808" s="2">
        <v>471</v>
      </c>
      <c r="J13808" s="2">
        <v>881</v>
      </c>
      <c r="K13808" s="2">
        <v>1</v>
      </c>
      <c r="L13808" s="2">
        <v>137</v>
      </c>
    </row>
    <row r="13809" spans="1:12" x14ac:dyDescent="0.25">
      <c r="A13809" s="4" t="str">
        <f>HYPERLINK("http://www.rosaceae.org/Prunus/Prunus_persica/p.persica_gdr_reftransV1_0038879","p.persica_gdr_reftransV1_0038879")</f>
        <v>p.persica_gdr_reftransV1_0038879</v>
      </c>
      <c r="B13809" s="2">
        <v>613</v>
      </c>
      <c r="C13809" s="4" t="str">
        <f>HYPERLINK("http://www.uniprot.org/uniprot/M5Y941","M5Y941")</f>
        <v>M5Y941</v>
      </c>
      <c r="D13809" s="2" t="s">
        <v>8402</v>
      </c>
      <c r="E13809" s="3">
        <v>7.2499999999999996E-100</v>
      </c>
      <c r="F13809" s="2">
        <v>818</v>
      </c>
      <c r="G13809" s="2">
        <v>100</v>
      </c>
      <c r="H13809" s="2">
        <v>167</v>
      </c>
      <c r="I13809" s="2">
        <v>111</v>
      </c>
      <c r="J13809" s="2">
        <v>611</v>
      </c>
      <c r="K13809" s="2">
        <v>1</v>
      </c>
      <c r="L13809" s="2">
        <v>167</v>
      </c>
    </row>
    <row r="13810" spans="1:12" x14ac:dyDescent="0.25">
      <c r="A13810" s="4" t="str">
        <f>HYPERLINK("http://www.rosaceae.org/Prunus/Prunus_persica/p.persica_gdr_reftransV1_0039229","p.persica_gdr_reftransV1_0039229")</f>
        <v>p.persica_gdr_reftransV1_0039229</v>
      </c>
      <c r="B13810" s="2">
        <v>3061</v>
      </c>
      <c r="C13810" s="4" t="str">
        <f>HYPERLINK("http://www.uniprot.org/uniprot/M5X0N7","M5X0N7")</f>
        <v>M5X0N7</v>
      </c>
      <c r="D13810" s="2" t="s">
        <v>11319</v>
      </c>
      <c r="E13810" s="3">
        <v>0</v>
      </c>
      <c r="F13810" s="2">
        <v>2329</v>
      </c>
      <c r="G13810" s="2">
        <v>100</v>
      </c>
      <c r="H13810" s="2">
        <v>437</v>
      </c>
      <c r="I13810" s="2">
        <v>400</v>
      </c>
      <c r="J13810" s="2">
        <v>1710</v>
      </c>
      <c r="K13810" s="2">
        <v>35</v>
      </c>
      <c r="L13810" s="2">
        <v>471</v>
      </c>
    </row>
    <row r="13811" spans="1:12" x14ac:dyDescent="0.25">
      <c r="A13811" s="4" t="str">
        <f>HYPERLINK("http://www.rosaceae.org/Prunus/Prunus_persica/p.persica_gdr_reftransV1_0041679","p.persica_gdr_reftransV1_0041679")</f>
        <v>p.persica_gdr_reftransV1_0041679</v>
      </c>
      <c r="B13811" s="2">
        <v>3539</v>
      </c>
      <c r="C13811" s="4" t="str">
        <f>HYPERLINK("http://www.uniprot.org/uniprot/M5XKN7","M5XKN7")</f>
        <v>M5XKN7</v>
      </c>
      <c r="D13811" s="2" t="s">
        <v>11320</v>
      </c>
      <c r="E13811" s="3">
        <v>1.38E-83</v>
      </c>
      <c r="F13811" s="2">
        <v>719</v>
      </c>
      <c r="G13811" s="2">
        <v>99</v>
      </c>
      <c r="H13811" s="2">
        <v>140</v>
      </c>
      <c r="I13811" s="2">
        <v>1918</v>
      </c>
      <c r="J13811" s="2">
        <v>2337</v>
      </c>
      <c r="K13811" s="2">
        <v>69</v>
      </c>
      <c r="L13811" s="2">
        <v>208</v>
      </c>
    </row>
    <row r="13812" spans="1:12" x14ac:dyDescent="0.25">
      <c r="A13812" s="4" t="str">
        <f>HYPERLINK("http://www.rosaceae.org/Prunus/Prunus_persica/p.persica_gdr_reftransV1_0043079","p.persica_gdr_reftransV1_0043079")</f>
        <v>p.persica_gdr_reftransV1_0043079</v>
      </c>
      <c r="B13812" s="2">
        <v>2068</v>
      </c>
      <c r="C13812" s="4" t="str">
        <f>HYPERLINK("http://www.uniprot.org/uniprot/M5WNF8","M5WNF8")</f>
        <v>M5WNF8</v>
      </c>
      <c r="D13812" s="2" t="s">
        <v>5323</v>
      </c>
      <c r="E13812" s="3">
        <v>0</v>
      </c>
      <c r="F13812" s="2">
        <v>3157</v>
      </c>
      <c r="G13812" s="2">
        <v>100</v>
      </c>
      <c r="H13812" s="2">
        <v>607</v>
      </c>
      <c r="I13812" s="2">
        <v>165</v>
      </c>
      <c r="J13812" s="2">
        <v>1985</v>
      </c>
      <c r="K13812" s="2">
        <v>1</v>
      </c>
      <c r="L13812" s="2">
        <v>607</v>
      </c>
    </row>
    <row r="13813" spans="1:12" x14ac:dyDescent="0.25">
      <c r="A13813" s="4" t="str">
        <f>HYPERLINK("http://www.rosaceae.org/Prunus/Prunus_persica/p.persica_gdr_reftransV1_0043429","p.persica_gdr_reftransV1_0043429")</f>
        <v>p.persica_gdr_reftransV1_0043429</v>
      </c>
      <c r="B13813" s="2">
        <v>1199</v>
      </c>
      <c r="C13813" s="4" t="str">
        <f>HYPERLINK("http://www.uniprot.org/uniprot/M5X4T8","M5X4T8")</f>
        <v>M5X4T8</v>
      </c>
      <c r="D13813" s="2" t="s">
        <v>11321</v>
      </c>
      <c r="E13813" s="3">
        <v>1.6899999999999999E-113</v>
      </c>
      <c r="F13813" s="2">
        <v>877</v>
      </c>
      <c r="G13813" s="2">
        <v>100</v>
      </c>
      <c r="H13813" s="2">
        <v>209</v>
      </c>
      <c r="I13813" s="2">
        <v>323</v>
      </c>
      <c r="J13813" s="2">
        <v>949</v>
      </c>
      <c r="K13813" s="2">
        <v>1</v>
      </c>
      <c r="L13813" s="2">
        <v>209</v>
      </c>
    </row>
    <row r="13814" spans="1:12" x14ac:dyDescent="0.25">
      <c r="A13814" s="4" t="str">
        <f>HYPERLINK("http://www.rosaceae.org/Prunus/Prunus_persica/p.persica_gdr_reftransV1_0043779","p.persica_gdr_reftransV1_0043779")</f>
        <v>p.persica_gdr_reftransV1_0043779</v>
      </c>
      <c r="B13814" s="2">
        <v>358</v>
      </c>
      <c r="C13814" s="4" t="str">
        <f>HYPERLINK("http://www.uniprot.org/uniprot/M5XHJ2","M5XHJ2")</f>
        <v>M5XHJ2</v>
      </c>
      <c r="D13814" s="2" t="s">
        <v>6634</v>
      </c>
      <c r="E13814" s="3">
        <v>4.6800000000000002E-74</v>
      </c>
      <c r="F13814" s="2">
        <v>636</v>
      </c>
      <c r="G13814" s="2">
        <v>100</v>
      </c>
      <c r="H13814" s="2">
        <v>119</v>
      </c>
      <c r="I13814" s="2">
        <v>1</v>
      </c>
      <c r="J13814" s="2">
        <v>357</v>
      </c>
      <c r="K13814" s="2">
        <v>507</v>
      </c>
      <c r="L13814" s="2">
        <v>625</v>
      </c>
    </row>
    <row r="13815" spans="1:12" x14ac:dyDescent="0.25">
      <c r="A13815" s="4" t="str">
        <f>HYPERLINK("http://www.rosaceae.org/Prunus/Prunus_persica/p.persica_gdr_reftransV1_0044129","p.persica_gdr_reftransV1_0044129")</f>
        <v>p.persica_gdr_reftransV1_0044129</v>
      </c>
      <c r="B13815" s="2">
        <v>1870</v>
      </c>
      <c r="C13815" s="4" t="str">
        <f>HYPERLINK("http://www.uniprot.org/uniprot/M5WL24","M5WL24")</f>
        <v>M5WL24</v>
      </c>
      <c r="D13815" s="2" t="s">
        <v>11322</v>
      </c>
      <c r="E13815" s="3">
        <v>0</v>
      </c>
      <c r="F13815" s="2">
        <v>1996</v>
      </c>
      <c r="G13815" s="2">
        <v>100</v>
      </c>
      <c r="H13815" s="2">
        <v>420</v>
      </c>
      <c r="I13815" s="2">
        <v>243</v>
      </c>
      <c r="J13815" s="2">
        <v>1502</v>
      </c>
      <c r="K13815" s="2">
        <v>1</v>
      </c>
      <c r="L13815" s="2">
        <v>420</v>
      </c>
    </row>
    <row r="13816" spans="1:12" x14ac:dyDescent="0.25">
      <c r="A13816" s="4" t="str">
        <f>HYPERLINK("http://www.rosaceae.org/Prunus/Prunus_persica/p.persica_gdr_reftransV1_0044479","p.persica_gdr_reftransV1_0044479")</f>
        <v>p.persica_gdr_reftransV1_0044479</v>
      </c>
      <c r="B13816" s="2">
        <v>1114</v>
      </c>
      <c r="C13816" s="4" t="str">
        <f>HYPERLINK("http://www.uniprot.org/uniprot/M5VXL7","M5VXL7")</f>
        <v>M5VXL7</v>
      </c>
      <c r="D13816" s="2" t="s">
        <v>6808</v>
      </c>
      <c r="E13816" s="3">
        <v>9.7299999999999996E-166</v>
      </c>
      <c r="F13816" s="2">
        <v>1229</v>
      </c>
      <c r="G13816" s="2">
        <v>100</v>
      </c>
      <c r="H13816" s="2">
        <v>300</v>
      </c>
      <c r="I13816" s="2">
        <v>113</v>
      </c>
      <c r="J13816" s="2">
        <v>1012</v>
      </c>
      <c r="K13816" s="2">
        <v>1</v>
      </c>
      <c r="L13816" s="2">
        <v>300</v>
      </c>
    </row>
    <row r="13817" spans="1:12" x14ac:dyDescent="0.25">
      <c r="A13817" s="4" t="str">
        <f>HYPERLINK("http://www.rosaceae.org/Prunus/Prunus_persica/p.persica_gdr_reftransV1_0044829","p.persica_gdr_reftransV1_0044829")</f>
        <v>p.persica_gdr_reftransV1_0044829</v>
      </c>
      <c r="B13817" s="2">
        <v>2584</v>
      </c>
      <c r="C13817" s="4" t="str">
        <f>HYPERLINK("http://www.uniprot.org/uniprot/M5WSG3","M5WSG3")</f>
        <v>M5WSG3</v>
      </c>
      <c r="D13817" s="2" t="s">
        <v>11323</v>
      </c>
      <c r="E13817" s="3">
        <v>0</v>
      </c>
      <c r="F13817" s="2">
        <v>1906</v>
      </c>
      <c r="G13817" s="2">
        <v>100</v>
      </c>
      <c r="H13817" s="2">
        <v>427</v>
      </c>
      <c r="I13817" s="2">
        <v>241</v>
      </c>
      <c r="J13817" s="2">
        <v>1521</v>
      </c>
      <c r="K13817" s="2">
        <v>1</v>
      </c>
      <c r="L13817" s="2">
        <v>427</v>
      </c>
    </row>
    <row r="13818" spans="1:12" x14ac:dyDescent="0.25">
      <c r="A13818" s="4" t="str">
        <f>HYPERLINK("http://www.rosaceae.org/Prunus/Prunus_persica/p.persica_gdr_reftransV1_0045179","p.persica_gdr_reftransV1_0045179")</f>
        <v>p.persica_gdr_reftransV1_0045179</v>
      </c>
      <c r="B13818" s="2">
        <v>1646</v>
      </c>
      <c r="C13818" s="4" t="str">
        <f>HYPERLINK("http://www.uniprot.org/uniprot/A0A061GS52","A0A061GS52")</f>
        <v>A0A061GS52</v>
      </c>
      <c r="D13818" s="2" t="s">
        <v>11324</v>
      </c>
      <c r="E13818" s="3">
        <v>1.14E-111</v>
      </c>
      <c r="F13818" s="2">
        <v>897</v>
      </c>
      <c r="G13818" s="2">
        <v>51</v>
      </c>
      <c r="H13818" s="2">
        <v>401</v>
      </c>
      <c r="I13818" s="2">
        <v>163</v>
      </c>
      <c r="J13818" s="2">
        <v>1218</v>
      </c>
      <c r="K13818" s="2">
        <v>1</v>
      </c>
      <c r="L13818" s="2">
        <v>391</v>
      </c>
    </row>
    <row r="13819" spans="1:12" x14ac:dyDescent="0.25">
      <c r="A13819" s="4" t="str">
        <f>HYPERLINK("http://www.rosaceae.org/Prunus/Prunus_persica/p.persica_gdr_reftransV1_0045879","p.persica_gdr_reftransV1_0045879")</f>
        <v>p.persica_gdr_reftransV1_0045879</v>
      </c>
      <c r="B13819" s="2">
        <v>678</v>
      </c>
      <c r="C13819" s="4" t="str">
        <f>HYPERLINK("http://www.uniprot.org/uniprot/M5VKB1","M5VKB1")</f>
        <v>M5VKB1</v>
      </c>
      <c r="D13819" s="2" t="s">
        <v>1138</v>
      </c>
      <c r="E13819" s="3">
        <v>5.2700000000000001E-110</v>
      </c>
      <c r="F13819" s="2">
        <v>833</v>
      </c>
      <c r="G13819" s="2">
        <v>99</v>
      </c>
      <c r="H13819" s="2">
        <v>172</v>
      </c>
      <c r="I13819" s="2">
        <v>137</v>
      </c>
      <c r="J13819" s="2">
        <v>652</v>
      </c>
      <c r="K13819" s="2">
        <v>1</v>
      </c>
      <c r="L13819" s="2">
        <v>172</v>
      </c>
    </row>
    <row r="13820" spans="1:12" x14ac:dyDescent="0.25">
      <c r="A13820" s="4" t="str">
        <f>HYPERLINK("http://www.rosaceae.org/Prunus/Prunus_persica/p.persica_gdr_reftransV1_0046579","p.persica_gdr_reftransV1_0046579")</f>
        <v>p.persica_gdr_reftransV1_0046579</v>
      </c>
      <c r="B13820" s="2">
        <v>760</v>
      </c>
      <c r="C13820" s="4" t="str">
        <f>HYPERLINK("http://www.uniprot.org/uniprot/M5WAN1","M5WAN1")</f>
        <v>M5WAN1</v>
      </c>
      <c r="D13820" s="2" t="s">
        <v>9679</v>
      </c>
      <c r="E13820" s="3">
        <v>3.9199999999999999E-28</v>
      </c>
      <c r="F13820" s="2">
        <v>293</v>
      </c>
      <c r="G13820" s="2">
        <v>100</v>
      </c>
      <c r="H13820" s="2">
        <v>103</v>
      </c>
      <c r="I13820" s="2">
        <v>182</v>
      </c>
      <c r="J13820" s="2">
        <v>490</v>
      </c>
      <c r="K13820" s="2">
        <v>119</v>
      </c>
      <c r="L13820" s="2">
        <v>221</v>
      </c>
    </row>
    <row r="13821" spans="1:12" x14ac:dyDescent="0.25">
      <c r="A13821" s="4" t="str">
        <f>HYPERLINK("http://www.rosaceae.org/Prunus/Prunus_persica/p.persica_gdr_reftransV1_0046929","p.persica_gdr_reftransV1_0046929")</f>
        <v>p.persica_gdr_reftransV1_0046929</v>
      </c>
      <c r="B13821" s="2">
        <v>4331</v>
      </c>
      <c r="C13821" s="4" t="str">
        <f>HYPERLINK("http://www.uniprot.org/uniprot/M5WEF7","M5WEF7")</f>
        <v>M5WEF7</v>
      </c>
      <c r="D13821" s="2" t="s">
        <v>8060</v>
      </c>
      <c r="E13821" s="3">
        <v>0</v>
      </c>
      <c r="F13821" s="2">
        <v>4957</v>
      </c>
      <c r="G13821" s="2">
        <v>97</v>
      </c>
      <c r="H13821" s="2">
        <v>1070</v>
      </c>
      <c r="I13821" s="2">
        <v>298</v>
      </c>
      <c r="J13821" s="2">
        <v>3507</v>
      </c>
      <c r="K13821" s="2">
        <v>1</v>
      </c>
      <c r="L13821" s="2">
        <v>1037</v>
      </c>
    </row>
    <row r="13822" spans="1:12" x14ac:dyDescent="0.25">
      <c r="A13822" s="4" t="str">
        <f>HYPERLINK("http://www.rosaceae.org/Prunus/Prunus_persica/p.persica_gdr_reftransV1_0047279","p.persica_gdr_reftransV1_0047279")</f>
        <v>p.persica_gdr_reftransV1_0047279</v>
      </c>
      <c r="B13822" s="2">
        <v>647</v>
      </c>
      <c r="C13822" s="4" t="str">
        <f>HYPERLINK("http://www.uniprot.org/uniprot/R0FQR2","R0FQR2")</f>
        <v>R0FQR2</v>
      </c>
      <c r="D13822" s="2" t="s">
        <v>6980</v>
      </c>
      <c r="E13822" s="3">
        <v>8.7700000000000007E-50</v>
      </c>
      <c r="F13822" s="2">
        <v>431</v>
      </c>
      <c r="G13822" s="2">
        <v>96</v>
      </c>
      <c r="H13822" s="2">
        <v>112</v>
      </c>
      <c r="I13822" s="2">
        <v>6</v>
      </c>
      <c r="J13822" s="2">
        <v>341</v>
      </c>
      <c r="K13822" s="2">
        <v>38</v>
      </c>
      <c r="L13822" s="2">
        <v>149</v>
      </c>
    </row>
    <row r="13823" spans="1:12" x14ac:dyDescent="0.25">
      <c r="A13823" s="4" t="str">
        <f>HYPERLINK("http://www.rosaceae.org/Prunus/Prunus_persica/p.persica_gdr_reftransV1_0047629","p.persica_gdr_reftransV1_0047629")</f>
        <v>p.persica_gdr_reftransV1_0047629</v>
      </c>
      <c r="B13823" s="2">
        <v>302</v>
      </c>
      <c r="C13823" s="4" t="str">
        <f>HYPERLINK("http://www.uniprot.org/uniprot/A0A059AWX7","A0A059AWX7")</f>
        <v>A0A059AWX7</v>
      </c>
      <c r="D13823" s="2" t="s">
        <v>11325</v>
      </c>
      <c r="E13823" s="3">
        <v>6.0100000000000001E-41</v>
      </c>
      <c r="F13823" s="2">
        <v>365</v>
      </c>
      <c r="G13823" s="2">
        <v>100</v>
      </c>
      <c r="H13823" s="2">
        <v>68</v>
      </c>
      <c r="I13823" s="2">
        <v>3</v>
      </c>
      <c r="J13823" s="2">
        <v>206</v>
      </c>
      <c r="K13823" s="2">
        <v>1</v>
      </c>
      <c r="L13823" s="2">
        <v>68</v>
      </c>
    </row>
    <row r="13824" spans="1:12" x14ac:dyDescent="0.25">
      <c r="A13824" s="4" t="str">
        <f>HYPERLINK("http://www.rosaceae.org/Prunus/Prunus_persica/p.persica_gdr_reftransV1_0047979","p.persica_gdr_reftransV1_0047979")</f>
        <v>p.persica_gdr_reftransV1_0047979</v>
      </c>
      <c r="B13824" s="2">
        <v>2969</v>
      </c>
      <c r="C13824" s="4" t="str">
        <f>HYPERLINK("http://www.uniprot.org/uniprot/W9RP97","W9RP97")</f>
        <v>W9RP97</v>
      </c>
      <c r="D13824" s="2" t="s">
        <v>11326</v>
      </c>
      <c r="E13824" s="3">
        <v>0</v>
      </c>
      <c r="F13824" s="2">
        <v>2893</v>
      </c>
      <c r="G13824" s="2">
        <v>71</v>
      </c>
      <c r="H13824" s="2">
        <v>794</v>
      </c>
      <c r="I13824" s="2">
        <v>385</v>
      </c>
      <c r="J13824" s="2">
        <v>2742</v>
      </c>
      <c r="K13824" s="2">
        <v>27</v>
      </c>
      <c r="L13824" s="2">
        <v>818</v>
      </c>
    </row>
    <row r="13825" spans="1:12" x14ac:dyDescent="0.25">
      <c r="A13825" s="4" t="str">
        <f>HYPERLINK("http://www.rosaceae.org/Prunus/Prunus_persica/p.persica_gdr_reftransV1_0048329","p.persica_gdr_reftransV1_0048329")</f>
        <v>p.persica_gdr_reftransV1_0048329</v>
      </c>
      <c r="B13825" s="2">
        <v>478</v>
      </c>
      <c r="C13825" s="4" t="str">
        <f>HYPERLINK("http://www.uniprot.org/uniprot/M5X0E5","M5X0E5")</f>
        <v>M5X0E5</v>
      </c>
      <c r="D13825" s="2" t="s">
        <v>1447</v>
      </c>
      <c r="E13825" s="3">
        <v>7.7499999999999996E-101</v>
      </c>
      <c r="F13825" s="2">
        <v>837</v>
      </c>
      <c r="G13825" s="2">
        <v>100</v>
      </c>
      <c r="H13825" s="2">
        <v>158</v>
      </c>
      <c r="I13825" s="2">
        <v>3</v>
      </c>
      <c r="J13825" s="2">
        <v>476</v>
      </c>
      <c r="K13825" s="2">
        <v>1135</v>
      </c>
      <c r="L13825" s="2">
        <v>1292</v>
      </c>
    </row>
    <row r="13826" spans="1:12" x14ac:dyDescent="0.25">
      <c r="A13826" s="4" t="str">
        <f>HYPERLINK("http://www.rosaceae.org/Prunus/Prunus_persica/p.persica_gdr_reftransV1_0048679","p.persica_gdr_reftransV1_0048679")</f>
        <v>p.persica_gdr_reftransV1_0048679</v>
      </c>
      <c r="B13826" s="2">
        <v>1592</v>
      </c>
      <c r="C13826" s="4" t="str">
        <f>HYPERLINK("http://www.uniprot.org/uniprot/M5XAF6","M5XAF6")</f>
        <v>M5XAF6</v>
      </c>
      <c r="D13826" s="2" t="s">
        <v>7865</v>
      </c>
      <c r="E13826" s="3">
        <v>0</v>
      </c>
      <c r="F13826" s="2">
        <v>1404</v>
      </c>
      <c r="G13826" s="2">
        <v>100</v>
      </c>
      <c r="H13826" s="2">
        <v>289</v>
      </c>
      <c r="I13826" s="2">
        <v>172</v>
      </c>
      <c r="J13826" s="2">
        <v>1038</v>
      </c>
      <c r="K13826" s="2">
        <v>1</v>
      </c>
      <c r="L13826" s="2">
        <v>289</v>
      </c>
    </row>
    <row r="13827" spans="1:12" x14ac:dyDescent="0.25">
      <c r="A13827" s="4" t="str">
        <f>HYPERLINK("http://www.rosaceae.org/Prunus/Prunus_persica/p.persica_gdr_reftransV1_0049029","p.persica_gdr_reftransV1_0049029")</f>
        <v>p.persica_gdr_reftransV1_0049029</v>
      </c>
      <c r="B13827" s="2">
        <v>605</v>
      </c>
      <c r="C13827" s="4" t="str">
        <f>HYPERLINK("http://www.uniprot.org/uniprot/M5WEU1","M5WEU1")</f>
        <v>M5WEU1</v>
      </c>
      <c r="D13827" s="2" t="s">
        <v>2990</v>
      </c>
      <c r="E13827" s="3">
        <v>3.8800000000000001E-119</v>
      </c>
      <c r="F13827" s="2">
        <v>947</v>
      </c>
      <c r="G13827" s="2">
        <v>99</v>
      </c>
      <c r="H13827" s="2">
        <v>198</v>
      </c>
      <c r="I13827" s="2">
        <v>12</v>
      </c>
      <c r="J13827" s="2">
        <v>605</v>
      </c>
      <c r="K13827" s="2">
        <v>20</v>
      </c>
      <c r="L13827" s="2">
        <v>217</v>
      </c>
    </row>
    <row r="13828" spans="1:12" x14ac:dyDescent="0.25">
      <c r="A13828" s="4" t="str">
        <f>HYPERLINK("http://www.rosaceae.org/Prunus/Prunus_persica/p.persica_gdr_reftransV1_0000291","p.persica_gdr_reftransV1_0000291")</f>
        <v>p.persica_gdr_reftransV1_0000291</v>
      </c>
      <c r="B13828" s="2">
        <v>1218</v>
      </c>
      <c r="C13828" s="4" t="str">
        <f>HYPERLINK("http://www.uniprot.org/uniprot/M5WYI6","M5WYI6")</f>
        <v>M5WYI6</v>
      </c>
      <c r="D13828" s="2" t="s">
        <v>3818</v>
      </c>
      <c r="E13828" s="3">
        <v>0</v>
      </c>
      <c r="F13828" s="2">
        <v>1957</v>
      </c>
      <c r="G13828" s="2">
        <v>99</v>
      </c>
      <c r="H13828" s="2">
        <v>392</v>
      </c>
      <c r="I13828" s="2">
        <v>2</v>
      </c>
      <c r="J13828" s="2">
        <v>1177</v>
      </c>
      <c r="K13828" s="2">
        <v>377</v>
      </c>
      <c r="L13828" s="2">
        <v>768</v>
      </c>
    </row>
    <row r="13829" spans="1:12" x14ac:dyDescent="0.25">
      <c r="A13829" s="4" t="str">
        <f>HYPERLINK("http://www.rosaceae.org/Prunus/Prunus_persica/p.persica_gdr_reftransV1_0000641","p.persica_gdr_reftransV1_0000641")</f>
        <v>p.persica_gdr_reftransV1_0000641</v>
      </c>
      <c r="B13829" s="2">
        <v>3753</v>
      </c>
      <c r="C13829" s="4" t="str">
        <f>HYPERLINK("http://www.uniprot.org/uniprot/M5XKW5","M5XKW5")</f>
        <v>M5XKW5</v>
      </c>
      <c r="D13829" s="2" t="s">
        <v>11327</v>
      </c>
      <c r="E13829" s="3">
        <v>0</v>
      </c>
      <c r="F13829" s="2">
        <v>4295</v>
      </c>
      <c r="G13829" s="2">
        <v>100</v>
      </c>
      <c r="H13829" s="2">
        <v>948</v>
      </c>
      <c r="I13829" s="2">
        <v>691</v>
      </c>
      <c r="J13829" s="2">
        <v>3534</v>
      </c>
      <c r="K13829" s="2">
        <v>1</v>
      </c>
      <c r="L13829" s="2">
        <v>945</v>
      </c>
    </row>
    <row r="13830" spans="1:12" x14ac:dyDescent="0.25">
      <c r="A13830" s="4" t="str">
        <f>HYPERLINK("http://www.rosaceae.org/Prunus/Prunus_persica/p.persica_gdr_reftransV1_0000991","p.persica_gdr_reftransV1_0000991")</f>
        <v>p.persica_gdr_reftransV1_0000991</v>
      </c>
      <c r="B13830" s="2">
        <v>1083</v>
      </c>
      <c r="C13830" s="4" t="str">
        <f>HYPERLINK("http://www.uniprot.org/uniprot/M5XDT2","M5XDT2")</f>
        <v>M5XDT2</v>
      </c>
      <c r="D13830" s="2" t="s">
        <v>11328</v>
      </c>
      <c r="E13830" s="3">
        <v>6.5599999999999994E-169</v>
      </c>
      <c r="F13830" s="2">
        <v>1249</v>
      </c>
      <c r="G13830" s="2">
        <v>91</v>
      </c>
      <c r="H13830" s="2">
        <v>285</v>
      </c>
      <c r="I13830" s="2">
        <v>33</v>
      </c>
      <c r="J13830" s="2">
        <v>809</v>
      </c>
      <c r="K13830" s="2">
        <v>20</v>
      </c>
      <c r="L13830" s="2">
        <v>304</v>
      </c>
    </row>
    <row r="13831" spans="1:12" x14ac:dyDescent="0.25">
      <c r="A13831" s="4" t="str">
        <f>HYPERLINK("http://www.rosaceae.org/Prunus/Prunus_persica/p.persica_gdr_reftransV1_0001341","p.persica_gdr_reftransV1_0001341")</f>
        <v>p.persica_gdr_reftransV1_0001341</v>
      </c>
      <c r="B13831" s="2">
        <v>330</v>
      </c>
      <c r="C13831" s="4" t="str">
        <f>HYPERLINK("http://www.uniprot.org/uniprot/M5WYC3","M5WYC3")</f>
        <v>M5WYC3</v>
      </c>
      <c r="D13831" s="2" t="s">
        <v>11329</v>
      </c>
      <c r="E13831" s="3">
        <v>1.5400000000000001E-48</v>
      </c>
      <c r="F13831" s="2">
        <v>410</v>
      </c>
      <c r="G13831" s="2">
        <v>94</v>
      </c>
      <c r="H13831" s="2">
        <v>110</v>
      </c>
      <c r="I13831" s="2">
        <v>2</v>
      </c>
      <c r="J13831" s="2">
        <v>328</v>
      </c>
      <c r="K13831" s="2">
        <v>17</v>
      </c>
      <c r="L13831" s="2">
        <v>126</v>
      </c>
    </row>
    <row r="13832" spans="1:12" x14ac:dyDescent="0.25">
      <c r="A13832" s="4" t="str">
        <f>HYPERLINK("http://www.rosaceae.org/Prunus/Prunus_persica/p.persica_gdr_reftransV1_0002041","p.persica_gdr_reftransV1_0002041")</f>
        <v>p.persica_gdr_reftransV1_0002041</v>
      </c>
      <c r="B13832" s="2">
        <v>2978</v>
      </c>
      <c r="C13832" s="4" t="str">
        <f>HYPERLINK("http://www.uniprot.org/uniprot/M5WNM7","M5WNM7")</f>
        <v>M5WNM7</v>
      </c>
      <c r="D13832" s="2" t="s">
        <v>11330</v>
      </c>
      <c r="E13832" s="3">
        <v>0</v>
      </c>
      <c r="F13832" s="2">
        <v>3551</v>
      </c>
      <c r="G13832" s="2">
        <v>100</v>
      </c>
      <c r="H13832" s="2">
        <v>746</v>
      </c>
      <c r="I13832" s="2">
        <v>383</v>
      </c>
      <c r="J13832" s="2">
        <v>2620</v>
      </c>
      <c r="K13832" s="2">
        <v>1</v>
      </c>
      <c r="L13832" s="2">
        <v>746</v>
      </c>
    </row>
    <row r="13833" spans="1:12" x14ac:dyDescent="0.25">
      <c r="A13833" s="4" t="str">
        <f>HYPERLINK("http://www.rosaceae.org/Prunus/Prunus_persica/p.persica_gdr_reftransV1_0002391","p.persica_gdr_reftransV1_0002391")</f>
        <v>p.persica_gdr_reftransV1_0002391</v>
      </c>
      <c r="B13833" s="2">
        <v>2023</v>
      </c>
      <c r="C13833" s="4" t="str">
        <f>HYPERLINK("http://www.uniprot.org/uniprot/M5WYR0","M5WYR0")</f>
        <v>M5WYR0</v>
      </c>
      <c r="D13833" s="2" t="s">
        <v>5931</v>
      </c>
      <c r="E13833" s="3">
        <v>0</v>
      </c>
      <c r="F13833" s="2">
        <v>3078</v>
      </c>
      <c r="G13833" s="2">
        <v>100</v>
      </c>
      <c r="H13833" s="2">
        <v>587</v>
      </c>
      <c r="I13833" s="2">
        <v>1</v>
      </c>
      <c r="J13833" s="2">
        <v>1761</v>
      </c>
      <c r="K13833" s="2">
        <v>1</v>
      </c>
      <c r="L13833" s="2">
        <v>587</v>
      </c>
    </row>
    <row r="13834" spans="1:12" x14ac:dyDescent="0.25">
      <c r="A13834" s="4" t="str">
        <f>HYPERLINK("http://www.rosaceae.org/Prunus/Prunus_persica/p.persica_gdr_reftransV1_0002741","p.persica_gdr_reftransV1_0002741")</f>
        <v>p.persica_gdr_reftransV1_0002741</v>
      </c>
      <c r="B13834" s="2">
        <v>2134</v>
      </c>
      <c r="C13834" s="4" t="str">
        <f>HYPERLINK("http://www.uniprot.org/uniprot/M5XLL2","M5XLL2")</f>
        <v>M5XLL2</v>
      </c>
      <c r="D13834" s="2" t="s">
        <v>9480</v>
      </c>
      <c r="E13834" s="3">
        <v>1.5899999999999999E-107</v>
      </c>
      <c r="F13834" s="2">
        <v>874</v>
      </c>
      <c r="G13834" s="2">
        <v>100</v>
      </c>
      <c r="H13834" s="2">
        <v>163</v>
      </c>
      <c r="I13834" s="2">
        <v>1021</v>
      </c>
      <c r="J13834" s="2">
        <v>1509</v>
      </c>
      <c r="K13834" s="2">
        <v>141</v>
      </c>
      <c r="L13834" s="2">
        <v>303</v>
      </c>
    </row>
    <row r="13835" spans="1:12" x14ac:dyDescent="0.25">
      <c r="A13835" s="4" t="str">
        <f>HYPERLINK("http://www.rosaceae.org/Prunus/Prunus_persica/p.persica_gdr_reftransV1_0003091","p.persica_gdr_reftransV1_0003091")</f>
        <v>p.persica_gdr_reftransV1_0003091</v>
      </c>
      <c r="B13835" s="2">
        <v>1043</v>
      </c>
      <c r="C13835" s="4" t="str">
        <f>HYPERLINK("http://www.uniprot.org/uniprot/M5X935","M5X935")</f>
        <v>M5X935</v>
      </c>
      <c r="D13835" s="2" t="s">
        <v>11331</v>
      </c>
      <c r="E13835" s="3">
        <v>3.2000000000000002E-67</v>
      </c>
      <c r="F13835" s="2">
        <v>373</v>
      </c>
      <c r="G13835" s="2">
        <v>82</v>
      </c>
      <c r="H13835" s="2">
        <v>104</v>
      </c>
      <c r="I13835" s="2">
        <v>732</v>
      </c>
      <c r="J13835" s="2">
        <v>1043</v>
      </c>
      <c r="K13835" s="2">
        <v>168</v>
      </c>
      <c r="L13835" s="2">
        <v>271</v>
      </c>
    </row>
    <row r="13836" spans="1:12" x14ac:dyDescent="0.25">
      <c r="A13836" s="4" t="str">
        <f>HYPERLINK("http://www.rosaceae.org/Prunus/Prunus_persica/p.persica_gdr_reftransV1_0003441","p.persica_gdr_reftransV1_0003441")</f>
        <v>p.persica_gdr_reftransV1_0003441</v>
      </c>
      <c r="B13836" s="2">
        <v>777</v>
      </c>
      <c r="C13836" s="4" t="str">
        <f>HYPERLINK("http://www.uniprot.org/uniprot/E3QGU2","E3QGU2")</f>
        <v>E3QGU2</v>
      </c>
      <c r="D13836" s="2" t="s">
        <v>11332</v>
      </c>
      <c r="E13836" s="3">
        <v>1.08E-132</v>
      </c>
      <c r="F13836" s="2">
        <v>988</v>
      </c>
      <c r="G13836" s="2">
        <v>96</v>
      </c>
      <c r="H13836" s="2">
        <v>196</v>
      </c>
      <c r="I13836" s="2">
        <v>2</v>
      </c>
      <c r="J13836" s="2">
        <v>589</v>
      </c>
      <c r="K13836" s="2">
        <v>1</v>
      </c>
      <c r="L13836" s="2">
        <v>195</v>
      </c>
    </row>
    <row r="13837" spans="1:12" x14ac:dyDescent="0.25">
      <c r="A13837" s="4" t="str">
        <f>HYPERLINK("http://www.rosaceae.org/Prunus/Prunus_persica/p.persica_gdr_reftransV1_0004141","p.persica_gdr_reftransV1_0004141")</f>
        <v>p.persica_gdr_reftransV1_0004141</v>
      </c>
      <c r="B13837" s="2">
        <v>802</v>
      </c>
      <c r="C13837" s="4" t="str">
        <f>HYPERLINK("http://www.uniprot.org/uniprot/M5WC01","M5WC01")</f>
        <v>M5WC01</v>
      </c>
      <c r="D13837" s="2" t="s">
        <v>11333</v>
      </c>
      <c r="E13837" s="3">
        <v>7.8199999999999996E-119</v>
      </c>
      <c r="F13837" s="2">
        <v>897</v>
      </c>
      <c r="G13837" s="2">
        <v>100</v>
      </c>
      <c r="H13837" s="2">
        <v>193</v>
      </c>
      <c r="I13837" s="2">
        <v>31</v>
      </c>
      <c r="J13837" s="2">
        <v>609</v>
      </c>
      <c r="K13837" s="2">
        <v>1</v>
      </c>
      <c r="L13837" s="2">
        <v>193</v>
      </c>
    </row>
    <row r="13838" spans="1:12" x14ac:dyDescent="0.25">
      <c r="A13838" s="4" t="str">
        <f>HYPERLINK("http://www.rosaceae.org/Prunus/Prunus_persica/p.persica_gdr_reftransV1_0005191","p.persica_gdr_reftransV1_0005191")</f>
        <v>p.persica_gdr_reftransV1_0005191</v>
      </c>
      <c r="B13838" s="2">
        <v>801</v>
      </c>
      <c r="C13838" s="4" t="str">
        <f>HYPERLINK("http://www.uniprot.org/uniprot/M5W1A7","M5W1A7")</f>
        <v>M5W1A7</v>
      </c>
      <c r="D13838" s="2" t="s">
        <v>11334</v>
      </c>
      <c r="E13838" s="3">
        <v>0</v>
      </c>
      <c r="F13838" s="2">
        <v>1449</v>
      </c>
      <c r="G13838" s="2">
        <v>100</v>
      </c>
      <c r="H13838" s="2">
        <v>267</v>
      </c>
      <c r="I13838" s="2">
        <v>1</v>
      </c>
      <c r="J13838" s="2">
        <v>801</v>
      </c>
      <c r="K13838" s="2">
        <v>201</v>
      </c>
      <c r="L13838" s="2">
        <v>467</v>
      </c>
    </row>
    <row r="13839" spans="1:12" x14ac:dyDescent="0.25">
      <c r="A13839" s="4" t="str">
        <f>HYPERLINK("http://www.rosaceae.org/Prunus/Prunus_persica/p.persica_gdr_reftransV1_0006241","p.persica_gdr_reftransV1_0006241")</f>
        <v>p.persica_gdr_reftransV1_0006241</v>
      </c>
      <c r="B13839" s="2">
        <v>2199</v>
      </c>
      <c r="C13839" s="4" t="str">
        <f>HYPERLINK("http://www.uniprot.org/uniprot/M5Y868","M5Y868")</f>
        <v>M5Y868</v>
      </c>
      <c r="D13839" s="2" t="s">
        <v>11335</v>
      </c>
      <c r="E13839" s="3">
        <v>0</v>
      </c>
      <c r="F13839" s="2">
        <v>2715</v>
      </c>
      <c r="G13839" s="2">
        <v>88</v>
      </c>
      <c r="H13839" s="2">
        <v>641</v>
      </c>
      <c r="I13839" s="2">
        <v>276</v>
      </c>
      <c r="J13839" s="2">
        <v>2198</v>
      </c>
      <c r="K13839" s="2">
        <v>221</v>
      </c>
      <c r="L13839" s="2">
        <v>811</v>
      </c>
    </row>
    <row r="13840" spans="1:12" x14ac:dyDescent="0.25">
      <c r="A13840" s="4" t="str">
        <f>HYPERLINK("http://www.rosaceae.org/Prunus/Prunus_persica/p.persica_gdr_reftransV1_0007291","p.persica_gdr_reftransV1_0007291")</f>
        <v>p.persica_gdr_reftransV1_0007291</v>
      </c>
      <c r="B13840" s="2">
        <v>1677</v>
      </c>
      <c r="C13840" s="4" t="str">
        <f>HYPERLINK("http://www.uniprot.org/uniprot/M5WTD9","M5WTD9")</f>
        <v>M5WTD9</v>
      </c>
      <c r="D13840" s="2" t="s">
        <v>10435</v>
      </c>
      <c r="E13840" s="3">
        <v>0</v>
      </c>
      <c r="F13840" s="2">
        <v>2401</v>
      </c>
      <c r="G13840" s="2">
        <v>100</v>
      </c>
      <c r="H13840" s="2">
        <v>487</v>
      </c>
      <c r="I13840" s="2">
        <v>16</v>
      </c>
      <c r="J13840" s="2">
        <v>1476</v>
      </c>
      <c r="K13840" s="2">
        <v>1</v>
      </c>
      <c r="L13840" s="2">
        <v>487</v>
      </c>
    </row>
    <row r="13841" spans="1:12" x14ac:dyDescent="0.25">
      <c r="A13841" s="4" t="str">
        <f>HYPERLINK("http://www.rosaceae.org/Prunus/Prunus_persica/p.persica_gdr_reftransV1_0007641","p.persica_gdr_reftransV1_0007641")</f>
        <v>p.persica_gdr_reftransV1_0007641</v>
      </c>
      <c r="B13841" s="2">
        <v>2309</v>
      </c>
      <c r="C13841" s="4" t="str">
        <f>HYPERLINK("http://www.uniprot.org/uniprot/M5VIK6","M5VIK6")</f>
        <v>M5VIK6</v>
      </c>
      <c r="D13841" s="2" t="s">
        <v>11336</v>
      </c>
      <c r="E13841" s="3">
        <v>0</v>
      </c>
      <c r="F13841" s="2">
        <v>3236</v>
      </c>
      <c r="G13841" s="2">
        <v>100</v>
      </c>
      <c r="H13841" s="2">
        <v>635</v>
      </c>
      <c r="I13841" s="2">
        <v>227</v>
      </c>
      <c r="J13841" s="2">
        <v>2131</v>
      </c>
      <c r="K13841" s="2">
        <v>1</v>
      </c>
      <c r="L13841" s="2">
        <v>635</v>
      </c>
    </row>
    <row r="13842" spans="1:12" x14ac:dyDescent="0.25">
      <c r="A13842" s="4" t="str">
        <f>HYPERLINK("http://www.rosaceae.org/Prunus/Prunus_persica/p.persica_gdr_reftransV1_0007991","p.persica_gdr_reftransV1_0007991")</f>
        <v>p.persica_gdr_reftransV1_0007991</v>
      </c>
      <c r="B13842" s="2">
        <v>4714</v>
      </c>
      <c r="C13842" s="4" t="str">
        <f>HYPERLINK("http://www.uniprot.org/uniprot/G7JVL9","G7JVL9")</f>
        <v>G7JVL9</v>
      </c>
      <c r="D13842" s="2" t="s">
        <v>11337</v>
      </c>
      <c r="E13842" s="3">
        <v>0</v>
      </c>
      <c r="F13842" s="2">
        <v>1581</v>
      </c>
      <c r="G13842" s="2">
        <v>84</v>
      </c>
      <c r="H13842" s="2">
        <v>362</v>
      </c>
      <c r="I13842" s="2">
        <v>1184</v>
      </c>
      <c r="J13842" s="2">
        <v>2269</v>
      </c>
      <c r="K13842" s="2">
        <v>561</v>
      </c>
      <c r="L13842" s="2">
        <v>896</v>
      </c>
    </row>
    <row r="13843" spans="1:12" x14ac:dyDescent="0.25">
      <c r="A13843" s="4" t="str">
        <f>HYPERLINK("http://www.rosaceae.org/Prunus/Prunus_persica/p.persica_gdr_reftransV1_0008691","p.persica_gdr_reftransV1_0008691")</f>
        <v>p.persica_gdr_reftransV1_0008691</v>
      </c>
      <c r="B13843" s="2">
        <v>1076</v>
      </c>
      <c r="C13843" s="4" t="str">
        <f>HYPERLINK("http://www.uniprot.org/uniprot/M5WJS5","M5WJS5")</f>
        <v>M5WJS5</v>
      </c>
      <c r="D13843" s="2" t="s">
        <v>7214</v>
      </c>
      <c r="E13843" s="3">
        <v>9.7800000000000006E-159</v>
      </c>
      <c r="F13843" s="2">
        <v>1173</v>
      </c>
      <c r="G13843" s="2">
        <v>100</v>
      </c>
      <c r="H13843" s="2">
        <v>221</v>
      </c>
      <c r="I13843" s="2">
        <v>353</v>
      </c>
      <c r="J13843" s="2">
        <v>1015</v>
      </c>
      <c r="K13843" s="2">
        <v>1</v>
      </c>
      <c r="L13843" s="2">
        <v>221</v>
      </c>
    </row>
    <row r="13844" spans="1:12" x14ac:dyDescent="0.25">
      <c r="A13844" s="4" t="str">
        <f>HYPERLINK("http://www.rosaceae.org/Prunus/Prunus_persica/p.persica_gdr_reftransV1_0009041","p.persica_gdr_reftransV1_0009041")</f>
        <v>p.persica_gdr_reftransV1_0009041</v>
      </c>
      <c r="B13844" s="2">
        <v>577</v>
      </c>
      <c r="C13844" s="4" t="str">
        <f>HYPERLINK("http://www.uniprot.org/uniprot/M5XJA8","M5XJA8")</f>
        <v>M5XJA8</v>
      </c>
      <c r="D13844" s="2" t="s">
        <v>1489</v>
      </c>
      <c r="E13844" s="3">
        <v>4.0800000000000001E-126</v>
      </c>
      <c r="F13844" s="2">
        <v>964</v>
      </c>
      <c r="G13844" s="2">
        <v>100</v>
      </c>
      <c r="H13844" s="2">
        <v>192</v>
      </c>
      <c r="I13844" s="2">
        <v>1</v>
      </c>
      <c r="J13844" s="2">
        <v>576</v>
      </c>
      <c r="K13844" s="2">
        <v>208</v>
      </c>
      <c r="L13844" s="2">
        <v>399</v>
      </c>
    </row>
    <row r="13845" spans="1:12" x14ac:dyDescent="0.25">
      <c r="A13845" s="4" t="str">
        <f>HYPERLINK("http://www.rosaceae.org/Prunus/Prunus_persica/p.persica_gdr_reftransV1_0009391","p.persica_gdr_reftransV1_0009391")</f>
        <v>p.persica_gdr_reftransV1_0009391</v>
      </c>
      <c r="B13845" s="2">
        <v>2406</v>
      </c>
      <c r="C13845" s="4" t="str">
        <f>HYPERLINK("http://www.uniprot.org/uniprot/M5XBS2","M5XBS2")</f>
        <v>M5XBS2</v>
      </c>
      <c r="D13845" s="2" t="s">
        <v>9992</v>
      </c>
      <c r="E13845" s="3">
        <v>0</v>
      </c>
      <c r="F13845" s="2">
        <v>2896</v>
      </c>
      <c r="G13845" s="2">
        <v>95</v>
      </c>
      <c r="H13845" s="2">
        <v>592</v>
      </c>
      <c r="I13845" s="2">
        <v>277</v>
      </c>
      <c r="J13845" s="2">
        <v>2052</v>
      </c>
      <c r="K13845" s="2">
        <v>1</v>
      </c>
      <c r="L13845" s="2">
        <v>565</v>
      </c>
    </row>
    <row r="13846" spans="1:12" x14ac:dyDescent="0.25">
      <c r="A13846" s="4" t="str">
        <f>HYPERLINK("http://www.rosaceae.org/Prunus/Prunus_persica/p.persica_gdr_reftransV1_0009741","p.persica_gdr_reftransV1_0009741")</f>
        <v>p.persica_gdr_reftransV1_0009741</v>
      </c>
      <c r="B13846" s="2">
        <v>1089</v>
      </c>
      <c r="C13846" s="4" t="str">
        <f>HYPERLINK("http://www.uniprot.org/uniprot/M5VY19","M5VY19")</f>
        <v>M5VY19</v>
      </c>
      <c r="D13846" s="2" t="s">
        <v>5541</v>
      </c>
      <c r="E13846" s="3">
        <v>0</v>
      </c>
      <c r="F13846" s="2">
        <v>1832</v>
      </c>
      <c r="G13846" s="2">
        <v>100</v>
      </c>
      <c r="H13846" s="2">
        <v>344</v>
      </c>
      <c r="I13846" s="2">
        <v>1</v>
      </c>
      <c r="J13846" s="2">
        <v>1032</v>
      </c>
      <c r="K13846" s="2">
        <v>1</v>
      </c>
      <c r="L13846" s="2">
        <v>344</v>
      </c>
    </row>
    <row r="13847" spans="1:12" x14ac:dyDescent="0.25">
      <c r="A13847" s="4" t="str">
        <f>HYPERLINK("http://www.rosaceae.org/Prunus/Prunus_persica/p.persica_gdr_reftransV1_0010091","p.persica_gdr_reftransV1_0010091")</f>
        <v>p.persica_gdr_reftransV1_0010091</v>
      </c>
      <c r="B13847" s="2">
        <v>498</v>
      </c>
      <c r="C13847" s="4" t="str">
        <f>HYPERLINK("http://www.uniprot.org/uniprot/W8GSL1","W8GSL1")</f>
        <v>W8GSL1</v>
      </c>
      <c r="D13847" s="2" t="s">
        <v>11338</v>
      </c>
      <c r="E13847" s="3">
        <v>2.06E-89</v>
      </c>
      <c r="F13847" s="2">
        <v>759</v>
      </c>
      <c r="G13847" s="2">
        <v>98</v>
      </c>
      <c r="H13847" s="2">
        <v>165</v>
      </c>
      <c r="I13847" s="2">
        <v>3</v>
      </c>
      <c r="J13847" s="2">
        <v>497</v>
      </c>
      <c r="K13847" s="2">
        <v>755</v>
      </c>
      <c r="L13847" s="2">
        <v>919</v>
      </c>
    </row>
    <row r="13848" spans="1:12" x14ac:dyDescent="0.25">
      <c r="A13848" s="4" t="str">
        <f>HYPERLINK("http://www.rosaceae.org/Prunus/Prunus_persica/p.persica_gdr_reftransV1_0011141","p.persica_gdr_reftransV1_0011141")</f>
        <v>p.persica_gdr_reftransV1_0011141</v>
      </c>
      <c r="B13848" s="2">
        <v>713</v>
      </c>
      <c r="C13848" s="4" t="str">
        <f>HYPERLINK("http://www.uniprot.org/uniprot/M5WYB0","M5WYB0")</f>
        <v>M5WYB0</v>
      </c>
      <c r="D13848" s="2" t="s">
        <v>11339</v>
      </c>
      <c r="E13848" s="3">
        <v>2.8799999999999998E-172</v>
      </c>
      <c r="F13848" s="2">
        <v>1296</v>
      </c>
      <c r="G13848" s="2">
        <v>100</v>
      </c>
      <c r="H13848" s="2">
        <v>237</v>
      </c>
      <c r="I13848" s="2">
        <v>2</v>
      </c>
      <c r="J13848" s="2">
        <v>712</v>
      </c>
      <c r="K13848" s="2">
        <v>156</v>
      </c>
      <c r="L13848" s="2">
        <v>392</v>
      </c>
    </row>
    <row r="13849" spans="1:12" x14ac:dyDescent="0.25">
      <c r="A13849" s="4" t="str">
        <f>HYPERLINK("http://www.rosaceae.org/Prunus/Prunus_persica/p.persica_gdr_reftransV1_0012191","p.persica_gdr_reftransV1_0012191")</f>
        <v>p.persica_gdr_reftransV1_0012191</v>
      </c>
      <c r="B13849" s="2">
        <v>1821</v>
      </c>
      <c r="C13849" s="4" t="str">
        <f>HYPERLINK("http://www.uniprot.org/uniprot/M5WM81","M5WM81")</f>
        <v>M5WM81</v>
      </c>
      <c r="D13849" s="2" t="s">
        <v>11340</v>
      </c>
      <c r="E13849" s="3">
        <v>0</v>
      </c>
      <c r="F13849" s="2">
        <v>2110</v>
      </c>
      <c r="G13849" s="2">
        <v>100</v>
      </c>
      <c r="H13849" s="2">
        <v>419</v>
      </c>
      <c r="I13849" s="2">
        <v>440</v>
      </c>
      <c r="J13849" s="2">
        <v>1696</v>
      </c>
      <c r="K13849" s="2">
        <v>1</v>
      </c>
      <c r="L13849" s="2">
        <v>419</v>
      </c>
    </row>
    <row r="13850" spans="1:12" x14ac:dyDescent="0.25">
      <c r="A13850" s="4" t="str">
        <f>HYPERLINK("http://www.rosaceae.org/Prunus/Prunus_persica/p.persica_gdr_reftransV1_0013241","p.persica_gdr_reftransV1_0013241")</f>
        <v>p.persica_gdr_reftransV1_0013241</v>
      </c>
      <c r="B13850" s="2">
        <v>1796</v>
      </c>
      <c r="C13850" s="4" t="str">
        <f>HYPERLINK("http://www.uniprot.org/uniprot/M5VZW6","M5VZW6")</f>
        <v>M5VZW6</v>
      </c>
      <c r="D13850" s="2" t="s">
        <v>11341</v>
      </c>
      <c r="E13850" s="3">
        <v>1.6600000000000001E-105</v>
      </c>
      <c r="F13850" s="2">
        <v>845</v>
      </c>
      <c r="G13850" s="2">
        <v>100</v>
      </c>
      <c r="H13850" s="2">
        <v>172</v>
      </c>
      <c r="I13850" s="2">
        <v>316</v>
      </c>
      <c r="J13850" s="2">
        <v>831</v>
      </c>
      <c r="K13850" s="2">
        <v>1</v>
      </c>
      <c r="L13850" s="2">
        <v>172</v>
      </c>
    </row>
    <row r="13851" spans="1:12" x14ac:dyDescent="0.25">
      <c r="A13851" s="4" t="str">
        <f>HYPERLINK("http://www.rosaceae.org/Prunus/Prunus_persica/p.persica_gdr_reftransV1_0013941","p.persica_gdr_reftransV1_0013941")</f>
        <v>p.persica_gdr_reftransV1_0013941</v>
      </c>
      <c r="B13851" s="2">
        <v>1778</v>
      </c>
      <c r="C13851" s="4" t="str">
        <f>HYPERLINK("http://www.uniprot.org/uniprot/M5XD93","M5XD93")</f>
        <v>M5XD93</v>
      </c>
      <c r="D13851" s="2" t="s">
        <v>11342</v>
      </c>
      <c r="E13851" s="3">
        <v>0</v>
      </c>
      <c r="F13851" s="2">
        <v>1858</v>
      </c>
      <c r="G13851" s="2">
        <v>100</v>
      </c>
      <c r="H13851" s="2">
        <v>353</v>
      </c>
      <c r="I13851" s="2">
        <v>203</v>
      </c>
      <c r="J13851" s="2">
        <v>1261</v>
      </c>
      <c r="K13851" s="2">
        <v>1</v>
      </c>
      <c r="L13851" s="2">
        <v>353</v>
      </c>
    </row>
    <row r="13852" spans="1:12" x14ac:dyDescent="0.25">
      <c r="A13852" s="4" t="str">
        <f>HYPERLINK("http://www.rosaceae.org/Prunus/Prunus_persica/p.persica_gdr_reftransV1_0014291","p.persica_gdr_reftransV1_0014291")</f>
        <v>p.persica_gdr_reftransV1_0014291</v>
      </c>
      <c r="B13852" s="2">
        <v>1550</v>
      </c>
      <c r="C13852" s="4" t="str">
        <f>HYPERLINK("http://www.uniprot.org/uniprot/M5XD25","M5XD25")</f>
        <v>M5XD25</v>
      </c>
      <c r="D13852" s="2" t="s">
        <v>11343</v>
      </c>
      <c r="E13852" s="3">
        <v>0</v>
      </c>
      <c r="F13852" s="2">
        <v>1413</v>
      </c>
      <c r="G13852" s="2">
        <v>100</v>
      </c>
      <c r="H13852" s="2">
        <v>285</v>
      </c>
      <c r="I13852" s="2">
        <v>423</v>
      </c>
      <c r="J13852" s="2">
        <v>1277</v>
      </c>
      <c r="K13852" s="2">
        <v>1</v>
      </c>
      <c r="L13852" s="2">
        <v>285</v>
      </c>
    </row>
    <row r="13853" spans="1:12" x14ac:dyDescent="0.25">
      <c r="A13853" s="4" t="str">
        <f>HYPERLINK("http://www.rosaceae.org/Prunus/Prunus_persica/p.persica_gdr_reftransV1_0015691","p.persica_gdr_reftransV1_0015691")</f>
        <v>p.persica_gdr_reftransV1_0015691</v>
      </c>
      <c r="B13853" s="2">
        <v>3600</v>
      </c>
      <c r="C13853" s="4" t="str">
        <f>HYPERLINK("http://www.uniprot.org/uniprot/M5WCW6","M5WCW6")</f>
        <v>M5WCW6</v>
      </c>
      <c r="D13853" s="2" t="s">
        <v>11344</v>
      </c>
      <c r="E13853" s="3">
        <v>0</v>
      </c>
      <c r="F13853" s="2">
        <v>4028</v>
      </c>
      <c r="G13853" s="2">
        <v>100</v>
      </c>
      <c r="H13853" s="2">
        <v>901</v>
      </c>
      <c r="I13853" s="2">
        <v>237</v>
      </c>
      <c r="J13853" s="2">
        <v>2939</v>
      </c>
      <c r="K13853" s="2">
        <v>1</v>
      </c>
      <c r="L13853" s="2">
        <v>901</v>
      </c>
    </row>
    <row r="13854" spans="1:12" x14ac:dyDescent="0.25">
      <c r="A13854" s="4" t="str">
        <f>HYPERLINK("http://www.rosaceae.org/Prunus/Prunus_persica/p.persica_gdr_reftransV1_0016391","p.persica_gdr_reftransV1_0016391")</f>
        <v>p.persica_gdr_reftransV1_0016391</v>
      </c>
      <c r="B13854" s="2">
        <v>1462</v>
      </c>
      <c r="C13854" s="4" t="str">
        <f>HYPERLINK("http://www.uniprot.org/uniprot/M5WJX1","M5WJX1")</f>
        <v>M5WJX1</v>
      </c>
      <c r="D13854" s="2" t="s">
        <v>11345</v>
      </c>
      <c r="E13854" s="3">
        <v>7.8999999999999999E-112</v>
      </c>
      <c r="F13854" s="2">
        <v>874</v>
      </c>
      <c r="G13854" s="2">
        <v>100</v>
      </c>
      <c r="H13854" s="2">
        <v>209</v>
      </c>
      <c r="I13854" s="2">
        <v>249</v>
      </c>
      <c r="J13854" s="2">
        <v>875</v>
      </c>
      <c r="K13854" s="2">
        <v>1</v>
      </c>
      <c r="L13854" s="2">
        <v>209</v>
      </c>
    </row>
    <row r="13855" spans="1:12" x14ac:dyDescent="0.25">
      <c r="A13855" s="4" t="str">
        <f>HYPERLINK("http://www.rosaceae.org/Prunus/Prunus_persica/p.persica_gdr_reftransV1_0016741","p.persica_gdr_reftransV1_0016741")</f>
        <v>p.persica_gdr_reftransV1_0016741</v>
      </c>
      <c r="B13855" s="2">
        <v>1285</v>
      </c>
      <c r="C13855" s="4" t="str">
        <f>HYPERLINK("http://www.uniprot.org/uniprot/M5VNV5","M5VNV5")</f>
        <v>M5VNV5</v>
      </c>
      <c r="D13855" s="2" t="s">
        <v>11346</v>
      </c>
      <c r="E13855" s="3">
        <v>0</v>
      </c>
      <c r="F13855" s="2">
        <v>1895</v>
      </c>
      <c r="G13855" s="2">
        <v>100</v>
      </c>
      <c r="H13855" s="2">
        <v>352</v>
      </c>
      <c r="I13855" s="2">
        <v>165</v>
      </c>
      <c r="J13855" s="2">
        <v>1220</v>
      </c>
      <c r="K13855" s="2">
        <v>1</v>
      </c>
      <c r="L13855" s="2">
        <v>352</v>
      </c>
    </row>
    <row r="13856" spans="1:12" x14ac:dyDescent="0.25">
      <c r="A13856" s="4" t="str">
        <f>HYPERLINK("http://www.rosaceae.org/Prunus/Prunus_persica/p.persica_gdr_reftransV1_0017091","p.persica_gdr_reftransV1_0017091")</f>
        <v>p.persica_gdr_reftransV1_0017091</v>
      </c>
      <c r="B13856" s="2">
        <v>5867</v>
      </c>
      <c r="C13856" s="4" t="str">
        <f>HYPERLINK("http://www.uniprot.org/uniprot/M5XKE9","M5XKE9")</f>
        <v>M5XKE9</v>
      </c>
      <c r="D13856" s="2" t="s">
        <v>11347</v>
      </c>
      <c r="E13856" s="3">
        <v>0</v>
      </c>
      <c r="F13856" s="2">
        <v>3461</v>
      </c>
      <c r="G13856" s="2">
        <v>100</v>
      </c>
      <c r="H13856" s="2">
        <v>684</v>
      </c>
      <c r="I13856" s="2">
        <v>314</v>
      </c>
      <c r="J13856" s="2">
        <v>2365</v>
      </c>
      <c r="K13856" s="2">
        <v>281</v>
      </c>
      <c r="L13856" s="2">
        <v>964</v>
      </c>
    </row>
    <row r="13857" spans="1:12" x14ac:dyDescent="0.25">
      <c r="A13857" s="4" t="str">
        <f>HYPERLINK("http://www.rosaceae.org/Prunus/Prunus_persica/p.persica_gdr_reftransV1_0017441","p.persica_gdr_reftransV1_0017441")</f>
        <v>p.persica_gdr_reftransV1_0017441</v>
      </c>
      <c r="B13857" s="2">
        <v>2427</v>
      </c>
      <c r="C13857" s="4" t="str">
        <f>HYPERLINK("http://www.uniprot.org/uniprot/M5XJS0","M5XJS0")</f>
        <v>M5XJS0</v>
      </c>
      <c r="D13857" s="2" t="s">
        <v>11348</v>
      </c>
      <c r="E13857" s="3">
        <v>0</v>
      </c>
      <c r="F13857" s="2">
        <v>1565</v>
      </c>
      <c r="G13857" s="2">
        <v>97</v>
      </c>
      <c r="H13857" s="2">
        <v>301</v>
      </c>
      <c r="I13857" s="2">
        <v>232</v>
      </c>
      <c r="J13857" s="2">
        <v>1134</v>
      </c>
      <c r="K13857" s="2">
        <v>1</v>
      </c>
      <c r="L13857" s="2">
        <v>300</v>
      </c>
    </row>
    <row r="13858" spans="1:12" x14ac:dyDescent="0.25">
      <c r="A13858" s="4" t="str">
        <f>HYPERLINK("http://www.rosaceae.org/Prunus/Prunus_persica/p.persica_gdr_reftransV1_0018141","p.persica_gdr_reftransV1_0018141")</f>
        <v>p.persica_gdr_reftransV1_0018141</v>
      </c>
      <c r="B13858" s="2">
        <v>1416</v>
      </c>
      <c r="C13858" s="4" t="str">
        <f>HYPERLINK("http://www.uniprot.org/uniprot/A0A0B0P525","A0A0B0P525")</f>
        <v>A0A0B0P525</v>
      </c>
      <c r="D13858" s="2" t="s">
        <v>11349</v>
      </c>
      <c r="E13858" s="3">
        <v>1.9700000000000001E-17</v>
      </c>
      <c r="F13858" s="2">
        <v>220</v>
      </c>
      <c r="G13858" s="2">
        <v>66</v>
      </c>
      <c r="H13858" s="2">
        <v>64</v>
      </c>
      <c r="I13858" s="2">
        <v>813</v>
      </c>
      <c r="J13858" s="2">
        <v>1004</v>
      </c>
      <c r="K13858" s="2">
        <v>1</v>
      </c>
      <c r="L13858" s="2">
        <v>64</v>
      </c>
    </row>
    <row r="13859" spans="1:12" x14ac:dyDescent="0.25">
      <c r="A13859" s="4" t="str">
        <f>HYPERLINK("http://www.rosaceae.org/Prunus/Prunus_persica/p.persica_gdr_reftransV1_0018491","p.persica_gdr_reftransV1_0018491")</f>
        <v>p.persica_gdr_reftransV1_0018491</v>
      </c>
      <c r="B13859" s="2">
        <v>1889</v>
      </c>
      <c r="C13859" s="4" t="str">
        <f>HYPERLINK("http://www.uniprot.org/uniprot/M5XDA9","M5XDA9")</f>
        <v>M5XDA9</v>
      </c>
      <c r="D13859" s="2" t="s">
        <v>11350</v>
      </c>
      <c r="E13859" s="3">
        <v>0</v>
      </c>
      <c r="F13859" s="2">
        <v>2894</v>
      </c>
      <c r="G13859" s="2">
        <v>100</v>
      </c>
      <c r="H13859" s="2">
        <v>544</v>
      </c>
      <c r="I13859" s="2">
        <v>101</v>
      </c>
      <c r="J13859" s="2">
        <v>1732</v>
      </c>
      <c r="K13859" s="2">
        <v>1</v>
      </c>
      <c r="L13859" s="2">
        <v>544</v>
      </c>
    </row>
    <row r="13860" spans="1:12" x14ac:dyDescent="0.25">
      <c r="A13860" s="4" t="str">
        <f>HYPERLINK("http://www.rosaceae.org/Prunus/Prunus_persica/p.persica_gdr_reftransV1_0020241","p.persica_gdr_reftransV1_0020241")</f>
        <v>p.persica_gdr_reftransV1_0020241</v>
      </c>
      <c r="B13860" s="2">
        <v>1376</v>
      </c>
      <c r="C13860" s="4" t="str">
        <f>HYPERLINK("http://www.uniprot.org/uniprot/M5VR57","M5VR57")</f>
        <v>M5VR57</v>
      </c>
      <c r="D13860" s="2" t="s">
        <v>11351</v>
      </c>
      <c r="E13860" s="3">
        <v>5.0200000000000001E-85</v>
      </c>
      <c r="F13860" s="2">
        <v>691</v>
      </c>
      <c r="G13860" s="2">
        <v>100</v>
      </c>
      <c r="H13860" s="2">
        <v>131</v>
      </c>
      <c r="I13860" s="2">
        <v>706</v>
      </c>
      <c r="J13860" s="2">
        <v>1098</v>
      </c>
      <c r="K13860" s="2">
        <v>59</v>
      </c>
      <c r="L13860" s="2">
        <v>189</v>
      </c>
    </row>
    <row r="13861" spans="1:12" x14ac:dyDescent="0.25">
      <c r="A13861" s="4" t="str">
        <f>HYPERLINK("http://www.rosaceae.org/Prunus/Prunus_persica/p.persica_gdr_reftransV1_0020591","p.persica_gdr_reftransV1_0020591")</f>
        <v>p.persica_gdr_reftransV1_0020591</v>
      </c>
      <c r="B13861" s="2">
        <v>1314</v>
      </c>
      <c r="C13861" s="4" t="str">
        <f>HYPERLINK("http://www.uniprot.org/uniprot/M5VQC5","M5VQC5")</f>
        <v>M5VQC5</v>
      </c>
      <c r="D13861" s="2" t="s">
        <v>11352</v>
      </c>
      <c r="E13861" s="3">
        <v>0</v>
      </c>
      <c r="F13861" s="2">
        <v>1550</v>
      </c>
      <c r="G13861" s="2">
        <v>98</v>
      </c>
      <c r="H13861" s="2">
        <v>313</v>
      </c>
      <c r="I13861" s="2">
        <v>270</v>
      </c>
      <c r="J13861" s="2">
        <v>1208</v>
      </c>
      <c r="K13861" s="2">
        <v>1</v>
      </c>
      <c r="L13861" s="2">
        <v>308</v>
      </c>
    </row>
    <row r="13862" spans="1:12" x14ac:dyDescent="0.25">
      <c r="A13862" s="4" t="str">
        <f>HYPERLINK("http://www.rosaceae.org/Prunus/Prunus_persica/p.persica_gdr_reftransV1_0021991","p.persica_gdr_reftransV1_0021991")</f>
        <v>p.persica_gdr_reftransV1_0021991</v>
      </c>
      <c r="B13862" s="2">
        <v>2732</v>
      </c>
      <c r="C13862" s="4" t="str">
        <f>HYPERLINK("http://www.uniprot.org/uniprot/M5VVP0","M5VVP0")</f>
        <v>M5VVP0</v>
      </c>
      <c r="D13862" s="2" t="s">
        <v>11353</v>
      </c>
      <c r="E13862" s="3">
        <v>0</v>
      </c>
      <c r="F13862" s="2">
        <v>1410</v>
      </c>
      <c r="G13862" s="2">
        <v>100</v>
      </c>
      <c r="H13862" s="2">
        <v>300</v>
      </c>
      <c r="I13862" s="2">
        <v>448</v>
      </c>
      <c r="J13862" s="2">
        <v>1347</v>
      </c>
      <c r="K13862" s="2">
        <v>256</v>
      </c>
      <c r="L13862" s="2">
        <v>555</v>
      </c>
    </row>
    <row r="13863" spans="1:12" x14ac:dyDescent="0.25">
      <c r="A13863" s="4" t="str">
        <f>HYPERLINK("http://www.rosaceae.org/Prunus/Prunus_persica/p.persica_gdr_reftransV1_0027241","p.persica_gdr_reftransV1_0027241")</f>
        <v>p.persica_gdr_reftransV1_0027241</v>
      </c>
      <c r="B13863" s="2">
        <v>5962</v>
      </c>
      <c r="C13863" s="4" t="str">
        <f>HYPERLINK("http://www.uniprot.org/uniprot/M5XKP2","M5XKP2")</f>
        <v>M5XKP2</v>
      </c>
      <c r="D13863" s="2" t="s">
        <v>11354</v>
      </c>
      <c r="E13863" s="3">
        <v>0</v>
      </c>
      <c r="F13863" s="2">
        <v>3878</v>
      </c>
      <c r="G13863" s="2">
        <v>98</v>
      </c>
      <c r="H13863" s="2">
        <v>749</v>
      </c>
      <c r="I13863" s="2">
        <v>525</v>
      </c>
      <c r="J13863" s="2">
        <v>2771</v>
      </c>
      <c r="K13863" s="2">
        <v>1</v>
      </c>
      <c r="L13863" s="2">
        <v>731</v>
      </c>
    </row>
    <row r="13864" spans="1:12" x14ac:dyDescent="0.25">
      <c r="A13864" s="4" t="str">
        <f>HYPERLINK("http://www.rosaceae.org/Prunus/Prunus_persica/p.persica_gdr_reftransV1_0027941","p.persica_gdr_reftransV1_0027941")</f>
        <v>p.persica_gdr_reftransV1_0027941</v>
      </c>
      <c r="B13864" s="2">
        <v>4564</v>
      </c>
      <c r="C13864" s="4" t="str">
        <f>HYPERLINK("http://www.uniprot.org/uniprot/M5WZY5","M5WZY5")</f>
        <v>M5WZY5</v>
      </c>
      <c r="D13864" s="2" t="s">
        <v>11355</v>
      </c>
      <c r="E13864" s="3">
        <v>0</v>
      </c>
      <c r="F13864" s="2">
        <v>4670</v>
      </c>
      <c r="G13864" s="2">
        <v>91</v>
      </c>
      <c r="H13864" s="2">
        <v>1056</v>
      </c>
      <c r="I13864" s="2">
        <v>191</v>
      </c>
      <c r="J13864" s="2">
        <v>3358</v>
      </c>
      <c r="K13864" s="2">
        <v>2</v>
      </c>
      <c r="L13864" s="2">
        <v>961</v>
      </c>
    </row>
    <row r="13865" spans="1:12" x14ac:dyDescent="0.25">
      <c r="A13865" s="4" t="str">
        <f>HYPERLINK("http://www.rosaceae.org/Prunus/Prunus_persica/p.persica_gdr_reftransV1_0031791","p.persica_gdr_reftransV1_0031791")</f>
        <v>p.persica_gdr_reftransV1_0031791</v>
      </c>
      <c r="B13865" s="2">
        <v>1278</v>
      </c>
      <c r="C13865" s="4" t="str">
        <f>HYPERLINK("http://www.uniprot.org/uniprot/M5WAS9","M5WAS9")</f>
        <v>M5WAS9</v>
      </c>
      <c r="D13865" s="2" t="s">
        <v>11356</v>
      </c>
      <c r="E13865" s="3">
        <v>5.2500000000000004E-78</v>
      </c>
      <c r="F13865" s="2">
        <v>641</v>
      </c>
      <c r="G13865" s="2">
        <v>94</v>
      </c>
      <c r="H13865" s="2">
        <v>153</v>
      </c>
      <c r="I13865" s="2">
        <v>687</v>
      </c>
      <c r="J13865" s="2">
        <v>1145</v>
      </c>
      <c r="K13865" s="2">
        <v>32</v>
      </c>
      <c r="L13865" s="2">
        <v>184</v>
      </c>
    </row>
    <row r="13866" spans="1:12" x14ac:dyDescent="0.25">
      <c r="A13866" s="4" t="str">
        <f>HYPERLINK("http://www.rosaceae.org/Prunus/Prunus_persica/p.persica_gdr_reftransV1_0032491","p.persica_gdr_reftransV1_0032491")</f>
        <v>p.persica_gdr_reftransV1_0032491</v>
      </c>
      <c r="B13866" s="2">
        <v>1871</v>
      </c>
      <c r="C13866" s="4" t="str">
        <f>HYPERLINK("http://www.uniprot.org/uniprot/M5WSY8","M5WSY8")</f>
        <v>M5WSY8</v>
      </c>
      <c r="D13866" s="2" t="s">
        <v>11357</v>
      </c>
      <c r="E13866" s="3">
        <v>2.1199999999999999E-85</v>
      </c>
      <c r="F13866" s="2">
        <v>701</v>
      </c>
      <c r="G13866" s="2">
        <v>100</v>
      </c>
      <c r="H13866" s="2">
        <v>133</v>
      </c>
      <c r="I13866" s="2">
        <v>251</v>
      </c>
      <c r="J13866" s="2">
        <v>649</v>
      </c>
      <c r="K13866" s="2">
        <v>1</v>
      </c>
      <c r="L13866" s="2">
        <v>133</v>
      </c>
    </row>
    <row r="13867" spans="1:12" x14ac:dyDescent="0.25">
      <c r="A13867" s="4" t="str">
        <f>HYPERLINK("http://www.rosaceae.org/Prunus/Prunus_persica/p.persica_gdr_reftransV1_0033191","p.persica_gdr_reftransV1_0033191")</f>
        <v>p.persica_gdr_reftransV1_0033191</v>
      </c>
      <c r="B13867" s="2">
        <v>3243</v>
      </c>
      <c r="C13867" s="4" t="str">
        <f>HYPERLINK("http://www.uniprot.org/uniprot/M5WHH2","M5WHH2")</f>
        <v>M5WHH2</v>
      </c>
      <c r="D13867" s="2" t="s">
        <v>389</v>
      </c>
      <c r="E13867" s="3">
        <v>2.2600000000000001E-50</v>
      </c>
      <c r="F13867" s="2">
        <v>476</v>
      </c>
      <c r="G13867" s="2">
        <v>100</v>
      </c>
      <c r="H13867" s="2">
        <v>101</v>
      </c>
      <c r="I13867" s="2">
        <v>668</v>
      </c>
      <c r="J13867" s="2">
        <v>970</v>
      </c>
      <c r="K13867" s="2">
        <v>107</v>
      </c>
      <c r="L13867" s="2">
        <v>207</v>
      </c>
    </row>
    <row r="13868" spans="1:12" x14ac:dyDescent="0.25">
      <c r="A13868" s="4" t="str">
        <f>HYPERLINK("http://www.rosaceae.org/Prunus/Prunus_persica/p.persica_gdr_reftransV1_0035991","p.persica_gdr_reftransV1_0035991")</f>
        <v>p.persica_gdr_reftransV1_0035991</v>
      </c>
      <c r="B13868" s="2">
        <v>2416</v>
      </c>
      <c r="C13868" s="4" t="str">
        <f>HYPERLINK("http://www.uniprot.org/uniprot/M5XD92","M5XD92")</f>
        <v>M5XD92</v>
      </c>
      <c r="D13868" s="2" t="s">
        <v>11358</v>
      </c>
      <c r="E13868" s="3">
        <v>8.5899999999999999E-70</v>
      </c>
      <c r="F13868" s="2">
        <v>615</v>
      </c>
      <c r="G13868" s="2">
        <v>100</v>
      </c>
      <c r="H13868" s="2">
        <v>152</v>
      </c>
      <c r="I13868" s="2">
        <v>1648</v>
      </c>
      <c r="J13868" s="2">
        <v>2103</v>
      </c>
      <c r="K13868" s="2">
        <v>102</v>
      </c>
      <c r="L13868" s="2">
        <v>253</v>
      </c>
    </row>
    <row r="13869" spans="1:12" x14ac:dyDescent="0.25">
      <c r="A13869" s="4" t="str">
        <f>HYPERLINK("http://www.rosaceae.org/Prunus/Prunus_persica/p.persica_gdr_reftransV1_0036691","p.persica_gdr_reftransV1_0036691")</f>
        <v>p.persica_gdr_reftransV1_0036691</v>
      </c>
      <c r="B13869" s="2">
        <v>2732</v>
      </c>
      <c r="C13869" s="4" t="str">
        <f>HYPERLINK("http://www.uniprot.org/uniprot/M5XDS2","M5XDS2")</f>
        <v>M5XDS2</v>
      </c>
      <c r="D13869" s="2" t="s">
        <v>11359</v>
      </c>
      <c r="E13869" s="3">
        <v>0</v>
      </c>
      <c r="F13869" s="2">
        <v>2883</v>
      </c>
      <c r="G13869" s="2">
        <v>100</v>
      </c>
      <c r="H13869" s="2">
        <v>553</v>
      </c>
      <c r="I13869" s="2">
        <v>176</v>
      </c>
      <c r="J13869" s="2">
        <v>1834</v>
      </c>
      <c r="K13869" s="2">
        <v>1</v>
      </c>
      <c r="L13869" s="2">
        <v>553</v>
      </c>
    </row>
    <row r="13870" spans="1:12" x14ac:dyDescent="0.25">
      <c r="A13870" s="4" t="str">
        <f>HYPERLINK("http://www.rosaceae.org/Prunus/Prunus_persica/p.persica_gdr_reftransV1_0042641","p.persica_gdr_reftransV1_0042641")</f>
        <v>p.persica_gdr_reftransV1_0042641</v>
      </c>
      <c r="B13870" s="2">
        <v>2835</v>
      </c>
      <c r="C13870" s="4" t="str">
        <f>HYPERLINK("http://www.uniprot.org/uniprot/M5WUZ5","M5WUZ5")</f>
        <v>M5WUZ5</v>
      </c>
      <c r="D13870" s="2" t="s">
        <v>9657</v>
      </c>
      <c r="E13870" s="3">
        <v>0</v>
      </c>
      <c r="F13870" s="2">
        <v>1437</v>
      </c>
      <c r="G13870" s="2">
        <v>100</v>
      </c>
      <c r="H13870" s="2">
        <v>298</v>
      </c>
      <c r="I13870" s="2">
        <v>1821</v>
      </c>
      <c r="J13870" s="2">
        <v>2714</v>
      </c>
      <c r="K13870" s="2">
        <v>1</v>
      </c>
      <c r="L13870" s="2">
        <v>298</v>
      </c>
    </row>
    <row r="13871" spans="1:12" x14ac:dyDescent="0.25">
      <c r="A13871" s="4" t="str">
        <f>HYPERLINK("http://www.rosaceae.org/Prunus/Prunus_persica/p.persica_gdr_reftransV1_0043341","p.persica_gdr_reftransV1_0043341")</f>
        <v>p.persica_gdr_reftransV1_0043341</v>
      </c>
      <c r="B13871" s="2">
        <v>737</v>
      </c>
      <c r="C13871" s="4" t="str">
        <f>HYPERLINK("http://www.uniprot.org/uniprot/M5W2A4","M5W2A4")</f>
        <v>M5W2A4</v>
      </c>
      <c r="D13871" s="2" t="s">
        <v>11360</v>
      </c>
      <c r="E13871" s="3">
        <v>9.42E-61</v>
      </c>
      <c r="F13871" s="2">
        <v>502</v>
      </c>
      <c r="G13871" s="2">
        <v>100</v>
      </c>
      <c r="H13871" s="2">
        <v>95</v>
      </c>
      <c r="I13871" s="2">
        <v>241</v>
      </c>
      <c r="J13871" s="2">
        <v>525</v>
      </c>
      <c r="K13871" s="2">
        <v>1</v>
      </c>
      <c r="L13871" s="2">
        <v>95</v>
      </c>
    </row>
    <row r="13872" spans="1:12" x14ac:dyDescent="0.25">
      <c r="A13872" s="4" t="str">
        <f>HYPERLINK("http://www.rosaceae.org/Prunus/Prunus_persica/p.persica_gdr_reftransV1_0044041","p.persica_gdr_reftransV1_0044041")</f>
        <v>p.persica_gdr_reftransV1_0044041</v>
      </c>
      <c r="B13872" s="2">
        <v>843</v>
      </c>
      <c r="C13872" s="4" t="str">
        <f>HYPERLINK("http://www.uniprot.org/uniprot/M5XT27","M5XT27")</f>
        <v>M5XT27</v>
      </c>
      <c r="D13872" s="2" t="s">
        <v>11361</v>
      </c>
      <c r="E13872" s="3">
        <v>1.13E-61</v>
      </c>
      <c r="F13872" s="2">
        <v>514</v>
      </c>
      <c r="G13872" s="2">
        <v>100</v>
      </c>
      <c r="H13872" s="2">
        <v>124</v>
      </c>
      <c r="I13872" s="2">
        <v>90</v>
      </c>
      <c r="J13872" s="2">
        <v>461</v>
      </c>
      <c r="K13872" s="2">
        <v>1</v>
      </c>
      <c r="L13872" s="2">
        <v>124</v>
      </c>
    </row>
    <row r="13873" spans="1:12" x14ac:dyDescent="0.25">
      <c r="A13873" s="4" t="str">
        <f>HYPERLINK("http://www.rosaceae.org/Prunus/Prunus_persica/p.persica_gdr_reftransV1_0044741","p.persica_gdr_reftransV1_0044741")</f>
        <v>p.persica_gdr_reftransV1_0044741</v>
      </c>
      <c r="B13873" s="2">
        <v>938</v>
      </c>
      <c r="C13873" s="4" t="str">
        <f>HYPERLINK("http://www.uniprot.org/uniprot/M5WDK1","M5WDK1")</f>
        <v>M5WDK1</v>
      </c>
      <c r="D13873" s="2" t="s">
        <v>3733</v>
      </c>
      <c r="E13873" s="3">
        <v>0</v>
      </c>
      <c r="F13873" s="2">
        <v>1390</v>
      </c>
      <c r="G13873" s="2">
        <v>100</v>
      </c>
      <c r="H13873" s="2">
        <v>299</v>
      </c>
      <c r="I13873" s="2">
        <v>40</v>
      </c>
      <c r="J13873" s="2">
        <v>936</v>
      </c>
      <c r="K13873" s="2">
        <v>1</v>
      </c>
      <c r="L13873" s="2">
        <v>299</v>
      </c>
    </row>
    <row r="13874" spans="1:12" x14ac:dyDescent="0.25">
      <c r="A13874" s="4" t="str">
        <f>HYPERLINK("http://www.rosaceae.org/Prunus/Prunus_persica/p.persica_gdr_reftransV1_0045441","p.persica_gdr_reftransV1_0045441")</f>
        <v>p.persica_gdr_reftransV1_0045441</v>
      </c>
      <c r="B13874" s="2">
        <v>382</v>
      </c>
      <c r="C13874" s="4" t="str">
        <f>HYPERLINK("http://www.uniprot.org/uniprot/B9S269","B9S269")</f>
        <v>B9S269</v>
      </c>
      <c r="D13874" s="2" t="s">
        <v>11362</v>
      </c>
      <c r="E13874" s="3">
        <v>2.0499999999999999E-81</v>
      </c>
      <c r="F13874" s="2">
        <v>641</v>
      </c>
      <c r="G13874" s="2">
        <v>90</v>
      </c>
      <c r="H13874" s="2">
        <v>126</v>
      </c>
      <c r="I13874" s="2">
        <v>3</v>
      </c>
      <c r="J13874" s="2">
        <v>380</v>
      </c>
      <c r="K13874" s="2">
        <v>91</v>
      </c>
      <c r="L13874" s="2">
        <v>216</v>
      </c>
    </row>
    <row r="13875" spans="1:12" x14ac:dyDescent="0.25">
      <c r="A13875" s="4" t="str">
        <f>HYPERLINK("http://www.rosaceae.org/Prunus/Prunus_persica/p.persica_gdr_reftransV1_0045791","p.persica_gdr_reftransV1_0045791")</f>
        <v>p.persica_gdr_reftransV1_0045791</v>
      </c>
      <c r="B13875" s="2">
        <v>1503</v>
      </c>
      <c r="C13875" s="4" t="str">
        <f>HYPERLINK("http://www.uniprot.org/uniprot/M5WXG0","M5WXG0")</f>
        <v>M5WXG0</v>
      </c>
      <c r="D13875" s="2" t="s">
        <v>8710</v>
      </c>
      <c r="E13875" s="3">
        <v>0</v>
      </c>
      <c r="F13875" s="2">
        <v>1642</v>
      </c>
      <c r="G13875" s="2">
        <v>99</v>
      </c>
      <c r="H13875" s="2">
        <v>309</v>
      </c>
      <c r="I13875" s="2">
        <v>331</v>
      </c>
      <c r="J13875" s="2">
        <v>1257</v>
      </c>
      <c r="K13875" s="2">
        <v>449</v>
      </c>
      <c r="L13875" s="2">
        <v>757</v>
      </c>
    </row>
    <row r="13876" spans="1:12" x14ac:dyDescent="0.25">
      <c r="A13876" s="4" t="str">
        <f>HYPERLINK("http://www.rosaceae.org/Prunus/Prunus_persica/p.persica_gdr_reftransV1_0046141","p.persica_gdr_reftransV1_0046141")</f>
        <v>p.persica_gdr_reftransV1_0046141</v>
      </c>
      <c r="B13876" s="2">
        <v>2751</v>
      </c>
      <c r="C13876" s="4" t="str">
        <f>HYPERLINK("http://www.uniprot.org/uniprot/M5WCR7","M5WCR7")</f>
        <v>M5WCR7</v>
      </c>
      <c r="D13876" s="2" t="s">
        <v>11363</v>
      </c>
      <c r="E13876" s="3">
        <v>0</v>
      </c>
      <c r="F13876" s="2">
        <v>4014</v>
      </c>
      <c r="G13876" s="2">
        <v>100</v>
      </c>
      <c r="H13876" s="2">
        <v>779</v>
      </c>
      <c r="I13876" s="2">
        <v>241</v>
      </c>
      <c r="J13876" s="2">
        <v>2577</v>
      </c>
      <c r="K13876" s="2">
        <v>1</v>
      </c>
      <c r="L13876" s="2">
        <v>779</v>
      </c>
    </row>
    <row r="13877" spans="1:12" x14ac:dyDescent="0.25">
      <c r="A13877" s="4" t="str">
        <f>HYPERLINK("http://www.rosaceae.org/Prunus/Prunus_persica/p.persica_gdr_reftransV1_0047191","p.persica_gdr_reftransV1_0047191")</f>
        <v>p.persica_gdr_reftransV1_0047191</v>
      </c>
      <c r="B13877" s="2">
        <v>766</v>
      </c>
      <c r="C13877" s="4" t="str">
        <f>HYPERLINK("http://www.uniprot.org/uniprot/M5WQ02","M5WQ02")</f>
        <v>M5WQ02</v>
      </c>
      <c r="D13877" s="2" t="s">
        <v>2401</v>
      </c>
      <c r="E13877" s="3">
        <v>1.25E-13</v>
      </c>
      <c r="F13877" s="2">
        <v>194</v>
      </c>
      <c r="G13877" s="2">
        <v>98</v>
      </c>
      <c r="H13877" s="2">
        <v>41</v>
      </c>
      <c r="I13877" s="2">
        <v>644</v>
      </c>
      <c r="J13877" s="2">
        <v>766</v>
      </c>
      <c r="K13877" s="2">
        <v>1</v>
      </c>
      <c r="L13877" s="2">
        <v>41</v>
      </c>
    </row>
    <row r="13878" spans="1:12" x14ac:dyDescent="0.25">
      <c r="A13878" s="4" t="str">
        <f>HYPERLINK("http://www.rosaceae.org/Prunus/Prunus_persica/p.persica_gdr_reftransV1_0047541","p.persica_gdr_reftransV1_0047541")</f>
        <v>p.persica_gdr_reftransV1_0047541</v>
      </c>
      <c r="B13878" s="2">
        <v>1794</v>
      </c>
      <c r="C13878" s="4" t="str">
        <f>HYPERLINK("http://www.uniprot.org/uniprot/M5VY94","M5VY94")</f>
        <v>M5VY94</v>
      </c>
      <c r="D13878" s="2" t="s">
        <v>1568</v>
      </c>
      <c r="E13878" s="3">
        <v>0</v>
      </c>
      <c r="F13878" s="2">
        <v>1936</v>
      </c>
      <c r="G13878" s="2">
        <v>100</v>
      </c>
      <c r="H13878" s="2">
        <v>432</v>
      </c>
      <c r="I13878" s="2">
        <v>400</v>
      </c>
      <c r="J13878" s="2">
        <v>1695</v>
      </c>
      <c r="K13878" s="2">
        <v>1</v>
      </c>
      <c r="L13878" s="2">
        <v>432</v>
      </c>
    </row>
    <row r="13879" spans="1:12" x14ac:dyDescent="0.25">
      <c r="A13879" s="4" t="str">
        <f>HYPERLINK("http://www.rosaceae.org/Prunus/Prunus_persica/p.persica_gdr_reftransV1_0048241","p.persica_gdr_reftransV1_0048241")</f>
        <v>p.persica_gdr_reftransV1_0048241</v>
      </c>
      <c r="B13879" s="2">
        <v>1344</v>
      </c>
      <c r="C13879" s="4" t="str">
        <f>HYPERLINK("http://www.uniprot.org/uniprot/M5W098","M5W098")</f>
        <v>M5W098</v>
      </c>
      <c r="D13879" s="2" t="s">
        <v>11364</v>
      </c>
      <c r="E13879" s="3">
        <v>0</v>
      </c>
      <c r="F13879" s="2">
        <v>1569</v>
      </c>
      <c r="G13879" s="2">
        <v>100</v>
      </c>
      <c r="H13879" s="2">
        <v>316</v>
      </c>
      <c r="I13879" s="2">
        <v>64</v>
      </c>
      <c r="J13879" s="2">
        <v>1011</v>
      </c>
      <c r="K13879" s="2">
        <v>1</v>
      </c>
      <c r="L13879" s="2">
        <v>316</v>
      </c>
    </row>
    <row r="13880" spans="1:12" x14ac:dyDescent="0.25">
      <c r="A13880" s="4" t="str">
        <f>HYPERLINK("http://www.rosaceae.org/Prunus/Prunus_persica/p.persica_gdr_reftransV1_0048591","p.persica_gdr_reftransV1_0048591")</f>
        <v>p.persica_gdr_reftransV1_0048591</v>
      </c>
      <c r="B13880" s="2">
        <v>4380</v>
      </c>
      <c r="C13880" s="4" t="str">
        <f>HYPERLINK("http://www.uniprot.org/uniprot/M5W565","M5W565")</f>
        <v>M5W565</v>
      </c>
      <c r="D13880" s="2" t="s">
        <v>1822</v>
      </c>
      <c r="E13880" s="3">
        <v>0</v>
      </c>
      <c r="F13880" s="2">
        <v>7094</v>
      </c>
      <c r="G13880" s="2">
        <v>100</v>
      </c>
      <c r="H13880" s="2">
        <v>1350</v>
      </c>
      <c r="I13880" s="2">
        <v>2</v>
      </c>
      <c r="J13880" s="2">
        <v>4051</v>
      </c>
      <c r="K13880" s="2">
        <v>98</v>
      </c>
      <c r="L13880" s="2">
        <v>1447</v>
      </c>
    </row>
    <row r="13881" spans="1:12" x14ac:dyDescent="0.25">
      <c r="A13881" s="4" t="str">
        <f>HYPERLINK("http://www.rosaceae.org/Prunus/Prunus_persica/p.persica_gdr_reftransV1_0048941","p.persica_gdr_reftransV1_0048941")</f>
        <v>p.persica_gdr_reftransV1_0048941</v>
      </c>
      <c r="B13881" s="2">
        <v>2181</v>
      </c>
      <c r="C13881" s="4" t="str">
        <f>HYPERLINK("http://www.uniprot.org/uniprot/M5X8K0","M5X8K0")</f>
        <v>M5X8K0</v>
      </c>
      <c r="D13881" s="2" t="s">
        <v>11365</v>
      </c>
      <c r="E13881" s="3">
        <v>0</v>
      </c>
      <c r="F13881" s="2">
        <v>1340</v>
      </c>
      <c r="G13881" s="2">
        <v>90</v>
      </c>
      <c r="H13881" s="2">
        <v>297</v>
      </c>
      <c r="I13881" s="2">
        <v>1082</v>
      </c>
      <c r="J13881" s="2">
        <v>1972</v>
      </c>
      <c r="K13881" s="2">
        <v>205</v>
      </c>
      <c r="L13881" s="2">
        <v>501</v>
      </c>
    </row>
    <row r="13882" spans="1:12" x14ac:dyDescent="0.25">
      <c r="A13882" s="4" t="str">
        <f>HYPERLINK("http://www.rosaceae.org/Prunus/Prunus_persica/p.persica_gdr_reftransV1_0000292","p.persica_gdr_reftransV1_0000292")</f>
        <v>p.persica_gdr_reftransV1_0000292</v>
      </c>
      <c r="B13882" s="2">
        <v>1160</v>
      </c>
      <c r="C13882" s="4" t="str">
        <f>HYPERLINK("http://www.uniprot.org/uniprot/M5W878","M5W878")</f>
        <v>M5W878</v>
      </c>
      <c r="D13882" s="2" t="s">
        <v>7384</v>
      </c>
      <c r="E13882" s="3">
        <v>0</v>
      </c>
      <c r="F13882" s="2">
        <v>1684</v>
      </c>
      <c r="G13882" s="2">
        <v>97</v>
      </c>
      <c r="H13882" s="2">
        <v>340</v>
      </c>
      <c r="I13882" s="2">
        <v>120</v>
      </c>
      <c r="J13882" s="2">
        <v>1139</v>
      </c>
      <c r="K13882" s="2">
        <v>300</v>
      </c>
      <c r="L13882" s="2">
        <v>639</v>
      </c>
    </row>
    <row r="13883" spans="1:12" x14ac:dyDescent="0.25">
      <c r="A13883" s="4" t="str">
        <f>HYPERLINK("http://www.rosaceae.org/Prunus/Prunus_persica/p.persica_gdr_reftransV1_0000642","p.persica_gdr_reftransV1_0000642")</f>
        <v>p.persica_gdr_reftransV1_0000642</v>
      </c>
      <c r="B13883" s="2">
        <v>2436</v>
      </c>
      <c r="C13883" s="4" t="str">
        <f>HYPERLINK("http://www.uniprot.org/uniprot/M5X3R7","M5X3R7")</f>
        <v>M5X3R7</v>
      </c>
      <c r="D13883" s="2" t="s">
        <v>11366</v>
      </c>
      <c r="E13883" s="3">
        <v>0</v>
      </c>
      <c r="F13883" s="2">
        <v>3030</v>
      </c>
      <c r="G13883" s="2">
        <v>100</v>
      </c>
      <c r="H13883" s="2">
        <v>655</v>
      </c>
      <c r="I13883" s="2">
        <v>151</v>
      </c>
      <c r="J13883" s="2">
        <v>2115</v>
      </c>
      <c r="K13883" s="2">
        <v>1</v>
      </c>
      <c r="L13883" s="2">
        <v>655</v>
      </c>
    </row>
    <row r="13884" spans="1:12" x14ac:dyDescent="0.25">
      <c r="A13884" s="4" t="str">
        <f>HYPERLINK("http://www.rosaceae.org/Prunus/Prunus_persica/p.persica_gdr_reftransV1_0000992","p.persica_gdr_reftransV1_0000992")</f>
        <v>p.persica_gdr_reftransV1_0000992</v>
      </c>
      <c r="B13884" s="2">
        <v>358</v>
      </c>
      <c r="C13884" s="4" t="str">
        <f>HYPERLINK("http://www.uniprot.org/uniprot/M5W448","M5W448")</f>
        <v>M5W448</v>
      </c>
      <c r="D13884" s="2" t="s">
        <v>11367</v>
      </c>
      <c r="E13884" s="3">
        <v>1.3299999999999999E-21</v>
      </c>
      <c r="F13884" s="2">
        <v>239</v>
      </c>
      <c r="G13884" s="2">
        <v>100</v>
      </c>
      <c r="H13884" s="2">
        <v>44</v>
      </c>
      <c r="I13884" s="2">
        <v>225</v>
      </c>
      <c r="J13884" s="2">
        <v>356</v>
      </c>
      <c r="K13884" s="2">
        <v>1</v>
      </c>
      <c r="L13884" s="2">
        <v>44</v>
      </c>
    </row>
    <row r="13885" spans="1:12" x14ac:dyDescent="0.25">
      <c r="A13885" s="4" t="str">
        <f>HYPERLINK("http://www.rosaceae.org/Prunus/Prunus_persica/p.persica_gdr_reftransV1_0001342","p.persica_gdr_reftransV1_0001342")</f>
        <v>p.persica_gdr_reftransV1_0001342</v>
      </c>
      <c r="B13885" s="2">
        <v>2543</v>
      </c>
      <c r="C13885" s="4" t="str">
        <f>HYPERLINK("http://www.uniprot.org/uniprot/M5XLQ6","M5XLQ6")</f>
        <v>M5XLQ6</v>
      </c>
      <c r="D13885" s="2" t="s">
        <v>11368</v>
      </c>
      <c r="E13885" s="3">
        <v>0</v>
      </c>
      <c r="F13885" s="2">
        <v>2960</v>
      </c>
      <c r="G13885" s="2">
        <v>97</v>
      </c>
      <c r="H13885" s="2">
        <v>645</v>
      </c>
      <c r="I13885" s="2">
        <v>166</v>
      </c>
      <c r="J13885" s="2">
        <v>2100</v>
      </c>
      <c r="K13885" s="2">
        <v>1</v>
      </c>
      <c r="L13885" s="2">
        <v>625</v>
      </c>
    </row>
    <row r="13886" spans="1:12" x14ac:dyDescent="0.25">
      <c r="A13886" s="4" t="str">
        <f>HYPERLINK("http://www.rosaceae.org/Prunus/Prunus_persica/p.persica_gdr_reftransV1_0001692","p.persica_gdr_reftransV1_0001692")</f>
        <v>p.persica_gdr_reftransV1_0001692</v>
      </c>
      <c r="B13886" s="2">
        <v>2119</v>
      </c>
      <c r="C13886" s="4" t="str">
        <f>HYPERLINK("http://www.uniprot.org/uniprot/M5VQQ7","M5VQQ7")</f>
        <v>M5VQQ7</v>
      </c>
      <c r="D13886" s="2" t="s">
        <v>11369</v>
      </c>
      <c r="E13886" s="3">
        <v>0</v>
      </c>
      <c r="F13886" s="2">
        <v>1415</v>
      </c>
      <c r="G13886" s="2">
        <v>100</v>
      </c>
      <c r="H13886" s="2">
        <v>286</v>
      </c>
      <c r="I13886" s="2">
        <v>1199</v>
      </c>
      <c r="J13886" s="2">
        <v>2056</v>
      </c>
      <c r="K13886" s="2">
        <v>1</v>
      </c>
      <c r="L13886" s="2">
        <v>286</v>
      </c>
    </row>
    <row r="13887" spans="1:12" x14ac:dyDescent="0.25">
      <c r="A13887" s="4" t="str">
        <f>HYPERLINK("http://www.rosaceae.org/Prunus/Prunus_persica/p.persica_gdr_reftransV1_0002042","p.persica_gdr_reftransV1_0002042")</f>
        <v>p.persica_gdr_reftransV1_0002042</v>
      </c>
      <c r="B13887" s="2">
        <v>1216</v>
      </c>
      <c r="C13887" s="4" t="str">
        <f>HYPERLINK("http://www.uniprot.org/uniprot/M5VUT3","M5VUT3")</f>
        <v>M5VUT3</v>
      </c>
      <c r="D13887" s="2" t="s">
        <v>270</v>
      </c>
      <c r="E13887" s="3">
        <v>4.2900000000000001E-118</v>
      </c>
      <c r="F13887" s="2">
        <v>976</v>
      </c>
      <c r="G13887" s="2">
        <v>100</v>
      </c>
      <c r="H13887" s="2">
        <v>180</v>
      </c>
      <c r="I13887" s="2">
        <v>2</v>
      </c>
      <c r="J13887" s="2">
        <v>541</v>
      </c>
      <c r="K13887" s="2">
        <v>871</v>
      </c>
      <c r="L13887" s="2">
        <v>1050</v>
      </c>
    </row>
    <row r="13888" spans="1:12" x14ac:dyDescent="0.25">
      <c r="A13888" s="4" t="str">
        <f>HYPERLINK("http://www.rosaceae.org/Prunus/Prunus_persica/p.persica_gdr_reftransV1_0002392","p.persica_gdr_reftransV1_0002392")</f>
        <v>p.persica_gdr_reftransV1_0002392</v>
      </c>
      <c r="B13888" s="2">
        <v>1393</v>
      </c>
      <c r="C13888" s="4" t="str">
        <f>HYPERLINK("http://www.uniprot.org/uniprot/M5X7H0","M5X7H0")</f>
        <v>M5X7H0</v>
      </c>
      <c r="D13888" s="2" t="s">
        <v>1841</v>
      </c>
      <c r="E13888" s="3">
        <v>0</v>
      </c>
      <c r="F13888" s="2">
        <v>1800</v>
      </c>
      <c r="G13888" s="2">
        <v>87</v>
      </c>
      <c r="H13888" s="2">
        <v>398</v>
      </c>
      <c r="I13888" s="2">
        <v>172</v>
      </c>
      <c r="J13888" s="2">
        <v>1365</v>
      </c>
      <c r="K13888" s="2">
        <v>1</v>
      </c>
      <c r="L13888" s="2">
        <v>381</v>
      </c>
    </row>
    <row r="13889" spans="1:12" x14ac:dyDescent="0.25">
      <c r="A13889" s="4" t="str">
        <f>HYPERLINK("http://www.rosaceae.org/Prunus/Prunus_persica/p.persica_gdr_reftransV1_0002742","p.persica_gdr_reftransV1_0002742")</f>
        <v>p.persica_gdr_reftransV1_0002742</v>
      </c>
      <c r="B13889" s="2">
        <v>1257</v>
      </c>
      <c r="C13889" s="4" t="str">
        <f>HYPERLINK("http://www.uniprot.org/uniprot/M5VZF6","M5VZF6")</f>
        <v>M5VZF6</v>
      </c>
      <c r="D13889" s="2" t="s">
        <v>11370</v>
      </c>
      <c r="E13889" s="3">
        <v>0</v>
      </c>
      <c r="F13889" s="2">
        <v>1583</v>
      </c>
      <c r="G13889" s="2">
        <v>100</v>
      </c>
      <c r="H13889" s="2">
        <v>297</v>
      </c>
      <c r="I13889" s="2">
        <v>68</v>
      </c>
      <c r="J13889" s="2">
        <v>958</v>
      </c>
      <c r="K13889" s="2">
        <v>2</v>
      </c>
      <c r="L13889" s="2">
        <v>298</v>
      </c>
    </row>
    <row r="13890" spans="1:12" x14ac:dyDescent="0.25">
      <c r="A13890" s="4" t="str">
        <f>HYPERLINK("http://www.rosaceae.org/Prunus/Prunus_persica/p.persica_gdr_reftransV1_0003442","p.persica_gdr_reftransV1_0003442")</f>
        <v>p.persica_gdr_reftransV1_0003442</v>
      </c>
      <c r="B13890" s="2">
        <v>1132</v>
      </c>
      <c r="C13890" s="4" t="str">
        <f>HYPERLINK("http://www.uniprot.org/uniprot/M5W1J3","M5W1J3")</f>
        <v>M5W1J3</v>
      </c>
      <c r="D13890" s="2" t="s">
        <v>3525</v>
      </c>
      <c r="E13890" s="3">
        <v>7.7300000000000003E-109</v>
      </c>
      <c r="F13890" s="2">
        <v>840</v>
      </c>
      <c r="G13890" s="2">
        <v>100</v>
      </c>
      <c r="H13890" s="2">
        <v>162</v>
      </c>
      <c r="I13890" s="2">
        <v>383</v>
      </c>
      <c r="J13890" s="2">
        <v>868</v>
      </c>
      <c r="K13890" s="2">
        <v>1</v>
      </c>
      <c r="L13890" s="2">
        <v>162</v>
      </c>
    </row>
    <row r="13891" spans="1:12" x14ac:dyDescent="0.25">
      <c r="A13891" s="4" t="str">
        <f>HYPERLINK("http://www.rosaceae.org/Prunus/Prunus_persica/p.persica_gdr_reftransV1_0004492","p.persica_gdr_reftransV1_0004492")</f>
        <v>p.persica_gdr_reftransV1_0004492</v>
      </c>
      <c r="B13891" s="2">
        <v>791</v>
      </c>
      <c r="C13891" s="4" t="str">
        <f>HYPERLINK("http://www.uniprot.org/uniprot/M5X1E0","M5X1E0")</f>
        <v>M5X1E0</v>
      </c>
      <c r="D13891" s="2" t="s">
        <v>11371</v>
      </c>
      <c r="E13891" s="3">
        <v>2.5800000000000001E-82</v>
      </c>
      <c r="F13891" s="2">
        <v>652</v>
      </c>
      <c r="G13891" s="2">
        <v>100</v>
      </c>
      <c r="H13891" s="2">
        <v>121</v>
      </c>
      <c r="I13891" s="2">
        <v>384</v>
      </c>
      <c r="J13891" s="2">
        <v>746</v>
      </c>
      <c r="K13891" s="2">
        <v>39</v>
      </c>
      <c r="L13891" s="2">
        <v>159</v>
      </c>
    </row>
    <row r="13892" spans="1:12" x14ac:dyDescent="0.25">
      <c r="A13892" s="4" t="str">
        <f>HYPERLINK("http://www.rosaceae.org/Prunus/Prunus_persica/p.persica_gdr_reftransV1_0004842","p.persica_gdr_reftransV1_0004842")</f>
        <v>p.persica_gdr_reftransV1_0004842</v>
      </c>
      <c r="B13892" s="2">
        <v>2772</v>
      </c>
      <c r="C13892" s="4" t="str">
        <f>HYPERLINK("http://www.uniprot.org/uniprot/M5VHQ3","M5VHQ3")</f>
        <v>M5VHQ3</v>
      </c>
      <c r="D13892" s="2" t="s">
        <v>11372</v>
      </c>
      <c r="E13892" s="3">
        <v>0</v>
      </c>
      <c r="F13892" s="2">
        <v>3367</v>
      </c>
      <c r="G13892" s="2">
        <v>98</v>
      </c>
      <c r="H13892" s="2">
        <v>680</v>
      </c>
      <c r="I13892" s="2">
        <v>610</v>
      </c>
      <c r="J13892" s="2">
        <v>2649</v>
      </c>
      <c r="K13892" s="2">
        <v>1</v>
      </c>
      <c r="L13892" s="2">
        <v>680</v>
      </c>
    </row>
    <row r="13893" spans="1:12" x14ac:dyDescent="0.25">
      <c r="A13893" s="4" t="str">
        <f>HYPERLINK("http://www.rosaceae.org/Prunus/Prunus_persica/p.persica_gdr_reftransV1_0005192","p.persica_gdr_reftransV1_0005192")</f>
        <v>p.persica_gdr_reftransV1_0005192</v>
      </c>
      <c r="B13893" s="2">
        <v>581</v>
      </c>
      <c r="C13893" s="4" t="str">
        <f>HYPERLINK("http://www.uniprot.org/uniprot/M5WSW7","M5WSW7")</f>
        <v>M5WSW7</v>
      </c>
      <c r="D13893" s="2" t="s">
        <v>8263</v>
      </c>
      <c r="E13893" s="3">
        <v>2.3000000000000001E-126</v>
      </c>
      <c r="F13893" s="2">
        <v>944</v>
      </c>
      <c r="G13893" s="2">
        <v>100</v>
      </c>
      <c r="H13893" s="2">
        <v>177</v>
      </c>
      <c r="I13893" s="2">
        <v>2</v>
      </c>
      <c r="J13893" s="2">
        <v>532</v>
      </c>
      <c r="K13893" s="2">
        <v>71</v>
      </c>
      <c r="L13893" s="2">
        <v>247</v>
      </c>
    </row>
    <row r="13894" spans="1:12" x14ac:dyDescent="0.25">
      <c r="A13894" s="4" t="str">
        <f>HYPERLINK("http://www.rosaceae.org/Prunus/Prunus_persica/p.persica_gdr_reftransV1_0005542","p.persica_gdr_reftransV1_0005542")</f>
        <v>p.persica_gdr_reftransV1_0005542</v>
      </c>
      <c r="B13894" s="2">
        <v>412</v>
      </c>
      <c r="C13894" s="4" t="str">
        <f>HYPERLINK("http://www.uniprot.org/uniprot/M5WYD2","M5WYD2")</f>
        <v>M5WYD2</v>
      </c>
      <c r="D13894" s="2" t="s">
        <v>11373</v>
      </c>
      <c r="E13894" s="3">
        <v>3.19E-80</v>
      </c>
      <c r="F13894" s="2">
        <v>640</v>
      </c>
      <c r="G13894" s="2">
        <v>100</v>
      </c>
      <c r="H13894" s="2">
        <v>136</v>
      </c>
      <c r="I13894" s="2">
        <v>3</v>
      </c>
      <c r="J13894" s="2">
        <v>410</v>
      </c>
      <c r="K13894" s="2">
        <v>54</v>
      </c>
      <c r="L13894" s="2">
        <v>189</v>
      </c>
    </row>
    <row r="13895" spans="1:12" x14ac:dyDescent="0.25">
      <c r="A13895" s="4" t="str">
        <f>HYPERLINK("http://www.rosaceae.org/Prunus/Prunus_persica/p.persica_gdr_reftransV1_0006242","p.persica_gdr_reftransV1_0006242")</f>
        <v>p.persica_gdr_reftransV1_0006242</v>
      </c>
      <c r="B13895" s="2">
        <v>497</v>
      </c>
      <c r="C13895" s="4" t="str">
        <f>HYPERLINK("http://www.uniprot.org/uniprot/M5VLA1","M5VLA1")</f>
        <v>M5VLA1</v>
      </c>
      <c r="D13895" s="2" t="s">
        <v>8837</v>
      </c>
      <c r="E13895" s="3">
        <v>3.02E-84</v>
      </c>
      <c r="F13895" s="2">
        <v>680</v>
      </c>
      <c r="G13895" s="2">
        <v>100</v>
      </c>
      <c r="H13895" s="2">
        <v>155</v>
      </c>
      <c r="I13895" s="2">
        <v>32</v>
      </c>
      <c r="J13895" s="2">
        <v>496</v>
      </c>
      <c r="K13895" s="2">
        <v>1</v>
      </c>
      <c r="L13895" s="2">
        <v>155</v>
      </c>
    </row>
    <row r="13896" spans="1:12" x14ac:dyDescent="0.25">
      <c r="A13896" s="4" t="str">
        <f>HYPERLINK("http://www.rosaceae.org/Prunus/Prunus_persica/p.persica_gdr_reftransV1_0007992","p.persica_gdr_reftransV1_0007992")</f>
        <v>p.persica_gdr_reftransV1_0007992</v>
      </c>
      <c r="B13896" s="2">
        <v>609</v>
      </c>
      <c r="C13896" s="4" t="str">
        <f>HYPERLINK("http://www.uniprot.org/uniprot/A0A067D9N2","A0A067D9N2")</f>
        <v>A0A067D9N2</v>
      </c>
      <c r="D13896" s="2" t="s">
        <v>11374</v>
      </c>
      <c r="E13896" s="3">
        <v>5.2400000000000001E-26</v>
      </c>
      <c r="F13896" s="2">
        <v>272</v>
      </c>
      <c r="G13896" s="2">
        <v>49</v>
      </c>
      <c r="H13896" s="2">
        <v>104</v>
      </c>
      <c r="I13896" s="2">
        <v>201</v>
      </c>
      <c r="J13896" s="2">
        <v>512</v>
      </c>
      <c r="K13896" s="2">
        <v>23</v>
      </c>
      <c r="L13896" s="2">
        <v>126</v>
      </c>
    </row>
    <row r="13897" spans="1:12" x14ac:dyDescent="0.25">
      <c r="A13897" s="4" t="str">
        <f>HYPERLINK("http://www.rosaceae.org/Prunus/Prunus_persica/p.persica_gdr_reftransV1_0008342","p.persica_gdr_reftransV1_0008342")</f>
        <v>p.persica_gdr_reftransV1_0008342</v>
      </c>
      <c r="B13897" s="2">
        <v>954</v>
      </c>
      <c r="C13897" s="4" t="str">
        <f>HYPERLINK("http://www.uniprot.org/uniprot/M5VGQ5","M5VGQ5")</f>
        <v>M5VGQ5</v>
      </c>
      <c r="D13897" s="2" t="s">
        <v>11375</v>
      </c>
      <c r="E13897" s="3">
        <v>2.5500000000000001E-179</v>
      </c>
      <c r="F13897" s="2">
        <v>1314</v>
      </c>
      <c r="G13897" s="2">
        <v>93</v>
      </c>
      <c r="H13897" s="2">
        <v>269</v>
      </c>
      <c r="I13897" s="2">
        <v>3</v>
      </c>
      <c r="J13897" s="2">
        <v>803</v>
      </c>
      <c r="K13897" s="2">
        <v>6</v>
      </c>
      <c r="L13897" s="2">
        <v>274</v>
      </c>
    </row>
    <row r="13898" spans="1:12" x14ac:dyDescent="0.25">
      <c r="A13898" s="4" t="str">
        <f>HYPERLINK("http://www.rosaceae.org/Prunus/Prunus_persica/p.persica_gdr_reftransV1_0008692","p.persica_gdr_reftransV1_0008692")</f>
        <v>p.persica_gdr_reftransV1_0008692</v>
      </c>
      <c r="B13898" s="2">
        <v>897</v>
      </c>
      <c r="C13898" s="4" t="str">
        <f>HYPERLINK("http://www.uniprot.org/uniprot/M5XN08","M5XN08")</f>
        <v>M5XN08</v>
      </c>
      <c r="D13898" s="2" t="s">
        <v>11376</v>
      </c>
      <c r="E13898" s="3">
        <v>1.1300000000000001E-111</v>
      </c>
      <c r="F13898" s="2">
        <v>856</v>
      </c>
      <c r="G13898" s="2">
        <v>100</v>
      </c>
      <c r="H13898" s="2">
        <v>180</v>
      </c>
      <c r="I13898" s="2">
        <v>3</v>
      </c>
      <c r="J13898" s="2">
        <v>542</v>
      </c>
      <c r="K13898" s="2">
        <v>41</v>
      </c>
      <c r="L13898" s="2">
        <v>220</v>
      </c>
    </row>
    <row r="13899" spans="1:12" x14ac:dyDescent="0.25">
      <c r="A13899" s="4" t="str">
        <f>HYPERLINK("http://www.rosaceae.org/Prunus/Prunus_persica/p.persica_gdr_reftransV1_0009042","p.persica_gdr_reftransV1_0009042")</f>
        <v>p.persica_gdr_reftransV1_0009042</v>
      </c>
      <c r="B13899" s="2">
        <v>644</v>
      </c>
      <c r="C13899" s="4" t="str">
        <f>HYPERLINK("http://www.uniprot.org/uniprot/M5WYF2","M5WYF2")</f>
        <v>M5WYF2</v>
      </c>
      <c r="D13899" s="2" t="s">
        <v>10985</v>
      </c>
      <c r="E13899" s="3">
        <v>5.6700000000000001E-127</v>
      </c>
      <c r="F13899" s="2">
        <v>990</v>
      </c>
      <c r="G13899" s="2">
        <v>100</v>
      </c>
      <c r="H13899" s="2">
        <v>182</v>
      </c>
      <c r="I13899" s="2">
        <v>3</v>
      </c>
      <c r="J13899" s="2">
        <v>548</v>
      </c>
      <c r="K13899" s="2">
        <v>1</v>
      </c>
      <c r="L13899" s="2">
        <v>182</v>
      </c>
    </row>
    <row r="13900" spans="1:12" x14ac:dyDescent="0.25">
      <c r="A13900" s="4" t="str">
        <f>HYPERLINK("http://www.rosaceae.org/Prunus/Prunus_persica/p.persica_gdr_reftransV1_0009392","p.persica_gdr_reftransV1_0009392")</f>
        <v>p.persica_gdr_reftransV1_0009392</v>
      </c>
      <c r="B13900" s="2">
        <v>4240</v>
      </c>
      <c r="C13900" s="4" t="str">
        <f>HYPERLINK("http://www.uniprot.org/uniprot/M5W6N4","M5W6N4")</f>
        <v>M5W6N4</v>
      </c>
      <c r="D13900" s="2" t="s">
        <v>11377</v>
      </c>
      <c r="E13900" s="3">
        <v>0</v>
      </c>
      <c r="F13900" s="2">
        <v>3309</v>
      </c>
      <c r="G13900" s="2">
        <v>100</v>
      </c>
      <c r="H13900" s="2">
        <v>642</v>
      </c>
      <c r="I13900" s="2">
        <v>2314</v>
      </c>
      <c r="J13900" s="2">
        <v>4239</v>
      </c>
      <c r="K13900" s="2">
        <v>272</v>
      </c>
      <c r="L13900" s="2">
        <v>912</v>
      </c>
    </row>
    <row r="13901" spans="1:12" x14ac:dyDescent="0.25">
      <c r="A13901" s="4" t="str">
        <f>HYPERLINK("http://www.rosaceae.org/Prunus/Prunus_persica/p.persica_gdr_reftransV1_0010092","p.persica_gdr_reftransV1_0010092")</f>
        <v>p.persica_gdr_reftransV1_0010092</v>
      </c>
      <c r="B13901" s="2">
        <v>6283</v>
      </c>
      <c r="C13901" s="4" t="str">
        <f>HYPERLINK("http://www.uniprot.org/uniprot/M5XAM1","M5XAM1")</f>
        <v>M5XAM1</v>
      </c>
      <c r="D13901" s="2" t="s">
        <v>2380</v>
      </c>
      <c r="E13901" s="3">
        <v>0</v>
      </c>
      <c r="F13901" s="2">
        <v>4168</v>
      </c>
      <c r="G13901" s="2">
        <v>97</v>
      </c>
      <c r="H13901" s="2">
        <v>858</v>
      </c>
      <c r="I13901" s="2">
        <v>3382</v>
      </c>
      <c r="J13901" s="2">
        <v>5877</v>
      </c>
      <c r="K13901" s="2">
        <v>1</v>
      </c>
      <c r="L13901" s="2">
        <v>858</v>
      </c>
    </row>
    <row r="13902" spans="1:12" x14ac:dyDescent="0.25">
      <c r="A13902" s="4" t="str">
        <f>HYPERLINK("http://www.rosaceae.org/Prunus/Prunus_persica/p.persica_gdr_reftransV1_0011142","p.persica_gdr_reftransV1_0011142")</f>
        <v>p.persica_gdr_reftransV1_0011142</v>
      </c>
      <c r="B13902" s="2">
        <v>1207</v>
      </c>
      <c r="C13902" s="4" t="str">
        <f>HYPERLINK("http://www.uniprot.org/uniprot/M5W925","M5W925")</f>
        <v>M5W925</v>
      </c>
      <c r="D13902" s="2" t="s">
        <v>11378</v>
      </c>
      <c r="E13902" s="3">
        <v>1.66E-14</v>
      </c>
      <c r="F13902" s="2">
        <v>179</v>
      </c>
      <c r="G13902" s="2">
        <v>39</v>
      </c>
      <c r="H13902" s="2">
        <v>112</v>
      </c>
      <c r="I13902" s="2">
        <v>568</v>
      </c>
      <c r="J13902" s="2">
        <v>903</v>
      </c>
      <c r="K13902" s="2">
        <v>221</v>
      </c>
      <c r="L13902" s="2">
        <v>332</v>
      </c>
    </row>
    <row r="13903" spans="1:12" x14ac:dyDescent="0.25">
      <c r="A13903" s="4" t="str">
        <f>HYPERLINK("http://www.rosaceae.org/Prunus/Prunus_persica/p.persica_gdr_reftransV1_0011492","p.persica_gdr_reftransV1_0011492")</f>
        <v>p.persica_gdr_reftransV1_0011492</v>
      </c>
      <c r="B13903" s="2">
        <v>3913</v>
      </c>
      <c r="C13903" s="4" t="str">
        <f>HYPERLINK("http://www.uniprot.org/uniprot/M5VPV5","M5VPV5")</f>
        <v>M5VPV5</v>
      </c>
      <c r="D13903" s="2" t="s">
        <v>11379</v>
      </c>
      <c r="E13903" s="3">
        <v>5.4900000000000002E-127</v>
      </c>
      <c r="F13903" s="2">
        <v>1048</v>
      </c>
      <c r="G13903" s="2">
        <v>100</v>
      </c>
      <c r="H13903" s="2">
        <v>283</v>
      </c>
      <c r="I13903" s="2">
        <v>366</v>
      </c>
      <c r="J13903" s="2">
        <v>1214</v>
      </c>
      <c r="K13903" s="2">
        <v>62</v>
      </c>
      <c r="L13903" s="2">
        <v>344</v>
      </c>
    </row>
    <row r="13904" spans="1:12" x14ac:dyDescent="0.25">
      <c r="A13904" s="4" t="str">
        <f>HYPERLINK("http://www.rosaceae.org/Prunus/Prunus_persica/p.persica_gdr_reftransV1_0011842","p.persica_gdr_reftransV1_0011842")</f>
        <v>p.persica_gdr_reftransV1_0011842</v>
      </c>
      <c r="B13904" s="2">
        <v>1612</v>
      </c>
      <c r="C13904" s="4" t="str">
        <f>HYPERLINK("http://www.uniprot.org/uniprot/M5VZ62","M5VZ62")</f>
        <v>M5VZ62</v>
      </c>
      <c r="D13904" s="2" t="s">
        <v>11380</v>
      </c>
      <c r="E13904" s="3">
        <v>0</v>
      </c>
      <c r="F13904" s="2">
        <v>1746</v>
      </c>
      <c r="G13904" s="2">
        <v>92</v>
      </c>
      <c r="H13904" s="2">
        <v>395</v>
      </c>
      <c r="I13904" s="2">
        <v>292</v>
      </c>
      <c r="J13904" s="2">
        <v>1476</v>
      </c>
      <c r="K13904" s="2">
        <v>33</v>
      </c>
      <c r="L13904" s="2">
        <v>396</v>
      </c>
    </row>
    <row r="13905" spans="1:12" x14ac:dyDescent="0.25">
      <c r="A13905" s="4" t="str">
        <f>HYPERLINK("http://www.rosaceae.org/Prunus/Prunus_persica/p.persica_gdr_reftransV1_0013592","p.persica_gdr_reftransV1_0013592")</f>
        <v>p.persica_gdr_reftransV1_0013592</v>
      </c>
      <c r="B13905" s="2">
        <v>2338</v>
      </c>
      <c r="C13905" s="4" t="str">
        <f>HYPERLINK("http://www.uniprot.org/uniprot/M5VXL9","M5VXL9")</f>
        <v>M5VXL9</v>
      </c>
      <c r="D13905" s="2" t="s">
        <v>11381</v>
      </c>
      <c r="E13905" s="3">
        <v>0</v>
      </c>
      <c r="F13905" s="2">
        <v>2833</v>
      </c>
      <c r="G13905" s="2">
        <v>100</v>
      </c>
      <c r="H13905" s="2">
        <v>537</v>
      </c>
      <c r="I13905" s="2">
        <v>694</v>
      </c>
      <c r="J13905" s="2">
        <v>2304</v>
      </c>
      <c r="K13905" s="2">
        <v>1</v>
      </c>
      <c r="L13905" s="2">
        <v>537</v>
      </c>
    </row>
    <row r="13906" spans="1:12" x14ac:dyDescent="0.25">
      <c r="A13906" s="4" t="str">
        <f>HYPERLINK("http://www.rosaceae.org/Prunus/Prunus_persica/p.persica_gdr_reftransV1_0013942","p.persica_gdr_reftransV1_0013942")</f>
        <v>p.persica_gdr_reftransV1_0013942</v>
      </c>
      <c r="B13906" s="2">
        <v>4184</v>
      </c>
      <c r="C13906" s="4" t="str">
        <f>HYPERLINK("http://www.uniprot.org/uniprot/M5XY36","M5XY36")</f>
        <v>M5XY36</v>
      </c>
      <c r="D13906" s="2" t="s">
        <v>11382</v>
      </c>
      <c r="E13906" s="3">
        <v>0</v>
      </c>
      <c r="F13906" s="2">
        <v>4988</v>
      </c>
      <c r="G13906" s="2">
        <v>98</v>
      </c>
      <c r="H13906" s="2">
        <v>1008</v>
      </c>
      <c r="I13906" s="2">
        <v>409</v>
      </c>
      <c r="J13906" s="2">
        <v>3432</v>
      </c>
      <c r="K13906" s="2">
        <v>2</v>
      </c>
      <c r="L13906" s="2">
        <v>993</v>
      </c>
    </row>
    <row r="13907" spans="1:12" x14ac:dyDescent="0.25">
      <c r="A13907" s="4" t="str">
        <f>HYPERLINK("http://www.rosaceae.org/Prunus/Prunus_persica/p.persica_gdr_reftransV1_0014292","p.persica_gdr_reftransV1_0014292")</f>
        <v>p.persica_gdr_reftransV1_0014292</v>
      </c>
      <c r="B13907" s="2">
        <v>1184</v>
      </c>
      <c r="C13907" s="4" t="str">
        <f>HYPERLINK("http://www.uniprot.org/uniprot/M5Y767","M5Y767")</f>
        <v>M5Y767</v>
      </c>
      <c r="D13907" s="2" t="s">
        <v>11383</v>
      </c>
      <c r="E13907" s="3">
        <v>4.7999999999999999E-87</v>
      </c>
      <c r="F13907" s="2">
        <v>694</v>
      </c>
      <c r="G13907" s="2">
        <v>100</v>
      </c>
      <c r="H13907" s="2">
        <v>135</v>
      </c>
      <c r="I13907" s="2">
        <v>423</v>
      </c>
      <c r="J13907" s="2">
        <v>827</v>
      </c>
      <c r="K13907" s="2">
        <v>4</v>
      </c>
      <c r="L13907" s="2">
        <v>138</v>
      </c>
    </row>
    <row r="13908" spans="1:12" x14ac:dyDescent="0.25">
      <c r="A13908" s="4" t="str">
        <f>HYPERLINK("http://www.rosaceae.org/Prunus/Prunus_persica/p.persica_gdr_reftransV1_0014992","p.persica_gdr_reftransV1_0014992")</f>
        <v>p.persica_gdr_reftransV1_0014992</v>
      </c>
      <c r="B13908" s="2">
        <v>1357</v>
      </c>
      <c r="C13908" s="4" t="str">
        <f>HYPERLINK("http://www.uniprot.org/uniprot/M5WKW1","M5WKW1")</f>
        <v>M5WKW1</v>
      </c>
      <c r="D13908" s="2" t="s">
        <v>11384</v>
      </c>
      <c r="E13908" s="3">
        <v>1.96E-114</v>
      </c>
      <c r="F13908" s="2">
        <v>889</v>
      </c>
      <c r="G13908" s="2">
        <v>100</v>
      </c>
      <c r="H13908" s="2">
        <v>209</v>
      </c>
      <c r="I13908" s="2">
        <v>236</v>
      </c>
      <c r="J13908" s="2">
        <v>862</v>
      </c>
      <c r="K13908" s="2">
        <v>1</v>
      </c>
      <c r="L13908" s="2">
        <v>209</v>
      </c>
    </row>
    <row r="13909" spans="1:12" x14ac:dyDescent="0.25">
      <c r="A13909" s="4" t="str">
        <f>HYPERLINK("http://www.rosaceae.org/Prunus/Prunus_persica/p.persica_gdr_reftransV1_0016742","p.persica_gdr_reftransV1_0016742")</f>
        <v>p.persica_gdr_reftransV1_0016742</v>
      </c>
      <c r="B13909" s="2">
        <v>422</v>
      </c>
      <c r="C13909" s="4" t="str">
        <f>HYPERLINK("http://www.uniprot.org/uniprot/M5WNK1","M5WNK1")</f>
        <v>M5WNK1</v>
      </c>
      <c r="D13909" s="2" t="s">
        <v>6446</v>
      </c>
      <c r="E13909" s="3">
        <v>1.79E-75</v>
      </c>
      <c r="F13909" s="2">
        <v>628</v>
      </c>
      <c r="G13909" s="2">
        <v>98</v>
      </c>
      <c r="H13909" s="2">
        <v>119</v>
      </c>
      <c r="I13909" s="2">
        <v>1</v>
      </c>
      <c r="J13909" s="2">
        <v>357</v>
      </c>
      <c r="K13909" s="2">
        <v>1</v>
      </c>
      <c r="L13909" s="2">
        <v>119</v>
      </c>
    </row>
    <row r="13910" spans="1:12" x14ac:dyDescent="0.25">
      <c r="A13910" s="4" t="str">
        <f>HYPERLINK("http://www.rosaceae.org/Prunus/Prunus_persica/p.persica_gdr_reftransV1_0017792","p.persica_gdr_reftransV1_0017792")</f>
        <v>p.persica_gdr_reftransV1_0017792</v>
      </c>
      <c r="B13910" s="2">
        <v>997</v>
      </c>
      <c r="C13910" s="4" t="str">
        <f>HYPERLINK("http://www.uniprot.org/uniprot/M5VJ84","M5VJ84")</f>
        <v>M5VJ84</v>
      </c>
      <c r="D13910" s="2" t="s">
        <v>11385</v>
      </c>
      <c r="E13910" s="3">
        <v>0</v>
      </c>
      <c r="F13910" s="2">
        <v>1580</v>
      </c>
      <c r="G13910" s="2">
        <v>90</v>
      </c>
      <c r="H13910" s="2">
        <v>342</v>
      </c>
      <c r="I13910" s="2">
        <v>1</v>
      </c>
      <c r="J13910" s="2">
        <v>996</v>
      </c>
      <c r="K13910" s="2">
        <v>228</v>
      </c>
      <c r="L13910" s="2">
        <v>569</v>
      </c>
    </row>
    <row r="13911" spans="1:12" x14ac:dyDescent="0.25">
      <c r="A13911" s="4" t="str">
        <f>HYPERLINK("http://www.rosaceae.org/Prunus/Prunus_persica/p.persica_gdr_reftransV1_0018492","p.persica_gdr_reftransV1_0018492")</f>
        <v>p.persica_gdr_reftransV1_0018492</v>
      </c>
      <c r="B13911" s="2">
        <v>1094</v>
      </c>
      <c r="C13911" s="4" t="str">
        <f>HYPERLINK("http://www.uniprot.org/uniprot/M5WAH3","M5WAH3")</f>
        <v>M5WAH3</v>
      </c>
      <c r="D13911" s="2" t="s">
        <v>11386</v>
      </c>
      <c r="E13911" s="3">
        <v>2.7099999999999998E-168</v>
      </c>
      <c r="F13911" s="2">
        <v>1238</v>
      </c>
      <c r="G13911" s="2">
        <v>100</v>
      </c>
      <c r="H13911" s="2">
        <v>232</v>
      </c>
      <c r="I13911" s="2">
        <v>347</v>
      </c>
      <c r="J13911" s="2">
        <v>1042</v>
      </c>
      <c r="K13911" s="2">
        <v>1</v>
      </c>
      <c r="L13911" s="2">
        <v>232</v>
      </c>
    </row>
    <row r="13912" spans="1:12" x14ac:dyDescent="0.25">
      <c r="A13912" s="4" t="str">
        <f>HYPERLINK("http://www.rosaceae.org/Prunus/Prunus_persica/p.persica_gdr_reftransV1_0019192","p.persica_gdr_reftransV1_0019192")</f>
        <v>p.persica_gdr_reftransV1_0019192</v>
      </c>
      <c r="B13912" s="2">
        <v>1487</v>
      </c>
      <c r="C13912" s="4" t="str">
        <f>HYPERLINK("http://www.uniprot.org/uniprot/M5X3Q3","M5X3Q3")</f>
        <v>M5X3Q3</v>
      </c>
      <c r="D13912" s="2" t="s">
        <v>4898</v>
      </c>
      <c r="E13912" s="3">
        <v>0</v>
      </c>
      <c r="F13912" s="2">
        <v>1941</v>
      </c>
      <c r="G13912" s="2">
        <v>100</v>
      </c>
      <c r="H13912" s="2">
        <v>421</v>
      </c>
      <c r="I13912" s="2">
        <v>2</v>
      </c>
      <c r="J13912" s="2">
        <v>1264</v>
      </c>
      <c r="K13912" s="2">
        <v>1</v>
      </c>
      <c r="L13912" s="2">
        <v>421</v>
      </c>
    </row>
    <row r="13913" spans="1:12" x14ac:dyDescent="0.25">
      <c r="A13913" s="4" t="str">
        <f>HYPERLINK("http://www.rosaceae.org/Prunus/Prunus_persica/p.persica_gdr_reftransV1_0019892","p.persica_gdr_reftransV1_0019892")</f>
        <v>p.persica_gdr_reftransV1_0019892</v>
      </c>
      <c r="B13913" s="2">
        <v>3676</v>
      </c>
      <c r="C13913" s="4" t="str">
        <f>HYPERLINK("http://www.uniprot.org/uniprot/M5WY97","M5WY97")</f>
        <v>M5WY97</v>
      </c>
      <c r="D13913" s="2" t="s">
        <v>11387</v>
      </c>
      <c r="E13913" s="3">
        <v>0</v>
      </c>
      <c r="F13913" s="2">
        <v>3338</v>
      </c>
      <c r="G13913" s="2">
        <v>99</v>
      </c>
      <c r="H13913" s="2">
        <v>659</v>
      </c>
      <c r="I13913" s="2">
        <v>440</v>
      </c>
      <c r="J13913" s="2">
        <v>2416</v>
      </c>
      <c r="K13913" s="2">
        <v>1</v>
      </c>
      <c r="L13913" s="2">
        <v>654</v>
      </c>
    </row>
    <row r="13914" spans="1:12" x14ac:dyDescent="0.25">
      <c r="A13914" s="4" t="str">
        <f>HYPERLINK("http://www.rosaceae.org/Prunus/Prunus_persica/p.persica_gdr_reftransV1_0020242","p.persica_gdr_reftransV1_0020242")</f>
        <v>p.persica_gdr_reftransV1_0020242</v>
      </c>
      <c r="B13914" s="2">
        <v>1538</v>
      </c>
      <c r="C13914" s="4" t="str">
        <f>HYPERLINK("http://www.uniprot.org/uniprot/M5Y6J0","M5Y6J0")</f>
        <v>M5Y6J0</v>
      </c>
      <c r="D13914" s="2" t="s">
        <v>7391</v>
      </c>
      <c r="E13914" s="3">
        <v>9.3500000000000005E-163</v>
      </c>
      <c r="F13914" s="2">
        <v>1239</v>
      </c>
      <c r="G13914" s="2">
        <v>100</v>
      </c>
      <c r="H13914" s="2">
        <v>232</v>
      </c>
      <c r="I13914" s="2">
        <v>1</v>
      </c>
      <c r="J13914" s="2">
        <v>696</v>
      </c>
      <c r="K13914" s="2">
        <v>224</v>
      </c>
      <c r="L13914" s="2">
        <v>455</v>
      </c>
    </row>
    <row r="13915" spans="1:12" x14ac:dyDescent="0.25">
      <c r="A13915" s="4" t="str">
        <f>HYPERLINK("http://www.rosaceae.org/Prunus/Prunus_persica/p.persica_gdr_reftransV1_0021642","p.persica_gdr_reftransV1_0021642")</f>
        <v>p.persica_gdr_reftransV1_0021642</v>
      </c>
      <c r="B13915" s="2">
        <v>1909</v>
      </c>
      <c r="C13915" s="4" t="str">
        <f>HYPERLINK("http://www.uniprot.org/uniprot/M5XPL6","M5XPL6")</f>
        <v>M5XPL6</v>
      </c>
      <c r="D13915" s="2" t="s">
        <v>11388</v>
      </c>
      <c r="E13915" s="3">
        <v>0</v>
      </c>
      <c r="F13915" s="2">
        <v>2137</v>
      </c>
      <c r="G13915" s="2">
        <v>100</v>
      </c>
      <c r="H13915" s="2">
        <v>439</v>
      </c>
      <c r="I13915" s="2">
        <v>444</v>
      </c>
      <c r="J13915" s="2">
        <v>1760</v>
      </c>
      <c r="K13915" s="2">
        <v>1</v>
      </c>
      <c r="L13915" s="2">
        <v>439</v>
      </c>
    </row>
    <row r="13916" spans="1:12" x14ac:dyDescent="0.25">
      <c r="A13916" s="4" t="str">
        <f>HYPERLINK("http://www.rosaceae.org/Prunus/Prunus_persica/p.persica_gdr_reftransV1_0023042","p.persica_gdr_reftransV1_0023042")</f>
        <v>p.persica_gdr_reftransV1_0023042</v>
      </c>
      <c r="B13916" s="2">
        <v>1342</v>
      </c>
      <c r="C13916" s="4" t="str">
        <f>HYPERLINK("http://www.uniprot.org/uniprot/M5VSX2","M5VSX2")</f>
        <v>M5VSX2</v>
      </c>
      <c r="D13916" s="2" t="s">
        <v>11389</v>
      </c>
      <c r="E13916" s="3">
        <v>4.6599999999999999E-132</v>
      </c>
      <c r="F13916" s="2">
        <v>1013</v>
      </c>
      <c r="G13916" s="2">
        <v>88</v>
      </c>
      <c r="H13916" s="2">
        <v>248</v>
      </c>
      <c r="I13916" s="2">
        <v>164</v>
      </c>
      <c r="J13916" s="2">
        <v>817</v>
      </c>
      <c r="K13916" s="2">
        <v>1</v>
      </c>
      <c r="L13916" s="2">
        <v>248</v>
      </c>
    </row>
    <row r="13917" spans="1:12" x14ac:dyDescent="0.25">
      <c r="A13917" s="4" t="str">
        <f>HYPERLINK("http://www.rosaceae.org/Prunus/Prunus_persica/p.persica_gdr_reftransV1_0023392","p.persica_gdr_reftransV1_0023392")</f>
        <v>p.persica_gdr_reftransV1_0023392</v>
      </c>
      <c r="B13917" s="2">
        <v>2403</v>
      </c>
      <c r="C13917" s="4" t="str">
        <f>HYPERLINK("http://www.uniprot.org/uniprot/M5VQT4","M5VQT4")</f>
        <v>M5VQT4</v>
      </c>
      <c r="D13917" s="2" t="s">
        <v>11390</v>
      </c>
      <c r="E13917" s="3">
        <v>3.7800000000000001E-60</v>
      </c>
      <c r="F13917" s="2">
        <v>541</v>
      </c>
      <c r="G13917" s="2">
        <v>95</v>
      </c>
      <c r="H13917" s="2">
        <v>112</v>
      </c>
      <c r="I13917" s="2">
        <v>239</v>
      </c>
      <c r="J13917" s="2">
        <v>574</v>
      </c>
      <c r="K13917" s="2">
        <v>91</v>
      </c>
      <c r="L13917" s="2">
        <v>196</v>
      </c>
    </row>
    <row r="13918" spans="1:12" x14ac:dyDescent="0.25">
      <c r="A13918" s="4" t="str">
        <f>HYPERLINK("http://www.rosaceae.org/Prunus/Prunus_persica/p.persica_gdr_reftransV1_0024792","p.persica_gdr_reftransV1_0024792")</f>
        <v>p.persica_gdr_reftransV1_0024792</v>
      </c>
      <c r="B13918" s="2">
        <v>4932</v>
      </c>
      <c r="C13918" s="4" t="str">
        <f>HYPERLINK("http://www.uniprot.org/uniprot/M5XIX6","M5XIX6")</f>
        <v>M5XIX6</v>
      </c>
      <c r="D13918" s="2" t="s">
        <v>3495</v>
      </c>
      <c r="E13918" s="3">
        <v>0</v>
      </c>
      <c r="F13918" s="2">
        <v>2538</v>
      </c>
      <c r="G13918" s="2">
        <v>99</v>
      </c>
      <c r="H13918" s="2">
        <v>508</v>
      </c>
      <c r="I13918" s="2">
        <v>1985</v>
      </c>
      <c r="J13918" s="2">
        <v>3508</v>
      </c>
      <c r="K13918" s="2">
        <v>262</v>
      </c>
      <c r="L13918" s="2">
        <v>766</v>
      </c>
    </row>
    <row r="13919" spans="1:12" x14ac:dyDescent="0.25">
      <c r="A13919" s="4" t="str">
        <f>HYPERLINK("http://www.rosaceae.org/Prunus/Prunus_persica/p.persica_gdr_reftransV1_0025492","p.persica_gdr_reftransV1_0025492")</f>
        <v>p.persica_gdr_reftransV1_0025492</v>
      </c>
      <c r="B13919" s="2">
        <v>2223</v>
      </c>
      <c r="C13919" s="4" t="str">
        <f>HYPERLINK("http://www.uniprot.org/uniprot/M5XI98","M5XI98")</f>
        <v>M5XI98</v>
      </c>
      <c r="D13919" s="2" t="s">
        <v>11391</v>
      </c>
      <c r="E13919" s="3">
        <v>0</v>
      </c>
      <c r="F13919" s="2">
        <v>2670</v>
      </c>
      <c r="G13919" s="2">
        <v>94</v>
      </c>
      <c r="H13919" s="2">
        <v>544</v>
      </c>
      <c r="I13919" s="2">
        <v>265</v>
      </c>
      <c r="J13919" s="2">
        <v>1896</v>
      </c>
      <c r="K13919" s="2">
        <v>38</v>
      </c>
      <c r="L13919" s="2">
        <v>563</v>
      </c>
    </row>
    <row r="13920" spans="1:12" x14ac:dyDescent="0.25">
      <c r="A13920" s="4" t="str">
        <f>HYPERLINK("http://www.rosaceae.org/Prunus/Prunus_persica/p.persica_gdr_reftransV1_0025842","p.persica_gdr_reftransV1_0025842")</f>
        <v>p.persica_gdr_reftransV1_0025842</v>
      </c>
      <c r="B13920" s="2">
        <v>607</v>
      </c>
      <c r="C13920" s="4" t="str">
        <f>HYPERLINK("http://www.uniprot.org/uniprot/M5XGY7","M5XGY7")</f>
        <v>M5XGY7</v>
      </c>
      <c r="D13920" s="2" t="s">
        <v>11392</v>
      </c>
      <c r="E13920" s="3">
        <v>8.3400000000000008E-112</v>
      </c>
      <c r="F13920" s="2">
        <v>880</v>
      </c>
      <c r="G13920" s="2">
        <v>100</v>
      </c>
      <c r="H13920" s="2">
        <v>160</v>
      </c>
      <c r="I13920" s="2">
        <v>127</v>
      </c>
      <c r="J13920" s="2">
        <v>606</v>
      </c>
      <c r="K13920" s="2">
        <v>1</v>
      </c>
      <c r="L13920" s="2">
        <v>160</v>
      </c>
    </row>
    <row r="13921" spans="1:12" x14ac:dyDescent="0.25">
      <c r="A13921" s="4" t="str">
        <f>HYPERLINK("http://www.rosaceae.org/Prunus/Prunus_persica/p.persica_gdr_reftransV1_0029342","p.persica_gdr_reftransV1_0029342")</f>
        <v>p.persica_gdr_reftransV1_0029342</v>
      </c>
      <c r="B13921" s="2">
        <v>1746</v>
      </c>
      <c r="C13921" s="4" t="str">
        <f>HYPERLINK("http://www.uniprot.org/uniprot/M5WHY2","M5WHY2")</f>
        <v>M5WHY2</v>
      </c>
      <c r="D13921" s="2" t="s">
        <v>11393</v>
      </c>
      <c r="E13921" s="3">
        <v>0</v>
      </c>
      <c r="F13921" s="2">
        <v>2160</v>
      </c>
      <c r="G13921" s="2">
        <v>100</v>
      </c>
      <c r="H13921" s="2">
        <v>435</v>
      </c>
      <c r="I13921" s="2">
        <v>276</v>
      </c>
      <c r="J13921" s="2">
        <v>1580</v>
      </c>
      <c r="K13921" s="2">
        <v>1</v>
      </c>
      <c r="L13921" s="2">
        <v>435</v>
      </c>
    </row>
    <row r="13922" spans="1:12" x14ac:dyDescent="0.25">
      <c r="A13922" s="4" t="str">
        <f>HYPERLINK("http://www.rosaceae.org/Prunus/Prunus_persica/p.persica_gdr_reftransV1_0030392","p.persica_gdr_reftransV1_0030392")</f>
        <v>p.persica_gdr_reftransV1_0030392</v>
      </c>
      <c r="B13922" s="2">
        <v>5852</v>
      </c>
      <c r="C13922" s="4" t="str">
        <f>HYPERLINK("http://www.uniprot.org/uniprot/W9R5N8","W9R5N8")</f>
        <v>W9R5N8</v>
      </c>
      <c r="D13922" s="2" t="s">
        <v>11394</v>
      </c>
      <c r="E13922" s="3">
        <v>0</v>
      </c>
      <c r="F13922" s="2">
        <v>888</v>
      </c>
      <c r="G13922" s="2">
        <v>79</v>
      </c>
      <c r="H13922" s="2">
        <v>222</v>
      </c>
      <c r="I13922" s="2">
        <v>4917</v>
      </c>
      <c r="J13922" s="2">
        <v>5582</v>
      </c>
      <c r="K13922" s="2">
        <v>49</v>
      </c>
      <c r="L13922" s="2">
        <v>270</v>
      </c>
    </row>
    <row r="13923" spans="1:12" x14ac:dyDescent="0.25">
      <c r="A13923" s="4" t="str">
        <f>HYPERLINK("http://www.rosaceae.org/Prunus/Prunus_persica/p.persica_gdr_reftransV1_0031092","p.persica_gdr_reftransV1_0031092")</f>
        <v>p.persica_gdr_reftransV1_0031092</v>
      </c>
      <c r="B13923" s="2">
        <v>625</v>
      </c>
      <c r="C13923" s="4" t="str">
        <f>HYPERLINK("http://www.uniprot.org/uniprot/M5XKQ1","M5XKQ1")</f>
        <v>M5XKQ1</v>
      </c>
      <c r="D13923" s="2" t="s">
        <v>1701</v>
      </c>
      <c r="E13923" s="3">
        <v>1.25E-108</v>
      </c>
      <c r="F13923" s="2">
        <v>892</v>
      </c>
      <c r="G13923" s="2">
        <v>98</v>
      </c>
      <c r="H13923" s="2">
        <v>173</v>
      </c>
      <c r="I13923" s="2">
        <v>65</v>
      </c>
      <c r="J13923" s="2">
        <v>583</v>
      </c>
      <c r="K13923" s="2">
        <v>964</v>
      </c>
      <c r="L13923" s="2">
        <v>1136</v>
      </c>
    </row>
    <row r="13924" spans="1:12" x14ac:dyDescent="0.25">
      <c r="A13924" s="4" t="str">
        <f>HYPERLINK("http://www.rosaceae.org/Prunus/Prunus_persica/p.persica_gdr_reftransV1_0031442","p.persica_gdr_reftransV1_0031442")</f>
        <v>p.persica_gdr_reftransV1_0031442</v>
      </c>
      <c r="B13924" s="2">
        <v>1773</v>
      </c>
      <c r="C13924" s="4" t="str">
        <f>HYPERLINK("http://www.uniprot.org/uniprot/M5XM65","M5XM65")</f>
        <v>M5XM65</v>
      </c>
      <c r="D13924" s="2" t="s">
        <v>11395</v>
      </c>
      <c r="E13924" s="3">
        <v>0</v>
      </c>
      <c r="F13924" s="2">
        <v>1361</v>
      </c>
      <c r="G13924" s="2">
        <v>100</v>
      </c>
      <c r="H13924" s="2">
        <v>253</v>
      </c>
      <c r="I13924" s="2">
        <v>530</v>
      </c>
      <c r="J13924" s="2">
        <v>1288</v>
      </c>
      <c r="K13924" s="2">
        <v>1</v>
      </c>
      <c r="L13924" s="2">
        <v>253</v>
      </c>
    </row>
    <row r="13925" spans="1:12" x14ac:dyDescent="0.25">
      <c r="A13925" s="4" t="str">
        <f>HYPERLINK("http://www.rosaceae.org/Prunus/Prunus_persica/p.persica_gdr_reftransV1_0033542","p.persica_gdr_reftransV1_0033542")</f>
        <v>p.persica_gdr_reftransV1_0033542</v>
      </c>
      <c r="B13925" s="2">
        <v>2518</v>
      </c>
      <c r="C13925" s="4" t="str">
        <f>HYPERLINK("http://www.uniprot.org/uniprot/M5XNC5","M5XNC5")</f>
        <v>M5XNC5</v>
      </c>
      <c r="D13925" s="2" t="s">
        <v>11396</v>
      </c>
      <c r="E13925" s="3">
        <v>0</v>
      </c>
      <c r="F13925" s="2">
        <v>2401</v>
      </c>
      <c r="G13925" s="2">
        <v>100</v>
      </c>
      <c r="H13925" s="2">
        <v>465</v>
      </c>
      <c r="I13925" s="2">
        <v>177</v>
      </c>
      <c r="J13925" s="2">
        <v>1571</v>
      </c>
      <c r="K13925" s="2">
        <v>1</v>
      </c>
      <c r="L13925" s="2">
        <v>465</v>
      </c>
    </row>
    <row r="13926" spans="1:12" x14ac:dyDescent="0.25">
      <c r="A13926" s="4" t="str">
        <f>HYPERLINK("http://www.rosaceae.org/Prunus/Prunus_persica/p.persica_gdr_reftransV1_0034242","p.persica_gdr_reftransV1_0034242")</f>
        <v>p.persica_gdr_reftransV1_0034242</v>
      </c>
      <c r="B13926" s="2">
        <v>2476</v>
      </c>
      <c r="C13926" s="4" t="str">
        <f>HYPERLINK("http://www.uniprot.org/uniprot/M5VP87","M5VP87")</f>
        <v>M5VP87</v>
      </c>
      <c r="D13926" s="2" t="s">
        <v>1994</v>
      </c>
      <c r="E13926" s="3">
        <v>9.7600000000000003E-122</v>
      </c>
      <c r="F13926" s="2">
        <v>968</v>
      </c>
      <c r="G13926" s="2">
        <v>99</v>
      </c>
      <c r="H13926" s="2">
        <v>182</v>
      </c>
      <c r="I13926" s="2">
        <v>687</v>
      </c>
      <c r="J13926" s="2">
        <v>1232</v>
      </c>
      <c r="K13926" s="2">
        <v>24</v>
      </c>
      <c r="L13926" s="2">
        <v>205</v>
      </c>
    </row>
    <row r="13927" spans="1:12" x14ac:dyDescent="0.25">
      <c r="A13927" s="4" t="str">
        <f>HYPERLINK("http://www.rosaceae.org/Prunus/Prunus_persica/p.persica_gdr_reftransV1_0035642","p.persica_gdr_reftransV1_0035642")</f>
        <v>p.persica_gdr_reftransV1_0035642</v>
      </c>
      <c r="B13927" s="2">
        <v>1303</v>
      </c>
      <c r="C13927" s="4" t="str">
        <f>HYPERLINK("http://www.uniprot.org/uniprot/M5WHA9","M5WHA9")</f>
        <v>M5WHA9</v>
      </c>
      <c r="D13927" s="2" t="s">
        <v>11397</v>
      </c>
      <c r="E13927" s="3">
        <v>4.9300000000000003E-130</v>
      </c>
      <c r="F13927" s="2">
        <v>737</v>
      </c>
      <c r="G13927" s="2">
        <v>100</v>
      </c>
      <c r="H13927" s="2">
        <v>152</v>
      </c>
      <c r="I13927" s="2">
        <v>712</v>
      </c>
      <c r="J13927" s="2">
        <v>1167</v>
      </c>
      <c r="K13927" s="2">
        <v>1</v>
      </c>
      <c r="L13927" s="2">
        <v>152</v>
      </c>
    </row>
    <row r="13928" spans="1:12" x14ac:dyDescent="0.25">
      <c r="A13928" s="4" t="str">
        <f>HYPERLINK("http://www.rosaceae.org/Prunus/Prunus_persica/p.persica_gdr_reftransV1_0037742","p.persica_gdr_reftransV1_0037742")</f>
        <v>p.persica_gdr_reftransV1_0037742</v>
      </c>
      <c r="B13928" s="2">
        <v>3556</v>
      </c>
      <c r="C13928" s="4" t="str">
        <f>HYPERLINK("http://www.uniprot.org/uniprot/M5XWB3","M5XWB3")</f>
        <v>M5XWB3</v>
      </c>
      <c r="D13928" s="2" t="s">
        <v>11398</v>
      </c>
      <c r="E13928" s="3">
        <v>0</v>
      </c>
      <c r="F13928" s="2">
        <v>1456</v>
      </c>
      <c r="G13928" s="2">
        <v>97</v>
      </c>
      <c r="H13928" s="2">
        <v>287</v>
      </c>
      <c r="I13928" s="2">
        <v>332</v>
      </c>
      <c r="J13928" s="2">
        <v>1162</v>
      </c>
      <c r="K13928" s="2">
        <v>1</v>
      </c>
      <c r="L13928" s="2">
        <v>287</v>
      </c>
    </row>
    <row r="13929" spans="1:12" x14ac:dyDescent="0.25">
      <c r="A13929" s="4" t="str">
        <f>HYPERLINK("http://www.rosaceae.org/Prunus/Prunus_persica/p.persica_gdr_reftransV1_0039142","p.persica_gdr_reftransV1_0039142")</f>
        <v>p.persica_gdr_reftransV1_0039142</v>
      </c>
      <c r="B13929" s="2">
        <v>2075</v>
      </c>
      <c r="C13929" s="4" t="str">
        <f>HYPERLINK("http://www.uniprot.org/uniprot/M5XBC3","M5XBC3")</f>
        <v>M5XBC3</v>
      </c>
      <c r="D13929" s="2" t="s">
        <v>1130</v>
      </c>
      <c r="E13929" s="3">
        <v>6.0299999999999997E-105</v>
      </c>
      <c r="F13929" s="2">
        <v>860</v>
      </c>
      <c r="G13929" s="2">
        <v>100</v>
      </c>
      <c r="H13929" s="2">
        <v>208</v>
      </c>
      <c r="I13929" s="2">
        <v>1161</v>
      </c>
      <c r="J13929" s="2">
        <v>1784</v>
      </c>
      <c r="K13929" s="2">
        <v>32</v>
      </c>
      <c r="L13929" s="2">
        <v>239</v>
      </c>
    </row>
    <row r="13930" spans="1:12" x14ac:dyDescent="0.25">
      <c r="A13930" s="4" t="str">
        <f>HYPERLINK("http://www.rosaceae.org/Prunus/Prunus_persica/p.persica_gdr_reftransV1_0039842","p.persica_gdr_reftransV1_0039842")</f>
        <v>p.persica_gdr_reftransV1_0039842</v>
      </c>
      <c r="B13930" s="2">
        <v>1848</v>
      </c>
      <c r="C13930" s="4" t="str">
        <f>HYPERLINK("http://www.uniprot.org/uniprot/M5WD56","M5WD56")</f>
        <v>M5WD56</v>
      </c>
      <c r="D13930" s="2" t="s">
        <v>11399</v>
      </c>
      <c r="E13930" s="3">
        <v>1.43E-109</v>
      </c>
      <c r="F13930" s="2">
        <v>878</v>
      </c>
      <c r="G13930" s="2">
        <v>97</v>
      </c>
      <c r="H13930" s="2">
        <v>242</v>
      </c>
      <c r="I13930" s="2">
        <v>916</v>
      </c>
      <c r="J13930" s="2">
        <v>1641</v>
      </c>
      <c r="K13930" s="2">
        <v>1</v>
      </c>
      <c r="L13930" s="2">
        <v>234</v>
      </c>
    </row>
    <row r="13931" spans="1:12" x14ac:dyDescent="0.25">
      <c r="A13931" s="4" t="str">
        <f>HYPERLINK("http://www.rosaceae.org/Prunus/Prunus_persica/p.persica_gdr_reftransV1_0041592","p.persica_gdr_reftransV1_0041592")</f>
        <v>p.persica_gdr_reftransV1_0041592</v>
      </c>
      <c r="B13931" s="2">
        <v>2850</v>
      </c>
      <c r="C13931" s="4" t="str">
        <f>HYPERLINK("http://www.uniprot.org/uniprot/M5XK83","M5XK83")</f>
        <v>M5XK83</v>
      </c>
      <c r="D13931" s="2" t="s">
        <v>4761</v>
      </c>
      <c r="E13931" s="3">
        <v>7.3000000000000002E-91</v>
      </c>
      <c r="F13931" s="2">
        <v>778</v>
      </c>
      <c r="G13931" s="2">
        <v>99</v>
      </c>
      <c r="H13931" s="2">
        <v>161</v>
      </c>
      <c r="I13931" s="2">
        <v>741</v>
      </c>
      <c r="J13931" s="2">
        <v>1223</v>
      </c>
      <c r="K13931" s="2">
        <v>1</v>
      </c>
      <c r="L13931" s="2">
        <v>161</v>
      </c>
    </row>
    <row r="13932" spans="1:12" x14ac:dyDescent="0.25">
      <c r="A13932" s="4" t="str">
        <f>HYPERLINK("http://www.rosaceae.org/Prunus/Prunus_persica/p.persica_gdr_reftransV1_0043342","p.persica_gdr_reftransV1_0043342")</f>
        <v>p.persica_gdr_reftransV1_0043342</v>
      </c>
      <c r="B13932" s="2">
        <v>431</v>
      </c>
      <c r="C13932" s="4" t="str">
        <f>HYPERLINK("http://www.uniprot.org/uniprot/M5VMG1","M5VMG1")</f>
        <v>M5VMG1</v>
      </c>
      <c r="D13932" s="2" t="s">
        <v>6431</v>
      </c>
      <c r="E13932" s="3">
        <v>4.5499999999999998E-92</v>
      </c>
      <c r="F13932" s="2">
        <v>756</v>
      </c>
      <c r="G13932" s="2">
        <v>100</v>
      </c>
      <c r="H13932" s="2">
        <v>143</v>
      </c>
      <c r="I13932" s="2">
        <v>2</v>
      </c>
      <c r="J13932" s="2">
        <v>430</v>
      </c>
      <c r="K13932" s="2">
        <v>340</v>
      </c>
      <c r="L13932" s="2">
        <v>482</v>
      </c>
    </row>
    <row r="13933" spans="1:12" x14ac:dyDescent="0.25">
      <c r="A13933" s="4" t="str">
        <f>HYPERLINK("http://www.rosaceae.org/Prunus/Prunus_persica/p.persica_gdr_reftransV1_0044042","p.persica_gdr_reftransV1_0044042")</f>
        <v>p.persica_gdr_reftransV1_0044042</v>
      </c>
      <c r="B13933" s="2">
        <v>714</v>
      </c>
      <c r="C13933" s="4" t="str">
        <f>HYPERLINK("http://www.uniprot.org/uniprot/M5WEL7","M5WEL7")</f>
        <v>M5WEL7</v>
      </c>
      <c r="D13933" s="2" t="s">
        <v>11400</v>
      </c>
      <c r="E13933" s="3">
        <v>4.18E-60</v>
      </c>
      <c r="F13933" s="2">
        <v>497</v>
      </c>
      <c r="G13933" s="2">
        <v>100</v>
      </c>
      <c r="H13933" s="2">
        <v>95</v>
      </c>
      <c r="I13933" s="2">
        <v>358</v>
      </c>
      <c r="J13933" s="2">
        <v>642</v>
      </c>
      <c r="K13933" s="2">
        <v>1</v>
      </c>
      <c r="L13933" s="2">
        <v>95</v>
      </c>
    </row>
    <row r="13934" spans="1:12" x14ac:dyDescent="0.25">
      <c r="A13934" s="4" t="str">
        <f>HYPERLINK("http://www.rosaceae.org/Prunus/Prunus_persica/p.persica_gdr_reftransV1_0044742","p.persica_gdr_reftransV1_0044742")</f>
        <v>p.persica_gdr_reftransV1_0044742</v>
      </c>
      <c r="B13934" s="2">
        <v>863</v>
      </c>
      <c r="C13934" s="4" t="str">
        <f>HYPERLINK("http://www.uniprot.org/uniprot/M5WN09","M5WN09")</f>
        <v>M5WN09</v>
      </c>
      <c r="D13934" s="2" t="s">
        <v>11401</v>
      </c>
      <c r="E13934" s="3">
        <v>3.6699999999999999E-103</v>
      </c>
      <c r="F13934" s="2">
        <v>800</v>
      </c>
      <c r="G13934" s="2">
        <v>99</v>
      </c>
      <c r="H13934" s="2">
        <v>223</v>
      </c>
      <c r="I13934" s="2">
        <v>111</v>
      </c>
      <c r="J13934" s="2">
        <v>779</v>
      </c>
      <c r="K13934" s="2">
        <v>1</v>
      </c>
      <c r="L13934" s="2">
        <v>223</v>
      </c>
    </row>
    <row r="13935" spans="1:12" x14ac:dyDescent="0.25">
      <c r="A13935" s="4" t="str">
        <f>HYPERLINK("http://www.rosaceae.org/Prunus/Prunus_persica/p.persica_gdr_reftransV1_0045442","p.persica_gdr_reftransV1_0045442")</f>
        <v>p.persica_gdr_reftransV1_0045442</v>
      </c>
      <c r="B13935" s="2">
        <v>1570</v>
      </c>
      <c r="C13935" s="4" t="str">
        <f>HYPERLINK("http://www.uniprot.org/uniprot/M5W4J0","M5W4J0")</f>
        <v>M5W4J0</v>
      </c>
      <c r="D13935" s="2" t="s">
        <v>11402</v>
      </c>
      <c r="E13935" s="3">
        <v>0</v>
      </c>
      <c r="F13935" s="2">
        <v>1956</v>
      </c>
      <c r="G13935" s="2">
        <v>100</v>
      </c>
      <c r="H13935" s="2">
        <v>426</v>
      </c>
      <c r="I13935" s="2">
        <v>241</v>
      </c>
      <c r="J13935" s="2">
        <v>1518</v>
      </c>
      <c r="K13935" s="2">
        <v>1</v>
      </c>
      <c r="L13935" s="2">
        <v>426</v>
      </c>
    </row>
    <row r="13936" spans="1:12" x14ac:dyDescent="0.25">
      <c r="A13936" s="4" t="str">
        <f>HYPERLINK("http://www.rosaceae.org/Prunus/Prunus_persica/p.persica_gdr_reftransV1_0046142","p.persica_gdr_reftransV1_0046142")</f>
        <v>p.persica_gdr_reftransV1_0046142</v>
      </c>
      <c r="B13936" s="2">
        <v>1444</v>
      </c>
      <c r="C13936" s="4" t="str">
        <f>HYPERLINK("http://www.uniprot.org/uniprot/M5XK12","M5XK12")</f>
        <v>M5XK12</v>
      </c>
      <c r="D13936" s="2" t="s">
        <v>8439</v>
      </c>
      <c r="E13936" s="3">
        <v>0</v>
      </c>
      <c r="F13936" s="2">
        <v>1982</v>
      </c>
      <c r="G13936" s="2">
        <v>100</v>
      </c>
      <c r="H13936" s="2">
        <v>420</v>
      </c>
      <c r="I13936" s="2">
        <v>1</v>
      </c>
      <c r="J13936" s="2">
        <v>1260</v>
      </c>
      <c r="K13936" s="2">
        <v>1</v>
      </c>
      <c r="L13936" s="2">
        <v>420</v>
      </c>
    </row>
    <row r="13937" spans="1:12" x14ac:dyDescent="0.25">
      <c r="A13937" s="4" t="str">
        <f>HYPERLINK("http://www.rosaceae.org/Prunus/Prunus_persica/p.persica_gdr_reftransV1_0046492","p.persica_gdr_reftransV1_0046492")</f>
        <v>p.persica_gdr_reftransV1_0046492</v>
      </c>
      <c r="B13937" s="2">
        <v>2982</v>
      </c>
      <c r="C13937" s="4" t="str">
        <f>HYPERLINK("http://www.uniprot.org/uniprot/M5XXP3","M5XXP3")</f>
        <v>M5XXP3</v>
      </c>
      <c r="D13937" s="2" t="s">
        <v>11403</v>
      </c>
      <c r="E13937" s="3">
        <v>0</v>
      </c>
      <c r="F13937" s="2">
        <v>4677</v>
      </c>
      <c r="G13937" s="2">
        <v>100</v>
      </c>
      <c r="H13937" s="2">
        <v>885</v>
      </c>
      <c r="I13937" s="2">
        <v>281</v>
      </c>
      <c r="J13937" s="2">
        <v>2935</v>
      </c>
      <c r="K13937" s="2">
        <v>1</v>
      </c>
      <c r="L13937" s="2">
        <v>885</v>
      </c>
    </row>
    <row r="13938" spans="1:12" x14ac:dyDescent="0.25">
      <c r="A13938" s="4" t="str">
        <f>HYPERLINK("http://www.rosaceae.org/Prunus/Prunus_persica/p.persica_gdr_reftransV1_0046842","p.persica_gdr_reftransV1_0046842")</f>
        <v>p.persica_gdr_reftransV1_0046842</v>
      </c>
      <c r="B13938" s="2">
        <v>592</v>
      </c>
      <c r="C13938" s="4" t="str">
        <f>HYPERLINK("http://www.uniprot.org/uniprot/M5XGK2","M5XGK2")</f>
        <v>M5XGK2</v>
      </c>
      <c r="D13938" s="2" t="s">
        <v>11404</v>
      </c>
      <c r="E13938" s="3">
        <v>8.5000000000000005E-85</v>
      </c>
      <c r="F13938" s="2">
        <v>659</v>
      </c>
      <c r="G13938" s="2">
        <v>93</v>
      </c>
      <c r="H13938" s="2">
        <v>136</v>
      </c>
      <c r="I13938" s="2">
        <v>110</v>
      </c>
      <c r="J13938" s="2">
        <v>517</v>
      </c>
      <c r="K13938" s="2">
        <v>1</v>
      </c>
      <c r="L13938" s="2">
        <v>127</v>
      </c>
    </row>
    <row r="13939" spans="1:12" x14ac:dyDescent="0.25">
      <c r="A13939" s="4" t="str">
        <f>HYPERLINK("http://www.rosaceae.org/Prunus/Prunus_persica/p.persica_gdr_reftransV1_0047192","p.persica_gdr_reftransV1_0047192")</f>
        <v>p.persica_gdr_reftransV1_0047192</v>
      </c>
      <c r="B13939" s="2">
        <v>1451</v>
      </c>
      <c r="C13939" s="4" t="str">
        <f>HYPERLINK("http://www.uniprot.org/uniprot/M5WAU6","M5WAU6")</f>
        <v>M5WAU6</v>
      </c>
      <c r="D13939" s="2" t="s">
        <v>7485</v>
      </c>
      <c r="E13939" s="3">
        <v>0</v>
      </c>
      <c r="F13939" s="2">
        <v>1689</v>
      </c>
      <c r="G13939" s="2">
        <v>97</v>
      </c>
      <c r="H13939" s="2">
        <v>399</v>
      </c>
      <c r="I13939" s="2">
        <v>134</v>
      </c>
      <c r="J13939" s="2">
        <v>1330</v>
      </c>
      <c r="K13939" s="2">
        <v>1</v>
      </c>
      <c r="L13939" s="2">
        <v>397</v>
      </c>
    </row>
    <row r="13940" spans="1:12" x14ac:dyDescent="0.25">
      <c r="A13940" s="4" t="str">
        <f>HYPERLINK("http://www.rosaceae.org/Prunus/Prunus_persica/p.persica_gdr_reftransV1_0047542","p.persica_gdr_reftransV1_0047542")</f>
        <v>p.persica_gdr_reftransV1_0047542</v>
      </c>
      <c r="B13940" s="2">
        <v>357</v>
      </c>
      <c r="C13940" s="4" t="str">
        <f>HYPERLINK("http://www.uniprot.org/uniprot/M5XNJ8","M5XNJ8")</f>
        <v>M5XNJ8</v>
      </c>
      <c r="D13940" s="2" t="s">
        <v>11405</v>
      </c>
      <c r="E13940" s="3">
        <v>5.4200000000000005E-50</v>
      </c>
      <c r="F13940" s="2">
        <v>440</v>
      </c>
      <c r="G13940" s="2">
        <v>100</v>
      </c>
      <c r="H13940" s="2">
        <v>81</v>
      </c>
      <c r="I13940" s="2">
        <v>2</v>
      </c>
      <c r="J13940" s="2">
        <v>244</v>
      </c>
      <c r="K13940" s="2">
        <v>1</v>
      </c>
      <c r="L13940" s="2">
        <v>81</v>
      </c>
    </row>
    <row r="13941" spans="1:12" x14ac:dyDescent="0.25">
      <c r="A13941" s="4" t="str">
        <f>HYPERLINK("http://www.rosaceae.org/Prunus/Prunus_persica/p.persica_gdr_reftransV1_0048242","p.persica_gdr_reftransV1_0048242")</f>
        <v>p.persica_gdr_reftransV1_0048242</v>
      </c>
      <c r="B13941" s="2">
        <v>406</v>
      </c>
      <c r="C13941" s="4" t="str">
        <f>HYPERLINK("http://www.uniprot.org/uniprot/M5WRH1","M5WRH1")</f>
        <v>M5WRH1</v>
      </c>
      <c r="D13941" s="2" t="s">
        <v>11406</v>
      </c>
      <c r="E13941" s="3">
        <v>3.22E-52</v>
      </c>
      <c r="F13941" s="2">
        <v>473</v>
      </c>
      <c r="G13941" s="2">
        <v>100</v>
      </c>
      <c r="H13941" s="2">
        <v>100</v>
      </c>
      <c r="I13941" s="2">
        <v>3</v>
      </c>
      <c r="J13941" s="2">
        <v>302</v>
      </c>
      <c r="K13941" s="2">
        <v>736</v>
      </c>
      <c r="L13941" s="2">
        <v>835</v>
      </c>
    </row>
    <row r="13942" spans="1:12" x14ac:dyDescent="0.25">
      <c r="A13942" s="4" t="str">
        <f>HYPERLINK("http://www.rosaceae.org/Prunus/Prunus_persica/p.persica_gdr_reftransV1_0048942","p.persica_gdr_reftransV1_0048942")</f>
        <v>p.persica_gdr_reftransV1_0048942</v>
      </c>
      <c r="B13942" s="2">
        <v>1808</v>
      </c>
      <c r="C13942" s="4" t="str">
        <f>HYPERLINK("http://www.uniprot.org/uniprot/A6XN20","A6XN20")</f>
        <v>A6XN20</v>
      </c>
      <c r="D13942" s="2" t="s">
        <v>2264</v>
      </c>
      <c r="E13942" s="3">
        <v>1.9699999999999999E-134</v>
      </c>
      <c r="F13942" s="2">
        <v>1050</v>
      </c>
      <c r="G13942" s="2">
        <v>86</v>
      </c>
      <c r="H13942" s="2">
        <v>255</v>
      </c>
      <c r="I13942" s="2">
        <v>1073</v>
      </c>
      <c r="J13942" s="2">
        <v>1807</v>
      </c>
      <c r="K13942" s="2">
        <v>30</v>
      </c>
      <c r="L13942" s="2">
        <v>284</v>
      </c>
    </row>
    <row r="13943" spans="1:12" x14ac:dyDescent="0.25">
      <c r="A13943" s="4" t="str">
        <f>HYPERLINK("http://www.rosaceae.org/Prunus/Prunus_persica/p.persica_gdr_reftransV1_0000293","p.persica_gdr_reftransV1_0000293")</f>
        <v>p.persica_gdr_reftransV1_0000293</v>
      </c>
      <c r="B13943" s="2">
        <v>482</v>
      </c>
      <c r="C13943" s="4" t="str">
        <f>HYPERLINK("http://www.uniprot.org/uniprot/M5WNT1","M5WNT1")</f>
        <v>M5WNT1</v>
      </c>
      <c r="D13943" s="2" t="s">
        <v>2841</v>
      </c>
      <c r="E13943" s="3">
        <v>5.5600000000000005E-85</v>
      </c>
      <c r="F13943" s="2">
        <v>717</v>
      </c>
      <c r="G13943" s="2">
        <v>100</v>
      </c>
      <c r="H13943" s="2">
        <v>160</v>
      </c>
      <c r="I13943" s="2">
        <v>2</v>
      </c>
      <c r="J13943" s="2">
        <v>481</v>
      </c>
      <c r="K13943" s="2">
        <v>503</v>
      </c>
      <c r="L13943" s="2">
        <v>662</v>
      </c>
    </row>
    <row r="13944" spans="1:12" x14ac:dyDescent="0.25">
      <c r="A13944" s="4" t="str">
        <f>HYPERLINK("http://www.rosaceae.org/Prunus/Prunus_persica/p.persica_gdr_reftransV1_0000643","p.persica_gdr_reftransV1_0000643")</f>
        <v>p.persica_gdr_reftransV1_0000643</v>
      </c>
      <c r="B13944" s="2">
        <v>1533</v>
      </c>
      <c r="C13944" s="4" t="str">
        <f>HYPERLINK("http://www.uniprot.org/uniprot/M5WAV4","M5WAV4")</f>
        <v>M5WAV4</v>
      </c>
      <c r="D13944" s="2" t="s">
        <v>11407</v>
      </c>
      <c r="E13944" s="3">
        <v>0</v>
      </c>
      <c r="F13944" s="2">
        <v>1775</v>
      </c>
      <c r="G13944" s="2">
        <v>100</v>
      </c>
      <c r="H13944" s="2">
        <v>381</v>
      </c>
      <c r="I13944" s="2">
        <v>282</v>
      </c>
      <c r="J13944" s="2">
        <v>1424</v>
      </c>
      <c r="K13944" s="2">
        <v>1</v>
      </c>
      <c r="L13944" s="2">
        <v>381</v>
      </c>
    </row>
    <row r="13945" spans="1:12" x14ac:dyDescent="0.25">
      <c r="A13945" s="4" t="str">
        <f>HYPERLINK("http://www.rosaceae.org/Prunus/Prunus_persica/p.persica_gdr_reftransV1_0000993","p.persica_gdr_reftransV1_0000993")</f>
        <v>p.persica_gdr_reftransV1_0000993</v>
      </c>
      <c r="B13945" s="2">
        <v>1475</v>
      </c>
      <c r="C13945" s="4" t="str">
        <f>HYPERLINK("http://www.uniprot.org/uniprot/M5WMI1","M5WMI1")</f>
        <v>M5WMI1</v>
      </c>
      <c r="D13945" s="2" t="s">
        <v>11408</v>
      </c>
      <c r="E13945" s="3">
        <v>0</v>
      </c>
      <c r="F13945" s="2">
        <v>1940</v>
      </c>
      <c r="G13945" s="2">
        <v>100</v>
      </c>
      <c r="H13945" s="2">
        <v>362</v>
      </c>
      <c r="I13945" s="2">
        <v>291</v>
      </c>
      <c r="J13945" s="2">
        <v>1376</v>
      </c>
      <c r="K13945" s="2">
        <v>1</v>
      </c>
      <c r="L13945" s="2">
        <v>362</v>
      </c>
    </row>
    <row r="13946" spans="1:12" x14ac:dyDescent="0.25">
      <c r="A13946" s="4" t="str">
        <f>HYPERLINK("http://www.rosaceae.org/Prunus/Prunus_persica/p.persica_gdr_reftransV1_0001343","p.persica_gdr_reftransV1_0001343")</f>
        <v>p.persica_gdr_reftransV1_0001343</v>
      </c>
      <c r="B13946" s="2">
        <v>1368</v>
      </c>
      <c r="C13946" s="4" t="str">
        <f>HYPERLINK("http://www.uniprot.org/uniprot/M5X7Q5","M5X7Q5")</f>
        <v>M5X7Q5</v>
      </c>
      <c r="D13946" s="2" t="s">
        <v>9094</v>
      </c>
      <c r="E13946" s="3">
        <v>0</v>
      </c>
      <c r="F13946" s="2">
        <v>1891</v>
      </c>
      <c r="G13946" s="2">
        <v>100</v>
      </c>
      <c r="H13946" s="2">
        <v>354</v>
      </c>
      <c r="I13946" s="2">
        <v>259</v>
      </c>
      <c r="J13946" s="2">
        <v>1320</v>
      </c>
      <c r="K13946" s="2">
        <v>1</v>
      </c>
      <c r="L13946" s="2">
        <v>354</v>
      </c>
    </row>
    <row r="13947" spans="1:12" x14ac:dyDescent="0.25">
      <c r="A13947" s="4" t="str">
        <f>HYPERLINK("http://www.rosaceae.org/Prunus/Prunus_persica/p.persica_gdr_reftransV1_0001693","p.persica_gdr_reftransV1_0001693")</f>
        <v>p.persica_gdr_reftransV1_0001693</v>
      </c>
      <c r="B13947" s="2">
        <v>635</v>
      </c>
      <c r="C13947" s="4" t="str">
        <f>HYPERLINK("http://www.uniprot.org/uniprot/G9NSP9","G9NSP9")</f>
        <v>G9NSP9</v>
      </c>
      <c r="D13947" s="2" t="s">
        <v>11409</v>
      </c>
      <c r="E13947" s="3">
        <v>1.91E-103</v>
      </c>
      <c r="F13947" s="2">
        <v>846</v>
      </c>
      <c r="G13947" s="2">
        <v>95</v>
      </c>
      <c r="H13947" s="2">
        <v>211</v>
      </c>
      <c r="I13947" s="2">
        <v>1</v>
      </c>
      <c r="J13947" s="2">
        <v>633</v>
      </c>
      <c r="K13947" s="2">
        <v>138</v>
      </c>
      <c r="L13947" s="2">
        <v>348</v>
      </c>
    </row>
    <row r="13948" spans="1:12" x14ac:dyDescent="0.25">
      <c r="A13948" s="4" t="str">
        <f>HYPERLINK("http://www.rosaceae.org/Prunus/Prunus_persica/p.persica_gdr_reftransV1_0002043","p.persica_gdr_reftransV1_0002043")</f>
        <v>p.persica_gdr_reftransV1_0002043</v>
      </c>
      <c r="B13948" s="2">
        <v>452</v>
      </c>
      <c r="C13948" s="4" t="str">
        <f>HYPERLINK("http://www.uniprot.org/uniprot/M5VIT6","M5VIT6")</f>
        <v>M5VIT6</v>
      </c>
      <c r="D13948" s="2" t="s">
        <v>8410</v>
      </c>
      <c r="E13948" s="3">
        <v>1.5600000000000001E-64</v>
      </c>
      <c r="F13948" s="2">
        <v>553</v>
      </c>
      <c r="G13948" s="2">
        <v>100</v>
      </c>
      <c r="H13948" s="2">
        <v>101</v>
      </c>
      <c r="I13948" s="2">
        <v>3</v>
      </c>
      <c r="J13948" s="2">
        <v>305</v>
      </c>
      <c r="K13948" s="2">
        <v>460</v>
      </c>
      <c r="L13948" s="2">
        <v>560</v>
      </c>
    </row>
    <row r="13949" spans="1:12" x14ac:dyDescent="0.25">
      <c r="A13949" s="4" t="str">
        <f>HYPERLINK("http://www.rosaceae.org/Prunus/Prunus_persica/p.persica_gdr_reftransV1_0002393","p.persica_gdr_reftransV1_0002393")</f>
        <v>p.persica_gdr_reftransV1_0002393</v>
      </c>
      <c r="B13949" s="2">
        <v>1220</v>
      </c>
      <c r="C13949" s="4" t="str">
        <f>HYPERLINK("http://www.uniprot.org/uniprot/M5XPX8","M5XPX8")</f>
        <v>M5XPX8</v>
      </c>
      <c r="D13949" s="2" t="s">
        <v>11410</v>
      </c>
      <c r="E13949" s="3">
        <v>0</v>
      </c>
      <c r="F13949" s="2">
        <v>1513</v>
      </c>
      <c r="G13949" s="2">
        <v>100</v>
      </c>
      <c r="H13949" s="2">
        <v>304</v>
      </c>
      <c r="I13949" s="2">
        <v>117</v>
      </c>
      <c r="J13949" s="2">
        <v>1028</v>
      </c>
      <c r="K13949" s="2">
        <v>126</v>
      </c>
      <c r="L13949" s="2">
        <v>429</v>
      </c>
    </row>
    <row r="13950" spans="1:12" x14ac:dyDescent="0.25">
      <c r="A13950" s="4" t="str">
        <f>HYPERLINK("http://www.rosaceae.org/Prunus/Prunus_persica/p.persica_gdr_reftransV1_0002743","p.persica_gdr_reftransV1_0002743")</f>
        <v>p.persica_gdr_reftransV1_0002743</v>
      </c>
      <c r="B13950" s="2">
        <v>1524</v>
      </c>
      <c r="C13950" s="4" t="str">
        <f>HYPERLINK("http://www.uniprot.org/uniprot/M5X1T4","M5X1T4")</f>
        <v>M5X1T4</v>
      </c>
      <c r="D13950" s="2" t="s">
        <v>907</v>
      </c>
      <c r="E13950" s="3">
        <v>0</v>
      </c>
      <c r="F13950" s="2">
        <v>1770</v>
      </c>
      <c r="G13950" s="2">
        <v>100</v>
      </c>
      <c r="H13950" s="2">
        <v>343</v>
      </c>
      <c r="I13950" s="2">
        <v>337</v>
      </c>
      <c r="J13950" s="2">
        <v>1365</v>
      </c>
      <c r="K13950" s="2">
        <v>1</v>
      </c>
      <c r="L13950" s="2">
        <v>343</v>
      </c>
    </row>
    <row r="13951" spans="1:12" x14ac:dyDescent="0.25">
      <c r="A13951" s="4" t="str">
        <f>HYPERLINK("http://www.rosaceae.org/Prunus/Prunus_persica/p.persica_gdr_reftransV1_0003093","p.persica_gdr_reftransV1_0003093")</f>
        <v>p.persica_gdr_reftransV1_0003093</v>
      </c>
      <c r="B13951" s="2">
        <v>1031</v>
      </c>
      <c r="C13951" s="4" t="str">
        <f>HYPERLINK("http://www.uniprot.org/uniprot/M5XBE3","M5XBE3")</f>
        <v>M5XBE3</v>
      </c>
      <c r="D13951" s="2" t="s">
        <v>11411</v>
      </c>
      <c r="E13951" s="3">
        <v>5.1499999999999999E-178</v>
      </c>
      <c r="F13951" s="2">
        <v>1323</v>
      </c>
      <c r="G13951" s="2">
        <v>86</v>
      </c>
      <c r="H13951" s="2">
        <v>298</v>
      </c>
      <c r="I13951" s="2">
        <v>96</v>
      </c>
      <c r="J13951" s="2">
        <v>989</v>
      </c>
      <c r="K13951" s="2">
        <v>1</v>
      </c>
      <c r="L13951" s="2">
        <v>257</v>
      </c>
    </row>
    <row r="13952" spans="1:12" x14ac:dyDescent="0.25">
      <c r="A13952" s="4" t="str">
        <f>HYPERLINK("http://www.rosaceae.org/Prunus/Prunus_persica/p.persica_gdr_reftransV1_0003443","p.persica_gdr_reftransV1_0003443")</f>
        <v>p.persica_gdr_reftransV1_0003443</v>
      </c>
      <c r="B13952" s="2">
        <v>440</v>
      </c>
      <c r="C13952" s="4" t="str">
        <f>HYPERLINK("http://www.uniprot.org/uniprot/M5VMW2","M5VMW2")</f>
        <v>M5VMW2</v>
      </c>
      <c r="D13952" s="2" t="s">
        <v>11412</v>
      </c>
      <c r="E13952" s="3">
        <v>7.2199999999999999E-72</v>
      </c>
      <c r="F13952" s="2">
        <v>596</v>
      </c>
      <c r="G13952" s="2">
        <v>100</v>
      </c>
      <c r="H13952" s="2">
        <v>122</v>
      </c>
      <c r="I13952" s="2">
        <v>75</v>
      </c>
      <c r="J13952" s="2">
        <v>440</v>
      </c>
      <c r="K13952" s="2">
        <v>1</v>
      </c>
      <c r="L13952" s="2">
        <v>122</v>
      </c>
    </row>
    <row r="13953" spans="1:12" x14ac:dyDescent="0.25">
      <c r="A13953" s="4" t="str">
        <f>HYPERLINK("http://www.rosaceae.org/Prunus/Prunus_persica/p.persica_gdr_reftransV1_0003793","p.persica_gdr_reftransV1_0003793")</f>
        <v>p.persica_gdr_reftransV1_0003793</v>
      </c>
      <c r="B13953" s="2">
        <v>1413</v>
      </c>
      <c r="C13953" s="4" t="str">
        <f>HYPERLINK("http://www.uniprot.org/uniprot/M5XA73","M5XA73")</f>
        <v>M5XA73</v>
      </c>
      <c r="D13953" s="2" t="s">
        <v>11413</v>
      </c>
      <c r="E13953" s="3">
        <v>5.4200000000000002E-166</v>
      </c>
      <c r="F13953" s="2">
        <v>1186</v>
      </c>
      <c r="G13953" s="2">
        <v>90</v>
      </c>
      <c r="H13953" s="2">
        <v>255</v>
      </c>
      <c r="I13953" s="2">
        <v>75</v>
      </c>
      <c r="J13953" s="2">
        <v>839</v>
      </c>
      <c r="K13953" s="2">
        <v>1</v>
      </c>
      <c r="L13953" s="2">
        <v>230</v>
      </c>
    </row>
    <row r="13954" spans="1:12" x14ac:dyDescent="0.25">
      <c r="A13954" s="4" t="str">
        <f>HYPERLINK("http://www.rosaceae.org/Prunus/Prunus_persica/p.persica_gdr_reftransV1_0004143","p.persica_gdr_reftransV1_0004143")</f>
        <v>p.persica_gdr_reftransV1_0004143</v>
      </c>
      <c r="B13954" s="2">
        <v>657</v>
      </c>
      <c r="C13954" s="4" t="str">
        <f>HYPERLINK("http://www.uniprot.org/uniprot/R7YKE1","R7YKE1")</f>
        <v>R7YKE1</v>
      </c>
      <c r="D13954" s="2" t="s">
        <v>11414</v>
      </c>
      <c r="E13954" s="3">
        <v>5.4600000000000002E-94</v>
      </c>
      <c r="F13954" s="2">
        <v>728</v>
      </c>
      <c r="G13954" s="2">
        <v>94</v>
      </c>
      <c r="H13954" s="2">
        <v>152</v>
      </c>
      <c r="I13954" s="2">
        <v>200</v>
      </c>
      <c r="J13954" s="2">
        <v>655</v>
      </c>
      <c r="K13954" s="2">
        <v>26</v>
      </c>
      <c r="L13954" s="2">
        <v>175</v>
      </c>
    </row>
    <row r="13955" spans="1:12" x14ac:dyDescent="0.25">
      <c r="A13955" s="4" t="str">
        <f>HYPERLINK("http://www.rosaceae.org/Prunus/Prunus_persica/p.persica_gdr_reftransV1_0004493","p.persica_gdr_reftransV1_0004493")</f>
        <v>p.persica_gdr_reftransV1_0004493</v>
      </c>
      <c r="B13955" s="2">
        <v>1647</v>
      </c>
      <c r="C13955" s="4" t="str">
        <f>HYPERLINK("http://www.uniprot.org/uniprot/M5W9N5","M5W9N5")</f>
        <v>M5W9N5</v>
      </c>
      <c r="D13955" s="2" t="s">
        <v>11415</v>
      </c>
      <c r="E13955" s="3">
        <v>0</v>
      </c>
      <c r="F13955" s="2">
        <v>1874</v>
      </c>
      <c r="G13955" s="2">
        <v>100</v>
      </c>
      <c r="H13955" s="2">
        <v>377</v>
      </c>
      <c r="I13955" s="2">
        <v>356</v>
      </c>
      <c r="J13955" s="2">
        <v>1486</v>
      </c>
      <c r="K13955" s="2">
        <v>1</v>
      </c>
      <c r="L13955" s="2">
        <v>377</v>
      </c>
    </row>
    <row r="13956" spans="1:12" x14ac:dyDescent="0.25">
      <c r="A13956" s="4" t="str">
        <f>HYPERLINK("http://www.rosaceae.org/Prunus/Prunus_persica/p.persica_gdr_reftransV1_0004843","p.persica_gdr_reftransV1_0004843")</f>
        <v>p.persica_gdr_reftransV1_0004843</v>
      </c>
      <c r="B13956" s="2">
        <v>1470</v>
      </c>
      <c r="C13956" s="4" t="str">
        <f>HYPERLINK("http://www.uniprot.org/uniprot/M5X0I6","M5X0I6")</f>
        <v>M5X0I6</v>
      </c>
      <c r="D13956" s="2" t="s">
        <v>680</v>
      </c>
      <c r="E13956" s="3">
        <v>0</v>
      </c>
      <c r="F13956" s="2">
        <v>1972</v>
      </c>
      <c r="G13956" s="2">
        <v>100</v>
      </c>
      <c r="H13956" s="2">
        <v>393</v>
      </c>
      <c r="I13956" s="2">
        <v>195</v>
      </c>
      <c r="J13956" s="2">
        <v>1373</v>
      </c>
      <c r="K13956" s="2">
        <v>1</v>
      </c>
      <c r="L13956" s="2">
        <v>393</v>
      </c>
    </row>
    <row r="13957" spans="1:12" x14ac:dyDescent="0.25">
      <c r="A13957" s="4" t="str">
        <f>HYPERLINK("http://www.rosaceae.org/Prunus/Prunus_persica/p.persica_gdr_reftransV1_0005193","p.persica_gdr_reftransV1_0005193")</f>
        <v>p.persica_gdr_reftransV1_0005193</v>
      </c>
      <c r="B13957" s="2">
        <v>2794</v>
      </c>
      <c r="C13957" s="4" t="str">
        <f>HYPERLINK("http://www.uniprot.org/uniprot/M5VVT7","M5VVT7")</f>
        <v>M5VVT7</v>
      </c>
      <c r="D13957" s="2" t="s">
        <v>11416</v>
      </c>
      <c r="E13957" s="3">
        <v>0</v>
      </c>
      <c r="F13957" s="2">
        <v>4586</v>
      </c>
      <c r="G13957" s="2">
        <v>100</v>
      </c>
      <c r="H13957" s="2">
        <v>874</v>
      </c>
      <c r="I13957" s="2">
        <v>83</v>
      </c>
      <c r="J13957" s="2">
        <v>2704</v>
      </c>
      <c r="K13957" s="2">
        <v>1</v>
      </c>
      <c r="L13957" s="2">
        <v>874</v>
      </c>
    </row>
    <row r="13958" spans="1:12" x14ac:dyDescent="0.25">
      <c r="A13958" s="4" t="str">
        <f>HYPERLINK("http://www.rosaceae.org/Prunus/Prunus_persica/p.persica_gdr_reftransV1_0005543","p.persica_gdr_reftransV1_0005543")</f>
        <v>p.persica_gdr_reftransV1_0005543</v>
      </c>
      <c r="B13958" s="2">
        <v>1066</v>
      </c>
      <c r="C13958" s="4" t="str">
        <f>HYPERLINK("http://www.uniprot.org/uniprot/M5VQ25","M5VQ25")</f>
        <v>M5VQ25</v>
      </c>
      <c r="D13958" s="2" t="s">
        <v>6897</v>
      </c>
      <c r="E13958" s="3">
        <v>2.88E-125</v>
      </c>
      <c r="F13958" s="2">
        <v>949</v>
      </c>
      <c r="G13958" s="2">
        <v>100</v>
      </c>
      <c r="H13958" s="2">
        <v>193</v>
      </c>
      <c r="I13958" s="2">
        <v>132</v>
      </c>
      <c r="J13958" s="2">
        <v>710</v>
      </c>
      <c r="K13958" s="2">
        <v>1</v>
      </c>
      <c r="L13958" s="2">
        <v>193</v>
      </c>
    </row>
    <row r="13959" spans="1:12" x14ac:dyDescent="0.25">
      <c r="A13959" s="4" t="str">
        <f>HYPERLINK("http://www.rosaceae.org/Prunus/Prunus_persica/p.persica_gdr_reftransV1_0006243","p.persica_gdr_reftransV1_0006243")</f>
        <v>p.persica_gdr_reftransV1_0006243</v>
      </c>
      <c r="B13959" s="2">
        <v>1835</v>
      </c>
      <c r="C13959" s="4" t="str">
        <f>HYPERLINK("http://www.uniprot.org/uniprot/M5WYH9","M5WYH9")</f>
        <v>M5WYH9</v>
      </c>
      <c r="D13959" s="2" t="s">
        <v>11417</v>
      </c>
      <c r="E13959" s="3">
        <v>0</v>
      </c>
      <c r="F13959" s="2">
        <v>2399</v>
      </c>
      <c r="G13959" s="2">
        <v>100</v>
      </c>
      <c r="H13959" s="2">
        <v>461</v>
      </c>
      <c r="I13959" s="2">
        <v>108</v>
      </c>
      <c r="J13959" s="2">
        <v>1490</v>
      </c>
      <c r="K13959" s="2">
        <v>26</v>
      </c>
      <c r="L13959" s="2">
        <v>486</v>
      </c>
    </row>
    <row r="13960" spans="1:12" x14ac:dyDescent="0.25">
      <c r="A13960" s="4" t="str">
        <f>HYPERLINK("http://www.rosaceae.org/Prunus/Prunus_persica/p.persica_gdr_reftransV1_0006593","p.persica_gdr_reftransV1_0006593")</f>
        <v>p.persica_gdr_reftransV1_0006593</v>
      </c>
      <c r="B13960" s="2">
        <v>811</v>
      </c>
      <c r="C13960" s="4" t="str">
        <f>HYPERLINK("http://www.uniprot.org/uniprot/M5W2P7","M5W2P7")</f>
        <v>M5W2P7</v>
      </c>
      <c r="D13960" s="2" t="s">
        <v>11418</v>
      </c>
      <c r="E13960" s="3">
        <v>1.2300000000000001E-101</v>
      </c>
      <c r="F13960" s="2">
        <v>799</v>
      </c>
      <c r="G13960" s="2">
        <v>100</v>
      </c>
      <c r="H13960" s="2">
        <v>177</v>
      </c>
      <c r="I13960" s="2">
        <v>281</v>
      </c>
      <c r="J13960" s="2">
        <v>811</v>
      </c>
      <c r="K13960" s="2">
        <v>174</v>
      </c>
      <c r="L13960" s="2">
        <v>350</v>
      </c>
    </row>
    <row r="13961" spans="1:12" x14ac:dyDescent="0.25">
      <c r="A13961" s="4" t="str">
        <f>HYPERLINK("http://www.rosaceae.org/Prunus/Prunus_persica/p.persica_gdr_reftransV1_0007293","p.persica_gdr_reftransV1_0007293")</f>
        <v>p.persica_gdr_reftransV1_0007293</v>
      </c>
      <c r="B13961" s="2">
        <v>811</v>
      </c>
      <c r="C13961" s="4" t="str">
        <f>HYPERLINK("http://www.uniprot.org/uniprot/M5XWT8","M5XWT8")</f>
        <v>M5XWT8</v>
      </c>
      <c r="D13961" s="2" t="s">
        <v>1455</v>
      </c>
      <c r="E13961" s="3">
        <v>9.4200000000000002E-78</v>
      </c>
      <c r="F13961" s="2">
        <v>656</v>
      </c>
      <c r="G13961" s="2">
        <v>100</v>
      </c>
      <c r="H13961" s="2">
        <v>158</v>
      </c>
      <c r="I13961" s="2">
        <v>1</v>
      </c>
      <c r="J13961" s="2">
        <v>474</v>
      </c>
      <c r="K13961" s="2">
        <v>1</v>
      </c>
      <c r="L13961" s="2">
        <v>158</v>
      </c>
    </row>
    <row r="13962" spans="1:12" x14ac:dyDescent="0.25">
      <c r="A13962" s="4" t="str">
        <f>HYPERLINK("http://www.rosaceae.org/Prunus/Prunus_persica/p.persica_gdr_reftransV1_0007993","p.persica_gdr_reftransV1_0007993")</f>
        <v>p.persica_gdr_reftransV1_0007993</v>
      </c>
      <c r="B13962" s="2">
        <v>1071</v>
      </c>
      <c r="C13962" s="4" t="str">
        <f>HYPERLINK("http://www.uniprot.org/uniprot/M5XNX9","M5XNX9")</f>
        <v>M5XNX9</v>
      </c>
      <c r="D13962" s="2" t="s">
        <v>2343</v>
      </c>
      <c r="E13962" s="3">
        <v>5.2999999999999998E-106</v>
      </c>
      <c r="F13962" s="2">
        <v>860</v>
      </c>
      <c r="G13962" s="2">
        <v>100</v>
      </c>
      <c r="H13962" s="2">
        <v>200</v>
      </c>
      <c r="I13962" s="2">
        <v>457</v>
      </c>
      <c r="J13962" s="2">
        <v>1056</v>
      </c>
      <c r="K13962" s="2">
        <v>1</v>
      </c>
      <c r="L13962" s="2">
        <v>200</v>
      </c>
    </row>
    <row r="13963" spans="1:12" x14ac:dyDescent="0.25">
      <c r="A13963" s="4" t="str">
        <f>HYPERLINK("http://www.rosaceae.org/Prunus/Prunus_persica/p.persica_gdr_reftransV1_0008343","p.persica_gdr_reftransV1_0008343")</f>
        <v>p.persica_gdr_reftransV1_0008343</v>
      </c>
      <c r="B13963" s="2">
        <v>2924</v>
      </c>
      <c r="C13963" s="4" t="str">
        <f>HYPERLINK("http://www.uniprot.org/uniprot/M5WX20","M5WX20")</f>
        <v>M5WX20</v>
      </c>
      <c r="D13963" s="2" t="s">
        <v>11419</v>
      </c>
      <c r="E13963" s="3">
        <v>0</v>
      </c>
      <c r="F13963" s="2">
        <v>3703</v>
      </c>
      <c r="G13963" s="2">
        <v>100</v>
      </c>
      <c r="H13963" s="2">
        <v>699</v>
      </c>
      <c r="I13963" s="2">
        <v>488</v>
      </c>
      <c r="J13963" s="2">
        <v>2584</v>
      </c>
      <c r="K13963" s="2">
        <v>1</v>
      </c>
      <c r="L13963" s="2">
        <v>699</v>
      </c>
    </row>
    <row r="13964" spans="1:12" x14ac:dyDescent="0.25">
      <c r="A13964" s="4" t="str">
        <f>HYPERLINK("http://www.rosaceae.org/Prunus/Prunus_persica/p.persica_gdr_reftransV1_0008693","p.persica_gdr_reftransV1_0008693")</f>
        <v>p.persica_gdr_reftransV1_0008693</v>
      </c>
      <c r="B13964" s="2">
        <v>3018</v>
      </c>
      <c r="C13964" s="4" t="str">
        <f>HYPERLINK("http://www.uniprot.org/uniprot/M5VKE9","M5VKE9")</f>
        <v>M5VKE9</v>
      </c>
      <c r="D13964" s="2" t="s">
        <v>753</v>
      </c>
      <c r="E13964" s="3">
        <v>0</v>
      </c>
      <c r="F13964" s="2">
        <v>4131</v>
      </c>
      <c r="G13964" s="2">
        <v>100</v>
      </c>
      <c r="H13964" s="2">
        <v>784</v>
      </c>
      <c r="I13964" s="2">
        <v>3</v>
      </c>
      <c r="J13964" s="2">
        <v>2354</v>
      </c>
      <c r="K13964" s="2">
        <v>1948</v>
      </c>
      <c r="L13964" s="2">
        <v>2731</v>
      </c>
    </row>
    <row r="13965" spans="1:12" x14ac:dyDescent="0.25">
      <c r="A13965" s="4" t="str">
        <f>HYPERLINK("http://www.rosaceae.org/Prunus/Prunus_persica/p.persica_gdr_reftransV1_0009043","p.persica_gdr_reftransV1_0009043")</f>
        <v>p.persica_gdr_reftransV1_0009043</v>
      </c>
      <c r="B13965" s="2">
        <v>1214</v>
      </c>
      <c r="C13965" s="4" t="str">
        <f>HYPERLINK("http://www.uniprot.org/uniprot/M5VMR9","M5VMR9")</f>
        <v>M5VMR9</v>
      </c>
      <c r="D13965" s="2" t="s">
        <v>11420</v>
      </c>
      <c r="E13965" s="3">
        <v>0</v>
      </c>
      <c r="F13965" s="2">
        <v>1584</v>
      </c>
      <c r="G13965" s="2">
        <v>100</v>
      </c>
      <c r="H13965" s="2">
        <v>323</v>
      </c>
      <c r="I13965" s="2">
        <v>42</v>
      </c>
      <c r="J13965" s="2">
        <v>1010</v>
      </c>
      <c r="K13965" s="2">
        <v>1</v>
      </c>
      <c r="L13965" s="2">
        <v>323</v>
      </c>
    </row>
    <row r="13966" spans="1:12" x14ac:dyDescent="0.25">
      <c r="A13966" s="4" t="str">
        <f>HYPERLINK("http://www.rosaceae.org/Prunus/Prunus_persica/p.persica_gdr_reftransV1_0009393","p.persica_gdr_reftransV1_0009393")</f>
        <v>p.persica_gdr_reftransV1_0009393</v>
      </c>
      <c r="B13966" s="2">
        <v>1117</v>
      </c>
      <c r="C13966" s="4" t="str">
        <f>HYPERLINK("http://www.uniprot.org/uniprot/M5WD14","M5WD14")</f>
        <v>M5WD14</v>
      </c>
      <c r="D13966" s="2" t="s">
        <v>11421</v>
      </c>
      <c r="E13966" s="3">
        <v>5.0999999999999997E-131</v>
      </c>
      <c r="F13966" s="2">
        <v>988</v>
      </c>
      <c r="G13966" s="2">
        <v>100</v>
      </c>
      <c r="H13966" s="2">
        <v>184</v>
      </c>
      <c r="I13966" s="2">
        <v>242</v>
      </c>
      <c r="J13966" s="2">
        <v>793</v>
      </c>
      <c r="K13966" s="2">
        <v>1</v>
      </c>
      <c r="L13966" s="2">
        <v>184</v>
      </c>
    </row>
    <row r="13967" spans="1:12" x14ac:dyDescent="0.25">
      <c r="A13967" s="4" t="str">
        <f>HYPERLINK("http://www.rosaceae.org/Prunus/Prunus_persica/p.persica_gdr_reftransV1_0010093","p.persica_gdr_reftransV1_0010093")</f>
        <v>p.persica_gdr_reftransV1_0010093</v>
      </c>
      <c r="B13967" s="2">
        <v>1714</v>
      </c>
      <c r="C13967" s="4" t="str">
        <f>HYPERLINK("http://www.uniprot.org/uniprot/M5VL49","M5VL49")</f>
        <v>M5VL49</v>
      </c>
      <c r="D13967" s="2" t="s">
        <v>11422</v>
      </c>
      <c r="E13967" s="3">
        <v>0</v>
      </c>
      <c r="F13967" s="2">
        <v>1487</v>
      </c>
      <c r="G13967" s="2">
        <v>100</v>
      </c>
      <c r="H13967" s="2">
        <v>336</v>
      </c>
      <c r="I13967" s="2">
        <v>476</v>
      </c>
      <c r="J13967" s="2">
        <v>1483</v>
      </c>
      <c r="K13967" s="2">
        <v>1</v>
      </c>
      <c r="L13967" s="2">
        <v>336</v>
      </c>
    </row>
    <row r="13968" spans="1:12" x14ac:dyDescent="0.25">
      <c r="A13968" s="4" t="str">
        <f>HYPERLINK("http://www.rosaceae.org/Prunus/Prunus_persica/p.persica_gdr_reftransV1_0010443","p.persica_gdr_reftransV1_0010443")</f>
        <v>p.persica_gdr_reftransV1_0010443</v>
      </c>
      <c r="B13968" s="2">
        <v>1747</v>
      </c>
      <c r="C13968" s="4" t="str">
        <f>HYPERLINK("http://www.uniprot.org/uniprot/M5XFU5","M5XFU5")</f>
        <v>M5XFU5</v>
      </c>
      <c r="D13968" s="2" t="s">
        <v>11423</v>
      </c>
      <c r="E13968" s="3">
        <v>0</v>
      </c>
      <c r="F13968" s="2">
        <v>2254</v>
      </c>
      <c r="G13968" s="2">
        <v>100</v>
      </c>
      <c r="H13968" s="2">
        <v>453</v>
      </c>
      <c r="I13968" s="2">
        <v>253</v>
      </c>
      <c r="J13968" s="2">
        <v>1611</v>
      </c>
      <c r="K13968" s="2">
        <v>6</v>
      </c>
      <c r="L13968" s="2">
        <v>458</v>
      </c>
    </row>
    <row r="13969" spans="1:12" x14ac:dyDescent="0.25">
      <c r="A13969" s="4" t="str">
        <f>HYPERLINK("http://www.rosaceae.org/Prunus/Prunus_persica/p.persica_gdr_reftransV1_0010793","p.persica_gdr_reftransV1_0010793")</f>
        <v>p.persica_gdr_reftransV1_0010793</v>
      </c>
      <c r="B13969" s="2">
        <v>2739</v>
      </c>
      <c r="C13969" s="4" t="str">
        <f>HYPERLINK("http://www.uniprot.org/uniprot/M5X784","M5X784")</f>
        <v>M5X784</v>
      </c>
      <c r="D13969" s="2" t="s">
        <v>194</v>
      </c>
      <c r="E13969" s="3">
        <v>0</v>
      </c>
      <c r="F13969" s="2">
        <v>3159</v>
      </c>
      <c r="G13969" s="2">
        <v>99</v>
      </c>
      <c r="H13969" s="2">
        <v>649</v>
      </c>
      <c r="I13969" s="2">
        <v>688</v>
      </c>
      <c r="J13969" s="2">
        <v>2634</v>
      </c>
      <c r="K13969" s="2">
        <v>1</v>
      </c>
      <c r="L13969" s="2">
        <v>649</v>
      </c>
    </row>
    <row r="13970" spans="1:12" x14ac:dyDescent="0.25">
      <c r="A13970" s="4" t="str">
        <f>HYPERLINK("http://www.rosaceae.org/Prunus/Prunus_persica/p.persica_gdr_reftransV1_0011143","p.persica_gdr_reftransV1_0011143")</f>
        <v>p.persica_gdr_reftransV1_0011143</v>
      </c>
      <c r="B13970" s="2">
        <v>3270</v>
      </c>
      <c r="C13970" s="4" t="str">
        <f>HYPERLINK("http://www.uniprot.org/uniprot/M5WXP7","M5WXP7")</f>
        <v>M5WXP7</v>
      </c>
      <c r="D13970" s="2" t="s">
        <v>11424</v>
      </c>
      <c r="E13970" s="3">
        <v>0</v>
      </c>
      <c r="F13970" s="2">
        <v>4804</v>
      </c>
      <c r="G13970" s="2">
        <v>100</v>
      </c>
      <c r="H13970" s="2">
        <v>952</v>
      </c>
      <c r="I13970" s="2">
        <v>280</v>
      </c>
      <c r="J13970" s="2">
        <v>3135</v>
      </c>
      <c r="K13970" s="2">
        <v>1</v>
      </c>
      <c r="L13970" s="2">
        <v>952</v>
      </c>
    </row>
    <row r="13971" spans="1:12" x14ac:dyDescent="0.25">
      <c r="A13971" s="4" t="str">
        <f>HYPERLINK("http://www.rosaceae.org/Prunus/Prunus_persica/p.persica_gdr_reftransV1_0011493","p.persica_gdr_reftransV1_0011493")</f>
        <v>p.persica_gdr_reftransV1_0011493</v>
      </c>
      <c r="B13971" s="2">
        <v>505</v>
      </c>
      <c r="C13971" s="4" t="str">
        <f>HYPERLINK("http://www.uniprot.org/uniprot/M5WGR0","M5WGR0")</f>
        <v>M5WGR0</v>
      </c>
      <c r="D13971" s="2" t="s">
        <v>11425</v>
      </c>
      <c r="E13971" s="3">
        <v>5.6699999999999995E-73</v>
      </c>
      <c r="F13971" s="2">
        <v>593</v>
      </c>
      <c r="G13971" s="2">
        <v>100</v>
      </c>
      <c r="H13971" s="2">
        <v>110</v>
      </c>
      <c r="I13971" s="2">
        <v>72</v>
      </c>
      <c r="J13971" s="2">
        <v>401</v>
      </c>
      <c r="K13971" s="2">
        <v>1</v>
      </c>
      <c r="L13971" s="2">
        <v>110</v>
      </c>
    </row>
    <row r="13972" spans="1:12" x14ac:dyDescent="0.25">
      <c r="A13972" s="4" t="str">
        <f>HYPERLINK("http://www.rosaceae.org/Prunus/Prunus_persica/p.persica_gdr_reftransV1_0013593","p.persica_gdr_reftransV1_0013593")</f>
        <v>p.persica_gdr_reftransV1_0013593</v>
      </c>
      <c r="B13972" s="2">
        <v>827</v>
      </c>
      <c r="C13972" s="4" t="str">
        <f>HYPERLINK("http://www.uniprot.org/uniprot/M5W206","M5W206")</f>
        <v>M5W206</v>
      </c>
      <c r="D13972" s="2" t="s">
        <v>11426</v>
      </c>
      <c r="E13972" s="3">
        <v>1.1599999999999999E-106</v>
      </c>
      <c r="F13972" s="2">
        <v>814</v>
      </c>
      <c r="G13972" s="2">
        <v>100</v>
      </c>
      <c r="H13972" s="2">
        <v>154</v>
      </c>
      <c r="I13972" s="2">
        <v>6</v>
      </c>
      <c r="J13972" s="2">
        <v>467</v>
      </c>
      <c r="K13972" s="2">
        <v>1</v>
      </c>
      <c r="L13972" s="2">
        <v>154</v>
      </c>
    </row>
    <row r="13973" spans="1:12" x14ac:dyDescent="0.25">
      <c r="A13973" s="4" t="str">
        <f>HYPERLINK("http://www.rosaceae.org/Prunus/Prunus_persica/p.persica_gdr_reftransV1_0013943","p.persica_gdr_reftransV1_0013943")</f>
        <v>p.persica_gdr_reftransV1_0013943</v>
      </c>
      <c r="B13973" s="2">
        <v>1765</v>
      </c>
      <c r="C13973" s="4" t="str">
        <f>HYPERLINK("http://www.uniprot.org/uniprot/A0A067L0T6","A0A067L0T6")</f>
        <v>A0A067L0T6</v>
      </c>
      <c r="D13973" s="2" t="s">
        <v>11427</v>
      </c>
      <c r="E13973" s="3">
        <v>4.8699999999999998E-178</v>
      </c>
      <c r="F13973" s="2">
        <v>1344</v>
      </c>
      <c r="G13973" s="2">
        <v>84</v>
      </c>
      <c r="H13973" s="2">
        <v>328</v>
      </c>
      <c r="I13973" s="2">
        <v>255</v>
      </c>
      <c r="J13973" s="2">
        <v>1238</v>
      </c>
      <c r="K13973" s="2">
        <v>90</v>
      </c>
      <c r="L13973" s="2">
        <v>417</v>
      </c>
    </row>
    <row r="13974" spans="1:12" x14ac:dyDescent="0.25">
      <c r="A13974" s="4" t="str">
        <f>HYPERLINK("http://www.rosaceae.org/Prunus/Prunus_persica/p.persica_gdr_reftransV1_0014643","p.persica_gdr_reftransV1_0014643")</f>
        <v>p.persica_gdr_reftransV1_0014643</v>
      </c>
      <c r="B13974" s="2">
        <v>4145</v>
      </c>
      <c r="C13974" s="4" t="str">
        <f>HYPERLINK("http://www.uniprot.org/uniprot/M5Y8A0","M5Y8A0")</f>
        <v>M5Y8A0</v>
      </c>
      <c r="D13974" s="2" t="s">
        <v>11428</v>
      </c>
      <c r="E13974" s="3">
        <v>0</v>
      </c>
      <c r="F13974" s="2">
        <v>3995</v>
      </c>
      <c r="G13974" s="2">
        <v>100</v>
      </c>
      <c r="H13974" s="2">
        <v>746</v>
      </c>
      <c r="I13974" s="2">
        <v>375</v>
      </c>
      <c r="J13974" s="2">
        <v>2612</v>
      </c>
      <c r="K13974" s="2">
        <v>433</v>
      </c>
      <c r="L13974" s="2">
        <v>1178</v>
      </c>
    </row>
    <row r="13975" spans="1:12" x14ac:dyDescent="0.25">
      <c r="A13975" s="4" t="str">
        <f>HYPERLINK("http://www.rosaceae.org/Prunus/Prunus_persica/p.persica_gdr_reftransV1_0015343","p.persica_gdr_reftransV1_0015343")</f>
        <v>p.persica_gdr_reftransV1_0015343</v>
      </c>
      <c r="B13975" s="2">
        <v>1614</v>
      </c>
      <c r="C13975" s="4" t="str">
        <f>HYPERLINK("http://www.uniprot.org/uniprot/M5XD96","M5XD96")</f>
        <v>M5XD96</v>
      </c>
      <c r="D13975" s="2" t="s">
        <v>8088</v>
      </c>
      <c r="E13975" s="3">
        <v>0</v>
      </c>
      <c r="F13975" s="2">
        <v>1825</v>
      </c>
      <c r="G13975" s="2">
        <v>100</v>
      </c>
      <c r="H13975" s="2">
        <v>339</v>
      </c>
      <c r="I13975" s="2">
        <v>194</v>
      </c>
      <c r="J13975" s="2">
        <v>1210</v>
      </c>
      <c r="K13975" s="2">
        <v>1</v>
      </c>
      <c r="L13975" s="2">
        <v>339</v>
      </c>
    </row>
    <row r="13976" spans="1:12" x14ac:dyDescent="0.25">
      <c r="A13976" s="4" t="str">
        <f>HYPERLINK("http://www.rosaceae.org/Prunus/Prunus_persica/p.persica_gdr_reftransV1_0016043","p.persica_gdr_reftransV1_0016043")</f>
        <v>p.persica_gdr_reftransV1_0016043</v>
      </c>
      <c r="B13976" s="2">
        <v>2284</v>
      </c>
      <c r="C13976" s="4" t="str">
        <f>HYPERLINK("http://www.uniprot.org/uniprot/M5XHL5","M5XHL5")</f>
        <v>M5XHL5</v>
      </c>
      <c r="D13976" s="2" t="s">
        <v>9874</v>
      </c>
      <c r="E13976" s="3">
        <v>0</v>
      </c>
      <c r="F13976" s="2">
        <v>3570</v>
      </c>
      <c r="G13976" s="2">
        <v>97</v>
      </c>
      <c r="H13976" s="2">
        <v>688</v>
      </c>
      <c r="I13976" s="2">
        <v>220</v>
      </c>
      <c r="J13976" s="2">
        <v>2283</v>
      </c>
      <c r="K13976" s="2">
        <v>127</v>
      </c>
      <c r="L13976" s="2">
        <v>797</v>
      </c>
    </row>
    <row r="13977" spans="1:12" x14ac:dyDescent="0.25">
      <c r="A13977" s="4" t="str">
        <f>HYPERLINK("http://www.rosaceae.org/Prunus/Prunus_persica/p.persica_gdr_reftransV1_0016743","p.persica_gdr_reftransV1_0016743")</f>
        <v>p.persica_gdr_reftransV1_0016743</v>
      </c>
      <c r="B13977" s="2">
        <v>1083</v>
      </c>
      <c r="C13977" s="4" t="str">
        <f>HYPERLINK("http://www.uniprot.org/uniprot/M5WK30","M5WK30")</f>
        <v>M5WK30</v>
      </c>
      <c r="D13977" s="2" t="s">
        <v>11429</v>
      </c>
      <c r="E13977" s="3">
        <v>1.24E-91</v>
      </c>
      <c r="F13977" s="2">
        <v>726</v>
      </c>
      <c r="G13977" s="2">
        <v>98</v>
      </c>
      <c r="H13977" s="2">
        <v>167</v>
      </c>
      <c r="I13977" s="2">
        <v>1</v>
      </c>
      <c r="J13977" s="2">
        <v>498</v>
      </c>
      <c r="K13977" s="2">
        <v>19</v>
      </c>
      <c r="L13977" s="2">
        <v>185</v>
      </c>
    </row>
    <row r="13978" spans="1:12" x14ac:dyDescent="0.25">
      <c r="A13978" s="4" t="str">
        <f>HYPERLINK("http://www.rosaceae.org/Prunus/Prunus_persica/p.persica_gdr_reftransV1_0017443","p.persica_gdr_reftransV1_0017443")</f>
        <v>p.persica_gdr_reftransV1_0017443</v>
      </c>
      <c r="B13978" s="2">
        <v>805</v>
      </c>
      <c r="C13978" s="4" t="str">
        <f>HYPERLINK("http://www.uniprot.org/uniprot/M5VXE6","M5VXE6")</f>
        <v>M5VXE6</v>
      </c>
      <c r="D13978" s="2" t="s">
        <v>11430</v>
      </c>
      <c r="E13978" s="3">
        <v>3.4799999999999999E-45</v>
      </c>
      <c r="F13978" s="2">
        <v>403</v>
      </c>
      <c r="G13978" s="2">
        <v>100</v>
      </c>
      <c r="H13978" s="2">
        <v>119</v>
      </c>
      <c r="I13978" s="2">
        <v>223</v>
      </c>
      <c r="J13978" s="2">
        <v>579</v>
      </c>
      <c r="K13978" s="2">
        <v>1</v>
      </c>
      <c r="L13978" s="2">
        <v>119</v>
      </c>
    </row>
    <row r="13979" spans="1:12" x14ac:dyDescent="0.25">
      <c r="A13979" s="4" t="str">
        <f>HYPERLINK("http://www.rosaceae.org/Prunus/Prunus_persica/p.persica_gdr_reftransV1_0018493","p.persica_gdr_reftransV1_0018493")</f>
        <v>p.persica_gdr_reftransV1_0018493</v>
      </c>
      <c r="B13979" s="2">
        <v>2789</v>
      </c>
      <c r="C13979" s="4" t="str">
        <f>HYPERLINK("http://www.uniprot.org/uniprot/M5XG82","M5XG82")</f>
        <v>M5XG82</v>
      </c>
      <c r="D13979" s="2" t="s">
        <v>3195</v>
      </c>
      <c r="E13979" s="3">
        <v>0</v>
      </c>
      <c r="F13979" s="2">
        <v>2122</v>
      </c>
      <c r="G13979" s="2">
        <v>98</v>
      </c>
      <c r="H13979" s="2">
        <v>404</v>
      </c>
      <c r="I13979" s="2">
        <v>1056</v>
      </c>
      <c r="J13979" s="2">
        <v>2267</v>
      </c>
      <c r="K13979" s="2">
        <v>1</v>
      </c>
      <c r="L13979" s="2">
        <v>404</v>
      </c>
    </row>
    <row r="13980" spans="1:12" x14ac:dyDescent="0.25">
      <c r="A13980" s="4" t="str">
        <f>HYPERLINK("http://www.rosaceae.org/Prunus/Prunus_persica/p.persica_gdr_reftransV1_0019193","p.persica_gdr_reftransV1_0019193")</f>
        <v>p.persica_gdr_reftransV1_0019193</v>
      </c>
      <c r="B13980" s="2">
        <v>1047</v>
      </c>
      <c r="C13980" s="4" t="str">
        <f>HYPERLINK("http://www.uniprot.org/uniprot/I3SEG3","I3SEG3")</f>
        <v>I3SEG3</v>
      </c>
      <c r="D13980" s="2" t="s">
        <v>3170</v>
      </c>
      <c r="E13980" s="3">
        <v>5.4599999999999998E-149</v>
      </c>
      <c r="F13980" s="2">
        <v>1108</v>
      </c>
      <c r="G13980" s="2">
        <v>95</v>
      </c>
      <c r="H13980" s="2">
        <v>215</v>
      </c>
      <c r="I13980" s="2">
        <v>310</v>
      </c>
      <c r="J13980" s="2">
        <v>954</v>
      </c>
      <c r="K13980" s="2">
        <v>1</v>
      </c>
      <c r="L13980" s="2">
        <v>215</v>
      </c>
    </row>
    <row r="13981" spans="1:12" x14ac:dyDescent="0.25">
      <c r="A13981" s="4" t="str">
        <f>HYPERLINK("http://www.rosaceae.org/Prunus/Prunus_persica/p.persica_gdr_reftransV1_0019893","p.persica_gdr_reftransV1_0019893")</f>
        <v>p.persica_gdr_reftransV1_0019893</v>
      </c>
      <c r="B13981" s="2">
        <v>806</v>
      </c>
      <c r="C13981" s="4" t="str">
        <f>HYPERLINK("http://www.uniprot.org/uniprot/M5XH87","M5XH87")</f>
        <v>M5XH87</v>
      </c>
      <c r="D13981" s="2" t="s">
        <v>11431</v>
      </c>
      <c r="E13981" s="3">
        <v>3.3000000000000001E-98</v>
      </c>
      <c r="F13981" s="2">
        <v>758</v>
      </c>
      <c r="G13981" s="2">
        <v>100</v>
      </c>
      <c r="H13981" s="2">
        <v>146</v>
      </c>
      <c r="I13981" s="2">
        <v>245</v>
      </c>
      <c r="J13981" s="2">
        <v>682</v>
      </c>
      <c r="K13981" s="2">
        <v>9</v>
      </c>
      <c r="L13981" s="2">
        <v>154</v>
      </c>
    </row>
    <row r="13982" spans="1:12" x14ac:dyDescent="0.25">
      <c r="A13982" s="4" t="str">
        <f>HYPERLINK("http://www.rosaceae.org/Prunus/Prunus_persica/p.persica_gdr_reftransV1_0020243","p.persica_gdr_reftransV1_0020243")</f>
        <v>p.persica_gdr_reftransV1_0020243</v>
      </c>
      <c r="B13982" s="2">
        <v>2970</v>
      </c>
      <c r="C13982" s="4" t="str">
        <f>HYPERLINK("http://www.uniprot.org/uniprot/M5VWN9","M5VWN9")</f>
        <v>M5VWN9</v>
      </c>
      <c r="D13982" s="2" t="s">
        <v>6919</v>
      </c>
      <c r="E13982" s="3">
        <v>0</v>
      </c>
      <c r="F13982" s="2">
        <v>1874</v>
      </c>
      <c r="G13982" s="2">
        <v>97</v>
      </c>
      <c r="H13982" s="2">
        <v>380</v>
      </c>
      <c r="I13982" s="2">
        <v>1535</v>
      </c>
      <c r="J13982" s="2">
        <v>2674</v>
      </c>
      <c r="K13982" s="2">
        <v>1</v>
      </c>
      <c r="L13982" s="2">
        <v>380</v>
      </c>
    </row>
    <row r="13983" spans="1:12" x14ac:dyDescent="0.25">
      <c r="A13983" s="4" t="str">
        <f>HYPERLINK("http://www.rosaceae.org/Prunus/Prunus_persica/p.persica_gdr_reftransV1_0020593","p.persica_gdr_reftransV1_0020593")</f>
        <v>p.persica_gdr_reftransV1_0020593</v>
      </c>
      <c r="B13983" s="2">
        <v>3742</v>
      </c>
      <c r="C13983" s="4" t="str">
        <f>HYPERLINK("http://www.uniprot.org/uniprot/M5VJA3","M5VJA3")</f>
        <v>M5VJA3</v>
      </c>
      <c r="D13983" s="2" t="s">
        <v>11432</v>
      </c>
      <c r="E13983" s="3">
        <v>0</v>
      </c>
      <c r="F13983" s="2">
        <v>5304</v>
      </c>
      <c r="G13983" s="2">
        <v>100</v>
      </c>
      <c r="H13983" s="2">
        <v>1048</v>
      </c>
      <c r="I13983" s="2">
        <v>597</v>
      </c>
      <c r="J13983" s="2">
        <v>3740</v>
      </c>
      <c r="K13983" s="2">
        <v>13</v>
      </c>
      <c r="L13983" s="2">
        <v>1060</v>
      </c>
    </row>
    <row r="13984" spans="1:12" x14ac:dyDescent="0.25">
      <c r="A13984" s="4" t="str">
        <f>HYPERLINK("http://www.rosaceae.org/Prunus/Prunus_persica/p.persica_gdr_reftransV1_0021643","p.persica_gdr_reftransV1_0021643")</f>
        <v>p.persica_gdr_reftransV1_0021643</v>
      </c>
      <c r="B13984" s="2">
        <v>723</v>
      </c>
      <c r="C13984" s="4" t="str">
        <f>HYPERLINK("http://www.uniprot.org/uniprot/M5XHJ7","M5XHJ7")</f>
        <v>M5XHJ7</v>
      </c>
      <c r="D13984" s="2" t="s">
        <v>11433</v>
      </c>
      <c r="E13984" s="3">
        <v>1.8600000000000001E-142</v>
      </c>
      <c r="F13984" s="2">
        <v>1056</v>
      </c>
      <c r="G13984" s="2">
        <v>100</v>
      </c>
      <c r="H13984" s="2">
        <v>240</v>
      </c>
      <c r="I13984" s="2">
        <v>2</v>
      </c>
      <c r="J13984" s="2">
        <v>721</v>
      </c>
      <c r="K13984" s="2">
        <v>7</v>
      </c>
      <c r="L13984" s="2">
        <v>246</v>
      </c>
    </row>
    <row r="13985" spans="1:12" x14ac:dyDescent="0.25">
      <c r="A13985" s="4" t="str">
        <f>HYPERLINK("http://www.rosaceae.org/Prunus/Prunus_persica/p.persica_gdr_reftransV1_0023043","p.persica_gdr_reftransV1_0023043")</f>
        <v>p.persica_gdr_reftransV1_0023043</v>
      </c>
      <c r="B13985" s="2">
        <v>1481</v>
      </c>
      <c r="C13985" s="4" t="str">
        <f>HYPERLINK("http://www.uniprot.org/uniprot/M5W2Z0","M5W2Z0")</f>
        <v>M5W2Z0</v>
      </c>
      <c r="D13985" s="2" t="s">
        <v>11434</v>
      </c>
      <c r="E13985" s="3">
        <v>0</v>
      </c>
      <c r="F13985" s="2">
        <v>960</v>
      </c>
      <c r="G13985" s="2">
        <v>100</v>
      </c>
      <c r="H13985" s="2">
        <v>202</v>
      </c>
      <c r="I13985" s="2">
        <v>752</v>
      </c>
      <c r="J13985" s="2">
        <v>1357</v>
      </c>
      <c r="K13985" s="2">
        <v>1</v>
      </c>
      <c r="L13985" s="2">
        <v>202</v>
      </c>
    </row>
    <row r="13986" spans="1:12" x14ac:dyDescent="0.25">
      <c r="A13986" s="4" t="str">
        <f>HYPERLINK("http://www.rosaceae.org/Prunus/Prunus_persica/p.persica_gdr_reftransV1_0027243","p.persica_gdr_reftransV1_0027243")</f>
        <v>p.persica_gdr_reftransV1_0027243</v>
      </c>
      <c r="B13986" s="2">
        <v>1683</v>
      </c>
      <c r="C13986" s="4" t="str">
        <f>HYPERLINK("http://www.uniprot.org/uniprot/M5XRI9","M5XRI9")</f>
        <v>M5XRI9</v>
      </c>
      <c r="D13986" s="2" t="s">
        <v>11435</v>
      </c>
      <c r="E13986" s="3">
        <v>8.2599999999999997E-68</v>
      </c>
      <c r="F13986" s="2">
        <v>532</v>
      </c>
      <c r="G13986" s="2">
        <v>96</v>
      </c>
      <c r="H13986" s="2">
        <v>105</v>
      </c>
      <c r="I13986" s="2">
        <v>1099</v>
      </c>
      <c r="J13986" s="2">
        <v>1413</v>
      </c>
      <c r="K13986" s="2">
        <v>204</v>
      </c>
      <c r="L13986" s="2">
        <v>308</v>
      </c>
    </row>
    <row r="13987" spans="1:12" x14ac:dyDescent="0.25">
      <c r="A13987" s="4" t="str">
        <f>HYPERLINK("http://www.rosaceae.org/Prunus/Prunus_persica/p.persica_gdr_reftransV1_0028643","p.persica_gdr_reftransV1_0028643")</f>
        <v>p.persica_gdr_reftransV1_0028643</v>
      </c>
      <c r="B13987" s="2">
        <v>1235</v>
      </c>
      <c r="C13987" s="4" t="str">
        <f>HYPERLINK("http://www.uniprot.org/uniprot/M5X129","M5X129")</f>
        <v>M5X129</v>
      </c>
      <c r="D13987" s="2" t="s">
        <v>11436</v>
      </c>
      <c r="E13987" s="3">
        <v>2.39E-57</v>
      </c>
      <c r="F13987" s="2">
        <v>503</v>
      </c>
      <c r="G13987" s="2">
        <v>98</v>
      </c>
      <c r="H13987" s="2">
        <v>98</v>
      </c>
      <c r="I13987" s="2">
        <v>712</v>
      </c>
      <c r="J13987" s="2">
        <v>1005</v>
      </c>
      <c r="K13987" s="2">
        <v>110</v>
      </c>
      <c r="L13987" s="2">
        <v>207</v>
      </c>
    </row>
    <row r="13988" spans="1:12" x14ac:dyDescent="0.25">
      <c r="A13988" s="4" t="str">
        <f>HYPERLINK("http://www.rosaceae.org/Prunus/Prunus_persica/p.persica_gdr_reftransV1_0029343","p.persica_gdr_reftransV1_0029343")</f>
        <v>p.persica_gdr_reftransV1_0029343</v>
      </c>
      <c r="B13988" s="2">
        <v>1402</v>
      </c>
      <c r="C13988" s="4" t="str">
        <f>HYPERLINK("http://www.uniprot.org/uniprot/M5WXP3","M5WXP3")</f>
        <v>M5WXP3</v>
      </c>
      <c r="D13988" s="2" t="s">
        <v>3333</v>
      </c>
      <c r="E13988" s="3">
        <v>3.4499999999999997E-108</v>
      </c>
      <c r="F13988" s="2">
        <v>906</v>
      </c>
      <c r="G13988" s="2">
        <v>100</v>
      </c>
      <c r="H13988" s="2">
        <v>226</v>
      </c>
      <c r="I13988" s="2">
        <v>2</v>
      </c>
      <c r="J13988" s="2">
        <v>679</v>
      </c>
      <c r="K13988" s="2">
        <v>695</v>
      </c>
      <c r="L13988" s="2">
        <v>920</v>
      </c>
    </row>
    <row r="13989" spans="1:12" x14ac:dyDescent="0.25">
      <c r="A13989" s="4" t="str">
        <f>HYPERLINK("http://www.rosaceae.org/Prunus/Prunus_persica/p.persica_gdr_reftransV1_0031093","p.persica_gdr_reftransV1_0031093")</f>
        <v>p.persica_gdr_reftransV1_0031093</v>
      </c>
      <c r="B13989" s="2">
        <v>1811</v>
      </c>
      <c r="C13989" s="4" t="str">
        <f>HYPERLINK("http://www.uniprot.org/uniprot/M5XH08","M5XH08")</f>
        <v>M5XH08</v>
      </c>
      <c r="D13989" s="2" t="s">
        <v>11437</v>
      </c>
      <c r="E13989" s="3">
        <v>1.6200000000000001E-50</v>
      </c>
      <c r="F13989" s="2">
        <v>464</v>
      </c>
      <c r="G13989" s="2">
        <v>100</v>
      </c>
      <c r="H13989" s="2">
        <v>87</v>
      </c>
      <c r="I13989" s="2">
        <v>987</v>
      </c>
      <c r="J13989" s="2">
        <v>1247</v>
      </c>
      <c r="K13989" s="2">
        <v>1</v>
      </c>
      <c r="L13989" s="2">
        <v>87</v>
      </c>
    </row>
    <row r="13990" spans="1:12" x14ac:dyDescent="0.25">
      <c r="A13990" s="4" t="str">
        <f>HYPERLINK("http://www.rosaceae.org/Prunus/Prunus_persica/p.persica_gdr_reftransV1_0032143","p.persica_gdr_reftransV1_0032143")</f>
        <v>p.persica_gdr_reftransV1_0032143</v>
      </c>
      <c r="B13990" s="2">
        <v>1711</v>
      </c>
      <c r="C13990" s="4" t="str">
        <f>HYPERLINK("http://www.uniprot.org/uniprot/M5VZH2","M5VZH2")</f>
        <v>M5VZH2</v>
      </c>
      <c r="D13990" s="2" t="s">
        <v>11438</v>
      </c>
      <c r="E13990" s="3">
        <v>4.3900000000000002E-166</v>
      </c>
      <c r="F13990" s="2">
        <v>1261</v>
      </c>
      <c r="G13990" s="2">
        <v>94</v>
      </c>
      <c r="H13990" s="2">
        <v>267</v>
      </c>
      <c r="I13990" s="2">
        <v>37</v>
      </c>
      <c r="J13990" s="2">
        <v>837</v>
      </c>
      <c r="K13990" s="2">
        <v>1</v>
      </c>
      <c r="L13990" s="2">
        <v>267</v>
      </c>
    </row>
    <row r="13991" spans="1:12" x14ac:dyDescent="0.25">
      <c r="A13991" s="4" t="str">
        <f>HYPERLINK("http://www.rosaceae.org/Prunus/Prunus_persica/p.persica_gdr_reftransV1_0034593","p.persica_gdr_reftransV1_0034593")</f>
        <v>p.persica_gdr_reftransV1_0034593</v>
      </c>
      <c r="B13991" s="2">
        <v>3643</v>
      </c>
      <c r="C13991" s="4" t="str">
        <f>HYPERLINK("http://www.uniprot.org/uniprot/A0A059BB78","A0A059BB78")</f>
        <v>A0A059BB78</v>
      </c>
      <c r="D13991" s="2" t="s">
        <v>11439</v>
      </c>
      <c r="E13991" s="3">
        <v>9.9999999999999997E-48</v>
      </c>
      <c r="F13991" s="2">
        <v>275</v>
      </c>
      <c r="G13991" s="2">
        <v>93</v>
      </c>
      <c r="H13991" s="2">
        <v>56</v>
      </c>
      <c r="I13991" s="2">
        <v>385</v>
      </c>
      <c r="J13991" s="2">
        <v>552</v>
      </c>
      <c r="K13991" s="2">
        <v>1</v>
      </c>
      <c r="L13991" s="2">
        <v>56</v>
      </c>
    </row>
    <row r="13992" spans="1:12" x14ac:dyDescent="0.25">
      <c r="A13992" s="4" t="str">
        <f>HYPERLINK("http://www.rosaceae.org/Prunus/Prunus_persica/p.persica_gdr_reftransV1_0035993","p.persica_gdr_reftransV1_0035993")</f>
        <v>p.persica_gdr_reftransV1_0035993</v>
      </c>
      <c r="B13992" s="2">
        <v>1212</v>
      </c>
      <c r="C13992" s="4" t="str">
        <f>HYPERLINK("http://www.uniprot.org/uniprot/M5XF95","M5XF95")</f>
        <v>M5XF95</v>
      </c>
      <c r="D13992" s="2" t="s">
        <v>11440</v>
      </c>
      <c r="E13992" s="3">
        <v>7.1099999999999996E-115</v>
      </c>
      <c r="F13992" s="2">
        <v>887</v>
      </c>
      <c r="G13992" s="2">
        <v>100</v>
      </c>
      <c r="H13992" s="2">
        <v>164</v>
      </c>
      <c r="I13992" s="2">
        <v>619</v>
      </c>
      <c r="J13992" s="2">
        <v>1110</v>
      </c>
      <c r="K13992" s="2">
        <v>1</v>
      </c>
      <c r="L13992" s="2">
        <v>164</v>
      </c>
    </row>
    <row r="13993" spans="1:12" x14ac:dyDescent="0.25">
      <c r="A13993" s="4" t="str">
        <f>HYPERLINK("http://www.rosaceae.org/Prunus/Prunus_persica/p.persica_gdr_reftransV1_0036343","p.persica_gdr_reftransV1_0036343")</f>
        <v>p.persica_gdr_reftransV1_0036343</v>
      </c>
      <c r="B13993" s="2">
        <v>3299</v>
      </c>
      <c r="C13993" s="4" t="str">
        <f>HYPERLINK("http://www.uniprot.org/uniprot/M5WNQ0","M5WNQ0")</f>
        <v>M5WNQ0</v>
      </c>
      <c r="D13993" s="2" t="s">
        <v>3595</v>
      </c>
      <c r="E13993" s="3">
        <v>0</v>
      </c>
      <c r="F13993" s="2">
        <v>5008</v>
      </c>
      <c r="G13993" s="2">
        <v>100</v>
      </c>
      <c r="H13993" s="2">
        <v>965</v>
      </c>
      <c r="I13993" s="2">
        <v>109</v>
      </c>
      <c r="J13993" s="2">
        <v>3003</v>
      </c>
      <c r="K13993" s="2">
        <v>1</v>
      </c>
      <c r="L13993" s="2">
        <v>965</v>
      </c>
    </row>
    <row r="13994" spans="1:12" x14ac:dyDescent="0.25">
      <c r="A13994" s="4" t="str">
        <f>HYPERLINK("http://www.rosaceae.org/Prunus/Prunus_persica/p.persica_gdr_reftransV1_0037393","p.persica_gdr_reftransV1_0037393")</f>
        <v>p.persica_gdr_reftransV1_0037393</v>
      </c>
      <c r="B13994" s="2">
        <v>1979</v>
      </c>
      <c r="C13994" s="4" t="str">
        <f>HYPERLINK("http://www.uniprot.org/uniprot/M5WRT0","M5WRT0")</f>
        <v>M5WRT0</v>
      </c>
      <c r="D13994" s="2" t="s">
        <v>11441</v>
      </c>
      <c r="E13994" s="3">
        <v>0</v>
      </c>
      <c r="F13994" s="2">
        <v>1787</v>
      </c>
      <c r="G13994" s="2">
        <v>100</v>
      </c>
      <c r="H13994" s="2">
        <v>354</v>
      </c>
      <c r="I13994" s="2">
        <v>739</v>
      </c>
      <c r="J13994" s="2">
        <v>1800</v>
      </c>
      <c r="K13994" s="2">
        <v>125</v>
      </c>
      <c r="L13994" s="2">
        <v>478</v>
      </c>
    </row>
    <row r="13995" spans="1:12" x14ac:dyDescent="0.25">
      <c r="A13995" s="4" t="str">
        <f>HYPERLINK("http://www.rosaceae.org/Prunus/Prunus_persica/p.persica_gdr_reftransV1_0038793","p.persica_gdr_reftransV1_0038793")</f>
        <v>p.persica_gdr_reftransV1_0038793</v>
      </c>
      <c r="B13995" s="2">
        <v>3695</v>
      </c>
      <c r="C13995" s="4" t="str">
        <f>HYPERLINK("http://www.uniprot.org/uniprot/M5XKJ5","M5XKJ5")</f>
        <v>M5XKJ5</v>
      </c>
      <c r="D13995" s="2" t="s">
        <v>11442</v>
      </c>
      <c r="E13995" s="3">
        <v>0</v>
      </c>
      <c r="F13995" s="2">
        <v>3637</v>
      </c>
      <c r="G13995" s="2">
        <v>97</v>
      </c>
      <c r="H13995" s="2">
        <v>742</v>
      </c>
      <c r="I13995" s="2">
        <v>115</v>
      </c>
      <c r="J13995" s="2">
        <v>2322</v>
      </c>
      <c r="K13995" s="2">
        <v>1</v>
      </c>
      <c r="L13995" s="2">
        <v>732</v>
      </c>
    </row>
    <row r="13996" spans="1:12" x14ac:dyDescent="0.25">
      <c r="A13996" s="4" t="str">
        <f>HYPERLINK("http://www.rosaceae.org/Prunus/Prunus_persica/p.persica_gdr_reftransV1_0042293","p.persica_gdr_reftransV1_0042293")</f>
        <v>p.persica_gdr_reftransV1_0042293</v>
      </c>
      <c r="B13996" s="2">
        <v>5646</v>
      </c>
      <c r="C13996" s="4" t="str">
        <f>HYPERLINK("http://www.uniprot.org/uniprot/M5WDV7","M5WDV7")</f>
        <v>M5WDV7</v>
      </c>
      <c r="D13996" s="2" t="s">
        <v>11443</v>
      </c>
      <c r="E13996" s="3">
        <v>3.3E-144</v>
      </c>
      <c r="F13996" s="2">
        <v>1206</v>
      </c>
      <c r="G13996" s="2">
        <v>100</v>
      </c>
      <c r="H13996" s="2">
        <v>226</v>
      </c>
      <c r="I13996" s="2">
        <v>1311</v>
      </c>
      <c r="J13996" s="2">
        <v>1988</v>
      </c>
      <c r="K13996" s="2">
        <v>276</v>
      </c>
      <c r="L13996" s="2">
        <v>501</v>
      </c>
    </row>
    <row r="13997" spans="1:12" x14ac:dyDescent="0.25">
      <c r="A13997" s="4" t="str">
        <f>HYPERLINK("http://www.rosaceae.org/Prunus/Prunus_persica/p.persica_gdr_reftransV1_0042643","p.persica_gdr_reftransV1_0042643")</f>
        <v>p.persica_gdr_reftransV1_0042643</v>
      </c>
      <c r="B13997" s="2">
        <v>3428</v>
      </c>
      <c r="C13997" s="4" t="str">
        <f>HYPERLINK("http://www.uniprot.org/uniprot/M5VXI5","M5VXI5")</f>
        <v>M5VXI5</v>
      </c>
      <c r="D13997" s="2" t="s">
        <v>11444</v>
      </c>
      <c r="E13997" s="3">
        <v>0</v>
      </c>
      <c r="F13997" s="2">
        <v>4006</v>
      </c>
      <c r="G13997" s="2">
        <v>100</v>
      </c>
      <c r="H13997" s="2">
        <v>811</v>
      </c>
      <c r="I13997" s="2">
        <v>366</v>
      </c>
      <c r="J13997" s="2">
        <v>2798</v>
      </c>
      <c r="K13997" s="2">
        <v>1</v>
      </c>
      <c r="L13997" s="2">
        <v>811</v>
      </c>
    </row>
    <row r="13998" spans="1:12" x14ac:dyDescent="0.25">
      <c r="A13998" s="4" t="str">
        <f>HYPERLINK("http://www.rosaceae.org/Prunus/Prunus_persica/p.persica_gdr_reftransV1_0043343","p.persica_gdr_reftransV1_0043343")</f>
        <v>p.persica_gdr_reftransV1_0043343</v>
      </c>
      <c r="B13998" s="2">
        <v>1822</v>
      </c>
      <c r="C13998" s="4" t="str">
        <f>HYPERLINK("http://www.uniprot.org/uniprot/M5WZR1","M5WZR1")</f>
        <v>M5WZR1</v>
      </c>
      <c r="D13998" s="2" t="s">
        <v>5623</v>
      </c>
      <c r="E13998" s="3">
        <v>0</v>
      </c>
      <c r="F13998" s="2">
        <v>2269</v>
      </c>
      <c r="G13998" s="2">
        <v>100</v>
      </c>
      <c r="H13998" s="2">
        <v>476</v>
      </c>
      <c r="I13998" s="2">
        <v>201</v>
      </c>
      <c r="J13998" s="2">
        <v>1628</v>
      </c>
      <c r="K13998" s="2">
        <v>1</v>
      </c>
      <c r="L13998" s="2">
        <v>476</v>
      </c>
    </row>
    <row r="13999" spans="1:12" x14ac:dyDescent="0.25">
      <c r="A13999" s="4" t="str">
        <f>HYPERLINK("http://www.rosaceae.org/Prunus/Prunus_persica/p.persica_gdr_reftransV1_0043693","p.persica_gdr_reftransV1_0043693")</f>
        <v>p.persica_gdr_reftransV1_0043693</v>
      </c>
      <c r="B13999" s="2">
        <v>562</v>
      </c>
      <c r="C13999" s="4" t="str">
        <f>HYPERLINK("http://www.uniprot.org/uniprot/D9ZIP5","D9ZIP5")</f>
        <v>D9ZIP5</v>
      </c>
      <c r="D13999" s="2" t="s">
        <v>11445</v>
      </c>
      <c r="E13999" s="3">
        <v>2.2E-41</v>
      </c>
      <c r="F13999" s="2">
        <v>384</v>
      </c>
      <c r="G13999" s="2">
        <v>77</v>
      </c>
      <c r="H13999" s="2">
        <v>94</v>
      </c>
      <c r="I13999" s="2">
        <v>229</v>
      </c>
      <c r="J13999" s="2">
        <v>510</v>
      </c>
      <c r="K13999" s="2">
        <v>1</v>
      </c>
      <c r="L13999" s="2">
        <v>86</v>
      </c>
    </row>
    <row r="14000" spans="1:12" x14ac:dyDescent="0.25">
      <c r="A14000" s="4" t="str">
        <f>HYPERLINK("http://www.rosaceae.org/Prunus/Prunus_persica/p.persica_gdr_reftransV1_0044043","p.persica_gdr_reftransV1_0044043")</f>
        <v>p.persica_gdr_reftransV1_0044043</v>
      </c>
      <c r="B14000" s="2">
        <v>818</v>
      </c>
      <c r="C14000" s="4" t="str">
        <f>HYPERLINK("http://www.uniprot.org/uniprot/M5X1A8","M5X1A8")</f>
        <v>M5X1A8</v>
      </c>
      <c r="D14000" s="2" t="s">
        <v>6812</v>
      </c>
      <c r="E14000" s="3">
        <v>1.9500000000000001E-111</v>
      </c>
      <c r="F14000" s="2">
        <v>847</v>
      </c>
      <c r="G14000" s="2">
        <v>91</v>
      </c>
      <c r="H14000" s="2">
        <v>187</v>
      </c>
      <c r="I14000" s="2">
        <v>2</v>
      </c>
      <c r="J14000" s="2">
        <v>562</v>
      </c>
      <c r="K14000" s="2">
        <v>1</v>
      </c>
      <c r="L14000" s="2">
        <v>174</v>
      </c>
    </row>
    <row r="14001" spans="1:12" x14ac:dyDescent="0.25">
      <c r="A14001" s="4" t="str">
        <f>HYPERLINK("http://www.rosaceae.org/Prunus/Prunus_persica/p.persica_gdr_reftransV1_0044743","p.persica_gdr_reftransV1_0044743")</f>
        <v>p.persica_gdr_reftransV1_0044743</v>
      </c>
      <c r="B14001" s="2">
        <v>1032</v>
      </c>
      <c r="C14001" s="4" t="str">
        <f>HYPERLINK("http://www.uniprot.org/uniprot/M5XMD3","M5XMD3")</f>
        <v>M5XMD3</v>
      </c>
      <c r="D14001" s="2" t="s">
        <v>6591</v>
      </c>
      <c r="E14001" s="3">
        <v>2.0200000000000001E-123</v>
      </c>
      <c r="F14001" s="2">
        <v>940</v>
      </c>
      <c r="G14001" s="2">
        <v>100</v>
      </c>
      <c r="H14001" s="2">
        <v>238</v>
      </c>
      <c r="I14001" s="2">
        <v>192</v>
      </c>
      <c r="J14001" s="2">
        <v>905</v>
      </c>
      <c r="K14001" s="2">
        <v>1</v>
      </c>
      <c r="L14001" s="2">
        <v>238</v>
      </c>
    </row>
    <row r="14002" spans="1:12" x14ac:dyDescent="0.25">
      <c r="A14002" s="4" t="str">
        <f>HYPERLINK("http://www.rosaceae.org/Prunus/Prunus_persica/p.persica_gdr_reftransV1_0045443","p.persica_gdr_reftransV1_0045443")</f>
        <v>p.persica_gdr_reftransV1_0045443</v>
      </c>
      <c r="B14002" s="2">
        <v>478</v>
      </c>
      <c r="C14002" s="4" t="str">
        <f>HYPERLINK("http://www.uniprot.org/uniprot/M5W131","M5W131")</f>
        <v>M5W131</v>
      </c>
      <c r="D14002" s="2" t="s">
        <v>10640</v>
      </c>
      <c r="E14002" s="3">
        <v>1.2600000000000001E-110</v>
      </c>
      <c r="F14002" s="2">
        <v>847</v>
      </c>
      <c r="G14002" s="2">
        <v>100</v>
      </c>
      <c r="H14002" s="2">
        <v>159</v>
      </c>
      <c r="I14002" s="2">
        <v>1</v>
      </c>
      <c r="J14002" s="2">
        <v>477</v>
      </c>
      <c r="K14002" s="2">
        <v>147</v>
      </c>
      <c r="L14002" s="2">
        <v>305</v>
      </c>
    </row>
    <row r="14003" spans="1:12" x14ac:dyDescent="0.25">
      <c r="A14003" s="4" t="str">
        <f>HYPERLINK("http://www.rosaceae.org/Prunus/Prunus_persica/p.persica_gdr_reftransV1_0046143","p.persica_gdr_reftransV1_0046143")</f>
        <v>p.persica_gdr_reftransV1_0046143</v>
      </c>
      <c r="B14003" s="2">
        <v>1149</v>
      </c>
      <c r="C14003" s="4" t="str">
        <f>HYPERLINK("http://www.uniprot.org/uniprot/M5XLT0","M5XLT0")</f>
        <v>M5XLT0</v>
      </c>
      <c r="D14003" s="2" t="s">
        <v>11446</v>
      </c>
      <c r="E14003" s="3">
        <v>1.1899999999999999E-172</v>
      </c>
      <c r="F14003" s="2">
        <v>1273</v>
      </c>
      <c r="G14003" s="2">
        <v>100</v>
      </c>
      <c r="H14003" s="2">
        <v>235</v>
      </c>
      <c r="I14003" s="2">
        <v>72</v>
      </c>
      <c r="J14003" s="2">
        <v>776</v>
      </c>
      <c r="K14003" s="2">
        <v>40</v>
      </c>
      <c r="L14003" s="2">
        <v>274</v>
      </c>
    </row>
    <row r="14004" spans="1:12" x14ac:dyDescent="0.25">
      <c r="A14004" s="4" t="str">
        <f>HYPERLINK("http://www.rosaceae.org/Prunus/Prunus_persica/p.persica_gdr_reftransV1_0047193","p.persica_gdr_reftransV1_0047193")</f>
        <v>p.persica_gdr_reftransV1_0047193</v>
      </c>
      <c r="B14004" s="2">
        <v>1376</v>
      </c>
      <c r="C14004" s="4" t="str">
        <f>HYPERLINK("http://www.uniprot.org/uniprot/M5WT97","M5WT97")</f>
        <v>M5WT97</v>
      </c>
      <c r="D14004" s="2" t="s">
        <v>11447</v>
      </c>
      <c r="E14004" s="3">
        <v>5.4799999999999999E-160</v>
      </c>
      <c r="F14004" s="2">
        <v>1121</v>
      </c>
      <c r="G14004" s="2">
        <v>100</v>
      </c>
      <c r="H14004" s="2">
        <v>215</v>
      </c>
      <c r="I14004" s="2">
        <v>341</v>
      </c>
      <c r="J14004" s="2">
        <v>985</v>
      </c>
      <c r="K14004" s="2">
        <v>96</v>
      </c>
      <c r="L14004" s="2">
        <v>310</v>
      </c>
    </row>
    <row r="14005" spans="1:12" x14ac:dyDescent="0.25">
      <c r="A14005" s="4" t="str">
        <f>HYPERLINK("http://www.rosaceae.org/Prunus/Prunus_persica/p.persica_gdr_reftransV1_0047543","p.persica_gdr_reftransV1_0047543")</f>
        <v>p.persica_gdr_reftransV1_0047543</v>
      </c>
      <c r="B14005" s="2">
        <v>409</v>
      </c>
      <c r="C14005" s="4" t="str">
        <f>HYPERLINK("http://www.uniprot.org/uniprot/U3MMQ4","U3MMQ4")</f>
        <v>U3MMQ4</v>
      </c>
      <c r="D14005" s="2" t="s">
        <v>11448</v>
      </c>
      <c r="E14005" s="3">
        <v>1.02E-65</v>
      </c>
      <c r="F14005" s="2">
        <v>541</v>
      </c>
      <c r="G14005" s="2">
        <v>100</v>
      </c>
      <c r="H14005" s="2">
        <v>108</v>
      </c>
      <c r="I14005" s="2">
        <v>3</v>
      </c>
      <c r="J14005" s="2">
        <v>326</v>
      </c>
      <c r="K14005" s="2">
        <v>1</v>
      </c>
      <c r="L14005" s="2">
        <v>108</v>
      </c>
    </row>
    <row r="14006" spans="1:12" x14ac:dyDescent="0.25">
      <c r="A14006" s="4" t="str">
        <f>HYPERLINK("http://www.rosaceae.org/Prunus/Prunus_persica/p.persica_gdr_reftransV1_0047893","p.persica_gdr_reftransV1_0047893")</f>
        <v>p.persica_gdr_reftransV1_0047893</v>
      </c>
      <c r="B14006" s="2">
        <v>2268</v>
      </c>
      <c r="C14006" s="4" t="str">
        <f>HYPERLINK("http://www.uniprot.org/uniprot/M5VVP7","M5VVP7")</f>
        <v>M5VVP7</v>
      </c>
      <c r="D14006" s="2" t="s">
        <v>11449</v>
      </c>
      <c r="E14006" s="3">
        <v>0</v>
      </c>
      <c r="F14006" s="2">
        <v>2372</v>
      </c>
      <c r="G14006" s="2">
        <v>100</v>
      </c>
      <c r="H14006" s="2">
        <v>538</v>
      </c>
      <c r="I14006" s="2">
        <v>279</v>
      </c>
      <c r="J14006" s="2">
        <v>1892</v>
      </c>
      <c r="K14006" s="2">
        <v>1</v>
      </c>
      <c r="L14006" s="2">
        <v>538</v>
      </c>
    </row>
    <row r="14007" spans="1:12" x14ac:dyDescent="0.25">
      <c r="A14007" s="4" t="str">
        <f>HYPERLINK("http://www.rosaceae.org/Prunus/Prunus_persica/p.persica_gdr_reftransV1_0048243","p.persica_gdr_reftransV1_0048243")</f>
        <v>p.persica_gdr_reftransV1_0048243</v>
      </c>
      <c r="B14007" s="2">
        <v>693</v>
      </c>
      <c r="C14007" s="4" t="str">
        <f>HYPERLINK("http://www.uniprot.org/uniprot/M5WN71","M5WN71")</f>
        <v>M5WN71</v>
      </c>
      <c r="D14007" s="2" t="s">
        <v>10023</v>
      </c>
      <c r="E14007" s="3">
        <v>7.6099999999999997E-84</v>
      </c>
      <c r="F14007" s="2">
        <v>675</v>
      </c>
      <c r="G14007" s="2">
        <v>100</v>
      </c>
      <c r="H14007" s="2">
        <v>187</v>
      </c>
      <c r="I14007" s="2">
        <v>27</v>
      </c>
      <c r="J14007" s="2">
        <v>587</v>
      </c>
      <c r="K14007" s="2">
        <v>1</v>
      </c>
      <c r="L14007" s="2">
        <v>187</v>
      </c>
    </row>
    <row r="14008" spans="1:12" x14ac:dyDescent="0.25">
      <c r="A14008" s="4" t="str">
        <f>HYPERLINK("http://www.rosaceae.org/Prunus/Prunus_persica/p.persica_gdr_reftransV1_0048943","p.persica_gdr_reftransV1_0048943")</f>
        <v>p.persica_gdr_reftransV1_0048943</v>
      </c>
      <c r="B14008" s="2">
        <v>1915</v>
      </c>
      <c r="C14008" s="4" t="str">
        <f>HYPERLINK("http://www.uniprot.org/uniprot/M5WLM9","M5WLM9")</f>
        <v>M5WLM9</v>
      </c>
      <c r="D14008" s="2" t="s">
        <v>11450</v>
      </c>
      <c r="E14008" s="3">
        <v>1.3299999999999999E-67</v>
      </c>
      <c r="F14008" s="2">
        <v>579</v>
      </c>
      <c r="G14008" s="2">
        <v>100</v>
      </c>
      <c r="H14008" s="2">
        <v>114</v>
      </c>
      <c r="I14008" s="2">
        <v>972</v>
      </c>
      <c r="J14008" s="2">
        <v>1313</v>
      </c>
      <c r="K14008" s="2">
        <v>1</v>
      </c>
      <c r="L14008" s="2">
        <v>114</v>
      </c>
    </row>
    <row r="14009" spans="1:12" x14ac:dyDescent="0.25">
      <c r="A14009" s="4" t="str">
        <f>HYPERLINK("http://www.rosaceae.org/Prunus/Prunus_persica/p.persica_gdr_reftransV1_0000294","p.persica_gdr_reftransV1_0000294")</f>
        <v>p.persica_gdr_reftransV1_0000294</v>
      </c>
      <c r="B14009" s="2">
        <v>1358</v>
      </c>
      <c r="C14009" s="4" t="str">
        <f>HYPERLINK("http://www.uniprot.org/uniprot/M5XBH4","M5XBH4")</f>
        <v>M5XBH4</v>
      </c>
      <c r="D14009" s="2" t="s">
        <v>1290</v>
      </c>
      <c r="E14009" s="3">
        <v>0</v>
      </c>
      <c r="F14009" s="2">
        <v>2317</v>
      </c>
      <c r="G14009" s="2">
        <v>100</v>
      </c>
      <c r="H14009" s="2">
        <v>452</v>
      </c>
      <c r="I14009" s="2">
        <v>2</v>
      </c>
      <c r="J14009" s="2">
        <v>1357</v>
      </c>
      <c r="K14009" s="2">
        <v>99</v>
      </c>
      <c r="L14009" s="2">
        <v>550</v>
      </c>
    </row>
    <row r="14010" spans="1:12" x14ac:dyDescent="0.25">
      <c r="A14010" s="4" t="str">
        <f>HYPERLINK("http://www.rosaceae.org/Prunus/Prunus_persica/p.persica_gdr_reftransV1_0000644","p.persica_gdr_reftransV1_0000644")</f>
        <v>p.persica_gdr_reftransV1_0000644</v>
      </c>
      <c r="B14010" s="2">
        <v>745</v>
      </c>
      <c r="C14010" s="4" t="str">
        <f>HYPERLINK("http://www.uniprot.org/uniprot/M5WF60","M5WF60")</f>
        <v>M5WF60</v>
      </c>
      <c r="D14010" s="2" t="s">
        <v>11451</v>
      </c>
      <c r="E14010" s="3">
        <v>5.2E-87</v>
      </c>
      <c r="F14010" s="2">
        <v>682</v>
      </c>
      <c r="G14010" s="2">
        <v>100</v>
      </c>
      <c r="H14010" s="2">
        <v>158</v>
      </c>
      <c r="I14010" s="2">
        <v>73</v>
      </c>
      <c r="J14010" s="2">
        <v>546</v>
      </c>
      <c r="K14010" s="2">
        <v>1</v>
      </c>
      <c r="L14010" s="2">
        <v>158</v>
      </c>
    </row>
    <row r="14011" spans="1:12" x14ac:dyDescent="0.25">
      <c r="A14011" s="4" t="str">
        <f>HYPERLINK("http://www.rosaceae.org/Prunus/Prunus_persica/p.persica_gdr_reftransV1_0000994","p.persica_gdr_reftransV1_0000994")</f>
        <v>p.persica_gdr_reftransV1_0000994</v>
      </c>
      <c r="B14011" s="2">
        <v>777</v>
      </c>
      <c r="C14011" s="4" t="str">
        <f>HYPERLINK("http://www.uniprot.org/uniprot/A0A059DJR2","A0A059DJR2")</f>
        <v>A0A059DJR2</v>
      </c>
      <c r="D14011" s="2" t="s">
        <v>11452</v>
      </c>
      <c r="E14011" s="3">
        <v>2.5600000000000001E-140</v>
      </c>
      <c r="F14011" s="2">
        <v>1085</v>
      </c>
      <c r="G14011" s="2">
        <v>88</v>
      </c>
      <c r="H14011" s="2">
        <v>258</v>
      </c>
      <c r="I14011" s="2">
        <v>3</v>
      </c>
      <c r="J14011" s="2">
        <v>776</v>
      </c>
      <c r="K14011" s="2">
        <v>345</v>
      </c>
      <c r="L14011" s="2">
        <v>602</v>
      </c>
    </row>
    <row r="14012" spans="1:12" x14ac:dyDescent="0.25">
      <c r="A14012" s="4" t="str">
        <f>HYPERLINK("http://www.rosaceae.org/Prunus/Prunus_persica/p.persica_gdr_reftransV1_0001344","p.persica_gdr_reftransV1_0001344")</f>
        <v>p.persica_gdr_reftransV1_0001344</v>
      </c>
      <c r="B14012" s="2">
        <v>1477</v>
      </c>
      <c r="C14012" s="4" t="str">
        <f>HYPERLINK("http://www.uniprot.org/uniprot/M5XB40","M5XB40")</f>
        <v>M5XB40</v>
      </c>
      <c r="D14012" s="2" t="s">
        <v>11453</v>
      </c>
      <c r="E14012" s="3">
        <v>0</v>
      </c>
      <c r="F14012" s="2">
        <v>2144</v>
      </c>
      <c r="G14012" s="2">
        <v>100</v>
      </c>
      <c r="H14012" s="2">
        <v>461</v>
      </c>
      <c r="I14012" s="2">
        <v>56</v>
      </c>
      <c r="J14012" s="2">
        <v>1438</v>
      </c>
      <c r="K14012" s="2">
        <v>1</v>
      </c>
      <c r="L14012" s="2">
        <v>461</v>
      </c>
    </row>
    <row r="14013" spans="1:12" x14ac:dyDescent="0.25">
      <c r="A14013" s="4" t="str">
        <f>HYPERLINK("http://www.rosaceae.org/Prunus/Prunus_persica/p.persica_gdr_reftransV1_0001694","p.persica_gdr_reftransV1_0001694")</f>
        <v>p.persica_gdr_reftransV1_0001694</v>
      </c>
      <c r="B14013" s="2">
        <v>1344</v>
      </c>
      <c r="C14013" s="4" t="str">
        <f>HYPERLINK("http://www.uniprot.org/uniprot/M5VLH2","M5VLH2")</f>
        <v>M5VLH2</v>
      </c>
      <c r="D14013" s="2" t="s">
        <v>11454</v>
      </c>
      <c r="E14013" s="3">
        <v>1.07E-101</v>
      </c>
      <c r="F14013" s="2">
        <v>803</v>
      </c>
      <c r="G14013" s="2">
        <v>100</v>
      </c>
      <c r="H14013" s="2">
        <v>206</v>
      </c>
      <c r="I14013" s="2">
        <v>471</v>
      </c>
      <c r="J14013" s="2">
        <v>1088</v>
      </c>
      <c r="K14013" s="2">
        <v>1</v>
      </c>
      <c r="L14013" s="2">
        <v>206</v>
      </c>
    </row>
    <row r="14014" spans="1:12" x14ac:dyDescent="0.25">
      <c r="A14014" s="4" t="str">
        <f>HYPERLINK("http://www.rosaceae.org/Prunus/Prunus_persica/p.persica_gdr_reftransV1_0002394","p.persica_gdr_reftransV1_0002394")</f>
        <v>p.persica_gdr_reftransV1_0002394</v>
      </c>
      <c r="B14014" s="2">
        <v>381</v>
      </c>
      <c r="C14014" s="4" t="str">
        <f>HYPERLINK("http://www.uniprot.org/uniprot/M5X4C9","M5X4C9")</f>
        <v>M5X4C9</v>
      </c>
      <c r="D14014" s="2" t="s">
        <v>11455</v>
      </c>
      <c r="E14014" s="3">
        <v>4.3599999999999999E-46</v>
      </c>
      <c r="F14014" s="2">
        <v>410</v>
      </c>
      <c r="G14014" s="2">
        <v>100</v>
      </c>
      <c r="H14014" s="2">
        <v>101</v>
      </c>
      <c r="I14014" s="2">
        <v>74</v>
      </c>
      <c r="J14014" s="2">
        <v>376</v>
      </c>
      <c r="K14014" s="2">
        <v>1</v>
      </c>
      <c r="L14014" s="2">
        <v>101</v>
      </c>
    </row>
    <row r="14015" spans="1:12" x14ac:dyDescent="0.25">
      <c r="A14015" s="4" t="str">
        <f>HYPERLINK("http://www.rosaceae.org/Prunus/Prunus_persica/p.persica_gdr_reftransV1_0002744","p.persica_gdr_reftransV1_0002744")</f>
        <v>p.persica_gdr_reftransV1_0002744</v>
      </c>
      <c r="B14015" s="2">
        <v>370</v>
      </c>
      <c r="C14015" s="4" t="str">
        <f>HYPERLINK("http://www.uniprot.org/uniprot/A0A061GHR2","A0A061GHR2")</f>
        <v>A0A061GHR2</v>
      </c>
      <c r="D14015" s="2" t="s">
        <v>11456</v>
      </c>
      <c r="E14015" s="3">
        <v>5.3499999999999996E-81</v>
      </c>
      <c r="F14015" s="2">
        <v>657</v>
      </c>
      <c r="G14015" s="2">
        <v>98</v>
      </c>
      <c r="H14015" s="2">
        <v>123</v>
      </c>
      <c r="I14015" s="2">
        <v>2</v>
      </c>
      <c r="J14015" s="2">
        <v>370</v>
      </c>
      <c r="K14015" s="2">
        <v>85</v>
      </c>
      <c r="L14015" s="2">
        <v>207</v>
      </c>
    </row>
    <row r="14016" spans="1:12" x14ac:dyDescent="0.25">
      <c r="A14016" s="4" t="str">
        <f>HYPERLINK("http://www.rosaceae.org/Prunus/Prunus_persica/p.persica_gdr_reftransV1_0003094","p.persica_gdr_reftransV1_0003094")</f>
        <v>p.persica_gdr_reftransV1_0003094</v>
      </c>
      <c r="B14016" s="2">
        <v>1623</v>
      </c>
      <c r="C14016" s="4" t="str">
        <f>HYPERLINK("http://www.uniprot.org/uniprot/M5X359","M5X359")</f>
        <v>M5X359</v>
      </c>
      <c r="D14016" s="2" t="s">
        <v>6124</v>
      </c>
      <c r="E14016" s="3">
        <v>0</v>
      </c>
      <c r="F14016" s="2">
        <v>1972</v>
      </c>
      <c r="G14016" s="2">
        <v>100</v>
      </c>
      <c r="H14016" s="2">
        <v>395</v>
      </c>
      <c r="I14016" s="2">
        <v>124</v>
      </c>
      <c r="J14016" s="2">
        <v>1308</v>
      </c>
      <c r="K14016" s="2">
        <v>1</v>
      </c>
      <c r="L14016" s="2">
        <v>395</v>
      </c>
    </row>
    <row r="14017" spans="1:12" x14ac:dyDescent="0.25">
      <c r="A14017" s="4" t="str">
        <f>HYPERLINK("http://www.rosaceae.org/Prunus/Prunus_persica/p.persica_gdr_reftransV1_0003444","p.persica_gdr_reftransV1_0003444")</f>
        <v>p.persica_gdr_reftransV1_0003444</v>
      </c>
      <c r="B14017" s="2">
        <v>2596</v>
      </c>
      <c r="C14017" s="4" t="str">
        <f>HYPERLINK("http://www.uniprot.org/uniprot/F6HGI8","F6HGI8")</f>
        <v>F6HGI8</v>
      </c>
      <c r="D14017" s="2" t="s">
        <v>11457</v>
      </c>
      <c r="E14017" s="3">
        <v>0</v>
      </c>
      <c r="F14017" s="2">
        <v>2792</v>
      </c>
      <c r="G14017" s="2">
        <v>73</v>
      </c>
      <c r="H14017" s="2">
        <v>760</v>
      </c>
      <c r="I14017" s="2">
        <v>3</v>
      </c>
      <c r="J14017" s="2">
        <v>2198</v>
      </c>
      <c r="K14017" s="2">
        <v>163</v>
      </c>
      <c r="L14017" s="2">
        <v>921</v>
      </c>
    </row>
    <row r="14018" spans="1:12" x14ac:dyDescent="0.25">
      <c r="A14018" s="4" t="str">
        <f>HYPERLINK("http://www.rosaceae.org/Prunus/Prunus_persica/p.persica_gdr_reftransV1_0004144","p.persica_gdr_reftransV1_0004144")</f>
        <v>p.persica_gdr_reftransV1_0004144</v>
      </c>
      <c r="B14018" s="2">
        <v>524</v>
      </c>
      <c r="C14018" s="4" t="str">
        <f>HYPERLINK("http://www.uniprot.org/uniprot/M5X6I2","M5X6I2")</f>
        <v>M5X6I2</v>
      </c>
      <c r="D14018" s="2" t="s">
        <v>4303</v>
      </c>
      <c r="E14018" s="3">
        <v>3.0000000000000001E-84</v>
      </c>
      <c r="F14018" s="2">
        <v>694</v>
      </c>
      <c r="G14018" s="2">
        <v>100</v>
      </c>
      <c r="H14018" s="2">
        <v>133</v>
      </c>
      <c r="I14018" s="2">
        <v>3</v>
      </c>
      <c r="J14018" s="2">
        <v>401</v>
      </c>
      <c r="K14018" s="2">
        <v>23</v>
      </c>
      <c r="L14018" s="2">
        <v>155</v>
      </c>
    </row>
    <row r="14019" spans="1:12" x14ac:dyDescent="0.25">
      <c r="A14019" s="4" t="str">
        <f>HYPERLINK("http://www.rosaceae.org/Prunus/Prunus_persica/p.persica_gdr_reftransV1_0004494","p.persica_gdr_reftransV1_0004494")</f>
        <v>p.persica_gdr_reftransV1_0004494</v>
      </c>
      <c r="B14019" s="2">
        <v>584</v>
      </c>
      <c r="C14019" s="4" t="str">
        <f>HYPERLINK("http://www.uniprot.org/uniprot/M5XGN2","M5XGN2")</f>
        <v>M5XGN2</v>
      </c>
      <c r="D14019" s="2" t="s">
        <v>11458</v>
      </c>
      <c r="E14019" s="3">
        <v>8.6899999999999998E-106</v>
      </c>
      <c r="F14019" s="2">
        <v>849</v>
      </c>
      <c r="G14019" s="2">
        <v>99</v>
      </c>
      <c r="H14019" s="2">
        <v>158</v>
      </c>
      <c r="I14019" s="2">
        <v>111</v>
      </c>
      <c r="J14019" s="2">
        <v>584</v>
      </c>
      <c r="K14019" s="2">
        <v>1</v>
      </c>
      <c r="L14019" s="2">
        <v>158</v>
      </c>
    </row>
    <row r="14020" spans="1:12" x14ac:dyDescent="0.25">
      <c r="A14020" s="4" t="str">
        <f>HYPERLINK("http://www.rosaceae.org/Prunus/Prunus_persica/p.persica_gdr_reftransV1_0004844","p.persica_gdr_reftransV1_0004844")</f>
        <v>p.persica_gdr_reftransV1_0004844</v>
      </c>
      <c r="B14020" s="2">
        <v>1712</v>
      </c>
      <c r="C14020" s="4" t="str">
        <f>HYPERLINK("http://www.uniprot.org/uniprot/M5WY07","M5WY07")</f>
        <v>M5WY07</v>
      </c>
      <c r="D14020" s="2" t="s">
        <v>11459</v>
      </c>
      <c r="E14020" s="3">
        <v>0</v>
      </c>
      <c r="F14020" s="2">
        <v>2141</v>
      </c>
      <c r="G14020" s="2">
        <v>100</v>
      </c>
      <c r="H14020" s="2">
        <v>461</v>
      </c>
      <c r="I14020" s="2">
        <v>2</v>
      </c>
      <c r="J14020" s="2">
        <v>1384</v>
      </c>
      <c r="K14020" s="2">
        <v>410</v>
      </c>
      <c r="L14020" s="2">
        <v>870</v>
      </c>
    </row>
    <row r="14021" spans="1:12" x14ac:dyDescent="0.25">
      <c r="A14021" s="4" t="str">
        <f>HYPERLINK("http://www.rosaceae.org/Prunus/Prunus_persica/p.persica_gdr_reftransV1_0005544","p.persica_gdr_reftransV1_0005544")</f>
        <v>p.persica_gdr_reftransV1_0005544</v>
      </c>
      <c r="B14021" s="2">
        <v>1793</v>
      </c>
      <c r="C14021" s="4" t="str">
        <f>HYPERLINK("http://www.uniprot.org/uniprot/M5Y4A9","M5Y4A9")</f>
        <v>M5Y4A9</v>
      </c>
      <c r="D14021" s="2" t="s">
        <v>1586</v>
      </c>
      <c r="E14021" s="3">
        <v>0</v>
      </c>
      <c r="F14021" s="2">
        <v>2682</v>
      </c>
      <c r="G14021" s="2">
        <v>100</v>
      </c>
      <c r="H14021" s="2">
        <v>523</v>
      </c>
      <c r="I14021" s="2">
        <v>2</v>
      </c>
      <c r="J14021" s="2">
        <v>1570</v>
      </c>
      <c r="K14021" s="2">
        <v>722</v>
      </c>
      <c r="L14021" s="2">
        <v>1244</v>
      </c>
    </row>
    <row r="14022" spans="1:12" x14ac:dyDescent="0.25">
      <c r="A14022" s="4" t="str">
        <f>HYPERLINK("http://www.rosaceae.org/Prunus/Prunus_persica/p.persica_gdr_reftransV1_0005894","p.persica_gdr_reftransV1_0005894")</f>
        <v>p.persica_gdr_reftransV1_0005894</v>
      </c>
      <c r="B14022" s="2">
        <v>3515</v>
      </c>
      <c r="C14022" s="4" t="str">
        <f>HYPERLINK("http://www.uniprot.org/uniprot/M5W1M2","M5W1M2")</f>
        <v>M5W1M2</v>
      </c>
      <c r="D14022" s="2" t="s">
        <v>11460</v>
      </c>
      <c r="E14022" s="3">
        <v>0</v>
      </c>
      <c r="F14022" s="2">
        <v>2747</v>
      </c>
      <c r="G14022" s="2">
        <v>100</v>
      </c>
      <c r="H14022" s="2">
        <v>507</v>
      </c>
      <c r="I14022" s="2">
        <v>20</v>
      </c>
      <c r="J14022" s="2">
        <v>1540</v>
      </c>
      <c r="K14022" s="2">
        <v>441</v>
      </c>
      <c r="L14022" s="2">
        <v>947</v>
      </c>
    </row>
    <row r="14023" spans="1:12" x14ac:dyDescent="0.25">
      <c r="A14023" s="4" t="str">
        <f>HYPERLINK("http://www.rosaceae.org/Prunus/Prunus_persica/p.persica_gdr_reftransV1_0006244","p.persica_gdr_reftransV1_0006244")</f>
        <v>p.persica_gdr_reftransV1_0006244</v>
      </c>
      <c r="B14023" s="2">
        <v>367</v>
      </c>
      <c r="C14023" s="4" t="str">
        <f>HYPERLINK("http://www.uniprot.org/uniprot/M5X998","M5X998")</f>
        <v>M5X998</v>
      </c>
      <c r="D14023" s="2" t="s">
        <v>11461</v>
      </c>
      <c r="E14023" s="3">
        <v>1.3000000000000001E-69</v>
      </c>
      <c r="F14023" s="2">
        <v>585</v>
      </c>
      <c r="G14023" s="2">
        <v>91</v>
      </c>
      <c r="H14023" s="2">
        <v>121</v>
      </c>
      <c r="I14023" s="2">
        <v>3</v>
      </c>
      <c r="J14023" s="2">
        <v>365</v>
      </c>
      <c r="K14023" s="2">
        <v>450</v>
      </c>
      <c r="L14023" s="2">
        <v>570</v>
      </c>
    </row>
    <row r="14024" spans="1:12" x14ac:dyDescent="0.25">
      <c r="A14024" s="4" t="str">
        <f>HYPERLINK("http://www.rosaceae.org/Prunus/Prunus_persica/p.persica_gdr_reftransV1_0006594","p.persica_gdr_reftransV1_0006594")</f>
        <v>p.persica_gdr_reftransV1_0006594</v>
      </c>
      <c r="B14024" s="2">
        <v>3852</v>
      </c>
      <c r="C14024" s="4" t="str">
        <f>HYPERLINK("http://www.uniprot.org/uniprot/M5XHF7","M5XHF7")</f>
        <v>M5XHF7</v>
      </c>
      <c r="D14024" s="2" t="s">
        <v>11462</v>
      </c>
      <c r="E14024" s="3">
        <v>0</v>
      </c>
      <c r="F14024" s="2">
        <v>5287</v>
      </c>
      <c r="G14024" s="2">
        <v>100</v>
      </c>
      <c r="H14024" s="2">
        <v>1047</v>
      </c>
      <c r="I14024" s="2">
        <v>413</v>
      </c>
      <c r="J14024" s="2">
        <v>3553</v>
      </c>
      <c r="K14024" s="2">
        <v>39</v>
      </c>
      <c r="L14024" s="2">
        <v>1085</v>
      </c>
    </row>
    <row r="14025" spans="1:12" x14ac:dyDescent="0.25">
      <c r="A14025" s="4" t="str">
        <f>HYPERLINK("http://www.rosaceae.org/Prunus/Prunus_persica/p.persica_gdr_reftransV1_0006944","p.persica_gdr_reftransV1_0006944")</f>
        <v>p.persica_gdr_reftransV1_0006944</v>
      </c>
      <c r="B14025" s="2">
        <v>1239</v>
      </c>
      <c r="C14025" s="4" t="str">
        <f>HYPERLINK("http://www.uniprot.org/uniprot/M5VQ88","M5VQ88")</f>
        <v>M5VQ88</v>
      </c>
      <c r="D14025" s="2" t="s">
        <v>11463</v>
      </c>
      <c r="E14025" s="3">
        <v>0</v>
      </c>
      <c r="F14025" s="2">
        <v>1736</v>
      </c>
      <c r="G14025" s="2">
        <v>100</v>
      </c>
      <c r="H14025" s="2">
        <v>326</v>
      </c>
      <c r="I14025" s="2">
        <v>105</v>
      </c>
      <c r="J14025" s="2">
        <v>1082</v>
      </c>
      <c r="K14025" s="2">
        <v>1</v>
      </c>
      <c r="L14025" s="2">
        <v>326</v>
      </c>
    </row>
    <row r="14026" spans="1:12" x14ac:dyDescent="0.25">
      <c r="A14026" s="4" t="str">
        <f>HYPERLINK("http://www.rosaceae.org/Prunus/Prunus_persica/p.persica_gdr_reftransV1_0007294","p.persica_gdr_reftransV1_0007294")</f>
        <v>p.persica_gdr_reftransV1_0007294</v>
      </c>
      <c r="B14026" s="2">
        <v>1893</v>
      </c>
      <c r="C14026" s="4" t="str">
        <f>HYPERLINK("http://www.uniprot.org/uniprot/M5WH33","M5WH33")</f>
        <v>M5WH33</v>
      </c>
      <c r="D14026" s="2" t="s">
        <v>11464</v>
      </c>
      <c r="E14026" s="3">
        <v>0</v>
      </c>
      <c r="F14026" s="2">
        <v>2599</v>
      </c>
      <c r="G14026" s="2">
        <v>100</v>
      </c>
      <c r="H14026" s="2">
        <v>522</v>
      </c>
      <c r="I14026" s="2">
        <v>138</v>
      </c>
      <c r="J14026" s="2">
        <v>1703</v>
      </c>
      <c r="K14026" s="2">
        <v>1</v>
      </c>
      <c r="L14026" s="2">
        <v>522</v>
      </c>
    </row>
    <row r="14027" spans="1:12" x14ac:dyDescent="0.25">
      <c r="A14027" s="4" t="str">
        <f>HYPERLINK("http://www.rosaceae.org/Prunus/Prunus_persica/p.persica_gdr_reftransV1_0007994","p.persica_gdr_reftransV1_0007994")</f>
        <v>p.persica_gdr_reftransV1_0007994</v>
      </c>
      <c r="B14027" s="2">
        <v>1689</v>
      </c>
      <c r="C14027" s="4" t="str">
        <f>HYPERLINK("http://www.uniprot.org/uniprot/M5XCT7","M5XCT7")</f>
        <v>M5XCT7</v>
      </c>
      <c r="D14027" s="2" t="s">
        <v>11465</v>
      </c>
      <c r="E14027" s="3">
        <v>0</v>
      </c>
      <c r="F14027" s="2">
        <v>1704</v>
      </c>
      <c r="G14027" s="2">
        <v>100</v>
      </c>
      <c r="H14027" s="2">
        <v>318</v>
      </c>
      <c r="I14027" s="2">
        <v>324</v>
      </c>
      <c r="J14027" s="2">
        <v>1277</v>
      </c>
      <c r="K14027" s="2">
        <v>1</v>
      </c>
      <c r="L14027" s="2">
        <v>318</v>
      </c>
    </row>
    <row r="14028" spans="1:12" x14ac:dyDescent="0.25">
      <c r="A14028" s="4" t="str">
        <f>HYPERLINK("http://www.rosaceae.org/Prunus/Prunus_persica/p.persica_gdr_reftransV1_0008344","p.persica_gdr_reftransV1_0008344")</f>
        <v>p.persica_gdr_reftransV1_0008344</v>
      </c>
      <c r="B14028" s="2">
        <v>2111</v>
      </c>
      <c r="C14028" s="4" t="str">
        <f>HYPERLINK("http://www.uniprot.org/uniprot/M5W8K5","M5W8K5")</f>
        <v>M5W8K5</v>
      </c>
      <c r="D14028" s="2" t="s">
        <v>4442</v>
      </c>
      <c r="E14028" s="3">
        <v>0</v>
      </c>
      <c r="F14028" s="2">
        <v>2618</v>
      </c>
      <c r="G14028" s="2">
        <v>100</v>
      </c>
      <c r="H14028" s="2">
        <v>505</v>
      </c>
      <c r="I14028" s="2">
        <v>409</v>
      </c>
      <c r="J14028" s="2">
        <v>1923</v>
      </c>
      <c r="K14028" s="2">
        <v>1</v>
      </c>
      <c r="L14028" s="2">
        <v>505</v>
      </c>
    </row>
    <row r="14029" spans="1:12" x14ac:dyDescent="0.25">
      <c r="A14029" s="4" t="str">
        <f>HYPERLINK("http://www.rosaceae.org/Prunus/Prunus_persica/p.persica_gdr_reftransV1_0008694","p.persica_gdr_reftransV1_0008694")</f>
        <v>p.persica_gdr_reftransV1_0008694</v>
      </c>
      <c r="B14029" s="2">
        <v>2316</v>
      </c>
      <c r="C14029" s="4" t="str">
        <f>HYPERLINK("http://www.uniprot.org/uniprot/M5WRR6","M5WRR6")</f>
        <v>M5WRR6</v>
      </c>
      <c r="D14029" s="2" t="s">
        <v>11466</v>
      </c>
      <c r="E14029" s="3">
        <v>0</v>
      </c>
      <c r="F14029" s="2">
        <v>3039</v>
      </c>
      <c r="G14029" s="2">
        <v>91</v>
      </c>
      <c r="H14029" s="2">
        <v>647</v>
      </c>
      <c r="I14029" s="2">
        <v>109</v>
      </c>
      <c r="J14029" s="2">
        <v>2049</v>
      </c>
      <c r="K14029" s="2">
        <v>1</v>
      </c>
      <c r="L14029" s="2">
        <v>595</v>
      </c>
    </row>
    <row r="14030" spans="1:12" x14ac:dyDescent="0.25">
      <c r="A14030" s="4" t="str">
        <f>HYPERLINK("http://www.rosaceae.org/Prunus/Prunus_persica/p.persica_gdr_reftransV1_0009044","p.persica_gdr_reftransV1_0009044")</f>
        <v>p.persica_gdr_reftransV1_0009044</v>
      </c>
      <c r="B14030" s="2">
        <v>797</v>
      </c>
      <c r="C14030" s="4" t="str">
        <f>HYPERLINK("http://www.uniprot.org/uniprot/M5X6M9","M5X6M9")</f>
        <v>M5X6M9</v>
      </c>
      <c r="D14030" s="2" t="s">
        <v>11467</v>
      </c>
      <c r="E14030" s="3">
        <v>6.4000000000000003E-133</v>
      </c>
      <c r="F14030" s="2">
        <v>990</v>
      </c>
      <c r="G14030" s="2">
        <v>100</v>
      </c>
      <c r="H14030" s="2">
        <v>185</v>
      </c>
      <c r="I14030" s="2">
        <v>163</v>
      </c>
      <c r="J14030" s="2">
        <v>717</v>
      </c>
      <c r="K14030" s="2">
        <v>1</v>
      </c>
      <c r="L14030" s="2">
        <v>185</v>
      </c>
    </row>
    <row r="14031" spans="1:12" x14ac:dyDescent="0.25">
      <c r="A14031" s="4" t="str">
        <f>HYPERLINK("http://www.rosaceae.org/Prunus/Prunus_persica/p.persica_gdr_reftransV1_0009394","p.persica_gdr_reftransV1_0009394")</f>
        <v>p.persica_gdr_reftransV1_0009394</v>
      </c>
      <c r="B14031" s="2">
        <v>1180</v>
      </c>
      <c r="C14031" s="4" t="str">
        <f>HYPERLINK("http://www.uniprot.org/uniprot/M5WF35","M5WF35")</f>
        <v>M5WF35</v>
      </c>
      <c r="D14031" s="2" t="s">
        <v>11468</v>
      </c>
      <c r="E14031" s="3">
        <v>8.46E-153</v>
      </c>
      <c r="F14031" s="2">
        <v>1144</v>
      </c>
      <c r="G14031" s="2">
        <v>84</v>
      </c>
      <c r="H14031" s="2">
        <v>267</v>
      </c>
      <c r="I14031" s="2">
        <v>301</v>
      </c>
      <c r="J14031" s="2">
        <v>1053</v>
      </c>
      <c r="K14031" s="2">
        <v>35</v>
      </c>
      <c r="L14031" s="2">
        <v>279</v>
      </c>
    </row>
    <row r="14032" spans="1:12" x14ac:dyDescent="0.25">
      <c r="A14032" s="4" t="str">
        <f>HYPERLINK("http://www.rosaceae.org/Prunus/Prunus_persica/p.persica_gdr_reftransV1_0009744","p.persica_gdr_reftransV1_0009744")</f>
        <v>p.persica_gdr_reftransV1_0009744</v>
      </c>
      <c r="B14032" s="2">
        <v>2883</v>
      </c>
      <c r="C14032" s="4" t="str">
        <f>HYPERLINK("http://www.uniprot.org/uniprot/M5XRD0","M5XRD0")</f>
        <v>M5XRD0</v>
      </c>
      <c r="D14032" s="2" t="s">
        <v>3355</v>
      </c>
      <c r="E14032" s="3">
        <v>0</v>
      </c>
      <c r="F14032" s="2">
        <v>1578</v>
      </c>
      <c r="G14032" s="2">
        <v>100</v>
      </c>
      <c r="H14032" s="2">
        <v>301</v>
      </c>
      <c r="I14032" s="2">
        <v>1957</v>
      </c>
      <c r="J14032" s="2">
        <v>2859</v>
      </c>
      <c r="K14032" s="2">
        <v>1</v>
      </c>
      <c r="L14032" s="2">
        <v>301</v>
      </c>
    </row>
    <row r="14033" spans="1:12" x14ac:dyDescent="0.25">
      <c r="A14033" s="4" t="str">
        <f>HYPERLINK("http://www.rosaceae.org/Prunus/Prunus_persica/p.persica_gdr_reftransV1_0010094","p.persica_gdr_reftransV1_0010094")</f>
        <v>p.persica_gdr_reftransV1_0010094</v>
      </c>
      <c r="B14033" s="2">
        <v>2299</v>
      </c>
      <c r="C14033" s="4" t="str">
        <f>HYPERLINK("http://www.uniprot.org/uniprot/M5XRA5","M5XRA5")</f>
        <v>M5XRA5</v>
      </c>
      <c r="D14033" s="2" t="s">
        <v>1207</v>
      </c>
      <c r="E14033" s="3">
        <v>0</v>
      </c>
      <c r="F14033" s="2">
        <v>3637</v>
      </c>
      <c r="G14033" s="2">
        <v>100</v>
      </c>
      <c r="H14033" s="2">
        <v>698</v>
      </c>
      <c r="I14033" s="2">
        <v>1</v>
      </c>
      <c r="J14033" s="2">
        <v>2094</v>
      </c>
      <c r="K14033" s="2">
        <v>473</v>
      </c>
      <c r="L14033" s="2">
        <v>1170</v>
      </c>
    </row>
    <row r="14034" spans="1:12" x14ac:dyDescent="0.25">
      <c r="A14034" s="4" t="str">
        <f>HYPERLINK("http://www.rosaceae.org/Prunus/Prunus_persica/p.persica_gdr_reftransV1_0010444","p.persica_gdr_reftransV1_0010444")</f>
        <v>p.persica_gdr_reftransV1_0010444</v>
      </c>
      <c r="B14034" s="2">
        <v>1213</v>
      </c>
      <c r="C14034" s="4" t="str">
        <f>HYPERLINK("http://www.uniprot.org/uniprot/M5XZH7","M5XZH7")</f>
        <v>M5XZH7</v>
      </c>
      <c r="D14034" s="2" t="s">
        <v>11469</v>
      </c>
      <c r="E14034" s="3">
        <v>2.0600000000000001E-105</v>
      </c>
      <c r="F14034" s="2">
        <v>711</v>
      </c>
      <c r="G14034" s="2">
        <v>100</v>
      </c>
      <c r="H14034" s="2">
        <v>151</v>
      </c>
      <c r="I14034" s="2">
        <v>374</v>
      </c>
      <c r="J14034" s="2">
        <v>826</v>
      </c>
      <c r="K14034" s="2">
        <v>70</v>
      </c>
      <c r="L14034" s="2">
        <v>220</v>
      </c>
    </row>
    <row r="14035" spans="1:12" x14ac:dyDescent="0.25">
      <c r="A14035" s="4" t="str">
        <f>HYPERLINK("http://www.rosaceae.org/Prunus/Prunus_persica/p.persica_gdr_reftransV1_0013244","p.persica_gdr_reftransV1_0013244")</f>
        <v>p.persica_gdr_reftransV1_0013244</v>
      </c>
      <c r="B14035" s="2">
        <v>2574</v>
      </c>
      <c r="C14035" s="4" t="str">
        <f>HYPERLINK("http://www.uniprot.org/uniprot/W9S976","W9S976")</f>
        <v>W9S976</v>
      </c>
      <c r="D14035" s="2" t="s">
        <v>11470</v>
      </c>
      <c r="E14035" s="3">
        <v>2.1E-173</v>
      </c>
      <c r="F14035" s="2">
        <v>1338</v>
      </c>
      <c r="G14035" s="2">
        <v>68</v>
      </c>
      <c r="H14035" s="2">
        <v>397</v>
      </c>
      <c r="I14035" s="2">
        <v>173</v>
      </c>
      <c r="J14035" s="2">
        <v>1312</v>
      </c>
      <c r="K14035" s="2">
        <v>4</v>
      </c>
      <c r="L14035" s="2">
        <v>371</v>
      </c>
    </row>
    <row r="14036" spans="1:12" x14ac:dyDescent="0.25">
      <c r="A14036" s="4" t="str">
        <f>HYPERLINK("http://www.rosaceae.org/Prunus/Prunus_persica/p.persica_gdr_reftransV1_0013594","p.persica_gdr_reftransV1_0013594")</f>
        <v>p.persica_gdr_reftransV1_0013594</v>
      </c>
      <c r="B14036" s="2">
        <v>1359</v>
      </c>
      <c r="C14036" s="4" t="str">
        <f>HYPERLINK("http://www.uniprot.org/uniprot/M5X1S6","M5X1S6")</f>
        <v>M5X1S6</v>
      </c>
      <c r="D14036" s="2" t="s">
        <v>11471</v>
      </c>
      <c r="E14036" s="3">
        <v>0</v>
      </c>
      <c r="F14036" s="2">
        <v>1460</v>
      </c>
      <c r="G14036" s="2">
        <v>100</v>
      </c>
      <c r="H14036" s="2">
        <v>273</v>
      </c>
      <c r="I14036" s="2">
        <v>190</v>
      </c>
      <c r="J14036" s="2">
        <v>1008</v>
      </c>
      <c r="K14036" s="2">
        <v>1</v>
      </c>
      <c r="L14036" s="2">
        <v>273</v>
      </c>
    </row>
    <row r="14037" spans="1:12" x14ac:dyDescent="0.25">
      <c r="A14037" s="4" t="str">
        <f>HYPERLINK("http://www.rosaceae.org/Prunus/Prunus_persica/p.persica_gdr_reftransV1_0014294","p.persica_gdr_reftransV1_0014294")</f>
        <v>p.persica_gdr_reftransV1_0014294</v>
      </c>
      <c r="B14037" s="2">
        <v>1285</v>
      </c>
      <c r="C14037" s="4" t="str">
        <f>HYPERLINK("http://www.uniprot.org/uniprot/M5XZ83","M5XZ83")</f>
        <v>M5XZ83</v>
      </c>
      <c r="D14037" s="2" t="s">
        <v>11472</v>
      </c>
      <c r="E14037" s="3">
        <v>2.1E-175</v>
      </c>
      <c r="F14037" s="2">
        <v>1295</v>
      </c>
      <c r="G14037" s="2">
        <v>99</v>
      </c>
      <c r="H14037" s="2">
        <v>262</v>
      </c>
      <c r="I14037" s="2">
        <v>88</v>
      </c>
      <c r="J14037" s="2">
        <v>873</v>
      </c>
      <c r="K14037" s="2">
        <v>1</v>
      </c>
      <c r="L14037" s="2">
        <v>262</v>
      </c>
    </row>
    <row r="14038" spans="1:12" x14ac:dyDescent="0.25">
      <c r="A14038" s="4" t="str">
        <f>HYPERLINK("http://www.rosaceae.org/Prunus/Prunus_persica/p.persica_gdr_reftransV1_0016044","p.persica_gdr_reftransV1_0016044")</f>
        <v>p.persica_gdr_reftransV1_0016044</v>
      </c>
      <c r="B14038" s="2">
        <v>901</v>
      </c>
      <c r="C14038" s="4" t="str">
        <f>HYPERLINK("http://www.uniprot.org/uniprot/M5XNX3","M5XNX3")</f>
        <v>M5XNX3</v>
      </c>
      <c r="D14038" s="2" t="s">
        <v>11473</v>
      </c>
      <c r="E14038" s="3">
        <v>6.8200000000000001E-70</v>
      </c>
      <c r="F14038" s="2">
        <v>572</v>
      </c>
      <c r="G14038" s="2">
        <v>100</v>
      </c>
      <c r="H14038" s="2">
        <v>106</v>
      </c>
      <c r="I14038" s="2">
        <v>322</v>
      </c>
      <c r="J14038" s="2">
        <v>639</v>
      </c>
      <c r="K14038" s="2">
        <v>38</v>
      </c>
      <c r="L14038" s="2">
        <v>143</v>
      </c>
    </row>
    <row r="14039" spans="1:12" x14ac:dyDescent="0.25">
      <c r="A14039" s="4" t="str">
        <f>HYPERLINK("http://www.rosaceae.org/Prunus/Prunus_persica/p.persica_gdr_reftransV1_0016744","p.persica_gdr_reftransV1_0016744")</f>
        <v>p.persica_gdr_reftransV1_0016744</v>
      </c>
      <c r="B14039" s="2">
        <v>921</v>
      </c>
      <c r="C14039" s="4" t="str">
        <f>HYPERLINK("http://www.uniprot.org/uniprot/M5WR80","M5WR80")</f>
        <v>M5WR80</v>
      </c>
      <c r="D14039" s="2" t="s">
        <v>11474</v>
      </c>
      <c r="E14039" s="3">
        <v>5.0799999999999999E-38</v>
      </c>
      <c r="F14039" s="2">
        <v>361</v>
      </c>
      <c r="G14039" s="2">
        <v>67</v>
      </c>
      <c r="H14039" s="2">
        <v>109</v>
      </c>
      <c r="I14039" s="2">
        <v>615</v>
      </c>
      <c r="J14039" s="2">
        <v>920</v>
      </c>
      <c r="K14039" s="2">
        <v>40</v>
      </c>
      <c r="L14039" s="2">
        <v>148</v>
      </c>
    </row>
    <row r="14040" spans="1:12" x14ac:dyDescent="0.25">
      <c r="A14040" s="4" t="str">
        <f>HYPERLINK("http://www.rosaceae.org/Prunus/Prunus_persica/p.persica_gdr_reftransV1_0017444","p.persica_gdr_reftransV1_0017444")</f>
        <v>p.persica_gdr_reftransV1_0017444</v>
      </c>
      <c r="B14040" s="2">
        <v>2790</v>
      </c>
      <c r="C14040" s="4" t="str">
        <f>HYPERLINK("http://www.uniprot.org/uniprot/M5XV65","M5XV65")</f>
        <v>M5XV65</v>
      </c>
      <c r="D14040" s="2" t="s">
        <v>10479</v>
      </c>
      <c r="E14040" s="3">
        <v>0</v>
      </c>
      <c r="F14040" s="2">
        <v>1427</v>
      </c>
      <c r="G14040" s="2">
        <v>93</v>
      </c>
      <c r="H14040" s="2">
        <v>294</v>
      </c>
      <c r="I14040" s="2">
        <v>330</v>
      </c>
      <c r="J14040" s="2">
        <v>1211</v>
      </c>
      <c r="K14040" s="2">
        <v>240</v>
      </c>
      <c r="L14040" s="2">
        <v>515</v>
      </c>
    </row>
    <row r="14041" spans="1:12" x14ac:dyDescent="0.25">
      <c r="A14041" s="4" t="str">
        <f>HYPERLINK("http://www.rosaceae.org/Prunus/Prunus_persica/p.persica_gdr_reftransV1_0017794","p.persica_gdr_reftransV1_0017794")</f>
        <v>p.persica_gdr_reftransV1_0017794</v>
      </c>
      <c r="B14041" s="2">
        <v>3614</v>
      </c>
      <c r="C14041" s="4" t="str">
        <f>HYPERLINK("http://www.uniprot.org/uniprot/M5XUH2","M5XUH2")</f>
        <v>M5XUH2</v>
      </c>
      <c r="D14041" s="2" t="s">
        <v>254</v>
      </c>
      <c r="E14041" s="3">
        <v>0</v>
      </c>
      <c r="F14041" s="2">
        <v>2653</v>
      </c>
      <c r="G14041" s="2">
        <v>99</v>
      </c>
      <c r="H14041" s="2">
        <v>536</v>
      </c>
      <c r="I14041" s="2">
        <v>1846</v>
      </c>
      <c r="J14041" s="2">
        <v>3453</v>
      </c>
      <c r="K14041" s="2">
        <v>1</v>
      </c>
      <c r="L14041" s="2">
        <v>536</v>
      </c>
    </row>
    <row r="14042" spans="1:12" x14ac:dyDescent="0.25">
      <c r="A14042" s="4" t="str">
        <f>HYPERLINK("http://www.rosaceae.org/Prunus/Prunus_persica/p.persica_gdr_reftransV1_0018144","p.persica_gdr_reftransV1_0018144")</f>
        <v>p.persica_gdr_reftransV1_0018144</v>
      </c>
      <c r="B14042" s="2">
        <v>2227</v>
      </c>
      <c r="C14042" s="4" t="str">
        <f>HYPERLINK("http://www.uniprot.org/uniprot/M5WYX2","M5WYX2")</f>
        <v>M5WYX2</v>
      </c>
      <c r="D14042" s="2" t="s">
        <v>5401</v>
      </c>
      <c r="E14042" s="3">
        <v>1.3000000000000001E-21</v>
      </c>
      <c r="F14042" s="2">
        <v>263</v>
      </c>
      <c r="G14042" s="2">
        <v>99</v>
      </c>
      <c r="H14042" s="2">
        <v>68</v>
      </c>
      <c r="I14042" s="2">
        <v>1665</v>
      </c>
      <c r="J14042" s="2">
        <v>1868</v>
      </c>
      <c r="K14042" s="2">
        <v>22</v>
      </c>
      <c r="L14042" s="2">
        <v>89</v>
      </c>
    </row>
    <row r="14043" spans="1:12" x14ac:dyDescent="0.25">
      <c r="A14043" s="4" t="str">
        <f>HYPERLINK("http://www.rosaceae.org/Prunus/Prunus_persica/p.persica_gdr_reftransV1_0018844","p.persica_gdr_reftransV1_0018844")</f>
        <v>p.persica_gdr_reftransV1_0018844</v>
      </c>
      <c r="B14043" s="2">
        <v>2742</v>
      </c>
      <c r="C14043" s="4" t="str">
        <f>HYPERLINK("http://www.uniprot.org/uniprot/M5XYI6","M5XYI6")</f>
        <v>M5XYI6</v>
      </c>
      <c r="D14043" s="2" t="s">
        <v>11475</v>
      </c>
      <c r="E14043" s="3">
        <v>0</v>
      </c>
      <c r="F14043" s="2">
        <v>3039</v>
      </c>
      <c r="G14043" s="2">
        <v>100</v>
      </c>
      <c r="H14043" s="2">
        <v>621</v>
      </c>
      <c r="I14043" s="2">
        <v>423</v>
      </c>
      <c r="J14043" s="2">
        <v>2285</v>
      </c>
      <c r="K14043" s="2">
        <v>1</v>
      </c>
      <c r="L14043" s="2">
        <v>621</v>
      </c>
    </row>
    <row r="14044" spans="1:12" x14ac:dyDescent="0.25">
      <c r="A14044" s="4" t="str">
        <f>HYPERLINK("http://www.rosaceae.org/Prunus/Prunus_persica/p.persica_gdr_reftransV1_0019194","p.persica_gdr_reftransV1_0019194")</f>
        <v>p.persica_gdr_reftransV1_0019194</v>
      </c>
      <c r="B14044" s="2">
        <v>2309</v>
      </c>
      <c r="C14044" s="4" t="str">
        <f>HYPERLINK("http://www.uniprot.org/uniprot/M5XDC2","M5XDC2")</f>
        <v>M5XDC2</v>
      </c>
      <c r="D14044" s="2" t="s">
        <v>11476</v>
      </c>
      <c r="E14044" s="3">
        <v>0</v>
      </c>
      <c r="F14044" s="2">
        <v>2987</v>
      </c>
      <c r="G14044" s="2">
        <v>100</v>
      </c>
      <c r="H14044" s="2">
        <v>558</v>
      </c>
      <c r="I14044" s="2">
        <v>171</v>
      </c>
      <c r="J14044" s="2">
        <v>1844</v>
      </c>
      <c r="K14044" s="2">
        <v>1</v>
      </c>
      <c r="L14044" s="2">
        <v>558</v>
      </c>
    </row>
    <row r="14045" spans="1:12" x14ac:dyDescent="0.25">
      <c r="A14045" s="4" t="str">
        <f>HYPERLINK("http://www.rosaceae.org/Prunus/Prunus_persica/p.persica_gdr_reftransV1_0019544","p.persica_gdr_reftransV1_0019544")</f>
        <v>p.persica_gdr_reftransV1_0019544</v>
      </c>
      <c r="B14045" s="2">
        <v>1565</v>
      </c>
      <c r="C14045" s="4" t="str">
        <f>HYPERLINK("http://www.uniprot.org/uniprot/M5W1F1","M5W1F1")</f>
        <v>M5W1F1</v>
      </c>
      <c r="D14045" s="2" t="s">
        <v>11477</v>
      </c>
      <c r="E14045" s="3">
        <v>2.0399999999999999E-11</v>
      </c>
      <c r="F14045" s="2">
        <v>179</v>
      </c>
      <c r="G14045" s="2">
        <v>62</v>
      </c>
      <c r="H14045" s="2">
        <v>63</v>
      </c>
      <c r="I14045" s="2">
        <v>715</v>
      </c>
      <c r="J14045" s="2">
        <v>888</v>
      </c>
      <c r="K14045" s="2">
        <v>185</v>
      </c>
      <c r="L14045" s="2">
        <v>246</v>
      </c>
    </row>
    <row r="14046" spans="1:12" x14ac:dyDescent="0.25">
      <c r="A14046" s="4" t="str">
        <f>HYPERLINK("http://www.rosaceae.org/Prunus/Prunus_persica/p.persica_gdr_reftransV1_0019894","p.persica_gdr_reftransV1_0019894")</f>
        <v>p.persica_gdr_reftransV1_0019894</v>
      </c>
      <c r="B14046" s="2">
        <v>2141</v>
      </c>
      <c r="C14046" s="4" t="str">
        <f>HYPERLINK("http://www.uniprot.org/uniprot/M5WRZ7","M5WRZ7")</f>
        <v>M5WRZ7</v>
      </c>
      <c r="D14046" s="2" t="s">
        <v>11478</v>
      </c>
      <c r="E14046" s="3">
        <v>0</v>
      </c>
      <c r="F14046" s="2">
        <v>2228</v>
      </c>
      <c r="G14046" s="2">
        <v>100</v>
      </c>
      <c r="H14046" s="2">
        <v>446</v>
      </c>
      <c r="I14046" s="2">
        <v>232</v>
      </c>
      <c r="J14046" s="2">
        <v>1569</v>
      </c>
      <c r="K14046" s="2">
        <v>1</v>
      </c>
      <c r="L14046" s="2">
        <v>446</v>
      </c>
    </row>
    <row r="14047" spans="1:12" x14ac:dyDescent="0.25">
      <c r="A14047" s="4" t="str">
        <f>HYPERLINK("http://www.rosaceae.org/Prunus/Prunus_persica/p.persica_gdr_reftransV1_0020244","p.persica_gdr_reftransV1_0020244")</f>
        <v>p.persica_gdr_reftransV1_0020244</v>
      </c>
      <c r="B14047" s="2">
        <v>1102</v>
      </c>
      <c r="C14047" s="4" t="str">
        <f>HYPERLINK("http://www.uniprot.org/uniprot/M5VXU8","M5VXU8")</f>
        <v>M5VXU8</v>
      </c>
      <c r="D14047" s="2" t="s">
        <v>11479</v>
      </c>
      <c r="E14047" s="3">
        <v>6.4099999999999999E-130</v>
      </c>
      <c r="F14047" s="2">
        <v>981</v>
      </c>
      <c r="G14047" s="2">
        <v>100</v>
      </c>
      <c r="H14047" s="2">
        <v>185</v>
      </c>
      <c r="I14047" s="2">
        <v>82</v>
      </c>
      <c r="J14047" s="2">
        <v>636</v>
      </c>
      <c r="K14047" s="2">
        <v>1</v>
      </c>
      <c r="L14047" s="2">
        <v>185</v>
      </c>
    </row>
    <row r="14048" spans="1:12" x14ac:dyDescent="0.25">
      <c r="A14048" s="4" t="str">
        <f>HYPERLINK("http://www.rosaceae.org/Prunus/Prunus_persica/p.persica_gdr_reftransV1_0020594","p.persica_gdr_reftransV1_0020594")</f>
        <v>p.persica_gdr_reftransV1_0020594</v>
      </c>
      <c r="B14048" s="2">
        <v>1971</v>
      </c>
      <c r="C14048" s="4" t="str">
        <f>HYPERLINK("http://www.uniprot.org/uniprot/A9YTE0","A9YTE0")</f>
        <v>A9YTE0</v>
      </c>
      <c r="D14048" s="2" t="s">
        <v>11480</v>
      </c>
      <c r="E14048" s="3">
        <v>0</v>
      </c>
      <c r="F14048" s="2">
        <v>1567</v>
      </c>
      <c r="G14048" s="2">
        <v>100</v>
      </c>
      <c r="H14048" s="2">
        <v>357</v>
      </c>
      <c r="I14048" s="2">
        <v>546</v>
      </c>
      <c r="J14048" s="2">
        <v>1616</v>
      </c>
      <c r="K14048" s="2">
        <v>1</v>
      </c>
      <c r="L14048" s="2">
        <v>357</v>
      </c>
    </row>
    <row r="14049" spans="1:12" x14ac:dyDescent="0.25">
      <c r="A14049" s="4" t="str">
        <f>HYPERLINK("http://www.rosaceae.org/Prunus/Prunus_persica/p.persica_gdr_reftransV1_0020944","p.persica_gdr_reftransV1_0020944")</f>
        <v>p.persica_gdr_reftransV1_0020944</v>
      </c>
      <c r="B14049" s="2">
        <v>2613</v>
      </c>
      <c r="C14049" s="4" t="str">
        <f>HYPERLINK("http://www.uniprot.org/uniprot/M5WQZ4","M5WQZ4")</f>
        <v>M5WQZ4</v>
      </c>
      <c r="D14049" s="2" t="s">
        <v>11481</v>
      </c>
      <c r="E14049" s="3">
        <v>0</v>
      </c>
      <c r="F14049" s="2">
        <v>1567</v>
      </c>
      <c r="G14049" s="2">
        <v>96</v>
      </c>
      <c r="H14049" s="2">
        <v>312</v>
      </c>
      <c r="I14049" s="2">
        <v>1429</v>
      </c>
      <c r="J14049" s="2">
        <v>2364</v>
      </c>
      <c r="K14049" s="2">
        <v>1</v>
      </c>
      <c r="L14049" s="2">
        <v>302</v>
      </c>
    </row>
    <row r="14050" spans="1:12" x14ac:dyDescent="0.25">
      <c r="A14050" s="4" t="str">
        <f>HYPERLINK("http://www.rosaceae.org/Prunus/Prunus_persica/p.persica_gdr_reftransV1_0021294","p.persica_gdr_reftransV1_0021294")</f>
        <v>p.persica_gdr_reftransV1_0021294</v>
      </c>
      <c r="B14050" s="2">
        <v>2107</v>
      </c>
      <c r="C14050" s="4" t="str">
        <f>HYPERLINK("http://www.uniprot.org/uniprot/M5XIS4","M5XIS4")</f>
        <v>M5XIS4</v>
      </c>
      <c r="D14050" s="2" t="s">
        <v>1388</v>
      </c>
      <c r="E14050" s="3">
        <v>0</v>
      </c>
      <c r="F14050" s="2">
        <v>1708</v>
      </c>
      <c r="G14050" s="2">
        <v>85</v>
      </c>
      <c r="H14050" s="2">
        <v>441</v>
      </c>
      <c r="I14050" s="2">
        <v>329</v>
      </c>
      <c r="J14050" s="2">
        <v>1651</v>
      </c>
      <c r="K14050" s="2">
        <v>1</v>
      </c>
      <c r="L14050" s="2">
        <v>378</v>
      </c>
    </row>
    <row r="14051" spans="1:12" x14ac:dyDescent="0.25">
      <c r="A14051" s="4" t="str">
        <f>HYPERLINK("http://www.rosaceae.org/Prunus/Prunus_persica/p.persica_gdr_reftransV1_0022344","p.persica_gdr_reftransV1_0022344")</f>
        <v>p.persica_gdr_reftransV1_0022344</v>
      </c>
      <c r="B14051" s="2">
        <v>2369</v>
      </c>
      <c r="C14051" s="4" t="str">
        <f>HYPERLINK("http://www.uniprot.org/uniprot/M5WTJ5","M5WTJ5")</f>
        <v>M5WTJ5</v>
      </c>
      <c r="D14051" s="2" t="s">
        <v>11482</v>
      </c>
      <c r="E14051" s="3">
        <v>4.9899999999999996E-124</v>
      </c>
      <c r="F14051" s="2">
        <v>998</v>
      </c>
      <c r="G14051" s="2">
        <v>100</v>
      </c>
      <c r="H14051" s="2">
        <v>218</v>
      </c>
      <c r="I14051" s="2">
        <v>1493</v>
      </c>
      <c r="J14051" s="2">
        <v>2146</v>
      </c>
      <c r="K14051" s="2">
        <v>162</v>
      </c>
      <c r="L14051" s="2">
        <v>379</v>
      </c>
    </row>
    <row r="14052" spans="1:12" x14ac:dyDescent="0.25">
      <c r="A14052" s="4" t="str">
        <f>HYPERLINK("http://www.rosaceae.org/Prunus/Prunus_persica/p.persica_gdr_reftransV1_0024444","p.persica_gdr_reftransV1_0024444")</f>
        <v>p.persica_gdr_reftransV1_0024444</v>
      </c>
      <c r="B14052" s="2">
        <v>3611</v>
      </c>
      <c r="C14052" s="4" t="str">
        <f>HYPERLINK("http://www.uniprot.org/uniprot/M5X033","M5X033")</f>
        <v>M5X033</v>
      </c>
      <c r="D14052" s="2" t="s">
        <v>11483</v>
      </c>
      <c r="E14052" s="3">
        <v>1.8899999999999999E-118</v>
      </c>
      <c r="F14052" s="2">
        <v>983</v>
      </c>
      <c r="G14052" s="2">
        <v>100</v>
      </c>
      <c r="H14052" s="2">
        <v>184</v>
      </c>
      <c r="I14052" s="2">
        <v>331</v>
      </c>
      <c r="J14052" s="2">
        <v>882</v>
      </c>
      <c r="K14052" s="2">
        <v>170</v>
      </c>
      <c r="L14052" s="2">
        <v>353</v>
      </c>
    </row>
    <row r="14053" spans="1:12" x14ac:dyDescent="0.25">
      <c r="A14053" s="4" t="str">
        <f>HYPERLINK("http://www.rosaceae.org/Prunus/Prunus_persica/p.persica_gdr_reftransV1_0025144","p.persica_gdr_reftransV1_0025144")</f>
        <v>p.persica_gdr_reftransV1_0025144</v>
      </c>
      <c r="B14053" s="2">
        <v>2956</v>
      </c>
      <c r="C14053" s="4" t="str">
        <f>HYPERLINK("http://www.uniprot.org/uniprot/M5WG33","M5WG33")</f>
        <v>M5WG33</v>
      </c>
      <c r="D14053" s="2" t="s">
        <v>11484</v>
      </c>
      <c r="E14053" s="3">
        <v>1.17E-76</v>
      </c>
      <c r="F14053" s="2">
        <v>678</v>
      </c>
      <c r="G14053" s="2">
        <v>89</v>
      </c>
      <c r="H14053" s="2">
        <v>226</v>
      </c>
      <c r="I14053" s="2">
        <v>2162</v>
      </c>
      <c r="J14053" s="2">
        <v>2836</v>
      </c>
      <c r="K14053" s="2">
        <v>1</v>
      </c>
      <c r="L14053" s="2">
        <v>226</v>
      </c>
    </row>
    <row r="14054" spans="1:12" x14ac:dyDescent="0.25">
      <c r="A14054" s="4" t="str">
        <f>HYPERLINK("http://www.rosaceae.org/Prunus/Prunus_persica/p.persica_gdr_reftransV1_0025844","p.persica_gdr_reftransV1_0025844")</f>
        <v>p.persica_gdr_reftransV1_0025844</v>
      </c>
      <c r="B14054" s="2">
        <v>1180</v>
      </c>
      <c r="C14054" s="4" t="str">
        <f>HYPERLINK("http://www.uniprot.org/uniprot/M5X213","M5X213")</f>
        <v>M5X213</v>
      </c>
      <c r="D14054" s="2" t="s">
        <v>11485</v>
      </c>
      <c r="E14054" s="3">
        <v>1.8300000000000001E-137</v>
      </c>
      <c r="F14054" s="2">
        <v>1037</v>
      </c>
      <c r="G14054" s="2">
        <v>100</v>
      </c>
      <c r="H14054" s="2">
        <v>228</v>
      </c>
      <c r="I14054" s="2">
        <v>216</v>
      </c>
      <c r="J14054" s="2">
        <v>899</v>
      </c>
      <c r="K14054" s="2">
        <v>1</v>
      </c>
      <c r="L14054" s="2">
        <v>228</v>
      </c>
    </row>
    <row r="14055" spans="1:12" x14ac:dyDescent="0.25">
      <c r="A14055" s="4" t="str">
        <f>HYPERLINK("http://www.rosaceae.org/Prunus/Prunus_persica/p.persica_gdr_reftransV1_0028294","p.persica_gdr_reftransV1_0028294")</f>
        <v>p.persica_gdr_reftransV1_0028294</v>
      </c>
      <c r="B14055" s="2">
        <v>2491</v>
      </c>
      <c r="C14055" s="4" t="str">
        <f>HYPERLINK("http://www.uniprot.org/uniprot/F6HJ58","F6HJ58")</f>
        <v>F6HJ58</v>
      </c>
      <c r="D14055" s="2" t="s">
        <v>11486</v>
      </c>
      <c r="E14055" s="3">
        <v>0</v>
      </c>
      <c r="F14055" s="2">
        <v>2947</v>
      </c>
      <c r="G14055" s="2">
        <v>77</v>
      </c>
      <c r="H14055" s="2">
        <v>735</v>
      </c>
      <c r="I14055" s="2">
        <v>229</v>
      </c>
      <c r="J14055" s="2">
        <v>2310</v>
      </c>
      <c r="K14055" s="2">
        <v>13</v>
      </c>
      <c r="L14055" s="2">
        <v>747</v>
      </c>
    </row>
    <row r="14056" spans="1:12" x14ac:dyDescent="0.25">
      <c r="A14056" s="4" t="str">
        <f>HYPERLINK("http://www.rosaceae.org/Prunus/Prunus_persica/p.persica_gdr_reftransV1_0028644","p.persica_gdr_reftransV1_0028644")</f>
        <v>p.persica_gdr_reftransV1_0028644</v>
      </c>
      <c r="B14056" s="2">
        <v>1112</v>
      </c>
      <c r="C14056" s="4" t="str">
        <f>HYPERLINK("http://www.uniprot.org/uniprot/Q93WZ6","Q93WZ6")</f>
        <v>Q93WZ6</v>
      </c>
      <c r="D14056" s="2" t="s">
        <v>4124</v>
      </c>
      <c r="E14056" s="3">
        <v>4.4999999999999998E-28</v>
      </c>
      <c r="F14056" s="2">
        <v>297</v>
      </c>
      <c r="G14056" s="2">
        <v>99</v>
      </c>
      <c r="H14056" s="2">
        <v>168</v>
      </c>
      <c r="I14056" s="2">
        <v>225</v>
      </c>
      <c r="J14056" s="2">
        <v>728</v>
      </c>
      <c r="K14056" s="2">
        <v>1</v>
      </c>
      <c r="L14056" s="2">
        <v>168</v>
      </c>
    </row>
    <row r="14057" spans="1:12" x14ac:dyDescent="0.25">
      <c r="A14057" s="4" t="str">
        <f>HYPERLINK("http://www.rosaceae.org/Prunus/Prunus_persica/p.persica_gdr_reftransV1_0029694","p.persica_gdr_reftransV1_0029694")</f>
        <v>p.persica_gdr_reftransV1_0029694</v>
      </c>
      <c r="B14057" s="2">
        <v>4720</v>
      </c>
      <c r="C14057" s="4" t="str">
        <f>HYPERLINK("http://www.uniprot.org/uniprot/M5WGM9","M5WGM9")</f>
        <v>M5WGM9</v>
      </c>
      <c r="D14057" s="2" t="s">
        <v>11487</v>
      </c>
      <c r="E14057" s="3">
        <v>0</v>
      </c>
      <c r="F14057" s="2">
        <v>2332</v>
      </c>
      <c r="G14057" s="2">
        <v>100</v>
      </c>
      <c r="H14057" s="2">
        <v>439</v>
      </c>
      <c r="I14057" s="2">
        <v>1098</v>
      </c>
      <c r="J14057" s="2">
        <v>2414</v>
      </c>
      <c r="K14057" s="2">
        <v>1</v>
      </c>
      <c r="L14057" s="2">
        <v>439</v>
      </c>
    </row>
    <row r="14058" spans="1:12" x14ac:dyDescent="0.25">
      <c r="A14058" s="4" t="str">
        <f>HYPERLINK("http://www.rosaceae.org/Prunus/Prunus_persica/p.persica_gdr_reftransV1_0032494","p.persica_gdr_reftransV1_0032494")</f>
        <v>p.persica_gdr_reftransV1_0032494</v>
      </c>
      <c r="B14058" s="2">
        <v>2054</v>
      </c>
      <c r="C14058" s="4" t="str">
        <f>HYPERLINK("http://www.uniprot.org/uniprot/M5W296","M5W296")</f>
        <v>M5W296</v>
      </c>
      <c r="D14058" s="2" t="s">
        <v>11488</v>
      </c>
      <c r="E14058" s="3">
        <v>0</v>
      </c>
      <c r="F14058" s="2">
        <v>2205</v>
      </c>
      <c r="G14058" s="2">
        <v>100</v>
      </c>
      <c r="H14058" s="2">
        <v>411</v>
      </c>
      <c r="I14058" s="2">
        <v>319</v>
      </c>
      <c r="J14058" s="2">
        <v>1551</v>
      </c>
      <c r="K14058" s="2">
        <v>1</v>
      </c>
      <c r="L14058" s="2">
        <v>411</v>
      </c>
    </row>
    <row r="14059" spans="1:12" x14ac:dyDescent="0.25">
      <c r="A14059" s="4" t="str">
        <f>HYPERLINK("http://www.rosaceae.org/Prunus/Prunus_persica/p.persica_gdr_reftransV1_0032844","p.persica_gdr_reftransV1_0032844")</f>
        <v>p.persica_gdr_reftransV1_0032844</v>
      </c>
      <c r="B14059" s="2">
        <v>1936</v>
      </c>
      <c r="C14059" s="4" t="str">
        <f>HYPERLINK("http://www.uniprot.org/uniprot/M5VM52","M5VM52")</f>
        <v>M5VM52</v>
      </c>
      <c r="D14059" s="2" t="s">
        <v>11489</v>
      </c>
      <c r="E14059" s="3">
        <v>0</v>
      </c>
      <c r="F14059" s="2">
        <v>2240</v>
      </c>
      <c r="G14059" s="2">
        <v>100</v>
      </c>
      <c r="H14059" s="2">
        <v>413</v>
      </c>
      <c r="I14059" s="2">
        <v>159</v>
      </c>
      <c r="J14059" s="2">
        <v>1397</v>
      </c>
      <c r="K14059" s="2">
        <v>1</v>
      </c>
      <c r="L14059" s="2">
        <v>413</v>
      </c>
    </row>
    <row r="14060" spans="1:12" x14ac:dyDescent="0.25">
      <c r="A14060" s="4" t="str">
        <f>HYPERLINK("http://www.rosaceae.org/Prunus/Prunus_persica/p.persica_gdr_reftransV1_0033894","p.persica_gdr_reftransV1_0033894")</f>
        <v>p.persica_gdr_reftransV1_0033894</v>
      </c>
      <c r="B14060" s="2">
        <v>5189</v>
      </c>
      <c r="C14060" s="4" t="str">
        <f>HYPERLINK("http://www.uniprot.org/uniprot/M5X7F9","M5X7F9")</f>
        <v>M5X7F9</v>
      </c>
      <c r="D14060" s="2" t="s">
        <v>11490</v>
      </c>
      <c r="E14060" s="3">
        <v>0</v>
      </c>
      <c r="F14060" s="2">
        <v>2824</v>
      </c>
      <c r="G14060" s="2">
        <v>98</v>
      </c>
      <c r="H14060" s="2">
        <v>539</v>
      </c>
      <c r="I14060" s="2">
        <v>1304</v>
      </c>
      <c r="J14060" s="2">
        <v>2917</v>
      </c>
      <c r="K14060" s="2">
        <v>474</v>
      </c>
      <c r="L14060" s="2">
        <v>1012</v>
      </c>
    </row>
    <row r="14061" spans="1:12" x14ac:dyDescent="0.25">
      <c r="A14061" s="4" t="str">
        <f>HYPERLINK("http://www.rosaceae.org/Prunus/Prunus_persica/p.persica_gdr_reftransV1_0037394","p.persica_gdr_reftransV1_0037394")</f>
        <v>p.persica_gdr_reftransV1_0037394</v>
      </c>
      <c r="B14061" s="2">
        <v>1240</v>
      </c>
      <c r="C14061" s="4" t="str">
        <f>HYPERLINK("http://www.uniprot.org/uniprot/J7G0P5","J7G0P5")</f>
        <v>J7G0P5</v>
      </c>
      <c r="D14061" s="2" t="s">
        <v>2394</v>
      </c>
      <c r="E14061" s="3">
        <v>8.3700000000000001E-95</v>
      </c>
      <c r="F14061" s="2">
        <v>503</v>
      </c>
      <c r="G14061" s="2">
        <v>62</v>
      </c>
      <c r="H14061" s="2">
        <v>172</v>
      </c>
      <c r="I14061" s="2">
        <v>724</v>
      </c>
      <c r="J14061" s="2">
        <v>1239</v>
      </c>
      <c r="K14061" s="2">
        <v>1021</v>
      </c>
      <c r="L14061" s="2">
        <v>1192</v>
      </c>
    </row>
    <row r="14062" spans="1:12" x14ac:dyDescent="0.25">
      <c r="A14062" s="4" t="str">
        <f>HYPERLINK("http://www.rosaceae.org/Prunus/Prunus_persica/p.persica_gdr_reftransV1_0039844","p.persica_gdr_reftransV1_0039844")</f>
        <v>p.persica_gdr_reftransV1_0039844</v>
      </c>
      <c r="B14062" s="2">
        <v>3978</v>
      </c>
      <c r="C14062" s="4" t="str">
        <f>HYPERLINK("http://www.uniprot.org/uniprot/M5WXT1","M5WXT1")</f>
        <v>M5WXT1</v>
      </c>
      <c r="D14062" s="2" t="s">
        <v>11491</v>
      </c>
      <c r="E14062" s="3">
        <v>0</v>
      </c>
      <c r="F14062" s="2">
        <v>6550</v>
      </c>
      <c r="G14062" s="2">
        <v>100</v>
      </c>
      <c r="H14062" s="2">
        <v>1241</v>
      </c>
      <c r="I14062" s="2">
        <v>118</v>
      </c>
      <c r="J14062" s="2">
        <v>3840</v>
      </c>
      <c r="K14062" s="2">
        <v>42</v>
      </c>
      <c r="L14062" s="2">
        <v>1282</v>
      </c>
    </row>
    <row r="14063" spans="1:12" x14ac:dyDescent="0.25">
      <c r="A14063" s="4" t="str">
        <f>HYPERLINK("http://www.rosaceae.org/Prunus/Prunus_persica/p.persica_gdr_reftransV1_0040544","p.persica_gdr_reftransV1_0040544")</f>
        <v>p.persica_gdr_reftransV1_0040544</v>
      </c>
      <c r="B14063" s="2">
        <v>2937</v>
      </c>
      <c r="C14063" s="4" t="str">
        <f>HYPERLINK("http://www.uniprot.org/uniprot/M5VJS3","M5VJS3")</f>
        <v>M5VJS3</v>
      </c>
      <c r="D14063" s="2" t="s">
        <v>11492</v>
      </c>
      <c r="E14063" s="3">
        <v>2.35E-127</v>
      </c>
      <c r="F14063" s="2">
        <v>1041</v>
      </c>
      <c r="G14063" s="2">
        <v>98</v>
      </c>
      <c r="H14063" s="2">
        <v>193</v>
      </c>
      <c r="I14063" s="2">
        <v>2257</v>
      </c>
      <c r="J14063" s="2">
        <v>2835</v>
      </c>
      <c r="K14063" s="2">
        <v>111</v>
      </c>
      <c r="L14063" s="2">
        <v>303</v>
      </c>
    </row>
    <row r="14064" spans="1:12" x14ac:dyDescent="0.25">
      <c r="A14064" s="4" t="str">
        <f>HYPERLINK("http://www.rosaceae.org/Prunus/Prunus_persica/p.persica_gdr_reftransV1_0041594","p.persica_gdr_reftransV1_0041594")</f>
        <v>p.persica_gdr_reftransV1_0041594</v>
      </c>
      <c r="B14064" s="2">
        <v>1540</v>
      </c>
      <c r="C14064" s="4" t="str">
        <f>HYPERLINK("http://www.uniprot.org/uniprot/M5WAI3","M5WAI3")</f>
        <v>M5WAI3</v>
      </c>
      <c r="D14064" s="2" t="s">
        <v>11493</v>
      </c>
      <c r="E14064" s="3">
        <v>2.23E-144</v>
      </c>
      <c r="F14064" s="2">
        <v>1095</v>
      </c>
      <c r="G14064" s="2">
        <v>100</v>
      </c>
      <c r="H14064" s="2">
        <v>227</v>
      </c>
      <c r="I14064" s="2">
        <v>711</v>
      </c>
      <c r="J14064" s="2">
        <v>1391</v>
      </c>
      <c r="K14064" s="2">
        <v>1</v>
      </c>
      <c r="L14064" s="2">
        <v>227</v>
      </c>
    </row>
    <row r="14065" spans="1:12" x14ac:dyDescent="0.25">
      <c r="A14065" s="4" t="str">
        <f>HYPERLINK("http://www.rosaceae.org/Prunus/Prunus_persica/p.persica_gdr_reftransV1_0043344","p.persica_gdr_reftransV1_0043344")</f>
        <v>p.persica_gdr_reftransV1_0043344</v>
      </c>
      <c r="B14065" s="2">
        <v>852</v>
      </c>
      <c r="C14065" s="4" t="str">
        <f>HYPERLINK("http://www.uniprot.org/uniprot/M5W3T8","M5W3T8")</f>
        <v>M5W3T8</v>
      </c>
      <c r="D14065" s="2" t="s">
        <v>11494</v>
      </c>
      <c r="E14065" s="3">
        <v>1.4499999999999999E-100</v>
      </c>
      <c r="F14065" s="2">
        <v>774</v>
      </c>
      <c r="G14065" s="2">
        <v>100</v>
      </c>
      <c r="H14065" s="2">
        <v>150</v>
      </c>
      <c r="I14065" s="2">
        <v>68</v>
      </c>
      <c r="J14065" s="2">
        <v>517</v>
      </c>
      <c r="K14065" s="2">
        <v>1</v>
      </c>
      <c r="L14065" s="2">
        <v>150</v>
      </c>
    </row>
    <row r="14066" spans="1:12" x14ac:dyDescent="0.25">
      <c r="A14066" s="4" t="str">
        <f>HYPERLINK("http://www.rosaceae.org/Prunus/Prunus_persica/p.persica_gdr_reftransV1_0043694","p.persica_gdr_reftransV1_0043694")</f>
        <v>p.persica_gdr_reftransV1_0043694</v>
      </c>
      <c r="B14066" s="2">
        <v>2182</v>
      </c>
      <c r="C14066" s="4" t="str">
        <f>HYPERLINK("http://www.uniprot.org/uniprot/M5WEJ3","M5WEJ3")</f>
        <v>M5WEJ3</v>
      </c>
      <c r="D14066" s="2" t="s">
        <v>11495</v>
      </c>
      <c r="E14066" s="3">
        <v>0</v>
      </c>
      <c r="F14066" s="2">
        <v>2356</v>
      </c>
      <c r="G14066" s="2">
        <v>95</v>
      </c>
      <c r="H14066" s="2">
        <v>534</v>
      </c>
      <c r="I14066" s="2">
        <v>2</v>
      </c>
      <c r="J14066" s="2">
        <v>1603</v>
      </c>
      <c r="K14066" s="2">
        <v>376</v>
      </c>
      <c r="L14066" s="2">
        <v>884</v>
      </c>
    </row>
    <row r="14067" spans="1:12" x14ac:dyDescent="0.25">
      <c r="A14067" s="4" t="str">
        <f>HYPERLINK("http://www.rosaceae.org/Prunus/Prunus_persica/p.persica_gdr_reftransV1_0044044","p.persica_gdr_reftransV1_0044044")</f>
        <v>p.persica_gdr_reftransV1_0044044</v>
      </c>
      <c r="B14067" s="2">
        <v>1734</v>
      </c>
      <c r="C14067" s="4" t="str">
        <f>HYPERLINK("http://www.uniprot.org/uniprot/M5XT16","M5XT16")</f>
        <v>M5XT16</v>
      </c>
      <c r="D14067" s="2" t="s">
        <v>11496</v>
      </c>
      <c r="E14067" s="3">
        <v>4.9000000000000002E-130</v>
      </c>
      <c r="F14067" s="2">
        <v>1002</v>
      </c>
      <c r="G14067" s="2">
        <v>100</v>
      </c>
      <c r="H14067" s="2">
        <v>189</v>
      </c>
      <c r="I14067" s="2">
        <v>1022</v>
      </c>
      <c r="J14067" s="2">
        <v>1588</v>
      </c>
      <c r="K14067" s="2">
        <v>1</v>
      </c>
      <c r="L14067" s="2">
        <v>189</v>
      </c>
    </row>
    <row r="14068" spans="1:12" x14ac:dyDescent="0.25">
      <c r="A14068" s="4" t="str">
        <f>HYPERLINK("http://www.rosaceae.org/Prunus/Prunus_persica/p.persica_gdr_reftransV1_0045444","p.persica_gdr_reftransV1_0045444")</f>
        <v>p.persica_gdr_reftransV1_0045444</v>
      </c>
      <c r="B14068" s="2">
        <v>1009</v>
      </c>
      <c r="C14068" s="4" t="str">
        <f>HYPERLINK("http://www.uniprot.org/uniprot/M5WIL1","M5WIL1")</f>
        <v>M5WIL1</v>
      </c>
      <c r="D14068" s="2" t="s">
        <v>11497</v>
      </c>
      <c r="E14068" s="3">
        <v>6.8600000000000004E-95</v>
      </c>
      <c r="F14068" s="2">
        <v>745</v>
      </c>
      <c r="G14068" s="2">
        <v>100</v>
      </c>
      <c r="H14068" s="2">
        <v>182</v>
      </c>
      <c r="I14068" s="2">
        <v>88</v>
      </c>
      <c r="J14068" s="2">
        <v>633</v>
      </c>
      <c r="K14068" s="2">
        <v>1</v>
      </c>
      <c r="L14068" s="2">
        <v>182</v>
      </c>
    </row>
    <row r="14069" spans="1:12" x14ac:dyDescent="0.25">
      <c r="A14069" s="4" t="str">
        <f>HYPERLINK("http://www.rosaceae.org/Prunus/Prunus_persica/p.persica_gdr_reftransV1_0045794","p.persica_gdr_reftransV1_0045794")</f>
        <v>p.persica_gdr_reftransV1_0045794</v>
      </c>
      <c r="B14069" s="2">
        <v>2464</v>
      </c>
      <c r="C14069" s="4" t="str">
        <f>HYPERLINK("http://www.uniprot.org/uniprot/M5VUA0","M5VUA0")</f>
        <v>M5VUA0</v>
      </c>
      <c r="D14069" s="2" t="s">
        <v>11498</v>
      </c>
      <c r="E14069" s="3">
        <v>0</v>
      </c>
      <c r="F14069" s="2">
        <v>1695</v>
      </c>
      <c r="G14069" s="2">
        <v>100</v>
      </c>
      <c r="H14069" s="2">
        <v>314</v>
      </c>
      <c r="I14069" s="2">
        <v>937</v>
      </c>
      <c r="J14069" s="2">
        <v>1878</v>
      </c>
      <c r="K14069" s="2">
        <v>220</v>
      </c>
      <c r="L14069" s="2">
        <v>533</v>
      </c>
    </row>
    <row r="14070" spans="1:12" x14ac:dyDescent="0.25">
      <c r="A14070" s="4" t="str">
        <f>HYPERLINK("http://www.rosaceae.org/Prunus/Prunus_persica/p.persica_gdr_reftransV1_0046144","p.persica_gdr_reftransV1_0046144")</f>
        <v>p.persica_gdr_reftransV1_0046144</v>
      </c>
      <c r="B14070" s="2">
        <v>1257</v>
      </c>
      <c r="C14070" s="4" t="str">
        <f>HYPERLINK("http://www.uniprot.org/uniprot/M5X3R2","M5X3R2")</f>
        <v>M5X3R2</v>
      </c>
      <c r="D14070" s="2" t="s">
        <v>6245</v>
      </c>
      <c r="E14070" s="3">
        <v>0</v>
      </c>
      <c r="F14070" s="2">
        <v>1640</v>
      </c>
      <c r="G14070" s="2">
        <v>94</v>
      </c>
      <c r="H14070" s="2">
        <v>375</v>
      </c>
      <c r="I14070" s="2">
        <v>42</v>
      </c>
      <c r="J14070" s="2">
        <v>1166</v>
      </c>
      <c r="K14070" s="2">
        <v>18</v>
      </c>
      <c r="L14070" s="2">
        <v>368</v>
      </c>
    </row>
    <row r="14071" spans="1:12" x14ac:dyDescent="0.25">
      <c r="A14071" s="4" t="str">
        <f>HYPERLINK("http://www.rosaceae.org/Prunus/Prunus_persica/p.persica_gdr_reftransV1_0046494","p.persica_gdr_reftransV1_0046494")</f>
        <v>p.persica_gdr_reftransV1_0046494</v>
      </c>
      <c r="B14071" s="2">
        <v>1260</v>
      </c>
      <c r="C14071" s="4" t="str">
        <f>HYPERLINK("http://www.uniprot.org/uniprot/M5VZQ8","M5VZQ8")</f>
        <v>M5VZQ8</v>
      </c>
      <c r="D14071" s="2" t="s">
        <v>11499</v>
      </c>
      <c r="E14071" s="3">
        <v>4.6900000000000002E-157</v>
      </c>
      <c r="F14071" s="2">
        <v>1172</v>
      </c>
      <c r="G14071" s="2">
        <v>100</v>
      </c>
      <c r="H14071" s="2">
        <v>257</v>
      </c>
      <c r="I14071" s="2">
        <v>266</v>
      </c>
      <c r="J14071" s="2">
        <v>1036</v>
      </c>
      <c r="K14071" s="2">
        <v>1</v>
      </c>
      <c r="L14071" s="2">
        <v>257</v>
      </c>
    </row>
    <row r="14072" spans="1:12" x14ac:dyDescent="0.25">
      <c r="A14072" s="4" t="str">
        <f>HYPERLINK("http://www.rosaceae.org/Prunus/Prunus_persica/p.persica_gdr_reftransV1_0046844","p.persica_gdr_reftransV1_0046844")</f>
        <v>p.persica_gdr_reftransV1_0046844</v>
      </c>
      <c r="B14072" s="2">
        <v>490</v>
      </c>
      <c r="C14072" s="4" t="str">
        <f>HYPERLINK("http://www.uniprot.org/uniprot/M5VKJ9","M5VKJ9")</f>
        <v>M5VKJ9</v>
      </c>
      <c r="D14072" s="2" t="s">
        <v>6841</v>
      </c>
      <c r="E14072" s="3">
        <v>3.7700000000000003E-92</v>
      </c>
      <c r="F14072" s="2">
        <v>770</v>
      </c>
      <c r="G14072" s="2">
        <v>96</v>
      </c>
      <c r="H14072" s="2">
        <v>150</v>
      </c>
      <c r="I14072" s="2">
        <v>3</v>
      </c>
      <c r="J14072" s="2">
        <v>452</v>
      </c>
      <c r="K14072" s="2">
        <v>326</v>
      </c>
      <c r="L14072" s="2">
        <v>475</v>
      </c>
    </row>
    <row r="14073" spans="1:12" x14ac:dyDescent="0.25">
      <c r="A14073" s="4" t="str">
        <f>HYPERLINK("http://www.rosaceae.org/Prunus/Prunus_persica/p.persica_gdr_reftransV1_0047194","p.persica_gdr_reftransV1_0047194")</f>
        <v>p.persica_gdr_reftransV1_0047194</v>
      </c>
      <c r="B14073" s="2">
        <v>954</v>
      </c>
      <c r="C14073" s="4" t="str">
        <f>HYPERLINK("http://www.uniprot.org/uniprot/M5XG47","M5XG47")</f>
        <v>M5XG47</v>
      </c>
      <c r="D14073" s="2" t="s">
        <v>11500</v>
      </c>
      <c r="E14073" s="3">
        <v>6.5100000000000003E-111</v>
      </c>
      <c r="F14073" s="2">
        <v>854</v>
      </c>
      <c r="G14073" s="2">
        <v>83</v>
      </c>
      <c r="H14073" s="2">
        <v>230</v>
      </c>
      <c r="I14073" s="2">
        <v>322</v>
      </c>
      <c r="J14073" s="2">
        <v>891</v>
      </c>
      <c r="K14073" s="2">
        <v>1</v>
      </c>
      <c r="L14073" s="2">
        <v>230</v>
      </c>
    </row>
    <row r="14074" spans="1:12" x14ac:dyDescent="0.25">
      <c r="A14074" s="4" t="str">
        <f>HYPERLINK("http://www.rosaceae.org/Prunus/Prunus_persica/p.persica_gdr_reftransV1_0047544","p.persica_gdr_reftransV1_0047544")</f>
        <v>p.persica_gdr_reftransV1_0047544</v>
      </c>
      <c r="B14074" s="2">
        <v>1497</v>
      </c>
      <c r="C14074" s="4" t="str">
        <f>HYPERLINK("http://www.uniprot.org/uniprot/M5X831","M5X831")</f>
        <v>M5X831</v>
      </c>
      <c r="D14074" s="2" t="s">
        <v>6746</v>
      </c>
      <c r="E14074" s="3">
        <v>0</v>
      </c>
      <c r="F14074" s="2">
        <v>1576</v>
      </c>
      <c r="G14074" s="2">
        <v>100</v>
      </c>
      <c r="H14074" s="2">
        <v>300</v>
      </c>
      <c r="I14074" s="2">
        <v>148</v>
      </c>
      <c r="J14074" s="2">
        <v>1047</v>
      </c>
      <c r="K14074" s="2">
        <v>1</v>
      </c>
      <c r="L14074" s="2">
        <v>300</v>
      </c>
    </row>
    <row r="14075" spans="1:12" x14ac:dyDescent="0.25">
      <c r="A14075" s="4" t="str">
        <f>HYPERLINK("http://www.rosaceae.org/Prunus/Prunus_persica/p.persica_gdr_reftransV1_0047894","p.persica_gdr_reftransV1_0047894")</f>
        <v>p.persica_gdr_reftransV1_0047894</v>
      </c>
      <c r="B14075" s="2">
        <v>593</v>
      </c>
      <c r="C14075" s="4" t="str">
        <f>HYPERLINK("http://www.uniprot.org/uniprot/M5VII2","M5VII2")</f>
        <v>M5VII2</v>
      </c>
      <c r="D14075" s="2" t="s">
        <v>5923</v>
      </c>
      <c r="E14075" s="3">
        <v>5.0499999999999997E-30</v>
      </c>
      <c r="F14075" s="2">
        <v>316</v>
      </c>
      <c r="G14075" s="2">
        <v>100</v>
      </c>
      <c r="H14075" s="2">
        <v>60</v>
      </c>
      <c r="I14075" s="2">
        <v>58</v>
      </c>
      <c r="J14075" s="2">
        <v>237</v>
      </c>
      <c r="K14075" s="2">
        <v>1</v>
      </c>
      <c r="L14075" s="2">
        <v>60</v>
      </c>
    </row>
    <row r="14076" spans="1:12" x14ac:dyDescent="0.25">
      <c r="A14076" s="4" t="str">
        <f>HYPERLINK("http://www.rosaceae.org/Prunus/Prunus_persica/p.persica_gdr_reftransV1_0048944","p.persica_gdr_reftransV1_0048944")</f>
        <v>p.persica_gdr_reftransV1_0048944</v>
      </c>
      <c r="B14076" s="2">
        <v>3944</v>
      </c>
      <c r="C14076" s="4" t="str">
        <f>HYPERLINK("http://www.uniprot.org/uniprot/M5WF33","M5WF33")</f>
        <v>M5WF33</v>
      </c>
      <c r="D14076" s="2" t="s">
        <v>11501</v>
      </c>
      <c r="E14076" s="3">
        <v>1.15E-156</v>
      </c>
      <c r="F14076" s="2">
        <v>1245</v>
      </c>
      <c r="G14076" s="2">
        <v>100</v>
      </c>
      <c r="H14076" s="2">
        <v>274</v>
      </c>
      <c r="I14076" s="2">
        <v>1810</v>
      </c>
      <c r="J14076" s="2">
        <v>2631</v>
      </c>
      <c r="K14076" s="2">
        <v>1</v>
      </c>
      <c r="L14076" s="2">
        <v>274</v>
      </c>
    </row>
    <row r="14077" spans="1:12" x14ac:dyDescent="0.25">
      <c r="A14077" s="4" t="str">
        <f>HYPERLINK("http://www.rosaceae.org/Prunus/Prunus_persica/p.persica_gdr_reftransV1_0000295","p.persica_gdr_reftransV1_0000295")</f>
        <v>p.persica_gdr_reftransV1_0000295</v>
      </c>
      <c r="B14077" s="2">
        <v>475</v>
      </c>
      <c r="C14077" s="4" t="str">
        <f>HYPERLINK("http://www.uniprot.org/uniprot/M5WEX0","M5WEX0")</f>
        <v>M5WEX0</v>
      </c>
      <c r="D14077" s="2" t="s">
        <v>11502</v>
      </c>
      <c r="E14077" s="3">
        <v>6.1499999999999996E-88</v>
      </c>
      <c r="F14077" s="2">
        <v>720</v>
      </c>
      <c r="G14077" s="2">
        <v>100</v>
      </c>
      <c r="H14077" s="2">
        <v>130</v>
      </c>
      <c r="I14077" s="2">
        <v>80</v>
      </c>
      <c r="J14077" s="2">
        <v>469</v>
      </c>
      <c r="K14077" s="2">
        <v>1</v>
      </c>
      <c r="L14077" s="2">
        <v>130</v>
      </c>
    </row>
    <row r="14078" spans="1:12" x14ac:dyDescent="0.25">
      <c r="A14078" s="4" t="str">
        <f>HYPERLINK("http://www.rosaceae.org/Prunus/Prunus_persica/p.persica_gdr_reftransV1_0000645","p.persica_gdr_reftransV1_0000645")</f>
        <v>p.persica_gdr_reftransV1_0000645</v>
      </c>
      <c r="B14078" s="2">
        <v>458</v>
      </c>
      <c r="C14078" s="4" t="str">
        <f>HYPERLINK("http://www.uniprot.org/uniprot/M5WIN2","M5WIN2")</f>
        <v>M5WIN2</v>
      </c>
      <c r="D14078" s="2" t="s">
        <v>3132</v>
      </c>
      <c r="E14078" s="3">
        <v>7.3799999999999998E-85</v>
      </c>
      <c r="F14078" s="2">
        <v>675</v>
      </c>
      <c r="G14078" s="2">
        <v>100</v>
      </c>
      <c r="H14078" s="2">
        <v>126</v>
      </c>
      <c r="I14078" s="2">
        <v>1</v>
      </c>
      <c r="J14078" s="2">
        <v>378</v>
      </c>
      <c r="K14078" s="2">
        <v>161</v>
      </c>
      <c r="L14078" s="2">
        <v>286</v>
      </c>
    </row>
    <row r="14079" spans="1:12" x14ac:dyDescent="0.25">
      <c r="A14079" s="4" t="str">
        <f>HYPERLINK("http://www.rosaceae.org/Prunus/Prunus_persica/p.persica_gdr_reftransV1_0000995","p.persica_gdr_reftransV1_0000995")</f>
        <v>p.persica_gdr_reftransV1_0000995</v>
      </c>
      <c r="B14079" s="2">
        <v>950</v>
      </c>
      <c r="C14079" s="4" t="str">
        <f>HYPERLINK("http://www.uniprot.org/uniprot/M5WCQ6","M5WCQ6")</f>
        <v>M5WCQ6</v>
      </c>
      <c r="D14079" s="2" t="s">
        <v>9010</v>
      </c>
      <c r="E14079" s="3">
        <v>8.9900000000000004E-133</v>
      </c>
      <c r="F14079" s="2">
        <v>997</v>
      </c>
      <c r="G14079" s="2">
        <v>89</v>
      </c>
      <c r="H14079" s="2">
        <v>219</v>
      </c>
      <c r="I14079" s="2">
        <v>369</v>
      </c>
      <c r="J14079" s="2">
        <v>950</v>
      </c>
      <c r="K14079" s="2">
        <v>1</v>
      </c>
      <c r="L14079" s="2">
        <v>219</v>
      </c>
    </row>
    <row r="14080" spans="1:12" x14ac:dyDescent="0.25">
      <c r="A14080" s="4" t="str">
        <f>HYPERLINK("http://www.rosaceae.org/Prunus/Prunus_persica/p.persica_gdr_reftransV1_0001695","p.persica_gdr_reftransV1_0001695")</f>
        <v>p.persica_gdr_reftransV1_0001695</v>
      </c>
      <c r="B14080" s="2">
        <v>893</v>
      </c>
      <c r="C14080" s="4" t="str">
        <f>HYPERLINK("http://www.uniprot.org/uniprot/M5VZZ1","M5VZZ1")</f>
        <v>M5VZZ1</v>
      </c>
      <c r="D14080" s="2" t="s">
        <v>11503</v>
      </c>
      <c r="E14080" s="3">
        <v>2.92E-177</v>
      </c>
      <c r="F14080" s="2">
        <v>1303</v>
      </c>
      <c r="G14080" s="2">
        <v>100</v>
      </c>
      <c r="H14080" s="2">
        <v>243</v>
      </c>
      <c r="I14080" s="2">
        <v>1</v>
      </c>
      <c r="J14080" s="2">
        <v>729</v>
      </c>
      <c r="K14080" s="2">
        <v>117</v>
      </c>
      <c r="L14080" s="2">
        <v>359</v>
      </c>
    </row>
    <row r="14081" spans="1:12" x14ac:dyDescent="0.25">
      <c r="A14081" s="4" t="str">
        <f>HYPERLINK("http://www.rosaceae.org/Prunus/Prunus_persica/p.persica_gdr_reftransV1_0002045","p.persica_gdr_reftransV1_0002045")</f>
        <v>p.persica_gdr_reftransV1_0002045</v>
      </c>
      <c r="B14081" s="2">
        <v>3077</v>
      </c>
      <c r="C14081" s="4" t="str">
        <f>HYPERLINK("http://www.uniprot.org/uniprot/M5XRP2","M5XRP2")</f>
        <v>M5XRP2</v>
      </c>
      <c r="D14081" s="2" t="s">
        <v>11504</v>
      </c>
      <c r="E14081" s="3">
        <v>0</v>
      </c>
      <c r="F14081" s="2">
        <v>4244</v>
      </c>
      <c r="G14081" s="2">
        <v>100</v>
      </c>
      <c r="H14081" s="2">
        <v>828</v>
      </c>
      <c r="I14081" s="2">
        <v>387</v>
      </c>
      <c r="J14081" s="2">
        <v>2870</v>
      </c>
      <c r="K14081" s="2">
        <v>1</v>
      </c>
      <c r="L14081" s="2">
        <v>828</v>
      </c>
    </row>
    <row r="14082" spans="1:12" x14ac:dyDescent="0.25">
      <c r="A14082" s="4" t="str">
        <f>HYPERLINK("http://www.rosaceae.org/Prunus/Prunus_persica/p.persica_gdr_reftransV1_0002395","p.persica_gdr_reftransV1_0002395")</f>
        <v>p.persica_gdr_reftransV1_0002395</v>
      </c>
      <c r="B14082" s="2">
        <v>480</v>
      </c>
      <c r="C14082" s="4" t="str">
        <f>HYPERLINK("http://www.uniprot.org/uniprot/M5X9Z0","M5X9Z0")</f>
        <v>M5X9Z0</v>
      </c>
      <c r="D14082" s="2" t="s">
        <v>5932</v>
      </c>
      <c r="E14082" s="3">
        <v>1.93E-81</v>
      </c>
      <c r="F14082" s="2">
        <v>660</v>
      </c>
      <c r="G14082" s="2">
        <v>100</v>
      </c>
      <c r="H14082" s="2">
        <v>124</v>
      </c>
      <c r="I14082" s="2">
        <v>3</v>
      </c>
      <c r="J14082" s="2">
        <v>374</v>
      </c>
      <c r="K14082" s="2">
        <v>314</v>
      </c>
      <c r="L14082" s="2">
        <v>437</v>
      </c>
    </row>
    <row r="14083" spans="1:12" x14ac:dyDescent="0.25">
      <c r="A14083" s="4" t="str">
        <f>HYPERLINK("http://www.rosaceae.org/Prunus/Prunus_persica/p.persica_gdr_reftransV1_0002745","p.persica_gdr_reftransV1_0002745")</f>
        <v>p.persica_gdr_reftransV1_0002745</v>
      </c>
      <c r="B14083" s="2">
        <v>1613</v>
      </c>
      <c r="C14083" s="4" t="str">
        <f>HYPERLINK("http://www.uniprot.org/uniprot/M5W2W3","M5W2W3")</f>
        <v>M5W2W3</v>
      </c>
      <c r="D14083" s="2" t="s">
        <v>11505</v>
      </c>
      <c r="E14083" s="3">
        <v>4.2199999999999996E-164</v>
      </c>
      <c r="F14083" s="2">
        <v>1229</v>
      </c>
      <c r="G14083" s="2">
        <v>100</v>
      </c>
      <c r="H14083" s="2">
        <v>243</v>
      </c>
      <c r="I14083" s="2">
        <v>627</v>
      </c>
      <c r="J14083" s="2">
        <v>1355</v>
      </c>
      <c r="K14083" s="2">
        <v>3</v>
      </c>
      <c r="L14083" s="2">
        <v>245</v>
      </c>
    </row>
    <row r="14084" spans="1:12" x14ac:dyDescent="0.25">
      <c r="A14084" s="4" t="str">
        <f>HYPERLINK("http://www.rosaceae.org/Prunus/Prunus_persica/p.persica_gdr_reftransV1_0003095","p.persica_gdr_reftransV1_0003095")</f>
        <v>p.persica_gdr_reftransV1_0003095</v>
      </c>
      <c r="B14084" s="2">
        <v>2181</v>
      </c>
      <c r="C14084" s="4" t="str">
        <f>HYPERLINK("http://www.uniprot.org/uniprot/M5WZA8","M5WZA8")</f>
        <v>M5WZA8</v>
      </c>
      <c r="D14084" s="2" t="s">
        <v>11506</v>
      </c>
      <c r="E14084" s="3">
        <v>0</v>
      </c>
      <c r="F14084" s="2">
        <v>2503</v>
      </c>
      <c r="G14084" s="2">
        <v>100</v>
      </c>
      <c r="H14084" s="2">
        <v>462</v>
      </c>
      <c r="I14084" s="2">
        <v>215</v>
      </c>
      <c r="J14084" s="2">
        <v>1600</v>
      </c>
      <c r="K14084" s="2">
        <v>1</v>
      </c>
      <c r="L14084" s="2">
        <v>462</v>
      </c>
    </row>
    <row r="14085" spans="1:12" x14ac:dyDescent="0.25">
      <c r="A14085" s="4" t="str">
        <f>HYPERLINK("http://www.rosaceae.org/Prunus/Prunus_persica/p.persica_gdr_reftransV1_0003445","p.persica_gdr_reftransV1_0003445")</f>
        <v>p.persica_gdr_reftransV1_0003445</v>
      </c>
      <c r="B14085" s="2">
        <v>690</v>
      </c>
      <c r="C14085" s="4" t="str">
        <f>HYPERLINK("http://www.uniprot.org/uniprot/M5WGF4","M5WGF4")</f>
        <v>M5WGF4</v>
      </c>
      <c r="D14085" s="2" t="s">
        <v>11507</v>
      </c>
      <c r="E14085" s="3">
        <v>5.6000000000000002E-141</v>
      </c>
      <c r="F14085" s="2">
        <v>1052</v>
      </c>
      <c r="G14085" s="2">
        <v>92</v>
      </c>
      <c r="H14085" s="2">
        <v>220</v>
      </c>
      <c r="I14085" s="2">
        <v>30</v>
      </c>
      <c r="J14085" s="2">
        <v>689</v>
      </c>
      <c r="K14085" s="2">
        <v>124</v>
      </c>
      <c r="L14085" s="2">
        <v>326</v>
      </c>
    </row>
    <row r="14086" spans="1:12" x14ac:dyDescent="0.25">
      <c r="A14086" s="4" t="str">
        <f>HYPERLINK("http://www.rosaceae.org/Prunus/Prunus_persica/p.persica_gdr_reftransV1_0003795","p.persica_gdr_reftransV1_0003795")</f>
        <v>p.persica_gdr_reftransV1_0003795</v>
      </c>
      <c r="B14086" s="2">
        <v>1428</v>
      </c>
      <c r="C14086" s="4" t="str">
        <f>HYPERLINK("http://www.uniprot.org/uniprot/M5XLM7","M5XLM7")</f>
        <v>M5XLM7</v>
      </c>
      <c r="D14086" s="2" t="s">
        <v>11508</v>
      </c>
      <c r="E14086" s="3">
        <v>0</v>
      </c>
      <c r="F14086" s="2">
        <v>1758</v>
      </c>
      <c r="G14086" s="2">
        <v>100</v>
      </c>
      <c r="H14086" s="2">
        <v>327</v>
      </c>
      <c r="I14086" s="2">
        <v>447</v>
      </c>
      <c r="J14086" s="2">
        <v>1427</v>
      </c>
      <c r="K14086" s="2">
        <v>1</v>
      </c>
      <c r="L14086" s="2">
        <v>327</v>
      </c>
    </row>
    <row r="14087" spans="1:12" x14ac:dyDescent="0.25">
      <c r="A14087" s="4" t="str">
        <f>HYPERLINK("http://www.rosaceae.org/Prunus/Prunus_persica/p.persica_gdr_reftransV1_0004145","p.persica_gdr_reftransV1_0004145")</f>
        <v>p.persica_gdr_reftransV1_0004145</v>
      </c>
      <c r="B14087" s="2">
        <v>1566</v>
      </c>
      <c r="C14087" s="4" t="str">
        <f>HYPERLINK("http://www.uniprot.org/uniprot/M5XUC1","M5XUC1")</f>
        <v>M5XUC1</v>
      </c>
      <c r="D14087" s="2" t="s">
        <v>11509</v>
      </c>
      <c r="E14087" s="3">
        <v>2.26E-156</v>
      </c>
      <c r="F14087" s="2">
        <v>1131</v>
      </c>
      <c r="G14087" s="2">
        <v>100</v>
      </c>
      <c r="H14087" s="2">
        <v>218</v>
      </c>
      <c r="I14087" s="2">
        <v>516</v>
      </c>
      <c r="J14087" s="2">
        <v>1169</v>
      </c>
      <c r="K14087" s="2">
        <v>101</v>
      </c>
      <c r="L14087" s="2">
        <v>318</v>
      </c>
    </row>
    <row r="14088" spans="1:12" x14ac:dyDescent="0.25">
      <c r="A14088" s="4" t="str">
        <f>HYPERLINK("http://www.rosaceae.org/Prunus/Prunus_persica/p.persica_gdr_reftransV1_0004845","p.persica_gdr_reftransV1_0004845")</f>
        <v>p.persica_gdr_reftransV1_0004845</v>
      </c>
      <c r="B14088" s="2">
        <v>1317</v>
      </c>
      <c r="C14088" s="4" t="str">
        <f>HYPERLINK("http://www.uniprot.org/uniprot/M5WFK9","M5WFK9")</f>
        <v>M5WFK9</v>
      </c>
      <c r="D14088" s="2" t="s">
        <v>11510</v>
      </c>
      <c r="E14088" s="3">
        <v>0</v>
      </c>
      <c r="F14088" s="2">
        <v>1376</v>
      </c>
      <c r="G14088" s="2">
        <v>100</v>
      </c>
      <c r="H14088" s="2">
        <v>279</v>
      </c>
      <c r="I14088" s="2">
        <v>373</v>
      </c>
      <c r="J14088" s="2">
        <v>1209</v>
      </c>
      <c r="K14088" s="2">
        <v>96</v>
      </c>
      <c r="L14088" s="2">
        <v>374</v>
      </c>
    </row>
    <row r="14089" spans="1:12" x14ac:dyDescent="0.25">
      <c r="A14089" s="4" t="str">
        <f>HYPERLINK("http://www.rosaceae.org/Prunus/Prunus_persica/p.persica_gdr_reftransV1_0005195","p.persica_gdr_reftransV1_0005195")</f>
        <v>p.persica_gdr_reftransV1_0005195</v>
      </c>
      <c r="B14089" s="2">
        <v>841</v>
      </c>
      <c r="C14089" s="4" t="str">
        <f>HYPERLINK("http://www.uniprot.org/uniprot/M5VJQ0","M5VJQ0")</f>
        <v>M5VJQ0</v>
      </c>
      <c r="D14089" s="2" t="s">
        <v>7383</v>
      </c>
      <c r="E14089" s="3">
        <v>1.17E-135</v>
      </c>
      <c r="F14089" s="2">
        <v>1061</v>
      </c>
      <c r="G14089" s="2">
        <v>77</v>
      </c>
      <c r="H14089" s="2">
        <v>283</v>
      </c>
      <c r="I14089" s="2">
        <v>14</v>
      </c>
      <c r="J14089" s="2">
        <v>841</v>
      </c>
      <c r="K14089" s="2">
        <v>131</v>
      </c>
      <c r="L14089" s="2">
        <v>379</v>
      </c>
    </row>
    <row r="14090" spans="1:12" x14ac:dyDescent="0.25">
      <c r="A14090" s="4" t="str">
        <f>HYPERLINK("http://www.rosaceae.org/Prunus/Prunus_persica/p.persica_gdr_reftransV1_0005545","p.persica_gdr_reftransV1_0005545")</f>
        <v>p.persica_gdr_reftransV1_0005545</v>
      </c>
      <c r="B14090" s="2">
        <v>949</v>
      </c>
      <c r="C14090" s="4" t="str">
        <f>HYPERLINK("http://www.uniprot.org/uniprot/M5WTP1","M5WTP1")</f>
        <v>M5WTP1</v>
      </c>
      <c r="D14090" s="2" t="s">
        <v>11511</v>
      </c>
      <c r="E14090" s="3">
        <v>0</v>
      </c>
      <c r="F14090" s="2">
        <v>1482</v>
      </c>
      <c r="G14090" s="2">
        <v>100</v>
      </c>
      <c r="H14090" s="2">
        <v>274</v>
      </c>
      <c r="I14090" s="2">
        <v>126</v>
      </c>
      <c r="J14090" s="2">
        <v>947</v>
      </c>
      <c r="K14090" s="2">
        <v>81</v>
      </c>
      <c r="L14090" s="2">
        <v>354</v>
      </c>
    </row>
    <row r="14091" spans="1:12" x14ac:dyDescent="0.25">
      <c r="A14091" s="4" t="str">
        <f>HYPERLINK("http://www.rosaceae.org/Prunus/Prunus_persica/p.persica_gdr_reftransV1_0006245","p.persica_gdr_reftransV1_0006245")</f>
        <v>p.persica_gdr_reftransV1_0006245</v>
      </c>
      <c r="B14091" s="2">
        <v>744</v>
      </c>
      <c r="C14091" s="4" t="str">
        <f>HYPERLINK("http://www.uniprot.org/uniprot/M5WF41","M5WF41")</f>
        <v>M5WF41</v>
      </c>
      <c r="D14091" s="2" t="s">
        <v>11512</v>
      </c>
      <c r="E14091" s="3">
        <v>1.2199999999999999E-103</v>
      </c>
      <c r="F14091" s="2">
        <v>797</v>
      </c>
      <c r="G14091" s="2">
        <v>100</v>
      </c>
      <c r="H14091" s="2">
        <v>167</v>
      </c>
      <c r="I14091" s="2">
        <v>244</v>
      </c>
      <c r="J14091" s="2">
        <v>744</v>
      </c>
      <c r="K14091" s="2">
        <v>43</v>
      </c>
      <c r="L14091" s="2">
        <v>209</v>
      </c>
    </row>
    <row r="14092" spans="1:12" x14ac:dyDescent="0.25">
      <c r="A14092" s="4" t="str">
        <f>HYPERLINK("http://www.rosaceae.org/Prunus/Prunus_persica/p.persica_gdr_reftransV1_0006595","p.persica_gdr_reftransV1_0006595")</f>
        <v>p.persica_gdr_reftransV1_0006595</v>
      </c>
      <c r="B14092" s="2">
        <v>540</v>
      </c>
      <c r="C14092" s="4" t="str">
        <f>HYPERLINK("http://www.uniprot.org/uniprot/M5XA68","M5XA68")</f>
        <v>M5XA68</v>
      </c>
      <c r="D14092" s="2" t="s">
        <v>6511</v>
      </c>
      <c r="E14092" s="3">
        <v>1.6E-78</v>
      </c>
      <c r="F14092" s="2">
        <v>629</v>
      </c>
      <c r="G14092" s="2">
        <v>100</v>
      </c>
      <c r="H14092" s="2">
        <v>146</v>
      </c>
      <c r="I14092" s="2">
        <v>102</v>
      </c>
      <c r="J14092" s="2">
        <v>539</v>
      </c>
      <c r="K14092" s="2">
        <v>1</v>
      </c>
      <c r="L14092" s="2">
        <v>146</v>
      </c>
    </row>
    <row r="14093" spans="1:12" x14ac:dyDescent="0.25">
      <c r="A14093" s="4" t="str">
        <f>HYPERLINK("http://www.rosaceae.org/Prunus/Prunus_persica/p.persica_gdr_reftransV1_0006945","p.persica_gdr_reftransV1_0006945")</f>
        <v>p.persica_gdr_reftransV1_0006945</v>
      </c>
      <c r="B14093" s="2">
        <v>467</v>
      </c>
      <c r="C14093" s="4" t="str">
        <f>HYPERLINK("http://www.uniprot.org/uniprot/M5X3E5","M5X3E5")</f>
        <v>M5X3E5</v>
      </c>
      <c r="D14093" s="2" t="s">
        <v>11513</v>
      </c>
      <c r="E14093" s="3">
        <v>4.0299999999999998E-80</v>
      </c>
      <c r="F14093" s="2">
        <v>668</v>
      </c>
      <c r="G14093" s="2">
        <v>91</v>
      </c>
      <c r="H14093" s="2">
        <v>155</v>
      </c>
      <c r="I14093" s="2">
        <v>1</v>
      </c>
      <c r="J14093" s="2">
        <v>465</v>
      </c>
      <c r="K14093" s="2">
        <v>279</v>
      </c>
      <c r="L14093" s="2">
        <v>433</v>
      </c>
    </row>
    <row r="14094" spans="1:12" x14ac:dyDescent="0.25">
      <c r="A14094" s="4" t="str">
        <f>HYPERLINK("http://www.rosaceae.org/Prunus/Prunus_persica/p.persica_gdr_reftransV1_0007295","p.persica_gdr_reftransV1_0007295")</f>
        <v>p.persica_gdr_reftransV1_0007295</v>
      </c>
      <c r="B14094" s="2">
        <v>728</v>
      </c>
      <c r="C14094" s="4" t="str">
        <f>HYPERLINK("http://www.uniprot.org/uniprot/G7I7H2","G7I7H2")</f>
        <v>G7I7H2</v>
      </c>
      <c r="D14094" s="2" t="s">
        <v>11514</v>
      </c>
      <c r="E14094" s="3">
        <v>6.2200000000000005E-17</v>
      </c>
      <c r="F14094" s="2">
        <v>208</v>
      </c>
      <c r="G14094" s="2">
        <v>39</v>
      </c>
      <c r="H14094" s="2">
        <v>153</v>
      </c>
      <c r="I14094" s="2">
        <v>122</v>
      </c>
      <c r="J14094" s="2">
        <v>538</v>
      </c>
      <c r="K14094" s="2">
        <v>1</v>
      </c>
      <c r="L14094" s="2">
        <v>152</v>
      </c>
    </row>
    <row r="14095" spans="1:12" x14ac:dyDescent="0.25">
      <c r="A14095" s="4" t="str">
        <f>HYPERLINK("http://www.rosaceae.org/Prunus/Prunus_persica/p.persica_gdr_reftransV1_0007645","p.persica_gdr_reftransV1_0007645")</f>
        <v>p.persica_gdr_reftransV1_0007645</v>
      </c>
      <c r="B14095" s="2">
        <v>1741</v>
      </c>
      <c r="C14095" s="4" t="str">
        <f>HYPERLINK("http://www.uniprot.org/uniprot/M5XCD4","M5XCD4")</f>
        <v>M5XCD4</v>
      </c>
      <c r="D14095" s="2" t="s">
        <v>11515</v>
      </c>
      <c r="E14095" s="3">
        <v>0</v>
      </c>
      <c r="F14095" s="2">
        <v>1797</v>
      </c>
      <c r="G14095" s="2">
        <v>93</v>
      </c>
      <c r="H14095" s="2">
        <v>405</v>
      </c>
      <c r="I14095" s="2">
        <v>396</v>
      </c>
      <c r="J14095" s="2">
        <v>1610</v>
      </c>
      <c r="K14095" s="2">
        <v>1</v>
      </c>
      <c r="L14095" s="2">
        <v>376</v>
      </c>
    </row>
    <row r="14096" spans="1:12" x14ac:dyDescent="0.25">
      <c r="A14096" s="4" t="str">
        <f>HYPERLINK("http://www.rosaceae.org/Prunus/Prunus_persica/p.persica_gdr_reftransV1_0007995","p.persica_gdr_reftransV1_0007995")</f>
        <v>p.persica_gdr_reftransV1_0007995</v>
      </c>
      <c r="B14096" s="2">
        <v>1173</v>
      </c>
      <c r="C14096" s="4" t="str">
        <f>HYPERLINK("http://www.uniprot.org/uniprot/M5Y9I5","M5Y9I5")</f>
        <v>M5Y9I5</v>
      </c>
      <c r="D14096" s="2" t="s">
        <v>11516</v>
      </c>
      <c r="E14096" s="3">
        <v>2.0700000000000001E-72</v>
      </c>
      <c r="F14096" s="2">
        <v>607</v>
      </c>
      <c r="G14096" s="2">
        <v>88</v>
      </c>
      <c r="H14096" s="2">
        <v>155</v>
      </c>
      <c r="I14096" s="2">
        <v>709</v>
      </c>
      <c r="J14096" s="2">
        <v>1173</v>
      </c>
      <c r="K14096" s="2">
        <v>111</v>
      </c>
      <c r="L14096" s="2">
        <v>246</v>
      </c>
    </row>
    <row r="14097" spans="1:12" x14ac:dyDescent="0.25">
      <c r="A14097" s="4" t="str">
        <f>HYPERLINK("http://www.rosaceae.org/Prunus/Prunus_persica/p.persica_gdr_reftransV1_0008345","p.persica_gdr_reftransV1_0008345")</f>
        <v>p.persica_gdr_reftransV1_0008345</v>
      </c>
      <c r="B14097" s="2">
        <v>623</v>
      </c>
      <c r="C14097" s="4" t="str">
        <f>HYPERLINK("http://www.uniprot.org/uniprot/M5WTR7","M5WTR7")</f>
        <v>M5WTR7</v>
      </c>
      <c r="D14097" s="2" t="s">
        <v>236</v>
      </c>
      <c r="E14097" s="3">
        <v>1.08E-59</v>
      </c>
      <c r="F14097" s="2">
        <v>513</v>
      </c>
      <c r="G14097" s="2">
        <v>100</v>
      </c>
      <c r="H14097" s="2">
        <v>157</v>
      </c>
      <c r="I14097" s="2">
        <v>151</v>
      </c>
      <c r="J14097" s="2">
        <v>621</v>
      </c>
      <c r="K14097" s="2">
        <v>1</v>
      </c>
      <c r="L14097" s="2">
        <v>157</v>
      </c>
    </row>
    <row r="14098" spans="1:12" x14ac:dyDescent="0.25">
      <c r="A14098" s="4" t="str">
        <f>HYPERLINK("http://www.rosaceae.org/Prunus/Prunus_persica/p.persica_gdr_reftransV1_0009395","p.persica_gdr_reftransV1_0009395")</f>
        <v>p.persica_gdr_reftransV1_0009395</v>
      </c>
      <c r="B14098" s="2">
        <v>656</v>
      </c>
      <c r="C14098" s="4" t="str">
        <f>HYPERLINK("http://www.uniprot.org/uniprot/M5WFT2","M5WFT2")</f>
        <v>M5WFT2</v>
      </c>
      <c r="D14098" s="2" t="s">
        <v>9856</v>
      </c>
      <c r="E14098" s="3">
        <v>4.4399999999999998E-104</v>
      </c>
      <c r="F14098" s="2">
        <v>812</v>
      </c>
      <c r="G14098" s="2">
        <v>100</v>
      </c>
      <c r="H14098" s="2">
        <v>150</v>
      </c>
      <c r="I14098" s="2">
        <v>2</v>
      </c>
      <c r="J14098" s="2">
        <v>451</v>
      </c>
      <c r="K14098" s="2">
        <v>1</v>
      </c>
      <c r="L14098" s="2">
        <v>150</v>
      </c>
    </row>
    <row r="14099" spans="1:12" x14ac:dyDescent="0.25">
      <c r="A14099" s="4" t="str">
        <f>HYPERLINK("http://www.rosaceae.org/Prunus/Prunus_persica/p.persica_gdr_reftransV1_0010095","p.persica_gdr_reftransV1_0010095")</f>
        <v>p.persica_gdr_reftransV1_0010095</v>
      </c>
      <c r="B14099" s="2">
        <v>1110</v>
      </c>
      <c r="C14099" s="4" t="str">
        <f>HYPERLINK("http://www.uniprot.org/uniprot/M5XD79","M5XD79")</f>
        <v>M5XD79</v>
      </c>
      <c r="D14099" s="2" t="s">
        <v>11517</v>
      </c>
      <c r="E14099" s="3">
        <v>1.3600000000000001E-162</v>
      </c>
      <c r="F14099" s="2">
        <v>1204</v>
      </c>
      <c r="G14099" s="2">
        <v>100</v>
      </c>
      <c r="H14099" s="2">
        <v>238</v>
      </c>
      <c r="I14099" s="2">
        <v>62</v>
      </c>
      <c r="J14099" s="2">
        <v>775</v>
      </c>
      <c r="K14099" s="2">
        <v>22</v>
      </c>
      <c r="L14099" s="2">
        <v>259</v>
      </c>
    </row>
    <row r="14100" spans="1:12" x14ac:dyDescent="0.25">
      <c r="A14100" s="4" t="str">
        <f>HYPERLINK("http://www.rosaceae.org/Prunus/Prunus_persica/p.persica_gdr_reftransV1_0010795","p.persica_gdr_reftransV1_0010795")</f>
        <v>p.persica_gdr_reftransV1_0010795</v>
      </c>
      <c r="B14100" s="2">
        <v>3753</v>
      </c>
      <c r="C14100" s="4" t="str">
        <f>HYPERLINK("http://www.uniprot.org/uniprot/M5VW37","M5VW37")</f>
        <v>M5VW37</v>
      </c>
      <c r="D14100" s="2" t="s">
        <v>10786</v>
      </c>
      <c r="E14100" s="3">
        <v>0</v>
      </c>
      <c r="F14100" s="2">
        <v>3420</v>
      </c>
      <c r="G14100" s="2">
        <v>91</v>
      </c>
      <c r="H14100" s="2">
        <v>751</v>
      </c>
      <c r="I14100" s="2">
        <v>1146</v>
      </c>
      <c r="J14100" s="2">
        <v>3398</v>
      </c>
      <c r="K14100" s="2">
        <v>175</v>
      </c>
      <c r="L14100" s="2">
        <v>862</v>
      </c>
    </row>
    <row r="14101" spans="1:12" x14ac:dyDescent="0.25">
      <c r="A14101" s="4" t="str">
        <f>HYPERLINK("http://www.rosaceae.org/Prunus/Prunus_persica/p.persica_gdr_reftransV1_0011145","p.persica_gdr_reftransV1_0011145")</f>
        <v>p.persica_gdr_reftransV1_0011145</v>
      </c>
      <c r="B14101" s="2">
        <v>2043</v>
      </c>
      <c r="C14101" s="4" t="str">
        <f>HYPERLINK("http://www.uniprot.org/uniprot/E0CUZ5","E0CUZ5")</f>
        <v>E0CUZ5</v>
      </c>
      <c r="D14101" s="2" t="s">
        <v>11518</v>
      </c>
      <c r="E14101" s="3">
        <v>5.1599999999999997E-166</v>
      </c>
      <c r="F14101" s="2">
        <v>1267</v>
      </c>
      <c r="G14101" s="2">
        <v>80</v>
      </c>
      <c r="H14101" s="2">
        <v>378</v>
      </c>
      <c r="I14101" s="2">
        <v>398</v>
      </c>
      <c r="J14101" s="2">
        <v>1525</v>
      </c>
      <c r="K14101" s="2">
        <v>1</v>
      </c>
      <c r="L14101" s="2">
        <v>358</v>
      </c>
    </row>
    <row r="14102" spans="1:12" x14ac:dyDescent="0.25">
      <c r="A14102" s="4" t="str">
        <f>HYPERLINK("http://www.rosaceae.org/Prunus/Prunus_persica/p.persica_gdr_reftransV1_0011495","p.persica_gdr_reftransV1_0011495")</f>
        <v>p.persica_gdr_reftransV1_0011495</v>
      </c>
      <c r="B14102" s="2">
        <v>1484</v>
      </c>
      <c r="C14102" s="4" t="str">
        <f>HYPERLINK("http://www.uniprot.org/uniprot/M5XMQ1","M5XMQ1")</f>
        <v>M5XMQ1</v>
      </c>
      <c r="D14102" s="2" t="s">
        <v>11519</v>
      </c>
      <c r="E14102" s="3">
        <v>0</v>
      </c>
      <c r="F14102" s="2">
        <v>1829</v>
      </c>
      <c r="G14102" s="2">
        <v>100</v>
      </c>
      <c r="H14102" s="2">
        <v>344</v>
      </c>
      <c r="I14102" s="2">
        <v>452</v>
      </c>
      <c r="J14102" s="2">
        <v>1483</v>
      </c>
      <c r="K14102" s="2">
        <v>1</v>
      </c>
      <c r="L14102" s="2">
        <v>344</v>
      </c>
    </row>
    <row r="14103" spans="1:12" x14ac:dyDescent="0.25">
      <c r="A14103" s="4" t="str">
        <f>HYPERLINK("http://www.rosaceae.org/Prunus/Prunus_persica/p.persica_gdr_reftransV1_0012195","p.persica_gdr_reftransV1_0012195")</f>
        <v>p.persica_gdr_reftransV1_0012195</v>
      </c>
      <c r="B14103" s="2">
        <v>790</v>
      </c>
      <c r="C14103" s="4" t="str">
        <f>HYPERLINK("http://www.uniprot.org/uniprot/M5WR76","M5WR76")</f>
        <v>M5WR76</v>
      </c>
      <c r="D14103" s="2" t="s">
        <v>11520</v>
      </c>
      <c r="E14103" s="3">
        <v>1.2E-53</v>
      </c>
      <c r="F14103" s="2">
        <v>461</v>
      </c>
      <c r="G14103" s="2">
        <v>100</v>
      </c>
      <c r="H14103" s="2">
        <v>106</v>
      </c>
      <c r="I14103" s="2">
        <v>65</v>
      </c>
      <c r="J14103" s="2">
        <v>382</v>
      </c>
      <c r="K14103" s="2">
        <v>41</v>
      </c>
      <c r="L14103" s="2">
        <v>146</v>
      </c>
    </row>
    <row r="14104" spans="1:12" x14ac:dyDescent="0.25">
      <c r="A14104" s="4" t="str">
        <f>HYPERLINK("http://www.rosaceae.org/Prunus/Prunus_persica/p.persica_gdr_reftransV1_0012895","p.persica_gdr_reftransV1_0012895")</f>
        <v>p.persica_gdr_reftransV1_0012895</v>
      </c>
      <c r="B14104" s="2">
        <v>1747</v>
      </c>
      <c r="C14104" s="4" t="str">
        <f>HYPERLINK("http://www.uniprot.org/uniprot/M5VMX2","M5VMX2")</f>
        <v>M5VMX2</v>
      </c>
      <c r="D14104" s="2" t="s">
        <v>11521</v>
      </c>
      <c r="E14104" s="3">
        <v>7.6199999999999997E-136</v>
      </c>
      <c r="F14104" s="2">
        <v>1048</v>
      </c>
      <c r="G14104" s="2">
        <v>85</v>
      </c>
      <c r="H14104" s="2">
        <v>272</v>
      </c>
      <c r="I14104" s="2">
        <v>109</v>
      </c>
      <c r="J14104" s="2">
        <v>924</v>
      </c>
      <c r="K14104" s="2">
        <v>1</v>
      </c>
      <c r="L14104" s="2">
        <v>235</v>
      </c>
    </row>
    <row r="14105" spans="1:12" x14ac:dyDescent="0.25">
      <c r="A14105" s="4" t="str">
        <f>HYPERLINK("http://www.rosaceae.org/Prunus/Prunus_persica/p.persica_gdr_reftransV1_0013595","p.persica_gdr_reftransV1_0013595")</f>
        <v>p.persica_gdr_reftransV1_0013595</v>
      </c>
      <c r="B14105" s="2">
        <v>3714</v>
      </c>
      <c r="C14105" s="4" t="str">
        <f>HYPERLINK("http://www.uniprot.org/uniprot/M5WGW0","M5WGW0")</f>
        <v>M5WGW0</v>
      </c>
      <c r="D14105" s="2" t="s">
        <v>11522</v>
      </c>
      <c r="E14105" s="3">
        <v>0</v>
      </c>
      <c r="F14105" s="2">
        <v>5881</v>
      </c>
      <c r="G14105" s="2">
        <v>97</v>
      </c>
      <c r="H14105" s="2">
        <v>1147</v>
      </c>
      <c r="I14105" s="2">
        <v>274</v>
      </c>
      <c r="J14105" s="2">
        <v>3714</v>
      </c>
      <c r="K14105" s="2">
        <v>8</v>
      </c>
      <c r="L14105" s="2">
        <v>1118</v>
      </c>
    </row>
    <row r="14106" spans="1:12" x14ac:dyDescent="0.25">
      <c r="A14106" s="4" t="str">
        <f>HYPERLINK("http://www.rosaceae.org/Prunus/Prunus_persica/p.persica_gdr_reftransV1_0013945","p.persica_gdr_reftransV1_0013945")</f>
        <v>p.persica_gdr_reftransV1_0013945</v>
      </c>
      <c r="B14106" s="2">
        <v>3850</v>
      </c>
      <c r="C14106" s="4" t="str">
        <f>HYPERLINK("http://www.uniprot.org/uniprot/M5W6B3","M5W6B3")</f>
        <v>M5W6B3</v>
      </c>
      <c r="D14106" s="2" t="s">
        <v>11523</v>
      </c>
      <c r="E14106" s="3">
        <v>0</v>
      </c>
      <c r="F14106" s="2">
        <v>2039</v>
      </c>
      <c r="G14106" s="2">
        <v>100</v>
      </c>
      <c r="H14106" s="2">
        <v>451</v>
      </c>
      <c r="I14106" s="2">
        <v>897</v>
      </c>
      <c r="J14106" s="2">
        <v>2249</v>
      </c>
      <c r="K14106" s="2">
        <v>377</v>
      </c>
      <c r="L14106" s="2">
        <v>827</v>
      </c>
    </row>
    <row r="14107" spans="1:12" x14ac:dyDescent="0.25">
      <c r="A14107" s="4" t="str">
        <f>HYPERLINK("http://www.rosaceae.org/Prunus/Prunus_persica/p.persica_gdr_reftransV1_0014295","p.persica_gdr_reftransV1_0014295")</f>
        <v>p.persica_gdr_reftransV1_0014295</v>
      </c>
      <c r="B14107" s="2">
        <v>1359</v>
      </c>
      <c r="C14107" s="4" t="str">
        <f>HYPERLINK("http://www.uniprot.org/uniprot/M5XLJ0","M5XLJ0")</f>
        <v>M5XLJ0</v>
      </c>
      <c r="D14107" s="2" t="s">
        <v>11524</v>
      </c>
      <c r="E14107" s="3">
        <v>4.7300000000000004E-171</v>
      </c>
      <c r="F14107" s="2">
        <v>1272</v>
      </c>
      <c r="G14107" s="2">
        <v>100</v>
      </c>
      <c r="H14107" s="2">
        <v>292</v>
      </c>
      <c r="I14107" s="2">
        <v>150</v>
      </c>
      <c r="J14107" s="2">
        <v>1025</v>
      </c>
      <c r="K14107" s="2">
        <v>1</v>
      </c>
      <c r="L14107" s="2">
        <v>292</v>
      </c>
    </row>
    <row r="14108" spans="1:12" x14ac:dyDescent="0.25">
      <c r="A14108" s="4" t="str">
        <f>HYPERLINK("http://www.rosaceae.org/Prunus/Prunus_persica/p.persica_gdr_reftransV1_0014645","p.persica_gdr_reftransV1_0014645")</f>
        <v>p.persica_gdr_reftransV1_0014645</v>
      </c>
      <c r="B14108" s="2">
        <v>2557</v>
      </c>
      <c r="C14108" s="4" t="str">
        <f>HYPERLINK("http://www.uniprot.org/uniprot/M5W073","M5W073")</f>
        <v>M5W073</v>
      </c>
      <c r="D14108" s="2" t="s">
        <v>8345</v>
      </c>
      <c r="E14108" s="3">
        <v>1.7999999999999999E-113</v>
      </c>
      <c r="F14108" s="2">
        <v>913</v>
      </c>
      <c r="G14108" s="2">
        <v>100</v>
      </c>
      <c r="H14108" s="2">
        <v>187</v>
      </c>
      <c r="I14108" s="2">
        <v>1805</v>
      </c>
      <c r="J14108" s="2">
        <v>2365</v>
      </c>
      <c r="K14108" s="2">
        <v>13</v>
      </c>
      <c r="L14108" s="2">
        <v>199</v>
      </c>
    </row>
    <row r="14109" spans="1:12" x14ac:dyDescent="0.25">
      <c r="A14109" s="4" t="str">
        <f>HYPERLINK("http://www.rosaceae.org/Prunus/Prunus_persica/p.persica_gdr_reftransV1_0014995","p.persica_gdr_reftransV1_0014995")</f>
        <v>p.persica_gdr_reftransV1_0014995</v>
      </c>
      <c r="B14109" s="2">
        <v>2582</v>
      </c>
      <c r="C14109" s="4" t="str">
        <f>HYPERLINK("http://www.uniprot.org/uniprot/M5WIM3","M5WIM3")</f>
        <v>M5WIM3</v>
      </c>
      <c r="D14109" s="2" t="s">
        <v>11525</v>
      </c>
      <c r="E14109" s="3">
        <v>1.8599999999999999E-73</v>
      </c>
      <c r="F14109" s="2">
        <v>653</v>
      </c>
      <c r="G14109" s="2">
        <v>94</v>
      </c>
      <c r="H14109" s="2">
        <v>198</v>
      </c>
      <c r="I14109" s="2">
        <v>1297</v>
      </c>
      <c r="J14109" s="2">
        <v>1890</v>
      </c>
      <c r="K14109" s="2">
        <v>97</v>
      </c>
      <c r="L14109" s="2">
        <v>294</v>
      </c>
    </row>
    <row r="14110" spans="1:12" x14ac:dyDescent="0.25">
      <c r="A14110" s="4" t="str">
        <f>HYPERLINK("http://www.rosaceae.org/Prunus/Prunus_persica/p.persica_gdr_reftransV1_0015695","p.persica_gdr_reftransV1_0015695")</f>
        <v>p.persica_gdr_reftransV1_0015695</v>
      </c>
      <c r="B14110" s="2">
        <v>3378</v>
      </c>
      <c r="C14110" s="4" t="str">
        <f>HYPERLINK("http://www.uniprot.org/uniprot/M5X2R8","M5X2R8")</f>
        <v>M5X2R8</v>
      </c>
      <c r="D14110" s="2" t="s">
        <v>11526</v>
      </c>
      <c r="E14110" s="3">
        <v>0</v>
      </c>
      <c r="F14110" s="2">
        <v>2601</v>
      </c>
      <c r="G14110" s="2">
        <v>99</v>
      </c>
      <c r="H14110" s="2">
        <v>507</v>
      </c>
      <c r="I14110" s="2">
        <v>167</v>
      </c>
      <c r="J14110" s="2">
        <v>1687</v>
      </c>
      <c r="K14110" s="2">
        <v>19</v>
      </c>
      <c r="L14110" s="2">
        <v>525</v>
      </c>
    </row>
    <row r="14111" spans="1:12" x14ac:dyDescent="0.25">
      <c r="A14111" s="4" t="str">
        <f>HYPERLINK("http://www.rosaceae.org/Prunus/Prunus_persica/p.persica_gdr_reftransV1_0016045","p.persica_gdr_reftransV1_0016045")</f>
        <v>p.persica_gdr_reftransV1_0016045</v>
      </c>
      <c r="B14111" s="2">
        <v>1721</v>
      </c>
      <c r="C14111" s="4" t="str">
        <f>HYPERLINK("http://www.uniprot.org/uniprot/A0A061DIE8","A0A061DIE8")</f>
        <v>A0A061DIE8</v>
      </c>
      <c r="D14111" s="2" t="s">
        <v>11527</v>
      </c>
      <c r="E14111" s="3">
        <v>0</v>
      </c>
      <c r="F14111" s="2">
        <v>1696</v>
      </c>
      <c r="G14111" s="2">
        <v>75</v>
      </c>
      <c r="H14111" s="2">
        <v>428</v>
      </c>
      <c r="I14111" s="2">
        <v>385</v>
      </c>
      <c r="J14111" s="2">
        <v>1659</v>
      </c>
      <c r="K14111" s="2">
        <v>1</v>
      </c>
      <c r="L14111" s="2">
        <v>424</v>
      </c>
    </row>
    <row r="14112" spans="1:12" x14ac:dyDescent="0.25">
      <c r="A14112" s="4" t="str">
        <f>HYPERLINK("http://www.rosaceae.org/Prunus/Prunus_persica/p.persica_gdr_reftransV1_0016745","p.persica_gdr_reftransV1_0016745")</f>
        <v>p.persica_gdr_reftransV1_0016745</v>
      </c>
      <c r="B14112" s="2">
        <v>1291</v>
      </c>
      <c r="C14112" s="4" t="str">
        <f>HYPERLINK("http://www.uniprot.org/uniprot/M5XRS4","M5XRS4")</f>
        <v>M5XRS4</v>
      </c>
      <c r="D14112" s="2" t="s">
        <v>11528</v>
      </c>
      <c r="E14112" s="3">
        <v>1.63E-154</v>
      </c>
      <c r="F14112" s="2">
        <v>1154</v>
      </c>
      <c r="G14112" s="2">
        <v>100</v>
      </c>
      <c r="H14112" s="2">
        <v>234</v>
      </c>
      <c r="I14112" s="2">
        <v>228</v>
      </c>
      <c r="J14112" s="2">
        <v>929</v>
      </c>
      <c r="K14112" s="2">
        <v>1</v>
      </c>
      <c r="L14112" s="2">
        <v>234</v>
      </c>
    </row>
    <row r="14113" spans="1:12" x14ac:dyDescent="0.25">
      <c r="A14113" s="4" t="str">
        <f>HYPERLINK("http://www.rosaceae.org/Prunus/Prunus_persica/p.persica_gdr_reftransV1_0018495","p.persica_gdr_reftransV1_0018495")</f>
        <v>p.persica_gdr_reftransV1_0018495</v>
      </c>
      <c r="B14113" s="2">
        <v>847</v>
      </c>
      <c r="C14113" s="4" t="str">
        <f>HYPERLINK("http://www.uniprot.org/uniprot/M5WHL7","M5WHL7")</f>
        <v>M5WHL7</v>
      </c>
      <c r="D14113" s="2" t="s">
        <v>2184</v>
      </c>
      <c r="E14113" s="3">
        <v>3.6400000000000001E-163</v>
      </c>
      <c r="F14113" s="2">
        <v>1268</v>
      </c>
      <c r="G14113" s="2">
        <v>100</v>
      </c>
      <c r="H14113" s="2">
        <v>232</v>
      </c>
      <c r="I14113" s="2">
        <v>1</v>
      </c>
      <c r="J14113" s="2">
        <v>696</v>
      </c>
      <c r="K14113" s="2">
        <v>1</v>
      </c>
      <c r="L14113" s="2">
        <v>232</v>
      </c>
    </row>
    <row r="14114" spans="1:12" x14ac:dyDescent="0.25">
      <c r="A14114" s="4" t="str">
        <f>HYPERLINK("http://www.rosaceae.org/Prunus/Prunus_persica/p.persica_gdr_reftransV1_0018845","p.persica_gdr_reftransV1_0018845")</f>
        <v>p.persica_gdr_reftransV1_0018845</v>
      </c>
      <c r="B14114" s="2">
        <v>2476</v>
      </c>
      <c r="C14114" s="4" t="str">
        <f>HYPERLINK("http://www.uniprot.org/uniprot/M5WTD1","M5WTD1")</f>
        <v>M5WTD1</v>
      </c>
      <c r="D14114" s="2" t="s">
        <v>11529</v>
      </c>
      <c r="E14114" s="3">
        <v>0</v>
      </c>
      <c r="F14114" s="2">
        <v>3190</v>
      </c>
      <c r="G14114" s="2">
        <v>99</v>
      </c>
      <c r="H14114" s="2">
        <v>679</v>
      </c>
      <c r="I14114" s="2">
        <v>103</v>
      </c>
      <c r="J14114" s="2">
        <v>2130</v>
      </c>
      <c r="K14114" s="2">
        <v>1</v>
      </c>
      <c r="L14114" s="2">
        <v>679</v>
      </c>
    </row>
    <row r="14115" spans="1:12" x14ac:dyDescent="0.25">
      <c r="A14115" s="4" t="str">
        <f>HYPERLINK("http://www.rosaceae.org/Prunus/Prunus_persica/p.persica_gdr_reftransV1_0020595","p.persica_gdr_reftransV1_0020595")</f>
        <v>p.persica_gdr_reftransV1_0020595</v>
      </c>
      <c r="B14115" s="2">
        <v>768</v>
      </c>
      <c r="C14115" s="4" t="str">
        <f>HYPERLINK("http://www.uniprot.org/uniprot/M5WVR7","M5WVR7")</f>
        <v>M5WVR7</v>
      </c>
      <c r="D14115" s="2" t="s">
        <v>11530</v>
      </c>
      <c r="E14115" s="3">
        <v>7.3600000000000006E-126</v>
      </c>
      <c r="F14115" s="2">
        <v>991</v>
      </c>
      <c r="G14115" s="2">
        <v>100</v>
      </c>
      <c r="H14115" s="2">
        <v>184</v>
      </c>
      <c r="I14115" s="2">
        <v>1</v>
      </c>
      <c r="J14115" s="2">
        <v>552</v>
      </c>
      <c r="K14115" s="2">
        <v>555</v>
      </c>
      <c r="L14115" s="2">
        <v>738</v>
      </c>
    </row>
    <row r="14116" spans="1:12" x14ac:dyDescent="0.25">
      <c r="A14116" s="4" t="str">
        <f>HYPERLINK("http://www.rosaceae.org/Prunus/Prunus_persica/p.persica_gdr_reftransV1_0022345","p.persica_gdr_reftransV1_0022345")</f>
        <v>p.persica_gdr_reftransV1_0022345</v>
      </c>
      <c r="B14116" s="2">
        <v>1605</v>
      </c>
      <c r="C14116" s="4" t="str">
        <f>HYPERLINK("http://www.uniprot.org/uniprot/M5VZD0","M5VZD0")</f>
        <v>M5VZD0</v>
      </c>
      <c r="D14116" s="2" t="s">
        <v>11531</v>
      </c>
      <c r="E14116" s="3">
        <v>0</v>
      </c>
      <c r="F14116" s="2">
        <v>1612</v>
      </c>
      <c r="G14116" s="2">
        <v>100</v>
      </c>
      <c r="H14116" s="2">
        <v>304</v>
      </c>
      <c r="I14116" s="2">
        <v>395</v>
      </c>
      <c r="J14116" s="2">
        <v>1306</v>
      </c>
      <c r="K14116" s="2">
        <v>1</v>
      </c>
      <c r="L14116" s="2">
        <v>304</v>
      </c>
    </row>
    <row r="14117" spans="1:12" x14ac:dyDescent="0.25">
      <c r="A14117" s="4" t="str">
        <f>HYPERLINK("http://www.rosaceae.org/Prunus/Prunus_persica/p.persica_gdr_reftransV1_0023045","p.persica_gdr_reftransV1_0023045")</f>
        <v>p.persica_gdr_reftransV1_0023045</v>
      </c>
      <c r="B14117" s="2">
        <v>735</v>
      </c>
      <c r="C14117" s="4" t="str">
        <f>HYPERLINK("http://www.uniprot.org/uniprot/M5XGA4","M5XGA4")</f>
        <v>M5XGA4</v>
      </c>
      <c r="D14117" s="2" t="s">
        <v>11532</v>
      </c>
      <c r="E14117" s="3">
        <v>1.0200000000000001E-149</v>
      </c>
      <c r="F14117" s="2">
        <v>1130</v>
      </c>
      <c r="G14117" s="2">
        <v>100</v>
      </c>
      <c r="H14117" s="2">
        <v>240</v>
      </c>
      <c r="I14117" s="2">
        <v>3</v>
      </c>
      <c r="J14117" s="2">
        <v>722</v>
      </c>
      <c r="K14117" s="2">
        <v>1</v>
      </c>
      <c r="L14117" s="2">
        <v>240</v>
      </c>
    </row>
    <row r="14118" spans="1:12" x14ac:dyDescent="0.25">
      <c r="A14118" s="4" t="str">
        <f>HYPERLINK("http://www.rosaceae.org/Prunus/Prunus_persica/p.persica_gdr_reftransV1_0023745","p.persica_gdr_reftransV1_0023745")</f>
        <v>p.persica_gdr_reftransV1_0023745</v>
      </c>
      <c r="B14118" s="2">
        <v>2129</v>
      </c>
      <c r="C14118" s="4" t="str">
        <f>HYPERLINK("http://www.uniprot.org/uniprot/M5XPI4","M5XPI4")</f>
        <v>M5XPI4</v>
      </c>
      <c r="D14118" s="2" t="s">
        <v>2889</v>
      </c>
      <c r="E14118" s="3">
        <v>0</v>
      </c>
      <c r="F14118" s="2">
        <v>1217</v>
      </c>
      <c r="G14118" s="2">
        <v>100</v>
      </c>
      <c r="H14118" s="2">
        <v>226</v>
      </c>
      <c r="I14118" s="2">
        <v>1157</v>
      </c>
      <c r="J14118" s="2">
        <v>1834</v>
      </c>
      <c r="K14118" s="2">
        <v>44</v>
      </c>
      <c r="L14118" s="2">
        <v>269</v>
      </c>
    </row>
    <row r="14119" spans="1:12" x14ac:dyDescent="0.25">
      <c r="A14119" s="4" t="str">
        <f>HYPERLINK("http://www.rosaceae.org/Prunus/Prunus_persica/p.persica_gdr_reftransV1_0025145","p.persica_gdr_reftransV1_0025145")</f>
        <v>p.persica_gdr_reftransV1_0025145</v>
      </c>
      <c r="B14119" s="2">
        <v>683</v>
      </c>
      <c r="C14119" s="4" t="str">
        <f>HYPERLINK("http://www.uniprot.org/uniprot/M5VVK1","M5VVK1")</f>
        <v>M5VVK1</v>
      </c>
      <c r="D14119" s="2" t="s">
        <v>11533</v>
      </c>
      <c r="E14119" s="3">
        <v>4.0800000000000004E-49</v>
      </c>
      <c r="F14119" s="2">
        <v>428</v>
      </c>
      <c r="G14119" s="2">
        <v>100</v>
      </c>
      <c r="H14119" s="2">
        <v>157</v>
      </c>
      <c r="I14119" s="2">
        <v>186</v>
      </c>
      <c r="J14119" s="2">
        <v>656</v>
      </c>
      <c r="K14119" s="2">
        <v>1</v>
      </c>
      <c r="L14119" s="2">
        <v>157</v>
      </c>
    </row>
    <row r="14120" spans="1:12" x14ac:dyDescent="0.25">
      <c r="A14120" s="4" t="str">
        <f>HYPERLINK("http://www.rosaceae.org/Prunus/Prunus_persica/p.persica_gdr_reftransV1_0026545","p.persica_gdr_reftransV1_0026545")</f>
        <v>p.persica_gdr_reftransV1_0026545</v>
      </c>
      <c r="B14120" s="2">
        <v>2966</v>
      </c>
      <c r="C14120" s="4" t="str">
        <f>HYPERLINK("http://www.uniprot.org/uniprot/M5XY86","M5XY86")</f>
        <v>M5XY86</v>
      </c>
      <c r="D14120" s="2" t="s">
        <v>11534</v>
      </c>
      <c r="E14120" s="3">
        <v>6.6300000000000004E-73</v>
      </c>
      <c r="F14120" s="2">
        <v>629</v>
      </c>
      <c r="G14120" s="2">
        <v>100</v>
      </c>
      <c r="H14120" s="2">
        <v>119</v>
      </c>
      <c r="I14120" s="2">
        <v>1468</v>
      </c>
      <c r="J14120" s="2">
        <v>1824</v>
      </c>
      <c r="K14120" s="2">
        <v>1</v>
      </c>
      <c r="L14120" s="2">
        <v>119</v>
      </c>
    </row>
    <row r="14121" spans="1:12" x14ac:dyDescent="0.25">
      <c r="A14121" s="4" t="str">
        <f>HYPERLINK("http://www.rosaceae.org/Prunus/Prunus_persica/p.persica_gdr_reftransV1_0028645","p.persica_gdr_reftransV1_0028645")</f>
        <v>p.persica_gdr_reftransV1_0028645</v>
      </c>
      <c r="B14121" s="2">
        <v>1128</v>
      </c>
      <c r="C14121" s="4" t="str">
        <f>HYPERLINK("http://www.uniprot.org/uniprot/M5WZC4","M5WZC4")</f>
        <v>M5WZC4</v>
      </c>
      <c r="D14121" s="2" t="s">
        <v>6769</v>
      </c>
      <c r="E14121" s="3">
        <v>5.8E-121</v>
      </c>
      <c r="F14121" s="2">
        <v>969</v>
      </c>
      <c r="G14121" s="2">
        <v>100</v>
      </c>
      <c r="H14121" s="2">
        <v>200</v>
      </c>
      <c r="I14121" s="2">
        <v>2</v>
      </c>
      <c r="J14121" s="2">
        <v>601</v>
      </c>
      <c r="K14121" s="2">
        <v>516</v>
      </c>
      <c r="L14121" s="2">
        <v>715</v>
      </c>
    </row>
    <row r="14122" spans="1:12" x14ac:dyDescent="0.25">
      <c r="A14122" s="4" t="str">
        <f>HYPERLINK("http://www.rosaceae.org/Prunus/Prunus_persica/p.persica_gdr_reftransV1_0029345","p.persica_gdr_reftransV1_0029345")</f>
        <v>p.persica_gdr_reftransV1_0029345</v>
      </c>
      <c r="B14122" s="2">
        <v>2420</v>
      </c>
      <c r="C14122" s="4" t="str">
        <f>HYPERLINK("http://www.uniprot.org/uniprot/M5XYV3","M5XYV3")</f>
        <v>M5XYV3</v>
      </c>
      <c r="D14122" s="2" t="s">
        <v>11535</v>
      </c>
      <c r="E14122" s="3">
        <v>0</v>
      </c>
      <c r="F14122" s="2">
        <v>1602</v>
      </c>
      <c r="G14122" s="2">
        <v>100</v>
      </c>
      <c r="H14122" s="2">
        <v>294</v>
      </c>
      <c r="I14122" s="2">
        <v>1046</v>
      </c>
      <c r="J14122" s="2">
        <v>1927</v>
      </c>
      <c r="K14122" s="2">
        <v>1</v>
      </c>
      <c r="L14122" s="2">
        <v>294</v>
      </c>
    </row>
    <row r="14123" spans="1:12" x14ac:dyDescent="0.25">
      <c r="A14123" s="4" t="str">
        <f>HYPERLINK("http://www.rosaceae.org/Prunus/Prunus_persica/p.persica_gdr_reftransV1_0029695","p.persica_gdr_reftransV1_0029695")</f>
        <v>p.persica_gdr_reftransV1_0029695</v>
      </c>
      <c r="B14123" s="2">
        <v>2373</v>
      </c>
      <c r="C14123" s="4" t="str">
        <f>HYPERLINK("http://www.uniprot.org/uniprot/M5X184","M5X184")</f>
        <v>M5X184</v>
      </c>
      <c r="D14123" s="2" t="s">
        <v>11536</v>
      </c>
      <c r="E14123" s="3">
        <v>0</v>
      </c>
      <c r="F14123" s="2">
        <v>2059</v>
      </c>
      <c r="G14123" s="2">
        <v>100</v>
      </c>
      <c r="H14123" s="2">
        <v>434</v>
      </c>
      <c r="I14123" s="2">
        <v>920</v>
      </c>
      <c r="J14123" s="2">
        <v>2221</v>
      </c>
      <c r="K14123" s="2">
        <v>1</v>
      </c>
      <c r="L14123" s="2">
        <v>434</v>
      </c>
    </row>
    <row r="14124" spans="1:12" x14ac:dyDescent="0.25">
      <c r="A14124" s="4" t="str">
        <f>HYPERLINK("http://www.rosaceae.org/Prunus/Prunus_persica/p.persica_gdr_reftransV1_0030395","p.persica_gdr_reftransV1_0030395")</f>
        <v>p.persica_gdr_reftransV1_0030395</v>
      </c>
      <c r="B14124" s="2">
        <v>3825</v>
      </c>
      <c r="C14124" s="4" t="str">
        <f>HYPERLINK("http://www.uniprot.org/uniprot/M5W891","M5W891")</f>
        <v>M5W891</v>
      </c>
      <c r="D14124" s="2" t="s">
        <v>11537</v>
      </c>
      <c r="E14124" s="3">
        <v>0</v>
      </c>
      <c r="F14124" s="2">
        <v>2874</v>
      </c>
      <c r="G14124" s="2">
        <v>99</v>
      </c>
      <c r="H14124" s="2">
        <v>570</v>
      </c>
      <c r="I14124" s="2">
        <v>2030</v>
      </c>
      <c r="J14124" s="2">
        <v>3739</v>
      </c>
      <c r="K14124" s="2">
        <v>1</v>
      </c>
      <c r="L14124" s="2">
        <v>570</v>
      </c>
    </row>
    <row r="14125" spans="1:12" x14ac:dyDescent="0.25">
      <c r="A14125" s="4" t="str">
        <f>HYPERLINK("http://www.rosaceae.org/Prunus/Prunus_persica/p.persica_gdr_reftransV1_0030745","p.persica_gdr_reftransV1_0030745")</f>
        <v>p.persica_gdr_reftransV1_0030745</v>
      </c>
      <c r="B14125" s="2">
        <v>4389</v>
      </c>
      <c r="C14125" s="4" t="str">
        <f>HYPERLINK("http://www.uniprot.org/uniprot/M5XKZ8","M5XKZ8")</f>
        <v>M5XKZ8</v>
      </c>
      <c r="D14125" s="2" t="s">
        <v>2126</v>
      </c>
      <c r="E14125" s="3">
        <v>0</v>
      </c>
      <c r="F14125" s="2">
        <v>2879</v>
      </c>
      <c r="G14125" s="2">
        <v>97</v>
      </c>
      <c r="H14125" s="2">
        <v>672</v>
      </c>
      <c r="I14125" s="2">
        <v>1786</v>
      </c>
      <c r="J14125" s="2">
        <v>3801</v>
      </c>
      <c r="K14125" s="2">
        <v>1</v>
      </c>
      <c r="L14125" s="2">
        <v>672</v>
      </c>
    </row>
    <row r="14126" spans="1:12" x14ac:dyDescent="0.25">
      <c r="A14126" s="4" t="str">
        <f>HYPERLINK("http://www.rosaceae.org/Prunus/Prunus_persica/p.persica_gdr_reftransV1_0032845","p.persica_gdr_reftransV1_0032845")</f>
        <v>p.persica_gdr_reftransV1_0032845</v>
      </c>
      <c r="B14126" s="2">
        <v>1551</v>
      </c>
      <c r="C14126" s="4" t="str">
        <f>HYPERLINK("http://www.uniprot.org/uniprot/M5WU19","M5WU19")</f>
        <v>M5WU19</v>
      </c>
      <c r="D14126" s="2" t="s">
        <v>11538</v>
      </c>
      <c r="E14126" s="3">
        <v>1.04E-84</v>
      </c>
      <c r="F14126" s="2">
        <v>712</v>
      </c>
      <c r="G14126" s="2">
        <v>96</v>
      </c>
      <c r="H14126" s="2">
        <v>202</v>
      </c>
      <c r="I14126" s="2">
        <v>183</v>
      </c>
      <c r="J14126" s="2">
        <v>788</v>
      </c>
      <c r="K14126" s="2">
        <v>3</v>
      </c>
      <c r="L14126" s="2">
        <v>204</v>
      </c>
    </row>
    <row r="14127" spans="1:12" x14ac:dyDescent="0.25">
      <c r="A14127" s="4" t="str">
        <f>HYPERLINK("http://www.rosaceae.org/Prunus/Prunus_persica/p.persica_gdr_reftransV1_0033545","p.persica_gdr_reftransV1_0033545")</f>
        <v>p.persica_gdr_reftransV1_0033545</v>
      </c>
      <c r="B14127" s="2">
        <v>1146</v>
      </c>
      <c r="C14127" s="4" t="str">
        <f>HYPERLINK("http://www.uniprot.org/uniprot/M5VTI7","M5VTI7")</f>
        <v>M5VTI7</v>
      </c>
      <c r="D14127" s="2" t="s">
        <v>2487</v>
      </c>
      <c r="E14127" s="3">
        <v>0</v>
      </c>
      <c r="F14127" s="2">
        <v>1985</v>
      </c>
      <c r="G14127" s="2">
        <v>100</v>
      </c>
      <c r="H14127" s="2">
        <v>381</v>
      </c>
      <c r="I14127" s="2">
        <v>2</v>
      </c>
      <c r="J14127" s="2">
        <v>1144</v>
      </c>
      <c r="K14127" s="2">
        <v>34</v>
      </c>
      <c r="L14127" s="2">
        <v>414</v>
      </c>
    </row>
    <row r="14128" spans="1:12" x14ac:dyDescent="0.25">
      <c r="A14128" s="4" t="str">
        <f>HYPERLINK("http://www.rosaceae.org/Prunus/Prunus_persica/p.persica_gdr_reftransV1_0037395","p.persica_gdr_reftransV1_0037395")</f>
        <v>p.persica_gdr_reftransV1_0037395</v>
      </c>
      <c r="B14128" s="2">
        <v>1782</v>
      </c>
      <c r="C14128" s="4" t="str">
        <f>HYPERLINK("http://www.uniprot.org/uniprot/M5XFN6","M5XFN6")</f>
        <v>M5XFN6</v>
      </c>
      <c r="D14128" s="2" t="s">
        <v>11539</v>
      </c>
      <c r="E14128" s="3">
        <v>1.6800000000000001E-92</v>
      </c>
      <c r="F14128" s="2">
        <v>758</v>
      </c>
      <c r="G14128" s="2">
        <v>76</v>
      </c>
      <c r="H14128" s="2">
        <v>209</v>
      </c>
      <c r="I14128" s="2">
        <v>189</v>
      </c>
      <c r="J14128" s="2">
        <v>815</v>
      </c>
      <c r="K14128" s="2">
        <v>92</v>
      </c>
      <c r="L14128" s="2">
        <v>250</v>
      </c>
    </row>
    <row r="14129" spans="1:12" x14ac:dyDescent="0.25">
      <c r="A14129" s="4" t="str">
        <f>HYPERLINK("http://www.rosaceae.org/Prunus/Prunus_persica/p.persica_gdr_reftransV1_0040895","p.persica_gdr_reftransV1_0040895")</f>
        <v>p.persica_gdr_reftransV1_0040895</v>
      </c>
      <c r="B14129" s="2">
        <v>3077</v>
      </c>
      <c r="C14129" s="4" t="str">
        <f>HYPERLINK("http://www.uniprot.org/uniprot/M5VIZ6","M5VIZ6")</f>
        <v>M5VIZ6</v>
      </c>
      <c r="D14129" s="2" t="s">
        <v>11540</v>
      </c>
      <c r="E14129" s="3">
        <v>0</v>
      </c>
      <c r="F14129" s="2">
        <v>1420</v>
      </c>
      <c r="G14129" s="2">
        <v>99</v>
      </c>
      <c r="H14129" s="2">
        <v>267</v>
      </c>
      <c r="I14129" s="2">
        <v>1864</v>
      </c>
      <c r="J14129" s="2">
        <v>2664</v>
      </c>
      <c r="K14129" s="2">
        <v>1</v>
      </c>
      <c r="L14129" s="2">
        <v>267</v>
      </c>
    </row>
    <row r="14130" spans="1:12" x14ac:dyDescent="0.25">
      <c r="A14130" s="4" t="str">
        <f>HYPERLINK("http://www.rosaceae.org/Prunus/Prunus_persica/p.persica_gdr_reftransV1_0043345","p.persica_gdr_reftransV1_0043345")</f>
        <v>p.persica_gdr_reftransV1_0043345</v>
      </c>
      <c r="B14130" s="2">
        <v>1135</v>
      </c>
      <c r="C14130" s="4" t="str">
        <f>HYPERLINK("http://www.uniprot.org/uniprot/M5WLT0","M5WLT0")</f>
        <v>M5WLT0</v>
      </c>
      <c r="D14130" s="2" t="s">
        <v>8360</v>
      </c>
      <c r="E14130" s="3">
        <v>0</v>
      </c>
      <c r="F14130" s="2">
        <v>1900</v>
      </c>
      <c r="G14130" s="2">
        <v>100</v>
      </c>
      <c r="H14130" s="2">
        <v>378</v>
      </c>
      <c r="I14130" s="2">
        <v>1</v>
      </c>
      <c r="J14130" s="2">
        <v>1134</v>
      </c>
      <c r="K14130" s="2">
        <v>58</v>
      </c>
      <c r="L14130" s="2">
        <v>435</v>
      </c>
    </row>
    <row r="14131" spans="1:12" x14ac:dyDescent="0.25">
      <c r="A14131" s="4" t="str">
        <f>HYPERLINK("http://www.rosaceae.org/Prunus/Prunus_persica/p.persica_gdr_reftransV1_0043695","p.persica_gdr_reftransV1_0043695")</f>
        <v>p.persica_gdr_reftransV1_0043695</v>
      </c>
      <c r="B14131" s="2">
        <v>604</v>
      </c>
      <c r="C14131" s="4" t="str">
        <f>HYPERLINK("http://www.uniprot.org/uniprot/M5W7V4","M5W7V4")</f>
        <v>M5W7V4</v>
      </c>
      <c r="D14131" s="2" t="s">
        <v>11541</v>
      </c>
      <c r="E14131" s="3">
        <v>2.1800000000000001E-140</v>
      </c>
      <c r="F14131" s="2">
        <v>1041</v>
      </c>
      <c r="G14131" s="2">
        <v>99</v>
      </c>
      <c r="H14131" s="2">
        <v>196</v>
      </c>
      <c r="I14131" s="2">
        <v>16</v>
      </c>
      <c r="J14131" s="2">
        <v>603</v>
      </c>
      <c r="K14131" s="2">
        <v>90</v>
      </c>
      <c r="L14131" s="2">
        <v>285</v>
      </c>
    </row>
    <row r="14132" spans="1:12" x14ac:dyDescent="0.25">
      <c r="A14132" s="4" t="str">
        <f>HYPERLINK("http://www.rosaceae.org/Prunus/Prunus_persica/p.persica_gdr_reftransV1_0044045","p.persica_gdr_reftransV1_0044045")</f>
        <v>p.persica_gdr_reftransV1_0044045</v>
      </c>
      <c r="B14132" s="2">
        <v>1397</v>
      </c>
      <c r="C14132" s="4" t="str">
        <f>HYPERLINK("http://www.uniprot.org/uniprot/M5XSY2","M5XSY2")</f>
        <v>M5XSY2</v>
      </c>
      <c r="D14132" s="2" t="s">
        <v>11542</v>
      </c>
      <c r="E14132" s="3">
        <v>5.2400000000000005E-162</v>
      </c>
      <c r="F14132" s="2">
        <v>1213</v>
      </c>
      <c r="G14132" s="2">
        <v>98</v>
      </c>
      <c r="H14132" s="2">
        <v>284</v>
      </c>
      <c r="I14132" s="2">
        <v>272</v>
      </c>
      <c r="J14132" s="2">
        <v>1123</v>
      </c>
      <c r="K14132" s="2">
        <v>1</v>
      </c>
      <c r="L14132" s="2">
        <v>277</v>
      </c>
    </row>
    <row r="14133" spans="1:12" x14ac:dyDescent="0.25">
      <c r="A14133" s="4" t="str">
        <f>HYPERLINK("http://www.rosaceae.org/Prunus/Prunus_persica/p.persica_gdr_reftransV1_0044395","p.persica_gdr_reftransV1_0044395")</f>
        <v>p.persica_gdr_reftransV1_0044395</v>
      </c>
      <c r="B14133" s="2">
        <v>1784</v>
      </c>
      <c r="C14133" s="4" t="str">
        <f>HYPERLINK("http://www.uniprot.org/uniprot/M5WSD7","M5WSD7")</f>
        <v>M5WSD7</v>
      </c>
      <c r="D14133" s="2" t="s">
        <v>11543</v>
      </c>
      <c r="E14133" s="3">
        <v>0</v>
      </c>
      <c r="F14133" s="2">
        <v>1861</v>
      </c>
      <c r="G14133" s="2">
        <v>100</v>
      </c>
      <c r="H14133" s="2">
        <v>369</v>
      </c>
      <c r="I14133" s="2">
        <v>439</v>
      </c>
      <c r="J14133" s="2">
        <v>1545</v>
      </c>
      <c r="K14133" s="2">
        <v>1</v>
      </c>
      <c r="L14133" s="2">
        <v>369</v>
      </c>
    </row>
    <row r="14134" spans="1:12" x14ac:dyDescent="0.25">
      <c r="A14134" s="4" t="str">
        <f>HYPERLINK("http://www.rosaceae.org/Prunus/Prunus_persica/p.persica_gdr_reftransV1_0044745","p.persica_gdr_reftransV1_0044745")</f>
        <v>p.persica_gdr_reftransV1_0044745</v>
      </c>
      <c r="B14134" s="2">
        <v>1902</v>
      </c>
      <c r="C14134" s="4" t="str">
        <f>HYPERLINK("http://www.uniprot.org/uniprot/M5VY48","M5VY48")</f>
        <v>M5VY48</v>
      </c>
      <c r="D14134" s="2" t="s">
        <v>8209</v>
      </c>
      <c r="E14134" s="3">
        <v>0</v>
      </c>
      <c r="F14134" s="2">
        <v>2146</v>
      </c>
      <c r="G14134" s="2">
        <v>100</v>
      </c>
      <c r="H14134" s="2">
        <v>463</v>
      </c>
      <c r="I14134" s="2">
        <v>216</v>
      </c>
      <c r="J14134" s="2">
        <v>1604</v>
      </c>
      <c r="K14134" s="2">
        <v>1</v>
      </c>
      <c r="L14134" s="2">
        <v>463</v>
      </c>
    </row>
    <row r="14135" spans="1:12" x14ac:dyDescent="0.25">
      <c r="A14135" s="4" t="str">
        <f>HYPERLINK("http://www.rosaceae.org/Prunus/Prunus_persica/p.persica_gdr_reftransV1_0045445","p.persica_gdr_reftransV1_0045445")</f>
        <v>p.persica_gdr_reftransV1_0045445</v>
      </c>
      <c r="B14135" s="2">
        <v>807</v>
      </c>
      <c r="C14135" s="4" t="str">
        <f>HYPERLINK("http://www.uniprot.org/uniprot/M5WA20","M5WA20")</f>
        <v>M5WA20</v>
      </c>
      <c r="D14135" s="2" t="s">
        <v>7606</v>
      </c>
      <c r="E14135" s="3">
        <v>1.3800000000000001E-52</v>
      </c>
      <c r="F14135" s="2">
        <v>453</v>
      </c>
      <c r="G14135" s="2">
        <v>83</v>
      </c>
      <c r="H14135" s="2">
        <v>113</v>
      </c>
      <c r="I14135" s="2">
        <v>456</v>
      </c>
      <c r="J14135" s="2">
        <v>740</v>
      </c>
      <c r="K14135" s="2">
        <v>37</v>
      </c>
      <c r="L14135" s="2">
        <v>149</v>
      </c>
    </row>
    <row r="14136" spans="1:12" x14ac:dyDescent="0.25">
      <c r="A14136" s="4" t="str">
        <f>HYPERLINK("http://www.rosaceae.org/Prunus/Prunus_persica/p.persica_gdr_reftransV1_0045795","p.persica_gdr_reftransV1_0045795")</f>
        <v>p.persica_gdr_reftransV1_0045795</v>
      </c>
      <c r="B14136" s="2">
        <v>959</v>
      </c>
      <c r="C14136" s="4" t="str">
        <f>HYPERLINK("http://www.uniprot.org/uniprot/M5WBH3","M5WBH3")</f>
        <v>M5WBH3</v>
      </c>
      <c r="D14136" s="2" t="s">
        <v>11544</v>
      </c>
      <c r="E14136" s="3">
        <v>3.5099999999999998E-172</v>
      </c>
      <c r="F14136" s="2">
        <v>1272</v>
      </c>
      <c r="G14136" s="2">
        <v>96</v>
      </c>
      <c r="H14136" s="2">
        <v>282</v>
      </c>
      <c r="I14136" s="2">
        <v>73</v>
      </c>
      <c r="J14136" s="2">
        <v>918</v>
      </c>
      <c r="K14136" s="2">
        <v>1</v>
      </c>
      <c r="L14136" s="2">
        <v>282</v>
      </c>
    </row>
    <row r="14137" spans="1:12" x14ac:dyDescent="0.25">
      <c r="A14137" s="4" t="str">
        <f>HYPERLINK("http://www.rosaceae.org/Prunus/Prunus_persica/p.persica_gdr_reftransV1_0046145","p.persica_gdr_reftransV1_0046145")</f>
        <v>p.persica_gdr_reftransV1_0046145</v>
      </c>
      <c r="B14137" s="2">
        <v>2059</v>
      </c>
      <c r="C14137" s="4" t="str">
        <f>HYPERLINK("http://www.uniprot.org/uniprot/M5VX34","M5VX34")</f>
        <v>M5VX34</v>
      </c>
      <c r="D14137" s="2" t="s">
        <v>2216</v>
      </c>
      <c r="E14137" s="3">
        <v>0</v>
      </c>
      <c r="F14137" s="2">
        <v>2583</v>
      </c>
      <c r="G14137" s="2">
        <v>100</v>
      </c>
      <c r="H14137" s="2">
        <v>572</v>
      </c>
      <c r="I14137" s="2">
        <v>147</v>
      </c>
      <c r="J14137" s="2">
        <v>1862</v>
      </c>
      <c r="K14137" s="2">
        <v>1</v>
      </c>
      <c r="L14137" s="2">
        <v>572</v>
      </c>
    </row>
    <row r="14138" spans="1:12" x14ac:dyDescent="0.25">
      <c r="A14138" s="4" t="str">
        <f>HYPERLINK("http://www.rosaceae.org/Prunus/Prunus_persica/p.persica_gdr_reftransV1_0046495","p.persica_gdr_reftransV1_0046495")</f>
        <v>p.persica_gdr_reftransV1_0046495</v>
      </c>
      <c r="B14138" s="2">
        <v>1124</v>
      </c>
      <c r="C14138" s="4" t="str">
        <f>HYPERLINK("http://www.uniprot.org/uniprot/M5VP34","M5VP34")</f>
        <v>M5VP34</v>
      </c>
      <c r="D14138" s="2" t="s">
        <v>11545</v>
      </c>
      <c r="E14138" s="3">
        <v>3.7100000000000001E-172</v>
      </c>
      <c r="F14138" s="2">
        <v>1266</v>
      </c>
      <c r="G14138" s="2">
        <v>100</v>
      </c>
      <c r="H14138" s="2">
        <v>252</v>
      </c>
      <c r="I14138" s="2">
        <v>283</v>
      </c>
      <c r="J14138" s="2">
        <v>1038</v>
      </c>
      <c r="K14138" s="2">
        <v>1</v>
      </c>
      <c r="L14138" s="2">
        <v>252</v>
      </c>
    </row>
    <row r="14139" spans="1:12" x14ac:dyDescent="0.25">
      <c r="A14139" s="4" t="str">
        <f>HYPERLINK("http://www.rosaceae.org/Prunus/Prunus_persica/p.persica_gdr_reftransV1_0047195","p.persica_gdr_reftransV1_0047195")</f>
        <v>p.persica_gdr_reftransV1_0047195</v>
      </c>
      <c r="B14139" s="2">
        <v>352</v>
      </c>
      <c r="C14139" s="4" t="str">
        <f>HYPERLINK("http://www.uniprot.org/uniprot/M5XDP5","M5XDP5")</f>
        <v>M5XDP5</v>
      </c>
      <c r="D14139" s="2" t="s">
        <v>1241</v>
      </c>
      <c r="E14139" s="3">
        <v>1.42E-36</v>
      </c>
      <c r="F14139" s="2">
        <v>352</v>
      </c>
      <c r="G14139" s="2">
        <v>76</v>
      </c>
      <c r="H14139" s="2">
        <v>104</v>
      </c>
      <c r="I14139" s="2">
        <v>2</v>
      </c>
      <c r="J14139" s="2">
        <v>313</v>
      </c>
      <c r="K14139" s="2">
        <v>19</v>
      </c>
      <c r="L14139" s="2">
        <v>115</v>
      </c>
    </row>
    <row r="14140" spans="1:12" x14ac:dyDescent="0.25">
      <c r="A14140" s="4" t="str">
        <f>HYPERLINK("http://www.rosaceae.org/Prunus/Prunus_persica/p.persica_gdr_reftransV1_0047545","p.persica_gdr_reftransV1_0047545")</f>
        <v>p.persica_gdr_reftransV1_0047545</v>
      </c>
      <c r="B14140" s="2">
        <v>506</v>
      </c>
      <c r="C14140" s="4" t="str">
        <f>HYPERLINK("http://www.uniprot.org/uniprot/M5WKA0","M5WKA0")</f>
        <v>M5WKA0</v>
      </c>
      <c r="D14140" s="2" t="s">
        <v>11546</v>
      </c>
      <c r="E14140" s="3">
        <v>2.1399999999999999E-97</v>
      </c>
      <c r="F14140" s="2">
        <v>767</v>
      </c>
      <c r="G14140" s="2">
        <v>100</v>
      </c>
      <c r="H14140" s="2">
        <v>143</v>
      </c>
      <c r="I14140" s="2">
        <v>2</v>
      </c>
      <c r="J14140" s="2">
        <v>430</v>
      </c>
      <c r="K14140" s="2">
        <v>296</v>
      </c>
      <c r="L14140" s="2">
        <v>438</v>
      </c>
    </row>
    <row r="14141" spans="1:12" x14ac:dyDescent="0.25">
      <c r="A14141" s="4" t="str">
        <f>HYPERLINK("http://www.rosaceae.org/Prunus/Prunus_persica/p.persica_gdr_reftransV1_0047895","p.persica_gdr_reftransV1_0047895")</f>
        <v>p.persica_gdr_reftransV1_0047895</v>
      </c>
      <c r="B14141" s="2">
        <v>1685</v>
      </c>
      <c r="C14141" s="4" t="str">
        <f>HYPERLINK("http://www.uniprot.org/uniprot/M5XD45","M5XD45")</f>
        <v>M5XD45</v>
      </c>
      <c r="D14141" s="2" t="s">
        <v>11547</v>
      </c>
      <c r="E14141" s="3">
        <v>0</v>
      </c>
      <c r="F14141" s="2">
        <v>1902</v>
      </c>
      <c r="G14141" s="2">
        <v>100</v>
      </c>
      <c r="H14141" s="2">
        <v>356</v>
      </c>
      <c r="I14141" s="2">
        <v>439</v>
      </c>
      <c r="J14141" s="2">
        <v>1506</v>
      </c>
      <c r="K14141" s="2">
        <v>1</v>
      </c>
      <c r="L14141" s="2">
        <v>356</v>
      </c>
    </row>
    <row r="14142" spans="1:12" x14ac:dyDescent="0.25">
      <c r="A14142" s="4" t="str">
        <f>HYPERLINK("http://www.rosaceae.org/Prunus/Prunus_persica/p.persica_gdr_reftransV1_0048245","p.persica_gdr_reftransV1_0048245")</f>
        <v>p.persica_gdr_reftransV1_0048245</v>
      </c>
      <c r="B14142" s="2">
        <v>1524</v>
      </c>
      <c r="C14142" s="4" t="str">
        <f>HYPERLINK("http://www.uniprot.org/uniprot/M5WAF0","M5WAF0")</f>
        <v>M5WAF0</v>
      </c>
      <c r="D14142" s="2" t="s">
        <v>1073</v>
      </c>
      <c r="E14142" s="3">
        <v>1.06E-144</v>
      </c>
      <c r="F14142" s="2">
        <v>1129</v>
      </c>
      <c r="G14142" s="2">
        <v>100</v>
      </c>
      <c r="H14142" s="2">
        <v>214</v>
      </c>
      <c r="I14142" s="2">
        <v>138</v>
      </c>
      <c r="J14142" s="2">
        <v>779</v>
      </c>
      <c r="K14142" s="2">
        <v>351</v>
      </c>
      <c r="L14142" s="2">
        <v>564</v>
      </c>
    </row>
    <row r="14143" spans="1:12" x14ac:dyDescent="0.25">
      <c r="A14143" s="4" t="str">
        <f>HYPERLINK("http://www.rosaceae.org/Prunus/Prunus_persica/p.persica_gdr_reftransV1_0048945","p.persica_gdr_reftransV1_0048945")</f>
        <v>p.persica_gdr_reftransV1_0048945</v>
      </c>
      <c r="B14143" s="2">
        <v>947</v>
      </c>
      <c r="C14143" s="4" t="str">
        <f>HYPERLINK("http://www.uniprot.org/uniprot/M5XQA0","M5XQA0")</f>
        <v>M5XQA0</v>
      </c>
      <c r="D14143" s="2" t="s">
        <v>11548</v>
      </c>
      <c r="E14143" s="3">
        <v>3.7100000000000002E-76</v>
      </c>
      <c r="F14143" s="2">
        <v>627</v>
      </c>
      <c r="G14143" s="2">
        <v>98</v>
      </c>
      <c r="H14143" s="2">
        <v>120</v>
      </c>
      <c r="I14143" s="2">
        <v>1</v>
      </c>
      <c r="J14143" s="2">
        <v>360</v>
      </c>
      <c r="K14143" s="2">
        <v>131</v>
      </c>
      <c r="L14143" s="2">
        <v>250</v>
      </c>
    </row>
    <row r="14144" spans="1:12" x14ac:dyDescent="0.25">
      <c r="A14144" s="4" t="str">
        <f>HYPERLINK("http://www.rosaceae.org/Prunus/Prunus_persica/p.persica_gdr_reftransV1_0000296","p.persica_gdr_reftransV1_0000296")</f>
        <v>p.persica_gdr_reftransV1_0000296</v>
      </c>
      <c r="B14144" s="2">
        <v>793</v>
      </c>
      <c r="C14144" s="4" t="str">
        <f>HYPERLINK("http://www.uniprot.org/uniprot/M5XU29","M5XU29")</f>
        <v>M5XU29</v>
      </c>
      <c r="D14144" s="2" t="s">
        <v>11549</v>
      </c>
      <c r="E14144" s="3">
        <v>1.6899999999999999E-70</v>
      </c>
      <c r="F14144" s="2">
        <v>580</v>
      </c>
      <c r="G14144" s="2">
        <v>100</v>
      </c>
      <c r="H14144" s="2">
        <v>183</v>
      </c>
      <c r="I14144" s="2">
        <v>243</v>
      </c>
      <c r="J14144" s="2">
        <v>791</v>
      </c>
      <c r="K14144" s="2">
        <v>43</v>
      </c>
      <c r="L14144" s="2">
        <v>225</v>
      </c>
    </row>
    <row r="14145" spans="1:12" x14ac:dyDescent="0.25">
      <c r="A14145" s="4" t="str">
        <f>HYPERLINK("http://www.rosaceae.org/Prunus/Prunus_persica/p.persica_gdr_reftransV1_0000996","p.persica_gdr_reftransV1_0000996")</f>
        <v>p.persica_gdr_reftransV1_0000996</v>
      </c>
      <c r="B14145" s="2">
        <v>2017</v>
      </c>
      <c r="C14145" s="4" t="str">
        <f>HYPERLINK("http://www.uniprot.org/uniprot/M5WH01","M5WH01")</f>
        <v>M5WH01</v>
      </c>
      <c r="D14145" s="2" t="s">
        <v>11550</v>
      </c>
      <c r="E14145" s="3">
        <v>8.2399999999999995E-145</v>
      </c>
      <c r="F14145" s="2">
        <v>1115</v>
      </c>
      <c r="G14145" s="2">
        <v>100</v>
      </c>
      <c r="H14145" s="2">
        <v>255</v>
      </c>
      <c r="I14145" s="2">
        <v>1181</v>
      </c>
      <c r="J14145" s="2">
        <v>1945</v>
      </c>
      <c r="K14145" s="2">
        <v>1</v>
      </c>
      <c r="L14145" s="2">
        <v>255</v>
      </c>
    </row>
    <row r="14146" spans="1:12" x14ac:dyDescent="0.25">
      <c r="A14146" s="4" t="str">
        <f>HYPERLINK("http://www.rosaceae.org/Prunus/Prunus_persica/p.persica_gdr_reftransV1_0001346","p.persica_gdr_reftransV1_0001346")</f>
        <v>p.persica_gdr_reftransV1_0001346</v>
      </c>
      <c r="B14146" s="2">
        <v>2194</v>
      </c>
      <c r="C14146" s="4" t="str">
        <f>HYPERLINK("http://www.uniprot.org/uniprot/M5XE06","M5XE06")</f>
        <v>M5XE06</v>
      </c>
      <c r="D14146" s="2" t="s">
        <v>11551</v>
      </c>
      <c r="E14146" s="3">
        <v>0</v>
      </c>
      <c r="F14146" s="2">
        <v>1660</v>
      </c>
      <c r="G14146" s="2">
        <v>97</v>
      </c>
      <c r="H14146" s="2">
        <v>343</v>
      </c>
      <c r="I14146" s="2">
        <v>49</v>
      </c>
      <c r="J14146" s="2">
        <v>1059</v>
      </c>
      <c r="K14146" s="2">
        <v>1</v>
      </c>
      <c r="L14146" s="2">
        <v>343</v>
      </c>
    </row>
    <row r="14147" spans="1:12" x14ac:dyDescent="0.25">
      <c r="A14147" s="4" t="str">
        <f>HYPERLINK("http://www.rosaceae.org/Prunus/Prunus_persica/p.persica_gdr_reftransV1_0001696","p.persica_gdr_reftransV1_0001696")</f>
        <v>p.persica_gdr_reftransV1_0001696</v>
      </c>
      <c r="B14147" s="2">
        <v>3616</v>
      </c>
      <c r="C14147" s="4" t="str">
        <f>HYPERLINK("http://www.uniprot.org/uniprot/M5VVC5","M5VVC5")</f>
        <v>M5VVC5</v>
      </c>
      <c r="D14147" s="2" t="s">
        <v>1828</v>
      </c>
      <c r="E14147" s="3">
        <v>0</v>
      </c>
      <c r="F14147" s="2">
        <v>6121</v>
      </c>
      <c r="G14147" s="2">
        <v>100</v>
      </c>
      <c r="H14147" s="2">
        <v>1205</v>
      </c>
      <c r="I14147" s="2">
        <v>1</v>
      </c>
      <c r="J14147" s="2">
        <v>3615</v>
      </c>
      <c r="K14147" s="2">
        <v>980</v>
      </c>
      <c r="L14147" s="2">
        <v>2184</v>
      </c>
    </row>
    <row r="14148" spans="1:12" x14ac:dyDescent="0.25">
      <c r="A14148" s="4" t="str">
        <f>HYPERLINK("http://www.rosaceae.org/Prunus/Prunus_persica/p.persica_gdr_reftransV1_0002046","p.persica_gdr_reftransV1_0002046")</f>
        <v>p.persica_gdr_reftransV1_0002046</v>
      </c>
      <c r="B14148" s="2">
        <v>488</v>
      </c>
      <c r="C14148" s="4" t="str">
        <f>HYPERLINK("http://www.uniprot.org/uniprot/M5VNN2","M5VNN2")</f>
        <v>M5VNN2</v>
      </c>
      <c r="D14148" s="2" t="s">
        <v>1135</v>
      </c>
      <c r="E14148" s="3">
        <v>8.8899999999999994E-31</v>
      </c>
      <c r="F14148" s="2">
        <v>321</v>
      </c>
      <c r="G14148" s="2">
        <v>100</v>
      </c>
      <c r="H14148" s="2">
        <v>81</v>
      </c>
      <c r="I14148" s="2">
        <v>77</v>
      </c>
      <c r="J14148" s="2">
        <v>319</v>
      </c>
      <c r="K14148" s="2">
        <v>822</v>
      </c>
      <c r="L14148" s="2">
        <v>902</v>
      </c>
    </row>
    <row r="14149" spans="1:12" x14ac:dyDescent="0.25">
      <c r="A14149" s="4" t="str">
        <f>HYPERLINK("http://www.rosaceae.org/Prunus/Prunus_persica/p.persica_gdr_reftransV1_0002396","p.persica_gdr_reftransV1_0002396")</f>
        <v>p.persica_gdr_reftransV1_0002396</v>
      </c>
      <c r="B14149" s="2">
        <v>461</v>
      </c>
      <c r="C14149" s="4" t="str">
        <f>HYPERLINK("http://www.uniprot.org/uniprot/W8GSL1","W8GSL1")</f>
        <v>W8GSL1</v>
      </c>
      <c r="D14149" s="2" t="s">
        <v>11338</v>
      </c>
      <c r="E14149" s="3">
        <v>8.4099999999999999E-85</v>
      </c>
      <c r="F14149" s="2">
        <v>723</v>
      </c>
      <c r="G14149" s="2">
        <v>99</v>
      </c>
      <c r="H14149" s="2">
        <v>153</v>
      </c>
      <c r="I14149" s="2">
        <v>3</v>
      </c>
      <c r="J14149" s="2">
        <v>461</v>
      </c>
      <c r="K14149" s="2">
        <v>637</v>
      </c>
      <c r="L14149" s="2">
        <v>789</v>
      </c>
    </row>
    <row r="14150" spans="1:12" x14ac:dyDescent="0.25">
      <c r="A14150" s="4" t="str">
        <f>HYPERLINK("http://www.rosaceae.org/Prunus/Prunus_persica/p.persica_gdr_reftransV1_0002746","p.persica_gdr_reftransV1_0002746")</f>
        <v>p.persica_gdr_reftransV1_0002746</v>
      </c>
      <c r="B14150" s="2">
        <v>2577</v>
      </c>
      <c r="C14150" s="4" t="str">
        <f>HYPERLINK("http://www.uniprot.org/uniprot/M5XLQ2","M5XLQ2")</f>
        <v>M5XLQ2</v>
      </c>
      <c r="D14150" s="2" t="s">
        <v>8863</v>
      </c>
      <c r="E14150" s="3">
        <v>0</v>
      </c>
      <c r="F14150" s="2">
        <v>3233</v>
      </c>
      <c r="G14150" s="2">
        <v>100</v>
      </c>
      <c r="H14150" s="2">
        <v>638</v>
      </c>
      <c r="I14150" s="2">
        <v>333</v>
      </c>
      <c r="J14150" s="2">
        <v>2246</v>
      </c>
      <c r="K14150" s="2">
        <v>1</v>
      </c>
      <c r="L14150" s="2">
        <v>638</v>
      </c>
    </row>
    <row r="14151" spans="1:12" x14ac:dyDescent="0.25">
      <c r="A14151" s="4" t="str">
        <f>HYPERLINK("http://www.rosaceae.org/Prunus/Prunus_persica/p.persica_gdr_reftransV1_0004146","p.persica_gdr_reftransV1_0004146")</f>
        <v>p.persica_gdr_reftransV1_0004146</v>
      </c>
      <c r="B14151" s="2">
        <v>4615</v>
      </c>
      <c r="C14151" s="4" t="str">
        <f>HYPERLINK("http://www.uniprot.org/uniprot/M5W9P2","M5W9P2")</f>
        <v>M5W9P2</v>
      </c>
      <c r="D14151" s="2" t="s">
        <v>11552</v>
      </c>
      <c r="E14151" s="3">
        <v>0</v>
      </c>
      <c r="F14151" s="2">
        <v>6446</v>
      </c>
      <c r="G14151" s="2">
        <v>96</v>
      </c>
      <c r="H14151" s="2">
        <v>1452</v>
      </c>
      <c r="I14151" s="2">
        <v>62</v>
      </c>
      <c r="J14151" s="2">
        <v>4417</v>
      </c>
      <c r="K14151" s="2">
        <v>1</v>
      </c>
      <c r="L14151" s="2">
        <v>1399</v>
      </c>
    </row>
    <row r="14152" spans="1:12" x14ac:dyDescent="0.25">
      <c r="A14152" s="4" t="str">
        <f>HYPERLINK("http://www.rosaceae.org/Prunus/Prunus_persica/p.persica_gdr_reftransV1_0004496","p.persica_gdr_reftransV1_0004496")</f>
        <v>p.persica_gdr_reftransV1_0004496</v>
      </c>
      <c r="B14152" s="2">
        <v>632</v>
      </c>
      <c r="C14152" s="4" t="str">
        <f>HYPERLINK("http://www.uniprot.org/uniprot/M5XIB9","M5XIB9")</f>
        <v>M5XIB9</v>
      </c>
      <c r="D14152" s="2" t="s">
        <v>11553</v>
      </c>
      <c r="E14152" s="3">
        <v>3.66E-112</v>
      </c>
      <c r="F14152" s="2">
        <v>891</v>
      </c>
      <c r="G14152" s="2">
        <v>100</v>
      </c>
      <c r="H14152" s="2">
        <v>182</v>
      </c>
      <c r="I14152" s="2">
        <v>87</v>
      </c>
      <c r="J14152" s="2">
        <v>632</v>
      </c>
      <c r="K14152" s="2">
        <v>517</v>
      </c>
      <c r="L14152" s="2">
        <v>698</v>
      </c>
    </row>
    <row r="14153" spans="1:12" x14ac:dyDescent="0.25">
      <c r="A14153" s="4" t="str">
        <f>HYPERLINK("http://www.rosaceae.org/Prunus/Prunus_persica/p.persica_gdr_reftransV1_0005196","p.persica_gdr_reftransV1_0005196")</f>
        <v>p.persica_gdr_reftransV1_0005196</v>
      </c>
      <c r="B14153" s="2">
        <v>1769</v>
      </c>
      <c r="C14153" s="4" t="str">
        <f>HYPERLINK("http://www.uniprot.org/uniprot/M5X9L3","M5X9L3")</f>
        <v>M5X9L3</v>
      </c>
      <c r="D14153" s="2" t="s">
        <v>10129</v>
      </c>
      <c r="E14153" s="3">
        <v>0</v>
      </c>
      <c r="F14153" s="2">
        <v>1692</v>
      </c>
      <c r="G14153" s="2">
        <v>100</v>
      </c>
      <c r="H14153" s="2">
        <v>339</v>
      </c>
      <c r="I14153" s="2">
        <v>348</v>
      </c>
      <c r="J14153" s="2">
        <v>1364</v>
      </c>
      <c r="K14153" s="2">
        <v>362</v>
      </c>
      <c r="L14153" s="2">
        <v>700</v>
      </c>
    </row>
    <row r="14154" spans="1:12" x14ac:dyDescent="0.25">
      <c r="A14154" s="4" t="str">
        <f>HYPERLINK("http://www.rosaceae.org/Prunus/Prunus_persica/p.persica_gdr_reftransV1_0005546","p.persica_gdr_reftransV1_0005546")</f>
        <v>p.persica_gdr_reftransV1_0005546</v>
      </c>
      <c r="B14154" s="2">
        <v>1627</v>
      </c>
      <c r="C14154" s="4" t="str">
        <f>HYPERLINK("http://www.uniprot.org/uniprot/M5WC56","M5WC56")</f>
        <v>M5WC56</v>
      </c>
      <c r="D14154" s="2" t="s">
        <v>11554</v>
      </c>
      <c r="E14154" s="3">
        <v>1.1200000000000001E-158</v>
      </c>
      <c r="F14154" s="2">
        <v>1199</v>
      </c>
      <c r="G14154" s="2">
        <v>100</v>
      </c>
      <c r="H14154" s="2">
        <v>288</v>
      </c>
      <c r="I14154" s="2">
        <v>357</v>
      </c>
      <c r="J14154" s="2">
        <v>1220</v>
      </c>
      <c r="K14154" s="2">
        <v>10</v>
      </c>
      <c r="L14154" s="2">
        <v>297</v>
      </c>
    </row>
    <row r="14155" spans="1:12" x14ac:dyDescent="0.25">
      <c r="A14155" s="4" t="str">
        <f>HYPERLINK("http://www.rosaceae.org/Prunus/Prunus_persica/p.persica_gdr_reftransV1_0005896","p.persica_gdr_reftransV1_0005896")</f>
        <v>p.persica_gdr_reftransV1_0005896</v>
      </c>
      <c r="B14155" s="2">
        <v>1132</v>
      </c>
      <c r="C14155" s="4" t="str">
        <f>HYPERLINK("http://www.uniprot.org/uniprot/M5XAU5","M5XAU5")</f>
        <v>M5XAU5</v>
      </c>
      <c r="D14155" s="2" t="s">
        <v>2139</v>
      </c>
      <c r="E14155" s="3">
        <v>0</v>
      </c>
      <c r="F14155" s="2">
        <v>1970</v>
      </c>
      <c r="G14155" s="2">
        <v>100</v>
      </c>
      <c r="H14155" s="2">
        <v>370</v>
      </c>
      <c r="I14155" s="2">
        <v>22</v>
      </c>
      <c r="J14155" s="2">
        <v>1131</v>
      </c>
      <c r="K14155" s="2">
        <v>1</v>
      </c>
      <c r="L14155" s="2">
        <v>370</v>
      </c>
    </row>
    <row r="14156" spans="1:12" x14ac:dyDescent="0.25">
      <c r="A14156" s="4" t="str">
        <f>HYPERLINK("http://www.rosaceae.org/Prunus/Prunus_persica/p.persica_gdr_reftransV1_0006246","p.persica_gdr_reftransV1_0006246")</f>
        <v>p.persica_gdr_reftransV1_0006246</v>
      </c>
      <c r="B14156" s="2">
        <v>947</v>
      </c>
      <c r="C14156" s="4" t="str">
        <f>HYPERLINK("http://www.uniprot.org/uniprot/M5XNX0","M5XNX0")</f>
        <v>M5XNX0</v>
      </c>
      <c r="D14156" s="2" t="s">
        <v>11555</v>
      </c>
      <c r="E14156" s="3">
        <v>4.6099999999999998E-104</v>
      </c>
      <c r="F14156" s="2">
        <v>804</v>
      </c>
      <c r="G14156" s="2">
        <v>100</v>
      </c>
      <c r="H14156" s="2">
        <v>183</v>
      </c>
      <c r="I14156" s="2">
        <v>346</v>
      </c>
      <c r="J14156" s="2">
        <v>894</v>
      </c>
      <c r="K14156" s="2">
        <v>1</v>
      </c>
      <c r="L14156" s="2">
        <v>183</v>
      </c>
    </row>
    <row r="14157" spans="1:12" x14ac:dyDescent="0.25">
      <c r="A14157" s="4" t="str">
        <f>HYPERLINK("http://www.rosaceae.org/Prunus/Prunus_persica/p.persica_gdr_reftransV1_0006596","p.persica_gdr_reftransV1_0006596")</f>
        <v>p.persica_gdr_reftransV1_0006596</v>
      </c>
      <c r="B14157" s="2">
        <v>1117</v>
      </c>
      <c r="C14157" s="4" t="str">
        <f>HYPERLINK("http://www.uniprot.org/uniprot/M5WUI5","M5WUI5")</f>
        <v>M5WUI5</v>
      </c>
      <c r="D14157" s="2" t="s">
        <v>11556</v>
      </c>
      <c r="E14157" s="3">
        <v>0</v>
      </c>
      <c r="F14157" s="2">
        <v>1542</v>
      </c>
      <c r="G14157" s="2">
        <v>100</v>
      </c>
      <c r="H14157" s="2">
        <v>307</v>
      </c>
      <c r="I14157" s="2">
        <v>100</v>
      </c>
      <c r="J14157" s="2">
        <v>1020</v>
      </c>
      <c r="K14157" s="2">
        <v>4</v>
      </c>
      <c r="L14157" s="2">
        <v>310</v>
      </c>
    </row>
    <row r="14158" spans="1:12" x14ac:dyDescent="0.25">
      <c r="A14158" s="4" t="str">
        <f>HYPERLINK("http://www.rosaceae.org/Prunus/Prunus_persica/p.persica_gdr_reftransV1_0007296","p.persica_gdr_reftransV1_0007296")</f>
        <v>p.persica_gdr_reftransV1_0007296</v>
      </c>
      <c r="B14158" s="2">
        <v>2872</v>
      </c>
      <c r="C14158" s="4" t="str">
        <f>HYPERLINK("http://www.uniprot.org/uniprot/M5X5U9","M5X5U9")</f>
        <v>M5X5U9</v>
      </c>
      <c r="D14158" s="2" t="s">
        <v>11557</v>
      </c>
      <c r="E14158" s="3">
        <v>0</v>
      </c>
      <c r="F14158" s="2">
        <v>3933</v>
      </c>
      <c r="G14158" s="2">
        <v>100</v>
      </c>
      <c r="H14158" s="2">
        <v>734</v>
      </c>
      <c r="I14158" s="2">
        <v>224</v>
      </c>
      <c r="J14158" s="2">
        <v>2425</v>
      </c>
      <c r="K14158" s="2">
        <v>1</v>
      </c>
      <c r="L14158" s="2">
        <v>734</v>
      </c>
    </row>
    <row r="14159" spans="1:12" x14ac:dyDescent="0.25">
      <c r="A14159" s="4" t="str">
        <f>HYPERLINK("http://www.rosaceae.org/Prunus/Prunus_persica/p.persica_gdr_reftransV1_0007646","p.persica_gdr_reftransV1_0007646")</f>
        <v>p.persica_gdr_reftransV1_0007646</v>
      </c>
      <c r="B14159" s="2">
        <v>663</v>
      </c>
      <c r="C14159" s="4" t="str">
        <f>HYPERLINK("http://www.uniprot.org/uniprot/B9GPA1","B9GPA1")</f>
        <v>B9GPA1</v>
      </c>
      <c r="D14159" s="2" t="s">
        <v>11558</v>
      </c>
      <c r="E14159" s="3">
        <v>5.4600000000000002E-109</v>
      </c>
      <c r="F14159" s="2">
        <v>829</v>
      </c>
      <c r="G14159" s="2">
        <v>90</v>
      </c>
      <c r="H14159" s="2">
        <v>204</v>
      </c>
      <c r="I14159" s="2">
        <v>40</v>
      </c>
      <c r="J14159" s="2">
        <v>651</v>
      </c>
      <c r="K14159" s="2">
        <v>1</v>
      </c>
      <c r="L14159" s="2">
        <v>204</v>
      </c>
    </row>
    <row r="14160" spans="1:12" x14ac:dyDescent="0.25">
      <c r="A14160" s="4" t="str">
        <f>HYPERLINK("http://www.rosaceae.org/Prunus/Prunus_persica/p.persica_gdr_reftransV1_0007996","p.persica_gdr_reftransV1_0007996")</f>
        <v>p.persica_gdr_reftransV1_0007996</v>
      </c>
      <c r="B14160" s="2">
        <v>545</v>
      </c>
      <c r="C14160" s="4" t="str">
        <f>HYPERLINK("http://www.uniprot.org/uniprot/M5XBT7","M5XBT7")</f>
        <v>M5XBT7</v>
      </c>
      <c r="D14160" s="2" t="s">
        <v>2134</v>
      </c>
      <c r="E14160" s="3">
        <v>2.1E-51</v>
      </c>
      <c r="F14160" s="2">
        <v>436</v>
      </c>
      <c r="G14160" s="2">
        <v>99</v>
      </c>
      <c r="H14160" s="2">
        <v>120</v>
      </c>
      <c r="I14160" s="2">
        <v>136</v>
      </c>
      <c r="J14160" s="2">
        <v>495</v>
      </c>
      <c r="K14160" s="2">
        <v>1</v>
      </c>
      <c r="L14160" s="2">
        <v>120</v>
      </c>
    </row>
    <row r="14161" spans="1:12" x14ac:dyDescent="0.25">
      <c r="A14161" s="4" t="str">
        <f>HYPERLINK("http://www.rosaceae.org/Prunus/Prunus_persica/p.persica_gdr_reftransV1_0008346","p.persica_gdr_reftransV1_0008346")</f>
        <v>p.persica_gdr_reftransV1_0008346</v>
      </c>
      <c r="B14161" s="2">
        <v>467</v>
      </c>
      <c r="C14161" s="4" t="str">
        <f>HYPERLINK("http://www.uniprot.org/uniprot/I3SYP6","I3SYP6")</f>
        <v>I3SYP6</v>
      </c>
      <c r="D14161" s="2" t="s">
        <v>3170</v>
      </c>
      <c r="E14161" s="3">
        <v>6.2100000000000003E-31</v>
      </c>
      <c r="F14161" s="2">
        <v>309</v>
      </c>
      <c r="G14161" s="2">
        <v>66</v>
      </c>
      <c r="H14161" s="2">
        <v>114</v>
      </c>
      <c r="I14161" s="2">
        <v>1</v>
      </c>
      <c r="J14161" s="2">
        <v>342</v>
      </c>
      <c r="K14161" s="2">
        <v>1</v>
      </c>
      <c r="L14161" s="2">
        <v>113</v>
      </c>
    </row>
    <row r="14162" spans="1:12" x14ac:dyDescent="0.25">
      <c r="A14162" s="4" t="str">
        <f>HYPERLINK("http://www.rosaceae.org/Prunus/Prunus_persica/p.persica_gdr_reftransV1_0008696","p.persica_gdr_reftransV1_0008696")</f>
        <v>p.persica_gdr_reftransV1_0008696</v>
      </c>
      <c r="B14162" s="2">
        <v>1858</v>
      </c>
      <c r="C14162" s="4" t="str">
        <f>HYPERLINK("http://www.uniprot.org/uniprot/M5WM46","M5WM46")</f>
        <v>M5WM46</v>
      </c>
      <c r="D14162" s="2" t="s">
        <v>11559</v>
      </c>
      <c r="E14162" s="3">
        <v>0</v>
      </c>
      <c r="F14162" s="2">
        <v>1787</v>
      </c>
      <c r="G14162" s="2">
        <v>92</v>
      </c>
      <c r="H14162" s="2">
        <v>393</v>
      </c>
      <c r="I14162" s="2">
        <v>630</v>
      </c>
      <c r="J14162" s="2">
        <v>1808</v>
      </c>
      <c r="K14162" s="2">
        <v>1</v>
      </c>
      <c r="L14162" s="2">
        <v>368</v>
      </c>
    </row>
    <row r="14163" spans="1:12" x14ac:dyDescent="0.25">
      <c r="A14163" s="4" t="str">
        <f>HYPERLINK("http://www.rosaceae.org/Prunus/Prunus_persica/p.persica_gdr_reftransV1_0009746","p.persica_gdr_reftransV1_0009746")</f>
        <v>p.persica_gdr_reftransV1_0009746</v>
      </c>
      <c r="B14163" s="2">
        <v>508</v>
      </c>
      <c r="C14163" s="4" t="str">
        <f>HYPERLINK("http://www.uniprot.org/uniprot/M5VSS4","M5VSS4")</f>
        <v>M5VSS4</v>
      </c>
      <c r="D14163" s="2" t="s">
        <v>3555</v>
      </c>
      <c r="E14163" s="3">
        <v>4.6099999999999996E-84</v>
      </c>
      <c r="F14163" s="2">
        <v>711</v>
      </c>
      <c r="G14163" s="2">
        <v>93</v>
      </c>
      <c r="H14163" s="2">
        <v>142</v>
      </c>
      <c r="I14163" s="2">
        <v>83</v>
      </c>
      <c r="J14163" s="2">
        <v>508</v>
      </c>
      <c r="K14163" s="2">
        <v>96</v>
      </c>
      <c r="L14163" s="2">
        <v>237</v>
      </c>
    </row>
    <row r="14164" spans="1:12" x14ac:dyDescent="0.25">
      <c r="A14164" s="4" t="str">
        <f>HYPERLINK("http://www.rosaceae.org/Prunus/Prunus_persica/p.persica_gdr_reftransV1_0010096","p.persica_gdr_reftransV1_0010096")</f>
        <v>p.persica_gdr_reftransV1_0010096</v>
      </c>
      <c r="B14164" s="2">
        <v>752</v>
      </c>
      <c r="C14164" s="4" t="str">
        <f>HYPERLINK("http://www.uniprot.org/uniprot/W9SC56","W9SC56")</f>
        <v>W9SC56</v>
      </c>
      <c r="D14164" s="2" t="s">
        <v>10110</v>
      </c>
      <c r="E14164" s="3">
        <v>4.4899999999999998E-59</v>
      </c>
      <c r="F14164" s="2">
        <v>535</v>
      </c>
      <c r="G14164" s="2">
        <v>78</v>
      </c>
      <c r="H14164" s="2">
        <v>140</v>
      </c>
      <c r="I14164" s="2">
        <v>333</v>
      </c>
      <c r="J14164" s="2">
        <v>752</v>
      </c>
      <c r="K14164" s="2">
        <v>679</v>
      </c>
      <c r="L14164" s="2">
        <v>817</v>
      </c>
    </row>
    <row r="14165" spans="1:12" x14ac:dyDescent="0.25">
      <c r="A14165" s="4" t="str">
        <f>HYPERLINK("http://www.rosaceae.org/Prunus/Prunus_persica/p.persica_gdr_reftransV1_0010446","p.persica_gdr_reftransV1_0010446")</f>
        <v>p.persica_gdr_reftransV1_0010446</v>
      </c>
      <c r="B14165" s="2">
        <v>1037</v>
      </c>
      <c r="C14165" s="4" t="str">
        <f>HYPERLINK("http://www.uniprot.org/uniprot/M5VYQ4","M5VYQ4")</f>
        <v>M5VYQ4</v>
      </c>
      <c r="D14165" s="2" t="s">
        <v>10604</v>
      </c>
      <c r="E14165" s="3">
        <v>4.3399999999999998E-90</v>
      </c>
      <c r="F14165" s="2">
        <v>732</v>
      </c>
      <c r="G14165" s="2">
        <v>100</v>
      </c>
      <c r="H14165" s="2">
        <v>212</v>
      </c>
      <c r="I14165" s="2">
        <v>339</v>
      </c>
      <c r="J14165" s="2">
        <v>974</v>
      </c>
      <c r="K14165" s="2">
        <v>161</v>
      </c>
      <c r="L14165" s="2">
        <v>372</v>
      </c>
    </row>
    <row r="14166" spans="1:12" x14ac:dyDescent="0.25">
      <c r="A14166" s="4" t="str">
        <f>HYPERLINK("http://www.rosaceae.org/Prunus/Prunus_persica/p.persica_gdr_reftransV1_0010796","p.persica_gdr_reftransV1_0010796")</f>
        <v>p.persica_gdr_reftransV1_0010796</v>
      </c>
      <c r="B14166" s="2">
        <v>1865</v>
      </c>
      <c r="C14166" s="4" t="str">
        <f>HYPERLINK("http://www.uniprot.org/uniprot/M5X206","M5X206")</f>
        <v>M5X206</v>
      </c>
      <c r="D14166" s="2" t="s">
        <v>11560</v>
      </c>
      <c r="E14166" s="3">
        <v>0</v>
      </c>
      <c r="F14166" s="2">
        <v>2761</v>
      </c>
      <c r="G14166" s="2">
        <v>100</v>
      </c>
      <c r="H14166" s="2">
        <v>517</v>
      </c>
      <c r="I14166" s="2">
        <v>27</v>
      </c>
      <c r="J14166" s="2">
        <v>1577</v>
      </c>
      <c r="K14166" s="2">
        <v>304</v>
      </c>
      <c r="L14166" s="2">
        <v>820</v>
      </c>
    </row>
    <row r="14167" spans="1:12" x14ac:dyDescent="0.25">
      <c r="A14167" s="4" t="str">
        <f>HYPERLINK("http://www.rosaceae.org/Prunus/Prunus_persica/p.persica_gdr_reftransV1_0011496","p.persica_gdr_reftransV1_0011496")</f>
        <v>p.persica_gdr_reftransV1_0011496</v>
      </c>
      <c r="B14167" s="2">
        <v>2060</v>
      </c>
      <c r="C14167" s="4" t="str">
        <f>HYPERLINK("http://www.uniprot.org/uniprot/M5VZG0","M5VZG0")</f>
        <v>M5VZG0</v>
      </c>
      <c r="D14167" s="2" t="s">
        <v>11561</v>
      </c>
      <c r="E14167" s="3">
        <v>0</v>
      </c>
      <c r="F14167" s="2">
        <v>1623</v>
      </c>
      <c r="G14167" s="2">
        <v>92</v>
      </c>
      <c r="H14167" s="2">
        <v>424</v>
      </c>
      <c r="I14167" s="2">
        <v>679</v>
      </c>
      <c r="J14167" s="2">
        <v>1950</v>
      </c>
      <c r="K14167" s="2">
        <v>1</v>
      </c>
      <c r="L14167" s="2">
        <v>403</v>
      </c>
    </row>
    <row r="14168" spans="1:12" x14ac:dyDescent="0.25">
      <c r="A14168" s="4" t="str">
        <f>HYPERLINK("http://www.rosaceae.org/Prunus/Prunus_persica/p.persica_gdr_reftransV1_0012196","p.persica_gdr_reftransV1_0012196")</f>
        <v>p.persica_gdr_reftransV1_0012196</v>
      </c>
      <c r="B14168" s="2">
        <v>851</v>
      </c>
      <c r="C14168" s="4" t="str">
        <f>HYPERLINK("http://www.uniprot.org/uniprot/M5VZT8","M5VZT8")</f>
        <v>M5VZT8</v>
      </c>
      <c r="D14168" s="2" t="s">
        <v>3043</v>
      </c>
      <c r="E14168" s="3">
        <v>4.8700000000000003E-102</v>
      </c>
      <c r="F14168" s="2">
        <v>794</v>
      </c>
      <c r="G14168" s="2">
        <v>99</v>
      </c>
      <c r="H14168" s="2">
        <v>183</v>
      </c>
      <c r="I14168" s="2">
        <v>231</v>
      </c>
      <c r="J14168" s="2">
        <v>779</v>
      </c>
      <c r="K14168" s="2">
        <v>68</v>
      </c>
      <c r="L14168" s="2">
        <v>250</v>
      </c>
    </row>
    <row r="14169" spans="1:12" x14ac:dyDescent="0.25">
      <c r="A14169" s="4" t="str">
        <f>HYPERLINK("http://www.rosaceae.org/Prunus/Prunus_persica/p.persica_gdr_reftransV1_0015346","p.persica_gdr_reftransV1_0015346")</f>
        <v>p.persica_gdr_reftransV1_0015346</v>
      </c>
      <c r="B14169" s="2">
        <v>1569</v>
      </c>
      <c r="C14169" s="4" t="str">
        <f>HYPERLINK("http://www.uniprot.org/uniprot/M5XN70","M5XN70")</f>
        <v>M5XN70</v>
      </c>
      <c r="D14169" s="2" t="s">
        <v>11562</v>
      </c>
      <c r="E14169" s="3">
        <v>0</v>
      </c>
      <c r="F14169" s="2">
        <v>1422</v>
      </c>
      <c r="G14169" s="2">
        <v>92</v>
      </c>
      <c r="H14169" s="2">
        <v>318</v>
      </c>
      <c r="I14169" s="2">
        <v>144</v>
      </c>
      <c r="J14169" s="2">
        <v>1097</v>
      </c>
      <c r="K14169" s="2">
        <v>1</v>
      </c>
      <c r="L14169" s="2">
        <v>292</v>
      </c>
    </row>
    <row r="14170" spans="1:12" x14ac:dyDescent="0.25">
      <c r="A14170" s="4" t="str">
        <f>HYPERLINK("http://www.rosaceae.org/Prunus/Prunus_persica/p.persica_gdr_reftransV1_0015696","p.persica_gdr_reftransV1_0015696")</f>
        <v>p.persica_gdr_reftransV1_0015696</v>
      </c>
      <c r="B14170" s="2">
        <v>422</v>
      </c>
      <c r="C14170" s="4" t="str">
        <f>HYPERLINK("http://www.uniprot.org/uniprot/M5Y8B4","M5Y8B4")</f>
        <v>M5Y8B4</v>
      </c>
      <c r="D14170" s="2" t="s">
        <v>11563</v>
      </c>
      <c r="E14170" s="3">
        <v>1.4300000000000001E-80</v>
      </c>
      <c r="F14170" s="2">
        <v>647</v>
      </c>
      <c r="G14170" s="2">
        <v>100</v>
      </c>
      <c r="H14170" s="2">
        <v>140</v>
      </c>
      <c r="I14170" s="2">
        <v>3</v>
      </c>
      <c r="J14170" s="2">
        <v>422</v>
      </c>
      <c r="K14170" s="2">
        <v>38</v>
      </c>
      <c r="L14170" s="2">
        <v>177</v>
      </c>
    </row>
    <row r="14171" spans="1:12" x14ac:dyDescent="0.25">
      <c r="A14171" s="4" t="str">
        <f>HYPERLINK("http://www.rosaceae.org/Prunus/Prunus_persica/p.persica_gdr_reftransV1_0016396","p.persica_gdr_reftransV1_0016396")</f>
        <v>p.persica_gdr_reftransV1_0016396</v>
      </c>
      <c r="B14171" s="2">
        <v>3694</v>
      </c>
      <c r="C14171" s="4" t="str">
        <f>HYPERLINK("http://www.uniprot.org/uniprot/M5WYY4","M5WYY4")</f>
        <v>M5WYY4</v>
      </c>
      <c r="D14171" s="2" t="s">
        <v>11564</v>
      </c>
      <c r="E14171" s="3">
        <v>1.3E-177</v>
      </c>
      <c r="F14171" s="2">
        <v>1409</v>
      </c>
      <c r="G14171" s="2">
        <v>99</v>
      </c>
      <c r="H14171" s="2">
        <v>285</v>
      </c>
      <c r="I14171" s="2">
        <v>2501</v>
      </c>
      <c r="J14171" s="2">
        <v>3355</v>
      </c>
      <c r="K14171" s="2">
        <v>261</v>
      </c>
      <c r="L14171" s="2">
        <v>545</v>
      </c>
    </row>
    <row r="14172" spans="1:12" x14ac:dyDescent="0.25">
      <c r="A14172" s="4" t="str">
        <f>HYPERLINK("http://www.rosaceae.org/Prunus/Prunus_persica/p.persica_gdr_reftransV1_0019196","p.persica_gdr_reftransV1_0019196")</f>
        <v>p.persica_gdr_reftransV1_0019196</v>
      </c>
      <c r="B14172" s="2">
        <v>1934</v>
      </c>
      <c r="C14172" s="4" t="str">
        <f>HYPERLINK("http://www.uniprot.org/uniprot/B2BMQ1","B2BMQ1")</f>
        <v>B2BMQ1</v>
      </c>
      <c r="D14172" s="2" t="s">
        <v>60</v>
      </c>
      <c r="E14172" s="3">
        <v>0</v>
      </c>
      <c r="F14172" s="2">
        <v>1705</v>
      </c>
      <c r="G14172" s="2">
        <v>100</v>
      </c>
      <c r="H14172" s="2">
        <v>315</v>
      </c>
      <c r="I14172" s="2">
        <v>820</v>
      </c>
      <c r="J14172" s="2">
        <v>1764</v>
      </c>
      <c r="K14172" s="2">
        <v>27</v>
      </c>
      <c r="L14172" s="2">
        <v>341</v>
      </c>
    </row>
    <row r="14173" spans="1:12" x14ac:dyDescent="0.25">
      <c r="A14173" s="4" t="str">
        <f>HYPERLINK("http://www.rosaceae.org/Prunus/Prunus_persica/p.persica_gdr_reftransV1_0020596","p.persica_gdr_reftransV1_0020596")</f>
        <v>p.persica_gdr_reftransV1_0020596</v>
      </c>
      <c r="B14173" s="2">
        <v>1912</v>
      </c>
      <c r="C14173" s="4" t="str">
        <f>HYPERLINK("http://www.uniprot.org/uniprot/M5W106","M5W106")</f>
        <v>M5W106</v>
      </c>
      <c r="D14173" s="2" t="s">
        <v>11063</v>
      </c>
      <c r="E14173" s="3">
        <v>0</v>
      </c>
      <c r="F14173" s="2">
        <v>2738</v>
      </c>
      <c r="G14173" s="2">
        <v>100</v>
      </c>
      <c r="H14173" s="2">
        <v>549</v>
      </c>
      <c r="I14173" s="2">
        <v>3</v>
      </c>
      <c r="J14173" s="2">
        <v>1649</v>
      </c>
      <c r="K14173" s="2">
        <v>4</v>
      </c>
      <c r="L14173" s="2">
        <v>552</v>
      </c>
    </row>
    <row r="14174" spans="1:12" x14ac:dyDescent="0.25">
      <c r="A14174" s="4" t="str">
        <f>HYPERLINK("http://www.rosaceae.org/Prunus/Prunus_persica/p.persica_gdr_reftransV1_0021646","p.persica_gdr_reftransV1_0021646")</f>
        <v>p.persica_gdr_reftransV1_0021646</v>
      </c>
      <c r="B14174" s="2">
        <v>3595</v>
      </c>
      <c r="C14174" s="4" t="str">
        <f>HYPERLINK("http://www.uniprot.org/uniprot/M5X4S6","M5X4S6")</f>
        <v>M5X4S6</v>
      </c>
      <c r="D14174" s="2" t="s">
        <v>11565</v>
      </c>
      <c r="E14174" s="3">
        <v>0</v>
      </c>
      <c r="F14174" s="2">
        <v>2082</v>
      </c>
      <c r="G14174" s="2">
        <v>100</v>
      </c>
      <c r="H14174" s="2">
        <v>474</v>
      </c>
      <c r="I14174" s="2">
        <v>315</v>
      </c>
      <c r="J14174" s="2">
        <v>1736</v>
      </c>
      <c r="K14174" s="2">
        <v>1</v>
      </c>
      <c r="L14174" s="2">
        <v>474</v>
      </c>
    </row>
    <row r="14175" spans="1:12" x14ac:dyDescent="0.25">
      <c r="A14175" s="4" t="str">
        <f>HYPERLINK("http://www.rosaceae.org/Prunus/Prunus_persica/p.persica_gdr_reftransV1_0022346","p.persica_gdr_reftransV1_0022346")</f>
        <v>p.persica_gdr_reftransV1_0022346</v>
      </c>
      <c r="B14175" s="2">
        <v>1302</v>
      </c>
      <c r="C14175" s="4" t="str">
        <f>HYPERLINK("http://www.uniprot.org/uniprot/M5WT55","M5WT55")</f>
        <v>M5WT55</v>
      </c>
      <c r="D14175" s="2" t="s">
        <v>11566</v>
      </c>
      <c r="E14175" s="3">
        <v>0</v>
      </c>
      <c r="F14175" s="2">
        <v>1605</v>
      </c>
      <c r="G14175" s="2">
        <v>100</v>
      </c>
      <c r="H14175" s="2">
        <v>321</v>
      </c>
      <c r="I14175" s="2">
        <v>275</v>
      </c>
      <c r="J14175" s="2">
        <v>1237</v>
      </c>
      <c r="K14175" s="2">
        <v>1</v>
      </c>
      <c r="L14175" s="2">
        <v>321</v>
      </c>
    </row>
    <row r="14176" spans="1:12" x14ac:dyDescent="0.25">
      <c r="A14176" s="4" t="str">
        <f>HYPERLINK("http://www.rosaceae.org/Prunus/Prunus_persica/p.persica_gdr_reftransV1_0022696","p.persica_gdr_reftransV1_0022696")</f>
        <v>p.persica_gdr_reftransV1_0022696</v>
      </c>
      <c r="B14176" s="2">
        <v>1796</v>
      </c>
      <c r="C14176" s="4" t="str">
        <f>HYPERLINK("http://www.uniprot.org/uniprot/M5VNW3","M5VNW3")</f>
        <v>M5VNW3</v>
      </c>
      <c r="D14176" s="2" t="s">
        <v>9069</v>
      </c>
      <c r="E14176" s="3">
        <v>0</v>
      </c>
      <c r="F14176" s="2">
        <v>1763</v>
      </c>
      <c r="G14176" s="2">
        <v>98</v>
      </c>
      <c r="H14176" s="2">
        <v>351</v>
      </c>
      <c r="I14176" s="2">
        <v>449</v>
      </c>
      <c r="J14176" s="2">
        <v>1501</v>
      </c>
      <c r="K14176" s="2">
        <v>1</v>
      </c>
      <c r="L14176" s="2">
        <v>351</v>
      </c>
    </row>
    <row r="14177" spans="1:12" x14ac:dyDescent="0.25">
      <c r="A14177" s="4" t="str">
        <f>HYPERLINK("http://www.rosaceae.org/Prunus/Prunus_persica/p.persica_gdr_reftransV1_0023046","p.persica_gdr_reftransV1_0023046")</f>
        <v>p.persica_gdr_reftransV1_0023046</v>
      </c>
      <c r="B14177" s="2">
        <v>3006</v>
      </c>
      <c r="C14177" s="4" t="str">
        <f>HYPERLINK("http://www.uniprot.org/uniprot/M5XXB7","M5XXB7")</f>
        <v>M5XXB7</v>
      </c>
      <c r="D14177" s="2" t="s">
        <v>11567</v>
      </c>
      <c r="E14177" s="3">
        <v>0</v>
      </c>
      <c r="F14177" s="2">
        <v>3780</v>
      </c>
      <c r="G14177" s="2">
        <v>99</v>
      </c>
      <c r="H14177" s="2">
        <v>704</v>
      </c>
      <c r="I14177" s="2">
        <v>777</v>
      </c>
      <c r="J14177" s="2">
        <v>2888</v>
      </c>
      <c r="K14177" s="2">
        <v>1</v>
      </c>
      <c r="L14177" s="2">
        <v>700</v>
      </c>
    </row>
    <row r="14178" spans="1:12" x14ac:dyDescent="0.25">
      <c r="A14178" s="4" t="str">
        <f>HYPERLINK("http://www.rosaceae.org/Prunus/Prunus_persica/p.persica_gdr_reftransV1_0023746","p.persica_gdr_reftransV1_0023746")</f>
        <v>p.persica_gdr_reftransV1_0023746</v>
      </c>
      <c r="B14178" s="2">
        <v>4564</v>
      </c>
      <c r="C14178" s="4" t="str">
        <f>HYPERLINK("http://www.uniprot.org/uniprot/M5WNE8","M5WNE8")</f>
        <v>M5WNE8</v>
      </c>
      <c r="D14178" s="2" t="s">
        <v>11568</v>
      </c>
      <c r="E14178" s="3">
        <v>0</v>
      </c>
      <c r="F14178" s="2">
        <v>3423</v>
      </c>
      <c r="G14178" s="2">
        <v>100</v>
      </c>
      <c r="H14178" s="2">
        <v>655</v>
      </c>
      <c r="I14178" s="2">
        <v>2270</v>
      </c>
      <c r="J14178" s="2">
        <v>4234</v>
      </c>
      <c r="K14178" s="2">
        <v>15</v>
      </c>
      <c r="L14178" s="2">
        <v>669</v>
      </c>
    </row>
    <row r="14179" spans="1:12" x14ac:dyDescent="0.25">
      <c r="A14179" s="4" t="str">
        <f>HYPERLINK("http://www.rosaceae.org/Prunus/Prunus_persica/p.persica_gdr_reftransV1_0024096","p.persica_gdr_reftransV1_0024096")</f>
        <v>p.persica_gdr_reftransV1_0024096</v>
      </c>
      <c r="B14179" s="2">
        <v>2285</v>
      </c>
      <c r="C14179" s="4" t="str">
        <f>HYPERLINK("http://www.uniprot.org/uniprot/M5VPP0","M5VPP0")</f>
        <v>M5VPP0</v>
      </c>
      <c r="D14179" s="2" t="s">
        <v>11569</v>
      </c>
      <c r="E14179" s="3">
        <v>0</v>
      </c>
      <c r="F14179" s="2">
        <v>1802</v>
      </c>
      <c r="G14179" s="2">
        <v>100</v>
      </c>
      <c r="H14179" s="2">
        <v>429</v>
      </c>
      <c r="I14179" s="2">
        <v>396</v>
      </c>
      <c r="J14179" s="2">
        <v>1682</v>
      </c>
      <c r="K14179" s="2">
        <v>1</v>
      </c>
      <c r="L14179" s="2">
        <v>429</v>
      </c>
    </row>
    <row r="14180" spans="1:12" x14ac:dyDescent="0.25">
      <c r="A14180" s="4" t="str">
        <f>HYPERLINK("http://www.rosaceae.org/Prunus/Prunus_persica/p.persica_gdr_reftransV1_0025146","p.persica_gdr_reftransV1_0025146")</f>
        <v>p.persica_gdr_reftransV1_0025146</v>
      </c>
      <c r="B14180" s="2">
        <v>1938</v>
      </c>
      <c r="C14180" s="4" t="str">
        <f>HYPERLINK("http://www.uniprot.org/uniprot/M5Y189","M5Y189")</f>
        <v>M5Y189</v>
      </c>
      <c r="D14180" s="2" t="s">
        <v>10863</v>
      </c>
      <c r="E14180" s="3">
        <v>0</v>
      </c>
      <c r="F14180" s="2">
        <v>3110</v>
      </c>
      <c r="G14180" s="2">
        <v>100</v>
      </c>
      <c r="H14180" s="2">
        <v>575</v>
      </c>
      <c r="I14180" s="2">
        <v>1</v>
      </c>
      <c r="J14180" s="2">
        <v>1725</v>
      </c>
      <c r="K14180" s="2">
        <v>50</v>
      </c>
      <c r="L14180" s="2">
        <v>624</v>
      </c>
    </row>
    <row r="14181" spans="1:12" x14ac:dyDescent="0.25">
      <c r="A14181" s="4" t="str">
        <f>HYPERLINK("http://www.rosaceae.org/Prunus/Prunus_persica/p.persica_gdr_reftransV1_0025496","p.persica_gdr_reftransV1_0025496")</f>
        <v>p.persica_gdr_reftransV1_0025496</v>
      </c>
      <c r="B14181" s="2">
        <v>2422</v>
      </c>
      <c r="C14181" s="4" t="str">
        <f>HYPERLINK("http://www.uniprot.org/uniprot/V4U6S3","V4U6S3")</f>
        <v>V4U6S3</v>
      </c>
      <c r="D14181" s="2" t="s">
        <v>11570</v>
      </c>
      <c r="E14181" s="3">
        <v>3.2300000000000002E-136</v>
      </c>
      <c r="F14181" s="2">
        <v>1095</v>
      </c>
      <c r="G14181" s="2">
        <v>82</v>
      </c>
      <c r="H14181" s="2">
        <v>265</v>
      </c>
      <c r="I14181" s="2">
        <v>189</v>
      </c>
      <c r="J14181" s="2">
        <v>983</v>
      </c>
      <c r="K14181" s="2">
        <v>2</v>
      </c>
      <c r="L14181" s="2">
        <v>266</v>
      </c>
    </row>
    <row r="14182" spans="1:12" x14ac:dyDescent="0.25">
      <c r="A14182" s="4" t="str">
        <f>HYPERLINK("http://www.rosaceae.org/Prunus/Prunus_persica/p.persica_gdr_reftransV1_0031096","p.persica_gdr_reftransV1_0031096")</f>
        <v>p.persica_gdr_reftransV1_0031096</v>
      </c>
      <c r="B14182" s="2">
        <v>1954</v>
      </c>
      <c r="C14182" s="4" t="str">
        <f>HYPERLINK("http://www.uniprot.org/uniprot/M5WGR1","M5WGR1")</f>
        <v>M5WGR1</v>
      </c>
      <c r="D14182" s="2" t="s">
        <v>11571</v>
      </c>
      <c r="E14182" s="3">
        <v>4.5099999999999998E-168</v>
      </c>
      <c r="F14182" s="2">
        <v>1270</v>
      </c>
      <c r="G14182" s="2">
        <v>89</v>
      </c>
      <c r="H14182" s="2">
        <v>307</v>
      </c>
      <c r="I14182" s="2">
        <v>624</v>
      </c>
      <c r="J14182" s="2">
        <v>1544</v>
      </c>
      <c r="K14182" s="2">
        <v>3</v>
      </c>
      <c r="L14182" s="2">
        <v>281</v>
      </c>
    </row>
    <row r="14183" spans="1:12" x14ac:dyDescent="0.25">
      <c r="A14183" s="4" t="str">
        <f>HYPERLINK("http://www.rosaceae.org/Prunus/Prunus_persica/p.persica_gdr_reftransV1_0033196","p.persica_gdr_reftransV1_0033196")</f>
        <v>p.persica_gdr_reftransV1_0033196</v>
      </c>
      <c r="B14183" s="2">
        <v>1812</v>
      </c>
      <c r="C14183" s="4" t="str">
        <f>HYPERLINK("http://www.uniprot.org/uniprot/M5W0F6","M5W0F6")</f>
        <v>M5W0F6</v>
      </c>
      <c r="D14183" s="2" t="s">
        <v>11572</v>
      </c>
      <c r="E14183" s="3">
        <v>1.5699999999999999E-136</v>
      </c>
      <c r="F14183" s="2">
        <v>1058</v>
      </c>
      <c r="G14183" s="2">
        <v>99</v>
      </c>
      <c r="H14183" s="2">
        <v>220</v>
      </c>
      <c r="I14183" s="2">
        <v>873</v>
      </c>
      <c r="J14183" s="2">
        <v>1532</v>
      </c>
      <c r="K14183" s="2">
        <v>19</v>
      </c>
      <c r="L14183" s="2">
        <v>238</v>
      </c>
    </row>
    <row r="14184" spans="1:12" x14ac:dyDescent="0.25">
      <c r="A14184" s="4" t="str">
        <f>HYPERLINK("http://www.rosaceae.org/Prunus/Prunus_persica/p.persica_gdr_reftransV1_0033546","p.persica_gdr_reftransV1_0033546")</f>
        <v>p.persica_gdr_reftransV1_0033546</v>
      </c>
      <c r="B14184" s="2">
        <v>3369</v>
      </c>
      <c r="C14184" s="4" t="str">
        <f>HYPERLINK("http://www.uniprot.org/uniprot/M5Y1U7","M5Y1U7")</f>
        <v>M5Y1U7</v>
      </c>
      <c r="D14184" s="2" t="s">
        <v>11573</v>
      </c>
      <c r="E14184" s="3">
        <v>0</v>
      </c>
      <c r="F14184" s="2">
        <v>4474</v>
      </c>
      <c r="G14184" s="2">
        <v>100</v>
      </c>
      <c r="H14184" s="2">
        <v>866</v>
      </c>
      <c r="I14184" s="2">
        <v>587</v>
      </c>
      <c r="J14184" s="2">
        <v>3184</v>
      </c>
      <c r="K14184" s="2">
        <v>1</v>
      </c>
      <c r="L14184" s="2">
        <v>866</v>
      </c>
    </row>
    <row r="14185" spans="1:12" x14ac:dyDescent="0.25">
      <c r="A14185" s="4" t="str">
        <f>HYPERLINK("http://www.rosaceae.org/Prunus/Prunus_persica/p.persica_gdr_reftransV1_0034246","p.persica_gdr_reftransV1_0034246")</f>
        <v>p.persica_gdr_reftransV1_0034246</v>
      </c>
      <c r="B14185" s="2">
        <v>3275</v>
      </c>
      <c r="C14185" s="4" t="str">
        <f>HYPERLINK("http://www.uniprot.org/uniprot/A0A067HH19","A0A067HH19")</f>
        <v>A0A067HH19</v>
      </c>
      <c r="D14185" s="2" t="s">
        <v>8676</v>
      </c>
      <c r="E14185" s="3">
        <v>0</v>
      </c>
      <c r="F14185" s="2">
        <v>2177</v>
      </c>
      <c r="G14185" s="2">
        <v>70</v>
      </c>
      <c r="H14185" s="2">
        <v>648</v>
      </c>
      <c r="I14185" s="2">
        <v>661</v>
      </c>
      <c r="J14185" s="2">
        <v>2595</v>
      </c>
      <c r="K14185" s="2">
        <v>34</v>
      </c>
      <c r="L14185" s="2">
        <v>617</v>
      </c>
    </row>
    <row r="14186" spans="1:12" x14ac:dyDescent="0.25">
      <c r="A14186" s="4" t="str">
        <f>HYPERLINK("http://www.rosaceae.org/Prunus/Prunus_persica/p.persica_gdr_reftransV1_0035646","p.persica_gdr_reftransV1_0035646")</f>
        <v>p.persica_gdr_reftransV1_0035646</v>
      </c>
      <c r="B14186" s="2">
        <v>3286</v>
      </c>
      <c r="C14186" s="4" t="str">
        <f>HYPERLINK("http://www.uniprot.org/uniprot/M5WYJ1","M5WYJ1")</f>
        <v>M5WYJ1</v>
      </c>
      <c r="D14186" s="2" t="s">
        <v>1280</v>
      </c>
      <c r="E14186" s="3">
        <v>0</v>
      </c>
      <c r="F14186" s="2">
        <v>2487</v>
      </c>
      <c r="G14186" s="2">
        <v>99</v>
      </c>
      <c r="H14186" s="2">
        <v>597</v>
      </c>
      <c r="I14186" s="2">
        <v>857</v>
      </c>
      <c r="J14186" s="2">
        <v>2647</v>
      </c>
      <c r="K14186" s="2">
        <v>113</v>
      </c>
      <c r="L14186" s="2">
        <v>709</v>
      </c>
    </row>
    <row r="14187" spans="1:12" x14ac:dyDescent="0.25">
      <c r="A14187" s="4" t="str">
        <f>HYPERLINK("http://www.rosaceae.org/Prunus/Prunus_persica/p.persica_gdr_reftransV1_0035996","p.persica_gdr_reftransV1_0035996")</f>
        <v>p.persica_gdr_reftransV1_0035996</v>
      </c>
      <c r="B14187" s="2">
        <v>2233</v>
      </c>
      <c r="C14187" s="4" t="str">
        <f>HYPERLINK("http://www.uniprot.org/uniprot/M5WMY8","M5WMY8")</f>
        <v>M5WMY8</v>
      </c>
      <c r="D14187" s="2" t="s">
        <v>11574</v>
      </c>
      <c r="E14187" s="3">
        <v>0</v>
      </c>
      <c r="F14187" s="2">
        <v>2342</v>
      </c>
      <c r="G14187" s="2">
        <v>99</v>
      </c>
      <c r="H14187" s="2">
        <v>493</v>
      </c>
      <c r="I14187" s="2">
        <v>256</v>
      </c>
      <c r="J14187" s="2">
        <v>1734</v>
      </c>
      <c r="K14187" s="2">
        <v>1</v>
      </c>
      <c r="L14187" s="2">
        <v>487</v>
      </c>
    </row>
    <row r="14188" spans="1:12" x14ac:dyDescent="0.25">
      <c r="A14188" s="4" t="str">
        <f>HYPERLINK("http://www.rosaceae.org/Prunus/Prunus_persica/p.persica_gdr_reftransV1_0036346","p.persica_gdr_reftransV1_0036346")</f>
        <v>p.persica_gdr_reftransV1_0036346</v>
      </c>
      <c r="B14188" s="2">
        <v>2848</v>
      </c>
      <c r="C14188" s="4" t="str">
        <f>HYPERLINK("http://www.uniprot.org/uniprot/M5XE53","M5XE53")</f>
        <v>M5XE53</v>
      </c>
      <c r="D14188" s="2" t="s">
        <v>11575</v>
      </c>
      <c r="E14188" s="3">
        <v>8.4300000000000005E-108</v>
      </c>
      <c r="F14188" s="2">
        <v>880</v>
      </c>
      <c r="G14188" s="2">
        <v>95</v>
      </c>
      <c r="H14188" s="2">
        <v>193</v>
      </c>
      <c r="I14188" s="2">
        <v>1617</v>
      </c>
      <c r="J14188" s="2">
        <v>2192</v>
      </c>
      <c r="K14188" s="2">
        <v>1</v>
      </c>
      <c r="L14188" s="2">
        <v>193</v>
      </c>
    </row>
    <row r="14189" spans="1:12" x14ac:dyDescent="0.25">
      <c r="A14189" s="4" t="str">
        <f>HYPERLINK("http://www.rosaceae.org/Prunus/Prunus_persica/p.persica_gdr_reftransV1_0038096","p.persica_gdr_reftransV1_0038096")</f>
        <v>p.persica_gdr_reftransV1_0038096</v>
      </c>
      <c r="B14189" s="2">
        <v>1218</v>
      </c>
      <c r="C14189" s="4" t="str">
        <f>HYPERLINK("http://www.uniprot.org/uniprot/M5X1A0","M5X1A0")</f>
        <v>M5X1A0</v>
      </c>
      <c r="D14189" s="2" t="s">
        <v>11576</v>
      </c>
      <c r="E14189" s="3">
        <v>6.9300000000000002E-80</v>
      </c>
      <c r="F14189" s="2">
        <v>652</v>
      </c>
      <c r="G14189" s="2">
        <v>100</v>
      </c>
      <c r="H14189" s="2">
        <v>155</v>
      </c>
      <c r="I14189" s="2">
        <v>305</v>
      </c>
      <c r="J14189" s="2">
        <v>769</v>
      </c>
      <c r="K14189" s="2">
        <v>28</v>
      </c>
      <c r="L14189" s="2">
        <v>182</v>
      </c>
    </row>
    <row r="14190" spans="1:12" x14ac:dyDescent="0.25">
      <c r="A14190" s="4" t="str">
        <f>HYPERLINK("http://www.rosaceae.org/Prunus/Prunus_persica/p.persica_gdr_reftransV1_0038446","p.persica_gdr_reftransV1_0038446")</f>
        <v>p.persica_gdr_reftransV1_0038446</v>
      </c>
      <c r="B14190" s="2">
        <v>1173</v>
      </c>
      <c r="C14190" s="4" t="str">
        <f>HYPERLINK("http://www.uniprot.org/uniprot/M5VKD6","M5VKD6")</f>
        <v>M5VKD6</v>
      </c>
      <c r="D14190" s="2" t="s">
        <v>11577</v>
      </c>
      <c r="E14190" s="3">
        <v>9.7399999999999994E-163</v>
      </c>
      <c r="F14190" s="2">
        <v>1205</v>
      </c>
      <c r="G14190" s="2">
        <v>100</v>
      </c>
      <c r="H14190" s="2">
        <v>235</v>
      </c>
      <c r="I14190" s="2">
        <v>349</v>
      </c>
      <c r="J14190" s="2">
        <v>1053</v>
      </c>
      <c r="K14190" s="2">
        <v>7</v>
      </c>
      <c r="L14190" s="2">
        <v>241</v>
      </c>
    </row>
    <row r="14191" spans="1:12" x14ac:dyDescent="0.25">
      <c r="A14191" s="4" t="str">
        <f>HYPERLINK("http://www.rosaceae.org/Prunus/Prunus_persica/p.persica_gdr_reftransV1_0039146","p.persica_gdr_reftransV1_0039146")</f>
        <v>p.persica_gdr_reftransV1_0039146</v>
      </c>
      <c r="B14191" s="2">
        <v>1516</v>
      </c>
      <c r="C14191" s="4" t="str">
        <f>HYPERLINK("http://www.uniprot.org/uniprot/M5VRM3","M5VRM3")</f>
        <v>M5VRM3</v>
      </c>
      <c r="D14191" s="2" t="s">
        <v>11578</v>
      </c>
      <c r="E14191" s="3">
        <v>4.6100000000000003E-138</v>
      </c>
      <c r="F14191" s="2">
        <v>1056</v>
      </c>
      <c r="G14191" s="2">
        <v>99</v>
      </c>
      <c r="H14191" s="2">
        <v>200</v>
      </c>
      <c r="I14191" s="2">
        <v>48</v>
      </c>
      <c r="J14191" s="2">
        <v>647</v>
      </c>
      <c r="K14191" s="2">
        <v>26</v>
      </c>
      <c r="L14191" s="2">
        <v>225</v>
      </c>
    </row>
    <row r="14192" spans="1:12" x14ac:dyDescent="0.25">
      <c r="A14192" s="4" t="str">
        <f>HYPERLINK("http://www.rosaceae.org/Prunus/Prunus_persica/p.persica_gdr_reftransV1_0040196","p.persica_gdr_reftransV1_0040196")</f>
        <v>p.persica_gdr_reftransV1_0040196</v>
      </c>
      <c r="B14192" s="2">
        <v>2599</v>
      </c>
      <c r="C14192" s="4" t="str">
        <f>HYPERLINK("http://www.uniprot.org/uniprot/M5XKX2","M5XKX2")</f>
        <v>M5XKX2</v>
      </c>
      <c r="D14192" s="2" t="s">
        <v>11579</v>
      </c>
      <c r="E14192" s="3">
        <v>0</v>
      </c>
      <c r="F14192" s="2">
        <v>1443</v>
      </c>
      <c r="G14192" s="2">
        <v>100</v>
      </c>
      <c r="H14192" s="2">
        <v>288</v>
      </c>
      <c r="I14192" s="2">
        <v>355</v>
      </c>
      <c r="J14192" s="2">
        <v>1218</v>
      </c>
      <c r="K14192" s="2">
        <v>22</v>
      </c>
      <c r="L14192" s="2">
        <v>309</v>
      </c>
    </row>
    <row r="14193" spans="1:12" x14ac:dyDescent="0.25">
      <c r="A14193" s="4" t="str">
        <f>HYPERLINK("http://www.rosaceae.org/Prunus/Prunus_persica/p.persica_gdr_reftransV1_0040546","p.persica_gdr_reftransV1_0040546")</f>
        <v>p.persica_gdr_reftransV1_0040546</v>
      </c>
      <c r="B14193" s="2">
        <v>2417</v>
      </c>
      <c r="C14193" s="4" t="str">
        <f>HYPERLINK("http://www.uniprot.org/uniprot/M5WK96","M5WK96")</f>
        <v>M5WK96</v>
      </c>
      <c r="D14193" s="2" t="s">
        <v>11580</v>
      </c>
      <c r="E14193" s="3">
        <v>0</v>
      </c>
      <c r="F14193" s="2">
        <v>2160</v>
      </c>
      <c r="G14193" s="2">
        <v>100</v>
      </c>
      <c r="H14193" s="2">
        <v>418</v>
      </c>
      <c r="I14193" s="2">
        <v>827</v>
      </c>
      <c r="J14193" s="2">
        <v>2080</v>
      </c>
      <c r="K14193" s="2">
        <v>2</v>
      </c>
      <c r="L14193" s="2">
        <v>419</v>
      </c>
    </row>
    <row r="14194" spans="1:12" x14ac:dyDescent="0.25">
      <c r="A14194" s="4" t="str">
        <f>HYPERLINK("http://www.rosaceae.org/Prunus/Prunus_persica/p.persica_gdr_reftransV1_0040896","p.persica_gdr_reftransV1_0040896")</f>
        <v>p.persica_gdr_reftransV1_0040896</v>
      </c>
      <c r="B14194" s="2">
        <v>1082</v>
      </c>
      <c r="C14194" s="4" t="str">
        <f>HYPERLINK("http://www.uniprot.org/uniprot/M5WCU2","M5WCU2")</f>
        <v>M5WCU2</v>
      </c>
      <c r="D14194" s="2" t="s">
        <v>11581</v>
      </c>
      <c r="E14194" s="3">
        <v>2.16E-113</v>
      </c>
      <c r="F14194" s="2">
        <v>873</v>
      </c>
      <c r="G14194" s="2">
        <v>100</v>
      </c>
      <c r="H14194" s="2">
        <v>210</v>
      </c>
      <c r="I14194" s="2">
        <v>327</v>
      </c>
      <c r="J14194" s="2">
        <v>956</v>
      </c>
      <c r="K14194" s="2">
        <v>1</v>
      </c>
      <c r="L14194" s="2">
        <v>210</v>
      </c>
    </row>
    <row r="14195" spans="1:12" x14ac:dyDescent="0.25">
      <c r="A14195" s="4" t="str">
        <f>HYPERLINK("http://www.rosaceae.org/Prunus/Prunus_persica/p.persica_gdr_reftransV1_0041596","p.persica_gdr_reftransV1_0041596")</f>
        <v>p.persica_gdr_reftransV1_0041596</v>
      </c>
      <c r="B14195" s="2">
        <v>3582</v>
      </c>
      <c r="C14195" s="4" t="str">
        <f>HYPERLINK("http://www.uniprot.org/uniprot/M5VNF2","M5VNF2")</f>
        <v>M5VNF2</v>
      </c>
      <c r="D14195" s="2" t="s">
        <v>11582</v>
      </c>
      <c r="E14195" s="3">
        <v>0</v>
      </c>
      <c r="F14195" s="2">
        <v>2174</v>
      </c>
      <c r="G14195" s="2">
        <v>100</v>
      </c>
      <c r="H14195" s="2">
        <v>430</v>
      </c>
      <c r="I14195" s="2">
        <v>136</v>
      </c>
      <c r="J14195" s="2">
        <v>1425</v>
      </c>
      <c r="K14195" s="2">
        <v>1</v>
      </c>
      <c r="L14195" s="2">
        <v>430</v>
      </c>
    </row>
    <row r="14196" spans="1:12" x14ac:dyDescent="0.25">
      <c r="A14196" s="4" t="str">
        <f>HYPERLINK("http://www.rosaceae.org/Prunus/Prunus_persica/p.persica_gdr_reftransV1_0041946","p.persica_gdr_reftransV1_0041946")</f>
        <v>p.persica_gdr_reftransV1_0041946</v>
      </c>
      <c r="B14196" s="2">
        <v>2657</v>
      </c>
      <c r="C14196" s="4" t="str">
        <f>HYPERLINK("http://www.uniprot.org/uniprot/M5WIB0","M5WIB0")</f>
        <v>M5WIB0</v>
      </c>
      <c r="D14196" s="2" t="s">
        <v>11583</v>
      </c>
      <c r="E14196" s="3">
        <v>5.1600000000000001E-95</v>
      </c>
      <c r="F14196" s="2">
        <v>796</v>
      </c>
      <c r="G14196" s="2">
        <v>99</v>
      </c>
      <c r="H14196" s="2">
        <v>146</v>
      </c>
      <c r="I14196" s="2">
        <v>1141</v>
      </c>
      <c r="J14196" s="2">
        <v>1578</v>
      </c>
      <c r="K14196" s="2">
        <v>1</v>
      </c>
      <c r="L14196" s="2">
        <v>146</v>
      </c>
    </row>
    <row r="14197" spans="1:12" x14ac:dyDescent="0.25">
      <c r="A14197" s="4" t="str">
        <f>HYPERLINK("http://www.rosaceae.org/Prunus/Prunus_persica/p.persica_gdr_reftransV1_0043346","p.persica_gdr_reftransV1_0043346")</f>
        <v>p.persica_gdr_reftransV1_0043346</v>
      </c>
      <c r="B14197" s="2">
        <v>2530</v>
      </c>
      <c r="C14197" s="4" t="str">
        <f>HYPERLINK("http://www.uniprot.org/uniprot/M5W8H0","M5W8H0")</f>
        <v>M5W8H0</v>
      </c>
      <c r="D14197" s="2" t="s">
        <v>11584</v>
      </c>
      <c r="E14197" s="3">
        <v>0</v>
      </c>
      <c r="F14197" s="2">
        <v>3602</v>
      </c>
      <c r="G14197" s="2">
        <v>100</v>
      </c>
      <c r="H14197" s="2">
        <v>690</v>
      </c>
      <c r="I14197" s="2">
        <v>118</v>
      </c>
      <c r="J14197" s="2">
        <v>2187</v>
      </c>
      <c r="K14197" s="2">
        <v>1</v>
      </c>
      <c r="L14197" s="2">
        <v>690</v>
      </c>
    </row>
    <row r="14198" spans="1:12" x14ac:dyDescent="0.25">
      <c r="A14198" s="4" t="str">
        <f>HYPERLINK("http://www.rosaceae.org/Prunus/Prunus_persica/p.persica_gdr_reftransV1_0043696","p.persica_gdr_reftransV1_0043696")</f>
        <v>p.persica_gdr_reftransV1_0043696</v>
      </c>
      <c r="B14198" s="2">
        <v>438</v>
      </c>
      <c r="C14198" s="4" t="str">
        <f>HYPERLINK("http://www.uniprot.org/uniprot/M5VM05","M5VM05")</f>
        <v>M5VM05</v>
      </c>
      <c r="D14198" s="2" t="s">
        <v>11585</v>
      </c>
      <c r="E14198" s="3">
        <v>4.1799999999999999E-44</v>
      </c>
      <c r="F14198" s="2">
        <v>407</v>
      </c>
      <c r="G14198" s="2">
        <v>97</v>
      </c>
      <c r="H14198" s="2">
        <v>114</v>
      </c>
      <c r="I14198" s="2">
        <v>2</v>
      </c>
      <c r="J14198" s="2">
        <v>343</v>
      </c>
      <c r="K14198" s="2">
        <v>359</v>
      </c>
      <c r="L14198" s="2">
        <v>472</v>
      </c>
    </row>
    <row r="14199" spans="1:12" x14ac:dyDescent="0.25">
      <c r="A14199" s="4" t="str">
        <f>HYPERLINK("http://www.rosaceae.org/Prunus/Prunus_persica/p.persica_gdr_reftransV1_0044046","p.persica_gdr_reftransV1_0044046")</f>
        <v>p.persica_gdr_reftransV1_0044046</v>
      </c>
      <c r="B14199" s="2">
        <v>922</v>
      </c>
      <c r="C14199" s="4" t="str">
        <f>HYPERLINK("http://www.uniprot.org/uniprot/M5X717","M5X717")</f>
        <v>M5X717</v>
      </c>
      <c r="D14199" s="2" t="s">
        <v>11586</v>
      </c>
      <c r="E14199" s="3">
        <v>1.97E-131</v>
      </c>
      <c r="F14199" s="2">
        <v>1016</v>
      </c>
      <c r="G14199" s="2">
        <v>100</v>
      </c>
      <c r="H14199" s="2">
        <v>215</v>
      </c>
      <c r="I14199" s="2">
        <v>1</v>
      </c>
      <c r="J14199" s="2">
        <v>645</v>
      </c>
      <c r="K14199" s="2">
        <v>303</v>
      </c>
      <c r="L14199" s="2">
        <v>517</v>
      </c>
    </row>
    <row r="14200" spans="1:12" x14ac:dyDescent="0.25">
      <c r="A14200" s="4" t="str">
        <f>HYPERLINK("http://www.rosaceae.org/Prunus/Prunus_persica/p.persica_gdr_reftransV1_0044746","p.persica_gdr_reftransV1_0044746")</f>
        <v>p.persica_gdr_reftransV1_0044746</v>
      </c>
      <c r="B14200" s="2">
        <v>1645</v>
      </c>
      <c r="C14200" s="4" t="str">
        <f>HYPERLINK("http://www.uniprot.org/uniprot/M5WAK2","M5WAK2")</f>
        <v>M5WAK2</v>
      </c>
      <c r="D14200" s="2" t="s">
        <v>11587</v>
      </c>
      <c r="E14200" s="3">
        <v>0</v>
      </c>
      <c r="F14200" s="2">
        <v>2259</v>
      </c>
      <c r="G14200" s="2">
        <v>100</v>
      </c>
      <c r="H14200" s="2">
        <v>443</v>
      </c>
      <c r="I14200" s="2">
        <v>233</v>
      </c>
      <c r="J14200" s="2">
        <v>1561</v>
      </c>
      <c r="K14200" s="2">
        <v>1</v>
      </c>
      <c r="L14200" s="2">
        <v>443</v>
      </c>
    </row>
    <row r="14201" spans="1:12" x14ac:dyDescent="0.25">
      <c r="A14201" s="4" t="str">
        <f>HYPERLINK("http://www.rosaceae.org/Prunus/Prunus_persica/p.persica_gdr_reftransV1_0045096","p.persica_gdr_reftransV1_0045096")</f>
        <v>p.persica_gdr_reftransV1_0045096</v>
      </c>
      <c r="B14201" s="2">
        <v>1091</v>
      </c>
      <c r="C14201" s="4" t="str">
        <f>HYPERLINK("http://www.uniprot.org/uniprot/M5XLA9","M5XLA9")</f>
        <v>M5XLA9</v>
      </c>
      <c r="D14201" s="2" t="s">
        <v>11588</v>
      </c>
      <c r="E14201" s="3">
        <v>4.41E-113</v>
      </c>
      <c r="F14201" s="2">
        <v>693</v>
      </c>
      <c r="G14201" s="2">
        <v>100</v>
      </c>
      <c r="H14201" s="2">
        <v>131</v>
      </c>
      <c r="I14201" s="2">
        <v>190</v>
      </c>
      <c r="J14201" s="2">
        <v>582</v>
      </c>
      <c r="K14201" s="2">
        <v>1</v>
      </c>
      <c r="L14201" s="2">
        <v>131</v>
      </c>
    </row>
    <row r="14202" spans="1:12" x14ac:dyDescent="0.25">
      <c r="A14202" s="4" t="str">
        <f>HYPERLINK("http://www.rosaceae.org/Prunus/Prunus_persica/p.persica_gdr_reftransV1_0045446","p.persica_gdr_reftransV1_0045446")</f>
        <v>p.persica_gdr_reftransV1_0045446</v>
      </c>
      <c r="B14202" s="2">
        <v>2186</v>
      </c>
      <c r="C14202" s="4" t="str">
        <f>HYPERLINK("http://www.uniprot.org/uniprot/M5VZE9","M5VZE9")</f>
        <v>M5VZE9</v>
      </c>
      <c r="D14202" s="2" t="s">
        <v>11589</v>
      </c>
      <c r="E14202" s="3">
        <v>0</v>
      </c>
      <c r="F14202" s="2">
        <v>2682</v>
      </c>
      <c r="G14202" s="2">
        <v>98</v>
      </c>
      <c r="H14202" s="2">
        <v>527</v>
      </c>
      <c r="I14202" s="2">
        <v>206</v>
      </c>
      <c r="J14202" s="2">
        <v>1777</v>
      </c>
      <c r="K14202" s="2">
        <v>1</v>
      </c>
      <c r="L14202" s="2">
        <v>527</v>
      </c>
    </row>
    <row r="14203" spans="1:12" x14ac:dyDescent="0.25">
      <c r="A14203" s="4" t="str">
        <f>HYPERLINK("http://www.rosaceae.org/Prunus/Prunus_persica/p.persica_gdr_reftransV1_0045796","p.persica_gdr_reftransV1_0045796")</f>
        <v>p.persica_gdr_reftransV1_0045796</v>
      </c>
      <c r="B14203" s="2">
        <v>854</v>
      </c>
      <c r="C14203" s="4" t="str">
        <f>HYPERLINK("http://www.uniprot.org/uniprot/M5WSZ3","M5WSZ3")</f>
        <v>M5WSZ3</v>
      </c>
      <c r="D14203" s="2" t="s">
        <v>9600</v>
      </c>
      <c r="E14203" s="3">
        <v>5.6100000000000002E-87</v>
      </c>
      <c r="F14203" s="2">
        <v>683</v>
      </c>
      <c r="G14203" s="2">
        <v>100</v>
      </c>
      <c r="H14203" s="2">
        <v>129</v>
      </c>
      <c r="I14203" s="2">
        <v>358</v>
      </c>
      <c r="J14203" s="2">
        <v>744</v>
      </c>
      <c r="K14203" s="2">
        <v>1</v>
      </c>
      <c r="L14203" s="2">
        <v>129</v>
      </c>
    </row>
    <row r="14204" spans="1:12" x14ac:dyDescent="0.25">
      <c r="A14204" s="4" t="str">
        <f>HYPERLINK("http://www.rosaceae.org/Prunus/Prunus_persica/p.persica_gdr_reftransV1_0046146","p.persica_gdr_reftransV1_0046146")</f>
        <v>p.persica_gdr_reftransV1_0046146</v>
      </c>
      <c r="B14204" s="2">
        <v>1317</v>
      </c>
      <c r="C14204" s="4" t="str">
        <f>HYPERLINK("http://www.uniprot.org/uniprot/M5WMJ3","M5WMJ3")</f>
        <v>M5WMJ3</v>
      </c>
      <c r="D14204" s="2" t="s">
        <v>11590</v>
      </c>
      <c r="E14204" s="3">
        <v>0</v>
      </c>
      <c r="F14204" s="2">
        <v>1552</v>
      </c>
      <c r="G14204" s="2">
        <v>100</v>
      </c>
      <c r="H14204" s="2">
        <v>336</v>
      </c>
      <c r="I14204" s="2">
        <v>169</v>
      </c>
      <c r="J14204" s="2">
        <v>1176</v>
      </c>
      <c r="K14204" s="2">
        <v>22</v>
      </c>
      <c r="L14204" s="2">
        <v>357</v>
      </c>
    </row>
    <row r="14205" spans="1:12" x14ac:dyDescent="0.25">
      <c r="A14205" s="4" t="str">
        <f>HYPERLINK("http://www.rosaceae.org/Prunus/Prunus_persica/p.persica_gdr_reftransV1_0047196","p.persica_gdr_reftransV1_0047196")</f>
        <v>p.persica_gdr_reftransV1_0047196</v>
      </c>
      <c r="B14205" s="2">
        <v>760</v>
      </c>
      <c r="C14205" s="4" t="str">
        <f>HYPERLINK("http://www.uniprot.org/uniprot/M5VVI3","M5VVI3")</f>
        <v>M5VVI3</v>
      </c>
      <c r="D14205" s="2" t="s">
        <v>11591</v>
      </c>
      <c r="E14205" s="3">
        <v>8.4399999999999993E-164</v>
      </c>
      <c r="F14205" s="2">
        <v>1230</v>
      </c>
      <c r="G14205" s="2">
        <v>89</v>
      </c>
      <c r="H14205" s="2">
        <v>253</v>
      </c>
      <c r="I14205" s="2">
        <v>2</v>
      </c>
      <c r="J14205" s="2">
        <v>760</v>
      </c>
      <c r="K14205" s="2">
        <v>277</v>
      </c>
      <c r="L14205" s="2">
        <v>529</v>
      </c>
    </row>
    <row r="14206" spans="1:12" x14ac:dyDescent="0.25">
      <c r="A14206" s="4" t="str">
        <f>HYPERLINK("http://www.rosaceae.org/Prunus/Prunus_persica/p.persica_gdr_reftransV1_0047546","p.persica_gdr_reftransV1_0047546")</f>
        <v>p.persica_gdr_reftransV1_0047546</v>
      </c>
      <c r="B14206" s="2">
        <v>981</v>
      </c>
      <c r="C14206" s="4" t="str">
        <f>HYPERLINK("http://www.uniprot.org/uniprot/M5XLW6","M5XLW6")</f>
        <v>M5XLW6</v>
      </c>
      <c r="D14206" s="2" t="s">
        <v>8363</v>
      </c>
      <c r="E14206" s="3">
        <v>5.4100000000000003E-120</v>
      </c>
      <c r="F14206" s="2">
        <v>911</v>
      </c>
      <c r="G14206" s="2">
        <v>100</v>
      </c>
      <c r="H14206" s="2">
        <v>193</v>
      </c>
      <c r="I14206" s="2">
        <v>124</v>
      </c>
      <c r="J14206" s="2">
        <v>702</v>
      </c>
      <c r="K14206" s="2">
        <v>1</v>
      </c>
      <c r="L14206" s="2">
        <v>193</v>
      </c>
    </row>
    <row r="14207" spans="1:12" x14ac:dyDescent="0.25">
      <c r="A14207" s="4" t="str">
        <f>HYPERLINK("http://www.rosaceae.org/Prunus/Prunus_persica/p.persica_gdr_reftransV1_0047896","p.persica_gdr_reftransV1_0047896")</f>
        <v>p.persica_gdr_reftransV1_0047896</v>
      </c>
      <c r="B14207" s="2">
        <v>336</v>
      </c>
      <c r="C14207" s="4" t="str">
        <f>HYPERLINK("http://www.uniprot.org/uniprot/M5XSP0","M5XSP0")</f>
        <v>M5XSP0</v>
      </c>
      <c r="D14207" s="2" t="s">
        <v>11592</v>
      </c>
      <c r="E14207" s="3">
        <v>3.4100000000000002E-62</v>
      </c>
      <c r="F14207" s="2">
        <v>511</v>
      </c>
      <c r="G14207" s="2">
        <v>100</v>
      </c>
      <c r="H14207" s="2">
        <v>96</v>
      </c>
      <c r="I14207" s="2">
        <v>48</v>
      </c>
      <c r="J14207" s="2">
        <v>335</v>
      </c>
      <c r="K14207" s="2">
        <v>21</v>
      </c>
      <c r="L14207" s="2">
        <v>116</v>
      </c>
    </row>
    <row r="14208" spans="1:12" x14ac:dyDescent="0.25">
      <c r="A14208" s="4" t="str">
        <f>HYPERLINK("http://www.rosaceae.org/Prunus/Prunus_persica/p.persica_gdr_reftransV1_0048596","p.persica_gdr_reftransV1_0048596")</f>
        <v>p.persica_gdr_reftransV1_0048596</v>
      </c>
      <c r="B14208" s="2">
        <v>2200</v>
      </c>
      <c r="C14208" s="4" t="str">
        <f>HYPERLINK("http://www.uniprot.org/uniprot/M5VGY2","M5VGY2")</f>
        <v>M5VGY2</v>
      </c>
      <c r="D14208" s="2" t="s">
        <v>11593</v>
      </c>
      <c r="E14208" s="3">
        <v>0</v>
      </c>
      <c r="F14208" s="2">
        <v>2814</v>
      </c>
      <c r="G14208" s="2">
        <v>100</v>
      </c>
      <c r="H14208" s="2">
        <v>545</v>
      </c>
      <c r="I14208" s="2">
        <v>2</v>
      </c>
      <c r="J14208" s="2">
        <v>1636</v>
      </c>
      <c r="K14208" s="2">
        <v>1</v>
      </c>
      <c r="L14208" s="2">
        <v>545</v>
      </c>
    </row>
    <row r="14209" spans="1:12" x14ac:dyDescent="0.25">
      <c r="A14209" s="4" t="str">
        <f>HYPERLINK("http://www.rosaceae.org/Prunus/Prunus_persica/p.persica_gdr_reftransV1_0048946","p.persica_gdr_reftransV1_0048946")</f>
        <v>p.persica_gdr_reftransV1_0048946</v>
      </c>
      <c r="B14209" s="2">
        <v>1043</v>
      </c>
      <c r="C14209" s="4" t="str">
        <f>HYPERLINK("http://www.uniprot.org/uniprot/M5X8J1","M5X8J1")</f>
        <v>M5X8J1</v>
      </c>
      <c r="D14209" s="2" t="s">
        <v>11594</v>
      </c>
      <c r="E14209" s="3">
        <v>5.84E-72</v>
      </c>
      <c r="F14209" s="2">
        <v>593</v>
      </c>
      <c r="G14209" s="2">
        <v>100</v>
      </c>
      <c r="H14209" s="2">
        <v>134</v>
      </c>
      <c r="I14209" s="2">
        <v>2</v>
      </c>
      <c r="J14209" s="2">
        <v>403</v>
      </c>
      <c r="K14209" s="2">
        <v>39</v>
      </c>
      <c r="L14209" s="2">
        <v>172</v>
      </c>
    </row>
    <row r="14210" spans="1:12" x14ac:dyDescent="0.25">
      <c r="A14210" s="4" t="str">
        <f>HYPERLINK("http://www.rosaceae.org/Prunus/Prunus_persica/p.persica_gdr_reftransV1_0000297","p.persica_gdr_reftransV1_0000297")</f>
        <v>p.persica_gdr_reftransV1_0000297</v>
      </c>
      <c r="B14210" s="2">
        <v>2820</v>
      </c>
      <c r="C14210" s="4" t="str">
        <f>HYPERLINK("http://www.uniprot.org/uniprot/M5WDX2","M5WDX2")</f>
        <v>M5WDX2</v>
      </c>
      <c r="D14210" s="2" t="s">
        <v>8533</v>
      </c>
      <c r="E14210" s="3">
        <v>0</v>
      </c>
      <c r="F14210" s="2">
        <v>3348</v>
      </c>
      <c r="G14210" s="2">
        <v>100</v>
      </c>
      <c r="H14210" s="2">
        <v>653</v>
      </c>
      <c r="I14210" s="2">
        <v>515</v>
      </c>
      <c r="J14210" s="2">
        <v>2473</v>
      </c>
      <c r="K14210" s="2">
        <v>1</v>
      </c>
      <c r="L14210" s="2">
        <v>653</v>
      </c>
    </row>
    <row r="14211" spans="1:12" x14ac:dyDescent="0.25">
      <c r="A14211" s="4" t="str">
        <f>HYPERLINK("http://www.rosaceae.org/Prunus/Prunus_persica/p.persica_gdr_reftransV1_0000647","p.persica_gdr_reftransV1_0000647")</f>
        <v>p.persica_gdr_reftransV1_0000647</v>
      </c>
      <c r="B14211" s="2">
        <v>1649</v>
      </c>
      <c r="C14211" s="4" t="str">
        <f>HYPERLINK("http://www.uniprot.org/uniprot/M5WQR6","M5WQR6")</f>
        <v>M5WQR6</v>
      </c>
      <c r="D14211" s="2" t="s">
        <v>11595</v>
      </c>
      <c r="E14211" s="3">
        <v>7.2700000000000003E-40</v>
      </c>
      <c r="F14211" s="2">
        <v>420</v>
      </c>
      <c r="G14211" s="2">
        <v>63</v>
      </c>
      <c r="H14211" s="2">
        <v>141</v>
      </c>
      <c r="I14211" s="2">
        <v>1123</v>
      </c>
      <c r="J14211" s="2">
        <v>1545</v>
      </c>
      <c r="K14211" s="2">
        <v>3</v>
      </c>
      <c r="L14211" s="2">
        <v>143</v>
      </c>
    </row>
    <row r="14212" spans="1:12" x14ac:dyDescent="0.25">
      <c r="A14212" s="4" t="str">
        <f>HYPERLINK("http://www.rosaceae.org/Prunus/Prunus_persica/p.persica_gdr_reftransV1_0001347","p.persica_gdr_reftransV1_0001347")</f>
        <v>p.persica_gdr_reftransV1_0001347</v>
      </c>
      <c r="B14212" s="2">
        <v>4498</v>
      </c>
      <c r="C14212" s="4" t="str">
        <f>HYPERLINK("http://www.uniprot.org/uniprot/M5XMD5","M5XMD5")</f>
        <v>M5XMD5</v>
      </c>
      <c r="D14212" s="2" t="s">
        <v>11596</v>
      </c>
      <c r="E14212" s="3">
        <v>0</v>
      </c>
      <c r="F14212" s="2">
        <v>6899</v>
      </c>
      <c r="G14212" s="2">
        <v>97</v>
      </c>
      <c r="H14212" s="2">
        <v>1417</v>
      </c>
      <c r="I14212" s="2">
        <v>151</v>
      </c>
      <c r="J14212" s="2">
        <v>4401</v>
      </c>
      <c r="K14212" s="2">
        <v>1</v>
      </c>
      <c r="L14212" s="2">
        <v>1381</v>
      </c>
    </row>
    <row r="14213" spans="1:12" x14ac:dyDescent="0.25">
      <c r="A14213" s="4" t="str">
        <f>HYPERLINK("http://www.rosaceae.org/Prunus/Prunus_persica/p.persica_gdr_reftransV1_0002047","p.persica_gdr_reftransV1_0002047")</f>
        <v>p.persica_gdr_reftransV1_0002047</v>
      </c>
      <c r="B14213" s="2">
        <v>832</v>
      </c>
      <c r="C14213" s="4" t="str">
        <f>HYPERLINK("http://www.uniprot.org/uniprot/M5WJF7","M5WJF7")</f>
        <v>M5WJF7</v>
      </c>
      <c r="D14213" s="2" t="s">
        <v>11597</v>
      </c>
      <c r="E14213" s="3">
        <v>7.6400000000000001E-63</v>
      </c>
      <c r="F14213" s="2">
        <v>523</v>
      </c>
      <c r="G14213" s="2">
        <v>100</v>
      </c>
      <c r="H14213" s="2">
        <v>121</v>
      </c>
      <c r="I14213" s="2">
        <v>98</v>
      </c>
      <c r="J14213" s="2">
        <v>460</v>
      </c>
      <c r="K14213" s="2">
        <v>1</v>
      </c>
      <c r="L14213" s="2">
        <v>121</v>
      </c>
    </row>
    <row r="14214" spans="1:12" x14ac:dyDescent="0.25">
      <c r="A14214" s="4" t="str">
        <f>HYPERLINK("http://www.rosaceae.org/Prunus/Prunus_persica/p.persica_gdr_reftransV1_0002397","p.persica_gdr_reftransV1_0002397")</f>
        <v>p.persica_gdr_reftransV1_0002397</v>
      </c>
      <c r="B14214" s="2">
        <v>1417</v>
      </c>
      <c r="C14214" s="4" t="str">
        <f>HYPERLINK("http://www.uniprot.org/uniprot/M5VKC4","M5VKC4")</f>
        <v>M5VKC4</v>
      </c>
      <c r="D14214" s="2" t="s">
        <v>7073</v>
      </c>
      <c r="E14214" s="3">
        <v>2.8299999999999999E-137</v>
      </c>
      <c r="F14214" s="2">
        <v>1045</v>
      </c>
      <c r="G14214" s="2">
        <v>87</v>
      </c>
      <c r="H14214" s="2">
        <v>269</v>
      </c>
      <c r="I14214" s="2">
        <v>203</v>
      </c>
      <c r="J14214" s="2">
        <v>1009</v>
      </c>
      <c r="K14214" s="2">
        <v>1</v>
      </c>
      <c r="L14214" s="2">
        <v>236</v>
      </c>
    </row>
    <row r="14215" spans="1:12" x14ac:dyDescent="0.25">
      <c r="A14215" s="4" t="str">
        <f>HYPERLINK("http://www.rosaceae.org/Prunus/Prunus_persica/p.persica_gdr_reftransV1_0003447","p.persica_gdr_reftransV1_0003447")</f>
        <v>p.persica_gdr_reftransV1_0003447</v>
      </c>
      <c r="B14215" s="2">
        <v>1484</v>
      </c>
      <c r="C14215" s="4" t="str">
        <f>HYPERLINK("http://www.uniprot.org/uniprot/M5W9G0","M5W9G0")</f>
        <v>M5W9G0</v>
      </c>
      <c r="D14215" s="2" t="s">
        <v>11598</v>
      </c>
      <c r="E14215" s="3">
        <v>0</v>
      </c>
      <c r="F14215" s="2">
        <v>1752</v>
      </c>
      <c r="G14215" s="2">
        <v>96</v>
      </c>
      <c r="H14215" s="2">
        <v>342</v>
      </c>
      <c r="I14215" s="2">
        <v>260</v>
      </c>
      <c r="J14215" s="2">
        <v>1285</v>
      </c>
      <c r="K14215" s="2">
        <v>1</v>
      </c>
      <c r="L14215" s="2">
        <v>342</v>
      </c>
    </row>
    <row r="14216" spans="1:12" x14ac:dyDescent="0.25">
      <c r="A14216" s="4" t="str">
        <f>HYPERLINK("http://www.rosaceae.org/Prunus/Prunus_persica/p.persica_gdr_reftransV1_0004147","p.persica_gdr_reftransV1_0004147")</f>
        <v>p.persica_gdr_reftransV1_0004147</v>
      </c>
      <c r="B14216" s="2">
        <v>3255</v>
      </c>
      <c r="C14216" s="4" t="str">
        <f>HYPERLINK("http://www.uniprot.org/uniprot/M5WZS3","M5WZS3")</f>
        <v>M5WZS3</v>
      </c>
      <c r="D14216" s="2" t="s">
        <v>11599</v>
      </c>
      <c r="E14216" s="3">
        <v>0</v>
      </c>
      <c r="F14216" s="2">
        <v>1883</v>
      </c>
      <c r="G14216" s="2">
        <v>100</v>
      </c>
      <c r="H14216" s="2">
        <v>717</v>
      </c>
      <c r="I14216" s="2">
        <v>277</v>
      </c>
      <c r="J14216" s="2">
        <v>2427</v>
      </c>
      <c r="K14216" s="2">
        <v>1</v>
      </c>
      <c r="L14216" s="2">
        <v>717</v>
      </c>
    </row>
    <row r="14217" spans="1:12" x14ac:dyDescent="0.25">
      <c r="A14217" s="4" t="str">
        <f>HYPERLINK("http://www.rosaceae.org/Prunus/Prunus_persica/p.persica_gdr_reftransV1_0004847","p.persica_gdr_reftransV1_0004847")</f>
        <v>p.persica_gdr_reftransV1_0004847</v>
      </c>
      <c r="B14217" s="2">
        <v>355</v>
      </c>
      <c r="C14217" s="4" t="str">
        <f>HYPERLINK("http://www.uniprot.org/uniprot/M5X609","M5X609")</f>
        <v>M5X609</v>
      </c>
      <c r="D14217" s="2" t="s">
        <v>8739</v>
      </c>
      <c r="E14217" s="3">
        <v>2.1800000000000001E-27</v>
      </c>
      <c r="F14217" s="2">
        <v>291</v>
      </c>
      <c r="G14217" s="2">
        <v>100</v>
      </c>
      <c r="H14217" s="2">
        <v>56</v>
      </c>
      <c r="I14217" s="2">
        <v>2</v>
      </c>
      <c r="J14217" s="2">
        <v>169</v>
      </c>
      <c r="K14217" s="2">
        <v>899</v>
      </c>
      <c r="L14217" s="2">
        <v>954</v>
      </c>
    </row>
    <row r="14218" spans="1:12" x14ac:dyDescent="0.25">
      <c r="A14218" s="4" t="str">
        <f>HYPERLINK("http://www.rosaceae.org/Prunus/Prunus_persica/p.persica_gdr_reftransV1_0005197","p.persica_gdr_reftransV1_0005197")</f>
        <v>p.persica_gdr_reftransV1_0005197</v>
      </c>
      <c r="B14218" s="2">
        <v>1108</v>
      </c>
      <c r="C14218" s="4" t="str">
        <f>HYPERLINK("http://www.uniprot.org/uniprot/M5WFB5","M5WFB5")</f>
        <v>M5WFB5</v>
      </c>
      <c r="D14218" s="2" t="s">
        <v>10248</v>
      </c>
      <c r="E14218" s="3">
        <v>0</v>
      </c>
      <c r="F14218" s="2">
        <v>1381</v>
      </c>
      <c r="G14218" s="2">
        <v>97</v>
      </c>
      <c r="H14218" s="2">
        <v>270</v>
      </c>
      <c r="I14218" s="2">
        <v>148</v>
      </c>
      <c r="J14218" s="2">
        <v>957</v>
      </c>
      <c r="K14218" s="2">
        <v>490</v>
      </c>
      <c r="L14218" s="2">
        <v>759</v>
      </c>
    </row>
    <row r="14219" spans="1:12" x14ac:dyDescent="0.25">
      <c r="A14219" s="4" t="str">
        <f>HYPERLINK("http://www.rosaceae.org/Prunus/Prunus_persica/p.persica_gdr_reftransV1_0005897","p.persica_gdr_reftransV1_0005897")</f>
        <v>p.persica_gdr_reftransV1_0005897</v>
      </c>
      <c r="B14219" s="2">
        <v>485</v>
      </c>
      <c r="C14219" s="4" t="str">
        <f>HYPERLINK("http://www.uniprot.org/uniprot/M5XTA8","M5XTA8")</f>
        <v>M5XTA8</v>
      </c>
      <c r="D14219" s="2" t="s">
        <v>8568</v>
      </c>
      <c r="E14219" s="3">
        <v>9.5900000000000006E-19</v>
      </c>
      <c r="F14219" s="2">
        <v>228</v>
      </c>
      <c r="G14219" s="2">
        <v>50</v>
      </c>
      <c r="H14219" s="2">
        <v>106</v>
      </c>
      <c r="I14219" s="2">
        <v>5</v>
      </c>
      <c r="J14219" s="2">
        <v>313</v>
      </c>
      <c r="K14219" s="2">
        <v>447</v>
      </c>
      <c r="L14219" s="2">
        <v>548</v>
      </c>
    </row>
    <row r="14220" spans="1:12" x14ac:dyDescent="0.25">
      <c r="A14220" s="4" t="str">
        <f>HYPERLINK("http://www.rosaceae.org/Prunus/Prunus_persica/p.persica_gdr_reftransV1_0006247","p.persica_gdr_reftransV1_0006247")</f>
        <v>p.persica_gdr_reftransV1_0006247</v>
      </c>
      <c r="B14220" s="2">
        <v>457</v>
      </c>
      <c r="C14220" s="4" t="str">
        <f>HYPERLINK("http://www.uniprot.org/uniprot/M5XVL6","M5XVL6")</f>
        <v>M5XVL6</v>
      </c>
      <c r="D14220" s="2" t="s">
        <v>9329</v>
      </c>
      <c r="E14220" s="3">
        <v>6.0800000000000002E-88</v>
      </c>
      <c r="F14220" s="2">
        <v>706</v>
      </c>
      <c r="G14220" s="2">
        <v>100</v>
      </c>
      <c r="H14220" s="2">
        <v>134</v>
      </c>
      <c r="I14220" s="2">
        <v>55</v>
      </c>
      <c r="J14220" s="2">
        <v>456</v>
      </c>
      <c r="K14220" s="2">
        <v>1</v>
      </c>
      <c r="L14220" s="2">
        <v>134</v>
      </c>
    </row>
    <row r="14221" spans="1:12" x14ac:dyDescent="0.25">
      <c r="A14221" s="4" t="str">
        <f>HYPERLINK("http://www.rosaceae.org/Prunus/Prunus_persica/p.persica_gdr_reftransV1_0006597","p.persica_gdr_reftransV1_0006597")</f>
        <v>p.persica_gdr_reftransV1_0006597</v>
      </c>
      <c r="B14221" s="2">
        <v>2275</v>
      </c>
      <c r="C14221" s="4" t="str">
        <f>HYPERLINK("http://www.uniprot.org/uniprot/M5Y3L0","M5Y3L0")</f>
        <v>M5Y3L0</v>
      </c>
      <c r="D14221" s="2" t="s">
        <v>10116</v>
      </c>
      <c r="E14221" s="3">
        <v>0</v>
      </c>
      <c r="F14221" s="2">
        <v>3484</v>
      </c>
      <c r="G14221" s="2">
        <v>100</v>
      </c>
      <c r="H14221" s="2">
        <v>667</v>
      </c>
      <c r="I14221" s="2">
        <v>274</v>
      </c>
      <c r="J14221" s="2">
        <v>2274</v>
      </c>
      <c r="K14221" s="2">
        <v>25</v>
      </c>
      <c r="L14221" s="2">
        <v>689</v>
      </c>
    </row>
    <row r="14222" spans="1:12" x14ac:dyDescent="0.25">
      <c r="A14222" s="4" t="str">
        <f>HYPERLINK("http://www.rosaceae.org/Prunus/Prunus_persica/p.persica_gdr_reftransV1_0006947","p.persica_gdr_reftransV1_0006947")</f>
        <v>p.persica_gdr_reftransV1_0006947</v>
      </c>
      <c r="B14222" s="2">
        <v>536</v>
      </c>
      <c r="C14222" s="4" t="str">
        <f>HYPERLINK("http://www.uniprot.org/uniprot/M5W7F2","M5W7F2")</f>
        <v>M5W7F2</v>
      </c>
      <c r="D14222" s="2" t="s">
        <v>11600</v>
      </c>
      <c r="E14222" s="3">
        <v>8.5E-94</v>
      </c>
      <c r="F14222" s="2">
        <v>752</v>
      </c>
      <c r="G14222" s="2">
        <v>100</v>
      </c>
      <c r="H14222" s="2">
        <v>142</v>
      </c>
      <c r="I14222" s="2">
        <v>110</v>
      </c>
      <c r="J14222" s="2">
        <v>535</v>
      </c>
      <c r="K14222" s="2">
        <v>388</v>
      </c>
      <c r="L14222" s="2">
        <v>529</v>
      </c>
    </row>
    <row r="14223" spans="1:12" x14ac:dyDescent="0.25">
      <c r="A14223" s="4" t="str">
        <f>HYPERLINK("http://www.rosaceae.org/Prunus/Prunus_persica/p.persica_gdr_reftransV1_0007647","p.persica_gdr_reftransV1_0007647")</f>
        <v>p.persica_gdr_reftransV1_0007647</v>
      </c>
      <c r="B14223" s="2">
        <v>960</v>
      </c>
      <c r="C14223" s="4" t="str">
        <f>HYPERLINK("http://www.uniprot.org/uniprot/M5XTD5","M5XTD5")</f>
        <v>M5XTD5</v>
      </c>
      <c r="D14223" s="2" t="s">
        <v>11601</v>
      </c>
      <c r="E14223" s="3">
        <v>2.44E-75</v>
      </c>
      <c r="F14223" s="2">
        <v>611</v>
      </c>
      <c r="G14223" s="2">
        <v>100</v>
      </c>
      <c r="H14223" s="2">
        <v>157</v>
      </c>
      <c r="I14223" s="2">
        <v>244</v>
      </c>
      <c r="J14223" s="2">
        <v>714</v>
      </c>
      <c r="K14223" s="2">
        <v>1</v>
      </c>
      <c r="L14223" s="2">
        <v>157</v>
      </c>
    </row>
    <row r="14224" spans="1:12" x14ac:dyDescent="0.25">
      <c r="A14224" s="4" t="str">
        <f>HYPERLINK("http://www.rosaceae.org/Prunus/Prunus_persica/p.persica_gdr_reftransV1_0007997","p.persica_gdr_reftransV1_0007997")</f>
        <v>p.persica_gdr_reftransV1_0007997</v>
      </c>
      <c r="B14224" s="2">
        <v>1206</v>
      </c>
      <c r="C14224" s="4" t="str">
        <f>HYPERLINK("http://www.uniprot.org/uniprot/M5X390","M5X390")</f>
        <v>M5X390</v>
      </c>
      <c r="D14224" s="2" t="s">
        <v>11602</v>
      </c>
      <c r="E14224" s="3">
        <v>0</v>
      </c>
      <c r="F14224" s="2">
        <v>1415</v>
      </c>
      <c r="G14224" s="2">
        <v>100</v>
      </c>
      <c r="H14224" s="2">
        <v>291</v>
      </c>
      <c r="I14224" s="2">
        <v>285</v>
      </c>
      <c r="J14224" s="2">
        <v>1157</v>
      </c>
      <c r="K14224" s="2">
        <v>1</v>
      </c>
      <c r="L14224" s="2">
        <v>291</v>
      </c>
    </row>
    <row r="14225" spans="1:12" x14ac:dyDescent="0.25">
      <c r="A14225" s="4" t="str">
        <f>HYPERLINK("http://www.rosaceae.org/Prunus/Prunus_persica/p.persica_gdr_reftransV1_0008347","p.persica_gdr_reftransV1_0008347")</f>
        <v>p.persica_gdr_reftransV1_0008347</v>
      </c>
      <c r="B14225" s="2">
        <v>2122</v>
      </c>
      <c r="C14225" s="4" t="str">
        <f>HYPERLINK("http://www.uniprot.org/uniprot/M5VVM0","M5VVM0")</f>
        <v>M5VVM0</v>
      </c>
      <c r="D14225" s="2" t="s">
        <v>11603</v>
      </c>
      <c r="E14225" s="3">
        <v>0</v>
      </c>
      <c r="F14225" s="2">
        <v>2883</v>
      </c>
      <c r="G14225" s="2">
        <v>100</v>
      </c>
      <c r="H14225" s="2">
        <v>544</v>
      </c>
      <c r="I14225" s="2">
        <v>70</v>
      </c>
      <c r="J14225" s="2">
        <v>1701</v>
      </c>
      <c r="K14225" s="2">
        <v>22</v>
      </c>
      <c r="L14225" s="2">
        <v>565</v>
      </c>
    </row>
    <row r="14226" spans="1:12" x14ac:dyDescent="0.25">
      <c r="A14226" s="4" t="str">
        <f>HYPERLINK("http://www.rosaceae.org/Prunus/Prunus_persica/p.persica_gdr_reftransV1_0009747","p.persica_gdr_reftransV1_0009747")</f>
        <v>p.persica_gdr_reftransV1_0009747</v>
      </c>
      <c r="B14226" s="2">
        <v>2881</v>
      </c>
      <c r="C14226" s="4" t="str">
        <f>HYPERLINK("http://www.uniprot.org/uniprot/M5WY07","M5WY07")</f>
        <v>M5WY07</v>
      </c>
      <c r="D14226" s="2" t="s">
        <v>11459</v>
      </c>
      <c r="E14226" s="3">
        <v>0</v>
      </c>
      <c r="F14226" s="2">
        <v>3811</v>
      </c>
      <c r="G14226" s="2">
        <v>93</v>
      </c>
      <c r="H14226" s="2">
        <v>870</v>
      </c>
      <c r="I14226" s="2">
        <v>134</v>
      </c>
      <c r="J14226" s="2">
        <v>2650</v>
      </c>
      <c r="K14226" s="2">
        <v>1</v>
      </c>
      <c r="L14226" s="2">
        <v>870</v>
      </c>
    </row>
    <row r="14227" spans="1:12" x14ac:dyDescent="0.25">
      <c r="A14227" s="4" t="str">
        <f>HYPERLINK("http://www.rosaceae.org/Prunus/Prunus_persica/p.persica_gdr_reftransV1_0010097","p.persica_gdr_reftransV1_0010097")</f>
        <v>p.persica_gdr_reftransV1_0010097</v>
      </c>
      <c r="B14227" s="2">
        <v>1612</v>
      </c>
      <c r="C14227" s="4" t="str">
        <f>HYPERLINK("http://www.uniprot.org/uniprot/B9SGD4","B9SGD4")</f>
        <v>B9SGD4</v>
      </c>
      <c r="D14227" s="2" t="s">
        <v>11604</v>
      </c>
      <c r="E14227" s="3">
        <v>0</v>
      </c>
      <c r="F14227" s="2">
        <v>1679</v>
      </c>
      <c r="G14227" s="2">
        <v>91</v>
      </c>
      <c r="H14227" s="2">
        <v>356</v>
      </c>
      <c r="I14227" s="2">
        <v>502</v>
      </c>
      <c r="J14227" s="2">
        <v>1566</v>
      </c>
      <c r="K14227" s="2">
        <v>1</v>
      </c>
      <c r="L14227" s="2">
        <v>355</v>
      </c>
    </row>
    <row r="14228" spans="1:12" x14ac:dyDescent="0.25">
      <c r="A14228" s="4" t="str">
        <f>HYPERLINK("http://www.rosaceae.org/Prunus/Prunus_persica/p.persica_gdr_reftransV1_0010447","p.persica_gdr_reftransV1_0010447")</f>
        <v>p.persica_gdr_reftransV1_0010447</v>
      </c>
      <c r="B14228" s="2">
        <v>3886</v>
      </c>
      <c r="C14228" s="4" t="str">
        <f>HYPERLINK("http://www.uniprot.org/uniprot/M5VTN4","M5VTN4")</f>
        <v>M5VTN4</v>
      </c>
      <c r="D14228" s="2" t="s">
        <v>7478</v>
      </c>
      <c r="E14228" s="3">
        <v>0</v>
      </c>
      <c r="F14228" s="2">
        <v>4634</v>
      </c>
      <c r="G14228" s="2">
        <v>96</v>
      </c>
      <c r="H14228" s="2">
        <v>994</v>
      </c>
      <c r="I14228" s="2">
        <v>733</v>
      </c>
      <c r="J14228" s="2">
        <v>3693</v>
      </c>
      <c r="K14228" s="2">
        <v>25</v>
      </c>
      <c r="L14228" s="2">
        <v>1018</v>
      </c>
    </row>
    <row r="14229" spans="1:12" x14ac:dyDescent="0.25">
      <c r="A14229" s="4" t="str">
        <f>HYPERLINK("http://www.rosaceae.org/Prunus/Prunus_persica/p.persica_gdr_reftransV1_0010797","p.persica_gdr_reftransV1_0010797")</f>
        <v>p.persica_gdr_reftransV1_0010797</v>
      </c>
      <c r="B14229" s="2">
        <v>2666</v>
      </c>
      <c r="C14229" s="4" t="str">
        <f>HYPERLINK("http://www.uniprot.org/uniprot/M5XK61","M5XK61")</f>
        <v>M5XK61</v>
      </c>
      <c r="D14229" s="2" t="s">
        <v>11605</v>
      </c>
      <c r="E14229" s="3">
        <v>0</v>
      </c>
      <c r="F14229" s="2">
        <v>3519</v>
      </c>
      <c r="G14229" s="2">
        <v>100</v>
      </c>
      <c r="H14229" s="2">
        <v>655</v>
      </c>
      <c r="I14229" s="2">
        <v>4</v>
      </c>
      <c r="J14229" s="2">
        <v>1968</v>
      </c>
      <c r="K14229" s="2">
        <v>1</v>
      </c>
      <c r="L14229" s="2">
        <v>655</v>
      </c>
    </row>
    <row r="14230" spans="1:12" x14ac:dyDescent="0.25">
      <c r="A14230" s="4" t="str">
        <f>HYPERLINK("http://www.rosaceae.org/Prunus/Prunus_persica/p.persica_gdr_reftransV1_0012197","p.persica_gdr_reftransV1_0012197")</f>
        <v>p.persica_gdr_reftransV1_0012197</v>
      </c>
      <c r="B14230" s="2">
        <v>1239</v>
      </c>
      <c r="C14230" s="4" t="str">
        <f>HYPERLINK("http://www.uniprot.org/uniprot/M5XNL4","M5XNL4")</f>
        <v>M5XNL4</v>
      </c>
      <c r="D14230" s="2" t="s">
        <v>11606</v>
      </c>
      <c r="E14230" s="3">
        <v>2.34E-169</v>
      </c>
      <c r="F14230" s="2">
        <v>964</v>
      </c>
      <c r="G14230" s="2">
        <v>99</v>
      </c>
      <c r="H14230" s="2">
        <v>179</v>
      </c>
      <c r="I14230" s="2">
        <v>374</v>
      </c>
      <c r="J14230" s="2">
        <v>910</v>
      </c>
      <c r="K14230" s="2">
        <v>121</v>
      </c>
      <c r="L14230" s="2">
        <v>299</v>
      </c>
    </row>
    <row r="14231" spans="1:12" x14ac:dyDescent="0.25">
      <c r="A14231" s="4" t="str">
        <f>HYPERLINK("http://www.rosaceae.org/Prunus/Prunus_persica/p.persica_gdr_reftransV1_0012547","p.persica_gdr_reftransV1_0012547")</f>
        <v>p.persica_gdr_reftransV1_0012547</v>
      </c>
      <c r="B14231" s="2">
        <v>586</v>
      </c>
      <c r="C14231" s="4" t="str">
        <f>HYPERLINK("http://www.uniprot.org/uniprot/M5WAK1","M5WAK1")</f>
        <v>M5WAK1</v>
      </c>
      <c r="D14231" s="2" t="s">
        <v>2388</v>
      </c>
      <c r="E14231" s="3">
        <v>1.5100000000000001E-65</v>
      </c>
      <c r="F14231" s="2">
        <v>541</v>
      </c>
      <c r="G14231" s="2">
        <v>100</v>
      </c>
      <c r="H14231" s="2">
        <v>105</v>
      </c>
      <c r="I14231" s="2">
        <v>2</v>
      </c>
      <c r="J14231" s="2">
        <v>316</v>
      </c>
      <c r="K14231" s="2">
        <v>130</v>
      </c>
      <c r="L14231" s="2">
        <v>234</v>
      </c>
    </row>
    <row r="14232" spans="1:12" x14ac:dyDescent="0.25">
      <c r="A14232" s="4" t="str">
        <f>HYPERLINK("http://www.rosaceae.org/Prunus/Prunus_persica/p.persica_gdr_reftransV1_0012897","p.persica_gdr_reftransV1_0012897")</f>
        <v>p.persica_gdr_reftransV1_0012897</v>
      </c>
      <c r="B14232" s="2">
        <v>2024</v>
      </c>
      <c r="C14232" s="4" t="str">
        <f>HYPERLINK("http://www.uniprot.org/uniprot/M5X6S6","M5X6S6")</f>
        <v>M5X6S6</v>
      </c>
      <c r="D14232" s="2" t="s">
        <v>11607</v>
      </c>
      <c r="E14232" s="3">
        <v>0</v>
      </c>
      <c r="F14232" s="2">
        <v>2348</v>
      </c>
      <c r="G14232" s="2">
        <v>87</v>
      </c>
      <c r="H14232" s="2">
        <v>528</v>
      </c>
      <c r="I14232" s="2">
        <v>407</v>
      </c>
      <c r="J14232" s="2">
        <v>1966</v>
      </c>
      <c r="K14232" s="2">
        <v>480</v>
      </c>
      <c r="L14232" s="2">
        <v>965</v>
      </c>
    </row>
    <row r="14233" spans="1:12" x14ac:dyDescent="0.25">
      <c r="A14233" s="4" t="str">
        <f>HYPERLINK("http://www.rosaceae.org/Prunus/Prunus_persica/p.persica_gdr_reftransV1_0013247","p.persica_gdr_reftransV1_0013247")</f>
        <v>p.persica_gdr_reftransV1_0013247</v>
      </c>
      <c r="B14233" s="2">
        <v>1424</v>
      </c>
      <c r="C14233" s="4" t="str">
        <f>HYPERLINK("http://www.uniprot.org/uniprot/M5VM39","M5VM39")</f>
        <v>M5VM39</v>
      </c>
      <c r="D14233" s="2" t="s">
        <v>11608</v>
      </c>
      <c r="E14233" s="3">
        <v>0</v>
      </c>
      <c r="F14233" s="2">
        <v>1605</v>
      </c>
      <c r="G14233" s="2">
        <v>100</v>
      </c>
      <c r="H14233" s="2">
        <v>296</v>
      </c>
      <c r="I14233" s="2">
        <v>535</v>
      </c>
      <c r="J14233" s="2">
        <v>1422</v>
      </c>
      <c r="K14233" s="2">
        <v>150</v>
      </c>
      <c r="L14233" s="2">
        <v>445</v>
      </c>
    </row>
    <row r="14234" spans="1:12" x14ac:dyDescent="0.25">
      <c r="A14234" s="4" t="str">
        <f>HYPERLINK("http://www.rosaceae.org/Prunus/Prunus_persica/p.persica_gdr_reftransV1_0013597","p.persica_gdr_reftransV1_0013597")</f>
        <v>p.persica_gdr_reftransV1_0013597</v>
      </c>
      <c r="B14234" s="2">
        <v>1698</v>
      </c>
      <c r="C14234" s="4" t="str">
        <f>HYPERLINK("http://www.uniprot.org/uniprot/M5VVB0","M5VVB0")</f>
        <v>M5VVB0</v>
      </c>
      <c r="D14234" s="2" t="s">
        <v>3757</v>
      </c>
      <c r="E14234" s="3">
        <v>9.4099999999999998E-179</v>
      </c>
      <c r="F14234" s="2">
        <v>1362</v>
      </c>
      <c r="G14234" s="2">
        <v>100</v>
      </c>
      <c r="H14234" s="2">
        <v>283</v>
      </c>
      <c r="I14234" s="2">
        <v>849</v>
      </c>
      <c r="J14234" s="2">
        <v>1697</v>
      </c>
      <c r="K14234" s="2">
        <v>1</v>
      </c>
      <c r="L14234" s="2">
        <v>283</v>
      </c>
    </row>
    <row r="14235" spans="1:12" x14ac:dyDescent="0.25">
      <c r="A14235" s="4" t="str">
        <f>HYPERLINK("http://www.rosaceae.org/Prunus/Prunus_persica/p.persica_gdr_reftransV1_0014647","p.persica_gdr_reftransV1_0014647")</f>
        <v>p.persica_gdr_reftransV1_0014647</v>
      </c>
      <c r="B14235" s="2">
        <v>1198</v>
      </c>
      <c r="C14235" s="4" t="str">
        <f>HYPERLINK("http://www.uniprot.org/uniprot/M5X7P0","M5X7P0")</f>
        <v>M5X7P0</v>
      </c>
      <c r="D14235" s="2" t="s">
        <v>11609</v>
      </c>
      <c r="E14235" s="3">
        <v>0</v>
      </c>
      <c r="F14235" s="2">
        <v>1545</v>
      </c>
      <c r="G14235" s="2">
        <v>100</v>
      </c>
      <c r="H14235" s="2">
        <v>292</v>
      </c>
      <c r="I14235" s="2">
        <v>3</v>
      </c>
      <c r="J14235" s="2">
        <v>878</v>
      </c>
      <c r="K14235" s="2">
        <v>1</v>
      </c>
      <c r="L14235" s="2">
        <v>292</v>
      </c>
    </row>
    <row r="14236" spans="1:12" x14ac:dyDescent="0.25">
      <c r="A14236" s="4" t="str">
        <f>HYPERLINK("http://www.rosaceae.org/Prunus/Prunus_persica/p.persica_gdr_reftransV1_0016397","p.persica_gdr_reftransV1_0016397")</f>
        <v>p.persica_gdr_reftransV1_0016397</v>
      </c>
      <c r="B14236" s="2">
        <v>2310</v>
      </c>
      <c r="C14236" s="4" t="str">
        <f>HYPERLINK("http://www.uniprot.org/uniprot/M5W9Z9","M5W9Z9")</f>
        <v>M5W9Z9</v>
      </c>
      <c r="D14236" s="2" t="s">
        <v>11610</v>
      </c>
      <c r="E14236" s="3">
        <v>0</v>
      </c>
      <c r="F14236" s="2">
        <v>1478</v>
      </c>
      <c r="G14236" s="2">
        <v>99</v>
      </c>
      <c r="H14236" s="2">
        <v>281</v>
      </c>
      <c r="I14236" s="2">
        <v>1040</v>
      </c>
      <c r="J14236" s="2">
        <v>1882</v>
      </c>
      <c r="K14236" s="2">
        <v>49</v>
      </c>
      <c r="L14236" s="2">
        <v>329</v>
      </c>
    </row>
    <row r="14237" spans="1:12" x14ac:dyDescent="0.25">
      <c r="A14237" s="4" t="str">
        <f>HYPERLINK("http://www.rosaceae.org/Prunus/Prunus_persica/p.persica_gdr_reftransV1_0016747","p.persica_gdr_reftransV1_0016747")</f>
        <v>p.persica_gdr_reftransV1_0016747</v>
      </c>
      <c r="B14237" s="2">
        <v>2540</v>
      </c>
      <c r="C14237" s="4" t="str">
        <f>HYPERLINK("http://www.uniprot.org/uniprot/B9REN7","B9REN7")</f>
        <v>B9REN7</v>
      </c>
      <c r="D14237" s="2" t="s">
        <v>11611</v>
      </c>
      <c r="E14237" s="3">
        <v>0</v>
      </c>
      <c r="F14237" s="2">
        <v>2731</v>
      </c>
      <c r="G14237" s="2">
        <v>69</v>
      </c>
      <c r="H14237" s="2">
        <v>718</v>
      </c>
      <c r="I14237" s="2">
        <v>276</v>
      </c>
      <c r="J14237" s="2">
        <v>2420</v>
      </c>
      <c r="K14237" s="2">
        <v>1</v>
      </c>
      <c r="L14237" s="2">
        <v>710</v>
      </c>
    </row>
    <row r="14238" spans="1:12" x14ac:dyDescent="0.25">
      <c r="A14238" s="4" t="str">
        <f>HYPERLINK("http://www.rosaceae.org/Prunus/Prunus_persica/p.persica_gdr_reftransV1_0017797","p.persica_gdr_reftransV1_0017797")</f>
        <v>p.persica_gdr_reftransV1_0017797</v>
      </c>
      <c r="B14238" s="2">
        <v>2658</v>
      </c>
      <c r="C14238" s="4" t="str">
        <f>HYPERLINK("http://www.uniprot.org/uniprot/M5X1A1","M5X1A1")</f>
        <v>M5X1A1</v>
      </c>
      <c r="D14238" s="2" t="s">
        <v>11612</v>
      </c>
      <c r="E14238" s="3">
        <v>0</v>
      </c>
      <c r="F14238" s="2">
        <v>1724</v>
      </c>
      <c r="G14238" s="2">
        <v>100</v>
      </c>
      <c r="H14238" s="2">
        <v>324</v>
      </c>
      <c r="I14238" s="2">
        <v>132</v>
      </c>
      <c r="J14238" s="2">
        <v>1103</v>
      </c>
      <c r="K14238" s="2">
        <v>1</v>
      </c>
      <c r="L14238" s="2">
        <v>324</v>
      </c>
    </row>
    <row r="14239" spans="1:12" x14ac:dyDescent="0.25">
      <c r="A14239" s="4" t="str">
        <f>HYPERLINK("http://www.rosaceae.org/Prunus/Prunus_persica/p.persica_gdr_reftransV1_0018847","p.persica_gdr_reftransV1_0018847")</f>
        <v>p.persica_gdr_reftransV1_0018847</v>
      </c>
      <c r="B14239" s="2">
        <v>2947</v>
      </c>
      <c r="C14239" s="4" t="str">
        <f>HYPERLINK("http://www.uniprot.org/uniprot/M5WK57","M5WK57")</f>
        <v>M5WK57</v>
      </c>
      <c r="D14239" s="2" t="s">
        <v>6627</v>
      </c>
      <c r="E14239" s="3">
        <v>0</v>
      </c>
      <c r="F14239" s="2">
        <v>1999</v>
      </c>
      <c r="G14239" s="2">
        <v>100</v>
      </c>
      <c r="H14239" s="2">
        <v>369</v>
      </c>
      <c r="I14239" s="2">
        <v>2</v>
      </c>
      <c r="J14239" s="2">
        <v>1108</v>
      </c>
      <c r="K14239" s="2">
        <v>320</v>
      </c>
      <c r="L14239" s="2">
        <v>688</v>
      </c>
    </row>
    <row r="14240" spans="1:12" x14ac:dyDescent="0.25">
      <c r="A14240" s="4" t="str">
        <f>HYPERLINK("http://www.rosaceae.org/Prunus/Prunus_persica/p.persica_gdr_reftransV1_0020247","p.persica_gdr_reftransV1_0020247")</f>
        <v>p.persica_gdr_reftransV1_0020247</v>
      </c>
      <c r="B14240" s="2">
        <v>2239</v>
      </c>
      <c r="C14240" s="4" t="str">
        <f>HYPERLINK("http://www.uniprot.org/uniprot/M5XBU6","M5XBU6")</f>
        <v>M5XBU6</v>
      </c>
      <c r="D14240" s="2" t="s">
        <v>11613</v>
      </c>
      <c r="E14240" s="3">
        <v>1.39E-52</v>
      </c>
      <c r="F14240" s="2">
        <v>504</v>
      </c>
      <c r="G14240" s="2">
        <v>93</v>
      </c>
      <c r="H14240" s="2">
        <v>112</v>
      </c>
      <c r="I14240" s="2">
        <v>822</v>
      </c>
      <c r="J14240" s="2">
        <v>1157</v>
      </c>
      <c r="K14240" s="2">
        <v>138</v>
      </c>
      <c r="L14240" s="2">
        <v>249</v>
      </c>
    </row>
    <row r="14241" spans="1:12" x14ac:dyDescent="0.25">
      <c r="A14241" s="4" t="str">
        <f>HYPERLINK("http://www.rosaceae.org/Prunus/Prunus_persica/p.persica_gdr_reftransV1_0020597","p.persica_gdr_reftransV1_0020597")</f>
        <v>p.persica_gdr_reftransV1_0020597</v>
      </c>
      <c r="B14241" s="2">
        <v>1904</v>
      </c>
      <c r="C14241" s="4" t="str">
        <f>HYPERLINK("http://www.uniprot.org/uniprot/M5WIR2","M5WIR2")</f>
        <v>M5WIR2</v>
      </c>
      <c r="D14241" s="2" t="s">
        <v>11614</v>
      </c>
      <c r="E14241" s="3">
        <v>0</v>
      </c>
      <c r="F14241" s="2">
        <v>1534</v>
      </c>
      <c r="G14241" s="2">
        <v>99</v>
      </c>
      <c r="H14241" s="2">
        <v>307</v>
      </c>
      <c r="I14241" s="2">
        <v>766</v>
      </c>
      <c r="J14241" s="2">
        <v>1674</v>
      </c>
      <c r="K14241" s="2">
        <v>34</v>
      </c>
      <c r="L14241" s="2">
        <v>340</v>
      </c>
    </row>
    <row r="14242" spans="1:12" x14ac:dyDescent="0.25">
      <c r="A14242" s="4" t="str">
        <f>HYPERLINK("http://www.rosaceae.org/Prunus/Prunus_persica/p.persica_gdr_reftransV1_0021997","p.persica_gdr_reftransV1_0021997")</f>
        <v>p.persica_gdr_reftransV1_0021997</v>
      </c>
      <c r="B14242" s="2">
        <v>1669</v>
      </c>
      <c r="C14242" s="4" t="str">
        <f>HYPERLINK("http://www.uniprot.org/uniprot/W9SS15","W9SS15")</f>
        <v>W9SS15</v>
      </c>
      <c r="D14242" s="2" t="s">
        <v>11615</v>
      </c>
      <c r="E14242" s="3">
        <v>0</v>
      </c>
      <c r="F14242" s="2">
        <v>2032</v>
      </c>
      <c r="G14242" s="2">
        <v>99</v>
      </c>
      <c r="H14242" s="2">
        <v>446</v>
      </c>
      <c r="I14242" s="2">
        <v>273</v>
      </c>
      <c r="J14242" s="2">
        <v>1610</v>
      </c>
      <c r="K14242" s="2">
        <v>1</v>
      </c>
      <c r="L14242" s="2">
        <v>446</v>
      </c>
    </row>
    <row r="14243" spans="1:12" x14ac:dyDescent="0.25">
      <c r="A14243" s="4" t="str">
        <f>HYPERLINK("http://www.rosaceae.org/Prunus/Prunus_persica/p.persica_gdr_reftransV1_0023747","p.persica_gdr_reftransV1_0023747")</f>
        <v>p.persica_gdr_reftransV1_0023747</v>
      </c>
      <c r="B14243" s="2">
        <v>844</v>
      </c>
      <c r="C14243" s="4" t="str">
        <f>HYPERLINK("http://www.uniprot.org/uniprot/M5X7Z5","M5X7Z5")</f>
        <v>M5X7Z5</v>
      </c>
      <c r="D14243" s="2" t="s">
        <v>11112</v>
      </c>
      <c r="E14243" s="3">
        <v>2.14E-126</v>
      </c>
      <c r="F14243" s="2">
        <v>975</v>
      </c>
      <c r="G14243" s="2">
        <v>99</v>
      </c>
      <c r="H14243" s="2">
        <v>197</v>
      </c>
      <c r="I14243" s="2">
        <v>2</v>
      </c>
      <c r="J14243" s="2">
        <v>592</v>
      </c>
      <c r="K14243" s="2">
        <v>252</v>
      </c>
      <c r="L14243" s="2">
        <v>448</v>
      </c>
    </row>
    <row r="14244" spans="1:12" x14ac:dyDescent="0.25">
      <c r="A14244" s="4" t="str">
        <f>HYPERLINK("http://www.rosaceae.org/Prunus/Prunus_persica/p.persica_gdr_reftransV1_0024447","p.persica_gdr_reftransV1_0024447")</f>
        <v>p.persica_gdr_reftransV1_0024447</v>
      </c>
      <c r="B14244" s="2">
        <v>1382</v>
      </c>
      <c r="C14244" s="4" t="str">
        <f>HYPERLINK("http://www.uniprot.org/uniprot/M5XD84","M5XD84")</f>
        <v>M5XD84</v>
      </c>
      <c r="D14244" s="2" t="s">
        <v>11616</v>
      </c>
      <c r="E14244" s="3">
        <v>2.23E-151</v>
      </c>
      <c r="F14244" s="2">
        <v>1005</v>
      </c>
      <c r="G14244" s="2">
        <v>96</v>
      </c>
      <c r="H14244" s="2">
        <v>193</v>
      </c>
      <c r="I14244" s="2">
        <v>270</v>
      </c>
      <c r="J14244" s="2">
        <v>848</v>
      </c>
      <c r="K14244" s="2">
        <v>1</v>
      </c>
      <c r="L14244" s="2">
        <v>193</v>
      </c>
    </row>
    <row r="14245" spans="1:12" x14ac:dyDescent="0.25">
      <c r="A14245" s="4" t="str">
        <f>HYPERLINK("http://www.rosaceae.org/Prunus/Prunus_persica/p.persica_gdr_reftransV1_0025497","p.persica_gdr_reftransV1_0025497")</f>
        <v>p.persica_gdr_reftransV1_0025497</v>
      </c>
      <c r="B14245" s="2">
        <v>984</v>
      </c>
      <c r="C14245" s="4" t="str">
        <f>HYPERLINK("http://www.uniprot.org/uniprot/M5VMW1","M5VMW1")</f>
        <v>M5VMW1</v>
      </c>
      <c r="D14245" s="2" t="s">
        <v>11617</v>
      </c>
      <c r="E14245" s="3">
        <v>2.7999999999999999E-80</v>
      </c>
      <c r="F14245" s="2">
        <v>648</v>
      </c>
      <c r="G14245" s="2">
        <v>97</v>
      </c>
      <c r="H14245" s="2">
        <v>178</v>
      </c>
      <c r="I14245" s="2">
        <v>111</v>
      </c>
      <c r="J14245" s="2">
        <v>644</v>
      </c>
      <c r="K14245" s="2">
        <v>9</v>
      </c>
      <c r="L14245" s="2">
        <v>185</v>
      </c>
    </row>
    <row r="14246" spans="1:12" x14ac:dyDescent="0.25">
      <c r="A14246" s="4" t="str">
        <f>HYPERLINK("http://www.rosaceae.org/Prunus/Prunus_persica/p.persica_gdr_reftransV1_0029697","p.persica_gdr_reftransV1_0029697")</f>
        <v>p.persica_gdr_reftransV1_0029697</v>
      </c>
      <c r="B14246" s="2">
        <v>1862</v>
      </c>
      <c r="C14246" s="4" t="str">
        <f>HYPERLINK("http://www.uniprot.org/uniprot/M5XZR9","M5XZR9")</f>
        <v>M5XZR9</v>
      </c>
      <c r="D14246" s="2" t="s">
        <v>11618</v>
      </c>
      <c r="E14246" s="3">
        <v>2.2000000000000001E-169</v>
      </c>
      <c r="F14246" s="2">
        <v>1271</v>
      </c>
      <c r="G14246" s="2">
        <v>100</v>
      </c>
      <c r="H14246" s="2">
        <v>234</v>
      </c>
      <c r="I14246" s="2">
        <v>1141</v>
      </c>
      <c r="J14246" s="2">
        <v>1842</v>
      </c>
      <c r="K14246" s="2">
        <v>1</v>
      </c>
      <c r="L14246" s="2">
        <v>234</v>
      </c>
    </row>
    <row r="14247" spans="1:12" x14ac:dyDescent="0.25">
      <c r="A14247" s="4" t="str">
        <f>HYPERLINK("http://www.rosaceae.org/Prunus/Prunus_persica/p.persica_gdr_reftransV1_0032497","p.persica_gdr_reftransV1_0032497")</f>
        <v>p.persica_gdr_reftransV1_0032497</v>
      </c>
      <c r="B14247" s="2">
        <v>2081</v>
      </c>
      <c r="C14247" s="4" t="str">
        <f>HYPERLINK("http://www.uniprot.org/uniprot/M5WH35","M5WH35")</f>
        <v>M5WH35</v>
      </c>
      <c r="D14247" s="2" t="s">
        <v>11619</v>
      </c>
      <c r="E14247" s="3">
        <v>5.1499999999999997E-134</v>
      </c>
      <c r="F14247" s="2">
        <v>1056</v>
      </c>
      <c r="G14247" s="2">
        <v>99</v>
      </c>
      <c r="H14247" s="2">
        <v>196</v>
      </c>
      <c r="I14247" s="2">
        <v>1307</v>
      </c>
      <c r="J14247" s="2">
        <v>1894</v>
      </c>
      <c r="K14247" s="2">
        <v>166</v>
      </c>
      <c r="L14247" s="2">
        <v>361</v>
      </c>
    </row>
    <row r="14248" spans="1:12" x14ac:dyDescent="0.25">
      <c r="A14248" s="4" t="str">
        <f>HYPERLINK("http://www.rosaceae.org/Prunus/Prunus_persica/p.persica_gdr_reftransV1_0032847","p.persica_gdr_reftransV1_0032847")</f>
        <v>p.persica_gdr_reftransV1_0032847</v>
      </c>
      <c r="B14248" s="2">
        <v>3018</v>
      </c>
      <c r="C14248" s="4" t="str">
        <f>HYPERLINK("http://www.uniprot.org/uniprot/M5VXQ7","M5VXQ7")</f>
        <v>M5VXQ7</v>
      </c>
      <c r="D14248" s="2" t="s">
        <v>3498</v>
      </c>
      <c r="E14248" s="3">
        <v>0</v>
      </c>
      <c r="F14248" s="2">
        <v>2404</v>
      </c>
      <c r="G14248" s="2">
        <v>94</v>
      </c>
      <c r="H14248" s="2">
        <v>501</v>
      </c>
      <c r="I14248" s="2">
        <v>588</v>
      </c>
      <c r="J14248" s="2">
        <v>2078</v>
      </c>
      <c r="K14248" s="2">
        <v>27</v>
      </c>
      <c r="L14248" s="2">
        <v>524</v>
      </c>
    </row>
    <row r="14249" spans="1:12" x14ac:dyDescent="0.25">
      <c r="A14249" s="4" t="str">
        <f>HYPERLINK("http://www.rosaceae.org/Prunus/Prunus_persica/p.persica_gdr_reftransV1_0033547","p.persica_gdr_reftransV1_0033547")</f>
        <v>p.persica_gdr_reftransV1_0033547</v>
      </c>
      <c r="B14249" s="2">
        <v>4320</v>
      </c>
      <c r="C14249" s="4" t="str">
        <f>HYPERLINK("http://www.uniprot.org/uniprot/M5VTM3","M5VTM3")</f>
        <v>M5VTM3</v>
      </c>
      <c r="D14249" s="2" t="s">
        <v>11620</v>
      </c>
      <c r="E14249" s="3">
        <v>0</v>
      </c>
      <c r="F14249" s="2">
        <v>5901</v>
      </c>
      <c r="G14249" s="2">
        <v>94</v>
      </c>
      <c r="H14249" s="2">
        <v>1284</v>
      </c>
      <c r="I14249" s="2">
        <v>119</v>
      </c>
      <c r="J14249" s="2">
        <v>3967</v>
      </c>
      <c r="K14249" s="2">
        <v>1</v>
      </c>
      <c r="L14249" s="2">
        <v>1234</v>
      </c>
    </row>
    <row r="14250" spans="1:12" x14ac:dyDescent="0.25">
      <c r="A14250" s="4" t="str">
        <f>HYPERLINK("http://www.rosaceae.org/Prunus/Prunus_persica/p.persica_gdr_reftransV1_0033897","p.persica_gdr_reftransV1_0033897")</f>
        <v>p.persica_gdr_reftransV1_0033897</v>
      </c>
      <c r="B14250" s="2">
        <v>1908</v>
      </c>
      <c r="C14250" s="4" t="str">
        <f>HYPERLINK("http://www.uniprot.org/uniprot/M5X0W9","M5X0W9")</f>
        <v>M5X0W9</v>
      </c>
      <c r="D14250" s="2" t="s">
        <v>11621</v>
      </c>
      <c r="E14250" s="3">
        <v>2.7699999999999998E-54</v>
      </c>
      <c r="F14250" s="2">
        <v>491</v>
      </c>
      <c r="G14250" s="2">
        <v>100</v>
      </c>
      <c r="H14250" s="2">
        <v>127</v>
      </c>
      <c r="I14250" s="2">
        <v>158</v>
      </c>
      <c r="J14250" s="2">
        <v>538</v>
      </c>
      <c r="K14250" s="2">
        <v>1</v>
      </c>
      <c r="L14250" s="2">
        <v>127</v>
      </c>
    </row>
    <row r="14251" spans="1:12" x14ac:dyDescent="0.25">
      <c r="A14251" s="4" t="str">
        <f>HYPERLINK("http://www.rosaceae.org/Prunus/Prunus_persica/p.persica_gdr_reftransV1_0035297","p.persica_gdr_reftransV1_0035297")</f>
        <v>p.persica_gdr_reftransV1_0035297</v>
      </c>
      <c r="B14251" s="2">
        <v>4070</v>
      </c>
      <c r="C14251" s="4" t="str">
        <f>HYPERLINK("http://www.uniprot.org/uniprot/M5VM37","M5VM37")</f>
        <v>M5VM37</v>
      </c>
      <c r="D14251" s="2" t="s">
        <v>11622</v>
      </c>
      <c r="E14251" s="3">
        <v>2.1099999999999999E-175</v>
      </c>
      <c r="F14251" s="2">
        <v>1060</v>
      </c>
      <c r="G14251" s="2">
        <v>100</v>
      </c>
      <c r="H14251" s="2">
        <v>199</v>
      </c>
      <c r="I14251" s="2">
        <v>3387</v>
      </c>
      <c r="J14251" s="2">
        <v>3983</v>
      </c>
      <c r="K14251" s="2">
        <v>110</v>
      </c>
      <c r="L14251" s="2">
        <v>308</v>
      </c>
    </row>
    <row r="14252" spans="1:12" x14ac:dyDescent="0.25">
      <c r="A14252" s="4" t="str">
        <f>HYPERLINK("http://www.rosaceae.org/Prunus/Prunus_persica/p.persica_gdr_reftransV1_0035647","p.persica_gdr_reftransV1_0035647")</f>
        <v>p.persica_gdr_reftransV1_0035647</v>
      </c>
      <c r="B14252" s="2">
        <v>383</v>
      </c>
      <c r="C14252" s="4" t="str">
        <f>HYPERLINK("http://www.uniprot.org/uniprot/M5W2D1","M5W2D1")</f>
        <v>M5W2D1</v>
      </c>
      <c r="D14252" s="2" t="s">
        <v>11623</v>
      </c>
      <c r="E14252" s="3">
        <v>2.2799999999999999E-79</v>
      </c>
      <c r="F14252" s="2">
        <v>645</v>
      </c>
      <c r="G14252" s="2">
        <v>96</v>
      </c>
      <c r="H14252" s="2">
        <v>127</v>
      </c>
      <c r="I14252" s="2">
        <v>1</v>
      </c>
      <c r="J14252" s="2">
        <v>381</v>
      </c>
      <c r="K14252" s="2">
        <v>142</v>
      </c>
      <c r="L14252" s="2">
        <v>268</v>
      </c>
    </row>
    <row r="14253" spans="1:12" x14ac:dyDescent="0.25">
      <c r="A14253" s="4" t="str">
        <f>HYPERLINK("http://www.rosaceae.org/Prunus/Prunus_persica/p.persica_gdr_reftransV1_0035997","p.persica_gdr_reftransV1_0035997")</f>
        <v>p.persica_gdr_reftransV1_0035997</v>
      </c>
      <c r="B14253" s="2">
        <v>3652</v>
      </c>
      <c r="C14253" s="4" t="str">
        <f>HYPERLINK("http://www.uniprot.org/uniprot/M5WEZ4","M5WEZ4")</f>
        <v>M5WEZ4</v>
      </c>
      <c r="D14253" s="2" t="s">
        <v>11624</v>
      </c>
      <c r="E14253" s="3">
        <v>0</v>
      </c>
      <c r="F14253" s="2">
        <v>4907</v>
      </c>
      <c r="G14253" s="2">
        <v>100</v>
      </c>
      <c r="H14253" s="2">
        <v>1014</v>
      </c>
      <c r="I14253" s="2">
        <v>225</v>
      </c>
      <c r="J14253" s="2">
        <v>3266</v>
      </c>
      <c r="K14253" s="2">
        <v>1</v>
      </c>
      <c r="L14253" s="2">
        <v>1014</v>
      </c>
    </row>
    <row r="14254" spans="1:12" x14ac:dyDescent="0.25">
      <c r="A14254" s="4" t="str">
        <f>HYPERLINK("http://www.rosaceae.org/Prunus/Prunus_persica/p.persica_gdr_reftransV1_0036347","p.persica_gdr_reftransV1_0036347")</f>
        <v>p.persica_gdr_reftransV1_0036347</v>
      </c>
      <c r="B14254" s="2">
        <v>1580</v>
      </c>
      <c r="C14254" s="4" t="str">
        <f>HYPERLINK("http://www.uniprot.org/uniprot/M5W9R2","M5W9R2")</f>
        <v>M5W9R2</v>
      </c>
      <c r="D14254" s="2" t="s">
        <v>2199</v>
      </c>
      <c r="E14254" s="3">
        <v>1.8999999999999999E-160</v>
      </c>
      <c r="F14254" s="2">
        <v>1217</v>
      </c>
      <c r="G14254" s="2">
        <v>85</v>
      </c>
      <c r="H14254" s="2">
        <v>284</v>
      </c>
      <c r="I14254" s="2">
        <v>635</v>
      </c>
      <c r="J14254" s="2">
        <v>1459</v>
      </c>
      <c r="K14254" s="2">
        <v>1</v>
      </c>
      <c r="L14254" s="2">
        <v>284</v>
      </c>
    </row>
    <row r="14255" spans="1:12" x14ac:dyDescent="0.25">
      <c r="A14255" s="4" t="str">
        <f>HYPERLINK("http://www.rosaceae.org/Prunus/Prunus_persica/p.persica_gdr_reftransV1_0038097","p.persica_gdr_reftransV1_0038097")</f>
        <v>p.persica_gdr_reftransV1_0038097</v>
      </c>
      <c r="B14255" s="2">
        <v>1718</v>
      </c>
      <c r="C14255" s="4" t="str">
        <f>HYPERLINK("http://www.uniprot.org/uniprot/M5XE67","M5XE67")</f>
        <v>M5XE67</v>
      </c>
      <c r="D14255" s="2" t="s">
        <v>11625</v>
      </c>
      <c r="E14255" s="3">
        <v>0</v>
      </c>
      <c r="F14255" s="2">
        <v>2069</v>
      </c>
      <c r="G14255" s="2">
        <v>100</v>
      </c>
      <c r="H14255" s="2">
        <v>421</v>
      </c>
      <c r="I14255" s="2">
        <v>186</v>
      </c>
      <c r="J14255" s="2">
        <v>1448</v>
      </c>
      <c r="K14255" s="2">
        <v>1</v>
      </c>
      <c r="L14255" s="2">
        <v>421</v>
      </c>
    </row>
    <row r="14256" spans="1:12" x14ac:dyDescent="0.25">
      <c r="A14256" s="4" t="str">
        <f>HYPERLINK("http://www.rosaceae.org/Prunus/Prunus_persica/p.persica_gdr_reftransV1_0040197","p.persica_gdr_reftransV1_0040197")</f>
        <v>p.persica_gdr_reftransV1_0040197</v>
      </c>
      <c r="B14256" s="2">
        <v>5965</v>
      </c>
      <c r="C14256" s="4" t="str">
        <f>HYPERLINK("http://www.uniprot.org/uniprot/M5X3M9","M5X3M9")</f>
        <v>M5X3M9</v>
      </c>
      <c r="D14256" s="2" t="s">
        <v>11626</v>
      </c>
      <c r="E14256" s="3">
        <v>0</v>
      </c>
      <c r="F14256" s="2">
        <v>5251</v>
      </c>
      <c r="G14256" s="2">
        <v>100</v>
      </c>
      <c r="H14256" s="2">
        <v>1021</v>
      </c>
      <c r="I14256" s="2">
        <v>699</v>
      </c>
      <c r="J14256" s="2">
        <v>3761</v>
      </c>
      <c r="K14256" s="2">
        <v>69</v>
      </c>
      <c r="L14256" s="2">
        <v>1089</v>
      </c>
    </row>
    <row r="14257" spans="1:12" x14ac:dyDescent="0.25">
      <c r="A14257" s="4" t="str">
        <f>HYPERLINK("http://www.rosaceae.org/Prunus/Prunus_persica/p.persica_gdr_reftransV1_0042647","p.persica_gdr_reftransV1_0042647")</f>
        <v>p.persica_gdr_reftransV1_0042647</v>
      </c>
      <c r="B14257" s="2">
        <v>3608</v>
      </c>
      <c r="C14257" s="4" t="str">
        <f>HYPERLINK("http://www.uniprot.org/uniprot/M5W7K6","M5W7K6")</f>
        <v>M5W7K6</v>
      </c>
      <c r="D14257" s="2" t="s">
        <v>11627</v>
      </c>
      <c r="E14257" s="3">
        <v>0</v>
      </c>
      <c r="F14257" s="2">
        <v>4527</v>
      </c>
      <c r="G14257" s="2">
        <v>98</v>
      </c>
      <c r="H14257" s="2">
        <v>879</v>
      </c>
      <c r="I14257" s="2">
        <v>428</v>
      </c>
      <c r="J14257" s="2">
        <v>3061</v>
      </c>
      <c r="K14257" s="2">
        <v>1</v>
      </c>
      <c r="L14257" s="2">
        <v>879</v>
      </c>
    </row>
    <row r="14258" spans="1:12" x14ac:dyDescent="0.25">
      <c r="A14258" s="4" t="str">
        <f>HYPERLINK("http://www.rosaceae.org/Prunus/Prunus_persica/p.persica_gdr_reftransV1_0042997","p.persica_gdr_reftransV1_0042997")</f>
        <v>p.persica_gdr_reftransV1_0042997</v>
      </c>
      <c r="B14258" s="2">
        <v>3507</v>
      </c>
      <c r="C14258" s="4" t="str">
        <f>HYPERLINK("http://www.uniprot.org/uniprot/M5VUS0","M5VUS0")</f>
        <v>M5VUS0</v>
      </c>
      <c r="D14258" s="2" t="s">
        <v>11628</v>
      </c>
      <c r="E14258" s="3">
        <v>0</v>
      </c>
      <c r="F14258" s="2">
        <v>2062</v>
      </c>
      <c r="G14258" s="2">
        <v>100</v>
      </c>
      <c r="H14258" s="2">
        <v>422</v>
      </c>
      <c r="I14258" s="2">
        <v>2129</v>
      </c>
      <c r="J14258" s="2">
        <v>3394</v>
      </c>
      <c r="K14258" s="2">
        <v>1</v>
      </c>
      <c r="L14258" s="2">
        <v>422</v>
      </c>
    </row>
    <row r="14259" spans="1:12" x14ac:dyDescent="0.25">
      <c r="A14259" s="4" t="str">
        <f>HYPERLINK("http://www.rosaceae.org/Prunus/Prunus_persica/p.persica_gdr_reftransV1_0043347","p.persica_gdr_reftransV1_0043347")</f>
        <v>p.persica_gdr_reftransV1_0043347</v>
      </c>
      <c r="B14259" s="2">
        <v>880</v>
      </c>
      <c r="C14259" s="4" t="str">
        <f>HYPERLINK("http://www.uniprot.org/uniprot/M5WSE0","M5WSE0")</f>
        <v>M5WSE0</v>
      </c>
      <c r="D14259" s="2" t="s">
        <v>1882</v>
      </c>
      <c r="E14259" s="3">
        <v>3.97E-158</v>
      </c>
      <c r="F14259" s="2">
        <v>1202</v>
      </c>
      <c r="G14259" s="2">
        <v>100</v>
      </c>
      <c r="H14259" s="2">
        <v>242</v>
      </c>
      <c r="I14259" s="2">
        <v>2</v>
      </c>
      <c r="J14259" s="2">
        <v>727</v>
      </c>
      <c r="K14259" s="2">
        <v>399</v>
      </c>
      <c r="L14259" s="2">
        <v>640</v>
      </c>
    </row>
    <row r="14260" spans="1:12" x14ac:dyDescent="0.25">
      <c r="A14260" s="4" t="str">
        <f>HYPERLINK("http://www.rosaceae.org/Prunus/Prunus_persica/p.persica_gdr_reftransV1_0044047","p.persica_gdr_reftransV1_0044047")</f>
        <v>p.persica_gdr_reftransV1_0044047</v>
      </c>
      <c r="B14260" s="2">
        <v>1542</v>
      </c>
      <c r="C14260" s="4" t="str">
        <f>HYPERLINK("http://www.uniprot.org/uniprot/M5XBS6","M5XBS6")</f>
        <v>M5XBS6</v>
      </c>
      <c r="D14260" s="2" t="s">
        <v>11629</v>
      </c>
      <c r="E14260" s="3">
        <v>0</v>
      </c>
      <c r="F14260" s="2">
        <v>1766</v>
      </c>
      <c r="G14260" s="2">
        <v>100</v>
      </c>
      <c r="H14260" s="2">
        <v>344</v>
      </c>
      <c r="I14260" s="2">
        <v>510</v>
      </c>
      <c r="J14260" s="2">
        <v>1541</v>
      </c>
      <c r="K14260" s="2">
        <v>222</v>
      </c>
      <c r="L14260" s="2">
        <v>565</v>
      </c>
    </row>
    <row r="14261" spans="1:12" x14ac:dyDescent="0.25">
      <c r="A14261" s="4" t="str">
        <f>HYPERLINK("http://www.rosaceae.org/Prunus/Prunus_persica/p.persica_gdr_reftransV1_0045097","p.persica_gdr_reftransV1_0045097")</f>
        <v>p.persica_gdr_reftransV1_0045097</v>
      </c>
      <c r="B14261" s="2">
        <v>1650</v>
      </c>
      <c r="C14261" s="4" t="str">
        <f>HYPERLINK("http://www.uniprot.org/uniprot/M5VZP9","M5VZP9")</f>
        <v>M5VZP9</v>
      </c>
      <c r="D14261" s="2" t="s">
        <v>9843</v>
      </c>
      <c r="E14261" s="3">
        <v>0</v>
      </c>
      <c r="F14261" s="2">
        <v>1769</v>
      </c>
      <c r="G14261" s="2">
        <v>89</v>
      </c>
      <c r="H14261" s="2">
        <v>390</v>
      </c>
      <c r="I14261" s="2">
        <v>155</v>
      </c>
      <c r="J14261" s="2">
        <v>1324</v>
      </c>
      <c r="K14261" s="2">
        <v>14</v>
      </c>
      <c r="L14261" s="2">
        <v>368</v>
      </c>
    </row>
    <row r="14262" spans="1:12" x14ac:dyDescent="0.25">
      <c r="A14262" s="4" t="str">
        <f>HYPERLINK("http://www.rosaceae.org/Prunus/Prunus_persica/p.persica_gdr_reftransV1_0045447","p.persica_gdr_reftransV1_0045447")</f>
        <v>p.persica_gdr_reftransV1_0045447</v>
      </c>
      <c r="B14262" s="2">
        <v>334</v>
      </c>
      <c r="C14262" s="4" t="str">
        <f>HYPERLINK("http://www.uniprot.org/uniprot/M5X0E5","M5X0E5")</f>
        <v>M5X0E5</v>
      </c>
      <c r="D14262" s="2" t="s">
        <v>1447</v>
      </c>
      <c r="E14262" s="3">
        <v>2.14E-63</v>
      </c>
      <c r="F14262" s="2">
        <v>558</v>
      </c>
      <c r="G14262" s="2">
        <v>99</v>
      </c>
      <c r="H14262" s="2">
        <v>111</v>
      </c>
      <c r="I14262" s="2">
        <v>2</v>
      </c>
      <c r="J14262" s="2">
        <v>334</v>
      </c>
      <c r="K14262" s="2">
        <v>1080</v>
      </c>
      <c r="L14262" s="2">
        <v>1190</v>
      </c>
    </row>
    <row r="14263" spans="1:12" x14ac:dyDescent="0.25">
      <c r="A14263" s="4" t="str">
        <f>HYPERLINK("http://www.rosaceae.org/Prunus/Prunus_persica/p.persica_gdr_reftransV1_0045797","p.persica_gdr_reftransV1_0045797")</f>
        <v>p.persica_gdr_reftransV1_0045797</v>
      </c>
      <c r="B14263" s="2">
        <v>579</v>
      </c>
      <c r="C14263" s="4" t="str">
        <f>HYPERLINK("http://www.uniprot.org/uniprot/M5WI68","M5WI68")</f>
        <v>M5WI68</v>
      </c>
      <c r="D14263" s="2" t="s">
        <v>11630</v>
      </c>
      <c r="E14263" s="3">
        <v>5.0900000000000001E-48</v>
      </c>
      <c r="F14263" s="2">
        <v>412</v>
      </c>
      <c r="G14263" s="2">
        <v>100</v>
      </c>
      <c r="H14263" s="2">
        <v>96</v>
      </c>
      <c r="I14263" s="2">
        <v>222</v>
      </c>
      <c r="J14263" s="2">
        <v>509</v>
      </c>
      <c r="K14263" s="2">
        <v>1</v>
      </c>
      <c r="L14263" s="2">
        <v>96</v>
      </c>
    </row>
    <row r="14264" spans="1:12" x14ac:dyDescent="0.25">
      <c r="A14264" s="4" t="str">
        <f>HYPERLINK("http://www.rosaceae.org/Prunus/Prunus_persica/p.persica_gdr_reftransV1_0046147","p.persica_gdr_reftransV1_0046147")</f>
        <v>p.persica_gdr_reftransV1_0046147</v>
      </c>
      <c r="B14264" s="2">
        <v>1900</v>
      </c>
      <c r="C14264" s="4" t="str">
        <f>HYPERLINK("http://www.uniprot.org/uniprot/M5W902","M5W902")</f>
        <v>M5W902</v>
      </c>
      <c r="D14264" s="2" t="s">
        <v>11631</v>
      </c>
      <c r="E14264" s="3">
        <v>0</v>
      </c>
      <c r="F14264" s="2">
        <v>1829</v>
      </c>
      <c r="G14264" s="2">
        <v>100</v>
      </c>
      <c r="H14264" s="2">
        <v>368</v>
      </c>
      <c r="I14264" s="2">
        <v>305</v>
      </c>
      <c r="J14264" s="2">
        <v>1408</v>
      </c>
      <c r="K14264" s="2">
        <v>1</v>
      </c>
      <c r="L14264" s="2">
        <v>368</v>
      </c>
    </row>
    <row r="14265" spans="1:12" x14ac:dyDescent="0.25">
      <c r="A14265" s="4" t="str">
        <f>HYPERLINK("http://www.rosaceae.org/Prunus/Prunus_persica/p.persica_gdr_reftransV1_0046497","p.persica_gdr_reftransV1_0046497")</f>
        <v>p.persica_gdr_reftransV1_0046497</v>
      </c>
      <c r="B14265" s="2">
        <v>2216</v>
      </c>
      <c r="C14265" s="4" t="str">
        <f>HYPERLINK("http://www.uniprot.org/uniprot/M5VKG9","M5VKG9")</f>
        <v>M5VKG9</v>
      </c>
      <c r="D14265" s="2" t="s">
        <v>11632</v>
      </c>
      <c r="E14265" s="3">
        <v>0</v>
      </c>
      <c r="F14265" s="2">
        <v>1400</v>
      </c>
      <c r="G14265" s="2">
        <v>100</v>
      </c>
      <c r="H14265" s="2">
        <v>277</v>
      </c>
      <c r="I14265" s="2">
        <v>577</v>
      </c>
      <c r="J14265" s="2">
        <v>1407</v>
      </c>
      <c r="K14265" s="2">
        <v>50</v>
      </c>
      <c r="L14265" s="2">
        <v>326</v>
      </c>
    </row>
    <row r="14266" spans="1:12" x14ac:dyDescent="0.25">
      <c r="A14266" s="4" t="str">
        <f>HYPERLINK("http://www.rosaceae.org/Prunus/Prunus_persica/p.persica_gdr_reftransV1_0046847","p.persica_gdr_reftransV1_0046847")</f>
        <v>p.persica_gdr_reftransV1_0046847</v>
      </c>
      <c r="B14266" s="2">
        <v>1530</v>
      </c>
      <c r="C14266" s="4" t="str">
        <f>HYPERLINK("http://www.uniprot.org/uniprot/M5Y5B7","M5Y5B7")</f>
        <v>M5Y5B7</v>
      </c>
      <c r="D14266" s="2" t="s">
        <v>11633</v>
      </c>
      <c r="E14266" s="3">
        <v>1.1999999999999999E-127</v>
      </c>
      <c r="F14266" s="2">
        <v>981</v>
      </c>
      <c r="G14266" s="2">
        <v>100</v>
      </c>
      <c r="H14266" s="2">
        <v>197</v>
      </c>
      <c r="I14266" s="2">
        <v>400</v>
      </c>
      <c r="J14266" s="2">
        <v>990</v>
      </c>
      <c r="K14266" s="2">
        <v>1</v>
      </c>
      <c r="L14266" s="2">
        <v>197</v>
      </c>
    </row>
    <row r="14267" spans="1:12" x14ac:dyDescent="0.25">
      <c r="A14267" s="4" t="str">
        <f>HYPERLINK("http://www.rosaceae.org/Prunus/Prunus_persica/p.persica_gdr_reftransV1_0047197","p.persica_gdr_reftransV1_0047197")</f>
        <v>p.persica_gdr_reftransV1_0047197</v>
      </c>
      <c r="B14267" s="2">
        <v>1941</v>
      </c>
      <c r="C14267" s="4" t="str">
        <f>HYPERLINK("http://www.uniprot.org/uniprot/M5XCK6","M5XCK6")</f>
        <v>M5XCK6</v>
      </c>
      <c r="D14267" s="2" t="s">
        <v>4321</v>
      </c>
      <c r="E14267" s="3">
        <v>0</v>
      </c>
      <c r="F14267" s="2">
        <v>1377</v>
      </c>
      <c r="G14267" s="2">
        <v>100</v>
      </c>
      <c r="H14267" s="2">
        <v>292</v>
      </c>
      <c r="I14267" s="2">
        <v>717</v>
      </c>
      <c r="J14267" s="2">
        <v>1592</v>
      </c>
      <c r="K14267" s="2">
        <v>135</v>
      </c>
      <c r="L14267" s="2">
        <v>426</v>
      </c>
    </row>
    <row r="14268" spans="1:12" x14ac:dyDescent="0.25">
      <c r="A14268" s="4" t="str">
        <f>HYPERLINK("http://www.rosaceae.org/Prunus/Prunus_persica/p.persica_gdr_reftransV1_0047547","p.persica_gdr_reftransV1_0047547")</f>
        <v>p.persica_gdr_reftransV1_0047547</v>
      </c>
      <c r="B14268" s="2">
        <v>1845</v>
      </c>
      <c r="C14268" s="4" t="str">
        <f>HYPERLINK("http://www.uniprot.org/uniprot/M5XXX5","M5XXX5")</f>
        <v>M5XXX5</v>
      </c>
      <c r="D14268" s="2" t="s">
        <v>11634</v>
      </c>
      <c r="E14268" s="3">
        <v>0</v>
      </c>
      <c r="F14268" s="2">
        <v>2482</v>
      </c>
      <c r="G14268" s="2">
        <v>100</v>
      </c>
      <c r="H14268" s="2">
        <v>473</v>
      </c>
      <c r="I14268" s="2">
        <v>238</v>
      </c>
      <c r="J14268" s="2">
        <v>1656</v>
      </c>
      <c r="K14268" s="2">
        <v>1</v>
      </c>
      <c r="L14268" s="2">
        <v>473</v>
      </c>
    </row>
    <row r="14269" spans="1:12" x14ac:dyDescent="0.25">
      <c r="A14269" s="4" t="str">
        <f>HYPERLINK("http://www.rosaceae.org/Prunus/Prunus_persica/p.persica_gdr_reftransV1_0047897","p.persica_gdr_reftransV1_0047897")</f>
        <v>p.persica_gdr_reftransV1_0047897</v>
      </c>
      <c r="B14269" s="2">
        <v>1153</v>
      </c>
      <c r="C14269" s="4" t="str">
        <f>HYPERLINK("http://www.uniprot.org/uniprot/J7H0M9","J7H0M9")</f>
        <v>J7H0M9</v>
      </c>
      <c r="D14269" s="2" t="s">
        <v>1816</v>
      </c>
      <c r="E14269" s="3">
        <v>3.4500000000000002E-98</v>
      </c>
      <c r="F14269" s="2">
        <v>769</v>
      </c>
      <c r="G14269" s="2">
        <v>100</v>
      </c>
      <c r="H14269" s="2">
        <v>152</v>
      </c>
      <c r="I14269" s="2">
        <v>213</v>
      </c>
      <c r="J14269" s="2">
        <v>668</v>
      </c>
      <c r="K14269" s="2">
        <v>1</v>
      </c>
      <c r="L14269" s="2">
        <v>152</v>
      </c>
    </row>
    <row r="14270" spans="1:12" x14ac:dyDescent="0.25">
      <c r="A14270" s="4" t="str">
        <f>HYPERLINK("http://www.rosaceae.org/Prunus/Prunus_persica/p.persica_gdr_reftransV1_0048247","p.persica_gdr_reftransV1_0048247")</f>
        <v>p.persica_gdr_reftransV1_0048247</v>
      </c>
      <c r="B14270" s="2">
        <v>773</v>
      </c>
      <c r="C14270" s="4" t="str">
        <f>HYPERLINK("http://www.uniprot.org/uniprot/A0A067F1Z9","A0A067F1Z9")</f>
        <v>A0A067F1Z9</v>
      </c>
      <c r="D14270" s="2" t="s">
        <v>11635</v>
      </c>
      <c r="E14270" s="3">
        <v>3.8999999999999998E-136</v>
      </c>
      <c r="F14270" s="2">
        <v>1023</v>
      </c>
      <c r="G14270" s="2">
        <v>81</v>
      </c>
      <c r="H14270" s="2">
        <v>232</v>
      </c>
      <c r="I14270" s="2">
        <v>76</v>
      </c>
      <c r="J14270" s="2">
        <v>771</v>
      </c>
      <c r="K14270" s="2">
        <v>1</v>
      </c>
      <c r="L14270" s="2">
        <v>232</v>
      </c>
    </row>
    <row r="14271" spans="1:12" x14ac:dyDescent="0.25">
      <c r="A14271" s="4" t="str">
        <f>HYPERLINK("http://www.rosaceae.org/Prunus/Prunus_persica/p.persica_gdr_reftransV1_0048597","p.persica_gdr_reftransV1_0048597")</f>
        <v>p.persica_gdr_reftransV1_0048597</v>
      </c>
      <c r="B14271" s="2">
        <v>930</v>
      </c>
      <c r="C14271" s="4" t="str">
        <f>HYPERLINK("http://www.uniprot.org/uniprot/M5XFM2","M5XFM2")</f>
        <v>M5XFM2</v>
      </c>
      <c r="D14271" s="2" t="s">
        <v>6374</v>
      </c>
      <c r="E14271" s="3">
        <v>8.3500000000000004E-82</v>
      </c>
      <c r="F14271" s="2">
        <v>656</v>
      </c>
      <c r="G14271" s="2">
        <v>100</v>
      </c>
      <c r="H14271" s="2">
        <v>186</v>
      </c>
      <c r="I14271" s="2">
        <v>60</v>
      </c>
      <c r="J14271" s="2">
        <v>617</v>
      </c>
      <c r="K14271" s="2">
        <v>1</v>
      </c>
      <c r="L14271" s="2">
        <v>186</v>
      </c>
    </row>
    <row r="14272" spans="1:12" x14ac:dyDescent="0.25">
      <c r="A14272" s="4" t="str">
        <f>HYPERLINK("http://www.rosaceae.org/Prunus/Prunus_persica/p.persica_gdr_reftransV1_0000298","p.persica_gdr_reftransV1_0000298")</f>
        <v>p.persica_gdr_reftransV1_0000298</v>
      </c>
      <c r="B14272" s="2">
        <v>486</v>
      </c>
      <c r="C14272" s="4" t="str">
        <f>HYPERLINK("http://www.uniprot.org/uniprot/M5WGV7","M5WGV7")</f>
        <v>M5WGV7</v>
      </c>
      <c r="D14272" s="2" t="s">
        <v>11636</v>
      </c>
      <c r="E14272" s="3">
        <v>3.4200000000000001E-113</v>
      </c>
      <c r="F14272" s="2">
        <v>862</v>
      </c>
      <c r="G14272" s="2">
        <v>100</v>
      </c>
      <c r="H14272" s="2">
        <v>162</v>
      </c>
      <c r="I14272" s="2">
        <v>1</v>
      </c>
      <c r="J14272" s="2">
        <v>486</v>
      </c>
      <c r="K14272" s="2">
        <v>8</v>
      </c>
      <c r="L14272" s="2">
        <v>169</v>
      </c>
    </row>
    <row r="14273" spans="1:12" x14ac:dyDescent="0.25">
      <c r="A14273" s="4" t="str">
        <f>HYPERLINK("http://www.rosaceae.org/Prunus/Prunus_persica/p.persica_gdr_reftransV1_0000998","p.persica_gdr_reftransV1_0000998")</f>
        <v>p.persica_gdr_reftransV1_0000998</v>
      </c>
      <c r="B14273" s="2">
        <v>2675</v>
      </c>
      <c r="C14273" s="4" t="str">
        <f>HYPERLINK("http://www.uniprot.org/uniprot/M5XNT8","M5XNT8")</f>
        <v>M5XNT8</v>
      </c>
      <c r="D14273" s="2" t="s">
        <v>11637</v>
      </c>
      <c r="E14273" s="3">
        <v>0</v>
      </c>
      <c r="F14273" s="2">
        <v>3419</v>
      </c>
      <c r="G14273" s="2">
        <v>96</v>
      </c>
      <c r="H14273" s="2">
        <v>694</v>
      </c>
      <c r="I14273" s="2">
        <v>521</v>
      </c>
      <c r="J14273" s="2">
        <v>2602</v>
      </c>
      <c r="K14273" s="2">
        <v>1</v>
      </c>
      <c r="L14273" s="2">
        <v>668</v>
      </c>
    </row>
    <row r="14274" spans="1:12" x14ac:dyDescent="0.25">
      <c r="A14274" s="4" t="str">
        <f>HYPERLINK("http://www.rosaceae.org/Prunus/Prunus_persica/p.persica_gdr_reftransV1_0001348","p.persica_gdr_reftransV1_0001348")</f>
        <v>p.persica_gdr_reftransV1_0001348</v>
      </c>
      <c r="B14274" s="2">
        <v>855</v>
      </c>
      <c r="C14274" s="4" t="str">
        <f>HYPERLINK("http://www.uniprot.org/uniprot/M5X1H6","M5X1H6")</f>
        <v>M5X1H6</v>
      </c>
      <c r="D14274" s="2" t="s">
        <v>4558</v>
      </c>
      <c r="E14274" s="3">
        <v>1.78E-120</v>
      </c>
      <c r="F14274" s="2">
        <v>928</v>
      </c>
      <c r="G14274" s="2">
        <v>100</v>
      </c>
      <c r="H14274" s="2">
        <v>170</v>
      </c>
      <c r="I14274" s="2">
        <v>344</v>
      </c>
      <c r="J14274" s="2">
        <v>853</v>
      </c>
      <c r="K14274" s="2">
        <v>208</v>
      </c>
      <c r="L14274" s="2">
        <v>377</v>
      </c>
    </row>
    <row r="14275" spans="1:12" x14ac:dyDescent="0.25">
      <c r="A14275" s="4" t="str">
        <f>HYPERLINK("http://www.rosaceae.org/Prunus/Prunus_persica/p.persica_gdr_reftransV1_0002048","p.persica_gdr_reftransV1_0002048")</f>
        <v>p.persica_gdr_reftransV1_0002048</v>
      </c>
      <c r="B14275" s="2">
        <v>1345</v>
      </c>
      <c r="C14275" s="4" t="str">
        <f>HYPERLINK("http://www.uniprot.org/uniprot/M5VN12","M5VN12")</f>
        <v>M5VN12</v>
      </c>
      <c r="D14275" s="2" t="s">
        <v>7430</v>
      </c>
      <c r="E14275" s="3">
        <v>6.52E-168</v>
      </c>
      <c r="F14275" s="2">
        <v>1246</v>
      </c>
      <c r="G14275" s="2">
        <v>100</v>
      </c>
      <c r="H14275" s="2">
        <v>253</v>
      </c>
      <c r="I14275" s="2">
        <v>494</v>
      </c>
      <c r="J14275" s="2">
        <v>1252</v>
      </c>
      <c r="K14275" s="2">
        <v>1</v>
      </c>
      <c r="L14275" s="2">
        <v>253</v>
      </c>
    </row>
    <row r="14276" spans="1:12" x14ac:dyDescent="0.25">
      <c r="A14276" s="4" t="str">
        <f>HYPERLINK("http://www.rosaceae.org/Prunus/Prunus_persica/p.persica_gdr_reftransV1_0002748","p.persica_gdr_reftransV1_0002748")</f>
        <v>p.persica_gdr_reftransV1_0002748</v>
      </c>
      <c r="B14276" s="2">
        <v>1080</v>
      </c>
      <c r="C14276" s="4" t="str">
        <f>HYPERLINK("http://www.uniprot.org/uniprot/M5WXN5","M5WXN5")</f>
        <v>M5WXN5</v>
      </c>
      <c r="D14276" s="2" t="s">
        <v>11638</v>
      </c>
      <c r="E14276" s="3">
        <v>2.7500000000000001E-158</v>
      </c>
      <c r="F14276" s="2">
        <v>1171</v>
      </c>
      <c r="G14276" s="2">
        <v>100</v>
      </c>
      <c r="H14276" s="2">
        <v>229</v>
      </c>
      <c r="I14276" s="2">
        <v>95</v>
      </c>
      <c r="J14276" s="2">
        <v>781</v>
      </c>
      <c r="K14276" s="2">
        <v>1</v>
      </c>
      <c r="L14276" s="2">
        <v>229</v>
      </c>
    </row>
    <row r="14277" spans="1:12" x14ac:dyDescent="0.25">
      <c r="A14277" s="4" t="str">
        <f>HYPERLINK("http://www.rosaceae.org/Prunus/Prunus_persica/p.persica_gdr_reftransV1_0003098","p.persica_gdr_reftransV1_0003098")</f>
        <v>p.persica_gdr_reftransV1_0003098</v>
      </c>
      <c r="B14277" s="2">
        <v>1401</v>
      </c>
      <c r="C14277" s="4" t="str">
        <f>HYPERLINK("http://www.uniprot.org/uniprot/M5WB92","M5WB92")</f>
        <v>M5WB92</v>
      </c>
      <c r="D14277" s="2" t="s">
        <v>11639</v>
      </c>
      <c r="E14277" s="3">
        <v>1.9700000000000002E-145</v>
      </c>
      <c r="F14277" s="2">
        <v>1106</v>
      </c>
      <c r="G14277" s="2">
        <v>100</v>
      </c>
      <c r="H14277" s="2">
        <v>310</v>
      </c>
      <c r="I14277" s="2">
        <v>80</v>
      </c>
      <c r="J14277" s="2">
        <v>1009</v>
      </c>
      <c r="K14277" s="2">
        <v>1</v>
      </c>
      <c r="L14277" s="2">
        <v>310</v>
      </c>
    </row>
    <row r="14278" spans="1:12" x14ac:dyDescent="0.25">
      <c r="A14278" s="4" t="str">
        <f>HYPERLINK("http://www.rosaceae.org/Prunus/Prunus_persica/p.persica_gdr_reftransV1_0004498","p.persica_gdr_reftransV1_0004498")</f>
        <v>p.persica_gdr_reftransV1_0004498</v>
      </c>
      <c r="B14278" s="2">
        <v>6375</v>
      </c>
      <c r="C14278" s="4" t="str">
        <f>HYPERLINK("http://www.uniprot.org/uniprot/M5XKR9","M5XKR9")</f>
        <v>M5XKR9</v>
      </c>
      <c r="D14278" s="2" t="s">
        <v>11640</v>
      </c>
      <c r="E14278" s="3">
        <v>0</v>
      </c>
      <c r="F14278" s="2">
        <v>8598</v>
      </c>
      <c r="G14278" s="2">
        <v>98</v>
      </c>
      <c r="H14278" s="2">
        <v>1874</v>
      </c>
      <c r="I14278" s="2">
        <v>357</v>
      </c>
      <c r="J14278" s="2">
        <v>5951</v>
      </c>
      <c r="K14278" s="2">
        <v>1</v>
      </c>
      <c r="L14278" s="2">
        <v>1849</v>
      </c>
    </row>
    <row r="14279" spans="1:12" x14ac:dyDescent="0.25">
      <c r="A14279" s="4" t="str">
        <f>HYPERLINK("http://www.rosaceae.org/Prunus/Prunus_persica/p.persica_gdr_reftransV1_0004848","p.persica_gdr_reftransV1_0004848")</f>
        <v>p.persica_gdr_reftransV1_0004848</v>
      </c>
      <c r="B14279" s="2">
        <v>809</v>
      </c>
      <c r="C14279" s="4" t="str">
        <f>HYPERLINK("http://www.uniprot.org/uniprot/M5XRQ0","M5XRQ0")</f>
        <v>M5XRQ0</v>
      </c>
      <c r="D14279" s="2" t="s">
        <v>11641</v>
      </c>
      <c r="E14279" s="3">
        <v>2.36E-158</v>
      </c>
      <c r="F14279" s="2">
        <v>1178</v>
      </c>
      <c r="G14279" s="2">
        <v>94</v>
      </c>
      <c r="H14279" s="2">
        <v>248</v>
      </c>
      <c r="I14279" s="2">
        <v>2</v>
      </c>
      <c r="J14279" s="2">
        <v>745</v>
      </c>
      <c r="K14279" s="2">
        <v>1</v>
      </c>
      <c r="L14279" s="2">
        <v>248</v>
      </c>
    </row>
    <row r="14280" spans="1:12" x14ac:dyDescent="0.25">
      <c r="A14280" s="4" t="str">
        <f>HYPERLINK("http://www.rosaceae.org/Prunus/Prunus_persica/p.persica_gdr_reftransV1_0005548","p.persica_gdr_reftransV1_0005548")</f>
        <v>p.persica_gdr_reftransV1_0005548</v>
      </c>
      <c r="B14280" s="2">
        <v>446</v>
      </c>
      <c r="C14280" s="4" t="str">
        <f>HYPERLINK("http://www.uniprot.org/uniprot/M5XN83","M5XN83")</f>
        <v>M5XN83</v>
      </c>
      <c r="D14280" s="2" t="s">
        <v>9961</v>
      </c>
      <c r="E14280" s="3">
        <v>3.2599999999999999E-40</v>
      </c>
      <c r="F14280" s="2">
        <v>387</v>
      </c>
      <c r="G14280" s="2">
        <v>75</v>
      </c>
      <c r="H14280" s="2">
        <v>105</v>
      </c>
      <c r="I14280" s="2">
        <v>126</v>
      </c>
      <c r="J14280" s="2">
        <v>440</v>
      </c>
      <c r="K14280" s="2">
        <v>257</v>
      </c>
      <c r="L14280" s="2">
        <v>358</v>
      </c>
    </row>
    <row r="14281" spans="1:12" x14ac:dyDescent="0.25">
      <c r="A14281" s="4" t="str">
        <f>HYPERLINK("http://www.rosaceae.org/Prunus/Prunus_persica/p.persica_gdr_reftransV1_0005898","p.persica_gdr_reftransV1_0005898")</f>
        <v>p.persica_gdr_reftransV1_0005898</v>
      </c>
      <c r="B14281" s="2">
        <v>756</v>
      </c>
      <c r="C14281" s="4" t="str">
        <f>HYPERLINK("http://www.uniprot.org/uniprot/M5W008","M5W008")</f>
        <v>M5W008</v>
      </c>
      <c r="D14281" s="2" t="s">
        <v>11642</v>
      </c>
      <c r="E14281" s="3">
        <v>2.2899999999999999E-75</v>
      </c>
      <c r="F14281" s="2">
        <v>611</v>
      </c>
      <c r="G14281" s="2">
        <v>96</v>
      </c>
      <c r="H14281" s="2">
        <v>167</v>
      </c>
      <c r="I14281" s="2">
        <v>198</v>
      </c>
      <c r="J14281" s="2">
        <v>695</v>
      </c>
      <c r="K14281" s="2">
        <v>1</v>
      </c>
      <c r="L14281" s="2">
        <v>167</v>
      </c>
    </row>
    <row r="14282" spans="1:12" x14ac:dyDescent="0.25">
      <c r="A14282" s="4" t="str">
        <f>HYPERLINK("http://www.rosaceae.org/Prunus/Prunus_persica/p.persica_gdr_reftransV1_0006248","p.persica_gdr_reftransV1_0006248")</f>
        <v>p.persica_gdr_reftransV1_0006248</v>
      </c>
      <c r="B14282" s="2">
        <v>344</v>
      </c>
      <c r="C14282" s="4" t="str">
        <f>HYPERLINK("http://www.uniprot.org/uniprot/M5W6D1","M5W6D1")</f>
        <v>M5W6D1</v>
      </c>
      <c r="D14282" s="2" t="s">
        <v>11643</v>
      </c>
      <c r="E14282" s="3">
        <v>1.92E-55</v>
      </c>
      <c r="F14282" s="2">
        <v>483</v>
      </c>
      <c r="G14282" s="2">
        <v>100</v>
      </c>
      <c r="H14282" s="2">
        <v>114</v>
      </c>
      <c r="I14282" s="2">
        <v>2</v>
      </c>
      <c r="J14282" s="2">
        <v>343</v>
      </c>
      <c r="K14282" s="2">
        <v>2</v>
      </c>
      <c r="L14282" s="2">
        <v>115</v>
      </c>
    </row>
    <row r="14283" spans="1:12" x14ac:dyDescent="0.25">
      <c r="A14283" s="4" t="str">
        <f>HYPERLINK("http://www.rosaceae.org/Prunus/Prunus_persica/p.persica_gdr_reftransV1_0006598","p.persica_gdr_reftransV1_0006598")</f>
        <v>p.persica_gdr_reftransV1_0006598</v>
      </c>
      <c r="B14283" s="2">
        <v>595</v>
      </c>
      <c r="C14283" s="4" t="str">
        <f>HYPERLINK("http://www.uniprot.org/uniprot/M5VK63","M5VK63")</f>
        <v>M5VK63</v>
      </c>
      <c r="D14283" s="2" t="s">
        <v>9477</v>
      </c>
      <c r="E14283" s="3">
        <v>7.5800000000000003E-141</v>
      </c>
      <c r="F14283" s="2">
        <v>1064</v>
      </c>
      <c r="G14283" s="2">
        <v>100</v>
      </c>
      <c r="H14283" s="2">
        <v>198</v>
      </c>
      <c r="I14283" s="2">
        <v>2</v>
      </c>
      <c r="J14283" s="2">
        <v>595</v>
      </c>
      <c r="K14283" s="2">
        <v>108</v>
      </c>
      <c r="L14283" s="2">
        <v>305</v>
      </c>
    </row>
    <row r="14284" spans="1:12" x14ac:dyDescent="0.25">
      <c r="A14284" s="4" t="str">
        <f>HYPERLINK("http://www.rosaceae.org/Prunus/Prunus_persica/p.persica_gdr_reftransV1_0006948","p.persica_gdr_reftransV1_0006948")</f>
        <v>p.persica_gdr_reftransV1_0006948</v>
      </c>
      <c r="B14284" s="2">
        <v>480</v>
      </c>
      <c r="C14284" s="4" t="str">
        <f>HYPERLINK("http://www.uniprot.org/uniprot/M5Y9A5","M5Y9A5")</f>
        <v>M5Y9A5</v>
      </c>
      <c r="D14284" s="2" t="s">
        <v>5309</v>
      </c>
      <c r="E14284" s="3">
        <v>2.4499999999999998E-65</v>
      </c>
      <c r="F14284" s="2">
        <v>567</v>
      </c>
      <c r="G14284" s="2">
        <v>100</v>
      </c>
      <c r="H14284" s="2">
        <v>104</v>
      </c>
      <c r="I14284" s="2">
        <v>140</v>
      </c>
      <c r="J14284" s="2">
        <v>451</v>
      </c>
      <c r="K14284" s="2">
        <v>607</v>
      </c>
      <c r="L14284" s="2">
        <v>710</v>
      </c>
    </row>
    <row r="14285" spans="1:12" x14ac:dyDescent="0.25">
      <c r="A14285" s="4" t="str">
        <f>HYPERLINK("http://www.rosaceae.org/Prunus/Prunus_persica/p.persica_gdr_reftransV1_0007298","p.persica_gdr_reftransV1_0007298")</f>
        <v>p.persica_gdr_reftransV1_0007298</v>
      </c>
      <c r="B14285" s="2">
        <v>968</v>
      </c>
      <c r="C14285" s="4" t="str">
        <f>HYPERLINK("http://www.uniprot.org/uniprot/M5X2D8","M5X2D8")</f>
        <v>M5X2D8</v>
      </c>
      <c r="D14285" s="2" t="s">
        <v>11644</v>
      </c>
      <c r="E14285" s="3">
        <v>3.9199999999999997E-150</v>
      </c>
      <c r="F14285" s="2">
        <v>1112</v>
      </c>
      <c r="G14285" s="2">
        <v>100</v>
      </c>
      <c r="H14285" s="2">
        <v>219</v>
      </c>
      <c r="I14285" s="2">
        <v>236</v>
      </c>
      <c r="J14285" s="2">
        <v>892</v>
      </c>
      <c r="K14285" s="2">
        <v>1</v>
      </c>
      <c r="L14285" s="2">
        <v>219</v>
      </c>
    </row>
    <row r="14286" spans="1:12" x14ac:dyDescent="0.25">
      <c r="A14286" s="4" t="str">
        <f>HYPERLINK("http://www.rosaceae.org/Prunus/Prunus_persica/p.persica_gdr_reftransV1_0007648","p.persica_gdr_reftransV1_0007648")</f>
        <v>p.persica_gdr_reftransV1_0007648</v>
      </c>
      <c r="B14286" s="2">
        <v>1607</v>
      </c>
      <c r="C14286" s="4" t="str">
        <f>HYPERLINK("http://www.uniprot.org/uniprot/M5VML4","M5VML4")</f>
        <v>M5VML4</v>
      </c>
      <c r="D14286" s="2" t="s">
        <v>11645</v>
      </c>
      <c r="E14286" s="3">
        <v>8.0399999999999993E-173</v>
      </c>
      <c r="F14286" s="2">
        <v>1287</v>
      </c>
      <c r="G14286" s="2">
        <v>100</v>
      </c>
      <c r="H14286" s="2">
        <v>249</v>
      </c>
      <c r="I14286" s="2">
        <v>852</v>
      </c>
      <c r="J14286" s="2">
        <v>1598</v>
      </c>
      <c r="K14286" s="2">
        <v>1</v>
      </c>
      <c r="L14286" s="2">
        <v>249</v>
      </c>
    </row>
    <row r="14287" spans="1:12" x14ac:dyDescent="0.25">
      <c r="A14287" s="4" t="str">
        <f>HYPERLINK("http://www.rosaceae.org/Prunus/Prunus_persica/p.persica_gdr_reftransV1_0007998","p.persica_gdr_reftransV1_0007998")</f>
        <v>p.persica_gdr_reftransV1_0007998</v>
      </c>
      <c r="B14287" s="2">
        <v>970</v>
      </c>
      <c r="C14287" s="4" t="str">
        <f>HYPERLINK("http://www.uniprot.org/uniprot/M5WZ61","M5WZ61")</f>
        <v>M5WZ61</v>
      </c>
      <c r="D14287" s="2" t="s">
        <v>11646</v>
      </c>
      <c r="E14287" s="3">
        <v>5.2100000000000003E-95</v>
      </c>
      <c r="F14287" s="2">
        <v>742</v>
      </c>
      <c r="G14287" s="2">
        <v>100</v>
      </c>
      <c r="H14287" s="2">
        <v>140</v>
      </c>
      <c r="I14287" s="2">
        <v>188</v>
      </c>
      <c r="J14287" s="2">
        <v>607</v>
      </c>
      <c r="K14287" s="2">
        <v>1</v>
      </c>
      <c r="L14287" s="2">
        <v>140</v>
      </c>
    </row>
    <row r="14288" spans="1:12" x14ac:dyDescent="0.25">
      <c r="A14288" s="4" t="str">
        <f>HYPERLINK("http://www.rosaceae.org/Prunus/Prunus_persica/p.persica_gdr_reftransV1_0008348","p.persica_gdr_reftransV1_0008348")</f>
        <v>p.persica_gdr_reftransV1_0008348</v>
      </c>
      <c r="B14288" s="2">
        <v>1620</v>
      </c>
      <c r="C14288" s="4" t="str">
        <f>HYPERLINK("http://www.uniprot.org/uniprot/M5VI04","M5VI04")</f>
        <v>M5VI04</v>
      </c>
      <c r="D14288" s="2" t="s">
        <v>11647</v>
      </c>
      <c r="E14288" s="3">
        <v>0</v>
      </c>
      <c r="F14288" s="2">
        <v>2561</v>
      </c>
      <c r="G14288" s="2">
        <v>100</v>
      </c>
      <c r="H14288" s="2">
        <v>491</v>
      </c>
      <c r="I14288" s="2">
        <v>146</v>
      </c>
      <c r="J14288" s="2">
        <v>1618</v>
      </c>
      <c r="K14288" s="2">
        <v>38</v>
      </c>
      <c r="L14288" s="2">
        <v>528</v>
      </c>
    </row>
    <row r="14289" spans="1:12" x14ac:dyDescent="0.25">
      <c r="A14289" s="4" t="str">
        <f>HYPERLINK("http://www.rosaceae.org/Prunus/Prunus_persica/p.persica_gdr_reftransV1_0008698","p.persica_gdr_reftransV1_0008698")</f>
        <v>p.persica_gdr_reftransV1_0008698</v>
      </c>
      <c r="B14289" s="2">
        <v>1491</v>
      </c>
      <c r="C14289" s="4" t="str">
        <f>HYPERLINK("http://www.uniprot.org/uniprot/M5VJM5","M5VJM5")</f>
        <v>M5VJM5</v>
      </c>
      <c r="D14289" s="2" t="s">
        <v>11648</v>
      </c>
      <c r="E14289" s="3">
        <v>0</v>
      </c>
      <c r="F14289" s="2">
        <v>1670</v>
      </c>
      <c r="G14289" s="2">
        <v>100</v>
      </c>
      <c r="H14289" s="2">
        <v>403</v>
      </c>
      <c r="I14289" s="2">
        <v>130</v>
      </c>
      <c r="J14289" s="2">
        <v>1338</v>
      </c>
      <c r="K14289" s="2">
        <v>22</v>
      </c>
      <c r="L14289" s="2">
        <v>424</v>
      </c>
    </row>
    <row r="14290" spans="1:12" x14ac:dyDescent="0.25">
      <c r="A14290" s="4" t="str">
        <f>HYPERLINK("http://www.rosaceae.org/Prunus/Prunus_persica/p.persica_gdr_reftransV1_0009398","p.persica_gdr_reftransV1_0009398")</f>
        <v>p.persica_gdr_reftransV1_0009398</v>
      </c>
      <c r="B14290" s="2">
        <v>1090</v>
      </c>
      <c r="C14290" s="4" t="str">
        <f>HYPERLINK("http://www.uniprot.org/uniprot/M5W114","M5W114")</f>
        <v>M5W114</v>
      </c>
      <c r="D14290" s="2" t="s">
        <v>11649</v>
      </c>
      <c r="E14290" s="3">
        <v>5.5500000000000002E-162</v>
      </c>
      <c r="F14290" s="2">
        <v>1195</v>
      </c>
      <c r="G14290" s="2">
        <v>100</v>
      </c>
      <c r="H14290" s="2">
        <v>222</v>
      </c>
      <c r="I14290" s="2">
        <v>169</v>
      </c>
      <c r="J14290" s="2">
        <v>834</v>
      </c>
      <c r="K14290" s="2">
        <v>1</v>
      </c>
      <c r="L14290" s="2">
        <v>222</v>
      </c>
    </row>
    <row r="14291" spans="1:12" x14ac:dyDescent="0.25">
      <c r="A14291" s="4" t="str">
        <f>HYPERLINK("http://www.rosaceae.org/Prunus/Prunus_persica/p.persica_gdr_reftransV1_0010098","p.persica_gdr_reftransV1_0010098")</f>
        <v>p.persica_gdr_reftransV1_0010098</v>
      </c>
      <c r="B14291" s="2">
        <v>2161</v>
      </c>
      <c r="C14291" s="4" t="str">
        <f>HYPERLINK("http://www.uniprot.org/uniprot/M5WNF8","M5WNF8")</f>
        <v>M5WNF8</v>
      </c>
      <c r="D14291" s="2" t="s">
        <v>5323</v>
      </c>
      <c r="E14291" s="3">
        <v>0</v>
      </c>
      <c r="F14291" s="2">
        <v>1160</v>
      </c>
      <c r="G14291" s="2">
        <v>100</v>
      </c>
      <c r="H14291" s="2">
        <v>214</v>
      </c>
      <c r="I14291" s="2">
        <v>49</v>
      </c>
      <c r="J14291" s="2">
        <v>690</v>
      </c>
      <c r="K14291" s="2">
        <v>1</v>
      </c>
      <c r="L14291" s="2">
        <v>214</v>
      </c>
    </row>
    <row r="14292" spans="1:12" x14ac:dyDescent="0.25">
      <c r="A14292" s="4" t="str">
        <f>HYPERLINK("http://www.rosaceae.org/Prunus/Prunus_persica/p.persica_gdr_reftransV1_0010798","p.persica_gdr_reftransV1_0010798")</f>
        <v>p.persica_gdr_reftransV1_0010798</v>
      </c>
      <c r="B14292" s="2">
        <v>742</v>
      </c>
      <c r="C14292" s="4" t="str">
        <f>HYPERLINK("http://www.uniprot.org/uniprot/W9SH63","W9SH63")</f>
        <v>W9SH63</v>
      </c>
      <c r="D14292" s="2" t="s">
        <v>10167</v>
      </c>
      <c r="E14292" s="3">
        <v>2.9499999999999999E-8</v>
      </c>
      <c r="F14292" s="2">
        <v>151</v>
      </c>
      <c r="G14292" s="2">
        <v>44</v>
      </c>
      <c r="H14292" s="2">
        <v>88</v>
      </c>
      <c r="I14292" s="2">
        <v>82</v>
      </c>
      <c r="J14292" s="2">
        <v>345</v>
      </c>
      <c r="K14292" s="2">
        <v>240</v>
      </c>
      <c r="L14292" s="2">
        <v>323</v>
      </c>
    </row>
    <row r="14293" spans="1:12" x14ac:dyDescent="0.25">
      <c r="A14293" s="4" t="str">
        <f>HYPERLINK("http://www.rosaceae.org/Prunus/Prunus_persica/p.persica_gdr_reftransV1_0011498","p.persica_gdr_reftransV1_0011498")</f>
        <v>p.persica_gdr_reftransV1_0011498</v>
      </c>
      <c r="B14293" s="2">
        <v>2279</v>
      </c>
      <c r="C14293" s="4" t="str">
        <f>HYPERLINK("http://www.uniprot.org/uniprot/A0A067F300","A0A067F300")</f>
        <v>A0A067F300</v>
      </c>
      <c r="D14293" s="2" t="s">
        <v>11650</v>
      </c>
      <c r="E14293" s="3">
        <v>0</v>
      </c>
      <c r="F14293" s="2">
        <v>2831</v>
      </c>
      <c r="G14293" s="2">
        <v>77</v>
      </c>
      <c r="H14293" s="2">
        <v>692</v>
      </c>
      <c r="I14293" s="2">
        <v>4</v>
      </c>
      <c r="J14293" s="2">
        <v>2073</v>
      </c>
      <c r="K14293" s="2">
        <v>128</v>
      </c>
      <c r="L14293" s="2">
        <v>817</v>
      </c>
    </row>
    <row r="14294" spans="1:12" x14ac:dyDescent="0.25">
      <c r="A14294" s="4" t="str">
        <f>HYPERLINK("http://www.rosaceae.org/Prunus/Prunus_persica/p.persica_gdr_reftransV1_0012198","p.persica_gdr_reftransV1_0012198")</f>
        <v>p.persica_gdr_reftransV1_0012198</v>
      </c>
      <c r="B14294" s="2">
        <v>2730</v>
      </c>
      <c r="C14294" s="4" t="str">
        <f>HYPERLINK("http://www.uniprot.org/uniprot/M5XCI3","M5XCI3")</f>
        <v>M5XCI3</v>
      </c>
      <c r="D14294" s="2" t="s">
        <v>11651</v>
      </c>
      <c r="E14294" s="3">
        <v>0</v>
      </c>
      <c r="F14294" s="2">
        <v>2636</v>
      </c>
      <c r="G14294" s="2">
        <v>100</v>
      </c>
      <c r="H14294" s="2">
        <v>488</v>
      </c>
      <c r="I14294" s="2">
        <v>276</v>
      </c>
      <c r="J14294" s="2">
        <v>1739</v>
      </c>
      <c r="K14294" s="2">
        <v>274</v>
      </c>
      <c r="L14294" s="2">
        <v>761</v>
      </c>
    </row>
    <row r="14295" spans="1:12" x14ac:dyDescent="0.25">
      <c r="A14295" s="4" t="str">
        <f>HYPERLINK("http://www.rosaceae.org/Prunus/Prunus_persica/p.persica_gdr_reftransV1_0012898","p.persica_gdr_reftransV1_0012898")</f>
        <v>p.persica_gdr_reftransV1_0012898</v>
      </c>
      <c r="B14295" s="2">
        <v>1114</v>
      </c>
      <c r="C14295" s="4" t="str">
        <f>HYPERLINK("http://www.uniprot.org/uniprot/M5WKP8","M5WKP8")</f>
        <v>M5WKP8</v>
      </c>
      <c r="D14295" s="2" t="s">
        <v>11652</v>
      </c>
      <c r="E14295" s="3">
        <v>1.34E-109</v>
      </c>
      <c r="F14295" s="2">
        <v>846</v>
      </c>
      <c r="G14295" s="2">
        <v>100</v>
      </c>
      <c r="H14295" s="2">
        <v>183</v>
      </c>
      <c r="I14295" s="2">
        <v>276</v>
      </c>
      <c r="J14295" s="2">
        <v>824</v>
      </c>
      <c r="K14295" s="2">
        <v>1</v>
      </c>
      <c r="L14295" s="2">
        <v>183</v>
      </c>
    </row>
    <row r="14296" spans="1:12" x14ac:dyDescent="0.25">
      <c r="A14296" s="4" t="str">
        <f>HYPERLINK("http://www.rosaceae.org/Prunus/Prunus_persica/p.persica_gdr_reftransV1_0013248","p.persica_gdr_reftransV1_0013248")</f>
        <v>p.persica_gdr_reftransV1_0013248</v>
      </c>
      <c r="B14296" s="2">
        <v>1921</v>
      </c>
      <c r="C14296" s="4" t="str">
        <f>HYPERLINK("http://www.uniprot.org/uniprot/M5VJW9","M5VJW9")</f>
        <v>M5VJW9</v>
      </c>
      <c r="D14296" s="2" t="s">
        <v>11653</v>
      </c>
      <c r="E14296" s="3">
        <v>0</v>
      </c>
      <c r="F14296" s="2">
        <v>1859</v>
      </c>
      <c r="G14296" s="2">
        <v>100</v>
      </c>
      <c r="H14296" s="2">
        <v>373</v>
      </c>
      <c r="I14296" s="2">
        <v>633</v>
      </c>
      <c r="J14296" s="2">
        <v>1751</v>
      </c>
      <c r="K14296" s="2">
        <v>1</v>
      </c>
      <c r="L14296" s="2">
        <v>373</v>
      </c>
    </row>
    <row r="14297" spans="1:12" x14ac:dyDescent="0.25">
      <c r="A14297" s="4" t="str">
        <f>HYPERLINK("http://www.rosaceae.org/Prunus/Prunus_persica/p.persica_gdr_reftransV1_0013598","p.persica_gdr_reftransV1_0013598")</f>
        <v>p.persica_gdr_reftransV1_0013598</v>
      </c>
      <c r="B14297" s="2">
        <v>902</v>
      </c>
      <c r="C14297" s="4" t="str">
        <f>HYPERLINK("http://www.uniprot.org/uniprot/M5VK18","M5VK18")</f>
        <v>M5VK18</v>
      </c>
      <c r="D14297" s="2" t="s">
        <v>11654</v>
      </c>
      <c r="E14297" s="3">
        <v>5.6600000000000001E-161</v>
      </c>
      <c r="F14297" s="2">
        <v>1183</v>
      </c>
      <c r="G14297" s="2">
        <v>100</v>
      </c>
      <c r="H14297" s="2">
        <v>232</v>
      </c>
      <c r="I14297" s="2">
        <v>104</v>
      </c>
      <c r="J14297" s="2">
        <v>799</v>
      </c>
      <c r="K14297" s="2">
        <v>1</v>
      </c>
      <c r="L14297" s="2">
        <v>232</v>
      </c>
    </row>
    <row r="14298" spans="1:12" x14ac:dyDescent="0.25">
      <c r="A14298" s="4" t="str">
        <f>HYPERLINK("http://www.rosaceae.org/Prunus/Prunus_persica/p.persica_gdr_reftransV1_0013948","p.persica_gdr_reftransV1_0013948")</f>
        <v>p.persica_gdr_reftransV1_0013948</v>
      </c>
      <c r="B14298" s="2">
        <v>4346</v>
      </c>
      <c r="C14298" s="4" t="str">
        <f>HYPERLINK("http://www.uniprot.org/uniprot/M5XIB1","M5XIB1")</f>
        <v>M5XIB1</v>
      </c>
      <c r="D14298" s="2" t="s">
        <v>10079</v>
      </c>
      <c r="E14298" s="3">
        <v>0</v>
      </c>
      <c r="F14298" s="2">
        <v>2695</v>
      </c>
      <c r="G14298" s="2">
        <v>99</v>
      </c>
      <c r="H14298" s="2">
        <v>638</v>
      </c>
      <c r="I14298" s="2">
        <v>2060</v>
      </c>
      <c r="J14298" s="2">
        <v>3973</v>
      </c>
      <c r="K14298" s="2">
        <v>1821</v>
      </c>
      <c r="L14298" s="2">
        <v>2458</v>
      </c>
    </row>
    <row r="14299" spans="1:12" x14ac:dyDescent="0.25">
      <c r="A14299" s="4" t="str">
        <f>HYPERLINK("http://www.rosaceae.org/Prunus/Prunus_persica/p.persica_gdr_reftransV1_0014648","p.persica_gdr_reftransV1_0014648")</f>
        <v>p.persica_gdr_reftransV1_0014648</v>
      </c>
      <c r="B14299" s="2">
        <v>2908</v>
      </c>
      <c r="C14299" s="4" t="str">
        <f>HYPERLINK("http://www.uniprot.org/uniprot/M5Y2N0","M5Y2N0")</f>
        <v>M5Y2N0</v>
      </c>
      <c r="D14299" s="2" t="s">
        <v>11655</v>
      </c>
      <c r="E14299" s="3">
        <v>0</v>
      </c>
      <c r="F14299" s="2">
        <v>4068</v>
      </c>
      <c r="G14299" s="2">
        <v>96</v>
      </c>
      <c r="H14299" s="2">
        <v>846</v>
      </c>
      <c r="I14299" s="2">
        <v>302</v>
      </c>
      <c r="J14299" s="2">
        <v>2749</v>
      </c>
      <c r="K14299" s="2">
        <v>1</v>
      </c>
      <c r="L14299" s="2">
        <v>846</v>
      </c>
    </row>
    <row r="14300" spans="1:12" x14ac:dyDescent="0.25">
      <c r="A14300" s="4" t="str">
        <f>HYPERLINK("http://www.rosaceae.org/Prunus/Prunus_persica/p.persica_gdr_reftransV1_0015348","p.persica_gdr_reftransV1_0015348")</f>
        <v>p.persica_gdr_reftransV1_0015348</v>
      </c>
      <c r="B14300" s="2">
        <v>877</v>
      </c>
      <c r="C14300" s="4" t="str">
        <f>HYPERLINK("http://www.uniprot.org/uniprot/M5W2N0","M5W2N0")</f>
        <v>M5W2N0</v>
      </c>
      <c r="D14300" s="2" t="s">
        <v>1246</v>
      </c>
      <c r="E14300" s="3">
        <v>3.8400000000000002E-149</v>
      </c>
      <c r="F14300" s="2">
        <v>1049</v>
      </c>
      <c r="G14300" s="2">
        <v>99</v>
      </c>
      <c r="H14300" s="2">
        <v>195</v>
      </c>
      <c r="I14300" s="2">
        <v>3</v>
      </c>
      <c r="J14300" s="2">
        <v>587</v>
      </c>
      <c r="K14300" s="2">
        <v>305</v>
      </c>
      <c r="L14300" s="2">
        <v>499</v>
      </c>
    </row>
    <row r="14301" spans="1:12" x14ac:dyDescent="0.25">
      <c r="A14301" s="4" t="str">
        <f>HYPERLINK("http://www.rosaceae.org/Prunus/Prunus_persica/p.persica_gdr_reftransV1_0015698","p.persica_gdr_reftransV1_0015698")</f>
        <v>p.persica_gdr_reftransV1_0015698</v>
      </c>
      <c r="B14301" s="2">
        <v>1062</v>
      </c>
      <c r="C14301" s="4" t="str">
        <f>HYPERLINK("http://www.uniprot.org/uniprot/M5WPV2","M5WPV2")</f>
        <v>M5WPV2</v>
      </c>
      <c r="D14301" s="2" t="s">
        <v>11656</v>
      </c>
      <c r="E14301" s="3">
        <v>1.99E-48</v>
      </c>
      <c r="F14301" s="2">
        <v>471</v>
      </c>
      <c r="G14301" s="2">
        <v>98</v>
      </c>
      <c r="H14301" s="2">
        <v>107</v>
      </c>
      <c r="I14301" s="2">
        <v>1</v>
      </c>
      <c r="J14301" s="2">
        <v>321</v>
      </c>
      <c r="K14301" s="2">
        <v>2</v>
      </c>
      <c r="L14301" s="2">
        <v>108</v>
      </c>
    </row>
    <row r="14302" spans="1:12" x14ac:dyDescent="0.25">
      <c r="A14302" s="4" t="str">
        <f>HYPERLINK("http://www.rosaceae.org/Prunus/Prunus_persica/p.persica_gdr_reftransV1_0017448","p.persica_gdr_reftransV1_0017448")</f>
        <v>p.persica_gdr_reftransV1_0017448</v>
      </c>
      <c r="B14302" s="2">
        <v>1477</v>
      </c>
      <c r="C14302" s="4" t="str">
        <f>HYPERLINK("http://www.uniprot.org/uniprot/M5WFL5","M5WFL5")</f>
        <v>M5WFL5</v>
      </c>
      <c r="D14302" s="2" t="s">
        <v>11657</v>
      </c>
      <c r="E14302" s="3">
        <v>1.44E-167</v>
      </c>
      <c r="F14302" s="2">
        <v>922</v>
      </c>
      <c r="G14302" s="2">
        <v>100</v>
      </c>
      <c r="H14302" s="2">
        <v>203</v>
      </c>
      <c r="I14302" s="2">
        <v>557</v>
      </c>
      <c r="J14302" s="2">
        <v>1165</v>
      </c>
      <c r="K14302" s="2">
        <v>170</v>
      </c>
      <c r="L14302" s="2">
        <v>372</v>
      </c>
    </row>
    <row r="14303" spans="1:12" x14ac:dyDescent="0.25">
      <c r="A14303" s="4" t="str">
        <f>HYPERLINK("http://www.rosaceae.org/Prunus/Prunus_persica/p.persica_gdr_reftransV1_0018498","p.persica_gdr_reftransV1_0018498")</f>
        <v>p.persica_gdr_reftransV1_0018498</v>
      </c>
      <c r="B14303" s="2">
        <v>4966</v>
      </c>
      <c r="C14303" s="4" t="str">
        <f>HYPERLINK("http://www.uniprot.org/uniprot/M5VVU5","M5VVU5")</f>
        <v>M5VVU5</v>
      </c>
      <c r="D14303" s="2" t="s">
        <v>10508</v>
      </c>
      <c r="E14303" s="3">
        <v>0</v>
      </c>
      <c r="F14303" s="2">
        <v>3699</v>
      </c>
      <c r="G14303" s="2">
        <v>100</v>
      </c>
      <c r="H14303" s="2">
        <v>684</v>
      </c>
      <c r="I14303" s="2">
        <v>2703</v>
      </c>
      <c r="J14303" s="2">
        <v>4754</v>
      </c>
      <c r="K14303" s="2">
        <v>1</v>
      </c>
      <c r="L14303" s="2">
        <v>684</v>
      </c>
    </row>
    <row r="14304" spans="1:12" x14ac:dyDescent="0.25">
      <c r="A14304" s="4" t="str">
        <f>HYPERLINK("http://www.rosaceae.org/Prunus/Prunus_persica/p.persica_gdr_reftransV1_0019548","p.persica_gdr_reftransV1_0019548")</f>
        <v>p.persica_gdr_reftransV1_0019548</v>
      </c>
      <c r="B14304" s="2">
        <v>1506</v>
      </c>
      <c r="C14304" s="4" t="str">
        <f>HYPERLINK("http://www.uniprot.org/uniprot/M5XFS8","M5XFS8")</f>
        <v>M5XFS8</v>
      </c>
      <c r="D14304" s="2" t="s">
        <v>11658</v>
      </c>
      <c r="E14304" s="3">
        <v>4.05E-77</v>
      </c>
      <c r="F14304" s="2">
        <v>640</v>
      </c>
      <c r="G14304" s="2">
        <v>100</v>
      </c>
      <c r="H14304" s="2">
        <v>137</v>
      </c>
      <c r="I14304" s="2">
        <v>393</v>
      </c>
      <c r="J14304" s="2">
        <v>803</v>
      </c>
      <c r="K14304" s="2">
        <v>32</v>
      </c>
      <c r="L14304" s="2">
        <v>168</v>
      </c>
    </row>
    <row r="14305" spans="1:12" x14ac:dyDescent="0.25">
      <c r="A14305" s="4" t="str">
        <f>HYPERLINK("http://www.rosaceae.org/Prunus/Prunus_persica/p.persica_gdr_reftransV1_0020598","p.persica_gdr_reftransV1_0020598")</f>
        <v>p.persica_gdr_reftransV1_0020598</v>
      </c>
      <c r="B14305" s="2">
        <v>1410</v>
      </c>
      <c r="C14305" s="4" t="str">
        <f>HYPERLINK("http://www.uniprot.org/uniprot/W9QLB8","W9QLB8")</f>
        <v>W9QLB8</v>
      </c>
      <c r="D14305" s="2" t="s">
        <v>7631</v>
      </c>
      <c r="E14305" s="3">
        <v>1.9900000000000001E-39</v>
      </c>
      <c r="F14305" s="2">
        <v>408</v>
      </c>
      <c r="G14305" s="2">
        <v>64</v>
      </c>
      <c r="H14305" s="2">
        <v>124</v>
      </c>
      <c r="I14305" s="2">
        <v>1037</v>
      </c>
      <c r="J14305" s="2">
        <v>1408</v>
      </c>
      <c r="K14305" s="2">
        <v>1</v>
      </c>
      <c r="L14305" s="2">
        <v>124</v>
      </c>
    </row>
    <row r="14306" spans="1:12" x14ac:dyDescent="0.25">
      <c r="A14306" s="4" t="str">
        <f>HYPERLINK("http://www.rosaceae.org/Prunus/Prunus_persica/p.persica_gdr_reftransV1_0023748","p.persica_gdr_reftransV1_0023748")</f>
        <v>p.persica_gdr_reftransV1_0023748</v>
      </c>
      <c r="B14306" s="2">
        <v>1044</v>
      </c>
      <c r="C14306" s="4" t="str">
        <f>HYPERLINK("http://www.uniprot.org/uniprot/M5XRK3","M5XRK3")</f>
        <v>M5XRK3</v>
      </c>
      <c r="D14306" s="2" t="s">
        <v>9235</v>
      </c>
      <c r="E14306" s="3">
        <v>1.52E-143</v>
      </c>
      <c r="F14306" s="2">
        <v>920</v>
      </c>
      <c r="G14306" s="2">
        <v>100</v>
      </c>
      <c r="H14306" s="2">
        <v>171</v>
      </c>
      <c r="I14306" s="2">
        <v>531</v>
      </c>
      <c r="J14306" s="2">
        <v>1043</v>
      </c>
      <c r="K14306" s="2">
        <v>101</v>
      </c>
      <c r="L14306" s="2">
        <v>271</v>
      </c>
    </row>
    <row r="14307" spans="1:12" x14ac:dyDescent="0.25">
      <c r="A14307" s="4" t="str">
        <f>HYPERLINK("http://www.rosaceae.org/Prunus/Prunus_persica/p.persica_gdr_reftransV1_0024098","p.persica_gdr_reftransV1_0024098")</f>
        <v>p.persica_gdr_reftransV1_0024098</v>
      </c>
      <c r="B14307" s="2">
        <v>723</v>
      </c>
      <c r="C14307" s="4" t="str">
        <f>HYPERLINK("http://www.uniprot.org/uniprot/M5W0M4","M5W0M4")</f>
        <v>M5W0M4</v>
      </c>
      <c r="D14307" s="2" t="s">
        <v>9379</v>
      </c>
      <c r="E14307" s="3">
        <v>5.5399999999999996E-168</v>
      </c>
      <c r="F14307" s="2">
        <v>1306</v>
      </c>
      <c r="G14307" s="2">
        <v>100</v>
      </c>
      <c r="H14307" s="2">
        <v>240</v>
      </c>
      <c r="I14307" s="2">
        <v>2</v>
      </c>
      <c r="J14307" s="2">
        <v>721</v>
      </c>
      <c r="K14307" s="2">
        <v>919</v>
      </c>
      <c r="L14307" s="2">
        <v>1158</v>
      </c>
    </row>
    <row r="14308" spans="1:12" x14ac:dyDescent="0.25">
      <c r="A14308" s="4" t="str">
        <f>HYPERLINK("http://www.rosaceae.org/Prunus/Prunus_persica/p.persica_gdr_reftransV1_0024448","p.persica_gdr_reftransV1_0024448")</f>
        <v>p.persica_gdr_reftransV1_0024448</v>
      </c>
      <c r="B14308" s="2">
        <v>613</v>
      </c>
      <c r="C14308" s="4" t="str">
        <f>HYPERLINK("http://www.uniprot.org/uniprot/M5XX69","M5XX69")</f>
        <v>M5XX69</v>
      </c>
      <c r="D14308" s="2" t="s">
        <v>11659</v>
      </c>
      <c r="E14308" s="3">
        <v>1.91E-135</v>
      </c>
      <c r="F14308" s="2">
        <v>1043</v>
      </c>
      <c r="G14308" s="2">
        <v>100</v>
      </c>
      <c r="H14308" s="2">
        <v>190</v>
      </c>
      <c r="I14308" s="2">
        <v>1</v>
      </c>
      <c r="J14308" s="2">
        <v>570</v>
      </c>
      <c r="K14308" s="2">
        <v>1</v>
      </c>
      <c r="L14308" s="2">
        <v>190</v>
      </c>
    </row>
    <row r="14309" spans="1:12" x14ac:dyDescent="0.25">
      <c r="A14309" s="4" t="str">
        <f>HYPERLINK("http://www.rosaceae.org/Prunus/Prunus_persica/p.persica_gdr_reftransV1_0024798","p.persica_gdr_reftransV1_0024798")</f>
        <v>p.persica_gdr_reftransV1_0024798</v>
      </c>
      <c r="B14309" s="2">
        <v>1360</v>
      </c>
      <c r="C14309" s="4" t="str">
        <f>HYPERLINK("http://www.uniprot.org/uniprot/M5WHZ1","M5WHZ1")</f>
        <v>M5WHZ1</v>
      </c>
      <c r="D14309" s="2" t="s">
        <v>11660</v>
      </c>
      <c r="E14309" s="3">
        <v>0</v>
      </c>
      <c r="F14309" s="2">
        <v>1532</v>
      </c>
      <c r="G14309" s="2">
        <v>100</v>
      </c>
      <c r="H14309" s="2">
        <v>300</v>
      </c>
      <c r="I14309" s="2">
        <v>385</v>
      </c>
      <c r="J14309" s="2">
        <v>1284</v>
      </c>
      <c r="K14309" s="2">
        <v>1</v>
      </c>
      <c r="L14309" s="2">
        <v>300</v>
      </c>
    </row>
    <row r="14310" spans="1:12" x14ac:dyDescent="0.25">
      <c r="A14310" s="4" t="str">
        <f>HYPERLINK("http://www.rosaceae.org/Prunus/Prunus_persica/p.persica_gdr_reftransV1_0026548","p.persica_gdr_reftransV1_0026548")</f>
        <v>p.persica_gdr_reftransV1_0026548</v>
      </c>
      <c r="B14310" s="2">
        <v>2724</v>
      </c>
      <c r="C14310" s="4" t="str">
        <f>HYPERLINK("http://www.uniprot.org/uniprot/M5WT97","M5WT97")</f>
        <v>M5WT97</v>
      </c>
      <c r="D14310" s="2" t="s">
        <v>11447</v>
      </c>
      <c r="E14310" s="3">
        <v>0</v>
      </c>
      <c r="F14310" s="2">
        <v>1543</v>
      </c>
      <c r="G14310" s="2">
        <v>100</v>
      </c>
      <c r="H14310" s="2">
        <v>310</v>
      </c>
      <c r="I14310" s="2">
        <v>368</v>
      </c>
      <c r="J14310" s="2">
        <v>1297</v>
      </c>
      <c r="K14310" s="2">
        <v>1</v>
      </c>
      <c r="L14310" s="2">
        <v>310</v>
      </c>
    </row>
    <row r="14311" spans="1:12" x14ac:dyDescent="0.25">
      <c r="A14311" s="4" t="str">
        <f>HYPERLINK("http://www.rosaceae.org/Prunus/Prunus_persica/p.persica_gdr_reftransV1_0026898","p.persica_gdr_reftransV1_0026898")</f>
        <v>p.persica_gdr_reftransV1_0026898</v>
      </c>
      <c r="B14311" s="2">
        <v>2758</v>
      </c>
      <c r="C14311" s="4" t="str">
        <f>HYPERLINK("http://www.uniprot.org/uniprot/M5XPC8","M5XPC8")</f>
        <v>M5XPC8</v>
      </c>
      <c r="D14311" s="2" t="s">
        <v>10025</v>
      </c>
      <c r="E14311" s="3">
        <v>0</v>
      </c>
      <c r="F14311" s="2">
        <v>1497</v>
      </c>
      <c r="G14311" s="2">
        <v>100</v>
      </c>
      <c r="H14311" s="2">
        <v>283</v>
      </c>
      <c r="I14311" s="2">
        <v>1045</v>
      </c>
      <c r="J14311" s="2">
        <v>1893</v>
      </c>
      <c r="K14311" s="2">
        <v>1</v>
      </c>
      <c r="L14311" s="2">
        <v>283</v>
      </c>
    </row>
    <row r="14312" spans="1:12" x14ac:dyDescent="0.25">
      <c r="A14312" s="4" t="str">
        <f>HYPERLINK("http://www.rosaceae.org/Prunus/Prunus_persica/p.persica_gdr_reftransV1_0027248","p.persica_gdr_reftransV1_0027248")</f>
        <v>p.persica_gdr_reftransV1_0027248</v>
      </c>
      <c r="B14312" s="2">
        <v>1466</v>
      </c>
      <c r="C14312" s="4" t="str">
        <f>HYPERLINK("http://www.uniprot.org/uniprot/M5W2N8","M5W2N8")</f>
        <v>M5W2N8</v>
      </c>
      <c r="D14312" s="2" t="s">
        <v>11661</v>
      </c>
      <c r="E14312" s="3">
        <v>0</v>
      </c>
      <c r="F14312" s="2">
        <v>1686</v>
      </c>
      <c r="G14312" s="2">
        <v>100</v>
      </c>
      <c r="H14312" s="2">
        <v>344</v>
      </c>
      <c r="I14312" s="2">
        <v>216</v>
      </c>
      <c r="J14312" s="2">
        <v>1247</v>
      </c>
      <c r="K14312" s="2">
        <v>1</v>
      </c>
      <c r="L14312" s="2">
        <v>344</v>
      </c>
    </row>
    <row r="14313" spans="1:12" x14ac:dyDescent="0.25">
      <c r="A14313" s="4" t="str">
        <f>HYPERLINK("http://www.rosaceae.org/Prunus/Prunus_persica/p.persica_gdr_reftransV1_0027948","p.persica_gdr_reftransV1_0027948")</f>
        <v>p.persica_gdr_reftransV1_0027948</v>
      </c>
      <c r="B14313" s="2">
        <v>3294</v>
      </c>
      <c r="C14313" s="4" t="str">
        <f>HYPERLINK("http://www.uniprot.org/uniprot/M5WH37","M5WH37")</f>
        <v>M5WH37</v>
      </c>
      <c r="D14313" s="2" t="s">
        <v>11009</v>
      </c>
      <c r="E14313" s="3">
        <v>5.4900000000000001E-118</v>
      </c>
      <c r="F14313" s="2">
        <v>963</v>
      </c>
      <c r="G14313" s="2">
        <v>100</v>
      </c>
      <c r="H14313" s="2">
        <v>242</v>
      </c>
      <c r="I14313" s="2">
        <v>2271</v>
      </c>
      <c r="J14313" s="2">
        <v>2996</v>
      </c>
      <c r="K14313" s="2">
        <v>1</v>
      </c>
      <c r="L14313" s="2">
        <v>242</v>
      </c>
    </row>
    <row r="14314" spans="1:12" x14ac:dyDescent="0.25">
      <c r="A14314" s="4" t="str">
        <f>HYPERLINK("http://www.rosaceae.org/Prunus/Prunus_persica/p.persica_gdr_reftransV1_0028298","p.persica_gdr_reftransV1_0028298")</f>
        <v>p.persica_gdr_reftransV1_0028298</v>
      </c>
      <c r="B14314" s="2">
        <v>2691</v>
      </c>
      <c r="C14314" s="4" t="str">
        <f>HYPERLINK("http://www.uniprot.org/uniprot/M5WU38","M5WU38")</f>
        <v>M5WU38</v>
      </c>
      <c r="D14314" s="2" t="s">
        <v>11662</v>
      </c>
      <c r="E14314" s="3">
        <v>0</v>
      </c>
      <c r="F14314" s="2">
        <v>2977</v>
      </c>
      <c r="G14314" s="2">
        <v>100</v>
      </c>
      <c r="H14314" s="2">
        <v>564</v>
      </c>
      <c r="I14314" s="2">
        <v>509</v>
      </c>
      <c r="J14314" s="2">
        <v>2200</v>
      </c>
      <c r="K14314" s="2">
        <v>1</v>
      </c>
      <c r="L14314" s="2">
        <v>564</v>
      </c>
    </row>
    <row r="14315" spans="1:12" x14ac:dyDescent="0.25">
      <c r="A14315" s="4" t="str">
        <f>HYPERLINK("http://www.rosaceae.org/Prunus/Prunus_persica/p.persica_gdr_reftransV1_0028998","p.persica_gdr_reftransV1_0028998")</f>
        <v>p.persica_gdr_reftransV1_0028998</v>
      </c>
      <c r="B14315" s="2">
        <v>1972</v>
      </c>
      <c r="C14315" s="4" t="str">
        <f>HYPERLINK("http://www.uniprot.org/uniprot/M5WU53","M5WU53")</f>
        <v>M5WU53</v>
      </c>
      <c r="D14315" s="2" t="s">
        <v>11663</v>
      </c>
      <c r="E14315" s="3">
        <v>0</v>
      </c>
      <c r="F14315" s="2">
        <v>1915</v>
      </c>
      <c r="G14315" s="2">
        <v>100</v>
      </c>
      <c r="H14315" s="2">
        <v>367</v>
      </c>
      <c r="I14315" s="2">
        <v>389</v>
      </c>
      <c r="J14315" s="2">
        <v>1489</v>
      </c>
      <c r="K14315" s="2">
        <v>1</v>
      </c>
      <c r="L14315" s="2">
        <v>367</v>
      </c>
    </row>
    <row r="14316" spans="1:12" x14ac:dyDescent="0.25">
      <c r="A14316" s="4" t="str">
        <f>HYPERLINK("http://www.rosaceae.org/Prunus/Prunus_persica/p.persica_gdr_reftransV1_0029348","p.persica_gdr_reftransV1_0029348")</f>
        <v>p.persica_gdr_reftransV1_0029348</v>
      </c>
      <c r="B14316" s="2">
        <v>1386</v>
      </c>
      <c r="C14316" s="4" t="str">
        <f>HYPERLINK("http://www.uniprot.org/uniprot/M5W117","M5W117")</f>
        <v>M5W117</v>
      </c>
      <c r="D14316" s="2" t="s">
        <v>11664</v>
      </c>
      <c r="E14316" s="3">
        <v>3.7599999999999997E-60</v>
      </c>
      <c r="F14316" s="2">
        <v>524</v>
      </c>
      <c r="G14316" s="2">
        <v>68</v>
      </c>
      <c r="H14316" s="2">
        <v>158</v>
      </c>
      <c r="I14316" s="2">
        <v>662</v>
      </c>
      <c r="J14316" s="2">
        <v>1117</v>
      </c>
      <c r="K14316" s="2">
        <v>26</v>
      </c>
      <c r="L14316" s="2">
        <v>183</v>
      </c>
    </row>
    <row r="14317" spans="1:12" x14ac:dyDescent="0.25">
      <c r="A14317" s="4" t="str">
        <f>HYPERLINK("http://www.rosaceae.org/Prunus/Prunus_persica/p.persica_gdr_reftransV1_0030048","p.persica_gdr_reftransV1_0030048")</f>
        <v>p.persica_gdr_reftransV1_0030048</v>
      </c>
      <c r="B14317" s="2">
        <v>5802</v>
      </c>
      <c r="C14317" s="4" t="str">
        <f>HYPERLINK("http://www.uniprot.org/uniprot/M5XL96","M5XL96")</f>
        <v>M5XL96</v>
      </c>
      <c r="D14317" s="2" t="s">
        <v>11665</v>
      </c>
      <c r="E14317" s="3">
        <v>0</v>
      </c>
      <c r="F14317" s="2">
        <v>4515</v>
      </c>
      <c r="G14317" s="2">
        <v>98</v>
      </c>
      <c r="H14317" s="2">
        <v>911</v>
      </c>
      <c r="I14317" s="2">
        <v>2823</v>
      </c>
      <c r="J14317" s="2">
        <v>5555</v>
      </c>
      <c r="K14317" s="2">
        <v>1</v>
      </c>
      <c r="L14317" s="2">
        <v>897</v>
      </c>
    </row>
    <row r="14318" spans="1:12" x14ac:dyDescent="0.25">
      <c r="A14318" s="4" t="str">
        <f>HYPERLINK("http://www.rosaceae.org/Prunus/Prunus_persica/p.persica_gdr_reftransV1_0032148","p.persica_gdr_reftransV1_0032148")</f>
        <v>p.persica_gdr_reftransV1_0032148</v>
      </c>
      <c r="B14318" s="2">
        <v>4545</v>
      </c>
      <c r="C14318" s="4" t="str">
        <f>HYPERLINK("http://www.uniprot.org/uniprot/F6HTB7","F6HTB7")</f>
        <v>F6HTB7</v>
      </c>
      <c r="D14318" s="2" t="s">
        <v>11666</v>
      </c>
      <c r="E14318" s="3">
        <v>0</v>
      </c>
      <c r="F14318" s="2">
        <v>2279</v>
      </c>
      <c r="G14318" s="2">
        <v>78</v>
      </c>
      <c r="H14318" s="2">
        <v>645</v>
      </c>
      <c r="I14318" s="2">
        <v>1294</v>
      </c>
      <c r="J14318" s="2">
        <v>3189</v>
      </c>
      <c r="K14318" s="2">
        <v>286</v>
      </c>
      <c r="L14318" s="2">
        <v>929</v>
      </c>
    </row>
    <row r="14319" spans="1:12" x14ac:dyDescent="0.25">
      <c r="A14319" s="4" t="str">
        <f>HYPERLINK("http://www.rosaceae.org/Prunus/Prunus_persica/p.persica_gdr_reftransV1_0034248","p.persica_gdr_reftransV1_0034248")</f>
        <v>p.persica_gdr_reftransV1_0034248</v>
      </c>
      <c r="B14319" s="2">
        <v>1309</v>
      </c>
      <c r="C14319" s="4" t="str">
        <f>HYPERLINK("http://www.uniprot.org/uniprot/M5VJ60","M5VJ60")</f>
        <v>M5VJ60</v>
      </c>
      <c r="D14319" s="2" t="s">
        <v>11667</v>
      </c>
      <c r="E14319" s="3">
        <v>3.77E-63</v>
      </c>
      <c r="F14319" s="2">
        <v>538</v>
      </c>
      <c r="G14319" s="2">
        <v>99</v>
      </c>
      <c r="H14319" s="2">
        <v>135</v>
      </c>
      <c r="I14319" s="2">
        <v>774</v>
      </c>
      <c r="J14319" s="2">
        <v>1178</v>
      </c>
      <c r="K14319" s="2">
        <v>1</v>
      </c>
      <c r="L14319" s="2">
        <v>135</v>
      </c>
    </row>
    <row r="14320" spans="1:12" x14ac:dyDescent="0.25">
      <c r="A14320" s="4" t="str">
        <f>HYPERLINK("http://www.rosaceae.org/Prunus/Prunus_persica/p.persica_gdr_reftransV1_0035648","p.persica_gdr_reftransV1_0035648")</f>
        <v>p.persica_gdr_reftransV1_0035648</v>
      </c>
      <c r="B14320" s="2">
        <v>1916</v>
      </c>
      <c r="C14320" s="4" t="str">
        <f>HYPERLINK("http://www.uniprot.org/uniprot/M5W100","M5W100")</f>
        <v>M5W100</v>
      </c>
      <c r="D14320" s="2" t="s">
        <v>11668</v>
      </c>
      <c r="E14320" s="3">
        <v>1.5700000000000001E-128</v>
      </c>
      <c r="F14320" s="2">
        <v>1001</v>
      </c>
      <c r="G14320" s="2">
        <v>100</v>
      </c>
      <c r="H14320" s="2">
        <v>186</v>
      </c>
      <c r="I14320" s="2">
        <v>232</v>
      </c>
      <c r="J14320" s="2">
        <v>789</v>
      </c>
      <c r="K14320" s="2">
        <v>31</v>
      </c>
      <c r="L14320" s="2">
        <v>216</v>
      </c>
    </row>
    <row r="14321" spans="1:12" x14ac:dyDescent="0.25">
      <c r="A14321" s="4" t="str">
        <f>HYPERLINK("http://www.rosaceae.org/Prunus/Prunus_persica/p.persica_gdr_reftransV1_0040198","p.persica_gdr_reftransV1_0040198")</f>
        <v>p.persica_gdr_reftransV1_0040198</v>
      </c>
      <c r="B14321" s="2">
        <v>713</v>
      </c>
      <c r="C14321" s="4" t="str">
        <f>HYPERLINK("http://www.uniprot.org/uniprot/B9RY99","B9RY99")</f>
        <v>B9RY99</v>
      </c>
      <c r="D14321" s="2" t="s">
        <v>11669</v>
      </c>
      <c r="E14321" s="3">
        <v>5.1500000000000004E-57</v>
      </c>
      <c r="F14321" s="2">
        <v>493</v>
      </c>
      <c r="G14321" s="2">
        <v>76</v>
      </c>
      <c r="H14321" s="2">
        <v>160</v>
      </c>
      <c r="I14321" s="2">
        <v>17</v>
      </c>
      <c r="J14321" s="2">
        <v>487</v>
      </c>
      <c r="K14321" s="2">
        <v>15</v>
      </c>
      <c r="L14321" s="2">
        <v>172</v>
      </c>
    </row>
    <row r="14322" spans="1:12" x14ac:dyDescent="0.25">
      <c r="A14322" s="4" t="str">
        <f>HYPERLINK("http://www.rosaceae.org/Prunus/Prunus_persica/p.persica_gdr_reftransV1_0041948","p.persica_gdr_reftransV1_0041948")</f>
        <v>p.persica_gdr_reftransV1_0041948</v>
      </c>
      <c r="B14322" s="2">
        <v>1187</v>
      </c>
      <c r="C14322" s="4" t="str">
        <f>HYPERLINK("http://www.uniprot.org/uniprot/M5XAJ0","M5XAJ0")</f>
        <v>M5XAJ0</v>
      </c>
      <c r="D14322" s="2" t="s">
        <v>11670</v>
      </c>
      <c r="E14322" s="3">
        <v>3.3099999999999999E-129</v>
      </c>
      <c r="F14322" s="2">
        <v>1005</v>
      </c>
      <c r="G14322" s="2">
        <v>99</v>
      </c>
      <c r="H14322" s="2">
        <v>267</v>
      </c>
      <c r="I14322" s="2">
        <v>1</v>
      </c>
      <c r="J14322" s="2">
        <v>801</v>
      </c>
      <c r="K14322" s="2">
        <v>191</v>
      </c>
      <c r="L14322" s="2">
        <v>457</v>
      </c>
    </row>
    <row r="14323" spans="1:12" x14ac:dyDescent="0.25">
      <c r="A14323" s="4" t="str">
        <f>HYPERLINK("http://www.rosaceae.org/Prunus/Prunus_persica/p.persica_gdr_reftransV1_0042298","p.persica_gdr_reftransV1_0042298")</f>
        <v>p.persica_gdr_reftransV1_0042298</v>
      </c>
      <c r="B14323" s="2">
        <v>1915</v>
      </c>
      <c r="C14323" s="4" t="str">
        <f>HYPERLINK("http://www.uniprot.org/uniprot/M5X120","M5X120")</f>
        <v>M5X120</v>
      </c>
      <c r="D14323" s="2" t="s">
        <v>5657</v>
      </c>
      <c r="E14323" s="3">
        <v>0</v>
      </c>
      <c r="F14323" s="2">
        <v>1928</v>
      </c>
      <c r="G14323" s="2">
        <v>97</v>
      </c>
      <c r="H14323" s="2">
        <v>393</v>
      </c>
      <c r="I14323" s="2">
        <v>735</v>
      </c>
      <c r="J14323" s="2">
        <v>1913</v>
      </c>
      <c r="K14323" s="2">
        <v>1</v>
      </c>
      <c r="L14323" s="2">
        <v>382</v>
      </c>
    </row>
    <row r="14324" spans="1:12" x14ac:dyDescent="0.25">
      <c r="A14324" s="4" t="str">
        <f>HYPERLINK("http://www.rosaceae.org/Prunus/Prunus_persica/p.persica_gdr_reftransV1_0043348","p.persica_gdr_reftransV1_0043348")</f>
        <v>p.persica_gdr_reftransV1_0043348</v>
      </c>
      <c r="B14324" s="2">
        <v>1490</v>
      </c>
      <c r="C14324" s="4" t="str">
        <f>HYPERLINK("http://www.uniprot.org/uniprot/M5W123","M5W123")</f>
        <v>M5W123</v>
      </c>
      <c r="D14324" s="2" t="s">
        <v>11671</v>
      </c>
      <c r="E14324" s="3">
        <v>0</v>
      </c>
      <c r="F14324" s="2">
        <v>1800</v>
      </c>
      <c r="G14324" s="2">
        <v>99</v>
      </c>
      <c r="H14324" s="2">
        <v>387</v>
      </c>
      <c r="I14324" s="2">
        <v>334</v>
      </c>
      <c r="J14324" s="2">
        <v>1488</v>
      </c>
      <c r="K14324" s="2">
        <v>154</v>
      </c>
      <c r="L14324" s="2">
        <v>540</v>
      </c>
    </row>
    <row r="14325" spans="1:12" x14ac:dyDescent="0.25">
      <c r="A14325" s="4" t="str">
        <f>HYPERLINK("http://www.rosaceae.org/Prunus/Prunus_persica/p.persica_gdr_reftransV1_0043698","p.persica_gdr_reftransV1_0043698")</f>
        <v>p.persica_gdr_reftransV1_0043698</v>
      </c>
      <c r="B14325" s="2">
        <v>1877</v>
      </c>
      <c r="C14325" s="4" t="str">
        <f>HYPERLINK("http://www.uniprot.org/uniprot/M5WFM9","M5WFM9")</f>
        <v>M5WFM9</v>
      </c>
      <c r="D14325" s="2" t="s">
        <v>11672</v>
      </c>
      <c r="E14325" s="3">
        <v>0</v>
      </c>
      <c r="F14325" s="2">
        <v>2108</v>
      </c>
      <c r="G14325" s="2">
        <v>100</v>
      </c>
      <c r="H14325" s="2">
        <v>484</v>
      </c>
      <c r="I14325" s="2">
        <v>32</v>
      </c>
      <c r="J14325" s="2">
        <v>1483</v>
      </c>
      <c r="K14325" s="2">
        <v>19</v>
      </c>
      <c r="L14325" s="2">
        <v>502</v>
      </c>
    </row>
    <row r="14326" spans="1:12" x14ac:dyDescent="0.25">
      <c r="A14326" s="4" t="str">
        <f>HYPERLINK("http://www.rosaceae.org/Prunus/Prunus_persica/p.persica_gdr_reftransV1_0044048","p.persica_gdr_reftransV1_0044048")</f>
        <v>p.persica_gdr_reftransV1_0044048</v>
      </c>
      <c r="B14326" s="2">
        <v>547</v>
      </c>
      <c r="C14326" s="4" t="str">
        <f>HYPERLINK("http://www.uniprot.org/uniprot/E0CQE9","E0CQE9")</f>
        <v>E0CQE9</v>
      </c>
      <c r="D14326" s="2" t="s">
        <v>11673</v>
      </c>
      <c r="E14326" s="3">
        <v>4.3599999999999999E-73</v>
      </c>
      <c r="F14326" s="2">
        <v>586</v>
      </c>
      <c r="G14326" s="2">
        <v>93</v>
      </c>
      <c r="H14326" s="2">
        <v>118</v>
      </c>
      <c r="I14326" s="2">
        <v>193</v>
      </c>
      <c r="J14326" s="2">
        <v>546</v>
      </c>
      <c r="K14326" s="2">
        <v>73</v>
      </c>
      <c r="L14326" s="2">
        <v>190</v>
      </c>
    </row>
    <row r="14327" spans="1:12" x14ac:dyDescent="0.25">
      <c r="A14327" s="4" t="str">
        <f>HYPERLINK("http://www.rosaceae.org/Prunus/Prunus_persica/p.persica_gdr_reftransV1_0044748","p.persica_gdr_reftransV1_0044748")</f>
        <v>p.persica_gdr_reftransV1_0044748</v>
      </c>
      <c r="B14327" s="2">
        <v>725</v>
      </c>
      <c r="C14327" s="4" t="str">
        <f>HYPERLINK("http://www.uniprot.org/uniprot/M5WE19","M5WE19")</f>
        <v>M5WE19</v>
      </c>
      <c r="D14327" s="2" t="s">
        <v>11674</v>
      </c>
      <c r="E14327" s="3">
        <v>1.2799999999999999E-102</v>
      </c>
      <c r="F14327" s="2">
        <v>784</v>
      </c>
      <c r="G14327" s="2">
        <v>99</v>
      </c>
      <c r="H14327" s="2">
        <v>154</v>
      </c>
      <c r="I14327" s="2">
        <v>155</v>
      </c>
      <c r="J14327" s="2">
        <v>616</v>
      </c>
      <c r="K14327" s="2">
        <v>1</v>
      </c>
      <c r="L14327" s="2">
        <v>153</v>
      </c>
    </row>
    <row r="14328" spans="1:12" x14ac:dyDescent="0.25">
      <c r="A14328" s="4" t="str">
        <f>HYPERLINK("http://www.rosaceae.org/Prunus/Prunus_persica/p.persica_gdr_reftransV1_0045098","p.persica_gdr_reftransV1_0045098")</f>
        <v>p.persica_gdr_reftransV1_0045098</v>
      </c>
      <c r="B14328" s="2">
        <v>1320</v>
      </c>
      <c r="C14328" s="4" t="str">
        <f>HYPERLINK("http://www.uniprot.org/uniprot/M5W7X8","M5W7X8")</f>
        <v>M5W7X8</v>
      </c>
      <c r="D14328" s="2" t="s">
        <v>176</v>
      </c>
      <c r="E14328" s="3">
        <v>1.0100000000000001E-138</v>
      </c>
      <c r="F14328" s="2">
        <v>1063</v>
      </c>
      <c r="G14328" s="2">
        <v>79</v>
      </c>
      <c r="H14328" s="2">
        <v>259</v>
      </c>
      <c r="I14328" s="2">
        <v>3</v>
      </c>
      <c r="J14328" s="2">
        <v>779</v>
      </c>
      <c r="K14328" s="2">
        <v>1</v>
      </c>
      <c r="L14328" s="2">
        <v>235</v>
      </c>
    </row>
    <row r="14329" spans="1:12" x14ac:dyDescent="0.25">
      <c r="A14329" s="4" t="str">
        <f>HYPERLINK("http://www.rosaceae.org/Prunus/Prunus_persica/p.persica_gdr_reftransV1_0045448","p.persica_gdr_reftransV1_0045448")</f>
        <v>p.persica_gdr_reftransV1_0045448</v>
      </c>
      <c r="B14329" s="2">
        <v>469</v>
      </c>
      <c r="C14329" s="4" t="str">
        <f>HYPERLINK("http://www.uniprot.org/uniprot/M5X8G0","M5X8G0")</f>
        <v>M5X8G0</v>
      </c>
      <c r="D14329" s="2" t="s">
        <v>6002</v>
      </c>
      <c r="E14329" s="3">
        <v>3.25E-83</v>
      </c>
      <c r="F14329" s="2">
        <v>682</v>
      </c>
      <c r="G14329" s="2">
        <v>81</v>
      </c>
      <c r="H14329" s="2">
        <v>156</v>
      </c>
      <c r="I14329" s="2">
        <v>1</v>
      </c>
      <c r="J14329" s="2">
        <v>468</v>
      </c>
      <c r="K14329" s="2">
        <v>242</v>
      </c>
      <c r="L14329" s="2">
        <v>396</v>
      </c>
    </row>
    <row r="14330" spans="1:12" x14ac:dyDescent="0.25">
      <c r="A14330" s="4" t="str">
        <f>HYPERLINK("http://www.rosaceae.org/Prunus/Prunus_persica/p.persica_gdr_reftransV1_0046498","p.persica_gdr_reftransV1_0046498")</f>
        <v>p.persica_gdr_reftransV1_0046498</v>
      </c>
      <c r="B14330" s="2">
        <v>767</v>
      </c>
      <c r="C14330" s="4" t="str">
        <f>HYPERLINK("http://www.uniprot.org/uniprot/M5VPA8","M5VPA8")</f>
        <v>M5VPA8</v>
      </c>
      <c r="D14330" s="2" t="s">
        <v>11675</v>
      </c>
      <c r="E14330" s="3">
        <v>3.51E-57</v>
      </c>
      <c r="F14330" s="2">
        <v>482</v>
      </c>
      <c r="G14330" s="2">
        <v>100</v>
      </c>
      <c r="H14330" s="2">
        <v>124</v>
      </c>
      <c r="I14330" s="2">
        <v>92</v>
      </c>
      <c r="J14330" s="2">
        <v>463</v>
      </c>
      <c r="K14330" s="2">
        <v>1</v>
      </c>
      <c r="L14330" s="2">
        <v>124</v>
      </c>
    </row>
    <row r="14331" spans="1:12" x14ac:dyDescent="0.25">
      <c r="A14331" s="4" t="str">
        <f>HYPERLINK("http://www.rosaceae.org/Prunus/Prunus_persica/p.persica_gdr_reftransV1_0046848","p.persica_gdr_reftransV1_0046848")</f>
        <v>p.persica_gdr_reftransV1_0046848</v>
      </c>
      <c r="B14331" s="2">
        <v>397</v>
      </c>
      <c r="C14331" s="4" t="str">
        <f>HYPERLINK("http://www.uniprot.org/uniprot/M5W331","M5W331")</f>
        <v>M5W331</v>
      </c>
      <c r="D14331" s="2" t="s">
        <v>11676</v>
      </c>
      <c r="E14331" s="3">
        <v>7.1800000000000003E-40</v>
      </c>
      <c r="F14331" s="2">
        <v>358</v>
      </c>
      <c r="G14331" s="2">
        <v>100</v>
      </c>
      <c r="H14331" s="2">
        <v>100</v>
      </c>
      <c r="I14331" s="2">
        <v>30</v>
      </c>
      <c r="J14331" s="2">
        <v>329</v>
      </c>
      <c r="K14331" s="2">
        <v>1</v>
      </c>
      <c r="L14331" s="2">
        <v>100</v>
      </c>
    </row>
    <row r="14332" spans="1:12" x14ac:dyDescent="0.25">
      <c r="A14332" s="4" t="str">
        <f>HYPERLINK("http://www.rosaceae.org/Prunus/Prunus_persica/p.persica_gdr_reftransV1_0047548","p.persica_gdr_reftransV1_0047548")</f>
        <v>p.persica_gdr_reftransV1_0047548</v>
      </c>
      <c r="B14332" s="2">
        <v>2716</v>
      </c>
      <c r="C14332" s="4" t="str">
        <f>HYPERLINK("http://www.uniprot.org/uniprot/M5XGL0","M5XGL0")</f>
        <v>M5XGL0</v>
      </c>
      <c r="D14332" s="2" t="s">
        <v>4636</v>
      </c>
      <c r="E14332" s="3">
        <v>0</v>
      </c>
      <c r="F14332" s="2">
        <v>2895</v>
      </c>
      <c r="G14332" s="2">
        <v>100</v>
      </c>
      <c r="H14332" s="2">
        <v>657</v>
      </c>
      <c r="I14332" s="2">
        <v>478</v>
      </c>
      <c r="J14332" s="2">
        <v>2448</v>
      </c>
      <c r="K14332" s="2">
        <v>1</v>
      </c>
      <c r="L14332" s="2">
        <v>657</v>
      </c>
    </row>
    <row r="14333" spans="1:12" x14ac:dyDescent="0.25">
      <c r="A14333" s="4" t="str">
        <f>HYPERLINK("http://www.rosaceae.org/Prunus/Prunus_persica/p.persica_gdr_reftransV1_0047898","p.persica_gdr_reftransV1_0047898")</f>
        <v>p.persica_gdr_reftransV1_0047898</v>
      </c>
      <c r="B14333" s="2">
        <v>1535</v>
      </c>
      <c r="C14333" s="4" t="str">
        <f>HYPERLINK("http://www.uniprot.org/uniprot/M5W1M8","M5W1M8")</f>
        <v>M5W1M8</v>
      </c>
      <c r="D14333" s="2" t="s">
        <v>11677</v>
      </c>
      <c r="E14333" s="3">
        <v>0</v>
      </c>
      <c r="F14333" s="2">
        <v>2154</v>
      </c>
      <c r="G14333" s="2">
        <v>91</v>
      </c>
      <c r="H14333" s="2">
        <v>474</v>
      </c>
      <c r="I14333" s="2">
        <v>113</v>
      </c>
      <c r="J14333" s="2">
        <v>1534</v>
      </c>
      <c r="K14333" s="2">
        <v>57</v>
      </c>
      <c r="L14333" s="2">
        <v>489</v>
      </c>
    </row>
    <row r="14334" spans="1:12" x14ac:dyDescent="0.25">
      <c r="A14334" s="4" t="str">
        <f>HYPERLINK("http://www.rosaceae.org/Prunus/Prunus_persica/p.persica_gdr_reftransV1_0048598","p.persica_gdr_reftransV1_0048598")</f>
        <v>p.persica_gdr_reftransV1_0048598</v>
      </c>
      <c r="B14334" s="2">
        <v>1780</v>
      </c>
      <c r="C14334" s="4" t="str">
        <f>HYPERLINK("http://www.uniprot.org/uniprot/M5XMB0","M5XMB0")</f>
        <v>M5XMB0</v>
      </c>
      <c r="D14334" s="2" t="s">
        <v>615</v>
      </c>
      <c r="E14334" s="3">
        <v>0</v>
      </c>
      <c r="F14334" s="2">
        <v>2398</v>
      </c>
      <c r="G14334" s="2">
        <v>100</v>
      </c>
      <c r="H14334" s="2">
        <v>492</v>
      </c>
      <c r="I14334" s="2">
        <v>3</v>
      </c>
      <c r="J14334" s="2">
        <v>1478</v>
      </c>
      <c r="K14334" s="2">
        <v>39</v>
      </c>
      <c r="L14334" s="2">
        <v>530</v>
      </c>
    </row>
    <row r="14335" spans="1:12" x14ac:dyDescent="0.25">
      <c r="A14335" s="4" t="str">
        <f>HYPERLINK("http://www.rosaceae.org/Prunus/Prunus_persica/p.persica_gdr_reftransV1_0048948","p.persica_gdr_reftransV1_0048948")</f>
        <v>p.persica_gdr_reftransV1_0048948</v>
      </c>
      <c r="B14335" s="2">
        <v>3335</v>
      </c>
      <c r="C14335" s="4" t="str">
        <f>HYPERLINK("http://www.uniprot.org/uniprot/M5X5K9","M5X5K9")</f>
        <v>M5X5K9</v>
      </c>
      <c r="D14335" s="2" t="s">
        <v>3586</v>
      </c>
      <c r="E14335" s="3">
        <v>0</v>
      </c>
      <c r="F14335" s="2">
        <v>2323</v>
      </c>
      <c r="G14335" s="2">
        <v>98</v>
      </c>
      <c r="H14335" s="2">
        <v>664</v>
      </c>
      <c r="I14335" s="2">
        <v>167</v>
      </c>
      <c r="J14335" s="2">
        <v>2158</v>
      </c>
      <c r="K14335" s="2">
        <v>1</v>
      </c>
      <c r="L14335" s="2">
        <v>654</v>
      </c>
    </row>
    <row r="14336" spans="1:12" x14ac:dyDescent="0.25">
      <c r="A14336" s="4" t="str">
        <f>HYPERLINK("http://www.rosaceae.org/Prunus/Prunus_persica/p.persica_gdr_reftransV1_0000299","p.persica_gdr_reftransV1_0000299")</f>
        <v>p.persica_gdr_reftransV1_0000299</v>
      </c>
      <c r="B14336" s="2">
        <v>1638</v>
      </c>
      <c r="C14336" s="4" t="str">
        <f>HYPERLINK("http://www.uniprot.org/uniprot/M5XSV8","M5XSV8")</f>
        <v>M5XSV8</v>
      </c>
      <c r="D14336" s="2" t="s">
        <v>467</v>
      </c>
      <c r="E14336" s="3">
        <v>1.56E-17</v>
      </c>
      <c r="F14336" s="2">
        <v>144</v>
      </c>
      <c r="G14336" s="2">
        <v>79</v>
      </c>
      <c r="H14336" s="2">
        <v>34</v>
      </c>
      <c r="I14336" s="2">
        <v>257</v>
      </c>
      <c r="J14336" s="2">
        <v>358</v>
      </c>
      <c r="K14336" s="2">
        <v>1</v>
      </c>
      <c r="L14336" s="2">
        <v>34</v>
      </c>
    </row>
    <row r="14337" spans="1:12" x14ac:dyDescent="0.25">
      <c r="A14337" s="4" t="str">
        <f>HYPERLINK("http://www.rosaceae.org/Prunus/Prunus_persica/p.persica_gdr_reftransV1_0000999","p.persica_gdr_reftransV1_0000999")</f>
        <v>p.persica_gdr_reftransV1_0000999</v>
      </c>
      <c r="B14337" s="2">
        <v>375</v>
      </c>
      <c r="C14337" s="4" t="str">
        <f>HYPERLINK("http://www.uniprot.org/uniprot/M5XQF7","M5XQF7")</f>
        <v>M5XQF7</v>
      </c>
      <c r="D14337" s="2" t="s">
        <v>1764</v>
      </c>
      <c r="E14337" s="3">
        <v>9.2200000000000003E-57</v>
      </c>
      <c r="F14337" s="2">
        <v>479</v>
      </c>
      <c r="G14337" s="2">
        <v>100</v>
      </c>
      <c r="H14337" s="2">
        <v>113</v>
      </c>
      <c r="I14337" s="2">
        <v>1</v>
      </c>
      <c r="J14337" s="2">
        <v>339</v>
      </c>
      <c r="K14337" s="2">
        <v>172</v>
      </c>
      <c r="L14337" s="2">
        <v>284</v>
      </c>
    </row>
    <row r="14338" spans="1:12" x14ac:dyDescent="0.25">
      <c r="A14338" s="4" t="str">
        <f>HYPERLINK("http://www.rosaceae.org/Prunus/Prunus_persica/p.persica_gdr_reftransV1_0001349","p.persica_gdr_reftransV1_0001349")</f>
        <v>p.persica_gdr_reftransV1_0001349</v>
      </c>
      <c r="B14338" s="2">
        <v>395</v>
      </c>
      <c r="C14338" s="4" t="str">
        <f>HYPERLINK("http://www.uniprot.org/uniprot/M5WWM1","M5WWM1")</f>
        <v>M5WWM1</v>
      </c>
      <c r="D14338" s="2" t="s">
        <v>10642</v>
      </c>
      <c r="E14338" s="3">
        <v>6.5100000000000003E-71</v>
      </c>
      <c r="F14338" s="2">
        <v>603</v>
      </c>
      <c r="G14338" s="2">
        <v>100</v>
      </c>
      <c r="H14338" s="2">
        <v>131</v>
      </c>
      <c r="I14338" s="2">
        <v>2</v>
      </c>
      <c r="J14338" s="2">
        <v>394</v>
      </c>
      <c r="K14338" s="2">
        <v>202</v>
      </c>
      <c r="L14338" s="2">
        <v>332</v>
      </c>
    </row>
    <row r="14339" spans="1:12" x14ac:dyDescent="0.25">
      <c r="A14339" s="4" t="str">
        <f>HYPERLINK("http://www.rosaceae.org/Prunus/Prunus_persica/p.persica_gdr_reftransV1_0001699","p.persica_gdr_reftransV1_0001699")</f>
        <v>p.persica_gdr_reftransV1_0001699</v>
      </c>
      <c r="B14339" s="2">
        <v>1122</v>
      </c>
      <c r="C14339" s="4" t="str">
        <f>HYPERLINK("http://www.uniprot.org/uniprot/M5XIB9","M5XIB9")</f>
        <v>M5XIB9</v>
      </c>
      <c r="D14339" s="2" t="s">
        <v>11553</v>
      </c>
      <c r="E14339" s="3">
        <v>9.23E-91</v>
      </c>
      <c r="F14339" s="2">
        <v>764</v>
      </c>
      <c r="G14339" s="2">
        <v>100</v>
      </c>
      <c r="H14339" s="2">
        <v>181</v>
      </c>
      <c r="I14339" s="2">
        <v>1</v>
      </c>
      <c r="J14339" s="2">
        <v>543</v>
      </c>
      <c r="K14339" s="2">
        <v>221</v>
      </c>
      <c r="L14339" s="2">
        <v>401</v>
      </c>
    </row>
    <row r="14340" spans="1:12" x14ac:dyDescent="0.25">
      <c r="A14340" s="4" t="str">
        <f>HYPERLINK("http://www.rosaceae.org/Prunus/Prunus_persica/p.persica_gdr_reftransV1_0002049","p.persica_gdr_reftransV1_0002049")</f>
        <v>p.persica_gdr_reftransV1_0002049</v>
      </c>
      <c r="B14340" s="2">
        <v>967</v>
      </c>
      <c r="C14340" s="4" t="str">
        <f>HYPERLINK("http://www.uniprot.org/uniprot/M5WC72","M5WC72")</f>
        <v>M5WC72</v>
      </c>
      <c r="D14340" s="2" t="s">
        <v>11678</v>
      </c>
      <c r="E14340" s="3">
        <v>1.2000000000000001E-100</v>
      </c>
      <c r="F14340" s="2">
        <v>781</v>
      </c>
      <c r="G14340" s="2">
        <v>100</v>
      </c>
      <c r="H14340" s="2">
        <v>170</v>
      </c>
      <c r="I14340" s="2">
        <v>174</v>
      </c>
      <c r="J14340" s="2">
        <v>683</v>
      </c>
      <c r="K14340" s="2">
        <v>1</v>
      </c>
      <c r="L14340" s="2">
        <v>170</v>
      </c>
    </row>
    <row r="14341" spans="1:12" x14ac:dyDescent="0.25">
      <c r="A14341" s="4" t="str">
        <f>HYPERLINK("http://www.rosaceae.org/Prunus/Prunus_persica/p.persica_gdr_reftransV1_0002749","p.persica_gdr_reftransV1_0002749")</f>
        <v>p.persica_gdr_reftransV1_0002749</v>
      </c>
      <c r="B14341" s="2">
        <v>1849</v>
      </c>
      <c r="C14341" s="4" t="str">
        <f>HYPERLINK("http://www.uniprot.org/uniprot/M5X2J4","M5X2J4")</f>
        <v>M5X2J4</v>
      </c>
      <c r="D14341" s="2" t="s">
        <v>11679</v>
      </c>
      <c r="E14341" s="3">
        <v>3.7599999999999998E-77</v>
      </c>
      <c r="F14341" s="2">
        <v>651</v>
      </c>
      <c r="G14341" s="2">
        <v>99</v>
      </c>
      <c r="H14341" s="2">
        <v>144</v>
      </c>
      <c r="I14341" s="2">
        <v>1049</v>
      </c>
      <c r="J14341" s="2">
        <v>1480</v>
      </c>
      <c r="K14341" s="2">
        <v>1</v>
      </c>
      <c r="L14341" s="2">
        <v>144</v>
      </c>
    </row>
    <row r="14342" spans="1:12" x14ac:dyDescent="0.25">
      <c r="A14342" s="4" t="str">
        <f>HYPERLINK("http://www.rosaceae.org/Prunus/Prunus_persica/p.persica_gdr_reftransV1_0003099","p.persica_gdr_reftransV1_0003099")</f>
        <v>p.persica_gdr_reftransV1_0003099</v>
      </c>
      <c r="B14342" s="2">
        <v>416</v>
      </c>
      <c r="C14342" s="4" t="str">
        <f>HYPERLINK("http://www.uniprot.org/uniprot/W9P762","W9P762")</f>
        <v>W9P762</v>
      </c>
      <c r="D14342" s="2" t="s">
        <v>11680</v>
      </c>
      <c r="E14342" s="3">
        <v>2.23E-92</v>
      </c>
      <c r="F14342" s="2">
        <v>735</v>
      </c>
      <c r="G14342" s="2">
        <v>100</v>
      </c>
      <c r="H14342" s="2">
        <v>138</v>
      </c>
      <c r="I14342" s="2">
        <v>1</v>
      </c>
      <c r="J14342" s="2">
        <v>414</v>
      </c>
      <c r="K14342" s="2">
        <v>136</v>
      </c>
      <c r="L14342" s="2">
        <v>273</v>
      </c>
    </row>
    <row r="14343" spans="1:12" x14ac:dyDescent="0.25">
      <c r="A14343" s="4" t="str">
        <f>HYPERLINK("http://www.rosaceae.org/Prunus/Prunus_persica/p.persica_gdr_reftransV1_0003449","p.persica_gdr_reftransV1_0003449")</f>
        <v>p.persica_gdr_reftransV1_0003449</v>
      </c>
      <c r="B14343" s="2">
        <v>572</v>
      </c>
      <c r="C14343" s="4" t="str">
        <f>HYPERLINK("http://www.uniprot.org/uniprot/A0A0C4DHW5","A0A0C4DHW5")</f>
        <v>A0A0C4DHW5</v>
      </c>
      <c r="D14343" s="2" t="s">
        <v>4665</v>
      </c>
      <c r="E14343" s="3">
        <v>1.5399999999999999E-126</v>
      </c>
      <c r="F14343" s="2">
        <v>955</v>
      </c>
      <c r="G14343" s="2">
        <v>97</v>
      </c>
      <c r="H14343" s="2">
        <v>190</v>
      </c>
      <c r="I14343" s="2">
        <v>2</v>
      </c>
      <c r="J14343" s="2">
        <v>571</v>
      </c>
      <c r="K14343" s="2">
        <v>117</v>
      </c>
      <c r="L14343" s="2">
        <v>306</v>
      </c>
    </row>
    <row r="14344" spans="1:12" x14ac:dyDescent="0.25">
      <c r="A14344" s="4" t="str">
        <f>HYPERLINK("http://www.rosaceae.org/Prunus/Prunus_persica/p.persica_gdr_reftransV1_0003799","p.persica_gdr_reftransV1_0003799")</f>
        <v>p.persica_gdr_reftransV1_0003799</v>
      </c>
      <c r="B14344" s="2">
        <v>1262</v>
      </c>
      <c r="C14344" s="4" t="str">
        <f>HYPERLINK("http://www.uniprot.org/uniprot/M5WPG0","M5WPG0")</f>
        <v>M5WPG0</v>
      </c>
      <c r="D14344" s="2" t="s">
        <v>7785</v>
      </c>
      <c r="E14344" s="3">
        <v>3.1900000000000001E-96</v>
      </c>
      <c r="F14344" s="2">
        <v>811</v>
      </c>
      <c r="G14344" s="2">
        <v>99</v>
      </c>
      <c r="H14344" s="2">
        <v>152</v>
      </c>
      <c r="I14344" s="2">
        <v>527</v>
      </c>
      <c r="J14344" s="2">
        <v>982</v>
      </c>
      <c r="K14344" s="2">
        <v>637</v>
      </c>
      <c r="L14344" s="2">
        <v>788</v>
      </c>
    </row>
    <row r="14345" spans="1:12" x14ac:dyDescent="0.25">
      <c r="A14345" s="4" t="str">
        <f>HYPERLINK("http://www.rosaceae.org/Prunus/Prunus_persica/p.persica_gdr_reftransV1_0004149","p.persica_gdr_reftransV1_0004149")</f>
        <v>p.persica_gdr_reftransV1_0004149</v>
      </c>
      <c r="B14345" s="2">
        <v>484</v>
      </c>
      <c r="C14345" s="4" t="str">
        <f>HYPERLINK("http://www.uniprot.org/uniprot/X0A2N8","X0A2N8")</f>
        <v>X0A2N8</v>
      </c>
      <c r="D14345" s="2" t="s">
        <v>11681</v>
      </c>
      <c r="E14345" s="3">
        <v>1.13E-74</v>
      </c>
      <c r="F14345" s="2">
        <v>628</v>
      </c>
      <c r="G14345" s="2">
        <v>81</v>
      </c>
      <c r="H14345" s="2">
        <v>161</v>
      </c>
      <c r="I14345" s="2">
        <v>2</v>
      </c>
      <c r="J14345" s="2">
        <v>484</v>
      </c>
      <c r="K14345" s="2">
        <v>477</v>
      </c>
      <c r="L14345" s="2">
        <v>637</v>
      </c>
    </row>
    <row r="14346" spans="1:12" x14ac:dyDescent="0.25">
      <c r="A14346" s="4" t="str">
        <f>HYPERLINK("http://www.rosaceae.org/Prunus/Prunus_persica/p.persica_gdr_reftransV1_0004499","p.persica_gdr_reftransV1_0004499")</f>
        <v>p.persica_gdr_reftransV1_0004499</v>
      </c>
      <c r="B14346" s="2">
        <v>1955</v>
      </c>
      <c r="C14346" s="4" t="str">
        <f>HYPERLINK("http://www.uniprot.org/uniprot/B9RMN8","B9RMN8")</f>
        <v>B9RMN8</v>
      </c>
      <c r="D14346" s="2" t="s">
        <v>9672</v>
      </c>
      <c r="E14346" s="3">
        <v>8.8400000000000001E-120</v>
      </c>
      <c r="F14346" s="2">
        <v>964</v>
      </c>
      <c r="G14346" s="2">
        <v>46</v>
      </c>
      <c r="H14346" s="2">
        <v>449</v>
      </c>
      <c r="I14346" s="2">
        <v>531</v>
      </c>
      <c r="J14346" s="2">
        <v>1865</v>
      </c>
      <c r="K14346" s="2">
        <v>1</v>
      </c>
      <c r="L14346" s="2">
        <v>436</v>
      </c>
    </row>
    <row r="14347" spans="1:12" x14ac:dyDescent="0.25">
      <c r="A14347" s="4" t="str">
        <f>HYPERLINK("http://www.rosaceae.org/Prunus/Prunus_persica/p.persica_gdr_reftransV1_0004849","p.persica_gdr_reftransV1_0004849")</f>
        <v>p.persica_gdr_reftransV1_0004849</v>
      </c>
      <c r="B14347" s="2">
        <v>2179</v>
      </c>
      <c r="C14347" s="4" t="str">
        <f>HYPERLINK("http://www.uniprot.org/uniprot/M5WXD8","M5WXD8")</f>
        <v>M5WXD8</v>
      </c>
      <c r="D14347" s="2" t="s">
        <v>6873</v>
      </c>
      <c r="E14347" s="3">
        <v>0</v>
      </c>
      <c r="F14347" s="2">
        <v>3094</v>
      </c>
      <c r="G14347" s="2">
        <v>100</v>
      </c>
      <c r="H14347" s="2">
        <v>587</v>
      </c>
      <c r="I14347" s="2">
        <v>279</v>
      </c>
      <c r="J14347" s="2">
        <v>2039</v>
      </c>
      <c r="K14347" s="2">
        <v>1</v>
      </c>
      <c r="L14347" s="2">
        <v>587</v>
      </c>
    </row>
    <row r="14348" spans="1:12" x14ac:dyDescent="0.25">
      <c r="A14348" s="4" t="str">
        <f>HYPERLINK("http://www.rosaceae.org/Prunus/Prunus_persica/p.persica_gdr_reftransV1_0005199","p.persica_gdr_reftransV1_0005199")</f>
        <v>p.persica_gdr_reftransV1_0005199</v>
      </c>
      <c r="B14348" s="2">
        <v>1215</v>
      </c>
      <c r="C14348" s="4" t="str">
        <f>HYPERLINK("http://www.uniprot.org/uniprot/M5XDB3","M5XDB3")</f>
        <v>M5XDB3</v>
      </c>
      <c r="D14348" s="2" t="s">
        <v>8388</v>
      </c>
      <c r="E14348" s="3">
        <v>2.3700000000000001E-141</v>
      </c>
      <c r="F14348" s="2">
        <v>1068</v>
      </c>
      <c r="G14348" s="2">
        <v>82</v>
      </c>
      <c r="H14348" s="2">
        <v>291</v>
      </c>
      <c r="I14348" s="2">
        <v>15</v>
      </c>
      <c r="J14348" s="2">
        <v>887</v>
      </c>
      <c r="K14348" s="2">
        <v>1</v>
      </c>
      <c r="L14348" s="2">
        <v>269</v>
      </c>
    </row>
    <row r="14349" spans="1:12" x14ac:dyDescent="0.25">
      <c r="A14349" s="4" t="str">
        <f>HYPERLINK("http://www.rosaceae.org/Prunus/Prunus_persica/p.persica_gdr_reftransV1_0005549","p.persica_gdr_reftransV1_0005549")</f>
        <v>p.persica_gdr_reftransV1_0005549</v>
      </c>
      <c r="B14349" s="2">
        <v>1537</v>
      </c>
      <c r="C14349" s="4" t="str">
        <f>HYPERLINK("http://www.uniprot.org/uniprot/M5XF68","M5XF68")</f>
        <v>M5XF68</v>
      </c>
      <c r="D14349" s="2" t="s">
        <v>6908</v>
      </c>
      <c r="E14349" s="3">
        <v>0</v>
      </c>
      <c r="F14349" s="2">
        <v>2115</v>
      </c>
      <c r="G14349" s="2">
        <v>100</v>
      </c>
      <c r="H14349" s="2">
        <v>420</v>
      </c>
      <c r="I14349" s="2">
        <v>1</v>
      </c>
      <c r="J14349" s="2">
        <v>1260</v>
      </c>
      <c r="K14349" s="2">
        <v>137</v>
      </c>
      <c r="L14349" s="2">
        <v>556</v>
      </c>
    </row>
    <row r="14350" spans="1:12" x14ac:dyDescent="0.25">
      <c r="A14350" s="4" t="str">
        <f>HYPERLINK("http://www.rosaceae.org/Prunus/Prunus_persica/p.persica_gdr_reftransV1_0005899","p.persica_gdr_reftransV1_0005899")</f>
        <v>p.persica_gdr_reftransV1_0005899</v>
      </c>
      <c r="B14350" s="2">
        <v>424</v>
      </c>
      <c r="C14350" s="4" t="str">
        <f>HYPERLINK("http://www.uniprot.org/uniprot/M5W310","M5W310")</f>
        <v>M5W310</v>
      </c>
      <c r="D14350" s="2" t="s">
        <v>11682</v>
      </c>
      <c r="E14350" s="3">
        <v>1.9100000000000002E-58</v>
      </c>
      <c r="F14350" s="2">
        <v>498</v>
      </c>
      <c r="G14350" s="2">
        <v>100</v>
      </c>
      <c r="H14350" s="2">
        <v>102</v>
      </c>
      <c r="I14350" s="2">
        <v>118</v>
      </c>
      <c r="J14350" s="2">
        <v>423</v>
      </c>
      <c r="K14350" s="2">
        <v>264</v>
      </c>
      <c r="L14350" s="2">
        <v>365</v>
      </c>
    </row>
    <row r="14351" spans="1:12" x14ac:dyDescent="0.25">
      <c r="A14351" s="4" t="str">
        <f>HYPERLINK("http://www.rosaceae.org/Prunus/Prunus_persica/p.persica_gdr_reftransV1_0006249","p.persica_gdr_reftransV1_0006249")</f>
        <v>p.persica_gdr_reftransV1_0006249</v>
      </c>
      <c r="B14351" s="2">
        <v>803</v>
      </c>
      <c r="C14351" s="4" t="str">
        <f>HYPERLINK("http://www.uniprot.org/uniprot/M5VGR0","M5VGR0")</f>
        <v>M5VGR0</v>
      </c>
      <c r="D14351" s="2" t="s">
        <v>11683</v>
      </c>
      <c r="E14351" s="3">
        <v>1.33E-143</v>
      </c>
      <c r="F14351" s="2">
        <v>1065</v>
      </c>
      <c r="G14351" s="2">
        <v>100</v>
      </c>
      <c r="H14351" s="2">
        <v>201</v>
      </c>
      <c r="I14351" s="2">
        <v>1</v>
      </c>
      <c r="J14351" s="2">
        <v>603</v>
      </c>
      <c r="K14351" s="2">
        <v>39</v>
      </c>
      <c r="L14351" s="2">
        <v>239</v>
      </c>
    </row>
    <row r="14352" spans="1:12" x14ac:dyDescent="0.25">
      <c r="A14352" s="4" t="str">
        <f>HYPERLINK("http://www.rosaceae.org/Prunus/Prunus_persica/p.persica_gdr_reftransV1_0006599","p.persica_gdr_reftransV1_0006599")</f>
        <v>p.persica_gdr_reftransV1_0006599</v>
      </c>
      <c r="B14352" s="2">
        <v>766</v>
      </c>
      <c r="C14352" s="4" t="str">
        <f>HYPERLINK("http://www.uniprot.org/uniprot/M5W6L7","M5W6L7")</f>
        <v>M5W6L7</v>
      </c>
      <c r="D14352" s="2" t="s">
        <v>11684</v>
      </c>
      <c r="E14352" s="3">
        <v>2.49E-158</v>
      </c>
      <c r="F14352" s="2">
        <v>1169</v>
      </c>
      <c r="G14352" s="2">
        <v>100</v>
      </c>
      <c r="H14352" s="2">
        <v>254</v>
      </c>
      <c r="I14352" s="2">
        <v>3</v>
      </c>
      <c r="J14352" s="2">
        <v>764</v>
      </c>
      <c r="K14352" s="2">
        <v>70</v>
      </c>
      <c r="L14352" s="2">
        <v>323</v>
      </c>
    </row>
    <row r="14353" spans="1:12" x14ac:dyDescent="0.25">
      <c r="A14353" s="4" t="str">
        <f>HYPERLINK("http://www.rosaceae.org/Prunus/Prunus_persica/p.persica_gdr_reftransV1_0006949","p.persica_gdr_reftransV1_0006949")</f>
        <v>p.persica_gdr_reftransV1_0006949</v>
      </c>
      <c r="B14353" s="2">
        <v>717</v>
      </c>
      <c r="C14353" s="4" t="str">
        <f>HYPERLINK("http://www.uniprot.org/uniprot/M5WVC5","M5WVC5")</f>
        <v>M5WVC5</v>
      </c>
      <c r="D14353" s="2" t="s">
        <v>11685</v>
      </c>
      <c r="E14353" s="3">
        <v>8.4900000000000007E-115</v>
      </c>
      <c r="F14353" s="2">
        <v>872</v>
      </c>
      <c r="G14353" s="2">
        <v>97</v>
      </c>
      <c r="H14353" s="2">
        <v>170</v>
      </c>
      <c r="I14353" s="2">
        <v>187</v>
      </c>
      <c r="J14353" s="2">
        <v>693</v>
      </c>
      <c r="K14353" s="2">
        <v>9</v>
      </c>
      <c r="L14353" s="2">
        <v>178</v>
      </c>
    </row>
    <row r="14354" spans="1:12" x14ac:dyDescent="0.25">
      <c r="A14354" s="4" t="str">
        <f>HYPERLINK("http://www.rosaceae.org/Prunus/Prunus_persica/p.persica_gdr_reftransV1_0008349","p.persica_gdr_reftransV1_0008349")</f>
        <v>p.persica_gdr_reftransV1_0008349</v>
      </c>
      <c r="B14354" s="2">
        <v>1640</v>
      </c>
      <c r="C14354" s="4" t="str">
        <f>HYPERLINK("http://www.uniprot.org/uniprot/M5Y1J2","M5Y1J2")</f>
        <v>M5Y1J2</v>
      </c>
      <c r="D14354" s="2" t="s">
        <v>11686</v>
      </c>
      <c r="E14354" s="3">
        <v>0</v>
      </c>
      <c r="F14354" s="2">
        <v>1497</v>
      </c>
      <c r="G14354" s="2">
        <v>100</v>
      </c>
      <c r="H14354" s="2">
        <v>287</v>
      </c>
      <c r="I14354" s="2">
        <v>492</v>
      </c>
      <c r="J14354" s="2">
        <v>1352</v>
      </c>
      <c r="K14354" s="2">
        <v>1</v>
      </c>
      <c r="L14354" s="2">
        <v>287</v>
      </c>
    </row>
    <row r="14355" spans="1:12" x14ac:dyDescent="0.25">
      <c r="A14355" s="4" t="str">
        <f>HYPERLINK("http://www.rosaceae.org/Prunus/Prunus_persica/p.persica_gdr_reftransV1_0009049","p.persica_gdr_reftransV1_0009049")</f>
        <v>p.persica_gdr_reftransV1_0009049</v>
      </c>
      <c r="B14355" s="2">
        <v>1163</v>
      </c>
      <c r="C14355" s="4" t="str">
        <f>HYPERLINK("http://www.uniprot.org/uniprot/M5XW66","M5XW66")</f>
        <v>M5XW66</v>
      </c>
      <c r="D14355" s="2" t="s">
        <v>11687</v>
      </c>
      <c r="E14355" s="3">
        <v>1.4299999999999999E-59</v>
      </c>
      <c r="F14355" s="2">
        <v>513</v>
      </c>
      <c r="G14355" s="2">
        <v>100</v>
      </c>
      <c r="H14355" s="2">
        <v>168</v>
      </c>
      <c r="I14355" s="2">
        <v>513</v>
      </c>
      <c r="J14355" s="2">
        <v>1016</v>
      </c>
      <c r="K14355" s="2">
        <v>1</v>
      </c>
      <c r="L14355" s="2">
        <v>168</v>
      </c>
    </row>
    <row r="14356" spans="1:12" x14ac:dyDescent="0.25">
      <c r="A14356" s="4" t="str">
        <f>HYPERLINK("http://www.rosaceae.org/Prunus/Prunus_persica/p.persica_gdr_reftransV1_0009399","p.persica_gdr_reftransV1_0009399")</f>
        <v>p.persica_gdr_reftransV1_0009399</v>
      </c>
      <c r="B14356" s="2">
        <v>771</v>
      </c>
      <c r="C14356" s="4" t="str">
        <f>HYPERLINK("http://www.uniprot.org/uniprot/M5X516","M5X516")</f>
        <v>M5X516</v>
      </c>
      <c r="D14356" s="2" t="s">
        <v>11688</v>
      </c>
      <c r="E14356" s="3">
        <v>1.47E-110</v>
      </c>
      <c r="F14356" s="2">
        <v>841</v>
      </c>
      <c r="G14356" s="2">
        <v>100</v>
      </c>
      <c r="H14356" s="2">
        <v>180</v>
      </c>
      <c r="I14356" s="2">
        <v>98</v>
      </c>
      <c r="J14356" s="2">
        <v>637</v>
      </c>
      <c r="K14356" s="2">
        <v>5</v>
      </c>
      <c r="L14356" s="2">
        <v>184</v>
      </c>
    </row>
    <row r="14357" spans="1:12" x14ac:dyDescent="0.25">
      <c r="A14357" s="4" t="str">
        <f>HYPERLINK("http://www.rosaceae.org/Prunus/Prunus_persica/p.persica_gdr_reftransV1_0009749","p.persica_gdr_reftransV1_0009749")</f>
        <v>p.persica_gdr_reftransV1_0009749</v>
      </c>
      <c r="B14357" s="2">
        <v>1197</v>
      </c>
      <c r="C14357" s="4" t="str">
        <f>HYPERLINK("http://www.uniprot.org/uniprot/M5X6L8","M5X6L8")</f>
        <v>M5X6L8</v>
      </c>
      <c r="D14357" s="2" t="s">
        <v>9322</v>
      </c>
      <c r="E14357" s="3">
        <v>1.65E-139</v>
      </c>
      <c r="F14357" s="2">
        <v>1048</v>
      </c>
      <c r="G14357" s="2">
        <v>99</v>
      </c>
      <c r="H14357" s="2">
        <v>199</v>
      </c>
      <c r="I14357" s="2">
        <v>337</v>
      </c>
      <c r="J14357" s="2">
        <v>933</v>
      </c>
      <c r="K14357" s="2">
        <v>1</v>
      </c>
      <c r="L14357" s="2">
        <v>198</v>
      </c>
    </row>
    <row r="14358" spans="1:12" x14ac:dyDescent="0.25">
      <c r="A14358" s="4" t="str">
        <f>HYPERLINK("http://www.rosaceae.org/Prunus/Prunus_persica/p.persica_gdr_reftransV1_0010799","p.persica_gdr_reftransV1_0010799")</f>
        <v>p.persica_gdr_reftransV1_0010799</v>
      </c>
      <c r="B14358" s="2">
        <v>1285</v>
      </c>
      <c r="C14358" s="4" t="str">
        <f>HYPERLINK("http://www.uniprot.org/uniprot/M5VYW1","M5VYW1")</f>
        <v>M5VYW1</v>
      </c>
      <c r="D14358" s="2" t="s">
        <v>11689</v>
      </c>
      <c r="E14358" s="3">
        <v>0</v>
      </c>
      <c r="F14358" s="2">
        <v>1467</v>
      </c>
      <c r="G14358" s="2">
        <v>100</v>
      </c>
      <c r="H14358" s="2">
        <v>338</v>
      </c>
      <c r="I14358" s="2">
        <v>3</v>
      </c>
      <c r="J14358" s="2">
        <v>1016</v>
      </c>
      <c r="K14358" s="2">
        <v>1</v>
      </c>
      <c r="L14358" s="2">
        <v>338</v>
      </c>
    </row>
    <row r="14359" spans="1:12" x14ac:dyDescent="0.25">
      <c r="A14359" s="4" t="str">
        <f>HYPERLINK("http://www.rosaceae.org/Prunus/Prunus_persica/p.persica_gdr_reftransV1_0011149","p.persica_gdr_reftransV1_0011149")</f>
        <v>p.persica_gdr_reftransV1_0011149</v>
      </c>
      <c r="B14359" s="2">
        <v>1867</v>
      </c>
      <c r="C14359" s="4" t="str">
        <f>HYPERLINK("http://www.uniprot.org/uniprot/M5XGI9","M5XGI9")</f>
        <v>M5XGI9</v>
      </c>
      <c r="D14359" s="2" t="s">
        <v>11690</v>
      </c>
      <c r="E14359" s="3">
        <v>0</v>
      </c>
      <c r="F14359" s="2">
        <v>1939</v>
      </c>
      <c r="G14359" s="2">
        <v>100</v>
      </c>
      <c r="H14359" s="2">
        <v>366</v>
      </c>
      <c r="I14359" s="2">
        <v>212</v>
      </c>
      <c r="J14359" s="2">
        <v>1309</v>
      </c>
      <c r="K14359" s="2">
        <v>1</v>
      </c>
      <c r="L14359" s="2">
        <v>366</v>
      </c>
    </row>
    <row r="14360" spans="1:12" x14ac:dyDescent="0.25">
      <c r="A14360" s="4" t="str">
        <f>HYPERLINK("http://www.rosaceae.org/Prunus/Prunus_persica/p.persica_gdr_reftransV1_0011499","p.persica_gdr_reftransV1_0011499")</f>
        <v>p.persica_gdr_reftransV1_0011499</v>
      </c>
      <c r="B14360" s="2">
        <v>1298</v>
      </c>
      <c r="C14360" s="4" t="str">
        <f>HYPERLINK("http://www.uniprot.org/uniprot/M5X1Q8","M5X1Q8")</f>
        <v>M5X1Q8</v>
      </c>
      <c r="D14360" s="2" t="s">
        <v>11691</v>
      </c>
      <c r="E14360" s="3">
        <v>2.2599999999999999E-175</v>
      </c>
      <c r="F14360" s="2">
        <v>1296</v>
      </c>
      <c r="G14360" s="2">
        <v>100</v>
      </c>
      <c r="H14360" s="2">
        <v>269</v>
      </c>
      <c r="I14360" s="2">
        <v>353</v>
      </c>
      <c r="J14360" s="2">
        <v>1159</v>
      </c>
      <c r="K14360" s="2">
        <v>1</v>
      </c>
      <c r="L14360" s="2">
        <v>269</v>
      </c>
    </row>
    <row r="14361" spans="1:12" x14ac:dyDescent="0.25">
      <c r="A14361" s="4" t="str">
        <f>HYPERLINK("http://www.rosaceae.org/Prunus/Prunus_persica/p.persica_gdr_reftransV1_0012199","p.persica_gdr_reftransV1_0012199")</f>
        <v>p.persica_gdr_reftransV1_0012199</v>
      </c>
      <c r="B14361" s="2">
        <v>325</v>
      </c>
      <c r="C14361" s="4" t="str">
        <f>HYPERLINK("http://www.uniprot.org/uniprot/M5XH30","M5XH30")</f>
        <v>M5XH30</v>
      </c>
      <c r="D14361" s="2" t="s">
        <v>5785</v>
      </c>
      <c r="E14361" s="3">
        <v>5.2799999999999999E-63</v>
      </c>
      <c r="F14361" s="2">
        <v>546</v>
      </c>
      <c r="G14361" s="2">
        <v>100</v>
      </c>
      <c r="H14361" s="2">
        <v>108</v>
      </c>
      <c r="I14361" s="2">
        <v>1</v>
      </c>
      <c r="J14361" s="2">
        <v>324</v>
      </c>
      <c r="K14361" s="2">
        <v>204</v>
      </c>
      <c r="L14361" s="2">
        <v>311</v>
      </c>
    </row>
    <row r="14362" spans="1:12" x14ac:dyDescent="0.25">
      <c r="A14362" s="4" t="str">
        <f>HYPERLINK("http://www.rosaceae.org/Prunus/Prunus_persica/p.persica_gdr_reftransV1_0012549","p.persica_gdr_reftransV1_0012549")</f>
        <v>p.persica_gdr_reftransV1_0012549</v>
      </c>
      <c r="B14362" s="2">
        <v>3735</v>
      </c>
      <c r="C14362" s="4" t="str">
        <f>HYPERLINK("http://www.uniprot.org/uniprot/A0A061GFZ9","A0A061GFZ9")</f>
        <v>A0A061GFZ9</v>
      </c>
      <c r="D14362" s="2" t="s">
        <v>11692</v>
      </c>
      <c r="E14362" s="3">
        <v>0</v>
      </c>
      <c r="F14362" s="2">
        <v>3033</v>
      </c>
      <c r="G14362" s="2">
        <v>69</v>
      </c>
      <c r="H14362" s="2">
        <v>846</v>
      </c>
      <c r="I14362" s="2">
        <v>139</v>
      </c>
      <c r="J14362" s="2">
        <v>2667</v>
      </c>
      <c r="K14362" s="2">
        <v>7</v>
      </c>
      <c r="L14362" s="2">
        <v>840</v>
      </c>
    </row>
    <row r="14363" spans="1:12" x14ac:dyDescent="0.25">
      <c r="A14363" s="4" t="str">
        <f>HYPERLINK("http://www.rosaceae.org/Prunus/Prunus_persica/p.persica_gdr_reftransV1_0013599","p.persica_gdr_reftransV1_0013599")</f>
        <v>p.persica_gdr_reftransV1_0013599</v>
      </c>
      <c r="B14363" s="2">
        <v>926</v>
      </c>
      <c r="C14363" s="4" t="str">
        <f>HYPERLINK("http://www.uniprot.org/uniprot/M5XDP7","M5XDP7")</f>
        <v>M5XDP7</v>
      </c>
      <c r="D14363" s="2" t="s">
        <v>11693</v>
      </c>
      <c r="E14363" s="3">
        <v>0</v>
      </c>
      <c r="F14363" s="2">
        <v>1352</v>
      </c>
      <c r="G14363" s="2">
        <v>98</v>
      </c>
      <c r="H14363" s="2">
        <v>295</v>
      </c>
      <c r="I14363" s="2">
        <v>41</v>
      </c>
      <c r="J14363" s="2">
        <v>925</v>
      </c>
      <c r="K14363" s="2">
        <v>1</v>
      </c>
      <c r="L14363" s="2">
        <v>290</v>
      </c>
    </row>
    <row r="14364" spans="1:12" x14ac:dyDescent="0.25">
      <c r="A14364" s="4" t="str">
        <f>HYPERLINK("http://www.rosaceae.org/Prunus/Prunus_persica/p.persica_gdr_reftransV1_0013949","p.persica_gdr_reftransV1_0013949")</f>
        <v>p.persica_gdr_reftransV1_0013949</v>
      </c>
      <c r="B14364" s="2">
        <v>1480</v>
      </c>
      <c r="C14364" s="4" t="str">
        <f>HYPERLINK("http://www.uniprot.org/uniprot/M5Y8T9","M5Y8T9")</f>
        <v>M5Y8T9</v>
      </c>
      <c r="D14364" s="2" t="s">
        <v>11694</v>
      </c>
      <c r="E14364" s="3">
        <v>0</v>
      </c>
      <c r="F14364" s="2">
        <v>1846</v>
      </c>
      <c r="G14364" s="2">
        <v>100</v>
      </c>
      <c r="H14364" s="2">
        <v>383</v>
      </c>
      <c r="I14364" s="2">
        <v>324</v>
      </c>
      <c r="J14364" s="2">
        <v>1472</v>
      </c>
      <c r="K14364" s="2">
        <v>403</v>
      </c>
      <c r="L14364" s="2">
        <v>785</v>
      </c>
    </row>
    <row r="14365" spans="1:12" x14ac:dyDescent="0.25">
      <c r="A14365" s="4" t="str">
        <f>HYPERLINK("http://www.rosaceae.org/Prunus/Prunus_persica/p.persica_gdr_reftransV1_0014649","p.persica_gdr_reftransV1_0014649")</f>
        <v>p.persica_gdr_reftransV1_0014649</v>
      </c>
      <c r="B14365" s="2">
        <v>1210</v>
      </c>
      <c r="C14365" s="4" t="str">
        <f>HYPERLINK("http://www.uniprot.org/uniprot/M5VQY3","M5VQY3")</f>
        <v>M5VQY3</v>
      </c>
      <c r="D14365" s="2" t="s">
        <v>11695</v>
      </c>
      <c r="E14365" s="3">
        <v>5.6000000000000002E-121</v>
      </c>
      <c r="F14365" s="2">
        <v>929</v>
      </c>
      <c r="G14365" s="2">
        <v>100</v>
      </c>
      <c r="H14365" s="2">
        <v>216</v>
      </c>
      <c r="I14365" s="2">
        <v>73</v>
      </c>
      <c r="J14365" s="2">
        <v>720</v>
      </c>
      <c r="K14365" s="2">
        <v>1</v>
      </c>
      <c r="L14365" s="2">
        <v>216</v>
      </c>
    </row>
    <row r="14366" spans="1:12" x14ac:dyDescent="0.25">
      <c r="A14366" s="4" t="str">
        <f>HYPERLINK("http://www.rosaceae.org/Prunus/Prunus_persica/p.persica_gdr_reftransV1_0014999","p.persica_gdr_reftransV1_0014999")</f>
        <v>p.persica_gdr_reftransV1_0014999</v>
      </c>
      <c r="B14366" s="2">
        <v>1803</v>
      </c>
      <c r="C14366" s="4" t="str">
        <f>HYPERLINK("http://www.uniprot.org/uniprot/M5X261","M5X261")</f>
        <v>M5X261</v>
      </c>
      <c r="D14366" s="2" t="s">
        <v>11696</v>
      </c>
      <c r="E14366" s="3">
        <v>0</v>
      </c>
      <c r="F14366" s="2">
        <v>1878</v>
      </c>
      <c r="G14366" s="2">
        <v>99</v>
      </c>
      <c r="H14366" s="2">
        <v>410</v>
      </c>
      <c r="I14366" s="2">
        <v>367</v>
      </c>
      <c r="J14366" s="2">
        <v>1596</v>
      </c>
      <c r="K14366" s="2">
        <v>1</v>
      </c>
      <c r="L14366" s="2">
        <v>410</v>
      </c>
    </row>
    <row r="14367" spans="1:12" x14ac:dyDescent="0.25">
      <c r="A14367" s="4" t="str">
        <f>HYPERLINK("http://www.rosaceae.org/Prunus/Prunus_persica/p.persica_gdr_reftransV1_0016049","p.persica_gdr_reftransV1_0016049")</f>
        <v>p.persica_gdr_reftransV1_0016049</v>
      </c>
      <c r="B14367" s="2">
        <v>6488</v>
      </c>
      <c r="C14367" s="4" t="str">
        <f>HYPERLINK("http://www.uniprot.org/uniprot/M5XCM2","M5XCM2")</f>
        <v>M5XCM2</v>
      </c>
      <c r="D14367" s="2" t="s">
        <v>11697</v>
      </c>
      <c r="E14367" s="3">
        <v>0</v>
      </c>
      <c r="F14367" s="2">
        <v>2793</v>
      </c>
      <c r="G14367" s="2">
        <v>100</v>
      </c>
      <c r="H14367" s="2">
        <v>589</v>
      </c>
      <c r="I14367" s="2">
        <v>179</v>
      </c>
      <c r="J14367" s="2">
        <v>1945</v>
      </c>
      <c r="K14367" s="2">
        <v>1</v>
      </c>
      <c r="L14367" s="2">
        <v>589</v>
      </c>
    </row>
    <row r="14368" spans="1:12" x14ac:dyDescent="0.25">
      <c r="A14368" s="4" t="str">
        <f>HYPERLINK("http://www.rosaceae.org/Prunus/Prunus_persica/p.persica_gdr_reftransV1_0016399","p.persica_gdr_reftransV1_0016399")</f>
        <v>p.persica_gdr_reftransV1_0016399</v>
      </c>
      <c r="B14368" s="2">
        <v>2978</v>
      </c>
      <c r="C14368" s="4" t="str">
        <f>HYPERLINK("http://www.uniprot.org/uniprot/M5W881","M5W881")</f>
        <v>M5W881</v>
      </c>
      <c r="D14368" s="2" t="s">
        <v>11698</v>
      </c>
      <c r="E14368" s="3">
        <v>0</v>
      </c>
      <c r="F14368" s="2">
        <v>2352</v>
      </c>
      <c r="G14368" s="2">
        <v>100</v>
      </c>
      <c r="H14368" s="2">
        <v>504</v>
      </c>
      <c r="I14368" s="2">
        <v>663</v>
      </c>
      <c r="J14368" s="2">
        <v>2174</v>
      </c>
      <c r="K14368" s="2">
        <v>151</v>
      </c>
      <c r="L14368" s="2">
        <v>654</v>
      </c>
    </row>
    <row r="14369" spans="1:12" x14ac:dyDescent="0.25">
      <c r="A14369" s="4" t="str">
        <f>HYPERLINK("http://www.rosaceae.org/Prunus/Prunus_persica/p.persica_gdr_reftransV1_0016749","p.persica_gdr_reftransV1_0016749")</f>
        <v>p.persica_gdr_reftransV1_0016749</v>
      </c>
      <c r="B14369" s="2">
        <v>970</v>
      </c>
      <c r="C14369" s="4" t="str">
        <f>HYPERLINK("http://www.uniprot.org/uniprot/M5VXC8","M5VXC8")</f>
        <v>M5VXC8</v>
      </c>
      <c r="D14369" s="2" t="s">
        <v>11699</v>
      </c>
      <c r="E14369" s="3">
        <v>3.4199999999999999E-105</v>
      </c>
      <c r="F14369" s="2">
        <v>810</v>
      </c>
      <c r="G14369" s="2">
        <v>86</v>
      </c>
      <c r="H14369" s="2">
        <v>188</v>
      </c>
      <c r="I14369" s="2">
        <v>297</v>
      </c>
      <c r="J14369" s="2">
        <v>860</v>
      </c>
      <c r="K14369" s="2">
        <v>1</v>
      </c>
      <c r="L14369" s="2">
        <v>161</v>
      </c>
    </row>
    <row r="14370" spans="1:12" x14ac:dyDescent="0.25">
      <c r="A14370" s="4" t="str">
        <f>HYPERLINK("http://www.rosaceae.org/Prunus/Prunus_persica/p.persica_gdr_reftransV1_0018149","p.persica_gdr_reftransV1_0018149")</f>
        <v>p.persica_gdr_reftransV1_0018149</v>
      </c>
      <c r="B14370" s="2">
        <v>2054</v>
      </c>
      <c r="C14370" s="4" t="str">
        <f>HYPERLINK("http://www.uniprot.org/uniprot/M5X5K2","M5X5K2")</f>
        <v>M5X5K2</v>
      </c>
      <c r="D14370" s="2" t="s">
        <v>11700</v>
      </c>
      <c r="E14370" s="3">
        <v>0</v>
      </c>
      <c r="F14370" s="2">
        <v>1634</v>
      </c>
      <c r="G14370" s="2">
        <v>92</v>
      </c>
      <c r="H14370" s="2">
        <v>354</v>
      </c>
      <c r="I14370" s="2">
        <v>621</v>
      </c>
      <c r="J14370" s="2">
        <v>1682</v>
      </c>
      <c r="K14370" s="2">
        <v>1</v>
      </c>
      <c r="L14370" s="2">
        <v>327</v>
      </c>
    </row>
    <row r="14371" spans="1:12" x14ac:dyDescent="0.25">
      <c r="A14371" s="4" t="str">
        <f>HYPERLINK("http://www.rosaceae.org/Prunus/Prunus_persica/p.persica_gdr_reftransV1_0019199","p.persica_gdr_reftransV1_0019199")</f>
        <v>p.persica_gdr_reftransV1_0019199</v>
      </c>
      <c r="B14371" s="2">
        <v>1970</v>
      </c>
      <c r="C14371" s="4" t="str">
        <f>HYPERLINK("http://www.uniprot.org/uniprot/M5Y067","M5Y067")</f>
        <v>M5Y067</v>
      </c>
      <c r="D14371" s="2" t="s">
        <v>11701</v>
      </c>
      <c r="E14371" s="3">
        <v>1.49E-70</v>
      </c>
      <c r="F14371" s="2">
        <v>602</v>
      </c>
      <c r="G14371" s="2">
        <v>100</v>
      </c>
      <c r="H14371" s="2">
        <v>136</v>
      </c>
      <c r="I14371" s="2">
        <v>1293</v>
      </c>
      <c r="J14371" s="2">
        <v>1700</v>
      </c>
      <c r="K14371" s="2">
        <v>1</v>
      </c>
      <c r="L14371" s="2">
        <v>136</v>
      </c>
    </row>
    <row r="14372" spans="1:12" x14ac:dyDescent="0.25">
      <c r="A14372" s="4" t="str">
        <f>HYPERLINK("http://www.rosaceae.org/Prunus/Prunus_persica/p.persica_gdr_reftransV1_0019549","p.persica_gdr_reftransV1_0019549")</f>
        <v>p.persica_gdr_reftransV1_0019549</v>
      </c>
      <c r="B14372" s="2">
        <v>1112</v>
      </c>
      <c r="C14372" s="4" t="str">
        <f>HYPERLINK("http://www.uniprot.org/uniprot/M5X7V5","M5X7V5")</f>
        <v>M5X7V5</v>
      </c>
      <c r="D14372" s="2" t="s">
        <v>11702</v>
      </c>
      <c r="E14372" s="3">
        <v>3.37E-60</v>
      </c>
      <c r="F14372" s="2">
        <v>513</v>
      </c>
      <c r="G14372" s="2">
        <v>100</v>
      </c>
      <c r="H14372" s="2">
        <v>137</v>
      </c>
      <c r="I14372" s="2">
        <v>357</v>
      </c>
      <c r="J14372" s="2">
        <v>767</v>
      </c>
      <c r="K14372" s="2">
        <v>1</v>
      </c>
      <c r="L14372" s="2">
        <v>137</v>
      </c>
    </row>
    <row r="14373" spans="1:12" x14ac:dyDescent="0.25">
      <c r="A14373" s="4" t="str">
        <f>HYPERLINK("http://www.rosaceae.org/Prunus/Prunus_persica/p.persica_gdr_reftransV1_0020249","p.persica_gdr_reftransV1_0020249")</f>
        <v>p.persica_gdr_reftransV1_0020249</v>
      </c>
      <c r="B14373" s="2">
        <v>4300</v>
      </c>
      <c r="C14373" s="4" t="str">
        <f>HYPERLINK("http://www.uniprot.org/uniprot/M5VVF7","M5VVF7")</f>
        <v>M5VVF7</v>
      </c>
      <c r="D14373" s="2" t="s">
        <v>11703</v>
      </c>
      <c r="E14373" s="3">
        <v>0</v>
      </c>
      <c r="F14373" s="2">
        <v>4672</v>
      </c>
      <c r="G14373" s="2">
        <v>100</v>
      </c>
      <c r="H14373" s="2">
        <v>901</v>
      </c>
      <c r="I14373" s="2">
        <v>224</v>
      </c>
      <c r="J14373" s="2">
        <v>2926</v>
      </c>
      <c r="K14373" s="2">
        <v>1</v>
      </c>
      <c r="L14373" s="2">
        <v>901</v>
      </c>
    </row>
    <row r="14374" spans="1:12" x14ac:dyDescent="0.25">
      <c r="A14374" s="4" t="str">
        <f>HYPERLINK("http://www.rosaceae.org/Prunus/Prunus_persica/p.persica_gdr_reftransV1_0021299","p.persica_gdr_reftransV1_0021299")</f>
        <v>p.persica_gdr_reftransV1_0021299</v>
      </c>
      <c r="B14374" s="2">
        <v>3283</v>
      </c>
      <c r="C14374" s="4" t="str">
        <f>HYPERLINK("http://www.uniprot.org/uniprot/M5WCT3","M5WCT3")</f>
        <v>M5WCT3</v>
      </c>
      <c r="D14374" s="2" t="s">
        <v>11704</v>
      </c>
      <c r="E14374" s="3">
        <v>0</v>
      </c>
      <c r="F14374" s="2">
        <v>3588</v>
      </c>
      <c r="G14374" s="2">
        <v>100</v>
      </c>
      <c r="H14374" s="2">
        <v>712</v>
      </c>
      <c r="I14374" s="2">
        <v>198</v>
      </c>
      <c r="J14374" s="2">
        <v>2333</v>
      </c>
      <c r="K14374" s="2">
        <v>1</v>
      </c>
      <c r="L14374" s="2">
        <v>712</v>
      </c>
    </row>
    <row r="14375" spans="1:12" x14ac:dyDescent="0.25">
      <c r="A14375" s="4" t="str">
        <f>HYPERLINK("http://www.rosaceae.org/Prunus/Prunus_persica/p.persica_gdr_reftransV1_0021649","p.persica_gdr_reftransV1_0021649")</f>
        <v>p.persica_gdr_reftransV1_0021649</v>
      </c>
      <c r="B14375" s="2">
        <v>3556</v>
      </c>
      <c r="C14375" s="4" t="str">
        <f>HYPERLINK("http://www.uniprot.org/uniprot/M5WDX6","M5WDX6")</f>
        <v>M5WDX6</v>
      </c>
      <c r="D14375" s="2" t="s">
        <v>11705</v>
      </c>
      <c r="E14375" s="3">
        <v>0</v>
      </c>
      <c r="F14375" s="2">
        <v>2559</v>
      </c>
      <c r="G14375" s="2">
        <v>99</v>
      </c>
      <c r="H14375" s="2">
        <v>566</v>
      </c>
      <c r="I14375" s="2">
        <v>1295</v>
      </c>
      <c r="J14375" s="2">
        <v>2992</v>
      </c>
      <c r="K14375" s="2">
        <v>1</v>
      </c>
      <c r="L14375" s="2">
        <v>566</v>
      </c>
    </row>
    <row r="14376" spans="1:12" x14ac:dyDescent="0.25">
      <c r="A14376" s="4" t="str">
        <f>HYPERLINK("http://www.rosaceae.org/Prunus/Prunus_persica/p.persica_gdr_reftransV1_0021999","p.persica_gdr_reftransV1_0021999")</f>
        <v>p.persica_gdr_reftransV1_0021999</v>
      </c>
      <c r="B14376" s="2">
        <v>2470</v>
      </c>
      <c r="C14376" s="4" t="str">
        <f>HYPERLINK("http://www.uniprot.org/uniprot/W9S5J3","W9S5J3")</f>
        <v>W9S5J3</v>
      </c>
      <c r="D14376" s="2" t="s">
        <v>11706</v>
      </c>
      <c r="E14376" s="3">
        <v>0</v>
      </c>
      <c r="F14376" s="2">
        <v>3066</v>
      </c>
      <c r="G14376" s="2">
        <v>78</v>
      </c>
      <c r="H14376" s="2">
        <v>761</v>
      </c>
      <c r="I14376" s="2">
        <v>2</v>
      </c>
      <c r="J14376" s="2">
        <v>2281</v>
      </c>
      <c r="K14376" s="2">
        <v>1069</v>
      </c>
      <c r="L14376" s="2">
        <v>1829</v>
      </c>
    </row>
    <row r="14377" spans="1:12" x14ac:dyDescent="0.25">
      <c r="A14377" s="4" t="str">
        <f>HYPERLINK("http://www.rosaceae.org/Prunus/Prunus_persica/p.persica_gdr_reftransV1_0022699","p.persica_gdr_reftransV1_0022699")</f>
        <v>p.persica_gdr_reftransV1_0022699</v>
      </c>
      <c r="B14377" s="2">
        <v>681</v>
      </c>
      <c r="C14377" s="4" t="str">
        <f>HYPERLINK("http://www.uniprot.org/uniprot/M5XCR6","M5XCR6")</f>
        <v>M5XCR6</v>
      </c>
      <c r="D14377" s="2" t="s">
        <v>4345</v>
      </c>
      <c r="E14377" s="3">
        <v>4.8300000000000002E-98</v>
      </c>
      <c r="F14377" s="2">
        <v>786</v>
      </c>
      <c r="G14377" s="2">
        <v>99</v>
      </c>
      <c r="H14377" s="2">
        <v>145</v>
      </c>
      <c r="I14377" s="2">
        <v>163</v>
      </c>
      <c r="J14377" s="2">
        <v>597</v>
      </c>
      <c r="K14377" s="2">
        <v>274</v>
      </c>
      <c r="L14377" s="2">
        <v>418</v>
      </c>
    </row>
    <row r="14378" spans="1:12" x14ac:dyDescent="0.25">
      <c r="A14378" s="4" t="str">
        <f>HYPERLINK("http://www.rosaceae.org/Prunus/Prunus_persica/p.persica_gdr_reftransV1_0023749","p.persica_gdr_reftransV1_0023749")</f>
        <v>p.persica_gdr_reftransV1_0023749</v>
      </c>
      <c r="B14378" s="2">
        <v>1362</v>
      </c>
      <c r="C14378" s="4" t="str">
        <f>HYPERLINK("http://www.uniprot.org/uniprot/M5XBW3","M5XBW3")</f>
        <v>M5XBW3</v>
      </c>
      <c r="D14378" s="2" t="s">
        <v>11707</v>
      </c>
      <c r="E14378" s="3">
        <v>0</v>
      </c>
      <c r="F14378" s="2">
        <v>1727</v>
      </c>
      <c r="G14378" s="2">
        <v>100</v>
      </c>
      <c r="H14378" s="2">
        <v>344</v>
      </c>
      <c r="I14378" s="2">
        <v>100</v>
      </c>
      <c r="J14378" s="2">
        <v>1131</v>
      </c>
      <c r="K14378" s="2">
        <v>1</v>
      </c>
      <c r="L14378" s="2">
        <v>344</v>
      </c>
    </row>
    <row r="14379" spans="1:12" x14ac:dyDescent="0.25">
      <c r="A14379" s="4" t="str">
        <f>HYPERLINK("http://www.rosaceae.org/Prunus/Prunus_persica/p.persica_gdr_reftransV1_0024449","p.persica_gdr_reftransV1_0024449")</f>
        <v>p.persica_gdr_reftransV1_0024449</v>
      </c>
      <c r="B14379" s="2">
        <v>1345</v>
      </c>
      <c r="C14379" s="4" t="str">
        <f>HYPERLINK("http://www.uniprot.org/uniprot/M5W9G8","M5W9G8")</f>
        <v>M5W9G8</v>
      </c>
      <c r="D14379" s="2" t="s">
        <v>11708</v>
      </c>
      <c r="E14379" s="3">
        <v>3.12E-145</v>
      </c>
      <c r="F14379" s="2">
        <v>1100</v>
      </c>
      <c r="G14379" s="2">
        <v>91</v>
      </c>
      <c r="H14379" s="2">
        <v>287</v>
      </c>
      <c r="I14379" s="2">
        <v>357</v>
      </c>
      <c r="J14379" s="2">
        <v>1217</v>
      </c>
      <c r="K14379" s="2">
        <v>17</v>
      </c>
      <c r="L14379" s="2">
        <v>279</v>
      </c>
    </row>
    <row r="14380" spans="1:12" x14ac:dyDescent="0.25">
      <c r="A14380" s="4" t="str">
        <f>HYPERLINK("http://www.rosaceae.org/Prunus/Prunus_persica/p.persica_gdr_reftransV1_0027249","p.persica_gdr_reftransV1_0027249")</f>
        <v>p.persica_gdr_reftransV1_0027249</v>
      </c>
      <c r="B14380" s="2">
        <v>1214</v>
      </c>
      <c r="C14380" s="4" t="str">
        <f>HYPERLINK("http://www.uniprot.org/uniprot/M5WRI0","M5WRI0")</f>
        <v>M5WRI0</v>
      </c>
      <c r="D14380" s="2" t="s">
        <v>11709</v>
      </c>
      <c r="E14380" s="3">
        <v>3.1999999999999998E-103</v>
      </c>
      <c r="F14380" s="2">
        <v>805</v>
      </c>
      <c r="G14380" s="2">
        <v>85</v>
      </c>
      <c r="H14380" s="2">
        <v>186</v>
      </c>
      <c r="I14380" s="2">
        <v>324</v>
      </c>
      <c r="J14380" s="2">
        <v>881</v>
      </c>
      <c r="K14380" s="2">
        <v>1</v>
      </c>
      <c r="L14380" s="2">
        <v>159</v>
      </c>
    </row>
    <row r="14381" spans="1:12" x14ac:dyDescent="0.25">
      <c r="A14381" s="4" t="str">
        <f>HYPERLINK("http://www.rosaceae.org/Prunus/Prunus_persica/p.persica_gdr_reftransV1_0027599","p.persica_gdr_reftransV1_0027599")</f>
        <v>p.persica_gdr_reftransV1_0027599</v>
      </c>
      <c r="B14381" s="2">
        <v>569</v>
      </c>
      <c r="C14381" s="4" t="str">
        <f>HYPERLINK("http://www.uniprot.org/uniprot/M5WKE3","M5WKE3")</f>
        <v>M5WKE3</v>
      </c>
      <c r="D14381" s="2" t="s">
        <v>7278</v>
      </c>
      <c r="E14381" s="3">
        <v>3.0899999999999997E-85</v>
      </c>
      <c r="F14381" s="2">
        <v>674</v>
      </c>
      <c r="G14381" s="2">
        <v>100</v>
      </c>
      <c r="H14381" s="2">
        <v>136</v>
      </c>
      <c r="I14381" s="2">
        <v>3</v>
      </c>
      <c r="J14381" s="2">
        <v>410</v>
      </c>
      <c r="K14381" s="2">
        <v>1</v>
      </c>
      <c r="L14381" s="2">
        <v>136</v>
      </c>
    </row>
    <row r="14382" spans="1:12" x14ac:dyDescent="0.25">
      <c r="A14382" s="4" t="str">
        <f>HYPERLINK("http://www.rosaceae.org/Prunus/Prunus_persica/p.persica_gdr_reftransV1_0029349","p.persica_gdr_reftransV1_0029349")</f>
        <v>p.persica_gdr_reftransV1_0029349</v>
      </c>
      <c r="B14382" s="2">
        <v>716</v>
      </c>
      <c r="C14382" s="4" t="str">
        <f>HYPERLINK("http://www.uniprot.org/uniprot/M5XL49","M5XL49")</f>
        <v>M5XL49</v>
      </c>
      <c r="D14382" s="2" t="s">
        <v>11710</v>
      </c>
      <c r="E14382" s="3">
        <v>4.2899999999999998E-93</v>
      </c>
      <c r="F14382" s="2">
        <v>719</v>
      </c>
      <c r="G14382" s="2">
        <v>100</v>
      </c>
      <c r="H14382" s="2">
        <v>137</v>
      </c>
      <c r="I14382" s="2">
        <v>119</v>
      </c>
      <c r="J14382" s="2">
        <v>529</v>
      </c>
      <c r="K14382" s="2">
        <v>1</v>
      </c>
      <c r="L14382" s="2">
        <v>137</v>
      </c>
    </row>
    <row r="14383" spans="1:12" x14ac:dyDescent="0.25">
      <c r="A14383" s="4" t="str">
        <f>HYPERLINK("http://www.rosaceae.org/Prunus/Prunus_persica/p.persica_gdr_reftransV1_0030399","p.persica_gdr_reftransV1_0030399")</f>
        <v>p.persica_gdr_reftransV1_0030399</v>
      </c>
      <c r="B14383" s="2">
        <v>3160</v>
      </c>
      <c r="C14383" s="4" t="str">
        <f>HYPERLINK("http://www.uniprot.org/uniprot/M5XHC7","M5XHC7")</f>
        <v>M5XHC7</v>
      </c>
      <c r="D14383" s="2" t="s">
        <v>11711</v>
      </c>
      <c r="E14383" s="3">
        <v>0</v>
      </c>
      <c r="F14383" s="2">
        <v>2276</v>
      </c>
      <c r="G14383" s="2">
        <v>100</v>
      </c>
      <c r="H14383" s="2">
        <v>428</v>
      </c>
      <c r="I14383" s="2">
        <v>492</v>
      </c>
      <c r="J14383" s="2">
        <v>1775</v>
      </c>
      <c r="K14383" s="2">
        <v>1</v>
      </c>
      <c r="L14383" s="2">
        <v>428</v>
      </c>
    </row>
    <row r="14384" spans="1:12" x14ac:dyDescent="0.25">
      <c r="A14384" s="4" t="str">
        <f>HYPERLINK("http://www.rosaceae.org/Prunus/Prunus_persica/p.persica_gdr_reftransV1_0030749","p.persica_gdr_reftransV1_0030749")</f>
        <v>p.persica_gdr_reftransV1_0030749</v>
      </c>
      <c r="B14384" s="2">
        <v>2438</v>
      </c>
      <c r="C14384" s="4" t="str">
        <f>HYPERLINK("http://www.uniprot.org/uniprot/M5WG89","M5WG89")</f>
        <v>M5WG89</v>
      </c>
      <c r="D14384" s="2" t="s">
        <v>11712</v>
      </c>
      <c r="E14384" s="3">
        <v>0</v>
      </c>
      <c r="F14384" s="2">
        <v>2790</v>
      </c>
      <c r="G14384" s="2">
        <v>100</v>
      </c>
      <c r="H14384" s="2">
        <v>611</v>
      </c>
      <c r="I14384" s="2">
        <v>238</v>
      </c>
      <c r="J14384" s="2">
        <v>2070</v>
      </c>
      <c r="K14384" s="2">
        <v>1</v>
      </c>
      <c r="L14384" s="2">
        <v>611</v>
      </c>
    </row>
    <row r="14385" spans="1:12" x14ac:dyDescent="0.25">
      <c r="A14385" s="4" t="str">
        <f>HYPERLINK("http://www.rosaceae.org/Prunus/Prunus_persica/p.persica_gdr_reftransV1_0031799","p.persica_gdr_reftransV1_0031799")</f>
        <v>p.persica_gdr_reftransV1_0031799</v>
      </c>
      <c r="B14385" s="2">
        <v>4344</v>
      </c>
      <c r="C14385" s="4" t="str">
        <f>HYPERLINK("http://www.uniprot.org/uniprot/M5VWR5","M5VWR5")</f>
        <v>M5VWR5</v>
      </c>
      <c r="D14385" s="2" t="s">
        <v>11713</v>
      </c>
      <c r="E14385" s="3">
        <v>0</v>
      </c>
      <c r="F14385" s="2">
        <v>2823</v>
      </c>
      <c r="G14385" s="2">
        <v>80</v>
      </c>
      <c r="H14385" s="2">
        <v>702</v>
      </c>
      <c r="I14385" s="2">
        <v>1864</v>
      </c>
      <c r="J14385" s="2">
        <v>3828</v>
      </c>
      <c r="K14385" s="2">
        <v>160</v>
      </c>
      <c r="L14385" s="2">
        <v>861</v>
      </c>
    </row>
    <row r="14386" spans="1:12" x14ac:dyDescent="0.25">
      <c r="A14386" s="4" t="str">
        <f>HYPERLINK("http://www.rosaceae.org/Prunus/Prunus_persica/p.persica_gdr_reftransV1_0032849","p.persica_gdr_reftransV1_0032849")</f>
        <v>p.persica_gdr_reftransV1_0032849</v>
      </c>
      <c r="B14386" s="2">
        <v>3039</v>
      </c>
      <c r="C14386" s="4" t="str">
        <f>HYPERLINK("http://www.uniprot.org/uniprot/M5XLN6","M5XLN6")</f>
        <v>M5XLN6</v>
      </c>
      <c r="D14386" s="2" t="s">
        <v>11714</v>
      </c>
      <c r="E14386" s="3">
        <v>0</v>
      </c>
      <c r="F14386" s="2">
        <v>2693</v>
      </c>
      <c r="G14386" s="2">
        <v>100</v>
      </c>
      <c r="H14386" s="2">
        <v>743</v>
      </c>
      <c r="I14386" s="2">
        <v>426</v>
      </c>
      <c r="J14386" s="2">
        <v>2654</v>
      </c>
      <c r="K14386" s="2">
        <v>1</v>
      </c>
      <c r="L14386" s="2">
        <v>743</v>
      </c>
    </row>
    <row r="14387" spans="1:12" x14ac:dyDescent="0.25">
      <c r="A14387" s="4" t="str">
        <f>HYPERLINK("http://www.rosaceae.org/Prunus/Prunus_persica/p.persica_gdr_reftransV1_0033199","p.persica_gdr_reftransV1_0033199")</f>
        <v>p.persica_gdr_reftransV1_0033199</v>
      </c>
      <c r="B14387" s="2">
        <v>1780</v>
      </c>
      <c r="C14387" s="4" t="str">
        <f>HYPERLINK("http://www.uniprot.org/uniprot/M5X6I3","M5X6I3")</f>
        <v>M5X6I3</v>
      </c>
      <c r="D14387" s="2" t="s">
        <v>7140</v>
      </c>
      <c r="E14387" s="3">
        <v>2.4099999999999998E-140</v>
      </c>
      <c r="F14387" s="2">
        <v>1074</v>
      </c>
      <c r="G14387" s="2">
        <v>95</v>
      </c>
      <c r="H14387" s="2">
        <v>214</v>
      </c>
      <c r="I14387" s="2">
        <v>930</v>
      </c>
      <c r="J14387" s="2">
        <v>1571</v>
      </c>
      <c r="K14387" s="2">
        <v>1</v>
      </c>
      <c r="L14387" s="2">
        <v>214</v>
      </c>
    </row>
    <row r="14388" spans="1:12" x14ac:dyDescent="0.25">
      <c r="A14388" s="4" t="str">
        <f>HYPERLINK("http://www.rosaceae.org/Prunus/Prunus_persica/p.persica_gdr_reftransV1_0033549","p.persica_gdr_reftransV1_0033549")</f>
        <v>p.persica_gdr_reftransV1_0033549</v>
      </c>
      <c r="B14388" s="2">
        <v>1786</v>
      </c>
      <c r="C14388" s="4" t="str">
        <f>HYPERLINK("http://www.uniprot.org/uniprot/M5WUH8","M5WUH8")</f>
        <v>M5WUH8</v>
      </c>
      <c r="D14388" s="2" t="s">
        <v>11715</v>
      </c>
      <c r="E14388" s="3">
        <v>0</v>
      </c>
      <c r="F14388" s="2">
        <v>2066</v>
      </c>
      <c r="G14388" s="2">
        <v>100</v>
      </c>
      <c r="H14388" s="2">
        <v>382</v>
      </c>
      <c r="I14388" s="2">
        <v>179</v>
      </c>
      <c r="J14388" s="2">
        <v>1324</v>
      </c>
      <c r="K14388" s="2">
        <v>1</v>
      </c>
      <c r="L14388" s="2">
        <v>382</v>
      </c>
    </row>
    <row r="14389" spans="1:12" x14ac:dyDescent="0.25">
      <c r="A14389" s="4" t="str">
        <f>HYPERLINK("http://www.rosaceae.org/Prunus/Prunus_persica/p.persica_gdr_reftransV1_0038099","p.persica_gdr_reftransV1_0038099")</f>
        <v>p.persica_gdr_reftransV1_0038099</v>
      </c>
      <c r="B14389" s="2">
        <v>701</v>
      </c>
      <c r="C14389" s="4" t="str">
        <f>HYPERLINK("http://www.uniprot.org/uniprot/A0A061FG50","A0A061FG50")</f>
        <v>A0A061FG50</v>
      </c>
      <c r="D14389" s="2" t="s">
        <v>11716</v>
      </c>
      <c r="E14389" s="3">
        <v>8.0299999999999997E-56</v>
      </c>
      <c r="F14389" s="2">
        <v>469</v>
      </c>
      <c r="G14389" s="2">
        <v>77</v>
      </c>
      <c r="H14389" s="2">
        <v>111</v>
      </c>
      <c r="I14389" s="2">
        <v>241</v>
      </c>
      <c r="J14389" s="2">
        <v>573</v>
      </c>
      <c r="K14389" s="2">
        <v>1</v>
      </c>
      <c r="L14389" s="2">
        <v>111</v>
      </c>
    </row>
    <row r="14390" spans="1:12" x14ac:dyDescent="0.25">
      <c r="A14390" s="4" t="str">
        <f>HYPERLINK("http://www.rosaceae.org/Prunus/Prunus_persica/p.persica_gdr_reftransV1_0041949","p.persica_gdr_reftransV1_0041949")</f>
        <v>p.persica_gdr_reftransV1_0041949</v>
      </c>
      <c r="B14390" s="2">
        <v>647</v>
      </c>
      <c r="C14390" s="4" t="str">
        <f>HYPERLINK("http://www.uniprot.org/uniprot/M5VI37","M5VI37")</f>
        <v>M5VI37</v>
      </c>
      <c r="D14390" s="2" t="s">
        <v>11717</v>
      </c>
      <c r="E14390" s="3">
        <v>1.43E-120</v>
      </c>
      <c r="F14390" s="2">
        <v>914</v>
      </c>
      <c r="G14390" s="2">
        <v>100</v>
      </c>
      <c r="H14390" s="2">
        <v>198</v>
      </c>
      <c r="I14390" s="2">
        <v>52</v>
      </c>
      <c r="J14390" s="2">
        <v>645</v>
      </c>
      <c r="K14390" s="2">
        <v>1</v>
      </c>
      <c r="L14390" s="2">
        <v>198</v>
      </c>
    </row>
    <row r="14391" spans="1:12" x14ac:dyDescent="0.25">
      <c r="A14391" s="4" t="str">
        <f>HYPERLINK("http://www.rosaceae.org/Prunus/Prunus_persica/p.persica_gdr_reftransV1_0043349","p.persica_gdr_reftransV1_0043349")</f>
        <v>p.persica_gdr_reftransV1_0043349</v>
      </c>
      <c r="B14391" s="2">
        <v>820</v>
      </c>
      <c r="C14391" s="4" t="str">
        <f>HYPERLINK("http://www.uniprot.org/uniprot/M5W6R4","M5W6R4")</f>
        <v>M5W6R4</v>
      </c>
      <c r="D14391" s="2" t="s">
        <v>11718</v>
      </c>
      <c r="E14391" s="3">
        <v>1.4700000000000001E-99</v>
      </c>
      <c r="F14391" s="2">
        <v>770</v>
      </c>
      <c r="G14391" s="2">
        <v>100</v>
      </c>
      <c r="H14391" s="2">
        <v>190</v>
      </c>
      <c r="I14391" s="2">
        <v>189</v>
      </c>
      <c r="J14391" s="2">
        <v>758</v>
      </c>
      <c r="K14391" s="2">
        <v>2</v>
      </c>
      <c r="L14391" s="2">
        <v>191</v>
      </c>
    </row>
    <row r="14392" spans="1:12" x14ac:dyDescent="0.25">
      <c r="A14392" s="4" t="str">
        <f>HYPERLINK("http://www.rosaceae.org/Prunus/Prunus_persica/p.persica_gdr_reftransV1_0043699","p.persica_gdr_reftransV1_0043699")</f>
        <v>p.persica_gdr_reftransV1_0043699</v>
      </c>
      <c r="B14392" s="2">
        <v>667</v>
      </c>
      <c r="C14392" s="4" t="str">
        <f>HYPERLINK("http://www.uniprot.org/uniprot/M5X3M3","M5X3M3")</f>
        <v>M5X3M3</v>
      </c>
      <c r="D14392" s="2" t="s">
        <v>11719</v>
      </c>
      <c r="E14392" s="3">
        <v>1.1199999999999999E-49</v>
      </c>
      <c r="F14392" s="2">
        <v>464</v>
      </c>
      <c r="G14392" s="2">
        <v>91</v>
      </c>
      <c r="H14392" s="2">
        <v>96</v>
      </c>
      <c r="I14392" s="2">
        <v>144</v>
      </c>
      <c r="J14392" s="2">
        <v>431</v>
      </c>
      <c r="K14392" s="2">
        <v>607</v>
      </c>
      <c r="L14392" s="2">
        <v>702</v>
      </c>
    </row>
    <row r="14393" spans="1:12" x14ac:dyDescent="0.25">
      <c r="A14393" s="4" t="str">
        <f>HYPERLINK("http://www.rosaceae.org/Prunus/Prunus_persica/p.persica_gdr_reftransV1_0044049","p.persica_gdr_reftransV1_0044049")</f>
        <v>p.persica_gdr_reftransV1_0044049</v>
      </c>
      <c r="B14393" s="2">
        <v>1237</v>
      </c>
      <c r="C14393" s="4" t="str">
        <f>HYPERLINK("http://www.uniprot.org/uniprot/M5WSG6","M5WSG6")</f>
        <v>M5WSG6</v>
      </c>
      <c r="D14393" s="2" t="s">
        <v>8421</v>
      </c>
      <c r="E14393" s="3">
        <v>1.1399999999999999E-112</v>
      </c>
      <c r="F14393" s="2">
        <v>874</v>
      </c>
      <c r="G14393" s="2">
        <v>100</v>
      </c>
      <c r="H14393" s="2">
        <v>223</v>
      </c>
      <c r="I14393" s="2">
        <v>343</v>
      </c>
      <c r="J14393" s="2">
        <v>1011</v>
      </c>
      <c r="K14393" s="2">
        <v>1</v>
      </c>
      <c r="L14393" s="2">
        <v>223</v>
      </c>
    </row>
    <row r="14394" spans="1:12" x14ac:dyDescent="0.25">
      <c r="A14394" s="4" t="str">
        <f>HYPERLINK("http://www.rosaceae.org/Prunus/Prunus_persica/p.persica_gdr_reftransV1_0044749","p.persica_gdr_reftransV1_0044749")</f>
        <v>p.persica_gdr_reftransV1_0044749</v>
      </c>
      <c r="B14394" s="2">
        <v>304</v>
      </c>
      <c r="C14394" s="4" t="str">
        <f>HYPERLINK("http://www.uniprot.org/uniprot/M5W0R0","M5W0R0")</f>
        <v>M5W0R0</v>
      </c>
      <c r="D14394" s="2" t="s">
        <v>10683</v>
      </c>
      <c r="E14394" s="3">
        <v>1.75E-39</v>
      </c>
      <c r="F14394" s="2">
        <v>358</v>
      </c>
      <c r="G14394" s="2">
        <v>98</v>
      </c>
      <c r="H14394" s="2">
        <v>82</v>
      </c>
      <c r="I14394" s="2">
        <v>51</v>
      </c>
      <c r="J14394" s="2">
        <v>296</v>
      </c>
      <c r="K14394" s="2">
        <v>1</v>
      </c>
      <c r="L14394" s="2">
        <v>82</v>
      </c>
    </row>
    <row r="14395" spans="1:12" x14ac:dyDescent="0.25">
      <c r="A14395" s="4" t="str">
        <f>HYPERLINK("http://www.rosaceae.org/Prunus/Prunus_persica/p.persica_gdr_reftransV1_0045099","p.persica_gdr_reftransV1_0045099")</f>
        <v>p.persica_gdr_reftransV1_0045099</v>
      </c>
      <c r="B14395" s="2">
        <v>2548</v>
      </c>
      <c r="C14395" s="4" t="str">
        <f>HYPERLINK("http://www.uniprot.org/uniprot/M5XK03","M5XK03")</f>
        <v>M5XK03</v>
      </c>
      <c r="D14395" s="2" t="s">
        <v>4433</v>
      </c>
      <c r="E14395" s="3">
        <v>0</v>
      </c>
      <c r="F14395" s="2">
        <v>3625</v>
      </c>
      <c r="G14395" s="2">
        <v>99</v>
      </c>
      <c r="H14395" s="2">
        <v>724</v>
      </c>
      <c r="I14395" s="2">
        <v>41</v>
      </c>
      <c r="J14395" s="2">
        <v>2212</v>
      </c>
      <c r="K14395" s="2">
        <v>1</v>
      </c>
      <c r="L14395" s="2">
        <v>724</v>
      </c>
    </row>
    <row r="14396" spans="1:12" x14ac:dyDescent="0.25">
      <c r="A14396" s="4" t="str">
        <f>HYPERLINK("http://www.rosaceae.org/Prunus/Prunus_persica/p.persica_gdr_reftransV1_0045449","p.persica_gdr_reftransV1_0045449")</f>
        <v>p.persica_gdr_reftransV1_0045449</v>
      </c>
      <c r="B14396" s="2">
        <v>992</v>
      </c>
      <c r="C14396" s="4" t="str">
        <f>HYPERLINK("http://www.uniprot.org/uniprot/M5Y263","M5Y263")</f>
        <v>M5Y263</v>
      </c>
      <c r="D14396" s="2" t="s">
        <v>2099</v>
      </c>
      <c r="E14396" s="3">
        <v>6.01E-159</v>
      </c>
      <c r="F14396" s="2">
        <v>1190</v>
      </c>
      <c r="G14396" s="2">
        <v>99</v>
      </c>
      <c r="H14396" s="2">
        <v>317</v>
      </c>
      <c r="I14396" s="2">
        <v>41</v>
      </c>
      <c r="J14396" s="2">
        <v>991</v>
      </c>
      <c r="K14396" s="2">
        <v>1</v>
      </c>
      <c r="L14396" s="2">
        <v>317</v>
      </c>
    </row>
    <row r="14397" spans="1:12" x14ac:dyDescent="0.25">
      <c r="A14397" s="4" t="str">
        <f>HYPERLINK("http://www.rosaceae.org/Prunus/Prunus_persica/p.persica_gdr_reftransV1_0046499","p.persica_gdr_reftransV1_0046499")</f>
        <v>p.persica_gdr_reftransV1_0046499</v>
      </c>
      <c r="B14397" s="2">
        <v>749</v>
      </c>
      <c r="C14397" s="4" t="str">
        <f>HYPERLINK("http://www.uniprot.org/uniprot/M5XE65","M5XE65")</f>
        <v>M5XE65</v>
      </c>
      <c r="D14397" s="2" t="s">
        <v>11720</v>
      </c>
      <c r="E14397" s="3">
        <v>1.12E-51</v>
      </c>
      <c r="F14397" s="2">
        <v>444</v>
      </c>
      <c r="G14397" s="2">
        <v>100</v>
      </c>
      <c r="H14397" s="2">
        <v>115</v>
      </c>
      <c r="I14397" s="2">
        <v>112</v>
      </c>
      <c r="J14397" s="2">
        <v>456</v>
      </c>
      <c r="K14397" s="2">
        <v>1</v>
      </c>
      <c r="L14397" s="2">
        <v>115</v>
      </c>
    </row>
    <row r="14398" spans="1:12" x14ac:dyDescent="0.25">
      <c r="A14398" s="4" t="str">
        <f>HYPERLINK("http://www.rosaceae.org/Prunus/Prunus_persica/p.persica_gdr_reftransV1_0046849","p.persica_gdr_reftransV1_0046849")</f>
        <v>p.persica_gdr_reftransV1_0046849</v>
      </c>
      <c r="B14398" s="2">
        <v>1180</v>
      </c>
      <c r="C14398" s="4" t="str">
        <f>HYPERLINK("http://www.uniprot.org/uniprot/M5XXB6","M5XXB6")</f>
        <v>M5XXB6</v>
      </c>
      <c r="D14398" s="2" t="s">
        <v>9207</v>
      </c>
      <c r="E14398" s="3">
        <v>1.01E-152</v>
      </c>
      <c r="F14398" s="2">
        <v>869</v>
      </c>
      <c r="G14398" s="2">
        <v>99</v>
      </c>
      <c r="H14398" s="2">
        <v>166</v>
      </c>
      <c r="I14398" s="2">
        <v>683</v>
      </c>
      <c r="J14398" s="2">
        <v>1180</v>
      </c>
      <c r="K14398" s="2">
        <v>38</v>
      </c>
      <c r="L14398" s="2">
        <v>203</v>
      </c>
    </row>
    <row r="14399" spans="1:12" x14ac:dyDescent="0.25">
      <c r="A14399" s="4" t="str">
        <f>HYPERLINK("http://www.rosaceae.org/Prunus/Prunus_persica/p.persica_gdr_reftransV1_0047199","p.persica_gdr_reftransV1_0047199")</f>
        <v>p.persica_gdr_reftransV1_0047199</v>
      </c>
      <c r="B14399" s="2">
        <v>1460</v>
      </c>
      <c r="C14399" s="4" t="str">
        <f>HYPERLINK("http://www.uniprot.org/uniprot/M5WI69","M5WI69")</f>
        <v>M5WI69</v>
      </c>
      <c r="D14399" s="2" t="s">
        <v>11721</v>
      </c>
      <c r="E14399" s="3">
        <v>0</v>
      </c>
      <c r="F14399" s="2">
        <v>2144</v>
      </c>
      <c r="G14399" s="2">
        <v>100</v>
      </c>
      <c r="H14399" s="2">
        <v>406</v>
      </c>
      <c r="I14399" s="2">
        <v>62</v>
      </c>
      <c r="J14399" s="2">
        <v>1279</v>
      </c>
      <c r="K14399" s="2">
        <v>1</v>
      </c>
      <c r="L14399" s="2">
        <v>406</v>
      </c>
    </row>
    <row r="14400" spans="1:12" x14ac:dyDescent="0.25">
      <c r="A14400" s="4" t="str">
        <f>HYPERLINK("http://www.rosaceae.org/Prunus/Prunus_persica/p.persica_gdr_reftransV1_0047549","p.persica_gdr_reftransV1_0047549")</f>
        <v>p.persica_gdr_reftransV1_0047549</v>
      </c>
      <c r="B14400" s="2">
        <v>2067</v>
      </c>
      <c r="C14400" s="4" t="str">
        <f>HYPERLINK("http://www.uniprot.org/uniprot/M5W982","M5W982")</f>
        <v>M5W982</v>
      </c>
      <c r="D14400" s="2" t="s">
        <v>11722</v>
      </c>
      <c r="E14400" s="3">
        <v>0</v>
      </c>
      <c r="F14400" s="2">
        <v>2804</v>
      </c>
      <c r="G14400" s="2">
        <v>100</v>
      </c>
      <c r="H14400" s="2">
        <v>560</v>
      </c>
      <c r="I14400" s="2">
        <v>225</v>
      </c>
      <c r="J14400" s="2">
        <v>1904</v>
      </c>
      <c r="K14400" s="2">
        <v>1</v>
      </c>
      <c r="L14400" s="2">
        <v>560</v>
      </c>
    </row>
    <row r="14401" spans="1:12" x14ac:dyDescent="0.25">
      <c r="A14401" s="4" t="str">
        <f>HYPERLINK("http://www.rosaceae.org/Prunus/Prunus_persica/p.persica_gdr_reftransV1_0047899","p.persica_gdr_reftransV1_0047899")</f>
        <v>p.persica_gdr_reftransV1_0047899</v>
      </c>
      <c r="B14401" s="2">
        <v>1430</v>
      </c>
      <c r="C14401" s="4" t="str">
        <f>HYPERLINK("http://www.uniprot.org/uniprot/M5VQ47","M5VQ47")</f>
        <v>M5VQ47</v>
      </c>
      <c r="D14401" s="2" t="s">
        <v>11723</v>
      </c>
      <c r="E14401" s="3">
        <v>5.1699999999999996E-156</v>
      </c>
      <c r="F14401" s="2">
        <v>1178</v>
      </c>
      <c r="G14401" s="2">
        <v>96</v>
      </c>
      <c r="H14401" s="2">
        <v>339</v>
      </c>
      <c r="I14401" s="2">
        <v>184</v>
      </c>
      <c r="J14401" s="2">
        <v>1200</v>
      </c>
      <c r="K14401" s="2">
        <v>1</v>
      </c>
      <c r="L14401" s="2">
        <v>327</v>
      </c>
    </row>
    <row r="14402" spans="1:12" x14ac:dyDescent="0.25">
      <c r="A14402" s="4" t="str">
        <f>HYPERLINK("http://www.rosaceae.org/Prunus/Prunus_persica/p.persica_gdr_reftransV1_0048249","p.persica_gdr_reftransV1_0048249")</f>
        <v>p.persica_gdr_reftransV1_0048249</v>
      </c>
      <c r="B14402" s="2">
        <v>810</v>
      </c>
      <c r="C14402" s="4" t="str">
        <f>HYPERLINK("http://www.uniprot.org/uniprot/M5XYU1","M5XYU1")</f>
        <v>M5XYU1</v>
      </c>
      <c r="D14402" s="2" t="s">
        <v>11724</v>
      </c>
      <c r="E14402" s="3">
        <v>1.07E-57</v>
      </c>
      <c r="F14402" s="2">
        <v>493</v>
      </c>
      <c r="G14402" s="2">
        <v>100</v>
      </c>
      <c r="H14402" s="2">
        <v>182</v>
      </c>
      <c r="I14402" s="2">
        <v>78</v>
      </c>
      <c r="J14402" s="2">
        <v>623</v>
      </c>
      <c r="K14402" s="2">
        <v>12</v>
      </c>
      <c r="L14402" s="2">
        <v>193</v>
      </c>
    </row>
    <row r="14403" spans="1:12" x14ac:dyDescent="0.25">
      <c r="A14403" s="4" t="str">
        <f>HYPERLINK("http://www.rosaceae.org/Prunus/Prunus_persica/p.persica_gdr_reftransV1_0048599","p.persica_gdr_reftransV1_0048599")</f>
        <v>p.persica_gdr_reftransV1_0048599</v>
      </c>
      <c r="B14403" s="2">
        <v>930</v>
      </c>
      <c r="C14403" s="4" t="str">
        <f>HYPERLINK("http://www.uniprot.org/uniprot/M5XQB0","M5XQB0")</f>
        <v>M5XQB0</v>
      </c>
      <c r="D14403" s="2" t="s">
        <v>11725</v>
      </c>
      <c r="E14403" s="3">
        <v>0</v>
      </c>
      <c r="F14403" s="2">
        <v>1522</v>
      </c>
      <c r="G14403" s="2">
        <v>99</v>
      </c>
      <c r="H14403" s="2">
        <v>291</v>
      </c>
      <c r="I14403" s="2">
        <v>54</v>
      </c>
      <c r="J14403" s="2">
        <v>926</v>
      </c>
      <c r="K14403" s="2">
        <v>49</v>
      </c>
      <c r="L14403" s="2">
        <v>337</v>
      </c>
    </row>
    <row r="14404" spans="1:12" x14ac:dyDescent="0.25">
      <c r="A14404" s="4" t="str">
        <f>HYPERLINK("http://www.rosaceae.org/Prunus/Prunus_persica/p.persica_gdr_reftransV1_0000300","p.persica_gdr_reftransV1_0000300")</f>
        <v>p.persica_gdr_reftransV1_0000300</v>
      </c>
      <c r="B14404" s="2">
        <v>1966</v>
      </c>
      <c r="C14404" s="4" t="str">
        <f>HYPERLINK("http://www.uniprot.org/uniprot/M5XB30","M5XB30")</f>
        <v>M5XB30</v>
      </c>
      <c r="D14404" s="2" t="s">
        <v>11726</v>
      </c>
      <c r="E14404" s="3">
        <v>0</v>
      </c>
      <c r="F14404" s="2">
        <v>2800</v>
      </c>
      <c r="G14404" s="2">
        <v>100</v>
      </c>
      <c r="H14404" s="2">
        <v>524</v>
      </c>
      <c r="I14404" s="2">
        <v>89</v>
      </c>
      <c r="J14404" s="2">
        <v>1660</v>
      </c>
      <c r="K14404" s="2">
        <v>21</v>
      </c>
      <c r="L14404" s="2">
        <v>544</v>
      </c>
    </row>
    <row r="14405" spans="1:12" x14ac:dyDescent="0.25">
      <c r="A14405" s="4" t="str">
        <f>HYPERLINK("http://www.rosaceae.org/Prunus/Prunus_persica/p.persica_gdr_reftransV1_0001000","p.persica_gdr_reftransV1_0001000")</f>
        <v>p.persica_gdr_reftransV1_0001000</v>
      </c>
      <c r="B14405" s="2">
        <v>3184</v>
      </c>
      <c r="C14405" s="4" t="str">
        <f>HYPERLINK("http://www.uniprot.org/uniprot/M5WYH8","M5WYH8")</f>
        <v>M5WYH8</v>
      </c>
      <c r="D14405" s="2" t="s">
        <v>5413</v>
      </c>
      <c r="E14405" s="3">
        <v>0</v>
      </c>
      <c r="F14405" s="2">
        <v>2761</v>
      </c>
      <c r="G14405" s="2">
        <v>98</v>
      </c>
      <c r="H14405" s="2">
        <v>623</v>
      </c>
      <c r="I14405" s="2">
        <v>1002</v>
      </c>
      <c r="J14405" s="2">
        <v>2870</v>
      </c>
      <c r="K14405" s="2">
        <v>317</v>
      </c>
      <c r="L14405" s="2">
        <v>932</v>
      </c>
    </row>
    <row r="14406" spans="1:12" x14ac:dyDescent="0.25">
      <c r="A14406" s="4" t="str">
        <f>HYPERLINK("http://www.rosaceae.org/Prunus/Prunus_persica/p.persica_gdr_reftransV1_0001350","p.persica_gdr_reftransV1_0001350")</f>
        <v>p.persica_gdr_reftransV1_0001350</v>
      </c>
      <c r="B14406" s="2">
        <v>2065</v>
      </c>
      <c r="C14406" s="4" t="str">
        <f>HYPERLINK("http://www.uniprot.org/uniprot/M5XC65","M5XC65")</f>
        <v>M5XC65</v>
      </c>
      <c r="D14406" s="2" t="s">
        <v>6178</v>
      </c>
      <c r="E14406" s="3">
        <v>0</v>
      </c>
      <c r="F14406" s="2">
        <v>2786</v>
      </c>
      <c r="G14406" s="2">
        <v>100</v>
      </c>
      <c r="H14406" s="2">
        <v>538</v>
      </c>
      <c r="I14406" s="2">
        <v>90</v>
      </c>
      <c r="J14406" s="2">
        <v>1703</v>
      </c>
      <c r="K14406" s="2">
        <v>1</v>
      </c>
      <c r="L14406" s="2">
        <v>538</v>
      </c>
    </row>
    <row r="14407" spans="1:12" x14ac:dyDescent="0.25">
      <c r="A14407" s="4" t="str">
        <f>HYPERLINK("http://www.rosaceae.org/Prunus/Prunus_persica/p.persica_gdr_reftransV1_0001700","p.persica_gdr_reftransV1_0001700")</f>
        <v>p.persica_gdr_reftransV1_0001700</v>
      </c>
      <c r="B14407" s="2">
        <v>561</v>
      </c>
      <c r="C14407" s="4" t="str">
        <f>HYPERLINK("http://www.uniprot.org/uniprot/M5WQU5","M5WQU5")</f>
        <v>M5WQU5</v>
      </c>
      <c r="D14407" s="2" t="s">
        <v>3</v>
      </c>
      <c r="E14407" s="3">
        <v>1.3499999999999999E-58</v>
      </c>
      <c r="F14407" s="2">
        <v>517</v>
      </c>
      <c r="G14407" s="2">
        <v>100</v>
      </c>
      <c r="H14407" s="2">
        <v>94</v>
      </c>
      <c r="I14407" s="2">
        <v>278</v>
      </c>
      <c r="J14407" s="2">
        <v>559</v>
      </c>
      <c r="K14407" s="2">
        <v>475</v>
      </c>
      <c r="L14407" s="2">
        <v>568</v>
      </c>
    </row>
    <row r="14408" spans="1:12" x14ac:dyDescent="0.25">
      <c r="A14408" s="4" t="str">
        <f>HYPERLINK("http://www.rosaceae.org/Prunus/Prunus_persica/p.persica_gdr_reftransV1_0002050","p.persica_gdr_reftransV1_0002050")</f>
        <v>p.persica_gdr_reftransV1_0002050</v>
      </c>
      <c r="B14408" s="2">
        <v>559</v>
      </c>
      <c r="C14408" s="4" t="str">
        <f>HYPERLINK("http://www.uniprot.org/uniprot/M5WN57","M5WN57")</f>
        <v>M5WN57</v>
      </c>
      <c r="D14408" s="2" t="s">
        <v>1334</v>
      </c>
      <c r="E14408" s="3">
        <v>7.9999999999999998E-113</v>
      </c>
      <c r="F14408" s="2">
        <v>910</v>
      </c>
      <c r="G14408" s="2">
        <v>100</v>
      </c>
      <c r="H14408" s="2">
        <v>171</v>
      </c>
      <c r="I14408" s="2">
        <v>3</v>
      </c>
      <c r="J14408" s="2">
        <v>515</v>
      </c>
      <c r="K14408" s="2">
        <v>646</v>
      </c>
      <c r="L14408" s="2">
        <v>816</v>
      </c>
    </row>
    <row r="14409" spans="1:12" x14ac:dyDescent="0.25">
      <c r="A14409" s="4" t="str">
        <f>HYPERLINK("http://www.rosaceae.org/Prunus/Prunus_persica/p.persica_gdr_reftransV1_0002400","p.persica_gdr_reftransV1_0002400")</f>
        <v>p.persica_gdr_reftransV1_0002400</v>
      </c>
      <c r="B14409" s="2">
        <v>2570</v>
      </c>
      <c r="C14409" s="4" t="str">
        <f>HYPERLINK("http://www.uniprot.org/uniprot/M5VIJ1","M5VIJ1")</f>
        <v>M5VIJ1</v>
      </c>
      <c r="D14409" s="2" t="s">
        <v>744</v>
      </c>
      <c r="E14409" s="3">
        <v>0</v>
      </c>
      <c r="F14409" s="2">
        <v>2065</v>
      </c>
      <c r="G14409" s="2">
        <v>85</v>
      </c>
      <c r="H14409" s="2">
        <v>478</v>
      </c>
      <c r="I14409" s="2">
        <v>2</v>
      </c>
      <c r="J14409" s="2">
        <v>1420</v>
      </c>
      <c r="K14409" s="2">
        <v>532</v>
      </c>
      <c r="L14409" s="2">
        <v>981</v>
      </c>
    </row>
    <row r="14410" spans="1:12" x14ac:dyDescent="0.25">
      <c r="A14410" s="4" t="str">
        <f>HYPERLINK("http://www.rosaceae.org/Prunus/Prunus_persica/p.persica_gdr_reftransV1_0003100","p.persica_gdr_reftransV1_0003100")</f>
        <v>p.persica_gdr_reftransV1_0003100</v>
      </c>
      <c r="B14410" s="2">
        <v>1957</v>
      </c>
      <c r="C14410" s="4" t="str">
        <f>HYPERLINK("http://www.uniprot.org/uniprot/M5WJY8","M5WJY8")</f>
        <v>M5WJY8</v>
      </c>
      <c r="D14410" s="2" t="s">
        <v>11727</v>
      </c>
      <c r="E14410" s="3">
        <v>0</v>
      </c>
      <c r="F14410" s="2">
        <v>2598</v>
      </c>
      <c r="G14410" s="2">
        <v>100</v>
      </c>
      <c r="H14410" s="2">
        <v>502</v>
      </c>
      <c r="I14410" s="2">
        <v>194</v>
      </c>
      <c r="J14410" s="2">
        <v>1699</v>
      </c>
      <c r="K14410" s="2">
        <v>1</v>
      </c>
      <c r="L14410" s="2">
        <v>502</v>
      </c>
    </row>
    <row r="14411" spans="1:12" x14ac:dyDescent="0.25">
      <c r="A14411" s="4" t="str">
        <f>HYPERLINK("http://www.rosaceae.org/Prunus/Prunus_persica/p.persica_gdr_reftransV1_0004150","p.persica_gdr_reftransV1_0004150")</f>
        <v>p.persica_gdr_reftransV1_0004150</v>
      </c>
      <c r="B14411" s="2">
        <v>584</v>
      </c>
      <c r="C14411" s="4" t="str">
        <f>HYPERLINK("http://www.uniprot.org/uniprot/A5AIJ8","A5AIJ8")</f>
        <v>A5AIJ8</v>
      </c>
      <c r="D14411" s="2" t="s">
        <v>11728</v>
      </c>
      <c r="E14411" s="3">
        <v>1.75E-43</v>
      </c>
      <c r="F14411" s="2">
        <v>420</v>
      </c>
      <c r="G14411" s="2">
        <v>60</v>
      </c>
      <c r="H14411" s="2">
        <v>136</v>
      </c>
      <c r="I14411" s="2">
        <v>1</v>
      </c>
      <c r="J14411" s="2">
        <v>402</v>
      </c>
      <c r="K14411" s="2">
        <v>776</v>
      </c>
      <c r="L14411" s="2">
        <v>908</v>
      </c>
    </row>
    <row r="14412" spans="1:12" x14ac:dyDescent="0.25">
      <c r="A14412" s="4" t="str">
        <f>HYPERLINK("http://www.rosaceae.org/Prunus/Prunus_persica/p.persica_gdr_reftransV1_0004500","p.persica_gdr_reftransV1_0004500")</f>
        <v>p.persica_gdr_reftransV1_0004500</v>
      </c>
      <c r="B14412" s="2">
        <v>1342</v>
      </c>
      <c r="C14412" s="4" t="str">
        <f>HYPERLINK("http://www.uniprot.org/uniprot/M5XD94","M5XD94")</f>
        <v>M5XD94</v>
      </c>
      <c r="D14412" s="2" t="s">
        <v>11729</v>
      </c>
      <c r="E14412" s="3">
        <v>0</v>
      </c>
      <c r="F14412" s="2">
        <v>1814</v>
      </c>
      <c r="G14412" s="2">
        <v>100</v>
      </c>
      <c r="H14412" s="2">
        <v>342</v>
      </c>
      <c r="I14412" s="2">
        <v>103</v>
      </c>
      <c r="J14412" s="2">
        <v>1128</v>
      </c>
      <c r="K14412" s="2">
        <v>69</v>
      </c>
      <c r="L14412" s="2">
        <v>410</v>
      </c>
    </row>
    <row r="14413" spans="1:12" x14ac:dyDescent="0.25">
      <c r="A14413" s="4" t="str">
        <f>HYPERLINK("http://www.rosaceae.org/Prunus/Prunus_persica/p.persica_gdr_reftransV1_0004850","p.persica_gdr_reftransV1_0004850")</f>
        <v>p.persica_gdr_reftransV1_0004850</v>
      </c>
      <c r="B14413" s="2">
        <v>625</v>
      </c>
      <c r="C14413" s="4" t="str">
        <f>HYPERLINK("http://www.uniprot.org/uniprot/M5XP96","M5XP96")</f>
        <v>M5XP96</v>
      </c>
      <c r="D14413" s="2" t="s">
        <v>8670</v>
      </c>
      <c r="E14413" s="3">
        <v>4.8299999999999999E-79</v>
      </c>
      <c r="F14413" s="2">
        <v>670</v>
      </c>
      <c r="G14413" s="2">
        <v>100</v>
      </c>
      <c r="H14413" s="2">
        <v>125</v>
      </c>
      <c r="I14413" s="2">
        <v>249</v>
      </c>
      <c r="J14413" s="2">
        <v>623</v>
      </c>
      <c r="K14413" s="2">
        <v>653</v>
      </c>
      <c r="L14413" s="2">
        <v>777</v>
      </c>
    </row>
    <row r="14414" spans="1:12" x14ac:dyDescent="0.25">
      <c r="A14414" s="4" t="str">
        <f>HYPERLINK("http://www.rosaceae.org/Prunus/Prunus_persica/p.persica_gdr_reftransV1_0005200","p.persica_gdr_reftransV1_0005200")</f>
        <v>p.persica_gdr_reftransV1_0005200</v>
      </c>
      <c r="B14414" s="2">
        <v>696</v>
      </c>
      <c r="C14414" s="4" t="str">
        <f>HYPERLINK("http://www.uniprot.org/uniprot/M5WRH6","M5WRH6")</f>
        <v>M5WRH6</v>
      </c>
      <c r="D14414" s="2" t="s">
        <v>7748</v>
      </c>
      <c r="E14414" s="3">
        <v>1.4E-48</v>
      </c>
      <c r="F14414" s="2">
        <v>425</v>
      </c>
      <c r="G14414" s="2">
        <v>100</v>
      </c>
      <c r="H14414" s="2">
        <v>101</v>
      </c>
      <c r="I14414" s="2">
        <v>338</v>
      </c>
      <c r="J14414" s="2">
        <v>640</v>
      </c>
      <c r="K14414" s="2">
        <v>60</v>
      </c>
      <c r="L14414" s="2">
        <v>160</v>
      </c>
    </row>
    <row r="14415" spans="1:12" x14ac:dyDescent="0.25">
      <c r="A14415" s="4" t="str">
        <f>HYPERLINK("http://www.rosaceae.org/Prunus/Prunus_persica/p.persica_gdr_reftransV1_0005550","p.persica_gdr_reftransV1_0005550")</f>
        <v>p.persica_gdr_reftransV1_0005550</v>
      </c>
      <c r="B14415" s="2">
        <v>556</v>
      </c>
      <c r="C14415" s="4" t="str">
        <f>HYPERLINK("http://www.uniprot.org/uniprot/M5W8D1","M5W8D1")</f>
        <v>M5W8D1</v>
      </c>
      <c r="D14415" s="2" t="s">
        <v>11730</v>
      </c>
      <c r="E14415" s="3">
        <v>1.8699999999999999E-8</v>
      </c>
      <c r="F14415" s="2">
        <v>148</v>
      </c>
      <c r="G14415" s="2">
        <v>100</v>
      </c>
      <c r="H14415" s="2">
        <v>27</v>
      </c>
      <c r="I14415" s="2">
        <v>112</v>
      </c>
      <c r="J14415" s="2">
        <v>192</v>
      </c>
      <c r="K14415" s="2">
        <v>1</v>
      </c>
      <c r="L14415" s="2">
        <v>27</v>
      </c>
    </row>
    <row r="14416" spans="1:12" x14ac:dyDescent="0.25">
      <c r="A14416" s="4" t="str">
        <f>HYPERLINK("http://www.rosaceae.org/Prunus/Prunus_persica/p.persica_gdr_reftransV1_0005900","p.persica_gdr_reftransV1_0005900")</f>
        <v>p.persica_gdr_reftransV1_0005900</v>
      </c>
      <c r="B14416" s="2">
        <v>691</v>
      </c>
      <c r="C14416" s="4" t="str">
        <f>HYPERLINK("http://www.uniprot.org/uniprot/M5Y9N4","M5Y9N4")</f>
        <v>M5Y9N4</v>
      </c>
      <c r="D14416" s="2" t="s">
        <v>11731</v>
      </c>
      <c r="E14416" s="3">
        <v>2.8499999999999999E-124</v>
      </c>
      <c r="F14416" s="2">
        <v>937</v>
      </c>
      <c r="G14416" s="2">
        <v>100</v>
      </c>
      <c r="H14416" s="2">
        <v>216</v>
      </c>
      <c r="I14416" s="2">
        <v>44</v>
      </c>
      <c r="J14416" s="2">
        <v>691</v>
      </c>
      <c r="K14416" s="2">
        <v>1</v>
      </c>
      <c r="L14416" s="2">
        <v>215</v>
      </c>
    </row>
    <row r="14417" spans="1:12" x14ac:dyDescent="0.25">
      <c r="A14417" s="4" t="str">
        <f>HYPERLINK("http://www.rosaceae.org/Prunus/Prunus_persica/p.persica_gdr_reftransV1_0006250","p.persica_gdr_reftransV1_0006250")</f>
        <v>p.persica_gdr_reftransV1_0006250</v>
      </c>
      <c r="B14417" s="2">
        <v>1092</v>
      </c>
      <c r="C14417" s="4" t="str">
        <f>HYPERLINK("http://www.uniprot.org/uniprot/M5WXX2","M5WXX2")</f>
        <v>M5WXX2</v>
      </c>
      <c r="D14417" s="2" t="s">
        <v>6784</v>
      </c>
      <c r="E14417" s="3">
        <v>0</v>
      </c>
      <c r="F14417" s="2">
        <v>1855</v>
      </c>
      <c r="G14417" s="2">
        <v>100</v>
      </c>
      <c r="H14417" s="2">
        <v>340</v>
      </c>
      <c r="I14417" s="2">
        <v>1</v>
      </c>
      <c r="J14417" s="2">
        <v>1020</v>
      </c>
      <c r="K14417" s="2">
        <v>17</v>
      </c>
      <c r="L14417" s="2">
        <v>356</v>
      </c>
    </row>
    <row r="14418" spans="1:12" x14ac:dyDescent="0.25">
      <c r="A14418" s="4" t="str">
        <f>HYPERLINK("http://www.rosaceae.org/Prunus/Prunus_persica/p.persica_gdr_reftransV1_0006600","p.persica_gdr_reftransV1_0006600")</f>
        <v>p.persica_gdr_reftransV1_0006600</v>
      </c>
      <c r="B14418" s="2">
        <v>2279</v>
      </c>
      <c r="C14418" s="4" t="str">
        <f>HYPERLINK("http://www.uniprot.org/uniprot/M5XCT3","M5XCT3")</f>
        <v>M5XCT3</v>
      </c>
      <c r="D14418" s="2" t="s">
        <v>7203</v>
      </c>
      <c r="E14418" s="3">
        <v>1.86E-163</v>
      </c>
      <c r="F14418" s="2">
        <v>1260</v>
      </c>
      <c r="G14418" s="2">
        <v>97</v>
      </c>
      <c r="H14418" s="2">
        <v>246</v>
      </c>
      <c r="I14418" s="2">
        <v>15</v>
      </c>
      <c r="J14418" s="2">
        <v>752</v>
      </c>
      <c r="K14418" s="2">
        <v>1</v>
      </c>
      <c r="L14418" s="2">
        <v>246</v>
      </c>
    </row>
    <row r="14419" spans="1:12" x14ac:dyDescent="0.25">
      <c r="A14419" s="4" t="str">
        <f>HYPERLINK("http://www.rosaceae.org/Prunus/Prunus_persica/p.persica_gdr_reftransV1_0006950","p.persica_gdr_reftransV1_0006950")</f>
        <v>p.persica_gdr_reftransV1_0006950</v>
      </c>
      <c r="B14419" s="2">
        <v>483</v>
      </c>
      <c r="C14419" s="4" t="str">
        <f>HYPERLINK("http://www.uniprot.org/uniprot/M5Y1I3","M5Y1I3")</f>
        <v>M5Y1I3</v>
      </c>
      <c r="D14419" s="2" t="s">
        <v>11732</v>
      </c>
      <c r="E14419" s="3">
        <v>4.9900000000000004E-68</v>
      </c>
      <c r="F14419" s="2">
        <v>574</v>
      </c>
      <c r="G14419" s="2">
        <v>100</v>
      </c>
      <c r="H14419" s="2">
        <v>105</v>
      </c>
      <c r="I14419" s="2">
        <v>168</v>
      </c>
      <c r="J14419" s="2">
        <v>482</v>
      </c>
      <c r="K14419" s="2">
        <v>1</v>
      </c>
      <c r="L14419" s="2">
        <v>105</v>
      </c>
    </row>
    <row r="14420" spans="1:12" x14ac:dyDescent="0.25">
      <c r="A14420" s="4" t="str">
        <f>HYPERLINK("http://www.rosaceae.org/Prunus/Prunus_persica/p.persica_gdr_reftransV1_0007300","p.persica_gdr_reftransV1_0007300")</f>
        <v>p.persica_gdr_reftransV1_0007300</v>
      </c>
      <c r="B14420" s="2">
        <v>2264</v>
      </c>
      <c r="C14420" s="4" t="str">
        <f>HYPERLINK("http://www.uniprot.org/uniprot/M5WMQ7","M5WMQ7")</f>
        <v>M5WMQ7</v>
      </c>
      <c r="D14420" s="2" t="s">
        <v>11733</v>
      </c>
      <c r="E14420" s="3">
        <v>0</v>
      </c>
      <c r="F14420" s="2">
        <v>2524</v>
      </c>
      <c r="G14420" s="2">
        <v>100</v>
      </c>
      <c r="H14420" s="2">
        <v>469</v>
      </c>
      <c r="I14420" s="2">
        <v>234</v>
      </c>
      <c r="J14420" s="2">
        <v>1640</v>
      </c>
      <c r="K14420" s="2">
        <v>1</v>
      </c>
      <c r="L14420" s="2">
        <v>469</v>
      </c>
    </row>
    <row r="14421" spans="1:12" x14ac:dyDescent="0.25">
      <c r="A14421" s="4" t="str">
        <f>HYPERLINK("http://www.rosaceae.org/Prunus/Prunus_persica/p.persica_gdr_reftransV1_0008350","p.persica_gdr_reftransV1_0008350")</f>
        <v>p.persica_gdr_reftransV1_0008350</v>
      </c>
      <c r="B14421" s="2">
        <v>1143</v>
      </c>
      <c r="C14421" s="4" t="str">
        <f>HYPERLINK("http://www.uniprot.org/uniprot/M5WTE6","M5WTE6")</f>
        <v>M5WTE6</v>
      </c>
      <c r="D14421" s="2" t="s">
        <v>11734</v>
      </c>
      <c r="E14421" s="3">
        <v>4.5600000000000001E-130</v>
      </c>
      <c r="F14421" s="2">
        <v>988</v>
      </c>
      <c r="G14421" s="2">
        <v>100</v>
      </c>
      <c r="H14421" s="2">
        <v>234</v>
      </c>
      <c r="I14421" s="2">
        <v>236</v>
      </c>
      <c r="J14421" s="2">
        <v>937</v>
      </c>
      <c r="K14421" s="2">
        <v>1</v>
      </c>
      <c r="L14421" s="2">
        <v>234</v>
      </c>
    </row>
    <row r="14422" spans="1:12" x14ac:dyDescent="0.25">
      <c r="A14422" s="4" t="str">
        <f>HYPERLINK("http://www.rosaceae.org/Prunus/Prunus_persica/p.persica_gdr_reftransV1_0009050","p.persica_gdr_reftransV1_0009050")</f>
        <v>p.persica_gdr_reftransV1_0009050</v>
      </c>
      <c r="B14422" s="2">
        <v>723</v>
      </c>
      <c r="C14422" s="4" t="str">
        <f>HYPERLINK("http://www.uniprot.org/uniprot/M5Y9M9","M5Y9M9")</f>
        <v>M5Y9M9</v>
      </c>
      <c r="D14422" s="2" t="s">
        <v>6755</v>
      </c>
      <c r="E14422" s="3">
        <v>9.2500000000000009E-19</v>
      </c>
      <c r="F14422" s="2">
        <v>236</v>
      </c>
      <c r="G14422" s="2">
        <v>72</v>
      </c>
      <c r="H14422" s="2">
        <v>75</v>
      </c>
      <c r="I14422" s="2">
        <v>207</v>
      </c>
      <c r="J14422" s="2">
        <v>419</v>
      </c>
      <c r="K14422" s="2">
        <v>1</v>
      </c>
      <c r="L14422" s="2">
        <v>75</v>
      </c>
    </row>
    <row r="14423" spans="1:12" x14ac:dyDescent="0.25">
      <c r="A14423" s="4" t="str">
        <f>HYPERLINK("http://www.rosaceae.org/Prunus/Prunus_persica/p.persica_gdr_reftransV1_0009400","p.persica_gdr_reftransV1_0009400")</f>
        <v>p.persica_gdr_reftransV1_0009400</v>
      </c>
      <c r="B14423" s="2">
        <v>1092</v>
      </c>
      <c r="C14423" s="4" t="str">
        <f>HYPERLINK("http://www.uniprot.org/uniprot/S1SIR3","S1SIR3")</f>
        <v>S1SIR3</v>
      </c>
      <c r="D14423" s="2" t="s">
        <v>11735</v>
      </c>
      <c r="E14423" s="3">
        <v>3.1300000000000001E-122</v>
      </c>
      <c r="F14423" s="2">
        <v>978</v>
      </c>
      <c r="G14423" s="2">
        <v>56</v>
      </c>
      <c r="H14423" s="2">
        <v>355</v>
      </c>
      <c r="I14423" s="2">
        <v>7</v>
      </c>
      <c r="J14423" s="2">
        <v>1062</v>
      </c>
      <c r="K14423" s="2">
        <v>33</v>
      </c>
      <c r="L14423" s="2">
        <v>383</v>
      </c>
    </row>
    <row r="14424" spans="1:12" x14ac:dyDescent="0.25">
      <c r="A14424" s="4" t="str">
        <f>HYPERLINK("http://www.rosaceae.org/Prunus/Prunus_persica/p.persica_gdr_reftransV1_0009750","p.persica_gdr_reftransV1_0009750")</f>
        <v>p.persica_gdr_reftransV1_0009750</v>
      </c>
      <c r="B14424" s="2">
        <v>723</v>
      </c>
      <c r="C14424" s="4" t="str">
        <f>HYPERLINK("http://www.uniprot.org/uniprot/M5X7P3","M5X7P3")</f>
        <v>M5X7P3</v>
      </c>
      <c r="D14424" s="2" t="s">
        <v>8918</v>
      </c>
      <c r="E14424" s="3">
        <v>1.3699999999999999E-61</v>
      </c>
      <c r="F14424" s="2">
        <v>539</v>
      </c>
      <c r="G14424" s="2">
        <v>99</v>
      </c>
      <c r="H14424" s="2">
        <v>105</v>
      </c>
      <c r="I14424" s="2">
        <v>2</v>
      </c>
      <c r="J14424" s="2">
        <v>316</v>
      </c>
      <c r="K14424" s="2">
        <v>386</v>
      </c>
      <c r="L14424" s="2">
        <v>490</v>
      </c>
    </row>
    <row r="14425" spans="1:12" x14ac:dyDescent="0.25">
      <c r="A14425" s="4" t="str">
        <f>HYPERLINK("http://www.rosaceae.org/Prunus/Prunus_persica/p.persica_gdr_reftransV1_0010100","p.persica_gdr_reftransV1_0010100")</f>
        <v>p.persica_gdr_reftransV1_0010100</v>
      </c>
      <c r="B14425" s="2">
        <v>2013</v>
      </c>
      <c r="C14425" s="4" t="str">
        <f>HYPERLINK("http://www.uniprot.org/uniprot/M5W8M2","M5W8M2")</f>
        <v>M5W8M2</v>
      </c>
      <c r="D14425" s="2" t="s">
        <v>11736</v>
      </c>
      <c r="E14425" s="3">
        <v>0</v>
      </c>
      <c r="F14425" s="2">
        <v>1788</v>
      </c>
      <c r="G14425" s="2">
        <v>97</v>
      </c>
      <c r="H14425" s="2">
        <v>453</v>
      </c>
      <c r="I14425" s="2">
        <v>495</v>
      </c>
      <c r="J14425" s="2">
        <v>1853</v>
      </c>
      <c r="K14425" s="2">
        <v>1</v>
      </c>
      <c r="L14425" s="2">
        <v>453</v>
      </c>
    </row>
    <row r="14426" spans="1:12" x14ac:dyDescent="0.25">
      <c r="A14426" s="4" t="str">
        <f>HYPERLINK("http://www.rosaceae.org/Prunus/Prunus_persica/p.persica_gdr_reftransV1_0010450","p.persica_gdr_reftransV1_0010450")</f>
        <v>p.persica_gdr_reftransV1_0010450</v>
      </c>
      <c r="B14426" s="2">
        <v>3028</v>
      </c>
      <c r="C14426" s="4" t="str">
        <f>HYPERLINK("http://www.uniprot.org/uniprot/M5W8G2","M5W8G2")</f>
        <v>M5W8G2</v>
      </c>
      <c r="D14426" s="2" t="s">
        <v>11737</v>
      </c>
      <c r="E14426" s="3">
        <v>1.1E-173</v>
      </c>
      <c r="F14426" s="2">
        <v>1356</v>
      </c>
      <c r="G14426" s="2">
        <v>100</v>
      </c>
      <c r="H14426" s="2">
        <v>257</v>
      </c>
      <c r="I14426" s="2">
        <v>380</v>
      </c>
      <c r="J14426" s="2">
        <v>1150</v>
      </c>
      <c r="K14426" s="2">
        <v>192</v>
      </c>
      <c r="L14426" s="2">
        <v>448</v>
      </c>
    </row>
    <row r="14427" spans="1:12" x14ac:dyDescent="0.25">
      <c r="A14427" s="4" t="str">
        <f>HYPERLINK("http://www.rosaceae.org/Prunus/Prunus_persica/p.persica_gdr_reftransV1_0010800","p.persica_gdr_reftransV1_0010800")</f>
        <v>p.persica_gdr_reftransV1_0010800</v>
      </c>
      <c r="B14427" s="2">
        <v>2309</v>
      </c>
      <c r="C14427" s="4" t="str">
        <f>HYPERLINK("http://www.uniprot.org/uniprot/M5VS62","M5VS62")</f>
        <v>M5VS62</v>
      </c>
      <c r="D14427" s="2" t="s">
        <v>11738</v>
      </c>
      <c r="E14427" s="3">
        <v>8.2999999999999997E-75</v>
      </c>
      <c r="F14427" s="2">
        <v>641</v>
      </c>
      <c r="G14427" s="2">
        <v>100</v>
      </c>
      <c r="H14427" s="2">
        <v>170</v>
      </c>
      <c r="I14427" s="2">
        <v>1048</v>
      </c>
      <c r="J14427" s="2">
        <v>1557</v>
      </c>
      <c r="K14427" s="2">
        <v>1</v>
      </c>
      <c r="L14427" s="2">
        <v>170</v>
      </c>
    </row>
    <row r="14428" spans="1:12" x14ac:dyDescent="0.25">
      <c r="A14428" s="4" t="str">
        <f>HYPERLINK("http://www.rosaceae.org/Prunus/Prunus_persica/p.persica_gdr_reftransV1_0011150","p.persica_gdr_reftransV1_0011150")</f>
        <v>p.persica_gdr_reftransV1_0011150</v>
      </c>
      <c r="B14428" s="2">
        <v>2532</v>
      </c>
      <c r="C14428" s="4" t="str">
        <f>HYPERLINK("http://www.uniprot.org/uniprot/M5X9F5","M5X9F5")</f>
        <v>M5X9F5</v>
      </c>
      <c r="D14428" s="2" t="s">
        <v>5022</v>
      </c>
      <c r="E14428" s="3">
        <v>0</v>
      </c>
      <c r="F14428" s="2">
        <v>1858</v>
      </c>
      <c r="G14428" s="2">
        <v>100</v>
      </c>
      <c r="H14428" s="2">
        <v>365</v>
      </c>
      <c r="I14428" s="2">
        <v>212</v>
      </c>
      <c r="J14428" s="2">
        <v>1306</v>
      </c>
      <c r="K14428" s="2">
        <v>550</v>
      </c>
      <c r="L14428" s="2">
        <v>914</v>
      </c>
    </row>
    <row r="14429" spans="1:12" x14ac:dyDescent="0.25">
      <c r="A14429" s="4" t="str">
        <f>HYPERLINK("http://www.rosaceae.org/Prunus/Prunus_persica/p.persica_gdr_reftransV1_0011500","p.persica_gdr_reftransV1_0011500")</f>
        <v>p.persica_gdr_reftransV1_0011500</v>
      </c>
      <c r="B14429" s="2">
        <v>3906</v>
      </c>
      <c r="C14429" s="4" t="str">
        <f>HYPERLINK("http://www.uniprot.org/uniprot/M5WR67","M5WR67")</f>
        <v>M5WR67</v>
      </c>
      <c r="D14429" s="2" t="s">
        <v>11739</v>
      </c>
      <c r="E14429" s="3">
        <v>0</v>
      </c>
      <c r="F14429" s="2">
        <v>2836</v>
      </c>
      <c r="G14429" s="2">
        <v>100</v>
      </c>
      <c r="H14429" s="2">
        <v>571</v>
      </c>
      <c r="I14429" s="2">
        <v>2023</v>
      </c>
      <c r="J14429" s="2">
        <v>3735</v>
      </c>
      <c r="K14429" s="2">
        <v>1</v>
      </c>
      <c r="L14429" s="2">
        <v>571</v>
      </c>
    </row>
    <row r="14430" spans="1:12" x14ac:dyDescent="0.25">
      <c r="A14430" s="4" t="str">
        <f>HYPERLINK("http://www.rosaceae.org/Prunus/Prunus_persica/p.persica_gdr_reftransV1_0011850","p.persica_gdr_reftransV1_0011850")</f>
        <v>p.persica_gdr_reftransV1_0011850</v>
      </c>
      <c r="B14430" s="2">
        <v>1817</v>
      </c>
      <c r="C14430" s="4" t="str">
        <f>HYPERLINK("http://www.uniprot.org/uniprot/M5X236","M5X236")</f>
        <v>M5X236</v>
      </c>
      <c r="D14430" s="2" t="s">
        <v>11740</v>
      </c>
      <c r="E14430" s="3">
        <v>7.8099999999999998E-173</v>
      </c>
      <c r="F14430" s="2">
        <v>1294</v>
      </c>
      <c r="G14430" s="2">
        <v>100</v>
      </c>
      <c r="H14430" s="2">
        <v>242</v>
      </c>
      <c r="I14430" s="2">
        <v>361</v>
      </c>
      <c r="J14430" s="2">
        <v>1086</v>
      </c>
      <c r="K14430" s="2">
        <v>1</v>
      </c>
      <c r="L14430" s="2">
        <v>242</v>
      </c>
    </row>
    <row r="14431" spans="1:12" x14ac:dyDescent="0.25">
      <c r="A14431" s="4" t="str">
        <f>HYPERLINK("http://www.rosaceae.org/Prunus/Prunus_persica/p.persica_gdr_reftransV1_0013600","p.persica_gdr_reftransV1_0013600")</f>
        <v>p.persica_gdr_reftransV1_0013600</v>
      </c>
      <c r="B14431" s="2">
        <v>1328</v>
      </c>
      <c r="C14431" s="4" t="str">
        <f>HYPERLINK("http://www.uniprot.org/uniprot/D3IWE7","D3IWE7")</f>
        <v>D3IWE7</v>
      </c>
      <c r="D14431" s="2" t="s">
        <v>11741</v>
      </c>
      <c r="E14431" s="3">
        <v>0</v>
      </c>
      <c r="F14431" s="2">
        <v>1603</v>
      </c>
      <c r="G14431" s="2">
        <v>100</v>
      </c>
      <c r="H14431" s="2">
        <v>334</v>
      </c>
      <c r="I14431" s="2">
        <v>221</v>
      </c>
      <c r="J14431" s="2">
        <v>1222</v>
      </c>
      <c r="K14431" s="2">
        <v>1</v>
      </c>
      <c r="L14431" s="2">
        <v>334</v>
      </c>
    </row>
    <row r="14432" spans="1:12" x14ac:dyDescent="0.25">
      <c r="A14432" s="4" t="str">
        <f>HYPERLINK("http://www.rosaceae.org/Prunus/Prunus_persica/p.persica_gdr_reftransV1_0013950","p.persica_gdr_reftransV1_0013950")</f>
        <v>p.persica_gdr_reftransV1_0013950</v>
      </c>
      <c r="B14432" s="2">
        <v>1218</v>
      </c>
      <c r="C14432" s="4" t="str">
        <f>HYPERLINK("http://www.uniprot.org/uniprot/M5VRN1","M5VRN1")</f>
        <v>M5VRN1</v>
      </c>
      <c r="D14432" s="2" t="s">
        <v>11742</v>
      </c>
      <c r="E14432" s="3">
        <v>1.38E-158</v>
      </c>
      <c r="F14432" s="2">
        <v>1181</v>
      </c>
      <c r="G14432" s="2">
        <v>100</v>
      </c>
      <c r="H14432" s="2">
        <v>258</v>
      </c>
      <c r="I14432" s="2">
        <v>348</v>
      </c>
      <c r="J14432" s="2">
        <v>1121</v>
      </c>
      <c r="K14432" s="2">
        <v>1</v>
      </c>
      <c r="L14432" s="2">
        <v>258</v>
      </c>
    </row>
    <row r="14433" spans="1:12" x14ac:dyDescent="0.25">
      <c r="A14433" s="4" t="str">
        <f>HYPERLINK("http://www.rosaceae.org/Prunus/Prunus_persica/p.persica_gdr_reftransV1_0014300","p.persica_gdr_reftransV1_0014300")</f>
        <v>p.persica_gdr_reftransV1_0014300</v>
      </c>
      <c r="B14433" s="2">
        <v>1695</v>
      </c>
      <c r="C14433" s="4" t="str">
        <f>HYPERLINK("http://www.uniprot.org/uniprot/M5VQI9","M5VQI9")</f>
        <v>M5VQI9</v>
      </c>
      <c r="D14433" s="2" t="s">
        <v>11201</v>
      </c>
      <c r="E14433" s="3">
        <v>5.4900000000000003E-71</v>
      </c>
      <c r="F14433" s="2">
        <v>615</v>
      </c>
      <c r="G14433" s="2">
        <v>100</v>
      </c>
      <c r="H14433" s="2">
        <v>123</v>
      </c>
      <c r="I14433" s="2">
        <v>1087</v>
      </c>
      <c r="J14433" s="2">
        <v>1455</v>
      </c>
      <c r="K14433" s="2">
        <v>117</v>
      </c>
      <c r="L14433" s="2">
        <v>239</v>
      </c>
    </row>
    <row r="14434" spans="1:12" x14ac:dyDescent="0.25">
      <c r="A14434" s="4" t="str">
        <f>HYPERLINK("http://www.rosaceae.org/Prunus/Prunus_persica/p.persica_gdr_reftransV1_0015350","p.persica_gdr_reftransV1_0015350")</f>
        <v>p.persica_gdr_reftransV1_0015350</v>
      </c>
      <c r="B14434" s="2">
        <v>1833</v>
      </c>
      <c r="C14434" s="4" t="str">
        <f>HYPERLINK("http://www.uniprot.org/uniprot/I1JE99","I1JE99")</f>
        <v>I1JE99</v>
      </c>
      <c r="D14434" s="2" t="s">
        <v>575</v>
      </c>
      <c r="E14434" s="3">
        <v>7.9800000000000006E-95</v>
      </c>
      <c r="F14434" s="2">
        <v>774</v>
      </c>
      <c r="G14434" s="2">
        <v>66</v>
      </c>
      <c r="H14434" s="2">
        <v>209</v>
      </c>
      <c r="I14434" s="2">
        <v>512</v>
      </c>
      <c r="J14434" s="2">
        <v>1138</v>
      </c>
      <c r="K14434" s="2">
        <v>13</v>
      </c>
      <c r="L14434" s="2">
        <v>221</v>
      </c>
    </row>
    <row r="14435" spans="1:12" x14ac:dyDescent="0.25">
      <c r="A14435" s="4" t="str">
        <f>HYPERLINK("http://www.rosaceae.org/Prunus/Prunus_persica/p.persica_gdr_reftransV1_0016400","p.persica_gdr_reftransV1_0016400")</f>
        <v>p.persica_gdr_reftransV1_0016400</v>
      </c>
      <c r="B14435" s="2">
        <v>1818</v>
      </c>
      <c r="C14435" s="4" t="str">
        <f>HYPERLINK("http://www.uniprot.org/uniprot/W9S7D5","W9S7D5")</f>
        <v>W9S7D5</v>
      </c>
      <c r="D14435" s="2" t="s">
        <v>11743</v>
      </c>
      <c r="E14435" s="3">
        <v>0</v>
      </c>
      <c r="F14435" s="2">
        <v>1429</v>
      </c>
      <c r="G14435" s="2">
        <v>73</v>
      </c>
      <c r="H14435" s="2">
        <v>443</v>
      </c>
      <c r="I14435" s="2">
        <v>206</v>
      </c>
      <c r="J14435" s="2">
        <v>1513</v>
      </c>
      <c r="K14435" s="2">
        <v>1</v>
      </c>
      <c r="L14435" s="2">
        <v>440</v>
      </c>
    </row>
    <row r="14436" spans="1:12" x14ac:dyDescent="0.25">
      <c r="A14436" s="4" t="str">
        <f>HYPERLINK("http://www.rosaceae.org/Prunus/Prunus_persica/p.persica_gdr_reftransV1_0017450","p.persica_gdr_reftransV1_0017450")</f>
        <v>p.persica_gdr_reftransV1_0017450</v>
      </c>
      <c r="B14436" s="2">
        <v>3119</v>
      </c>
      <c r="C14436" s="4" t="str">
        <f>HYPERLINK("http://www.uniprot.org/uniprot/A0A059ATU5","A0A059ATU5")</f>
        <v>A0A059ATU5</v>
      </c>
      <c r="D14436" s="2" t="s">
        <v>11744</v>
      </c>
      <c r="E14436" s="3">
        <v>1.59E-139</v>
      </c>
      <c r="F14436" s="2">
        <v>1114</v>
      </c>
      <c r="G14436" s="2">
        <v>81</v>
      </c>
      <c r="H14436" s="2">
        <v>270</v>
      </c>
      <c r="I14436" s="2">
        <v>1944</v>
      </c>
      <c r="J14436" s="2">
        <v>2753</v>
      </c>
      <c r="K14436" s="2">
        <v>38</v>
      </c>
      <c r="L14436" s="2">
        <v>299</v>
      </c>
    </row>
    <row r="14437" spans="1:12" x14ac:dyDescent="0.25">
      <c r="A14437" s="4" t="str">
        <f>HYPERLINK("http://www.rosaceae.org/Prunus/Prunus_persica/p.persica_gdr_reftransV1_0017800","p.persica_gdr_reftransV1_0017800")</f>
        <v>p.persica_gdr_reftransV1_0017800</v>
      </c>
      <c r="B14437" s="2">
        <v>2665</v>
      </c>
      <c r="C14437" s="4" t="str">
        <f>HYPERLINK("http://www.uniprot.org/uniprot/M5W3S3","M5W3S3")</f>
        <v>M5W3S3</v>
      </c>
      <c r="D14437" s="2" t="s">
        <v>11745</v>
      </c>
      <c r="E14437" s="3">
        <v>0</v>
      </c>
      <c r="F14437" s="2">
        <v>3101</v>
      </c>
      <c r="G14437" s="2">
        <v>100</v>
      </c>
      <c r="H14437" s="2">
        <v>717</v>
      </c>
      <c r="I14437" s="2">
        <v>258</v>
      </c>
      <c r="J14437" s="2">
        <v>2408</v>
      </c>
      <c r="K14437" s="2">
        <v>1</v>
      </c>
      <c r="L14437" s="2">
        <v>716</v>
      </c>
    </row>
    <row r="14438" spans="1:12" x14ac:dyDescent="0.25">
      <c r="A14438" s="4" t="str">
        <f>HYPERLINK("http://www.rosaceae.org/Prunus/Prunus_persica/p.persica_gdr_reftransV1_0018500","p.persica_gdr_reftransV1_0018500")</f>
        <v>p.persica_gdr_reftransV1_0018500</v>
      </c>
      <c r="B14438" s="2">
        <v>5348</v>
      </c>
      <c r="C14438" s="4" t="str">
        <f>HYPERLINK("http://www.uniprot.org/uniprot/M5W1Z5","M5W1Z5")</f>
        <v>M5W1Z5</v>
      </c>
      <c r="D14438" s="2" t="s">
        <v>2141</v>
      </c>
      <c r="E14438" s="3">
        <v>0</v>
      </c>
      <c r="F14438" s="2">
        <v>2400</v>
      </c>
      <c r="G14438" s="2">
        <v>49</v>
      </c>
      <c r="H14438" s="2">
        <v>1050</v>
      </c>
      <c r="I14438" s="2">
        <v>1953</v>
      </c>
      <c r="J14438" s="2">
        <v>5090</v>
      </c>
      <c r="K14438" s="2">
        <v>5</v>
      </c>
      <c r="L14438" s="2">
        <v>930</v>
      </c>
    </row>
    <row r="14439" spans="1:12" x14ac:dyDescent="0.25">
      <c r="A14439" s="4" t="str">
        <f>HYPERLINK("http://www.rosaceae.org/Prunus/Prunus_persica/p.persica_gdr_reftransV1_0019200","p.persica_gdr_reftransV1_0019200")</f>
        <v>p.persica_gdr_reftransV1_0019200</v>
      </c>
      <c r="B14439" s="2">
        <v>1248</v>
      </c>
      <c r="C14439" s="4" t="str">
        <f>HYPERLINK("http://www.uniprot.org/uniprot/M5VQH4","M5VQH4")</f>
        <v>M5VQH4</v>
      </c>
      <c r="D14439" s="2" t="s">
        <v>8718</v>
      </c>
      <c r="E14439" s="3">
        <v>0</v>
      </c>
      <c r="F14439" s="2">
        <v>1809</v>
      </c>
      <c r="G14439" s="2">
        <v>90</v>
      </c>
      <c r="H14439" s="2">
        <v>378</v>
      </c>
      <c r="I14439" s="2">
        <v>115</v>
      </c>
      <c r="J14439" s="2">
        <v>1248</v>
      </c>
      <c r="K14439" s="2">
        <v>97</v>
      </c>
      <c r="L14439" s="2">
        <v>474</v>
      </c>
    </row>
    <row r="14440" spans="1:12" x14ac:dyDescent="0.25">
      <c r="A14440" s="4" t="str">
        <f>HYPERLINK("http://www.rosaceae.org/Prunus/Prunus_persica/p.persica_gdr_reftransV1_0019900","p.persica_gdr_reftransV1_0019900")</f>
        <v>p.persica_gdr_reftransV1_0019900</v>
      </c>
      <c r="B14440" s="2">
        <v>1559</v>
      </c>
      <c r="C14440" s="4" t="str">
        <f>HYPERLINK("http://www.uniprot.org/uniprot/M5XZH9","M5XZH9")</f>
        <v>M5XZH9</v>
      </c>
      <c r="D14440" s="2" t="s">
        <v>11746</v>
      </c>
      <c r="E14440" s="3">
        <v>6.3199999999999997E-30</v>
      </c>
      <c r="F14440" s="2">
        <v>314</v>
      </c>
      <c r="G14440" s="2">
        <v>53</v>
      </c>
      <c r="H14440" s="2">
        <v>184</v>
      </c>
      <c r="I14440" s="2">
        <v>800</v>
      </c>
      <c r="J14440" s="2">
        <v>1351</v>
      </c>
      <c r="K14440" s="2">
        <v>1</v>
      </c>
      <c r="L14440" s="2">
        <v>110</v>
      </c>
    </row>
    <row r="14441" spans="1:12" x14ac:dyDescent="0.25">
      <c r="A14441" s="4" t="str">
        <f>HYPERLINK("http://www.rosaceae.org/Prunus/Prunus_persica/p.persica_gdr_reftransV1_0020600","p.persica_gdr_reftransV1_0020600")</f>
        <v>p.persica_gdr_reftransV1_0020600</v>
      </c>
      <c r="B14441" s="2">
        <v>2850</v>
      </c>
      <c r="C14441" s="4" t="str">
        <f>HYPERLINK("http://www.uniprot.org/uniprot/M5XPX8","M5XPX8")</f>
        <v>M5XPX8</v>
      </c>
      <c r="D14441" s="2" t="s">
        <v>11410</v>
      </c>
      <c r="E14441" s="3">
        <v>0</v>
      </c>
      <c r="F14441" s="2">
        <v>1809</v>
      </c>
      <c r="G14441" s="2">
        <v>100</v>
      </c>
      <c r="H14441" s="2">
        <v>357</v>
      </c>
      <c r="I14441" s="2">
        <v>1098</v>
      </c>
      <c r="J14441" s="2">
        <v>2168</v>
      </c>
      <c r="K14441" s="2">
        <v>1</v>
      </c>
      <c r="L14441" s="2">
        <v>357</v>
      </c>
    </row>
    <row r="14442" spans="1:12" x14ac:dyDescent="0.25">
      <c r="A14442" s="4" t="str">
        <f>HYPERLINK("http://www.rosaceae.org/Prunus/Prunus_persica/p.persica_gdr_reftransV1_0022350","p.persica_gdr_reftransV1_0022350")</f>
        <v>p.persica_gdr_reftransV1_0022350</v>
      </c>
      <c r="B14442" s="2">
        <v>2066</v>
      </c>
      <c r="C14442" s="4" t="str">
        <f>HYPERLINK("http://www.uniprot.org/uniprot/M5VNP2","M5VNP2")</f>
        <v>M5VNP2</v>
      </c>
      <c r="D14442" s="2" t="s">
        <v>11747</v>
      </c>
      <c r="E14442" s="3">
        <v>5.0400000000000002E-80</v>
      </c>
      <c r="F14442" s="2">
        <v>678</v>
      </c>
      <c r="G14442" s="2">
        <v>100</v>
      </c>
      <c r="H14442" s="2">
        <v>171</v>
      </c>
      <c r="I14442" s="2">
        <v>1427</v>
      </c>
      <c r="J14442" s="2">
        <v>1939</v>
      </c>
      <c r="K14442" s="2">
        <v>1</v>
      </c>
      <c r="L14442" s="2">
        <v>171</v>
      </c>
    </row>
    <row r="14443" spans="1:12" x14ac:dyDescent="0.25">
      <c r="A14443" s="4" t="str">
        <f>HYPERLINK("http://www.rosaceae.org/Prunus/Prunus_persica/p.persica_gdr_reftransV1_0024100","p.persica_gdr_reftransV1_0024100")</f>
        <v>p.persica_gdr_reftransV1_0024100</v>
      </c>
      <c r="B14443" s="2">
        <v>2337</v>
      </c>
      <c r="C14443" s="4" t="str">
        <f>HYPERLINK("http://www.uniprot.org/uniprot/M5VYX4","M5VYX4")</f>
        <v>M5VYX4</v>
      </c>
      <c r="D14443" s="2" t="s">
        <v>11748</v>
      </c>
      <c r="E14443" s="3">
        <v>1.4100000000000001E-125</v>
      </c>
      <c r="F14443" s="2">
        <v>1005</v>
      </c>
      <c r="G14443" s="2">
        <v>90</v>
      </c>
      <c r="H14443" s="2">
        <v>220</v>
      </c>
      <c r="I14443" s="2">
        <v>302</v>
      </c>
      <c r="J14443" s="2">
        <v>961</v>
      </c>
      <c r="K14443" s="2">
        <v>77</v>
      </c>
      <c r="L14443" s="2">
        <v>294</v>
      </c>
    </row>
    <row r="14444" spans="1:12" x14ac:dyDescent="0.25">
      <c r="A14444" s="4" t="str">
        <f>HYPERLINK("http://www.rosaceae.org/Prunus/Prunus_persica/p.persica_gdr_reftransV1_0024800","p.persica_gdr_reftransV1_0024800")</f>
        <v>p.persica_gdr_reftransV1_0024800</v>
      </c>
      <c r="B14444" s="2">
        <v>3073</v>
      </c>
      <c r="C14444" s="4" t="str">
        <f>HYPERLINK("http://www.uniprot.org/uniprot/M5W1A4","M5W1A4")</f>
        <v>M5W1A4</v>
      </c>
      <c r="D14444" s="2" t="s">
        <v>11749</v>
      </c>
      <c r="E14444" s="3">
        <v>0</v>
      </c>
      <c r="F14444" s="2">
        <v>3666</v>
      </c>
      <c r="G14444" s="2">
        <v>100</v>
      </c>
      <c r="H14444" s="2">
        <v>777</v>
      </c>
      <c r="I14444" s="2">
        <v>539</v>
      </c>
      <c r="J14444" s="2">
        <v>2869</v>
      </c>
      <c r="K14444" s="2">
        <v>1</v>
      </c>
      <c r="L14444" s="2">
        <v>777</v>
      </c>
    </row>
    <row r="14445" spans="1:12" x14ac:dyDescent="0.25">
      <c r="A14445" s="4" t="str">
        <f>HYPERLINK("http://www.rosaceae.org/Prunus/Prunus_persica/p.persica_gdr_reftransV1_0025150","p.persica_gdr_reftransV1_0025150")</f>
        <v>p.persica_gdr_reftransV1_0025150</v>
      </c>
      <c r="B14445" s="2">
        <v>3295</v>
      </c>
      <c r="C14445" s="4" t="str">
        <f>HYPERLINK("http://www.uniprot.org/uniprot/M5WDW6","M5WDW6")</f>
        <v>M5WDW6</v>
      </c>
      <c r="D14445" s="2" t="s">
        <v>9983</v>
      </c>
      <c r="E14445" s="3">
        <v>0</v>
      </c>
      <c r="F14445" s="2">
        <v>2695</v>
      </c>
      <c r="G14445" s="2">
        <v>100</v>
      </c>
      <c r="H14445" s="2">
        <v>522</v>
      </c>
      <c r="I14445" s="2">
        <v>1586</v>
      </c>
      <c r="J14445" s="2">
        <v>3151</v>
      </c>
      <c r="K14445" s="2">
        <v>1</v>
      </c>
      <c r="L14445" s="2">
        <v>522</v>
      </c>
    </row>
    <row r="14446" spans="1:12" x14ac:dyDescent="0.25">
      <c r="A14446" s="4" t="str">
        <f>HYPERLINK("http://www.rosaceae.org/Prunus/Prunus_persica/p.persica_gdr_reftransV1_0028300","p.persica_gdr_reftransV1_0028300")</f>
        <v>p.persica_gdr_reftransV1_0028300</v>
      </c>
      <c r="B14446" s="2">
        <v>2141</v>
      </c>
      <c r="C14446" s="4" t="str">
        <f>HYPERLINK("http://www.uniprot.org/uniprot/M5X4A9","M5X4A9")</f>
        <v>M5X4A9</v>
      </c>
      <c r="D14446" s="2" t="s">
        <v>11750</v>
      </c>
      <c r="E14446" s="3">
        <v>4.0000000000000002E-134</v>
      </c>
      <c r="F14446" s="2">
        <v>1061</v>
      </c>
      <c r="G14446" s="2">
        <v>100</v>
      </c>
      <c r="H14446" s="2">
        <v>249</v>
      </c>
      <c r="I14446" s="2">
        <v>1207</v>
      </c>
      <c r="J14446" s="2">
        <v>1953</v>
      </c>
      <c r="K14446" s="2">
        <v>1</v>
      </c>
      <c r="L14446" s="2">
        <v>249</v>
      </c>
    </row>
    <row r="14447" spans="1:12" x14ac:dyDescent="0.25">
      <c r="A14447" s="4" t="str">
        <f>HYPERLINK("http://www.rosaceae.org/Prunus/Prunus_persica/p.persica_gdr_reftransV1_0029000","p.persica_gdr_reftransV1_0029000")</f>
        <v>p.persica_gdr_reftransV1_0029000</v>
      </c>
      <c r="B14447" s="2">
        <v>3352</v>
      </c>
      <c r="C14447" s="4" t="str">
        <f>HYPERLINK("http://www.uniprot.org/uniprot/M5WE13","M5WE13")</f>
        <v>M5WE13</v>
      </c>
      <c r="D14447" s="2" t="s">
        <v>2378</v>
      </c>
      <c r="E14447" s="3">
        <v>0</v>
      </c>
      <c r="F14447" s="2">
        <v>3630</v>
      </c>
      <c r="G14447" s="2">
        <v>100</v>
      </c>
      <c r="H14447" s="2">
        <v>716</v>
      </c>
      <c r="I14447" s="2">
        <v>638</v>
      </c>
      <c r="J14447" s="2">
        <v>2785</v>
      </c>
      <c r="K14447" s="2">
        <v>1</v>
      </c>
      <c r="L14447" s="2">
        <v>716</v>
      </c>
    </row>
    <row r="14448" spans="1:12" x14ac:dyDescent="0.25">
      <c r="A14448" s="4" t="str">
        <f>HYPERLINK("http://www.rosaceae.org/Prunus/Prunus_persica/p.persica_gdr_reftransV1_0030050","p.persica_gdr_reftransV1_0030050")</f>
        <v>p.persica_gdr_reftransV1_0030050</v>
      </c>
      <c r="B14448" s="2">
        <v>1581</v>
      </c>
      <c r="C14448" s="4" t="str">
        <f>HYPERLINK("http://www.uniprot.org/uniprot/M5VJ33","M5VJ33")</f>
        <v>M5VJ33</v>
      </c>
      <c r="D14448" s="2" t="s">
        <v>10779</v>
      </c>
      <c r="E14448" s="3">
        <v>0</v>
      </c>
      <c r="F14448" s="2">
        <v>1738</v>
      </c>
      <c r="G14448" s="2">
        <v>97</v>
      </c>
      <c r="H14448" s="2">
        <v>432</v>
      </c>
      <c r="I14448" s="2">
        <v>326</v>
      </c>
      <c r="J14448" s="2">
        <v>1579</v>
      </c>
      <c r="K14448" s="2">
        <v>12</v>
      </c>
      <c r="L14448" s="2">
        <v>443</v>
      </c>
    </row>
    <row r="14449" spans="1:12" x14ac:dyDescent="0.25">
      <c r="A14449" s="4" t="str">
        <f>HYPERLINK("http://www.rosaceae.org/Prunus/Prunus_persica/p.persica_gdr_reftransV1_0030750","p.persica_gdr_reftransV1_0030750")</f>
        <v>p.persica_gdr_reftransV1_0030750</v>
      </c>
      <c r="B14449" s="2">
        <v>1348</v>
      </c>
      <c r="C14449" s="4" t="str">
        <f>HYPERLINK("http://www.uniprot.org/uniprot/M5X2C0","M5X2C0")</f>
        <v>M5X2C0</v>
      </c>
      <c r="D14449" s="2" t="s">
        <v>11751</v>
      </c>
      <c r="E14449" s="3">
        <v>0</v>
      </c>
      <c r="F14449" s="2">
        <v>1624</v>
      </c>
      <c r="G14449" s="2">
        <v>100</v>
      </c>
      <c r="H14449" s="2">
        <v>325</v>
      </c>
      <c r="I14449" s="2">
        <v>167</v>
      </c>
      <c r="J14449" s="2">
        <v>1141</v>
      </c>
      <c r="K14449" s="2">
        <v>1</v>
      </c>
      <c r="L14449" s="2">
        <v>325</v>
      </c>
    </row>
    <row r="14450" spans="1:12" x14ac:dyDescent="0.25">
      <c r="A14450" s="4" t="str">
        <f>HYPERLINK("http://www.rosaceae.org/Prunus/Prunus_persica/p.persica_gdr_reftransV1_0031450","p.persica_gdr_reftransV1_0031450")</f>
        <v>p.persica_gdr_reftransV1_0031450</v>
      </c>
      <c r="B14450" s="2">
        <v>5474</v>
      </c>
      <c r="C14450" s="4" t="str">
        <f>HYPERLINK("http://www.uniprot.org/uniprot/M5W286","M5W286")</f>
        <v>M5W286</v>
      </c>
      <c r="D14450" s="2" t="s">
        <v>11163</v>
      </c>
      <c r="E14450" s="3">
        <v>0</v>
      </c>
      <c r="F14450" s="2">
        <v>3488</v>
      </c>
      <c r="G14450" s="2">
        <v>96</v>
      </c>
      <c r="H14450" s="2">
        <v>709</v>
      </c>
      <c r="I14450" s="2">
        <v>3347</v>
      </c>
      <c r="J14450" s="2">
        <v>5473</v>
      </c>
      <c r="K14450" s="2">
        <v>39</v>
      </c>
      <c r="L14450" s="2">
        <v>720</v>
      </c>
    </row>
    <row r="14451" spans="1:12" x14ac:dyDescent="0.25">
      <c r="A14451" s="4" t="str">
        <f>HYPERLINK("http://www.rosaceae.org/Prunus/Prunus_persica/p.persica_gdr_reftransV1_0032500","p.persica_gdr_reftransV1_0032500")</f>
        <v>p.persica_gdr_reftransV1_0032500</v>
      </c>
      <c r="B14451" s="2">
        <v>3114</v>
      </c>
      <c r="C14451" s="4" t="str">
        <f>HYPERLINK("http://www.uniprot.org/uniprot/M5WNM4","M5WNM4")</f>
        <v>M5WNM4</v>
      </c>
      <c r="D14451" s="2" t="s">
        <v>11752</v>
      </c>
      <c r="E14451" s="3">
        <v>0</v>
      </c>
      <c r="F14451" s="2">
        <v>4346</v>
      </c>
      <c r="G14451" s="2">
        <v>100</v>
      </c>
      <c r="H14451" s="2">
        <v>865</v>
      </c>
      <c r="I14451" s="2">
        <v>218</v>
      </c>
      <c r="J14451" s="2">
        <v>2812</v>
      </c>
      <c r="K14451" s="2">
        <v>1</v>
      </c>
      <c r="L14451" s="2">
        <v>865</v>
      </c>
    </row>
    <row r="14452" spans="1:12" x14ac:dyDescent="0.25">
      <c r="A14452" s="4" t="str">
        <f>HYPERLINK("http://www.rosaceae.org/Prunus/Prunus_persica/p.persica_gdr_reftransV1_0032850","p.persica_gdr_reftransV1_0032850")</f>
        <v>p.persica_gdr_reftransV1_0032850</v>
      </c>
      <c r="B14452" s="2">
        <v>841</v>
      </c>
      <c r="C14452" s="4" t="str">
        <f>HYPERLINK("http://www.uniprot.org/uniprot/M5VRS6","M5VRS6")</f>
        <v>M5VRS6</v>
      </c>
      <c r="D14452" s="2" t="s">
        <v>9958</v>
      </c>
      <c r="E14452" s="3">
        <v>2.5099999999999999E-79</v>
      </c>
      <c r="F14452" s="2">
        <v>641</v>
      </c>
      <c r="G14452" s="2">
        <v>100</v>
      </c>
      <c r="H14452" s="2">
        <v>167</v>
      </c>
      <c r="I14452" s="2">
        <v>339</v>
      </c>
      <c r="J14452" s="2">
        <v>839</v>
      </c>
      <c r="K14452" s="2">
        <v>1</v>
      </c>
      <c r="L14452" s="2">
        <v>167</v>
      </c>
    </row>
    <row r="14453" spans="1:12" x14ac:dyDescent="0.25">
      <c r="A14453" s="4" t="str">
        <f>HYPERLINK("http://www.rosaceae.org/Prunus/Prunus_persica/p.persica_gdr_reftransV1_0033550","p.persica_gdr_reftransV1_0033550")</f>
        <v>p.persica_gdr_reftransV1_0033550</v>
      </c>
      <c r="B14453" s="2">
        <v>1093</v>
      </c>
      <c r="C14453" s="4" t="str">
        <f>HYPERLINK("http://www.uniprot.org/uniprot/M5XJC1","M5XJC1")</f>
        <v>M5XJC1</v>
      </c>
      <c r="D14453" s="2" t="s">
        <v>664</v>
      </c>
      <c r="E14453" s="3">
        <v>0</v>
      </c>
      <c r="F14453" s="2">
        <v>1731</v>
      </c>
      <c r="G14453" s="2">
        <v>100</v>
      </c>
      <c r="H14453" s="2">
        <v>319</v>
      </c>
      <c r="I14453" s="2">
        <v>135</v>
      </c>
      <c r="J14453" s="2">
        <v>1091</v>
      </c>
      <c r="K14453" s="2">
        <v>263</v>
      </c>
      <c r="L14453" s="2">
        <v>581</v>
      </c>
    </row>
    <row r="14454" spans="1:12" x14ac:dyDescent="0.25">
      <c r="A14454" s="4" t="str">
        <f>HYPERLINK("http://www.rosaceae.org/Prunus/Prunus_persica/p.persica_gdr_reftransV1_0033900","p.persica_gdr_reftransV1_0033900")</f>
        <v>p.persica_gdr_reftransV1_0033900</v>
      </c>
      <c r="B14454" s="2">
        <v>4142</v>
      </c>
      <c r="C14454" s="4" t="str">
        <f>HYPERLINK("http://www.uniprot.org/uniprot/M5XK80","M5XK80")</f>
        <v>M5XK80</v>
      </c>
      <c r="D14454" s="2" t="s">
        <v>11753</v>
      </c>
      <c r="E14454" s="3">
        <v>0</v>
      </c>
      <c r="F14454" s="2">
        <v>2341</v>
      </c>
      <c r="G14454" s="2">
        <v>99</v>
      </c>
      <c r="H14454" s="2">
        <v>480</v>
      </c>
      <c r="I14454" s="2">
        <v>2555</v>
      </c>
      <c r="J14454" s="2">
        <v>3994</v>
      </c>
      <c r="K14454" s="2">
        <v>15</v>
      </c>
      <c r="L14454" s="2">
        <v>494</v>
      </c>
    </row>
    <row r="14455" spans="1:12" x14ac:dyDescent="0.25">
      <c r="A14455" s="4" t="str">
        <f>HYPERLINK("http://www.rosaceae.org/Prunus/Prunus_persica/p.persica_gdr_reftransV1_0035300","p.persica_gdr_reftransV1_0035300")</f>
        <v>p.persica_gdr_reftransV1_0035300</v>
      </c>
      <c r="B14455" s="2">
        <v>5937</v>
      </c>
      <c r="C14455" s="4" t="str">
        <f>HYPERLINK("http://www.uniprot.org/uniprot/M5X6J1","M5X6J1")</f>
        <v>M5X6J1</v>
      </c>
      <c r="D14455" s="2" t="s">
        <v>10114</v>
      </c>
      <c r="E14455" s="3">
        <v>0</v>
      </c>
      <c r="F14455" s="2">
        <v>3895</v>
      </c>
      <c r="G14455" s="2">
        <v>97</v>
      </c>
      <c r="H14455" s="2">
        <v>772</v>
      </c>
      <c r="I14455" s="2">
        <v>2385</v>
      </c>
      <c r="J14455" s="2">
        <v>4700</v>
      </c>
      <c r="K14455" s="2">
        <v>1</v>
      </c>
      <c r="L14455" s="2">
        <v>758</v>
      </c>
    </row>
    <row r="14456" spans="1:12" x14ac:dyDescent="0.25">
      <c r="A14456" s="4" t="str">
        <f>HYPERLINK("http://www.rosaceae.org/Prunus/Prunus_persica/p.persica_gdr_reftransV1_0038100","p.persica_gdr_reftransV1_0038100")</f>
        <v>p.persica_gdr_reftransV1_0038100</v>
      </c>
      <c r="B14456" s="2">
        <v>991</v>
      </c>
      <c r="C14456" s="4" t="str">
        <f>HYPERLINK("http://www.uniprot.org/uniprot/M5WKE2","M5WKE2")</f>
        <v>M5WKE2</v>
      </c>
      <c r="D14456" s="2" t="s">
        <v>4169</v>
      </c>
      <c r="E14456" s="3">
        <v>1.5900000000000001E-61</v>
      </c>
      <c r="F14456" s="2">
        <v>515</v>
      </c>
      <c r="G14456" s="2">
        <v>100</v>
      </c>
      <c r="H14456" s="2">
        <v>98</v>
      </c>
      <c r="I14456" s="2">
        <v>191</v>
      </c>
      <c r="J14456" s="2">
        <v>484</v>
      </c>
      <c r="K14456" s="2">
        <v>1</v>
      </c>
      <c r="L14456" s="2">
        <v>98</v>
      </c>
    </row>
    <row r="14457" spans="1:12" x14ac:dyDescent="0.25">
      <c r="A14457" s="4" t="str">
        <f>HYPERLINK("http://www.rosaceae.org/Prunus/Prunus_persica/p.persica_gdr_reftransV1_0039850","p.persica_gdr_reftransV1_0039850")</f>
        <v>p.persica_gdr_reftransV1_0039850</v>
      </c>
      <c r="B14457" s="2">
        <v>485</v>
      </c>
      <c r="C14457" s="4" t="str">
        <f>HYPERLINK("http://www.uniprot.org/uniprot/M5WPK9","M5WPK9")</f>
        <v>M5WPK9</v>
      </c>
      <c r="D14457" s="2" t="s">
        <v>6673</v>
      </c>
      <c r="E14457" s="3">
        <v>3.0499999999999998E-10</v>
      </c>
      <c r="F14457" s="2">
        <v>154</v>
      </c>
      <c r="G14457" s="2">
        <v>97</v>
      </c>
      <c r="H14457" s="2">
        <v>60</v>
      </c>
      <c r="I14457" s="2">
        <v>94</v>
      </c>
      <c r="J14457" s="2">
        <v>273</v>
      </c>
      <c r="K14457" s="2">
        <v>39</v>
      </c>
      <c r="L14457" s="2">
        <v>98</v>
      </c>
    </row>
    <row r="14458" spans="1:12" x14ac:dyDescent="0.25">
      <c r="A14458" s="4" t="str">
        <f>HYPERLINK("http://www.rosaceae.org/Prunus/Prunus_persica/p.persica_gdr_reftransV1_0040550","p.persica_gdr_reftransV1_0040550")</f>
        <v>p.persica_gdr_reftransV1_0040550</v>
      </c>
      <c r="B14458" s="2">
        <v>2557</v>
      </c>
      <c r="C14458" s="4" t="str">
        <f>HYPERLINK("http://www.uniprot.org/uniprot/M5WRR7","M5WRR7")</f>
        <v>M5WRR7</v>
      </c>
      <c r="D14458" s="2" t="s">
        <v>11754</v>
      </c>
      <c r="E14458" s="3">
        <v>0</v>
      </c>
      <c r="F14458" s="2">
        <v>2206</v>
      </c>
      <c r="G14458" s="2">
        <v>100</v>
      </c>
      <c r="H14458" s="2">
        <v>448</v>
      </c>
      <c r="I14458" s="2">
        <v>89</v>
      </c>
      <c r="J14458" s="2">
        <v>1432</v>
      </c>
      <c r="K14458" s="2">
        <v>1</v>
      </c>
      <c r="L14458" s="2">
        <v>448</v>
      </c>
    </row>
    <row r="14459" spans="1:12" x14ac:dyDescent="0.25">
      <c r="A14459" s="4" t="str">
        <f>HYPERLINK("http://www.rosaceae.org/Prunus/Prunus_persica/p.persica_gdr_reftransV1_0042650","p.persica_gdr_reftransV1_0042650")</f>
        <v>p.persica_gdr_reftransV1_0042650</v>
      </c>
      <c r="B14459" s="2">
        <v>3570</v>
      </c>
      <c r="C14459" s="4" t="str">
        <f>HYPERLINK("http://www.uniprot.org/uniprot/I7K8K8","I7K8K8")</f>
        <v>I7K8K8</v>
      </c>
      <c r="D14459" s="2" t="s">
        <v>1613</v>
      </c>
      <c r="E14459" s="3">
        <v>0</v>
      </c>
      <c r="F14459" s="2">
        <v>1918</v>
      </c>
      <c r="G14459" s="2">
        <v>50</v>
      </c>
      <c r="H14459" s="2">
        <v>779</v>
      </c>
      <c r="I14459" s="2">
        <v>984</v>
      </c>
      <c r="J14459" s="2">
        <v>3314</v>
      </c>
      <c r="K14459" s="2">
        <v>266</v>
      </c>
      <c r="L14459" s="2">
        <v>1018</v>
      </c>
    </row>
    <row r="14460" spans="1:12" x14ac:dyDescent="0.25">
      <c r="A14460" s="4" t="str">
        <f>HYPERLINK("http://www.rosaceae.org/Prunus/Prunus_persica/p.persica_gdr_reftransV1_0043350","p.persica_gdr_reftransV1_0043350")</f>
        <v>p.persica_gdr_reftransV1_0043350</v>
      </c>
      <c r="B14460" s="2">
        <v>393</v>
      </c>
      <c r="C14460" s="4" t="str">
        <f>HYPERLINK("http://www.uniprot.org/uniprot/M5W123","M5W123")</f>
        <v>M5W123</v>
      </c>
      <c r="D14460" s="2" t="s">
        <v>11671</v>
      </c>
      <c r="E14460" s="3">
        <v>8.1899999999999995E-76</v>
      </c>
      <c r="F14460" s="2">
        <v>627</v>
      </c>
      <c r="G14460" s="2">
        <v>100</v>
      </c>
      <c r="H14460" s="2">
        <v>130</v>
      </c>
      <c r="I14460" s="2">
        <v>2</v>
      </c>
      <c r="J14460" s="2">
        <v>391</v>
      </c>
      <c r="K14460" s="2">
        <v>32</v>
      </c>
      <c r="L14460" s="2">
        <v>161</v>
      </c>
    </row>
    <row r="14461" spans="1:12" x14ac:dyDescent="0.25">
      <c r="A14461" s="4" t="str">
        <f>HYPERLINK("http://www.rosaceae.org/Prunus/Prunus_persica/p.persica_gdr_reftransV1_0043700","p.persica_gdr_reftransV1_0043700")</f>
        <v>p.persica_gdr_reftransV1_0043700</v>
      </c>
      <c r="B14461" s="2">
        <v>1292</v>
      </c>
      <c r="C14461" s="4" t="str">
        <f>HYPERLINK("http://www.uniprot.org/uniprot/M5XDT2","M5XDT2")</f>
        <v>M5XDT2</v>
      </c>
      <c r="D14461" s="2" t="s">
        <v>11328</v>
      </c>
      <c r="E14461" s="3">
        <v>0</v>
      </c>
      <c r="F14461" s="2">
        <v>1432</v>
      </c>
      <c r="G14461" s="2">
        <v>100</v>
      </c>
      <c r="H14461" s="2">
        <v>304</v>
      </c>
      <c r="I14461" s="2">
        <v>323</v>
      </c>
      <c r="J14461" s="2">
        <v>1234</v>
      </c>
      <c r="K14461" s="2">
        <v>1</v>
      </c>
      <c r="L14461" s="2">
        <v>304</v>
      </c>
    </row>
    <row r="14462" spans="1:12" x14ac:dyDescent="0.25">
      <c r="A14462" s="4" t="str">
        <f>HYPERLINK("http://www.rosaceae.org/Prunus/Prunus_persica/p.persica_gdr_reftransV1_0044050","p.persica_gdr_reftransV1_0044050")</f>
        <v>p.persica_gdr_reftransV1_0044050</v>
      </c>
      <c r="B14462" s="2">
        <v>351</v>
      </c>
      <c r="C14462" s="4" t="str">
        <f>HYPERLINK("http://www.uniprot.org/uniprot/M5Y2C6","M5Y2C6")</f>
        <v>M5Y2C6</v>
      </c>
      <c r="D14462" s="2" t="s">
        <v>11755</v>
      </c>
      <c r="E14462" s="3">
        <v>5.3200000000000001E-49</v>
      </c>
      <c r="F14462" s="2">
        <v>419</v>
      </c>
      <c r="G14462" s="2">
        <v>88</v>
      </c>
      <c r="H14462" s="2">
        <v>115</v>
      </c>
      <c r="I14462" s="2">
        <v>2</v>
      </c>
      <c r="J14462" s="2">
        <v>346</v>
      </c>
      <c r="K14462" s="2">
        <v>74</v>
      </c>
      <c r="L14462" s="2">
        <v>188</v>
      </c>
    </row>
    <row r="14463" spans="1:12" x14ac:dyDescent="0.25">
      <c r="A14463" s="4" t="str">
        <f>HYPERLINK("http://www.rosaceae.org/Prunus/Prunus_persica/p.persica_gdr_reftransV1_0044750","p.persica_gdr_reftransV1_0044750")</f>
        <v>p.persica_gdr_reftransV1_0044750</v>
      </c>
      <c r="B14463" s="2">
        <v>491</v>
      </c>
      <c r="C14463" s="4" t="str">
        <f>HYPERLINK("http://www.uniprot.org/uniprot/M5XAY0","M5XAY0")</f>
        <v>M5XAY0</v>
      </c>
      <c r="D14463" s="2" t="s">
        <v>6632</v>
      </c>
      <c r="E14463" s="3">
        <v>1.6499999999999999E-103</v>
      </c>
      <c r="F14463" s="2">
        <v>825</v>
      </c>
      <c r="G14463" s="2">
        <v>100</v>
      </c>
      <c r="H14463" s="2">
        <v>162</v>
      </c>
      <c r="I14463" s="2">
        <v>1</v>
      </c>
      <c r="J14463" s="2">
        <v>486</v>
      </c>
      <c r="K14463" s="2">
        <v>1</v>
      </c>
      <c r="L14463" s="2">
        <v>162</v>
      </c>
    </row>
    <row r="14464" spans="1:12" x14ac:dyDescent="0.25">
      <c r="A14464" s="4" t="str">
        <f>HYPERLINK("http://www.rosaceae.org/Prunus/Prunus_persica/p.persica_gdr_reftransV1_0045100","p.persica_gdr_reftransV1_0045100")</f>
        <v>p.persica_gdr_reftransV1_0045100</v>
      </c>
      <c r="B14464" s="2">
        <v>1509</v>
      </c>
      <c r="C14464" s="4" t="str">
        <f>HYPERLINK("http://www.uniprot.org/uniprot/M5X2Z2","M5X2Z2")</f>
        <v>M5X2Z2</v>
      </c>
      <c r="D14464" s="2" t="s">
        <v>5193</v>
      </c>
      <c r="E14464" s="3">
        <v>1.64E-11</v>
      </c>
      <c r="F14464" s="2">
        <v>171</v>
      </c>
      <c r="G14464" s="2">
        <v>63</v>
      </c>
      <c r="H14464" s="2">
        <v>72</v>
      </c>
      <c r="I14464" s="2">
        <v>947</v>
      </c>
      <c r="J14464" s="2">
        <v>1162</v>
      </c>
      <c r="K14464" s="2">
        <v>1</v>
      </c>
      <c r="L14464" s="2">
        <v>69</v>
      </c>
    </row>
    <row r="14465" spans="1:12" x14ac:dyDescent="0.25">
      <c r="A14465" s="4" t="str">
        <f>HYPERLINK("http://www.rosaceae.org/Prunus/Prunus_persica/p.persica_gdr_reftransV1_0045450","p.persica_gdr_reftransV1_0045450")</f>
        <v>p.persica_gdr_reftransV1_0045450</v>
      </c>
      <c r="B14465" s="2">
        <v>1459</v>
      </c>
      <c r="C14465" s="4" t="str">
        <f>HYPERLINK("http://www.uniprot.org/uniprot/M5X1Z0","M5X1Z0")</f>
        <v>M5X1Z0</v>
      </c>
      <c r="D14465" s="2" t="s">
        <v>11756</v>
      </c>
      <c r="E14465" s="3">
        <v>3.6900000000000002E-137</v>
      </c>
      <c r="F14465" s="2">
        <v>1051</v>
      </c>
      <c r="G14465" s="2">
        <v>91</v>
      </c>
      <c r="H14465" s="2">
        <v>222</v>
      </c>
      <c r="I14465" s="2">
        <v>190</v>
      </c>
      <c r="J14465" s="2">
        <v>855</v>
      </c>
      <c r="K14465" s="2">
        <v>1</v>
      </c>
      <c r="L14465" s="2">
        <v>215</v>
      </c>
    </row>
    <row r="14466" spans="1:12" x14ac:dyDescent="0.25">
      <c r="A14466" s="4" t="str">
        <f>HYPERLINK("http://www.rosaceae.org/Prunus/Prunus_persica/p.persica_gdr_reftransV1_0046500","p.persica_gdr_reftransV1_0046500")</f>
        <v>p.persica_gdr_reftransV1_0046500</v>
      </c>
      <c r="B14466" s="2">
        <v>996</v>
      </c>
      <c r="C14466" s="4" t="str">
        <f>HYPERLINK("http://www.uniprot.org/uniprot/M5XFU8","M5XFU8")</f>
        <v>M5XFU8</v>
      </c>
      <c r="D14466" s="2" t="s">
        <v>761</v>
      </c>
      <c r="E14466" s="3">
        <v>5.2000000000000003E-88</v>
      </c>
      <c r="F14466" s="2">
        <v>697</v>
      </c>
      <c r="G14466" s="2">
        <v>100</v>
      </c>
      <c r="H14466" s="2">
        <v>147</v>
      </c>
      <c r="I14466" s="2">
        <v>235</v>
      </c>
      <c r="J14466" s="2">
        <v>675</v>
      </c>
      <c r="K14466" s="2">
        <v>16</v>
      </c>
      <c r="L14466" s="2">
        <v>162</v>
      </c>
    </row>
    <row r="14467" spans="1:12" x14ac:dyDescent="0.25">
      <c r="A14467" s="4" t="str">
        <f>HYPERLINK("http://www.rosaceae.org/Prunus/Prunus_persica/p.persica_gdr_reftransV1_0046850","p.persica_gdr_reftransV1_0046850")</f>
        <v>p.persica_gdr_reftransV1_0046850</v>
      </c>
      <c r="B14467" s="2">
        <v>1318</v>
      </c>
      <c r="C14467" s="4" t="str">
        <f>HYPERLINK("http://www.uniprot.org/uniprot/M5W2N6","M5W2N6")</f>
        <v>M5W2N6</v>
      </c>
      <c r="D14467" s="2" t="s">
        <v>11757</v>
      </c>
      <c r="E14467" s="3">
        <v>0</v>
      </c>
      <c r="F14467" s="2">
        <v>1933</v>
      </c>
      <c r="G14467" s="2">
        <v>93</v>
      </c>
      <c r="H14467" s="2">
        <v>385</v>
      </c>
      <c r="I14467" s="2">
        <v>163</v>
      </c>
      <c r="J14467" s="2">
        <v>1317</v>
      </c>
      <c r="K14467" s="2">
        <v>18</v>
      </c>
      <c r="L14467" s="2">
        <v>402</v>
      </c>
    </row>
    <row r="14468" spans="1:12" x14ac:dyDescent="0.25">
      <c r="A14468" s="4" t="str">
        <f>HYPERLINK("http://www.rosaceae.org/Prunus/Prunus_persica/p.persica_gdr_reftransV1_0047200","p.persica_gdr_reftransV1_0047200")</f>
        <v>p.persica_gdr_reftransV1_0047200</v>
      </c>
      <c r="B14468" s="2">
        <v>1101</v>
      </c>
      <c r="C14468" s="4" t="str">
        <f>HYPERLINK("http://www.uniprot.org/uniprot/M5VMC4","M5VMC4")</f>
        <v>M5VMC4</v>
      </c>
      <c r="D14468" s="2" t="s">
        <v>11758</v>
      </c>
      <c r="E14468" s="3">
        <v>0</v>
      </c>
      <c r="F14468" s="2">
        <v>1617</v>
      </c>
      <c r="G14468" s="2">
        <v>100</v>
      </c>
      <c r="H14468" s="2">
        <v>302</v>
      </c>
      <c r="I14468" s="2">
        <v>2</v>
      </c>
      <c r="J14468" s="2">
        <v>907</v>
      </c>
      <c r="K14468" s="2">
        <v>7</v>
      </c>
      <c r="L14468" s="2">
        <v>308</v>
      </c>
    </row>
    <row r="14469" spans="1:12" x14ac:dyDescent="0.25">
      <c r="A14469" s="4" t="str">
        <f>HYPERLINK("http://www.rosaceae.org/Prunus/Prunus_persica/p.persica_gdr_reftransV1_0047900","p.persica_gdr_reftransV1_0047900")</f>
        <v>p.persica_gdr_reftransV1_0047900</v>
      </c>
      <c r="B14469" s="2">
        <v>409</v>
      </c>
      <c r="C14469" s="4" t="str">
        <f>HYPERLINK("http://www.uniprot.org/uniprot/M5X374","M5X374")</f>
        <v>M5X374</v>
      </c>
      <c r="D14469" s="2" t="s">
        <v>1425</v>
      </c>
      <c r="E14469" s="3">
        <v>7.7300000000000003E-34</v>
      </c>
      <c r="F14469" s="2">
        <v>328</v>
      </c>
      <c r="G14469" s="2">
        <v>100</v>
      </c>
      <c r="H14469" s="2">
        <v>78</v>
      </c>
      <c r="I14469" s="2">
        <v>1</v>
      </c>
      <c r="J14469" s="2">
        <v>234</v>
      </c>
      <c r="K14469" s="2">
        <v>247</v>
      </c>
      <c r="L14469" s="2">
        <v>324</v>
      </c>
    </row>
    <row r="14470" spans="1:12" x14ac:dyDescent="0.25">
      <c r="A14470" s="4" t="str">
        <f>HYPERLINK("http://www.rosaceae.org/Prunus/Prunus_persica/p.persica_gdr_reftransV1_0048250","p.persica_gdr_reftransV1_0048250")</f>
        <v>p.persica_gdr_reftransV1_0048250</v>
      </c>
      <c r="B14470" s="2">
        <v>739</v>
      </c>
      <c r="C14470" s="4" t="str">
        <f>HYPERLINK("http://www.uniprot.org/uniprot/M5X3V7","M5X3V7")</f>
        <v>M5X3V7</v>
      </c>
      <c r="D14470" s="2" t="s">
        <v>11759</v>
      </c>
      <c r="E14470" s="3">
        <v>7.3300000000000003E-18</v>
      </c>
      <c r="F14470" s="2">
        <v>210</v>
      </c>
      <c r="G14470" s="2">
        <v>100</v>
      </c>
      <c r="H14470" s="2">
        <v>66</v>
      </c>
      <c r="I14470" s="2">
        <v>475</v>
      </c>
      <c r="J14470" s="2">
        <v>672</v>
      </c>
      <c r="K14470" s="2">
        <v>1</v>
      </c>
      <c r="L14470" s="2">
        <v>66</v>
      </c>
    </row>
    <row r="14471" spans="1:12" x14ac:dyDescent="0.25">
      <c r="A14471" s="4" t="str">
        <f>HYPERLINK("http://www.rosaceae.org/Prunus/Prunus_persica/p.persica_gdr_reftransV1_0048600","p.persica_gdr_reftransV1_0048600")</f>
        <v>p.persica_gdr_reftransV1_0048600</v>
      </c>
      <c r="B14471" s="2">
        <v>1406</v>
      </c>
      <c r="C14471" s="4" t="str">
        <f>HYPERLINK("http://www.uniprot.org/uniprot/M5WFA3","M5WFA3")</f>
        <v>M5WFA3</v>
      </c>
      <c r="D14471" s="2" t="s">
        <v>11760</v>
      </c>
      <c r="E14471" s="3">
        <v>2.39E-172</v>
      </c>
      <c r="F14471" s="2">
        <v>1277</v>
      </c>
      <c r="G14471" s="2">
        <v>100</v>
      </c>
      <c r="H14471" s="2">
        <v>250</v>
      </c>
      <c r="I14471" s="2">
        <v>579</v>
      </c>
      <c r="J14471" s="2">
        <v>1328</v>
      </c>
      <c r="K14471" s="2">
        <v>1</v>
      </c>
      <c r="L14471" s="2">
        <v>250</v>
      </c>
    </row>
    <row r="14472" spans="1:12" x14ac:dyDescent="0.25">
      <c r="A14472" s="4" t="str">
        <f>HYPERLINK("http://www.rosaceae.org/Prunus/Prunus_persica/p.persica_gdr_reftransV1_0048950","p.persica_gdr_reftransV1_0048950")</f>
        <v>p.persica_gdr_reftransV1_0048950</v>
      </c>
      <c r="B14472" s="2">
        <v>535</v>
      </c>
      <c r="C14472" s="4" t="str">
        <f>HYPERLINK("http://www.uniprot.org/uniprot/M5W2I2","M5W2I2")</f>
        <v>M5W2I2</v>
      </c>
      <c r="D14472" s="2" t="s">
        <v>11761</v>
      </c>
      <c r="E14472" s="3">
        <v>1.4099999999999999E-115</v>
      </c>
      <c r="F14472" s="2">
        <v>891</v>
      </c>
      <c r="G14472" s="2">
        <v>100</v>
      </c>
      <c r="H14472" s="2">
        <v>168</v>
      </c>
      <c r="I14472" s="2">
        <v>1</v>
      </c>
      <c r="J14472" s="2">
        <v>504</v>
      </c>
      <c r="K14472" s="2">
        <v>1</v>
      </c>
      <c r="L14472" s="2">
        <v>168</v>
      </c>
    </row>
    <row r="14473" spans="1:12" x14ac:dyDescent="0.25">
      <c r="A14473" s="4" t="str">
        <f>HYPERLINK("http://www.rosaceae.org/Prunus/Prunus_persica/p.persica_gdr_reftransV1_0000380","p.persica_gdr_reftransV1_0000380")</f>
        <v>p.persica_gdr_reftransV1_0000380</v>
      </c>
      <c r="B14473" s="2">
        <v>1830</v>
      </c>
      <c r="C14473" s="4" t="str">
        <f>HYPERLINK("http://www.uniprot.org/uniprot/M5Y4T9","M5Y4T9")</f>
        <v>M5Y4T9</v>
      </c>
      <c r="D14473" s="2" t="s">
        <v>1705</v>
      </c>
      <c r="E14473" s="3">
        <v>0</v>
      </c>
      <c r="F14473" s="2">
        <v>2962</v>
      </c>
      <c r="G14473" s="2">
        <v>100</v>
      </c>
      <c r="H14473" s="2">
        <v>610</v>
      </c>
      <c r="I14473" s="2">
        <v>1</v>
      </c>
      <c r="J14473" s="2">
        <v>1830</v>
      </c>
      <c r="K14473" s="2">
        <v>1375</v>
      </c>
      <c r="L14473" s="2">
        <v>1984</v>
      </c>
    </row>
    <row r="14474" spans="1:12" x14ac:dyDescent="0.25">
      <c r="A14474" s="4" t="str">
        <f>HYPERLINK("http://www.rosaceae.org/Prunus/Prunus_persica/p.persica_gdr_reftransV1_0000730","p.persica_gdr_reftransV1_0000730")</f>
        <v>p.persica_gdr_reftransV1_0000730</v>
      </c>
      <c r="B14474" s="2">
        <v>570</v>
      </c>
      <c r="C14474" s="4" t="str">
        <f>HYPERLINK("http://www.uniprot.org/uniprot/M5W4W0","M5W4W0")</f>
        <v>M5W4W0</v>
      </c>
      <c r="D14474" s="2" t="s">
        <v>5753</v>
      </c>
      <c r="E14474" s="3">
        <v>5.8199999999999997E-81</v>
      </c>
      <c r="F14474" s="2">
        <v>632</v>
      </c>
      <c r="G14474" s="2">
        <v>100</v>
      </c>
      <c r="H14474" s="2">
        <v>122</v>
      </c>
      <c r="I14474" s="2">
        <v>65</v>
      </c>
      <c r="J14474" s="2">
        <v>430</v>
      </c>
      <c r="K14474" s="2">
        <v>1</v>
      </c>
      <c r="L14474" s="2">
        <v>122</v>
      </c>
    </row>
    <row r="14475" spans="1:12" x14ac:dyDescent="0.25">
      <c r="A14475" s="4" t="str">
        <f>HYPERLINK("http://www.rosaceae.org/Prunus/Prunus_persica/p.persica_gdr_reftransV1_0001430","p.persica_gdr_reftransV1_0001430")</f>
        <v>p.persica_gdr_reftransV1_0001430</v>
      </c>
      <c r="B14475" s="2">
        <v>390</v>
      </c>
      <c r="C14475" s="4" t="str">
        <f>HYPERLINK("http://www.uniprot.org/uniprot/H2Q028","H2Q028")</f>
        <v>H2Q028</v>
      </c>
      <c r="D14475" s="2" t="s">
        <v>11762</v>
      </c>
      <c r="E14475" s="3">
        <v>5.3700000000000002E-52</v>
      </c>
      <c r="F14475" s="2">
        <v>432</v>
      </c>
      <c r="G14475" s="2">
        <v>100</v>
      </c>
      <c r="H14475" s="2">
        <v>82</v>
      </c>
      <c r="I14475" s="2">
        <v>108</v>
      </c>
      <c r="J14475" s="2">
        <v>353</v>
      </c>
      <c r="K14475" s="2">
        <v>1</v>
      </c>
      <c r="L14475" s="2">
        <v>82</v>
      </c>
    </row>
    <row r="14476" spans="1:12" x14ac:dyDescent="0.25">
      <c r="A14476" s="4" t="str">
        <f>HYPERLINK("http://www.rosaceae.org/Prunus/Prunus_persica/p.persica_gdr_reftransV1_0001780","p.persica_gdr_reftransV1_0001780")</f>
        <v>p.persica_gdr_reftransV1_0001780</v>
      </c>
      <c r="B14476" s="2">
        <v>818</v>
      </c>
      <c r="C14476" s="4" t="str">
        <f>HYPERLINK("http://www.uniprot.org/uniprot/M5WS65","M5WS65")</f>
        <v>M5WS65</v>
      </c>
      <c r="D14476" s="2" t="s">
        <v>5253</v>
      </c>
      <c r="E14476" s="3">
        <v>3.4400000000000001E-165</v>
      </c>
      <c r="F14476" s="2">
        <v>1329</v>
      </c>
      <c r="G14476" s="2">
        <v>100</v>
      </c>
      <c r="H14476" s="2">
        <v>272</v>
      </c>
      <c r="I14476" s="2">
        <v>1</v>
      </c>
      <c r="J14476" s="2">
        <v>816</v>
      </c>
      <c r="K14476" s="2">
        <v>1082</v>
      </c>
      <c r="L14476" s="2">
        <v>1353</v>
      </c>
    </row>
    <row r="14477" spans="1:12" x14ac:dyDescent="0.25">
      <c r="A14477" s="4" t="str">
        <f>HYPERLINK("http://www.rosaceae.org/Prunus/Prunus_persica/p.persica_gdr_reftransV1_0002480","p.persica_gdr_reftransV1_0002480")</f>
        <v>p.persica_gdr_reftransV1_0002480</v>
      </c>
      <c r="B14477" s="2">
        <v>2804</v>
      </c>
      <c r="C14477" s="4" t="str">
        <f>HYPERLINK("http://www.uniprot.org/uniprot/M5VVL0","M5VVL0")</f>
        <v>M5VVL0</v>
      </c>
      <c r="D14477" s="2" t="s">
        <v>11763</v>
      </c>
      <c r="E14477" s="3">
        <v>0</v>
      </c>
      <c r="F14477" s="2">
        <v>2758</v>
      </c>
      <c r="G14477" s="2">
        <v>100</v>
      </c>
      <c r="H14477" s="2">
        <v>546</v>
      </c>
      <c r="I14477" s="2">
        <v>335</v>
      </c>
      <c r="J14477" s="2">
        <v>1972</v>
      </c>
      <c r="K14477" s="2">
        <v>117</v>
      </c>
      <c r="L14477" s="2">
        <v>662</v>
      </c>
    </row>
    <row r="14478" spans="1:12" x14ac:dyDescent="0.25">
      <c r="A14478" s="4" t="str">
        <f>HYPERLINK("http://www.rosaceae.org/Prunus/Prunus_persica/p.persica_gdr_reftransV1_0002830","p.persica_gdr_reftransV1_0002830")</f>
        <v>p.persica_gdr_reftransV1_0002830</v>
      </c>
      <c r="B14478" s="2">
        <v>369</v>
      </c>
      <c r="C14478" s="4" t="str">
        <f>HYPERLINK("http://www.uniprot.org/uniprot/A0A087HCF0","A0A087HCF0")</f>
        <v>A0A087HCF0</v>
      </c>
      <c r="D14478" s="2" t="s">
        <v>11764</v>
      </c>
      <c r="E14478" s="3">
        <v>3.0999999999999998E-26</v>
      </c>
      <c r="F14478" s="2">
        <v>282</v>
      </c>
      <c r="G14478" s="2">
        <v>52</v>
      </c>
      <c r="H14478" s="2">
        <v>122</v>
      </c>
      <c r="I14478" s="2">
        <v>3</v>
      </c>
      <c r="J14478" s="2">
        <v>365</v>
      </c>
      <c r="K14478" s="2">
        <v>544</v>
      </c>
      <c r="L14478" s="2">
        <v>665</v>
      </c>
    </row>
    <row r="14479" spans="1:12" x14ac:dyDescent="0.25">
      <c r="A14479" s="4" t="str">
        <f>HYPERLINK("http://www.rosaceae.org/Prunus/Prunus_persica/p.persica_gdr_reftransV1_0003180","p.persica_gdr_reftransV1_0003180")</f>
        <v>p.persica_gdr_reftransV1_0003180</v>
      </c>
      <c r="B14479" s="2">
        <v>2598</v>
      </c>
      <c r="C14479" s="4" t="str">
        <f>HYPERLINK("http://www.uniprot.org/uniprot/M5WHB3","M5WHB3")</f>
        <v>M5WHB3</v>
      </c>
      <c r="D14479" s="2" t="s">
        <v>2539</v>
      </c>
      <c r="E14479" s="3">
        <v>0</v>
      </c>
      <c r="F14479" s="2">
        <v>2082</v>
      </c>
      <c r="G14479" s="2">
        <v>100</v>
      </c>
      <c r="H14479" s="2">
        <v>399</v>
      </c>
      <c r="I14479" s="2">
        <v>1205</v>
      </c>
      <c r="J14479" s="2">
        <v>2401</v>
      </c>
      <c r="K14479" s="2">
        <v>276</v>
      </c>
      <c r="L14479" s="2">
        <v>674</v>
      </c>
    </row>
    <row r="14480" spans="1:12" x14ac:dyDescent="0.25">
      <c r="A14480" s="4" t="str">
        <f>HYPERLINK("http://www.rosaceae.org/Prunus/Prunus_persica/p.persica_gdr_reftransV1_0003530","p.persica_gdr_reftransV1_0003530")</f>
        <v>p.persica_gdr_reftransV1_0003530</v>
      </c>
      <c r="B14480" s="2">
        <v>1603</v>
      </c>
      <c r="C14480" s="4" t="str">
        <f>HYPERLINK("http://www.uniprot.org/uniprot/M5VSZ5","M5VSZ5")</f>
        <v>M5VSZ5</v>
      </c>
      <c r="D14480" s="2" t="s">
        <v>11765</v>
      </c>
      <c r="E14480" s="3">
        <v>0</v>
      </c>
      <c r="F14480" s="2">
        <v>1598</v>
      </c>
      <c r="G14480" s="2">
        <v>84</v>
      </c>
      <c r="H14480" s="2">
        <v>384</v>
      </c>
      <c r="I14480" s="2">
        <v>170</v>
      </c>
      <c r="J14480" s="2">
        <v>1321</v>
      </c>
      <c r="K14480" s="2">
        <v>1</v>
      </c>
      <c r="L14480" s="2">
        <v>374</v>
      </c>
    </row>
    <row r="14481" spans="1:12" x14ac:dyDescent="0.25">
      <c r="A14481" s="4" t="str">
        <f>HYPERLINK("http://www.rosaceae.org/Prunus/Prunus_persica/p.persica_gdr_reftransV1_0003880","p.persica_gdr_reftransV1_0003880")</f>
        <v>p.persica_gdr_reftransV1_0003880</v>
      </c>
      <c r="B14481" s="2">
        <v>528</v>
      </c>
      <c r="C14481" s="4" t="str">
        <f>HYPERLINK("http://www.uniprot.org/uniprot/M5W4D7","M5W4D7")</f>
        <v>M5W4D7</v>
      </c>
      <c r="D14481" s="2" t="s">
        <v>11766</v>
      </c>
      <c r="E14481" s="3">
        <v>1.2200000000000001E-45</v>
      </c>
      <c r="F14481" s="2">
        <v>394</v>
      </c>
      <c r="G14481" s="2">
        <v>100</v>
      </c>
      <c r="H14481" s="2">
        <v>78</v>
      </c>
      <c r="I14481" s="2">
        <v>76</v>
      </c>
      <c r="J14481" s="2">
        <v>309</v>
      </c>
      <c r="K14481" s="2">
        <v>1</v>
      </c>
      <c r="L14481" s="2">
        <v>78</v>
      </c>
    </row>
    <row r="14482" spans="1:12" x14ac:dyDescent="0.25">
      <c r="A14482" s="4" t="str">
        <f>HYPERLINK("http://www.rosaceae.org/Prunus/Prunus_persica/p.persica_gdr_reftransV1_0004580","p.persica_gdr_reftransV1_0004580")</f>
        <v>p.persica_gdr_reftransV1_0004580</v>
      </c>
      <c r="B14482" s="2">
        <v>1622</v>
      </c>
      <c r="C14482" s="4" t="str">
        <f>HYPERLINK("http://www.uniprot.org/uniprot/M5XEM3","M5XEM3")</f>
        <v>M5XEM3</v>
      </c>
      <c r="D14482" s="2" t="s">
        <v>11767</v>
      </c>
      <c r="E14482" s="3">
        <v>0</v>
      </c>
      <c r="F14482" s="2">
        <v>1811</v>
      </c>
      <c r="G14482" s="2">
        <v>98</v>
      </c>
      <c r="H14482" s="2">
        <v>367</v>
      </c>
      <c r="I14482" s="2">
        <v>73</v>
      </c>
      <c r="J14482" s="2">
        <v>1158</v>
      </c>
      <c r="K14482" s="2">
        <v>1</v>
      </c>
      <c r="L14482" s="2">
        <v>367</v>
      </c>
    </row>
    <row r="14483" spans="1:12" x14ac:dyDescent="0.25">
      <c r="A14483" s="4" t="str">
        <f>HYPERLINK("http://www.rosaceae.org/Prunus/Prunus_persica/p.persica_gdr_reftransV1_0004930","p.persica_gdr_reftransV1_0004930")</f>
        <v>p.persica_gdr_reftransV1_0004930</v>
      </c>
      <c r="B14483" s="2">
        <v>2240</v>
      </c>
      <c r="C14483" s="4" t="str">
        <f>HYPERLINK("http://www.uniprot.org/uniprot/M5Y0U1","M5Y0U1")</f>
        <v>M5Y0U1</v>
      </c>
      <c r="D14483" s="2" t="s">
        <v>11318</v>
      </c>
      <c r="E14483" s="3">
        <v>0</v>
      </c>
      <c r="F14483" s="2">
        <v>1799</v>
      </c>
      <c r="G14483" s="2">
        <v>100</v>
      </c>
      <c r="H14483" s="2">
        <v>377</v>
      </c>
      <c r="I14483" s="2">
        <v>241</v>
      </c>
      <c r="J14483" s="2">
        <v>1371</v>
      </c>
      <c r="K14483" s="2">
        <v>1</v>
      </c>
      <c r="L14483" s="2">
        <v>377</v>
      </c>
    </row>
    <row r="14484" spans="1:12" x14ac:dyDescent="0.25">
      <c r="A14484" s="4" t="str">
        <f>HYPERLINK("http://www.rosaceae.org/Prunus/Prunus_persica/p.persica_gdr_reftransV1_0005980","p.persica_gdr_reftransV1_0005980")</f>
        <v>p.persica_gdr_reftransV1_0005980</v>
      </c>
      <c r="B14484" s="2">
        <v>539</v>
      </c>
      <c r="C14484" s="4" t="str">
        <f>HYPERLINK("http://www.uniprot.org/uniprot/M5X584","M5X584")</f>
        <v>M5X584</v>
      </c>
      <c r="D14484" s="2" t="s">
        <v>2491</v>
      </c>
      <c r="E14484" s="3">
        <v>3.3099999999999999E-73</v>
      </c>
      <c r="F14484" s="2">
        <v>604</v>
      </c>
      <c r="G14484" s="2">
        <v>100</v>
      </c>
      <c r="H14484" s="2">
        <v>112</v>
      </c>
      <c r="I14484" s="2">
        <v>1</v>
      </c>
      <c r="J14484" s="2">
        <v>336</v>
      </c>
      <c r="K14484" s="2">
        <v>284</v>
      </c>
      <c r="L14484" s="2">
        <v>395</v>
      </c>
    </row>
    <row r="14485" spans="1:12" x14ac:dyDescent="0.25">
      <c r="A14485" s="4" t="str">
        <f>HYPERLINK("http://www.rosaceae.org/Prunus/Prunus_persica/p.persica_gdr_reftransV1_0006330","p.persica_gdr_reftransV1_0006330")</f>
        <v>p.persica_gdr_reftransV1_0006330</v>
      </c>
      <c r="B14485" s="2">
        <v>495</v>
      </c>
      <c r="C14485" s="4" t="str">
        <f>HYPERLINK("http://www.uniprot.org/uniprot/M5Y758","M5Y758")</f>
        <v>M5Y758</v>
      </c>
      <c r="D14485" s="2" t="s">
        <v>11768</v>
      </c>
      <c r="E14485" s="3">
        <v>4.7200000000000003E-77</v>
      </c>
      <c r="F14485" s="2">
        <v>620</v>
      </c>
      <c r="G14485" s="2">
        <v>100</v>
      </c>
      <c r="H14485" s="2">
        <v>131</v>
      </c>
      <c r="I14485" s="2">
        <v>3</v>
      </c>
      <c r="J14485" s="2">
        <v>395</v>
      </c>
      <c r="K14485" s="2">
        <v>174</v>
      </c>
      <c r="L14485" s="2">
        <v>304</v>
      </c>
    </row>
    <row r="14486" spans="1:12" x14ac:dyDescent="0.25">
      <c r="A14486" s="4" t="str">
        <f>HYPERLINK("http://www.rosaceae.org/Prunus/Prunus_persica/p.persica_gdr_reftransV1_0007030","p.persica_gdr_reftransV1_0007030")</f>
        <v>p.persica_gdr_reftransV1_0007030</v>
      </c>
      <c r="B14486" s="2">
        <v>1576</v>
      </c>
      <c r="C14486" s="4" t="str">
        <f>HYPERLINK("http://www.uniprot.org/uniprot/M5W4M7","M5W4M7")</f>
        <v>M5W4M7</v>
      </c>
      <c r="D14486" s="2" t="s">
        <v>11769</v>
      </c>
      <c r="E14486" s="3">
        <v>0</v>
      </c>
      <c r="F14486" s="2">
        <v>2345</v>
      </c>
      <c r="G14486" s="2">
        <v>100</v>
      </c>
      <c r="H14486" s="2">
        <v>452</v>
      </c>
      <c r="I14486" s="2">
        <v>221</v>
      </c>
      <c r="J14486" s="2">
        <v>1576</v>
      </c>
      <c r="K14486" s="2">
        <v>11</v>
      </c>
      <c r="L14486" s="2">
        <v>462</v>
      </c>
    </row>
    <row r="14487" spans="1:12" x14ac:dyDescent="0.25">
      <c r="A14487" s="4" t="str">
        <f>HYPERLINK("http://www.rosaceae.org/Prunus/Prunus_persica/p.persica_gdr_reftransV1_0007380","p.persica_gdr_reftransV1_0007380")</f>
        <v>p.persica_gdr_reftransV1_0007380</v>
      </c>
      <c r="B14487" s="2">
        <v>1418</v>
      </c>
      <c r="C14487" s="4" t="str">
        <f>HYPERLINK("http://www.uniprot.org/uniprot/M5VXQ8","M5VXQ8")</f>
        <v>M5VXQ8</v>
      </c>
      <c r="D14487" s="2" t="s">
        <v>10596</v>
      </c>
      <c r="E14487" s="3">
        <v>0</v>
      </c>
      <c r="F14487" s="2">
        <v>1881</v>
      </c>
      <c r="G14487" s="2">
        <v>99</v>
      </c>
      <c r="H14487" s="2">
        <v>403</v>
      </c>
      <c r="I14487" s="2">
        <v>208</v>
      </c>
      <c r="J14487" s="2">
        <v>1416</v>
      </c>
      <c r="K14487" s="2">
        <v>545</v>
      </c>
      <c r="L14487" s="2">
        <v>947</v>
      </c>
    </row>
    <row r="14488" spans="1:12" x14ac:dyDescent="0.25">
      <c r="A14488" s="4" t="str">
        <f>HYPERLINK("http://www.rosaceae.org/Prunus/Prunus_persica/p.persica_gdr_reftransV1_0007730","p.persica_gdr_reftransV1_0007730")</f>
        <v>p.persica_gdr_reftransV1_0007730</v>
      </c>
      <c r="B14488" s="2">
        <v>2071</v>
      </c>
      <c r="C14488" s="4" t="str">
        <f>HYPERLINK("http://www.uniprot.org/uniprot/M5WGK4","M5WGK4")</f>
        <v>M5WGK4</v>
      </c>
      <c r="D14488" s="2" t="s">
        <v>11770</v>
      </c>
      <c r="E14488" s="3">
        <v>0</v>
      </c>
      <c r="F14488" s="2">
        <v>2031</v>
      </c>
      <c r="G14488" s="2">
        <v>100</v>
      </c>
      <c r="H14488" s="2">
        <v>428</v>
      </c>
      <c r="I14488" s="2">
        <v>240</v>
      </c>
      <c r="J14488" s="2">
        <v>1523</v>
      </c>
      <c r="K14488" s="2">
        <v>1</v>
      </c>
      <c r="L14488" s="2">
        <v>428</v>
      </c>
    </row>
    <row r="14489" spans="1:12" x14ac:dyDescent="0.25">
      <c r="A14489" s="4" t="str">
        <f>HYPERLINK("http://www.rosaceae.org/Prunus/Prunus_persica/p.persica_gdr_reftransV1_0008080","p.persica_gdr_reftransV1_0008080")</f>
        <v>p.persica_gdr_reftransV1_0008080</v>
      </c>
      <c r="B14489" s="2">
        <v>1108</v>
      </c>
      <c r="C14489" s="4" t="str">
        <f>HYPERLINK("http://www.uniprot.org/uniprot/M5W364","M5W364")</f>
        <v>M5W364</v>
      </c>
      <c r="D14489" s="2" t="s">
        <v>11771</v>
      </c>
      <c r="E14489" s="3">
        <v>1.15E-69</v>
      </c>
      <c r="F14489" s="2">
        <v>586</v>
      </c>
      <c r="G14489" s="2">
        <v>100</v>
      </c>
      <c r="H14489" s="2">
        <v>126</v>
      </c>
      <c r="I14489" s="2">
        <v>632</v>
      </c>
      <c r="J14489" s="2">
        <v>1009</v>
      </c>
      <c r="K14489" s="2">
        <v>1</v>
      </c>
      <c r="L14489" s="2">
        <v>126</v>
      </c>
    </row>
    <row r="14490" spans="1:12" x14ac:dyDescent="0.25">
      <c r="A14490" s="4" t="str">
        <f>HYPERLINK("http://www.rosaceae.org/Prunus/Prunus_persica/p.persica_gdr_reftransV1_0009130","p.persica_gdr_reftransV1_0009130")</f>
        <v>p.persica_gdr_reftransV1_0009130</v>
      </c>
      <c r="B14490" s="2">
        <v>3057</v>
      </c>
      <c r="C14490" s="4" t="str">
        <f>HYPERLINK("http://www.uniprot.org/uniprot/A0A067GHV2","A0A067GHV2")</f>
        <v>A0A067GHV2</v>
      </c>
      <c r="D14490" s="2" t="s">
        <v>11772</v>
      </c>
      <c r="E14490" s="3">
        <v>0</v>
      </c>
      <c r="F14490" s="2">
        <v>2358</v>
      </c>
      <c r="G14490" s="2">
        <v>67</v>
      </c>
      <c r="H14490" s="2">
        <v>652</v>
      </c>
      <c r="I14490" s="2">
        <v>168</v>
      </c>
      <c r="J14490" s="2">
        <v>2123</v>
      </c>
      <c r="K14490" s="2">
        <v>9</v>
      </c>
      <c r="L14490" s="2">
        <v>658</v>
      </c>
    </row>
    <row r="14491" spans="1:12" x14ac:dyDescent="0.25">
      <c r="A14491" s="4" t="str">
        <f>HYPERLINK("http://www.rosaceae.org/Prunus/Prunus_persica/p.persica_gdr_reftransV1_0009480","p.persica_gdr_reftransV1_0009480")</f>
        <v>p.persica_gdr_reftransV1_0009480</v>
      </c>
      <c r="B14491" s="2">
        <v>386</v>
      </c>
      <c r="C14491" s="4" t="str">
        <f>HYPERLINK("http://www.uniprot.org/uniprot/M5Y8P4","M5Y8P4")</f>
        <v>M5Y8P4</v>
      </c>
      <c r="D14491" s="2" t="s">
        <v>11773</v>
      </c>
      <c r="E14491" s="3">
        <v>1.71E-42</v>
      </c>
      <c r="F14491" s="2">
        <v>378</v>
      </c>
      <c r="G14491" s="2">
        <v>100</v>
      </c>
      <c r="H14491" s="2">
        <v>105</v>
      </c>
      <c r="I14491" s="2">
        <v>70</v>
      </c>
      <c r="J14491" s="2">
        <v>384</v>
      </c>
      <c r="K14491" s="2">
        <v>53</v>
      </c>
      <c r="L14491" s="2">
        <v>157</v>
      </c>
    </row>
    <row r="14492" spans="1:12" x14ac:dyDescent="0.25">
      <c r="A14492" s="4" t="str">
        <f>HYPERLINK("http://www.rosaceae.org/Prunus/Prunus_persica/p.persica_gdr_reftransV1_0009830","p.persica_gdr_reftransV1_0009830")</f>
        <v>p.persica_gdr_reftransV1_0009830</v>
      </c>
      <c r="B14492" s="2">
        <v>1050</v>
      </c>
      <c r="C14492" s="4" t="str">
        <f>HYPERLINK("http://www.uniprot.org/uniprot/M5W6S0","M5W6S0")</f>
        <v>M5W6S0</v>
      </c>
      <c r="D14492" s="2" t="s">
        <v>11774</v>
      </c>
      <c r="E14492" s="3">
        <v>2.14E-166</v>
      </c>
      <c r="F14492" s="2">
        <v>1229</v>
      </c>
      <c r="G14492" s="2">
        <v>100</v>
      </c>
      <c r="H14492" s="2">
        <v>266</v>
      </c>
      <c r="I14492" s="2">
        <v>177</v>
      </c>
      <c r="J14492" s="2">
        <v>974</v>
      </c>
      <c r="K14492" s="2">
        <v>17</v>
      </c>
      <c r="L14492" s="2">
        <v>282</v>
      </c>
    </row>
    <row r="14493" spans="1:12" x14ac:dyDescent="0.25">
      <c r="A14493" s="4" t="str">
        <f>HYPERLINK("http://www.rosaceae.org/Prunus/Prunus_persica/p.persica_gdr_reftransV1_0010530","p.persica_gdr_reftransV1_0010530")</f>
        <v>p.persica_gdr_reftransV1_0010530</v>
      </c>
      <c r="B14493" s="2">
        <v>2475</v>
      </c>
      <c r="C14493" s="4" t="str">
        <f>HYPERLINK("http://www.uniprot.org/uniprot/M5VYJ0","M5VYJ0")</f>
        <v>M5VYJ0</v>
      </c>
      <c r="D14493" s="2" t="s">
        <v>11193</v>
      </c>
      <c r="E14493" s="3">
        <v>0</v>
      </c>
      <c r="F14493" s="2">
        <v>2505</v>
      </c>
      <c r="G14493" s="2">
        <v>100</v>
      </c>
      <c r="H14493" s="2">
        <v>629</v>
      </c>
      <c r="I14493" s="2">
        <v>224</v>
      </c>
      <c r="J14493" s="2">
        <v>2110</v>
      </c>
      <c r="K14493" s="2">
        <v>1</v>
      </c>
      <c r="L14493" s="2">
        <v>629</v>
      </c>
    </row>
    <row r="14494" spans="1:12" x14ac:dyDescent="0.25">
      <c r="A14494" s="4" t="str">
        <f>HYPERLINK("http://www.rosaceae.org/Prunus/Prunus_persica/p.persica_gdr_reftransV1_0010880","p.persica_gdr_reftransV1_0010880")</f>
        <v>p.persica_gdr_reftransV1_0010880</v>
      </c>
      <c r="B14494" s="2">
        <v>2855</v>
      </c>
      <c r="C14494" s="4" t="str">
        <f>HYPERLINK("http://www.uniprot.org/uniprot/M5WUT8","M5WUT8")</f>
        <v>M5WUT8</v>
      </c>
      <c r="D14494" s="2" t="s">
        <v>11775</v>
      </c>
      <c r="E14494" s="3">
        <v>2.57E-63</v>
      </c>
      <c r="F14494" s="2">
        <v>579</v>
      </c>
      <c r="G14494" s="2">
        <v>100</v>
      </c>
      <c r="H14494" s="2">
        <v>108</v>
      </c>
      <c r="I14494" s="2">
        <v>2276</v>
      </c>
      <c r="J14494" s="2">
        <v>2599</v>
      </c>
      <c r="K14494" s="2">
        <v>221</v>
      </c>
      <c r="L14494" s="2">
        <v>328</v>
      </c>
    </row>
    <row r="14495" spans="1:12" x14ac:dyDescent="0.25">
      <c r="A14495" s="4" t="str">
        <f>HYPERLINK("http://www.rosaceae.org/Prunus/Prunus_persica/p.persica_gdr_reftransV1_0011580","p.persica_gdr_reftransV1_0011580")</f>
        <v>p.persica_gdr_reftransV1_0011580</v>
      </c>
      <c r="B14495" s="2">
        <v>1483</v>
      </c>
      <c r="C14495" s="4" t="str">
        <f>HYPERLINK("http://www.uniprot.org/uniprot/M5X1Y8","M5X1Y8")</f>
        <v>M5X1Y8</v>
      </c>
      <c r="D14495" s="2" t="s">
        <v>5287</v>
      </c>
      <c r="E14495" s="3">
        <v>0</v>
      </c>
      <c r="F14495" s="2">
        <v>1678</v>
      </c>
      <c r="G14495" s="2">
        <v>100</v>
      </c>
      <c r="H14495" s="2">
        <v>425</v>
      </c>
      <c r="I14495" s="2">
        <v>1</v>
      </c>
      <c r="J14495" s="2">
        <v>1275</v>
      </c>
      <c r="K14495" s="2">
        <v>776</v>
      </c>
      <c r="L14495" s="2">
        <v>1200</v>
      </c>
    </row>
    <row r="14496" spans="1:12" x14ac:dyDescent="0.25">
      <c r="A14496" s="4" t="str">
        <f>HYPERLINK("http://www.rosaceae.org/Prunus/Prunus_persica/p.persica_gdr_reftransV1_0011930","p.persica_gdr_reftransV1_0011930")</f>
        <v>p.persica_gdr_reftransV1_0011930</v>
      </c>
      <c r="B14496" s="2">
        <v>992</v>
      </c>
      <c r="C14496" s="4" t="str">
        <f>HYPERLINK("http://www.uniprot.org/uniprot/M5WNW8","M5WNW8")</f>
        <v>M5WNW8</v>
      </c>
      <c r="D14496" s="2" t="s">
        <v>11776</v>
      </c>
      <c r="E14496" s="3">
        <v>4.3899999999999998E-74</v>
      </c>
      <c r="F14496" s="2">
        <v>601</v>
      </c>
      <c r="G14496" s="2">
        <v>79</v>
      </c>
      <c r="H14496" s="2">
        <v>151</v>
      </c>
      <c r="I14496" s="2">
        <v>53</v>
      </c>
      <c r="J14496" s="2">
        <v>505</v>
      </c>
      <c r="K14496" s="2">
        <v>1</v>
      </c>
      <c r="L14496" s="2">
        <v>119</v>
      </c>
    </row>
    <row r="14497" spans="1:12" x14ac:dyDescent="0.25">
      <c r="A14497" s="4" t="str">
        <f>HYPERLINK("http://www.rosaceae.org/Prunus/Prunus_persica/p.persica_gdr_reftransV1_0012980","p.persica_gdr_reftransV1_0012980")</f>
        <v>p.persica_gdr_reftransV1_0012980</v>
      </c>
      <c r="B14497" s="2">
        <v>2033</v>
      </c>
      <c r="C14497" s="4" t="str">
        <f>HYPERLINK("http://www.uniprot.org/uniprot/M5WIF1","M5WIF1")</f>
        <v>M5WIF1</v>
      </c>
      <c r="D14497" s="2" t="s">
        <v>11777</v>
      </c>
      <c r="E14497" s="3">
        <v>0</v>
      </c>
      <c r="F14497" s="2">
        <v>2292</v>
      </c>
      <c r="G14497" s="2">
        <v>100</v>
      </c>
      <c r="H14497" s="2">
        <v>436</v>
      </c>
      <c r="I14497" s="2">
        <v>559</v>
      </c>
      <c r="J14497" s="2">
        <v>1866</v>
      </c>
      <c r="K14497" s="2">
        <v>26</v>
      </c>
      <c r="L14497" s="2">
        <v>461</v>
      </c>
    </row>
    <row r="14498" spans="1:12" x14ac:dyDescent="0.25">
      <c r="A14498" s="4" t="str">
        <f>HYPERLINK("http://www.rosaceae.org/Prunus/Prunus_persica/p.persica_gdr_reftransV1_0013330","p.persica_gdr_reftransV1_0013330")</f>
        <v>p.persica_gdr_reftransV1_0013330</v>
      </c>
      <c r="B14498" s="2">
        <v>1568</v>
      </c>
      <c r="C14498" s="4" t="str">
        <f>HYPERLINK("http://www.uniprot.org/uniprot/M5WRG0","M5WRG0")</f>
        <v>M5WRG0</v>
      </c>
      <c r="D14498" s="2" t="s">
        <v>11778</v>
      </c>
      <c r="E14498" s="3">
        <v>2.0900000000000002E-86</v>
      </c>
      <c r="F14498" s="2">
        <v>714</v>
      </c>
      <c r="G14498" s="2">
        <v>95</v>
      </c>
      <c r="H14498" s="2">
        <v>143</v>
      </c>
      <c r="I14498" s="2">
        <v>845</v>
      </c>
      <c r="J14498" s="2">
        <v>1270</v>
      </c>
      <c r="K14498" s="2">
        <v>4</v>
      </c>
      <c r="L14498" s="2">
        <v>146</v>
      </c>
    </row>
    <row r="14499" spans="1:12" x14ac:dyDescent="0.25">
      <c r="A14499" s="4" t="str">
        <f>HYPERLINK("http://www.rosaceae.org/Prunus/Prunus_persica/p.persica_gdr_reftransV1_0013680","p.persica_gdr_reftransV1_0013680")</f>
        <v>p.persica_gdr_reftransV1_0013680</v>
      </c>
      <c r="B14499" s="2">
        <v>1677</v>
      </c>
      <c r="C14499" s="4" t="str">
        <f>HYPERLINK("http://www.uniprot.org/uniprot/M5XQP6","M5XQP6")</f>
        <v>M5XQP6</v>
      </c>
      <c r="D14499" s="2" t="s">
        <v>11779</v>
      </c>
      <c r="E14499" s="3">
        <v>0</v>
      </c>
      <c r="F14499" s="2">
        <v>1724</v>
      </c>
      <c r="G14499" s="2">
        <v>100</v>
      </c>
      <c r="H14499" s="2">
        <v>352</v>
      </c>
      <c r="I14499" s="2">
        <v>181</v>
      </c>
      <c r="J14499" s="2">
        <v>1236</v>
      </c>
      <c r="K14499" s="2">
        <v>1</v>
      </c>
      <c r="L14499" s="2">
        <v>352</v>
      </c>
    </row>
    <row r="14500" spans="1:12" x14ac:dyDescent="0.25">
      <c r="A14500" s="4" t="str">
        <f>HYPERLINK("http://www.rosaceae.org/Prunus/Prunus_persica/p.persica_gdr_reftransV1_0014030","p.persica_gdr_reftransV1_0014030")</f>
        <v>p.persica_gdr_reftransV1_0014030</v>
      </c>
      <c r="B14500" s="2">
        <v>2137</v>
      </c>
      <c r="C14500" s="4" t="str">
        <f>HYPERLINK("http://www.uniprot.org/uniprot/W9QZE5","W9QZE5")</f>
        <v>W9QZE5</v>
      </c>
      <c r="D14500" s="2" t="s">
        <v>11780</v>
      </c>
      <c r="E14500" s="3">
        <v>0</v>
      </c>
      <c r="F14500" s="2">
        <v>2088</v>
      </c>
      <c r="G14500" s="2">
        <v>69</v>
      </c>
      <c r="H14500" s="2">
        <v>614</v>
      </c>
      <c r="I14500" s="2">
        <v>37</v>
      </c>
      <c r="J14500" s="2">
        <v>1860</v>
      </c>
      <c r="K14500" s="2">
        <v>4</v>
      </c>
      <c r="L14500" s="2">
        <v>613</v>
      </c>
    </row>
    <row r="14501" spans="1:12" x14ac:dyDescent="0.25">
      <c r="A14501" s="4" t="str">
        <f>HYPERLINK("http://www.rosaceae.org/Prunus/Prunus_persica/p.persica_gdr_reftransV1_0014380","p.persica_gdr_reftransV1_0014380")</f>
        <v>p.persica_gdr_reftransV1_0014380</v>
      </c>
      <c r="B14501" s="2">
        <v>593</v>
      </c>
      <c r="C14501" s="4" t="str">
        <f>HYPERLINK("http://www.uniprot.org/uniprot/M5XMI1","M5XMI1")</f>
        <v>M5XMI1</v>
      </c>
      <c r="D14501" s="2" t="s">
        <v>11781</v>
      </c>
      <c r="E14501" s="3">
        <v>4.9E-56</v>
      </c>
      <c r="F14501" s="2">
        <v>473</v>
      </c>
      <c r="G14501" s="2">
        <v>100</v>
      </c>
      <c r="H14501" s="2">
        <v>112</v>
      </c>
      <c r="I14501" s="2">
        <v>96</v>
      </c>
      <c r="J14501" s="2">
        <v>431</v>
      </c>
      <c r="K14501" s="2">
        <v>1</v>
      </c>
      <c r="L14501" s="2">
        <v>112</v>
      </c>
    </row>
    <row r="14502" spans="1:12" x14ac:dyDescent="0.25">
      <c r="A14502" s="4" t="str">
        <f>HYPERLINK("http://www.rosaceae.org/Prunus/Prunus_persica/p.persica_gdr_reftransV1_0015080","p.persica_gdr_reftransV1_0015080")</f>
        <v>p.persica_gdr_reftransV1_0015080</v>
      </c>
      <c r="B14502" s="2">
        <v>1428</v>
      </c>
      <c r="C14502" s="4" t="str">
        <f>HYPERLINK("http://www.uniprot.org/uniprot/M5XHA8","M5XHA8")</f>
        <v>M5XHA8</v>
      </c>
      <c r="D14502" s="2" t="s">
        <v>11782</v>
      </c>
      <c r="E14502" s="3">
        <v>2.5699999999999999E-99</v>
      </c>
      <c r="F14502" s="2">
        <v>784</v>
      </c>
      <c r="G14502" s="2">
        <v>100</v>
      </c>
      <c r="H14502" s="2">
        <v>148</v>
      </c>
      <c r="I14502" s="2">
        <v>119</v>
      </c>
      <c r="J14502" s="2">
        <v>562</v>
      </c>
      <c r="K14502" s="2">
        <v>3</v>
      </c>
      <c r="L14502" s="2">
        <v>150</v>
      </c>
    </row>
    <row r="14503" spans="1:12" x14ac:dyDescent="0.25">
      <c r="A14503" s="4" t="str">
        <f>HYPERLINK("http://www.rosaceae.org/Prunus/Prunus_persica/p.persica_gdr_reftransV1_0016130","p.persica_gdr_reftransV1_0016130")</f>
        <v>p.persica_gdr_reftransV1_0016130</v>
      </c>
      <c r="B14503" s="2">
        <v>4086</v>
      </c>
      <c r="C14503" s="4" t="str">
        <f>HYPERLINK("http://www.uniprot.org/uniprot/M5XL01","M5XL01")</f>
        <v>M5XL01</v>
      </c>
      <c r="D14503" s="2" t="s">
        <v>11783</v>
      </c>
      <c r="E14503" s="3">
        <v>0</v>
      </c>
      <c r="F14503" s="2">
        <v>5021</v>
      </c>
      <c r="G14503" s="2">
        <v>99</v>
      </c>
      <c r="H14503" s="2">
        <v>987</v>
      </c>
      <c r="I14503" s="2">
        <v>708</v>
      </c>
      <c r="J14503" s="2">
        <v>3668</v>
      </c>
      <c r="K14503" s="2">
        <v>47</v>
      </c>
      <c r="L14503" s="2">
        <v>1033</v>
      </c>
    </row>
    <row r="14504" spans="1:12" x14ac:dyDescent="0.25">
      <c r="A14504" s="4" t="str">
        <f>HYPERLINK("http://www.rosaceae.org/Prunus/Prunus_persica/p.persica_gdr_reftransV1_0016830","p.persica_gdr_reftransV1_0016830")</f>
        <v>p.persica_gdr_reftransV1_0016830</v>
      </c>
      <c r="B14504" s="2">
        <v>1592</v>
      </c>
      <c r="C14504" s="4" t="str">
        <f>HYPERLINK("http://www.uniprot.org/uniprot/M5WA07","M5WA07")</f>
        <v>M5WA07</v>
      </c>
      <c r="D14504" s="2" t="s">
        <v>11784</v>
      </c>
      <c r="E14504" s="3">
        <v>8.2500000000000001E-88</v>
      </c>
      <c r="F14504" s="2">
        <v>729</v>
      </c>
      <c r="G14504" s="2">
        <v>100</v>
      </c>
      <c r="H14504" s="2">
        <v>137</v>
      </c>
      <c r="I14504" s="2">
        <v>939</v>
      </c>
      <c r="J14504" s="2">
        <v>1349</v>
      </c>
      <c r="K14504" s="2">
        <v>187</v>
      </c>
      <c r="L14504" s="2">
        <v>323</v>
      </c>
    </row>
    <row r="14505" spans="1:12" x14ac:dyDescent="0.25">
      <c r="A14505" s="4" t="str">
        <f>HYPERLINK("http://www.rosaceae.org/Prunus/Prunus_persica/p.persica_gdr_reftransV1_0017180","p.persica_gdr_reftransV1_0017180")</f>
        <v>p.persica_gdr_reftransV1_0017180</v>
      </c>
      <c r="B14505" s="2">
        <v>1644</v>
      </c>
      <c r="C14505" s="4" t="str">
        <f>HYPERLINK("http://www.uniprot.org/uniprot/M5Y9F2","M5Y9F2")</f>
        <v>M5Y9F2</v>
      </c>
      <c r="D14505" s="2" t="s">
        <v>11785</v>
      </c>
      <c r="E14505" s="3">
        <v>8.6499999999999997E-129</v>
      </c>
      <c r="F14505" s="2">
        <v>992</v>
      </c>
      <c r="G14505" s="2">
        <v>100</v>
      </c>
      <c r="H14505" s="2">
        <v>202</v>
      </c>
      <c r="I14505" s="2">
        <v>242</v>
      </c>
      <c r="J14505" s="2">
        <v>847</v>
      </c>
      <c r="K14505" s="2">
        <v>1</v>
      </c>
      <c r="L14505" s="2">
        <v>202</v>
      </c>
    </row>
    <row r="14506" spans="1:12" x14ac:dyDescent="0.25">
      <c r="A14506" s="4" t="str">
        <f>HYPERLINK("http://www.rosaceae.org/Prunus/Prunus_persica/p.persica_gdr_reftransV1_0017880","p.persica_gdr_reftransV1_0017880")</f>
        <v>p.persica_gdr_reftransV1_0017880</v>
      </c>
      <c r="B14506" s="2">
        <v>2489</v>
      </c>
      <c r="C14506" s="4" t="str">
        <f>HYPERLINK("http://www.uniprot.org/uniprot/M5WBP7","M5WBP7")</f>
        <v>M5WBP7</v>
      </c>
      <c r="D14506" s="2" t="s">
        <v>11786</v>
      </c>
      <c r="E14506" s="3">
        <v>2.1299999999999998E-102</v>
      </c>
      <c r="F14506" s="2">
        <v>851</v>
      </c>
      <c r="G14506" s="2">
        <v>99</v>
      </c>
      <c r="H14506" s="2">
        <v>162</v>
      </c>
      <c r="I14506" s="2">
        <v>960</v>
      </c>
      <c r="J14506" s="2">
        <v>1445</v>
      </c>
      <c r="K14506" s="2">
        <v>83</v>
      </c>
      <c r="L14506" s="2">
        <v>244</v>
      </c>
    </row>
    <row r="14507" spans="1:12" x14ac:dyDescent="0.25">
      <c r="A14507" s="4" t="str">
        <f>HYPERLINK("http://www.rosaceae.org/Prunus/Prunus_persica/p.persica_gdr_reftransV1_0018230","p.persica_gdr_reftransV1_0018230")</f>
        <v>p.persica_gdr_reftransV1_0018230</v>
      </c>
      <c r="B14507" s="2">
        <v>828</v>
      </c>
      <c r="C14507" s="4" t="str">
        <f>HYPERLINK("http://www.uniprot.org/uniprot/M5VMW4","M5VMW4")</f>
        <v>M5VMW4</v>
      </c>
      <c r="D14507" s="2" t="s">
        <v>1818</v>
      </c>
      <c r="E14507" s="3">
        <v>1.9999999999999999E-80</v>
      </c>
      <c r="F14507" s="2">
        <v>639</v>
      </c>
      <c r="G14507" s="2">
        <v>100</v>
      </c>
      <c r="H14507" s="2">
        <v>123</v>
      </c>
      <c r="I14507" s="2">
        <v>386</v>
      </c>
      <c r="J14507" s="2">
        <v>754</v>
      </c>
      <c r="K14507" s="2">
        <v>1</v>
      </c>
      <c r="L14507" s="2">
        <v>123</v>
      </c>
    </row>
    <row r="14508" spans="1:12" x14ac:dyDescent="0.25">
      <c r="A14508" s="4" t="str">
        <f>HYPERLINK("http://www.rosaceae.org/Prunus/Prunus_persica/p.persica_gdr_reftransV1_0018930","p.persica_gdr_reftransV1_0018930")</f>
        <v>p.persica_gdr_reftransV1_0018930</v>
      </c>
      <c r="B14508" s="2">
        <v>1714</v>
      </c>
      <c r="C14508" s="4" t="str">
        <f>HYPERLINK("http://www.uniprot.org/uniprot/M5W4G0","M5W4G0")</f>
        <v>M5W4G0</v>
      </c>
      <c r="D14508" s="2" t="s">
        <v>11787</v>
      </c>
      <c r="E14508" s="3">
        <v>0</v>
      </c>
      <c r="F14508" s="2">
        <v>1918</v>
      </c>
      <c r="G14508" s="2">
        <v>94</v>
      </c>
      <c r="H14508" s="2">
        <v>414</v>
      </c>
      <c r="I14508" s="2">
        <v>64</v>
      </c>
      <c r="J14508" s="2">
        <v>1305</v>
      </c>
      <c r="K14508" s="2">
        <v>20</v>
      </c>
      <c r="L14508" s="2">
        <v>421</v>
      </c>
    </row>
    <row r="14509" spans="1:12" x14ac:dyDescent="0.25">
      <c r="A14509" s="4" t="str">
        <f>HYPERLINK("http://www.rosaceae.org/Prunus/Prunus_persica/p.persica_gdr_reftransV1_0020330","p.persica_gdr_reftransV1_0020330")</f>
        <v>p.persica_gdr_reftransV1_0020330</v>
      </c>
      <c r="B14509" s="2">
        <v>1351</v>
      </c>
      <c r="C14509" s="4" t="str">
        <f>HYPERLINK("http://www.uniprot.org/uniprot/M5W706","M5W706")</f>
        <v>M5W706</v>
      </c>
      <c r="D14509" s="2" t="s">
        <v>11788</v>
      </c>
      <c r="E14509" s="3">
        <v>4.7000000000000001E-85</v>
      </c>
      <c r="F14509" s="2">
        <v>690</v>
      </c>
      <c r="G14509" s="2">
        <v>97</v>
      </c>
      <c r="H14509" s="2">
        <v>176</v>
      </c>
      <c r="I14509" s="2">
        <v>744</v>
      </c>
      <c r="J14509" s="2">
        <v>1271</v>
      </c>
      <c r="K14509" s="2">
        <v>1</v>
      </c>
      <c r="L14509" s="2">
        <v>176</v>
      </c>
    </row>
    <row r="14510" spans="1:12" x14ac:dyDescent="0.25">
      <c r="A14510" s="4" t="str">
        <f>HYPERLINK("http://www.rosaceae.org/Prunus/Prunus_persica/p.persica_gdr_reftransV1_0021380","p.persica_gdr_reftransV1_0021380")</f>
        <v>p.persica_gdr_reftransV1_0021380</v>
      </c>
      <c r="B14510" s="2">
        <v>1598</v>
      </c>
      <c r="C14510" s="4" t="str">
        <f>HYPERLINK("http://www.uniprot.org/uniprot/M5W2R2","M5W2R2")</f>
        <v>M5W2R2</v>
      </c>
      <c r="D14510" s="2" t="s">
        <v>11789</v>
      </c>
      <c r="E14510" s="3">
        <v>0</v>
      </c>
      <c r="F14510" s="2">
        <v>1590</v>
      </c>
      <c r="G14510" s="2">
        <v>94</v>
      </c>
      <c r="H14510" s="2">
        <v>343</v>
      </c>
      <c r="I14510" s="2">
        <v>227</v>
      </c>
      <c r="J14510" s="2">
        <v>1255</v>
      </c>
      <c r="K14510" s="2">
        <v>1</v>
      </c>
      <c r="L14510" s="2">
        <v>323</v>
      </c>
    </row>
    <row r="14511" spans="1:12" x14ac:dyDescent="0.25">
      <c r="A14511" s="4" t="str">
        <f>HYPERLINK("http://www.rosaceae.org/Prunus/Prunus_persica/p.persica_gdr_reftransV1_0022080","p.persica_gdr_reftransV1_0022080")</f>
        <v>p.persica_gdr_reftransV1_0022080</v>
      </c>
      <c r="B14511" s="2">
        <v>359</v>
      </c>
      <c r="C14511" s="4" t="str">
        <f>HYPERLINK("http://www.uniprot.org/uniprot/M5W813","M5W813")</f>
        <v>M5W813</v>
      </c>
      <c r="D14511" s="2" t="s">
        <v>9838</v>
      </c>
      <c r="E14511" s="3">
        <v>6.7399999999999999E-79</v>
      </c>
      <c r="F14511" s="2">
        <v>647</v>
      </c>
      <c r="G14511" s="2">
        <v>100</v>
      </c>
      <c r="H14511" s="2">
        <v>119</v>
      </c>
      <c r="I14511" s="2">
        <v>3</v>
      </c>
      <c r="J14511" s="2">
        <v>359</v>
      </c>
      <c r="K14511" s="2">
        <v>107</v>
      </c>
      <c r="L14511" s="2">
        <v>225</v>
      </c>
    </row>
    <row r="14512" spans="1:12" x14ac:dyDescent="0.25">
      <c r="A14512" s="4" t="str">
        <f>HYPERLINK("http://www.rosaceae.org/Prunus/Prunus_persica/p.persica_gdr_reftransV1_0022430","p.persica_gdr_reftransV1_0022430")</f>
        <v>p.persica_gdr_reftransV1_0022430</v>
      </c>
      <c r="B14512" s="2">
        <v>790</v>
      </c>
      <c r="C14512" s="4" t="str">
        <f>HYPERLINK("http://www.uniprot.org/uniprot/M5XKF2","M5XKF2")</f>
        <v>M5XKF2</v>
      </c>
      <c r="D14512" s="2" t="s">
        <v>1382</v>
      </c>
      <c r="E14512" s="3">
        <v>1.0899999999999999E-71</v>
      </c>
      <c r="F14512" s="2">
        <v>590</v>
      </c>
      <c r="G14512" s="2">
        <v>100</v>
      </c>
      <c r="H14512" s="2">
        <v>151</v>
      </c>
      <c r="I14512" s="2">
        <v>2</v>
      </c>
      <c r="J14512" s="2">
        <v>454</v>
      </c>
      <c r="K14512" s="2">
        <v>1</v>
      </c>
      <c r="L14512" s="2">
        <v>151</v>
      </c>
    </row>
    <row r="14513" spans="1:12" x14ac:dyDescent="0.25">
      <c r="A14513" s="4" t="str">
        <f>HYPERLINK("http://www.rosaceae.org/Prunus/Prunus_persica/p.persica_gdr_reftransV1_0025930","p.persica_gdr_reftransV1_0025930")</f>
        <v>p.persica_gdr_reftransV1_0025930</v>
      </c>
      <c r="B14513" s="2">
        <v>1308</v>
      </c>
      <c r="C14513" s="4" t="str">
        <f>HYPERLINK("http://www.uniprot.org/uniprot/M5WEA7","M5WEA7")</f>
        <v>M5WEA7</v>
      </c>
      <c r="D14513" s="2" t="s">
        <v>11790</v>
      </c>
      <c r="E14513" s="3">
        <v>0</v>
      </c>
      <c r="F14513" s="2">
        <v>1676</v>
      </c>
      <c r="G14513" s="2">
        <v>100</v>
      </c>
      <c r="H14513" s="2">
        <v>319</v>
      </c>
      <c r="I14513" s="2">
        <v>190</v>
      </c>
      <c r="J14513" s="2">
        <v>1146</v>
      </c>
      <c r="K14513" s="2">
        <v>1</v>
      </c>
      <c r="L14513" s="2">
        <v>319</v>
      </c>
    </row>
    <row r="14514" spans="1:12" x14ac:dyDescent="0.25">
      <c r="A14514" s="4" t="str">
        <f>HYPERLINK("http://www.rosaceae.org/Prunus/Prunus_persica/p.persica_gdr_reftransV1_0027330","p.persica_gdr_reftransV1_0027330")</f>
        <v>p.persica_gdr_reftransV1_0027330</v>
      </c>
      <c r="B14514" s="2">
        <v>1590</v>
      </c>
      <c r="C14514" s="4" t="str">
        <f>HYPERLINK("http://www.uniprot.org/uniprot/M5X4Q5","M5X4Q5")</f>
        <v>M5X4Q5</v>
      </c>
      <c r="D14514" s="2" t="s">
        <v>11791</v>
      </c>
      <c r="E14514" s="3">
        <v>9.1900000000000002E-178</v>
      </c>
      <c r="F14514" s="2">
        <v>1343</v>
      </c>
      <c r="G14514" s="2">
        <v>100</v>
      </c>
      <c r="H14514" s="2">
        <v>329</v>
      </c>
      <c r="I14514" s="2">
        <v>409</v>
      </c>
      <c r="J14514" s="2">
        <v>1395</v>
      </c>
      <c r="K14514" s="2">
        <v>1</v>
      </c>
      <c r="L14514" s="2">
        <v>329</v>
      </c>
    </row>
    <row r="14515" spans="1:12" x14ac:dyDescent="0.25">
      <c r="A14515" s="4" t="str">
        <f>HYPERLINK("http://www.rosaceae.org/Prunus/Prunus_persica/p.persica_gdr_reftransV1_0027680","p.persica_gdr_reftransV1_0027680")</f>
        <v>p.persica_gdr_reftransV1_0027680</v>
      </c>
      <c r="B14515" s="2">
        <v>2178</v>
      </c>
      <c r="C14515" s="4" t="str">
        <f>HYPERLINK("http://www.uniprot.org/uniprot/M5X4L8","M5X4L8")</f>
        <v>M5X4L8</v>
      </c>
      <c r="D14515" s="2" t="s">
        <v>11792</v>
      </c>
      <c r="E14515" s="3">
        <v>0</v>
      </c>
      <c r="F14515" s="2">
        <v>2157</v>
      </c>
      <c r="G14515" s="2">
        <v>98</v>
      </c>
      <c r="H14515" s="2">
        <v>418</v>
      </c>
      <c r="I14515" s="2">
        <v>154</v>
      </c>
      <c r="J14515" s="2">
        <v>1401</v>
      </c>
      <c r="K14515" s="2">
        <v>1</v>
      </c>
      <c r="L14515" s="2">
        <v>418</v>
      </c>
    </row>
    <row r="14516" spans="1:12" x14ac:dyDescent="0.25">
      <c r="A14516" s="4" t="str">
        <f>HYPERLINK("http://www.rosaceae.org/Prunus/Prunus_persica/p.persica_gdr_reftransV1_0029780","p.persica_gdr_reftransV1_0029780")</f>
        <v>p.persica_gdr_reftransV1_0029780</v>
      </c>
      <c r="B14516" s="2">
        <v>1518</v>
      </c>
      <c r="C14516" s="4" t="str">
        <f>HYPERLINK("http://www.uniprot.org/uniprot/M5XDL7","M5XDL7")</f>
        <v>M5XDL7</v>
      </c>
      <c r="D14516" s="2" t="s">
        <v>3329</v>
      </c>
      <c r="E14516" s="3">
        <v>5.4099999999999997E-88</v>
      </c>
      <c r="F14516" s="2">
        <v>742</v>
      </c>
      <c r="G14516" s="2">
        <v>100</v>
      </c>
      <c r="H14516" s="2">
        <v>155</v>
      </c>
      <c r="I14516" s="2">
        <v>997</v>
      </c>
      <c r="J14516" s="2">
        <v>1461</v>
      </c>
      <c r="K14516" s="2">
        <v>218</v>
      </c>
      <c r="L14516" s="2">
        <v>372</v>
      </c>
    </row>
    <row r="14517" spans="1:12" x14ac:dyDescent="0.25">
      <c r="A14517" s="4" t="str">
        <f>HYPERLINK("http://www.rosaceae.org/Prunus/Prunus_persica/p.persica_gdr_reftransV1_0031180","p.persica_gdr_reftransV1_0031180")</f>
        <v>p.persica_gdr_reftransV1_0031180</v>
      </c>
      <c r="B14517" s="2">
        <v>4124</v>
      </c>
      <c r="C14517" s="4" t="str">
        <f>HYPERLINK("http://www.uniprot.org/uniprot/M5W289","M5W289")</f>
        <v>M5W289</v>
      </c>
      <c r="D14517" s="2" t="s">
        <v>11793</v>
      </c>
      <c r="E14517" s="3">
        <v>0</v>
      </c>
      <c r="F14517" s="2">
        <v>2092</v>
      </c>
      <c r="G14517" s="2">
        <v>100</v>
      </c>
      <c r="H14517" s="2">
        <v>416</v>
      </c>
      <c r="I14517" s="2">
        <v>833</v>
      </c>
      <c r="J14517" s="2">
        <v>2080</v>
      </c>
      <c r="K14517" s="2">
        <v>1</v>
      </c>
      <c r="L14517" s="2">
        <v>416</v>
      </c>
    </row>
    <row r="14518" spans="1:12" x14ac:dyDescent="0.25">
      <c r="A14518" s="4" t="str">
        <f>HYPERLINK("http://www.rosaceae.org/Prunus/Prunus_persica/p.persica_gdr_reftransV1_0032580","p.persica_gdr_reftransV1_0032580")</f>
        <v>p.persica_gdr_reftransV1_0032580</v>
      </c>
      <c r="B14518" s="2">
        <v>2293</v>
      </c>
      <c r="C14518" s="4" t="str">
        <f>HYPERLINK("http://www.uniprot.org/uniprot/M5XRF8","M5XRF8")</f>
        <v>M5XRF8</v>
      </c>
      <c r="D14518" s="2" t="s">
        <v>11794</v>
      </c>
      <c r="E14518" s="3">
        <v>7.3000000000000003E-169</v>
      </c>
      <c r="F14518" s="2">
        <v>1302</v>
      </c>
      <c r="G14518" s="2">
        <v>100</v>
      </c>
      <c r="H14518" s="2">
        <v>292</v>
      </c>
      <c r="I14518" s="2">
        <v>1388</v>
      </c>
      <c r="J14518" s="2">
        <v>2263</v>
      </c>
      <c r="K14518" s="2">
        <v>1</v>
      </c>
      <c r="L14518" s="2">
        <v>292</v>
      </c>
    </row>
    <row r="14519" spans="1:12" x14ac:dyDescent="0.25">
      <c r="A14519" s="4" t="str">
        <f>HYPERLINK("http://www.rosaceae.org/Prunus/Prunus_persica/p.persica_gdr_reftransV1_0033280","p.persica_gdr_reftransV1_0033280")</f>
        <v>p.persica_gdr_reftransV1_0033280</v>
      </c>
      <c r="B14519" s="2">
        <v>871</v>
      </c>
      <c r="C14519" s="4" t="str">
        <f>HYPERLINK("http://www.uniprot.org/uniprot/M5XMI8","M5XMI8")</f>
        <v>M5XMI8</v>
      </c>
      <c r="D14519" s="2" t="s">
        <v>8405</v>
      </c>
      <c r="E14519" s="3">
        <v>7.5300000000000003E-104</v>
      </c>
      <c r="F14519" s="2">
        <v>804</v>
      </c>
      <c r="G14519" s="2">
        <v>99</v>
      </c>
      <c r="H14519" s="2">
        <v>166</v>
      </c>
      <c r="I14519" s="2">
        <v>1</v>
      </c>
      <c r="J14519" s="2">
        <v>498</v>
      </c>
      <c r="K14519" s="2">
        <v>33</v>
      </c>
      <c r="L14519" s="2">
        <v>198</v>
      </c>
    </row>
    <row r="14520" spans="1:12" x14ac:dyDescent="0.25">
      <c r="A14520" s="4" t="str">
        <f>HYPERLINK("http://www.rosaceae.org/Prunus/Prunus_persica/p.persica_gdr_reftransV1_0033630","p.persica_gdr_reftransV1_0033630")</f>
        <v>p.persica_gdr_reftransV1_0033630</v>
      </c>
      <c r="B14520" s="2">
        <v>1185</v>
      </c>
      <c r="C14520" s="4" t="str">
        <f>HYPERLINK("http://www.uniprot.org/uniprot/M5W330","M5W330")</f>
        <v>M5W330</v>
      </c>
      <c r="D14520" s="2" t="s">
        <v>11795</v>
      </c>
      <c r="E14520" s="3">
        <v>3.4700000000000002E-134</v>
      </c>
      <c r="F14520" s="2">
        <v>1019</v>
      </c>
      <c r="G14520" s="2">
        <v>87</v>
      </c>
      <c r="H14520" s="2">
        <v>250</v>
      </c>
      <c r="I14520" s="2">
        <v>47</v>
      </c>
      <c r="J14520" s="2">
        <v>796</v>
      </c>
      <c r="K14520" s="2">
        <v>34</v>
      </c>
      <c r="L14520" s="2">
        <v>262</v>
      </c>
    </row>
    <row r="14521" spans="1:12" x14ac:dyDescent="0.25">
      <c r="A14521" s="4" t="str">
        <f>HYPERLINK("http://www.rosaceae.org/Prunus/Prunus_persica/p.persica_gdr_reftransV1_0035730","p.persica_gdr_reftransV1_0035730")</f>
        <v>p.persica_gdr_reftransV1_0035730</v>
      </c>
      <c r="B14521" s="2">
        <v>3969</v>
      </c>
      <c r="C14521" s="4" t="str">
        <f>HYPERLINK("http://www.uniprot.org/uniprot/M5XQI5","M5XQI5")</f>
        <v>M5XQI5</v>
      </c>
      <c r="D14521" s="2" t="s">
        <v>6843</v>
      </c>
      <c r="E14521" s="3">
        <v>0</v>
      </c>
      <c r="F14521" s="2">
        <v>1489</v>
      </c>
      <c r="G14521" s="2">
        <v>100</v>
      </c>
      <c r="H14521" s="2">
        <v>276</v>
      </c>
      <c r="I14521" s="2">
        <v>1422</v>
      </c>
      <c r="J14521" s="2">
        <v>2249</v>
      </c>
      <c r="K14521" s="2">
        <v>291</v>
      </c>
      <c r="L14521" s="2">
        <v>566</v>
      </c>
    </row>
    <row r="14522" spans="1:12" x14ac:dyDescent="0.25">
      <c r="A14522" s="4" t="str">
        <f>HYPERLINK("http://www.rosaceae.org/Prunus/Prunus_persica/p.persica_gdr_reftransV1_0037480","p.persica_gdr_reftransV1_0037480")</f>
        <v>p.persica_gdr_reftransV1_0037480</v>
      </c>
      <c r="B14522" s="2">
        <v>2586</v>
      </c>
      <c r="C14522" s="4" t="str">
        <f>HYPERLINK("http://www.uniprot.org/uniprot/M5X5V5","M5X5V5")</f>
        <v>M5X5V5</v>
      </c>
      <c r="D14522" s="2" t="s">
        <v>11796</v>
      </c>
      <c r="E14522" s="3">
        <v>0</v>
      </c>
      <c r="F14522" s="2">
        <v>2704</v>
      </c>
      <c r="G14522" s="2">
        <v>100</v>
      </c>
      <c r="H14522" s="2">
        <v>504</v>
      </c>
      <c r="I14522" s="2">
        <v>1008</v>
      </c>
      <c r="J14522" s="2">
        <v>2519</v>
      </c>
      <c r="K14522" s="2">
        <v>1</v>
      </c>
      <c r="L14522" s="2">
        <v>504</v>
      </c>
    </row>
    <row r="14523" spans="1:12" x14ac:dyDescent="0.25">
      <c r="A14523" s="4" t="str">
        <f>HYPERLINK("http://www.rosaceae.org/Prunus/Prunus_persica/p.persica_gdr_reftransV1_0038530","p.persica_gdr_reftransV1_0038530")</f>
        <v>p.persica_gdr_reftransV1_0038530</v>
      </c>
      <c r="B14523" s="2">
        <v>2311</v>
      </c>
      <c r="C14523" s="4" t="str">
        <f>HYPERLINK("http://www.uniprot.org/uniprot/M5XY87","M5XY87")</f>
        <v>M5XY87</v>
      </c>
      <c r="D14523" s="2" t="s">
        <v>11797</v>
      </c>
      <c r="E14523" s="3">
        <v>0</v>
      </c>
      <c r="F14523" s="2">
        <v>1469</v>
      </c>
      <c r="G14523" s="2">
        <v>84</v>
      </c>
      <c r="H14523" s="2">
        <v>335</v>
      </c>
      <c r="I14523" s="2">
        <v>926</v>
      </c>
      <c r="J14523" s="2">
        <v>1924</v>
      </c>
      <c r="K14523" s="2">
        <v>28</v>
      </c>
      <c r="L14523" s="2">
        <v>327</v>
      </c>
    </row>
    <row r="14524" spans="1:12" x14ac:dyDescent="0.25">
      <c r="A14524" s="4" t="str">
        <f>HYPERLINK("http://www.rosaceae.org/Prunus/Prunus_persica/p.persica_gdr_reftransV1_0042030","p.persica_gdr_reftransV1_0042030")</f>
        <v>p.persica_gdr_reftransV1_0042030</v>
      </c>
      <c r="B14524" s="2">
        <v>3146</v>
      </c>
      <c r="C14524" s="4" t="str">
        <f>HYPERLINK("http://www.uniprot.org/uniprot/M5VZH9","M5VZH9")</f>
        <v>M5VZH9</v>
      </c>
      <c r="D14524" s="2" t="s">
        <v>11798</v>
      </c>
      <c r="E14524" s="3">
        <v>0</v>
      </c>
      <c r="F14524" s="2">
        <v>2303</v>
      </c>
      <c r="G14524" s="2">
        <v>100</v>
      </c>
      <c r="H14524" s="2">
        <v>479</v>
      </c>
      <c r="I14524" s="2">
        <v>1475</v>
      </c>
      <c r="J14524" s="2">
        <v>2911</v>
      </c>
      <c r="K14524" s="2">
        <v>1</v>
      </c>
      <c r="L14524" s="2">
        <v>479</v>
      </c>
    </row>
    <row r="14525" spans="1:12" x14ac:dyDescent="0.25">
      <c r="A14525" s="4" t="str">
        <f>HYPERLINK("http://www.rosaceae.org/Prunus/Prunus_persica/p.persica_gdr_reftransV1_0042380","p.persica_gdr_reftransV1_0042380")</f>
        <v>p.persica_gdr_reftransV1_0042380</v>
      </c>
      <c r="B14525" s="2">
        <v>3267</v>
      </c>
      <c r="C14525" s="4" t="str">
        <f>HYPERLINK("http://www.uniprot.org/uniprot/M5Y3P2","M5Y3P2")</f>
        <v>M5Y3P2</v>
      </c>
      <c r="D14525" s="2" t="s">
        <v>11150</v>
      </c>
      <c r="E14525" s="3">
        <v>0</v>
      </c>
      <c r="F14525" s="2">
        <v>3683</v>
      </c>
      <c r="G14525" s="2">
        <v>93</v>
      </c>
      <c r="H14525" s="2">
        <v>774</v>
      </c>
      <c r="I14525" s="2">
        <v>391</v>
      </c>
      <c r="J14525" s="2">
        <v>2712</v>
      </c>
      <c r="K14525" s="2">
        <v>1</v>
      </c>
      <c r="L14525" s="2">
        <v>720</v>
      </c>
    </row>
    <row r="14526" spans="1:12" x14ac:dyDescent="0.25">
      <c r="A14526" s="4" t="str">
        <f>HYPERLINK("http://www.rosaceae.org/Prunus/Prunus_persica/p.persica_gdr_reftransV1_0043080","p.persica_gdr_reftransV1_0043080")</f>
        <v>p.persica_gdr_reftransV1_0043080</v>
      </c>
      <c r="B14526" s="2">
        <v>313</v>
      </c>
      <c r="C14526" s="4" t="str">
        <f>HYPERLINK("http://www.uniprot.org/uniprot/M5WIG6","M5WIG6")</f>
        <v>M5WIG6</v>
      </c>
      <c r="D14526" s="2" t="s">
        <v>939</v>
      </c>
      <c r="E14526" s="3">
        <v>3.64E-48</v>
      </c>
      <c r="F14526" s="2">
        <v>423</v>
      </c>
      <c r="G14526" s="2">
        <v>100</v>
      </c>
      <c r="H14526" s="2">
        <v>104</v>
      </c>
      <c r="I14526" s="2">
        <v>1</v>
      </c>
      <c r="J14526" s="2">
        <v>312</v>
      </c>
      <c r="K14526" s="2">
        <v>102</v>
      </c>
      <c r="L14526" s="2">
        <v>205</v>
      </c>
    </row>
    <row r="14527" spans="1:12" x14ac:dyDescent="0.25">
      <c r="A14527" s="4" t="str">
        <f>HYPERLINK("http://www.rosaceae.org/Prunus/Prunus_persica/p.persica_gdr_reftransV1_0043430","p.persica_gdr_reftransV1_0043430")</f>
        <v>p.persica_gdr_reftransV1_0043430</v>
      </c>
      <c r="B14527" s="2">
        <v>360</v>
      </c>
      <c r="C14527" s="4" t="str">
        <f>HYPERLINK("http://www.uniprot.org/uniprot/M5XM20","M5XM20")</f>
        <v>M5XM20</v>
      </c>
      <c r="D14527" s="2" t="s">
        <v>6075</v>
      </c>
      <c r="E14527" s="3">
        <v>1.3999999999999999E-74</v>
      </c>
      <c r="F14527" s="2">
        <v>636</v>
      </c>
      <c r="G14527" s="2">
        <v>100</v>
      </c>
      <c r="H14527" s="2">
        <v>119</v>
      </c>
      <c r="I14527" s="2">
        <v>2</v>
      </c>
      <c r="J14527" s="2">
        <v>358</v>
      </c>
      <c r="K14527" s="2">
        <v>120</v>
      </c>
      <c r="L14527" s="2">
        <v>238</v>
      </c>
    </row>
    <row r="14528" spans="1:12" x14ac:dyDescent="0.25">
      <c r="A14528" s="4" t="str">
        <f>HYPERLINK("http://www.rosaceae.org/Prunus/Prunus_persica/p.persica_gdr_reftransV1_0043780","p.persica_gdr_reftransV1_0043780")</f>
        <v>p.persica_gdr_reftransV1_0043780</v>
      </c>
      <c r="B14528" s="2">
        <v>1330</v>
      </c>
      <c r="C14528" s="4" t="str">
        <f>HYPERLINK("http://www.uniprot.org/uniprot/M5X2S7","M5X2S7")</f>
        <v>M5X2S7</v>
      </c>
      <c r="D14528" s="2" t="s">
        <v>11799</v>
      </c>
      <c r="E14528" s="3">
        <v>0</v>
      </c>
      <c r="F14528" s="2">
        <v>1827</v>
      </c>
      <c r="G14528" s="2">
        <v>99</v>
      </c>
      <c r="H14528" s="2">
        <v>382</v>
      </c>
      <c r="I14528" s="2">
        <v>3</v>
      </c>
      <c r="J14528" s="2">
        <v>1148</v>
      </c>
      <c r="K14528" s="2">
        <v>300</v>
      </c>
      <c r="L14528" s="2">
        <v>681</v>
      </c>
    </row>
    <row r="14529" spans="1:12" x14ac:dyDescent="0.25">
      <c r="A14529" s="4" t="str">
        <f>HYPERLINK("http://www.rosaceae.org/Prunus/Prunus_persica/p.persica_gdr_reftransV1_0044130","p.persica_gdr_reftransV1_0044130")</f>
        <v>p.persica_gdr_reftransV1_0044130</v>
      </c>
      <c r="B14529" s="2">
        <v>2112</v>
      </c>
      <c r="C14529" s="4" t="str">
        <f>HYPERLINK("http://www.uniprot.org/uniprot/M5WGZ3","M5WGZ3")</f>
        <v>M5WGZ3</v>
      </c>
      <c r="D14529" s="2" t="s">
        <v>7051</v>
      </c>
      <c r="E14529" s="3">
        <v>0</v>
      </c>
      <c r="F14529" s="2">
        <v>1593</v>
      </c>
      <c r="G14529" s="2">
        <v>99</v>
      </c>
      <c r="H14529" s="2">
        <v>302</v>
      </c>
      <c r="I14529" s="2">
        <v>882</v>
      </c>
      <c r="J14529" s="2">
        <v>1787</v>
      </c>
      <c r="K14529" s="2">
        <v>1</v>
      </c>
      <c r="L14529" s="2">
        <v>302</v>
      </c>
    </row>
    <row r="14530" spans="1:12" x14ac:dyDescent="0.25">
      <c r="A14530" s="4" t="str">
        <f>HYPERLINK("http://www.rosaceae.org/Prunus/Prunus_persica/p.persica_gdr_reftransV1_0044830","p.persica_gdr_reftransV1_0044830")</f>
        <v>p.persica_gdr_reftransV1_0044830</v>
      </c>
      <c r="B14530" s="2">
        <v>471</v>
      </c>
      <c r="C14530" s="4" t="str">
        <f>HYPERLINK("http://www.uniprot.org/uniprot/M5WJS6","M5WJS6")</f>
        <v>M5WJS6</v>
      </c>
      <c r="D14530" s="2" t="s">
        <v>11800</v>
      </c>
      <c r="E14530" s="3">
        <v>1.0200000000000001E-24</v>
      </c>
      <c r="F14530" s="2">
        <v>271</v>
      </c>
      <c r="G14530" s="2">
        <v>100</v>
      </c>
      <c r="H14530" s="2">
        <v>54</v>
      </c>
      <c r="I14530" s="2">
        <v>310</v>
      </c>
      <c r="J14530" s="2">
        <v>471</v>
      </c>
      <c r="K14530" s="2">
        <v>15</v>
      </c>
      <c r="L14530" s="2">
        <v>68</v>
      </c>
    </row>
    <row r="14531" spans="1:12" x14ac:dyDescent="0.25">
      <c r="A14531" s="4" t="str">
        <f>HYPERLINK("http://www.rosaceae.org/Prunus/Prunus_persica/p.persica_gdr_reftransV1_0045180","p.persica_gdr_reftransV1_0045180")</f>
        <v>p.persica_gdr_reftransV1_0045180</v>
      </c>
      <c r="B14531" s="2">
        <v>1292</v>
      </c>
      <c r="C14531" s="4" t="str">
        <f>HYPERLINK("http://www.uniprot.org/uniprot/M5XD71","M5XD71")</f>
        <v>M5XD71</v>
      </c>
      <c r="D14531" s="2" t="s">
        <v>11801</v>
      </c>
      <c r="E14531" s="3">
        <v>4.2300000000000002E-172</v>
      </c>
      <c r="F14531" s="2">
        <v>1275</v>
      </c>
      <c r="G14531" s="2">
        <v>100</v>
      </c>
      <c r="H14531" s="2">
        <v>280</v>
      </c>
      <c r="I14531" s="2">
        <v>167</v>
      </c>
      <c r="J14531" s="2">
        <v>1006</v>
      </c>
      <c r="K14531" s="2">
        <v>1</v>
      </c>
      <c r="L14531" s="2">
        <v>280</v>
      </c>
    </row>
    <row r="14532" spans="1:12" x14ac:dyDescent="0.25">
      <c r="A14532" s="4" t="str">
        <f>HYPERLINK("http://www.rosaceae.org/Prunus/Prunus_persica/p.persica_gdr_reftransV1_0045530","p.persica_gdr_reftransV1_0045530")</f>
        <v>p.persica_gdr_reftransV1_0045530</v>
      </c>
      <c r="B14532" s="2">
        <v>2616</v>
      </c>
      <c r="C14532" s="4" t="str">
        <f>HYPERLINK("http://www.uniprot.org/uniprot/M5WH58","M5WH58")</f>
        <v>M5WH58</v>
      </c>
      <c r="D14532" s="2" t="s">
        <v>11802</v>
      </c>
      <c r="E14532" s="3">
        <v>0</v>
      </c>
      <c r="F14532" s="2">
        <v>1516</v>
      </c>
      <c r="G14532" s="2">
        <v>93</v>
      </c>
      <c r="H14532" s="2">
        <v>464</v>
      </c>
      <c r="I14532" s="2">
        <v>381</v>
      </c>
      <c r="J14532" s="2">
        <v>1772</v>
      </c>
      <c r="K14532" s="2">
        <v>64</v>
      </c>
      <c r="L14532" s="2">
        <v>497</v>
      </c>
    </row>
    <row r="14533" spans="1:12" x14ac:dyDescent="0.25">
      <c r="A14533" s="4" t="str">
        <f>HYPERLINK("http://www.rosaceae.org/Prunus/Prunus_persica/p.persica_gdr_reftransV1_0045880","p.persica_gdr_reftransV1_0045880")</f>
        <v>p.persica_gdr_reftransV1_0045880</v>
      </c>
      <c r="B14533" s="2">
        <v>435</v>
      </c>
      <c r="C14533" s="4" t="str">
        <f>HYPERLINK("http://www.uniprot.org/uniprot/M5W2L3","M5W2L3")</f>
        <v>M5W2L3</v>
      </c>
      <c r="D14533" s="2" t="s">
        <v>5690</v>
      </c>
      <c r="E14533" s="3">
        <v>5.9E-67</v>
      </c>
      <c r="F14533" s="2">
        <v>543</v>
      </c>
      <c r="G14533" s="2">
        <v>100</v>
      </c>
      <c r="H14533" s="2">
        <v>105</v>
      </c>
      <c r="I14533" s="2">
        <v>3</v>
      </c>
      <c r="J14533" s="2">
        <v>317</v>
      </c>
      <c r="K14533" s="2">
        <v>1</v>
      </c>
      <c r="L14533" s="2">
        <v>105</v>
      </c>
    </row>
    <row r="14534" spans="1:12" x14ac:dyDescent="0.25">
      <c r="A14534" s="4" t="str">
        <f>HYPERLINK("http://www.rosaceae.org/Prunus/Prunus_persica/p.persica_gdr_reftransV1_0046230","p.persica_gdr_reftransV1_0046230")</f>
        <v>p.persica_gdr_reftransV1_0046230</v>
      </c>
      <c r="B14534" s="2">
        <v>479</v>
      </c>
      <c r="C14534" s="4" t="str">
        <f>HYPERLINK("http://www.uniprot.org/uniprot/M5WGQ8","M5WGQ8")</f>
        <v>M5WGQ8</v>
      </c>
      <c r="D14534" s="2" t="s">
        <v>11803</v>
      </c>
      <c r="E14534" s="3">
        <v>5.07E-95</v>
      </c>
      <c r="F14534" s="2">
        <v>757</v>
      </c>
      <c r="G14534" s="2">
        <v>99</v>
      </c>
      <c r="H14534" s="2">
        <v>145</v>
      </c>
      <c r="I14534" s="2">
        <v>43</v>
      </c>
      <c r="J14534" s="2">
        <v>477</v>
      </c>
      <c r="K14534" s="2">
        <v>180</v>
      </c>
      <c r="L14534" s="2">
        <v>324</v>
      </c>
    </row>
    <row r="14535" spans="1:12" x14ac:dyDescent="0.25">
      <c r="A14535" s="4" t="str">
        <f>HYPERLINK("http://www.rosaceae.org/Prunus/Prunus_persica/p.persica_gdr_reftransV1_0046580","p.persica_gdr_reftransV1_0046580")</f>
        <v>p.persica_gdr_reftransV1_0046580</v>
      </c>
      <c r="B14535" s="2">
        <v>1414</v>
      </c>
      <c r="C14535" s="4" t="str">
        <f>HYPERLINK("http://www.uniprot.org/uniprot/M5WSI4","M5WSI4")</f>
        <v>M5WSI4</v>
      </c>
      <c r="D14535" s="2" t="s">
        <v>11804</v>
      </c>
      <c r="E14535" s="3">
        <v>0</v>
      </c>
      <c r="F14535" s="2">
        <v>1591</v>
      </c>
      <c r="G14535" s="2">
        <v>100</v>
      </c>
      <c r="H14535" s="2">
        <v>308</v>
      </c>
      <c r="I14535" s="2">
        <v>234</v>
      </c>
      <c r="J14535" s="2">
        <v>1157</v>
      </c>
      <c r="K14535" s="2">
        <v>1</v>
      </c>
      <c r="L14535" s="2">
        <v>308</v>
      </c>
    </row>
    <row r="14536" spans="1:12" x14ac:dyDescent="0.25">
      <c r="A14536" s="4" t="str">
        <f>HYPERLINK("http://www.rosaceae.org/Prunus/Prunus_persica/p.persica_gdr_reftransV1_0046930","p.persica_gdr_reftransV1_0046930")</f>
        <v>p.persica_gdr_reftransV1_0046930</v>
      </c>
      <c r="B14536" s="2">
        <v>1213</v>
      </c>
      <c r="C14536" s="4" t="str">
        <f>HYPERLINK("http://www.uniprot.org/uniprot/M5WIN3","M5WIN3")</f>
        <v>M5WIN3</v>
      </c>
      <c r="D14536" s="2" t="s">
        <v>1804</v>
      </c>
      <c r="E14536" s="3">
        <v>5.61E-155</v>
      </c>
      <c r="F14536" s="2">
        <v>1155</v>
      </c>
      <c r="G14536" s="2">
        <v>100</v>
      </c>
      <c r="H14536" s="2">
        <v>238</v>
      </c>
      <c r="I14536" s="2">
        <v>277</v>
      </c>
      <c r="J14536" s="2">
        <v>990</v>
      </c>
      <c r="K14536" s="2">
        <v>1</v>
      </c>
      <c r="L14536" s="2">
        <v>238</v>
      </c>
    </row>
    <row r="14537" spans="1:12" x14ac:dyDescent="0.25">
      <c r="A14537" s="4" t="str">
        <f>HYPERLINK("http://www.rosaceae.org/Prunus/Prunus_persica/p.persica_gdr_reftransV1_0047280","p.persica_gdr_reftransV1_0047280")</f>
        <v>p.persica_gdr_reftransV1_0047280</v>
      </c>
      <c r="B14537" s="2">
        <v>684</v>
      </c>
      <c r="C14537" s="4" t="str">
        <f>HYPERLINK("http://www.uniprot.org/uniprot/M5XU29","M5XU29")</f>
        <v>M5XU29</v>
      </c>
      <c r="D14537" s="2" t="s">
        <v>11549</v>
      </c>
      <c r="E14537" s="3">
        <v>4.1900000000000004E-31</v>
      </c>
      <c r="F14537" s="2">
        <v>312</v>
      </c>
      <c r="G14537" s="2">
        <v>63</v>
      </c>
      <c r="H14537" s="2">
        <v>88</v>
      </c>
      <c r="I14537" s="2">
        <v>352</v>
      </c>
      <c r="J14537" s="2">
        <v>615</v>
      </c>
      <c r="K14537" s="2">
        <v>123</v>
      </c>
      <c r="L14537" s="2">
        <v>210</v>
      </c>
    </row>
    <row r="14538" spans="1:12" x14ac:dyDescent="0.25">
      <c r="A14538" s="4" t="str">
        <f>HYPERLINK("http://www.rosaceae.org/Prunus/Prunus_persica/p.persica_gdr_reftransV1_0047630","p.persica_gdr_reftransV1_0047630")</f>
        <v>p.persica_gdr_reftransV1_0047630</v>
      </c>
      <c r="B14538" s="2">
        <v>1316</v>
      </c>
      <c r="C14538" s="4" t="str">
        <f>HYPERLINK("http://www.uniprot.org/uniprot/M5WBH3","M5WBH3")</f>
        <v>M5WBH3</v>
      </c>
      <c r="D14538" s="2" t="s">
        <v>11544</v>
      </c>
      <c r="E14538" s="3">
        <v>0</v>
      </c>
      <c r="F14538" s="2">
        <v>1757</v>
      </c>
      <c r="G14538" s="2">
        <v>100</v>
      </c>
      <c r="H14538" s="2">
        <v>360</v>
      </c>
      <c r="I14538" s="2">
        <v>173</v>
      </c>
      <c r="J14538" s="2">
        <v>1252</v>
      </c>
      <c r="K14538" s="2">
        <v>1</v>
      </c>
      <c r="L14538" s="2">
        <v>360</v>
      </c>
    </row>
    <row r="14539" spans="1:12" x14ac:dyDescent="0.25">
      <c r="A14539" s="4" t="str">
        <f>HYPERLINK("http://www.rosaceae.org/Prunus/Prunus_persica/p.persica_gdr_reftransV1_0047980","p.persica_gdr_reftransV1_0047980")</f>
        <v>p.persica_gdr_reftransV1_0047980</v>
      </c>
      <c r="B14539" s="2">
        <v>684</v>
      </c>
      <c r="C14539" s="4" t="str">
        <f>HYPERLINK("http://www.uniprot.org/uniprot/M5XM87","M5XM87")</f>
        <v>M5XM87</v>
      </c>
      <c r="D14539" s="2" t="s">
        <v>11805</v>
      </c>
      <c r="E14539" s="3">
        <v>3.52E-56</v>
      </c>
      <c r="F14539" s="2">
        <v>472</v>
      </c>
      <c r="G14539" s="2">
        <v>97</v>
      </c>
      <c r="H14539" s="2">
        <v>116</v>
      </c>
      <c r="I14539" s="2">
        <v>293</v>
      </c>
      <c r="J14539" s="2">
        <v>640</v>
      </c>
      <c r="K14539" s="2">
        <v>7</v>
      </c>
      <c r="L14539" s="2">
        <v>122</v>
      </c>
    </row>
    <row r="14540" spans="1:12" x14ac:dyDescent="0.25">
      <c r="A14540" s="4" t="str">
        <f>HYPERLINK("http://www.rosaceae.org/Prunus/Prunus_persica/p.persica_gdr_reftransV1_0048330","p.persica_gdr_reftransV1_0048330")</f>
        <v>p.persica_gdr_reftransV1_0048330</v>
      </c>
      <c r="B14540" s="2">
        <v>1368</v>
      </c>
      <c r="C14540" s="4" t="str">
        <f>HYPERLINK("http://www.uniprot.org/uniprot/M5XNE0","M5XNE0")</f>
        <v>M5XNE0</v>
      </c>
      <c r="D14540" s="2" t="s">
        <v>11806</v>
      </c>
      <c r="E14540" s="3">
        <v>0</v>
      </c>
      <c r="F14540" s="2">
        <v>2289</v>
      </c>
      <c r="G14540" s="2">
        <v>100</v>
      </c>
      <c r="H14540" s="2">
        <v>425</v>
      </c>
      <c r="I14540" s="2">
        <v>2</v>
      </c>
      <c r="J14540" s="2">
        <v>1276</v>
      </c>
      <c r="K14540" s="2">
        <v>7</v>
      </c>
      <c r="L14540" s="2">
        <v>431</v>
      </c>
    </row>
    <row r="14541" spans="1:12" x14ac:dyDescent="0.25">
      <c r="A14541" s="4" t="str">
        <f>HYPERLINK("http://www.rosaceae.org/Prunus/Prunus_persica/p.persica_gdr_reftransV1_0048680","p.persica_gdr_reftransV1_0048680")</f>
        <v>p.persica_gdr_reftransV1_0048680</v>
      </c>
      <c r="B14541" s="2">
        <v>3977</v>
      </c>
      <c r="C14541" s="4" t="str">
        <f>HYPERLINK("http://www.uniprot.org/uniprot/M5XXU9","M5XXU9")</f>
        <v>M5XXU9</v>
      </c>
      <c r="D14541" s="2" t="s">
        <v>11807</v>
      </c>
      <c r="E14541" s="3">
        <v>0</v>
      </c>
      <c r="F14541" s="2">
        <v>2813</v>
      </c>
      <c r="G14541" s="2">
        <v>100</v>
      </c>
      <c r="H14541" s="2">
        <v>580</v>
      </c>
      <c r="I14541" s="2">
        <v>1969</v>
      </c>
      <c r="J14541" s="2">
        <v>3708</v>
      </c>
      <c r="K14541" s="2">
        <v>1</v>
      </c>
      <c r="L14541" s="2">
        <v>580</v>
      </c>
    </row>
    <row r="14542" spans="1:12" x14ac:dyDescent="0.25">
      <c r="A14542" s="4" t="str">
        <f>HYPERLINK("http://www.rosaceae.org/Prunus/Prunus_persica/p.persica_gdr_reftransV1_0000353","p.persica_gdr_reftransV1_0000353")</f>
        <v>p.persica_gdr_reftransV1_0000353</v>
      </c>
      <c r="B14542" s="2">
        <v>1045</v>
      </c>
      <c r="C14542" s="4" t="str">
        <f>HYPERLINK("http://www.uniprot.org/uniprot/M5W260","M5W260")</f>
        <v>M5W260</v>
      </c>
      <c r="D14542" s="2" t="s">
        <v>11808</v>
      </c>
      <c r="E14542" s="3">
        <v>0</v>
      </c>
      <c r="F14542" s="2">
        <v>1783</v>
      </c>
      <c r="G14542" s="2">
        <v>100</v>
      </c>
      <c r="H14542" s="2">
        <v>327</v>
      </c>
      <c r="I14542" s="2">
        <v>3</v>
      </c>
      <c r="J14542" s="2">
        <v>983</v>
      </c>
      <c r="K14542" s="2">
        <v>1</v>
      </c>
      <c r="L14542" s="2">
        <v>327</v>
      </c>
    </row>
    <row r="14543" spans="1:12" x14ac:dyDescent="0.25">
      <c r="A14543" s="4" t="str">
        <f>HYPERLINK("http://www.rosaceae.org/Prunus/Prunus_persica/p.persica_gdr_reftransV1_0000703","p.persica_gdr_reftransV1_0000703")</f>
        <v>p.persica_gdr_reftransV1_0000703</v>
      </c>
      <c r="B14543" s="2">
        <v>2271</v>
      </c>
      <c r="C14543" s="4" t="str">
        <f>HYPERLINK("http://www.uniprot.org/uniprot/A0A072TTI0","A0A072TTI0")</f>
        <v>A0A072TTI0</v>
      </c>
      <c r="D14543" s="2" t="s">
        <v>11809</v>
      </c>
      <c r="E14543" s="3">
        <v>4.0799999999999998E-150</v>
      </c>
      <c r="F14543" s="2">
        <v>1169</v>
      </c>
      <c r="G14543" s="2">
        <v>88</v>
      </c>
      <c r="H14543" s="2">
        <v>278</v>
      </c>
      <c r="I14543" s="2">
        <v>308</v>
      </c>
      <c r="J14543" s="2">
        <v>1141</v>
      </c>
      <c r="K14543" s="2">
        <v>98</v>
      </c>
      <c r="L14543" s="2">
        <v>361</v>
      </c>
    </row>
    <row r="14544" spans="1:12" x14ac:dyDescent="0.25">
      <c r="A14544" s="4" t="str">
        <f>HYPERLINK("http://www.rosaceae.org/Prunus/Prunus_persica/p.persica_gdr_reftransV1_0001053","p.persica_gdr_reftransV1_0001053")</f>
        <v>p.persica_gdr_reftransV1_0001053</v>
      </c>
      <c r="B14544" s="2">
        <v>2174</v>
      </c>
      <c r="C14544" s="4" t="str">
        <f>HYPERLINK("http://www.uniprot.org/uniprot/M5WWC9","M5WWC9")</f>
        <v>M5WWC9</v>
      </c>
      <c r="D14544" s="2" t="s">
        <v>11810</v>
      </c>
      <c r="E14544" s="3">
        <v>0</v>
      </c>
      <c r="F14544" s="2">
        <v>2848</v>
      </c>
      <c r="G14544" s="2">
        <v>100</v>
      </c>
      <c r="H14544" s="2">
        <v>531</v>
      </c>
      <c r="I14544" s="2">
        <v>298</v>
      </c>
      <c r="J14544" s="2">
        <v>1890</v>
      </c>
      <c r="K14544" s="2">
        <v>1</v>
      </c>
      <c r="L14544" s="2">
        <v>531</v>
      </c>
    </row>
    <row r="14545" spans="1:12" x14ac:dyDescent="0.25">
      <c r="A14545" s="4" t="str">
        <f>HYPERLINK("http://www.rosaceae.org/Prunus/Prunus_persica/p.persica_gdr_reftransV1_0001403","p.persica_gdr_reftransV1_0001403")</f>
        <v>p.persica_gdr_reftransV1_0001403</v>
      </c>
      <c r="B14545" s="2">
        <v>871</v>
      </c>
      <c r="C14545" s="4" t="str">
        <f>HYPERLINK("http://www.uniprot.org/uniprot/M5Y3I1","M5Y3I1")</f>
        <v>M5Y3I1</v>
      </c>
      <c r="D14545" s="2" t="s">
        <v>11811</v>
      </c>
      <c r="E14545" s="3">
        <v>0</v>
      </c>
      <c r="F14545" s="2">
        <v>1544</v>
      </c>
      <c r="G14545" s="2">
        <v>100</v>
      </c>
      <c r="H14545" s="2">
        <v>290</v>
      </c>
      <c r="I14545" s="2">
        <v>2</v>
      </c>
      <c r="J14545" s="2">
        <v>871</v>
      </c>
      <c r="K14545" s="2">
        <v>11</v>
      </c>
      <c r="L14545" s="2">
        <v>300</v>
      </c>
    </row>
    <row r="14546" spans="1:12" x14ac:dyDescent="0.25">
      <c r="A14546" s="4" t="str">
        <f>HYPERLINK("http://www.rosaceae.org/Prunus/Prunus_persica/p.persica_gdr_reftransV1_0001753","p.persica_gdr_reftransV1_0001753")</f>
        <v>p.persica_gdr_reftransV1_0001753</v>
      </c>
      <c r="B14546" s="2">
        <v>469</v>
      </c>
      <c r="C14546" s="4" t="str">
        <f>HYPERLINK("http://www.uniprot.org/uniprot/A0A0D2YKT4","A0A0D2YKT4")</f>
        <v>A0A0D2YKT4</v>
      </c>
      <c r="D14546" s="2" t="s">
        <v>11812</v>
      </c>
      <c r="E14546" s="3">
        <v>2.25E-76</v>
      </c>
      <c r="F14546" s="2">
        <v>610</v>
      </c>
      <c r="G14546" s="2">
        <v>89</v>
      </c>
      <c r="H14546" s="2">
        <v>133</v>
      </c>
      <c r="I14546" s="2">
        <v>3</v>
      </c>
      <c r="J14546" s="2">
        <v>401</v>
      </c>
      <c r="K14546" s="2">
        <v>110</v>
      </c>
      <c r="L14546" s="2">
        <v>242</v>
      </c>
    </row>
    <row r="14547" spans="1:12" x14ac:dyDescent="0.25">
      <c r="A14547" s="4" t="str">
        <f>HYPERLINK("http://www.rosaceae.org/Prunus/Prunus_persica/p.persica_gdr_reftransV1_0002103","p.persica_gdr_reftransV1_0002103")</f>
        <v>p.persica_gdr_reftransV1_0002103</v>
      </c>
      <c r="B14547" s="2">
        <v>2016</v>
      </c>
      <c r="C14547" s="4" t="str">
        <f>HYPERLINK("http://www.uniprot.org/uniprot/M5W7D3","M5W7D3")</f>
        <v>M5W7D3</v>
      </c>
      <c r="D14547" s="2" t="s">
        <v>8550</v>
      </c>
      <c r="E14547" s="3">
        <v>0</v>
      </c>
      <c r="F14547" s="2">
        <v>1788</v>
      </c>
      <c r="G14547" s="2">
        <v>100</v>
      </c>
      <c r="H14547" s="2">
        <v>404</v>
      </c>
      <c r="I14547" s="2">
        <v>275</v>
      </c>
      <c r="J14547" s="2">
        <v>1486</v>
      </c>
      <c r="K14547" s="2">
        <v>1</v>
      </c>
      <c r="L14547" s="2">
        <v>404</v>
      </c>
    </row>
    <row r="14548" spans="1:12" x14ac:dyDescent="0.25">
      <c r="A14548" s="4" t="str">
        <f>HYPERLINK("http://www.rosaceae.org/Prunus/Prunus_persica/p.persica_gdr_reftransV1_0003153","p.persica_gdr_reftransV1_0003153")</f>
        <v>p.persica_gdr_reftransV1_0003153</v>
      </c>
      <c r="B14548" s="2">
        <v>1817</v>
      </c>
      <c r="C14548" s="4" t="str">
        <f>HYPERLINK("http://www.uniprot.org/uniprot/M5WTY8","M5WTY8")</f>
        <v>M5WTY8</v>
      </c>
      <c r="D14548" s="2" t="s">
        <v>11813</v>
      </c>
      <c r="E14548" s="3">
        <v>0</v>
      </c>
      <c r="F14548" s="2">
        <v>2102</v>
      </c>
      <c r="G14548" s="2">
        <v>100</v>
      </c>
      <c r="H14548" s="2">
        <v>393</v>
      </c>
      <c r="I14548" s="2">
        <v>416</v>
      </c>
      <c r="J14548" s="2">
        <v>1594</v>
      </c>
      <c r="K14548" s="2">
        <v>1</v>
      </c>
      <c r="L14548" s="2">
        <v>393</v>
      </c>
    </row>
    <row r="14549" spans="1:12" x14ac:dyDescent="0.25">
      <c r="A14549" s="4" t="str">
        <f>HYPERLINK("http://www.rosaceae.org/Prunus/Prunus_persica/p.persica_gdr_reftransV1_0003503","p.persica_gdr_reftransV1_0003503")</f>
        <v>p.persica_gdr_reftransV1_0003503</v>
      </c>
      <c r="B14549" s="2">
        <v>5810</v>
      </c>
      <c r="C14549" s="4" t="str">
        <f>HYPERLINK("http://www.uniprot.org/uniprot/W9RUC1","W9RUC1")</f>
        <v>W9RUC1</v>
      </c>
      <c r="D14549" s="2" t="s">
        <v>11814</v>
      </c>
      <c r="E14549" s="3">
        <v>0</v>
      </c>
      <c r="F14549" s="2">
        <v>7830</v>
      </c>
      <c r="G14549" s="2">
        <v>86</v>
      </c>
      <c r="H14549" s="2">
        <v>1754</v>
      </c>
      <c r="I14549" s="2">
        <v>373</v>
      </c>
      <c r="J14549" s="2">
        <v>5622</v>
      </c>
      <c r="K14549" s="2">
        <v>21</v>
      </c>
      <c r="L14549" s="2">
        <v>1773</v>
      </c>
    </row>
    <row r="14550" spans="1:12" x14ac:dyDescent="0.25">
      <c r="A14550" s="4" t="str">
        <f>HYPERLINK("http://www.rosaceae.org/Prunus/Prunus_persica/p.persica_gdr_reftransV1_0003853","p.persica_gdr_reftransV1_0003853")</f>
        <v>p.persica_gdr_reftransV1_0003853</v>
      </c>
      <c r="B14550" s="2">
        <v>629</v>
      </c>
      <c r="C14550" s="4" t="str">
        <f>HYPERLINK("http://www.uniprot.org/uniprot/M5VL85","M5VL85")</f>
        <v>M5VL85</v>
      </c>
      <c r="D14550" s="2" t="s">
        <v>942</v>
      </c>
      <c r="E14550" s="3">
        <v>1.68E-78</v>
      </c>
      <c r="F14550" s="2">
        <v>651</v>
      </c>
      <c r="G14550" s="2">
        <v>98</v>
      </c>
      <c r="H14550" s="2">
        <v>189</v>
      </c>
      <c r="I14550" s="2">
        <v>4</v>
      </c>
      <c r="J14550" s="2">
        <v>570</v>
      </c>
      <c r="K14550" s="2">
        <v>1</v>
      </c>
      <c r="L14550" s="2">
        <v>189</v>
      </c>
    </row>
    <row r="14551" spans="1:12" x14ac:dyDescent="0.25">
      <c r="A14551" s="4" t="str">
        <f>HYPERLINK("http://www.rosaceae.org/Prunus/Prunus_persica/p.persica_gdr_reftransV1_0004203","p.persica_gdr_reftransV1_0004203")</f>
        <v>p.persica_gdr_reftransV1_0004203</v>
      </c>
      <c r="B14551" s="2">
        <v>1770</v>
      </c>
      <c r="C14551" s="4" t="str">
        <f>HYPERLINK("http://www.uniprot.org/uniprot/M5VPW3","M5VPW3")</f>
        <v>M5VPW3</v>
      </c>
      <c r="D14551" s="2" t="s">
        <v>7668</v>
      </c>
      <c r="E14551" s="3">
        <v>0</v>
      </c>
      <c r="F14551" s="2">
        <v>2435</v>
      </c>
      <c r="G14551" s="2">
        <v>100</v>
      </c>
      <c r="H14551" s="2">
        <v>470</v>
      </c>
      <c r="I14551" s="2">
        <v>125</v>
      </c>
      <c r="J14551" s="2">
        <v>1534</v>
      </c>
      <c r="K14551" s="2">
        <v>1</v>
      </c>
      <c r="L14551" s="2">
        <v>470</v>
      </c>
    </row>
    <row r="14552" spans="1:12" x14ac:dyDescent="0.25">
      <c r="A14552" s="4" t="str">
        <f>HYPERLINK("http://www.rosaceae.org/Prunus/Prunus_persica/p.persica_gdr_reftransV1_0004553","p.persica_gdr_reftransV1_0004553")</f>
        <v>p.persica_gdr_reftransV1_0004553</v>
      </c>
      <c r="B14552" s="2">
        <v>1110</v>
      </c>
      <c r="C14552" s="4" t="str">
        <f>HYPERLINK("http://www.uniprot.org/uniprot/M5XKV5","M5XKV5")</f>
        <v>M5XKV5</v>
      </c>
      <c r="D14552" s="2" t="s">
        <v>11815</v>
      </c>
      <c r="E14552" s="3">
        <v>0</v>
      </c>
      <c r="F14552" s="2">
        <v>1868</v>
      </c>
      <c r="G14552" s="2">
        <v>94</v>
      </c>
      <c r="H14552" s="2">
        <v>370</v>
      </c>
      <c r="I14552" s="2">
        <v>1</v>
      </c>
      <c r="J14552" s="2">
        <v>1110</v>
      </c>
      <c r="K14552" s="2">
        <v>142</v>
      </c>
      <c r="L14552" s="2">
        <v>511</v>
      </c>
    </row>
    <row r="14553" spans="1:12" x14ac:dyDescent="0.25">
      <c r="A14553" s="4" t="str">
        <f>HYPERLINK("http://www.rosaceae.org/Prunus/Prunus_persica/p.persica_gdr_reftransV1_0004903","p.persica_gdr_reftransV1_0004903")</f>
        <v>p.persica_gdr_reftransV1_0004903</v>
      </c>
      <c r="B14553" s="2">
        <v>2948</v>
      </c>
      <c r="C14553" s="4" t="str">
        <f>HYPERLINK("http://www.uniprot.org/uniprot/M5Y3Z7","M5Y3Z7")</f>
        <v>M5Y3Z7</v>
      </c>
      <c r="D14553" s="2" t="s">
        <v>11816</v>
      </c>
      <c r="E14553" s="3">
        <v>0</v>
      </c>
      <c r="F14553" s="2">
        <v>4504</v>
      </c>
      <c r="G14553" s="2">
        <v>99</v>
      </c>
      <c r="H14553" s="2">
        <v>881</v>
      </c>
      <c r="I14553" s="2">
        <v>126</v>
      </c>
      <c r="J14553" s="2">
        <v>2768</v>
      </c>
      <c r="K14553" s="2">
        <v>1</v>
      </c>
      <c r="L14553" s="2">
        <v>873</v>
      </c>
    </row>
    <row r="14554" spans="1:12" x14ac:dyDescent="0.25">
      <c r="A14554" s="4" t="str">
        <f>HYPERLINK("http://www.rosaceae.org/Prunus/Prunus_persica/p.persica_gdr_reftransV1_0005603","p.persica_gdr_reftransV1_0005603")</f>
        <v>p.persica_gdr_reftransV1_0005603</v>
      </c>
      <c r="B14554" s="2">
        <v>458</v>
      </c>
      <c r="C14554" s="4" t="str">
        <f>HYPERLINK("http://www.uniprot.org/uniprot/M5VU85","M5VU85")</f>
        <v>M5VU85</v>
      </c>
      <c r="D14554" s="2" t="s">
        <v>11817</v>
      </c>
      <c r="E14554" s="3">
        <v>1.53E-103</v>
      </c>
      <c r="F14554" s="2">
        <v>810</v>
      </c>
      <c r="G14554" s="2">
        <v>100</v>
      </c>
      <c r="H14554" s="2">
        <v>152</v>
      </c>
      <c r="I14554" s="2">
        <v>1</v>
      </c>
      <c r="J14554" s="2">
        <v>456</v>
      </c>
      <c r="K14554" s="2">
        <v>16</v>
      </c>
      <c r="L14554" s="2">
        <v>167</v>
      </c>
    </row>
    <row r="14555" spans="1:12" x14ac:dyDescent="0.25">
      <c r="A14555" s="4" t="str">
        <f>HYPERLINK("http://www.rosaceae.org/Prunus/Prunus_persica/p.persica_gdr_reftransV1_0006303","p.persica_gdr_reftransV1_0006303")</f>
        <v>p.persica_gdr_reftransV1_0006303</v>
      </c>
      <c r="B14555" s="2">
        <v>568</v>
      </c>
      <c r="C14555" s="4" t="str">
        <f>HYPERLINK("http://www.uniprot.org/uniprot/M5W8Q9","M5W8Q9")</f>
        <v>M5W8Q9</v>
      </c>
      <c r="D14555" s="2" t="s">
        <v>707</v>
      </c>
      <c r="E14555" s="3">
        <v>4.1500000000000002E-106</v>
      </c>
      <c r="F14555" s="2">
        <v>807</v>
      </c>
      <c r="G14555" s="2">
        <v>100</v>
      </c>
      <c r="H14555" s="2">
        <v>150</v>
      </c>
      <c r="I14555" s="2">
        <v>70</v>
      </c>
      <c r="J14555" s="2">
        <v>519</v>
      </c>
      <c r="K14555" s="2">
        <v>1</v>
      </c>
      <c r="L14555" s="2">
        <v>150</v>
      </c>
    </row>
    <row r="14556" spans="1:12" x14ac:dyDescent="0.25">
      <c r="A14556" s="4" t="str">
        <f>HYPERLINK("http://www.rosaceae.org/Prunus/Prunus_persica/p.persica_gdr_reftransV1_0007003","p.persica_gdr_reftransV1_0007003")</f>
        <v>p.persica_gdr_reftransV1_0007003</v>
      </c>
      <c r="B14556" s="2">
        <v>2640</v>
      </c>
      <c r="C14556" s="4" t="str">
        <f>HYPERLINK("http://www.uniprot.org/uniprot/M5WSH8","M5WSH8")</f>
        <v>M5WSH8</v>
      </c>
      <c r="D14556" s="2" t="s">
        <v>11818</v>
      </c>
      <c r="E14556" s="3">
        <v>0</v>
      </c>
      <c r="F14556" s="2">
        <v>3936</v>
      </c>
      <c r="G14556" s="2">
        <v>99</v>
      </c>
      <c r="H14556" s="2">
        <v>767</v>
      </c>
      <c r="I14556" s="2">
        <v>235</v>
      </c>
      <c r="J14556" s="2">
        <v>2535</v>
      </c>
      <c r="K14556" s="2">
        <v>1</v>
      </c>
      <c r="L14556" s="2">
        <v>767</v>
      </c>
    </row>
    <row r="14557" spans="1:12" x14ac:dyDescent="0.25">
      <c r="A14557" s="4" t="str">
        <f>HYPERLINK("http://www.rosaceae.org/Prunus/Prunus_persica/p.persica_gdr_reftransV1_0007353","p.persica_gdr_reftransV1_0007353")</f>
        <v>p.persica_gdr_reftransV1_0007353</v>
      </c>
      <c r="B14557" s="2">
        <v>785</v>
      </c>
      <c r="C14557" s="4" t="str">
        <f>HYPERLINK("http://www.uniprot.org/uniprot/M5W2B4","M5W2B4")</f>
        <v>M5W2B4</v>
      </c>
      <c r="D14557" s="2" t="s">
        <v>2735</v>
      </c>
      <c r="E14557" s="3">
        <v>7.0599999999999996E-72</v>
      </c>
      <c r="F14557" s="2">
        <v>632</v>
      </c>
      <c r="G14557" s="2">
        <v>97</v>
      </c>
      <c r="H14557" s="2">
        <v>139</v>
      </c>
      <c r="I14557" s="2">
        <v>74</v>
      </c>
      <c r="J14557" s="2">
        <v>490</v>
      </c>
      <c r="K14557" s="2">
        <v>1</v>
      </c>
      <c r="L14557" s="2">
        <v>139</v>
      </c>
    </row>
    <row r="14558" spans="1:12" x14ac:dyDescent="0.25">
      <c r="A14558" s="4" t="str">
        <f>HYPERLINK("http://www.rosaceae.org/Prunus/Prunus_persica/p.persica_gdr_reftransV1_0007703","p.persica_gdr_reftransV1_0007703")</f>
        <v>p.persica_gdr_reftransV1_0007703</v>
      </c>
      <c r="B14558" s="2">
        <v>707</v>
      </c>
      <c r="C14558" s="4" t="str">
        <f>HYPERLINK("http://www.uniprot.org/uniprot/M5WP42","M5WP42")</f>
        <v>M5WP42</v>
      </c>
      <c r="D14558" s="2" t="s">
        <v>3677</v>
      </c>
      <c r="E14558" s="3">
        <v>1.47E-169</v>
      </c>
      <c r="F14558" s="2">
        <v>1275</v>
      </c>
      <c r="G14558" s="2">
        <v>100</v>
      </c>
      <c r="H14558" s="2">
        <v>235</v>
      </c>
      <c r="I14558" s="2">
        <v>2</v>
      </c>
      <c r="J14558" s="2">
        <v>706</v>
      </c>
      <c r="K14558" s="2">
        <v>424</v>
      </c>
      <c r="L14558" s="2">
        <v>658</v>
      </c>
    </row>
    <row r="14559" spans="1:12" x14ac:dyDescent="0.25">
      <c r="A14559" s="4" t="str">
        <f>HYPERLINK("http://www.rosaceae.org/Prunus/Prunus_persica/p.persica_gdr_reftransV1_0009103","p.persica_gdr_reftransV1_0009103")</f>
        <v>p.persica_gdr_reftransV1_0009103</v>
      </c>
      <c r="B14559" s="2">
        <v>1436</v>
      </c>
      <c r="C14559" s="4" t="str">
        <f>HYPERLINK("http://www.uniprot.org/uniprot/M5VJ17","M5VJ17")</f>
        <v>M5VJ17</v>
      </c>
      <c r="D14559" s="2" t="s">
        <v>11819</v>
      </c>
      <c r="E14559" s="3">
        <v>0</v>
      </c>
      <c r="F14559" s="2">
        <v>2079</v>
      </c>
      <c r="G14559" s="2">
        <v>100</v>
      </c>
      <c r="H14559" s="2">
        <v>421</v>
      </c>
      <c r="I14559" s="2">
        <v>140</v>
      </c>
      <c r="J14559" s="2">
        <v>1402</v>
      </c>
      <c r="K14559" s="2">
        <v>1</v>
      </c>
      <c r="L14559" s="2">
        <v>421</v>
      </c>
    </row>
    <row r="14560" spans="1:12" x14ac:dyDescent="0.25">
      <c r="A14560" s="4" t="str">
        <f>HYPERLINK("http://www.rosaceae.org/Prunus/Prunus_persica/p.persica_gdr_reftransV1_0010153","p.persica_gdr_reftransV1_0010153")</f>
        <v>p.persica_gdr_reftransV1_0010153</v>
      </c>
      <c r="B14560" s="2">
        <v>1397</v>
      </c>
      <c r="C14560" s="4" t="str">
        <f>HYPERLINK("http://www.uniprot.org/uniprot/M5W7S3","M5W7S3")</f>
        <v>M5W7S3</v>
      </c>
      <c r="D14560" s="2" t="s">
        <v>11820</v>
      </c>
      <c r="E14560" s="3">
        <v>0</v>
      </c>
      <c r="F14560" s="2">
        <v>2446</v>
      </c>
      <c r="G14560" s="2">
        <v>100</v>
      </c>
      <c r="H14560" s="2">
        <v>458</v>
      </c>
      <c r="I14560" s="2">
        <v>24</v>
      </c>
      <c r="J14560" s="2">
        <v>1397</v>
      </c>
      <c r="K14560" s="2">
        <v>1</v>
      </c>
      <c r="L14560" s="2">
        <v>458</v>
      </c>
    </row>
    <row r="14561" spans="1:12" x14ac:dyDescent="0.25">
      <c r="A14561" s="4" t="str">
        <f>HYPERLINK("http://www.rosaceae.org/Prunus/Prunus_persica/p.persica_gdr_reftransV1_0011203","p.persica_gdr_reftransV1_0011203")</f>
        <v>p.persica_gdr_reftransV1_0011203</v>
      </c>
      <c r="B14561" s="2">
        <v>2202</v>
      </c>
      <c r="C14561" s="4" t="str">
        <f>HYPERLINK("http://www.uniprot.org/uniprot/M5W8E6","M5W8E6")</f>
        <v>M5W8E6</v>
      </c>
      <c r="D14561" s="2" t="s">
        <v>11821</v>
      </c>
      <c r="E14561" s="3">
        <v>0</v>
      </c>
      <c r="F14561" s="2">
        <v>2426</v>
      </c>
      <c r="G14561" s="2">
        <v>100</v>
      </c>
      <c r="H14561" s="2">
        <v>470</v>
      </c>
      <c r="I14561" s="2">
        <v>251</v>
      </c>
      <c r="J14561" s="2">
        <v>1660</v>
      </c>
      <c r="K14561" s="2">
        <v>1</v>
      </c>
      <c r="L14561" s="2">
        <v>470</v>
      </c>
    </row>
    <row r="14562" spans="1:12" x14ac:dyDescent="0.25">
      <c r="A14562" s="4" t="str">
        <f>HYPERLINK("http://www.rosaceae.org/Prunus/Prunus_persica/p.persica_gdr_reftransV1_0011903","p.persica_gdr_reftransV1_0011903")</f>
        <v>p.persica_gdr_reftransV1_0011903</v>
      </c>
      <c r="B14562" s="2">
        <v>2688</v>
      </c>
      <c r="C14562" s="4" t="str">
        <f>HYPERLINK("http://www.uniprot.org/uniprot/M5XYJ2","M5XYJ2")</f>
        <v>M5XYJ2</v>
      </c>
      <c r="D14562" s="2" t="s">
        <v>11822</v>
      </c>
      <c r="E14562" s="3">
        <v>1.15E-86</v>
      </c>
      <c r="F14562" s="2">
        <v>734</v>
      </c>
      <c r="G14562" s="2">
        <v>100</v>
      </c>
      <c r="H14562" s="2">
        <v>137</v>
      </c>
      <c r="I14562" s="2">
        <v>1424</v>
      </c>
      <c r="J14562" s="2">
        <v>1834</v>
      </c>
      <c r="K14562" s="2">
        <v>84</v>
      </c>
      <c r="L14562" s="2">
        <v>220</v>
      </c>
    </row>
    <row r="14563" spans="1:12" x14ac:dyDescent="0.25">
      <c r="A14563" s="4" t="str">
        <f>HYPERLINK("http://www.rosaceae.org/Prunus/Prunus_persica/p.persica_gdr_reftransV1_0012953","p.persica_gdr_reftransV1_0012953")</f>
        <v>p.persica_gdr_reftransV1_0012953</v>
      </c>
      <c r="B14563" s="2">
        <v>3495</v>
      </c>
      <c r="C14563" s="4" t="str">
        <f>HYPERLINK("http://www.uniprot.org/uniprot/M5WKY6","M5WKY6")</f>
        <v>M5WKY6</v>
      </c>
      <c r="D14563" s="2" t="s">
        <v>11823</v>
      </c>
      <c r="E14563" s="3">
        <v>0</v>
      </c>
      <c r="F14563" s="2">
        <v>4805</v>
      </c>
      <c r="G14563" s="2">
        <v>100</v>
      </c>
      <c r="H14563" s="2">
        <v>911</v>
      </c>
      <c r="I14563" s="2">
        <v>378</v>
      </c>
      <c r="J14563" s="2">
        <v>3110</v>
      </c>
      <c r="K14563" s="2">
        <v>45</v>
      </c>
      <c r="L14563" s="2">
        <v>955</v>
      </c>
    </row>
    <row r="14564" spans="1:12" x14ac:dyDescent="0.25">
      <c r="A14564" s="4" t="str">
        <f>HYPERLINK("http://www.rosaceae.org/Prunus/Prunus_persica/p.persica_gdr_reftransV1_0014003","p.persica_gdr_reftransV1_0014003")</f>
        <v>p.persica_gdr_reftransV1_0014003</v>
      </c>
      <c r="B14564" s="2">
        <v>928</v>
      </c>
      <c r="C14564" s="4" t="str">
        <f>HYPERLINK("http://www.uniprot.org/uniprot/M5WPB4","M5WPB4")</f>
        <v>M5WPB4</v>
      </c>
      <c r="D14564" s="2" t="s">
        <v>6160</v>
      </c>
      <c r="E14564" s="3">
        <v>2.5E-156</v>
      </c>
      <c r="F14564" s="2">
        <v>1176</v>
      </c>
      <c r="G14564" s="2">
        <v>100</v>
      </c>
      <c r="H14564" s="2">
        <v>215</v>
      </c>
      <c r="I14564" s="2">
        <v>3</v>
      </c>
      <c r="J14564" s="2">
        <v>647</v>
      </c>
      <c r="K14564" s="2">
        <v>255</v>
      </c>
      <c r="L14564" s="2">
        <v>469</v>
      </c>
    </row>
    <row r="14565" spans="1:12" x14ac:dyDescent="0.25">
      <c r="A14565" s="4" t="str">
        <f>HYPERLINK("http://www.rosaceae.org/Prunus/Prunus_persica/p.persica_gdr_reftransV1_0014353","p.persica_gdr_reftransV1_0014353")</f>
        <v>p.persica_gdr_reftransV1_0014353</v>
      </c>
      <c r="B14565" s="2">
        <v>2079</v>
      </c>
      <c r="C14565" s="4" t="str">
        <f>HYPERLINK("http://www.uniprot.org/uniprot/E0CT36","E0CT36")</f>
        <v>E0CT36</v>
      </c>
      <c r="D14565" s="2" t="s">
        <v>11824</v>
      </c>
      <c r="E14565" s="3">
        <v>0</v>
      </c>
      <c r="F14565" s="2">
        <v>1475</v>
      </c>
      <c r="G14565" s="2">
        <v>63</v>
      </c>
      <c r="H14565" s="2">
        <v>484</v>
      </c>
      <c r="I14565" s="2">
        <v>355</v>
      </c>
      <c r="J14565" s="2">
        <v>1794</v>
      </c>
      <c r="K14565" s="2">
        <v>27</v>
      </c>
      <c r="L14565" s="2">
        <v>430</v>
      </c>
    </row>
    <row r="14566" spans="1:12" x14ac:dyDescent="0.25">
      <c r="A14566" s="4" t="str">
        <f>HYPERLINK("http://www.rosaceae.org/Prunus/Prunus_persica/p.persica_gdr_reftransV1_0015753","p.persica_gdr_reftransV1_0015753")</f>
        <v>p.persica_gdr_reftransV1_0015753</v>
      </c>
      <c r="B14566" s="2">
        <v>1568</v>
      </c>
      <c r="C14566" s="4" t="str">
        <f>HYPERLINK("http://www.uniprot.org/uniprot/M5XYN6","M5XYN6")</f>
        <v>M5XYN6</v>
      </c>
      <c r="D14566" s="2" t="s">
        <v>11825</v>
      </c>
      <c r="E14566" s="3">
        <v>0</v>
      </c>
      <c r="F14566" s="2">
        <v>1527</v>
      </c>
      <c r="G14566" s="2">
        <v>100</v>
      </c>
      <c r="H14566" s="2">
        <v>302</v>
      </c>
      <c r="I14566" s="2">
        <v>454</v>
      </c>
      <c r="J14566" s="2">
        <v>1359</v>
      </c>
      <c r="K14566" s="2">
        <v>1</v>
      </c>
      <c r="L14566" s="2">
        <v>302</v>
      </c>
    </row>
    <row r="14567" spans="1:12" x14ac:dyDescent="0.25">
      <c r="A14567" s="4" t="str">
        <f>HYPERLINK("http://www.rosaceae.org/Prunus/Prunus_persica/p.persica_gdr_reftransV1_0016453","p.persica_gdr_reftransV1_0016453")</f>
        <v>p.persica_gdr_reftransV1_0016453</v>
      </c>
      <c r="B14567" s="2">
        <v>951</v>
      </c>
      <c r="C14567" s="4" t="str">
        <f>HYPERLINK("http://www.uniprot.org/uniprot/M5VSS0","M5VSS0")</f>
        <v>M5VSS0</v>
      </c>
      <c r="D14567" s="2" t="s">
        <v>11826</v>
      </c>
      <c r="E14567" s="3">
        <v>4.9200000000000002E-62</v>
      </c>
      <c r="F14567" s="2">
        <v>521</v>
      </c>
      <c r="G14567" s="2">
        <v>100</v>
      </c>
      <c r="H14567" s="2">
        <v>130</v>
      </c>
      <c r="I14567" s="2">
        <v>225</v>
      </c>
      <c r="J14567" s="2">
        <v>614</v>
      </c>
      <c r="K14567" s="2">
        <v>17</v>
      </c>
      <c r="L14567" s="2">
        <v>146</v>
      </c>
    </row>
    <row r="14568" spans="1:12" x14ac:dyDescent="0.25">
      <c r="A14568" s="4" t="str">
        <f>HYPERLINK("http://www.rosaceae.org/Prunus/Prunus_persica/p.persica_gdr_reftransV1_0017153","p.persica_gdr_reftransV1_0017153")</f>
        <v>p.persica_gdr_reftransV1_0017153</v>
      </c>
      <c r="B14568" s="2">
        <v>3395</v>
      </c>
      <c r="C14568" s="4" t="str">
        <f>HYPERLINK("http://www.uniprot.org/uniprot/M5WQ70","M5WQ70")</f>
        <v>M5WQ70</v>
      </c>
      <c r="D14568" s="2" t="s">
        <v>11827</v>
      </c>
      <c r="E14568" s="3">
        <v>0</v>
      </c>
      <c r="F14568" s="2">
        <v>1998</v>
      </c>
      <c r="G14568" s="2">
        <v>100</v>
      </c>
      <c r="H14568" s="2">
        <v>385</v>
      </c>
      <c r="I14568" s="2">
        <v>2185</v>
      </c>
      <c r="J14568" s="2">
        <v>3339</v>
      </c>
      <c r="K14568" s="2">
        <v>1</v>
      </c>
      <c r="L14568" s="2">
        <v>385</v>
      </c>
    </row>
    <row r="14569" spans="1:12" x14ac:dyDescent="0.25">
      <c r="A14569" s="4" t="str">
        <f>HYPERLINK("http://www.rosaceae.org/Prunus/Prunus_persica/p.persica_gdr_reftransV1_0017503","p.persica_gdr_reftransV1_0017503")</f>
        <v>p.persica_gdr_reftransV1_0017503</v>
      </c>
      <c r="B14569" s="2">
        <v>2741</v>
      </c>
      <c r="C14569" s="4" t="str">
        <f>HYPERLINK("http://www.uniprot.org/uniprot/M5VVS4","M5VVS4")</f>
        <v>M5VVS4</v>
      </c>
      <c r="D14569" s="2" t="s">
        <v>377</v>
      </c>
      <c r="E14569" s="3">
        <v>0</v>
      </c>
      <c r="F14569" s="2">
        <v>3173</v>
      </c>
      <c r="G14569" s="2">
        <v>98</v>
      </c>
      <c r="H14569" s="2">
        <v>722</v>
      </c>
      <c r="I14569" s="2">
        <v>332</v>
      </c>
      <c r="J14569" s="2">
        <v>2497</v>
      </c>
      <c r="K14569" s="2">
        <v>68</v>
      </c>
      <c r="L14569" s="2">
        <v>789</v>
      </c>
    </row>
    <row r="14570" spans="1:12" x14ac:dyDescent="0.25">
      <c r="A14570" s="4" t="str">
        <f>HYPERLINK("http://www.rosaceae.org/Prunus/Prunus_persica/p.persica_gdr_reftransV1_0018203","p.persica_gdr_reftransV1_0018203")</f>
        <v>p.persica_gdr_reftransV1_0018203</v>
      </c>
      <c r="B14570" s="2">
        <v>6082</v>
      </c>
      <c r="C14570" s="4" t="str">
        <f>HYPERLINK("http://www.uniprot.org/uniprot/M5XNP7","M5XNP7")</f>
        <v>M5XNP7</v>
      </c>
      <c r="D14570" s="2" t="s">
        <v>4965</v>
      </c>
      <c r="E14570" s="3">
        <v>0</v>
      </c>
      <c r="F14570" s="2">
        <v>9455</v>
      </c>
      <c r="G14570" s="2">
        <v>98</v>
      </c>
      <c r="H14570" s="2">
        <v>1885</v>
      </c>
      <c r="I14570" s="2">
        <v>428</v>
      </c>
      <c r="J14570" s="2">
        <v>6082</v>
      </c>
      <c r="K14570" s="2">
        <v>798</v>
      </c>
      <c r="L14570" s="2">
        <v>2658</v>
      </c>
    </row>
    <row r="14571" spans="1:12" x14ac:dyDescent="0.25">
      <c r="A14571" s="4" t="str">
        <f>HYPERLINK("http://www.rosaceae.org/Prunus/Prunus_persica/p.persica_gdr_reftransV1_0023103","p.persica_gdr_reftransV1_0023103")</f>
        <v>p.persica_gdr_reftransV1_0023103</v>
      </c>
      <c r="B14571" s="2">
        <v>1245</v>
      </c>
      <c r="C14571" s="4" t="str">
        <f>HYPERLINK("http://www.uniprot.org/uniprot/M5X622","M5X622")</f>
        <v>M5X622</v>
      </c>
      <c r="D14571" s="2" t="s">
        <v>11828</v>
      </c>
      <c r="E14571" s="3">
        <v>1.18E-144</v>
      </c>
      <c r="F14571" s="2">
        <v>1123</v>
      </c>
      <c r="G14571" s="2">
        <v>100</v>
      </c>
      <c r="H14571" s="2">
        <v>214</v>
      </c>
      <c r="I14571" s="2">
        <v>603</v>
      </c>
      <c r="J14571" s="2">
        <v>1244</v>
      </c>
      <c r="K14571" s="2">
        <v>398</v>
      </c>
      <c r="L14571" s="2">
        <v>611</v>
      </c>
    </row>
    <row r="14572" spans="1:12" x14ac:dyDescent="0.25">
      <c r="A14572" s="4" t="str">
        <f>HYPERLINK("http://www.rosaceae.org/Prunus/Prunus_persica/p.persica_gdr_reftransV1_0024853","p.persica_gdr_reftransV1_0024853")</f>
        <v>p.persica_gdr_reftransV1_0024853</v>
      </c>
      <c r="B14572" s="2">
        <v>1801</v>
      </c>
      <c r="C14572" s="4" t="str">
        <f>HYPERLINK("http://www.uniprot.org/uniprot/M5XF21","M5XF21")</f>
        <v>M5XF21</v>
      </c>
      <c r="D14572" s="2" t="s">
        <v>11829</v>
      </c>
      <c r="E14572" s="3">
        <v>0</v>
      </c>
      <c r="F14572" s="2">
        <v>1534</v>
      </c>
      <c r="G14572" s="2">
        <v>100</v>
      </c>
      <c r="H14572" s="2">
        <v>359</v>
      </c>
      <c r="I14572" s="2">
        <v>307</v>
      </c>
      <c r="J14572" s="2">
        <v>1383</v>
      </c>
      <c r="K14572" s="2">
        <v>16</v>
      </c>
      <c r="L14572" s="2">
        <v>374</v>
      </c>
    </row>
    <row r="14573" spans="1:12" x14ac:dyDescent="0.25">
      <c r="A14573" s="4" t="str">
        <f>HYPERLINK("http://www.rosaceae.org/Prunus/Prunus_persica/p.persica_gdr_reftransV1_0026253","p.persica_gdr_reftransV1_0026253")</f>
        <v>p.persica_gdr_reftransV1_0026253</v>
      </c>
      <c r="B14573" s="2">
        <v>2382</v>
      </c>
      <c r="C14573" s="4" t="str">
        <f>HYPERLINK("http://www.uniprot.org/uniprot/M5W4T2","M5W4T2")</f>
        <v>M5W4T2</v>
      </c>
      <c r="D14573" s="2" t="s">
        <v>11830</v>
      </c>
      <c r="E14573" s="3">
        <v>0</v>
      </c>
      <c r="F14573" s="2">
        <v>2064</v>
      </c>
      <c r="G14573" s="2">
        <v>100</v>
      </c>
      <c r="H14573" s="2">
        <v>381</v>
      </c>
      <c r="I14573" s="2">
        <v>1</v>
      </c>
      <c r="J14573" s="2">
        <v>1143</v>
      </c>
      <c r="K14573" s="2">
        <v>62</v>
      </c>
      <c r="L14573" s="2">
        <v>442</v>
      </c>
    </row>
    <row r="14574" spans="1:12" x14ac:dyDescent="0.25">
      <c r="A14574" s="4" t="str">
        <f>HYPERLINK("http://www.rosaceae.org/Prunus/Prunus_persica/p.persica_gdr_reftransV1_0026603","p.persica_gdr_reftransV1_0026603")</f>
        <v>p.persica_gdr_reftransV1_0026603</v>
      </c>
      <c r="B14574" s="2">
        <v>874</v>
      </c>
      <c r="C14574" s="4" t="str">
        <f>HYPERLINK("http://www.uniprot.org/uniprot/M5WT03","M5WT03")</f>
        <v>M5WT03</v>
      </c>
      <c r="D14574" s="2" t="s">
        <v>1590</v>
      </c>
      <c r="E14574" s="3">
        <v>5.1200000000000003E-121</v>
      </c>
      <c r="F14574" s="2">
        <v>930</v>
      </c>
      <c r="G14574" s="2">
        <v>100</v>
      </c>
      <c r="H14574" s="2">
        <v>170</v>
      </c>
      <c r="I14574" s="2">
        <v>364</v>
      </c>
      <c r="J14574" s="2">
        <v>873</v>
      </c>
      <c r="K14574" s="2">
        <v>180</v>
      </c>
      <c r="L14574" s="2">
        <v>349</v>
      </c>
    </row>
    <row r="14575" spans="1:12" x14ac:dyDescent="0.25">
      <c r="A14575" s="4" t="str">
        <f>HYPERLINK("http://www.rosaceae.org/Prunus/Prunus_persica/p.persica_gdr_reftransV1_0026953","p.persica_gdr_reftransV1_0026953")</f>
        <v>p.persica_gdr_reftransV1_0026953</v>
      </c>
      <c r="B14575" s="2">
        <v>2367</v>
      </c>
      <c r="C14575" s="4" t="str">
        <f>HYPERLINK("http://www.uniprot.org/uniprot/M5XC09","M5XC09")</f>
        <v>M5XC09</v>
      </c>
      <c r="D14575" s="2" t="s">
        <v>11831</v>
      </c>
      <c r="E14575" s="3">
        <v>0</v>
      </c>
      <c r="F14575" s="2">
        <v>2292</v>
      </c>
      <c r="G14575" s="2">
        <v>100</v>
      </c>
      <c r="H14575" s="2">
        <v>573</v>
      </c>
      <c r="I14575" s="2">
        <v>471</v>
      </c>
      <c r="J14575" s="2">
        <v>2189</v>
      </c>
      <c r="K14575" s="2">
        <v>1</v>
      </c>
      <c r="L14575" s="2">
        <v>573</v>
      </c>
    </row>
    <row r="14576" spans="1:12" x14ac:dyDescent="0.25">
      <c r="A14576" s="4" t="str">
        <f>HYPERLINK("http://www.rosaceae.org/Prunus/Prunus_persica/p.persica_gdr_reftransV1_0028703","p.persica_gdr_reftransV1_0028703")</f>
        <v>p.persica_gdr_reftransV1_0028703</v>
      </c>
      <c r="B14576" s="2">
        <v>1412</v>
      </c>
      <c r="C14576" s="4" t="str">
        <f>HYPERLINK("http://www.uniprot.org/uniprot/M5W0D9","M5W0D9")</f>
        <v>M5W0D9</v>
      </c>
      <c r="D14576" s="2" t="s">
        <v>11832</v>
      </c>
      <c r="E14576" s="3">
        <v>9.979999999999999E-162</v>
      </c>
      <c r="F14576" s="2">
        <v>993</v>
      </c>
      <c r="G14576" s="2">
        <v>100</v>
      </c>
      <c r="H14576" s="2">
        <v>201</v>
      </c>
      <c r="I14576" s="2">
        <v>143</v>
      </c>
      <c r="J14576" s="2">
        <v>745</v>
      </c>
      <c r="K14576" s="2">
        <v>1</v>
      </c>
      <c r="L14576" s="2">
        <v>201</v>
      </c>
    </row>
    <row r="14577" spans="1:12" x14ac:dyDescent="0.25">
      <c r="A14577" s="4" t="str">
        <f>HYPERLINK("http://www.rosaceae.org/Prunus/Prunus_persica/p.persica_gdr_reftransV1_0029053","p.persica_gdr_reftransV1_0029053")</f>
        <v>p.persica_gdr_reftransV1_0029053</v>
      </c>
      <c r="B14577" s="2">
        <v>955</v>
      </c>
      <c r="C14577" s="4" t="str">
        <f>HYPERLINK("http://www.uniprot.org/uniprot/W9SM40","W9SM40")</f>
        <v>W9SM40</v>
      </c>
      <c r="D14577" s="2" t="s">
        <v>11833</v>
      </c>
      <c r="E14577" s="3">
        <v>8.4800000000000004E-101</v>
      </c>
      <c r="F14577" s="2">
        <v>780</v>
      </c>
      <c r="G14577" s="2">
        <v>95</v>
      </c>
      <c r="H14577" s="2">
        <v>161</v>
      </c>
      <c r="I14577" s="2">
        <v>110</v>
      </c>
      <c r="J14577" s="2">
        <v>592</v>
      </c>
      <c r="K14577" s="2">
        <v>1</v>
      </c>
      <c r="L14577" s="2">
        <v>160</v>
      </c>
    </row>
    <row r="14578" spans="1:12" x14ac:dyDescent="0.25">
      <c r="A14578" s="4" t="str">
        <f>HYPERLINK("http://www.rosaceae.org/Prunus/Prunus_persica/p.persica_gdr_reftransV1_0029403","p.persica_gdr_reftransV1_0029403")</f>
        <v>p.persica_gdr_reftransV1_0029403</v>
      </c>
      <c r="B14578" s="2">
        <v>3698</v>
      </c>
      <c r="C14578" s="4" t="str">
        <f>HYPERLINK("http://www.uniprot.org/uniprot/M5Y2B2","M5Y2B2")</f>
        <v>M5Y2B2</v>
      </c>
      <c r="D14578" s="2" t="s">
        <v>5611</v>
      </c>
      <c r="E14578" s="3">
        <v>0</v>
      </c>
      <c r="F14578" s="2">
        <v>2851</v>
      </c>
      <c r="G14578" s="2">
        <v>100</v>
      </c>
      <c r="H14578" s="2">
        <v>618</v>
      </c>
      <c r="I14578" s="2">
        <v>3</v>
      </c>
      <c r="J14578" s="2">
        <v>1856</v>
      </c>
      <c r="K14578" s="2">
        <v>202</v>
      </c>
      <c r="L14578" s="2">
        <v>819</v>
      </c>
    </row>
    <row r="14579" spans="1:12" x14ac:dyDescent="0.25">
      <c r="A14579" s="4" t="str">
        <f>HYPERLINK("http://www.rosaceae.org/Prunus/Prunus_persica/p.persica_gdr_reftransV1_0031153","p.persica_gdr_reftransV1_0031153")</f>
        <v>p.persica_gdr_reftransV1_0031153</v>
      </c>
      <c r="B14579" s="2">
        <v>2579</v>
      </c>
      <c r="C14579" s="4" t="str">
        <f>HYPERLINK("http://www.uniprot.org/uniprot/A0A061DJB5","A0A061DJB5")</f>
        <v>A0A061DJB5</v>
      </c>
      <c r="D14579" s="2" t="s">
        <v>11834</v>
      </c>
      <c r="E14579" s="3">
        <v>8.5099999999999997E-94</v>
      </c>
      <c r="F14579" s="2">
        <v>801</v>
      </c>
      <c r="G14579" s="2">
        <v>75</v>
      </c>
      <c r="H14579" s="2">
        <v>198</v>
      </c>
      <c r="I14579" s="2">
        <v>320</v>
      </c>
      <c r="J14579" s="2">
        <v>886</v>
      </c>
      <c r="K14579" s="2">
        <v>225</v>
      </c>
      <c r="L14579" s="2">
        <v>422</v>
      </c>
    </row>
    <row r="14580" spans="1:12" x14ac:dyDescent="0.25">
      <c r="A14580" s="4" t="str">
        <f>HYPERLINK("http://www.rosaceae.org/Prunus/Prunus_persica/p.persica_gdr_reftransV1_0031503","p.persica_gdr_reftransV1_0031503")</f>
        <v>p.persica_gdr_reftransV1_0031503</v>
      </c>
      <c r="B14580" s="2">
        <v>2576</v>
      </c>
      <c r="C14580" s="4" t="str">
        <f>HYPERLINK("http://www.uniprot.org/uniprot/M5W2Q1","M5W2Q1")</f>
        <v>M5W2Q1</v>
      </c>
      <c r="D14580" s="2" t="s">
        <v>11835</v>
      </c>
      <c r="E14580" s="3">
        <v>0</v>
      </c>
      <c r="F14580" s="2">
        <v>2045</v>
      </c>
      <c r="G14580" s="2">
        <v>93</v>
      </c>
      <c r="H14580" s="2">
        <v>424</v>
      </c>
      <c r="I14580" s="2">
        <v>979</v>
      </c>
      <c r="J14580" s="2">
        <v>2250</v>
      </c>
      <c r="K14580" s="2">
        <v>24</v>
      </c>
      <c r="L14580" s="2">
        <v>420</v>
      </c>
    </row>
    <row r="14581" spans="1:12" x14ac:dyDescent="0.25">
      <c r="A14581" s="4" t="str">
        <f>HYPERLINK("http://www.rosaceae.org/Prunus/Prunus_persica/p.persica_gdr_reftransV1_0031853","p.persica_gdr_reftransV1_0031853")</f>
        <v>p.persica_gdr_reftransV1_0031853</v>
      </c>
      <c r="B14581" s="2">
        <v>3585</v>
      </c>
      <c r="C14581" s="4" t="str">
        <f>HYPERLINK("http://www.uniprot.org/uniprot/M5VWS4","M5VWS4")</f>
        <v>M5VWS4</v>
      </c>
      <c r="D14581" s="2" t="s">
        <v>11836</v>
      </c>
      <c r="E14581" s="3">
        <v>1.26E-89</v>
      </c>
      <c r="F14581" s="2">
        <v>794</v>
      </c>
      <c r="G14581" s="2">
        <v>100</v>
      </c>
      <c r="H14581" s="2">
        <v>162</v>
      </c>
      <c r="I14581" s="2">
        <v>3002</v>
      </c>
      <c r="J14581" s="2">
        <v>3487</v>
      </c>
      <c r="K14581" s="2">
        <v>12</v>
      </c>
      <c r="L14581" s="2">
        <v>173</v>
      </c>
    </row>
    <row r="14582" spans="1:12" x14ac:dyDescent="0.25">
      <c r="A14582" s="4" t="str">
        <f>HYPERLINK("http://www.rosaceae.org/Prunus/Prunus_persica/p.persica_gdr_reftransV1_0032553","p.persica_gdr_reftransV1_0032553")</f>
        <v>p.persica_gdr_reftransV1_0032553</v>
      </c>
      <c r="B14582" s="2">
        <v>411</v>
      </c>
      <c r="C14582" s="4" t="str">
        <f>HYPERLINK("http://www.uniprot.org/uniprot/M5X9Z2","M5X9Z2")</f>
        <v>M5X9Z2</v>
      </c>
      <c r="D14582" s="2" t="s">
        <v>245</v>
      </c>
      <c r="E14582" s="3">
        <v>2.8299999999999999E-79</v>
      </c>
      <c r="F14582" s="2">
        <v>674</v>
      </c>
      <c r="G14582" s="2">
        <v>95</v>
      </c>
      <c r="H14582" s="2">
        <v>136</v>
      </c>
      <c r="I14582" s="2">
        <v>3</v>
      </c>
      <c r="J14582" s="2">
        <v>410</v>
      </c>
      <c r="K14582" s="2">
        <v>1000</v>
      </c>
      <c r="L14582" s="2">
        <v>1135</v>
      </c>
    </row>
    <row r="14583" spans="1:12" x14ac:dyDescent="0.25">
      <c r="A14583" s="4" t="str">
        <f>HYPERLINK("http://www.rosaceae.org/Prunus/Prunus_persica/p.persica_gdr_reftransV1_0032903","p.persica_gdr_reftransV1_0032903")</f>
        <v>p.persica_gdr_reftransV1_0032903</v>
      </c>
      <c r="B14583" s="2">
        <v>3451</v>
      </c>
      <c r="C14583" s="4" t="str">
        <f>HYPERLINK("http://www.uniprot.org/uniprot/M5WLY5","M5WLY5")</f>
        <v>M5WLY5</v>
      </c>
      <c r="D14583" s="2" t="s">
        <v>11837</v>
      </c>
      <c r="E14583" s="3">
        <v>0</v>
      </c>
      <c r="F14583" s="2">
        <v>1423</v>
      </c>
      <c r="G14583" s="2">
        <v>100</v>
      </c>
      <c r="H14583" s="2">
        <v>264</v>
      </c>
      <c r="I14583" s="2">
        <v>1957</v>
      </c>
      <c r="J14583" s="2">
        <v>2748</v>
      </c>
      <c r="K14583" s="2">
        <v>99</v>
      </c>
      <c r="L14583" s="2">
        <v>362</v>
      </c>
    </row>
    <row r="14584" spans="1:12" x14ac:dyDescent="0.25">
      <c r="A14584" s="4" t="str">
        <f>HYPERLINK("http://www.rosaceae.org/Prunus/Prunus_persica/p.persica_gdr_reftransV1_0033253","p.persica_gdr_reftransV1_0033253")</f>
        <v>p.persica_gdr_reftransV1_0033253</v>
      </c>
      <c r="B14584" s="2">
        <v>2757</v>
      </c>
      <c r="C14584" s="4" t="str">
        <f>HYPERLINK("http://www.uniprot.org/uniprot/M5WFG6","M5WFG6")</f>
        <v>M5WFG6</v>
      </c>
      <c r="D14584" s="2" t="s">
        <v>11838</v>
      </c>
      <c r="E14584" s="3">
        <v>0</v>
      </c>
      <c r="F14584" s="2">
        <v>1587</v>
      </c>
      <c r="G14584" s="2">
        <v>100</v>
      </c>
      <c r="H14584" s="2">
        <v>344</v>
      </c>
      <c r="I14584" s="2">
        <v>1551</v>
      </c>
      <c r="J14584" s="2">
        <v>2582</v>
      </c>
      <c r="K14584" s="2">
        <v>231</v>
      </c>
      <c r="L14584" s="2">
        <v>574</v>
      </c>
    </row>
    <row r="14585" spans="1:12" x14ac:dyDescent="0.25">
      <c r="A14585" s="4" t="str">
        <f>HYPERLINK("http://www.rosaceae.org/Prunus/Prunus_persica/p.persica_gdr_reftransV1_0033953","p.persica_gdr_reftransV1_0033953")</f>
        <v>p.persica_gdr_reftransV1_0033953</v>
      </c>
      <c r="B14585" s="2">
        <v>2192</v>
      </c>
      <c r="C14585" s="4" t="str">
        <f>HYPERLINK("http://www.uniprot.org/uniprot/M5VME2","M5VME2")</f>
        <v>M5VME2</v>
      </c>
      <c r="D14585" s="2" t="s">
        <v>11839</v>
      </c>
      <c r="E14585" s="3">
        <v>0</v>
      </c>
      <c r="F14585" s="2">
        <v>1740</v>
      </c>
      <c r="G14585" s="2">
        <v>96</v>
      </c>
      <c r="H14585" s="2">
        <v>365</v>
      </c>
      <c r="I14585" s="2">
        <v>580</v>
      </c>
      <c r="J14585" s="2">
        <v>1668</v>
      </c>
      <c r="K14585" s="2">
        <v>6</v>
      </c>
      <c r="L14585" s="2">
        <v>367</v>
      </c>
    </row>
    <row r="14586" spans="1:12" x14ac:dyDescent="0.25">
      <c r="A14586" s="4" t="str">
        <f>HYPERLINK("http://www.rosaceae.org/Prunus/Prunus_persica/p.persica_gdr_reftransV1_0034653","p.persica_gdr_reftransV1_0034653")</f>
        <v>p.persica_gdr_reftransV1_0034653</v>
      </c>
      <c r="B14586" s="2">
        <v>3112</v>
      </c>
      <c r="C14586" s="4" t="str">
        <f>HYPERLINK("http://www.uniprot.org/uniprot/M5XBF6","M5XBF6")</f>
        <v>M5XBF6</v>
      </c>
      <c r="D14586" s="2" t="s">
        <v>11840</v>
      </c>
      <c r="E14586" s="3">
        <v>0</v>
      </c>
      <c r="F14586" s="2">
        <v>3807</v>
      </c>
      <c r="G14586" s="2">
        <v>100</v>
      </c>
      <c r="H14586" s="2">
        <v>791</v>
      </c>
      <c r="I14586" s="2">
        <v>491</v>
      </c>
      <c r="J14586" s="2">
        <v>2863</v>
      </c>
      <c r="K14586" s="2">
        <v>1</v>
      </c>
      <c r="L14586" s="2">
        <v>791</v>
      </c>
    </row>
    <row r="14587" spans="1:12" x14ac:dyDescent="0.25">
      <c r="A14587" s="4" t="str">
        <f>HYPERLINK("http://www.rosaceae.org/Prunus/Prunus_persica/p.persica_gdr_reftransV1_0036403","p.persica_gdr_reftransV1_0036403")</f>
        <v>p.persica_gdr_reftransV1_0036403</v>
      </c>
      <c r="B14587" s="2">
        <v>4650</v>
      </c>
      <c r="C14587" s="4" t="str">
        <f>HYPERLINK("http://www.uniprot.org/uniprot/M5WS13","M5WS13")</f>
        <v>M5WS13</v>
      </c>
      <c r="D14587" s="2" t="s">
        <v>4458</v>
      </c>
      <c r="E14587" s="3">
        <v>0</v>
      </c>
      <c r="F14587" s="2">
        <v>4245</v>
      </c>
      <c r="G14587" s="2">
        <v>95</v>
      </c>
      <c r="H14587" s="2">
        <v>866</v>
      </c>
      <c r="I14587" s="2">
        <v>1872</v>
      </c>
      <c r="J14587" s="2">
        <v>4469</v>
      </c>
      <c r="K14587" s="2">
        <v>30</v>
      </c>
      <c r="L14587" s="2">
        <v>861</v>
      </c>
    </row>
    <row r="14588" spans="1:12" x14ac:dyDescent="0.25">
      <c r="A14588" s="4" t="str">
        <f>HYPERLINK("http://www.rosaceae.org/Prunus/Prunus_persica/p.persica_gdr_reftransV1_0037803","p.persica_gdr_reftransV1_0037803")</f>
        <v>p.persica_gdr_reftransV1_0037803</v>
      </c>
      <c r="B14588" s="2">
        <v>1306</v>
      </c>
      <c r="C14588" s="4" t="str">
        <f>HYPERLINK("http://www.uniprot.org/uniprot/M5X205","M5X205")</f>
        <v>M5X205</v>
      </c>
      <c r="D14588" s="2" t="s">
        <v>1934</v>
      </c>
      <c r="E14588" s="3">
        <v>2.0099999999999999E-129</v>
      </c>
      <c r="F14588" s="2">
        <v>991</v>
      </c>
      <c r="G14588" s="2">
        <v>99</v>
      </c>
      <c r="H14588" s="2">
        <v>184</v>
      </c>
      <c r="I14588" s="2">
        <v>77</v>
      </c>
      <c r="J14588" s="2">
        <v>628</v>
      </c>
      <c r="K14588" s="2">
        <v>1</v>
      </c>
      <c r="L14588" s="2">
        <v>184</v>
      </c>
    </row>
    <row r="14589" spans="1:12" x14ac:dyDescent="0.25">
      <c r="A14589" s="4" t="str">
        <f>HYPERLINK("http://www.rosaceae.org/Prunus/Prunus_persica/p.persica_gdr_reftransV1_0040953","p.persica_gdr_reftransV1_0040953")</f>
        <v>p.persica_gdr_reftransV1_0040953</v>
      </c>
      <c r="B14589" s="2">
        <v>3949</v>
      </c>
      <c r="C14589" s="4" t="str">
        <f>HYPERLINK("http://www.uniprot.org/uniprot/M5XIN0","M5XIN0")</f>
        <v>M5XIN0</v>
      </c>
      <c r="D14589" s="2" t="s">
        <v>2501</v>
      </c>
      <c r="E14589" s="3">
        <v>0</v>
      </c>
      <c r="F14589" s="2">
        <v>2662</v>
      </c>
      <c r="G14589" s="2">
        <v>97</v>
      </c>
      <c r="H14589" s="2">
        <v>512</v>
      </c>
      <c r="I14589" s="2">
        <v>2310</v>
      </c>
      <c r="J14589" s="2">
        <v>3845</v>
      </c>
      <c r="K14589" s="2">
        <v>12</v>
      </c>
      <c r="L14589" s="2">
        <v>509</v>
      </c>
    </row>
    <row r="14590" spans="1:12" x14ac:dyDescent="0.25">
      <c r="A14590" s="4" t="str">
        <f>HYPERLINK("http://www.rosaceae.org/Prunus/Prunus_persica/p.persica_gdr_reftransV1_0041653","p.persica_gdr_reftransV1_0041653")</f>
        <v>p.persica_gdr_reftransV1_0041653</v>
      </c>
      <c r="B14590" s="2">
        <v>1760</v>
      </c>
      <c r="C14590" s="4" t="str">
        <f>HYPERLINK("http://www.uniprot.org/uniprot/M5XPC6","M5XPC6")</f>
        <v>M5XPC6</v>
      </c>
      <c r="D14590" s="2" t="s">
        <v>11841</v>
      </c>
      <c r="E14590" s="3">
        <v>2.2799999999999999E-129</v>
      </c>
      <c r="F14590" s="2">
        <v>1013</v>
      </c>
      <c r="G14590" s="2">
        <v>100</v>
      </c>
      <c r="H14590" s="2">
        <v>227</v>
      </c>
      <c r="I14590" s="2">
        <v>1040</v>
      </c>
      <c r="J14590" s="2">
        <v>1720</v>
      </c>
      <c r="K14590" s="2">
        <v>1</v>
      </c>
      <c r="L14590" s="2">
        <v>227</v>
      </c>
    </row>
    <row r="14591" spans="1:12" x14ac:dyDescent="0.25">
      <c r="A14591" s="4" t="str">
        <f>HYPERLINK("http://www.rosaceae.org/Prunus/Prunus_persica/p.persica_gdr_reftransV1_0043053","p.persica_gdr_reftransV1_0043053")</f>
        <v>p.persica_gdr_reftransV1_0043053</v>
      </c>
      <c r="B14591" s="2">
        <v>2166</v>
      </c>
      <c r="C14591" s="4" t="str">
        <f>HYPERLINK("http://www.uniprot.org/uniprot/M5X1V1","M5X1V1")</f>
        <v>M5X1V1</v>
      </c>
      <c r="D14591" s="2" t="s">
        <v>11842</v>
      </c>
      <c r="E14591" s="3">
        <v>0</v>
      </c>
      <c r="F14591" s="2">
        <v>2466</v>
      </c>
      <c r="G14591" s="2">
        <v>100</v>
      </c>
      <c r="H14591" s="2">
        <v>497</v>
      </c>
      <c r="I14591" s="2">
        <v>520</v>
      </c>
      <c r="J14591" s="2">
        <v>2010</v>
      </c>
      <c r="K14591" s="2">
        <v>5</v>
      </c>
      <c r="L14591" s="2">
        <v>501</v>
      </c>
    </row>
    <row r="14592" spans="1:12" x14ac:dyDescent="0.25">
      <c r="A14592" s="4" t="str">
        <f>HYPERLINK("http://www.rosaceae.org/Prunus/Prunus_persica/p.persica_gdr_reftransV1_0043403","p.persica_gdr_reftransV1_0043403")</f>
        <v>p.persica_gdr_reftransV1_0043403</v>
      </c>
      <c r="B14592" s="2">
        <v>558</v>
      </c>
      <c r="C14592" s="4" t="str">
        <f>HYPERLINK("http://www.uniprot.org/uniprot/M5WLX7","M5WLX7")</f>
        <v>M5WLX7</v>
      </c>
      <c r="D14592" s="2" t="s">
        <v>4334</v>
      </c>
      <c r="E14592" s="3">
        <v>1.9300000000000001E-110</v>
      </c>
      <c r="F14592" s="2">
        <v>906</v>
      </c>
      <c r="G14592" s="2">
        <v>94</v>
      </c>
      <c r="H14592" s="2">
        <v>184</v>
      </c>
      <c r="I14592" s="2">
        <v>6</v>
      </c>
      <c r="J14592" s="2">
        <v>557</v>
      </c>
      <c r="K14592" s="2">
        <v>1005</v>
      </c>
      <c r="L14592" s="2">
        <v>1188</v>
      </c>
    </row>
    <row r="14593" spans="1:12" x14ac:dyDescent="0.25">
      <c r="A14593" s="4" t="str">
        <f>HYPERLINK("http://www.rosaceae.org/Prunus/Prunus_persica/p.persica_gdr_reftransV1_0044103","p.persica_gdr_reftransV1_0044103")</f>
        <v>p.persica_gdr_reftransV1_0044103</v>
      </c>
      <c r="B14593" s="2">
        <v>947</v>
      </c>
      <c r="C14593" s="4" t="str">
        <f>HYPERLINK("http://www.uniprot.org/uniprot/M5WC10","M5WC10")</f>
        <v>M5WC10</v>
      </c>
      <c r="D14593" s="2" t="s">
        <v>11843</v>
      </c>
      <c r="E14593" s="3">
        <v>1.4899999999999999E-131</v>
      </c>
      <c r="F14593" s="2">
        <v>986</v>
      </c>
      <c r="G14593" s="2">
        <v>100</v>
      </c>
      <c r="H14593" s="2">
        <v>190</v>
      </c>
      <c r="I14593" s="2">
        <v>100</v>
      </c>
      <c r="J14593" s="2">
        <v>669</v>
      </c>
      <c r="K14593" s="2">
        <v>1</v>
      </c>
      <c r="L14593" s="2">
        <v>190</v>
      </c>
    </row>
    <row r="14594" spans="1:12" x14ac:dyDescent="0.25">
      <c r="A14594" s="4" t="str">
        <f>HYPERLINK("http://www.rosaceae.org/Prunus/Prunus_persica/p.persica_gdr_reftransV1_0044453","p.persica_gdr_reftransV1_0044453")</f>
        <v>p.persica_gdr_reftransV1_0044453</v>
      </c>
      <c r="B14594" s="2">
        <v>513</v>
      </c>
      <c r="C14594" s="4" t="str">
        <f>HYPERLINK("http://www.uniprot.org/uniprot/M5XGP2","M5XGP2")</f>
        <v>M5XGP2</v>
      </c>
      <c r="D14594" s="2" t="s">
        <v>2287</v>
      </c>
      <c r="E14594" s="3">
        <v>6.2899999999999997E-108</v>
      </c>
      <c r="F14594" s="2">
        <v>864</v>
      </c>
      <c r="G14594" s="2">
        <v>100</v>
      </c>
      <c r="H14594" s="2">
        <v>162</v>
      </c>
      <c r="I14594" s="2">
        <v>1</v>
      </c>
      <c r="J14594" s="2">
        <v>486</v>
      </c>
      <c r="K14594" s="2">
        <v>623</v>
      </c>
      <c r="L14594" s="2">
        <v>784</v>
      </c>
    </row>
    <row r="14595" spans="1:12" x14ac:dyDescent="0.25">
      <c r="A14595" s="4" t="str">
        <f>HYPERLINK("http://www.rosaceae.org/Prunus/Prunus_persica/p.persica_gdr_reftransV1_0044803","p.persica_gdr_reftransV1_0044803")</f>
        <v>p.persica_gdr_reftransV1_0044803</v>
      </c>
      <c r="B14595" s="2">
        <v>534</v>
      </c>
      <c r="C14595" s="4" t="str">
        <f>HYPERLINK("http://www.uniprot.org/uniprot/M5VR85","M5VR85")</f>
        <v>M5VR85</v>
      </c>
      <c r="D14595" s="2" t="s">
        <v>6524</v>
      </c>
      <c r="E14595" s="3">
        <v>1.32E-62</v>
      </c>
      <c r="F14595" s="2">
        <v>526</v>
      </c>
      <c r="G14595" s="2">
        <v>72</v>
      </c>
      <c r="H14595" s="2">
        <v>186</v>
      </c>
      <c r="I14595" s="2">
        <v>2</v>
      </c>
      <c r="J14595" s="2">
        <v>532</v>
      </c>
      <c r="K14595" s="2">
        <v>80</v>
      </c>
      <c r="L14595" s="2">
        <v>235</v>
      </c>
    </row>
    <row r="14596" spans="1:12" x14ac:dyDescent="0.25">
      <c r="A14596" s="4" t="str">
        <f>HYPERLINK("http://www.rosaceae.org/Prunus/Prunus_persica/p.persica_gdr_reftransV1_0045153","p.persica_gdr_reftransV1_0045153")</f>
        <v>p.persica_gdr_reftransV1_0045153</v>
      </c>
      <c r="B14596" s="2">
        <v>1276</v>
      </c>
      <c r="C14596" s="4" t="str">
        <f>HYPERLINK("http://www.uniprot.org/uniprot/M5VGL1","M5VGL1")</f>
        <v>M5VGL1</v>
      </c>
      <c r="D14596" s="2" t="s">
        <v>11844</v>
      </c>
      <c r="E14596" s="3">
        <v>0</v>
      </c>
      <c r="F14596" s="2">
        <v>1683</v>
      </c>
      <c r="G14596" s="2">
        <v>96</v>
      </c>
      <c r="H14596" s="2">
        <v>342</v>
      </c>
      <c r="I14596" s="2">
        <v>62</v>
      </c>
      <c r="J14596" s="2">
        <v>1084</v>
      </c>
      <c r="K14596" s="2">
        <v>1</v>
      </c>
      <c r="L14596" s="2">
        <v>341</v>
      </c>
    </row>
    <row r="14597" spans="1:12" x14ac:dyDescent="0.25">
      <c r="A14597" s="4" t="str">
        <f>HYPERLINK("http://www.rosaceae.org/Prunus/Prunus_persica/p.persica_gdr_reftransV1_0045503","p.persica_gdr_reftransV1_0045503")</f>
        <v>p.persica_gdr_reftransV1_0045503</v>
      </c>
      <c r="B14597" s="2">
        <v>2258</v>
      </c>
      <c r="C14597" s="4" t="str">
        <f>HYPERLINK("http://www.uniprot.org/uniprot/M5W112","M5W112")</f>
        <v>M5W112</v>
      </c>
      <c r="D14597" s="2" t="s">
        <v>6287</v>
      </c>
      <c r="E14597" s="3">
        <v>0</v>
      </c>
      <c r="F14597" s="2">
        <v>3026</v>
      </c>
      <c r="G14597" s="2">
        <v>99</v>
      </c>
      <c r="H14597" s="2">
        <v>571</v>
      </c>
      <c r="I14597" s="2">
        <v>338</v>
      </c>
      <c r="J14597" s="2">
        <v>2050</v>
      </c>
      <c r="K14597" s="2">
        <v>1</v>
      </c>
      <c r="L14597" s="2">
        <v>571</v>
      </c>
    </row>
    <row r="14598" spans="1:12" x14ac:dyDescent="0.25">
      <c r="A14598" s="4" t="str">
        <f>HYPERLINK("http://www.rosaceae.org/Prunus/Prunus_persica/p.persica_gdr_reftransV1_0045853","p.persica_gdr_reftransV1_0045853")</f>
        <v>p.persica_gdr_reftransV1_0045853</v>
      </c>
      <c r="B14598" s="2">
        <v>538</v>
      </c>
      <c r="C14598" s="4" t="str">
        <f>HYPERLINK("http://www.uniprot.org/uniprot/M5WM97","M5WM97")</f>
        <v>M5WM97</v>
      </c>
      <c r="D14598" s="2" t="s">
        <v>11845</v>
      </c>
      <c r="E14598" s="3">
        <v>6.3999999999999998E-47</v>
      </c>
      <c r="F14598" s="2">
        <v>404</v>
      </c>
      <c r="G14598" s="2">
        <v>100</v>
      </c>
      <c r="H14598" s="2">
        <v>103</v>
      </c>
      <c r="I14598" s="2">
        <v>85</v>
      </c>
      <c r="J14598" s="2">
        <v>393</v>
      </c>
      <c r="K14598" s="2">
        <v>1</v>
      </c>
      <c r="L14598" s="2">
        <v>103</v>
      </c>
    </row>
    <row r="14599" spans="1:12" x14ac:dyDescent="0.25">
      <c r="A14599" s="4" t="str">
        <f>HYPERLINK("http://www.rosaceae.org/Prunus/Prunus_persica/p.persica_gdr_reftransV1_0046553","p.persica_gdr_reftransV1_0046553")</f>
        <v>p.persica_gdr_reftransV1_0046553</v>
      </c>
      <c r="B14599" s="2">
        <v>1127</v>
      </c>
      <c r="C14599" s="4" t="str">
        <f>HYPERLINK("http://www.uniprot.org/uniprot/M5WMB7","M5WMB7")</f>
        <v>M5WMB7</v>
      </c>
      <c r="D14599" s="2" t="s">
        <v>6889</v>
      </c>
      <c r="E14599" s="3">
        <v>0</v>
      </c>
      <c r="F14599" s="2">
        <v>1422</v>
      </c>
      <c r="G14599" s="2">
        <v>100</v>
      </c>
      <c r="H14599" s="2">
        <v>314</v>
      </c>
      <c r="I14599" s="2">
        <v>185</v>
      </c>
      <c r="J14599" s="2">
        <v>1126</v>
      </c>
      <c r="K14599" s="2">
        <v>1</v>
      </c>
      <c r="L14599" s="2">
        <v>314</v>
      </c>
    </row>
    <row r="14600" spans="1:12" x14ac:dyDescent="0.25">
      <c r="A14600" s="4" t="str">
        <f>HYPERLINK("http://www.rosaceae.org/Prunus/Prunus_persica/p.persica_gdr_reftransV1_0046903","p.persica_gdr_reftransV1_0046903")</f>
        <v>p.persica_gdr_reftransV1_0046903</v>
      </c>
      <c r="B14600" s="2">
        <v>614</v>
      </c>
      <c r="C14600" s="4" t="str">
        <f>HYPERLINK("http://www.uniprot.org/uniprot/A0A061G1L3","A0A061G1L3")</f>
        <v>A0A061G1L3</v>
      </c>
      <c r="D14600" s="2" t="s">
        <v>11846</v>
      </c>
      <c r="E14600" s="3">
        <v>7.5599999999999998E-15</v>
      </c>
      <c r="F14600" s="2">
        <v>195</v>
      </c>
      <c r="G14600" s="2">
        <v>62</v>
      </c>
      <c r="H14600" s="2">
        <v>68</v>
      </c>
      <c r="I14600" s="2">
        <v>289</v>
      </c>
      <c r="J14600" s="2">
        <v>492</v>
      </c>
      <c r="K14600" s="2">
        <v>195</v>
      </c>
      <c r="L14600" s="2">
        <v>262</v>
      </c>
    </row>
    <row r="14601" spans="1:12" x14ac:dyDescent="0.25">
      <c r="A14601" s="4" t="str">
        <f>HYPERLINK("http://www.rosaceae.org/Prunus/Prunus_persica/p.persica_gdr_reftransV1_0047603","p.persica_gdr_reftransV1_0047603")</f>
        <v>p.persica_gdr_reftransV1_0047603</v>
      </c>
      <c r="B14601" s="2">
        <v>3737</v>
      </c>
      <c r="C14601" s="4" t="str">
        <f>HYPERLINK("http://www.uniprot.org/uniprot/M5WE80","M5WE80")</f>
        <v>M5WE80</v>
      </c>
      <c r="D14601" s="2" t="s">
        <v>430</v>
      </c>
      <c r="E14601" s="3">
        <v>0</v>
      </c>
      <c r="F14601" s="2">
        <v>5112</v>
      </c>
      <c r="G14601" s="2">
        <v>98</v>
      </c>
      <c r="H14601" s="2">
        <v>1093</v>
      </c>
      <c r="I14601" s="2">
        <v>319</v>
      </c>
      <c r="J14601" s="2">
        <v>3597</v>
      </c>
      <c r="K14601" s="2">
        <v>1</v>
      </c>
      <c r="L14601" s="2">
        <v>1073</v>
      </c>
    </row>
    <row r="14602" spans="1:12" x14ac:dyDescent="0.25">
      <c r="A14602" s="4" t="str">
        <f>HYPERLINK("http://www.rosaceae.org/Prunus/Prunus_persica/p.persica_gdr_reftransV1_0047953","p.persica_gdr_reftransV1_0047953")</f>
        <v>p.persica_gdr_reftransV1_0047953</v>
      </c>
      <c r="B14602" s="2">
        <v>1319</v>
      </c>
      <c r="C14602" s="4" t="str">
        <f>HYPERLINK("http://www.uniprot.org/uniprot/A0A067D775","A0A067D775")</f>
        <v>A0A067D775</v>
      </c>
      <c r="D14602" s="2" t="s">
        <v>11847</v>
      </c>
      <c r="E14602" s="3">
        <v>3.1699999999999999E-89</v>
      </c>
      <c r="F14602" s="2">
        <v>721</v>
      </c>
      <c r="G14602" s="2">
        <v>64</v>
      </c>
      <c r="H14602" s="2">
        <v>216</v>
      </c>
      <c r="I14602" s="2">
        <v>214</v>
      </c>
      <c r="J14602" s="2">
        <v>861</v>
      </c>
      <c r="K14602" s="2">
        <v>1</v>
      </c>
      <c r="L14602" s="2">
        <v>214</v>
      </c>
    </row>
    <row r="14603" spans="1:12" x14ac:dyDescent="0.25">
      <c r="A14603" s="4" t="str">
        <f>HYPERLINK("http://www.rosaceae.org/Prunus/Prunus_persica/p.persica_gdr_reftransV1_0048303","p.persica_gdr_reftransV1_0048303")</f>
        <v>p.persica_gdr_reftransV1_0048303</v>
      </c>
      <c r="B14603" s="2">
        <v>1149</v>
      </c>
      <c r="C14603" s="4" t="str">
        <f>HYPERLINK("http://www.uniprot.org/uniprot/M5Y9Y7","M5Y9Y7")</f>
        <v>M5Y9Y7</v>
      </c>
      <c r="D14603" s="2" t="s">
        <v>11848</v>
      </c>
      <c r="E14603" s="3">
        <v>0</v>
      </c>
      <c r="F14603" s="2">
        <v>1426</v>
      </c>
      <c r="G14603" s="2">
        <v>100</v>
      </c>
      <c r="H14603" s="2">
        <v>265</v>
      </c>
      <c r="I14603" s="2">
        <v>353</v>
      </c>
      <c r="J14603" s="2">
        <v>1147</v>
      </c>
      <c r="K14603" s="2">
        <v>3</v>
      </c>
      <c r="L14603" s="2">
        <v>267</v>
      </c>
    </row>
    <row r="14604" spans="1:12" x14ac:dyDescent="0.25">
      <c r="A14604" s="4" t="str">
        <f>HYPERLINK("http://www.rosaceae.org/Prunus/Prunus_persica/p.persica_gdr_reftransV1_0048653","p.persica_gdr_reftransV1_0048653")</f>
        <v>p.persica_gdr_reftransV1_0048653</v>
      </c>
      <c r="B14604" s="2">
        <v>519</v>
      </c>
      <c r="C14604" s="4" t="str">
        <f>HYPERLINK("http://www.uniprot.org/uniprot/M5WPW4","M5WPW4")</f>
        <v>M5WPW4</v>
      </c>
      <c r="D14604" s="2" t="s">
        <v>11849</v>
      </c>
      <c r="E14604" s="3">
        <v>1.5800000000000002E-98</v>
      </c>
      <c r="F14604" s="2">
        <v>769</v>
      </c>
      <c r="G14604" s="2">
        <v>100</v>
      </c>
      <c r="H14604" s="2">
        <v>149</v>
      </c>
      <c r="I14604" s="2">
        <v>72</v>
      </c>
      <c r="J14604" s="2">
        <v>518</v>
      </c>
      <c r="K14604" s="2">
        <v>215</v>
      </c>
      <c r="L14604" s="2">
        <v>363</v>
      </c>
    </row>
    <row r="14605" spans="1:12" x14ac:dyDescent="0.25">
      <c r="A14605" s="4" t="str">
        <f>HYPERLINK("http://www.rosaceae.org/Prunus/Prunus_persica/p.persica_gdr_reftransV1_0049003","p.persica_gdr_reftransV1_0049003")</f>
        <v>p.persica_gdr_reftransV1_0049003</v>
      </c>
      <c r="B14605" s="2">
        <v>2009</v>
      </c>
      <c r="C14605" s="4" t="str">
        <f>HYPERLINK("http://www.uniprot.org/uniprot/M5XVP8","M5XVP8")</f>
        <v>M5XVP8</v>
      </c>
      <c r="D14605" s="2" t="s">
        <v>2671</v>
      </c>
      <c r="E14605" s="3">
        <v>0</v>
      </c>
      <c r="F14605" s="2">
        <v>1969</v>
      </c>
      <c r="G14605" s="2">
        <v>100</v>
      </c>
      <c r="H14605" s="2">
        <v>359</v>
      </c>
      <c r="I14605" s="2">
        <v>744</v>
      </c>
      <c r="J14605" s="2">
        <v>1820</v>
      </c>
      <c r="K14605" s="2">
        <v>252</v>
      </c>
      <c r="L14605" s="2">
        <v>610</v>
      </c>
    </row>
    <row r="14606" spans="1:12" x14ac:dyDescent="0.25">
      <c r="A14606" s="4" t="str">
        <f>HYPERLINK("http://www.rosaceae.org/Prunus/Prunus_persica/p.persica_gdr_reftransV1_0000301","p.persica_gdr_reftransV1_0000301")</f>
        <v>p.persica_gdr_reftransV1_0000301</v>
      </c>
      <c r="B14606" s="2">
        <v>714</v>
      </c>
      <c r="C14606" s="4" t="str">
        <f>HYPERLINK("http://www.uniprot.org/uniprot/M5WUA6","M5WUA6")</f>
        <v>M5WUA6</v>
      </c>
      <c r="D14606" s="2" t="s">
        <v>1950</v>
      </c>
      <c r="E14606" s="3">
        <v>9.9800000000000002E-173</v>
      </c>
      <c r="F14606" s="2">
        <v>1273</v>
      </c>
      <c r="G14606" s="2">
        <v>100</v>
      </c>
      <c r="H14606" s="2">
        <v>237</v>
      </c>
      <c r="I14606" s="2">
        <v>3</v>
      </c>
      <c r="J14606" s="2">
        <v>713</v>
      </c>
      <c r="K14606" s="2">
        <v>189</v>
      </c>
      <c r="L14606" s="2">
        <v>425</v>
      </c>
    </row>
    <row r="14607" spans="1:12" x14ac:dyDescent="0.25">
      <c r="A14607" s="4" t="str">
        <f>HYPERLINK("http://www.rosaceae.org/Prunus/Prunus_persica/p.persica_gdr_reftransV1_0001001","p.persica_gdr_reftransV1_0001001")</f>
        <v>p.persica_gdr_reftransV1_0001001</v>
      </c>
      <c r="B14607" s="2">
        <v>3311</v>
      </c>
      <c r="C14607" s="4" t="str">
        <f>HYPERLINK("http://www.uniprot.org/uniprot/M5X1R2","M5X1R2")</f>
        <v>M5X1R2</v>
      </c>
      <c r="D14607" s="2" t="s">
        <v>5755</v>
      </c>
      <c r="E14607" s="3">
        <v>0</v>
      </c>
      <c r="F14607" s="2">
        <v>2004</v>
      </c>
      <c r="G14607" s="2">
        <v>94</v>
      </c>
      <c r="H14607" s="2">
        <v>428</v>
      </c>
      <c r="I14607" s="2">
        <v>643</v>
      </c>
      <c r="J14607" s="2">
        <v>1926</v>
      </c>
      <c r="K14607" s="2">
        <v>13</v>
      </c>
      <c r="L14607" s="2">
        <v>416</v>
      </c>
    </row>
    <row r="14608" spans="1:12" x14ac:dyDescent="0.25">
      <c r="A14608" s="4" t="str">
        <f>HYPERLINK("http://www.rosaceae.org/Prunus/Prunus_persica/p.persica_gdr_reftransV1_0001351","p.persica_gdr_reftransV1_0001351")</f>
        <v>p.persica_gdr_reftransV1_0001351</v>
      </c>
      <c r="B14608" s="2">
        <v>2308</v>
      </c>
      <c r="C14608" s="4" t="str">
        <f>HYPERLINK("http://www.uniprot.org/uniprot/W9QVW5","W9QVW5")</f>
        <v>W9QVW5</v>
      </c>
      <c r="D14608" s="2" t="s">
        <v>3926</v>
      </c>
      <c r="E14608" s="3">
        <v>0</v>
      </c>
      <c r="F14608" s="2">
        <v>2436</v>
      </c>
      <c r="G14608" s="2">
        <v>89</v>
      </c>
      <c r="H14608" s="2">
        <v>554</v>
      </c>
      <c r="I14608" s="2">
        <v>222</v>
      </c>
      <c r="J14608" s="2">
        <v>1868</v>
      </c>
      <c r="K14608" s="2">
        <v>1</v>
      </c>
      <c r="L14608" s="2">
        <v>552</v>
      </c>
    </row>
    <row r="14609" spans="1:12" x14ac:dyDescent="0.25">
      <c r="A14609" s="4" t="str">
        <f>HYPERLINK("http://www.rosaceae.org/Prunus/Prunus_persica/p.persica_gdr_reftransV1_0001701","p.persica_gdr_reftransV1_0001701")</f>
        <v>p.persica_gdr_reftransV1_0001701</v>
      </c>
      <c r="B14609" s="2">
        <v>372</v>
      </c>
      <c r="C14609" s="4" t="str">
        <f>HYPERLINK("http://www.uniprot.org/uniprot/M5W5L4","M5W5L4")</f>
        <v>M5W5L4</v>
      </c>
      <c r="D14609" s="2" t="s">
        <v>11850</v>
      </c>
      <c r="E14609" s="3">
        <v>4.4599999999999999E-57</v>
      </c>
      <c r="F14609" s="2">
        <v>486</v>
      </c>
      <c r="G14609" s="2">
        <v>81</v>
      </c>
      <c r="H14609" s="2">
        <v>124</v>
      </c>
      <c r="I14609" s="2">
        <v>1</v>
      </c>
      <c r="J14609" s="2">
        <v>372</v>
      </c>
      <c r="K14609" s="2">
        <v>14</v>
      </c>
      <c r="L14609" s="2">
        <v>137</v>
      </c>
    </row>
    <row r="14610" spans="1:12" x14ac:dyDescent="0.25">
      <c r="A14610" s="4" t="str">
        <f>HYPERLINK("http://www.rosaceae.org/Prunus/Prunus_persica/p.persica_gdr_reftransV1_0002051","p.persica_gdr_reftransV1_0002051")</f>
        <v>p.persica_gdr_reftransV1_0002051</v>
      </c>
      <c r="B14610" s="2">
        <v>431</v>
      </c>
      <c r="C14610" s="4" t="str">
        <f>HYPERLINK("http://www.uniprot.org/uniprot/M5WL28","M5WL28")</f>
        <v>M5WL28</v>
      </c>
      <c r="D14610" s="2" t="s">
        <v>4279</v>
      </c>
      <c r="E14610" s="3">
        <v>1.3000000000000001E-50</v>
      </c>
      <c r="F14610" s="2">
        <v>459</v>
      </c>
      <c r="G14610" s="2">
        <v>80</v>
      </c>
      <c r="H14610" s="2">
        <v>143</v>
      </c>
      <c r="I14610" s="2">
        <v>2</v>
      </c>
      <c r="J14610" s="2">
        <v>430</v>
      </c>
      <c r="K14610" s="2">
        <v>132</v>
      </c>
      <c r="L14610" s="2">
        <v>246</v>
      </c>
    </row>
    <row r="14611" spans="1:12" x14ac:dyDescent="0.25">
      <c r="A14611" s="4" t="str">
        <f>HYPERLINK("http://www.rosaceae.org/Prunus/Prunus_persica/p.persica_gdr_reftransV1_0003101","p.persica_gdr_reftransV1_0003101")</f>
        <v>p.persica_gdr_reftransV1_0003101</v>
      </c>
      <c r="B14611" s="2">
        <v>1242</v>
      </c>
      <c r="C14611" s="4" t="str">
        <f>HYPERLINK("http://www.uniprot.org/uniprot/M5XMB9","M5XMB9")</f>
        <v>M5XMB9</v>
      </c>
      <c r="D14611" s="2" t="s">
        <v>8324</v>
      </c>
      <c r="E14611" s="3">
        <v>0</v>
      </c>
      <c r="F14611" s="2">
        <v>2188</v>
      </c>
      <c r="G14611" s="2">
        <v>100</v>
      </c>
      <c r="H14611" s="2">
        <v>414</v>
      </c>
      <c r="I14611" s="2">
        <v>1</v>
      </c>
      <c r="J14611" s="2">
        <v>1242</v>
      </c>
      <c r="K14611" s="2">
        <v>85</v>
      </c>
      <c r="L14611" s="2">
        <v>498</v>
      </c>
    </row>
    <row r="14612" spans="1:12" x14ac:dyDescent="0.25">
      <c r="A14612" s="4" t="str">
        <f>HYPERLINK("http://www.rosaceae.org/Prunus/Prunus_persica/p.persica_gdr_reftransV1_0003451","p.persica_gdr_reftransV1_0003451")</f>
        <v>p.persica_gdr_reftransV1_0003451</v>
      </c>
      <c r="B14612" s="2">
        <v>4079</v>
      </c>
      <c r="C14612" s="4" t="str">
        <f>HYPERLINK("http://www.uniprot.org/uniprot/M5XQR6","M5XQR6")</f>
        <v>M5XQR6</v>
      </c>
      <c r="D14612" s="2" t="s">
        <v>4143</v>
      </c>
      <c r="E14612" s="3">
        <v>0</v>
      </c>
      <c r="F14612" s="2">
        <v>5183</v>
      </c>
      <c r="G14612" s="2">
        <v>100</v>
      </c>
      <c r="H14612" s="2">
        <v>1038</v>
      </c>
      <c r="I14612" s="2">
        <v>289</v>
      </c>
      <c r="J14612" s="2">
        <v>3402</v>
      </c>
      <c r="K14612" s="2">
        <v>1</v>
      </c>
      <c r="L14612" s="2">
        <v>1037</v>
      </c>
    </row>
    <row r="14613" spans="1:12" x14ac:dyDescent="0.25">
      <c r="A14613" s="4" t="str">
        <f>HYPERLINK("http://www.rosaceae.org/Prunus/Prunus_persica/p.persica_gdr_reftransV1_0003801","p.persica_gdr_reftransV1_0003801")</f>
        <v>p.persica_gdr_reftransV1_0003801</v>
      </c>
      <c r="B14613" s="2">
        <v>1927</v>
      </c>
      <c r="C14613" s="4" t="str">
        <f>HYPERLINK("http://www.uniprot.org/uniprot/M5X4N6","M5X4N6")</f>
        <v>M5X4N6</v>
      </c>
      <c r="D14613" s="2" t="s">
        <v>5600</v>
      </c>
      <c r="E14613" s="3">
        <v>0</v>
      </c>
      <c r="F14613" s="2">
        <v>2551</v>
      </c>
      <c r="G14613" s="2">
        <v>100</v>
      </c>
      <c r="H14613" s="2">
        <v>494</v>
      </c>
      <c r="I14613" s="2">
        <v>129</v>
      </c>
      <c r="J14613" s="2">
        <v>1610</v>
      </c>
      <c r="K14613" s="2">
        <v>1</v>
      </c>
      <c r="L14613" s="2">
        <v>494</v>
      </c>
    </row>
    <row r="14614" spans="1:12" x14ac:dyDescent="0.25">
      <c r="A14614" s="4" t="str">
        <f>HYPERLINK("http://www.rosaceae.org/Prunus/Prunus_persica/p.persica_gdr_reftransV1_0004151","p.persica_gdr_reftransV1_0004151")</f>
        <v>p.persica_gdr_reftransV1_0004151</v>
      </c>
      <c r="B14614" s="2">
        <v>1329</v>
      </c>
      <c r="C14614" s="4" t="str">
        <f>HYPERLINK("http://www.uniprot.org/uniprot/M5XM71","M5XM71")</f>
        <v>M5XM71</v>
      </c>
      <c r="D14614" s="2" t="s">
        <v>11851</v>
      </c>
      <c r="E14614" s="3">
        <v>3.6899999999999999E-106</v>
      </c>
      <c r="F14614" s="2">
        <v>533</v>
      </c>
      <c r="G14614" s="2">
        <v>96</v>
      </c>
      <c r="H14614" s="2">
        <v>127</v>
      </c>
      <c r="I14614" s="2">
        <v>730</v>
      </c>
      <c r="J14614" s="2">
        <v>1110</v>
      </c>
      <c r="K14614" s="2">
        <v>1</v>
      </c>
      <c r="L14614" s="2">
        <v>126</v>
      </c>
    </row>
    <row r="14615" spans="1:12" x14ac:dyDescent="0.25">
      <c r="A14615" s="4" t="str">
        <f>HYPERLINK("http://www.rosaceae.org/Prunus/Prunus_persica/p.persica_gdr_reftransV1_0004501","p.persica_gdr_reftransV1_0004501")</f>
        <v>p.persica_gdr_reftransV1_0004501</v>
      </c>
      <c r="B14615" s="2">
        <v>2034</v>
      </c>
      <c r="C14615" s="4" t="str">
        <f>HYPERLINK("http://www.uniprot.org/uniprot/M5VME2","M5VME2")</f>
        <v>M5VME2</v>
      </c>
      <c r="D14615" s="2" t="s">
        <v>11839</v>
      </c>
      <c r="E14615" s="3">
        <v>0</v>
      </c>
      <c r="F14615" s="2">
        <v>2461</v>
      </c>
      <c r="G14615" s="2">
        <v>97</v>
      </c>
      <c r="H14615" s="2">
        <v>510</v>
      </c>
      <c r="I14615" s="2">
        <v>320</v>
      </c>
      <c r="J14615" s="2">
        <v>1837</v>
      </c>
      <c r="K14615" s="2">
        <v>6</v>
      </c>
      <c r="L14615" s="2">
        <v>512</v>
      </c>
    </row>
    <row r="14616" spans="1:12" x14ac:dyDescent="0.25">
      <c r="A14616" s="4" t="str">
        <f>HYPERLINK("http://www.rosaceae.org/Prunus/Prunus_persica/p.persica_gdr_reftransV1_0004851","p.persica_gdr_reftransV1_0004851")</f>
        <v>p.persica_gdr_reftransV1_0004851</v>
      </c>
      <c r="B14616" s="2">
        <v>1957</v>
      </c>
      <c r="C14616" s="4" t="str">
        <f>HYPERLINK("http://www.uniprot.org/uniprot/X2G1L1","X2G1L1")</f>
        <v>X2G1L1</v>
      </c>
      <c r="D14616" s="2" t="s">
        <v>11852</v>
      </c>
      <c r="E14616" s="3">
        <v>0</v>
      </c>
      <c r="F14616" s="2">
        <v>2075</v>
      </c>
      <c r="G14616" s="2">
        <v>100</v>
      </c>
      <c r="H14616" s="2">
        <v>393</v>
      </c>
      <c r="I14616" s="2">
        <v>581</v>
      </c>
      <c r="J14616" s="2">
        <v>1759</v>
      </c>
      <c r="K14616" s="2">
        <v>1</v>
      </c>
      <c r="L14616" s="2">
        <v>393</v>
      </c>
    </row>
    <row r="14617" spans="1:12" x14ac:dyDescent="0.25">
      <c r="A14617" s="4" t="str">
        <f>HYPERLINK("http://www.rosaceae.org/Prunus/Prunus_persica/p.persica_gdr_reftransV1_0005201","p.persica_gdr_reftransV1_0005201")</f>
        <v>p.persica_gdr_reftransV1_0005201</v>
      </c>
      <c r="B14617" s="2">
        <v>766</v>
      </c>
      <c r="C14617" s="4" t="str">
        <f>HYPERLINK("http://www.uniprot.org/uniprot/M5Y5H7","M5Y5H7")</f>
        <v>M5Y5H7</v>
      </c>
      <c r="D14617" s="2" t="s">
        <v>11853</v>
      </c>
      <c r="E14617" s="3">
        <v>1.2799999999999999E-86</v>
      </c>
      <c r="F14617" s="2">
        <v>681</v>
      </c>
      <c r="G14617" s="2">
        <v>100</v>
      </c>
      <c r="H14617" s="2">
        <v>152</v>
      </c>
      <c r="I14617" s="2">
        <v>119</v>
      </c>
      <c r="J14617" s="2">
        <v>574</v>
      </c>
      <c r="K14617" s="2">
        <v>23</v>
      </c>
      <c r="L14617" s="2">
        <v>174</v>
      </c>
    </row>
    <row r="14618" spans="1:12" x14ac:dyDescent="0.25">
      <c r="A14618" s="4" t="str">
        <f>HYPERLINK("http://www.rosaceae.org/Prunus/Prunus_persica/p.persica_gdr_reftransV1_0005551","p.persica_gdr_reftransV1_0005551")</f>
        <v>p.persica_gdr_reftransV1_0005551</v>
      </c>
      <c r="B14618" s="2">
        <v>692</v>
      </c>
      <c r="C14618" s="4" t="str">
        <f>HYPERLINK("http://www.uniprot.org/uniprot/M5XFB2","M5XFB2")</f>
        <v>M5XFB2</v>
      </c>
      <c r="D14618" s="2" t="s">
        <v>11854</v>
      </c>
      <c r="E14618" s="3">
        <v>9.2600000000000001E-86</v>
      </c>
      <c r="F14618" s="2">
        <v>704</v>
      </c>
      <c r="G14618" s="2">
        <v>99</v>
      </c>
      <c r="H14618" s="2">
        <v>151</v>
      </c>
      <c r="I14618" s="2">
        <v>242</v>
      </c>
      <c r="J14618" s="2">
        <v>691</v>
      </c>
      <c r="K14618" s="2">
        <v>379</v>
      </c>
      <c r="L14618" s="2">
        <v>529</v>
      </c>
    </row>
    <row r="14619" spans="1:12" x14ac:dyDescent="0.25">
      <c r="A14619" s="4" t="str">
        <f>HYPERLINK("http://www.rosaceae.org/Prunus/Prunus_persica/p.persica_gdr_reftransV1_0006251","p.persica_gdr_reftransV1_0006251")</f>
        <v>p.persica_gdr_reftransV1_0006251</v>
      </c>
      <c r="B14619" s="2">
        <v>462</v>
      </c>
      <c r="C14619" s="4" t="str">
        <f>HYPERLINK("http://www.uniprot.org/uniprot/M5W669","M5W669")</f>
        <v>M5W669</v>
      </c>
      <c r="D14619" s="2" t="s">
        <v>3293</v>
      </c>
      <c r="E14619" s="3">
        <v>7.59E-82</v>
      </c>
      <c r="F14619" s="2">
        <v>680</v>
      </c>
      <c r="G14619" s="2">
        <v>100</v>
      </c>
      <c r="H14619" s="2">
        <v>130</v>
      </c>
      <c r="I14619" s="2">
        <v>3</v>
      </c>
      <c r="J14619" s="2">
        <v>392</v>
      </c>
      <c r="K14619" s="2">
        <v>574</v>
      </c>
      <c r="L14619" s="2">
        <v>703</v>
      </c>
    </row>
    <row r="14620" spans="1:12" x14ac:dyDescent="0.25">
      <c r="A14620" s="4" t="str">
        <f>HYPERLINK("http://www.rosaceae.org/Prunus/Prunus_persica/p.persica_gdr_reftransV1_0007301","p.persica_gdr_reftransV1_0007301")</f>
        <v>p.persica_gdr_reftransV1_0007301</v>
      </c>
      <c r="B14620" s="2">
        <v>938</v>
      </c>
      <c r="C14620" s="4" t="str">
        <f>HYPERLINK("http://www.uniprot.org/uniprot/M5VLM6","M5VLM6")</f>
        <v>M5VLM6</v>
      </c>
      <c r="D14620" s="2" t="s">
        <v>11855</v>
      </c>
      <c r="E14620" s="3">
        <v>1.35E-129</v>
      </c>
      <c r="F14620" s="2">
        <v>973</v>
      </c>
      <c r="G14620" s="2">
        <v>100</v>
      </c>
      <c r="H14620" s="2">
        <v>187</v>
      </c>
      <c r="I14620" s="2">
        <v>31</v>
      </c>
      <c r="J14620" s="2">
        <v>591</v>
      </c>
      <c r="K14620" s="2">
        <v>1</v>
      </c>
      <c r="L14620" s="2">
        <v>187</v>
      </c>
    </row>
    <row r="14621" spans="1:12" x14ac:dyDescent="0.25">
      <c r="A14621" s="4" t="str">
        <f>HYPERLINK("http://www.rosaceae.org/Prunus/Prunus_persica/p.persica_gdr_reftransV1_0008001","p.persica_gdr_reftransV1_0008001")</f>
        <v>p.persica_gdr_reftransV1_0008001</v>
      </c>
      <c r="B14621" s="2">
        <v>3271</v>
      </c>
      <c r="C14621" s="4" t="str">
        <f>HYPERLINK("http://www.uniprot.org/uniprot/M5WNP0","M5WNP0")</f>
        <v>M5WNP0</v>
      </c>
      <c r="D14621" s="2" t="s">
        <v>5663</v>
      </c>
      <c r="E14621" s="3">
        <v>0</v>
      </c>
      <c r="F14621" s="2">
        <v>2941</v>
      </c>
      <c r="G14621" s="2">
        <v>98</v>
      </c>
      <c r="H14621" s="2">
        <v>624</v>
      </c>
      <c r="I14621" s="2">
        <v>313</v>
      </c>
      <c r="J14621" s="2">
        <v>2181</v>
      </c>
      <c r="K14621" s="2">
        <v>1</v>
      </c>
      <c r="L14621" s="2">
        <v>624</v>
      </c>
    </row>
    <row r="14622" spans="1:12" x14ac:dyDescent="0.25">
      <c r="A14622" s="4" t="str">
        <f>HYPERLINK("http://www.rosaceae.org/Prunus/Prunus_persica/p.persica_gdr_reftransV1_0008351","p.persica_gdr_reftransV1_0008351")</f>
        <v>p.persica_gdr_reftransV1_0008351</v>
      </c>
      <c r="B14622" s="2">
        <v>1597</v>
      </c>
      <c r="C14622" s="4" t="str">
        <f>HYPERLINK("http://www.uniprot.org/uniprot/M5VVW9","M5VVW9")</f>
        <v>M5VVW9</v>
      </c>
      <c r="D14622" s="2" t="s">
        <v>11856</v>
      </c>
      <c r="E14622" s="3">
        <v>1.89E-76</v>
      </c>
      <c r="F14622" s="2">
        <v>649</v>
      </c>
      <c r="G14622" s="2">
        <v>87</v>
      </c>
      <c r="H14622" s="2">
        <v>163</v>
      </c>
      <c r="I14622" s="2">
        <v>936</v>
      </c>
      <c r="J14622" s="2">
        <v>1424</v>
      </c>
      <c r="K14622" s="2">
        <v>137</v>
      </c>
      <c r="L14622" s="2">
        <v>290</v>
      </c>
    </row>
    <row r="14623" spans="1:12" x14ac:dyDescent="0.25">
      <c r="A14623" s="4" t="str">
        <f>HYPERLINK("http://www.rosaceae.org/Prunus/Prunus_persica/p.persica_gdr_reftransV1_0008701","p.persica_gdr_reftransV1_0008701")</f>
        <v>p.persica_gdr_reftransV1_0008701</v>
      </c>
      <c r="B14623" s="2">
        <v>2323</v>
      </c>
      <c r="C14623" s="4" t="str">
        <f>HYPERLINK("http://www.uniprot.org/uniprot/M5VM17","M5VM17")</f>
        <v>M5VM17</v>
      </c>
      <c r="D14623" s="2" t="s">
        <v>9617</v>
      </c>
      <c r="E14623" s="3">
        <v>0</v>
      </c>
      <c r="F14623" s="2">
        <v>1487</v>
      </c>
      <c r="G14623" s="2">
        <v>100</v>
      </c>
      <c r="H14623" s="2">
        <v>295</v>
      </c>
      <c r="I14623" s="2">
        <v>393</v>
      </c>
      <c r="J14623" s="2">
        <v>1277</v>
      </c>
      <c r="K14623" s="2">
        <v>155</v>
      </c>
      <c r="L14623" s="2">
        <v>449</v>
      </c>
    </row>
    <row r="14624" spans="1:12" x14ac:dyDescent="0.25">
      <c r="A14624" s="4" t="str">
        <f>HYPERLINK("http://www.rosaceae.org/Prunus/Prunus_persica/p.persica_gdr_reftransV1_0009401","p.persica_gdr_reftransV1_0009401")</f>
        <v>p.persica_gdr_reftransV1_0009401</v>
      </c>
      <c r="B14624" s="2">
        <v>2437</v>
      </c>
      <c r="C14624" s="4" t="str">
        <f>HYPERLINK("http://www.uniprot.org/uniprot/M5X240","M5X240")</f>
        <v>M5X240</v>
      </c>
      <c r="D14624" s="2" t="s">
        <v>11857</v>
      </c>
      <c r="E14624" s="3">
        <v>8.0600000000000006E-118</v>
      </c>
      <c r="F14624" s="2">
        <v>952</v>
      </c>
      <c r="G14624" s="2">
        <v>100</v>
      </c>
      <c r="H14624" s="2">
        <v>202</v>
      </c>
      <c r="I14624" s="2">
        <v>1748</v>
      </c>
      <c r="J14624" s="2">
        <v>2353</v>
      </c>
      <c r="K14624" s="2">
        <v>1</v>
      </c>
      <c r="L14624" s="2">
        <v>202</v>
      </c>
    </row>
    <row r="14625" spans="1:12" x14ac:dyDescent="0.25">
      <c r="A14625" s="4" t="str">
        <f>HYPERLINK("http://www.rosaceae.org/Prunus/Prunus_persica/p.persica_gdr_reftransV1_0009751","p.persica_gdr_reftransV1_0009751")</f>
        <v>p.persica_gdr_reftransV1_0009751</v>
      </c>
      <c r="B14625" s="2">
        <v>474</v>
      </c>
      <c r="C14625" s="4" t="str">
        <f>HYPERLINK("http://www.uniprot.org/uniprot/M5WGC3","M5WGC3")</f>
        <v>M5WGC3</v>
      </c>
      <c r="D14625" s="2" t="s">
        <v>11858</v>
      </c>
      <c r="E14625" s="3">
        <v>3.0500000000000003E-17</v>
      </c>
      <c r="F14625" s="2">
        <v>216</v>
      </c>
      <c r="G14625" s="2">
        <v>96</v>
      </c>
      <c r="H14625" s="2">
        <v>46</v>
      </c>
      <c r="I14625" s="2">
        <v>1</v>
      </c>
      <c r="J14625" s="2">
        <v>138</v>
      </c>
      <c r="K14625" s="2">
        <v>445</v>
      </c>
      <c r="L14625" s="2">
        <v>490</v>
      </c>
    </row>
    <row r="14626" spans="1:12" x14ac:dyDescent="0.25">
      <c r="A14626" s="4" t="str">
        <f>HYPERLINK("http://www.rosaceae.org/Prunus/Prunus_persica/p.persica_gdr_reftransV1_0010801","p.persica_gdr_reftransV1_0010801")</f>
        <v>p.persica_gdr_reftransV1_0010801</v>
      </c>
      <c r="B14626" s="2">
        <v>1695</v>
      </c>
      <c r="C14626" s="4" t="str">
        <f>HYPERLINK("http://www.uniprot.org/uniprot/M5W2W0","M5W2W0")</f>
        <v>M5W2W0</v>
      </c>
      <c r="D14626" s="2" t="s">
        <v>11859</v>
      </c>
      <c r="E14626" s="3">
        <v>0</v>
      </c>
      <c r="F14626" s="2">
        <v>1764</v>
      </c>
      <c r="G14626" s="2">
        <v>99</v>
      </c>
      <c r="H14626" s="2">
        <v>373</v>
      </c>
      <c r="I14626" s="2">
        <v>245</v>
      </c>
      <c r="J14626" s="2">
        <v>1363</v>
      </c>
      <c r="K14626" s="2">
        <v>1</v>
      </c>
      <c r="L14626" s="2">
        <v>373</v>
      </c>
    </row>
    <row r="14627" spans="1:12" x14ac:dyDescent="0.25">
      <c r="A14627" s="4" t="str">
        <f>HYPERLINK("http://www.rosaceae.org/Prunus/Prunus_persica/p.persica_gdr_reftransV1_0011151","p.persica_gdr_reftransV1_0011151")</f>
        <v>p.persica_gdr_reftransV1_0011151</v>
      </c>
      <c r="B14627" s="2">
        <v>411</v>
      </c>
      <c r="C14627" s="4" t="str">
        <f>HYPERLINK("http://www.uniprot.org/uniprot/M5XI02","M5XI02")</f>
        <v>M5XI02</v>
      </c>
      <c r="D14627" s="2" t="s">
        <v>8271</v>
      </c>
      <c r="E14627" s="3">
        <v>9.8400000000000002E-68</v>
      </c>
      <c r="F14627" s="2">
        <v>569</v>
      </c>
      <c r="G14627" s="2">
        <v>100</v>
      </c>
      <c r="H14627" s="2">
        <v>124</v>
      </c>
      <c r="I14627" s="2">
        <v>3</v>
      </c>
      <c r="J14627" s="2">
        <v>374</v>
      </c>
      <c r="K14627" s="2">
        <v>364</v>
      </c>
      <c r="L14627" s="2">
        <v>487</v>
      </c>
    </row>
    <row r="14628" spans="1:12" x14ac:dyDescent="0.25">
      <c r="A14628" s="4" t="str">
        <f>HYPERLINK("http://www.rosaceae.org/Prunus/Prunus_persica/p.persica_gdr_reftransV1_0012201","p.persica_gdr_reftransV1_0012201")</f>
        <v>p.persica_gdr_reftransV1_0012201</v>
      </c>
      <c r="B14628" s="2">
        <v>1485</v>
      </c>
      <c r="C14628" s="4" t="str">
        <f>HYPERLINK("http://www.uniprot.org/uniprot/M5XLW7","M5XLW7")</f>
        <v>M5XLW7</v>
      </c>
      <c r="D14628" s="2" t="s">
        <v>11860</v>
      </c>
      <c r="E14628" s="3">
        <v>0</v>
      </c>
      <c r="F14628" s="2">
        <v>1567</v>
      </c>
      <c r="G14628" s="2">
        <v>100</v>
      </c>
      <c r="H14628" s="2">
        <v>296</v>
      </c>
      <c r="I14628" s="2">
        <v>192</v>
      </c>
      <c r="J14628" s="2">
        <v>1079</v>
      </c>
      <c r="K14628" s="2">
        <v>1</v>
      </c>
      <c r="L14628" s="2">
        <v>296</v>
      </c>
    </row>
    <row r="14629" spans="1:12" x14ac:dyDescent="0.25">
      <c r="A14629" s="4" t="str">
        <f>HYPERLINK("http://www.rosaceae.org/Prunus/Prunus_persica/p.persica_gdr_reftransV1_0012551","p.persica_gdr_reftransV1_0012551")</f>
        <v>p.persica_gdr_reftransV1_0012551</v>
      </c>
      <c r="B14629" s="2">
        <v>1801</v>
      </c>
      <c r="C14629" s="4" t="str">
        <f>HYPERLINK("http://www.uniprot.org/uniprot/B9RFI7","B9RFI7")</f>
        <v>B9RFI7</v>
      </c>
      <c r="D14629" s="2" t="s">
        <v>11861</v>
      </c>
      <c r="E14629" s="3">
        <v>4.68E-80</v>
      </c>
      <c r="F14629" s="2">
        <v>699</v>
      </c>
      <c r="G14629" s="2">
        <v>40</v>
      </c>
      <c r="H14629" s="2">
        <v>460</v>
      </c>
      <c r="I14629" s="2">
        <v>350</v>
      </c>
      <c r="J14629" s="2">
        <v>1690</v>
      </c>
      <c r="K14629" s="2">
        <v>39</v>
      </c>
      <c r="L14629" s="2">
        <v>476</v>
      </c>
    </row>
    <row r="14630" spans="1:12" x14ac:dyDescent="0.25">
      <c r="A14630" s="4" t="str">
        <f>HYPERLINK("http://www.rosaceae.org/Prunus/Prunus_persica/p.persica_gdr_reftransV1_0013251","p.persica_gdr_reftransV1_0013251")</f>
        <v>p.persica_gdr_reftransV1_0013251</v>
      </c>
      <c r="B14630" s="2">
        <v>1002</v>
      </c>
      <c r="C14630" s="4" t="str">
        <f>HYPERLINK("http://www.uniprot.org/uniprot/M5W962","M5W962")</f>
        <v>M5W962</v>
      </c>
      <c r="D14630" s="2" t="s">
        <v>11862</v>
      </c>
      <c r="E14630" s="3">
        <v>0</v>
      </c>
      <c r="F14630" s="2">
        <v>1671</v>
      </c>
      <c r="G14630" s="2">
        <v>100</v>
      </c>
      <c r="H14630" s="2">
        <v>314</v>
      </c>
      <c r="I14630" s="2">
        <v>61</v>
      </c>
      <c r="J14630" s="2">
        <v>1002</v>
      </c>
      <c r="K14630" s="2">
        <v>104</v>
      </c>
      <c r="L14630" s="2">
        <v>417</v>
      </c>
    </row>
    <row r="14631" spans="1:12" x14ac:dyDescent="0.25">
      <c r="A14631" s="4" t="str">
        <f>HYPERLINK("http://www.rosaceae.org/Prunus/Prunus_persica/p.persica_gdr_reftransV1_0013601","p.persica_gdr_reftransV1_0013601")</f>
        <v>p.persica_gdr_reftransV1_0013601</v>
      </c>
      <c r="B14631" s="2">
        <v>1697</v>
      </c>
      <c r="C14631" s="4" t="str">
        <f>HYPERLINK("http://www.uniprot.org/uniprot/M5VX29","M5VX29")</f>
        <v>M5VX29</v>
      </c>
      <c r="D14631" s="2" t="s">
        <v>11863</v>
      </c>
      <c r="E14631" s="3">
        <v>0</v>
      </c>
      <c r="F14631" s="2">
        <v>2203</v>
      </c>
      <c r="G14631" s="2">
        <v>100</v>
      </c>
      <c r="H14631" s="2">
        <v>412</v>
      </c>
      <c r="I14631" s="2">
        <v>280</v>
      </c>
      <c r="J14631" s="2">
        <v>1515</v>
      </c>
      <c r="K14631" s="2">
        <v>1</v>
      </c>
      <c r="L14631" s="2">
        <v>412</v>
      </c>
    </row>
    <row r="14632" spans="1:12" x14ac:dyDescent="0.25">
      <c r="A14632" s="4" t="str">
        <f>HYPERLINK("http://www.rosaceae.org/Prunus/Prunus_persica/p.persica_gdr_reftransV1_0013951","p.persica_gdr_reftransV1_0013951")</f>
        <v>p.persica_gdr_reftransV1_0013951</v>
      </c>
      <c r="B14632" s="2">
        <v>1676</v>
      </c>
      <c r="C14632" s="4" t="str">
        <f>HYPERLINK("http://www.uniprot.org/uniprot/M5WTZ3","M5WTZ3")</f>
        <v>M5WTZ3</v>
      </c>
      <c r="D14632" s="2" t="s">
        <v>11864</v>
      </c>
      <c r="E14632" s="3">
        <v>0</v>
      </c>
      <c r="F14632" s="2">
        <v>1781</v>
      </c>
      <c r="G14632" s="2">
        <v>100</v>
      </c>
      <c r="H14632" s="2">
        <v>390</v>
      </c>
      <c r="I14632" s="2">
        <v>301</v>
      </c>
      <c r="J14632" s="2">
        <v>1470</v>
      </c>
      <c r="K14632" s="2">
        <v>1</v>
      </c>
      <c r="L14632" s="2">
        <v>390</v>
      </c>
    </row>
    <row r="14633" spans="1:12" x14ac:dyDescent="0.25">
      <c r="A14633" s="4" t="str">
        <f>HYPERLINK("http://www.rosaceae.org/Prunus/Prunus_persica/p.persica_gdr_reftransV1_0016401","p.persica_gdr_reftransV1_0016401")</f>
        <v>p.persica_gdr_reftransV1_0016401</v>
      </c>
      <c r="B14633" s="2">
        <v>1878</v>
      </c>
      <c r="C14633" s="4" t="str">
        <f>HYPERLINK("http://www.uniprot.org/uniprot/M5W983","M5W983")</f>
        <v>M5W983</v>
      </c>
      <c r="D14633" s="2" t="s">
        <v>10582</v>
      </c>
      <c r="E14633" s="3">
        <v>0</v>
      </c>
      <c r="F14633" s="2">
        <v>2457</v>
      </c>
      <c r="G14633" s="2">
        <v>100</v>
      </c>
      <c r="H14633" s="2">
        <v>484</v>
      </c>
      <c r="I14633" s="2">
        <v>3</v>
      </c>
      <c r="J14633" s="2">
        <v>1454</v>
      </c>
      <c r="K14633" s="2">
        <v>200</v>
      </c>
      <c r="L14633" s="2">
        <v>683</v>
      </c>
    </row>
    <row r="14634" spans="1:12" x14ac:dyDescent="0.25">
      <c r="A14634" s="4" t="str">
        <f>HYPERLINK("http://www.rosaceae.org/Prunus/Prunus_persica/p.persica_gdr_reftransV1_0018501","p.persica_gdr_reftransV1_0018501")</f>
        <v>p.persica_gdr_reftransV1_0018501</v>
      </c>
      <c r="B14634" s="2">
        <v>871</v>
      </c>
      <c r="C14634" s="4" t="str">
        <f>HYPERLINK("http://www.uniprot.org/uniprot/M5WC69","M5WC69")</f>
        <v>M5WC69</v>
      </c>
      <c r="D14634" s="2" t="s">
        <v>11865</v>
      </c>
      <c r="E14634" s="3">
        <v>0</v>
      </c>
      <c r="F14634" s="2">
        <v>1551</v>
      </c>
      <c r="G14634" s="2">
        <v>100</v>
      </c>
      <c r="H14634" s="2">
        <v>290</v>
      </c>
      <c r="I14634" s="2">
        <v>2</v>
      </c>
      <c r="J14634" s="2">
        <v>871</v>
      </c>
      <c r="K14634" s="2">
        <v>69</v>
      </c>
      <c r="L14634" s="2">
        <v>358</v>
      </c>
    </row>
    <row r="14635" spans="1:12" x14ac:dyDescent="0.25">
      <c r="A14635" s="4" t="str">
        <f>HYPERLINK("http://www.rosaceae.org/Prunus/Prunus_persica/p.persica_gdr_reftransV1_0019551","p.persica_gdr_reftransV1_0019551")</f>
        <v>p.persica_gdr_reftransV1_0019551</v>
      </c>
      <c r="B14635" s="2">
        <v>1638</v>
      </c>
      <c r="C14635" s="4" t="str">
        <f>HYPERLINK("http://www.uniprot.org/uniprot/M5VHB6","M5VHB6")</f>
        <v>M5VHB6</v>
      </c>
      <c r="D14635" s="2" t="s">
        <v>4929</v>
      </c>
      <c r="E14635" s="3">
        <v>0</v>
      </c>
      <c r="F14635" s="2">
        <v>1889</v>
      </c>
      <c r="G14635" s="2">
        <v>100</v>
      </c>
      <c r="H14635" s="2">
        <v>356</v>
      </c>
      <c r="I14635" s="2">
        <v>253</v>
      </c>
      <c r="J14635" s="2">
        <v>1320</v>
      </c>
      <c r="K14635" s="2">
        <v>1</v>
      </c>
      <c r="L14635" s="2">
        <v>356</v>
      </c>
    </row>
    <row r="14636" spans="1:12" x14ac:dyDescent="0.25">
      <c r="A14636" s="4" t="str">
        <f>HYPERLINK("http://www.rosaceae.org/Prunus/Prunus_persica/p.persica_gdr_reftransV1_0021301","p.persica_gdr_reftransV1_0021301")</f>
        <v>p.persica_gdr_reftransV1_0021301</v>
      </c>
      <c r="B14636" s="2">
        <v>2419</v>
      </c>
      <c r="C14636" s="4" t="str">
        <f>HYPERLINK("http://www.uniprot.org/uniprot/M5WTN9","M5WTN9")</f>
        <v>M5WTN9</v>
      </c>
      <c r="D14636" s="2" t="s">
        <v>11866</v>
      </c>
      <c r="E14636" s="3">
        <v>0</v>
      </c>
      <c r="F14636" s="2">
        <v>2203</v>
      </c>
      <c r="G14636" s="2">
        <v>100</v>
      </c>
      <c r="H14636" s="2">
        <v>428</v>
      </c>
      <c r="I14636" s="2">
        <v>384</v>
      </c>
      <c r="J14636" s="2">
        <v>1667</v>
      </c>
      <c r="K14636" s="2">
        <v>1</v>
      </c>
      <c r="L14636" s="2">
        <v>428</v>
      </c>
    </row>
    <row r="14637" spans="1:12" x14ac:dyDescent="0.25">
      <c r="A14637" s="4" t="str">
        <f>HYPERLINK("http://www.rosaceae.org/Prunus/Prunus_persica/p.persica_gdr_reftransV1_0021651","p.persica_gdr_reftransV1_0021651")</f>
        <v>p.persica_gdr_reftransV1_0021651</v>
      </c>
      <c r="B14637" s="2">
        <v>6289</v>
      </c>
      <c r="C14637" s="4" t="str">
        <f>HYPERLINK("http://www.uniprot.org/uniprot/M5VSC7","M5VSC7")</f>
        <v>M5VSC7</v>
      </c>
      <c r="D14637" s="2" t="s">
        <v>11867</v>
      </c>
      <c r="E14637" s="3">
        <v>0</v>
      </c>
      <c r="F14637" s="2">
        <v>8278</v>
      </c>
      <c r="G14637" s="2">
        <v>100</v>
      </c>
      <c r="H14637" s="2">
        <v>1535</v>
      </c>
      <c r="I14637" s="2">
        <v>230</v>
      </c>
      <c r="J14637" s="2">
        <v>4834</v>
      </c>
      <c r="K14637" s="2">
        <v>1</v>
      </c>
      <c r="L14637" s="2">
        <v>1535</v>
      </c>
    </row>
    <row r="14638" spans="1:12" x14ac:dyDescent="0.25">
      <c r="A14638" s="4" t="str">
        <f>HYPERLINK("http://www.rosaceae.org/Prunus/Prunus_persica/p.persica_gdr_reftransV1_0022351","p.persica_gdr_reftransV1_0022351")</f>
        <v>p.persica_gdr_reftransV1_0022351</v>
      </c>
      <c r="B14638" s="2">
        <v>1651</v>
      </c>
      <c r="C14638" s="4" t="str">
        <f>HYPERLINK("http://www.uniprot.org/uniprot/M5VYI1","M5VYI1")</f>
        <v>M5VYI1</v>
      </c>
      <c r="D14638" s="2" t="s">
        <v>11868</v>
      </c>
      <c r="E14638" s="3">
        <v>0</v>
      </c>
      <c r="F14638" s="2">
        <v>1827</v>
      </c>
      <c r="G14638" s="2">
        <v>100</v>
      </c>
      <c r="H14638" s="2">
        <v>400</v>
      </c>
      <c r="I14638" s="2">
        <v>363</v>
      </c>
      <c r="J14638" s="2">
        <v>1562</v>
      </c>
      <c r="K14638" s="2">
        <v>9</v>
      </c>
      <c r="L14638" s="2">
        <v>408</v>
      </c>
    </row>
    <row r="14639" spans="1:12" x14ac:dyDescent="0.25">
      <c r="A14639" s="4" t="str">
        <f>HYPERLINK("http://www.rosaceae.org/Prunus/Prunus_persica/p.persica_gdr_reftransV1_0022701","p.persica_gdr_reftransV1_0022701")</f>
        <v>p.persica_gdr_reftransV1_0022701</v>
      </c>
      <c r="B14639" s="2">
        <v>1689</v>
      </c>
      <c r="C14639" s="4" t="str">
        <f>HYPERLINK("http://www.uniprot.org/uniprot/M5XX67","M5XX67")</f>
        <v>M5XX67</v>
      </c>
      <c r="D14639" s="2" t="s">
        <v>11869</v>
      </c>
      <c r="E14639" s="3">
        <v>2.0299999999999999E-160</v>
      </c>
      <c r="F14639" s="2">
        <v>1216</v>
      </c>
      <c r="G14639" s="2">
        <v>100</v>
      </c>
      <c r="H14639" s="2">
        <v>231</v>
      </c>
      <c r="I14639" s="2">
        <v>271</v>
      </c>
      <c r="J14639" s="2">
        <v>963</v>
      </c>
      <c r="K14639" s="2">
        <v>99</v>
      </c>
      <c r="L14639" s="2">
        <v>329</v>
      </c>
    </row>
    <row r="14640" spans="1:12" x14ac:dyDescent="0.25">
      <c r="A14640" s="4" t="str">
        <f>HYPERLINK("http://www.rosaceae.org/Prunus/Prunus_persica/p.persica_gdr_reftransV1_0025151","p.persica_gdr_reftransV1_0025151")</f>
        <v>p.persica_gdr_reftransV1_0025151</v>
      </c>
      <c r="B14640" s="2">
        <v>1210</v>
      </c>
      <c r="C14640" s="4" t="str">
        <f>HYPERLINK("http://www.uniprot.org/uniprot/M5X692","M5X692")</f>
        <v>M5X692</v>
      </c>
      <c r="D14640" s="2" t="s">
        <v>11870</v>
      </c>
      <c r="E14640" s="3">
        <v>3.6999999999999997E-169</v>
      </c>
      <c r="F14640" s="2">
        <v>1249</v>
      </c>
      <c r="G14640" s="2">
        <v>100</v>
      </c>
      <c r="H14640" s="2">
        <v>249</v>
      </c>
      <c r="I14640" s="2">
        <v>99</v>
      </c>
      <c r="J14640" s="2">
        <v>845</v>
      </c>
      <c r="K14640" s="2">
        <v>1</v>
      </c>
      <c r="L14640" s="2">
        <v>249</v>
      </c>
    </row>
    <row r="14641" spans="1:12" x14ac:dyDescent="0.25">
      <c r="A14641" s="4" t="str">
        <f>HYPERLINK("http://www.rosaceae.org/Prunus/Prunus_persica/p.persica_gdr_reftransV1_0025501","p.persica_gdr_reftransV1_0025501")</f>
        <v>p.persica_gdr_reftransV1_0025501</v>
      </c>
      <c r="B14641" s="2">
        <v>3098</v>
      </c>
      <c r="C14641" s="4" t="str">
        <f>HYPERLINK("http://www.uniprot.org/uniprot/M5W731","M5W731")</f>
        <v>M5W731</v>
      </c>
      <c r="D14641" s="2" t="s">
        <v>2551</v>
      </c>
      <c r="E14641" s="3">
        <v>0</v>
      </c>
      <c r="F14641" s="2">
        <v>3784</v>
      </c>
      <c r="G14641" s="2">
        <v>92</v>
      </c>
      <c r="H14641" s="2">
        <v>827</v>
      </c>
      <c r="I14641" s="2">
        <v>387</v>
      </c>
      <c r="J14641" s="2">
        <v>2867</v>
      </c>
      <c r="K14641" s="2">
        <v>1</v>
      </c>
      <c r="L14641" s="2">
        <v>760</v>
      </c>
    </row>
    <row r="14642" spans="1:12" x14ac:dyDescent="0.25">
      <c r="A14642" s="4" t="str">
        <f>HYPERLINK("http://www.rosaceae.org/Prunus/Prunus_persica/p.persica_gdr_reftransV1_0026551","p.persica_gdr_reftransV1_0026551")</f>
        <v>p.persica_gdr_reftransV1_0026551</v>
      </c>
      <c r="B14642" s="2">
        <v>1751</v>
      </c>
      <c r="C14642" s="4" t="str">
        <f>HYPERLINK("http://www.uniprot.org/uniprot/M5WGI3","M5WGI3")</f>
        <v>M5WGI3</v>
      </c>
      <c r="D14642" s="2" t="s">
        <v>11871</v>
      </c>
      <c r="E14642" s="3">
        <v>0</v>
      </c>
      <c r="F14642" s="2">
        <v>1540</v>
      </c>
      <c r="G14642" s="2">
        <v>100</v>
      </c>
      <c r="H14642" s="2">
        <v>338</v>
      </c>
      <c r="I14642" s="2">
        <v>415</v>
      </c>
      <c r="J14642" s="2">
        <v>1428</v>
      </c>
      <c r="K14642" s="2">
        <v>1</v>
      </c>
      <c r="L14642" s="2">
        <v>338</v>
      </c>
    </row>
    <row r="14643" spans="1:12" x14ac:dyDescent="0.25">
      <c r="A14643" s="4" t="str">
        <f>HYPERLINK("http://www.rosaceae.org/Prunus/Prunus_persica/p.persica_gdr_reftransV1_0026901","p.persica_gdr_reftransV1_0026901")</f>
        <v>p.persica_gdr_reftransV1_0026901</v>
      </c>
      <c r="B14643" s="2">
        <v>3513</v>
      </c>
      <c r="C14643" s="4" t="str">
        <f>HYPERLINK("http://www.uniprot.org/uniprot/M5WZW8","M5WZW8")</f>
        <v>M5WZW8</v>
      </c>
      <c r="D14643" s="2" t="s">
        <v>11872</v>
      </c>
      <c r="E14643" s="3">
        <v>3.8300000000000002E-139</v>
      </c>
      <c r="F14643" s="2">
        <v>1125</v>
      </c>
      <c r="G14643" s="2">
        <v>100</v>
      </c>
      <c r="H14643" s="2">
        <v>209</v>
      </c>
      <c r="I14643" s="2">
        <v>2309</v>
      </c>
      <c r="J14643" s="2">
        <v>2935</v>
      </c>
      <c r="K14643" s="2">
        <v>161</v>
      </c>
      <c r="L14643" s="2">
        <v>369</v>
      </c>
    </row>
    <row r="14644" spans="1:12" x14ac:dyDescent="0.25">
      <c r="A14644" s="4" t="str">
        <f>HYPERLINK("http://www.rosaceae.org/Prunus/Prunus_persica/p.persica_gdr_reftransV1_0029001","p.persica_gdr_reftransV1_0029001")</f>
        <v>p.persica_gdr_reftransV1_0029001</v>
      </c>
      <c r="B14644" s="2">
        <v>572</v>
      </c>
      <c r="C14644" s="4" t="str">
        <f>HYPERLINK("http://www.uniprot.org/uniprot/M5WJJ2","M5WJJ2")</f>
        <v>M5WJJ2</v>
      </c>
      <c r="D14644" s="2" t="s">
        <v>7734</v>
      </c>
      <c r="E14644" s="3">
        <v>2.1100000000000001E-128</v>
      </c>
      <c r="F14644" s="2">
        <v>1005</v>
      </c>
      <c r="G14644" s="2">
        <v>100</v>
      </c>
      <c r="H14644" s="2">
        <v>190</v>
      </c>
      <c r="I14644" s="2">
        <v>1</v>
      </c>
      <c r="J14644" s="2">
        <v>570</v>
      </c>
      <c r="K14644" s="2">
        <v>572</v>
      </c>
      <c r="L14644" s="2">
        <v>761</v>
      </c>
    </row>
    <row r="14645" spans="1:12" x14ac:dyDescent="0.25">
      <c r="A14645" s="4" t="str">
        <f>HYPERLINK("http://www.rosaceae.org/Prunus/Prunus_persica/p.persica_gdr_reftransV1_0030051","p.persica_gdr_reftransV1_0030051")</f>
        <v>p.persica_gdr_reftransV1_0030051</v>
      </c>
      <c r="B14645" s="2">
        <v>1270</v>
      </c>
      <c r="C14645" s="4" t="str">
        <f>HYPERLINK("http://www.uniprot.org/uniprot/M5WHP7","M5WHP7")</f>
        <v>M5WHP7</v>
      </c>
      <c r="D14645" s="2" t="s">
        <v>11873</v>
      </c>
      <c r="E14645" s="3">
        <v>2.19E-151</v>
      </c>
      <c r="F14645" s="2">
        <v>1131</v>
      </c>
      <c r="G14645" s="2">
        <v>100</v>
      </c>
      <c r="H14645" s="2">
        <v>215</v>
      </c>
      <c r="I14645" s="2">
        <v>183</v>
      </c>
      <c r="J14645" s="2">
        <v>827</v>
      </c>
      <c r="K14645" s="2">
        <v>1</v>
      </c>
      <c r="L14645" s="2">
        <v>215</v>
      </c>
    </row>
    <row r="14646" spans="1:12" x14ac:dyDescent="0.25">
      <c r="A14646" s="4" t="str">
        <f>HYPERLINK("http://www.rosaceae.org/Prunus/Prunus_persica/p.persica_gdr_reftransV1_0030751","p.persica_gdr_reftransV1_0030751")</f>
        <v>p.persica_gdr_reftransV1_0030751</v>
      </c>
      <c r="B14646" s="2">
        <v>1773</v>
      </c>
      <c r="C14646" s="4" t="str">
        <f>HYPERLINK("http://www.uniprot.org/uniprot/M5W5X8","M5W5X8")</f>
        <v>M5W5X8</v>
      </c>
      <c r="D14646" s="2" t="s">
        <v>11874</v>
      </c>
      <c r="E14646" s="3">
        <v>0</v>
      </c>
      <c r="F14646" s="2">
        <v>2449</v>
      </c>
      <c r="G14646" s="2">
        <v>100</v>
      </c>
      <c r="H14646" s="2">
        <v>471</v>
      </c>
      <c r="I14646" s="2">
        <v>56</v>
      </c>
      <c r="J14646" s="2">
        <v>1468</v>
      </c>
      <c r="K14646" s="2">
        <v>1</v>
      </c>
      <c r="L14646" s="2">
        <v>471</v>
      </c>
    </row>
    <row r="14647" spans="1:12" x14ac:dyDescent="0.25">
      <c r="A14647" s="4" t="str">
        <f>HYPERLINK("http://www.rosaceae.org/Prunus/Prunus_persica/p.persica_gdr_reftransV1_0031801","p.persica_gdr_reftransV1_0031801")</f>
        <v>p.persica_gdr_reftransV1_0031801</v>
      </c>
      <c r="B14647" s="2">
        <v>3419</v>
      </c>
      <c r="C14647" s="4" t="str">
        <f>HYPERLINK("http://www.uniprot.org/uniprot/M5XCM1","M5XCM1")</f>
        <v>M5XCM1</v>
      </c>
      <c r="D14647" s="2" t="s">
        <v>7903</v>
      </c>
      <c r="E14647" s="3">
        <v>0</v>
      </c>
      <c r="F14647" s="2">
        <v>1903</v>
      </c>
      <c r="G14647" s="2">
        <v>99</v>
      </c>
      <c r="H14647" s="2">
        <v>358</v>
      </c>
      <c r="I14647" s="2">
        <v>1905</v>
      </c>
      <c r="J14647" s="2">
        <v>2978</v>
      </c>
      <c r="K14647" s="2">
        <v>1</v>
      </c>
      <c r="L14647" s="2">
        <v>358</v>
      </c>
    </row>
    <row r="14648" spans="1:12" x14ac:dyDescent="0.25">
      <c r="A14648" s="4" t="str">
        <f>HYPERLINK("http://www.rosaceae.org/Prunus/Prunus_persica/p.persica_gdr_reftransV1_0032151","p.persica_gdr_reftransV1_0032151")</f>
        <v>p.persica_gdr_reftransV1_0032151</v>
      </c>
      <c r="B14648" s="2">
        <v>2720</v>
      </c>
      <c r="C14648" s="4" t="str">
        <f>HYPERLINK("http://www.uniprot.org/uniprot/H6VRF4","H6VRF4")</f>
        <v>H6VRF4</v>
      </c>
      <c r="D14648" s="2" t="s">
        <v>11875</v>
      </c>
      <c r="E14648" s="3">
        <v>0</v>
      </c>
      <c r="F14648" s="2">
        <v>1679</v>
      </c>
      <c r="G14648" s="2">
        <v>100</v>
      </c>
      <c r="H14648" s="2">
        <v>317</v>
      </c>
      <c r="I14648" s="2">
        <v>711</v>
      </c>
      <c r="J14648" s="2">
        <v>1661</v>
      </c>
      <c r="K14648" s="2">
        <v>1</v>
      </c>
      <c r="L14648" s="2">
        <v>317</v>
      </c>
    </row>
    <row r="14649" spans="1:12" x14ac:dyDescent="0.25">
      <c r="A14649" s="4" t="str">
        <f>HYPERLINK("http://www.rosaceae.org/Prunus/Prunus_persica/p.persica_gdr_reftransV1_0032501","p.persica_gdr_reftransV1_0032501")</f>
        <v>p.persica_gdr_reftransV1_0032501</v>
      </c>
      <c r="B14649" s="2">
        <v>1473</v>
      </c>
      <c r="C14649" s="4" t="str">
        <f>HYPERLINK("http://www.uniprot.org/uniprot/M5VQ79","M5VQ79")</f>
        <v>M5VQ79</v>
      </c>
      <c r="D14649" s="2" t="s">
        <v>11876</v>
      </c>
      <c r="E14649" s="3">
        <v>0</v>
      </c>
      <c r="F14649" s="2">
        <v>1616</v>
      </c>
      <c r="G14649" s="2">
        <v>99</v>
      </c>
      <c r="H14649" s="2">
        <v>331</v>
      </c>
      <c r="I14649" s="2">
        <v>161</v>
      </c>
      <c r="J14649" s="2">
        <v>1153</v>
      </c>
      <c r="K14649" s="2">
        <v>1</v>
      </c>
      <c r="L14649" s="2">
        <v>331</v>
      </c>
    </row>
    <row r="14650" spans="1:12" x14ac:dyDescent="0.25">
      <c r="A14650" s="4" t="str">
        <f>HYPERLINK("http://www.rosaceae.org/Prunus/Prunus_persica/p.persica_gdr_reftransV1_0033201","p.persica_gdr_reftransV1_0033201")</f>
        <v>p.persica_gdr_reftransV1_0033201</v>
      </c>
      <c r="B14650" s="2">
        <v>3630</v>
      </c>
      <c r="C14650" s="4" t="str">
        <f>HYPERLINK("http://www.uniprot.org/uniprot/W9SJH5","W9SJH5")</f>
        <v>W9SJH5</v>
      </c>
      <c r="D14650" s="2" t="s">
        <v>9621</v>
      </c>
      <c r="E14650" s="3">
        <v>0</v>
      </c>
      <c r="F14650" s="2">
        <v>2729</v>
      </c>
      <c r="G14650" s="2">
        <v>76</v>
      </c>
      <c r="H14650" s="2">
        <v>657</v>
      </c>
      <c r="I14650" s="2">
        <v>110</v>
      </c>
      <c r="J14650" s="2">
        <v>2080</v>
      </c>
      <c r="K14650" s="2">
        <v>30</v>
      </c>
      <c r="L14650" s="2">
        <v>686</v>
      </c>
    </row>
    <row r="14651" spans="1:12" x14ac:dyDescent="0.25">
      <c r="A14651" s="4" t="str">
        <f>HYPERLINK("http://www.rosaceae.org/Prunus/Prunus_persica/p.persica_gdr_reftransV1_0035301","p.persica_gdr_reftransV1_0035301")</f>
        <v>p.persica_gdr_reftransV1_0035301</v>
      </c>
      <c r="B14651" s="2">
        <v>962</v>
      </c>
      <c r="C14651" s="4" t="str">
        <f>HYPERLINK("http://www.uniprot.org/uniprot/M5X2V5","M5X2V5")</f>
        <v>M5X2V5</v>
      </c>
      <c r="D14651" s="2" t="s">
        <v>11877</v>
      </c>
      <c r="E14651" s="3">
        <v>2.38E-71</v>
      </c>
      <c r="F14651" s="2">
        <v>581</v>
      </c>
      <c r="G14651" s="2">
        <v>100</v>
      </c>
      <c r="H14651" s="2">
        <v>114</v>
      </c>
      <c r="I14651" s="2">
        <v>427</v>
      </c>
      <c r="J14651" s="2">
        <v>768</v>
      </c>
      <c r="K14651" s="2">
        <v>1</v>
      </c>
      <c r="L14651" s="2">
        <v>114</v>
      </c>
    </row>
    <row r="14652" spans="1:12" x14ac:dyDescent="0.25">
      <c r="A14652" s="4" t="str">
        <f>HYPERLINK("http://www.rosaceae.org/Prunus/Prunus_persica/p.persica_gdr_reftransV1_0037051","p.persica_gdr_reftransV1_0037051")</f>
        <v>p.persica_gdr_reftransV1_0037051</v>
      </c>
      <c r="B14652" s="2">
        <v>858</v>
      </c>
      <c r="C14652" s="4" t="str">
        <f>HYPERLINK("http://www.uniprot.org/uniprot/M5W822","M5W822")</f>
        <v>M5W822</v>
      </c>
      <c r="D14652" s="2" t="s">
        <v>2484</v>
      </c>
      <c r="E14652" s="3">
        <v>7.6700000000000001E-128</v>
      </c>
      <c r="F14652" s="2">
        <v>1019</v>
      </c>
      <c r="G14652" s="2">
        <v>85</v>
      </c>
      <c r="H14652" s="2">
        <v>236</v>
      </c>
      <c r="I14652" s="2">
        <v>99</v>
      </c>
      <c r="J14652" s="2">
        <v>806</v>
      </c>
      <c r="K14652" s="2">
        <v>703</v>
      </c>
      <c r="L14652" s="2">
        <v>903</v>
      </c>
    </row>
    <row r="14653" spans="1:12" x14ac:dyDescent="0.25">
      <c r="A14653" s="4" t="str">
        <f>HYPERLINK("http://www.rosaceae.org/Prunus/Prunus_persica/p.persica_gdr_reftransV1_0039851","p.persica_gdr_reftransV1_0039851")</f>
        <v>p.persica_gdr_reftransV1_0039851</v>
      </c>
      <c r="B14653" s="2">
        <v>1306</v>
      </c>
      <c r="C14653" s="4" t="str">
        <f>HYPERLINK("http://www.uniprot.org/uniprot/M5W6Z8","M5W6Z8")</f>
        <v>M5W6Z8</v>
      </c>
      <c r="D14653" s="2" t="s">
        <v>11878</v>
      </c>
      <c r="E14653" s="3">
        <v>2.2199999999999999E-160</v>
      </c>
      <c r="F14653" s="2">
        <v>1196</v>
      </c>
      <c r="G14653" s="2">
        <v>100</v>
      </c>
      <c r="H14653" s="2">
        <v>256</v>
      </c>
      <c r="I14653" s="2">
        <v>264</v>
      </c>
      <c r="J14653" s="2">
        <v>1031</v>
      </c>
      <c r="K14653" s="2">
        <v>1</v>
      </c>
      <c r="L14653" s="2">
        <v>256</v>
      </c>
    </row>
    <row r="14654" spans="1:12" x14ac:dyDescent="0.25">
      <c r="A14654" s="4" t="str">
        <f>HYPERLINK("http://www.rosaceae.org/Prunus/Prunus_persica/p.persica_gdr_reftransV1_0040901","p.persica_gdr_reftransV1_0040901")</f>
        <v>p.persica_gdr_reftransV1_0040901</v>
      </c>
      <c r="B14654" s="2">
        <v>4065</v>
      </c>
      <c r="C14654" s="4" t="str">
        <f>HYPERLINK("http://www.uniprot.org/uniprot/M5WGC7","M5WGC7")</f>
        <v>M5WGC7</v>
      </c>
      <c r="D14654" s="2" t="s">
        <v>11879</v>
      </c>
      <c r="E14654" s="3">
        <v>0</v>
      </c>
      <c r="F14654" s="2">
        <v>1759</v>
      </c>
      <c r="G14654" s="2">
        <v>97</v>
      </c>
      <c r="H14654" s="2">
        <v>341</v>
      </c>
      <c r="I14654" s="2">
        <v>1568</v>
      </c>
      <c r="J14654" s="2">
        <v>2590</v>
      </c>
      <c r="K14654" s="2">
        <v>104</v>
      </c>
      <c r="L14654" s="2">
        <v>444</v>
      </c>
    </row>
    <row r="14655" spans="1:12" x14ac:dyDescent="0.25">
      <c r="A14655" s="4" t="str">
        <f>HYPERLINK("http://www.rosaceae.org/Prunus/Prunus_persica/p.persica_gdr_reftransV1_0041251","p.persica_gdr_reftransV1_0041251")</f>
        <v>p.persica_gdr_reftransV1_0041251</v>
      </c>
      <c r="B14655" s="2">
        <v>6200</v>
      </c>
      <c r="C14655" s="4" t="str">
        <f>HYPERLINK("http://www.uniprot.org/uniprot/M5XMF0","M5XMF0")</f>
        <v>M5XMF0</v>
      </c>
      <c r="D14655" s="2" t="s">
        <v>11880</v>
      </c>
      <c r="E14655" s="3">
        <v>0</v>
      </c>
      <c r="F14655" s="2">
        <v>3837</v>
      </c>
      <c r="G14655" s="2">
        <v>100</v>
      </c>
      <c r="H14655" s="2">
        <v>1094</v>
      </c>
      <c r="I14655" s="2">
        <v>886</v>
      </c>
      <c r="J14655" s="2">
        <v>4167</v>
      </c>
      <c r="K14655" s="2">
        <v>528</v>
      </c>
      <c r="L14655" s="2">
        <v>1621</v>
      </c>
    </row>
    <row r="14656" spans="1:12" x14ac:dyDescent="0.25">
      <c r="A14656" s="4" t="str">
        <f>HYPERLINK("http://www.rosaceae.org/Prunus/Prunus_persica/p.persica_gdr_reftransV1_0041951","p.persica_gdr_reftransV1_0041951")</f>
        <v>p.persica_gdr_reftransV1_0041951</v>
      </c>
      <c r="B14656" s="2">
        <v>3266</v>
      </c>
      <c r="C14656" s="4" t="str">
        <f>HYPERLINK("http://www.uniprot.org/uniprot/M5VQB2","M5VQB2")</f>
        <v>M5VQB2</v>
      </c>
      <c r="D14656" s="2" t="s">
        <v>11881</v>
      </c>
      <c r="E14656" s="3">
        <v>0</v>
      </c>
      <c r="F14656" s="2">
        <v>1473</v>
      </c>
      <c r="G14656" s="2">
        <v>100</v>
      </c>
      <c r="H14656" s="2">
        <v>301</v>
      </c>
      <c r="I14656" s="2">
        <v>2216</v>
      </c>
      <c r="J14656" s="2">
        <v>3118</v>
      </c>
      <c r="K14656" s="2">
        <v>195</v>
      </c>
      <c r="L14656" s="2">
        <v>495</v>
      </c>
    </row>
    <row r="14657" spans="1:12" x14ac:dyDescent="0.25">
      <c r="A14657" s="4" t="str">
        <f>HYPERLINK("http://www.rosaceae.org/Prunus/Prunus_persica/p.persica_gdr_reftransV1_0043351","p.persica_gdr_reftransV1_0043351")</f>
        <v>p.persica_gdr_reftransV1_0043351</v>
      </c>
      <c r="B14657" s="2">
        <v>1468</v>
      </c>
      <c r="C14657" s="4" t="str">
        <f>HYPERLINK("http://www.uniprot.org/uniprot/M5WDC6","M5WDC6")</f>
        <v>M5WDC6</v>
      </c>
      <c r="D14657" s="2" t="s">
        <v>11882</v>
      </c>
      <c r="E14657" s="3">
        <v>0</v>
      </c>
      <c r="F14657" s="2">
        <v>2280</v>
      </c>
      <c r="G14657" s="2">
        <v>92</v>
      </c>
      <c r="H14657" s="2">
        <v>489</v>
      </c>
      <c r="I14657" s="2">
        <v>2</v>
      </c>
      <c r="J14657" s="2">
        <v>1468</v>
      </c>
      <c r="K14657" s="2">
        <v>39</v>
      </c>
      <c r="L14657" s="2">
        <v>487</v>
      </c>
    </row>
    <row r="14658" spans="1:12" x14ac:dyDescent="0.25">
      <c r="A14658" s="4" t="str">
        <f>HYPERLINK("http://www.rosaceae.org/Prunus/Prunus_persica/p.persica_gdr_reftransV1_0043701","p.persica_gdr_reftransV1_0043701")</f>
        <v>p.persica_gdr_reftransV1_0043701</v>
      </c>
      <c r="B14658" s="2">
        <v>1849</v>
      </c>
      <c r="C14658" s="4" t="str">
        <f>HYPERLINK("http://www.uniprot.org/uniprot/M5WJQ0","M5WJQ0")</f>
        <v>M5WJQ0</v>
      </c>
      <c r="D14658" s="2" t="s">
        <v>11883</v>
      </c>
      <c r="E14658" s="3">
        <v>0</v>
      </c>
      <c r="F14658" s="2">
        <v>1546</v>
      </c>
      <c r="G14658" s="2">
        <v>100</v>
      </c>
      <c r="H14658" s="2">
        <v>283</v>
      </c>
      <c r="I14658" s="2">
        <v>277</v>
      </c>
      <c r="J14658" s="2">
        <v>1125</v>
      </c>
      <c r="K14658" s="2">
        <v>117</v>
      </c>
      <c r="L14658" s="2">
        <v>399</v>
      </c>
    </row>
    <row r="14659" spans="1:12" x14ac:dyDescent="0.25">
      <c r="A14659" s="4" t="str">
        <f>HYPERLINK("http://www.rosaceae.org/Prunus/Prunus_persica/p.persica_gdr_reftransV1_0044051","p.persica_gdr_reftransV1_0044051")</f>
        <v>p.persica_gdr_reftransV1_0044051</v>
      </c>
      <c r="B14659" s="2">
        <v>1035</v>
      </c>
      <c r="C14659" s="4" t="str">
        <f>HYPERLINK("http://www.uniprot.org/uniprot/M5XMI9","M5XMI9")</f>
        <v>M5XMI9</v>
      </c>
      <c r="D14659" s="2" t="s">
        <v>11884</v>
      </c>
      <c r="E14659" s="3">
        <v>0</v>
      </c>
      <c r="F14659" s="2">
        <v>1387</v>
      </c>
      <c r="G14659" s="2">
        <v>100</v>
      </c>
      <c r="H14659" s="2">
        <v>257</v>
      </c>
      <c r="I14659" s="2">
        <v>144</v>
      </c>
      <c r="J14659" s="2">
        <v>914</v>
      </c>
      <c r="K14659" s="2">
        <v>25</v>
      </c>
      <c r="L14659" s="2">
        <v>281</v>
      </c>
    </row>
    <row r="14660" spans="1:12" x14ac:dyDescent="0.25">
      <c r="A14660" s="4" t="str">
        <f>HYPERLINK("http://www.rosaceae.org/Prunus/Prunus_persica/p.persica_gdr_reftransV1_0044401","p.persica_gdr_reftransV1_0044401")</f>
        <v>p.persica_gdr_reftransV1_0044401</v>
      </c>
      <c r="B14660" s="2">
        <v>318</v>
      </c>
      <c r="C14660" s="4" t="str">
        <f>HYPERLINK("http://www.uniprot.org/uniprot/M5W7I7","M5W7I7")</f>
        <v>M5W7I7</v>
      </c>
      <c r="D14660" s="2" t="s">
        <v>4753</v>
      </c>
      <c r="E14660" s="3">
        <v>2.0000000000000001E-32</v>
      </c>
      <c r="F14660" s="2">
        <v>318</v>
      </c>
      <c r="G14660" s="2">
        <v>100</v>
      </c>
      <c r="H14660" s="2">
        <v>72</v>
      </c>
      <c r="I14660" s="2">
        <v>2</v>
      </c>
      <c r="J14660" s="2">
        <v>217</v>
      </c>
      <c r="K14660" s="2">
        <v>1</v>
      </c>
      <c r="L14660" s="2">
        <v>72</v>
      </c>
    </row>
    <row r="14661" spans="1:12" x14ac:dyDescent="0.25">
      <c r="A14661" s="4" t="str">
        <f>HYPERLINK("http://www.rosaceae.org/Prunus/Prunus_persica/p.persica_gdr_reftransV1_0044751","p.persica_gdr_reftransV1_0044751")</f>
        <v>p.persica_gdr_reftransV1_0044751</v>
      </c>
      <c r="B14661" s="2">
        <v>1488</v>
      </c>
      <c r="C14661" s="4" t="str">
        <f>HYPERLINK("http://www.uniprot.org/uniprot/M5VH43","M5VH43")</f>
        <v>M5VH43</v>
      </c>
      <c r="D14661" s="2" t="s">
        <v>11885</v>
      </c>
      <c r="E14661" s="3">
        <v>0</v>
      </c>
      <c r="F14661" s="2">
        <v>1283</v>
      </c>
      <c r="G14661" s="2">
        <v>100</v>
      </c>
      <c r="H14661" s="2">
        <v>276</v>
      </c>
      <c r="I14661" s="2">
        <v>109</v>
      </c>
      <c r="J14661" s="2">
        <v>936</v>
      </c>
      <c r="K14661" s="2">
        <v>139</v>
      </c>
      <c r="L14661" s="2">
        <v>414</v>
      </c>
    </row>
    <row r="14662" spans="1:12" x14ac:dyDescent="0.25">
      <c r="A14662" s="4" t="str">
        <f>HYPERLINK("http://www.rosaceae.org/Prunus/Prunus_persica/p.persica_gdr_reftransV1_0045101","p.persica_gdr_reftransV1_0045101")</f>
        <v>p.persica_gdr_reftransV1_0045101</v>
      </c>
      <c r="B14662" s="2">
        <v>574</v>
      </c>
      <c r="C14662" s="4" t="str">
        <f>HYPERLINK("http://www.uniprot.org/uniprot/M5Y1M1","M5Y1M1")</f>
        <v>M5Y1M1</v>
      </c>
      <c r="D14662" s="2" t="s">
        <v>11886</v>
      </c>
      <c r="E14662" s="3">
        <v>1.06E-41</v>
      </c>
      <c r="F14662" s="2">
        <v>370</v>
      </c>
      <c r="G14662" s="2">
        <v>97</v>
      </c>
      <c r="H14662" s="2">
        <v>78</v>
      </c>
      <c r="I14662" s="2">
        <v>229</v>
      </c>
      <c r="J14662" s="2">
        <v>462</v>
      </c>
      <c r="K14662" s="2">
        <v>18</v>
      </c>
      <c r="L14662" s="2">
        <v>95</v>
      </c>
    </row>
    <row r="14663" spans="1:12" x14ac:dyDescent="0.25">
      <c r="A14663" s="4" t="str">
        <f>HYPERLINK("http://www.rosaceae.org/Prunus/Prunus_persica/p.persica_gdr_reftransV1_0045801","p.persica_gdr_reftransV1_0045801")</f>
        <v>p.persica_gdr_reftransV1_0045801</v>
      </c>
      <c r="B14663" s="2">
        <v>2910</v>
      </c>
      <c r="C14663" s="4" t="str">
        <f>HYPERLINK("http://www.uniprot.org/uniprot/J7G0Q7","J7G0Q7")</f>
        <v>J7G0Q7</v>
      </c>
      <c r="D14663" s="2" t="s">
        <v>10516</v>
      </c>
      <c r="E14663" s="3">
        <v>2.6E-92</v>
      </c>
      <c r="F14663" s="2">
        <v>620</v>
      </c>
      <c r="G14663" s="2">
        <v>51</v>
      </c>
      <c r="H14663" s="2">
        <v>253</v>
      </c>
      <c r="I14663" s="2">
        <v>1914</v>
      </c>
      <c r="J14663" s="2">
        <v>2657</v>
      </c>
      <c r="K14663" s="2">
        <v>710</v>
      </c>
      <c r="L14663" s="2">
        <v>962</v>
      </c>
    </row>
    <row r="14664" spans="1:12" x14ac:dyDescent="0.25">
      <c r="A14664" s="4" t="str">
        <f>HYPERLINK("http://www.rosaceae.org/Prunus/Prunus_persica/p.persica_gdr_reftransV1_0046151","p.persica_gdr_reftransV1_0046151")</f>
        <v>p.persica_gdr_reftransV1_0046151</v>
      </c>
      <c r="B14664" s="2">
        <v>1442</v>
      </c>
      <c r="C14664" s="4" t="str">
        <f>HYPERLINK("http://www.uniprot.org/uniprot/M5Y9J6","M5Y9J6")</f>
        <v>M5Y9J6</v>
      </c>
      <c r="D14664" s="2" t="s">
        <v>11887</v>
      </c>
      <c r="E14664" s="3">
        <v>8.1699999999999998E-88</v>
      </c>
      <c r="F14664" s="2">
        <v>717</v>
      </c>
      <c r="G14664" s="2">
        <v>100</v>
      </c>
      <c r="H14664" s="2">
        <v>137</v>
      </c>
      <c r="I14664" s="2">
        <v>908</v>
      </c>
      <c r="J14664" s="2">
        <v>1318</v>
      </c>
      <c r="K14664" s="2">
        <v>1</v>
      </c>
      <c r="L14664" s="2">
        <v>137</v>
      </c>
    </row>
    <row r="14665" spans="1:12" x14ac:dyDescent="0.25">
      <c r="A14665" s="4" t="str">
        <f>HYPERLINK("http://www.rosaceae.org/Prunus/Prunus_persica/p.persica_gdr_reftransV1_0046851","p.persica_gdr_reftransV1_0046851")</f>
        <v>p.persica_gdr_reftransV1_0046851</v>
      </c>
      <c r="B14665" s="2">
        <v>544</v>
      </c>
      <c r="C14665" s="4" t="str">
        <f>HYPERLINK("http://www.uniprot.org/uniprot/M5XNA6","M5XNA6")</f>
        <v>M5XNA6</v>
      </c>
      <c r="D14665" s="2" t="s">
        <v>8182</v>
      </c>
      <c r="E14665" s="3">
        <v>1.3499999999999999E-69</v>
      </c>
      <c r="F14665" s="2">
        <v>584</v>
      </c>
      <c r="G14665" s="2">
        <v>99</v>
      </c>
      <c r="H14665" s="2">
        <v>181</v>
      </c>
      <c r="I14665" s="2">
        <v>1</v>
      </c>
      <c r="J14665" s="2">
        <v>543</v>
      </c>
      <c r="K14665" s="2">
        <v>58</v>
      </c>
      <c r="L14665" s="2">
        <v>238</v>
      </c>
    </row>
    <row r="14666" spans="1:12" x14ac:dyDescent="0.25">
      <c r="A14666" s="4" t="str">
        <f>HYPERLINK("http://www.rosaceae.org/Prunus/Prunus_persica/p.persica_gdr_reftransV1_0047551","p.persica_gdr_reftransV1_0047551")</f>
        <v>p.persica_gdr_reftransV1_0047551</v>
      </c>
      <c r="B14666" s="2">
        <v>736</v>
      </c>
      <c r="C14666" s="4" t="str">
        <f>HYPERLINK("http://www.uniprot.org/uniprot/M5Y5J1","M5Y5J1")</f>
        <v>M5Y5J1</v>
      </c>
      <c r="D14666" s="2" t="s">
        <v>9554</v>
      </c>
      <c r="E14666" s="3">
        <v>7.4899999999999992E-74</v>
      </c>
      <c r="F14666" s="2">
        <v>595</v>
      </c>
      <c r="G14666" s="2">
        <v>100</v>
      </c>
      <c r="H14666" s="2">
        <v>139</v>
      </c>
      <c r="I14666" s="2">
        <v>3</v>
      </c>
      <c r="J14666" s="2">
        <v>419</v>
      </c>
      <c r="K14666" s="2">
        <v>27</v>
      </c>
      <c r="L14666" s="2">
        <v>165</v>
      </c>
    </row>
    <row r="14667" spans="1:12" x14ac:dyDescent="0.25">
      <c r="A14667" s="4" t="str">
        <f>HYPERLINK("http://www.rosaceae.org/Prunus/Prunus_persica/p.persica_gdr_reftransV1_0047901","p.persica_gdr_reftransV1_0047901")</f>
        <v>p.persica_gdr_reftransV1_0047901</v>
      </c>
      <c r="B14667" s="2">
        <v>602</v>
      </c>
      <c r="C14667" s="4" t="str">
        <f>HYPERLINK("http://www.uniprot.org/uniprot/M5XQX0","M5XQX0")</f>
        <v>M5XQX0</v>
      </c>
      <c r="D14667" s="2" t="s">
        <v>9126</v>
      </c>
      <c r="E14667" s="3">
        <v>3.8900000000000002E-116</v>
      </c>
      <c r="F14667" s="2">
        <v>889</v>
      </c>
      <c r="G14667" s="2">
        <v>100</v>
      </c>
      <c r="H14667" s="2">
        <v>168</v>
      </c>
      <c r="I14667" s="2">
        <v>98</v>
      </c>
      <c r="J14667" s="2">
        <v>601</v>
      </c>
      <c r="K14667" s="2">
        <v>1</v>
      </c>
      <c r="L14667" s="2">
        <v>168</v>
      </c>
    </row>
    <row r="14668" spans="1:12" x14ac:dyDescent="0.25">
      <c r="A14668" s="4" t="str">
        <f>HYPERLINK("http://www.rosaceae.org/Prunus/Prunus_persica/p.persica_gdr_reftransV1_0048601","p.persica_gdr_reftransV1_0048601")</f>
        <v>p.persica_gdr_reftransV1_0048601</v>
      </c>
      <c r="B14668" s="2">
        <v>1445</v>
      </c>
      <c r="C14668" s="4" t="str">
        <f>HYPERLINK("http://www.uniprot.org/uniprot/M5XFD1","M5XFD1")</f>
        <v>M5XFD1</v>
      </c>
      <c r="D14668" s="2" t="s">
        <v>6527</v>
      </c>
      <c r="E14668" s="3">
        <v>0</v>
      </c>
      <c r="F14668" s="2">
        <v>2363</v>
      </c>
      <c r="G14668" s="2">
        <v>100</v>
      </c>
      <c r="H14668" s="2">
        <v>472</v>
      </c>
      <c r="I14668" s="2">
        <v>29</v>
      </c>
      <c r="J14668" s="2">
        <v>1444</v>
      </c>
      <c r="K14668" s="2">
        <v>1</v>
      </c>
      <c r="L14668" s="2">
        <v>472</v>
      </c>
    </row>
    <row r="14669" spans="1:12" x14ac:dyDescent="0.25">
      <c r="A14669" s="4" t="str">
        <f>HYPERLINK("http://www.rosaceae.org/Prunus/Prunus_persica/p.persica_gdr_reftransV1_0048951","p.persica_gdr_reftransV1_0048951")</f>
        <v>p.persica_gdr_reftransV1_0048951</v>
      </c>
      <c r="B14669" s="2">
        <v>1368</v>
      </c>
      <c r="C14669" s="4" t="str">
        <f>HYPERLINK("http://www.uniprot.org/uniprot/M5XK66","M5XK66")</f>
        <v>M5XK66</v>
      </c>
      <c r="D14669" s="2" t="s">
        <v>11888</v>
      </c>
      <c r="E14669" s="3">
        <v>6.0000000000000002E-84</v>
      </c>
      <c r="F14669" s="2">
        <v>687</v>
      </c>
      <c r="G14669" s="2">
        <v>100</v>
      </c>
      <c r="H14669" s="2">
        <v>220</v>
      </c>
      <c r="I14669" s="2">
        <v>112</v>
      </c>
      <c r="J14669" s="2">
        <v>771</v>
      </c>
      <c r="K14669" s="2">
        <v>1</v>
      </c>
      <c r="L14669" s="2">
        <v>220</v>
      </c>
    </row>
    <row r="14670" spans="1:12" x14ac:dyDescent="0.25">
      <c r="A14670" s="4" t="str">
        <f>HYPERLINK("http://www.rosaceae.org/Prunus/Prunus_persica/p.persica_gdr_reftransV1_0000302","p.persica_gdr_reftransV1_0000302")</f>
        <v>p.persica_gdr_reftransV1_0000302</v>
      </c>
      <c r="B14670" s="2">
        <v>1556</v>
      </c>
      <c r="C14670" s="4" t="str">
        <f>HYPERLINK("http://www.uniprot.org/uniprot/M5VT59","M5VT59")</f>
        <v>M5VT59</v>
      </c>
      <c r="D14670" s="2" t="s">
        <v>11889</v>
      </c>
      <c r="E14670" s="3">
        <v>0</v>
      </c>
      <c r="F14670" s="2">
        <v>2106</v>
      </c>
      <c r="G14670" s="2">
        <v>100</v>
      </c>
      <c r="H14670" s="2">
        <v>417</v>
      </c>
      <c r="I14670" s="2">
        <v>122</v>
      </c>
      <c r="J14670" s="2">
        <v>1372</v>
      </c>
      <c r="K14670" s="2">
        <v>1</v>
      </c>
      <c r="L14670" s="2">
        <v>417</v>
      </c>
    </row>
    <row r="14671" spans="1:12" x14ac:dyDescent="0.25">
      <c r="A14671" s="4" t="str">
        <f>HYPERLINK("http://www.rosaceae.org/Prunus/Prunus_persica/p.persica_gdr_reftransV1_0001002","p.persica_gdr_reftransV1_0001002")</f>
        <v>p.persica_gdr_reftransV1_0001002</v>
      </c>
      <c r="B14671" s="2">
        <v>629</v>
      </c>
      <c r="C14671" s="4" t="str">
        <f>HYPERLINK("http://www.uniprot.org/uniprot/M5VS11","M5VS11")</f>
        <v>M5VS11</v>
      </c>
      <c r="D14671" s="2" t="s">
        <v>11890</v>
      </c>
      <c r="E14671" s="3">
        <v>6.3000000000000003E-95</v>
      </c>
      <c r="F14671" s="2">
        <v>730</v>
      </c>
      <c r="G14671" s="2">
        <v>100</v>
      </c>
      <c r="H14671" s="2">
        <v>155</v>
      </c>
      <c r="I14671" s="2">
        <v>151</v>
      </c>
      <c r="J14671" s="2">
        <v>615</v>
      </c>
      <c r="K14671" s="2">
        <v>1</v>
      </c>
      <c r="L14671" s="2">
        <v>155</v>
      </c>
    </row>
    <row r="14672" spans="1:12" x14ac:dyDescent="0.25">
      <c r="A14672" s="4" t="str">
        <f>HYPERLINK("http://www.rosaceae.org/Prunus/Prunus_persica/p.persica_gdr_reftransV1_0001702","p.persica_gdr_reftransV1_0001702")</f>
        <v>p.persica_gdr_reftransV1_0001702</v>
      </c>
      <c r="B14672" s="2">
        <v>759</v>
      </c>
      <c r="C14672" s="4" t="str">
        <f>HYPERLINK("http://www.uniprot.org/uniprot/M5WZZ8","M5WZZ8")</f>
        <v>M5WZZ8</v>
      </c>
      <c r="D14672" s="2" t="s">
        <v>11891</v>
      </c>
      <c r="E14672" s="3">
        <v>1.06E-146</v>
      </c>
      <c r="F14672" s="2">
        <v>1104</v>
      </c>
      <c r="G14672" s="2">
        <v>100</v>
      </c>
      <c r="H14672" s="2">
        <v>218</v>
      </c>
      <c r="I14672" s="2">
        <v>3</v>
      </c>
      <c r="J14672" s="2">
        <v>656</v>
      </c>
      <c r="K14672" s="2">
        <v>1</v>
      </c>
      <c r="L14672" s="2">
        <v>218</v>
      </c>
    </row>
    <row r="14673" spans="1:12" x14ac:dyDescent="0.25">
      <c r="A14673" s="4" t="str">
        <f>HYPERLINK("http://www.rosaceae.org/Prunus/Prunus_persica/p.persica_gdr_reftransV1_0002052","p.persica_gdr_reftransV1_0002052")</f>
        <v>p.persica_gdr_reftransV1_0002052</v>
      </c>
      <c r="B14673" s="2">
        <v>1179</v>
      </c>
      <c r="C14673" s="4" t="str">
        <f>HYPERLINK("http://www.uniprot.org/uniprot/M5VVY0","M5VVY0")</f>
        <v>M5VVY0</v>
      </c>
      <c r="D14673" s="2" t="s">
        <v>10192</v>
      </c>
      <c r="E14673" s="3">
        <v>0</v>
      </c>
      <c r="F14673" s="2">
        <v>1360</v>
      </c>
      <c r="G14673" s="2">
        <v>100</v>
      </c>
      <c r="H14673" s="2">
        <v>289</v>
      </c>
      <c r="I14673" s="2">
        <v>1</v>
      </c>
      <c r="J14673" s="2">
        <v>867</v>
      </c>
      <c r="K14673" s="2">
        <v>87</v>
      </c>
      <c r="L14673" s="2">
        <v>375</v>
      </c>
    </row>
    <row r="14674" spans="1:12" x14ac:dyDescent="0.25">
      <c r="A14674" s="4" t="str">
        <f>HYPERLINK("http://www.rosaceae.org/Prunus/Prunus_persica/p.persica_gdr_reftransV1_0003102","p.persica_gdr_reftransV1_0003102")</f>
        <v>p.persica_gdr_reftransV1_0003102</v>
      </c>
      <c r="B14674" s="2">
        <v>1883</v>
      </c>
      <c r="C14674" s="4" t="str">
        <f>HYPERLINK("http://www.uniprot.org/uniprot/M5WA24","M5WA24")</f>
        <v>M5WA24</v>
      </c>
      <c r="D14674" s="2" t="s">
        <v>4167</v>
      </c>
      <c r="E14674" s="3">
        <v>0</v>
      </c>
      <c r="F14674" s="2">
        <v>1980</v>
      </c>
      <c r="G14674" s="2">
        <v>100</v>
      </c>
      <c r="H14674" s="2">
        <v>384</v>
      </c>
      <c r="I14674" s="2">
        <v>145</v>
      </c>
      <c r="J14674" s="2">
        <v>1296</v>
      </c>
      <c r="K14674" s="2">
        <v>1</v>
      </c>
      <c r="L14674" s="2">
        <v>384</v>
      </c>
    </row>
    <row r="14675" spans="1:12" x14ac:dyDescent="0.25">
      <c r="A14675" s="4" t="str">
        <f>HYPERLINK("http://www.rosaceae.org/Prunus/Prunus_persica/p.persica_gdr_reftransV1_0003802","p.persica_gdr_reftransV1_0003802")</f>
        <v>p.persica_gdr_reftransV1_0003802</v>
      </c>
      <c r="B14675" s="2">
        <v>352</v>
      </c>
      <c r="C14675" s="4" t="str">
        <f>HYPERLINK("http://www.uniprot.org/uniprot/E0CTC4","E0CTC4")</f>
        <v>E0CTC4</v>
      </c>
      <c r="D14675" s="2" t="s">
        <v>11892</v>
      </c>
      <c r="E14675" s="3">
        <v>9.8699999999999997E-40</v>
      </c>
      <c r="F14675" s="2">
        <v>374</v>
      </c>
      <c r="G14675" s="2">
        <v>67</v>
      </c>
      <c r="H14675" s="2">
        <v>100</v>
      </c>
      <c r="I14675" s="2">
        <v>2</v>
      </c>
      <c r="J14675" s="2">
        <v>301</v>
      </c>
      <c r="K14675" s="2">
        <v>22</v>
      </c>
      <c r="L14675" s="2">
        <v>121</v>
      </c>
    </row>
    <row r="14676" spans="1:12" x14ac:dyDescent="0.25">
      <c r="A14676" s="4" t="str">
        <f>HYPERLINK("http://www.rosaceae.org/Prunus/Prunus_persica/p.persica_gdr_reftransV1_0004502","p.persica_gdr_reftransV1_0004502")</f>
        <v>p.persica_gdr_reftransV1_0004502</v>
      </c>
      <c r="B14676" s="2">
        <v>2422</v>
      </c>
      <c r="C14676" s="4" t="str">
        <f>HYPERLINK("http://www.uniprot.org/uniprot/M5VVI8","M5VVI8")</f>
        <v>M5VVI8</v>
      </c>
      <c r="D14676" s="2" t="s">
        <v>11893</v>
      </c>
      <c r="E14676" s="3">
        <v>0</v>
      </c>
      <c r="F14676" s="2">
        <v>2824</v>
      </c>
      <c r="G14676" s="2">
        <v>100</v>
      </c>
      <c r="H14676" s="2">
        <v>578</v>
      </c>
      <c r="I14676" s="2">
        <v>320</v>
      </c>
      <c r="J14676" s="2">
        <v>2053</v>
      </c>
      <c r="K14676" s="2">
        <v>1</v>
      </c>
      <c r="L14676" s="2">
        <v>578</v>
      </c>
    </row>
    <row r="14677" spans="1:12" x14ac:dyDescent="0.25">
      <c r="A14677" s="4" t="str">
        <f>HYPERLINK("http://www.rosaceae.org/Prunus/Prunus_persica/p.persica_gdr_reftransV1_0005202","p.persica_gdr_reftransV1_0005202")</f>
        <v>p.persica_gdr_reftransV1_0005202</v>
      </c>
      <c r="B14677" s="2">
        <v>1821</v>
      </c>
      <c r="C14677" s="4" t="str">
        <f>HYPERLINK("http://www.uniprot.org/uniprot/M5W1Z4","M5W1Z4")</f>
        <v>M5W1Z4</v>
      </c>
      <c r="D14677" s="2" t="s">
        <v>3846</v>
      </c>
      <c r="E14677" s="3">
        <v>0</v>
      </c>
      <c r="F14677" s="2">
        <v>2299</v>
      </c>
      <c r="G14677" s="2">
        <v>100</v>
      </c>
      <c r="H14677" s="2">
        <v>428</v>
      </c>
      <c r="I14677" s="2">
        <v>162</v>
      </c>
      <c r="J14677" s="2">
        <v>1445</v>
      </c>
      <c r="K14677" s="2">
        <v>1</v>
      </c>
      <c r="L14677" s="2">
        <v>428</v>
      </c>
    </row>
    <row r="14678" spans="1:12" x14ac:dyDescent="0.25">
      <c r="A14678" s="4" t="str">
        <f>HYPERLINK("http://www.rosaceae.org/Prunus/Prunus_persica/p.persica_gdr_reftransV1_0005552","p.persica_gdr_reftransV1_0005552")</f>
        <v>p.persica_gdr_reftransV1_0005552</v>
      </c>
      <c r="B14678" s="2">
        <v>777</v>
      </c>
      <c r="C14678" s="4" t="str">
        <f>HYPERLINK("http://www.uniprot.org/uniprot/M5XAF2","M5XAF2")</f>
        <v>M5XAF2</v>
      </c>
      <c r="D14678" s="2" t="s">
        <v>2045</v>
      </c>
      <c r="E14678" s="3">
        <v>2.7100000000000001E-27</v>
      </c>
      <c r="F14678" s="2">
        <v>286</v>
      </c>
      <c r="G14678" s="2">
        <v>52</v>
      </c>
      <c r="H14678" s="2">
        <v>105</v>
      </c>
      <c r="I14678" s="2">
        <v>414</v>
      </c>
      <c r="J14678" s="2">
        <v>719</v>
      </c>
      <c r="K14678" s="2">
        <v>1</v>
      </c>
      <c r="L14678" s="2">
        <v>102</v>
      </c>
    </row>
    <row r="14679" spans="1:12" x14ac:dyDescent="0.25">
      <c r="A14679" s="4" t="str">
        <f>HYPERLINK("http://www.rosaceae.org/Prunus/Prunus_persica/p.persica_gdr_reftransV1_0005902","p.persica_gdr_reftransV1_0005902")</f>
        <v>p.persica_gdr_reftransV1_0005902</v>
      </c>
      <c r="B14679" s="2">
        <v>947</v>
      </c>
      <c r="C14679" s="4" t="str">
        <f>HYPERLINK("http://www.uniprot.org/uniprot/M5VJ85","M5VJ85")</f>
        <v>M5VJ85</v>
      </c>
      <c r="D14679" s="2" t="s">
        <v>11894</v>
      </c>
      <c r="E14679" s="3">
        <v>1.9800000000000001E-87</v>
      </c>
      <c r="F14679" s="2">
        <v>711</v>
      </c>
      <c r="G14679" s="2">
        <v>100</v>
      </c>
      <c r="H14679" s="2">
        <v>133</v>
      </c>
      <c r="I14679" s="2">
        <v>498</v>
      </c>
      <c r="J14679" s="2">
        <v>896</v>
      </c>
      <c r="K14679" s="2">
        <v>26</v>
      </c>
      <c r="L14679" s="2">
        <v>158</v>
      </c>
    </row>
    <row r="14680" spans="1:12" x14ac:dyDescent="0.25">
      <c r="A14680" s="4" t="str">
        <f>HYPERLINK("http://www.rosaceae.org/Prunus/Prunus_persica/p.persica_gdr_reftransV1_0006252","p.persica_gdr_reftransV1_0006252")</f>
        <v>p.persica_gdr_reftransV1_0006252</v>
      </c>
      <c r="B14680" s="2">
        <v>960</v>
      </c>
      <c r="C14680" s="4" t="str">
        <f>HYPERLINK("http://www.uniprot.org/uniprot/F6HZZ6","F6HZZ6")</f>
        <v>F6HZZ6</v>
      </c>
      <c r="D14680" s="2" t="s">
        <v>5971</v>
      </c>
      <c r="E14680" s="3">
        <v>5.2199999999999998E-88</v>
      </c>
      <c r="F14680" s="2">
        <v>723</v>
      </c>
      <c r="G14680" s="2">
        <v>57</v>
      </c>
      <c r="H14680" s="2">
        <v>235</v>
      </c>
      <c r="I14680" s="2">
        <v>248</v>
      </c>
      <c r="J14680" s="2">
        <v>952</v>
      </c>
      <c r="K14680" s="2">
        <v>232</v>
      </c>
      <c r="L14680" s="2">
        <v>465</v>
      </c>
    </row>
    <row r="14681" spans="1:12" x14ac:dyDescent="0.25">
      <c r="A14681" s="4" t="str">
        <f>HYPERLINK("http://www.rosaceae.org/Prunus/Prunus_persica/p.persica_gdr_reftransV1_0006952","p.persica_gdr_reftransV1_0006952")</f>
        <v>p.persica_gdr_reftransV1_0006952</v>
      </c>
      <c r="B14681" s="2">
        <v>653</v>
      </c>
      <c r="C14681" s="4" t="str">
        <f>HYPERLINK("http://www.uniprot.org/uniprot/M5XMN5","M5XMN5")</f>
        <v>M5XMN5</v>
      </c>
      <c r="D14681" s="2" t="s">
        <v>11895</v>
      </c>
      <c r="E14681" s="3">
        <v>8.0899999999999997E-97</v>
      </c>
      <c r="F14681" s="2">
        <v>743</v>
      </c>
      <c r="G14681" s="2">
        <v>100</v>
      </c>
      <c r="H14681" s="2">
        <v>151</v>
      </c>
      <c r="I14681" s="2">
        <v>46</v>
      </c>
      <c r="J14681" s="2">
        <v>498</v>
      </c>
      <c r="K14681" s="2">
        <v>1</v>
      </c>
      <c r="L14681" s="2">
        <v>151</v>
      </c>
    </row>
    <row r="14682" spans="1:12" x14ac:dyDescent="0.25">
      <c r="A14682" s="4" t="str">
        <f>HYPERLINK("http://www.rosaceae.org/Prunus/Prunus_persica/p.persica_gdr_reftransV1_0007302","p.persica_gdr_reftransV1_0007302")</f>
        <v>p.persica_gdr_reftransV1_0007302</v>
      </c>
      <c r="B14682" s="2">
        <v>565</v>
      </c>
      <c r="C14682" s="4" t="str">
        <f>HYPERLINK("http://www.uniprot.org/uniprot/F6H2Q6","F6H2Q6")</f>
        <v>F6H2Q6</v>
      </c>
      <c r="D14682" s="2" t="s">
        <v>11896</v>
      </c>
      <c r="E14682" s="3">
        <v>6.47E-52</v>
      </c>
      <c r="F14682" s="2">
        <v>474</v>
      </c>
      <c r="G14682" s="2">
        <v>77</v>
      </c>
      <c r="H14682" s="2">
        <v>118</v>
      </c>
      <c r="I14682" s="2">
        <v>212</v>
      </c>
      <c r="J14682" s="2">
        <v>565</v>
      </c>
      <c r="K14682" s="2">
        <v>1</v>
      </c>
      <c r="L14682" s="2">
        <v>118</v>
      </c>
    </row>
    <row r="14683" spans="1:12" x14ac:dyDescent="0.25">
      <c r="A14683" s="4" t="str">
        <f>HYPERLINK("http://www.rosaceae.org/Prunus/Prunus_persica/p.persica_gdr_reftransV1_0007652","p.persica_gdr_reftransV1_0007652")</f>
        <v>p.persica_gdr_reftransV1_0007652</v>
      </c>
      <c r="B14683" s="2">
        <v>2174</v>
      </c>
      <c r="C14683" s="4" t="str">
        <f>HYPERLINK("http://www.uniprot.org/uniprot/M5X9U7","M5X9U7")</f>
        <v>M5X9U7</v>
      </c>
      <c r="D14683" s="2" t="s">
        <v>11897</v>
      </c>
      <c r="E14683" s="3">
        <v>0</v>
      </c>
      <c r="F14683" s="2">
        <v>2678</v>
      </c>
      <c r="G14683" s="2">
        <v>100</v>
      </c>
      <c r="H14683" s="2">
        <v>565</v>
      </c>
      <c r="I14683" s="2">
        <v>297</v>
      </c>
      <c r="J14683" s="2">
        <v>1991</v>
      </c>
      <c r="K14683" s="2">
        <v>1</v>
      </c>
      <c r="L14683" s="2">
        <v>565</v>
      </c>
    </row>
    <row r="14684" spans="1:12" x14ac:dyDescent="0.25">
      <c r="A14684" s="4" t="str">
        <f>HYPERLINK("http://www.rosaceae.org/Prunus/Prunus_persica/p.persica_gdr_reftransV1_0008352","p.persica_gdr_reftransV1_0008352")</f>
        <v>p.persica_gdr_reftransV1_0008352</v>
      </c>
      <c r="B14684" s="2">
        <v>2906</v>
      </c>
      <c r="C14684" s="4" t="str">
        <f>HYPERLINK("http://www.uniprot.org/uniprot/M5WRF9","M5WRF9")</f>
        <v>M5WRF9</v>
      </c>
      <c r="D14684" s="2" t="s">
        <v>11898</v>
      </c>
      <c r="E14684" s="3">
        <v>0</v>
      </c>
      <c r="F14684" s="2">
        <v>3448</v>
      </c>
      <c r="G14684" s="2">
        <v>100</v>
      </c>
      <c r="H14684" s="2">
        <v>777</v>
      </c>
      <c r="I14684" s="2">
        <v>337</v>
      </c>
      <c r="J14684" s="2">
        <v>2667</v>
      </c>
      <c r="K14684" s="2">
        <v>1</v>
      </c>
      <c r="L14684" s="2">
        <v>777</v>
      </c>
    </row>
    <row r="14685" spans="1:12" x14ac:dyDescent="0.25">
      <c r="A14685" s="4" t="str">
        <f>HYPERLINK("http://www.rosaceae.org/Prunus/Prunus_persica/p.persica_gdr_reftransV1_0008702","p.persica_gdr_reftransV1_0008702")</f>
        <v>p.persica_gdr_reftransV1_0008702</v>
      </c>
      <c r="B14685" s="2">
        <v>775</v>
      </c>
      <c r="C14685" s="4" t="str">
        <f>HYPERLINK("http://www.uniprot.org/uniprot/M5VNY9","M5VNY9")</f>
        <v>M5VNY9</v>
      </c>
      <c r="D14685" s="2" t="s">
        <v>11899</v>
      </c>
      <c r="E14685" s="3">
        <v>2.0099999999999999E-47</v>
      </c>
      <c r="F14685" s="2">
        <v>416</v>
      </c>
      <c r="G14685" s="2">
        <v>100</v>
      </c>
      <c r="H14685" s="2">
        <v>113</v>
      </c>
      <c r="I14685" s="2">
        <v>166</v>
      </c>
      <c r="J14685" s="2">
        <v>504</v>
      </c>
      <c r="K14685" s="2">
        <v>1</v>
      </c>
      <c r="L14685" s="2">
        <v>113</v>
      </c>
    </row>
    <row r="14686" spans="1:12" x14ac:dyDescent="0.25">
      <c r="A14686" s="4" t="str">
        <f>HYPERLINK("http://www.rosaceae.org/Prunus/Prunus_persica/p.persica_gdr_reftransV1_0009052","p.persica_gdr_reftransV1_0009052")</f>
        <v>p.persica_gdr_reftransV1_0009052</v>
      </c>
      <c r="B14686" s="2">
        <v>798</v>
      </c>
      <c r="C14686" s="4" t="str">
        <f>HYPERLINK("http://www.uniprot.org/uniprot/M5XKE5","M5XKE5")</f>
        <v>M5XKE5</v>
      </c>
      <c r="D14686" s="2" t="s">
        <v>11900</v>
      </c>
      <c r="E14686" s="3">
        <v>1.64E-140</v>
      </c>
      <c r="F14686" s="2">
        <v>1044</v>
      </c>
      <c r="G14686" s="2">
        <v>100</v>
      </c>
      <c r="H14686" s="2">
        <v>213</v>
      </c>
      <c r="I14686" s="2">
        <v>1</v>
      </c>
      <c r="J14686" s="2">
        <v>639</v>
      </c>
      <c r="K14686" s="2">
        <v>24</v>
      </c>
      <c r="L14686" s="2">
        <v>236</v>
      </c>
    </row>
    <row r="14687" spans="1:12" x14ac:dyDescent="0.25">
      <c r="A14687" s="4" t="str">
        <f>HYPERLINK("http://www.rosaceae.org/Prunus/Prunus_persica/p.persica_gdr_reftransV1_0009752","p.persica_gdr_reftransV1_0009752")</f>
        <v>p.persica_gdr_reftransV1_0009752</v>
      </c>
      <c r="B14687" s="2">
        <v>1514</v>
      </c>
      <c r="C14687" s="4" t="str">
        <f>HYPERLINK("http://www.uniprot.org/uniprot/W9RVN5","W9RVN5")</f>
        <v>W9RVN5</v>
      </c>
      <c r="D14687" s="2" t="s">
        <v>11901</v>
      </c>
      <c r="E14687" s="3">
        <v>7.1900000000000001E-84</v>
      </c>
      <c r="F14687" s="2">
        <v>700</v>
      </c>
      <c r="G14687" s="2">
        <v>85</v>
      </c>
      <c r="H14687" s="2">
        <v>154</v>
      </c>
      <c r="I14687" s="2">
        <v>623</v>
      </c>
      <c r="J14687" s="2">
        <v>1084</v>
      </c>
      <c r="K14687" s="2">
        <v>41</v>
      </c>
      <c r="L14687" s="2">
        <v>194</v>
      </c>
    </row>
    <row r="14688" spans="1:12" x14ac:dyDescent="0.25">
      <c r="A14688" s="4" t="str">
        <f>HYPERLINK("http://www.rosaceae.org/Prunus/Prunus_persica/p.persica_gdr_reftransV1_0010102","p.persica_gdr_reftransV1_0010102")</f>
        <v>p.persica_gdr_reftransV1_0010102</v>
      </c>
      <c r="B14688" s="2">
        <v>1902</v>
      </c>
      <c r="C14688" s="4" t="str">
        <f>HYPERLINK("http://www.uniprot.org/uniprot/M5VQN4","M5VQN4")</f>
        <v>M5VQN4</v>
      </c>
      <c r="D14688" s="2" t="s">
        <v>11902</v>
      </c>
      <c r="E14688" s="3">
        <v>0</v>
      </c>
      <c r="F14688" s="2">
        <v>1876</v>
      </c>
      <c r="G14688" s="2">
        <v>100</v>
      </c>
      <c r="H14688" s="2">
        <v>363</v>
      </c>
      <c r="I14688" s="2">
        <v>326</v>
      </c>
      <c r="J14688" s="2">
        <v>1414</v>
      </c>
      <c r="K14688" s="2">
        <v>1</v>
      </c>
      <c r="L14688" s="2">
        <v>363</v>
      </c>
    </row>
    <row r="14689" spans="1:12" x14ac:dyDescent="0.25">
      <c r="A14689" s="4" t="str">
        <f>HYPERLINK("http://www.rosaceae.org/Prunus/Prunus_persica/p.persica_gdr_reftransV1_0010452","p.persica_gdr_reftransV1_0010452")</f>
        <v>p.persica_gdr_reftransV1_0010452</v>
      </c>
      <c r="B14689" s="2">
        <v>1237</v>
      </c>
      <c r="C14689" s="4" t="str">
        <f>HYPERLINK("http://www.uniprot.org/uniprot/M5VRC4","M5VRC4")</f>
        <v>M5VRC4</v>
      </c>
      <c r="D14689" s="2" t="s">
        <v>11903</v>
      </c>
      <c r="E14689" s="3">
        <v>1.44E-96</v>
      </c>
      <c r="F14689" s="2">
        <v>762</v>
      </c>
      <c r="G14689" s="2">
        <v>100</v>
      </c>
      <c r="H14689" s="2">
        <v>152</v>
      </c>
      <c r="I14689" s="2">
        <v>399</v>
      </c>
      <c r="J14689" s="2">
        <v>854</v>
      </c>
      <c r="K14689" s="2">
        <v>20</v>
      </c>
      <c r="L14689" s="2">
        <v>171</v>
      </c>
    </row>
    <row r="14690" spans="1:12" x14ac:dyDescent="0.25">
      <c r="A14690" s="4" t="str">
        <f>HYPERLINK("http://www.rosaceae.org/Prunus/Prunus_persica/p.persica_gdr_reftransV1_0011152","p.persica_gdr_reftransV1_0011152")</f>
        <v>p.persica_gdr_reftransV1_0011152</v>
      </c>
      <c r="B14690" s="2">
        <v>2391</v>
      </c>
      <c r="C14690" s="4" t="str">
        <f>HYPERLINK("http://www.uniprot.org/uniprot/M5WJS6","M5WJS6")</f>
        <v>M5WJS6</v>
      </c>
      <c r="D14690" s="2" t="s">
        <v>11800</v>
      </c>
      <c r="E14690" s="3">
        <v>0</v>
      </c>
      <c r="F14690" s="2">
        <v>2392</v>
      </c>
      <c r="G14690" s="2">
        <v>92</v>
      </c>
      <c r="H14690" s="2">
        <v>503</v>
      </c>
      <c r="I14690" s="2">
        <v>400</v>
      </c>
      <c r="J14690" s="2">
        <v>1902</v>
      </c>
      <c r="K14690" s="2">
        <v>51</v>
      </c>
      <c r="L14690" s="2">
        <v>553</v>
      </c>
    </row>
    <row r="14691" spans="1:12" x14ac:dyDescent="0.25">
      <c r="A14691" s="4" t="str">
        <f>HYPERLINK("http://www.rosaceae.org/Prunus/Prunus_persica/p.persica_gdr_reftransV1_0012552","p.persica_gdr_reftransV1_0012552")</f>
        <v>p.persica_gdr_reftransV1_0012552</v>
      </c>
      <c r="B14691" s="2">
        <v>1066</v>
      </c>
      <c r="C14691" s="4" t="str">
        <f>HYPERLINK("http://www.uniprot.org/uniprot/M5WKJ5","M5WKJ5")</f>
        <v>M5WKJ5</v>
      </c>
      <c r="D14691" s="2" t="s">
        <v>6321</v>
      </c>
      <c r="E14691" s="3">
        <v>1.8699999999999999E-70</v>
      </c>
      <c r="F14691" s="2">
        <v>580</v>
      </c>
      <c r="G14691" s="2">
        <v>100</v>
      </c>
      <c r="H14691" s="2">
        <v>133</v>
      </c>
      <c r="I14691" s="2">
        <v>522</v>
      </c>
      <c r="J14691" s="2">
        <v>920</v>
      </c>
      <c r="K14691" s="2">
        <v>1</v>
      </c>
      <c r="L14691" s="2">
        <v>133</v>
      </c>
    </row>
    <row r="14692" spans="1:12" x14ac:dyDescent="0.25">
      <c r="A14692" s="4" t="str">
        <f>HYPERLINK("http://www.rosaceae.org/Prunus/Prunus_persica/p.persica_gdr_reftransV1_0012902","p.persica_gdr_reftransV1_0012902")</f>
        <v>p.persica_gdr_reftransV1_0012902</v>
      </c>
      <c r="B14692" s="2">
        <v>3101</v>
      </c>
      <c r="C14692" s="4" t="str">
        <f>HYPERLINK("http://www.uniprot.org/uniprot/A0A067HE86","A0A067HE86")</f>
        <v>A0A067HE86</v>
      </c>
      <c r="D14692" s="2" t="s">
        <v>11904</v>
      </c>
      <c r="E14692" s="3">
        <v>1.8699999999999999E-59</v>
      </c>
      <c r="F14692" s="2">
        <v>536</v>
      </c>
      <c r="G14692" s="2">
        <v>94</v>
      </c>
      <c r="H14692" s="2">
        <v>105</v>
      </c>
      <c r="I14692" s="2">
        <v>1925</v>
      </c>
      <c r="J14692" s="2">
        <v>2239</v>
      </c>
      <c r="K14692" s="2">
        <v>42</v>
      </c>
      <c r="L14692" s="2">
        <v>146</v>
      </c>
    </row>
    <row r="14693" spans="1:12" x14ac:dyDescent="0.25">
      <c r="A14693" s="4" t="str">
        <f>HYPERLINK("http://www.rosaceae.org/Prunus/Prunus_persica/p.persica_gdr_reftransV1_0013952","p.persica_gdr_reftransV1_0013952")</f>
        <v>p.persica_gdr_reftransV1_0013952</v>
      </c>
      <c r="B14693" s="2">
        <v>4091</v>
      </c>
      <c r="C14693" s="4" t="str">
        <f>HYPERLINK("http://www.uniprot.org/uniprot/M5XL37","M5XL37")</f>
        <v>M5XL37</v>
      </c>
      <c r="D14693" s="2" t="s">
        <v>11905</v>
      </c>
      <c r="E14693" s="3">
        <v>0</v>
      </c>
      <c r="F14693" s="2">
        <v>6476</v>
      </c>
      <c r="G14693" s="2">
        <v>100</v>
      </c>
      <c r="H14693" s="2">
        <v>1196</v>
      </c>
      <c r="I14693" s="2">
        <v>194</v>
      </c>
      <c r="J14693" s="2">
        <v>3781</v>
      </c>
      <c r="K14693" s="2">
        <v>1</v>
      </c>
      <c r="L14693" s="2">
        <v>1196</v>
      </c>
    </row>
    <row r="14694" spans="1:12" x14ac:dyDescent="0.25">
      <c r="A14694" s="4" t="str">
        <f>HYPERLINK("http://www.rosaceae.org/Prunus/Prunus_persica/p.persica_gdr_reftransV1_0014652","p.persica_gdr_reftransV1_0014652")</f>
        <v>p.persica_gdr_reftransV1_0014652</v>
      </c>
      <c r="B14694" s="2">
        <v>2024</v>
      </c>
      <c r="C14694" s="4" t="str">
        <f>HYPERLINK("http://www.uniprot.org/uniprot/M5X263","M5X263")</f>
        <v>M5X263</v>
      </c>
      <c r="D14694" s="2" t="s">
        <v>11906</v>
      </c>
      <c r="E14694" s="3">
        <v>0</v>
      </c>
      <c r="F14694" s="2">
        <v>2447</v>
      </c>
      <c r="G14694" s="2">
        <v>99</v>
      </c>
      <c r="H14694" s="2">
        <v>523</v>
      </c>
      <c r="I14694" s="2">
        <v>383</v>
      </c>
      <c r="J14694" s="2">
        <v>1951</v>
      </c>
      <c r="K14694" s="2">
        <v>17</v>
      </c>
      <c r="L14694" s="2">
        <v>539</v>
      </c>
    </row>
    <row r="14695" spans="1:12" x14ac:dyDescent="0.25">
      <c r="A14695" s="4" t="str">
        <f>HYPERLINK("http://www.rosaceae.org/Prunus/Prunus_persica/p.persica_gdr_reftransV1_0015002","p.persica_gdr_reftransV1_0015002")</f>
        <v>p.persica_gdr_reftransV1_0015002</v>
      </c>
      <c r="B14695" s="2">
        <v>5744</v>
      </c>
      <c r="C14695" s="4" t="str">
        <f>HYPERLINK("http://www.uniprot.org/uniprot/M5WZP5","M5WZP5")</f>
        <v>M5WZP5</v>
      </c>
      <c r="D14695" s="2" t="s">
        <v>11907</v>
      </c>
      <c r="E14695" s="3">
        <v>0</v>
      </c>
      <c r="F14695" s="2">
        <v>3520</v>
      </c>
      <c r="G14695" s="2">
        <v>100</v>
      </c>
      <c r="H14695" s="2">
        <v>681</v>
      </c>
      <c r="I14695" s="2">
        <v>413</v>
      </c>
      <c r="J14695" s="2">
        <v>2455</v>
      </c>
      <c r="K14695" s="2">
        <v>13</v>
      </c>
      <c r="L14695" s="2">
        <v>693</v>
      </c>
    </row>
    <row r="14696" spans="1:12" x14ac:dyDescent="0.25">
      <c r="A14696" s="4" t="str">
        <f>HYPERLINK("http://www.rosaceae.org/Prunus/Prunus_persica/p.persica_gdr_reftransV1_0015352","p.persica_gdr_reftransV1_0015352")</f>
        <v>p.persica_gdr_reftransV1_0015352</v>
      </c>
      <c r="B14696" s="2">
        <v>1340</v>
      </c>
      <c r="C14696" s="4" t="str">
        <f>HYPERLINK("http://www.uniprot.org/uniprot/M5WIJ8","M5WIJ8")</f>
        <v>M5WIJ8</v>
      </c>
      <c r="D14696" s="2" t="s">
        <v>11908</v>
      </c>
      <c r="E14696" s="3">
        <v>2.4500000000000001E-178</v>
      </c>
      <c r="F14696" s="2">
        <v>1315</v>
      </c>
      <c r="G14696" s="2">
        <v>100</v>
      </c>
      <c r="H14696" s="2">
        <v>251</v>
      </c>
      <c r="I14696" s="2">
        <v>121</v>
      </c>
      <c r="J14696" s="2">
        <v>873</v>
      </c>
      <c r="K14696" s="2">
        <v>1</v>
      </c>
      <c r="L14696" s="2">
        <v>251</v>
      </c>
    </row>
    <row r="14697" spans="1:12" x14ac:dyDescent="0.25">
      <c r="A14697" s="4" t="str">
        <f>HYPERLINK("http://www.rosaceae.org/Prunus/Prunus_persica/p.persica_gdr_reftransV1_0016052","p.persica_gdr_reftransV1_0016052")</f>
        <v>p.persica_gdr_reftransV1_0016052</v>
      </c>
      <c r="B14697" s="2">
        <v>1568</v>
      </c>
      <c r="C14697" s="4" t="str">
        <f>HYPERLINK("http://www.uniprot.org/uniprot/M5VPB4","M5VPB4")</f>
        <v>M5VPB4</v>
      </c>
      <c r="D14697" s="2" t="s">
        <v>11909</v>
      </c>
      <c r="E14697" s="3">
        <v>9.3000000000000007E-115</v>
      </c>
      <c r="F14697" s="2">
        <v>900</v>
      </c>
      <c r="G14697" s="2">
        <v>100</v>
      </c>
      <c r="H14697" s="2">
        <v>172</v>
      </c>
      <c r="I14697" s="2">
        <v>830</v>
      </c>
      <c r="J14697" s="2">
        <v>1345</v>
      </c>
      <c r="K14697" s="2">
        <v>61</v>
      </c>
      <c r="L14697" s="2">
        <v>232</v>
      </c>
    </row>
    <row r="14698" spans="1:12" x14ac:dyDescent="0.25">
      <c r="A14698" s="4" t="str">
        <f>HYPERLINK("http://www.rosaceae.org/Prunus/Prunus_persica/p.persica_gdr_reftransV1_0016402","p.persica_gdr_reftransV1_0016402")</f>
        <v>p.persica_gdr_reftransV1_0016402</v>
      </c>
      <c r="B14698" s="2">
        <v>1559</v>
      </c>
      <c r="C14698" s="4" t="str">
        <f>HYPERLINK("http://www.uniprot.org/uniprot/M5Y0A3","M5Y0A3")</f>
        <v>M5Y0A3</v>
      </c>
      <c r="D14698" s="2" t="s">
        <v>11910</v>
      </c>
      <c r="E14698" s="3">
        <v>3.6799999999999999E-93</v>
      </c>
      <c r="F14698" s="2">
        <v>756</v>
      </c>
      <c r="G14698" s="2">
        <v>99</v>
      </c>
      <c r="H14698" s="2">
        <v>165</v>
      </c>
      <c r="I14698" s="2">
        <v>201</v>
      </c>
      <c r="J14698" s="2">
        <v>695</v>
      </c>
      <c r="K14698" s="2">
        <v>74</v>
      </c>
      <c r="L14698" s="2">
        <v>238</v>
      </c>
    </row>
    <row r="14699" spans="1:12" x14ac:dyDescent="0.25">
      <c r="A14699" s="4" t="str">
        <f>HYPERLINK("http://www.rosaceae.org/Prunus/Prunus_persica/p.persica_gdr_reftransV1_0017452","p.persica_gdr_reftransV1_0017452")</f>
        <v>p.persica_gdr_reftransV1_0017452</v>
      </c>
      <c r="B14699" s="2">
        <v>4225</v>
      </c>
      <c r="C14699" s="4" t="str">
        <f>HYPERLINK("http://www.uniprot.org/uniprot/M5Y473","M5Y473")</f>
        <v>M5Y473</v>
      </c>
      <c r="D14699" s="2" t="s">
        <v>11911</v>
      </c>
      <c r="E14699" s="3">
        <v>0</v>
      </c>
      <c r="F14699" s="2">
        <v>5199</v>
      </c>
      <c r="G14699" s="2">
        <v>100</v>
      </c>
      <c r="H14699" s="2">
        <v>1028</v>
      </c>
      <c r="I14699" s="2">
        <v>81</v>
      </c>
      <c r="J14699" s="2">
        <v>3164</v>
      </c>
      <c r="K14699" s="2">
        <v>1</v>
      </c>
      <c r="L14699" s="2">
        <v>1028</v>
      </c>
    </row>
    <row r="14700" spans="1:12" x14ac:dyDescent="0.25">
      <c r="A14700" s="4" t="str">
        <f>HYPERLINK("http://www.rosaceae.org/Prunus/Prunus_persica/p.persica_gdr_reftransV1_0017802","p.persica_gdr_reftransV1_0017802")</f>
        <v>p.persica_gdr_reftransV1_0017802</v>
      </c>
      <c r="B14700" s="2">
        <v>2513</v>
      </c>
      <c r="C14700" s="4" t="str">
        <f>HYPERLINK("http://www.uniprot.org/uniprot/M5WCK7","M5WCK7")</f>
        <v>M5WCK7</v>
      </c>
      <c r="D14700" s="2" t="s">
        <v>1278</v>
      </c>
      <c r="E14700" s="3">
        <v>0</v>
      </c>
      <c r="F14700" s="2">
        <v>3107</v>
      </c>
      <c r="G14700" s="2">
        <v>100</v>
      </c>
      <c r="H14700" s="2">
        <v>597</v>
      </c>
      <c r="I14700" s="2">
        <v>721</v>
      </c>
      <c r="J14700" s="2">
        <v>2511</v>
      </c>
      <c r="K14700" s="2">
        <v>1</v>
      </c>
      <c r="L14700" s="2">
        <v>597</v>
      </c>
    </row>
    <row r="14701" spans="1:12" x14ac:dyDescent="0.25">
      <c r="A14701" s="4" t="str">
        <f>HYPERLINK("http://www.rosaceae.org/Prunus/Prunus_persica/p.persica_gdr_reftransV1_0019202","p.persica_gdr_reftransV1_0019202")</f>
        <v>p.persica_gdr_reftransV1_0019202</v>
      </c>
      <c r="B14701" s="2">
        <v>3475</v>
      </c>
      <c r="C14701" s="4" t="str">
        <f>HYPERLINK("http://www.uniprot.org/uniprot/M5WFL7","M5WFL7")</f>
        <v>M5WFL7</v>
      </c>
      <c r="D14701" s="2" t="s">
        <v>11912</v>
      </c>
      <c r="E14701" s="3">
        <v>0</v>
      </c>
      <c r="F14701" s="2">
        <v>3272</v>
      </c>
      <c r="G14701" s="2">
        <v>100</v>
      </c>
      <c r="H14701" s="2">
        <v>685</v>
      </c>
      <c r="I14701" s="2">
        <v>253</v>
      </c>
      <c r="J14701" s="2">
        <v>2307</v>
      </c>
      <c r="K14701" s="2">
        <v>1</v>
      </c>
      <c r="L14701" s="2">
        <v>685</v>
      </c>
    </row>
    <row r="14702" spans="1:12" x14ac:dyDescent="0.25">
      <c r="A14702" s="4" t="str">
        <f>HYPERLINK("http://www.rosaceae.org/Prunus/Prunus_persica/p.persica_gdr_reftransV1_0021302","p.persica_gdr_reftransV1_0021302")</f>
        <v>p.persica_gdr_reftransV1_0021302</v>
      </c>
      <c r="B14702" s="2">
        <v>1533</v>
      </c>
      <c r="C14702" s="4" t="str">
        <f>HYPERLINK("http://www.uniprot.org/uniprot/M5WBW2","M5WBW2")</f>
        <v>M5WBW2</v>
      </c>
      <c r="D14702" s="2" t="s">
        <v>11913</v>
      </c>
      <c r="E14702" s="3">
        <v>2.1600000000000001E-100</v>
      </c>
      <c r="F14702" s="2">
        <v>812</v>
      </c>
      <c r="G14702" s="2">
        <v>100</v>
      </c>
      <c r="H14702" s="2">
        <v>178</v>
      </c>
      <c r="I14702" s="2">
        <v>889</v>
      </c>
      <c r="J14702" s="2">
        <v>1422</v>
      </c>
      <c r="K14702" s="2">
        <v>1</v>
      </c>
      <c r="L14702" s="2">
        <v>178</v>
      </c>
    </row>
    <row r="14703" spans="1:12" x14ac:dyDescent="0.25">
      <c r="A14703" s="4" t="str">
        <f>HYPERLINK("http://www.rosaceae.org/Prunus/Prunus_persica/p.persica_gdr_reftransV1_0021652","p.persica_gdr_reftransV1_0021652")</f>
        <v>p.persica_gdr_reftransV1_0021652</v>
      </c>
      <c r="B14703" s="2">
        <v>2825</v>
      </c>
      <c r="C14703" s="4" t="str">
        <f>HYPERLINK("http://www.uniprot.org/uniprot/M5XS24","M5XS24")</f>
        <v>M5XS24</v>
      </c>
      <c r="D14703" s="2" t="s">
        <v>11914</v>
      </c>
      <c r="E14703" s="3">
        <v>0</v>
      </c>
      <c r="F14703" s="2">
        <v>3594</v>
      </c>
      <c r="G14703" s="2">
        <v>100</v>
      </c>
      <c r="H14703" s="2">
        <v>698</v>
      </c>
      <c r="I14703" s="2">
        <v>318</v>
      </c>
      <c r="J14703" s="2">
        <v>2411</v>
      </c>
      <c r="K14703" s="2">
        <v>1</v>
      </c>
      <c r="L14703" s="2">
        <v>698</v>
      </c>
    </row>
    <row r="14704" spans="1:12" x14ac:dyDescent="0.25">
      <c r="A14704" s="4" t="str">
        <f>HYPERLINK("http://www.rosaceae.org/Prunus/Prunus_persica/p.persica_gdr_reftransV1_0025852","p.persica_gdr_reftransV1_0025852")</f>
        <v>p.persica_gdr_reftransV1_0025852</v>
      </c>
      <c r="B14704" s="2">
        <v>1440</v>
      </c>
      <c r="C14704" s="4" t="str">
        <f>HYPERLINK("http://www.uniprot.org/uniprot/M5WUD5","M5WUD5")</f>
        <v>M5WUD5</v>
      </c>
      <c r="D14704" s="2" t="s">
        <v>11915</v>
      </c>
      <c r="E14704" s="3">
        <v>0</v>
      </c>
      <c r="F14704" s="2">
        <v>1818</v>
      </c>
      <c r="G14704" s="2">
        <v>100</v>
      </c>
      <c r="H14704" s="2">
        <v>339</v>
      </c>
      <c r="I14704" s="2">
        <v>350</v>
      </c>
      <c r="J14704" s="2">
        <v>1366</v>
      </c>
      <c r="K14704" s="2">
        <v>1</v>
      </c>
      <c r="L14704" s="2">
        <v>338</v>
      </c>
    </row>
    <row r="14705" spans="1:12" x14ac:dyDescent="0.25">
      <c r="A14705" s="4" t="str">
        <f>HYPERLINK("http://www.rosaceae.org/Prunus/Prunus_persica/p.persica_gdr_reftransV1_0026202","p.persica_gdr_reftransV1_0026202")</f>
        <v>p.persica_gdr_reftransV1_0026202</v>
      </c>
      <c r="B14705" s="2">
        <v>3450</v>
      </c>
      <c r="C14705" s="4" t="str">
        <f>HYPERLINK("http://www.uniprot.org/uniprot/M5XLY8","M5XLY8")</f>
        <v>M5XLY8</v>
      </c>
      <c r="D14705" s="2" t="s">
        <v>11916</v>
      </c>
      <c r="E14705" s="3">
        <v>0</v>
      </c>
      <c r="F14705" s="2">
        <v>2471</v>
      </c>
      <c r="G14705" s="2">
        <v>100</v>
      </c>
      <c r="H14705" s="2">
        <v>496</v>
      </c>
      <c r="I14705" s="2">
        <v>1728</v>
      </c>
      <c r="J14705" s="2">
        <v>3215</v>
      </c>
      <c r="K14705" s="2">
        <v>1</v>
      </c>
      <c r="L14705" s="2">
        <v>496</v>
      </c>
    </row>
    <row r="14706" spans="1:12" x14ac:dyDescent="0.25">
      <c r="A14706" s="4" t="str">
        <f>HYPERLINK("http://www.rosaceae.org/Prunus/Prunus_persica/p.persica_gdr_reftransV1_0026552","p.persica_gdr_reftransV1_0026552")</f>
        <v>p.persica_gdr_reftransV1_0026552</v>
      </c>
      <c r="B14706" s="2">
        <v>1899</v>
      </c>
      <c r="C14706" s="4" t="str">
        <f>HYPERLINK("http://www.uniprot.org/uniprot/A0A067KUS4","A0A067KUS4")</f>
        <v>A0A067KUS4</v>
      </c>
      <c r="D14706" s="2" t="s">
        <v>9985</v>
      </c>
      <c r="E14706" s="3">
        <v>1.19E-94</v>
      </c>
      <c r="F14706" s="2">
        <v>776</v>
      </c>
      <c r="G14706" s="2">
        <v>70</v>
      </c>
      <c r="H14706" s="2">
        <v>252</v>
      </c>
      <c r="I14706" s="2">
        <v>196</v>
      </c>
      <c r="J14706" s="2">
        <v>948</v>
      </c>
      <c r="K14706" s="2">
        <v>2</v>
      </c>
      <c r="L14706" s="2">
        <v>250</v>
      </c>
    </row>
    <row r="14707" spans="1:12" x14ac:dyDescent="0.25">
      <c r="A14707" s="4" t="str">
        <f>HYPERLINK("http://www.rosaceae.org/Prunus/Prunus_persica/p.persica_gdr_reftransV1_0030402","p.persica_gdr_reftransV1_0030402")</f>
        <v>p.persica_gdr_reftransV1_0030402</v>
      </c>
      <c r="B14707" s="2">
        <v>4721</v>
      </c>
      <c r="C14707" s="4" t="str">
        <f>HYPERLINK("http://www.uniprot.org/uniprot/M5W836","M5W836")</f>
        <v>M5W836</v>
      </c>
      <c r="D14707" s="2" t="s">
        <v>11917</v>
      </c>
      <c r="E14707" s="3">
        <v>0</v>
      </c>
      <c r="F14707" s="2">
        <v>3781</v>
      </c>
      <c r="G14707" s="2">
        <v>100</v>
      </c>
      <c r="H14707" s="2">
        <v>758</v>
      </c>
      <c r="I14707" s="2">
        <v>2250</v>
      </c>
      <c r="J14707" s="2">
        <v>4523</v>
      </c>
      <c r="K14707" s="2">
        <v>1</v>
      </c>
      <c r="L14707" s="2">
        <v>758</v>
      </c>
    </row>
    <row r="14708" spans="1:12" x14ac:dyDescent="0.25">
      <c r="A14708" s="4" t="str">
        <f>HYPERLINK("http://www.rosaceae.org/Prunus/Prunus_persica/p.persica_gdr_reftransV1_0032502","p.persica_gdr_reftransV1_0032502")</f>
        <v>p.persica_gdr_reftransV1_0032502</v>
      </c>
      <c r="B14708" s="2">
        <v>1793</v>
      </c>
      <c r="C14708" s="4" t="str">
        <f>HYPERLINK("http://www.uniprot.org/uniprot/M5XD90","M5XD90")</f>
        <v>M5XD90</v>
      </c>
      <c r="D14708" s="2" t="s">
        <v>3110</v>
      </c>
      <c r="E14708" s="3">
        <v>2.0100000000000001E-122</v>
      </c>
      <c r="F14708" s="2">
        <v>977</v>
      </c>
      <c r="G14708" s="2">
        <v>100</v>
      </c>
      <c r="H14708" s="2">
        <v>199</v>
      </c>
      <c r="I14708" s="2">
        <v>2</v>
      </c>
      <c r="J14708" s="2">
        <v>598</v>
      </c>
      <c r="K14708" s="2">
        <v>1</v>
      </c>
      <c r="L14708" s="2">
        <v>199</v>
      </c>
    </row>
    <row r="14709" spans="1:12" x14ac:dyDescent="0.25">
      <c r="A14709" s="4" t="str">
        <f>HYPERLINK("http://www.rosaceae.org/Prunus/Prunus_persica/p.persica_gdr_reftransV1_0032852","p.persica_gdr_reftransV1_0032852")</f>
        <v>p.persica_gdr_reftransV1_0032852</v>
      </c>
      <c r="B14709" s="2">
        <v>1761</v>
      </c>
      <c r="C14709" s="4" t="str">
        <f>HYPERLINK("http://www.uniprot.org/uniprot/M5WIT3","M5WIT3")</f>
        <v>M5WIT3</v>
      </c>
      <c r="D14709" s="2" t="s">
        <v>11016</v>
      </c>
      <c r="E14709" s="3">
        <v>3.2400000000000002E-78</v>
      </c>
      <c r="F14709" s="2">
        <v>659</v>
      </c>
      <c r="G14709" s="2">
        <v>99</v>
      </c>
      <c r="H14709" s="2">
        <v>140</v>
      </c>
      <c r="I14709" s="2">
        <v>1017</v>
      </c>
      <c r="J14709" s="2">
        <v>1436</v>
      </c>
      <c r="K14709" s="2">
        <v>1</v>
      </c>
      <c r="L14709" s="2">
        <v>140</v>
      </c>
    </row>
    <row r="14710" spans="1:12" x14ac:dyDescent="0.25">
      <c r="A14710" s="4" t="str">
        <f>HYPERLINK("http://www.rosaceae.org/Prunus/Prunus_persica/p.persica_gdr_reftransV1_0033552","p.persica_gdr_reftransV1_0033552")</f>
        <v>p.persica_gdr_reftransV1_0033552</v>
      </c>
      <c r="B14710" s="2">
        <v>2582</v>
      </c>
      <c r="C14710" s="4" t="str">
        <f>HYPERLINK("http://www.uniprot.org/uniprot/M5XBU0","M5XBU0")</f>
        <v>M5XBU0</v>
      </c>
      <c r="D14710" s="2" t="s">
        <v>11918</v>
      </c>
      <c r="E14710" s="3">
        <v>3.4900000000000001E-103</v>
      </c>
      <c r="F14710" s="2">
        <v>859</v>
      </c>
      <c r="G14710" s="2">
        <v>99</v>
      </c>
      <c r="H14710" s="2">
        <v>183</v>
      </c>
      <c r="I14710" s="2">
        <v>106</v>
      </c>
      <c r="J14710" s="2">
        <v>654</v>
      </c>
      <c r="K14710" s="2">
        <v>1</v>
      </c>
      <c r="L14710" s="2">
        <v>183</v>
      </c>
    </row>
    <row r="14711" spans="1:12" x14ac:dyDescent="0.25">
      <c r="A14711" s="4" t="str">
        <f>HYPERLINK("http://www.rosaceae.org/Prunus/Prunus_persica/p.persica_gdr_reftransV1_0035652","p.persica_gdr_reftransV1_0035652")</f>
        <v>p.persica_gdr_reftransV1_0035652</v>
      </c>
      <c r="B14711" s="2">
        <v>1810</v>
      </c>
      <c r="C14711" s="4" t="str">
        <f>HYPERLINK("http://www.uniprot.org/uniprot/M5VVH4","M5VVH4")</f>
        <v>M5VVH4</v>
      </c>
      <c r="D14711" s="2" t="s">
        <v>11919</v>
      </c>
      <c r="E14711" s="3">
        <v>0</v>
      </c>
      <c r="F14711" s="2">
        <v>2395</v>
      </c>
      <c r="G14711" s="2">
        <v>100</v>
      </c>
      <c r="H14711" s="2">
        <v>470</v>
      </c>
      <c r="I14711" s="2">
        <v>1</v>
      </c>
      <c r="J14711" s="2">
        <v>1410</v>
      </c>
      <c r="K14711" s="2">
        <v>1</v>
      </c>
      <c r="L14711" s="2">
        <v>470</v>
      </c>
    </row>
    <row r="14712" spans="1:12" x14ac:dyDescent="0.25">
      <c r="A14712" s="4" t="str">
        <f>HYPERLINK("http://www.rosaceae.org/Prunus/Prunus_persica/p.persica_gdr_reftransV1_0036002","p.persica_gdr_reftransV1_0036002")</f>
        <v>p.persica_gdr_reftransV1_0036002</v>
      </c>
      <c r="B14712" s="2">
        <v>802</v>
      </c>
      <c r="C14712" s="4" t="str">
        <f>HYPERLINK("http://www.uniprot.org/uniprot/M5W189","M5W189")</f>
        <v>M5W189</v>
      </c>
      <c r="D14712" s="2" t="s">
        <v>11920</v>
      </c>
      <c r="E14712" s="3">
        <v>6.8100000000000002E-125</v>
      </c>
      <c r="F14712" s="2">
        <v>937</v>
      </c>
      <c r="G14712" s="2">
        <v>100</v>
      </c>
      <c r="H14712" s="2">
        <v>174</v>
      </c>
      <c r="I14712" s="2">
        <v>42</v>
      </c>
      <c r="J14712" s="2">
        <v>563</v>
      </c>
      <c r="K14712" s="2">
        <v>1</v>
      </c>
      <c r="L14712" s="2">
        <v>174</v>
      </c>
    </row>
    <row r="14713" spans="1:12" x14ac:dyDescent="0.25">
      <c r="A14713" s="4" t="str">
        <f>HYPERLINK("http://www.rosaceae.org/Prunus/Prunus_persica/p.persica_gdr_reftransV1_0038102","p.persica_gdr_reftransV1_0038102")</f>
        <v>p.persica_gdr_reftransV1_0038102</v>
      </c>
      <c r="B14713" s="2">
        <v>3800</v>
      </c>
      <c r="C14713" s="4" t="str">
        <f>HYPERLINK("http://www.uniprot.org/uniprot/M5XQS0","M5XQS0")</f>
        <v>M5XQS0</v>
      </c>
      <c r="D14713" s="2" t="s">
        <v>11921</v>
      </c>
      <c r="E14713" s="3">
        <v>0</v>
      </c>
      <c r="F14713" s="2">
        <v>5069</v>
      </c>
      <c r="G14713" s="2">
        <v>97</v>
      </c>
      <c r="H14713" s="2">
        <v>1018</v>
      </c>
      <c r="I14713" s="2">
        <v>278</v>
      </c>
      <c r="J14713" s="2">
        <v>3325</v>
      </c>
      <c r="K14713" s="2">
        <v>57</v>
      </c>
      <c r="L14713" s="2">
        <v>1071</v>
      </c>
    </row>
    <row r="14714" spans="1:12" x14ac:dyDescent="0.25">
      <c r="A14714" s="4" t="str">
        <f>HYPERLINK("http://www.rosaceae.org/Prunus/Prunus_persica/p.persica_gdr_reftransV1_0039152","p.persica_gdr_reftransV1_0039152")</f>
        <v>p.persica_gdr_reftransV1_0039152</v>
      </c>
      <c r="B14714" s="2">
        <v>2181</v>
      </c>
      <c r="C14714" s="4" t="str">
        <f>HYPERLINK("http://www.uniprot.org/uniprot/M5XEH8","M5XEH8")</f>
        <v>M5XEH8</v>
      </c>
      <c r="D14714" s="2" t="s">
        <v>11922</v>
      </c>
      <c r="E14714" s="3">
        <v>0</v>
      </c>
      <c r="F14714" s="2">
        <v>1384</v>
      </c>
      <c r="G14714" s="2">
        <v>100</v>
      </c>
      <c r="H14714" s="2">
        <v>341</v>
      </c>
      <c r="I14714" s="2">
        <v>1152</v>
      </c>
      <c r="J14714" s="2">
        <v>2174</v>
      </c>
      <c r="K14714" s="2">
        <v>1</v>
      </c>
      <c r="L14714" s="2">
        <v>341</v>
      </c>
    </row>
    <row r="14715" spans="1:12" x14ac:dyDescent="0.25">
      <c r="A14715" s="4" t="str">
        <f>HYPERLINK("http://www.rosaceae.org/Prunus/Prunus_persica/p.persica_gdr_reftransV1_0040202","p.persica_gdr_reftransV1_0040202")</f>
        <v>p.persica_gdr_reftransV1_0040202</v>
      </c>
      <c r="B14715" s="2">
        <v>1278</v>
      </c>
      <c r="C14715" s="4" t="str">
        <f>HYPERLINK("http://www.uniprot.org/uniprot/M5Y016","M5Y016")</f>
        <v>M5Y016</v>
      </c>
      <c r="D14715" s="2" t="s">
        <v>11280</v>
      </c>
      <c r="E14715" s="3">
        <v>5.1499999999999995E-94</v>
      </c>
      <c r="F14715" s="2">
        <v>754</v>
      </c>
      <c r="G14715" s="2">
        <v>97</v>
      </c>
      <c r="H14715" s="2">
        <v>173</v>
      </c>
      <c r="I14715" s="2">
        <v>96</v>
      </c>
      <c r="J14715" s="2">
        <v>614</v>
      </c>
      <c r="K14715" s="2">
        <v>15</v>
      </c>
      <c r="L14715" s="2">
        <v>182</v>
      </c>
    </row>
    <row r="14716" spans="1:12" x14ac:dyDescent="0.25">
      <c r="A14716" s="4" t="str">
        <f>HYPERLINK("http://www.rosaceae.org/Prunus/Prunus_persica/p.persica_gdr_reftransV1_0040552","p.persica_gdr_reftransV1_0040552")</f>
        <v>p.persica_gdr_reftransV1_0040552</v>
      </c>
      <c r="B14716" s="2">
        <v>1429</v>
      </c>
      <c r="C14716" s="4" t="str">
        <f>HYPERLINK("http://www.uniprot.org/uniprot/M5WT59","M5WT59")</f>
        <v>M5WT59</v>
      </c>
      <c r="D14716" s="2" t="s">
        <v>1265</v>
      </c>
      <c r="E14716" s="3">
        <v>4.2299999999999999E-166</v>
      </c>
      <c r="F14716" s="2">
        <v>1244</v>
      </c>
      <c r="G14716" s="2">
        <v>100</v>
      </c>
      <c r="H14716" s="2">
        <v>321</v>
      </c>
      <c r="I14716" s="2">
        <v>153</v>
      </c>
      <c r="J14716" s="2">
        <v>1115</v>
      </c>
      <c r="K14716" s="2">
        <v>1</v>
      </c>
      <c r="L14716" s="2">
        <v>321</v>
      </c>
    </row>
    <row r="14717" spans="1:12" x14ac:dyDescent="0.25">
      <c r="A14717" s="4" t="str">
        <f>HYPERLINK("http://www.rosaceae.org/Prunus/Prunus_persica/p.persica_gdr_reftransV1_0041602","p.persica_gdr_reftransV1_0041602")</f>
        <v>p.persica_gdr_reftransV1_0041602</v>
      </c>
      <c r="B14717" s="2">
        <v>6312</v>
      </c>
      <c r="C14717" s="4" t="str">
        <f>HYPERLINK("http://www.uniprot.org/uniprot/M5VVS1","M5VVS1")</f>
        <v>M5VVS1</v>
      </c>
      <c r="D14717" s="2" t="s">
        <v>9018</v>
      </c>
      <c r="E14717" s="3">
        <v>0</v>
      </c>
      <c r="F14717" s="2">
        <v>3644</v>
      </c>
      <c r="G14717" s="2">
        <v>100</v>
      </c>
      <c r="H14717" s="2">
        <v>739</v>
      </c>
      <c r="I14717" s="2">
        <v>2862</v>
      </c>
      <c r="J14717" s="2">
        <v>5078</v>
      </c>
      <c r="K14717" s="2">
        <v>682</v>
      </c>
      <c r="L14717" s="2">
        <v>1420</v>
      </c>
    </row>
    <row r="14718" spans="1:12" x14ac:dyDescent="0.25">
      <c r="A14718" s="4" t="str">
        <f>HYPERLINK("http://www.rosaceae.org/Prunus/Prunus_persica/p.persica_gdr_reftransV1_0043352","p.persica_gdr_reftransV1_0043352")</f>
        <v>p.persica_gdr_reftransV1_0043352</v>
      </c>
      <c r="B14718" s="2">
        <v>486</v>
      </c>
      <c r="C14718" s="4" t="str">
        <f>HYPERLINK("http://www.uniprot.org/uniprot/A0A0C3RJ88","A0A0C3RJ88")</f>
        <v>A0A0C3RJ88</v>
      </c>
      <c r="D14718" s="2" t="s">
        <v>11923</v>
      </c>
      <c r="E14718" s="3">
        <v>5.5600000000000004E-10</v>
      </c>
      <c r="F14718" s="2">
        <v>150</v>
      </c>
      <c r="G14718" s="2">
        <v>66</v>
      </c>
      <c r="H14718" s="2">
        <v>58</v>
      </c>
      <c r="I14718" s="2">
        <v>154</v>
      </c>
      <c r="J14718" s="2">
        <v>306</v>
      </c>
      <c r="K14718" s="2">
        <v>10</v>
      </c>
      <c r="L14718" s="2">
        <v>67</v>
      </c>
    </row>
    <row r="14719" spans="1:12" x14ac:dyDescent="0.25">
      <c r="A14719" s="4" t="str">
        <f>HYPERLINK("http://www.rosaceae.org/Prunus/Prunus_persica/p.persica_gdr_reftransV1_0043702","p.persica_gdr_reftransV1_0043702")</f>
        <v>p.persica_gdr_reftransV1_0043702</v>
      </c>
      <c r="B14719" s="2">
        <v>1736</v>
      </c>
      <c r="C14719" s="4" t="str">
        <f>HYPERLINK("http://www.uniprot.org/uniprot/M5WAS8","M5WAS8")</f>
        <v>M5WAS8</v>
      </c>
      <c r="D14719" s="2" t="s">
        <v>11924</v>
      </c>
      <c r="E14719" s="3">
        <v>0</v>
      </c>
      <c r="F14719" s="2">
        <v>979</v>
      </c>
      <c r="G14719" s="2">
        <v>98</v>
      </c>
      <c r="H14719" s="2">
        <v>210</v>
      </c>
      <c r="I14719" s="2">
        <v>732</v>
      </c>
      <c r="J14719" s="2">
        <v>1361</v>
      </c>
      <c r="K14719" s="2">
        <v>252</v>
      </c>
      <c r="L14719" s="2">
        <v>461</v>
      </c>
    </row>
    <row r="14720" spans="1:12" x14ac:dyDescent="0.25">
      <c r="A14720" s="4" t="str">
        <f>HYPERLINK("http://www.rosaceae.org/Prunus/Prunus_persica/p.persica_gdr_reftransV1_0044052","p.persica_gdr_reftransV1_0044052")</f>
        <v>p.persica_gdr_reftransV1_0044052</v>
      </c>
      <c r="B14720" s="2">
        <v>786</v>
      </c>
      <c r="C14720" s="4" t="str">
        <f>HYPERLINK("http://www.uniprot.org/uniprot/M5W4T2","M5W4T2")</f>
        <v>M5W4T2</v>
      </c>
      <c r="D14720" s="2" t="s">
        <v>11830</v>
      </c>
      <c r="E14720" s="3">
        <v>7.8499999999999998E-167</v>
      </c>
      <c r="F14720" s="2">
        <v>1260</v>
      </c>
      <c r="G14720" s="2">
        <v>100</v>
      </c>
      <c r="H14720" s="2">
        <v>256</v>
      </c>
      <c r="I14720" s="2">
        <v>17</v>
      </c>
      <c r="J14720" s="2">
        <v>784</v>
      </c>
      <c r="K14720" s="2">
        <v>1</v>
      </c>
      <c r="L14720" s="2">
        <v>256</v>
      </c>
    </row>
    <row r="14721" spans="1:12" x14ac:dyDescent="0.25">
      <c r="A14721" s="4" t="str">
        <f>HYPERLINK("http://www.rosaceae.org/Prunus/Prunus_persica/p.persica_gdr_reftransV1_0044402","p.persica_gdr_reftransV1_0044402")</f>
        <v>p.persica_gdr_reftransV1_0044402</v>
      </c>
      <c r="B14721" s="2">
        <v>1028</v>
      </c>
      <c r="C14721" s="4" t="str">
        <f>HYPERLINK("http://www.uniprot.org/uniprot/M5WIG5","M5WIG5")</f>
        <v>M5WIG5</v>
      </c>
      <c r="D14721" s="2" t="s">
        <v>11925</v>
      </c>
      <c r="E14721" s="3">
        <v>0</v>
      </c>
      <c r="F14721" s="2">
        <v>1365</v>
      </c>
      <c r="G14721" s="2">
        <v>100</v>
      </c>
      <c r="H14721" s="2">
        <v>253</v>
      </c>
      <c r="I14721" s="2">
        <v>117</v>
      </c>
      <c r="J14721" s="2">
        <v>875</v>
      </c>
      <c r="K14721" s="2">
        <v>22</v>
      </c>
      <c r="L14721" s="2">
        <v>274</v>
      </c>
    </row>
    <row r="14722" spans="1:12" x14ac:dyDescent="0.25">
      <c r="A14722" s="4" t="str">
        <f>HYPERLINK("http://www.rosaceae.org/Prunus/Prunus_persica/p.persica_gdr_reftransV1_0044752","p.persica_gdr_reftransV1_0044752")</f>
        <v>p.persica_gdr_reftransV1_0044752</v>
      </c>
      <c r="B14722" s="2">
        <v>585</v>
      </c>
      <c r="C14722" s="4" t="str">
        <f>HYPERLINK("http://www.uniprot.org/uniprot/M5Y381","M5Y381")</f>
        <v>M5Y381</v>
      </c>
      <c r="D14722" s="2" t="s">
        <v>11926</v>
      </c>
      <c r="E14722" s="3">
        <v>2.3100000000000001E-80</v>
      </c>
      <c r="F14722" s="2">
        <v>632</v>
      </c>
      <c r="G14722" s="2">
        <v>100</v>
      </c>
      <c r="H14722" s="2">
        <v>121</v>
      </c>
      <c r="I14722" s="2">
        <v>187</v>
      </c>
      <c r="J14722" s="2">
        <v>549</v>
      </c>
      <c r="K14722" s="2">
        <v>31</v>
      </c>
      <c r="L14722" s="2">
        <v>151</v>
      </c>
    </row>
    <row r="14723" spans="1:12" x14ac:dyDescent="0.25">
      <c r="A14723" s="4" t="str">
        <f>HYPERLINK("http://www.rosaceae.org/Prunus/Prunus_persica/p.persica_gdr_reftransV1_0045102","p.persica_gdr_reftransV1_0045102")</f>
        <v>p.persica_gdr_reftransV1_0045102</v>
      </c>
      <c r="B14723" s="2">
        <v>554</v>
      </c>
      <c r="C14723" s="4" t="str">
        <f>HYPERLINK("http://www.uniprot.org/uniprot/M5X2Z2","M5X2Z2")</f>
        <v>M5X2Z2</v>
      </c>
      <c r="D14723" s="2" t="s">
        <v>5193</v>
      </c>
      <c r="E14723" s="3">
        <v>1.6000000000000001E-41</v>
      </c>
      <c r="F14723" s="2">
        <v>366</v>
      </c>
      <c r="G14723" s="2">
        <v>100</v>
      </c>
      <c r="H14723" s="2">
        <v>70</v>
      </c>
      <c r="I14723" s="2">
        <v>305</v>
      </c>
      <c r="J14723" s="2">
        <v>514</v>
      </c>
      <c r="K14723" s="2">
        <v>1</v>
      </c>
      <c r="L14723" s="2">
        <v>70</v>
      </c>
    </row>
    <row r="14724" spans="1:12" x14ac:dyDescent="0.25">
      <c r="A14724" s="4" t="str">
        <f>HYPERLINK("http://www.rosaceae.org/Prunus/Prunus_persica/p.persica_gdr_reftransV1_0046152","p.persica_gdr_reftransV1_0046152")</f>
        <v>p.persica_gdr_reftransV1_0046152</v>
      </c>
      <c r="B14724" s="2">
        <v>1597</v>
      </c>
      <c r="C14724" s="4" t="str">
        <f>HYPERLINK("http://www.uniprot.org/uniprot/M5VIX9","M5VIX9")</f>
        <v>M5VIX9</v>
      </c>
      <c r="D14724" s="2" t="s">
        <v>11927</v>
      </c>
      <c r="E14724" s="3">
        <v>0</v>
      </c>
      <c r="F14724" s="2">
        <v>2255</v>
      </c>
      <c r="G14724" s="2">
        <v>97</v>
      </c>
      <c r="H14724" s="2">
        <v>459</v>
      </c>
      <c r="I14724" s="2">
        <v>84</v>
      </c>
      <c r="J14724" s="2">
        <v>1460</v>
      </c>
      <c r="K14724" s="2">
        <v>1</v>
      </c>
      <c r="L14724" s="2">
        <v>459</v>
      </c>
    </row>
    <row r="14725" spans="1:12" x14ac:dyDescent="0.25">
      <c r="A14725" s="4" t="str">
        <f>HYPERLINK("http://www.rosaceae.org/Prunus/Prunus_persica/p.persica_gdr_reftransV1_0046502","p.persica_gdr_reftransV1_0046502")</f>
        <v>p.persica_gdr_reftransV1_0046502</v>
      </c>
      <c r="B14725" s="2">
        <v>1078</v>
      </c>
      <c r="C14725" s="4" t="str">
        <f>HYPERLINK("http://www.uniprot.org/uniprot/M5XQQ2","M5XQQ2")</f>
        <v>M5XQQ2</v>
      </c>
      <c r="D14725" s="2" t="s">
        <v>8464</v>
      </c>
      <c r="E14725" s="3">
        <v>1.1699999999999999E-140</v>
      </c>
      <c r="F14725" s="2">
        <v>1134</v>
      </c>
      <c r="G14725" s="2">
        <v>94</v>
      </c>
      <c r="H14725" s="2">
        <v>259</v>
      </c>
      <c r="I14725" s="2">
        <v>301</v>
      </c>
      <c r="J14725" s="2">
        <v>1077</v>
      </c>
      <c r="K14725" s="2">
        <v>967</v>
      </c>
      <c r="L14725" s="2">
        <v>1225</v>
      </c>
    </row>
    <row r="14726" spans="1:12" x14ac:dyDescent="0.25">
      <c r="A14726" s="4" t="str">
        <f>HYPERLINK("http://www.rosaceae.org/Prunus/Prunus_persica/p.persica_gdr_reftransV1_0046852","p.persica_gdr_reftransV1_0046852")</f>
        <v>p.persica_gdr_reftransV1_0046852</v>
      </c>
      <c r="B14726" s="2">
        <v>1215</v>
      </c>
      <c r="C14726" s="4" t="str">
        <f>HYPERLINK("http://www.uniprot.org/uniprot/M5XD28","M5XD28")</f>
        <v>M5XD28</v>
      </c>
      <c r="D14726" s="2" t="s">
        <v>7572</v>
      </c>
      <c r="E14726" s="3">
        <v>0</v>
      </c>
      <c r="F14726" s="2">
        <v>1365</v>
      </c>
      <c r="G14726" s="2">
        <v>100</v>
      </c>
      <c r="H14726" s="2">
        <v>255</v>
      </c>
      <c r="I14726" s="2">
        <v>451</v>
      </c>
      <c r="J14726" s="2">
        <v>1215</v>
      </c>
      <c r="K14726" s="2">
        <v>190</v>
      </c>
      <c r="L14726" s="2">
        <v>444</v>
      </c>
    </row>
    <row r="14727" spans="1:12" x14ac:dyDescent="0.25">
      <c r="A14727" s="4" t="str">
        <f>HYPERLINK("http://www.rosaceae.org/Prunus/Prunus_persica/p.persica_gdr_reftransV1_0047202","p.persica_gdr_reftransV1_0047202")</f>
        <v>p.persica_gdr_reftransV1_0047202</v>
      </c>
      <c r="B14727" s="2">
        <v>1725</v>
      </c>
      <c r="C14727" s="4" t="str">
        <f>HYPERLINK("http://www.uniprot.org/uniprot/M5X1G7","M5X1G7")</f>
        <v>M5X1G7</v>
      </c>
      <c r="D14727" s="2" t="s">
        <v>3411</v>
      </c>
      <c r="E14727" s="3">
        <v>0</v>
      </c>
      <c r="F14727" s="2">
        <v>1932</v>
      </c>
      <c r="G14727" s="2">
        <v>91</v>
      </c>
      <c r="H14727" s="2">
        <v>417</v>
      </c>
      <c r="I14727" s="2">
        <v>64</v>
      </c>
      <c r="J14727" s="2">
        <v>1314</v>
      </c>
      <c r="K14727" s="2">
        <v>1</v>
      </c>
      <c r="L14727" s="2">
        <v>383</v>
      </c>
    </row>
    <row r="14728" spans="1:12" x14ac:dyDescent="0.25">
      <c r="A14728" s="4" t="str">
        <f>HYPERLINK("http://www.rosaceae.org/Prunus/Prunus_persica/p.persica_gdr_reftransV1_0047552","p.persica_gdr_reftransV1_0047552")</f>
        <v>p.persica_gdr_reftransV1_0047552</v>
      </c>
      <c r="B14728" s="2">
        <v>2378</v>
      </c>
      <c r="C14728" s="4" t="str">
        <f>HYPERLINK("http://www.uniprot.org/uniprot/M5W8F7","M5W8F7")</f>
        <v>M5W8F7</v>
      </c>
      <c r="D14728" s="2" t="s">
        <v>11928</v>
      </c>
      <c r="E14728" s="3">
        <v>0</v>
      </c>
      <c r="F14728" s="2">
        <v>2285</v>
      </c>
      <c r="G14728" s="2">
        <v>100</v>
      </c>
      <c r="H14728" s="2">
        <v>430</v>
      </c>
      <c r="I14728" s="2">
        <v>185</v>
      </c>
      <c r="J14728" s="2">
        <v>1474</v>
      </c>
      <c r="K14728" s="2">
        <v>1</v>
      </c>
      <c r="L14728" s="2">
        <v>430</v>
      </c>
    </row>
    <row r="14729" spans="1:12" x14ac:dyDescent="0.25">
      <c r="A14729" s="4" t="str">
        <f>HYPERLINK("http://www.rosaceae.org/Prunus/Prunus_persica/p.persica_gdr_reftransV1_0048602","p.persica_gdr_reftransV1_0048602")</f>
        <v>p.persica_gdr_reftransV1_0048602</v>
      </c>
      <c r="B14729" s="2">
        <v>318</v>
      </c>
      <c r="C14729" s="4" t="str">
        <f>HYPERLINK("http://www.uniprot.org/uniprot/M5Y3K0","M5Y3K0")</f>
        <v>M5Y3K0</v>
      </c>
      <c r="D14729" s="2" t="s">
        <v>11929</v>
      </c>
      <c r="E14729" s="3">
        <v>6.2400000000000004E-47</v>
      </c>
      <c r="F14729" s="2">
        <v>427</v>
      </c>
      <c r="G14729" s="2">
        <v>93</v>
      </c>
      <c r="H14729" s="2">
        <v>82</v>
      </c>
      <c r="I14729" s="2">
        <v>71</v>
      </c>
      <c r="J14729" s="2">
        <v>316</v>
      </c>
      <c r="K14729" s="2">
        <v>558</v>
      </c>
      <c r="L14729" s="2">
        <v>639</v>
      </c>
    </row>
    <row r="14730" spans="1:12" x14ac:dyDescent="0.25">
      <c r="A14730" s="4" t="str">
        <f>HYPERLINK("http://www.rosaceae.org/Prunus/Prunus_persica/p.persica_gdr_reftransV1_0048952","p.persica_gdr_reftransV1_0048952")</f>
        <v>p.persica_gdr_reftransV1_0048952</v>
      </c>
      <c r="B14730" s="2">
        <v>1779</v>
      </c>
      <c r="C14730" s="4" t="str">
        <f>HYPERLINK("http://www.uniprot.org/uniprot/D2X5K2","D2X5K2")</f>
        <v>D2X5K2</v>
      </c>
      <c r="D14730" s="2" t="s">
        <v>2188</v>
      </c>
      <c r="E14730" s="3">
        <v>0</v>
      </c>
      <c r="F14730" s="2">
        <v>2183</v>
      </c>
      <c r="G14730" s="2">
        <v>100</v>
      </c>
      <c r="H14730" s="2">
        <v>410</v>
      </c>
      <c r="I14730" s="2">
        <v>395</v>
      </c>
      <c r="J14730" s="2">
        <v>1624</v>
      </c>
      <c r="K14730" s="2">
        <v>1</v>
      </c>
      <c r="L14730" s="2">
        <v>410</v>
      </c>
    </row>
    <row r="14731" spans="1:12" x14ac:dyDescent="0.25">
      <c r="A14731" s="4" t="str">
        <f>HYPERLINK("http://www.rosaceae.org/Prunus/Prunus_persica/p.persica_gdr_reftransV1_0001003","p.persica_gdr_reftransV1_0001003")</f>
        <v>p.persica_gdr_reftransV1_0001003</v>
      </c>
      <c r="B14731" s="2">
        <v>2337</v>
      </c>
      <c r="C14731" s="4" t="str">
        <f>HYPERLINK("http://www.uniprot.org/uniprot/M5Y836","M5Y836")</f>
        <v>M5Y836</v>
      </c>
      <c r="D14731" s="2" t="s">
        <v>11930</v>
      </c>
      <c r="E14731" s="3">
        <v>0</v>
      </c>
      <c r="F14731" s="2">
        <v>3088</v>
      </c>
      <c r="G14731" s="2">
        <v>99</v>
      </c>
      <c r="H14731" s="2">
        <v>654</v>
      </c>
      <c r="I14731" s="2">
        <v>228</v>
      </c>
      <c r="J14731" s="2">
        <v>2189</v>
      </c>
      <c r="K14731" s="2">
        <v>1</v>
      </c>
      <c r="L14731" s="2">
        <v>650</v>
      </c>
    </row>
    <row r="14732" spans="1:12" x14ac:dyDescent="0.25">
      <c r="A14732" s="4" t="str">
        <f>HYPERLINK("http://www.rosaceae.org/Prunus/Prunus_persica/p.persica_gdr_reftransV1_0001353","p.persica_gdr_reftransV1_0001353")</f>
        <v>p.persica_gdr_reftransV1_0001353</v>
      </c>
      <c r="B14732" s="2">
        <v>2766</v>
      </c>
      <c r="C14732" s="4" t="str">
        <f>HYPERLINK("http://www.uniprot.org/uniprot/A4QJM9","A4QJM9")</f>
        <v>A4QJM9</v>
      </c>
      <c r="D14732" s="2" t="s">
        <v>11931</v>
      </c>
      <c r="E14732" s="3">
        <v>1.15E-136</v>
      </c>
      <c r="F14732" s="2">
        <v>1076</v>
      </c>
      <c r="G14732" s="2">
        <v>99</v>
      </c>
      <c r="H14732" s="2">
        <v>215</v>
      </c>
      <c r="I14732" s="2">
        <v>632</v>
      </c>
      <c r="J14732" s="2">
        <v>1276</v>
      </c>
      <c r="K14732" s="2">
        <v>1</v>
      </c>
      <c r="L14732" s="2">
        <v>215</v>
      </c>
    </row>
    <row r="14733" spans="1:12" x14ac:dyDescent="0.25">
      <c r="A14733" s="4" t="str">
        <f>HYPERLINK("http://www.rosaceae.org/Prunus/Prunus_persica/p.persica_gdr_reftransV1_0001703","p.persica_gdr_reftransV1_0001703")</f>
        <v>p.persica_gdr_reftransV1_0001703</v>
      </c>
      <c r="B14733" s="2">
        <v>2811</v>
      </c>
      <c r="C14733" s="4" t="str">
        <f>HYPERLINK("http://www.uniprot.org/uniprot/A0A075F4R2","A0A075F4R2")</f>
        <v>A0A075F4R2</v>
      </c>
      <c r="D14733" s="2" t="s">
        <v>10387</v>
      </c>
      <c r="E14733" s="3">
        <v>0</v>
      </c>
      <c r="F14733" s="2">
        <v>3184</v>
      </c>
      <c r="G14733" s="2">
        <v>100</v>
      </c>
      <c r="H14733" s="2">
        <v>704</v>
      </c>
      <c r="I14733" s="2">
        <v>90</v>
      </c>
      <c r="J14733" s="2">
        <v>2201</v>
      </c>
      <c r="K14733" s="2">
        <v>1</v>
      </c>
      <c r="L14733" s="2">
        <v>704</v>
      </c>
    </row>
    <row r="14734" spans="1:12" x14ac:dyDescent="0.25">
      <c r="A14734" s="4" t="str">
        <f>HYPERLINK("http://www.rosaceae.org/Prunus/Prunus_persica/p.persica_gdr_reftransV1_0002053","p.persica_gdr_reftransV1_0002053")</f>
        <v>p.persica_gdr_reftransV1_0002053</v>
      </c>
      <c r="B14734" s="2">
        <v>747</v>
      </c>
      <c r="C14734" s="4" t="str">
        <f>HYPERLINK("http://www.uniprot.org/uniprot/M5VM39","M5VM39")</f>
        <v>M5VM39</v>
      </c>
      <c r="D14734" s="2" t="s">
        <v>11608</v>
      </c>
      <c r="E14734" s="3">
        <v>1.0899999999999999E-109</v>
      </c>
      <c r="F14734" s="2">
        <v>859</v>
      </c>
      <c r="G14734" s="2">
        <v>98</v>
      </c>
      <c r="H14734" s="2">
        <v>176</v>
      </c>
      <c r="I14734" s="2">
        <v>3</v>
      </c>
      <c r="J14734" s="2">
        <v>530</v>
      </c>
      <c r="K14734" s="2">
        <v>1</v>
      </c>
      <c r="L14734" s="2">
        <v>176</v>
      </c>
    </row>
    <row r="14735" spans="1:12" x14ac:dyDescent="0.25">
      <c r="A14735" s="4" t="str">
        <f>HYPERLINK("http://www.rosaceae.org/Prunus/Prunus_persica/p.persica_gdr_reftransV1_0003103","p.persica_gdr_reftransV1_0003103")</f>
        <v>p.persica_gdr_reftransV1_0003103</v>
      </c>
      <c r="B14735" s="2">
        <v>764</v>
      </c>
      <c r="C14735" s="4" t="str">
        <f>HYPERLINK("http://www.uniprot.org/uniprot/A0A059BYF4","A0A059BYF4")</f>
        <v>A0A059BYF4</v>
      </c>
      <c r="D14735" s="2" t="s">
        <v>5376</v>
      </c>
      <c r="E14735" s="3">
        <v>2.5200000000000001E-18</v>
      </c>
      <c r="F14735" s="2">
        <v>216</v>
      </c>
      <c r="G14735" s="2">
        <v>68</v>
      </c>
      <c r="H14735" s="2">
        <v>63</v>
      </c>
      <c r="I14735" s="2">
        <v>381</v>
      </c>
      <c r="J14735" s="2">
        <v>569</v>
      </c>
      <c r="K14735" s="2">
        <v>52</v>
      </c>
      <c r="L14735" s="2">
        <v>106</v>
      </c>
    </row>
    <row r="14736" spans="1:12" x14ac:dyDescent="0.25">
      <c r="A14736" s="4" t="str">
        <f>HYPERLINK("http://www.rosaceae.org/Prunus/Prunus_persica/p.persica_gdr_reftransV1_0003453","p.persica_gdr_reftransV1_0003453")</f>
        <v>p.persica_gdr_reftransV1_0003453</v>
      </c>
      <c r="B14736" s="2">
        <v>2449</v>
      </c>
      <c r="C14736" s="4" t="str">
        <f>HYPERLINK("http://www.uniprot.org/uniprot/M5WHU3","M5WHU3")</f>
        <v>M5WHU3</v>
      </c>
      <c r="D14736" s="2" t="s">
        <v>11932</v>
      </c>
      <c r="E14736" s="3">
        <v>0</v>
      </c>
      <c r="F14736" s="2">
        <v>2269</v>
      </c>
      <c r="G14736" s="2">
        <v>100</v>
      </c>
      <c r="H14736" s="2">
        <v>465</v>
      </c>
      <c r="I14736" s="2">
        <v>662</v>
      </c>
      <c r="J14736" s="2">
        <v>2056</v>
      </c>
      <c r="K14736" s="2">
        <v>1</v>
      </c>
      <c r="L14736" s="2">
        <v>465</v>
      </c>
    </row>
    <row r="14737" spans="1:12" x14ac:dyDescent="0.25">
      <c r="A14737" s="4" t="str">
        <f>HYPERLINK("http://www.rosaceae.org/Prunus/Prunus_persica/p.persica_gdr_reftransV1_0003803","p.persica_gdr_reftransV1_0003803")</f>
        <v>p.persica_gdr_reftransV1_0003803</v>
      </c>
      <c r="B14737" s="2">
        <v>422</v>
      </c>
      <c r="C14737" s="4" t="str">
        <f>HYPERLINK("http://www.uniprot.org/uniprot/W9QE83","W9QE83")</f>
        <v>W9QE83</v>
      </c>
      <c r="D14737" s="2" t="s">
        <v>11933</v>
      </c>
      <c r="E14737" s="3">
        <v>5.5700000000000002E-48</v>
      </c>
      <c r="F14737" s="2">
        <v>415</v>
      </c>
      <c r="G14737" s="2">
        <v>87</v>
      </c>
      <c r="H14737" s="2">
        <v>98</v>
      </c>
      <c r="I14737" s="2">
        <v>129</v>
      </c>
      <c r="J14737" s="2">
        <v>422</v>
      </c>
      <c r="K14737" s="2">
        <v>1</v>
      </c>
      <c r="L14737" s="2">
        <v>98</v>
      </c>
    </row>
    <row r="14738" spans="1:12" x14ac:dyDescent="0.25">
      <c r="A14738" s="4" t="str">
        <f>HYPERLINK("http://www.rosaceae.org/Prunus/Prunus_persica/p.persica_gdr_reftransV1_0004153","p.persica_gdr_reftransV1_0004153")</f>
        <v>p.persica_gdr_reftransV1_0004153</v>
      </c>
      <c r="B14738" s="2">
        <v>1841</v>
      </c>
      <c r="C14738" s="4" t="str">
        <f>HYPERLINK("http://www.uniprot.org/uniprot/M5X7M6","M5X7M6")</f>
        <v>M5X7M6</v>
      </c>
      <c r="D14738" s="2" t="s">
        <v>11934</v>
      </c>
      <c r="E14738" s="3">
        <v>0</v>
      </c>
      <c r="F14738" s="2">
        <v>1555</v>
      </c>
      <c r="G14738" s="2">
        <v>100</v>
      </c>
      <c r="H14738" s="2">
        <v>384</v>
      </c>
      <c r="I14738" s="2">
        <v>279</v>
      </c>
      <c r="J14738" s="2">
        <v>1430</v>
      </c>
      <c r="K14738" s="2">
        <v>1</v>
      </c>
      <c r="L14738" s="2">
        <v>384</v>
      </c>
    </row>
    <row r="14739" spans="1:12" x14ac:dyDescent="0.25">
      <c r="A14739" s="4" t="str">
        <f>HYPERLINK("http://www.rosaceae.org/Prunus/Prunus_persica/p.persica_gdr_reftransV1_0004853","p.persica_gdr_reftransV1_0004853")</f>
        <v>p.persica_gdr_reftransV1_0004853</v>
      </c>
      <c r="B14739" s="2">
        <v>1515</v>
      </c>
      <c r="C14739" s="4" t="str">
        <f>HYPERLINK("http://www.uniprot.org/uniprot/M5VQZ4","M5VQZ4")</f>
        <v>M5VQZ4</v>
      </c>
      <c r="D14739" s="2" t="s">
        <v>10748</v>
      </c>
      <c r="E14739" s="3">
        <v>3.1799999999999998E-159</v>
      </c>
      <c r="F14739" s="2">
        <v>1193</v>
      </c>
      <c r="G14739" s="2">
        <v>87</v>
      </c>
      <c r="H14739" s="2">
        <v>272</v>
      </c>
      <c r="I14739" s="2">
        <v>494</v>
      </c>
      <c r="J14739" s="2">
        <v>1309</v>
      </c>
      <c r="K14739" s="2">
        <v>1</v>
      </c>
      <c r="L14739" s="2">
        <v>237</v>
      </c>
    </row>
    <row r="14740" spans="1:12" x14ac:dyDescent="0.25">
      <c r="A14740" s="4" t="str">
        <f>HYPERLINK("http://www.rosaceae.org/Prunus/Prunus_persica/p.persica_gdr_reftransV1_0005553","p.persica_gdr_reftransV1_0005553")</f>
        <v>p.persica_gdr_reftransV1_0005553</v>
      </c>
      <c r="B14740" s="2">
        <v>767</v>
      </c>
      <c r="C14740" s="4" t="str">
        <f>HYPERLINK("http://www.uniprot.org/uniprot/M5WKN0","M5WKN0")</f>
        <v>M5WKN0</v>
      </c>
      <c r="D14740" s="2" t="s">
        <v>11935</v>
      </c>
      <c r="E14740" s="3">
        <v>7.8900000000000007E-86</v>
      </c>
      <c r="F14740" s="2">
        <v>674</v>
      </c>
      <c r="G14740" s="2">
        <v>100</v>
      </c>
      <c r="H14740" s="2">
        <v>149</v>
      </c>
      <c r="I14740" s="2">
        <v>226</v>
      </c>
      <c r="J14740" s="2">
        <v>672</v>
      </c>
      <c r="K14740" s="2">
        <v>1</v>
      </c>
      <c r="L14740" s="2">
        <v>149</v>
      </c>
    </row>
    <row r="14741" spans="1:12" x14ac:dyDescent="0.25">
      <c r="A14741" s="4" t="str">
        <f>HYPERLINK("http://www.rosaceae.org/Prunus/Prunus_persica/p.persica_gdr_reftransV1_0005903","p.persica_gdr_reftransV1_0005903")</f>
        <v>p.persica_gdr_reftransV1_0005903</v>
      </c>
      <c r="B14741" s="2">
        <v>522</v>
      </c>
      <c r="C14741" s="4" t="str">
        <f>HYPERLINK("http://www.uniprot.org/uniprot/M5XI94","M5XI94")</f>
        <v>M5XI94</v>
      </c>
      <c r="D14741" s="2" t="s">
        <v>11936</v>
      </c>
      <c r="E14741" s="3">
        <v>3.1899999999999998E-100</v>
      </c>
      <c r="F14741" s="2">
        <v>818</v>
      </c>
      <c r="G14741" s="2">
        <v>89</v>
      </c>
      <c r="H14741" s="2">
        <v>172</v>
      </c>
      <c r="I14741" s="2">
        <v>6</v>
      </c>
      <c r="J14741" s="2">
        <v>521</v>
      </c>
      <c r="K14741" s="2">
        <v>281</v>
      </c>
      <c r="L14741" s="2">
        <v>452</v>
      </c>
    </row>
    <row r="14742" spans="1:12" x14ac:dyDescent="0.25">
      <c r="A14742" s="4" t="str">
        <f>HYPERLINK("http://www.rosaceae.org/Prunus/Prunus_persica/p.persica_gdr_reftransV1_0006253","p.persica_gdr_reftransV1_0006253")</f>
        <v>p.persica_gdr_reftransV1_0006253</v>
      </c>
      <c r="B14742" s="2">
        <v>556</v>
      </c>
      <c r="C14742" s="4" t="str">
        <f>HYPERLINK("http://www.uniprot.org/uniprot/M5XAS7","M5XAS7")</f>
        <v>M5XAS7</v>
      </c>
      <c r="D14742" s="2" t="s">
        <v>8180</v>
      </c>
      <c r="E14742" s="3">
        <v>8.6699999999999995E-108</v>
      </c>
      <c r="F14742" s="2">
        <v>831</v>
      </c>
      <c r="G14742" s="2">
        <v>100</v>
      </c>
      <c r="H14742" s="2">
        <v>166</v>
      </c>
      <c r="I14742" s="2">
        <v>1</v>
      </c>
      <c r="J14742" s="2">
        <v>498</v>
      </c>
      <c r="K14742" s="2">
        <v>1</v>
      </c>
      <c r="L14742" s="2">
        <v>166</v>
      </c>
    </row>
    <row r="14743" spans="1:12" x14ac:dyDescent="0.25">
      <c r="A14743" s="4" t="str">
        <f>HYPERLINK("http://www.rosaceae.org/Prunus/Prunus_persica/p.persica_gdr_reftransV1_0006953","p.persica_gdr_reftransV1_0006953")</f>
        <v>p.persica_gdr_reftransV1_0006953</v>
      </c>
      <c r="B14743" s="2">
        <v>2048</v>
      </c>
      <c r="C14743" s="4" t="str">
        <f>HYPERLINK("http://www.uniprot.org/uniprot/M5WBH6","M5WBH6")</f>
        <v>M5WBH6</v>
      </c>
      <c r="D14743" s="2" t="s">
        <v>6376</v>
      </c>
      <c r="E14743" s="3">
        <v>0</v>
      </c>
      <c r="F14743" s="2">
        <v>1558</v>
      </c>
      <c r="G14743" s="2">
        <v>100</v>
      </c>
      <c r="H14743" s="2">
        <v>305</v>
      </c>
      <c r="I14743" s="2">
        <v>96</v>
      </c>
      <c r="J14743" s="2">
        <v>1010</v>
      </c>
      <c r="K14743" s="2">
        <v>1</v>
      </c>
      <c r="L14743" s="2">
        <v>305</v>
      </c>
    </row>
    <row r="14744" spans="1:12" x14ac:dyDescent="0.25">
      <c r="A14744" s="4" t="str">
        <f>HYPERLINK("http://www.rosaceae.org/Prunus/Prunus_persica/p.persica_gdr_reftransV1_0007303","p.persica_gdr_reftransV1_0007303")</f>
        <v>p.persica_gdr_reftransV1_0007303</v>
      </c>
      <c r="B14744" s="2">
        <v>732</v>
      </c>
      <c r="C14744" s="4" t="str">
        <f>HYPERLINK("http://www.uniprot.org/uniprot/B9HKR7","B9HKR7")</f>
        <v>B9HKR7</v>
      </c>
      <c r="D14744" s="2" t="s">
        <v>11937</v>
      </c>
      <c r="E14744" s="3">
        <v>4.0500000000000003E-64</v>
      </c>
      <c r="F14744" s="2">
        <v>527</v>
      </c>
      <c r="G14744" s="2">
        <v>89</v>
      </c>
      <c r="H14744" s="2">
        <v>116</v>
      </c>
      <c r="I14744" s="2">
        <v>361</v>
      </c>
      <c r="J14744" s="2">
        <v>705</v>
      </c>
      <c r="K14744" s="2">
        <v>1</v>
      </c>
      <c r="L14744" s="2">
        <v>116</v>
      </c>
    </row>
    <row r="14745" spans="1:12" x14ac:dyDescent="0.25">
      <c r="A14745" s="4" t="str">
        <f>HYPERLINK("http://www.rosaceae.org/Prunus/Prunus_persica/p.persica_gdr_reftransV1_0007653","p.persica_gdr_reftransV1_0007653")</f>
        <v>p.persica_gdr_reftransV1_0007653</v>
      </c>
      <c r="B14745" s="2">
        <v>962</v>
      </c>
      <c r="C14745" s="4" t="str">
        <f>HYPERLINK("http://www.uniprot.org/uniprot/M5WLG3","M5WLG3")</f>
        <v>M5WLG3</v>
      </c>
      <c r="D14745" s="2" t="s">
        <v>11938</v>
      </c>
      <c r="E14745" s="3">
        <v>0</v>
      </c>
      <c r="F14745" s="2">
        <v>1404</v>
      </c>
      <c r="G14745" s="2">
        <v>100</v>
      </c>
      <c r="H14745" s="2">
        <v>262</v>
      </c>
      <c r="I14745" s="2">
        <v>1</v>
      </c>
      <c r="J14745" s="2">
        <v>786</v>
      </c>
      <c r="K14745" s="2">
        <v>41</v>
      </c>
      <c r="L14745" s="2">
        <v>302</v>
      </c>
    </row>
    <row r="14746" spans="1:12" x14ac:dyDescent="0.25">
      <c r="A14746" s="4" t="str">
        <f>HYPERLINK("http://www.rosaceae.org/Prunus/Prunus_persica/p.persica_gdr_reftransV1_0008003","p.persica_gdr_reftransV1_0008003")</f>
        <v>p.persica_gdr_reftransV1_0008003</v>
      </c>
      <c r="B14746" s="2">
        <v>1405</v>
      </c>
      <c r="C14746" s="4" t="str">
        <f>HYPERLINK("http://www.uniprot.org/uniprot/M5Y060","M5Y060")</f>
        <v>M5Y060</v>
      </c>
      <c r="D14746" s="2" t="s">
        <v>11939</v>
      </c>
      <c r="E14746" s="3">
        <v>0</v>
      </c>
      <c r="F14746" s="2">
        <v>2011</v>
      </c>
      <c r="G14746" s="2">
        <v>100</v>
      </c>
      <c r="H14746" s="2">
        <v>370</v>
      </c>
      <c r="I14746" s="2">
        <v>295</v>
      </c>
      <c r="J14746" s="2">
        <v>1404</v>
      </c>
      <c r="K14746" s="2">
        <v>479</v>
      </c>
      <c r="L14746" s="2">
        <v>848</v>
      </c>
    </row>
    <row r="14747" spans="1:12" x14ac:dyDescent="0.25">
      <c r="A14747" s="4" t="str">
        <f>HYPERLINK("http://www.rosaceae.org/Prunus/Prunus_persica/p.persica_gdr_reftransV1_0008353","p.persica_gdr_reftransV1_0008353")</f>
        <v>p.persica_gdr_reftransV1_0008353</v>
      </c>
      <c r="B14747" s="2">
        <v>2209</v>
      </c>
      <c r="C14747" s="4" t="str">
        <f>HYPERLINK("http://www.uniprot.org/uniprot/M5VPF8","M5VPF8")</f>
        <v>M5VPF8</v>
      </c>
      <c r="D14747" s="2" t="s">
        <v>11940</v>
      </c>
      <c r="E14747" s="3">
        <v>0</v>
      </c>
      <c r="F14747" s="2">
        <v>2332</v>
      </c>
      <c r="G14747" s="2">
        <v>100</v>
      </c>
      <c r="H14747" s="2">
        <v>486</v>
      </c>
      <c r="I14747" s="2">
        <v>564</v>
      </c>
      <c r="J14747" s="2">
        <v>2021</v>
      </c>
      <c r="K14747" s="2">
        <v>1</v>
      </c>
      <c r="L14747" s="2">
        <v>486</v>
      </c>
    </row>
    <row r="14748" spans="1:12" x14ac:dyDescent="0.25">
      <c r="A14748" s="4" t="str">
        <f>HYPERLINK("http://www.rosaceae.org/Prunus/Prunus_persica/p.persica_gdr_reftransV1_0008703","p.persica_gdr_reftransV1_0008703")</f>
        <v>p.persica_gdr_reftransV1_0008703</v>
      </c>
      <c r="B14748" s="2">
        <v>1199</v>
      </c>
      <c r="C14748" s="4" t="str">
        <f>HYPERLINK("http://www.uniprot.org/uniprot/M5XKW9","M5XKW9")</f>
        <v>M5XKW9</v>
      </c>
      <c r="D14748" s="2" t="s">
        <v>11941</v>
      </c>
      <c r="E14748" s="3">
        <v>5.8800000000000004E-115</v>
      </c>
      <c r="F14748" s="2">
        <v>885</v>
      </c>
      <c r="G14748" s="2">
        <v>100</v>
      </c>
      <c r="H14748" s="2">
        <v>184</v>
      </c>
      <c r="I14748" s="2">
        <v>318</v>
      </c>
      <c r="J14748" s="2">
        <v>869</v>
      </c>
      <c r="K14748" s="2">
        <v>1</v>
      </c>
      <c r="L14748" s="2">
        <v>184</v>
      </c>
    </row>
    <row r="14749" spans="1:12" x14ac:dyDescent="0.25">
      <c r="A14749" s="4" t="str">
        <f>HYPERLINK("http://www.rosaceae.org/Prunus/Prunus_persica/p.persica_gdr_reftransV1_0009403","p.persica_gdr_reftransV1_0009403")</f>
        <v>p.persica_gdr_reftransV1_0009403</v>
      </c>
      <c r="B14749" s="2">
        <v>1661</v>
      </c>
      <c r="C14749" s="4" t="str">
        <f>HYPERLINK("http://www.uniprot.org/uniprot/M5XQ42","M5XQ42")</f>
        <v>M5XQ42</v>
      </c>
      <c r="D14749" s="2" t="s">
        <v>11942</v>
      </c>
      <c r="E14749" s="3">
        <v>2.8399999999999998E-137</v>
      </c>
      <c r="F14749" s="2">
        <v>692</v>
      </c>
      <c r="G14749" s="2">
        <v>100</v>
      </c>
      <c r="H14749" s="2">
        <v>133</v>
      </c>
      <c r="I14749" s="2">
        <v>1217</v>
      </c>
      <c r="J14749" s="2">
        <v>1615</v>
      </c>
      <c r="K14749" s="2">
        <v>1</v>
      </c>
      <c r="L14749" s="2">
        <v>133</v>
      </c>
    </row>
    <row r="14750" spans="1:12" x14ac:dyDescent="0.25">
      <c r="A14750" s="4" t="str">
        <f>HYPERLINK("http://www.rosaceae.org/Prunus/Prunus_persica/p.persica_gdr_reftransV1_0010103","p.persica_gdr_reftransV1_0010103")</f>
        <v>p.persica_gdr_reftransV1_0010103</v>
      </c>
      <c r="B14750" s="2">
        <v>1581</v>
      </c>
      <c r="C14750" s="4" t="str">
        <f>HYPERLINK("http://www.uniprot.org/uniprot/M5W516","M5W516")</f>
        <v>M5W516</v>
      </c>
      <c r="D14750" s="2" t="s">
        <v>11943</v>
      </c>
      <c r="E14750" s="3">
        <v>0</v>
      </c>
      <c r="F14750" s="2">
        <v>1540</v>
      </c>
      <c r="G14750" s="2">
        <v>100</v>
      </c>
      <c r="H14750" s="2">
        <v>418</v>
      </c>
      <c r="I14750" s="2">
        <v>45</v>
      </c>
      <c r="J14750" s="2">
        <v>1298</v>
      </c>
      <c r="K14750" s="2">
        <v>2</v>
      </c>
      <c r="L14750" s="2">
        <v>419</v>
      </c>
    </row>
    <row r="14751" spans="1:12" x14ac:dyDescent="0.25">
      <c r="A14751" s="4" t="str">
        <f>HYPERLINK("http://www.rosaceae.org/Prunus/Prunus_persica/p.persica_gdr_reftransV1_0010453","p.persica_gdr_reftransV1_0010453")</f>
        <v>p.persica_gdr_reftransV1_0010453</v>
      </c>
      <c r="B14751" s="2">
        <v>393</v>
      </c>
      <c r="C14751" s="4" t="str">
        <f>HYPERLINK("http://www.uniprot.org/uniprot/M5VV91","M5VV91")</f>
        <v>M5VV91</v>
      </c>
      <c r="D14751" s="2" t="s">
        <v>10518</v>
      </c>
      <c r="E14751" s="3">
        <v>4.72E-52</v>
      </c>
      <c r="F14751" s="2">
        <v>463</v>
      </c>
      <c r="G14751" s="2">
        <v>100</v>
      </c>
      <c r="H14751" s="2">
        <v>89</v>
      </c>
      <c r="I14751" s="2">
        <v>2</v>
      </c>
      <c r="J14751" s="2">
        <v>268</v>
      </c>
      <c r="K14751" s="2">
        <v>12</v>
      </c>
      <c r="L14751" s="2">
        <v>100</v>
      </c>
    </row>
    <row r="14752" spans="1:12" x14ac:dyDescent="0.25">
      <c r="A14752" s="4" t="str">
        <f>HYPERLINK("http://www.rosaceae.org/Prunus/Prunus_persica/p.persica_gdr_reftransV1_0011503","p.persica_gdr_reftransV1_0011503")</f>
        <v>p.persica_gdr_reftransV1_0011503</v>
      </c>
      <c r="B14752" s="2">
        <v>963</v>
      </c>
      <c r="C14752" s="4" t="str">
        <f>HYPERLINK("http://www.uniprot.org/uniprot/M5VHY6","M5VHY6")</f>
        <v>M5VHY6</v>
      </c>
      <c r="D14752" s="2" t="s">
        <v>8556</v>
      </c>
      <c r="E14752" s="3">
        <v>1.1200000000000001E-134</v>
      </c>
      <c r="F14752" s="2">
        <v>1059</v>
      </c>
      <c r="G14752" s="2">
        <v>100</v>
      </c>
      <c r="H14752" s="2">
        <v>218</v>
      </c>
      <c r="I14752" s="2">
        <v>15</v>
      </c>
      <c r="J14752" s="2">
        <v>668</v>
      </c>
      <c r="K14752" s="2">
        <v>531</v>
      </c>
      <c r="L14752" s="2">
        <v>748</v>
      </c>
    </row>
    <row r="14753" spans="1:12" x14ac:dyDescent="0.25">
      <c r="A14753" s="4" t="str">
        <f>HYPERLINK("http://www.rosaceae.org/Prunus/Prunus_persica/p.persica_gdr_reftransV1_0012203","p.persica_gdr_reftransV1_0012203")</f>
        <v>p.persica_gdr_reftransV1_0012203</v>
      </c>
      <c r="B14753" s="2">
        <v>1284</v>
      </c>
      <c r="C14753" s="4" t="str">
        <f>HYPERLINK("http://www.uniprot.org/uniprot/M5X1B1","M5X1B1")</f>
        <v>M5X1B1</v>
      </c>
      <c r="D14753" s="2" t="s">
        <v>11944</v>
      </c>
      <c r="E14753" s="3">
        <v>0</v>
      </c>
      <c r="F14753" s="2">
        <v>1572</v>
      </c>
      <c r="G14753" s="2">
        <v>100</v>
      </c>
      <c r="H14753" s="2">
        <v>317</v>
      </c>
      <c r="I14753" s="2">
        <v>203</v>
      </c>
      <c r="J14753" s="2">
        <v>1153</v>
      </c>
      <c r="K14753" s="2">
        <v>1</v>
      </c>
      <c r="L14753" s="2">
        <v>317</v>
      </c>
    </row>
    <row r="14754" spans="1:12" x14ac:dyDescent="0.25">
      <c r="A14754" s="4" t="str">
        <f>HYPERLINK("http://www.rosaceae.org/Prunus/Prunus_persica/p.persica_gdr_reftransV1_0012553","p.persica_gdr_reftransV1_0012553")</f>
        <v>p.persica_gdr_reftransV1_0012553</v>
      </c>
      <c r="B14754" s="2">
        <v>4190</v>
      </c>
      <c r="C14754" s="4" t="str">
        <f>HYPERLINK("http://www.uniprot.org/uniprot/M5VTP8","M5VTP8")</f>
        <v>M5VTP8</v>
      </c>
      <c r="D14754" s="2" t="s">
        <v>11945</v>
      </c>
      <c r="E14754" s="3">
        <v>0</v>
      </c>
      <c r="F14754" s="2">
        <v>4604</v>
      </c>
      <c r="G14754" s="2">
        <v>99</v>
      </c>
      <c r="H14754" s="2">
        <v>936</v>
      </c>
      <c r="I14754" s="2">
        <v>102</v>
      </c>
      <c r="J14754" s="2">
        <v>2909</v>
      </c>
      <c r="K14754" s="2">
        <v>1</v>
      </c>
      <c r="L14754" s="2">
        <v>925</v>
      </c>
    </row>
    <row r="14755" spans="1:12" x14ac:dyDescent="0.25">
      <c r="A14755" s="4" t="str">
        <f>HYPERLINK("http://www.rosaceae.org/Prunus/Prunus_persica/p.persica_gdr_reftransV1_0012903","p.persica_gdr_reftransV1_0012903")</f>
        <v>p.persica_gdr_reftransV1_0012903</v>
      </c>
      <c r="B14755" s="2">
        <v>959</v>
      </c>
      <c r="C14755" s="4" t="str">
        <f>HYPERLINK("http://www.uniprot.org/uniprot/M5WYG1","M5WYG1")</f>
        <v>M5WYG1</v>
      </c>
      <c r="D14755" s="2" t="s">
        <v>11946</v>
      </c>
      <c r="E14755" s="3">
        <v>2.0099999999999998E-146</v>
      </c>
      <c r="F14755" s="2">
        <v>1087</v>
      </c>
      <c r="G14755" s="2">
        <v>99</v>
      </c>
      <c r="H14755" s="2">
        <v>212</v>
      </c>
      <c r="I14755" s="2">
        <v>42</v>
      </c>
      <c r="J14755" s="2">
        <v>677</v>
      </c>
      <c r="K14755" s="2">
        <v>1</v>
      </c>
      <c r="L14755" s="2">
        <v>210</v>
      </c>
    </row>
    <row r="14756" spans="1:12" x14ac:dyDescent="0.25">
      <c r="A14756" s="4" t="str">
        <f>HYPERLINK("http://www.rosaceae.org/Prunus/Prunus_persica/p.persica_gdr_reftransV1_0014653","p.persica_gdr_reftransV1_0014653")</f>
        <v>p.persica_gdr_reftransV1_0014653</v>
      </c>
      <c r="B14756" s="2">
        <v>3255</v>
      </c>
      <c r="C14756" s="4" t="str">
        <f>HYPERLINK("http://www.uniprot.org/uniprot/M5WFS5","M5WFS5")</f>
        <v>M5WFS5</v>
      </c>
      <c r="D14756" s="2" t="s">
        <v>5777</v>
      </c>
      <c r="E14756" s="3">
        <v>0</v>
      </c>
      <c r="F14756" s="2">
        <v>3228</v>
      </c>
      <c r="G14756" s="2">
        <v>100</v>
      </c>
      <c r="H14756" s="2">
        <v>662</v>
      </c>
      <c r="I14756" s="2">
        <v>818</v>
      </c>
      <c r="J14756" s="2">
        <v>2803</v>
      </c>
      <c r="K14756" s="2">
        <v>1</v>
      </c>
      <c r="L14756" s="2">
        <v>662</v>
      </c>
    </row>
    <row r="14757" spans="1:12" x14ac:dyDescent="0.25">
      <c r="A14757" s="4" t="str">
        <f>HYPERLINK("http://www.rosaceae.org/Prunus/Prunus_persica/p.persica_gdr_reftransV1_0016753","p.persica_gdr_reftransV1_0016753")</f>
        <v>p.persica_gdr_reftransV1_0016753</v>
      </c>
      <c r="B14757" s="2">
        <v>1485</v>
      </c>
      <c r="C14757" s="4" t="str">
        <f>HYPERLINK("http://www.uniprot.org/uniprot/M5XD04","M5XD04")</f>
        <v>M5XD04</v>
      </c>
      <c r="D14757" s="2" t="s">
        <v>11947</v>
      </c>
      <c r="E14757" s="3">
        <v>2.1300000000000001E-85</v>
      </c>
      <c r="F14757" s="2">
        <v>706</v>
      </c>
      <c r="G14757" s="2">
        <v>100</v>
      </c>
      <c r="H14757" s="2">
        <v>290</v>
      </c>
      <c r="I14757" s="2">
        <v>549</v>
      </c>
      <c r="J14757" s="2">
        <v>1418</v>
      </c>
      <c r="K14757" s="2">
        <v>1</v>
      </c>
      <c r="L14757" s="2">
        <v>290</v>
      </c>
    </row>
    <row r="14758" spans="1:12" x14ac:dyDescent="0.25">
      <c r="A14758" s="4" t="str">
        <f>HYPERLINK("http://www.rosaceae.org/Prunus/Prunus_persica/p.persica_gdr_reftransV1_0017453","p.persica_gdr_reftransV1_0017453")</f>
        <v>p.persica_gdr_reftransV1_0017453</v>
      </c>
      <c r="B14758" s="2">
        <v>1867</v>
      </c>
      <c r="C14758" s="4" t="str">
        <f>HYPERLINK("http://www.uniprot.org/uniprot/M5WZA8","M5WZA8")</f>
        <v>M5WZA8</v>
      </c>
      <c r="D14758" s="2" t="s">
        <v>11506</v>
      </c>
      <c r="E14758" s="3">
        <v>0</v>
      </c>
      <c r="F14758" s="2">
        <v>1544</v>
      </c>
      <c r="G14758" s="2">
        <v>90</v>
      </c>
      <c r="H14758" s="2">
        <v>322</v>
      </c>
      <c r="I14758" s="2">
        <v>3</v>
      </c>
      <c r="J14758" s="2">
        <v>968</v>
      </c>
      <c r="K14758" s="2">
        <v>17</v>
      </c>
      <c r="L14758" s="2">
        <v>333</v>
      </c>
    </row>
    <row r="14759" spans="1:12" x14ac:dyDescent="0.25">
      <c r="A14759" s="4" t="str">
        <f>HYPERLINK("http://www.rosaceae.org/Prunus/Prunus_persica/p.persica_gdr_reftransV1_0018853","p.persica_gdr_reftransV1_0018853")</f>
        <v>p.persica_gdr_reftransV1_0018853</v>
      </c>
      <c r="B14759" s="2">
        <v>2901</v>
      </c>
      <c r="C14759" s="4" t="str">
        <f>HYPERLINK("http://www.uniprot.org/uniprot/M5VYF8","M5VYF8")</f>
        <v>M5VYF8</v>
      </c>
      <c r="D14759" s="2" t="s">
        <v>11948</v>
      </c>
      <c r="E14759" s="3">
        <v>3.2599999999999998E-109</v>
      </c>
      <c r="F14759" s="2">
        <v>911</v>
      </c>
      <c r="G14759" s="2">
        <v>98</v>
      </c>
      <c r="H14759" s="2">
        <v>176</v>
      </c>
      <c r="I14759" s="2">
        <v>1529</v>
      </c>
      <c r="J14759" s="2">
        <v>2056</v>
      </c>
      <c r="K14759" s="2">
        <v>218</v>
      </c>
      <c r="L14759" s="2">
        <v>393</v>
      </c>
    </row>
    <row r="14760" spans="1:12" x14ac:dyDescent="0.25">
      <c r="A14760" s="4" t="str">
        <f>HYPERLINK("http://www.rosaceae.org/Prunus/Prunus_persica/p.persica_gdr_reftransV1_0019203","p.persica_gdr_reftransV1_0019203")</f>
        <v>p.persica_gdr_reftransV1_0019203</v>
      </c>
      <c r="B14760" s="2">
        <v>3580</v>
      </c>
      <c r="C14760" s="4" t="str">
        <f>HYPERLINK("http://www.uniprot.org/uniprot/W9QYC1","W9QYC1")</f>
        <v>W9QYC1</v>
      </c>
      <c r="D14760" s="2" t="s">
        <v>11949</v>
      </c>
      <c r="E14760" s="3">
        <v>0</v>
      </c>
      <c r="F14760" s="2">
        <v>1444</v>
      </c>
      <c r="G14760" s="2">
        <v>84</v>
      </c>
      <c r="H14760" s="2">
        <v>430</v>
      </c>
      <c r="I14760" s="2">
        <v>479</v>
      </c>
      <c r="J14760" s="2">
        <v>1714</v>
      </c>
      <c r="K14760" s="2">
        <v>1</v>
      </c>
      <c r="L14760" s="2">
        <v>426</v>
      </c>
    </row>
    <row r="14761" spans="1:12" x14ac:dyDescent="0.25">
      <c r="A14761" s="4" t="str">
        <f>HYPERLINK("http://www.rosaceae.org/Prunus/Prunus_persica/p.persica_gdr_reftransV1_0019553","p.persica_gdr_reftransV1_0019553")</f>
        <v>p.persica_gdr_reftransV1_0019553</v>
      </c>
      <c r="B14761" s="2">
        <v>903</v>
      </c>
      <c r="C14761" s="4" t="str">
        <f>HYPERLINK("http://www.uniprot.org/uniprot/A0A0B0MTF5","A0A0B0MTF5")</f>
        <v>A0A0B0MTF5</v>
      </c>
      <c r="D14761" s="2" t="s">
        <v>11950</v>
      </c>
      <c r="E14761" s="3">
        <v>1.7900000000000001E-48</v>
      </c>
      <c r="F14761" s="2">
        <v>277</v>
      </c>
      <c r="G14761" s="2">
        <v>70</v>
      </c>
      <c r="H14761" s="2">
        <v>102</v>
      </c>
      <c r="I14761" s="2">
        <v>95</v>
      </c>
      <c r="J14761" s="2">
        <v>394</v>
      </c>
      <c r="K14761" s="2">
        <v>11</v>
      </c>
      <c r="L14761" s="2">
        <v>110</v>
      </c>
    </row>
    <row r="14762" spans="1:12" x14ac:dyDescent="0.25">
      <c r="A14762" s="4" t="str">
        <f>HYPERLINK("http://www.rosaceae.org/Prunus/Prunus_persica/p.persica_gdr_reftransV1_0020953","p.persica_gdr_reftransV1_0020953")</f>
        <v>p.persica_gdr_reftransV1_0020953</v>
      </c>
      <c r="B14762" s="2">
        <v>649</v>
      </c>
      <c r="C14762" s="4" t="str">
        <f>HYPERLINK("http://www.uniprot.org/uniprot/M5Y545","M5Y545")</f>
        <v>M5Y545</v>
      </c>
      <c r="D14762" s="2" t="s">
        <v>2368</v>
      </c>
      <c r="E14762" s="3">
        <v>1.1500000000000001E-140</v>
      </c>
      <c r="F14762" s="2">
        <v>1065</v>
      </c>
      <c r="G14762" s="2">
        <v>100</v>
      </c>
      <c r="H14762" s="2">
        <v>199</v>
      </c>
      <c r="I14762" s="2">
        <v>3</v>
      </c>
      <c r="J14762" s="2">
        <v>599</v>
      </c>
      <c r="K14762" s="2">
        <v>1</v>
      </c>
      <c r="L14762" s="2">
        <v>199</v>
      </c>
    </row>
    <row r="14763" spans="1:12" x14ac:dyDescent="0.25">
      <c r="A14763" s="4" t="str">
        <f>HYPERLINK("http://www.rosaceae.org/Prunus/Prunus_persica/p.persica_gdr_reftransV1_0021653","p.persica_gdr_reftransV1_0021653")</f>
        <v>p.persica_gdr_reftransV1_0021653</v>
      </c>
      <c r="B14763" s="2">
        <v>1587</v>
      </c>
      <c r="C14763" s="4" t="str">
        <f>HYPERLINK("http://www.uniprot.org/uniprot/M5WQX7","M5WQX7")</f>
        <v>M5WQX7</v>
      </c>
      <c r="D14763" s="2" t="s">
        <v>11951</v>
      </c>
      <c r="E14763" s="3">
        <v>0</v>
      </c>
      <c r="F14763" s="2">
        <v>1515</v>
      </c>
      <c r="G14763" s="2">
        <v>100</v>
      </c>
      <c r="H14763" s="2">
        <v>358</v>
      </c>
      <c r="I14763" s="2">
        <v>437</v>
      </c>
      <c r="J14763" s="2">
        <v>1510</v>
      </c>
      <c r="K14763" s="2">
        <v>1</v>
      </c>
      <c r="L14763" s="2">
        <v>358</v>
      </c>
    </row>
    <row r="14764" spans="1:12" x14ac:dyDescent="0.25">
      <c r="A14764" s="4" t="str">
        <f>HYPERLINK("http://www.rosaceae.org/Prunus/Prunus_persica/p.persica_gdr_reftransV1_0022003","p.persica_gdr_reftransV1_0022003")</f>
        <v>p.persica_gdr_reftransV1_0022003</v>
      </c>
      <c r="B14764" s="2">
        <v>1592</v>
      </c>
      <c r="C14764" s="4" t="str">
        <f>HYPERLINK("http://www.uniprot.org/uniprot/M5W2J1","M5W2J1")</f>
        <v>M5W2J1</v>
      </c>
      <c r="D14764" s="2" t="s">
        <v>11952</v>
      </c>
      <c r="E14764" s="3">
        <v>4.1599999999999999E-111</v>
      </c>
      <c r="F14764" s="2">
        <v>904</v>
      </c>
      <c r="G14764" s="2">
        <v>70</v>
      </c>
      <c r="H14764" s="2">
        <v>269</v>
      </c>
      <c r="I14764" s="2">
        <v>786</v>
      </c>
      <c r="J14764" s="2">
        <v>1592</v>
      </c>
      <c r="K14764" s="2">
        <v>354</v>
      </c>
      <c r="L14764" s="2">
        <v>540</v>
      </c>
    </row>
    <row r="14765" spans="1:12" x14ac:dyDescent="0.25">
      <c r="A14765" s="4" t="str">
        <f>HYPERLINK("http://www.rosaceae.org/Prunus/Prunus_persica/p.persica_gdr_reftransV1_0022353","p.persica_gdr_reftransV1_0022353")</f>
        <v>p.persica_gdr_reftransV1_0022353</v>
      </c>
      <c r="B14765" s="2">
        <v>3899</v>
      </c>
      <c r="C14765" s="4" t="str">
        <f>HYPERLINK("http://www.uniprot.org/uniprot/M5VVG2","M5VVG2")</f>
        <v>M5VVG2</v>
      </c>
      <c r="D14765" s="2" t="s">
        <v>11953</v>
      </c>
      <c r="E14765" s="3">
        <v>0</v>
      </c>
      <c r="F14765" s="2">
        <v>4175</v>
      </c>
      <c r="G14765" s="2">
        <v>94</v>
      </c>
      <c r="H14765" s="2">
        <v>834</v>
      </c>
      <c r="I14765" s="2">
        <v>180</v>
      </c>
      <c r="J14765" s="2">
        <v>2681</v>
      </c>
      <c r="K14765" s="2">
        <v>1</v>
      </c>
      <c r="L14765" s="2">
        <v>792</v>
      </c>
    </row>
    <row r="14766" spans="1:12" x14ac:dyDescent="0.25">
      <c r="A14766" s="4" t="str">
        <f>HYPERLINK("http://www.rosaceae.org/Prunus/Prunus_persica/p.persica_gdr_reftransV1_0023753","p.persica_gdr_reftransV1_0023753")</f>
        <v>p.persica_gdr_reftransV1_0023753</v>
      </c>
      <c r="B14766" s="2">
        <v>4211</v>
      </c>
      <c r="C14766" s="4" t="str">
        <f>HYPERLINK("http://www.uniprot.org/uniprot/M5WQM0","M5WQM0")</f>
        <v>M5WQM0</v>
      </c>
      <c r="D14766" s="2" t="s">
        <v>11954</v>
      </c>
      <c r="E14766" s="3">
        <v>0</v>
      </c>
      <c r="F14766" s="2">
        <v>4452</v>
      </c>
      <c r="G14766" s="2">
        <v>99</v>
      </c>
      <c r="H14766" s="2">
        <v>943</v>
      </c>
      <c r="I14766" s="2">
        <v>985</v>
      </c>
      <c r="J14766" s="2">
        <v>3813</v>
      </c>
      <c r="K14766" s="2">
        <v>1</v>
      </c>
      <c r="L14766" s="2">
        <v>939</v>
      </c>
    </row>
    <row r="14767" spans="1:12" x14ac:dyDescent="0.25">
      <c r="A14767" s="4" t="str">
        <f>HYPERLINK("http://www.rosaceae.org/Prunus/Prunus_persica/p.persica_gdr_reftransV1_0024453","p.persica_gdr_reftransV1_0024453")</f>
        <v>p.persica_gdr_reftransV1_0024453</v>
      </c>
      <c r="B14767" s="2">
        <v>1741</v>
      </c>
      <c r="C14767" s="4" t="str">
        <f>HYPERLINK("http://www.uniprot.org/uniprot/M5XSY5","M5XSY5")</f>
        <v>M5XSY5</v>
      </c>
      <c r="D14767" s="2" t="s">
        <v>11955</v>
      </c>
      <c r="E14767" s="3">
        <v>1.3699999999999999E-149</v>
      </c>
      <c r="F14767" s="2">
        <v>1162</v>
      </c>
      <c r="G14767" s="2">
        <v>84</v>
      </c>
      <c r="H14767" s="2">
        <v>371</v>
      </c>
      <c r="I14767" s="2">
        <v>185</v>
      </c>
      <c r="J14767" s="2">
        <v>1273</v>
      </c>
      <c r="K14767" s="2">
        <v>134</v>
      </c>
      <c r="L14767" s="2">
        <v>487</v>
      </c>
    </row>
    <row r="14768" spans="1:12" x14ac:dyDescent="0.25">
      <c r="A14768" s="4" t="str">
        <f>HYPERLINK("http://www.rosaceae.org/Prunus/Prunus_persica/p.persica_gdr_reftransV1_0025153","p.persica_gdr_reftransV1_0025153")</f>
        <v>p.persica_gdr_reftransV1_0025153</v>
      </c>
      <c r="B14768" s="2">
        <v>3354</v>
      </c>
      <c r="C14768" s="4" t="str">
        <f>HYPERLINK("http://www.uniprot.org/uniprot/M5WRY1","M5WRY1")</f>
        <v>M5WRY1</v>
      </c>
      <c r="D14768" s="2" t="s">
        <v>11956</v>
      </c>
      <c r="E14768" s="3">
        <v>0</v>
      </c>
      <c r="F14768" s="2">
        <v>2374</v>
      </c>
      <c r="G14768" s="2">
        <v>100</v>
      </c>
      <c r="H14768" s="2">
        <v>444</v>
      </c>
      <c r="I14768" s="2">
        <v>801</v>
      </c>
      <c r="J14768" s="2">
        <v>2132</v>
      </c>
      <c r="K14768" s="2">
        <v>1</v>
      </c>
      <c r="L14768" s="2">
        <v>444</v>
      </c>
    </row>
    <row r="14769" spans="1:12" x14ac:dyDescent="0.25">
      <c r="A14769" s="4" t="str">
        <f>HYPERLINK("http://www.rosaceae.org/Prunus/Prunus_persica/p.persica_gdr_reftransV1_0025853","p.persica_gdr_reftransV1_0025853")</f>
        <v>p.persica_gdr_reftransV1_0025853</v>
      </c>
      <c r="B14769" s="2">
        <v>2726</v>
      </c>
      <c r="C14769" s="4" t="str">
        <f>HYPERLINK("http://www.uniprot.org/uniprot/M5VYK4","M5VYK4")</f>
        <v>M5VYK4</v>
      </c>
      <c r="D14769" s="2" t="s">
        <v>11957</v>
      </c>
      <c r="E14769" s="3">
        <v>0</v>
      </c>
      <c r="F14769" s="2">
        <v>2901</v>
      </c>
      <c r="G14769" s="2">
        <v>100</v>
      </c>
      <c r="H14769" s="2">
        <v>570</v>
      </c>
      <c r="I14769" s="2">
        <v>572</v>
      </c>
      <c r="J14769" s="2">
        <v>2281</v>
      </c>
      <c r="K14769" s="2">
        <v>1</v>
      </c>
      <c r="L14769" s="2">
        <v>570</v>
      </c>
    </row>
    <row r="14770" spans="1:12" x14ac:dyDescent="0.25">
      <c r="A14770" s="4" t="str">
        <f>HYPERLINK("http://www.rosaceae.org/Prunus/Prunus_persica/p.persica_gdr_reftransV1_0026553","p.persica_gdr_reftransV1_0026553")</f>
        <v>p.persica_gdr_reftransV1_0026553</v>
      </c>
      <c r="B14770" s="2">
        <v>3160</v>
      </c>
      <c r="C14770" s="4" t="str">
        <f>HYPERLINK("http://www.uniprot.org/uniprot/A0A067J9H0","A0A067J9H0")</f>
        <v>A0A067J9H0</v>
      </c>
      <c r="D14770" s="2" t="s">
        <v>11958</v>
      </c>
      <c r="E14770" s="3">
        <v>0</v>
      </c>
      <c r="F14770" s="2">
        <v>1201</v>
      </c>
      <c r="G14770" s="2">
        <v>62</v>
      </c>
      <c r="H14770" s="2">
        <v>364</v>
      </c>
      <c r="I14770" s="2">
        <v>820</v>
      </c>
      <c r="J14770" s="2">
        <v>1908</v>
      </c>
      <c r="K14770" s="2">
        <v>140</v>
      </c>
      <c r="L14770" s="2">
        <v>500</v>
      </c>
    </row>
    <row r="14771" spans="1:12" x14ac:dyDescent="0.25">
      <c r="A14771" s="4" t="str">
        <f>HYPERLINK("http://www.rosaceae.org/Prunus/Prunus_persica/p.persica_gdr_reftransV1_0027953","p.persica_gdr_reftransV1_0027953")</f>
        <v>p.persica_gdr_reftransV1_0027953</v>
      </c>
      <c r="B14771" s="2">
        <v>893</v>
      </c>
      <c r="C14771" s="4" t="str">
        <f>HYPERLINK("http://www.uniprot.org/uniprot/M5Y381","M5Y381")</f>
        <v>M5Y381</v>
      </c>
      <c r="D14771" s="2" t="s">
        <v>11926</v>
      </c>
      <c r="E14771" s="3">
        <v>4.8999999999999995E-103</v>
      </c>
      <c r="F14771" s="2">
        <v>792</v>
      </c>
      <c r="G14771" s="2">
        <v>100</v>
      </c>
      <c r="H14771" s="2">
        <v>151</v>
      </c>
      <c r="I14771" s="2">
        <v>30</v>
      </c>
      <c r="J14771" s="2">
        <v>482</v>
      </c>
      <c r="K14771" s="2">
        <v>1</v>
      </c>
      <c r="L14771" s="2">
        <v>151</v>
      </c>
    </row>
    <row r="14772" spans="1:12" x14ac:dyDescent="0.25">
      <c r="A14772" s="4" t="str">
        <f>HYPERLINK("http://www.rosaceae.org/Prunus/Prunus_persica/p.persica_gdr_reftransV1_0029353","p.persica_gdr_reftransV1_0029353")</f>
        <v>p.persica_gdr_reftransV1_0029353</v>
      </c>
      <c r="B14772" s="2">
        <v>4069</v>
      </c>
      <c r="C14772" s="4" t="str">
        <f>HYPERLINK("http://www.uniprot.org/uniprot/M5VGW5","M5VGW5")</f>
        <v>M5VGW5</v>
      </c>
      <c r="D14772" s="2" t="s">
        <v>11959</v>
      </c>
      <c r="E14772" s="3">
        <v>1.03E-85</v>
      </c>
      <c r="F14772" s="2">
        <v>732</v>
      </c>
      <c r="G14772" s="2">
        <v>100</v>
      </c>
      <c r="H14772" s="2">
        <v>137</v>
      </c>
      <c r="I14772" s="2">
        <v>946</v>
      </c>
      <c r="J14772" s="2">
        <v>1356</v>
      </c>
      <c r="K14772" s="2">
        <v>4</v>
      </c>
      <c r="L14772" s="2">
        <v>140</v>
      </c>
    </row>
    <row r="14773" spans="1:12" x14ac:dyDescent="0.25">
      <c r="A14773" s="4" t="str">
        <f>HYPERLINK("http://www.rosaceae.org/Prunus/Prunus_persica/p.persica_gdr_reftransV1_0030053","p.persica_gdr_reftransV1_0030053")</f>
        <v>p.persica_gdr_reftransV1_0030053</v>
      </c>
      <c r="B14773" s="2">
        <v>1363</v>
      </c>
      <c r="C14773" s="4" t="str">
        <f>HYPERLINK("http://www.uniprot.org/uniprot/M5VLJ7","M5VLJ7")</f>
        <v>M5VLJ7</v>
      </c>
      <c r="D14773" s="2" t="s">
        <v>4602</v>
      </c>
      <c r="E14773" s="3">
        <v>4.6299999999999998E-169</v>
      </c>
      <c r="F14773" s="2">
        <v>1257</v>
      </c>
      <c r="G14773" s="2">
        <v>98</v>
      </c>
      <c r="H14773" s="2">
        <v>250</v>
      </c>
      <c r="I14773" s="2">
        <v>104</v>
      </c>
      <c r="J14773" s="2">
        <v>853</v>
      </c>
      <c r="K14773" s="2">
        <v>1</v>
      </c>
      <c r="L14773" s="2">
        <v>246</v>
      </c>
    </row>
    <row r="14774" spans="1:12" x14ac:dyDescent="0.25">
      <c r="A14774" s="4" t="str">
        <f>HYPERLINK("http://www.rosaceae.org/Prunus/Prunus_persica/p.persica_gdr_reftransV1_0030403","p.persica_gdr_reftransV1_0030403")</f>
        <v>p.persica_gdr_reftransV1_0030403</v>
      </c>
      <c r="B14774" s="2">
        <v>1917</v>
      </c>
      <c r="C14774" s="4" t="str">
        <f>HYPERLINK("http://www.uniprot.org/uniprot/M5WFD0","M5WFD0")</f>
        <v>M5WFD0</v>
      </c>
      <c r="D14774" s="2" t="s">
        <v>11960</v>
      </c>
      <c r="E14774" s="3">
        <v>0</v>
      </c>
      <c r="F14774" s="2">
        <v>2004</v>
      </c>
      <c r="G14774" s="2">
        <v>95</v>
      </c>
      <c r="H14774" s="2">
        <v>453</v>
      </c>
      <c r="I14774" s="2">
        <v>456</v>
      </c>
      <c r="J14774" s="2">
        <v>1814</v>
      </c>
      <c r="K14774" s="2">
        <v>1</v>
      </c>
      <c r="L14774" s="2">
        <v>432</v>
      </c>
    </row>
    <row r="14775" spans="1:12" x14ac:dyDescent="0.25">
      <c r="A14775" s="4" t="str">
        <f>HYPERLINK("http://www.rosaceae.org/Prunus/Prunus_persica/p.persica_gdr_reftransV1_0030753","p.persica_gdr_reftransV1_0030753")</f>
        <v>p.persica_gdr_reftransV1_0030753</v>
      </c>
      <c r="B14775" s="2">
        <v>1623</v>
      </c>
      <c r="C14775" s="4" t="str">
        <f>HYPERLINK("http://www.uniprot.org/uniprot/M5WBJ0","M5WBJ0")</f>
        <v>M5WBJ0</v>
      </c>
      <c r="D14775" s="2" t="s">
        <v>11961</v>
      </c>
      <c r="E14775" s="3">
        <v>4.5800000000000002E-153</v>
      </c>
      <c r="F14775" s="2">
        <v>1159</v>
      </c>
      <c r="G14775" s="2">
        <v>100</v>
      </c>
      <c r="H14775" s="2">
        <v>223</v>
      </c>
      <c r="I14775" s="2">
        <v>152</v>
      </c>
      <c r="J14775" s="2">
        <v>820</v>
      </c>
      <c r="K14775" s="2">
        <v>1</v>
      </c>
      <c r="L14775" s="2">
        <v>223</v>
      </c>
    </row>
    <row r="14776" spans="1:12" x14ac:dyDescent="0.25">
      <c r="A14776" s="4" t="str">
        <f>HYPERLINK("http://www.rosaceae.org/Prunus/Prunus_persica/p.persica_gdr_reftransV1_0035303","p.persica_gdr_reftransV1_0035303")</f>
        <v>p.persica_gdr_reftransV1_0035303</v>
      </c>
      <c r="B14776" s="2">
        <v>3364</v>
      </c>
      <c r="C14776" s="4" t="str">
        <f>HYPERLINK("http://www.uniprot.org/uniprot/M5WN67","M5WN67")</f>
        <v>M5WN67</v>
      </c>
      <c r="D14776" s="2" t="s">
        <v>11962</v>
      </c>
      <c r="E14776" s="3">
        <v>3.5200000000000002E-126</v>
      </c>
      <c r="F14776" s="2">
        <v>1044</v>
      </c>
      <c r="G14776" s="2">
        <v>99</v>
      </c>
      <c r="H14776" s="2">
        <v>194</v>
      </c>
      <c r="I14776" s="2">
        <v>1348</v>
      </c>
      <c r="J14776" s="2">
        <v>1929</v>
      </c>
      <c r="K14776" s="2">
        <v>120</v>
      </c>
      <c r="L14776" s="2">
        <v>313</v>
      </c>
    </row>
    <row r="14777" spans="1:12" x14ac:dyDescent="0.25">
      <c r="A14777" s="4" t="str">
        <f>HYPERLINK("http://www.rosaceae.org/Prunus/Prunus_persica/p.persica_gdr_reftransV1_0036003","p.persica_gdr_reftransV1_0036003")</f>
        <v>p.persica_gdr_reftransV1_0036003</v>
      </c>
      <c r="B14777" s="2">
        <v>873</v>
      </c>
      <c r="C14777" s="4" t="str">
        <f>HYPERLINK("http://www.uniprot.org/uniprot/M5VIZ2","M5VIZ2")</f>
        <v>M5VIZ2</v>
      </c>
      <c r="D14777" s="2" t="s">
        <v>11963</v>
      </c>
      <c r="E14777" s="3">
        <v>5.1500000000000004E-88</v>
      </c>
      <c r="F14777" s="2">
        <v>703</v>
      </c>
      <c r="G14777" s="2">
        <v>100</v>
      </c>
      <c r="H14777" s="2">
        <v>170</v>
      </c>
      <c r="I14777" s="2">
        <v>181</v>
      </c>
      <c r="J14777" s="2">
        <v>690</v>
      </c>
      <c r="K14777" s="2">
        <v>93</v>
      </c>
      <c r="L14777" s="2">
        <v>262</v>
      </c>
    </row>
    <row r="14778" spans="1:12" x14ac:dyDescent="0.25">
      <c r="A14778" s="4" t="str">
        <f>HYPERLINK("http://www.rosaceae.org/Prunus/Prunus_persica/p.persica_gdr_reftransV1_0036703","p.persica_gdr_reftransV1_0036703")</f>
        <v>p.persica_gdr_reftransV1_0036703</v>
      </c>
      <c r="B14778" s="2">
        <v>1640</v>
      </c>
      <c r="C14778" s="4" t="str">
        <f>HYPERLINK("http://www.uniprot.org/uniprot/M5XCY7","M5XCY7")</f>
        <v>M5XCY7</v>
      </c>
      <c r="D14778" s="2" t="s">
        <v>10556</v>
      </c>
      <c r="E14778" s="3">
        <v>8.0699999999999995E-90</v>
      </c>
      <c r="F14778" s="2">
        <v>741</v>
      </c>
      <c r="G14778" s="2">
        <v>99</v>
      </c>
      <c r="H14778" s="2">
        <v>141</v>
      </c>
      <c r="I14778" s="2">
        <v>420</v>
      </c>
      <c r="J14778" s="2">
        <v>842</v>
      </c>
      <c r="K14778" s="2">
        <v>157</v>
      </c>
      <c r="L14778" s="2">
        <v>297</v>
      </c>
    </row>
    <row r="14779" spans="1:12" x14ac:dyDescent="0.25">
      <c r="A14779" s="4" t="str">
        <f>HYPERLINK("http://www.rosaceae.org/Prunus/Prunus_persica/p.persica_gdr_reftransV1_0037053","p.persica_gdr_reftransV1_0037053")</f>
        <v>p.persica_gdr_reftransV1_0037053</v>
      </c>
      <c r="B14779" s="2">
        <v>995</v>
      </c>
      <c r="C14779" s="4" t="str">
        <f>HYPERLINK("http://www.uniprot.org/uniprot/M5X3Q9","M5X3Q9")</f>
        <v>M5X3Q9</v>
      </c>
      <c r="D14779" s="2" t="s">
        <v>4722</v>
      </c>
      <c r="E14779" s="3">
        <v>3.0600000000000001E-121</v>
      </c>
      <c r="F14779" s="2">
        <v>976</v>
      </c>
      <c r="G14779" s="2">
        <v>99</v>
      </c>
      <c r="H14779" s="2">
        <v>183</v>
      </c>
      <c r="I14779" s="2">
        <v>126</v>
      </c>
      <c r="J14779" s="2">
        <v>674</v>
      </c>
      <c r="K14779" s="2">
        <v>658</v>
      </c>
      <c r="L14779" s="2">
        <v>840</v>
      </c>
    </row>
    <row r="14780" spans="1:12" x14ac:dyDescent="0.25">
      <c r="A14780" s="4" t="str">
        <f>HYPERLINK("http://www.rosaceae.org/Prunus/Prunus_persica/p.persica_gdr_reftransV1_0037403","p.persica_gdr_reftransV1_0037403")</f>
        <v>p.persica_gdr_reftransV1_0037403</v>
      </c>
      <c r="B14780" s="2">
        <v>3923</v>
      </c>
      <c r="C14780" s="4" t="str">
        <f>HYPERLINK("http://www.uniprot.org/uniprot/M5WS29","M5WS29")</f>
        <v>M5WS29</v>
      </c>
      <c r="D14780" s="2" t="s">
        <v>11964</v>
      </c>
      <c r="E14780" s="3">
        <v>1.5900000000000001E-153</v>
      </c>
      <c r="F14780" s="2">
        <v>1245</v>
      </c>
      <c r="G14780" s="2">
        <v>100</v>
      </c>
      <c r="H14780" s="2">
        <v>256</v>
      </c>
      <c r="I14780" s="2">
        <v>2896</v>
      </c>
      <c r="J14780" s="2">
        <v>3663</v>
      </c>
      <c r="K14780" s="2">
        <v>242</v>
      </c>
      <c r="L14780" s="2">
        <v>497</v>
      </c>
    </row>
    <row r="14781" spans="1:12" x14ac:dyDescent="0.25">
      <c r="A14781" s="4" t="str">
        <f>HYPERLINK("http://www.rosaceae.org/Prunus/Prunus_persica/p.persica_gdr_reftransV1_0040553","p.persica_gdr_reftransV1_0040553")</f>
        <v>p.persica_gdr_reftransV1_0040553</v>
      </c>
      <c r="B14781" s="2">
        <v>902</v>
      </c>
      <c r="C14781" s="4" t="str">
        <f>HYPERLINK("http://www.uniprot.org/uniprot/M5W5S0","M5W5S0")</f>
        <v>M5W5S0</v>
      </c>
      <c r="D14781" s="2" t="s">
        <v>8784</v>
      </c>
      <c r="E14781" s="3">
        <v>2.0200000000000001E-66</v>
      </c>
      <c r="F14781" s="2">
        <v>548</v>
      </c>
      <c r="G14781" s="2">
        <v>100</v>
      </c>
      <c r="H14781" s="2">
        <v>107</v>
      </c>
      <c r="I14781" s="2">
        <v>433</v>
      </c>
      <c r="J14781" s="2">
        <v>753</v>
      </c>
      <c r="K14781" s="2">
        <v>25</v>
      </c>
      <c r="L14781" s="2">
        <v>131</v>
      </c>
    </row>
    <row r="14782" spans="1:12" x14ac:dyDescent="0.25">
      <c r="A14782" s="4" t="str">
        <f>HYPERLINK("http://www.rosaceae.org/Prunus/Prunus_persica/p.persica_gdr_reftransV1_0043003","p.persica_gdr_reftransV1_0043003")</f>
        <v>p.persica_gdr_reftransV1_0043003</v>
      </c>
      <c r="B14782" s="2">
        <v>1492</v>
      </c>
      <c r="C14782" s="4" t="str">
        <f>HYPERLINK("http://www.uniprot.org/uniprot/M5WEN9","M5WEN9")</f>
        <v>M5WEN9</v>
      </c>
      <c r="D14782" s="2" t="s">
        <v>11965</v>
      </c>
      <c r="E14782" s="3">
        <v>1.6399999999999999E-126</v>
      </c>
      <c r="F14782" s="2">
        <v>970</v>
      </c>
      <c r="G14782" s="2">
        <v>100</v>
      </c>
      <c r="H14782" s="2">
        <v>183</v>
      </c>
      <c r="I14782" s="2">
        <v>298</v>
      </c>
      <c r="J14782" s="2">
        <v>846</v>
      </c>
      <c r="K14782" s="2">
        <v>2</v>
      </c>
      <c r="L14782" s="2">
        <v>184</v>
      </c>
    </row>
    <row r="14783" spans="1:12" x14ac:dyDescent="0.25">
      <c r="A14783" s="4" t="str">
        <f>HYPERLINK("http://www.rosaceae.org/Prunus/Prunus_persica/p.persica_gdr_reftransV1_0043353","p.persica_gdr_reftransV1_0043353")</f>
        <v>p.persica_gdr_reftransV1_0043353</v>
      </c>
      <c r="B14783" s="2">
        <v>422</v>
      </c>
      <c r="C14783" s="4" t="str">
        <f>HYPERLINK("http://www.uniprot.org/uniprot/M5VV22","M5VV22")</f>
        <v>M5VV22</v>
      </c>
      <c r="D14783" s="2" t="s">
        <v>11966</v>
      </c>
      <c r="E14783" s="3">
        <v>5.3300000000000002E-36</v>
      </c>
      <c r="F14783" s="2">
        <v>352</v>
      </c>
      <c r="G14783" s="2">
        <v>100</v>
      </c>
      <c r="H14783" s="2">
        <v>63</v>
      </c>
      <c r="I14783" s="2">
        <v>3</v>
      </c>
      <c r="J14783" s="2">
        <v>191</v>
      </c>
      <c r="K14783" s="2">
        <v>1</v>
      </c>
      <c r="L14783" s="2">
        <v>63</v>
      </c>
    </row>
    <row r="14784" spans="1:12" x14ac:dyDescent="0.25">
      <c r="A14784" s="4" t="str">
        <f>HYPERLINK("http://www.rosaceae.org/Prunus/Prunus_persica/p.persica_gdr_reftransV1_0043703","p.persica_gdr_reftransV1_0043703")</f>
        <v>p.persica_gdr_reftransV1_0043703</v>
      </c>
      <c r="B14784" s="2">
        <v>2253</v>
      </c>
      <c r="C14784" s="4" t="str">
        <f>HYPERLINK("http://www.uniprot.org/uniprot/M5W2C7","M5W2C7")</f>
        <v>M5W2C7</v>
      </c>
      <c r="D14784" s="2" t="s">
        <v>997</v>
      </c>
      <c r="E14784" s="3">
        <v>0</v>
      </c>
      <c r="F14784" s="2">
        <v>2657</v>
      </c>
      <c r="G14784" s="2">
        <v>88</v>
      </c>
      <c r="H14784" s="2">
        <v>666</v>
      </c>
      <c r="I14784" s="2">
        <v>3</v>
      </c>
      <c r="J14784" s="2">
        <v>2000</v>
      </c>
      <c r="K14784" s="2">
        <v>48</v>
      </c>
      <c r="L14784" s="2">
        <v>651</v>
      </c>
    </row>
    <row r="14785" spans="1:12" x14ac:dyDescent="0.25">
      <c r="A14785" s="4" t="str">
        <f>HYPERLINK("http://www.rosaceae.org/Prunus/Prunus_persica/p.persica_gdr_reftransV1_0044403","p.persica_gdr_reftransV1_0044403")</f>
        <v>p.persica_gdr_reftransV1_0044403</v>
      </c>
      <c r="B14785" s="2">
        <v>1876</v>
      </c>
      <c r="C14785" s="4" t="str">
        <f>HYPERLINK("http://www.uniprot.org/uniprot/M5XDT9","M5XDT9")</f>
        <v>M5XDT9</v>
      </c>
      <c r="D14785" s="2" t="s">
        <v>11967</v>
      </c>
      <c r="E14785" s="3">
        <v>0</v>
      </c>
      <c r="F14785" s="2">
        <v>2398</v>
      </c>
      <c r="G14785" s="2">
        <v>100</v>
      </c>
      <c r="H14785" s="2">
        <v>472</v>
      </c>
      <c r="I14785" s="2">
        <v>366</v>
      </c>
      <c r="J14785" s="2">
        <v>1781</v>
      </c>
      <c r="K14785" s="2">
        <v>1</v>
      </c>
      <c r="L14785" s="2">
        <v>472</v>
      </c>
    </row>
    <row r="14786" spans="1:12" x14ac:dyDescent="0.25">
      <c r="A14786" s="4" t="str">
        <f>HYPERLINK("http://www.rosaceae.org/Prunus/Prunus_persica/p.persica_gdr_reftransV1_0044753","p.persica_gdr_reftransV1_0044753")</f>
        <v>p.persica_gdr_reftransV1_0044753</v>
      </c>
      <c r="B14786" s="2">
        <v>839</v>
      </c>
      <c r="C14786" s="4" t="str">
        <f>HYPERLINK("http://www.uniprot.org/uniprot/M5XDZ7","M5XDZ7")</f>
        <v>M5XDZ7</v>
      </c>
      <c r="D14786" s="2" t="s">
        <v>11968</v>
      </c>
      <c r="E14786" s="3">
        <v>4.02E-106</v>
      </c>
      <c r="F14786" s="2">
        <v>811</v>
      </c>
      <c r="G14786" s="2">
        <v>99</v>
      </c>
      <c r="H14786" s="2">
        <v>160</v>
      </c>
      <c r="I14786" s="2">
        <v>160</v>
      </c>
      <c r="J14786" s="2">
        <v>639</v>
      </c>
      <c r="K14786" s="2">
        <v>1</v>
      </c>
      <c r="L14786" s="2">
        <v>159</v>
      </c>
    </row>
    <row r="14787" spans="1:12" x14ac:dyDescent="0.25">
      <c r="A14787" s="4" t="str">
        <f>HYPERLINK("http://www.rosaceae.org/Prunus/Prunus_persica/p.persica_gdr_reftransV1_0045103","p.persica_gdr_reftransV1_0045103")</f>
        <v>p.persica_gdr_reftransV1_0045103</v>
      </c>
      <c r="B14787" s="2">
        <v>389</v>
      </c>
      <c r="C14787" s="4" t="str">
        <f>HYPERLINK("http://www.uniprot.org/uniprot/M5XBV5","M5XBV5")</f>
        <v>M5XBV5</v>
      </c>
      <c r="D14787" s="2" t="s">
        <v>11969</v>
      </c>
      <c r="E14787" s="3">
        <v>1.73E-82</v>
      </c>
      <c r="F14787" s="2">
        <v>673</v>
      </c>
      <c r="G14787" s="2">
        <v>99</v>
      </c>
      <c r="H14787" s="2">
        <v>129</v>
      </c>
      <c r="I14787" s="2">
        <v>2</v>
      </c>
      <c r="J14787" s="2">
        <v>388</v>
      </c>
      <c r="K14787" s="2">
        <v>44</v>
      </c>
      <c r="L14787" s="2">
        <v>172</v>
      </c>
    </row>
    <row r="14788" spans="1:12" x14ac:dyDescent="0.25">
      <c r="A14788" s="4" t="str">
        <f>HYPERLINK("http://www.rosaceae.org/Prunus/Prunus_persica/p.persica_gdr_reftransV1_0045453","p.persica_gdr_reftransV1_0045453")</f>
        <v>p.persica_gdr_reftransV1_0045453</v>
      </c>
      <c r="B14788" s="2">
        <v>928</v>
      </c>
      <c r="C14788" s="4" t="str">
        <f>HYPERLINK("http://www.uniprot.org/uniprot/A0A067JI62","A0A067JI62")</f>
        <v>A0A067JI62</v>
      </c>
      <c r="D14788" s="2" t="s">
        <v>11970</v>
      </c>
      <c r="E14788" s="3">
        <v>1.15E-65</v>
      </c>
      <c r="F14788" s="2">
        <v>586</v>
      </c>
      <c r="G14788" s="2">
        <v>55</v>
      </c>
      <c r="H14788" s="2">
        <v>248</v>
      </c>
      <c r="I14788" s="2">
        <v>245</v>
      </c>
      <c r="J14788" s="2">
        <v>922</v>
      </c>
      <c r="K14788" s="2">
        <v>492</v>
      </c>
      <c r="L14788" s="2">
        <v>736</v>
      </c>
    </row>
    <row r="14789" spans="1:12" x14ac:dyDescent="0.25">
      <c r="A14789" s="4" t="str">
        <f>HYPERLINK("http://www.rosaceae.org/Prunus/Prunus_persica/p.persica_gdr_reftransV1_0046153","p.persica_gdr_reftransV1_0046153")</f>
        <v>p.persica_gdr_reftransV1_0046153</v>
      </c>
      <c r="B14789" s="2">
        <v>2728</v>
      </c>
      <c r="C14789" s="4" t="str">
        <f>HYPERLINK("http://www.uniprot.org/uniprot/M5W984","M5W984")</f>
        <v>M5W984</v>
      </c>
      <c r="D14789" s="2" t="s">
        <v>11971</v>
      </c>
      <c r="E14789" s="3">
        <v>0</v>
      </c>
      <c r="F14789" s="2">
        <v>2829</v>
      </c>
      <c r="G14789" s="2">
        <v>99</v>
      </c>
      <c r="H14789" s="2">
        <v>592</v>
      </c>
      <c r="I14789" s="2">
        <v>910</v>
      </c>
      <c r="J14789" s="2">
        <v>2685</v>
      </c>
      <c r="K14789" s="2">
        <v>1</v>
      </c>
      <c r="L14789" s="2">
        <v>592</v>
      </c>
    </row>
    <row r="14790" spans="1:12" x14ac:dyDescent="0.25">
      <c r="A14790" s="4" t="str">
        <f>HYPERLINK("http://www.rosaceae.org/Prunus/Prunus_persica/p.persica_gdr_reftransV1_0046503","p.persica_gdr_reftransV1_0046503")</f>
        <v>p.persica_gdr_reftransV1_0046503</v>
      </c>
      <c r="B14790" s="2">
        <v>1642</v>
      </c>
      <c r="C14790" s="4" t="str">
        <f>HYPERLINK("http://www.uniprot.org/uniprot/M5VZ48","M5VZ48")</f>
        <v>M5VZ48</v>
      </c>
      <c r="D14790" s="2" t="s">
        <v>11972</v>
      </c>
      <c r="E14790" s="3">
        <v>0</v>
      </c>
      <c r="F14790" s="2">
        <v>2116</v>
      </c>
      <c r="G14790" s="2">
        <v>100</v>
      </c>
      <c r="H14790" s="2">
        <v>405</v>
      </c>
      <c r="I14790" s="2">
        <v>85</v>
      </c>
      <c r="J14790" s="2">
        <v>1299</v>
      </c>
      <c r="K14790" s="2">
        <v>1</v>
      </c>
      <c r="L14790" s="2">
        <v>405</v>
      </c>
    </row>
    <row r="14791" spans="1:12" x14ac:dyDescent="0.25">
      <c r="A14791" s="4" t="str">
        <f>HYPERLINK("http://www.rosaceae.org/Prunus/Prunus_persica/p.persica_gdr_reftransV1_0047203","p.persica_gdr_reftransV1_0047203")</f>
        <v>p.persica_gdr_reftransV1_0047203</v>
      </c>
      <c r="B14791" s="2">
        <v>1349</v>
      </c>
      <c r="C14791" s="4" t="str">
        <f>HYPERLINK("http://www.uniprot.org/uniprot/M5VQK4","M5VQK4")</f>
        <v>M5VQK4</v>
      </c>
      <c r="D14791" s="2" t="s">
        <v>36</v>
      </c>
      <c r="E14791" s="3">
        <v>0</v>
      </c>
      <c r="F14791" s="2">
        <v>1584</v>
      </c>
      <c r="G14791" s="2">
        <v>96</v>
      </c>
      <c r="H14791" s="2">
        <v>340</v>
      </c>
      <c r="I14791" s="2">
        <v>142</v>
      </c>
      <c r="J14791" s="2">
        <v>1161</v>
      </c>
      <c r="K14791" s="2">
        <v>14</v>
      </c>
      <c r="L14791" s="2">
        <v>340</v>
      </c>
    </row>
    <row r="14792" spans="1:12" x14ac:dyDescent="0.25">
      <c r="A14792" s="4" t="str">
        <f>HYPERLINK("http://www.rosaceae.org/Prunus/Prunus_persica/p.persica_gdr_reftransV1_0047553","p.persica_gdr_reftransV1_0047553")</f>
        <v>p.persica_gdr_reftransV1_0047553</v>
      </c>
      <c r="B14792" s="2">
        <v>1908</v>
      </c>
      <c r="C14792" s="4" t="str">
        <f>HYPERLINK("http://www.uniprot.org/uniprot/M5WS48","M5WS48")</f>
        <v>M5WS48</v>
      </c>
      <c r="D14792" s="2" t="s">
        <v>5170</v>
      </c>
      <c r="E14792" s="3">
        <v>0</v>
      </c>
      <c r="F14792" s="2">
        <v>1622</v>
      </c>
      <c r="G14792" s="2">
        <v>100</v>
      </c>
      <c r="H14792" s="2">
        <v>321</v>
      </c>
      <c r="I14792" s="2">
        <v>306</v>
      </c>
      <c r="J14792" s="2">
        <v>1268</v>
      </c>
      <c r="K14792" s="2">
        <v>132</v>
      </c>
      <c r="L14792" s="2">
        <v>452</v>
      </c>
    </row>
    <row r="14793" spans="1:12" x14ac:dyDescent="0.25">
      <c r="A14793" s="4" t="str">
        <f>HYPERLINK("http://www.rosaceae.org/Prunus/Prunus_persica/p.persica_gdr_reftransV1_0048253","p.persica_gdr_reftransV1_0048253")</f>
        <v>p.persica_gdr_reftransV1_0048253</v>
      </c>
      <c r="B14793" s="2">
        <v>1498</v>
      </c>
      <c r="C14793" s="4" t="str">
        <f>HYPERLINK("http://www.uniprot.org/uniprot/M5WTT8","M5WTT8")</f>
        <v>M5WTT8</v>
      </c>
      <c r="D14793" s="2" t="s">
        <v>11973</v>
      </c>
      <c r="E14793" s="3">
        <v>0</v>
      </c>
      <c r="F14793" s="2">
        <v>1822</v>
      </c>
      <c r="G14793" s="2">
        <v>100</v>
      </c>
      <c r="H14793" s="2">
        <v>342</v>
      </c>
      <c r="I14793" s="2">
        <v>264</v>
      </c>
      <c r="J14793" s="2">
        <v>1289</v>
      </c>
      <c r="K14793" s="2">
        <v>1</v>
      </c>
      <c r="L14793" s="2">
        <v>342</v>
      </c>
    </row>
    <row r="14794" spans="1:12" x14ac:dyDescent="0.25">
      <c r="A14794" s="4" t="str">
        <f>HYPERLINK("http://www.rosaceae.org/Prunus/Prunus_persica/p.persica_gdr_reftransV1_0048603","p.persica_gdr_reftransV1_0048603")</f>
        <v>p.persica_gdr_reftransV1_0048603</v>
      </c>
      <c r="B14794" s="2">
        <v>2253</v>
      </c>
      <c r="C14794" s="4" t="str">
        <f>HYPERLINK("http://www.uniprot.org/uniprot/M5VUM7","M5VUM7")</f>
        <v>M5VUM7</v>
      </c>
      <c r="D14794" s="2" t="s">
        <v>11974</v>
      </c>
      <c r="E14794" s="3">
        <v>3.7400000000000001E-170</v>
      </c>
      <c r="F14794" s="2">
        <v>870</v>
      </c>
      <c r="G14794" s="2">
        <v>99</v>
      </c>
      <c r="H14794" s="2">
        <v>185</v>
      </c>
      <c r="I14794" s="2">
        <v>1073</v>
      </c>
      <c r="J14794" s="2">
        <v>1627</v>
      </c>
      <c r="K14794" s="2">
        <v>1</v>
      </c>
      <c r="L14794" s="2">
        <v>185</v>
      </c>
    </row>
    <row r="14795" spans="1:12" x14ac:dyDescent="0.25">
      <c r="A14795" s="4" t="str">
        <f>HYPERLINK("http://www.rosaceae.org/Prunus/Prunus_persica/p.persica_gdr_reftransV1_0048953","p.persica_gdr_reftransV1_0048953")</f>
        <v>p.persica_gdr_reftransV1_0048953</v>
      </c>
      <c r="B14795" s="2">
        <v>456</v>
      </c>
      <c r="C14795" s="4" t="str">
        <f>HYPERLINK("http://www.uniprot.org/uniprot/A0A067EDP1","A0A067EDP1")</f>
        <v>A0A067EDP1</v>
      </c>
      <c r="D14795" s="2" t="s">
        <v>11975</v>
      </c>
      <c r="E14795" s="3">
        <v>2.3400000000000001E-60</v>
      </c>
      <c r="F14795" s="2">
        <v>505</v>
      </c>
      <c r="G14795" s="2">
        <v>84</v>
      </c>
      <c r="H14795" s="2">
        <v>113</v>
      </c>
      <c r="I14795" s="2">
        <v>118</v>
      </c>
      <c r="J14795" s="2">
        <v>456</v>
      </c>
      <c r="K14795" s="2">
        <v>1</v>
      </c>
      <c r="L14795" s="2">
        <v>113</v>
      </c>
    </row>
    <row r="14796" spans="1:12" x14ac:dyDescent="0.25">
      <c r="A14796" s="4" t="str">
        <f>HYPERLINK("http://www.rosaceae.org/Prunus/Prunus_persica/p.persica_gdr_reftransV1_0000304","p.persica_gdr_reftransV1_0000304")</f>
        <v>p.persica_gdr_reftransV1_0000304</v>
      </c>
      <c r="B14796" s="2">
        <v>611</v>
      </c>
      <c r="C14796" s="4" t="str">
        <f>HYPERLINK("http://www.uniprot.org/uniprot/M5WGH3","M5WGH3")</f>
        <v>M5WGH3</v>
      </c>
      <c r="D14796" s="2" t="s">
        <v>2664</v>
      </c>
      <c r="E14796" s="3">
        <v>3.0999999999999999E-60</v>
      </c>
      <c r="F14796" s="2">
        <v>546</v>
      </c>
      <c r="G14796" s="2">
        <v>100</v>
      </c>
      <c r="H14796" s="2">
        <v>97</v>
      </c>
      <c r="I14796" s="2">
        <v>37</v>
      </c>
      <c r="J14796" s="2">
        <v>327</v>
      </c>
      <c r="K14796" s="2">
        <v>1441</v>
      </c>
      <c r="L14796" s="2">
        <v>1537</v>
      </c>
    </row>
    <row r="14797" spans="1:12" x14ac:dyDescent="0.25">
      <c r="A14797" s="4" t="str">
        <f>HYPERLINK("http://www.rosaceae.org/Prunus/Prunus_persica/p.persica_gdr_reftransV1_0000654","p.persica_gdr_reftransV1_0000654")</f>
        <v>p.persica_gdr_reftransV1_0000654</v>
      </c>
      <c r="B14797" s="2">
        <v>717</v>
      </c>
      <c r="C14797" s="4" t="str">
        <f>HYPERLINK("http://www.uniprot.org/uniprot/M5WXX1","M5WXX1")</f>
        <v>M5WXX1</v>
      </c>
      <c r="D14797" s="2" t="s">
        <v>1853</v>
      </c>
      <c r="E14797" s="3">
        <v>1.3399999999999999E-100</v>
      </c>
      <c r="F14797" s="2">
        <v>716</v>
      </c>
      <c r="G14797" s="2">
        <v>99</v>
      </c>
      <c r="H14797" s="2">
        <v>137</v>
      </c>
      <c r="I14797" s="2">
        <v>110</v>
      </c>
      <c r="J14797" s="2">
        <v>520</v>
      </c>
      <c r="K14797" s="2">
        <v>114</v>
      </c>
      <c r="L14797" s="2">
        <v>250</v>
      </c>
    </row>
    <row r="14798" spans="1:12" x14ac:dyDescent="0.25">
      <c r="A14798" s="4" t="str">
        <f>HYPERLINK("http://www.rosaceae.org/Prunus/Prunus_persica/p.persica_gdr_reftransV1_0001004","p.persica_gdr_reftransV1_0001004")</f>
        <v>p.persica_gdr_reftransV1_0001004</v>
      </c>
      <c r="B14798" s="2">
        <v>4092</v>
      </c>
      <c r="C14798" s="4" t="str">
        <f>HYPERLINK("http://www.uniprot.org/uniprot/M5W8I4","M5W8I4")</f>
        <v>M5W8I4</v>
      </c>
      <c r="D14798" s="2" t="s">
        <v>11976</v>
      </c>
      <c r="E14798" s="3">
        <v>0</v>
      </c>
      <c r="F14798" s="2">
        <v>6574</v>
      </c>
      <c r="G14798" s="2">
        <v>100</v>
      </c>
      <c r="H14798" s="2">
        <v>1242</v>
      </c>
      <c r="I14798" s="2">
        <v>264</v>
      </c>
      <c r="J14798" s="2">
        <v>3989</v>
      </c>
      <c r="K14798" s="2">
        <v>1</v>
      </c>
      <c r="L14798" s="2">
        <v>1242</v>
      </c>
    </row>
    <row r="14799" spans="1:12" x14ac:dyDescent="0.25">
      <c r="A14799" s="4" t="str">
        <f>HYPERLINK("http://www.rosaceae.org/Prunus/Prunus_persica/p.persica_gdr_reftransV1_0001354","p.persica_gdr_reftransV1_0001354")</f>
        <v>p.persica_gdr_reftransV1_0001354</v>
      </c>
      <c r="B14799" s="2">
        <v>1138</v>
      </c>
      <c r="C14799" s="4" t="str">
        <f>HYPERLINK("http://www.uniprot.org/uniprot/M5XYQ4","M5XYQ4")</f>
        <v>M5XYQ4</v>
      </c>
      <c r="D14799" s="2" t="s">
        <v>11977</v>
      </c>
      <c r="E14799" s="3">
        <v>9.1499999999999996E-169</v>
      </c>
      <c r="F14799" s="2">
        <v>1249</v>
      </c>
      <c r="G14799" s="2">
        <v>100</v>
      </c>
      <c r="H14799" s="2">
        <v>269</v>
      </c>
      <c r="I14799" s="2">
        <v>134</v>
      </c>
      <c r="J14799" s="2">
        <v>940</v>
      </c>
      <c r="K14799" s="2">
        <v>28</v>
      </c>
      <c r="L14799" s="2">
        <v>296</v>
      </c>
    </row>
    <row r="14800" spans="1:12" x14ac:dyDescent="0.25">
      <c r="A14800" s="4" t="str">
        <f>HYPERLINK("http://www.rosaceae.org/Prunus/Prunus_persica/p.persica_gdr_reftransV1_0001704","p.persica_gdr_reftransV1_0001704")</f>
        <v>p.persica_gdr_reftransV1_0001704</v>
      </c>
      <c r="B14800" s="2">
        <v>426</v>
      </c>
      <c r="C14800" s="4" t="str">
        <f>HYPERLINK("http://www.uniprot.org/uniprot/M5WZN9","M5WZN9")</f>
        <v>M5WZN9</v>
      </c>
      <c r="D14800" s="2" t="s">
        <v>11978</v>
      </c>
      <c r="E14800" s="3">
        <v>6.7900000000000003E-55</v>
      </c>
      <c r="F14800" s="2">
        <v>478</v>
      </c>
      <c r="G14800" s="2">
        <v>100</v>
      </c>
      <c r="H14800" s="2">
        <v>103</v>
      </c>
      <c r="I14800" s="2">
        <v>117</v>
      </c>
      <c r="J14800" s="2">
        <v>425</v>
      </c>
      <c r="K14800" s="2">
        <v>25</v>
      </c>
      <c r="L14800" s="2">
        <v>127</v>
      </c>
    </row>
    <row r="14801" spans="1:12" x14ac:dyDescent="0.25">
      <c r="A14801" s="4" t="str">
        <f>HYPERLINK("http://www.rosaceae.org/Prunus/Prunus_persica/p.persica_gdr_reftransV1_0002054","p.persica_gdr_reftransV1_0002054")</f>
        <v>p.persica_gdr_reftransV1_0002054</v>
      </c>
      <c r="B14801" s="2">
        <v>651</v>
      </c>
      <c r="C14801" s="4" t="str">
        <f>HYPERLINK("http://www.uniprot.org/uniprot/M5WAZ4","M5WAZ4")</f>
        <v>M5WAZ4</v>
      </c>
      <c r="D14801" s="2" t="s">
        <v>11979</v>
      </c>
      <c r="E14801" s="3">
        <v>9.0199999999999996E-52</v>
      </c>
      <c r="F14801" s="2">
        <v>442</v>
      </c>
      <c r="G14801" s="2">
        <v>100</v>
      </c>
      <c r="H14801" s="2">
        <v>85</v>
      </c>
      <c r="I14801" s="2">
        <v>348</v>
      </c>
      <c r="J14801" s="2">
        <v>602</v>
      </c>
      <c r="K14801" s="2">
        <v>39</v>
      </c>
      <c r="L14801" s="2">
        <v>123</v>
      </c>
    </row>
    <row r="14802" spans="1:12" x14ac:dyDescent="0.25">
      <c r="A14802" s="4" t="str">
        <f>HYPERLINK("http://www.rosaceae.org/Prunus/Prunus_persica/p.persica_gdr_reftransV1_0002404","p.persica_gdr_reftransV1_0002404")</f>
        <v>p.persica_gdr_reftransV1_0002404</v>
      </c>
      <c r="B14802" s="2">
        <v>787</v>
      </c>
      <c r="C14802" s="4" t="str">
        <f>HYPERLINK("http://www.uniprot.org/uniprot/M5W7N2","M5W7N2")</f>
        <v>M5W7N2</v>
      </c>
      <c r="D14802" s="2" t="s">
        <v>2033</v>
      </c>
      <c r="E14802" s="3">
        <v>2.0599999999999999E-8</v>
      </c>
      <c r="F14802" s="2">
        <v>155</v>
      </c>
      <c r="G14802" s="2">
        <v>74</v>
      </c>
      <c r="H14802" s="2">
        <v>39</v>
      </c>
      <c r="I14802" s="2">
        <v>375</v>
      </c>
      <c r="J14802" s="2">
        <v>491</v>
      </c>
      <c r="K14802" s="2">
        <v>42</v>
      </c>
      <c r="L14802" s="2">
        <v>78</v>
      </c>
    </row>
    <row r="14803" spans="1:12" x14ac:dyDescent="0.25">
      <c r="A14803" s="4" t="str">
        <f>HYPERLINK("http://www.rosaceae.org/Prunus/Prunus_persica/p.persica_gdr_reftransV1_0003104","p.persica_gdr_reftransV1_0003104")</f>
        <v>p.persica_gdr_reftransV1_0003104</v>
      </c>
      <c r="B14803" s="2">
        <v>2305</v>
      </c>
      <c r="C14803" s="4" t="str">
        <f>HYPERLINK("http://www.uniprot.org/uniprot/M5XN35","M5XN35")</f>
        <v>M5XN35</v>
      </c>
      <c r="D14803" s="2" t="s">
        <v>7068</v>
      </c>
      <c r="E14803" s="3">
        <v>0</v>
      </c>
      <c r="F14803" s="2">
        <v>2533</v>
      </c>
      <c r="G14803" s="2">
        <v>100</v>
      </c>
      <c r="H14803" s="2">
        <v>522</v>
      </c>
      <c r="I14803" s="2">
        <v>598</v>
      </c>
      <c r="J14803" s="2">
        <v>2163</v>
      </c>
      <c r="K14803" s="2">
        <v>1</v>
      </c>
      <c r="L14803" s="2">
        <v>522</v>
      </c>
    </row>
    <row r="14804" spans="1:12" x14ac:dyDescent="0.25">
      <c r="A14804" s="4" t="str">
        <f>HYPERLINK("http://www.rosaceae.org/Prunus/Prunus_persica/p.persica_gdr_reftransV1_0003454","p.persica_gdr_reftransV1_0003454")</f>
        <v>p.persica_gdr_reftransV1_0003454</v>
      </c>
      <c r="B14804" s="2">
        <v>1090</v>
      </c>
      <c r="C14804" s="4" t="str">
        <f>HYPERLINK("http://www.uniprot.org/uniprot/M5XAK2","M5XAK2")</f>
        <v>M5XAK2</v>
      </c>
      <c r="D14804" s="2" t="s">
        <v>4182</v>
      </c>
      <c r="E14804" s="3">
        <v>1.32E-142</v>
      </c>
      <c r="F14804" s="2">
        <v>1181</v>
      </c>
      <c r="G14804" s="2">
        <v>99</v>
      </c>
      <c r="H14804" s="2">
        <v>272</v>
      </c>
      <c r="I14804" s="2">
        <v>2</v>
      </c>
      <c r="J14804" s="2">
        <v>808</v>
      </c>
      <c r="K14804" s="2">
        <v>1</v>
      </c>
      <c r="L14804" s="2">
        <v>272</v>
      </c>
    </row>
    <row r="14805" spans="1:12" x14ac:dyDescent="0.25">
      <c r="A14805" s="4" t="str">
        <f>HYPERLINK("http://www.rosaceae.org/Prunus/Prunus_persica/p.persica_gdr_reftransV1_0004154","p.persica_gdr_reftransV1_0004154")</f>
        <v>p.persica_gdr_reftransV1_0004154</v>
      </c>
      <c r="B14805" s="2">
        <v>943</v>
      </c>
      <c r="C14805" s="4" t="str">
        <f>HYPERLINK("http://www.uniprot.org/uniprot/M5W0K0","M5W0K0")</f>
        <v>M5W0K0</v>
      </c>
      <c r="D14805" s="2" t="s">
        <v>11980</v>
      </c>
      <c r="E14805" s="3">
        <v>0</v>
      </c>
      <c r="F14805" s="2">
        <v>1638</v>
      </c>
      <c r="G14805" s="2">
        <v>100</v>
      </c>
      <c r="H14805" s="2">
        <v>309</v>
      </c>
      <c r="I14805" s="2">
        <v>16</v>
      </c>
      <c r="J14805" s="2">
        <v>942</v>
      </c>
      <c r="K14805" s="2">
        <v>160</v>
      </c>
      <c r="L14805" s="2">
        <v>468</v>
      </c>
    </row>
    <row r="14806" spans="1:12" x14ac:dyDescent="0.25">
      <c r="A14806" s="4" t="str">
        <f>HYPERLINK("http://www.rosaceae.org/Prunus/Prunus_persica/p.persica_gdr_reftransV1_0004504","p.persica_gdr_reftransV1_0004504")</f>
        <v>p.persica_gdr_reftransV1_0004504</v>
      </c>
      <c r="B14806" s="2">
        <v>1162</v>
      </c>
      <c r="C14806" s="4" t="str">
        <f>HYPERLINK("http://www.uniprot.org/uniprot/M5WZZ1","M5WZZ1")</f>
        <v>M5WZZ1</v>
      </c>
      <c r="D14806" s="2" t="s">
        <v>6943</v>
      </c>
      <c r="E14806" s="3">
        <v>3.6500000000000002E-134</v>
      </c>
      <c r="F14806" s="2">
        <v>896</v>
      </c>
      <c r="G14806" s="2">
        <v>75</v>
      </c>
      <c r="H14806" s="2">
        <v>249</v>
      </c>
      <c r="I14806" s="2">
        <v>156</v>
      </c>
      <c r="J14806" s="2">
        <v>902</v>
      </c>
      <c r="K14806" s="2">
        <v>38</v>
      </c>
      <c r="L14806" s="2">
        <v>238</v>
      </c>
    </row>
    <row r="14807" spans="1:12" x14ac:dyDescent="0.25">
      <c r="A14807" s="4" t="str">
        <f>HYPERLINK("http://www.rosaceae.org/Prunus/Prunus_persica/p.persica_gdr_reftransV1_0005204","p.persica_gdr_reftransV1_0005204")</f>
        <v>p.persica_gdr_reftransV1_0005204</v>
      </c>
      <c r="B14807" s="2">
        <v>6492</v>
      </c>
      <c r="C14807" s="4" t="str">
        <f>HYPERLINK("http://www.uniprot.org/uniprot/M5WEH9","M5WEH9")</f>
        <v>M5WEH9</v>
      </c>
      <c r="D14807" s="2" t="s">
        <v>1561</v>
      </c>
      <c r="E14807" s="3">
        <v>0</v>
      </c>
      <c r="F14807" s="2">
        <v>6772</v>
      </c>
      <c r="G14807" s="2">
        <v>99</v>
      </c>
      <c r="H14807" s="2">
        <v>1393</v>
      </c>
      <c r="I14807" s="2">
        <v>2317</v>
      </c>
      <c r="J14807" s="2">
        <v>6489</v>
      </c>
      <c r="K14807" s="2">
        <v>663</v>
      </c>
      <c r="L14807" s="2">
        <v>2052</v>
      </c>
    </row>
    <row r="14808" spans="1:12" x14ac:dyDescent="0.25">
      <c r="A14808" s="4" t="str">
        <f>HYPERLINK("http://www.rosaceae.org/Prunus/Prunus_persica/p.persica_gdr_reftransV1_0005554","p.persica_gdr_reftransV1_0005554")</f>
        <v>p.persica_gdr_reftransV1_0005554</v>
      </c>
      <c r="B14808" s="2">
        <v>954</v>
      </c>
      <c r="C14808" s="4" t="str">
        <f>HYPERLINK("http://www.uniprot.org/uniprot/M5W361","M5W361")</f>
        <v>M5W361</v>
      </c>
      <c r="D14808" s="2" t="s">
        <v>11981</v>
      </c>
      <c r="E14808" s="3">
        <v>9.0300000000000001E-125</v>
      </c>
      <c r="F14808" s="2">
        <v>959</v>
      </c>
      <c r="G14808" s="2">
        <v>100</v>
      </c>
      <c r="H14808" s="2">
        <v>180</v>
      </c>
      <c r="I14808" s="2">
        <v>414</v>
      </c>
      <c r="J14808" s="2">
        <v>953</v>
      </c>
      <c r="K14808" s="2">
        <v>192</v>
      </c>
      <c r="L14808" s="2">
        <v>371</v>
      </c>
    </row>
    <row r="14809" spans="1:12" x14ac:dyDescent="0.25">
      <c r="A14809" s="4" t="str">
        <f>HYPERLINK("http://www.rosaceae.org/Prunus/Prunus_persica/p.persica_gdr_reftransV1_0005904","p.persica_gdr_reftransV1_0005904")</f>
        <v>p.persica_gdr_reftransV1_0005904</v>
      </c>
      <c r="B14809" s="2">
        <v>1282</v>
      </c>
      <c r="C14809" s="4" t="str">
        <f>HYPERLINK("http://www.uniprot.org/uniprot/M5WBT3","M5WBT3")</f>
        <v>M5WBT3</v>
      </c>
      <c r="D14809" s="2" t="s">
        <v>11982</v>
      </c>
      <c r="E14809" s="3">
        <v>0</v>
      </c>
      <c r="F14809" s="2">
        <v>1656</v>
      </c>
      <c r="G14809" s="2">
        <v>99</v>
      </c>
      <c r="H14809" s="2">
        <v>310</v>
      </c>
      <c r="I14809" s="2">
        <v>353</v>
      </c>
      <c r="J14809" s="2">
        <v>1282</v>
      </c>
      <c r="K14809" s="2">
        <v>418</v>
      </c>
      <c r="L14809" s="2">
        <v>727</v>
      </c>
    </row>
    <row r="14810" spans="1:12" x14ac:dyDescent="0.25">
      <c r="A14810" s="4" t="str">
        <f>HYPERLINK("http://www.rosaceae.org/Prunus/Prunus_persica/p.persica_gdr_reftransV1_0006604","p.persica_gdr_reftransV1_0006604")</f>
        <v>p.persica_gdr_reftransV1_0006604</v>
      </c>
      <c r="B14810" s="2">
        <v>567</v>
      </c>
      <c r="C14810" s="4" t="str">
        <f>HYPERLINK("http://www.uniprot.org/uniprot/M5VVY9","M5VVY9")</f>
        <v>M5VVY9</v>
      </c>
      <c r="D14810" s="2" t="s">
        <v>11983</v>
      </c>
      <c r="E14810" s="3">
        <v>1.1599999999999999E-132</v>
      </c>
      <c r="F14810" s="2">
        <v>997</v>
      </c>
      <c r="G14810" s="2">
        <v>100</v>
      </c>
      <c r="H14810" s="2">
        <v>189</v>
      </c>
      <c r="I14810" s="2">
        <v>1</v>
      </c>
      <c r="J14810" s="2">
        <v>567</v>
      </c>
      <c r="K14810" s="2">
        <v>26</v>
      </c>
      <c r="L14810" s="2">
        <v>214</v>
      </c>
    </row>
    <row r="14811" spans="1:12" x14ac:dyDescent="0.25">
      <c r="A14811" s="4" t="str">
        <f>HYPERLINK("http://www.rosaceae.org/Prunus/Prunus_persica/p.persica_gdr_reftransV1_0007654","p.persica_gdr_reftransV1_0007654")</f>
        <v>p.persica_gdr_reftransV1_0007654</v>
      </c>
      <c r="B14811" s="2">
        <v>1281</v>
      </c>
      <c r="C14811" s="4" t="str">
        <f>HYPERLINK("http://www.uniprot.org/uniprot/M5VKV8","M5VKV8")</f>
        <v>M5VKV8</v>
      </c>
      <c r="D14811" s="2" t="s">
        <v>11984</v>
      </c>
      <c r="E14811" s="3">
        <v>6.4300000000000002E-156</v>
      </c>
      <c r="F14811" s="2">
        <v>1166</v>
      </c>
      <c r="G14811" s="2">
        <v>100</v>
      </c>
      <c r="H14811" s="2">
        <v>260</v>
      </c>
      <c r="I14811" s="2">
        <v>287</v>
      </c>
      <c r="J14811" s="2">
        <v>1066</v>
      </c>
      <c r="K14811" s="2">
        <v>1</v>
      </c>
      <c r="L14811" s="2">
        <v>260</v>
      </c>
    </row>
    <row r="14812" spans="1:12" x14ac:dyDescent="0.25">
      <c r="A14812" s="4" t="str">
        <f>HYPERLINK("http://www.rosaceae.org/Prunus/Prunus_persica/p.persica_gdr_reftransV1_0008004","p.persica_gdr_reftransV1_0008004")</f>
        <v>p.persica_gdr_reftransV1_0008004</v>
      </c>
      <c r="B14812" s="2">
        <v>717</v>
      </c>
      <c r="C14812" s="4" t="str">
        <f>HYPERLINK("http://www.uniprot.org/uniprot/M5W6N4","M5W6N4")</f>
        <v>M5W6N4</v>
      </c>
      <c r="D14812" s="2" t="s">
        <v>11377</v>
      </c>
      <c r="E14812" s="3">
        <v>8.8500000000000006E-166</v>
      </c>
      <c r="F14812" s="2">
        <v>1270</v>
      </c>
      <c r="G14812" s="2">
        <v>100</v>
      </c>
      <c r="H14812" s="2">
        <v>238</v>
      </c>
      <c r="I14812" s="2">
        <v>2</v>
      </c>
      <c r="J14812" s="2">
        <v>715</v>
      </c>
      <c r="K14812" s="2">
        <v>30</v>
      </c>
      <c r="L14812" s="2">
        <v>267</v>
      </c>
    </row>
    <row r="14813" spans="1:12" x14ac:dyDescent="0.25">
      <c r="A14813" s="4" t="str">
        <f>HYPERLINK("http://www.rosaceae.org/Prunus/Prunus_persica/p.persica_gdr_reftransV1_0009054","p.persica_gdr_reftransV1_0009054")</f>
        <v>p.persica_gdr_reftransV1_0009054</v>
      </c>
      <c r="B14813" s="2">
        <v>3078</v>
      </c>
      <c r="C14813" s="4" t="str">
        <f>HYPERLINK("http://www.uniprot.org/uniprot/M5WZB6","M5WZB6")</f>
        <v>M5WZB6</v>
      </c>
      <c r="D14813" s="2" t="s">
        <v>11985</v>
      </c>
      <c r="E14813" s="3">
        <v>0</v>
      </c>
      <c r="F14813" s="2">
        <v>4822</v>
      </c>
      <c r="G14813" s="2">
        <v>100</v>
      </c>
      <c r="H14813" s="2">
        <v>924</v>
      </c>
      <c r="I14813" s="2">
        <v>306</v>
      </c>
      <c r="J14813" s="2">
        <v>3077</v>
      </c>
      <c r="K14813" s="2">
        <v>71</v>
      </c>
      <c r="L14813" s="2">
        <v>994</v>
      </c>
    </row>
    <row r="14814" spans="1:12" x14ac:dyDescent="0.25">
      <c r="A14814" s="4" t="str">
        <f>HYPERLINK("http://www.rosaceae.org/Prunus/Prunus_persica/p.persica_gdr_reftransV1_0009754","p.persica_gdr_reftransV1_0009754")</f>
        <v>p.persica_gdr_reftransV1_0009754</v>
      </c>
      <c r="B14814" s="2">
        <v>2803</v>
      </c>
      <c r="C14814" s="4" t="str">
        <f>HYPERLINK("http://www.uniprot.org/uniprot/M5WYB4","M5WYB4")</f>
        <v>M5WYB4</v>
      </c>
      <c r="D14814" s="2" t="s">
        <v>11986</v>
      </c>
      <c r="E14814" s="3">
        <v>0</v>
      </c>
      <c r="F14814" s="2">
        <v>3358</v>
      </c>
      <c r="G14814" s="2">
        <v>95</v>
      </c>
      <c r="H14814" s="2">
        <v>747</v>
      </c>
      <c r="I14814" s="2">
        <v>266</v>
      </c>
      <c r="J14814" s="2">
        <v>2506</v>
      </c>
      <c r="K14814" s="2">
        <v>1</v>
      </c>
      <c r="L14814" s="2">
        <v>712</v>
      </c>
    </row>
    <row r="14815" spans="1:12" x14ac:dyDescent="0.25">
      <c r="A14815" s="4" t="str">
        <f>HYPERLINK("http://www.rosaceae.org/Prunus/Prunus_persica/p.persica_gdr_reftransV1_0010454","p.persica_gdr_reftransV1_0010454")</f>
        <v>p.persica_gdr_reftransV1_0010454</v>
      </c>
      <c r="B14815" s="2">
        <v>1728</v>
      </c>
      <c r="C14815" s="4" t="str">
        <f>HYPERLINK("http://www.uniprot.org/uniprot/M5X6P2","M5X6P2")</f>
        <v>M5X6P2</v>
      </c>
      <c r="D14815" s="2" t="s">
        <v>11987</v>
      </c>
      <c r="E14815" s="3">
        <v>6.3100000000000001E-24</v>
      </c>
      <c r="F14815" s="2">
        <v>264</v>
      </c>
      <c r="G14815" s="2">
        <v>71</v>
      </c>
      <c r="H14815" s="2">
        <v>80</v>
      </c>
      <c r="I14815" s="2">
        <v>529</v>
      </c>
      <c r="J14815" s="2">
        <v>765</v>
      </c>
      <c r="K14815" s="2">
        <v>1</v>
      </c>
      <c r="L14815" s="2">
        <v>80</v>
      </c>
    </row>
    <row r="14816" spans="1:12" x14ac:dyDescent="0.25">
      <c r="A14816" s="4" t="str">
        <f>HYPERLINK("http://www.rosaceae.org/Prunus/Prunus_persica/p.persica_gdr_reftransV1_0010804","p.persica_gdr_reftransV1_0010804")</f>
        <v>p.persica_gdr_reftransV1_0010804</v>
      </c>
      <c r="B14816" s="2">
        <v>2315</v>
      </c>
      <c r="C14816" s="4" t="str">
        <f>HYPERLINK("http://www.uniprot.org/uniprot/M5XMN3","M5XMN3")</f>
        <v>M5XMN3</v>
      </c>
      <c r="D14816" s="2" t="s">
        <v>11988</v>
      </c>
      <c r="E14816" s="3">
        <v>0</v>
      </c>
      <c r="F14816" s="2">
        <v>2430</v>
      </c>
      <c r="G14816" s="2">
        <v>92</v>
      </c>
      <c r="H14816" s="2">
        <v>614</v>
      </c>
      <c r="I14816" s="2">
        <v>164</v>
      </c>
      <c r="J14816" s="2">
        <v>2005</v>
      </c>
      <c r="K14816" s="2">
        <v>1</v>
      </c>
      <c r="L14816" s="2">
        <v>567</v>
      </c>
    </row>
    <row r="14817" spans="1:12" x14ac:dyDescent="0.25">
      <c r="A14817" s="4" t="str">
        <f>HYPERLINK("http://www.rosaceae.org/Prunus/Prunus_persica/p.persica_gdr_reftransV1_0011154","p.persica_gdr_reftransV1_0011154")</f>
        <v>p.persica_gdr_reftransV1_0011154</v>
      </c>
      <c r="B14817" s="2">
        <v>1978</v>
      </c>
      <c r="C14817" s="4" t="str">
        <f>HYPERLINK("http://www.uniprot.org/uniprot/M5Y1Q1","M5Y1Q1")</f>
        <v>M5Y1Q1</v>
      </c>
      <c r="D14817" s="2" t="s">
        <v>11989</v>
      </c>
      <c r="E14817" s="3">
        <v>0</v>
      </c>
      <c r="F14817" s="2">
        <v>2470</v>
      </c>
      <c r="G14817" s="2">
        <v>95</v>
      </c>
      <c r="H14817" s="2">
        <v>524</v>
      </c>
      <c r="I14817" s="2">
        <v>157</v>
      </c>
      <c r="J14817" s="2">
        <v>1728</v>
      </c>
      <c r="K14817" s="2">
        <v>15</v>
      </c>
      <c r="L14817" s="2">
        <v>519</v>
      </c>
    </row>
    <row r="14818" spans="1:12" x14ac:dyDescent="0.25">
      <c r="A14818" s="4" t="str">
        <f>HYPERLINK("http://www.rosaceae.org/Prunus/Prunus_persica/p.persica_gdr_reftransV1_0011504","p.persica_gdr_reftransV1_0011504")</f>
        <v>p.persica_gdr_reftransV1_0011504</v>
      </c>
      <c r="B14818" s="2">
        <v>1262</v>
      </c>
      <c r="C14818" s="4" t="str">
        <f>HYPERLINK("http://www.uniprot.org/uniprot/M5WVS0","M5WVS0")</f>
        <v>M5WVS0</v>
      </c>
      <c r="D14818" s="2" t="s">
        <v>11990</v>
      </c>
      <c r="E14818" s="3">
        <v>4.6399999999999998E-76</v>
      </c>
      <c r="F14818" s="2">
        <v>626</v>
      </c>
      <c r="G14818" s="2">
        <v>100</v>
      </c>
      <c r="H14818" s="2">
        <v>135</v>
      </c>
      <c r="I14818" s="2">
        <v>388</v>
      </c>
      <c r="J14818" s="2">
        <v>792</v>
      </c>
      <c r="K14818" s="2">
        <v>1</v>
      </c>
      <c r="L14818" s="2">
        <v>135</v>
      </c>
    </row>
    <row r="14819" spans="1:12" x14ac:dyDescent="0.25">
      <c r="A14819" s="4" t="str">
        <f>HYPERLINK("http://www.rosaceae.org/Prunus/Prunus_persica/p.persica_gdr_reftransV1_0011854","p.persica_gdr_reftransV1_0011854")</f>
        <v>p.persica_gdr_reftransV1_0011854</v>
      </c>
      <c r="B14819" s="2">
        <v>2405</v>
      </c>
      <c r="C14819" s="4" t="str">
        <f>HYPERLINK("http://www.uniprot.org/uniprot/M5XTP9","M5XTP9")</f>
        <v>M5XTP9</v>
      </c>
      <c r="D14819" s="2" t="s">
        <v>11991</v>
      </c>
      <c r="E14819" s="3">
        <v>0</v>
      </c>
      <c r="F14819" s="2">
        <v>2293</v>
      </c>
      <c r="G14819" s="2">
        <v>94</v>
      </c>
      <c r="H14819" s="2">
        <v>460</v>
      </c>
      <c r="I14819" s="2">
        <v>617</v>
      </c>
      <c r="J14819" s="2">
        <v>1921</v>
      </c>
      <c r="K14819" s="2">
        <v>1</v>
      </c>
      <c r="L14819" s="2">
        <v>460</v>
      </c>
    </row>
    <row r="14820" spans="1:12" x14ac:dyDescent="0.25">
      <c r="A14820" s="4" t="str">
        <f>HYPERLINK("http://www.rosaceae.org/Prunus/Prunus_persica/p.persica_gdr_reftransV1_0013604","p.persica_gdr_reftransV1_0013604")</f>
        <v>p.persica_gdr_reftransV1_0013604</v>
      </c>
      <c r="B14820" s="2">
        <v>1008</v>
      </c>
      <c r="C14820" s="4" t="str">
        <f>HYPERLINK("http://www.uniprot.org/uniprot/M5WFT6","M5WFT6")</f>
        <v>M5WFT6</v>
      </c>
      <c r="D14820" s="2" t="s">
        <v>4271</v>
      </c>
      <c r="E14820" s="3">
        <v>4.8800000000000001E-130</v>
      </c>
      <c r="F14820" s="2">
        <v>996</v>
      </c>
      <c r="G14820" s="2">
        <v>100</v>
      </c>
      <c r="H14820" s="2">
        <v>187</v>
      </c>
      <c r="I14820" s="2">
        <v>2</v>
      </c>
      <c r="J14820" s="2">
        <v>562</v>
      </c>
      <c r="K14820" s="2">
        <v>1</v>
      </c>
      <c r="L14820" s="2">
        <v>187</v>
      </c>
    </row>
    <row r="14821" spans="1:12" x14ac:dyDescent="0.25">
      <c r="A14821" s="4" t="str">
        <f>HYPERLINK("http://www.rosaceae.org/Prunus/Prunus_persica/p.persica_gdr_reftransV1_0015704","p.persica_gdr_reftransV1_0015704")</f>
        <v>p.persica_gdr_reftransV1_0015704</v>
      </c>
      <c r="B14821" s="2">
        <v>2242</v>
      </c>
      <c r="C14821" s="4" t="str">
        <f>HYPERLINK("http://www.uniprot.org/uniprot/M5X2G7","M5X2G7")</f>
        <v>M5X2G7</v>
      </c>
      <c r="D14821" s="2" t="s">
        <v>11992</v>
      </c>
      <c r="E14821" s="3">
        <v>1.82E-78</v>
      </c>
      <c r="F14821" s="2">
        <v>669</v>
      </c>
      <c r="G14821" s="2">
        <v>99</v>
      </c>
      <c r="H14821" s="2">
        <v>126</v>
      </c>
      <c r="I14821" s="2">
        <v>1716</v>
      </c>
      <c r="J14821" s="2">
        <v>2093</v>
      </c>
      <c r="K14821" s="2">
        <v>1</v>
      </c>
      <c r="L14821" s="2">
        <v>126</v>
      </c>
    </row>
    <row r="14822" spans="1:12" x14ac:dyDescent="0.25">
      <c r="A14822" s="4" t="str">
        <f>HYPERLINK("http://www.rosaceae.org/Prunus/Prunus_persica/p.persica_gdr_reftransV1_0016054","p.persica_gdr_reftransV1_0016054")</f>
        <v>p.persica_gdr_reftransV1_0016054</v>
      </c>
      <c r="B14822" s="2">
        <v>1646</v>
      </c>
      <c r="C14822" s="4" t="str">
        <f>HYPERLINK("http://www.uniprot.org/uniprot/M5XDV6","M5XDV6")</f>
        <v>M5XDV6</v>
      </c>
      <c r="D14822" s="2" t="s">
        <v>11993</v>
      </c>
      <c r="E14822" s="3">
        <v>2.7800000000000002E-109</v>
      </c>
      <c r="F14822" s="2">
        <v>860</v>
      </c>
      <c r="G14822" s="2">
        <v>96</v>
      </c>
      <c r="H14822" s="2">
        <v>170</v>
      </c>
      <c r="I14822" s="2">
        <v>490</v>
      </c>
      <c r="J14822" s="2">
        <v>993</v>
      </c>
      <c r="K14822" s="2">
        <v>12</v>
      </c>
      <c r="L14822" s="2">
        <v>181</v>
      </c>
    </row>
    <row r="14823" spans="1:12" x14ac:dyDescent="0.25">
      <c r="A14823" s="4" t="str">
        <f>HYPERLINK("http://www.rosaceae.org/Prunus/Prunus_persica/p.persica_gdr_reftransV1_0016404","p.persica_gdr_reftransV1_0016404")</f>
        <v>p.persica_gdr_reftransV1_0016404</v>
      </c>
      <c r="B14823" s="2">
        <v>1385</v>
      </c>
      <c r="C14823" s="4" t="str">
        <f>HYPERLINK("http://www.uniprot.org/uniprot/M5X4R5","M5X4R5")</f>
        <v>M5X4R5</v>
      </c>
      <c r="D14823" s="2" t="s">
        <v>11994</v>
      </c>
      <c r="E14823" s="3">
        <v>0</v>
      </c>
      <c r="F14823" s="2">
        <v>2008</v>
      </c>
      <c r="G14823" s="2">
        <v>100</v>
      </c>
      <c r="H14823" s="2">
        <v>404</v>
      </c>
      <c r="I14823" s="2">
        <v>32</v>
      </c>
      <c r="J14823" s="2">
        <v>1243</v>
      </c>
      <c r="K14823" s="2">
        <v>1</v>
      </c>
      <c r="L14823" s="2">
        <v>404</v>
      </c>
    </row>
    <row r="14824" spans="1:12" x14ac:dyDescent="0.25">
      <c r="A14824" s="4" t="str">
        <f>HYPERLINK("http://www.rosaceae.org/Prunus/Prunus_persica/p.persica_gdr_reftransV1_0016754","p.persica_gdr_reftransV1_0016754")</f>
        <v>p.persica_gdr_reftransV1_0016754</v>
      </c>
      <c r="B14824" s="2">
        <v>539</v>
      </c>
      <c r="C14824" s="4" t="str">
        <f>HYPERLINK("http://www.uniprot.org/uniprot/M5WGV7","M5WGV7")</f>
        <v>M5WGV7</v>
      </c>
      <c r="D14824" s="2" t="s">
        <v>11636</v>
      </c>
      <c r="E14824" s="3">
        <v>2.0899999999999998E-93</v>
      </c>
      <c r="F14824" s="2">
        <v>733</v>
      </c>
      <c r="G14824" s="2">
        <v>100</v>
      </c>
      <c r="H14824" s="2">
        <v>139</v>
      </c>
      <c r="I14824" s="2">
        <v>3</v>
      </c>
      <c r="J14824" s="2">
        <v>419</v>
      </c>
      <c r="K14824" s="2">
        <v>1</v>
      </c>
      <c r="L14824" s="2">
        <v>139</v>
      </c>
    </row>
    <row r="14825" spans="1:12" x14ac:dyDescent="0.25">
      <c r="A14825" s="4" t="str">
        <f>HYPERLINK("http://www.rosaceae.org/Prunus/Prunus_persica/p.persica_gdr_reftransV1_0018154","p.persica_gdr_reftransV1_0018154")</f>
        <v>p.persica_gdr_reftransV1_0018154</v>
      </c>
      <c r="B14825" s="2">
        <v>2374</v>
      </c>
      <c r="C14825" s="4" t="str">
        <f>HYPERLINK("http://www.uniprot.org/uniprot/M5XCG1","M5XCG1")</f>
        <v>M5XCG1</v>
      </c>
      <c r="D14825" s="2" t="s">
        <v>11995</v>
      </c>
      <c r="E14825" s="3">
        <v>0</v>
      </c>
      <c r="F14825" s="2">
        <v>2467</v>
      </c>
      <c r="G14825" s="2">
        <v>100</v>
      </c>
      <c r="H14825" s="2">
        <v>485</v>
      </c>
      <c r="I14825" s="2">
        <v>298</v>
      </c>
      <c r="J14825" s="2">
        <v>1752</v>
      </c>
      <c r="K14825" s="2">
        <v>1</v>
      </c>
      <c r="L14825" s="2">
        <v>485</v>
      </c>
    </row>
    <row r="14826" spans="1:12" x14ac:dyDescent="0.25">
      <c r="A14826" s="4" t="str">
        <f>HYPERLINK("http://www.rosaceae.org/Prunus/Prunus_persica/p.persica_gdr_reftransV1_0018504","p.persica_gdr_reftransV1_0018504")</f>
        <v>p.persica_gdr_reftransV1_0018504</v>
      </c>
      <c r="B14826" s="2">
        <v>1896</v>
      </c>
      <c r="C14826" s="4" t="str">
        <f>HYPERLINK("http://www.uniprot.org/uniprot/M5W2H5","M5W2H5")</f>
        <v>M5W2H5</v>
      </c>
      <c r="D14826" s="2" t="s">
        <v>10595</v>
      </c>
      <c r="E14826" s="3">
        <v>0</v>
      </c>
      <c r="F14826" s="2">
        <v>844</v>
      </c>
      <c r="G14826" s="2">
        <v>99</v>
      </c>
      <c r="H14826" s="2">
        <v>159</v>
      </c>
      <c r="I14826" s="2">
        <v>3</v>
      </c>
      <c r="J14826" s="2">
        <v>479</v>
      </c>
      <c r="K14826" s="2">
        <v>143</v>
      </c>
      <c r="L14826" s="2">
        <v>301</v>
      </c>
    </row>
    <row r="14827" spans="1:12" x14ac:dyDescent="0.25">
      <c r="A14827" s="4" t="str">
        <f>HYPERLINK("http://www.rosaceae.org/Prunus/Prunus_persica/p.persica_gdr_reftransV1_0020954","p.persica_gdr_reftransV1_0020954")</f>
        <v>p.persica_gdr_reftransV1_0020954</v>
      </c>
      <c r="B14827" s="2">
        <v>345</v>
      </c>
      <c r="C14827" s="4" t="str">
        <f>HYPERLINK("http://www.uniprot.org/uniprot/M5WF91","M5WF91")</f>
        <v>M5WF91</v>
      </c>
      <c r="D14827" s="2" t="s">
        <v>3254</v>
      </c>
      <c r="E14827" s="3">
        <v>3.5599999999999999E-30</v>
      </c>
      <c r="F14827" s="2">
        <v>302</v>
      </c>
      <c r="G14827" s="2">
        <v>100</v>
      </c>
      <c r="H14827" s="2">
        <v>91</v>
      </c>
      <c r="I14827" s="2">
        <v>21</v>
      </c>
      <c r="J14827" s="2">
        <v>293</v>
      </c>
      <c r="K14827" s="2">
        <v>1</v>
      </c>
      <c r="L14827" s="2">
        <v>91</v>
      </c>
    </row>
    <row r="14828" spans="1:12" x14ac:dyDescent="0.25">
      <c r="A14828" s="4" t="str">
        <f>HYPERLINK("http://www.rosaceae.org/Prunus/Prunus_persica/p.persica_gdr_reftransV1_0021304","p.persica_gdr_reftransV1_0021304")</f>
        <v>p.persica_gdr_reftransV1_0021304</v>
      </c>
      <c r="B14828" s="2">
        <v>2212</v>
      </c>
      <c r="C14828" s="4" t="str">
        <f>HYPERLINK("http://www.uniprot.org/uniprot/M5WFJ8","M5WFJ8")</f>
        <v>M5WFJ8</v>
      </c>
      <c r="D14828" s="2" t="s">
        <v>10206</v>
      </c>
      <c r="E14828" s="3">
        <v>0</v>
      </c>
      <c r="F14828" s="2">
        <v>2981</v>
      </c>
      <c r="G14828" s="2">
        <v>95</v>
      </c>
      <c r="H14828" s="2">
        <v>601</v>
      </c>
      <c r="I14828" s="2">
        <v>2</v>
      </c>
      <c r="J14828" s="2">
        <v>1804</v>
      </c>
      <c r="K14828" s="2">
        <v>1</v>
      </c>
      <c r="L14828" s="2">
        <v>569</v>
      </c>
    </row>
    <row r="14829" spans="1:12" x14ac:dyDescent="0.25">
      <c r="A14829" s="4" t="str">
        <f>HYPERLINK("http://www.rosaceae.org/Prunus/Prunus_persica/p.persica_gdr_reftransV1_0021654","p.persica_gdr_reftransV1_0021654")</f>
        <v>p.persica_gdr_reftransV1_0021654</v>
      </c>
      <c r="B14829" s="2">
        <v>1109</v>
      </c>
      <c r="C14829" s="4" t="str">
        <f>HYPERLINK("http://www.uniprot.org/uniprot/M5VX02","M5VX02")</f>
        <v>M5VX02</v>
      </c>
      <c r="D14829" s="2" t="s">
        <v>9999</v>
      </c>
      <c r="E14829" s="3">
        <v>0</v>
      </c>
      <c r="F14829" s="2">
        <v>1525</v>
      </c>
      <c r="G14829" s="2">
        <v>100</v>
      </c>
      <c r="H14829" s="2">
        <v>282</v>
      </c>
      <c r="I14829" s="2">
        <v>1</v>
      </c>
      <c r="J14829" s="2">
        <v>846</v>
      </c>
      <c r="K14829" s="2">
        <v>353</v>
      </c>
      <c r="L14829" s="2">
        <v>634</v>
      </c>
    </row>
    <row r="14830" spans="1:12" x14ac:dyDescent="0.25">
      <c r="A14830" s="4" t="str">
        <f>HYPERLINK("http://www.rosaceae.org/Prunus/Prunus_persica/p.persica_gdr_reftransV1_0022004","p.persica_gdr_reftransV1_0022004")</f>
        <v>p.persica_gdr_reftransV1_0022004</v>
      </c>
      <c r="B14830" s="2">
        <v>1728</v>
      </c>
      <c r="C14830" s="4" t="str">
        <f>HYPERLINK("http://www.uniprot.org/uniprot/M5XA85","M5XA85")</f>
        <v>M5XA85</v>
      </c>
      <c r="D14830" s="2" t="s">
        <v>11996</v>
      </c>
      <c r="E14830" s="3">
        <v>0</v>
      </c>
      <c r="F14830" s="2">
        <v>2736</v>
      </c>
      <c r="G14830" s="2">
        <v>100</v>
      </c>
      <c r="H14830" s="2">
        <v>505</v>
      </c>
      <c r="I14830" s="2">
        <v>214</v>
      </c>
      <c r="J14830" s="2">
        <v>1728</v>
      </c>
      <c r="K14830" s="2">
        <v>39</v>
      </c>
      <c r="L14830" s="2">
        <v>543</v>
      </c>
    </row>
    <row r="14831" spans="1:12" x14ac:dyDescent="0.25">
      <c r="A14831" s="4" t="str">
        <f>HYPERLINK("http://www.rosaceae.org/Prunus/Prunus_persica/p.persica_gdr_reftransV1_0022354","p.persica_gdr_reftransV1_0022354")</f>
        <v>p.persica_gdr_reftransV1_0022354</v>
      </c>
      <c r="B14831" s="2">
        <v>2328</v>
      </c>
      <c r="C14831" s="4" t="str">
        <f>HYPERLINK("http://www.uniprot.org/uniprot/M5WBU1","M5WBU1")</f>
        <v>M5WBU1</v>
      </c>
      <c r="D14831" s="2" t="s">
        <v>11997</v>
      </c>
      <c r="E14831" s="3">
        <v>0</v>
      </c>
      <c r="F14831" s="2">
        <v>1501</v>
      </c>
      <c r="G14831" s="2">
        <v>100</v>
      </c>
      <c r="H14831" s="2">
        <v>326</v>
      </c>
      <c r="I14831" s="2">
        <v>173</v>
      </c>
      <c r="J14831" s="2">
        <v>1150</v>
      </c>
      <c r="K14831" s="2">
        <v>1</v>
      </c>
      <c r="L14831" s="2">
        <v>326</v>
      </c>
    </row>
    <row r="14832" spans="1:12" x14ac:dyDescent="0.25">
      <c r="A14832" s="4" t="str">
        <f>HYPERLINK("http://www.rosaceae.org/Prunus/Prunus_persica/p.persica_gdr_reftransV1_0024804","p.persica_gdr_reftransV1_0024804")</f>
        <v>p.persica_gdr_reftransV1_0024804</v>
      </c>
      <c r="B14832" s="2">
        <v>1441</v>
      </c>
      <c r="C14832" s="4" t="str">
        <f>HYPERLINK("http://www.uniprot.org/uniprot/M5XSS9","M5XSS9")</f>
        <v>M5XSS9</v>
      </c>
      <c r="D14832" s="2" t="s">
        <v>1968</v>
      </c>
      <c r="E14832" s="3">
        <v>1.34E-42</v>
      </c>
      <c r="F14832" s="2">
        <v>406</v>
      </c>
      <c r="G14832" s="2">
        <v>100</v>
      </c>
      <c r="H14832" s="2">
        <v>93</v>
      </c>
      <c r="I14832" s="2">
        <v>1</v>
      </c>
      <c r="J14832" s="2">
        <v>279</v>
      </c>
      <c r="K14832" s="2">
        <v>62</v>
      </c>
      <c r="L14832" s="2">
        <v>154</v>
      </c>
    </row>
    <row r="14833" spans="1:12" x14ac:dyDescent="0.25">
      <c r="A14833" s="4" t="str">
        <f>HYPERLINK("http://www.rosaceae.org/Prunus/Prunus_persica/p.persica_gdr_reftransV1_0026204","p.persica_gdr_reftransV1_0026204")</f>
        <v>p.persica_gdr_reftransV1_0026204</v>
      </c>
      <c r="B14833" s="2">
        <v>2905</v>
      </c>
      <c r="C14833" s="4" t="str">
        <f>HYPERLINK("http://www.uniprot.org/uniprot/M5X6X7","M5X6X7")</f>
        <v>M5X6X7</v>
      </c>
      <c r="D14833" s="2" t="s">
        <v>11998</v>
      </c>
      <c r="E14833" s="3">
        <v>0</v>
      </c>
      <c r="F14833" s="2">
        <v>3662</v>
      </c>
      <c r="G14833" s="2">
        <v>100</v>
      </c>
      <c r="H14833" s="2">
        <v>721</v>
      </c>
      <c r="I14833" s="2">
        <v>298</v>
      </c>
      <c r="J14833" s="2">
        <v>2460</v>
      </c>
      <c r="K14833" s="2">
        <v>1</v>
      </c>
      <c r="L14833" s="2">
        <v>721</v>
      </c>
    </row>
    <row r="14834" spans="1:12" x14ac:dyDescent="0.25">
      <c r="A14834" s="4" t="str">
        <f>HYPERLINK("http://www.rosaceae.org/Prunus/Prunus_persica/p.persica_gdr_reftransV1_0026554","p.persica_gdr_reftransV1_0026554")</f>
        <v>p.persica_gdr_reftransV1_0026554</v>
      </c>
      <c r="B14834" s="2">
        <v>3501</v>
      </c>
      <c r="C14834" s="4" t="str">
        <f>HYPERLINK("http://www.uniprot.org/uniprot/M5XLH3","M5XLH3")</f>
        <v>M5XLH3</v>
      </c>
      <c r="D14834" s="2" t="s">
        <v>11999</v>
      </c>
      <c r="E14834" s="3">
        <v>0</v>
      </c>
      <c r="F14834" s="2">
        <v>2497</v>
      </c>
      <c r="G14834" s="2">
        <v>100</v>
      </c>
      <c r="H14834" s="2">
        <v>504</v>
      </c>
      <c r="I14834" s="2">
        <v>1309</v>
      </c>
      <c r="J14834" s="2">
        <v>2820</v>
      </c>
      <c r="K14834" s="2">
        <v>176</v>
      </c>
      <c r="L14834" s="2">
        <v>679</v>
      </c>
    </row>
    <row r="14835" spans="1:12" x14ac:dyDescent="0.25">
      <c r="A14835" s="4" t="str">
        <f>HYPERLINK("http://www.rosaceae.org/Prunus/Prunus_persica/p.persica_gdr_reftransV1_0027254","p.persica_gdr_reftransV1_0027254")</f>
        <v>p.persica_gdr_reftransV1_0027254</v>
      </c>
      <c r="B14835" s="2">
        <v>1676</v>
      </c>
      <c r="C14835" s="4" t="str">
        <f>HYPERLINK("http://www.uniprot.org/uniprot/M5VYP8","M5VYP8")</f>
        <v>M5VYP8</v>
      </c>
      <c r="D14835" s="2" t="s">
        <v>12000</v>
      </c>
      <c r="E14835" s="3">
        <v>0</v>
      </c>
      <c r="F14835" s="2">
        <v>1914</v>
      </c>
      <c r="G14835" s="2">
        <v>94</v>
      </c>
      <c r="H14835" s="2">
        <v>404</v>
      </c>
      <c r="I14835" s="2">
        <v>394</v>
      </c>
      <c r="J14835" s="2">
        <v>1605</v>
      </c>
      <c r="K14835" s="2">
        <v>1</v>
      </c>
      <c r="L14835" s="2">
        <v>379</v>
      </c>
    </row>
    <row r="14836" spans="1:12" x14ac:dyDescent="0.25">
      <c r="A14836" s="4" t="str">
        <f>HYPERLINK("http://www.rosaceae.org/Prunus/Prunus_persica/p.persica_gdr_reftransV1_0027954","p.persica_gdr_reftransV1_0027954")</f>
        <v>p.persica_gdr_reftransV1_0027954</v>
      </c>
      <c r="B14836" s="2">
        <v>1220</v>
      </c>
      <c r="C14836" s="4" t="str">
        <f>HYPERLINK("http://www.uniprot.org/uniprot/M5XPE2","M5XPE2")</f>
        <v>M5XPE2</v>
      </c>
      <c r="D14836" s="2" t="s">
        <v>12001</v>
      </c>
      <c r="E14836" s="3">
        <v>1.1400000000000001E-159</v>
      </c>
      <c r="F14836" s="2">
        <v>1189</v>
      </c>
      <c r="G14836" s="2">
        <v>100</v>
      </c>
      <c r="H14836" s="2">
        <v>241</v>
      </c>
      <c r="I14836" s="2">
        <v>229</v>
      </c>
      <c r="J14836" s="2">
        <v>951</v>
      </c>
      <c r="K14836" s="2">
        <v>1</v>
      </c>
      <c r="L14836" s="2">
        <v>241</v>
      </c>
    </row>
    <row r="14837" spans="1:12" x14ac:dyDescent="0.25">
      <c r="A14837" s="4" t="str">
        <f>HYPERLINK("http://www.rosaceae.org/Prunus/Prunus_persica/p.persica_gdr_reftransV1_0029704","p.persica_gdr_reftransV1_0029704")</f>
        <v>p.persica_gdr_reftransV1_0029704</v>
      </c>
      <c r="B14837" s="2">
        <v>1738</v>
      </c>
      <c r="C14837" s="4" t="str">
        <f>HYPERLINK("http://www.uniprot.org/uniprot/M5W8G7","M5W8G7")</f>
        <v>M5W8G7</v>
      </c>
      <c r="D14837" s="2" t="s">
        <v>12002</v>
      </c>
      <c r="E14837" s="3">
        <v>0</v>
      </c>
      <c r="F14837" s="2">
        <v>1847</v>
      </c>
      <c r="G14837" s="2">
        <v>91</v>
      </c>
      <c r="H14837" s="2">
        <v>419</v>
      </c>
      <c r="I14837" s="2">
        <v>281</v>
      </c>
      <c r="J14837" s="2">
        <v>1537</v>
      </c>
      <c r="K14837" s="2">
        <v>1</v>
      </c>
      <c r="L14837" s="2">
        <v>381</v>
      </c>
    </row>
    <row r="14838" spans="1:12" x14ac:dyDescent="0.25">
      <c r="A14838" s="4" t="str">
        <f>HYPERLINK("http://www.rosaceae.org/Prunus/Prunus_persica/p.persica_gdr_reftransV1_0030054","p.persica_gdr_reftransV1_0030054")</f>
        <v>p.persica_gdr_reftransV1_0030054</v>
      </c>
      <c r="B14838" s="2">
        <v>2088</v>
      </c>
      <c r="C14838" s="4" t="str">
        <f>HYPERLINK("http://www.uniprot.org/uniprot/M5WWC1","M5WWC1")</f>
        <v>M5WWC1</v>
      </c>
      <c r="D14838" s="2" t="s">
        <v>12003</v>
      </c>
      <c r="E14838" s="3">
        <v>0</v>
      </c>
      <c r="F14838" s="2">
        <v>1678</v>
      </c>
      <c r="G14838" s="2">
        <v>100</v>
      </c>
      <c r="H14838" s="2">
        <v>333</v>
      </c>
      <c r="I14838" s="2">
        <v>251</v>
      </c>
      <c r="J14838" s="2">
        <v>1249</v>
      </c>
      <c r="K14838" s="2">
        <v>1</v>
      </c>
      <c r="L14838" s="2">
        <v>333</v>
      </c>
    </row>
    <row r="14839" spans="1:12" x14ac:dyDescent="0.25">
      <c r="A14839" s="4" t="str">
        <f>HYPERLINK("http://www.rosaceae.org/Prunus/Prunus_persica/p.persica_gdr_reftransV1_0031454","p.persica_gdr_reftransV1_0031454")</f>
        <v>p.persica_gdr_reftransV1_0031454</v>
      </c>
      <c r="B14839" s="2">
        <v>2240</v>
      </c>
      <c r="C14839" s="4" t="str">
        <f>HYPERLINK("http://www.uniprot.org/uniprot/M5WZR5","M5WZR5")</f>
        <v>M5WZR5</v>
      </c>
      <c r="D14839" s="2" t="s">
        <v>12004</v>
      </c>
      <c r="E14839" s="3">
        <v>0</v>
      </c>
      <c r="F14839" s="2">
        <v>2351</v>
      </c>
      <c r="G14839" s="2">
        <v>100</v>
      </c>
      <c r="H14839" s="2">
        <v>473</v>
      </c>
      <c r="I14839" s="2">
        <v>447</v>
      </c>
      <c r="J14839" s="2">
        <v>1865</v>
      </c>
      <c r="K14839" s="2">
        <v>1</v>
      </c>
      <c r="L14839" s="2">
        <v>473</v>
      </c>
    </row>
    <row r="14840" spans="1:12" x14ac:dyDescent="0.25">
      <c r="A14840" s="4" t="str">
        <f>HYPERLINK("http://www.rosaceae.org/Prunus/Prunus_persica/p.persica_gdr_reftransV1_0033204","p.persica_gdr_reftransV1_0033204")</f>
        <v>p.persica_gdr_reftransV1_0033204</v>
      </c>
      <c r="B14840" s="2">
        <v>2990</v>
      </c>
      <c r="C14840" s="4" t="str">
        <f>HYPERLINK("http://www.uniprot.org/uniprot/M5W9C6","M5W9C6")</f>
        <v>M5W9C6</v>
      </c>
      <c r="D14840" s="2" t="s">
        <v>6146</v>
      </c>
      <c r="E14840" s="3">
        <v>0</v>
      </c>
      <c r="F14840" s="2">
        <v>2339</v>
      </c>
      <c r="G14840" s="2">
        <v>100</v>
      </c>
      <c r="H14840" s="2">
        <v>442</v>
      </c>
      <c r="I14840" s="2">
        <v>1152</v>
      </c>
      <c r="J14840" s="2">
        <v>2477</v>
      </c>
      <c r="K14840" s="2">
        <v>1</v>
      </c>
      <c r="L14840" s="2">
        <v>442</v>
      </c>
    </row>
    <row r="14841" spans="1:12" x14ac:dyDescent="0.25">
      <c r="A14841" s="4" t="str">
        <f>HYPERLINK("http://www.rosaceae.org/Prunus/Prunus_persica/p.persica_gdr_reftransV1_0037054","p.persica_gdr_reftransV1_0037054")</f>
        <v>p.persica_gdr_reftransV1_0037054</v>
      </c>
      <c r="B14841" s="2">
        <v>577</v>
      </c>
      <c r="C14841" s="4" t="str">
        <f>HYPERLINK("http://www.uniprot.org/uniprot/M5WJA0","M5WJA0")</f>
        <v>M5WJA0</v>
      </c>
      <c r="D14841" s="2" t="s">
        <v>12005</v>
      </c>
      <c r="E14841" s="3">
        <v>2.5099999999999998E-63</v>
      </c>
      <c r="F14841" s="2">
        <v>524</v>
      </c>
      <c r="G14841" s="2">
        <v>91</v>
      </c>
      <c r="H14841" s="2">
        <v>111</v>
      </c>
      <c r="I14841" s="2">
        <v>224</v>
      </c>
      <c r="J14841" s="2">
        <v>556</v>
      </c>
      <c r="K14841" s="2">
        <v>103</v>
      </c>
      <c r="L14841" s="2">
        <v>209</v>
      </c>
    </row>
    <row r="14842" spans="1:12" x14ac:dyDescent="0.25">
      <c r="A14842" s="4" t="str">
        <f>HYPERLINK("http://www.rosaceae.org/Prunus/Prunus_persica/p.persica_gdr_reftransV1_0037404","p.persica_gdr_reftransV1_0037404")</f>
        <v>p.persica_gdr_reftransV1_0037404</v>
      </c>
      <c r="B14842" s="2">
        <v>1556</v>
      </c>
      <c r="C14842" s="4" t="str">
        <f>HYPERLINK("http://www.uniprot.org/uniprot/M5W4N8","M5W4N8")</f>
        <v>M5W4N8</v>
      </c>
      <c r="D14842" s="2" t="s">
        <v>12006</v>
      </c>
      <c r="E14842" s="3">
        <v>3.5600000000000002E-137</v>
      </c>
      <c r="F14842" s="2">
        <v>1053</v>
      </c>
      <c r="G14842" s="2">
        <v>100</v>
      </c>
      <c r="H14842" s="2">
        <v>245</v>
      </c>
      <c r="I14842" s="2">
        <v>128</v>
      </c>
      <c r="J14842" s="2">
        <v>862</v>
      </c>
      <c r="K14842" s="2">
        <v>1</v>
      </c>
      <c r="L14842" s="2">
        <v>245</v>
      </c>
    </row>
    <row r="14843" spans="1:12" x14ac:dyDescent="0.25">
      <c r="A14843" s="4" t="str">
        <f>HYPERLINK("http://www.rosaceae.org/Prunus/Prunus_persica/p.persica_gdr_reftransV1_0038454","p.persica_gdr_reftransV1_0038454")</f>
        <v>p.persica_gdr_reftransV1_0038454</v>
      </c>
      <c r="B14843" s="2">
        <v>2096</v>
      </c>
      <c r="C14843" s="4" t="str">
        <f>HYPERLINK("http://www.uniprot.org/uniprot/M5XED6","M5XED6")</f>
        <v>M5XED6</v>
      </c>
      <c r="D14843" s="2" t="s">
        <v>4184</v>
      </c>
      <c r="E14843" s="3">
        <v>4.9299999999999999E-142</v>
      </c>
      <c r="F14843" s="2">
        <v>1106</v>
      </c>
      <c r="G14843" s="2">
        <v>68</v>
      </c>
      <c r="H14843" s="2">
        <v>343</v>
      </c>
      <c r="I14843" s="2">
        <v>518</v>
      </c>
      <c r="J14843" s="2">
        <v>1543</v>
      </c>
      <c r="K14843" s="2">
        <v>75</v>
      </c>
      <c r="L14843" s="2">
        <v>323</v>
      </c>
    </row>
    <row r="14844" spans="1:12" x14ac:dyDescent="0.25">
      <c r="A14844" s="4" t="str">
        <f>HYPERLINK("http://www.rosaceae.org/Prunus/Prunus_persica/p.persica_gdr_reftransV1_0039154","p.persica_gdr_reftransV1_0039154")</f>
        <v>p.persica_gdr_reftransV1_0039154</v>
      </c>
      <c r="B14844" s="2">
        <v>3307</v>
      </c>
      <c r="C14844" s="4" t="str">
        <f>HYPERLINK("http://www.uniprot.org/uniprot/M5VMP1","M5VMP1")</f>
        <v>M5VMP1</v>
      </c>
      <c r="D14844" s="2" t="s">
        <v>12007</v>
      </c>
      <c r="E14844" s="3">
        <v>6.4100000000000006E-51</v>
      </c>
      <c r="F14844" s="2">
        <v>483</v>
      </c>
      <c r="G14844" s="2">
        <v>100</v>
      </c>
      <c r="H14844" s="2">
        <v>138</v>
      </c>
      <c r="I14844" s="2">
        <v>2680</v>
      </c>
      <c r="J14844" s="2">
        <v>3093</v>
      </c>
      <c r="K14844" s="2">
        <v>1</v>
      </c>
      <c r="L14844" s="2">
        <v>138</v>
      </c>
    </row>
    <row r="14845" spans="1:12" x14ac:dyDescent="0.25">
      <c r="A14845" s="4" t="str">
        <f>HYPERLINK("http://www.rosaceae.org/Prunus/Prunus_persica/p.persica_gdr_reftransV1_0043354","p.persica_gdr_reftransV1_0043354")</f>
        <v>p.persica_gdr_reftransV1_0043354</v>
      </c>
      <c r="B14845" s="2">
        <v>1360</v>
      </c>
      <c r="C14845" s="4" t="str">
        <f>HYPERLINK("http://www.uniprot.org/uniprot/M5WVV9","M5WVV9")</f>
        <v>M5WVV9</v>
      </c>
      <c r="D14845" s="2" t="s">
        <v>1458</v>
      </c>
      <c r="E14845" s="3">
        <v>0</v>
      </c>
      <c r="F14845" s="2">
        <v>2259</v>
      </c>
      <c r="G14845" s="2">
        <v>100</v>
      </c>
      <c r="H14845" s="2">
        <v>436</v>
      </c>
      <c r="I14845" s="2">
        <v>2</v>
      </c>
      <c r="J14845" s="2">
        <v>1309</v>
      </c>
      <c r="K14845" s="2">
        <v>1058</v>
      </c>
      <c r="L14845" s="2">
        <v>1493</v>
      </c>
    </row>
    <row r="14846" spans="1:12" x14ac:dyDescent="0.25">
      <c r="A14846" s="4" t="str">
        <f>HYPERLINK("http://www.rosaceae.org/Prunus/Prunus_persica/p.persica_gdr_reftransV1_0043704","p.persica_gdr_reftransV1_0043704")</f>
        <v>p.persica_gdr_reftransV1_0043704</v>
      </c>
      <c r="B14846" s="2">
        <v>466</v>
      </c>
      <c r="C14846" s="4" t="str">
        <f>HYPERLINK("http://www.uniprot.org/uniprot/Q2L361","Q2L361")</f>
        <v>Q2L361</v>
      </c>
      <c r="D14846" s="2" t="s">
        <v>3475</v>
      </c>
      <c r="E14846" s="3">
        <v>1.8399999999999999E-57</v>
      </c>
      <c r="F14846" s="2">
        <v>514</v>
      </c>
      <c r="G14846" s="2">
        <v>65</v>
      </c>
      <c r="H14846" s="2">
        <v>156</v>
      </c>
      <c r="I14846" s="2">
        <v>4</v>
      </c>
      <c r="J14846" s="2">
        <v>462</v>
      </c>
      <c r="K14846" s="2">
        <v>438</v>
      </c>
      <c r="L14846" s="2">
        <v>590</v>
      </c>
    </row>
    <row r="14847" spans="1:12" x14ac:dyDescent="0.25">
      <c r="A14847" s="4" t="str">
        <f>HYPERLINK("http://www.rosaceae.org/Prunus/Prunus_persica/p.persica_gdr_reftransV1_0044054","p.persica_gdr_reftransV1_0044054")</f>
        <v>p.persica_gdr_reftransV1_0044054</v>
      </c>
      <c r="B14847" s="2">
        <v>1559</v>
      </c>
      <c r="C14847" s="4" t="str">
        <f>HYPERLINK("http://www.uniprot.org/uniprot/M5WIT7","M5WIT7")</f>
        <v>M5WIT7</v>
      </c>
      <c r="D14847" s="2" t="s">
        <v>12008</v>
      </c>
      <c r="E14847" s="3">
        <v>0</v>
      </c>
      <c r="F14847" s="2">
        <v>1879</v>
      </c>
      <c r="G14847" s="2">
        <v>88</v>
      </c>
      <c r="H14847" s="2">
        <v>396</v>
      </c>
      <c r="I14847" s="2">
        <v>335</v>
      </c>
      <c r="J14847" s="2">
        <v>1513</v>
      </c>
      <c r="K14847" s="2">
        <v>1</v>
      </c>
      <c r="L14847" s="2">
        <v>396</v>
      </c>
    </row>
    <row r="14848" spans="1:12" x14ac:dyDescent="0.25">
      <c r="A14848" s="4" t="str">
        <f>HYPERLINK("http://www.rosaceae.org/Prunus/Prunus_persica/p.persica_gdr_reftransV1_0044404","p.persica_gdr_reftransV1_0044404")</f>
        <v>p.persica_gdr_reftransV1_0044404</v>
      </c>
      <c r="B14848" s="2">
        <v>621</v>
      </c>
      <c r="C14848" s="4" t="str">
        <f>HYPERLINK("http://www.uniprot.org/uniprot/Q76IH8","Q76IH8")</f>
        <v>Q76IH8</v>
      </c>
      <c r="D14848" s="2" t="s">
        <v>12009</v>
      </c>
      <c r="E14848" s="3">
        <v>1.1799999999999999E-112</v>
      </c>
      <c r="F14848" s="2">
        <v>881</v>
      </c>
      <c r="G14848" s="2">
        <v>100</v>
      </c>
      <c r="H14848" s="2">
        <v>178</v>
      </c>
      <c r="I14848" s="2">
        <v>3</v>
      </c>
      <c r="J14848" s="2">
        <v>536</v>
      </c>
      <c r="K14848" s="2">
        <v>353</v>
      </c>
      <c r="L14848" s="2">
        <v>530</v>
      </c>
    </row>
    <row r="14849" spans="1:12" x14ac:dyDescent="0.25">
      <c r="A14849" s="4" t="str">
        <f>HYPERLINK("http://www.rosaceae.org/Prunus/Prunus_persica/p.persica_gdr_reftransV1_0044754","p.persica_gdr_reftransV1_0044754")</f>
        <v>p.persica_gdr_reftransV1_0044754</v>
      </c>
      <c r="B14849" s="2">
        <v>738</v>
      </c>
      <c r="C14849" s="4" t="str">
        <f>HYPERLINK("http://www.uniprot.org/uniprot/M5XI43","M5XI43")</f>
        <v>M5XI43</v>
      </c>
      <c r="D14849" s="2" t="s">
        <v>12010</v>
      </c>
      <c r="E14849" s="3">
        <v>9.8299999999999999E-138</v>
      </c>
      <c r="F14849" s="2">
        <v>1042</v>
      </c>
      <c r="G14849" s="2">
        <v>100</v>
      </c>
      <c r="H14849" s="2">
        <v>226</v>
      </c>
      <c r="I14849" s="2">
        <v>14</v>
      </c>
      <c r="J14849" s="2">
        <v>691</v>
      </c>
      <c r="K14849" s="2">
        <v>196</v>
      </c>
      <c r="L14849" s="2">
        <v>421</v>
      </c>
    </row>
    <row r="14850" spans="1:12" x14ac:dyDescent="0.25">
      <c r="A14850" s="4" t="str">
        <f>HYPERLINK("http://www.rosaceae.org/Prunus/Prunus_persica/p.persica_gdr_reftransV1_0045104","p.persica_gdr_reftransV1_0045104")</f>
        <v>p.persica_gdr_reftransV1_0045104</v>
      </c>
      <c r="B14850" s="2">
        <v>382</v>
      </c>
      <c r="C14850" s="4" t="str">
        <f>HYPERLINK("http://www.uniprot.org/uniprot/M5WBP1","M5WBP1")</f>
        <v>M5WBP1</v>
      </c>
      <c r="D14850" s="2" t="s">
        <v>12011</v>
      </c>
      <c r="E14850" s="3">
        <v>9.7300000000000003E-58</v>
      </c>
      <c r="F14850" s="2">
        <v>500</v>
      </c>
      <c r="G14850" s="2">
        <v>100</v>
      </c>
      <c r="H14850" s="2">
        <v>98</v>
      </c>
      <c r="I14850" s="2">
        <v>88</v>
      </c>
      <c r="J14850" s="2">
        <v>381</v>
      </c>
      <c r="K14850" s="2">
        <v>392</v>
      </c>
      <c r="L14850" s="2">
        <v>489</v>
      </c>
    </row>
    <row r="14851" spans="1:12" x14ac:dyDescent="0.25">
      <c r="A14851" s="4" t="str">
        <f>HYPERLINK("http://www.rosaceae.org/Prunus/Prunus_persica/p.persica_gdr_reftransV1_0045454","p.persica_gdr_reftransV1_0045454")</f>
        <v>p.persica_gdr_reftransV1_0045454</v>
      </c>
      <c r="B14851" s="2">
        <v>1262</v>
      </c>
      <c r="C14851" s="4" t="str">
        <f>HYPERLINK("http://www.uniprot.org/uniprot/M5W5Y7","M5W5Y7")</f>
        <v>M5W5Y7</v>
      </c>
      <c r="D14851" s="2" t="s">
        <v>9834</v>
      </c>
      <c r="E14851" s="3">
        <v>0</v>
      </c>
      <c r="F14851" s="2">
        <v>1427</v>
      </c>
      <c r="G14851" s="2">
        <v>96</v>
      </c>
      <c r="H14851" s="2">
        <v>289</v>
      </c>
      <c r="I14851" s="2">
        <v>3</v>
      </c>
      <c r="J14851" s="2">
        <v>869</v>
      </c>
      <c r="K14851" s="2">
        <v>608</v>
      </c>
      <c r="L14851" s="2">
        <v>896</v>
      </c>
    </row>
    <row r="14852" spans="1:12" x14ac:dyDescent="0.25">
      <c r="A14852" s="4" t="str">
        <f>HYPERLINK("http://www.rosaceae.org/Prunus/Prunus_persica/p.persica_gdr_reftransV1_0045804","p.persica_gdr_reftransV1_0045804")</f>
        <v>p.persica_gdr_reftransV1_0045804</v>
      </c>
      <c r="B14852" s="2">
        <v>1042</v>
      </c>
      <c r="C14852" s="4" t="str">
        <f>HYPERLINK("http://www.uniprot.org/uniprot/M5W5D6","M5W5D6")</f>
        <v>M5W5D6</v>
      </c>
      <c r="D14852" s="2" t="s">
        <v>12012</v>
      </c>
      <c r="E14852" s="3">
        <v>1.3799999999999999E-171</v>
      </c>
      <c r="F14852" s="2">
        <v>1260</v>
      </c>
      <c r="G14852" s="2">
        <v>100</v>
      </c>
      <c r="H14852" s="2">
        <v>250</v>
      </c>
      <c r="I14852" s="2">
        <v>35</v>
      </c>
      <c r="J14852" s="2">
        <v>784</v>
      </c>
      <c r="K14852" s="2">
        <v>1</v>
      </c>
      <c r="L14852" s="2">
        <v>250</v>
      </c>
    </row>
    <row r="14853" spans="1:12" x14ac:dyDescent="0.25">
      <c r="A14853" s="4" t="str">
        <f>HYPERLINK("http://www.rosaceae.org/Prunus/Prunus_persica/p.persica_gdr_reftransV1_0046154","p.persica_gdr_reftransV1_0046154")</f>
        <v>p.persica_gdr_reftransV1_0046154</v>
      </c>
      <c r="B14853" s="2">
        <v>2884</v>
      </c>
      <c r="C14853" s="4" t="str">
        <f>HYPERLINK("http://www.uniprot.org/uniprot/M5WRJ3","M5WRJ3")</f>
        <v>M5WRJ3</v>
      </c>
      <c r="D14853" s="2" t="s">
        <v>12013</v>
      </c>
      <c r="E14853" s="3">
        <v>0</v>
      </c>
      <c r="F14853" s="2">
        <v>3905</v>
      </c>
      <c r="G14853" s="2">
        <v>100</v>
      </c>
      <c r="H14853" s="2">
        <v>762</v>
      </c>
      <c r="I14853" s="2">
        <v>79</v>
      </c>
      <c r="J14853" s="2">
        <v>2364</v>
      </c>
      <c r="K14853" s="2">
        <v>1</v>
      </c>
      <c r="L14853" s="2">
        <v>762</v>
      </c>
    </row>
    <row r="14854" spans="1:12" x14ac:dyDescent="0.25">
      <c r="A14854" s="4" t="str">
        <f>HYPERLINK("http://www.rosaceae.org/Prunus/Prunus_persica/p.persica_gdr_reftransV1_0046504","p.persica_gdr_reftransV1_0046504")</f>
        <v>p.persica_gdr_reftransV1_0046504</v>
      </c>
      <c r="B14854" s="2">
        <v>1900</v>
      </c>
      <c r="C14854" s="4" t="str">
        <f>HYPERLINK("http://www.uniprot.org/uniprot/M5WTU1","M5WTU1")</f>
        <v>M5WTU1</v>
      </c>
      <c r="D14854" s="2" t="s">
        <v>8767</v>
      </c>
      <c r="E14854" s="3">
        <v>0</v>
      </c>
      <c r="F14854" s="2">
        <v>2182</v>
      </c>
      <c r="G14854" s="2">
        <v>100</v>
      </c>
      <c r="H14854" s="2">
        <v>416</v>
      </c>
      <c r="I14854" s="2">
        <v>98</v>
      </c>
      <c r="J14854" s="2">
        <v>1345</v>
      </c>
      <c r="K14854" s="2">
        <v>1</v>
      </c>
      <c r="L14854" s="2">
        <v>416</v>
      </c>
    </row>
    <row r="14855" spans="1:12" x14ac:dyDescent="0.25">
      <c r="A14855" s="4" t="str">
        <f>HYPERLINK("http://www.rosaceae.org/Prunus/Prunus_persica/p.persica_gdr_reftransV1_0046854","p.persica_gdr_reftransV1_0046854")</f>
        <v>p.persica_gdr_reftransV1_0046854</v>
      </c>
      <c r="B14855" s="2">
        <v>879</v>
      </c>
      <c r="C14855" s="4" t="str">
        <f>HYPERLINK("http://www.uniprot.org/uniprot/M5W364","M5W364")</f>
        <v>M5W364</v>
      </c>
      <c r="D14855" s="2" t="s">
        <v>11771</v>
      </c>
      <c r="E14855" s="3">
        <v>2.13E-38</v>
      </c>
      <c r="F14855" s="2">
        <v>232</v>
      </c>
      <c r="G14855" s="2">
        <v>100</v>
      </c>
      <c r="H14855" s="2">
        <v>61</v>
      </c>
      <c r="I14855" s="2">
        <v>107</v>
      </c>
      <c r="J14855" s="2">
        <v>289</v>
      </c>
      <c r="K14855" s="2">
        <v>1</v>
      </c>
      <c r="L14855" s="2">
        <v>61</v>
      </c>
    </row>
    <row r="14856" spans="1:12" x14ac:dyDescent="0.25">
      <c r="A14856" s="4" t="str">
        <f>HYPERLINK("http://www.rosaceae.org/Prunus/Prunus_persica/p.persica_gdr_reftransV1_0047204","p.persica_gdr_reftransV1_0047204")</f>
        <v>p.persica_gdr_reftransV1_0047204</v>
      </c>
      <c r="B14856" s="2">
        <v>1115</v>
      </c>
      <c r="C14856" s="4" t="str">
        <f>HYPERLINK("http://www.uniprot.org/uniprot/M5X0X5","M5X0X5")</f>
        <v>M5X0X5</v>
      </c>
      <c r="D14856" s="2" t="s">
        <v>9696</v>
      </c>
      <c r="E14856" s="3">
        <v>1.05E-151</v>
      </c>
      <c r="F14856" s="2">
        <v>1128</v>
      </c>
      <c r="G14856" s="2">
        <v>100</v>
      </c>
      <c r="H14856" s="2">
        <v>213</v>
      </c>
      <c r="I14856" s="2">
        <v>125</v>
      </c>
      <c r="J14856" s="2">
        <v>763</v>
      </c>
      <c r="K14856" s="2">
        <v>12</v>
      </c>
      <c r="L14856" s="2">
        <v>224</v>
      </c>
    </row>
    <row r="14857" spans="1:12" x14ac:dyDescent="0.25">
      <c r="A14857" s="4" t="str">
        <f>HYPERLINK("http://www.rosaceae.org/Prunus/Prunus_persica/p.persica_gdr_reftransV1_0047904","p.persica_gdr_reftransV1_0047904")</f>
        <v>p.persica_gdr_reftransV1_0047904</v>
      </c>
      <c r="B14857" s="2">
        <v>3187</v>
      </c>
      <c r="C14857" s="4" t="str">
        <f>HYPERLINK("http://www.uniprot.org/uniprot/M5WJG6","M5WJG6")</f>
        <v>M5WJG6</v>
      </c>
      <c r="D14857" s="2" t="s">
        <v>12014</v>
      </c>
      <c r="E14857" s="3">
        <v>0</v>
      </c>
      <c r="F14857" s="2">
        <v>4510</v>
      </c>
      <c r="G14857" s="2">
        <v>93</v>
      </c>
      <c r="H14857" s="2">
        <v>934</v>
      </c>
      <c r="I14857" s="2">
        <v>203</v>
      </c>
      <c r="J14857" s="2">
        <v>3001</v>
      </c>
      <c r="K14857" s="2">
        <v>1</v>
      </c>
      <c r="L14857" s="2">
        <v>933</v>
      </c>
    </row>
    <row r="14858" spans="1:12" x14ac:dyDescent="0.25">
      <c r="A14858" s="4" t="str">
        <f>HYPERLINK("http://www.rosaceae.org/Prunus/Prunus_persica/p.persica_gdr_reftransV1_0048254","p.persica_gdr_reftransV1_0048254")</f>
        <v>p.persica_gdr_reftransV1_0048254</v>
      </c>
      <c r="B14858" s="2">
        <v>374</v>
      </c>
      <c r="C14858" s="4" t="str">
        <f>HYPERLINK("http://www.uniprot.org/uniprot/W9RQB6","W9RQB6")</f>
        <v>W9RQB6</v>
      </c>
      <c r="D14858" s="2" t="s">
        <v>12015</v>
      </c>
      <c r="E14858" s="3">
        <v>4.5699999999999999E-62</v>
      </c>
      <c r="F14858" s="2">
        <v>553</v>
      </c>
      <c r="G14858" s="2">
        <v>81</v>
      </c>
      <c r="H14858" s="2">
        <v>124</v>
      </c>
      <c r="I14858" s="2">
        <v>2</v>
      </c>
      <c r="J14858" s="2">
        <v>373</v>
      </c>
      <c r="K14858" s="2">
        <v>1095</v>
      </c>
      <c r="L14858" s="2">
        <v>1218</v>
      </c>
    </row>
    <row r="14859" spans="1:12" x14ac:dyDescent="0.25">
      <c r="A14859" s="4" t="str">
        <f>HYPERLINK("http://www.rosaceae.org/Prunus/Prunus_persica/p.persica_gdr_reftransV1_0048604","p.persica_gdr_reftransV1_0048604")</f>
        <v>p.persica_gdr_reftransV1_0048604</v>
      </c>
      <c r="B14859" s="2">
        <v>1099</v>
      </c>
      <c r="C14859" s="4" t="str">
        <f>HYPERLINK("http://www.uniprot.org/uniprot/I1LXS9","I1LXS9")</f>
        <v>I1LXS9</v>
      </c>
      <c r="D14859" s="2" t="s">
        <v>575</v>
      </c>
      <c r="E14859" s="3">
        <v>2.4699999999999998E-94</v>
      </c>
      <c r="F14859" s="2">
        <v>824</v>
      </c>
      <c r="G14859" s="2">
        <v>76</v>
      </c>
      <c r="H14859" s="2">
        <v>241</v>
      </c>
      <c r="I14859" s="2">
        <v>391</v>
      </c>
      <c r="J14859" s="2">
        <v>1092</v>
      </c>
      <c r="K14859" s="2">
        <v>19112</v>
      </c>
      <c r="L14859" s="2">
        <v>19344</v>
      </c>
    </row>
    <row r="14860" spans="1:12" x14ac:dyDescent="0.25">
      <c r="A14860" s="4" t="str">
        <f>HYPERLINK("http://www.rosaceae.org/Prunus/Prunus_persica/p.persica_gdr_reftransV1_0000305","p.persica_gdr_reftransV1_0000305")</f>
        <v>p.persica_gdr_reftransV1_0000305</v>
      </c>
      <c r="B14860" s="2">
        <v>2658</v>
      </c>
      <c r="C14860" s="4" t="str">
        <f>HYPERLINK("http://www.uniprot.org/uniprot/M5W6N4","M5W6N4")</f>
        <v>M5W6N4</v>
      </c>
      <c r="D14860" s="2" t="s">
        <v>11377</v>
      </c>
      <c r="E14860" s="3">
        <v>0</v>
      </c>
      <c r="F14860" s="2">
        <v>4472</v>
      </c>
      <c r="G14860" s="2">
        <v>100</v>
      </c>
      <c r="H14860" s="2">
        <v>859</v>
      </c>
      <c r="I14860" s="2">
        <v>81</v>
      </c>
      <c r="J14860" s="2">
        <v>2657</v>
      </c>
      <c r="K14860" s="2">
        <v>55</v>
      </c>
      <c r="L14860" s="2">
        <v>912</v>
      </c>
    </row>
    <row r="14861" spans="1:12" x14ac:dyDescent="0.25">
      <c r="A14861" s="4" t="str">
        <f>HYPERLINK("http://www.rosaceae.org/Prunus/Prunus_persica/p.persica_gdr_reftransV1_0000655","p.persica_gdr_reftransV1_0000655")</f>
        <v>p.persica_gdr_reftransV1_0000655</v>
      </c>
      <c r="B14861" s="2">
        <v>2758</v>
      </c>
      <c r="C14861" s="4" t="str">
        <f>HYPERLINK("http://www.uniprot.org/uniprot/M5XNR6","M5XNR6")</f>
        <v>M5XNR6</v>
      </c>
      <c r="D14861" s="2" t="s">
        <v>12016</v>
      </c>
      <c r="E14861" s="3">
        <v>0</v>
      </c>
      <c r="F14861" s="2">
        <v>3287</v>
      </c>
      <c r="G14861" s="2">
        <v>100</v>
      </c>
      <c r="H14861" s="2">
        <v>760</v>
      </c>
      <c r="I14861" s="2">
        <v>205</v>
      </c>
      <c r="J14861" s="2">
        <v>2484</v>
      </c>
      <c r="K14861" s="2">
        <v>13</v>
      </c>
      <c r="L14861" s="2">
        <v>772</v>
      </c>
    </row>
    <row r="14862" spans="1:12" x14ac:dyDescent="0.25">
      <c r="A14862" s="4" t="str">
        <f>HYPERLINK("http://www.rosaceae.org/Prunus/Prunus_persica/p.persica_gdr_reftransV1_0001005","p.persica_gdr_reftransV1_0001005")</f>
        <v>p.persica_gdr_reftransV1_0001005</v>
      </c>
      <c r="B14862" s="2">
        <v>368</v>
      </c>
      <c r="C14862" s="4" t="str">
        <f>HYPERLINK("http://www.uniprot.org/uniprot/M5X081","M5X081")</f>
        <v>M5X081</v>
      </c>
      <c r="D14862" s="2" t="s">
        <v>12017</v>
      </c>
      <c r="E14862" s="3">
        <v>3E-37</v>
      </c>
      <c r="F14862" s="2">
        <v>357</v>
      </c>
      <c r="G14862" s="2">
        <v>100</v>
      </c>
      <c r="H14862" s="2">
        <v>117</v>
      </c>
      <c r="I14862" s="2">
        <v>16</v>
      </c>
      <c r="J14862" s="2">
        <v>366</v>
      </c>
      <c r="K14862" s="2">
        <v>1</v>
      </c>
      <c r="L14862" s="2">
        <v>117</v>
      </c>
    </row>
    <row r="14863" spans="1:12" x14ac:dyDescent="0.25">
      <c r="A14863" s="4" t="str">
        <f>HYPERLINK("http://www.rosaceae.org/Prunus/Prunus_persica/p.persica_gdr_reftransV1_0001705","p.persica_gdr_reftransV1_0001705")</f>
        <v>p.persica_gdr_reftransV1_0001705</v>
      </c>
      <c r="B14863" s="2">
        <v>3627</v>
      </c>
      <c r="C14863" s="4" t="str">
        <f>HYPERLINK("http://www.uniprot.org/uniprot/M5WRB3","M5WRB3")</f>
        <v>M5WRB3</v>
      </c>
      <c r="D14863" s="2" t="s">
        <v>5925</v>
      </c>
      <c r="E14863" s="3">
        <v>0</v>
      </c>
      <c r="F14863" s="2">
        <v>5600</v>
      </c>
      <c r="G14863" s="2">
        <v>100</v>
      </c>
      <c r="H14863" s="2">
        <v>1156</v>
      </c>
      <c r="I14863" s="2">
        <v>159</v>
      </c>
      <c r="J14863" s="2">
        <v>3626</v>
      </c>
      <c r="K14863" s="2">
        <v>115</v>
      </c>
      <c r="L14863" s="2">
        <v>1270</v>
      </c>
    </row>
    <row r="14864" spans="1:12" x14ac:dyDescent="0.25">
      <c r="A14864" s="4" t="str">
        <f>HYPERLINK("http://www.rosaceae.org/Prunus/Prunus_persica/p.persica_gdr_reftransV1_0002055","p.persica_gdr_reftransV1_0002055")</f>
        <v>p.persica_gdr_reftransV1_0002055</v>
      </c>
      <c r="B14864" s="2">
        <v>370</v>
      </c>
      <c r="C14864" s="4" t="str">
        <f>HYPERLINK("http://www.uniprot.org/uniprot/M5XKC1","M5XKC1")</f>
        <v>M5XKC1</v>
      </c>
      <c r="D14864" s="2" t="s">
        <v>2111</v>
      </c>
      <c r="E14864" s="3">
        <v>4.8499999999999998E-48</v>
      </c>
      <c r="F14864" s="2">
        <v>444</v>
      </c>
      <c r="G14864" s="2">
        <v>99</v>
      </c>
      <c r="H14864" s="2">
        <v>83</v>
      </c>
      <c r="I14864" s="2">
        <v>3</v>
      </c>
      <c r="J14864" s="2">
        <v>251</v>
      </c>
      <c r="K14864" s="2">
        <v>17</v>
      </c>
      <c r="L14864" s="2">
        <v>99</v>
      </c>
    </row>
    <row r="14865" spans="1:12" x14ac:dyDescent="0.25">
      <c r="A14865" s="4" t="str">
        <f>HYPERLINK("http://www.rosaceae.org/Prunus/Prunus_persica/p.persica_gdr_reftransV1_0002405","p.persica_gdr_reftransV1_0002405")</f>
        <v>p.persica_gdr_reftransV1_0002405</v>
      </c>
      <c r="B14865" s="2">
        <v>709</v>
      </c>
      <c r="C14865" s="4" t="str">
        <f>HYPERLINK("http://www.uniprot.org/uniprot/M5W683","M5W683")</f>
        <v>M5W683</v>
      </c>
      <c r="D14865" s="2" t="s">
        <v>9418</v>
      </c>
      <c r="E14865" s="3">
        <v>1.9400000000000002E-121</v>
      </c>
      <c r="F14865" s="2">
        <v>958</v>
      </c>
      <c r="G14865" s="2">
        <v>100</v>
      </c>
      <c r="H14865" s="2">
        <v>217</v>
      </c>
      <c r="I14865" s="2">
        <v>21</v>
      </c>
      <c r="J14865" s="2">
        <v>671</v>
      </c>
      <c r="K14865" s="2">
        <v>509</v>
      </c>
      <c r="L14865" s="2">
        <v>725</v>
      </c>
    </row>
    <row r="14866" spans="1:12" x14ac:dyDescent="0.25">
      <c r="A14866" s="4" t="str">
        <f>HYPERLINK("http://www.rosaceae.org/Prunus/Prunus_persica/p.persica_gdr_reftransV1_0002755","p.persica_gdr_reftransV1_0002755")</f>
        <v>p.persica_gdr_reftransV1_0002755</v>
      </c>
      <c r="B14866" s="2">
        <v>2480</v>
      </c>
      <c r="C14866" s="4" t="str">
        <f>HYPERLINK("http://www.uniprot.org/uniprot/M5VMG3","M5VMG3")</f>
        <v>M5VMG3</v>
      </c>
      <c r="D14866" s="2" t="s">
        <v>12018</v>
      </c>
      <c r="E14866" s="3">
        <v>0</v>
      </c>
      <c r="F14866" s="2">
        <v>3399</v>
      </c>
      <c r="G14866" s="2">
        <v>100</v>
      </c>
      <c r="H14866" s="2">
        <v>639</v>
      </c>
      <c r="I14866" s="2">
        <v>360</v>
      </c>
      <c r="J14866" s="2">
        <v>2276</v>
      </c>
      <c r="K14866" s="2">
        <v>1</v>
      </c>
      <c r="L14866" s="2">
        <v>639</v>
      </c>
    </row>
    <row r="14867" spans="1:12" x14ac:dyDescent="0.25">
      <c r="A14867" s="4" t="str">
        <f>HYPERLINK("http://www.rosaceae.org/Prunus/Prunus_persica/p.persica_gdr_reftransV1_0003105","p.persica_gdr_reftransV1_0003105")</f>
        <v>p.persica_gdr_reftransV1_0003105</v>
      </c>
      <c r="B14867" s="2">
        <v>2517</v>
      </c>
      <c r="C14867" s="4" t="str">
        <f>HYPERLINK("http://www.uniprot.org/uniprot/M5XAR3","M5XAR3")</f>
        <v>M5XAR3</v>
      </c>
      <c r="D14867" s="2" t="s">
        <v>7027</v>
      </c>
      <c r="E14867" s="3">
        <v>0</v>
      </c>
      <c r="F14867" s="2">
        <v>2740</v>
      </c>
      <c r="G14867" s="2">
        <v>100</v>
      </c>
      <c r="H14867" s="2">
        <v>589</v>
      </c>
      <c r="I14867" s="2">
        <v>568</v>
      </c>
      <c r="J14867" s="2">
        <v>2334</v>
      </c>
      <c r="K14867" s="2">
        <v>1</v>
      </c>
      <c r="L14867" s="2">
        <v>589</v>
      </c>
    </row>
    <row r="14868" spans="1:12" x14ac:dyDescent="0.25">
      <c r="A14868" s="4" t="str">
        <f>HYPERLINK("http://www.rosaceae.org/Prunus/Prunus_persica/p.persica_gdr_reftransV1_0003455","p.persica_gdr_reftransV1_0003455")</f>
        <v>p.persica_gdr_reftransV1_0003455</v>
      </c>
      <c r="B14868" s="2">
        <v>3248</v>
      </c>
      <c r="C14868" s="4" t="str">
        <f>HYPERLINK("http://www.uniprot.org/uniprot/M5X700","M5X700")</f>
        <v>M5X700</v>
      </c>
      <c r="D14868" s="2" t="s">
        <v>464</v>
      </c>
      <c r="E14868" s="3">
        <v>0</v>
      </c>
      <c r="F14868" s="2">
        <v>4188</v>
      </c>
      <c r="G14868" s="2">
        <v>100</v>
      </c>
      <c r="H14868" s="2">
        <v>841</v>
      </c>
      <c r="I14868" s="2">
        <v>265</v>
      </c>
      <c r="J14868" s="2">
        <v>2787</v>
      </c>
      <c r="K14868" s="2">
        <v>1</v>
      </c>
      <c r="L14868" s="2">
        <v>841</v>
      </c>
    </row>
    <row r="14869" spans="1:12" x14ac:dyDescent="0.25">
      <c r="A14869" s="4" t="str">
        <f>HYPERLINK("http://www.rosaceae.org/Prunus/Prunus_persica/p.persica_gdr_reftransV1_0003805","p.persica_gdr_reftransV1_0003805")</f>
        <v>p.persica_gdr_reftransV1_0003805</v>
      </c>
      <c r="B14869" s="2">
        <v>2238</v>
      </c>
      <c r="C14869" s="4" t="str">
        <f>HYPERLINK("http://www.uniprot.org/uniprot/M5WXS4","M5WXS4")</f>
        <v>M5WXS4</v>
      </c>
      <c r="D14869" s="2" t="s">
        <v>12019</v>
      </c>
      <c r="E14869" s="3">
        <v>0</v>
      </c>
      <c r="F14869" s="2">
        <v>2012</v>
      </c>
      <c r="G14869" s="2">
        <v>99</v>
      </c>
      <c r="H14869" s="2">
        <v>381</v>
      </c>
      <c r="I14869" s="2">
        <v>831</v>
      </c>
      <c r="J14869" s="2">
        <v>1973</v>
      </c>
      <c r="K14869" s="2">
        <v>4</v>
      </c>
      <c r="L14869" s="2">
        <v>384</v>
      </c>
    </row>
    <row r="14870" spans="1:12" x14ac:dyDescent="0.25">
      <c r="A14870" s="4" t="str">
        <f>HYPERLINK("http://www.rosaceae.org/Prunus/Prunus_persica/p.persica_gdr_reftransV1_0004155","p.persica_gdr_reftransV1_0004155")</f>
        <v>p.persica_gdr_reftransV1_0004155</v>
      </c>
      <c r="B14870" s="2">
        <v>2281</v>
      </c>
      <c r="C14870" s="4" t="str">
        <f>HYPERLINK("http://www.uniprot.org/uniprot/M5W9G7","M5W9G7")</f>
        <v>M5W9G7</v>
      </c>
      <c r="D14870" s="2" t="s">
        <v>12020</v>
      </c>
      <c r="E14870" s="3">
        <v>0</v>
      </c>
      <c r="F14870" s="2">
        <v>1559</v>
      </c>
      <c r="G14870" s="2">
        <v>92</v>
      </c>
      <c r="H14870" s="2">
        <v>352</v>
      </c>
      <c r="I14870" s="2">
        <v>812</v>
      </c>
      <c r="J14870" s="2">
        <v>1843</v>
      </c>
      <c r="K14870" s="2">
        <v>51</v>
      </c>
      <c r="L14870" s="2">
        <v>402</v>
      </c>
    </row>
    <row r="14871" spans="1:12" x14ac:dyDescent="0.25">
      <c r="A14871" s="4" t="str">
        <f>HYPERLINK("http://www.rosaceae.org/Prunus/Prunus_persica/p.persica_gdr_reftransV1_0004855","p.persica_gdr_reftransV1_0004855")</f>
        <v>p.persica_gdr_reftransV1_0004855</v>
      </c>
      <c r="B14871" s="2">
        <v>1182</v>
      </c>
      <c r="C14871" s="4" t="str">
        <f>HYPERLINK("http://www.uniprot.org/uniprot/M5XPY5","M5XPY5")</f>
        <v>M5XPY5</v>
      </c>
      <c r="D14871" s="2" t="s">
        <v>2171</v>
      </c>
      <c r="E14871" s="3">
        <v>8.5099999999999996E-80</v>
      </c>
      <c r="F14871" s="2">
        <v>652</v>
      </c>
      <c r="G14871" s="2">
        <v>100</v>
      </c>
      <c r="H14871" s="2">
        <v>164</v>
      </c>
      <c r="I14871" s="2">
        <v>266</v>
      </c>
      <c r="J14871" s="2">
        <v>757</v>
      </c>
      <c r="K14871" s="2">
        <v>20</v>
      </c>
      <c r="L14871" s="2">
        <v>183</v>
      </c>
    </row>
    <row r="14872" spans="1:12" x14ac:dyDescent="0.25">
      <c r="A14872" s="4" t="str">
        <f>HYPERLINK("http://www.rosaceae.org/Prunus/Prunus_persica/p.persica_gdr_reftransV1_0005555","p.persica_gdr_reftransV1_0005555")</f>
        <v>p.persica_gdr_reftransV1_0005555</v>
      </c>
      <c r="B14872" s="2">
        <v>628</v>
      </c>
      <c r="C14872" s="4" t="str">
        <f>HYPERLINK("http://www.uniprot.org/uniprot/M5VL96","M5VL96")</f>
        <v>M5VL96</v>
      </c>
      <c r="D14872" s="2" t="s">
        <v>12021</v>
      </c>
      <c r="E14872" s="3">
        <v>5.2599999999999997E-93</v>
      </c>
      <c r="F14872" s="2">
        <v>757</v>
      </c>
      <c r="G14872" s="2">
        <v>95</v>
      </c>
      <c r="H14872" s="2">
        <v>196</v>
      </c>
      <c r="I14872" s="2">
        <v>1</v>
      </c>
      <c r="J14872" s="2">
        <v>588</v>
      </c>
      <c r="K14872" s="2">
        <v>413</v>
      </c>
      <c r="L14872" s="2">
        <v>606</v>
      </c>
    </row>
    <row r="14873" spans="1:12" x14ac:dyDescent="0.25">
      <c r="A14873" s="4" t="str">
        <f>HYPERLINK("http://www.rosaceae.org/Prunus/Prunus_persica/p.persica_gdr_reftransV1_0005905","p.persica_gdr_reftransV1_0005905")</f>
        <v>p.persica_gdr_reftransV1_0005905</v>
      </c>
      <c r="B14873" s="2">
        <v>1059</v>
      </c>
      <c r="C14873" s="4" t="str">
        <f>HYPERLINK("http://www.uniprot.org/uniprot/M5WKY5","M5WKY5")</f>
        <v>M5WKY5</v>
      </c>
      <c r="D14873" s="2" t="s">
        <v>12022</v>
      </c>
      <c r="E14873" s="3">
        <v>0</v>
      </c>
      <c r="F14873" s="2">
        <v>1403</v>
      </c>
      <c r="G14873" s="2">
        <v>100</v>
      </c>
      <c r="H14873" s="2">
        <v>285</v>
      </c>
      <c r="I14873" s="2">
        <v>169</v>
      </c>
      <c r="J14873" s="2">
        <v>1023</v>
      </c>
      <c r="K14873" s="2">
        <v>1</v>
      </c>
      <c r="L14873" s="2">
        <v>285</v>
      </c>
    </row>
    <row r="14874" spans="1:12" x14ac:dyDescent="0.25">
      <c r="A14874" s="4" t="str">
        <f>HYPERLINK("http://www.rosaceae.org/Prunus/Prunus_persica/p.persica_gdr_reftransV1_0006255","p.persica_gdr_reftransV1_0006255")</f>
        <v>p.persica_gdr_reftransV1_0006255</v>
      </c>
      <c r="B14874" s="2">
        <v>2014</v>
      </c>
      <c r="C14874" s="4" t="str">
        <f>HYPERLINK("http://www.uniprot.org/uniprot/M5XDP9","M5XDP9")</f>
        <v>M5XDP9</v>
      </c>
      <c r="D14874" s="2" t="s">
        <v>12023</v>
      </c>
      <c r="E14874" s="3">
        <v>0</v>
      </c>
      <c r="F14874" s="2">
        <v>2774</v>
      </c>
      <c r="G14874" s="2">
        <v>100</v>
      </c>
      <c r="H14874" s="2">
        <v>535</v>
      </c>
      <c r="I14874" s="2">
        <v>20</v>
      </c>
      <c r="J14874" s="2">
        <v>1624</v>
      </c>
      <c r="K14874" s="2">
        <v>1</v>
      </c>
      <c r="L14874" s="2">
        <v>535</v>
      </c>
    </row>
    <row r="14875" spans="1:12" x14ac:dyDescent="0.25">
      <c r="A14875" s="4" t="str">
        <f>HYPERLINK("http://www.rosaceae.org/Prunus/Prunus_persica/p.persica_gdr_reftransV1_0006955","p.persica_gdr_reftransV1_0006955")</f>
        <v>p.persica_gdr_reftransV1_0006955</v>
      </c>
      <c r="B14875" s="2">
        <v>552</v>
      </c>
      <c r="C14875" s="4" t="str">
        <f>HYPERLINK("http://www.uniprot.org/uniprot/M5XYM8","M5XYM8")</f>
        <v>M5XYM8</v>
      </c>
      <c r="D14875" s="2" t="s">
        <v>12024</v>
      </c>
      <c r="E14875" s="3">
        <v>2.2700000000000001E-64</v>
      </c>
      <c r="F14875" s="2">
        <v>516</v>
      </c>
      <c r="G14875" s="2">
        <v>100</v>
      </c>
      <c r="H14875" s="2">
        <v>94</v>
      </c>
      <c r="I14875" s="2">
        <v>189</v>
      </c>
      <c r="J14875" s="2">
        <v>470</v>
      </c>
      <c r="K14875" s="2">
        <v>1</v>
      </c>
      <c r="L14875" s="2">
        <v>94</v>
      </c>
    </row>
    <row r="14876" spans="1:12" x14ac:dyDescent="0.25">
      <c r="A14876" s="4" t="str">
        <f>HYPERLINK("http://www.rosaceae.org/Prunus/Prunus_persica/p.persica_gdr_reftransV1_0007305","p.persica_gdr_reftransV1_0007305")</f>
        <v>p.persica_gdr_reftransV1_0007305</v>
      </c>
      <c r="B14876" s="2">
        <v>1585</v>
      </c>
      <c r="C14876" s="4" t="str">
        <f>HYPERLINK("http://www.uniprot.org/uniprot/M5WRG6","M5WRG6")</f>
        <v>M5WRG6</v>
      </c>
      <c r="D14876" s="2" t="s">
        <v>12025</v>
      </c>
      <c r="E14876" s="3">
        <v>0</v>
      </c>
      <c r="F14876" s="2">
        <v>2144</v>
      </c>
      <c r="G14876" s="2">
        <v>100</v>
      </c>
      <c r="H14876" s="2">
        <v>393</v>
      </c>
      <c r="I14876" s="2">
        <v>405</v>
      </c>
      <c r="J14876" s="2">
        <v>1583</v>
      </c>
      <c r="K14876" s="2">
        <v>170</v>
      </c>
      <c r="L14876" s="2">
        <v>562</v>
      </c>
    </row>
    <row r="14877" spans="1:12" x14ac:dyDescent="0.25">
      <c r="A14877" s="4" t="str">
        <f>HYPERLINK("http://www.rosaceae.org/Prunus/Prunus_persica/p.persica_gdr_reftransV1_0007655","p.persica_gdr_reftransV1_0007655")</f>
        <v>p.persica_gdr_reftransV1_0007655</v>
      </c>
      <c r="B14877" s="2">
        <v>1907</v>
      </c>
      <c r="C14877" s="4" t="str">
        <f>HYPERLINK("http://www.uniprot.org/uniprot/M5Wid7","M5Wid7")</f>
        <v>M5Wid7</v>
      </c>
      <c r="D14877" s="2" t="s">
        <v>459</v>
      </c>
      <c r="E14877" s="3">
        <v>0</v>
      </c>
      <c r="F14877" s="2">
        <v>3120</v>
      </c>
      <c r="G14877" s="2">
        <v>96</v>
      </c>
      <c r="H14877" s="2">
        <v>609</v>
      </c>
      <c r="I14877" s="2">
        <v>2</v>
      </c>
      <c r="J14877" s="2">
        <v>1828</v>
      </c>
      <c r="K14877" s="2">
        <v>334</v>
      </c>
      <c r="L14877" s="2">
        <v>920</v>
      </c>
    </row>
    <row r="14878" spans="1:12" x14ac:dyDescent="0.25">
      <c r="A14878" s="4" t="str">
        <f>HYPERLINK("http://www.rosaceae.org/Prunus/Prunus_persica/p.persica_gdr_reftransV1_0008005","p.persica_gdr_reftransV1_0008005")</f>
        <v>p.persica_gdr_reftransV1_0008005</v>
      </c>
      <c r="B14878" s="2">
        <v>2217</v>
      </c>
      <c r="C14878" s="4" t="str">
        <f>HYPERLINK("http://www.uniprot.org/uniprot/M5VPK3","M5VPK3")</f>
        <v>M5VPK3</v>
      </c>
      <c r="D14878" s="2" t="s">
        <v>5246</v>
      </c>
      <c r="E14878" s="3">
        <v>0</v>
      </c>
      <c r="F14878" s="2">
        <v>2956</v>
      </c>
      <c r="G14878" s="2">
        <v>100</v>
      </c>
      <c r="H14878" s="2">
        <v>550</v>
      </c>
      <c r="I14878" s="2">
        <v>235</v>
      </c>
      <c r="J14878" s="2">
        <v>1884</v>
      </c>
      <c r="K14878" s="2">
        <v>1</v>
      </c>
      <c r="L14878" s="2">
        <v>550</v>
      </c>
    </row>
    <row r="14879" spans="1:12" x14ac:dyDescent="0.25">
      <c r="A14879" s="4" t="str">
        <f>HYPERLINK("http://www.rosaceae.org/Prunus/Prunus_persica/p.persica_gdr_reftransV1_0008355","p.persica_gdr_reftransV1_0008355")</f>
        <v>p.persica_gdr_reftransV1_0008355</v>
      </c>
      <c r="B14879" s="2">
        <v>1068</v>
      </c>
      <c r="C14879" s="4" t="str">
        <f>HYPERLINK("http://www.uniprot.org/uniprot/M5VIF0","M5VIF0")</f>
        <v>M5VIF0</v>
      </c>
      <c r="D14879" s="2" t="s">
        <v>695</v>
      </c>
      <c r="E14879" s="3">
        <v>0</v>
      </c>
      <c r="F14879" s="2">
        <v>1262</v>
      </c>
      <c r="G14879" s="2">
        <v>100</v>
      </c>
      <c r="H14879" s="2">
        <v>248</v>
      </c>
      <c r="I14879" s="2">
        <v>1</v>
      </c>
      <c r="J14879" s="2">
        <v>744</v>
      </c>
      <c r="K14879" s="2">
        <v>408</v>
      </c>
      <c r="L14879" s="2">
        <v>655</v>
      </c>
    </row>
    <row r="14880" spans="1:12" x14ac:dyDescent="0.25">
      <c r="A14880" s="4" t="str">
        <f>HYPERLINK("http://www.rosaceae.org/Prunus/Prunus_persica/p.persica_gdr_reftransV1_0009055","p.persica_gdr_reftransV1_0009055")</f>
        <v>p.persica_gdr_reftransV1_0009055</v>
      </c>
      <c r="B14880" s="2">
        <v>871</v>
      </c>
      <c r="C14880" s="4" t="str">
        <f>HYPERLINK("http://www.uniprot.org/uniprot/M5WC32","M5WC32")</f>
        <v>M5WC32</v>
      </c>
      <c r="D14880" s="2" t="s">
        <v>12026</v>
      </c>
      <c r="E14880" s="3">
        <v>2.7899999999999998E-82</v>
      </c>
      <c r="F14880" s="2">
        <v>505</v>
      </c>
      <c r="G14880" s="2">
        <v>98</v>
      </c>
      <c r="H14880" s="2">
        <v>97</v>
      </c>
      <c r="I14880" s="2">
        <v>144</v>
      </c>
      <c r="J14880" s="2">
        <v>434</v>
      </c>
      <c r="K14880" s="2">
        <v>1</v>
      </c>
      <c r="L14880" s="2">
        <v>97</v>
      </c>
    </row>
    <row r="14881" spans="1:12" x14ac:dyDescent="0.25">
      <c r="A14881" s="4" t="str">
        <f>HYPERLINK("http://www.rosaceae.org/Prunus/Prunus_persica/p.persica_gdr_reftransV1_0009405","p.persica_gdr_reftransV1_0009405")</f>
        <v>p.persica_gdr_reftransV1_0009405</v>
      </c>
      <c r="B14881" s="2">
        <v>1107</v>
      </c>
      <c r="C14881" s="4" t="str">
        <f>HYPERLINK("http://www.uniprot.org/uniprot/M5W7L9","M5W7L9")</f>
        <v>M5W7L9</v>
      </c>
      <c r="D14881" s="2" t="s">
        <v>5344</v>
      </c>
      <c r="E14881" s="3">
        <v>0</v>
      </c>
      <c r="F14881" s="2">
        <v>1730</v>
      </c>
      <c r="G14881" s="2">
        <v>98</v>
      </c>
      <c r="H14881" s="2">
        <v>369</v>
      </c>
      <c r="I14881" s="2">
        <v>1</v>
      </c>
      <c r="J14881" s="2">
        <v>1107</v>
      </c>
      <c r="K14881" s="2">
        <v>494</v>
      </c>
      <c r="L14881" s="2">
        <v>862</v>
      </c>
    </row>
    <row r="14882" spans="1:12" x14ac:dyDescent="0.25">
      <c r="A14882" s="4" t="str">
        <f>HYPERLINK("http://www.rosaceae.org/Prunus/Prunus_persica/p.persica_gdr_reftransV1_0009755","p.persica_gdr_reftransV1_0009755")</f>
        <v>p.persica_gdr_reftransV1_0009755</v>
      </c>
      <c r="B14882" s="2">
        <v>1316</v>
      </c>
      <c r="C14882" s="4" t="str">
        <f>HYPERLINK("http://www.uniprot.org/uniprot/M5WMV9","M5WMV9")</f>
        <v>M5WMV9</v>
      </c>
      <c r="D14882" s="2" t="s">
        <v>12027</v>
      </c>
      <c r="E14882" s="3">
        <v>6.3599999999999999E-162</v>
      </c>
      <c r="F14882" s="2">
        <v>1210</v>
      </c>
      <c r="G14882" s="2">
        <v>95</v>
      </c>
      <c r="H14882" s="2">
        <v>311</v>
      </c>
      <c r="I14882" s="2">
        <v>244</v>
      </c>
      <c r="J14882" s="2">
        <v>1176</v>
      </c>
      <c r="K14882" s="2">
        <v>1</v>
      </c>
      <c r="L14882" s="2">
        <v>295</v>
      </c>
    </row>
    <row r="14883" spans="1:12" x14ac:dyDescent="0.25">
      <c r="A14883" s="4" t="str">
        <f>HYPERLINK("http://www.rosaceae.org/Prunus/Prunus_persica/p.persica_gdr_reftransV1_0010105","p.persica_gdr_reftransV1_0010105")</f>
        <v>p.persica_gdr_reftransV1_0010105</v>
      </c>
      <c r="B14883" s="2">
        <v>1148</v>
      </c>
      <c r="C14883" s="4" t="str">
        <f>HYPERLINK("http://www.uniprot.org/uniprot/M5WRD7","M5WRD7")</f>
        <v>M5WRD7</v>
      </c>
      <c r="D14883" s="2" t="s">
        <v>12028</v>
      </c>
      <c r="E14883" s="3">
        <v>2.1099999999999999E-75</v>
      </c>
      <c r="F14883" s="2">
        <v>613</v>
      </c>
      <c r="G14883" s="2">
        <v>100</v>
      </c>
      <c r="H14883" s="2">
        <v>114</v>
      </c>
      <c r="I14883" s="2">
        <v>436</v>
      </c>
      <c r="J14883" s="2">
        <v>777</v>
      </c>
      <c r="K14883" s="2">
        <v>1</v>
      </c>
      <c r="L14883" s="2">
        <v>114</v>
      </c>
    </row>
    <row r="14884" spans="1:12" x14ac:dyDescent="0.25">
      <c r="A14884" s="4" t="str">
        <f>HYPERLINK("http://www.rosaceae.org/Prunus/Prunus_persica/p.persica_gdr_reftransV1_0011505","p.persica_gdr_reftransV1_0011505")</f>
        <v>p.persica_gdr_reftransV1_0011505</v>
      </c>
      <c r="B14884" s="2">
        <v>2194</v>
      </c>
      <c r="C14884" s="4" t="str">
        <f>HYPERLINK("http://www.uniprot.org/uniprot/S8CFX4","S8CFX4")</f>
        <v>S8CFX4</v>
      </c>
      <c r="D14884" s="2" t="s">
        <v>12029</v>
      </c>
      <c r="E14884" s="3">
        <v>7.9499999999999997E-49</v>
      </c>
      <c r="F14884" s="2">
        <v>471</v>
      </c>
      <c r="G14884" s="2">
        <v>47</v>
      </c>
      <c r="H14884" s="2">
        <v>175</v>
      </c>
      <c r="I14884" s="2">
        <v>1189</v>
      </c>
      <c r="J14884" s="2">
        <v>1713</v>
      </c>
      <c r="K14884" s="2">
        <v>19</v>
      </c>
      <c r="L14884" s="2">
        <v>193</v>
      </c>
    </row>
    <row r="14885" spans="1:12" x14ac:dyDescent="0.25">
      <c r="A14885" s="4" t="str">
        <f>HYPERLINK("http://www.rosaceae.org/Prunus/Prunus_persica/p.persica_gdr_reftransV1_0011855","p.persica_gdr_reftransV1_0011855")</f>
        <v>p.persica_gdr_reftransV1_0011855</v>
      </c>
      <c r="B14885" s="2">
        <v>2619</v>
      </c>
      <c r="C14885" s="4" t="str">
        <f>HYPERLINK("http://www.uniprot.org/uniprot/M5X6W5","M5X6W5")</f>
        <v>M5X6W5</v>
      </c>
      <c r="D14885" s="2" t="s">
        <v>12030</v>
      </c>
      <c r="E14885" s="3">
        <v>0</v>
      </c>
      <c r="F14885" s="2">
        <v>3723</v>
      </c>
      <c r="G14885" s="2">
        <v>100</v>
      </c>
      <c r="H14885" s="2">
        <v>699</v>
      </c>
      <c r="I14885" s="2">
        <v>342</v>
      </c>
      <c r="J14885" s="2">
        <v>2438</v>
      </c>
      <c r="K14885" s="2">
        <v>1</v>
      </c>
      <c r="L14885" s="2">
        <v>699</v>
      </c>
    </row>
    <row r="14886" spans="1:12" x14ac:dyDescent="0.25">
      <c r="A14886" s="4" t="str">
        <f>HYPERLINK("http://www.rosaceae.org/Prunus/Prunus_persica/p.persica_gdr_reftransV1_0012905","p.persica_gdr_reftransV1_0012905")</f>
        <v>p.persica_gdr_reftransV1_0012905</v>
      </c>
      <c r="B14886" s="2">
        <v>2719</v>
      </c>
      <c r="C14886" s="4" t="str">
        <f>HYPERLINK("http://www.uniprot.org/uniprot/M5XN58","M5XN58")</f>
        <v>M5XN58</v>
      </c>
      <c r="D14886" s="2" t="s">
        <v>12031</v>
      </c>
      <c r="E14886" s="3">
        <v>0</v>
      </c>
      <c r="F14886" s="2">
        <v>1649</v>
      </c>
      <c r="G14886" s="2">
        <v>100</v>
      </c>
      <c r="H14886" s="2">
        <v>327</v>
      </c>
      <c r="I14886" s="2">
        <v>1612</v>
      </c>
      <c r="J14886" s="2">
        <v>2592</v>
      </c>
      <c r="K14886" s="2">
        <v>1</v>
      </c>
      <c r="L14886" s="2">
        <v>327</v>
      </c>
    </row>
    <row r="14887" spans="1:12" x14ac:dyDescent="0.25">
      <c r="A14887" s="4" t="str">
        <f>HYPERLINK("http://www.rosaceae.org/Prunus/Prunus_persica/p.persica_gdr_reftransV1_0013605","p.persica_gdr_reftransV1_0013605")</f>
        <v>p.persica_gdr_reftransV1_0013605</v>
      </c>
      <c r="B14887" s="2">
        <v>1680</v>
      </c>
      <c r="C14887" s="4" t="str">
        <f>HYPERLINK("http://www.uniprot.org/uniprot/M5XXN6","M5XXN6")</f>
        <v>M5XXN6</v>
      </c>
      <c r="D14887" s="2" t="s">
        <v>12032</v>
      </c>
      <c r="E14887" s="3">
        <v>7.1500000000000003E-149</v>
      </c>
      <c r="F14887" s="2">
        <v>1147</v>
      </c>
      <c r="G14887" s="2">
        <v>94</v>
      </c>
      <c r="H14887" s="2">
        <v>233</v>
      </c>
      <c r="I14887" s="2">
        <v>925</v>
      </c>
      <c r="J14887" s="2">
        <v>1623</v>
      </c>
      <c r="K14887" s="2">
        <v>1</v>
      </c>
      <c r="L14887" s="2">
        <v>233</v>
      </c>
    </row>
    <row r="14888" spans="1:12" x14ac:dyDescent="0.25">
      <c r="A14888" s="4" t="str">
        <f>HYPERLINK("http://www.rosaceae.org/Prunus/Prunus_persica/p.persica_gdr_reftransV1_0014655","p.persica_gdr_reftransV1_0014655")</f>
        <v>p.persica_gdr_reftransV1_0014655</v>
      </c>
      <c r="B14888" s="2">
        <v>2805</v>
      </c>
      <c r="C14888" s="4" t="str">
        <f>HYPERLINK("http://www.uniprot.org/uniprot/M5X022","M5X022")</f>
        <v>M5X022</v>
      </c>
      <c r="D14888" s="2" t="s">
        <v>12033</v>
      </c>
      <c r="E14888" s="3">
        <v>0</v>
      </c>
      <c r="F14888" s="2">
        <v>2796</v>
      </c>
      <c r="G14888" s="2">
        <v>100</v>
      </c>
      <c r="H14888" s="2">
        <v>581</v>
      </c>
      <c r="I14888" s="2">
        <v>694</v>
      </c>
      <c r="J14888" s="2">
        <v>2436</v>
      </c>
      <c r="K14888" s="2">
        <v>1</v>
      </c>
      <c r="L14888" s="2">
        <v>581</v>
      </c>
    </row>
    <row r="14889" spans="1:12" x14ac:dyDescent="0.25">
      <c r="A14889" s="4" t="str">
        <f>HYPERLINK("http://www.rosaceae.org/Prunus/Prunus_persica/p.persica_gdr_reftransV1_0016405","p.persica_gdr_reftransV1_0016405")</f>
        <v>p.persica_gdr_reftransV1_0016405</v>
      </c>
      <c r="B14889" s="2">
        <v>996</v>
      </c>
      <c r="C14889" s="4" t="str">
        <f>HYPERLINK("http://www.uniprot.org/uniprot/M5XXN1","M5XXN1")</f>
        <v>M5XXN1</v>
      </c>
      <c r="D14889" s="2" t="s">
        <v>12034</v>
      </c>
      <c r="E14889" s="3">
        <v>1.63E-168</v>
      </c>
      <c r="F14889" s="2">
        <v>1295</v>
      </c>
      <c r="G14889" s="2">
        <v>100</v>
      </c>
      <c r="H14889" s="2">
        <v>253</v>
      </c>
      <c r="I14889" s="2">
        <v>137</v>
      </c>
      <c r="J14889" s="2">
        <v>895</v>
      </c>
      <c r="K14889" s="2">
        <v>616</v>
      </c>
      <c r="L14889" s="2">
        <v>868</v>
      </c>
    </row>
    <row r="14890" spans="1:12" x14ac:dyDescent="0.25">
      <c r="A14890" s="4" t="str">
        <f>HYPERLINK("http://www.rosaceae.org/Prunus/Prunus_persica/p.persica_gdr_reftransV1_0016755","p.persica_gdr_reftransV1_0016755")</f>
        <v>p.persica_gdr_reftransV1_0016755</v>
      </c>
      <c r="B14890" s="2">
        <v>1955</v>
      </c>
      <c r="C14890" s="4" t="str">
        <f>HYPERLINK("http://www.uniprot.org/uniprot/M5X2M4","M5X2M4")</f>
        <v>M5X2M4</v>
      </c>
      <c r="D14890" s="2" t="s">
        <v>8449</v>
      </c>
      <c r="E14890" s="3">
        <v>0</v>
      </c>
      <c r="F14890" s="2">
        <v>2461</v>
      </c>
      <c r="G14890" s="2">
        <v>100</v>
      </c>
      <c r="H14890" s="2">
        <v>454</v>
      </c>
      <c r="I14890" s="2">
        <v>2</v>
      </c>
      <c r="J14890" s="2">
        <v>1363</v>
      </c>
      <c r="K14890" s="2">
        <v>23</v>
      </c>
      <c r="L14890" s="2">
        <v>476</v>
      </c>
    </row>
    <row r="14891" spans="1:12" x14ac:dyDescent="0.25">
      <c r="A14891" s="4" t="str">
        <f>HYPERLINK("http://www.rosaceae.org/Prunus/Prunus_persica/p.persica_gdr_reftransV1_0017105","p.persica_gdr_reftransV1_0017105")</f>
        <v>p.persica_gdr_reftransV1_0017105</v>
      </c>
      <c r="B14891" s="2">
        <v>1625</v>
      </c>
      <c r="C14891" s="4" t="str">
        <f>HYPERLINK("http://www.uniprot.org/uniprot/M5XG29","M5XG29")</f>
        <v>M5XG29</v>
      </c>
      <c r="D14891" s="2" t="s">
        <v>6904</v>
      </c>
      <c r="E14891" s="3">
        <v>0</v>
      </c>
      <c r="F14891" s="2">
        <v>1945</v>
      </c>
      <c r="G14891" s="2">
        <v>100</v>
      </c>
      <c r="H14891" s="2">
        <v>372</v>
      </c>
      <c r="I14891" s="2">
        <v>140</v>
      </c>
      <c r="J14891" s="2">
        <v>1255</v>
      </c>
      <c r="K14891" s="2">
        <v>1</v>
      </c>
      <c r="L14891" s="2">
        <v>372</v>
      </c>
    </row>
    <row r="14892" spans="1:12" x14ac:dyDescent="0.25">
      <c r="A14892" s="4" t="str">
        <f>HYPERLINK("http://www.rosaceae.org/Prunus/Prunus_persica/p.persica_gdr_reftransV1_0018505","p.persica_gdr_reftransV1_0018505")</f>
        <v>p.persica_gdr_reftransV1_0018505</v>
      </c>
      <c r="B14892" s="2">
        <v>1491</v>
      </c>
      <c r="C14892" s="4" t="str">
        <f>HYPERLINK("http://www.uniprot.org/uniprot/A5AY60","A5AY60")</f>
        <v>A5AY60</v>
      </c>
      <c r="D14892" s="2" t="s">
        <v>12035</v>
      </c>
      <c r="E14892" s="3">
        <v>1.8900000000000001E-7</v>
      </c>
      <c r="F14892" s="2">
        <v>112</v>
      </c>
      <c r="G14892" s="2">
        <v>42</v>
      </c>
      <c r="H14892" s="2">
        <v>67</v>
      </c>
      <c r="I14892" s="2">
        <v>807</v>
      </c>
      <c r="J14892" s="2">
        <v>1007</v>
      </c>
      <c r="K14892" s="2">
        <v>778</v>
      </c>
      <c r="L14892" s="2">
        <v>842</v>
      </c>
    </row>
    <row r="14893" spans="1:12" x14ac:dyDescent="0.25">
      <c r="A14893" s="4" t="str">
        <f>HYPERLINK("http://www.rosaceae.org/Prunus/Prunus_persica/p.persica_gdr_reftransV1_0018855","p.persica_gdr_reftransV1_0018855")</f>
        <v>p.persica_gdr_reftransV1_0018855</v>
      </c>
      <c r="B14893" s="2">
        <v>831</v>
      </c>
      <c r="C14893" s="4" t="str">
        <f>HYPERLINK("http://www.uniprot.org/uniprot/M5Y702","M5Y702")</f>
        <v>M5Y702</v>
      </c>
      <c r="D14893" s="2" t="s">
        <v>8122</v>
      </c>
      <c r="E14893" s="3">
        <v>3.85E-129</v>
      </c>
      <c r="F14893" s="2">
        <v>1010</v>
      </c>
      <c r="G14893" s="2">
        <v>100</v>
      </c>
      <c r="H14893" s="2">
        <v>215</v>
      </c>
      <c r="I14893" s="2">
        <v>149</v>
      </c>
      <c r="J14893" s="2">
        <v>793</v>
      </c>
      <c r="K14893" s="2">
        <v>1</v>
      </c>
      <c r="L14893" s="2">
        <v>215</v>
      </c>
    </row>
    <row r="14894" spans="1:12" x14ac:dyDescent="0.25">
      <c r="A14894" s="4" t="str">
        <f>HYPERLINK("http://www.rosaceae.org/Prunus/Prunus_persica/p.persica_gdr_reftransV1_0020605","p.persica_gdr_reftransV1_0020605")</f>
        <v>p.persica_gdr_reftransV1_0020605</v>
      </c>
      <c r="B14894" s="2">
        <v>4573</v>
      </c>
      <c r="C14894" s="4" t="str">
        <f>HYPERLINK("http://www.uniprot.org/uniprot/M5WTY1","M5WTY1")</f>
        <v>M5WTY1</v>
      </c>
      <c r="D14894" s="2" t="s">
        <v>12036</v>
      </c>
      <c r="E14894" s="3">
        <v>0</v>
      </c>
      <c r="F14894" s="2">
        <v>1682</v>
      </c>
      <c r="G14894" s="2">
        <v>100</v>
      </c>
      <c r="H14894" s="2">
        <v>314</v>
      </c>
      <c r="I14894" s="2">
        <v>3357</v>
      </c>
      <c r="J14894" s="2">
        <v>4298</v>
      </c>
      <c r="K14894" s="2">
        <v>19</v>
      </c>
      <c r="L14894" s="2">
        <v>332</v>
      </c>
    </row>
    <row r="14895" spans="1:12" x14ac:dyDescent="0.25">
      <c r="A14895" s="4" t="str">
        <f>HYPERLINK("http://www.rosaceae.org/Prunus/Prunus_persica/p.persica_gdr_reftransV1_0020955","p.persica_gdr_reftransV1_0020955")</f>
        <v>p.persica_gdr_reftransV1_0020955</v>
      </c>
      <c r="B14895" s="2">
        <v>2663</v>
      </c>
      <c r="C14895" s="4" t="str">
        <f>HYPERLINK("http://www.uniprot.org/uniprot/M5W9F2","M5W9F2")</f>
        <v>M5W9F2</v>
      </c>
      <c r="D14895" s="2" t="s">
        <v>12037</v>
      </c>
      <c r="E14895" s="3">
        <v>0</v>
      </c>
      <c r="F14895" s="2">
        <v>2144</v>
      </c>
      <c r="G14895" s="2">
        <v>94</v>
      </c>
      <c r="H14895" s="2">
        <v>429</v>
      </c>
      <c r="I14895" s="2">
        <v>1257</v>
      </c>
      <c r="J14895" s="2">
        <v>2528</v>
      </c>
      <c r="K14895" s="2">
        <v>1</v>
      </c>
      <c r="L14895" s="2">
        <v>429</v>
      </c>
    </row>
    <row r="14896" spans="1:12" x14ac:dyDescent="0.25">
      <c r="A14896" s="4" t="str">
        <f>HYPERLINK("http://www.rosaceae.org/Prunus/Prunus_persica/p.persica_gdr_reftransV1_0022005","p.persica_gdr_reftransV1_0022005")</f>
        <v>p.persica_gdr_reftransV1_0022005</v>
      </c>
      <c r="B14896" s="2">
        <v>481</v>
      </c>
      <c r="C14896" s="4" t="str">
        <f>HYPERLINK("http://www.uniprot.org/uniprot/M5Y6E5","M5Y6E5")</f>
        <v>M5Y6E5</v>
      </c>
      <c r="D14896" s="2" t="s">
        <v>6811</v>
      </c>
      <c r="E14896" s="3">
        <v>2.4000000000000001E-72</v>
      </c>
      <c r="F14896" s="2">
        <v>626</v>
      </c>
      <c r="G14896" s="2">
        <v>100</v>
      </c>
      <c r="H14896" s="2">
        <v>113</v>
      </c>
      <c r="I14896" s="2">
        <v>143</v>
      </c>
      <c r="J14896" s="2">
        <v>481</v>
      </c>
      <c r="K14896" s="2">
        <v>1057</v>
      </c>
      <c r="L14896" s="2">
        <v>1169</v>
      </c>
    </row>
    <row r="14897" spans="1:12" x14ac:dyDescent="0.25">
      <c r="A14897" s="4" t="str">
        <f>HYPERLINK("http://www.rosaceae.org/Prunus/Prunus_persica/p.persica_gdr_reftransV1_0022705","p.persica_gdr_reftransV1_0022705")</f>
        <v>p.persica_gdr_reftransV1_0022705</v>
      </c>
      <c r="B14897" s="2">
        <v>2037</v>
      </c>
      <c r="C14897" s="4" t="str">
        <f>HYPERLINK("http://www.uniprot.org/uniprot/M5WKI6","M5WKI6")</f>
        <v>M5WKI6</v>
      </c>
      <c r="D14897" s="2" t="s">
        <v>12038</v>
      </c>
      <c r="E14897" s="3">
        <v>4.5399999999999996E-22</v>
      </c>
      <c r="F14897" s="2">
        <v>257</v>
      </c>
      <c r="G14897" s="2">
        <v>96</v>
      </c>
      <c r="H14897" s="2">
        <v>51</v>
      </c>
      <c r="I14897" s="2">
        <v>1447</v>
      </c>
      <c r="J14897" s="2">
        <v>1599</v>
      </c>
      <c r="K14897" s="2">
        <v>89</v>
      </c>
      <c r="L14897" s="2">
        <v>139</v>
      </c>
    </row>
    <row r="14898" spans="1:12" x14ac:dyDescent="0.25">
      <c r="A14898" s="4" t="str">
        <f>HYPERLINK("http://www.rosaceae.org/Prunus/Prunus_persica/p.persica_gdr_reftransV1_0023405","p.persica_gdr_reftransV1_0023405")</f>
        <v>p.persica_gdr_reftransV1_0023405</v>
      </c>
      <c r="B14898" s="2">
        <v>2866</v>
      </c>
      <c r="C14898" s="4" t="str">
        <f>HYPERLINK("http://www.uniprot.org/uniprot/M5W098","M5W098")</f>
        <v>M5W098</v>
      </c>
      <c r="D14898" s="2" t="s">
        <v>11364</v>
      </c>
      <c r="E14898" s="3">
        <v>8.7099999999999996E-101</v>
      </c>
      <c r="F14898" s="2">
        <v>845</v>
      </c>
      <c r="G14898" s="2">
        <v>100</v>
      </c>
      <c r="H14898" s="2">
        <v>162</v>
      </c>
      <c r="I14898" s="2">
        <v>268</v>
      </c>
      <c r="J14898" s="2">
        <v>753</v>
      </c>
      <c r="K14898" s="2">
        <v>155</v>
      </c>
      <c r="L14898" s="2">
        <v>316</v>
      </c>
    </row>
    <row r="14899" spans="1:12" x14ac:dyDescent="0.25">
      <c r="A14899" s="4" t="str">
        <f>HYPERLINK("http://www.rosaceae.org/Prunus/Prunus_persica/p.persica_gdr_reftransV1_0024105","p.persica_gdr_reftransV1_0024105")</f>
        <v>p.persica_gdr_reftransV1_0024105</v>
      </c>
      <c r="B14899" s="2">
        <v>3946</v>
      </c>
      <c r="C14899" s="4" t="str">
        <f>HYPERLINK("http://www.uniprot.org/uniprot/M5XGS3","M5XGS3")</f>
        <v>M5XGS3</v>
      </c>
      <c r="D14899" s="2" t="s">
        <v>12039</v>
      </c>
      <c r="E14899" s="3">
        <v>0</v>
      </c>
      <c r="F14899" s="2">
        <v>3344</v>
      </c>
      <c r="G14899" s="2">
        <v>100</v>
      </c>
      <c r="H14899" s="2">
        <v>627</v>
      </c>
      <c r="I14899" s="2">
        <v>1701</v>
      </c>
      <c r="J14899" s="2">
        <v>3581</v>
      </c>
      <c r="K14899" s="2">
        <v>1</v>
      </c>
      <c r="L14899" s="2">
        <v>627</v>
      </c>
    </row>
    <row r="14900" spans="1:12" x14ac:dyDescent="0.25">
      <c r="A14900" s="4" t="str">
        <f>HYPERLINK("http://www.rosaceae.org/Prunus/Prunus_persica/p.persica_gdr_reftransV1_0025855","p.persica_gdr_reftransV1_0025855")</f>
        <v>p.persica_gdr_reftransV1_0025855</v>
      </c>
      <c r="B14900" s="2">
        <v>1423</v>
      </c>
      <c r="C14900" s="4" t="str">
        <f>HYPERLINK("http://www.uniprot.org/uniprot/M5WL81","M5WL81")</f>
        <v>M5WL81</v>
      </c>
      <c r="D14900" s="2" t="s">
        <v>12040</v>
      </c>
      <c r="E14900" s="3">
        <v>0</v>
      </c>
      <c r="F14900" s="2">
        <v>1812</v>
      </c>
      <c r="G14900" s="2">
        <v>100</v>
      </c>
      <c r="H14900" s="2">
        <v>340</v>
      </c>
      <c r="I14900" s="2">
        <v>73</v>
      </c>
      <c r="J14900" s="2">
        <v>1092</v>
      </c>
      <c r="K14900" s="2">
        <v>1</v>
      </c>
      <c r="L14900" s="2">
        <v>340</v>
      </c>
    </row>
    <row r="14901" spans="1:12" x14ac:dyDescent="0.25">
      <c r="A14901" s="4" t="str">
        <f>HYPERLINK("http://www.rosaceae.org/Prunus/Prunus_persica/p.persica_gdr_reftransV1_0027605","p.persica_gdr_reftransV1_0027605")</f>
        <v>p.persica_gdr_reftransV1_0027605</v>
      </c>
      <c r="B14901" s="2">
        <v>2238</v>
      </c>
      <c r="C14901" s="4" t="str">
        <f>HYPERLINK("http://www.uniprot.org/uniprot/M5XWH2","M5XWH2")</f>
        <v>M5XWH2</v>
      </c>
      <c r="D14901" s="2" t="s">
        <v>12041</v>
      </c>
      <c r="E14901" s="3">
        <v>4.4500000000000002E-119</v>
      </c>
      <c r="F14901" s="2">
        <v>958</v>
      </c>
      <c r="G14901" s="2">
        <v>86</v>
      </c>
      <c r="H14901" s="2">
        <v>263</v>
      </c>
      <c r="I14901" s="2">
        <v>88</v>
      </c>
      <c r="J14901" s="2">
        <v>876</v>
      </c>
      <c r="K14901" s="2">
        <v>1</v>
      </c>
      <c r="L14901" s="2">
        <v>228</v>
      </c>
    </row>
    <row r="14902" spans="1:12" x14ac:dyDescent="0.25">
      <c r="A14902" s="4" t="str">
        <f>HYPERLINK("http://www.rosaceae.org/Prunus/Prunus_persica/p.persica_gdr_reftransV1_0028305","p.persica_gdr_reftransV1_0028305")</f>
        <v>p.persica_gdr_reftransV1_0028305</v>
      </c>
      <c r="B14902" s="2">
        <v>4009</v>
      </c>
      <c r="C14902" s="4" t="str">
        <f>HYPERLINK("http://www.uniprot.org/uniprot/M5WTW4","M5WTW4")</f>
        <v>M5WTW4</v>
      </c>
      <c r="D14902" s="2" t="s">
        <v>628</v>
      </c>
      <c r="E14902" s="3">
        <v>5.8100000000000003E-66</v>
      </c>
      <c r="F14902" s="2">
        <v>596</v>
      </c>
      <c r="G14902" s="2">
        <v>97</v>
      </c>
      <c r="H14902" s="2">
        <v>113</v>
      </c>
      <c r="I14902" s="2">
        <v>1501</v>
      </c>
      <c r="J14902" s="2">
        <v>1839</v>
      </c>
      <c r="K14902" s="2">
        <v>54</v>
      </c>
      <c r="L14902" s="2">
        <v>166</v>
      </c>
    </row>
    <row r="14903" spans="1:12" x14ac:dyDescent="0.25">
      <c r="A14903" s="4" t="str">
        <f>HYPERLINK("http://www.rosaceae.org/Prunus/Prunus_persica/p.persica_gdr_reftransV1_0029005","p.persica_gdr_reftransV1_0029005")</f>
        <v>p.persica_gdr_reftransV1_0029005</v>
      </c>
      <c r="B14903" s="2">
        <v>1113</v>
      </c>
      <c r="C14903" s="4" t="str">
        <f>HYPERLINK("http://www.uniprot.org/uniprot/M5W0J9","M5W0J9")</f>
        <v>M5W0J9</v>
      </c>
      <c r="D14903" s="2" t="s">
        <v>12042</v>
      </c>
      <c r="E14903" s="3">
        <v>6.8400000000000002E-84</v>
      </c>
      <c r="F14903" s="2">
        <v>674</v>
      </c>
      <c r="G14903" s="2">
        <v>78</v>
      </c>
      <c r="H14903" s="2">
        <v>172</v>
      </c>
      <c r="I14903" s="2">
        <v>202</v>
      </c>
      <c r="J14903" s="2">
        <v>717</v>
      </c>
      <c r="K14903" s="2">
        <v>1</v>
      </c>
      <c r="L14903" s="2">
        <v>138</v>
      </c>
    </row>
    <row r="14904" spans="1:12" x14ac:dyDescent="0.25">
      <c r="A14904" s="4" t="str">
        <f>HYPERLINK("http://www.rosaceae.org/Prunus/Prunus_persica/p.persica_gdr_reftransV1_0030055","p.persica_gdr_reftransV1_0030055")</f>
        <v>p.persica_gdr_reftransV1_0030055</v>
      </c>
      <c r="B14904" s="2">
        <v>2362</v>
      </c>
      <c r="C14904" s="4" t="str">
        <f>HYPERLINK("http://www.uniprot.org/uniprot/M5WBW4","M5WBW4")</f>
        <v>M5WBW4</v>
      </c>
      <c r="D14904" s="2" t="s">
        <v>12043</v>
      </c>
      <c r="E14904" s="3">
        <v>8.2599999999999998E-140</v>
      </c>
      <c r="F14904" s="2">
        <v>1087</v>
      </c>
      <c r="G14904" s="2">
        <v>100</v>
      </c>
      <c r="H14904" s="2">
        <v>211</v>
      </c>
      <c r="I14904" s="2">
        <v>299</v>
      </c>
      <c r="J14904" s="2">
        <v>931</v>
      </c>
      <c r="K14904" s="2">
        <v>1</v>
      </c>
      <c r="L14904" s="2">
        <v>211</v>
      </c>
    </row>
    <row r="14905" spans="1:12" x14ac:dyDescent="0.25">
      <c r="A14905" s="4" t="str">
        <f>HYPERLINK("http://www.rosaceae.org/Prunus/Prunus_persica/p.persica_gdr_reftransV1_0030755","p.persica_gdr_reftransV1_0030755")</f>
        <v>p.persica_gdr_reftransV1_0030755</v>
      </c>
      <c r="B14905" s="2">
        <v>1179</v>
      </c>
      <c r="C14905" s="4" t="str">
        <f>HYPERLINK("http://www.uniprot.org/uniprot/M5XV25","M5XV25")</f>
        <v>M5XV25</v>
      </c>
      <c r="D14905" s="2" t="s">
        <v>12044</v>
      </c>
      <c r="E14905" s="3">
        <v>2.6299999999999999E-143</v>
      </c>
      <c r="F14905" s="2">
        <v>1082</v>
      </c>
      <c r="G14905" s="2">
        <v>100</v>
      </c>
      <c r="H14905" s="2">
        <v>289</v>
      </c>
      <c r="I14905" s="2">
        <v>183</v>
      </c>
      <c r="J14905" s="2">
        <v>1049</v>
      </c>
      <c r="K14905" s="2">
        <v>1</v>
      </c>
      <c r="L14905" s="2">
        <v>289</v>
      </c>
    </row>
    <row r="14906" spans="1:12" x14ac:dyDescent="0.25">
      <c r="A14906" s="4" t="str">
        <f>HYPERLINK("http://www.rosaceae.org/Prunus/Prunus_persica/p.persica_gdr_reftransV1_0031455","p.persica_gdr_reftransV1_0031455")</f>
        <v>p.persica_gdr_reftransV1_0031455</v>
      </c>
      <c r="B14906" s="2">
        <v>5013</v>
      </c>
      <c r="C14906" s="4" t="str">
        <f>HYPERLINK("http://www.uniprot.org/uniprot/M5WQ72","M5WQ72")</f>
        <v>M5WQ72</v>
      </c>
      <c r="D14906" s="2" t="s">
        <v>4003</v>
      </c>
      <c r="E14906" s="3">
        <v>0</v>
      </c>
      <c r="F14906" s="2">
        <v>2061</v>
      </c>
      <c r="G14906" s="2">
        <v>100</v>
      </c>
      <c r="H14906" s="2">
        <v>414</v>
      </c>
      <c r="I14906" s="2">
        <v>2683</v>
      </c>
      <c r="J14906" s="2">
        <v>3924</v>
      </c>
      <c r="K14906" s="2">
        <v>35</v>
      </c>
      <c r="L14906" s="2">
        <v>448</v>
      </c>
    </row>
    <row r="14907" spans="1:12" x14ac:dyDescent="0.25">
      <c r="A14907" s="4" t="str">
        <f>HYPERLINK("http://www.rosaceae.org/Prunus/Prunus_persica/p.persica_gdr_reftransV1_0033555","p.persica_gdr_reftransV1_0033555")</f>
        <v>p.persica_gdr_reftransV1_0033555</v>
      </c>
      <c r="B14907" s="2">
        <v>2303</v>
      </c>
      <c r="C14907" s="4" t="str">
        <f>HYPERLINK("http://www.uniprot.org/uniprot/M5XDV5","M5XDV5")</f>
        <v>M5XDV5</v>
      </c>
      <c r="D14907" s="2" t="s">
        <v>12045</v>
      </c>
      <c r="E14907" s="3">
        <v>0</v>
      </c>
      <c r="F14907" s="2">
        <v>2214</v>
      </c>
      <c r="G14907" s="2">
        <v>100</v>
      </c>
      <c r="H14907" s="2">
        <v>427</v>
      </c>
      <c r="I14907" s="2">
        <v>432</v>
      </c>
      <c r="J14907" s="2">
        <v>1712</v>
      </c>
      <c r="K14907" s="2">
        <v>1</v>
      </c>
      <c r="L14907" s="2">
        <v>427</v>
      </c>
    </row>
    <row r="14908" spans="1:12" x14ac:dyDescent="0.25">
      <c r="A14908" s="4" t="str">
        <f>HYPERLINK("http://www.rosaceae.org/Prunus/Prunus_persica/p.persica_gdr_reftransV1_0036005","p.persica_gdr_reftransV1_0036005")</f>
        <v>p.persica_gdr_reftransV1_0036005</v>
      </c>
      <c r="B14908" s="2">
        <v>2589</v>
      </c>
      <c r="C14908" s="4" t="str">
        <f>HYPERLINK("http://www.uniprot.org/uniprot/M5X292","M5X292")</f>
        <v>M5X292</v>
      </c>
      <c r="D14908" s="2" t="s">
        <v>12046</v>
      </c>
      <c r="E14908" s="3">
        <v>0</v>
      </c>
      <c r="F14908" s="2">
        <v>1763</v>
      </c>
      <c r="G14908" s="2">
        <v>100</v>
      </c>
      <c r="H14908" s="2">
        <v>334</v>
      </c>
      <c r="I14908" s="2">
        <v>1370</v>
      </c>
      <c r="J14908" s="2">
        <v>2371</v>
      </c>
      <c r="K14908" s="2">
        <v>1</v>
      </c>
      <c r="L14908" s="2">
        <v>334</v>
      </c>
    </row>
    <row r="14909" spans="1:12" x14ac:dyDescent="0.25">
      <c r="A14909" s="4" t="str">
        <f>HYPERLINK("http://www.rosaceae.org/Prunus/Prunus_persica/p.persica_gdr_reftransV1_0037055","p.persica_gdr_reftransV1_0037055")</f>
        <v>p.persica_gdr_reftransV1_0037055</v>
      </c>
      <c r="B14909" s="2">
        <v>661</v>
      </c>
      <c r="C14909" s="4" t="str">
        <f>HYPERLINK("http://www.uniprot.org/uniprot/M5XHE7","M5XHE7")</f>
        <v>M5XHE7</v>
      </c>
      <c r="D14909" s="2" t="s">
        <v>5972</v>
      </c>
      <c r="E14909" s="3">
        <v>5.53E-84</v>
      </c>
      <c r="F14909" s="2">
        <v>657</v>
      </c>
      <c r="G14909" s="2">
        <v>100</v>
      </c>
      <c r="H14909" s="2">
        <v>135</v>
      </c>
      <c r="I14909" s="2">
        <v>94</v>
      </c>
      <c r="J14909" s="2">
        <v>498</v>
      </c>
      <c r="K14909" s="2">
        <v>1</v>
      </c>
      <c r="L14909" s="2">
        <v>135</v>
      </c>
    </row>
    <row r="14910" spans="1:12" x14ac:dyDescent="0.25">
      <c r="A14910" s="4" t="str">
        <f>HYPERLINK("http://www.rosaceae.org/Prunus/Prunus_persica/p.persica_gdr_reftransV1_0037755","p.persica_gdr_reftransV1_0037755")</f>
        <v>p.persica_gdr_reftransV1_0037755</v>
      </c>
      <c r="B14910" s="2">
        <v>1552</v>
      </c>
      <c r="C14910" s="4" t="str">
        <f>HYPERLINK("http://www.uniprot.org/uniprot/M5X6F8","M5X6F8")</f>
        <v>M5X6F8</v>
      </c>
      <c r="D14910" s="2" t="s">
        <v>12047</v>
      </c>
      <c r="E14910" s="3">
        <v>6.6700000000000003E-117</v>
      </c>
      <c r="F14910" s="2">
        <v>913</v>
      </c>
      <c r="G14910" s="2">
        <v>100</v>
      </c>
      <c r="H14910" s="2">
        <v>172</v>
      </c>
      <c r="I14910" s="2">
        <v>803</v>
      </c>
      <c r="J14910" s="2">
        <v>1318</v>
      </c>
      <c r="K14910" s="2">
        <v>1</v>
      </c>
      <c r="L14910" s="2">
        <v>172</v>
      </c>
    </row>
    <row r="14911" spans="1:12" x14ac:dyDescent="0.25">
      <c r="A14911" s="4" t="str">
        <f>HYPERLINK("http://www.rosaceae.org/Prunus/Prunus_persica/p.persica_gdr_reftransV1_0040555","p.persica_gdr_reftransV1_0040555")</f>
        <v>p.persica_gdr_reftransV1_0040555</v>
      </c>
      <c r="B14911" s="2">
        <v>2383</v>
      </c>
      <c r="C14911" s="4" t="str">
        <f>HYPERLINK("http://www.uniprot.org/uniprot/M5XMG2","M5XMG2")</f>
        <v>M5XMG2</v>
      </c>
      <c r="D14911" s="2" t="s">
        <v>12048</v>
      </c>
      <c r="E14911" s="3">
        <v>2.32E-126</v>
      </c>
      <c r="F14911" s="2">
        <v>1025</v>
      </c>
      <c r="G14911" s="2">
        <v>99</v>
      </c>
      <c r="H14911" s="2">
        <v>192</v>
      </c>
      <c r="I14911" s="2">
        <v>1524</v>
      </c>
      <c r="J14911" s="2">
        <v>2099</v>
      </c>
      <c r="K14911" s="2">
        <v>75</v>
      </c>
      <c r="L14911" s="2">
        <v>266</v>
      </c>
    </row>
    <row r="14912" spans="1:12" x14ac:dyDescent="0.25">
      <c r="A14912" s="4" t="str">
        <f>HYPERLINK("http://www.rosaceae.org/Prunus/Prunus_persica/p.persica_gdr_reftransV1_0042305","p.persica_gdr_reftransV1_0042305")</f>
        <v>p.persica_gdr_reftransV1_0042305</v>
      </c>
      <c r="B14912" s="2">
        <v>2375</v>
      </c>
      <c r="C14912" s="4" t="str">
        <f>HYPERLINK("http://www.uniprot.org/uniprot/M5WEN7","M5WEN7")</f>
        <v>M5WEN7</v>
      </c>
      <c r="D14912" s="2" t="s">
        <v>12049</v>
      </c>
      <c r="E14912" s="3">
        <v>1.99E-85</v>
      </c>
      <c r="F14912" s="2">
        <v>630</v>
      </c>
      <c r="G14912" s="2">
        <v>100</v>
      </c>
      <c r="H14912" s="2">
        <v>116</v>
      </c>
      <c r="I14912" s="2">
        <v>1584</v>
      </c>
      <c r="J14912" s="2">
        <v>1931</v>
      </c>
      <c r="K14912" s="2">
        <v>92</v>
      </c>
      <c r="L14912" s="2">
        <v>207</v>
      </c>
    </row>
    <row r="14913" spans="1:12" x14ac:dyDescent="0.25">
      <c r="A14913" s="4" t="str">
        <f>HYPERLINK("http://www.rosaceae.org/Prunus/Prunus_persica/p.persica_gdr_reftransV1_0043005","p.persica_gdr_reftransV1_0043005")</f>
        <v>p.persica_gdr_reftransV1_0043005</v>
      </c>
      <c r="B14913" s="2">
        <v>1497</v>
      </c>
      <c r="C14913" s="4" t="str">
        <f>HYPERLINK("http://www.uniprot.org/uniprot/M5X4Z3","M5X4Z3")</f>
        <v>M5X4Z3</v>
      </c>
      <c r="D14913" s="2" t="s">
        <v>12050</v>
      </c>
      <c r="E14913" s="3">
        <v>2.3700000000000001E-73</v>
      </c>
      <c r="F14913" s="2">
        <v>627</v>
      </c>
      <c r="G14913" s="2">
        <v>94</v>
      </c>
      <c r="H14913" s="2">
        <v>233</v>
      </c>
      <c r="I14913" s="2">
        <v>105</v>
      </c>
      <c r="J14913" s="2">
        <v>803</v>
      </c>
      <c r="K14913" s="2">
        <v>1</v>
      </c>
      <c r="L14913" s="2">
        <v>233</v>
      </c>
    </row>
    <row r="14914" spans="1:12" x14ac:dyDescent="0.25">
      <c r="A14914" s="4" t="str">
        <f>HYPERLINK("http://www.rosaceae.org/Prunus/Prunus_persica/p.persica_gdr_reftransV1_0043355","p.persica_gdr_reftransV1_0043355")</f>
        <v>p.persica_gdr_reftransV1_0043355</v>
      </c>
      <c r="B14914" s="2">
        <v>1309</v>
      </c>
      <c r="C14914" s="4" t="str">
        <f>HYPERLINK("http://www.uniprot.org/uniprot/M5VKX2","M5VKX2")</f>
        <v>M5VKX2</v>
      </c>
      <c r="D14914" s="2" t="s">
        <v>12051</v>
      </c>
      <c r="E14914" s="3">
        <v>3.1299999999999999E-180</v>
      </c>
      <c r="F14914" s="2">
        <v>1327</v>
      </c>
      <c r="G14914" s="2">
        <v>100</v>
      </c>
      <c r="H14914" s="2">
        <v>259</v>
      </c>
      <c r="I14914" s="2">
        <v>361</v>
      </c>
      <c r="J14914" s="2">
        <v>1137</v>
      </c>
      <c r="K14914" s="2">
        <v>1</v>
      </c>
      <c r="L14914" s="2">
        <v>259</v>
      </c>
    </row>
    <row r="14915" spans="1:12" x14ac:dyDescent="0.25">
      <c r="A14915" s="4" t="str">
        <f>HYPERLINK("http://www.rosaceae.org/Prunus/Prunus_persica/p.persica_gdr_reftransV1_0043705","p.persica_gdr_reftransV1_0043705")</f>
        <v>p.persica_gdr_reftransV1_0043705</v>
      </c>
      <c r="B14915" s="2">
        <v>354</v>
      </c>
      <c r="C14915" s="4" t="str">
        <f>HYPERLINK("http://www.uniprot.org/uniprot/M5XHF3","M5XHF3")</f>
        <v>M5XHF3</v>
      </c>
      <c r="D14915" s="2" t="s">
        <v>6272</v>
      </c>
      <c r="E14915" s="3">
        <v>1.1399999999999999E-75</v>
      </c>
      <c r="F14915" s="2">
        <v>637</v>
      </c>
      <c r="G14915" s="2">
        <v>100</v>
      </c>
      <c r="H14915" s="2">
        <v>118</v>
      </c>
      <c r="I14915" s="2">
        <v>1</v>
      </c>
      <c r="J14915" s="2">
        <v>354</v>
      </c>
      <c r="K14915" s="2">
        <v>77</v>
      </c>
      <c r="L14915" s="2">
        <v>194</v>
      </c>
    </row>
    <row r="14916" spans="1:12" x14ac:dyDescent="0.25">
      <c r="A14916" s="4" t="str">
        <f>HYPERLINK("http://www.rosaceae.org/Prunus/Prunus_persica/p.persica_gdr_reftransV1_0044405","p.persica_gdr_reftransV1_0044405")</f>
        <v>p.persica_gdr_reftransV1_0044405</v>
      </c>
      <c r="B14916" s="2">
        <v>798</v>
      </c>
      <c r="C14916" s="4" t="str">
        <f>HYPERLINK("http://www.uniprot.org/uniprot/M5W729","M5W729")</f>
        <v>M5W729</v>
      </c>
      <c r="D14916" s="2" t="s">
        <v>12052</v>
      </c>
      <c r="E14916" s="3">
        <v>3.5E-76</v>
      </c>
      <c r="F14916" s="2">
        <v>608</v>
      </c>
      <c r="G14916" s="2">
        <v>99</v>
      </c>
      <c r="H14916" s="2">
        <v>119</v>
      </c>
      <c r="I14916" s="2">
        <v>73</v>
      </c>
      <c r="J14916" s="2">
        <v>429</v>
      </c>
      <c r="K14916" s="2">
        <v>1</v>
      </c>
      <c r="L14916" s="2">
        <v>119</v>
      </c>
    </row>
    <row r="14917" spans="1:12" x14ac:dyDescent="0.25">
      <c r="A14917" s="4" t="str">
        <f>HYPERLINK("http://www.rosaceae.org/Prunus/Prunus_persica/p.persica_gdr_reftransV1_0044755","p.persica_gdr_reftransV1_0044755")</f>
        <v>p.persica_gdr_reftransV1_0044755</v>
      </c>
      <c r="B14917" s="2">
        <v>1583</v>
      </c>
      <c r="C14917" s="4" t="str">
        <f>HYPERLINK("http://www.uniprot.org/uniprot/M5WCU3","M5WCU3")</f>
        <v>M5WCU3</v>
      </c>
      <c r="D14917" s="2" t="s">
        <v>5534</v>
      </c>
      <c r="E14917" s="3">
        <v>0</v>
      </c>
      <c r="F14917" s="2">
        <v>1885</v>
      </c>
      <c r="G14917" s="2">
        <v>100</v>
      </c>
      <c r="H14917" s="2">
        <v>364</v>
      </c>
      <c r="I14917" s="2">
        <v>132</v>
      </c>
      <c r="J14917" s="2">
        <v>1223</v>
      </c>
      <c r="K14917" s="2">
        <v>18</v>
      </c>
      <c r="L14917" s="2">
        <v>381</v>
      </c>
    </row>
    <row r="14918" spans="1:12" x14ac:dyDescent="0.25">
      <c r="A14918" s="4" t="str">
        <f>HYPERLINK("http://www.rosaceae.org/Prunus/Prunus_persica/p.persica_gdr_reftransV1_0045105","p.persica_gdr_reftransV1_0045105")</f>
        <v>p.persica_gdr_reftransV1_0045105</v>
      </c>
      <c r="B14918" s="2">
        <v>3316</v>
      </c>
      <c r="C14918" s="4" t="str">
        <f>HYPERLINK("http://www.uniprot.org/uniprot/M5WQK7","M5WQK7")</f>
        <v>M5WQK7</v>
      </c>
      <c r="D14918" s="2" t="s">
        <v>1355</v>
      </c>
      <c r="E14918" s="3">
        <v>0</v>
      </c>
      <c r="F14918" s="2">
        <v>2822</v>
      </c>
      <c r="G14918" s="2">
        <v>100</v>
      </c>
      <c r="H14918" s="2">
        <v>677</v>
      </c>
      <c r="I14918" s="2">
        <v>927</v>
      </c>
      <c r="J14918" s="2">
        <v>2957</v>
      </c>
      <c r="K14918" s="2">
        <v>321</v>
      </c>
      <c r="L14918" s="2">
        <v>997</v>
      </c>
    </row>
    <row r="14919" spans="1:12" x14ac:dyDescent="0.25">
      <c r="A14919" s="4" t="str">
        <f>HYPERLINK("http://www.rosaceae.org/Prunus/Prunus_persica/p.persica_gdr_reftransV1_0046155","p.persica_gdr_reftransV1_0046155")</f>
        <v>p.persica_gdr_reftransV1_0046155</v>
      </c>
      <c r="B14919" s="2">
        <v>1797</v>
      </c>
      <c r="C14919" s="4" t="str">
        <f>HYPERLINK("http://www.uniprot.org/uniprot/M5Y1Y1","M5Y1Y1")</f>
        <v>M5Y1Y1</v>
      </c>
      <c r="D14919" s="2" t="s">
        <v>8564</v>
      </c>
      <c r="E14919" s="3">
        <v>4.0399999999999997E-157</v>
      </c>
      <c r="F14919" s="2">
        <v>1196</v>
      </c>
      <c r="G14919" s="2">
        <v>100</v>
      </c>
      <c r="H14919" s="2">
        <v>308</v>
      </c>
      <c r="I14919" s="2">
        <v>485</v>
      </c>
      <c r="J14919" s="2">
        <v>1408</v>
      </c>
      <c r="K14919" s="2">
        <v>1</v>
      </c>
      <c r="L14919" s="2">
        <v>308</v>
      </c>
    </row>
    <row r="14920" spans="1:12" x14ac:dyDescent="0.25">
      <c r="A14920" s="4" t="str">
        <f>HYPERLINK("http://www.rosaceae.org/Prunus/Prunus_persica/p.persica_gdr_reftransV1_0046855","p.persica_gdr_reftransV1_0046855")</f>
        <v>p.persica_gdr_reftransV1_0046855</v>
      </c>
      <c r="B14920" s="2">
        <v>1165</v>
      </c>
      <c r="C14920" s="4" t="str">
        <f>HYPERLINK("http://www.uniprot.org/uniprot/M5WGA1","M5WGA1")</f>
        <v>M5WGA1</v>
      </c>
      <c r="D14920" s="2" t="s">
        <v>12053</v>
      </c>
      <c r="E14920" s="3">
        <v>0</v>
      </c>
      <c r="F14920" s="2">
        <v>1787</v>
      </c>
      <c r="G14920" s="2">
        <v>100</v>
      </c>
      <c r="H14920" s="2">
        <v>332</v>
      </c>
      <c r="I14920" s="2">
        <v>170</v>
      </c>
      <c r="J14920" s="2">
        <v>1165</v>
      </c>
      <c r="K14920" s="2">
        <v>200</v>
      </c>
      <c r="L14920" s="2">
        <v>531</v>
      </c>
    </row>
    <row r="14921" spans="1:12" x14ac:dyDescent="0.25">
      <c r="A14921" s="4" t="str">
        <f>HYPERLINK("http://www.rosaceae.org/Prunus/Prunus_persica/p.persica_gdr_reftransV1_0047205","p.persica_gdr_reftransV1_0047205")</f>
        <v>p.persica_gdr_reftransV1_0047205</v>
      </c>
      <c r="B14921" s="2">
        <v>458</v>
      </c>
      <c r="C14921" s="4" t="str">
        <f>HYPERLINK("http://www.uniprot.org/uniprot/Q40968","Q40968")</f>
        <v>Q40968</v>
      </c>
      <c r="D14921" s="2" t="s">
        <v>12054</v>
      </c>
      <c r="E14921" s="3">
        <v>2.6900000000000001E-48</v>
      </c>
      <c r="F14921" s="2">
        <v>437</v>
      </c>
      <c r="G14921" s="2">
        <v>91</v>
      </c>
      <c r="H14921" s="2">
        <v>152</v>
      </c>
      <c r="I14921" s="2">
        <v>1</v>
      </c>
      <c r="J14921" s="2">
        <v>456</v>
      </c>
      <c r="K14921" s="2">
        <v>192</v>
      </c>
      <c r="L14921" s="2">
        <v>343</v>
      </c>
    </row>
    <row r="14922" spans="1:12" x14ac:dyDescent="0.25">
      <c r="A14922" s="4" t="str">
        <f>HYPERLINK("http://www.rosaceae.org/Prunus/Prunus_persica/p.persica_gdr_reftransV1_0047555","p.persica_gdr_reftransV1_0047555")</f>
        <v>p.persica_gdr_reftransV1_0047555</v>
      </c>
      <c r="B14922" s="2">
        <v>1102</v>
      </c>
      <c r="C14922" s="4" t="str">
        <f>HYPERLINK("http://www.uniprot.org/uniprot/M5XFW8","M5XFW8")</f>
        <v>M5XFW8</v>
      </c>
      <c r="D14922" s="2" t="s">
        <v>981</v>
      </c>
      <c r="E14922" s="3">
        <v>7.85E-106</v>
      </c>
      <c r="F14922" s="2">
        <v>818</v>
      </c>
      <c r="G14922" s="2">
        <v>100</v>
      </c>
      <c r="H14922" s="2">
        <v>158</v>
      </c>
      <c r="I14922" s="2">
        <v>206</v>
      </c>
      <c r="J14922" s="2">
        <v>679</v>
      </c>
      <c r="K14922" s="2">
        <v>1</v>
      </c>
      <c r="L14922" s="2">
        <v>158</v>
      </c>
    </row>
    <row r="14923" spans="1:12" x14ac:dyDescent="0.25">
      <c r="A14923" s="4" t="str">
        <f>HYPERLINK("http://www.rosaceae.org/Prunus/Prunus_persica/p.persica_gdr_reftransV1_0047905","p.persica_gdr_reftransV1_0047905")</f>
        <v>p.persica_gdr_reftransV1_0047905</v>
      </c>
      <c r="B14923" s="2">
        <v>1262</v>
      </c>
      <c r="C14923" s="4" t="str">
        <f>HYPERLINK("http://www.uniprot.org/uniprot/M5VX07","M5VX07")</f>
        <v>M5VX07</v>
      </c>
      <c r="D14923" s="2" t="s">
        <v>1672</v>
      </c>
      <c r="E14923" s="3">
        <v>0</v>
      </c>
      <c r="F14923" s="2">
        <v>2036</v>
      </c>
      <c r="G14923" s="2">
        <v>100</v>
      </c>
      <c r="H14923" s="2">
        <v>408</v>
      </c>
      <c r="I14923" s="2">
        <v>37</v>
      </c>
      <c r="J14923" s="2">
        <v>1260</v>
      </c>
      <c r="K14923" s="2">
        <v>1</v>
      </c>
      <c r="L14923" s="2">
        <v>408</v>
      </c>
    </row>
    <row r="14924" spans="1:12" x14ac:dyDescent="0.25">
      <c r="A14924" s="4" t="str">
        <f>HYPERLINK("http://www.rosaceae.org/Prunus/Prunus_persica/p.persica_gdr_reftransV1_0048255","p.persica_gdr_reftransV1_0048255")</f>
        <v>p.persica_gdr_reftransV1_0048255</v>
      </c>
      <c r="B14924" s="2">
        <v>782</v>
      </c>
      <c r="C14924" s="4" t="str">
        <f>HYPERLINK("http://www.uniprot.org/uniprot/B9R867","B9R867")</f>
        <v>B9R867</v>
      </c>
      <c r="D14924" s="2" t="s">
        <v>12055</v>
      </c>
      <c r="E14924" s="3">
        <v>1.33E-55</v>
      </c>
      <c r="F14924" s="2">
        <v>441</v>
      </c>
      <c r="G14924" s="2">
        <v>69</v>
      </c>
      <c r="H14924" s="2">
        <v>123</v>
      </c>
      <c r="I14924" s="2">
        <v>145</v>
      </c>
      <c r="J14924" s="2">
        <v>510</v>
      </c>
      <c r="K14924" s="2">
        <v>1</v>
      </c>
      <c r="L14924" s="2">
        <v>123</v>
      </c>
    </row>
    <row r="14925" spans="1:12" x14ac:dyDescent="0.25">
      <c r="A14925" s="4" t="str">
        <f>HYPERLINK("http://www.rosaceae.org/Prunus/Prunus_persica/p.persica_gdr_reftransV1_0048605","p.persica_gdr_reftransV1_0048605")</f>
        <v>p.persica_gdr_reftransV1_0048605</v>
      </c>
      <c r="B14925" s="2">
        <v>1231</v>
      </c>
      <c r="C14925" s="4" t="str">
        <f>HYPERLINK("http://www.uniprot.org/uniprot/M5XMV8","M5XMV8")</f>
        <v>M5XMV8</v>
      </c>
      <c r="D14925" s="2" t="s">
        <v>12056</v>
      </c>
      <c r="E14925" s="3">
        <v>0</v>
      </c>
      <c r="F14925" s="2">
        <v>1776</v>
      </c>
      <c r="G14925" s="2">
        <v>100</v>
      </c>
      <c r="H14925" s="2">
        <v>331</v>
      </c>
      <c r="I14925" s="2">
        <v>206</v>
      </c>
      <c r="J14925" s="2">
        <v>1198</v>
      </c>
      <c r="K14925" s="2">
        <v>1</v>
      </c>
      <c r="L14925" s="2">
        <v>331</v>
      </c>
    </row>
    <row r="14926" spans="1:12" x14ac:dyDescent="0.25">
      <c r="A14926" s="4" t="str">
        <f>HYPERLINK("http://www.rosaceae.org/Prunus/Prunus_persica/p.persica_gdr_reftransV1_0000656","p.persica_gdr_reftransV1_0000656")</f>
        <v>p.persica_gdr_reftransV1_0000656</v>
      </c>
      <c r="B14926" s="2">
        <v>372</v>
      </c>
      <c r="C14926" s="4" t="str">
        <f>HYPERLINK("http://www.uniprot.org/uniprot/M5XKJ8","M5XKJ8")</f>
        <v>M5XKJ8</v>
      </c>
      <c r="D14926" s="2" t="s">
        <v>4968</v>
      </c>
      <c r="E14926" s="3">
        <v>5.1700000000000001E-79</v>
      </c>
      <c r="F14926" s="2">
        <v>675</v>
      </c>
      <c r="G14926" s="2">
        <v>100</v>
      </c>
      <c r="H14926" s="2">
        <v>123</v>
      </c>
      <c r="I14926" s="2">
        <v>3</v>
      </c>
      <c r="J14926" s="2">
        <v>371</v>
      </c>
      <c r="K14926" s="2">
        <v>220</v>
      </c>
      <c r="L14926" s="2">
        <v>342</v>
      </c>
    </row>
    <row r="14927" spans="1:12" x14ac:dyDescent="0.25">
      <c r="A14927" s="4" t="str">
        <f>HYPERLINK("http://www.rosaceae.org/Prunus/Prunus_persica/p.persica_gdr_reftransV1_0001006","p.persica_gdr_reftransV1_0001006")</f>
        <v>p.persica_gdr_reftransV1_0001006</v>
      </c>
      <c r="B14927" s="2">
        <v>1234</v>
      </c>
      <c r="C14927" s="4" t="str">
        <f>HYPERLINK("http://www.uniprot.org/uniprot/M5XDE7","M5XDE7")</f>
        <v>M5XDE7</v>
      </c>
      <c r="D14927" s="2" t="s">
        <v>12057</v>
      </c>
      <c r="E14927" s="3">
        <v>5.5E-154</v>
      </c>
      <c r="F14927" s="2">
        <v>1148</v>
      </c>
      <c r="G14927" s="2">
        <v>100</v>
      </c>
      <c r="H14927" s="2">
        <v>222</v>
      </c>
      <c r="I14927" s="2">
        <v>424</v>
      </c>
      <c r="J14927" s="2">
        <v>1089</v>
      </c>
      <c r="K14927" s="2">
        <v>1</v>
      </c>
      <c r="L14927" s="2">
        <v>222</v>
      </c>
    </row>
    <row r="14928" spans="1:12" x14ac:dyDescent="0.25">
      <c r="A14928" s="4" t="str">
        <f>HYPERLINK("http://www.rosaceae.org/Prunus/Prunus_persica/p.persica_gdr_reftransV1_0001706","p.persica_gdr_reftransV1_0001706")</f>
        <v>p.persica_gdr_reftransV1_0001706</v>
      </c>
      <c r="B14928" s="2">
        <v>410</v>
      </c>
      <c r="C14928" s="4" t="str">
        <f>HYPERLINK("http://www.uniprot.org/uniprot/M5WL42","M5WL42")</f>
        <v>M5WL42</v>
      </c>
      <c r="D14928" s="2" t="s">
        <v>3451</v>
      </c>
      <c r="E14928" s="3">
        <v>1.4800000000000001E-32</v>
      </c>
      <c r="F14928" s="2">
        <v>332</v>
      </c>
      <c r="G14928" s="2">
        <v>59</v>
      </c>
      <c r="H14928" s="2">
        <v>124</v>
      </c>
      <c r="I14928" s="2">
        <v>1</v>
      </c>
      <c r="J14928" s="2">
        <v>366</v>
      </c>
      <c r="K14928" s="2">
        <v>578</v>
      </c>
      <c r="L14928" s="2">
        <v>696</v>
      </c>
    </row>
    <row r="14929" spans="1:12" x14ac:dyDescent="0.25">
      <c r="A14929" s="4" t="str">
        <f>HYPERLINK("http://www.rosaceae.org/Prunus/Prunus_persica/p.persica_gdr_reftransV1_0002406","p.persica_gdr_reftransV1_0002406")</f>
        <v>p.persica_gdr_reftransV1_0002406</v>
      </c>
      <c r="B14929" s="2">
        <v>901</v>
      </c>
      <c r="C14929" s="4" t="str">
        <f>HYPERLINK("http://www.uniprot.org/uniprot/M5VNC4","M5VNC4")</f>
        <v>M5VNC4</v>
      </c>
      <c r="D14929" s="2" t="s">
        <v>3871</v>
      </c>
      <c r="E14929" s="3">
        <v>0</v>
      </c>
      <c r="F14929" s="2">
        <v>1515</v>
      </c>
      <c r="G14929" s="2">
        <v>100</v>
      </c>
      <c r="H14929" s="2">
        <v>300</v>
      </c>
      <c r="I14929" s="2">
        <v>2</v>
      </c>
      <c r="J14929" s="2">
        <v>901</v>
      </c>
      <c r="K14929" s="2">
        <v>101</v>
      </c>
      <c r="L14929" s="2">
        <v>400</v>
      </c>
    </row>
    <row r="14930" spans="1:12" x14ac:dyDescent="0.25">
      <c r="A14930" s="4" t="str">
        <f>HYPERLINK("http://www.rosaceae.org/Prunus/Prunus_persica/p.persica_gdr_reftransV1_0003456","p.persica_gdr_reftransV1_0003456")</f>
        <v>p.persica_gdr_reftransV1_0003456</v>
      </c>
      <c r="B14930" s="2">
        <v>386</v>
      </c>
      <c r="C14930" s="4" t="str">
        <f>HYPERLINK("http://www.uniprot.org/uniprot/A0A0F4ZAC8","A0A0F4ZAC8")</f>
        <v>A0A0F4ZAC8</v>
      </c>
      <c r="D14930" s="2" t="s">
        <v>12058</v>
      </c>
      <c r="E14930" s="3">
        <v>1.04E-84</v>
      </c>
      <c r="F14930" s="2">
        <v>687</v>
      </c>
      <c r="G14930" s="2">
        <v>99</v>
      </c>
      <c r="H14930" s="2">
        <v>128</v>
      </c>
      <c r="I14930" s="2">
        <v>2</v>
      </c>
      <c r="J14930" s="2">
        <v>385</v>
      </c>
      <c r="K14930" s="2">
        <v>281</v>
      </c>
      <c r="L14930" s="2">
        <v>408</v>
      </c>
    </row>
    <row r="14931" spans="1:12" x14ac:dyDescent="0.25">
      <c r="A14931" s="4" t="str">
        <f>HYPERLINK("http://www.rosaceae.org/Prunus/Prunus_persica/p.persica_gdr_reftransV1_0004506","p.persica_gdr_reftransV1_0004506")</f>
        <v>p.persica_gdr_reftransV1_0004506</v>
      </c>
      <c r="B14931" s="2">
        <v>2748</v>
      </c>
      <c r="C14931" s="4" t="str">
        <f>HYPERLINK("http://www.uniprot.org/uniprot/M5X8K3","M5X8K3")</f>
        <v>M5X8K3</v>
      </c>
      <c r="D14931" s="2" t="s">
        <v>2725</v>
      </c>
      <c r="E14931" s="3">
        <v>0</v>
      </c>
      <c r="F14931" s="2">
        <v>3502</v>
      </c>
      <c r="G14931" s="2">
        <v>93</v>
      </c>
      <c r="H14931" s="2">
        <v>818</v>
      </c>
      <c r="I14931" s="2">
        <v>160</v>
      </c>
      <c r="J14931" s="2">
        <v>2613</v>
      </c>
      <c r="K14931" s="2">
        <v>29</v>
      </c>
      <c r="L14931" s="2">
        <v>840</v>
      </c>
    </row>
    <row r="14932" spans="1:12" x14ac:dyDescent="0.25">
      <c r="A14932" s="4" t="str">
        <f>HYPERLINK("http://www.rosaceae.org/Prunus/Prunus_persica/p.persica_gdr_reftransV1_0005206","p.persica_gdr_reftransV1_0005206")</f>
        <v>p.persica_gdr_reftransV1_0005206</v>
      </c>
      <c r="B14932" s="2">
        <v>2341</v>
      </c>
      <c r="C14932" s="4" t="str">
        <f>HYPERLINK("http://www.uniprot.org/uniprot/M5XQT3","M5XQT3")</f>
        <v>M5XQT3</v>
      </c>
      <c r="D14932" s="2" t="s">
        <v>12059</v>
      </c>
      <c r="E14932" s="3">
        <v>0</v>
      </c>
      <c r="F14932" s="2">
        <v>3858</v>
      </c>
      <c r="G14932" s="2">
        <v>100</v>
      </c>
      <c r="H14932" s="2">
        <v>751</v>
      </c>
      <c r="I14932" s="2">
        <v>2</v>
      </c>
      <c r="J14932" s="2">
        <v>2254</v>
      </c>
      <c r="K14932" s="2">
        <v>47</v>
      </c>
      <c r="L14932" s="2">
        <v>797</v>
      </c>
    </row>
    <row r="14933" spans="1:12" x14ac:dyDescent="0.25">
      <c r="A14933" s="4" t="str">
        <f>HYPERLINK("http://www.rosaceae.org/Prunus/Prunus_persica/p.persica_gdr_reftransV1_0005556","p.persica_gdr_reftransV1_0005556")</f>
        <v>p.persica_gdr_reftransV1_0005556</v>
      </c>
      <c r="B14933" s="2">
        <v>443</v>
      </c>
      <c r="C14933" s="4" t="str">
        <f>HYPERLINK("http://www.uniprot.org/uniprot/M5W6I8","M5W6I8")</f>
        <v>M5W6I8</v>
      </c>
      <c r="D14933" s="2" t="s">
        <v>12060</v>
      </c>
      <c r="E14933" s="3">
        <v>7.4799999999999995E-97</v>
      </c>
      <c r="F14933" s="2">
        <v>784</v>
      </c>
      <c r="G14933" s="2">
        <v>100</v>
      </c>
      <c r="H14933" s="2">
        <v>147</v>
      </c>
      <c r="I14933" s="2">
        <v>2</v>
      </c>
      <c r="J14933" s="2">
        <v>442</v>
      </c>
      <c r="K14933" s="2">
        <v>184</v>
      </c>
      <c r="L14933" s="2">
        <v>330</v>
      </c>
    </row>
    <row r="14934" spans="1:12" x14ac:dyDescent="0.25">
      <c r="A14934" s="4" t="str">
        <f>HYPERLINK("http://www.rosaceae.org/Prunus/Prunus_persica/p.persica_gdr_reftransV1_0008006","p.persica_gdr_reftransV1_0008006")</f>
        <v>p.persica_gdr_reftransV1_0008006</v>
      </c>
      <c r="B14934" s="2">
        <v>1468</v>
      </c>
      <c r="C14934" s="4" t="str">
        <f>HYPERLINK("http://www.uniprot.org/uniprot/M5WLN6","M5WLN6")</f>
        <v>M5WLN6</v>
      </c>
      <c r="D14934" s="2" t="s">
        <v>12061</v>
      </c>
      <c r="E14934" s="3">
        <v>9.6899999999999999E-104</v>
      </c>
      <c r="F14934" s="2">
        <v>828</v>
      </c>
      <c r="G14934" s="2">
        <v>100</v>
      </c>
      <c r="H14934" s="2">
        <v>233</v>
      </c>
      <c r="I14934" s="2">
        <v>768</v>
      </c>
      <c r="J14934" s="2">
        <v>1466</v>
      </c>
      <c r="K14934" s="2">
        <v>46</v>
      </c>
      <c r="L14934" s="2">
        <v>278</v>
      </c>
    </row>
    <row r="14935" spans="1:12" x14ac:dyDescent="0.25">
      <c r="A14935" s="4" t="str">
        <f>HYPERLINK("http://www.rosaceae.org/Prunus/Prunus_persica/p.persica_gdr_reftransV1_0008356","p.persica_gdr_reftransV1_0008356")</f>
        <v>p.persica_gdr_reftransV1_0008356</v>
      </c>
      <c r="B14935" s="2">
        <v>797</v>
      </c>
      <c r="C14935" s="4" t="str">
        <f>HYPERLINK("http://www.uniprot.org/uniprot/M5XMG6","M5XMG6")</f>
        <v>M5XMG6</v>
      </c>
      <c r="D14935" s="2" t="s">
        <v>2116</v>
      </c>
      <c r="E14935" s="3">
        <v>2.1099999999999999E-70</v>
      </c>
      <c r="F14935" s="2">
        <v>569</v>
      </c>
      <c r="G14935" s="2">
        <v>100</v>
      </c>
      <c r="H14935" s="2">
        <v>111</v>
      </c>
      <c r="I14935" s="2">
        <v>70</v>
      </c>
      <c r="J14935" s="2">
        <v>402</v>
      </c>
      <c r="K14935" s="2">
        <v>1</v>
      </c>
      <c r="L14935" s="2">
        <v>111</v>
      </c>
    </row>
    <row r="14936" spans="1:12" x14ac:dyDescent="0.25">
      <c r="A14936" s="4" t="str">
        <f>HYPERLINK("http://www.rosaceae.org/Prunus/Prunus_persica/p.persica_gdr_reftransV1_0009406","p.persica_gdr_reftransV1_0009406")</f>
        <v>p.persica_gdr_reftransV1_0009406</v>
      </c>
      <c r="B14936" s="2">
        <v>1349</v>
      </c>
      <c r="C14936" s="4" t="str">
        <f>HYPERLINK("http://www.uniprot.org/uniprot/M5X8E8","M5X8E8")</f>
        <v>M5X8E8</v>
      </c>
      <c r="D14936" s="2" t="s">
        <v>5254</v>
      </c>
      <c r="E14936" s="3">
        <v>0</v>
      </c>
      <c r="F14936" s="2">
        <v>2153</v>
      </c>
      <c r="G14936" s="2">
        <v>96</v>
      </c>
      <c r="H14936" s="2">
        <v>441</v>
      </c>
      <c r="I14936" s="2">
        <v>3</v>
      </c>
      <c r="J14936" s="2">
        <v>1298</v>
      </c>
      <c r="K14936" s="2">
        <v>72</v>
      </c>
      <c r="L14936" s="2">
        <v>512</v>
      </c>
    </row>
    <row r="14937" spans="1:12" x14ac:dyDescent="0.25">
      <c r="A14937" s="4" t="str">
        <f>HYPERLINK("http://www.rosaceae.org/Prunus/Prunus_persica/p.persica_gdr_reftransV1_0009756","p.persica_gdr_reftransV1_0009756")</f>
        <v>p.persica_gdr_reftransV1_0009756</v>
      </c>
      <c r="B14937" s="2">
        <v>833</v>
      </c>
      <c r="C14937" s="4" t="str">
        <f>HYPERLINK("http://www.uniprot.org/uniprot/M5XP07","M5XP07")</f>
        <v>M5XP07</v>
      </c>
      <c r="D14937" s="2" t="s">
        <v>12062</v>
      </c>
      <c r="E14937" s="3">
        <v>9.4799999999999998E-79</v>
      </c>
      <c r="F14937" s="2">
        <v>628</v>
      </c>
      <c r="G14937" s="2">
        <v>100</v>
      </c>
      <c r="H14937" s="2">
        <v>134</v>
      </c>
      <c r="I14937" s="2">
        <v>345</v>
      </c>
      <c r="J14937" s="2">
        <v>746</v>
      </c>
      <c r="K14937" s="2">
        <v>1</v>
      </c>
      <c r="L14937" s="2">
        <v>134</v>
      </c>
    </row>
    <row r="14938" spans="1:12" x14ac:dyDescent="0.25">
      <c r="A14938" s="4" t="str">
        <f>HYPERLINK("http://www.rosaceae.org/Prunus/Prunus_persica/p.persica_gdr_reftransV1_0011156","p.persica_gdr_reftransV1_0011156")</f>
        <v>p.persica_gdr_reftransV1_0011156</v>
      </c>
      <c r="B14938" s="2">
        <v>1565</v>
      </c>
      <c r="C14938" s="4" t="str">
        <f>HYPERLINK("http://www.uniprot.org/uniprot/M5Y140","M5Y140")</f>
        <v>M5Y140</v>
      </c>
      <c r="D14938" s="2" t="s">
        <v>12063</v>
      </c>
      <c r="E14938" s="3">
        <v>0</v>
      </c>
      <c r="F14938" s="2">
        <v>1641</v>
      </c>
      <c r="G14938" s="2">
        <v>99</v>
      </c>
      <c r="H14938" s="2">
        <v>320</v>
      </c>
      <c r="I14938" s="2">
        <v>233</v>
      </c>
      <c r="J14938" s="2">
        <v>1192</v>
      </c>
      <c r="K14938" s="2">
        <v>1</v>
      </c>
      <c r="L14938" s="2">
        <v>320</v>
      </c>
    </row>
    <row r="14939" spans="1:12" x14ac:dyDescent="0.25">
      <c r="A14939" s="4" t="str">
        <f>HYPERLINK("http://www.rosaceae.org/Prunus/Prunus_persica/p.persica_gdr_reftransV1_0011506","p.persica_gdr_reftransV1_0011506")</f>
        <v>p.persica_gdr_reftransV1_0011506</v>
      </c>
      <c r="B14939" s="2">
        <v>1348</v>
      </c>
      <c r="C14939" s="4" t="str">
        <f>HYPERLINK("http://www.uniprot.org/uniprot/M5WGH5","M5WGH5")</f>
        <v>M5WGH5</v>
      </c>
      <c r="D14939" s="2" t="s">
        <v>12064</v>
      </c>
      <c r="E14939" s="3">
        <v>0</v>
      </c>
      <c r="F14939" s="2">
        <v>1525</v>
      </c>
      <c r="G14939" s="2">
        <v>100</v>
      </c>
      <c r="H14939" s="2">
        <v>300</v>
      </c>
      <c r="I14939" s="2">
        <v>260</v>
      </c>
      <c r="J14939" s="2">
        <v>1159</v>
      </c>
      <c r="K14939" s="2">
        <v>1</v>
      </c>
      <c r="L14939" s="2">
        <v>300</v>
      </c>
    </row>
    <row r="14940" spans="1:12" x14ac:dyDescent="0.25">
      <c r="A14940" s="4" t="str">
        <f>HYPERLINK("http://www.rosaceae.org/Prunus/Prunus_persica/p.persica_gdr_reftransV1_0011856","p.persica_gdr_reftransV1_0011856")</f>
        <v>p.persica_gdr_reftransV1_0011856</v>
      </c>
      <c r="B14940" s="2">
        <v>1230</v>
      </c>
      <c r="C14940" s="4" t="str">
        <f>HYPERLINK("http://www.uniprot.org/uniprot/M5VWB2","M5VWB2")</f>
        <v>M5VWB2</v>
      </c>
      <c r="D14940" s="2" t="s">
        <v>12065</v>
      </c>
      <c r="E14940" s="3">
        <v>0</v>
      </c>
      <c r="F14940" s="2">
        <v>2162</v>
      </c>
      <c r="G14940" s="2">
        <v>100</v>
      </c>
      <c r="H14940" s="2">
        <v>400</v>
      </c>
      <c r="I14940" s="2">
        <v>2</v>
      </c>
      <c r="J14940" s="2">
        <v>1201</v>
      </c>
      <c r="K14940" s="2">
        <v>494</v>
      </c>
      <c r="L14940" s="2">
        <v>893</v>
      </c>
    </row>
    <row r="14941" spans="1:12" x14ac:dyDescent="0.25">
      <c r="A14941" s="4" t="str">
        <f>HYPERLINK("http://www.rosaceae.org/Prunus/Prunus_persica/p.persica_gdr_reftransV1_0012206","p.persica_gdr_reftransV1_0012206")</f>
        <v>p.persica_gdr_reftransV1_0012206</v>
      </c>
      <c r="B14941" s="2">
        <v>1204</v>
      </c>
      <c r="C14941" s="4" t="str">
        <f>HYPERLINK("http://www.uniprot.org/uniprot/M5VMS1","M5VMS1")</f>
        <v>M5VMS1</v>
      </c>
      <c r="D14941" s="2" t="s">
        <v>12066</v>
      </c>
      <c r="E14941" s="3">
        <v>6.0900000000000003E-136</v>
      </c>
      <c r="F14941" s="2">
        <v>1024</v>
      </c>
      <c r="G14941" s="2">
        <v>100</v>
      </c>
      <c r="H14941" s="2">
        <v>192</v>
      </c>
      <c r="I14941" s="2">
        <v>309</v>
      </c>
      <c r="J14941" s="2">
        <v>884</v>
      </c>
      <c r="K14941" s="2">
        <v>1</v>
      </c>
      <c r="L14941" s="2">
        <v>192</v>
      </c>
    </row>
    <row r="14942" spans="1:12" x14ac:dyDescent="0.25">
      <c r="A14942" s="4" t="str">
        <f>HYPERLINK("http://www.rosaceae.org/Prunus/Prunus_persica/p.persica_gdr_reftransV1_0012556","p.persica_gdr_reftransV1_0012556")</f>
        <v>p.persica_gdr_reftransV1_0012556</v>
      </c>
      <c r="B14942" s="2">
        <v>3496</v>
      </c>
      <c r="C14942" s="4" t="str">
        <f>HYPERLINK("http://www.uniprot.org/uniprot/M5VWQ9","M5VWQ9")</f>
        <v>M5VWQ9</v>
      </c>
      <c r="D14942" s="2" t="s">
        <v>12067</v>
      </c>
      <c r="E14942" s="3">
        <v>0</v>
      </c>
      <c r="F14942" s="2">
        <v>3314</v>
      </c>
      <c r="G14942" s="2">
        <v>100</v>
      </c>
      <c r="H14942" s="2">
        <v>660</v>
      </c>
      <c r="I14942" s="2">
        <v>592</v>
      </c>
      <c r="J14942" s="2">
        <v>2571</v>
      </c>
      <c r="K14942" s="2">
        <v>173</v>
      </c>
      <c r="L14942" s="2">
        <v>832</v>
      </c>
    </row>
    <row r="14943" spans="1:12" x14ac:dyDescent="0.25">
      <c r="A14943" s="4" t="str">
        <f>HYPERLINK("http://www.rosaceae.org/Prunus/Prunus_persica/p.persica_gdr_reftransV1_0013256","p.persica_gdr_reftransV1_0013256")</f>
        <v>p.persica_gdr_reftransV1_0013256</v>
      </c>
      <c r="B14943" s="2">
        <v>4778</v>
      </c>
      <c r="C14943" s="4" t="str">
        <f>HYPERLINK("http://www.uniprot.org/uniprot/M5WJL6","M5WJL6")</f>
        <v>M5WJL6</v>
      </c>
      <c r="D14943" s="2" t="s">
        <v>12068</v>
      </c>
      <c r="E14943" s="3">
        <v>2.3600000000000002E-77</v>
      </c>
      <c r="F14943" s="2">
        <v>699</v>
      </c>
      <c r="G14943" s="2">
        <v>100</v>
      </c>
      <c r="H14943" s="2">
        <v>131</v>
      </c>
      <c r="I14943" s="2">
        <v>471</v>
      </c>
      <c r="J14943" s="2">
        <v>863</v>
      </c>
      <c r="K14943" s="2">
        <v>1</v>
      </c>
      <c r="L14943" s="2">
        <v>131</v>
      </c>
    </row>
    <row r="14944" spans="1:12" x14ac:dyDescent="0.25">
      <c r="A14944" s="4" t="str">
        <f>HYPERLINK("http://www.rosaceae.org/Prunus/Prunus_persica/p.persica_gdr_reftransV1_0013956","p.persica_gdr_reftransV1_0013956")</f>
        <v>p.persica_gdr_reftransV1_0013956</v>
      </c>
      <c r="B14944" s="2">
        <v>1058</v>
      </c>
      <c r="C14944" s="4" t="str">
        <f>HYPERLINK("http://www.uniprot.org/uniprot/M5XN06","M5XN06")</f>
        <v>M5XN06</v>
      </c>
      <c r="D14944" s="2" t="s">
        <v>10322</v>
      </c>
      <c r="E14944" s="3">
        <v>8.7499999999999998E-59</v>
      </c>
      <c r="F14944" s="2">
        <v>408</v>
      </c>
      <c r="G14944" s="2">
        <v>100</v>
      </c>
      <c r="H14944" s="2">
        <v>82</v>
      </c>
      <c r="I14944" s="2">
        <v>255</v>
      </c>
      <c r="J14944" s="2">
        <v>500</v>
      </c>
      <c r="K14944" s="2">
        <v>314</v>
      </c>
      <c r="L14944" s="2">
        <v>395</v>
      </c>
    </row>
    <row r="14945" spans="1:12" x14ac:dyDescent="0.25">
      <c r="A14945" s="4" t="str">
        <f>HYPERLINK("http://www.rosaceae.org/Prunus/Prunus_persica/p.persica_gdr_reftransV1_0014306","p.persica_gdr_reftransV1_0014306")</f>
        <v>p.persica_gdr_reftransV1_0014306</v>
      </c>
      <c r="B14945" s="2">
        <v>2571</v>
      </c>
      <c r="C14945" s="4" t="str">
        <f>HYPERLINK("http://www.uniprot.org/uniprot/M5VQ92","M5VQ92")</f>
        <v>M5VQ92</v>
      </c>
      <c r="D14945" s="2" t="s">
        <v>12069</v>
      </c>
      <c r="E14945" s="3">
        <v>0</v>
      </c>
      <c r="F14945" s="2">
        <v>2028</v>
      </c>
      <c r="G14945" s="2">
        <v>100</v>
      </c>
      <c r="H14945" s="2">
        <v>424</v>
      </c>
      <c r="I14945" s="2">
        <v>1114</v>
      </c>
      <c r="J14945" s="2">
        <v>2385</v>
      </c>
      <c r="K14945" s="2">
        <v>1</v>
      </c>
      <c r="L14945" s="2">
        <v>424</v>
      </c>
    </row>
    <row r="14946" spans="1:12" x14ac:dyDescent="0.25">
      <c r="A14946" s="4" t="str">
        <f>HYPERLINK("http://www.rosaceae.org/Prunus/Prunus_persica/p.persica_gdr_reftransV1_0015356","p.persica_gdr_reftransV1_0015356")</f>
        <v>p.persica_gdr_reftransV1_0015356</v>
      </c>
      <c r="B14946" s="2">
        <v>5933</v>
      </c>
      <c r="C14946" s="4" t="str">
        <f>HYPERLINK("http://www.uniprot.org/uniprot/M5X3J9","M5X3J9")</f>
        <v>M5X3J9</v>
      </c>
      <c r="D14946" s="2" t="s">
        <v>12070</v>
      </c>
      <c r="E14946" s="3">
        <v>0</v>
      </c>
      <c r="F14946" s="2">
        <v>7931</v>
      </c>
      <c r="G14946" s="2">
        <v>99</v>
      </c>
      <c r="H14946" s="2">
        <v>1559</v>
      </c>
      <c r="I14946" s="2">
        <v>420</v>
      </c>
      <c r="J14946" s="2">
        <v>5096</v>
      </c>
      <c r="K14946" s="2">
        <v>121</v>
      </c>
      <c r="L14946" s="2">
        <v>1671</v>
      </c>
    </row>
    <row r="14947" spans="1:12" x14ac:dyDescent="0.25">
      <c r="A14947" s="4" t="str">
        <f>HYPERLINK("http://www.rosaceae.org/Prunus/Prunus_persica/p.persica_gdr_reftransV1_0016056","p.persica_gdr_reftransV1_0016056")</f>
        <v>p.persica_gdr_reftransV1_0016056</v>
      </c>
      <c r="B14947" s="2">
        <v>658</v>
      </c>
      <c r="C14947" s="4" t="str">
        <f>HYPERLINK("http://www.uniprot.org/uniprot/M5VKG6","M5VKG6")</f>
        <v>M5VKG6</v>
      </c>
      <c r="D14947" s="2" t="s">
        <v>12071</v>
      </c>
      <c r="E14947" s="3">
        <v>4.1100000000000001E-121</v>
      </c>
      <c r="F14947" s="2">
        <v>910</v>
      </c>
      <c r="G14947" s="2">
        <v>99</v>
      </c>
      <c r="H14947" s="2">
        <v>174</v>
      </c>
      <c r="I14947" s="2">
        <v>135</v>
      </c>
      <c r="J14947" s="2">
        <v>656</v>
      </c>
      <c r="K14947" s="2">
        <v>49</v>
      </c>
      <c r="L14947" s="2">
        <v>222</v>
      </c>
    </row>
    <row r="14948" spans="1:12" x14ac:dyDescent="0.25">
      <c r="A14948" s="4" t="str">
        <f>HYPERLINK("http://www.rosaceae.org/Prunus/Prunus_persica/p.persica_gdr_reftransV1_0016756","p.persica_gdr_reftransV1_0016756")</f>
        <v>p.persica_gdr_reftransV1_0016756</v>
      </c>
      <c r="B14948" s="2">
        <v>3432</v>
      </c>
      <c r="C14948" s="4" t="str">
        <f>HYPERLINK("http://www.uniprot.org/uniprot/M5XM42","M5XM42")</f>
        <v>M5XM42</v>
      </c>
      <c r="D14948" s="2" t="s">
        <v>8911</v>
      </c>
      <c r="E14948" s="3">
        <v>0</v>
      </c>
      <c r="F14948" s="2">
        <v>4821</v>
      </c>
      <c r="G14948" s="2">
        <v>100</v>
      </c>
      <c r="H14948" s="2">
        <v>934</v>
      </c>
      <c r="I14948" s="2">
        <v>358</v>
      </c>
      <c r="J14948" s="2">
        <v>3159</v>
      </c>
      <c r="K14948" s="2">
        <v>50</v>
      </c>
      <c r="L14948" s="2">
        <v>983</v>
      </c>
    </row>
    <row r="14949" spans="1:12" x14ac:dyDescent="0.25">
      <c r="A14949" s="4" t="str">
        <f>HYPERLINK("http://www.rosaceae.org/Prunus/Prunus_persica/p.persica_gdr_reftransV1_0017806","p.persica_gdr_reftransV1_0017806")</f>
        <v>p.persica_gdr_reftransV1_0017806</v>
      </c>
      <c r="B14949" s="2">
        <v>2597</v>
      </c>
      <c r="C14949" s="4" t="str">
        <f>HYPERLINK("http://www.uniprot.org/uniprot/A0A068TUI8","A0A068TUI8")</f>
        <v>A0A068TUI8</v>
      </c>
      <c r="D14949" s="2" t="s">
        <v>12072</v>
      </c>
      <c r="E14949" s="3">
        <v>4.3E-135</v>
      </c>
      <c r="F14949" s="2">
        <v>793</v>
      </c>
      <c r="G14949" s="2">
        <v>86</v>
      </c>
      <c r="H14949" s="2">
        <v>170</v>
      </c>
      <c r="I14949" s="2">
        <v>1899</v>
      </c>
      <c r="J14949" s="2">
        <v>2408</v>
      </c>
      <c r="K14949" s="2">
        <v>1</v>
      </c>
      <c r="L14949" s="2">
        <v>170</v>
      </c>
    </row>
    <row r="14950" spans="1:12" x14ac:dyDescent="0.25">
      <c r="A14950" s="4" t="str">
        <f>HYPERLINK("http://www.rosaceae.org/Prunus/Prunus_persica/p.persica_gdr_reftransV1_0018506","p.persica_gdr_reftransV1_0018506")</f>
        <v>p.persica_gdr_reftransV1_0018506</v>
      </c>
      <c r="B14950" s="2">
        <v>2480</v>
      </c>
      <c r="C14950" s="4" t="str">
        <f>HYPERLINK("http://www.uniprot.org/uniprot/M5WE32","M5WE32")</f>
        <v>M5WE32</v>
      </c>
      <c r="D14950" s="2" t="s">
        <v>12073</v>
      </c>
      <c r="E14950" s="3">
        <v>0</v>
      </c>
      <c r="F14950" s="2">
        <v>3057</v>
      </c>
      <c r="G14950" s="2">
        <v>96</v>
      </c>
      <c r="H14950" s="2">
        <v>643</v>
      </c>
      <c r="I14950" s="2">
        <v>390</v>
      </c>
      <c r="J14950" s="2">
        <v>2318</v>
      </c>
      <c r="K14950" s="2">
        <v>1</v>
      </c>
      <c r="L14950" s="2">
        <v>615</v>
      </c>
    </row>
    <row r="14951" spans="1:12" x14ac:dyDescent="0.25">
      <c r="A14951" s="4" t="str">
        <f>HYPERLINK("http://www.rosaceae.org/Prunus/Prunus_persica/p.persica_gdr_reftransV1_0018856","p.persica_gdr_reftransV1_0018856")</f>
        <v>p.persica_gdr_reftransV1_0018856</v>
      </c>
      <c r="B14951" s="2">
        <v>2889</v>
      </c>
      <c r="C14951" s="4" t="str">
        <f>HYPERLINK("http://www.uniprot.org/uniprot/M5X0L0","M5X0L0")</f>
        <v>M5X0L0</v>
      </c>
      <c r="D14951" s="2" t="s">
        <v>12074</v>
      </c>
      <c r="E14951" s="3">
        <v>2.51E-127</v>
      </c>
      <c r="F14951" s="2">
        <v>1015</v>
      </c>
      <c r="G14951" s="2">
        <v>100</v>
      </c>
      <c r="H14951" s="2">
        <v>206</v>
      </c>
      <c r="I14951" s="2">
        <v>1527</v>
      </c>
      <c r="J14951" s="2">
        <v>2144</v>
      </c>
      <c r="K14951" s="2">
        <v>1</v>
      </c>
      <c r="L14951" s="2">
        <v>206</v>
      </c>
    </row>
    <row r="14952" spans="1:12" x14ac:dyDescent="0.25">
      <c r="A14952" s="4" t="str">
        <f>HYPERLINK("http://www.rosaceae.org/Prunus/Prunus_persica/p.persica_gdr_reftransV1_0019206","p.persica_gdr_reftransV1_0019206")</f>
        <v>p.persica_gdr_reftransV1_0019206</v>
      </c>
      <c r="B14952" s="2">
        <v>1671</v>
      </c>
      <c r="C14952" s="4" t="str">
        <f>HYPERLINK("http://www.uniprot.org/uniprot/M5XJ92","M5XJ92")</f>
        <v>M5XJ92</v>
      </c>
      <c r="D14952" s="2" t="s">
        <v>11300</v>
      </c>
      <c r="E14952" s="3">
        <v>0</v>
      </c>
      <c r="F14952" s="2">
        <v>1674</v>
      </c>
      <c r="G14952" s="2">
        <v>100</v>
      </c>
      <c r="H14952" s="2">
        <v>313</v>
      </c>
      <c r="I14952" s="2">
        <v>3</v>
      </c>
      <c r="J14952" s="2">
        <v>941</v>
      </c>
      <c r="K14952" s="2">
        <v>1</v>
      </c>
      <c r="L14952" s="2">
        <v>313</v>
      </c>
    </row>
    <row r="14953" spans="1:12" x14ac:dyDescent="0.25">
      <c r="A14953" s="4" t="str">
        <f>HYPERLINK("http://www.rosaceae.org/Prunus/Prunus_persica/p.persica_gdr_reftransV1_0020606","p.persica_gdr_reftransV1_0020606")</f>
        <v>p.persica_gdr_reftransV1_0020606</v>
      </c>
      <c r="B14953" s="2">
        <v>2258</v>
      </c>
      <c r="C14953" s="4" t="str">
        <f>HYPERLINK("http://www.uniprot.org/uniprot/M5XS09","M5XS09")</f>
        <v>M5XS09</v>
      </c>
      <c r="D14953" s="2" t="s">
        <v>12075</v>
      </c>
      <c r="E14953" s="3">
        <v>0</v>
      </c>
      <c r="F14953" s="2">
        <v>2275</v>
      </c>
      <c r="G14953" s="2">
        <v>100</v>
      </c>
      <c r="H14953" s="2">
        <v>436</v>
      </c>
      <c r="I14953" s="2">
        <v>394</v>
      </c>
      <c r="J14953" s="2">
        <v>1701</v>
      </c>
      <c r="K14953" s="2">
        <v>25</v>
      </c>
      <c r="L14953" s="2">
        <v>460</v>
      </c>
    </row>
    <row r="14954" spans="1:12" x14ac:dyDescent="0.25">
      <c r="A14954" s="4" t="str">
        <f>HYPERLINK("http://www.rosaceae.org/Prunus/Prunus_persica/p.persica_gdr_reftransV1_0022006","p.persica_gdr_reftransV1_0022006")</f>
        <v>p.persica_gdr_reftransV1_0022006</v>
      </c>
      <c r="B14954" s="2">
        <v>2768</v>
      </c>
      <c r="C14954" s="4" t="str">
        <f>HYPERLINK("http://www.uniprot.org/uniprot/M5WFN2","M5WFN2")</f>
        <v>M5WFN2</v>
      </c>
      <c r="D14954" s="2" t="s">
        <v>12076</v>
      </c>
      <c r="E14954" s="3">
        <v>0</v>
      </c>
      <c r="F14954" s="2">
        <v>2242</v>
      </c>
      <c r="G14954" s="2">
        <v>100</v>
      </c>
      <c r="H14954" s="2">
        <v>471</v>
      </c>
      <c r="I14954" s="2">
        <v>929</v>
      </c>
      <c r="J14954" s="2">
        <v>2341</v>
      </c>
      <c r="K14954" s="2">
        <v>1</v>
      </c>
      <c r="L14954" s="2">
        <v>471</v>
      </c>
    </row>
    <row r="14955" spans="1:12" x14ac:dyDescent="0.25">
      <c r="A14955" s="4" t="str">
        <f>HYPERLINK("http://www.rosaceae.org/Prunus/Prunus_persica/p.persica_gdr_reftransV1_0023406","p.persica_gdr_reftransV1_0023406")</f>
        <v>p.persica_gdr_reftransV1_0023406</v>
      </c>
      <c r="B14955" s="2">
        <v>2386</v>
      </c>
      <c r="C14955" s="4" t="str">
        <f>HYPERLINK("http://www.uniprot.org/uniprot/M5XIB9","M5XIB9")</f>
        <v>M5XIB9</v>
      </c>
      <c r="D14955" s="2" t="s">
        <v>11553</v>
      </c>
      <c r="E14955" s="3">
        <v>3.0099999999999999E-86</v>
      </c>
      <c r="F14955" s="2">
        <v>766</v>
      </c>
      <c r="G14955" s="2">
        <v>83</v>
      </c>
      <c r="H14955" s="2">
        <v>230</v>
      </c>
      <c r="I14955" s="2">
        <v>1697</v>
      </c>
      <c r="J14955" s="2">
        <v>2386</v>
      </c>
      <c r="K14955" s="2">
        <v>212</v>
      </c>
      <c r="L14955" s="2">
        <v>401</v>
      </c>
    </row>
    <row r="14956" spans="1:12" x14ac:dyDescent="0.25">
      <c r="A14956" s="4" t="str">
        <f>HYPERLINK("http://www.rosaceae.org/Prunus/Prunus_persica/p.persica_gdr_reftransV1_0023756","p.persica_gdr_reftransV1_0023756")</f>
        <v>p.persica_gdr_reftransV1_0023756</v>
      </c>
      <c r="B14956" s="2">
        <v>2826</v>
      </c>
      <c r="C14956" s="4" t="str">
        <f>HYPERLINK("http://www.uniprot.org/uniprot/M5WU40","M5WU40")</f>
        <v>M5WU40</v>
      </c>
      <c r="D14956" s="2" t="s">
        <v>12077</v>
      </c>
      <c r="E14956" s="3">
        <v>0</v>
      </c>
      <c r="F14956" s="2">
        <v>1849</v>
      </c>
      <c r="G14956" s="2">
        <v>100</v>
      </c>
      <c r="H14956" s="2">
        <v>348</v>
      </c>
      <c r="I14956" s="2">
        <v>868</v>
      </c>
      <c r="J14956" s="2">
        <v>1911</v>
      </c>
      <c r="K14956" s="2">
        <v>95</v>
      </c>
      <c r="L14956" s="2">
        <v>442</v>
      </c>
    </row>
    <row r="14957" spans="1:12" x14ac:dyDescent="0.25">
      <c r="A14957" s="4" t="str">
        <f>HYPERLINK("http://www.rosaceae.org/Prunus/Prunus_persica/p.persica_gdr_reftransV1_0024106","p.persica_gdr_reftransV1_0024106")</f>
        <v>p.persica_gdr_reftransV1_0024106</v>
      </c>
      <c r="B14957" s="2">
        <v>519</v>
      </c>
      <c r="C14957" s="4" t="str">
        <f>HYPERLINK("http://www.uniprot.org/uniprot/M5W6J4","M5W6J4")</f>
        <v>M5W6J4</v>
      </c>
      <c r="D14957" s="2" t="s">
        <v>3945</v>
      </c>
      <c r="E14957" s="3">
        <v>1.34E-45</v>
      </c>
      <c r="F14957" s="2">
        <v>431</v>
      </c>
      <c r="G14957" s="2">
        <v>100</v>
      </c>
      <c r="H14957" s="2">
        <v>113</v>
      </c>
      <c r="I14957" s="2">
        <v>2</v>
      </c>
      <c r="J14957" s="2">
        <v>340</v>
      </c>
      <c r="K14957" s="2">
        <v>22</v>
      </c>
      <c r="L14957" s="2">
        <v>134</v>
      </c>
    </row>
    <row r="14958" spans="1:12" x14ac:dyDescent="0.25">
      <c r="A14958" s="4" t="str">
        <f>HYPERLINK("http://www.rosaceae.org/Prunus/Prunus_persica/p.persica_gdr_reftransV1_0024456","p.persica_gdr_reftransV1_0024456")</f>
        <v>p.persica_gdr_reftransV1_0024456</v>
      </c>
      <c r="B14958" s="2">
        <v>2465</v>
      </c>
      <c r="C14958" s="4" t="str">
        <f>HYPERLINK("http://www.uniprot.org/uniprot/W9S5C2","W9S5C2")</f>
        <v>W9S5C2</v>
      </c>
      <c r="D14958" s="2" t="s">
        <v>12078</v>
      </c>
      <c r="E14958" s="3">
        <v>0</v>
      </c>
      <c r="F14958" s="2">
        <v>2765</v>
      </c>
      <c r="G14958" s="2">
        <v>90</v>
      </c>
      <c r="H14958" s="2">
        <v>567</v>
      </c>
      <c r="I14958" s="2">
        <v>480</v>
      </c>
      <c r="J14958" s="2">
        <v>2180</v>
      </c>
      <c r="K14958" s="2">
        <v>1</v>
      </c>
      <c r="L14958" s="2">
        <v>567</v>
      </c>
    </row>
    <row r="14959" spans="1:12" x14ac:dyDescent="0.25">
      <c r="A14959" s="4" t="str">
        <f>HYPERLINK("http://www.rosaceae.org/Prunus/Prunus_persica/p.persica_gdr_reftransV1_0025506","p.persica_gdr_reftransV1_0025506")</f>
        <v>p.persica_gdr_reftransV1_0025506</v>
      </c>
      <c r="B14959" s="2">
        <v>966</v>
      </c>
      <c r="C14959" s="4" t="str">
        <f>HYPERLINK("http://www.uniprot.org/uniprot/M5W8L8","M5W8L8")</f>
        <v>M5W8L8</v>
      </c>
      <c r="D14959" s="2" t="s">
        <v>12079</v>
      </c>
      <c r="E14959" s="3">
        <v>1.06E-68</v>
      </c>
      <c r="F14959" s="2">
        <v>563</v>
      </c>
      <c r="G14959" s="2">
        <v>100</v>
      </c>
      <c r="H14959" s="2">
        <v>105</v>
      </c>
      <c r="I14959" s="2">
        <v>379</v>
      </c>
      <c r="J14959" s="2">
        <v>693</v>
      </c>
      <c r="K14959" s="2">
        <v>1</v>
      </c>
      <c r="L14959" s="2">
        <v>105</v>
      </c>
    </row>
    <row r="14960" spans="1:12" x14ac:dyDescent="0.25">
      <c r="A14960" s="4" t="str">
        <f>HYPERLINK("http://www.rosaceae.org/Prunus/Prunus_persica/p.persica_gdr_reftransV1_0025856","p.persica_gdr_reftransV1_0025856")</f>
        <v>p.persica_gdr_reftransV1_0025856</v>
      </c>
      <c r="B14960" s="2">
        <v>2305</v>
      </c>
      <c r="C14960" s="4" t="str">
        <f>HYPERLINK("http://www.uniprot.org/uniprot/M5WHA7","M5WHA7")</f>
        <v>M5WHA7</v>
      </c>
      <c r="D14960" s="2" t="s">
        <v>12080</v>
      </c>
      <c r="E14960" s="3">
        <v>0</v>
      </c>
      <c r="F14960" s="2">
        <v>2517</v>
      </c>
      <c r="G14960" s="2">
        <v>93</v>
      </c>
      <c r="H14960" s="2">
        <v>509</v>
      </c>
      <c r="I14960" s="2">
        <v>420</v>
      </c>
      <c r="J14960" s="2">
        <v>1946</v>
      </c>
      <c r="K14960" s="2">
        <v>1</v>
      </c>
      <c r="L14960" s="2">
        <v>475</v>
      </c>
    </row>
    <row r="14961" spans="1:12" x14ac:dyDescent="0.25">
      <c r="A14961" s="4" t="str">
        <f>HYPERLINK("http://www.rosaceae.org/Prunus/Prunus_persica/p.persica_gdr_reftransV1_0026906","p.persica_gdr_reftransV1_0026906")</f>
        <v>p.persica_gdr_reftransV1_0026906</v>
      </c>
      <c r="B14961" s="2">
        <v>844</v>
      </c>
      <c r="C14961" s="4" t="str">
        <f>HYPERLINK("http://www.uniprot.org/uniprot/M5XT27","M5XT27")</f>
        <v>M5XT27</v>
      </c>
      <c r="D14961" s="2" t="s">
        <v>11361</v>
      </c>
      <c r="E14961" s="3">
        <v>8.8900000000000002E-62</v>
      </c>
      <c r="F14961" s="2">
        <v>515</v>
      </c>
      <c r="G14961" s="2">
        <v>100</v>
      </c>
      <c r="H14961" s="2">
        <v>124</v>
      </c>
      <c r="I14961" s="2">
        <v>337</v>
      </c>
      <c r="J14961" s="2">
        <v>708</v>
      </c>
      <c r="K14961" s="2">
        <v>1</v>
      </c>
      <c r="L14961" s="2">
        <v>124</v>
      </c>
    </row>
    <row r="14962" spans="1:12" x14ac:dyDescent="0.25">
      <c r="A14962" s="4" t="str">
        <f>HYPERLINK("http://www.rosaceae.org/Prunus/Prunus_persica/p.persica_gdr_reftransV1_0029006","p.persica_gdr_reftransV1_0029006")</f>
        <v>p.persica_gdr_reftransV1_0029006</v>
      </c>
      <c r="B14962" s="2">
        <v>2540</v>
      </c>
      <c r="C14962" s="4" t="str">
        <f>HYPERLINK("http://www.uniprot.org/uniprot/F6H7C6","F6H7C6")</f>
        <v>F6H7C6</v>
      </c>
      <c r="D14962" s="2" t="s">
        <v>12081</v>
      </c>
      <c r="E14962" s="3">
        <v>2.05E-171</v>
      </c>
      <c r="F14962" s="2">
        <v>1322</v>
      </c>
      <c r="G14962" s="2">
        <v>70</v>
      </c>
      <c r="H14962" s="2">
        <v>333</v>
      </c>
      <c r="I14962" s="2">
        <v>304</v>
      </c>
      <c r="J14962" s="2">
        <v>1302</v>
      </c>
      <c r="K14962" s="2">
        <v>64</v>
      </c>
      <c r="L14962" s="2">
        <v>396</v>
      </c>
    </row>
    <row r="14963" spans="1:12" x14ac:dyDescent="0.25">
      <c r="A14963" s="4" t="str">
        <f>HYPERLINK("http://www.rosaceae.org/Prunus/Prunus_persica/p.persica_gdr_reftransV1_0030406","p.persica_gdr_reftransV1_0030406")</f>
        <v>p.persica_gdr_reftransV1_0030406</v>
      </c>
      <c r="B14963" s="2">
        <v>3123</v>
      </c>
      <c r="C14963" s="4" t="str">
        <f>HYPERLINK("http://www.uniprot.org/uniprot/M5X3N4","M5X3N4")</f>
        <v>M5X3N4</v>
      </c>
      <c r="D14963" s="2" t="s">
        <v>2317</v>
      </c>
      <c r="E14963" s="3">
        <v>0</v>
      </c>
      <c r="F14963" s="2">
        <v>3774</v>
      </c>
      <c r="G14963" s="2">
        <v>100</v>
      </c>
      <c r="H14963" s="2">
        <v>724</v>
      </c>
      <c r="I14963" s="2">
        <v>583</v>
      </c>
      <c r="J14963" s="2">
        <v>2754</v>
      </c>
      <c r="K14963" s="2">
        <v>328</v>
      </c>
      <c r="L14963" s="2">
        <v>1051</v>
      </c>
    </row>
    <row r="14964" spans="1:12" x14ac:dyDescent="0.25">
      <c r="A14964" s="4" t="str">
        <f>HYPERLINK("http://www.rosaceae.org/Prunus/Prunus_persica/p.persica_gdr_reftransV1_0031806","p.persica_gdr_reftransV1_0031806")</f>
        <v>p.persica_gdr_reftransV1_0031806</v>
      </c>
      <c r="B14964" s="2">
        <v>3294</v>
      </c>
      <c r="C14964" s="4" t="str">
        <f>HYPERLINK("http://www.uniprot.org/uniprot/M5XCC8","M5XCC8")</f>
        <v>M5XCC8</v>
      </c>
      <c r="D14964" s="2" t="s">
        <v>12082</v>
      </c>
      <c r="E14964" s="3">
        <v>0</v>
      </c>
      <c r="F14964" s="2">
        <v>1953</v>
      </c>
      <c r="G14964" s="2">
        <v>94</v>
      </c>
      <c r="H14964" s="2">
        <v>459</v>
      </c>
      <c r="I14964" s="2">
        <v>1524</v>
      </c>
      <c r="J14964" s="2">
        <v>2900</v>
      </c>
      <c r="K14964" s="2">
        <v>111</v>
      </c>
      <c r="L14964" s="2">
        <v>544</v>
      </c>
    </row>
    <row r="14965" spans="1:12" x14ac:dyDescent="0.25">
      <c r="A14965" s="4" t="str">
        <f>HYPERLINK("http://www.rosaceae.org/Prunus/Prunus_persica/p.persica_gdr_reftransV1_0032156","p.persica_gdr_reftransV1_0032156")</f>
        <v>p.persica_gdr_reftransV1_0032156</v>
      </c>
      <c r="B14965" s="2">
        <v>1861</v>
      </c>
      <c r="C14965" s="4" t="str">
        <f>HYPERLINK("http://www.uniprot.org/uniprot/M5W453","M5W453")</f>
        <v>M5W453</v>
      </c>
      <c r="D14965" s="2" t="s">
        <v>12083</v>
      </c>
      <c r="E14965" s="3">
        <v>0</v>
      </c>
      <c r="F14965" s="2">
        <v>2424</v>
      </c>
      <c r="G14965" s="2">
        <v>100</v>
      </c>
      <c r="H14965" s="2">
        <v>457</v>
      </c>
      <c r="I14965" s="2">
        <v>73</v>
      </c>
      <c r="J14965" s="2">
        <v>1443</v>
      </c>
      <c r="K14965" s="2">
        <v>1</v>
      </c>
      <c r="L14965" s="2">
        <v>457</v>
      </c>
    </row>
    <row r="14966" spans="1:12" x14ac:dyDescent="0.25">
      <c r="A14966" s="4" t="str">
        <f>HYPERLINK("http://www.rosaceae.org/Prunus/Prunus_persica/p.persica_gdr_reftransV1_0034256","p.persica_gdr_reftransV1_0034256")</f>
        <v>p.persica_gdr_reftransV1_0034256</v>
      </c>
      <c r="B14966" s="2">
        <v>5320</v>
      </c>
      <c r="C14966" s="4" t="str">
        <f>HYPERLINK("http://www.uniprot.org/uniprot/M5VPY6","M5VPY6")</f>
        <v>M5VPY6</v>
      </c>
      <c r="D14966" s="2" t="s">
        <v>7619</v>
      </c>
      <c r="E14966" s="3">
        <v>1.2300000000000001E-80</v>
      </c>
      <c r="F14966" s="2">
        <v>724</v>
      </c>
      <c r="G14966" s="2">
        <v>95</v>
      </c>
      <c r="H14966" s="2">
        <v>150</v>
      </c>
      <c r="I14966" s="2">
        <v>3055</v>
      </c>
      <c r="J14966" s="2">
        <v>3492</v>
      </c>
      <c r="K14966" s="2">
        <v>160</v>
      </c>
      <c r="L14966" s="2">
        <v>309</v>
      </c>
    </row>
    <row r="14967" spans="1:12" x14ac:dyDescent="0.25">
      <c r="A14967" s="4" t="str">
        <f>HYPERLINK("http://www.rosaceae.org/Prunus/Prunus_persica/p.persica_gdr_reftransV1_0034956","p.persica_gdr_reftransV1_0034956")</f>
        <v>p.persica_gdr_reftransV1_0034956</v>
      </c>
      <c r="B14967" s="2">
        <v>1715</v>
      </c>
      <c r="C14967" s="4" t="str">
        <f>HYPERLINK("http://www.uniprot.org/uniprot/M5VYT4","M5VYT4")</f>
        <v>M5VYT4</v>
      </c>
      <c r="D14967" s="2" t="s">
        <v>6800</v>
      </c>
      <c r="E14967" s="3">
        <v>0</v>
      </c>
      <c r="F14967" s="2">
        <v>1419</v>
      </c>
      <c r="G14967" s="2">
        <v>82</v>
      </c>
      <c r="H14967" s="2">
        <v>362</v>
      </c>
      <c r="I14967" s="2">
        <v>154</v>
      </c>
      <c r="J14967" s="2">
        <v>1239</v>
      </c>
      <c r="K14967" s="2">
        <v>72</v>
      </c>
      <c r="L14967" s="2">
        <v>367</v>
      </c>
    </row>
    <row r="14968" spans="1:12" x14ac:dyDescent="0.25">
      <c r="A14968" s="4" t="str">
        <f>HYPERLINK("http://www.rosaceae.org/Prunus/Prunus_persica/p.persica_gdr_reftransV1_0035656","p.persica_gdr_reftransV1_0035656")</f>
        <v>p.persica_gdr_reftransV1_0035656</v>
      </c>
      <c r="B14968" s="2">
        <v>1873</v>
      </c>
      <c r="C14968" s="4" t="str">
        <f>HYPERLINK("http://www.uniprot.org/uniprot/M5WB64","M5WB64")</f>
        <v>M5WB64</v>
      </c>
      <c r="D14968" s="2" t="s">
        <v>12084</v>
      </c>
      <c r="E14968" s="3">
        <v>1.07E-178</v>
      </c>
      <c r="F14968" s="2">
        <v>1343</v>
      </c>
      <c r="G14968" s="2">
        <v>97</v>
      </c>
      <c r="H14968" s="2">
        <v>261</v>
      </c>
      <c r="I14968" s="2">
        <v>1066</v>
      </c>
      <c r="J14968" s="2">
        <v>1848</v>
      </c>
      <c r="K14968" s="2">
        <v>1</v>
      </c>
      <c r="L14968" s="2">
        <v>261</v>
      </c>
    </row>
    <row r="14969" spans="1:12" x14ac:dyDescent="0.25">
      <c r="A14969" s="4" t="str">
        <f>HYPERLINK("http://www.rosaceae.org/Prunus/Prunus_persica/p.persica_gdr_reftransV1_0036356","p.persica_gdr_reftransV1_0036356")</f>
        <v>p.persica_gdr_reftransV1_0036356</v>
      </c>
      <c r="B14969" s="2">
        <v>1714</v>
      </c>
      <c r="C14969" s="4" t="str">
        <f>HYPERLINK("http://www.uniprot.org/uniprot/M5Y713","M5Y713")</f>
        <v>M5Y713</v>
      </c>
      <c r="D14969" s="2" t="s">
        <v>12085</v>
      </c>
      <c r="E14969" s="3">
        <v>0</v>
      </c>
      <c r="F14969" s="2">
        <v>2243</v>
      </c>
      <c r="G14969" s="2">
        <v>100</v>
      </c>
      <c r="H14969" s="2">
        <v>461</v>
      </c>
      <c r="I14969" s="2">
        <v>244</v>
      </c>
      <c r="J14969" s="2">
        <v>1626</v>
      </c>
      <c r="K14969" s="2">
        <v>13</v>
      </c>
      <c r="L14969" s="2">
        <v>473</v>
      </c>
    </row>
    <row r="14970" spans="1:12" x14ac:dyDescent="0.25">
      <c r="A14970" s="4" t="str">
        <f>HYPERLINK("http://www.rosaceae.org/Prunus/Prunus_persica/p.persica_gdr_reftransV1_0037406","p.persica_gdr_reftransV1_0037406")</f>
        <v>p.persica_gdr_reftransV1_0037406</v>
      </c>
      <c r="B14970" s="2">
        <v>1177</v>
      </c>
      <c r="C14970" s="4" t="str">
        <f>HYPERLINK("http://www.uniprot.org/uniprot/M5VZV0","M5VZV0")</f>
        <v>M5VZV0</v>
      </c>
      <c r="D14970" s="2" t="s">
        <v>2250</v>
      </c>
      <c r="E14970" s="3">
        <v>3.91E-45</v>
      </c>
      <c r="F14970" s="2">
        <v>421</v>
      </c>
      <c r="G14970" s="2">
        <v>92</v>
      </c>
      <c r="H14970" s="2">
        <v>122</v>
      </c>
      <c r="I14970" s="2">
        <v>454</v>
      </c>
      <c r="J14970" s="2">
        <v>819</v>
      </c>
      <c r="K14970" s="2">
        <v>119</v>
      </c>
      <c r="L14970" s="2">
        <v>240</v>
      </c>
    </row>
    <row r="14971" spans="1:12" x14ac:dyDescent="0.25">
      <c r="A14971" s="4" t="str">
        <f>HYPERLINK("http://www.rosaceae.org/Prunus/Prunus_persica/p.persica_gdr_reftransV1_0039856","p.persica_gdr_reftransV1_0039856")</f>
        <v>p.persica_gdr_reftransV1_0039856</v>
      </c>
      <c r="B14971" s="2">
        <v>3517</v>
      </c>
      <c r="C14971" s="4" t="str">
        <f>HYPERLINK("http://www.uniprot.org/uniprot/M5Y423","M5Y423")</f>
        <v>M5Y423</v>
      </c>
      <c r="D14971" s="2" t="s">
        <v>38</v>
      </c>
      <c r="E14971" s="3">
        <v>0</v>
      </c>
      <c r="F14971" s="2">
        <v>2639</v>
      </c>
      <c r="G14971" s="2">
        <v>100</v>
      </c>
      <c r="H14971" s="2">
        <v>525</v>
      </c>
      <c r="I14971" s="2">
        <v>434</v>
      </c>
      <c r="J14971" s="2">
        <v>2008</v>
      </c>
      <c r="K14971" s="2">
        <v>324</v>
      </c>
      <c r="L14971" s="2">
        <v>848</v>
      </c>
    </row>
    <row r="14972" spans="1:12" x14ac:dyDescent="0.25">
      <c r="A14972" s="4" t="str">
        <f>HYPERLINK("http://www.rosaceae.org/Prunus/Prunus_persica/p.persica_gdr_reftransV1_0040206","p.persica_gdr_reftransV1_0040206")</f>
        <v>p.persica_gdr_reftransV1_0040206</v>
      </c>
      <c r="B14972" s="2">
        <v>6703</v>
      </c>
      <c r="C14972" s="4" t="str">
        <f>HYPERLINK("http://www.uniprot.org/uniprot/M5WPJ0","M5WPJ0")</f>
        <v>M5WPJ0</v>
      </c>
      <c r="D14972" s="2" t="s">
        <v>12086</v>
      </c>
      <c r="E14972" s="3">
        <v>0</v>
      </c>
      <c r="F14972" s="2">
        <v>1824</v>
      </c>
      <c r="G14972" s="2">
        <v>95</v>
      </c>
      <c r="H14972" s="2">
        <v>405</v>
      </c>
      <c r="I14972" s="2">
        <v>4099</v>
      </c>
      <c r="J14972" s="2">
        <v>5301</v>
      </c>
      <c r="K14972" s="2">
        <v>59</v>
      </c>
      <c r="L14972" s="2">
        <v>449</v>
      </c>
    </row>
    <row r="14973" spans="1:12" x14ac:dyDescent="0.25">
      <c r="A14973" s="4" t="str">
        <f>HYPERLINK("http://www.rosaceae.org/Prunus/Prunus_persica/p.persica_gdr_reftransV1_0041256","p.persica_gdr_reftransV1_0041256")</f>
        <v>p.persica_gdr_reftransV1_0041256</v>
      </c>
      <c r="B14973" s="2">
        <v>2278</v>
      </c>
      <c r="C14973" s="4" t="str">
        <f>HYPERLINK("http://www.uniprot.org/uniprot/M5VY67","M5VY67")</f>
        <v>M5VY67</v>
      </c>
      <c r="D14973" s="2" t="s">
        <v>12087</v>
      </c>
      <c r="E14973" s="3">
        <v>0</v>
      </c>
      <c r="F14973" s="2">
        <v>2334</v>
      </c>
      <c r="G14973" s="2">
        <v>92</v>
      </c>
      <c r="H14973" s="2">
        <v>489</v>
      </c>
      <c r="I14973" s="2">
        <v>451</v>
      </c>
      <c r="J14973" s="2">
        <v>1917</v>
      </c>
      <c r="K14973" s="2">
        <v>1</v>
      </c>
      <c r="L14973" s="2">
        <v>453</v>
      </c>
    </row>
    <row r="14974" spans="1:12" x14ac:dyDescent="0.25">
      <c r="A14974" s="4" t="str">
        <f>HYPERLINK("http://www.rosaceae.org/Prunus/Prunus_persica/p.persica_gdr_reftransV1_0041606","p.persica_gdr_reftransV1_0041606")</f>
        <v>p.persica_gdr_reftransV1_0041606</v>
      </c>
      <c r="B14974" s="2">
        <v>3670</v>
      </c>
      <c r="C14974" s="4" t="str">
        <f>HYPERLINK("http://www.uniprot.org/uniprot/M5VWP5","M5VWP5")</f>
        <v>M5VWP5</v>
      </c>
      <c r="D14974" s="2" t="s">
        <v>1653</v>
      </c>
      <c r="E14974" s="3">
        <v>0</v>
      </c>
      <c r="F14974" s="2">
        <v>1386</v>
      </c>
      <c r="G14974" s="2">
        <v>87</v>
      </c>
      <c r="H14974" s="2">
        <v>346</v>
      </c>
      <c r="I14974" s="2">
        <v>1960</v>
      </c>
      <c r="J14974" s="2">
        <v>2991</v>
      </c>
      <c r="K14974" s="2">
        <v>107</v>
      </c>
      <c r="L14974" s="2">
        <v>435</v>
      </c>
    </row>
    <row r="14975" spans="1:12" x14ac:dyDescent="0.25">
      <c r="A14975" s="4" t="str">
        <f>HYPERLINK("http://www.rosaceae.org/Prunus/Prunus_persica/p.persica_gdr_reftransV1_0043006","p.persica_gdr_reftransV1_0043006")</f>
        <v>p.persica_gdr_reftransV1_0043006</v>
      </c>
      <c r="B14975" s="2">
        <v>631</v>
      </c>
      <c r="C14975" s="4" t="str">
        <f>HYPERLINK("http://www.uniprot.org/uniprot/M5WC22","M5WC22")</f>
        <v>M5WC22</v>
      </c>
      <c r="D14975" s="2" t="s">
        <v>12088</v>
      </c>
      <c r="E14975" s="3">
        <v>6.3699999999999998E-91</v>
      </c>
      <c r="F14975" s="2">
        <v>706</v>
      </c>
      <c r="G14975" s="2">
        <v>99</v>
      </c>
      <c r="H14975" s="2">
        <v>139</v>
      </c>
      <c r="I14975" s="2">
        <v>213</v>
      </c>
      <c r="J14975" s="2">
        <v>629</v>
      </c>
      <c r="K14975" s="2">
        <v>1</v>
      </c>
      <c r="L14975" s="2">
        <v>139</v>
      </c>
    </row>
    <row r="14976" spans="1:12" x14ac:dyDescent="0.25">
      <c r="A14976" s="4" t="str">
        <f>HYPERLINK("http://www.rosaceae.org/Prunus/Prunus_persica/p.persica_gdr_reftransV1_0043356","p.persica_gdr_reftransV1_0043356")</f>
        <v>p.persica_gdr_reftransV1_0043356</v>
      </c>
      <c r="B14976" s="2">
        <v>403</v>
      </c>
      <c r="C14976" s="4" t="str">
        <f>HYPERLINK("http://www.uniprot.org/uniprot/A0A087PQ99","A0A087PQ99")</f>
        <v>A0A087PQ99</v>
      </c>
      <c r="D14976" s="2" t="s">
        <v>2781</v>
      </c>
      <c r="E14976" s="3">
        <v>5.2000000000000001E-36</v>
      </c>
      <c r="F14976" s="2">
        <v>358</v>
      </c>
      <c r="G14976" s="2">
        <v>50</v>
      </c>
      <c r="H14976" s="2">
        <v>149</v>
      </c>
      <c r="I14976" s="2">
        <v>1</v>
      </c>
      <c r="J14976" s="2">
        <v>399</v>
      </c>
      <c r="K14976" s="2">
        <v>505</v>
      </c>
      <c r="L14976" s="2">
        <v>653</v>
      </c>
    </row>
    <row r="14977" spans="1:12" x14ac:dyDescent="0.25">
      <c r="A14977" s="4" t="str">
        <f>HYPERLINK("http://www.rosaceae.org/Prunus/Prunus_persica/p.persica_gdr_reftransV1_0043706","p.persica_gdr_reftransV1_0043706")</f>
        <v>p.persica_gdr_reftransV1_0043706</v>
      </c>
      <c r="B14977" s="2">
        <v>5911</v>
      </c>
      <c r="C14977" s="4" t="str">
        <f>HYPERLINK("http://www.uniprot.org/uniprot/M5XYG6","M5XYG6")</f>
        <v>M5XYG6</v>
      </c>
      <c r="D14977" s="2" t="s">
        <v>11665</v>
      </c>
      <c r="E14977" s="3">
        <v>0</v>
      </c>
      <c r="F14977" s="2">
        <v>8770</v>
      </c>
      <c r="G14977" s="2">
        <v>100</v>
      </c>
      <c r="H14977" s="2">
        <v>1763</v>
      </c>
      <c r="I14977" s="2">
        <v>622</v>
      </c>
      <c r="J14977" s="2">
        <v>5910</v>
      </c>
      <c r="K14977" s="2">
        <v>764</v>
      </c>
      <c r="L14977" s="2">
        <v>2526</v>
      </c>
    </row>
    <row r="14978" spans="1:12" x14ac:dyDescent="0.25">
      <c r="A14978" s="4" t="str">
        <f>HYPERLINK("http://www.rosaceae.org/Prunus/Prunus_persica/p.persica_gdr_reftransV1_0044406","p.persica_gdr_reftransV1_0044406")</f>
        <v>p.persica_gdr_reftransV1_0044406</v>
      </c>
      <c r="B14978" s="2">
        <v>1900</v>
      </c>
      <c r="C14978" s="4" t="str">
        <f>HYPERLINK("http://www.uniprot.org/uniprot/M5XP21","M5XP21")</f>
        <v>M5XP21</v>
      </c>
      <c r="D14978" s="2" t="s">
        <v>12089</v>
      </c>
      <c r="E14978" s="3">
        <v>0</v>
      </c>
      <c r="F14978" s="2">
        <v>2119</v>
      </c>
      <c r="G14978" s="2">
        <v>96</v>
      </c>
      <c r="H14978" s="2">
        <v>451</v>
      </c>
      <c r="I14978" s="2">
        <v>417</v>
      </c>
      <c r="J14978" s="2">
        <v>1751</v>
      </c>
      <c r="K14978" s="2">
        <v>39</v>
      </c>
      <c r="L14978" s="2">
        <v>489</v>
      </c>
    </row>
    <row r="14979" spans="1:12" x14ac:dyDescent="0.25">
      <c r="A14979" s="4" t="str">
        <f>HYPERLINK("http://www.rosaceae.org/Prunus/Prunus_persica/p.persica_gdr_reftransV1_0044756","p.persica_gdr_reftransV1_0044756")</f>
        <v>p.persica_gdr_reftransV1_0044756</v>
      </c>
      <c r="B14979" s="2">
        <v>2814</v>
      </c>
      <c r="C14979" s="4" t="str">
        <f>HYPERLINK("http://www.uniprot.org/uniprot/D7TB49","D7TB49")</f>
        <v>D7TB49</v>
      </c>
      <c r="D14979" s="2" t="s">
        <v>12090</v>
      </c>
      <c r="E14979" s="3">
        <v>0</v>
      </c>
      <c r="F14979" s="2">
        <v>2571</v>
      </c>
      <c r="G14979" s="2">
        <v>68</v>
      </c>
      <c r="H14979" s="2">
        <v>778</v>
      </c>
      <c r="I14979" s="2">
        <v>290</v>
      </c>
      <c r="J14979" s="2">
        <v>2605</v>
      </c>
      <c r="K14979" s="2">
        <v>1</v>
      </c>
      <c r="L14979" s="2">
        <v>747</v>
      </c>
    </row>
    <row r="14980" spans="1:12" x14ac:dyDescent="0.25">
      <c r="A14980" s="4" t="str">
        <f>HYPERLINK("http://www.rosaceae.org/Prunus/Prunus_persica/p.persica_gdr_reftransV1_0045106","p.persica_gdr_reftransV1_0045106")</f>
        <v>p.persica_gdr_reftransV1_0045106</v>
      </c>
      <c r="B14980" s="2">
        <v>1021</v>
      </c>
      <c r="C14980" s="4" t="str">
        <f>HYPERLINK("http://www.uniprot.org/uniprot/M5X2M1","M5X2M1")</f>
        <v>M5X2M1</v>
      </c>
      <c r="D14980" s="2" t="s">
        <v>985</v>
      </c>
      <c r="E14980" s="3">
        <v>1.6899999999999999E-93</v>
      </c>
      <c r="F14980" s="2">
        <v>734</v>
      </c>
      <c r="G14980" s="2">
        <v>89</v>
      </c>
      <c r="H14980" s="2">
        <v>156</v>
      </c>
      <c r="I14980" s="2">
        <v>361</v>
      </c>
      <c r="J14980" s="2">
        <v>828</v>
      </c>
      <c r="K14980" s="2">
        <v>1</v>
      </c>
      <c r="L14980" s="2">
        <v>156</v>
      </c>
    </row>
    <row r="14981" spans="1:12" x14ac:dyDescent="0.25">
      <c r="A14981" s="4" t="str">
        <f>HYPERLINK("http://www.rosaceae.org/Prunus/Prunus_persica/p.persica_gdr_reftransV1_0045456","p.persica_gdr_reftransV1_0045456")</f>
        <v>p.persica_gdr_reftransV1_0045456</v>
      </c>
      <c r="B14981" s="2">
        <v>1991</v>
      </c>
      <c r="C14981" s="4" t="str">
        <f>HYPERLINK("http://www.uniprot.org/uniprot/M5XTH1","M5XTH1")</f>
        <v>M5XTH1</v>
      </c>
      <c r="D14981" s="2" t="s">
        <v>596</v>
      </c>
      <c r="E14981" s="3">
        <v>0</v>
      </c>
      <c r="F14981" s="2">
        <v>2705</v>
      </c>
      <c r="G14981" s="2">
        <v>100</v>
      </c>
      <c r="H14981" s="2">
        <v>561</v>
      </c>
      <c r="I14981" s="2">
        <v>228</v>
      </c>
      <c r="J14981" s="2">
        <v>1910</v>
      </c>
      <c r="K14981" s="2">
        <v>1</v>
      </c>
      <c r="L14981" s="2">
        <v>561</v>
      </c>
    </row>
    <row r="14982" spans="1:12" x14ac:dyDescent="0.25">
      <c r="A14982" s="4" t="str">
        <f>HYPERLINK("http://www.rosaceae.org/Prunus/Prunus_persica/p.persica_gdr_reftransV1_0045806","p.persica_gdr_reftransV1_0045806")</f>
        <v>p.persica_gdr_reftransV1_0045806</v>
      </c>
      <c r="B14982" s="2">
        <v>2913</v>
      </c>
      <c r="C14982" s="4" t="str">
        <f>HYPERLINK("http://www.uniprot.org/uniprot/M5WT77","M5WT77")</f>
        <v>M5WT77</v>
      </c>
      <c r="D14982" s="2" t="s">
        <v>12091</v>
      </c>
      <c r="E14982" s="3">
        <v>0</v>
      </c>
      <c r="F14982" s="2">
        <v>3418</v>
      </c>
      <c r="G14982" s="2">
        <v>100</v>
      </c>
      <c r="H14982" s="2">
        <v>689</v>
      </c>
      <c r="I14982" s="2">
        <v>475</v>
      </c>
      <c r="J14982" s="2">
        <v>2541</v>
      </c>
      <c r="K14982" s="2">
        <v>58</v>
      </c>
      <c r="L14982" s="2">
        <v>746</v>
      </c>
    </row>
    <row r="14983" spans="1:12" x14ac:dyDescent="0.25">
      <c r="A14983" s="4" t="str">
        <f>HYPERLINK("http://www.rosaceae.org/Prunus/Prunus_persica/p.persica_gdr_reftransV1_0046156","p.persica_gdr_reftransV1_0046156")</f>
        <v>p.persica_gdr_reftransV1_0046156</v>
      </c>
      <c r="B14983" s="2">
        <v>830</v>
      </c>
      <c r="C14983" s="4" t="str">
        <f>HYPERLINK("http://www.uniprot.org/uniprot/M5Y0I7","M5Y0I7")</f>
        <v>M5Y0I7</v>
      </c>
      <c r="D14983" s="2" t="s">
        <v>1730</v>
      </c>
      <c r="E14983" s="3">
        <v>1.1199999999999999E-114</v>
      </c>
      <c r="F14983" s="2">
        <v>874</v>
      </c>
      <c r="G14983" s="2">
        <v>99</v>
      </c>
      <c r="H14983" s="2">
        <v>205</v>
      </c>
      <c r="I14983" s="2">
        <v>199</v>
      </c>
      <c r="J14983" s="2">
        <v>807</v>
      </c>
      <c r="K14983" s="2">
        <v>16</v>
      </c>
      <c r="L14983" s="2">
        <v>220</v>
      </c>
    </row>
    <row r="14984" spans="1:12" x14ac:dyDescent="0.25">
      <c r="A14984" s="4" t="str">
        <f>HYPERLINK("http://www.rosaceae.org/Prunus/Prunus_persica/p.persica_gdr_reftransV1_0047206","p.persica_gdr_reftransV1_0047206")</f>
        <v>p.persica_gdr_reftransV1_0047206</v>
      </c>
      <c r="B14984" s="2">
        <v>338</v>
      </c>
      <c r="C14984" s="4" t="str">
        <f>HYPERLINK("http://www.uniprot.org/uniprot/Q4JNX4","Q4JNX4")</f>
        <v>Q4JNX4</v>
      </c>
      <c r="D14984" s="2" t="s">
        <v>11167</v>
      </c>
      <c r="E14984" s="3">
        <v>2.1400000000000001E-37</v>
      </c>
      <c r="F14984" s="2">
        <v>347</v>
      </c>
      <c r="G14984" s="2">
        <v>93</v>
      </c>
      <c r="H14984" s="2">
        <v>107</v>
      </c>
      <c r="I14984" s="2">
        <v>16</v>
      </c>
      <c r="J14984" s="2">
        <v>336</v>
      </c>
      <c r="K14984" s="2">
        <v>141</v>
      </c>
      <c r="L14984" s="2">
        <v>247</v>
      </c>
    </row>
    <row r="14985" spans="1:12" x14ac:dyDescent="0.25">
      <c r="A14985" s="4" t="str">
        <f>HYPERLINK("http://www.rosaceae.org/Prunus/Prunus_persica/p.persica_gdr_reftransV1_0047556","p.persica_gdr_reftransV1_0047556")</f>
        <v>p.persica_gdr_reftransV1_0047556</v>
      </c>
      <c r="B14985" s="2">
        <v>1492</v>
      </c>
      <c r="C14985" s="4" t="str">
        <f>HYPERLINK("http://www.uniprot.org/uniprot/M5XUA8","M5XUA8")</f>
        <v>M5XUA8</v>
      </c>
      <c r="D14985" s="2" t="s">
        <v>12092</v>
      </c>
      <c r="E14985" s="3">
        <v>0</v>
      </c>
      <c r="F14985" s="2">
        <v>1989</v>
      </c>
      <c r="G14985" s="2">
        <v>100</v>
      </c>
      <c r="H14985" s="2">
        <v>450</v>
      </c>
      <c r="I14985" s="2">
        <v>143</v>
      </c>
      <c r="J14985" s="2">
        <v>1492</v>
      </c>
      <c r="K14985" s="2">
        <v>56</v>
      </c>
      <c r="L14985" s="2">
        <v>505</v>
      </c>
    </row>
    <row r="14986" spans="1:12" x14ac:dyDescent="0.25">
      <c r="A14986" s="4" t="str">
        <f>HYPERLINK("http://www.rosaceae.org/Prunus/Prunus_persica/p.persica_gdr_reftransV1_0047906","p.persica_gdr_reftransV1_0047906")</f>
        <v>p.persica_gdr_reftransV1_0047906</v>
      </c>
      <c r="B14986" s="2">
        <v>1829</v>
      </c>
      <c r="C14986" s="4" t="str">
        <f>HYPERLINK("http://www.uniprot.org/uniprot/M5XIQ2","M5XIQ2")</f>
        <v>M5XIQ2</v>
      </c>
      <c r="D14986" s="2" t="s">
        <v>322</v>
      </c>
      <c r="E14986" s="3">
        <v>0</v>
      </c>
      <c r="F14986" s="2">
        <v>2371</v>
      </c>
      <c r="G14986" s="2">
        <v>97</v>
      </c>
      <c r="H14986" s="2">
        <v>499</v>
      </c>
      <c r="I14986" s="2">
        <v>80</v>
      </c>
      <c r="J14986" s="2">
        <v>1576</v>
      </c>
      <c r="K14986" s="2">
        <v>1</v>
      </c>
      <c r="L14986" s="2">
        <v>499</v>
      </c>
    </row>
    <row r="14987" spans="1:12" x14ac:dyDescent="0.25">
      <c r="A14987" s="4" t="str">
        <f>HYPERLINK("http://www.rosaceae.org/Prunus/Prunus_persica/p.persica_gdr_reftransV1_0048256","p.persica_gdr_reftransV1_0048256")</f>
        <v>p.persica_gdr_reftransV1_0048256</v>
      </c>
      <c r="B14987" s="2">
        <v>958</v>
      </c>
      <c r="C14987" s="4" t="str">
        <f>HYPERLINK("http://www.uniprot.org/uniprot/M5WEW0","M5WEW0")</f>
        <v>M5WEW0</v>
      </c>
      <c r="D14987" s="2" t="s">
        <v>4357</v>
      </c>
      <c r="E14987" s="3">
        <v>0</v>
      </c>
      <c r="F14987" s="2">
        <v>1719</v>
      </c>
      <c r="G14987" s="2">
        <v>100</v>
      </c>
      <c r="H14987" s="2">
        <v>319</v>
      </c>
      <c r="I14987" s="2">
        <v>2</v>
      </c>
      <c r="J14987" s="2">
        <v>958</v>
      </c>
      <c r="K14987" s="2">
        <v>346</v>
      </c>
      <c r="L14987" s="2">
        <v>664</v>
      </c>
    </row>
    <row r="14988" spans="1:12" x14ac:dyDescent="0.25">
      <c r="A14988" s="4" t="str">
        <f>HYPERLINK("http://www.rosaceae.org/Prunus/Prunus_persica/p.persica_gdr_reftransV1_0048606","p.persica_gdr_reftransV1_0048606")</f>
        <v>p.persica_gdr_reftransV1_0048606</v>
      </c>
      <c r="B14988" s="2">
        <v>2271</v>
      </c>
      <c r="C14988" s="4" t="str">
        <f>HYPERLINK("http://www.uniprot.org/uniprot/M5W7Q8","M5W7Q8")</f>
        <v>M5W7Q8</v>
      </c>
      <c r="D14988" s="2" t="s">
        <v>12093</v>
      </c>
      <c r="E14988" s="3">
        <v>0</v>
      </c>
      <c r="F14988" s="2">
        <v>3051</v>
      </c>
      <c r="G14988" s="2">
        <v>99</v>
      </c>
      <c r="H14988" s="2">
        <v>631</v>
      </c>
      <c r="I14988" s="2">
        <v>135</v>
      </c>
      <c r="J14988" s="2">
        <v>2027</v>
      </c>
      <c r="K14988" s="2">
        <v>1</v>
      </c>
      <c r="L14988" s="2">
        <v>622</v>
      </c>
    </row>
    <row r="14989" spans="1:12" x14ac:dyDescent="0.25">
      <c r="A14989" s="4" t="str">
        <f>HYPERLINK("http://www.rosaceae.org/Prunus/Prunus_persica/p.persica_gdr_reftransV1_0048956","p.persica_gdr_reftransV1_0048956")</f>
        <v>p.persica_gdr_reftransV1_0048956</v>
      </c>
      <c r="B14989" s="2">
        <v>1359</v>
      </c>
      <c r="C14989" s="4" t="str">
        <f>HYPERLINK("http://www.uniprot.org/uniprot/M5X0L3","M5X0L3")</f>
        <v>M5X0L3</v>
      </c>
      <c r="D14989" s="2" t="s">
        <v>3055</v>
      </c>
      <c r="E14989" s="3">
        <v>0</v>
      </c>
      <c r="F14989" s="2">
        <v>2183</v>
      </c>
      <c r="G14989" s="2">
        <v>99</v>
      </c>
      <c r="H14989" s="2">
        <v>445</v>
      </c>
      <c r="I14989" s="2">
        <v>25</v>
      </c>
      <c r="J14989" s="2">
        <v>1359</v>
      </c>
      <c r="K14989" s="2">
        <v>147</v>
      </c>
      <c r="L14989" s="2">
        <v>591</v>
      </c>
    </row>
    <row r="14990" spans="1:12" x14ac:dyDescent="0.25">
      <c r="A14990" s="4" t="str">
        <f>HYPERLINK("http://www.rosaceae.org/Prunus/Prunus_persica/p.persica_gdr_reftransV1_0001707","p.persica_gdr_reftransV1_0001707")</f>
        <v>p.persica_gdr_reftransV1_0001707</v>
      </c>
      <c r="B14990" s="2">
        <v>631</v>
      </c>
      <c r="C14990" s="4" t="str">
        <f>HYPERLINK("http://www.uniprot.org/uniprot/F6HKY7","F6HKY7")</f>
        <v>F6HKY7</v>
      </c>
      <c r="D14990" s="2" t="s">
        <v>12094</v>
      </c>
      <c r="E14990" s="3">
        <v>6.7400000000000002E-33</v>
      </c>
      <c r="F14990" s="2">
        <v>341</v>
      </c>
      <c r="G14990" s="2">
        <v>51</v>
      </c>
      <c r="H14990" s="2">
        <v>138</v>
      </c>
      <c r="I14990" s="2">
        <v>134</v>
      </c>
      <c r="J14990" s="2">
        <v>544</v>
      </c>
      <c r="K14990" s="2">
        <v>1</v>
      </c>
      <c r="L14990" s="2">
        <v>134</v>
      </c>
    </row>
    <row r="14991" spans="1:12" x14ac:dyDescent="0.25">
      <c r="A14991" s="4" t="str">
        <f>HYPERLINK("http://www.rosaceae.org/Prunus/Prunus_persica/p.persica_gdr_reftransV1_0002407","p.persica_gdr_reftransV1_0002407")</f>
        <v>p.persica_gdr_reftransV1_0002407</v>
      </c>
      <c r="B14991" s="2">
        <v>707</v>
      </c>
      <c r="C14991" s="4" t="str">
        <f>HYPERLINK("http://www.uniprot.org/uniprot/M5VWW7","M5VWW7")</f>
        <v>M5VWW7</v>
      </c>
      <c r="D14991" s="2" t="s">
        <v>5091</v>
      </c>
      <c r="E14991" s="3">
        <v>1.0699999999999999E-89</v>
      </c>
      <c r="F14991" s="2">
        <v>708</v>
      </c>
      <c r="G14991" s="2">
        <v>100</v>
      </c>
      <c r="H14991" s="2">
        <v>156</v>
      </c>
      <c r="I14991" s="2">
        <v>90</v>
      </c>
      <c r="J14991" s="2">
        <v>557</v>
      </c>
      <c r="K14991" s="2">
        <v>1</v>
      </c>
      <c r="L14991" s="2">
        <v>156</v>
      </c>
    </row>
    <row r="14992" spans="1:12" x14ac:dyDescent="0.25">
      <c r="A14992" s="4" t="str">
        <f>HYPERLINK("http://www.rosaceae.org/Prunus/Prunus_persica/p.persica_gdr_reftransV1_0002757","p.persica_gdr_reftransV1_0002757")</f>
        <v>p.persica_gdr_reftransV1_0002757</v>
      </c>
      <c r="B14992" s="2">
        <v>1175</v>
      </c>
      <c r="C14992" s="4" t="str">
        <f>HYPERLINK("http://www.uniprot.org/uniprot/M5VQR0","M5VQR0")</f>
        <v>M5VQR0</v>
      </c>
      <c r="D14992" s="2" t="s">
        <v>7910</v>
      </c>
      <c r="E14992" s="3">
        <v>0</v>
      </c>
      <c r="F14992" s="2">
        <v>1332</v>
      </c>
      <c r="G14992" s="2">
        <v>100</v>
      </c>
      <c r="H14992" s="2">
        <v>283</v>
      </c>
      <c r="I14992" s="2">
        <v>189</v>
      </c>
      <c r="J14992" s="2">
        <v>1037</v>
      </c>
      <c r="K14992" s="2">
        <v>1</v>
      </c>
      <c r="L14992" s="2">
        <v>283</v>
      </c>
    </row>
    <row r="14993" spans="1:12" x14ac:dyDescent="0.25">
      <c r="A14993" s="4" t="str">
        <f>HYPERLINK("http://www.rosaceae.org/Prunus/Prunus_persica/p.persica_gdr_reftransV1_0003107","p.persica_gdr_reftransV1_0003107")</f>
        <v>p.persica_gdr_reftransV1_0003107</v>
      </c>
      <c r="B14993" s="2">
        <v>2708</v>
      </c>
      <c r="C14993" s="4" t="str">
        <f>HYPERLINK("http://www.uniprot.org/uniprot/M5X0E7","M5X0E7")</f>
        <v>M5X0E7</v>
      </c>
      <c r="D14993" s="2" t="s">
        <v>12095</v>
      </c>
      <c r="E14993" s="3">
        <v>1.8000000000000002E-151</v>
      </c>
      <c r="F14993" s="2">
        <v>1178</v>
      </c>
      <c r="G14993" s="2">
        <v>99</v>
      </c>
      <c r="H14993" s="2">
        <v>240</v>
      </c>
      <c r="I14993" s="2">
        <v>486</v>
      </c>
      <c r="J14993" s="2">
        <v>1205</v>
      </c>
      <c r="K14993" s="2">
        <v>1</v>
      </c>
      <c r="L14993" s="2">
        <v>240</v>
      </c>
    </row>
    <row r="14994" spans="1:12" x14ac:dyDescent="0.25">
      <c r="A14994" s="4" t="str">
        <f>HYPERLINK("http://www.rosaceae.org/Prunus/Prunus_persica/p.persica_gdr_reftransV1_0003457","p.persica_gdr_reftransV1_0003457")</f>
        <v>p.persica_gdr_reftransV1_0003457</v>
      </c>
      <c r="B14994" s="2">
        <v>1555</v>
      </c>
      <c r="C14994" s="4" t="str">
        <f>HYPERLINK("http://www.uniprot.org/uniprot/M5WR40","M5WR40")</f>
        <v>M5WR40</v>
      </c>
      <c r="D14994" s="2" t="s">
        <v>1127</v>
      </c>
      <c r="E14994" s="3">
        <v>0</v>
      </c>
      <c r="F14994" s="2">
        <v>2303</v>
      </c>
      <c r="G14994" s="2">
        <v>100</v>
      </c>
      <c r="H14994" s="2">
        <v>451</v>
      </c>
      <c r="I14994" s="2">
        <v>201</v>
      </c>
      <c r="J14994" s="2">
        <v>1553</v>
      </c>
      <c r="K14994" s="2">
        <v>1</v>
      </c>
      <c r="L14994" s="2">
        <v>451</v>
      </c>
    </row>
    <row r="14995" spans="1:12" x14ac:dyDescent="0.25">
      <c r="A14995" s="4" t="str">
        <f>HYPERLINK("http://www.rosaceae.org/Prunus/Prunus_persica/p.persica_gdr_reftransV1_0004507","p.persica_gdr_reftransV1_0004507")</f>
        <v>p.persica_gdr_reftransV1_0004507</v>
      </c>
      <c r="B14995" s="2">
        <v>2209</v>
      </c>
      <c r="C14995" s="4" t="str">
        <f>HYPERLINK("http://www.uniprot.org/uniprot/C8YZ25","C8YZ25")</f>
        <v>C8YZ25</v>
      </c>
      <c r="D14995" s="2" t="s">
        <v>12096</v>
      </c>
      <c r="E14995" s="3">
        <v>0</v>
      </c>
      <c r="F14995" s="2">
        <v>1774</v>
      </c>
      <c r="G14995" s="2">
        <v>55</v>
      </c>
      <c r="H14995" s="2">
        <v>627</v>
      </c>
      <c r="I14995" s="2">
        <v>328</v>
      </c>
      <c r="J14995" s="2">
        <v>2205</v>
      </c>
      <c r="K14995" s="2">
        <v>1180</v>
      </c>
      <c r="L14995" s="2">
        <v>1776</v>
      </c>
    </row>
    <row r="14996" spans="1:12" x14ac:dyDescent="0.25">
      <c r="A14996" s="4" t="str">
        <f>HYPERLINK("http://www.rosaceae.org/Prunus/Prunus_persica/p.persica_gdr_reftransV1_0005207","p.persica_gdr_reftransV1_0005207")</f>
        <v>p.persica_gdr_reftransV1_0005207</v>
      </c>
      <c r="B14996" s="2">
        <v>2047</v>
      </c>
      <c r="C14996" s="4" t="str">
        <f>HYPERLINK("http://www.uniprot.org/uniprot/M5XJS0","M5XJS0")</f>
        <v>M5XJS0</v>
      </c>
      <c r="D14996" s="2" t="s">
        <v>11348</v>
      </c>
      <c r="E14996" s="3">
        <v>0</v>
      </c>
      <c r="F14996" s="2">
        <v>2966</v>
      </c>
      <c r="G14996" s="2">
        <v>96</v>
      </c>
      <c r="H14996" s="2">
        <v>598</v>
      </c>
      <c r="I14996" s="2">
        <v>151</v>
      </c>
      <c r="J14996" s="2">
        <v>1911</v>
      </c>
      <c r="K14996" s="2">
        <v>1</v>
      </c>
      <c r="L14996" s="2">
        <v>586</v>
      </c>
    </row>
    <row r="14997" spans="1:12" x14ac:dyDescent="0.25">
      <c r="A14997" s="4" t="str">
        <f>HYPERLINK("http://www.rosaceae.org/Prunus/Prunus_persica/p.persica_gdr_reftransV1_0005907","p.persica_gdr_reftransV1_0005907")</f>
        <v>p.persica_gdr_reftransV1_0005907</v>
      </c>
      <c r="B14997" s="2">
        <v>1603</v>
      </c>
      <c r="C14997" s="4" t="str">
        <f>HYPERLINK("http://www.uniprot.org/uniprot/M5XDM3","M5XDM3")</f>
        <v>M5XDM3</v>
      </c>
      <c r="D14997" s="2" t="s">
        <v>12097</v>
      </c>
      <c r="E14997" s="3">
        <v>0</v>
      </c>
      <c r="F14997" s="2">
        <v>2551</v>
      </c>
      <c r="G14997" s="2">
        <v>100</v>
      </c>
      <c r="H14997" s="2">
        <v>499</v>
      </c>
      <c r="I14997" s="2">
        <v>3</v>
      </c>
      <c r="J14997" s="2">
        <v>1499</v>
      </c>
      <c r="K14997" s="2">
        <v>1</v>
      </c>
      <c r="L14997" s="2">
        <v>499</v>
      </c>
    </row>
    <row r="14998" spans="1:12" x14ac:dyDescent="0.25">
      <c r="A14998" s="4" t="str">
        <f>HYPERLINK("http://www.rosaceae.org/Prunus/Prunus_persica/p.persica_gdr_reftransV1_0006257","p.persica_gdr_reftransV1_0006257")</f>
        <v>p.persica_gdr_reftransV1_0006257</v>
      </c>
      <c r="B14998" s="2">
        <v>1294</v>
      </c>
      <c r="C14998" s="4" t="str">
        <f>HYPERLINK("http://www.uniprot.org/uniprot/W9S280","W9S280")</f>
        <v>W9S280</v>
      </c>
      <c r="D14998" s="2" t="s">
        <v>12098</v>
      </c>
      <c r="E14998" s="3">
        <v>0</v>
      </c>
      <c r="F14998" s="2">
        <v>1451</v>
      </c>
      <c r="G14998" s="2">
        <v>81</v>
      </c>
      <c r="H14998" s="2">
        <v>331</v>
      </c>
      <c r="I14998" s="2">
        <v>196</v>
      </c>
      <c r="J14998" s="2">
        <v>1188</v>
      </c>
      <c r="K14998" s="2">
        <v>1</v>
      </c>
      <c r="L14998" s="2">
        <v>330</v>
      </c>
    </row>
    <row r="14999" spans="1:12" x14ac:dyDescent="0.25">
      <c r="A14999" s="4" t="str">
        <f>HYPERLINK("http://www.rosaceae.org/Prunus/Prunus_persica/p.persica_gdr_reftransV1_0007307","p.persica_gdr_reftransV1_0007307")</f>
        <v>p.persica_gdr_reftransV1_0007307</v>
      </c>
      <c r="B14999" s="2">
        <v>4220</v>
      </c>
      <c r="C14999" s="4" t="str">
        <f>HYPERLINK("http://www.uniprot.org/uniprot/M5XZ79","M5XZ79")</f>
        <v>M5XZ79</v>
      </c>
      <c r="D14999" s="2" t="s">
        <v>12099</v>
      </c>
      <c r="E14999" s="3">
        <v>0</v>
      </c>
      <c r="F14999" s="2">
        <v>2535</v>
      </c>
      <c r="G14999" s="2">
        <v>100</v>
      </c>
      <c r="H14999" s="2">
        <v>500</v>
      </c>
      <c r="I14999" s="2">
        <v>540</v>
      </c>
      <c r="J14999" s="2">
        <v>2039</v>
      </c>
      <c r="K14999" s="2">
        <v>1</v>
      </c>
      <c r="L14999" s="2">
        <v>500</v>
      </c>
    </row>
    <row r="15000" spans="1:12" x14ac:dyDescent="0.25">
      <c r="A15000" s="4" t="str">
        <f>HYPERLINK("http://www.rosaceae.org/Prunus/Prunus_persica/p.persica_gdr_reftransV1_0007657","p.persica_gdr_reftransV1_0007657")</f>
        <v>p.persica_gdr_reftransV1_0007657</v>
      </c>
      <c r="B15000" s="2">
        <v>2465</v>
      </c>
      <c r="C15000" s="4" t="str">
        <f>HYPERLINK("http://www.uniprot.org/uniprot/M5XPK0","M5XPK0")</f>
        <v>M5XPK0</v>
      </c>
      <c r="D15000" s="2" t="s">
        <v>12100</v>
      </c>
      <c r="E15000" s="3">
        <v>0</v>
      </c>
      <c r="F15000" s="2">
        <v>1485</v>
      </c>
      <c r="G15000" s="2">
        <v>97</v>
      </c>
      <c r="H15000" s="2">
        <v>307</v>
      </c>
      <c r="I15000" s="2">
        <v>662</v>
      </c>
      <c r="J15000" s="2">
        <v>1582</v>
      </c>
      <c r="K15000" s="2">
        <v>187</v>
      </c>
      <c r="L15000" s="2">
        <v>493</v>
      </c>
    </row>
    <row r="15001" spans="1:12" x14ac:dyDescent="0.25">
      <c r="A15001" s="4" t="str">
        <f>HYPERLINK("http://www.rosaceae.org/Prunus/Prunus_persica/p.persica_gdr_reftransV1_0008007","p.persica_gdr_reftransV1_0008007")</f>
        <v>p.persica_gdr_reftransV1_0008007</v>
      </c>
      <c r="B15001" s="2">
        <v>2902</v>
      </c>
      <c r="C15001" s="4" t="str">
        <f>HYPERLINK("http://www.uniprot.org/uniprot/M5WQT7","M5WQT7")</f>
        <v>M5WQT7</v>
      </c>
      <c r="D15001" s="2" t="s">
        <v>12101</v>
      </c>
      <c r="E15001" s="3">
        <v>0</v>
      </c>
      <c r="F15001" s="2">
        <v>2783</v>
      </c>
      <c r="G15001" s="2">
        <v>100</v>
      </c>
      <c r="H15001" s="2">
        <v>551</v>
      </c>
      <c r="I15001" s="2">
        <v>920</v>
      </c>
      <c r="J15001" s="2">
        <v>2572</v>
      </c>
      <c r="K15001" s="2">
        <v>40</v>
      </c>
      <c r="L15001" s="2">
        <v>590</v>
      </c>
    </row>
    <row r="15002" spans="1:12" x14ac:dyDescent="0.25">
      <c r="A15002" s="4" t="str">
        <f>HYPERLINK("http://www.rosaceae.org/Prunus/Prunus_persica/p.persica_gdr_reftransV1_0008357","p.persica_gdr_reftransV1_0008357")</f>
        <v>p.persica_gdr_reftransV1_0008357</v>
      </c>
      <c r="B15002" s="2">
        <v>1166</v>
      </c>
      <c r="C15002" s="4" t="str">
        <f>HYPERLINK("http://www.uniprot.org/uniprot/M5W374","M5W374")</f>
        <v>M5W374</v>
      </c>
      <c r="D15002" s="2" t="s">
        <v>12102</v>
      </c>
      <c r="E15002" s="3">
        <v>2.2699999999999999E-166</v>
      </c>
      <c r="F15002" s="2">
        <v>1228</v>
      </c>
      <c r="G15002" s="2">
        <v>100</v>
      </c>
      <c r="H15002" s="2">
        <v>236</v>
      </c>
      <c r="I15002" s="2">
        <v>240</v>
      </c>
      <c r="J15002" s="2">
        <v>947</v>
      </c>
      <c r="K15002" s="2">
        <v>1</v>
      </c>
      <c r="L15002" s="2">
        <v>236</v>
      </c>
    </row>
    <row r="15003" spans="1:12" x14ac:dyDescent="0.25">
      <c r="A15003" s="4" t="str">
        <f>HYPERLINK("http://www.rosaceae.org/Prunus/Prunus_persica/p.persica_gdr_reftransV1_0008707","p.persica_gdr_reftransV1_0008707")</f>
        <v>p.persica_gdr_reftransV1_0008707</v>
      </c>
      <c r="B15003" s="2">
        <v>1410</v>
      </c>
      <c r="C15003" s="4" t="str">
        <f>HYPERLINK("http://www.uniprot.org/uniprot/M5XD99","M5XD99")</f>
        <v>M5XD99</v>
      </c>
      <c r="D15003" s="2" t="s">
        <v>12103</v>
      </c>
      <c r="E15003" s="3">
        <v>6.1400000000000002E-133</v>
      </c>
      <c r="F15003" s="2">
        <v>914</v>
      </c>
      <c r="G15003" s="2">
        <v>98</v>
      </c>
      <c r="H15003" s="2">
        <v>173</v>
      </c>
      <c r="I15003" s="2">
        <v>452</v>
      </c>
      <c r="J15003" s="2">
        <v>970</v>
      </c>
      <c r="K15003" s="2">
        <v>96</v>
      </c>
      <c r="L15003" s="2">
        <v>268</v>
      </c>
    </row>
    <row r="15004" spans="1:12" x14ac:dyDescent="0.25">
      <c r="A15004" s="4" t="str">
        <f>HYPERLINK("http://www.rosaceae.org/Prunus/Prunus_persica/p.persica_gdr_reftransV1_0009407","p.persica_gdr_reftransV1_0009407")</f>
        <v>p.persica_gdr_reftransV1_0009407</v>
      </c>
      <c r="B15004" s="2">
        <v>361</v>
      </c>
      <c r="C15004" s="4" t="str">
        <f>HYPERLINK("http://www.uniprot.org/uniprot/M5WNM3","M5WNM3")</f>
        <v>M5WNM3</v>
      </c>
      <c r="D15004" s="2" t="s">
        <v>8221</v>
      </c>
      <c r="E15004" s="3">
        <v>1.5600000000000001E-75</v>
      </c>
      <c r="F15004" s="2">
        <v>639</v>
      </c>
      <c r="G15004" s="2">
        <v>100</v>
      </c>
      <c r="H15004" s="2">
        <v>120</v>
      </c>
      <c r="I15004" s="2">
        <v>1</v>
      </c>
      <c r="J15004" s="2">
        <v>360</v>
      </c>
      <c r="K15004" s="2">
        <v>335</v>
      </c>
      <c r="L15004" s="2">
        <v>454</v>
      </c>
    </row>
    <row r="15005" spans="1:12" x14ac:dyDescent="0.25">
      <c r="A15005" s="4" t="str">
        <f>HYPERLINK("http://www.rosaceae.org/Prunus/Prunus_persica/p.persica_gdr_reftransV1_0009757","p.persica_gdr_reftransV1_0009757")</f>
        <v>p.persica_gdr_reftransV1_0009757</v>
      </c>
      <c r="B15005" s="2">
        <v>4279</v>
      </c>
      <c r="C15005" s="4" t="str">
        <f>HYPERLINK("http://www.uniprot.org/uniprot/M5Y944","M5Y944")</f>
        <v>M5Y944</v>
      </c>
      <c r="D15005" s="2" t="s">
        <v>12104</v>
      </c>
      <c r="E15005" s="3">
        <v>0</v>
      </c>
      <c r="F15005" s="2">
        <v>5906</v>
      </c>
      <c r="G15005" s="2">
        <v>100</v>
      </c>
      <c r="H15005" s="2">
        <v>1110</v>
      </c>
      <c r="I15005" s="2">
        <v>339</v>
      </c>
      <c r="J15005" s="2">
        <v>3668</v>
      </c>
      <c r="K15005" s="2">
        <v>10</v>
      </c>
      <c r="L15005" s="2">
        <v>1119</v>
      </c>
    </row>
    <row r="15006" spans="1:12" x14ac:dyDescent="0.25">
      <c r="A15006" s="4" t="str">
        <f>HYPERLINK("http://www.rosaceae.org/Prunus/Prunus_persica/p.persica_gdr_reftransV1_0010807","p.persica_gdr_reftransV1_0010807")</f>
        <v>p.persica_gdr_reftransV1_0010807</v>
      </c>
      <c r="B15006" s="2">
        <v>4165</v>
      </c>
      <c r="C15006" s="4" t="str">
        <f>HYPERLINK("http://www.uniprot.org/uniprot/M5W412","M5W412")</f>
        <v>M5W412</v>
      </c>
      <c r="D15006" s="2" t="s">
        <v>12105</v>
      </c>
      <c r="E15006" s="3">
        <v>0</v>
      </c>
      <c r="F15006" s="2">
        <v>4219</v>
      </c>
      <c r="G15006" s="2">
        <v>100</v>
      </c>
      <c r="H15006" s="2">
        <v>846</v>
      </c>
      <c r="I15006" s="2">
        <v>981</v>
      </c>
      <c r="J15006" s="2">
        <v>3518</v>
      </c>
      <c r="K15006" s="2">
        <v>1</v>
      </c>
      <c r="L15006" s="2">
        <v>846</v>
      </c>
    </row>
    <row r="15007" spans="1:12" x14ac:dyDescent="0.25">
      <c r="A15007" s="4" t="str">
        <f>HYPERLINK("http://www.rosaceae.org/Prunus/Prunus_persica/p.persica_gdr_reftransV1_0011157","p.persica_gdr_reftransV1_0011157")</f>
        <v>p.persica_gdr_reftransV1_0011157</v>
      </c>
      <c r="B15007" s="2">
        <v>2106</v>
      </c>
      <c r="C15007" s="4" t="str">
        <f>HYPERLINK("http://www.uniprot.org/uniprot/M5XBL5","M5XBL5")</f>
        <v>M5XBL5</v>
      </c>
      <c r="D15007" s="2" t="s">
        <v>12106</v>
      </c>
      <c r="E15007" s="3">
        <v>0</v>
      </c>
      <c r="F15007" s="2">
        <v>2229</v>
      </c>
      <c r="G15007" s="2">
        <v>100</v>
      </c>
      <c r="H15007" s="2">
        <v>496</v>
      </c>
      <c r="I15007" s="2">
        <v>152</v>
      </c>
      <c r="J15007" s="2">
        <v>1639</v>
      </c>
      <c r="K15007" s="2">
        <v>1</v>
      </c>
      <c r="L15007" s="2">
        <v>496</v>
      </c>
    </row>
    <row r="15008" spans="1:12" x14ac:dyDescent="0.25">
      <c r="A15008" s="4" t="str">
        <f>HYPERLINK("http://www.rosaceae.org/Prunus/Prunus_persica/p.persica_gdr_reftransV1_0011507","p.persica_gdr_reftransV1_0011507")</f>
        <v>p.persica_gdr_reftransV1_0011507</v>
      </c>
      <c r="B15008" s="2">
        <v>705</v>
      </c>
      <c r="C15008" s="4" t="str">
        <f>HYPERLINK("http://www.uniprot.org/uniprot/M5VN03","M5VN03")</f>
        <v>M5VN03</v>
      </c>
      <c r="D15008" s="2" t="s">
        <v>12107</v>
      </c>
      <c r="E15008" s="3">
        <v>1.32E-68</v>
      </c>
      <c r="F15008" s="2">
        <v>556</v>
      </c>
      <c r="G15008" s="2">
        <v>100</v>
      </c>
      <c r="H15008" s="2">
        <v>117</v>
      </c>
      <c r="I15008" s="2">
        <v>316</v>
      </c>
      <c r="J15008" s="2">
        <v>666</v>
      </c>
      <c r="K15008" s="2">
        <v>1</v>
      </c>
      <c r="L15008" s="2">
        <v>117</v>
      </c>
    </row>
    <row r="15009" spans="1:12" x14ac:dyDescent="0.25">
      <c r="A15009" s="4" t="str">
        <f>HYPERLINK("http://www.rosaceae.org/Prunus/Prunus_persica/p.persica_gdr_reftransV1_0012207","p.persica_gdr_reftransV1_0012207")</f>
        <v>p.persica_gdr_reftransV1_0012207</v>
      </c>
      <c r="B15009" s="2">
        <v>3025</v>
      </c>
      <c r="C15009" s="4" t="str">
        <f>HYPERLINK("http://www.uniprot.org/uniprot/M5W1L3","M5W1L3")</f>
        <v>M5W1L3</v>
      </c>
      <c r="D15009" s="2" t="s">
        <v>12108</v>
      </c>
      <c r="E15009" s="3">
        <v>0</v>
      </c>
      <c r="F15009" s="2">
        <v>3573</v>
      </c>
      <c r="G15009" s="2">
        <v>100</v>
      </c>
      <c r="H15009" s="2">
        <v>740</v>
      </c>
      <c r="I15009" s="2">
        <v>748</v>
      </c>
      <c r="J15009" s="2">
        <v>2967</v>
      </c>
      <c r="K15009" s="2">
        <v>1</v>
      </c>
      <c r="L15009" s="2">
        <v>740</v>
      </c>
    </row>
    <row r="15010" spans="1:12" x14ac:dyDescent="0.25">
      <c r="A15010" s="4" t="str">
        <f>HYPERLINK("http://www.rosaceae.org/Prunus/Prunus_persica/p.persica_gdr_reftransV1_0012907","p.persica_gdr_reftransV1_0012907")</f>
        <v>p.persica_gdr_reftransV1_0012907</v>
      </c>
      <c r="B15010" s="2">
        <v>1577</v>
      </c>
      <c r="C15010" s="4" t="str">
        <f>HYPERLINK("http://www.uniprot.org/uniprot/M5XDE2","M5XDE2")</f>
        <v>M5XDE2</v>
      </c>
      <c r="D15010" s="2" t="s">
        <v>12109</v>
      </c>
      <c r="E15010" s="3">
        <v>2.5499999999999998E-90</v>
      </c>
      <c r="F15010" s="2">
        <v>731</v>
      </c>
      <c r="G15010" s="2">
        <v>99</v>
      </c>
      <c r="H15010" s="2">
        <v>172</v>
      </c>
      <c r="I15010" s="2">
        <v>196</v>
      </c>
      <c r="J15010" s="2">
        <v>711</v>
      </c>
      <c r="K15010" s="2">
        <v>9</v>
      </c>
      <c r="L15010" s="2">
        <v>180</v>
      </c>
    </row>
    <row r="15011" spans="1:12" x14ac:dyDescent="0.25">
      <c r="A15011" s="4" t="str">
        <f>HYPERLINK("http://www.rosaceae.org/Prunus/Prunus_persica/p.persica_gdr_reftransV1_0013957","p.persica_gdr_reftransV1_0013957")</f>
        <v>p.persica_gdr_reftransV1_0013957</v>
      </c>
      <c r="B15011" s="2">
        <v>1230</v>
      </c>
      <c r="C15011" s="4" t="str">
        <f>HYPERLINK("http://www.uniprot.org/uniprot/M5VZ82","M5VZ82")</f>
        <v>M5VZ82</v>
      </c>
      <c r="D15011" s="2" t="s">
        <v>12110</v>
      </c>
      <c r="E15011" s="3">
        <v>4.0200000000000001E-147</v>
      </c>
      <c r="F15011" s="2">
        <v>1112</v>
      </c>
      <c r="G15011" s="2">
        <v>100</v>
      </c>
      <c r="H15011" s="2">
        <v>272</v>
      </c>
      <c r="I15011" s="2">
        <v>47</v>
      </c>
      <c r="J15011" s="2">
        <v>862</v>
      </c>
      <c r="K15011" s="2">
        <v>49</v>
      </c>
      <c r="L15011" s="2">
        <v>320</v>
      </c>
    </row>
    <row r="15012" spans="1:12" x14ac:dyDescent="0.25">
      <c r="A15012" s="4" t="str">
        <f>HYPERLINK("http://www.rosaceae.org/Prunus/Prunus_persica/p.persica_gdr_reftransV1_0014657","p.persica_gdr_reftransV1_0014657")</f>
        <v>p.persica_gdr_reftransV1_0014657</v>
      </c>
      <c r="B15012" s="2">
        <v>1749</v>
      </c>
      <c r="C15012" s="4" t="str">
        <f>HYPERLINK("http://www.uniprot.org/uniprot/M5XB67","M5XB67")</f>
        <v>M5XB67</v>
      </c>
      <c r="D15012" s="2" t="s">
        <v>12111</v>
      </c>
      <c r="E15012" s="3">
        <v>9.7999999999999998E-80</v>
      </c>
      <c r="F15012" s="2">
        <v>662</v>
      </c>
      <c r="G15012" s="2">
        <v>100</v>
      </c>
      <c r="H15012" s="2">
        <v>155</v>
      </c>
      <c r="I15012" s="2">
        <v>111</v>
      </c>
      <c r="J15012" s="2">
        <v>575</v>
      </c>
      <c r="K15012" s="2">
        <v>1</v>
      </c>
      <c r="L15012" s="2">
        <v>155</v>
      </c>
    </row>
    <row r="15013" spans="1:12" x14ac:dyDescent="0.25">
      <c r="A15013" s="4" t="str">
        <f>HYPERLINK("http://www.rosaceae.org/Prunus/Prunus_persica/p.persica_gdr_reftransV1_0015357","p.persica_gdr_reftransV1_0015357")</f>
        <v>p.persica_gdr_reftransV1_0015357</v>
      </c>
      <c r="B15013" s="2">
        <v>2617</v>
      </c>
      <c r="C15013" s="4" t="str">
        <f>HYPERLINK("http://www.uniprot.org/uniprot/M5WR21","M5WR21")</f>
        <v>M5WR21</v>
      </c>
      <c r="D15013" s="2" t="s">
        <v>12112</v>
      </c>
      <c r="E15013" s="3">
        <v>0</v>
      </c>
      <c r="F15013" s="2">
        <v>3228</v>
      </c>
      <c r="G15013" s="2">
        <v>100</v>
      </c>
      <c r="H15013" s="2">
        <v>612</v>
      </c>
      <c r="I15013" s="2">
        <v>469</v>
      </c>
      <c r="J15013" s="2">
        <v>2304</v>
      </c>
      <c r="K15013" s="2">
        <v>1</v>
      </c>
      <c r="L15013" s="2">
        <v>612</v>
      </c>
    </row>
    <row r="15014" spans="1:12" x14ac:dyDescent="0.25">
      <c r="A15014" s="4" t="str">
        <f>HYPERLINK("http://www.rosaceae.org/Prunus/Prunus_persica/p.persica_gdr_reftransV1_0015707","p.persica_gdr_reftransV1_0015707")</f>
        <v>p.persica_gdr_reftransV1_0015707</v>
      </c>
      <c r="B15014" s="2">
        <v>2093</v>
      </c>
      <c r="C15014" s="4" t="str">
        <f>HYPERLINK("http://www.uniprot.org/uniprot/M5XP69","M5XP69")</f>
        <v>M5XP69</v>
      </c>
      <c r="D15014" s="2" t="s">
        <v>12113</v>
      </c>
      <c r="E15014" s="3">
        <v>0</v>
      </c>
      <c r="F15014" s="2">
        <v>1490</v>
      </c>
      <c r="G15014" s="2">
        <v>95</v>
      </c>
      <c r="H15014" s="2">
        <v>325</v>
      </c>
      <c r="I15014" s="2">
        <v>387</v>
      </c>
      <c r="J15014" s="2">
        <v>1355</v>
      </c>
      <c r="K15014" s="2">
        <v>1</v>
      </c>
      <c r="L15014" s="2">
        <v>325</v>
      </c>
    </row>
    <row r="15015" spans="1:12" x14ac:dyDescent="0.25">
      <c r="A15015" s="4" t="str">
        <f>HYPERLINK("http://www.rosaceae.org/Prunus/Prunus_persica/p.persica_gdr_reftransV1_0019207","p.persica_gdr_reftransV1_0019207")</f>
        <v>p.persica_gdr_reftransV1_0019207</v>
      </c>
      <c r="B15015" s="2">
        <v>1082</v>
      </c>
      <c r="C15015" s="4" t="str">
        <f>HYPERLINK("http://www.uniprot.org/uniprot/M5VZS0","M5VZS0")</f>
        <v>M5VZS0</v>
      </c>
      <c r="D15015" s="2" t="s">
        <v>12114</v>
      </c>
      <c r="E15015" s="3">
        <v>0</v>
      </c>
      <c r="F15015" s="2">
        <v>1324</v>
      </c>
      <c r="G15015" s="2">
        <v>100</v>
      </c>
      <c r="H15015" s="2">
        <v>254</v>
      </c>
      <c r="I15015" s="2">
        <v>246</v>
      </c>
      <c r="J15015" s="2">
        <v>1007</v>
      </c>
      <c r="K15015" s="2">
        <v>1</v>
      </c>
      <c r="L15015" s="2">
        <v>254</v>
      </c>
    </row>
    <row r="15016" spans="1:12" x14ac:dyDescent="0.25">
      <c r="A15016" s="4" t="str">
        <f>HYPERLINK("http://www.rosaceae.org/Prunus/Prunus_persica/p.persica_gdr_reftransV1_0019557","p.persica_gdr_reftransV1_0019557")</f>
        <v>p.persica_gdr_reftransV1_0019557</v>
      </c>
      <c r="B15016" s="2">
        <v>1005</v>
      </c>
      <c r="C15016" s="4" t="str">
        <f>HYPERLINK("http://www.uniprot.org/uniprot/M5Y243","M5Y243")</f>
        <v>M5Y243</v>
      </c>
      <c r="D15016" s="2" t="s">
        <v>12115</v>
      </c>
      <c r="E15016" s="3">
        <v>1.28E-158</v>
      </c>
      <c r="F15016" s="2">
        <v>1170</v>
      </c>
      <c r="G15016" s="2">
        <v>100</v>
      </c>
      <c r="H15016" s="2">
        <v>223</v>
      </c>
      <c r="I15016" s="2">
        <v>200</v>
      </c>
      <c r="J15016" s="2">
        <v>868</v>
      </c>
      <c r="K15016" s="2">
        <v>1</v>
      </c>
      <c r="L15016" s="2">
        <v>223</v>
      </c>
    </row>
    <row r="15017" spans="1:12" x14ac:dyDescent="0.25">
      <c r="A15017" s="4" t="str">
        <f>HYPERLINK("http://www.rosaceae.org/Prunus/Prunus_persica/p.persica_gdr_reftransV1_0019907","p.persica_gdr_reftransV1_0019907")</f>
        <v>p.persica_gdr_reftransV1_0019907</v>
      </c>
      <c r="B15017" s="2">
        <v>1830</v>
      </c>
      <c r="C15017" s="4" t="str">
        <f>HYPERLINK("http://www.uniprot.org/uniprot/M5X323","M5X323")</f>
        <v>M5X323</v>
      </c>
      <c r="D15017" s="2" t="s">
        <v>328</v>
      </c>
      <c r="E15017" s="3">
        <v>1.44E-157</v>
      </c>
      <c r="F15017" s="2">
        <v>1201</v>
      </c>
      <c r="G15017" s="2">
        <v>100</v>
      </c>
      <c r="H15017" s="2">
        <v>255</v>
      </c>
      <c r="I15017" s="2">
        <v>832</v>
      </c>
      <c r="J15017" s="2">
        <v>1596</v>
      </c>
      <c r="K15017" s="2">
        <v>1</v>
      </c>
      <c r="L15017" s="2">
        <v>255</v>
      </c>
    </row>
    <row r="15018" spans="1:12" x14ac:dyDescent="0.25">
      <c r="A15018" s="4" t="str">
        <f>HYPERLINK("http://www.rosaceae.org/Prunus/Prunus_persica/p.persica_gdr_reftransV1_0020257","p.persica_gdr_reftransV1_0020257")</f>
        <v>p.persica_gdr_reftransV1_0020257</v>
      </c>
      <c r="B15018" s="2">
        <v>2745</v>
      </c>
      <c r="C15018" s="4" t="str">
        <f>HYPERLINK("http://www.uniprot.org/uniprot/M5XDC7","M5XDC7")</f>
        <v>M5XDC7</v>
      </c>
      <c r="D15018" s="2" t="s">
        <v>12116</v>
      </c>
      <c r="E15018" s="3">
        <v>1.34E-150</v>
      </c>
      <c r="F15018" s="2">
        <v>1204</v>
      </c>
      <c r="G15018" s="2">
        <v>100</v>
      </c>
      <c r="H15018" s="2">
        <v>361</v>
      </c>
      <c r="I15018" s="2">
        <v>1369</v>
      </c>
      <c r="J15018" s="2">
        <v>2451</v>
      </c>
      <c r="K15018" s="2">
        <v>196</v>
      </c>
      <c r="L15018" s="2">
        <v>556</v>
      </c>
    </row>
    <row r="15019" spans="1:12" x14ac:dyDescent="0.25">
      <c r="A15019" s="4" t="str">
        <f>HYPERLINK("http://www.rosaceae.org/Prunus/Prunus_persica/p.persica_gdr_reftransV1_0020607","p.persica_gdr_reftransV1_0020607")</f>
        <v>p.persica_gdr_reftransV1_0020607</v>
      </c>
      <c r="B15019" s="2">
        <v>529</v>
      </c>
      <c r="C15019" s="4" t="str">
        <f>HYPERLINK("http://www.uniprot.org/uniprot/A0A061EE61","A0A061EE61")</f>
        <v>A0A061EE61</v>
      </c>
      <c r="D15019" s="2" t="s">
        <v>12117</v>
      </c>
      <c r="E15019" s="3">
        <v>6.4200000000000004E-65</v>
      </c>
      <c r="F15019" s="2">
        <v>562</v>
      </c>
      <c r="G15019" s="2">
        <v>80</v>
      </c>
      <c r="H15019" s="2">
        <v>128</v>
      </c>
      <c r="I15019" s="2">
        <v>146</v>
      </c>
      <c r="J15019" s="2">
        <v>529</v>
      </c>
      <c r="K15019" s="2">
        <v>497</v>
      </c>
      <c r="L15019" s="2">
        <v>624</v>
      </c>
    </row>
    <row r="15020" spans="1:12" x14ac:dyDescent="0.25">
      <c r="A15020" s="4" t="str">
        <f>HYPERLINK("http://www.rosaceae.org/Prunus/Prunus_persica/p.persica_gdr_reftransV1_0022007","p.persica_gdr_reftransV1_0022007")</f>
        <v>p.persica_gdr_reftransV1_0022007</v>
      </c>
      <c r="B15020" s="2">
        <v>911</v>
      </c>
      <c r="C15020" s="4" t="str">
        <f>HYPERLINK("http://www.uniprot.org/uniprot/M5W2M2","M5W2M2")</f>
        <v>M5W2M2</v>
      </c>
      <c r="D15020" s="2" t="s">
        <v>6532</v>
      </c>
      <c r="E15020" s="3">
        <v>3.3800000000000003E-80</v>
      </c>
      <c r="F15020" s="2">
        <v>641</v>
      </c>
      <c r="G15020" s="2">
        <v>99</v>
      </c>
      <c r="H15020" s="2">
        <v>139</v>
      </c>
      <c r="I15020" s="2">
        <v>107</v>
      </c>
      <c r="J15020" s="2">
        <v>523</v>
      </c>
      <c r="K15020" s="2">
        <v>1</v>
      </c>
      <c r="L15020" s="2">
        <v>139</v>
      </c>
    </row>
    <row r="15021" spans="1:12" x14ac:dyDescent="0.25">
      <c r="A15021" s="4" t="str">
        <f>HYPERLINK("http://www.rosaceae.org/Prunus/Prunus_persica/p.persica_gdr_reftransV1_0022707","p.persica_gdr_reftransV1_0022707")</f>
        <v>p.persica_gdr_reftransV1_0022707</v>
      </c>
      <c r="B15021" s="2">
        <v>1126</v>
      </c>
      <c r="C15021" s="4" t="str">
        <f>HYPERLINK("http://www.uniprot.org/uniprot/M5WJN2","M5WJN2")</f>
        <v>M5WJN2</v>
      </c>
      <c r="D15021" s="2" t="s">
        <v>12118</v>
      </c>
      <c r="E15021" s="3">
        <v>3.5199999999999998E-123</v>
      </c>
      <c r="F15021" s="2">
        <v>716</v>
      </c>
      <c r="G15021" s="2">
        <v>99</v>
      </c>
      <c r="H15021" s="2">
        <v>144</v>
      </c>
      <c r="I15021" s="2">
        <v>311</v>
      </c>
      <c r="J15021" s="2">
        <v>742</v>
      </c>
      <c r="K15021" s="2">
        <v>96</v>
      </c>
      <c r="L15021" s="2">
        <v>239</v>
      </c>
    </row>
    <row r="15022" spans="1:12" x14ac:dyDescent="0.25">
      <c r="A15022" s="4" t="str">
        <f>HYPERLINK("http://www.rosaceae.org/Prunus/Prunus_persica/p.persica_gdr_reftransV1_0024457","p.persica_gdr_reftransV1_0024457")</f>
        <v>p.persica_gdr_reftransV1_0024457</v>
      </c>
      <c r="B15022" s="2">
        <v>1421</v>
      </c>
      <c r="C15022" s="4" t="str">
        <f>HYPERLINK("http://www.uniprot.org/uniprot/M5W1A7","M5W1A7")</f>
        <v>M5W1A7</v>
      </c>
      <c r="D15022" s="2" t="s">
        <v>11334</v>
      </c>
      <c r="E15022" s="3">
        <v>0</v>
      </c>
      <c r="F15022" s="2">
        <v>1724</v>
      </c>
      <c r="G15022" s="2">
        <v>100</v>
      </c>
      <c r="H15022" s="2">
        <v>356</v>
      </c>
      <c r="I15022" s="2">
        <v>354</v>
      </c>
      <c r="J15022" s="2">
        <v>1421</v>
      </c>
      <c r="K15022" s="2">
        <v>313</v>
      </c>
      <c r="L15022" s="2">
        <v>668</v>
      </c>
    </row>
    <row r="15023" spans="1:12" x14ac:dyDescent="0.25">
      <c r="A15023" s="4" t="str">
        <f>HYPERLINK("http://www.rosaceae.org/Prunus/Prunus_persica/p.persica_gdr_reftransV1_0024807","p.persica_gdr_reftransV1_0024807")</f>
        <v>p.persica_gdr_reftransV1_0024807</v>
      </c>
      <c r="B15023" s="2">
        <v>1778</v>
      </c>
      <c r="C15023" s="4" t="str">
        <f>HYPERLINK("http://www.uniprot.org/uniprot/M5WBD0","M5WBD0")</f>
        <v>M5WBD0</v>
      </c>
      <c r="D15023" s="2" t="s">
        <v>12119</v>
      </c>
      <c r="E15023" s="3">
        <v>0</v>
      </c>
      <c r="F15023" s="2">
        <v>961</v>
      </c>
      <c r="G15023" s="2">
        <v>90</v>
      </c>
      <c r="H15023" s="2">
        <v>220</v>
      </c>
      <c r="I15023" s="2">
        <v>822</v>
      </c>
      <c r="J15023" s="2">
        <v>1481</v>
      </c>
      <c r="K15023" s="2">
        <v>1</v>
      </c>
      <c r="L15023" s="2">
        <v>198</v>
      </c>
    </row>
    <row r="15024" spans="1:12" x14ac:dyDescent="0.25">
      <c r="A15024" s="4" t="str">
        <f>HYPERLINK("http://www.rosaceae.org/Prunus/Prunus_persica/p.persica_gdr_reftransV1_0026207","p.persica_gdr_reftransV1_0026207")</f>
        <v>p.persica_gdr_reftransV1_0026207</v>
      </c>
      <c r="B15024" s="2">
        <v>1258</v>
      </c>
      <c r="C15024" s="4" t="str">
        <f>HYPERLINK("http://www.uniprot.org/uniprot/M5VMT0","M5VMT0")</f>
        <v>M5VMT0</v>
      </c>
      <c r="D15024" s="2" t="s">
        <v>12120</v>
      </c>
      <c r="E15024" s="3">
        <v>6.67E-65</v>
      </c>
      <c r="F15024" s="2">
        <v>549</v>
      </c>
      <c r="G15024" s="2">
        <v>100</v>
      </c>
      <c r="H15024" s="2">
        <v>142</v>
      </c>
      <c r="I15024" s="2">
        <v>558</v>
      </c>
      <c r="J15024" s="2">
        <v>983</v>
      </c>
      <c r="K15024" s="2">
        <v>1</v>
      </c>
      <c r="L15024" s="2">
        <v>142</v>
      </c>
    </row>
    <row r="15025" spans="1:12" x14ac:dyDescent="0.25">
      <c r="A15025" s="4" t="str">
        <f>HYPERLINK("http://www.rosaceae.org/Prunus/Prunus_persica/p.persica_gdr_reftransV1_0026907","p.persica_gdr_reftransV1_0026907")</f>
        <v>p.persica_gdr_reftransV1_0026907</v>
      </c>
      <c r="B15025" s="2">
        <v>1382</v>
      </c>
      <c r="C15025" s="4" t="str">
        <f>HYPERLINK("http://www.uniprot.org/uniprot/M5X1X7","M5X1X7")</f>
        <v>M5X1X7</v>
      </c>
      <c r="D15025" s="2" t="s">
        <v>2363</v>
      </c>
      <c r="E15025" s="3">
        <v>1.9700000000000001E-130</v>
      </c>
      <c r="F15025" s="2">
        <v>1005</v>
      </c>
      <c r="G15025" s="2">
        <v>100</v>
      </c>
      <c r="H15025" s="2">
        <v>216</v>
      </c>
      <c r="I15025" s="2">
        <v>531</v>
      </c>
      <c r="J15025" s="2">
        <v>1178</v>
      </c>
      <c r="K15025" s="2">
        <v>88</v>
      </c>
      <c r="L15025" s="2">
        <v>303</v>
      </c>
    </row>
    <row r="15026" spans="1:12" x14ac:dyDescent="0.25">
      <c r="A15026" s="4" t="str">
        <f>HYPERLINK("http://www.rosaceae.org/Prunus/Prunus_persica/p.persica_gdr_reftransV1_0030757","p.persica_gdr_reftransV1_0030757")</f>
        <v>p.persica_gdr_reftransV1_0030757</v>
      </c>
      <c r="B15026" s="2">
        <v>2156</v>
      </c>
      <c r="C15026" s="4" t="str">
        <f>HYPERLINK("http://www.uniprot.org/uniprot/M5VL67","M5VL67")</f>
        <v>M5VL67</v>
      </c>
      <c r="D15026" s="2" t="s">
        <v>12121</v>
      </c>
      <c r="E15026" s="3">
        <v>1.5199999999999999E-118</v>
      </c>
      <c r="F15026" s="2">
        <v>951</v>
      </c>
      <c r="G15026" s="2">
        <v>100</v>
      </c>
      <c r="H15026" s="2">
        <v>214</v>
      </c>
      <c r="I15026" s="2">
        <v>314</v>
      </c>
      <c r="J15026" s="2">
        <v>955</v>
      </c>
      <c r="K15026" s="2">
        <v>113</v>
      </c>
      <c r="L15026" s="2">
        <v>326</v>
      </c>
    </row>
    <row r="15027" spans="1:12" x14ac:dyDescent="0.25">
      <c r="A15027" s="4" t="str">
        <f>HYPERLINK("http://www.rosaceae.org/Prunus/Prunus_persica/p.persica_gdr_reftransV1_0031107","p.persica_gdr_reftransV1_0031107")</f>
        <v>p.persica_gdr_reftransV1_0031107</v>
      </c>
      <c r="B15027" s="2">
        <v>1951</v>
      </c>
      <c r="C15027" s="4" t="str">
        <f>HYPERLINK("http://www.uniprot.org/uniprot/M5WQ87","M5WQ87")</f>
        <v>M5WQ87</v>
      </c>
      <c r="D15027" s="2" t="s">
        <v>10547</v>
      </c>
      <c r="E15027" s="3">
        <v>0</v>
      </c>
      <c r="F15027" s="2">
        <v>1473</v>
      </c>
      <c r="G15027" s="2">
        <v>95</v>
      </c>
      <c r="H15027" s="2">
        <v>342</v>
      </c>
      <c r="I15027" s="2">
        <v>740</v>
      </c>
      <c r="J15027" s="2">
        <v>1762</v>
      </c>
      <c r="K15027" s="2">
        <v>1</v>
      </c>
      <c r="L15027" s="2">
        <v>333</v>
      </c>
    </row>
    <row r="15028" spans="1:12" x14ac:dyDescent="0.25">
      <c r="A15028" s="4" t="str">
        <f>HYPERLINK("http://www.rosaceae.org/Prunus/Prunus_persica/p.persica_gdr_reftransV1_0032857","p.persica_gdr_reftransV1_0032857")</f>
        <v>p.persica_gdr_reftransV1_0032857</v>
      </c>
      <c r="B15028" s="2">
        <v>3451</v>
      </c>
      <c r="C15028" s="4" t="str">
        <f>HYPERLINK("http://www.uniprot.org/uniprot/M5X5J3","M5X5J3")</f>
        <v>M5X5J3</v>
      </c>
      <c r="D15028" s="2" t="s">
        <v>4242</v>
      </c>
      <c r="E15028" s="3">
        <v>0</v>
      </c>
      <c r="F15028" s="2">
        <v>3980</v>
      </c>
      <c r="G15028" s="2">
        <v>95</v>
      </c>
      <c r="H15028" s="2">
        <v>946</v>
      </c>
      <c r="I15028" s="2">
        <v>235</v>
      </c>
      <c r="J15028" s="2">
        <v>3072</v>
      </c>
      <c r="K15028" s="2">
        <v>1</v>
      </c>
      <c r="L15028" s="2">
        <v>901</v>
      </c>
    </row>
    <row r="15029" spans="1:12" x14ac:dyDescent="0.25">
      <c r="A15029" s="4" t="str">
        <f>HYPERLINK("http://www.rosaceae.org/Prunus/Prunus_persica/p.persica_gdr_reftransV1_0036707","p.persica_gdr_reftransV1_0036707")</f>
        <v>p.persica_gdr_reftransV1_0036707</v>
      </c>
      <c r="B15029" s="2">
        <v>1690</v>
      </c>
      <c r="C15029" s="4" t="str">
        <f>HYPERLINK("http://www.uniprot.org/uniprot/M5XM14","M5XM14")</f>
        <v>M5XM14</v>
      </c>
      <c r="D15029" s="2" t="s">
        <v>7137</v>
      </c>
      <c r="E15029" s="3">
        <v>0</v>
      </c>
      <c r="F15029" s="2">
        <v>987</v>
      </c>
      <c r="G15029" s="2">
        <v>100</v>
      </c>
      <c r="H15029" s="2">
        <v>238</v>
      </c>
      <c r="I15029" s="2">
        <v>900</v>
      </c>
      <c r="J15029" s="2">
        <v>1613</v>
      </c>
      <c r="K15029" s="2">
        <v>514</v>
      </c>
      <c r="L15029" s="2">
        <v>751</v>
      </c>
    </row>
    <row r="15030" spans="1:12" x14ac:dyDescent="0.25">
      <c r="A15030" s="4" t="str">
        <f>HYPERLINK("http://www.rosaceae.org/Prunus/Prunus_persica/p.persica_gdr_reftransV1_0037057","p.persica_gdr_reftransV1_0037057")</f>
        <v>p.persica_gdr_reftransV1_0037057</v>
      </c>
      <c r="B15030" s="2">
        <v>2676</v>
      </c>
      <c r="C15030" s="4" t="str">
        <f>HYPERLINK("http://www.uniprot.org/uniprot/M5XYM9","M5XYM9")</f>
        <v>M5XYM9</v>
      </c>
      <c r="D15030" s="2" t="s">
        <v>12122</v>
      </c>
      <c r="E15030" s="3">
        <v>0</v>
      </c>
      <c r="F15030" s="2">
        <v>1422</v>
      </c>
      <c r="G15030" s="2">
        <v>100</v>
      </c>
      <c r="H15030" s="2">
        <v>276</v>
      </c>
      <c r="I15030" s="2">
        <v>1479</v>
      </c>
      <c r="J15030" s="2">
        <v>2306</v>
      </c>
      <c r="K15030" s="2">
        <v>33</v>
      </c>
      <c r="L15030" s="2">
        <v>308</v>
      </c>
    </row>
    <row r="15031" spans="1:12" x14ac:dyDescent="0.25">
      <c r="A15031" s="4" t="str">
        <f>HYPERLINK("http://www.rosaceae.org/Prunus/Prunus_persica/p.persica_gdr_reftransV1_0038107","p.persica_gdr_reftransV1_0038107")</f>
        <v>p.persica_gdr_reftransV1_0038107</v>
      </c>
      <c r="B15031" s="2">
        <v>3423</v>
      </c>
      <c r="C15031" s="4" t="str">
        <f>HYPERLINK("http://www.uniprot.org/uniprot/M5VNN9","M5VNN9")</f>
        <v>M5VNN9</v>
      </c>
      <c r="D15031" s="2" t="s">
        <v>12123</v>
      </c>
      <c r="E15031" s="3">
        <v>6.41E-97</v>
      </c>
      <c r="F15031" s="2">
        <v>817</v>
      </c>
      <c r="G15031" s="2">
        <v>92</v>
      </c>
      <c r="H15031" s="2">
        <v>166</v>
      </c>
      <c r="I15031" s="2">
        <v>2520</v>
      </c>
      <c r="J15031" s="2">
        <v>3017</v>
      </c>
      <c r="K15031" s="2">
        <v>64</v>
      </c>
      <c r="L15031" s="2">
        <v>229</v>
      </c>
    </row>
    <row r="15032" spans="1:12" x14ac:dyDescent="0.25">
      <c r="A15032" s="4" t="str">
        <f>HYPERLINK("http://www.rosaceae.org/Prunus/Prunus_persica/p.persica_gdr_reftransV1_0039857","p.persica_gdr_reftransV1_0039857")</f>
        <v>p.persica_gdr_reftransV1_0039857</v>
      </c>
      <c r="B15032" s="2">
        <v>3585</v>
      </c>
      <c r="C15032" s="4" t="str">
        <f>HYPERLINK("http://www.uniprot.org/uniprot/M5XVH3","M5XVH3")</f>
        <v>M5XVH3</v>
      </c>
      <c r="D15032" s="2" t="s">
        <v>12124</v>
      </c>
      <c r="E15032" s="3">
        <v>0</v>
      </c>
      <c r="F15032" s="2">
        <v>4005</v>
      </c>
      <c r="G15032" s="2">
        <v>100</v>
      </c>
      <c r="H15032" s="2">
        <v>803</v>
      </c>
      <c r="I15032" s="2">
        <v>665</v>
      </c>
      <c r="J15032" s="2">
        <v>3073</v>
      </c>
      <c r="K15032" s="2">
        <v>1</v>
      </c>
      <c r="L15032" s="2">
        <v>803</v>
      </c>
    </row>
    <row r="15033" spans="1:12" x14ac:dyDescent="0.25">
      <c r="A15033" s="4" t="str">
        <f>HYPERLINK("http://www.rosaceae.org/Prunus/Prunus_persica/p.persica_gdr_reftransV1_0043007","p.persica_gdr_reftransV1_0043007")</f>
        <v>p.persica_gdr_reftransV1_0043007</v>
      </c>
      <c r="B15033" s="2">
        <v>1783</v>
      </c>
      <c r="C15033" s="4" t="str">
        <f>HYPERLINK("http://www.uniprot.org/uniprot/M5XAZ1","M5XAZ1")</f>
        <v>M5XAZ1</v>
      </c>
      <c r="D15033" s="2" t="s">
        <v>12125</v>
      </c>
      <c r="E15033" s="3">
        <v>0</v>
      </c>
      <c r="F15033" s="2">
        <v>1655</v>
      </c>
      <c r="G15033" s="2">
        <v>99</v>
      </c>
      <c r="H15033" s="2">
        <v>365</v>
      </c>
      <c r="I15033" s="2">
        <v>319</v>
      </c>
      <c r="J15033" s="2">
        <v>1413</v>
      </c>
      <c r="K15033" s="2">
        <v>1</v>
      </c>
      <c r="L15033" s="2">
        <v>365</v>
      </c>
    </row>
    <row r="15034" spans="1:12" x14ac:dyDescent="0.25">
      <c r="A15034" s="4" t="str">
        <f>HYPERLINK("http://www.rosaceae.org/Prunus/Prunus_persica/p.persica_gdr_reftransV1_0043357","p.persica_gdr_reftransV1_0043357")</f>
        <v>p.persica_gdr_reftransV1_0043357</v>
      </c>
      <c r="B15034" s="2">
        <v>1041</v>
      </c>
      <c r="C15034" s="4" t="str">
        <f>HYPERLINK("http://www.uniprot.org/uniprot/M5W0F8","M5W0F8")</f>
        <v>M5W0F8</v>
      </c>
      <c r="D15034" s="2" t="s">
        <v>12126</v>
      </c>
      <c r="E15034" s="3">
        <v>5.7300000000000001E-111</v>
      </c>
      <c r="F15034" s="2">
        <v>852</v>
      </c>
      <c r="G15034" s="2">
        <v>100</v>
      </c>
      <c r="H15034" s="2">
        <v>175</v>
      </c>
      <c r="I15034" s="2">
        <v>447</v>
      </c>
      <c r="J15034" s="2">
        <v>971</v>
      </c>
      <c r="K15034" s="2">
        <v>1</v>
      </c>
      <c r="L15034" s="2">
        <v>175</v>
      </c>
    </row>
    <row r="15035" spans="1:12" x14ac:dyDescent="0.25">
      <c r="A15035" s="4" t="str">
        <f>HYPERLINK("http://www.rosaceae.org/Prunus/Prunus_persica/p.persica_gdr_reftransV1_0043707","p.persica_gdr_reftransV1_0043707")</f>
        <v>p.persica_gdr_reftransV1_0043707</v>
      </c>
      <c r="B15035" s="2">
        <v>528</v>
      </c>
      <c r="C15035" s="4" t="str">
        <f>HYPERLINK("http://www.uniprot.org/uniprot/M5X4H9","M5X4H9")</f>
        <v>M5X4H9</v>
      </c>
      <c r="D15035" s="2" t="s">
        <v>10151</v>
      </c>
      <c r="E15035" s="3">
        <v>6.3499999999999997E-107</v>
      </c>
      <c r="F15035" s="2">
        <v>844</v>
      </c>
      <c r="G15035" s="2">
        <v>100</v>
      </c>
      <c r="H15035" s="2">
        <v>172</v>
      </c>
      <c r="I15035" s="2">
        <v>12</v>
      </c>
      <c r="J15035" s="2">
        <v>527</v>
      </c>
      <c r="K15035" s="2">
        <v>424</v>
      </c>
      <c r="L15035" s="2">
        <v>595</v>
      </c>
    </row>
    <row r="15036" spans="1:12" x14ac:dyDescent="0.25">
      <c r="A15036" s="4" t="str">
        <f>HYPERLINK("http://www.rosaceae.org/Prunus/Prunus_persica/p.persica_gdr_reftransV1_0044057","p.persica_gdr_reftransV1_0044057")</f>
        <v>p.persica_gdr_reftransV1_0044057</v>
      </c>
      <c r="B15036" s="2">
        <v>1270</v>
      </c>
      <c r="C15036" s="4" t="str">
        <f>HYPERLINK("http://www.uniprot.org/uniprot/M5WBL1","M5WBL1")</f>
        <v>M5WBL1</v>
      </c>
      <c r="D15036" s="2" t="s">
        <v>12127</v>
      </c>
      <c r="E15036" s="3">
        <v>5.8900000000000003E-148</v>
      </c>
      <c r="F15036" s="2">
        <v>1112</v>
      </c>
      <c r="G15036" s="2">
        <v>86</v>
      </c>
      <c r="H15036" s="2">
        <v>254</v>
      </c>
      <c r="I15036" s="2">
        <v>324</v>
      </c>
      <c r="J15036" s="2">
        <v>1085</v>
      </c>
      <c r="K15036" s="2">
        <v>1</v>
      </c>
      <c r="L15036" s="2">
        <v>249</v>
      </c>
    </row>
    <row r="15037" spans="1:12" x14ac:dyDescent="0.25">
      <c r="A15037" s="4" t="str">
        <f>HYPERLINK("http://www.rosaceae.org/Prunus/Prunus_persica/p.persica_gdr_reftransV1_0044407","p.persica_gdr_reftransV1_0044407")</f>
        <v>p.persica_gdr_reftransV1_0044407</v>
      </c>
      <c r="B15037" s="2">
        <v>644</v>
      </c>
      <c r="C15037" s="4" t="str">
        <f>HYPERLINK("http://www.uniprot.org/uniprot/M5VN93","M5VN93")</f>
        <v>M5VN93</v>
      </c>
      <c r="D15037" s="2" t="s">
        <v>12128</v>
      </c>
      <c r="E15037" s="3">
        <v>6.5799999999999994E-101</v>
      </c>
      <c r="F15037" s="2">
        <v>789</v>
      </c>
      <c r="G15037" s="2">
        <v>100</v>
      </c>
      <c r="H15037" s="2">
        <v>148</v>
      </c>
      <c r="I15037" s="2">
        <v>199</v>
      </c>
      <c r="J15037" s="2">
        <v>642</v>
      </c>
      <c r="K15037" s="2">
        <v>210</v>
      </c>
      <c r="L15037" s="2">
        <v>357</v>
      </c>
    </row>
    <row r="15038" spans="1:12" x14ac:dyDescent="0.25">
      <c r="A15038" s="4" t="str">
        <f>HYPERLINK("http://www.rosaceae.org/Prunus/Prunus_persica/p.persica_gdr_reftransV1_0044757","p.persica_gdr_reftransV1_0044757")</f>
        <v>p.persica_gdr_reftransV1_0044757</v>
      </c>
      <c r="B15038" s="2">
        <v>2506</v>
      </c>
      <c r="C15038" s="4" t="str">
        <f>HYPERLINK("http://www.uniprot.org/uniprot/M5WQ71","M5WQ71")</f>
        <v>M5WQ71</v>
      </c>
      <c r="D15038" s="2" t="s">
        <v>12129</v>
      </c>
      <c r="E15038" s="3">
        <v>0</v>
      </c>
      <c r="F15038" s="2">
        <v>2415</v>
      </c>
      <c r="G15038" s="2">
        <v>100</v>
      </c>
      <c r="H15038" s="2">
        <v>541</v>
      </c>
      <c r="I15038" s="2">
        <v>583</v>
      </c>
      <c r="J15038" s="2">
        <v>2205</v>
      </c>
      <c r="K15038" s="2">
        <v>36</v>
      </c>
      <c r="L15038" s="2">
        <v>576</v>
      </c>
    </row>
    <row r="15039" spans="1:12" x14ac:dyDescent="0.25">
      <c r="A15039" s="4" t="str">
        <f>HYPERLINK("http://www.rosaceae.org/Prunus/Prunus_persica/p.persica_gdr_reftransV1_0045457","p.persica_gdr_reftransV1_0045457")</f>
        <v>p.persica_gdr_reftransV1_0045457</v>
      </c>
      <c r="B15039" s="2">
        <v>1078</v>
      </c>
      <c r="C15039" s="4" t="str">
        <f>HYPERLINK("http://www.uniprot.org/uniprot/M5WVN9","M5WVN9")</f>
        <v>M5WVN9</v>
      </c>
      <c r="D15039" s="2" t="s">
        <v>12130</v>
      </c>
      <c r="E15039" s="3">
        <v>1.2000000000000001E-132</v>
      </c>
      <c r="F15039" s="2">
        <v>998</v>
      </c>
      <c r="G15039" s="2">
        <v>100</v>
      </c>
      <c r="H15039" s="2">
        <v>187</v>
      </c>
      <c r="I15039" s="2">
        <v>193</v>
      </c>
      <c r="J15039" s="2">
        <v>753</v>
      </c>
      <c r="K15039" s="2">
        <v>1</v>
      </c>
      <c r="L15039" s="2">
        <v>187</v>
      </c>
    </row>
    <row r="15040" spans="1:12" x14ac:dyDescent="0.25">
      <c r="A15040" s="4" t="str">
        <f>HYPERLINK("http://www.rosaceae.org/Prunus/Prunus_persica/p.persica_gdr_reftransV1_0045807","p.persica_gdr_reftransV1_0045807")</f>
        <v>p.persica_gdr_reftransV1_0045807</v>
      </c>
      <c r="B15040" s="2">
        <v>1362</v>
      </c>
      <c r="C15040" s="4" t="str">
        <f>HYPERLINK("http://www.uniprot.org/uniprot/M5W5V6","M5W5V6")</f>
        <v>M5W5V6</v>
      </c>
      <c r="D15040" s="2" t="s">
        <v>2685</v>
      </c>
      <c r="E15040" s="3">
        <v>0</v>
      </c>
      <c r="F15040" s="2">
        <v>1550</v>
      </c>
      <c r="G15040" s="2">
        <v>93</v>
      </c>
      <c r="H15040" s="2">
        <v>426</v>
      </c>
      <c r="I15040" s="2">
        <v>2</v>
      </c>
      <c r="J15040" s="2">
        <v>1279</v>
      </c>
      <c r="K15040" s="2">
        <v>106</v>
      </c>
      <c r="L15040" s="2">
        <v>503</v>
      </c>
    </row>
    <row r="15041" spans="1:12" x14ac:dyDescent="0.25">
      <c r="A15041" s="4" t="str">
        <f>HYPERLINK("http://www.rosaceae.org/Prunus/Prunus_persica/p.persica_gdr_reftransV1_0046157","p.persica_gdr_reftransV1_0046157")</f>
        <v>p.persica_gdr_reftransV1_0046157</v>
      </c>
      <c r="B15041" s="2">
        <v>911</v>
      </c>
      <c r="C15041" s="4" t="str">
        <f>HYPERLINK("http://www.uniprot.org/uniprot/A0A022QWU3","A0A022QWU3")</f>
        <v>A0A022QWU3</v>
      </c>
      <c r="D15041" s="2" t="s">
        <v>12131</v>
      </c>
      <c r="E15041" s="3">
        <v>1.44E-90</v>
      </c>
      <c r="F15041" s="2">
        <v>713</v>
      </c>
      <c r="G15041" s="2">
        <v>98</v>
      </c>
      <c r="H15041" s="2">
        <v>140</v>
      </c>
      <c r="I15041" s="2">
        <v>53</v>
      </c>
      <c r="J15041" s="2">
        <v>472</v>
      </c>
      <c r="K15041" s="2">
        <v>42</v>
      </c>
      <c r="L15041" s="2">
        <v>181</v>
      </c>
    </row>
    <row r="15042" spans="1:12" x14ac:dyDescent="0.25">
      <c r="A15042" s="4" t="str">
        <f>HYPERLINK("http://www.rosaceae.org/Prunus/Prunus_persica/p.persica_gdr_reftransV1_0046507","p.persica_gdr_reftransV1_0046507")</f>
        <v>p.persica_gdr_reftransV1_0046507</v>
      </c>
      <c r="B15042" s="2">
        <v>2131</v>
      </c>
      <c r="C15042" s="4" t="str">
        <f>HYPERLINK("http://www.uniprot.org/uniprot/M5WFC0","M5WFC0")</f>
        <v>M5WFC0</v>
      </c>
      <c r="D15042" s="2" t="s">
        <v>6654</v>
      </c>
      <c r="E15042" s="3">
        <v>0</v>
      </c>
      <c r="F15042" s="2">
        <v>1947</v>
      </c>
      <c r="G15042" s="2">
        <v>100</v>
      </c>
      <c r="H15042" s="2">
        <v>408</v>
      </c>
      <c r="I15042" s="2">
        <v>471</v>
      </c>
      <c r="J15042" s="2">
        <v>1694</v>
      </c>
      <c r="K15042" s="2">
        <v>177</v>
      </c>
      <c r="L15042" s="2">
        <v>584</v>
      </c>
    </row>
    <row r="15043" spans="1:12" x14ac:dyDescent="0.25">
      <c r="A15043" s="4" t="str">
        <f>HYPERLINK("http://www.rosaceae.org/Prunus/Prunus_persica/p.persica_gdr_reftransV1_0046857","p.persica_gdr_reftransV1_0046857")</f>
        <v>p.persica_gdr_reftransV1_0046857</v>
      </c>
      <c r="B15043" s="2">
        <v>1880</v>
      </c>
      <c r="C15043" s="4" t="str">
        <f>HYPERLINK("http://www.uniprot.org/uniprot/M5VX75","M5VX75")</f>
        <v>M5VX75</v>
      </c>
      <c r="D15043" s="2" t="s">
        <v>12132</v>
      </c>
      <c r="E15043" s="3">
        <v>0</v>
      </c>
      <c r="F15043" s="2">
        <v>2532</v>
      </c>
      <c r="G15043" s="2">
        <v>97</v>
      </c>
      <c r="H15043" s="2">
        <v>506</v>
      </c>
      <c r="I15043" s="2">
        <v>3</v>
      </c>
      <c r="J15043" s="2">
        <v>1475</v>
      </c>
      <c r="K15043" s="2">
        <v>16</v>
      </c>
      <c r="L15043" s="2">
        <v>521</v>
      </c>
    </row>
    <row r="15044" spans="1:12" x14ac:dyDescent="0.25">
      <c r="A15044" s="4" t="str">
        <f>HYPERLINK("http://www.rosaceae.org/Prunus/Prunus_persica/p.persica_gdr_reftransV1_0047207","p.persica_gdr_reftransV1_0047207")</f>
        <v>p.persica_gdr_reftransV1_0047207</v>
      </c>
      <c r="B15044" s="2">
        <v>483</v>
      </c>
      <c r="C15044" s="4" t="str">
        <f>HYPERLINK("http://www.uniprot.org/uniprot/I6QKH9","I6QKH9")</f>
        <v>I6QKH9</v>
      </c>
      <c r="D15044" s="2" t="s">
        <v>12133</v>
      </c>
      <c r="E15044" s="3">
        <v>8.2600000000000006E-28</v>
      </c>
      <c r="F15044" s="2">
        <v>275</v>
      </c>
      <c r="G15044" s="2">
        <v>99</v>
      </c>
      <c r="H15044" s="2">
        <v>100</v>
      </c>
      <c r="I15044" s="2">
        <v>148</v>
      </c>
      <c r="J15044" s="2">
        <v>447</v>
      </c>
      <c r="K15044" s="2">
        <v>1</v>
      </c>
      <c r="L15044" s="2">
        <v>100</v>
      </c>
    </row>
    <row r="15045" spans="1:12" x14ac:dyDescent="0.25">
      <c r="A15045" s="4" t="str">
        <f>HYPERLINK("http://www.rosaceae.org/Prunus/Prunus_persica/p.persica_gdr_reftransV1_0047557","p.persica_gdr_reftransV1_0047557")</f>
        <v>p.persica_gdr_reftransV1_0047557</v>
      </c>
      <c r="B15045" s="2">
        <v>2102</v>
      </c>
      <c r="C15045" s="4" t="str">
        <f>HYPERLINK("http://www.uniprot.org/uniprot/M5XLY2","M5XLY2")</f>
        <v>M5XLY2</v>
      </c>
      <c r="D15045" s="2" t="s">
        <v>5217</v>
      </c>
      <c r="E15045" s="3">
        <v>0</v>
      </c>
      <c r="F15045" s="2">
        <v>3100</v>
      </c>
      <c r="G15045" s="2">
        <v>100</v>
      </c>
      <c r="H15045" s="2">
        <v>605</v>
      </c>
      <c r="I15045" s="2">
        <v>287</v>
      </c>
      <c r="J15045" s="2">
        <v>2101</v>
      </c>
      <c r="K15045" s="2">
        <v>25</v>
      </c>
      <c r="L15045" s="2">
        <v>629</v>
      </c>
    </row>
    <row r="15046" spans="1:12" x14ac:dyDescent="0.25">
      <c r="A15046" s="4" t="str">
        <f>HYPERLINK("http://www.rosaceae.org/Prunus/Prunus_persica/p.persica_gdr_reftransV1_0047907","p.persica_gdr_reftransV1_0047907")</f>
        <v>p.persica_gdr_reftransV1_0047907</v>
      </c>
      <c r="B15046" s="2">
        <v>1193</v>
      </c>
      <c r="C15046" s="4" t="str">
        <f>HYPERLINK("http://www.uniprot.org/uniprot/M5XSQ8","M5XSQ8")</f>
        <v>M5XSQ8</v>
      </c>
      <c r="D15046" s="2" t="s">
        <v>12134</v>
      </c>
      <c r="E15046" s="3">
        <v>7.2700000000000002E-93</v>
      </c>
      <c r="F15046" s="2">
        <v>733</v>
      </c>
      <c r="G15046" s="2">
        <v>100</v>
      </c>
      <c r="H15046" s="2">
        <v>138</v>
      </c>
      <c r="I15046" s="2">
        <v>52</v>
      </c>
      <c r="J15046" s="2">
        <v>465</v>
      </c>
      <c r="K15046" s="2">
        <v>1</v>
      </c>
      <c r="L15046" s="2">
        <v>138</v>
      </c>
    </row>
    <row r="15047" spans="1:12" x14ac:dyDescent="0.25">
      <c r="A15047" s="4" t="str">
        <f>HYPERLINK("http://www.rosaceae.org/Prunus/Prunus_persica/p.persica_gdr_reftransV1_0048257","p.persica_gdr_reftransV1_0048257")</f>
        <v>p.persica_gdr_reftransV1_0048257</v>
      </c>
      <c r="B15047" s="2">
        <v>1841</v>
      </c>
      <c r="C15047" s="4" t="str">
        <f>HYPERLINK("http://www.uniprot.org/uniprot/M5VLY1","M5VLY1")</f>
        <v>M5VLY1</v>
      </c>
      <c r="D15047" s="2" t="s">
        <v>12135</v>
      </c>
      <c r="E15047" s="3">
        <v>0</v>
      </c>
      <c r="F15047" s="2">
        <v>2425</v>
      </c>
      <c r="G15047" s="2">
        <v>100</v>
      </c>
      <c r="H15047" s="2">
        <v>485</v>
      </c>
      <c r="I15047" s="2">
        <v>286</v>
      </c>
      <c r="J15047" s="2">
        <v>1740</v>
      </c>
      <c r="K15047" s="2">
        <v>1</v>
      </c>
      <c r="L15047" s="2">
        <v>485</v>
      </c>
    </row>
    <row r="15048" spans="1:12" x14ac:dyDescent="0.25">
      <c r="A15048" s="4" t="str">
        <f>HYPERLINK("http://www.rosaceae.org/Prunus/Prunus_persica/p.persica_gdr_reftransV1_0048607","p.persica_gdr_reftransV1_0048607")</f>
        <v>p.persica_gdr_reftransV1_0048607</v>
      </c>
      <c r="B15048" s="2">
        <v>809</v>
      </c>
      <c r="C15048" s="4" t="str">
        <f>HYPERLINK("http://www.uniprot.org/uniprot/M5XZB8","M5XZB8")</f>
        <v>M5XZB8</v>
      </c>
      <c r="D15048" s="2" t="s">
        <v>12136</v>
      </c>
      <c r="E15048" s="3">
        <v>7.4100000000000006E-92</v>
      </c>
      <c r="F15048" s="2">
        <v>714</v>
      </c>
      <c r="G15048" s="2">
        <v>100</v>
      </c>
      <c r="H15048" s="2">
        <v>135</v>
      </c>
      <c r="I15048" s="2">
        <v>104</v>
      </c>
      <c r="J15048" s="2">
        <v>508</v>
      </c>
      <c r="K15048" s="2">
        <v>1</v>
      </c>
      <c r="L15048" s="2">
        <v>135</v>
      </c>
    </row>
    <row r="15049" spans="1:12" x14ac:dyDescent="0.25">
      <c r="A15049" s="4" t="str">
        <f>HYPERLINK("http://www.rosaceae.org/Prunus/Prunus_persica/p.persica_gdr_reftransV1_0048957","p.persica_gdr_reftransV1_0048957")</f>
        <v>p.persica_gdr_reftransV1_0048957</v>
      </c>
      <c r="B15049" s="2">
        <v>1516</v>
      </c>
      <c r="C15049" s="4" t="str">
        <f>HYPERLINK("http://www.uniprot.org/uniprot/M5W341","M5W341")</f>
        <v>M5W341</v>
      </c>
      <c r="D15049" s="2" t="s">
        <v>12137</v>
      </c>
      <c r="E15049" s="3">
        <v>0</v>
      </c>
      <c r="F15049" s="2">
        <v>2212</v>
      </c>
      <c r="G15049" s="2">
        <v>100</v>
      </c>
      <c r="H15049" s="2">
        <v>418</v>
      </c>
      <c r="I15049" s="2">
        <v>27</v>
      </c>
      <c r="J15049" s="2">
        <v>1280</v>
      </c>
      <c r="K15049" s="2">
        <v>1</v>
      </c>
      <c r="L15049" s="2">
        <v>418</v>
      </c>
    </row>
    <row r="15050" spans="1:12" x14ac:dyDescent="0.25">
      <c r="A15050" s="4" t="str">
        <f>HYPERLINK("http://www.rosaceae.org/Prunus/Prunus_persica/p.persica_gdr_reftransV1_0000308","p.persica_gdr_reftransV1_0000308")</f>
        <v>p.persica_gdr_reftransV1_0000308</v>
      </c>
      <c r="B15050" s="2">
        <v>5197</v>
      </c>
      <c r="C15050" s="4" t="str">
        <f>HYPERLINK("http://www.uniprot.org/uniprot/M5X8I4","M5X8I4")</f>
        <v>M5X8I4</v>
      </c>
      <c r="D15050" s="2" t="s">
        <v>5457</v>
      </c>
      <c r="E15050" s="3">
        <v>0</v>
      </c>
      <c r="F15050" s="2">
        <v>4362</v>
      </c>
      <c r="G15050" s="2">
        <v>99</v>
      </c>
      <c r="H15050" s="2">
        <v>836</v>
      </c>
      <c r="I15050" s="2">
        <v>40</v>
      </c>
      <c r="J15050" s="2">
        <v>2547</v>
      </c>
      <c r="K15050" s="2">
        <v>1</v>
      </c>
      <c r="L15050" s="2">
        <v>836</v>
      </c>
    </row>
    <row r="15051" spans="1:12" x14ac:dyDescent="0.25">
      <c r="A15051" s="4" t="str">
        <f>HYPERLINK("http://www.rosaceae.org/Prunus/Prunus_persica/p.persica_gdr_reftransV1_0000658","p.persica_gdr_reftransV1_0000658")</f>
        <v>p.persica_gdr_reftransV1_0000658</v>
      </c>
      <c r="B15051" s="2">
        <v>671</v>
      </c>
      <c r="C15051" s="4" t="str">
        <f>HYPERLINK("http://www.uniprot.org/uniprot/M5XSF4","M5XSF4")</f>
        <v>M5XSF4</v>
      </c>
      <c r="D15051" s="2" t="s">
        <v>2123</v>
      </c>
      <c r="E15051" s="3">
        <v>6.3700000000000001E-77</v>
      </c>
      <c r="F15051" s="2">
        <v>632</v>
      </c>
      <c r="G15051" s="2">
        <v>100</v>
      </c>
      <c r="H15051" s="2">
        <v>120</v>
      </c>
      <c r="I15051" s="2">
        <v>310</v>
      </c>
      <c r="J15051" s="2">
        <v>669</v>
      </c>
      <c r="K15051" s="2">
        <v>262</v>
      </c>
      <c r="L15051" s="2">
        <v>381</v>
      </c>
    </row>
    <row r="15052" spans="1:12" x14ac:dyDescent="0.25">
      <c r="A15052" s="4" t="str">
        <f>HYPERLINK("http://www.rosaceae.org/Prunus/Prunus_persica/p.persica_gdr_reftransV1_0001008","p.persica_gdr_reftransV1_0001008")</f>
        <v>p.persica_gdr_reftransV1_0001008</v>
      </c>
      <c r="B15052" s="2">
        <v>3122</v>
      </c>
      <c r="C15052" s="4" t="str">
        <f>HYPERLINK("http://www.uniprot.org/uniprot/M5XLP6","M5XLP6")</f>
        <v>M5XLP6</v>
      </c>
      <c r="D15052" s="2" t="s">
        <v>7920</v>
      </c>
      <c r="E15052" s="3">
        <v>0</v>
      </c>
      <c r="F15052" s="2">
        <v>3986</v>
      </c>
      <c r="G15052" s="2">
        <v>100</v>
      </c>
      <c r="H15052" s="2">
        <v>761</v>
      </c>
      <c r="I15052" s="2">
        <v>306</v>
      </c>
      <c r="J15052" s="2">
        <v>2588</v>
      </c>
      <c r="K15052" s="2">
        <v>1</v>
      </c>
      <c r="L15052" s="2">
        <v>761</v>
      </c>
    </row>
    <row r="15053" spans="1:12" x14ac:dyDescent="0.25">
      <c r="A15053" s="4" t="str">
        <f>HYPERLINK("http://www.rosaceae.org/Prunus/Prunus_persica/p.persica_gdr_reftransV1_0001358","p.persica_gdr_reftransV1_0001358")</f>
        <v>p.persica_gdr_reftransV1_0001358</v>
      </c>
      <c r="B15053" s="2">
        <v>2683</v>
      </c>
      <c r="C15053" s="4" t="str">
        <f>HYPERLINK("http://www.uniprot.org/uniprot/U5FM99","U5FM99")</f>
        <v>U5FM99</v>
      </c>
      <c r="D15053" s="2" t="s">
        <v>12138</v>
      </c>
      <c r="E15053" s="3">
        <v>0</v>
      </c>
      <c r="F15053" s="2">
        <v>2784</v>
      </c>
      <c r="G15053" s="2">
        <v>65</v>
      </c>
      <c r="H15053" s="2">
        <v>858</v>
      </c>
      <c r="I15053" s="2">
        <v>68</v>
      </c>
      <c r="J15053" s="2">
        <v>2629</v>
      </c>
      <c r="K15053" s="2">
        <v>44</v>
      </c>
      <c r="L15053" s="2">
        <v>812</v>
      </c>
    </row>
    <row r="15054" spans="1:12" x14ac:dyDescent="0.25">
      <c r="A15054" s="4" t="str">
        <f>HYPERLINK("http://www.rosaceae.org/Prunus/Prunus_persica/p.persica_gdr_reftransV1_0001708","p.persica_gdr_reftransV1_0001708")</f>
        <v>p.persica_gdr_reftransV1_0001708</v>
      </c>
      <c r="B15054" s="2">
        <v>888</v>
      </c>
      <c r="C15054" s="4" t="str">
        <f>HYPERLINK("http://www.uniprot.org/uniprot/M5WI43","M5WI43")</f>
        <v>M5WI43</v>
      </c>
      <c r="D15054" s="2" t="s">
        <v>12139</v>
      </c>
      <c r="E15054" s="3">
        <v>5.4099999999999995E-82</v>
      </c>
      <c r="F15054" s="2">
        <v>653</v>
      </c>
      <c r="G15054" s="2">
        <v>100</v>
      </c>
      <c r="H15054" s="2">
        <v>139</v>
      </c>
      <c r="I15054" s="2">
        <v>368</v>
      </c>
      <c r="J15054" s="2">
        <v>784</v>
      </c>
      <c r="K15054" s="2">
        <v>1</v>
      </c>
      <c r="L15054" s="2">
        <v>139</v>
      </c>
    </row>
    <row r="15055" spans="1:12" x14ac:dyDescent="0.25">
      <c r="A15055" s="4" t="str">
        <f>HYPERLINK("http://www.rosaceae.org/Prunus/Prunus_persica/p.persica_gdr_reftransV1_0002408","p.persica_gdr_reftransV1_0002408")</f>
        <v>p.persica_gdr_reftransV1_0002408</v>
      </c>
      <c r="B15055" s="2">
        <v>1979</v>
      </c>
      <c r="C15055" s="4" t="str">
        <f>HYPERLINK("http://www.uniprot.org/uniprot/M5XJH8","M5XJH8")</f>
        <v>M5XJH8</v>
      </c>
      <c r="D15055" s="2" t="s">
        <v>3695</v>
      </c>
      <c r="E15055" s="3">
        <v>0</v>
      </c>
      <c r="F15055" s="2">
        <v>2321</v>
      </c>
      <c r="G15055" s="2">
        <v>100</v>
      </c>
      <c r="H15055" s="2">
        <v>451</v>
      </c>
      <c r="I15055" s="2">
        <v>391</v>
      </c>
      <c r="J15055" s="2">
        <v>1743</v>
      </c>
      <c r="K15055" s="2">
        <v>1</v>
      </c>
      <c r="L15055" s="2">
        <v>451</v>
      </c>
    </row>
    <row r="15056" spans="1:12" x14ac:dyDescent="0.25">
      <c r="A15056" s="4" t="str">
        <f>HYPERLINK("http://www.rosaceae.org/Prunus/Prunus_persica/p.persica_gdr_reftransV1_0002758","p.persica_gdr_reftransV1_0002758")</f>
        <v>p.persica_gdr_reftransV1_0002758</v>
      </c>
      <c r="B15056" s="2">
        <v>1847</v>
      </c>
      <c r="C15056" s="4" t="str">
        <f>HYPERLINK("http://www.uniprot.org/uniprot/M5X7Z8","M5X7Z8")</f>
        <v>M5X7Z8</v>
      </c>
      <c r="D15056" s="2" t="s">
        <v>12140</v>
      </c>
      <c r="E15056" s="3">
        <v>0</v>
      </c>
      <c r="F15056" s="2">
        <v>2326</v>
      </c>
      <c r="G15056" s="2">
        <v>100</v>
      </c>
      <c r="H15056" s="2">
        <v>445</v>
      </c>
      <c r="I15056" s="2">
        <v>184</v>
      </c>
      <c r="J15056" s="2">
        <v>1518</v>
      </c>
      <c r="K15056" s="2">
        <v>1</v>
      </c>
      <c r="L15056" s="2">
        <v>445</v>
      </c>
    </row>
    <row r="15057" spans="1:12" x14ac:dyDescent="0.25">
      <c r="A15057" s="4" t="str">
        <f>HYPERLINK("http://www.rosaceae.org/Prunus/Prunus_persica/p.persica_gdr_reftransV1_0003108","p.persica_gdr_reftransV1_0003108")</f>
        <v>p.persica_gdr_reftransV1_0003108</v>
      </c>
      <c r="B15057" s="2">
        <v>1468</v>
      </c>
      <c r="C15057" s="4" t="str">
        <f>HYPERLINK("http://www.uniprot.org/uniprot/M5VH60","M5VH60")</f>
        <v>M5VH60</v>
      </c>
      <c r="D15057" s="2" t="s">
        <v>12141</v>
      </c>
      <c r="E15057" s="3">
        <v>0</v>
      </c>
      <c r="F15057" s="2">
        <v>2263</v>
      </c>
      <c r="G15057" s="2">
        <v>100</v>
      </c>
      <c r="H15057" s="2">
        <v>489</v>
      </c>
      <c r="I15057" s="2">
        <v>2</v>
      </c>
      <c r="J15057" s="2">
        <v>1468</v>
      </c>
      <c r="K15057" s="2">
        <v>207</v>
      </c>
      <c r="L15057" s="2">
        <v>695</v>
      </c>
    </row>
    <row r="15058" spans="1:12" x14ac:dyDescent="0.25">
      <c r="A15058" s="4" t="str">
        <f>HYPERLINK("http://www.rosaceae.org/Prunus/Prunus_persica/p.persica_gdr_reftransV1_0003808","p.persica_gdr_reftransV1_0003808")</f>
        <v>p.persica_gdr_reftransV1_0003808</v>
      </c>
      <c r="B15058" s="2">
        <v>1414</v>
      </c>
      <c r="C15058" s="4" t="str">
        <f>HYPERLINK("http://www.uniprot.org/uniprot/M5WBN5","M5WBN5")</f>
        <v>M5WBN5</v>
      </c>
      <c r="D15058" s="2" t="s">
        <v>12142</v>
      </c>
      <c r="E15058" s="3">
        <v>0</v>
      </c>
      <c r="F15058" s="2">
        <v>2058</v>
      </c>
      <c r="G15058" s="2">
        <v>99</v>
      </c>
      <c r="H15058" s="2">
        <v>413</v>
      </c>
      <c r="I15058" s="2">
        <v>15</v>
      </c>
      <c r="J15058" s="2">
        <v>1253</v>
      </c>
      <c r="K15058" s="2">
        <v>1</v>
      </c>
      <c r="L15058" s="2">
        <v>407</v>
      </c>
    </row>
    <row r="15059" spans="1:12" x14ac:dyDescent="0.25">
      <c r="A15059" s="4" t="str">
        <f>HYPERLINK("http://www.rosaceae.org/Prunus/Prunus_persica/p.persica_gdr_reftransV1_0004508","p.persica_gdr_reftransV1_0004508")</f>
        <v>p.persica_gdr_reftransV1_0004508</v>
      </c>
      <c r="B15059" s="2">
        <v>1125</v>
      </c>
      <c r="C15059" s="4" t="str">
        <f>HYPERLINK("http://www.uniprot.org/uniprot/M5WIV6","M5WIV6")</f>
        <v>M5WIV6</v>
      </c>
      <c r="D15059" s="2" t="s">
        <v>12143</v>
      </c>
      <c r="E15059" s="3">
        <v>1.4200000000000001E-101</v>
      </c>
      <c r="F15059" s="2">
        <v>791</v>
      </c>
      <c r="G15059" s="2">
        <v>100</v>
      </c>
      <c r="H15059" s="2">
        <v>150</v>
      </c>
      <c r="I15059" s="2">
        <v>322</v>
      </c>
      <c r="J15059" s="2">
        <v>771</v>
      </c>
      <c r="K15059" s="2">
        <v>12</v>
      </c>
      <c r="L15059" s="2">
        <v>161</v>
      </c>
    </row>
    <row r="15060" spans="1:12" x14ac:dyDescent="0.25">
      <c r="A15060" s="4" t="str">
        <f>HYPERLINK("http://www.rosaceae.org/Prunus/Prunus_persica/p.persica_gdr_reftransV1_0004858","p.persica_gdr_reftransV1_0004858")</f>
        <v>p.persica_gdr_reftransV1_0004858</v>
      </c>
      <c r="B15060" s="2">
        <v>1954</v>
      </c>
      <c r="C15060" s="4" t="str">
        <f>HYPERLINK("http://www.uniprot.org/uniprot/M5XYA1","M5XYA1")</f>
        <v>M5XYA1</v>
      </c>
      <c r="D15060" s="2" t="s">
        <v>12144</v>
      </c>
      <c r="E15060" s="3">
        <v>0</v>
      </c>
      <c r="F15060" s="2">
        <v>1875</v>
      </c>
      <c r="G15060" s="2">
        <v>100</v>
      </c>
      <c r="H15060" s="2">
        <v>376</v>
      </c>
      <c r="I15060" s="2">
        <v>402</v>
      </c>
      <c r="J15060" s="2">
        <v>1529</v>
      </c>
      <c r="K15060" s="2">
        <v>16</v>
      </c>
      <c r="L15060" s="2">
        <v>391</v>
      </c>
    </row>
    <row r="15061" spans="1:12" x14ac:dyDescent="0.25">
      <c r="A15061" s="4" t="str">
        <f>HYPERLINK("http://www.rosaceae.org/Prunus/Prunus_persica/p.persica_gdr_reftransV1_0005208","p.persica_gdr_reftransV1_0005208")</f>
        <v>p.persica_gdr_reftransV1_0005208</v>
      </c>
      <c r="B15061" s="2">
        <v>1713</v>
      </c>
      <c r="C15061" s="4" t="str">
        <f>HYPERLINK("http://www.uniprot.org/uniprot/F2QKY1","F2QKY1")</f>
        <v>F2QKY1</v>
      </c>
      <c r="D15061" s="2" t="s">
        <v>12145</v>
      </c>
      <c r="E15061" s="3">
        <v>1.77E-134</v>
      </c>
      <c r="F15061" s="2">
        <v>1042</v>
      </c>
      <c r="G15061" s="2">
        <v>83</v>
      </c>
      <c r="H15061" s="2">
        <v>303</v>
      </c>
      <c r="I15061" s="2">
        <v>279</v>
      </c>
      <c r="J15061" s="2">
        <v>1175</v>
      </c>
      <c r="K15061" s="2">
        <v>1</v>
      </c>
      <c r="L15061" s="2">
        <v>302</v>
      </c>
    </row>
    <row r="15062" spans="1:12" x14ac:dyDescent="0.25">
      <c r="A15062" s="4" t="str">
        <f>HYPERLINK("http://www.rosaceae.org/Prunus/Prunus_persica/p.persica_gdr_reftransV1_0005558","p.persica_gdr_reftransV1_0005558")</f>
        <v>p.persica_gdr_reftransV1_0005558</v>
      </c>
      <c r="B15062" s="2">
        <v>978</v>
      </c>
      <c r="C15062" s="4" t="str">
        <f>HYPERLINK("http://www.uniprot.org/uniprot/M5X8Y5","M5X8Y5")</f>
        <v>M5X8Y5</v>
      </c>
      <c r="D15062" s="2" t="s">
        <v>12146</v>
      </c>
      <c r="E15062" s="3">
        <v>6.5100000000000002E-170</v>
      </c>
      <c r="F15062" s="2">
        <v>1296</v>
      </c>
      <c r="G15062" s="2">
        <v>100</v>
      </c>
      <c r="H15062" s="2">
        <v>254</v>
      </c>
      <c r="I15062" s="2">
        <v>215</v>
      </c>
      <c r="J15062" s="2">
        <v>976</v>
      </c>
      <c r="K15062" s="2">
        <v>527</v>
      </c>
      <c r="L15062" s="2">
        <v>780</v>
      </c>
    </row>
    <row r="15063" spans="1:12" x14ac:dyDescent="0.25">
      <c r="A15063" s="4" t="str">
        <f>HYPERLINK("http://www.rosaceae.org/Prunus/Prunus_persica/p.persica_gdr_reftransV1_0005908","p.persica_gdr_reftransV1_0005908")</f>
        <v>p.persica_gdr_reftransV1_0005908</v>
      </c>
      <c r="B15063" s="2">
        <v>750</v>
      </c>
      <c r="C15063" s="4" t="str">
        <f>HYPERLINK("http://www.uniprot.org/uniprot/M5XM09","M5XM09")</f>
        <v>M5XM09</v>
      </c>
      <c r="D15063" s="2" t="s">
        <v>12147</v>
      </c>
      <c r="E15063" s="3">
        <v>2.4300000000000001E-137</v>
      </c>
      <c r="F15063" s="2">
        <v>1101</v>
      </c>
      <c r="G15063" s="2">
        <v>83</v>
      </c>
      <c r="H15063" s="2">
        <v>250</v>
      </c>
      <c r="I15063" s="2">
        <v>1</v>
      </c>
      <c r="J15063" s="2">
        <v>750</v>
      </c>
      <c r="K15063" s="2">
        <v>425</v>
      </c>
      <c r="L15063" s="2">
        <v>674</v>
      </c>
    </row>
    <row r="15064" spans="1:12" x14ac:dyDescent="0.25">
      <c r="A15064" s="4" t="str">
        <f>HYPERLINK("http://www.rosaceae.org/Prunus/Prunus_persica/p.persica_gdr_reftransV1_0007308","p.persica_gdr_reftransV1_0007308")</f>
        <v>p.persica_gdr_reftransV1_0007308</v>
      </c>
      <c r="B15064" s="2">
        <v>4718</v>
      </c>
      <c r="C15064" s="4" t="str">
        <f>HYPERLINK("http://www.uniprot.org/uniprot/M5Y3F2","M5Y3F2")</f>
        <v>M5Y3F2</v>
      </c>
      <c r="D15064" s="2" t="s">
        <v>12148</v>
      </c>
      <c r="E15064" s="3">
        <v>0</v>
      </c>
      <c r="F15064" s="2">
        <v>6835</v>
      </c>
      <c r="G15064" s="2">
        <v>99</v>
      </c>
      <c r="H15064" s="2">
        <v>1285</v>
      </c>
      <c r="I15064" s="2">
        <v>320</v>
      </c>
      <c r="J15064" s="2">
        <v>4168</v>
      </c>
      <c r="K15064" s="2">
        <v>1</v>
      </c>
      <c r="L15064" s="2">
        <v>1285</v>
      </c>
    </row>
    <row r="15065" spans="1:12" x14ac:dyDescent="0.25">
      <c r="A15065" s="4" t="str">
        <f>HYPERLINK("http://www.rosaceae.org/Prunus/Prunus_persica/p.persica_gdr_reftransV1_0008358","p.persica_gdr_reftransV1_0008358")</f>
        <v>p.persica_gdr_reftransV1_0008358</v>
      </c>
      <c r="B15065" s="2">
        <v>672</v>
      </c>
      <c r="C15065" s="4" t="str">
        <f>HYPERLINK("http://www.uniprot.org/uniprot/M5WI26","M5WI26")</f>
        <v>M5WI26</v>
      </c>
      <c r="D15065" s="2" t="s">
        <v>12149</v>
      </c>
      <c r="E15065" s="3">
        <v>9.73E-25</v>
      </c>
      <c r="F15065" s="2">
        <v>263</v>
      </c>
      <c r="G15065" s="2">
        <v>89</v>
      </c>
      <c r="H15065" s="2">
        <v>57</v>
      </c>
      <c r="I15065" s="2">
        <v>3</v>
      </c>
      <c r="J15065" s="2">
        <v>173</v>
      </c>
      <c r="K15065" s="2">
        <v>1</v>
      </c>
      <c r="L15065" s="2">
        <v>57</v>
      </c>
    </row>
    <row r="15066" spans="1:12" x14ac:dyDescent="0.25">
      <c r="A15066" s="4" t="str">
        <f>HYPERLINK("http://www.rosaceae.org/Prunus/Prunus_persica/p.persica_gdr_reftransV1_0009408","p.persica_gdr_reftransV1_0009408")</f>
        <v>p.persica_gdr_reftransV1_0009408</v>
      </c>
      <c r="B15066" s="2">
        <v>2267</v>
      </c>
      <c r="C15066" s="4" t="str">
        <f>HYPERLINK("http://www.uniprot.org/uniprot/A0A061E2K3","A0A061E2K3")</f>
        <v>A0A061E2K3</v>
      </c>
      <c r="D15066" s="2" t="s">
        <v>12150</v>
      </c>
      <c r="E15066" s="3">
        <v>0</v>
      </c>
      <c r="F15066" s="2">
        <v>2640</v>
      </c>
      <c r="G15066" s="2">
        <v>84</v>
      </c>
      <c r="H15066" s="2">
        <v>600</v>
      </c>
      <c r="I15066" s="2">
        <v>220</v>
      </c>
      <c r="J15066" s="2">
        <v>2016</v>
      </c>
      <c r="K15066" s="2">
        <v>55</v>
      </c>
      <c r="L15066" s="2">
        <v>652</v>
      </c>
    </row>
    <row r="15067" spans="1:12" x14ac:dyDescent="0.25">
      <c r="A15067" s="4" t="str">
        <f>HYPERLINK("http://www.rosaceae.org/Prunus/Prunus_persica/p.persica_gdr_reftransV1_0009758","p.persica_gdr_reftransV1_0009758")</f>
        <v>p.persica_gdr_reftransV1_0009758</v>
      </c>
      <c r="B15067" s="2">
        <v>1561</v>
      </c>
      <c r="C15067" s="4" t="str">
        <f>HYPERLINK("http://www.uniprot.org/uniprot/M5VMD8","M5VMD8")</f>
        <v>M5VMD8</v>
      </c>
      <c r="D15067" s="2" t="s">
        <v>12151</v>
      </c>
      <c r="E15067" s="3">
        <v>4.7999999999999996E-127</v>
      </c>
      <c r="F15067" s="2">
        <v>1012</v>
      </c>
      <c r="G15067" s="2">
        <v>100</v>
      </c>
      <c r="H15067" s="2">
        <v>304</v>
      </c>
      <c r="I15067" s="2">
        <v>473</v>
      </c>
      <c r="J15067" s="2">
        <v>1384</v>
      </c>
      <c r="K15067" s="2">
        <v>260</v>
      </c>
      <c r="L15067" s="2">
        <v>563</v>
      </c>
    </row>
    <row r="15068" spans="1:12" x14ac:dyDescent="0.25">
      <c r="A15068" s="4" t="str">
        <f>HYPERLINK("http://www.rosaceae.org/Prunus/Prunus_persica/p.persica_gdr_reftransV1_0010458","p.persica_gdr_reftransV1_0010458")</f>
        <v>p.persica_gdr_reftransV1_0010458</v>
      </c>
      <c r="B15068" s="2">
        <v>973</v>
      </c>
      <c r="C15068" s="4" t="str">
        <f>HYPERLINK("http://www.uniprot.org/uniprot/M5W6K6","M5W6K6")</f>
        <v>M5W6K6</v>
      </c>
      <c r="D15068" s="2" t="s">
        <v>12152</v>
      </c>
      <c r="E15068" s="3">
        <v>3.7700000000000001E-163</v>
      </c>
      <c r="F15068" s="2">
        <v>1211</v>
      </c>
      <c r="G15068" s="2">
        <v>100</v>
      </c>
      <c r="H15068" s="2">
        <v>290</v>
      </c>
      <c r="I15068" s="2">
        <v>2</v>
      </c>
      <c r="J15068" s="2">
        <v>871</v>
      </c>
      <c r="K15068" s="2">
        <v>55</v>
      </c>
      <c r="L15068" s="2">
        <v>344</v>
      </c>
    </row>
    <row r="15069" spans="1:12" x14ac:dyDescent="0.25">
      <c r="A15069" s="4" t="str">
        <f>HYPERLINK("http://www.rosaceae.org/Prunus/Prunus_persica/p.persica_gdr_reftransV1_0010808","p.persica_gdr_reftransV1_0010808")</f>
        <v>p.persica_gdr_reftransV1_0010808</v>
      </c>
      <c r="B15069" s="2">
        <v>2584</v>
      </c>
      <c r="C15069" s="4" t="str">
        <f>HYPERLINK("http://www.uniprot.org/uniprot/M5WQE9","M5WQE9")</f>
        <v>M5WQE9</v>
      </c>
      <c r="D15069" s="2" t="s">
        <v>12153</v>
      </c>
      <c r="E15069" s="3">
        <v>0</v>
      </c>
      <c r="F15069" s="2">
        <v>3493</v>
      </c>
      <c r="G15069" s="2">
        <v>100</v>
      </c>
      <c r="H15069" s="2">
        <v>724</v>
      </c>
      <c r="I15069" s="2">
        <v>193</v>
      </c>
      <c r="J15069" s="2">
        <v>2364</v>
      </c>
      <c r="K15069" s="2">
        <v>1</v>
      </c>
      <c r="L15069" s="2">
        <v>724</v>
      </c>
    </row>
    <row r="15070" spans="1:12" x14ac:dyDescent="0.25">
      <c r="A15070" s="4" t="str">
        <f>HYPERLINK("http://www.rosaceae.org/Prunus/Prunus_persica/p.persica_gdr_reftransV1_0011158","p.persica_gdr_reftransV1_0011158")</f>
        <v>p.persica_gdr_reftransV1_0011158</v>
      </c>
      <c r="B15070" s="2">
        <v>1870</v>
      </c>
      <c r="C15070" s="4" t="str">
        <f>HYPERLINK("http://www.uniprot.org/uniprot/M5WI71","M5WI71")</f>
        <v>M5WI71</v>
      </c>
      <c r="D15070" s="2" t="s">
        <v>12154</v>
      </c>
      <c r="E15070" s="3">
        <v>0</v>
      </c>
      <c r="F15070" s="2">
        <v>2579</v>
      </c>
      <c r="G15070" s="2">
        <v>100</v>
      </c>
      <c r="H15070" s="2">
        <v>483</v>
      </c>
      <c r="I15070" s="2">
        <v>87</v>
      </c>
      <c r="J15070" s="2">
        <v>1535</v>
      </c>
      <c r="K15070" s="2">
        <v>1</v>
      </c>
      <c r="L15070" s="2">
        <v>483</v>
      </c>
    </row>
    <row r="15071" spans="1:12" x14ac:dyDescent="0.25">
      <c r="A15071" s="4" t="str">
        <f>HYPERLINK("http://www.rosaceae.org/Prunus/Prunus_persica/p.persica_gdr_reftransV1_0011508","p.persica_gdr_reftransV1_0011508")</f>
        <v>p.persica_gdr_reftransV1_0011508</v>
      </c>
      <c r="B15071" s="2">
        <v>7124</v>
      </c>
      <c r="C15071" s="4" t="str">
        <f>HYPERLINK("http://www.uniprot.org/uniprot/M5WK45","M5WK45")</f>
        <v>M5WK45</v>
      </c>
      <c r="D15071" s="2" t="s">
        <v>12155</v>
      </c>
      <c r="E15071" s="3">
        <v>0</v>
      </c>
      <c r="F15071" s="2">
        <v>10244</v>
      </c>
      <c r="G15071" s="2">
        <v>98</v>
      </c>
      <c r="H15071" s="2">
        <v>2094</v>
      </c>
      <c r="I15071" s="2">
        <v>335</v>
      </c>
      <c r="J15071" s="2">
        <v>6616</v>
      </c>
      <c r="K15071" s="2">
        <v>1</v>
      </c>
      <c r="L15071" s="2">
        <v>2059</v>
      </c>
    </row>
    <row r="15072" spans="1:12" x14ac:dyDescent="0.25">
      <c r="A15072" s="4" t="str">
        <f>HYPERLINK("http://www.rosaceae.org/Prunus/Prunus_persica/p.persica_gdr_reftransV1_0012558","p.persica_gdr_reftransV1_0012558")</f>
        <v>p.persica_gdr_reftransV1_0012558</v>
      </c>
      <c r="B15072" s="2">
        <v>2892</v>
      </c>
      <c r="C15072" s="4" t="str">
        <f>HYPERLINK("http://www.uniprot.org/uniprot/M5VM79","M5VM79")</f>
        <v>M5VM79</v>
      </c>
      <c r="D15072" s="2" t="s">
        <v>12156</v>
      </c>
      <c r="E15072" s="3">
        <v>0</v>
      </c>
      <c r="F15072" s="2">
        <v>1944</v>
      </c>
      <c r="G15072" s="2">
        <v>100</v>
      </c>
      <c r="H15072" s="2">
        <v>388</v>
      </c>
      <c r="I15072" s="2">
        <v>115</v>
      </c>
      <c r="J15072" s="2">
        <v>1278</v>
      </c>
      <c r="K15072" s="2">
        <v>1</v>
      </c>
      <c r="L15072" s="2">
        <v>388</v>
      </c>
    </row>
    <row r="15073" spans="1:12" x14ac:dyDescent="0.25">
      <c r="A15073" s="4" t="str">
        <f>HYPERLINK("http://www.rosaceae.org/Prunus/Prunus_persica/p.persica_gdr_reftransV1_0013958","p.persica_gdr_reftransV1_0013958")</f>
        <v>p.persica_gdr_reftransV1_0013958</v>
      </c>
      <c r="B15073" s="2">
        <v>1924</v>
      </c>
      <c r="C15073" s="4" t="str">
        <f>HYPERLINK("http://www.uniprot.org/uniprot/M5W2M0","M5W2M0")</f>
        <v>M5W2M0</v>
      </c>
      <c r="D15073" s="2" t="s">
        <v>34</v>
      </c>
      <c r="E15073" s="3">
        <v>0</v>
      </c>
      <c r="F15073" s="2">
        <v>2335</v>
      </c>
      <c r="G15073" s="2">
        <v>100</v>
      </c>
      <c r="H15073" s="2">
        <v>433</v>
      </c>
      <c r="I15073" s="2">
        <v>1</v>
      </c>
      <c r="J15073" s="2">
        <v>1299</v>
      </c>
      <c r="K15073" s="2">
        <v>34</v>
      </c>
      <c r="L15073" s="2">
        <v>466</v>
      </c>
    </row>
    <row r="15074" spans="1:12" x14ac:dyDescent="0.25">
      <c r="A15074" s="4" t="str">
        <f>HYPERLINK("http://www.rosaceae.org/Prunus/Prunus_persica/p.persica_gdr_reftransV1_0014308","p.persica_gdr_reftransV1_0014308")</f>
        <v>p.persica_gdr_reftransV1_0014308</v>
      </c>
      <c r="B15074" s="2">
        <v>1539</v>
      </c>
      <c r="C15074" s="4" t="str">
        <f>HYPERLINK("http://www.uniprot.org/uniprot/M5XP39","M5XP39")</f>
        <v>M5XP39</v>
      </c>
      <c r="D15074" s="2" t="s">
        <v>12157</v>
      </c>
      <c r="E15074" s="3">
        <v>1.06E-102</v>
      </c>
      <c r="F15074" s="2">
        <v>819</v>
      </c>
      <c r="G15074" s="2">
        <v>87</v>
      </c>
      <c r="H15074" s="2">
        <v>182</v>
      </c>
      <c r="I15074" s="2">
        <v>741</v>
      </c>
      <c r="J15074" s="2">
        <v>1253</v>
      </c>
      <c r="K15074" s="2">
        <v>56</v>
      </c>
      <c r="L15074" s="2">
        <v>237</v>
      </c>
    </row>
    <row r="15075" spans="1:12" x14ac:dyDescent="0.25">
      <c r="A15075" s="4" t="str">
        <f>HYPERLINK("http://www.rosaceae.org/Prunus/Prunus_persica/p.persica_gdr_reftransV1_0015358","p.persica_gdr_reftransV1_0015358")</f>
        <v>p.persica_gdr_reftransV1_0015358</v>
      </c>
      <c r="B15075" s="2">
        <v>2924</v>
      </c>
      <c r="C15075" s="4" t="str">
        <f>HYPERLINK("http://www.uniprot.org/uniprot/M5X9N4","M5X9N4")</f>
        <v>M5X9N4</v>
      </c>
      <c r="D15075" s="2" t="s">
        <v>12158</v>
      </c>
      <c r="E15075" s="3">
        <v>0</v>
      </c>
      <c r="F15075" s="2">
        <v>3868</v>
      </c>
      <c r="G15075" s="2">
        <v>100</v>
      </c>
      <c r="H15075" s="2">
        <v>733</v>
      </c>
      <c r="I15075" s="2">
        <v>277</v>
      </c>
      <c r="J15075" s="2">
        <v>2475</v>
      </c>
      <c r="K15075" s="2">
        <v>1</v>
      </c>
      <c r="L15075" s="2">
        <v>733</v>
      </c>
    </row>
    <row r="15076" spans="1:12" x14ac:dyDescent="0.25">
      <c r="A15076" s="4" t="str">
        <f>HYPERLINK("http://www.rosaceae.org/Prunus/Prunus_persica/p.persica_gdr_reftransV1_0015708","p.persica_gdr_reftransV1_0015708")</f>
        <v>p.persica_gdr_reftransV1_0015708</v>
      </c>
      <c r="B15076" s="2">
        <v>986</v>
      </c>
      <c r="C15076" s="4" t="str">
        <f>HYPERLINK("http://www.uniprot.org/uniprot/M5W4M3","M5W4M3")</f>
        <v>M5W4M3</v>
      </c>
      <c r="D15076" s="2" t="s">
        <v>12159</v>
      </c>
      <c r="E15076" s="3">
        <v>4.0599999999999996E-133</v>
      </c>
      <c r="F15076" s="2">
        <v>999</v>
      </c>
      <c r="G15076" s="2">
        <v>100</v>
      </c>
      <c r="H15076" s="2">
        <v>202</v>
      </c>
      <c r="I15076" s="2">
        <v>299</v>
      </c>
      <c r="J15076" s="2">
        <v>904</v>
      </c>
      <c r="K15076" s="2">
        <v>1</v>
      </c>
      <c r="L15076" s="2">
        <v>202</v>
      </c>
    </row>
    <row r="15077" spans="1:12" x14ac:dyDescent="0.25">
      <c r="A15077" s="4" t="str">
        <f>HYPERLINK("http://www.rosaceae.org/Prunus/Prunus_persica/p.persica_gdr_reftransV1_0016058","p.persica_gdr_reftransV1_0016058")</f>
        <v>p.persica_gdr_reftransV1_0016058</v>
      </c>
      <c r="B15077" s="2">
        <v>2586</v>
      </c>
      <c r="C15077" s="4" t="str">
        <f>HYPERLINK("http://www.uniprot.org/uniprot/M5W7G3","M5W7G3")</f>
        <v>M5W7G3</v>
      </c>
      <c r="D15077" s="2" t="s">
        <v>12160</v>
      </c>
      <c r="E15077" s="3">
        <v>0</v>
      </c>
      <c r="F15077" s="2">
        <v>3625</v>
      </c>
      <c r="G15077" s="2">
        <v>100</v>
      </c>
      <c r="H15077" s="2">
        <v>689</v>
      </c>
      <c r="I15077" s="2">
        <v>205</v>
      </c>
      <c r="J15077" s="2">
        <v>2271</v>
      </c>
      <c r="K15077" s="2">
        <v>1</v>
      </c>
      <c r="L15077" s="2">
        <v>689</v>
      </c>
    </row>
    <row r="15078" spans="1:12" x14ac:dyDescent="0.25">
      <c r="A15078" s="4" t="str">
        <f>HYPERLINK("http://www.rosaceae.org/Prunus/Prunus_persica/p.persica_gdr_reftransV1_0016758","p.persica_gdr_reftransV1_0016758")</f>
        <v>p.persica_gdr_reftransV1_0016758</v>
      </c>
      <c r="B15078" s="2">
        <v>630</v>
      </c>
      <c r="C15078" s="4" t="str">
        <f>HYPERLINK("http://www.uniprot.org/uniprot/M5XHL9","M5XHL9")</f>
        <v>M5XHL9</v>
      </c>
      <c r="D15078" s="2" t="s">
        <v>12161</v>
      </c>
      <c r="E15078" s="3">
        <v>5.0700000000000001E-33</v>
      </c>
      <c r="F15078" s="2">
        <v>335</v>
      </c>
      <c r="G15078" s="2">
        <v>100</v>
      </c>
      <c r="H15078" s="2">
        <v>103</v>
      </c>
      <c r="I15078" s="2">
        <v>1</v>
      </c>
      <c r="J15078" s="2">
        <v>309</v>
      </c>
      <c r="K15078" s="2">
        <v>374</v>
      </c>
      <c r="L15078" s="2">
        <v>476</v>
      </c>
    </row>
    <row r="15079" spans="1:12" x14ac:dyDescent="0.25">
      <c r="A15079" s="4" t="str">
        <f>HYPERLINK("http://www.rosaceae.org/Prunus/Prunus_persica/p.persica_gdr_reftransV1_0017458","p.persica_gdr_reftransV1_0017458")</f>
        <v>p.persica_gdr_reftransV1_0017458</v>
      </c>
      <c r="B15079" s="2">
        <v>1572</v>
      </c>
      <c r="C15079" s="4" t="str">
        <f>HYPERLINK("http://www.uniprot.org/uniprot/M5WDF4","M5WDF4")</f>
        <v>M5WDF4</v>
      </c>
      <c r="D15079" s="2" t="s">
        <v>12162</v>
      </c>
      <c r="E15079" s="3">
        <v>8.0500000000000001E-73</v>
      </c>
      <c r="F15079" s="2">
        <v>619</v>
      </c>
      <c r="G15079" s="2">
        <v>96</v>
      </c>
      <c r="H15079" s="2">
        <v>120</v>
      </c>
      <c r="I15079" s="2">
        <v>988</v>
      </c>
      <c r="J15079" s="2">
        <v>1347</v>
      </c>
      <c r="K15079" s="2">
        <v>123</v>
      </c>
      <c r="L15079" s="2">
        <v>242</v>
      </c>
    </row>
    <row r="15080" spans="1:12" x14ac:dyDescent="0.25">
      <c r="A15080" s="4" t="str">
        <f>HYPERLINK("http://www.rosaceae.org/Prunus/Prunus_persica/p.persica_gdr_reftransV1_0019558","p.persica_gdr_reftransV1_0019558")</f>
        <v>p.persica_gdr_reftransV1_0019558</v>
      </c>
      <c r="B15080" s="2">
        <v>464</v>
      </c>
      <c r="C15080" s="4" t="str">
        <f>HYPERLINK("http://www.uniprot.org/uniprot/M5WS99","M5WS99")</f>
        <v>M5WS99</v>
      </c>
      <c r="D15080" s="2" t="s">
        <v>812</v>
      </c>
      <c r="E15080" s="3">
        <v>8.45E-106</v>
      </c>
      <c r="F15080" s="2">
        <v>824</v>
      </c>
      <c r="G15080" s="2">
        <v>100</v>
      </c>
      <c r="H15080" s="2">
        <v>154</v>
      </c>
      <c r="I15080" s="2">
        <v>3</v>
      </c>
      <c r="J15080" s="2">
        <v>464</v>
      </c>
      <c r="K15080" s="2">
        <v>121</v>
      </c>
      <c r="L15080" s="2">
        <v>274</v>
      </c>
    </row>
    <row r="15081" spans="1:12" x14ac:dyDescent="0.25">
      <c r="A15081" s="4" t="str">
        <f>HYPERLINK("http://www.rosaceae.org/Prunus/Prunus_persica/p.persica_gdr_reftransV1_0020258","p.persica_gdr_reftransV1_0020258")</f>
        <v>p.persica_gdr_reftransV1_0020258</v>
      </c>
      <c r="B15081" s="2">
        <v>3273</v>
      </c>
      <c r="C15081" s="4" t="str">
        <f>HYPERLINK("http://www.uniprot.org/uniprot/A0A0D2U635","A0A0D2U635")</f>
        <v>A0A0D2U635</v>
      </c>
      <c r="D15081" s="2" t="s">
        <v>12163</v>
      </c>
      <c r="E15081" s="3">
        <v>1.1E-141</v>
      </c>
      <c r="F15081" s="2">
        <v>1152</v>
      </c>
      <c r="G15081" s="2">
        <v>89</v>
      </c>
      <c r="H15081" s="2">
        <v>257</v>
      </c>
      <c r="I15081" s="2">
        <v>342</v>
      </c>
      <c r="J15081" s="2">
        <v>1112</v>
      </c>
      <c r="K15081" s="2">
        <v>98</v>
      </c>
      <c r="L15081" s="2">
        <v>354</v>
      </c>
    </row>
    <row r="15082" spans="1:12" x14ac:dyDescent="0.25">
      <c r="A15082" s="4" t="str">
        <f>HYPERLINK("http://www.rosaceae.org/Prunus/Prunus_persica/p.persica_gdr_reftransV1_0021658","p.persica_gdr_reftransV1_0021658")</f>
        <v>p.persica_gdr_reftransV1_0021658</v>
      </c>
      <c r="B15082" s="2">
        <v>1940</v>
      </c>
      <c r="C15082" s="4" t="str">
        <f>HYPERLINK("http://www.uniprot.org/uniprot/M5XAM9","M5XAM9")</f>
        <v>M5XAM9</v>
      </c>
      <c r="D15082" s="2" t="s">
        <v>7981</v>
      </c>
      <c r="E15082" s="3">
        <v>1.89E-146</v>
      </c>
      <c r="F15082" s="2">
        <v>1151</v>
      </c>
      <c r="G15082" s="2">
        <v>100</v>
      </c>
      <c r="H15082" s="2">
        <v>214</v>
      </c>
      <c r="I15082" s="2">
        <v>355</v>
      </c>
      <c r="J15082" s="2">
        <v>996</v>
      </c>
      <c r="K15082" s="2">
        <v>30</v>
      </c>
      <c r="L15082" s="2">
        <v>243</v>
      </c>
    </row>
    <row r="15083" spans="1:12" x14ac:dyDescent="0.25">
      <c r="A15083" s="4" t="str">
        <f>HYPERLINK("http://www.rosaceae.org/Prunus/Prunus_persica/p.persica_gdr_reftransV1_0022358","p.persica_gdr_reftransV1_0022358")</f>
        <v>p.persica_gdr_reftransV1_0022358</v>
      </c>
      <c r="B15083" s="2">
        <v>2958</v>
      </c>
      <c r="C15083" s="4" t="str">
        <f>HYPERLINK("http://www.uniprot.org/uniprot/M5XRN3","M5XRN3")</f>
        <v>M5XRN3</v>
      </c>
      <c r="D15083" s="2" t="s">
        <v>12164</v>
      </c>
      <c r="E15083" s="3">
        <v>0</v>
      </c>
      <c r="F15083" s="2">
        <v>3914</v>
      </c>
      <c r="G15083" s="2">
        <v>100</v>
      </c>
      <c r="H15083" s="2">
        <v>810</v>
      </c>
      <c r="I15083" s="2">
        <v>350</v>
      </c>
      <c r="J15083" s="2">
        <v>2779</v>
      </c>
      <c r="K15083" s="2">
        <v>4</v>
      </c>
      <c r="L15083" s="2">
        <v>813</v>
      </c>
    </row>
    <row r="15084" spans="1:12" x14ac:dyDescent="0.25">
      <c r="A15084" s="4" t="str">
        <f>HYPERLINK("http://www.rosaceae.org/Prunus/Prunus_persica/p.persica_gdr_reftransV1_0022708","p.persica_gdr_reftransV1_0022708")</f>
        <v>p.persica_gdr_reftransV1_0022708</v>
      </c>
      <c r="B15084" s="2">
        <v>1604</v>
      </c>
      <c r="C15084" s="4" t="str">
        <f>HYPERLINK("http://www.uniprot.org/uniprot/M5X0C7","M5X0C7")</f>
        <v>M5X0C7</v>
      </c>
      <c r="D15084" s="2" t="s">
        <v>12165</v>
      </c>
      <c r="E15084" s="3">
        <v>1.1700000000000001E-174</v>
      </c>
      <c r="F15084" s="2">
        <v>1102</v>
      </c>
      <c r="G15084" s="2">
        <v>100</v>
      </c>
      <c r="H15084" s="2">
        <v>205</v>
      </c>
      <c r="I15084" s="2">
        <v>411</v>
      </c>
      <c r="J15084" s="2">
        <v>1025</v>
      </c>
      <c r="K15084" s="2">
        <v>127</v>
      </c>
      <c r="L15084" s="2">
        <v>331</v>
      </c>
    </row>
    <row r="15085" spans="1:12" x14ac:dyDescent="0.25">
      <c r="A15085" s="4" t="str">
        <f>HYPERLINK("http://www.rosaceae.org/Prunus/Prunus_persica/p.persica_gdr_reftransV1_0024458","p.persica_gdr_reftransV1_0024458")</f>
        <v>p.persica_gdr_reftransV1_0024458</v>
      </c>
      <c r="B15085" s="2">
        <v>3292</v>
      </c>
      <c r="C15085" s="4" t="str">
        <f>HYPERLINK("http://www.uniprot.org/uniprot/M5VL06","M5VL06")</f>
        <v>M5VL06</v>
      </c>
      <c r="D15085" s="2" t="s">
        <v>10340</v>
      </c>
      <c r="E15085" s="3">
        <v>0</v>
      </c>
      <c r="F15085" s="2">
        <v>4555</v>
      </c>
      <c r="G15085" s="2">
        <v>100</v>
      </c>
      <c r="H15085" s="2">
        <v>886</v>
      </c>
      <c r="I15085" s="2">
        <v>221</v>
      </c>
      <c r="J15085" s="2">
        <v>2878</v>
      </c>
      <c r="K15085" s="2">
        <v>1</v>
      </c>
      <c r="L15085" s="2">
        <v>886</v>
      </c>
    </row>
    <row r="15086" spans="1:12" x14ac:dyDescent="0.25">
      <c r="A15086" s="4" t="str">
        <f>HYPERLINK("http://www.rosaceae.org/Prunus/Prunus_persica/p.persica_gdr_reftransV1_0025858","p.persica_gdr_reftransV1_0025858")</f>
        <v>p.persica_gdr_reftransV1_0025858</v>
      </c>
      <c r="B15086" s="2">
        <v>2996</v>
      </c>
      <c r="C15086" s="4" t="str">
        <f>HYPERLINK("http://www.uniprot.org/uniprot/M5W575","M5W575")</f>
        <v>M5W575</v>
      </c>
      <c r="D15086" s="2" t="s">
        <v>11164</v>
      </c>
      <c r="E15086" s="3">
        <v>0</v>
      </c>
      <c r="F15086" s="2">
        <v>4879</v>
      </c>
      <c r="G15086" s="2">
        <v>100</v>
      </c>
      <c r="H15086" s="2">
        <v>918</v>
      </c>
      <c r="I15086" s="2">
        <v>241</v>
      </c>
      <c r="J15086" s="2">
        <v>2994</v>
      </c>
      <c r="K15086" s="2">
        <v>120</v>
      </c>
      <c r="L15086" s="2">
        <v>1037</v>
      </c>
    </row>
    <row r="15087" spans="1:12" x14ac:dyDescent="0.25">
      <c r="A15087" s="4" t="str">
        <f>HYPERLINK("http://www.rosaceae.org/Prunus/Prunus_persica/p.persica_gdr_reftransV1_0029008","p.persica_gdr_reftransV1_0029008")</f>
        <v>p.persica_gdr_reftransV1_0029008</v>
      </c>
      <c r="B15087" s="2">
        <v>2255</v>
      </c>
      <c r="C15087" s="4" t="str">
        <f>HYPERLINK("http://www.uniprot.org/uniprot/M5WSN6","M5WSN6")</f>
        <v>M5WSN6</v>
      </c>
      <c r="D15087" s="2" t="s">
        <v>12166</v>
      </c>
      <c r="E15087" s="3">
        <v>0</v>
      </c>
      <c r="F15087" s="2">
        <v>2534</v>
      </c>
      <c r="G15087" s="2">
        <v>99</v>
      </c>
      <c r="H15087" s="2">
        <v>503</v>
      </c>
      <c r="I15087" s="2">
        <v>495</v>
      </c>
      <c r="J15087" s="2">
        <v>2003</v>
      </c>
      <c r="K15087" s="2">
        <v>15</v>
      </c>
      <c r="L15087" s="2">
        <v>517</v>
      </c>
    </row>
    <row r="15088" spans="1:12" x14ac:dyDescent="0.25">
      <c r="A15088" s="4" t="str">
        <f>HYPERLINK("http://www.rosaceae.org/Prunus/Prunus_persica/p.persica_gdr_reftransV1_0029708","p.persica_gdr_reftransV1_0029708")</f>
        <v>p.persica_gdr_reftransV1_0029708</v>
      </c>
      <c r="B15088" s="2">
        <v>432</v>
      </c>
      <c r="C15088" s="4" t="str">
        <f>HYPERLINK("http://www.uniprot.org/uniprot/M5WNB9","M5WNB9")</f>
        <v>M5WNB9</v>
      </c>
      <c r="D15088" s="2" t="s">
        <v>12167</v>
      </c>
      <c r="E15088" s="3">
        <v>1.2900000000000001E-90</v>
      </c>
      <c r="F15088" s="2">
        <v>752</v>
      </c>
      <c r="G15088" s="2">
        <v>100</v>
      </c>
      <c r="H15088" s="2">
        <v>144</v>
      </c>
      <c r="I15088" s="2">
        <v>1</v>
      </c>
      <c r="J15088" s="2">
        <v>432</v>
      </c>
      <c r="K15088" s="2">
        <v>406</v>
      </c>
      <c r="L15088" s="2">
        <v>549</v>
      </c>
    </row>
    <row r="15089" spans="1:12" x14ac:dyDescent="0.25">
      <c r="A15089" s="4" t="str">
        <f>HYPERLINK("http://www.rosaceae.org/Prunus/Prunus_persica/p.persica_gdr_reftransV1_0033208","p.persica_gdr_reftransV1_0033208")</f>
        <v>p.persica_gdr_reftransV1_0033208</v>
      </c>
      <c r="B15089" s="2">
        <v>729</v>
      </c>
      <c r="C15089" s="4" t="str">
        <f>HYPERLINK("http://www.uniprot.org/uniprot/W9SI02","W9SI02")</f>
        <v>W9SI02</v>
      </c>
      <c r="D15089" s="2" t="s">
        <v>5180</v>
      </c>
      <c r="E15089" s="3">
        <v>4.7400000000000002E-110</v>
      </c>
      <c r="F15089" s="2">
        <v>868</v>
      </c>
      <c r="G15089" s="2">
        <v>73</v>
      </c>
      <c r="H15089" s="2">
        <v>243</v>
      </c>
      <c r="I15089" s="2">
        <v>1</v>
      </c>
      <c r="J15089" s="2">
        <v>729</v>
      </c>
      <c r="K15089" s="2">
        <v>99</v>
      </c>
      <c r="L15089" s="2">
        <v>341</v>
      </c>
    </row>
    <row r="15090" spans="1:12" x14ac:dyDescent="0.25">
      <c r="A15090" s="4" t="str">
        <f>HYPERLINK("http://www.rosaceae.org/Prunus/Prunus_persica/p.persica_gdr_reftransV1_0033908","p.persica_gdr_reftransV1_0033908")</f>
        <v>p.persica_gdr_reftransV1_0033908</v>
      </c>
      <c r="B15090" s="2">
        <v>918</v>
      </c>
      <c r="C15090" s="4" t="str">
        <f>HYPERLINK("http://www.uniprot.org/uniprot/M5X6D4","M5X6D4")</f>
        <v>M5X6D4</v>
      </c>
      <c r="D15090" s="2" t="s">
        <v>12168</v>
      </c>
      <c r="E15090" s="3">
        <v>1.8099999999999999E-103</v>
      </c>
      <c r="F15090" s="2">
        <v>796</v>
      </c>
      <c r="G15090" s="2">
        <v>100</v>
      </c>
      <c r="H15090" s="2">
        <v>151</v>
      </c>
      <c r="I15090" s="2">
        <v>406</v>
      </c>
      <c r="J15090" s="2">
        <v>858</v>
      </c>
      <c r="K15090" s="2">
        <v>1</v>
      </c>
      <c r="L15090" s="2">
        <v>151</v>
      </c>
    </row>
    <row r="15091" spans="1:12" x14ac:dyDescent="0.25">
      <c r="A15091" s="4" t="str">
        <f>HYPERLINK("http://www.rosaceae.org/Prunus/Prunus_persica/p.persica_gdr_reftransV1_0038808","p.persica_gdr_reftransV1_0038808")</f>
        <v>p.persica_gdr_reftransV1_0038808</v>
      </c>
      <c r="B15091" s="2">
        <v>476</v>
      </c>
      <c r="C15091" s="4" t="str">
        <f>HYPERLINK("http://www.uniprot.org/uniprot/M5W894","M5W894")</f>
        <v>M5W894</v>
      </c>
      <c r="D15091" s="2" t="s">
        <v>3631</v>
      </c>
      <c r="E15091" s="3">
        <v>1.2700000000000001E-62</v>
      </c>
      <c r="F15091" s="2">
        <v>549</v>
      </c>
      <c r="G15091" s="2">
        <v>89</v>
      </c>
      <c r="H15091" s="2">
        <v>132</v>
      </c>
      <c r="I15091" s="2">
        <v>64</v>
      </c>
      <c r="J15091" s="2">
        <v>459</v>
      </c>
      <c r="K15091" s="2">
        <v>622</v>
      </c>
      <c r="L15091" s="2">
        <v>750</v>
      </c>
    </row>
    <row r="15092" spans="1:12" x14ac:dyDescent="0.25">
      <c r="A15092" s="4" t="str">
        <f>HYPERLINK("http://www.rosaceae.org/Prunus/Prunus_persica/p.persica_gdr_reftransV1_0041258","p.persica_gdr_reftransV1_0041258")</f>
        <v>p.persica_gdr_reftransV1_0041258</v>
      </c>
      <c r="B15092" s="2">
        <v>2729</v>
      </c>
      <c r="C15092" s="4" t="str">
        <f>HYPERLINK("http://www.uniprot.org/uniprot/M5W8M5","M5W8M5")</f>
        <v>M5W8M5</v>
      </c>
      <c r="D15092" s="2" t="s">
        <v>12169</v>
      </c>
      <c r="E15092" s="3">
        <v>0</v>
      </c>
      <c r="F15092" s="2">
        <v>2864</v>
      </c>
      <c r="G15092" s="2">
        <v>100</v>
      </c>
      <c r="H15092" s="2">
        <v>610</v>
      </c>
      <c r="I15092" s="2">
        <v>357</v>
      </c>
      <c r="J15092" s="2">
        <v>2186</v>
      </c>
      <c r="K15092" s="2">
        <v>1</v>
      </c>
      <c r="L15092" s="2">
        <v>610</v>
      </c>
    </row>
    <row r="15093" spans="1:12" x14ac:dyDescent="0.25">
      <c r="A15093" s="4" t="str">
        <f>HYPERLINK("http://www.rosaceae.org/Prunus/Prunus_persica/p.persica_gdr_reftransV1_0043008","p.persica_gdr_reftransV1_0043008")</f>
        <v>p.persica_gdr_reftransV1_0043008</v>
      </c>
      <c r="B15093" s="2">
        <v>1609</v>
      </c>
      <c r="C15093" s="4" t="str">
        <f>HYPERLINK("http://www.uniprot.org/uniprot/M5WG04","M5WG04")</f>
        <v>M5WG04</v>
      </c>
      <c r="D15093" s="2" t="s">
        <v>12170</v>
      </c>
      <c r="E15093" s="3">
        <v>0</v>
      </c>
      <c r="F15093" s="2">
        <v>1509</v>
      </c>
      <c r="G15093" s="2">
        <v>100</v>
      </c>
      <c r="H15093" s="2">
        <v>342</v>
      </c>
      <c r="I15093" s="2">
        <v>80</v>
      </c>
      <c r="J15093" s="2">
        <v>1105</v>
      </c>
      <c r="K15093" s="2">
        <v>1</v>
      </c>
      <c r="L15093" s="2">
        <v>342</v>
      </c>
    </row>
    <row r="15094" spans="1:12" x14ac:dyDescent="0.25">
      <c r="A15094" s="4" t="str">
        <f>HYPERLINK("http://www.rosaceae.org/Prunus/Prunus_persica/p.persica_gdr_reftransV1_0043358","p.persica_gdr_reftransV1_0043358")</f>
        <v>p.persica_gdr_reftransV1_0043358</v>
      </c>
      <c r="B15094" s="2">
        <v>2138</v>
      </c>
      <c r="C15094" s="4" t="str">
        <f>HYPERLINK("http://www.uniprot.org/uniprot/M5WH94","M5WH94")</f>
        <v>M5WH94</v>
      </c>
      <c r="D15094" s="2" t="s">
        <v>12171</v>
      </c>
      <c r="E15094" s="3">
        <v>0</v>
      </c>
      <c r="F15094" s="2">
        <v>2840</v>
      </c>
      <c r="G15094" s="2">
        <v>100</v>
      </c>
      <c r="H15094" s="2">
        <v>568</v>
      </c>
      <c r="I15094" s="2">
        <v>103</v>
      </c>
      <c r="J15094" s="2">
        <v>1806</v>
      </c>
      <c r="K15094" s="2">
        <v>1</v>
      </c>
      <c r="L15094" s="2">
        <v>568</v>
      </c>
    </row>
    <row r="15095" spans="1:12" x14ac:dyDescent="0.25">
      <c r="A15095" s="4" t="str">
        <f>HYPERLINK("http://www.rosaceae.org/Prunus/Prunus_persica/p.persica_gdr_reftransV1_0043708","p.persica_gdr_reftransV1_0043708")</f>
        <v>p.persica_gdr_reftransV1_0043708</v>
      </c>
      <c r="B15095" s="2">
        <v>1321</v>
      </c>
      <c r="C15095" s="4" t="str">
        <f>HYPERLINK("http://www.uniprot.org/uniprot/M5VYT3","M5VYT3")</f>
        <v>M5VYT3</v>
      </c>
      <c r="D15095" s="2" t="s">
        <v>12172</v>
      </c>
      <c r="E15095" s="3">
        <v>0</v>
      </c>
      <c r="F15095" s="2">
        <v>1717</v>
      </c>
      <c r="G15095" s="2">
        <v>100</v>
      </c>
      <c r="H15095" s="2">
        <v>361</v>
      </c>
      <c r="I15095" s="2">
        <v>213</v>
      </c>
      <c r="J15095" s="2">
        <v>1295</v>
      </c>
      <c r="K15095" s="2">
        <v>1</v>
      </c>
      <c r="L15095" s="2">
        <v>361</v>
      </c>
    </row>
    <row r="15096" spans="1:12" x14ac:dyDescent="0.25">
      <c r="A15096" s="4" t="str">
        <f>HYPERLINK("http://www.rosaceae.org/Prunus/Prunus_persica/p.persica_gdr_reftransV1_0044058","p.persica_gdr_reftransV1_0044058")</f>
        <v>p.persica_gdr_reftransV1_0044058</v>
      </c>
      <c r="B15096" s="2">
        <v>1250</v>
      </c>
      <c r="C15096" s="4" t="str">
        <f>HYPERLINK("http://www.uniprot.org/uniprot/D6N0W3","D6N0W3")</f>
        <v>D6N0W3</v>
      </c>
      <c r="D15096" s="2" t="s">
        <v>6543</v>
      </c>
      <c r="E15096" s="3">
        <v>0</v>
      </c>
      <c r="F15096" s="2">
        <v>1424</v>
      </c>
      <c r="G15096" s="2">
        <v>99</v>
      </c>
      <c r="H15096" s="2">
        <v>288</v>
      </c>
      <c r="I15096" s="2">
        <v>1</v>
      </c>
      <c r="J15096" s="2">
        <v>864</v>
      </c>
      <c r="K15096" s="2">
        <v>99</v>
      </c>
      <c r="L15096" s="2">
        <v>386</v>
      </c>
    </row>
    <row r="15097" spans="1:12" x14ac:dyDescent="0.25">
      <c r="A15097" s="4" t="str">
        <f>HYPERLINK("http://www.rosaceae.org/Prunus/Prunus_persica/p.persica_gdr_reftransV1_0044408","p.persica_gdr_reftransV1_0044408")</f>
        <v>p.persica_gdr_reftransV1_0044408</v>
      </c>
      <c r="B15097" s="2">
        <v>1989</v>
      </c>
      <c r="C15097" s="4" t="str">
        <f>HYPERLINK("http://www.uniprot.org/uniprot/M5WX16","M5WX16")</f>
        <v>M5WX16</v>
      </c>
      <c r="D15097" s="2" t="s">
        <v>3521</v>
      </c>
      <c r="E15097" s="3">
        <v>0</v>
      </c>
      <c r="F15097" s="2">
        <v>2912</v>
      </c>
      <c r="G15097" s="2">
        <v>100</v>
      </c>
      <c r="H15097" s="2">
        <v>544</v>
      </c>
      <c r="I15097" s="2">
        <v>3</v>
      </c>
      <c r="J15097" s="2">
        <v>1634</v>
      </c>
      <c r="K15097" s="2">
        <v>212</v>
      </c>
      <c r="L15097" s="2">
        <v>755</v>
      </c>
    </row>
    <row r="15098" spans="1:12" x14ac:dyDescent="0.25">
      <c r="A15098" s="4" t="str">
        <f>HYPERLINK("http://www.rosaceae.org/Prunus/Prunus_persica/p.persica_gdr_reftransV1_0044758","p.persica_gdr_reftransV1_0044758")</f>
        <v>p.persica_gdr_reftransV1_0044758</v>
      </c>
      <c r="B15098" s="2">
        <v>3938</v>
      </c>
      <c r="C15098" s="4" t="str">
        <f>HYPERLINK("http://www.uniprot.org/uniprot/M5Y1U4","M5Y1U4")</f>
        <v>M5Y1U4</v>
      </c>
      <c r="D15098" s="2" t="s">
        <v>7860</v>
      </c>
      <c r="E15098" s="3">
        <v>0</v>
      </c>
      <c r="F15098" s="2">
        <v>6412</v>
      </c>
      <c r="G15098" s="2">
        <v>100</v>
      </c>
      <c r="H15098" s="2">
        <v>1259</v>
      </c>
      <c r="I15098" s="2">
        <v>2</v>
      </c>
      <c r="J15098" s="2">
        <v>3778</v>
      </c>
      <c r="K15098" s="2">
        <v>209</v>
      </c>
      <c r="L15098" s="2">
        <v>1467</v>
      </c>
    </row>
    <row r="15099" spans="1:12" x14ac:dyDescent="0.25">
      <c r="A15099" s="4" t="str">
        <f>HYPERLINK("http://www.rosaceae.org/Prunus/Prunus_persica/p.persica_gdr_reftransV1_0045458","p.persica_gdr_reftransV1_0045458")</f>
        <v>p.persica_gdr_reftransV1_0045458</v>
      </c>
      <c r="B15099" s="2">
        <v>948</v>
      </c>
      <c r="C15099" s="4" t="str">
        <f>HYPERLINK("http://www.uniprot.org/uniprot/M5XD64","M5XD64")</f>
        <v>M5XD64</v>
      </c>
      <c r="D15099" s="2" t="s">
        <v>2308</v>
      </c>
      <c r="E15099" s="3">
        <v>2.1699999999999998E-143</v>
      </c>
      <c r="F15099" s="2">
        <v>1072</v>
      </c>
      <c r="G15099" s="2">
        <v>100</v>
      </c>
      <c r="H15099" s="2">
        <v>204</v>
      </c>
      <c r="I15099" s="2">
        <v>335</v>
      </c>
      <c r="J15099" s="2">
        <v>946</v>
      </c>
      <c r="K15099" s="2">
        <v>64</v>
      </c>
      <c r="L15099" s="2">
        <v>267</v>
      </c>
    </row>
    <row r="15100" spans="1:12" x14ac:dyDescent="0.25">
      <c r="A15100" s="4" t="str">
        <f>HYPERLINK("http://www.rosaceae.org/Prunus/Prunus_persica/p.persica_gdr_reftransV1_0045808","p.persica_gdr_reftransV1_0045808")</f>
        <v>p.persica_gdr_reftransV1_0045808</v>
      </c>
      <c r="B15100" s="2">
        <v>1395</v>
      </c>
      <c r="C15100" s="4" t="str">
        <f>HYPERLINK("http://www.uniprot.org/uniprot/M5WN48","M5WN48")</f>
        <v>M5WN48</v>
      </c>
      <c r="D15100" s="2" t="s">
        <v>12173</v>
      </c>
      <c r="E15100" s="3">
        <v>4.9899999999999999E-161</v>
      </c>
      <c r="F15100" s="2">
        <v>1202</v>
      </c>
      <c r="G15100" s="2">
        <v>100</v>
      </c>
      <c r="H15100" s="2">
        <v>225</v>
      </c>
      <c r="I15100" s="2">
        <v>465</v>
      </c>
      <c r="J15100" s="2">
        <v>1139</v>
      </c>
      <c r="K15100" s="2">
        <v>23</v>
      </c>
      <c r="L15100" s="2">
        <v>247</v>
      </c>
    </row>
    <row r="15101" spans="1:12" x14ac:dyDescent="0.25">
      <c r="A15101" s="4" t="str">
        <f>HYPERLINK("http://www.rosaceae.org/Prunus/Prunus_persica/p.persica_gdr_reftransV1_0046158","p.persica_gdr_reftransV1_0046158")</f>
        <v>p.persica_gdr_reftransV1_0046158</v>
      </c>
      <c r="B15101" s="2">
        <v>642</v>
      </c>
      <c r="C15101" s="4" t="str">
        <f>HYPERLINK("http://www.uniprot.org/uniprot/D7T5Q9","D7T5Q9")</f>
        <v>D7T5Q9</v>
      </c>
      <c r="D15101" s="2" t="s">
        <v>12174</v>
      </c>
      <c r="E15101" s="3">
        <v>3.2800000000000002E-95</v>
      </c>
      <c r="F15101" s="2">
        <v>735</v>
      </c>
      <c r="G15101" s="2">
        <v>94</v>
      </c>
      <c r="H15101" s="2">
        <v>145</v>
      </c>
      <c r="I15101" s="2">
        <v>206</v>
      </c>
      <c r="J15101" s="2">
        <v>640</v>
      </c>
      <c r="K15101" s="2">
        <v>41</v>
      </c>
      <c r="L15101" s="2">
        <v>185</v>
      </c>
    </row>
    <row r="15102" spans="1:12" x14ac:dyDescent="0.25">
      <c r="A15102" s="4" t="str">
        <f>HYPERLINK("http://www.rosaceae.org/Prunus/Prunus_persica/p.persica_gdr_reftransV1_0046858","p.persica_gdr_reftransV1_0046858")</f>
        <v>p.persica_gdr_reftransV1_0046858</v>
      </c>
      <c r="B15102" s="2">
        <v>2182</v>
      </c>
      <c r="C15102" s="4" t="str">
        <f>HYPERLINK("http://www.uniprot.org/uniprot/M5WHH3","M5WHH3")</f>
        <v>M5WHH3</v>
      </c>
      <c r="D15102" s="2" t="s">
        <v>12175</v>
      </c>
      <c r="E15102" s="3">
        <v>0</v>
      </c>
      <c r="F15102" s="2">
        <v>2835</v>
      </c>
      <c r="G15102" s="2">
        <v>96</v>
      </c>
      <c r="H15102" s="2">
        <v>550</v>
      </c>
      <c r="I15102" s="2">
        <v>237</v>
      </c>
      <c r="J15102" s="2">
        <v>1886</v>
      </c>
      <c r="K15102" s="2">
        <v>1</v>
      </c>
      <c r="L15102" s="2">
        <v>530</v>
      </c>
    </row>
    <row r="15103" spans="1:12" x14ac:dyDescent="0.25">
      <c r="A15103" s="4" t="str">
        <f>HYPERLINK("http://www.rosaceae.org/Prunus/Prunus_persica/p.persica_gdr_reftransV1_0047558","p.persica_gdr_reftransV1_0047558")</f>
        <v>p.persica_gdr_reftransV1_0047558</v>
      </c>
      <c r="B15103" s="2">
        <v>446</v>
      </c>
      <c r="C15103" s="4" t="str">
        <f>HYPERLINK("http://www.uniprot.org/uniprot/M5XPQ6","M5XPQ6")</f>
        <v>M5XPQ6</v>
      </c>
      <c r="D15103" s="2" t="s">
        <v>4716</v>
      </c>
      <c r="E15103" s="3">
        <v>1.97E-74</v>
      </c>
      <c r="F15103" s="2">
        <v>606</v>
      </c>
      <c r="G15103" s="2">
        <v>100</v>
      </c>
      <c r="H15103" s="2">
        <v>128</v>
      </c>
      <c r="I15103" s="2">
        <v>62</v>
      </c>
      <c r="J15103" s="2">
        <v>445</v>
      </c>
      <c r="K15103" s="2">
        <v>241</v>
      </c>
      <c r="L15103" s="2">
        <v>368</v>
      </c>
    </row>
    <row r="15104" spans="1:12" x14ac:dyDescent="0.25">
      <c r="A15104" s="4" t="str">
        <f>HYPERLINK("http://www.rosaceae.org/Prunus/Prunus_persica/p.persica_gdr_reftransV1_0047908","p.persica_gdr_reftransV1_0047908")</f>
        <v>p.persica_gdr_reftransV1_0047908</v>
      </c>
      <c r="B15104" s="2">
        <v>891</v>
      </c>
      <c r="C15104" s="4" t="str">
        <f>HYPERLINK("http://www.uniprot.org/uniprot/M5WWZ4","M5WWZ4")</f>
        <v>M5WWZ4</v>
      </c>
      <c r="D15104" s="2" t="s">
        <v>10543</v>
      </c>
      <c r="E15104" s="3">
        <v>6.0900000000000001E-96</v>
      </c>
      <c r="F15104" s="2">
        <v>786</v>
      </c>
      <c r="G15104" s="2">
        <v>100</v>
      </c>
      <c r="H15104" s="2">
        <v>167</v>
      </c>
      <c r="I15104" s="2">
        <v>259</v>
      </c>
      <c r="J15104" s="2">
        <v>759</v>
      </c>
      <c r="K15104" s="2">
        <v>449</v>
      </c>
      <c r="L15104" s="2">
        <v>615</v>
      </c>
    </row>
    <row r="15105" spans="1:12" x14ac:dyDescent="0.25">
      <c r="A15105" s="4" t="str">
        <f>HYPERLINK("http://www.rosaceae.org/Prunus/Prunus_persica/p.persica_gdr_reftransV1_0048258","p.persica_gdr_reftransV1_0048258")</f>
        <v>p.persica_gdr_reftransV1_0048258</v>
      </c>
      <c r="B15105" s="2">
        <v>344</v>
      </c>
      <c r="C15105" s="4" t="str">
        <f>HYPERLINK("http://www.uniprot.org/uniprot/M5X567","M5X567")</f>
        <v>M5X567</v>
      </c>
      <c r="D15105" s="2" t="s">
        <v>886</v>
      </c>
      <c r="E15105" s="3">
        <v>8.5100000000000004E-63</v>
      </c>
      <c r="F15105" s="2">
        <v>537</v>
      </c>
      <c r="G15105" s="2">
        <v>100</v>
      </c>
      <c r="H15105" s="2">
        <v>114</v>
      </c>
      <c r="I15105" s="2">
        <v>3</v>
      </c>
      <c r="J15105" s="2">
        <v>344</v>
      </c>
      <c r="K15105" s="2">
        <v>362</v>
      </c>
      <c r="L15105" s="2">
        <v>475</v>
      </c>
    </row>
    <row r="15106" spans="1:12" x14ac:dyDescent="0.25">
      <c r="A15106" s="4" t="str">
        <f>HYPERLINK("http://www.rosaceae.org/Prunus/Prunus_persica/p.persica_gdr_reftransV1_0048608","p.persica_gdr_reftransV1_0048608")</f>
        <v>p.persica_gdr_reftransV1_0048608</v>
      </c>
      <c r="B15106" s="2">
        <v>1146</v>
      </c>
      <c r="C15106" s="4" t="str">
        <f>HYPERLINK("http://www.uniprot.org/uniprot/M5WYR7","M5WYR7")</f>
        <v>M5WYR7</v>
      </c>
      <c r="D15106" s="2" t="s">
        <v>8174</v>
      </c>
      <c r="E15106" s="3">
        <v>0</v>
      </c>
      <c r="F15106" s="2">
        <v>1910</v>
      </c>
      <c r="G15106" s="2">
        <v>100</v>
      </c>
      <c r="H15106" s="2">
        <v>370</v>
      </c>
      <c r="I15106" s="2">
        <v>36</v>
      </c>
      <c r="J15106" s="2">
        <v>1145</v>
      </c>
      <c r="K15106" s="2">
        <v>1</v>
      </c>
      <c r="L15106" s="2">
        <v>370</v>
      </c>
    </row>
    <row r="15107" spans="1:12" x14ac:dyDescent="0.25">
      <c r="A15107" s="4" t="str">
        <f>HYPERLINK("http://www.rosaceae.org/Prunus/Prunus_persica/p.persica_gdr_reftransV1_0048958","p.persica_gdr_reftransV1_0048958")</f>
        <v>p.persica_gdr_reftransV1_0048958</v>
      </c>
      <c r="B15107" s="2">
        <v>2149</v>
      </c>
      <c r="C15107" s="4" t="str">
        <f>HYPERLINK("http://www.uniprot.org/uniprot/I1U4K7","I1U4K7")</f>
        <v>I1U4K7</v>
      </c>
      <c r="D15107" s="2" t="s">
        <v>12176</v>
      </c>
      <c r="E15107" s="3">
        <v>0</v>
      </c>
      <c r="F15107" s="2">
        <v>2688</v>
      </c>
      <c r="G15107" s="2">
        <v>100</v>
      </c>
      <c r="H15107" s="2">
        <v>596</v>
      </c>
      <c r="I15107" s="2">
        <v>301</v>
      </c>
      <c r="J15107" s="2">
        <v>2088</v>
      </c>
      <c r="K15107" s="2">
        <v>1</v>
      </c>
      <c r="L15107" s="2">
        <v>596</v>
      </c>
    </row>
    <row r="15108" spans="1:12" x14ac:dyDescent="0.25">
      <c r="A15108" s="4" t="str">
        <f>HYPERLINK("http://www.rosaceae.org/Prunus/Prunus_persica/p.persica_gdr_reftransV1_0000309","p.persica_gdr_reftransV1_0000309")</f>
        <v>p.persica_gdr_reftransV1_0000309</v>
      </c>
      <c r="B15108" s="2">
        <v>956</v>
      </c>
      <c r="C15108" s="4" t="str">
        <f>HYPERLINK("http://www.uniprot.org/uniprot/M5W153","M5W153")</f>
        <v>M5W153</v>
      </c>
      <c r="D15108" s="2" t="s">
        <v>12177</v>
      </c>
      <c r="E15108" s="3">
        <v>5.7499999999999997E-121</v>
      </c>
      <c r="F15108" s="2">
        <v>918</v>
      </c>
      <c r="G15108" s="2">
        <v>99</v>
      </c>
      <c r="H15108" s="2">
        <v>203</v>
      </c>
      <c r="I15108" s="2">
        <v>228</v>
      </c>
      <c r="J15108" s="2">
        <v>830</v>
      </c>
      <c r="K15108" s="2">
        <v>1</v>
      </c>
      <c r="L15108" s="2">
        <v>203</v>
      </c>
    </row>
    <row r="15109" spans="1:12" x14ac:dyDescent="0.25">
      <c r="A15109" s="4" t="str">
        <f>HYPERLINK("http://www.rosaceae.org/Prunus/Prunus_persica/p.persica_gdr_reftransV1_0001009","p.persica_gdr_reftransV1_0001009")</f>
        <v>p.persica_gdr_reftransV1_0001009</v>
      </c>
      <c r="B15109" s="2">
        <v>2778</v>
      </c>
      <c r="C15109" s="4" t="str">
        <f>HYPERLINK("http://www.uniprot.org/uniprot/M5XVM6","M5XVM6")</f>
        <v>M5XVM6</v>
      </c>
      <c r="D15109" s="2" t="s">
        <v>3190</v>
      </c>
      <c r="E15109" s="3">
        <v>0</v>
      </c>
      <c r="F15109" s="2">
        <v>3160</v>
      </c>
      <c r="G15109" s="2">
        <v>100</v>
      </c>
      <c r="H15109" s="2">
        <v>601</v>
      </c>
      <c r="I15109" s="2">
        <v>838</v>
      </c>
      <c r="J15109" s="2">
        <v>2640</v>
      </c>
      <c r="K15109" s="2">
        <v>22</v>
      </c>
      <c r="L15109" s="2">
        <v>622</v>
      </c>
    </row>
    <row r="15110" spans="1:12" x14ac:dyDescent="0.25">
      <c r="A15110" s="4" t="str">
        <f>HYPERLINK("http://www.rosaceae.org/Prunus/Prunus_persica/p.persica_gdr_reftransV1_0001709","p.persica_gdr_reftransV1_0001709")</f>
        <v>p.persica_gdr_reftransV1_0001709</v>
      </c>
      <c r="B15110" s="2">
        <v>890</v>
      </c>
      <c r="C15110" s="4" t="str">
        <f>HYPERLINK("http://www.uniprot.org/uniprot/A0A059ABY0","A0A059ABY0")</f>
        <v>A0A059ABY0</v>
      </c>
      <c r="D15110" s="2" t="s">
        <v>12178</v>
      </c>
      <c r="E15110" s="3">
        <v>3.1600000000000002E-129</v>
      </c>
      <c r="F15110" s="2">
        <v>1001</v>
      </c>
      <c r="G15110" s="2">
        <v>82</v>
      </c>
      <c r="H15110" s="2">
        <v>233</v>
      </c>
      <c r="I15110" s="2">
        <v>190</v>
      </c>
      <c r="J15110" s="2">
        <v>888</v>
      </c>
      <c r="K15110" s="2">
        <v>26</v>
      </c>
      <c r="L15110" s="2">
        <v>257</v>
      </c>
    </row>
    <row r="15111" spans="1:12" x14ac:dyDescent="0.25">
      <c r="A15111" s="4" t="str">
        <f>HYPERLINK("http://www.rosaceae.org/Prunus/Prunus_persica/p.persica_gdr_reftransV1_0002409","p.persica_gdr_reftransV1_0002409")</f>
        <v>p.persica_gdr_reftransV1_0002409</v>
      </c>
      <c r="B15111" s="2">
        <v>5599</v>
      </c>
      <c r="C15111" s="4" t="str">
        <f>HYPERLINK("http://www.uniprot.org/uniprot/M5X747","M5X747")</f>
        <v>M5X747</v>
      </c>
      <c r="D15111" s="2" t="s">
        <v>7120</v>
      </c>
      <c r="E15111" s="3">
        <v>0</v>
      </c>
      <c r="F15111" s="2">
        <v>8582</v>
      </c>
      <c r="G15111" s="2">
        <v>99</v>
      </c>
      <c r="H15111" s="2">
        <v>1780</v>
      </c>
      <c r="I15111" s="2">
        <v>1</v>
      </c>
      <c r="J15111" s="2">
        <v>5310</v>
      </c>
      <c r="K15111" s="2">
        <v>143</v>
      </c>
      <c r="L15111" s="2">
        <v>1922</v>
      </c>
    </row>
    <row r="15112" spans="1:12" x14ac:dyDescent="0.25">
      <c r="A15112" s="4" t="str">
        <f>HYPERLINK("http://www.rosaceae.org/Prunus/Prunus_persica/p.persica_gdr_reftransV1_0002759","p.persica_gdr_reftransV1_0002759")</f>
        <v>p.persica_gdr_reftransV1_0002759</v>
      </c>
      <c r="B15112" s="2">
        <v>789</v>
      </c>
      <c r="C15112" s="4" t="str">
        <f>HYPERLINK("http://www.uniprot.org/uniprot/M5XBV7","M5XBV7")</f>
        <v>M5XBV7</v>
      </c>
      <c r="D15112" s="2" t="s">
        <v>12179</v>
      </c>
      <c r="E15112" s="3">
        <v>2.3400000000000001E-129</v>
      </c>
      <c r="F15112" s="2">
        <v>991</v>
      </c>
      <c r="G15112" s="2">
        <v>100</v>
      </c>
      <c r="H15112" s="2">
        <v>183</v>
      </c>
      <c r="I15112" s="2">
        <v>3</v>
      </c>
      <c r="J15112" s="2">
        <v>551</v>
      </c>
      <c r="K15112" s="2">
        <v>270</v>
      </c>
      <c r="L15112" s="2">
        <v>452</v>
      </c>
    </row>
    <row r="15113" spans="1:12" x14ac:dyDescent="0.25">
      <c r="A15113" s="4" t="str">
        <f>HYPERLINK("http://www.rosaceae.org/Prunus/Prunus_persica/p.persica_gdr_reftransV1_0003109","p.persica_gdr_reftransV1_0003109")</f>
        <v>p.persica_gdr_reftransV1_0003109</v>
      </c>
      <c r="B15113" s="2">
        <v>9772</v>
      </c>
      <c r="C15113" s="4" t="str">
        <f>HYPERLINK("http://www.uniprot.org/uniprot/L8ECQ8","L8ECQ8")</f>
        <v>L8ECQ8</v>
      </c>
      <c r="D15113" s="2" t="s">
        <v>12180</v>
      </c>
      <c r="E15113" s="3">
        <v>0</v>
      </c>
      <c r="F15113" s="2">
        <v>16405</v>
      </c>
      <c r="G15113" s="2">
        <v>99</v>
      </c>
      <c r="H15113" s="2">
        <v>3140</v>
      </c>
      <c r="I15113" s="2">
        <v>131</v>
      </c>
      <c r="J15113" s="2">
        <v>9550</v>
      </c>
      <c r="K15113" s="2">
        <v>1</v>
      </c>
      <c r="L15113" s="2">
        <v>3140</v>
      </c>
    </row>
    <row r="15114" spans="1:12" x14ac:dyDescent="0.25">
      <c r="A15114" s="4" t="str">
        <f>HYPERLINK("http://www.rosaceae.org/Prunus/Prunus_persica/p.persica_gdr_reftransV1_0003459","p.persica_gdr_reftransV1_0003459")</f>
        <v>p.persica_gdr_reftransV1_0003459</v>
      </c>
      <c r="B15114" s="2">
        <v>784</v>
      </c>
      <c r="C15114" s="4" t="str">
        <f>HYPERLINK("http://www.uniprot.org/uniprot/M5WV79","M5WV79")</f>
        <v>M5WV79</v>
      </c>
      <c r="D15114" s="2" t="s">
        <v>486</v>
      </c>
      <c r="E15114" s="3">
        <v>3.5200000000000002E-146</v>
      </c>
      <c r="F15114" s="2">
        <v>1079</v>
      </c>
      <c r="G15114" s="2">
        <v>100</v>
      </c>
      <c r="H15114" s="2">
        <v>206</v>
      </c>
      <c r="I15114" s="2">
        <v>120</v>
      </c>
      <c r="J15114" s="2">
        <v>737</v>
      </c>
      <c r="K15114" s="2">
        <v>10</v>
      </c>
      <c r="L15114" s="2">
        <v>215</v>
      </c>
    </row>
    <row r="15115" spans="1:12" x14ac:dyDescent="0.25">
      <c r="A15115" s="4" t="str">
        <f>HYPERLINK("http://www.rosaceae.org/Prunus/Prunus_persica/p.persica_gdr_reftransV1_0003809","p.persica_gdr_reftransV1_0003809")</f>
        <v>p.persica_gdr_reftransV1_0003809</v>
      </c>
      <c r="B15115" s="2">
        <v>685</v>
      </c>
      <c r="C15115" s="4" t="str">
        <f>HYPERLINK("http://www.uniprot.org/uniprot/W9R6D4","W9R6D4")</f>
        <v>W9R6D4</v>
      </c>
      <c r="D15115" s="2" t="s">
        <v>12181</v>
      </c>
      <c r="E15115" s="3">
        <v>2.07E-40</v>
      </c>
      <c r="F15115" s="2">
        <v>393</v>
      </c>
      <c r="G15115" s="2">
        <v>54</v>
      </c>
      <c r="H15115" s="2">
        <v>178</v>
      </c>
      <c r="I15115" s="2">
        <v>134</v>
      </c>
      <c r="J15115" s="2">
        <v>655</v>
      </c>
      <c r="K15115" s="2">
        <v>4</v>
      </c>
      <c r="L15115" s="2">
        <v>174</v>
      </c>
    </row>
    <row r="15116" spans="1:12" x14ac:dyDescent="0.25">
      <c r="A15116" s="4" t="str">
        <f>HYPERLINK("http://www.rosaceae.org/Prunus/Prunus_persica/p.persica_gdr_reftransV1_0004509","p.persica_gdr_reftransV1_0004509")</f>
        <v>p.persica_gdr_reftransV1_0004509</v>
      </c>
      <c r="B15116" s="2">
        <v>5016</v>
      </c>
      <c r="C15116" s="4" t="str">
        <f>HYPERLINK("http://www.uniprot.org/uniprot/M5WK76","M5WK76")</f>
        <v>M5WK76</v>
      </c>
      <c r="D15116" s="2" t="s">
        <v>12182</v>
      </c>
      <c r="E15116" s="3">
        <v>0</v>
      </c>
      <c r="F15116" s="2">
        <v>6934</v>
      </c>
      <c r="G15116" s="2">
        <v>96</v>
      </c>
      <c r="H15116" s="2">
        <v>1479</v>
      </c>
      <c r="I15116" s="2">
        <v>348</v>
      </c>
      <c r="J15116" s="2">
        <v>4784</v>
      </c>
      <c r="K15116" s="2">
        <v>1</v>
      </c>
      <c r="L15116" s="2">
        <v>1477</v>
      </c>
    </row>
    <row r="15117" spans="1:12" x14ac:dyDescent="0.25">
      <c r="A15117" s="4" t="str">
        <f>HYPERLINK("http://www.rosaceae.org/Prunus/Prunus_persica/p.persica_gdr_reftransV1_0004859","p.persica_gdr_reftransV1_0004859")</f>
        <v>p.persica_gdr_reftransV1_0004859</v>
      </c>
      <c r="B15117" s="2">
        <v>3049</v>
      </c>
      <c r="C15117" s="4" t="str">
        <f>HYPERLINK("http://www.uniprot.org/uniprot/M5XV55","M5XV55")</f>
        <v>M5XV55</v>
      </c>
      <c r="D15117" s="2" t="s">
        <v>12183</v>
      </c>
      <c r="E15117" s="3">
        <v>0</v>
      </c>
      <c r="F15117" s="2">
        <v>1959</v>
      </c>
      <c r="G15117" s="2">
        <v>100</v>
      </c>
      <c r="H15117" s="2">
        <v>364</v>
      </c>
      <c r="I15117" s="2">
        <v>1004</v>
      </c>
      <c r="J15117" s="2">
        <v>2095</v>
      </c>
      <c r="K15117" s="2">
        <v>1</v>
      </c>
      <c r="L15117" s="2">
        <v>364</v>
      </c>
    </row>
    <row r="15118" spans="1:12" x14ac:dyDescent="0.25">
      <c r="A15118" s="4" t="str">
        <f>HYPERLINK("http://www.rosaceae.org/Prunus/Prunus_persica/p.persica_gdr_reftransV1_0005209","p.persica_gdr_reftransV1_0005209")</f>
        <v>p.persica_gdr_reftransV1_0005209</v>
      </c>
      <c r="B15118" s="2">
        <v>3354</v>
      </c>
      <c r="C15118" s="4" t="str">
        <f>HYPERLINK("http://www.uniprot.org/uniprot/M5WLX0","M5WLX0")</f>
        <v>M5WLX0</v>
      </c>
      <c r="D15118" s="2" t="s">
        <v>12184</v>
      </c>
      <c r="E15118" s="3">
        <v>0</v>
      </c>
      <c r="F15118" s="2">
        <v>3150</v>
      </c>
      <c r="G15118" s="2">
        <v>100</v>
      </c>
      <c r="H15118" s="2">
        <v>607</v>
      </c>
      <c r="I15118" s="2">
        <v>23</v>
      </c>
      <c r="J15118" s="2">
        <v>1843</v>
      </c>
      <c r="K15118" s="2">
        <v>1</v>
      </c>
      <c r="L15118" s="2">
        <v>607</v>
      </c>
    </row>
    <row r="15119" spans="1:12" x14ac:dyDescent="0.25">
      <c r="A15119" s="4" t="str">
        <f>HYPERLINK("http://www.rosaceae.org/Prunus/Prunus_persica/p.persica_gdr_reftransV1_0006959","p.persica_gdr_reftransV1_0006959")</f>
        <v>p.persica_gdr_reftransV1_0006959</v>
      </c>
      <c r="B15119" s="2">
        <v>2053</v>
      </c>
      <c r="C15119" s="4" t="str">
        <f>HYPERLINK("http://www.uniprot.org/uniprot/M5XSC3","M5XSC3")</f>
        <v>M5XSC3</v>
      </c>
      <c r="D15119" s="2" t="s">
        <v>1330</v>
      </c>
      <c r="E15119" s="3">
        <v>0</v>
      </c>
      <c r="F15119" s="2">
        <v>3127</v>
      </c>
      <c r="G15119" s="2">
        <v>95</v>
      </c>
      <c r="H15119" s="2">
        <v>621</v>
      </c>
      <c r="I15119" s="2">
        <v>191</v>
      </c>
      <c r="J15119" s="2">
        <v>2053</v>
      </c>
      <c r="K15119" s="2">
        <v>597</v>
      </c>
      <c r="L15119" s="2">
        <v>1201</v>
      </c>
    </row>
    <row r="15120" spans="1:12" x14ac:dyDescent="0.25">
      <c r="A15120" s="4" t="str">
        <f>HYPERLINK("http://www.rosaceae.org/Prunus/Prunus_persica/p.persica_gdr_reftransV1_0007309","p.persica_gdr_reftransV1_0007309")</f>
        <v>p.persica_gdr_reftransV1_0007309</v>
      </c>
      <c r="B15120" s="2">
        <v>740</v>
      </c>
      <c r="C15120" s="4" t="str">
        <f>HYPERLINK("http://www.uniprot.org/uniprot/M5VZ92","M5VZ92")</f>
        <v>M5VZ92</v>
      </c>
      <c r="D15120" s="2" t="s">
        <v>12185</v>
      </c>
      <c r="E15120" s="3">
        <v>7.1399999999999997E-76</v>
      </c>
      <c r="F15120" s="2">
        <v>623</v>
      </c>
      <c r="G15120" s="2">
        <v>100</v>
      </c>
      <c r="H15120" s="2">
        <v>117</v>
      </c>
      <c r="I15120" s="2">
        <v>2</v>
      </c>
      <c r="J15120" s="2">
        <v>352</v>
      </c>
      <c r="K15120" s="2">
        <v>205</v>
      </c>
      <c r="L15120" s="2">
        <v>321</v>
      </c>
    </row>
    <row r="15121" spans="1:12" x14ac:dyDescent="0.25">
      <c r="A15121" s="4" t="str">
        <f>HYPERLINK("http://www.rosaceae.org/Prunus/Prunus_persica/p.persica_gdr_reftransV1_0008009","p.persica_gdr_reftransV1_0008009")</f>
        <v>p.persica_gdr_reftransV1_0008009</v>
      </c>
      <c r="B15121" s="2">
        <v>3057</v>
      </c>
      <c r="C15121" s="4" t="str">
        <f>HYPERLINK("http://www.uniprot.org/uniprot/M5XZ58","M5XZ58")</f>
        <v>M5XZ58</v>
      </c>
      <c r="D15121" s="2" t="s">
        <v>12186</v>
      </c>
      <c r="E15121" s="3">
        <v>0</v>
      </c>
      <c r="F15121" s="2">
        <v>2328</v>
      </c>
      <c r="G15121" s="2">
        <v>100</v>
      </c>
      <c r="H15121" s="2">
        <v>452</v>
      </c>
      <c r="I15121" s="2">
        <v>458</v>
      </c>
      <c r="J15121" s="2">
        <v>1813</v>
      </c>
      <c r="K15121" s="2">
        <v>1</v>
      </c>
      <c r="L15121" s="2">
        <v>452</v>
      </c>
    </row>
    <row r="15122" spans="1:12" x14ac:dyDescent="0.25">
      <c r="A15122" s="4" t="str">
        <f>HYPERLINK("http://www.rosaceae.org/Prunus/Prunus_persica/p.persica_gdr_reftransV1_0008359","p.persica_gdr_reftransV1_0008359")</f>
        <v>p.persica_gdr_reftransV1_0008359</v>
      </c>
      <c r="B15122" s="2">
        <v>1600</v>
      </c>
      <c r="C15122" s="4" t="str">
        <f>HYPERLINK("http://www.uniprot.org/uniprot/M5XDX3","M5XDX3")</f>
        <v>M5XDX3</v>
      </c>
      <c r="D15122" s="2" t="s">
        <v>12187</v>
      </c>
      <c r="E15122" s="3">
        <v>0</v>
      </c>
      <c r="F15122" s="2">
        <v>2094</v>
      </c>
      <c r="G15122" s="2">
        <v>100</v>
      </c>
      <c r="H15122" s="2">
        <v>423</v>
      </c>
      <c r="I15122" s="2">
        <v>227</v>
      </c>
      <c r="J15122" s="2">
        <v>1495</v>
      </c>
      <c r="K15122" s="2">
        <v>1</v>
      </c>
      <c r="L15122" s="2">
        <v>423</v>
      </c>
    </row>
    <row r="15123" spans="1:12" x14ac:dyDescent="0.25">
      <c r="A15123" s="4" t="str">
        <f>HYPERLINK("http://www.rosaceae.org/Prunus/Prunus_persica/p.persica_gdr_reftransV1_0009059","p.persica_gdr_reftransV1_0009059")</f>
        <v>p.persica_gdr_reftransV1_0009059</v>
      </c>
      <c r="B15123" s="2">
        <v>3845</v>
      </c>
      <c r="C15123" s="4" t="str">
        <f>HYPERLINK("http://www.uniprot.org/uniprot/M5X010","M5X010")</f>
        <v>M5X010</v>
      </c>
      <c r="D15123" s="2" t="s">
        <v>12188</v>
      </c>
      <c r="E15123" s="3">
        <v>2.15E-108</v>
      </c>
      <c r="F15123" s="2">
        <v>916</v>
      </c>
      <c r="G15123" s="2">
        <v>95</v>
      </c>
      <c r="H15123" s="2">
        <v>222</v>
      </c>
      <c r="I15123" s="2">
        <v>1472</v>
      </c>
      <c r="J15123" s="2">
        <v>2137</v>
      </c>
      <c r="K15123" s="2">
        <v>137</v>
      </c>
      <c r="L15123" s="2">
        <v>358</v>
      </c>
    </row>
    <row r="15124" spans="1:12" x14ac:dyDescent="0.25">
      <c r="A15124" s="4" t="str">
        <f>HYPERLINK("http://www.rosaceae.org/Prunus/Prunus_persica/p.persica_gdr_reftransV1_0009409","p.persica_gdr_reftransV1_0009409")</f>
        <v>p.persica_gdr_reftransV1_0009409</v>
      </c>
      <c r="B15124" s="2">
        <v>796</v>
      </c>
      <c r="C15124" s="4" t="str">
        <f>HYPERLINK("http://www.uniprot.org/uniprot/M5WG76","M5WG76")</f>
        <v>M5WG76</v>
      </c>
      <c r="D15124" s="2" t="s">
        <v>12189</v>
      </c>
      <c r="E15124" s="3">
        <v>6.1300000000000002E-29</v>
      </c>
      <c r="F15124" s="2">
        <v>309</v>
      </c>
      <c r="G15124" s="2">
        <v>73</v>
      </c>
      <c r="H15124" s="2">
        <v>105</v>
      </c>
      <c r="I15124" s="2">
        <v>1</v>
      </c>
      <c r="J15124" s="2">
        <v>279</v>
      </c>
      <c r="K15124" s="2">
        <v>345</v>
      </c>
      <c r="L15124" s="2">
        <v>449</v>
      </c>
    </row>
    <row r="15125" spans="1:12" x14ac:dyDescent="0.25">
      <c r="A15125" s="4" t="str">
        <f>HYPERLINK("http://www.rosaceae.org/Prunus/Prunus_persica/p.persica_gdr_reftransV1_0009759","p.persica_gdr_reftransV1_0009759")</f>
        <v>p.persica_gdr_reftransV1_0009759</v>
      </c>
      <c r="B15125" s="2">
        <v>3401</v>
      </c>
      <c r="C15125" s="4" t="str">
        <f>HYPERLINK("http://www.uniprot.org/uniprot/M5W8D7","M5W8D7")</f>
        <v>M5W8D7</v>
      </c>
      <c r="D15125" s="2" t="s">
        <v>12190</v>
      </c>
      <c r="E15125" s="3">
        <v>0</v>
      </c>
      <c r="F15125" s="2">
        <v>4601</v>
      </c>
      <c r="G15125" s="2">
        <v>100</v>
      </c>
      <c r="H15125" s="2">
        <v>891</v>
      </c>
      <c r="I15125" s="2">
        <v>300</v>
      </c>
      <c r="J15125" s="2">
        <v>2972</v>
      </c>
      <c r="K15125" s="2">
        <v>1</v>
      </c>
      <c r="L15125" s="2">
        <v>891</v>
      </c>
    </row>
    <row r="15126" spans="1:12" x14ac:dyDescent="0.25">
      <c r="A15126" s="4" t="str">
        <f>HYPERLINK("http://www.rosaceae.org/Prunus/Prunus_persica/p.persica_gdr_reftransV1_0010459","p.persica_gdr_reftransV1_0010459")</f>
        <v>p.persica_gdr_reftransV1_0010459</v>
      </c>
      <c r="B15126" s="2">
        <v>599</v>
      </c>
      <c r="C15126" s="4" t="str">
        <f>HYPERLINK("http://www.uniprot.org/uniprot/M5XL42","M5XL42")</f>
        <v>M5XL42</v>
      </c>
      <c r="D15126" s="2" t="s">
        <v>10281</v>
      </c>
      <c r="E15126" s="3">
        <v>7.1799999999999996E-92</v>
      </c>
      <c r="F15126" s="2">
        <v>774</v>
      </c>
      <c r="G15126" s="2">
        <v>100</v>
      </c>
      <c r="H15126" s="2">
        <v>164</v>
      </c>
      <c r="I15126" s="2">
        <v>34</v>
      </c>
      <c r="J15126" s="2">
        <v>525</v>
      </c>
      <c r="K15126" s="2">
        <v>1</v>
      </c>
      <c r="L15126" s="2">
        <v>164</v>
      </c>
    </row>
    <row r="15127" spans="1:12" x14ac:dyDescent="0.25">
      <c r="A15127" s="4" t="str">
        <f>HYPERLINK("http://www.rosaceae.org/Prunus/Prunus_persica/p.persica_gdr_reftransV1_0011159","p.persica_gdr_reftransV1_0011159")</f>
        <v>p.persica_gdr_reftransV1_0011159</v>
      </c>
      <c r="B15127" s="2">
        <v>791</v>
      </c>
      <c r="C15127" s="4" t="str">
        <f>HYPERLINK("http://www.uniprot.org/uniprot/M5WK68","M5WK68")</f>
        <v>M5WK68</v>
      </c>
      <c r="D15127" s="2" t="s">
        <v>5538</v>
      </c>
      <c r="E15127" s="3">
        <v>1.76E-31</v>
      </c>
      <c r="F15127" s="2">
        <v>331</v>
      </c>
      <c r="G15127" s="2">
        <v>95</v>
      </c>
      <c r="H15127" s="2">
        <v>77</v>
      </c>
      <c r="I15127" s="2">
        <v>175</v>
      </c>
      <c r="J15127" s="2">
        <v>405</v>
      </c>
      <c r="K15127" s="2">
        <v>4</v>
      </c>
      <c r="L15127" s="2">
        <v>80</v>
      </c>
    </row>
    <row r="15128" spans="1:12" x14ac:dyDescent="0.25">
      <c r="A15128" s="4" t="str">
        <f>HYPERLINK("http://www.rosaceae.org/Prunus/Prunus_persica/p.persica_gdr_reftransV1_0011509","p.persica_gdr_reftransV1_0011509")</f>
        <v>p.persica_gdr_reftransV1_0011509</v>
      </c>
      <c r="B15128" s="2">
        <v>1103</v>
      </c>
      <c r="C15128" s="4" t="str">
        <f>HYPERLINK("http://www.uniprot.org/uniprot/M5WYI9","M5WYI9")</f>
        <v>M5WYI9</v>
      </c>
      <c r="D15128" s="2" t="s">
        <v>8764</v>
      </c>
      <c r="E15128" s="3">
        <v>0</v>
      </c>
      <c r="F15128" s="2">
        <v>1984</v>
      </c>
      <c r="G15128" s="2">
        <v>100</v>
      </c>
      <c r="H15128" s="2">
        <v>367</v>
      </c>
      <c r="I15128" s="2">
        <v>1</v>
      </c>
      <c r="J15128" s="2">
        <v>1101</v>
      </c>
      <c r="K15128" s="2">
        <v>6</v>
      </c>
      <c r="L15128" s="2">
        <v>372</v>
      </c>
    </row>
    <row r="15129" spans="1:12" x14ac:dyDescent="0.25">
      <c r="A15129" s="4" t="str">
        <f>HYPERLINK("http://www.rosaceae.org/Prunus/Prunus_persica/p.persica_gdr_reftransV1_0011859","p.persica_gdr_reftransV1_0011859")</f>
        <v>p.persica_gdr_reftransV1_0011859</v>
      </c>
      <c r="B15129" s="2">
        <v>5411</v>
      </c>
      <c r="C15129" s="4" t="str">
        <f>HYPERLINK("http://www.uniprot.org/uniprot/M5WGE4","M5WGE4")</f>
        <v>M5WGE4</v>
      </c>
      <c r="D15129" s="2" t="s">
        <v>12191</v>
      </c>
      <c r="E15129" s="3">
        <v>0</v>
      </c>
      <c r="F15129" s="2">
        <v>4310</v>
      </c>
      <c r="G15129" s="2">
        <v>100</v>
      </c>
      <c r="H15129" s="2">
        <v>836</v>
      </c>
      <c r="I15129" s="2">
        <v>2669</v>
      </c>
      <c r="J15129" s="2">
        <v>5176</v>
      </c>
      <c r="K15129" s="2">
        <v>1</v>
      </c>
      <c r="L15129" s="2">
        <v>836</v>
      </c>
    </row>
    <row r="15130" spans="1:12" x14ac:dyDescent="0.25">
      <c r="A15130" s="4" t="str">
        <f>HYPERLINK("http://www.rosaceae.org/Prunus/Prunus_persica/p.persica_gdr_reftransV1_0012209","p.persica_gdr_reftransV1_0012209")</f>
        <v>p.persica_gdr_reftransV1_0012209</v>
      </c>
      <c r="B15130" s="2">
        <v>2895</v>
      </c>
      <c r="C15130" s="4" t="str">
        <f>HYPERLINK("http://www.uniprot.org/uniprot/Q38JC4","Q38JC4")</f>
        <v>Q38JC4</v>
      </c>
      <c r="D15130" s="2" t="s">
        <v>12192</v>
      </c>
      <c r="E15130" s="3">
        <v>7.55E-98</v>
      </c>
      <c r="F15130" s="2">
        <v>662</v>
      </c>
      <c r="G15130" s="2">
        <v>98</v>
      </c>
      <c r="H15130" s="2">
        <v>126</v>
      </c>
      <c r="I15130" s="2">
        <v>238</v>
      </c>
      <c r="J15130" s="2">
        <v>615</v>
      </c>
      <c r="K15130" s="2">
        <v>1</v>
      </c>
      <c r="L15130" s="2">
        <v>126</v>
      </c>
    </row>
    <row r="15131" spans="1:12" x14ac:dyDescent="0.25">
      <c r="A15131" s="4" t="str">
        <f>HYPERLINK("http://www.rosaceae.org/Prunus/Prunus_persica/p.persica_gdr_reftransV1_0012909","p.persica_gdr_reftransV1_0012909")</f>
        <v>p.persica_gdr_reftransV1_0012909</v>
      </c>
      <c r="B15131" s="2">
        <v>1801</v>
      </c>
      <c r="C15131" s="4" t="str">
        <f>HYPERLINK("http://www.uniprot.org/uniprot/F6HGC6","F6HGC6")</f>
        <v>F6HGC6</v>
      </c>
      <c r="D15131" s="2" t="s">
        <v>12193</v>
      </c>
      <c r="E15131" s="3">
        <v>3.2299999999999999E-62</v>
      </c>
      <c r="F15131" s="2">
        <v>562</v>
      </c>
      <c r="G15131" s="2">
        <v>49</v>
      </c>
      <c r="H15131" s="2">
        <v>294</v>
      </c>
      <c r="I15131" s="2">
        <v>514</v>
      </c>
      <c r="J15131" s="2">
        <v>1332</v>
      </c>
      <c r="K15131" s="2">
        <v>63</v>
      </c>
      <c r="L15131" s="2">
        <v>354</v>
      </c>
    </row>
    <row r="15132" spans="1:12" x14ac:dyDescent="0.25">
      <c r="A15132" s="4" t="str">
        <f>HYPERLINK("http://www.rosaceae.org/Prunus/Prunus_persica/p.persica_gdr_reftransV1_0013609","p.persica_gdr_reftransV1_0013609")</f>
        <v>p.persica_gdr_reftransV1_0013609</v>
      </c>
      <c r="B15132" s="2">
        <v>2862</v>
      </c>
      <c r="C15132" s="4" t="str">
        <f>HYPERLINK("http://www.uniprot.org/uniprot/M5WNJ0","M5WNJ0")</f>
        <v>M5WNJ0</v>
      </c>
      <c r="D15132" s="2" t="s">
        <v>12194</v>
      </c>
      <c r="E15132" s="3">
        <v>0</v>
      </c>
      <c r="F15132" s="2">
        <v>3834</v>
      </c>
      <c r="G15132" s="2">
        <v>100</v>
      </c>
      <c r="H15132" s="2">
        <v>709</v>
      </c>
      <c r="I15132" s="2">
        <v>235</v>
      </c>
      <c r="J15132" s="2">
        <v>2361</v>
      </c>
      <c r="K15132" s="2">
        <v>1</v>
      </c>
      <c r="L15132" s="2">
        <v>709</v>
      </c>
    </row>
    <row r="15133" spans="1:12" x14ac:dyDescent="0.25">
      <c r="A15133" s="4" t="str">
        <f>HYPERLINK("http://www.rosaceae.org/Prunus/Prunus_persica/p.persica_gdr_reftransV1_0013959","p.persica_gdr_reftransV1_0013959")</f>
        <v>p.persica_gdr_reftransV1_0013959</v>
      </c>
      <c r="B15133" s="2">
        <v>840</v>
      </c>
      <c r="C15133" s="4" t="str">
        <f>HYPERLINK("http://www.uniprot.org/uniprot/M5WVU2","M5WVU2")</f>
        <v>M5WVU2</v>
      </c>
      <c r="D15133" s="2" t="s">
        <v>12195</v>
      </c>
      <c r="E15133" s="3">
        <v>8.7300000000000002E-72</v>
      </c>
      <c r="F15133" s="2">
        <v>585</v>
      </c>
      <c r="G15133" s="2">
        <v>100</v>
      </c>
      <c r="H15133" s="2">
        <v>163</v>
      </c>
      <c r="I15133" s="2">
        <v>287</v>
      </c>
      <c r="J15133" s="2">
        <v>775</v>
      </c>
      <c r="K15133" s="2">
        <v>1</v>
      </c>
      <c r="L15133" s="2">
        <v>163</v>
      </c>
    </row>
    <row r="15134" spans="1:12" x14ac:dyDescent="0.25">
      <c r="A15134" s="4" t="str">
        <f>HYPERLINK("http://www.rosaceae.org/Prunus/Prunus_persica/p.persica_gdr_reftransV1_0015359","p.persica_gdr_reftransV1_0015359")</f>
        <v>p.persica_gdr_reftransV1_0015359</v>
      </c>
      <c r="B15134" s="2">
        <v>3127</v>
      </c>
      <c r="C15134" s="4" t="str">
        <f>HYPERLINK("http://www.uniprot.org/uniprot/M5WAF9","M5WAF9")</f>
        <v>M5WAF9</v>
      </c>
      <c r="D15134" s="2" t="s">
        <v>12196</v>
      </c>
      <c r="E15134" s="3">
        <v>0</v>
      </c>
      <c r="F15134" s="2">
        <v>2462</v>
      </c>
      <c r="G15134" s="2">
        <v>100</v>
      </c>
      <c r="H15134" s="2">
        <v>512</v>
      </c>
      <c r="I15134" s="2">
        <v>412</v>
      </c>
      <c r="J15134" s="2">
        <v>1947</v>
      </c>
      <c r="K15134" s="2">
        <v>1</v>
      </c>
      <c r="L15134" s="2">
        <v>512</v>
      </c>
    </row>
    <row r="15135" spans="1:12" x14ac:dyDescent="0.25">
      <c r="A15135" s="4" t="str">
        <f>HYPERLINK("http://www.rosaceae.org/Prunus/Prunus_persica/p.persica_gdr_reftransV1_0016059","p.persica_gdr_reftransV1_0016059")</f>
        <v>p.persica_gdr_reftransV1_0016059</v>
      </c>
      <c r="B15135" s="2">
        <v>861</v>
      </c>
      <c r="C15135" s="4" t="str">
        <f>HYPERLINK("http://www.uniprot.org/uniprot/M5W5A5","M5W5A5")</f>
        <v>M5W5A5</v>
      </c>
      <c r="D15135" s="2" t="s">
        <v>4982</v>
      </c>
      <c r="E15135" s="3">
        <v>5.7499999999999997E-124</v>
      </c>
      <c r="F15135" s="2">
        <v>972</v>
      </c>
      <c r="G15135" s="2">
        <v>93</v>
      </c>
      <c r="H15135" s="2">
        <v>258</v>
      </c>
      <c r="I15135" s="2">
        <v>2</v>
      </c>
      <c r="J15135" s="2">
        <v>763</v>
      </c>
      <c r="K15135" s="2">
        <v>1</v>
      </c>
      <c r="L15135" s="2">
        <v>258</v>
      </c>
    </row>
    <row r="15136" spans="1:12" x14ac:dyDescent="0.25">
      <c r="A15136" s="4" t="str">
        <f>HYPERLINK("http://www.rosaceae.org/Prunus/Prunus_persica/p.persica_gdr_reftransV1_0016409","p.persica_gdr_reftransV1_0016409")</f>
        <v>p.persica_gdr_reftransV1_0016409</v>
      </c>
      <c r="B15136" s="2">
        <v>3250</v>
      </c>
      <c r="C15136" s="4" t="str">
        <f>HYPERLINK("http://www.uniprot.org/uniprot/M5XK98","M5XK98")</f>
        <v>M5XK98</v>
      </c>
      <c r="D15136" s="2" t="s">
        <v>12197</v>
      </c>
      <c r="E15136" s="3">
        <v>0</v>
      </c>
      <c r="F15136" s="2">
        <v>2661</v>
      </c>
      <c r="G15136" s="2">
        <v>100</v>
      </c>
      <c r="H15136" s="2">
        <v>563</v>
      </c>
      <c r="I15136" s="2">
        <v>178</v>
      </c>
      <c r="J15136" s="2">
        <v>1866</v>
      </c>
      <c r="K15136" s="2">
        <v>280</v>
      </c>
      <c r="L15136" s="2">
        <v>842</v>
      </c>
    </row>
    <row r="15137" spans="1:12" x14ac:dyDescent="0.25">
      <c r="A15137" s="4" t="str">
        <f>HYPERLINK("http://www.rosaceae.org/Prunus/Prunus_persica/p.persica_gdr_reftransV1_0017109","p.persica_gdr_reftransV1_0017109")</f>
        <v>p.persica_gdr_reftransV1_0017109</v>
      </c>
      <c r="B15137" s="2">
        <v>4076</v>
      </c>
      <c r="C15137" s="4" t="str">
        <f>HYPERLINK("http://www.uniprot.org/uniprot/M5Y0N7","M5Y0N7")</f>
        <v>M5Y0N7</v>
      </c>
      <c r="D15137" s="2" t="s">
        <v>12198</v>
      </c>
      <c r="E15137" s="3">
        <v>0</v>
      </c>
      <c r="F15137" s="2">
        <v>2106</v>
      </c>
      <c r="G15137" s="2">
        <v>100</v>
      </c>
      <c r="H15137" s="2">
        <v>407</v>
      </c>
      <c r="I15137" s="2">
        <v>1348</v>
      </c>
      <c r="J15137" s="2">
        <v>2568</v>
      </c>
      <c r="K15137" s="2">
        <v>1</v>
      </c>
      <c r="L15137" s="2">
        <v>407</v>
      </c>
    </row>
    <row r="15138" spans="1:12" x14ac:dyDescent="0.25">
      <c r="A15138" s="4" t="str">
        <f>HYPERLINK("http://www.rosaceae.org/Prunus/Prunus_persica/p.persica_gdr_reftransV1_0019209","p.persica_gdr_reftransV1_0019209")</f>
        <v>p.persica_gdr_reftransV1_0019209</v>
      </c>
      <c r="B15138" s="2">
        <v>1145</v>
      </c>
      <c r="C15138" s="4" t="str">
        <f>HYPERLINK("http://www.uniprot.org/uniprot/M5WTN0","M5WTN0")</f>
        <v>M5WTN0</v>
      </c>
      <c r="D15138" s="2" t="s">
        <v>12199</v>
      </c>
      <c r="E15138" s="3">
        <v>2.4900000000000001E-79</v>
      </c>
      <c r="F15138" s="2">
        <v>647</v>
      </c>
      <c r="G15138" s="2">
        <v>100</v>
      </c>
      <c r="H15138" s="2">
        <v>191</v>
      </c>
      <c r="I15138" s="2">
        <v>357</v>
      </c>
      <c r="J15138" s="2">
        <v>929</v>
      </c>
      <c r="K15138" s="2">
        <v>1</v>
      </c>
      <c r="L15138" s="2">
        <v>191</v>
      </c>
    </row>
    <row r="15139" spans="1:12" x14ac:dyDescent="0.25">
      <c r="A15139" s="4" t="str">
        <f>HYPERLINK("http://www.rosaceae.org/Prunus/Prunus_persica/p.persica_gdr_reftransV1_0019559","p.persica_gdr_reftransV1_0019559")</f>
        <v>p.persica_gdr_reftransV1_0019559</v>
      </c>
      <c r="B15139" s="2">
        <v>1411</v>
      </c>
      <c r="C15139" s="4" t="str">
        <f>HYPERLINK("http://www.uniprot.org/uniprot/M5WQX6","M5WQX6")</f>
        <v>M5WQX6</v>
      </c>
      <c r="D15139" s="2" t="s">
        <v>9592</v>
      </c>
      <c r="E15139" s="3">
        <v>0</v>
      </c>
      <c r="F15139" s="2">
        <v>2093</v>
      </c>
      <c r="G15139" s="2">
        <v>99</v>
      </c>
      <c r="H15139" s="2">
        <v>389</v>
      </c>
      <c r="I15139" s="2">
        <v>244</v>
      </c>
      <c r="J15139" s="2">
        <v>1410</v>
      </c>
      <c r="K15139" s="2">
        <v>297</v>
      </c>
      <c r="L15139" s="2">
        <v>685</v>
      </c>
    </row>
    <row r="15140" spans="1:12" x14ac:dyDescent="0.25">
      <c r="A15140" s="4" t="str">
        <f>HYPERLINK("http://www.rosaceae.org/Prunus/Prunus_persica/p.persica_gdr_reftransV1_0020609","p.persica_gdr_reftransV1_0020609")</f>
        <v>p.persica_gdr_reftransV1_0020609</v>
      </c>
      <c r="B15140" s="2">
        <v>1027</v>
      </c>
      <c r="C15140" s="4" t="str">
        <f>HYPERLINK("http://www.uniprot.org/uniprot/M5WFX5","M5WFX5")</f>
        <v>M5WFX5</v>
      </c>
      <c r="D15140" s="2" t="s">
        <v>8248</v>
      </c>
      <c r="E15140" s="3">
        <v>5.2800000000000001E-11</v>
      </c>
      <c r="F15140" s="2">
        <v>167</v>
      </c>
      <c r="G15140" s="2">
        <v>50</v>
      </c>
      <c r="H15140" s="2">
        <v>66</v>
      </c>
      <c r="I15140" s="2">
        <v>552</v>
      </c>
      <c r="J15140" s="2">
        <v>740</v>
      </c>
      <c r="K15140" s="2">
        <v>2</v>
      </c>
      <c r="L15140" s="2">
        <v>67</v>
      </c>
    </row>
    <row r="15141" spans="1:12" x14ac:dyDescent="0.25">
      <c r="A15141" s="4" t="str">
        <f>HYPERLINK("http://www.rosaceae.org/Prunus/Prunus_persica/p.persica_gdr_reftransV1_0021659","p.persica_gdr_reftransV1_0021659")</f>
        <v>p.persica_gdr_reftransV1_0021659</v>
      </c>
      <c r="B15141" s="2">
        <v>919</v>
      </c>
      <c r="C15141" s="4" t="str">
        <f>HYPERLINK("http://www.uniprot.org/uniprot/M5WVJ1","M5WVJ1")</f>
        <v>M5WVJ1</v>
      </c>
      <c r="D15141" s="2" t="s">
        <v>7436</v>
      </c>
      <c r="E15141" s="3">
        <v>1.4499999999999999E-99</v>
      </c>
      <c r="F15141" s="2">
        <v>772</v>
      </c>
      <c r="G15141" s="2">
        <v>100</v>
      </c>
      <c r="H15141" s="2">
        <v>170</v>
      </c>
      <c r="I15141" s="2">
        <v>343</v>
      </c>
      <c r="J15141" s="2">
        <v>852</v>
      </c>
      <c r="K15141" s="2">
        <v>1</v>
      </c>
      <c r="L15141" s="2">
        <v>170</v>
      </c>
    </row>
    <row r="15142" spans="1:12" x14ac:dyDescent="0.25">
      <c r="A15142" s="4" t="str">
        <f>HYPERLINK("http://www.rosaceae.org/Prunus/Prunus_persica/p.persica_gdr_reftransV1_0023409","p.persica_gdr_reftransV1_0023409")</f>
        <v>p.persica_gdr_reftransV1_0023409</v>
      </c>
      <c r="B15142" s="2">
        <v>2617</v>
      </c>
      <c r="C15142" s="4" t="str">
        <f>HYPERLINK("http://www.uniprot.org/uniprot/M5WCW1","M5WCW1")</f>
        <v>M5WCW1</v>
      </c>
      <c r="D15142" s="2" t="s">
        <v>4509</v>
      </c>
      <c r="E15142" s="3">
        <v>0</v>
      </c>
      <c r="F15142" s="2">
        <v>4331</v>
      </c>
      <c r="G15142" s="2">
        <v>100</v>
      </c>
      <c r="H15142" s="2">
        <v>814</v>
      </c>
      <c r="I15142" s="2">
        <v>174</v>
      </c>
      <c r="J15142" s="2">
        <v>2615</v>
      </c>
      <c r="K15142" s="2">
        <v>151</v>
      </c>
      <c r="L15142" s="2">
        <v>964</v>
      </c>
    </row>
    <row r="15143" spans="1:12" x14ac:dyDescent="0.25">
      <c r="A15143" s="4" t="str">
        <f>HYPERLINK("http://www.rosaceae.org/Prunus/Prunus_persica/p.persica_gdr_reftransV1_0024109","p.persica_gdr_reftransV1_0024109")</f>
        <v>p.persica_gdr_reftransV1_0024109</v>
      </c>
      <c r="B15143" s="2">
        <v>4328</v>
      </c>
      <c r="C15143" s="4" t="str">
        <f>HYPERLINK("http://www.uniprot.org/uniprot/M5VTN9","M5VTN9")</f>
        <v>M5VTN9</v>
      </c>
      <c r="D15143" s="2" t="s">
        <v>12200</v>
      </c>
      <c r="E15143" s="3">
        <v>0</v>
      </c>
      <c r="F15143" s="2">
        <v>4268</v>
      </c>
      <c r="G15143" s="2">
        <v>100</v>
      </c>
      <c r="H15143" s="2">
        <v>790</v>
      </c>
      <c r="I15143" s="2">
        <v>459</v>
      </c>
      <c r="J15143" s="2">
        <v>2828</v>
      </c>
      <c r="K15143" s="2">
        <v>177</v>
      </c>
      <c r="L15143" s="2">
        <v>966</v>
      </c>
    </row>
    <row r="15144" spans="1:12" x14ac:dyDescent="0.25">
      <c r="A15144" s="4" t="str">
        <f>HYPERLINK("http://www.rosaceae.org/Prunus/Prunus_persica/p.persica_gdr_reftransV1_0024459","p.persica_gdr_reftransV1_0024459")</f>
        <v>p.persica_gdr_reftransV1_0024459</v>
      </c>
      <c r="B15144" s="2">
        <v>3969</v>
      </c>
      <c r="C15144" s="4" t="str">
        <f>HYPERLINK("http://www.uniprot.org/uniprot/W9QSP3","W9QSP3")</f>
        <v>W9QSP3</v>
      </c>
      <c r="D15144" s="2" t="s">
        <v>5123</v>
      </c>
      <c r="E15144" s="3">
        <v>0</v>
      </c>
      <c r="F15144" s="2">
        <v>3093</v>
      </c>
      <c r="G15144" s="2">
        <v>79</v>
      </c>
      <c r="H15144" s="2">
        <v>737</v>
      </c>
      <c r="I15144" s="2">
        <v>1</v>
      </c>
      <c r="J15144" s="2">
        <v>2163</v>
      </c>
      <c r="K15144" s="2">
        <v>170</v>
      </c>
      <c r="L15144" s="2">
        <v>906</v>
      </c>
    </row>
    <row r="15145" spans="1:12" x14ac:dyDescent="0.25">
      <c r="A15145" s="4" t="str">
        <f>HYPERLINK("http://www.rosaceae.org/Prunus/Prunus_persica/p.persica_gdr_reftransV1_0024809","p.persica_gdr_reftransV1_0024809")</f>
        <v>p.persica_gdr_reftransV1_0024809</v>
      </c>
      <c r="B15145" s="2">
        <v>902</v>
      </c>
      <c r="C15145" s="4" t="str">
        <f>HYPERLINK("http://www.uniprot.org/uniprot/M5WD29","M5WD29")</f>
        <v>M5WD29</v>
      </c>
      <c r="D15145" s="2" t="s">
        <v>12201</v>
      </c>
      <c r="E15145" s="3">
        <v>1.6199999999999999E-83</v>
      </c>
      <c r="F15145" s="2">
        <v>666</v>
      </c>
      <c r="G15145" s="2">
        <v>100</v>
      </c>
      <c r="H15145" s="2">
        <v>177</v>
      </c>
      <c r="I15145" s="2">
        <v>208</v>
      </c>
      <c r="J15145" s="2">
        <v>738</v>
      </c>
      <c r="K15145" s="2">
        <v>1</v>
      </c>
      <c r="L15145" s="2">
        <v>177</v>
      </c>
    </row>
    <row r="15146" spans="1:12" x14ac:dyDescent="0.25">
      <c r="A15146" s="4" t="str">
        <f>HYPERLINK("http://www.rosaceae.org/Prunus/Prunus_persica/p.persica_gdr_reftransV1_0025859","p.persica_gdr_reftransV1_0025859")</f>
        <v>p.persica_gdr_reftransV1_0025859</v>
      </c>
      <c r="B15146" s="2">
        <v>3746</v>
      </c>
      <c r="C15146" s="4" t="str">
        <f>HYPERLINK("http://www.uniprot.org/uniprot/M5WF84","M5WF84")</f>
        <v>M5WF84</v>
      </c>
      <c r="D15146" s="2" t="s">
        <v>12202</v>
      </c>
      <c r="E15146" s="3">
        <v>0</v>
      </c>
      <c r="F15146" s="2">
        <v>4996</v>
      </c>
      <c r="G15146" s="2">
        <v>100</v>
      </c>
      <c r="H15146" s="2">
        <v>1060</v>
      </c>
      <c r="I15146" s="2">
        <v>110</v>
      </c>
      <c r="J15146" s="2">
        <v>3289</v>
      </c>
      <c r="K15146" s="2">
        <v>1</v>
      </c>
      <c r="L15146" s="2">
        <v>1060</v>
      </c>
    </row>
    <row r="15147" spans="1:12" x14ac:dyDescent="0.25">
      <c r="A15147" s="4" t="str">
        <f>HYPERLINK("http://www.rosaceae.org/Prunus/Prunus_persica/p.persica_gdr_reftransV1_0026909","p.persica_gdr_reftransV1_0026909")</f>
        <v>p.persica_gdr_reftransV1_0026909</v>
      </c>
      <c r="B15147" s="2">
        <v>596</v>
      </c>
      <c r="C15147" s="4" t="str">
        <f>HYPERLINK("http://www.uniprot.org/uniprot/M5XG07","M5XG07")</f>
        <v>M5XG07</v>
      </c>
      <c r="D15147" s="2" t="s">
        <v>12203</v>
      </c>
      <c r="E15147" s="3">
        <v>3.05E-26</v>
      </c>
      <c r="F15147" s="2">
        <v>268</v>
      </c>
      <c r="G15147" s="2">
        <v>100</v>
      </c>
      <c r="H15147" s="2">
        <v>116</v>
      </c>
      <c r="I15147" s="2">
        <v>116</v>
      </c>
      <c r="J15147" s="2">
        <v>463</v>
      </c>
      <c r="K15147" s="2">
        <v>1</v>
      </c>
      <c r="L15147" s="2">
        <v>116</v>
      </c>
    </row>
    <row r="15148" spans="1:12" x14ac:dyDescent="0.25">
      <c r="A15148" s="4" t="str">
        <f>HYPERLINK("http://www.rosaceae.org/Prunus/Prunus_persica/p.persica_gdr_reftransV1_0029709","p.persica_gdr_reftransV1_0029709")</f>
        <v>p.persica_gdr_reftransV1_0029709</v>
      </c>
      <c r="B15148" s="2">
        <v>3024</v>
      </c>
      <c r="C15148" s="4" t="str">
        <f>HYPERLINK("http://www.uniprot.org/uniprot/A0A067JDF9","A0A067JDF9")</f>
        <v>A0A067JDF9</v>
      </c>
      <c r="D15148" s="2" t="s">
        <v>12204</v>
      </c>
      <c r="E15148" s="3">
        <v>0</v>
      </c>
      <c r="F15148" s="2">
        <v>2706</v>
      </c>
      <c r="G15148" s="2">
        <v>92</v>
      </c>
      <c r="H15148" s="2">
        <v>604</v>
      </c>
      <c r="I15148" s="2">
        <v>615</v>
      </c>
      <c r="J15148" s="2">
        <v>2426</v>
      </c>
      <c r="K15148" s="2">
        <v>1</v>
      </c>
      <c r="L15148" s="2">
        <v>603</v>
      </c>
    </row>
    <row r="15149" spans="1:12" x14ac:dyDescent="0.25">
      <c r="A15149" s="4" t="str">
        <f>HYPERLINK("http://www.rosaceae.org/Prunus/Prunus_persica/p.persica_gdr_reftransV1_0030059","p.persica_gdr_reftransV1_0030059")</f>
        <v>p.persica_gdr_reftransV1_0030059</v>
      </c>
      <c r="B15149" s="2">
        <v>1793</v>
      </c>
      <c r="C15149" s="4" t="str">
        <f>HYPERLINK("http://www.uniprot.org/uniprot/I3T7X9","I3T7X9")</f>
        <v>I3T7X9</v>
      </c>
      <c r="D15149" s="2" t="s">
        <v>3170</v>
      </c>
      <c r="E15149" s="3">
        <v>3.0200000000000001E-18</v>
      </c>
      <c r="F15149" s="2">
        <v>147</v>
      </c>
      <c r="G15149" s="2">
        <v>49</v>
      </c>
      <c r="H15149" s="2">
        <v>59</v>
      </c>
      <c r="I15149" s="2">
        <v>1355</v>
      </c>
      <c r="J15149" s="2">
        <v>1531</v>
      </c>
      <c r="K15149" s="2">
        <v>81</v>
      </c>
      <c r="L15149" s="2">
        <v>139</v>
      </c>
    </row>
    <row r="15150" spans="1:12" x14ac:dyDescent="0.25">
      <c r="A15150" s="4" t="str">
        <f>HYPERLINK("http://www.rosaceae.org/Prunus/Prunus_persica/p.persica_gdr_reftransV1_0031809","p.persica_gdr_reftransV1_0031809")</f>
        <v>p.persica_gdr_reftransV1_0031809</v>
      </c>
      <c r="B15150" s="2">
        <v>1907</v>
      </c>
      <c r="C15150" s="4" t="str">
        <f>HYPERLINK("http://www.uniprot.org/uniprot/M5XBN2","M5XBN2")</f>
        <v>M5XBN2</v>
      </c>
      <c r="D15150" s="2" t="s">
        <v>2362</v>
      </c>
      <c r="E15150" s="3">
        <v>2.81E-154</v>
      </c>
      <c r="F15150" s="2">
        <v>1199</v>
      </c>
      <c r="G15150" s="2">
        <v>99</v>
      </c>
      <c r="H15150" s="2">
        <v>298</v>
      </c>
      <c r="I15150" s="2">
        <v>481</v>
      </c>
      <c r="J15150" s="2">
        <v>1374</v>
      </c>
      <c r="K15150" s="2">
        <v>200</v>
      </c>
      <c r="L15150" s="2">
        <v>496</v>
      </c>
    </row>
    <row r="15151" spans="1:12" x14ac:dyDescent="0.25">
      <c r="A15151" s="4" t="str">
        <f>HYPERLINK("http://www.rosaceae.org/Prunus/Prunus_persica/p.persica_gdr_reftransV1_0032859","p.persica_gdr_reftransV1_0032859")</f>
        <v>p.persica_gdr_reftransV1_0032859</v>
      </c>
      <c r="B15151" s="2">
        <v>1536</v>
      </c>
      <c r="C15151" s="4" t="str">
        <f>HYPERLINK("http://www.uniprot.org/uniprot/M5VZV4","M5VZV4")</f>
        <v>M5VZV4</v>
      </c>
      <c r="D15151" s="2" t="s">
        <v>12205</v>
      </c>
      <c r="E15151" s="3">
        <v>0</v>
      </c>
      <c r="F15151" s="2">
        <v>1808</v>
      </c>
      <c r="G15151" s="2">
        <v>100</v>
      </c>
      <c r="H15151" s="2">
        <v>358</v>
      </c>
      <c r="I15151" s="2">
        <v>130</v>
      </c>
      <c r="J15151" s="2">
        <v>1203</v>
      </c>
      <c r="K15151" s="2">
        <v>8</v>
      </c>
      <c r="L15151" s="2">
        <v>365</v>
      </c>
    </row>
    <row r="15152" spans="1:12" x14ac:dyDescent="0.25">
      <c r="A15152" s="4" t="str">
        <f>HYPERLINK("http://www.rosaceae.org/Prunus/Prunus_persica/p.persica_gdr_reftransV1_0033909","p.persica_gdr_reftransV1_0033909")</f>
        <v>p.persica_gdr_reftransV1_0033909</v>
      </c>
      <c r="B15152" s="2">
        <v>1745</v>
      </c>
      <c r="C15152" s="4" t="str">
        <f>HYPERLINK("http://www.uniprot.org/uniprot/M5XWA7","M5XWA7")</f>
        <v>M5XWA7</v>
      </c>
      <c r="D15152" s="2" t="s">
        <v>12206</v>
      </c>
      <c r="E15152" s="3">
        <v>0</v>
      </c>
      <c r="F15152" s="2">
        <v>2363</v>
      </c>
      <c r="G15152" s="2">
        <v>100</v>
      </c>
      <c r="H15152" s="2">
        <v>439</v>
      </c>
      <c r="I15152" s="2">
        <v>117</v>
      </c>
      <c r="J15152" s="2">
        <v>1433</v>
      </c>
      <c r="K15152" s="2">
        <v>1</v>
      </c>
      <c r="L15152" s="2">
        <v>439</v>
      </c>
    </row>
    <row r="15153" spans="1:12" x14ac:dyDescent="0.25">
      <c r="A15153" s="4" t="str">
        <f>HYPERLINK("http://www.rosaceae.org/Prunus/Prunus_persica/p.persica_gdr_reftransV1_0034609","p.persica_gdr_reftransV1_0034609")</f>
        <v>p.persica_gdr_reftransV1_0034609</v>
      </c>
      <c r="B15153" s="2">
        <v>3777</v>
      </c>
      <c r="C15153" s="4" t="str">
        <f>HYPERLINK("http://www.uniprot.org/uniprot/M5W7F1","M5W7F1")</f>
        <v>M5W7F1</v>
      </c>
      <c r="D15153" s="2" t="s">
        <v>12207</v>
      </c>
      <c r="E15153" s="3">
        <v>0</v>
      </c>
      <c r="F15153" s="2">
        <v>3346</v>
      </c>
      <c r="G15153" s="2">
        <v>100</v>
      </c>
      <c r="H15153" s="2">
        <v>663</v>
      </c>
      <c r="I15153" s="2">
        <v>1536</v>
      </c>
      <c r="J15153" s="2">
        <v>3524</v>
      </c>
      <c r="K15153" s="2">
        <v>385</v>
      </c>
      <c r="L15153" s="2">
        <v>1047</v>
      </c>
    </row>
    <row r="15154" spans="1:12" x14ac:dyDescent="0.25">
      <c r="A15154" s="4" t="str">
        <f>HYPERLINK("http://www.rosaceae.org/Prunus/Prunus_persica/p.persica_gdr_reftransV1_0035659","p.persica_gdr_reftransV1_0035659")</f>
        <v>p.persica_gdr_reftransV1_0035659</v>
      </c>
      <c r="B15154" s="2">
        <v>3833</v>
      </c>
      <c r="C15154" s="4" t="str">
        <f>HYPERLINK("http://www.uniprot.org/uniprot/M5XCL7","M5XCL7")</f>
        <v>M5XCL7</v>
      </c>
      <c r="D15154" s="2" t="s">
        <v>12208</v>
      </c>
      <c r="E15154" s="3">
        <v>0</v>
      </c>
      <c r="F15154" s="2">
        <v>2325</v>
      </c>
      <c r="G15154" s="2">
        <v>100</v>
      </c>
      <c r="H15154" s="2">
        <v>468</v>
      </c>
      <c r="I15154" s="2">
        <v>278</v>
      </c>
      <c r="J15154" s="2">
        <v>1681</v>
      </c>
      <c r="K15154" s="2">
        <v>31</v>
      </c>
      <c r="L15154" s="2">
        <v>498</v>
      </c>
    </row>
    <row r="15155" spans="1:12" x14ac:dyDescent="0.25">
      <c r="A15155" s="4" t="str">
        <f>HYPERLINK("http://www.rosaceae.org/Prunus/Prunus_persica/p.persica_gdr_reftransV1_0036009","p.persica_gdr_reftransV1_0036009")</f>
        <v>p.persica_gdr_reftransV1_0036009</v>
      </c>
      <c r="B15155" s="2">
        <v>3108</v>
      </c>
      <c r="C15155" s="4" t="str">
        <f>HYPERLINK("http://www.uniprot.org/uniprot/M5W2R6","M5W2R6")</f>
        <v>M5W2R6</v>
      </c>
      <c r="D15155" s="2" t="s">
        <v>12209</v>
      </c>
      <c r="E15155" s="3">
        <v>0</v>
      </c>
      <c r="F15155" s="2">
        <v>2444</v>
      </c>
      <c r="G15155" s="2">
        <v>99</v>
      </c>
      <c r="H15155" s="2">
        <v>456</v>
      </c>
      <c r="I15155" s="2">
        <v>894</v>
      </c>
      <c r="J15155" s="2">
        <v>2261</v>
      </c>
      <c r="K15155" s="2">
        <v>117</v>
      </c>
      <c r="L15155" s="2">
        <v>572</v>
      </c>
    </row>
    <row r="15156" spans="1:12" x14ac:dyDescent="0.25">
      <c r="A15156" s="4" t="str">
        <f>HYPERLINK("http://www.rosaceae.org/Prunus/Prunus_persica/p.persica_gdr_reftransV1_0036359","p.persica_gdr_reftransV1_0036359")</f>
        <v>p.persica_gdr_reftransV1_0036359</v>
      </c>
      <c r="B15156" s="2">
        <v>5404</v>
      </c>
      <c r="C15156" s="4" t="str">
        <f>HYPERLINK("http://www.uniprot.org/uniprot/M5X257","M5X257")</f>
        <v>M5X257</v>
      </c>
      <c r="D15156" s="2" t="s">
        <v>1147</v>
      </c>
      <c r="E15156" s="3">
        <v>0</v>
      </c>
      <c r="F15156" s="2">
        <v>2433</v>
      </c>
      <c r="G15156" s="2">
        <v>100</v>
      </c>
      <c r="H15156" s="2">
        <v>531</v>
      </c>
      <c r="I15156" s="2">
        <v>310</v>
      </c>
      <c r="J15156" s="2">
        <v>1902</v>
      </c>
      <c r="K15156" s="2">
        <v>11</v>
      </c>
      <c r="L15156" s="2">
        <v>541</v>
      </c>
    </row>
    <row r="15157" spans="1:12" x14ac:dyDescent="0.25">
      <c r="A15157" s="4" t="str">
        <f>HYPERLINK("http://www.rosaceae.org/Prunus/Prunus_persica/p.persica_gdr_reftransV1_0037409","p.persica_gdr_reftransV1_0037409")</f>
        <v>p.persica_gdr_reftransV1_0037409</v>
      </c>
      <c r="B15157" s="2">
        <v>2418</v>
      </c>
      <c r="C15157" s="4" t="str">
        <f>HYPERLINK("http://www.uniprot.org/uniprot/M5WV60","M5WV60")</f>
        <v>M5WV60</v>
      </c>
      <c r="D15157" s="2" t="s">
        <v>12210</v>
      </c>
      <c r="E15157" s="3">
        <v>1.4600000000000001E-139</v>
      </c>
      <c r="F15157" s="2">
        <v>1092</v>
      </c>
      <c r="G15157" s="2">
        <v>93</v>
      </c>
      <c r="H15157" s="2">
        <v>256</v>
      </c>
      <c r="I15157" s="2">
        <v>107</v>
      </c>
      <c r="J15157" s="2">
        <v>865</v>
      </c>
      <c r="K15157" s="2">
        <v>11</v>
      </c>
      <c r="L15157" s="2">
        <v>266</v>
      </c>
    </row>
    <row r="15158" spans="1:12" x14ac:dyDescent="0.25">
      <c r="A15158" s="4" t="str">
        <f>HYPERLINK("http://www.rosaceae.org/Prunus/Prunus_persica/p.persica_gdr_reftransV1_0037759","p.persica_gdr_reftransV1_0037759")</f>
        <v>p.persica_gdr_reftransV1_0037759</v>
      </c>
      <c r="B15158" s="2">
        <v>1992</v>
      </c>
      <c r="C15158" s="4" t="str">
        <f>HYPERLINK("http://www.uniprot.org/uniprot/M5XB35","M5XB35")</f>
        <v>M5XB35</v>
      </c>
      <c r="D15158" s="2" t="s">
        <v>12211</v>
      </c>
      <c r="E15158" s="3">
        <v>0</v>
      </c>
      <c r="F15158" s="2">
        <v>2641</v>
      </c>
      <c r="G15158" s="2">
        <v>100</v>
      </c>
      <c r="H15158" s="2">
        <v>490</v>
      </c>
      <c r="I15158" s="2">
        <v>434</v>
      </c>
      <c r="J15158" s="2">
        <v>1903</v>
      </c>
      <c r="K15158" s="2">
        <v>1</v>
      </c>
      <c r="L15158" s="2">
        <v>490</v>
      </c>
    </row>
    <row r="15159" spans="1:12" x14ac:dyDescent="0.25">
      <c r="A15159" s="4" t="str">
        <f>HYPERLINK("http://www.rosaceae.org/Prunus/Prunus_persica/p.persica_gdr_reftransV1_0038109","p.persica_gdr_reftransV1_0038109")</f>
        <v>p.persica_gdr_reftransV1_0038109</v>
      </c>
      <c r="B15159" s="2">
        <v>1627</v>
      </c>
      <c r="C15159" s="4" t="str">
        <f>HYPERLINK("http://www.uniprot.org/uniprot/M5WJK2","M5WJK2")</f>
        <v>M5WJK2</v>
      </c>
      <c r="D15159" s="2" t="s">
        <v>12212</v>
      </c>
      <c r="E15159" s="3">
        <v>1.1300000000000001E-91</v>
      </c>
      <c r="F15159" s="2">
        <v>749</v>
      </c>
      <c r="G15159" s="2">
        <v>99</v>
      </c>
      <c r="H15159" s="2">
        <v>162</v>
      </c>
      <c r="I15159" s="2">
        <v>269</v>
      </c>
      <c r="J15159" s="2">
        <v>754</v>
      </c>
      <c r="K15159" s="2">
        <v>89</v>
      </c>
      <c r="L15159" s="2">
        <v>250</v>
      </c>
    </row>
    <row r="15160" spans="1:12" x14ac:dyDescent="0.25">
      <c r="A15160" s="4" t="str">
        <f>HYPERLINK("http://www.rosaceae.org/Prunus/Prunus_persica/p.persica_gdr_reftransV1_0041259","p.persica_gdr_reftransV1_0041259")</f>
        <v>p.persica_gdr_reftransV1_0041259</v>
      </c>
      <c r="B15160" s="2">
        <v>2044</v>
      </c>
      <c r="C15160" s="4" t="str">
        <f>HYPERLINK("http://www.uniprot.org/uniprot/M5X1H4","M5X1H4")</f>
        <v>M5X1H4</v>
      </c>
      <c r="D15160" s="2" t="s">
        <v>12213</v>
      </c>
      <c r="E15160" s="3">
        <v>3.4699999999999998E-82</v>
      </c>
      <c r="F15160" s="2">
        <v>684</v>
      </c>
      <c r="G15160" s="2">
        <v>99</v>
      </c>
      <c r="H15160" s="2">
        <v>134</v>
      </c>
      <c r="I15160" s="2">
        <v>468</v>
      </c>
      <c r="J15160" s="2">
        <v>869</v>
      </c>
      <c r="K15160" s="2">
        <v>12</v>
      </c>
      <c r="L15160" s="2">
        <v>143</v>
      </c>
    </row>
    <row r="15161" spans="1:12" x14ac:dyDescent="0.25">
      <c r="A15161" s="4" t="str">
        <f>HYPERLINK("http://www.rosaceae.org/Prunus/Prunus_persica/p.persica_gdr_reftransV1_0041609","p.persica_gdr_reftransV1_0041609")</f>
        <v>p.persica_gdr_reftransV1_0041609</v>
      </c>
      <c r="B15161" s="2">
        <v>5947</v>
      </c>
      <c r="C15161" s="4" t="str">
        <f>HYPERLINK("http://www.uniprot.org/uniprot/M5XD16","M5XD16")</f>
        <v>M5XD16</v>
      </c>
      <c r="D15161" s="2" t="s">
        <v>4239</v>
      </c>
      <c r="E15161" s="3">
        <v>6.7300000000000001E-145</v>
      </c>
      <c r="F15161" s="2">
        <v>1208</v>
      </c>
      <c r="G15161" s="2">
        <v>100</v>
      </c>
      <c r="H15161" s="2">
        <v>277</v>
      </c>
      <c r="I15161" s="2">
        <v>256</v>
      </c>
      <c r="J15161" s="2">
        <v>1086</v>
      </c>
      <c r="K15161" s="2">
        <v>1</v>
      </c>
      <c r="L15161" s="2">
        <v>277</v>
      </c>
    </row>
    <row r="15162" spans="1:12" x14ac:dyDescent="0.25">
      <c r="A15162" s="4" t="str">
        <f>HYPERLINK("http://www.rosaceae.org/Prunus/Prunus_persica/p.persica_gdr_reftransV1_0042659","p.persica_gdr_reftransV1_0042659")</f>
        <v>p.persica_gdr_reftransV1_0042659</v>
      </c>
      <c r="B15162" s="2">
        <v>2202</v>
      </c>
      <c r="C15162" s="4" t="str">
        <f>HYPERLINK("http://www.uniprot.org/uniprot/M5XAZ6","M5XAZ6")</f>
        <v>M5XAZ6</v>
      </c>
      <c r="D15162" s="2" t="s">
        <v>12214</v>
      </c>
      <c r="E15162" s="3">
        <v>6.3900000000000003E-136</v>
      </c>
      <c r="F15162" s="2">
        <v>1072</v>
      </c>
      <c r="G15162" s="2">
        <v>100</v>
      </c>
      <c r="H15162" s="2">
        <v>219</v>
      </c>
      <c r="I15162" s="2">
        <v>1463</v>
      </c>
      <c r="J15162" s="2">
        <v>2119</v>
      </c>
      <c r="K15162" s="2">
        <v>1</v>
      </c>
      <c r="L15162" s="2">
        <v>219</v>
      </c>
    </row>
    <row r="15163" spans="1:12" x14ac:dyDescent="0.25">
      <c r="A15163" s="4" t="str">
        <f>HYPERLINK("http://www.rosaceae.org/Prunus/Prunus_persica/p.persica_gdr_reftransV1_0043009","p.persica_gdr_reftransV1_0043009")</f>
        <v>p.persica_gdr_reftransV1_0043009</v>
      </c>
      <c r="B15163" s="2">
        <v>2081</v>
      </c>
      <c r="C15163" s="4" t="str">
        <f>HYPERLINK("http://www.uniprot.org/uniprot/M5XM71","M5XM71")</f>
        <v>M5XM71</v>
      </c>
      <c r="D15163" s="2" t="s">
        <v>11851</v>
      </c>
      <c r="E15163" s="3">
        <v>4.9200000000000004E-59</v>
      </c>
      <c r="F15163" s="2">
        <v>535</v>
      </c>
      <c r="G15163" s="2">
        <v>100</v>
      </c>
      <c r="H15163" s="2">
        <v>134</v>
      </c>
      <c r="I15163" s="2">
        <v>1391</v>
      </c>
      <c r="J15163" s="2">
        <v>1792</v>
      </c>
      <c r="K15163" s="2">
        <v>120</v>
      </c>
      <c r="L15163" s="2">
        <v>253</v>
      </c>
    </row>
    <row r="15164" spans="1:12" x14ac:dyDescent="0.25">
      <c r="A15164" s="4" t="str">
        <f>HYPERLINK("http://www.rosaceae.org/Prunus/Prunus_persica/p.persica_gdr_reftransV1_0043359","p.persica_gdr_reftransV1_0043359")</f>
        <v>p.persica_gdr_reftransV1_0043359</v>
      </c>
      <c r="B15164" s="2">
        <v>335</v>
      </c>
      <c r="C15164" s="4" t="str">
        <f>HYPERLINK("http://www.uniprot.org/uniprot/M5XI26","M5XI26")</f>
        <v>M5XI26</v>
      </c>
      <c r="D15164" s="2" t="s">
        <v>12215</v>
      </c>
      <c r="E15164" s="3">
        <v>1.2600000000000001E-70</v>
      </c>
      <c r="F15164" s="2">
        <v>577</v>
      </c>
      <c r="G15164" s="2">
        <v>100</v>
      </c>
      <c r="H15164" s="2">
        <v>111</v>
      </c>
      <c r="I15164" s="2">
        <v>2</v>
      </c>
      <c r="J15164" s="2">
        <v>334</v>
      </c>
      <c r="K15164" s="2">
        <v>23</v>
      </c>
      <c r="L15164" s="2">
        <v>133</v>
      </c>
    </row>
    <row r="15165" spans="1:12" x14ac:dyDescent="0.25">
      <c r="A15165" s="4" t="str">
        <f>HYPERLINK("http://www.rosaceae.org/Prunus/Prunus_persica/p.persica_gdr_reftransV1_0043709","p.persica_gdr_reftransV1_0043709")</f>
        <v>p.persica_gdr_reftransV1_0043709</v>
      </c>
      <c r="B15165" s="2">
        <v>393</v>
      </c>
      <c r="C15165" s="4" t="str">
        <f>HYPERLINK("http://www.uniprot.org/uniprot/M5WLX7","M5WLX7")</f>
        <v>M5WLX7</v>
      </c>
      <c r="D15165" s="2" t="s">
        <v>4334</v>
      </c>
      <c r="E15165" s="3">
        <v>9.3100000000000007E-72</v>
      </c>
      <c r="F15165" s="2">
        <v>620</v>
      </c>
      <c r="G15165" s="2">
        <v>92</v>
      </c>
      <c r="H15165" s="2">
        <v>131</v>
      </c>
      <c r="I15165" s="2">
        <v>1</v>
      </c>
      <c r="J15165" s="2">
        <v>393</v>
      </c>
      <c r="K15165" s="2">
        <v>149</v>
      </c>
      <c r="L15165" s="2">
        <v>279</v>
      </c>
    </row>
    <row r="15166" spans="1:12" x14ac:dyDescent="0.25">
      <c r="A15166" s="4" t="str">
        <f>HYPERLINK("http://www.rosaceae.org/Prunus/Prunus_persica/p.persica_gdr_reftransV1_0044059","p.persica_gdr_reftransV1_0044059")</f>
        <v>p.persica_gdr_reftransV1_0044059</v>
      </c>
      <c r="B15166" s="2">
        <v>2820</v>
      </c>
      <c r="C15166" s="4" t="str">
        <f>HYPERLINK("http://www.uniprot.org/uniprot/B5TX61","B5TX61")</f>
        <v>B5TX61</v>
      </c>
      <c r="D15166" s="2" t="s">
        <v>12216</v>
      </c>
      <c r="E15166" s="3">
        <v>0</v>
      </c>
      <c r="F15166" s="2">
        <v>4387</v>
      </c>
      <c r="G15166" s="2">
        <v>96</v>
      </c>
      <c r="H15166" s="2">
        <v>881</v>
      </c>
      <c r="I15166" s="2">
        <v>37</v>
      </c>
      <c r="J15166" s="2">
        <v>2583</v>
      </c>
      <c r="K15166" s="2">
        <v>1</v>
      </c>
      <c r="L15166" s="2">
        <v>881</v>
      </c>
    </row>
    <row r="15167" spans="1:12" x14ac:dyDescent="0.25">
      <c r="A15167" s="4" t="str">
        <f>HYPERLINK("http://www.rosaceae.org/Prunus/Prunus_persica/p.persica_gdr_reftransV1_0044409","p.persica_gdr_reftransV1_0044409")</f>
        <v>p.persica_gdr_reftransV1_0044409</v>
      </c>
      <c r="B15167" s="2">
        <v>1119</v>
      </c>
      <c r="C15167" s="4" t="str">
        <f>HYPERLINK("http://www.uniprot.org/uniprot/M5X1F4","M5X1F4")</f>
        <v>M5X1F4</v>
      </c>
      <c r="D15167" s="2" t="s">
        <v>12217</v>
      </c>
      <c r="E15167" s="3">
        <v>0</v>
      </c>
      <c r="F15167" s="2">
        <v>1655</v>
      </c>
      <c r="G15167" s="2">
        <v>100</v>
      </c>
      <c r="H15167" s="2">
        <v>306</v>
      </c>
      <c r="I15167" s="2">
        <v>123</v>
      </c>
      <c r="J15167" s="2">
        <v>1040</v>
      </c>
      <c r="K15167" s="2">
        <v>1</v>
      </c>
      <c r="L15167" s="2">
        <v>306</v>
      </c>
    </row>
    <row r="15168" spans="1:12" x14ac:dyDescent="0.25">
      <c r="A15168" s="4" t="str">
        <f>HYPERLINK("http://www.rosaceae.org/Prunus/Prunus_persica/p.persica_gdr_reftransV1_0044759","p.persica_gdr_reftransV1_0044759")</f>
        <v>p.persica_gdr_reftransV1_0044759</v>
      </c>
      <c r="B15168" s="2">
        <v>499</v>
      </c>
      <c r="C15168" s="4" t="str">
        <f>HYPERLINK("http://www.uniprot.org/uniprot/M5X0K3","M5X0K3")</f>
        <v>M5X0K3</v>
      </c>
      <c r="D15168" s="2" t="s">
        <v>8598</v>
      </c>
      <c r="E15168" s="3">
        <v>3.8299999999999997E-82</v>
      </c>
      <c r="F15168" s="2">
        <v>688</v>
      </c>
      <c r="G15168" s="2">
        <v>100</v>
      </c>
      <c r="H15168" s="2">
        <v>127</v>
      </c>
      <c r="I15168" s="2">
        <v>119</v>
      </c>
      <c r="J15168" s="2">
        <v>499</v>
      </c>
      <c r="K15168" s="2">
        <v>678</v>
      </c>
      <c r="L15168" s="2">
        <v>804</v>
      </c>
    </row>
    <row r="15169" spans="1:12" x14ac:dyDescent="0.25">
      <c r="A15169" s="4" t="str">
        <f>HYPERLINK("http://www.rosaceae.org/Prunus/Prunus_persica/p.persica_gdr_reftransV1_0045109","p.persica_gdr_reftransV1_0045109")</f>
        <v>p.persica_gdr_reftransV1_0045109</v>
      </c>
      <c r="B15169" s="2">
        <v>3173</v>
      </c>
      <c r="C15169" s="4" t="str">
        <f>HYPERLINK("http://www.uniprot.org/uniprot/M5WJZ6","M5WJZ6")</f>
        <v>M5WJZ6</v>
      </c>
      <c r="D15169" s="2" t="s">
        <v>12218</v>
      </c>
      <c r="E15169" s="3">
        <v>0</v>
      </c>
      <c r="F15169" s="2">
        <v>4587</v>
      </c>
      <c r="G15169" s="2">
        <v>100</v>
      </c>
      <c r="H15169" s="2">
        <v>873</v>
      </c>
      <c r="I15169" s="2">
        <v>290</v>
      </c>
      <c r="J15169" s="2">
        <v>2908</v>
      </c>
      <c r="K15169" s="2">
        <v>1</v>
      </c>
      <c r="L15169" s="2">
        <v>873</v>
      </c>
    </row>
    <row r="15170" spans="1:12" x14ac:dyDescent="0.25">
      <c r="A15170" s="4" t="str">
        <f>HYPERLINK("http://www.rosaceae.org/Prunus/Prunus_persica/p.persica_gdr_reftransV1_0045459","p.persica_gdr_reftransV1_0045459")</f>
        <v>p.persica_gdr_reftransV1_0045459</v>
      </c>
      <c r="B15170" s="2">
        <v>1285</v>
      </c>
      <c r="C15170" s="4" t="str">
        <f>HYPERLINK("http://www.uniprot.org/uniprot/M5X1T0","M5X1T0")</f>
        <v>M5X1T0</v>
      </c>
      <c r="D15170" s="2" t="s">
        <v>9337</v>
      </c>
      <c r="E15170" s="3">
        <v>0</v>
      </c>
      <c r="F15170" s="2">
        <v>1335</v>
      </c>
      <c r="G15170" s="2">
        <v>100</v>
      </c>
      <c r="H15170" s="2">
        <v>253</v>
      </c>
      <c r="I15170" s="2">
        <v>298</v>
      </c>
      <c r="J15170" s="2">
        <v>1056</v>
      </c>
      <c r="K15170" s="2">
        <v>17</v>
      </c>
      <c r="L15170" s="2">
        <v>269</v>
      </c>
    </row>
    <row r="15171" spans="1:12" x14ac:dyDescent="0.25">
      <c r="A15171" s="4" t="str">
        <f>HYPERLINK("http://www.rosaceae.org/Prunus/Prunus_persica/p.persica_gdr_reftransV1_0045809","p.persica_gdr_reftransV1_0045809")</f>
        <v>p.persica_gdr_reftransV1_0045809</v>
      </c>
      <c r="B15171" s="2">
        <v>1859</v>
      </c>
      <c r="C15171" s="4" t="str">
        <f>HYPERLINK("http://www.uniprot.org/uniprot/M5WLL2","M5WLL2")</f>
        <v>M5WLL2</v>
      </c>
      <c r="D15171" s="2" t="s">
        <v>7796</v>
      </c>
      <c r="E15171" s="3">
        <v>0</v>
      </c>
      <c r="F15171" s="2">
        <v>2619</v>
      </c>
      <c r="G15171" s="2">
        <v>100</v>
      </c>
      <c r="H15171" s="2">
        <v>501</v>
      </c>
      <c r="I15171" s="2">
        <v>96</v>
      </c>
      <c r="J15171" s="2">
        <v>1598</v>
      </c>
      <c r="K15171" s="2">
        <v>4</v>
      </c>
      <c r="L15171" s="2">
        <v>504</v>
      </c>
    </row>
    <row r="15172" spans="1:12" x14ac:dyDescent="0.25">
      <c r="A15172" s="4" t="str">
        <f>HYPERLINK("http://www.rosaceae.org/Prunus/Prunus_persica/p.persica_gdr_reftransV1_0047209","p.persica_gdr_reftransV1_0047209")</f>
        <v>p.persica_gdr_reftransV1_0047209</v>
      </c>
      <c r="B15172" s="2">
        <v>1503</v>
      </c>
      <c r="C15172" s="4" t="str">
        <f>HYPERLINK("http://www.uniprot.org/uniprot/M5VLI6","M5VLI6")</f>
        <v>M5VLI6</v>
      </c>
      <c r="D15172" s="2" t="s">
        <v>12219</v>
      </c>
      <c r="E15172" s="3">
        <v>0</v>
      </c>
      <c r="F15172" s="2">
        <v>1796</v>
      </c>
      <c r="G15172" s="2">
        <v>97</v>
      </c>
      <c r="H15172" s="2">
        <v>358</v>
      </c>
      <c r="I15172" s="2">
        <v>395</v>
      </c>
      <c r="J15172" s="2">
        <v>1468</v>
      </c>
      <c r="K15172" s="2">
        <v>1</v>
      </c>
      <c r="L15172" s="2">
        <v>358</v>
      </c>
    </row>
    <row r="15173" spans="1:12" x14ac:dyDescent="0.25">
      <c r="A15173" s="4" t="str">
        <f>HYPERLINK("http://www.rosaceae.org/Prunus/Prunus_persica/p.persica_gdr_reftransV1_0047559","p.persica_gdr_reftransV1_0047559")</f>
        <v>p.persica_gdr_reftransV1_0047559</v>
      </c>
      <c r="B15173" s="2">
        <v>1726</v>
      </c>
      <c r="C15173" s="4" t="str">
        <f>HYPERLINK("http://www.uniprot.org/uniprot/M5WPJ2","M5WPJ2")</f>
        <v>M5WPJ2</v>
      </c>
      <c r="D15173" s="2" t="s">
        <v>8012</v>
      </c>
      <c r="E15173" s="3">
        <v>0</v>
      </c>
      <c r="F15173" s="2">
        <v>2555</v>
      </c>
      <c r="G15173" s="2">
        <v>100</v>
      </c>
      <c r="H15173" s="2">
        <v>483</v>
      </c>
      <c r="I15173" s="2">
        <v>117</v>
      </c>
      <c r="J15173" s="2">
        <v>1565</v>
      </c>
      <c r="K15173" s="2">
        <v>1</v>
      </c>
      <c r="L15173" s="2">
        <v>483</v>
      </c>
    </row>
    <row r="15174" spans="1:12" x14ac:dyDescent="0.25">
      <c r="A15174" s="4" t="str">
        <f>HYPERLINK("http://www.rosaceae.org/Prunus/Prunus_persica/p.persica_gdr_reftransV1_0048609","p.persica_gdr_reftransV1_0048609")</f>
        <v>p.persica_gdr_reftransV1_0048609</v>
      </c>
      <c r="B15174" s="2">
        <v>1059</v>
      </c>
      <c r="C15174" s="4" t="str">
        <f>HYPERLINK("http://www.uniprot.org/uniprot/M5XZP4","M5XZP4")</f>
        <v>M5XZP4</v>
      </c>
      <c r="D15174" s="2" t="s">
        <v>12220</v>
      </c>
      <c r="E15174" s="3">
        <v>2.5699999999999999E-82</v>
      </c>
      <c r="F15174" s="2">
        <v>662</v>
      </c>
      <c r="G15174" s="2">
        <v>99</v>
      </c>
      <c r="H15174" s="2">
        <v>171</v>
      </c>
      <c r="I15174" s="2">
        <v>311</v>
      </c>
      <c r="J15174" s="2">
        <v>823</v>
      </c>
      <c r="K15174" s="2">
        <v>1</v>
      </c>
      <c r="L15174" s="2">
        <v>171</v>
      </c>
    </row>
    <row r="15175" spans="1:12" x14ac:dyDescent="0.25">
      <c r="A15175" s="4" t="str">
        <f>HYPERLINK("http://www.rosaceae.org/Prunus/Prunus_persica/p.persica_gdr_reftransV1_0048959","p.persica_gdr_reftransV1_0048959")</f>
        <v>p.persica_gdr_reftransV1_0048959</v>
      </c>
      <c r="B15175" s="2">
        <v>947</v>
      </c>
      <c r="C15175" s="4" t="str">
        <f>HYPERLINK("http://www.uniprot.org/uniprot/M5XTS4","M5XTS4")</f>
        <v>M5XTS4</v>
      </c>
      <c r="D15175" s="2" t="s">
        <v>12221</v>
      </c>
      <c r="E15175" s="3">
        <v>9.3199999999999996E-92</v>
      </c>
      <c r="F15175" s="2">
        <v>728</v>
      </c>
      <c r="G15175" s="2">
        <v>99</v>
      </c>
      <c r="H15175" s="2">
        <v>158</v>
      </c>
      <c r="I15175" s="2">
        <v>139</v>
      </c>
      <c r="J15175" s="2">
        <v>612</v>
      </c>
      <c r="K15175" s="2">
        <v>86</v>
      </c>
      <c r="L15175" s="2">
        <v>243</v>
      </c>
    </row>
    <row r="15176" spans="1:12" x14ac:dyDescent="0.25">
      <c r="A15176" s="4" t="str">
        <f>HYPERLINK("http://www.rosaceae.org/Prunus/Prunus_persica/p.persica_gdr_reftransV1_0000310","p.persica_gdr_reftransV1_0000310")</f>
        <v>p.persica_gdr_reftransV1_0000310</v>
      </c>
      <c r="B15176" s="2">
        <v>2162</v>
      </c>
      <c r="C15176" s="4" t="str">
        <f>HYPERLINK("http://www.uniprot.org/uniprot/M5XF58","M5XF58")</f>
        <v>M5XF58</v>
      </c>
      <c r="D15176" s="2" t="s">
        <v>10585</v>
      </c>
      <c r="E15176" s="3">
        <v>0</v>
      </c>
      <c r="F15176" s="2">
        <v>2461</v>
      </c>
      <c r="G15176" s="2">
        <v>100</v>
      </c>
      <c r="H15176" s="2">
        <v>475</v>
      </c>
      <c r="I15176" s="2">
        <v>321</v>
      </c>
      <c r="J15176" s="2">
        <v>1745</v>
      </c>
      <c r="K15176" s="2">
        <v>211</v>
      </c>
      <c r="L15176" s="2">
        <v>685</v>
      </c>
    </row>
    <row r="15177" spans="1:12" x14ac:dyDescent="0.25">
      <c r="A15177" s="4" t="str">
        <f>HYPERLINK("http://www.rosaceae.org/Prunus/Prunus_persica/p.persica_gdr_reftransV1_0000660","p.persica_gdr_reftransV1_0000660")</f>
        <v>p.persica_gdr_reftransV1_0000660</v>
      </c>
      <c r="B15177" s="2">
        <v>1682</v>
      </c>
      <c r="C15177" s="4" t="str">
        <f>HYPERLINK("http://www.uniprot.org/uniprot/A0A0F6PYV8","A0A0F6PYV8")</f>
        <v>A0A0F6PYV8</v>
      </c>
      <c r="D15177" s="2" t="s">
        <v>12222</v>
      </c>
      <c r="E15177" s="3">
        <v>0</v>
      </c>
      <c r="F15177" s="2">
        <v>2382</v>
      </c>
      <c r="G15177" s="2">
        <v>100</v>
      </c>
      <c r="H15177" s="2">
        <v>507</v>
      </c>
      <c r="I15177" s="2">
        <v>2</v>
      </c>
      <c r="J15177" s="2">
        <v>1522</v>
      </c>
      <c r="K15177" s="2">
        <v>812</v>
      </c>
      <c r="L15177" s="2">
        <v>1318</v>
      </c>
    </row>
    <row r="15178" spans="1:12" x14ac:dyDescent="0.25">
      <c r="A15178" s="4" t="str">
        <f>HYPERLINK("http://www.rosaceae.org/Prunus/Prunus_persica/p.persica_gdr_reftransV1_0001360","p.persica_gdr_reftransV1_0001360")</f>
        <v>p.persica_gdr_reftransV1_0001360</v>
      </c>
      <c r="B15178" s="2">
        <v>1574</v>
      </c>
      <c r="C15178" s="4" t="str">
        <f>HYPERLINK("http://www.uniprot.org/uniprot/M5VJ47","M5VJ47")</f>
        <v>M5VJ47</v>
      </c>
      <c r="D15178" s="2" t="s">
        <v>1362</v>
      </c>
      <c r="E15178" s="3">
        <v>9.7599999999999997E-177</v>
      </c>
      <c r="F15178" s="2">
        <v>1325</v>
      </c>
      <c r="G15178" s="2">
        <v>84</v>
      </c>
      <c r="H15178" s="2">
        <v>410</v>
      </c>
      <c r="I15178" s="2">
        <v>101</v>
      </c>
      <c r="J15178" s="2">
        <v>1231</v>
      </c>
      <c r="K15178" s="2">
        <v>1</v>
      </c>
      <c r="L15178" s="2">
        <v>377</v>
      </c>
    </row>
    <row r="15179" spans="1:12" x14ac:dyDescent="0.25">
      <c r="A15179" s="4" t="str">
        <f>HYPERLINK("http://www.rosaceae.org/Prunus/Prunus_persica/p.persica_gdr_reftransV1_0002060","p.persica_gdr_reftransV1_0002060")</f>
        <v>p.persica_gdr_reftransV1_0002060</v>
      </c>
      <c r="B15179" s="2">
        <v>437</v>
      </c>
      <c r="C15179" s="4" t="str">
        <f>HYPERLINK("http://www.uniprot.org/uniprot/M5XPR9","M5XPR9")</f>
        <v>M5XPR9</v>
      </c>
      <c r="D15179" s="2" t="s">
        <v>10272</v>
      </c>
      <c r="E15179" s="3">
        <v>3.6100000000000002E-79</v>
      </c>
      <c r="F15179" s="2">
        <v>636</v>
      </c>
      <c r="G15179" s="2">
        <v>98</v>
      </c>
      <c r="H15179" s="2">
        <v>122</v>
      </c>
      <c r="I15179" s="2">
        <v>58</v>
      </c>
      <c r="J15179" s="2">
        <v>423</v>
      </c>
      <c r="K15179" s="2">
        <v>225</v>
      </c>
      <c r="L15179" s="2">
        <v>346</v>
      </c>
    </row>
    <row r="15180" spans="1:12" x14ac:dyDescent="0.25">
      <c r="A15180" s="4" t="str">
        <f>HYPERLINK("http://www.rosaceae.org/Prunus/Prunus_persica/p.persica_gdr_reftransV1_0002760","p.persica_gdr_reftransV1_0002760")</f>
        <v>p.persica_gdr_reftransV1_0002760</v>
      </c>
      <c r="B15180" s="2">
        <v>2649</v>
      </c>
      <c r="C15180" s="4" t="str">
        <f>HYPERLINK("http://www.uniprot.org/uniprot/M5XK06","M5XK06")</f>
        <v>M5XK06</v>
      </c>
      <c r="D15180" s="2" t="s">
        <v>12223</v>
      </c>
      <c r="E15180" s="3">
        <v>0</v>
      </c>
      <c r="F15180" s="2">
        <v>2797</v>
      </c>
      <c r="G15180" s="2">
        <v>94</v>
      </c>
      <c r="H15180" s="2">
        <v>581</v>
      </c>
      <c r="I15180" s="2">
        <v>419</v>
      </c>
      <c r="J15180" s="2">
        <v>2161</v>
      </c>
      <c r="K15180" s="2">
        <v>1</v>
      </c>
      <c r="L15180" s="2">
        <v>553</v>
      </c>
    </row>
    <row r="15181" spans="1:12" x14ac:dyDescent="0.25">
      <c r="A15181" s="4" t="str">
        <f>HYPERLINK("http://www.rosaceae.org/Prunus/Prunus_persica/p.persica_gdr_reftransV1_0003110","p.persica_gdr_reftransV1_0003110")</f>
        <v>p.persica_gdr_reftransV1_0003110</v>
      </c>
      <c r="B15181" s="2">
        <v>1107</v>
      </c>
      <c r="C15181" s="4" t="str">
        <f>HYPERLINK("http://www.uniprot.org/uniprot/M5Y8J8","M5Y8J8")</f>
        <v>M5Y8J8</v>
      </c>
      <c r="D15181" s="2" t="s">
        <v>10868</v>
      </c>
      <c r="E15181" s="3">
        <v>0</v>
      </c>
      <c r="F15181" s="2">
        <v>1595</v>
      </c>
      <c r="G15181" s="2">
        <v>100</v>
      </c>
      <c r="H15181" s="2">
        <v>311</v>
      </c>
      <c r="I15181" s="2">
        <v>3</v>
      </c>
      <c r="J15181" s="2">
        <v>935</v>
      </c>
      <c r="K15181" s="2">
        <v>147</v>
      </c>
      <c r="L15181" s="2">
        <v>457</v>
      </c>
    </row>
    <row r="15182" spans="1:12" x14ac:dyDescent="0.25">
      <c r="A15182" s="4" t="str">
        <f>HYPERLINK("http://www.rosaceae.org/Prunus/Prunus_persica/p.persica_gdr_reftransV1_0004510","p.persica_gdr_reftransV1_0004510")</f>
        <v>p.persica_gdr_reftransV1_0004510</v>
      </c>
      <c r="B15182" s="2">
        <v>359</v>
      </c>
      <c r="C15182" s="4" t="str">
        <f>HYPERLINK("http://www.uniprot.org/uniprot/M5XCJ8","M5XCJ8")</f>
        <v>M5XCJ8</v>
      </c>
      <c r="D15182" s="2" t="s">
        <v>4439</v>
      </c>
      <c r="E15182" s="3">
        <v>8.8000000000000007E-47</v>
      </c>
      <c r="F15182" s="2">
        <v>428</v>
      </c>
      <c r="G15182" s="2">
        <v>79</v>
      </c>
      <c r="H15182" s="2">
        <v>117</v>
      </c>
      <c r="I15182" s="2">
        <v>1</v>
      </c>
      <c r="J15182" s="2">
        <v>351</v>
      </c>
      <c r="K15182" s="2">
        <v>218</v>
      </c>
      <c r="L15182" s="2">
        <v>334</v>
      </c>
    </row>
    <row r="15183" spans="1:12" x14ac:dyDescent="0.25">
      <c r="A15183" s="4" t="str">
        <f>HYPERLINK("http://www.rosaceae.org/Prunus/Prunus_persica/p.persica_gdr_reftransV1_0004860","p.persica_gdr_reftransV1_0004860")</f>
        <v>p.persica_gdr_reftransV1_0004860</v>
      </c>
      <c r="B15183" s="2">
        <v>435</v>
      </c>
      <c r="C15183" s="4" t="str">
        <f>HYPERLINK("http://www.uniprot.org/uniprot/M5XHT8","M5XHT8")</f>
        <v>M5XHT8</v>
      </c>
      <c r="D15183" s="2" t="s">
        <v>12224</v>
      </c>
      <c r="E15183" s="3">
        <v>8.5099999999999997E-93</v>
      </c>
      <c r="F15183" s="2">
        <v>766</v>
      </c>
      <c r="G15183" s="2">
        <v>97</v>
      </c>
      <c r="H15183" s="2">
        <v>145</v>
      </c>
      <c r="I15183" s="2">
        <v>1</v>
      </c>
      <c r="J15183" s="2">
        <v>435</v>
      </c>
      <c r="K15183" s="2">
        <v>504</v>
      </c>
      <c r="L15183" s="2">
        <v>648</v>
      </c>
    </row>
    <row r="15184" spans="1:12" x14ac:dyDescent="0.25">
      <c r="A15184" s="4" t="str">
        <f>HYPERLINK("http://www.rosaceae.org/Prunus/Prunus_persica/p.persica_gdr_reftransV1_0005910","p.persica_gdr_reftransV1_0005910")</f>
        <v>p.persica_gdr_reftransV1_0005910</v>
      </c>
      <c r="B15184" s="2">
        <v>338</v>
      </c>
      <c r="C15184" s="4" t="str">
        <f>HYPERLINK("http://www.uniprot.org/uniprot/M5XVF3","M5XVF3")</f>
        <v>M5XVF3</v>
      </c>
      <c r="D15184" s="2" t="s">
        <v>9692</v>
      </c>
      <c r="E15184" s="3">
        <v>1.8199999999999999E-38</v>
      </c>
      <c r="F15184" s="2">
        <v>370</v>
      </c>
      <c r="G15184" s="2">
        <v>87</v>
      </c>
      <c r="H15184" s="2">
        <v>91</v>
      </c>
      <c r="I15184" s="2">
        <v>69</v>
      </c>
      <c r="J15184" s="2">
        <v>338</v>
      </c>
      <c r="K15184" s="2">
        <v>1</v>
      </c>
      <c r="L15184" s="2">
        <v>91</v>
      </c>
    </row>
    <row r="15185" spans="1:12" x14ac:dyDescent="0.25">
      <c r="A15185" s="4" t="str">
        <f>HYPERLINK("http://www.rosaceae.org/Prunus/Prunus_persica/p.persica_gdr_reftransV1_0006260","p.persica_gdr_reftransV1_0006260")</f>
        <v>p.persica_gdr_reftransV1_0006260</v>
      </c>
      <c r="B15185" s="2">
        <v>401</v>
      </c>
      <c r="C15185" s="4" t="str">
        <f>HYPERLINK("http://www.uniprot.org/uniprot/M5XPM5","M5XPM5")</f>
        <v>M5XPM5</v>
      </c>
      <c r="D15185" s="2" t="s">
        <v>12225</v>
      </c>
      <c r="E15185" s="3">
        <v>8.99E-62</v>
      </c>
      <c r="F15185" s="2">
        <v>497</v>
      </c>
      <c r="G15185" s="2">
        <v>100</v>
      </c>
      <c r="H15185" s="2">
        <v>95</v>
      </c>
      <c r="I15185" s="2">
        <v>97</v>
      </c>
      <c r="J15185" s="2">
        <v>381</v>
      </c>
      <c r="K15185" s="2">
        <v>1</v>
      </c>
      <c r="L15185" s="2">
        <v>95</v>
      </c>
    </row>
    <row r="15186" spans="1:12" x14ac:dyDescent="0.25">
      <c r="A15186" s="4" t="str">
        <f>HYPERLINK("http://www.rosaceae.org/Prunus/Prunus_persica/p.persica_gdr_reftransV1_0006960","p.persica_gdr_reftransV1_0006960")</f>
        <v>p.persica_gdr_reftransV1_0006960</v>
      </c>
      <c r="B15186" s="2">
        <v>516</v>
      </c>
      <c r="C15186" s="4" t="str">
        <f>HYPERLINK("http://www.uniprot.org/uniprot/M5WS53","M5WS53")</f>
        <v>M5WS53</v>
      </c>
      <c r="D15186" s="2" t="s">
        <v>2527</v>
      </c>
      <c r="E15186" s="3">
        <v>6.6100000000000004E-70</v>
      </c>
      <c r="F15186" s="2">
        <v>587</v>
      </c>
      <c r="G15186" s="2">
        <v>67</v>
      </c>
      <c r="H15186" s="2">
        <v>174</v>
      </c>
      <c r="I15186" s="2">
        <v>1</v>
      </c>
      <c r="J15186" s="2">
        <v>516</v>
      </c>
      <c r="K15186" s="2">
        <v>171</v>
      </c>
      <c r="L15186" s="2">
        <v>342</v>
      </c>
    </row>
    <row r="15187" spans="1:12" x14ac:dyDescent="0.25">
      <c r="A15187" s="4" t="str">
        <f>HYPERLINK("http://www.rosaceae.org/Prunus/Prunus_persica/p.persica_gdr_reftransV1_0007310","p.persica_gdr_reftransV1_0007310")</f>
        <v>p.persica_gdr_reftransV1_0007310</v>
      </c>
      <c r="B15187" s="2">
        <v>1306</v>
      </c>
      <c r="C15187" s="4" t="str">
        <f>HYPERLINK("http://www.uniprot.org/uniprot/M5W2U2","M5W2U2")</f>
        <v>M5W2U2</v>
      </c>
      <c r="D15187" s="2" t="s">
        <v>12226</v>
      </c>
      <c r="E15187" s="3">
        <v>0</v>
      </c>
      <c r="F15187" s="2">
        <v>1496</v>
      </c>
      <c r="G15187" s="2">
        <v>100</v>
      </c>
      <c r="H15187" s="2">
        <v>298</v>
      </c>
      <c r="I15187" s="2">
        <v>86</v>
      </c>
      <c r="J15187" s="2">
        <v>979</v>
      </c>
      <c r="K15187" s="2">
        <v>1</v>
      </c>
      <c r="L15187" s="2">
        <v>298</v>
      </c>
    </row>
    <row r="15188" spans="1:12" x14ac:dyDescent="0.25">
      <c r="A15188" s="4" t="str">
        <f>HYPERLINK("http://www.rosaceae.org/Prunus/Prunus_persica/p.persica_gdr_reftransV1_0008010","p.persica_gdr_reftransV1_0008010")</f>
        <v>p.persica_gdr_reftransV1_0008010</v>
      </c>
      <c r="B15188" s="2">
        <v>1828</v>
      </c>
      <c r="C15188" s="4" t="str">
        <f>HYPERLINK("http://www.uniprot.org/uniprot/M5WZ43","M5WZ43")</f>
        <v>M5WZ43</v>
      </c>
      <c r="D15188" s="2" t="s">
        <v>12227</v>
      </c>
      <c r="E15188" s="3">
        <v>0</v>
      </c>
      <c r="F15188" s="2">
        <v>1497</v>
      </c>
      <c r="G15188" s="2">
        <v>100</v>
      </c>
      <c r="H15188" s="2">
        <v>325</v>
      </c>
      <c r="I15188" s="2">
        <v>349</v>
      </c>
      <c r="J15188" s="2">
        <v>1323</v>
      </c>
      <c r="K15188" s="2">
        <v>1</v>
      </c>
      <c r="L15188" s="2">
        <v>325</v>
      </c>
    </row>
    <row r="15189" spans="1:12" x14ac:dyDescent="0.25">
      <c r="A15189" s="4" t="str">
        <f>HYPERLINK("http://www.rosaceae.org/Prunus/Prunus_persica/p.persica_gdr_reftransV1_0008360","p.persica_gdr_reftransV1_0008360")</f>
        <v>p.persica_gdr_reftransV1_0008360</v>
      </c>
      <c r="B15189" s="2">
        <v>2166</v>
      </c>
      <c r="C15189" s="4" t="str">
        <f>HYPERLINK("http://www.uniprot.org/uniprot/M5VUP4","M5VUP4")</f>
        <v>M5VUP4</v>
      </c>
      <c r="D15189" s="2" t="s">
        <v>12228</v>
      </c>
      <c r="E15189" s="3">
        <v>0</v>
      </c>
      <c r="F15189" s="2">
        <v>1481</v>
      </c>
      <c r="G15189" s="2">
        <v>100</v>
      </c>
      <c r="H15189" s="2">
        <v>318</v>
      </c>
      <c r="I15189" s="2">
        <v>201</v>
      </c>
      <c r="J15189" s="2">
        <v>1154</v>
      </c>
      <c r="K15189" s="2">
        <v>171</v>
      </c>
      <c r="L15189" s="2">
        <v>488</v>
      </c>
    </row>
    <row r="15190" spans="1:12" x14ac:dyDescent="0.25">
      <c r="A15190" s="4" t="str">
        <f>HYPERLINK("http://www.rosaceae.org/Prunus/Prunus_persica/p.persica_gdr_reftransV1_0009060","p.persica_gdr_reftransV1_0009060")</f>
        <v>p.persica_gdr_reftransV1_0009060</v>
      </c>
      <c r="B15190" s="2">
        <v>4077</v>
      </c>
      <c r="C15190" s="4" t="str">
        <f>HYPERLINK("http://www.uniprot.org/uniprot/M5WWH9","M5WWH9")</f>
        <v>M5WWH9</v>
      </c>
      <c r="D15190" s="2" t="s">
        <v>12229</v>
      </c>
      <c r="E15190" s="3">
        <v>0</v>
      </c>
      <c r="F15190" s="2">
        <v>5119</v>
      </c>
      <c r="G15190" s="2">
        <v>98</v>
      </c>
      <c r="H15190" s="2">
        <v>1060</v>
      </c>
      <c r="I15190" s="2">
        <v>659</v>
      </c>
      <c r="J15190" s="2">
        <v>3838</v>
      </c>
      <c r="K15190" s="2">
        <v>1</v>
      </c>
      <c r="L15190" s="2">
        <v>1044</v>
      </c>
    </row>
    <row r="15191" spans="1:12" x14ac:dyDescent="0.25">
      <c r="A15191" s="4" t="str">
        <f>HYPERLINK("http://www.rosaceae.org/Prunus/Prunus_persica/p.persica_gdr_reftransV1_0009410","p.persica_gdr_reftransV1_0009410")</f>
        <v>p.persica_gdr_reftransV1_0009410</v>
      </c>
      <c r="B15191" s="2">
        <v>1189</v>
      </c>
      <c r="C15191" s="4" t="str">
        <f>HYPERLINK("http://www.uniprot.org/uniprot/M5VRJ4","M5VRJ4")</f>
        <v>M5VRJ4</v>
      </c>
      <c r="D15191" s="2" t="s">
        <v>12230</v>
      </c>
      <c r="E15191" s="3">
        <v>0</v>
      </c>
      <c r="F15191" s="2">
        <v>1475</v>
      </c>
      <c r="G15191" s="2">
        <v>100</v>
      </c>
      <c r="H15191" s="2">
        <v>277</v>
      </c>
      <c r="I15191" s="2">
        <v>226</v>
      </c>
      <c r="J15191" s="2">
        <v>1056</v>
      </c>
      <c r="K15191" s="2">
        <v>1</v>
      </c>
      <c r="L15191" s="2">
        <v>277</v>
      </c>
    </row>
    <row r="15192" spans="1:12" x14ac:dyDescent="0.25">
      <c r="A15192" s="4" t="str">
        <f>HYPERLINK("http://www.rosaceae.org/Prunus/Prunus_persica/p.persica_gdr_reftransV1_0009760","p.persica_gdr_reftransV1_0009760")</f>
        <v>p.persica_gdr_reftransV1_0009760</v>
      </c>
      <c r="B15192" s="2">
        <v>2281</v>
      </c>
      <c r="C15192" s="4" t="str">
        <f>HYPERLINK("http://www.uniprot.org/uniprot/M5WTX4","M5WTX4")</f>
        <v>M5WTX4</v>
      </c>
      <c r="D15192" s="2" t="s">
        <v>12231</v>
      </c>
      <c r="E15192" s="3">
        <v>7.66E-118</v>
      </c>
      <c r="F15192" s="2">
        <v>939</v>
      </c>
      <c r="G15192" s="2">
        <v>100</v>
      </c>
      <c r="H15192" s="2">
        <v>224</v>
      </c>
      <c r="I15192" s="2">
        <v>1564</v>
      </c>
      <c r="J15192" s="2">
        <v>2235</v>
      </c>
      <c r="K15192" s="2">
        <v>1</v>
      </c>
      <c r="L15192" s="2">
        <v>224</v>
      </c>
    </row>
    <row r="15193" spans="1:12" x14ac:dyDescent="0.25">
      <c r="A15193" s="4" t="str">
        <f>HYPERLINK("http://www.rosaceae.org/Prunus/Prunus_persica/p.persica_gdr_reftransV1_0010460","p.persica_gdr_reftransV1_0010460")</f>
        <v>p.persica_gdr_reftransV1_0010460</v>
      </c>
      <c r="B15193" s="2">
        <v>1966</v>
      </c>
      <c r="C15193" s="4" t="str">
        <f>HYPERLINK("http://www.uniprot.org/uniprot/M5WHC7","M5WHC7")</f>
        <v>M5WHC7</v>
      </c>
      <c r="D15193" s="2" t="s">
        <v>12232</v>
      </c>
      <c r="E15193" s="3">
        <v>0</v>
      </c>
      <c r="F15193" s="2">
        <v>2263</v>
      </c>
      <c r="G15193" s="2">
        <v>100</v>
      </c>
      <c r="H15193" s="2">
        <v>445</v>
      </c>
      <c r="I15193" s="2">
        <v>185</v>
      </c>
      <c r="J15193" s="2">
        <v>1519</v>
      </c>
      <c r="K15193" s="2">
        <v>1</v>
      </c>
      <c r="L15193" s="2">
        <v>445</v>
      </c>
    </row>
    <row r="15194" spans="1:12" x14ac:dyDescent="0.25">
      <c r="A15194" s="4" t="str">
        <f>HYPERLINK("http://www.rosaceae.org/Prunus/Prunus_persica/p.persica_gdr_reftransV1_0010810","p.persica_gdr_reftransV1_0010810")</f>
        <v>p.persica_gdr_reftransV1_0010810</v>
      </c>
      <c r="B15194" s="2">
        <v>1352</v>
      </c>
      <c r="C15194" s="4" t="str">
        <f>HYPERLINK("http://www.uniprot.org/uniprot/M5XKY0","M5XKY0")</f>
        <v>M5XKY0</v>
      </c>
      <c r="D15194" s="2" t="s">
        <v>2508</v>
      </c>
      <c r="E15194" s="3">
        <v>5.4600000000000002E-148</v>
      </c>
      <c r="F15194" s="2">
        <v>1155</v>
      </c>
      <c r="G15194" s="2">
        <v>100</v>
      </c>
      <c r="H15194" s="2">
        <v>216</v>
      </c>
      <c r="I15194" s="2">
        <v>2</v>
      </c>
      <c r="J15194" s="2">
        <v>649</v>
      </c>
      <c r="K15194" s="2">
        <v>452</v>
      </c>
      <c r="L15194" s="2">
        <v>667</v>
      </c>
    </row>
    <row r="15195" spans="1:12" x14ac:dyDescent="0.25">
      <c r="A15195" s="4" t="str">
        <f>HYPERLINK("http://www.rosaceae.org/Prunus/Prunus_persica/p.persica_gdr_reftransV1_0011160","p.persica_gdr_reftransV1_0011160")</f>
        <v>p.persica_gdr_reftransV1_0011160</v>
      </c>
      <c r="B15195" s="2">
        <v>992</v>
      </c>
      <c r="C15195" s="4" t="str">
        <f>HYPERLINK("http://www.uniprot.org/uniprot/M5WX17","M5WX17")</f>
        <v>M5WX17</v>
      </c>
      <c r="D15195" s="2" t="s">
        <v>531</v>
      </c>
      <c r="E15195" s="3">
        <v>0</v>
      </c>
      <c r="F15195" s="2">
        <v>1787</v>
      </c>
      <c r="G15195" s="2">
        <v>100</v>
      </c>
      <c r="H15195" s="2">
        <v>330</v>
      </c>
      <c r="I15195" s="2">
        <v>3</v>
      </c>
      <c r="J15195" s="2">
        <v>992</v>
      </c>
      <c r="K15195" s="2">
        <v>306</v>
      </c>
      <c r="L15195" s="2">
        <v>635</v>
      </c>
    </row>
    <row r="15196" spans="1:12" x14ac:dyDescent="0.25">
      <c r="A15196" s="4" t="str">
        <f>HYPERLINK("http://www.rosaceae.org/Prunus/Prunus_persica/p.persica_gdr_reftransV1_0011510","p.persica_gdr_reftransV1_0011510")</f>
        <v>p.persica_gdr_reftransV1_0011510</v>
      </c>
      <c r="B15196" s="2">
        <v>1167</v>
      </c>
      <c r="C15196" s="4" t="str">
        <f>HYPERLINK("http://www.uniprot.org/uniprot/M5VYV6","M5VYV6")</f>
        <v>M5VYV6</v>
      </c>
      <c r="D15196" s="2" t="s">
        <v>8621</v>
      </c>
      <c r="E15196" s="3">
        <v>0</v>
      </c>
      <c r="F15196" s="2">
        <v>1689</v>
      </c>
      <c r="G15196" s="2">
        <v>97</v>
      </c>
      <c r="H15196" s="2">
        <v>365</v>
      </c>
      <c r="I15196" s="2">
        <v>71</v>
      </c>
      <c r="J15196" s="2">
        <v>1165</v>
      </c>
      <c r="K15196" s="2">
        <v>2</v>
      </c>
      <c r="L15196" s="2">
        <v>354</v>
      </c>
    </row>
    <row r="15197" spans="1:12" x14ac:dyDescent="0.25">
      <c r="A15197" s="4" t="str">
        <f>HYPERLINK("http://www.rosaceae.org/Prunus/Prunus_persica/p.persica_gdr_reftransV1_0012560","p.persica_gdr_reftransV1_0012560")</f>
        <v>p.persica_gdr_reftransV1_0012560</v>
      </c>
      <c r="B15197" s="2">
        <v>3607</v>
      </c>
      <c r="C15197" s="4" t="str">
        <f>HYPERLINK("http://www.uniprot.org/uniprot/M5WRP8","M5WRP8")</f>
        <v>M5WRP8</v>
      </c>
      <c r="D15197" s="2" t="s">
        <v>10229</v>
      </c>
      <c r="E15197" s="3">
        <v>0</v>
      </c>
      <c r="F15197" s="2">
        <v>2492</v>
      </c>
      <c r="G15197" s="2">
        <v>100</v>
      </c>
      <c r="H15197" s="2">
        <v>501</v>
      </c>
      <c r="I15197" s="2">
        <v>1515</v>
      </c>
      <c r="J15197" s="2">
        <v>3017</v>
      </c>
      <c r="K15197" s="2">
        <v>1</v>
      </c>
      <c r="L15197" s="2">
        <v>501</v>
      </c>
    </row>
    <row r="15198" spans="1:12" x14ac:dyDescent="0.25">
      <c r="A15198" s="4" t="str">
        <f>HYPERLINK("http://www.rosaceae.org/Prunus/Prunus_persica/p.persica_gdr_reftransV1_0013610","p.persica_gdr_reftransV1_0013610")</f>
        <v>p.persica_gdr_reftransV1_0013610</v>
      </c>
      <c r="B15198" s="2">
        <v>2902</v>
      </c>
      <c r="C15198" s="4" t="str">
        <f>HYPERLINK("http://www.uniprot.org/uniprot/M5XCD9","M5XCD9")</f>
        <v>M5XCD9</v>
      </c>
      <c r="D15198" s="2" t="s">
        <v>12233</v>
      </c>
      <c r="E15198" s="3">
        <v>0</v>
      </c>
      <c r="F15198" s="2">
        <v>3892</v>
      </c>
      <c r="G15198" s="2">
        <v>98</v>
      </c>
      <c r="H15198" s="2">
        <v>750</v>
      </c>
      <c r="I15198" s="2">
        <v>258</v>
      </c>
      <c r="J15198" s="2">
        <v>2507</v>
      </c>
      <c r="K15198" s="2">
        <v>1</v>
      </c>
      <c r="L15198" s="2">
        <v>737</v>
      </c>
    </row>
    <row r="15199" spans="1:12" x14ac:dyDescent="0.25">
      <c r="A15199" s="4" t="str">
        <f>HYPERLINK("http://www.rosaceae.org/Prunus/Prunus_persica/p.persica_gdr_reftransV1_0013960","p.persica_gdr_reftransV1_0013960")</f>
        <v>p.persica_gdr_reftransV1_0013960</v>
      </c>
      <c r="B15199" s="2">
        <v>1068</v>
      </c>
      <c r="C15199" s="4" t="str">
        <f>HYPERLINK("http://www.uniprot.org/uniprot/M5X204","M5X204")</f>
        <v>M5X204</v>
      </c>
      <c r="D15199" s="2" t="s">
        <v>12234</v>
      </c>
      <c r="E15199" s="3">
        <v>2.2800000000000001E-109</v>
      </c>
      <c r="F15199" s="2">
        <v>848</v>
      </c>
      <c r="G15199" s="2">
        <v>100</v>
      </c>
      <c r="H15199" s="2">
        <v>232</v>
      </c>
      <c r="I15199" s="2">
        <v>288</v>
      </c>
      <c r="J15199" s="2">
        <v>983</v>
      </c>
      <c r="K15199" s="2">
        <v>1</v>
      </c>
      <c r="L15199" s="2">
        <v>232</v>
      </c>
    </row>
    <row r="15200" spans="1:12" x14ac:dyDescent="0.25">
      <c r="A15200" s="4" t="str">
        <f>HYPERLINK("http://www.rosaceae.org/Prunus/Prunus_persica/p.persica_gdr_reftransV1_0014310","p.persica_gdr_reftransV1_0014310")</f>
        <v>p.persica_gdr_reftransV1_0014310</v>
      </c>
      <c r="B15200" s="2">
        <v>2126</v>
      </c>
      <c r="C15200" s="4" t="str">
        <f>HYPERLINK("http://www.uniprot.org/uniprot/M5XMP6","M5XMP6")</f>
        <v>M5XMP6</v>
      </c>
      <c r="D15200" s="2" t="s">
        <v>12235</v>
      </c>
      <c r="E15200" s="3">
        <v>0</v>
      </c>
      <c r="F15200" s="2">
        <v>3003</v>
      </c>
      <c r="G15200" s="2">
        <v>100</v>
      </c>
      <c r="H15200" s="2">
        <v>611</v>
      </c>
      <c r="I15200" s="2">
        <v>56</v>
      </c>
      <c r="J15200" s="2">
        <v>1888</v>
      </c>
      <c r="K15200" s="2">
        <v>1</v>
      </c>
      <c r="L15200" s="2">
        <v>611</v>
      </c>
    </row>
    <row r="15201" spans="1:12" x14ac:dyDescent="0.25">
      <c r="A15201" s="4" t="str">
        <f>HYPERLINK("http://www.rosaceae.org/Prunus/Prunus_persica/p.persica_gdr_reftransV1_0016060","p.persica_gdr_reftransV1_0016060")</f>
        <v>p.persica_gdr_reftransV1_0016060</v>
      </c>
      <c r="B15201" s="2">
        <v>2030</v>
      </c>
      <c r="C15201" s="4" t="str">
        <f>HYPERLINK("http://www.uniprot.org/uniprot/M5VVG9","M5VVG9")</f>
        <v>M5VVG9</v>
      </c>
      <c r="D15201" s="2" t="s">
        <v>12236</v>
      </c>
      <c r="E15201" s="3">
        <v>0</v>
      </c>
      <c r="F15201" s="2">
        <v>2566</v>
      </c>
      <c r="G15201" s="2">
        <v>94</v>
      </c>
      <c r="H15201" s="2">
        <v>544</v>
      </c>
      <c r="I15201" s="2">
        <v>135</v>
      </c>
      <c r="J15201" s="2">
        <v>1766</v>
      </c>
      <c r="K15201" s="2">
        <v>1</v>
      </c>
      <c r="L15201" s="2">
        <v>513</v>
      </c>
    </row>
    <row r="15202" spans="1:12" x14ac:dyDescent="0.25">
      <c r="A15202" s="4" t="str">
        <f>HYPERLINK("http://www.rosaceae.org/Prunus/Prunus_persica/p.persica_gdr_reftransV1_0016410","p.persica_gdr_reftransV1_0016410")</f>
        <v>p.persica_gdr_reftransV1_0016410</v>
      </c>
      <c r="B15202" s="2">
        <v>2125</v>
      </c>
      <c r="C15202" s="4" t="str">
        <f>HYPERLINK("http://www.uniprot.org/uniprot/M5X6B1","M5X6B1")</f>
        <v>M5X6B1</v>
      </c>
      <c r="D15202" s="2" t="s">
        <v>12237</v>
      </c>
      <c r="E15202" s="3">
        <v>0</v>
      </c>
      <c r="F15202" s="2">
        <v>2482</v>
      </c>
      <c r="G15202" s="2">
        <v>100</v>
      </c>
      <c r="H15202" s="2">
        <v>528</v>
      </c>
      <c r="I15202" s="2">
        <v>122</v>
      </c>
      <c r="J15202" s="2">
        <v>1705</v>
      </c>
      <c r="K15202" s="2">
        <v>1</v>
      </c>
      <c r="L15202" s="2">
        <v>528</v>
      </c>
    </row>
    <row r="15203" spans="1:12" x14ac:dyDescent="0.25">
      <c r="A15203" s="4" t="str">
        <f>HYPERLINK("http://www.rosaceae.org/Prunus/Prunus_persica/p.persica_gdr_reftransV1_0016760","p.persica_gdr_reftransV1_0016760")</f>
        <v>p.persica_gdr_reftransV1_0016760</v>
      </c>
      <c r="B15203" s="2">
        <v>2034</v>
      </c>
      <c r="C15203" s="4" t="str">
        <f>HYPERLINK("http://www.uniprot.org/uniprot/M5WV09","M5WV09")</f>
        <v>M5WV09</v>
      </c>
      <c r="D15203" s="2" t="s">
        <v>8120</v>
      </c>
      <c r="E15203" s="3">
        <v>1.52E-122</v>
      </c>
      <c r="F15203" s="2">
        <v>971</v>
      </c>
      <c r="G15203" s="2">
        <v>94</v>
      </c>
      <c r="H15203" s="2">
        <v>193</v>
      </c>
      <c r="I15203" s="2">
        <v>367</v>
      </c>
      <c r="J15203" s="2">
        <v>945</v>
      </c>
      <c r="K15203" s="2">
        <v>110</v>
      </c>
      <c r="L15203" s="2">
        <v>291</v>
      </c>
    </row>
    <row r="15204" spans="1:12" x14ac:dyDescent="0.25">
      <c r="A15204" s="4" t="str">
        <f>HYPERLINK("http://www.rosaceae.org/Prunus/Prunus_persica/p.persica_gdr_reftransV1_0017810","p.persica_gdr_reftransV1_0017810")</f>
        <v>p.persica_gdr_reftransV1_0017810</v>
      </c>
      <c r="B15204" s="2">
        <v>1772</v>
      </c>
      <c r="C15204" s="4" t="str">
        <f>HYPERLINK("http://www.uniprot.org/uniprot/M5VZ08","M5VZ08")</f>
        <v>M5VZ08</v>
      </c>
      <c r="D15204" s="2" t="s">
        <v>8260</v>
      </c>
      <c r="E15204" s="3">
        <v>0</v>
      </c>
      <c r="F15204" s="2">
        <v>1796</v>
      </c>
      <c r="G15204" s="2">
        <v>100</v>
      </c>
      <c r="H15204" s="2">
        <v>346</v>
      </c>
      <c r="I15204" s="2">
        <v>285</v>
      </c>
      <c r="J15204" s="2">
        <v>1322</v>
      </c>
      <c r="K15204" s="2">
        <v>1</v>
      </c>
      <c r="L15204" s="2">
        <v>346</v>
      </c>
    </row>
    <row r="15205" spans="1:12" x14ac:dyDescent="0.25">
      <c r="A15205" s="4" t="str">
        <f>HYPERLINK("http://www.rosaceae.org/Prunus/Prunus_persica/p.persica_gdr_reftransV1_0018160","p.persica_gdr_reftransV1_0018160")</f>
        <v>p.persica_gdr_reftransV1_0018160</v>
      </c>
      <c r="B15205" s="2">
        <v>1561</v>
      </c>
      <c r="C15205" s="4" t="str">
        <f>HYPERLINK("http://www.uniprot.org/uniprot/M5WYA2","M5WYA2")</f>
        <v>M5WYA2</v>
      </c>
      <c r="D15205" s="2" t="s">
        <v>12238</v>
      </c>
      <c r="E15205" s="3">
        <v>0</v>
      </c>
      <c r="F15205" s="2">
        <v>1425</v>
      </c>
      <c r="G15205" s="2">
        <v>90</v>
      </c>
      <c r="H15205" s="2">
        <v>325</v>
      </c>
      <c r="I15205" s="2">
        <v>187</v>
      </c>
      <c r="J15205" s="2">
        <v>1161</v>
      </c>
      <c r="K15205" s="2">
        <v>9</v>
      </c>
      <c r="L15205" s="2">
        <v>303</v>
      </c>
    </row>
    <row r="15206" spans="1:12" x14ac:dyDescent="0.25">
      <c r="A15206" s="4" t="str">
        <f>HYPERLINK("http://www.rosaceae.org/Prunus/Prunus_persica/p.persica_gdr_reftransV1_0018510","p.persica_gdr_reftransV1_0018510")</f>
        <v>p.persica_gdr_reftransV1_0018510</v>
      </c>
      <c r="B15206" s="2">
        <v>2584</v>
      </c>
      <c r="C15206" s="4" t="str">
        <f>HYPERLINK("http://www.uniprot.org/uniprot/M5WRW3","M5WRW3")</f>
        <v>M5WRW3</v>
      </c>
      <c r="D15206" s="2" t="s">
        <v>6204</v>
      </c>
      <c r="E15206" s="3">
        <v>0</v>
      </c>
      <c r="F15206" s="2">
        <v>1589</v>
      </c>
      <c r="G15206" s="2">
        <v>94</v>
      </c>
      <c r="H15206" s="2">
        <v>458</v>
      </c>
      <c r="I15206" s="2">
        <v>349</v>
      </c>
      <c r="J15206" s="2">
        <v>1722</v>
      </c>
      <c r="K15206" s="2">
        <v>23</v>
      </c>
      <c r="L15206" s="2">
        <v>467</v>
      </c>
    </row>
    <row r="15207" spans="1:12" x14ac:dyDescent="0.25">
      <c r="A15207" s="4" t="str">
        <f>HYPERLINK("http://www.rosaceae.org/Prunus/Prunus_persica/p.persica_gdr_reftransV1_0018860","p.persica_gdr_reftransV1_0018860")</f>
        <v>p.persica_gdr_reftransV1_0018860</v>
      </c>
      <c r="B15207" s="2">
        <v>1821</v>
      </c>
      <c r="C15207" s="4" t="str">
        <f>HYPERLINK("http://www.uniprot.org/uniprot/M5WEK2","M5WEK2")</f>
        <v>M5WEK2</v>
      </c>
      <c r="D15207" s="2" t="s">
        <v>12239</v>
      </c>
      <c r="E15207" s="3">
        <v>0</v>
      </c>
      <c r="F15207" s="2">
        <v>1353</v>
      </c>
      <c r="G15207" s="2">
        <v>100</v>
      </c>
      <c r="H15207" s="2">
        <v>272</v>
      </c>
      <c r="I15207" s="2">
        <v>667</v>
      </c>
      <c r="J15207" s="2">
        <v>1482</v>
      </c>
      <c r="K15207" s="2">
        <v>1</v>
      </c>
      <c r="L15207" s="2">
        <v>272</v>
      </c>
    </row>
    <row r="15208" spans="1:12" x14ac:dyDescent="0.25">
      <c r="A15208" s="4" t="str">
        <f>HYPERLINK("http://www.rosaceae.org/Prunus/Prunus_persica/p.persica_gdr_reftransV1_0019210","p.persica_gdr_reftransV1_0019210")</f>
        <v>p.persica_gdr_reftransV1_0019210</v>
      </c>
      <c r="B15208" s="2">
        <v>376</v>
      </c>
      <c r="C15208" s="4" t="str">
        <f>HYPERLINK("http://www.uniprot.org/uniprot/M5VYH8","M5VYH8")</f>
        <v>M5VYH8</v>
      </c>
      <c r="D15208" s="2" t="s">
        <v>12240</v>
      </c>
      <c r="E15208" s="3">
        <v>7.1199999999999996E-38</v>
      </c>
      <c r="F15208" s="2">
        <v>367</v>
      </c>
      <c r="G15208" s="2">
        <v>100</v>
      </c>
      <c r="H15208" s="2">
        <v>118</v>
      </c>
      <c r="I15208" s="2">
        <v>2</v>
      </c>
      <c r="J15208" s="2">
        <v>355</v>
      </c>
      <c r="K15208" s="2">
        <v>1</v>
      </c>
      <c r="L15208" s="2">
        <v>118</v>
      </c>
    </row>
    <row r="15209" spans="1:12" x14ac:dyDescent="0.25">
      <c r="A15209" s="4" t="str">
        <f>HYPERLINK("http://www.rosaceae.org/Prunus/Prunus_persica/p.persica_gdr_reftransV1_0019560","p.persica_gdr_reftransV1_0019560")</f>
        <v>p.persica_gdr_reftransV1_0019560</v>
      </c>
      <c r="B15209" s="2">
        <v>1580</v>
      </c>
      <c r="C15209" s="4" t="str">
        <f>HYPERLINK("http://www.uniprot.org/uniprot/M5X956","M5X956")</f>
        <v>M5X956</v>
      </c>
      <c r="D15209" s="2" t="s">
        <v>12241</v>
      </c>
      <c r="E15209" s="3">
        <v>0</v>
      </c>
      <c r="F15209" s="2">
        <v>1600</v>
      </c>
      <c r="G15209" s="2">
        <v>100</v>
      </c>
      <c r="H15209" s="2">
        <v>329</v>
      </c>
      <c r="I15209" s="2">
        <v>379</v>
      </c>
      <c r="J15209" s="2">
        <v>1365</v>
      </c>
      <c r="K15209" s="2">
        <v>6</v>
      </c>
      <c r="L15209" s="2">
        <v>334</v>
      </c>
    </row>
    <row r="15210" spans="1:12" x14ac:dyDescent="0.25">
      <c r="A15210" s="4" t="str">
        <f>HYPERLINK("http://www.rosaceae.org/Prunus/Prunus_persica/p.persica_gdr_reftransV1_0020260","p.persica_gdr_reftransV1_0020260")</f>
        <v>p.persica_gdr_reftransV1_0020260</v>
      </c>
      <c r="B15210" s="2">
        <v>1260</v>
      </c>
      <c r="C15210" s="4" t="str">
        <f>HYPERLINK("http://www.uniprot.org/uniprot/M5VRE6","M5VRE6")</f>
        <v>M5VRE6</v>
      </c>
      <c r="D15210" s="2" t="s">
        <v>12242</v>
      </c>
      <c r="E15210" s="3">
        <v>0</v>
      </c>
      <c r="F15210" s="2">
        <v>1617</v>
      </c>
      <c r="G15210" s="2">
        <v>100</v>
      </c>
      <c r="H15210" s="2">
        <v>300</v>
      </c>
      <c r="I15210" s="2">
        <v>133</v>
      </c>
      <c r="J15210" s="2">
        <v>1032</v>
      </c>
      <c r="K15210" s="2">
        <v>1</v>
      </c>
      <c r="L15210" s="2">
        <v>300</v>
      </c>
    </row>
    <row r="15211" spans="1:12" x14ac:dyDescent="0.25">
      <c r="A15211" s="4" t="str">
        <f>HYPERLINK("http://www.rosaceae.org/Prunus/Prunus_persica/p.persica_gdr_reftransV1_0020610","p.persica_gdr_reftransV1_0020610")</f>
        <v>p.persica_gdr_reftransV1_0020610</v>
      </c>
      <c r="B15211" s="2">
        <v>2795</v>
      </c>
      <c r="C15211" s="4" t="str">
        <f>HYPERLINK("http://www.uniprot.org/uniprot/M5VVN8","M5VVN8")</f>
        <v>M5VVN8</v>
      </c>
      <c r="D15211" s="2" t="s">
        <v>12243</v>
      </c>
      <c r="E15211" s="3">
        <v>0</v>
      </c>
      <c r="F15211" s="2">
        <v>3191</v>
      </c>
      <c r="G15211" s="2">
        <v>95</v>
      </c>
      <c r="H15211" s="2">
        <v>693</v>
      </c>
      <c r="I15211" s="2">
        <v>723</v>
      </c>
      <c r="J15211" s="2">
        <v>2705</v>
      </c>
      <c r="K15211" s="2">
        <v>8</v>
      </c>
      <c r="L15211" s="2">
        <v>700</v>
      </c>
    </row>
    <row r="15212" spans="1:12" x14ac:dyDescent="0.25">
      <c r="A15212" s="4" t="str">
        <f>HYPERLINK("http://www.rosaceae.org/Prunus/Prunus_persica/p.persica_gdr_reftransV1_0021310","p.persica_gdr_reftransV1_0021310")</f>
        <v>p.persica_gdr_reftransV1_0021310</v>
      </c>
      <c r="B15212" s="2">
        <v>1108</v>
      </c>
      <c r="C15212" s="4" t="str">
        <f>HYPERLINK("http://www.uniprot.org/uniprot/M5VIX1","M5VIX1")</f>
        <v>M5VIX1</v>
      </c>
      <c r="D15212" s="2" t="s">
        <v>7208</v>
      </c>
      <c r="E15212" s="3">
        <v>0</v>
      </c>
      <c r="F15212" s="2">
        <v>1375</v>
      </c>
      <c r="G15212" s="2">
        <v>100</v>
      </c>
      <c r="H15212" s="2">
        <v>268</v>
      </c>
      <c r="I15212" s="2">
        <v>292</v>
      </c>
      <c r="J15212" s="2">
        <v>1095</v>
      </c>
      <c r="K15212" s="2">
        <v>199</v>
      </c>
      <c r="L15212" s="2">
        <v>466</v>
      </c>
    </row>
    <row r="15213" spans="1:12" x14ac:dyDescent="0.25">
      <c r="A15213" s="4" t="str">
        <f>HYPERLINK("http://www.rosaceae.org/Prunus/Prunus_persica/p.persica_gdr_reftransV1_0023410","p.persica_gdr_reftransV1_0023410")</f>
        <v>p.persica_gdr_reftransV1_0023410</v>
      </c>
      <c r="B15213" s="2">
        <v>700</v>
      </c>
      <c r="C15213" s="4" t="str">
        <f>HYPERLINK("http://www.uniprot.org/uniprot/M5VU70","M5VU70")</f>
        <v>M5VU70</v>
      </c>
      <c r="D15213" s="2" t="s">
        <v>12244</v>
      </c>
      <c r="E15213" s="3">
        <v>4.5899999999999999E-90</v>
      </c>
      <c r="F15213" s="2">
        <v>762</v>
      </c>
      <c r="G15213" s="2">
        <v>100</v>
      </c>
      <c r="H15213" s="2">
        <v>141</v>
      </c>
      <c r="I15213" s="2">
        <v>3</v>
      </c>
      <c r="J15213" s="2">
        <v>425</v>
      </c>
      <c r="K15213" s="2">
        <v>397</v>
      </c>
      <c r="L15213" s="2">
        <v>537</v>
      </c>
    </row>
    <row r="15214" spans="1:12" x14ac:dyDescent="0.25">
      <c r="A15214" s="4" t="str">
        <f>HYPERLINK("http://www.rosaceae.org/Prunus/Prunus_persica/p.persica_gdr_reftransV1_0023760","p.persica_gdr_reftransV1_0023760")</f>
        <v>p.persica_gdr_reftransV1_0023760</v>
      </c>
      <c r="B15214" s="2">
        <v>2803</v>
      </c>
      <c r="C15214" s="4" t="str">
        <f>HYPERLINK("http://www.uniprot.org/uniprot/M5WK84","M5WK84")</f>
        <v>M5WK84</v>
      </c>
      <c r="D15214" s="2" t="s">
        <v>12245</v>
      </c>
      <c r="E15214" s="3">
        <v>2.4700000000000002E-46</v>
      </c>
      <c r="F15214" s="2">
        <v>440</v>
      </c>
      <c r="G15214" s="2">
        <v>96</v>
      </c>
      <c r="H15214" s="2">
        <v>84</v>
      </c>
      <c r="I15214" s="2">
        <v>862</v>
      </c>
      <c r="J15214" s="2">
        <v>1113</v>
      </c>
      <c r="K15214" s="2">
        <v>70</v>
      </c>
      <c r="L15214" s="2">
        <v>153</v>
      </c>
    </row>
    <row r="15215" spans="1:12" x14ac:dyDescent="0.25">
      <c r="A15215" s="4" t="str">
        <f>HYPERLINK("http://www.rosaceae.org/Prunus/Prunus_persica/p.persica_gdr_reftransV1_0024460","p.persica_gdr_reftransV1_0024460")</f>
        <v>p.persica_gdr_reftransV1_0024460</v>
      </c>
      <c r="B15215" s="2">
        <v>570</v>
      </c>
      <c r="C15215" s="4" t="str">
        <f>HYPERLINK("http://www.uniprot.org/uniprot/M5WXL5","M5WXL5")</f>
        <v>M5WXL5</v>
      </c>
      <c r="D15215" s="2" t="s">
        <v>12246</v>
      </c>
      <c r="E15215" s="3">
        <v>2.6100000000000002E-96</v>
      </c>
      <c r="F15215" s="2">
        <v>808</v>
      </c>
      <c r="G15215" s="2">
        <v>100</v>
      </c>
      <c r="H15215" s="2">
        <v>189</v>
      </c>
      <c r="I15215" s="2">
        <v>3</v>
      </c>
      <c r="J15215" s="2">
        <v>569</v>
      </c>
      <c r="K15215" s="2">
        <v>1178</v>
      </c>
      <c r="L15215" s="2">
        <v>1366</v>
      </c>
    </row>
    <row r="15216" spans="1:12" x14ac:dyDescent="0.25">
      <c r="A15216" s="4" t="str">
        <f>HYPERLINK("http://www.rosaceae.org/Prunus/Prunus_persica/p.persica_gdr_reftransV1_0025510","p.persica_gdr_reftransV1_0025510")</f>
        <v>p.persica_gdr_reftransV1_0025510</v>
      </c>
      <c r="B15216" s="2">
        <v>2985</v>
      </c>
      <c r="C15216" s="4" t="str">
        <f>HYPERLINK("http://www.uniprot.org/uniprot/M5WIJ3","M5WIJ3")</f>
        <v>M5WIJ3</v>
      </c>
      <c r="D15216" s="2" t="s">
        <v>12247</v>
      </c>
      <c r="E15216" s="3">
        <v>8.3600000000000001E-132</v>
      </c>
      <c r="F15216" s="2">
        <v>1053</v>
      </c>
      <c r="G15216" s="2">
        <v>100</v>
      </c>
      <c r="H15216" s="2">
        <v>254</v>
      </c>
      <c r="I15216" s="2">
        <v>80</v>
      </c>
      <c r="J15216" s="2">
        <v>841</v>
      </c>
      <c r="K15216" s="2">
        <v>1</v>
      </c>
      <c r="L15216" s="2">
        <v>254</v>
      </c>
    </row>
    <row r="15217" spans="1:12" x14ac:dyDescent="0.25">
      <c r="A15217" s="4" t="str">
        <f>HYPERLINK("http://www.rosaceae.org/Prunus/Prunus_persica/p.persica_gdr_reftransV1_0025860","p.persica_gdr_reftransV1_0025860")</f>
        <v>p.persica_gdr_reftransV1_0025860</v>
      </c>
      <c r="B15217" s="2">
        <v>2432</v>
      </c>
      <c r="C15217" s="4" t="str">
        <f>HYPERLINK("http://www.uniprot.org/uniprot/D9ZIN7","D9ZIN7")</f>
        <v>D9ZIN7</v>
      </c>
      <c r="D15217" s="2" t="s">
        <v>12248</v>
      </c>
      <c r="E15217" s="3">
        <v>0</v>
      </c>
      <c r="F15217" s="2">
        <v>2101</v>
      </c>
      <c r="G15217" s="2">
        <v>82</v>
      </c>
      <c r="H15217" s="2">
        <v>502</v>
      </c>
      <c r="I15217" s="2">
        <v>237</v>
      </c>
      <c r="J15217" s="2">
        <v>1733</v>
      </c>
      <c r="K15217" s="2">
        <v>1</v>
      </c>
      <c r="L15217" s="2">
        <v>502</v>
      </c>
    </row>
    <row r="15218" spans="1:12" x14ac:dyDescent="0.25">
      <c r="A15218" s="4" t="str">
        <f>HYPERLINK("http://www.rosaceae.org/Prunus/Prunus_persica/p.persica_gdr_reftransV1_0026210","p.persica_gdr_reftransV1_0026210")</f>
        <v>p.persica_gdr_reftransV1_0026210</v>
      </c>
      <c r="B15218" s="2">
        <v>1606</v>
      </c>
      <c r="C15218" s="4" t="str">
        <f>HYPERLINK("http://www.uniprot.org/uniprot/M5VQC0","M5VQC0")</f>
        <v>M5VQC0</v>
      </c>
      <c r="D15218" s="2" t="s">
        <v>12249</v>
      </c>
      <c r="E15218" s="3">
        <v>0</v>
      </c>
      <c r="F15218" s="2">
        <v>1723</v>
      </c>
      <c r="G15218" s="2">
        <v>100</v>
      </c>
      <c r="H15218" s="2">
        <v>418</v>
      </c>
      <c r="I15218" s="2">
        <v>84</v>
      </c>
      <c r="J15218" s="2">
        <v>1337</v>
      </c>
      <c r="K15218" s="2">
        <v>74</v>
      </c>
      <c r="L15218" s="2">
        <v>491</v>
      </c>
    </row>
    <row r="15219" spans="1:12" x14ac:dyDescent="0.25">
      <c r="A15219" s="4" t="str">
        <f>HYPERLINK("http://www.rosaceae.org/Prunus/Prunus_persica/p.persica_gdr_reftransV1_0026560","p.persica_gdr_reftransV1_0026560")</f>
        <v>p.persica_gdr_reftransV1_0026560</v>
      </c>
      <c r="B15219" s="2">
        <v>980</v>
      </c>
      <c r="C15219" s="4" t="str">
        <f>HYPERLINK("http://www.uniprot.org/uniprot/M5XZF0","M5XZF0")</f>
        <v>M5XZF0</v>
      </c>
      <c r="D15219" s="2" t="s">
        <v>12250</v>
      </c>
      <c r="E15219" s="3">
        <v>5.1200000000000001E-167</v>
      </c>
      <c r="F15219" s="2">
        <v>1226</v>
      </c>
      <c r="G15219" s="2">
        <v>100</v>
      </c>
      <c r="H15219" s="2">
        <v>231</v>
      </c>
      <c r="I15219" s="2">
        <v>225</v>
      </c>
      <c r="J15219" s="2">
        <v>917</v>
      </c>
      <c r="K15219" s="2">
        <v>5</v>
      </c>
      <c r="L15219" s="2">
        <v>235</v>
      </c>
    </row>
    <row r="15220" spans="1:12" x14ac:dyDescent="0.25">
      <c r="A15220" s="4" t="str">
        <f>HYPERLINK("http://www.rosaceae.org/Prunus/Prunus_persica/p.persica_gdr_reftransV1_0026910","p.persica_gdr_reftransV1_0026910")</f>
        <v>p.persica_gdr_reftransV1_0026910</v>
      </c>
      <c r="B15220" s="2">
        <v>2923</v>
      </c>
      <c r="C15220" s="4" t="str">
        <f>HYPERLINK("http://www.uniprot.org/uniprot/M5WFS0","M5WFS0")</f>
        <v>M5WFS0</v>
      </c>
      <c r="D15220" s="2" t="s">
        <v>12251</v>
      </c>
      <c r="E15220" s="3">
        <v>0</v>
      </c>
      <c r="F15220" s="2">
        <v>3277</v>
      </c>
      <c r="G15220" s="2">
        <v>100</v>
      </c>
      <c r="H15220" s="2">
        <v>664</v>
      </c>
      <c r="I15220" s="2">
        <v>651</v>
      </c>
      <c r="J15220" s="2">
        <v>2642</v>
      </c>
      <c r="K15220" s="2">
        <v>1</v>
      </c>
      <c r="L15220" s="2">
        <v>664</v>
      </c>
    </row>
    <row r="15221" spans="1:12" x14ac:dyDescent="0.25">
      <c r="A15221" s="4" t="str">
        <f>HYPERLINK("http://www.rosaceae.org/Prunus/Prunus_persica/p.persica_gdr_reftransV1_0027260","p.persica_gdr_reftransV1_0027260")</f>
        <v>p.persica_gdr_reftransV1_0027260</v>
      </c>
      <c r="B15221" s="2">
        <v>2071</v>
      </c>
      <c r="C15221" s="4" t="str">
        <f>HYPERLINK("http://www.uniprot.org/uniprot/M5W9A1","M5W9A1")</f>
        <v>M5W9A1</v>
      </c>
      <c r="D15221" s="2" t="s">
        <v>12252</v>
      </c>
      <c r="E15221" s="3">
        <v>2.0299999999999999E-126</v>
      </c>
      <c r="F15221" s="2">
        <v>1008</v>
      </c>
      <c r="G15221" s="2">
        <v>100</v>
      </c>
      <c r="H15221" s="2">
        <v>186</v>
      </c>
      <c r="I15221" s="2">
        <v>1204</v>
      </c>
      <c r="J15221" s="2">
        <v>1761</v>
      </c>
      <c r="K15221" s="2">
        <v>216</v>
      </c>
      <c r="L15221" s="2">
        <v>401</v>
      </c>
    </row>
    <row r="15222" spans="1:12" x14ac:dyDescent="0.25">
      <c r="A15222" s="4" t="str">
        <f>HYPERLINK("http://www.rosaceae.org/Prunus/Prunus_persica/p.persica_gdr_reftransV1_0029010","p.persica_gdr_reftransV1_0029010")</f>
        <v>p.persica_gdr_reftransV1_0029010</v>
      </c>
      <c r="B15222" s="2">
        <v>3120</v>
      </c>
      <c r="C15222" s="4" t="str">
        <f>HYPERLINK("http://www.uniprot.org/uniprot/M5WE51","M5WE51")</f>
        <v>M5WE51</v>
      </c>
      <c r="D15222" s="2" t="s">
        <v>12253</v>
      </c>
      <c r="E15222" s="3">
        <v>0</v>
      </c>
      <c r="F15222" s="2">
        <v>4220</v>
      </c>
      <c r="G15222" s="2">
        <v>100</v>
      </c>
      <c r="H15222" s="2">
        <v>903</v>
      </c>
      <c r="I15222" s="2">
        <v>328</v>
      </c>
      <c r="J15222" s="2">
        <v>3036</v>
      </c>
      <c r="K15222" s="2">
        <v>1</v>
      </c>
      <c r="L15222" s="2">
        <v>903</v>
      </c>
    </row>
    <row r="15223" spans="1:12" x14ac:dyDescent="0.25">
      <c r="A15223" s="4" t="str">
        <f>HYPERLINK("http://www.rosaceae.org/Prunus/Prunus_persica/p.persica_gdr_reftransV1_0030760","p.persica_gdr_reftransV1_0030760")</f>
        <v>p.persica_gdr_reftransV1_0030760</v>
      </c>
      <c r="B15223" s="2">
        <v>1264</v>
      </c>
      <c r="C15223" s="4" t="str">
        <f>HYPERLINK("http://www.uniprot.org/uniprot/M5X3E3","M5X3E3")</f>
        <v>M5X3E3</v>
      </c>
      <c r="D15223" s="2" t="s">
        <v>12254</v>
      </c>
      <c r="E15223" s="3">
        <v>8.3800000000000004E-148</v>
      </c>
      <c r="F15223" s="2">
        <v>1038</v>
      </c>
      <c r="G15223" s="2">
        <v>100</v>
      </c>
      <c r="H15223" s="2">
        <v>194</v>
      </c>
      <c r="I15223" s="2">
        <v>345</v>
      </c>
      <c r="J15223" s="2">
        <v>926</v>
      </c>
      <c r="K15223" s="2">
        <v>76</v>
      </c>
      <c r="L15223" s="2">
        <v>269</v>
      </c>
    </row>
    <row r="15224" spans="1:12" x14ac:dyDescent="0.25">
      <c r="A15224" s="4" t="str">
        <f>HYPERLINK("http://www.rosaceae.org/Prunus/Prunus_persica/p.persica_gdr_reftransV1_0031110","p.persica_gdr_reftransV1_0031110")</f>
        <v>p.persica_gdr_reftransV1_0031110</v>
      </c>
      <c r="B15224" s="2">
        <v>2234</v>
      </c>
      <c r="C15224" s="4" t="str">
        <f>HYPERLINK("http://www.uniprot.org/uniprot/M5W4M2","M5W4M2")</f>
        <v>M5W4M2</v>
      </c>
      <c r="D15224" s="2" t="s">
        <v>1831</v>
      </c>
      <c r="E15224" s="3">
        <v>0</v>
      </c>
      <c r="F15224" s="2">
        <v>2404</v>
      </c>
      <c r="G15224" s="2">
        <v>100</v>
      </c>
      <c r="H15224" s="2">
        <v>471</v>
      </c>
      <c r="I15224" s="2">
        <v>316</v>
      </c>
      <c r="J15224" s="2">
        <v>1728</v>
      </c>
      <c r="K15224" s="2">
        <v>1</v>
      </c>
      <c r="L15224" s="2">
        <v>471</v>
      </c>
    </row>
    <row r="15225" spans="1:12" x14ac:dyDescent="0.25">
      <c r="A15225" s="4" t="str">
        <f>HYPERLINK("http://www.rosaceae.org/Prunus/Prunus_persica/p.persica_gdr_reftransV1_0033210","p.persica_gdr_reftransV1_0033210")</f>
        <v>p.persica_gdr_reftransV1_0033210</v>
      </c>
      <c r="B15225" s="2">
        <v>4269</v>
      </c>
      <c r="C15225" s="4" t="str">
        <f>HYPERLINK("http://www.uniprot.org/uniprot/M5W6J6","M5W6J6")</f>
        <v>M5W6J6</v>
      </c>
      <c r="D15225" s="2" t="s">
        <v>12255</v>
      </c>
      <c r="E15225" s="3">
        <v>0</v>
      </c>
      <c r="F15225" s="2">
        <v>6403</v>
      </c>
      <c r="G15225" s="2">
        <v>100</v>
      </c>
      <c r="H15225" s="2">
        <v>1289</v>
      </c>
      <c r="I15225" s="2">
        <v>239</v>
      </c>
      <c r="J15225" s="2">
        <v>4105</v>
      </c>
      <c r="K15225" s="2">
        <v>1</v>
      </c>
      <c r="L15225" s="2">
        <v>1289</v>
      </c>
    </row>
    <row r="15226" spans="1:12" x14ac:dyDescent="0.25">
      <c r="A15226" s="4" t="str">
        <f>HYPERLINK("http://www.rosaceae.org/Prunus/Prunus_persica/p.persica_gdr_reftransV1_0033560","p.persica_gdr_reftransV1_0033560")</f>
        <v>p.persica_gdr_reftransV1_0033560</v>
      </c>
      <c r="B15226" s="2">
        <v>2446</v>
      </c>
      <c r="C15226" s="4" t="str">
        <f>HYPERLINK("http://www.uniprot.org/uniprot/M5WQV5","M5WQV5")</f>
        <v>M5WQV5</v>
      </c>
      <c r="D15226" s="2" t="s">
        <v>12256</v>
      </c>
      <c r="E15226" s="3">
        <v>0</v>
      </c>
      <c r="F15226" s="2">
        <v>1884</v>
      </c>
      <c r="G15226" s="2">
        <v>100</v>
      </c>
      <c r="H15226" s="2">
        <v>349</v>
      </c>
      <c r="I15226" s="2">
        <v>264</v>
      </c>
      <c r="J15226" s="2">
        <v>1310</v>
      </c>
      <c r="K15226" s="2">
        <v>250</v>
      </c>
      <c r="L15226" s="2">
        <v>598</v>
      </c>
    </row>
    <row r="15227" spans="1:12" x14ac:dyDescent="0.25">
      <c r="A15227" s="4" t="str">
        <f>HYPERLINK("http://www.rosaceae.org/Prunus/Prunus_persica/p.persica_gdr_reftransV1_0033910","p.persica_gdr_reftransV1_0033910")</f>
        <v>p.persica_gdr_reftransV1_0033910</v>
      </c>
      <c r="B15227" s="2">
        <v>1079</v>
      </c>
      <c r="C15227" s="4" t="str">
        <f>HYPERLINK("http://www.uniprot.org/uniprot/B9SQT4","B9SQT4")</f>
        <v>B9SQT4</v>
      </c>
      <c r="D15227" s="2" t="s">
        <v>12257</v>
      </c>
      <c r="E15227" s="3">
        <v>3.6700000000000002E-36</v>
      </c>
      <c r="F15227" s="2">
        <v>355</v>
      </c>
      <c r="G15227" s="2">
        <v>46</v>
      </c>
      <c r="H15227" s="2">
        <v>193</v>
      </c>
      <c r="I15227" s="2">
        <v>283</v>
      </c>
      <c r="J15227" s="2">
        <v>780</v>
      </c>
      <c r="K15227" s="2">
        <v>18</v>
      </c>
      <c r="L15227" s="2">
        <v>209</v>
      </c>
    </row>
    <row r="15228" spans="1:12" x14ac:dyDescent="0.25">
      <c r="A15228" s="4" t="str">
        <f>HYPERLINK("http://www.rosaceae.org/Prunus/Prunus_persica/p.persica_gdr_reftransV1_0034610","p.persica_gdr_reftransV1_0034610")</f>
        <v>p.persica_gdr_reftransV1_0034610</v>
      </c>
      <c r="B15228" s="2">
        <v>862</v>
      </c>
      <c r="C15228" s="4" t="str">
        <f>HYPERLINK("http://www.uniprot.org/uniprot/M5VYZ5","M5VYZ5")</f>
        <v>M5VYZ5</v>
      </c>
      <c r="D15228" s="2" t="s">
        <v>3339</v>
      </c>
      <c r="E15228" s="3">
        <v>3.2799999999999997E-110</v>
      </c>
      <c r="F15228" s="2">
        <v>868</v>
      </c>
      <c r="G15228" s="2">
        <v>100</v>
      </c>
      <c r="H15228" s="2">
        <v>164</v>
      </c>
      <c r="I15228" s="2">
        <v>369</v>
      </c>
      <c r="J15228" s="2">
        <v>860</v>
      </c>
      <c r="K15228" s="2">
        <v>1</v>
      </c>
      <c r="L15228" s="2">
        <v>164</v>
      </c>
    </row>
    <row r="15229" spans="1:12" x14ac:dyDescent="0.25">
      <c r="A15229" s="4" t="str">
        <f>HYPERLINK("http://www.rosaceae.org/Prunus/Prunus_persica/p.persica_gdr_reftransV1_0037410","p.persica_gdr_reftransV1_0037410")</f>
        <v>p.persica_gdr_reftransV1_0037410</v>
      </c>
      <c r="B15229" s="2">
        <v>4081</v>
      </c>
      <c r="C15229" s="4" t="str">
        <f>HYPERLINK("http://www.uniprot.org/uniprot/M5XVC9","M5XVC9")</f>
        <v>M5XVC9</v>
      </c>
      <c r="D15229" s="2" t="s">
        <v>12258</v>
      </c>
      <c r="E15229" s="3">
        <v>0</v>
      </c>
      <c r="F15229" s="2">
        <v>4958</v>
      </c>
      <c r="G15229" s="2">
        <v>100</v>
      </c>
      <c r="H15229" s="2">
        <v>1122</v>
      </c>
      <c r="I15229" s="2">
        <v>605</v>
      </c>
      <c r="J15229" s="2">
        <v>3970</v>
      </c>
      <c r="K15229" s="2">
        <v>1</v>
      </c>
      <c r="L15229" s="2">
        <v>1122</v>
      </c>
    </row>
    <row r="15230" spans="1:12" x14ac:dyDescent="0.25">
      <c r="A15230" s="4" t="str">
        <f>HYPERLINK("http://www.rosaceae.org/Prunus/Prunus_persica/p.persica_gdr_reftransV1_0037760","p.persica_gdr_reftransV1_0037760")</f>
        <v>p.persica_gdr_reftransV1_0037760</v>
      </c>
      <c r="B15230" s="2">
        <v>1892</v>
      </c>
      <c r="C15230" s="4" t="str">
        <f>HYPERLINK("http://www.uniprot.org/uniprot/M5WWV0","M5WWV0")</f>
        <v>M5WWV0</v>
      </c>
      <c r="D15230" s="2" t="s">
        <v>1693</v>
      </c>
      <c r="E15230" s="3">
        <v>0</v>
      </c>
      <c r="F15230" s="2">
        <v>1911</v>
      </c>
      <c r="G15230" s="2">
        <v>91</v>
      </c>
      <c r="H15230" s="2">
        <v>407</v>
      </c>
      <c r="I15230" s="2">
        <v>3</v>
      </c>
      <c r="J15230" s="2">
        <v>1178</v>
      </c>
      <c r="K15230" s="2">
        <v>731</v>
      </c>
      <c r="L15230" s="2">
        <v>1117</v>
      </c>
    </row>
    <row r="15231" spans="1:12" x14ac:dyDescent="0.25">
      <c r="A15231" s="4" t="str">
        <f>HYPERLINK("http://www.rosaceae.org/Prunus/Prunus_persica/p.persica_gdr_reftransV1_0038460","p.persica_gdr_reftransV1_0038460")</f>
        <v>p.persica_gdr_reftransV1_0038460</v>
      </c>
      <c r="B15231" s="2">
        <v>2063</v>
      </c>
      <c r="C15231" s="4" t="str">
        <f>HYPERLINK("http://www.uniprot.org/uniprot/M5XMS6","M5XMS6")</f>
        <v>M5XMS6</v>
      </c>
      <c r="D15231" s="2" t="s">
        <v>12259</v>
      </c>
      <c r="E15231" s="3">
        <v>0</v>
      </c>
      <c r="F15231" s="2">
        <v>1843</v>
      </c>
      <c r="G15231" s="2">
        <v>94</v>
      </c>
      <c r="H15231" s="2">
        <v>370</v>
      </c>
      <c r="I15231" s="2">
        <v>952</v>
      </c>
      <c r="J15231" s="2">
        <v>2061</v>
      </c>
      <c r="K15231" s="2">
        <v>64</v>
      </c>
      <c r="L15231" s="2">
        <v>413</v>
      </c>
    </row>
    <row r="15232" spans="1:12" x14ac:dyDescent="0.25">
      <c r="A15232" s="4" t="str">
        <f>HYPERLINK("http://www.rosaceae.org/Prunus/Prunus_persica/p.persica_gdr_reftransV1_0038810","p.persica_gdr_reftransV1_0038810")</f>
        <v>p.persica_gdr_reftransV1_0038810</v>
      </c>
      <c r="B15232" s="2">
        <v>2624</v>
      </c>
      <c r="C15232" s="4" t="str">
        <f>HYPERLINK("http://www.uniprot.org/uniprot/M5W7C6","M5W7C6")</f>
        <v>M5W7C6</v>
      </c>
      <c r="D15232" s="2" t="s">
        <v>7539</v>
      </c>
      <c r="E15232" s="3">
        <v>0</v>
      </c>
      <c r="F15232" s="2">
        <v>2944</v>
      </c>
      <c r="G15232" s="2">
        <v>100</v>
      </c>
      <c r="H15232" s="2">
        <v>576</v>
      </c>
      <c r="I15232" s="2">
        <v>763</v>
      </c>
      <c r="J15232" s="2">
        <v>2490</v>
      </c>
      <c r="K15232" s="2">
        <v>1</v>
      </c>
      <c r="L15232" s="2">
        <v>576</v>
      </c>
    </row>
    <row r="15233" spans="1:12" x14ac:dyDescent="0.25">
      <c r="A15233" s="4" t="str">
        <f>HYPERLINK("http://www.rosaceae.org/Prunus/Prunus_persica/p.persica_gdr_reftransV1_0040910","p.persica_gdr_reftransV1_0040910")</f>
        <v>p.persica_gdr_reftransV1_0040910</v>
      </c>
      <c r="B15233" s="2">
        <v>4270</v>
      </c>
      <c r="C15233" s="4" t="str">
        <f>HYPERLINK("http://www.uniprot.org/uniprot/M5WTF5","M5WTF5")</f>
        <v>M5WTF5</v>
      </c>
      <c r="D15233" s="2" t="s">
        <v>12260</v>
      </c>
      <c r="E15233" s="3">
        <v>0</v>
      </c>
      <c r="F15233" s="2">
        <v>1629</v>
      </c>
      <c r="G15233" s="2">
        <v>100</v>
      </c>
      <c r="H15233" s="2">
        <v>328</v>
      </c>
      <c r="I15233" s="2">
        <v>2839</v>
      </c>
      <c r="J15233" s="2">
        <v>3822</v>
      </c>
      <c r="K15233" s="2">
        <v>1</v>
      </c>
      <c r="L15233" s="2">
        <v>328</v>
      </c>
    </row>
    <row r="15234" spans="1:12" x14ac:dyDescent="0.25">
      <c r="A15234" s="4" t="str">
        <f>HYPERLINK("http://www.rosaceae.org/Prunus/Prunus_persica/p.persica_gdr_reftransV1_0041260","p.persica_gdr_reftransV1_0041260")</f>
        <v>p.persica_gdr_reftransV1_0041260</v>
      </c>
      <c r="B15234" s="2">
        <v>1655</v>
      </c>
      <c r="C15234" s="4" t="str">
        <f>HYPERLINK("http://www.uniprot.org/uniprot/M5WI36","M5WI36")</f>
        <v>M5WI36</v>
      </c>
      <c r="D15234" s="2" t="s">
        <v>12261</v>
      </c>
      <c r="E15234" s="3">
        <v>0</v>
      </c>
      <c r="F15234" s="2">
        <v>2064</v>
      </c>
      <c r="G15234" s="2">
        <v>100</v>
      </c>
      <c r="H15234" s="2">
        <v>424</v>
      </c>
      <c r="I15234" s="2">
        <v>295</v>
      </c>
      <c r="J15234" s="2">
        <v>1566</v>
      </c>
      <c r="K15234" s="2">
        <v>1</v>
      </c>
      <c r="L15234" s="2">
        <v>424</v>
      </c>
    </row>
    <row r="15235" spans="1:12" x14ac:dyDescent="0.25">
      <c r="A15235" s="4" t="str">
        <f>HYPERLINK("http://www.rosaceae.org/Prunus/Prunus_persica/p.persica_gdr_reftransV1_0043360","p.persica_gdr_reftransV1_0043360")</f>
        <v>p.persica_gdr_reftransV1_0043360</v>
      </c>
      <c r="B15235" s="2">
        <v>1235</v>
      </c>
      <c r="C15235" s="4" t="str">
        <f>HYPERLINK("http://www.uniprot.org/uniprot/M5XUA8","M5XUA8")</f>
        <v>M5XUA8</v>
      </c>
      <c r="D15235" s="2" t="s">
        <v>12092</v>
      </c>
      <c r="E15235" s="3">
        <v>1.9900000000000001E-178</v>
      </c>
      <c r="F15235" s="2">
        <v>1337</v>
      </c>
      <c r="G15235" s="2">
        <v>99</v>
      </c>
      <c r="H15235" s="2">
        <v>316</v>
      </c>
      <c r="I15235" s="2">
        <v>1</v>
      </c>
      <c r="J15235" s="2">
        <v>948</v>
      </c>
      <c r="K15235" s="2">
        <v>192</v>
      </c>
      <c r="L15235" s="2">
        <v>505</v>
      </c>
    </row>
    <row r="15236" spans="1:12" x14ac:dyDescent="0.25">
      <c r="A15236" s="4" t="str">
        <f>HYPERLINK("http://www.rosaceae.org/Prunus/Prunus_persica/p.persica_gdr_reftransV1_0043710","p.persica_gdr_reftransV1_0043710")</f>
        <v>p.persica_gdr_reftransV1_0043710</v>
      </c>
      <c r="B15236" s="2">
        <v>995</v>
      </c>
      <c r="C15236" s="4" t="str">
        <f>HYPERLINK("http://www.uniprot.org/uniprot/M5WIC9","M5WIC9")</f>
        <v>M5WIC9</v>
      </c>
      <c r="D15236" s="2" t="s">
        <v>12262</v>
      </c>
      <c r="E15236" s="3">
        <v>1.2999999999999999E-159</v>
      </c>
      <c r="F15236" s="2">
        <v>1189</v>
      </c>
      <c r="G15236" s="2">
        <v>100</v>
      </c>
      <c r="H15236" s="2">
        <v>258</v>
      </c>
      <c r="I15236" s="2">
        <v>221</v>
      </c>
      <c r="J15236" s="2">
        <v>994</v>
      </c>
      <c r="K15236" s="2">
        <v>96</v>
      </c>
      <c r="L15236" s="2">
        <v>353</v>
      </c>
    </row>
    <row r="15237" spans="1:12" x14ac:dyDescent="0.25">
      <c r="A15237" s="4" t="str">
        <f>HYPERLINK("http://www.rosaceae.org/Prunus/Prunus_persica/p.persica_gdr_reftransV1_0044060","p.persica_gdr_reftransV1_0044060")</f>
        <v>p.persica_gdr_reftransV1_0044060</v>
      </c>
      <c r="B15237" s="2">
        <v>1903</v>
      </c>
      <c r="C15237" s="4" t="str">
        <f>HYPERLINK("http://www.uniprot.org/uniprot/M5VY30","M5VY30")</f>
        <v>M5VY30</v>
      </c>
      <c r="D15237" s="2" t="s">
        <v>12263</v>
      </c>
      <c r="E15237" s="3">
        <v>0</v>
      </c>
      <c r="F15237" s="2">
        <v>2404</v>
      </c>
      <c r="G15237" s="2">
        <v>100</v>
      </c>
      <c r="H15237" s="2">
        <v>458</v>
      </c>
      <c r="I15237" s="2">
        <v>286</v>
      </c>
      <c r="J15237" s="2">
        <v>1659</v>
      </c>
      <c r="K15237" s="2">
        <v>1</v>
      </c>
      <c r="L15237" s="2">
        <v>458</v>
      </c>
    </row>
    <row r="15238" spans="1:12" x14ac:dyDescent="0.25">
      <c r="A15238" s="4" t="str">
        <f>HYPERLINK("http://www.rosaceae.org/Prunus/Prunus_persica/p.persica_gdr_reftransV1_0044410","p.persica_gdr_reftransV1_0044410")</f>
        <v>p.persica_gdr_reftransV1_0044410</v>
      </c>
      <c r="B15238" s="2">
        <v>1578</v>
      </c>
      <c r="C15238" s="4" t="str">
        <f>HYPERLINK("http://www.uniprot.org/uniprot/M5WUG7","M5WUG7")</f>
        <v>M5WUG7</v>
      </c>
      <c r="D15238" s="2" t="s">
        <v>6198</v>
      </c>
      <c r="E15238" s="3">
        <v>0</v>
      </c>
      <c r="F15238" s="2">
        <v>1900</v>
      </c>
      <c r="G15238" s="2">
        <v>100</v>
      </c>
      <c r="H15238" s="2">
        <v>391</v>
      </c>
      <c r="I15238" s="2">
        <v>360</v>
      </c>
      <c r="J15238" s="2">
        <v>1532</v>
      </c>
      <c r="K15238" s="2">
        <v>1</v>
      </c>
      <c r="L15238" s="2">
        <v>391</v>
      </c>
    </row>
    <row r="15239" spans="1:12" x14ac:dyDescent="0.25">
      <c r="A15239" s="4" t="str">
        <f>HYPERLINK("http://www.rosaceae.org/Prunus/Prunus_persica/p.persica_gdr_reftransV1_0044760","p.persica_gdr_reftransV1_0044760")</f>
        <v>p.persica_gdr_reftransV1_0044760</v>
      </c>
      <c r="B15239" s="2">
        <v>2215</v>
      </c>
      <c r="C15239" s="4" t="str">
        <f>HYPERLINK("http://www.uniprot.org/uniprot/M5WQD8","M5WQD8")</f>
        <v>M5WQD8</v>
      </c>
      <c r="D15239" s="2" t="s">
        <v>12264</v>
      </c>
      <c r="E15239" s="3">
        <v>0</v>
      </c>
      <c r="F15239" s="2">
        <v>3213</v>
      </c>
      <c r="G15239" s="2">
        <v>100</v>
      </c>
      <c r="H15239" s="2">
        <v>614</v>
      </c>
      <c r="I15239" s="2">
        <v>261</v>
      </c>
      <c r="J15239" s="2">
        <v>2102</v>
      </c>
      <c r="K15239" s="2">
        <v>1</v>
      </c>
      <c r="L15239" s="2">
        <v>614</v>
      </c>
    </row>
    <row r="15240" spans="1:12" x14ac:dyDescent="0.25">
      <c r="A15240" s="4" t="str">
        <f>HYPERLINK("http://www.rosaceae.org/Prunus/Prunus_persica/p.persica_gdr_reftransV1_0045110","p.persica_gdr_reftransV1_0045110")</f>
        <v>p.persica_gdr_reftransV1_0045110</v>
      </c>
      <c r="B15240" s="2">
        <v>1810</v>
      </c>
      <c r="C15240" s="4" t="str">
        <f>HYPERLINK("http://www.uniprot.org/uniprot/M5VY80","M5VY80")</f>
        <v>M5VY80</v>
      </c>
      <c r="D15240" s="2" t="s">
        <v>12265</v>
      </c>
      <c r="E15240" s="3">
        <v>0</v>
      </c>
      <c r="F15240" s="2">
        <v>2127</v>
      </c>
      <c r="G15240" s="2">
        <v>96</v>
      </c>
      <c r="H15240" s="2">
        <v>456</v>
      </c>
      <c r="I15240" s="2">
        <v>199</v>
      </c>
      <c r="J15240" s="2">
        <v>1566</v>
      </c>
      <c r="K15240" s="2">
        <v>1</v>
      </c>
      <c r="L15240" s="2">
        <v>438</v>
      </c>
    </row>
    <row r="15241" spans="1:12" x14ac:dyDescent="0.25">
      <c r="A15241" s="4" t="str">
        <f>HYPERLINK("http://www.rosaceae.org/Prunus/Prunus_persica/p.persica_gdr_reftransV1_0045460","p.persica_gdr_reftransV1_0045460")</f>
        <v>p.persica_gdr_reftransV1_0045460</v>
      </c>
      <c r="B15241" s="2">
        <v>1663</v>
      </c>
      <c r="C15241" s="4" t="str">
        <f>HYPERLINK("http://www.uniprot.org/uniprot/M5XB94","M5XB94")</f>
        <v>M5XB94</v>
      </c>
      <c r="D15241" s="2" t="s">
        <v>4969</v>
      </c>
      <c r="E15241" s="3">
        <v>0</v>
      </c>
      <c r="F15241" s="2">
        <v>1817</v>
      </c>
      <c r="G15241" s="2">
        <v>100</v>
      </c>
      <c r="H15241" s="2">
        <v>355</v>
      </c>
      <c r="I15241" s="2">
        <v>66</v>
      </c>
      <c r="J15241" s="2">
        <v>1130</v>
      </c>
      <c r="K15241" s="2">
        <v>1</v>
      </c>
      <c r="L15241" s="2">
        <v>355</v>
      </c>
    </row>
    <row r="15242" spans="1:12" x14ac:dyDescent="0.25">
      <c r="A15242" s="4" t="str">
        <f>HYPERLINK("http://www.rosaceae.org/Prunus/Prunus_persica/p.persica_gdr_reftransV1_0046160","p.persica_gdr_reftransV1_0046160")</f>
        <v>p.persica_gdr_reftransV1_0046160</v>
      </c>
      <c r="B15242" s="2">
        <v>310</v>
      </c>
      <c r="C15242" s="4" t="str">
        <f>HYPERLINK("http://www.uniprot.org/uniprot/M5XHT1","M5XHT1")</f>
        <v>M5XHT1</v>
      </c>
      <c r="D15242" s="2" t="s">
        <v>7587</v>
      </c>
      <c r="E15242" s="3">
        <v>1.25E-48</v>
      </c>
      <c r="F15242" s="2">
        <v>411</v>
      </c>
      <c r="G15242" s="2">
        <v>100</v>
      </c>
      <c r="H15242" s="2">
        <v>90</v>
      </c>
      <c r="I15242" s="2">
        <v>6</v>
      </c>
      <c r="J15242" s="2">
        <v>275</v>
      </c>
      <c r="K15242" s="2">
        <v>1</v>
      </c>
      <c r="L15242" s="2">
        <v>90</v>
      </c>
    </row>
    <row r="15243" spans="1:12" x14ac:dyDescent="0.25">
      <c r="A15243" s="4" t="str">
        <f>HYPERLINK("http://www.rosaceae.org/Prunus/Prunus_persica/p.persica_gdr_reftransV1_0046510","p.persica_gdr_reftransV1_0046510")</f>
        <v>p.persica_gdr_reftransV1_0046510</v>
      </c>
      <c r="B15243" s="2">
        <v>589</v>
      </c>
      <c r="C15243" s="4" t="str">
        <f>HYPERLINK("http://www.uniprot.org/uniprot/M5WB98","M5WB98")</f>
        <v>M5WB98</v>
      </c>
      <c r="D15243" s="2" t="s">
        <v>12266</v>
      </c>
      <c r="E15243" s="3">
        <v>3.6000000000000003E-30</v>
      </c>
      <c r="F15243" s="2">
        <v>293</v>
      </c>
      <c r="G15243" s="2">
        <v>100</v>
      </c>
      <c r="H15243" s="2">
        <v>96</v>
      </c>
      <c r="I15243" s="2">
        <v>60</v>
      </c>
      <c r="J15243" s="2">
        <v>347</v>
      </c>
      <c r="K15243" s="2">
        <v>1</v>
      </c>
      <c r="L15243" s="2">
        <v>96</v>
      </c>
    </row>
    <row r="15244" spans="1:12" x14ac:dyDescent="0.25">
      <c r="A15244" s="4" t="str">
        <f>HYPERLINK("http://www.rosaceae.org/Prunus/Prunus_persica/p.persica_gdr_reftransV1_0046860","p.persica_gdr_reftransV1_0046860")</f>
        <v>p.persica_gdr_reftransV1_0046860</v>
      </c>
      <c r="B15244" s="2">
        <v>1087</v>
      </c>
      <c r="C15244" s="4" t="str">
        <f>HYPERLINK("http://www.uniprot.org/uniprot/M5W2F5","M5W2F5")</f>
        <v>M5W2F5</v>
      </c>
      <c r="D15244" s="2" t="s">
        <v>3557</v>
      </c>
      <c r="E15244" s="3">
        <v>0</v>
      </c>
      <c r="F15244" s="2">
        <v>1551</v>
      </c>
      <c r="G15244" s="2">
        <v>82</v>
      </c>
      <c r="H15244" s="2">
        <v>362</v>
      </c>
      <c r="I15244" s="2">
        <v>3</v>
      </c>
      <c r="J15244" s="2">
        <v>1085</v>
      </c>
      <c r="K15244" s="2">
        <v>33</v>
      </c>
      <c r="L15244" s="2">
        <v>394</v>
      </c>
    </row>
    <row r="15245" spans="1:12" x14ac:dyDescent="0.25">
      <c r="A15245" s="4" t="str">
        <f>HYPERLINK("http://www.rosaceae.org/Prunus/Prunus_persica/p.persica_gdr_reftransV1_0047560","p.persica_gdr_reftransV1_0047560")</f>
        <v>p.persica_gdr_reftransV1_0047560</v>
      </c>
      <c r="B15245" s="2">
        <v>1047</v>
      </c>
      <c r="C15245" s="4" t="str">
        <f>HYPERLINK("http://www.uniprot.org/uniprot/M5XNQ4","M5XNQ4")</f>
        <v>M5XNQ4</v>
      </c>
      <c r="D15245" s="2" t="s">
        <v>7571</v>
      </c>
      <c r="E15245" s="3">
        <v>6.2099999999999999E-72</v>
      </c>
      <c r="F15245" s="2">
        <v>593</v>
      </c>
      <c r="G15245" s="2">
        <v>99</v>
      </c>
      <c r="H15245" s="2">
        <v>156</v>
      </c>
      <c r="I15245" s="2">
        <v>401</v>
      </c>
      <c r="J15245" s="2">
        <v>868</v>
      </c>
      <c r="K15245" s="2">
        <v>23</v>
      </c>
      <c r="L15245" s="2">
        <v>178</v>
      </c>
    </row>
    <row r="15246" spans="1:12" x14ac:dyDescent="0.25">
      <c r="A15246" s="4" t="str">
        <f>HYPERLINK("http://www.rosaceae.org/Prunus/Prunus_persica/p.persica_gdr_reftransV1_0047910","p.persica_gdr_reftransV1_0047910")</f>
        <v>p.persica_gdr_reftransV1_0047910</v>
      </c>
      <c r="B15246" s="2">
        <v>1328</v>
      </c>
      <c r="C15246" s="4" t="str">
        <f>HYPERLINK("http://www.uniprot.org/uniprot/M5VQZ6","M5VQZ6")</f>
        <v>M5VQZ6</v>
      </c>
      <c r="D15246" s="2" t="s">
        <v>12267</v>
      </c>
      <c r="E15246" s="3">
        <v>0</v>
      </c>
      <c r="F15246" s="2">
        <v>1555</v>
      </c>
      <c r="G15246" s="2">
        <v>100</v>
      </c>
      <c r="H15246" s="2">
        <v>298</v>
      </c>
      <c r="I15246" s="2">
        <v>433</v>
      </c>
      <c r="J15246" s="2">
        <v>1326</v>
      </c>
      <c r="K15246" s="2">
        <v>35</v>
      </c>
      <c r="L15246" s="2">
        <v>332</v>
      </c>
    </row>
    <row r="15247" spans="1:12" x14ac:dyDescent="0.25">
      <c r="A15247" s="4" t="str">
        <f>HYPERLINK("http://www.rosaceae.org/Prunus/Prunus_persica/p.persica_gdr_reftransV1_0048260","p.persica_gdr_reftransV1_0048260")</f>
        <v>p.persica_gdr_reftransV1_0048260</v>
      </c>
      <c r="B15247" s="2">
        <v>1620</v>
      </c>
      <c r="C15247" s="4" t="str">
        <f>HYPERLINK("http://www.uniprot.org/uniprot/W9RY30","W9RY30")</f>
        <v>W9RY30</v>
      </c>
      <c r="D15247" s="2" t="s">
        <v>12268</v>
      </c>
      <c r="E15247" s="3">
        <v>3.8400000000000002E-117</v>
      </c>
      <c r="F15247" s="2">
        <v>950</v>
      </c>
      <c r="G15247" s="2">
        <v>52</v>
      </c>
      <c r="H15247" s="2">
        <v>536</v>
      </c>
      <c r="I15247" s="2">
        <v>78</v>
      </c>
      <c r="J15247" s="2">
        <v>1619</v>
      </c>
      <c r="K15247" s="2">
        <v>1</v>
      </c>
      <c r="L15247" s="2">
        <v>502</v>
      </c>
    </row>
    <row r="15248" spans="1:12" x14ac:dyDescent="0.25">
      <c r="A15248" s="4" t="str">
        <f>HYPERLINK("http://www.rosaceae.org/Prunus/Prunus_persica/p.persica_gdr_reftransV1_0048610","p.persica_gdr_reftransV1_0048610")</f>
        <v>p.persica_gdr_reftransV1_0048610</v>
      </c>
      <c r="B15248" s="2">
        <v>1082</v>
      </c>
      <c r="C15248" s="4" t="str">
        <f>HYPERLINK("http://www.uniprot.org/uniprot/X2G6F9","X2G6F9")</f>
        <v>X2G6F9</v>
      </c>
      <c r="D15248" s="2" t="s">
        <v>12269</v>
      </c>
      <c r="E15248" s="3">
        <v>4.2200000000000002E-140</v>
      </c>
      <c r="F15248" s="2">
        <v>1048</v>
      </c>
      <c r="G15248" s="2">
        <v>100</v>
      </c>
      <c r="H15248" s="2">
        <v>201</v>
      </c>
      <c r="I15248" s="2">
        <v>138</v>
      </c>
      <c r="J15248" s="2">
        <v>740</v>
      </c>
      <c r="K15248" s="2">
        <v>1</v>
      </c>
      <c r="L15248" s="2">
        <v>201</v>
      </c>
    </row>
    <row r="15249" spans="1:12" x14ac:dyDescent="0.25">
      <c r="A15249" s="4" t="str">
        <f>HYPERLINK("http://www.rosaceae.org/Prunus/Prunus_persica/p.persica_gdr_reftransV1_0048960","p.persica_gdr_reftransV1_0048960")</f>
        <v>p.persica_gdr_reftransV1_0048960</v>
      </c>
      <c r="B15249" s="2">
        <v>385</v>
      </c>
      <c r="C15249" s="4" t="str">
        <f>HYPERLINK("http://www.uniprot.org/uniprot/M5X451","M5X451")</f>
        <v>M5X451</v>
      </c>
      <c r="D15249" s="2" t="s">
        <v>688</v>
      </c>
      <c r="E15249" s="3">
        <v>3.2500000000000001E-86</v>
      </c>
      <c r="F15249" s="2">
        <v>691</v>
      </c>
      <c r="G15249" s="2">
        <v>100</v>
      </c>
      <c r="H15249" s="2">
        <v>128</v>
      </c>
      <c r="I15249" s="2">
        <v>2</v>
      </c>
      <c r="J15249" s="2">
        <v>385</v>
      </c>
      <c r="K15249" s="2">
        <v>162</v>
      </c>
      <c r="L15249" s="2">
        <v>289</v>
      </c>
    </row>
    <row r="15250" spans="1:12" x14ac:dyDescent="0.25">
      <c r="A15250" s="4" t="str">
        <f>HYPERLINK("http://www.rosaceae.org/Prunus/Prunus_persica/p.persica_gdr_reftransV1_0000031","p.persica_gdr_reftransV1_0000031")</f>
        <v>p.persica_gdr_reftransV1_0000031</v>
      </c>
      <c r="B15250" s="2">
        <v>1904</v>
      </c>
      <c r="C15250" s="4" t="str">
        <f>HYPERLINK("http://www.uniprot.org/uniprot/M5XDN6","M5XDN6")</f>
        <v>M5XDN6</v>
      </c>
      <c r="D15250" s="2" t="s">
        <v>12270</v>
      </c>
      <c r="E15250" s="3">
        <v>3.3200000000000002E-172</v>
      </c>
      <c r="F15250" s="2">
        <v>1296</v>
      </c>
      <c r="G15250" s="2">
        <v>100</v>
      </c>
      <c r="H15250" s="2">
        <v>278</v>
      </c>
      <c r="I15250" s="2">
        <v>762</v>
      </c>
      <c r="J15250" s="2">
        <v>1595</v>
      </c>
      <c r="K15250" s="2">
        <v>1</v>
      </c>
      <c r="L15250" s="2">
        <v>278</v>
      </c>
    </row>
    <row r="15251" spans="1:12" x14ac:dyDescent="0.25">
      <c r="A15251" s="4" t="str">
        <f>HYPERLINK("http://www.rosaceae.org/Prunus/Prunus_persica/p.persica_gdr_reftransV1_0000731","p.persica_gdr_reftransV1_0000731")</f>
        <v>p.persica_gdr_reftransV1_0000731</v>
      </c>
      <c r="B15251" s="2">
        <v>3853</v>
      </c>
      <c r="C15251" s="4" t="str">
        <f>HYPERLINK("http://www.uniprot.org/uniprot/M5X7P0","M5X7P0")</f>
        <v>M5X7P0</v>
      </c>
      <c r="D15251" s="2" t="s">
        <v>11609</v>
      </c>
      <c r="E15251" s="3">
        <v>0</v>
      </c>
      <c r="F15251" s="2">
        <v>4376</v>
      </c>
      <c r="G15251" s="2">
        <v>97</v>
      </c>
      <c r="H15251" s="2">
        <v>883</v>
      </c>
      <c r="I15251" s="2">
        <v>973</v>
      </c>
      <c r="J15251" s="2">
        <v>3594</v>
      </c>
      <c r="K15251" s="2">
        <v>1</v>
      </c>
      <c r="L15251" s="2">
        <v>883</v>
      </c>
    </row>
    <row r="15252" spans="1:12" x14ac:dyDescent="0.25">
      <c r="A15252" s="4" t="str">
        <f>HYPERLINK("http://www.rosaceae.org/Prunus/Prunus_persica/p.persica_gdr_reftransV1_0001081","p.persica_gdr_reftransV1_0001081")</f>
        <v>p.persica_gdr_reftransV1_0001081</v>
      </c>
      <c r="B15252" s="2">
        <v>505</v>
      </c>
      <c r="C15252" s="4" t="str">
        <f>HYPERLINK("http://www.uniprot.org/uniprot/M5Y3A6","M5Y3A6")</f>
        <v>M5Y3A6</v>
      </c>
      <c r="D15252" s="2" t="s">
        <v>6473</v>
      </c>
      <c r="E15252" s="3">
        <v>8.5199999999999999E-111</v>
      </c>
      <c r="F15252" s="2">
        <v>894</v>
      </c>
      <c r="G15252" s="2">
        <v>100</v>
      </c>
      <c r="H15252" s="2">
        <v>168</v>
      </c>
      <c r="I15252" s="2">
        <v>1</v>
      </c>
      <c r="J15252" s="2">
        <v>504</v>
      </c>
      <c r="K15252" s="2">
        <v>601</v>
      </c>
      <c r="L15252" s="2">
        <v>768</v>
      </c>
    </row>
    <row r="15253" spans="1:12" x14ac:dyDescent="0.25">
      <c r="A15253" s="4" t="str">
        <f>HYPERLINK("http://www.rosaceae.org/Prunus/Prunus_persica/p.persica_gdr_reftransV1_0001431","p.persica_gdr_reftransV1_0001431")</f>
        <v>p.persica_gdr_reftransV1_0001431</v>
      </c>
      <c r="B15253" s="2">
        <v>584</v>
      </c>
      <c r="C15253" s="4" t="str">
        <f>HYPERLINK("http://www.uniprot.org/uniprot/M5XKK2","M5XKK2")</f>
        <v>M5XKK2</v>
      </c>
      <c r="D15253" s="2" t="s">
        <v>10571</v>
      </c>
      <c r="E15253" s="3">
        <v>1.37E-88</v>
      </c>
      <c r="F15253" s="2">
        <v>693</v>
      </c>
      <c r="G15253" s="2">
        <v>99</v>
      </c>
      <c r="H15253" s="2">
        <v>132</v>
      </c>
      <c r="I15253" s="2">
        <v>81</v>
      </c>
      <c r="J15253" s="2">
        <v>476</v>
      </c>
      <c r="K15253" s="2">
        <v>95</v>
      </c>
      <c r="L15253" s="2">
        <v>226</v>
      </c>
    </row>
    <row r="15254" spans="1:12" x14ac:dyDescent="0.25">
      <c r="A15254" s="4" t="str">
        <f>HYPERLINK("http://www.rosaceae.org/Prunus/Prunus_persica/p.persica_gdr_reftransV1_0001781","p.persica_gdr_reftransV1_0001781")</f>
        <v>p.persica_gdr_reftransV1_0001781</v>
      </c>
      <c r="B15254" s="2">
        <v>1476</v>
      </c>
      <c r="C15254" s="4" t="str">
        <f>HYPERLINK("http://www.uniprot.org/uniprot/M5XCB5","M5XCB5")</f>
        <v>M5XCB5</v>
      </c>
      <c r="D15254" s="2" t="s">
        <v>6140</v>
      </c>
      <c r="E15254" s="3">
        <v>0</v>
      </c>
      <c r="F15254" s="2">
        <v>1692</v>
      </c>
      <c r="G15254" s="2">
        <v>100</v>
      </c>
      <c r="H15254" s="2">
        <v>334</v>
      </c>
      <c r="I15254" s="2">
        <v>305</v>
      </c>
      <c r="J15254" s="2">
        <v>1306</v>
      </c>
      <c r="K15254" s="2">
        <v>1</v>
      </c>
      <c r="L15254" s="2">
        <v>334</v>
      </c>
    </row>
    <row r="15255" spans="1:12" x14ac:dyDescent="0.25">
      <c r="A15255" s="4" t="str">
        <f>HYPERLINK("http://www.rosaceae.org/Prunus/Prunus_persica/p.persica_gdr_reftransV1_0002481","p.persica_gdr_reftransV1_0002481")</f>
        <v>p.persica_gdr_reftransV1_0002481</v>
      </c>
      <c r="B15255" s="2">
        <v>955</v>
      </c>
      <c r="C15255" s="4" t="str">
        <f>HYPERLINK("http://www.uniprot.org/uniprot/M5VL43","M5VL43")</f>
        <v>M5VL43</v>
      </c>
      <c r="D15255" s="2" t="s">
        <v>12271</v>
      </c>
      <c r="E15255" s="3">
        <v>1.9799999999999999E-162</v>
      </c>
      <c r="F15255" s="2">
        <v>1195</v>
      </c>
      <c r="G15255" s="2">
        <v>100</v>
      </c>
      <c r="H15255" s="2">
        <v>241</v>
      </c>
      <c r="I15255" s="2">
        <v>188</v>
      </c>
      <c r="J15255" s="2">
        <v>910</v>
      </c>
      <c r="K15255" s="2">
        <v>1</v>
      </c>
      <c r="L15255" s="2">
        <v>241</v>
      </c>
    </row>
    <row r="15256" spans="1:12" x14ac:dyDescent="0.25">
      <c r="A15256" s="4" t="str">
        <f>HYPERLINK("http://www.rosaceae.org/Prunus/Prunus_persica/p.persica_gdr_reftransV1_0002831","p.persica_gdr_reftransV1_0002831")</f>
        <v>p.persica_gdr_reftransV1_0002831</v>
      </c>
      <c r="B15256" s="2">
        <v>307</v>
      </c>
      <c r="C15256" s="4" t="str">
        <f>HYPERLINK("http://www.uniprot.org/uniprot/M5W6V0","M5W6V0")</f>
        <v>M5W6V0</v>
      </c>
      <c r="D15256" s="2" t="s">
        <v>12272</v>
      </c>
      <c r="E15256" s="3">
        <v>1.21E-30</v>
      </c>
      <c r="F15256" s="2">
        <v>304</v>
      </c>
      <c r="G15256" s="2">
        <v>80</v>
      </c>
      <c r="H15256" s="2">
        <v>79</v>
      </c>
      <c r="I15256" s="2">
        <v>2</v>
      </c>
      <c r="J15256" s="2">
        <v>232</v>
      </c>
      <c r="K15256" s="2">
        <v>1</v>
      </c>
      <c r="L15256" s="2">
        <v>78</v>
      </c>
    </row>
    <row r="15257" spans="1:12" x14ac:dyDescent="0.25">
      <c r="A15257" s="4" t="str">
        <f>HYPERLINK("http://www.rosaceae.org/Prunus/Prunus_persica/p.persica_gdr_reftransV1_0004231","p.persica_gdr_reftransV1_0004231")</f>
        <v>p.persica_gdr_reftransV1_0004231</v>
      </c>
      <c r="B15257" s="2">
        <v>4242</v>
      </c>
      <c r="C15257" s="4" t="str">
        <f>HYPERLINK("http://www.uniprot.org/uniprot/M5WK13","M5WK13")</f>
        <v>M5WK13</v>
      </c>
      <c r="D15257" s="2" t="s">
        <v>9862</v>
      </c>
      <c r="E15257" s="3">
        <v>0</v>
      </c>
      <c r="F15257" s="2">
        <v>4202</v>
      </c>
      <c r="G15257" s="2">
        <v>100</v>
      </c>
      <c r="H15257" s="2">
        <v>816</v>
      </c>
      <c r="I15257" s="2">
        <v>1659</v>
      </c>
      <c r="J15257" s="2">
        <v>4106</v>
      </c>
      <c r="K15257" s="2">
        <v>1</v>
      </c>
      <c r="L15257" s="2">
        <v>816</v>
      </c>
    </row>
    <row r="15258" spans="1:12" x14ac:dyDescent="0.25">
      <c r="A15258" s="4" t="str">
        <f>HYPERLINK("http://www.rosaceae.org/Prunus/Prunus_persica/p.persica_gdr_reftransV1_0004931","p.persica_gdr_reftransV1_0004931")</f>
        <v>p.persica_gdr_reftransV1_0004931</v>
      </c>
      <c r="B15258" s="2">
        <v>1148</v>
      </c>
      <c r="C15258" s="4" t="str">
        <f>HYPERLINK("http://www.uniprot.org/uniprot/M5WTP5","M5WTP5")</f>
        <v>M5WTP5</v>
      </c>
      <c r="D15258" s="2" t="s">
        <v>12273</v>
      </c>
      <c r="E15258" s="3">
        <v>1.9299999999999999E-120</v>
      </c>
      <c r="F15258" s="2">
        <v>862</v>
      </c>
      <c r="G15258" s="2">
        <v>98</v>
      </c>
      <c r="H15258" s="2">
        <v>168</v>
      </c>
      <c r="I15258" s="2">
        <v>577</v>
      </c>
      <c r="J15258" s="2">
        <v>1080</v>
      </c>
      <c r="K15258" s="2">
        <v>1</v>
      </c>
      <c r="L15258" s="2">
        <v>168</v>
      </c>
    </row>
    <row r="15259" spans="1:12" x14ac:dyDescent="0.25">
      <c r="A15259" s="4" t="str">
        <f>HYPERLINK("http://www.rosaceae.org/Prunus/Prunus_persica/p.persica_gdr_reftransV1_0005281","p.persica_gdr_reftransV1_0005281")</f>
        <v>p.persica_gdr_reftransV1_0005281</v>
      </c>
      <c r="B15259" s="2">
        <v>730</v>
      </c>
      <c r="C15259" s="4" t="str">
        <f>HYPERLINK("http://www.uniprot.org/uniprot/A0A0F6PY33","A0A0F6PY33")</f>
        <v>A0A0F6PY33</v>
      </c>
      <c r="D15259" s="2" t="s">
        <v>6797</v>
      </c>
      <c r="E15259" s="3">
        <v>5.8599999999999998E-122</v>
      </c>
      <c r="F15259" s="2">
        <v>1011</v>
      </c>
      <c r="G15259" s="2">
        <v>100</v>
      </c>
      <c r="H15259" s="2">
        <v>218</v>
      </c>
      <c r="I15259" s="2">
        <v>1</v>
      </c>
      <c r="J15259" s="2">
        <v>654</v>
      </c>
      <c r="K15259" s="2">
        <v>1260</v>
      </c>
      <c r="L15259" s="2">
        <v>1477</v>
      </c>
    </row>
    <row r="15260" spans="1:12" x14ac:dyDescent="0.25">
      <c r="A15260" s="4" t="str">
        <f>HYPERLINK("http://www.rosaceae.org/Prunus/Prunus_persica/p.persica_gdr_reftransV1_0005631","p.persica_gdr_reftransV1_0005631")</f>
        <v>p.persica_gdr_reftransV1_0005631</v>
      </c>
      <c r="B15260" s="2">
        <v>2175</v>
      </c>
      <c r="C15260" s="4" t="str">
        <f>HYPERLINK("http://www.uniprot.org/uniprot/M5VWB0","M5VWB0")</f>
        <v>M5VWB0</v>
      </c>
      <c r="D15260" s="2" t="s">
        <v>12274</v>
      </c>
      <c r="E15260" s="3">
        <v>0</v>
      </c>
      <c r="F15260" s="2">
        <v>1527</v>
      </c>
      <c r="G15260" s="2">
        <v>96</v>
      </c>
      <c r="H15260" s="2">
        <v>292</v>
      </c>
      <c r="I15260" s="2">
        <v>412</v>
      </c>
      <c r="J15260" s="2">
        <v>1287</v>
      </c>
      <c r="K15260" s="2">
        <v>149</v>
      </c>
      <c r="L15260" s="2">
        <v>440</v>
      </c>
    </row>
    <row r="15261" spans="1:12" x14ac:dyDescent="0.25">
      <c r="A15261" s="4" t="str">
        <f>HYPERLINK("http://www.rosaceae.org/Prunus/Prunus_persica/p.persica_gdr_reftransV1_0005981","p.persica_gdr_reftransV1_0005981")</f>
        <v>p.persica_gdr_reftransV1_0005981</v>
      </c>
      <c r="B15261" s="2">
        <v>338</v>
      </c>
      <c r="C15261" s="4" t="str">
        <f>HYPERLINK("http://www.uniprot.org/uniprot/A0A0A1XWJ2","A0A0A1XWJ2")</f>
        <v>A0A0A1XWJ2</v>
      </c>
      <c r="D15261" s="2" t="s">
        <v>12275</v>
      </c>
      <c r="E15261" s="3">
        <v>6.3199999999999997E-12</v>
      </c>
      <c r="F15261" s="2">
        <v>166</v>
      </c>
      <c r="G15261" s="2">
        <v>43</v>
      </c>
      <c r="H15261" s="2">
        <v>93</v>
      </c>
      <c r="I15261" s="2">
        <v>2</v>
      </c>
      <c r="J15261" s="2">
        <v>280</v>
      </c>
      <c r="K15261" s="2">
        <v>12</v>
      </c>
      <c r="L15261" s="2">
        <v>101</v>
      </c>
    </row>
    <row r="15262" spans="1:12" x14ac:dyDescent="0.25">
      <c r="A15262" s="4" t="str">
        <f>HYPERLINK("http://www.rosaceae.org/Prunus/Prunus_persica/p.persica_gdr_reftransV1_0006331","p.persica_gdr_reftransV1_0006331")</f>
        <v>p.persica_gdr_reftransV1_0006331</v>
      </c>
      <c r="B15262" s="2">
        <v>715</v>
      </c>
      <c r="C15262" s="4" t="str">
        <f>HYPERLINK("http://www.uniprot.org/uniprot/A5AHG7","A5AHG7")</f>
        <v>A5AHG7</v>
      </c>
      <c r="D15262" s="2" t="s">
        <v>12276</v>
      </c>
      <c r="E15262" s="3">
        <v>4.5800000000000004E-106</v>
      </c>
      <c r="F15262" s="2">
        <v>868</v>
      </c>
      <c r="G15262" s="2">
        <v>72</v>
      </c>
      <c r="H15262" s="2">
        <v>237</v>
      </c>
      <c r="I15262" s="2">
        <v>3</v>
      </c>
      <c r="J15262" s="2">
        <v>713</v>
      </c>
      <c r="K15262" s="2">
        <v>428</v>
      </c>
      <c r="L15262" s="2">
        <v>664</v>
      </c>
    </row>
    <row r="15263" spans="1:12" x14ac:dyDescent="0.25">
      <c r="A15263" s="4" t="str">
        <f>HYPERLINK("http://www.rosaceae.org/Prunus/Prunus_persica/p.persica_gdr_reftransV1_0006681","p.persica_gdr_reftransV1_0006681")</f>
        <v>p.persica_gdr_reftransV1_0006681</v>
      </c>
      <c r="B15263" s="2">
        <v>577</v>
      </c>
      <c r="C15263" s="4" t="str">
        <f>HYPERLINK("http://www.uniprot.org/uniprot/M5XAJ7","M5XAJ7")</f>
        <v>M5XAJ7</v>
      </c>
      <c r="D15263" s="2" t="s">
        <v>12277</v>
      </c>
      <c r="E15263" s="3">
        <v>1.9400000000000001E-69</v>
      </c>
      <c r="F15263" s="2">
        <v>596</v>
      </c>
      <c r="G15263" s="2">
        <v>100</v>
      </c>
      <c r="H15263" s="2">
        <v>126</v>
      </c>
      <c r="I15263" s="2">
        <v>200</v>
      </c>
      <c r="J15263" s="2">
        <v>577</v>
      </c>
      <c r="K15263" s="2">
        <v>266</v>
      </c>
      <c r="L15263" s="2">
        <v>391</v>
      </c>
    </row>
    <row r="15264" spans="1:12" x14ac:dyDescent="0.25">
      <c r="A15264" s="4" t="str">
        <f>HYPERLINK("http://www.rosaceae.org/Prunus/Prunus_persica/p.persica_gdr_reftransV1_0007031","p.persica_gdr_reftransV1_0007031")</f>
        <v>p.persica_gdr_reftransV1_0007031</v>
      </c>
      <c r="B15264" s="2">
        <v>971</v>
      </c>
      <c r="C15264" s="4" t="str">
        <f>HYPERLINK("http://www.uniprot.org/uniprot/M5VMN1","M5VMN1")</f>
        <v>M5VMN1</v>
      </c>
      <c r="D15264" s="2" t="s">
        <v>12278</v>
      </c>
      <c r="E15264" s="3">
        <v>8.7399999999999992E-174</v>
      </c>
      <c r="F15264" s="2">
        <v>1270</v>
      </c>
      <c r="G15264" s="2">
        <v>100</v>
      </c>
      <c r="H15264" s="2">
        <v>238</v>
      </c>
      <c r="I15264" s="2">
        <v>84</v>
      </c>
      <c r="J15264" s="2">
        <v>797</v>
      </c>
      <c r="K15264" s="2">
        <v>1</v>
      </c>
      <c r="L15264" s="2">
        <v>238</v>
      </c>
    </row>
    <row r="15265" spans="1:12" x14ac:dyDescent="0.25">
      <c r="A15265" s="4" t="str">
        <f>HYPERLINK("http://www.rosaceae.org/Prunus/Prunus_persica/p.persica_gdr_reftransV1_0007381","p.persica_gdr_reftransV1_0007381")</f>
        <v>p.persica_gdr_reftransV1_0007381</v>
      </c>
      <c r="B15265" s="2">
        <v>1860</v>
      </c>
      <c r="C15265" s="4" t="str">
        <f>HYPERLINK("http://www.uniprot.org/uniprot/M5WSI1","M5WSI1")</f>
        <v>M5WSI1</v>
      </c>
      <c r="D15265" s="2" t="s">
        <v>12279</v>
      </c>
      <c r="E15265" s="3">
        <v>0</v>
      </c>
      <c r="F15265" s="2">
        <v>2134</v>
      </c>
      <c r="G15265" s="2">
        <v>100</v>
      </c>
      <c r="H15265" s="2">
        <v>418</v>
      </c>
      <c r="I15265" s="2">
        <v>281</v>
      </c>
      <c r="J15265" s="2">
        <v>1534</v>
      </c>
      <c r="K15265" s="2">
        <v>1</v>
      </c>
      <c r="L15265" s="2">
        <v>418</v>
      </c>
    </row>
    <row r="15266" spans="1:12" x14ac:dyDescent="0.25">
      <c r="A15266" s="4" t="str">
        <f>HYPERLINK("http://www.rosaceae.org/Prunus/Prunus_persica/p.persica_gdr_reftransV1_0007731","p.persica_gdr_reftransV1_0007731")</f>
        <v>p.persica_gdr_reftransV1_0007731</v>
      </c>
      <c r="B15266" s="2">
        <v>828</v>
      </c>
      <c r="C15266" s="4" t="str">
        <f>HYPERLINK("http://www.uniprot.org/uniprot/M5W0D7","M5W0D7")</f>
        <v>M5W0D7</v>
      </c>
      <c r="D15266" s="2" t="s">
        <v>12280</v>
      </c>
      <c r="E15266" s="3">
        <v>2.6400000000000001E-107</v>
      </c>
      <c r="F15266" s="2">
        <v>821</v>
      </c>
      <c r="G15266" s="2">
        <v>100</v>
      </c>
      <c r="H15266" s="2">
        <v>176</v>
      </c>
      <c r="I15266" s="2">
        <v>208</v>
      </c>
      <c r="J15266" s="2">
        <v>735</v>
      </c>
      <c r="K15266" s="2">
        <v>1</v>
      </c>
      <c r="L15266" s="2">
        <v>176</v>
      </c>
    </row>
    <row r="15267" spans="1:12" x14ac:dyDescent="0.25">
      <c r="A15267" s="4" t="str">
        <f>HYPERLINK("http://www.rosaceae.org/Prunus/Prunus_persica/p.persica_gdr_reftransV1_0008081","p.persica_gdr_reftransV1_0008081")</f>
        <v>p.persica_gdr_reftransV1_0008081</v>
      </c>
      <c r="B15267" s="2">
        <v>2035</v>
      </c>
      <c r="C15267" s="4" t="str">
        <f>HYPERLINK("http://www.uniprot.org/uniprot/M5WXG3","M5WXG3")</f>
        <v>M5WXG3</v>
      </c>
      <c r="D15267" s="2" t="s">
        <v>12281</v>
      </c>
      <c r="E15267" s="3">
        <v>0</v>
      </c>
      <c r="F15267" s="2">
        <v>2759</v>
      </c>
      <c r="G15267" s="2">
        <v>100</v>
      </c>
      <c r="H15267" s="2">
        <v>580</v>
      </c>
      <c r="I15267" s="2">
        <v>296</v>
      </c>
      <c r="J15267" s="2">
        <v>2035</v>
      </c>
      <c r="K15267" s="2">
        <v>1</v>
      </c>
      <c r="L15267" s="2">
        <v>580</v>
      </c>
    </row>
    <row r="15268" spans="1:12" x14ac:dyDescent="0.25">
      <c r="A15268" s="4" t="str">
        <f>HYPERLINK("http://www.rosaceae.org/Prunus/Prunus_persica/p.persica_gdr_reftransV1_0009131","p.persica_gdr_reftransV1_0009131")</f>
        <v>p.persica_gdr_reftransV1_0009131</v>
      </c>
      <c r="B15268" s="2">
        <v>940</v>
      </c>
      <c r="C15268" s="4" t="str">
        <f>HYPERLINK("http://www.uniprot.org/uniprot/M5VWZ6","M5VWZ6")</f>
        <v>M5VWZ6</v>
      </c>
      <c r="D15268" s="2" t="s">
        <v>12282</v>
      </c>
      <c r="E15268" s="3">
        <v>1.8100000000000001E-82</v>
      </c>
      <c r="F15268" s="2">
        <v>657</v>
      </c>
      <c r="G15268" s="2">
        <v>100</v>
      </c>
      <c r="H15268" s="2">
        <v>143</v>
      </c>
      <c r="I15268" s="2">
        <v>109</v>
      </c>
      <c r="J15268" s="2">
        <v>537</v>
      </c>
      <c r="K15268" s="2">
        <v>1</v>
      </c>
      <c r="L15268" s="2">
        <v>143</v>
      </c>
    </row>
    <row r="15269" spans="1:12" x14ac:dyDescent="0.25">
      <c r="A15269" s="4" t="str">
        <f>HYPERLINK("http://www.rosaceae.org/Prunus/Prunus_persica/p.persica_gdr_reftransV1_0010531","p.persica_gdr_reftransV1_0010531")</f>
        <v>p.persica_gdr_reftransV1_0010531</v>
      </c>
      <c r="B15269" s="2">
        <v>2035</v>
      </c>
      <c r="C15269" s="4" t="str">
        <f>HYPERLINK("http://www.uniprot.org/uniprot/M5XDK5","M5XDK5")</f>
        <v>M5XDK5</v>
      </c>
      <c r="D15269" s="2" t="s">
        <v>12283</v>
      </c>
      <c r="E15269" s="3">
        <v>0</v>
      </c>
      <c r="F15269" s="2">
        <v>1678</v>
      </c>
      <c r="G15269" s="2">
        <v>97</v>
      </c>
      <c r="H15269" s="2">
        <v>345</v>
      </c>
      <c r="I15269" s="2">
        <v>624</v>
      </c>
      <c r="J15269" s="2">
        <v>1658</v>
      </c>
      <c r="K15269" s="2">
        <v>56</v>
      </c>
      <c r="L15269" s="2">
        <v>400</v>
      </c>
    </row>
    <row r="15270" spans="1:12" x14ac:dyDescent="0.25">
      <c r="A15270" s="4" t="str">
        <f>HYPERLINK("http://www.rosaceae.org/Prunus/Prunus_persica/p.persica_gdr_reftransV1_0012631","p.persica_gdr_reftransV1_0012631")</f>
        <v>p.persica_gdr_reftransV1_0012631</v>
      </c>
      <c r="B15270" s="2">
        <v>2687</v>
      </c>
      <c r="C15270" s="4" t="str">
        <f>HYPERLINK("http://www.uniprot.org/uniprot/M5VVG7","M5VVG7")</f>
        <v>M5VVG7</v>
      </c>
      <c r="D15270" s="2" t="s">
        <v>12284</v>
      </c>
      <c r="E15270" s="3">
        <v>0</v>
      </c>
      <c r="F15270" s="2">
        <v>3685</v>
      </c>
      <c r="G15270" s="2">
        <v>100</v>
      </c>
      <c r="H15270" s="2">
        <v>718</v>
      </c>
      <c r="I15270" s="2">
        <v>436</v>
      </c>
      <c r="J15270" s="2">
        <v>2589</v>
      </c>
      <c r="K15270" s="2">
        <v>1</v>
      </c>
      <c r="L15270" s="2">
        <v>718</v>
      </c>
    </row>
    <row r="15271" spans="1:12" x14ac:dyDescent="0.25">
      <c r="A15271" s="4" t="str">
        <f>HYPERLINK("http://www.rosaceae.org/Prunus/Prunus_persica/p.persica_gdr_reftransV1_0012981","p.persica_gdr_reftransV1_0012981")</f>
        <v>p.persica_gdr_reftransV1_0012981</v>
      </c>
      <c r="B15271" s="2">
        <v>1467</v>
      </c>
      <c r="C15271" s="4" t="str">
        <f>HYPERLINK("http://www.uniprot.org/uniprot/M5X1Q3","M5X1Q3")</f>
        <v>M5X1Q3</v>
      </c>
      <c r="D15271" s="2" t="s">
        <v>12285</v>
      </c>
      <c r="E15271" s="3">
        <v>1.36E-154</v>
      </c>
      <c r="F15271" s="2">
        <v>1166</v>
      </c>
      <c r="G15271" s="2">
        <v>90</v>
      </c>
      <c r="H15271" s="2">
        <v>312</v>
      </c>
      <c r="I15271" s="2">
        <v>229</v>
      </c>
      <c r="J15271" s="2">
        <v>1164</v>
      </c>
      <c r="K15271" s="2">
        <v>1</v>
      </c>
      <c r="L15271" s="2">
        <v>282</v>
      </c>
    </row>
    <row r="15272" spans="1:12" x14ac:dyDescent="0.25">
      <c r="A15272" s="4" t="str">
        <f>HYPERLINK("http://www.rosaceae.org/Prunus/Prunus_persica/p.persica_gdr_reftransV1_0013331","p.persica_gdr_reftransV1_0013331")</f>
        <v>p.persica_gdr_reftransV1_0013331</v>
      </c>
      <c r="B15272" s="2">
        <v>1493</v>
      </c>
      <c r="C15272" s="4" t="str">
        <f>HYPERLINK("http://www.uniprot.org/uniprot/M5W6K3","M5W6K3")</f>
        <v>M5W6K3</v>
      </c>
      <c r="D15272" s="2" t="s">
        <v>12286</v>
      </c>
      <c r="E15272" s="3">
        <v>0</v>
      </c>
      <c r="F15272" s="2">
        <v>1765</v>
      </c>
      <c r="G15272" s="2">
        <v>100</v>
      </c>
      <c r="H15272" s="2">
        <v>343</v>
      </c>
      <c r="I15272" s="2">
        <v>448</v>
      </c>
      <c r="J15272" s="2">
        <v>1476</v>
      </c>
      <c r="K15272" s="2">
        <v>3</v>
      </c>
      <c r="L15272" s="2">
        <v>345</v>
      </c>
    </row>
    <row r="15273" spans="1:12" x14ac:dyDescent="0.25">
      <c r="A15273" s="4" t="str">
        <f>HYPERLINK("http://www.rosaceae.org/Prunus/Prunus_persica/p.persica_gdr_reftransV1_0014031","p.persica_gdr_reftransV1_0014031")</f>
        <v>p.persica_gdr_reftransV1_0014031</v>
      </c>
      <c r="B15273" s="2">
        <v>1014</v>
      </c>
      <c r="C15273" s="4" t="str">
        <f>HYPERLINK("http://www.uniprot.org/uniprot/M5X450","M5X450")</f>
        <v>M5X450</v>
      </c>
      <c r="D15273" s="2" t="s">
        <v>12287</v>
      </c>
      <c r="E15273" s="3">
        <v>1.6400000000000001E-86</v>
      </c>
      <c r="F15273" s="2">
        <v>687</v>
      </c>
      <c r="G15273" s="2">
        <v>100</v>
      </c>
      <c r="H15273" s="2">
        <v>155</v>
      </c>
      <c r="I15273" s="2">
        <v>347</v>
      </c>
      <c r="J15273" s="2">
        <v>811</v>
      </c>
      <c r="K15273" s="2">
        <v>1</v>
      </c>
      <c r="L15273" s="2">
        <v>155</v>
      </c>
    </row>
    <row r="15274" spans="1:12" x14ac:dyDescent="0.25">
      <c r="A15274" s="4" t="str">
        <f>HYPERLINK("http://www.rosaceae.org/Prunus/Prunus_persica/p.persica_gdr_reftransV1_0014381","p.persica_gdr_reftransV1_0014381")</f>
        <v>p.persica_gdr_reftransV1_0014381</v>
      </c>
      <c r="B15274" s="2">
        <v>1662</v>
      </c>
      <c r="C15274" s="4" t="str">
        <f>HYPERLINK("http://www.uniprot.org/uniprot/B9HTD1","B9HTD1")</f>
        <v>B9HTD1</v>
      </c>
      <c r="D15274" s="2" t="s">
        <v>10288</v>
      </c>
      <c r="E15274" s="3">
        <v>8.0099999999999999E-134</v>
      </c>
      <c r="F15274" s="2">
        <v>1050</v>
      </c>
      <c r="G15274" s="2">
        <v>52</v>
      </c>
      <c r="H15274" s="2">
        <v>437</v>
      </c>
      <c r="I15274" s="2">
        <v>135</v>
      </c>
      <c r="J15274" s="2">
        <v>1436</v>
      </c>
      <c r="K15274" s="2">
        <v>9</v>
      </c>
      <c r="L15274" s="2">
        <v>438</v>
      </c>
    </row>
    <row r="15275" spans="1:12" x14ac:dyDescent="0.25">
      <c r="A15275" s="4" t="str">
        <f>HYPERLINK("http://www.rosaceae.org/Prunus/Prunus_persica/p.persica_gdr_reftransV1_0015081","p.persica_gdr_reftransV1_0015081")</f>
        <v>p.persica_gdr_reftransV1_0015081</v>
      </c>
      <c r="B15275" s="2">
        <v>478</v>
      </c>
      <c r="C15275" s="4" t="str">
        <f>HYPERLINK("http://www.uniprot.org/uniprot/M5X0Q9","M5X0Q9")</f>
        <v>M5X0Q9</v>
      </c>
      <c r="D15275" s="2" t="s">
        <v>12288</v>
      </c>
      <c r="E15275" s="3">
        <v>6.45E-74</v>
      </c>
      <c r="F15275" s="2">
        <v>593</v>
      </c>
      <c r="G15275" s="2">
        <v>100</v>
      </c>
      <c r="H15275" s="2">
        <v>109</v>
      </c>
      <c r="I15275" s="2">
        <v>86</v>
      </c>
      <c r="J15275" s="2">
        <v>412</v>
      </c>
      <c r="K15275" s="2">
        <v>1</v>
      </c>
      <c r="L15275" s="2">
        <v>109</v>
      </c>
    </row>
    <row r="15276" spans="1:12" x14ac:dyDescent="0.25">
      <c r="A15276" s="4" t="str">
        <f>HYPERLINK("http://www.rosaceae.org/Prunus/Prunus_persica/p.persica_gdr_reftransV1_0016131","p.persica_gdr_reftransV1_0016131")</f>
        <v>p.persica_gdr_reftransV1_0016131</v>
      </c>
      <c r="B15276" s="2">
        <v>800</v>
      </c>
      <c r="C15276" s="4" t="str">
        <f>HYPERLINK("http://www.uniprot.org/uniprot/A0A061F2V6","A0A061F2V6")</f>
        <v>A0A061F2V6</v>
      </c>
      <c r="D15276" s="2" t="s">
        <v>5020</v>
      </c>
      <c r="E15276" s="3">
        <v>7.7700000000000006E-108</v>
      </c>
      <c r="F15276" s="2">
        <v>890</v>
      </c>
      <c r="G15276" s="2">
        <v>62</v>
      </c>
      <c r="H15276" s="2">
        <v>262</v>
      </c>
      <c r="I15276" s="2">
        <v>15</v>
      </c>
      <c r="J15276" s="2">
        <v>800</v>
      </c>
      <c r="K15276" s="2">
        <v>63</v>
      </c>
      <c r="L15276" s="2">
        <v>324</v>
      </c>
    </row>
    <row r="15277" spans="1:12" x14ac:dyDescent="0.25">
      <c r="A15277" s="4" t="str">
        <f>HYPERLINK("http://www.rosaceae.org/Prunus/Prunus_persica/p.persica_gdr_reftransV1_0018581","p.persica_gdr_reftransV1_0018581")</f>
        <v>p.persica_gdr_reftransV1_0018581</v>
      </c>
      <c r="B15277" s="2">
        <v>1480</v>
      </c>
      <c r="C15277" s="4" t="str">
        <f>HYPERLINK("http://www.uniprot.org/uniprot/M5VQJ1","M5VQJ1")</f>
        <v>M5VQJ1</v>
      </c>
      <c r="D15277" s="2" t="s">
        <v>12289</v>
      </c>
      <c r="E15277" s="3">
        <v>0</v>
      </c>
      <c r="F15277" s="2">
        <v>1698</v>
      </c>
      <c r="G15277" s="2">
        <v>100</v>
      </c>
      <c r="H15277" s="2">
        <v>344</v>
      </c>
      <c r="I15277" s="2">
        <v>16</v>
      </c>
      <c r="J15277" s="2">
        <v>1047</v>
      </c>
      <c r="K15277" s="2">
        <v>1</v>
      </c>
      <c r="L15277" s="2">
        <v>344</v>
      </c>
    </row>
    <row r="15278" spans="1:12" x14ac:dyDescent="0.25">
      <c r="A15278" s="4" t="str">
        <f>HYPERLINK("http://www.rosaceae.org/Prunus/Prunus_persica/p.persica_gdr_reftransV1_0019631","p.persica_gdr_reftransV1_0019631")</f>
        <v>p.persica_gdr_reftransV1_0019631</v>
      </c>
      <c r="B15278" s="2">
        <v>3149</v>
      </c>
      <c r="C15278" s="4" t="str">
        <f>HYPERLINK("http://www.uniprot.org/uniprot/A0A0D2UUD2","A0A0D2UUD2")</f>
        <v>A0A0D2UUD2</v>
      </c>
      <c r="D15278" s="2" t="s">
        <v>12290</v>
      </c>
      <c r="E15278" s="3">
        <v>0</v>
      </c>
      <c r="F15278" s="2">
        <v>1923</v>
      </c>
      <c r="G15278" s="2">
        <v>58</v>
      </c>
      <c r="H15278" s="2">
        <v>711</v>
      </c>
      <c r="I15278" s="2">
        <v>792</v>
      </c>
      <c r="J15278" s="2">
        <v>2897</v>
      </c>
      <c r="K15278" s="2">
        <v>1</v>
      </c>
      <c r="L15278" s="2">
        <v>646</v>
      </c>
    </row>
    <row r="15279" spans="1:12" x14ac:dyDescent="0.25">
      <c r="A15279" s="4" t="str">
        <f>HYPERLINK("http://www.rosaceae.org/Prunus/Prunus_persica/p.persica_gdr_reftransV1_0020681","p.persica_gdr_reftransV1_0020681")</f>
        <v>p.persica_gdr_reftransV1_0020681</v>
      </c>
      <c r="B15279" s="2">
        <v>1375</v>
      </c>
      <c r="C15279" s="4" t="str">
        <f>HYPERLINK("http://www.uniprot.org/uniprot/M5XBS1","M5XBS1")</f>
        <v>M5XBS1</v>
      </c>
      <c r="D15279" s="2" t="s">
        <v>12291</v>
      </c>
      <c r="E15279" s="3">
        <v>1.8200000000000001E-133</v>
      </c>
      <c r="F15279" s="2">
        <v>850</v>
      </c>
      <c r="G15279" s="2">
        <v>98</v>
      </c>
      <c r="H15279" s="2">
        <v>160</v>
      </c>
      <c r="I15279" s="2">
        <v>512</v>
      </c>
      <c r="J15279" s="2">
        <v>991</v>
      </c>
      <c r="K15279" s="2">
        <v>118</v>
      </c>
      <c r="L15279" s="2">
        <v>277</v>
      </c>
    </row>
    <row r="15280" spans="1:12" x14ac:dyDescent="0.25">
      <c r="A15280" s="4" t="str">
        <f>HYPERLINK("http://www.rosaceae.org/Prunus/Prunus_persica/p.persica_gdr_reftransV1_0022081","p.persica_gdr_reftransV1_0022081")</f>
        <v>p.persica_gdr_reftransV1_0022081</v>
      </c>
      <c r="B15280" s="2">
        <v>2494</v>
      </c>
      <c r="C15280" s="4" t="str">
        <f>HYPERLINK("http://www.uniprot.org/uniprot/M5VKB8","M5VKB8")</f>
        <v>M5VKB8</v>
      </c>
      <c r="D15280" s="2" t="s">
        <v>4801</v>
      </c>
      <c r="E15280" s="3">
        <v>0</v>
      </c>
      <c r="F15280" s="2">
        <v>1913</v>
      </c>
      <c r="G15280" s="2">
        <v>97</v>
      </c>
      <c r="H15280" s="2">
        <v>466</v>
      </c>
      <c r="I15280" s="2">
        <v>839</v>
      </c>
      <c r="J15280" s="2">
        <v>2197</v>
      </c>
      <c r="K15280" s="2">
        <v>1</v>
      </c>
      <c r="L15280" s="2">
        <v>466</v>
      </c>
    </row>
    <row r="15281" spans="1:12" x14ac:dyDescent="0.25">
      <c r="A15281" s="4" t="str">
        <f>HYPERLINK("http://www.rosaceae.org/Prunus/Prunus_persica/p.persica_gdr_reftransV1_0022431","p.persica_gdr_reftransV1_0022431")</f>
        <v>p.persica_gdr_reftransV1_0022431</v>
      </c>
      <c r="B15281" s="2">
        <v>2345</v>
      </c>
      <c r="C15281" s="4" t="str">
        <f>HYPERLINK("http://www.uniprot.org/uniprot/M5VPX4","M5VPX4")</f>
        <v>M5VPX4</v>
      </c>
      <c r="D15281" s="2" t="s">
        <v>12292</v>
      </c>
      <c r="E15281" s="3">
        <v>0</v>
      </c>
      <c r="F15281" s="2">
        <v>1892</v>
      </c>
      <c r="G15281" s="2">
        <v>100</v>
      </c>
      <c r="H15281" s="2">
        <v>392</v>
      </c>
      <c r="I15281" s="2">
        <v>227</v>
      </c>
      <c r="J15281" s="2">
        <v>1402</v>
      </c>
      <c r="K15281" s="2">
        <v>1</v>
      </c>
      <c r="L15281" s="2">
        <v>392</v>
      </c>
    </row>
    <row r="15282" spans="1:12" x14ac:dyDescent="0.25">
      <c r="A15282" s="4" t="str">
        <f>HYPERLINK("http://www.rosaceae.org/Prunus/Prunus_persica/p.persica_gdr_reftransV1_0024181","p.persica_gdr_reftransV1_0024181")</f>
        <v>p.persica_gdr_reftransV1_0024181</v>
      </c>
      <c r="B15282" s="2">
        <v>2428</v>
      </c>
      <c r="C15282" s="4" t="str">
        <f>HYPERLINK("http://www.uniprot.org/uniprot/M5WBC9","M5WBC9")</f>
        <v>M5WBC9</v>
      </c>
      <c r="D15282" s="2" t="s">
        <v>12293</v>
      </c>
      <c r="E15282" s="3">
        <v>0</v>
      </c>
      <c r="F15282" s="2">
        <v>2578</v>
      </c>
      <c r="G15282" s="2">
        <v>100</v>
      </c>
      <c r="H15282" s="2">
        <v>555</v>
      </c>
      <c r="I15282" s="2">
        <v>645</v>
      </c>
      <c r="J15282" s="2">
        <v>2309</v>
      </c>
      <c r="K15282" s="2">
        <v>1</v>
      </c>
      <c r="L15282" s="2">
        <v>555</v>
      </c>
    </row>
    <row r="15283" spans="1:12" x14ac:dyDescent="0.25">
      <c r="A15283" s="4" t="str">
        <f>HYPERLINK("http://www.rosaceae.org/Prunus/Prunus_persica/p.persica_gdr_reftransV1_0025231","p.persica_gdr_reftransV1_0025231")</f>
        <v>p.persica_gdr_reftransV1_0025231</v>
      </c>
      <c r="B15283" s="2">
        <v>2035</v>
      </c>
      <c r="C15283" s="4" t="str">
        <f>HYPERLINK("http://www.uniprot.org/uniprot/M5WC13","M5WC13")</f>
        <v>M5WC13</v>
      </c>
      <c r="D15283" s="2" t="s">
        <v>12294</v>
      </c>
      <c r="E15283" s="3">
        <v>8.1500000000000005E-153</v>
      </c>
      <c r="F15283" s="2">
        <v>1184</v>
      </c>
      <c r="G15283" s="2">
        <v>100</v>
      </c>
      <c r="H15283" s="2">
        <v>245</v>
      </c>
      <c r="I15283" s="2">
        <v>1158</v>
      </c>
      <c r="J15283" s="2">
        <v>1892</v>
      </c>
      <c r="K15283" s="2">
        <v>15</v>
      </c>
      <c r="L15283" s="2">
        <v>259</v>
      </c>
    </row>
    <row r="15284" spans="1:12" x14ac:dyDescent="0.25">
      <c r="A15284" s="4" t="str">
        <f>HYPERLINK("http://www.rosaceae.org/Prunus/Prunus_persica/p.persica_gdr_reftransV1_0025931","p.persica_gdr_reftransV1_0025931")</f>
        <v>p.persica_gdr_reftransV1_0025931</v>
      </c>
      <c r="B15284" s="2">
        <v>1018</v>
      </c>
      <c r="C15284" s="4" t="str">
        <f>HYPERLINK("http://www.uniprot.org/uniprot/M5WB54","M5WB54")</f>
        <v>M5WB54</v>
      </c>
      <c r="D15284" s="2" t="s">
        <v>12295</v>
      </c>
      <c r="E15284" s="3">
        <v>4.1699999999999996E-77</v>
      </c>
      <c r="F15284" s="2">
        <v>621</v>
      </c>
      <c r="G15284" s="2">
        <v>100</v>
      </c>
      <c r="H15284" s="2">
        <v>116</v>
      </c>
      <c r="I15284" s="2">
        <v>24</v>
      </c>
      <c r="J15284" s="2">
        <v>371</v>
      </c>
      <c r="K15284" s="2">
        <v>1</v>
      </c>
      <c r="L15284" s="2">
        <v>116</v>
      </c>
    </row>
    <row r="15285" spans="1:12" x14ac:dyDescent="0.25">
      <c r="A15285" s="4" t="str">
        <f>HYPERLINK("http://www.rosaceae.org/Prunus/Prunus_persica/p.persica_gdr_reftransV1_0026631","p.persica_gdr_reftransV1_0026631")</f>
        <v>p.persica_gdr_reftransV1_0026631</v>
      </c>
      <c r="B15285" s="2">
        <v>1532</v>
      </c>
      <c r="C15285" s="4" t="str">
        <f>HYPERLINK("http://www.uniprot.org/uniprot/M5XDY2","M5XDY2")</f>
        <v>M5XDY2</v>
      </c>
      <c r="D15285" s="2" t="s">
        <v>8508</v>
      </c>
      <c r="E15285" s="3">
        <v>2.9600000000000001E-161</v>
      </c>
      <c r="F15285" s="2">
        <v>1231</v>
      </c>
      <c r="G15285" s="2">
        <v>100</v>
      </c>
      <c r="H15285" s="2">
        <v>245</v>
      </c>
      <c r="I15285" s="2">
        <v>620</v>
      </c>
      <c r="J15285" s="2">
        <v>1354</v>
      </c>
      <c r="K15285" s="2">
        <v>227</v>
      </c>
      <c r="L15285" s="2">
        <v>471</v>
      </c>
    </row>
    <row r="15286" spans="1:12" x14ac:dyDescent="0.25">
      <c r="A15286" s="4" t="str">
        <f>HYPERLINK("http://www.rosaceae.org/Prunus/Prunus_persica/p.persica_gdr_reftransV1_0026981","p.persica_gdr_reftransV1_0026981")</f>
        <v>p.persica_gdr_reftransV1_0026981</v>
      </c>
      <c r="B15286" s="2">
        <v>3471</v>
      </c>
      <c r="C15286" s="4" t="str">
        <f>HYPERLINK("http://www.uniprot.org/uniprot/M5W631","M5W631")</f>
        <v>M5W631</v>
      </c>
      <c r="D15286" s="2" t="s">
        <v>12296</v>
      </c>
      <c r="E15286" s="3">
        <v>2.3000000000000001E-139</v>
      </c>
      <c r="F15286" s="2">
        <v>1130</v>
      </c>
      <c r="G15286" s="2">
        <v>98</v>
      </c>
      <c r="H15286" s="2">
        <v>215</v>
      </c>
      <c r="I15286" s="2">
        <v>1490</v>
      </c>
      <c r="J15286" s="2">
        <v>2134</v>
      </c>
      <c r="K15286" s="2">
        <v>137</v>
      </c>
      <c r="L15286" s="2">
        <v>351</v>
      </c>
    </row>
    <row r="15287" spans="1:12" x14ac:dyDescent="0.25">
      <c r="A15287" s="4" t="str">
        <f>HYPERLINK("http://www.rosaceae.org/Prunus/Prunus_persica/p.persica_gdr_reftransV1_0027331","p.persica_gdr_reftransV1_0027331")</f>
        <v>p.persica_gdr_reftransV1_0027331</v>
      </c>
      <c r="B15287" s="2">
        <v>2572</v>
      </c>
      <c r="C15287" s="4" t="str">
        <f>HYPERLINK("http://www.uniprot.org/uniprot/M5WR43","M5WR43")</f>
        <v>M5WR43</v>
      </c>
      <c r="D15287" s="2" t="s">
        <v>12297</v>
      </c>
      <c r="E15287" s="3">
        <v>0</v>
      </c>
      <c r="F15287" s="2">
        <v>2987</v>
      </c>
      <c r="G15287" s="2">
        <v>100</v>
      </c>
      <c r="H15287" s="2">
        <v>601</v>
      </c>
      <c r="I15287" s="2">
        <v>272</v>
      </c>
      <c r="J15287" s="2">
        <v>2074</v>
      </c>
      <c r="K15287" s="2">
        <v>1</v>
      </c>
      <c r="L15287" s="2">
        <v>601</v>
      </c>
    </row>
    <row r="15288" spans="1:12" x14ac:dyDescent="0.25">
      <c r="A15288" s="4" t="str">
        <f>HYPERLINK("http://www.rosaceae.org/Prunus/Prunus_persica/p.persica_gdr_reftransV1_0031181","p.persica_gdr_reftransV1_0031181")</f>
        <v>p.persica_gdr_reftransV1_0031181</v>
      </c>
      <c r="B15288" s="2">
        <v>2162</v>
      </c>
      <c r="C15288" s="4" t="str">
        <f>HYPERLINK("http://www.uniprot.org/uniprot/M5XQH5","M5XQH5")</f>
        <v>M5XQH5</v>
      </c>
      <c r="D15288" s="2" t="s">
        <v>12298</v>
      </c>
      <c r="E15288" s="3">
        <v>0</v>
      </c>
      <c r="F15288" s="2">
        <v>2264</v>
      </c>
      <c r="G15288" s="2">
        <v>100</v>
      </c>
      <c r="H15288" s="2">
        <v>527</v>
      </c>
      <c r="I15288" s="2">
        <v>453</v>
      </c>
      <c r="J15288" s="2">
        <v>2033</v>
      </c>
      <c r="K15288" s="2">
        <v>1</v>
      </c>
      <c r="L15288" s="2">
        <v>527</v>
      </c>
    </row>
    <row r="15289" spans="1:12" x14ac:dyDescent="0.25">
      <c r="A15289" s="4" t="str">
        <f>HYPERLINK("http://www.rosaceae.org/Prunus/Prunus_persica/p.persica_gdr_reftransV1_0032231","p.persica_gdr_reftransV1_0032231")</f>
        <v>p.persica_gdr_reftransV1_0032231</v>
      </c>
      <c r="B15289" s="2">
        <v>3145</v>
      </c>
      <c r="C15289" s="4" t="str">
        <f>HYPERLINK("http://www.uniprot.org/uniprot/M5WY16","M5WY16")</f>
        <v>M5WY16</v>
      </c>
      <c r="D15289" s="2" t="s">
        <v>12299</v>
      </c>
      <c r="E15289" s="3">
        <v>3.07E-145</v>
      </c>
      <c r="F15289" s="2">
        <v>1158</v>
      </c>
      <c r="G15289" s="2">
        <v>99</v>
      </c>
      <c r="H15289" s="2">
        <v>226</v>
      </c>
      <c r="I15289" s="2">
        <v>337</v>
      </c>
      <c r="J15289" s="2">
        <v>1011</v>
      </c>
      <c r="K15289" s="2">
        <v>135</v>
      </c>
      <c r="L15289" s="2">
        <v>360</v>
      </c>
    </row>
    <row r="15290" spans="1:12" x14ac:dyDescent="0.25">
      <c r="A15290" s="4" t="str">
        <f>HYPERLINK("http://www.rosaceae.org/Prunus/Prunus_persica/p.persica_gdr_reftransV1_0032931","p.persica_gdr_reftransV1_0032931")</f>
        <v>p.persica_gdr_reftransV1_0032931</v>
      </c>
      <c r="B15290" s="2">
        <v>1908</v>
      </c>
      <c r="C15290" s="4" t="str">
        <f>HYPERLINK("http://www.uniprot.org/uniprot/M5WPE9","M5WPE9")</f>
        <v>M5WPE9</v>
      </c>
      <c r="D15290" s="2" t="s">
        <v>3358</v>
      </c>
      <c r="E15290" s="3">
        <v>0</v>
      </c>
      <c r="F15290" s="2">
        <v>2285</v>
      </c>
      <c r="G15290" s="2">
        <v>85</v>
      </c>
      <c r="H15290" s="2">
        <v>501</v>
      </c>
      <c r="I15290" s="2">
        <v>317</v>
      </c>
      <c r="J15290" s="2">
        <v>1819</v>
      </c>
      <c r="K15290" s="2">
        <v>19</v>
      </c>
      <c r="L15290" s="2">
        <v>519</v>
      </c>
    </row>
    <row r="15291" spans="1:12" x14ac:dyDescent="0.25">
      <c r="A15291" s="4" t="str">
        <f>HYPERLINK("http://www.rosaceae.org/Prunus/Prunus_persica/p.persica_gdr_reftransV1_0036081","p.persica_gdr_reftransV1_0036081")</f>
        <v>p.persica_gdr_reftransV1_0036081</v>
      </c>
      <c r="B15291" s="2">
        <v>3178</v>
      </c>
      <c r="C15291" s="4" t="str">
        <f>HYPERLINK("http://www.uniprot.org/uniprot/M5WSK6","M5WSK6")</f>
        <v>M5WSK6</v>
      </c>
      <c r="D15291" s="2" t="s">
        <v>1060</v>
      </c>
      <c r="E15291" s="3">
        <v>0</v>
      </c>
      <c r="F15291" s="2">
        <v>1969</v>
      </c>
      <c r="G15291" s="2">
        <v>89</v>
      </c>
      <c r="H15291" s="2">
        <v>457</v>
      </c>
      <c r="I15291" s="2">
        <v>549</v>
      </c>
      <c r="J15291" s="2">
        <v>1919</v>
      </c>
      <c r="K15291" s="2">
        <v>147</v>
      </c>
      <c r="L15291" s="2">
        <v>552</v>
      </c>
    </row>
    <row r="15292" spans="1:12" x14ac:dyDescent="0.25">
      <c r="A15292" s="4" t="str">
        <f>HYPERLINK("http://www.rosaceae.org/Prunus/Prunus_persica/p.persica_gdr_reftransV1_0039231","p.persica_gdr_reftransV1_0039231")</f>
        <v>p.persica_gdr_reftransV1_0039231</v>
      </c>
      <c r="B15292" s="2">
        <v>2245</v>
      </c>
      <c r="C15292" s="4" t="str">
        <f>HYPERLINK("http://www.uniprot.org/uniprot/M5WMH6","M5WMH6")</f>
        <v>M5WMH6</v>
      </c>
      <c r="D15292" s="2" t="s">
        <v>4338</v>
      </c>
      <c r="E15292" s="3">
        <v>0</v>
      </c>
      <c r="F15292" s="2">
        <v>3065</v>
      </c>
      <c r="G15292" s="2">
        <v>92</v>
      </c>
      <c r="H15292" s="2">
        <v>694</v>
      </c>
      <c r="I15292" s="2">
        <v>1</v>
      </c>
      <c r="J15292" s="2">
        <v>1959</v>
      </c>
      <c r="K15292" s="2">
        <v>505</v>
      </c>
      <c r="L15292" s="2">
        <v>1198</v>
      </c>
    </row>
    <row r="15293" spans="1:12" x14ac:dyDescent="0.25">
      <c r="A15293" s="4" t="str">
        <f>HYPERLINK("http://www.rosaceae.org/Prunus/Prunus_persica/p.persica_gdr_reftransV1_0040281","p.persica_gdr_reftransV1_0040281")</f>
        <v>p.persica_gdr_reftransV1_0040281</v>
      </c>
      <c r="B15293" s="2">
        <v>1895</v>
      </c>
      <c r="C15293" s="4" t="str">
        <f>HYPERLINK("http://www.uniprot.org/uniprot/M5VY75","M5VY75")</f>
        <v>M5VY75</v>
      </c>
      <c r="D15293" s="2" t="s">
        <v>12300</v>
      </c>
      <c r="E15293" s="3">
        <v>0</v>
      </c>
      <c r="F15293" s="2">
        <v>2673</v>
      </c>
      <c r="G15293" s="2">
        <v>100</v>
      </c>
      <c r="H15293" s="2">
        <v>495</v>
      </c>
      <c r="I15293" s="2">
        <v>26</v>
      </c>
      <c r="J15293" s="2">
        <v>1510</v>
      </c>
      <c r="K15293" s="2">
        <v>25</v>
      </c>
      <c r="L15293" s="2">
        <v>519</v>
      </c>
    </row>
    <row r="15294" spans="1:12" x14ac:dyDescent="0.25">
      <c r="A15294" s="4" t="str">
        <f>HYPERLINK("http://www.rosaceae.org/Prunus/Prunus_persica/p.persica_gdr_reftransV1_0040981","p.persica_gdr_reftransV1_0040981")</f>
        <v>p.persica_gdr_reftransV1_0040981</v>
      </c>
      <c r="B15294" s="2">
        <v>1582</v>
      </c>
      <c r="C15294" s="4" t="str">
        <f>HYPERLINK("http://www.uniprot.org/uniprot/M5WPC5","M5WPC5")</f>
        <v>M5WPC5</v>
      </c>
      <c r="D15294" s="2" t="s">
        <v>12301</v>
      </c>
      <c r="E15294" s="3">
        <v>0</v>
      </c>
      <c r="F15294" s="2">
        <v>1705</v>
      </c>
      <c r="G15294" s="2">
        <v>92</v>
      </c>
      <c r="H15294" s="2">
        <v>417</v>
      </c>
      <c r="I15294" s="2">
        <v>266</v>
      </c>
      <c r="J15294" s="2">
        <v>1516</v>
      </c>
      <c r="K15294" s="2">
        <v>1</v>
      </c>
      <c r="L15294" s="2">
        <v>383</v>
      </c>
    </row>
    <row r="15295" spans="1:12" x14ac:dyDescent="0.25">
      <c r="A15295" s="4" t="str">
        <f>HYPERLINK("http://www.rosaceae.org/Prunus/Prunus_persica/p.persica_gdr_reftransV1_0043081","p.persica_gdr_reftransV1_0043081")</f>
        <v>p.persica_gdr_reftransV1_0043081</v>
      </c>
      <c r="B15295" s="2">
        <v>1427</v>
      </c>
      <c r="C15295" s="4" t="str">
        <f>HYPERLINK("http://www.uniprot.org/uniprot/M5X803","M5X803")</f>
        <v>M5X803</v>
      </c>
      <c r="D15295" s="2" t="s">
        <v>12302</v>
      </c>
      <c r="E15295" s="3">
        <v>0</v>
      </c>
      <c r="F15295" s="2">
        <v>1683</v>
      </c>
      <c r="G15295" s="2">
        <v>89</v>
      </c>
      <c r="H15295" s="2">
        <v>405</v>
      </c>
      <c r="I15295" s="2">
        <v>107</v>
      </c>
      <c r="J15295" s="2">
        <v>1291</v>
      </c>
      <c r="K15295" s="2">
        <v>1</v>
      </c>
      <c r="L15295" s="2">
        <v>405</v>
      </c>
    </row>
    <row r="15296" spans="1:12" x14ac:dyDescent="0.25">
      <c r="A15296" s="4" t="str">
        <f>HYPERLINK("http://www.rosaceae.org/Prunus/Prunus_persica/p.persica_gdr_reftransV1_0043781","p.persica_gdr_reftransV1_0043781")</f>
        <v>p.persica_gdr_reftransV1_0043781</v>
      </c>
      <c r="B15296" s="2">
        <v>301</v>
      </c>
      <c r="C15296" s="4" t="str">
        <f>HYPERLINK("http://www.uniprot.org/uniprot/M5XQK5","M5XQK5")</f>
        <v>M5XQK5</v>
      </c>
      <c r="D15296" s="2" t="s">
        <v>12303</v>
      </c>
      <c r="E15296" s="3">
        <v>5.2799999999999999E-62</v>
      </c>
      <c r="F15296" s="2">
        <v>528</v>
      </c>
      <c r="G15296" s="2">
        <v>98</v>
      </c>
      <c r="H15296" s="2">
        <v>99</v>
      </c>
      <c r="I15296" s="2">
        <v>3</v>
      </c>
      <c r="J15296" s="2">
        <v>299</v>
      </c>
      <c r="K15296" s="2">
        <v>355</v>
      </c>
      <c r="L15296" s="2">
        <v>453</v>
      </c>
    </row>
    <row r="15297" spans="1:12" x14ac:dyDescent="0.25">
      <c r="A15297" s="4" t="str">
        <f>HYPERLINK("http://www.rosaceae.org/Prunus/Prunus_persica/p.persica_gdr_reftransV1_0044131","p.persica_gdr_reftransV1_0044131")</f>
        <v>p.persica_gdr_reftransV1_0044131</v>
      </c>
      <c r="B15297" s="2">
        <v>434</v>
      </c>
      <c r="C15297" s="4" t="str">
        <f>HYPERLINK("http://www.uniprot.org/uniprot/M5XCT1","M5XCT1")</f>
        <v>M5XCT1</v>
      </c>
      <c r="D15297" s="2" t="s">
        <v>9774</v>
      </c>
      <c r="E15297" s="3">
        <v>2.21E-97</v>
      </c>
      <c r="F15297" s="2">
        <v>777</v>
      </c>
      <c r="G15297" s="2">
        <v>100</v>
      </c>
      <c r="H15297" s="2">
        <v>144</v>
      </c>
      <c r="I15297" s="2">
        <v>1</v>
      </c>
      <c r="J15297" s="2">
        <v>432</v>
      </c>
      <c r="K15297" s="2">
        <v>105</v>
      </c>
      <c r="L15297" s="2">
        <v>248</v>
      </c>
    </row>
    <row r="15298" spans="1:12" x14ac:dyDescent="0.25">
      <c r="A15298" s="4" t="str">
        <f>HYPERLINK("http://www.rosaceae.org/Prunus/Prunus_persica/p.persica_gdr_reftransV1_0044481","p.persica_gdr_reftransV1_0044481")</f>
        <v>p.persica_gdr_reftransV1_0044481</v>
      </c>
      <c r="B15298" s="2">
        <v>2171</v>
      </c>
      <c r="C15298" s="4" t="str">
        <f>HYPERLINK("http://www.uniprot.org/uniprot/M5XNC5","M5XNC5")</f>
        <v>M5XNC5</v>
      </c>
      <c r="D15298" s="2" t="s">
        <v>11396</v>
      </c>
      <c r="E15298" s="3">
        <v>0</v>
      </c>
      <c r="F15298" s="2">
        <v>2511</v>
      </c>
      <c r="G15298" s="2">
        <v>100</v>
      </c>
      <c r="H15298" s="2">
        <v>486</v>
      </c>
      <c r="I15298" s="2">
        <v>187</v>
      </c>
      <c r="J15298" s="2">
        <v>1644</v>
      </c>
      <c r="K15298" s="2">
        <v>1</v>
      </c>
      <c r="L15298" s="2">
        <v>486</v>
      </c>
    </row>
    <row r="15299" spans="1:12" x14ac:dyDescent="0.25">
      <c r="A15299" s="4" t="str">
        <f>HYPERLINK("http://www.rosaceae.org/Prunus/Prunus_persica/p.persica_gdr_reftransV1_0044831","p.persica_gdr_reftransV1_0044831")</f>
        <v>p.persica_gdr_reftransV1_0044831</v>
      </c>
      <c r="B15299" s="2">
        <v>2529</v>
      </c>
      <c r="C15299" s="4" t="str">
        <f>HYPERLINK("http://www.uniprot.org/uniprot/M5VY15","M5VY15")</f>
        <v>M5VY15</v>
      </c>
      <c r="D15299" s="2" t="s">
        <v>12304</v>
      </c>
      <c r="E15299" s="3">
        <v>0</v>
      </c>
      <c r="F15299" s="2">
        <v>1927</v>
      </c>
      <c r="G15299" s="2">
        <v>100</v>
      </c>
      <c r="H15299" s="2">
        <v>464</v>
      </c>
      <c r="I15299" s="2">
        <v>718</v>
      </c>
      <c r="J15299" s="2">
        <v>2109</v>
      </c>
      <c r="K15299" s="2">
        <v>1</v>
      </c>
      <c r="L15299" s="2">
        <v>464</v>
      </c>
    </row>
    <row r="15300" spans="1:12" x14ac:dyDescent="0.25">
      <c r="A15300" s="4" t="str">
        <f>HYPERLINK("http://www.rosaceae.org/Prunus/Prunus_persica/p.persica_gdr_reftransV1_0045531","p.persica_gdr_reftransV1_0045531")</f>
        <v>p.persica_gdr_reftransV1_0045531</v>
      </c>
      <c r="B15300" s="2">
        <v>1006</v>
      </c>
      <c r="C15300" s="4" t="str">
        <f>HYPERLINK("http://www.uniprot.org/uniprot/M5WJ09","M5WJ09")</f>
        <v>M5WJ09</v>
      </c>
      <c r="D15300" s="2" t="s">
        <v>9423</v>
      </c>
      <c r="E15300" s="3">
        <v>0</v>
      </c>
      <c r="F15300" s="2">
        <v>1394</v>
      </c>
      <c r="G15300" s="2">
        <v>100</v>
      </c>
      <c r="H15300" s="2">
        <v>278</v>
      </c>
      <c r="I15300" s="2">
        <v>6</v>
      </c>
      <c r="J15300" s="2">
        <v>839</v>
      </c>
      <c r="K15300" s="2">
        <v>38</v>
      </c>
      <c r="L15300" s="2">
        <v>315</v>
      </c>
    </row>
    <row r="15301" spans="1:12" x14ac:dyDescent="0.25">
      <c r="A15301" s="4" t="str">
        <f>HYPERLINK("http://www.rosaceae.org/Prunus/Prunus_persica/p.persica_gdr_reftransV1_0045881","p.persica_gdr_reftransV1_0045881")</f>
        <v>p.persica_gdr_reftransV1_0045881</v>
      </c>
      <c r="B15301" s="2">
        <v>1663</v>
      </c>
      <c r="C15301" s="4" t="str">
        <f>HYPERLINK("http://www.uniprot.org/uniprot/M5W7V2","M5W7V2")</f>
        <v>M5W7V2</v>
      </c>
      <c r="D15301" s="2" t="s">
        <v>12305</v>
      </c>
      <c r="E15301" s="3">
        <v>0</v>
      </c>
      <c r="F15301" s="2">
        <v>1487</v>
      </c>
      <c r="G15301" s="2">
        <v>88</v>
      </c>
      <c r="H15301" s="2">
        <v>375</v>
      </c>
      <c r="I15301" s="2">
        <v>211</v>
      </c>
      <c r="J15301" s="2">
        <v>1335</v>
      </c>
      <c r="K15301" s="2">
        <v>1</v>
      </c>
      <c r="L15301" s="2">
        <v>365</v>
      </c>
    </row>
    <row r="15302" spans="1:12" x14ac:dyDescent="0.25">
      <c r="A15302" s="4" t="str">
        <f>HYPERLINK("http://www.rosaceae.org/Prunus/Prunus_persica/p.persica_gdr_reftransV1_0046581","p.persica_gdr_reftransV1_0046581")</f>
        <v>p.persica_gdr_reftransV1_0046581</v>
      </c>
      <c r="B15302" s="2">
        <v>463</v>
      </c>
      <c r="C15302" s="4" t="str">
        <f>HYPERLINK("http://www.uniprot.org/uniprot/B9HDP6","B9HDP6")</f>
        <v>B9HDP6</v>
      </c>
      <c r="D15302" s="2" t="s">
        <v>12306</v>
      </c>
      <c r="E15302" s="3">
        <v>4.2899999999999998E-51</v>
      </c>
      <c r="F15302" s="2">
        <v>462</v>
      </c>
      <c r="G15302" s="2">
        <v>68</v>
      </c>
      <c r="H15302" s="2">
        <v>125</v>
      </c>
      <c r="I15302" s="2">
        <v>1</v>
      </c>
      <c r="J15302" s="2">
        <v>375</v>
      </c>
      <c r="K15302" s="2">
        <v>12</v>
      </c>
      <c r="L15302" s="2">
        <v>136</v>
      </c>
    </row>
    <row r="15303" spans="1:12" x14ac:dyDescent="0.25">
      <c r="A15303" s="4" t="str">
        <f>HYPERLINK("http://www.rosaceae.org/Prunus/Prunus_persica/p.persica_gdr_reftransV1_0046931","p.persica_gdr_reftransV1_0046931")</f>
        <v>p.persica_gdr_reftransV1_0046931</v>
      </c>
      <c r="B15303" s="2">
        <v>1553</v>
      </c>
      <c r="C15303" s="4" t="str">
        <f>HYPERLINK("http://www.uniprot.org/uniprot/M5XCJ1","M5XCJ1")</f>
        <v>M5XCJ1</v>
      </c>
      <c r="D15303" s="2" t="s">
        <v>7585</v>
      </c>
      <c r="E15303" s="3">
        <v>0</v>
      </c>
      <c r="F15303" s="2">
        <v>2263</v>
      </c>
      <c r="G15303" s="2">
        <v>100</v>
      </c>
      <c r="H15303" s="2">
        <v>425</v>
      </c>
      <c r="I15303" s="2">
        <v>178</v>
      </c>
      <c r="J15303" s="2">
        <v>1452</v>
      </c>
      <c r="K15303" s="2">
        <v>1</v>
      </c>
      <c r="L15303" s="2">
        <v>425</v>
      </c>
    </row>
    <row r="15304" spans="1:12" x14ac:dyDescent="0.25">
      <c r="A15304" s="4" t="str">
        <f>HYPERLINK("http://www.rosaceae.org/Prunus/Prunus_persica/p.persica_gdr_reftransV1_0047631","p.persica_gdr_reftransV1_0047631")</f>
        <v>p.persica_gdr_reftransV1_0047631</v>
      </c>
      <c r="B15304" s="2">
        <v>1304</v>
      </c>
      <c r="C15304" s="4" t="str">
        <f>HYPERLINK("http://www.uniprot.org/uniprot/M5X7K4","M5X7K4")</f>
        <v>M5X7K4</v>
      </c>
      <c r="D15304" s="2" t="s">
        <v>2161</v>
      </c>
      <c r="E15304" s="3">
        <v>4.5600000000000001E-146</v>
      </c>
      <c r="F15304" s="2">
        <v>1113</v>
      </c>
      <c r="G15304" s="2">
        <v>100</v>
      </c>
      <c r="H15304" s="2">
        <v>251</v>
      </c>
      <c r="I15304" s="2">
        <v>549</v>
      </c>
      <c r="J15304" s="2">
        <v>1301</v>
      </c>
      <c r="K15304" s="2">
        <v>1</v>
      </c>
      <c r="L15304" s="2">
        <v>251</v>
      </c>
    </row>
    <row r="15305" spans="1:12" x14ac:dyDescent="0.25">
      <c r="A15305" s="4" t="str">
        <f>HYPERLINK("http://www.rosaceae.org/Prunus/Prunus_persica/p.persica_gdr_reftransV1_0047981","p.persica_gdr_reftransV1_0047981")</f>
        <v>p.persica_gdr_reftransV1_0047981</v>
      </c>
      <c r="B15305" s="2">
        <v>573</v>
      </c>
      <c r="C15305" s="4" t="str">
        <f>HYPERLINK("http://www.uniprot.org/uniprot/M5X2T2","M5X2T2")</f>
        <v>M5X2T2</v>
      </c>
      <c r="D15305" s="2" t="s">
        <v>3357</v>
      </c>
      <c r="E15305" s="3">
        <v>3.0099999999999999E-118</v>
      </c>
      <c r="F15305" s="2">
        <v>936</v>
      </c>
      <c r="G15305" s="2">
        <v>91</v>
      </c>
      <c r="H15305" s="2">
        <v>191</v>
      </c>
      <c r="I15305" s="2">
        <v>1</v>
      </c>
      <c r="J15305" s="2">
        <v>573</v>
      </c>
      <c r="K15305" s="2">
        <v>274</v>
      </c>
      <c r="L15305" s="2">
        <v>456</v>
      </c>
    </row>
    <row r="15306" spans="1:12" x14ac:dyDescent="0.25">
      <c r="A15306" s="4" t="str">
        <f>HYPERLINK("http://www.rosaceae.org/Prunus/Prunus_persica/p.persica_gdr_reftransV1_0048681","p.persica_gdr_reftransV1_0048681")</f>
        <v>p.persica_gdr_reftransV1_0048681</v>
      </c>
      <c r="B15306" s="2">
        <v>520</v>
      </c>
      <c r="C15306" s="4" t="str">
        <f>HYPERLINK("http://www.uniprot.org/uniprot/M5XDJ7","M5XDJ7")</f>
        <v>M5XDJ7</v>
      </c>
      <c r="D15306" s="2" t="s">
        <v>12307</v>
      </c>
      <c r="E15306" s="3">
        <v>2.9E-67</v>
      </c>
      <c r="F15306" s="2">
        <v>553</v>
      </c>
      <c r="G15306" s="2">
        <v>100</v>
      </c>
      <c r="H15306" s="2">
        <v>106</v>
      </c>
      <c r="I15306" s="2">
        <v>201</v>
      </c>
      <c r="J15306" s="2">
        <v>518</v>
      </c>
      <c r="K15306" s="2">
        <v>20</v>
      </c>
      <c r="L15306" s="2">
        <v>125</v>
      </c>
    </row>
    <row r="15307" spans="1:12" x14ac:dyDescent="0.25">
      <c r="A15307" s="4" t="str">
        <f>HYPERLINK("http://www.rosaceae.org/Prunus/Prunus_persica/p.persica_gdr_reftransV1_0049031","p.persica_gdr_reftransV1_0049031")</f>
        <v>p.persica_gdr_reftransV1_0049031</v>
      </c>
      <c r="B15307" s="2">
        <v>544</v>
      </c>
      <c r="C15307" s="4" t="str">
        <f>HYPERLINK("http://www.uniprot.org/uniprot/M5XN81","M5XN81")</f>
        <v>M5XN81</v>
      </c>
      <c r="D15307" s="2" t="s">
        <v>393</v>
      </c>
      <c r="E15307" s="3">
        <v>9.2199999999999995E-97</v>
      </c>
      <c r="F15307" s="2">
        <v>793</v>
      </c>
      <c r="G15307" s="2">
        <v>86</v>
      </c>
      <c r="H15307" s="2">
        <v>181</v>
      </c>
      <c r="I15307" s="2">
        <v>1</v>
      </c>
      <c r="J15307" s="2">
        <v>543</v>
      </c>
      <c r="K15307" s="2">
        <v>85</v>
      </c>
      <c r="L15307" s="2">
        <v>239</v>
      </c>
    </row>
    <row r="15308" spans="1:12" x14ac:dyDescent="0.25">
      <c r="A15308" s="4" t="str">
        <f>HYPERLINK("http://www.rosaceae.org/Prunus/Prunus_persica/p.persica_gdr_reftransV1_0000311","p.persica_gdr_reftransV1_0000311")</f>
        <v>p.persica_gdr_reftransV1_0000311</v>
      </c>
      <c r="B15308" s="2">
        <v>1256</v>
      </c>
      <c r="C15308" s="4" t="str">
        <f>HYPERLINK("http://www.uniprot.org/uniprot/M5XGV7","M5XGV7")</f>
        <v>M5XGV7</v>
      </c>
      <c r="D15308" s="2" t="s">
        <v>1943</v>
      </c>
      <c r="E15308" s="3">
        <v>0</v>
      </c>
      <c r="F15308" s="2">
        <v>1973</v>
      </c>
      <c r="G15308" s="2">
        <v>90</v>
      </c>
      <c r="H15308" s="2">
        <v>418</v>
      </c>
      <c r="I15308" s="2">
        <v>2</v>
      </c>
      <c r="J15308" s="2">
        <v>1255</v>
      </c>
      <c r="K15308" s="2">
        <v>2171</v>
      </c>
      <c r="L15308" s="2">
        <v>2546</v>
      </c>
    </row>
    <row r="15309" spans="1:12" x14ac:dyDescent="0.25">
      <c r="A15309" s="4" t="str">
        <f>HYPERLINK("http://www.rosaceae.org/Prunus/Prunus_persica/p.persica_gdr_reftransV1_0001011","p.persica_gdr_reftransV1_0001011")</f>
        <v>p.persica_gdr_reftransV1_0001011</v>
      </c>
      <c r="B15309" s="2">
        <v>318</v>
      </c>
      <c r="C15309" s="4" t="str">
        <f>HYPERLINK("http://www.uniprot.org/uniprot/M5Y2R9","M5Y2R9")</f>
        <v>M5Y2R9</v>
      </c>
      <c r="D15309" s="2" t="s">
        <v>1941</v>
      </c>
      <c r="E15309" s="3">
        <v>7.1800000000000001E-66</v>
      </c>
      <c r="F15309" s="2">
        <v>560</v>
      </c>
      <c r="G15309" s="2">
        <v>100</v>
      </c>
      <c r="H15309" s="2">
        <v>105</v>
      </c>
      <c r="I15309" s="2">
        <v>2</v>
      </c>
      <c r="J15309" s="2">
        <v>316</v>
      </c>
      <c r="K15309" s="2">
        <v>454</v>
      </c>
      <c r="L15309" s="2">
        <v>558</v>
      </c>
    </row>
    <row r="15310" spans="1:12" x14ac:dyDescent="0.25">
      <c r="A15310" s="4" t="str">
        <f>HYPERLINK("http://www.rosaceae.org/Prunus/Prunus_persica/p.persica_gdr_reftransV1_0001361","p.persica_gdr_reftransV1_0001361")</f>
        <v>p.persica_gdr_reftransV1_0001361</v>
      </c>
      <c r="B15310" s="2">
        <v>1916</v>
      </c>
      <c r="C15310" s="4" t="str">
        <f>HYPERLINK("http://www.uniprot.org/uniprot/M5X544","M5X544")</f>
        <v>M5X544</v>
      </c>
      <c r="D15310" s="2" t="s">
        <v>3636</v>
      </c>
      <c r="E15310" s="3">
        <v>0</v>
      </c>
      <c r="F15310" s="2">
        <v>1979</v>
      </c>
      <c r="G15310" s="2">
        <v>100</v>
      </c>
      <c r="H15310" s="2">
        <v>415</v>
      </c>
      <c r="I15310" s="2">
        <v>320</v>
      </c>
      <c r="J15310" s="2">
        <v>1564</v>
      </c>
      <c r="K15310" s="2">
        <v>1</v>
      </c>
      <c r="L15310" s="2">
        <v>415</v>
      </c>
    </row>
    <row r="15311" spans="1:12" x14ac:dyDescent="0.25">
      <c r="A15311" s="4" t="str">
        <f>HYPERLINK("http://www.rosaceae.org/Prunus/Prunus_persica/p.persica_gdr_reftransV1_0001711","p.persica_gdr_reftransV1_0001711")</f>
        <v>p.persica_gdr_reftransV1_0001711</v>
      </c>
      <c r="B15311" s="2">
        <v>412</v>
      </c>
      <c r="C15311" s="4" t="str">
        <f>HYPERLINK("http://www.uniprot.org/uniprot/M5X8T1","M5X8T1")</f>
        <v>M5X8T1</v>
      </c>
      <c r="D15311" s="2" t="s">
        <v>12308</v>
      </c>
      <c r="E15311" s="3">
        <v>3.4099999999999999E-30</v>
      </c>
      <c r="F15311" s="2">
        <v>314</v>
      </c>
      <c r="G15311" s="2">
        <v>51</v>
      </c>
      <c r="H15311" s="2">
        <v>148</v>
      </c>
      <c r="I15311" s="2">
        <v>4</v>
      </c>
      <c r="J15311" s="2">
        <v>411</v>
      </c>
      <c r="K15311" s="2">
        <v>825</v>
      </c>
      <c r="L15311" s="2">
        <v>954</v>
      </c>
    </row>
    <row r="15312" spans="1:12" x14ac:dyDescent="0.25">
      <c r="A15312" s="4" t="str">
        <f>HYPERLINK("http://www.rosaceae.org/Prunus/Prunus_persica/p.persica_gdr_reftransV1_0002061","p.persica_gdr_reftransV1_0002061")</f>
        <v>p.persica_gdr_reftransV1_0002061</v>
      </c>
      <c r="B15312" s="2">
        <v>1630</v>
      </c>
      <c r="C15312" s="4" t="str">
        <f>HYPERLINK("http://www.uniprot.org/uniprot/M5WEB1","M5WEB1")</f>
        <v>M5WEB1</v>
      </c>
      <c r="D15312" s="2" t="s">
        <v>3541</v>
      </c>
      <c r="E15312" s="3">
        <v>5.8200000000000002E-165</v>
      </c>
      <c r="F15312" s="2">
        <v>1242</v>
      </c>
      <c r="G15312" s="2">
        <v>81</v>
      </c>
      <c r="H15312" s="2">
        <v>341</v>
      </c>
      <c r="I15312" s="2">
        <v>221</v>
      </c>
      <c r="J15312" s="2">
        <v>1231</v>
      </c>
      <c r="K15312" s="2">
        <v>1</v>
      </c>
      <c r="L15312" s="2">
        <v>305</v>
      </c>
    </row>
    <row r="15313" spans="1:12" x14ac:dyDescent="0.25">
      <c r="A15313" s="4" t="str">
        <f>HYPERLINK("http://www.rosaceae.org/Prunus/Prunus_persica/p.persica_gdr_reftransV1_0002411","p.persica_gdr_reftransV1_0002411")</f>
        <v>p.persica_gdr_reftransV1_0002411</v>
      </c>
      <c r="B15313" s="2">
        <v>413</v>
      </c>
      <c r="C15313" s="4" t="str">
        <f>HYPERLINK("http://www.uniprot.org/uniprot/W9PBE5","W9PBE5")</f>
        <v>W9PBE5</v>
      </c>
      <c r="D15313" s="2" t="s">
        <v>12309</v>
      </c>
      <c r="E15313" s="3">
        <v>9.6000000000000003E-83</v>
      </c>
      <c r="F15313" s="2">
        <v>673</v>
      </c>
      <c r="G15313" s="2">
        <v>91</v>
      </c>
      <c r="H15313" s="2">
        <v>133</v>
      </c>
      <c r="I15313" s="2">
        <v>1</v>
      </c>
      <c r="J15313" s="2">
        <v>399</v>
      </c>
      <c r="K15313" s="2">
        <v>1</v>
      </c>
      <c r="L15313" s="2">
        <v>133</v>
      </c>
    </row>
    <row r="15314" spans="1:12" x14ac:dyDescent="0.25">
      <c r="A15314" s="4" t="str">
        <f>HYPERLINK("http://www.rosaceae.org/Prunus/Prunus_persica/p.persica_gdr_reftransV1_0002761","p.persica_gdr_reftransV1_0002761")</f>
        <v>p.persica_gdr_reftransV1_0002761</v>
      </c>
      <c r="B15314" s="2">
        <v>392</v>
      </c>
      <c r="C15314" s="4" t="str">
        <f>HYPERLINK("http://www.uniprot.org/uniprot/X0Cid9","X0Cid9")</f>
        <v>X0Cid9</v>
      </c>
      <c r="D15314" s="2" t="s">
        <v>815</v>
      </c>
      <c r="E15314" s="3">
        <v>3.4600000000000002E-89</v>
      </c>
      <c r="F15314" s="2">
        <v>701</v>
      </c>
      <c r="G15314" s="2">
        <v>100</v>
      </c>
      <c r="H15314" s="2">
        <v>130</v>
      </c>
      <c r="I15314" s="2">
        <v>2</v>
      </c>
      <c r="J15314" s="2">
        <v>391</v>
      </c>
      <c r="K15314" s="2">
        <v>152</v>
      </c>
      <c r="L15314" s="2">
        <v>281</v>
      </c>
    </row>
    <row r="15315" spans="1:12" x14ac:dyDescent="0.25">
      <c r="A15315" s="4" t="str">
        <f>HYPERLINK("http://www.rosaceae.org/Prunus/Prunus_persica/p.persica_gdr_reftransV1_0003111","p.persica_gdr_reftransV1_0003111")</f>
        <v>p.persica_gdr_reftransV1_0003111</v>
      </c>
      <c r="B15315" s="2">
        <v>1114</v>
      </c>
      <c r="C15315" s="4" t="str">
        <f>HYPERLINK("http://www.uniprot.org/uniprot/M5W3D3","M5W3D3")</f>
        <v>M5W3D3</v>
      </c>
      <c r="D15315" s="2" t="s">
        <v>274</v>
      </c>
      <c r="E15315" s="3">
        <v>0</v>
      </c>
      <c r="F15315" s="2">
        <v>1989</v>
      </c>
      <c r="G15315" s="2">
        <v>100</v>
      </c>
      <c r="H15315" s="2">
        <v>371</v>
      </c>
      <c r="I15315" s="2">
        <v>1</v>
      </c>
      <c r="J15315" s="2">
        <v>1113</v>
      </c>
      <c r="K15315" s="2">
        <v>135</v>
      </c>
      <c r="L15315" s="2">
        <v>505</v>
      </c>
    </row>
    <row r="15316" spans="1:12" x14ac:dyDescent="0.25">
      <c r="A15316" s="4" t="str">
        <f>HYPERLINK("http://www.rosaceae.org/Prunus/Prunus_persica/p.persica_gdr_reftransV1_0003461","p.persica_gdr_reftransV1_0003461")</f>
        <v>p.persica_gdr_reftransV1_0003461</v>
      </c>
      <c r="B15316" s="2">
        <v>2327</v>
      </c>
      <c r="C15316" s="4" t="str">
        <f>HYPERLINK("http://www.uniprot.org/uniprot/M5WLR2","M5WLR2")</f>
        <v>M5WLR2</v>
      </c>
      <c r="D15316" s="2" t="s">
        <v>6281</v>
      </c>
      <c r="E15316" s="3">
        <v>0</v>
      </c>
      <c r="F15316" s="2">
        <v>2997</v>
      </c>
      <c r="G15316" s="2">
        <v>95</v>
      </c>
      <c r="H15316" s="2">
        <v>651</v>
      </c>
      <c r="I15316" s="2">
        <v>133</v>
      </c>
      <c r="J15316" s="2">
        <v>2076</v>
      </c>
      <c r="K15316" s="2">
        <v>1</v>
      </c>
      <c r="L15316" s="2">
        <v>651</v>
      </c>
    </row>
    <row r="15317" spans="1:12" x14ac:dyDescent="0.25">
      <c r="A15317" s="4" t="str">
        <f>HYPERLINK("http://www.rosaceae.org/Prunus/Prunus_persica/p.persica_gdr_reftransV1_0004161","p.persica_gdr_reftransV1_0004161")</f>
        <v>p.persica_gdr_reftransV1_0004161</v>
      </c>
      <c r="B15317" s="2">
        <v>3479</v>
      </c>
      <c r="C15317" s="4" t="str">
        <f>HYPERLINK("http://www.uniprot.org/uniprot/M5WME6","M5WME6")</f>
        <v>M5WME6</v>
      </c>
      <c r="D15317" s="2" t="s">
        <v>12310</v>
      </c>
      <c r="E15317" s="3">
        <v>0</v>
      </c>
      <c r="F15317" s="2">
        <v>4900</v>
      </c>
      <c r="G15317" s="2">
        <v>97</v>
      </c>
      <c r="H15317" s="2">
        <v>983</v>
      </c>
      <c r="I15317" s="2">
        <v>304</v>
      </c>
      <c r="J15317" s="2">
        <v>3252</v>
      </c>
      <c r="K15317" s="2">
        <v>1</v>
      </c>
      <c r="L15317" s="2">
        <v>956</v>
      </c>
    </row>
    <row r="15318" spans="1:12" x14ac:dyDescent="0.25">
      <c r="A15318" s="4" t="str">
        <f>HYPERLINK("http://www.rosaceae.org/Prunus/Prunus_persica/p.persica_gdr_reftransV1_0004511","p.persica_gdr_reftransV1_0004511")</f>
        <v>p.persica_gdr_reftransV1_0004511</v>
      </c>
      <c r="B15318" s="2">
        <v>1672</v>
      </c>
      <c r="C15318" s="4" t="str">
        <f>HYPERLINK("http://www.uniprot.org/uniprot/M5XQX3","M5XQX3")</f>
        <v>M5XQX3</v>
      </c>
      <c r="D15318" s="2" t="s">
        <v>12311</v>
      </c>
      <c r="E15318" s="3">
        <v>0</v>
      </c>
      <c r="F15318" s="2">
        <v>1949</v>
      </c>
      <c r="G15318" s="2">
        <v>100</v>
      </c>
      <c r="H15318" s="2">
        <v>409</v>
      </c>
      <c r="I15318" s="2">
        <v>347</v>
      </c>
      <c r="J15318" s="2">
        <v>1573</v>
      </c>
      <c r="K15318" s="2">
        <v>1</v>
      </c>
      <c r="L15318" s="2">
        <v>409</v>
      </c>
    </row>
    <row r="15319" spans="1:12" x14ac:dyDescent="0.25">
      <c r="A15319" s="4" t="str">
        <f>HYPERLINK("http://www.rosaceae.org/Prunus/Prunus_persica/p.persica_gdr_reftransV1_0004861","p.persica_gdr_reftransV1_0004861")</f>
        <v>p.persica_gdr_reftransV1_0004861</v>
      </c>
      <c r="B15319" s="2">
        <v>1619</v>
      </c>
      <c r="C15319" s="4" t="str">
        <f>HYPERLINK("http://www.uniprot.org/uniprot/M5XCJ4","M5XCJ4")</f>
        <v>M5XCJ4</v>
      </c>
      <c r="D15319" s="2" t="s">
        <v>12312</v>
      </c>
      <c r="E15319" s="3">
        <v>1.22E-116</v>
      </c>
      <c r="F15319" s="2">
        <v>926</v>
      </c>
      <c r="G15319" s="2">
        <v>100</v>
      </c>
      <c r="H15319" s="2">
        <v>177</v>
      </c>
      <c r="I15319" s="2">
        <v>1017</v>
      </c>
      <c r="J15319" s="2">
        <v>1547</v>
      </c>
      <c r="K15319" s="2">
        <v>1</v>
      </c>
      <c r="L15319" s="2">
        <v>177</v>
      </c>
    </row>
    <row r="15320" spans="1:12" x14ac:dyDescent="0.25">
      <c r="A15320" s="4" t="str">
        <f>HYPERLINK("http://www.rosaceae.org/Prunus/Prunus_persica/p.persica_gdr_reftransV1_0005911","p.persica_gdr_reftransV1_0005911")</f>
        <v>p.persica_gdr_reftransV1_0005911</v>
      </c>
      <c r="B15320" s="2">
        <v>559</v>
      </c>
      <c r="C15320" s="4" t="str">
        <f>HYPERLINK("http://www.uniprot.org/uniprot/M5W8R9","M5W8R9")</f>
        <v>M5W8R9</v>
      </c>
      <c r="D15320" s="2" t="s">
        <v>4387</v>
      </c>
      <c r="E15320" s="3">
        <v>1.13E-80</v>
      </c>
      <c r="F15320" s="2">
        <v>665</v>
      </c>
      <c r="G15320" s="2">
        <v>84</v>
      </c>
      <c r="H15320" s="2">
        <v>186</v>
      </c>
      <c r="I15320" s="2">
        <v>1</v>
      </c>
      <c r="J15320" s="2">
        <v>558</v>
      </c>
      <c r="K15320" s="2">
        <v>273</v>
      </c>
      <c r="L15320" s="2">
        <v>428</v>
      </c>
    </row>
    <row r="15321" spans="1:12" x14ac:dyDescent="0.25">
      <c r="A15321" s="4" t="str">
        <f>HYPERLINK("http://www.rosaceae.org/Prunus/Prunus_persica/p.persica_gdr_reftransV1_0006961","p.persica_gdr_reftransV1_0006961")</f>
        <v>p.persica_gdr_reftransV1_0006961</v>
      </c>
      <c r="B15321" s="2">
        <v>735</v>
      </c>
      <c r="C15321" s="4" t="str">
        <f>HYPERLINK("http://www.uniprot.org/uniprot/M5WYU6","M5WYU6")</f>
        <v>M5WYU6</v>
      </c>
      <c r="D15321" s="2" t="s">
        <v>12313</v>
      </c>
      <c r="E15321" s="3">
        <v>1.5899999999999999E-69</v>
      </c>
      <c r="F15321" s="2">
        <v>594</v>
      </c>
      <c r="G15321" s="2">
        <v>98</v>
      </c>
      <c r="H15321" s="2">
        <v>162</v>
      </c>
      <c r="I15321" s="2">
        <v>2</v>
      </c>
      <c r="J15321" s="2">
        <v>487</v>
      </c>
      <c r="K15321" s="2">
        <v>350</v>
      </c>
      <c r="L15321" s="2">
        <v>511</v>
      </c>
    </row>
    <row r="15322" spans="1:12" x14ac:dyDescent="0.25">
      <c r="A15322" s="4" t="str">
        <f>HYPERLINK("http://www.rosaceae.org/Prunus/Prunus_persica/p.persica_gdr_reftransV1_0007311","p.persica_gdr_reftransV1_0007311")</f>
        <v>p.persica_gdr_reftransV1_0007311</v>
      </c>
      <c r="B15322" s="2">
        <v>2891</v>
      </c>
      <c r="C15322" s="4" t="str">
        <f>HYPERLINK("http://www.uniprot.org/uniprot/M5XKA3","M5XKA3")</f>
        <v>M5XKA3</v>
      </c>
      <c r="D15322" s="2" t="s">
        <v>12314</v>
      </c>
      <c r="E15322" s="3">
        <v>0</v>
      </c>
      <c r="F15322" s="2">
        <v>3543</v>
      </c>
      <c r="G15322" s="2">
        <v>100</v>
      </c>
      <c r="H15322" s="2">
        <v>698</v>
      </c>
      <c r="I15322" s="2">
        <v>306</v>
      </c>
      <c r="J15322" s="2">
        <v>2399</v>
      </c>
      <c r="K15322" s="2">
        <v>1</v>
      </c>
      <c r="L15322" s="2">
        <v>698</v>
      </c>
    </row>
    <row r="15323" spans="1:12" x14ac:dyDescent="0.25">
      <c r="A15323" s="4" t="str">
        <f>HYPERLINK("http://www.rosaceae.org/Prunus/Prunus_persica/p.persica_gdr_reftransV1_0008711","p.persica_gdr_reftransV1_0008711")</f>
        <v>p.persica_gdr_reftransV1_0008711</v>
      </c>
      <c r="B15323" s="2">
        <v>1967</v>
      </c>
      <c r="C15323" s="4" t="str">
        <f>HYPERLINK("http://www.uniprot.org/uniprot/M5W712","M5W712")</f>
        <v>M5W712</v>
      </c>
      <c r="D15323" s="2" t="s">
        <v>7831</v>
      </c>
      <c r="E15323" s="3">
        <v>0</v>
      </c>
      <c r="F15323" s="2">
        <v>2237</v>
      </c>
      <c r="G15323" s="2">
        <v>100</v>
      </c>
      <c r="H15323" s="2">
        <v>510</v>
      </c>
      <c r="I15323" s="2">
        <v>329</v>
      </c>
      <c r="J15323" s="2">
        <v>1858</v>
      </c>
      <c r="K15323" s="2">
        <v>150</v>
      </c>
      <c r="L15323" s="2">
        <v>659</v>
      </c>
    </row>
    <row r="15324" spans="1:12" x14ac:dyDescent="0.25">
      <c r="A15324" s="4" t="str">
        <f>HYPERLINK("http://www.rosaceae.org/Prunus/Prunus_persica/p.persica_gdr_reftransV1_0009411","p.persica_gdr_reftransV1_0009411")</f>
        <v>p.persica_gdr_reftransV1_0009411</v>
      </c>
      <c r="B15324" s="2">
        <v>2567</v>
      </c>
      <c r="C15324" s="4" t="str">
        <f>HYPERLINK("http://www.uniprot.org/uniprot/M5WX96","M5WX96")</f>
        <v>M5WX96</v>
      </c>
      <c r="D15324" s="2" t="s">
        <v>12315</v>
      </c>
      <c r="E15324" s="3">
        <v>0</v>
      </c>
      <c r="F15324" s="2">
        <v>2330</v>
      </c>
      <c r="G15324" s="2">
        <v>100</v>
      </c>
      <c r="H15324" s="2">
        <v>475</v>
      </c>
      <c r="I15324" s="2">
        <v>319</v>
      </c>
      <c r="J15324" s="2">
        <v>1743</v>
      </c>
      <c r="K15324" s="2">
        <v>1</v>
      </c>
      <c r="L15324" s="2">
        <v>475</v>
      </c>
    </row>
    <row r="15325" spans="1:12" x14ac:dyDescent="0.25">
      <c r="A15325" s="4" t="str">
        <f>HYPERLINK("http://www.rosaceae.org/Prunus/Prunus_persica/p.persica_gdr_reftransV1_0009761","p.persica_gdr_reftransV1_0009761")</f>
        <v>p.persica_gdr_reftransV1_0009761</v>
      </c>
      <c r="B15325" s="2">
        <v>2018</v>
      </c>
      <c r="C15325" s="4" t="str">
        <f>HYPERLINK("http://www.uniprot.org/uniprot/M5VPJ9","M5VPJ9")</f>
        <v>M5VPJ9</v>
      </c>
      <c r="D15325" s="2" t="s">
        <v>12316</v>
      </c>
      <c r="E15325" s="3">
        <v>0</v>
      </c>
      <c r="F15325" s="2">
        <v>2537</v>
      </c>
      <c r="G15325" s="2">
        <v>100</v>
      </c>
      <c r="H15325" s="2">
        <v>473</v>
      </c>
      <c r="I15325" s="2">
        <v>353</v>
      </c>
      <c r="J15325" s="2">
        <v>1771</v>
      </c>
      <c r="K15325" s="2">
        <v>1</v>
      </c>
      <c r="L15325" s="2">
        <v>473</v>
      </c>
    </row>
    <row r="15326" spans="1:12" x14ac:dyDescent="0.25">
      <c r="A15326" s="4" t="str">
        <f>HYPERLINK("http://www.rosaceae.org/Prunus/Prunus_persica/p.persica_gdr_reftransV1_0010111","p.persica_gdr_reftransV1_0010111")</f>
        <v>p.persica_gdr_reftransV1_0010111</v>
      </c>
      <c r="B15326" s="2">
        <v>2743</v>
      </c>
      <c r="C15326" s="4" t="str">
        <f>HYPERLINK("http://www.uniprot.org/uniprot/M5XND0","M5XND0")</f>
        <v>M5XND0</v>
      </c>
      <c r="D15326" s="2" t="s">
        <v>12317</v>
      </c>
      <c r="E15326" s="3">
        <v>2.0799999999999999E-179</v>
      </c>
      <c r="F15326" s="2">
        <v>1398</v>
      </c>
      <c r="G15326" s="2">
        <v>89</v>
      </c>
      <c r="H15326" s="2">
        <v>357</v>
      </c>
      <c r="I15326" s="2">
        <v>1380</v>
      </c>
      <c r="J15326" s="2">
        <v>2450</v>
      </c>
      <c r="K15326" s="2">
        <v>252</v>
      </c>
      <c r="L15326" s="2">
        <v>568</v>
      </c>
    </row>
    <row r="15327" spans="1:12" x14ac:dyDescent="0.25">
      <c r="A15327" s="4" t="str">
        <f>HYPERLINK("http://www.rosaceae.org/Prunus/Prunus_persica/p.persica_gdr_reftransV1_0011511","p.persica_gdr_reftransV1_0011511")</f>
        <v>p.persica_gdr_reftransV1_0011511</v>
      </c>
      <c r="B15327" s="2">
        <v>400</v>
      </c>
      <c r="C15327" s="4" t="str">
        <f>HYPERLINK("http://www.uniprot.org/uniprot/M5WR61","M5WR61")</f>
        <v>M5WR61</v>
      </c>
      <c r="D15327" s="2" t="s">
        <v>3734</v>
      </c>
      <c r="E15327" s="3">
        <v>1.53E-87</v>
      </c>
      <c r="F15327" s="2">
        <v>711</v>
      </c>
      <c r="G15327" s="2">
        <v>100</v>
      </c>
      <c r="H15327" s="2">
        <v>133</v>
      </c>
      <c r="I15327" s="2">
        <v>2</v>
      </c>
      <c r="J15327" s="2">
        <v>400</v>
      </c>
      <c r="K15327" s="2">
        <v>29</v>
      </c>
      <c r="L15327" s="2">
        <v>161</v>
      </c>
    </row>
    <row r="15328" spans="1:12" x14ac:dyDescent="0.25">
      <c r="A15328" s="4" t="str">
        <f>HYPERLINK("http://www.rosaceae.org/Prunus/Prunus_persica/p.persica_gdr_reftransV1_0012911","p.persica_gdr_reftransV1_0012911")</f>
        <v>p.persica_gdr_reftransV1_0012911</v>
      </c>
      <c r="B15328" s="2">
        <v>2051</v>
      </c>
      <c r="C15328" s="4" t="str">
        <f>HYPERLINK("http://www.uniprot.org/uniprot/M5VSS9","M5VSS9")</f>
        <v>M5VSS9</v>
      </c>
      <c r="D15328" s="2" t="s">
        <v>12318</v>
      </c>
      <c r="E15328" s="3">
        <v>0</v>
      </c>
      <c r="F15328" s="2">
        <v>1594</v>
      </c>
      <c r="G15328" s="2">
        <v>99</v>
      </c>
      <c r="H15328" s="2">
        <v>360</v>
      </c>
      <c r="I15328" s="2">
        <v>653</v>
      </c>
      <c r="J15328" s="2">
        <v>1732</v>
      </c>
      <c r="K15328" s="2">
        <v>13</v>
      </c>
      <c r="L15328" s="2">
        <v>372</v>
      </c>
    </row>
    <row r="15329" spans="1:12" x14ac:dyDescent="0.25">
      <c r="A15329" s="4" t="str">
        <f>HYPERLINK("http://www.rosaceae.org/Prunus/Prunus_persica/p.persica_gdr_reftransV1_0013261","p.persica_gdr_reftransV1_0013261")</f>
        <v>p.persica_gdr_reftransV1_0013261</v>
      </c>
      <c r="B15329" s="2">
        <v>7932</v>
      </c>
      <c r="C15329" s="4" t="str">
        <f>HYPERLINK("http://www.uniprot.org/uniprot/M5WLB6","M5WLB6")</f>
        <v>M5WLB6</v>
      </c>
      <c r="D15329" s="2" t="s">
        <v>12319</v>
      </c>
      <c r="E15329" s="3">
        <v>0</v>
      </c>
      <c r="F15329" s="2">
        <v>11430</v>
      </c>
      <c r="G15329" s="2">
        <v>100</v>
      </c>
      <c r="H15329" s="2">
        <v>2327</v>
      </c>
      <c r="I15329" s="2">
        <v>443</v>
      </c>
      <c r="J15329" s="2">
        <v>7423</v>
      </c>
      <c r="K15329" s="2">
        <v>1</v>
      </c>
      <c r="L15329" s="2">
        <v>2327</v>
      </c>
    </row>
    <row r="15330" spans="1:12" x14ac:dyDescent="0.25">
      <c r="A15330" s="4" t="str">
        <f>HYPERLINK("http://www.rosaceae.org/Prunus/Prunus_persica/p.persica_gdr_reftransV1_0013611","p.persica_gdr_reftransV1_0013611")</f>
        <v>p.persica_gdr_reftransV1_0013611</v>
      </c>
      <c r="B15330" s="2">
        <v>1500</v>
      </c>
      <c r="C15330" s="4" t="str">
        <f>HYPERLINK("http://www.uniprot.org/uniprot/M5W0A9","M5W0A9")</f>
        <v>M5W0A9</v>
      </c>
      <c r="D15330" s="2" t="s">
        <v>12320</v>
      </c>
      <c r="E15330" s="3">
        <v>8.3500000000000005E-153</v>
      </c>
      <c r="F15330" s="2">
        <v>752</v>
      </c>
      <c r="G15330" s="2">
        <v>93</v>
      </c>
      <c r="H15330" s="2">
        <v>156</v>
      </c>
      <c r="I15330" s="2">
        <v>493</v>
      </c>
      <c r="J15330" s="2">
        <v>960</v>
      </c>
      <c r="K15330" s="2">
        <v>134</v>
      </c>
      <c r="L15330" s="2">
        <v>284</v>
      </c>
    </row>
    <row r="15331" spans="1:12" x14ac:dyDescent="0.25">
      <c r="A15331" s="4" t="str">
        <f>HYPERLINK("http://www.rosaceae.org/Prunus/Prunus_persica/p.persica_gdr_reftransV1_0013961","p.persica_gdr_reftransV1_0013961")</f>
        <v>p.persica_gdr_reftransV1_0013961</v>
      </c>
      <c r="B15331" s="2">
        <v>2026</v>
      </c>
      <c r="C15331" s="4" t="str">
        <f>HYPERLINK("http://www.uniprot.org/uniprot/M5WH46","M5WH46")</f>
        <v>M5WH46</v>
      </c>
      <c r="D15331" s="2" t="s">
        <v>12321</v>
      </c>
      <c r="E15331" s="3">
        <v>0</v>
      </c>
      <c r="F15331" s="2">
        <v>2489</v>
      </c>
      <c r="G15331" s="2">
        <v>100</v>
      </c>
      <c r="H15331" s="2">
        <v>513</v>
      </c>
      <c r="I15331" s="2">
        <v>327</v>
      </c>
      <c r="J15331" s="2">
        <v>1865</v>
      </c>
      <c r="K15331" s="2">
        <v>1</v>
      </c>
      <c r="L15331" s="2">
        <v>513</v>
      </c>
    </row>
    <row r="15332" spans="1:12" x14ac:dyDescent="0.25">
      <c r="A15332" s="4" t="str">
        <f>HYPERLINK("http://www.rosaceae.org/Prunus/Prunus_persica/p.persica_gdr_reftransV1_0014311","p.persica_gdr_reftransV1_0014311")</f>
        <v>p.persica_gdr_reftransV1_0014311</v>
      </c>
      <c r="B15332" s="2">
        <v>950</v>
      </c>
      <c r="C15332" s="4" t="str">
        <f>HYPERLINK("http://www.uniprot.org/uniprot/M5WXM1","M5WXM1")</f>
        <v>M5WXM1</v>
      </c>
      <c r="D15332" s="2" t="s">
        <v>10511</v>
      </c>
      <c r="E15332" s="3">
        <v>1.1700000000000001E-143</v>
      </c>
      <c r="F15332" s="2">
        <v>1122</v>
      </c>
      <c r="G15332" s="2">
        <v>100</v>
      </c>
      <c r="H15332" s="2">
        <v>260</v>
      </c>
      <c r="I15332" s="2">
        <v>1</v>
      </c>
      <c r="J15332" s="2">
        <v>780</v>
      </c>
      <c r="K15332" s="2">
        <v>1</v>
      </c>
      <c r="L15332" s="2">
        <v>260</v>
      </c>
    </row>
    <row r="15333" spans="1:12" x14ac:dyDescent="0.25">
      <c r="A15333" s="4" t="str">
        <f>HYPERLINK("http://www.rosaceae.org/Prunus/Prunus_persica/p.persica_gdr_reftransV1_0016411","p.persica_gdr_reftransV1_0016411")</f>
        <v>p.persica_gdr_reftransV1_0016411</v>
      </c>
      <c r="B15333" s="2">
        <v>1471</v>
      </c>
      <c r="C15333" s="4" t="str">
        <f>HYPERLINK("http://www.uniprot.org/uniprot/M5VKK7","M5VKK7")</f>
        <v>M5VKK7</v>
      </c>
      <c r="D15333" s="2" t="s">
        <v>12322</v>
      </c>
      <c r="E15333" s="3">
        <v>0</v>
      </c>
      <c r="F15333" s="2">
        <v>1464</v>
      </c>
      <c r="G15333" s="2">
        <v>100</v>
      </c>
      <c r="H15333" s="2">
        <v>313</v>
      </c>
      <c r="I15333" s="2">
        <v>51</v>
      </c>
      <c r="J15333" s="2">
        <v>989</v>
      </c>
      <c r="K15333" s="2">
        <v>1</v>
      </c>
      <c r="L15333" s="2">
        <v>313</v>
      </c>
    </row>
    <row r="15334" spans="1:12" x14ac:dyDescent="0.25">
      <c r="A15334" s="4" t="str">
        <f>HYPERLINK("http://www.rosaceae.org/Prunus/Prunus_persica/p.persica_gdr_reftransV1_0017811","p.persica_gdr_reftransV1_0017811")</f>
        <v>p.persica_gdr_reftransV1_0017811</v>
      </c>
      <c r="B15334" s="2">
        <v>2290</v>
      </c>
      <c r="C15334" s="4" t="str">
        <f>HYPERLINK("http://www.uniprot.org/uniprot/M5WFK8","M5WFK8")</f>
        <v>M5WFK8</v>
      </c>
      <c r="D15334" s="2" t="s">
        <v>2546</v>
      </c>
      <c r="E15334" s="3">
        <v>0</v>
      </c>
      <c r="F15334" s="2">
        <v>3012</v>
      </c>
      <c r="G15334" s="2">
        <v>97</v>
      </c>
      <c r="H15334" s="2">
        <v>688</v>
      </c>
      <c r="I15334" s="2">
        <v>227</v>
      </c>
      <c r="J15334" s="2">
        <v>2290</v>
      </c>
      <c r="K15334" s="2">
        <v>58</v>
      </c>
      <c r="L15334" s="2">
        <v>742</v>
      </c>
    </row>
    <row r="15335" spans="1:12" x14ac:dyDescent="0.25">
      <c r="A15335" s="4" t="str">
        <f>HYPERLINK("http://www.rosaceae.org/Prunus/Prunus_persica/p.persica_gdr_reftransV1_0018161","p.persica_gdr_reftransV1_0018161")</f>
        <v>p.persica_gdr_reftransV1_0018161</v>
      </c>
      <c r="B15335" s="2">
        <v>2318</v>
      </c>
      <c r="C15335" s="4" t="str">
        <f>HYPERLINK("http://www.uniprot.org/uniprot/M5WAF4","M5WAF4")</f>
        <v>M5WAF4</v>
      </c>
      <c r="D15335" s="2" t="s">
        <v>12323</v>
      </c>
      <c r="E15335" s="3">
        <v>0</v>
      </c>
      <c r="F15335" s="2">
        <v>2373</v>
      </c>
      <c r="G15335" s="2">
        <v>100</v>
      </c>
      <c r="H15335" s="2">
        <v>529</v>
      </c>
      <c r="I15335" s="2">
        <v>325</v>
      </c>
      <c r="J15335" s="2">
        <v>1911</v>
      </c>
      <c r="K15335" s="2">
        <v>1</v>
      </c>
      <c r="L15335" s="2">
        <v>529</v>
      </c>
    </row>
    <row r="15336" spans="1:12" x14ac:dyDescent="0.25">
      <c r="A15336" s="4" t="str">
        <f>HYPERLINK("http://www.rosaceae.org/Prunus/Prunus_persica/p.persica_gdr_reftransV1_0020261","p.persica_gdr_reftransV1_0020261")</f>
        <v>p.persica_gdr_reftransV1_0020261</v>
      </c>
      <c r="B15336" s="2">
        <v>1163</v>
      </c>
      <c r="C15336" s="4" t="str">
        <f>HYPERLINK("http://www.uniprot.org/uniprot/M5XF97","M5XF97")</f>
        <v>M5XF97</v>
      </c>
      <c r="D15336" s="2" t="s">
        <v>12324</v>
      </c>
      <c r="E15336" s="3">
        <v>1.8900000000000001E-104</v>
      </c>
      <c r="F15336" s="2">
        <v>817</v>
      </c>
      <c r="G15336" s="2">
        <v>100</v>
      </c>
      <c r="H15336" s="2">
        <v>205</v>
      </c>
      <c r="I15336" s="2">
        <v>248</v>
      </c>
      <c r="J15336" s="2">
        <v>862</v>
      </c>
      <c r="K15336" s="2">
        <v>14</v>
      </c>
      <c r="L15336" s="2">
        <v>218</v>
      </c>
    </row>
    <row r="15337" spans="1:12" x14ac:dyDescent="0.25">
      <c r="A15337" s="4" t="str">
        <f>HYPERLINK("http://www.rosaceae.org/Prunus/Prunus_persica/p.persica_gdr_reftransV1_0023061","p.persica_gdr_reftransV1_0023061")</f>
        <v>p.persica_gdr_reftransV1_0023061</v>
      </c>
      <c r="B15337" s="2">
        <v>1858</v>
      </c>
      <c r="C15337" s="4" t="str">
        <f>HYPERLINK("http://www.uniprot.org/uniprot/M5XG68","M5XG68")</f>
        <v>M5XG68</v>
      </c>
      <c r="D15337" s="2" t="s">
        <v>12325</v>
      </c>
      <c r="E15337" s="3">
        <v>1.52E-88</v>
      </c>
      <c r="F15337" s="2">
        <v>723</v>
      </c>
      <c r="G15337" s="2">
        <v>100</v>
      </c>
      <c r="H15337" s="2">
        <v>135</v>
      </c>
      <c r="I15337" s="2">
        <v>114</v>
      </c>
      <c r="J15337" s="2">
        <v>518</v>
      </c>
      <c r="K15337" s="2">
        <v>1</v>
      </c>
      <c r="L15337" s="2">
        <v>135</v>
      </c>
    </row>
    <row r="15338" spans="1:12" x14ac:dyDescent="0.25">
      <c r="A15338" s="4" t="str">
        <f>HYPERLINK("http://www.rosaceae.org/Prunus/Prunus_persica/p.persica_gdr_reftransV1_0024111","p.persica_gdr_reftransV1_0024111")</f>
        <v>p.persica_gdr_reftransV1_0024111</v>
      </c>
      <c r="B15338" s="2">
        <v>1431</v>
      </c>
      <c r="C15338" s="4" t="str">
        <f>HYPERLINK("http://www.uniprot.org/uniprot/E0Y466","E0Y466")</f>
        <v>E0Y466</v>
      </c>
      <c r="D15338" s="2" t="s">
        <v>12326</v>
      </c>
      <c r="E15338" s="3">
        <v>0</v>
      </c>
      <c r="F15338" s="2">
        <v>1497</v>
      </c>
      <c r="G15338" s="2">
        <v>94</v>
      </c>
      <c r="H15338" s="2">
        <v>348</v>
      </c>
      <c r="I15338" s="2">
        <v>42</v>
      </c>
      <c r="J15338" s="2">
        <v>1085</v>
      </c>
      <c r="K15338" s="2">
        <v>1</v>
      </c>
      <c r="L15338" s="2">
        <v>327</v>
      </c>
    </row>
    <row r="15339" spans="1:12" x14ac:dyDescent="0.25">
      <c r="A15339" s="4" t="str">
        <f>HYPERLINK("http://www.rosaceae.org/Prunus/Prunus_persica/p.persica_gdr_reftransV1_0024811","p.persica_gdr_reftransV1_0024811")</f>
        <v>p.persica_gdr_reftransV1_0024811</v>
      </c>
      <c r="B15339" s="2">
        <v>2163</v>
      </c>
      <c r="C15339" s="4" t="str">
        <f>HYPERLINK("http://www.uniprot.org/uniprot/M5XWQ3","M5XWQ3")</f>
        <v>M5XWQ3</v>
      </c>
      <c r="D15339" s="2" t="s">
        <v>12327</v>
      </c>
      <c r="E15339" s="3">
        <v>0</v>
      </c>
      <c r="F15339" s="2">
        <v>2367</v>
      </c>
      <c r="G15339" s="2">
        <v>100</v>
      </c>
      <c r="H15339" s="2">
        <v>465</v>
      </c>
      <c r="I15339" s="2">
        <v>160</v>
      </c>
      <c r="J15339" s="2">
        <v>1554</v>
      </c>
      <c r="K15339" s="2">
        <v>1</v>
      </c>
      <c r="L15339" s="2">
        <v>465</v>
      </c>
    </row>
    <row r="15340" spans="1:12" x14ac:dyDescent="0.25">
      <c r="A15340" s="4" t="str">
        <f>HYPERLINK("http://www.rosaceae.org/Prunus/Prunus_persica/p.persica_gdr_reftransV1_0027961","p.persica_gdr_reftransV1_0027961")</f>
        <v>p.persica_gdr_reftransV1_0027961</v>
      </c>
      <c r="B15340" s="2">
        <v>2856</v>
      </c>
      <c r="C15340" s="4" t="str">
        <f>HYPERLINK("http://www.uniprot.org/uniprot/M5XWE2","M5XWE2")</f>
        <v>M5XWE2</v>
      </c>
      <c r="D15340" s="2" t="s">
        <v>12328</v>
      </c>
      <c r="E15340" s="3">
        <v>4.8600000000000002E-83</v>
      </c>
      <c r="F15340" s="2">
        <v>732</v>
      </c>
      <c r="G15340" s="2">
        <v>100</v>
      </c>
      <c r="H15340" s="2">
        <v>154</v>
      </c>
      <c r="I15340" s="2">
        <v>2043</v>
      </c>
      <c r="J15340" s="2">
        <v>2504</v>
      </c>
      <c r="K15340" s="2">
        <v>283</v>
      </c>
      <c r="L15340" s="2">
        <v>436</v>
      </c>
    </row>
    <row r="15341" spans="1:12" x14ac:dyDescent="0.25">
      <c r="A15341" s="4" t="str">
        <f>HYPERLINK("http://www.rosaceae.org/Prunus/Prunus_persica/p.persica_gdr_reftransV1_0029011","p.persica_gdr_reftransV1_0029011")</f>
        <v>p.persica_gdr_reftransV1_0029011</v>
      </c>
      <c r="B15341" s="2">
        <v>2487</v>
      </c>
      <c r="C15341" s="4" t="str">
        <f>HYPERLINK("http://www.uniprot.org/uniprot/M5X185","M5X185")</f>
        <v>M5X185</v>
      </c>
      <c r="D15341" s="2" t="s">
        <v>2361</v>
      </c>
      <c r="E15341" s="3">
        <v>0</v>
      </c>
      <c r="F15341" s="2">
        <v>1606</v>
      </c>
      <c r="G15341" s="2">
        <v>100</v>
      </c>
      <c r="H15341" s="2">
        <v>298</v>
      </c>
      <c r="I15341" s="2">
        <v>857</v>
      </c>
      <c r="J15341" s="2">
        <v>1750</v>
      </c>
      <c r="K15341" s="2">
        <v>1</v>
      </c>
      <c r="L15341" s="2">
        <v>298</v>
      </c>
    </row>
    <row r="15342" spans="1:12" x14ac:dyDescent="0.25">
      <c r="A15342" s="4" t="str">
        <f>HYPERLINK("http://www.rosaceae.org/Prunus/Prunus_persica/p.persica_gdr_reftransV1_0029711","p.persica_gdr_reftransV1_0029711")</f>
        <v>p.persica_gdr_reftransV1_0029711</v>
      </c>
      <c r="B15342" s="2">
        <v>2182</v>
      </c>
      <c r="C15342" s="4" t="str">
        <f>HYPERLINK("http://www.uniprot.org/uniprot/M5XEA2","M5XEA2")</f>
        <v>M5XEA2</v>
      </c>
      <c r="D15342" s="2" t="s">
        <v>12329</v>
      </c>
      <c r="E15342" s="3">
        <v>0</v>
      </c>
      <c r="F15342" s="2">
        <v>2738</v>
      </c>
      <c r="G15342" s="2">
        <v>100</v>
      </c>
      <c r="H15342" s="2">
        <v>525</v>
      </c>
      <c r="I15342" s="2">
        <v>322</v>
      </c>
      <c r="J15342" s="2">
        <v>1896</v>
      </c>
      <c r="K15342" s="2">
        <v>1</v>
      </c>
      <c r="L15342" s="2">
        <v>525</v>
      </c>
    </row>
    <row r="15343" spans="1:12" x14ac:dyDescent="0.25">
      <c r="A15343" s="4" t="str">
        <f>HYPERLINK("http://www.rosaceae.org/Prunus/Prunus_persica/p.persica_gdr_reftransV1_0030761","p.persica_gdr_reftransV1_0030761")</f>
        <v>p.persica_gdr_reftransV1_0030761</v>
      </c>
      <c r="B15343" s="2">
        <v>504</v>
      </c>
      <c r="C15343" s="4" t="str">
        <f>HYPERLINK("http://www.uniprot.org/uniprot/M5WYA6","M5WYA6")</f>
        <v>M5WYA6</v>
      </c>
      <c r="D15343" s="2" t="s">
        <v>12330</v>
      </c>
      <c r="E15343" s="3">
        <v>1.0699999999999999E-112</v>
      </c>
      <c r="F15343" s="2">
        <v>901</v>
      </c>
      <c r="G15343" s="2">
        <v>100</v>
      </c>
      <c r="H15343" s="2">
        <v>167</v>
      </c>
      <c r="I15343" s="2">
        <v>3</v>
      </c>
      <c r="J15343" s="2">
        <v>503</v>
      </c>
      <c r="K15343" s="2">
        <v>314</v>
      </c>
      <c r="L15343" s="2">
        <v>480</v>
      </c>
    </row>
    <row r="15344" spans="1:12" x14ac:dyDescent="0.25">
      <c r="A15344" s="4" t="str">
        <f>HYPERLINK("http://www.rosaceae.org/Prunus/Prunus_persica/p.persica_gdr_reftransV1_0032161","p.persica_gdr_reftransV1_0032161")</f>
        <v>p.persica_gdr_reftransV1_0032161</v>
      </c>
      <c r="B15344" s="2">
        <v>2574</v>
      </c>
      <c r="C15344" s="4" t="str">
        <f>HYPERLINK("http://www.uniprot.org/uniprot/M5VYR6","M5VYR6")</f>
        <v>M5VYR6</v>
      </c>
      <c r="D15344" s="2" t="s">
        <v>12331</v>
      </c>
      <c r="E15344" s="3">
        <v>4.4200000000000001E-131</v>
      </c>
      <c r="F15344" s="2">
        <v>1050</v>
      </c>
      <c r="G15344" s="2">
        <v>85</v>
      </c>
      <c r="H15344" s="2">
        <v>261</v>
      </c>
      <c r="I15344" s="2">
        <v>827</v>
      </c>
      <c r="J15344" s="2">
        <v>1609</v>
      </c>
      <c r="K15344" s="2">
        <v>148</v>
      </c>
      <c r="L15344" s="2">
        <v>373</v>
      </c>
    </row>
    <row r="15345" spans="1:12" x14ac:dyDescent="0.25">
      <c r="A15345" s="4" t="str">
        <f>HYPERLINK("http://www.rosaceae.org/Prunus/Prunus_persica/p.persica_gdr_reftransV1_0032511","p.persica_gdr_reftransV1_0032511")</f>
        <v>p.persica_gdr_reftransV1_0032511</v>
      </c>
      <c r="B15345" s="2">
        <v>2261</v>
      </c>
      <c r="C15345" s="4" t="str">
        <f>HYPERLINK("http://www.uniprot.org/uniprot/M5W6K7","M5W6K7")</f>
        <v>M5W6K7</v>
      </c>
      <c r="D15345" s="2" t="s">
        <v>12332</v>
      </c>
      <c r="E15345" s="3">
        <v>1.64E-81</v>
      </c>
      <c r="F15345" s="2">
        <v>686</v>
      </c>
      <c r="G15345" s="2">
        <v>99</v>
      </c>
      <c r="H15345" s="2">
        <v>132</v>
      </c>
      <c r="I15345" s="2">
        <v>685</v>
      </c>
      <c r="J15345" s="2">
        <v>1080</v>
      </c>
      <c r="K15345" s="2">
        <v>38</v>
      </c>
      <c r="L15345" s="2">
        <v>169</v>
      </c>
    </row>
    <row r="15346" spans="1:12" x14ac:dyDescent="0.25">
      <c r="A15346" s="4" t="str">
        <f>HYPERLINK("http://www.rosaceae.org/Prunus/Prunus_persica/p.persica_gdr_reftransV1_0032861","p.persica_gdr_reftransV1_0032861")</f>
        <v>p.persica_gdr_reftransV1_0032861</v>
      </c>
      <c r="B15346" s="2">
        <v>974</v>
      </c>
      <c r="C15346" s="4" t="str">
        <f>HYPERLINK("http://www.uniprot.org/uniprot/M5VXY2","M5VXY2")</f>
        <v>M5VXY2</v>
      </c>
      <c r="D15346" s="2" t="s">
        <v>12333</v>
      </c>
      <c r="E15346" s="3">
        <v>3.7800000000000001E-69</v>
      </c>
      <c r="F15346" s="2">
        <v>567</v>
      </c>
      <c r="G15346" s="2">
        <v>83</v>
      </c>
      <c r="H15346" s="2">
        <v>147</v>
      </c>
      <c r="I15346" s="2">
        <v>59</v>
      </c>
      <c r="J15346" s="2">
        <v>499</v>
      </c>
      <c r="K15346" s="2">
        <v>1</v>
      </c>
      <c r="L15346" s="2">
        <v>122</v>
      </c>
    </row>
    <row r="15347" spans="1:12" x14ac:dyDescent="0.25">
      <c r="A15347" s="4" t="str">
        <f>HYPERLINK("http://www.rosaceae.org/Prunus/Prunus_persica/p.persica_gdr_reftransV1_0033211","p.persica_gdr_reftransV1_0033211")</f>
        <v>p.persica_gdr_reftransV1_0033211</v>
      </c>
      <c r="B15347" s="2">
        <v>1268</v>
      </c>
      <c r="C15347" s="4" t="str">
        <f>HYPERLINK("http://www.uniprot.org/uniprot/M5X311","M5X311")</f>
        <v>M5X311</v>
      </c>
      <c r="D15347" s="2" t="s">
        <v>12334</v>
      </c>
      <c r="E15347" s="3">
        <v>0</v>
      </c>
      <c r="F15347" s="2">
        <v>1603</v>
      </c>
      <c r="G15347" s="2">
        <v>100</v>
      </c>
      <c r="H15347" s="2">
        <v>322</v>
      </c>
      <c r="I15347" s="2">
        <v>139</v>
      </c>
      <c r="J15347" s="2">
        <v>1104</v>
      </c>
      <c r="K15347" s="2">
        <v>1</v>
      </c>
      <c r="L15347" s="2">
        <v>322</v>
      </c>
    </row>
    <row r="15348" spans="1:12" x14ac:dyDescent="0.25">
      <c r="A15348" s="4" t="str">
        <f>HYPERLINK("http://www.rosaceae.org/Prunus/Prunus_persica/p.persica_gdr_reftransV1_0034961","p.persica_gdr_reftransV1_0034961")</f>
        <v>p.persica_gdr_reftransV1_0034961</v>
      </c>
      <c r="B15348" s="2">
        <v>3761</v>
      </c>
      <c r="C15348" s="4" t="str">
        <f>HYPERLINK("http://www.uniprot.org/uniprot/Q5BLY3","Q5BLY3")</f>
        <v>Q5BLY3</v>
      </c>
      <c r="D15348" s="2" t="s">
        <v>12335</v>
      </c>
      <c r="E15348" s="3">
        <v>0</v>
      </c>
      <c r="F15348" s="2">
        <v>3579</v>
      </c>
      <c r="G15348" s="2">
        <v>83</v>
      </c>
      <c r="H15348" s="2">
        <v>800</v>
      </c>
      <c r="I15348" s="2">
        <v>1332</v>
      </c>
      <c r="J15348" s="2">
        <v>3716</v>
      </c>
      <c r="K15348" s="2">
        <v>1</v>
      </c>
      <c r="L15348" s="2">
        <v>793</v>
      </c>
    </row>
    <row r="15349" spans="1:12" x14ac:dyDescent="0.25">
      <c r="A15349" s="4" t="str">
        <f>HYPERLINK("http://www.rosaceae.org/Prunus/Prunus_persica/p.persica_gdr_reftransV1_0038111","p.persica_gdr_reftransV1_0038111")</f>
        <v>p.persica_gdr_reftransV1_0038111</v>
      </c>
      <c r="B15349" s="2">
        <v>2111</v>
      </c>
      <c r="C15349" s="4" t="str">
        <f>HYPERLINK("http://www.uniprot.org/uniprot/M5W3T6","M5W3T6")</f>
        <v>M5W3T6</v>
      </c>
      <c r="D15349" s="2" t="s">
        <v>12336</v>
      </c>
      <c r="E15349" s="3">
        <v>0</v>
      </c>
      <c r="F15349" s="2">
        <v>2770</v>
      </c>
      <c r="G15349" s="2">
        <v>100</v>
      </c>
      <c r="H15349" s="2">
        <v>539</v>
      </c>
      <c r="I15349" s="2">
        <v>237</v>
      </c>
      <c r="J15349" s="2">
        <v>1853</v>
      </c>
      <c r="K15349" s="2">
        <v>1</v>
      </c>
      <c r="L15349" s="2">
        <v>539</v>
      </c>
    </row>
    <row r="15350" spans="1:12" x14ac:dyDescent="0.25">
      <c r="A15350" s="4" t="str">
        <f>HYPERLINK("http://www.rosaceae.org/Prunus/Prunus_persica/p.persica_gdr_reftransV1_0038461","p.persica_gdr_reftransV1_0038461")</f>
        <v>p.persica_gdr_reftransV1_0038461</v>
      </c>
      <c r="B15350" s="2">
        <v>2872</v>
      </c>
      <c r="C15350" s="4" t="str">
        <f>HYPERLINK("http://www.uniprot.org/uniprot/M5WGZ6","M5WGZ6")</f>
        <v>M5WGZ6</v>
      </c>
      <c r="D15350" s="2" t="s">
        <v>12337</v>
      </c>
      <c r="E15350" s="3">
        <v>3.63E-173</v>
      </c>
      <c r="F15350" s="2">
        <v>1329</v>
      </c>
      <c r="G15350" s="2">
        <v>100</v>
      </c>
      <c r="H15350" s="2">
        <v>253</v>
      </c>
      <c r="I15350" s="2">
        <v>1657</v>
      </c>
      <c r="J15350" s="2">
        <v>2415</v>
      </c>
      <c r="K15350" s="2">
        <v>6</v>
      </c>
      <c r="L15350" s="2">
        <v>258</v>
      </c>
    </row>
    <row r="15351" spans="1:12" x14ac:dyDescent="0.25">
      <c r="A15351" s="4" t="str">
        <f>HYPERLINK("http://www.rosaceae.org/Prunus/Prunus_persica/p.persica_gdr_reftransV1_0039161","p.persica_gdr_reftransV1_0039161")</f>
        <v>p.persica_gdr_reftransV1_0039161</v>
      </c>
      <c r="B15351" s="2">
        <v>2299</v>
      </c>
      <c r="C15351" s="4" t="str">
        <f>HYPERLINK("http://www.uniprot.org/uniprot/M5W866","M5W866")</f>
        <v>M5W866</v>
      </c>
      <c r="D15351" s="2" t="s">
        <v>6628</v>
      </c>
      <c r="E15351" s="3">
        <v>0</v>
      </c>
      <c r="F15351" s="2">
        <v>1507</v>
      </c>
      <c r="G15351" s="2">
        <v>100</v>
      </c>
      <c r="H15351" s="2">
        <v>286</v>
      </c>
      <c r="I15351" s="2">
        <v>1284</v>
      </c>
      <c r="J15351" s="2">
        <v>2141</v>
      </c>
      <c r="K15351" s="2">
        <v>1</v>
      </c>
      <c r="L15351" s="2">
        <v>286</v>
      </c>
    </row>
    <row r="15352" spans="1:12" x14ac:dyDescent="0.25">
      <c r="A15352" s="4" t="str">
        <f>HYPERLINK("http://www.rosaceae.org/Prunus/Prunus_persica/p.persica_gdr_reftransV1_0040911","p.persica_gdr_reftransV1_0040911")</f>
        <v>p.persica_gdr_reftransV1_0040911</v>
      </c>
      <c r="B15352" s="2">
        <v>2235</v>
      </c>
      <c r="C15352" s="4" t="str">
        <f>HYPERLINK("http://www.uniprot.org/uniprot/M5XVW7","M5XVW7")</f>
        <v>M5XVW7</v>
      </c>
      <c r="D15352" s="2" t="s">
        <v>12338</v>
      </c>
      <c r="E15352" s="3">
        <v>7.3199999999999999E-48</v>
      </c>
      <c r="F15352" s="2">
        <v>464</v>
      </c>
      <c r="G15352" s="2">
        <v>100</v>
      </c>
      <c r="H15352" s="2">
        <v>87</v>
      </c>
      <c r="I15352" s="2">
        <v>325</v>
      </c>
      <c r="J15352" s="2">
        <v>585</v>
      </c>
      <c r="K15352" s="2">
        <v>274</v>
      </c>
      <c r="L15352" s="2">
        <v>360</v>
      </c>
    </row>
    <row r="15353" spans="1:12" x14ac:dyDescent="0.25">
      <c r="A15353" s="4" t="str">
        <f>HYPERLINK("http://www.rosaceae.org/Prunus/Prunus_persica/p.persica_gdr_reftransV1_0041261","p.persica_gdr_reftransV1_0041261")</f>
        <v>p.persica_gdr_reftransV1_0041261</v>
      </c>
      <c r="B15353" s="2">
        <v>1491</v>
      </c>
      <c r="C15353" s="4" t="str">
        <f>HYPERLINK("http://www.uniprot.org/uniprot/M5XR64","M5XR64")</f>
        <v>M5XR64</v>
      </c>
      <c r="D15353" s="2" t="s">
        <v>12339</v>
      </c>
      <c r="E15353" s="3">
        <v>0</v>
      </c>
      <c r="F15353" s="2">
        <v>1638</v>
      </c>
      <c r="G15353" s="2">
        <v>99</v>
      </c>
      <c r="H15353" s="2">
        <v>313</v>
      </c>
      <c r="I15353" s="2">
        <v>315</v>
      </c>
      <c r="J15353" s="2">
        <v>1253</v>
      </c>
      <c r="K15353" s="2">
        <v>7</v>
      </c>
      <c r="L15353" s="2">
        <v>319</v>
      </c>
    </row>
    <row r="15354" spans="1:12" x14ac:dyDescent="0.25">
      <c r="A15354" s="4" t="str">
        <f>HYPERLINK("http://www.rosaceae.org/Prunus/Prunus_persica/p.persica_gdr_reftransV1_0041961","p.persica_gdr_reftransV1_0041961")</f>
        <v>p.persica_gdr_reftransV1_0041961</v>
      </c>
      <c r="B15354" s="2">
        <v>3337</v>
      </c>
      <c r="C15354" s="4" t="str">
        <f>HYPERLINK("http://www.uniprot.org/uniprot/A0A067LMM6","A0A067LMM6")</f>
        <v>A0A067LMM6</v>
      </c>
      <c r="D15354" s="2" t="s">
        <v>12340</v>
      </c>
      <c r="E15354" s="3">
        <v>0</v>
      </c>
      <c r="F15354" s="2">
        <v>2368</v>
      </c>
      <c r="G15354" s="2">
        <v>83</v>
      </c>
      <c r="H15354" s="2">
        <v>562</v>
      </c>
      <c r="I15354" s="2">
        <v>769</v>
      </c>
      <c r="J15354" s="2">
        <v>2454</v>
      </c>
      <c r="K15354" s="2">
        <v>243</v>
      </c>
      <c r="L15354" s="2">
        <v>755</v>
      </c>
    </row>
    <row r="15355" spans="1:12" x14ac:dyDescent="0.25">
      <c r="A15355" s="4" t="str">
        <f>HYPERLINK("http://www.rosaceae.org/Prunus/Prunus_persica/p.persica_gdr_reftransV1_0043361","p.persica_gdr_reftransV1_0043361")</f>
        <v>p.persica_gdr_reftransV1_0043361</v>
      </c>
      <c r="B15355" s="2">
        <v>1239</v>
      </c>
      <c r="C15355" s="4" t="str">
        <f>HYPERLINK("http://www.uniprot.org/uniprot/M5XJX3","M5XJX3")</f>
        <v>M5XJX3</v>
      </c>
      <c r="D15355" s="2" t="s">
        <v>6926</v>
      </c>
      <c r="E15355" s="3">
        <v>0</v>
      </c>
      <c r="F15355" s="2">
        <v>1646</v>
      </c>
      <c r="G15355" s="2">
        <v>100</v>
      </c>
      <c r="H15355" s="2">
        <v>337</v>
      </c>
      <c r="I15355" s="2">
        <v>228</v>
      </c>
      <c r="J15355" s="2">
        <v>1238</v>
      </c>
      <c r="K15355" s="2">
        <v>371</v>
      </c>
      <c r="L15355" s="2">
        <v>707</v>
      </c>
    </row>
    <row r="15356" spans="1:12" x14ac:dyDescent="0.25">
      <c r="A15356" s="4" t="str">
        <f>HYPERLINK("http://www.rosaceae.org/Prunus/Prunus_persica/p.persica_gdr_reftransV1_0043711","p.persica_gdr_reftransV1_0043711")</f>
        <v>p.persica_gdr_reftransV1_0043711</v>
      </c>
      <c r="B15356" s="2">
        <v>1866</v>
      </c>
      <c r="C15356" s="4" t="str">
        <f>HYPERLINK("http://www.uniprot.org/uniprot/M5VLY6","M5VLY6")</f>
        <v>M5VLY6</v>
      </c>
      <c r="D15356" s="2" t="s">
        <v>785</v>
      </c>
      <c r="E15356" s="3">
        <v>0</v>
      </c>
      <c r="F15356" s="2">
        <v>2218</v>
      </c>
      <c r="G15356" s="2">
        <v>98</v>
      </c>
      <c r="H15356" s="2">
        <v>455</v>
      </c>
      <c r="I15356" s="2">
        <v>500</v>
      </c>
      <c r="J15356" s="2">
        <v>1864</v>
      </c>
      <c r="K15356" s="2">
        <v>28</v>
      </c>
      <c r="L15356" s="2">
        <v>475</v>
      </c>
    </row>
    <row r="15357" spans="1:12" x14ac:dyDescent="0.25">
      <c r="A15357" s="4" t="str">
        <f>HYPERLINK("http://www.rosaceae.org/Prunus/Prunus_persica/p.persica_gdr_reftransV1_0044061","p.persica_gdr_reftransV1_0044061")</f>
        <v>p.persica_gdr_reftransV1_0044061</v>
      </c>
      <c r="B15357" s="2">
        <v>1098</v>
      </c>
      <c r="C15357" s="4" t="str">
        <f>HYPERLINK("http://www.uniprot.org/uniprot/M5WA91","M5WA91")</f>
        <v>M5WA91</v>
      </c>
      <c r="D15357" s="2" t="s">
        <v>12341</v>
      </c>
      <c r="E15357" s="3">
        <v>1.15E-153</v>
      </c>
      <c r="F15357" s="2">
        <v>1142</v>
      </c>
      <c r="G15357" s="2">
        <v>100</v>
      </c>
      <c r="H15357" s="2">
        <v>231</v>
      </c>
      <c r="I15357" s="2">
        <v>253</v>
      </c>
      <c r="J15357" s="2">
        <v>945</v>
      </c>
      <c r="K15357" s="2">
        <v>1</v>
      </c>
      <c r="L15357" s="2">
        <v>231</v>
      </c>
    </row>
    <row r="15358" spans="1:12" x14ac:dyDescent="0.25">
      <c r="A15358" s="4" t="str">
        <f>HYPERLINK("http://www.rosaceae.org/Prunus/Prunus_persica/p.persica_gdr_reftransV1_0044411","p.persica_gdr_reftransV1_0044411")</f>
        <v>p.persica_gdr_reftransV1_0044411</v>
      </c>
      <c r="B15358" s="2">
        <v>2073</v>
      </c>
      <c r="C15358" s="4" t="str">
        <f>HYPERLINK("http://www.uniprot.org/uniprot/M5WEH9","M5WEH9")</f>
        <v>M5WEH9</v>
      </c>
      <c r="D15358" s="2" t="s">
        <v>1561</v>
      </c>
      <c r="E15358" s="3">
        <v>0</v>
      </c>
      <c r="F15358" s="2">
        <v>1831</v>
      </c>
      <c r="G15358" s="2">
        <v>93</v>
      </c>
      <c r="H15358" s="2">
        <v>508</v>
      </c>
      <c r="I15358" s="2">
        <v>24</v>
      </c>
      <c r="J15358" s="2">
        <v>1547</v>
      </c>
      <c r="K15358" s="2">
        <v>1985</v>
      </c>
      <c r="L15358" s="2">
        <v>2454</v>
      </c>
    </row>
    <row r="15359" spans="1:12" x14ac:dyDescent="0.25">
      <c r="A15359" s="4" t="str">
        <f>HYPERLINK("http://www.rosaceae.org/Prunus/Prunus_persica/p.persica_gdr_reftransV1_0044761","p.persica_gdr_reftransV1_0044761")</f>
        <v>p.persica_gdr_reftransV1_0044761</v>
      </c>
      <c r="B15359" s="2">
        <v>656</v>
      </c>
      <c r="C15359" s="4" t="str">
        <f>HYPERLINK("http://www.uniprot.org/uniprot/M5VLQ3","M5VLQ3")</f>
        <v>M5VLQ3</v>
      </c>
      <c r="D15359" s="2" t="s">
        <v>9576</v>
      </c>
      <c r="E15359" s="3">
        <v>1.6900000000000001E-47</v>
      </c>
      <c r="F15359" s="2">
        <v>308</v>
      </c>
      <c r="G15359" s="2">
        <v>97</v>
      </c>
      <c r="H15359" s="2">
        <v>59</v>
      </c>
      <c r="I15359" s="2">
        <v>88</v>
      </c>
      <c r="J15359" s="2">
        <v>264</v>
      </c>
      <c r="K15359" s="2">
        <v>42</v>
      </c>
      <c r="L15359" s="2">
        <v>100</v>
      </c>
    </row>
    <row r="15360" spans="1:12" x14ac:dyDescent="0.25">
      <c r="A15360" s="4" t="str">
        <f>HYPERLINK("http://www.rosaceae.org/Prunus/Prunus_persica/p.persica_gdr_reftransV1_0045111","p.persica_gdr_reftransV1_0045111")</f>
        <v>p.persica_gdr_reftransV1_0045111</v>
      </c>
      <c r="B15360" s="2">
        <v>2736</v>
      </c>
      <c r="C15360" s="4" t="str">
        <f>HYPERLINK("http://www.uniprot.org/uniprot/M5VJA7","M5VJA7")</f>
        <v>M5VJA7</v>
      </c>
      <c r="D15360" s="2" t="s">
        <v>12342</v>
      </c>
      <c r="E15360" s="3">
        <v>0</v>
      </c>
      <c r="F15360" s="2">
        <v>4031</v>
      </c>
      <c r="G15360" s="2">
        <v>100</v>
      </c>
      <c r="H15360" s="2">
        <v>834</v>
      </c>
      <c r="I15360" s="2">
        <v>3</v>
      </c>
      <c r="J15360" s="2">
        <v>2504</v>
      </c>
      <c r="K15360" s="2">
        <v>449</v>
      </c>
      <c r="L15360" s="2">
        <v>1282</v>
      </c>
    </row>
    <row r="15361" spans="1:12" x14ac:dyDescent="0.25">
      <c r="A15361" s="4" t="str">
        <f>HYPERLINK("http://www.rosaceae.org/Prunus/Prunus_persica/p.persica_gdr_reftransV1_0045461","p.persica_gdr_reftransV1_0045461")</f>
        <v>p.persica_gdr_reftransV1_0045461</v>
      </c>
      <c r="B15361" s="2">
        <v>1075</v>
      </c>
      <c r="C15361" s="4" t="str">
        <f>HYPERLINK("http://www.uniprot.org/uniprot/M5WG20","M5WG20")</f>
        <v>M5WG20</v>
      </c>
      <c r="D15361" s="2" t="s">
        <v>12343</v>
      </c>
      <c r="E15361" s="3">
        <v>0</v>
      </c>
      <c r="F15361" s="2">
        <v>1429</v>
      </c>
      <c r="G15361" s="2">
        <v>100</v>
      </c>
      <c r="H15361" s="2">
        <v>297</v>
      </c>
      <c r="I15361" s="2">
        <v>183</v>
      </c>
      <c r="J15361" s="2">
        <v>1073</v>
      </c>
      <c r="K15361" s="2">
        <v>221</v>
      </c>
      <c r="L15361" s="2">
        <v>517</v>
      </c>
    </row>
    <row r="15362" spans="1:12" x14ac:dyDescent="0.25">
      <c r="A15362" s="4" t="str">
        <f>HYPERLINK("http://www.rosaceae.org/Prunus/Prunus_persica/p.persica_gdr_reftransV1_0045811","p.persica_gdr_reftransV1_0045811")</f>
        <v>p.persica_gdr_reftransV1_0045811</v>
      </c>
      <c r="B15362" s="2">
        <v>341</v>
      </c>
      <c r="C15362" s="4" t="str">
        <f>HYPERLINK("http://www.uniprot.org/uniprot/M5W5A3","M5W5A3")</f>
        <v>M5W5A3</v>
      </c>
      <c r="D15362" s="2" t="s">
        <v>12344</v>
      </c>
      <c r="E15362" s="3">
        <v>1.56E-24</v>
      </c>
      <c r="F15362" s="2">
        <v>264</v>
      </c>
      <c r="G15362" s="2">
        <v>75</v>
      </c>
      <c r="H15362" s="2">
        <v>75</v>
      </c>
      <c r="I15362" s="2">
        <v>8</v>
      </c>
      <c r="J15362" s="2">
        <v>232</v>
      </c>
      <c r="K15362" s="2">
        <v>35</v>
      </c>
      <c r="L15362" s="2">
        <v>109</v>
      </c>
    </row>
    <row r="15363" spans="1:12" x14ac:dyDescent="0.25">
      <c r="A15363" s="4" t="str">
        <f>HYPERLINK("http://www.rosaceae.org/Prunus/Prunus_persica/p.persica_gdr_reftransV1_0046861","p.persica_gdr_reftransV1_0046861")</f>
        <v>p.persica_gdr_reftransV1_0046861</v>
      </c>
      <c r="B15363" s="2">
        <v>777</v>
      </c>
      <c r="C15363" s="4" t="str">
        <f>HYPERLINK("http://www.uniprot.org/uniprot/M5VHP8","M5VHP8")</f>
        <v>M5VHP8</v>
      </c>
      <c r="D15363" s="2" t="s">
        <v>12345</v>
      </c>
      <c r="E15363" s="3">
        <v>3.8400000000000003E-154</v>
      </c>
      <c r="F15363" s="2">
        <v>1163</v>
      </c>
      <c r="G15363" s="2">
        <v>96</v>
      </c>
      <c r="H15363" s="2">
        <v>229</v>
      </c>
      <c r="I15363" s="2">
        <v>1</v>
      </c>
      <c r="J15363" s="2">
        <v>687</v>
      </c>
      <c r="K15363" s="2">
        <v>305</v>
      </c>
      <c r="L15363" s="2">
        <v>533</v>
      </c>
    </row>
    <row r="15364" spans="1:12" x14ac:dyDescent="0.25">
      <c r="A15364" s="4" t="str">
        <f>HYPERLINK("http://www.rosaceae.org/Prunus/Prunus_persica/p.persica_gdr_reftransV1_0047561","p.persica_gdr_reftransV1_0047561")</f>
        <v>p.persica_gdr_reftransV1_0047561</v>
      </c>
      <c r="B15364" s="2">
        <v>1338</v>
      </c>
      <c r="C15364" s="4" t="str">
        <f>HYPERLINK("http://www.uniprot.org/uniprot/M5VZ82","M5VZ82")</f>
        <v>M5VZ82</v>
      </c>
      <c r="D15364" s="2" t="s">
        <v>12110</v>
      </c>
      <c r="E15364" s="3">
        <v>0</v>
      </c>
      <c r="F15364" s="2">
        <v>1371</v>
      </c>
      <c r="G15364" s="2">
        <v>100</v>
      </c>
      <c r="H15364" s="2">
        <v>320</v>
      </c>
      <c r="I15364" s="2">
        <v>321</v>
      </c>
      <c r="J15364" s="2">
        <v>1280</v>
      </c>
      <c r="K15364" s="2">
        <v>1</v>
      </c>
      <c r="L15364" s="2">
        <v>320</v>
      </c>
    </row>
    <row r="15365" spans="1:12" x14ac:dyDescent="0.25">
      <c r="A15365" s="4" t="str">
        <f>HYPERLINK("http://www.rosaceae.org/Prunus/Prunus_persica/p.persica_gdr_reftransV1_0047911","p.persica_gdr_reftransV1_0047911")</f>
        <v>p.persica_gdr_reftransV1_0047911</v>
      </c>
      <c r="B15365" s="2">
        <v>304</v>
      </c>
      <c r="C15365" s="4" t="str">
        <f>HYPERLINK("http://www.uniprot.org/uniprot/M5WU04","M5WU04")</f>
        <v>M5WU04</v>
      </c>
      <c r="D15365" s="2" t="s">
        <v>10649</v>
      </c>
      <c r="E15365" s="3">
        <v>3.5300000000000001E-34</v>
      </c>
      <c r="F15365" s="2">
        <v>331</v>
      </c>
      <c r="G15365" s="2">
        <v>100</v>
      </c>
      <c r="H15365" s="2">
        <v>81</v>
      </c>
      <c r="I15365" s="2">
        <v>62</v>
      </c>
      <c r="J15365" s="2">
        <v>304</v>
      </c>
      <c r="K15365" s="2">
        <v>225</v>
      </c>
      <c r="L15365" s="2">
        <v>305</v>
      </c>
    </row>
    <row r="15366" spans="1:12" x14ac:dyDescent="0.25">
      <c r="A15366" s="4" t="str">
        <f>HYPERLINK("http://www.rosaceae.org/Prunus/Prunus_persica/p.persica_gdr_reftransV1_0048261","p.persica_gdr_reftransV1_0048261")</f>
        <v>p.persica_gdr_reftransV1_0048261</v>
      </c>
      <c r="B15366" s="2">
        <v>1849</v>
      </c>
      <c r="C15366" s="4" t="str">
        <f>HYPERLINK("http://www.uniprot.org/uniprot/A3C9R5","A3C9R5")</f>
        <v>A3C9R5</v>
      </c>
      <c r="D15366" s="2" t="s">
        <v>12346</v>
      </c>
      <c r="E15366" s="3">
        <v>0</v>
      </c>
      <c r="F15366" s="2">
        <v>2350</v>
      </c>
      <c r="G15366" s="2">
        <v>77</v>
      </c>
      <c r="H15366" s="2">
        <v>581</v>
      </c>
      <c r="I15366" s="2">
        <v>61</v>
      </c>
      <c r="J15366" s="2">
        <v>1623</v>
      </c>
      <c r="K15366" s="2">
        <v>126</v>
      </c>
      <c r="L15366" s="2">
        <v>706</v>
      </c>
    </row>
    <row r="15367" spans="1:12" x14ac:dyDescent="0.25">
      <c r="A15367" s="4" t="str">
        <f>HYPERLINK("http://www.rosaceae.org/Prunus/Prunus_persica/p.persica_gdr_reftransV1_0048611","p.persica_gdr_reftransV1_0048611")</f>
        <v>p.persica_gdr_reftransV1_0048611</v>
      </c>
      <c r="B15367" s="2">
        <v>2392</v>
      </c>
      <c r="C15367" s="4" t="str">
        <f>HYPERLINK("http://www.uniprot.org/uniprot/M5WTP9","M5WTP9")</f>
        <v>M5WTP9</v>
      </c>
      <c r="D15367" s="2" t="s">
        <v>10941</v>
      </c>
      <c r="E15367" s="3">
        <v>0</v>
      </c>
      <c r="F15367" s="2">
        <v>2211</v>
      </c>
      <c r="G15367" s="2">
        <v>100</v>
      </c>
      <c r="H15367" s="2">
        <v>432</v>
      </c>
      <c r="I15367" s="2">
        <v>406</v>
      </c>
      <c r="J15367" s="2">
        <v>1701</v>
      </c>
      <c r="K15367" s="2">
        <v>1</v>
      </c>
      <c r="L15367" s="2">
        <v>430</v>
      </c>
    </row>
    <row r="15368" spans="1:12" x14ac:dyDescent="0.25">
      <c r="A15368" s="4" t="str">
        <f>HYPERLINK("http://www.rosaceae.org/Prunus/Prunus_persica/p.persica_gdr_reftransV1_0048961","p.persica_gdr_reftransV1_0048961")</f>
        <v>p.persica_gdr_reftransV1_0048961</v>
      </c>
      <c r="B15368" s="2">
        <v>1105</v>
      </c>
      <c r="C15368" s="4" t="str">
        <f>HYPERLINK("http://www.uniprot.org/uniprot/M5XL68","M5XL68")</f>
        <v>M5XL68</v>
      </c>
      <c r="D15368" s="2" t="s">
        <v>12347</v>
      </c>
      <c r="E15368" s="3">
        <v>5.9299999999999998E-58</v>
      </c>
      <c r="F15368" s="2">
        <v>497</v>
      </c>
      <c r="G15368" s="2">
        <v>100</v>
      </c>
      <c r="H15368" s="2">
        <v>130</v>
      </c>
      <c r="I15368" s="2">
        <v>468</v>
      </c>
      <c r="J15368" s="2">
        <v>857</v>
      </c>
      <c r="K15368" s="2">
        <v>1</v>
      </c>
      <c r="L15368" s="2">
        <v>130</v>
      </c>
    </row>
    <row r="15369" spans="1:12" x14ac:dyDescent="0.25">
      <c r="A15369" s="4" t="str">
        <f>HYPERLINK("http://www.rosaceae.org/Prunus/Prunus_persica/p.persica_gdr_reftransV1_0000312","p.persica_gdr_reftransV1_0000312")</f>
        <v>p.persica_gdr_reftransV1_0000312</v>
      </c>
      <c r="B15369" s="2">
        <v>1536</v>
      </c>
      <c r="C15369" s="4" t="str">
        <f>HYPERLINK("http://www.uniprot.org/uniprot/M5WN79","M5WN79")</f>
        <v>M5WN79</v>
      </c>
      <c r="D15369" s="2" t="s">
        <v>12348</v>
      </c>
      <c r="E15369" s="3">
        <v>2.02E-169</v>
      </c>
      <c r="F15369" s="2">
        <v>1261</v>
      </c>
      <c r="G15369" s="2">
        <v>100</v>
      </c>
      <c r="H15369" s="2">
        <v>236</v>
      </c>
      <c r="I15369" s="2">
        <v>120</v>
      </c>
      <c r="J15369" s="2">
        <v>827</v>
      </c>
      <c r="K15369" s="2">
        <v>2</v>
      </c>
      <c r="L15369" s="2">
        <v>237</v>
      </c>
    </row>
    <row r="15370" spans="1:12" x14ac:dyDescent="0.25">
      <c r="A15370" s="4" t="str">
        <f>HYPERLINK("http://www.rosaceae.org/Prunus/Prunus_persica/p.persica_gdr_reftransV1_0000662","p.persica_gdr_reftransV1_0000662")</f>
        <v>p.persica_gdr_reftransV1_0000662</v>
      </c>
      <c r="B15370" s="2">
        <v>2801</v>
      </c>
      <c r="C15370" s="4" t="str">
        <f>HYPERLINK("http://www.uniprot.org/uniprot/G7J101","G7J101")</f>
        <v>G7J101</v>
      </c>
      <c r="D15370" s="2" t="s">
        <v>12349</v>
      </c>
      <c r="E15370" s="3">
        <v>2.6399999999999998E-126</v>
      </c>
      <c r="F15370" s="2">
        <v>726</v>
      </c>
      <c r="G15370" s="2">
        <v>88</v>
      </c>
      <c r="H15370" s="2">
        <v>151</v>
      </c>
      <c r="I15370" s="2">
        <v>922</v>
      </c>
      <c r="J15370" s="2">
        <v>1368</v>
      </c>
      <c r="K15370" s="2">
        <v>160</v>
      </c>
      <c r="L15370" s="2">
        <v>310</v>
      </c>
    </row>
    <row r="15371" spans="1:12" x14ac:dyDescent="0.25">
      <c r="A15371" s="4" t="str">
        <f>HYPERLINK("http://www.rosaceae.org/Prunus/Prunus_persica/p.persica_gdr_reftransV1_0001012","p.persica_gdr_reftransV1_0001012")</f>
        <v>p.persica_gdr_reftransV1_0001012</v>
      </c>
      <c r="B15371" s="2">
        <v>576</v>
      </c>
      <c r="C15371" s="4" t="str">
        <f>HYPERLINK("http://www.uniprot.org/uniprot/M5Y1F2","M5Y1F2")</f>
        <v>M5Y1F2</v>
      </c>
      <c r="D15371" s="2" t="s">
        <v>12350</v>
      </c>
      <c r="E15371" s="3">
        <v>2.0499999999999998E-40</v>
      </c>
      <c r="F15371" s="2">
        <v>379</v>
      </c>
      <c r="G15371" s="2">
        <v>100</v>
      </c>
      <c r="H15371" s="2">
        <v>148</v>
      </c>
      <c r="I15371" s="2">
        <v>132</v>
      </c>
      <c r="J15371" s="2">
        <v>575</v>
      </c>
      <c r="K15371" s="2">
        <v>177</v>
      </c>
      <c r="L15371" s="2">
        <v>324</v>
      </c>
    </row>
    <row r="15372" spans="1:12" x14ac:dyDescent="0.25">
      <c r="A15372" s="4" t="str">
        <f>HYPERLINK("http://www.rosaceae.org/Prunus/Prunus_persica/p.persica_gdr_reftransV1_0002062","p.persica_gdr_reftransV1_0002062")</f>
        <v>p.persica_gdr_reftransV1_0002062</v>
      </c>
      <c r="B15372" s="2">
        <v>1281</v>
      </c>
      <c r="C15372" s="4" t="str">
        <f>HYPERLINK("http://www.uniprot.org/uniprot/M5XDC3","M5XDC3")</f>
        <v>M5XDC3</v>
      </c>
      <c r="D15372" s="2" t="s">
        <v>12351</v>
      </c>
      <c r="E15372" s="3">
        <v>0</v>
      </c>
      <c r="F15372" s="2">
        <v>1399</v>
      </c>
      <c r="G15372" s="2">
        <v>85</v>
      </c>
      <c r="H15372" s="2">
        <v>320</v>
      </c>
      <c r="I15372" s="2">
        <v>283</v>
      </c>
      <c r="J15372" s="2">
        <v>1239</v>
      </c>
      <c r="K15372" s="2">
        <v>1</v>
      </c>
      <c r="L15372" s="2">
        <v>316</v>
      </c>
    </row>
    <row r="15373" spans="1:12" x14ac:dyDescent="0.25">
      <c r="A15373" s="4" t="str">
        <f>HYPERLINK("http://www.rosaceae.org/Prunus/Prunus_persica/p.persica_gdr_reftransV1_0002412","p.persica_gdr_reftransV1_0002412")</f>
        <v>p.persica_gdr_reftransV1_0002412</v>
      </c>
      <c r="B15373" s="2">
        <v>1919</v>
      </c>
      <c r="C15373" s="4" t="str">
        <f>HYPERLINK("http://www.uniprot.org/uniprot/M5VUT5","M5VUT5")</f>
        <v>M5VUT5</v>
      </c>
      <c r="D15373" s="2" t="s">
        <v>12352</v>
      </c>
      <c r="E15373" s="3">
        <v>0</v>
      </c>
      <c r="F15373" s="2">
        <v>2647</v>
      </c>
      <c r="G15373" s="2">
        <v>100</v>
      </c>
      <c r="H15373" s="2">
        <v>520</v>
      </c>
      <c r="I15373" s="2">
        <v>263</v>
      </c>
      <c r="J15373" s="2">
        <v>1822</v>
      </c>
      <c r="K15373" s="2">
        <v>1</v>
      </c>
      <c r="L15373" s="2">
        <v>520</v>
      </c>
    </row>
    <row r="15374" spans="1:12" x14ac:dyDescent="0.25">
      <c r="A15374" s="4" t="str">
        <f>HYPERLINK("http://www.rosaceae.org/Prunus/Prunus_persica/p.persica_gdr_reftransV1_0003112","p.persica_gdr_reftransV1_0003112")</f>
        <v>p.persica_gdr_reftransV1_0003112</v>
      </c>
      <c r="B15374" s="2">
        <v>2014</v>
      </c>
      <c r="C15374" s="4" t="str">
        <f>HYPERLINK("http://www.uniprot.org/uniprot/M5XS40","M5XS40")</f>
        <v>M5XS40</v>
      </c>
      <c r="D15374" s="2" t="s">
        <v>3449</v>
      </c>
      <c r="E15374" s="3">
        <v>0</v>
      </c>
      <c r="F15374" s="2">
        <v>2332</v>
      </c>
      <c r="G15374" s="2">
        <v>100</v>
      </c>
      <c r="H15374" s="2">
        <v>584</v>
      </c>
      <c r="I15374" s="2">
        <v>242</v>
      </c>
      <c r="J15374" s="2">
        <v>1993</v>
      </c>
      <c r="K15374" s="2">
        <v>1</v>
      </c>
      <c r="L15374" s="2">
        <v>584</v>
      </c>
    </row>
    <row r="15375" spans="1:12" x14ac:dyDescent="0.25">
      <c r="A15375" s="4" t="str">
        <f>HYPERLINK("http://www.rosaceae.org/Prunus/Prunus_persica/p.persica_gdr_reftransV1_0003462","p.persica_gdr_reftransV1_0003462")</f>
        <v>p.persica_gdr_reftransV1_0003462</v>
      </c>
      <c r="B15375" s="2">
        <v>2107</v>
      </c>
      <c r="C15375" s="4" t="str">
        <f>HYPERLINK("http://www.uniprot.org/uniprot/M5WY75","M5WY75")</f>
        <v>M5WY75</v>
      </c>
      <c r="D15375" s="2" t="s">
        <v>2295</v>
      </c>
      <c r="E15375" s="3">
        <v>0</v>
      </c>
      <c r="F15375" s="2">
        <v>2653</v>
      </c>
      <c r="G15375" s="2">
        <v>100</v>
      </c>
      <c r="H15375" s="2">
        <v>492</v>
      </c>
      <c r="I15375" s="2">
        <v>178</v>
      </c>
      <c r="J15375" s="2">
        <v>1653</v>
      </c>
      <c r="K15375" s="2">
        <v>1</v>
      </c>
      <c r="L15375" s="2">
        <v>492</v>
      </c>
    </row>
    <row r="15376" spans="1:12" x14ac:dyDescent="0.25">
      <c r="A15376" s="4" t="str">
        <f>HYPERLINK("http://www.rosaceae.org/Prunus/Prunus_persica/p.persica_gdr_reftransV1_0003812","p.persica_gdr_reftransV1_0003812")</f>
        <v>p.persica_gdr_reftransV1_0003812</v>
      </c>
      <c r="B15376" s="2">
        <v>1535</v>
      </c>
      <c r="C15376" s="4" t="str">
        <f>HYPERLINK("http://www.uniprot.org/uniprot/M5XNC3","M5XNC3")</f>
        <v>M5XNC3</v>
      </c>
      <c r="D15376" s="2" t="s">
        <v>2408</v>
      </c>
      <c r="E15376" s="3">
        <v>2.54E-79</v>
      </c>
      <c r="F15376" s="2">
        <v>660</v>
      </c>
      <c r="G15376" s="2">
        <v>100</v>
      </c>
      <c r="H15376" s="2">
        <v>126</v>
      </c>
      <c r="I15376" s="2">
        <v>140</v>
      </c>
      <c r="J15376" s="2">
        <v>517</v>
      </c>
      <c r="K15376" s="2">
        <v>1</v>
      </c>
      <c r="L15376" s="2">
        <v>126</v>
      </c>
    </row>
    <row r="15377" spans="1:12" x14ac:dyDescent="0.25">
      <c r="A15377" s="4" t="str">
        <f>HYPERLINK("http://www.rosaceae.org/Prunus/Prunus_persica/p.persica_gdr_reftransV1_0004162","p.persica_gdr_reftransV1_0004162")</f>
        <v>p.persica_gdr_reftransV1_0004162</v>
      </c>
      <c r="B15377" s="2">
        <v>785</v>
      </c>
      <c r="C15377" s="4" t="str">
        <f>HYPERLINK("http://www.uniprot.org/uniprot/M5W3U4","M5W3U4")</f>
        <v>M5W3U4</v>
      </c>
      <c r="D15377" s="2" t="s">
        <v>4776</v>
      </c>
      <c r="E15377" s="3">
        <v>1.66E-80</v>
      </c>
      <c r="F15377" s="2">
        <v>639</v>
      </c>
      <c r="G15377" s="2">
        <v>100</v>
      </c>
      <c r="H15377" s="2">
        <v>145</v>
      </c>
      <c r="I15377" s="2">
        <v>132</v>
      </c>
      <c r="J15377" s="2">
        <v>566</v>
      </c>
      <c r="K15377" s="2">
        <v>1</v>
      </c>
      <c r="L15377" s="2">
        <v>145</v>
      </c>
    </row>
    <row r="15378" spans="1:12" x14ac:dyDescent="0.25">
      <c r="A15378" s="4" t="str">
        <f>HYPERLINK("http://www.rosaceae.org/Prunus/Prunus_persica/p.persica_gdr_reftransV1_0004512","p.persica_gdr_reftransV1_0004512")</f>
        <v>p.persica_gdr_reftransV1_0004512</v>
      </c>
      <c r="B15378" s="2">
        <v>3268</v>
      </c>
      <c r="C15378" s="4" t="str">
        <f>HYPERLINK("http://www.uniprot.org/uniprot/M5XVI5","M5XVI5")</f>
        <v>M5XVI5</v>
      </c>
      <c r="D15378" s="2" t="s">
        <v>5847</v>
      </c>
      <c r="E15378" s="3">
        <v>0</v>
      </c>
      <c r="F15378" s="2">
        <v>3927</v>
      </c>
      <c r="G15378" s="2">
        <v>100</v>
      </c>
      <c r="H15378" s="2">
        <v>772</v>
      </c>
      <c r="I15378" s="2">
        <v>383</v>
      </c>
      <c r="J15378" s="2">
        <v>2698</v>
      </c>
      <c r="K15378" s="2">
        <v>1</v>
      </c>
      <c r="L15378" s="2">
        <v>772</v>
      </c>
    </row>
    <row r="15379" spans="1:12" x14ac:dyDescent="0.25">
      <c r="A15379" s="4" t="str">
        <f>HYPERLINK("http://www.rosaceae.org/Prunus/Prunus_persica/p.persica_gdr_reftransV1_0004862","p.persica_gdr_reftransV1_0004862")</f>
        <v>p.persica_gdr_reftransV1_0004862</v>
      </c>
      <c r="B15379" s="2">
        <v>2557</v>
      </c>
      <c r="C15379" s="4" t="str">
        <f>HYPERLINK("http://www.uniprot.org/uniprot/M5W887","M5W887")</f>
        <v>M5W887</v>
      </c>
      <c r="D15379" s="2" t="s">
        <v>12353</v>
      </c>
      <c r="E15379" s="3">
        <v>0</v>
      </c>
      <c r="F15379" s="2">
        <v>3140</v>
      </c>
      <c r="G15379" s="2">
        <v>100</v>
      </c>
      <c r="H15379" s="2">
        <v>699</v>
      </c>
      <c r="I15379" s="2">
        <v>256</v>
      </c>
      <c r="J15379" s="2">
        <v>2352</v>
      </c>
      <c r="K15379" s="2">
        <v>1</v>
      </c>
      <c r="L15379" s="2">
        <v>699</v>
      </c>
    </row>
    <row r="15380" spans="1:12" x14ac:dyDescent="0.25">
      <c r="A15380" s="4" t="str">
        <f>HYPERLINK("http://www.rosaceae.org/Prunus/Prunus_persica/p.persica_gdr_reftransV1_0005562","p.persica_gdr_reftransV1_0005562")</f>
        <v>p.persica_gdr_reftransV1_0005562</v>
      </c>
      <c r="B15380" s="2">
        <v>2394</v>
      </c>
      <c r="C15380" s="4" t="str">
        <f>HYPERLINK("http://www.uniprot.org/uniprot/M5WNX1","M5WNX1")</f>
        <v>M5WNX1</v>
      </c>
      <c r="D15380" s="2" t="s">
        <v>12354</v>
      </c>
      <c r="E15380" s="3">
        <v>1.7999999999999999E-121</v>
      </c>
      <c r="F15380" s="2">
        <v>963</v>
      </c>
      <c r="G15380" s="2">
        <v>100</v>
      </c>
      <c r="H15380" s="2">
        <v>193</v>
      </c>
      <c r="I15380" s="2">
        <v>1470</v>
      </c>
      <c r="J15380" s="2">
        <v>2048</v>
      </c>
      <c r="K15380" s="2">
        <v>1</v>
      </c>
      <c r="L15380" s="2">
        <v>193</v>
      </c>
    </row>
    <row r="15381" spans="1:12" x14ac:dyDescent="0.25">
      <c r="A15381" s="4" t="str">
        <f>HYPERLINK("http://www.rosaceae.org/Prunus/Prunus_persica/p.persica_gdr_reftransV1_0005912","p.persica_gdr_reftransV1_0005912")</f>
        <v>p.persica_gdr_reftransV1_0005912</v>
      </c>
      <c r="B15381" s="2">
        <v>631</v>
      </c>
      <c r="C15381" s="4" t="str">
        <f>HYPERLINK("http://www.uniprot.org/uniprot/M5XM09","M5XM09")</f>
        <v>M5XM09</v>
      </c>
      <c r="D15381" s="2" t="s">
        <v>12147</v>
      </c>
      <c r="E15381" s="3">
        <v>4.8100000000000004E-103</v>
      </c>
      <c r="F15381" s="2">
        <v>856</v>
      </c>
      <c r="G15381" s="2">
        <v>90</v>
      </c>
      <c r="H15381" s="2">
        <v>210</v>
      </c>
      <c r="I15381" s="2">
        <v>2</v>
      </c>
      <c r="J15381" s="2">
        <v>631</v>
      </c>
      <c r="K15381" s="2">
        <v>646</v>
      </c>
      <c r="L15381" s="2">
        <v>855</v>
      </c>
    </row>
    <row r="15382" spans="1:12" x14ac:dyDescent="0.25">
      <c r="A15382" s="4" t="str">
        <f>HYPERLINK("http://www.rosaceae.org/Prunus/Prunus_persica/p.persica_gdr_reftransV1_0006262","p.persica_gdr_reftransV1_0006262")</f>
        <v>p.persica_gdr_reftransV1_0006262</v>
      </c>
      <c r="B15382" s="2">
        <v>1556</v>
      </c>
      <c r="C15382" s="4" t="str">
        <f>HYPERLINK("http://www.uniprot.org/uniprot/M5VLR2","M5VLR2")</f>
        <v>M5VLR2</v>
      </c>
      <c r="D15382" s="2" t="s">
        <v>1784</v>
      </c>
      <c r="E15382" s="3">
        <v>0</v>
      </c>
      <c r="F15382" s="2">
        <v>1441</v>
      </c>
      <c r="G15382" s="2">
        <v>85</v>
      </c>
      <c r="H15382" s="2">
        <v>350</v>
      </c>
      <c r="I15382" s="2">
        <v>507</v>
      </c>
      <c r="J15382" s="2">
        <v>1556</v>
      </c>
      <c r="K15382" s="2">
        <v>481</v>
      </c>
      <c r="L15382" s="2">
        <v>783</v>
      </c>
    </row>
    <row r="15383" spans="1:12" x14ac:dyDescent="0.25">
      <c r="A15383" s="4" t="str">
        <f>HYPERLINK("http://www.rosaceae.org/Prunus/Prunus_persica/p.persica_gdr_reftransV1_0007312","p.persica_gdr_reftransV1_0007312")</f>
        <v>p.persica_gdr_reftransV1_0007312</v>
      </c>
      <c r="B15383" s="2">
        <v>3267</v>
      </c>
      <c r="C15383" s="4" t="str">
        <f>HYPERLINK("http://www.uniprot.org/uniprot/M5XKQ4","M5XKQ4")</f>
        <v>M5XKQ4</v>
      </c>
      <c r="D15383" s="2" t="s">
        <v>12355</v>
      </c>
      <c r="E15383" s="3">
        <v>0</v>
      </c>
      <c r="F15383" s="2">
        <v>4017</v>
      </c>
      <c r="G15383" s="2">
        <v>100</v>
      </c>
      <c r="H15383" s="2">
        <v>839</v>
      </c>
      <c r="I15383" s="2">
        <v>426</v>
      </c>
      <c r="J15383" s="2">
        <v>2942</v>
      </c>
      <c r="K15383" s="2">
        <v>1</v>
      </c>
      <c r="L15383" s="2">
        <v>839</v>
      </c>
    </row>
    <row r="15384" spans="1:12" x14ac:dyDescent="0.25">
      <c r="A15384" s="4" t="str">
        <f>HYPERLINK("http://www.rosaceae.org/Prunus/Prunus_persica/p.persica_gdr_reftransV1_0007662","p.persica_gdr_reftransV1_0007662")</f>
        <v>p.persica_gdr_reftransV1_0007662</v>
      </c>
      <c r="B15384" s="2">
        <v>953</v>
      </c>
      <c r="C15384" s="4" t="str">
        <f>HYPERLINK("http://www.uniprot.org/uniprot/M5WRW6","M5WRW6")</f>
        <v>M5WRW6</v>
      </c>
      <c r="D15384" s="2" t="s">
        <v>10600</v>
      </c>
      <c r="E15384" s="3">
        <v>3.6400000000000002E-130</v>
      </c>
      <c r="F15384" s="2">
        <v>1004</v>
      </c>
      <c r="G15384" s="2">
        <v>100</v>
      </c>
      <c r="H15384" s="2">
        <v>189</v>
      </c>
      <c r="I15384" s="2">
        <v>110</v>
      </c>
      <c r="J15384" s="2">
        <v>676</v>
      </c>
      <c r="K15384" s="2">
        <v>1</v>
      </c>
      <c r="L15384" s="2">
        <v>189</v>
      </c>
    </row>
    <row r="15385" spans="1:12" x14ac:dyDescent="0.25">
      <c r="A15385" s="4" t="str">
        <f>HYPERLINK("http://www.rosaceae.org/Prunus/Prunus_persica/p.persica_gdr_reftransV1_0008012","p.persica_gdr_reftransV1_0008012")</f>
        <v>p.persica_gdr_reftransV1_0008012</v>
      </c>
      <c r="B15385" s="2">
        <v>623</v>
      </c>
      <c r="C15385" s="4" t="str">
        <f>HYPERLINK("http://www.uniprot.org/uniprot/M5W549","M5W549")</f>
        <v>M5W549</v>
      </c>
      <c r="D15385" s="2" t="s">
        <v>2814</v>
      </c>
      <c r="E15385" s="3">
        <v>4.2500000000000001E-111</v>
      </c>
      <c r="F15385" s="2">
        <v>887</v>
      </c>
      <c r="G15385" s="2">
        <v>100</v>
      </c>
      <c r="H15385" s="2">
        <v>164</v>
      </c>
      <c r="I15385" s="2">
        <v>2</v>
      </c>
      <c r="J15385" s="2">
        <v>493</v>
      </c>
      <c r="K15385" s="2">
        <v>585</v>
      </c>
      <c r="L15385" s="2">
        <v>748</v>
      </c>
    </row>
    <row r="15386" spans="1:12" x14ac:dyDescent="0.25">
      <c r="A15386" s="4" t="str">
        <f>HYPERLINK("http://www.rosaceae.org/Prunus/Prunus_persica/p.persica_gdr_reftransV1_0008712","p.persica_gdr_reftransV1_0008712")</f>
        <v>p.persica_gdr_reftransV1_0008712</v>
      </c>
      <c r="B15386" s="2">
        <v>2770</v>
      </c>
      <c r="C15386" s="4" t="str">
        <f>HYPERLINK("http://www.uniprot.org/uniprot/M5W6V3","M5W6V3")</f>
        <v>M5W6V3</v>
      </c>
      <c r="D15386" s="2" t="s">
        <v>12356</v>
      </c>
      <c r="E15386" s="3">
        <v>0</v>
      </c>
      <c r="F15386" s="2">
        <v>3805</v>
      </c>
      <c r="G15386" s="2">
        <v>100</v>
      </c>
      <c r="H15386" s="2">
        <v>746</v>
      </c>
      <c r="I15386" s="2">
        <v>121</v>
      </c>
      <c r="J15386" s="2">
        <v>2358</v>
      </c>
      <c r="K15386" s="2">
        <v>1</v>
      </c>
      <c r="L15386" s="2">
        <v>746</v>
      </c>
    </row>
    <row r="15387" spans="1:12" x14ac:dyDescent="0.25">
      <c r="A15387" s="4" t="str">
        <f>HYPERLINK("http://www.rosaceae.org/Prunus/Prunus_persica/p.persica_gdr_reftransV1_0009412","p.persica_gdr_reftransV1_0009412")</f>
        <v>p.persica_gdr_reftransV1_0009412</v>
      </c>
      <c r="B15387" s="2">
        <v>2654</v>
      </c>
      <c r="C15387" s="4" t="str">
        <f>HYPERLINK("http://www.uniprot.org/uniprot/M5XP20","M5XP20")</f>
        <v>M5XP20</v>
      </c>
      <c r="D15387" s="2" t="s">
        <v>12357</v>
      </c>
      <c r="E15387" s="3">
        <v>0</v>
      </c>
      <c r="F15387" s="2">
        <v>2565</v>
      </c>
      <c r="G15387" s="2">
        <v>100</v>
      </c>
      <c r="H15387" s="2">
        <v>607</v>
      </c>
      <c r="I15387" s="2">
        <v>311</v>
      </c>
      <c r="J15387" s="2">
        <v>2131</v>
      </c>
      <c r="K15387" s="2">
        <v>1</v>
      </c>
      <c r="L15387" s="2">
        <v>607</v>
      </c>
    </row>
    <row r="15388" spans="1:12" x14ac:dyDescent="0.25">
      <c r="A15388" s="4" t="str">
        <f>HYPERLINK("http://www.rosaceae.org/Prunus/Prunus_persica/p.persica_gdr_reftransV1_0009762","p.persica_gdr_reftransV1_0009762")</f>
        <v>p.persica_gdr_reftransV1_0009762</v>
      </c>
      <c r="B15388" s="2">
        <v>2820</v>
      </c>
      <c r="C15388" s="4" t="str">
        <f>HYPERLINK("http://www.uniprot.org/uniprot/M5W747","M5W747")</f>
        <v>M5W747</v>
      </c>
      <c r="D15388" s="2" t="s">
        <v>12358</v>
      </c>
      <c r="E15388" s="3">
        <v>0</v>
      </c>
      <c r="F15388" s="2">
        <v>2539</v>
      </c>
      <c r="G15388" s="2">
        <v>96</v>
      </c>
      <c r="H15388" s="2">
        <v>653</v>
      </c>
      <c r="I15388" s="2">
        <v>384</v>
      </c>
      <c r="J15388" s="2">
        <v>2342</v>
      </c>
      <c r="K15388" s="2">
        <v>1</v>
      </c>
      <c r="L15388" s="2">
        <v>633</v>
      </c>
    </row>
    <row r="15389" spans="1:12" x14ac:dyDescent="0.25">
      <c r="A15389" s="4" t="str">
        <f>HYPERLINK("http://www.rosaceae.org/Prunus/Prunus_persica/p.persica_gdr_reftransV1_0010462","p.persica_gdr_reftransV1_0010462")</f>
        <v>p.persica_gdr_reftransV1_0010462</v>
      </c>
      <c r="B15389" s="2">
        <v>2299</v>
      </c>
      <c r="C15389" s="4" t="str">
        <f>HYPERLINK("http://www.uniprot.org/uniprot/M5XAX3","M5XAX3")</f>
        <v>M5XAX3</v>
      </c>
      <c r="D15389" s="2" t="s">
        <v>12359</v>
      </c>
      <c r="E15389" s="3">
        <v>0</v>
      </c>
      <c r="F15389" s="2">
        <v>3201</v>
      </c>
      <c r="G15389" s="2">
        <v>96</v>
      </c>
      <c r="H15389" s="2">
        <v>628</v>
      </c>
      <c r="I15389" s="2">
        <v>61</v>
      </c>
      <c r="J15389" s="2">
        <v>1944</v>
      </c>
      <c r="K15389" s="2">
        <v>1</v>
      </c>
      <c r="L15389" s="2">
        <v>601</v>
      </c>
    </row>
    <row r="15390" spans="1:12" x14ac:dyDescent="0.25">
      <c r="A15390" s="4" t="str">
        <f>HYPERLINK("http://www.rosaceae.org/Prunus/Prunus_persica/p.persica_gdr_reftransV1_0010812","p.persica_gdr_reftransV1_0010812")</f>
        <v>p.persica_gdr_reftransV1_0010812</v>
      </c>
      <c r="B15390" s="2">
        <v>2689</v>
      </c>
      <c r="C15390" s="4" t="str">
        <f>HYPERLINK("http://www.uniprot.org/uniprot/M5WBZ3","M5WBZ3")</f>
        <v>M5WBZ3</v>
      </c>
      <c r="D15390" s="2" t="s">
        <v>12360</v>
      </c>
      <c r="E15390" s="3">
        <v>8.8100000000000005E-155</v>
      </c>
      <c r="F15390" s="2">
        <v>1201</v>
      </c>
      <c r="G15390" s="2">
        <v>100</v>
      </c>
      <c r="H15390" s="2">
        <v>259</v>
      </c>
      <c r="I15390" s="2">
        <v>509</v>
      </c>
      <c r="J15390" s="2">
        <v>1285</v>
      </c>
      <c r="K15390" s="2">
        <v>1</v>
      </c>
      <c r="L15390" s="2">
        <v>259</v>
      </c>
    </row>
    <row r="15391" spans="1:12" x14ac:dyDescent="0.25">
      <c r="A15391" s="4" t="str">
        <f>HYPERLINK("http://www.rosaceae.org/Prunus/Prunus_persica/p.persica_gdr_reftransV1_0011162","p.persica_gdr_reftransV1_0011162")</f>
        <v>p.persica_gdr_reftransV1_0011162</v>
      </c>
      <c r="B15391" s="2">
        <v>778</v>
      </c>
      <c r="C15391" s="4" t="str">
        <f>HYPERLINK("http://www.uniprot.org/uniprot/M5XBB9","M5XBB9")</f>
        <v>M5XBB9</v>
      </c>
      <c r="D15391" s="2" t="s">
        <v>12361</v>
      </c>
      <c r="E15391" s="3">
        <v>2.26E-78</v>
      </c>
      <c r="F15391" s="2">
        <v>622</v>
      </c>
      <c r="G15391" s="2">
        <v>100</v>
      </c>
      <c r="H15391" s="2">
        <v>118</v>
      </c>
      <c r="I15391" s="2">
        <v>70</v>
      </c>
      <c r="J15391" s="2">
        <v>423</v>
      </c>
      <c r="K15391" s="2">
        <v>1</v>
      </c>
      <c r="L15391" s="2">
        <v>118</v>
      </c>
    </row>
    <row r="15392" spans="1:12" x14ac:dyDescent="0.25">
      <c r="A15392" s="4" t="str">
        <f>HYPERLINK("http://www.rosaceae.org/Prunus/Prunus_persica/p.persica_gdr_reftransV1_0011512","p.persica_gdr_reftransV1_0011512")</f>
        <v>p.persica_gdr_reftransV1_0011512</v>
      </c>
      <c r="B15392" s="2">
        <v>2336</v>
      </c>
      <c r="C15392" s="4" t="str">
        <f>HYPERLINK("http://www.uniprot.org/uniprot/M5WXF0","M5WXF0")</f>
        <v>M5WXF0</v>
      </c>
      <c r="D15392" s="2" t="s">
        <v>998</v>
      </c>
      <c r="E15392" s="3">
        <v>0</v>
      </c>
      <c r="F15392" s="2">
        <v>1728</v>
      </c>
      <c r="G15392" s="2">
        <v>100</v>
      </c>
      <c r="H15392" s="2">
        <v>356</v>
      </c>
      <c r="I15392" s="2">
        <v>1043</v>
      </c>
      <c r="J15392" s="2">
        <v>2110</v>
      </c>
      <c r="K15392" s="2">
        <v>1</v>
      </c>
      <c r="L15392" s="2">
        <v>356</v>
      </c>
    </row>
    <row r="15393" spans="1:12" x14ac:dyDescent="0.25">
      <c r="A15393" s="4" t="str">
        <f>HYPERLINK("http://www.rosaceae.org/Prunus/Prunus_persica/p.persica_gdr_reftransV1_0011862","p.persica_gdr_reftransV1_0011862")</f>
        <v>p.persica_gdr_reftransV1_0011862</v>
      </c>
      <c r="B15393" s="2">
        <v>3327</v>
      </c>
      <c r="C15393" s="4" t="str">
        <f>HYPERLINK("http://www.uniprot.org/uniprot/M5WRB5","M5WRB5")</f>
        <v>M5WRB5</v>
      </c>
      <c r="D15393" s="2" t="s">
        <v>9635</v>
      </c>
      <c r="E15393" s="3">
        <v>0</v>
      </c>
      <c r="F15393" s="2">
        <v>3473</v>
      </c>
      <c r="G15393" s="2">
        <v>100</v>
      </c>
      <c r="H15393" s="2">
        <v>655</v>
      </c>
      <c r="I15393" s="2">
        <v>1017</v>
      </c>
      <c r="J15393" s="2">
        <v>2981</v>
      </c>
      <c r="K15393" s="2">
        <v>1</v>
      </c>
      <c r="L15393" s="2">
        <v>655</v>
      </c>
    </row>
    <row r="15394" spans="1:12" x14ac:dyDescent="0.25">
      <c r="A15394" s="4" t="str">
        <f>HYPERLINK("http://www.rosaceae.org/Prunus/Prunus_persica/p.persica_gdr_reftransV1_0012912","p.persica_gdr_reftransV1_0012912")</f>
        <v>p.persica_gdr_reftransV1_0012912</v>
      </c>
      <c r="B15394" s="2">
        <v>1431</v>
      </c>
      <c r="C15394" s="4" t="str">
        <f>HYPERLINK("http://www.uniprot.org/uniprot/M5WUU9","M5WUU9")</f>
        <v>M5WUU9</v>
      </c>
      <c r="D15394" s="2" t="s">
        <v>12362</v>
      </c>
      <c r="E15394" s="3">
        <v>0</v>
      </c>
      <c r="F15394" s="2">
        <v>1448</v>
      </c>
      <c r="G15394" s="2">
        <v>100</v>
      </c>
      <c r="H15394" s="2">
        <v>272</v>
      </c>
      <c r="I15394" s="2">
        <v>486</v>
      </c>
      <c r="J15394" s="2">
        <v>1301</v>
      </c>
      <c r="K15394" s="2">
        <v>1</v>
      </c>
      <c r="L15394" s="2">
        <v>272</v>
      </c>
    </row>
    <row r="15395" spans="1:12" x14ac:dyDescent="0.25">
      <c r="A15395" s="4" t="str">
        <f>HYPERLINK("http://www.rosaceae.org/Prunus/Prunus_persica/p.persica_gdr_reftransV1_0013262","p.persica_gdr_reftransV1_0013262")</f>
        <v>p.persica_gdr_reftransV1_0013262</v>
      </c>
      <c r="B15395" s="2">
        <v>1941</v>
      </c>
      <c r="C15395" s="4" t="str">
        <f>HYPERLINK("http://www.uniprot.org/uniprot/M5VXX2","M5VXX2")</f>
        <v>M5VXX2</v>
      </c>
      <c r="D15395" s="2" t="s">
        <v>12363</v>
      </c>
      <c r="E15395" s="3">
        <v>0</v>
      </c>
      <c r="F15395" s="2">
        <v>1487</v>
      </c>
      <c r="G15395" s="2">
        <v>99</v>
      </c>
      <c r="H15395" s="2">
        <v>279</v>
      </c>
      <c r="I15395" s="2">
        <v>544</v>
      </c>
      <c r="J15395" s="2">
        <v>1380</v>
      </c>
      <c r="K15395" s="2">
        <v>1</v>
      </c>
      <c r="L15395" s="2">
        <v>279</v>
      </c>
    </row>
    <row r="15396" spans="1:12" x14ac:dyDescent="0.25">
      <c r="A15396" s="4" t="str">
        <f>HYPERLINK("http://www.rosaceae.org/Prunus/Prunus_persica/p.persica_gdr_reftransV1_0014662","p.persica_gdr_reftransV1_0014662")</f>
        <v>p.persica_gdr_reftransV1_0014662</v>
      </c>
      <c r="B15396" s="2">
        <v>3516</v>
      </c>
      <c r="C15396" s="4" t="str">
        <f>HYPERLINK("http://www.uniprot.org/uniprot/M5XWY4","M5XWY4")</f>
        <v>M5XWY4</v>
      </c>
      <c r="D15396" s="2" t="s">
        <v>5944</v>
      </c>
      <c r="E15396" s="3">
        <v>0</v>
      </c>
      <c r="F15396" s="2">
        <v>1848</v>
      </c>
      <c r="G15396" s="2">
        <v>100</v>
      </c>
      <c r="H15396" s="2">
        <v>343</v>
      </c>
      <c r="I15396" s="2">
        <v>1</v>
      </c>
      <c r="J15396" s="2">
        <v>1029</v>
      </c>
      <c r="K15396" s="2">
        <v>185</v>
      </c>
      <c r="L15396" s="2">
        <v>527</v>
      </c>
    </row>
    <row r="15397" spans="1:12" x14ac:dyDescent="0.25">
      <c r="A15397" s="4" t="str">
        <f>HYPERLINK("http://www.rosaceae.org/Prunus/Prunus_persica/p.persica_gdr_reftransV1_0015012","p.persica_gdr_reftransV1_0015012")</f>
        <v>p.persica_gdr_reftransV1_0015012</v>
      </c>
      <c r="B15397" s="2">
        <v>2521</v>
      </c>
      <c r="C15397" s="4" t="str">
        <f>HYPERLINK("http://www.uniprot.org/uniprot/M5X2G9","M5X2G9")</f>
        <v>M5X2G9</v>
      </c>
      <c r="D15397" s="2" t="s">
        <v>12364</v>
      </c>
      <c r="E15397" s="3">
        <v>0</v>
      </c>
      <c r="F15397" s="2">
        <v>2750</v>
      </c>
      <c r="G15397" s="2">
        <v>100</v>
      </c>
      <c r="H15397" s="2">
        <v>532</v>
      </c>
      <c r="I15397" s="2">
        <v>119</v>
      </c>
      <c r="J15397" s="2">
        <v>1714</v>
      </c>
      <c r="K15397" s="2">
        <v>1</v>
      </c>
      <c r="L15397" s="2">
        <v>532</v>
      </c>
    </row>
    <row r="15398" spans="1:12" x14ac:dyDescent="0.25">
      <c r="A15398" s="4" t="str">
        <f>HYPERLINK("http://www.rosaceae.org/Prunus/Prunus_persica/p.persica_gdr_reftransV1_0015362","p.persica_gdr_reftransV1_0015362")</f>
        <v>p.persica_gdr_reftransV1_0015362</v>
      </c>
      <c r="B15398" s="2">
        <v>1363</v>
      </c>
      <c r="C15398" s="4" t="str">
        <f>HYPERLINK("http://www.uniprot.org/uniprot/M5WKD6","M5WKD6")</f>
        <v>M5WKD6</v>
      </c>
      <c r="D15398" s="2" t="s">
        <v>12365</v>
      </c>
      <c r="E15398" s="3">
        <v>3.5299999999999998E-90</v>
      </c>
      <c r="F15398" s="2">
        <v>722</v>
      </c>
      <c r="G15398" s="2">
        <v>100</v>
      </c>
      <c r="H15398" s="2">
        <v>139</v>
      </c>
      <c r="I15398" s="2">
        <v>125</v>
      </c>
      <c r="J15398" s="2">
        <v>541</v>
      </c>
      <c r="K15398" s="2">
        <v>14</v>
      </c>
      <c r="L15398" s="2">
        <v>152</v>
      </c>
    </row>
    <row r="15399" spans="1:12" x14ac:dyDescent="0.25">
      <c r="A15399" s="4" t="str">
        <f>HYPERLINK("http://www.rosaceae.org/Prunus/Prunus_persica/p.persica_gdr_reftransV1_0015712","p.persica_gdr_reftransV1_0015712")</f>
        <v>p.persica_gdr_reftransV1_0015712</v>
      </c>
      <c r="B15399" s="2">
        <v>1886</v>
      </c>
      <c r="C15399" s="4" t="str">
        <f>HYPERLINK("http://www.uniprot.org/uniprot/M5Y2Y6","M5Y2Y6")</f>
        <v>M5Y2Y6</v>
      </c>
      <c r="D15399" s="2" t="s">
        <v>12366</v>
      </c>
      <c r="E15399" s="3">
        <v>0</v>
      </c>
      <c r="F15399" s="2">
        <v>2585</v>
      </c>
      <c r="G15399" s="2">
        <v>100</v>
      </c>
      <c r="H15399" s="2">
        <v>483</v>
      </c>
      <c r="I15399" s="2">
        <v>226</v>
      </c>
      <c r="J15399" s="2">
        <v>1674</v>
      </c>
      <c r="K15399" s="2">
        <v>1</v>
      </c>
      <c r="L15399" s="2">
        <v>483</v>
      </c>
    </row>
    <row r="15400" spans="1:12" x14ac:dyDescent="0.25">
      <c r="A15400" s="4" t="str">
        <f>HYPERLINK("http://www.rosaceae.org/Prunus/Prunus_persica/p.persica_gdr_reftransV1_0017812","p.persica_gdr_reftransV1_0017812")</f>
        <v>p.persica_gdr_reftransV1_0017812</v>
      </c>
      <c r="B15400" s="2">
        <v>1795</v>
      </c>
      <c r="C15400" s="4" t="str">
        <f>HYPERLINK("http://www.uniprot.org/uniprot/M5VQQ5","M5VQQ5")</f>
        <v>M5VQQ5</v>
      </c>
      <c r="D15400" s="2" t="s">
        <v>2125</v>
      </c>
      <c r="E15400" s="3">
        <v>4.6699999999999998E-96</v>
      </c>
      <c r="F15400" s="2">
        <v>786</v>
      </c>
      <c r="G15400" s="2">
        <v>92</v>
      </c>
      <c r="H15400" s="2">
        <v>167</v>
      </c>
      <c r="I15400" s="2">
        <v>234</v>
      </c>
      <c r="J15400" s="2">
        <v>722</v>
      </c>
      <c r="K15400" s="2">
        <v>125</v>
      </c>
      <c r="L15400" s="2">
        <v>291</v>
      </c>
    </row>
    <row r="15401" spans="1:12" x14ac:dyDescent="0.25">
      <c r="A15401" s="4" t="str">
        <f>HYPERLINK("http://www.rosaceae.org/Prunus/Prunus_persica/p.persica_gdr_reftransV1_0018512","p.persica_gdr_reftransV1_0018512")</f>
        <v>p.persica_gdr_reftransV1_0018512</v>
      </c>
      <c r="B15401" s="2">
        <v>2977</v>
      </c>
      <c r="C15401" s="4" t="str">
        <f>HYPERLINK("http://www.uniprot.org/uniprot/M5WFC3","M5WFC3")</f>
        <v>M5WFC3</v>
      </c>
      <c r="D15401" s="2" t="s">
        <v>1118</v>
      </c>
      <c r="E15401" s="3">
        <v>0</v>
      </c>
      <c r="F15401" s="2">
        <v>2865</v>
      </c>
      <c r="G15401" s="2">
        <v>100</v>
      </c>
      <c r="H15401" s="2">
        <v>632</v>
      </c>
      <c r="I15401" s="2">
        <v>112</v>
      </c>
      <c r="J15401" s="2">
        <v>2007</v>
      </c>
      <c r="K15401" s="2">
        <v>1</v>
      </c>
      <c r="L15401" s="2">
        <v>632</v>
      </c>
    </row>
    <row r="15402" spans="1:12" x14ac:dyDescent="0.25">
      <c r="A15402" s="4" t="str">
        <f>HYPERLINK("http://www.rosaceae.org/Prunus/Prunus_persica/p.persica_gdr_reftransV1_0019212","p.persica_gdr_reftransV1_0019212")</f>
        <v>p.persica_gdr_reftransV1_0019212</v>
      </c>
      <c r="B15402" s="2">
        <v>2471</v>
      </c>
      <c r="C15402" s="4" t="str">
        <f>HYPERLINK("http://www.uniprot.org/uniprot/M5XET1","M5XET1")</f>
        <v>M5XET1</v>
      </c>
      <c r="D15402" s="2" t="s">
        <v>12367</v>
      </c>
      <c r="E15402" s="3">
        <v>5.47E-146</v>
      </c>
      <c r="F15402" s="2">
        <v>1155</v>
      </c>
      <c r="G15402" s="2">
        <v>100</v>
      </c>
      <c r="H15402" s="2">
        <v>254</v>
      </c>
      <c r="I15402" s="2">
        <v>510</v>
      </c>
      <c r="J15402" s="2">
        <v>1271</v>
      </c>
      <c r="K15402" s="2">
        <v>1</v>
      </c>
      <c r="L15402" s="2">
        <v>254</v>
      </c>
    </row>
    <row r="15403" spans="1:12" x14ac:dyDescent="0.25">
      <c r="A15403" s="4" t="str">
        <f>HYPERLINK("http://www.rosaceae.org/Prunus/Prunus_persica/p.persica_gdr_reftransV1_0019562","p.persica_gdr_reftransV1_0019562")</f>
        <v>p.persica_gdr_reftransV1_0019562</v>
      </c>
      <c r="B15403" s="2">
        <v>3888</v>
      </c>
      <c r="C15403" s="4" t="str">
        <f>HYPERLINK("http://www.uniprot.org/uniprot/M5WDY8","M5WDY8")</f>
        <v>M5WDY8</v>
      </c>
      <c r="D15403" s="2" t="s">
        <v>12368</v>
      </c>
      <c r="E15403" s="3">
        <v>0</v>
      </c>
      <c r="F15403" s="2">
        <v>2969</v>
      </c>
      <c r="G15403" s="2">
        <v>100</v>
      </c>
      <c r="H15403" s="2">
        <v>689</v>
      </c>
      <c r="I15403" s="2">
        <v>1575</v>
      </c>
      <c r="J15403" s="2">
        <v>3641</v>
      </c>
      <c r="K15403" s="2">
        <v>1</v>
      </c>
      <c r="L15403" s="2">
        <v>689</v>
      </c>
    </row>
    <row r="15404" spans="1:12" x14ac:dyDescent="0.25">
      <c r="A15404" s="4" t="str">
        <f>HYPERLINK("http://www.rosaceae.org/Prunus/Prunus_persica/p.persica_gdr_reftransV1_0019912","p.persica_gdr_reftransV1_0019912")</f>
        <v>p.persica_gdr_reftransV1_0019912</v>
      </c>
      <c r="B15404" s="2">
        <v>1046</v>
      </c>
      <c r="C15404" s="4" t="str">
        <f>HYPERLINK("http://www.uniprot.org/uniprot/V6BPS8","V6BPS8")</f>
        <v>V6BPS8</v>
      </c>
      <c r="D15404" s="2" t="s">
        <v>12369</v>
      </c>
      <c r="E15404" s="3">
        <v>0</v>
      </c>
      <c r="F15404" s="2">
        <v>1747</v>
      </c>
      <c r="G15404" s="2">
        <v>99</v>
      </c>
      <c r="H15404" s="2">
        <v>348</v>
      </c>
      <c r="I15404" s="2">
        <v>3</v>
      </c>
      <c r="J15404" s="2">
        <v>1046</v>
      </c>
      <c r="K15404" s="2">
        <v>113</v>
      </c>
      <c r="L15404" s="2">
        <v>460</v>
      </c>
    </row>
    <row r="15405" spans="1:12" x14ac:dyDescent="0.25">
      <c r="A15405" s="4" t="str">
        <f>HYPERLINK("http://www.rosaceae.org/Prunus/Prunus_persica/p.persica_gdr_reftransV1_0021662","p.persica_gdr_reftransV1_0021662")</f>
        <v>p.persica_gdr_reftransV1_0021662</v>
      </c>
      <c r="B15405" s="2">
        <v>2351</v>
      </c>
      <c r="C15405" s="4" t="str">
        <f>HYPERLINK("http://www.uniprot.org/uniprot/M5X0D9","M5X0D9")</f>
        <v>M5X0D9</v>
      </c>
      <c r="D15405" s="2" t="s">
        <v>12370</v>
      </c>
      <c r="E15405" s="3">
        <v>4.9399999999999997E-161</v>
      </c>
      <c r="F15405" s="2">
        <v>1243</v>
      </c>
      <c r="G15405" s="2">
        <v>99</v>
      </c>
      <c r="H15405" s="2">
        <v>274</v>
      </c>
      <c r="I15405" s="2">
        <v>208</v>
      </c>
      <c r="J15405" s="2">
        <v>1029</v>
      </c>
      <c r="K15405" s="2">
        <v>1</v>
      </c>
      <c r="L15405" s="2">
        <v>274</v>
      </c>
    </row>
    <row r="15406" spans="1:12" x14ac:dyDescent="0.25">
      <c r="A15406" s="4" t="str">
        <f>HYPERLINK("http://www.rosaceae.org/Prunus/Prunus_persica/p.persica_gdr_reftransV1_0022712","p.persica_gdr_reftransV1_0022712")</f>
        <v>p.persica_gdr_reftransV1_0022712</v>
      </c>
      <c r="B15406" s="2">
        <v>1464</v>
      </c>
      <c r="C15406" s="4" t="str">
        <f>HYPERLINK("http://www.uniprot.org/uniprot/M5XYJ1","M5XYJ1")</f>
        <v>M5XYJ1</v>
      </c>
      <c r="D15406" s="2" t="s">
        <v>2277</v>
      </c>
      <c r="E15406" s="3">
        <v>0</v>
      </c>
      <c r="F15406" s="2">
        <v>2144</v>
      </c>
      <c r="G15406" s="2">
        <v>100</v>
      </c>
      <c r="H15406" s="2">
        <v>439</v>
      </c>
      <c r="I15406" s="2">
        <v>3</v>
      </c>
      <c r="J15406" s="2">
        <v>1319</v>
      </c>
      <c r="K15406" s="2">
        <v>22</v>
      </c>
      <c r="L15406" s="2">
        <v>460</v>
      </c>
    </row>
    <row r="15407" spans="1:12" x14ac:dyDescent="0.25">
      <c r="A15407" s="4" t="str">
        <f>HYPERLINK("http://www.rosaceae.org/Prunus/Prunus_persica/p.persica_gdr_reftransV1_0024112","p.persica_gdr_reftransV1_0024112")</f>
        <v>p.persica_gdr_reftransV1_0024112</v>
      </c>
      <c r="B15407" s="2">
        <v>2195</v>
      </c>
      <c r="C15407" s="4" t="str">
        <f>HYPERLINK("http://www.uniprot.org/uniprot/M5VTV0","M5VTV0")</f>
        <v>M5VTV0</v>
      </c>
      <c r="D15407" s="2" t="s">
        <v>12371</v>
      </c>
      <c r="E15407" s="3">
        <v>0</v>
      </c>
      <c r="F15407" s="2">
        <v>2115</v>
      </c>
      <c r="G15407" s="2">
        <v>100</v>
      </c>
      <c r="H15407" s="2">
        <v>507</v>
      </c>
      <c r="I15407" s="2">
        <v>265</v>
      </c>
      <c r="J15407" s="2">
        <v>1782</v>
      </c>
      <c r="K15407" s="2">
        <v>35</v>
      </c>
      <c r="L15407" s="2">
        <v>541</v>
      </c>
    </row>
    <row r="15408" spans="1:12" x14ac:dyDescent="0.25">
      <c r="A15408" s="4" t="str">
        <f>HYPERLINK("http://www.rosaceae.org/Prunus/Prunus_persica/p.persica_gdr_reftransV1_0024812","p.persica_gdr_reftransV1_0024812")</f>
        <v>p.persica_gdr_reftransV1_0024812</v>
      </c>
      <c r="B15408" s="2">
        <v>884</v>
      </c>
      <c r="C15408" s="4" t="str">
        <f>HYPERLINK("http://www.uniprot.org/uniprot/A6XN04","A6XN04")</f>
        <v>A6XN04</v>
      </c>
      <c r="D15408" s="2" t="s">
        <v>2264</v>
      </c>
      <c r="E15408" s="3">
        <v>5.5500000000000003E-150</v>
      </c>
      <c r="F15408" s="2">
        <v>1110</v>
      </c>
      <c r="G15408" s="2">
        <v>100</v>
      </c>
      <c r="H15408" s="2">
        <v>238</v>
      </c>
      <c r="I15408" s="2">
        <v>17</v>
      </c>
      <c r="J15408" s="2">
        <v>730</v>
      </c>
      <c r="K15408" s="2">
        <v>1</v>
      </c>
      <c r="L15408" s="2">
        <v>238</v>
      </c>
    </row>
    <row r="15409" spans="1:12" x14ac:dyDescent="0.25">
      <c r="A15409" s="4" t="str">
        <f>HYPERLINK("http://www.rosaceae.org/Prunus/Prunus_persica/p.persica_gdr_reftransV1_0025862","p.persica_gdr_reftransV1_0025862")</f>
        <v>p.persica_gdr_reftransV1_0025862</v>
      </c>
      <c r="B15409" s="2">
        <v>4921</v>
      </c>
      <c r="C15409" s="4" t="str">
        <f>HYPERLINK("http://www.uniprot.org/uniprot/M5W5P9","M5W5P9")</f>
        <v>M5W5P9</v>
      </c>
      <c r="D15409" s="2" t="s">
        <v>820</v>
      </c>
      <c r="E15409" s="3">
        <v>0</v>
      </c>
      <c r="F15409" s="2">
        <v>4345</v>
      </c>
      <c r="G15409" s="2">
        <v>92</v>
      </c>
      <c r="H15409" s="2">
        <v>999</v>
      </c>
      <c r="I15409" s="2">
        <v>1777</v>
      </c>
      <c r="J15409" s="2">
        <v>4773</v>
      </c>
      <c r="K15409" s="2">
        <v>7</v>
      </c>
      <c r="L15409" s="2">
        <v>993</v>
      </c>
    </row>
    <row r="15410" spans="1:12" x14ac:dyDescent="0.25">
      <c r="A15410" s="4" t="str">
        <f>HYPERLINK("http://www.rosaceae.org/Prunus/Prunus_persica/p.persica_gdr_reftransV1_0026562","p.persica_gdr_reftransV1_0026562")</f>
        <v>p.persica_gdr_reftransV1_0026562</v>
      </c>
      <c r="B15410" s="2">
        <v>7203</v>
      </c>
      <c r="C15410" s="4" t="str">
        <f>HYPERLINK("http://www.uniprot.org/uniprot/M5WPB8","M5WPB8")</f>
        <v>M5WPB8</v>
      </c>
      <c r="D15410" s="2" t="s">
        <v>12372</v>
      </c>
      <c r="E15410" s="3">
        <v>0</v>
      </c>
      <c r="F15410" s="2">
        <v>8804</v>
      </c>
      <c r="G15410" s="2">
        <v>99</v>
      </c>
      <c r="H15410" s="2">
        <v>1779</v>
      </c>
      <c r="I15410" s="2">
        <v>526</v>
      </c>
      <c r="J15410" s="2">
        <v>5862</v>
      </c>
      <c r="K15410" s="2">
        <v>262</v>
      </c>
      <c r="L15410" s="2">
        <v>2029</v>
      </c>
    </row>
    <row r="15411" spans="1:12" x14ac:dyDescent="0.25">
      <c r="A15411" s="4" t="str">
        <f>HYPERLINK("http://www.rosaceae.org/Prunus/Prunus_persica/p.persica_gdr_reftransV1_0026912","p.persica_gdr_reftransV1_0026912")</f>
        <v>p.persica_gdr_reftransV1_0026912</v>
      </c>
      <c r="B15411" s="2">
        <v>848</v>
      </c>
      <c r="C15411" s="4" t="str">
        <f>HYPERLINK("http://www.uniprot.org/uniprot/M5WXT4","M5WXT4")</f>
        <v>M5WXT4</v>
      </c>
      <c r="D15411" s="2" t="s">
        <v>4111</v>
      </c>
      <c r="E15411" s="3">
        <v>7.6999999999999993E-71</v>
      </c>
      <c r="F15411" s="2">
        <v>626</v>
      </c>
      <c r="G15411" s="2">
        <v>99</v>
      </c>
      <c r="H15411" s="2">
        <v>121</v>
      </c>
      <c r="I15411" s="2">
        <v>2</v>
      </c>
      <c r="J15411" s="2">
        <v>364</v>
      </c>
      <c r="K15411" s="2">
        <v>807</v>
      </c>
      <c r="L15411" s="2">
        <v>927</v>
      </c>
    </row>
    <row r="15412" spans="1:12" x14ac:dyDescent="0.25">
      <c r="A15412" s="4" t="str">
        <f>HYPERLINK("http://www.rosaceae.org/Prunus/Prunus_persica/p.persica_gdr_reftransV1_0028312","p.persica_gdr_reftransV1_0028312")</f>
        <v>p.persica_gdr_reftransV1_0028312</v>
      </c>
      <c r="B15412" s="2">
        <v>1389</v>
      </c>
      <c r="C15412" s="4" t="str">
        <f>HYPERLINK("http://www.uniprot.org/uniprot/M5XY96","M5XY96")</f>
        <v>M5XY96</v>
      </c>
      <c r="D15412" s="2" t="s">
        <v>12373</v>
      </c>
      <c r="E15412" s="3">
        <v>0</v>
      </c>
      <c r="F15412" s="2">
        <v>1790</v>
      </c>
      <c r="G15412" s="2">
        <v>91</v>
      </c>
      <c r="H15412" s="2">
        <v>429</v>
      </c>
      <c r="I15412" s="2">
        <v>71</v>
      </c>
      <c r="J15412" s="2">
        <v>1357</v>
      </c>
      <c r="K15412" s="2">
        <v>1</v>
      </c>
      <c r="L15412" s="2">
        <v>392</v>
      </c>
    </row>
    <row r="15413" spans="1:12" x14ac:dyDescent="0.25">
      <c r="A15413" s="4" t="str">
        <f>HYPERLINK("http://www.rosaceae.org/Prunus/Prunus_persica/p.persica_gdr_reftransV1_0030062","p.persica_gdr_reftransV1_0030062")</f>
        <v>p.persica_gdr_reftransV1_0030062</v>
      </c>
      <c r="B15413" s="2">
        <v>2112</v>
      </c>
      <c r="C15413" s="4" t="str">
        <f>HYPERLINK("http://www.uniprot.org/uniprot/M5XLS2","M5XLS2")</f>
        <v>M5XLS2</v>
      </c>
      <c r="D15413" s="2" t="s">
        <v>12374</v>
      </c>
      <c r="E15413" s="3">
        <v>2.5500000000000002E-174</v>
      </c>
      <c r="F15413" s="2">
        <v>1337</v>
      </c>
      <c r="G15413" s="2">
        <v>84</v>
      </c>
      <c r="H15413" s="2">
        <v>311</v>
      </c>
      <c r="I15413" s="2">
        <v>853</v>
      </c>
      <c r="J15413" s="2">
        <v>1785</v>
      </c>
      <c r="K15413" s="2">
        <v>220</v>
      </c>
      <c r="L15413" s="2">
        <v>483</v>
      </c>
    </row>
    <row r="15414" spans="1:12" x14ac:dyDescent="0.25">
      <c r="A15414" s="4" t="str">
        <f>HYPERLINK("http://www.rosaceae.org/Prunus/Prunus_persica/p.persica_gdr_reftransV1_0032512","p.persica_gdr_reftransV1_0032512")</f>
        <v>p.persica_gdr_reftransV1_0032512</v>
      </c>
      <c r="B15414" s="2">
        <v>794</v>
      </c>
      <c r="C15414" s="4" t="str">
        <f>HYPERLINK("http://www.uniprot.org/uniprot/M5XEG6","M5XEG6")</f>
        <v>M5XEG6</v>
      </c>
      <c r="D15414" s="2" t="s">
        <v>12375</v>
      </c>
      <c r="E15414" s="3">
        <v>3.3999999999999999E-105</v>
      </c>
      <c r="F15414" s="2">
        <v>831</v>
      </c>
      <c r="G15414" s="2">
        <v>100</v>
      </c>
      <c r="H15414" s="2">
        <v>154</v>
      </c>
      <c r="I15414" s="2">
        <v>2</v>
      </c>
      <c r="J15414" s="2">
        <v>463</v>
      </c>
      <c r="K15414" s="2">
        <v>301</v>
      </c>
      <c r="L15414" s="2">
        <v>454</v>
      </c>
    </row>
    <row r="15415" spans="1:12" x14ac:dyDescent="0.25">
      <c r="A15415" s="4" t="str">
        <f>HYPERLINK("http://www.rosaceae.org/Prunus/Prunus_persica/p.persica_gdr_reftransV1_0033212","p.persica_gdr_reftransV1_0033212")</f>
        <v>p.persica_gdr_reftransV1_0033212</v>
      </c>
      <c r="B15415" s="2">
        <v>2187</v>
      </c>
      <c r="C15415" s="4" t="str">
        <f>HYPERLINK("http://www.uniprot.org/uniprot/A0A061FWH4","A0A061FWH4")</f>
        <v>A0A061FWH4</v>
      </c>
      <c r="D15415" s="2" t="s">
        <v>12376</v>
      </c>
      <c r="E15415" s="3">
        <v>2.4799999999999998E-75</v>
      </c>
      <c r="F15415" s="2">
        <v>662</v>
      </c>
      <c r="G15415" s="2">
        <v>54</v>
      </c>
      <c r="H15415" s="2">
        <v>235</v>
      </c>
      <c r="I15415" s="2">
        <v>1158</v>
      </c>
      <c r="J15415" s="2">
        <v>1859</v>
      </c>
      <c r="K15415" s="2">
        <v>135</v>
      </c>
      <c r="L15415" s="2">
        <v>356</v>
      </c>
    </row>
    <row r="15416" spans="1:12" x14ac:dyDescent="0.25">
      <c r="A15416" s="4" t="str">
        <f>HYPERLINK("http://www.rosaceae.org/Prunus/Prunus_persica/p.persica_gdr_reftransV1_0034612","p.persica_gdr_reftransV1_0034612")</f>
        <v>p.persica_gdr_reftransV1_0034612</v>
      </c>
      <c r="B15416" s="2">
        <v>2682</v>
      </c>
      <c r="C15416" s="4" t="str">
        <f>HYPERLINK("http://www.uniprot.org/uniprot/M5VP58","M5VP58")</f>
        <v>M5VP58</v>
      </c>
      <c r="D15416" s="2" t="s">
        <v>12377</v>
      </c>
      <c r="E15416" s="3">
        <v>2.06E-141</v>
      </c>
      <c r="F15416" s="2">
        <v>1117</v>
      </c>
      <c r="G15416" s="2">
        <v>100</v>
      </c>
      <c r="H15416" s="2">
        <v>219</v>
      </c>
      <c r="I15416" s="2">
        <v>1532</v>
      </c>
      <c r="J15416" s="2">
        <v>2188</v>
      </c>
      <c r="K15416" s="2">
        <v>1</v>
      </c>
      <c r="L15416" s="2">
        <v>219</v>
      </c>
    </row>
    <row r="15417" spans="1:12" x14ac:dyDescent="0.25">
      <c r="A15417" s="4" t="str">
        <f>HYPERLINK("http://www.rosaceae.org/Prunus/Prunus_persica/p.persica_gdr_reftransV1_0037062","p.persica_gdr_reftransV1_0037062")</f>
        <v>p.persica_gdr_reftransV1_0037062</v>
      </c>
      <c r="B15417" s="2">
        <v>1721</v>
      </c>
      <c r="C15417" s="4" t="str">
        <f>HYPERLINK("http://www.uniprot.org/uniprot/M5W4J3","M5W4J3")</f>
        <v>M5W4J3</v>
      </c>
      <c r="D15417" s="2" t="s">
        <v>2744</v>
      </c>
      <c r="E15417" s="3">
        <v>0</v>
      </c>
      <c r="F15417" s="2">
        <v>2216</v>
      </c>
      <c r="G15417" s="2">
        <v>92</v>
      </c>
      <c r="H15417" s="2">
        <v>458</v>
      </c>
      <c r="I15417" s="2">
        <v>3</v>
      </c>
      <c r="J15417" s="2">
        <v>1376</v>
      </c>
      <c r="K15417" s="2">
        <v>1</v>
      </c>
      <c r="L15417" s="2">
        <v>420</v>
      </c>
    </row>
    <row r="15418" spans="1:12" x14ac:dyDescent="0.25">
      <c r="A15418" s="4" t="str">
        <f>HYPERLINK("http://www.rosaceae.org/Prunus/Prunus_persica/p.persica_gdr_reftransV1_0039162","p.persica_gdr_reftransV1_0039162")</f>
        <v>p.persica_gdr_reftransV1_0039162</v>
      </c>
      <c r="B15418" s="2">
        <v>1500</v>
      </c>
      <c r="C15418" s="4" t="str">
        <f>HYPERLINK("http://www.uniprot.org/uniprot/M5VKI0","M5VKI0")</f>
        <v>M5VKI0</v>
      </c>
      <c r="D15418" s="2" t="s">
        <v>12378</v>
      </c>
      <c r="E15418" s="3">
        <v>2.5499999999999999E-151</v>
      </c>
      <c r="F15418" s="2">
        <v>1115</v>
      </c>
      <c r="G15418" s="2">
        <v>100</v>
      </c>
      <c r="H15418" s="2">
        <v>261</v>
      </c>
      <c r="I15418" s="2">
        <v>225</v>
      </c>
      <c r="J15418" s="2">
        <v>1007</v>
      </c>
      <c r="K15418" s="2">
        <v>61</v>
      </c>
      <c r="L15418" s="2">
        <v>321</v>
      </c>
    </row>
    <row r="15419" spans="1:12" x14ac:dyDescent="0.25">
      <c r="A15419" s="4" t="str">
        <f>HYPERLINK("http://www.rosaceae.org/Prunus/Prunus_persica/p.persica_gdr_reftransV1_0040212","p.persica_gdr_reftransV1_0040212")</f>
        <v>p.persica_gdr_reftransV1_0040212</v>
      </c>
      <c r="B15419" s="2">
        <v>1465</v>
      </c>
      <c r="C15419" s="4" t="str">
        <f>HYPERLINK("http://www.uniprot.org/uniprot/M5WYN4","M5WYN4")</f>
        <v>M5WYN4</v>
      </c>
      <c r="D15419" s="2" t="s">
        <v>12379</v>
      </c>
      <c r="E15419" s="3">
        <v>1.1400000000000001E-94</v>
      </c>
      <c r="F15419" s="2">
        <v>756</v>
      </c>
      <c r="G15419" s="2">
        <v>100</v>
      </c>
      <c r="H15419" s="2">
        <v>160</v>
      </c>
      <c r="I15419" s="2">
        <v>532</v>
      </c>
      <c r="J15419" s="2">
        <v>1011</v>
      </c>
      <c r="K15419" s="2">
        <v>1</v>
      </c>
      <c r="L15419" s="2">
        <v>160</v>
      </c>
    </row>
    <row r="15420" spans="1:12" x14ac:dyDescent="0.25">
      <c r="A15420" s="4" t="str">
        <f>HYPERLINK("http://www.rosaceae.org/Prunus/Prunus_persica/p.persica_gdr_reftransV1_0040562","p.persica_gdr_reftransV1_0040562")</f>
        <v>p.persica_gdr_reftransV1_0040562</v>
      </c>
      <c r="B15420" s="2">
        <v>4501</v>
      </c>
      <c r="C15420" s="4" t="str">
        <f>HYPERLINK("http://www.uniprot.org/uniprot/M5Y842","M5Y842")</f>
        <v>M5Y842</v>
      </c>
      <c r="D15420" s="2" t="s">
        <v>12380</v>
      </c>
      <c r="E15420" s="3">
        <v>1.6999999999999999E-172</v>
      </c>
      <c r="F15420" s="2">
        <v>1404</v>
      </c>
      <c r="G15420" s="2">
        <v>100</v>
      </c>
      <c r="H15420" s="2">
        <v>280</v>
      </c>
      <c r="I15420" s="2">
        <v>223</v>
      </c>
      <c r="J15420" s="2">
        <v>1062</v>
      </c>
      <c r="K15420" s="2">
        <v>1</v>
      </c>
      <c r="L15420" s="2">
        <v>280</v>
      </c>
    </row>
    <row r="15421" spans="1:12" x14ac:dyDescent="0.25">
      <c r="A15421" s="4" t="str">
        <f>HYPERLINK("http://www.rosaceae.org/Prunus/Prunus_persica/p.persica_gdr_reftransV1_0041262","p.persica_gdr_reftransV1_0041262")</f>
        <v>p.persica_gdr_reftransV1_0041262</v>
      </c>
      <c r="B15421" s="2">
        <v>1208</v>
      </c>
      <c r="C15421" s="4" t="str">
        <f>HYPERLINK("http://www.uniprot.org/uniprot/M5W7A7","M5W7A7")</f>
        <v>M5W7A7</v>
      </c>
      <c r="D15421" s="2" t="s">
        <v>2677</v>
      </c>
      <c r="E15421" s="3">
        <v>0</v>
      </c>
      <c r="F15421" s="2">
        <v>2135</v>
      </c>
      <c r="G15421" s="2">
        <v>100</v>
      </c>
      <c r="H15421" s="2">
        <v>402</v>
      </c>
      <c r="I15421" s="2">
        <v>2</v>
      </c>
      <c r="J15421" s="2">
        <v>1207</v>
      </c>
      <c r="K15421" s="2">
        <v>58</v>
      </c>
      <c r="L15421" s="2">
        <v>459</v>
      </c>
    </row>
    <row r="15422" spans="1:12" x14ac:dyDescent="0.25">
      <c r="A15422" s="4" t="str">
        <f>HYPERLINK("http://www.rosaceae.org/Prunus/Prunus_persica/p.persica_gdr_reftransV1_0041962","p.persica_gdr_reftransV1_0041962")</f>
        <v>p.persica_gdr_reftransV1_0041962</v>
      </c>
      <c r="B15422" s="2">
        <v>1415</v>
      </c>
      <c r="C15422" s="4" t="str">
        <f>HYPERLINK("http://www.uniprot.org/uniprot/M5XZG7","M5XZG7")</f>
        <v>M5XZG7</v>
      </c>
      <c r="D15422" s="2" t="s">
        <v>7766</v>
      </c>
      <c r="E15422" s="3">
        <v>7.1600000000000002E-65</v>
      </c>
      <c r="F15422" s="2">
        <v>560</v>
      </c>
      <c r="G15422" s="2">
        <v>100</v>
      </c>
      <c r="H15422" s="2">
        <v>108</v>
      </c>
      <c r="I15422" s="2">
        <v>898</v>
      </c>
      <c r="J15422" s="2">
        <v>1221</v>
      </c>
      <c r="K15422" s="2">
        <v>116</v>
      </c>
      <c r="L15422" s="2">
        <v>223</v>
      </c>
    </row>
    <row r="15423" spans="1:12" x14ac:dyDescent="0.25">
      <c r="A15423" s="4" t="str">
        <f>HYPERLINK("http://www.rosaceae.org/Prunus/Prunus_persica/p.persica_gdr_reftransV1_0043012","p.persica_gdr_reftransV1_0043012")</f>
        <v>p.persica_gdr_reftransV1_0043012</v>
      </c>
      <c r="B15423" s="2">
        <v>2959</v>
      </c>
      <c r="C15423" s="4" t="str">
        <f>HYPERLINK("http://www.uniprot.org/uniprot/M5WZ33","M5WZ33")</f>
        <v>M5WZ33</v>
      </c>
      <c r="D15423" s="2" t="s">
        <v>12381</v>
      </c>
      <c r="E15423" s="3">
        <v>0</v>
      </c>
      <c r="F15423" s="2">
        <v>2453</v>
      </c>
      <c r="G15423" s="2">
        <v>100</v>
      </c>
      <c r="H15423" s="2">
        <v>467</v>
      </c>
      <c r="I15423" s="2">
        <v>1029</v>
      </c>
      <c r="J15423" s="2">
        <v>2429</v>
      </c>
      <c r="K15423" s="2">
        <v>141</v>
      </c>
      <c r="L15423" s="2">
        <v>607</v>
      </c>
    </row>
    <row r="15424" spans="1:12" x14ac:dyDescent="0.25">
      <c r="A15424" s="4" t="str">
        <f>HYPERLINK("http://www.rosaceae.org/Prunus/Prunus_persica/p.persica_gdr_reftransV1_0043362","p.persica_gdr_reftransV1_0043362")</f>
        <v>p.persica_gdr_reftransV1_0043362</v>
      </c>
      <c r="B15424" s="2">
        <v>927</v>
      </c>
      <c r="C15424" s="4" t="str">
        <f>HYPERLINK("http://www.uniprot.org/uniprot/M5WD31","M5WD31")</f>
        <v>M5WD31</v>
      </c>
      <c r="D15424" s="2" t="s">
        <v>12382</v>
      </c>
      <c r="E15424" s="3">
        <v>2.0500000000000002E-90</v>
      </c>
      <c r="F15424" s="2">
        <v>714</v>
      </c>
      <c r="G15424" s="2">
        <v>100</v>
      </c>
      <c r="H15424" s="2">
        <v>190</v>
      </c>
      <c r="I15424" s="2">
        <v>235</v>
      </c>
      <c r="J15424" s="2">
        <v>804</v>
      </c>
      <c r="K15424" s="2">
        <v>1</v>
      </c>
      <c r="L15424" s="2">
        <v>190</v>
      </c>
    </row>
    <row r="15425" spans="1:12" x14ac:dyDescent="0.25">
      <c r="A15425" s="4" t="str">
        <f>HYPERLINK("http://www.rosaceae.org/Prunus/Prunus_persica/p.persica_gdr_reftransV1_0043712","p.persica_gdr_reftransV1_0043712")</f>
        <v>p.persica_gdr_reftransV1_0043712</v>
      </c>
      <c r="B15425" s="2">
        <v>389</v>
      </c>
      <c r="C15425" s="4" t="str">
        <f>HYPERLINK("http://www.uniprot.org/uniprot/M5VSL6","M5VSL6")</f>
        <v>M5VSL6</v>
      </c>
      <c r="D15425" s="2" t="s">
        <v>12383</v>
      </c>
      <c r="E15425" s="3">
        <v>5.71E-84</v>
      </c>
      <c r="F15425" s="2">
        <v>681</v>
      </c>
      <c r="G15425" s="2">
        <v>100</v>
      </c>
      <c r="H15425" s="2">
        <v>129</v>
      </c>
      <c r="I15425" s="2">
        <v>2</v>
      </c>
      <c r="J15425" s="2">
        <v>388</v>
      </c>
      <c r="K15425" s="2">
        <v>341</v>
      </c>
      <c r="L15425" s="2">
        <v>469</v>
      </c>
    </row>
    <row r="15426" spans="1:12" x14ac:dyDescent="0.25">
      <c r="A15426" s="4" t="str">
        <f>HYPERLINK("http://www.rosaceae.org/Prunus/Prunus_persica/p.persica_gdr_reftransV1_0044412","p.persica_gdr_reftransV1_0044412")</f>
        <v>p.persica_gdr_reftransV1_0044412</v>
      </c>
      <c r="B15426" s="2">
        <v>546</v>
      </c>
      <c r="C15426" s="4" t="str">
        <f>HYPERLINK("http://www.uniprot.org/uniprot/M5WJB3","M5WJB3")</f>
        <v>M5WJB3</v>
      </c>
      <c r="D15426" s="2" t="s">
        <v>5676</v>
      </c>
      <c r="E15426" s="3">
        <v>9.2699999999999998E-92</v>
      </c>
      <c r="F15426" s="2">
        <v>768</v>
      </c>
      <c r="G15426" s="2">
        <v>100</v>
      </c>
      <c r="H15426" s="2">
        <v>165</v>
      </c>
      <c r="I15426" s="2">
        <v>3</v>
      </c>
      <c r="J15426" s="2">
        <v>497</v>
      </c>
      <c r="K15426" s="2">
        <v>1</v>
      </c>
      <c r="L15426" s="2">
        <v>165</v>
      </c>
    </row>
    <row r="15427" spans="1:12" x14ac:dyDescent="0.25">
      <c r="A15427" s="4" t="str">
        <f>HYPERLINK("http://www.rosaceae.org/Prunus/Prunus_persica/p.persica_gdr_reftransV1_0044762","p.persica_gdr_reftransV1_0044762")</f>
        <v>p.persica_gdr_reftransV1_0044762</v>
      </c>
      <c r="B15427" s="2">
        <v>1157</v>
      </c>
      <c r="C15427" s="4" t="str">
        <f>HYPERLINK("http://www.uniprot.org/uniprot/M5XFA1","M5XFA1")</f>
        <v>M5XFA1</v>
      </c>
      <c r="D15427" s="2" t="s">
        <v>12384</v>
      </c>
      <c r="E15427" s="3">
        <v>1.3100000000000001E-137</v>
      </c>
      <c r="F15427" s="2">
        <v>1036</v>
      </c>
      <c r="G15427" s="2">
        <v>100</v>
      </c>
      <c r="H15427" s="2">
        <v>217</v>
      </c>
      <c r="I15427" s="2">
        <v>198</v>
      </c>
      <c r="J15427" s="2">
        <v>848</v>
      </c>
      <c r="K15427" s="2">
        <v>1</v>
      </c>
      <c r="L15427" s="2">
        <v>217</v>
      </c>
    </row>
    <row r="15428" spans="1:12" x14ac:dyDescent="0.25">
      <c r="A15428" s="4" t="str">
        <f>HYPERLINK("http://www.rosaceae.org/Prunus/Prunus_persica/p.persica_gdr_reftransV1_0045112","p.persica_gdr_reftransV1_0045112")</f>
        <v>p.persica_gdr_reftransV1_0045112</v>
      </c>
      <c r="B15428" s="2">
        <v>1805</v>
      </c>
      <c r="C15428" s="4" t="str">
        <f>HYPERLINK("http://www.uniprot.org/uniprot/M5WSP2","M5WSP2")</f>
        <v>M5WSP2</v>
      </c>
      <c r="D15428" s="2" t="s">
        <v>12385</v>
      </c>
      <c r="E15428" s="3">
        <v>0</v>
      </c>
      <c r="F15428" s="2">
        <v>1630</v>
      </c>
      <c r="G15428" s="2">
        <v>100</v>
      </c>
      <c r="H15428" s="2">
        <v>332</v>
      </c>
      <c r="I15428" s="2">
        <v>319</v>
      </c>
      <c r="J15428" s="2">
        <v>1314</v>
      </c>
      <c r="K15428" s="2">
        <v>1</v>
      </c>
      <c r="L15428" s="2">
        <v>332</v>
      </c>
    </row>
    <row r="15429" spans="1:12" x14ac:dyDescent="0.25">
      <c r="A15429" s="4" t="str">
        <f>HYPERLINK("http://www.rosaceae.org/Prunus/Prunus_persica/p.persica_gdr_reftransV1_0045462","p.persica_gdr_reftransV1_0045462")</f>
        <v>p.persica_gdr_reftransV1_0045462</v>
      </c>
      <c r="B15429" s="2">
        <v>1746</v>
      </c>
      <c r="C15429" s="4" t="str">
        <f>HYPERLINK("http://www.uniprot.org/uniprot/M5XRY1","M5XRY1")</f>
        <v>M5XRY1</v>
      </c>
      <c r="D15429" s="2" t="s">
        <v>2131</v>
      </c>
      <c r="E15429" s="3">
        <v>0</v>
      </c>
      <c r="F15429" s="2">
        <v>1412</v>
      </c>
      <c r="G15429" s="2">
        <v>100</v>
      </c>
      <c r="H15429" s="2">
        <v>266</v>
      </c>
      <c r="I15429" s="2">
        <v>529</v>
      </c>
      <c r="J15429" s="2">
        <v>1326</v>
      </c>
      <c r="K15429" s="2">
        <v>68</v>
      </c>
      <c r="L15429" s="2">
        <v>333</v>
      </c>
    </row>
    <row r="15430" spans="1:12" x14ac:dyDescent="0.25">
      <c r="A15430" s="4" t="str">
        <f>HYPERLINK("http://www.rosaceae.org/Prunus/Prunus_persica/p.persica_gdr_reftransV1_0046162","p.persica_gdr_reftransV1_0046162")</f>
        <v>p.persica_gdr_reftransV1_0046162</v>
      </c>
      <c r="B15430" s="2">
        <v>1133</v>
      </c>
      <c r="C15430" s="4" t="str">
        <f>HYPERLINK("http://www.uniprot.org/uniprot/M5WAK3","M5WAK3")</f>
        <v>M5WAK3</v>
      </c>
      <c r="D15430" s="2" t="s">
        <v>12386</v>
      </c>
      <c r="E15430" s="3">
        <v>4.7899999999999998E-137</v>
      </c>
      <c r="F15430" s="2">
        <v>1032</v>
      </c>
      <c r="G15430" s="2">
        <v>100</v>
      </c>
      <c r="H15430" s="2">
        <v>207</v>
      </c>
      <c r="I15430" s="2">
        <v>321</v>
      </c>
      <c r="J15430" s="2">
        <v>941</v>
      </c>
      <c r="K15430" s="2">
        <v>13</v>
      </c>
      <c r="L15430" s="2">
        <v>219</v>
      </c>
    </row>
    <row r="15431" spans="1:12" x14ac:dyDescent="0.25">
      <c r="A15431" s="4" t="str">
        <f>HYPERLINK("http://www.rosaceae.org/Prunus/Prunus_persica/p.persica_gdr_reftransV1_0047212","p.persica_gdr_reftransV1_0047212")</f>
        <v>p.persica_gdr_reftransV1_0047212</v>
      </c>
      <c r="B15431" s="2">
        <v>2023</v>
      </c>
      <c r="C15431" s="4" t="str">
        <f>HYPERLINK("http://www.uniprot.org/uniprot/I3UIH9","I3UIH9")</f>
        <v>I3UIH9</v>
      </c>
      <c r="D15431" s="2" t="s">
        <v>10008</v>
      </c>
      <c r="E15431" s="3">
        <v>0</v>
      </c>
      <c r="F15431" s="2">
        <v>3174</v>
      </c>
      <c r="G15431" s="2">
        <v>100</v>
      </c>
      <c r="H15431" s="2">
        <v>606</v>
      </c>
      <c r="I15431" s="2">
        <v>206</v>
      </c>
      <c r="J15431" s="2">
        <v>2023</v>
      </c>
      <c r="K15431" s="2">
        <v>238</v>
      </c>
      <c r="L15431" s="2">
        <v>843</v>
      </c>
    </row>
    <row r="15432" spans="1:12" x14ac:dyDescent="0.25">
      <c r="A15432" s="4" t="str">
        <f>HYPERLINK("http://www.rosaceae.org/Prunus/Prunus_persica/p.persica_gdr_reftransV1_0047912","p.persica_gdr_reftransV1_0047912")</f>
        <v>p.persica_gdr_reftransV1_0047912</v>
      </c>
      <c r="B15432" s="2">
        <v>763</v>
      </c>
      <c r="C15432" s="4" t="str">
        <f>HYPERLINK("http://www.uniprot.org/uniprot/M5WIF5","M5WIF5")</f>
        <v>M5WIF5</v>
      </c>
      <c r="D15432" s="2" t="s">
        <v>12387</v>
      </c>
      <c r="E15432" s="3">
        <v>3.4799999999999999E-130</v>
      </c>
      <c r="F15432" s="2">
        <v>971</v>
      </c>
      <c r="G15432" s="2">
        <v>100</v>
      </c>
      <c r="H15432" s="2">
        <v>181</v>
      </c>
      <c r="I15432" s="2">
        <v>93</v>
      </c>
      <c r="J15432" s="2">
        <v>635</v>
      </c>
      <c r="K15432" s="2">
        <v>11</v>
      </c>
      <c r="L15432" s="2">
        <v>191</v>
      </c>
    </row>
    <row r="15433" spans="1:12" x14ac:dyDescent="0.25">
      <c r="A15433" s="4" t="str">
        <f>HYPERLINK("http://www.rosaceae.org/Prunus/Prunus_persica/p.persica_gdr_reftransV1_0048262","p.persica_gdr_reftransV1_0048262")</f>
        <v>p.persica_gdr_reftransV1_0048262</v>
      </c>
      <c r="B15433" s="2">
        <v>417</v>
      </c>
      <c r="C15433" s="4" t="str">
        <f>HYPERLINK("http://www.uniprot.org/uniprot/V4SU02","V4SU02")</f>
        <v>V4SU02</v>
      </c>
      <c r="D15433" s="2" t="s">
        <v>10787</v>
      </c>
      <c r="E15433" s="3">
        <v>7.0500000000000001E-44</v>
      </c>
      <c r="F15433" s="2">
        <v>415</v>
      </c>
      <c r="G15433" s="2">
        <v>61</v>
      </c>
      <c r="H15433" s="2">
        <v>142</v>
      </c>
      <c r="I15433" s="2">
        <v>2</v>
      </c>
      <c r="J15433" s="2">
        <v>415</v>
      </c>
      <c r="K15433" s="2">
        <v>697</v>
      </c>
      <c r="L15433" s="2">
        <v>835</v>
      </c>
    </row>
    <row r="15434" spans="1:12" x14ac:dyDescent="0.25">
      <c r="A15434" s="4" t="str">
        <f>HYPERLINK("http://www.rosaceae.org/Prunus/Prunus_persica/p.persica_gdr_reftransV1_0048612","p.persica_gdr_reftransV1_0048612")</f>
        <v>p.persica_gdr_reftransV1_0048612</v>
      </c>
      <c r="B15434" s="2">
        <v>1693</v>
      </c>
      <c r="C15434" s="4" t="str">
        <f>HYPERLINK("http://www.uniprot.org/uniprot/M5VJ29","M5VJ29")</f>
        <v>M5VJ29</v>
      </c>
      <c r="D15434" s="2" t="s">
        <v>12388</v>
      </c>
      <c r="E15434" s="3">
        <v>0</v>
      </c>
      <c r="F15434" s="2">
        <v>1747</v>
      </c>
      <c r="G15434" s="2">
        <v>100</v>
      </c>
      <c r="H15434" s="2">
        <v>406</v>
      </c>
      <c r="I15434" s="2">
        <v>347</v>
      </c>
      <c r="J15434" s="2">
        <v>1564</v>
      </c>
      <c r="K15434" s="2">
        <v>1</v>
      </c>
      <c r="L15434" s="2">
        <v>406</v>
      </c>
    </row>
    <row r="15435" spans="1:12" x14ac:dyDescent="0.25">
      <c r="A15435" s="4" t="str">
        <f>HYPERLINK("http://www.rosaceae.org/Prunus/Prunus_persica/p.persica_gdr_reftransV1_0001013","p.persica_gdr_reftransV1_0001013")</f>
        <v>p.persica_gdr_reftransV1_0001013</v>
      </c>
      <c r="B15435" s="2">
        <v>2414</v>
      </c>
      <c r="C15435" s="4" t="str">
        <f>HYPERLINK("http://www.uniprot.org/uniprot/M5Y3Z2","M5Y3Z2")</f>
        <v>M5Y3Z2</v>
      </c>
      <c r="D15435" s="2" t="s">
        <v>12389</v>
      </c>
      <c r="E15435" s="3">
        <v>0</v>
      </c>
      <c r="F15435" s="2">
        <v>3763</v>
      </c>
      <c r="G15435" s="2">
        <v>100</v>
      </c>
      <c r="H15435" s="2">
        <v>723</v>
      </c>
      <c r="I15435" s="2">
        <v>1</v>
      </c>
      <c r="J15435" s="2">
        <v>2169</v>
      </c>
      <c r="K15435" s="2">
        <v>132</v>
      </c>
      <c r="L15435" s="2">
        <v>854</v>
      </c>
    </row>
    <row r="15436" spans="1:12" x14ac:dyDescent="0.25">
      <c r="A15436" s="4" t="str">
        <f>HYPERLINK("http://www.rosaceae.org/Prunus/Prunus_persica/p.persica_gdr_reftransV1_0002063","p.persica_gdr_reftransV1_0002063")</f>
        <v>p.persica_gdr_reftransV1_0002063</v>
      </c>
      <c r="B15436" s="2">
        <v>1899</v>
      </c>
      <c r="C15436" s="4" t="str">
        <f>HYPERLINK("http://www.uniprot.org/uniprot/L0I9I1","L0I9I1")</f>
        <v>L0I9I1</v>
      </c>
      <c r="D15436" s="2" t="s">
        <v>12390</v>
      </c>
      <c r="E15436" s="3">
        <v>0</v>
      </c>
      <c r="F15436" s="2">
        <v>2507</v>
      </c>
      <c r="G15436" s="2">
        <v>84</v>
      </c>
      <c r="H15436" s="2">
        <v>559</v>
      </c>
      <c r="I15436" s="2">
        <v>65</v>
      </c>
      <c r="J15436" s="2">
        <v>1732</v>
      </c>
      <c r="K15436" s="2">
        <v>4</v>
      </c>
      <c r="L15436" s="2">
        <v>560</v>
      </c>
    </row>
    <row r="15437" spans="1:12" x14ac:dyDescent="0.25">
      <c r="A15437" s="4" t="str">
        <f>HYPERLINK("http://www.rosaceae.org/Prunus/Prunus_persica/p.persica_gdr_reftransV1_0002413","p.persica_gdr_reftransV1_0002413")</f>
        <v>p.persica_gdr_reftransV1_0002413</v>
      </c>
      <c r="B15437" s="2">
        <v>402</v>
      </c>
      <c r="C15437" s="4" t="str">
        <f>HYPERLINK("http://www.uniprot.org/uniprot/M5W0R9","M5W0R9")</f>
        <v>M5W0R9</v>
      </c>
      <c r="D15437" s="2" t="s">
        <v>12391</v>
      </c>
      <c r="E15437" s="3">
        <v>4.4000000000000003E-62</v>
      </c>
      <c r="F15437" s="2">
        <v>503</v>
      </c>
      <c r="G15437" s="2">
        <v>100</v>
      </c>
      <c r="H15437" s="2">
        <v>106</v>
      </c>
      <c r="I15437" s="2">
        <v>84</v>
      </c>
      <c r="J15437" s="2">
        <v>401</v>
      </c>
      <c r="K15437" s="2">
        <v>10</v>
      </c>
      <c r="L15437" s="2">
        <v>115</v>
      </c>
    </row>
    <row r="15438" spans="1:12" x14ac:dyDescent="0.25">
      <c r="A15438" s="4" t="str">
        <f>HYPERLINK("http://www.rosaceae.org/Prunus/Prunus_persica/p.persica_gdr_reftransV1_0003813","p.persica_gdr_reftransV1_0003813")</f>
        <v>p.persica_gdr_reftransV1_0003813</v>
      </c>
      <c r="B15438" s="2">
        <v>369</v>
      </c>
      <c r="C15438" s="4" t="str">
        <f>HYPERLINK("http://www.uniprot.org/uniprot/M5XFW4","M5XFW4")</f>
        <v>M5XFW4</v>
      </c>
      <c r="D15438" s="2" t="s">
        <v>12392</v>
      </c>
      <c r="E15438" s="3">
        <v>5.1599999999999999E-65</v>
      </c>
      <c r="F15438" s="2">
        <v>534</v>
      </c>
      <c r="G15438" s="2">
        <v>95</v>
      </c>
      <c r="H15438" s="2">
        <v>122</v>
      </c>
      <c r="I15438" s="2">
        <v>3</v>
      </c>
      <c r="J15438" s="2">
        <v>368</v>
      </c>
      <c r="K15438" s="2">
        <v>7</v>
      </c>
      <c r="L15438" s="2">
        <v>128</v>
      </c>
    </row>
    <row r="15439" spans="1:12" x14ac:dyDescent="0.25">
      <c r="A15439" s="4" t="str">
        <f>HYPERLINK("http://www.rosaceae.org/Prunus/Prunus_persica/p.persica_gdr_reftransV1_0004163","p.persica_gdr_reftransV1_0004163")</f>
        <v>p.persica_gdr_reftransV1_0004163</v>
      </c>
      <c r="B15439" s="2">
        <v>1880</v>
      </c>
      <c r="C15439" s="4" t="str">
        <f>HYPERLINK("http://www.uniprot.org/uniprot/M5X2A1","M5X2A1")</f>
        <v>M5X2A1</v>
      </c>
      <c r="D15439" s="2" t="s">
        <v>4031</v>
      </c>
      <c r="E15439" s="3">
        <v>0</v>
      </c>
      <c r="F15439" s="2">
        <v>2585</v>
      </c>
      <c r="G15439" s="2">
        <v>97</v>
      </c>
      <c r="H15439" s="2">
        <v>515</v>
      </c>
      <c r="I15439" s="2">
        <v>253</v>
      </c>
      <c r="J15439" s="2">
        <v>1794</v>
      </c>
      <c r="K15439" s="2">
        <v>1</v>
      </c>
      <c r="L15439" s="2">
        <v>515</v>
      </c>
    </row>
    <row r="15440" spans="1:12" x14ac:dyDescent="0.25">
      <c r="A15440" s="4" t="str">
        <f>HYPERLINK("http://www.rosaceae.org/Prunus/Prunus_persica/p.persica_gdr_reftransV1_0004863","p.persica_gdr_reftransV1_0004863")</f>
        <v>p.persica_gdr_reftransV1_0004863</v>
      </c>
      <c r="B15440" s="2">
        <v>1951</v>
      </c>
      <c r="C15440" s="4" t="str">
        <f>HYPERLINK("http://www.uniprot.org/uniprot/M5XSQ5","M5XSQ5")</f>
        <v>M5XSQ5</v>
      </c>
      <c r="D15440" s="2" t="s">
        <v>12393</v>
      </c>
      <c r="E15440" s="3">
        <v>0</v>
      </c>
      <c r="F15440" s="2">
        <v>1701</v>
      </c>
      <c r="G15440" s="2">
        <v>100</v>
      </c>
      <c r="H15440" s="2">
        <v>363</v>
      </c>
      <c r="I15440" s="2">
        <v>551</v>
      </c>
      <c r="J15440" s="2">
        <v>1639</v>
      </c>
      <c r="K15440" s="2">
        <v>30</v>
      </c>
      <c r="L15440" s="2">
        <v>392</v>
      </c>
    </row>
    <row r="15441" spans="1:12" x14ac:dyDescent="0.25">
      <c r="A15441" s="4" t="str">
        <f>HYPERLINK("http://www.rosaceae.org/Prunus/Prunus_persica/p.persica_gdr_reftransV1_0005213","p.persica_gdr_reftransV1_0005213")</f>
        <v>p.persica_gdr_reftransV1_0005213</v>
      </c>
      <c r="B15441" s="2">
        <v>490</v>
      </c>
      <c r="C15441" s="4" t="str">
        <f>HYPERLINK("http://www.uniprot.org/uniprot/M5X777","M5X777")</f>
        <v>M5X777</v>
      </c>
      <c r="D15441" s="2" t="s">
        <v>12394</v>
      </c>
      <c r="E15441" s="3">
        <v>1.1500000000000001E-23</v>
      </c>
      <c r="F15441" s="2">
        <v>249</v>
      </c>
      <c r="G15441" s="2">
        <v>98</v>
      </c>
      <c r="H15441" s="2">
        <v>56</v>
      </c>
      <c r="I15441" s="2">
        <v>1</v>
      </c>
      <c r="J15441" s="2">
        <v>168</v>
      </c>
      <c r="K15441" s="2">
        <v>65</v>
      </c>
      <c r="L15441" s="2">
        <v>120</v>
      </c>
    </row>
    <row r="15442" spans="1:12" x14ac:dyDescent="0.25">
      <c r="A15442" s="4" t="str">
        <f>HYPERLINK("http://www.rosaceae.org/Prunus/Prunus_persica/p.persica_gdr_reftransV1_0005563","p.persica_gdr_reftransV1_0005563")</f>
        <v>p.persica_gdr_reftransV1_0005563</v>
      </c>
      <c r="B15442" s="2">
        <v>519</v>
      </c>
      <c r="C15442" s="4" t="str">
        <f>HYPERLINK("http://www.uniprot.org/uniprot/M5VU95","M5VU95")</f>
        <v>M5VU95</v>
      </c>
      <c r="D15442" s="2" t="s">
        <v>9072</v>
      </c>
      <c r="E15442" s="3">
        <v>5.6800000000000001E-119</v>
      </c>
      <c r="F15442" s="2">
        <v>913</v>
      </c>
      <c r="G15442" s="2">
        <v>100</v>
      </c>
      <c r="H15442" s="2">
        <v>172</v>
      </c>
      <c r="I15442" s="2">
        <v>2</v>
      </c>
      <c r="J15442" s="2">
        <v>517</v>
      </c>
      <c r="K15442" s="2">
        <v>5</v>
      </c>
      <c r="L15442" s="2">
        <v>176</v>
      </c>
    </row>
    <row r="15443" spans="1:12" x14ac:dyDescent="0.25">
      <c r="A15443" s="4" t="str">
        <f>HYPERLINK("http://www.rosaceae.org/Prunus/Prunus_persica/p.persica_gdr_reftransV1_0006613","p.persica_gdr_reftransV1_0006613")</f>
        <v>p.persica_gdr_reftransV1_0006613</v>
      </c>
      <c r="B15443" s="2">
        <v>4093</v>
      </c>
      <c r="C15443" s="4" t="str">
        <f>HYPERLINK("http://www.uniprot.org/uniprot/M5X136","M5X136")</f>
        <v>M5X136</v>
      </c>
      <c r="D15443" s="2" t="s">
        <v>12395</v>
      </c>
      <c r="E15443" s="3">
        <v>1.5799999999999999E-177</v>
      </c>
      <c r="F15443" s="2">
        <v>1407</v>
      </c>
      <c r="G15443" s="2">
        <v>86</v>
      </c>
      <c r="H15443" s="2">
        <v>355</v>
      </c>
      <c r="I15443" s="2">
        <v>394</v>
      </c>
      <c r="J15443" s="2">
        <v>1458</v>
      </c>
      <c r="K15443" s="2">
        <v>1</v>
      </c>
      <c r="L15443" s="2">
        <v>306</v>
      </c>
    </row>
    <row r="15444" spans="1:12" x14ac:dyDescent="0.25">
      <c r="A15444" s="4" t="str">
        <f>HYPERLINK("http://www.rosaceae.org/Prunus/Prunus_persica/p.persica_gdr_reftransV1_0006963","p.persica_gdr_reftransV1_0006963")</f>
        <v>p.persica_gdr_reftransV1_0006963</v>
      </c>
      <c r="B15444" s="2">
        <v>725</v>
      </c>
      <c r="C15444" s="4" t="str">
        <f>HYPERLINK("http://www.uniprot.org/uniprot/M5XK10","M5XK10")</f>
        <v>M5XK10</v>
      </c>
      <c r="D15444" s="2" t="s">
        <v>12396</v>
      </c>
      <c r="E15444" s="3">
        <v>1.5000000000000001E-114</v>
      </c>
      <c r="F15444" s="2">
        <v>895</v>
      </c>
      <c r="G15444" s="2">
        <v>100</v>
      </c>
      <c r="H15444" s="2">
        <v>209</v>
      </c>
      <c r="I15444" s="2">
        <v>2</v>
      </c>
      <c r="J15444" s="2">
        <v>628</v>
      </c>
      <c r="K15444" s="2">
        <v>274</v>
      </c>
      <c r="L15444" s="2">
        <v>482</v>
      </c>
    </row>
    <row r="15445" spans="1:12" x14ac:dyDescent="0.25">
      <c r="A15445" s="4" t="str">
        <f>HYPERLINK("http://www.rosaceae.org/Prunus/Prunus_persica/p.persica_gdr_reftransV1_0007313","p.persica_gdr_reftransV1_0007313")</f>
        <v>p.persica_gdr_reftransV1_0007313</v>
      </c>
      <c r="B15445" s="2">
        <v>2858</v>
      </c>
      <c r="C15445" s="4" t="str">
        <f>HYPERLINK("http://www.uniprot.org/uniprot/A5ALJ4","A5ALJ4")</f>
        <v>A5ALJ4</v>
      </c>
      <c r="D15445" s="2" t="s">
        <v>8908</v>
      </c>
      <c r="E15445" s="3">
        <v>0</v>
      </c>
      <c r="F15445" s="2">
        <v>1855</v>
      </c>
      <c r="G15445" s="2">
        <v>50</v>
      </c>
      <c r="H15445" s="2">
        <v>880</v>
      </c>
      <c r="I15445" s="2">
        <v>2</v>
      </c>
      <c r="J15445" s="2">
        <v>2527</v>
      </c>
      <c r="K15445" s="2">
        <v>123</v>
      </c>
      <c r="L15445" s="2">
        <v>990</v>
      </c>
    </row>
    <row r="15446" spans="1:12" x14ac:dyDescent="0.25">
      <c r="A15446" s="4" t="str">
        <f>HYPERLINK("http://www.rosaceae.org/Prunus/Prunus_persica/p.persica_gdr_reftransV1_0008013","p.persica_gdr_reftransV1_0008013")</f>
        <v>p.persica_gdr_reftransV1_0008013</v>
      </c>
      <c r="B15446" s="2">
        <v>1982</v>
      </c>
      <c r="C15446" s="4" t="str">
        <f>HYPERLINK("http://www.uniprot.org/uniprot/M5WAS8","M5WAS8")</f>
        <v>M5WAS8</v>
      </c>
      <c r="D15446" s="2" t="s">
        <v>11924</v>
      </c>
      <c r="E15446" s="3">
        <v>0</v>
      </c>
      <c r="F15446" s="2">
        <v>1996</v>
      </c>
      <c r="G15446" s="2">
        <v>100</v>
      </c>
      <c r="H15446" s="2">
        <v>461</v>
      </c>
      <c r="I15446" s="2">
        <v>464</v>
      </c>
      <c r="J15446" s="2">
        <v>1846</v>
      </c>
      <c r="K15446" s="2">
        <v>1</v>
      </c>
      <c r="L15446" s="2">
        <v>461</v>
      </c>
    </row>
    <row r="15447" spans="1:12" x14ac:dyDescent="0.25">
      <c r="A15447" s="4" t="str">
        <f>HYPERLINK("http://www.rosaceae.org/Prunus/Prunus_persica/p.persica_gdr_reftransV1_0008363","p.persica_gdr_reftransV1_0008363")</f>
        <v>p.persica_gdr_reftransV1_0008363</v>
      </c>
      <c r="B15447" s="2">
        <v>1851</v>
      </c>
      <c r="C15447" s="4" t="str">
        <f>HYPERLINK("http://www.uniprot.org/uniprot/M5X0R8","M5X0R8")</f>
        <v>M5X0R8</v>
      </c>
      <c r="D15447" s="2" t="s">
        <v>12397</v>
      </c>
      <c r="E15447" s="3">
        <v>0</v>
      </c>
      <c r="F15447" s="2">
        <v>2578</v>
      </c>
      <c r="G15447" s="2">
        <v>100</v>
      </c>
      <c r="H15447" s="2">
        <v>480</v>
      </c>
      <c r="I15447" s="2">
        <v>147</v>
      </c>
      <c r="J15447" s="2">
        <v>1586</v>
      </c>
      <c r="K15447" s="2">
        <v>1</v>
      </c>
      <c r="L15447" s="2">
        <v>480</v>
      </c>
    </row>
    <row r="15448" spans="1:12" x14ac:dyDescent="0.25">
      <c r="A15448" s="4" t="str">
        <f>HYPERLINK("http://www.rosaceae.org/Prunus/Prunus_persica/p.persica_gdr_reftransV1_0008713","p.persica_gdr_reftransV1_0008713")</f>
        <v>p.persica_gdr_reftransV1_0008713</v>
      </c>
      <c r="B15448" s="2">
        <v>1501</v>
      </c>
      <c r="C15448" s="4" t="str">
        <f>HYPERLINK("http://www.uniprot.org/uniprot/M5VVZ3","M5VVZ3")</f>
        <v>M5VVZ3</v>
      </c>
      <c r="D15448" s="2" t="s">
        <v>12398</v>
      </c>
      <c r="E15448" s="3">
        <v>0</v>
      </c>
      <c r="F15448" s="2">
        <v>2406</v>
      </c>
      <c r="G15448" s="2">
        <v>100</v>
      </c>
      <c r="H15448" s="2">
        <v>446</v>
      </c>
      <c r="I15448" s="2">
        <v>98</v>
      </c>
      <c r="J15448" s="2">
        <v>1435</v>
      </c>
      <c r="K15448" s="2">
        <v>1</v>
      </c>
      <c r="L15448" s="2">
        <v>446</v>
      </c>
    </row>
    <row r="15449" spans="1:12" x14ac:dyDescent="0.25">
      <c r="A15449" s="4" t="str">
        <f>HYPERLINK("http://www.rosaceae.org/Prunus/Prunus_persica/p.persica_gdr_reftransV1_0009063","p.persica_gdr_reftransV1_0009063")</f>
        <v>p.persica_gdr_reftransV1_0009063</v>
      </c>
      <c r="B15449" s="2">
        <v>5878</v>
      </c>
      <c r="C15449" s="4" t="str">
        <f>HYPERLINK("http://www.uniprot.org/uniprot/M5VR71","M5VR71")</f>
        <v>M5VR71</v>
      </c>
      <c r="D15449" s="2" t="s">
        <v>12399</v>
      </c>
      <c r="E15449" s="3">
        <v>3.2599999999999997E-123</v>
      </c>
      <c r="F15449" s="2">
        <v>1031</v>
      </c>
      <c r="G15449" s="2">
        <v>100</v>
      </c>
      <c r="H15449" s="2">
        <v>219</v>
      </c>
      <c r="I15449" s="2">
        <v>2703</v>
      </c>
      <c r="J15449" s="2">
        <v>3359</v>
      </c>
      <c r="K15449" s="2">
        <v>84</v>
      </c>
      <c r="L15449" s="2">
        <v>302</v>
      </c>
    </row>
    <row r="15450" spans="1:12" x14ac:dyDescent="0.25">
      <c r="A15450" s="4" t="str">
        <f>HYPERLINK("http://www.rosaceae.org/Prunus/Prunus_persica/p.persica_gdr_reftransV1_0009413","p.persica_gdr_reftransV1_0009413")</f>
        <v>p.persica_gdr_reftransV1_0009413</v>
      </c>
      <c r="B15450" s="2">
        <v>1433</v>
      </c>
      <c r="C15450" s="4" t="str">
        <f>HYPERLINK("http://www.uniprot.org/uniprot/M5XD20","M5XD20")</f>
        <v>M5XD20</v>
      </c>
      <c r="D15450" s="2" t="s">
        <v>12400</v>
      </c>
      <c r="E15450" s="3">
        <v>1.2200000000000001E-146</v>
      </c>
      <c r="F15450" s="2">
        <v>1108</v>
      </c>
      <c r="G15450" s="2">
        <v>100</v>
      </c>
      <c r="H15450" s="2">
        <v>241</v>
      </c>
      <c r="I15450" s="2">
        <v>225</v>
      </c>
      <c r="J15450" s="2">
        <v>947</v>
      </c>
      <c r="K15450" s="2">
        <v>1</v>
      </c>
      <c r="L15450" s="2">
        <v>241</v>
      </c>
    </row>
    <row r="15451" spans="1:12" x14ac:dyDescent="0.25">
      <c r="A15451" s="4" t="str">
        <f>HYPERLINK("http://www.rosaceae.org/Prunus/Prunus_persica/p.persica_gdr_reftransV1_0010113","p.persica_gdr_reftransV1_0010113")</f>
        <v>p.persica_gdr_reftransV1_0010113</v>
      </c>
      <c r="B15451" s="2">
        <v>1773</v>
      </c>
      <c r="C15451" s="4" t="str">
        <f>HYPERLINK("http://www.uniprot.org/uniprot/M5WL86","M5WL86")</f>
        <v>M5WL86</v>
      </c>
      <c r="D15451" s="2" t="s">
        <v>12401</v>
      </c>
      <c r="E15451" s="3">
        <v>0</v>
      </c>
      <c r="F15451" s="2">
        <v>2242</v>
      </c>
      <c r="G15451" s="2">
        <v>100</v>
      </c>
      <c r="H15451" s="2">
        <v>456</v>
      </c>
      <c r="I15451" s="2">
        <v>284</v>
      </c>
      <c r="J15451" s="2">
        <v>1651</v>
      </c>
      <c r="K15451" s="2">
        <v>1</v>
      </c>
      <c r="L15451" s="2">
        <v>456</v>
      </c>
    </row>
    <row r="15452" spans="1:12" x14ac:dyDescent="0.25">
      <c r="A15452" s="4" t="str">
        <f>HYPERLINK("http://www.rosaceae.org/Prunus/Prunus_persica/p.persica_gdr_reftransV1_0010463","p.persica_gdr_reftransV1_0010463")</f>
        <v>p.persica_gdr_reftransV1_0010463</v>
      </c>
      <c r="B15452" s="2">
        <v>1777</v>
      </c>
      <c r="C15452" s="4" t="str">
        <f>HYPERLINK("http://www.uniprot.org/uniprot/M5XSK4","M5XSK4")</f>
        <v>M5XSK4</v>
      </c>
      <c r="D15452" s="2" t="s">
        <v>7580</v>
      </c>
      <c r="E15452" s="3">
        <v>0</v>
      </c>
      <c r="F15452" s="2">
        <v>1388</v>
      </c>
      <c r="G15452" s="2">
        <v>100</v>
      </c>
      <c r="H15452" s="2">
        <v>312</v>
      </c>
      <c r="I15452" s="2">
        <v>670</v>
      </c>
      <c r="J15452" s="2">
        <v>1605</v>
      </c>
      <c r="K15452" s="2">
        <v>1</v>
      </c>
      <c r="L15452" s="2">
        <v>312</v>
      </c>
    </row>
    <row r="15453" spans="1:12" x14ac:dyDescent="0.25">
      <c r="A15453" s="4" t="str">
        <f>HYPERLINK("http://www.rosaceae.org/Prunus/Prunus_persica/p.persica_gdr_reftransV1_0010813","p.persica_gdr_reftransV1_0010813")</f>
        <v>p.persica_gdr_reftransV1_0010813</v>
      </c>
      <c r="B15453" s="2">
        <v>1594</v>
      </c>
      <c r="C15453" s="4" t="str">
        <f>HYPERLINK("http://www.uniprot.org/uniprot/M5VP94","M5VP94")</f>
        <v>M5VP94</v>
      </c>
      <c r="D15453" s="2" t="s">
        <v>12402</v>
      </c>
      <c r="E15453" s="3">
        <v>0</v>
      </c>
      <c r="F15453" s="2">
        <v>2016</v>
      </c>
      <c r="G15453" s="2">
        <v>100</v>
      </c>
      <c r="H15453" s="2">
        <v>401</v>
      </c>
      <c r="I15453" s="2">
        <v>109</v>
      </c>
      <c r="J15453" s="2">
        <v>1311</v>
      </c>
      <c r="K15453" s="2">
        <v>13</v>
      </c>
      <c r="L15453" s="2">
        <v>413</v>
      </c>
    </row>
    <row r="15454" spans="1:12" x14ac:dyDescent="0.25">
      <c r="A15454" s="4" t="str">
        <f>HYPERLINK("http://www.rosaceae.org/Prunus/Prunus_persica/p.persica_gdr_reftransV1_0011163","p.persica_gdr_reftransV1_0011163")</f>
        <v>p.persica_gdr_reftransV1_0011163</v>
      </c>
      <c r="B15454" s="2">
        <v>2974</v>
      </c>
      <c r="C15454" s="4" t="str">
        <f>HYPERLINK("http://www.uniprot.org/uniprot/M5WUE9","M5WUE9")</f>
        <v>M5WUE9</v>
      </c>
      <c r="D15454" s="2" t="s">
        <v>6834</v>
      </c>
      <c r="E15454" s="3">
        <v>0</v>
      </c>
      <c r="F15454" s="2">
        <v>3891</v>
      </c>
      <c r="G15454" s="2">
        <v>96</v>
      </c>
      <c r="H15454" s="2">
        <v>844</v>
      </c>
      <c r="I15454" s="2">
        <v>125</v>
      </c>
      <c r="J15454" s="2">
        <v>2656</v>
      </c>
      <c r="K15454" s="2">
        <v>1</v>
      </c>
      <c r="L15454" s="2">
        <v>809</v>
      </c>
    </row>
    <row r="15455" spans="1:12" x14ac:dyDescent="0.25">
      <c r="A15455" s="4" t="str">
        <f>HYPERLINK("http://www.rosaceae.org/Prunus/Prunus_persica/p.persica_gdr_reftransV1_0011513","p.persica_gdr_reftransV1_0011513")</f>
        <v>p.persica_gdr_reftransV1_0011513</v>
      </c>
      <c r="B15455" s="2">
        <v>1542</v>
      </c>
      <c r="C15455" s="4" t="str">
        <f>HYPERLINK("http://www.uniprot.org/uniprot/M1PYJ3","M1PYJ3")</f>
        <v>M1PYJ3</v>
      </c>
      <c r="D15455" s="2" t="s">
        <v>12403</v>
      </c>
      <c r="E15455" s="3">
        <v>0</v>
      </c>
      <c r="F15455" s="2">
        <v>1546</v>
      </c>
      <c r="G15455" s="2">
        <v>100</v>
      </c>
      <c r="H15455" s="2">
        <v>325</v>
      </c>
      <c r="I15455" s="2">
        <v>329</v>
      </c>
      <c r="J15455" s="2">
        <v>1303</v>
      </c>
      <c r="K15455" s="2">
        <v>1</v>
      </c>
      <c r="L15455" s="2">
        <v>325</v>
      </c>
    </row>
    <row r="15456" spans="1:12" x14ac:dyDescent="0.25">
      <c r="A15456" s="4" t="str">
        <f>HYPERLINK("http://www.rosaceae.org/Prunus/Prunus_persica/p.persica_gdr_reftransV1_0013963","p.persica_gdr_reftransV1_0013963")</f>
        <v>p.persica_gdr_reftransV1_0013963</v>
      </c>
      <c r="B15456" s="2">
        <v>3260</v>
      </c>
      <c r="C15456" s="4" t="str">
        <f>HYPERLINK("http://www.uniprot.org/uniprot/M5XHB8","M5XHB8")</f>
        <v>M5XHB8</v>
      </c>
      <c r="D15456" s="2" t="s">
        <v>12404</v>
      </c>
      <c r="E15456" s="3">
        <v>1.0100000000000001E-37</v>
      </c>
      <c r="F15456" s="2">
        <v>387</v>
      </c>
      <c r="G15456" s="2">
        <v>97</v>
      </c>
      <c r="H15456" s="2">
        <v>108</v>
      </c>
      <c r="I15456" s="2">
        <v>2</v>
      </c>
      <c r="J15456" s="2">
        <v>322</v>
      </c>
      <c r="K15456" s="2">
        <v>113</v>
      </c>
      <c r="L15456" s="2">
        <v>220</v>
      </c>
    </row>
    <row r="15457" spans="1:12" x14ac:dyDescent="0.25">
      <c r="A15457" s="4" t="str">
        <f>HYPERLINK("http://www.rosaceae.org/Prunus/Prunus_persica/p.persica_gdr_reftransV1_0015713","p.persica_gdr_reftransV1_0015713")</f>
        <v>p.persica_gdr_reftransV1_0015713</v>
      </c>
      <c r="B15457" s="2">
        <v>1181</v>
      </c>
      <c r="C15457" s="4" t="str">
        <f>HYPERLINK("http://www.uniprot.org/uniprot/M5W9K5","M5W9K5")</f>
        <v>M5W9K5</v>
      </c>
      <c r="D15457" s="2" t="s">
        <v>12405</v>
      </c>
      <c r="E15457" s="3">
        <v>2.98E-103</v>
      </c>
      <c r="F15457" s="2">
        <v>805</v>
      </c>
      <c r="G15457" s="2">
        <v>100</v>
      </c>
      <c r="H15457" s="2">
        <v>175</v>
      </c>
      <c r="I15457" s="2">
        <v>380</v>
      </c>
      <c r="J15457" s="2">
        <v>904</v>
      </c>
      <c r="K15457" s="2">
        <v>1</v>
      </c>
      <c r="L15457" s="2">
        <v>175</v>
      </c>
    </row>
    <row r="15458" spans="1:12" x14ac:dyDescent="0.25">
      <c r="A15458" s="4" t="str">
        <f>HYPERLINK("http://www.rosaceae.org/Prunus/Prunus_persica/p.persica_gdr_reftransV1_0016413","p.persica_gdr_reftransV1_0016413")</f>
        <v>p.persica_gdr_reftransV1_0016413</v>
      </c>
      <c r="B15458" s="2">
        <v>4294</v>
      </c>
      <c r="C15458" s="4" t="str">
        <f>HYPERLINK("http://www.uniprot.org/uniprot/M5VGU4","M5VGU4")</f>
        <v>M5VGU4</v>
      </c>
      <c r="D15458" s="2" t="s">
        <v>3931</v>
      </c>
      <c r="E15458" s="3">
        <v>0</v>
      </c>
      <c r="F15458" s="2">
        <v>3004</v>
      </c>
      <c r="G15458" s="2">
        <v>98</v>
      </c>
      <c r="H15458" s="2">
        <v>585</v>
      </c>
      <c r="I15458" s="2">
        <v>2435</v>
      </c>
      <c r="J15458" s="2">
        <v>4189</v>
      </c>
      <c r="K15458" s="2">
        <v>180</v>
      </c>
      <c r="L15458" s="2">
        <v>760</v>
      </c>
    </row>
    <row r="15459" spans="1:12" x14ac:dyDescent="0.25">
      <c r="A15459" s="4" t="str">
        <f>HYPERLINK("http://www.rosaceae.org/Prunus/Prunus_persica/p.persica_gdr_reftransV1_0017113","p.persica_gdr_reftransV1_0017113")</f>
        <v>p.persica_gdr_reftransV1_0017113</v>
      </c>
      <c r="B15459" s="2">
        <v>4120</v>
      </c>
      <c r="C15459" s="4" t="str">
        <f>HYPERLINK("http://www.uniprot.org/uniprot/M5X7L4","M5X7L4")</f>
        <v>M5X7L4</v>
      </c>
      <c r="D15459" s="2" t="s">
        <v>12406</v>
      </c>
      <c r="E15459" s="3">
        <v>0</v>
      </c>
      <c r="F15459" s="2">
        <v>2472</v>
      </c>
      <c r="G15459" s="2">
        <v>100</v>
      </c>
      <c r="H15459" s="2">
        <v>492</v>
      </c>
      <c r="I15459" s="2">
        <v>261</v>
      </c>
      <c r="J15459" s="2">
        <v>1736</v>
      </c>
      <c r="K15459" s="2">
        <v>376</v>
      </c>
      <c r="L15459" s="2">
        <v>867</v>
      </c>
    </row>
    <row r="15460" spans="1:12" x14ac:dyDescent="0.25">
      <c r="A15460" s="4" t="str">
        <f>HYPERLINK("http://www.rosaceae.org/Prunus/Prunus_persica/p.persica_gdr_reftransV1_0017813","p.persica_gdr_reftransV1_0017813")</f>
        <v>p.persica_gdr_reftransV1_0017813</v>
      </c>
      <c r="B15460" s="2">
        <v>1616</v>
      </c>
      <c r="C15460" s="4" t="str">
        <f>HYPERLINK("http://www.uniprot.org/uniprot/M5WGQ6","M5WGQ6")</f>
        <v>M5WGQ6</v>
      </c>
      <c r="D15460" s="2" t="s">
        <v>12407</v>
      </c>
      <c r="E15460" s="3">
        <v>0</v>
      </c>
      <c r="F15460" s="2">
        <v>1488</v>
      </c>
      <c r="G15460" s="2">
        <v>94</v>
      </c>
      <c r="H15460" s="2">
        <v>302</v>
      </c>
      <c r="I15460" s="2">
        <v>550</v>
      </c>
      <c r="J15460" s="2">
        <v>1455</v>
      </c>
      <c r="K15460" s="2">
        <v>1</v>
      </c>
      <c r="L15460" s="2">
        <v>283</v>
      </c>
    </row>
    <row r="15461" spans="1:12" x14ac:dyDescent="0.25">
      <c r="A15461" s="4" t="str">
        <f>HYPERLINK("http://www.rosaceae.org/Prunus/Prunus_persica/p.persica_gdr_reftransV1_0018163","p.persica_gdr_reftransV1_0018163")</f>
        <v>p.persica_gdr_reftransV1_0018163</v>
      </c>
      <c r="B15461" s="2">
        <v>3092</v>
      </c>
      <c r="C15461" s="4" t="str">
        <f>HYPERLINK("http://www.uniprot.org/uniprot/B3Y023","B3Y023")</f>
        <v>B3Y023</v>
      </c>
      <c r="D15461" s="2" t="s">
        <v>12408</v>
      </c>
      <c r="E15461" s="3">
        <v>0</v>
      </c>
      <c r="F15461" s="2">
        <v>3531</v>
      </c>
      <c r="G15461" s="2">
        <v>100</v>
      </c>
      <c r="H15461" s="2">
        <v>725</v>
      </c>
      <c r="I15461" s="2">
        <v>462</v>
      </c>
      <c r="J15461" s="2">
        <v>2636</v>
      </c>
      <c r="K15461" s="2">
        <v>1</v>
      </c>
      <c r="L15461" s="2">
        <v>725</v>
      </c>
    </row>
    <row r="15462" spans="1:12" x14ac:dyDescent="0.25">
      <c r="A15462" s="4" t="str">
        <f>HYPERLINK("http://www.rosaceae.org/Prunus/Prunus_persica/p.persica_gdr_reftransV1_0018513","p.persica_gdr_reftransV1_0018513")</f>
        <v>p.persica_gdr_reftransV1_0018513</v>
      </c>
      <c r="B15462" s="2">
        <v>1532</v>
      </c>
      <c r="C15462" s="4" t="str">
        <f>HYPERLINK("http://www.uniprot.org/uniprot/M5WUG2","M5WUG2")</f>
        <v>M5WUG2</v>
      </c>
      <c r="D15462" s="2" t="s">
        <v>12409</v>
      </c>
      <c r="E15462" s="3">
        <v>0</v>
      </c>
      <c r="F15462" s="2">
        <v>1444</v>
      </c>
      <c r="G15462" s="2">
        <v>100</v>
      </c>
      <c r="H15462" s="2">
        <v>274</v>
      </c>
      <c r="I15462" s="2">
        <v>287</v>
      </c>
      <c r="J15462" s="2">
        <v>1108</v>
      </c>
      <c r="K15462" s="2">
        <v>18</v>
      </c>
      <c r="L15462" s="2">
        <v>291</v>
      </c>
    </row>
    <row r="15463" spans="1:12" x14ac:dyDescent="0.25">
      <c r="A15463" s="4" t="str">
        <f>HYPERLINK("http://www.rosaceae.org/Prunus/Prunus_persica/p.persica_gdr_reftransV1_0018863","p.persica_gdr_reftransV1_0018863")</f>
        <v>p.persica_gdr_reftransV1_0018863</v>
      </c>
      <c r="B15463" s="2">
        <v>3086</v>
      </c>
      <c r="C15463" s="4" t="str">
        <f>HYPERLINK("http://www.uniprot.org/uniprot/M5XB64","M5XB64")</f>
        <v>M5XB64</v>
      </c>
      <c r="D15463" s="2" t="s">
        <v>12410</v>
      </c>
      <c r="E15463" s="3">
        <v>0</v>
      </c>
      <c r="F15463" s="2">
        <v>2148</v>
      </c>
      <c r="G15463" s="2">
        <v>91</v>
      </c>
      <c r="H15463" s="2">
        <v>538</v>
      </c>
      <c r="I15463" s="2">
        <v>1213</v>
      </c>
      <c r="J15463" s="2">
        <v>2826</v>
      </c>
      <c r="K15463" s="2">
        <v>1</v>
      </c>
      <c r="L15463" s="2">
        <v>493</v>
      </c>
    </row>
    <row r="15464" spans="1:12" x14ac:dyDescent="0.25">
      <c r="A15464" s="4" t="str">
        <f>HYPERLINK("http://www.rosaceae.org/Prunus/Prunus_persica/p.persica_gdr_reftransV1_0019913","p.persica_gdr_reftransV1_0019913")</f>
        <v>p.persica_gdr_reftransV1_0019913</v>
      </c>
      <c r="B15464" s="2">
        <v>777</v>
      </c>
      <c r="C15464" s="4" t="str">
        <f>HYPERLINK("http://www.uniprot.org/uniprot/M5X609","M5X609")</f>
        <v>M5X609</v>
      </c>
      <c r="D15464" s="2" t="s">
        <v>8739</v>
      </c>
      <c r="E15464" s="3">
        <v>1.79E-116</v>
      </c>
      <c r="F15464" s="2">
        <v>951</v>
      </c>
      <c r="G15464" s="2">
        <v>83</v>
      </c>
      <c r="H15464" s="2">
        <v>238</v>
      </c>
      <c r="I15464" s="2">
        <v>62</v>
      </c>
      <c r="J15464" s="2">
        <v>775</v>
      </c>
      <c r="K15464" s="2">
        <v>727</v>
      </c>
      <c r="L15464" s="2">
        <v>925</v>
      </c>
    </row>
    <row r="15465" spans="1:12" x14ac:dyDescent="0.25">
      <c r="A15465" s="4" t="str">
        <f>HYPERLINK("http://www.rosaceae.org/Prunus/Prunus_persica/p.persica_gdr_reftransV1_0020263","p.persica_gdr_reftransV1_0020263")</f>
        <v>p.persica_gdr_reftransV1_0020263</v>
      </c>
      <c r="B15465" s="2">
        <v>1392</v>
      </c>
      <c r="C15465" s="4" t="str">
        <f>HYPERLINK("http://www.uniprot.org/uniprot/M5XCZ3","M5XCZ3")</f>
        <v>M5XCZ3</v>
      </c>
      <c r="D15465" s="2" t="s">
        <v>12411</v>
      </c>
      <c r="E15465" s="3">
        <v>0</v>
      </c>
      <c r="F15465" s="2">
        <v>1523</v>
      </c>
      <c r="G15465" s="2">
        <v>76</v>
      </c>
      <c r="H15465" s="2">
        <v>435</v>
      </c>
      <c r="I15465" s="2">
        <v>179</v>
      </c>
      <c r="J15465" s="2">
        <v>1273</v>
      </c>
      <c r="K15465" s="2">
        <v>4</v>
      </c>
      <c r="L15465" s="2">
        <v>405</v>
      </c>
    </row>
    <row r="15466" spans="1:12" x14ac:dyDescent="0.25">
      <c r="A15466" s="4" t="str">
        <f>HYPERLINK("http://www.rosaceae.org/Prunus/Prunus_persica/p.persica_gdr_reftransV1_0020613","p.persica_gdr_reftransV1_0020613")</f>
        <v>p.persica_gdr_reftransV1_0020613</v>
      </c>
      <c r="B15466" s="2">
        <v>2001</v>
      </c>
      <c r="C15466" s="4" t="str">
        <f>HYPERLINK("http://www.uniprot.org/uniprot/V4UAE0","V4UAE0")</f>
        <v>V4UAE0</v>
      </c>
      <c r="D15466" s="2" t="s">
        <v>12412</v>
      </c>
      <c r="E15466" s="3">
        <v>0</v>
      </c>
      <c r="F15466" s="2">
        <v>1669</v>
      </c>
      <c r="G15466" s="2">
        <v>79</v>
      </c>
      <c r="H15466" s="2">
        <v>409</v>
      </c>
      <c r="I15466" s="2">
        <v>519</v>
      </c>
      <c r="J15466" s="2">
        <v>1736</v>
      </c>
      <c r="K15466" s="2">
        <v>53</v>
      </c>
      <c r="L15466" s="2">
        <v>461</v>
      </c>
    </row>
    <row r="15467" spans="1:12" x14ac:dyDescent="0.25">
      <c r="A15467" s="4" t="str">
        <f>HYPERLINK("http://www.rosaceae.org/Prunus/Prunus_persica/p.persica_gdr_reftransV1_0023063","p.persica_gdr_reftransV1_0023063")</f>
        <v>p.persica_gdr_reftransV1_0023063</v>
      </c>
      <c r="B15467" s="2">
        <v>1554</v>
      </c>
      <c r="C15467" s="4" t="str">
        <f>HYPERLINK("http://www.uniprot.org/uniprot/M5WC00","M5WC00")</f>
        <v>M5WC00</v>
      </c>
      <c r="D15467" s="2" t="s">
        <v>12413</v>
      </c>
      <c r="E15467" s="3">
        <v>0</v>
      </c>
      <c r="F15467" s="2">
        <v>1506</v>
      </c>
      <c r="G15467" s="2">
        <v>99</v>
      </c>
      <c r="H15467" s="2">
        <v>287</v>
      </c>
      <c r="I15467" s="2">
        <v>212</v>
      </c>
      <c r="J15467" s="2">
        <v>1072</v>
      </c>
      <c r="K15467" s="2">
        <v>1</v>
      </c>
      <c r="L15467" s="2">
        <v>287</v>
      </c>
    </row>
    <row r="15468" spans="1:12" x14ac:dyDescent="0.25">
      <c r="A15468" s="4" t="str">
        <f>HYPERLINK("http://www.rosaceae.org/Prunus/Prunus_persica/p.persica_gdr_reftransV1_0023413","p.persica_gdr_reftransV1_0023413")</f>
        <v>p.persica_gdr_reftransV1_0023413</v>
      </c>
      <c r="B15468" s="2">
        <v>861</v>
      </c>
      <c r="C15468" s="4" t="str">
        <f>HYPERLINK("http://www.uniprot.org/uniprot/M5VKF2","M5VKF2")</f>
        <v>M5VKF2</v>
      </c>
      <c r="D15468" s="2" t="s">
        <v>8448</v>
      </c>
      <c r="E15468" s="3">
        <v>3.5000000000000002E-13</v>
      </c>
      <c r="F15468" s="2">
        <v>183</v>
      </c>
      <c r="G15468" s="2">
        <v>46</v>
      </c>
      <c r="H15468" s="2">
        <v>158</v>
      </c>
      <c r="I15468" s="2">
        <v>373</v>
      </c>
      <c r="J15468" s="2">
        <v>831</v>
      </c>
      <c r="K15468" s="2">
        <v>15</v>
      </c>
      <c r="L15468" s="2">
        <v>165</v>
      </c>
    </row>
    <row r="15469" spans="1:12" x14ac:dyDescent="0.25">
      <c r="A15469" s="4" t="str">
        <f>HYPERLINK("http://www.rosaceae.org/Prunus/Prunus_persica/p.persica_gdr_reftransV1_0024113","p.persica_gdr_reftransV1_0024113")</f>
        <v>p.persica_gdr_reftransV1_0024113</v>
      </c>
      <c r="B15469" s="2">
        <v>1346</v>
      </c>
      <c r="C15469" s="4" t="str">
        <f>HYPERLINK("http://www.uniprot.org/uniprot/M5W0G7","M5W0G7")</f>
        <v>M5W0G7</v>
      </c>
      <c r="D15469" s="2" t="s">
        <v>12414</v>
      </c>
      <c r="E15469" s="3">
        <v>0</v>
      </c>
      <c r="F15469" s="2">
        <v>1337</v>
      </c>
      <c r="G15469" s="2">
        <v>100</v>
      </c>
      <c r="H15469" s="2">
        <v>289</v>
      </c>
      <c r="I15469" s="2">
        <v>116</v>
      </c>
      <c r="J15469" s="2">
        <v>982</v>
      </c>
      <c r="K15469" s="2">
        <v>1</v>
      </c>
      <c r="L15469" s="2">
        <v>289</v>
      </c>
    </row>
    <row r="15470" spans="1:12" x14ac:dyDescent="0.25">
      <c r="A15470" s="4" t="str">
        <f>HYPERLINK("http://www.rosaceae.org/Prunus/Prunus_persica/p.persica_gdr_reftransV1_0024813","p.persica_gdr_reftransV1_0024813")</f>
        <v>p.persica_gdr_reftransV1_0024813</v>
      </c>
      <c r="B15470" s="2">
        <v>2899</v>
      </c>
      <c r="C15470" s="4" t="str">
        <f>HYPERLINK("http://www.uniprot.org/uniprot/M5WGU1","M5WGU1")</f>
        <v>M5WGU1</v>
      </c>
      <c r="D15470" s="2" t="s">
        <v>12415</v>
      </c>
      <c r="E15470" s="3">
        <v>0</v>
      </c>
      <c r="F15470" s="2">
        <v>3072</v>
      </c>
      <c r="G15470" s="2">
        <v>100</v>
      </c>
      <c r="H15470" s="2">
        <v>670</v>
      </c>
      <c r="I15470" s="2">
        <v>407</v>
      </c>
      <c r="J15470" s="2">
        <v>2416</v>
      </c>
      <c r="K15470" s="2">
        <v>1</v>
      </c>
      <c r="L15470" s="2">
        <v>670</v>
      </c>
    </row>
    <row r="15471" spans="1:12" x14ac:dyDescent="0.25">
      <c r="A15471" s="4" t="str">
        <f>HYPERLINK("http://www.rosaceae.org/Prunus/Prunus_persica/p.persica_gdr_reftransV1_0025513","p.persica_gdr_reftransV1_0025513")</f>
        <v>p.persica_gdr_reftransV1_0025513</v>
      </c>
      <c r="B15471" s="2">
        <v>2382</v>
      </c>
      <c r="C15471" s="4" t="str">
        <f>HYPERLINK("http://www.uniprot.org/uniprot/M5WJA4","M5WJA4")</f>
        <v>M5WJA4</v>
      </c>
      <c r="D15471" s="2" t="s">
        <v>12416</v>
      </c>
      <c r="E15471" s="3">
        <v>3.0899999999999998E-161</v>
      </c>
      <c r="F15471" s="2">
        <v>1238</v>
      </c>
      <c r="G15471" s="2">
        <v>100</v>
      </c>
      <c r="H15471" s="2">
        <v>233</v>
      </c>
      <c r="I15471" s="2">
        <v>568</v>
      </c>
      <c r="J15471" s="2">
        <v>1266</v>
      </c>
      <c r="K15471" s="2">
        <v>1</v>
      </c>
      <c r="L15471" s="2">
        <v>233</v>
      </c>
    </row>
    <row r="15472" spans="1:12" x14ac:dyDescent="0.25">
      <c r="A15472" s="4" t="str">
        <f>HYPERLINK("http://www.rosaceae.org/Prunus/Prunus_persica/p.persica_gdr_reftransV1_0026563","p.persica_gdr_reftransV1_0026563")</f>
        <v>p.persica_gdr_reftransV1_0026563</v>
      </c>
      <c r="B15472" s="2">
        <v>1226</v>
      </c>
      <c r="C15472" s="4" t="str">
        <f>HYPERLINK("http://www.uniprot.org/uniprot/M5VIC3","M5VIC3")</f>
        <v>M5VIC3</v>
      </c>
      <c r="D15472" s="2" t="s">
        <v>7451</v>
      </c>
      <c r="E15472" s="3">
        <v>0</v>
      </c>
      <c r="F15472" s="2">
        <v>1800</v>
      </c>
      <c r="G15472" s="2">
        <v>99</v>
      </c>
      <c r="H15472" s="2">
        <v>386</v>
      </c>
      <c r="I15472" s="2">
        <v>69</v>
      </c>
      <c r="J15472" s="2">
        <v>1226</v>
      </c>
      <c r="K15472" s="2">
        <v>1</v>
      </c>
      <c r="L15472" s="2">
        <v>384</v>
      </c>
    </row>
    <row r="15473" spans="1:12" x14ac:dyDescent="0.25">
      <c r="A15473" s="4" t="str">
        <f>HYPERLINK("http://www.rosaceae.org/Prunus/Prunus_persica/p.persica_gdr_reftransV1_0029363","p.persica_gdr_reftransV1_0029363")</f>
        <v>p.persica_gdr_reftransV1_0029363</v>
      </c>
      <c r="B15473" s="2">
        <v>2478</v>
      </c>
      <c r="C15473" s="4" t="str">
        <f>HYPERLINK("http://www.uniprot.org/uniprot/M5WUW9","M5WUW9")</f>
        <v>M5WUW9</v>
      </c>
      <c r="D15473" s="2" t="s">
        <v>12417</v>
      </c>
      <c r="E15473" s="3">
        <v>0</v>
      </c>
      <c r="F15473" s="2">
        <v>2512</v>
      </c>
      <c r="G15473" s="2">
        <v>95</v>
      </c>
      <c r="H15473" s="2">
        <v>547</v>
      </c>
      <c r="I15473" s="2">
        <v>59</v>
      </c>
      <c r="J15473" s="2">
        <v>1699</v>
      </c>
      <c r="K15473" s="2">
        <v>1</v>
      </c>
      <c r="L15473" s="2">
        <v>522</v>
      </c>
    </row>
    <row r="15474" spans="1:12" x14ac:dyDescent="0.25">
      <c r="A15474" s="4" t="str">
        <f>HYPERLINK("http://www.rosaceae.org/Prunus/Prunus_persica/p.persica_gdr_reftransV1_0029713","p.persica_gdr_reftransV1_0029713")</f>
        <v>p.persica_gdr_reftransV1_0029713</v>
      </c>
      <c r="B15474" s="2">
        <v>2458</v>
      </c>
      <c r="C15474" s="4" t="str">
        <f>HYPERLINK("http://www.uniprot.org/uniprot/M5WLV4","M5WLV4")</f>
        <v>M5WLV4</v>
      </c>
      <c r="D15474" s="2" t="s">
        <v>12418</v>
      </c>
      <c r="E15474" s="3">
        <v>0</v>
      </c>
      <c r="F15474" s="2">
        <v>2767</v>
      </c>
      <c r="G15474" s="2">
        <v>100</v>
      </c>
      <c r="H15474" s="2">
        <v>523</v>
      </c>
      <c r="I15474" s="2">
        <v>72</v>
      </c>
      <c r="J15474" s="2">
        <v>1640</v>
      </c>
      <c r="K15474" s="2">
        <v>1</v>
      </c>
      <c r="L15474" s="2">
        <v>523</v>
      </c>
    </row>
    <row r="15475" spans="1:12" x14ac:dyDescent="0.25">
      <c r="A15475" s="4" t="str">
        <f>HYPERLINK("http://www.rosaceae.org/Prunus/Prunus_persica/p.persica_gdr_reftransV1_0030413","p.persica_gdr_reftransV1_0030413")</f>
        <v>p.persica_gdr_reftransV1_0030413</v>
      </c>
      <c r="B15475" s="2">
        <v>2031</v>
      </c>
      <c r="C15475" s="4" t="str">
        <f>HYPERLINK("http://www.uniprot.org/uniprot/M5XGI5","M5XGI5")</f>
        <v>M5XGI5</v>
      </c>
      <c r="D15475" s="2" t="s">
        <v>238</v>
      </c>
      <c r="E15475" s="3">
        <v>4.47E-97</v>
      </c>
      <c r="F15475" s="2">
        <v>818</v>
      </c>
      <c r="G15475" s="2">
        <v>99</v>
      </c>
      <c r="H15475" s="2">
        <v>156</v>
      </c>
      <c r="I15475" s="2">
        <v>465</v>
      </c>
      <c r="J15475" s="2">
        <v>932</v>
      </c>
      <c r="K15475" s="2">
        <v>210</v>
      </c>
      <c r="L15475" s="2">
        <v>365</v>
      </c>
    </row>
    <row r="15476" spans="1:12" x14ac:dyDescent="0.25">
      <c r="A15476" s="4" t="str">
        <f>HYPERLINK("http://www.rosaceae.org/Prunus/Prunus_persica/p.persica_gdr_reftransV1_0030763","p.persica_gdr_reftransV1_0030763")</f>
        <v>p.persica_gdr_reftransV1_0030763</v>
      </c>
      <c r="B15476" s="2">
        <v>1445</v>
      </c>
      <c r="C15476" s="4" t="str">
        <f>HYPERLINK("http://www.uniprot.org/uniprot/M5X239","M5X239")</f>
        <v>M5X239</v>
      </c>
      <c r="D15476" s="2" t="s">
        <v>12419</v>
      </c>
      <c r="E15476" s="3">
        <v>0</v>
      </c>
      <c r="F15476" s="2">
        <v>1388</v>
      </c>
      <c r="G15476" s="2">
        <v>100</v>
      </c>
      <c r="H15476" s="2">
        <v>286</v>
      </c>
      <c r="I15476" s="2">
        <v>299</v>
      </c>
      <c r="J15476" s="2">
        <v>1156</v>
      </c>
      <c r="K15476" s="2">
        <v>1</v>
      </c>
      <c r="L15476" s="2">
        <v>286</v>
      </c>
    </row>
    <row r="15477" spans="1:12" x14ac:dyDescent="0.25">
      <c r="A15477" s="4" t="str">
        <f>HYPERLINK("http://www.rosaceae.org/Prunus/Prunus_persica/p.persica_gdr_reftransV1_0031813","p.persica_gdr_reftransV1_0031813")</f>
        <v>p.persica_gdr_reftransV1_0031813</v>
      </c>
      <c r="B15477" s="2">
        <v>3712</v>
      </c>
      <c r="C15477" s="4" t="str">
        <f>HYPERLINK("http://www.uniprot.org/uniprot/M5XLU6","M5XLU6")</f>
        <v>M5XLU6</v>
      </c>
      <c r="D15477" s="2" t="s">
        <v>12420</v>
      </c>
      <c r="E15477" s="3">
        <v>4.4299999999999999E-109</v>
      </c>
      <c r="F15477" s="2">
        <v>935</v>
      </c>
      <c r="G15477" s="2">
        <v>99</v>
      </c>
      <c r="H15477" s="2">
        <v>177</v>
      </c>
      <c r="I15477" s="2">
        <v>2236</v>
      </c>
      <c r="J15477" s="2">
        <v>2766</v>
      </c>
      <c r="K15477" s="2">
        <v>194</v>
      </c>
      <c r="L15477" s="2">
        <v>370</v>
      </c>
    </row>
    <row r="15478" spans="1:12" x14ac:dyDescent="0.25">
      <c r="A15478" s="4" t="str">
        <f>HYPERLINK("http://www.rosaceae.org/Prunus/Prunus_persica/p.persica_gdr_reftransV1_0032513","p.persica_gdr_reftransV1_0032513")</f>
        <v>p.persica_gdr_reftransV1_0032513</v>
      </c>
      <c r="B15478" s="2">
        <v>1573</v>
      </c>
      <c r="C15478" s="4" t="str">
        <f>HYPERLINK("http://www.uniprot.org/uniprot/M5XDF0","M5XDF0")</f>
        <v>M5XDF0</v>
      </c>
      <c r="D15478" s="2" t="s">
        <v>12421</v>
      </c>
      <c r="E15478" s="3">
        <v>0</v>
      </c>
      <c r="F15478" s="2">
        <v>1483</v>
      </c>
      <c r="G15478" s="2">
        <v>89</v>
      </c>
      <c r="H15478" s="2">
        <v>320</v>
      </c>
      <c r="I15478" s="2">
        <v>334</v>
      </c>
      <c r="J15478" s="2">
        <v>1293</v>
      </c>
      <c r="K15478" s="2">
        <v>1</v>
      </c>
      <c r="L15478" s="2">
        <v>285</v>
      </c>
    </row>
    <row r="15479" spans="1:12" x14ac:dyDescent="0.25">
      <c r="A15479" s="4" t="str">
        <f>HYPERLINK("http://www.rosaceae.org/Prunus/Prunus_persica/p.persica_gdr_reftransV1_0032863","p.persica_gdr_reftransV1_0032863")</f>
        <v>p.persica_gdr_reftransV1_0032863</v>
      </c>
      <c r="B15479" s="2">
        <v>3174</v>
      </c>
      <c r="C15479" s="4" t="str">
        <f>HYPERLINK("http://www.uniprot.org/uniprot/M5WEK6","M5WEK6")</f>
        <v>M5WEK6</v>
      </c>
      <c r="D15479" s="2" t="s">
        <v>9643</v>
      </c>
      <c r="E15479" s="3">
        <v>4.2300000000000003E-74</v>
      </c>
      <c r="F15479" s="2">
        <v>652</v>
      </c>
      <c r="G15479" s="2">
        <v>100</v>
      </c>
      <c r="H15479" s="2">
        <v>123</v>
      </c>
      <c r="I15479" s="2">
        <v>2673</v>
      </c>
      <c r="J15479" s="2">
        <v>3041</v>
      </c>
      <c r="K15479" s="2">
        <v>126</v>
      </c>
      <c r="L15479" s="2">
        <v>248</v>
      </c>
    </row>
    <row r="15480" spans="1:12" x14ac:dyDescent="0.25">
      <c r="A15480" s="4" t="str">
        <f>HYPERLINK("http://www.rosaceae.org/Prunus/Prunus_persica/p.persica_gdr_reftransV1_0033913","p.persica_gdr_reftransV1_0033913")</f>
        <v>p.persica_gdr_reftransV1_0033913</v>
      </c>
      <c r="B15480" s="2">
        <v>2596</v>
      </c>
      <c r="C15480" s="4" t="str">
        <f>HYPERLINK("http://www.uniprot.org/uniprot/M5WU22","M5WU22")</f>
        <v>M5WU22</v>
      </c>
      <c r="D15480" s="2" t="s">
        <v>12422</v>
      </c>
      <c r="E15480" s="3">
        <v>0</v>
      </c>
      <c r="F15480" s="2">
        <v>3734</v>
      </c>
      <c r="G15480" s="2">
        <v>100</v>
      </c>
      <c r="H15480" s="2">
        <v>796</v>
      </c>
      <c r="I15480" s="2">
        <v>2</v>
      </c>
      <c r="J15480" s="2">
        <v>2389</v>
      </c>
      <c r="K15480" s="2">
        <v>86</v>
      </c>
      <c r="L15480" s="2">
        <v>881</v>
      </c>
    </row>
    <row r="15481" spans="1:12" x14ac:dyDescent="0.25">
      <c r="A15481" s="4" t="str">
        <f>HYPERLINK("http://www.rosaceae.org/Prunus/Prunus_persica/p.persica_gdr_reftransV1_0034263","p.persica_gdr_reftransV1_0034263")</f>
        <v>p.persica_gdr_reftransV1_0034263</v>
      </c>
      <c r="B15481" s="2">
        <v>1030</v>
      </c>
      <c r="C15481" s="4" t="str">
        <f>HYPERLINK("http://www.uniprot.org/uniprot/M5W1V3","M5W1V3")</f>
        <v>M5W1V3</v>
      </c>
      <c r="D15481" s="2" t="s">
        <v>12423</v>
      </c>
      <c r="E15481" s="3">
        <v>1.0699999999999999E-80</v>
      </c>
      <c r="F15481" s="2">
        <v>649</v>
      </c>
      <c r="G15481" s="2">
        <v>100</v>
      </c>
      <c r="H15481" s="2">
        <v>156</v>
      </c>
      <c r="I15481" s="2">
        <v>496</v>
      </c>
      <c r="J15481" s="2">
        <v>963</v>
      </c>
      <c r="K15481" s="2">
        <v>1</v>
      </c>
      <c r="L15481" s="2">
        <v>156</v>
      </c>
    </row>
    <row r="15482" spans="1:12" x14ac:dyDescent="0.25">
      <c r="A15482" s="4" t="str">
        <f>HYPERLINK("http://www.rosaceae.org/Prunus/Prunus_persica/p.persica_gdr_reftransV1_0034963","p.persica_gdr_reftransV1_0034963")</f>
        <v>p.persica_gdr_reftransV1_0034963</v>
      </c>
      <c r="B15482" s="2">
        <v>3008</v>
      </c>
      <c r="C15482" s="4" t="str">
        <f>HYPERLINK("http://www.uniprot.org/uniprot/M5WE86","M5WE86")</f>
        <v>M5WE86</v>
      </c>
      <c r="D15482" s="2" t="s">
        <v>6852</v>
      </c>
      <c r="E15482" s="3">
        <v>0</v>
      </c>
      <c r="F15482" s="2">
        <v>1802</v>
      </c>
      <c r="G15482" s="2">
        <v>92</v>
      </c>
      <c r="H15482" s="2">
        <v>384</v>
      </c>
      <c r="I15482" s="2">
        <v>1481</v>
      </c>
      <c r="J15482" s="2">
        <v>2632</v>
      </c>
      <c r="K15482" s="2">
        <v>348</v>
      </c>
      <c r="L15482" s="2">
        <v>701</v>
      </c>
    </row>
    <row r="15483" spans="1:12" x14ac:dyDescent="0.25">
      <c r="A15483" s="4" t="str">
        <f>HYPERLINK("http://www.rosaceae.org/Prunus/Prunus_persica/p.persica_gdr_reftransV1_0036013","p.persica_gdr_reftransV1_0036013")</f>
        <v>p.persica_gdr_reftransV1_0036013</v>
      </c>
      <c r="B15483" s="2">
        <v>3607</v>
      </c>
      <c r="C15483" s="4" t="str">
        <f>HYPERLINK("http://www.uniprot.org/uniprot/M5VVN6","M5VVN6")</f>
        <v>M5VVN6</v>
      </c>
      <c r="D15483" s="2" t="s">
        <v>12424</v>
      </c>
      <c r="E15483" s="3">
        <v>0</v>
      </c>
      <c r="F15483" s="2">
        <v>2074</v>
      </c>
      <c r="G15483" s="2">
        <v>100</v>
      </c>
      <c r="H15483" s="2">
        <v>399</v>
      </c>
      <c r="I15483" s="2">
        <v>1551</v>
      </c>
      <c r="J15483" s="2">
        <v>2747</v>
      </c>
      <c r="K15483" s="2">
        <v>146</v>
      </c>
      <c r="L15483" s="2">
        <v>544</v>
      </c>
    </row>
    <row r="15484" spans="1:12" x14ac:dyDescent="0.25">
      <c r="A15484" s="4" t="str">
        <f>HYPERLINK("http://www.rosaceae.org/Prunus/Prunus_persica/p.persica_gdr_reftransV1_0037413","p.persica_gdr_reftransV1_0037413")</f>
        <v>p.persica_gdr_reftransV1_0037413</v>
      </c>
      <c r="B15484" s="2">
        <v>1891</v>
      </c>
      <c r="C15484" s="4" t="str">
        <f>HYPERLINK("http://www.uniprot.org/uniprot/M5VZI0","M5VZI0")</f>
        <v>M5VZI0</v>
      </c>
      <c r="D15484" s="2" t="s">
        <v>12425</v>
      </c>
      <c r="E15484" s="3">
        <v>0</v>
      </c>
      <c r="F15484" s="2">
        <v>1963</v>
      </c>
      <c r="G15484" s="2">
        <v>99</v>
      </c>
      <c r="H15484" s="2">
        <v>385</v>
      </c>
      <c r="I15484" s="2">
        <v>480</v>
      </c>
      <c r="J15484" s="2">
        <v>1634</v>
      </c>
      <c r="K15484" s="2">
        <v>2</v>
      </c>
      <c r="L15484" s="2">
        <v>386</v>
      </c>
    </row>
    <row r="15485" spans="1:12" x14ac:dyDescent="0.25">
      <c r="A15485" s="4" t="str">
        <f>HYPERLINK("http://www.rosaceae.org/Prunus/Prunus_persica/p.persica_gdr_reftransV1_0038463","p.persica_gdr_reftransV1_0038463")</f>
        <v>p.persica_gdr_reftransV1_0038463</v>
      </c>
      <c r="B15485" s="2">
        <v>1475</v>
      </c>
      <c r="C15485" s="4" t="str">
        <f>HYPERLINK("http://www.uniprot.org/uniprot/M5X8I9","M5X8I9")</f>
        <v>M5X8I9</v>
      </c>
      <c r="D15485" s="2" t="s">
        <v>3764</v>
      </c>
      <c r="E15485" s="3">
        <v>2.11E-139</v>
      </c>
      <c r="F15485" s="2">
        <v>1140</v>
      </c>
      <c r="G15485" s="2">
        <v>94</v>
      </c>
      <c r="H15485" s="2">
        <v>381</v>
      </c>
      <c r="I15485" s="2">
        <v>332</v>
      </c>
      <c r="J15485" s="2">
        <v>1474</v>
      </c>
      <c r="K15485" s="2">
        <v>1</v>
      </c>
      <c r="L15485" s="2">
        <v>366</v>
      </c>
    </row>
    <row r="15486" spans="1:12" x14ac:dyDescent="0.25">
      <c r="A15486" s="4" t="str">
        <f>HYPERLINK("http://www.rosaceae.org/Prunus/Prunus_persica/p.persica_gdr_reftransV1_0038813","p.persica_gdr_reftransV1_0038813")</f>
        <v>p.persica_gdr_reftransV1_0038813</v>
      </c>
      <c r="B15486" s="2">
        <v>3772</v>
      </c>
      <c r="C15486" s="4" t="str">
        <f>HYPERLINK("http://www.uniprot.org/uniprot/M5Y6D6","M5Y6D6")</f>
        <v>M5Y6D6</v>
      </c>
      <c r="D15486" s="2" t="s">
        <v>12426</v>
      </c>
      <c r="E15486" s="3">
        <v>0</v>
      </c>
      <c r="F15486" s="2">
        <v>2655</v>
      </c>
      <c r="G15486" s="2">
        <v>100</v>
      </c>
      <c r="H15486" s="2">
        <v>576</v>
      </c>
      <c r="I15486" s="2">
        <v>404</v>
      </c>
      <c r="J15486" s="2">
        <v>2131</v>
      </c>
      <c r="K15486" s="2">
        <v>1</v>
      </c>
      <c r="L15486" s="2">
        <v>576</v>
      </c>
    </row>
    <row r="15487" spans="1:12" x14ac:dyDescent="0.25">
      <c r="A15487" s="4" t="str">
        <f>HYPERLINK("http://www.rosaceae.org/Prunus/Prunus_persica/p.persica_gdr_reftransV1_0039863","p.persica_gdr_reftransV1_0039863")</f>
        <v>p.persica_gdr_reftransV1_0039863</v>
      </c>
      <c r="B15487" s="2">
        <v>2438</v>
      </c>
      <c r="C15487" s="4" t="str">
        <f>HYPERLINK("http://www.uniprot.org/uniprot/M5Y3P8","M5Y3P8")</f>
        <v>M5Y3P8</v>
      </c>
      <c r="D15487" s="2" t="s">
        <v>12427</v>
      </c>
      <c r="E15487" s="3">
        <v>0</v>
      </c>
      <c r="F15487" s="2">
        <v>3743</v>
      </c>
      <c r="G15487" s="2">
        <v>100</v>
      </c>
      <c r="H15487" s="2">
        <v>729</v>
      </c>
      <c r="I15487" s="2">
        <v>96</v>
      </c>
      <c r="J15487" s="2">
        <v>2282</v>
      </c>
      <c r="K15487" s="2">
        <v>1</v>
      </c>
      <c r="L15487" s="2">
        <v>729</v>
      </c>
    </row>
    <row r="15488" spans="1:12" x14ac:dyDescent="0.25">
      <c r="A15488" s="4" t="str">
        <f>HYPERLINK("http://www.rosaceae.org/Prunus/Prunus_persica/p.persica_gdr_reftransV1_0041613","p.persica_gdr_reftransV1_0041613")</f>
        <v>p.persica_gdr_reftransV1_0041613</v>
      </c>
      <c r="B15488" s="2">
        <v>2226</v>
      </c>
      <c r="C15488" s="4" t="str">
        <f>HYPERLINK("http://www.uniprot.org/uniprot/M5XP89","M5XP89")</f>
        <v>M5XP89</v>
      </c>
      <c r="D15488" s="2" t="s">
        <v>12428</v>
      </c>
      <c r="E15488" s="3">
        <v>0</v>
      </c>
      <c r="F15488" s="2">
        <v>2393</v>
      </c>
      <c r="G15488" s="2">
        <v>100</v>
      </c>
      <c r="H15488" s="2">
        <v>447</v>
      </c>
      <c r="I15488" s="2">
        <v>461</v>
      </c>
      <c r="J15488" s="2">
        <v>1801</v>
      </c>
      <c r="K15488" s="2">
        <v>1</v>
      </c>
      <c r="L15488" s="2">
        <v>447</v>
      </c>
    </row>
    <row r="15489" spans="1:12" x14ac:dyDescent="0.25">
      <c r="A15489" s="4" t="str">
        <f>HYPERLINK("http://www.rosaceae.org/Prunus/Prunus_persica/p.persica_gdr_reftransV1_0043363","p.persica_gdr_reftransV1_0043363")</f>
        <v>p.persica_gdr_reftransV1_0043363</v>
      </c>
      <c r="B15489" s="2">
        <v>1151</v>
      </c>
      <c r="C15489" s="4" t="str">
        <f>HYPERLINK("http://www.uniprot.org/uniprot/M5VX26","M5VX26")</f>
        <v>M5VX26</v>
      </c>
      <c r="D15489" s="2" t="s">
        <v>12429</v>
      </c>
      <c r="E15489" s="3">
        <v>0</v>
      </c>
      <c r="F15489" s="2">
        <v>1344</v>
      </c>
      <c r="G15489" s="2">
        <v>100</v>
      </c>
      <c r="H15489" s="2">
        <v>254</v>
      </c>
      <c r="I15489" s="2">
        <v>116</v>
      </c>
      <c r="J15489" s="2">
        <v>877</v>
      </c>
      <c r="K15489" s="2">
        <v>1</v>
      </c>
      <c r="L15489" s="2">
        <v>254</v>
      </c>
    </row>
    <row r="15490" spans="1:12" x14ac:dyDescent="0.25">
      <c r="A15490" s="4" t="str">
        <f>HYPERLINK("http://www.rosaceae.org/Prunus/Prunus_persica/p.persica_gdr_reftransV1_0044063","p.persica_gdr_reftransV1_0044063")</f>
        <v>p.persica_gdr_reftransV1_0044063</v>
      </c>
      <c r="B15490" s="2">
        <v>5346</v>
      </c>
      <c r="C15490" s="4" t="str">
        <f>HYPERLINK("http://www.uniprot.org/uniprot/M5WFF3","M5WFF3")</f>
        <v>M5WFF3</v>
      </c>
      <c r="D15490" s="2" t="s">
        <v>12430</v>
      </c>
      <c r="E15490" s="3">
        <v>0</v>
      </c>
      <c r="F15490" s="2">
        <v>7297</v>
      </c>
      <c r="G15490" s="2">
        <v>100</v>
      </c>
      <c r="H15490" s="2">
        <v>1529</v>
      </c>
      <c r="I15490" s="2">
        <v>260</v>
      </c>
      <c r="J15490" s="2">
        <v>4846</v>
      </c>
      <c r="K15490" s="2">
        <v>25</v>
      </c>
      <c r="L15490" s="2">
        <v>1553</v>
      </c>
    </row>
    <row r="15491" spans="1:12" x14ac:dyDescent="0.25">
      <c r="A15491" s="4" t="str">
        <f>HYPERLINK("http://www.rosaceae.org/Prunus/Prunus_persica/p.persica_gdr_reftransV1_0044413","p.persica_gdr_reftransV1_0044413")</f>
        <v>p.persica_gdr_reftransV1_0044413</v>
      </c>
      <c r="B15491" s="2">
        <v>983</v>
      </c>
      <c r="C15491" s="4" t="str">
        <f>HYPERLINK("http://www.uniprot.org/uniprot/M5W400","M5W400")</f>
        <v>M5W400</v>
      </c>
      <c r="D15491" s="2" t="s">
        <v>12431</v>
      </c>
      <c r="E15491" s="3">
        <v>1.13E-98</v>
      </c>
      <c r="F15491" s="2">
        <v>768</v>
      </c>
      <c r="G15491" s="2">
        <v>100</v>
      </c>
      <c r="H15491" s="2">
        <v>168</v>
      </c>
      <c r="I15491" s="2">
        <v>233</v>
      </c>
      <c r="J15491" s="2">
        <v>736</v>
      </c>
      <c r="K15491" s="2">
        <v>1</v>
      </c>
      <c r="L15491" s="2">
        <v>168</v>
      </c>
    </row>
    <row r="15492" spans="1:12" x14ac:dyDescent="0.25">
      <c r="A15492" s="4" t="str">
        <f>HYPERLINK("http://www.rosaceae.org/Prunus/Prunus_persica/p.persica_gdr_reftransV1_0044763","p.persica_gdr_reftransV1_0044763")</f>
        <v>p.persica_gdr_reftransV1_0044763</v>
      </c>
      <c r="B15492" s="2">
        <v>770</v>
      </c>
      <c r="C15492" s="4" t="str">
        <f>HYPERLINK("http://www.uniprot.org/uniprot/M5XGD2","M5XGD2")</f>
        <v>M5XGD2</v>
      </c>
      <c r="D15492" s="2" t="s">
        <v>12432</v>
      </c>
      <c r="E15492" s="3">
        <v>4.5200000000000003E-117</v>
      </c>
      <c r="F15492" s="2">
        <v>883</v>
      </c>
      <c r="G15492" s="2">
        <v>100</v>
      </c>
      <c r="H15492" s="2">
        <v>165</v>
      </c>
      <c r="I15492" s="2">
        <v>127</v>
      </c>
      <c r="J15492" s="2">
        <v>621</v>
      </c>
      <c r="K15492" s="2">
        <v>1</v>
      </c>
      <c r="L15492" s="2">
        <v>165</v>
      </c>
    </row>
    <row r="15493" spans="1:12" x14ac:dyDescent="0.25">
      <c r="A15493" s="4" t="str">
        <f>HYPERLINK("http://www.rosaceae.org/Prunus/Prunus_persica/p.persica_gdr_reftransV1_0045113","p.persica_gdr_reftransV1_0045113")</f>
        <v>p.persica_gdr_reftransV1_0045113</v>
      </c>
      <c r="B15493" s="2">
        <v>2242</v>
      </c>
      <c r="C15493" s="4" t="str">
        <f>HYPERLINK("http://www.uniprot.org/uniprot/M5W973","M5W973")</f>
        <v>M5W973</v>
      </c>
      <c r="D15493" s="2" t="s">
        <v>11172</v>
      </c>
      <c r="E15493" s="3">
        <v>0</v>
      </c>
      <c r="F15493" s="2">
        <v>2555</v>
      </c>
      <c r="G15493" s="2">
        <v>91</v>
      </c>
      <c r="H15493" s="2">
        <v>587</v>
      </c>
      <c r="I15493" s="2">
        <v>65</v>
      </c>
      <c r="J15493" s="2">
        <v>1825</v>
      </c>
      <c r="K15493" s="2">
        <v>1</v>
      </c>
      <c r="L15493" s="2">
        <v>557</v>
      </c>
    </row>
    <row r="15494" spans="1:12" x14ac:dyDescent="0.25">
      <c r="A15494" s="4" t="str">
        <f>HYPERLINK("http://www.rosaceae.org/Prunus/Prunus_persica/p.persica_gdr_reftransV1_0045463","p.persica_gdr_reftransV1_0045463")</f>
        <v>p.persica_gdr_reftransV1_0045463</v>
      </c>
      <c r="B15494" s="2">
        <v>2922</v>
      </c>
      <c r="C15494" s="4" t="str">
        <f>HYPERLINK("http://www.uniprot.org/uniprot/M5WJ20","M5WJ20")</f>
        <v>M5WJ20</v>
      </c>
      <c r="D15494" s="2" t="s">
        <v>8035</v>
      </c>
      <c r="E15494" s="3">
        <v>0</v>
      </c>
      <c r="F15494" s="2">
        <v>3114</v>
      </c>
      <c r="G15494" s="2">
        <v>100</v>
      </c>
      <c r="H15494" s="2">
        <v>606</v>
      </c>
      <c r="I15494" s="2">
        <v>526</v>
      </c>
      <c r="J15494" s="2">
        <v>2343</v>
      </c>
      <c r="K15494" s="2">
        <v>1</v>
      </c>
      <c r="L15494" s="2">
        <v>606</v>
      </c>
    </row>
    <row r="15495" spans="1:12" x14ac:dyDescent="0.25">
      <c r="A15495" s="4" t="str">
        <f>HYPERLINK("http://www.rosaceae.org/Prunus/Prunus_persica/p.persica_gdr_reftransV1_0045813","p.persica_gdr_reftransV1_0045813")</f>
        <v>p.persica_gdr_reftransV1_0045813</v>
      </c>
      <c r="B15495" s="2">
        <v>2348</v>
      </c>
      <c r="C15495" s="4" t="str">
        <f>HYPERLINK("http://www.uniprot.org/uniprot/M5Y4X2","M5Y4X2")</f>
        <v>M5Y4X2</v>
      </c>
      <c r="D15495" s="2" t="s">
        <v>12433</v>
      </c>
      <c r="E15495" s="3">
        <v>0</v>
      </c>
      <c r="F15495" s="2">
        <v>2901</v>
      </c>
      <c r="G15495" s="2">
        <v>100</v>
      </c>
      <c r="H15495" s="2">
        <v>565</v>
      </c>
      <c r="I15495" s="2">
        <v>371</v>
      </c>
      <c r="J15495" s="2">
        <v>2065</v>
      </c>
      <c r="K15495" s="2">
        <v>1</v>
      </c>
      <c r="L15495" s="2">
        <v>565</v>
      </c>
    </row>
    <row r="15496" spans="1:12" x14ac:dyDescent="0.25">
      <c r="A15496" s="4" t="str">
        <f>HYPERLINK("http://www.rosaceae.org/Prunus/Prunus_persica/p.persica_gdr_reftransV1_0046163","p.persica_gdr_reftransV1_0046163")</f>
        <v>p.persica_gdr_reftransV1_0046163</v>
      </c>
      <c r="B15496" s="2">
        <v>891</v>
      </c>
      <c r="C15496" s="4" t="str">
        <f>HYPERLINK("http://www.uniprot.org/uniprot/M5XNJ8","M5XNJ8")</f>
        <v>M5XNJ8</v>
      </c>
      <c r="D15496" s="2" t="s">
        <v>11405</v>
      </c>
      <c r="E15496" s="3">
        <v>8.3400000000000007E-142</v>
      </c>
      <c r="F15496" s="2">
        <v>1071</v>
      </c>
      <c r="G15496" s="2">
        <v>100</v>
      </c>
      <c r="H15496" s="2">
        <v>272</v>
      </c>
      <c r="I15496" s="2">
        <v>3</v>
      </c>
      <c r="J15496" s="2">
        <v>818</v>
      </c>
      <c r="K15496" s="2">
        <v>118</v>
      </c>
      <c r="L15496" s="2">
        <v>389</v>
      </c>
    </row>
    <row r="15497" spans="1:12" x14ac:dyDescent="0.25">
      <c r="A15497" s="4" t="str">
        <f>HYPERLINK("http://www.rosaceae.org/Prunus/Prunus_persica/p.persica_gdr_reftransV1_0046863","p.persica_gdr_reftransV1_0046863")</f>
        <v>p.persica_gdr_reftransV1_0046863</v>
      </c>
      <c r="B15497" s="2">
        <v>310</v>
      </c>
      <c r="C15497" s="4" t="str">
        <f>HYPERLINK("http://www.uniprot.org/uniprot/M5XBC1","M5XBC1")</f>
        <v>M5XBC1</v>
      </c>
      <c r="D15497" s="2" t="s">
        <v>12434</v>
      </c>
      <c r="E15497" s="3">
        <v>1.0499999999999999E-58</v>
      </c>
      <c r="F15497" s="2">
        <v>497</v>
      </c>
      <c r="G15497" s="2">
        <v>100</v>
      </c>
      <c r="H15497" s="2">
        <v>94</v>
      </c>
      <c r="I15497" s="2">
        <v>3</v>
      </c>
      <c r="J15497" s="2">
        <v>284</v>
      </c>
      <c r="K15497" s="2">
        <v>1</v>
      </c>
      <c r="L15497" s="2">
        <v>94</v>
      </c>
    </row>
    <row r="15498" spans="1:12" x14ac:dyDescent="0.25">
      <c r="A15498" s="4" t="str">
        <f>HYPERLINK("http://www.rosaceae.org/Prunus/Prunus_persica/p.persica_gdr_reftransV1_0047213","p.persica_gdr_reftransV1_0047213")</f>
        <v>p.persica_gdr_reftransV1_0047213</v>
      </c>
      <c r="B15498" s="2">
        <v>1201</v>
      </c>
      <c r="C15498" s="4" t="str">
        <f>HYPERLINK("http://www.uniprot.org/uniprot/M5XZD9","M5XZD9")</f>
        <v>M5XZD9</v>
      </c>
      <c r="D15498" s="2" t="s">
        <v>12435</v>
      </c>
      <c r="E15498" s="3">
        <v>2.0299999999999999E-145</v>
      </c>
      <c r="F15498" s="2">
        <v>1088</v>
      </c>
      <c r="G15498" s="2">
        <v>100</v>
      </c>
      <c r="H15498" s="2">
        <v>204</v>
      </c>
      <c r="I15498" s="2">
        <v>150</v>
      </c>
      <c r="J15498" s="2">
        <v>761</v>
      </c>
      <c r="K15498" s="2">
        <v>1</v>
      </c>
      <c r="L15498" s="2">
        <v>204</v>
      </c>
    </row>
    <row r="15499" spans="1:12" x14ac:dyDescent="0.25">
      <c r="A15499" s="4" t="str">
        <f>HYPERLINK("http://www.rosaceae.org/Prunus/Prunus_persica/p.persica_gdr_reftransV1_0047563","p.persica_gdr_reftransV1_0047563")</f>
        <v>p.persica_gdr_reftransV1_0047563</v>
      </c>
      <c r="B15499" s="2">
        <v>2381</v>
      </c>
      <c r="C15499" s="4" t="str">
        <f>HYPERLINK("http://www.uniprot.org/uniprot/Q6EE26","Q6EE26")</f>
        <v>Q6EE26</v>
      </c>
      <c r="D15499" s="2" t="s">
        <v>12436</v>
      </c>
      <c r="E15499" s="3">
        <v>0</v>
      </c>
      <c r="F15499" s="2">
        <v>2481</v>
      </c>
      <c r="G15499" s="2">
        <v>89</v>
      </c>
      <c r="H15499" s="2">
        <v>552</v>
      </c>
      <c r="I15499" s="2">
        <v>363</v>
      </c>
      <c r="J15499" s="2">
        <v>2018</v>
      </c>
      <c r="K15499" s="2">
        <v>1</v>
      </c>
      <c r="L15499" s="2">
        <v>543</v>
      </c>
    </row>
    <row r="15500" spans="1:12" x14ac:dyDescent="0.25">
      <c r="A15500" s="4" t="str">
        <f>HYPERLINK("http://www.rosaceae.org/Prunus/Prunus_persica/p.persica_gdr_reftransV1_0047913","p.persica_gdr_reftransV1_0047913")</f>
        <v>p.persica_gdr_reftransV1_0047913</v>
      </c>
      <c r="B15500" s="2">
        <v>3498</v>
      </c>
      <c r="C15500" s="4" t="str">
        <f>HYPERLINK("http://www.uniprot.org/uniprot/M5VUX7","M5VUX7")</f>
        <v>M5VUX7</v>
      </c>
      <c r="D15500" s="2" t="s">
        <v>12437</v>
      </c>
      <c r="E15500" s="3">
        <v>0</v>
      </c>
      <c r="F15500" s="2">
        <v>4668</v>
      </c>
      <c r="G15500" s="2">
        <v>100</v>
      </c>
      <c r="H15500" s="2">
        <v>956</v>
      </c>
      <c r="I15500" s="2">
        <v>417</v>
      </c>
      <c r="J15500" s="2">
        <v>3284</v>
      </c>
      <c r="K15500" s="2">
        <v>1</v>
      </c>
      <c r="L15500" s="2">
        <v>956</v>
      </c>
    </row>
    <row r="15501" spans="1:12" x14ac:dyDescent="0.25">
      <c r="A15501" s="4" t="str">
        <f>HYPERLINK("http://www.rosaceae.org/Prunus/Prunus_persica/p.persica_gdr_reftransV1_0048263","p.persica_gdr_reftransV1_0048263")</f>
        <v>p.persica_gdr_reftransV1_0048263</v>
      </c>
      <c r="B15501" s="2">
        <v>974</v>
      </c>
      <c r="C15501" s="4" t="str">
        <f>HYPERLINK("http://www.uniprot.org/uniprot/M5W3N4","M5W3N4")</f>
        <v>M5W3N4</v>
      </c>
      <c r="D15501" s="2" t="s">
        <v>12438</v>
      </c>
      <c r="E15501" s="3">
        <v>2.4599999999999998E-121</v>
      </c>
      <c r="F15501" s="2">
        <v>960</v>
      </c>
      <c r="G15501" s="2">
        <v>91</v>
      </c>
      <c r="H15501" s="2">
        <v>226</v>
      </c>
      <c r="I15501" s="2">
        <v>47</v>
      </c>
      <c r="J15501" s="2">
        <v>724</v>
      </c>
      <c r="K15501" s="2">
        <v>410</v>
      </c>
      <c r="L15501" s="2">
        <v>635</v>
      </c>
    </row>
    <row r="15502" spans="1:12" x14ac:dyDescent="0.25">
      <c r="A15502" s="4" t="str">
        <f>HYPERLINK("http://www.rosaceae.org/Prunus/Prunus_persica/p.persica_gdr_reftransV1_0048613","p.persica_gdr_reftransV1_0048613")</f>
        <v>p.persica_gdr_reftransV1_0048613</v>
      </c>
      <c r="B15502" s="2">
        <v>497</v>
      </c>
      <c r="C15502" s="4" t="str">
        <f>HYPERLINK("http://www.uniprot.org/uniprot/M5Y1V6","M5Y1V6")</f>
        <v>M5Y1V6</v>
      </c>
      <c r="D15502" s="2" t="s">
        <v>2108</v>
      </c>
      <c r="E15502" s="3">
        <v>1.41E-108</v>
      </c>
      <c r="F15502" s="2">
        <v>881</v>
      </c>
      <c r="G15502" s="2">
        <v>94</v>
      </c>
      <c r="H15502" s="2">
        <v>175</v>
      </c>
      <c r="I15502" s="2">
        <v>2</v>
      </c>
      <c r="J15502" s="2">
        <v>496</v>
      </c>
      <c r="K15502" s="2">
        <v>9</v>
      </c>
      <c r="L15502" s="2">
        <v>183</v>
      </c>
    </row>
    <row r="15503" spans="1:12" x14ac:dyDescent="0.25">
      <c r="A15503" s="4" t="str">
        <f>HYPERLINK("http://www.rosaceae.org/Prunus/Prunus_persica/p.persica_gdr_reftransV1_0048963","p.persica_gdr_reftransV1_0048963")</f>
        <v>p.persica_gdr_reftransV1_0048963</v>
      </c>
      <c r="B15503" s="2">
        <v>1969</v>
      </c>
      <c r="C15503" s="4" t="str">
        <f>HYPERLINK("http://www.uniprot.org/uniprot/M5X8T4","M5X8T4")</f>
        <v>M5X8T4</v>
      </c>
      <c r="D15503" s="2" t="s">
        <v>3773</v>
      </c>
      <c r="E15503" s="3">
        <v>0</v>
      </c>
      <c r="F15503" s="2">
        <v>1591</v>
      </c>
      <c r="G15503" s="2">
        <v>99</v>
      </c>
      <c r="H15503" s="2">
        <v>302</v>
      </c>
      <c r="I15503" s="2">
        <v>1063</v>
      </c>
      <c r="J15503" s="2">
        <v>1968</v>
      </c>
      <c r="K15503" s="2">
        <v>197</v>
      </c>
      <c r="L15503" s="2">
        <v>498</v>
      </c>
    </row>
    <row r="15504" spans="1:12" x14ac:dyDescent="0.25">
      <c r="A15504" s="4" t="str">
        <f>HYPERLINK("http://www.rosaceae.org/Prunus/Prunus_persica/p.persica_gdr_reftransV1_0000314","p.persica_gdr_reftransV1_0000314")</f>
        <v>p.persica_gdr_reftransV1_0000314</v>
      </c>
      <c r="B15504" s="2">
        <v>831</v>
      </c>
      <c r="C15504" s="4" t="str">
        <f>HYPERLINK("http://www.uniprot.org/uniprot/M5WTE1","M5WTE1")</f>
        <v>M5WTE1</v>
      </c>
      <c r="D15504" s="2" t="s">
        <v>4629</v>
      </c>
      <c r="E15504" s="3">
        <v>3.9100000000000001E-162</v>
      </c>
      <c r="F15504" s="2">
        <v>1217</v>
      </c>
      <c r="G15504" s="2">
        <v>100</v>
      </c>
      <c r="H15504" s="2">
        <v>261</v>
      </c>
      <c r="I15504" s="2">
        <v>47</v>
      </c>
      <c r="J15504" s="2">
        <v>829</v>
      </c>
      <c r="K15504" s="2">
        <v>1</v>
      </c>
      <c r="L15504" s="2">
        <v>261</v>
      </c>
    </row>
    <row r="15505" spans="1:12" x14ac:dyDescent="0.25">
      <c r="A15505" s="4" t="str">
        <f>HYPERLINK("http://www.rosaceae.org/Prunus/Prunus_persica/p.persica_gdr_reftransV1_0000664","p.persica_gdr_reftransV1_0000664")</f>
        <v>p.persica_gdr_reftransV1_0000664</v>
      </c>
      <c r="B15505" s="2">
        <v>2231</v>
      </c>
      <c r="C15505" s="4" t="str">
        <f>HYPERLINK("http://www.uniprot.org/uniprot/M5WQV4","M5WQV4")</f>
        <v>M5WQV4</v>
      </c>
      <c r="D15505" s="2" t="s">
        <v>12439</v>
      </c>
      <c r="E15505" s="3">
        <v>0</v>
      </c>
      <c r="F15505" s="2">
        <v>2852</v>
      </c>
      <c r="G15505" s="2">
        <v>99</v>
      </c>
      <c r="H15505" s="2">
        <v>541</v>
      </c>
      <c r="I15505" s="2">
        <v>416</v>
      </c>
      <c r="J15505" s="2">
        <v>2038</v>
      </c>
      <c r="K15505" s="2">
        <v>1</v>
      </c>
      <c r="L15505" s="2">
        <v>541</v>
      </c>
    </row>
    <row r="15506" spans="1:12" x14ac:dyDescent="0.25">
      <c r="A15506" s="4" t="str">
        <f>HYPERLINK("http://www.rosaceae.org/Prunus/Prunus_persica/p.persica_gdr_reftransV1_0001014","p.persica_gdr_reftransV1_0001014")</f>
        <v>p.persica_gdr_reftransV1_0001014</v>
      </c>
      <c r="B15506" s="2">
        <v>543</v>
      </c>
      <c r="C15506" s="4" t="str">
        <f>HYPERLINK("http://www.uniprot.org/uniprot/M5VNT3","M5VNT3")</f>
        <v>M5VNT3</v>
      </c>
      <c r="D15506" s="2" t="s">
        <v>8100</v>
      </c>
      <c r="E15506" s="3">
        <v>5.0500000000000001E-64</v>
      </c>
      <c r="F15506" s="2">
        <v>551</v>
      </c>
      <c r="G15506" s="2">
        <v>100</v>
      </c>
      <c r="H15506" s="2">
        <v>101</v>
      </c>
      <c r="I15506" s="2">
        <v>239</v>
      </c>
      <c r="J15506" s="2">
        <v>541</v>
      </c>
      <c r="K15506" s="2">
        <v>35</v>
      </c>
      <c r="L15506" s="2">
        <v>135</v>
      </c>
    </row>
    <row r="15507" spans="1:12" x14ac:dyDescent="0.25">
      <c r="A15507" s="4" t="str">
        <f>HYPERLINK("http://www.rosaceae.org/Prunus/Prunus_persica/p.persica_gdr_reftransV1_0001364","p.persica_gdr_reftransV1_0001364")</f>
        <v>p.persica_gdr_reftransV1_0001364</v>
      </c>
      <c r="B15507" s="2">
        <v>853</v>
      </c>
      <c r="C15507" s="4" t="str">
        <f>HYPERLINK("http://www.uniprot.org/uniprot/M5XEN2","M5XEN2")</f>
        <v>M5XEN2</v>
      </c>
      <c r="D15507" s="2" t="s">
        <v>12440</v>
      </c>
      <c r="E15507" s="3">
        <v>1.9200000000000001E-58</v>
      </c>
      <c r="F15507" s="2">
        <v>516</v>
      </c>
      <c r="G15507" s="2">
        <v>100</v>
      </c>
      <c r="H15507" s="2">
        <v>129</v>
      </c>
      <c r="I15507" s="2">
        <v>2</v>
      </c>
      <c r="J15507" s="2">
        <v>388</v>
      </c>
      <c r="K15507" s="2">
        <v>281</v>
      </c>
      <c r="L15507" s="2">
        <v>409</v>
      </c>
    </row>
    <row r="15508" spans="1:12" x14ac:dyDescent="0.25">
      <c r="A15508" s="4" t="str">
        <f>HYPERLINK("http://www.rosaceae.org/Prunus/Prunus_persica/p.persica_gdr_reftransV1_0002064","p.persica_gdr_reftransV1_0002064")</f>
        <v>p.persica_gdr_reftransV1_0002064</v>
      </c>
      <c r="B15508" s="2">
        <v>630</v>
      </c>
      <c r="C15508" s="4" t="str">
        <f>HYPERLINK("http://www.uniprot.org/uniprot/M5XCA7","M5XCA7")</f>
        <v>M5XCA7</v>
      </c>
      <c r="D15508" s="2" t="s">
        <v>3630</v>
      </c>
      <c r="E15508" s="3">
        <v>7.4399999999999998E-112</v>
      </c>
      <c r="F15508" s="2">
        <v>871</v>
      </c>
      <c r="G15508" s="2">
        <v>100</v>
      </c>
      <c r="H15508" s="2">
        <v>162</v>
      </c>
      <c r="I15508" s="2">
        <v>44</v>
      </c>
      <c r="J15508" s="2">
        <v>529</v>
      </c>
      <c r="K15508" s="2">
        <v>1</v>
      </c>
      <c r="L15508" s="2">
        <v>162</v>
      </c>
    </row>
    <row r="15509" spans="1:12" x14ac:dyDescent="0.25">
      <c r="A15509" s="4" t="str">
        <f>HYPERLINK("http://www.rosaceae.org/Prunus/Prunus_persica/p.persica_gdr_reftransV1_0002414","p.persica_gdr_reftransV1_0002414")</f>
        <v>p.persica_gdr_reftransV1_0002414</v>
      </c>
      <c r="B15509" s="2">
        <v>3467</v>
      </c>
      <c r="C15509" s="4" t="str">
        <f>HYPERLINK("http://www.uniprot.org/uniprot/M5XLD0","M5XLD0")</f>
        <v>M5XLD0</v>
      </c>
      <c r="D15509" s="2" t="s">
        <v>2355</v>
      </c>
      <c r="E15509" s="3">
        <v>0</v>
      </c>
      <c r="F15509" s="2">
        <v>3223</v>
      </c>
      <c r="G15509" s="2">
        <v>100</v>
      </c>
      <c r="H15509" s="2">
        <v>649</v>
      </c>
      <c r="I15509" s="2">
        <v>1194</v>
      </c>
      <c r="J15509" s="2">
        <v>3140</v>
      </c>
      <c r="K15509" s="2">
        <v>1</v>
      </c>
      <c r="L15509" s="2">
        <v>649</v>
      </c>
    </row>
    <row r="15510" spans="1:12" x14ac:dyDescent="0.25">
      <c r="A15510" s="4" t="str">
        <f>HYPERLINK("http://www.rosaceae.org/Prunus/Prunus_persica/p.persica_gdr_reftransV1_0003114","p.persica_gdr_reftransV1_0003114")</f>
        <v>p.persica_gdr_reftransV1_0003114</v>
      </c>
      <c r="B15510" s="2">
        <v>3758</v>
      </c>
      <c r="C15510" s="4" t="str">
        <f>HYPERLINK("http://www.uniprot.org/uniprot/M5VXI5","M5VXI5")</f>
        <v>M5VXI5</v>
      </c>
      <c r="D15510" s="2" t="s">
        <v>11444</v>
      </c>
      <c r="E15510" s="3">
        <v>0</v>
      </c>
      <c r="F15510" s="2">
        <v>5773</v>
      </c>
      <c r="G15510" s="2">
        <v>100</v>
      </c>
      <c r="H15510" s="2">
        <v>1134</v>
      </c>
      <c r="I15510" s="2">
        <v>109</v>
      </c>
      <c r="J15510" s="2">
        <v>3510</v>
      </c>
      <c r="K15510" s="2">
        <v>1</v>
      </c>
      <c r="L15510" s="2">
        <v>1134</v>
      </c>
    </row>
    <row r="15511" spans="1:12" x14ac:dyDescent="0.25">
      <c r="A15511" s="4" t="str">
        <f>HYPERLINK("http://www.rosaceae.org/Prunus/Prunus_persica/p.persica_gdr_reftransV1_0004164","p.persica_gdr_reftransV1_0004164")</f>
        <v>p.persica_gdr_reftransV1_0004164</v>
      </c>
      <c r="B15511" s="2">
        <v>448</v>
      </c>
      <c r="C15511" s="4" t="str">
        <f>HYPERLINK("http://www.uniprot.org/uniprot/A0A0G4LW79","A0A0G4LW79")</f>
        <v>A0A0G4LW79</v>
      </c>
      <c r="D15511" s="2" t="s">
        <v>12441</v>
      </c>
      <c r="E15511" s="3">
        <v>1.5100000000000001E-87</v>
      </c>
      <c r="F15511" s="2">
        <v>682</v>
      </c>
      <c r="G15511" s="2">
        <v>91</v>
      </c>
      <c r="H15511" s="2">
        <v>148</v>
      </c>
      <c r="I15511" s="2">
        <v>3</v>
      </c>
      <c r="J15511" s="2">
        <v>446</v>
      </c>
      <c r="K15511" s="2">
        <v>23</v>
      </c>
      <c r="L15511" s="2">
        <v>170</v>
      </c>
    </row>
    <row r="15512" spans="1:12" x14ac:dyDescent="0.25">
      <c r="A15512" s="4" t="str">
        <f>HYPERLINK("http://www.rosaceae.org/Prunus/Prunus_persica/p.persica_gdr_reftransV1_0004514","p.persica_gdr_reftransV1_0004514")</f>
        <v>p.persica_gdr_reftransV1_0004514</v>
      </c>
      <c r="B15512" s="2">
        <v>424</v>
      </c>
      <c r="C15512" s="4" t="str">
        <f>HYPERLINK("http://www.uniprot.org/uniprot/M5VJA6","M5VJA6")</f>
        <v>M5VJA6</v>
      </c>
      <c r="D15512" s="2" t="s">
        <v>4286</v>
      </c>
      <c r="E15512" s="3">
        <v>8.7000000000000002E-91</v>
      </c>
      <c r="F15512" s="2">
        <v>757</v>
      </c>
      <c r="G15512" s="2">
        <v>100</v>
      </c>
      <c r="H15512" s="2">
        <v>141</v>
      </c>
      <c r="I15512" s="2">
        <v>1</v>
      </c>
      <c r="J15512" s="2">
        <v>423</v>
      </c>
      <c r="K15512" s="2">
        <v>78</v>
      </c>
      <c r="L15512" s="2">
        <v>218</v>
      </c>
    </row>
    <row r="15513" spans="1:12" x14ac:dyDescent="0.25">
      <c r="A15513" s="4" t="str">
        <f>HYPERLINK("http://www.rosaceae.org/Prunus/Prunus_persica/p.persica_gdr_reftransV1_0005564","p.persica_gdr_reftransV1_0005564")</f>
        <v>p.persica_gdr_reftransV1_0005564</v>
      </c>
      <c r="B15513" s="2">
        <v>1318</v>
      </c>
      <c r="C15513" s="4" t="str">
        <f>HYPERLINK("http://www.uniprot.org/uniprot/M5VZ36","M5VZ36")</f>
        <v>M5VZ36</v>
      </c>
      <c r="D15513" s="2" t="s">
        <v>12442</v>
      </c>
      <c r="E15513" s="3">
        <v>0</v>
      </c>
      <c r="F15513" s="2">
        <v>1951</v>
      </c>
      <c r="G15513" s="2">
        <v>93</v>
      </c>
      <c r="H15513" s="2">
        <v>418</v>
      </c>
      <c r="I15513" s="2">
        <v>3</v>
      </c>
      <c r="J15513" s="2">
        <v>1256</v>
      </c>
      <c r="K15513" s="2">
        <v>66</v>
      </c>
      <c r="L15513" s="2">
        <v>455</v>
      </c>
    </row>
    <row r="15514" spans="1:12" x14ac:dyDescent="0.25">
      <c r="A15514" s="4" t="str">
        <f>HYPERLINK("http://www.rosaceae.org/Prunus/Prunus_persica/p.persica_gdr_reftransV1_0007314","p.persica_gdr_reftransV1_0007314")</f>
        <v>p.persica_gdr_reftransV1_0007314</v>
      </c>
      <c r="B15514" s="2">
        <v>1401</v>
      </c>
      <c r="C15514" s="4" t="str">
        <f>HYPERLINK("http://www.uniprot.org/uniprot/M5XCN9","M5XCN9")</f>
        <v>M5XCN9</v>
      </c>
      <c r="D15514" s="2" t="s">
        <v>12443</v>
      </c>
      <c r="E15514" s="3">
        <v>0</v>
      </c>
      <c r="F15514" s="2">
        <v>1655</v>
      </c>
      <c r="G15514" s="2">
        <v>100</v>
      </c>
      <c r="H15514" s="2">
        <v>324</v>
      </c>
      <c r="I15514" s="2">
        <v>275</v>
      </c>
      <c r="J15514" s="2">
        <v>1246</v>
      </c>
      <c r="K15514" s="2">
        <v>1</v>
      </c>
      <c r="L15514" s="2">
        <v>324</v>
      </c>
    </row>
    <row r="15515" spans="1:12" x14ac:dyDescent="0.25">
      <c r="A15515" s="4" t="str">
        <f>HYPERLINK("http://www.rosaceae.org/Prunus/Prunus_persica/p.persica_gdr_reftransV1_0007664","p.persica_gdr_reftransV1_0007664")</f>
        <v>p.persica_gdr_reftransV1_0007664</v>
      </c>
      <c r="B15515" s="2">
        <v>2010</v>
      </c>
      <c r="C15515" s="4" t="str">
        <f>HYPERLINK("http://www.uniprot.org/uniprot/M5VN97","M5VN97")</f>
        <v>M5VN97</v>
      </c>
      <c r="D15515" s="2" t="s">
        <v>12444</v>
      </c>
      <c r="E15515" s="3">
        <v>0</v>
      </c>
      <c r="F15515" s="2">
        <v>2416</v>
      </c>
      <c r="G15515" s="2">
        <v>100</v>
      </c>
      <c r="H15515" s="2">
        <v>492</v>
      </c>
      <c r="I15515" s="2">
        <v>287</v>
      </c>
      <c r="J15515" s="2">
        <v>1762</v>
      </c>
      <c r="K15515" s="2">
        <v>28</v>
      </c>
      <c r="L15515" s="2">
        <v>519</v>
      </c>
    </row>
    <row r="15516" spans="1:12" x14ac:dyDescent="0.25">
      <c r="A15516" s="4" t="str">
        <f>HYPERLINK("http://www.rosaceae.org/Prunus/Prunus_persica/p.persica_gdr_reftransV1_0008014","p.persica_gdr_reftransV1_0008014")</f>
        <v>p.persica_gdr_reftransV1_0008014</v>
      </c>
      <c r="B15516" s="2">
        <v>377</v>
      </c>
      <c r="C15516" s="4" t="str">
        <f>HYPERLINK("http://www.uniprot.org/uniprot/M5VX68","M5VX68")</f>
        <v>M5VX68</v>
      </c>
      <c r="D15516" s="2" t="s">
        <v>4660</v>
      </c>
      <c r="E15516" s="3">
        <v>1.14E-55</v>
      </c>
      <c r="F15516" s="2">
        <v>503</v>
      </c>
      <c r="G15516" s="2">
        <v>100</v>
      </c>
      <c r="H15516" s="2">
        <v>95</v>
      </c>
      <c r="I15516" s="2">
        <v>91</v>
      </c>
      <c r="J15516" s="2">
        <v>375</v>
      </c>
      <c r="K15516" s="2">
        <v>1</v>
      </c>
      <c r="L15516" s="2">
        <v>95</v>
      </c>
    </row>
    <row r="15517" spans="1:12" x14ac:dyDescent="0.25">
      <c r="A15517" s="4" t="str">
        <f>HYPERLINK("http://www.rosaceae.org/Prunus/Prunus_persica/p.persica_gdr_reftransV1_0008364","p.persica_gdr_reftransV1_0008364")</f>
        <v>p.persica_gdr_reftransV1_0008364</v>
      </c>
      <c r="B15517" s="2">
        <v>566</v>
      </c>
      <c r="C15517" s="4" t="str">
        <f>HYPERLINK("http://www.uniprot.org/uniprot/M5XVS4","M5XVS4")</f>
        <v>M5XVS4</v>
      </c>
      <c r="D15517" s="2" t="s">
        <v>12445</v>
      </c>
      <c r="E15517" s="3">
        <v>1.2199999999999999E-133</v>
      </c>
      <c r="F15517" s="2">
        <v>1002</v>
      </c>
      <c r="G15517" s="2">
        <v>100</v>
      </c>
      <c r="H15517" s="2">
        <v>188</v>
      </c>
      <c r="I15517" s="2">
        <v>2</v>
      </c>
      <c r="J15517" s="2">
        <v>565</v>
      </c>
      <c r="K15517" s="2">
        <v>92</v>
      </c>
      <c r="L15517" s="2">
        <v>279</v>
      </c>
    </row>
    <row r="15518" spans="1:12" x14ac:dyDescent="0.25">
      <c r="A15518" s="4" t="str">
        <f>HYPERLINK("http://www.rosaceae.org/Prunus/Prunus_persica/p.persica_gdr_reftransV1_0009414","p.persica_gdr_reftransV1_0009414")</f>
        <v>p.persica_gdr_reftransV1_0009414</v>
      </c>
      <c r="B15518" s="2">
        <v>2292</v>
      </c>
      <c r="C15518" s="4" t="str">
        <f>HYPERLINK("http://www.uniprot.org/uniprot/M5VVI0","M5VVI0")</f>
        <v>M5VVI0</v>
      </c>
      <c r="D15518" s="2" t="s">
        <v>12446</v>
      </c>
      <c r="E15518" s="3">
        <v>0</v>
      </c>
      <c r="F15518" s="2">
        <v>2953</v>
      </c>
      <c r="G15518" s="2">
        <v>100</v>
      </c>
      <c r="H15518" s="2">
        <v>570</v>
      </c>
      <c r="I15518" s="2">
        <v>50</v>
      </c>
      <c r="J15518" s="2">
        <v>1759</v>
      </c>
      <c r="K15518" s="2">
        <v>1</v>
      </c>
      <c r="L15518" s="2">
        <v>570</v>
      </c>
    </row>
    <row r="15519" spans="1:12" x14ac:dyDescent="0.25">
      <c r="A15519" s="4" t="str">
        <f>HYPERLINK("http://www.rosaceae.org/Prunus/Prunus_persica/p.persica_gdr_reftransV1_0009764","p.persica_gdr_reftransV1_0009764")</f>
        <v>p.persica_gdr_reftransV1_0009764</v>
      </c>
      <c r="B15519" s="2">
        <v>1054</v>
      </c>
      <c r="C15519" s="4" t="str">
        <f>HYPERLINK("http://www.uniprot.org/uniprot/M5XHY7","M5XHY7")</f>
        <v>M5XHY7</v>
      </c>
      <c r="D15519" s="2" t="s">
        <v>12447</v>
      </c>
      <c r="E15519" s="3">
        <v>1.02E-103</v>
      </c>
      <c r="F15519" s="2">
        <v>803</v>
      </c>
      <c r="G15519" s="2">
        <v>80</v>
      </c>
      <c r="H15519" s="2">
        <v>199</v>
      </c>
      <c r="I15519" s="2">
        <v>157</v>
      </c>
      <c r="J15519" s="2">
        <v>753</v>
      </c>
      <c r="K15519" s="2">
        <v>1</v>
      </c>
      <c r="L15519" s="2">
        <v>160</v>
      </c>
    </row>
    <row r="15520" spans="1:12" x14ac:dyDescent="0.25">
      <c r="A15520" s="4" t="str">
        <f>HYPERLINK("http://www.rosaceae.org/Prunus/Prunus_persica/p.persica_gdr_reftransV1_0010464","p.persica_gdr_reftransV1_0010464")</f>
        <v>p.persica_gdr_reftransV1_0010464</v>
      </c>
      <c r="B15520" s="2">
        <v>2881</v>
      </c>
      <c r="C15520" s="4" t="str">
        <f>HYPERLINK("http://www.uniprot.org/uniprot/M5XK33","M5XK33")</f>
        <v>M5XK33</v>
      </c>
      <c r="D15520" s="2" t="s">
        <v>12448</v>
      </c>
      <c r="E15520" s="3">
        <v>0</v>
      </c>
      <c r="F15520" s="2">
        <v>3741</v>
      </c>
      <c r="G15520" s="2">
        <v>100</v>
      </c>
      <c r="H15520" s="2">
        <v>749</v>
      </c>
      <c r="I15520" s="2">
        <v>552</v>
      </c>
      <c r="J15520" s="2">
        <v>2798</v>
      </c>
      <c r="K15520" s="2">
        <v>1</v>
      </c>
      <c r="L15520" s="2">
        <v>749</v>
      </c>
    </row>
    <row r="15521" spans="1:12" x14ac:dyDescent="0.25">
      <c r="A15521" s="4" t="str">
        <f>HYPERLINK("http://www.rosaceae.org/Prunus/Prunus_persica/p.persica_gdr_reftransV1_0010814","p.persica_gdr_reftransV1_0010814")</f>
        <v>p.persica_gdr_reftransV1_0010814</v>
      </c>
      <c r="B15521" s="2">
        <v>636</v>
      </c>
      <c r="C15521" s="4" t="str">
        <f>HYPERLINK("http://www.uniprot.org/uniprot/M5XS64","M5XS64")</f>
        <v>M5XS64</v>
      </c>
      <c r="D15521" s="2" t="s">
        <v>920</v>
      </c>
      <c r="E15521" s="3">
        <v>7.1999999999999997E-148</v>
      </c>
      <c r="F15521" s="2">
        <v>1129</v>
      </c>
      <c r="G15521" s="2">
        <v>100</v>
      </c>
      <c r="H15521" s="2">
        <v>211</v>
      </c>
      <c r="I15521" s="2">
        <v>2</v>
      </c>
      <c r="J15521" s="2">
        <v>634</v>
      </c>
      <c r="K15521" s="2">
        <v>154</v>
      </c>
      <c r="L15521" s="2">
        <v>364</v>
      </c>
    </row>
    <row r="15522" spans="1:12" x14ac:dyDescent="0.25">
      <c r="A15522" s="4" t="str">
        <f>HYPERLINK("http://www.rosaceae.org/Prunus/Prunus_persica/p.persica_gdr_reftransV1_0011514","p.persica_gdr_reftransV1_0011514")</f>
        <v>p.persica_gdr_reftransV1_0011514</v>
      </c>
      <c r="B15522" s="2">
        <v>984</v>
      </c>
      <c r="C15522" s="4" t="str">
        <f>HYPERLINK("http://www.uniprot.org/uniprot/M5W8E3","M5W8E3")</f>
        <v>M5W8E3</v>
      </c>
      <c r="D15522" s="2" t="s">
        <v>7985</v>
      </c>
      <c r="E15522" s="3">
        <v>1.0199999999999999E-180</v>
      </c>
      <c r="F15522" s="2">
        <v>1340</v>
      </c>
      <c r="G15522" s="2">
        <v>100</v>
      </c>
      <c r="H15522" s="2">
        <v>269</v>
      </c>
      <c r="I15522" s="2">
        <v>2</v>
      </c>
      <c r="J15522" s="2">
        <v>808</v>
      </c>
      <c r="K15522" s="2">
        <v>204</v>
      </c>
      <c r="L15522" s="2">
        <v>472</v>
      </c>
    </row>
    <row r="15523" spans="1:12" x14ac:dyDescent="0.25">
      <c r="A15523" s="4" t="str">
        <f>HYPERLINK("http://www.rosaceae.org/Prunus/Prunus_persica/p.persica_gdr_reftransV1_0011864","p.persica_gdr_reftransV1_0011864")</f>
        <v>p.persica_gdr_reftransV1_0011864</v>
      </c>
      <c r="B15523" s="2">
        <v>971</v>
      </c>
      <c r="C15523" s="4" t="str">
        <f>HYPERLINK("http://www.uniprot.org/uniprot/I7K8K8","I7K8K8")</f>
        <v>I7K8K8</v>
      </c>
      <c r="D15523" s="2" t="s">
        <v>1613</v>
      </c>
      <c r="E15523" s="3">
        <v>3.6400000000000001E-88</v>
      </c>
      <c r="F15523" s="2">
        <v>767</v>
      </c>
      <c r="G15523" s="2">
        <v>59</v>
      </c>
      <c r="H15523" s="2">
        <v>247</v>
      </c>
      <c r="I15523" s="2">
        <v>249</v>
      </c>
      <c r="J15523" s="2">
        <v>971</v>
      </c>
      <c r="K15523" s="2">
        <v>1114</v>
      </c>
      <c r="L15523" s="2">
        <v>1360</v>
      </c>
    </row>
    <row r="15524" spans="1:12" x14ac:dyDescent="0.25">
      <c r="A15524" s="4" t="str">
        <f>HYPERLINK("http://www.rosaceae.org/Prunus/Prunus_persica/p.persica_gdr_reftransV1_0012914","p.persica_gdr_reftransV1_0012914")</f>
        <v>p.persica_gdr_reftransV1_0012914</v>
      </c>
      <c r="B15524" s="2">
        <v>1562</v>
      </c>
      <c r="C15524" s="4" t="str">
        <f>HYPERLINK("http://www.uniprot.org/uniprot/M5WZ29","M5WZ29")</f>
        <v>M5WZ29</v>
      </c>
      <c r="D15524" s="2" t="s">
        <v>12449</v>
      </c>
      <c r="E15524" s="3">
        <v>0</v>
      </c>
      <c r="F15524" s="2">
        <v>1348</v>
      </c>
      <c r="G15524" s="2">
        <v>94</v>
      </c>
      <c r="H15524" s="2">
        <v>280</v>
      </c>
      <c r="I15524" s="2">
        <v>250</v>
      </c>
      <c r="J15524" s="2">
        <v>1086</v>
      </c>
      <c r="K15524" s="2">
        <v>43</v>
      </c>
      <c r="L15524" s="2">
        <v>309</v>
      </c>
    </row>
    <row r="15525" spans="1:12" x14ac:dyDescent="0.25">
      <c r="A15525" s="4" t="str">
        <f>HYPERLINK("http://www.rosaceae.org/Prunus/Prunus_persica/p.persica_gdr_reftransV1_0013264","p.persica_gdr_reftransV1_0013264")</f>
        <v>p.persica_gdr_reftransV1_0013264</v>
      </c>
      <c r="B15525" s="2">
        <v>2404</v>
      </c>
      <c r="C15525" s="4" t="str">
        <f>HYPERLINK("http://www.uniprot.org/uniprot/M5VXF8","M5VXF8")</f>
        <v>M5VXF8</v>
      </c>
      <c r="D15525" s="2" t="s">
        <v>12450</v>
      </c>
      <c r="E15525" s="3">
        <v>0</v>
      </c>
      <c r="F15525" s="2">
        <v>2221</v>
      </c>
      <c r="G15525" s="2">
        <v>100</v>
      </c>
      <c r="H15525" s="2">
        <v>569</v>
      </c>
      <c r="I15525" s="2">
        <v>465</v>
      </c>
      <c r="J15525" s="2">
        <v>2171</v>
      </c>
      <c r="K15525" s="2">
        <v>1</v>
      </c>
      <c r="L15525" s="2">
        <v>569</v>
      </c>
    </row>
    <row r="15526" spans="1:12" x14ac:dyDescent="0.25">
      <c r="A15526" s="4" t="str">
        <f>HYPERLINK("http://www.rosaceae.org/Prunus/Prunus_persica/p.persica_gdr_reftransV1_0013614","p.persica_gdr_reftransV1_0013614")</f>
        <v>p.persica_gdr_reftransV1_0013614</v>
      </c>
      <c r="B15526" s="2">
        <v>2060</v>
      </c>
      <c r="C15526" s="4" t="str">
        <f>HYPERLINK("http://www.uniprot.org/uniprot/M5WSS7","M5WSS7")</f>
        <v>M5WSS7</v>
      </c>
      <c r="D15526" s="2" t="s">
        <v>12451</v>
      </c>
      <c r="E15526" s="3">
        <v>0</v>
      </c>
      <c r="F15526" s="2">
        <v>2099</v>
      </c>
      <c r="G15526" s="2">
        <v>98</v>
      </c>
      <c r="H15526" s="2">
        <v>551</v>
      </c>
      <c r="I15526" s="2">
        <v>322</v>
      </c>
      <c r="J15526" s="2">
        <v>1974</v>
      </c>
      <c r="K15526" s="2">
        <v>1</v>
      </c>
      <c r="L15526" s="2">
        <v>539</v>
      </c>
    </row>
    <row r="15527" spans="1:12" x14ac:dyDescent="0.25">
      <c r="A15527" s="4" t="str">
        <f>HYPERLINK("http://www.rosaceae.org/Prunus/Prunus_persica/p.persica_gdr_reftransV1_0014664","p.persica_gdr_reftransV1_0014664")</f>
        <v>p.persica_gdr_reftransV1_0014664</v>
      </c>
      <c r="B15527" s="2">
        <v>2438</v>
      </c>
      <c r="C15527" s="4" t="str">
        <f>HYPERLINK("http://www.uniprot.org/uniprot/M5WCM7","M5WCM7")</f>
        <v>M5WCM7</v>
      </c>
      <c r="D15527" s="2" t="s">
        <v>12452</v>
      </c>
      <c r="E15527" s="3">
        <v>0</v>
      </c>
      <c r="F15527" s="2">
        <v>3379</v>
      </c>
      <c r="G15527" s="2">
        <v>100</v>
      </c>
      <c r="H15527" s="2">
        <v>687</v>
      </c>
      <c r="I15527" s="2">
        <v>249</v>
      </c>
      <c r="J15527" s="2">
        <v>2309</v>
      </c>
      <c r="K15527" s="2">
        <v>1</v>
      </c>
      <c r="L15527" s="2">
        <v>687</v>
      </c>
    </row>
    <row r="15528" spans="1:12" x14ac:dyDescent="0.25">
      <c r="A15528" s="4" t="str">
        <f>HYPERLINK("http://www.rosaceae.org/Prunus/Prunus_persica/p.persica_gdr_reftransV1_0015014","p.persica_gdr_reftransV1_0015014")</f>
        <v>p.persica_gdr_reftransV1_0015014</v>
      </c>
      <c r="B15528" s="2">
        <v>2386</v>
      </c>
      <c r="C15528" s="4" t="str">
        <f>HYPERLINK("http://www.uniprot.org/uniprot/M5VPQ4","M5VPQ4")</f>
        <v>M5VPQ4</v>
      </c>
      <c r="D15528" s="2" t="s">
        <v>12453</v>
      </c>
      <c r="E15528" s="3">
        <v>0</v>
      </c>
      <c r="F15528" s="2">
        <v>2693</v>
      </c>
      <c r="G15528" s="2">
        <v>100</v>
      </c>
      <c r="H15528" s="2">
        <v>554</v>
      </c>
      <c r="I15528" s="2">
        <v>474</v>
      </c>
      <c r="J15528" s="2">
        <v>2135</v>
      </c>
      <c r="K15528" s="2">
        <v>31</v>
      </c>
      <c r="L15528" s="2">
        <v>584</v>
      </c>
    </row>
    <row r="15529" spans="1:12" x14ac:dyDescent="0.25">
      <c r="A15529" s="4" t="str">
        <f>HYPERLINK("http://www.rosaceae.org/Prunus/Prunus_persica/p.persica_gdr_reftransV1_0016064","p.persica_gdr_reftransV1_0016064")</f>
        <v>p.persica_gdr_reftransV1_0016064</v>
      </c>
      <c r="B15529" s="2">
        <v>1846</v>
      </c>
      <c r="C15529" s="4" t="str">
        <f>HYPERLINK("http://www.uniprot.org/uniprot/M5XE61","M5XE61")</f>
        <v>M5XE61</v>
      </c>
      <c r="D15529" s="2" t="s">
        <v>12454</v>
      </c>
      <c r="E15529" s="3">
        <v>0</v>
      </c>
      <c r="F15529" s="2">
        <v>1526</v>
      </c>
      <c r="G15529" s="2">
        <v>100</v>
      </c>
      <c r="H15529" s="2">
        <v>315</v>
      </c>
      <c r="I15529" s="2">
        <v>39</v>
      </c>
      <c r="J15529" s="2">
        <v>983</v>
      </c>
      <c r="K15529" s="2">
        <v>1</v>
      </c>
      <c r="L15529" s="2">
        <v>315</v>
      </c>
    </row>
    <row r="15530" spans="1:12" x14ac:dyDescent="0.25">
      <c r="A15530" s="4" t="str">
        <f>HYPERLINK("http://www.rosaceae.org/Prunus/Prunus_persica/p.persica_gdr_reftransV1_0016414","p.persica_gdr_reftransV1_0016414")</f>
        <v>p.persica_gdr_reftransV1_0016414</v>
      </c>
      <c r="B15530" s="2">
        <v>1457</v>
      </c>
      <c r="C15530" s="4" t="str">
        <f>HYPERLINK("http://www.uniprot.org/uniprot/B9SBH7","B9SBH7")</f>
        <v>B9SBH7</v>
      </c>
      <c r="D15530" s="2" t="s">
        <v>12455</v>
      </c>
      <c r="E15530" s="3">
        <v>3.3500000000000002E-117</v>
      </c>
      <c r="F15530" s="2">
        <v>918</v>
      </c>
      <c r="G15530" s="2">
        <v>73</v>
      </c>
      <c r="H15530" s="2">
        <v>233</v>
      </c>
      <c r="I15530" s="2">
        <v>521</v>
      </c>
      <c r="J15530" s="2">
        <v>1216</v>
      </c>
      <c r="K15530" s="2">
        <v>54</v>
      </c>
      <c r="L15530" s="2">
        <v>286</v>
      </c>
    </row>
    <row r="15531" spans="1:12" x14ac:dyDescent="0.25">
      <c r="A15531" s="4" t="str">
        <f>HYPERLINK("http://www.rosaceae.org/Prunus/Prunus_persica/p.persica_gdr_reftransV1_0017114","p.persica_gdr_reftransV1_0017114")</f>
        <v>p.persica_gdr_reftransV1_0017114</v>
      </c>
      <c r="B15531" s="2">
        <v>1798</v>
      </c>
      <c r="C15531" s="4" t="str">
        <f>HYPERLINK("http://www.uniprot.org/uniprot/M5WSJ3","M5WSJ3")</f>
        <v>M5WSJ3</v>
      </c>
      <c r="D15531" s="2" t="s">
        <v>12456</v>
      </c>
      <c r="E15531" s="3">
        <v>0</v>
      </c>
      <c r="F15531" s="2">
        <v>2180</v>
      </c>
      <c r="G15531" s="2">
        <v>98</v>
      </c>
      <c r="H15531" s="2">
        <v>435</v>
      </c>
      <c r="I15531" s="2">
        <v>190</v>
      </c>
      <c r="J15531" s="2">
        <v>1494</v>
      </c>
      <c r="K15531" s="2">
        <v>6</v>
      </c>
      <c r="L15531" s="2">
        <v>440</v>
      </c>
    </row>
    <row r="15532" spans="1:12" x14ac:dyDescent="0.25">
      <c r="A15532" s="4" t="str">
        <f>HYPERLINK("http://www.rosaceae.org/Prunus/Prunus_persica/p.persica_gdr_reftransV1_0017464","p.persica_gdr_reftransV1_0017464")</f>
        <v>p.persica_gdr_reftransV1_0017464</v>
      </c>
      <c r="B15532" s="2">
        <v>4233</v>
      </c>
      <c r="C15532" s="4" t="str">
        <f>HYPERLINK("http://www.uniprot.org/uniprot/M5VPN4","M5VPN4")</f>
        <v>M5VPN4</v>
      </c>
      <c r="D15532" s="2" t="s">
        <v>12457</v>
      </c>
      <c r="E15532" s="3">
        <v>0</v>
      </c>
      <c r="F15532" s="2">
        <v>2627</v>
      </c>
      <c r="G15532" s="2">
        <v>98</v>
      </c>
      <c r="H15532" s="2">
        <v>528</v>
      </c>
      <c r="I15532" s="2">
        <v>2378</v>
      </c>
      <c r="J15532" s="2">
        <v>3961</v>
      </c>
      <c r="K15532" s="2">
        <v>3</v>
      </c>
      <c r="L15532" s="2">
        <v>530</v>
      </c>
    </row>
    <row r="15533" spans="1:12" x14ac:dyDescent="0.25">
      <c r="A15533" s="4" t="str">
        <f>HYPERLINK("http://www.rosaceae.org/Prunus/Prunus_persica/p.persica_gdr_reftransV1_0018164","p.persica_gdr_reftransV1_0018164")</f>
        <v>p.persica_gdr_reftransV1_0018164</v>
      </c>
      <c r="B15533" s="2">
        <v>4503</v>
      </c>
      <c r="C15533" s="4" t="str">
        <f>HYPERLINK("http://www.uniprot.org/uniprot/M5W3F9","M5W3F9")</f>
        <v>M5W3F9</v>
      </c>
      <c r="D15533" s="2" t="s">
        <v>6324</v>
      </c>
      <c r="E15533" s="3">
        <v>0</v>
      </c>
      <c r="F15533" s="2">
        <v>1710</v>
      </c>
      <c r="G15533" s="2">
        <v>92</v>
      </c>
      <c r="H15533" s="2">
        <v>343</v>
      </c>
      <c r="I15533" s="2">
        <v>2236</v>
      </c>
      <c r="J15533" s="2">
        <v>3264</v>
      </c>
      <c r="K15533" s="2">
        <v>294</v>
      </c>
      <c r="L15533" s="2">
        <v>636</v>
      </c>
    </row>
    <row r="15534" spans="1:12" x14ac:dyDescent="0.25">
      <c r="A15534" s="4" t="str">
        <f>HYPERLINK("http://www.rosaceae.org/Prunus/Prunus_persica/p.persica_gdr_reftransV1_0018514","p.persica_gdr_reftransV1_0018514")</f>
        <v>p.persica_gdr_reftransV1_0018514</v>
      </c>
      <c r="B15534" s="2">
        <v>2044</v>
      </c>
      <c r="C15534" s="4" t="str">
        <f>HYPERLINK("http://www.uniprot.org/uniprot/M5WHX3","M5WHX3")</f>
        <v>M5WHX3</v>
      </c>
      <c r="D15534" s="2" t="s">
        <v>11060</v>
      </c>
      <c r="E15534" s="3">
        <v>0</v>
      </c>
      <c r="F15534" s="2">
        <v>1453</v>
      </c>
      <c r="G15534" s="2">
        <v>100</v>
      </c>
      <c r="H15534" s="2">
        <v>295</v>
      </c>
      <c r="I15534" s="2">
        <v>1110</v>
      </c>
      <c r="J15534" s="2">
        <v>1994</v>
      </c>
      <c r="K15534" s="2">
        <v>1</v>
      </c>
      <c r="L15534" s="2">
        <v>295</v>
      </c>
    </row>
    <row r="15535" spans="1:12" x14ac:dyDescent="0.25">
      <c r="A15535" s="4" t="str">
        <f>HYPERLINK("http://www.rosaceae.org/Prunus/Prunus_persica/p.persica_gdr_reftransV1_0018864","p.persica_gdr_reftransV1_0018864")</f>
        <v>p.persica_gdr_reftransV1_0018864</v>
      </c>
      <c r="B15535" s="2">
        <v>1146</v>
      </c>
      <c r="C15535" s="4" t="str">
        <f>HYPERLINK("http://www.uniprot.org/uniprot/M5XFB9","M5XFB9")</f>
        <v>M5XFB9</v>
      </c>
      <c r="D15535" s="2" t="s">
        <v>12458</v>
      </c>
      <c r="E15535" s="3">
        <v>4.6800000000000003E-101</v>
      </c>
      <c r="F15535" s="2">
        <v>789</v>
      </c>
      <c r="G15535" s="2">
        <v>100</v>
      </c>
      <c r="H15535" s="2">
        <v>164</v>
      </c>
      <c r="I15535" s="2">
        <v>301</v>
      </c>
      <c r="J15535" s="2">
        <v>792</v>
      </c>
      <c r="K15535" s="2">
        <v>1</v>
      </c>
      <c r="L15535" s="2">
        <v>164</v>
      </c>
    </row>
    <row r="15536" spans="1:12" x14ac:dyDescent="0.25">
      <c r="A15536" s="4" t="str">
        <f>HYPERLINK("http://www.rosaceae.org/Prunus/Prunus_persica/p.persica_gdr_reftransV1_0019564","p.persica_gdr_reftransV1_0019564")</f>
        <v>p.persica_gdr_reftransV1_0019564</v>
      </c>
      <c r="B15536" s="2">
        <v>2764</v>
      </c>
      <c r="C15536" s="4" t="str">
        <f>HYPERLINK("http://www.uniprot.org/uniprot/M5XS42","M5XS42")</f>
        <v>M5XS42</v>
      </c>
      <c r="D15536" s="2" t="s">
        <v>1522</v>
      </c>
      <c r="E15536" s="3">
        <v>9.94E-52</v>
      </c>
      <c r="F15536" s="2">
        <v>487</v>
      </c>
      <c r="G15536" s="2">
        <v>100</v>
      </c>
      <c r="H15536" s="2">
        <v>90</v>
      </c>
      <c r="I15536" s="2">
        <v>289</v>
      </c>
      <c r="J15536" s="2">
        <v>558</v>
      </c>
      <c r="K15536" s="2">
        <v>47</v>
      </c>
      <c r="L15536" s="2">
        <v>136</v>
      </c>
    </row>
    <row r="15537" spans="1:12" x14ac:dyDescent="0.25">
      <c r="A15537" s="4" t="str">
        <f>HYPERLINK("http://www.rosaceae.org/Prunus/Prunus_persica/p.persica_gdr_reftransV1_0019914","p.persica_gdr_reftransV1_0019914")</f>
        <v>p.persica_gdr_reftransV1_0019914</v>
      </c>
      <c r="B15537" s="2">
        <v>3174</v>
      </c>
      <c r="C15537" s="4" t="str">
        <f>HYPERLINK("http://www.uniprot.org/uniprot/M5XLI6","M5XLI6")</f>
        <v>M5XLI6</v>
      </c>
      <c r="D15537" s="2" t="s">
        <v>12459</v>
      </c>
      <c r="E15537" s="3">
        <v>5.2199999999999996E-134</v>
      </c>
      <c r="F15537" s="2">
        <v>1162</v>
      </c>
      <c r="G15537" s="2">
        <v>100</v>
      </c>
      <c r="H15537" s="2">
        <v>231</v>
      </c>
      <c r="I15537" s="2">
        <v>2481</v>
      </c>
      <c r="J15537" s="2">
        <v>3173</v>
      </c>
      <c r="K15537" s="2">
        <v>1155</v>
      </c>
      <c r="L15537" s="2">
        <v>1385</v>
      </c>
    </row>
    <row r="15538" spans="1:12" x14ac:dyDescent="0.25">
      <c r="A15538" s="4" t="str">
        <f>HYPERLINK("http://www.rosaceae.org/Prunus/Prunus_persica/p.persica_gdr_reftransV1_0020614","p.persica_gdr_reftransV1_0020614")</f>
        <v>p.persica_gdr_reftransV1_0020614</v>
      </c>
      <c r="B15538" s="2">
        <v>615</v>
      </c>
      <c r="C15538" s="4" t="str">
        <f>HYPERLINK("http://www.uniprot.org/uniprot/M5VXB3","M5VXB3")</f>
        <v>M5VXB3</v>
      </c>
      <c r="D15538" s="2" t="s">
        <v>12460</v>
      </c>
      <c r="E15538" s="3">
        <v>1.87E-111</v>
      </c>
      <c r="F15538" s="2">
        <v>858</v>
      </c>
      <c r="G15538" s="2">
        <v>94</v>
      </c>
      <c r="H15538" s="2">
        <v>173</v>
      </c>
      <c r="I15538" s="2">
        <v>2</v>
      </c>
      <c r="J15538" s="2">
        <v>520</v>
      </c>
      <c r="K15538" s="2">
        <v>200</v>
      </c>
      <c r="L15538" s="2">
        <v>362</v>
      </c>
    </row>
    <row r="15539" spans="1:12" x14ac:dyDescent="0.25">
      <c r="A15539" s="4" t="str">
        <f>HYPERLINK("http://www.rosaceae.org/Prunus/Prunus_persica/p.persica_gdr_reftransV1_0021314","p.persica_gdr_reftransV1_0021314")</f>
        <v>p.persica_gdr_reftransV1_0021314</v>
      </c>
      <c r="B15539" s="2">
        <v>1869</v>
      </c>
      <c r="C15539" s="4" t="str">
        <f>HYPERLINK("http://www.uniprot.org/uniprot/M5XCP3","M5XCP3")</f>
        <v>M5XCP3</v>
      </c>
      <c r="D15539" s="2" t="s">
        <v>12461</v>
      </c>
      <c r="E15539" s="3">
        <v>5.6300000000000002E-126</v>
      </c>
      <c r="F15539" s="2">
        <v>994</v>
      </c>
      <c r="G15539" s="2">
        <v>100</v>
      </c>
      <c r="H15539" s="2">
        <v>186</v>
      </c>
      <c r="I15539" s="2">
        <v>1145</v>
      </c>
      <c r="J15539" s="2">
        <v>1702</v>
      </c>
      <c r="K15539" s="2">
        <v>149</v>
      </c>
      <c r="L15539" s="2">
        <v>334</v>
      </c>
    </row>
    <row r="15540" spans="1:12" x14ac:dyDescent="0.25">
      <c r="A15540" s="4" t="str">
        <f>HYPERLINK("http://www.rosaceae.org/Prunus/Prunus_persica/p.persica_gdr_reftransV1_0021664","p.persica_gdr_reftransV1_0021664")</f>
        <v>p.persica_gdr_reftransV1_0021664</v>
      </c>
      <c r="B15540" s="2">
        <v>1508</v>
      </c>
      <c r="C15540" s="4" t="str">
        <f>HYPERLINK("http://www.uniprot.org/uniprot/M5XWJ9","M5XWJ9")</f>
        <v>M5XWJ9</v>
      </c>
      <c r="D15540" s="2" t="s">
        <v>12462</v>
      </c>
      <c r="E15540" s="3">
        <v>0</v>
      </c>
      <c r="F15540" s="2">
        <v>1513</v>
      </c>
      <c r="G15540" s="2">
        <v>99</v>
      </c>
      <c r="H15540" s="2">
        <v>290</v>
      </c>
      <c r="I15540" s="2">
        <v>122</v>
      </c>
      <c r="J15540" s="2">
        <v>991</v>
      </c>
      <c r="K15540" s="2">
        <v>44</v>
      </c>
      <c r="L15540" s="2">
        <v>333</v>
      </c>
    </row>
    <row r="15541" spans="1:12" x14ac:dyDescent="0.25">
      <c r="A15541" s="4" t="str">
        <f>HYPERLINK("http://www.rosaceae.org/Prunus/Prunus_persica/p.persica_gdr_reftransV1_0022014","p.persica_gdr_reftransV1_0022014")</f>
        <v>p.persica_gdr_reftransV1_0022014</v>
      </c>
      <c r="B15541" s="2">
        <v>3037</v>
      </c>
      <c r="C15541" s="4" t="str">
        <f>HYPERLINK("http://www.uniprot.org/uniprot/M5XCV5","M5XCV5")</f>
        <v>M5XCV5</v>
      </c>
      <c r="D15541" s="2" t="s">
        <v>12463</v>
      </c>
      <c r="E15541" s="3">
        <v>0</v>
      </c>
      <c r="F15541" s="2">
        <v>1452</v>
      </c>
      <c r="G15541" s="2">
        <v>100</v>
      </c>
      <c r="H15541" s="2">
        <v>303</v>
      </c>
      <c r="I15541" s="2">
        <v>1800</v>
      </c>
      <c r="J15541" s="2">
        <v>2708</v>
      </c>
      <c r="K15541" s="2">
        <v>1</v>
      </c>
      <c r="L15541" s="2">
        <v>303</v>
      </c>
    </row>
    <row r="15542" spans="1:12" x14ac:dyDescent="0.25">
      <c r="A15542" s="4" t="str">
        <f>HYPERLINK("http://www.rosaceae.org/Prunus/Prunus_persica/p.persica_gdr_reftransV1_0022364","p.persica_gdr_reftransV1_0022364")</f>
        <v>p.persica_gdr_reftransV1_0022364</v>
      </c>
      <c r="B15542" s="2">
        <v>1559</v>
      </c>
      <c r="C15542" s="4" t="str">
        <f>HYPERLINK("http://www.uniprot.org/uniprot/A0A061F0U0","A0A061F0U0")</f>
        <v>A0A061F0U0</v>
      </c>
      <c r="D15542" s="2" t="s">
        <v>12464</v>
      </c>
      <c r="E15542" s="3">
        <v>2.8200000000000001E-64</v>
      </c>
      <c r="F15542" s="2">
        <v>352</v>
      </c>
      <c r="G15542" s="2">
        <v>40</v>
      </c>
      <c r="H15542" s="2">
        <v>245</v>
      </c>
      <c r="I15542" s="2">
        <v>417</v>
      </c>
      <c r="J15542" s="2">
        <v>1136</v>
      </c>
      <c r="K15542" s="2">
        <v>204</v>
      </c>
      <c r="L15542" s="2">
        <v>440</v>
      </c>
    </row>
    <row r="15543" spans="1:12" x14ac:dyDescent="0.25">
      <c r="A15543" s="4" t="str">
        <f>HYPERLINK("http://www.rosaceae.org/Prunus/Prunus_persica/p.persica_gdr_reftransV1_0023064","p.persica_gdr_reftransV1_0023064")</f>
        <v>p.persica_gdr_reftransV1_0023064</v>
      </c>
      <c r="B15543" s="2">
        <v>1274</v>
      </c>
      <c r="C15543" s="4" t="str">
        <f>HYPERLINK("http://www.uniprot.org/uniprot/M5W380","M5W380")</f>
        <v>M5W380</v>
      </c>
      <c r="D15543" s="2" t="s">
        <v>12465</v>
      </c>
      <c r="E15543" s="3">
        <v>2.5499999999999999E-115</v>
      </c>
      <c r="F15543" s="2">
        <v>731</v>
      </c>
      <c r="G15543" s="2">
        <v>100</v>
      </c>
      <c r="H15543" s="2">
        <v>138</v>
      </c>
      <c r="I15543" s="2">
        <v>438</v>
      </c>
      <c r="J15543" s="2">
        <v>851</v>
      </c>
      <c r="K15543" s="2">
        <v>95</v>
      </c>
      <c r="L15543" s="2">
        <v>232</v>
      </c>
    </row>
    <row r="15544" spans="1:12" x14ac:dyDescent="0.25">
      <c r="A15544" s="4" t="str">
        <f>HYPERLINK("http://www.rosaceae.org/Prunus/Prunus_persica/p.persica_gdr_reftransV1_0024114","p.persica_gdr_reftransV1_0024114")</f>
        <v>p.persica_gdr_reftransV1_0024114</v>
      </c>
      <c r="B15544" s="2">
        <v>1093</v>
      </c>
      <c r="C15544" s="4" t="str">
        <f>HYPERLINK("http://www.uniprot.org/uniprot/M5XAE0","M5XAE0")</f>
        <v>M5XAE0</v>
      </c>
      <c r="D15544" s="2" t="s">
        <v>12466</v>
      </c>
      <c r="E15544" s="3">
        <v>4.06E-98</v>
      </c>
      <c r="F15544" s="2">
        <v>774</v>
      </c>
      <c r="G15544" s="2">
        <v>80</v>
      </c>
      <c r="H15544" s="2">
        <v>210</v>
      </c>
      <c r="I15544" s="2">
        <v>117</v>
      </c>
      <c r="J15544" s="2">
        <v>746</v>
      </c>
      <c r="K15544" s="2">
        <v>1</v>
      </c>
      <c r="L15544" s="2">
        <v>186</v>
      </c>
    </row>
    <row r="15545" spans="1:12" x14ac:dyDescent="0.25">
      <c r="A15545" s="4" t="str">
        <f>HYPERLINK("http://www.rosaceae.org/Prunus/Prunus_persica/p.persica_gdr_reftransV1_0024464","p.persica_gdr_reftransV1_0024464")</f>
        <v>p.persica_gdr_reftransV1_0024464</v>
      </c>
      <c r="B15545" s="2">
        <v>2247</v>
      </c>
      <c r="C15545" s="4" t="str">
        <f>HYPERLINK("http://www.uniprot.org/uniprot/M5VRA4","M5VRA4")</f>
        <v>M5VRA4</v>
      </c>
      <c r="D15545" s="2" t="s">
        <v>10611</v>
      </c>
      <c r="E15545" s="3">
        <v>6.9499999999999997E-72</v>
      </c>
      <c r="F15545" s="2">
        <v>636</v>
      </c>
      <c r="G15545" s="2">
        <v>100</v>
      </c>
      <c r="H15545" s="2">
        <v>121</v>
      </c>
      <c r="I15545" s="2">
        <v>1661</v>
      </c>
      <c r="J15545" s="2">
        <v>2023</v>
      </c>
      <c r="K15545" s="2">
        <v>225</v>
      </c>
      <c r="L15545" s="2">
        <v>345</v>
      </c>
    </row>
    <row r="15546" spans="1:12" x14ac:dyDescent="0.25">
      <c r="A15546" s="4" t="str">
        <f>HYPERLINK("http://www.rosaceae.org/Prunus/Prunus_persica/p.persica_gdr_reftransV1_0024814","p.persica_gdr_reftransV1_0024814")</f>
        <v>p.persica_gdr_reftransV1_0024814</v>
      </c>
      <c r="B15546" s="2">
        <v>1761</v>
      </c>
      <c r="C15546" s="4" t="str">
        <f>HYPERLINK("http://www.uniprot.org/uniprot/M5WSC5","M5WSC5")</f>
        <v>M5WSC5</v>
      </c>
      <c r="D15546" s="2" t="s">
        <v>9467</v>
      </c>
      <c r="E15546" s="3">
        <v>0</v>
      </c>
      <c r="F15546" s="2">
        <v>2276</v>
      </c>
      <c r="G15546" s="2">
        <v>100</v>
      </c>
      <c r="H15546" s="2">
        <v>458</v>
      </c>
      <c r="I15546" s="2">
        <v>1</v>
      </c>
      <c r="J15546" s="2">
        <v>1374</v>
      </c>
      <c r="K15546" s="2">
        <v>553</v>
      </c>
      <c r="L15546" s="2">
        <v>1010</v>
      </c>
    </row>
    <row r="15547" spans="1:12" x14ac:dyDescent="0.25">
      <c r="A15547" s="4" t="str">
        <f>HYPERLINK("http://www.rosaceae.org/Prunus/Prunus_persica/p.persica_gdr_reftransV1_0026914","p.persica_gdr_reftransV1_0026914")</f>
        <v>p.persica_gdr_reftransV1_0026914</v>
      </c>
      <c r="B15547" s="2">
        <v>2366</v>
      </c>
      <c r="C15547" s="4" t="str">
        <f>HYPERLINK("http://www.uniprot.org/uniprot/M5XS68","M5XS68")</f>
        <v>M5XS68</v>
      </c>
      <c r="D15547" s="2" t="s">
        <v>12467</v>
      </c>
      <c r="E15547" s="3">
        <v>0</v>
      </c>
      <c r="F15547" s="2">
        <v>1439</v>
      </c>
      <c r="G15547" s="2">
        <v>100</v>
      </c>
      <c r="H15547" s="2">
        <v>267</v>
      </c>
      <c r="I15547" s="2">
        <v>784</v>
      </c>
      <c r="J15547" s="2">
        <v>1584</v>
      </c>
      <c r="K15547" s="2">
        <v>1</v>
      </c>
      <c r="L15547" s="2">
        <v>267</v>
      </c>
    </row>
    <row r="15548" spans="1:12" x14ac:dyDescent="0.25">
      <c r="A15548" s="4" t="str">
        <f>HYPERLINK("http://www.rosaceae.org/Prunus/Prunus_persica/p.persica_gdr_reftransV1_0029014","p.persica_gdr_reftransV1_0029014")</f>
        <v>p.persica_gdr_reftransV1_0029014</v>
      </c>
      <c r="B15548" s="2">
        <v>1235</v>
      </c>
      <c r="C15548" s="4" t="str">
        <f>HYPERLINK("http://www.uniprot.org/uniprot/M5WC42","M5WC42")</f>
        <v>M5WC42</v>
      </c>
      <c r="D15548" s="2" t="s">
        <v>12468</v>
      </c>
      <c r="E15548" s="3">
        <v>2.8800000000000002E-117</v>
      </c>
      <c r="F15548" s="2">
        <v>900</v>
      </c>
      <c r="G15548" s="2">
        <v>99</v>
      </c>
      <c r="H15548" s="2">
        <v>176</v>
      </c>
      <c r="I15548" s="2">
        <v>195</v>
      </c>
      <c r="J15548" s="2">
        <v>722</v>
      </c>
      <c r="K15548" s="2">
        <v>1</v>
      </c>
      <c r="L15548" s="2">
        <v>176</v>
      </c>
    </row>
    <row r="15549" spans="1:12" x14ac:dyDescent="0.25">
      <c r="A15549" s="4" t="str">
        <f>HYPERLINK("http://www.rosaceae.org/Prunus/Prunus_persica/p.persica_gdr_reftransV1_0029714","p.persica_gdr_reftransV1_0029714")</f>
        <v>p.persica_gdr_reftransV1_0029714</v>
      </c>
      <c r="B15549" s="2">
        <v>1277</v>
      </c>
      <c r="C15549" s="4" t="str">
        <f>HYPERLINK("http://www.uniprot.org/uniprot/M5W894","M5W894")</f>
        <v>M5W894</v>
      </c>
      <c r="D15549" s="2" t="s">
        <v>3631</v>
      </c>
      <c r="E15549" s="3">
        <v>0</v>
      </c>
      <c r="F15549" s="2">
        <v>1617</v>
      </c>
      <c r="G15549" s="2">
        <v>97</v>
      </c>
      <c r="H15549" s="2">
        <v>324</v>
      </c>
      <c r="I15549" s="2">
        <v>3</v>
      </c>
      <c r="J15549" s="2">
        <v>974</v>
      </c>
      <c r="K15549" s="2">
        <v>206</v>
      </c>
      <c r="L15549" s="2">
        <v>529</v>
      </c>
    </row>
    <row r="15550" spans="1:12" x14ac:dyDescent="0.25">
      <c r="A15550" s="4" t="str">
        <f>HYPERLINK("http://www.rosaceae.org/Prunus/Prunus_persica/p.persica_gdr_reftransV1_0030764","p.persica_gdr_reftransV1_0030764")</f>
        <v>p.persica_gdr_reftransV1_0030764</v>
      </c>
      <c r="B15550" s="2">
        <v>1743</v>
      </c>
      <c r="C15550" s="4" t="str">
        <f>HYPERLINK("http://www.uniprot.org/uniprot/M5W9V9","M5W9V9")</f>
        <v>M5W9V9</v>
      </c>
      <c r="D15550" s="2" t="s">
        <v>12469</v>
      </c>
      <c r="E15550" s="3">
        <v>0</v>
      </c>
      <c r="F15550" s="2">
        <v>1733</v>
      </c>
      <c r="G15550" s="2">
        <v>100</v>
      </c>
      <c r="H15550" s="2">
        <v>324</v>
      </c>
      <c r="I15550" s="2">
        <v>582</v>
      </c>
      <c r="J15550" s="2">
        <v>1553</v>
      </c>
      <c r="K15550" s="2">
        <v>10</v>
      </c>
      <c r="L15550" s="2">
        <v>333</v>
      </c>
    </row>
    <row r="15551" spans="1:12" x14ac:dyDescent="0.25">
      <c r="A15551" s="4" t="str">
        <f>HYPERLINK("http://www.rosaceae.org/Prunus/Prunus_persica/p.persica_gdr_reftransV1_0031464","p.persica_gdr_reftransV1_0031464")</f>
        <v>p.persica_gdr_reftransV1_0031464</v>
      </c>
      <c r="B15551" s="2">
        <v>2157</v>
      </c>
      <c r="C15551" s="4" t="str">
        <f>HYPERLINK("http://www.uniprot.org/uniprot/M5WU21","M5WU21")</f>
        <v>M5WU21</v>
      </c>
      <c r="D15551" s="2" t="s">
        <v>12470</v>
      </c>
      <c r="E15551" s="3">
        <v>0</v>
      </c>
      <c r="F15551" s="2">
        <v>2282</v>
      </c>
      <c r="G15551" s="2">
        <v>100</v>
      </c>
      <c r="H15551" s="2">
        <v>457</v>
      </c>
      <c r="I15551" s="2">
        <v>68</v>
      </c>
      <c r="J15551" s="2">
        <v>1438</v>
      </c>
      <c r="K15551" s="2">
        <v>1</v>
      </c>
      <c r="L15551" s="2">
        <v>457</v>
      </c>
    </row>
    <row r="15552" spans="1:12" x14ac:dyDescent="0.25">
      <c r="A15552" s="4" t="str">
        <f>HYPERLINK("http://www.rosaceae.org/Prunus/Prunus_persica/p.persica_gdr_reftransV1_0031814","p.persica_gdr_reftransV1_0031814")</f>
        <v>p.persica_gdr_reftransV1_0031814</v>
      </c>
      <c r="B15552" s="2">
        <v>1721</v>
      </c>
      <c r="C15552" s="4" t="str">
        <f>HYPERLINK("http://www.uniprot.org/uniprot/M5VL02","M5VL02")</f>
        <v>M5VL02</v>
      </c>
      <c r="D15552" s="2" t="s">
        <v>12471</v>
      </c>
      <c r="E15552" s="3">
        <v>1.18E-63</v>
      </c>
      <c r="F15552" s="2">
        <v>547</v>
      </c>
      <c r="G15552" s="2">
        <v>100</v>
      </c>
      <c r="H15552" s="2">
        <v>106</v>
      </c>
      <c r="I15552" s="2">
        <v>366</v>
      </c>
      <c r="J15552" s="2">
        <v>683</v>
      </c>
      <c r="K15552" s="2">
        <v>1</v>
      </c>
      <c r="L15552" s="2">
        <v>106</v>
      </c>
    </row>
    <row r="15553" spans="1:12" x14ac:dyDescent="0.25">
      <c r="A15553" s="4" t="str">
        <f>HYPERLINK("http://www.rosaceae.org/Prunus/Prunus_persica/p.persica_gdr_reftransV1_0033914","p.persica_gdr_reftransV1_0033914")</f>
        <v>p.persica_gdr_reftransV1_0033914</v>
      </c>
      <c r="B15553" s="2">
        <v>3127</v>
      </c>
      <c r="C15553" s="4" t="str">
        <f>HYPERLINK("http://www.uniprot.org/uniprot/M5WJ78","M5WJ78")</f>
        <v>M5WJ78</v>
      </c>
      <c r="D15553" s="2" t="s">
        <v>12472</v>
      </c>
      <c r="E15553" s="3">
        <v>0</v>
      </c>
      <c r="F15553" s="2">
        <v>4463</v>
      </c>
      <c r="G15553" s="2">
        <v>100</v>
      </c>
      <c r="H15553" s="2">
        <v>842</v>
      </c>
      <c r="I15553" s="2">
        <v>165</v>
      </c>
      <c r="J15553" s="2">
        <v>2690</v>
      </c>
      <c r="K15553" s="2">
        <v>1</v>
      </c>
      <c r="L15553" s="2">
        <v>842</v>
      </c>
    </row>
    <row r="15554" spans="1:12" x14ac:dyDescent="0.25">
      <c r="A15554" s="4" t="str">
        <f>HYPERLINK("http://www.rosaceae.org/Prunus/Prunus_persica/p.persica_gdr_reftransV1_0034264","p.persica_gdr_reftransV1_0034264")</f>
        <v>p.persica_gdr_reftransV1_0034264</v>
      </c>
      <c r="B15554" s="2">
        <v>2884</v>
      </c>
      <c r="C15554" s="4" t="str">
        <f>HYPERLINK("http://www.uniprot.org/uniprot/M5XFE3","M5XFE3")</f>
        <v>M5XFE3</v>
      </c>
      <c r="D15554" s="2" t="s">
        <v>12473</v>
      </c>
      <c r="E15554" s="3">
        <v>0</v>
      </c>
      <c r="F15554" s="2">
        <v>1772</v>
      </c>
      <c r="G15554" s="2">
        <v>99</v>
      </c>
      <c r="H15554" s="2">
        <v>331</v>
      </c>
      <c r="I15554" s="2">
        <v>350</v>
      </c>
      <c r="J15554" s="2">
        <v>1342</v>
      </c>
      <c r="K15554" s="2">
        <v>1</v>
      </c>
      <c r="L15554" s="2">
        <v>331</v>
      </c>
    </row>
    <row r="15555" spans="1:12" x14ac:dyDescent="0.25">
      <c r="A15555" s="4" t="str">
        <f>HYPERLINK("http://www.rosaceae.org/Prunus/Prunus_persica/p.persica_gdr_reftransV1_0037064","p.persica_gdr_reftransV1_0037064")</f>
        <v>p.persica_gdr_reftransV1_0037064</v>
      </c>
      <c r="B15555" s="2">
        <v>1784</v>
      </c>
      <c r="C15555" s="4" t="str">
        <f>HYPERLINK("http://www.uniprot.org/uniprot/M5W9P8","M5W9P8")</f>
        <v>M5W9P8</v>
      </c>
      <c r="D15555" s="2" t="s">
        <v>12474</v>
      </c>
      <c r="E15555" s="3">
        <v>0</v>
      </c>
      <c r="F15555" s="2">
        <v>1882</v>
      </c>
      <c r="G15555" s="2">
        <v>100</v>
      </c>
      <c r="H15555" s="2">
        <v>346</v>
      </c>
      <c r="I15555" s="2">
        <v>322</v>
      </c>
      <c r="J15555" s="2">
        <v>1359</v>
      </c>
      <c r="K15555" s="2">
        <v>1</v>
      </c>
      <c r="L15555" s="2">
        <v>346</v>
      </c>
    </row>
    <row r="15556" spans="1:12" x14ac:dyDescent="0.25">
      <c r="A15556" s="4" t="str">
        <f>HYPERLINK("http://www.rosaceae.org/Prunus/Prunus_persica/p.persica_gdr_reftransV1_0038114","p.persica_gdr_reftransV1_0038114")</f>
        <v>p.persica_gdr_reftransV1_0038114</v>
      </c>
      <c r="B15556" s="2">
        <v>2158</v>
      </c>
      <c r="C15556" s="4" t="str">
        <f>HYPERLINK("http://www.uniprot.org/uniprot/M5X666","M5X666")</f>
        <v>M5X666</v>
      </c>
      <c r="D15556" s="2" t="s">
        <v>1470</v>
      </c>
      <c r="E15556" s="3">
        <v>3.2600000000000001E-79</v>
      </c>
      <c r="F15556" s="2">
        <v>524</v>
      </c>
      <c r="G15556" s="2">
        <v>100</v>
      </c>
      <c r="H15556" s="2">
        <v>101</v>
      </c>
      <c r="I15556" s="2">
        <v>508</v>
      </c>
      <c r="J15556" s="2">
        <v>810</v>
      </c>
      <c r="K15556" s="2">
        <v>162</v>
      </c>
      <c r="L15556" s="2">
        <v>262</v>
      </c>
    </row>
    <row r="15557" spans="1:12" x14ac:dyDescent="0.25">
      <c r="A15557" s="4" t="str">
        <f>HYPERLINK("http://www.rosaceae.org/Prunus/Prunus_persica/p.persica_gdr_reftransV1_0039864","p.persica_gdr_reftransV1_0039864")</f>
        <v>p.persica_gdr_reftransV1_0039864</v>
      </c>
      <c r="B15557" s="2">
        <v>934</v>
      </c>
      <c r="C15557" s="4" t="str">
        <f>HYPERLINK("http://www.uniprot.org/uniprot/M5VNZ8","M5VNZ8")</f>
        <v>M5VNZ8</v>
      </c>
      <c r="D15557" s="2" t="s">
        <v>12475</v>
      </c>
      <c r="E15557" s="3">
        <v>6.2899999999999998E-41</v>
      </c>
      <c r="F15557" s="2">
        <v>375</v>
      </c>
      <c r="G15557" s="2">
        <v>100</v>
      </c>
      <c r="H15557" s="2">
        <v>70</v>
      </c>
      <c r="I15557" s="2">
        <v>717</v>
      </c>
      <c r="J15557" s="2">
        <v>926</v>
      </c>
      <c r="K15557" s="2">
        <v>31</v>
      </c>
      <c r="L15557" s="2">
        <v>100</v>
      </c>
    </row>
    <row r="15558" spans="1:12" x14ac:dyDescent="0.25">
      <c r="A15558" s="4" t="str">
        <f>HYPERLINK("http://www.rosaceae.org/Prunus/Prunus_persica/p.persica_gdr_reftransV1_0040214","p.persica_gdr_reftransV1_0040214")</f>
        <v>p.persica_gdr_reftransV1_0040214</v>
      </c>
      <c r="B15558" s="2">
        <v>3356</v>
      </c>
      <c r="C15558" s="4" t="str">
        <f>HYPERLINK("http://www.uniprot.org/uniprot/M5WXN8","M5WXN8")</f>
        <v>M5WXN8</v>
      </c>
      <c r="D15558" s="2" t="s">
        <v>12476</v>
      </c>
      <c r="E15558" s="3">
        <v>0</v>
      </c>
      <c r="F15558" s="2">
        <v>4541</v>
      </c>
      <c r="G15558" s="2">
        <v>100</v>
      </c>
      <c r="H15558" s="2">
        <v>898</v>
      </c>
      <c r="I15558" s="2">
        <v>231</v>
      </c>
      <c r="J15558" s="2">
        <v>2924</v>
      </c>
      <c r="K15558" s="2">
        <v>1</v>
      </c>
      <c r="L15558" s="2">
        <v>898</v>
      </c>
    </row>
    <row r="15559" spans="1:12" x14ac:dyDescent="0.25">
      <c r="A15559" s="4" t="str">
        <f>HYPERLINK("http://www.rosaceae.org/Prunus/Prunus_persica/p.persica_gdr_reftransV1_0040914","p.persica_gdr_reftransV1_0040914")</f>
        <v>p.persica_gdr_reftransV1_0040914</v>
      </c>
      <c r="B15559" s="2">
        <v>1296</v>
      </c>
      <c r="C15559" s="4" t="str">
        <f>HYPERLINK("http://www.uniprot.org/uniprot/M5WNP8","M5WNP8")</f>
        <v>M5WNP8</v>
      </c>
      <c r="D15559" s="2" t="s">
        <v>12477</v>
      </c>
      <c r="E15559" s="3">
        <v>2.9399999999999998E-69</v>
      </c>
      <c r="F15559" s="2">
        <v>582</v>
      </c>
      <c r="G15559" s="2">
        <v>100</v>
      </c>
      <c r="H15559" s="2">
        <v>128</v>
      </c>
      <c r="I15559" s="2">
        <v>612</v>
      </c>
      <c r="J15559" s="2">
        <v>995</v>
      </c>
      <c r="K15559" s="2">
        <v>42</v>
      </c>
      <c r="L15559" s="2">
        <v>169</v>
      </c>
    </row>
    <row r="15560" spans="1:12" x14ac:dyDescent="0.25">
      <c r="A15560" s="4" t="str">
        <f>HYPERLINK("http://www.rosaceae.org/Prunus/Prunus_persica/p.persica_gdr_reftransV1_0041264","p.persica_gdr_reftransV1_0041264")</f>
        <v>p.persica_gdr_reftransV1_0041264</v>
      </c>
      <c r="B15560" s="2">
        <v>2128</v>
      </c>
      <c r="C15560" s="4" t="str">
        <f>HYPERLINK("http://www.uniprot.org/uniprot/M5XYJ4","M5XYJ4")</f>
        <v>M5XYJ4</v>
      </c>
      <c r="D15560" s="2" t="s">
        <v>12478</v>
      </c>
      <c r="E15560" s="3">
        <v>0</v>
      </c>
      <c r="F15560" s="2">
        <v>2019</v>
      </c>
      <c r="G15560" s="2">
        <v>99</v>
      </c>
      <c r="H15560" s="2">
        <v>399</v>
      </c>
      <c r="I15560" s="2">
        <v>183</v>
      </c>
      <c r="J15560" s="2">
        <v>1379</v>
      </c>
      <c r="K15560" s="2">
        <v>1</v>
      </c>
      <c r="L15560" s="2">
        <v>399</v>
      </c>
    </row>
    <row r="15561" spans="1:12" x14ac:dyDescent="0.25">
      <c r="A15561" s="4" t="str">
        <f>HYPERLINK("http://www.rosaceae.org/Prunus/Prunus_persica/p.persica_gdr_reftransV1_0042314","p.persica_gdr_reftransV1_0042314")</f>
        <v>p.persica_gdr_reftransV1_0042314</v>
      </c>
      <c r="B15561" s="2">
        <v>2847</v>
      </c>
      <c r="C15561" s="4" t="str">
        <f>HYPERLINK("http://www.uniprot.org/uniprot/M5X5Y7","M5X5Y7")</f>
        <v>M5X5Y7</v>
      </c>
      <c r="D15561" s="2" t="s">
        <v>12479</v>
      </c>
      <c r="E15561" s="3">
        <v>1.9E-112</v>
      </c>
      <c r="F15561" s="2">
        <v>922</v>
      </c>
      <c r="G15561" s="2">
        <v>99</v>
      </c>
      <c r="H15561" s="2">
        <v>171</v>
      </c>
      <c r="I15561" s="2">
        <v>1215</v>
      </c>
      <c r="J15561" s="2">
        <v>1727</v>
      </c>
      <c r="K15561" s="2">
        <v>1</v>
      </c>
      <c r="L15561" s="2">
        <v>171</v>
      </c>
    </row>
    <row r="15562" spans="1:12" x14ac:dyDescent="0.25">
      <c r="A15562" s="4" t="str">
        <f>HYPERLINK("http://www.rosaceae.org/Prunus/Prunus_persica/p.persica_gdr_reftransV1_0043364","p.persica_gdr_reftransV1_0043364")</f>
        <v>p.persica_gdr_reftransV1_0043364</v>
      </c>
      <c r="B15562" s="2">
        <v>752</v>
      </c>
      <c r="C15562" s="4" t="str">
        <f>HYPERLINK("http://www.uniprot.org/uniprot/M5XGF7","M5XGF7")</f>
        <v>M5XGF7</v>
      </c>
      <c r="D15562" s="2" t="s">
        <v>527</v>
      </c>
      <c r="E15562" s="3">
        <v>1.18E-138</v>
      </c>
      <c r="F15562" s="2">
        <v>1031</v>
      </c>
      <c r="G15562" s="2">
        <v>100</v>
      </c>
      <c r="H15562" s="2">
        <v>200</v>
      </c>
      <c r="I15562" s="2">
        <v>151</v>
      </c>
      <c r="J15562" s="2">
        <v>750</v>
      </c>
      <c r="K15562" s="2">
        <v>39</v>
      </c>
      <c r="L15562" s="2">
        <v>238</v>
      </c>
    </row>
    <row r="15563" spans="1:12" x14ac:dyDescent="0.25">
      <c r="A15563" s="4" t="str">
        <f>HYPERLINK("http://www.rosaceae.org/Prunus/Prunus_persica/p.persica_gdr_reftransV1_0043714","p.persica_gdr_reftransV1_0043714")</f>
        <v>p.persica_gdr_reftransV1_0043714</v>
      </c>
      <c r="B15563" s="2">
        <v>1602</v>
      </c>
      <c r="C15563" s="4" t="str">
        <f>HYPERLINK("http://www.uniprot.org/uniprot/M5X1L5","M5X1L5")</f>
        <v>M5X1L5</v>
      </c>
      <c r="D15563" s="2" t="s">
        <v>12480</v>
      </c>
      <c r="E15563" s="3">
        <v>0</v>
      </c>
      <c r="F15563" s="2">
        <v>1802</v>
      </c>
      <c r="G15563" s="2">
        <v>100</v>
      </c>
      <c r="H15563" s="2">
        <v>360</v>
      </c>
      <c r="I15563" s="2">
        <v>137</v>
      </c>
      <c r="J15563" s="2">
        <v>1216</v>
      </c>
      <c r="K15563" s="2">
        <v>1</v>
      </c>
      <c r="L15563" s="2">
        <v>360</v>
      </c>
    </row>
    <row r="15564" spans="1:12" x14ac:dyDescent="0.25">
      <c r="A15564" s="4" t="str">
        <f>HYPERLINK("http://www.rosaceae.org/Prunus/Prunus_persica/p.persica_gdr_reftransV1_0044064","p.persica_gdr_reftransV1_0044064")</f>
        <v>p.persica_gdr_reftransV1_0044064</v>
      </c>
      <c r="B15564" s="2">
        <v>755</v>
      </c>
      <c r="C15564" s="4" t="str">
        <f>HYPERLINK("http://www.uniprot.org/uniprot/M5WB20","M5WB20")</f>
        <v>M5WB20</v>
      </c>
      <c r="D15564" s="2" t="s">
        <v>9681</v>
      </c>
      <c r="E15564" s="3">
        <v>1.49E-158</v>
      </c>
      <c r="F15564" s="2">
        <v>1174</v>
      </c>
      <c r="G15564" s="2">
        <v>100</v>
      </c>
      <c r="H15564" s="2">
        <v>219</v>
      </c>
      <c r="I15564" s="2">
        <v>85</v>
      </c>
      <c r="J15564" s="2">
        <v>741</v>
      </c>
      <c r="K15564" s="2">
        <v>1</v>
      </c>
      <c r="L15564" s="2">
        <v>219</v>
      </c>
    </row>
    <row r="15565" spans="1:12" x14ac:dyDescent="0.25">
      <c r="A15565" s="4" t="str">
        <f>HYPERLINK("http://www.rosaceae.org/Prunus/Prunus_persica/p.persica_gdr_reftransV1_0044414","p.persica_gdr_reftransV1_0044414")</f>
        <v>p.persica_gdr_reftransV1_0044414</v>
      </c>
      <c r="B15565" s="2">
        <v>1072</v>
      </c>
      <c r="C15565" s="4" t="str">
        <f>HYPERLINK("http://www.uniprot.org/uniprot/M5XB09","M5XB09")</f>
        <v>M5XB09</v>
      </c>
      <c r="D15565" s="2" t="s">
        <v>12481</v>
      </c>
      <c r="E15565" s="3">
        <v>5.9500000000000001E-76</v>
      </c>
      <c r="F15565" s="2">
        <v>621</v>
      </c>
      <c r="G15565" s="2">
        <v>100</v>
      </c>
      <c r="H15565" s="2">
        <v>183</v>
      </c>
      <c r="I15565" s="2">
        <v>333</v>
      </c>
      <c r="J15565" s="2">
        <v>881</v>
      </c>
      <c r="K15565" s="2">
        <v>1</v>
      </c>
      <c r="L15565" s="2">
        <v>183</v>
      </c>
    </row>
    <row r="15566" spans="1:12" x14ac:dyDescent="0.25">
      <c r="A15566" s="4" t="str">
        <f>HYPERLINK("http://www.rosaceae.org/Prunus/Prunus_persica/p.persica_gdr_reftransV1_0044764","p.persica_gdr_reftransV1_0044764")</f>
        <v>p.persica_gdr_reftransV1_0044764</v>
      </c>
      <c r="B15566" s="2">
        <v>1130</v>
      </c>
      <c r="C15566" s="4" t="str">
        <f>HYPERLINK("http://www.uniprot.org/uniprot/M5WV08","M5WV08")</f>
        <v>M5WV08</v>
      </c>
      <c r="D15566" s="2" t="s">
        <v>12482</v>
      </c>
      <c r="E15566" s="3">
        <v>1.4399999999999999E-147</v>
      </c>
      <c r="F15566" s="2">
        <v>1102</v>
      </c>
      <c r="G15566" s="2">
        <v>100</v>
      </c>
      <c r="H15566" s="2">
        <v>206</v>
      </c>
      <c r="I15566" s="2">
        <v>335</v>
      </c>
      <c r="J15566" s="2">
        <v>952</v>
      </c>
      <c r="K15566" s="2">
        <v>24</v>
      </c>
      <c r="L15566" s="2">
        <v>229</v>
      </c>
    </row>
    <row r="15567" spans="1:12" x14ac:dyDescent="0.25">
      <c r="A15567" s="4" t="str">
        <f>HYPERLINK("http://www.rosaceae.org/Prunus/Prunus_persica/p.persica_gdr_reftransV1_0045114","p.persica_gdr_reftransV1_0045114")</f>
        <v>p.persica_gdr_reftransV1_0045114</v>
      </c>
      <c r="B15567" s="2">
        <v>1751</v>
      </c>
      <c r="C15567" s="4" t="str">
        <f>HYPERLINK("http://www.uniprot.org/uniprot/M5WX47","M5WX47")</f>
        <v>M5WX47</v>
      </c>
      <c r="D15567" s="2" t="s">
        <v>7659</v>
      </c>
      <c r="E15567" s="3">
        <v>0</v>
      </c>
      <c r="F15567" s="2">
        <v>2422</v>
      </c>
      <c r="G15567" s="2">
        <v>97</v>
      </c>
      <c r="H15567" s="2">
        <v>465</v>
      </c>
      <c r="I15567" s="2">
        <v>355</v>
      </c>
      <c r="J15567" s="2">
        <v>1749</v>
      </c>
      <c r="K15567" s="2">
        <v>115</v>
      </c>
      <c r="L15567" s="2">
        <v>579</v>
      </c>
    </row>
    <row r="15568" spans="1:12" x14ac:dyDescent="0.25">
      <c r="A15568" s="4" t="str">
        <f>HYPERLINK("http://www.rosaceae.org/Prunus/Prunus_persica/p.persica_gdr_reftransV1_0045464","p.persica_gdr_reftransV1_0045464")</f>
        <v>p.persica_gdr_reftransV1_0045464</v>
      </c>
      <c r="B15568" s="2">
        <v>1726</v>
      </c>
      <c r="C15568" s="4" t="str">
        <f>HYPERLINK("http://www.uniprot.org/uniprot/M5WV32","M5WV32")</f>
        <v>M5WV32</v>
      </c>
      <c r="D15568" s="2" t="s">
        <v>12483</v>
      </c>
      <c r="E15568" s="3">
        <v>8.1199999999999998E-114</v>
      </c>
      <c r="F15568" s="2">
        <v>899</v>
      </c>
      <c r="G15568" s="2">
        <v>100</v>
      </c>
      <c r="H15568" s="2">
        <v>221</v>
      </c>
      <c r="I15568" s="2">
        <v>519</v>
      </c>
      <c r="J15568" s="2">
        <v>1181</v>
      </c>
      <c r="K15568" s="2">
        <v>21</v>
      </c>
      <c r="L15568" s="2">
        <v>241</v>
      </c>
    </row>
    <row r="15569" spans="1:12" x14ac:dyDescent="0.25">
      <c r="A15569" s="4" t="str">
        <f>HYPERLINK("http://www.rosaceae.org/Prunus/Prunus_persica/p.persica_gdr_reftransV1_0045814","p.persica_gdr_reftransV1_0045814")</f>
        <v>p.persica_gdr_reftransV1_0045814</v>
      </c>
      <c r="B15569" s="2">
        <v>4296</v>
      </c>
      <c r="C15569" s="4" t="str">
        <f>HYPERLINK("http://www.uniprot.org/uniprot/M5WR73","M5WR73")</f>
        <v>M5WR73</v>
      </c>
      <c r="D15569" s="2" t="s">
        <v>3382</v>
      </c>
      <c r="E15569" s="3">
        <v>0</v>
      </c>
      <c r="F15569" s="2">
        <v>5589</v>
      </c>
      <c r="G15569" s="2">
        <v>100</v>
      </c>
      <c r="H15569" s="2">
        <v>1084</v>
      </c>
      <c r="I15569" s="2">
        <v>330</v>
      </c>
      <c r="J15569" s="2">
        <v>3581</v>
      </c>
      <c r="K15569" s="2">
        <v>12</v>
      </c>
      <c r="L15569" s="2">
        <v>1095</v>
      </c>
    </row>
    <row r="15570" spans="1:12" x14ac:dyDescent="0.25">
      <c r="A15570" s="4" t="str">
        <f>HYPERLINK("http://www.rosaceae.org/Prunus/Prunus_persica/p.persica_gdr_reftransV1_0046164","p.persica_gdr_reftransV1_0046164")</f>
        <v>p.persica_gdr_reftransV1_0046164</v>
      </c>
      <c r="B15570" s="2">
        <v>861</v>
      </c>
      <c r="C15570" s="4" t="str">
        <f>HYPERLINK("http://www.uniprot.org/uniprot/M5XI15","M5XI15")</f>
        <v>M5XI15</v>
      </c>
      <c r="D15570" s="2" t="s">
        <v>12484</v>
      </c>
      <c r="E15570" s="3">
        <v>2.1300000000000001E-85</v>
      </c>
      <c r="F15570" s="2">
        <v>675</v>
      </c>
      <c r="G15570" s="2">
        <v>92</v>
      </c>
      <c r="H15570" s="2">
        <v>153</v>
      </c>
      <c r="I15570" s="2">
        <v>402</v>
      </c>
      <c r="J15570" s="2">
        <v>860</v>
      </c>
      <c r="K15570" s="2">
        <v>8</v>
      </c>
      <c r="L15570" s="2">
        <v>160</v>
      </c>
    </row>
    <row r="15571" spans="1:12" x14ac:dyDescent="0.25">
      <c r="A15571" s="4" t="str">
        <f>HYPERLINK("http://www.rosaceae.org/Prunus/Prunus_persica/p.persica_gdr_reftransV1_0046514","p.persica_gdr_reftransV1_0046514")</f>
        <v>p.persica_gdr_reftransV1_0046514</v>
      </c>
      <c r="B15571" s="2">
        <v>4071</v>
      </c>
      <c r="C15571" s="4" t="str">
        <f>HYPERLINK("http://www.uniprot.org/uniprot/M5WE91","M5WE91")</f>
        <v>M5WE91</v>
      </c>
      <c r="D15571" s="2" t="s">
        <v>415</v>
      </c>
      <c r="E15571" s="3">
        <v>0</v>
      </c>
      <c r="F15571" s="2">
        <v>3662</v>
      </c>
      <c r="G15571" s="2">
        <v>100</v>
      </c>
      <c r="H15571" s="2">
        <v>706</v>
      </c>
      <c r="I15571" s="2">
        <v>1</v>
      </c>
      <c r="J15571" s="2">
        <v>2118</v>
      </c>
      <c r="K15571" s="2">
        <v>321</v>
      </c>
      <c r="L15571" s="2">
        <v>1026</v>
      </c>
    </row>
    <row r="15572" spans="1:12" x14ac:dyDescent="0.25">
      <c r="A15572" s="4" t="str">
        <f>HYPERLINK("http://www.rosaceae.org/Prunus/Prunus_persica/p.persica_gdr_reftransV1_0047214","p.persica_gdr_reftransV1_0047214")</f>
        <v>p.persica_gdr_reftransV1_0047214</v>
      </c>
      <c r="B15572" s="2">
        <v>1262</v>
      </c>
      <c r="C15572" s="4" t="str">
        <f>HYPERLINK("http://www.uniprot.org/uniprot/M5W9V8","M5W9V8")</f>
        <v>M5W9V8</v>
      </c>
      <c r="D15572" s="2" t="s">
        <v>12485</v>
      </c>
      <c r="E15572" s="3">
        <v>5.53E-162</v>
      </c>
      <c r="F15572" s="2">
        <v>1209</v>
      </c>
      <c r="G15572" s="2">
        <v>100</v>
      </c>
      <c r="H15572" s="2">
        <v>288</v>
      </c>
      <c r="I15572" s="2">
        <v>299</v>
      </c>
      <c r="J15572" s="2">
        <v>1162</v>
      </c>
      <c r="K15572" s="2">
        <v>1</v>
      </c>
      <c r="L15572" s="2">
        <v>288</v>
      </c>
    </row>
    <row r="15573" spans="1:12" x14ac:dyDescent="0.25">
      <c r="A15573" s="4" t="str">
        <f>HYPERLINK("http://www.rosaceae.org/Prunus/Prunus_persica/p.persica_gdr_reftransV1_0047564","p.persica_gdr_reftransV1_0047564")</f>
        <v>p.persica_gdr_reftransV1_0047564</v>
      </c>
      <c r="B15573" s="2">
        <v>2252</v>
      </c>
      <c r="C15573" s="4" t="str">
        <f>HYPERLINK("http://www.uniprot.org/uniprot/M5W854","M5W854")</f>
        <v>M5W854</v>
      </c>
      <c r="D15573" s="2" t="s">
        <v>12486</v>
      </c>
      <c r="E15573" s="3">
        <v>0</v>
      </c>
      <c r="F15573" s="2">
        <v>3064</v>
      </c>
      <c r="G15573" s="2">
        <v>100</v>
      </c>
      <c r="H15573" s="2">
        <v>581</v>
      </c>
      <c r="I15573" s="2">
        <v>251</v>
      </c>
      <c r="J15573" s="2">
        <v>1993</v>
      </c>
      <c r="K15573" s="2">
        <v>1</v>
      </c>
      <c r="L15573" s="2">
        <v>581</v>
      </c>
    </row>
    <row r="15574" spans="1:12" x14ac:dyDescent="0.25">
      <c r="A15574" s="4" t="str">
        <f>HYPERLINK("http://www.rosaceae.org/Prunus/Prunus_persica/p.persica_gdr_reftransV1_0047914","p.persica_gdr_reftransV1_0047914")</f>
        <v>p.persica_gdr_reftransV1_0047914</v>
      </c>
      <c r="B15574" s="2">
        <v>1422</v>
      </c>
      <c r="C15574" s="4" t="str">
        <f>HYPERLINK("http://www.uniprot.org/uniprot/M5XL77","M5XL77")</f>
        <v>M5XL77</v>
      </c>
      <c r="D15574" s="2" t="s">
        <v>7588</v>
      </c>
      <c r="E15574" s="3">
        <v>0</v>
      </c>
      <c r="F15574" s="2">
        <v>1397</v>
      </c>
      <c r="G15574" s="2">
        <v>98</v>
      </c>
      <c r="H15574" s="2">
        <v>272</v>
      </c>
      <c r="I15574" s="2">
        <v>166</v>
      </c>
      <c r="J15574" s="2">
        <v>981</v>
      </c>
      <c r="K15574" s="2">
        <v>65</v>
      </c>
      <c r="L15574" s="2">
        <v>336</v>
      </c>
    </row>
    <row r="15575" spans="1:12" x14ac:dyDescent="0.25">
      <c r="A15575" s="4" t="str">
        <f>HYPERLINK("http://www.rosaceae.org/Prunus/Prunus_persica/p.persica_gdr_reftransV1_0048264","p.persica_gdr_reftransV1_0048264")</f>
        <v>p.persica_gdr_reftransV1_0048264</v>
      </c>
      <c r="B15575" s="2">
        <v>1479</v>
      </c>
      <c r="C15575" s="4" t="str">
        <f>HYPERLINK("http://www.uniprot.org/uniprot/M5XP42","M5XP42")</f>
        <v>M5XP42</v>
      </c>
      <c r="D15575" s="2" t="s">
        <v>12487</v>
      </c>
      <c r="E15575" s="3">
        <v>0</v>
      </c>
      <c r="F15575" s="2">
        <v>1809</v>
      </c>
      <c r="G15575" s="2">
        <v>100</v>
      </c>
      <c r="H15575" s="2">
        <v>361</v>
      </c>
      <c r="I15575" s="2">
        <v>290</v>
      </c>
      <c r="J15575" s="2">
        <v>1372</v>
      </c>
      <c r="K15575" s="2">
        <v>1</v>
      </c>
      <c r="L15575" s="2">
        <v>361</v>
      </c>
    </row>
    <row r="15576" spans="1:12" x14ac:dyDescent="0.25">
      <c r="A15576" s="4" t="str">
        <f>HYPERLINK("http://www.rosaceae.org/Prunus/Prunus_persica/p.persica_gdr_reftransV1_0048614","p.persica_gdr_reftransV1_0048614")</f>
        <v>p.persica_gdr_reftransV1_0048614</v>
      </c>
      <c r="B15576" s="2">
        <v>908</v>
      </c>
      <c r="C15576" s="4" t="str">
        <f>HYPERLINK("http://www.uniprot.org/uniprot/M5WSR6","M5WSR6")</f>
        <v>M5WSR6</v>
      </c>
      <c r="D15576" s="2" t="s">
        <v>12488</v>
      </c>
      <c r="E15576" s="3">
        <v>2.0199999999999998E-90</v>
      </c>
      <c r="F15576" s="2">
        <v>712</v>
      </c>
      <c r="G15576" s="2">
        <v>100</v>
      </c>
      <c r="H15576" s="2">
        <v>176</v>
      </c>
      <c r="I15576" s="2">
        <v>84</v>
      </c>
      <c r="J15576" s="2">
        <v>611</v>
      </c>
      <c r="K15576" s="2">
        <v>1</v>
      </c>
      <c r="L15576" s="2">
        <v>176</v>
      </c>
    </row>
    <row r="15577" spans="1:12" x14ac:dyDescent="0.25">
      <c r="A15577" s="4" t="str">
        <f>HYPERLINK("http://www.rosaceae.org/Prunus/Prunus_persica/p.persica_gdr_reftransV1_0048964","p.persica_gdr_reftransV1_0048964")</f>
        <v>p.persica_gdr_reftransV1_0048964</v>
      </c>
      <c r="B15577" s="2">
        <v>1575</v>
      </c>
      <c r="C15577" s="4" t="str">
        <f>HYPERLINK("http://www.uniprot.org/uniprot/M5Y9G3","M5Y9G3")</f>
        <v>M5Y9G3</v>
      </c>
      <c r="D15577" s="2" t="s">
        <v>12489</v>
      </c>
      <c r="E15577" s="3">
        <v>6.5699999999999997E-111</v>
      </c>
      <c r="F15577" s="2">
        <v>869</v>
      </c>
      <c r="G15577" s="2">
        <v>100</v>
      </c>
      <c r="H15577" s="2">
        <v>181</v>
      </c>
      <c r="I15577" s="2">
        <v>147</v>
      </c>
      <c r="J15577" s="2">
        <v>689</v>
      </c>
      <c r="K15577" s="2">
        <v>1</v>
      </c>
      <c r="L15577" s="2">
        <v>181</v>
      </c>
    </row>
    <row r="15578" spans="1:12" x14ac:dyDescent="0.25">
      <c r="A15578" s="4" t="str">
        <f>HYPERLINK("http://www.rosaceae.org/Prunus/Prunus_persica/p.persica_gdr_reftransV1_0000315","p.persica_gdr_reftransV1_0000315")</f>
        <v>p.persica_gdr_reftransV1_0000315</v>
      </c>
      <c r="B15578" s="2">
        <v>1307</v>
      </c>
      <c r="C15578" s="4" t="str">
        <f>HYPERLINK("http://www.uniprot.org/uniprot/M5XHS3","M5XHS3")</f>
        <v>M5XHS3</v>
      </c>
      <c r="D15578" s="2" t="s">
        <v>12490</v>
      </c>
      <c r="E15578" s="3">
        <v>2.2000000000000001E-166</v>
      </c>
      <c r="F15578" s="2">
        <v>1233</v>
      </c>
      <c r="G15578" s="2">
        <v>100</v>
      </c>
      <c r="H15578" s="2">
        <v>237</v>
      </c>
      <c r="I15578" s="2">
        <v>217</v>
      </c>
      <c r="J15578" s="2">
        <v>927</v>
      </c>
      <c r="K15578" s="2">
        <v>1</v>
      </c>
      <c r="L15578" s="2">
        <v>237</v>
      </c>
    </row>
    <row r="15579" spans="1:12" x14ac:dyDescent="0.25">
      <c r="A15579" s="4" t="str">
        <f>HYPERLINK("http://www.rosaceae.org/Prunus/Prunus_persica/p.persica_gdr_reftransV1_0000665","p.persica_gdr_reftransV1_0000665")</f>
        <v>p.persica_gdr_reftransV1_0000665</v>
      </c>
      <c r="B15579" s="2">
        <v>993</v>
      </c>
      <c r="C15579" s="4" t="str">
        <f>HYPERLINK("http://www.uniprot.org/uniprot/M5X0L7","M5X0L7")</f>
        <v>M5X0L7</v>
      </c>
      <c r="D15579" s="2" t="s">
        <v>12491</v>
      </c>
      <c r="E15579" s="3">
        <v>5.73E-145</v>
      </c>
      <c r="F15579" s="2">
        <v>1078</v>
      </c>
      <c r="G15579" s="2">
        <v>100</v>
      </c>
      <c r="H15579" s="2">
        <v>205</v>
      </c>
      <c r="I15579" s="2">
        <v>224</v>
      </c>
      <c r="J15579" s="2">
        <v>838</v>
      </c>
      <c r="K15579" s="2">
        <v>1</v>
      </c>
      <c r="L15579" s="2">
        <v>205</v>
      </c>
    </row>
    <row r="15580" spans="1:12" x14ac:dyDescent="0.25">
      <c r="A15580" s="4" t="str">
        <f>HYPERLINK("http://www.rosaceae.org/Prunus/Prunus_persica/p.persica_gdr_reftransV1_0001015","p.persica_gdr_reftransV1_0001015")</f>
        <v>p.persica_gdr_reftransV1_0001015</v>
      </c>
      <c r="B15580" s="2">
        <v>1725</v>
      </c>
      <c r="C15580" s="4" t="str">
        <f>HYPERLINK("http://www.uniprot.org/uniprot/M1PYG9","M1PYG9")</f>
        <v>M1PYG9</v>
      </c>
      <c r="D15580" s="2" t="s">
        <v>12492</v>
      </c>
      <c r="E15580" s="3">
        <v>0</v>
      </c>
      <c r="F15580" s="2">
        <v>2383</v>
      </c>
      <c r="G15580" s="2">
        <v>100</v>
      </c>
      <c r="H15580" s="2">
        <v>467</v>
      </c>
      <c r="I15580" s="2">
        <v>56</v>
      </c>
      <c r="J15580" s="2">
        <v>1456</v>
      </c>
      <c r="K15580" s="2">
        <v>1</v>
      </c>
      <c r="L15580" s="2">
        <v>467</v>
      </c>
    </row>
    <row r="15581" spans="1:12" x14ac:dyDescent="0.25">
      <c r="A15581" s="4" t="str">
        <f>HYPERLINK("http://www.rosaceae.org/Prunus/Prunus_persica/p.persica_gdr_reftransV1_0001365","p.persica_gdr_reftransV1_0001365")</f>
        <v>p.persica_gdr_reftransV1_0001365</v>
      </c>
      <c r="B15581" s="2">
        <v>926</v>
      </c>
      <c r="C15581" s="4" t="str">
        <f>HYPERLINK("http://www.uniprot.org/uniprot/M5WYD1","M5WYD1")</f>
        <v>M5WYD1</v>
      </c>
      <c r="D15581" s="2" t="s">
        <v>12493</v>
      </c>
      <c r="E15581" s="3">
        <v>6.9599999999999998E-69</v>
      </c>
      <c r="F15581" s="2">
        <v>566</v>
      </c>
      <c r="G15581" s="2">
        <v>99</v>
      </c>
      <c r="H15581" s="2">
        <v>140</v>
      </c>
      <c r="I15581" s="2">
        <v>367</v>
      </c>
      <c r="J15581" s="2">
        <v>786</v>
      </c>
      <c r="K15581" s="2">
        <v>1</v>
      </c>
      <c r="L15581" s="2">
        <v>140</v>
      </c>
    </row>
    <row r="15582" spans="1:12" x14ac:dyDescent="0.25">
      <c r="A15582" s="4" t="str">
        <f>HYPERLINK("http://www.rosaceae.org/Prunus/Prunus_persica/p.persica_gdr_reftransV1_0001715","p.persica_gdr_reftransV1_0001715")</f>
        <v>p.persica_gdr_reftransV1_0001715</v>
      </c>
      <c r="B15582" s="2">
        <v>442</v>
      </c>
      <c r="C15582" s="4" t="str">
        <f>HYPERLINK("http://www.uniprot.org/uniprot/A0A0G2E3K9","A0A0G2E3K9")</f>
        <v>A0A0G2E3K9</v>
      </c>
      <c r="D15582" s="2" t="s">
        <v>12494</v>
      </c>
      <c r="E15582" s="3">
        <v>1.65E-73</v>
      </c>
      <c r="F15582" s="2">
        <v>610</v>
      </c>
      <c r="G15582" s="2">
        <v>99</v>
      </c>
      <c r="H15582" s="2">
        <v>130</v>
      </c>
      <c r="I15582" s="2">
        <v>1</v>
      </c>
      <c r="J15582" s="2">
        <v>390</v>
      </c>
      <c r="K15582" s="2">
        <v>1</v>
      </c>
      <c r="L15582" s="2">
        <v>130</v>
      </c>
    </row>
    <row r="15583" spans="1:12" x14ac:dyDescent="0.25">
      <c r="A15583" s="4" t="str">
        <f>HYPERLINK("http://www.rosaceae.org/Prunus/Prunus_persica/p.persica_gdr_reftransV1_0002065","p.persica_gdr_reftransV1_0002065")</f>
        <v>p.persica_gdr_reftransV1_0002065</v>
      </c>
      <c r="B15583" s="2">
        <v>1925</v>
      </c>
      <c r="C15583" s="4" t="str">
        <f>HYPERLINK("http://www.uniprot.org/uniprot/M5X6S7","M5X6S7")</f>
        <v>M5X6S7</v>
      </c>
      <c r="D15583" s="2" t="s">
        <v>12495</v>
      </c>
      <c r="E15583" s="3">
        <v>0</v>
      </c>
      <c r="F15583" s="2">
        <v>2511</v>
      </c>
      <c r="G15583" s="2">
        <v>100</v>
      </c>
      <c r="H15583" s="2">
        <v>511</v>
      </c>
      <c r="I15583" s="2">
        <v>125</v>
      </c>
      <c r="J15583" s="2">
        <v>1657</v>
      </c>
      <c r="K15583" s="2">
        <v>1</v>
      </c>
      <c r="L15583" s="2">
        <v>511</v>
      </c>
    </row>
    <row r="15584" spans="1:12" x14ac:dyDescent="0.25">
      <c r="A15584" s="4" t="str">
        <f>HYPERLINK("http://www.rosaceae.org/Prunus/Prunus_persica/p.persica_gdr_reftransV1_0002415","p.persica_gdr_reftransV1_0002415")</f>
        <v>p.persica_gdr_reftransV1_0002415</v>
      </c>
      <c r="B15584" s="2">
        <v>832</v>
      </c>
      <c r="C15584" s="4" t="str">
        <f>HYPERLINK("http://www.uniprot.org/uniprot/M5VJN0","M5VJN0")</f>
        <v>M5VJN0</v>
      </c>
      <c r="D15584" s="2" t="s">
        <v>12496</v>
      </c>
      <c r="E15584" s="3">
        <v>3.0000000000000001E-80</v>
      </c>
      <c r="F15584" s="2">
        <v>638</v>
      </c>
      <c r="G15584" s="2">
        <v>100</v>
      </c>
      <c r="H15584" s="2">
        <v>120</v>
      </c>
      <c r="I15584" s="2">
        <v>233</v>
      </c>
      <c r="J15584" s="2">
        <v>592</v>
      </c>
      <c r="K15584" s="2">
        <v>18</v>
      </c>
      <c r="L15584" s="2">
        <v>137</v>
      </c>
    </row>
    <row r="15585" spans="1:12" x14ac:dyDescent="0.25">
      <c r="A15585" s="4" t="str">
        <f>HYPERLINK("http://www.rosaceae.org/Prunus/Prunus_persica/p.persica_gdr_reftransV1_0003465","p.persica_gdr_reftransV1_0003465")</f>
        <v>p.persica_gdr_reftransV1_0003465</v>
      </c>
      <c r="B15585" s="2">
        <v>662</v>
      </c>
      <c r="C15585" s="4" t="str">
        <f>HYPERLINK("http://www.uniprot.org/uniprot/M5WN00","M5WN00")</f>
        <v>M5WN00</v>
      </c>
      <c r="D15585" s="2" t="s">
        <v>4950</v>
      </c>
      <c r="E15585" s="3">
        <v>2.5399999999999999E-88</v>
      </c>
      <c r="F15585" s="2">
        <v>685</v>
      </c>
      <c r="G15585" s="2">
        <v>99</v>
      </c>
      <c r="H15585" s="2">
        <v>133</v>
      </c>
      <c r="I15585" s="2">
        <v>151</v>
      </c>
      <c r="J15585" s="2">
        <v>549</v>
      </c>
      <c r="K15585" s="2">
        <v>1</v>
      </c>
      <c r="L15585" s="2">
        <v>133</v>
      </c>
    </row>
    <row r="15586" spans="1:12" x14ac:dyDescent="0.25">
      <c r="A15586" s="4" t="str">
        <f>HYPERLINK("http://www.rosaceae.org/Prunus/Prunus_persica/p.persica_gdr_reftransV1_0003815","p.persica_gdr_reftransV1_0003815")</f>
        <v>p.persica_gdr_reftransV1_0003815</v>
      </c>
      <c r="B15586" s="2">
        <v>3371</v>
      </c>
      <c r="C15586" s="4" t="str">
        <f>HYPERLINK("http://www.uniprot.org/uniprot/M5X733","M5X733")</f>
        <v>M5X733</v>
      </c>
      <c r="D15586" s="2" t="s">
        <v>7856</v>
      </c>
      <c r="E15586" s="3">
        <v>0</v>
      </c>
      <c r="F15586" s="2">
        <v>3324</v>
      </c>
      <c r="G15586" s="2">
        <v>96</v>
      </c>
      <c r="H15586" s="2">
        <v>704</v>
      </c>
      <c r="I15586" s="2">
        <v>53</v>
      </c>
      <c r="J15586" s="2">
        <v>2164</v>
      </c>
      <c r="K15586" s="2">
        <v>1</v>
      </c>
      <c r="L15586" s="2">
        <v>677</v>
      </c>
    </row>
    <row r="15587" spans="1:12" x14ac:dyDescent="0.25">
      <c r="A15587" s="4" t="str">
        <f>HYPERLINK("http://www.rosaceae.org/Prunus/Prunus_persica/p.persica_gdr_reftransV1_0004165","p.persica_gdr_reftransV1_0004165")</f>
        <v>p.persica_gdr_reftransV1_0004165</v>
      </c>
      <c r="B15587" s="2">
        <v>3537</v>
      </c>
      <c r="C15587" s="4" t="str">
        <f>HYPERLINK("http://www.uniprot.org/uniprot/M5WCT2","M5WCT2")</f>
        <v>M5WCT2</v>
      </c>
      <c r="D15587" s="2" t="s">
        <v>12497</v>
      </c>
      <c r="E15587" s="3">
        <v>0</v>
      </c>
      <c r="F15587" s="2">
        <v>4417</v>
      </c>
      <c r="G15587" s="2">
        <v>100</v>
      </c>
      <c r="H15587" s="2">
        <v>854</v>
      </c>
      <c r="I15587" s="2">
        <v>530</v>
      </c>
      <c r="J15587" s="2">
        <v>3091</v>
      </c>
      <c r="K15587" s="2">
        <v>1</v>
      </c>
      <c r="L15587" s="2">
        <v>854</v>
      </c>
    </row>
    <row r="15588" spans="1:12" x14ac:dyDescent="0.25">
      <c r="A15588" s="4" t="str">
        <f>HYPERLINK("http://www.rosaceae.org/Prunus/Prunus_persica/p.persica_gdr_reftransV1_0004515","p.persica_gdr_reftransV1_0004515")</f>
        <v>p.persica_gdr_reftransV1_0004515</v>
      </c>
      <c r="B15588" s="2">
        <v>1308</v>
      </c>
      <c r="C15588" s="4" t="str">
        <f>HYPERLINK("http://www.uniprot.org/uniprot/M5W0X9","M5W0X9")</f>
        <v>M5W0X9</v>
      </c>
      <c r="D15588" s="2" t="s">
        <v>12498</v>
      </c>
      <c r="E15588" s="3">
        <v>2.2299999999999999E-131</v>
      </c>
      <c r="F15588" s="2">
        <v>1002</v>
      </c>
      <c r="G15588" s="2">
        <v>100</v>
      </c>
      <c r="H15588" s="2">
        <v>239</v>
      </c>
      <c r="I15588" s="2">
        <v>323</v>
      </c>
      <c r="J15588" s="2">
        <v>1039</v>
      </c>
      <c r="K15588" s="2">
        <v>1</v>
      </c>
      <c r="L15588" s="2">
        <v>239</v>
      </c>
    </row>
    <row r="15589" spans="1:12" x14ac:dyDescent="0.25">
      <c r="A15589" s="4" t="str">
        <f>HYPERLINK("http://www.rosaceae.org/Prunus/Prunus_persica/p.persica_gdr_reftransV1_0005215","p.persica_gdr_reftransV1_0005215")</f>
        <v>p.persica_gdr_reftransV1_0005215</v>
      </c>
      <c r="B15589" s="2">
        <v>546</v>
      </c>
      <c r="C15589" s="4" t="str">
        <f>HYPERLINK("http://www.uniprot.org/uniprot/M5XN30","M5XN30")</f>
        <v>M5XN30</v>
      </c>
      <c r="D15589" s="2" t="s">
        <v>12499</v>
      </c>
      <c r="E15589" s="3">
        <v>2.3800000000000001E-89</v>
      </c>
      <c r="F15589" s="2">
        <v>725</v>
      </c>
      <c r="G15589" s="2">
        <v>100</v>
      </c>
      <c r="H15589" s="2">
        <v>130</v>
      </c>
      <c r="I15589" s="2">
        <v>2</v>
      </c>
      <c r="J15589" s="2">
        <v>391</v>
      </c>
      <c r="K15589" s="2">
        <v>435</v>
      </c>
      <c r="L15589" s="2">
        <v>564</v>
      </c>
    </row>
    <row r="15590" spans="1:12" x14ac:dyDescent="0.25">
      <c r="A15590" s="4" t="str">
        <f>HYPERLINK("http://www.rosaceae.org/Prunus/Prunus_persica/p.persica_gdr_reftransV1_0005565","p.persica_gdr_reftransV1_0005565")</f>
        <v>p.persica_gdr_reftransV1_0005565</v>
      </c>
      <c r="B15590" s="2">
        <v>300</v>
      </c>
      <c r="C15590" s="4" t="str">
        <f>HYPERLINK("http://www.uniprot.org/uniprot/M5XN83","M5XN83")</f>
        <v>M5XN83</v>
      </c>
      <c r="D15590" s="2" t="s">
        <v>9961</v>
      </c>
      <c r="E15590" s="3">
        <v>8.3099999999999996E-60</v>
      </c>
      <c r="F15590" s="2">
        <v>522</v>
      </c>
      <c r="G15590" s="2">
        <v>100</v>
      </c>
      <c r="H15590" s="2">
        <v>99</v>
      </c>
      <c r="I15590" s="2">
        <v>3</v>
      </c>
      <c r="J15590" s="2">
        <v>299</v>
      </c>
      <c r="K15590" s="2">
        <v>339</v>
      </c>
      <c r="L15590" s="2">
        <v>437</v>
      </c>
    </row>
    <row r="15591" spans="1:12" x14ac:dyDescent="0.25">
      <c r="A15591" s="4" t="str">
        <f>HYPERLINK("http://www.rosaceae.org/Prunus/Prunus_persica/p.persica_gdr_reftransV1_0005915","p.persica_gdr_reftransV1_0005915")</f>
        <v>p.persica_gdr_reftransV1_0005915</v>
      </c>
      <c r="B15591" s="2">
        <v>1978</v>
      </c>
      <c r="C15591" s="4" t="str">
        <f>HYPERLINK("http://www.uniprot.org/uniprot/M5XJR4","M5XJR4")</f>
        <v>M5XJR4</v>
      </c>
      <c r="D15591" s="2" t="s">
        <v>12500</v>
      </c>
      <c r="E15591" s="3">
        <v>0</v>
      </c>
      <c r="F15591" s="2">
        <v>1353</v>
      </c>
      <c r="G15591" s="2">
        <v>100</v>
      </c>
      <c r="H15591" s="2">
        <v>277</v>
      </c>
      <c r="I15591" s="2">
        <v>202</v>
      </c>
      <c r="J15591" s="2">
        <v>1032</v>
      </c>
      <c r="K15591" s="2">
        <v>1</v>
      </c>
      <c r="L15591" s="2">
        <v>277</v>
      </c>
    </row>
    <row r="15592" spans="1:12" x14ac:dyDescent="0.25">
      <c r="A15592" s="4" t="str">
        <f>HYPERLINK("http://www.rosaceae.org/Prunus/Prunus_persica/p.persica_gdr_reftransV1_0006265","p.persica_gdr_reftransV1_0006265")</f>
        <v>p.persica_gdr_reftransV1_0006265</v>
      </c>
      <c r="B15592" s="2">
        <v>1158</v>
      </c>
      <c r="C15592" s="4" t="str">
        <f>HYPERLINK("http://www.uniprot.org/uniprot/M5WGB1","M5WGB1")</f>
        <v>M5WGB1</v>
      </c>
      <c r="D15592" s="2" t="s">
        <v>9888</v>
      </c>
      <c r="E15592" s="3">
        <v>5.5799999999999998E-84</v>
      </c>
      <c r="F15592" s="2">
        <v>692</v>
      </c>
      <c r="G15592" s="2">
        <v>99</v>
      </c>
      <c r="H15592" s="2">
        <v>130</v>
      </c>
      <c r="I15592" s="2">
        <v>198</v>
      </c>
      <c r="J15592" s="2">
        <v>587</v>
      </c>
      <c r="K15592" s="2">
        <v>209</v>
      </c>
      <c r="L15592" s="2">
        <v>338</v>
      </c>
    </row>
    <row r="15593" spans="1:12" x14ac:dyDescent="0.25">
      <c r="A15593" s="4" t="str">
        <f>HYPERLINK("http://www.rosaceae.org/Prunus/Prunus_persica/p.persica_gdr_reftransV1_0006965","p.persica_gdr_reftransV1_0006965")</f>
        <v>p.persica_gdr_reftransV1_0006965</v>
      </c>
      <c r="B15593" s="2">
        <v>1091</v>
      </c>
      <c r="C15593" s="4" t="str">
        <f>HYPERLINK("http://www.uniprot.org/uniprot/A5BT22","A5BT22")</f>
        <v>A5BT22</v>
      </c>
      <c r="D15593" s="2" t="s">
        <v>12501</v>
      </c>
      <c r="E15593" s="3">
        <v>6.1400000000000007E-92</v>
      </c>
      <c r="F15593" s="2">
        <v>803</v>
      </c>
      <c r="G15593" s="2">
        <v>74</v>
      </c>
      <c r="H15593" s="2">
        <v>195</v>
      </c>
      <c r="I15593" s="2">
        <v>168</v>
      </c>
      <c r="J15593" s="2">
        <v>752</v>
      </c>
      <c r="K15593" s="2">
        <v>845</v>
      </c>
      <c r="L15593" s="2">
        <v>1039</v>
      </c>
    </row>
    <row r="15594" spans="1:12" x14ac:dyDescent="0.25">
      <c r="A15594" s="4" t="str">
        <f>HYPERLINK("http://www.rosaceae.org/Prunus/Prunus_persica/p.persica_gdr_reftransV1_0007665","p.persica_gdr_reftransV1_0007665")</f>
        <v>p.persica_gdr_reftransV1_0007665</v>
      </c>
      <c r="B15594" s="2">
        <v>716</v>
      </c>
      <c r="C15594" s="4" t="str">
        <f>HYPERLINK("http://www.uniprot.org/uniprot/M5WY33","M5WY33")</f>
        <v>M5WY33</v>
      </c>
      <c r="D15594" s="2" t="s">
        <v>8031</v>
      </c>
      <c r="E15594" s="3">
        <v>1.03E-42</v>
      </c>
      <c r="F15594" s="2">
        <v>389</v>
      </c>
      <c r="G15594" s="2">
        <v>100</v>
      </c>
      <c r="H15594" s="2">
        <v>77</v>
      </c>
      <c r="I15594" s="2">
        <v>62</v>
      </c>
      <c r="J15594" s="2">
        <v>292</v>
      </c>
      <c r="K15594" s="2">
        <v>1</v>
      </c>
      <c r="L15594" s="2">
        <v>77</v>
      </c>
    </row>
    <row r="15595" spans="1:12" x14ac:dyDescent="0.25">
      <c r="A15595" s="4" t="str">
        <f>HYPERLINK("http://www.rosaceae.org/Prunus/Prunus_persica/p.persica_gdr_reftransV1_0008365","p.persica_gdr_reftransV1_0008365")</f>
        <v>p.persica_gdr_reftransV1_0008365</v>
      </c>
      <c r="B15595" s="2">
        <v>584</v>
      </c>
      <c r="C15595" s="4" t="str">
        <f>HYPERLINK("http://www.uniprot.org/uniprot/M5W6F1","M5W6F1")</f>
        <v>M5W6F1</v>
      </c>
      <c r="D15595" s="2" t="s">
        <v>238</v>
      </c>
      <c r="E15595" s="3">
        <v>1.1799999999999999E-134</v>
      </c>
      <c r="F15595" s="2">
        <v>1026</v>
      </c>
      <c r="G15595" s="2">
        <v>100</v>
      </c>
      <c r="H15595" s="2">
        <v>194</v>
      </c>
      <c r="I15595" s="2">
        <v>2</v>
      </c>
      <c r="J15595" s="2">
        <v>583</v>
      </c>
      <c r="K15595" s="2">
        <v>88</v>
      </c>
      <c r="L15595" s="2">
        <v>281</v>
      </c>
    </row>
    <row r="15596" spans="1:12" x14ac:dyDescent="0.25">
      <c r="A15596" s="4" t="str">
        <f>HYPERLINK("http://www.rosaceae.org/Prunus/Prunus_persica/p.persica_gdr_reftransV1_0009065","p.persica_gdr_reftransV1_0009065")</f>
        <v>p.persica_gdr_reftransV1_0009065</v>
      </c>
      <c r="B15596" s="2">
        <v>2436</v>
      </c>
      <c r="C15596" s="4" t="str">
        <f>HYPERLINK("http://www.uniprot.org/uniprot/M5W9U0","M5W9U0")</f>
        <v>M5W9U0</v>
      </c>
      <c r="D15596" s="2" t="s">
        <v>12502</v>
      </c>
      <c r="E15596" s="3">
        <v>0</v>
      </c>
      <c r="F15596" s="2">
        <v>2228</v>
      </c>
      <c r="G15596" s="2">
        <v>100</v>
      </c>
      <c r="H15596" s="2">
        <v>450</v>
      </c>
      <c r="I15596" s="2">
        <v>92</v>
      </c>
      <c r="J15596" s="2">
        <v>1441</v>
      </c>
      <c r="K15596" s="2">
        <v>32</v>
      </c>
      <c r="L15596" s="2">
        <v>481</v>
      </c>
    </row>
    <row r="15597" spans="1:12" x14ac:dyDescent="0.25">
      <c r="A15597" s="4" t="str">
        <f>HYPERLINK("http://www.rosaceae.org/Prunus/Prunus_persica/p.persica_gdr_reftransV1_0009415","p.persica_gdr_reftransV1_0009415")</f>
        <v>p.persica_gdr_reftransV1_0009415</v>
      </c>
      <c r="B15597" s="2">
        <v>490</v>
      </c>
      <c r="C15597" s="4" t="str">
        <f>HYPERLINK("http://www.uniprot.org/uniprot/M5W7T3","M5W7T3")</f>
        <v>M5W7T3</v>
      </c>
      <c r="D15597" s="2" t="s">
        <v>10467</v>
      </c>
      <c r="E15597" s="3">
        <v>3.5700000000000001E-69</v>
      </c>
      <c r="F15597" s="2">
        <v>555</v>
      </c>
      <c r="G15597" s="2">
        <v>100</v>
      </c>
      <c r="H15597" s="2">
        <v>107</v>
      </c>
      <c r="I15597" s="2">
        <v>170</v>
      </c>
      <c r="J15597" s="2">
        <v>490</v>
      </c>
      <c r="K15597" s="2">
        <v>57</v>
      </c>
      <c r="L15597" s="2">
        <v>163</v>
      </c>
    </row>
    <row r="15598" spans="1:12" x14ac:dyDescent="0.25">
      <c r="A15598" s="4" t="str">
        <f>HYPERLINK("http://www.rosaceae.org/Prunus/Prunus_persica/p.persica_gdr_reftransV1_0010115","p.persica_gdr_reftransV1_0010115")</f>
        <v>p.persica_gdr_reftransV1_0010115</v>
      </c>
      <c r="B15598" s="2">
        <v>1367</v>
      </c>
      <c r="C15598" s="4" t="str">
        <f>HYPERLINK("http://www.uniprot.org/uniprot/M5W1V7","M5W1V7")</f>
        <v>M5W1V7</v>
      </c>
      <c r="D15598" s="2" t="s">
        <v>1537</v>
      </c>
      <c r="E15598" s="3">
        <v>9.9200000000000004E-101</v>
      </c>
      <c r="F15598" s="2">
        <v>850</v>
      </c>
      <c r="G15598" s="2">
        <v>100</v>
      </c>
      <c r="H15598" s="2">
        <v>162</v>
      </c>
      <c r="I15598" s="2">
        <v>1</v>
      </c>
      <c r="J15598" s="2">
        <v>486</v>
      </c>
      <c r="K15598" s="2">
        <v>707</v>
      </c>
      <c r="L15598" s="2">
        <v>868</v>
      </c>
    </row>
    <row r="15599" spans="1:12" x14ac:dyDescent="0.25">
      <c r="A15599" s="4" t="str">
        <f>HYPERLINK("http://www.rosaceae.org/Prunus/Prunus_persica/p.persica_gdr_reftransV1_0010465","p.persica_gdr_reftransV1_0010465")</f>
        <v>p.persica_gdr_reftransV1_0010465</v>
      </c>
      <c r="B15599" s="2">
        <v>601</v>
      </c>
      <c r="C15599" s="4" t="str">
        <f>HYPERLINK("http://www.uniprot.org/uniprot/M5XCI1","M5XCI1")</f>
        <v>M5XCI1</v>
      </c>
      <c r="D15599" s="2" t="s">
        <v>12503</v>
      </c>
      <c r="E15599" s="3">
        <v>4.5499999999999999E-60</v>
      </c>
      <c r="F15599" s="2">
        <v>520</v>
      </c>
      <c r="G15599" s="2">
        <v>98</v>
      </c>
      <c r="H15599" s="2">
        <v>98</v>
      </c>
      <c r="I15599" s="2">
        <v>296</v>
      </c>
      <c r="J15599" s="2">
        <v>589</v>
      </c>
      <c r="K15599" s="2">
        <v>1</v>
      </c>
      <c r="L15599" s="2">
        <v>98</v>
      </c>
    </row>
    <row r="15600" spans="1:12" x14ac:dyDescent="0.25">
      <c r="A15600" s="4" t="str">
        <f>HYPERLINK("http://www.rosaceae.org/Prunus/Prunus_persica/p.persica_gdr_reftransV1_0011165","p.persica_gdr_reftransV1_0011165")</f>
        <v>p.persica_gdr_reftransV1_0011165</v>
      </c>
      <c r="B15600" s="2">
        <v>2580</v>
      </c>
      <c r="C15600" s="4" t="str">
        <f>HYPERLINK("http://www.uniprot.org/uniprot/M5WP38","M5WP38")</f>
        <v>M5WP38</v>
      </c>
      <c r="D15600" s="2" t="s">
        <v>12504</v>
      </c>
      <c r="E15600" s="3">
        <v>0</v>
      </c>
      <c r="F15600" s="2">
        <v>1526</v>
      </c>
      <c r="G15600" s="2">
        <v>93</v>
      </c>
      <c r="H15600" s="2">
        <v>313</v>
      </c>
      <c r="I15600" s="2">
        <v>1325</v>
      </c>
      <c r="J15600" s="2">
        <v>2245</v>
      </c>
      <c r="K15600" s="2">
        <v>180</v>
      </c>
      <c r="L15600" s="2">
        <v>492</v>
      </c>
    </row>
    <row r="15601" spans="1:12" x14ac:dyDescent="0.25">
      <c r="A15601" s="4" t="str">
        <f>HYPERLINK("http://www.rosaceae.org/Prunus/Prunus_persica/p.persica_gdr_reftransV1_0011865","p.persica_gdr_reftransV1_0011865")</f>
        <v>p.persica_gdr_reftransV1_0011865</v>
      </c>
      <c r="B15601" s="2">
        <v>2650</v>
      </c>
      <c r="C15601" s="4" t="str">
        <f>HYPERLINK("http://www.uniprot.org/uniprot/M5XK47","M5XK47")</f>
        <v>M5XK47</v>
      </c>
      <c r="D15601" s="2" t="s">
        <v>12505</v>
      </c>
      <c r="E15601" s="3">
        <v>0</v>
      </c>
      <c r="F15601" s="2">
        <v>3105</v>
      </c>
      <c r="G15601" s="2">
        <v>96</v>
      </c>
      <c r="H15601" s="2">
        <v>625</v>
      </c>
      <c r="I15601" s="2">
        <v>463</v>
      </c>
      <c r="J15601" s="2">
        <v>2337</v>
      </c>
      <c r="K15601" s="2">
        <v>38</v>
      </c>
      <c r="L15601" s="2">
        <v>639</v>
      </c>
    </row>
    <row r="15602" spans="1:12" x14ac:dyDescent="0.25">
      <c r="A15602" s="4" t="str">
        <f>HYPERLINK("http://www.rosaceae.org/Prunus/Prunus_persica/p.persica_gdr_reftransV1_0013265","p.persica_gdr_reftransV1_0013265")</f>
        <v>p.persica_gdr_reftransV1_0013265</v>
      </c>
      <c r="B15602" s="2">
        <v>1137</v>
      </c>
      <c r="C15602" s="4" t="str">
        <f>HYPERLINK("http://www.uniprot.org/uniprot/M5XBA3","M5XBA3")</f>
        <v>M5XBA3</v>
      </c>
      <c r="D15602" s="2" t="s">
        <v>11277</v>
      </c>
      <c r="E15602" s="3">
        <v>1.3199999999999999E-104</v>
      </c>
      <c r="F15602" s="2">
        <v>822</v>
      </c>
      <c r="G15602" s="2">
        <v>100</v>
      </c>
      <c r="H15602" s="2">
        <v>194</v>
      </c>
      <c r="I15602" s="2">
        <v>185</v>
      </c>
      <c r="J15602" s="2">
        <v>766</v>
      </c>
      <c r="K15602" s="2">
        <v>73</v>
      </c>
      <c r="L15602" s="2">
        <v>266</v>
      </c>
    </row>
    <row r="15603" spans="1:12" x14ac:dyDescent="0.25">
      <c r="A15603" s="4" t="str">
        <f>HYPERLINK("http://www.rosaceae.org/Prunus/Prunus_persica/p.persica_gdr_reftransV1_0014315","p.persica_gdr_reftransV1_0014315")</f>
        <v>p.persica_gdr_reftransV1_0014315</v>
      </c>
      <c r="B15603" s="2">
        <v>1349</v>
      </c>
      <c r="C15603" s="4" t="str">
        <f>HYPERLINK("http://www.uniprot.org/uniprot/M5W883","M5W883")</f>
        <v>M5W883</v>
      </c>
      <c r="D15603" s="2" t="s">
        <v>12506</v>
      </c>
      <c r="E15603" s="3">
        <v>0</v>
      </c>
      <c r="F15603" s="2">
        <v>1665</v>
      </c>
      <c r="G15603" s="2">
        <v>100</v>
      </c>
      <c r="H15603" s="2">
        <v>333</v>
      </c>
      <c r="I15603" s="2">
        <v>72</v>
      </c>
      <c r="J15603" s="2">
        <v>1070</v>
      </c>
      <c r="K15603" s="2">
        <v>1</v>
      </c>
      <c r="L15603" s="2">
        <v>333</v>
      </c>
    </row>
    <row r="15604" spans="1:12" x14ac:dyDescent="0.25">
      <c r="A15604" s="4" t="str">
        <f>HYPERLINK("http://www.rosaceae.org/Prunus/Prunus_persica/p.persica_gdr_reftransV1_0015015","p.persica_gdr_reftransV1_0015015")</f>
        <v>p.persica_gdr_reftransV1_0015015</v>
      </c>
      <c r="B15604" s="2">
        <v>922</v>
      </c>
      <c r="C15604" s="4" t="str">
        <f>HYPERLINK("http://www.uniprot.org/uniprot/M5W7X9","M5W7X9")</f>
        <v>M5W7X9</v>
      </c>
      <c r="D15604" s="2" t="s">
        <v>12507</v>
      </c>
      <c r="E15604" s="3">
        <v>2.37E-159</v>
      </c>
      <c r="F15604" s="2">
        <v>1219</v>
      </c>
      <c r="G15604" s="2">
        <v>84</v>
      </c>
      <c r="H15604" s="2">
        <v>281</v>
      </c>
      <c r="I15604" s="2">
        <v>26</v>
      </c>
      <c r="J15604" s="2">
        <v>868</v>
      </c>
      <c r="K15604" s="2">
        <v>463</v>
      </c>
      <c r="L15604" s="2">
        <v>719</v>
      </c>
    </row>
    <row r="15605" spans="1:12" x14ac:dyDescent="0.25">
      <c r="A15605" s="4" t="str">
        <f>HYPERLINK("http://www.rosaceae.org/Prunus/Prunus_persica/p.persica_gdr_reftransV1_0015715","p.persica_gdr_reftransV1_0015715")</f>
        <v>p.persica_gdr_reftransV1_0015715</v>
      </c>
      <c r="B15605" s="2">
        <v>2273</v>
      </c>
      <c r="C15605" s="4" t="str">
        <f>HYPERLINK("http://www.uniprot.org/uniprot/M5XHY2","M5XHY2")</f>
        <v>M5XHY2</v>
      </c>
      <c r="D15605" s="2" t="s">
        <v>12508</v>
      </c>
      <c r="E15605" s="3">
        <v>5.8800000000000002E-136</v>
      </c>
      <c r="F15605" s="2">
        <v>1064</v>
      </c>
      <c r="G15605" s="2">
        <v>100</v>
      </c>
      <c r="H15605" s="2">
        <v>263</v>
      </c>
      <c r="I15605" s="2">
        <v>134</v>
      </c>
      <c r="J15605" s="2">
        <v>922</v>
      </c>
      <c r="K15605" s="2">
        <v>1</v>
      </c>
      <c r="L15605" s="2">
        <v>263</v>
      </c>
    </row>
    <row r="15606" spans="1:12" x14ac:dyDescent="0.25">
      <c r="A15606" s="4" t="str">
        <f>HYPERLINK("http://www.rosaceae.org/Prunus/Prunus_persica/p.persica_gdr_reftransV1_0017815","p.persica_gdr_reftransV1_0017815")</f>
        <v>p.persica_gdr_reftransV1_0017815</v>
      </c>
      <c r="B15606" s="2">
        <v>1665</v>
      </c>
      <c r="C15606" s="4" t="str">
        <f>HYPERLINK("http://www.uniprot.org/uniprot/M5XKE1","M5XKE1")</f>
        <v>M5XKE1</v>
      </c>
      <c r="D15606" s="2" t="s">
        <v>7759</v>
      </c>
      <c r="E15606" s="3">
        <v>0</v>
      </c>
      <c r="F15606" s="2">
        <v>1392</v>
      </c>
      <c r="G15606" s="2">
        <v>98</v>
      </c>
      <c r="H15606" s="2">
        <v>301</v>
      </c>
      <c r="I15606" s="2">
        <v>98</v>
      </c>
      <c r="J15606" s="2">
        <v>1000</v>
      </c>
      <c r="K15606" s="2">
        <v>392</v>
      </c>
      <c r="L15606" s="2">
        <v>692</v>
      </c>
    </row>
    <row r="15607" spans="1:12" x14ac:dyDescent="0.25">
      <c r="A15607" s="4" t="str">
        <f>HYPERLINK("http://www.rosaceae.org/Prunus/Prunus_persica/p.persica_gdr_reftransV1_0018515","p.persica_gdr_reftransV1_0018515")</f>
        <v>p.persica_gdr_reftransV1_0018515</v>
      </c>
      <c r="B15607" s="2">
        <v>1482</v>
      </c>
      <c r="C15607" s="4" t="str">
        <f>HYPERLINK("http://www.uniprot.org/uniprot/M5X5M3","M5X5M3")</f>
        <v>M5X5M3</v>
      </c>
      <c r="D15607" s="2" t="s">
        <v>12509</v>
      </c>
      <c r="E15607" s="3">
        <v>0</v>
      </c>
      <c r="F15607" s="2">
        <v>1644</v>
      </c>
      <c r="G15607" s="2">
        <v>100</v>
      </c>
      <c r="H15607" s="2">
        <v>346</v>
      </c>
      <c r="I15607" s="2">
        <v>82</v>
      </c>
      <c r="J15607" s="2">
        <v>1119</v>
      </c>
      <c r="K15607" s="2">
        <v>1</v>
      </c>
      <c r="L15607" s="2">
        <v>346</v>
      </c>
    </row>
    <row r="15608" spans="1:12" x14ac:dyDescent="0.25">
      <c r="A15608" s="4" t="str">
        <f>HYPERLINK("http://www.rosaceae.org/Prunus/Prunus_persica/p.persica_gdr_reftransV1_0018865","p.persica_gdr_reftransV1_0018865")</f>
        <v>p.persica_gdr_reftransV1_0018865</v>
      </c>
      <c r="B15608" s="2">
        <v>778</v>
      </c>
      <c r="C15608" s="4" t="str">
        <f>HYPERLINK("http://www.uniprot.org/uniprot/M5X2R1","M5X2R1")</f>
        <v>M5X2R1</v>
      </c>
      <c r="D15608" s="2" t="s">
        <v>12510</v>
      </c>
      <c r="E15608" s="3">
        <v>7.6000000000000002E-118</v>
      </c>
      <c r="F15608" s="2">
        <v>888</v>
      </c>
      <c r="G15608" s="2">
        <v>100</v>
      </c>
      <c r="H15608" s="2">
        <v>173</v>
      </c>
      <c r="I15608" s="2">
        <v>246</v>
      </c>
      <c r="J15608" s="2">
        <v>764</v>
      </c>
      <c r="K15608" s="2">
        <v>1</v>
      </c>
      <c r="L15608" s="2">
        <v>173</v>
      </c>
    </row>
    <row r="15609" spans="1:12" x14ac:dyDescent="0.25">
      <c r="A15609" s="4" t="str">
        <f>HYPERLINK("http://www.rosaceae.org/Prunus/Prunus_persica/p.persica_gdr_reftransV1_0020265","p.persica_gdr_reftransV1_0020265")</f>
        <v>p.persica_gdr_reftransV1_0020265</v>
      </c>
      <c r="B15609" s="2">
        <v>2007</v>
      </c>
      <c r="C15609" s="4" t="str">
        <f>HYPERLINK("http://www.uniprot.org/uniprot/M5WEB5","M5WEB5")</f>
        <v>M5WEB5</v>
      </c>
      <c r="D15609" s="2" t="s">
        <v>12511</v>
      </c>
      <c r="E15609" s="3">
        <v>0</v>
      </c>
      <c r="F15609" s="2">
        <v>2133</v>
      </c>
      <c r="G15609" s="2">
        <v>100</v>
      </c>
      <c r="H15609" s="2">
        <v>408</v>
      </c>
      <c r="I15609" s="2">
        <v>206</v>
      </c>
      <c r="J15609" s="2">
        <v>1429</v>
      </c>
      <c r="K15609" s="2">
        <v>1</v>
      </c>
      <c r="L15609" s="2">
        <v>408</v>
      </c>
    </row>
    <row r="15610" spans="1:12" x14ac:dyDescent="0.25">
      <c r="A15610" s="4" t="str">
        <f>HYPERLINK("http://www.rosaceae.org/Prunus/Prunus_persica/p.persica_gdr_reftransV1_0021665","p.persica_gdr_reftransV1_0021665")</f>
        <v>p.persica_gdr_reftransV1_0021665</v>
      </c>
      <c r="B15610" s="2">
        <v>1515</v>
      </c>
      <c r="C15610" s="4" t="str">
        <f>HYPERLINK("http://www.uniprot.org/uniprot/M5WCB7","M5WCB7")</f>
        <v>M5WCB7</v>
      </c>
      <c r="D15610" s="2" t="s">
        <v>12512</v>
      </c>
      <c r="E15610" s="3">
        <v>0</v>
      </c>
      <c r="F15610" s="2">
        <v>1547</v>
      </c>
      <c r="G15610" s="2">
        <v>100</v>
      </c>
      <c r="H15610" s="2">
        <v>344</v>
      </c>
      <c r="I15610" s="2">
        <v>136</v>
      </c>
      <c r="J15610" s="2">
        <v>1167</v>
      </c>
      <c r="K15610" s="2">
        <v>1</v>
      </c>
      <c r="L15610" s="2">
        <v>344</v>
      </c>
    </row>
    <row r="15611" spans="1:12" x14ac:dyDescent="0.25">
      <c r="A15611" s="4" t="str">
        <f>HYPERLINK("http://www.rosaceae.org/Prunus/Prunus_persica/p.persica_gdr_reftransV1_0022365","p.persica_gdr_reftransV1_0022365")</f>
        <v>p.persica_gdr_reftransV1_0022365</v>
      </c>
      <c r="B15611" s="2">
        <v>410</v>
      </c>
      <c r="C15611" s="4" t="str">
        <f>HYPERLINK("http://www.uniprot.org/uniprot/M5WMK2","M5WMK2")</f>
        <v>M5WMK2</v>
      </c>
      <c r="D15611" s="2" t="s">
        <v>1405</v>
      </c>
      <c r="E15611" s="3">
        <v>5.0999999999999998E-64</v>
      </c>
      <c r="F15611" s="2">
        <v>534</v>
      </c>
      <c r="G15611" s="2">
        <v>100</v>
      </c>
      <c r="H15611" s="2">
        <v>105</v>
      </c>
      <c r="I15611" s="2">
        <v>37</v>
      </c>
      <c r="J15611" s="2">
        <v>351</v>
      </c>
      <c r="K15611" s="2">
        <v>249</v>
      </c>
      <c r="L15611" s="2">
        <v>353</v>
      </c>
    </row>
    <row r="15612" spans="1:12" x14ac:dyDescent="0.25">
      <c r="A15612" s="4" t="str">
        <f>HYPERLINK("http://www.rosaceae.org/Prunus/Prunus_persica/p.persica_gdr_reftransV1_0022715","p.persica_gdr_reftransV1_0022715")</f>
        <v>p.persica_gdr_reftransV1_0022715</v>
      </c>
      <c r="B15612" s="2">
        <v>862</v>
      </c>
      <c r="C15612" s="4" t="str">
        <f>HYPERLINK("http://www.uniprot.org/uniprot/M5WDU8","M5WDU8")</f>
        <v>M5WDU8</v>
      </c>
      <c r="D15612" s="2" t="s">
        <v>12513</v>
      </c>
      <c r="E15612" s="3">
        <v>4.3999999999999999E-55</v>
      </c>
      <c r="F15612" s="2">
        <v>469</v>
      </c>
      <c r="G15612" s="2">
        <v>98</v>
      </c>
      <c r="H15612" s="2">
        <v>93</v>
      </c>
      <c r="I15612" s="2">
        <v>77</v>
      </c>
      <c r="J15612" s="2">
        <v>355</v>
      </c>
      <c r="K15612" s="2">
        <v>1</v>
      </c>
      <c r="L15612" s="2">
        <v>93</v>
      </c>
    </row>
    <row r="15613" spans="1:12" x14ac:dyDescent="0.25">
      <c r="A15613" s="4" t="str">
        <f>HYPERLINK("http://www.rosaceae.org/Prunus/Prunus_persica/p.persica_gdr_reftransV1_0023415","p.persica_gdr_reftransV1_0023415")</f>
        <v>p.persica_gdr_reftransV1_0023415</v>
      </c>
      <c r="B15613" s="2">
        <v>2676</v>
      </c>
      <c r="C15613" s="4" t="str">
        <f>HYPERLINK("http://www.uniprot.org/uniprot/M5XC53","M5XC53")</f>
        <v>M5XC53</v>
      </c>
      <c r="D15613" s="2" t="s">
        <v>12514</v>
      </c>
      <c r="E15613" s="3">
        <v>0</v>
      </c>
      <c r="F15613" s="2">
        <v>1485</v>
      </c>
      <c r="G15613" s="2">
        <v>100</v>
      </c>
      <c r="H15613" s="2">
        <v>344</v>
      </c>
      <c r="I15613" s="2">
        <v>1369</v>
      </c>
      <c r="J15613" s="2">
        <v>2400</v>
      </c>
      <c r="K15613" s="2">
        <v>274</v>
      </c>
      <c r="L15613" s="2">
        <v>617</v>
      </c>
    </row>
    <row r="15614" spans="1:12" x14ac:dyDescent="0.25">
      <c r="A15614" s="4" t="str">
        <f>HYPERLINK("http://www.rosaceae.org/Prunus/Prunus_persica/p.persica_gdr_reftransV1_0024815","p.persica_gdr_reftransV1_0024815")</f>
        <v>p.persica_gdr_reftransV1_0024815</v>
      </c>
      <c r="B15614" s="2">
        <v>745</v>
      </c>
      <c r="C15614" s="4" t="str">
        <f>HYPERLINK("http://www.uniprot.org/uniprot/M5W912","M5W912")</f>
        <v>M5W912</v>
      </c>
      <c r="D15614" s="2" t="s">
        <v>10430</v>
      </c>
      <c r="E15614" s="3">
        <v>6.2500000000000001E-89</v>
      </c>
      <c r="F15614" s="2">
        <v>714</v>
      </c>
      <c r="G15614" s="2">
        <v>99</v>
      </c>
      <c r="H15614" s="2">
        <v>136</v>
      </c>
      <c r="I15614" s="2">
        <v>286</v>
      </c>
      <c r="J15614" s="2">
        <v>693</v>
      </c>
      <c r="K15614" s="2">
        <v>29</v>
      </c>
      <c r="L15614" s="2">
        <v>164</v>
      </c>
    </row>
    <row r="15615" spans="1:12" x14ac:dyDescent="0.25">
      <c r="A15615" s="4" t="str">
        <f>HYPERLINK("http://www.rosaceae.org/Prunus/Prunus_persica/p.persica_gdr_reftransV1_0026215","p.persica_gdr_reftransV1_0026215")</f>
        <v>p.persica_gdr_reftransV1_0026215</v>
      </c>
      <c r="B15615" s="2">
        <v>3354</v>
      </c>
      <c r="C15615" s="4" t="str">
        <f>HYPERLINK("http://www.uniprot.org/uniprot/M5XE80","M5XE80")</f>
        <v>M5XE80</v>
      </c>
      <c r="D15615" s="2" t="s">
        <v>12515</v>
      </c>
      <c r="E15615" s="3">
        <v>4.04E-114</v>
      </c>
      <c r="F15615" s="2">
        <v>947</v>
      </c>
      <c r="G15615" s="2">
        <v>99</v>
      </c>
      <c r="H15615" s="2">
        <v>177</v>
      </c>
      <c r="I15615" s="2">
        <v>1661</v>
      </c>
      <c r="J15615" s="2">
        <v>2191</v>
      </c>
      <c r="K15615" s="2">
        <v>105</v>
      </c>
      <c r="L15615" s="2">
        <v>281</v>
      </c>
    </row>
    <row r="15616" spans="1:12" x14ac:dyDescent="0.25">
      <c r="A15616" s="4" t="str">
        <f>HYPERLINK("http://www.rosaceae.org/Prunus/Prunus_persica/p.persica_gdr_reftransV1_0030765","p.persica_gdr_reftransV1_0030765")</f>
        <v>p.persica_gdr_reftransV1_0030765</v>
      </c>
      <c r="B15616" s="2">
        <v>701</v>
      </c>
      <c r="C15616" s="4" t="str">
        <f>HYPERLINK("http://www.uniprot.org/uniprot/M5VYR3","M5VYR3")</f>
        <v>M5VYR3</v>
      </c>
      <c r="D15616" s="2" t="s">
        <v>12516</v>
      </c>
      <c r="E15616" s="3">
        <v>8.1399999999999997E-122</v>
      </c>
      <c r="F15616" s="2">
        <v>930</v>
      </c>
      <c r="G15616" s="2">
        <v>100</v>
      </c>
      <c r="H15616" s="2">
        <v>182</v>
      </c>
      <c r="I15616" s="2">
        <v>2</v>
      </c>
      <c r="J15616" s="2">
        <v>547</v>
      </c>
      <c r="K15616" s="2">
        <v>1</v>
      </c>
      <c r="L15616" s="2">
        <v>182</v>
      </c>
    </row>
    <row r="15617" spans="1:12" x14ac:dyDescent="0.25">
      <c r="A15617" s="4" t="str">
        <f>HYPERLINK("http://www.rosaceae.org/Prunus/Prunus_persica/p.persica_gdr_reftransV1_0032515","p.persica_gdr_reftransV1_0032515")</f>
        <v>p.persica_gdr_reftransV1_0032515</v>
      </c>
      <c r="B15617" s="2">
        <v>858</v>
      </c>
      <c r="C15617" s="4" t="str">
        <f>HYPERLINK("http://www.uniprot.org/uniprot/M5W2R8","M5W2R8")</f>
        <v>M5W2R8</v>
      </c>
      <c r="D15617" s="2" t="s">
        <v>2922</v>
      </c>
      <c r="E15617" s="3">
        <v>5.3200000000000001E-65</v>
      </c>
      <c r="F15617" s="2">
        <v>555</v>
      </c>
      <c r="G15617" s="2">
        <v>100</v>
      </c>
      <c r="H15617" s="2">
        <v>109</v>
      </c>
      <c r="I15617" s="2">
        <v>532</v>
      </c>
      <c r="J15617" s="2">
        <v>858</v>
      </c>
      <c r="K15617" s="2">
        <v>41</v>
      </c>
      <c r="L15617" s="2">
        <v>149</v>
      </c>
    </row>
    <row r="15618" spans="1:12" x14ac:dyDescent="0.25">
      <c r="A15618" s="4" t="str">
        <f>HYPERLINK("http://www.rosaceae.org/Prunus/Prunus_persica/p.persica_gdr_reftransV1_0033215","p.persica_gdr_reftransV1_0033215")</f>
        <v>p.persica_gdr_reftransV1_0033215</v>
      </c>
      <c r="B15618" s="2">
        <v>1113</v>
      </c>
      <c r="C15618" s="4" t="str">
        <f>HYPERLINK("http://www.uniprot.org/uniprot/M5WIB2","M5WIB2")</f>
        <v>M5WIB2</v>
      </c>
      <c r="D15618" s="2" t="s">
        <v>12517</v>
      </c>
      <c r="E15618" s="3">
        <v>4.5299999999999997E-129</v>
      </c>
      <c r="F15618" s="2">
        <v>995</v>
      </c>
      <c r="G15618" s="2">
        <v>99</v>
      </c>
      <c r="H15618" s="2">
        <v>212</v>
      </c>
      <c r="I15618" s="2">
        <v>233</v>
      </c>
      <c r="J15618" s="2">
        <v>868</v>
      </c>
      <c r="K15618" s="2">
        <v>173</v>
      </c>
      <c r="L15618" s="2">
        <v>384</v>
      </c>
    </row>
    <row r="15619" spans="1:12" x14ac:dyDescent="0.25">
      <c r="A15619" s="4" t="str">
        <f>HYPERLINK("http://www.rosaceae.org/Prunus/Prunus_persica/p.persica_gdr_reftransV1_0033565","p.persica_gdr_reftransV1_0033565")</f>
        <v>p.persica_gdr_reftransV1_0033565</v>
      </c>
      <c r="B15619" s="2">
        <v>4578</v>
      </c>
      <c r="C15619" s="4" t="str">
        <f>HYPERLINK("http://www.uniprot.org/uniprot/M5W8T8","M5W8T8")</f>
        <v>M5W8T8</v>
      </c>
      <c r="D15619" s="2" t="s">
        <v>8763</v>
      </c>
      <c r="E15619" s="3">
        <v>0</v>
      </c>
      <c r="F15619" s="2">
        <v>1986</v>
      </c>
      <c r="G15619" s="2">
        <v>93</v>
      </c>
      <c r="H15619" s="2">
        <v>406</v>
      </c>
      <c r="I15619" s="2">
        <v>148</v>
      </c>
      <c r="J15619" s="2">
        <v>1365</v>
      </c>
      <c r="K15619" s="2">
        <v>1</v>
      </c>
      <c r="L15619" s="2">
        <v>377</v>
      </c>
    </row>
    <row r="15620" spans="1:12" x14ac:dyDescent="0.25">
      <c r="A15620" s="4" t="str">
        <f>HYPERLINK("http://www.rosaceae.org/Prunus/Prunus_persica/p.persica_gdr_reftransV1_0036365","p.persica_gdr_reftransV1_0036365")</f>
        <v>p.persica_gdr_reftransV1_0036365</v>
      </c>
      <c r="B15620" s="2">
        <v>1912</v>
      </c>
      <c r="C15620" s="4" t="str">
        <f>HYPERLINK("http://www.uniprot.org/uniprot/M5WA63","M5WA63")</f>
        <v>M5WA63</v>
      </c>
      <c r="D15620" s="2" t="s">
        <v>9315</v>
      </c>
      <c r="E15620" s="3">
        <v>5.0199999999999999E-117</v>
      </c>
      <c r="F15620" s="2">
        <v>980</v>
      </c>
      <c r="G15620" s="2">
        <v>99</v>
      </c>
      <c r="H15620" s="2">
        <v>204</v>
      </c>
      <c r="I15620" s="2">
        <v>1299</v>
      </c>
      <c r="J15620" s="2">
        <v>1910</v>
      </c>
      <c r="K15620" s="2">
        <v>632</v>
      </c>
      <c r="L15620" s="2">
        <v>835</v>
      </c>
    </row>
    <row r="15621" spans="1:12" x14ac:dyDescent="0.25">
      <c r="A15621" s="4" t="str">
        <f>HYPERLINK("http://www.rosaceae.org/Prunus/Prunus_persica/p.persica_gdr_reftransV1_0037415","p.persica_gdr_reftransV1_0037415")</f>
        <v>p.persica_gdr_reftransV1_0037415</v>
      </c>
      <c r="B15621" s="2">
        <v>1144</v>
      </c>
      <c r="C15621" s="4" t="str">
        <f>HYPERLINK("http://www.uniprot.org/uniprot/M5WGS5","M5WGS5")</f>
        <v>M5WGS5</v>
      </c>
      <c r="D15621" s="2" t="s">
        <v>12518</v>
      </c>
      <c r="E15621" s="3">
        <v>2.5500000000000002E-174</v>
      </c>
      <c r="F15621" s="2">
        <v>1285</v>
      </c>
      <c r="G15621" s="2">
        <v>100</v>
      </c>
      <c r="H15621" s="2">
        <v>272</v>
      </c>
      <c r="I15621" s="2">
        <v>33</v>
      </c>
      <c r="J15621" s="2">
        <v>848</v>
      </c>
      <c r="K15621" s="2">
        <v>1</v>
      </c>
      <c r="L15621" s="2">
        <v>272</v>
      </c>
    </row>
    <row r="15622" spans="1:12" x14ac:dyDescent="0.25">
      <c r="A15622" s="4" t="str">
        <f>HYPERLINK("http://www.rosaceae.org/Prunus/Prunus_persica/p.persica_gdr_reftransV1_0038115","p.persica_gdr_reftransV1_0038115")</f>
        <v>p.persica_gdr_reftransV1_0038115</v>
      </c>
      <c r="B15622" s="2">
        <v>1166</v>
      </c>
      <c r="C15622" s="4" t="str">
        <f>HYPERLINK("http://www.uniprot.org/uniprot/M5WL42","M5WL42")</f>
        <v>M5WL42</v>
      </c>
      <c r="D15622" s="2" t="s">
        <v>3451</v>
      </c>
      <c r="E15622" s="3">
        <v>2.8699999999999998E-65</v>
      </c>
      <c r="F15622" s="2">
        <v>565</v>
      </c>
      <c r="G15622" s="2">
        <v>38</v>
      </c>
      <c r="H15622" s="2">
        <v>345</v>
      </c>
      <c r="I15622" s="2">
        <v>132</v>
      </c>
      <c r="J15622" s="2">
        <v>1070</v>
      </c>
      <c r="K15622" s="2">
        <v>296</v>
      </c>
      <c r="L15622" s="2">
        <v>632</v>
      </c>
    </row>
    <row r="15623" spans="1:12" x14ac:dyDescent="0.25">
      <c r="A15623" s="4" t="str">
        <f>HYPERLINK("http://www.rosaceae.org/Prunus/Prunus_persica/p.persica_gdr_reftransV1_0040565","p.persica_gdr_reftransV1_0040565")</f>
        <v>p.persica_gdr_reftransV1_0040565</v>
      </c>
      <c r="B15623" s="2">
        <v>1236</v>
      </c>
      <c r="C15623" s="4" t="str">
        <f>HYPERLINK("http://www.uniprot.org/uniprot/M5WUZ0","M5WUZ0")</f>
        <v>M5WUZ0</v>
      </c>
      <c r="D15623" s="2" t="s">
        <v>12519</v>
      </c>
      <c r="E15623" s="3">
        <v>6.5800000000000001E-178</v>
      </c>
      <c r="F15623" s="2">
        <v>1313</v>
      </c>
      <c r="G15623" s="2">
        <v>100</v>
      </c>
      <c r="H15623" s="2">
        <v>300</v>
      </c>
      <c r="I15623" s="2">
        <v>168</v>
      </c>
      <c r="J15623" s="2">
        <v>1067</v>
      </c>
      <c r="K15623" s="2">
        <v>1</v>
      </c>
      <c r="L15623" s="2">
        <v>300</v>
      </c>
    </row>
    <row r="15624" spans="1:12" x14ac:dyDescent="0.25">
      <c r="A15624" s="4" t="str">
        <f>HYPERLINK("http://www.rosaceae.org/Prunus/Prunus_persica/p.persica_gdr_reftransV1_0041965","p.persica_gdr_reftransV1_0041965")</f>
        <v>p.persica_gdr_reftransV1_0041965</v>
      </c>
      <c r="B15624" s="2">
        <v>2443</v>
      </c>
      <c r="C15624" s="4" t="str">
        <f>HYPERLINK("http://www.uniprot.org/uniprot/M5VXY9","M5VXY9")</f>
        <v>M5VXY9</v>
      </c>
      <c r="D15624" s="2" t="s">
        <v>3600</v>
      </c>
      <c r="E15624" s="3">
        <v>1.84E-149</v>
      </c>
      <c r="F15624" s="2">
        <v>1181</v>
      </c>
      <c r="G15624" s="2">
        <v>100</v>
      </c>
      <c r="H15624" s="2">
        <v>253</v>
      </c>
      <c r="I15624" s="2">
        <v>1683</v>
      </c>
      <c r="J15624" s="2">
        <v>2441</v>
      </c>
      <c r="K15624" s="2">
        <v>10</v>
      </c>
      <c r="L15624" s="2">
        <v>262</v>
      </c>
    </row>
    <row r="15625" spans="1:12" x14ac:dyDescent="0.25">
      <c r="A15625" s="4" t="str">
        <f>HYPERLINK("http://www.rosaceae.org/Prunus/Prunus_persica/p.persica_gdr_reftransV1_0042315","p.persica_gdr_reftransV1_0042315")</f>
        <v>p.persica_gdr_reftransV1_0042315</v>
      </c>
      <c r="B15625" s="2">
        <v>1724</v>
      </c>
      <c r="C15625" s="4" t="str">
        <f>HYPERLINK("http://www.uniprot.org/uniprot/M5X039","M5X039")</f>
        <v>M5X039</v>
      </c>
      <c r="D15625" s="2" t="s">
        <v>7182</v>
      </c>
      <c r="E15625" s="3">
        <v>0</v>
      </c>
      <c r="F15625" s="2">
        <v>1789</v>
      </c>
      <c r="G15625" s="2">
        <v>100</v>
      </c>
      <c r="H15625" s="2">
        <v>349</v>
      </c>
      <c r="I15625" s="2">
        <v>677</v>
      </c>
      <c r="J15625" s="2">
        <v>1723</v>
      </c>
      <c r="K15625" s="2">
        <v>1</v>
      </c>
      <c r="L15625" s="2">
        <v>349</v>
      </c>
    </row>
    <row r="15626" spans="1:12" x14ac:dyDescent="0.25">
      <c r="A15626" s="4" t="str">
        <f>HYPERLINK("http://www.rosaceae.org/Prunus/Prunus_persica/p.persica_gdr_reftransV1_0043015","p.persica_gdr_reftransV1_0043015")</f>
        <v>p.persica_gdr_reftransV1_0043015</v>
      </c>
      <c r="B15626" s="2">
        <v>2615</v>
      </c>
      <c r="C15626" s="4" t="str">
        <f>HYPERLINK("http://www.uniprot.org/uniprot/M5WRS9","M5WRS9")</f>
        <v>M5WRS9</v>
      </c>
      <c r="D15626" s="2" t="s">
        <v>12520</v>
      </c>
      <c r="E15626" s="3">
        <v>0</v>
      </c>
      <c r="F15626" s="2">
        <v>3437</v>
      </c>
      <c r="G15626" s="2">
        <v>100</v>
      </c>
      <c r="H15626" s="2">
        <v>657</v>
      </c>
      <c r="I15626" s="2">
        <v>626</v>
      </c>
      <c r="J15626" s="2">
        <v>2596</v>
      </c>
      <c r="K15626" s="2">
        <v>1</v>
      </c>
      <c r="L15626" s="2">
        <v>657</v>
      </c>
    </row>
    <row r="15627" spans="1:12" x14ac:dyDescent="0.25">
      <c r="A15627" s="4" t="str">
        <f>HYPERLINK("http://www.rosaceae.org/Prunus/Prunus_persica/p.persica_gdr_reftransV1_0043365","p.persica_gdr_reftransV1_0043365")</f>
        <v>p.persica_gdr_reftransV1_0043365</v>
      </c>
      <c r="B15627" s="2">
        <v>1550</v>
      </c>
      <c r="C15627" s="4" t="str">
        <f>HYPERLINK("http://www.uniprot.org/uniprot/M5VJ30","M5VJ30")</f>
        <v>M5VJ30</v>
      </c>
      <c r="D15627" s="2" t="s">
        <v>52</v>
      </c>
      <c r="E15627" s="3">
        <v>2.9E-32</v>
      </c>
      <c r="F15627" s="2">
        <v>346</v>
      </c>
      <c r="G15627" s="2">
        <v>33</v>
      </c>
      <c r="H15627" s="2">
        <v>380</v>
      </c>
      <c r="I15627" s="2">
        <v>434</v>
      </c>
      <c r="J15627" s="2">
        <v>1531</v>
      </c>
      <c r="K15627" s="2">
        <v>104</v>
      </c>
      <c r="L15627" s="2">
        <v>447</v>
      </c>
    </row>
    <row r="15628" spans="1:12" x14ac:dyDescent="0.25">
      <c r="A15628" s="4" t="str">
        <f>HYPERLINK("http://www.rosaceae.org/Prunus/Prunus_persica/p.persica_gdr_reftransV1_0043715","p.persica_gdr_reftransV1_0043715")</f>
        <v>p.persica_gdr_reftransV1_0043715</v>
      </c>
      <c r="B15628" s="2">
        <v>395</v>
      </c>
      <c r="C15628" s="4" t="str">
        <f>HYPERLINK("http://www.uniprot.org/uniprot/M5XF11","M5XF11")</f>
        <v>M5XF11</v>
      </c>
      <c r="D15628" s="2" t="s">
        <v>12521</v>
      </c>
      <c r="E15628" s="3">
        <v>1.2E-23</v>
      </c>
      <c r="F15628" s="2">
        <v>251</v>
      </c>
      <c r="G15628" s="2">
        <v>47</v>
      </c>
      <c r="H15628" s="2">
        <v>102</v>
      </c>
      <c r="I15628" s="2">
        <v>9</v>
      </c>
      <c r="J15628" s="2">
        <v>314</v>
      </c>
      <c r="K15628" s="2">
        <v>111</v>
      </c>
      <c r="L15628" s="2">
        <v>212</v>
      </c>
    </row>
    <row r="15629" spans="1:12" x14ac:dyDescent="0.25">
      <c r="A15629" s="4" t="str">
        <f>HYPERLINK("http://www.rosaceae.org/Prunus/Prunus_persica/p.persica_gdr_reftransV1_0044065","p.persica_gdr_reftransV1_0044065")</f>
        <v>p.persica_gdr_reftransV1_0044065</v>
      </c>
      <c r="B15629" s="2">
        <v>324</v>
      </c>
      <c r="C15629" s="4" t="str">
        <f>HYPERLINK("http://www.uniprot.org/uniprot/M5WC03","M5WC03")</f>
        <v>M5WC03</v>
      </c>
      <c r="D15629" s="2" t="s">
        <v>7563</v>
      </c>
      <c r="E15629" s="3">
        <v>1.6300000000000001E-63</v>
      </c>
      <c r="F15629" s="2">
        <v>520</v>
      </c>
      <c r="G15629" s="2">
        <v>100</v>
      </c>
      <c r="H15629" s="2">
        <v>97</v>
      </c>
      <c r="I15629" s="2">
        <v>1</v>
      </c>
      <c r="J15629" s="2">
        <v>291</v>
      </c>
      <c r="K15629" s="2">
        <v>1</v>
      </c>
      <c r="L15629" s="2">
        <v>97</v>
      </c>
    </row>
    <row r="15630" spans="1:12" x14ac:dyDescent="0.25">
      <c r="A15630" s="4" t="str">
        <f>HYPERLINK("http://www.rosaceae.org/Prunus/Prunus_persica/p.persica_gdr_reftransV1_0044415","p.persica_gdr_reftransV1_0044415")</f>
        <v>p.persica_gdr_reftransV1_0044415</v>
      </c>
      <c r="B15630" s="2">
        <v>622</v>
      </c>
      <c r="C15630" s="4" t="str">
        <f>HYPERLINK("http://www.uniprot.org/uniprot/M5VHW8","M5VHW8")</f>
        <v>M5VHW8</v>
      </c>
      <c r="D15630" s="2" t="s">
        <v>2688</v>
      </c>
      <c r="E15630" s="3">
        <v>6.6299999999999999E-150</v>
      </c>
      <c r="F15630" s="2">
        <v>1113</v>
      </c>
      <c r="G15630" s="2">
        <v>100</v>
      </c>
      <c r="H15630" s="2">
        <v>206</v>
      </c>
      <c r="I15630" s="2">
        <v>3</v>
      </c>
      <c r="J15630" s="2">
        <v>620</v>
      </c>
      <c r="K15630" s="2">
        <v>104</v>
      </c>
      <c r="L15630" s="2">
        <v>309</v>
      </c>
    </row>
    <row r="15631" spans="1:12" x14ac:dyDescent="0.25">
      <c r="A15631" s="4" t="str">
        <f>HYPERLINK("http://www.rosaceae.org/Prunus/Prunus_persica/p.persica_gdr_reftransV1_0045115","p.persica_gdr_reftransV1_0045115")</f>
        <v>p.persica_gdr_reftransV1_0045115</v>
      </c>
      <c r="B15631" s="2">
        <v>1755</v>
      </c>
      <c r="C15631" s="4" t="str">
        <f>HYPERLINK("http://www.uniprot.org/uniprot/M5XC81","M5XC81")</f>
        <v>M5XC81</v>
      </c>
      <c r="D15631" s="2" t="s">
        <v>12522</v>
      </c>
      <c r="E15631" s="3">
        <v>7.57E-153</v>
      </c>
      <c r="F15631" s="2">
        <v>1174</v>
      </c>
      <c r="G15631" s="2">
        <v>100</v>
      </c>
      <c r="H15631" s="2">
        <v>253</v>
      </c>
      <c r="I15631" s="2">
        <v>60</v>
      </c>
      <c r="J15631" s="2">
        <v>818</v>
      </c>
      <c r="K15631" s="2">
        <v>1</v>
      </c>
      <c r="L15631" s="2">
        <v>253</v>
      </c>
    </row>
    <row r="15632" spans="1:12" x14ac:dyDescent="0.25">
      <c r="A15632" s="4" t="str">
        <f>HYPERLINK("http://www.rosaceae.org/Prunus/Prunus_persica/p.persica_gdr_reftransV1_0045815","p.persica_gdr_reftransV1_0045815")</f>
        <v>p.persica_gdr_reftransV1_0045815</v>
      </c>
      <c r="B15632" s="2">
        <v>1473</v>
      </c>
      <c r="C15632" s="4" t="str">
        <f>HYPERLINK("http://www.uniprot.org/uniprot/M5XCV9","M5XCV9")</f>
        <v>M5XCV9</v>
      </c>
      <c r="D15632" s="2" t="s">
        <v>12523</v>
      </c>
      <c r="E15632" s="3">
        <v>6.0700000000000004E-146</v>
      </c>
      <c r="F15632" s="2">
        <v>1117</v>
      </c>
      <c r="G15632" s="2">
        <v>100</v>
      </c>
      <c r="H15632" s="2">
        <v>363</v>
      </c>
      <c r="I15632" s="2">
        <v>232</v>
      </c>
      <c r="J15632" s="2">
        <v>1320</v>
      </c>
      <c r="K15632" s="2">
        <v>1</v>
      </c>
      <c r="L15632" s="2">
        <v>363</v>
      </c>
    </row>
    <row r="15633" spans="1:12" x14ac:dyDescent="0.25">
      <c r="A15633" s="4" t="str">
        <f>HYPERLINK("http://www.rosaceae.org/Prunus/Prunus_persica/p.persica_gdr_reftransV1_0046165","p.persica_gdr_reftransV1_0046165")</f>
        <v>p.persica_gdr_reftransV1_0046165</v>
      </c>
      <c r="B15633" s="2">
        <v>585</v>
      </c>
      <c r="C15633" s="4" t="str">
        <f>HYPERLINK("http://www.uniprot.org/uniprot/M5X2X5","M5X2X5")</f>
        <v>M5X2X5</v>
      </c>
      <c r="D15633" s="2" t="s">
        <v>12524</v>
      </c>
      <c r="E15633" s="3">
        <v>2.6000000000000001E-78</v>
      </c>
      <c r="F15633" s="2">
        <v>616</v>
      </c>
      <c r="G15633" s="2">
        <v>100</v>
      </c>
      <c r="H15633" s="2">
        <v>124</v>
      </c>
      <c r="I15633" s="2">
        <v>107</v>
      </c>
      <c r="J15633" s="2">
        <v>478</v>
      </c>
      <c r="K15633" s="2">
        <v>7</v>
      </c>
      <c r="L15633" s="2">
        <v>130</v>
      </c>
    </row>
    <row r="15634" spans="1:12" x14ac:dyDescent="0.25">
      <c r="A15634" s="4" t="str">
        <f>HYPERLINK("http://www.rosaceae.org/Prunus/Prunus_persica/p.persica_gdr_reftransV1_0046515","p.persica_gdr_reftransV1_0046515")</f>
        <v>p.persica_gdr_reftransV1_0046515</v>
      </c>
      <c r="B15634" s="2">
        <v>1616</v>
      </c>
      <c r="C15634" s="4" t="str">
        <f>HYPERLINK("http://www.uniprot.org/uniprot/M5VJZ3","M5VJZ3")</f>
        <v>M5VJZ3</v>
      </c>
      <c r="D15634" s="2" t="s">
        <v>12525</v>
      </c>
      <c r="E15634" s="3">
        <v>0</v>
      </c>
      <c r="F15634" s="2">
        <v>1982</v>
      </c>
      <c r="G15634" s="2">
        <v>100</v>
      </c>
      <c r="H15634" s="2">
        <v>382</v>
      </c>
      <c r="I15634" s="2">
        <v>202</v>
      </c>
      <c r="J15634" s="2">
        <v>1347</v>
      </c>
      <c r="K15634" s="2">
        <v>1</v>
      </c>
      <c r="L15634" s="2">
        <v>382</v>
      </c>
    </row>
    <row r="15635" spans="1:12" x14ac:dyDescent="0.25">
      <c r="A15635" s="4" t="str">
        <f>HYPERLINK("http://www.rosaceae.org/Prunus/Prunus_persica/p.persica_gdr_reftransV1_0046865","p.persica_gdr_reftransV1_0046865")</f>
        <v>p.persica_gdr_reftransV1_0046865</v>
      </c>
      <c r="B15635" s="2">
        <v>2375</v>
      </c>
      <c r="C15635" s="4" t="str">
        <f>HYPERLINK("http://www.uniprot.org/uniprot/M5WCL8","M5WCL8")</f>
        <v>M5WCL8</v>
      </c>
      <c r="D15635" s="2" t="s">
        <v>12526</v>
      </c>
      <c r="E15635" s="3">
        <v>0</v>
      </c>
      <c r="F15635" s="2">
        <v>3015</v>
      </c>
      <c r="G15635" s="2">
        <v>100</v>
      </c>
      <c r="H15635" s="2">
        <v>668</v>
      </c>
      <c r="I15635" s="2">
        <v>321</v>
      </c>
      <c r="J15635" s="2">
        <v>2324</v>
      </c>
      <c r="K15635" s="2">
        <v>1</v>
      </c>
      <c r="L15635" s="2">
        <v>668</v>
      </c>
    </row>
    <row r="15636" spans="1:12" x14ac:dyDescent="0.25">
      <c r="A15636" s="4" t="str">
        <f>HYPERLINK("http://www.rosaceae.org/Prunus/Prunus_persica/p.persica_gdr_reftransV1_0047215","p.persica_gdr_reftransV1_0047215")</f>
        <v>p.persica_gdr_reftransV1_0047215</v>
      </c>
      <c r="B15636" s="2">
        <v>1545</v>
      </c>
      <c r="C15636" s="4" t="str">
        <f>HYPERLINK("http://www.uniprot.org/uniprot/M5WPH4","M5WPH4")</f>
        <v>M5WPH4</v>
      </c>
      <c r="D15636" s="2" t="s">
        <v>3722</v>
      </c>
      <c r="E15636" s="3">
        <v>0</v>
      </c>
      <c r="F15636" s="2">
        <v>2256</v>
      </c>
      <c r="G15636" s="2">
        <v>100</v>
      </c>
      <c r="H15636" s="2">
        <v>491</v>
      </c>
      <c r="I15636" s="2">
        <v>9</v>
      </c>
      <c r="J15636" s="2">
        <v>1481</v>
      </c>
      <c r="K15636" s="2">
        <v>12</v>
      </c>
      <c r="L15636" s="2">
        <v>502</v>
      </c>
    </row>
    <row r="15637" spans="1:12" x14ac:dyDescent="0.25">
      <c r="A15637" s="4" t="str">
        <f>HYPERLINK("http://www.rosaceae.org/Prunus/Prunus_persica/p.persica_gdr_reftransV1_0047565","p.persica_gdr_reftransV1_0047565")</f>
        <v>p.persica_gdr_reftransV1_0047565</v>
      </c>
      <c r="B15637" s="2">
        <v>2114</v>
      </c>
      <c r="C15637" s="4" t="str">
        <f>HYPERLINK("http://www.uniprot.org/uniprot/M5X3Q4","M5X3Q4")</f>
        <v>M5X3Q4</v>
      </c>
      <c r="D15637" s="2" t="s">
        <v>12527</v>
      </c>
      <c r="E15637" s="3">
        <v>0</v>
      </c>
      <c r="F15637" s="2">
        <v>3003</v>
      </c>
      <c r="G15637" s="2">
        <v>100</v>
      </c>
      <c r="H15637" s="2">
        <v>583</v>
      </c>
      <c r="I15637" s="2">
        <v>287</v>
      </c>
      <c r="J15637" s="2">
        <v>2035</v>
      </c>
      <c r="K15637" s="2">
        <v>1</v>
      </c>
      <c r="L15637" s="2">
        <v>583</v>
      </c>
    </row>
    <row r="15638" spans="1:12" x14ac:dyDescent="0.25">
      <c r="A15638" s="4" t="str">
        <f>HYPERLINK("http://www.rosaceae.org/Prunus/Prunus_persica/p.persica_gdr_reftransV1_0048265","p.persica_gdr_reftransV1_0048265")</f>
        <v>p.persica_gdr_reftransV1_0048265</v>
      </c>
      <c r="B15638" s="2">
        <v>767</v>
      </c>
      <c r="C15638" s="4" t="str">
        <f>HYPERLINK("http://www.uniprot.org/uniprot/M5X115","M5X115")</f>
        <v>M5X115</v>
      </c>
      <c r="D15638" s="2" t="s">
        <v>6708</v>
      </c>
      <c r="E15638" s="3">
        <v>6.6300000000000006E-95</v>
      </c>
      <c r="F15638" s="2">
        <v>733</v>
      </c>
      <c r="G15638" s="2">
        <v>100</v>
      </c>
      <c r="H15638" s="2">
        <v>139</v>
      </c>
      <c r="I15638" s="2">
        <v>127</v>
      </c>
      <c r="J15638" s="2">
        <v>543</v>
      </c>
      <c r="K15638" s="2">
        <v>1</v>
      </c>
      <c r="L15638" s="2">
        <v>139</v>
      </c>
    </row>
    <row r="15639" spans="1:12" x14ac:dyDescent="0.25">
      <c r="A15639" s="4" t="str">
        <f>HYPERLINK("http://www.rosaceae.org/Prunus/Prunus_persica/p.persica_gdr_reftransV1_0048615","p.persica_gdr_reftransV1_0048615")</f>
        <v>p.persica_gdr_reftransV1_0048615</v>
      </c>
      <c r="B15639" s="2">
        <v>1819</v>
      </c>
      <c r="C15639" s="4" t="str">
        <f>HYPERLINK("http://www.uniprot.org/uniprot/M5X4Y2","M5X4Y2")</f>
        <v>M5X4Y2</v>
      </c>
      <c r="D15639" s="2" t="s">
        <v>12528</v>
      </c>
      <c r="E15639" s="3">
        <v>0</v>
      </c>
      <c r="F15639" s="2">
        <v>2374</v>
      </c>
      <c r="G15639" s="2">
        <v>100</v>
      </c>
      <c r="H15639" s="2">
        <v>443</v>
      </c>
      <c r="I15639" s="2">
        <v>194</v>
      </c>
      <c r="J15639" s="2">
        <v>1522</v>
      </c>
      <c r="K15639" s="2">
        <v>1</v>
      </c>
      <c r="L15639" s="2">
        <v>443</v>
      </c>
    </row>
    <row r="15640" spans="1:12" x14ac:dyDescent="0.25">
      <c r="A15640" s="4" t="str">
        <f>HYPERLINK("http://www.rosaceae.org/Prunus/Prunus_persica/p.persica_gdr_reftransV1_0048965","p.persica_gdr_reftransV1_0048965")</f>
        <v>p.persica_gdr_reftransV1_0048965</v>
      </c>
      <c r="B15640" s="2">
        <v>892</v>
      </c>
      <c r="C15640" s="4" t="str">
        <f>HYPERLINK("http://www.uniprot.org/uniprot/M5XIT8","M5XIT8")</f>
        <v>M5XIT8</v>
      </c>
      <c r="D15640" s="2" t="s">
        <v>8231</v>
      </c>
      <c r="E15640" s="3">
        <v>0</v>
      </c>
      <c r="F15640" s="2">
        <v>1554</v>
      </c>
      <c r="G15640" s="2">
        <v>100</v>
      </c>
      <c r="H15640" s="2">
        <v>289</v>
      </c>
      <c r="I15640" s="2">
        <v>2</v>
      </c>
      <c r="J15640" s="2">
        <v>868</v>
      </c>
      <c r="K15640" s="2">
        <v>497</v>
      </c>
      <c r="L15640" s="2">
        <v>785</v>
      </c>
    </row>
    <row r="15641" spans="1:12" x14ac:dyDescent="0.25">
      <c r="A15641" s="4" t="str">
        <f>HYPERLINK("http://www.rosaceae.org/Prunus/Prunus_persica/p.persica_gdr_reftransV1_0000316","p.persica_gdr_reftransV1_0000316")</f>
        <v>p.persica_gdr_reftransV1_0000316</v>
      </c>
      <c r="B15641" s="2">
        <v>2373</v>
      </c>
      <c r="C15641" s="4" t="str">
        <f>HYPERLINK("http://www.uniprot.org/uniprot/M5VZI9","M5VZI9")</f>
        <v>M5VZI9</v>
      </c>
      <c r="D15641" s="2" t="s">
        <v>12529</v>
      </c>
      <c r="E15641" s="3">
        <v>0</v>
      </c>
      <c r="F15641" s="2">
        <v>2787</v>
      </c>
      <c r="G15641" s="2">
        <v>100</v>
      </c>
      <c r="H15641" s="2">
        <v>577</v>
      </c>
      <c r="I15641" s="2">
        <v>427</v>
      </c>
      <c r="J15641" s="2">
        <v>2157</v>
      </c>
      <c r="K15641" s="2">
        <v>204</v>
      </c>
      <c r="L15641" s="2">
        <v>780</v>
      </c>
    </row>
    <row r="15642" spans="1:12" x14ac:dyDescent="0.25">
      <c r="A15642" s="4" t="str">
        <f>HYPERLINK("http://www.rosaceae.org/Prunus/Prunus_persica/p.persica_gdr_reftransV1_0000666","p.persica_gdr_reftransV1_0000666")</f>
        <v>p.persica_gdr_reftransV1_0000666</v>
      </c>
      <c r="B15642" s="2">
        <v>843</v>
      </c>
      <c r="C15642" s="4" t="str">
        <f>HYPERLINK("http://www.uniprot.org/uniprot/G7JG15","G7JG15")</f>
        <v>G7JG15</v>
      </c>
      <c r="D15642" s="2" t="s">
        <v>12530</v>
      </c>
      <c r="E15642" s="3">
        <v>1.13E-19</v>
      </c>
      <c r="F15642" s="2">
        <v>226</v>
      </c>
      <c r="G15642" s="2">
        <v>71</v>
      </c>
      <c r="H15642" s="2">
        <v>69</v>
      </c>
      <c r="I15642" s="2">
        <v>394</v>
      </c>
      <c r="J15642" s="2">
        <v>597</v>
      </c>
      <c r="K15642" s="2">
        <v>1</v>
      </c>
      <c r="L15642" s="2">
        <v>65</v>
      </c>
    </row>
    <row r="15643" spans="1:12" x14ac:dyDescent="0.25">
      <c r="A15643" s="4" t="str">
        <f>HYPERLINK("http://www.rosaceae.org/Prunus/Prunus_persica/p.persica_gdr_reftransV1_0001016","p.persica_gdr_reftransV1_0001016")</f>
        <v>p.persica_gdr_reftransV1_0001016</v>
      </c>
      <c r="B15643" s="2">
        <v>453</v>
      </c>
      <c r="C15643" s="4" t="str">
        <f>HYPERLINK("http://www.uniprot.org/uniprot/M5WKK8","M5WKK8")</f>
        <v>M5WKK8</v>
      </c>
      <c r="D15643" s="2" t="s">
        <v>12531</v>
      </c>
      <c r="E15643" s="3">
        <v>1.9200000000000001E-59</v>
      </c>
      <c r="F15643" s="2">
        <v>504</v>
      </c>
      <c r="G15643" s="2">
        <v>73</v>
      </c>
      <c r="H15643" s="2">
        <v>150</v>
      </c>
      <c r="I15643" s="2">
        <v>3</v>
      </c>
      <c r="J15643" s="2">
        <v>452</v>
      </c>
      <c r="K15643" s="2">
        <v>202</v>
      </c>
      <c r="L15643" s="2">
        <v>310</v>
      </c>
    </row>
    <row r="15644" spans="1:12" x14ac:dyDescent="0.25">
      <c r="A15644" s="4" t="str">
        <f>HYPERLINK("http://www.rosaceae.org/Prunus/Prunus_persica/p.persica_gdr_reftransV1_0001366","p.persica_gdr_reftransV1_0001366")</f>
        <v>p.persica_gdr_reftransV1_0001366</v>
      </c>
      <c r="B15644" s="2">
        <v>1721</v>
      </c>
      <c r="C15644" s="4" t="str">
        <f>HYPERLINK("http://www.uniprot.org/uniprot/W9S6M2","W9S6M2")</f>
        <v>W9S6M2</v>
      </c>
      <c r="D15644" s="2" t="s">
        <v>12532</v>
      </c>
      <c r="E15644" s="3">
        <v>0</v>
      </c>
      <c r="F15644" s="2">
        <v>1710</v>
      </c>
      <c r="G15644" s="2">
        <v>74</v>
      </c>
      <c r="H15644" s="2">
        <v>446</v>
      </c>
      <c r="I15644" s="2">
        <v>338</v>
      </c>
      <c r="J15644" s="2">
        <v>1675</v>
      </c>
      <c r="K15644" s="2">
        <v>25</v>
      </c>
      <c r="L15644" s="2">
        <v>452</v>
      </c>
    </row>
    <row r="15645" spans="1:12" x14ac:dyDescent="0.25">
      <c r="A15645" s="4" t="str">
        <f>HYPERLINK("http://www.rosaceae.org/Prunus/Prunus_persica/p.persica_gdr_reftransV1_0002066","p.persica_gdr_reftransV1_0002066")</f>
        <v>p.persica_gdr_reftransV1_0002066</v>
      </c>
      <c r="B15645" s="2">
        <v>459</v>
      </c>
      <c r="C15645" s="4" t="str">
        <f>HYPERLINK("http://www.uniprot.org/uniprot/M5VVL4","M5VVL4")</f>
        <v>M5VVL4</v>
      </c>
      <c r="D15645" s="2" t="s">
        <v>12533</v>
      </c>
      <c r="E15645" s="3">
        <v>9.4399999999999995E-60</v>
      </c>
      <c r="F15645" s="2">
        <v>518</v>
      </c>
      <c r="G15645" s="2">
        <v>100</v>
      </c>
      <c r="H15645" s="2">
        <v>100</v>
      </c>
      <c r="I15645" s="2">
        <v>1</v>
      </c>
      <c r="J15645" s="2">
        <v>300</v>
      </c>
      <c r="K15645" s="2">
        <v>1</v>
      </c>
      <c r="L15645" s="2">
        <v>100</v>
      </c>
    </row>
    <row r="15646" spans="1:12" x14ac:dyDescent="0.25">
      <c r="A15646" s="4" t="str">
        <f>HYPERLINK("http://www.rosaceae.org/Prunus/Prunus_persica/p.persica_gdr_reftransV1_0002416","p.persica_gdr_reftransV1_0002416")</f>
        <v>p.persica_gdr_reftransV1_0002416</v>
      </c>
      <c r="B15646" s="2">
        <v>357</v>
      </c>
      <c r="C15646" s="4" t="str">
        <f>HYPERLINK("http://www.uniprot.org/uniprot/C7YWK6","C7YWK6")</f>
        <v>C7YWK6</v>
      </c>
      <c r="D15646" s="2" t="s">
        <v>12534</v>
      </c>
      <c r="E15646" s="3">
        <v>1.27E-77</v>
      </c>
      <c r="F15646" s="2">
        <v>632</v>
      </c>
      <c r="G15646" s="2">
        <v>98</v>
      </c>
      <c r="H15646" s="2">
        <v>118</v>
      </c>
      <c r="I15646" s="2">
        <v>2</v>
      </c>
      <c r="J15646" s="2">
        <v>355</v>
      </c>
      <c r="K15646" s="2">
        <v>152</v>
      </c>
      <c r="L15646" s="2">
        <v>269</v>
      </c>
    </row>
    <row r="15647" spans="1:12" x14ac:dyDescent="0.25">
      <c r="A15647" s="4" t="str">
        <f>HYPERLINK("http://www.rosaceae.org/Prunus/Prunus_persica/p.persica_gdr_reftransV1_0003116","p.persica_gdr_reftransV1_0003116")</f>
        <v>p.persica_gdr_reftransV1_0003116</v>
      </c>
      <c r="B15647" s="2">
        <v>395</v>
      </c>
      <c r="C15647" s="4" t="str">
        <f>HYPERLINK("http://www.uniprot.org/uniprot/S0DSW9","S0DSW9")</f>
        <v>S0DSW9</v>
      </c>
      <c r="D15647" s="2" t="s">
        <v>12535</v>
      </c>
      <c r="E15647" s="3">
        <v>5.6699999999999998E-55</v>
      </c>
      <c r="F15647" s="2">
        <v>488</v>
      </c>
      <c r="G15647" s="2">
        <v>83</v>
      </c>
      <c r="H15647" s="2">
        <v>114</v>
      </c>
      <c r="I15647" s="2">
        <v>2</v>
      </c>
      <c r="J15647" s="2">
        <v>343</v>
      </c>
      <c r="K15647" s="2">
        <v>515</v>
      </c>
      <c r="L15647" s="2">
        <v>628</v>
      </c>
    </row>
    <row r="15648" spans="1:12" x14ac:dyDescent="0.25">
      <c r="A15648" s="4" t="str">
        <f>HYPERLINK("http://www.rosaceae.org/Prunus/Prunus_persica/p.persica_gdr_reftransV1_0003466","p.persica_gdr_reftransV1_0003466")</f>
        <v>p.persica_gdr_reftransV1_0003466</v>
      </c>
      <c r="B15648" s="2">
        <v>412</v>
      </c>
      <c r="C15648" s="4" t="str">
        <f>HYPERLINK("http://www.uniprot.org/uniprot/M5X3H1","M5X3H1")</f>
        <v>M5X3H1</v>
      </c>
      <c r="D15648" s="2" t="s">
        <v>12536</v>
      </c>
      <c r="E15648" s="3">
        <v>2.3599999999999998E-22</v>
      </c>
      <c r="F15648" s="2">
        <v>245</v>
      </c>
      <c r="G15648" s="2">
        <v>78</v>
      </c>
      <c r="H15648" s="2">
        <v>55</v>
      </c>
      <c r="I15648" s="2">
        <v>246</v>
      </c>
      <c r="J15648" s="2">
        <v>410</v>
      </c>
      <c r="K15648" s="2">
        <v>2</v>
      </c>
      <c r="L15648" s="2">
        <v>56</v>
      </c>
    </row>
    <row r="15649" spans="1:12" x14ac:dyDescent="0.25">
      <c r="A15649" s="4" t="str">
        <f>HYPERLINK("http://www.rosaceae.org/Prunus/Prunus_persica/p.persica_gdr_reftransV1_0003816","p.persica_gdr_reftransV1_0003816")</f>
        <v>p.persica_gdr_reftransV1_0003816</v>
      </c>
      <c r="B15649" s="2">
        <v>3683</v>
      </c>
      <c r="C15649" s="4" t="str">
        <f>HYPERLINK("http://www.uniprot.org/uniprot/M5XA02","M5XA02")</f>
        <v>M5XA02</v>
      </c>
      <c r="D15649" s="2" t="s">
        <v>2908</v>
      </c>
      <c r="E15649" s="3">
        <v>0</v>
      </c>
      <c r="F15649" s="2">
        <v>4982</v>
      </c>
      <c r="G15649" s="2">
        <v>100</v>
      </c>
      <c r="H15649" s="2">
        <v>996</v>
      </c>
      <c r="I15649" s="2">
        <v>436</v>
      </c>
      <c r="J15649" s="2">
        <v>3423</v>
      </c>
      <c r="K15649" s="2">
        <v>1</v>
      </c>
      <c r="L15649" s="2">
        <v>996</v>
      </c>
    </row>
    <row r="15650" spans="1:12" x14ac:dyDescent="0.25">
      <c r="A15650" s="4" t="str">
        <f>HYPERLINK("http://www.rosaceae.org/Prunus/Prunus_persica/p.persica_gdr_reftransV1_0004516","p.persica_gdr_reftransV1_0004516")</f>
        <v>p.persica_gdr_reftransV1_0004516</v>
      </c>
      <c r="B15650" s="2">
        <v>2673</v>
      </c>
      <c r="C15650" s="4" t="str">
        <f>HYPERLINK("http://www.uniprot.org/uniprot/M5XQ25","M5XQ25")</f>
        <v>M5XQ25</v>
      </c>
      <c r="D15650" s="2" t="s">
        <v>12537</v>
      </c>
      <c r="E15650" s="3">
        <v>0</v>
      </c>
      <c r="F15650" s="2">
        <v>3451</v>
      </c>
      <c r="G15650" s="2">
        <v>100</v>
      </c>
      <c r="H15650" s="2">
        <v>737</v>
      </c>
      <c r="I15650" s="2">
        <v>362</v>
      </c>
      <c r="J15650" s="2">
        <v>2572</v>
      </c>
      <c r="K15650" s="2">
        <v>16</v>
      </c>
      <c r="L15650" s="2">
        <v>751</v>
      </c>
    </row>
    <row r="15651" spans="1:12" x14ac:dyDescent="0.25">
      <c r="A15651" s="4" t="str">
        <f>HYPERLINK("http://www.rosaceae.org/Prunus/Prunus_persica/p.persica_gdr_reftransV1_0004866","p.persica_gdr_reftransV1_0004866")</f>
        <v>p.persica_gdr_reftransV1_0004866</v>
      </c>
      <c r="B15651" s="2">
        <v>2850</v>
      </c>
      <c r="C15651" s="4" t="str">
        <f>HYPERLINK("http://www.uniprot.org/uniprot/A0A061DUJ5","A0A061DUJ5")</f>
        <v>A0A061DUJ5</v>
      </c>
      <c r="D15651" s="2" t="s">
        <v>9357</v>
      </c>
      <c r="E15651" s="3">
        <v>1.06E-127</v>
      </c>
      <c r="F15651" s="2">
        <v>1059</v>
      </c>
      <c r="G15651" s="2">
        <v>57</v>
      </c>
      <c r="H15651" s="2">
        <v>373</v>
      </c>
      <c r="I15651" s="2">
        <v>1585</v>
      </c>
      <c r="J15651" s="2">
        <v>2679</v>
      </c>
      <c r="K15651" s="2">
        <v>9</v>
      </c>
      <c r="L15651" s="2">
        <v>365</v>
      </c>
    </row>
    <row r="15652" spans="1:12" x14ac:dyDescent="0.25">
      <c r="A15652" s="4" t="str">
        <f>HYPERLINK("http://www.rosaceae.org/Prunus/Prunus_persica/p.persica_gdr_reftransV1_0005216","p.persica_gdr_reftransV1_0005216")</f>
        <v>p.persica_gdr_reftransV1_0005216</v>
      </c>
      <c r="B15652" s="2">
        <v>2468</v>
      </c>
      <c r="C15652" s="4" t="str">
        <f>HYPERLINK("http://www.uniprot.org/uniprot/M5X6Z8","M5X6Z8")</f>
        <v>M5X6Z8</v>
      </c>
      <c r="D15652" s="2" t="s">
        <v>1243</v>
      </c>
      <c r="E15652" s="3">
        <v>0</v>
      </c>
      <c r="F15652" s="2">
        <v>2788</v>
      </c>
      <c r="G15652" s="2">
        <v>100</v>
      </c>
      <c r="H15652" s="2">
        <v>575</v>
      </c>
      <c r="I15652" s="2">
        <v>559</v>
      </c>
      <c r="J15652" s="2">
        <v>2283</v>
      </c>
      <c r="K15652" s="2">
        <v>1</v>
      </c>
      <c r="L15652" s="2">
        <v>575</v>
      </c>
    </row>
    <row r="15653" spans="1:12" x14ac:dyDescent="0.25">
      <c r="A15653" s="4" t="str">
        <f>HYPERLINK("http://www.rosaceae.org/Prunus/Prunus_persica/p.persica_gdr_reftransV1_0005566","p.persica_gdr_reftransV1_0005566")</f>
        <v>p.persica_gdr_reftransV1_0005566</v>
      </c>
      <c r="B15653" s="2">
        <v>510</v>
      </c>
      <c r="C15653" s="4" t="str">
        <f>HYPERLINK("http://www.uniprot.org/uniprot/M5W1T4","M5W1T4")</f>
        <v>M5W1T4</v>
      </c>
      <c r="D15653" s="2" t="s">
        <v>12538</v>
      </c>
      <c r="E15653" s="3">
        <v>8.9199999999999999E-101</v>
      </c>
      <c r="F15653" s="2">
        <v>775</v>
      </c>
      <c r="G15653" s="2">
        <v>100</v>
      </c>
      <c r="H15653" s="2">
        <v>160</v>
      </c>
      <c r="I15653" s="2">
        <v>29</v>
      </c>
      <c r="J15653" s="2">
        <v>508</v>
      </c>
      <c r="K15653" s="2">
        <v>112</v>
      </c>
      <c r="L15653" s="2">
        <v>271</v>
      </c>
    </row>
    <row r="15654" spans="1:12" x14ac:dyDescent="0.25">
      <c r="A15654" s="4" t="str">
        <f>HYPERLINK("http://www.rosaceae.org/Prunus/Prunus_persica/p.persica_gdr_reftransV1_0006266","p.persica_gdr_reftransV1_0006266")</f>
        <v>p.persica_gdr_reftransV1_0006266</v>
      </c>
      <c r="B15654" s="2">
        <v>521</v>
      </c>
      <c r="C15654" s="4" t="str">
        <f>HYPERLINK("http://www.uniprot.org/uniprot/M5XEA8","M5XEA8")</f>
        <v>M5XEA8</v>
      </c>
      <c r="D15654" s="2" t="s">
        <v>12539</v>
      </c>
      <c r="E15654" s="3">
        <v>1.9200000000000001E-60</v>
      </c>
      <c r="F15654" s="2">
        <v>495</v>
      </c>
      <c r="G15654" s="2">
        <v>97</v>
      </c>
      <c r="H15654" s="2">
        <v>98</v>
      </c>
      <c r="I15654" s="2">
        <v>79</v>
      </c>
      <c r="J15654" s="2">
        <v>372</v>
      </c>
      <c r="K15654" s="2">
        <v>1</v>
      </c>
      <c r="L15654" s="2">
        <v>98</v>
      </c>
    </row>
    <row r="15655" spans="1:12" x14ac:dyDescent="0.25">
      <c r="A15655" s="4" t="str">
        <f>HYPERLINK("http://www.rosaceae.org/Prunus/Prunus_persica/p.persica_gdr_reftransV1_0006966","p.persica_gdr_reftransV1_0006966")</f>
        <v>p.persica_gdr_reftransV1_0006966</v>
      </c>
      <c r="B15655" s="2">
        <v>3598</v>
      </c>
      <c r="C15655" s="4" t="str">
        <f>HYPERLINK("http://www.uniprot.org/uniprot/M5WXR7","M5WXR7")</f>
        <v>M5WXR7</v>
      </c>
      <c r="D15655" s="2" t="s">
        <v>12540</v>
      </c>
      <c r="E15655" s="3">
        <v>1.1099999999999999E-138</v>
      </c>
      <c r="F15655" s="2">
        <v>1115</v>
      </c>
      <c r="G15655" s="2">
        <v>89</v>
      </c>
      <c r="H15655" s="2">
        <v>300</v>
      </c>
      <c r="I15655" s="2">
        <v>2566</v>
      </c>
      <c r="J15655" s="2">
        <v>3465</v>
      </c>
      <c r="K15655" s="2">
        <v>1</v>
      </c>
      <c r="L15655" s="2">
        <v>270</v>
      </c>
    </row>
    <row r="15656" spans="1:12" x14ac:dyDescent="0.25">
      <c r="A15656" s="4" t="str">
        <f>HYPERLINK("http://www.rosaceae.org/Prunus/Prunus_persica/p.persica_gdr_reftransV1_0007316","p.persica_gdr_reftransV1_0007316")</f>
        <v>p.persica_gdr_reftransV1_0007316</v>
      </c>
      <c r="B15656" s="2">
        <v>2373</v>
      </c>
      <c r="C15656" s="4" t="str">
        <f>HYPERLINK("http://www.uniprot.org/uniprot/M5X287","M5X287")</f>
        <v>M5X287</v>
      </c>
      <c r="D15656" s="2" t="s">
        <v>12541</v>
      </c>
      <c r="E15656" s="3">
        <v>0</v>
      </c>
      <c r="F15656" s="2">
        <v>1634</v>
      </c>
      <c r="G15656" s="2">
        <v>95</v>
      </c>
      <c r="H15656" s="2">
        <v>339</v>
      </c>
      <c r="I15656" s="2">
        <v>1162</v>
      </c>
      <c r="J15656" s="2">
        <v>2178</v>
      </c>
      <c r="K15656" s="2">
        <v>188</v>
      </c>
      <c r="L15656" s="2">
        <v>524</v>
      </c>
    </row>
    <row r="15657" spans="1:12" x14ac:dyDescent="0.25">
      <c r="A15657" s="4" t="str">
        <f>HYPERLINK("http://www.rosaceae.org/Prunus/Prunus_persica/p.persica_gdr_reftransV1_0008016","p.persica_gdr_reftransV1_0008016")</f>
        <v>p.persica_gdr_reftransV1_0008016</v>
      </c>
      <c r="B15657" s="2">
        <v>1125</v>
      </c>
      <c r="C15657" s="4" t="str">
        <f>HYPERLINK("http://www.uniprot.org/uniprot/M5VMU8","M5VMU8")</f>
        <v>M5VMU8</v>
      </c>
      <c r="D15657" s="2" t="s">
        <v>1346</v>
      </c>
      <c r="E15657" s="3">
        <v>1.52E-138</v>
      </c>
      <c r="F15657" s="2">
        <v>1056</v>
      </c>
      <c r="G15657" s="2">
        <v>100</v>
      </c>
      <c r="H15657" s="2">
        <v>244</v>
      </c>
      <c r="I15657" s="2">
        <v>393</v>
      </c>
      <c r="J15657" s="2">
        <v>1124</v>
      </c>
      <c r="K15657" s="2">
        <v>119</v>
      </c>
      <c r="L15657" s="2">
        <v>362</v>
      </c>
    </row>
    <row r="15658" spans="1:12" x14ac:dyDescent="0.25">
      <c r="A15658" s="4" t="str">
        <f>HYPERLINK("http://www.rosaceae.org/Prunus/Prunus_persica/p.persica_gdr_reftransV1_0008366","p.persica_gdr_reftransV1_0008366")</f>
        <v>p.persica_gdr_reftransV1_0008366</v>
      </c>
      <c r="B15658" s="2">
        <v>1618</v>
      </c>
      <c r="C15658" s="4" t="str">
        <f>HYPERLINK("http://www.uniprot.org/uniprot/M5XG76","M5XG76")</f>
        <v>M5XG76</v>
      </c>
      <c r="D15658" s="2" t="s">
        <v>12542</v>
      </c>
      <c r="E15658" s="3">
        <v>2.3799999999999999E-116</v>
      </c>
      <c r="F15658" s="2">
        <v>911</v>
      </c>
      <c r="G15658" s="2">
        <v>100</v>
      </c>
      <c r="H15658" s="2">
        <v>211</v>
      </c>
      <c r="I15658" s="2">
        <v>984</v>
      </c>
      <c r="J15658" s="2">
        <v>1616</v>
      </c>
      <c r="K15658" s="2">
        <v>12</v>
      </c>
      <c r="L15658" s="2">
        <v>222</v>
      </c>
    </row>
    <row r="15659" spans="1:12" x14ac:dyDescent="0.25">
      <c r="A15659" s="4" t="str">
        <f>HYPERLINK("http://www.rosaceae.org/Prunus/Prunus_persica/p.persica_gdr_reftransV1_0008716","p.persica_gdr_reftransV1_0008716")</f>
        <v>p.persica_gdr_reftransV1_0008716</v>
      </c>
      <c r="B15659" s="2">
        <v>1486</v>
      </c>
      <c r="C15659" s="4" t="str">
        <f>HYPERLINK("http://www.uniprot.org/uniprot/M5XSX6","M5XSX6")</f>
        <v>M5XSX6</v>
      </c>
      <c r="D15659" s="2" t="s">
        <v>12543</v>
      </c>
      <c r="E15659" s="3">
        <v>0</v>
      </c>
      <c r="F15659" s="2">
        <v>1856</v>
      </c>
      <c r="G15659" s="2">
        <v>100</v>
      </c>
      <c r="H15659" s="2">
        <v>342</v>
      </c>
      <c r="I15659" s="2">
        <v>283</v>
      </c>
      <c r="J15659" s="2">
        <v>1308</v>
      </c>
      <c r="K15659" s="2">
        <v>18</v>
      </c>
      <c r="L15659" s="2">
        <v>359</v>
      </c>
    </row>
    <row r="15660" spans="1:12" x14ac:dyDescent="0.25">
      <c r="A15660" s="4" t="str">
        <f>HYPERLINK("http://www.rosaceae.org/Prunus/Prunus_persica/p.persica_gdr_reftransV1_0009416","p.persica_gdr_reftransV1_0009416")</f>
        <v>p.persica_gdr_reftransV1_0009416</v>
      </c>
      <c r="B15660" s="2">
        <v>2241</v>
      </c>
      <c r="C15660" s="4" t="str">
        <f>HYPERLINK("http://www.uniprot.org/uniprot/C0SPH5","C0SPH5")</f>
        <v>C0SPH5</v>
      </c>
      <c r="D15660" s="2" t="s">
        <v>12544</v>
      </c>
      <c r="E15660" s="3">
        <v>0</v>
      </c>
      <c r="F15660" s="2">
        <v>2726</v>
      </c>
      <c r="G15660" s="2">
        <v>100</v>
      </c>
      <c r="H15660" s="2">
        <v>544</v>
      </c>
      <c r="I15660" s="2">
        <v>307</v>
      </c>
      <c r="J15660" s="2">
        <v>1938</v>
      </c>
      <c r="K15660" s="2">
        <v>1</v>
      </c>
      <c r="L15660" s="2">
        <v>543</v>
      </c>
    </row>
    <row r="15661" spans="1:12" x14ac:dyDescent="0.25">
      <c r="A15661" s="4" t="str">
        <f>HYPERLINK("http://www.rosaceae.org/Prunus/Prunus_persica/p.persica_gdr_reftransV1_0009766","p.persica_gdr_reftransV1_0009766")</f>
        <v>p.persica_gdr_reftransV1_0009766</v>
      </c>
      <c r="B15661" s="2">
        <v>1618</v>
      </c>
      <c r="C15661" s="4" t="str">
        <f>HYPERLINK("http://www.uniprot.org/uniprot/M5XYW3","M5XYW3")</f>
        <v>M5XYW3</v>
      </c>
      <c r="D15661" s="2" t="s">
        <v>12545</v>
      </c>
      <c r="E15661" s="3">
        <v>0</v>
      </c>
      <c r="F15661" s="2">
        <v>1383</v>
      </c>
      <c r="G15661" s="2">
        <v>100</v>
      </c>
      <c r="H15661" s="2">
        <v>258</v>
      </c>
      <c r="I15661" s="2">
        <v>185</v>
      </c>
      <c r="J15661" s="2">
        <v>958</v>
      </c>
      <c r="K15661" s="2">
        <v>1</v>
      </c>
      <c r="L15661" s="2">
        <v>258</v>
      </c>
    </row>
    <row r="15662" spans="1:12" x14ac:dyDescent="0.25">
      <c r="A15662" s="4" t="str">
        <f>HYPERLINK("http://www.rosaceae.org/Prunus/Prunus_persica/p.persica_gdr_reftransV1_0010116","p.persica_gdr_reftransV1_0010116")</f>
        <v>p.persica_gdr_reftransV1_0010116</v>
      </c>
      <c r="B15662" s="2">
        <v>1461</v>
      </c>
      <c r="C15662" s="4" t="str">
        <f>HYPERLINK("http://www.uniprot.org/uniprot/M5XZF2","M5XZF2")</f>
        <v>M5XZF2</v>
      </c>
      <c r="D15662" s="2" t="s">
        <v>12546</v>
      </c>
      <c r="E15662" s="3">
        <v>8.9100000000000004E-58</v>
      </c>
      <c r="F15662" s="2">
        <v>511</v>
      </c>
      <c r="G15662" s="2">
        <v>100</v>
      </c>
      <c r="H15662" s="2">
        <v>102</v>
      </c>
      <c r="I15662" s="2">
        <v>347</v>
      </c>
      <c r="J15662" s="2">
        <v>652</v>
      </c>
      <c r="K15662" s="2">
        <v>1</v>
      </c>
      <c r="L15662" s="2">
        <v>102</v>
      </c>
    </row>
    <row r="15663" spans="1:12" x14ac:dyDescent="0.25">
      <c r="A15663" s="4" t="str">
        <f>HYPERLINK("http://www.rosaceae.org/Prunus/Prunus_persica/p.persica_gdr_reftransV1_0010816","p.persica_gdr_reftransV1_0010816")</f>
        <v>p.persica_gdr_reftransV1_0010816</v>
      </c>
      <c r="B15663" s="2">
        <v>3729</v>
      </c>
      <c r="C15663" s="4" t="str">
        <f>HYPERLINK("http://www.uniprot.org/uniprot/M5Y3G2","M5Y3G2")</f>
        <v>M5Y3G2</v>
      </c>
      <c r="D15663" s="2" t="s">
        <v>12547</v>
      </c>
      <c r="E15663" s="3">
        <v>0</v>
      </c>
      <c r="F15663" s="2">
        <v>3334</v>
      </c>
      <c r="G15663" s="2">
        <v>100</v>
      </c>
      <c r="H15663" s="2">
        <v>640</v>
      </c>
      <c r="I15663" s="2">
        <v>858</v>
      </c>
      <c r="J15663" s="2">
        <v>2777</v>
      </c>
      <c r="K15663" s="2">
        <v>7</v>
      </c>
      <c r="L15663" s="2">
        <v>646</v>
      </c>
    </row>
    <row r="15664" spans="1:12" x14ac:dyDescent="0.25">
      <c r="A15664" s="4" t="str">
        <f>HYPERLINK("http://www.rosaceae.org/Prunus/Prunus_persica/p.persica_gdr_reftransV1_0011516","p.persica_gdr_reftransV1_0011516")</f>
        <v>p.persica_gdr_reftransV1_0011516</v>
      </c>
      <c r="B15664" s="2">
        <v>2105</v>
      </c>
      <c r="C15664" s="4" t="str">
        <f>HYPERLINK("http://www.uniprot.org/uniprot/M5WN51","M5WN51")</f>
        <v>M5WN51</v>
      </c>
      <c r="D15664" s="2" t="s">
        <v>12548</v>
      </c>
      <c r="E15664" s="3">
        <v>0</v>
      </c>
      <c r="F15664" s="2">
        <v>2672</v>
      </c>
      <c r="G15664" s="2">
        <v>93</v>
      </c>
      <c r="H15664" s="2">
        <v>550</v>
      </c>
      <c r="I15664" s="2">
        <v>290</v>
      </c>
      <c r="J15664" s="2">
        <v>1939</v>
      </c>
      <c r="K15664" s="2">
        <v>1</v>
      </c>
      <c r="L15664" s="2">
        <v>509</v>
      </c>
    </row>
    <row r="15665" spans="1:12" x14ac:dyDescent="0.25">
      <c r="A15665" s="4" t="str">
        <f>HYPERLINK("http://www.rosaceae.org/Prunus/Prunus_persica/p.persica_gdr_reftransV1_0012216","p.persica_gdr_reftransV1_0012216")</f>
        <v>p.persica_gdr_reftransV1_0012216</v>
      </c>
      <c r="B15665" s="2">
        <v>1949</v>
      </c>
      <c r="C15665" s="4" t="str">
        <f>HYPERLINK("http://www.uniprot.org/uniprot/M5X2K6","M5X2K6")</f>
        <v>M5X2K6</v>
      </c>
      <c r="D15665" s="2" t="s">
        <v>12549</v>
      </c>
      <c r="E15665" s="3">
        <v>0</v>
      </c>
      <c r="F15665" s="2">
        <v>2929</v>
      </c>
      <c r="G15665" s="2">
        <v>100</v>
      </c>
      <c r="H15665" s="2">
        <v>568</v>
      </c>
      <c r="I15665" s="2">
        <v>42</v>
      </c>
      <c r="J15665" s="2">
        <v>1745</v>
      </c>
      <c r="K15665" s="2">
        <v>1</v>
      </c>
      <c r="L15665" s="2">
        <v>568</v>
      </c>
    </row>
    <row r="15666" spans="1:12" x14ac:dyDescent="0.25">
      <c r="A15666" s="4" t="str">
        <f>HYPERLINK("http://www.rosaceae.org/Prunus/Prunus_persica/p.persica_gdr_reftransV1_0016066","p.persica_gdr_reftransV1_0016066")</f>
        <v>p.persica_gdr_reftransV1_0016066</v>
      </c>
      <c r="B15666" s="2">
        <v>2403</v>
      </c>
      <c r="C15666" s="4" t="str">
        <f>HYPERLINK("http://www.uniprot.org/uniprot/M5W720","M5W720")</f>
        <v>M5W720</v>
      </c>
      <c r="D15666" s="2" t="s">
        <v>12550</v>
      </c>
      <c r="E15666" s="3">
        <v>0</v>
      </c>
      <c r="F15666" s="2">
        <v>3086</v>
      </c>
      <c r="G15666" s="2">
        <v>100</v>
      </c>
      <c r="H15666" s="2">
        <v>621</v>
      </c>
      <c r="I15666" s="2">
        <v>143</v>
      </c>
      <c r="J15666" s="2">
        <v>2005</v>
      </c>
      <c r="K15666" s="2">
        <v>1</v>
      </c>
      <c r="L15666" s="2">
        <v>621</v>
      </c>
    </row>
    <row r="15667" spans="1:12" x14ac:dyDescent="0.25">
      <c r="A15667" s="4" t="str">
        <f>HYPERLINK("http://www.rosaceae.org/Prunus/Prunus_persica/p.persica_gdr_reftransV1_0016416","p.persica_gdr_reftransV1_0016416")</f>
        <v>p.persica_gdr_reftransV1_0016416</v>
      </c>
      <c r="B15667" s="2">
        <v>571</v>
      </c>
      <c r="C15667" s="4" t="str">
        <f>HYPERLINK("http://www.uniprot.org/uniprot/M5WEF2","M5WEF2")</f>
        <v>M5WEF2</v>
      </c>
      <c r="D15667" s="2" t="s">
        <v>6764</v>
      </c>
      <c r="E15667" s="3">
        <v>4.2199999999999999E-108</v>
      </c>
      <c r="F15667" s="2">
        <v>877</v>
      </c>
      <c r="G15667" s="2">
        <v>100</v>
      </c>
      <c r="H15667" s="2">
        <v>167</v>
      </c>
      <c r="I15667" s="2">
        <v>2</v>
      </c>
      <c r="J15667" s="2">
        <v>502</v>
      </c>
      <c r="K15667" s="2">
        <v>1</v>
      </c>
      <c r="L15667" s="2">
        <v>167</v>
      </c>
    </row>
    <row r="15668" spans="1:12" x14ac:dyDescent="0.25">
      <c r="A15668" s="4" t="str">
        <f>HYPERLINK("http://www.rosaceae.org/Prunus/Prunus_persica/p.persica_gdr_reftransV1_0016766","p.persica_gdr_reftransV1_0016766")</f>
        <v>p.persica_gdr_reftransV1_0016766</v>
      </c>
      <c r="B15668" s="2">
        <v>4534</v>
      </c>
      <c r="C15668" s="4" t="str">
        <f>HYPERLINK("http://www.uniprot.org/uniprot/M5WU17","M5WU17")</f>
        <v>M5WU17</v>
      </c>
      <c r="D15668" s="2" t="s">
        <v>12551</v>
      </c>
      <c r="E15668" s="3">
        <v>0</v>
      </c>
      <c r="F15668" s="2">
        <v>5136</v>
      </c>
      <c r="G15668" s="2">
        <v>85</v>
      </c>
      <c r="H15668" s="2">
        <v>1218</v>
      </c>
      <c r="I15668" s="2">
        <v>172</v>
      </c>
      <c r="J15668" s="2">
        <v>3816</v>
      </c>
      <c r="K15668" s="2">
        <v>1</v>
      </c>
      <c r="L15668" s="2">
        <v>1216</v>
      </c>
    </row>
    <row r="15669" spans="1:12" x14ac:dyDescent="0.25">
      <c r="A15669" s="4" t="str">
        <f>HYPERLINK("http://www.rosaceae.org/Prunus/Prunus_persica/p.persica_gdr_reftransV1_0017466","p.persica_gdr_reftransV1_0017466")</f>
        <v>p.persica_gdr_reftransV1_0017466</v>
      </c>
      <c r="B15669" s="2">
        <v>4837</v>
      </c>
      <c r="C15669" s="4" t="str">
        <f>HYPERLINK("http://www.uniprot.org/uniprot/M5VIY5","M5VIY5")</f>
        <v>M5VIY5</v>
      </c>
      <c r="D15669" s="2" t="s">
        <v>12552</v>
      </c>
      <c r="E15669" s="3">
        <v>0</v>
      </c>
      <c r="F15669" s="2">
        <v>2521</v>
      </c>
      <c r="G15669" s="2">
        <v>100</v>
      </c>
      <c r="H15669" s="2">
        <v>475</v>
      </c>
      <c r="I15669" s="2">
        <v>3411</v>
      </c>
      <c r="J15669" s="2">
        <v>4835</v>
      </c>
      <c r="K15669" s="2">
        <v>20</v>
      </c>
      <c r="L15669" s="2">
        <v>494</v>
      </c>
    </row>
    <row r="15670" spans="1:12" x14ac:dyDescent="0.25">
      <c r="A15670" s="4" t="str">
        <f>HYPERLINK("http://www.rosaceae.org/Prunus/Prunus_persica/p.persica_gdr_reftransV1_0017816","p.persica_gdr_reftransV1_0017816")</f>
        <v>p.persica_gdr_reftransV1_0017816</v>
      </c>
      <c r="B15670" s="2">
        <v>1085</v>
      </c>
      <c r="C15670" s="4" t="str">
        <f>HYPERLINK("http://www.uniprot.org/uniprot/M5XAU9","M5XAU9")</f>
        <v>M5XAU9</v>
      </c>
      <c r="D15670" s="2" t="s">
        <v>3356</v>
      </c>
      <c r="E15670" s="3">
        <v>0</v>
      </c>
      <c r="F15670" s="2">
        <v>1859</v>
      </c>
      <c r="G15670" s="2">
        <v>100</v>
      </c>
      <c r="H15670" s="2">
        <v>361</v>
      </c>
      <c r="I15670" s="2">
        <v>2</v>
      </c>
      <c r="J15670" s="2">
        <v>1084</v>
      </c>
      <c r="K15670" s="2">
        <v>148</v>
      </c>
      <c r="L15670" s="2">
        <v>508</v>
      </c>
    </row>
    <row r="15671" spans="1:12" x14ac:dyDescent="0.25">
      <c r="A15671" s="4" t="str">
        <f>HYPERLINK("http://www.rosaceae.org/Prunus/Prunus_persica/p.persica_gdr_reftransV1_0018516","p.persica_gdr_reftransV1_0018516")</f>
        <v>p.persica_gdr_reftransV1_0018516</v>
      </c>
      <c r="B15671" s="2">
        <v>1564</v>
      </c>
      <c r="C15671" s="4" t="str">
        <f>HYPERLINK("http://www.uniprot.org/uniprot/M5WA03","M5WA03")</f>
        <v>M5WA03</v>
      </c>
      <c r="D15671" s="2" t="s">
        <v>12553</v>
      </c>
      <c r="E15671" s="3">
        <v>4.7599999999999999E-170</v>
      </c>
      <c r="F15671" s="2">
        <v>1275</v>
      </c>
      <c r="G15671" s="2">
        <v>100</v>
      </c>
      <c r="H15671" s="2">
        <v>326</v>
      </c>
      <c r="I15671" s="2">
        <v>213</v>
      </c>
      <c r="J15671" s="2">
        <v>1190</v>
      </c>
      <c r="K15671" s="2">
        <v>1</v>
      </c>
      <c r="L15671" s="2">
        <v>326</v>
      </c>
    </row>
    <row r="15672" spans="1:12" x14ac:dyDescent="0.25">
      <c r="A15672" s="4" t="str">
        <f>HYPERLINK("http://www.rosaceae.org/Prunus/Prunus_persica/p.persica_gdr_reftransV1_0020616","p.persica_gdr_reftransV1_0020616")</f>
        <v>p.persica_gdr_reftransV1_0020616</v>
      </c>
      <c r="B15672" s="2">
        <v>1618</v>
      </c>
      <c r="C15672" s="4" t="str">
        <f>HYPERLINK("http://www.uniprot.org/uniprot/M5X7Q4","M5X7Q4")</f>
        <v>M5X7Q4</v>
      </c>
      <c r="D15672" s="2" t="s">
        <v>12554</v>
      </c>
      <c r="E15672" s="3">
        <v>9.9100000000000007E-164</v>
      </c>
      <c r="F15672" s="2">
        <v>1230</v>
      </c>
      <c r="G15672" s="2">
        <v>100</v>
      </c>
      <c r="H15672" s="2">
        <v>234</v>
      </c>
      <c r="I15672" s="2">
        <v>281</v>
      </c>
      <c r="J15672" s="2">
        <v>982</v>
      </c>
      <c r="K15672" s="2">
        <v>1</v>
      </c>
      <c r="L15672" s="2">
        <v>234</v>
      </c>
    </row>
    <row r="15673" spans="1:12" x14ac:dyDescent="0.25">
      <c r="A15673" s="4" t="str">
        <f>HYPERLINK("http://www.rosaceae.org/Prunus/Prunus_persica/p.persica_gdr_reftransV1_0021316","p.persica_gdr_reftransV1_0021316")</f>
        <v>p.persica_gdr_reftransV1_0021316</v>
      </c>
      <c r="B15673" s="2">
        <v>2199</v>
      </c>
      <c r="C15673" s="4" t="str">
        <f>HYPERLINK("http://www.uniprot.org/uniprot/M5VXU2","M5VXU2")</f>
        <v>M5VXU2</v>
      </c>
      <c r="D15673" s="2" t="s">
        <v>9693</v>
      </c>
      <c r="E15673" s="3">
        <v>5.1599999999999997E-173</v>
      </c>
      <c r="F15673" s="2">
        <v>1308</v>
      </c>
      <c r="G15673" s="2">
        <v>100</v>
      </c>
      <c r="H15673" s="2">
        <v>241</v>
      </c>
      <c r="I15673" s="2">
        <v>1039</v>
      </c>
      <c r="J15673" s="2">
        <v>1761</v>
      </c>
      <c r="K15673" s="2">
        <v>1</v>
      </c>
      <c r="L15673" s="2">
        <v>241</v>
      </c>
    </row>
    <row r="15674" spans="1:12" x14ac:dyDescent="0.25">
      <c r="A15674" s="4" t="str">
        <f>HYPERLINK("http://www.rosaceae.org/Prunus/Prunus_persica/p.persica_gdr_reftransV1_0021666","p.persica_gdr_reftransV1_0021666")</f>
        <v>p.persica_gdr_reftransV1_0021666</v>
      </c>
      <c r="B15674" s="2">
        <v>1500</v>
      </c>
      <c r="C15674" s="4" t="str">
        <f>HYPERLINK("http://www.uniprot.org/uniprot/M5XD94","M5XD94")</f>
        <v>M5XD94</v>
      </c>
      <c r="D15674" s="2" t="s">
        <v>11729</v>
      </c>
      <c r="E15674" s="3">
        <v>0</v>
      </c>
      <c r="F15674" s="2">
        <v>1452</v>
      </c>
      <c r="G15674" s="2">
        <v>87</v>
      </c>
      <c r="H15674" s="2">
        <v>323</v>
      </c>
      <c r="I15674" s="2">
        <v>234</v>
      </c>
      <c r="J15674" s="2">
        <v>1202</v>
      </c>
      <c r="K15674" s="2">
        <v>88</v>
      </c>
      <c r="L15674" s="2">
        <v>410</v>
      </c>
    </row>
    <row r="15675" spans="1:12" x14ac:dyDescent="0.25">
      <c r="A15675" s="4" t="str">
        <f>HYPERLINK("http://www.rosaceae.org/Prunus/Prunus_persica/p.persica_gdr_reftransV1_0022016","p.persica_gdr_reftransV1_0022016")</f>
        <v>p.persica_gdr_reftransV1_0022016</v>
      </c>
      <c r="B15675" s="2">
        <v>1235</v>
      </c>
      <c r="C15675" s="4" t="str">
        <f>HYPERLINK("http://www.uniprot.org/uniprot/M5X9U9","M5X9U9")</f>
        <v>M5X9U9</v>
      </c>
      <c r="D15675" s="2" t="s">
        <v>12555</v>
      </c>
      <c r="E15675" s="3">
        <v>2.5500000000000002E-139</v>
      </c>
      <c r="F15675" s="2">
        <v>1088</v>
      </c>
      <c r="G15675" s="2">
        <v>100</v>
      </c>
      <c r="H15675" s="2">
        <v>217</v>
      </c>
      <c r="I15675" s="2">
        <v>3</v>
      </c>
      <c r="J15675" s="2">
        <v>653</v>
      </c>
      <c r="K15675" s="2">
        <v>403</v>
      </c>
      <c r="L15675" s="2">
        <v>619</v>
      </c>
    </row>
    <row r="15676" spans="1:12" x14ac:dyDescent="0.25">
      <c r="A15676" s="4" t="str">
        <f>HYPERLINK("http://www.rosaceae.org/Prunus/Prunus_persica/p.persica_gdr_reftransV1_0022366","p.persica_gdr_reftransV1_0022366")</f>
        <v>p.persica_gdr_reftransV1_0022366</v>
      </c>
      <c r="B15676" s="2">
        <v>3871</v>
      </c>
      <c r="C15676" s="4" t="str">
        <f>HYPERLINK("http://www.uniprot.org/uniprot/M5X981","M5X981")</f>
        <v>M5X981</v>
      </c>
      <c r="D15676" s="2" t="s">
        <v>12556</v>
      </c>
      <c r="E15676" s="3">
        <v>0</v>
      </c>
      <c r="F15676" s="2">
        <v>4368</v>
      </c>
      <c r="G15676" s="2">
        <v>97</v>
      </c>
      <c r="H15676" s="2">
        <v>911</v>
      </c>
      <c r="I15676" s="2">
        <v>542</v>
      </c>
      <c r="J15676" s="2">
        <v>3274</v>
      </c>
      <c r="K15676" s="2">
        <v>13</v>
      </c>
      <c r="L15676" s="2">
        <v>894</v>
      </c>
    </row>
    <row r="15677" spans="1:12" x14ac:dyDescent="0.25">
      <c r="A15677" s="4" t="str">
        <f>HYPERLINK("http://www.rosaceae.org/Prunus/Prunus_persica/p.persica_gdr_reftransV1_0023066","p.persica_gdr_reftransV1_0023066")</f>
        <v>p.persica_gdr_reftransV1_0023066</v>
      </c>
      <c r="B15677" s="2">
        <v>3464</v>
      </c>
      <c r="C15677" s="4" t="str">
        <f>HYPERLINK("http://www.uniprot.org/uniprot/M5XJW8","M5XJW8")</f>
        <v>M5XJW8</v>
      </c>
      <c r="D15677" s="2" t="s">
        <v>12557</v>
      </c>
      <c r="E15677" s="3">
        <v>0</v>
      </c>
      <c r="F15677" s="2">
        <v>2399</v>
      </c>
      <c r="G15677" s="2">
        <v>100</v>
      </c>
      <c r="H15677" s="2">
        <v>467</v>
      </c>
      <c r="I15677" s="2">
        <v>1809</v>
      </c>
      <c r="J15677" s="2">
        <v>3209</v>
      </c>
      <c r="K15677" s="2">
        <v>1</v>
      </c>
      <c r="L15677" s="2">
        <v>467</v>
      </c>
    </row>
    <row r="15678" spans="1:12" x14ac:dyDescent="0.25">
      <c r="A15678" s="4" t="str">
        <f>HYPERLINK("http://www.rosaceae.org/Prunus/Prunus_persica/p.persica_gdr_reftransV1_0026566","p.persica_gdr_reftransV1_0026566")</f>
        <v>p.persica_gdr_reftransV1_0026566</v>
      </c>
      <c r="B15678" s="2">
        <v>1885</v>
      </c>
      <c r="C15678" s="4" t="str">
        <f>HYPERLINK("http://www.uniprot.org/uniprot/M5XSW7","M5XSW7")</f>
        <v>M5XSW7</v>
      </c>
      <c r="D15678" s="2" t="s">
        <v>12558</v>
      </c>
      <c r="E15678" s="3">
        <v>1.27E-104</v>
      </c>
      <c r="F15678" s="2">
        <v>840</v>
      </c>
      <c r="G15678" s="2">
        <v>99</v>
      </c>
      <c r="H15678" s="2">
        <v>159</v>
      </c>
      <c r="I15678" s="2">
        <v>1262</v>
      </c>
      <c r="J15678" s="2">
        <v>1738</v>
      </c>
      <c r="K15678" s="2">
        <v>1</v>
      </c>
      <c r="L15678" s="2">
        <v>159</v>
      </c>
    </row>
    <row r="15679" spans="1:12" x14ac:dyDescent="0.25">
      <c r="A15679" s="4" t="str">
        <f>HYPERLINK("http://www.rosaceae.org/Prunus/Prunus_persica/p.persica_gdr_reftransV1_0026916","p.persica_gdr_reftransV1_0026916")</f>
        <v>p.persica_gdr_reftransV1_0026916</v>
      </c>
      <c r="B15679" s="2">
        <v>2274</v>
      </c>
      <c r="C15679" s="4" t="str">
        <f>HYPERLINK("http://www.uniprot.org/uniprot/M5XMX8","M5XMX8")</f>
        <v>M5XMX8</v>
      </c>
      <c r="D15679" s="2" t="s">
        <v>12559</v>
      </c>
      <c r="E15679" s="3">
        <v>4.3800000000000003E-90</v>
      </c>
      <c r="F15679" s="2">
        <v>752</v>
      </c>
      <c r="G15679" s="2">
        <v>95</v>
      </c>
      <c r="H15679" s="2">
        <v>154</v>
      </c>
      <c r="I15679" s="2">
        <v>943</v>
      </c>
      <c r="J15679" s="2">
        <v>1401</v>
      </c>
      <c r="K15679" s="2">
        <v>82</v>
      </c>
      <c r="L15679" s="2">
        <v>235</v>
      </c>
    </row>
    <row r="15680" spans="1:12" x14ac:dyDescent="0.25">
      <c r="A15680" s="4" t="str">
        <f>HYPERLINK("http://www.rosaceae.org/Prunus/Prunus_persica/p.persica_gdr_reftransV1_0027966","p.persica_gdr_reftransV1_0027966")</f>
        <v>p.persica_gdr_reftransV1_0027966</v>
      </c>
      <c r="B15680" s="2">
        <v>4734</v>
      </c>
      <c r="C15680" s="4" t="str">
        <f>HYPERLINK("http://www.uniprot.org/uniprot/M5W7T5","M5W7T5")</f>
        <v>M5W7T5</v>
      </c>
      <c r="D15680" s="2" t="s">
        <v>8181</v>
      </c>
      <c r="E15680" s="3">
        <v>0</v>
      </c>
      <c r="F15680" s="2">
        <v>4324</v>
      </c>
      <c r="G15680" s="2">
        <v>98</v>
      </c>
      <c r="H15680" s="2">
        <v>865</v>
      </c>
      <c r="I15680" s="2">
        <v>911</v>
      </c>
      <c r="J15680" s="2">
        <v>3505</v>
      </c>
      <c r="K15680" s="2">
        <v>188</v>
      </c>
      <c r="L15680" s="2">
        <v>1052</v>
      </c>
    </row>
    <row r="15681" spans="1:12" x14ac:dyDescent="0.25">
      <c r="A15681" s="4" t="str">
        <f>HYPERLINK("http://www.rosaceae.org/Prunus/Prunus_persica/p.persica_gdr_reftransV1_0030766","p.persica_gdr_reftransV1_0030766")</f>
        <v>p.persica_gdr_reftransV1_0030766</v>
      </c>
      <c r="B15681" s="2">
        <v>2056</v>
      </c>
      <c r="C15681" s="4" t="str">
        <f>HYPERLINK("http://www.uniprot.org/uniprot/M5WTN4","M5WTN4")</f>
        <v>M5WTN4</v>
      </c>
      <c r="D15681" s="2" t="s">
        <v>12560</v>
      </c>
      <c r="E15681" s="3">
        <v>0</v>
      </c>
      <c r="F15681" s="2">
        <v>2260</v>
      </c>
      <c r="G15681" s="2">
        <v>100</v>
      </c>
      <c r="H15681" s="2">
        <v>435</v>
      </c>
      <c r="I15681" s="2">
        <v>99</v>
      </c>
      <c r="J15681" s="2">
        <v>1403</v>
      </c>
      <c r="K15681" s="2">
        <v>1</v>
      </c>
      <c r="L15681" s="2">
        <v>435</v>
      </c>
    </row>
    <row r="15682" spans="1:12" x14ac:dyDescent="0.25">
      <c r="A15682" s="4" t="str">
        <f>HYPERLINK("http://www.rosaceae.org/Prunus/Prunus_persica/p.persica_gdr_reftransV1_0031816","p.persica_gdr_reftransV1_0031816")</f>
        <v>p.persica_gdr_reftransV1_0031816</v>
      </c>
      <c r="B15682" s="2">
        <v>1427</v>
      </c>
      <c r="C15682" s="4" t="str">
        <f>HYPERLINK("http://www.uniprot.org/uniprot/M5X0X3","M5X0X3")</f>
        <v>M5X0X3</v>
      </c>
      <c r="D15682" s="2" t="s">
        <v>12561</v>
      </c>
      <c r="E15682" s="3">
        <v>0</v>
      </c>
      <c r="F15682" s="2">
        <v>1746</v>
      </c>
      <c r="G15682" s="2">
        <v>100</v>
      </c>
      <c r="H15682" s="2">
        <v>349</v>
      </c>
      <c r="I15682" s="2">
        <v>133</v>
      </c>
      <c r="J15682" s="2">
        <v>1179</v>
      </c>
      <c r="K15682" s="2">
        <v>1</v>
      </c>
      <c r="L15682" s="2">
        <v>349</v>
      </c>
    </row>
    <row r="15683" spans="1:12" x14ac:dyDescent="0.25">
      <c r="A15683" s="4" t="str">
        <f>HYPERLINK("http://www.rosaceae.org/Prunus/Prunus_persica/p.persica_gdr_reftransV1_0032866","p.persica_gdr_reftransV1_0032866")</f>
        <v>p.persica_gdr_reftransV1_0032866</v>
      </c>
      <c r="B15683" s="2">
        <v>1305</v>
      </c>
      <c r="C15683" s="4" t="str">
        <f>HYPERLINK("http://www.uniprot.org/uniprot/M5X4A8","M5X4A8")</f>
        <v>M5X4A8</v>
      </c>
      <c r="D15683" s="2" t="s">
        <v>12562</v>
      </c>
      <c r="E15683" s="3">
        <v>4.5400000000000002E-147</v>
      </c>
      <c r="F15683" s="2">
        <v>1104</v>
      </c>
      <c r="G15683" s="2">
        <v>100</v>
      </c>
      <c r="H15683" s="2">
        <v>225</v>
      </c>
      <c r="I15683" s="2">
        <v>284</v>
      </c>
      <c r="J15683" s="2">
        <v>958</v>
      </c>
      <c r="K15683" s="2">
        <v>1</v>
      </c>
      <c r="L15683" s="2">
        <v>225</v>
      </c>
    </row>
    <row r="15684" spans="1:12" x14ac:dyDescent="0.25">
      <c r="A15684" s="4" t="str">
        <f>HYPERLINK("http://www.rosaceae.org/Prunus/Prunus_persica/p.persica_gdr_reftransV1_0033216","p.persica_gdr_reftransV1_0033216")</f>
        <v>p.persica_gdr_reftransV1_0033216</v>
      </c>
      <c r="B15684" s="2">
        <v>1539</v>
      </c>
      <c r="C15684" s="4" t="str">
        <f>HYPERLINK("http://www.uniprot.org/uniprot/M5VJ71","M5VJ71")</f>
        <v>M5VJ71</v>
      </c>
      <c r="D15684" s="2" t="s">
        <v>12563</v>
      </c>
      <c r="E15684" s="3">
        <v>3.7E-156</v>
      </c>
      <c r="F15684" s="2">
        <v>1175</v>
      </c>
      <c r="G15684" s="2">
        <v>100</v>
      </c>
      <c r="H15684" s="2">
        <v>251</v>
      </c>
      <c r="I15684" s="2">
        <v>138</v>
      </c>
      <c r="J15684" s="2">
        <v>890</v>
      </c>
      <c r="K15684" s="2">
        <v>1</v>
      </c>
      <c r="L15684" s="2">
        <v>251</v>
      </c>
    </row>
    <row r="15685" spans="1:12" x14ac:dyDescent="0.25">
      <c r="A15685" s="4" t="str">
        <f>HYPERLINK("http://www.rosaceae.org/Prunus/Prunus_persica/p.persica_gdr_reftransV1_0033916","p.persica_gdr_reftransV1_0033916")</f>
        <v>p.persica_gdr_reftransV1_0033916</v>
      </c>
      <c r="B15685" s="2">
        <v>2702</v>
      </c>
      <c r="C15685" s="4" t="str">
        <f>HYPERLINK("http://www.uniprot.org/uniprot/M5VL66","M5VL66")</f>
        <v>M5VL66</v>
      </c>
      <c r="D15685" s="2" t="s">
        <v>12564</v>
      </c>
      <c r="E15685" s="3">
        <v>0</v>
      </c>
      <c r="F15685" s="2">
        <v>1845</v>
      </c>
      <c r="G15685" s="2">
        <v>100</v>
      </c>
      <c r="H15685" s="2">
        <v>387</v>
      </c>
      <c r="I15685" s="2">
        <v>216</v>
      </c>
      <c r="J15685" s="2">
        <v>1376</v>
      </c>
      <c r="K15685" s="2">
        <v>1</v>
      </c>
      <c r="L15685" s="2">
        <v>387</v>
      </c>
    </row>
    <row r="15686" spans="1:12" x14ac:dyDescent="0.25">
      <c r="A15686" s="4" t="str">
        <f>HYPERLINK("http://www.rosaceae.org/Prunus/Prunus_persica/p.persica_gdr_reftransV1_0034616","p.persica_gdr_reftransV1_0034616")</f>
        <v>p.persica_gdr_reftransV1_0034616</v>
      </c>
      <c r="B15686" s="2">
        <v>882</v>
      </c>
      <c r="C15686" s="4" t="str">
        <f>HYPERLINK("http://www.uniprot.org/uniprot/M5WR88","M5WR88")</f>
        <v>M5WR88</v>
      </c>
      <c r="D15686" s="2" t="s">
        <v>4959</v>
      </c>
      <c r="E15686" s="3">
        <v>7.0500000000000002E-99</v>
      </c>
      <c r="F15686" s="2">
        <v>764</v>
      </c>
      <c r="G15686" s="2">
        <v>100</v>
      </c>
      <c r="H15686" s="2">
        <v>147</v>
      </c>
      <c r="I15686" s="2">
        <v>333</v>
      </c>
      <c r="J15686" s="2">
        <v>773</v>
      </c>
      <c r="K15686" s="2">
        <v>1</v>
      </c>
      <c r="L15686" s="2">
        <v>147</v>
      </c>
    </row>
    <row r="15687" spans="1:12" x14ac:dyDescent="0.25">
      <c r="A15687" s="4" t="str">
        <f>HYPERLINK("http://www.rosaceae.org/Prunus/Prunus_persica/p.persica_gdr_reftransV1_0037766","p.persica_gdr_reftransV1_0037766")</f>
        <v>p.persica_gdr_reftransV1_0037766</v>
      </c>
      <c r="B15687" s="2">
        <v>4133</v>
      </c>
      <c r="C15687" s="4" t="str">
        <f>HYPERLINK("http://www.uniprot.org/uniprot/M5VWK2","M5VWK2")</f>
        <v>M5VWK2</v>
      </c>
      <c r="D15687" s="2" t="s">
        <v>12565</v>
      </c>
      <c r="E15687" s="3">
        <v>0</v>
      </c>
      <c r="F15687" s="2">
        <v>1723</v>
      </c>
      <c r="G15687" s="2">
        <v>96</v>
      </c>
      <c r="H15687" s="2">
        <v>343</v>
      </c>
      <c r="I15687" s="2">
        <v>383</v>
      </c>
      <c r="J15687" s="2">
        <v>1408</v>
      </c>
      <c r="K15687" s="2">
        <v>265</v>
      </c>
      <c r="L15687" s="2">
        <v>607</v>
      </c>
    </row>
    <row r="15688" spans="1:12" x14ac:dyDescent="0.25">
      <c r="A15688" s="4" t="str">
        <f>HYPERLINK("http://www.rosaceae.org/Prunus/Prunus_persica/p.persica_gdr_reftransV1_0039866","p.persica_gdr_reftransV1_0039866")</f>
        <v>p.persica_gdr_reftransV1_0039866</v>
      </c>
      <c r="B15688" s="2">
        <v>760</v>
      </c>
      <c r="C15688" s="4" t="str">
        <f>HYPERLINK("http://www.uniprot.org/uniprot/M5W332","M5W332")</f>
        <v>M5W332</v>
      </c>
      <c r="D15688" s="2" t="s">
        <v>10065</v>
      </c>
      <c r="E15688" s="3">
        <v>2.8400000000000001E-39</v>
      </c>
      <c r="F15688" s="2">
        <v>362</v>
      </c>
      <c r="G15688" s="2">
        <v>93</v>
      </c>
      <c r="H15688" s="2">
        <v>110</v>
      </c>
      <c r="I15688" s="2">
        <v>330</v>
      </c>
      <c r="J15688" s="2">
        <v>659</v>
      </c>
      <c r="K15688" s="2">
        <v>1</v>
      </c>
      <c r="L15688" s="2">
        <v>110</v>
      </c>
    </row>
    <row r="15689" spans="1:12" x14ac:dyDescent="0.25">
      <c r="A15689" s="4" t="str">
        <f>HYPERLINK("http://www.rosaceae.org/Prunus/Prunus_persica/p.persica_gdr_reftransV1_0040566","p.persica_gdr_reftransV1_0040566")</f>
        <v>p.persica_gdr_reftransV1_0040566</v>
      </c>
      <c r="B15689" s="2">
        <v>1006</v>
      </c>
      <c r="C15689" s="4" t="str">
        <f>HYPERLINK("http://www.uniprot.org/uniprot/M5Y5C9","M5Y5C9")</f>
        <v>M5Y5C9</v>
      </c>
      <c r="D15689" s="2" t="s">
        <v>12566</v>
      </c>
      <c r="E15689" s="3">
        <v>6.4600000000000001E-108</v>
      </c>
      <c r="F15689" s="2">
        <v>832</v>
      </c>
      <c r="G15689" s="2">
        <v>100</v>
      </c>
      <c r="H15689" s="2">
        <v>194</v>
      </c>
      <c r="I15689" s="2">
        <v>288</v>
      </c>
      <c r="J15689" s="2">
        <v>869</v>
      </c>
      <c r="K15689" s="2">
        <v>1</v>
      </c>
      <c r="L15689" s="2">
        <v>194</v>
      </c>
    </row>
    <row r="15690" spans="1:12" x14ac:dyDescent="0.25">
      <c r="A15690" s="4" t="str">
        <f>HYPERLINK("http://www.rosaceae.org/Prunus/Prunus_persica/p.persica_gdr_reftransV1_0040916","p.persica_gdr_reftransV1_0040916")</f>
        <v>p.persica_gdr_reftransV1_0040916</v>
      </c>
      <c r="B15690" s="2">
        <v>1330</v>
      </c>
      <c r="C15690" s="4" t="str">
        <f>HYPERLINK("http://www.uniprot.org/uniprot/M5XGT1","M5XGT1")</f>
        <v>M5XGT1</v>
      </c>
      <c r="D15690" s="2" t="s">
        <v>12567</v>
      </c>
      <c r="E15690" s="3">
        <v>0</v>
      </c>
      <c r="F15690" s="2">
        <v>1467</v>
      </c>
      <c r="G15690" s="2">
        <v>100</v>
      </c>
      <c r="H15690" s="2">
        <v>310</v>
      </c>
      <c r="I15690" s="2">
        <v>399</v>
      </c>
      <c r="J15690" s="2">
        <v>1328</v>
      </c>
      <c r="K15690" s="2">
        <v>23</v>
      </c>
      <c r="L15690" s="2">
        <v>332</v>
      </c>
    </row>
    <row r="15691" spans="1:12" x14ac:dyDescent="0.25">
      <c r="A15691" s="4" t="str">
        <f>HYPERLINK("http://www.rosaceae.org/Prunus/Prunus_persica/p.persica_gdr_reftransV1_0041616","p.persica_gdr_reftransV1_0041616")</f>
        <v>p.persica_gdr_reftransV1_0041616</v>
      </c>
      <c r="B15691" s="2">
        <v>11630</v>
      </c>
      <c r="C15691" s="4" t="str">
        <f>HYPERLINK("http://www.uniprot.org/uniprot/M5XCG5","M5XCG5")</f>
        <v>M5XCG5</v>
      </c>
      <c r="D15691" s="2" t="s">
        <v>12568</v>
      </c>
      <c r="E15691" s="3">
        <v>0</v>
      </c>
      <c r="F15691" s="2">
        <v>17750</v>
      </c>
      <c r="G15691" s="2">
        <v>100</v>
      </c>
      <c r="H15691" s="2">
        <v>3572</v>
      </c>
      <c r="I15691" s="2">
        <v>347</v>
      </c>
      <c r="J15691" s="2">
        <v>11062</v>
      </c>
      <c r="K15691" s="2">
        <v>1</v>
      </c>
      <c r="L15691" s="2">
        <v>3572</v>
      </c>
    </row>
    <row r="15692" spans="1:12" x14ac:dyDescent="0.25">
      <c r="A15692" s="4" t="str">
        <f>HYPERLINK("http://www.rosaceae.org/Prunus/Prunus_persica/p.persica_gdr_reftransV1_0043366","p.persica_gdr_reftransV1_0043366")</f>
        <v>p.persica_gdr_reftransV1_0043366</v>
      </c>
      <c r="B15692" s="2">
        <v>298</v>
      </c>
      <c r="C15692" s="4" t="str">
        <f>HYPERLINK("http://www.uniprot.org/uniprot/M5WTW3","M5WTW3")</f>
        <v>M5WTW3</v>
      </c>
      <c r="D15692" s="2" t="s">
        <v>10333</v>
      </c>
      <c r="E15692" s="3">
        <v>7.0100000000000006E-52</v>
      </c>
      <c r="F15692" s="2">
        <v>464</v>
      </c>
      <c r="G15692" s="2">
        <v>97</v>
      </c>
      <c r="H15692" s="2">
        <v>97</v>
      </c>
      <c r="I15692" s="2">
        <v>2</v>
      </c>
      <c r="J15692" s="2">
        <v>289</v>
      </c>
      <c r="K15692" s="2">
        <v>41</v>
      </c>
      <c r="L15692" s="2">
        <v>137</v>
      </c>
    </row>
    <row r="15693" spans="1:12" x14ac:dyDescent="0.25">
      <c r="A15693" s="4" t="str">
        <f>HYPERLINK("http://www.rosaceae.org/Prunus/Prunus_persica/p.persica_gdr_reftransV1_0043716","p.persica_gdr_reftransV1_0043716")</f>
        <v>p.persica_gdr_reftransV1_0043716</v>
      </c>
      <c r="B15693" s="2">
        <v>1434</v>
      </c>
      <c r="C15693" s="4" t="str">
        <f>HYPERLINK("http://www.uniprot.org/uniprot/M5WT63","M5WT63")</f>
        <v>M5WT63</v>
      </c>
      <c r="D15693" s="2" t="s">
        <v>3589</v>
      </c>
      <c r="E15693" s="3">
        <v>0</v>
      </c>
      <c r="F15693" s="2">
        <v>1724</v>
      </c>
      <c r="G15693" s="2">
        <v>100</v>
      </c>
      <c r="H15693" s="2">
        <v>319</v>
      </c>
      <c r="I15693" s="2">
        <v>262</v>
      </c>
      <c r="J15693" s="2">
        <v>1218</v>
      </c>
      <c r="K15693" s="2">
        <v>1</v>
      </c>
      <c r="L15693" s="2">
        <v>319</v>
      </c>
    </row>
    <row r="15694" spans="1:12" x14ac:dyDescent="0.25">
      <c r="A15694" s="4" t="str">
        <f>HYPERLINK("http://www.rosaceae.org/Prunus/Prunus_persica/p.persica_gdr_reftransV1_0044066","p.persica_gdr_reftransV1_0044066")</f>
        <v>p.persica_gdr_reftransV1_0044066</v>
      </c>
      <c r="B15694" s="2">
        <v>1494</v>
      </c>
      <c r="C15694" s="4" t="str">
        <f>HYPERLINK("http://www.uniprot.org/uniprot/M5XZQ2","M5XZQ2")</f>
        <v>M5XZQ2</v>
      </c>
      <c r="D15694" s="2" t="s">
        <v>6108</v>
      </c>
      <c r="E15694" s="3">
        <v>2.7100000000000001E-98</v>
      </c>
      <c r="F15694" s="2">
        <v>781</v>
      </c>
      <c r="G15694" s="2">
        <v>100</v>
      </c>
      <c r="H15694" s="2">
        <v>147</v>
      </c>
      <c r="I15694" s="2">
        <v>697</v>
      </c>
      <c r="J15694" s="2">
        <v>1137</v>
      </c>
      <c r="K15694" s="2">
        <v>20</v>
      </c>
      <c r="L15694" s="2">
        <v>166</v>
      </c>
    </row>
    <row r="15695" spans="1:12" x14ac:dyDescent="0.25">
      <c r="A15695" s="4" t="str">
        <f>HYPERLINK("http://www.rosaceae.org/Prunus/Prunus_persica/p.persica_gdr_reftransV1_0044416","p.persica_gdr_reftransV1_0044416")</f>
        <v>p.persica_gdr_reftransV1_0044416</v>
      </c>
      <c r="B15695" s="2">
        <v>1603</v>
      </c>
      <c r="C15695" s="4" t="str">
        <f>HYPERLINK("http://www.uniprot.org/uniprot/M5Y7L7","M5Y7L7")</f>
        <v>M5Y7L7</v>
      </c>
      <c r="D15695" s="2" t="s">
        <v>2292</v>
      </c>
      <c r="E15695" s="3">
        <v>0</v>
      </c>
      <c r="F15695" s="2">
        <v>2066</v>
      </c>
      <c r="G15695" s="2">
        <v>100</v>
      </c>
      <c r="H15695" s="2">
        <v>417</v>
      </c>
      <c r="I15695" s="2">
        <v>155</v>
      </c>
      <c r="J15695" s="2">
        <v>1405</v>
      </c>
      <c r="K15695" s="2">
        <v>1</v>
      </c>
      <c r="L15695" s="2">
        <v>417</v>
      </c>
    </row>
    <row r="15696" spans="1:12" x14ac:dyDescent="0.25">
      <c r="A15696" s="4" t="str">
        <f>HYPERLINK("http://www.rosaceae.org/Prunus/Prunus_persica/p.persica_gdr_reftransV1_0044766","p.persica_gdr_reftransV1_0044766")</f>
        <v>p.persica_gdr_reftransV1_0044766</v>
      </c>
      <c r="B15696" s="2">
        <v>1206</v>
      </c>
      <c r="C15696" s="4" t="str">
        <f>HYPERLINK("http://www.uniprot.org/uniprot/M5WKP9","M5WKP9")</f>
        <v>M5WKP9</v>
      </c>
      <c r="D15696" s="2" t="s">
        <v>12569</v>
      </c>
      <c r="E15696" s="3">
        <v>0</v>
      </c>
      <c r="F15696" s="2">
        <v>1660</v>
      </c>
      <c r="G15696" s="2">
        <v>97</v>
      </c>
      <c r="H15696" s="2">
        <v>319</v>
      </c>
      <c r="I15696" s="2">
        <v>55</v>
      </c>
      <c r="J15696" s="2">
        <v>1011</v>
      </c>
      <c r="K15696" s="2">
        <v>1</v>
      </c>
      <c r="L15696" s="2">
        <v>319</v>
      </c>
    </row>
    <row r="15697" spans="1:12" x14ac:dyDescent="0.25">
      <c r="A15697" s="4" t="str">
        <f>HYPERLINK("http://www.rosaceae.org/Prunus/Prunus_persica/p.persica_gdr_reftransV1_0045116","p.persica_gdr_reftransV1_0045116")</f>
        <v>p.persica_gdr_reftransV1_0045116</v>
      </c>
      <c r="B15697" s="2">
        <v>1755</v>
      </c>
      <c r="C15697" s="4" t="str">
        <f>HYPERLINK("http://www.uniprot.org/uniprot/M5WSX0","M5WSX0")</f>
        <v>M5WSX0</v>
      </c>
      <c r="D15697" s="2" t="s">
        <v>4631</v>
      </c>
      <c r="E15697" s="3">
        <v>0</v>
      </c>
      <c r="F15697" s="2">
        <v>2694</v>
      </c>
      <c r="G15697" s="2">
        <v>100</v>
      </c>
      <c r="H15697" s="2">
        <v>516</v>
      </c>
      <c r="I15697" s="2">
        <v>169</v>
      </c>
      <c r="J15697" s="2">
        <v>1716</v>
      </c>
      <c r="K15697" s="2">
        <v>1</v>
      </c>
      <c r="L15697" s="2">
        <v>516</v>
      </c>
    </row>
    <row r="15698" spans="1:12" x14ac:dyDescent="0.25">
      <c r="A15698" s="4" t="str">
        <f>HYPERLINK("http://www.rosaceae.org/Prunus/Prunus_persica/p.persica_gdr_reftransV1_0045466","p.persica_gdr_reftransV1_0045466")</f>
        <v>p.persica_gdr_reftransV1_0045466</v>
      </c>
      <c r="B15698" s="2">
        <v>2452</v>
      </c>
      <c r="C15698" s="4" t="str">
        <f>HYPERLINK("http://www.uniprot.org/uniprot/M5VVB0","M5VVB0")</f>
        <v>M5VVB0</v>
      </c>
      <c r="D15698" s="2" t="s">
        <v>3757</v>
      </c>
      <c r="E15698" s="3">
        <v>0</v>
      </c>
      <c r="F15698" s="2">
        <v>2933</v>
      </c>
      <c r="G15698" s="2">
        <v>100</v>
      </c>
      <c r="H15698" s="2">
        <v>573</v>
      </c>
      <c r="I15698" s="2">
        <v>391</v>
      </c>
      <c r="J15698" s="2">
        <v>2109</v>
      </c>
      <c r="K15698" s="2">
        <v>1</v>
      </c>
      <c r="L15698" s="2">
        <v>573</v>
      </c>
    </row>
    <row r="15699" spans="1:12" x14ac:dyDescent="0.25">
      <c r="A15699" s="4" t="str">
        <f>HYPERLINK("http://www.rosaceae.org/Prunus/Prunus_persica/p.persica_gdr_reftransV1_0045816","p.persica_gdr_reftransV1_0045816")</f>
        <v>p.persica_gdr_reftransV1_0045816</v>
      </c>
      <c r="B15699" s="2">
        <v>1589</v>
      </c>
      <c r="C15699" s="4" t="str">
        <f>HYPERLINK("http://www.uniprot.org/uniprot/M5XCY2","M5XCY2")</f>
        <v>M5XCY2</v>
      </c>
      <c r="D15699" s="2" t="s">
        <v>12570</v>
      </c>
      <c r="E15699" s="3">
        <v>2.4200000000000001E-158</v>
      </c>
      <c r="F15699" s="2">
        <v>1196</v>
      </c>
      <c r="G15699" s="2">
        <v>100</v>
      </c>
      <c r="H15699" s="2">
        <v>301</v>
      </c>
      <c r="I15699" s="2">
        <v>301</v>
      </c>
      <c r="J15699" s="2">
        <v>1203</v>
      </c>
      <c r="K15699" s="2">
        <v>1</v>
      </c>
      <c r="L15699" s="2">
        <v>301</v>
      </c>
    </row>
    <row r="15700" spans="1:12" x14ac:dyDescent="0.25">
      <c r="A15700" s="4" t="str">
        <f>HYPERLINK("http://www.rosaceae.org/Prunus/Prunus_persica/p.persica_gdr_reftransV1_0046166","p.persica_gdr_reftransV1_0046166")</f>
        <v>p.persica_gdr_reftransV1_0046166</v>
      </c>
      <c r="B15700" s="2">
        <v>1794</v>
      </c>
      <c r="C15700" s="4" t="str">
        <f>HYPERLINK("http://www.uniprot.org/uniprot/M5XBU1","M5XBU1")</f>
        <v>M5XBU1</v>
      </c>
      <c r="D15700" s="2" t="s">
        <v>6776</v>
      </c>
      <c r="E15700" s="3">
        <v>0</v>
      </c>
      <c r="F15700" s="2">
        <v>2289</v>
      </c>
      <c r="G15700" s="2">
        <v>100</v>
      </c>
      <c r="H15700" s="2">
        <v>434</v>
      </c>
      <c r="I15700" s="2">
        <v>149</v>
      </c>
      <c r="J15700" s="2">
        <v>1450</v>
      </c>
      <c r="K15700" s="2">
        <v>30</v>
      </c>
      <c r="L15700" s="2">
        <v>463</v>
      </c>
    </row>
    <row r="15701" spans="1:12" x14ac:dyDescent="0.25">
      <c r="A15701" s="4" t="str">
        <f>HYPERLINK("http://www.rosaceae.org/Prunus/Prunus_persica/p.persica_gdr_reftransV1_0046516","p.persica_gdr_reftransV1_0046516")</f>
        <v>p.persica_gdr_reftransV1_0046516</v>
      </c>
      <c r="B15701" s="2">
        <v>822</v>
      </c>
      <c r="C15701" s="4" t="str">
        <f>HYPERLINK("http://www.uniprot.org/uniprot/M5WVH6","M5WVH6")</f>
        <v>M5WVH6</v>
      </c>
      <c r="D15701" s="2" t="s">
        <v>12571</v>
      </c>
      <c r="E15701" s="3">
        <v>2.1400000000000001E-102</v>
      </c>
      <c r="F15701" s="2">
        <v>787</v>
      </c>
      <c r="G15701" s="2">
        <v>99</v>
      </c>
      <c r="H15701" s="2">
        <v>164</v>
      </c>
      <c r="I15701" s="2">
        <v>149</v>
      </c>
      <c r="J15701" s="2">
        <v>640</v>
      </c>
      <c r="K15701" s="2">
        <v>1</v>
      </c>
      <c r="L15701" s="2">
        <v>164</v>
      </c>
    </row>
    <row r="15702" spans="1:12" x14ac:dyDescent="0.25">
      <c r="A15702" s="4" t="str">
        <f>HYPERLINK("http://www.rosaceae.org/Prunus/Prunus_persica/p.persica_gdr_reftransV1_0046866","p.persica_gdr_reftransV1_0046866")</f>
        <v>p.persica_gdr_reftransV1_0046866</v>
      </c>
      <c r="B15702" s="2">
        <v>1975</v>
      </c>
      <c r="C15702" s="4" t="str">
        <f>HYPERLINK("http://www.uniprot.org/uniprot/M5WH43","M5WH43")</f>
        <v>M5WH43</v>
      </c>
      <c r="D15702" s="2" t="s">
        <v>12572</v>
      </c>
      <c r="E15702" s="3">
        <v>0</v>
      </c>
      <c r="F15702" s="2">
        <v>2459</v>
      </c>
      <c r="G15702" s="2">
        <v>100</v>
      </c>
      <c r="H15702" s="2">
        <v>512</v>
      </c>
      <c r="I15702" s="2">
        <v>398</v>
      </c>
      <c r="J15702" s="2">
        <v>1933</v>
      </c>
      <c r="K15702" s="2">
        <v>1</v>
      </c>
      <c r="L15702" s="2">
        <v>512</v>
      </c>
    </row>
    <row r="15703" spans="1:12" x14ac:dyDescent="0.25">
      <c r="A15703" s="4" t="str">
        <f>HYPERLINK("http://www.rosaceae.org/Prunus/Prunus_persica/p.persica_gdr_reftransV1_0047216","p.persica_gdr_reftransV1_0047216")</f>
        <v>p.persica_gdr_reftransV1_0047216</v>
      </c>
      <c r="B15703" s="2">
        <v>1499</v>
      </c>
      <c r="C15703" s="4" t="str">
        <f>HYPERLINK("http://www.uniprot.org/uniprot/M5W2V2","M5W2V2")</f>
        <v>M5W2V2</v>
      </c>
      <c r="D15703" s="2" t="s">
        <v>12573</v>
      </c>
      <c r="E15703" s="3">
        <v>0</v>
      </c>
      <c r="F15703" s="2">
        <v>1514</v>
      </c>
      <c r="G15703" s="2">
        <v>100</v>
      </c>
      <c r="H15703" s="2">
        <v>294</v>
      </c>
      <c r="I15703" s="2">
        <v>135</v>
      </c>
      <c r="J15703" s="2">
        <v>1016</v>
      </c>
      <c r="K15703" s="2">
        <v>1</v>
      </c>
      <c r="L15703" s="2">
        <v>294</v>
      </c>
    </row>
    <row r="15704" spans="1:12" x14ac:dyDescent="0.25">
      <c r="A15704" s="4" t="str">
        <f>HYPERLINK("http://www.rosaceae.org/Prunus/Prunus_persica/p.persica_gdr_reftransV1_0048266","p.persica_gdr_reftransV1_0048266")</f>
        <v>p.persica_gdr_reftransV1_0048266</v>
      </c>
      <c r="B15704" s="2">
        <v>980</v>
      </c>
      <c r="C15704" s="4" t="str">
        <f>HYPERLINK("http://www.uniprot.org/uniprot/M5WJ82","M5WJ82")</f>
        <v>M5WJ82</v>
      </c>
      <c r="D15704" s="2" t="s">
        <v>12574</v>
      </c>
      <c r="E15704" s="3">
        <v>2.65E-126</v>
      </c>
      <c r="F15704" s="2">
        <v>952</v>
      </c>
      <c r="G15704" s="2">
        <v>100</v>
      </c>
      <c r="H15704" s="2">
        <v>180</v>
      </c>
      <c r="I15704" s="2">
        <v>198</v>
      </c>
      <c r="J15704" s="2">
        <v>737</v>
      </c>
      <c r="K15704" s="2">
        <v>1</v>
      </c>
      <c r="L15704" s="2">
        <v>180</v>
      </c>
    </row>
    <row r="15705" spans="1:12" x14ac:dyDescent="0.25">
      <c r="A15705" s="4" t="str">
        <f>HYPERLINK("http://www.rosaceae.org/Prunus/Prunus_persica/p.persica_gdr_reftransV1_0048966","p.persica_gdr_reftransV1_0048966")</f>
        <v>p.persica_gdr_reftransV1_0048966</v>
      </c>
      <c r="B15705" s="2">
        <v>383</v>
      </c>
      <c r="C15705" s="4" t="str">
        <f>HYPERLINK("http://www.uniprot.org/uniprot/M5XTJ4","M5XTJ4")</f>
        <v>M5XTJ4</v>
      </c>
      <c r="D15705" s="2" t="s">
        <v>12575</v>
      </c>
      <c r="E15705" s="3">
        <v>1.32E-86</v>
      </c>
      <c r="F15705" s="2">
        <v>667</v>
      </c>
      <c r="G15705" s="2">
        <v>100</v>
      </c>
      <c r="H15705" s="2">
        <v>127</v>
      </c>
      <c r="I15705" s="2">
        <v>3</v>
      </c>
      <c r="J15705" s="2">
        <v>383</v>
      </c>
      <c r="K15705" s="2">
        <v>13</v>
      </c>
      <c r="L15705" s="2">
        <v>139</v>
      </c>
    </row>
    <row r="15706" spans="1:12" x14ac:dyDescent="0.25">
      <c r="A15706" s="4" t="str">
        <f>HYPERLINK("http://www.rosaceae.org/Prunus/Prunus_persica/p.persica_gdr_reftransV1_0000317","p.persica_gdr_reftransV1_0000317")</f>
        <v>p.persica_gdr_reftransV1_0000317</v>
      </c>
      <c r="B15706" s="2">
        <v>917</v>
      </c>
      <c r="C15706" s="4" t="str">
        <f>HYPERLINK("http://www.uniprot.org/uniprot/M5VH61","M5VH61")</f>
        <v>M5VH61</v>
      </c>
      <c r="D15706" s="2" t="s">
        <v>2777</v>
      </c>
      <c r="E15706" s="3">
        <v>1.1800000000000001E-164</v>
      </c>
      <c r="F15706" s="2">
        <v>1263</v>
      </c>
      <c r="G15706" s="2">
        <v>100</v>
      </c>
      <c r="H15706" s="2">
        <v>243</v>
      </c>
      <c r="I15706" s="2">
        <v>187</v>
      </c>
      <c r="J15706" s="2">
        <v>915</v>
      </c>
      <c r="K15706" s="2">
        <v>1</v>
      </c>
      <c r="L15706" s="2">
        <v>243</v>
      </c>
    </row>
    <row r="15707" spans="1:12" x14ac:dyDescent="0.25">
      <c r="A15707" s="4" t="str">
        <f>HYPERLINK("http://www.rosaceae.org/Prunus/Prunus_persica/p.persica_gdr_reftransV1_0000667","p.persica_gdr_reftransV1_0000667")</f>
        <v>p.persica_gdr_reftransV1_0000667</v>
      </c>
      <c r="B15707" s="2">
        <v>779</v>
      </c>
      <c r="C15707" s="4" t="str">
        <f>HYPERLINK("http://www.uniprot.org/uniprot/M5Y3S1","M5Y3S1")</f>
        <v>M5Y3S1</v>
      </c>
      <c r="D15707" s="2" t="s">
        <v>5786</v>
      </c>
      <c r="E15707" s="3">
        <v>1.6100000000000001E-104</v>
      </c>
      <c r="F15707" s="2">
        <v>849</v>
      </c>
      <c r="G15707" s="2">
        <v>92</v>
      </c>
      <c r="H15707" s="2">
        <v>185</v>
      </c>
      <c r="I15707" s="2">
        <v>21</v>
      </c>
      <c r="J15707" s="2">
        <v>575</v>
      </c>
      <c r="K15707" s="2">
        <v>2</v>
      </c>
      <c r="L15707" s="2">
        <v>186</v>
      </c>
    </row>
    <row r="15708" spans="1:12" x14ac:dyDescent="0.25">
      <c r="A15708" s="4" t="str">
        <f>HYPERLINK("http://www.rosaceae.org/Prunus/Prunus_persica/p.persica_gdr_reftransV1_0001017","p.persica_gdr_reftransV1_0001017")</f>
        <v>p.persica_gdr_reftransV1_0001017</v>
      </c>
      <c r="B15708" s="2">
        <v>1073</v>
      </c>
      <c r="C15708" s="4" t="str">
        <f>HYPERLINK("http://www.uniprot.org/uniprot/M5W9J0","M5W9J0")</f>
        <v>M5W9J0</v>
      </c>
      <c r="D15708" s="2" t="s">
        <v>12576</v>
      </c>
      <c r="E15708" s="3">
        <v>1.0999999999999999E-138</v>
      </c>
      <c r="F15708" s="2">
        <v>1040</v>
      </c>
      <c r="G15708" s="2">
        <v>100</v>
      </c>
      <c r="H15708" s="2">
        <v>215</v>
      </c>
      <c r="I15708" s="2">
        <v>319</v>
      </c>
      <c r="J15708" s="2">
        <v>963</v>
      </c>
      <c r="K15708" s="2">
        <v>1</v>
      </c>
      <c r="L15708" s="2">
        <v>215</v>
      </c>
    </row>
    <row r="15709" spans="1:12" x14ac:dyDescent="0.25">
      <c r="A15709" s="4" t="str">
        <f>HYPERLINK("http://www.rosaceae.org/Prunus/Prunus_persica/p.persica_gdr_reftransV1_0001367","p.persica_gdr_reftransV1_0001367")</f>
        <v>p.persica_gdr_reftransV1_0001367</v>
      </c>
      <c r="B15709" s="2">
        <v>608</v>
      </c>
      <c r="C15709" s="4" t="str">
        <f>HYPERLINK("http://www.uniprot.org/uniprot/M5W8H1","M5W8H1")</f>
        <v>M5W8H1</v>
      </c>
      <c r="D15709" s="2" t="s">
        <v>5034</v>
      </c>
      <c r="E15709" s="3">
        <v>2.3899999999999999E-109</v>
      </c>
      <c r="F15709" s="2">
        <v>853</v>
      </c>
      <c r="G15709" s="2">
        <v>98</v>
      </c>
      <c r="H15709" s="2">
        <v>181</v>
      </c>
      <c r="I15709" s="2">
        <v>3</v>
      </c>
      <c r="J15709" s="2">
        <v>545</v>
      </c>
      <c r="K15709" s="2">
        <v>291</v>
      </c>
      <c r="L15709" s="2">
        <v>471</v>
      </c>
    </row>
    <row r="15710" spans="1:12" x14ac:dyDescent="0.25">
      <c r="A15710" s="4" t="str">
        <f>HYPERLINK("http://www.rosaceae.org/Prunus/Prunus_persica/p.persica_gdr_reftransV1_0001717","p.persica_gdr_reftransV1_0001717")</f>
        <v>p.persica_gdr_reftransV1_0001717</v>
      </c>
      <c r="B15710" s="2">
        <v>730</v>
      </c>
      <c r="C15710" s="4" t="str">
        <f>HYPERLINK("http://www.uniprot.org/uniprot/M5X2B6","M5X2B6")</f>
        <v>M5X2B6</v>
      </c>
      <c r="D15710" s="2" t="s">
        <v>12577</v>
      </c>
      <c r="E15710" s="3">
        <v>4.2400000000000003E-117</v>
      </c>
      <c r="F15710" s="2">
        <v>884</v>
      </c>
      <c r="G15710" s="2">
        <v>100</v>
      </c>
      <c r="H15710" s="2">
        <v>167</v>
      </c>
      <c r="I15710" s="2">
        <v>53</v>
      </c>
      <c r="J15710" s="2">
        <v>553</v>
      </c>
      <c r="K15710" s="2">
        <v>35</v>
      </c>
      <c r="L15710" s="2">
        <v>201</v>
      </c>
    </row>
    <row r="15711" spans="1:12" x14ac:dyDescent="0.25">
      <c r="A15711" s="4" t="str">
        <f>HYPERLINK("http://www.rosaceae.org/Prunus/Prunus_persica/p.persica_gdr_reftransV1_0002067","p.persica_gdr_reftransV1_0002067")</f>
        <v>p.persica_gdr_reftransV1_0002067</v>
      </c>
      <c r="B15711" s="2">
        <v>1016</v>
      </c>
      <c r="C15711" s="4" t="str">
        <f>HYPERLINK("http://www.uniprot.org/uniprot/B9S2U4","B9S2U4")</f>
        <v>B9S2U4</v>
      </c>
      <c r="D15711" s="2" t="s">
        <v>12578</v>
      </c>
      <c r="E15711" s="3">
        <v>0</v>
      </c>
      <c r="F15711" s="2">
        <v>1373</v>
      </c>
      <c r="G15711" s="2">
        <v>82</v>
      </c>
      <c r="H15711" s="2">
        <v>310</v>
      </c>
      <c r="I15711" s="2">
        <v>27</v>
      </c>
      <c r="J15711" s="2">
        <v>929</v>
      </c>
      <c r="K15711" s="2">
        <v>1</v>
      </c>
      <c r="L15711" s="2">
        <v>309</v>
      </c>
    </row>
    <row r="15712" spans="1:12" x14ac:dyDescent="0.25">
      <c r="A15712" s="4" t="str">
        <f>HYPERLINK("http://www.rosaceae.org/Prunus/Prunus_persica/p.persica_gdr_reftransV1_0002417","p.persica_gdr_reftransV1_0002417")</f>
        <v>p.persica_gdr_reftransV1_0002417</v>
      </c>
      <c r="B15712" s="2">
        <v>1707</v>
      </c>
      <c r="C15712" s="4" t="str">
        <f>HYPERLINK("http://www.uniprot.org/uniprot/M5XWX3","M5XWX3")</f>
        <v>M5XWX3</v>
      </c>
      <c r="D15712" s="2" t="s">
        <v>12579</v>
      </c>
      <c r="E15712" s="3">
        <v>0</v>
      </c>
      <c r="F15712" s="2">
        <v>1817</v>
      </c>
      <c r="G15712" s="2">
        <v>100</v>
      </c>
      <c r="H15712" s="2">
        <v>337</v>
      </c>
      <c r="I15712" s="2">
        <v>430</v>
      </c>
      <c r="J15712" s="2">
        <v>1440</v>
      </c>
      <c r="K15712" s="2">
        <v>1</v>
      </c>
      <c r="L15712" s="2">
        <v>337</v>
      </c>
    </row>
    <row r="15713" spans="1:12" x14ac:dyDescent="0.25">
      <c r="A15713" s="4" t="str">
        <f>HYPERLINK("http://www.rosaceae.org/Prunus/Prunus_persica/p.persica_gdr_reftransV1_0002767","p.persica_gdr_reftransV1_0002767")</f>
        <v>p.persica_gdr_reftransV1_0002767</v>
      </c>
      <c r="B15713" s="2">
        <v>1537</v>
      </c>
      <c r="C15713" s="4" t="str">
        <f>HYPERLINK("http://www.uniprot.org/uniprot/A0A0B0N452","A0A0B0N452")</f>
        <v>A0A0B0N452</v>
      </c>
      <c r="D15713" s="2" t="s">
        <v>12580</v>
      </c>
      <c r="E15713" s="3">
        <v>1.08E-132</v>
      </c>
      <c r="F15713" s="2">
        <v>889</v>
      </c>
      <c r="G15713" s="2">
        <v>93</v>
      </c>
      <c r="H15713" s="2">
        <v>175</v>
      </c>
      <c r="I15713" s="2">
        <v>1013</v>
      </c>
      <c r="J15713" s="2">
        <v>1537</v>
      </c>
      <c r="K15713" s="2">
        <v>127</v>
      </c>
      <c r="L15713" s="2">
        <v>301</v>
      </c>
    </row>
    <row r="15714" spans="1:12" x14ac:dyDescent="0.25">
      <c r="A15714" s="4" t="str">
        <f>HYPERLINK("http://www.rosaceae.org/Prunus/Prunus_persica/p.persica_gdr_reftransV1_0003117","p.persica_gdr_reftransV1_0003117")</f>
        <v>p.persica_gdr_reftransV1_0003117</v>
      </c>
      <c r="B15714" s="2">
        <v>312</v>
      </c>
      <c r="C15714" s="4" t="str">
        <f>HYPERLINK("http://www.uniprot.org/uniprot/M5XM12","M5XM12")</f>
        <v>M5XM12</v>
      </c>
      <c r="D15714" s="2" t="s">
        <v>7032</v>
      </c>
      <c r="E15714" s="3">
        <v>9.2799999999999997E-57</v>
      </c>
      <c r="F15714" s="2">
        <v>461</v>
      </c>
      <c r="G15714" s="2">
        <v>100</v>
      </c>
      <c r="H15714" s="2">
        <v>92</v>
      </c>
      <c r="I15714" s="2">
        <v>1</v>
      </c>
      <c r="J15714" s="2">
        <v>276</v>
      </c>
      <c r="K15714" s="2">
        <v>1</v>
      </c>
      <c r="L15714" s="2">
        <v>92</v>
      </c>
    </row>
    <row r="15715" spans="1:12" x14ac:dyDescent="0.25">
      <c r="A15715" s="4" t="str">
        <f>HYPERLINK("http://www.rosaceae.org/Prunus/Prunus_persica/p.persica_gdr_reftransV1_0003467","p.persica_gdr_reftransV1_0003467")</f>
        <v>p.persica_gdr_reftransV1_0003467</v>
      </c>
      <c r="B15715" s="2">
        <v>299</v>
      </c>
      <c r="C15715" s="4" t="str">
        <f>HYPERLINK("http://www.uniprot.org/uniprot/M5WP98","M5WP98")</f>
        <v>M5WP98</v>
      </c>
      <c r="D15715" s="2" t="s">
        <v>2624</v>
      </c>
      <c r="E15715" s="3">
        <v>7.8399999999999998E-25</v>
      </c>
      <c r="F15715" s="2">
        <v>265</v>
      </c>
      <c r="G15715" s="2">
        <v>74</v>
      </c>
      <c r="H15715" s="2">
        <v>72</v>
      </c>
      <c r="I15715" s="2">
        <v>76</v>
      </c>
      <c r="J15715" s="2">
        <v>288</v>
      </c>
      <c r="K15715" s="2">
        <v>4</v>
      </c>
      <c r="L15715" s="2">
        <v>75</v>
      </c>
    </row>
    <row r="15716" spans="1:12" x14ac:dyDescent="0.25">
      <c r="A15716" s="4" t="str">
        <f>HYPERLINK("http://www.rosaceae.org/Prunus/Prunus_persica/p.persica_gdr_reftransV1_0003817","p.persica_gdr_reftransV1_0003817")</f>
        <v>p.persica_gdr_reftransV1_0003817</v>
      </c>
      <c r="B15716" s="2">
        <v>1293</v>
      </c>
      <c r="C15716" s="4" t="str">
        <f>HYPERLINK("http://www.uniprot.org/uniprot/M5WA12","M5WA12")</f>
        <v>M5WA12</v>
      </c>
      <c r="D15716" s="2" t="s">
        <v>11052</v>
      </c>
      <c r="E15716" s="3">
        <v>0</v>
      </c>
      <c r="F15716" s="2">
        <v>1555</v>
      </c>
      <c r="G15716" s="2">
        <v>90</v>
      </c>
      <c r="H15716" s="2">
        <v>337</v>
      </c>
      <c r="I15716" s="2">
        <v>149</v>
      </c>
      <c r="J15716" s="2">
        <v>1159</v>
      </c>
      <c r="K15716" s="2">
        <v>1</v>
      </c>
      <c r="L15716" s="2">
        <v>304</v>
      </c>
    </row>
    <row r="15717" spans="1:12" x14ac:dyDescent="0.25">
      <c r="A15717" s="4" t="str">
        <f>HYPERLINK("http://www.rosaceae.org/Prunus/Prunus_persica/p.persica_gdr_reftransV1_0004167","p.persica_gdr_reftransV1_0004167")</f>
        <v>p.persica_gdr_reftransV1_0004167</v>
      </c>
      <c r="B15717" s="2">
        <v>1337</v>
      </c>
      <c r="C15717" s="4" t="str">
        <f>HYPERLINK("http://www.uniprot.org/uniprot/M5XMI5","M5XMI5")</f>
        <v>M5XMI5</v>
      </c>
      <c r="D15717" s="2" t="s">
        <v>12581</v>
      </c>
      <c r="E15717" s="3">
        <v>3.4000000000000002E-44</v>
      </c>
      <c r="F15717" s="2">
        <v>413</v>
      </c>
      <c r="G15717" s="2">
        <v>93</v>
      </c>
      <c r="H15717" s="2">
        <v>169</v>
      </c>
      <c r="I15717" s="2">
        <v>171</v>
      </c>
      <c r="J15717" s="2">
        <v>650</v>
      </c>
      <c r="K15717" s="2">
        <v>1</v>
      </c>
      <c r="L15717" s="2">
        <v>169</v>
      </c>
    </row>
    <row r="15718" spans="1:12" x14ac:dyDescent="0.25">
      <c r="A15718" s="4" t="str">
        <f>HYPERLINK("http://www.rosaceae.org/Prunus/Prunus_persica/p.persica_gdr_reftransV1_0004867","p.persica_gdr_reftransV1_0004867")</f>
        <v>p.persica_gdr_reftransV1_0004867</v>
      </c>
      <c r="B15718" s="2">
        <v>2235</v>
      </c>
      <c r="C15718" s="4" t="str">
        <f>HYPERLINK("http://www.uniprot.org/uniprot/M5XC17","M5XC17")</f>
        <v>M5XC17</v>
      </c>
      <c r="D15718" s="2" t="s">
        <v>12582</v>
      </c>
      <c r="E15718" s="3">
        <v>0</v>
      </c>
      <c r="F15718" s="2">
        <v>2427</v>
      </c>
      <c r="G15718" s="2">
        <v>100</v>
      </c>
      <c r="H15718" s="2">
        <v>451</v>
      </c>
      <c r="I15718" s="2">
        <v>473</v>
      </c>
      <c r="J15718" s="2">
        <v>1825</v>
      </c>
      <c r="K15718" s="2">
        <v>1</v>
      </c>
      <c r="L15718" s="2">
        <v>450</v>
      </c>
    </row>
    <row r="15719" spans="1:12" x14ac:dyDescent="0.25">
      <c r="A15719" s="4" t="str">
        <f>HYPERLINK("http://www.rosaceae.org/Prunus/Prunus_persica/p.persica_gdr_reftransV1_0005217","p.persica_gdr_reftransV1_0005217")</f>
        <v>p.persica_gdr_reftransV1_0005217</v>
      </c>
      <c r="B15719" s="2">
        <v>1029</v>
      </c>
      <c r="C15719" s="4" t="str">
        <f>HYPERLINK("http://www.uniprot.org/uniprot/M5VZS6","M5VZS6")</f>
        <v>M5VZS6</v>
      </c>
      <c r="D15719" s="2" t="s">
        <v>12583</v>
      </c>
      <c r="E15719" s="3">
        <v>1.9399999999999999E-107</v>
      </c>
      <c r="F15719" s="2">
        <v>835</v>
      </c>
      <c r="G15719" s="2">
        <v>94</v>
      </c>
      <c r="H15719" s="2">
        <v>248</v>
      </c>
      <c r="I15719" s="2">
        <v>53</v>
      </c>
      <c r="J15719" s="2">
        <v>796</v>
      </c>
      <c r="K15719" s="2">
        <v>17</v>
      </c>
      <c r="L15719" s="2">
        <v>248</v>
      </c>
    </row>
    <row r="15720" spans="1:12" x14ac:dyDescent="0.25">
      <c r="A15720" s="4" t="str">
        <f>HYPERLINK("http://www.rosaceae.org/Prunus/Prunus_persica/p.persica_gdr_reftransV1_0005567","p.persica_gdr_reftransV1_0005567")</f>
        <v>p.persica_gdr_reftransV1_0005567</v>
      </c>
      <c r="B15720" s="2">
        <v>709</v>
      </c>
      <c r="C15720" s="4" t="str">
        <f>HYPERLINK("http://www.uniprot.org/uniprot/A0A059BYP6","A0A059BYP6")</f>
        <v>A0A059BYP6</v>
      </c>
      <c r="D15720" s="2" t="s">
        <v>12584</v>
      </c>
      <c r="E15720" s="3">
        <v>4.8699999999999998E-87</v>
      </c>
      <c r="F15720" s="2">
        <v>686</v>
      </c>
      <c r="G15720" s="2">
        <v>77</v>
      </c>
      <c r="H15720" s="2">
        <v>182</v>
      </c>
      <c r="I15720" s="2">
        <v>89</v>
      </c>
      <c r="J15720" s="2">
        <v>634</v>
      </c>
      <c r="K15720" s="2">
        <v>16</v>
      </c>
      <c r="L15720" s="2">
        <v>197</v>
      </c>
    </row>
    <row r="15721" spans="1:12" x14ac:dyDescent="0.25">
      <c r="A15721" s="4" t="str">
        <f>HYPERLINK("http://www.rosaceae.org/Prunus/Prunus_persica/p.persica_gdr_reftransV1_0008367","p.persica_gdr_reftransV1_0008367")</f>
        <v>p.persica_gdr_reftransV1_0008367</v>
      </c>
      <c r="B15721" s="2">
        <v>2070</v>
      </c>
      <c r="C15721" s="4" t="str">
        <f>HYPERLINK("http://www.uniprot.org/uniprot/M5Y4X5","M5Y4X5")</f>
        <v>M5Y4X5</v>
      </c>
      <c r="D15721" s="2" t="s">
        <v>12585</v>
      </c>
      <c r="E15721" s="3">
        <v>0</v>
      </c>
      <c r="F15721" s="2">
        <v>2840</v>
      </c>
      <c r="G15721" s="2">
        <v>100</v>
      </c>
      <c r="H15721" s="2">
        <v>523</v>
      </c>
      <c r="I15721" s="2">
        <v>310</v>
      </c>
      <c r="J15721" s="2">
        <v>1878</v>
      </c>
      <c r="K15721" s="2">
        <v>1</v>
      </c>
      <c r="L15721" s="2">
        <v>523</v>
      </c>
    </row>
    <row r="15722" spans="1:12" x14ac:dyDescent="0.25">
      <c r="A15722" s="4" t="str">
        <f>HYPERLINK("http://www.rosaceae.org/Prunus/Prunus_persica/p.persica_gdr_reftransV1_0009067","p.persica_gdr_reftransV1_0009067")</f>
        <v>p.persica_gdr_reftransV1_0009067</v>
      </c>
      <c r="B15722" s="2">
        <v>490</v>
      </c>
      <c r="C15722" s="4" t="str">
        <f>HYPERLINK("http://www.uniprot.org/uniprot/M5VZQ7","M5VZQ7")</f>
        <v>M5VZQ7</v>
      </c>
      <c r="D15722" s="2" t="s">
        <v>3175</v>
      </c>
      <c r="E15722" s="3">
        <v>5.2299999999999998E-73</v>
      </c>
      <c r="F15722" s="2">
        <v>599</v>
      </c>
      <c r="G15722" s="2">
        <v>99</v>
      </c>
      <c r="H15722" s="2">
        <v>115</v>
      </c>
      <c r="I15722" s="2">
        <v>3</v>
      </c>
      <c r="J15722" s="2">
        <v>347</v>
      </c>
      <c r="K15722" s="2">
        <v>1</v>
      </c>
      <c r="L15722" s="2">
        <v>115</v>
      </c>
    </row>
    <row r="15723" spans="1:12" x14ac:dyDescent="0.25">
      <c r="A15723" s="4" t="str">
        <f>HYPERLINK("http://www.rosaceae.org/Prunus/Prunus_persica/p.persica_gdr_reftransV1_0009767","p.persica_gdr_reftransV1_0009767")</f>
        <v>p.persica_gdr_reftransV1_0009767</v>
      </c>
      <c r="B15723" s="2">
        <v>1143</v>
      </c>
      <c r="C15723" s="4" t="str">
        <f>HYPERLINK("http://www.uniprot.org/uniprot/M5XAU5","M5XAU5")</f>
        <v>M5XAU5</v>
      </c>
      <c r="D15723" s="2" t="s">
        <v>2139</v>
      </c>
      <c r="E15723" s="3">
        <v>0</v>
      </c>
      <c r="F15723" s="2">
        <v>1853</v>
      </c>
      <c r="G15723" s="2">
        <v>100</v>
      </c>
      <c r="H15723" s="2">
        <v>380</v>
      </c>
      <c r="I15723" s="2">
        <v>3</v>
      </c>
      <c r="J15723" s="2">
        <v>1142</v>
      </c>
      <c r="K15723" s="2">
        <v>515</v>
      </c>
      <c r="L15723" s="2">
        <v>894</v>
      </c>
    </row>
    <row r="15724" spans="1:12" x14ac:dyDescent="0.25">
      <c r="A15724" s="4" t="str">
        <f>HYPERLINK("http://www.rosaceae.org/Prunus/Prunus_persica/p.persica_gdr_reftransV1_0010117","p.persica_gdr_reftransV1_0010117")</f>
        <v>p.persica_gdr_reftransV1_0010117</v>
      </c>
      <c r="B15724" s="2">
        <v>1046</v>
      </c>
      <c r="C15724" s="4" t="str">
        <f>HYPERLINK("http://www.uniprot.org/uniprot/M5XUD8","M5XUD8")</f>
        <v>M5XUD8</v>
      </c>
      <c r="D15724" s="2" t="s">
        <v>12586</v>
      </c>
      <c r="E15724" s="3">
        <v>1.63E-132</v>
      </c>
      <c r="F15724" s="2">
        <v>996</v>
      </c>
      <c r="G15724" s="2">
        <v>99</v>
      </c>
      <c r="H15724" s="2">
        <v>187</v>
      </c>
      <c r="I15724" s="2">
        <v>101</v>
      </c>
      <c r="J15724" s="2">
        <v>661</v>
      </c>
      <c r="K15724" s="2">
        <v>1</v>
      </c>
      <c r="L15724" s="2">
        <v>187</v>
      </c>
    </row>
    <row r="15725" spans="1:12" x14ac:dyDescent="0.25">
      <c r="A15725" s="4" t="str">
        <f>HYPERLINK("http://www.rosaceae.org/Prunus/Prunus_persica/p.persica_gdr_reftransV1_0010817","p.persica_gdr_reftransV1_0010817")</f>
        <v>p.persica_gdr_reftransV1_0010817</v>
      </c>
      <c r="B15725" s="2">
        <v>1172</v>
      </c>
      <c r="C15725" s="4" t="str">
        <f>HYPERLINK("http://www.uniprot.org/uniprot/M5WTY4","M5WTY4")</f>
        <v>M5WTY4</v>
      </c>
      <c r="D15725" s="2" t="s">
        <v>12587</v>
      </c>
      <c r="E15725" s="3">
        <v>4.3699999999999999E-141</v>
      </c>
      <c r="F15725" s="2">
        <v>1060</v>
      </c>
      <c r="G15725" s="2">
        <v>100</v>
      </c>
      <c r="H15725" s="2">
        <v>217</v>
      </c>
      <c r="I15725" s="2">
        <v>260</v>
      </c>
      <c r="J15725" s="2">
        <v>910</v>
      </c>
      <c r="K15725" s="2">
        <v>1</v>
      </c>
      <c r="L15725" s="2">
        <v>217</v>
      </c>
    </row>
    <row r="15726" spans="1:12" x14ac:dyDescent="0.25">
      <c r="A15726" s="4" t="str">
        <f>HYPERLINK("http://www.rosaceae.org/Prunus/Prunus_persica/p.persica_gdr_reftransV1_0011517","p.persica_gdr_reftransV1_0011517")</f>
        <v>p.persica_gdr_reftransV1_0011517</v>
      </c>
      <c r="B15726" s="2">
        <v>7850</v>
      </c>
      <c r="C15726" s="4" t="str">
        <f>HYPERLINK("http://www.uniprot.org/uniprot/A0A0D2QRC7","A0A0D2QRC7")</f>
        <v>A0A0D2QRC7</v>
      </c>
      <c r="D15726" s="2" t="s">
        <v>12588</v>
      </c>
      <c r="E15726" s="3">
        <v>1.6199999999999999E-131</v>
      </c>
      <c r="F15726" s="2">
        <v>1126</v>
      </c>
      <c r="G15726" s="2">
        <v>76</v>
      </c>
      <c r="H15726" s="2">
        <v>348</v>
      </c>
      <c r="I15726" s="2">
        <v>3518</v>
      </c>
      <c r="J15726" s="2">
        <v>4552</v>
      </c>
      <c r="K15726" s="2">
        <v>252</v>
      </c>
      <c r="L15726" s="2">
        <v>571</v>
      </c>
    </row>
    <row r="15727" spans="1:12" x14ac:dyDescent="0.25">
      <c r="A15727" s="4" t="str">
        <f>HYPERLINK("http://www.rosaceae.org/Prunus/Prunus_persica/p.persica_gdr_reftransV1_0013617","p.persica_gdr_reftransV1_0013617")</f>
        <v>p.persica_gdr_reftransV1_0013617</v>
      </c>
      <c r="B15727" s="2">
        <v>1743</v>
      </c>
      <c r="C15727" s="4" t="str">
        <f>HYPERLINK("http://www.uniprot.org/uniprot/M5Y1W3","M5Y1W3")</f>
        <v>M5Y1W3</v>
      </c>
      <c r="D15727" s="2" t="s">
        <v>12589</v>
      </c>
      <c r="E15727" s="3">
        <v>0</v>
      </c>
      <c r="F15727" s="2">
        <v>2224</v>
      </c>
      <c r="G15727" s="2">
        <v>98</v>
      </c>
      <c r="H15727" s="2">
        <v>423</v>
      </c>
      <c r="I15727" s="2">
        <v>297</v>
      </c>
      <c r="J15727" s="2">
        <v>1562</v>
      </c>
      <c r="K15727" s="2">
        <v>1</v>
      </c>
      <c r="L15727" s="2">
        <v>420</v>
      </c>
    </row>
    <row r="15728" spans="1:12" x14ac:dyDescent="0.25">
      <c r="A15728" s="4" t="str">
        <f>HYPERLINK("http://www.rosaceae.org/Prunus/Prunus_persica/p.persica_gdr_reftransV1_0013967","p.persica_gdr_reftransV1_0013967")</f>
        <v>p.persica_gdr_reftransV1_0013967</v>
      </c>
      <c r="B15728" s="2">
        <v>906</v>
      </c>
      <c r="C15728" s="4" t="str">
        <f>HYPERLINK("http://www.uniprot.org/uniprot/M5VHE9","M5VHE9")</f>
        <v>M5VHE9</v>
      </c>
      <c r="D15728" s="2" t="s">
        <v>1223</v>
      </c>
      <c r="E15728" s="3">
        <v>4.2199999999999999E-141</v>
      </c>
      <c r="F15728" s="2">
        <v>1076</v>
      </c>
      <c r="G15728" s="2">
        <v>100</v>
      </c>
      <c r="H15728" s="2">
        <v>215</v>
      </c>
      <c r="I15728" s="2">
        <v>2</v>
      </c>
      <c r="J15728" s="2">
        <v>646</v>
      </c>
      <c r="K15728" s="2">
        <v>263</v>
      </c>
      <c r="L15728" s="2">
        <v>477</v>
      </c>
    </row>
    <row r="15729" spans="1:12" x14ac:dyDescent="0.25">
      <c r="A15729" s="4" t="str">
        <f>HYPERLINK("http://www.rosaceae.org/Prunus/Prunus_persica/p.persica_gdr_reftransV1_0014667","p.persica_gdr_reftransV1_0014667")</f>
        <v>p.persica_gdr_reftransV1_0014667</v>
      </c>
      <c r="B15729" s="2">
        <v>1136</v>
      </c>
      <c r="C15729" s="4" t="str">
        <f>HYPERLINK("http://www.uniprot.org/uniprot/J7G586","J7G586")</f>
        <v>J7G586</v>
      </c>
      <c r="D15729" s="2" t="s">
        <v>298</v>
      </c>
      <c r="E15729" s="3">
        <v>3.2899999999999998E-67</v>
      </c>
      <c r="F15729" s="2">
        <v>603</v>
      </c>
      <c r="G15729" s="2">
        <v>37</v>
      </c>
      <c r="H15729" s="2">
        <v>341</v>
      </c>
      <c r="I15729" s="2">
        <v>1</v>
      </c>
      <c r="J15729" s="2">
        <v>1017</v>
      </c>
      <c r="K15729" s="2">
        <v>281</v>
      </c>
      <c r="L15729" s="2">
        <v>591</v>
      </c>
    </row>
    <row r="15730" spans="1:12" x14ac:dyDescent="0.25">
      <c r="A15730" s="4" t="str">
        <f>HYPERLINK("http://www.rosaceae.org/Prunus/Prunus_persica/p.persica_gdr_reftransV1_0016417","p.persica_gdr_reftransV1_0016417")</f>
        <v>p.persica_gdr_reftransV1_0016417</v>
      </c>
      <c r="B15730" s="2">
        <v>964</v>
      </c>
      <c r="C15730" s="4" t="str">
        <f>HYPERLINK("http://www.uniprot.org/uniprot/M5VQ11","M5VQ11")</f>
        <v>M5VQ11</v>
      </c>
      <c r="D15730" s="2" t="s">
        <v>12590</v>
      </c>
      <c r="E15730" s="3">
        <v>2.5700000000000002E-112</v>
      </c>
      <c r="F15730" s="2">
        <v>923</v>
      </c>
      <c r="G15730" s="2">
        <v>99</v>
      </c>
      <c r="H15730" s="2">
        <v>189</v>
      </c>
      <c r="I15730" s="2">
        <v>396</v>
      </c>
      <c r="J15730" s="2">
        <v>962</v>
      </c>
      <c r="K15730" s="2">
        <v>1</v>
      </c>
      <c r="L15730" s="2">
        <v>189</v>
      </c>
    </row>
    <row r="15731" spans="1:12" x14ac:dyDescent="0.25">
      <c r="A15731" s="4" t="str">
        <f>HYPERLINK("http://www.rosaceae.org/Prunus/Prunus_persica/p.persica_gdr_reftransV1_0017117","p.persica_gdr_reftransV1_0017117")</f>
        <v>p.persica_gdr_reftransV1_0017117</v>
      </c>
      <c r="B15731" s="2">
        <v>2285</v>
      </c>
      <c r="C15731" s="4" t="str">
        <f>HYPERLINK("http://www.uniprot.org/uniprot/M5WPZ5","M5WPZ5")</f>
        <v>M5WPZ5</v>
      </c>
      <c r="D15731" s="2" t="s">
        <v>12591</v>
      </c>
      <c r="E15731" s="3">
        <v>1.26E-108</v>
      </c>
      <c r="F15731" s="2">
        <v>890</v>
      </c>
      <c r="G15731" s="2">
        <v>100</v>
      </c>
      <c r="H15731" s="2">
        <v>167</v>
      </c>
      <c r="I15731" s="2">
        <v>1447</v>
      </c>
      <c r="J15731" s="2">
        <v>1947</v>
      </c>
      <c r="K15731" s="2">
        <v>192</v>
      </c>
      <c r="L15731" s="2">
        <v>358</v>
      </c>
    </row>
    <row r="15732" spans="1:12" x14ac:dyDescent="0.25">
      <c r="A15732" s="4" t="str">
        <f>HYPERLINK("http://www.rosaceae.org/Prunus/Prunus_persica/p.persica_gdr_reftransV1_0017467","p.persica_gdr_reftransV1_0017467")</f>
        <v>p.persica_gdr_reftransV1_0017467</v>
      </c>
      <c r="B15732" s="2">
        <v>2282</v>
      </c>
      <c r="C15732" s="4" t="str">
        <f>HYPERLINK("http://www.uniprot.org/uniprot/A5C5R8","A5C5R8")</f>
        <v>A5C5R8</v>
      </c>
      <c r="D15732" s="2" t="s">
        <v>12592</v>
      </c>
      <c r="E15732" s="3">
        <v>1.5299999999999999E-136</v>
      </c>
      <c r="F15732" s="2">
        <v>699</v>
      </c>
      <c r="G15732" s="2">
        <v>51</v>
      </c>
      <c r="H15732" s="2">
        <v>273</v>
      </c>
      <c r="I15732" s="2">
        <v>314</v>
      </c>
      <c r="J15732" s="2">
        <v>1126</v>
      </c>
      <c r="K15732" s="2">
        <v>931</v>
      </c>
      <c r="L15732" s="2">
        <v>1201</v>
      </c>
    </row>
    <row r="15733" spans="1:12" x14ac:dyDescent="0.25">
      <c r="A15733" s="4" t="str">
        <f>HYPERLINK("http://www.rosaceae.org/Prunus/Prunus_persica/p.persica_gdr_reftransV1_0017817","p.persica_gdr_reftransV1_0017817")</f>
        <v>p.persica_gdr_reftransV1_0017817</v>
      </c>
      <c r="B15733" s="2">
        <v>1781</v>
      </c>
      <c r="C15733" s="4" t="str">
        <f>HYPERLINK("http://www.uniprot.org/uniprot/M5WTN8","M5WTN8")</f>
        <v>M5WTN8</v>
      </c>
      <c r="D15733" s="2" t="s">
        <v>12593</v>
      </c>
      <c r="E15733" s="3">
        <v>0</v>
      </c>
      <c r="F15733" s="2">
        <v>1900</v>
      </c>
      <c r="G15733" s="2">
        <v>100</v>
      </c>
      <c r="H15733" s="2">
        <v>362</v>
      </c>
      <c r="I15733" s="2">
        <v>226</v>
      </c>
      <c r="J15733" s="2">
        <v>1311</v>
      </c>
      <c r="K15733" s="2">
        <v>1</v>
      </c>
      <c r="L15733" s="2">
        <v>362</v>
      </c>
    </row>
    <row r="15734" spans="1:12" x14ac:dyDescent="0.25">
      <c r="A15734" s="4" t="str">
        <f>HYPERLINK("http://www.rosaceae.org/Prunus/Prunus_persica/p.persica_gdr_reftransV1_0019217","p.persica_gdr_reftransV1_0019217")</f>
        <v>p.persica_gdr_reftransV1_0019217</v>
      </c>
      <c r="B15734" s="2">
        <v>1377</v>
      </c>
      <c r="C15734" s="4" t="str">
        <f>HYPERLINK("http://www.uniprot.org/uniprot/M5WUY1","M5WUY1")</f>
        <v>M5WUY1</v>
      </c>
      <c r="D15734" s="2" t="s">
        <v>12594</v>
      </c>
      <c r="E15734" s="3">
        <v>0</v>
      </c>
      <c r="F15734" s="2">
        <v>1607</v>
      </c>
      <c r="G15734" s="2">
        <v>100</v>
      </c>
      <c r="H15734" s="2">
        <v>303</v>
      </c>
      <c r="I15734" s="2">
        <v>382</v>
      </c>
      <c r="J15734" s="2">
        <v>1290</v>
      </c>
      <c r="K15734" s="2">
        <v>1</v>
      </c>
      <c r="L15734" s="2">
        <v>303</v>
      </c>
    </row>
    <row r="15735" spans="1:12" x14ac:dyDescent="0.25">
      <c r="A15735" s="4" t="str">
        <f>HYPERLINK("http://www.rosaceae.org/Prunus/Prunus_persica/p.persica_gdr_reftransV1_0020267","p.persica_gdr_reftransV1_0020267")</f>
        <v>p.persica_gdr_reftransV1_0020267</v>
      </c>
      <c r="B15735" s="2">
        <v>3420</v>
      </c>
      <c r="C15735" s="4" t="str">
        <f>HYPERLINK("http://www.uniprot.org/uniprot/M5XXN5","M5XXN5")</f>
        <v>M5XXN5</v>
      </c>
      <c r="D15735" s="2" t="s">
        <v>12595</v>
      </c>
      <c r="E15735" s="3">
        <v>0</v>
      </c>
      <c r="F15735" s="2">
        <v>4139</v>
      </c>
      <c r="G15735" s="2">
        <v>100</v>
      </c>
      <c r="H15735" s="2">
        <v>840</v>
      </c>
      <c r="I15735" s="2">
        <v>424</v>
      </c>
      <c r="J15735" s="2">
        <v>2943</v>
      </c>
      <c r="K15735" s="2">
        <v>37</v>
      </c>
      <c r="L15735" s="2">
        <v>876</v>
      </c>
    </row>
    <row r="15736" spans="1:12" x14ac:dyDescent="0.25">
      <c r="A15736" s="4" t="str">
        <f>HYPERLINK("http://www.rosaceae.org/Prunus/Prunus_persica/p.persica_gdr_reftransV1_0020967","p.persica_gdr_reftransV1_0020967")</f>
        <v>p.persica_gdr_reftransV1_0020967</v>
      </c>
      <c r="B15736" s="2">
        <v>1068</v>
      </c>
      <c r="C15736" s="4" t="str">
        <f>HYPERLINK("http://www.uniprot.org/uniprot/M5WY81","M5WY81")</f>
        <v>M5WY81</v>
      </c>
      <c r="D15736" s="2" t="s">
        <v>1655</v>
      </c>
      <c r="E15736" s="3">
        <v>1.0499999999999999E-49</v>
      </c>
      <c r="F15736" s="2">
        <v>445</v>
      </c>
      <c r="G15736" s="2">
        <v>98</v>
      </c>
      <c r="H15736" s="2">
        <v>86</v>
      </c>
      <c r="I15736" s="2">
        <v>2</v>
      </c>
      <c r="J15736" s="2">
        <v>259</v>
      </c>
      <c r="K15736" s="2">
        <v>38</v>
      </c>
      <c r="L15736" s="2">
        <v>123</v>
      </c>
    </row>
    <row r="15737" spans="1:12" x14ac:dyDescent="0.25">
      <c r="A15737" s="4" t="str">
        <f>HYPERLINK("http://www.rosaceae.org/Prunus/Prunus_persica/p.persica_gdr_reftransV1_0021667","p.persica_gdr_reftransV1_0021667")</f>
        <v>p.persica_gdr_reftransV1_0021667</v>
      </c>
      <c r="B15737" s="2">
        <v>884</v>
      </c>
      <c r="C15737" s="4" t="str">
        <f>HYPERLINK("http://www.uniprot.org/uniprot/M5WM32","M5WM32")</f>
        <v>M5WM32</v>
      </c>
      <c r="D15737" s="2" t="s">
        <v>544</v>
      </c>
      <c r="E15737" s="3">
        <v>1.7599999999999999E-86</v>
      </c>
      <c r="F15737" s="2">
        <v>734</v>
      </c>
      <c r="G15737" s="2">
        <v>100</v>
      </c>
      <c r="H15737" s="2">
        <v>148</v>
      </c>
      <c r="I15737" s="2">
        <v>54</v>
      </c>
      <c r="J15737" s="2">
        <v>497</v>
      </c>
      <c r="K15737" s="2">
        <v>672</v>
      </c>
      <c r="L15737" s="2">
        <v>819</v>
      </c>
    </row>
    <row r="15738" spans="1:12" x14ac:dyDescent="0.25">
      <c r="A15738" s="4" t="str">
        <f>HYPERLINK("http://www.rosaceae.org/Prunus/Prunus_persica/p.persica_gdr_reftransV1_0022367","p.persica_gdr_reftransV1_0022367")</f>
        <v>p.persica_gdr_reftransV1_0022367</v>
      </c>
      <c r="B15738" s="2">
        <v>2186</v>
      </c>
      <c r="C15738" s="4" t="str">
        <f>HYPERLINK("http://www.uniprot.org/uniprot/M5WG79","M5WG79")</f>
        <v>M5WG79</v>
      </c>
      <c r="D15738" s="2" t="s">
        <v>12596</v>
      </c>
      <c r="E15738" s="3">
        <v>0</v>
      </c>
      <c r="F15738" s="2">
        <v>3084</v>
      </c>
      <c r="G15738" s="2">
        <v>100</v>
      </c>
      <c r="H15738" s="2">
        <v>590</v>
      </c>
      <c r="I15738" s="2">
        <v>150</v>
      </c>
      <c r="J15738" s="2">
        <v>1919</v>
      </c>
      <c r="K15738" s="2">
        <v>1</v>
      </c>
      <c r="L15738" s="2">
        <v>590</v>
      </c>
    </row>
    <row r="15739" spans="1:12" x14ac:dyDescent="0.25">
      <c r="A15739" s="4" t="str">
        <f>HYPERLINK("http://www.rosaceae.org/Prunus/Prunus_persica/p.persica_gdr_reftransV1_0024817","p.persica_gdr_reftransV1_0024817")</f>
        <v>p.persica_gdr_reftransV1_0024817</v>
      </c>
      <c r="B15739" s="2">
        <v>2372</v>
      </c>
      <c r="C15739" s="4" t="str">
        <f>HYPERLINK("http://www.uniprot.org/uniprot/M5XLD4","M5XLD4")</f>
        <v>M5XLD4</v>
      </c>
      <c r="D15739" s="2" t="s">
        <v>12597</v>
      </c>
      <c r="E15739" s="3">
        <v>0</v>
      </c>
      <c r="F15739" s="2">
        <v>1447</v>
      </c>
      <c r="G15739" s="2">
        <v>98</v>
      </c>
      <c r="H15739" s="2">
        <v>280</v>
      </c>
      <c r="I15739" s="2">
        <v>1117</v>
      </c>
      <c r="J15739" s="2">
        <v>1956</v>
      </c>
      <c r="K15739" s="2">
        <v>45</v>
      </c>
      <c r="L15739" s="2">
        <v>322</v>
      </c>
    </row>
    <row r="15740" spans="1:12" x14ac:dyDescent="0.25">
      <c r="A15740" s="4" t="str">
        <f>HYPERLINK("http://www.rosaceae.org/Prunus/Prunus_persica/p.persica_gdr_reftransV1_0025867","p.persica_gdr_reftransV1_0025867")</f>
        <v>p.persica_gdr_reftransV1_0025867</v>
      </c>
      <c r="B15740" s="2">
        <v>1336</v>
      </c>
      <c r="C15740" s="4" t="str">
        <f>HYPERLINK("http://www.uniprot.org/uniprot/M5VGL1","M5VGL1")</f>
        <v>M5VGL1</v>
      </c>
      <c r="D15740" s="2" t="s">
        <v>11844</v>
      </c>
      <c r="E15740" s="3">
        <v>0</v>
      </c>
      <c r="F15740" s="2">
        <v>1772</v>
      </c>
      <c r="G15740" s="2">
        <v>100</v>
      </c>
      <c r="H15740" s="2">
        <v>341</v>
      </c>
      <c r="I15740" s="2">
        <v>27</v>
      </c>
      <c r="J15740" s="2">
        <v>1049</v>
      </c>
      <c r="K15740" s="2">
        <v>1</v>
      </c>
      <c r="L15740" s="2">
        <v>341</v>
      </c>
    </row>
    <row r="15741" spans="1:12" x14ac:dyDescent="0.25">
      <c r="A15741" s="4" t="str">
        <f>HYPERLINK("http://www.rosaceae.org/Prunus/Prunus_persica/p.persica_gdr_reftransV1_0027967","p.persica_gdr_reftransV1_0027967")</f>
        <v>p.persica_gdr_reftransV1_0027967</v>
      </c>
      <c r="B15741" s="2">
        <v>1034</v>
      </c>
      <c r="C15741" s="4" t="str">
        <f>HYPERLINK("http://www.uniprot.org/uniprot/M4GSX9","M4GSX9")</f>
        <v>M4GSX9</v>
      </c>
      <c r="D15741" s="2" t="s">
        <v>12598</v>
      </c>
      <c r="E15741" s="3">
        <v>5.2300000000000001E-167</v>
      </c>
      <c r="F15741" s="2">
        <v>1240</v>
      </c>
      <c r="G15741" s="2">
        <v>100</v>
      </c>
      <c r="H15741" s="2">
        <v>303</v>
      </c>
      <c r="I15741" s="2">
        <v>126</v>
      </c>
      <c r="J15741" s="2">
        <v>1034</v>
      </c>
      <c r="K15741" s="2">
        <v>54</v>
      </c>
      <c r="L15741" s="2">
        <v>356</v>
      </c>
    </row>
    <row r="15742" spans="1:12" x14ac:dyDescent="0.25">
      <c r="A15742" s="4" t="str">
        <f>HYPERLINK("http://www.rosaceae.org/Prunus/Prunus_persica/p.persica_gdr_reftransV1_0028317","p.persica_gdr_reftransV1_0028317")</f>
        <v>p.persica_gdr_reftransV1_0028317</v>
      </c>
      <c r="B15742" s="2">
        <v>4256</v>
      </c>
      <c r="C15742" s="4" t="str">
        <f>HYPERLINK("http://www.uniprot.org/uniprot/M5X2G6","M5X2G6")</f>
        <v>M5X2G6</v>
      </c>
      <c r="D15742" s="2" t="s">
        <v>12599</v>
      </c>
      <c r="E15742" s="3">
        <v>0</v>
      </c>
      <c r="F15742" s="2">
        <v>5355</v>
      </c>
      <c r="G15742" s="2">
        <v>100</v>
      </c>
      <c r="H15742" s="2">
        <v>1044</v>
      </c>
      <c r="I15742" s="2">
        <v>364</v>
      </c>
      <c r="J15742" s="2">
        <v>3495</v>
      </c>
      <c r="K15742" s="2">
        <v>1</v>
      </c>
      <c r="L15742" s="2">
        <v>1044</v>
      </c>
    </row>
    <row r="15743" spans="1:12" x14ac:dyDescent="0.25">
      <c r="A15743" s="4" t="str">
        <f>HYPERLINK("http://www.rosaceae.org/Prunus/Prunus_persica/p.persica_gdr_reftransV1_0028667","p.persica_gdr_reftransV1_0028667")</f>
        <v>p.persica_gdr_reftransV1_0028667</v>
      </c>
      <c r="B15743" s="2">
        <v>3234</v>
      </c>
      <c r="C15743" s="4" t="str">
        <f>HYPERLINK("http://www.uniprot.org/uniprot/M5VW15","M5VW15")</f>
        <v>M5VW15</v>
      </c>
      <c r="D15743" s="2" t="s">
        <v>4006</v>
      </c>
      <c r="E15743" s="3">
        <v>9.9899999999999999E-96</v>
      </c>
      <c r="F15743" s="2">
        <v>833</v>
      </c>
      <c r="G15743" s="2">
        <v>99</v>
      </c>
      <c r="H15743" s="2">
        <v>163</v>
      </c>
      <c r="I15743" s="2">
        <v>980</v>
      </c>
      <c r="J15743" s="2">
        <v>1468</v>
      </c>
      <c r="K15743" s="2">
        <v>117</v>
      </c>
      <c r="L15743" s="2">
        <v>279</v>
      </c>
    </row>
    <row r="15744" spans="1:12" x14ac:dyDescent="0.25">
      <c r="A15744" s="4" t="str">
        <f>HYPERLINK("http://www.rosaceae.org/Prunus/Prunus_persica/p.persica_gdr_reftransV1_0029017","p.persica_gdr_reftransV1_0029017")</f>
        <v>p.persica_gdr_reftransV1_0029017</v>
      </c>
      <c r="B15744" s="2">
        <v>6572</v>
      </c>
      <c r="C15744" s="4" t="str">
        <f>HYPERLINK("http://www.uniprot.org/uniprot/M5X2E1","M5X2E1")</f>
        <v>M5X2E1</v>
      </c>
      <c r="D15744" s="2" t="s">
        <v>12600</v>
      </c>
      <c r="E15744" s="3">
        <v>0</v>
      </c>
      <c r="F15744" s="2">
        <v>7424</v>
      </c>
      <c r="G15744" s="2">
        <v>97</v>
      </c>
      <c r="H15744" s="2">
        <v>1557</v>
      </c>
      <c r="I15744" s="2">
        <v>229</v>
      </c>
      <c r="J15744" s="2">
        <v>4899</v>
      </c>
      <c r="K15744" s="2">
        <v>1</v>
      </c>
      <c r="L15744" s="2">
        <v>1506</v>
      </c>
    </row>
    <row r="15745" spans="1:12" x14ac:dyDescent="0.25">
      <c r="A15745" s="4" t="str">
        <f>HYPERLINK("http://www.rosaceae.org/Prunus/Prunus_persica/p.persica_gdr_reftransV1_0031467","p.persica_gdr_reftransV1_0031467")</f>
        <v>p.persica_gdr_reftransV1_0031467</v>
      </c>
      <c r="B15745" s="2">
        <v>2536</v>
      </c>
      <c r="C15745" s="4" t="str">
        <f>HYPERLINK("http://www.uniprot.org/uniprot/A0A0B0NIG7","A0A0B0NIG7")</f>
        <v>A0A0B0NIG7</v>
      </c>
      <c r="D15745" s="2" t="s">
        <v>12601</v>
      </c>
      <c r="E15745" s="3">
        <v>1.4000000000000001E-67</v>
      </c>
      <c r="F15745" s="2">
        <v>610</v>
      </c>
      <c r="G15745" s="2">
        <v>40</v>
      </c>
      <c r="H15745" s="2">
        <v>335</v>
      </c>
      <c r="I15745" s="2">
        <v>656</v>
      </c>
      <c r="J15745" s="2">
        <v>1534</v>
      </c>
      <c r="K15745" s="2">
        <v>11</v>
      </c>
      <c r="L15745" s="2">
        <v>343</v>
      </c>
    </row>
    <row r="15746" spans="1:12" x14ac:dyDescent="0.25">
      <c r="A15746" s="4" t="str">
        <f>HYPERLINK("http://www.rosaceae.org/Prunus/Prunus_persica/p.persica_gdr_reftransV1_0032167","p.persica_gdr_reftransV1_0032167")</f>
        <v>p.persica_gdr_reftransV1_0032167</v>
      </c>
      <c r="B15746" s="2">
        <v>2449</v>
      </c>
      <c r="C15746" s="4" t="str">
        <f>HYPERLINK("http://www.uniprot.org/uniprot/M5XUP9","M5XUP9")</f>
        <v>M5XUP9</v>
      </c>
      <c r="D15746" s="2" t="s">
        <v>12602</v>
      </c>
      <c r="E15746" s="3">
        <v>1.9399999999999998E-93</v>
      </c>
      <c r="F15746" s="2">
        <v>794</v>
      </c>
      <c r="G15746" s="2">
        <v>88</v>
      </c>
      <c r="H15746" s="2">
        <v>185</v>
      </c>
      <c r="I15746" s="2">
        <v>154</v>
      </c>
      <c r="J15746" s="2">
        <v>708</v>
      </c>
      <c r="K15746" s="2">
        <v>1</v>
      </c>
      <c r="L15746" s="2">
        <v>163</v>
      </c>
    </row>
    <row r="15747" spans="1:12" x14ac:dyDescent="0.25">
      <c r="A15747" s="4" t="str">
        <f>HYPERLINK("http://www.rosaceae.org/Prunus/Prunus_persica/p.persica_gdr_reftransV1_0032517","p.persica_gdr_reftransV1_0032517")</f>
        <v>p.persica_gdr_reftransV1_0032517</v>
      </c>
      <c r="B15747" s="2">
        <v>1948</v>
      </c>
      <c r="C15747" s="4" t="str">
        <f>HYPERLINK("http://www.uniprot.org/uniprot/V9Q670","V9Q670")</f>
        <v>V9Q670</v>
      </c>
      <c r="D15747" s="2" t="s">
        <v>12603</v>
      </c>
      <c r="E15747" s="3">
        <v>3.6100000000000001E-46</v>
      </c>
      <c r="F15747" s="2">
        <v>433</v>
      </c>
      <c r="G15747" s="2">
        <v>100</v>
      </c>
      <c r="H15747" s="2">
        <v>123</v>
      </c>
      <c r="I15747" s="2">
        <v>188</v>
      </c>
      <c r="J15747" s="2">
        <v>556</v>
      </c>
      <c r="K15747" s="2">
        <v>1</v>
      </c>
      <c r="L15747" s="2">
        <v>123</v>
      </c>
    </row>
    <row r="15748" spans="1:12" x14ac:dyDescent="0.25">
      <c r="A15748" s="4" t="str">
        <f>HYPERLINK("http://www.rosaceae.org/Prunus/Prunus_persica/p.persica_gdr_reftransV1_0032867","p.persica_gdr_reftransV1_0032867")</f>
        <v>p.persica_gdr_reftransV1_0032867</v>
      </c>
      <c r="B15748" s="2">
        <v>3692</v>
      </c>
      <c r="C15748" s="4" t="str">
        <f>HYPERLINK("http://www.uniprot.org/uniprot/M5WZZ0","M5WZZ0")</f>
        <v>M5WZZ0</v>
      </c>
      <c r="D15748" s="2" t="s">
        <v>12604</v>
      </c>
      <c r="E15748" s="3">
        <v>0</v>
      </c>
      <c r="F15748" s="2">
        <v>4997</v>
      </c>
      <c r="G15748" s="2">
        <v>100</v>
      </c>
      <c r="H15748" s="2">
        <v>980</v>
      </c>
      <c r="I15748" s="2">
        <v>279</v>
      </c>
      <c r="J15748" s="2">
        <v>3218</v>
      </c>
      <c r="K15748" s="2">
        <v>2</v>
      </c>
      <c r="L15748" s="2">
        <v>981</v>
      </c>
    </row>
    <row r="15749" spans="1:12" x14ac:dyDescent="0.25">
      <c r="A15749" s="4" t="str">
        <f>HYPERLINK("http://www.rosaceae.org/Prunus/Prunus_persica/p.persica_gdr_reftransV1_0033217","p.persica_gdr_reftransV1_0033217")</f>
        <v>p.persica_gdr_reftransV1_0033217</v>
      </c>
      <c r="B15749" s="2">
        <v>1392</v>
      </c>
      <c r="C15749" s="4" t="str">
        <f>HYPERLINK("http://www.uniprot.org/uniprot/M5XQG5","M5XQG5")</f>
        <v>M5XQG5</v>
      </c>
      <c r="D15749" s="2" t="s">
        <v>12605</v>
      </c>
      <c r="E15749" s="3">
        <v>0</v>
      </c>
      <c r="F15749" s="2">
        <v>1763</v>
      </c>
      <c r="G15749" s="2">
        <v>100</v>
      </c>
      <c r="H15749" s="2">
        <v>331</v>
      </c>
      <c r="I15749" s="2">
        <v>187</v>
      </c>
      <c r="J15749" s="2">
        <v>1179</v>
      </c>
      <c r="K15749" s="2">
        <v>1</v>
      </c>
      <c r="L15749" s="2">
        <v>331</v>
      </c>
    </row>
    <row r="15750" spans="1:12" x14ac:dyDescent="0.25">
      <c r="A15750" s="4" t="str">
        <f>HYPERLINK("http://www.rosaceae.org/Prunus/Prunus_persica/p.persica_gdr_reftransV1_0034967","p.persica_gdr_reftransV1_0034967")</f>
        <v>p.persica_gdr_reftransV1_0034967</v>
      </c>
      <c r="B15750" s="2">
        <v>3105</v>
      </c>
      <c r="C15750" s="4" t="str">
        <f>HYPERLINK("http://www.uniprot.org/uniprot/M5XSU6","M5XSU6")</f>
        <v>M5XSU6</v>
      </c>
      <c r="D15750" s="2" t="s">
        <v>12606</v>
      </c>
      <c r="E15750" s="3">
        <v>0</v>
      </c>
      <c r="F15750" s="2">
        <v>4008</v>
      </c>
      <c r="G15750" s="2">
        <v>100</v>
      </c>
      <c r="H15750" s="2">
        <v>826</v>
      </c>
      <c r="I15750" s="2">
        <v>382</v>
      </c>
      <c r="J15750" s="2">
        <v>2859</v>
      </c>
      <c r="K15750" s="2">
        <v>1</v>
      </c>
      <c r="L15750" s="2">
        <v>826</v>
      </c>
    </row>
    <row r="15751" spans="1:12" x14ac:dyDescent="0.25">
      <c r="A15751" s="4" t="str">
        <f>HYPERLINK("http://www.rosaceae.org/Prunus/Prunus_persica/p.persica_gdr_reftransV1_0036017","p.persica_gdr_reftransV1_0036017")</f>
        <v>p.persica_gdr_reftransV1_0036017</v>
      </c>
      <c r="B15751" s="2">
        <v>1108</v>
      </c>
      <c r="C15751" s="4" t="str">
        <f>HYPERLINK("http://www.uniprot.org/uniprot/M5WZP0","M5WZP0")</f>
        <v>M5WZP0</v>
      </c>
      <c r="D15751" s="2" t="s">
        <v>5773</v>
      </c>
      <c r="E15751" s="3">
        <v>0</v>
      </c>
      <c r="F15751" s="2">
        <v>1408</v>
      </c>
      <c r="G15751" s="2">
        <v>91</v>
      </c>
      <c r="H15751" s="2">
        <v>291</v>
      </c>
      <c r="I15751" s="2">
        <v>236</v>
      </c>
      <c r="J15751" s="2">
        <v>1108</v>
      </c>
      <c r="K15751" s="2">
        <v>1</v>
      </c>
      <c r="L15751" s="2">
        <v>264</v>
      </c>
    </row>
    <row r="15752" spans="1:12" x14ac:dyDescent="0.25">
      <c r="A15752" s="4" t="str">
        <f>HYPERLINK("http://www.rosaceae.org/Prunus/Prunus_persica/p.persica_gdr_reftransV1_0037067","p.persica_gdr_reftransV1_0037067")</f>
        <v>p.persica_gdr_reftransV1_0037067</v>
      </c>
      <c r="B15752" s="2">
        <v>1798</v>
      </c>
      <c r="C15752" s="4" t="str">
        <f>HYPERLINK("http://www.uniprot.org/uniprot/M5WIZ5","M5WIZ5")</f>
        <v>M5WIZ5</v>
      </c>
      <c r="D15752" s="2" t="s">
        <v>6279</v>
      </c>
      <c r="E15752" s="3">
        <v>0</v>
      </c>
      <c r="F15752" s="2">
        <v>1406</v>
      </c>
      <c r="G15752" s="2">
        <v>100</v>
      </c>
      <c r="H15752" s="2">
        <v>336</v>
      </c>
      <c r="I15752" s="2">
        <v>676</v>
      </c>
      <c r="J15752" s="2">
        <v>1683</v>
      </c>
      <c r="K15752" s="2">
        <v>1</v>
      </c>
      <c r="L15752" s="2">
        <v>336</v>
      </c>
    </row>
    <row r="15753" spans="1:12" x14ac:dyDescent="0.25">
      <c r="A15753" s="4" t="str">
        <f>HYPERLINK("http://www.rosaceae.org/Prunus/Prunus_persica/p.persica_gdr_reftransV1_0038117","p.persica_gdr_reftransV1_0038117")</f>
        <v>p.persica_gdr_reftransV1_0038117</v>
      </c>
      <c r="B15753" s="2">
        <v>1845</v>
      </c>
      <c r="C15753" s="4" t="str">
        <f>HYPERLINK("http://www.uniprot.org/uniprot/M5WSJ8","M5WSJ8")</f>
        <v>M5WSJ8</v>
      </c>
      <c r="D15753" s="2" t="s">
        <v>12607</v>
      </c>
      <c r="E15753" s="3">
        <v>1.5999999999999999E-143</v>
      </c>
      <c r="F15753" s="2">
        <v>1117</v>
      </c>
      <c r="G15753" s="2">
        <v>100</v>
      </c>
      <c r="H15753" s="2">
        <v>207</v>
      </c>
      <c r="I15753" s="2">
        <v>932</v>
      </c>
      <c r="J15753" s="2">
        <v>1552</v>
      </c>
      <c r="K15753" s="2">
        <v>204</v>
      </c>
      <c r="L15753" s="2">
        <v>410</v>
      </c>
    </row>
    <row r="15754" spans="1:12" x14ac:dyDescent="0.25">
      <c r="A15754" s="4" t="str">
        <f>HYPERLINK("http://www.rosaceae.org/Prunus/Prunus_persica/p.persica_gdr_reftransV1_0038467","p.persica_gdr_reftransV1_0038467")</f>
        <v>p.persica_gdr_reftransV1_0038467</v>
      </c>
      <c r="B15754" s="2">
        <v>2344</v>
      </c>
      <c r="C15754" s="4" t="str">
        <f>HYPERLINK("http://www.uniprot.org/uniprot/M5XF86","M5XF86")</f>
        <v>M5XF86</v>
      </c>
      <c r="D15754" s="2" t="s">
        <v>12608</v>
      </c>
      <c r="E15754" s="3">
        <v>0</v>
      </c>
      <c r="F15754" s="2">
        <v>2579</v>
      </c>
      <c r="G15754" s="2">
        <v>93</v>
      </c>
      <c r="H15754" s="2">
        <v>568</v>
      </c>
      <c r="I15754" s="2">
        <v>331</v>
      </c>
      <c r="J15754" s="2">
        <v>2034</v>
      </c>
      <c r="K15754" s="2">
        <v>1</v>
      </c>
      <c r="L15754" s="2">
        <v>542</v>
      </c>
    </row>
    <row r="15755" spans="1:12" x14ac:dyDescent="0.25">
      <c r="A15755" s="4" t="str">
        <f>HYPERLINK("http://www.rosaceae.org/Prunus/Prunus_persica/p.persica_gdr_reftransV1_0039167","p.persica_gdr_reftransV1_0039167")</f>
        <v>p.persica_gdr_reftransV1_0039167</v>
      </c>
      <c r="B15755" s="2">
        <v>3117</v>
      </c>
      <c r="C15755" s="4" t="str">
        <f>HYPERLINK("http://www.uniprot.org/uniprot/M5XCI6","M5XCI6")</f>
        <v>M5XCI6</v>
      </c>
      <c r="D15755" s="2" t="s">
        <v>12609</v>
      </c>
      <c r="E15755" s="3">
        <v>7.3100000000000004E-155</v>
      </c>
      <c r="F15755" s="2">
        <v>1229</v>
      </c>
      <c r="G15755" s="2">
        <v>100</v>
      </c>
      <c r="H15755" s="2">
        <v>281</v>
      </c>
      <c r="I15755" s="2">
        <v>1571</v>
      </c>
      <c r="J15755" s="2">
        <v>2413</v>
      </c>
      <c r="K15755" s="2">
        <v>18</v>
      </c>
      <c r="L15755" s="2">
        <v>298</v>
      </c>
    </row>
    <row r="15756" spans="1:12" x14ac:dyDescent="0.25">
      <c r="A15756" s="4" t="str">
        <f>HYPERLINK("http://www.rosaceae.org/Prunus/Prunus_persica/p.persica_gdr_reftransV1_0039867","p.persica_gdr_reftransV1_0039867")</f>
        <v>p.persica_gdr_reftransV1_0039867</v>
      </c>
      <c r="B15756" s="2">
        <v>3251</v>
      </c>
      <c r="C15756" s="4" t="str">
        <f>HYPERLINK("http://www.uniprot.org/uniprot/M5XGS8","M5XGS8")</f>
        <v>M5XGS8</v>
      </c>
      <c r="D15756" s="2" t="s">
        <v>12610</v>
      </c>
      <c r="E15756" s="3">
        <v>0</v>
      </c>
      <c r="F15756" s="2">
        <v>4585</v>
      </c>
      <c r="G15756" s="2">
        <v>100</v>
      </c>
      <c r="H15756" s="2">
        <v>921</v>
      </c>
      <c r="I15756" s="2">
        <v>227</v>
      </c>
      <c r="J15756" s="2">
        <v>2989</v>
      </c>
      <c r="K15756" s="2">
        <v>1</v>
      </c>
      <c r="L15756" s="2">
        <v>921</v>
      </c>
    </row>
    <row r="15757" spans="1:12" x14ac:dyDescent="0.25">
      <c r="A15757" s="4" t="str">
        <f>HYPERLINK("http://www.rosaceae.org/Prunus/Prunus_persica/p.persica_gdr_reftransV1_0041617","p.persica_gdr_reftransV1_0041617")</f>
        <v>p.persica_gdr_reftransV1_0041617</v>
      </c>
      <c r="B15757" s="2">
        <v>1870</v>
      </c>
      <c r="C15757" s="4" t="str">
        <f>HYPERLINK("http://www.uniprot.org/uniprot/M5WM18","M5WM18")</f>
        <v>M5WM18</v>
      </c>
      <c r="D15757" s="2" t="s">
        <v>12611</v>
      </c>
      <c r="E15757" s="3">
        <v>0</v>
      </c>
      <c r="F15757" s="2">
        <v>2075</v>
      </c>
      <c r="G15757" s="2">
        <v>100</v>
      </c>
      <c r="H15757" s="2">
        <v>466</v>
      </c>
      <c r="I15757" s="2">
        <v>386</v>
      </c>
      <c r="J15757" s="2">
        <v>1783</v>
      </c>
      <c r="K15757" s="2">
        <v>1</v>
      </c>
      <c r="L15757" s="2">
        <v>466</v>
      </c>
    </row>
    <row r="15758" spans="1:12" x14ac:dyDescent="0.25">
      <c r="A15758" s="4" t="str">
        <f>HYPERLINK("http://www.rosaceae.org/Prunus/Prunus_persica/p.persica_gdr_reftransV1_0042667","p.persica_gdr_reftransV1_0042667")</f>
        <v>p.persica_gdr_reftransV1_0042667</v>
      </c>
      <c r="B15758" s="2">
        <v>2660</v>
      </c>
      <c r="C15758" s="4" t="str">
        <f>HYPERLINK("http://www.uniprot.org/uniprot/M5WFR5","M5WFR5")</f>
        <v>M5WFR5</v>
      </c>
      <c r="D15758" s="2" t="s">
        <v>12612</v>
      </c>
      <c r="E15758" s="3">
        <v>0</v>
      </c>
      <c r="F15758" s="2">
        <v>2318</v>
      </c>
      <c r="G15758" s="2">
        <v>91</v>
      </c>
      <c r="H15758" s="2">
        <v>514</v>
      </c>
      <c r="I15758" s="2">
        <v>153</v>
      </c>
      <c r="J15758" s="2">
        <v>1643</v>
      </c>
      <c r="K15758" s="2">
        <v>15</v>
      </c>
      <c r="L15758" s="2">
        <v>527</v>
      </c>
    </row>
    <row r="15759" spans="1:12" x14ac:dyDescent="0.25">
      <c r="A15759" s="4" t="str">
        <f>HYPERLINK("http://www.rosaceae.org/Prunus/Prunus_persica/p.persica_gdr_reftransV1_0043017","p.persica_gdr_reftransV1_0043017")</f>
        <v>p.persica_gdr_reftransV1_0043017</v>
      </c>
      <c r="B15759" s="2">
        <v>1220</v>
      </c>
      <c r="C15759" s="4" t="str">
        <f>HYPERLINK("http://www.uniprot.org/uniprot/M5WE56","M5WE56")</f>
        <v>M5WE56</v>
      </c>
      <c r="D15759" s="2" t="s">
        <v>12613</v>
      </c>
      <c r="E15759" s="3">
        <v>8.4399999999999997E-75</v>
      </c>
      <c r="F15759" s="2">
        <v>630</v>
      </c>
      <c r="G15759" s="2">
        <v>97</v>
      </c>
      <c r="H15759" s="2">
        <v>122</v>
      </c>
      <c r="I15759" s="2">
        <v>713</v>
      </c>
      <c r="J15759" s="2">
        <v>1078</v>
      </c>
      <c r="K15759" s="2">
        <v>191</v>
      </c>
      <c r="L15759" s="2">
        <v>312</v>
      </c>
    </row>
    <row r="15760" spans="1:12" x14ac:dyDescent="0.25">
      <c r="A15760" s="4" t="str">
        <f>HYPERLINK("http://www.rosaceae.org/Prunus/Prunus_persica/p.persica_gdr_reftransV1_0043367","p.persica_gdr_reftransV1_0043367")</f>
        <v>p.persica_gdr_reftransV1_0043367</v>
      </c>
      <c r="B15760" s="2">
        <v>549</v>
      </c>
      <c r="C15760" s="4" t="str">
        <f>HYPERLINK("http://www.uniprot.org/uniprot/M5XJ67","M5XJ67")</f>
        <v>M5XJ67</v>
      </c>
      <c r="D15760" s="2" t="s">
        <v>12614</v>
      </c>
      <c r="E15760" s="3">
        <v>2.55E-8</v>
      </c>
      <c r="F15760" s="2">
        <v>138</v>
      </c>
      <c r="G15760" s="2">
        <v>68</v>
      </c>
      <c r="H15760" s="2">
        <v>44</v>
      </c>
      <c r="I15760" s="2">
        <v>89</v>
      </c>
      <c r="J15760" s="2">
        <v>220</v>
      </c>
      <c r="K15760" s="2">
        <v>25</v>
      </c>
      <c r="L15760" s="2">
        <v>67</v>
      </c>
    </row>
    <row r="15761" spans="1:12" x14ac:dyDescent="0.25">
      <c r="A15761" s="4" t="str">
        <f>HYPERLINK("http://www.rosaceae.org/Prunus/Prunus_persica/p.persica_gdr_reftransV1_0043717","p.persica_gdr_reftransV1_0043717")</f>
        <v>p.persica_gdr_reftransV1_0043717</v>
      </c>
      <c r="B15761" s="2">
        <v>359</v>
      </c>
      <c r="C15761" s="4" t="str">
        <f>HYPERLINK("http://www.uniprot.org/uniprot/M5WE85","M5WE85")</f>
        <v>M5WE85</v>
      </c>
      <c r="D15761" s="2" t="s">
        <v>1467</v>
      </c>
      <c r="E15761" s="3">
        <v>1.4499999999999999E-69</v>
      </c>
      <c r="F15761" s="2">
        <v>600</v>
      </c>
      <c r="G15761" s="2">
        <v>100</v>
      </c>
      <c r="H15761" s="2">
        <v>117</v>
      </c>
      <c r="I15761" s="2">
        <v>3</v>
      </c>
      <c r="J15761" s="2">
        <v>353</v>
      </c>
      <c r="K15761" s="2">
        <v>328</v>
      </c>
      <c r="L15761" s="2">
        <v>444</v>
      </c>
    </row>
    <row r="15762" spans="1:12" x14ac:dyDescent="0.25">
      <c r="A15762" s="4" t="str">
        <f>HYPERLINK("http://www.rosaceae.org/Prunus/Prunus_persica/p.persica_gdr_reftransV1_0044067","p.persica_gdr_reftransV1_0044067")</f>
        <v>p.persica_gdr_reftransV1_0044067</v>
      </c>
      <c r="B15762" s="2">
        <v>1325</v>
      </c>
      <c r="C15762" s="4" t="str">
        <f>HYPERLINK("http://www.uniprot.org/uniprot/M5WW91","M5WW91")</f>
        <v>M5WW91</v>
      </c>
      <c r="D15762" s="2" t="s">
        <v>12615</v>
      </c>
      <c r="E15762" s="3">
        <v>5.8700000000000003E-166</v>
      </c>
      <c r="F15762" s="2">
        <v>1242</v>
      </c>
      <c r="G15762" s="2">
        <v>100</v>
      </c>
      <c r="H15762" s="2">
        <v>347</v>
      </c>
      <c r="I15762" s="2">
        <v>57</v>
      </c>
      <c r="J15762" s="2">
        <v>1097</v>
      </c>
      <c r="K15762" s="2">
        <v>1</v>
      </c>
      <c r="L15762" s="2">
        <v>347</v>
      </c>
    </row>
    <row r="15763" spans="1:12" x14ac:dyDescent="0.25">
      <c r="A15763" s="4" t="str">
        <f>HYPERLINK("http://www.rosaceae.org/Prunus/Prunus_persica/p.persica_gdr_reftransV1_0044417","p.persica_gdr_reftransV1_0044417")</f>
        <v>p.persica_gdr_reftransV1_0044417</v>
      </c>
      <c r="B15763" s="2">
        <v>1011</v>
      </c>
      <c r="C15763" s="4" t="str">
        <f>HYPERLINK("http://www.uniprot.org/uniprot/A0A067KPN2","A0A067KPN2")</f>
        <v>A0A067KPN2</v>
      </c>
      <c r="D15763" s="2" t="s">
        <v>12616</v>
      </c>
      <c r="E15763" s="3">
        <v>6.6999999999999999E-116</v>
      </c>
      <c r="F15763" s="2">
        <v>890</v>
      </c>
      <c r="G15763" s="2">
        <v>70</v>
      </c>
      <c r="H15763" s="2">
        <v>235</v>
      </c>
      <c r="I15763" s="2">
        <v>130</v>
      </c>
      <c r="J15763" s="2">
        <v>828</v>
      </c>
      <c r="K15763" s="2">
        <v>1</v>
      </c>
      <c r="L15763" s="2">
        <v>235</v>
      </c>
    </row>
    <row r="15764" spans="1:12" x14ac:dyDescent="0.25">
      <c r="A15764" s="4" t="str">
        <f>HYPERLINK("http://www.rosaceae.org/Prunus/Prunus_persica/p.persica_gdr_reftransV1_0044767","p.persica_gdr_reftransV1_0044767")</f>
        <v>p.persica_gdr_reftransV1_0044767</v>
      </c>
      <c r="B15764" s="2">
        <v>2935</v>
      </c>
      <c r="C15764" s="4" t="str">
        <f>HYPERLINK("http://www.uniprot.org/uniprot/B9H4K8","B9H4K8")</f>
        <v>B9H4K8</v>
      </c>
      <c r="D15764" s="2" t="s">
        <v>12617</v>
      </c>
      <c r="E15764" s="3">
        <v>0</v>
      </c>
      <c r="F15764" s="2">
        <v>3843</v>
      </c>
      <c r="G15764" s="2">
        <v>80</v>
      </c>
      <c r="H15764" s="2">
        <v>899</v>
      </c>
      <c r="I15764" s="2">
        <v>244</v>
      </c>
      <c r="J15764" s="2">
        <v>2934</v>
      </c>
      <c r="K15764" s="2">
        <v>13</v>
      </c>
      <c r="L15764" s="2">
        <v>909</v>
      </c>
    </row>
    <row r="15765" spans="1:12" x14ac:dyDescent="0.25">
      <c r="A15765" s="4" t="str">
        <f>HYPERLINK("http://www.rosaceae.org/Prunus/Prunus_persica/p.persica_gdr_reftransV1_0045117","p.persica_gdr_reftransV1_0045117")</f>
        <v>p.persica_gdr_reftransV1_0045117</v>
      </c>
      <c r="B15765" s="2">
        <v>2260</v>
      </c>
      <c r="C15765" s="4" t="str">
        <f>HYPERLINK("http://www.uniprot.org/uniprot/M5W8G6","M5W8G6")</f>
        <v>M5W8G6</v>
      </c>
      <c r="D15765" s="2" t="s">
        <v>12618</v>
      </c>
      <c r="E15765" s="3">
        <v>0</v>
      </c>
      <c r="F15765" s="2">
        <v>3338</v>
      </c>
      <c r="G15765" s="2">
        <v>100</v>
      </c>
      <c r="H15765" s="2">
        <v>648</v>
      </c>
      <c r="I15765" s="2">
        <v>316</v>
      </c>
      <c r="J15765" s="2">
        <v>2259</v>
      </c>
      <c r="K15765" s="2">
        <v>70</v>
      </c>
      <c r="L15765" s="2">
        <v>717</v>
      </c>
    </row>
    <row r="15766" spans="1:12" x14ac:dyDescent="0.25">
      <c r="A15766" s="4" t="str">
        <f>HYPERLINK("http://www.rosaceae.org/Prunus/Prunus_persica/p.persica_gdr_reftransV1_0045467","p.persica_gdr_reftransV1_0045467")</f>
        <v>p.persica_gdr_reftransV1_0045467</v>
      </c>
      <c r="B15766" s="2">
        <v>1108</v>
      </c>
      <c r="C15766" s="4" t="str">
        <f>HYPERLINK("http://www.uniprot.org/uniprot/M5VXR4","M5VXR4")</f>
        <v>M5VXR4</v>
      </c>
      <c r="D15766" s="2" t="s">
        <v>12619</v>
      </c>
      <c r="E15766" s="3">
        <v>6.3299999999999999E-128</v>
      </c>
      <c r="F15766" s="2">
        <v>969</v>
      </c>
      <c r="G15766" s="2">
        <v>100</v>
      </c>
      <c r="H15766" s="2">
        <v>198</v>
      </c>
      <c r="I15766" s="2">
        <v>378</v>
      </c>
      <c r="J15766" s="2">
        <v>971</v>
      </c>
      <c r="K15766" s="2">
        <v>1</v>
      </c>
      <c r="L15766" s="2">
        <v>198</v>
      </c>
    </row>
    <row r="15767" spans="1:12" x14ac:dyDescent="0.25">
      <c r="A15767" s="4" t="str">
        <f>HYPERLINK("http://www.rosaceae.org/Prunus/Prunus_persica/p.persica_gdr_reftransV1_0046517","p.persica_gdr_reftransV1_0046517")</f>
        <v>p.persica_gdr_reftransV1_0046517</v>
      </c>
      <c r="B15767" s="2">
        <v>1007</v>
      </c>
      <c r="C15767" s="4" t="str">
        <f>HYPERLINK("http://www.uniprot.org/uniprot/M5X6X2","M5X6X2")</f>
        <v>M5X6X2</v>
      </c>
      <c r="D15767" s="2" t="s">
        <v>7087</v>
      </c>
      <c r="E15767" s="3">
        <v>0</v>
      </c>
      <c r="F15767" s="2">
        <v>1423</v>
      </c>
      <c r="G15767" s="2">
        <v>87</v>
      </c>
      <c r="H15767" s="2">
        <v>309</v>
      </c>
      <c r="I15767" s="2">
        <v>1</v>
      </c>
      <c r="J15767" s="2">
        <v>927</v>
      </c>
      <c r="K15767" s="2">
        <v>1</v>
      </c>
      <c r="L15767" s="2">
        <v>307</v>
      </c>
    </row>
    <row r="15768" spans="1:12" x14ac:dyDescent="0.25">
      <c r="A15768" s="4" t="str">
        <f>HYPERLINK("http://www.rosaceae.org/Prunus/Prunus_persica/p.persica_gdr_reftransV1_0046867","p.persica_gdr_reftransV1_0046867")</f>
        <v>p.persica_gdr_reftransV1_0046867</v>
      </c>
      <c r="B15768" s="2">
        <v>1309</v>
      </c>
      <c r="C15768" s="4" t="str">
        <f>HYPERLINK("http://www.uniprot.org/uniprot/M5W2P8","M5W2P8")</f>
        <v>M5W2P8</v>
      </c>
      <c r="D15768" s="2" t="s">
        <v>12620</v>
      </c>
      <c r="E15768" s="3">
        <v>0</v>
      </c>
      <c r="F15768" s="2">
        <v>1430</v>
      </c>
      <c r="G15768" s="2">
        <v>100</v>
      </c>
      <c r="H15768" s="2">
        <v>295</v>
      </c>
      <c r="I15768" s="2">
        <v>118</v>
      </c>
      <c r="J15768" s="2">
        <v>1002</v>
      </c>
      <c r="K15768" s="2">
        <v>1</v>
      </c>
      <c r="L15768" s="2">
        <v>295</v>
      </c>
    </row>
    <row r="15769" spans="1:12" x14ac:dyDescent="0.25">
      <c r="A15769" s="4" t="str">
        <f>HYPERLINK("http://www.rosaceae.org/Prunus/Prunus_persica/p.persica_gdr_reftransV1_0047217","p.persica_gdr_reftransV1_0047217")</f>
        <v>p.persica_gdr_reftransV1_0047217</v>
      </c>
      <c r="B15769" s="2">
        <v>604</v>
      </c>
      <c r="C15769" s="4" t="str">
        <f>HYPERLINK("http://www.uniprot.org/uniprot/M5W2I5","M5W2I5")</f>
        <v>M5W2I5</v>
      </c>
      <c r="D15769" s="2" t="s">
        <v>1380</v>
      </c>
      <c r="E15769" s="3">
        <v>7.6900000000000006E-114</v>
      </c>
      <c r="F15769" s="2">
        <v>868</v>
      </c>
      <c r="G15769" s="2">
        <v>84</v>
      </c>
      <c r="H15769" s="2">
        <v>204</v>
      </c>
      <c r="I15769" s="2">
        <v>2</v>
      </c>
      <c r="J15769" s="2">
        <v>604</v>
      </c>
      <c r="K15769" s="2">
        <v>27</v>
      </c>
      <c r="L15769" s="2">
        <v>202</v>
      </c>
    </row>
    <row r="15770" spans="1:12" x14ac:dyDescent="0.25">
      <c r="A15770" s="4" t="str">
        <f>HYPERLINK("http://www.rosaceae.org/Prunus/Prunus_persica/p.persica_gdr_reftransV1_0047567","p.persica_gdr_reftransV1_0047567")</f>
        <v>p.persica_gdr_reftransV1_0047567</v>
      </c>
      <c r="B15770" s="2">
        <v>1172</v>
      </c>
      <c r="C15770" s="4" t="str">
        <f>HYPERLINK("http://www.uniprot.org/uniprot/A0A061E173","A0A061E173")</f>
        <v>A0A061E173</v>
      </c>
      <c r="D15770" s="2" t="s">
        <v>12621</v>
      </c>
      <c r="E15770" s="3">
        <v>5.2400000000000001E-74</v>
      </c>
      <c r="F15770" s="2">
        <v>615</v>
      </c>
      <c r="G15770" s="2">
        <v>61</v>
      </c>
      <c r="H15770" s="2">
        <v>225</v>
      </c>
      <c r="I15770" s="2">
        <v>349</v>
      </c>
      <c r="J15770" s="2">
        <v>1011</v>
      </c>
      <c r="K15770" s="2">
        <v>1</v>
      </c>
      <c r="L15770" s="2">
        <v>219</v>
      </c>
    </row>
    <row r="15771" spans="1:12" x14ac:dyDescent="0.25">
      <c r="A15771" s="4" t="str">
        <f>HYPERLINK("http://www.rosaceae.org/Prunus/Prunus_persica/p.persica_gdr_reftransV1_0047917","p.persica_gdr_reftransV1_0047917")</f>
        <v>p.persica_gdr_reftransV1_0047917</v>
      </c>
      <c r="B15771" s="2">
        <v>3009</v>
      </c>
      <c r="C15771" s="4" t="str">
        <f>HYPERLINK("http://www.uniprot.org/uniprot/M5X3G1","M5X3G1")</f>
        <v>M5X3G1</v>
      </c>
      <c r="D15771" s="2" t="s">
        <v>6637</v>
      </c>
      <c r="E15771" s="3">
        <v>0</v>
      </c>
      <c r="F15771" s="2">
        <v>1975</v>
      </c>
      <c r="G15771" s="2">
        <v>100</v>
      </c>
      <c r="H15771" s="2">
        <v>420</v>
      </c>
      <c r="I15771" s="2">
        <v>1574</v>
      </c>
      <c r="J15771" s="2">
        <v>2833</v>
      </c>
      <c r="K15771" s="2">
        <v>1</v>
      </c>
      <c r="L15771" s="2">
        <v>420</v>
      </c>
    </row>
    <row r="15772" spans="1:12" x14ac:dyDescent="0.25">
      <c r="A15772" s="4" t="str">
        <f>HYPERLINK("http://www.rosaceae.org/Prunus/Prunus_persica/p.persica_gdr_reftransV1_0048267","p.persica_gdr_reftransV1_0048267")</f>
        <v>p.persica_gdr_reftransV1_0048267</v>
      </c>
      <c r="B15772" s="2">
        <v>491</v>
      </c>
      <c r="C15772" s="4" t="str">
        <f>HYPERLINK("http://www.uniprot.org/uniprot/B6CQS3","B6CQS3")</f>
        <v>B6CQS3</v>
      </c>
      <c r="D15772" s="2" t="s">
        <v>7973</v>
      </c>
      <c r="E15772" s="3">
        <v>2.1599999999999999E-86</v>
      </c>
      <c r="F15772" s="2">
        <v>669</v>
      </c>
      <c r="G15772" s="2">
        <v>100</v>
      </c>
      <c r="H15772" s="2">
        <v>131</v>
      </c>
      <c r="I15772" s="2">
        <v>97</v>
      </c>
      <c r="J15772" s="2">
        <v>489</v>
      </c>
      <c r="K15772" s="2">
        <v>1</v>
      </c>
      <c r="L15772" s="2">
        <v>131</v>
      </c>
    </row>
    <row r="15773" spans="1:12" x14ac:dyDescent="0.25">
      <c r="A15773" s="4" t="str">
        <f>HYPERLINK("http://www.rosaceae.org/Prunus/Prunus_persica/p.persica_gdr_reftransV1_0048617","p.persica_gdr_reftransV1_0048617")</f>
        <v>p.persica_gdr_reftransV1_0048617</v>
      </c>
      <c r="B15773" s="2">
        <v>1412</v>
      </c>
      <c r="C15773" s="4" t="str">
        <f>HYPERLINK("http://www.uniprot.org/uniprot/M5XH00","M5XH00")</f>
        <v>M5XH00</v>
      </c>
      <c r="D15773" s="2" t="s">
        <v>10735</v>
      </c>
      <c r="E15773" s="3">
        <v>0</v>
      </c>
      <c r="F15773" s="2">
        <v>1409</v>
      </c>
      <c r="G15773" s="2">
        <v>93</v>
      </c>
      <c r="H15773" s="2">
        <v>286</v>
      </c>
      <c r="I15773" s="2">
        <v>197</v>
      </c>
      <c r="J15773" s="2">
        <v>1054</v>
      </c>
      <c r="K15773" s="2">
        <v>77</v>
      </c>
      <c r="L15773" s="2">
        <v>345</v>
      </c>
    </row>
    <row r="15774" spans="1:12" x14ac:dyDescent="0.25">
      <c r="A15774" s="4" t="str">
        <f>HYPERLINK("http://www.rosaceae.org/Prunus/Prunus_persica/p.persica_gdr_reftransV1_0048967","p.persica_gdr_reftransV1_0048967")</f>
        <v>p.persica_gdr_reftransV1_0048967</v>
      </c>
      <c r="B15774" s="2">
        <v>3522</v>
      </c>
      <c r="C15774" s="4" t="str">
        <f>HYPERLINK("http://www.uniprot.org/uniprot/M5Y423","M5Y423")</f>
        <v>M5Y423</v>
      </c>
      <c r="D15774" s="2" t="s">
        <v>38</v>
      </c>
      <c r="E15774" s="3">
        <v>0</v>
      </c>
      <c r="F15774" s="2">
        <v>4785</v>
      </c>
      <c r="G15774" s="2">
        <v>99</v>
      </c>
      <c r="H15774" s="2">
        <v>941</v>
      </c>
      <c r="I15774" s="2">
        <v>249</v>
      </c>
      <c r="J15774" s="2">
        <v>3071</v>
      </c>
      <c r="K15774" s="2">
        <v>1</v>
      </c>
      <c r="L15774" s="2">
        <v>934</v>
      </c>
    </row>
    <row r="15775" spans="1:12" x14ac:dyDescent="0.25">
      <c r="A15775" s="4" t="str">
        <f>HYPERLINK("http://www.rosaceae.org/Prunus/Prunus_persica/p.persica_gdr_reftransV1_0000318","p.persica_gdr_reftransV1_0000318")</f>
        <v>p.persica_gdr_reftransV1_0000318</v>
      </c>
      <c r="B15775" s="2">
        <v>458</v>
      </c>
      <c r="C15775" s="4" t="str">
        <f>HYPERLINK("http://www.uniprot.org/uniprot/M5XN55","M5XN55")</f>
        <v>M5XN55</v>
      </c>
      <c r="D15775" s="2" t="s">
        <v>494</v>
      </c>
      <c r="E15775" s="3">
        <v>1.4400000000000001E-60</v>
      </c>
      <c r="F15775" s="2">
        <v>520</v>
      </c>
      <c r="G15775" s="2">
        <v>94</v>
      </c>
      <c r="H15775" s="2">
        <v>127</v>
      </c>
      <c r="I15775" s="2">
        <v>48</v>
      </c>
      <c r="J15775" s="2">
        <v>428</v>
      </c>
      <c r="K15775" s="2">
        <v>1</v>
      </c>
      <c r="L15775" s="2">
        <v>127</v>
      </c>
    </row>
    <row r="15776" spans="1:12" x14ac:dyDescent="0.25">
      <c r="A15776" s="4" t="str">
        <f>HYPERLINK("http://www.rosaceae.org/Prunus/Prunus_persica/p.persica_gdr_reftransV1_0000668","p.persica_gdr_reftransV1_0000668")</f>
        <v>p.persica_gdr_reftransV1_0000668</v>
      </c>
      <c r="B15776" s="2">
        <v>1629</v>
      </c>
      <c r="C15776" s="4" t="str">
        <f>HYPERLINK("http://www.uniprot.org/uniprot/M5VPZ5","M5VPZ5")</f>
        <v>M5VPZ5</v>
      </c>
      <c r="D15776" s="2" t="s">
        <v>12622</v>
      </c>
      <c r="E15776" s="3">
        <v>0</v>
      </c>
      <c r="F15776" s="2">
        <v>1290</v>
      </c>
      <c r="G15776" s="2">
        <v>100</v>
      </c>
      <c r="H15776" s="2">
        <v>262</v>
      </c>
      <c r="I15776" s="2">
        <v>20</v>
      </c>
      <c r="J15776" s="2">
        <v>805</v>
      </c>
      <c r="K15776" s="2">
        <v>1</v>
      </c>
      <c r="L15776" s="2">
        <v>262</v>
      </c>
    </row>
    <row r="15777" spans="1:12" x14ac:dyDescent="0.25">
      <c r="A15777" s="4" t="str">
        <f>HYPERLINK("http://www.rosaceae.org/Prunus/Prunus_persica/p.persica_gdr_reftransV1_0001018","p.persica_gdr_reftransV1_0001018")</f>
        <v>p.persica_gdr_reftransV1_0001018</v>
      </c>
      <c r="B15777" s="2">
        <v>305</v>
      </c>
      <c r="C15777" s="4" t="str">
        <f>HYPERLINK("http://www.uniprot.org/uniprot/M5X225","M5X225")</f>
        <v>M5X225</v>
      </c>
      <c r="D15777" s="2" t="s">
        <v>12623</v>
      </c>
      <c r="E15777" s="3">
        <v>4.6399999999999997E-64</v>
      </c>
      <c r="F15777" s="2">
        <v>529</v>
      </c>
      <c r="G15777" s="2">
        <v>100</v>
      </c>
      <c r="H15777" s="2">
        <v>101</v>
      </c>
      <c r="I15777" s="2">
        <v>2</v>
      </c>
      <c r="J15777" s="2">
        <v>304</v>
      </c>
      <c r="K15777" s="2">
        <v>62</v>
      </c>
      <c r="L15777" s="2">
        <v>162</v>
      </c>
    </row>
    <row r="15778" spans="1:12" x14ac:dyDescent="0.25">
      <c r="A15778" s="4" t="str">
        <f>HYPERLINK("http://www.rosaceae.org/Prunus/Prunus_persica/p.persica_gdr_reftransV1_0001368","p.persica_gdr_reftransV1_0001368")</f>
        <v>p.persica_gdr_reftransV1_0001368</v>
      </c>
      <c r="B15778" s="2">
        <v>2106</v>
      </c>
      <c r="C15778" s="4" t="str">
        <f>HYPERLINK("http://www.uniprot.org/uniprot/M5XV35","M5XV35")</f>
        <v>M5XV35</v>
      </c>
      <c r="D15778" s="2" t="s">
        <v>12624</v>
      </c>
      <c r="E15778" s="3">
        <v>0</v>
      </c>
      <c r="F15778" s="2">
        <v>3045</v>
      </c>
      <c r="G15778" s="2">
        <v>96</v>
      </c>
      <c r="H15778" s="2">
        <v>602</v>
      </c>
      <c r="I15778" s="2">
        <v>145</v>
      </c>
      <c r="J15778" s="2">
        <v>1923</v>
      </c>
      <c r="K15778" s="2">
        <v>1</v>
      </c>
      <c r="L15778" s="2">
        <v>588</v>
      </c>
    </row>
    <row r="15779" spans="1:12" x14ac:dyDescent="0.25">
      <c r="A15779" s="4" t="str">
        <f>HYPERLINK("http://www.rosaceae.org/Prunus/Prunus_persica/p.persica_gdr_reftransV1_0001718","p.persica_gdr_reftransV1_0001718")</f>
        <v>p.persica_gdr_reftransV1_0001718</v>
      </c>
      <c r="B15779" s="2">
        <v>1703</v>
      </c>
      <c r="C15779" s="4" t="str">
        <f>HYPERLINK("http://www.uniprot.org/uniprot/M5X7G6","M5X7G6")</f>
        <v>M5X7G6</v>
      </c>
      <c r="D15779" s="2" t="s">
        <v>787</v>
      </c>
      <c r="E15779" s="3">
        <v>0</v>
      </c>
      <c r="F15779" s="2">
        <v>1915</v>
      </c>
      <c r="G15779" s="2">
        <v>100</v>
      </c>
      <c r="H15779" s="2">
        <v>391</v>
      </c>
      <c r="I15779" s="2">
        <v>402</v>
      </c>
      <c r="J15779" s="2">
        <v>1574</v>
      </c>
      <c r="K15779" s="2">
        <v>1</v>
      </c>
      <c r="L15779" s="2">
        <v>391</v>
      </c>
    </row>
    <row r="15780" spans="1:12" x14ac:dyDescent="0.25">
      <c r="A15780" s="4" t="str">
        <f>HYPERLINK("http://www.rosaceae.org/Prunus/Prunus_persica/p.persica_gdr_reftransV1_0002068","p.persica_gdr_reftransV1_0002068")</f>
        <v>p.persica_gdr_reftransV1_0002068</v>
      </c>
      <c r="B15780" s="2">
        <v>419</v>
      </c>
      <c r="C15780" s="4" t="str">
        <f>HYPERLINK("http://www.uniprot.org/uniprot/M5XMC0","M5XMC0")</f>
        <v>M5XMC0</v>
      </c>
      <c r="D15780" s="2" t="s">
        <v>9569</v>
      </c>
      <c r="E15780" s="3">
        <v>4.1200000000000002E-75</v>
      </c>
      <c r="F15780" s="2">
        <v>621</v>
      </c>
      <c r="G15780" s="2">
        <v>100</v>
      </c>
      <c r="H15780" s="2">
        <v>124</v>
      </c>
      <c r="I15780" s="2">
        <v>47</v>
      </c>
      <c r="J15780" s="2">
        <v>418</v>
      </c>
      <c r="K15780" s="2">
        <v>34</v>
      </c>
      <c r="L15780" s="2">
        <v>157</v>
      </c>
    </row>
    <row r="15781" spans="1:12" x14ac:dyDescent="0.25">
      <c r="A15781" s="4" t="str">
        <f>HYPERLINK("http://www.rosaceae.org/Prunus/Prunus_persica/p.persica_gdr_reftransV1_0002418","p.persica_gdr_reftransV1_0002418")</f>
        <v>p.persica_gdr_reftransV1_0002418</v>
      </c>
      <c r="B15781" s="2">
        <v>917</v>
      </c>
      <c r="C15781" s="4" t="str">
        <f>HYPERLINK("http://www.uniprot.org/uniprot/M5W3I2","M5W3I2")</f>
        <v>M5W3I2</v>
      </c>
      <c r="D15781" s="2" t="s">
        <v>12625</v>
      </c>
      <c r="E15781" s="3">
        <v>8.19E-99</v>
      </c>
      <c r="F15781" s="2">
        <v>769</v>
      </c>
      <c r="G15781" s="2">
        <v>95</v>
      </c>
      <c r="H15781" s="2">
        <v>191</v>
      </c>
      <c r="I15781" s="2">
        <v>203</v>
      </c>
      <c r="J15781" s="2">
        <v>751</v>
      </c>
      <c r="K15781" s="2">
        <v>1</v>
      </c>
      <c r="L15781" s="2">
        <v>191</v>
      </c>
    </row>
    <row r="15782" spans="1:12" x14ac:dyDescent="0.25">
      <c r="A15782" s="4" t="str">
        <f>HYPERLINK("http://www.rosaceae.org/Prunus/Prunus_persica/p.persica_gdr_reftransV1_0003118","p.persica_gdr_reftransV1_0003118")</f>
        <v>p.persica_gdr_reftransV1_0003118</v>
      </c>
      <c r="B15782" s="2">
        <v>2707</v>
      </c>
      <c r="C15782" s="4" t="str">
        <f>HYPERLINK("http://www.uniprot.org/uniprot/M5XA51","M5XA51")</f>
        <v>M5XA51</v>
      </c>
      <c r="D15782" s="2" t="s">
        <v>2550</v>
      </c>
      <c r="E15782" s="3">
        <v>0</v>
      </c>
      <c r="F15782" s="2">
        <v>1773</v>
      </c>
      <c r="G15782" s="2">
        <v>100</v>
      </c>
      <c r="H15782" s="2">
        <v>344</v>
      </c>
      <c r="I15782" s="2">
        <v>1676</v>
      </c>
      <c r="J15782" s="2">
        <v>2707</v>
      </c>
      <c r="K15782" s="2">
        <v>78</v>
      </c>
      <c r="L15782" s="2">
        <v>421</v>
      </c>
    </row>
    <row r="15783" spans="1:12" x14ac:dyDescent="0.25">
      <c r="A15783" s="4" t="str">
        <f>HYPERLINK("http://www.rosaceae.org/Prunus/Prunus_persica/p.persica_gdr_reftransV1_0004868","p.persica_gdr_reftransV1_0004868")</f>
        <v>p.persica_gdr_reftransV1_0004868</v>
      </c>
      <c r="B15783" s="2">
        <v>1205</v>
      </c>
      <c r="C15783" s="4" t="str">
        <f>HYPERLINK("http://www.uniprot.org/uniprot/M5VTX9","M5VTX9")</f>
        <v>M5VTX9</v>
      </c>
      <c r="D15783" s="2" t="s">
        <v>12626</v>
      </c>
      <c r="E15783" s="3">
        <v>0</v>
      </c>
      <c r="F15783" s="2">
        <v>1505</v>
      </c>
      <c r="G15783" s="2">
        <v>100</v>
      </c>
      <c r="H15783" s="2">
        <v>290</v>
      </c>
      <c r="I15783" s="2">
        <v>1</v>
      </c>
      <c r="J15783" s="2">
        <v>870</v>
      </c>
      <c r="K15783" s="2">
        <v>310</v>
      </c>
      <c r="L15783" s="2">
        <v>599</v>
      </c>
    </row>
    <row r="15784" spans="1:12" x14ac:dyDescent="0.25">
      <c r="A15784" s="4" t="str">
        <f>HYPERLINK("http://www.rosaceae.org/Prunus/Prunus_persica/p.persica_gdr_reftransV1_0005218","p.persica_gdr_reftransV1_0005218")</f>
        <v>p.persica_gdr_reftransV1_0005218</v>
      </c>
      <c r="B15784" s="2">
        <v>2719</v>
      </c>
      <c r="C15784" s="4" t="str">
        <f>HYPERLINK("http://www.uniprot.org/uniprot/M5X6Z4","M5X6Z4")</f>
        <v>M5X6Z4</v>
      </c>
      <c r="D15784" s="2" t="s">
        <v>12627</v>
      </c>
      <c r="E15784" s="3">
        <v>0</v>
      </c>
      <c r="F15784" s="2">
        <v>1972</v>
      </c>
      <c r="G15784" s="2">
        <v>96</v>
      </c>
      <c r="H15784" s="2">
        <v>410</v>
      </c>
      <c r="I15784" s="2">
        <v>1164</v>
      </c>
      <c r="J15784" s="2">
        <v>2393</v>
      </c>
      <c r="K15784" s="2">
        <v>289</v>
      </c>
      <c r="L15784" s="2">
        <v>687</v>
      </c>
    </row>
    <row r="15785" spans="1:12" x14ac:dyDescent="0.25">
      <c r="A15785" s="4" t="str">
        <f>HYPERLINK("http://www.rosaceae.org/Prunus/Prunus_persica/p.persica_gdr_reftransV1_0005918","p.persica_gdr_reftransV1_0005918")</f>
        <v>p.persica_gdr_reftransV1_0005918</v>
      </c>
      <c r="B15785" s="2">
        <v>3644</v>
      </c>
      <c r="C15785" s="4" t="str">
        <f>HYPERLINK("http://www.uniprot.org/uniprot/M5WEE7","M5WEE7")</f>
        <v>M5WEE7</v>
      </c>
      <c r="D15785" s="2" t="s">
        <v>12628</v>
      </c>
      <c r="E15785" s="3">
        <v>0</v>
      </c>
      <c r="F15785" s="2">
        <v>4296</v>
      </c>
      <c r="G15785" s="2">
        <v>100</v>
      </c>
      <c r="H15785" s="2">
        <v>848</v>
      </c>
      <c r="I15785" s="2">
        <v>584</v>
      </c>
      <c r="J15785" s="2">
        <v>3127</v>
      </c>
      <c r="K15785" s="2">
        <v>1</v>
      </c>
      <c r="L15785" s="2">
        <v>848</v>
      </c>
    </row>
    <row r="15786" spans="1:12" x14ac:dyDescent="0.25">
      <c r="A15786" s="4" t="str">
        <f>HYPERLINK("http://www.rosaceae.org/Prunus/Prunus_persica/p.persica_gdr_reftransV1_0006268","p.persica_gdr_reftransV1_0006268")</f>
        <v>p.persica_gdr_reftransV1_0006268</v>
      </c>
      <c r="B15786" s="2">
        <v>343</v>
      </c>
      <c r="C15786" s="4" t="str">
        <f>HYPERLINK("http://www.uniprot.org/uniprot/M5XM12","M5XM12")</f>
        <v>M5XM12</v>
      </c>
      <c r="D15786" s="2" t="s">
        <v>7032</v>
      </c>
      <c r="E15786" s="3">
        <v>2.33E-11</v>
      </c>
      <c r="F15786" s="2">
        <v>159</v>
      </c>
      <c r="G15786" s="2">
        <v>100</v>
      </c>
      <c r="H15786" s="2">
        <v>32</v>
      </c>
      <c r="I15786" s="2">
        <v>2</v>
      </c>
      <c r="J15786" s="2">
        <v>97</v>
      </c>
      <c r="K15786" s="2">
        <v>66</v>
      </c>
      <c r="L15786" s="2">
        <v>97</v>
      </c>
    </row>
    <row r="15787" spans="1:12" x14ac:dyDescent="0.25">
      <c r="A15787" s="4" t="str">
        <f>HYPERLINK("http://www.rosaceae.org/Prunus/Prunus_persica/p.persica_gdr_reftransV1_0007668","p.persica_gdr_reftransV1_0007668")</f>
        <v>p.persica_gdr_reftransV1_0007668</v>
      </c>
      <c r="B15787" s="2">
        <v>1998</v>
      </c>
      <c r="C15787" s="4" t="str">
        <f>HYPERLINK("http://www.uniprot.org/uniprot/M5XNU4","M5XNU4")</f>
        <v>M5XNU4</v>
      </c>
      <c r="D15787" s="2" t="s">
        <v>12629</v>
      </c>
      <c r="E15787" s="3">
        <v>0</v>
      </c>
      <c r="F15787" s="2">
        <v>1448</v>
      </c>
      <c r="G15787" s="2">
        <v>86</v>
      </c>
      <c r="H15787" s="2">
        <v>336</v>
      </c>
      <c r="I15787" s="2">
        <v>628</v>
      </c>
      <c r="J15787" s="2">
        <v>1635</v>
      </c>
      <c r="K15787" s="2">
        <v>124</v>
      </c>
      <c r="L15787" s="2">
        <v>418</v>
      </c>
    </row>
    <row r="15788" spans="1:12" x14ac:dyDescent="0.25">
      <c r="A15788" s="4" t="str">
        <f>HYPERLINK("http://www.rosaceae.org/Prunus/Prunus_persica/p.persica_gdr_reftransV1_0008018","p.persica_gdr_reftransV1_0008018")</f>
        <v>p.persica_gdr_reftransV1_0008018</v>
      </c>
      <c r="B15788" s="2">
        <v>1158</v>
      </c>
      <c r="C15788" s="4" t="str">
        <f>HYPERLINK("http://www.uniprot.org/uniprot/M5WFX9","M5WFX9")</f>
        <v>M5WFX9</v>
      </c>
      <c r="D15788" s="2" t="s">
        <v>9217</v>
      </c>
      <c r="E15788" s="3">
        <v>0</v>
      </c>
      <c r="F15788" s="2">
        <v>1382</v>
      </c>
      <c r="G15788" s="2">
        <v>100</v>
      </c>
      <c r="H15788" s="2">
        <v>309</v>
      </c>
      <c r="I15788" s="2">
        <v>232</v>
      </c>
      <c r="J15788" s="2">
        <v>1158</v>
      </c>
      <c r="K15788" s="2">
        <v>1</v>
      </c>
      <c r="L15788" s="2">
        <v>309</v>
      </c>
    </row>
    <row r="15789" spans="1:12" x14ac:dyDescent="0.25">
      <c r="A15789" s="4" t="str">
        <f>HYPERLINK("http://www.rosaceae.org/Prunus/Prunus_persica/p.persica_gdr_reftransV1_0008368","p.persica_gdr_reftransV1_0008368")</f>
        <v>p.persica_gdr_reftransV1_0008368</v>
      </c>
      <c r="B15789" s="2">
        <v>2290</v>
      </c>
      <c r="C15789" s="4" t="str">
        <f>HYPERLINK("http://www.uniprot.org/uniprot/M5XCL2","M5XCL2")</f>
        <v>M5XCL2</v>
      </c>
      <c r="D15789" s="2" t="s">
        <v>12630</v>
      </c>
      <c r="E15789" s="3">
        <v>0</v>
      </c>
      <c r="F15789" s="2">
        <v>3105</v>
      </c>
      <c r="G15789" s="2">
        <v>100</v>
      </c>
      <c r="H15789" s="2">
        <v>629</v>
      </c>
      <c r="I15789" s="2">
        <v>279</v>
      </c>
      <c r="J15789" s="2">
        <v>2165</v>
      </c>
      <c r="K15789" s="2">
        <v>1</v>
      </c>
      <c r="L15789" s="2">
        <v>629</v>
      </c>
    </row>
    <row r="15790" spans="1:12" x14ac:dyDescent="0.25">
      <c r="A15790" s="4" t="str">
        <f>HYPERLINK("http://www.rosaceae.org/Prunus/Prunus_persica/p.persica_gdr_reftransV1_0009068","p.persica_gdr_reftransV1_0009068")</f>
        <v>p.persica_gdr_reftransV1_0009068</v>
      </c>
      <c r="B15790" s="2">
        <v>3608</v>
      </c>
      <c r="C15790" s="4" t="str">
        <f>HYPERLINK("http://www.uniprot.org/uniprot/M5VHG2","M5VHG2")</f>
        <v>M5VHG2</v>
      </c>
      <c r="D15790" s="2" t="s">
        <v>12631</v>
      </c>
      <c r="E15790" s="3">
        <v>0</v>
      </c>
      <c r="F15790" s="2">
        <v>2736</v>
      </c>
      <c r="G15790" s="2">
        <v>98</v>
      </c>
      <c r="H15790" s="2">
        <v>600</v>
      </c>
      <c r="I15790" s="2">
        <v>353</v>
      </c>
      <c r="J15790" s="2">
        <v>2149</v>
      </c>
      <c r="K15790" s="2">
        <v>1</v>
      </c>
      <c r="L15790" s="2">
        <v>600</v>
      </c>
    </row>
    <row r="15791" spans="1:12" x14ac:dyDescent="0.25">
      <c r="A15791" s="4" t="str">
        <f>HYPERLINK("http://www.rosaceae.org/Prunus/Prunus_persica/p.persica_gdr_reftransV1_0009768","p.persica_gdr_reftransV1_0009768")</f>
        <v>p.persica_gdr_reftransV1_0009768</v>
      </c>
      <c r="B15791" s="2">
        <v>1100</v>
      </c>
      <c r="C15791" s="4" t="str">
        <f>HYPERLINK("http://www.uniprot.org/uniprot/M5VXJ2","M5VXJ2")</f>
        <v>M5VXJ2</v>
      </c>
      <c r="D15791" s="2" t="s">
        <v>12632</v>
      </c>
      <c r="E15791" s="3">
        <v>0</v>
      </c>
      <c r="F15791" s="2">
        <v>1198</v>
      </c>
      <c r="G15791" s="2">
        <v>100</v>
      </c>
      <c r="H15791" s="2">
        <v>246</v>
      </c>
      <c r="I15791" s="2">
        <v>3</v>
      </c>
      <c r="J15791" s="2">
        <v>740</v>
      </c>
      <c r="K15791" s="2">
        <v>212</v>
      </c>
      <c r="L15791" s="2">
        <v>457</v>
      </c>
    </row>
    <row r="15792" spans="1:12" x14ac:dyDescent="0.25">
      <c r="A15792" s="4" t="str">
        <f>HYPERLINK("http://www.rosaceae.org/Prunus/Prunus_persica/p.persica_gdr_reftransV1_0010818","p.persica_gdr_reftransV1_0010818")</f>
        <v>p.persica_gdr_reftransV1_0010818</v>
      </c>
      <c r="B15792" s="2">
        <v>1573</v>
      </c>
      <c r="C15792" s="4" t="str">
        <f>HYPERLINK("http://www.uniprot.org/uniprot/B6ZL94","B6ZL94")</f>
        <v>B6ZL94</v>
      </c>
      <c r="D15792" s="2" t="s">
        <v>10300</v>
      </c>
      <c r="E15792" s="3">
        <v>1.62E-108</v>
      </c>
      <c r="F15792" s="2">
        <v>862</v>
      </c>
      <c r="G15792" s="2">
        <v>100</v>
      </c>
      <c r="H15792" s="2">
        <v>163</v>
      </c>
      <c r="I15792" s="2">
        <v>123</v>
      </c>
      <c r="J15792" s="2">
        <v>611</v>
      </c>
      <c r="K15792" s="2">
        <v>1</v>
      </c>
      <c r="L15792" s="2">
        <v>163</v>
      </c>
    </row>
    <row r="15793" spans="1:12" x14ac:dyDescent="0.25">
      <c r="A15793" s="4" t="str">
        <f>HYPERLINK("http://www.rosaceae.org/Prunus/Prunus_persica/p.persica_gdr_reftransV1_0011518","p.persica_gdr_reftransV1_0011518")</f>
        <v>p.persica_gdr_reftransV1_0011518</v>
      </c>
      <c r="B15793" s="2">
        <v>1747</v>
      </c>
      <c r="C15793" s="4" t="str">
        <f>HYPERLINK("http://www.uniprot.org/uniprot/A5AKU7","A5AKU7")</f>
        <v>A5AKU7</v>
      </c>
      <c r="D15793" s="2" t="s">
        <v>12633</v>
      </c>
      <c r="E15793" s="3">
        <v>0</v>
      </c>
      <c r="F15793" s="2">
        <v>2136</v>
      </c>
      <c r="G15793" s="2">
        <v>84</v>
      </c>
      <c r="H15793" s="2">
        <v>479</v>
      </c>
      <c r="I15793" s="2">
        <v>204</v>
      </c>
      <c r="J15793" s="2">
        <v>1640</v>
      </c>
      <c r="K15793" s="2">
        <v>1</v>
      </c>
      <c r="L15793" s="2">
        <v>477</v>
      </c>
    </row>
    <row r="15794" spans="1:12" x14ac:dyDescent="0.25">
      <c r="A15794" s="4" t="str">
        <f>HYPERLINK("http://www.rosaceae.org/Prunus/Prunus_persica/p.persica_gdr_reftransV1_0013618","p.persica_gdr_reftransV1_0013618")</f>
        <v>p.persica_gdr_reftransV1_0013618</v>
      </c>
      <c r="B15794" s="2">
        <v>473</v>
      </c>
      <c r="C15794" s="4" t="str">
        <f>HYPERLINK("http://www.uniprot.org/uniprot/M5Y1W2","M5Y1W2")</f>
        <v>M5Y1W2</v>
      </c>
      <c r="D15794" s="2" t="s">
        <v>7804</v>
      </c>
      <c r="E15794" s="3">
        <v>1.13E-58</v>
      </c>
      <c r="F15794" s="2">
        <v>520</v>
      </c>
      <c r="G15794" s="2">
        <v>100</v>
      </c>
      <c r="H15794" s="2">
        <v>104</v>
      </c>
      <c r="I15794" s="2">
        <v>160</v>
      </c>
      <c r="J15794" s="2">
        <v>471</v>
      </c>
      <c r="K15794" s="2">
        <v>14</v>
      </c>
      <c r="L15794" s="2">
        <v>117</v>
      </c>
    </row>
    <row r="15795" spans="1:12" x14ac:dyDescent="0.25">
      <c r="A15795" s="4" t="str">
        <f>HYPERLINK("http://www.rosaceae.org/Prunus/Prunus_persica/p.persica_gdr_reftransV1_0014668","p.persica_gdr_reftransV1_0014668")</f>
        <v>p.persica_gdr_reftransV1_0014668</v>
      </c>
      <c r="B15795" s="2">
        <v>1883</v>
      </c>
      <c r="C15795" s="4" t="str">
        <f>HYPERLINK("http://www.uniprot.org/uniprot/M5W7S5","M5W7S5")</f>
        <v>M5W7S5</v>
      </c>
      <c r="D15795" s="2" t="s">
        <v>6151</v>
      </c>
      <c r="E15795" s="3">
        <v>0</v>
      </c>
      <c r="F15795" s="2">
        <v>2137</v>
      </c>
      <c r="G15795" s="2">
        <v>100</v>
      </c>
      <c r="H15795" s="2">
        <v>444</v>
      </c>
      <c r="I15795" s="2">
        <v>146</v>
      </c>
      <c r="J15795" s="2">
        <v>1477</v>
      </c>
      <c r="K15795" s="2">
        <v>1</v>
      </c>
      <c r="L15795" s="2">
        <v>444</v>
      </c>
    </row>
    <row r="15796" spans="1:12" x14ac:dyDescent="0.25">
      <c r="A15796" s="4" t="str">
        <f>HYPERLINK("http://www.rosaceae.org/Prunus/Prunus_persica/p.persica_gdr_reftransV1_0015018","p.persica_gdr_reftransV1_0015018")</f>
        <v>p.persica_gdr_reftransV1_0015018</v>
      </c>
      <c r="B15796" s="2">
        <v>1801</v>
      </c>
      <c r="C15796" s="4" t="str">
        <f>HYPERLINK("http://www.uniprot.org/uniprot/M5WG81","M5WG81")</f>
        <v>M5WG81</v>
      </c>
      <c r="D15796" s="2" t="s">
        <v>12634</v>
      </c>
      <c r="E15796" s="3">
        <v>0</v>
      </c>
      <c r="F15796" s="2">
        <v>1738</v>
      </c>
      <c r="G15796" s="2">
        <v>100</v>
      </c>
      <c r="H15796" s="2">
        <v>340</v>
      </c>
      <c r="I15796" s="2">
        <v>464</v>
      </c>
      <c r="J15796" s="2">
        <v>1483</v>
      </c>
      <c r="K15796" s="2">
        <v>1</v>
      </c>
      <c r="L15796" s="2">
        <v>340</v>
      </c>
    </row>
    <row r="15797" spans="1:12" x14ac:dyDescent="0.25">
      <c r="A15797" s="4" t="str">
        <f>HYPERLINK("http://www.rosaceae.org/Prunus/Prunus_persica/p.persica_gdr_reftransV1_0015368","p.persica_gdr_reftransV1_0015368")</f>
        <v>p.persica_gdr_reftransV1_0015368</v>
      </c>
      <c r="B15797" s="2">
        <v>2007</v>
      </c>
      <c r="C15797" s="4" t="str">
        <f>HYPERLINK("http://www.uniprot.org/uniprot/M5XCD7","M5XCD7")</f>
        <v>M5XCD7</v>
      </c>
      <c r="D15797" s="2" t="s">
        <v>12635</v>
      </c>
      <c r="E15797" s="3">
        <v>0</v>
      </c>
      <c r="F15797" s="2">
        <v>1539</v>
      </c>
      <c r="G15797" s="2">
        <v>100</v>
      </c>
      <c r="H15797" s="2">
        <v>281</v>
      </c>
      <c r="I15797" s="2">
        <v>1063</v>
      </c>
      <c r="J15797" s="2">
        <v>1905</v>
      </c>
      <c r="K15797" s="2">
        <v>1</v>
      </c>
      <c r="L15797" s="2">
        <v>281</v>
      </c>
    </row>
    <row r="15798" spans="1:12" x14ac:dyDescent="0.25">
      <c r="A15798" s="4" t="str">
        <f>HYPERLINK("http://www.rosaceae.org/Prunus/Prunus_persica/p.persica_gdr_reftransV1_0016418","p.persica_gdr_reftransV1_0016418")</f>
        <v>p.persica_gdr_reftransV1_0016418</v>
      </c>
      <c r="B15798" s="2">
        <v>3291</v>
      </c>
      <c r="C15798" s="4" t="str">
        <f>HYPERLINK("http://www.uniprot.org/uniprot/M5XQJ4","M5XQJ4")</f>
        <v>M5XQJ4</v>
      </c>
      <c r="D15798" s="2" t="s">
        <v>12636</v>
      </c>
      <c r="E15798" s="3">
        <v>0</v>
      </c>
      <c r="F15798" s="2">
        <v>3195</v>
      </c>
      <c r="G15798" s="2">
        <v>100</v>
      </c>
      <c r="H15798" s="2">
        <v>678</v>
      </c>
      <c r="I15798" s="2">
        <v>571</v>
      </c>
      <c r="J15798" s="2">
        <v>2604</v>
      </c>
      <c r="K15798" s="2">
        <v>1</v>
      </c>
      <c r="L15798" s="2">
        <v>678</v>
      </c>
    </row>
    <row r="15799" spans="1:12" x14ac:dyDescent="0.25">
      <c r="A15799" s="4" t="str">
        <f>HYPERLINK("http://www.rosaceae.org/Prunus/Prunus_persica/p.persica_gdr_reftransV1_0016768","p.persica_gdr_reftransV1_0016768")</f>
        <v>p.persica_gdr_reftransV1_0016768</v>
      </c>
      <c r="B15799" s="2">
        <v>1753</v>
      </c>
      <c r="C15799" s="4" t="str">
        <f>HYPERLINK("http://www.uniprot.org/uniprot/M5X1H5","M5X1H5")</f>
        <v>M5X1H5</v>
      </c>
      <c r="D15799" s="2" t="s">
        <v>12637</v>
      </c>
      <c r="E15799" s="3">
        <v>4.2300000000000002E-172</v>
      </c>
      <c r="F15799" s="2">
        <v>1292</v>
      </c>
      <c r="G15799" s="2">
        <v>99</v>
      </c>
      <c r="H15799" s="2">
        <v>251</v>
      </c>
      <c r="I15799" s="2">
        <v>966</v>
      </c>
      <c r="J15799" s="2">
        <v>1718</v>
      </c>
      <c r="K15799" s="2">
        <v>1</v>
      </c>
      <c r="L15799" s="2">
        <v>251</v>
      </c>
    </row>
    <row r="15800" spans="1:12" x14ac:dyDescent="0.25">
      <c r="A15800" s="4" t="str">
        <f>HYPERLINK("http://www.rosaceae.org/Prunus/Prunus_persica/p.persica_gdr_reftransV1_0017468","p.persica_gdr_reftransV1_0017468")</f>
        <v>p.persica_gdr_reftransV1_0017468</v>
      </c>
      <c r="B15800" s="2">
        <v>955</v>
      </c>
      <c r="C15800" s="4" t="str">
        <f>HYPERLINK("http://www.uniprot.org/uniprot/M5VQT1","M5VQT1")</f>
        <v>M5VQT1</v>
      </c>
      <c r="D15800" s="2" t="s">
        <v>9056</v>
      </c>
      <c r="E15800" s="3">
        <v>0</v>
      </c>
      <c r="F15800" s="2">
        <v>1354</v>
      </c>
      <c r="G15800" s="2">
        <v>100</v>
      </c>
      <c r="H15800" s="2">
        <v>256</v>
      </c>
      <c r="I15800" s="2">
        <v>1</v>
      </c>
      <c r="J15800" s="2">
        <v>768</v>
      </c>
      <c r="K15800" s="2">
        <v>2</v>
      </c>
      <c r="L15800" s="2">
        <v>257</v>
      </c>
    </row>
    <row r="15801" spans="1:12" x14ac:dyDescent="0.25">
      <c r="A15801" s="4" t="str">
        <f>HYPERLINK("http://www.rosaceae.org/Prunus/Prunus_persica/p.persica_gdr_reftransV1_0017818","p.persica_gdr_reftransV1_0017818")</f>
        <v>p.persica_gdr_reftransV1_0017818</v>
      </c>
      <c r="B15801" s="2">
        <v>1607</v>
      </c>
      <c r="C15801" s="4" t="str">
        <f>HYPERLINK("http://www.uniprot.org/uniprot/M5XL82","M5XL82")</f>
        <v>M5XL82</v>
      </c>
      <c r="D15801" s="2" t="s">
        <v>12638</v>
      </c>
      <c r="E15801" s="3">
        <v>0</v>
      </c>
      <c r="F15801" s="2">
        <v>1622</v>
      </c>
      <c r="G15801" s="2">
        <v>100</v>
      </c>
      <c r="H15801" s="2">
        <v>321</v>
      </c>
      <c r="I15801" s="2">
        <v>479</v>
      </c>
      <c r="J15801" s="2">
        <v>1441</v>
      </c>
      <c r="K15801" s="2">
        <v>1</v>
      </c>
      <c r="L15801" s="2">
        <v>321</v>
      </c>
    </row>
    <row r="15802" spans="1:12" x14ac:dyDescent="0.25">
      <c r="A15802" s="4" t="str">
        <f>HYPERLINK("http://www.rosaceae.org/Prunus/Prunus_persica/p.persica_gdr_reftransV1_0018168","p.persica_gdr_reftransV1_0018168")</f>
        <v>p.persica_gdr_reftransV1_0018168</v>
      </c>
      <c r="B15802" s="2">
        <v>2232</v>
      </c>
      <c r="C15802" s="4" t="str">
        <f>HYPERLINK("http://www.uniprot.org/uniprot/M5W447","M5W447")</f>
        <v>M5W447</v>
      </c>
      <c r="D15802" s="2" t="s">
        <v>12639</v>
      </c>
      <c r="E15802" s="3">
        <v>0</v>
      </c>
      <c r="F15802" s="2">
        <v>1642</v>
      </c>
      <c r="G15802" s="2">
        <v>100</v>
      </c>
      <c r="H15802" s="2">
        <v>341</v>
      </c>
      <c r="I15802" s="2">
        <v>104</v>
      </c>
      <c r="J15802" s="2">
        <v>1126</v>
      </c>
      <c r="K15802" s="2">
        <v>1</v>
      </c>
      <c r="L15802" s="2">
        <v>341</v>
      </c>
    </row>
    <row r="15803" spans="1:12" x14ac:dyDescent="0.25">
      <c r="A15803" s="4" t="str">
        <f>HYPERLINK("http://www.rosaceae.org/Prunus/Prunus_persica/p.persica_gdr_reftransV1_0018518","p.persica_gdr_reftransV1_0018518")</f>
        <v>p.persica_gdr_reftransV1_0018518</v>
      </c>
      <c r="B15803" s="2">
        <v>4073</v>
      </c>
      <c r="C15803" s="4" t="str">
        <f>HYPERLINK("http://www.uniprot.org/uniprot/M5WEC6","M5WEC6")</f>
        <v>M5WEC6</v>
      </c>
      <c r="D15803" s="2" t="s">
        <v>6479</v>
      </c>
      <c r="E15803" s="3">
        <v>0</v>
      </c>
      <c r="F15803" s="2">
        <v>1675</v>
      </c>
      <c r="G15803" s="2">
        <v>99</v>
      </c>
      <c r="H15803" s="2">
        <v>352</v>
      </c>
      <c r="I15803" s="2">
        <v>1591</v>
      </c>
      <c r="J15803" s="2">
        <v>2643</v>
      </c>
      <c r="K15803" s="2">
        <v>317</v>
      </c>
      <c r="L15803" s="2">
        <v>668</v>
      </c>
    </row>
    <row r="15804" spans="1:12" x14ac:dyDescent="0.25">
      <c r="A15804" s="4" t="str">
        <f>HYPERLINK("http://www.rosaceae.org/Prunus/Prunus_persica/p.persica_gdr_reftransV1_0020968","p.persica_gdr_reftransV1_0020968")</f>
        <v>p.persica_gdr_reftransV1_0020968</v>
      </c>
      <c r="B15804" s="2">
        <v>1883</v>
      </c>
      <c r="C15804" s="4" t="str">
        <f>HYPERLINK("http://www.uniprot.org/uniprot/M5XBE6","M5XBE6")</f>
        <v>M5XBE6</v>
      </c>
      <c r="D15804" s="2" t="s">
        <v>12640</v>
      </c>
      <c r="E15804" s="3">
        <v>0</v>
      </c>
      <c r="F15804" s="2">
        <v>1555</v>
      </c>
      <c r="G15804" s="2">
        <v>92</v>
      </c>
      <c r="H15804" s="2">
        <v>362</v>
      </c>
      <c r="I15804" s="2">
        <v>805</v>
      </c>
      <c r="J15804" s="2">
        <v>1881</v>
      </c>
      <c r="K15804" s="2">
        <v>229</v>
      </c>
      <c r="L15804" s="2">
        <v>590</v>
      </c>
    </row>
    <row r="15805" spans="1:12" x14ac:dyDescent="0.25">
      <c r="A15805" s="4" t="str">
        <f>HYPERLINK("http://www.rosaceae.org/Prunus/Prunus_persica/p.persica_gdr_reftransV1_0021318","p.persica_gdr_reftransV1_0021318")</f>
        <v>p.persica_gdr_reftransV1_0021318</v>
      </c>
      <c r="B15805" s="2">
        <v>1005</v>
      </c>
      <c r="C15805" s="4" t="str">
        <f>HYPERLINK("http://www.uniprot.org/uniprot/M5X5Q1","M5X5Q1")</f>
        <v>M5X5Q1</v>
      </c>
      <c r="D15805" s="2" t="s">
        <v>10047</v>
      </c>
      <c r="E15805" s="3">
        <v>0</v>
      </c>
      <c r="F15805" s="2">
        <v>1355</v>
      </c>
      <c r="G15805" s="2">
        <v>100</v>
      </c>
      <c r="H15805" s="2">
        <v>257</v>
      </c>
      <c r="I15805" s="2">
        <v>3</v>
      </c>
      <c r="J15805" s="2">
        <v>773</v>
      </c>
      <c r="K15805" s="2">
        <v>145</v>
      </c>
      <c r="L15805" s="2">
        <v>401</v>
      </c>
    </row>
    <row r="15806" spans="1:12" x14ac:dyDescent="0.25">
      <c r="A15806" s="4" t="str">
        <f>HYPERLINK("http://www.rosaceae.org/Prunus/Prunus_persica/p.persica_gdr_reftransV1_0021668","p.persica_gdr_reftransV1_0021668")</f>
        <v>p.persica_gdr_reftransV1_0021668</v>
      </c>
      <c r="B15806" s="2">
        <v>1425</v>
      </c>
      <c r="C15806" s="4" t="str">
        <f>HYPERLINK("http://www.uniprot.org/uniprot/M5XI39","M5XI39")</f>
        <v>M5XI39</v>
      </c>
      <c r="D15806" s="2" t="s">
        <v>12641</v>
      </c>
      <c r="E15806" s="3">
        <v>6.4399999999999998E-39</v>
      </c>
      <c r="F15806" s="2">
        <v>373</v>
      </c>
      <c r="G15806" s="2">
        <v>98</v>
      </c>
      <c r="H15806" s="2">
        <v>102</v>
      </c>
      <c r="I15806" s="2">
        <v>188</v>
      </c>
      <c r="J15806" s="2">
        <v>493</v>
      </c>
      <c r="K15806" s="2">
        <v>1</v>
      </c>
      <c r="L15806" s="2">
        <v>102</v>
      </c>
    </row>
    <row r="15807" spans="1:12" x14ac:dyDescent="0.25">
      <c r="A15807" s="4" t="str">
        <f>HYPERLINK("http://www.rosaceae.org/Prunus/Prunus_persica/p.persica_gdr_reftransV1_0022018","p.persica_gdr_reftransV1_0022018")</f>
        <v>p.persica_gdr_reftransV1_0022018</v>
      </c>
      <c r="B15807" s="2">
        <v>1054</v>
      </c>
      <c r="C15807" s="4" t="str">
        <f>HYPERLINK("http://www.uniprot.org/uniprot/M5XM90","M5XM90")</f>
        <v>M5XM90</v>
      </c>
      <c r="D15807" s="2" t="s">
        <v>12642</v>
      </c>
      <c r="E15807" s="3">
        <v>1.65E-62</v>
      </c>
      <c r="F15807" s="2">
        <v>527</v>
      </c>
      <c r="G15807" s="2">
        <v>97</v>
      </c>
      <c r="H15807" s="2">
        <v>104</v>
      </c>
      <c r="I15807" s="2">
        <v>318</v>
      </c>
      <c r="J15807" s="2">
        <v>629</v>
      </c>
      <c r="K15807" s="2">
        <v>38</v>
      </c>
      <c r="L15807" s="2">
        <v>141</v>
      </c>
    </row>
    <row r="15808" spans="1:12" x14ac:dyDescent="0.25">
      <c r="A15808" s="4" t="str">
        <f>HYPERLINK("http://www.rosaceae.org/Prunus/Prunus_persica/p.persica_gdr_reftransV1_0022368","p.persica_gdr_reftransV1_0022368")</f>
        <v>p.persica_gdr_reftransV1_0022368</v>
      </c>
      <c r="B15808" s="2">
        <v>2247</v>
      </c>
      <c r="C15808" s="4" t="str">
        <f>HYPERLINK("http://www.uniprot.org/uniprot/A0A0F6Q061","A0A0F6Q061")</f>
        <v>A0A0F6Q061</v>
      </c>
      <c r="D15808" s="2" t="s">
        <v>12643</v>
      </c>
      <c r="E15808" s="3">
        <v>0</v>
      </c>
      <c r="F15808" s="2">
        <v>2596</v>
      </c>
      <c r="G15808" s="2">
        <v>100</v>
      </c>
      <c r="H15808" s="2">
        <v>508</v>
      </c>
      <c r="I15808" s="2">
        <v>348</v>
      </c>
      <c r="J15808" s="2">
        <v>1871</v>
      </c>
      <c r="K15808" s="2">
        <v>1</v>
      </c>
      <c r="L15808" s="2">
        <v>508</v>
      </c>
    </row>
    <row r="15809" spans="1:12" x14ac:dyDescent="0.25">
      <c r="A15809" s="4" t="str">
        <f>HYPERLINK("http://www.rosaceae.org/Prunus/Prunus_persica/p.persica_gdr_reftransV1_0025168","p.persica_gdr_reftransV1_0025168")</f>
        <v>p.persica_gdr_reftransV1_0025168</v>
      </c>
      <c r="B15809" s="2">
        <v>1373</v>
      </c>
      <c r="C15809" s="4" t="str">
        <f>HYPERLINK("http://www.uniprot.org/uniprot/M5VQ44","M5VQ44")</f>
        <v>M5VQ44</v>
      </c>
      <c r="D15809" s="2" t="s">
        <v>12644</v>
      </c>
      <c r="E15809" s="3">
        <v>4.6799999999999998E-111</v>
      </c>
      <c r="F15809" s="2">
        <v>865</v>
      </c>
      <c r="G15809" s="2">
        <v>82</v>
      </c>
      <c r="H15809" s="2">
        <v>240</v>
      </c>
      <c r="I15809" s="2">
        <v>510</v>
      </c>
      <c r="J15809" s="2">
        <v>1229</v>
      </c>
      <c r="K15809" s="2">
        <v>1</v>
      </c>
      <c r="L15809" s="2">
        <v>196</v>
      </c>
    </row>
    <row r="15810" spans="1:12" x14ac:dyDescent="0.25">
      <c r="A15810" s="4" t="str">
        <f>HYPERLINK("http://www.rosaceae.org/Prunus/Prunus_persica/p.persica_gdr_reftransV1_0025518","p.persica_gdr_reftransV1_0025518")</f>
        <v>p.persica_gdr_reftransV1_0025518</v>
      </c>
      <c r="B15810" s="2">
        <v>3185</v>
      </c>
      <c r="C15810" s="4" t="str">
        <f>HYPERLINK("http://www.uniprot.org/uniprot/M5Y4U3","M5Y4U3")</f>
        <v>M5Y4U3</v>
      </c>
      <c r="D15810" s="2" t="s">
        <v>12645</v>
      </c>
      <c r="E15810" s="3">
        <v>0</v>
      </c>
      <c r="F15810" s="2">
        <v>2386</v>
      </c>
      <c r="G15810" s="2">
        <v>100</v>
      </c>
      <c r="H15810" s="2">
        <v>472</v>
      </c>
      <c r="I15810" s="2">
        <v>1234</v>
      </c>
      <c r="J15810" s="2">
        <v>2649</v>
      </c>
      <c r="K15810" s="2">
        <v>317</v>
      </c>
      <c r="L15810" s="2">
        <v>788</v>
      </c>
    </row>
    <row r="15811" spans="1:12" x14ac:dyDescent="0.25">
      <c r="A15811" s="4" t="str">
        <f>HYPERLINK("http://www.rosaceae.org/Prunus/Prunus_persica/p.persica_gdr_reftransV1_0025868","p.persica_gdr_reftransV1_0025868")</f>
        <v>p.persica_gdr_reftransV1_0025868</v>
      </c>
      <c r="B15811" s="2">
        <v>2121</v>
      </c>
      <c r="C15811" s="4" t="str">
        <f>HYPERLINK("http://www.uniprot.org/uniprot/M5XBY9","M5XBY9")</f>
        <v>M5XBY9</v>
      </c>
      <c r="D15811" s="2" t="s">
        <v>12646</v>
      </c>
      <c r="E15811" s="3">
        <v>0</v>
      </c>
      <c r="F15811" s="2">
        <v>2392</v>
      </c>
      <c r="G15811" s="2">
        <v>100</v>
      </c>
      <c r="H15811" s="2">
        <v>487</v>
      </c>
      <c r="I15811" s="2">
        <v>113</v>
      </c>
      <c r="J15811" s="2">
        <v>1573</v>
      </c>
      <c r="K15811" s="2">
        <v>1</v>
      </c>
      <c r="L15811" s="2">
        <v>487</v>
      </c>
    </row>
    <row r="15812" spans="1:12" x14ac:dyDescent="0.25">
      <c r="A15812" s="4" t="str">
        <f>HYPERLINK("http://www.rosaceae.org/Prunus/Prunus_persica/p.persica_gdr_reftransV1_0027968","p.persica_gdr_reftransV1_0027968")</f>
        <v>p.persica_gdr_reftransV1_0027968</v>
      </c>
      <c r="B15812" s="2">
        <v>2117</v>
      </c>
      <c r="C15812" s="4" t="str">
        <f>HYPERLINK("http://www.uniprot.org/uniprot/M5WBS5","M5WBS5")</f>
        <v>M5WBS5</v>
      </c>
      <c r="D15812" s="2" t="s">
        <v>12647</v>
      </c>
      <c r="E15812" s="3">
        <v>0</v>
      </c>
      <c r="F15812" s="2">
        <v>1413</v>
      </c>
      <c r="G15812" s="2">
        <v>98</v>
      </c>
      <c r="H15812" s="2">
        <v>310</v>
      </c>
      <c r="I15812" s="2">
        <v>61</v>
      </c>
      <c r="J15812" s="2">
        <v>990</v>
      </c>
      <c r="K15812" s="2">
        <v>1</v>
      </c>
      <c r="L15812" s="2">
        <v>310</v>
      </c>
    </row>
    <row r="15813" spans="1:12" x14ac:dyDescent="0.25">
      <c r="A15813" s="4" t="str">
        <f>HYPERLINK("http://www.rosaceae.org/Prunus/Prunus_persica/p.persica_gdr_reftransV1_0028318","p.persica_gdr_reftransV1_0028318")</f>
        <v>p.persica_gdr_reftransV1_0028318</v>
      </c>
      <c r="B15813" s="2">
        <v>2785</v>
      </c>
      <c r="C15813" s="4" t="str">
        <f>HYPERLINK("http://www.uniprot.org/uniprot/M5X031","M5X031")</f>
        <v>M5X031</v>
      </c>
      <c r="D15813" s="2" t="s">
        <v>5816</v>
      </c>
      <c r="E15813" s="3">
        <v>0</v>
      </c>
      <c r="F15813" s="2">
        <v>2183</v>
      </c>
      <c r="G15813" s="2">
        <v>100</v>
      </c>
      <c r="H15813" s="2">
        <v>654</v>
      </c>
      <c r="I15813" s="2">
        <v>1</v>
      </c>
      <c r="J15813" s="2">
        <v>1962</v>
      </c>
      <c r="K15813" s="2">
        <v>638</v>
      </c>
      <c r="L15813" s="2">
        <v>1291</v>
      </c>
    </row>
    <row r="15814" spans="1:12" x14ac:dyDescent="0.25">
      <c r="A15814" s="4" t="str">
        <f>HYPERLINK("http://www.rosaceae.org/Prunus/Prunus_persica/p.persica_gdr_reftransV1_0030068","p.persica_gdr_reftransV1_0030068")</f>
        <v>p.persica_gdr_reftransV1_0030068</v>
      </c>
      <c r="B15814" s="2">
        <v>1735</v>
      </c>
      <c r="C15814" s="4" t="str">
        <f>HYPERLINK("http://www.uniprot.org/uniprot/M5WSX3","M5WSX3")</f>
        <v>M5WSX3</v>
      </c>
      <c r="D15814" s="2" t="s">
        <v>12648</v>
      </c>
      <c r="E15814" s="3">
        <v>1.0500000000000001E-149</v>
      </c>
      <c r="F15814" s="2">
        <v>1149</v>
      </c>
      <c r="G15814" s="2">
        <v>99</v>
      </c>
      <c r="H15814" s="2">
        <v>216</v>
      </c>
      <c r="I15814" s="2">
        <v>804</v>
      </c>
      <c r="J15814" s="2">
        <v>1451</v>
      </c>
      <c r="K15814" s="2">
        <v>142</v>
      </c>
      <c r="L15814" s="2">
        <v>357</v>
      </c>
    </row>
    <row r="15815" spans="1:12" x14ac:dyDescent="0.25">
      <c r="A15815" s="4" t="str">
        <f>HYPERLINK("http://www.rosaceae.org/Prunus/Prunus_persica/p.persica_gdr_reftransV1_0031118","p.persica_gdr_reftransV1_0031118")</f>
        <v>p.persica_gdr_reftransV1_0031118</v>
      </c>
      <c r="B15815" s="2">
        <v>2525</v>
      </c>
      <c r="C15815" s="4" t="str">
        <f>HYPERLINK("http://www.uniprot.org/uniprot/A0A0B2RJ54","A0A0B2RJ54")</f>
        <v>A0A0B2RJ54</v>
      </c>
      <c r="D15815" s="2" t="s">
        <v>12649</v>
      </c>
      <c r="E15815" s="3">
        <v>5.55E-137</v>
      </c>
      <c r="F15815" s="2">
        <v>1094</v>
      </c>
      <c r="G15815" s="2">
        <v>62</v>
      </c>
      <c r="H15815" s="2">
        <v>355</v>
      </c>
      <c r="I15815" s="2">
        <v>1244</v>
      </c>
      <c r="J15815" s="2">
        <v>2278</v>
      </c>
      <c r="K15815" s="2">
        <v>3</v>
      </c>
      <c r="L15815" s="2">
        <v>314</v>
      </c>
    </row>
    <row r="15816" spans="1:12" x14ac:dyDescent="0.25">
      <c r="A15816" s="4" t="str">
        <f>HYPERLINK("http://www.rosaceae.org/Prunus/Prunus_persica/p.persica_gdr_reftransV1_0036368","p.persica_gdr_reftransV1_0036368")</f>
        <v>p.persica_gdr_reftransV1_0036368</v>
      </c>
      <c r="B15816" s="2">
        <v>2348</v>
      </c>
      <c r="C15816" s="4" t="str">
        <f>HYPERLINK("http://www.uniprot.org/uniprot/M5X1W6","M5X1W6")</f>
        <v>M5X1W6</v>
      </c>
      <c r="D15816" s="2" t="s">
        <v>12650</v>
      </c>
      <c r="E15816" s="3">
        <v>4.5500000000000004E-137</v>
      </c>
      <c r="F15816" s="2">
        <v>1078</v>
      </c>
      <c r="G15816" s="2">
        <v>100</v>
      </c>
      <c r="H15816" s="2">
        <v>267</v>
      </c>
      <c r="I15816" s="2">
        <v>1112</v>
      </c>
      <c r="J15816" s="2">
        <v>1912</v>
      </c>
      <c r="K15816" s="2">
        <v>1</v>
      </c>
      <c r="L15816" s="2">
        <v>267</v>
      </c>
    </row>
    <row r="15817" spans="1:12" x14ac:dyDescent="0.25">
      <c r="A15817" s="4" t="str">
        <f>HYPERLINK("http://www.rosaceae.org/Prunus/Prunus_persica/p.persica_gdr_reftransV1_0036718","p.persica_gdr_reftransV1_0036718")</f>
        <v>p.persica_gdr_reftransV1_0036718</v>
      </c>
      <c r="B15817" s="2">
        <v>1147</v>
      </c>
      <c r="C15817" s="4" t="str">
        <f>HYPERLINK("http://www.uniprot.org/uniprot/M5X6R1","M5X6R1")</f>
        <v>M5X6R1</v>
      </c>
      <c r="D15817" s="2" t="s">
        <v>12651</v>
      </c>
      <c r="E15817" s="3">
        <v>7.7399999999999999E-84</v>
      </c>
      <c r="F15817" s="2">
        <v>671</v>
      </c>
      <c r="G15817" s="2">
        <v>100</v>
      </c>
      <c r="H15817" s="2">
        <v>126</v>
      </c>
      <c r="I15817" s="2">
        <v>373</v>
      </c>
      <c r="J15817" s="2">
        <v>750</v>
      </c>
      <c r="K15817" s="2">
        <v>1</v>
      </c>
      <c r="L15817" s="2">
        <v>126</v>
      </c>
    </row>
    <row r="15818" spans="1:12" x14ac:dyDescent="0.25">
      <c r="A15818" s="4" t="str">
        <f>HYPERLINK("http://www.rosaceae.org/Prunus/Prunus_persica/p.persica_gdr_reftransV1_0037418","p.persica_gdr_reftransV1_0037418")</f>
        <v>p.persica_gdr_reftransV1_0037418</v>
      </c>
      <c r="B15818" s="2">
        <v>2693</v>
      </c>
      <c r="C15818" s="4" t="str">
        <f>HYPERLINK("http://www.uniprot.org/uniprot/M5VJZ7","M5VJZ7")</f>
        <v>M5VJZ7</v>
      </c>
      <c r="D15818" s="2" t="s">
        <v>12652</v>
      </c>
      <c r="E15818" s="3">
        <v>8.0599999999999997E-134</v>
      </c>
      <c r="F15818" s="2">
        <v>1072</v>
      </c>
      <c r="G15818" s="2">
        <v>100</v>
      </c>
      <c r="H15818" s="2">
        <v>215</v>
      </c>
      <c r="I15818" s="2">
        <v>1855</v>
      </c>
      <c r="J15818" s="2">
        <v>2499</v>
      </c>
      <c r="K15818" s="2">
        <v>1</v>
      </c>
      <c r="L15818" s="2">
        <v>215</v>
      </c>
    </row>
    <row r="15819" spans="1:12" x14ac:dyDescent="0.25">
      <c r="A15819" s="4" t="str">
        <f>HYPERLINK("http://www.rosaceae.org/Prunus/Prunus_persica/p.persica_gdr_reftransV1_0039518","p.persica_gdr_reftransV1_0039518")</f>
        <v>p.persica_gdr_reftransV1_0039518</v>
      </c>
      <c r="B15819" s="2">
        <v>4085</v>
      </c>
      <c r="C15819" s="4" t="str">
        <f>HYPERLINK("http://www.uniprot.org/uniprot/M5WL30","M5WL30")</f>
        <v>M5WL30</v>
      </c>
      <c r="D15819" s="2" t="s">
        <v>8350</v>
      </c>
      <c r="E15819" s="3">
        <v>0</v>
      </c>
      <c r="F15819" s="2">
        <v>1594</v>
      </c>
      <c r="G15819" s="2">
        <v>100</v>
      </c>
      <c r="H15819" s="2">
        <v>295</v>
      </c>
      <c r="I15819" s="2">
        <v>2505</v>
      </c>
      <c r="J15819" s="2">
        <v>3389</v>
      </c>
      <c r="K15819" s="2">
        <v>1</v>
      </c>
      <c r="L15819" s="2">
        <v>295</v>
      </c>
    </row>
    <row r="15820" spans="1:12" x14ac:dyDescent="0.25">
      <c r="A15820" s="4" t="str">
        <f>HYPERLINK("http://www.rosaceae.org/Prunus/Prunus_persica/p.persica_gdr_reftransV1_0039868","p.persica_gdr_reftransV1_0039868")</f>
        <v>p.persica_gdr_reftransV1_0039868</v>
      </c>
      <c r="B15820" s="2">
        <v>2527</v>
      </c>
      <c r="C15820" s="4" t="str">
        <f>HYPERLINK("http://www.uniprot.org/uniprot/M5WI33","M5WI33")</f>
        <v>M5WI33</v>
      </c>
      <c r="D15820" s="2" t="s">
        <v>10306</v>
      </c>
      <c r="E15820" s="3">
        <v>0</v>
      </c>
      <c r="F15820" s="2">
        <v>2056</v>
      </c>
      <c r="G15820" s="2">
        <v>100</v>
      </c>
      <c r="H15820" s="2">
        <v>408</v>
      </c>
      <c r="I15820" s="2">
        <v>50</v>
      </c>
      <c r="J15820" s="2">
        <v>1273</v>
      </c>
      <c r="K15820" s="2">
        <v>1</v>
      </c>
      <c r="L15820" s="2">
        <v>408</v>
      </c>
    </row>
    <row r="15821" spans="1:12" x14ac:dyDescent="0.25">
      <c r="A15821" s="4" t="str">
        <f>HYPERLINK("http://www.rosaceae.org/Prunus/Prunus_persica/p.persica_gdr_reftransV1_0040218","p.persica_gdr_reftransV1_0040218")</f>
        <v>p.persica_gdr_reftransV1_0040218</v>
      </c>
      <c r="B15821" s="2">
        <v>981</v>
      </c>
      <c r="C15821" s="4" t="str">
        <f>HYPERLINK("http://www.uniprot.org/uniprot/M5W3R0","M5W3R0")</f>
        <v>M5W3R0</v>
      </c>
      <c r="D15821" s="2" t="s">
        <v>12653</v>
      </c>
      <c r="E15821" s="3">
        <v>7.9799999999999997E-66</v>
      </c>
      <c r="F15821" s="2">
        <v>544</v>
      </c>
      <c r="G15821" s="2">
        <v>100</v>
      </c>
      <c r="H15821" s="2">
        <v>107</v>
      </c>
      <c r="I15821" s="2">
        <v>112</v>
      </c>
      <c r="J15821" s="2">
        <v>432</v>
      </c>
      <c r="K15821" s="2">
        <v>1</v>
      </c>
      <c r="L15821" s="2">
        <v>107</v>
      </c>
    </row>
    <row r="15822" spans="1:12" x14ac:dyDescent="0.25">
      <c r="A15822" s="4" t="str">
        <f>HYPERLINK("http://www.rosaceae.org/Prunus/Prunus_persica/p.persica_gdr_reftransV1_0040568","p.persica_gdr_reftransV1_0040568")</f>
        <v>p.persica_gdr_reftransV1_0040568</v>
      </c>
      <c r="B15822" s="2">
        <v>1971</v>
      </c>
      <c r="C15822" s="4" t="str">
        <f>HYPERLINK("http://www.uniprot.org/uniprot/M5XJ52","M5XJ52")</f>
        <v>M5XJ52</v>
      </c>
      <c r="D15822" s="2" t="s">
        <v>12654</v>
      </c>
      <c r="E15822" s="3">
        <v>0</v>
      </c>
      <c r="F15822" s="2">
        <v>1444</v>
      </c>
      <c r="G15822" s="2">
        <v>100</v>
      </c>
      <c r="H15822" s="2">
        <v>295</v>
      </c>
      <c r="I15822" s="2">
        <v>709</v>
      </c>
      <c r="J15822" s="2">
        <v>1593</v>
      </c>
      <c r="K15822" s="2">
        <v>29</v>
      </c>
      <c r="L15822" s="2">
        <v>323</v>
      </c>
    </row>
    <row r="15823" spans="1:12" x14ac:dyDescent="0.25">
      <c r="A15823" s="4" t="str">
        <f>HYPERLINK("http://www.rosaceae.org/Prunus/Prunus_persica/p.persica_gdr_reftransV1_0042668","p.persica_gdr_reftransV1_0042668")</f>
        <v>p.persica_gdr_reftransV1_0042668</v>
      </c>
      <c r="B15823" s="2">
        <v>1869</v>
      </c>
      <c r="C15823" s="4" t="str">
        <f>HYPERLINK("http://www.uniprot.org/uniprot/W9RFF9","W9RFF9")</f>
        <v>W9RFF9</v>
      </c>
      <c r="D15823" s="2" t="s">
        <v>12655</v>
      </c>
      <c r="E15823" s="3">
        <v>4.6900000000000001E-129</v>
      </c>
      <c r="F15823" s="2">
        <v>861</v>
      </c>
      <c r="G15823" s="2">
        <v>80</v>
      </c>
      <c r="H15823" s="2">
        <v>206</v>
      </c>
      <c r="I15823" s="2">
        <v>131</v>
      </c>
      <c r="J15823" s="2">
        <v>748</v>
      </c>
      <c r="K15823" s="2">
        <v>1</v>
      </c>
      <c r="L15823" s="2">
        <v>206</v>
      </c>
    </row>
    <row r="15824" spans="1:12" x14ac:dyDescent="0.25">
      <c r="A15824" s="4" t="str">
        <f>HYPERLINK("http://www.rosaceae.org/Prunus/Prunus_persica/p.persica_gdr_reftransV1_0043018","p.persica_gdr_reftransV1_0043018")</f>
        <v>p.persica_gdr_reftransV1_0043018</v>
      </c>
      <c r="B15824" s="2">
        <v>2534</v>
      </c>
      <c r="C15824" s="4" t="str">
        <f>HYPERLINK("http://www.uniprot.org/uniprot/M5X6X3","M5X6X3")</f>
        <v>M5X6X3</v>
      </c>
      <c r="D15824" s="2" t="s">
        <v>12656</v>
      </c>
      <c r="E15824" s="3">
        <v>0</v>
      </c>
      <c r="F15824" s="2">
        <v>2539</v>
      </c>
      <c r="G15824" s="2">
        <v>100</v>
      </c>
      <c r="H15824" s="2">
        <v>488</v>
      </c>
      <c r="I15824" s="2">
        <v>2</v>
      </c>
      <c r="J15824" s="2">
        <v>1465</v>
      </c>
      <c r="K15824" s="2">
        <v>319</v>
      </c>
      <c r="L15824" s="2">
        <v>806</v>
      </c>
    </row>
    <row r="15825" spans="1:12" x14ac:dyDescent="0.25">
      <c r="A15825" s="4" t="str">
        <f>HYPERLINK("http://www.rosaceae.org/Prunus/Prunus_persica/p.persica_gdr_reftransV1_0043368","p.persica_gdr_reftransV1_0043368")</f>
        <v>p.persica_gdr_reftransV1_0043368</v>
      </c>
      <c r="B15825" s="2">
        <v>1056</v>
      </c>
      <c r="C15825" s="4" t="str">
        <f>HYPERLINK("http://www.uniprot.org/uniprot/M5W242","M5W242")</f>
        <v>M5W242</v>
      </c>
      <c r="D15825" s="2" t="s">
        <v>12657</v>
      </c>
      <c r="E15825" s="3">
        <v>0</v>
      </c>
      <c r="F15825" s="2">
        <v>1618</v>
      </c>
      <c r="G15825" s="2">
        <v>89</v>
      </c>
      <c r="H15825" s="2">
        <v>352</v>
      </c>
      <c r="I15825" s="2">
        <v>1</v>
      </c>
      <c r="J15825" s="2">
        <v>1056</v>
      </c>
      <c r="K15825" s="2">
        <v>119</v>
      </c>
      <c r="L15825" s="2">
        <v>432</v>
      </c>
    </row>
    <row r="15826" spans="1:12" x14ac:dyDescent="0.25">
      <c r="A15826" s="4" t="str">
        <f>HYPERLINK("http://www.rosaceae.org/Prunus/Prunus_persica/p.persica_gdr_reftransV1_0043718","p.persica_gdr_reftransV1_0043718")</f>
        <v>p.persica_gdr_reftransV1_0043718</v>
      </c>
      <c r="B15826" s="2">
        <v>938</v>
      </c>
      <c r="C15826" s="4" t="str">
        <f>HYPERLINK("http://www.uniprot.org/uniprot/M5X2T6","M5X2T6")</f>
        <v>M5X2T6</v>
      </c>
      <c r="D15826" s="2" t="s">
        <v>12658</v>
      </c>
      <c r="E15826" s="3">
        <v>2.2200000000000001E-82</v>
      </c>
      <c r="F15826" s="2">
        <v>655</v>
      </c>
      <c r="G15826" s="2">
        <v>99</v>
      </c>
      <c r="H15826" s="2">
        <v>126</v>
      </c>
      <c r="I15826" s="2">
        <v>148</v>
      </c>
      <c r="J15826" s="2">
        <v>525</v>
      </c>
      <c r="K15826" s="2">
        <v>1</v>
      </c>
      <c r="L15826" s="2">
        <v>126</v>
      </c>
    </row>
    <row r="15827" spans="1:12" x14ac:dyDescent="0.25">
      <c r="A15827" s="4" t="str">
        <f>HYPERLINK("http://www.rosaceae.org/Prunus/Prunus_persica/p.persica_gdr_reftransV1_0044068","p.persica_gdr_reftransV1_0044068")</f>
        <v>p.persica_gdr_reftransV1_0044068</v>
      </c>
      <c r="B15827" s="2">
        <v>999</v>
      </c>
      <c r="C15827" s="4" t="str">
        <f>HYPERLINK("http://www.uniprot.org/uniprot/M5Y2X9","M5Y2X9")</f>
        <v>M5Y2X9</v>
      </c>
      <c r="D15827" s="2" t="s">
        <v>4233</v>
      </c>
      <c r="E15827" s="3">
        <v>0</v>
      </c>
      <c r="F15827" s="2">
        <v>1444</v>
      </c>
      <c r="G15827" s="2">
        <v>97</v>
      </c>
      <c r="H15827" s="2">
        <v>284</v>
      </c>
      <c r="I15827" s="2">
        <v>3</v>
      </c>
      <c r="J15827" s="2">
        <v>854</v>
      </c>
      <c r="K15827" s="2">
        <v>186</v>
      </c>
      <c r="L15827" s="2">
        <v>461</v>
      </c>
    </row>
    <row r="15828" spans="1:12" x14ac:dyDescent="0.25">
      <c r="A15828" s="4" t="str">
        <f>HYPERLINK("http://www.rosaceae.org/Prunus/Prunus_persica/p.persica_gdr_reftransV1_0044418","p.persica_gdr_reftransV1_0044418")</f>
        <v>p.persica_gdr_reftransV1_0044418</v>
      </c>
      <c r="B15828" s="2">
        <v>985</v>
      </c>
      <c r="C15828" s="4" t="str">
        <f>HYPERLINK("http://www.uniprot.org/uniprot/M5XN25","M5XN25")</f>
        <v>M5XN25</v>
      </c>
      <c r="D15828" s="2" t="s">
        <v>8370</v>
      </c>
      <c r="E15828" s="3">
        <v>1.6400000000000001E-139</v>
      </c>
      <c r="F15828" s="2">
        <v>1041</v>
      </c>
      <c r="G15828" s="2">
        <v>100</v>
      </c>
      <c r="H15828" s="2">
        <v>197</v>
      </c>
      <c r="I15828" s="2">
        <v>157</v>
      </c>
      <c r="J15828" s="2">
        <v>747</v>
      </c>
      <c r="K15828" s="2">
        <v>1</v>
      </c>
      <c r="L15828" s="2">
        <v>197</v>
      </c>
    </row>
    <row r="15829" spans="1:12" x14ac:dyDescent="0.25">
      <c r="A15829" s="4" t="str">
        <f>HYPERLINK("http://www.rosaceae.org/Prunus/Prunus_persica/p.persica_gdr_reftransV1_0045118","p.persica_gdr_reftransV1_0045118")</f>
        <v>p.persica_gdr_reftransV1_0045118</v>
      </c>
      <c r="B15829" s="2">
        <v>302</v>
      </c>
      <c r="C15829" s="4" t="str">
        <f>HYPERLINK("http://www.uniprot.org/uniprot/M5W1Q7","M5W1Q7")</f>
        <v>M5W1Q7</v>
      </c>
      <c r="D15829" s="2" t="s">
        <v>4966</v>
      </c>
      <c r="E15829" s="3">
        <v>4.7300000000000002E-63</v>
      </c>
      <c r="F15829" s="2">
        <v>535</v>
      </c>
      <c r="G15829" s="2">
        <v>100</v>
      </c>
      <c r="H15829" s="2">
        <v>100</v>
      </c>
      <c r="I15829" s="2">
        <v>2</v>
      </c>
      <c r="J15829" s="2">
        <v>301</v>
      </c>
      <c r="K15829" s="2">
        <v>296</v>
      </c>
      <c r="L15829" s="2">
        <v>395</v>
      </c>
    </row>
    <row r="15830" spans="1:12" x14ac:dyDescent="0.25">
      <c r="A15830" s="4" t="str">
        <f>HYPERLINK("http://www.rosaceae.org/Prunus/Prunus_persica/p.persica_gdr_reftransV1_0046518","p.persica_gdr_reftransV1_0046518")</f>
        <v>p.persica_gdr_reftransV1_0046518</v>
      </c>
      <c r="B15830" s="2">
        <v>1092</v>
      </c>
      <c r="C15830" s="4" t="str">
        <f>HYPERLINK("http://www.uniprot.org/uniprot/M5XAI7","M5XAI7")</f>
        <v>M5XAI7</v>
      </c>
      <c r="D15830" s="2" t="s">
        <v>6999</v>
      </c>
      <c r="E15830" s="3">
        <v>0</v>
      </c>
      <c r="F15830" s="2">
        <v>1545</v>
      </c>
      <c r="G15830" s="2">
        <v>100</v>
      </c>
      <c r="H15830" s="2">
        <v>307</v>
      </c>
      <c r="I15830" s="2">
        <v>3</v>
      </c>
      <c r="J15830" s="2">
        <v>923</v>
      </c>
      <c r="K15830" s="2">
        <v>142</v>
      </c>
      <c r="L15830" s="2">
        <v>448</v>
      </c>
    </row>
    <row r="15831" spans="1:12" x14ac:dyDescent="0.25">
      <c r="A15831" s="4" t="str">
        <f>HYPERLINK("http://www.rosaceae.org/Prunus/Prunus_persica/p.persica_gdr_reftransV1_0046868","p.persica_gdr_reftransV1_0046868")</f>
        <v>p.persica_gdr_reftransV1_0046868</v>
      </c>
      <c r="B15831" s="2">
        <v>1319</v>
      </c>
      <c r="C15831" s="4" t="str">
        <f>HYPERLINK("http://www.uniprot.org/uniprot/M5WU14","M5WU14")</f>
        <v>M5WU14</v>
      </c>
      <c r="D15831" s="2" t="s">
        <v>5183</v>
      </c>
      <c r="E15831" s="3">
        <v>0</v>
      </c>
      <c r="F15831" s="2">
        <v>1665</v>
      </c>
      <c r="G15831" s="2">
        <v>76</v>
      </c>
      <c r="H15831" s="2">
        <v>443</v>
      </c>
      <c r="I15831" s="2">
        <v>2</v>
      </c>
      <c r="J15831" s="2">
        <v>1318</v>
      </c>
      <c r="K15831" s="2">
        <v>164</v>
      </c>
      <c r="L15831" s="2">
        <v>565</v>
      </c>
    </row>
    <row r="15832" spans="1:12" x14ac:dyDescent="0.25">
      <c r="A15832" s="4" t="str">
        <f>HYPERLINK("http://www.rosaceae.org/Prunus/Prunus_persica/p.persica_gdr_reftransV1_0047218","p.persica_gdr_reftransV1_0047218")</f>
        <v>p.persica_gdr_reftransV1_0047218</v>
      </c>
      <c r="B15832" s="2">
        <v>2241</v>
      </c>
      <c r="C15832" s="4" t="str">
        <f>HYPERLINK("http://www.uniprot.org/uniprot/M5WCP5","M5WCP5")</f>
        <v>M5WCP5</v>
      </c>
      <c r="D15832" s="2" t="s">
        <v>5680</v>
      </c>
      <c r="E15832" s="3">
        <v>0</v>
      </c>
      <c r="F15832" s="2">
        <v>3268</v>
      </c>
      <c r="G15832" s="2">
        <v>100</v>
      </c>
      <c r="H15832" s="2">
        <v>631</v>
      </c>
      <c r="I15832" s="2">
        <v>164</v>
      </c>
      <c r="J15832" s="2">
        <v>2056</v>
      </c>
      <c r="K15832" s="2">
        <v>26</v>
      </c>
      <c r="L15832" s="2">
        <v>656</v>
      </c>
    </row>
    <row r="15833" spans="1:12" x14ac:dyDescent="0.25">
      <c r="A15833" s="4" t="str">
        <f>HYPERLINK("http://www.rosaceae.org/Prunus/Prunus_persica/p.persica_gdr_reftransV1_0048268","p.persica_gdr_reftransV1_0048268")</f>
        <v>p.persica_gdr_reftransV1_0048268</v>
      </c>
      <c r="B15833" s="2">
        <v>1612</v>
      </c>
      <c r="C15833" s="4" t="str">
        <f>HYPERLINK("http://www.uniprot.org/uniprot/M5WG02","M5WG02")</f>
        <v>M5WG02</v>
      </c>
      <c r="D15833" s="2" t="s">
        <v>10593</v>
      </c>
      <c r="E15833" s="3">
        <v>0</v>
      </c>
      <c r="F15833" s="2">
        <v>1566</v>
      </c>
      <c r="G15833" s="2">
        <v>100</v>
      </c>
      <c r="H15833" s="2">
        <v>376</v>
      </c>
      <c r="I15833" s="2">
        <v>402</v>
      </c>
      <c r="J15833" s="2">
        <v>1529</v>
      </c>
      <c r="K15833" s="2">
        <v>1</v>
      </c>
      <c r="L15833" s="2">
        <v>376</v>
      </c>
    </row>
    <row r="15834" spans="1:12" x14ac:dyDescent="0.25">
      <c r="A15834" s="4" t="str">
        <f>HYPERLINK("http://www.rosaceae.org/Prunus/Prunus_persica/p.persica_gdr_reftransV1_0048968","p.persica_gdr_reftransV1_0048968")</f>
        <v>p.persica_gdr_reftransV1_0048968</v>
      </c>
      <c r="B15834" s="2">
        <v>1743</v>
      </c>
      <c r="C15834" s="4" t="str">
        <f>HYPERLINK("http://www.uniprot.org/uniprot/M5Y702","M5Y702")</f>
        <v>M5Y702</v>
      </c>
      <c r="D15834" s="2" t="s">
        <v>8122</v>
      </c>
      <c r="E15834" s="3">
        <v>0</v>
      </c>
      <c r="F15834" s="2">
        <v>2406</v>
      </c>
      <c r="G15834" s="2">
        <v>99</v>
      </c>
      <c r="H15834" s="2">
        <v>500</v>
      </c>
      <c r="I15834" s="2">
        <v>242</v>
      </c>
      <c r="J15834" s="2">
        <v>1741</v>
      </c>
      <c r="K15834" s="2">
        <v>147</v>
      </c>
      <c r="L15834" s="2">
        <v>641</v>
      </c>
    </row>
    <row r="15835" spans="1:12" x14ac:dyDescent="0.25">
      <c r="A15835" s="4" t="str">
        <f>HYPERLINK("http://www.rosaceae.org/Prunus/Prunus_persica/p.persica_gdr_reftransV1_0000319","p.persica_gdr_reftransV1_0000319")</f>
        <v>p.persica_gdr_reftransV1_0000319</v>
      </c>
      <c r="B15835" s="2">
        <v>1414</v>
      </c>
      <c r="C15835" s="4" t="str">
        <f>HYPERLINK("http://www.uniprot.org/uniprot/M5W517","M5W517")</f>
        <v>M5W517</v>
      </c>
      <c r="D15835" s="2" t="s">
        <v>10197</v>
      </c>
      <c r="E15835" s="3">
        <v>6.5299999999999995E-150</v>
      </c>
      <c r="F15835" s="2">
        <v>916</v>
      </c>
      <c r="G15835" s="2">
        <v>100</v>
      </c>
      <c r="H15835" s="2">
        <v>191</v>
      </c>
      <c r="I15835" s="2">
        <v>437</v>
      </c>
      <c r="J15835" s="2">
        <v>1009</v>
      </c>
      <c r="K15835" s="2">
        <v>128</v>
      </c>
      <c r="L15835" s="2">
        <v>318</v>
      </c>
    </row>
    <row r="15836" spans="1:12" x14ac:dyDescent="0.25">
      <c r="A15836" s="4" t="str">
        <f>HYPERLINK("http://www.rosaceae.org/Prunus/Prunus_persica/p.persica_gdr_reftransV1_0000669","p.persica_gdr_reftransV1_0000669")</f>
        <v>p.persica_gdr_reftransV1_0000669</v>
      </c>
      <c r="B15836" s="2">
        <v>2117</v>
      </c>
      <c r="C15836" s="4" t="str">
        <f>HYPERLINK("http://www.uniprot.org/uniprot/M5W106","M5W106")</f>
        <v>M5W106</v>
      </c>
      <c r="D15836" s="2" t="s">
        <v>11063</v>
      </c>
      <c r="E15836" s="3">
        <v>0</v>
      </c>
      <c r="F15836" s="2">
        <v>2752</v>
      </c>
      <c r="G15836" s="2">
        <v>100</v>
      </c>
      <c r="H15836" s="2">
        <v>552</v>
      </c>
      <c r="I15836" s="2">
        <v>118</v>
      </c>
      <c r="J15836" s="2">
        <v>1773</v>
      </c>
      <c r="K15836" s="2">
        <v>1</v>
      </c>
      <c r="L15836" s="2">
        <v>552</v>
      </c>
    </row>
    <row r="15837" spans="1:12" x14ac:dyDescent="0.25">
      <c r="A15837" s="4" t="str">
        <f>HYPERLINK("http://www.rosaceae.org/Prunus/Prunus_persica/p.persica_gdr_reftransV1_0001019","p.persica_gdr_reftransV1_0001019")</f>
        <v>p.persica_gdr_reftransV1_0001019</v>
      </c>
      <c r="B15837" s="2">
        <v>662</v>
      </c>
      <c r="C15837" s="4" t="str">
        <f>HYPERLINK("http://www.uniprot.org/uniprot/M5XQ31","M5XQ31")</f>
        <v>M5XQ31</v>
      </c>
      <c r="D15837" s="2" t="s">
        <v>12659</v>
      </c>
      <c r="E15837" s="3">
        <v>6.78E-160</v>
      </c>
      <c r="F15837" s="2">
        <v>1200</v>
      </c>
      <c r="G15837" s="2">
        <v>99</v>
      </c>
      <c r="H15837" s="2">
        <v>220</v>
      </c>
      <c r="I15837" s="2">
        <v>3</v>
      </c>
      <c r="J15837" s="2">
        <v>662</v>
      </c>
      <c r="K15837" s="2">
        <v>335</v>
      </c>
      <c r="L15837" s="2">
        <v>554</v>
      </c>
    </row>
    <row r="15838" spans="1:12" x14ac:dyDescent="0.25">
      <c r="A15838" s="4" t="str">
        <f>HYPERLINK("http://www.rosaceae.org/Prunus/Prunus_persica/p.persica_gdr_reftransV1_0001369","p.persica_gdr_reftransV1_0001369")</f>
        <v>p.persica_gdr_reftransV1_0001369</v>
      </c>
      <c r="B15838" s="2">
        <v>1065</v>
      </c>
      <c r="C15838" s="4" t="str">
        <f>HYPERLINK("http://www.uniprot.org/uniprot/M5XRG3","M5XRG3")</f>
        <v>M5XRG3</v>
      </c>
      <c r="D15838" s="2" t="s">
        <v>12660</v>
      </c>
      <c r="E15838" s="3">
        <v>1.3E-135</v>
      </c>
      <c r="F15838" s="2">
        <v>1017</v>
      </c>
      <c r="G15838" s="2">
        <v>99</v>
      </c>
      <c r="H15838" s="2">
        <v>190</v>
      </c>
      <c r="I15838" s="2">
        <v>307</v>
      </c>
      <c r="J15838" s="2">
        <v>876</v>
      </c>
      <c r="K15838" s="2">
        <v>1</v>
      </c>
      <c r="L15838" s="2">
        <v>190</v>
      </c>
    </row>
    <row r="15839" spans="1:12" x14ac:dyDescent="0.25">
      <c r="A15839" s="4" t="str">
        <f>HYPERLINK("http://www.rosaceae.org/Prunus/Prunus_persica/p.persica_gdr_reftransV1_0001719","p.persica_gdr_reftransV1_0001719")</f>
        <v>p.persica_gdr_reftransV1_0001719</v>
      </c>
      <c r="B15839" s="2">
        <v>418</v>
      </c>
      <c r="C15839" s="4" t="str">
        <f>HYPERLINK("http://www.uniprot.org/uniprot/X0A6S3","X0A6S3")</f>
        <v>X0A6S3</v>
      </c>
      <c r="D15839" s="2" t="s">
        <v>12661</v>
      </c>
      <c r="E15839" s="3">
        <v>9.6000000000000006E-90</v>
      </c>
      <c r="F15839" s="2">
        <v>710</v>
      </c>
      <c r="G15839" s="2">
        <v>100</v>
      </c>
      <c r="H15839" s="2">
        <v>139</v>
      </c>
      <c r="I15839" s="2">
        <v>2</v>
      </c>
      <c r="J15839" s="2">
        <v>418</v>
      </c>
      <c r="K15839" s="2">
        <v>159</v>
      </c>
      <c r="L15839" s="2">
        <v>297</v>
      </c>
    </row>
    <row r="15840" spans="1:12" x14ac:dyDescent="0.25">
      <c r="A15840" s="4" t="str">
        <f>HYPERLINK("http://www.rosaceae.org/Prunus/Prunus_persica/p.persica_gdr_reftransV1_0002069","p.persica_gdr_reftransV1_0002069")</f>
        <v>p.persica_gdr_reftransV1_0002069</v>
      </c>
      <c r="B15840" s="2">
        <v>2972</v>
      </c>
      <c r="C15840" s="4" t="str">
        <f>HYPERLINK("http://www.uniprot.org/uniprot/M5W619","M5W619")</f>
        <v>M5W619</v>
      </c>
      <c r="D15840" s="2" t="s">
        <v>12662</v>
      </c>
      <c r="E15840" s="3">
        <v>0</v>
      </c>
      <c r="F15840" s="2">
        <v>1392</v>
      </c>
      <c r="G15840" s="2">
        <v>96</v>
      </c>
      <c r="H15840" s="2">
        <v>282</v>
      </c>
      <c r="I15840" s="2">
        <v>365</v>
      </c>
      <c r="J15840" s="2">
        <v>1210</v>
      </c>
      <c r="K15840" s="2">
        <v>1</v>
      </c>
      <c r="L15840" s="2">
        <v>270</v>
      </c>
    </row>
    <row r="15841" spans="1:12" x14ac:dyDescent="0.25">
      <c r="A15841" s="4" t="str">
        <f>HYPERLINK("http://www.rosaceae.org/Prunus/Prunus_persica/p.persica_gdr_reftransV1_0003819","p.persica_gdr_reftransV1_0003819")</f>
        <v>p.persica_gdr_reftransV1_0003819</v>
      </c>
      <c r="B15841" s="2">
        <v>1926</v>
      </c>
      <c r="C15841" s="4" t="str">
        <f>HYPERLINK("http://www.uniprot.org/uniprot/M5WW43","M5WW43")</f>
        <v>M5WW43</v>
      </c>
      <c r="D15841" s="2" t="s">
        <v>12663</v>
      </c>
      <c r="E15841" s="3">
        <v>0</v>
      </c>
      <c r="F15841" s="2">
        <v>2051</v>
      </c>
      <c r="G15841" s="2">
        <v>100</v>
      </c>
      <c r="H15841" s="2">
        <v>386</v>
      </c>
      <c r="I15841" s="2">
        <v>767</v>
      </c>
      <c r="J15841" s="2">
        <v>1924</v>
      </c>
      <c r="K15841" s="2">
        <v>165</v>
      </c>
      <c r="L15841" s="2">
        <v>550</v>
      </c>
    </row>
    <row r="15842" spans="1:12" x14ac:dyDescent="0.25">
      <c r="A15842" s="4" t="str">
        <f>HYPERLINK("http://www.rosaceae.org/Prunus/Prunus_persica/p.persica_gdr_reftransV1_0004169","p.persica_gdr_reftransV1_0004169")</f>
        <v>p.persica_gdr_reftransV1_0004169</v>
      </c>
      <c r="B15842" s="2">
        <v>1867</v>
      </c>
      <c r="C15842" s="4" t="str">
        <f>HYPERLINK("http://www.uniprot.org/uniprot/M5XCI5","M5XCI5")</f>
        <v>M5XCI5</v>
      </c>
      <c r="D15842" s="2" t="s">
        <v>3565</v>
      </c>
      <c r="E15842" s="3">
        <v>0</v>
      </c>
      <c r="F15842" s="2">
        <v>2020</v>
      </c>
      <c r="G15842" s="2">
        <v>100</v>
      </c>
      <c r="H15842" s="2">
        <v>435</v>
      </c>
      <c r="I15842" s="2">
        <v>252</v>
      </c>
      <c r="J15842" s="2">
        <v>1556</v>
      </c>
      <c r="K15842" s="2">
        <v>1</v>
      </c>
      <c r="L15842" s="2">
        <v>435</v>
      </c>
    </row>
    <row r="15843" spans="1:12" x14ac:dyDescent="0.25">
      <c r="A15843" s="4" t="str">
        <f>HYPERLINK("http://www.rosaceae.org/Prunus/Prunus_persica/p.persica_gdr_reftransV1_0005569","p.persica_gdr_reftransV1_0005569")</f>
        <v>p.persica_gdr_reftransV1_0005569</v>
      </c>
      <c r="B15843" s="2">
        <v>942</v>
      </c>
      <c r="C15843" s="4" t="str">
        <f>HYPERLINK("http://www.uniprot.org/uniprot/A0A067KVE5","A0A067KVE5")</f>
        <v>A0A067KVE5</v>
      </c>
      <c r="D15843" s="2" t="s">
        <v>12664</v>
      </c>
      <c r="E15843" s="3">
        <v>6.4300000000000001E-136</v>
      </c>
      <c r="F15843" s="2">
        <v>1019</v>
      </c>
      <c r="G15843" s="2">
        <v>85</v>
      </c>
      <c r="H15843" s="2">
        <v>233</v>
      </c>
      <c r="I15843" s="2">
        <v>161</v>
      </c>
      <c r="J15843" s="2">
        <v>859</v>
      </c>
      <c r="K15843" s="2">
        <v>1</v>
      </c>
      <c r="L15843" s="2">
        <v>230</v>
      </c>
    </row>
    <row r="15844" spans="1:12" x14ac:dyDescent="0.25">
      <c r="A15844" s="4" t="str">
        <f>HYPERLINK("http://www.rosaceae.org/Prunus/Prunus_persica/p.persica_gdr_reftransV1_0005919","p.persica_gdr_reftransV1_0005919")</f>
        <v>p.persica_gdr_reftransV1_0005919</v>
      </c>
      <c r="B15844" s="2">
        <v>1058</v>
      </c>
      <c r="C15844" s="4" t="str">
        <f>HYPERLINK("http://www.uniprot.org/uniprot/A6XN06","A6XN06")</f>
        <v>A6XN06</v>
      </c>
      <c r="D15844" s="2" t="s">
        <v>2264</v>
      </c>
      <c r="E15844" s="3">
        <v>3.7300000000000001E-121</v>
      </c>
      <c r="F15844" s="2">
        <v>932</v>
      </c>
      <c r="G15844" s="2">
        <v>59</v>
      </c>
      <c r="H15844" s="2">
        <v>293</v>
      </c>
      <c r="I15844" s="2">
        <v>92</v>
      </c>
      <c r="J15844" s="2">
        <v>946</v>
      </c>
      <c r="K15844" s="2">
        <v>1</v>
      </c>
      <c r="L15844" s="2">
        <v>293</v>
      </c>
    </row>
    <row r="15845" spans="1:12" x14ac:dyDescent="0.25">
      <c r="A15845" s="4" t="str">
        <f>HYPERLINK("http://www.rosaceae.org/Prunus/Prunus_persica/p.persica_gdr_reftransV1_0006269","p.persica_gdr_reftransV1_0006269")</f>
        <v>p.persica_gdr_reftransV1_0006269</v>
      </c>
      <c r="B15845" s="2">
        <v>939</v>
      </c>
      <c r="C15845" s="4" t="str">
        <f>HYPERLINK("http://www.uniprot.org/uniprot/M5WZV5","M5WZV5")</f>
        <v>M5WZV5</v>
      </c>
      <c r="D15845" s="2" t="s">
        <v>3835</v>
      </c>
      <c r="E15845" s="3">
        <v>9.5499999999999994E-176</v>
      </c>
      <c r="F15845" s="2">
        <v>1338</v>
      </c>
      <c r="G15845" s="2">
        <v>100</v>
      </c>
      <c r="H15845" s="2">
        <v>266</v>
      </c>
      <c r="I15845" s="2">
        <v>2</v>
      </c>
      <c r="J15845" s="2">
        <v>799</v>
      </c>
      <c r="K15845" s="2">
        <v>19</v>
      </c>
      <c r="L15845" s="2">
        <v>284</v>
      </c>
    </row>
    <row r="15846" spans="1:12" x14ac:dyDescent="0.25">
      <c r="A15846" s="4" t="str">
        <f>HYPERLINK("http://www.rosaceae.org/Prunus/Prunus_persica/p.persica_gdr_reftransV1_0007319","p.persica_gdr_reftransV1_0007319")</f>
        <v>p.persica_gdr_reftransV1_0007319</v>
      </c>
      <c r="B15846" s="2">
        <v>1039</v>
      </c>
      <c r="C15846" s="4" t="str">
        <f>HYPERLINK("http://www.uniprot.org/uniprot/M5XMS0","M5XMS0")</f>
        <v>M5XMS0</v>
      </c>
      <c r="D15846" s="2" t="s">
        <v>12665</v>
      </c>
      <c r="E15846" s="3">
        <v>3.55E-100</v>
      </c>
      <c r="F15846" s="2">
        <v>786</v>
      </c>
      <c r="G15846" s="2">
        <v>100</v>
      </c>
      <c r="H15846" s="2">
        <v>231</v>
      </c>
      <c r="I15846" s="2">
        <v>227</v>
      </c>
      <c r="J15846" s="2">
        <v>919</v>
      </c>
      <c r="K15846" s="2">
        <v>1</v>
      </c>
      <c r="L15846" s="2">
        <v>231</v>
      </c>
    </row>
    <row r="15847" spans="1:12" x14ac:dyDescent="0.25">
      <c r="A15847" s="4" t="str">
        <f>HYPERLINK("http://www.rosaceae.org/Prunus/Prunus_persica/p.persica_gdr_reftransV1_0008019","p.persica_gdr_reftransV1_0008019")</f>
        <v>p.persica_gdr_reftransV1_0008019</v>
      </c>
      <c r="B15847" s="2">
        <v>967</v>
      </c>
      <c r="C15847" s="4" t="str">
        <f>HYPERLINK("http://www.uniprot.org/uniprot/M5XZD1","M5XZD1")</f>
        <v>M5XZD1</v>
      </c>
      <c r="D15847" s="2" t="s">
        <v>12666</v>
      </c>
      <c r="E15847" s="3">
        <v>2.24E-112</v>
      </c>
      <c r="F15847" s="2">
        <v>862</v>
      </c>
      <c r="G15847" s="2">
        <v>100</v>
      </c>
      <c r="H15847" s="2">
        <v>201</v>
      </c>
      <c r="I15847" s="2">
        <v>72</v>
      </c>
      <c r="J15847" s="2">
        <v>674</v>
      </c>
      <c r="K15847" s="2">
        <v>1</v>
      </c>
      <c r="L15847" s="2">
        <v>201</v>
      </c>
    </row>
    <row r="15848" spans="1:12" x14ac:dyDescent="0.25">
      <c r="A15848" s="4" t="str">
        <f>HYPERLINK("http://www.rosaceae.org/Prunus/Prunus_persica/p.persica_gdr_reftransV1_0008369","p.persica_gdr_reftransV1_0008369")</f>
        <v>p.persica_gdr_reftransV1_0008369</v>
      </c>
      <c r="B15848" s="2">
        <v>3264</v>
      </c>
      <c r="C15848" s="4" t="str">
        <f>HYPERLINK("http://www.uniprot.org/uniprot/M5XZK6","M5XZK6")</f>
        <v>M5XZK6</v>
      </c>
      <c r="D15848" s="2" t="s">
        <v>12667</v>
      </c>
      <c r="E15848" s="3">
        <v>0</v>
      </c>
      <c r="F15848" s="2">
        <v>3804</v>
      </c>
      <c r="G15848" s="2">
        <v>100</v>
      </c>
      <c r="H15848" s="2">
        <v>739</v>
      </c>
      <c r="I15848" s="2">
        <v>584</v>
      </c>
      <c r="J15848" s="2">
        <v>2800</v>
      </c>
      <c r="K15848" s="2">
        <v>20</v>
      </c>
      <c r="L15848" s="2">
        <v>758</v>
      </c>
    </row>
    <row r="15849" spans="1:12" x14ac:dyDescent="0.25">
      <c r="A15849" s="4" t="str">
        <f>HYPERLINK("http://www.rosaceae.org/Prunus/Prunus_persica/p.persica_gdr_reftransV1_0009069","p.persica_gdr_reftransV1_0009069")</f>
        <v>p.persica_gdr_reftransV1_0009069</v>
      </c>
      <c r="B15849" s="2">
        <v>1920</v>
      </c>
      <c r="C15849" s="4" t="str">
        <f>HYPERLINK("http://www.uniprot.org/uniprot/M5W869","M5W869")</f>
        <v>M5W869</v>
      </c>
      <c r="D15849" s="2" t="s">
        <v>12668</v>
      </c>
      <c r="E15849" s="3">
        <v>0</v>
      </c>
      <c r="F15849" s="2">
        <v>2600</v>
      </c>
      <c r="G15849" s="2">
        <v>100</v>
      </c>
      <c r="H15849" s="2">
        <v>535</v>
      </c>
      <c r="I15849" s="2">
        <v>1</v>
      </c>
      <c r="J15849" s="2">
        <v>1605</v>
      </c>
      <c r="K15849" s="2">
        <v>76</v>
      </c>
      <c r="L15849" s="2">
        <v>610</v>
      </c>
    </row>
    <row r="15850" spans="1:12" x14ac:dyDescent="0.25">
      <c r="A15850" s="4" t="str">
        <f>HYPERLINK("http://www.rosaceae.org/Prunus/Prunus_persica/p.persica_gdr_reftransV1_0009419","p.persica_gdr_reftransV1_0009419")</f>
        <v>p.persica_gdr_reftransV1_0009419</v>
      </c>
      <c r="B15850" s="2">
        <v>1889</v>
      </c>
      <c r="C15850" s="4" t="str">
        <f>HYPERLINK("http://www.uniprot.org/uniprot/M5XXU6","M5XXU6")</f>
        <v>M5XXU6</v>
      </c>
      <c r="D15850" s="2" t="s">
        <v>12669</v>
      </c>
      <c r="E15850" s="3">
        <v>0</v>
      </c>
      <c r="F15850" s="2">
        <v>1681</v>
      </c>
      <c r="G15850" s="2">
        <v>100</v>
      </c>
      <c r="H15850" s="2">
        <v>316</v>
      </c>
      <c r="I15850" s="2">
        <v>590</v>
      </c>
      <c r="J15850" s="2">
        <v>1537</v>
      </c>
      <c r="K15850" s="2">
        <v>84</v>
      </c>
      <c r="L15850" s="2">
        <v>399</v>
      </c>
    </row>
    <row r="15851" spans="1:12" x14ac:dyDescent="0.25">
      <c r="A15851" s="4" t="str">
        <f>HYPERLINK("http://www.rosaceae.org/Prunus/Prunus_persica/p.persica_gdr_reftransV1_0009769","p.persica_gdr_reftransV1_0009769")</f>
        <v>p.persica_gdr_reftransV1_0009769</v>
      </c>
      <c r="B15851" s="2">
        <v>1202</v>
      </c>
      <c r="C15851" s="4" t="str">
        <f>HYPERLINK("http://www.uniprot.org/uniprot/M5WAN4","M5WAN4")</f>
        <v>M5WAN4</v>
      </c>
      <c r="D15851" s="2" t="s">
        <v>4034</v>
      </c>
      <c r="E15851" s="3">
        <v>7.5100000000000006E-102</v>
      </c>
      <c r="F15851" s="2">
        <v>826</v>
      </c>
      <c r="G15851" s="2">
        <v>100</v>
      </c>
      <c r="H15851" s="2">
        <v>174</v>
      </c>
      <c r="I15851" s="2">
        <v>3</v>
      </c>
      <c r="J15851" s="2">
        <v>524</v>
      </c>
      <c r="K15851" s="2">
        <v>1</v>
      </c>
      <c r="L15851" s="2">
        <v>174</v>
      </c>
    </row>
    <row r="15852" spans="1:12" x14ac:dyDescent="0.25">
      <c r="A15852" s="4" t="str">
        <f>HYPERLINK("http://www.rosaceae.org/Prunus/Prunus_persica/p.persica_gdr_reftransV1_0010119","p.persica_gdr_reftransV1_0010119")</f>
        <v>p.persica_gdr_reftransV1_0010119</v>
      </c>
      <c r="B15852" s="2">
        <v>2080</v>
      </c>
      <c r="C15852" s="4" t="str">
        <f>HYPERLINK("http://www.uniprot.org/uniprot/W9RK31","W9RK31")</f>
        <v>W9RK31</v>
      </c>
      <c r="D15852" s="2" t="s">
        <v>12670</v>
      </c>
      <c r="E15852" s="3">
        <v>0</v>
      </c>
      <c r="F15852" s="2">
        <v>1651</v>
      </c>
      <c r="G15852" s="2">
        <v>57</v>
      </c>
      <c r="H15852" s="2">
        <v>593</v>
      </c>
      <c r="I15852" s="2">
        <v>97</v>
      </c>
      <c r="J15852" s="2">
        <v>1860</v>
      </c>
      <c r="K15852" s="2">
        <v>29</v>
      </c>
      <c r="L15852" s="2">
        <v>600</v>
      </c>
    </row>
    <row r="15853" spans="1:12" x14ac:dyDescent="0.25">
      <c r="A15853" s="4" t="str">
        <f>HYPERLINK("http://www.rosaceae.org/Prunus/Prunus_persica/p.persica_gdr_reftransV1_0010469","p.persica_gdr_reftransV1_0010469")</f>
        <v>p.persica_gdr_reftransV1_0010469</v>
      </c>
      <c r="B15853" s="2">
        <v>4870</v>
      </c>
      <c r="C15853" s="4" t="str">
        <f>HYPERLINK("http://www.uniprot.org/uniprot/M5WR03","M5WR03")</f>
        <v>M5WR03</v>
      </c>
      <c r="D15853" s="2" t="s">
        <v>5182</v>
      </c>
      <c r="E15853" s="3">
        <v>0</v>
      </c>
      <c r="F15853" s="2">
        <v>3604</v>
      </c>
      <c r="G15853" s="2">
        <v>100</v>
      </c>
      <c r="H15853" s="2">
        <v>734</v>
      </c>
      <c r="I15853" s="2">
        <v>2445</v>
      </c>
      <c r="J15853" s="2">
        <v>4646</v>
      </c>
      <c r="K15853" s="2">
        <v>1</v>
      </c>
      <c r="L15853" s="2">
        <v>734</v>
      </c>
    </row>
    <row r="15854" spans="1:12" x14ac:dyDescent="0.25">
      <c r="A15854" s="4" t="str">
        <f>HYPERLINK("http://www.rosaceae.org/Prunus/Prunus_persica/p.persica_gdr_reftransV1_0010819","p.persica_gdr_reftransV1_0010819")</f>
        <v>p.persica_gdr_reftransV1_0010819</v>
      </c>
      <c r="B15854" s="2">
        <v>1503</v>
      </c>
      <c r="C15854" s="4" t="str">
        <f>HYPERLINK("http://www.uniprot.org/uniprot/M5W9W4","M5W9W4")</f>
        <v>M5W9W4</v>
      </c>
      <c r="D15854" s="2" t="s">
        <v>12671</v>
      </c>
      <c r="E15854" s="3">
        <v>0</v>
      </c>
      <c r="F15854" s="2">
        <v>1775</v>
      </c>
      <c r="G15854" s="2">
        <v>100</v>
      </c>
      <c r="H15854" s="2">
        <v>329</v>
      </c>
      <c r="I15854" s="2">
        <v>212</v>
      </c>
      <c r="J15854" s="2">
        <v>1198</v>
      </c>
      <c r="K15854" s="2">
        <v>1</v>
      </c>
      <c r="L15854" s="2">
        <v>329</v>
      </c>
    </row>
    <row r="15855" spans="1:12" x14ac:dyDescent="0.25">
      <c r="A15855" s="4" t="str">
        <f>HYPERLINK("http://www.rosaceae.org/Prunus/Prunus_persica/p.persica_gdr_reftransV1_0011519","p.persica_gdr_reftransV1_0011519")</f>
        <v>p.persica_gdr_reftransV1_0011519</v>
      </c>
      <c r="B15855" s="2">
        <v>3604</v>
      </c>
      <c r="C15855" s="4" t="str">
        <f>HYPERLINK("http://www.uniprot.org/uniprot/M5W665","M5W665")</f>
        <v>M5W665</v>
      </c>
      <c r="D15855" s="2" t="s">
        <v>185</v>
      </c>
      <c r="E15855" s="3">
        <v>0</v>
      </c>
      <c r="F15855" s="2">
        <v>3163</v>
      </c>
      <c r="G15855" s="2">
        <v>100</v>
      </c>
      <c r="H15855" s="2">
        <v>621</v>
      </c>
      <c r="I15855" s="2">
        <v>1493</v>
      </c>
      <c r="J15855" s="2">
        <v>3355</v>
      </c>
      <c r="K15855" s="2">
        <v>1</v>
      </c>
      <c r="L15855" s="2">
        <v>621</v>
      </c>
    </row>
    <row r="15856" spans="1:12" x14ac:dyDescent="0.25">
      <c r="A15856" s="4" t="str">
        <f>HYPERLINK("http://www.rosaceae.org/Prunus/Prunus_persica/p.persica_gdr_reftransV1_0011869","p.persica_gdr_reftransV1_0011869")</f>
        <v>p.persica_gdr_reftransV1_0011869</v>
      </c>
      <c r="B15856" s="2">
        <v>2668</v>
      </c>
      <c r="C15856" s="4" t="str">
        <f>HYPERLINK("http://www.uniprot.org/uniprot/A0A061GDR4","A0A061GDR4")</f>
        <v>A0A061GDR4</v>
      </c>
      <c r="D15856" s="2" t="s">
        <v>12672</v>
      </c>
      <c r="E15856" s="3">
        <v>8.9599999999999996E-107</v>
      </c>
      <c r="F15856" s="2">
        <v>886</v>
      </c>
      <c r="G15856" s="2">
        <v>80</v>
      </c>
      <c r="H15856" s="2">
        <v>210</v>
      </c>
      <c r="I15856" s="2">
        <v>1617</v>
      </c>
      <c r="J15856" s="2">
        <v>2246</v>
      </c>
      <c r="K15856" s="2">
        <v>154</v>
      </c>
      <c r="L15856" s="2">
        <v>363</v>
      </c>
    </row>
    <row r="15857" spans="1:12" x14ac:dyDescent="0.25">
      <c r="A15857" s="4" t="str">
        <f>HYPERLINK("http://www.rosaceae.org/Prunus/Prunus_persica/p.persica_gdr_reftransV1_0012569","p.persica_gdr_reftransV1_0012569")</f>
        <v>p.persica_gdr_reftransV1_0012569</v>
      </c>
      <c r="B15857" s="2">
        <v>799</v>
      </c>
      <c r="C15857" s="4" t="str">
        <f>HYPERLINK("http://www.uniprot.org/uniprot/M5XL68","M5XL68")</f>
        <v>M5XL68</v>
      </c>
      <c r="D15857" s="2" t="s">
        <v>12347</v>
      </c>
      <c r="E15857" s="3">
        <v>8.0799999999999999E-43</v>
      </c>
      <c r="F15857" s="2">
        <v>387</v>
      </c>
      <c r="G15857" s="2">
        <v>100</v>
      </c>
      <c r="H15857" s="2">
        <v>94</v>
      </c>
      <c r="I15857" s="2">
        <v>1</v>
      </c>
      <c r="J15857" s="2">
        <v>282</v>
      </c>
      <c r="K15857" s="2">
        <v>1</v>
      </c>
      <c r="L15857" s="2">
        <v>94</v>
      </c>
    </row>
    <row r="15858" spans="1:12" x14ac:dyDescent="0.25">
      <c r="A15858" s="4" t="str">
        <f>HYPERLINK("http://www.rosaceae.org/Prunus/Prunus_persica/p.persica_gdr_reftransV1_0012919","p.persica_gdr_reftransV1_0012919")</f>
        <v>p.persica_gdr_reftransV1_0012919</v>
      </c>
      <c r="B15858" s="2">
        <v>4251</v>
      </c>
      <c r="C15858" s="4" t="str">
        <f>HYPERLINK("http://www.uniprot.org/uniprot/M5VNF7","M5VNF7")</f>
        <v>M5VNF7</v>
      </c>
      <c r="D15858" s="2" t="s">
        <v>12673</v>
      </c>
      <c r="E15858" s="3">
        <v>0</v>
      </c>
      <c r="F15858" s="2">
        <v>6066</v>
      </c>
      <c r="G15858" s="2">
        <v>100</v>
      </c>
      <c r="H15858" s="2">
        <v>1277</v>
      </c>
      <c r="I15858" s="2">
        <v>353</v>
      </c>
      <c r="J15858" s="2">
        <v>4183</v>
      </c>
      <c r="K15858" s="2">
        <v>1</v>
      </c>
      <c r="L15858" s="2">
        <v>1277</v>
      </c>
    </row>
    <row r="15859" spans="1:12" x14ac:dyDescent="0.25">
      <c r="A15859" s="4" t="str">
        <f>HYPERLINK("http://www.rosaceae.org/Prunus/Prunus_persica/p.persica_gdr_reftransV1_0013269","p.persica_gdr_reftransV1_0013269")</f>
        <v>p.persica_gdr_reftransV1_0013269</v>
      </c>
      <c r="B15859" s="2">
        <v>1871</v>
      </c>
      <c r="C15859" s="4" t="str">
        <f>HYPERLINK("http://www.uniprot.org/uniprot/M5VNM3","M5VNM3")</f>
        <v>M5VNM3</v>
      </c>
      <c r="D15859" s="2" t="s">
        <v>8680</v>
      </c>
      <c r="E15859" s="3">
        <v>5.2400000000000001E-57</v>
      </c>
      <c r="F15859" s="2">
        <v>524</v>
      </c>
      <c r="G15859" s="2">
        <v>100</v>
      </c>
      <c r="H15859" s="2">
        <v>98</v>
      </c>
      <c r="I15859" s="2">
        <v>355</v>
      </c>
      <c r="J15859" s="2">
        <v>648</v>
      </c>
      <c r="K15859" s="2">
        <v>233</v>
      </c>
      <c r="L15859" s="2">
        <v>330</v>
      </c>
    </row>
    <row r="15860" spans="1:12" x14ac:dyDescent="0.25">
      <c r="A15860" s="4" t="str">
        <f>HYPERLINK("http://www.rosaceae.org/Prunus/Prunus_persica/p.persica_gdr_reftransV1_0013619","p.persica_gdr_reftransV1_0013619")</f>
        <v>p.persica_gdr_reftransV1_0013619</v>
      </c>
      <c r="B15860" s="2">
        <v>2048</v>
      </c>
      <c r="C15860" s="4" t="str">
        <f>HYPERLINK("http://www.uniprot.org/uniprot/M5WN96","M5WN96")</f>
        <v>M5WN96</v>
      </c>
      <c r="D15860" s="2" t="s">
        <v>8172</v>
      </c>
      <c r="E15860" s="3">
        <v>0</v>
      </c>
      <c r="F15860" s="2">
        <v>1531</v>
      </c>
      <c r="G15860" s="2">
        <v>100</v>
      </c>
      <c r="H15860" s="2">
        <v>302</v>
      </c>
      <c r="I15860" s="2">
        <v>342</v>
      </c>
      <c r="J15860" s="2">
        <v>1247</v>
      </c>
      <c r="K15860" s="2">
        <v>1</v>
      </c>
      <c r="L15860" s="2">
        <v>302</v>
      </c>
    </row>
    <row r="15861" spans="1:12" x14ac:dyDescent="0.25">
      <c r="A15861" s="4" t="str">
        <f>HYPERLINK("http://www.rosaceae.org/Prunus/Prunus_persica/p.persica_gdr_reftransV1_0017819","p.persica_gdr_reftransV1_0017819")</f>
        <v>p.persica_gdr_reftransV1_0017819</v>
      </c>
      <c r="B15861" s="2">
        <v>2186</v>
      </c>
      <c r="C15861" s="4" t="str">
        <f>HYPERLINK("http://www.uniprot.org/uniprot/M5W930","M5W930")</f>
        <v>M5W930</v>
      </c>
      <c r="D15861" s="2" t="s">
        <v>12674</v>
      </c>
      <c r="E15861" s="3">
        <v>0</v>
      </c>
      <c r="F15861" s="2">
        <v>2577</v>
      </c>
      <c r="G15861" s="2">
        <v>99</v>
      </c>
      <c r="H15861" s="2">
        <v>510</v>
      </c>
      <c r="I15861" s="2">
        <v>384</v>
      </c>
      <c r="J15861" s="2">
        <v>1913</v>
      </c>
      <c r="K15861" s="2">
        <v>1</v>
      </c>
      <c r="L15861" s="2">
        <v>509</v>
      </c>
    </row>
    <row r="15862" spans="1:12" x14ac:dyDescent="0.25">
      <c r="A15862" s="4" t="str">
        <f>HYPERLINK("http://www.rosaceae.org/Prunus/Prunus_persica/p.persica_gdr_reftransV1_0019219","p.persica_gdr_reftransV1_0019219")</f>
        <v>p.persica_gdr_reftransV1_0019219</v>
      </c>
      <c r="B15862" s="2">
        <v>2569</v>
      </c>
      <c r="C15862" s="4" t="str">
        <f>HYPERLINK("http://www.uniprot.org/uniprot/M5WM63","M5WM63")</f>
        <v>M5WM63</v>
      </c>
      <c r="D15862" s="2" t="s">
        <v>7207</v>
      </c>
      <c r="E15862" s="3">
        <v>0</v>
      </c>
      <c r="F15862" s="2">
        <v>2375</v>
      </c>
      <c r="G15862" s="2">
        <v>100</v>
      </c>
      <c r="H15862" s="2">
        <v>479</v>
      </c>
      <c r="I15862" s="2">
        <v>854</v>
      </c>
      <c r="J15862" s="2">
        <v>2290</v>
      </c>
      <c r="K15862" s="2">
        <v>1</v>
      </c>
      <c r="L15862" s="2">
        <v>479</v>
      </c>
    </row>
    <row r="15863" spans="1:12" x14ac:dyDescent="0.25">
      <c r="A15863" s="4" t="str">
        <f>HYPERLINK("http://www.rosaceae.org/Prunus/Prunus_persica/p.persica_gdr_reftransV1_0020969","p.persica_gdr_reftransV1_0020969")</f>
        <v>p.persica_gdr_reftransV1_0020969</v>
      </c>
      <c r="B15863" s="2">
        <v>1080</v>
      </c>
      <c r="C15863" s="4" t="str">
        <f>HYPERLINK("http://www.uniprot.org/uniprot/M5W0T9","M5W0T9")</f>
        <v>M5W0T9</v>
      </c>
      <c r="D15863" s="2" t="s">
        <v>5264</v>
      </c>
      <c r="E15863" s="3">
        <v>4.5199999999999998E-69</v>
      </c>
      <c r="F15863" s="2">
        <v>571</v>
      </c>
      <c r="G15863" s="2">
        <v>100</v>
      </c>
      <c r="H15863" s="2">
        <v>132</v>
      </c>
      <c r="I15863" s="2">
        <v>190</v>
      </c>
      <c r="J15863" s="2">
        <v>585</v>
      </c>
      <c r="K15863" s="2">
        <v>1</v>
      </c>
      <c r="L15863" s="2">
        <v>132</v>
      </c>
    </row>
    <row r="15864" spans="1:12" x14ac:dyDescent="0.25">
      <c r="A15864" s="4" t="str">
        <f>HYPERLINK("http://www.rosaceae.org/Prunus/Prunus_persica/p.persica_gdr_reftransV1_0021319","p.persica_gdr_reftransV1_0021319")</f>
        <v>p.persica_gdr_reftransV1_0021319</v>
      </c>
      <c r="B15864" s="2">
        <v>809</v>
      </c>
      <c r="C15864" s="4" t="str">
        <f>HYPERLINK("http://www.uniprot.org/uniprot/M5WFF6","M5WFF6")</f>
        <v>M5WFF6</v>
      </c>
      <c r="D15864" s="2" t="s">
        <v>12675</v>
      </c>
      <c r="E15864" s="3">
        <v>2.9200000000000001E-85</v>
      </c>
      <c r="F15864" s="2">
        <v>693</v>
      </c>
      <c r="G15864" s="2">
        <v>100</v>
      </c>
      <c r="H15864" s="2">
        <v>136</v>
      </c>
      <c r="I15864" s="2">
        <v>3</v>
      </c>
      <c r="J15864" s="2">
        <v>410</v>
      </c>
      <c r="K15864" s="2">
        <v>74</v>
      </c>
      <c r="L15864" s="2">
        <v>209</v>
      </c>
    </row>
    <row r="15865" spans="1:12" x14ac:dyDescent="0.25">
      <c r="A15865" s="4" t="str">
        <f>HYPERLINK("http://www.rosaceae.org/Prunus/Prunus_persica/p.persica_gdr_reftransV1_0023069","p.persica_gdr_reftransV1_0023069")</f>
        <v>p.persica_gdr_reftransV1_0023069</v>
      </c>
      <c r="B15865" s="2">
        <v>5393</v>
      </c>
      <c r="C15865" s="4" t="str">
        <f>HYPERLINK("http://www.uniprot.org/uniprot/M5W158","M5W158")</f>
        <v>M5W158</v>
      </c>
      <c r="D15865" s="2" t="s">
        <v>12676</v>
      </c>
      <c r="E15865" s="3">
        <v>0</v>
      </c>
      <c r="F15865" s="2">
        <v>4726</v>
      </c>
      <c r="G15865" s="2">
        <v>100</v>
      </c>
      <c r="H15865" s="2">
        <v>969</v>
      </c>
      <c r="I15865" s="2">
        <v>95</v>
      </c>
      <c r="J15865" s="2">
        <v>3001</v>
      </c>
      <c r="K15865" s="2">
        <v>73</v>
      </c>
      <c r="L15865" s="2">
        <v>1041</v>
      </c>
    </row>
    <row r="15866" spans="1:12" x14ac:dyDescent="0.25">
      <c r="A15866" s="4" t="str">
        <f>HYPERLINK("http://www.rosaceae.org/Prunus/Prunus_persica/p.persica_gdr_reftransV1_0024819","p.persica_gdr_reftransV1_0024819")</f>
        <v>p.persica_gdr_reftransV1_0024819</v>
      </c>
      <c r="B15866" s="2">
        <v>1660</v>
      </c>
      <c r="C15866" s="4" t="str">
        <f>HYPERLINK("http://www.uniprot.org/uniprot/M5VZ28","M5VZ28")</f>
        <v>M5VZ28</v>
      </c>
      <c r="D15866" s="2" t="s">
        <v>12677</v>
      </c>
      <c r="E15866" s="3">
        <v>0</v>
      </c>
      <c r="F15866" s="2">
        <v>1482</v>
      </c>
      <c r="G15866" s="2">
        <v>99</v>
      </c>
      <c r="H15866" s="2">
        <v>280</v>
      </c>
      <c r="I15866" s="2">
        <v>164</v>
      </c>
      <c r="J15866" s="2">
        <v>1003</v>
      </c>
      <c r="K15866" s="2">
        <v>1</v>
      </c>
      <c r="L15866" s="2">
        <v>277</v>
      </c>
    </row>
    <row r="15867" spans="1:12" x14ac:dyDescent="0.25">
      <c r="A15867" s="4" t="str">
        <f>HYPERLINK("http://www.rosaceae.org/Prunus/Prunus_persica/p.persica_gdr_reftransV1_0027969","p.persica_gdr_reftransV1_0027969")</f>
        <v>p.persica_gdr_reftransV1_0027969</v>
      </c>
      <c r="B15867" s="2">
        <v>1623</v>
      </c>
      <c r="C15867" s="4" t="str">
        <f>HYPERLINK("http://www.uniprot.org/uniprot/M5X574","M5X574")</f>
        <v>M5X574</v>
      </c>
      <c r="D15867" s="2" t="s">
        <v>12678</v>
      </c>
      <c r="E15867" s="3">
        <v>0</v>
      </c>
      <c r="F15867" s="2">
        <v>2136</v>
      </c>
      <c r="G15867" s="2">
        <v>100</v>
      </c>
      <c r="H15867" s="2">
        <v>403</v>
      </c>
      <c r="I15867" s="2">
        <v>160</v>
      </c>
      <c r="J15867" s="2">
        <v>1368</v>
      </c>
      <c r="K15867" s="2">
        <v>2</v>
      </c>
      <c r="L15867" s="2">
        <v>404</v>
      </c>
    </row>
    <row r="15868" spans="1:12" x14ac:dyDescent="0.25">
      <c r="A15868" s="4" t="str">
        <f>HYPERLINK("http://www.rosaceae.org/Prunus/Prunus_persica/p.persica_gdr_reftransV1_0028319","p.persica_gdr_reftransV1_0028319")</f>
        <v>p.persica_gdr_reftransV1_0028319</v>
      </c>
      <c r="B15868" s="2">
        <v>720</v>
      </c>
      <c r="C15868" s="4" t="str">
        <f>HYPERLINK("http://www.uniprot.org/uniprot/M5XJ91","M5XJ91")</f>
        <v>M5XJ91</v>
      </c>
      <c r="D15868" s="2" t="s">
        <v>4028</v>
      </c>
      <c r="E15868" s="3">
        <v>5.4000000000000002E-95</v>
      </c>
      <c r="F15868" s="2">
        <v>803</v>
      </c>
      <c r="G15868" s="2">
        <v>100</v>
      </c>
      <c r="H15868" s="2">
        <v>219</v>
      </c>
      <c r="I15868" s="2">
        <v>3</v>
      </c>
      <c r="J15868" s="2">
        <v>659</v>
      </c>
      <c r="K15868" s="2">
        <v>1</v>
      </c>
      <c r="L15868" s="2">
        <v>219</v>
      </c>
    </row>
    <row r="15869" spans="1:12" x14ac:dyDescent="0.25">
      <c r="A15869" s="4" t="str">
        <f>HYPERLINK("http://www.rosaceae.org/Prunus/Prunus_persica/p.persica_gdr_reftransV1_0029369","p.persica_gdr_reftransV1_0029369")</f>
        <v>p.persica_gdr_reftransV1_0029369</v>
      </c>
      <c r="B15869" s="2">
        <v>1471</v>
      </c>
      <c r="C15869" s="4" t="str">
        <f>HYPERLINK("http://www.uniprot.org/uniprot/M5W004","M5W004")</f>
        <v>M5W004</v>
      </c>
      <c r="D15869" s="2" t="s">
        <v>12679</v>
      </c>
      <c r="E15869" s="3">
        <v>0</v>
      </c>
      <c r="F15869" s="2">
        <v>1107</v>
      </c>
      <c r="G15869" s="2">
        <v>100</v>
      </c>
      <c r="H15869" s="2">
        <v>205</v>
      </c>
      <c r="I15869" s="2">
        <v>679</v>
      </c>
      <c r="J15869" s="2">
        <v>1293</v>
      </c>
      <c r="K15869" s="2">
        <v>12</v>
      </c>
      <c r="L15869" s="2">
        <v>216</v>
      </c>
    </row>
    <row r="15870" spans="1:12" x14ac:dyDescent="0.25">
      <c r="A15870" s="4" t="str">
        <f>HYPERLINK("http://www.rosaceae.org/Prunus/Prunus_persica/p.persica_gdr_reftransV1_0030419","p.persica_gdr_reftransV1_0030419")</f>
        <v>p.persica_gdr_reftransV1_0030419</v>
      </c>
      <c r="B15870" s="2">
        <v>1559</v>
      </c>
      <c r="C15870" s="4" t="str">
        <f>HYPERLINK("http://www.uniprot.org/uniprot/M5WAN2","M5WAN2")</f>
        <v>M5WAN2</v>
      </c>
      <c r="D15870" s="2" t="s">
        <v>12680</v>
      </c>
      <c r="E15870" s="3">
        <v>1.94E-119</v>
      </c>
      <c r="F15870" s="2">
        <v>925</v>
      </c>
      <c r="G15870" s="2">
        <v>100</v>
      </c>
      <c r="H15870" s="2">
        <v>175</v>
      </c>
      <c r="I15870" s="2">
        <v>324</v>
      </c>
      <c r="J15870" s="2">
        <v>848</v>
      </c>
      <c r="K15870" s="2">
        <v>1</v>
      </c>
      <c r="L15870" s="2">
        <v>175</v>
      </c>
    </row>
    <row r="15871" spans="1:12" x14ac:dyDescent="0.25">
      <c r="A15871" s="4" t="str">
        <f>HYPERLINK("http://www.rosaceae.org/Prunus/Prunus_persica/p.persica_gdr_reftransV1_0031119","p.persica_gdr_reftransV1_0031119")</f>
        <v>p.persica_gdr_reftransV1_0031119</v>
      </c>
      <c r="B15871" s="2">
        <v>1184</v>
      </c>
      <c r="C15871" s="4" t="str">
        <f>HYPERLINK("http://www.uniprot.org/uniprot/M5X5D9","M5X5D9")</f>
        <v>M5X5D9</v>
      </c>
      <c r="D15871" s="2" t="s">
        <v>12681</v>
      </c>
      <c r="E15871" s="3">
        <v>1.7800000000000001E-116</v>
      </c>
      <c r="F15871" s="2">
        <v>928</v>
      </c>
      <c r="G15871" s="2">
        <v>92</v>
      </c>
      <c r="H15871" s="2">
        <v>214</v>
      </c>
      <c r="I15871" s="2">
        <v>41</v>
      </c>
      <c r="J15871" s="2">
        <v>682</v>
      </c>
      <c r="K15871" s="2">
        <v>340</v>
      </c>
      <c r="L15871" s="2">
        <v>545</v>
      </c>
    </row>
    <row r="15872" spans="1:12" x14ac:dyDescent="0.25">
      <c r="A15872" s="4" t="str">
        <f>HYPERLINK("http://www.rosaceae.org/Prunus/Prunus_persica/p.persica_gdr_reftransV1_0032169","p.persica_gdr_reftransV1_0032169")</f>
        <v>p.persica_gdr_reftransV1_0032169</v>
      </c>
      <c r="B15872" s="2">
        <v>2670</v>
      </c>
      <c r="C15872" s="4" t="str">
        <f>HYPERLINK("http://www.uniprot.org/uniprot/M5X247","M5X247")</f>
        <v>M5X247</v>
      </c>
      <c r="D15872" s="2" t="s">
        <v>12682</v>
      </c>
      <c r="E15872" s="3">
        <v>0</v>
      </c>
      <c r="F15872" s="2">
        <v>2660</v>
      </c>
      <c r="G15872" s="2">
        <v>100</v>
      </c>
      <c r="H15872" s="2">
        <v>560</v>
      </c>
      <c r="I15872" s="2">
        <v>725</v>
      </c>
      <c r="J15872" s="2">
        <v>2404</v>
      </c>
      <c r="K15872" s="2">
        <v>1</v>
      </c>
      <c r="L15872" s="2">
        <v>560</v>
      </c>
    </row>
    <row r="15873" spans="1:12" x14ac:dyDescent="0.25">
      <c r="A15873" s="4" t="str">
        <f>HYPERLINK("http://www.rosaceae.org/Prunus/Prunus_persica/p.persica_gdr_reftransV1_0032519","p.persica_gdr_reftransV1_0032519")</f>
        <v>p.persica_gdr_reftransV1_0032519</v>
      </c>
      <c r="B15873" s="2">
        <v>2071</v>
      </c>
      <c r="C15873" s="4" t="str">
        <f>HYPERLINK("http://www.uniprot.org/uniprot/M5W2N6","M5W2N6")</f>
        <v>M5W2N6</v>
      </c>
      <c r="D15873" s="2" t="s">
        <v>11757</v>
      </c>
      <c r="E15873" s="3">
        <v>0</v>
      </c>
      <c r="F15873" s="2">
        <v>2317</v>
      </c>
      <c r="G15873" s="2">
        <v>100</v>
      </c>
      <c r="H15873" s="2">
        <v>445</v>
      </c>
      <c r="I15873" s="2">
        <v>560</v>
      </c>
      <c r="J15873" s="2">
        <v>1894</v>
      </c>
      <c r="K15873" s="2">
        <v>18</v>
      </c>
      <c r="L15873" s="2">
        <v>462</v>
      </c>
    </row>
    <row r="15874" spans="1:12" x14ac:dyDescent="0.25">
      <c r="A15874" s="4" t="str">
        <f>HYPERLINK("http://www.rosaceae.org/Prunus/Prunus_persica/p.persica_gdr_reftransV1_0032869","p.persica_gdr_reftransV1_0032869")</f>
        <v>p.persica_gdr_reftransV1_0032869</v>
      </c>
      <c r="B15874" s="2">
        <v>1568</v>
      </c>
      <c r="C15874" s="4" t="str">
        <f>HYPERLINK("http://www.uniprot.org/uniprot/M5VYF4","M5VYF4")</f>
        <v>M5VYF4</v>
      </c>
      <c r="D15874" s="2" t="s">
        <v>12683</v>
      </c>
      <c r="E15874" s="3">
        <v>1.45E-123</v>
      </c>
      <c r="F15874" s="2">
        <v>975</v>
      </c>
      <c r="G15874" s="2">
        <v>100</v>
      </c>
      <c r="H15874" s="2">
        <v>311</v>
      </c>
      <c r="I15874" s="2">
        <v>167</v>
      </c>
      <c r="J15874" s="2">
        <v>1099</v>
      </c>
      <c r="K15874" s="2">
        <v>99</v>
      </c>
      <c r="L15874" s="2">
        <v>409</v>
      </c>
    </row>
    <row r="15875" spans="1:12" x14ac:dyDescent="0.25">
      <c r="A15875" s="4" t="str">
        <f>HYPERLINK("http://www.rosaceae.org/Prunus/Prunus_persica/p.persica_gdr_reftransV1_0033219","p.persica_gdr_reftransV1_0033219")</f>
        <v>p.persica_gdr_reftransV1_0033219</v>
      </c>
      <c r="B15875" s="2">
        <v>1384</v>
      </c>
      <c r="C15875" s="4" t="str">
        <f>HYPERLINK("http://www.uniprot.org/uniprot/M5XCY2","M5XCY2")</f>
        <v>M5XCY2</v>
      </c>
      <c r="D15875" s="2" t="s">
        <v>12570</v>
      </c>
      <c r="E15875" s="3">
        <v>2.2499999999999999E-159</v>
      </c>
      <c r="F15875" s="2">
        <v>1196</v>
      </c>
      <c r="G15875" s="2">
        <v>100</v>
      </c>
      <c r="H15875" s="2">
        <v>301</v>
      </c>
      <c r="I15875" s="2">
        <v>404</v>
      </c>
      <c r="J15875" s="2">
        <v>1306</v>
      </c>
      <c r="K15875" s="2">
        <v>1</v>
      </c>
      <c r="L15875" s="2">
        <v>301</v>
      </c>
    </row>
    <row r="15876" spans="1:12" x14ac:dyDescent="0.25">
      <c r="A15876" s="4" t="str">
        <f>HYPERLINK("http://www.rosaceae.org/Prunus/Prunus_persica/p.persica_gdr_reftransV1_0033919","p.persica_gdr_reftransV1_0033919")</f>
        <v>p.persica_gdr_reftransV1_0033919</v>
      </c>
      <c r="B15876" s="2">
        <v>2371</v>
      </c>
      <c r="C15876" s="4" t="str">
        <f>HYPERLINK("http://www.uniprot.org/uniprot/M5XC32","M5XC32")</f>
        <v>M5XC32</v>
      </c>
      <c r="D15876" s="2" t="s">
        <v>12684</v>
      </c>
      <c r="E15876" s="3">
        <v>5.0500000000000001E-50</v>
      </c>
      <c r="F15876" s="2">
        <v>460</v>
      </c>
      <c r="G15876" s="2">
        <v>99</v>
      </c>
      <c r="H15876" s="2">
        <v>89</v>
      </c>
      <c r="I15876" s="2">
        <v>120</v>
      </c>
      <c r="J15876" s="2">
        <v>386</v>
      </c>
      <c r="K15876" s="2">
        <v>1</v>
      </c>
      <c r="L15876" s="2">
        <v>89</v>
      </c>
    </row>
    <row r="15877" spans="1:12" x14ac:dyDescent="0.25">
      <c r="A15877" s="4" t="str">
        <f>HYPERLINK("http://www.rosaceae.org/Prunus/Prunus_persica/p.persica_gdr_reftransV1_0034269","p.persica_gdr_reftransV1_0034269")</f>
        <v>p.persica_gdr_reftransV1_0034269</v>
      </c>
      <c r="B15877" s="2">
        <v>1553</v>
      </c>
      <c r="C15877" s="4" t="str">
        <f>HYPERLINK("http://www.uniprot.org/uniprot/M5X0P0","M5X0P0")</f>
        <v>M5X0P0</v>
      </c>
      <c r="D15877" s="2" t="s">
        <v>2746</v>
      </c>
      <c r="E15877" s="3">
        <v>0</v>
      </c>
      <c r="F15877" s="2">
        <v>1270</v>
      </c>
      <c r="G15877" s="2">
        <v>100</v>
      </c>
      <c r="H15877" s="2">
        <v>235</v>
      </c>
      <c r="I15877" s="2">
        <v>559</v>
      </c>
      <c r="J15877" s="2">
        <v>1263</v>
      </c>
      <c r="K15877" s="2">
        <v>107</v>
      </c>
      <c r="L15877" s="2">
        <v>341</v>
      </c>
    </row>
    <row r="15878" spans="1:12" x14ac:dyDescent="0.25">
      <c r="A15878" s="4" t="str">
        <f>HYPERLINK("http://www.rosaceae.org/Prunus/Prunus_persica/p.persica_gdr_reftransV1_0034619","p.persica_gdr_reftransV1_0034619")</f>
        <v>p.persica_gdr_reftransV1_0034619</v>
      </c>
      <c r="B15878" s="2">
        <v>1381</v>
      </c>
      <c r="C15878" s="4" t="str">
        <f>HYPERLINK("http://www.uniprot.org/uniprot/M5W4Q9","M5W4Q9")</f>
        <v>M5W4Q9</v>
      </c>
      <c r="D15878" s="2" t="s">
        <v>4816</v>
      </c>
      <c r="E15878" s="3">
        <v>4.0299999999999998E-138</v>
      </c>
      <c r="F15878" s="2">
        <v>924</v>
      </c>
      <c r="G15878" s="2">
        <v>84</v>
      </c>
      <c r="H15878" s="2">
        <v>235</v>
      </c>
      <c r="I15878" s="2">
        <v>557</v>
      </c>
      <c r="J15878" s="2">
        <v>1261</v>
      </c>
      <c r="K15878" s="2">
        <v>1</v>
      </c>
      <c r="L15878" s="2">
        <v>197</v>
      </c>
    </row>
    <row r="15879" spans="1:12" x14ac:dyDescent="0.25">
      <c r="A15879" s="4" t="str">
        <f>HYPERLINK("http://www.rosaceae.org/Prunus/Prunus_persica/p.persica_gdr_reftransV1_0037419","p.persica_gdr_reftransV1_0037419")</f>
        <v>p.persica_gdr_reftransV1_0037419</v>
      </c>
      <c r="B15879" s="2">
        <v>1932</v>
      </c>
      <c r="C15879" s="4" t="str">
        <f>HYPERLINK("http://www.uniprot.org/uniprot/D7TQ33","D7TQ33")</f>
        <v>D7TQ33</v>
      </c>
      <c r="D15879" s="2" t="s">
        <v>12685</v>
      </c>
      <c r="E15879" s="3">
        <v>0</v>
      </c>
      <c r="F15879" s="2">
        <v>1466</v>
      </c>
      <c r="G15879" s="2">
        <v>68</v>
      </c>
      <c r="H15879" s="2">
        <v>476</v>
      </c>
      <c r="I15879" s="2">
        <v>371</v>
      </c>
      <c r="J15879" s="2">
        <v>1756</v>
      </c>
      <c r="K15879" s="2">
        <v>24</v>
      </c>
      <c r="L15879" s="2">
        <v>499</v>
      </c>
    </row>
    <row r="15880" spans="1:12" x14ac:dyDescent="0.25">
      <c r="A15880" s="4" t="str">
        <f>HYPERLINK("http://www.rosaceae.org/Prunus/Prunus_persica/p.persica_gdr_reftransV1_0038119","p.persica_gdr_reftransV1_0038119")</f>
        <v>p.persica_gdr_reftransV1_0038119</v>
      </c>
      <c r="B15880" s="2">
        <v>860</v>
      </c>
      <c r="C15880" s="4" t="str">
        <f>HYPERLINK("http://www.uniprot.org/uniprot/M5XDJ3","M5XDJ3")</f>
        <v>M5XDJ3</v>
      </c>
      <c r="D15880" s="2" t="s">
        <v>12686</v>
      </c>
      <c r="E15880" s="3">
        <v>1.2699999999999999E-140</v>
      </c>
      <c r="F15880" s="2">
        <v>1045</v>
      </c>
      <c r="G15880" s="2">
        <v>100</v>
      </c>
      <c r="H15880" s="2">
        <v>194</v>
      </c>
      <c r="I15880" s="2">
        <v>22</v>
      </c>
      <c r="J15880" s="2">
        <v>603</v>
      </c>
      <c r="K15880" s="2">
        <v>20</v>
      </c>
      <c r="L15880" s="2">
        <v>213</v>
      </c>
    </row>
    <row r="15881" spans="1:12" x14ac:dyDescent="0.25">
      <c r="A15881" s="4" t="str">
        <f>HYPERLINK("http://www.rosaceae.org/Prunus/Prunus_persica/p.persica_gdr_reftransV1_0038469","p.persica_gdr_reftransV1_0038469")</f>
        <v>p.persica_gdr_reftransV1_0038469</v>
      </c>
      <c r="B15881" s="2">
        <v>4339</v>
      </c>
      <c r="C15881" s="4" t="str">
        <f>HYPERLINK("http://www.uniprot.org/uniprot/M5Y8C4","M5Y8C4")</f>
        <v>M5Y8C4</v>
      </c>
      <c r="D15881" s="2" t="s">
        <v>12687</v>
      </c>
      <c r="E15881" s="3">
        <v>0</v>
      </c>
      <c r="F15881" s="2">
        <v>3976</v>
      </c>
      <c r="G15881" s="2">
        <v>95</v>
      </c>
      <c r="H15881" s="2">
        <v>882</v>
      </c>
      <c r="I15881" s="2">
        <v>1583</v>
      </c>
      <c r="J15881" s="2">
        <v>4099</v>
      </c>
      <c r="K15881" s="2">
        <v>1</v>
      </c>
      <c r="L15881" s="2">
        <v>882</v>
      </c>
    </row>
    <row r="15882" spans="1:12" x14ac:dyDescent="0.25">
      <c r="A15882" s="4" t="str">
        <f>HYPERLINK("http://www.rosaceae.org/Prunus/Prunus_persica/p.persica_gdr_reftransV1_0039169","p.persica_gdr_reftransV1_0039169")</f>
        <v>p.persica_gdr_reftransV1_0039169</v>
      </c>
      <c r="B15882" s="2">
        <v>2499</v>
      </c>
      <c r="C15882" s="4" t="str">
        <f>HYPERLINK("http://www.uniprot.org/uniprot/M5XBX8","M5XBX8")</f>
        <v>M5XBX8</v>
      </c>
      <c r="D15882" s="2" t="s">
        <v>12688</v>
      </c>
      <c r="E15882" s="3">
        <v>0</v>
      </c>
      <c r="F15882" s="2">
        <v>2666</v>
      </c>
      <c r="G15882" s="2">
        <v>90</v>
      </c>
      <c r="H15882" s="2">
        <v>599</v>
      </c>
      <c r="I15882" s="2">
        <v>289</v>
      </c>
      <c r="J15882" s="2">
        <v>2085</v>
      </c>
      <c r="K15882" s="2">
        <v>1</v>
      </c>
      <c r="L15882" s="2">
        <v>545</v>
      </c>
    </row>
    <row r="15883" spans="1:12" x14ac:dyDescent="0.25">
      <c r="A15883" s="4" t="str">
        <f>HYPERLINK("http://www.rosaceae.org/Prunus/Prunus_persica/p.persica_gdr_reftransV1_0040219","p.persica_gdr_reftransV1_0040219")</f>
        <v>p.persica_gdr_reftransV1_0040219</v>
      </c>
      <c r="B15883" s="2">
        <v>1076</v>
      </c>
      <c r="C15883" s="4" t="str">
        <f>HYPERLINK("http://www.uniprot.org/uniprot/M5XTU4","M5XTU4")</f>
        <v>M5XTU4</v>
      </c>
      <c r="D15883" s="2" t="s">
        <v>12689</v>
      </c>
      <c r="E15883" s="3">
        <v>1.2400000000000001E-140</v>
      </c>
      <c r="F15883" s="2">
        <v>1056</v>
      </c>
      <c r="G15883" s="2">
        <v>100</v>
      </c>
      <c r="H15883" s="2">
        <v>240</v>
      </c>
      <c r="I15883" s="2">
        <v>278</v>
      </c>
      <c r="J15883" s="2">
        <v>997</v>
      </c>
      <c r="K15883" s="2">
        <v>1</v>
      </c>
      <c r="L15883" s="2">
        <v>240</v>
      </c>
    </row>
    <row r="15884" spans="1:12" x14ac:dyDescent="0.25">
      <c r="A15884" s="4" t="str">
        <f>HYPERLINK("http://www.rosaceae.org/Prunus/Prunus_persica/p.persica_gdr_reftransV1_0041619","p.persica_gdr_reftransV1_0041619")</f>
        <v>p.persica_gdr_reftransV1_0041619</v>
      </c>
      <c r="B15884" s="2">
        <v>3512</v>
      </c>
      <c r="C15884" s="4" t="str">
        <f>HYPERLINK("http://www.uniprot.org/uniprot/M5W1Q2","M5W1Q2")</f>
        <v>M5W1Q2</v>
      </c>
      <c r="D15884" s="2" t="s">
        <v>12690</v>
      </c>
      <c r="E15884" s="3">
        <v>0</v>
      </c>
      <c r="F15884" s="2">
        <v>4590</v>
      </c>
      <c r="G15884" s="2">
        <v>100</v>
      </c>
      <c r="H15884" s="2">
        <v>952</v>
      </c>
      <c r="I15884" s="2">
        <v>435</v>
      </c>
      <c r="J15884" s="2">
        <v>3290</v>
      </c>
      <c r="K15884" s="2">
        <v>1</v>
      </c>
      <c r="L15884" s="2">
        <v>952</v>
      </c>
    </row>
    <row r="15885" spans="1:12" x14ac:dyDescent="0.25">
      <c r="A15885" s="4" t="str">
        <f>HYPERLINK("http://www.rosaceae.org/Prunus/Prunus_persica/p.persica_gdr_reftransV1_0043369","p.persica_gdr_reftransV1_0043369")</f>
        <v>p.persica_gdr_reftransV1_0043369</v>
      </c>
      <c r="B15885" s="2">
        <v>309</v>
      </c>
      <c r="C15885" s="4" t="str">
        <f>HYPERLINK("http://www.uniprot.org/uniprot/M5XUL3","M5XUL3")</f>
        <v>M5XUL3</v>
      </c>
      <c r="D15885" s="2" t="s">
        <v>7717</v>
      </c>
      <c r="E15885" s="3">
        <v>9.3599999999999992E-65</v>
      </c>
      <c r="F15885" s="2">
        <v>553</v>
      </c>
      <c r="G15885" s="2">
        <v>100</v>
      </c>
      <c r="H15885" s="2">
        <v>102</v>
      </c>
      <c r="I15885" s="2">
        <v>3</v>
      </c>
      <c r="J15885" s="2">
        <v>308</v>
      </c>
      <c r="K15885" s="2">
        <v>372</v>
      </c>
      <c r="L15885" s="2">
        <v>473</v>
      </c>
    </row>
    <row r="15886" spans="1:12" x14ac:dyDescent="0.25">
      <c r="A15886" s="4" t="str">
        <f>HYPERLINK("http://www.rosaceae.org/Prunus/Prunus_persica/p.persica_gdr_reftransV1_0043719","p.persica_gdr_reftransV1_0043719")</f>
        <v>p.persica_gdr_reftransV1_0043719</v>
      </c>
      <c r="B15886" s="2">
        <v>822</v>
      </c>
      <c r="C15886" s="4" t="str">
        <f>HYPERLINK("http://www.uniprot.org/uniprot/M5WUU2","M5WUU2")</f>
        <v>M5WUU2</v>
      </c>
      <c r="D15886" s="2" t="s">
        <v>12691</v>
      </c>
      <c r="E15886" s="3">
        <v>5.2200000000000002E-138</v>
      </c>
      <c r="F15886" s="2">
        <v>1026</v>
      </c>
      <c r="G15886" s="2">
        <v>98</v>
      </c>
      <c r="H15886" s="2">
        <v>199</v>
      </c>
      <c r="I15886" s="2">
        <v>112</v>
      </c>
      <c r="J15886" s="2">
        <v>708</v>
      </c>
      <c r="K15886" s="2">
        <v>18</v>
      </c>
      <c r="L15886" s="2">
        <v>212</v>
      </c>
    </row>
    <row r="15887" spans="1:12" x14ac:dyDescent="0.25">
      <c r="A15887" s="4" t="str">
        <f>HYPERLINK("http://www.rosaceae.org/Prunus/Prunus_persica/p.persica_gdr_reftransV1_0044069","p.persica_gdr_reftransV1_0044069")</f>
        <v>p.persica_gdr_reftransV1_0044069</v>
      </c>
      <c r="B15887" s="2">
        <v>1760</v>
      </c>
      <c r="C15887" s="4" t="str">
        <f>HYPERLINK("http://www.uniprot.org/uniprot/M5VUX9","M5VUX9")</f>
        <v>M5VUX9</v>
      </c>
      <c r="D15887" s="2" t="s">
        <v>2054</v>
      </c>
      <c r="E15887" s="3">
        <v>0</v>
      </c>
      <c r="F15887" s="2">
        <v>2354</v>
      </c>
      <c r="G15887" s="2">
        <v>91</v>
      </c>
      <c r="H15887" s="2">
        <v>511</v>
      </c>
      <c r="I15887" s="2">
        <v>81</v>
      </c>
      <c r="J15887" s="2">
        <v>1613</v>
      </c>
      <c r="K15887" s="2">
        <v>1</v>
      </c>
      <c r="L15887" s="2">
        <v>511</v>
      </c>
    </row>
    <row r="15888" spans="1:12" x14ac:dyDescent="0.25">
      <c r="A15888" s="4" t="str">
        <f>HYPERLINK("http://www.rosaceae.org/Prunus/Prunus_persica/p.persica_gdr_reftransV1_0044419","p.persica_gdr_reftransV1_0044419")</f>
        <v>p.persica_gdr_reftransV1_0044419</v>
      </c>
      <c r="B15888" s="2">
        <v>719</v>
      </c>
      <c r="C15888" s="4" t="str">
        <f>HYPERLINK("http://www.uniprot.org/uniprot/M5XNZ8","M5XNZ8")</f>
        <v>M5XNZ8</v>
      </c>
      <c r="D15888" s="2" t="s">
        <v>12692</v>
      </c>
      <c r="E15888" s="3">
        <v>1.85E-120</v>
      </c>
      <c r="F15888" s="2">
        <v>921</v>
      </c>
      <c r="G15888" s="2">
        <v>99</v>
      </c>
      <c r="H15888" s="2">
        <v>172</v>
      </c>
      <c r="I15888" s="2">
        <v>3</v>
      </c>
      <c r="J15888" s="2">
        <v>518</v>
      </c>
      <c r="K15888" s="2">
        <v>185</v>
      </c>
      <c r="L15888" s="2">
        <v>356</v>
      </c>
    </row>
    <row r="15889" spans="1:12" x14ac:dyDescent="0.25">
      <c r="A15889" s="4" t="str">
        <f>HYPERLINK("http://www.rosaceae.org/Prunus/Prunus_persica/p.persica_gdr_reftransV1_0044769","p.persica_gdr_reftransV1_0044769")</f>
        <v>p.persica_gdr_reftransV1_0044769</v>
      </c>
      <c r="B15889" s="2">
        <v>597</v>
      </c>
      <c r="C15889" s="4" t="str">
        <f>HYPERLINK("http://www.uniprot.org/uniprot/M5VYC8","M5VYC8")</f>
        <v>M5VYC8</v>
      </c>
      <c r="D15889" s="2" t="s">
        <v>6055</v>
      </c>
      <c r="E15889" s="3">
        <v>8.21E-51</v>
      </c>
      <c r="F15889" s="2">
        <v>452</v>
      </c>
      <c r="G15889" s="2">
        <v>99</v>
      </c>
      <c r="H15889" s="2">
        <v>81</v>
      </c>
      <c r="I15889" s="2">
        <v>121</v>
      </c>
      <c r="J15889" s="2">
        <v>363</v>
      </c>
      <c r="K15889" s="2">
        <v>271</v>
      </c>
      <c r="L15889" s="2">
        <v>351</v>
      </c>
    </row>
    <row r="15890" spans="1:12" x14ac:dyDescent="0.25">
      <c r="A15890" s="4" t="str">
        <f>HYPERLINK("http://www.rosaceae.org/Prunus/Prunus_persica/p.persica_gdr_reftransV1_0045119","p.persica_gdr_reftransV1_0045119")</f>
        <v>p.persica_gdr_reftransV1_0045119</v>
      </c>
      <c r="B15890" s="2">
        <v>869</v>
      </c>
      <c r="C15890" s="4" t="str">
        <f>HYPERLINK("http://www.uniprot.org/uniprot/M5WI18","M5WI18")</f>
        <v>M5WI18</v>
      </c>
      <c r="D15890" s="2" t="s">
        <v>12693</v>
      </c>
      <c r="E15890" s="3">
        <v>9.6799999999999994E-71</v>
      </c>
      <c r="F15890" s="2">
        <v>574</v>
      </c>
      <c r="G15890" s="2">
        <v>100</v>
      </c>
      <c r="H15890" s="2">
        <v>110</v>
      </c>
      <c r="I15890" s="2">
        <v>413</v>
      </c>
      <c r="J15890" s="2">
        <v>742</v>
      </c>
      <c r="K15890" s="2">
        <v>1</v>
      </c>
      <c r="L15890" s="2">
        <v>110</v>
      </c>
    </row>
    <row r="15891" spans="1:12" x14ac:dyDescent="0.25">
      <c r="A15891" s="4" t="str">
        <f>HYPERLINK("http://www.rosaceae.org/Prunus/Prunus_persica/p.persica_gdr_reftransV1_0046169","p.persica_gdr_reftransV1_0046169")</f>
        <v>p.persica_gdr_reftransV1_0046169</v>
      </c>
      <c r="B15891" s="2">
        <v>2154</v>
      </c>
      <c r="C15891" s="4" t="str">
        <f>HYPERLINK("http://www.uniprot.org/uniprot/M5VWJ0","M5VWJ0")</f>
        <v>M5VWJ0</v>
      </c>
      <c r="D15891" s="2" t="s">
        <v>12694</v>
      </c>
      <c r="E15891" s="3">
        <v>0</v>
      </c>
      <c r="F15891" s="2">
        <v>2562</v>
      </c>
      <c r="G15891" s="2">
        <v>95</v>
      </c>
      <c r="H15891" s="2">
        <v>541</v>
      </c>
      <c r="I15891" s="2">
        <v>106</v>
      </c>
      <c r="J15891" s="2">
        <v>1728</v>
      </c>
      <c r="K15891" s="2">
        <v>22</v>
      </c>
      <c r="L15891" s="2">
        <v>562</v>
      </c>
    </row>
    <row r="15892" spans="1:12" x14ac:dyDescent="0.25">
      <c r="A15892" s="4" t="str">
        <f>HYPERLINK("http://www.rosaceae.org/Prunus/Prunus_persica/p.persica_gdr_reftransV1_0046519","p.persica_gdr_reftransV1_0046519")</f>
        <v>p.persica_gdr_reftransV1_0046519</v>
      </c>
      <c r="B15892" s="2">
        <v>1661</v>
      </c>
      <c r="C15892" s="4" t="str">
        <f>HYPERLINK("http://www.uniprot.org/uniprot/M5X016","M5X016")</f>
        <v>M5X016</v>
      </c>
      <c r="D15892" s="2" t="s">
        <v>1898</v>
      </c>
      <c r="E15892" s="3">
        <v>0</v>
      </c>
      <c r="F15892" s="2">
        <v>1990</v>
      </c>
      <c r="G15892" s="2">
        <v>100</v>
      </c>
      <c r="H15892" s="2">
        <v>394</v>
      </c>
      <c r="I15892" s="2">
        <v>321</v>
      </c>
      <c r="J15892" s="2">
        <v>1502</v>
      </c>
      <c r="K15892" s="2">
        <v>1</v>
      </c>
      <c r="L15892" s="2">
        <v>394</v>
      </c>
    </row>
    <row r="15893" spans="1:12" x14ac:dyDescent="0.25">
      <c r="A15893" s="4" t="str">
        <f>HYPERLINK("http://www.rosaceae.org/Prunus/Prunus_persica/p.persica_gdr_reftransV1_0046869","p.persica_gdr_reftransV1_0046869")</f>
        <v>p.persica_gdr_reftransV1_0046869</v>
      </c>
      <c r="B15893" s="2">
        <v>463</v>
      </c>
      <c r="C15893" s="4" t="str">
        <f>HYPERLINK("http://www.uniprot.org/uniprot/M5WU14","M5WU14")</f>
        <v>M5WU14</v>
      </c>
      <c r="D15893" s="2" t="s">
        <v>5183</v>
      </c>
      <c r="E15893" s="3">
        <v>8.0299999999999995E-54</v>
      </c>
      <c r="F15893" s="2">
        <v>484</v>
      </c>
      <c r="G15893" s="2">
        <v>80</v>
      </c>
      <c r="H15893" s="2">
        <v>122</v>
      </c>
      <c r="I15893" s="2">
        <v>1</v>
      </c>
      <c r="J15893" s="2">
        <v>357</v>
      </c>
      <c r="K15893" s="2">
        <v>590</v>
      </c>
      <c r="L15893" s="2">
        <v>711</v>
      </c>
    </row>
    <row r="15894" spans="1:12" x14ac:dyDescent="0.25">
      <c r="A15894" s="4" t="str">
        <f>HYPERLINK("http://www.rosaceae.org/Prunus/Prunus_persica/p.persica_gdr_reftransV1_0047219","p.persica_gdr_reftransV1_0047219")</f>
        <v>p.persica_gdr_reftransV1_0047219</v>
      </c>
      <c r="B15894" s="2">
        <v>624</v>
      </c>
      <c r="C15894" s="4" t="str">
        <f>HYPERLINK("http://www.uniprot.org/uniprot/M5WUK6","M5WUK6")</f>
        <v>M5WUK6</v>
      </c>
      <c r="D15894" s="2" t="s">
        <v>5118</v>
      </c>
      <c r="E15894" s="3">
        <v>1.0100000000000001E-106</v>
      </c>
      <c r="F15894" s="2">
        <v>828</v>
      </c>
      <c r="G15894" s="2">
        <v>100</v>
      </c>
      <c r="H15894" s="2">
        <v>187</v>
      </c>
      <c r="I15894" s="2">
        <v>64</v>
      </c>
      <c r="J15894" s="2">
        <v>624</v>
      </c>
      <c r="K15894" s="2">
        <v>1</v>
      </c>
      <c r="L15894" s="2">
        <v>187</v>
      </c>
    </row>
    <row r="15895" spans="1:12" x14ac:dyDescent="0.25">
      <c r="A15895" s="4" t="str">
        <f>HYPERLINK("http://www.rosaceae.org/Prunus/Prunus_persica/p.persica_gdr_reftransV1_0047569","p.persica_gdr_reftransV1_0047569")</f>
        <v>p.persica_gdr_reftransV1_0047569</v>
      </c>
      <c r="B15895" s="2">
        <v>658</v>
      </c>
      <c r="C15895" s="4" t="str">
        <f>HYPERLINK("http://www.uniprot.org/uniprot/M5W0T8","M5W0T8")</f>
        <v>M5W0T8</v>
      </c>
      <c r="D15895" s="2" t="s">
        <v>3674</v>
      </c>
      <c r="E15895" s="3">
        <v>3.4799999999999998E-42</v>
      </c>
      <c r="F15895" s="2">
        <v>377</v>
      </c>
      <c r="G15895" s="2">
        <v>100</v>
      </c>
      <c r="H15895" s="2">
        <v>117</v>
      </c>
      <c r="I15895" s="2">
        <v>211</v>
      </c>
      <c r="J15895" s="2">
        <v>561</v>
      </c>
      <c r="K15895" s="2">
        <v>1</v>
      </c>
      <c r="L15895" s="2">
        <v>117</v>
      </c>
    </row>
    <row r="15896" spans="1:12" x14ac:dyDescent="0.25">
      <c r="A15896" s="4" t="str">
        <f>HYPERLINK("http://www.rosaceae.org/Prunus/Prunus_persica/p.persica_gdr_reftransV1_0047919","p.persica_gdr_reftransV1_0047919")</f>
        <v>p.persica_gdr_reftransV1_0047919</v>
      </c>
      <c r="B15896" s="2">
        <v>467</v>
      </c>
      <c r="C15896" s="4" t="str">
        <f>HYPERLINK("http://www.uniprot.org/uniprot/M5X3M4","M5X3M4")</f>
        <v>M5X3M4</v>
      </c>
      <c r="D15896" s="2" t="s">
        <v>2124</v>
      </c>
      <c r="E15896" s="3">
        <v>1.32E-101</v>
      </c>
      <c r="F15896" s="2">
        <v>835</v>
      </c>
      <c r="G15896" s="2">
        <v>100</v>
      </c>
      <c r="H15896" s="2">
        <v>155</v>
      </c>
      <c r="I15896" s="2">
        <v>1</v>
      </c>
      <c r="J15896" s="2">
        <v>465</v>
      </c>
      <c r="K15896" s="2">
        <v>799</v>
      </c>
      <c r="L15896" s="2">
        <v>953</v>
      </c>
    </row>
    <row r="15897" spans="1:12" x14ac:dyDescent="0.25">
      <c r="A15897" s="4" t="str">
        <f>HYPERLINK("http://www.rosaceae.org/Prunus/Prunus_persica/p.persica_gdr_reftransV1_0048269","p.persica_gdr_reftransV1_0048269")</f>
        <v>p.persica_gdr_reftransV1_0048269</v>
      </c>
      <c r="B15897" s="2">
        <v>754</v>
      </c>
      <c r="C15897" s="4" t="str">
        <f>HYPERLINK("http://www.uniprot.org/uniprot/B6CQR8","B6CQR8")</f>
        <v>B6CQR8</v>
      </c>
      <c r="D15897" s="2" t="s">
        <v>497</v>
      </c>
      <c r="E15897" s="3">
        <v>3.8899999999999999E-108</v>
      </c>
      <c r="F15897" s="2">
        <v>822</v>
      </c>
      <c r="G15897" s="2">
        <v>100</v>
      </c>
      <c r="H15897" s="2">
        <v>160</v>
      </c>
      <c r="I15897" s="2">
        <v>67</v>
      </c>
      <c r="J15897" s="2">
        <v>546</v>
      </c>
      <c r="K15897" s="2">
        <v>1</v>
      </c>
      <c r="L15897" s="2">
        <v>160</v>
      </c>
    </row>
    <row r="15898" spans="1:12" x14ac:dyDescent="0.25">
      <c r="A15898" s="4" t="str">
        <f>HYPERLINK("http://www.rosaceae.org/Prunus/Prunus_persica/p.persica_gdr_reftransV1_0048969","p.persica_gdr_reftransV1_0048969")</f>
        <v>p.persica_gdr_reftransV1_0048969</v>
      </c>
      <c r="B15898" s="2">
        <v>1015</v>
      </c>
      <c r="C15898" s="4" t="str">
        <f>HYPERLINK("http://www.uniprot.org/uniprot/M5XN05","M5XN05")</f>
        <v>M5XN05</v>
      </c>
      <c r="D15898" s="2" t="s">
        <v>12695</v>
      </c>
      <c r="E15898" s="3">
        <v>9.4100000000000002E-144</v>
      </c>
      <c r="F15898" s="2">
        <v>1072</v>
      </c>
      <c r="G15898" s="2">
        <v>100</v>
      </c>
      <c r="H15898" s="2">
        <v>221</v>
      </c>
      <c r="I15898" s="2">
        <v>137</v>
      </c>
      <c r="J15898" s="2">
        <v>799</v>
      </c>
      <c r="K15898" s="2">
        <v>1</v>
      </c>
      <c r="L15898" s="2">
        <v>221</v>
      </c>
    </row>
    <row r="15899" spans="1:12" x14ac:dyDescent="0.25">
      <c r="A15899" s="4" t="str">
        <f>HYPERLINK("http://www.rosaceae.org/Prunus/Prunus_persica/p.persica_gdr_reftransV1_0000320","p.persica_gdr_reftransV1_0000320")</f>
        <v>p.persica_gdr_reftransV1_0000320</v>
      </c>
      <c r="B15899" s="2">
        <v>2428</v>
      </c>
      <c r="C15899" s="4" t="str">
        <f>HYPERLINK("http://www.uniprot.org/uniprot/M5X3J2","M5X3J2")</f>
        <v>M5X3J2</v>
      </c>
      <c r="D15899" s="2" t="s">
        <v>12696</v>
      </c>
      <c r="E15899" s="3">
        <v>0</v>
      </c>
      <c r="F15899" s="2">
        <v>2981</v>
      </c>
      <c r="G15899" s="2">
        <v>95</v>
      </c>
      <c r="H15899" s="2">
        <v>628</v>
      </c>
      <c r="I15899" s="2">
        <v>304</v>
      </c>
      <c r="J15899" s="2">
        <v>2187</v>
      </c>
      <c r="K15899" s="2">
        <v>1</v>
      </c>
      <c r="L15899" s="2">
        <v>599</v>
      </c>
    </row>
    <row r="15900" spans="1:12" x14ac:dyDescent="0.25">
      <c r="A15900" s="4" t="str">
        <f>HYPERLINK("http://www.rosaceae.org/Prunus/Prunus_persica/p.persica_gdr_reftransV1_0000670","p.persica_gdr_reftransV1_0000670")</f>
        <v>p.persica_gdr_reftransV1_0000670</v>
      </c>
      <c r="B15900" s="2">
        <v>591</v>
      </c>
      <c r="C15900" s="4" t="str">
        <f>HYPERLINK("http://www.uniprot.org/uniprot/M5X2E8","M5X2E8")</f>
        <v>M5X2E8</v>
      </c>
      <c r="D15900" s="2" t="s">
        <v>12697</v>
      </c>
      <c r="E15900" s="3">
        <v>2.0100000000000001E-49</v>
      </c>
      <c r="F15900" s="2">
        <v>424</v>
      </c>
      <c r="G15900" s="2">
        <v>77</v>
      </c>
      <c r="H15900" s="2">
        <v>123</v>
      </c>
      <c r="I15900" s="2">
        <v>70</v>
      </c>
      <c r="J15900" s="2">
        <v>435</v>
      </c>
      <c r="K15900" s="2">
        <v>1</v>
      </c>
      <c r="L15900" s="2">
        <v>121</v>
      </c>
    </row>
    <row r="15901" spans="1:12" x14ac:dyDescent="0.25">
      <c r="A15901" s="4" t="str">
        <f>HYPERLINK("http://www.rosaceae.org/Prunus/Prunus_persica/p.persica_gdr_reftransV1_0001020","p.persica_gdr_reftransV1_0001020")</f>
        <v>p.persica_gdr_reftransV1_0001020</v>
      </c>
      <c r="B15901" s="2">
        <v>4525</v>
      </c>
      <c r="C15901" s="4" t="str">
        <f>HYPERLINK("http://www.uniprot.org/uniprot/M5Y0N7","M5Y0N7")</f>
        <v>M5Y0N7</v>
      </c>
      <c r="D15901" s="2" t="s">
        <v>12198</v>
      </c>
      <c r="E15901" s="3">
        <v>0</v>
      </c>
      <c r="F15901" s="2">
        <v>2106</v>
      </c>
      <c r="G15901" s="2">
        <v>100</v>
      </c>
      <c r="H15901" s="2">
        <v>407</v>
      </c>
      <c r="I15901" s="2">
        <v>1576</v>
      </c>
      <c r="J15901" s="2">
        <v>2796</v>
      </c>
      <c r="K15901" s="2">
        <v>1</v>
      </c>
      <c r="L15901" s="2">
        <v>407</v>
      </c>
    </row>
    <row r="15902" spans="1:12" x14ac:dyDescent="0.25">
      <c r="A15902" s="4" t="str">
        <f>HYPERLINK("http://www.rosaceae.org/Prunus/Prunus_persica/p.persica_gdr_reftransV1_0001370","p.persica_gdr_reftransV1_0001370")</f>
        <v>p.persica_gdr_reftransV1_0001370</v>
      </c>
      <c r="B15902" s="2">
        <v>505</v>
      </c>
      <c r="C15902" s="4" t="str">
        <f>HYPERLINK("http://www.uniprot.org/uniprot/M5X709","M5X709")</f>
        <v>M5X709</v>
      </c>
      <c r="D15902" s="2" t="s">
        <v>12698</v>
      </c>
      <c r="E15902" s="3">
        <v>3.6100000000000002E-78</v>
      </c>
      <c r="F15902" s="2">
        <v>665</v>
      </c>
      <c r="G15902" s="2">
        <v>85</v>
      </c>
      <c r="H15902" s="2">
        <v>167</v>
      </c>
      <c r="I15902" s="2">
        <v>1</v>
      </c>
      <c r="J15902" s="2">
        <v>501</v>
      </c>
      <c r="K15902" s="2">
        <v>40</v>
      </c>
      <c r="L15902" s="2">
        <v>198</v>
      </c>
    </row>
    <row r="15903" spans="1:12" x14ac:dyDescent="0.25">
      <c r="A15903" s="4" t="str">
        <f>HYPERLINK("http://www.rosaceae.org/Prunus/Prunus_persica/p.persica_gdr_reftransV1_0001720","p.persica_gdr_reftransV1_0001720")</f>
        <v>p.persica_gdr_reftransV1_0001720</v>
      </c>
      <c r="B15903" s="2">
        <v>560</v>
      </c>
      <c r="C15903" s="4" t="str">
        <f>HYPERLINK("http://www.uniprot.org/uniprot/M5Y6Q3","M5Y6Q3")</f>
        <v>M5Y6Q3</v>
      </c>
      <c r="D15903" s="2" t="s">
        <v>5431</v>
      </c>
      <c r="E15903" s="3">
        <v>3.5E-50</v>
      </c>
      <c r="F15903" s="2">
        <v>469</v>
      </c>
      <c r="G15903" s="2">
        <v>100</v>
      </c>
      <c r="H15903" s="2">
        <v>118</v>
      </c>
      <c r="I15903" s="2">
        <v>183</v>
      </c>
      <c r="J15903" s="2">
        <v>536</v>
      </c>
      <c r="K15903" s="2">
        <v>1</v>
      </c>
      <c r="L15903" s="2">
        <v>118</v>
      </c>
    </row>
    <row r="15904" spans="1:12" x14ac:dyDescent="0.25">
      <c r="A15904" s="4" t="str">
        <f>HYPERLINK("http://www.rosaceae.org/Prunus/Prunus_persica/p.persica_gdr_reftransV1_0002070","p.persica_gdr_reftransV1_0002070")</f>
        <v>p.persica_gdr_reftransV1_0002070</v>
      </c>
      <c r="B15904" s="2">
        <v>1959</v>
      </c>
      <c r="C15904" s="4" t="str">
        <f>HYPERLINK("http://www.uniprot.org/uniprot/M5WBJ9","M5WBJ9")</f>
        <v>M5WBJ9</v>
      </c>
      <c r="D15904" s="2" t="s">
        <v>12699</v>
      </c>
      <c r="E15904" s="3">
        <v>0</v>
      </c>
      <c r="F15904" s="2">
        <v>2500</v>
      </c>
      <c r="G15904" s="2">
        <v>99</v>
      </c>
      <c r="H15904" s="2">
        <v>524</v>
      </c>
      <c r="I15904" s="2">
        <v>81</v>
      </c>
      <c r="J15904" s="2">
        <v>1652</v>
      </c>
      <c r="K15904" s="2">
        <v>3</v>
      </c>
      <c r="L15904" s="2">
        <v>526</v>
      </c>
    </row>
    <row r="15905" spans="1:12" x14ac:dyDescent="0.25">
      <c r="A15905" s="4" t="str">
        <f>HYPERLINK("http://www.rosaceae.org/Prunus/Prunus_persica/p.persica_gdr_reftransV1_0002420","p.persica_gdr_reftransV1_0002420")</f>
        <v>p.persica_gdr_reftransV1_0002420</v>
      </c>
      <c r="B15905" s="2">
        <v>2269</v>
      </c>
      <c r="C15905" s="4" t="str">
        <f>HYPERLINK("http://www.uniprot.org/uniprot/M5WPY2","M5WPY2")</f>
        <v>M5WPY2</v>
      </c>
      <c r="D15905" s="2" t="s">
        <v>12700</v>
      </c>
      <c r="E15905" s="3">
        <v>0</v>
      </c>
      <c r="F15905" s="2">
        <v>2751</v>
      </c>
      <c r="G15905" s="2">
        <v>100</v>
      </c>
      <c r="H15905" s="2">
        <v>580</v>
      </c>
      <c r="I15905" s="2">
        <v>52</v>
      </c>
      <c r="J15905" s="2">
        <v>1791</v>
      </c>
      <c r="K15905" s="2">
        <v>587</v>
      </c>
      <c r="L15905" s="2">
        <v>1166</v>
      </c>
    </row>
    <row r="15906" spans="1:12" x14ac:dyDescent="0.25">
      <c r="A15906" s="4" t="str">
        <f>HYPERLINK("http://www.rosaceae.org/Prunus/Prunus_persica/p.persica_gdr_reftransV1_0003820","p.persica_gdr_reftransV1_0003820")</f>
        <v>p.persica_gdr_reftransV1_0003820</v>
      </c>
      <c r="B15906" s="2">
        <v>1846</v>
      </c>
      <c r="C15906" s="4" t="str">
        <f>HYPERLINK("http://www.uniprot.org/uniprot/M5X1I5","M5X1I5")</f>
        <v>M5X1I5</v>
      </c>
      <c r="D15906" s="2" t="s">
        <v>12701</v>
      </c>
      <c r="E15906" s="3">
        <v>0</v>
      </c>
      <c r="F15906" s="2">
        <v>2008</v>
      </c>
      <c r="G15906" s="2">
        <v>100</v>
      </c>
      <c r="H15906" s="2">
        <v>373</v>
      </c>
      <c r="I15906" s="2">
        <v>186</v>
      </c>
      <c r="J15906" s="2">
        <v>1304</v>
      </c>
      <c r="K15906" s="2">
        <v>1</v>
      </c>
      <c r="L15906" s="2">
        <v>373</v>
      </c>
    </row>
    <row r="15907" spans="1:12" x14ac:dyDescent="0.25">
      <c r="A15907" s="4" t="str">
        <f>HYPERLINK("http://www.rosaceae.org/Prunus/Prunus_persica/p.persica_gdr_reftransV1_0004170","p.persica_gdr_reftransV1_0004170")</f>
        <v>p.persica_gdr_reftransV1_0004170</v>
      </c>
      <c r="B15907" s="2">
        <v>934</v>
      </c>
      <c r="C15907" s="4" t="str">
        <f>HYPERLINK("http://www.uniprot.org/uniprot/M5WCL3","M5WCL3")</f>
        <v>M5WCL3</v>
      </c>
      <c r="D15907" s="2" t="s">
        <v>8875</v>
      </c>
      <c r="E15907" s="3">
        <v>1.1E-71</v>
      </c>
      <c r="F15907" s="2">
        <v>538</v>
      </c>
      <c r="G15907" s="2">
        <v>100</v>
      </c>
      <c r="H15907" s="2">
        <v>119</v>
      </c>
      <c r="I15907" s="2">
        <v>576</v>
      </c>
      <c r="J15907" s="2">
        <v>932</v>
      </c>
      <c r="K15907" s="2">
        <v>290</v>
      </c>
      <c r="L15907" s="2">
        <v>408</v>
      </c>
    </row>
    <row r="15908" spans="1:12" x14ac:dyDescent="0.25">
      <c r="A15908" s="4" t="str">
        <f>HYPERLINK("http://www.rosaceae.org/Prunus/Prunus_persica/p.persica_gdr_reftransV1_0004870","p.persica_gdr_reftransV1_0004870")</f>
        <v>p.persica_gdr_reftransV1_0004870</v>
      </c>
      <c r="B15908" s="2">
        <v>1718</v>
      </c>
      <c r="C15908" s="4" t="str">
        <f>HYPERLINK("http://www.uniprot.org/uniprot/M5W8R1","M5W8R1")</f>
        <v>M5W8R1</v>
      </c>
      <c r="D15908" s="2" t="s">
        <v>12702</v>
      </c>
      <c r="E15908" s="3">
        <v>0</v>
      </c>
      <c r="F15908" s="2">
        <v>2353</v>
      </c>
      <c r="G15908" s="2">
        <v>100</v>
      </c>
      <c r="H15908" s="2">
        <v>467</v>
      </c>
      <c r="I15908" s="2">
        <v>250</v>
      </c>
      <c r="J15908" s="2">
        <v>1650</v>
      </c>
      <c r="K15908" s="2">
        <v>1</v>
      </c>
      <c r="L15908" s="2">
        <v>467</v>
      </c>
    </row>
    <row r="15909" spans="1:12" x14ac:dyDescent="0.25">
      <c r="A15909" s="4" t="str">
        <f>HYPERLINK("http://www.rosaceae.org/Prunus/Prunus_persica/p.persica_gdr_reftransV1_0005220","p.persica_gdr_reftransV1_0005220")</f>
        <v>p.persica_gdr_reftransV1_0005220</v>
      </c>
      <c r="B15909" s="2">
        <v>1676</v>
      </c>
      <c r="C15909" s="4" t="str">
        <f>HYPERLINK("http://www.uniprot.org/uniprot/M5WV18","M5WV18")</f>
        <v>M5WV18</v>
      </c>
      <c r="D15909" s="2" t="s">
        <v>12703</v>
      </c>
      <c r="E15909" s="3">
        <v>4.7199999999999998E-175</v>
      </c>
      <c r="F15909" s="2">
        <v>1308</v>
      </c>
      <c r="G15909" s="2">
        <v>100</v>
      </c>
      <c r="H15909" s="2">
        <v>285</v>
      </c>
      <c r="I15909" s="2">
        <v>498</v>
      </c>
      <c r="J15909" s="2">
        <v>1352</v>
      </c>
      <c r="K15909" s="2">
        <v>1</v>
      </c>
      <c r="L15909" s="2">
        <v>285</v>
      </c>
    </row>
    <row r="15910" spans="1:12" x14ac:dyDescent="0.25">
      <c r="A15910" s="4" t="str">
        <f>HYPERLINK("http://www.rosaceae.org/Prunus/Prunus_persica/p.persica_gdr_reftransV1_0006270","p.persica_gdr_reftransV1_0006270")</f>
        <v>p.persica_gdr_reftransV1_0006270</v>
      </c>
      <c r="B15910" s="2">
        <v>2076</v>
      </c>
      <c r="C15910" s="4" t="str">
        <f>HYPERLINK("http://www.uniprot.org/uniprot/M5WAM9","M5WAM9")</f>
        <v>M5WAM9</v>
      </c>
      <c r="D15910" s="2" t="s">
        <v>8451</v>
      </c>
      <c r="E15910" s="3">
        <v>0</v>
      </c>
      <c r="F15910" s="2">
        <v>1851</v>
      </c>
      <c r="G15910" s="2">
        <v>99</v>
      </c>
      <c r="H15910" s="2">
        <v>342</v>
      </c>
      <c r="I15910" s="2">
        <v>902</v>
      </c>
      <c r="J15910" s="2">
        <v>1927</v>
      </c>
      <c r="K15910" s="2">
        <v>152</v>
      </c>
      <c r="L15910" s="2">
        <v>493</v>
      </c>
    </row>
    <row r="15911" spans="1:12" x14ac:dyDescent="0.25">
      <c r="A15911" s="4" t="str">
        <f>HYPERLINK("http://www.rosaceae.org/Prunus/Prunus_persica/p.persica_gdr_reftransV1_0007320","p.persica_gdr_reftransV1_0007320")</f>
        <v>p.persica_gdr_reftransV1_0007320</v>
      </c>
      <c r="B15911" s="2">
        <v>517</v>
      </c>
      <c r="C15911" s="4" t="str">
        <f>HYPERLINK("http://www.uniprot.org/uniprot/M5WIJ6","M5WIJ6")</f>
        <v>M5WIJ6</v>
      </c>
      <c r="D15911" s="2" t="s">
        <v>555</v>
      </c>
      <c r="E15911" s="3">
        <v>1.7600000000000001E-30</v>
      </c>
      <c r="F15911" s="2">
        <v>294</v>
      </c>
      <c r="G15911" s="2">
        <v>60</v>
      </c>
      <c r="H15911" s="2">
        <v>105</v>
      </c>
      <c r="I15911" s="2">
        <v>41</v>
      </c>
      <c r="J15911" s="2">
        <v>355</v>
      </c>
      <c r="K15911" s="2">
        <v>1</v>
      </c>
      <c r="L15911" s="2">
        <v>102</v>
      </c>
    </row>
    <row r="15912" spans="1:12" x14ac:dyDescent="0.25">
      <c r="A15912" s="4" t="str">
        <f>HYPERLINK("http://www.rosaceae.org/Prunus/Prunus_persica/p.persica_gdr_reftransV1_0008020","p.persica_gdr_reftransV1_0008020")</f>
        <v>p.persica_gdr_reftransV1_0008020</v>
      </c>
      <c r="B15912" s="2">
        <v>1343</v>
      </c>
      <c r="C15912" s="4" t="str">
        <f>HYPERLINK("http://www.uniprot.org/uniprot/A0A0D2V6L6","A0A0D2V6L6")</f>
        <v>A0A0D2V6L6</v>
      </c>
      <c r="D15912" s="2" t="s">
        <v>12704</v>
      </c>
      <c r="E15912" s="3">
        <v>2.5599999999999998E-143</v>
      </c>
      <c r="F15912" s="2">
        <v>1085</v>
      </c>
      <c r="G15912" s="2">
        <v>86</v>
      </c>
      <c r="H15912" s="2">
        <v>248</v>
      </c>
      <c r="I15912" s="2">
        <v>139</v>
      </c>
      <c r="J15912" s="2">
        <v>882</v>
      </c>
      <c r="K15912" s="2">
        <v>22</v>
      </c>
      <c r="L15912" s="2">
        <v>269</v>
      </c>
    </row>
    <row r="15913" spans="1:12" x14ac:dyDescent="0.25">
      <c r="A15913" s="4" t="str">
        <f>HYPERLINK("http://www.rosaceae.org/Prunus/Prunus_persica/p.persica_gdr_reftransV1_0008370","p.persica_gdr_reftransV1_0008370")</f>
        <v>p.persica_gdr_reftransV1_0008370</v>
      </c>
      <c r="B15913" s="2">
        <v>1670</v>
      </c>
      <c r="C15913" s="4" t="str">
        <f>HYPERLINK("http://www.uniprot.org/uniprot/M5WM67","M5WM67")</f>
        <v>M5WM67</v>
      </c>
      <c r="D15913" s="2" t="s">
        <v>12705</v>
      </c>
      <c r="E15913" s="3">
        <v>0</v>
      </c>
      <c r="F15913" s="2">
        <v>2012</v>
      </c>
      <c r="G15913" s="2">
        <v>99</v>
      </c>
      <c r="H15913" s="2">
        <v>424</v>
      </c>
      <c r="I15913" s="2">
        <v>321</v>
      </c>
      <c r="J15913" s="2">
        <v>1592</v>
      </c>
      <c r="K15913" s="2">
        <v>4</v>
      </c>
      <c r="L15913" s="2">
        <v>427</v>
      </c>
    </row>
    <row r="15914" spans="1:12" x14ac:dyDescent="0.25">
      <c r="A15914" s="4" t="str">
        <f>HYPERLINK("http://www.rosaceae.org/Prunus/Prunus_persica/p.persica_gdr_reftransV1_0009070","p.persica_gdr_reftransV1_0009070")</f>
        <v>p.persica_gdr_reftransV1_0009070</v>
      </c>
      <c r="B15914" s="2">
        <v>1679</v>
      </c>
      <c r="C15914" s="4" t="str">
        <f>HYPERLINK("http://www.uniprot.org/uniprot/M5WFI1","M5WFI1")</f>
        <v>M5WFI1</v>
      </c>
      <c r="D15914" s="2" t="s">
        <v>12706</v>
      </c>
      <c r="E15914" s="3">
        <v>0</v>
      </c>
      <c r="F15914" s="2">
        <v>1468</v>
      </c>
      <c r="G15914" s="2">
        <v>100</v>
      </c>
      <c r="H15914" s="2">
        <v>280</v>
      </c>
      <c r="I15914" s="2">
        <v>232</v>
      </c>
      <c r="J15914" s="2">
        <v>1071</v>
      </c>
      <c r="K15914" s="2">
        <v>1</v>
      </c>
      <c r="L15914" s="2">
        <v>280</v>
      </c>
    </row>
    <row r="15915" spans="1:12" x14ac:dyDescent="0.25">
      <c r="A15915" s="4" t="str">
        <f>HYPERLINK("http://www.rosaceae.org/Prunus/Prunus_persica/p.persica_gdr_reftransV1_0009420","p.persica_gdr_reftransV1_0009420")</f>
        <v>p.persica_gdr_reftransV1_0009420</v>
      </c>
      <c r="B15915" s="2">
        <v>4024</v>
      </c>
      <c r="C15915" s="4" t="str">
        <f>HYPERLINK("http://www.uniprot.org/uniprot/M5X2I7","M5X2I7")</f>
        <v>M5X2I7</v>
      </c>
      <c r="D15915" s="2" t="s">
        <v>10528</v>
      </c>
      <c r="E15915" s="3">
        <v>1.6199999999999999E-109</v>
      </c>
      <c r="F15915" s="2">
        <v>906</v>
      </c>
      <c r="G15915" s="2">
        <v>99</v>
      </c>
      <c r="H15915" s="2">
        <v>172</v>
      </c>
      <c r="I15915" s="2">
        <v>3110</v>
      </c>
      <c r="J15915" s="2">
        <v>3625</v>
      </c>
      <c r="K15915" s="2">
        <v>1</v>
      </c>
      <c r="L15915" s="2">
        <v>172</v>
      </c>
    </row>
    <row r="15916" spans="1:12" x14ac:dyDescent="0.25">
      <c r="A15916" s="4" t="str">
        <f>HYPERLINK("http://www.rosaceae.org/Prunus/Prunus_persica/p.persica_gdr_reftransV1_0009770","p.persica_gdr_reftransV1_0009770")</f>
        <v>p.persica_gdr_reftransV1_0009770</v>
      </c>
      <c r="B15916" s="2">
        <v>726</v>
      </c>
      <c r="C15916" s="4" t="str">
        <f>HYPERLINK("http://www.uniprot.org/uniprot/M5W9R0","M5W9R0")</f>
        <v>M5W9R0</v>
      </c>
      <c r="D15916" s="2" t="s">
        <v>12707</v>
      </c>
      <c r="E15916" s="3">
        <v>5.0599999999999999E-102</v>
      </c>
      <c r="F15916" s="2">
        <v>826</v>
      </c>
      <c r="G15916" s="2">
        <v>100</v>
      </c>
      <c r="H15916" s="2">
        <v>164</v>
      </c>
      <c r="I15916" s="2">
        <v>1</v>
      </c>
      <c r="J15916" s="2">
        <v>492</v>
      </c>
      <c r="K15916" s="2">
        <v>522</v>
      </c>
      <c r="L15916" s="2">
        <v>685</v>
      </c>
    </row>
    <row r="15917" spans="1:12" x14ac:dyDescent="0.25">
      <c r="A15917" s="4" t="str">
        <f>HYPERLINK("http://www.rosaceae.org/Prunus/Prunus_persica/p.persica_gdr_reftransV1_0010820","p.persica_gdr_reftransV1_0010820")</f>
        <v>p.persica_gdr_reftransV1_0010820</v>
      </c>
      <c r="B15917" s="2">
        <v>2741</v>
      </c>
      <c r="C15917" s="4" t="str">
        <f>HYPERLINK("http://www.uniprot.org/uniprot/M5X9M3","M5X9M3")</f>
        <v>M5X9M3</v>
      </c>
      <c r="D15917" s="2" t="s">
        <v>12708</v>
      </c>
      <c r="E15917" s="3">
        <v>0</v>
      </c>
      <c r="F15917" s="2">
        <v>3445</v>
      </c>
      <c r="G15917" s="2">
        <v>100</v>
      </c>
      <c r="H15917" s="2">
        <v>723</v>
      </c>
      <c r="I15917" s="2">
        <v>299</v>
      </c>
      <c r="J15917" s="2">
        <v>2467</v>
      </c>
      <c r="K15917" s="2">
        <v>1</v>
      </c>
      <c r="L15917" s="2">
        <v>723</v>
      </c>
    </row>
    <row r="15918" spans="1:12" x14ac:dyDescent="0.25">
      <c r="A15918" s="4" t="str">
        <f>HYPERLINK("http://www.rosaceae.org/Prunus/Prunus_persica/p.persica_gdr_reftransV1_0012220","p.persica_gdr_reftransV1_0012220")</f>
        <v>p.persica_gdr_reftransV1_0012220</v>
      </c>
      <c r="B15918" s="2">
        <v>3408</v>
      </c>
      <c r="C15918" s="4" t="str">
        <f>HYPERLINK("http://www.uniprot.org/uniprot/M5WE90","M5WE90")</f>
        <v>M5WE90</v>
      </c>
      <c r="D15918" s="2" t="s">
        <v>12709</v>
      </c>
      <c r="E15918" s="3">
        <v>0</v>
      </c>
      <c r="F15918" s="2">
        <v>2398</v>
      </c>
      <c r="G15918" s="2">
        <v>96</v>
      </c>
      <c r="H15918" s="2">
        <v>512</v>
      </c>
      <c r="I15918" s="2">
        <v>357</v>
      </c>
      <c r="J15918" s="2">
        <v>1892</v>
      </c>
      <c r="K15918" s="2">
        <v>267</v>
      </c>
      <c r="L15918" s="2">
        <v>778</v>
      </c>
    </row>
    <row r="15919" spans="1:12" x14ac:dyDescent="0.25">
      <c r="A15919" s="4" t="str">
        <f>HYPERLINK("http://www.rosaceae.org/Prunus/Prunus_persica/p.persica_gdr_reftransV1_0012570","p.persica_gdr_reftransV1_0012570")</f>
        <v>p.persica_gdr_reftransV1_0012570</v>
      </c>
      <c r="B15919" s="2">
        <v>3456</v>
      </c>
      <c r="C15919" s="4" t="str">
        <f>HYPERLINK("http://www.uniprot.org/uniprot/M5WWB8","M5WWB8")</f>
        <v>M5WWB8</v>
      </c>
      <c r="D15919" s="2" t="s">
        <v>12710</v>
      </c>
      <c r="E15919" s="3">
        <v>0</v>
      </c>
      <c r="F15919" s="2">
        <v>2690</v>
      </c>
      <c r="G15919" s="2">
        <v>100</v>
      </c>
      <c r="H15919" s="2">
        <v>539</v>
      </c>
      <c r="I15919" s="2">
        <v>1694</v>
      </c>
      <c r="J15919" s="2">
        <v>3310</v>
      </c>
      <c r="K15919" s="2">
        <v>1</v>
      </c>
      <c r="L15919" s="2">
        <v>539</v>
      </c>
    </row>
    <row r="15920" spans="1:12" x14ac:dyDescent="0.25">
      <c r="A15920" s="4" t="str">
        <f>HYPERLINK("http://www.rosaceae.org/Prunus/Prunus_persica/p.persica_gdr_reftransV1_0013270","p.persica_gdr_reftransV1_0013270")</f>
        <v>p.persica_gdr_reftransV1_0013270</v>
      </c>
      <c r="B15920" s="2">
        <v>2707</v>
      </c>
      <c r="C15920" s="4" t="str">
        <f>HYPERLINK("http://www.uniprot.org/uniprot/M5VK94","M5VK94")</f>
        <v>M5VK94</v>
      </c>
      <c r="D15920" s="2" t="s">
        <v>12711</v>
      </c>
      <c r="E15920" s="3">
        <v>0</v>
      </c>
      <c r="F15920" s="2">
        <v>3731</v>
      </c>
      <c r="G15920" s="2">
        <v>100</v>
      </c>
      <c r="H15920" s="2">
        <v>697</v>
      </c>
      <c r="I15920" s="2">
        <v>615</v>
      </c>
      <c r="J15920" s="2">
        <v>2705</v>
      </c>
      <c r="K15920" s="2">
        <v>176</v>
      </c>
      <c r="L15920" s="2">
        <v>872</v>
      </c>
    </row>
    <row r="15921" spans="1:12" x14ac:dyDescent="0.25">
      <c r="A15921" s="4" t="str">
        <f>HYPERLINK("http://www.rosaceae.org/Prunus/Prunus_persica/p.persica_gdr_reftransV1_0013620","p.persica_gdr_reftransV1_0013620")</f>
        <v>p.persica_gdr_reftransV1_0013620</v>
      </c>
      <c r="B15921" s="2">
        <v>4050</v>
      </c>
      <c r="C15921" s="4" t="str">
        <f>HYPERLINK("http://www.uniprot.org/uniprot/M5WRZ4","M5WRZ4")</f>
        <v>M5WRZ4</v>
      </c>
      <c r="D15921" s="2" t="s">
        <v>12712</v>
      </c>
      <c r="E15921" s="3">
        <v>0</v>
      </c>
      <c r="F15921" s="2">
        <v>4134</v>
      </c>
      <c r="G15921" s="2">
        <v>100</v>
      </c>
      <c r="H15921" s="2">
        <v>893</v>
      </c>
      <c r="I15921" s="2">
        <v>839</v>
      </c>
      <c r="J15921" s="2">
        <v>3517</v>
      </c>
      <c r="K15921" s="2">
        <v>1</v>
      </c>
      <c r="L15921" s="2">
        <v>893</v>
      </c>
    </row>
    <row r="15922" spans="1:12" x14ac:dyDescent="0.25">
      <c r="A15922" s="4" t="str">
        <f>HYPERLINK("http://www.rosaceae.org/Prunus/Prunus_persica/p.persica_gdr_reftransV1_0014320","p.persica_gdr_reftransV1_0014320")</f>
        <v>p.persica_gdr_reftransV1_0014320</v>
      </c>
      <c r="B15922" s="2">
        <v>3922</v>
      </c>
      <c r="C15922" s="4" t="str">
        <f>HYPERLINK("http://www.uniprot.org/uniprot/M5VST8","M5VST8")</f>
        <v>M5VST8</v>
      </c>
      <c r="D15922" s="2" t="s">
        <v>12713</v>
      </c>
      <c r="E15922" s="3">
        <v>0</v>
      </c>
      <c r="F15922" s="2">
        <v>3953</v>
      </c>
      <c r="G15922" s="2">
        <v>100</v>
      </c>
      <c r="H15922" s="2">
        <v>787</v>
      </c>
      <c r="I15922" s="2">
        <v>156</v>
      </c>
      <c r="J15922" s="2">
        <v>2516</v>
      </c>
      <c r="K15922" s="2">
        <v>1</v>
      </c>
      <c r="L15922" s="2">
        <v>787</v>
      </c>
    </row>
    <row r="15923" spans="1:12" x14ac:dyDescent="0.25">
      <c r="A15923" s="4" t="str">
        <f>HYPERLINK("http://www.rosaceae.org/Prunus/Prunus_persica/p.persica_gdr_reftransV1_0014670","p.persica_gdr_reftransV1_0014670")</f>
        <v>p.persica_gdr_reftransV1_0014670</v>
      </c>
      <c r="B15923" s="2">
        <v>1696</v>
      </c>
      <c r="C15923" s="4" t="str">
        <f>HYPERLINK("http://www.uniprot.org/uniprot/M5XST5","M5XST5")</f>
        <v>M5XST5</v>
      </c>
      <c r="D15923" s="2" t="s">
        <v>12714</v>
      </c>
      <c r="E15923" s="3">
        <v>4.3199999999999999E-172</v>
      </c>
      <c r="F15923" s="2">
        <v>1326</v>
      </c>
      <c r="G15923" s="2">
        <v>100</v>
      </c>
      <c r="H15923" s="2">
        <v>260</v>
      </c>
      <c r="I15923" s="2">
        <v>747</v>
      </c>
      <c r="J15923" s="2">
        <v>1526</v>
      </c>
      <c r="K15923" s="2">
        <v>406</v>
      </c>
      <c r="L15923" s="2">
        <v>665</v>
      </c>
    </row>
    <row r="15924" spans="1:12" x14ac:dyDescent="0.25">
      <c r="A15924" s="4" t="str">
        <f>HYPERLINK("http://www.rosaceae.org/Prunus/Prunus_persica/p.persica_gdr_reftransV1_0015370","p.persica_gdr_reftransV1_0015370")</f>
        <v>p.persica_gdr_reftransV1_0015370</v>
      </c>
      <c r="B15924" s="2">
        <v>2346</v>
      </c>
      <c r="C15924" s="4" t="str">
        <f>HYPERLINK("http://www.uniprot.org/uniprot/M5XFN4","M5XFN4")</f>
        <v>M5XFN4</v>
      </c>
      <c r="D15924" s="2" t="s">
        <v>12715</v>
      </c>
      <c r="E15924" s="3">
        <v>0</v>
      </c>
      <c r="F15924" s="2">
        <v>2284</v>
      </c>
      <c r="G15924" s="2">
        <v>100</v>
      </c>
      <c r="H15924" s="2">
        <v>551</v>
      </c>
      <c r="I15924" s="2">
        <v>392</v>
      </c>
      <c r="J15924" s="2">
        <v>2044</v>
      </c>
      <c r="K15924" s="2">
        <v>1</v>
      </c>
      <c r="L15924" s="2">
        <v>551</v>
      </c>
    </row>
    <row r="15925" spans="1:12" x14ac:dyDescent="0.25">
      <c r="A15925" s="4" t="str">
        <f>HYPERLINK("http://www.rosaceae.org/Prunus/Prunus_persica/p.persica_gdr_reftransV1_0016070","p.persica_gdr_reftransV1_0016070")</f>
        <v>p.persica_gdr_reftransV1_0016070</v>
      </c>
      <c r="B15925" s="2">
        <v>1841</v>
      </c>
      <c r="C15925" s="4" t="str">
        <f>HYPERLINK("http://www.uniprot.org/uniprot/M5WYB0","M5WYB0")</f>
        <v>M5WYB0</v>
      </c>
      <c r="D15925" s="2" t="s">
        <v>11339</v>
      </c>
      <c r="E15925" s="3">
        <v>0</v>
      </c>
      <c r="F15925" s="2">
        <v>1508</v>
      </c>
      <c r="G15925" s="2">
        <v>100</v>
      </c>
      <c r="H15925" s="2">
        <v>280</v>
      </c>
      <c r="I15925" s="2">
        <v>3</v>
      </c>
      <c r="J15925" s="2">
        <v>842</v>
      </c>
      <c r="K15925" s="2">
        <v>373</v>
      </c>
      <c r="L15925" s="2">
        <v>652</v>
      </c>
    </row>
    <row r="15926" spans="1:12" x14ac:dyDescent="0.25">
      <c r="A15926" s="4" t="str">
        <f>HYPERLINK("http://www.rosaceae.org/Prunus/Prunus_persica/p.persica_gdr_reftransV1_0016420","p.persica_gdr_reftransV1_0016420")</f>
        <v>p.persica_gdr_reftransV1_0016420</v>
      </c>
      <c r="B15926" s="2">
        <v>1202</v>
      </c>
      <c r="C15926" s="4" t="str">
        <f>HYPERLINK("http://www.uniprot.org/uniprot/M5XEY7","M5XEY7")</f>
        <v>M5XEY7</v>
      </c>
      <c r="D15926" s="2" t="s">
        <v>7674</v>
      </c>
      <c r="E15926" s="3">
        <v>1.33E-180</v>
      </c>
      <c r="F15926" s="2">
        <v>1358</v>
      </c>
      <c r="G15926" s="2">
        <v>87</v>
      </c>
      <c r="H15926" s="2">
        <v>325</v>
      </c>
      <c r="I15926" s="2">
        <v>227</v>
      </c>
      <c r="J15926" s="2">
        <v>1201</v>
      </c>
      <c r="K15926" s="2">
        <v>293</v>
      </c>
      <c r="L15926" s="2">
        <v>576</v>
      </c>
    </row>
    <row r="15927" spans="1:12" x14ac:dyDescent="0.25">
      <c r="A15927" s="4" t="str">
        <f>HYPERLINK("http://www.rosaceae.org/Prunus/Prunus_persica/p.persica_gdr_reftransV1_0016770","p.persica_gdr_reftransV1_0016770")</f>
        <v>p.persica_gdr_reftransV1_0016770</v>
      </c>
      <c r="B15927" s="2">
        <v>366</v>
      </c>
      <c r="C15927" s="4" t="str">
        <f>HYPERLINK("http://www.uniprot.org/uniprot/M5XNY6","M5XNY6")</f>
        <v>M5XNY6</v>
      </c>
      <c r="D15927" s="2" t="s">
        <v>12716</v>
      </c>
      <c r="E15927" s="3">
        <v>1.0700000000000001E-81</v>
      </c>
      <c r="F15927" s="2">
        <v>645</v>
      </c>
      <c r="G15927" s="2">
        <v>100</v>
      </c>
      <c r="H15927" s="2">
        <v>121</v>
      </c>
      <c r="I15927" s="2">
        <v>3</v>
      </c>
      <c r="J15927" s="2">
        <v>365</v>
      </c>
      <c r="K15927" s="2">
        <v>172</v>
      </c>
      <c r="L15927" s="2">
        <v>292</v>
      </c>
    </row>
    <row r="15928" spans="1:12" x14ac:dyDescent="0.25">
      <c r="A15928" s="4" t="str">
        <f>HYPERLINK("http://www.rosaceae.org/Prunus/Prunus_persica/p.persica_gdr_reftransV1_0017820","p.persica_gdr_reftransV1_0017820")</f>
        <v>p.persica_gdr_reftransV1_0017820</v>
      </c>
      <c r="B15928" s="2">
        <v>2259</v>
      </c>
      <c r="C15928" s="4" t="str">
        <f>HYPERLINK("http://www.uniprot.org/uniprot/M5XCX6","M5XCX6")</f>
        <v>M5XCX6</v>
      </c>
      <c r="D15928" s="2" t="s">
        <v>12717</v>
      </c>
      <c r="E15928" s="3">
        <v>0</v>
      </c>
      <c r="F15928" s="2">
        <v>2404</v>
      </c>
      <c r="G15928" s="2">
        <v>100</v>
      </c>
      <c r="H15928" s="2">
        <v>448</v>
      </c>
      <c r="I15928" s="2">
        <v>442</v>
      </c>
      <c r="J15928" s="2">
        <v>1785</v>
      </c>
      <c r="K15928" s="2">
        <v>1</v>
      </c>
      <c r="L15928" s="2">
        <v>448</v>
      </c>
    </row>
    <row r="15929" spans="1:12" x14ac:dyDescent="0.25">
      <c r="A15929" s="4" t="str">
        <f>HYPERLINK("http://www.rosaceae.org/Prunus/Prunus_persica/p.persica_gdr_reftransV1_0019220","p.persica_gdr_reftransV1_0019220")</f>
        <v>p.persica_gdr_reftransV1_0019220</v>
      </c>
      <c r="B15929" s="2">
        <v>610</v>
      </c>
      <c r="C15929" s="4" t="str">
        <f>HYPERLINK("http://www.uniprot.org/uniprot/M5XIB9","M5XIB9")</f>
        <v>M5XIB9</v>
      </c>
      <c r="D15929" s="2" t="s">
        <v>11553</v>
      </c>
      <c r="E15929" s="3">
        <v>4.0300000000000001E-74</v>
      </c>
      <c r="F15929" s="2">
        <v>632</v>
      </c>
      <c r="G15929" s="2">
        <v>100</v>
      </c>
      <c r="H15929" s="2">
        <v>119</v>
      </c>
      <c r="I15929" s="2">
        <v>3</v>
      </c>
      <c r="J15929" s="2">
        <v>359</v>
      </c>
      <c r="K15929" s="2">
        <v>1</v>
      </c>
      <c r="L15929" s="2">
        <v>119</v>
      </c>
    </row>
    <row r="15930" spans="1:12" x14ac:dyDescent="0.25">
      <c r="A15930" s="4" t="str">
        <f>HYPERLINK("http://www.rosaceae.org/Prunus/Prunus_persica/p.persica_gdr_reftransV1_0019570","p.persica_gdr_reftransV1_0019570")</f>
        <v>p.persica_gdr_reftransV1_0019570</v>
      </c>
      <c r="B15930" s="2">
        <v>7306</v>
      </c>
      <c r="C15930" s="4" t="str">
        <f>HYPERLINK("http://www.uniprot.org/uniprot/W9S0R5","W9S0R5")</f>
        <v>W9S0R5</v>
      </c>
      <c r="D15930" s="2" t="s">
        <v>5821</v>
      </c>
      <c r="E15930" s="3">
        <v>0</v>
      </c>
      <c r="F15930" s="2">
        <v>7517</v>
      </c>
      <c r="G15930" s="2">
        <v>73</v>
      </c>
      <c r="H15930" s="2">
        <v>2135</v>
      </c>
      <c r="I15930" s="2">
        <v>385</v>
      </c>
      <c r="J15930" s="2">
        <v>6765</v>
      </c>
      <c r="K15930" s="2">
        <v>1</v>
      </c>
      <c r="L15930" s="2">
        <v>2124</v>
      </c>
    </row>
    <row r="15931" spans="1:12" x14ac:dyDescent="0.25">
      <c r="A15931" s="4" t="str">
        <f>HYPERLINK("http://www.rosaceae.org/Prunus/Prunus_persica/p.persica_gdr_reftransV1_0020620","p.persica_gdr_reftransV1_0020620")</f>
        <v>p.persica_gdr_reftransV1_0020620</v>
      </c>
      <c r="B15931" s="2">
        <v>1478</v>
      </c>
      <c r="C15931" s="4" t="str">
        <f>HYPERLINK("http://www.uniprot.org/uniprot/M5Y379","M5Y379")</f>
        <v>M5Y379</v>
      </c>
      <c r="D15931" s="2" t="s">
        <v>12718</v>
      </c>
      <c r="E15931" s="3">
        <v>3.9100000000000001E-78</v>
      </c>
      <c r="F15931" s="2">
        <v>651</v>
      </c>
      <c r="G15931" s="2">
        <v>81</v>
      </c>
      <c r="H15931" s="2">
        <v>254</v>
      </c>
      <c r="I15931" s="2">
        <v>341</v>
      </c>
      <c r="J15931" s="2">
        <v>1102</v>
      </c>
      <c r="K15931" s="2">
        <v>1</v>
      </c>
      <c r="L15931" s="2">
        <v>207</v>
      </c>
    </row>
    <row r="15932" spans="1:12" x14ac:dyDescent="0.25">
      <c r="A15932" s="4" t="str">
        <f>HYPERLINK("http://www.rosaceae.org/Prunus/Prunus_persica/p.persica_gdr_reftransV1_0020970","p.persica_gdr_reftransV1_0020970")</f>
        <v>p.persica_gdr_reftransV1_0020970</v>
      </c>
      <c r="B15932" s="2">
        <v>1607</v>
      </c>
      <c r="C15932" s="4" t="str">
        <f>HYPERLINK("http://www.uniprot.org/uniprot/M5XW77","M5XW77")</f>
        <v>M5XW77</v>
      </c>
      <c r="D15932" s="2" t="s">
        <v>2371</v>
      </c>
      <c r="E15932" s="3">
        <v>0</v>
      </c>
      <c r="F15932" s="2">
        <v>1880</v>
      </c>
      <c r="G15932" s="2">
        <v>100</v>
      </c>
      <c r="H15932" s="2">
        <v>351</v>
      </c>
      <c r="I15932" s="2">
        <v>200</v>
      </c>
      <c r="J15932" s="2">
        <v>1252</v>
      </c>
      <c r="K15932" s="2">
        <v>1</v>
      </c>
      <c r="L15932" s="2">
        <v>351</v>
      </c>
    </row>
    <row r="15933" spans="1:12" x14ac:dyDescent="0.25">
      <c r="A15933" s="4" t="str">
        <f>HYPERLINK("http://www.rosaceae.org/Prunus/Prunus_persica/p.persica_gdr_reftransV1_0021670","p.persica_gdr_reftransV1_0021670")</f>
        <v>p.persica_gdr_reftransV1_0021670</v>
      </c>
      <c r="B15933" s="2">
        <v>3225</v>
      </c>
      <c r="C15933" s="4" t="str">
        <f>HYPERLINK("http://www.uniprot.org/uniprot/M5WYL6","M5WYL6")</f>
        <v>M5WYL6</v>
      </c>
      <c r="D15933" s="2" t="s">
        <v>12719</v>
      </c>
      <c r="E15933" s="3">
        <v>0</v>
      </c>
      <c r="F15933" s="2">
        <v>4274</v>
      </c>
      <c r="G15933" s="2">
        <v>100</v>
      </c>
      <c r="H15933" s="2">
        <v>806</v>
      </c>
      <c r="I15933" s="2">
        <v>565</v>
      </c>
      <c r="J15933" s="2">
        <v>2982</v>
      </c>
      <c r="K15933" s="2">
        <v>1</v>
      </c>
      <c r="L15933" s="2">
        <v>806</v>
      </c>
    </row>
    <row r="15934" spans="1:12" x14ac:dyDescent="0.25">
      <c r="A15934" s="4" t="str">
        <f>HYPERLINK("http://www.rosaceae.org/Prunus/Prunus_persica/p.persica_gdr_reftransV1_0022370","p.persica_gdr_reftransV1_0022370")</f>
        <v>p.persica_gdr_reftransV1_0022370</v>
      </c>
      <c r="B15934" s="2">
        <v>1183</v>
      </c>
      <c r="C15934" s="4" t="str">
        <f>HYPERLINK("http://www.uniprot.org/uniprot/M5X1A6","M5X1A6")</f>
        <v>M5X1A6</v>
      </c>
      <c r="D15934" s="2" t="s">
        <v>12720</v>
      </c>
      <c r="E15934" s="3">
        <v>0</v>
      </c>
      <c r="F15934" s="2">
        <v>1458</v>
      </c>
      <c r="G15934" s="2">
        <v>100</v>
      </c>
      <c r="H15934" s="2">
        <v>319</v>
      </c>
      <c r="I15934" s="2">
        <v>71</v>
      </c>
      <c r="J15934" s="2">
        <v>1027</v>
      </c>
      <c r="K15934" s="2">
        <v>1</v>
      </c>
      <c r="L15934" s="2">
        <v>319</v>
      </c>
    </row>
    <row r="15935" spans="1:12" x14ac:dyDescent="0.25">
      <c r="A15935" s="4" t="str">
        <f>HYPERLINK("http://www.rosaceae.org/Prunus/Prunus_persica/p.persica_gdr_reftransV1_0023420","p.persica_gdr_reftransV1_0023420")</f>
        <v>p.persica_gdr_reftransV1_0023420</v>
      </c>
      <c r="B15935" s="2">
        <v>2231</v>
      </c>
      <c r="C15935" s="4" t="str">
        <f>HYPERLINK("http://www.uniprot.org/uniprot/M5VRE8","M5VRE8")</f>
        <v>M5VRE8</v>
      </c>
      <c r="D15935" s="2" t="s">
        <v>12721</v>
      </c>
      <c r="E15935" s="3">
        <v>4.2900000000000004E-84</v>
      </c>
      <c r="F15935" s="2">
        <v>701</v>
      </c>
      <c r="G15935" s="2">
        <v>98</v>
      </c>
      <c r="H15935" s="2">
        <v>139</v>
      </c>
      <c r="I15935" s="2">
        <v>866</v>
      </c>
      <c r="J15935" s="2">
        <v>1282</v>
      </c>
      <c r="K15935" s="2">
        <v>8</v>
      </c>
      <c r="L15935" s="2">
        <v>146</v>
      </c>
    </row>
    <row r="15936" spans="1:12" x14ac:dyDescent="0.25">
      <c r="A15936" s="4" t="str">
        <f>HYPERLINK("http://www.rosaceae.org/Prunus/Prunus_persica/p.persica_gdr_reftransV1_0025870","p.persica_gdr_reftransV1_0025870")</f>
        <v>p.persica_gdr_reftransV1_0025870</v>
      </c>
      <c r="B15936" s="2">
        <v>3538</v>
      </c>
      <c r="C15936" s="4" t="str">
        <f>HYPERLINK("http://www.uniprot.org/uniprot/M5WI19","M5WI19")</f>
        <v>M5WI19</v>
      </c>
      <c r="D15936" s="2" t="s">
        <v>12722</v>
      </c>
      <c r="E15936" s="3">
        <v>4.7400000000000003E-28</v>
      </c>
      <c r="F15936" s="2">
        <v>308</v>
      </c>
      <c r="G15936" s="2">
        <v>100</v>
      </c>
      <c r="H15936" s="2">
        <v>101</v>
      </c>
      <c r="I15936" s="2">
        <v>237</v>
      </c>
      <c r="J15936" s="2">
        <v>539</v>
      </c>
      <c r="K15936" s="2">
        <v>1</v>
      </c>
      <c r="L15936" s="2">
        <v>101</v>
      </c>
    </row>
    <row r="15937" spans="1:12" x14ac:dyDescent="0.25">
      <c r="A15937" s="4" t="str">
        <f>HYPERLINK("http://www.rosaceae.org/Prunus/Prunus_persica/p.persica_gdr_reftransV1_0029370","p.persica_gdr_reftransV1_0029370")</f>
        <v>p.persica_gdr_reftransV1_0029370</v>
      </c>
      <c r="B15937" s="2">
        <v>601</v>
      </c>
      <c r="C15937" s="4" t="str">
        <f>HYPERLINK("http://www.uniprot.org/uniprot/M5Y3A1","M5Y3A1")</f>
        <v>M5Y3A1</v>
      </c>
      <c r="D15937" s="2" t="s">
        <v>12723</v>
      </c>
      <c r="E15937" s="3">
        <v>4.2799999999999999E-56</v>
      </c>
      <c r="F15937" s="2">
        <v>470</v>
      </c>
      <c r="G15937" s="2">
        <v>99</v>
      </c>
      <c r="H15937" s="2">
        <v>92</v>
      </c>
      <c r="I15937" s="2">
        <v>299</v>
      </c>
      <c r="J15937" s="2">
        <v>574</v>
      </c>
      <c r="K15937" s="2">
        <v>41</v>
      </c>
      <c r="L15937" s="2">
        <v>132</v>
      </c>
    </row>
    <row r="15938" spans="1:12" x14ac:dyDescent="0.25">
      <c r="A15938" s="4" t="str">
        <f>HYPERLINK("http://www.rosaceae.org/Prunus/Prunus_persica/p.persica_gdr_reftransV1_0030070","p.persica_gdr_reftransV1_0030070")</f>
        <v>p.persica_gdr_reftransV1_0030070</v>
      </c>
      <c r="B15938" s="2">
        <v>2671</v>
      </c>
      <c r="C15938" s="4" t="str">
        <f>HYPERLINK("http://www.uniprot.org/uniprot/A0A061G4A6","A0A061G4A6")</f>
        <v>A0A061G4A6</v>
      </c>
      <c r="D15938" s="2" t="s">
        <v>12724</v>
      </c>
      <c r="E15938" s="3">
        <v>4.5299999999999997E-180</v>
      </c>
      <c r="F15938" s="2">
        <v>1380</v>
      </c>
      <c r="G15938" s="2">
        <v>100</v>
      </c>
      <c r="H15938" s="2">
        <v>281</v>
      </c>
      <c r="I15938" s="2">
        <v>356</v>
      </c>
      <c r="J15938" s="2">
        <v>1198</v>
      </c>
      <c r="K15938" s="2">
        <v>1</v>
      </c>
      <c r="L15938" s="2">
        <v>281</v>
      </c>
    </row>
    <row r="15939" spans="1:12" x14ac:dyDescent="0.25">
      <c r="A15939" s="4" t="str">
        <f>HYPERLINK("http://www.rosaceae.org/Prunus/Prunus_persica/p.persica_gdr_reftransV1_0030770","p.persica_gdr_reftransV1_0030770")</f>
        <v>p.persica_gdr_reftransV1_0030770</v>
      </c>
      <c r="B15939" s="2">
        <v>1220</v>
      </c>
      <c r="C15939" s="4" t="str">
        <f>HYPERLINK("http://www.uniprot.org/uniprot/M5XIU1","M5XIU1")</f>
        <v>M5XIU1</v>
      </c>
      <c r="D15939" s="2" t="s">
        <v>4056</v>
      </c>
      <c r="E15939" s="3">
        <v>6.5099999999999997E-114</v>
      </c>
      <c r="F15939" s="2">
        <v>928</v>
      </c>
      <c r="G15939" s="2">
        <v>100</v>
      </c>
      <c r="H15939" s="2">
        <v>172</v>
      </c>
      <c r="I15939" s="2">
        <v>2</v>
      </c>
      <c r="J15939" s="2">
        <v>517</v>
      </c>
      <c r="K15939" s="2">
        <v>589</v>
      </c>
      <c r="L15939" s="2">
        <v>760</v>
      </c>
    </row>
    <row r="15940" spans="1:12" x14ac:dyDescent="0.25">
      <c r="A15940" s="4" t="str">
        <f>HYPERLINK("http://www.rosaceae.org/Prunus/Prunus_persica/p.persica_gdr_reftransV1_0033220","p.persica_gdr_reftransV1_0033220")</f>
        <v>p.persica_gdr_reftransV1_0033220</v>
      </c>
      <c r="B15940" s="2">
        <v>1375</v>
      </c>
      <c r="C15940" s="4" t="str">
        <f>HYPERLINK("http://www.uniprot.org/uniprot/M5XQE5","M5XQE5")</f>
        <v>M5XQE5</v>
      </c>
      <c r="D15940" s="2" t="s">
        <v>12725</v>
      </c>
      <c r="E15940" s="3">
        <v>0</v>
      </c>
      <c r="F15940" s="2">
        <v>1805</v>
      </c>
      <c r="G15940" s="2">
        <v>100</v>
      </c>
      <c r="H15940" s="2">
        <v>335</v>
      </c>
      <c r="I15940" s="2">
        <v>304</v>
      </c>
      <c r="J15940" s="2">
        <v>1308</v>
      </c>
      <c r="K15940" s="2">
        <v>1</v>
      </c>
      <c r="L15940" s="2">
        <v>335</v>
      </c>
    </row>
    <row r="15941" spans="1:12" x14ac:dyDescent="0.25">
      <c r="A15941" s="4" t="str">
        <f>HYPERLINK("http://www.rosaceae.org/Prunus/Prunus_persica/p.persica_gdr_reftransV1_0034270","p.persica_gdr_reftransV1_0034270")</f>
        <v>p.persica_gdr_reftransV1_0034270</v>
      </c>
      <c r="B15941" s="2">
        <v>2006</v>
      </c>
      <c r="C15941" s="4" t="str">
        <f>HYPERLINK("http://www.uniprot.org/uniprot/M5VTL8","M5VTL8")</f>
        <v>M5VTL8</v>
      </c>
      <c r="D15941" s="2" t="s">
        <v>9564</v>
      </c>
      <c r="E15941" s="3">
        <v>0</v>
      </c>
      <c r="F15941" s="2">
        <v>2013</v>
      </c>
      <c r="G15941" s="2">
        <v>85</v>
      </c>
      <c r="H15941" s="2">
        <v>668</v>
      </c>
      <c r="I15941" s="2">
        <v>3</v>
      </c>
      <c r="J15941" s="2">
        <v>2006</v>
      </c>
      <c r="K15941" s="2">
        <v>788</v>
      </c>
      <c r="L15941" s="2">
        <v>1387</v>
      </c>
    </row>
    <row r="15942" spans="1:12" x14ac:dyDescent="0.25">
      <c r="A15942" s="4" t="str">
        <f>HYPERLINK("http://www.rosaceae.org/Prunus/Prunus_persica/p.persica_gdr_reftransV1_0034620","p.persica_gdr_reftransV1_0034620")</f>
        <v>p.persica_gdr_reftransV1_0034620</v>
      </c>
      <c r="B15942" s="2">
        <v>2304</v>
      </c>
      <c r="C15942" s="4" t="str">
        <f>HYPERLINK("http://www.uniprot.org/uniprot/M5XCR0","M5XCR0")</f>
        <v>M5XCR0</v>
      </c>
      <c r="D15942" s="2" t="s">
        <v>6040</v>
      </c>
      <c r="E15942" s="3">
        <v>0</v>
      </c>
      <c r="F15942" s="2">
        <v>2656</v>
      </c>
      <c r="G15942" s="2">
        <v>100</v>
      </c>
      <c r="H15942" s="2">
        <v>528</v>
      </c>
      <c r="I15942" s="2">
        <v>646</v>
      </c>
      <c r="J15942" s="2">
        <v>2229</v>
      </c>
      <c r="K15942" s="2">
        <v>1</v>
      </c>
      <c r="L15942" s="2">
        <v>528</v>
      </c>
    </row>
    <row r="15943" spans="1:12" x14ac:dyDescent="0.25">
      <c r="A15943" s="4" t="str">
        <f>HYPERLINK("http://www.rosaceae.org/Prunus/Prunus_persica/p.persica_gdr_reftransV1_0034970","p.persica_gdr_reftransV1_0034970")</f>
        <v>p.persica_gdr_reftransV1_0034970</v>
      </c>
      <c r="B15943" s="2">
        <v>1951</v>
      </c>
      <c r="C15943" s="4" t="str">
        <f>HYPERLINK("http://www.uniprot.org/uniprot/M5X0H8","M5X0H8")</f>
        <v>M5X0H8</v>
      </c>
      <c r="D15943" s="2" t="s">
        <v>5398</v>
      </c>
      <c r="E15943" s="3">
        <v>3.5499999999999999E-115</v>
      </c>
      <c r="F15943" s="2">
        <v>925</v>
      </c>
      <c r="G15943" s="2">
        <v>85</v>
      </c>
      <c r="H15943" s="2">
        <v>208</v>
      </c>
      <c r="I15943" s="2">
        <v>611</v>
      </c>
      <c r="J15943" s="2">
        <v>1234</v>
      </c>
      <c r="K15943" s="2">
        <v>100</v>
      </c>
      <c r="L15943" s="2">
        <v>303</v>
      </c>
    </row>
    <row r="15944" spans="1:12" x14ac:dyDescent="0.25">
      <c r="A15944" s="4" t="str">
        <f>HYPERLINK("http://www.rosaceae.org/Prunus/Prunus_persica/p.persica_gdr_reftransV1_0038820","p.persica_gdr_reftransV1_0038820")</f>
        <v>p.persica_gdr_reftransV1_0038820</v>
      </c>
      <c r="B15944" s="2">
        <v>3440</v>
      </c>
      <c r="C15944" s="4" t="str">
        <f>HYPERLINK("http://www.uniprot.org/uniprot/M5VLW0","M5VLW0")</f>
        <v>M5VLW0</v>
      </c>
      <c r="D15944" s="2" t="s">
        <v>6624</v>
      </c>
      <c r="E15944" s="3">
        <v>2.22E-103</v>
      </c>
      <c r="F15944" s="2">
        <v>765</v>
      </c>
      <c r="G15944" s="2">
        <v>100</v>
      </c>
      <c r="H15944" s="2">
        <v>187</v>
      </c>
      <c r="I15944" s="2">
        <v>554</v>
      </c>
      <c r="J15944" s="2">
        <v>1114</v>
      </c>
      <c r="K15944" s="2">
        <v>1</v>
      </c>
      <c r="L15944" s="2">
        <v>187</v>
      </c>
    </row>
    <row r="15945" spans="1:12" x14ac:dyDescent="0.25">
      <c r="A15945" s="4" t="str">
        <f>HYPERLINK("http://www.rosaceae.org/Prunus/Prunus_persica/p.persica_gdr_reftransV1_0040220","p.persica_gdr_reftransV1_0040220")</f>
        <v>p.persica_gdr_reftransV1_0040220</v>
      </c>
      <c r="B15945" s="2">
        <v>4916</v>
      </c>
      <c r="C15945" s="4" t="str">
        <f>HYPERLINK("http://www.uniprot.org/uniprot/M5VIL8","M5VIL8")</f>
        <v>M5VIL8</v>
      </c>
      <c r="D15945" s="2" t="s">
        <v>12726</v>
      </c>
      <c r="E15945" s="3">
        <v>0</v>
      </c>
      <c r="F15945" s="2">
        <v>5858</v>
      </c>
      <c r="G15945" s="2">
        <v>98</v>
      </c>
      <c r="H15945" s="2">
        <v>1223</v>
      </c>
      <c r="I15945" s="2">
        <v>474</v>
      </c>
      <c r="J15945" s="2">
        <v>4121</v>
      </c>
      <c r="K15945" s="2">
        <v>1</v>
      </c>
      <c r="L15945" s="2">
        <v>1216</v>
      </c>
    </row>
    <row r="15946" spans="1:12" x14ac:dyDescent="0.25">
      <c r="A15946" s="4" t="str">
        <f>HYPERLINK("http://www.rosaceae.org/Prunus/Prunus_persica/p.persica_gdr_reftransV1_0040570","p.persica_gdr_reftransV1_0040570")</f>
        <v>p.persica_gdr_reftransV1_0040570</v>
      </c>
      <c r="B15946" s="2">
        <v>2821</v>
      </c>
      <c r="C15946" s="4" t="str">
        <f>HYPERLINK("http://www.uniprot.org/uniprot/M5XVN9","M5XVN9")</f>
        <v>M5XVN9</v>
      </c>
      <c r="D15946" s="2" t="s">
        <v>7477</v>
      </c>
      <c r="E15946" s="3">
        <v>0</v>
      </c>
      <c r="F15946" s="2">
        <v>3067</v>
      </c>
      <c r="G15946" s="2">
        <v>96</v>
      </c>
      <c r="H15946" s="2">
        <v>617</v>
      </c>
      <c r="I15946" s="2">
        <v>339</v>
      </c>
      <c r="J15946" s="2">
        <v>2189</v>
      </c>
      <c r="K15946" s="2">
        <v>1</v>
      </c>
      <c r="L15946" s="2">
        <v>616</v>
      </c>
    </row>
    <row r="15947" spans="1:12" x14ac:dyDescent="0.25">
      <c r="A15947" s="4" t="str">
        <f>HYPERLINK("http://www.rosaceae.org/Prunus/Prunus_persica/p.persica_gdr_reftransV1_0043720","p.persica_gdr_reftransV1_0043720")</f>
        <v>p.persica_gdr_reftransV1_0043720</v>
      </c>
      <c r="B15947" s="2">
        <v>531</v>
      </c>
      <c r="C15947" s="4" t="str">
        <f>HYPERLINK("http://www.uniprot.org/uniprot/M5XS36","M5XS36")</f>
        <v>M5XS36</v>
      </c>
      <c r="D15947" s="2" t="s">
        <v>116</v>
      </c>
      <c r="E15947" s="3">
        <v>1.3900000000000001E-68</v>
      </c>
      <c r="F15947" s="2">
        <v>598</v>
      </c>
      <c r="G15947" s="2">
        <v>100</v>
      </c>
      <c r="H15947" s="2">
        <v>115</v>
      </c>
      <c r="I15947" s="2">
        <v>1</v>
      </c>
      <c r="J15947" s="2">
        <v>345</v>
      </c>
      <c r="K15947" s="2">
        <v>641</v>
      </c>
      <c r="L15947" s="2">
        <v>755</v>
      </c>
    </row>
    <row r="15948" spans="1:12" x14ac:dyDescent="0.25">
      <c r="A15948" s="4" t="str">
        <f>HYPERLINK("http://www.rosaceae.org/Prunus/Prunus_persica/p.persica_gdr_reftransV1_0044070","p.persica_gdr_reftransV1_0044070")</f>
        <v>p.persica_gdr_reftransV1_0044070</v>
      </c>
      <c r="B15948" s="2">
        <v>2282</v>
      </c>
      <c r="C15948" s="4" t="str">
        <f>HYPERLINK("http://www.uniprot.org/uniprot/M5VIW1","M5VIW1")</f>
        <v>M5VIW1</v>
      </c>
      <c r="D15948" s="2" t="s">
        <v>12727</v>
      </c>
      <c r="E15948" s="3">
        <v>0</v>
      </c>
      <c r="F15948" s="2">
        <v>2644</v>
      </c>
      <c r="G15948" s="2">
        <v>98</v>
      </c>
      <c r="H15948" s="2">
        <v>526</v>
      </c>
      <c r="I15948" s="2">
        <v>366</v>
      </c>
      <c r="J15948" s="2">
        <v>1943</v>
      </c>
      <c r="K15948" s="2">
        <v>44</v>
      </c>
      <c r="L15948" s="2">
        <v>557</v>
      </c>
    </row>
    <row r="15949" spans="1:12" x14ac:dyDescent="0.25">
      <c r="A15949" s="4" t="str">
        <f>HYPERLINK("http://www.rosaceae.org/Prunus/Prunus_persica/p.persica_gdr_reftransV1_0044420","p.persica_gdr_reftransV1_0044420")</f>
        <v>p.persica_gdr_reftransV1_0044420</v>
      </c>
      <c r="B15949" s="2">
        <v>1582</v>
      </c>
      <c r="C15949" s="4" t="str">
        <f>HYPERLINK("http://www.uniprot.org/uniprot/M5WQK2","M5WQK2")</f>
        <v>M5WQK2</v>
      </c>
      <c r="D15949" s="2" t="s">
        <v>12728</v>
      </c>
      <c r="E15949" s="3">
        <v>0</v>
      </c>
      <c r="F15949" s="2">
        <v>1420</v>
      </c>
      <c r="G15949" s="2">
        <v>100</v>
      </c>
      <c r="H15949" s="2">
        <v>315</v>
      </c>
      <c r="I15949" s="2">
        <v>286</v>
      </c>
      <c r="J15949" s="2">
        <v>1230</v>
      </c>
      <c r="K15949" s="2">
        <v>1</v>
      </c>
      <c r="L15949" s="2">
        <v>315</v>
      </c>
    </row>
    <row r="15950" spans="1:12" x14ac:dyDescent="0.25">
      <c r="A15950" s="4" t="str">
        <f>HYPERLINK("http://www.rosaceae.org/Prunus/Prunus_persica/p.persica_gdr_reftransV1_0044770","p.persica_gdr_reftransV1_0044770")</f>
        <v>p.persica_gdr_reftransV1_0044770</v>
      </c>
      <c r="B15950" s="2">
        <v>481</v>
      </c>
      <c r="C15950" s="4" t="str">
        <f>HYPERLINK("http://www.uniprot.org/uniprot/M5XVL7","M5XVL7")</f>
        <v>M5XVL7</v>
      </c>
      <c r="D15950" s="2" t="s">
        <v>1056</v>
      </c>
      <c r="E15950" s="3">
        <v>4.3600000000000003E-55</v>
      </c>
      <c r="F15950" s="2">
        <v>490</v>
      </c>
      <c r="G15950" s="2">
        <v>100</v>
      </c>
      <c r="H15950" s="2">
        <v>105</v>
      </c>
      <c r="I15950" s="2">
        <v>167</v>
      </c>
      <c r="J15950" s="2">
        <v>481</v>
      </c>
      <c r="K15950" s="2">
        <v>1</v>
      </c>
      <c r="L15950" s="2">
        <v>105</v>
      </c>
    </row>
    <row r="15951" spans="1:12" x14ac:dyDescent="0.25">
      <c r="A15951" s="4" t="str">
        <f>HYPERLINK("http://www.rosaceae.org/Prunus/Prunus_persica/p.persica_gdr_reftransV1_0045120","p.persica_gdr_reftransV1_0045120")</f>
        <v>p.persica_gdr_reftransV1_0045120</v>
      </c>
      <c r="B15951" s="2">
        <v>1016</v>
      </c>
      <c r="C15951" s="4" t="str">
        <f>HYPERLINK("http://www.uniprot.org/uniprot/M5XBC1","M5XBC1")</f>
        <v>M5XBC1</v>
      </c>
      <c r="D15951" s="2" t="s">
        <v>12434</v>
      </c>
      <c r="E15951" s="3">
        <v>0</v>
      </c>
      <c r="F15951" s="2">
        <v>1531</v>
      </c>
      <c r="G15951" s="2">
        <v>100</v>
      </c>
      <c r="H15951" s="2">
        <v>287</v>
      </c>
      <c r="I15951" s="2">
        <v>156</v>
      </c>
      <c r="J15951" s="2">
        <v>1016</v>
      </c>
      <c r="K15951" s="2">
        <v>93</v>
      </c>
      <c r="L15951" s="2">
        <v>379</v>
      </c>
    </row>
    <row r="15952" spans="1:12" x14ac:dyDescent="0.25">
      <c r="A15952" s="4" t="str">
        <f>HYPERLINK("http://www.rosaceae.org/Prunus/Prunus_persica/p.persica_gdr_reftransV1_0045470","p.persica_gdr_reftransV1_0045470")</f>
        <v>p.persica_gdr_reftransV1_0045470</v>
      </c>
      <c r="B15952" s="2">
        <v>1472</v>
      </c>
      <c r="C15952" s="4" t="str">
        <f>HYPERLINK("http://www.uniprot.org/uniprot/M5VLC3","M5VLC3")</f>
        <v>M5VLC3</v>
      </c>
      <c r="D15952" s="2" t="s">
        <v>1102</v>
      </c>
      <c r="E15952" s="3">
        <v>7.9400000000000007E-31</v>
      </c>
      <c r="F15952" s="2">
        <v>328</v>
      </c>
      <c r="G15952" s="2">
        <v>100</v>
      </c>
      <c r="H15952" s="2">
        <v>61</v>
      </c>
      <c r="I15952" s="2">
        <v>3</v>
      </c>
      <c r="J15952" s="2">
        <v>185</v>
      </c>
      <c r="K15952" s="2">
        <v>129</v>
      </c>
      <c r="L15952" s="2">
        <v>189</v>
      </c>
    </row>
    <row r="15953" spans="1:12" x14ac:dyDescent="0.25">
      <c r="A15953" s="4" t="str">
        <f>HYPERLINK("http://www.rosaceae.org/Prunus/Prunus_persica/p.persica_gdr_reftransV1_0046520","p.persica_gdr_reftransV1_0046520")</f>
        <v>p.persica_gdr_reftransV1_0046520</v>
      </c>
      <c r="B15953" s="2">
        <v>937</v>
      </c>
      <c r="C15953" s="4" t="str">
        <f>HYPERLINK("http://www.uniprot.org/uniprot/M5VGN9","M5VGN9")</f>
        <v>M5VGN9</v>
      </c>
      <c r="D15953" s="2" t="s">
        <v>12729</v>
      </c>
      <c r="E15953" s="3">
        <v>6.9999999999999995E-73</v>
      </c>
      <c r="F15953" s="2">
        <v>593</v>
      </c>
      <c r="G15953" s="2">
        <v>100</v>
      </c>
      <c r="H15953" s="2">
        <v>144</v>
      </c>
      <c r="I15953" s="2">
        <v>176</v>
      </c>
      <c r="J15953" s="2">
        <v>607</v>
      </c>
      <c r="K15953" s="2">
        <v>1</v>
      </c>
      <c r="L15953" s="2">
        <v>144</v>
      </c>
    </row>
    <row r="15954" spans="1:12" x14ac:dyDescent="0.25">
      <c r="A15954" s="4" t="str">
        <f>HYPERLINK("http://www.rosaceae.org/Prunus/Prunus_persica/p.persica_gdr_reftransV1_0046870","p.persica_gdr_reftransV1_0046870")</f>
        <v>p.persica_gdr_reftransV1_0046870</v>
      </c>
      <c r="B15954" s="2">
        <v>1096</v>
      </c>
      <c r="C15954" s="4" t="str">
        <f>HYPERLINK("http://www.uniprot.org/uniprot/M5VXT8","M5VXT8")</f>
        <v>M5VXT8</v>
      </c>
      <c r="D15954" s="2" t="s">
        <v>12730</v>
      </c>
      <c r="E15954" s="3">
        <v>0</v>
      </c>
      <c r="F15954" s="2">
        <v>1850</v>
      </c>
      <c r="G15954" s="2">
        <v>100</v>
      </c>
      <c r="H15954" s="2">
        <v>364</v>
      </c>
      <c r="I15954" s="2">
        <v>3</v>
      </c>
      <c r="J15954" s="2">
        <v>1094</v>
      </c>
      <c r="K15954" s="2">
        <v>71</v>
      </c>
      <c r="L15954" s="2">
        <v>434</v>
      </c>
    </row>
    <row r="15955" spans="1:12" x14ac:dyDescent="0.25">
      <c r="A15955" s="4" t="str">
        <f>HYPERLINK("http://www.rosaceae.org/Prunus/Prunus_persica/p.persica_gdr_reftransV1_0047220","p.persica_gdr_reftransV1_0047220")</f>
        <v>p.persica_gdr_reftransV1_0047220</v>
      </c>
      <c r="B15955" s="2">
        <v>866</v>
      </c>
      <c r="C15955" s="4" t="str">
        <f>HYPERLINK("http://www.uniprot.org/uniprot/M5WX73","M5WX73")</f>
        <v>M5WX73</v>
      </c>
      <c r="D15955" s="2" t="s">
        <v>6754</v>
      </c>
      <c r="E15955" s="3">
        <v>4.9899999999999999E-99</v>
      </c>
      <c r="F15955" s="2">
        <v>780</v>
      </c>
      <c r="G15955" s="2">
        <v>100</v>
      </c>
      <c r="H15955" s="2">
        <v>147</v>
      </c>
      <c r="I15955" s="2">
        <v>3</v>
      </c>
      <c r="J15955" s="2">
        <v>443</v>
      </c>
      <c r="K15955" s="2">
        <v>162</v>
      </c>
      <c r="L15955" s="2">
        <v>308</v>
      </c>
    </row>
    <row r="15956" spans="1:12" x14ac:dyDescent="0.25">
      <c r="A15956" s="4" t="str">
        <f>HYPERLINK("http://www.rosaceae.org/Prunus/Prunus_persica/p.persica_gdr_reftransV1_0047570","p.persica_gdr_reftransV1_0047570")</f>
        <v>p.persica_gdr_reftransV1_0047570</v>
      </c>
      <c r="B15956" s="2">
        <v>2249</v>
      </c>
      <c r="C15956" s="4" t="str">
        <f>HYPERLINK("http://www.uniprot.org/uniprot/M5WJQ1","M5WJQ1")</f>
        <v>M5WJQ1</v>
      </c>
      <c r="D15956" s="2" t="s">
        <v>4775</v>
      </c>
      <c r="E15956" s="3">
        <v>3.0099999999999999E-145</v>
      </c>
      <c r="F15956" s="2">
        <v>1122</v>
      </c>
      <c r="G15956" s="2">
        <v>100</v>
      </c>
      <c r="H15956" s="2">
        <v>228</v>
      </c>
      <c r="I15956" s="2">
        <v>1121</v>
      </c>
      <c r="J15956" s="2">
        <v>1804</v>
      </c>
      <c r="K15956" s="2">
        <v>1</v>
      </c>
      <c r="L15956" s="2">
        <v>228</v>
      </c>
    </row>
    <row r="15957" spans="1:12" x14ac:dyDescent="0.25">
      <c r="A15957" s="4" t="str">
        <f>HYPERLINK("http://www.rosaceae.org/Prunus/Prunus_persica/p.persica_gdr_reftransV1_0047920","p.persica_gdr_reftransV1_0047920")</f>
        <v>p.persica_gdr_reftransV1_0047920</v>
      </c>
      <c r="B15957" s="2">
        <v>2230</v>
      </c>
      <c r="C15957" s="4" t="str">
        <f>HYPERLINK("http://www.uniprot.org/uniprot/M5VT32","M5VT32")</f>
        <v>M5VT32</v>
      </c>
      <c r="D15957" s="2" t="s">
        <v>8480</v>
      </c>
      <c r="E15957" s="3">
        <v>1.22E-147</v>
      </c>
      <c r="F15957" s="2">
        <v>787</v>
      </c>
      <c r="G15957" s="2">
        <v>99</v>
      </c>
      <c r="H15957" s="2">
        <v>148</v>
      </c>
      <c r="I15957" s="2">
        <v>966</v>
      </c>
      <c r="J15957" s="2">
        <v>1409</v>
      </c>
      <c r="K15957" s="2">
        <v>5</v>
      </c>
      <c r="L15957" s="2">
        <v>152</v>
      </c>
    </row>
    <row r="15958" spans="1:12" x14ac:dyDescent="0.25">
      <c r="A15958" s="4" t="str">
        <f>HYPERLINK("http://www.rosaceae.org/Prunus/Prunus_persica/p.persica_gdr_reftransV1_0048270","p.persica_gdr_reftransV1_0048270")</f>
        <v>p.persica_gdr_reftransV1_0048270</v>
      </c>
      <c r="B15958" s="2">
        <v>2206</v>
      </c>
      <c r="C15958" s="4" t="str">
        <f>HYPERLINK("http://www.uniprot.org/uniprot/M5W696","M5W696")</f>
        <v>M5W696</v>
      </c>
      <c r="D15958" s="2" t="s">
        <v>12731</v>
      </c>
      <c r="E15958" s="3">
        <v>0</v>
      </c>
      <c r="F15958" s="2">
        <v>2977</v>
      </c>
      <c r="G15958" s="2">
        <v>100</v>
      </c>
      <c r="H15958" s="2">
        <v>612</v>
      </c>
      <c r="I15958" s="2">
        <v>215</v>
      </c>
      <c r="J15958" s="2">
        <v>2050</v>
      </c>
      <c r="K15958" s="2">
        <v>1</v>
      </c>
      <c r="L15958" s="2">
        <v>612</v>
      </c>
    </row>
    <row r="15959" spans="1:12" x14ac:dyDescent="0.25">
      <c r="A15959" s="4" t="str">
        <f>HYPERLINK("http://www.rosaceae.org/Prunus/Prunus_persica/p.persica_gdr_reftransV1_0048620","p.persica_gdr_reftransV1_0048620")</f>
        <v>p.persica_gdr_reftransV1_0048620</v>
      </c>
      <c r="B15959" s="2">
        <v>1441</v>
      </c>
      <c r="C15959" s="4" t="str">
        <f>HYPERLINK("http://www.uniprot.org/uniprot/M5VSH2","M5VSH2")</f>
        <v>M5VSH2</v>
      </c>
      <c r="D15959" s="2" t="s">
        <v>2138</v>
      </c>
      <c r="E15959" s="3">
        <v>0</v>
      </c>
      <c r="F15959" s="2">
        <v>2318</v>
      </c>
      <c r="G15959" s="2">
        <v>100</v>
      </c>
      <c r="H15959" s="2">
        <v>475</v>
      </c>
      <c r="I15959" s="2">
        <v>1</v>
      </c>
      <c r="J15959" s="2">
        <v>1425</v>
      </c>
      <c r="K15959" s="2">
        <v>10</v>
      </c>
      <c r="L15959" s="2">
        <v>484</v>
      </c>
    </row>
    <row r="15960" spans="1:12" x14ac:dyDescent="0.25">
      <c r="A15960" s="4" t="str">
        <f>HYPERLINK("http://www.rosaceae.org/Prunus/Prunus_persica/p.persica_gdr_reftransV1_0048970","p.persica_gdr_reftransV1_0048970")</f>
        <v>p.persica_gdr_reftransV1_0048970</v>
      </c>
      <c r="B15960" s="2">
        <v>1247</v>
      </c>
      <c r="C15960" s="4" t="str">
        <f>HYPERLINK("http://www.uniprot.org/uniprot/M5WXS1","M5WXS1")</f>
        <v>M5WXS1</v>
      </c>
      <c r="D15960" s="2" t="s">
        <v>12732</v>
      </c>
      <c r="E15960" s="3">
        <v>5.0200000000000001E-83</v>
      </c>
      <c r="F15960" s="2">
        <v>676</v>
      </c>
      <c r="G15960" s="2">
        <v>97</v>
      </c>
      <c r="H15960" s="2">
        <v>207</v>
      </c>
      <c r="I15960" s="2">
        <v>545</v>
      </c>
      <c r="J15960" s="2">
        <v>1165</v>
      </c>
      <c r="K15960" s="2">
        <v>1</v>
      </c>
      <c r="L15960" s="2">
        <v>202</v>
      </c>
    </row>
    <row r="15961" spans="1:12" x14ac:dyDescent="0.25">
      <c r="A15961" s="4" t="str">
        <f>HYPERLINK("http://www.rosaceae.org/Prunus/Prunus_persica/p.persica_gdr_reftransV1_0000032","p.persica_gdr_reftransV1_0000032")</f>
        <v>p.persica_gdr_reftransV1_0000032</v>
      </c>
      <c r="B15961" s="2">
        <v>2100</v>
      </c>
      <c r="C15961" s="4" t="str">
        <f>HYPERLINK("http://www.uniprot.org/uniprot/M5X0L1","M5X0L1")</f>
        <v>M5X0L1</v>
      </c>
      <c r="D15961" s="2" t="s">
        <v>3663</v>
      </c>
      <c r="E15961" s="3">
        <v>0</v>
      </c>
      <c r="F15961" s="2">
        <v>2724</v>
      </c>
      <c r="G15961" s="2">
        <v>100</v>
      </c>
      <c r="H15961" s="2">
        <v>533</v>
      </c>
      <c r="I15961" s="2">
        <v>191</v>
      </c>
      <c r="J15961" s="2">
        <v>1789</v>
      </c>
      <c r="K15961" s="2">
        <v>1</v>
      </c>
      <c r="L15961" s="2">
        <v>533</v>
      </c>
    </row>
    <row r="15962" spans="1:12" x14ac:dyDescent="0.25">
      <c r="A15962" s="4" t="str">
        <f>HYPERLINK("http://www.rosaceae.org/Prunus/Prunus_persica/p.persica_gdr_reftransV1_0000382","p.persica_gdr_reftransV1_0000382")</f>
        <v>p.persica_gdr_reftransV1_0000382</v>
      </c>
      <c r="B15962" s="2">
        <v>1507</v>
      </c>
      <c r="C15962" s="4" t="str">
        <f>HYPERLINK("http://www.uniprot.org/uniprot/M5VQX0","M5VQX0")</f>
        <v>M5VQX0</v>
      </c>
      <c r="D15962" s="2" t="s">
        <v>5318</v>
      </c>
      <c r="E15962" s="3">
        <v>4.1799999999999999E-141</v>
      </c>
      <c r="F15962" s="2">
        <v>1075</v>
      </c>
      <c r="G15962" s="2">
        <v>100</v>
      </c>
      <c r="H15962" s="2">
        <v>252</v>
      </c>
      <c r="I15962" s="2">
        <v>319</v>
      </c>
      <c r="J15962" s="2">
        <v>1074</v>
      </c>
      <c r="K15962" s="2">
        <v>1</v>
      </c>
      <c r="L15962" s="2">
        <v>252</v>
      </c>
    </row>
    <row r="15963" spans="1:12" x14ac:dyDescent="0.25">
      <c r="A15963" s="4" t="str">
        <f>HYPERLINK("http://www.rosaceae.org/Prunus/Prunus_persica/p.persica_gdr_reftransV1_0001082","p.persica_gdr_reftransV1_0001082")</f>
        <v>p.persica_gdr_reftransV1_0001082</v>
      </c>
      <c r="B15963" s="2">
        <v>3725</v>
      </c>
      <c r="C15963" s="4" t="str">
        <f>HYPERLINK("http://www.uniprot.org/uniprot/M5XRV9","M5XRV9")</f>
        <v>M5XRV9</v>
      </c>
      <c r="D15963" s="2" t="s">
        <v>10796</v>
      </c>
      <c r="E15963" s="3">
        <v>0</v>
      </c>
      <c r="F15963" s="2">
        <v>4262</v>
      </c>
      <c r="G15963" s="2">
        <v>100</v>
      </c>
      <c r="H15963" s="2">
        <v>788</v>
      </c>
      <c r="I15963" s="2">
        <v>141</v>
      </c>
      <c r="J15963" s="2">
        <v>2504</v>
      </c>
      <c r="K15963" s="2">
        <v>1</v>
      </c>
      <c r="L15963" s="2">
        <v>788</v>
      </c>
    </row>
    <row r="15964" spans="1:12" x14ac:dyDescent="0.25">
      <c r="A15964" s="4" t="str">
        <f>HYPERLINK("http://www.rosaceae.org/Prunus/Prunus_persica/p.persica_gdr_reftransV1_0001432","p.persica_gdr_reftransV1_0001432")</f>
        <v>p.persica_gdr_reftransV1_0001432</v>
      </c>
      <c r="B15964" s="2">
        <v>2570</v>
      </c>
      <c r="C15964" s="4" t="str">
        <f>HYPERLINK("http://www.uniprot.org/uniprot/M5W4J9","M5W4J9")</f>
        <v>M5W4J9</v>
      </c>
      <c r="D15964" s="2" t="s">
        <v>5699</v>
      </c>
      <c r="E15964" s="3">
        <v>0</v>
      </c>
      <c r="F15964" s="2">
        <v>2600</v>
      </c>
      <c r="G15964" s="2">
        <v>100</v>
      </c>
      <c r="H15964" s="2">
        <v>488</v>
      </c>
      <c r="I15964" s="2">
        <v>743</v>
      </c>
      <c r="J15964" s="2">
        <v>2206</v>
      </c>
      <c r="K15964" s="2">
        <v>1</v>
      </c>
      <c r="L15964" s="2">
        <v>488</v>
      </c>
    </row>
    <row r="15965" spans="1:12" x14ac:dyDescent="0.25">
      <c r="A15965" s="4" t="str">
        <f>HYPERLINK("http://www.rosaceae.org/Prunus/Prunus_persica/p.persica_gdr_reftransV1_0002482","p.persica_gdr_reftransV1_0002482")</f>
        <v>p.persica_gdr_reftransV1_0002482</v>
      </c>
      <c r="B15965" s="2">
        <v>2738</v>
      </c>
      <c r="C15965" s="4" t="str">
        <f>HYPERLINK("http://www.uniprot.org/uniprot/M5WJJ1","M5WJJ1")</f>
        <v>M5WJJ1</v>
      </c>
      <c r="D15965" s="2" t="s">
        <v>10283</v>
      </c>
      <c r="E15965" s="3">
        <v>0</v>
      </c>
      <c r="F15965" s="2">
        <v>3040</v>
      </c>
      <c r="G15965" s="2">
        <v>91</v>
      </c>
      <c r="H15965" s="2">
        <v>650</v>
      </c>
      <c r="I15965" s="2">
        <v>309</v>
      </c>
      <c r="J15965" s="2">
        <v>2258</v>
      </c>
      <c r="K15965" s="2">
        <v>136</v>
      </c>
      <c r="L15965" s="2">
        <v>731</v>
      </c>
    </row>
    <row r="15966" spans="1:12" x14ac:dyDescent="0.25">
      <c r="A15966" s="4" t="str">
        <f>HYPERLINK("http://www.rosaceae.org/Prunus/Prunus_persica/p.persica_gdr_reftransV1_0002832","p.persica_gdr_reftransV1_0002832")</f>
        <v>p.persica_gdr_reftransV1_0002832</v>
      </c>
      <c r="B15966" s="2">
        <v>1059</v>
      </c>
      <c r="C15966" s="4" t="str">
        <f>HYPERLINK("http://www.uniprot.org/uniprot/M5WHM7","M5WHM7")</f>
        <v>M5WHM7</v>
      </c>
      <c r="D15966" s="2" t="s">
        <v>12733</v>
      </c>
      <c r="E15966" s="3">
        <v>7.4500000000000005E-88</v>
      </c>
      <c r="F15966" s="2">
        <v>701</v>
      </c>
      <c r="G15966" s="2">
        <v>100</v>
      </c>
      <c r="H15966" s="2">
        <v>187</v>
      </c>
      <c r="I15966" s="2">
        <v>84</v>
      </c>
      <c r="J15966" s="2">
        <v>644</v>
      </c>
      <c r="K15966" s="2">
        <v>1</v>
      </c>
      <c r="L15966" s="2">
        <v>187</v>
      </c>
    </row>
    <row r="15967" spans="1:12" x14ac:dyDescent="0.25">
      <c r="A15967" s="4" t="str">
        <f>HYPERLINK("http://www.rosaceae.org/Prunus/Prunus_persica/p.persica_gdr_reftransV1_0003182","p.persica_gdr_reftransV1_0003182")</f>
        <v>p.persica_gdr_reftransV1_0003182</v>
      </c>
      <c r="B15967" s="2">
        <v>342</v>
      </c>
      <c r="C15967" s="4" t="str">
        <f>HYPERLINK("http://www.uniprot.org/uniprot/M5WXW7","M5WXW7")</f>
        <v>M5WXW7</v>
      </c>
      <c r="D15967" s="2" t="s">
        <v>12734</v>
      </c>
      <c r="E15967" s="3">
        <v>3.5899999999999999E-72</v>
      </c>
      <c r="F15967" s="2">
        <v>584</v>
      </c>
      <c r="G15967" s="2">
        <v>100</v>
      </c>
      <c r="H15967" s="2">
        <v>110</v>
      </c>
      <c r="I15967" s="2">
        <v>2</v>
      </c>
      <c r="J15967" s="2">
        <v>331</v>
      </c>
      <c r="K15967" s="2">
        <v>221</v>
      </c>
      <c r="L15967" s="2">
        <v>330</v>
      </c>
    </row>
    <row r="15968" spans="1:12" x14ac:dyDescent="0.25">
      <c r="A15968" s="4" t="str">
        <f>HYPERLINK("http://www.rosaceae.org/Prunus/Prunus_persica/p.persica_gdr_reftransV1_0003532","p.persica_gdr_reftransV1_0003532")</f>
        <v>p.persica_gdr_reftransV1_0003532</v>
      </c>
      <c r="B15968" s="2">
        <v>750</v>
      </c>
      <c r="C15968" s="4" t="str">
        <f>HYPERLINK("http://www.uniprot.org/uniprot/Q53IP2","Q53IP2")</f>
        <v>Q53IP2</v>
      </c>
      <c r="D15968" s="2" t="s">
        <v>12735</v>
      </c>
      <c r="E15968" s="3">
        <v>0</v>
      </c>
      <c r="F15968" s="2">
        <v>1325</v>
      </c>
      <c r="G15968" s="2">
        <v>98</v>
      </c>
      <c r="H15968" s="2">
        <v>250</v>
      </c>
      <c r="I15968" s="2">
        <v>1</v>
      </c>
      <c r="J15968" s="2">
        <v>750</v>
      </c>
      <c r="K15968" s="2">
        <v>48</v>
      </c>
      <c r="L15968" s="2">
        <v>297</v>
      </c>
    </row>
    <row r="15969" spans="1:12" x14ac:dyDescent="0.25">
      <c r="A15969" s="4" t="str">
        <f>HYPERLINK("http://www.rosaceae.org/Prunus/Prunus_persica/p.persica_gdr_reftransV1_0004232","p.persica_gdr_reftransV1_0004232")</f>
        <v>p.persica_gdr_reftransV1_0004232</v>
      </c>
      <c r="B15969" s="2">
        <v>454</v>
      </c>
      <c r="C15969" s="4" t="str">
        <f>HYPERLINK("http://www.uniprot.org/uniprot/U5FQ28","U5FQ28")</f>
        <v>U5FQ28</v>
      </c>
      <c r="D15969" s="2" t="s">
        <v>10481</v>
      </c>
      <c r="E15969" s="3">
        <v>2.9000000000000001E-36</v>
      </c>
      <c r="F15969" s="2">
        <v>361</v>
      </c>
      <c r="G15969" s="2">
        <v>57</v>
      </c>
      <c r="H15969" s="2">
        <v>153</v>
      </c>
      <c r="I15969" s="2">
        <v>3</v>
      </c>
      <c r="J15969" s="2">
        <v>452</v>
      </c>
      <c r="K15969" s="2">
        <v>72</v>
      </c>
      <c r="L15969" s="2">
        <v>224</v>
      </c>
    </row>
    <row r="15970" spans="1:12" x14ac:dyDescent="0.25">
      <c r="A15970" s="4" t="str">
        <f>HYPERLINK("http://www.rosaceae.org/Prunus/Prunus_persica/p.persica_gdr_reftransV1_0004582","p.persica_gdr_reftransV1_0004582")</f>
        <v>p.persica_gdr_reftransV1_0004582</v>
      </c>
      <c r="B15970" s="2">
        <v>1610</v>
      </c>
      <c r="C15970" s="4" t="str">
        <f>HYPERLINK("http://www.uniprot.org/uniprot/M5XCT0","M5XCT0")</f>
        <v>M5XCT0</v>
      </c>
      <c r="D15970" s="2" t="s">
        <v>12736</v>
      </c>
      <c r="E15970" s="3">
        <v>0</v>
      </c>
      <c r="F15970" s="2">
        <v>1593</v>
      </c>
      <c r="G15970" s="2">
        <v>100</v>
      </c>
      <c r="H15970" s="2">
        <v>335</v>
      </c>
      <c r="I15970" s="2">
        <v>382</v>
      </c>
      <c r="J15970" s="2">
        <v>1386</v>
      </c>
      <c r="K15970" s="2">
        <v>1</v>
      </c>
      <c r="L15970" s="2">
        <v>335</v>
      </c>
    </row>
    <row r="15971" spans="1:12" x14ac:dyDescent="0.25">
      <c r="A15971" s="4" t="str">
        <f>HYPERLINK("http://www.rosaceae.org/Prunus/Prunus_persica/p.persica_gdr_reftransV1_0004932","p.persica_gdr_reftransV1_0004932")</f>
        <v>p.persica_gdr_reftransV1_0004932</v>
      </c>
      <c r="B15971" s="2">
        <v>516</v>
      </c>
      <c r="C15971" s="4" t="str">
        <f>HYPERLINK("http://www.uniprot.org/uniprot/M5WKS7","M5WKS7")</f>
        <v>M5WKS7</v>
      </c>
      <c r="D15971" s="2" t="s">
        <v>12737</v>
      </c>
      <c r="E15971" s="3">
        <v>5.45E-79</v>
      </c>
      <c r="F15971" s="2">
        <v>651</v>
      </c>
      <c r="G15971" s="2">
        <v>100</v>
      </c>
      <c r="H15971" s="2">
        <v>123</v>
      </c>
      <c r="I15971" s="2">
        <v>3</v>
      </c>
      <c r="J15971" s="2">
        <v>371</v>
      </c>
      <c r="K15971" s="2">
        <v>397</v>
      </c>
      <c r="L15971" s="2">
        <v>519</v>
      </c>
    </row>
    <row r="15972" spans="1:12" x14ac:dyDescent="0.25">
      <c r="A15972" s="4" t="str">
        <f>HYPERLINK("http://www.rosaceae.org/Prunus/Prunus_persica/p.persica_gdr_reftransV1_0005982","p.persica_gdr_reftransV1_0005982")</f>
        <v>p.persica_gdr_reftransV1_0005982</v>
      </c>
      <c r="B15972" s="2">
        <v>2108</v>
      </c>
      <c r="C15972" s="4" t="str">
        <f>HYPERLINK("http://www.uniprot.org/uniprot/M5VUF9","M5VUF9")</f>
        <v>M5VUF9</v>
      </c>
      <c r="D15972" s="2" t="s">
        <v>12738</v>
      </c>
      <c r="E15972" s="3">
        <v>0</v>
      </c>
      <c r="F15972" s="2">
        <v>2174</v>
      </c>
      <c r="G15972" s="2">
        <v>97</v>
      </c>
      <c r="H15972" s="2">
        <v>482</v>
      </c>
      <c r="I15972" s="2">
        <v>223</v>
      </c>
      <c r="J15972" s="2">
        <v>1662</v>
      </c>
      <c r="K15972" s="2">
        <v>94</v>
      </c>
      <c r="L15972" s="2">
        <v>564</v>
      </c>
    </row>
    <row r="15973" spans="1:12" x14ac:dyDescent="0.25">
      <c r="A15973" s="4" t="str">
        <f>HYPERLINK("http://www.rosaceae.org/Prunus/Prunus_persica/p.persica_gdr_reftransV1_0006682","p.persica_gdr_reftransV1_0006682")</f>
        <v>p.persica_gdr_reftransV1_0006682</v>
      </c>
      <c r="B15973" s="2">
        <v>502</v>
      </c>
      <c r="C15973" s="4" t="str">
        <f>HYPERLINK("http://www.uniprot.org/uniprot/G3IJQ5","G3IJQ5")</f>
        <v>G3IJQ5</v>
      </c>
      <c r="D15973" s="2" t="s">
        <v>12739</v>
      </c>
      <c r="E15973" s="3">
        <v>3.8999999999999999E-91</v>
      </c>
      <c r="F15973" s="2">
        <v>719</v>
      </c>
      <c r="G15973" s="2">
        <v>88</v>
      </c>
      <c r="H15973" s="2">
        <v>147</v>
      </c>
      <c r="I15973" s="2">
        <v>62</v>
      </c>
      <c r="J15973" s="2">
        <v>502</v>
      </c>
      <c r="K15973" s="2">
        <v>196</v>
      </c>
      <c r="L15973" s="2">
        <v>342</v>
      </c>
    </row>
    <row r="15974" spans="1:12" x14ac:dyDescent="0.25">
      <c r="A15974" s="4" t="str">
        <f>HYPERLINK("http://www.rosaceae.org/Prunus/Prunus_persica/p.persica_gdr_reftransV1_0007032","p.persica_gdr_reftransV1_0007032")</f>
        <v>p.persica_gdr_reftransV1_0007032</v>
      </c>
      <c r="B15974" s="2">
        <v>1557</v>
      </c>
      <c r="C15974" s="4" t="str">
        <f>HYPERLINK("http://www.uniprot.org/uniprot/M5XK31","M5XK31")</f>
        <v>M5XK31</v>
      </c>
      <c r="D15974" s="2" t="s">
        <v>12740</v>
      </c>
      <c r="E15974" s="3">
        <v>0</v>
      </c>
      <c r="F15974" s="2">
        <v>1721</v>
      </c>
      <c r="G15974" s="2">
        <v>100</v>
      </c>
      <c r="H15974" s="2">
        <v>358</v>
      </c>
      <c r="I15974" s="2">
        <v>30</v>
      </c>
      <c r="J15974" s="2">
        <v>1103</v>
      </c>
      <c r="K15974" s="2">
        <v>1</v>
      </c>
      <c r="L15974" s="2">
        <v>358</v>
      </c>
    </row>
    <row r="15975" spans="1:12" x14ac:dyDescent="0.25">
      <c r="A15975" s="4" t="str">
        <f>HYPERLINK("http://www.rosaceae.org/Prunus/Prunus_persica/p.persica_gdr_reftransV1_0007382","p.persica_gdr_reftransV1_0007382")</f>
        <v>p.persica_gdr_reftransV1_0007382</v>
      </c>
      <c r="B15975" s="2">
        <v>1593</v>
      </c>
      <c r="C15975" s="4" t="str">
        <f>HYPERLINK("http://www.uniprot.org/uniprot/M5XK51","M5XK51")</f>
        <v>M5XK51</v>
      </c>
      <c r="D15975" s="2" t="s">
        <v>12741</v>
      </c>
      <c r="E15975" s="3">
        <v>1.9600000000000001E-112</v>
      </c>
      <c r="F15975" s="2">
        <v>887</v>
      </c>
      <c r="G15975" s="2">
        <v>64</v>
      </c>
      <c r="H15975" s="2">
        <v>326</v>
      </c>
      <c r="I15975" s="2">
        <v>507</v>
      </c>
      <c r="J15975" s="2">
        <v>1484</v>
      </c>
      <c r="K15975" s="2">
        <v>1</v>
      </c>
      <c r="L15975" s="2">
        <v>259</v>
      </c>
    </row>
    <row r="15976" spans="1:12" x14ac:dyDescent="0.25">
      <c r="A15976" s="4" t="str">
        <f>HYPERLINK("http://www.rosaceae.org/Prunus/Prunus_persica/p.persica_gdr_reftransV1_0007732","p.persica_gdr_reftransV1_0007732")</f>
        <v>p.persica_gdr_reftransV1_0007732</v>
      </c>
      <c r="B15976" s="2">
        <v>1838</v>
      </c>
      <c r="C15976" s="4" t="str">
        <f>HYPERLINK("http://www.uniprot.org/uniprot/M5XD68","M5XD68")</f>
        <v>M5XD68</v>
      </c>
      <c r="D15976" s="2" t="s">
        <v>12742</v>
      </c>
      <c r="E15976" s="3">
        <v>2.6999999999999997E-91</v>
      </c>
      <c r="F15976" s="2">
        <v>753</v>
      </c>
      <c r="G15976" s="2">
        <v>99</v>
      </c>
      <c r="H15976" s="2">
        <v>192</v>
      </c>
      <c r="I15976" s="2">
        <v>392</v>
      </c>
      <c r="J15976" s="2">
        <v>967</v>
      </c>
      <c r="K15976" s="2">
        <v>1</v>
      </c>
      <c r="L15976" s="2">
        <v>191</v>
      </c>
    </row>
    <row r="15977" spans="1:12" x14ac:dyDescent="0.25">
      <c r="A15977" s="4" t="str">
        <f>HYPERLINK("http://www.rosaceae.org/Prunus/Prunus_persica/p.persica_gdr_reftransV1_0008432","p.persica_gdr_reftransV1_0008432")</f>
        <v>p.persica_gdr_reftransV1_0008432</v>
      </c>
      <c r="B15977" s="2">
        <v>1022</v>
      </c>
      <c r="C15977" s="4" t="str">
        <f>HYPERLINK("http://www.uniprot.org/uniprot/M5VTH9","M5VTH9")</f>
        <v>M5VTH9</v>
      </c>
      <c r="D15977" s="2" t="s">
        <v>3347</v>
      </c>
      <c r="E15977" s="3">
        <v>9.0800000000000007E-112</v>
      </c>
      <c r="F15977" s="2">
        <v>864</v>
      </c>
      <c r="G15977" s="2">
        <v>90</v>
      </c>
      <c r="H15977" s="2">
        <v>237</v>
      </c>
      <c r="I15977" s="2">
        <v>271</v>
      </c>
      <c r="J15977" s="2">
        <v>981</v>
      </c>
      <c r="K15977" s="2">
        <v>37</v>
      </c>
      <c r="L15977" s="2">
        <v>249</v>
      </c>
    </row>
    <row r="15978" spans="1:12" x14ac:dyDescent="0.25">
      <c r="A15978" s="4" t="str">
        <f>HYPERLINK("http://www.rosaceae.org/Prunus/Prunus_persica/p.persica_gdr_reftransV1_0009132","p.persica_gdr_reftransV1_0009132")</f>
        <v>p.persica_gdr_reftransV1_0009132</v>
      </c>
      <c r="B15978" s="2">
        <v>3571</v>
      </c>
      <c r="C15978" s="4" t="str">
        <f>HYPERLINK("http://www.uniprot.org/uniprot/M5XXX4","M5XXX4")</f>
        <v>M5XXX4</v>
      </c>
      <c r="D15978" s="2" t="s">
        <v>12743</v>
      </c>
      <c r="E15978" s="3">
        <v>0</v>
      </c>
      <c r="F15978" s="2">
        <v>5686</v>
      </c>
      <c r="G15978" s="2">
        <v>100</v>
      </c>
      <c r="H15978" s="2">
        <v>1087</v>
      </c>
      <c r="I15978" s="2">
        <v>256</v>
      </c>
      <c r="J15978" s="2">
        <v>3507</v>
      </c>
      <c r="K15978" s="2">
        <v>1</v>
      </c>
      <c r="L15978" s="2">
        <v>1087</v>
      </c>
    </row>
    <row r="15979" spans="1:12" x14ac:dyDescent="0.25">
      <c r="A15979" s="4" t="str">
        <f>HYPERLINK("http://www.rosaceae.org/Prunus/Prunus_persica/p.persica_gdr_reftransV1_0009482","p.persica_gdr_reftransV1_0009482")</f>
        <v>p.persica_gdr_reftransV1_0009482</v>
      </c>
      <c r="B15979" s="2">
        <v>4411</v>
      </c>
      <c r="C15979" s="4" t="str">
        <f>HYPERLINK("http://www.uniprot.org/uniprot/M5W1L1","M5W1L1")</f>
        <v>M5W1L1</v>
      </c>
      <c r="D15979" s="2" t="s">
        <v>12744</v>
      </c>
      <c r="E15979" s="3">
        <v>0</v>
      </c>
      <c r="F15979" s="2">
        <v>5588</v>
      </c>
      <c r="G15979" s="2">
        <v>99</v>
      </c>
      <c r="H15979" s="2">
        <v>1218</v>
      </c>
      <c r="I15979" s="2">
        <v>478</v>
      </c>
      <c r="J15979" s="2">
        <v>4131</v>
      </c>
      <c r="K15979" s="2">
        <v>1</v>
      </c>
      <c r="L15979" s="2">
        <v>1209</v>
      </c>
    </row>
    <row r="15980" spans="1:12" x14ac:dyDescent="0.25">
      <c r="A15980" s="4" t="str">
        <f>HYPERLINK("http://www.rosaceae.org/Prunus/Prunus_persica/p.persica_gdr_reftransV1_0009832","p.persica_gdr_reftransV1_0009832")</f>
        <v>p.persica_gdr_reftransV1_0009832</v>
      </c>
      <c r="B15980" s="2">
        <v>2983</v>
      </c>
      <c r="C15980" s="4" t="str">
        <f>HYPERLINK("http://www.uniprot.org/uniprot/W9RLL2","W9RLL2")</f>
        <v>W9RLL2</v>
      </c>
      <c r="D15980" s="2" t="s">
        <v>10915</v>
      </c>
      <c r="E15980" s="3">
        <v>0</v>
      </c>
      <c r="F15980" s="2">
        <v>2085</v>
      </c>
      <c r="G15980" s="2">
        <v>55</v>
      </c>
      <c r="H15980" s="2">
        <v>883</v>
      </c>
      <c r="I15980" s="2">
        <v>3</v>
      </c>
      <c r="J15980" s="2">
        <v>2576</v>
      </c>
      <c r="K15980" s="2">
        <v>1051</v>
      </c>
      <c r="L15980" s="2">
        <v>1898</v>
      </c>
    </row>
    <row r="15981" spans="1:12" x14ac:dyDescent="0.25">
      <c r="A15981" s="4" t="str">
        <f>HYPERLINK("http://www.rosaceae.org/Prunus/Prunus_persica/p.persica_gdr_reftransV1_0011232","p.persica_gdr_reftransV1_0011232")</f>
        <v>p.persica_gdr_reftransV1_0011232</v>
      </c>
      <c r="B15981" s="2">
        <v>3997</v>
      </c>
      <c r="C15981" s="4" t="str">
        <f>HYPERLINK("http://www.uniprot.org/uniprot/A0A067ECJ4","A0A067ECJ4")</f>
        <v>A0A067ECJ4</v>
      </c>
      <c r="D15981" s="2" t="s">
        <v>12745</v>
      </c>
      <c r="E15981" s="3">
        <v>0</v>
      </c>
      <c r="F15981" s="2">
        <v>3632</v>
      </c>
      <c r="G15981" s="2">
        <v>74</v>
      </c>
      <c r="H15981" s="2">
        <v>1031</v>
      </c>
      <c r="I15981" s="2">
        <v>305</v>
      </c>
      <c r="J15981" s="2">
        <v>3373</v>
      </c>
      <c r="K15981" s="2">
        <v>1</v>
      </c>
      <c r="L15981" s="2">
        <v>1019</v>
      </c>
    </row>
    <row r="15982" spans="1:12" x14ac:dyDescent="0.25">
      <c r="A15982" s="4" t="str">
        <f>HYPERLINK("http://www.rosaceae.org/Prunus/Prunus_persica/p.persica_gdr_reftransV1_0011582","p.persica_gdr_reftransV1_0011582")</f>
        <v>p.persica_gdr_reftransV1_0011582</v>
      </c>
      <c r="B15982" s="2">
        <v>1493</v>
      </c>
      <c r="C15982" s="4" t="str">
        <f>HYPERLINK("http://www.uniprot.org/uniprot/W9SRP2","W9SRP2")</f>
        <v>W9SRP2</v>
      </c>
      <c r="D15982" s="2" t="s">
        <v>12746</v>
      </c>
      <c r="E15982" s="3">
        <v>4.7999999999999997E-164</v>
      </c>
      <c r="F15982" s="2">
        <v>1232</v>
      </c>
      <c r="G15982" s="2">
        <v>77</v>
      </c>
      <c r="H15982" s="2">
        <v>350</v>
      </c>
      <c r="I15982" s="2">
        <v>294</v>
      </c>
      <c r="J15982" s="2">
        <v>1340</v>
      </c>
      <c r="K15982" s="2">
        <v>1</v>
      </c>
      <c r="L15982" s="2">
        <v>309</v>
      </c>
    </row>
    <row r="15983" spans="1:12" x14ac:dyDescent="0.25">
      <c r="A15983" s="4" t="str">
        <f>HYPERLINK("http://www.rosaceae.org/Prunus/Prunus_persica/p.persica_gdr_reftransV1_0012632","p.persica_gdr_reftransV1_0012632")</f>
        <v>p.persica_gdr_reftransV1_0012632</v>
      </c>
      <c r="B15983" s="2">
        <v>630</v>
      </c>
      <c r="C15983" s="4" t="str">
        <f>HYPERLINK("http://www.uniprot.org/uniprot/M5XFE5","M5XFE5")</f>
        <v>M5XFE5</v>
      </c>
      <c r="D15983" s="2" t="s">
        <v>12747</v>
      </c>
      <c r="E15983" s="3">
        <v>1.3399999999999999E-91</v>
      </c>
      <c r="F15983" s="2">
        <v>708</v>
      </c>
      <c r="G15983" s="2">
        <v>100</v>
      </c>
      <c r="H15983" s="2">
        <v>157</v>
      </c>
      <c r="I15983" s="2">
        <v>54</v>
      </c>
      <c r="J15983" s="2">
        <v>524</v>
      </c>
      <c r="K15983" s="2">
        <v>1</v>
      </c>
      <c r="L15983" s="2">
        <v>157</v>
      </c>
    </row>
    <row r="15984" spans="1:12" x14ac:dyDescent="0.25">
      <c r="A15984" s="4" t="str">
        <f>HYPERLINK("http://www.rosaceae.org/Prunus/Prunus_persica/p.persica_gdr_reftransV1_0012982","p.persica_gdr_reftransV1_0012982")</f>
        <v>p.persica_gdr_reftransV1_0012982</v>
      </c>
      <c r="B15984" s="2">
        <v>3144</v>
      </c>
      <c r="C15984" s="4" t="str">
        <f>HYPERLINK("http://www.uniprot.org/uniprot/M5XM99","M5XM99")</f>
        <v>M5XM99</v>
      </c>
      <c r="D15984" s="2" t="s">
        <v>12748</v>
      </c>
      <c r="E15984" s="3">
        <v>0</v>
      </c>
      <c r="F15984" s="2">
        <v>4887</v>
      </c>
      <c r="G15984" s="2">
        <v>100</v>
      </c>
      <c r="H15984" s="2">
        <v>965</v>
      </c>
      <c r="I15984" s="2">
        <v>253</v>
      </c>
      <c r="J15984" s="2">
        <v>3144</v>
      </c>
      <c r="K15984" s="2">
        <v>177</v>
      </c>
      <c r="L15984" s="2">
        <v>1141</v>
      </c>
    </row>
    <row r="15985" spans="1:12" x14ac:dyDescent="0.25">
      <c r="A15985" s="4" t="str">
        <f>HYPERLINK("http://www.rosaceae.org/Prunus/Prunus_persica/p.persica_gdr_reftransV1_0014382","p.persica_gdr_reftransV1_0014382")</f>
        <v>p.persica_gdr_reftransV1_0014382</v>
      </c>
      <c r="B15985" s="2">
        <v>915</v>
      </c>
      <c r="C15985" s="4" t="str">
        <f>HYPERLINK("http://www.uniprot.org/uniprot/M5XT85","M5XT85")</f>
        <v>M5XT85</v>
      </c>
      <c r="D15985" s="2" t="s">
        <v>12749</v>
      </c>
      <c r="E15985" s="3">
        <v>1.5400000000000001E-102</v>
      </c>
      <c r="F15985" s="2">
        <v>790</v>
      </c>
      <c r="G15985" s="2">
        <v>100</v>
      </c>
      <c r="H15985" s="2">
        <v>149</v>
      </c>
      <c r="I15985" s="2">
        <v>364</v>
      </c>
      <c r="J15985" s="2">
        <v>810</v>
      </c>
      <c r="K15985" s="2">
        <v>1</v>
      </c>
      <c r="L15985" s="2">
        <v>149</v>
      </c>
    </row>
    <row r="15986" spans="1:12" x14ac:dyDescent="0.25">
      <c r="A15986" s="4" t="str">
        <f>HYPERLINK("http://www.rosaceae.org/Prunus/Prunus_persica/p.persica_gdr_reftransV1_0015082","p.persica_gdr_reftransV1_0015082")</f>
        <v>p.persica_gdr_reftransV1_0015082</v>
      </c>
      <c r="B15986" s="2">
        <v>4203</v>
      </c>
      <c r="C15986" s="4" t="str">
        <f>HYPERLINK("http://www.uniprot.org/uniprot/M5XMB4","M5XMB4")</f>
        <v>M5XMB4</v>
      </c>
      <c r="D15986" s="2" t="s">
        <v>12750</v>
      </c>
      <c r="E15986" s="3">
        <v>0</v>
      </c>
      <c r="F15986" s="2">
        <v>6196</v>
      </c>
      <c r="G15986" s="2">
        <v>100</v>
      </c>
      <c r="H15986" s="2">
        <v>1200</v>
      </c>
      <c r="I15986" s="2">
        <v>351</v>
      </c>
      <c r="J15986" s="2">
        <v>3950</v>
      </c>
      <c r="K15986" s="2">
        <v>1</v>
      </c>
      <c r="L15986" s="2">
        <v>1200</v>
      </c>
    </row>
    <row r="15987" spans="1:12" x14ac:dyDescent="0.25">
      <c r="A15987" s="4" t="str">
        <f>HYPERLINK("http://www.rosaceae.org/Prunus/Prunus_persica/p.persica_gdr_reftransV1_0016132","p.persica_gdr_reftransV1_0016132")</f>
        <v>p.persica_gdr_reftransV1_0016132</v>
      </c>
      <c r="B15987" s="2">
        <v>2665</v>
      </c>
      <c r="C15987" s="4" t="str">
        <f>HYPERLINK("http://www.uniprot.org/uniprot/M5WDY6","M5WDY6")</f>
        <v>M5WDY6</v>
      </c>
      <c r="D15987" s="2" t="s">
        <v>12751</v>
      </c>
      <c r="E15987" s="3">
        <v>0</v>
      </c>
      <c r="F15987" s="2">
        <v>2907</v>
      </c>
      <c r="G15987" s="2">
        <v>100</v>
      </c>
      <c r="H15987" s="2">
        <v>588</v>
      </c>
      <c r="I15987" s="2">
        <v>445</v>
      </c>
      <c r="J15987" s="2">
        <v>2208</v>
      </c>
      <c r="K15987" s="2">
        <v>1</v>
      </c>
      <c r="L15987" s="2">
        <v>588</v>
      </c>
    </row>
    <row r="15988" spans="1:12" x14ac:dyDescent="0.25">
      <c r="A15988" s="4" t="str">
        <f>HYPERLINK("http://www.rosaceae.org/Prunus/Prunus_persica/p.persica_gdr_reftransV1_0017182","p.persica_gdr_reftransV1_0017182")</f>
        <v>p.persica_gdr_reftransV1_0017182</v>
      </c>
      <c r="B15988" s="2">
        <v>952</v>
      </c>
      <c r="C15988" s="4" t="str">
        <f>HYPERLINK("http://www.uniprot.org/uniprot/M5WDC7","M5WDC7")</f>
        <v>M5WDC7</v>
      </c>
      <c r="D15988" s="2" t="s">
        <v>12752</v>
      </c>
      <c r="E15988" s="3">
        <v>1.6399999999999999E-54</v>
      </c>
      <c r="F15988" s="2">
        <v>471</v>
      </c>
      <c r="G15988" s="2">
        <v>100</v>
      </c>
      <c r="H15988" s="2">
        <v>104</v>
      </c>
      <c r="I15988" s="2">
        <v>312</v>
      </c>
      <c r="J15988" s="2">
        <v>623</v>
      </c>
      <c r="K15988" s="2">
        <v>29</v>
      </c>
      <c r="L15988" s="2">
        <v>132</v>
      </c>
    </row>
    <row r="15989" spans="1:12" x14ac:dyDescent="0.25">
      <c r="A15989" s="4" t="str">
        <f>HYPERLINK("http://www.rosaceae.org/Prunus/Prunus_persica/p.persica_gdr_reftransV1_0017532","p.persica_gdr_reftransV1_0017532")</f>
        <v>p.persica_gdr_reftransV1_0017532</v>
      </c>
      <c r="B15989" s="2">
        <v>2491</v>
      </c>
      <c r="C15989" s="4" t="str">
        <f>HYPERLINK("http://www.uniprot.org/uniprot/M5XF91","M5XF91")</f>
        <v>M5XF91</v>
      </c>
      <c r="D15989" s="2" t="s">
        <v>12753</v>
      </c>
      <c r="E15989" s="3">
        <v>0</v>
      </c>
      <c r="F15989" s="2">
        <v>2699</v>
      </c>
      <c r="G15989" s="2">
        <v>100</v>
      </c>
      <c r="H15989" s="2">
        <v>538</v>
      </c>
      <c r="I15989" s="2">
        <v>290</v>
      </c>
      <c r="J15989" s="2">
        <v>1903</v>
      </c>
      <c r="K15989" s="2">
        <v>1</v>
      </c>
      <c r="L15989" s="2">
        <v>538</v>
      </c>
    </row>
    <row r="15990" spans="1:12" x14ac:dyDescent="0.25">
      <c r="A15990" s="4" t="str">
        <f>HYPERLINK("http://www.rosaceae.org/Prunus/Prunus_persica/p.persica_gdr_reftransV1_0017882","p.persica_gdr_reftransV1_0017882")</f>
        <v>p.persica_gdr_reftransV1_0017882</v>
      </c>
      <c r="B15990" s="2">
        <v>2556</v>
      </c>
      <c r="C15990" s="4" t="str">
        <f>HYPERLINK("http://www.uniprot.org/uniprot/M5WCQ5","M5WCQ5")</f>
        <v>M5WCQ5</v>
      </c>
      <c r="D15990" s="2" t="s">
        <v>12754</v>
      </c>
      <c r="E15990" s="3">
        <v>0</v>
      </c>
      <c r="F15990" s="2">
        <v>2481</v>
      </c>
      <c r="G15990" s="2">
        <v>100</v>
      </c>
      <c r="H15990" s="2">
        <v>557</v>
      </c>
      <c r="I15990" s="2">
        <v>777</v>
      </c>
      <c r="J15990" s="2">
        <v>2447</v>
      </c>
      <c r="K15990" s="2">
        <v>34</v>
      </c>
      <c r="L15990" s="2">
        <v>590</v>
      </c>
    </row>
    <row r="15991" spans="1:12" x14ac:dyDescent="0.25">
      <c r="A15991" s="4" t="str">
        <f>HYPERLINK("http://www.rosaceae.org/Prunus/Prunus_persica/p.persica_gdr_reftransV1_0018232","p.persica_gdr_reftransV1_0018232")</f>
        <v>p.persica_gdr_reftransV1_0018232</v>
      </c>
      <c r="B15991" s="2">
        <v>3756</v>
      </c>
      <c r="C15991" s="4" t="str">
        <f>HYPERLINK("http://www.uniprot.org/uniprot/M5WML5","M5WML5")</f>
        <v>M5WML5</v>
      </c>
      <c r="D15991" s="2" t="s">
        <v>1084</v>
      </c>
      <c r="E15991" s="3">
        <v>0</v>
      </c>
      <c r="F15991" s="2">
        <v>6602</v>
      </c>
      <c r="G15991" s="2">
        <v>100</v>
      </c>
      <c r="H15991" s="2">
        <v>1251</v>
      </c>
      <c r="I15991" s="2">
        <v>2</v>
      </c>
      <c r="J15991" s="2">
        <v>3754</v>
      </c>
      <c r="K15991" s="2">
        <v>677</v>
      </c>
      <c r="L15991" s="2">
        <v>1927</v>
      </c>
    </row>
    <row r="15992" spans="1:12" x14ac:dyDescent="0.25">
      <c r="A15992" s="4" t="str">
        <f>HYPERLINK("http://www.rosaceae.org/Prunus/Prunus_persica/p.persica_gdr_reftransV1_0018582","p.persica_gdr_reftransV1_0018582")</f>
        <v>p.persica_gdr_reftransV1_0018582</v>
      </c>
      <c r="B15992" s="2">
        <v>3289</v>
      </c>
      <c r="C15992" s="4" t="str">
        <f>HYPERLINK("http://www.uniprot.org/uniprot/M5XM80","M5XM80")</f>
        <v>M5XM80</v>
      </c>
      <c r="D15992" s="2" t="s">
        <v>53</v>
      </c>
      <c r="E15992" s="3">
        <v>0</v>
      </c>
      <c r="F15992" s="2">
        <v>2195</v>
      </c>
      <c r="G15992" s="2">
        <v>100</v>
      </c>
      <c r="H15992" s="2">
        <v>442</v>
      </c>
      <c r="I15992" s="2">
        <v>1963</v>
      </c>
      <c r="J15992" s="2">
        <v>3288</v>
      </c>
      <c r="K15992" s="2">
        <v>413</v>
      </c>
      <c r="L15992" s="2">
        <v>854</v>
      </c>
    </row>
    <row r="15993" spans="1:12" x14ac:dyDescent="0.25">
      <c r="A15993" s="4" t="str">
        <f>HYPERLINK("http://www.rosaceae.org/Prunus/Prunus_persica/p.persica_gdr_reftransV1_0018932","p.persica_gdr_reftransV1_0018932")</f>
        <v>p.persica_gdr_reftransV1_0018932</v>
      </c>
      <c r="B15993" s="2">
        <v>4600</v>
      </c>
      <c r="C15993" s="4" t="str">
        <f>HYPERLINK("http://www.uniprot.org/uniprot/Q01LI0","Q01LI0")</f>
        <v>Q01LI0</v>
      </c>
      <c r="D15993" s="2" t="s">
        <v>2441</v>
      </c>
      <c r="E15993" s="3">
        <v>0</v>
      </c>
      <c r="F15993" s="2">
        <v>2127</v>
      </c>
      <c r="G15993" s="2">
        <v>49</v>
      </c>
      <c r="H15993" s="2">
        <v>865</v>
      </c>
      <c r="I15993" s="2">
        <v>944</v>
      </c>
      <c r="J15993" s="2">
        <v>3463</v>
      </c>
      <c r="K15993" s="2">
        <v>1</v>
      </c>
      <c r="L15993" s="2">
        <v>857</v>
      </c>
    </row>
    <row r="15994" spans="1:12" x14ac:dyDescent="0.25">
      <c r="A15994" s="4" t="str">
        <f>HYPERLINK("http://www.rosaceae.org/Prunus/Prunus_persica/p.persica_gdr_reftransV1_0020682","p.persica_gdr_reftransV1_0020682")</f>
        <v>p.persica_gdr_reftransV1_0020682</v>
      </c>
      <c r="B15994" s="2">
        <v>3078</v>
      </c>
      <c r="C15994" s="4" t="str">
        <f>HYPERLINK("http://www.uniprot.org/uniprot/M5VWN1","M5VWN1")</f>
        <v>M5VWN1</v>
      </c>
      <c r="D15994" s="2" t="s">
        <v>12755</v>
      </c>
      <c r="E15994" s="3">
        <v>0</v>
      </c>
      <c r="F15994" s="2">
        <v>3193</v>
      </c>
      <c r="G15994" s="2">
        <v>98</v>
      </c>
      <c r="H15994" s="2">
        <v>628</v>
      </c>
      <c r="I15994" s="2">
        <v>194</v>
      </c>
      <c r="J15994" s="2">
        <v>2077</v>
      </c>
      <c r="K15994" s="2">
        <v>1</v>
      </c>
      <c r="L15994" s="2">
        <v>628</v>
      </c>
    </row>
    <row r="15995" spans="1:12" x14ac:dyDescent="0.25">
      <c r="A15995" s="4" t="str">
        <f>HYPERLINK("http://www.rosaceae.org/Prunus/Prunus_persica/p.persica_gdr_reftransV1_0021032","p.persica_gdr_reftransV1_0021032")</f>
        <v>p.persica_gdr_reftransV1_0021032</v>
      </c>
      <c r="B15995" s="2">
        <v>1074</v>
      </c>
      <c r="C15995" s="4" t="str">
        <f>HYPERLINK("http://www.uniprot.org/uniprot/M5XR88","M5XR88")</f>
        <v>M5XR88</v>
      </c>
      <c r="D15995" s="2" t="s">
        <v>12756</v>
      </c>
      <c r="E15995" s="3">
        <v>1.3500000000000001E-119</v>
      </c>
      <c r="F15995" s="2">
        <v>923</v>
      </c>
      <c r="G15995" s="2">
        <v>98</v>
      </c>
      <c r="H15995" s="2">
        <v>221</v>
      </c>
      <c r="I15995" s="2">
        <v>407</v>
      </c>
      <c r="J15995" s="2">
        <v>1069</v>
      </c>
      <c r="K15995" s="2">
        <v>80</v>
      </c>
      <c r="L15995" s="2">
        <v>300</v>
      </c>
    </row>
    <row r="15996" spans="1:12" x14ac:dyDescent="0.25">
      <c r="A15996" s="4" t="str">
        <f>HYPERLINK("http://www.rosaceae.org/Prunus/Prunus_persica/p.persica_gdr_reftransV1_0021732","p.persica_gdr_reftransV1_0021732")</f>
        <v>p.persica_gdr_reftransV1_0021732</v>
      </c>
      <c r="B15996" s="2">
        <v>2179</v>
      </c>
      <c r="C15996" s="4" t="str">
        <f>HYPERLINK("http://www.uniprot.org/uniprot/M5WPF5","M5WPF5")</f>
        <v>M5WPF5</v>
      </c>
      <c r="D15996" s="2" t="s">
        <v>12757</v>
      </c>
      <c r="E15996" s="3">
        <v>4.78E-125</v>
      </c>
      <c r="F15996" s="2">
        <v>1000</v>
      </c>
      <c r="G15996" s="2">
        <v>92</v>
      </c>
      <c r="H15996" s="2">
        <v>224</v>
      </c>
      <c r="I15996" s="2">
        <v>829</v>
      </c>
      <c r="J15996" s="2">
        <v>1500</v>
      </c>
      <c r="K15996" s="2">
        <v>158</v>
      </c>
      <c r="L15996" s="2">
        <v>381</v>
      </c>
    </row>
    <row r="15997" spans="1:12" x14ac:dyDescent="0.25">
      <c r="A15997" s="4" t="str">
        <f>HYPERLINK("http://www.rosaceae.org/Prunus/Prunus_persica/p.persica_gdr_reftransV1_0022082","p.persica_gdr_reftransV1_0022082")</f>
        <v>p.persica_gdr_reftransV1_0022082</v>
      </c>
      <c r="B15997" s="2">
        <v>3261</v>
      </c>
      <c r="C15997" s="4" t="str">
        <f>HYPERLINK("http://www.uniprot.org/uniprot/A0A0A7RMU2","A0A0A7RMU2")</f>
        <v>A0A0A7RMU2</v>
      </c>
      <c r="D15997" s="2" t="s">
        <v>12758</v>
      </c>
      <c r="E15997" s="3">
        <v>0</v>
      </c>
      <c r="F15997" s="2">
        <v>3869</v>
      </c>
      <c r="G15997" s="2">
        <v>100</v>
      </c>
      <c r="H15997" s="2">
        <v>850</v>
      </c>
      <c r="I15997" s="2">
        <v>278</v>
      </c>
      <c r="J15997" s="2">
        <v>2827</v>
      </c>
      <c r="K15997" s="2">
        <v>1</v>
      </c>
      <c r="L15997" s="2">
        <v>850</v>
      </c>
    </row>
    <row r="15998" spans="1:12" x14ac:dyDescent="0.25">
      <c r="A15998" s="4" t="str">
        <f>HYPERLINK("http://www.rosaceae.org/Prunus/Prunus_persica/p.persica_gdr_reftransV1_0022432","p.persica_gdr_reftransV1_0022432")</f>
        <v>p.persica_gdr_reftransV1_0022432</v>
      </c>
      <c r="B15998" s="2">
        <v>773</v>
      </c>
      <c r="C15998" s="4" t="str">
        <f>HYPERLINK("http://www.uniprot.org/uniprot/M5VLS6","M5VLS6")</f>
        <v>M5VLS6</v>
      </c>
      <c r="D15998" s="2" t="s">
        <v>12759</v>
      </c>
      <c r="E15998" s="3">
        <v>7.4699999999999995E-68</v>
      </c>
      <c r="F15998" s="2">
        <v>551</v>
      </c>
      <c r="G15998" s="2">
        <v>100</v>
      </c>
      <c r="H15998" s="2">
        <v>103</v>
      </c>
      <c r="I15998" s="2">
        <v>84</v>
      </c>
      <c r="J15998" s="2">
        <v>392</v>
      </c>
      <c r="K15998" s="2">
        <v>1</v>
      </c>
      <c r="L15998" s="2">
        <v>103</v>
      </c>
    </row>
    <row r="15999" spans="1:12" x14ac:dyDescent="0.25">
      <c r="A15999" s="4" t="str">
        <f>HYPERLINK("http://www.rosaceae.org/Prunus/Prunus_persica/p.persica_gdr_reftransV1_0023132","p.persica_gdr_reftransV1_0023132")</f>
        <v>p.persica_gdr_reftransV1_0023132</v>
      </c>
      <c r="B15999" s="2">
        <v>2143</v>
      </c>
      <c r="C15999" s="4" t="str">
        <f>HYPERLINK("http://www.uniprot.org/uniprot/M5WH70","M5WH70")</f>
        <v>M5WH70</v>
      </c>
      <c r="D15999" s="2" t="s">
        <v>12760</v>
      </c>
      <c r="E15999" s="3">
        <v>2.7299999999999998E-165</v>
      </c>
      <c r="F15999" s="2">
        <v>1271</v>
      </c>
      <c r="G15999" s="2">
        <v>100</v>
      </c>
      <c r="H15999" s="2">
        <v>261</v>
      </c>
      <c r="I15999" s="2">
        <v>466</v>
      </c>
      <c r="J15999" s="2">
        <v>1248</v>
      </c>
      <c r="K15999" s="2">
        <v>146</v>
      </c>
      <c r="L15999" s="2">
        <v>406</v>
      </c>
    </row>
    <row r="16000" spans="1:12" x14ac:dyDescent="0.25">
      <c r="A16000" s="4" t="str">
        <f>HYPERLINK("http://www.rosaceae.org/Prunus/Prunus_persica/p.persica_gdr_reftransV1_0024182","p.persica_gdr_reftransV1_0024182")</f>
        <v>p.persica_gdr_reftransV1_0024182</v>
      </c>
      <c r="B16000" s="2">
        <v>1277</v>
      </c>
      <c r="C16000" s="4" t="str">
        <f>HYPERLINK("http://www.uniprot.org/uniprot/M5XAS9","M5XAS9")</f>
        <v>M5XAS9</v>
      </c>
      <c r="D16000" s="2" t="s">
        <v>12761</v>
      </c>
      <c r="E16000" s="3">
        <v>0</v>
      </c>
      <c r="F16000" s="2">
        <v>1724</v>
      </c>
      <c r="G16000" s="2">
        <v>99</v>
      </c>
      <c r="H16000" s="2">
        <v>349</v>
      </c>
      <c r="I16000" s="2">
        <v>134</v>
      </c>
      <c r="J16000" s="2">
        <v>1180</v>
      </c>
      <c r="K16000" s="2">
        <v>1</v>
      </c>
      <c r="L16000" s="2">
        <v>349</v>
      </c>
    </row>
    <row r="16001" spans="1:12" x14ac:dyDescent="0.25">
      <c r="A16001" s="4" t="str">
        <f>HYPERLINK("http://www.rosaceae.org/Prunus/Prunus_persica/p.persica_gdr_reftransV1_0024882","p.persica_gdr_reftransV1_0024882")</f>
        <v>p.persica_gdr_reftransV1_0024882</v>
      </c>
      <c r="B16001" s="2">
        <v>2144</v>
      </c>
      <c r="C16001" s="4" t="str">
        <f>HYPERLINK("http://www.uniprot.org/uniprot/M5XRZ9","M5XRZ9")</f>
        <v>M5XRZ9</v>
      </c>
      <c r="D16001" s="2" t="s">
        <v>12762</v>
      </c>
      <c r="E16001" s="3">
        <v>0</v>
      </c>
      <c r="F16001" s="2">
        <v>1724</v>
      </c>
      <c r="G16001" s="2">
        <v>100</v>
      </c>
      <c r="H16001" s="2">
        <v>353</v>
      </c>
      <c r="I16001" s="2">
        <v>46</v>
      </c>
      <c r="J16001" s="2">
        <v>1104</v>
      </c>
      <c r="K16001" s="2">
        <v>27</v>
      </c>
      <c r="L16001" s="2">
        <v>379</v>
      </c>
    </row>
    <row r="16002" spans="1:12" x14ac:dyDescent="0.25">
      <c r="A16002" s="4" t="str">
        <f>HYPERLINK("http://www.rosaceae.org/Prunus/Prunus_persica/p.persica_gdr_reftransV1_0025232","p.persica_gdr_reftransV1_0025232")</f>
        <v>p.persica_gdr_reftransV1_0025232</v>
      </c>
      <c r="B16002" s="2">
        <v>907</v>
      </c>
      <c r="C16002" s="4" t="str">
        <f>HYPERLINK("http://www.uniprot.org/uniprot/M5W928","M5W928")</f>
        <v>M5W928</v>
      </c>
      <c r="D16002" s="2" t="s">
        <v>6900</v>
      </c>
      <c r="E16002" s="3">
        <v>6.2399999999999997E-96</v>
      </c>
      <c r="F16002" s="2">
        <v>765</v>
      </c>
      <c r="G16002" s="2">
        <v>100</v>
      </c>
      <c r="H16002" s="2">
        <v>146</v>
      </c>
      <c r="I16002" s="2">
        <v>468</v>
      </c>
      <c r="J16002" s="2">
        <v>905</v>
      </c>
      <c r="K16002" s="2">
        <v>209</v>
      </c>
      <c r="L16002" s="2">
        <v>354</v>
      </c>
    </row>
    <row r="16003" spans="1:12" x14ac:dyDescent="0.25">
      <c r="A16003" s="4" t="str">
        <f>HYPERLINK("http://www.rosaceae.org/Prunus/Prunus_persica/p.persica_gdr_reftransV1_0025932","p.persica_gdr_reftransV1_0025932")</f>
        <v>p.persica_gdr_reftransV1_0025932</v>
      </c>
      <c r="B16003" s="2">
        <v>3043</v>
      </c>
      <c r="C16003" s="4" t="str">
        <f>HYPERLINK("http://www.uniprot.org/uniprot/M5WE10","M5WE10")</f>
        <v>M5WE10</v>
      </c>
      <c r="D16003" s="2" t="s">
        <v>12763</v>
      </c>
      <c r="E16003" s="3">
        <v>0</v>
      </c>
      <c r="F16003" s="2">
        <v>1679</v>
      </c>
      <c r="G16003" s="2">
        <v>100</v>
      </c>
      <c r="H16003" s="2">
        <v>346</v>
      </c>
      <c r="I16003" s="2">
        <v>1659</v>
      </c>
      <c r="J16003" s="2">
        <v>2696</v>
      </c>
      <c r="K16003" s="2">
        <v>422</v>
      </c>
      <c r="L16003" s="2">
        <v>767</v>
      </c>
    </row>
    <row r="16004" spans="1:12" x14ac:dyDescent="0.25">
      <c r="A16004" s="4" t="str">
        <f>HYPERLINK("http://www.rosaceae.org/Prunus/Prunus_persica/p.persica_gdr_reftransV1_0026632","p.persica_gdr_reftransV1_0026632")</f>
        <v>p.persica_gdr_reftransV1_0026632</v>
      </c>
      <c r="B16004" s="2">
        <v>5568</v>
      </c>
      <c r="C16004" s="4" t="str">
        <f>HYPERLINK("http://www.uniprot.org/uniprot/M5W9C9","M5W9C9")</f>
        <v>M5W9C9</v>
      </c>
      <c r="D16004" s="2" t="s">
        <v>12764</v>
      </c>
      <c r="E16004" s="3">
        <v>0</v>
      </c>
      <c r="F16004" s="2">
        <v>4864</v>
      </c>
      <c r="G16004" s="2">
        <v>100</v>
      </c>
      <c r="H16004" s="2">
        <v>981</v>
      </c>
      <c r="I16004" s="2">
        <v>685</v>
      </c>
      <c r="J16004" s="2">
        <v>3627</v>
      </c>
      <c r="K16004" s="2">
        <v>1</v>
      </c>
      <c r="L16004" s="2">
        <v>981</v>
      </c>
    </row>
    <row r="16005" spans="1:12" x14ac:dyDescent="0.25">
      <c r="A16005" s="4" t="str">
        <f>HYPERLINK("http://www.rosaceae.org/Prunus/Prunus_persica/p.persica_gdr_reftransV1_0028382","p.persica_gdr_reftransV1_0028382")</f>
        <v>p.persica_gdr_reftransV1_0028382</v>
      </c>
      <c r="B16005" s="2">
        <v>2024</v>
      </c>
      <c r="C16005" s="4" t="str">
        <f>HYPERLINK("http://www.uniprot.org/uniprot/M5VI12","M5VI12")</f>
        <v>M5VI12</v>
      </c>
      <c r="D16005" s="2" t="s">
        <v>12765</v>
      </c>
      <c r="E16005" s="3">
        <v>0</v>
      </c>
      <c r="F16005" s="2">
        <v>2420</v>
      </c>
      <c r="G16005" s="2">
        <v>100</v>
      </c>
      <c r="H16005" s="2">
        <v>490</v>
      </c>
      <c r="I16005" s="2">
        <v>516</v>
      </c>
      <c r="J16005" s="2">
        <v>1985</v>
      </c>
      <c r="K16005" s="2">
        <v>1</v>
      </c>
      <c r="L16005" s="2">
        <v>490</v>
      </c>
    </row>
    <row r="16006" spans="1:12" x14ac:dyDescent="0.25">
      <c r="A16006" s="4" t="str">
        <f>HYPERLINK("http://www.rosaceae.org/Prunus/Prunus_persica/p.persica_gdr_reftransV1_0029782","p.persica_gdr_reftransV1_0029782")</f>
        <v>p.persica_gdr_reftransV1_0029782</v>
      </c>
      <c r="B16006" s="2">
        <v>1453</v>
      </c>
      <c r="C16006" s="4" t="str">
        <f>HYPERLINK("http://www.uniprot.org/uniprot/M5XQL6","M5XQL6")</f>
        <v>M5XQL6</v>
      </c>
      <c r="D16006" s="2" t="s">
        <v>12766</v>
      </c>
      <c r="E16006" s="3">
        <v>0</v>
      </c>
      <c r="F16006" s="2">
        <v>1470</v>
      </c>
      <c r="G16006" s="2">
        <v>100</v>
      </c>
      <c r="H16006" s="2">
        <v>328</v>
      </c>
      <c r="I16006" s="2">
        <v>256</v>
      </c>
      <c r="J16006" s="2">
        <v>1239</v>
      </c>
      <c r="K16006" s="2">
        <v>1</v>
      </c>
      <c r="L16006" s="2">
        <v>328</v>
      </c>
    </row>
    <row r="16007" spans="1:12" x14ac:dyDescent="0.25">
      <c r="A16007" s="4" t="str">
        <f>HYPERLINK("http://www.rosaceae.org/Prunus/Prunus_persica/p.persica_gdr_reftransV1_0031532","p.persica_gdr_reftransV1_0031532")</f>
        <v>p.persica_gdr_reftransV1_0031532</v>
      </c>
      <c r="B16007" s="2">
        <v>2844</v>
      </c>
      <c r="C16007" s="4" t="str">
        <f>HYPERLINK("http://www.uniprot.org/uniprot/M5WJK4","M5WJK4")</f>
        <v>M5WJK4</v>
      </c>
      <c r="D16007" s="2" t="s">
        <v>12767</v>
      </c>
      <c r="E16007" s="3">
        <v>0</v>
      </c>
      <c r="F16007" s="2">
        <v>2022</v>
      </c>
      <c r="G16007" s="2">
        <v>100</v>
      </c>
      <c r="H16007" s="2">
        <v>402</v>
      </c>
      <c r="I16007" s="2">
        <v>1481</v>
      </c>
      <c r="J16007" s="2">
        <v>2686</v>
      </c>
      <c r="K16007" s="2">
        <v>1</v>
      </c>
      <c r="L16007" s="2">
        <v>402</v>
      </c>
    </row>
    <row r="16008" spans="1:12" x14ac:dyDescent="0.25">
      <c r="A16008" s="4" t="str">
        <f>HYPERLINK("http://www.rosaceae.org/Prunus/Prunus_persica/p.persica_gdr_reftransV1_0031882","p.persica_gdr_reftransV1_0031882")</f>
        <v>p.persica_gdr_reftransV1_0031882</v>
      </c>
      <c r="B16008" s="2">
        <v>3850</v>
      </c>
      <c r="C16008" s="4" t="str">
        <f>HYPERLINK("http://www.uniprot.org/uniprot/M5XQC3","M5XQC3")</f>
        <v>M5XQC3</v>
      </c>
      <c r="D16008" s="2" t="s">
        <v>12768</v>
      </c>
      <c r="E16008" s="3">
        <v>0</v>
      </c>
      <c r="F16008" s="2">
        <v>1742</v>
      </c>
      <c r="G16008" s="2">
        <v>100</v>
      </c>
      <c r="H16008" s="2">
        <v>417</v>
      </c>
      <c r="I16008" s="2">
        <v>1915</v>
      </c>
      <c r="J16008" s="2">
        <v>3165</v>
      </c>
      <c r="K16008" s="2">
        <v>34</v>
      </c>
      <c r="L16008" s="2">
        <v>450</v>
      </c>
    </row>
    <row r="16009" spans="1:12" x14ac:dyDescent="0.25">
      <c r="A16009" s="4" t="str">
        <f>HYPERLINK("http://www.rosaceae.org/Prunus/Prunus_persica/p.persica_gdr_reftransV1_0034682","p.persica_gdr_reftransV1_0034682")</f>
        <v>p.persica_gdr_reftransV1_0034682</v>
      </c>
      <c r="B16009" s="2">
        <v>2077</v>
      </c>
      <c r="C16009" s="4" t="str">
        <f>HYPERLINK("http://www.uniprot.org/uniprot/M5XRK4","M5XRK4")</f>
        <v>M5XRK4</v>
      </c>
      <c r="D16009" s="2" t="s">
        <v>12769</v>
      </c>
      <c r="E16009" s="3">
        <v>9.4800000000000007E-180</v>
      </c>
      <c r="F16009" s="2">
        <v>1371</v>
      </c>
      <c r="G16009" s="2">
        <v>100</v>
      </c>
      <c r="H16009" s="2">
        <v>258</v>
      </c>
      <c r="I16009" s="2">
        <v>308</v>
      </c>
      <c r="J16009" s="2">
        <v>1081</v>
      </c>
      <c r="K16009" s="2">
        <v>217</v>
      </c>
      <c r="L16009" s="2">
        <v>474</v>
      </c>
    </row>
    <row r="16010" spans="1:12" x14ac:dyDescent="0.25">
      <c r="A16010" s="4" t="str">
        <f>HYPERLINK("http://www.rosaceae.org/Prunus/Prunus_persica/p.persica_gdr_reftransV1_0035032","p.persica_gdr_reftransV1_0035032")</f>
        <v>p.persica_gdr_reftransV1_0035032</v>
      </c>
      <c r="B16010" s="2">
        <v>3378</v>
      </c>
      <c r="C16010" s="4" t="str">
        <f>HYPERLINK("http://www.uniprot.org/uniprot/M5VK78","M5VK78")</f>
        <v>M5VK78</v>
      </c>
      <c r="D16010" s="2" t="s">
        <v>12770</v>
      </c>
      <c r="E16010" s="3">
        <v>0</v>
      </c>
      <c r="F16010" s="2">
        <v>2789</v>
      </c>
      <c r="G16010" s="2">
        <v>100</v>
      </c>
      <c r="H16010" s="2">
        <v>530</v>
      </c>
      <c r="I16010" s="2">
        <v>364</v>
      </c>
      <c r="J16010" s="2">
        <v>1953</v>
      </c>
      <c r="K16010" s="2">
        <v>1</v>
      </c>
      <c r="L16010" s="2">
        <v>530</v>
      </c>
    </row>
    <row r="16011" spans="1:12" x14ac:dyDescent="0.25">
      <c r="A16011" s="4" t="str">
        <f>HYPERLINK("http://www.rosaceae.org/Prunus/Prunus_persica/p.persica_gdr_reftransV1_0035382","p.persica_gdr_reftransV1_0035382")</f>
        <v>p.persica_gdr_reftransV1_0035382</v>
      </c>
      <c r="B16011" s="2">
        <v>3033</v>
      </c>
      <c r="C16011" s="4" t="str">
        <f>HYPERLINK("http://www.uniprot.org/uniprot/M5XRP2","M5XRP2")</f>
        <v>M5XRP2</v>
      </c>
      <c r="D16011" s="2" t="s">
        <v>11504</v>
      </c>
      <c r="E16011" s="3">
        <v>0</v>
      </c>
      <c r="F16011" s="2">
        <v>4239</v>
      </c>
      <c r="G16011" s="2">
        <v>97</v>
      </c>
      <c r="H16011" s="2">
        <v>828</v>
      </c>
      <c r="I16011" s="2">
        <v>438</v>
      </c>
      <c r="J16011" s="2">
        <v>2897</v>
      </c>
      <c r="K16011" s="2">
        <v>1</v>
      </c>
      <c r="L16011" s="2">
        <v>828</v>
      </c>
    </row>
    <row r="16012" spans="1:12" x14ac:dyDescent="0.25">
      <c r="A16012" s="4" t="str">
        <f>HYPERLINK("http://www.rosaceae.org/Prunus/Prunus_persica/p.persica_gdr_reftransV1_0036082","p.persica_gdr_reftransV1_0036082")</f>
        <v>p.persica_gdr_reftransV1_0036082</v>
      </c>
      <c r="B16012" s="2">
        <v>689</v>
      </c>
      <c r="C16012" s="4" t="str">
        <f>HYPERLINK("http://www.uniprot.org/uniprot/M5WWQ3","M5WWQ3")</f>
        <v>M5WWQ3</v>
      </c>
      <c r="D16012" s="2" t="s">
        <v>12771</v>
      </c>
      <c r="E16012" s="3">
        <v>4.1399999999999999E-100</v>
      </c>
      <c r="F16012" s="2">
        <v>791</v>
      </c>
      <c r="G16012" s="2">
        <v>100</v>
      </c>
      <c r="H16012" s="2">
        <v>147</v>
      </c>
      <c r="I16012" s="2">
        <v>2</v>
      </c>
      <c r="J16012" s="2">
        <v>442</v>
      </c>
      <c r="K16012" s="2">
        <v>281</v>
      </c>
      <c r="L16012" s="2">
        <v>427</v>
      </c>
    </row>
    <row r="16013" spans="1:12" x14ac:dyDescent="0.25">
      <c r="A16013" s="4" t="str">
        <f>HYPERLINK("http://www.rosaceae.org/Prunus/Prunus_persica/p.persica_gdr_reftransV1_0036432","p.persica_gdr_reftransV1_0036432")</f>
        <v>p.persica_gdr_reftransV1_0036432</v>
      </c>
      <c r="B16013" s="2">
        <v>3221</v>
      </c>
      <c r="C16013" s="4" t="str">
        <f>HYPERLINK("http://www.uniprot.org/uniprot/M5WA98","M5WA98")</f>
        <v>M5WA98</v>
      </c>
      <c r="D16013" s="2" t="s">
        <v>12772</v>
      </c>
      <c r="E16013" s="3">
        <v>0</v>
      </c>
      <c r="F16013" s="2">
        <v>3124</v>
      </c>
      <c r="G16013" s="2">
        <v>100</v>
      </c>
      <c r="H16013" s="2">
        <v>640</v>
      </c>
      <c r="I16013" s="2">
        <v>989</v>
      </c>
      <c r="J16013" s="2">
        <v>2908</v>
      </c>
      <c r="K16013" s="2">
        <v>1</v>
      </c>
      <c r="L16013" s="2">
        <v>640</v>
      </c>
    </row>
    <row r="16014" spans="1:12" x14ac:dyDescent="0.25">
      <c r="A16014" s="4" t="str">
        <f>HYPERLINK("http://www.rosaceae.org/Prunus/Prunus_persica/p.persica_gdr_reftransV1_0036782","p.persica_gdr_reftransV1_0036782")</f>
        <v>p.persica_gdr_reftransV1_0036782</v>
      </c>
      <c r="B16014" s="2">
        <v>4474</v>
      </c>
      <c r="C16014" s="4" t="str">
        <f>HYPERLINK("http://www.uniprot.org/uniprot/M5WD13","M5WD13")</f>
        <v>M5WD13</v>
      </c>
      <c r="D16014" s="2" t="s">
        <v>12773</v>
      </c>
      <c r="E16014" s="3">
        <v>0</v>
      </c>
      <c r="F16014" s="2">
        <v>4997</v>
      </c>
      <c r="G16014" s="2">
        <v>100</v>
      </c>
      <c r="H16014" s="2">
        <v>1001</v>
      </c>
      <c r="I16014" s="2">
        <v>1169</v>
      </c>
      <c r="J16014" s="2">
        <v>4171</v>
      </c>
      <c r="K16014" s="2">
        <v>1</v>
      </c>
      <c r="L16014" s="2">
        <v>1001</v>
      </c>
    </row>
    <row r="16015" spans="1:12" x14ac:dyDescent="0.25">
      <c r="A16015" s="4" t="str">
        <f>HYPERLINK("http://www.rosaceae.org/Prunus/Prunus_persica/p.persica_gdr_reftransV1_0037482","p.persica_gdr_reftransV1_0037482")</f>
        <v>p.persica_gdr_reftransV1_0037482</v>
      </c>
      <c r="B16015" s="2">
        <v>2147</v>
      </c>
      <c r="C16015" s="4" t="str">
        <f>HYPERLINK("http://www.uniprot.org/uniprot/M5X146","M5X146")</f>
        <v>M5X146</v>
      </c>
      <c r="D16015" s="2" t="s">
        <v>12774</v>
      </c>
      <c r="E16015" s="3">
        <v>0</v>
      </c>
      <c r="F16015" s="2">
        <v>2214</v>
      </c>
      <c r="G16015" s="2">
        <v>100</v>
      </c>
      <c r="H16015" s="2">
        <v>447</v>
      </c>
      <c r="I16015" s="2">
        <v>339</v>
      </c>
      <c r="J16015" s="2">
        <v>1679</v>
      </c>
      <c r="K16015" s="2">
        <v>1</v>
      </c>
      <c r="L16015" s="2">
        <v>447</v>
      </c>
    </row>
    <row r="16016" spans="1:12" x14ac:dyDescent="0.25">
      <c r="A16016" s="4" t="str">
        <f>HYPERLINK("http://www.rosaceae.org/Prunus/Prunus_persica/p.persica_gdr_reftransV1_0038182","p.persica_gdr_reftransV1_0038182")</f>
        <v>p.persica_gdr_reftransV1_0038182</v>
      </c>
      <c r="B16016" s="2">
        <v>2773</v>
      </c>
      <c r="C16016" s="4" t="str">
        <f>HYPERLINK("http://www.uniprot.org/uniprot/B9HVQ2","B9HVQ2")</f>
        <v>B9HVQ2</v>
      </c>
      <c r="D16016" s="2" t="s">
        <v>12775</v>
      </c>
      <c r="E16016" s="3">
        <v>0</v>
      </c>
      <c r="F16016" s="2">
        <v>1685</v>
      </c>
      <c r="G16016" s="2">
        <v>80</v>
      </c>
      <c r="H16016" s="2">
        <v>449</v>
      </c>
      <c r="I16016" s="2">
        <v>222</v>
      </c>
      <c r="J16016" s="2">
        <v>1550</v>
      </c>
      <c r="K16016" s="2">
        <v>21</v>
      </c>
      <c r="L16016" s="2">
        <v>467</v>
      </c>
    </row>
    <row r="16017" spans="1:12" x14ac:dyDescent="0.25">
      <c r="A16017" s="4" t="str">
        <f>HYPERLINK("http://www.rosaceae.org/Prunus/Prunus_persica/p.persica_gdr_reftransV1_0039232","p.persica_gdr_reftransV1_0039232")</f>
        <v>p.persica_gdr_reftransV1_0039232</v>
      </c>
      <c r="B16017" s="2">
        <v>1419</v>
      </c>
      <c r="C16017" s="4" t="str">
        <f>HYPERLINK("http://www.uniprot.org/uniprot/M5WKZ5","M5WKZ5")</f>
        <v>M5WKZ5</v>
      </c>
      <c r="D16017" s="2" t="s">
        <v>12776</v>
      </c>
      <c r="E16017" s="3">
        <v>4.2100000000000002E-52</v>
      </c>
      <c r="F16017" s="2">
        <v>477</v>
      </c>
      <c r="G16017" s="2">
        <v>69</v>
      </c>
      <c r="H16017" s="2">
        <v>121</v>
      </c>
      <c r="I16017" s="2">
        <v>514</v>
      </c>
      <c r="J16017" s="2">
        <v>876</v>
      </c>
      <c r="K16017" s="2">
        <v>1</v>
      </c>
      <c r="L16017" s="2">
        <v>121</v>
      </c>
    </row>
    <row r="16018" spans="1:12" x14ac:dyDescent="0.25">
      <c r="A16018" s="4" t="str">
        <f>HYPERLINK("http://www.rosaceae.org/Prunus/Prunus_persica/p.persica_gdr_reftransV1_0039932","p.persica_gdr_reftransV1_0039932")</f>
        <v>p.persica_gdr_reftransV1_0039932</v>
      </c>
      <c r="B16018" s="2">
        <v>3833</v>
      </c>
      <c r="C16018" s="4" t="str">
        <f>HYPERLINK("http://www.uniprot.org/uniprot/M5WND4","M5WND4")</f>
        <v>M5WND4</v>
      </c>
      <c r="D16018" s="2" t="s">
        <v>12777</v>
      </c>
      <c r="E16018" s="3">
        <v>0</v>
      </c>
      <c r="F16018" s="2">
        <v>2791</v>
      </c>
      <c r="G16018" s="2">
        <v>99</v>
      </c>
      <c r="H16018" s="2">
        <v>614</v>
      </c>
      <c r="I16018" s="2">
        <v>1606</v>
      </c>
      <c r="J16018" s="2">
        <v>3447</v>
      </c>
      <c r="K16018" s="2">
        <v>1</v>
      </c>
      <c r="L16018" s="2">
        <v>614</v>
      </c>
    </row>
    <row r="16019" spans="1:12" x14ac:dyDescent="0.25">
      <c r="A16019" s="4" t="str">
        <f>HYPERLINK("http://www.rosaceae.org/Prunus/Prunus_persica/p.persica_gdr_reftransV1_0040282","p.persica_gdr_reftransV1_0040282")</f>
        <v>p.persica_gdr_reftransV1_0040282</v>
      </c>
      <c r="B16019" s="2">
        <v>1339</v>
      </c>
      <c r="C16019" s="4" t="str">
        <f>HYPERLINK("http://www.uniprot.org/uniprot/M5W3U3","M5W3U3")</f>
        <v>M5W3U3</v>
      </c>
      <c r="D16019" s="2" t="s">
        <v>12778</v>
      </c>
      <c r="E16019" s="3">
        <v>0</v>
      </c>
      <c r="F16019" s="2">
        <v>1910</v>
      </c>
      <c r="G16019" s="2">
        <v>100</v>
      </c>
      <c r="H16019" s="2">
        <v>357</v>
      </c>
      <c r="I16019" s="2">
        <v>1</v>
      </c>
      <c r="J16019" s="2">
        <v>1071</v>
      </c>
      <c r="K16019" s="2">
        <v>709</v>
      </c>
      <c r="L16019" s="2">
        <v>1065</v>
      </c>
    </row>
    <row r="16020" spans="1:12" x14ac:dyDescent="0.25">
      <c r="A16020" s="4" t="str">
        <f>HYPERLINK("http://www.rosaceae.org/Prunus/Prunus_persica/p.persica_gdr_reftransV1_0042032","p.persica_gdr_reftransV1_0042032")</f>
        <v>p.persica_gdr_reftransV1_0042032</v>
      </c>
      <c r="B16020" s="2">
        <v>2792</v>
      </c>
      <c r="C16020" s="4" t="str">
        <f>HYPERLINK("http://www.uniprot.org/uniprot/M5WPL6","M5WPL6")</f>
        <v>M5WPL6</v>
      </c>
      <c r="D16020" s="2" t="s">
        <v>12779</v>
      </c>
      <c r="E16020" s="3">
        <v>0</v>
      </c>
      <c r="F16020" s="2">
        <v>1553</v>
      </c>
      <c r="G16020" s="2">
        <v>100</v>
      </c>
      <c r="H16020" s="2">
        <v>308</v>
      </c>
      <c r="I16020" s="2">
        <v>1773</v>
      </c>
      <c r="J16020" s="2">
        <v>2696</v>
      </c>
      <c r="K16020" s="2">
        <v>1</v>
      </c>
      <c r="L16020" s="2">
        <v>308</v>
      </c>
    </row>
    <row r="16021" spans="1:12" x14ac:dyDescent="0.25">
      <c r="A16021" s="4" t="str">
        <f>HYPERLINK("http://www.rosaceae.org/Prunus/Prunus_persica/p.persica_gdr_reftransV1_0042382","p.persica_gdr_reftransV1_0042382")</f>
        <v>p.persica_gdr_reftransV1_0042382</v>
      </c>
      <c r="B16021" s="2">
        <v>1085</v>
      </c>
      <c r="C16021" s="4" t="str">
        <f>HYPERLINK("http://www.uniprot.org/uniprot/M5WJ68","M5WJ68")</f>
        <v>M5WJ68</v>
      </c>
      <c r="D16021" s="2" t="s">
        <v>12780</v>
      </c>
      <c r="E16021" s="3">
        <v>5.8E-130</v>
      </c>
      <c r="F16021" s="2">
        <v>980</v>
      </c>
      <c r="G16021" s="2">
        <v>100</v>
      </c>
      <c r="H16021" s="2">
        <v>186</v>
      </c>
      <c r="I16021" s="2">
        <v>245</v>
      </c>
      <c r="J16021" s="2">
        <v>802</v>
      </c>
      <c r="K16021" s="2">
        <v>1</v>
      </c>
      <c r="L16021" s="2">
        <v>186</v>
      </c>
    </row>
    <row r="16022" spans="1:12" x14ac:dyDescent="0.25">
      <c r="A16022" s="4" t="str">
        <f>HYPERLINK("http://www.rosaceae.org/Prunus/Prunus_persica/p.persica_gdr_reftransV1_0043082","p.persica_gdr_reftransV1_0043082")</f>
        <v>p.persica_gdr_reftransV1_0043082</v>
      </c>
      <c r="B16022" s="2">
        <v>1612</v>
      </c>
      <c r="C16022" s="4" t="str">
        <f>HYPERLINK("http://www.uniprot.org/uniprot/A0A061GRQ4","A0A061GRQ4")</f>
        <v>A0A061GRQ4</v>
      </c>
      <c r="D16022" s="2" t="s">
        <v>7647</v>
      </c>
      <c r="E16022" s="3">
        <v>0</v>
      </c>
      <c r="F16022" s="2">
        <v>1520</v>
      </c>
      <c r="G16022" s="2">
        <v>76</v>
      </c>
      <c r="H16022" s="2">
        <v>437</v>
      </c>
      <c r="I16022" s="2">
        <v>224</v>
      </c>
      <c r="J16022" s="2">
        <v>1516</v>
      </c>
      <c r="K16022" s="2">
        <v>1</v>
      </c>
      <c r="L16022" s="2">
        <v>437</v>
      </c>
    </row>
    <row r="16023" spans="1:12" x14ac:dyDescent="0.25">
      <c r="A16023" s="4" t="str">
        <f>HYPERLINK("http://www.rosaceae.org/Prunus/Prunus_persica/p.persica_gdr_reftransV1_0043432","p.persica_gdr_reftransV1_0043432")</f>
        <v>p.persica_gdr_reftransV1_0043432</v>
      </c>
      <c r="B16023" s="2">
        <v>729</v>
      </c>
      <c r="C16023" s="4" t="str">
        <f>HYPERLINK("http://www.uniprot.org/uniprot/M5XQD1","M5XQD1")</f>
        <v>M5XQD1</v>
      </c>
      <c r="D16023" s="2" t="s">
        <v>12781</v>
      </c>
      <c r="E16023" s="3">
        <v>9.8299999999999996E-104</v>
      </c>
      <c r="F16023" s="2">
        <v>816</v>
      </c>
      <c r="G16023" s="2">
        <v>100</v>
      </c>
      <c r="H16023" s="2">
        <v>147</v>
      </c>
      <c r="I16023" s="2">
        <v>287</v>
      </c>
      <c r="J16023" s="2">
        <v>727</v>
      </c>
      <c r="K16023" s="2">
        <v>274</v>
      </c>
      <c r="L16023" s="2">
        <v>420</v>
      </c>
    </row>
    <row r="16024" spans="1:12" x14ac:dyDescent="0.25">
      <c r="A16024" s="4" t="str">
        <f>HYPERLINK("http://www.rosaceae.org/Prunus/Prunus_persica/p.persica_gdr_reftransV1_0043782","p.persica_gdr_reftransV1_0043782")</f>
        <v>p.persica_gdr_reftransV1_0043782</v>
      </c>
      <c r="B16024" s="2">
        <v>653</v>
      </c>
      <c r="C16024" s="4" t="str">
        <f>HYPERLINK("http://www.uniprot.org/uniprot/M5VRP2","M5VRP2")</f>
        <v>M5VRP2</v>
      </c>
      <c r="D16024" s="2" t="s">
        <v>12782</v>
      </c>
      <c r="E16024" s="3">
        <v>2.6699999999999998E-66</v>
      </c>
      <c r="F16024" s="2">
        <v>549</v>
      </c>
      <c r="G16024" s="2">
        <v>100</v>
      </c>
      <c r="H16024" s="2">
        <v>103</v>
      </c>
      <c r="I16024" s="2">
        <v>247</v>
      </c>
      <c r="J16024" s="2">
        <v>555</v>
      </c>
      <c r="K16024" s="2">
        <v>143</v>
      </c>
      <c r="L16024" s="2">
        <v>245</v>
      </c>
    </row>
    <row r="16025" spans="1:12" x14ac:dyDescent="0.25">
      <c r="A16025" s="4" t="str">
        <f>HYPERLINK("http://www.rosaceae.org/Prunus/Prunus_persica/p.persica_gdr_reftransV1_0044132","p.persica_gdr_reftransV1_0044132")</f>
        <v>p.persica_gdr_reftransV1_0044132</v>
      </c>
      <c r="B16025" s="2">
        <v>400</v>
      </c>
      <c r="C16025" s="4" t="str">
        <f>HYPERLINK("http://www.uniprot.org/uniprot/X2FDD6","X2FDD6")</f>
        <v>X2FDD6</v>
      </c>
      <c r="D16025" s="2" t="s">
        <v>12783</v>
      </c>
      <c r="E16025" s="3">
        <v>2.8899999999999999E-82</v>
      </c>
      <c r="F16025" s="2">
        <v>666</v>
      </c>
      <c r="G16025" s="2">
        <v>90</v>
      </c>
      <c r="H16025" s="2">
        <v>133</v>
      </c>
      <c r="I16025" s="2">
        <v>2</v>
      </c>
      <c r="J16025" s="2">
        <v>400</v>
      </c>
      <c r="K16025" s="2">
        <v>53</v>
      </c>
      <c r="L16025" s="2">
        <v>185</v>
      </c>
    </row>
    <row r="16026" spans="1:12" x14ac:dyDescent="0.25">
      <c r="A16026" s="4" t="str">
        <f>HYPERLINK("http://www.rosaceae.org/Prunus/Prunus_persica/p.persica_gdr_reftransV1_0044482","p.persica_gdr_reftransV1_0044482")</f>
        <v>p.persica_gdr_reftransV1_0044482</v>
      </c>
      <c r="B16026" s="2">
        <v>318</v>
      </c>
      <c r="C16026" s="4" t="str">
        <f>HYPERLINK("http://www.uniprot.org/uniprot/M5WW51","M5WW51")</f>
        <v>M5WW51</v>
      </c>
      <c r="D16026" s="2" t="s">
        <v>12784</v>
      </c>
      <c r="E16026" s="3">
        <v>5.6499999999999999E-72</v>
      </c>
      <c r="F16026" s="2">
        <v>580</v>
      </c>
      <c r="G16026" s="2">
        <v>100</v>
      </c>
      <c r="H16026" s="2">
        <v>105</v>
      </c>
      <c r="I16026" s="2">
        <v>2</v>
      </c>
      <c r="J16026" s="2">
        <v>316</v>
      </c>
      <c r="K16026" s="2">
        <v>14</v>
      </c>
      <c r="L16026" s="2">
        <v>118</v>
      </c>
    </row>
    <row r="16027" spans="1:12" x14ac:dyDescent="0.25">
      <c r="A16027" s="4" t="str">
        <f>HYPERLINK("http://www.rosaceae.org/Prunus/Prunus_persica/p.persica_gdr_reftransV1_0044832","p.persica_gdr_reftransV1_0044832")</f>
        <v>p.persica_gdr_reftransV1_0044832</v>
      </c>
      <c r="B16027" s="2">
        <v>1030</v>
      </c>
      <c r="C16027" s="4" t="str">
        <f>HYPERLINK("http://www.uniprot.org/uniprot/M5WHE0","M5WHE0")</f>
        <v>M5WHE0</v>
      </c>
      <c r="D16027" s="2" t="s">
        <v>8907</v>
      </c>
      <c r="E16027" s="3">
        <v>9.1199999999999996E-139</v>
      </c>
      <c r="F16027" s="2">
        <v>1040</v>
      </c>
      <c r="G16027" s="2">
        <v>100</v>
      </c>
      <c r="H16027" s="2">
        <v>196</v>
      </c>
      <c r="I16027" s="2">
        <v>251</v>
      </c>
      <c r="J16027" s="2">
        <v>838</v>
      </c>
      <c r="K16027" s="2">
        <v>23</v>
      </c>
      <c r="L16027" s="2">
        <v>218</v>
      </c>
    </row>
    <row r="16028" spans="1:12" x14ac:dyDescent="0.25">
      <c r="A16028" s="4" t="str">
        <f>HYPERLINK("http://www.rosaceae.org/Prunus/Prunus_persica/p.persica_gdr_reftransV1_0045182","p.persica_gdr_reftransV1_0045182")</f>
        <v>p.persica_gdr_reftransV1_0045182</v>
      </c>
      <c r="B16028" s="2">
        <v>1832</v>
      </c>
      <c r="C16028" s="4" t="str">
        <f>HYPERLINK("http://www.uniprot.org/uniprot/M5XEQ6","M5XEQ6")</f>
        <v>M5XEQ6</v>
      </c>
      <c r="D16028" s="2" t="s">
        <v>12785</v>
      </c>
      <c r="E16028" s="3">
        <v>0</v>
      </c>
      <c r="F16028" s="2">
        <v>2014</v>
      </c>
      <c r="G16028" s="2">
        <v>97</v>
      </c>
      <c r="H16028" s="2">
        <v>506</v>
      </c>
      <c r="I16028" s="2">
        <v>199</v>
      </c>
      <c r="J16028" s="2">
        <v>1716</v>
      </c>
      <c r="K16028" s="2">
        <v>1</v>
      </c>
      <c r="L16028" s="2">
        <v>492</v>
      </c>
    </row>
    <row r="16029" spans="1:12" x14ac:dyDescent="0.25">
      <c r="A16029" s="4" t="str">
        <f>HYPERLINK("http://www.rosaceae.org/Prunus/Prunus_persica/p.persica_gdr_reftransV1_0045532","p.persica_gdr_reftransV1_0045532")</f>
        <v>p.persica_gdr_reftransV1_0045532</v>
      </c>
      <c r="B16029" s="2">
        <v>1291</v>
      </c>
      <c r="C16029" s="4" t="str">
        <f>HYPERLINK("http://www.uniprot.org/uniprot/M5X2Q0","M5X2Q0")</f>
        <v>M5X2Q0</v>
      </c>
      <c r="D16029" s="2" t="s">
        <v>12786</v>
      </c>
      <c r="E16029" s="3">
        <v>3.55E-108</v>
      </c>
      <c r="F16029" s="2">
        <v>842</v>
      </c>
      <c r="G16029" s="2">
        <v>100</v>
      </c>
      <c r="H16029" s="2">
        <v>177</v>
      </c>
      <c r="I16029" s="2">
        <v>55</v>
      </c>
      <c r="J16029" s="2">
        <v>585</v>
      </c>
      <c r="K16029" s="2">
        <v>1</v>
      </c>
      <c r="L16029" s="2">
        <v>177</v>
      </c>
    </row>
    <row r="16030" spans="1:12" x14ac:dyDescent="0.25">
      <c r="A16030" s="4" t="str">
        <f>HYPERLINK("http://www.rosaceae.org/Prunus/Prunus_persica/p.persica_gdr_reftransV1_0045882","p.persica_gdr_reftransV1_0045882")</f>
        <v>p.persica_gdr_reftransV1_0045882</v>
      </c>
      <c r="B16030" s="2">
        <v>1002</v>
      </c>
      <c r="C16030" s="4" t="str">
        <f>HYPERLINK("http://www.uniprot.org/uniprot/M5WT00","M5WT00")</f>
        <v>M5WT00</v>
      </c>
      <c r="D16030" s="2" t="s">
        <v>12787</v>
      </c>
      <c r="E16030" s="3">
        <v>1.86E-165</v>
      </c>
      <c r="F16030" s="2">
        <v>1223</v>
      </c>
      <c r="G16030" s="2">
        <v>100</v>
      </c>
      <c r="H16030" s="2">
        <v>255</v>
      </c>
      <c r="I16030" s="2">
        <v>141</v>
      </c>
      <c r="J16030" s="2">
        <v>905</v>
      </c>
      <c r="K16030" s="2">
        <v>45</v>
      </c>
      <c r="L16030" s="2">
        <v>299</v>
      </c>
    </row>
    <row r="16031" spans="1:12" x14ac:dyDescent="0.25">
      <c r="A16031" s="4" t="str">
        <f>HYPERLINK("http://www.rosaceae.org/Prunus/Prunus_persica/p.persica_gdr_reftransV1_0046232","p.persica_gdr_reftransV1_0046232")</f>
        <v>p.persica_gdr_reftransV1_0046232</v>
      </c>
      <c r="B16031" s="2">
        <v>2521</v>
      </c>
      <c r="C16031" s="4" t="str">
        <f>HYPERLINK("http://www.uniprot.org/uniprot/M5WSD6","M5WSD6")</f>
        <v>M5WSD6</v>
      </c>
      <c r="D16031" s="2" t="s">
        <v>8430</v>
      </c>
      <c r="E16031" s="3">
        <v>0</v>
      </c>
      <c r="F16031" s="2">
        <v>2332</v>
      </c>
      <c r="G16031" s="2">
        <v>99</v>
      </c>
      <c r="H16031" s="2">
        <v>440</v>
      </c>
      <c r="I16031" s="2">
        <v>203</v>
      </c>
      <c r="J16031" s="2">
        <v>1522</v>
      </c>
      <c r="K16031" s="2">
        <v>1</v>
      </c>
      <c r="L16031" s="2">
        <v>440</v>
      </c>
    </row>
    <row r="16032" spans="1:12" x14ac:dyDescent="0.25">
      <c r="A16032" s="4" t="str">
        <f>HYPERLINK("http://www.rosaceae.org/Prunus/Prunus_persica/p.persica_gdr_reftransV1_0046582","p.persica_gdr_reftransV1_0046582")</f>
        <v>p.persica_gdr_reftransV1_0046582</v>
      </c>
      <c r="B16032" s="2">
        <v>951</v>
      </c>
      <c r="C16032" s="4" t="str">
        <f>HYPERLINK("http://www.uniprot.org/uniprot/M5WHS1","M5WHS1")</f>
        <v>M5WHS1</v>
      </c>
      <c r="D16032" s="2" t="s">
        <v>12788</v>
      </c>
      <c r="E16032" s="3">
        <v>7.98E-120</v>
      </c>
      <c r="F16032" s="2">
        <v>911</v>
      </c>
      <c r="G16032" s="2">
        <v>100</v>
      </c>
      <c r="H16032" s="2">
        <v>207</v>
      </c>
      <c r="I16032" s="2">
        <v>110</v>
      </c>
      <c r="J16032" s="2">
        <v>730</v>
      </c>
      <c r="K16032" s="2">
        <v>1</v>
      </c>
      <c r="L16032" s="2">
        <v>207</v>
      </c>
    </row>
    <row r="16033" spans="1:12" x14ac:dyDescent="0.25">
      <c r="A16033" s="4" t="str">
        <f>HYPERLINK("http://www.rosaceae.org/Prunus/Prunus_persica/p.persica_gdr_reftransV1_0046932","p.persica_gdr_reftransV1_0046932")</f>
        <v>p.persica_gdr_reftransV1_0046932</v>
      </c>
      <c r="B16033" s="2">
        <v>2325</v>
      </c>
      <c r="C16033" s="4" t="str">
        <f>HYPERLINK("http://www.uniprot.org/uniprot/M5XAS7","M5XAS7")</f>
        <v>M5XAS7</v>
      </c>
      <c r="D16033" s="2" t="s">
        <v>8180</v>
      </c>
      <c r="E16033" s="3">
        <v>9.3900000000000007E-142</v>
      </c>
      <c r="F16033" s="2">
        <v>1114</v>
      </c>
      <c r="G16033" s="2">
        <v>58</v>
      </c>
      <c r="H16033" s="2">
        <v>466</v>
      </c>
      <c r="I16033" s="2">
        <v>530</v>
      </c>
      <c r="J16033" s="2">
        <v>1927</v>
      </c>
      <c r="K16033" s="2">
        <v>1</v>
      </c>
      <c r="L16033" s="2">
        <v>360</v>
      </c>
    </row>
    <row r="16034" spans="1:12" x14ac:dyDescent="0.25">
      <c r="A16034" s="4" t="str">
        <f>HYPERLINK("http://www.rosaceae.org/Prunus/Prunus_persica/p.persica_gdr_reftransV1_0047282","p.persica_gdr_reftransV1_0047282")</f>
        <v>p.persica_gdr_reftransV1_0047282</v>
      </c>
      <c r="B16034" s="2">
        <v>384</v>
      </c>
      <c r="C16034" s="4" t="str">
        <f>HYPERLINK("http://www.uniprot.org/uniprot/M5XS83","M5XS83")</f>
        <v>M5XS83</v>
      </c>
      <c r="D16034" s="2" t="s">
        <v>3200</v>
      </c>
      <c r="E16034" s="3">
        <v>6.0200000000000005E-69</v>
      </c>
      <c r="F16034" s="2">
        <v>585</v>
      </c>
      <c r="G16034" s="2">
        <v>100</v>
      </c>
      <c r="H16034" s="2">
        <v>128</v>
      </c>
      <c r="I16034" s="2">
        <v>1</v>
      </c>
      <c r="J16034" s="2">
        <v>384</v>
      </c>
      <c r="K16034" s="2">
        <v>145</v>
      </c>
      <c r="L16034" s="2">
        <v>272</v>
      </c>
    </row>
    <row r="16035" spans="1:12" x14ac:dyDescent="0.25">
      <c r="A16035" s="4" t="str">
        <f>HYPERLINK("http://www.rosaceae.org/Prunus/Prunus_persica/p.persica_gdr_reftransV1_0047632","p.persica_gdr_reftransV1_0047632")</f>
        <v>p.persica_gdr_reftransV1_0047632</v>
      </c>
      <c r="B16035" s="2">
        <v>2233</v>
      </c>
      <c r="C16035" s="4" t="str">
        <f>HYPERLINK("http://www.uniprot.org/uniprot/M5XB69","M5XB69")</f>
        <v>M5XB69</v>
      </c>
      <c r="D16035" s="2" t="s">
        <v>11225</v>
      </c>
      <c r="E16035" s="3">
        <v>0</v>
      </c>
      <c r="F16035" s="2">
        <v>3239</v>
      </c>
      <c r="G16035" s="2">
        <v>100</v>
      </c>
      <c r="H16035" s="2">
        <v>620</v>
      </c>
      <c r="I16035" s="2">
        <v>87</v>
      </c>
      <c r="J16035" s="2">
        <v>1946</v>
      </c>
      <c r="K16035" s="2">
        <v>7</v>
      </c>
      <c r="L16035" s="2">
        <v>626</v>
      </c>
    </row>
    <row r="16036" spans="1:12" x14ac:dyDescent="0.25">
      <c r="A16036" s="4" t="str">
        <f>HYPERLINK("http://www.rosaceae.org/Prunus/Prunus_persica/p.persica_gdr_reftransV1_0047982","p.persica_gdr_reftransV1_0047982")</f>
        <v>p.persica_gdr_reftransV1_0047982</v>
      </c>
      <c r="B16036" s="2">
        <v>1556</v>
      </c>
      <c r="C16036" s="4" t="str">
        <f>HYPERLINK("http://www.uniprot.org/uniprot/M5XDS2","M5XDS2")</f>
        <v>M5XDS2</v>
      </c>
      <c r="D16036" s="2" t="s">
        <v>11359</v>
      </c>
      <c r="E16036" s="3">
        <v>0</v>
      </c>
      <c r="F16036" s="2">
        <v>1663</v>
      </c>
      <c r="G16036" s="2">
        <v>100</v>
      </c>
      <c r="H16036" s="2">
        <v>325</v>
      </c>
      <c r="I16036" s="2">
        <v>2</v>
      </c>
      <c r="J16036" s="2">
        <v>976</v>
      </c>
      <c r="K16036" s="2">
        <v>229</v>
      </c>
      <c r="L16036" s="2">
        <v>553</v>
      </c>
    </row>
    <row r="16037" spans="1:12" x14ac:dyDescent="0.25">
      <c r="A16037" s="4" t="str">
        <f>HYPERLINK("http://www.rosaceae.org/Prunus/Prunus_persica/p.persica_gdr_reftransV1_0048332","p.persica_gdr_reftransV1_0048332")</f>
        <v>p.persica_gdr_reftransV1_0048332</v>
      </c>
      <c r="B16037" s="2">
        <v>687</v>
      </c>
      <c r="C16037" s="4" t="str">
        <f>HYPERLINK("http://www.uniprot.org/uniprot/M5VH60","M5VH60")</f>
        <v>M5VH60</v>
      </c>
      <c r="D16037" s="2" t="s">
        <v>12141</v>
      </c>
      <c r="E16037" s="3">
        <v>2.0399999999999999E-119</v>
      </c>
      <c r="F16037" s="2">
        <v>942</v>
      </c>
      <c r="G16037" s="2">
        <v>100</v>
      </c>
      <c r="H16037" s="2">
        <v>211</v>
      </c>
      <c r="I16037" s="2">
        <v>55</v>
      </c>
      <c r="J16037" s="2">
        <v>687</v>
      </c>
      <c r="K16037" s="2">
        <v>1</v>
      </c>
      <c r="L16037" s="2">
        <v>211</v>
      </c>
    </row>
    <row r="16038" spans="1:12" x14ac:dyDescent="0.25">
      <c r="A16038" s="4" t="str">
        <f>HYPERLINK("http://www.rosaceae.org/Prunus/Prunus_persica/p.persica_gdr_reftransV1_0048682","p.persica_gdr_reftransV1_0048682")</f>
        <v>p.persica_gdr_reftransV1_0048682</v>
      </c>
      <c r="B16038" s="2">
        <v>791</v>
      </c>
      <c r="C16038" s="4" t="str">
        <f>HYPERLINK("http://www.uniprot.org/uniprot/M5XE21","M5XE21")</f>
        <v>M5XE21</v>
      </c>
      <c r="D16038" s="2" t="s">
        <v>12789</v>
      </c>
      <c r="E16038" s="3">
        <v>0</v>
      </c>
      <c r="F16038" s="2">
        <v>1405</v>
      </c>
      <c r="G16038" s="2">
        <v>100</v>
      </c>
      <c r="H16038" s="2">
        <v>263</v>
      </c>
      <c r="I16038" s="2">
        <v>2</v>
      </c>
      <c r="J16038" s="2">
        <v>790</v>
      </c>
      <c r="K16038" s="2">
        <v>158</v>
      </c>
      <c r="L16038" s="2">
        <v>420</v>
      </c>
    </row>
    <row r="16039" spans="1:12" x14ac:dyDescent="0.25">
      <c r="A16039" s="4" t="str">
        <f>HYPERLINK("http://www.rosaceae.org/Prunus/Prunus_persica/p.persica_gdr_reftransV1_0049032","p.persica_gdr_reftransV1_0049032")</f>
        <v>p.persica_gdr_reftransV1_0049032</v>
      </c>
      <c r="B16039" s="2">
        <v>2295</v>
      </c>
      <c r="C16039" s="4" t="str">
        <f>HYPERLINK("http://www.uniprot.org/uniprot/M5XB81","M5XB81")</f>
        <v>M5XB81</v>
      </c>
      <c r="D16039" s="2" t="s">
        <v>8542</v>
      </c>
      <c r="E16039" s="3">
        <v>0</v>
      </c>
      <c r="F16039" s="2">
        <v>2746</v>
      </c>
      <c r="G16039" s="2">
        <v>100</v>
      </c>
      <c r="H16039" s="2">
        <v>516</v>
      </c>
      <c r="I16039" s="2">
        <v>337</v>
      </c>
      <c r="J16039" s="2">
        <v>1884</v>
      </c>
      <c r="K16039" s="2">
        <v>1</v>
      </c>
      <c r="L16039" s="2">
        <v>516</v>
      </c>
    </row>
    <row r="16040" spans="1:12" x14ac:dyDescent="0.25">
      <c r="A16040" s="4" t="str">
        <f>HYPERLINK("http://www.rosaceae.org/Prunus/Prunus_persica/p.persica_gdr_reftransV1_0000671","p.persica_gdr_reftransV1_0000671")</f>
        <v>p.persica_gdr_reftransV1_0000671</v>
      </c>
      <c r="B16040" s="2">
        <v>398</v>
      </c>
      <c r="C16040" s="4" t="str">
        <f>HYPERLINK("http://www.uniprot.org/uniprot/M5XLN3","M5XLN3")</f>
        <v>M5XLN3</v>
      </c>
      <c r="D16040" s="2" t="s">
        <v>10903</v>
      </c>
      <c r="E16040" s="3">
        <v>3.3600000000000001E-86</v>
      </c>
      <c r="F16040" s="2">
        <v>692</v>
      </c>
      <c r="G16040" s="2">
        <v>100</v>
      </c>
      <c r="H16040" s="2">
        <v>132</v>
      </c>
      <c r="I16040" s="2">
        <v>1</v>
      </c>
      <c r="J16040" s="2">
        <v>396</v>
      </c>
      <c r="K16040" s="2">
        <v>177</v>
      </c>
      <c r="L16040" s="2">
        <v>308</v>
      </c>
    </row>
    <row r="16041" spans="1:12" x14ac:dyDescent="0.25">
      <c r="A16041" s="4" t="str">
        <f>HYPERLINK("http://www.rosaceae.org/Prunus/Prunus_persica/p.persica_gdr_reftransV1_0001021","p.persica_gdr_reftransV1_0001021")</f>
        <v>p.persica_gdr_reftransV1_0001021</v>
      </c>
      <c r="B16041" s="2">
        <v>768</v>
      </c>
      <c r="C16041" s="4" t="str">
        <f>HYPERLINK("http://www.uniprot.org/uniprot/M5X2X3","M5X2X3")</f>
        <v>M5X2X3</v>
      </c>
      <c r="D16041" s="2" t="s">
        <v>6484</v>
      </c>
      <c r="E16041" s="3">
        <v>4.2399999999999999E-154</v>
      </c>
      <c r="F16041" s="2">
        <v>1166</v>
      </c>
      <c r="G16041" s="2">
        <v>100</v>
      </c>
      <c r="H16041" s="2">
        <v>218</v>
      </c>
      <c r="I16041" s="2">
        <v>3</v>
      </c>
      <c r="J16041" s="2">
        <v>656</v>
      </c>
      <c r="K16041" s="2">
        <v>1</v>
      </c>
      <c r="L16041" s="2">
        <v>218</v>
      </c>
    </row>
    <row r="16042" spans="1:12" x14ac:dyDescent="0.25">
      <c r="A16042" s="4" t="str">
        <f>HYPERLINK("http://www.rosaceae.org/Prunus/Prunus_persica/p.persica_gdr_reftransV1_0001721","p.persica_gdr_reftransV1_0001721")</f>
        <v>p.persica_gdr_reftransV1_0001721</v>
      </c>
      <c r="B16042" s="2">
        <v>1096</v>
      </c>
      <c r="C16042" s="4" t="str">
        <f>HYPERLINK("http://www.uniprot.org/uniprot/M5XGB7","M5XGB7")</f>
        <v>M5XGB7</v>
      </c>
      <c r="D16042" s="2" t="s">
        <v>5275</v>
      </c>
      <c r="E16042" s="3">
        <v>6.6399999999999997E-111</v>
      </c>
      <c r="F16042" s="2">
        <v>860</v>
      </c>
      <c r="G16042" s="2">
        <v>91</v>
      </c>
      <c r="H16042" s="2">
        <v>187</v>
      </c>
      <c r="I16042" s="2">
        <v>199</v>
      </c>
      <c r="J16042" s="2">
        <v>756</v>
      </c>
      <c r="K16042" s="2">
        <v>1</v>
      </c>
      <c r="L16042" s="2">
        <v>185</v>
      </c>
    </row>
    <row r="16043" spans="1:12" x14ac:dyDescent="0.25">
      <c r="A16043" s="4" t="str">
        <f>HYPERLINK("http://www.rosaceae.org/Prunus/Prunus_persica/p.persica_gdr_reftransV1_0002071","p.persica_gdr_reftransV1_0002071")</f>
        <v>p.persica_gdr_reftransV1_0002071</v>
      </c>
      <c r="B16043" s="2">
        <v>383</v>
      </c>
      <c r="C16043" s="4" t="str">
        <f>HYPERLINK("http://www.uniprot.org/uniprot/A0A0D2Y8W9","A0A0D2Y8W9")</f>
        <v>A0A0D2Y8W9</v>
      </c>
      <c r="D16043" s="2" t="s">
        <v>12790</v>
      </c>
      <c r="E16043" s="3">
        <v>3.22E-83</v>
      </c>
      <c r="F16043" s="2">
        <v>642</v>
      </c>
      <c r="G16043" s="2">
        <v>100</v>
      </c>
      <c r="H16043" s="2">
        <v>120</v>
      </c>
      <c r="I16043" s="2">
        <v>23</v>
      </c>
      <c r="J16043" s="2">
        <v>382</v>
      </c>
      <c r="K16043" s="2">
        <v>28</v>
      </c>
      <c r="L16043" s="2">
        <v>147</v>
      </c>
    </row>
    <row r="16044" spans="1:12" x14ac:dyDescent="0.25">
      <c r="A16044" s="4" t="str">
        <f>HYPERLINK("http://www.rosaceae.org/Prunus/Prunus_persica/p.persica_gdr_reftransV1_0002421","p.persica_gdr_reftransV1_0002421")</f>
        <v>p.persica_gdr_reftransV1_0002421</v>
      </c>
      <c r="B16044" s="2">
        <v>1582</v>
      </c>
      <c r="C16044" s="4" t="str">
        <f>HYPERLINK("http://www.uniprot.org/uniprot/M5X8P9","M5X8P9")</f>
        <v>M5X8P9</v>
      </c>
      <c r="D16044" s="2" t="s">
        <v>8812</v>
      </c>
      <c r="E16044" s="3">
        <v>0</v>
      </c>
      <c r="F16044" s="2">
        <v>1447</v>
      </c>
      <c r="G16044" s="2">
        <v>100</v>
      </c>
      <c r="H16044" s="2">
        <v>289</v>
      </c>
      <c r="I16044" s="2">
        <v>229</v>
      </c>
      <c r="J16044" s="2">
        <v>1095</v>
      </c>
      <c r="K16044" s="2">
        <v>1</v>
      </c>
      <c r="L16044" s="2">
        <v>289</v>
      </c>
    </row>
    <row r="16045" spans="1:12" x14ac:dyDescent="0.25">
      <c r="A16045" s="4" t="str">
        <f>HYPERLINK("http://www.rosaceae.org/Prunus/Prunus_persica/p.persica_gdr_reftransV1_0003471","p.persica_gdr_reftransV1_0003471")</f>
        <v>p.persica_gdr_reftransV1_0003471</v>
      </c>
      <c r="B16045" s="2">
        <v>1963</v>
      </c>
      <c r="C16045" s="4" t="str">
        <f>HYPERLINK("http://www.uniprot.org/uniprot/M5X2S2","M5X2S2")</f>
        <v>M5X2S2</v>
      </c>
      <c r="D16045" s="2" t="s">
        <v>12791</v>
      </c>
      <c r="E16045" s="3">
        <v>6.8099999999999999E-82</v>
      </c>
      <c r="F16045" s="2">
        <v>687</v>
      </c>
      <c r="G16045" s="2">
        <v>100</v>
      </c>
      <c r="H16045" s="2">
        <v>134</v>
      </c>
      <c r="I16045" s="2">
        <v>821</v>
      </c>
      <c r="J16045" s="2">
        <v>1222</v>
      </c>
      <c r="K16045" s="2">
        <v>76</v>
      </c>
      <c r="L16045" s="2">
        <v>209</v>
      </c>
    </row>
    <row r="16046" spans="1:12" x14ac:dyDescent="0.25">
      <c r="A16046" s="4" t="str">
        <f>HYPERLINK("http://www.rosaceae.org/Prunus/Prunus_persica/p.persica_gdr_reftransV1_0003821","p.persica_gdr_reftransV1_0003821")</f>
        <v>p.persica_gdr_reftransV1_0003821</v>
      </c>
      <c r="B16046" s="2">
        <v>455</v>
      </c>
      <c r="C16046" s="4" t="str">
        <f>HYPERLINK("http://www.uniprot.org/uniprot/M5X4T0","M5X4T0")</f>
        <v>M5X4T0</v>
      </c>
      <c r="D16046" s="2" t="s">
        <v>10738</v>
      </c>
      <c r="E16046" s="3">
        <v>9.1200000000000005E-57</v>
      </c>
      <c r="F16046" s="2">
        <v>513</v>
      </c>
      <c r="G16046" s="2">
        <v>81</v>
      </c>
      <c r="H16046" s="2">
        <v>145</v>
      </c>
      <c r="I16046" s="2">
        <v>1</v>
      </c>
      <c r="J16046" s="2">
        <v>435</v>
      </c>
      <c r="K16046" s="2">
        <v>1</v>
      </c>
      <c r="L16046" s="2">
        <v>117</v>
      </c>
    </row>
    <row r="16047" spans="1:12" x14ac:dyDescent="0.25">
      <c r="A16047" s="4" t="str">
        <f>HYPERLINK("http://www.rosaceae.org/Prunus/Prunus_persica/p.persica_gdr_reftransV1_0004171","p.persica_gdr_reftransV1_0004171")</f>
        <v>p.persica_gdr_reftransV1_0004171</v>
      </c>
      <c r="B16047" s="2">
        <v>661</v>
      </c>
      <c r="C16047" s="4" t="str">
        <f>HYPERLINK("http://www.uniprot.org/uniprot/H1UZD7","H1UZD7")</f>
        <v>H1UZD7</v>
      </c>
      <c r="D16047" s="2" t="s">
        <v>12792</v>
      </c>
      <c r="E16047" s="3">
        <v>6.3199999999999998E-135</v>
      </c>
      <c r="F16047" s="2">
        <v>1034</v>
      </c>
      <c r="G16047" s="2">
        <v>87</v>
      </c>
      <c r="H16047" s="2">
        <v>220</v>
      </c>
      <c r="I16047" s="2">
        <v>2</v>
      </c>
      <c r="J16047" s="2">
        <v>661</v>
      </c>
      <c r="K16047" s="2">
        <v>331</v>
      </c>
      <c r="L16047" s="2">
        <v>550</v>
      </c>
    </row>
    <row r="16048" spans="1:12" x14ac:dyDescent="0.25">
      <c r="A16048" s="4" t="str">
        <f>HYPERLINK("http://www.rosaceae.org/Prunus/Prunus_persica/p.persica_gdr_reftransV1_0004871","p.persica_gdr_reftransV1_0004871")</f>
        <v>p.persica_gdr_reftransV1_0004871</v>
      </c>
      <c r="B16048" s="2">
        <v>2816</v>
      </c>
      <c r="C16048" s="4" t="str">
        <f>HYPERLINK("http://www.uniprot.org/uniprot/M5WNF0","M5WNF0")</f>
        <v>M5WNF0</v>
      </c>
      <c r="D16048" s="2" t="s">
        <v>10036</v>
      </c>
      <c r="E16048" s="3">
        <v>2.0799999999999998E-59</v>
      </c>
      <c r="F16048" s="2">
        <v>539</v>
      </c>
      <c r="G16048" s="2">
        <v>100</v>
      </c>
      <c r="H16048" s="2">
        <v>119</v>
      </c>
      <c r="I16048" s="2">
        <v>2346</v>
      </c>
      <c r="J16048" s="2">
        <v>2702</v>
      </c>
      <c r="K16048" s="2">
        <v>1</v>
      </c>
      <c r="L16048" s="2">
        <v>119</v>
      </c>
    </row>
    <row r="16049" spans="1:12" x14ac:dyDescent="0.25">
      <c r="A16049" s="4" t="str">
        <f>HYPERLINK("http://www.rosaceae.org/Prunus/Prunus_persica/p.persica_gdr_reftransV1_0005221","p.persica_gdr_reftransV1_0005221")</f>
        <v>p.persica_gdr_reftransV1_0005221</v>
      </c>
      <c r="B16049" s="2">
        <v>1608</v>
      </c>
      <c r="C16049" s="4" t="str">
        <f>HYPERLINK("http://www.uniprot.org/uniprot/M5XD19","M5XD19")</f>
        <v>M5XD19</v>
      </c>
      <c r="D16049" s="2" t="s">
        <v>230</v>
      </c>
      <c r="E16049" s="3">
        <v>0</v>
      </c>
      <c r="F16049" s="2">
        <v>2554</v>
      </c>
      <c r="G16049" s="2">
        <v>100</v>
      </c>
      <c r="H16049" s="2">
        <v>480</v>
      </c>
      <c r="I16049" s="2">
        <v>83</v>
      </c>
      <c r="J16049" s="2">
        <v>1522</v>
      </c>
      <c r="K16049" s="2">
        <v>1</v>
      </c>
      <c r="L16049" s="2">
        <v>480</v>
      </c>
    </row>
    <row r="16050" spans="1:12" x14ac:dyDescent="0.25">
      <c r="A16050" s="4" t="str">
        <f>HYPERLINK("http://www.rosaceae.org/Prunus/Prunus_persica/p.persica_gdr_reftransV1_0006271","p.persica_gdr_reftransV1_0006271")</f>
        <v>p.persica_gdr_reftransV1_0006271</v>
      </c>
      <c r="B16050" s="2">
        <v>923</v>
      </c>
      <c r="C16050" s="4" t="str">
        <f>HYPERLINK("http://www.uniprot.org/uniprot/A0A067GRF5","A0A067GRF5")</f>
        <v>A0A067GRF5</v>
      </c>
      <c r="D16050" s="2" t="s">
        <v>12793</v>
      </c>
      <c r="E16050" s="3">
        <v>8.3900000000000005E-178</v>
      </c>
      <c r="F16050" s="2">
        <v>1300</v>
      </c>
      <c r="G16050" s="2">
        <v>95</v>
      </c>
      <c r="H16050" s="2">
        <v>252</v>
      </c>
      <c r="I16050" s="2">
        <v>168</v>
      </c>
      <c r="J16050" s="2">
        <v>923</v>
      </c>
      <c r="K16050" s="2">
        <v>1</v>
      </c>
      <c r="L16050" s="2">
        <v>252</v>
      </c>
    </row>
    <row r="16051" spans="1:12" x14ac:dyDescent="0.25">
      <c r="A16051" s="4" t="str">
        <f>HYPERLINK("http://www.rosaceae.org/Prunus/Prunus_persica/p.persica_gdr_reftransV1_0006621","p.persica_gdr_reftransV1_0006621")</f>
        <v>p.persica_gdr_reftransV1_0006621</v>
      </c>
      <c r="B16051" s="2">
        <v>2106</v>
      </c>
      <c r="C16051" s="4" t="str">
        <f>HYPERLINK("http://www.uniprot.org/uniprot/M5XJQ5","M5XJQ5")</f>
        <v>M5XJQ5</v>
      </c>
      <c r="D16051" s="2" t="s">
        <v>12794</v>
      </c>
      <c r="E16051" s="3">
        <v>0</v>
      </c>
      <c r="F16051" s="2">
        <v>2774</v>
      </c>
      <c r="G16051" s="2">
        <v>100</v>
      </c>
      <c r="H16051" s="2">
        <v>595</v>
      </c>
      <c r="I16051" s="2">
        <v>242</v>
      </c>
      <c r="J16051" s="2">
        <v>2026</v>
      </c>
      <c r="K16051" s="2">
        <v>1</v>
      </c>
      <c r="L16051" s="2">
        <v>595</v>
      </c>
    </row>
    <row r="16052" spans="1:12" x14ac:dyDescent="0.25">
      <c r="A16052" s="4" t="str">
        <f>HYPERLINK("http://www.rosaceae.org/Prunus/Prunus_persica/p.persica_gdr_reftransV1_0007321","p.persica_gdr_reftransV1_0007321")</f>
        <v>p.persica_gdr_reftransV1_0007321</v>
      </c>
      <c r="B16052" s="2">
        <v>1856</v>
      </c>
      <c r="C16052" s="4" t="str">
        <f>HYPERLINK("http://www.uniprot.org/uniprot/M5WUL4","M5WUL4")</f>
        <v>M5WUL4</v>
      </c>
      <c r="D16052" s="2" t="s">
        <v>12795</v>
      </c>
      <c r="E16052" s="3">
        <v>5.8900000000000002E-113</v>
      </c>
      <c r="F16052" s="2">
        <v>903</v>
      </c>
      <c r="G16052" s="2">
        <v>100</v>
      </c>
      <c r="H16052" s="2">
        <v>205</v>
      </c>
      <c r="I16052" s="2">
        <v>966</v>
      </c>
      <c r="J16052" s="2">
        <v>1580</v>
      </c>
      <c r="K16052" s="2">
        <v>102</v>
      </c>
      <c r="L16052" s="2">
        <v>306</v>
      </c>
    </row>
    <row r="16053" spans="1:12" x14ac:dyDescent="0.25">
      <c r="A16053" s="4" t="str">
        <f>HYPERLINK("http://www.rosaceae.org/Prunus/Prunus_persica/p.persica_gdr_reftransV1_0008021","p.persica_gdr_reftransV1_0008021")</f>
        <v>p.persica_gdr_reftransV1_0008021</v>
      </c>
      <c r="B16053" s="2">
        <v>1464</v>
      </c>
      <c r="C16053" s="4" t="str">
        <f>HYPERLINK("http://www.uniprot.org/uniprot/I1SSK1","I1SSK1")</f>
        <v>I1SSK1</v>
      </c>
      <c r="D16053" s="2" t="s">
        <v>12796</v>
      </c>
      <c r="E16053" s="3">
        <v>3.5999999999999999E-52</v>
      </c>
      <c r="F16053" s="2">
        <v>467</v>
      </c>
      <c r="G16053" s="2">
        <v>72</v>
      </c>
      <c r="H16053" s="2">
        <v>155</v>
      </c>
      <c r="I16053" s="2">
        <v>113</v>
      </c>
      <c r="J16053" s="2">
        <v>577</v>
      </c>
      <c r="K16053" s="2">
        <v>1</v>
      </c>
      <c r="L16053" s="2">
        <v>147</v>
      </c>
    </row>
    <row r="16054" spans="1:12" x14ac:dyDescent="0.25">
      <c r="A16054" s="4" t="str">
        <f>HYPERLINK("http://www.rosaceae.org/Prunus/Prunus_persica/p.persica_gdr_reftransV1_0008371","p.persica_gdr_reftransV1_0008371")</f>
        <v>p.persica_gdr_reftransV1_0008371</v>
      </c>
      <c r="B16054" s="2">
        <v>2439</v>
      </c>
      <c r="C16054" s="4" t="str">
        <f>HYPERLINK("http://www.uniprot.org/uniprot/M5WW43","M5WW43")</f>
        <v>M5WW43</v>
      </c>
      <c r="D16054" s="2" t="s">
        <v>12663</v>
      </c>
      <c r="E16054" s="3">
        <v>0</v>
      </c>
      <c r="F16054" s="2">
        <v>2935</v>
      </c>
      <c r="G16054" s="2">
        <v>100</v>
      </c>
      <c r="H16054" s="2">
        <v>550</v>
      </c>
      <c r="I16054" s="2">
        <v>607</v>
      </c>
      <c r="J16054" s="2">
        <v>2256</v>
      </c>
      <c r="K16054" s="2">
        <v>1</v>
      </c>
      <c r="L16054" s="2">
        <v>550</v>
      </c>
    </row>
    <row r="16055" spans="1:12" x14ac:dyDescent="0.25">
      <c r="A16055" s="4" t="str">
        <f>HYPERLINK("http://www.rosaceae.org/Prunus/Prunus_persica/p.persica_gdr_reftransV1_0009071","p.persica_gdr_reftransV1_0009071")</f>
        <v>p.persica_gdr_reftransV1_0009071</v>
      </c>
      <c r="B16055" s="2">
        <v>2154</v>
      </c>
      <c r="C16055" s="4" t="str">
        <f>HYPERLINK("http://www.uniprot.org/uniprot/M5W074","M5W074")</f>
        <v>M5W074</v>
      </c>
      <c r="D16055" s="2" t="s">
        <v>12797</v>
      </c>
      <c r="E16055" s="3">
        <v>0</v>
      </c>
      <c r="F16055" s="2">
        <v>3320</v>
      </c>
      <c r="G16055" s="2">
        <v>100</v>
      </c>
      <c r="H16055" s="2">
        <v>619</v>
      </c>
      <c r="I16055" s="2">
        <v>1</v>
      </c>
      <c r="J16055" s="2">
        <v>1857</v>
      </c>
      <c r="K16055" s="2">
        <v>87</v>
      </c>
      <c r="L16055" s="2">
        <v>705</v>
      </c>
    </row>
    <row r="16056" spans="1:12" x14ac:dyDescent="0.25">
      <c r="A16056" s="4" t="str">
        <f>HYPERLINK("http://www.rosaceae.org/Prunus/Prunus_persica/p.persica_gdr_reftransV1_0009421","p.persica_gdr_reftransV1_0009421")</f>
        <v>p.persica_gdr_reftransV1_0009421</v>
      </c>
      <c r="B16056" s="2">
        <v>1505</v>
      </c>
      <c r="C16056" s="4" t="str">
        <f>HYPERLINK("http://www.uniprot.org/uniprot/W9S0P7","W9S0P7")</f>
        <v>W9S0P7</v>
      </c>
      <c r="D16056" s="2" t="s">
        <v>12798</v>
      </c>
      <c r="E16056" s="3">
        <v>9.7700000000000002E-17</v>
      </c>
      <c r="F16056" s="2">
        <v>232</v>
      </c>
      <c r="G16056" s="2">
        <v>40</v>
      </c>
      <c r="H16056" s="2">
        <v>200</v>
      </c>
      <c r="I16056" s="2">
        <v>427</v>
      </c>
      <c r="J16056" s="2">
        <v>1011</v>
      </c>
      <c r="K16056" s="2">
        <v>1</v>
      </c>
      <c r="L16056" s="2">
        <v>185</v>
      </c>
    </row>
    <row r="16057" spans="1:12" x14ac:dyDescent="0.25">
      <c r="A16057" s="4" t="str">
        <f>HYPERLINK("http://www.rosaceae.org/Prunus/Prunus_persica/p.persica_gdr_reftransV1_0009771","p.persica_gdr_reftransV1_0009771")</f>
        <v>p.persica_gdr_reftransV1_0009771</v>
      </c>
      <c r="B16057" s="2">
        <v>4455</v>
      </c>
      <c r="C16057" s="4" t="str">
        <f>HYPERLINK("http://www.uniprot.org/uniprot/M5XA69","M5XA69")</f>
        <v>M5XA69</v>
      </c>
      <c r="D16057" s="2" t="s">
        <v>7838</v>
      </c>
      <c r="E16057" s="3">
        <v>1.06E-40</v>
      </c>
      <c r="F16057" s="2">
        <v>405</v>
      </c>
      <c r="G16057" s="2">
        <v>99</v>
      </c>
      <c r="H16057" s="2">
        <v>76</v>
      </c>
      <c r="I16057" s="2">
        <v>758</v>
      </c>
      <c r="J16057" s="2">
        <v>985</v>
      </c>
      <c r="K16057" s="2">
        <v>1</v>
      </c>
      <c r="L16057" s="2">
        <v>76</v>
      </c>
    </row>
    <row r="16058" spans="1:12" x14ac:dyDescent="0.25">
      <c r="A16058" s="4" t="str">
        <f>HYPERLINK("http://www.rosaceae.org/Prunus/Prunus_persica/p.persica_gdr_reftransV1_0010121","p.persica_gdr_reftransV1_0010121")</f>
        <v>p.persica_gdr_reftransV1_0010121</v>
      </c>
      <c r="B16058" s="2">
        <v>2752</v>
      </c>
      <c r="C16058" s="4" t="str">
        <f>HYPERLINK("http://www.uniprot.org/uniprot/M5WYQ2","M5WYQ2")</f>
        <v>M5WYQ2</v>
      </c>
      <c r="D16058" s="2" t="s">
        <v>12799</v>
      </c>
      <c r="E16058" s="3">
        <v>0</v>
      </c>
      <c r="F16058" s="2">
        <v>4009</v>
      </c>
      <c r="G16058" s="2">
        <v>100</v>
      </c>
      <c r="H16058" s="2">
        <v>804</v>
      </c>
      <c r="I16058" s="2">
        <v>106</v>
      </c>
      <c r="J16058" s="2">
        <v>2517</v>
      </c>
      <c r="K16058" s="2">
        <v>1</v>
      </c>
      <c r="L16058" s="2">
        <v>804</v>
      </c>
    </row>
    <row r="16059" spans="1:12" x14ac:dyDescent="0.25">
      <c r="A16059" s="4" t="str">
        <f>HYPERLINK("http://www.rosaceae.org/Prunus/Prunus_persica/p.persica_gdr_reftransV1_0010471","p.persica_gdr_reftransV1_0010471")</f>
        <v>p.persica_gdr_reftransV1_0010471</v>
      </c>
      <c r="B16059" s="2">
        <v>1497</v>
      </c>
      <c r="C16059" s="4" t="str">
        <f>HYPERLINK("http://www.uniprot.org/uniprot/M5WA29","M5WA29")</f>
        <v>M5WA29</v>
      </c>
      <c r="D16059" s="2" t="s">
        <v>12800</v>
      </c>
      <c r="E16059" s="3">
        <v>0</v>
      </c>
      <c r="F16059" s="2">
        <v>1354</v>
      </c>
      <c r="G16059" s="2">
        <v>100</v>
      </c>
      <c r="H16059" s="2">
        <v>281</v>
      </c>
      <c r="I16059" s="2">
        <v>61</v>
      </c>
      <c r="J16059" s="2">
        <v>903</v>
      </c>
      <c r="K16059" s="2">
        <v>12</v>
      </c>
      <c r="L16059" s="2">
        <v>292</v>
      </c>
    </row>
    <row r="16060" spans="1:12" x14ac:dyDescent="0.25">
      <c r="A16060" s="4" t="str">
        <f>HYPERLINK("http://www.rosaceae.org/Prunus/Prunus_persica/p.persica_gdr_reftransV1_0010821","p.persica_gdr_reftransV1_0010821")</f>
        <v>p.persica_gdr_reftransV1_0010821</v>
      </c>
      <c r="B16060" s="2">
        <v>693</v>
      </c>
      <c r="C16060" s="4" t="str">
        <f>HYPERLINK("http://www.uniprot.org/uniprot/M5WT72","M5WT72")</f>
        <v>M5WT72</v>
      </c>
      <c r="D16060" s="2" t="s">
        <v>12801</v>
      </c>
      <c r="E16060" s="3">
        <v>1.3E-118</v>
      </c>
      <c r="F16060" s="2">
        <v>928</v>
      </c>
      <c r="G16060" s="2">
        <v>98</v>
      </c>
      <c r="H16060" s="2">
        <v>181</v>
      </c>
      <c r="I16060" s="2">
        <v>150</v>
      </c>
      <c r="J16060" s="2">
        <v>692</v>
      </c>
      <c r="K16060" s="2">
        <v>410</v>
      </c>
      <c r="L16060" s="2">
        <v>590</v>
      </c>
    </row>
    <row r="16061" spans="1:12" x14ac:dyDescent="0.25">
      <c r="A16061" s="4" t="str">
        <f>HYPERLINK("http://www.rosaceae.org/Prunus/Prunus_persica/p.persica_gdr_reftransV1_0011521","p.persica_gdr_reftransV1_0011521")</f>
        <v>p.persica_gdr_reftransV1_0011521</v>
      </c>
      <c r="B16061" s="2">
        <v>3082</v>
      </c>
      <c r="C16061" s="4" t="str">
        <f>HYPERLINK("http://www.uniprot.org/uniprot/M5VKY6","M5VKY6")</f>
        <v>M5VKY6</v>
      </c>
      <c r="D16061" s="2" t="s">
        <v>12802</v>
      </c>
      <c r="E16061" s="3">
        <v>0</v>
      </c>
      <c r="F16061" s="2">
        <v>3118</v>
      </c>
      <c r="G16061" s="2">
        <v>100</v>
      </c>
      <c r="H16061" s="2">
        <v>612</v>
      </c>
      <c r="I16061" s="2">
        <v>1149</v>
      </c>
      <c r="J16061" s="2">
        <v>2984</v>
      </c>
      <c r="K16061" s="2">
        <v>1</v>
      </c>
      <c r="L16061" s="2">
        <v>612</v>
      </c>
    </row>
    <row r="16062" spans="1:12" x14ac:dyDescent="0.25">
      <c r="A16062" s="4" t="str">
        <f>HYPERLINK("http://www.rosaceae.org/Prunus/Prunus_persica/p.persica_gdr_reftransV1_0012221","p.persica_gdr_reftransV1_0012221")</f>
        <v>p.persica_gdr_reftransV1_0012221</v>
      </c>
      <c r="B16062" s="2">
        <v>2607</v>
      </c>
      <c r="C16062" s="4" t="str">
        <f>HYPERLINK("http://www.uniprot.org/uniprot/M5WAE4","M5WAE4")</f>
        <v>M5WAE4</v>
      </c>
      <c r="D16062" s="2" t="s">
        <v>12803</v>
      </c>
      <c r="E16062" s="3">
        <v>0</v>
      </c>
      <c r="F16062" s="2">
        <v>2792</v>
      </c>
      <c r="G16062" s="2">
        <v>97</v>
      </c>
      <c r="H16062" s="2">
        <v>557</v>
      </c>
      <c r="I16062" s="2">
        <v>598</v>
      </c>
      <c r="J16062" s="2">
        <v>2268</v>
      </c>
      <c r="K16062" s="2">
        <v>1</v>
      </c>
      <c r="L16062" s="2">
        <v>557</v>
      </c>
    </row>
    <row r="16063" spans="1:12" x14ac:dyDescent="0.25">
      <c r="A16063" s="4" t="str">
        <f>HYPERLINK("http://www.rosaceae.org/Prunus/Prunus_persica/p.persica_gdr_reftransV1_0012571","p.persica_gdr_reftransV1_0012571")</f>
        <v>p.persica_gdr_reftransV1_0012571</v>
      </c>
      <c r="B16063" s="2">
        <v>1737</v>
      </c>
      <c r="C16063" s="4" t="str">
        <f>HYPERLINK("http://www.uniprot.org/uniprot/W9RLL0","W9RLL0")</f>
        <v>W9RLL0</v>
      </c>
      <c r="D16063" s="2" t="s">
        <v>12804</v>
      </c>
      <c r="E16063" s="3">
        <v>1.28E-173</v>
      </c>
      <c r="F16063" s="2">
        <v>1317</v>
      </c>
      <c r="G16063" s="2">
        <v>75</v>
      </c>
      <c r="H16063" s="2">
        <v>364</v>
      </c>
      <c r="I16063" s="2">
        <v>51</v>
      </c>
      <c r="J16063" s="2">
        <v>1142</v>
      </c>
      <c r="K16063" s="2">
        <v>70</v>
      </c>
      <c r="L16063" s="2">
        <v>431</v>
      </c>
    </row>
    <row r="16064" spans="1:12" x14ac:dyDescent="0.25">
      <c r="A16064" s="4" t="str">
        <f>HYPERLINK("http://www.rosaceae.org/Prunus/Prunus_persica/p.persica_gdr_reftransV1_0013621","p.persica_gdr_reftransV1_0013621")</f>
        <v>p.persica_gdr_reftransV1_0013621</v>
      </c>
      <c r="B16064" s="2">
        <v>449</v>
      </c>
      <c r="C16064" s="4" t="str">
        <f>HYPERLINK("http://www.uniprot.org/uniprot/M5WFC9","M5WFC9")</f>
        <v>M5WFC9</v>
      </c>
      <c r="D16064" s="2" t="s">
        <v>12805</v>
      </c>
      <c r="E16064" s="3">
        <v>1.6700000000000001E-80</v>
      </c>
      <c r="F16064" s="2">
        <v>674</v>
      </c>
      <c r="G16064" s="2">
        <v>100</v>
      </c>
      <c r="H16064" s="2">
        <v>149</v>
      </c>
      <c r="I16064" s="2">
        <v>2</v>
      </c>
      <c r="J16064" s="2">
        <v>448</v>
      </c>
      <c r="K16064" s="2">
        <v>3</v>
      </c>
      <c r="L16064" s="2">
        <v>151</v>
      </c>
    </row>
    <row r="16065" spans="1:12" x14ac:dyDescent="0.25">
      <c r="A16065" s="4" t="str">
        <f>HYPERLINK("http://www.rosaceae.org/Prunus/Prunus_persica/p.persica_gdr_reftransV1_0014671","p.persica_gdr_reftransV1_0014671")</f>
        <v>p.persica_gdr_reftransV1_0014671</v>
      </c>
      <c r="B16065" s="2">
        <v>870</v>
      </c>
      <c r="C16065" s="4" t="str">
        <f>HYPERLINK("http://www.uniprot.org/uniprot/M5XUK2","M5XUK2")</f>
        <v>M5XUK2</v>
      </c>
      <c r="D16065" s="2" t="s">
        <v>6585</v>
      </c>
      <c r="E16065" s="3">
        <v>3.3100000000000003E-114</v>
      </c>
      <c r="F16065" s="2">
        <v>894</v>
      </c>
      <c r="G16065" s="2">
        <v>70</v>
      </c>
      <c r="H16065" s="2">
        <v>247</v>
      </c>
      <c r="I16065" s="2">
        <v>99</v>
      </c>
      <c r="J16065" s="2">
        <v>827</v>
      </c>
      <c r="K16065" s="2">
        <v>1</v>
      </c>
      <c r="L16065" s="2">
        <v>247</v>
      </c>
    </row>
    <row r="16066" spans="1:12" x14ac:dyDescent="0.25">
      <c r="A16066" s="4" t="str">
        <f>HYPERLINK("http://www.rosaceae.org/Prunus/Prunus_persica/p.persica_gdr_reftransV1_0016421","p.persica_gdr_reftransV1_0016421")</f>
        <v>p.persica_gdr_reftransV1_0016421</v>
      </c>
      <c r="B16066" s="2">
        <v>737</v>
      </c>
      <c r="C16066" s="4" t="str">
        <f>HYPERLINK("http://www.uniprot.org/uniprot/M5XAF1","M5XAF1")</f>
        <v>M5XAF1</v>
      </c>
      <c r="D16066" s="2" t="s">
        <v>12806</v>
      </c>
      <c r="E16066" s="3">
        <v>4.2799999999999998E-68</v>
      </c>
      <c r="F16066" s="2">
        <v>584</v>
      </c>
      <c r="G16066" s="2">
        <v>100</v>
      </c>
      <c r="H16066" s="2">
        <v>127</v>
      </c>
      <c r="I16066" s="2">
        <v>355</v>
      </c>
      <c r="J16066" s="2">
        <v>735</v>
      </c>
      <c r="K16066" s="2">
        <v>378</v>
      </c>
      <c r="L16066" s="2">
        <v>504</v>
      </c>
    </row>
    <row r="16067" spans="1:12" x14ac:dyDescent="0.25">
      <c r="A16067" s="4" t="str">
        <f>HYPERLINK("http://www.rosaceae.org/Prunus/Prunus_persica/p.persica_gdr_reftransV1_0016771","p.persica_gdr_reftransV1_0016771")</f>
        <v>p.persica_gdr_reftransV1_0016771</v>
      </c>
      <c r="B16067" s="2">
        <v>839</v>
      </c>
      <c r="C16067" s="4" t="str">
        <f>HYPERLINK("http://www.uniprot.org/uniprot/M5XVB3","M5XVB3")</f>
        <v>M5XVB3</v>
      </c>
      <c r="D16067" s="2" t="s">
        <v>1503</v>
      </c>
      <c r="E16067" s="3">
        <v>1.7800000000000001E-50</v>
      </c>
      <c r="F16067" s="2">
        <v>466</v>
      </c>
      <c r="G16067" s="2">
        <v>100</v>
      </c>
      <c r="H16067" s="2">
        <v>88</v>
      </c>
      <c r="I16067" s="2">
        <v>1</v>
      </c>
      <c r="J16067" s="2">
        <v>264</v>
      </c>
      <c r="K16067" s="2">
        <v>409</v>
      </c>
      <c r="L16067" s="2">
        <v>496</v>
      </c>
    </row>
    <row r="16068" spans="1:12" x14ac:dyDescent="0.25">
      <c r="A16068" s="4" t="str">
        <f>HYPERLINK("http://www.rosaceae.org/Prunus/Prunus_persica/p.persica_gdr_reftransV1_0017121","p.persica_gdr_reftransV1_0017121")</f>
        <v>p.persica_gdr_reftransV1_0017121</v>
      </c>
      <c r="B16068" s="2">
        <v>1917</v>
      </c>
      <c r="C16068" s="4" t="str">
        <f>HYPERLINK("http://www.uniprot.org/uniprot/M5WQ58","M5WQ58")</f>
        <v>M5WQ58</v>
      </c>
      <c r="D16068" s="2" t="s">
        <v>12807</v>
      </c>
      <c r="E16068" s="3">
        <v>0</v>
      </c>
      <c r="F16068" s="2">
        <v>1867</v>
      </c>
      <c r="G16068" s="2">
        <v>98</v>
      </c>
      <c r="H16068" s="2">
        <v>392</v>
      </c>
      <c r="I16068" s="2">
        <v>218</v>
      </c>
      <c r="J16068" s="2">
        <v>1393</v>
      </c>
      <c r="K16068" s="2">
        <v>1</v>
      </c>
      <c r="L16068" s="2">
        <v>383</v>
      </c>
    </row>
    <row r="16069" spans="1:12" x14ac:dyDescent="0.25">
      <c r="A16069" s="4" t="str">
        <f>HYPERLINK("http://www.rosaceae.org/Prunus/Prunus_persica/p.persica_gdr_reftransV1_0017471","p.persica_gdr_reftransV1_0017471")</f>
        <v>p.persica_gdr_reftransV1_0017471</v>
      </c>
      <c r="B16069" s="2">
        <v>2212</v>
      </c>
      <c r="C16069" s="4" t="str">
        <f>HYPERLINK("http://www.uniprot.org/uniprot/V7AGA5","V7AGA5")</f>
        <v>V7AGA5</v>
      </c>
      <c r="D16069" s="2" t="s">
        <v>12808</v>
      </c>
      <c r="E16069" s="3">
        <v>0</v>
      </c>
      <c r="F16069" s="2">
        <v>1724</v>
      </c>
      <c r="G16069" s="2">
        <v>50</v>
      </c>
      <c r="H16069" s="2">
        <v>763</v>
      </c>
      <c r="I16069" s="2">
        <v>32</v>
      </c>
      <c r="J16069" s="2">
        <v>2212</v>
      </c>
      <c r="K16069" s="2">
        <v>57</v>
      </c>
      <c r="L16069" s="2">
        <v>779</v>
      </c>
    </row>
    <row r="16070" spans="1:12" x14ac:dyDescent="0.25">
      <c r="A16070" s="4" t="str">
        <f>HYPERLINK("http://www.rosaceae.org/Prunus/Prunus_persica/p.persica_gdr_reftransV1_0017821","p.persica_gdr_reftransV1_0017821")</f>
        <v>p.persica_gdr_reftransV1_0017821</v>
      </c>
      <c r="B16070" s="2">
        <v>1094</v>
      </c>
      <c r="C16070" s="4" t="str">
        <f>HYPERLINK("http://www.uniprot.org/uniprot/M5XJX7","M5XJX7")</f>
        <v>M5XJX7</v>
      </c>
      <c r="D16070" s="2" t="s">
        <v>361</v>
      </c>
      <c r="E16070" s="3">
        <v>3.9400000000000001E-98</v>
      </c>
      <c r="F16070" s="2">
        <v>788</v>
      </c>
      <c r="G16070" s="2">
        <v>100</v>
      </c>
      <c r="H16070" s="2">
        <v>169</v>
      </c>
      <c r="I16070" s="2">
        <v>583</v>
      </c>
      <c r="J16070" s="2">
        <v>1089</v>
      </c>
      <c r="K16070" s="2">
        <v>203</v>
      </c>
      <c r="L16070" s="2">
        <v>371</v>
      </c>
    </row>
    <row r="16071" spans="1:12" x14ac:dyDescent="0.25">
      <c r="A16071" s="4" t="str">
        <f>HYPERLINK("http://www.rosaceae.org/Prunus/Prunus_persica/p.persica_gdr_reftransV1_0018871","p.persica_gdr_reftransV1_0018871")</f>
        <v>p.persica_gdr_reftransV1_0018871</v>
      </c>
      <c r="B16071" s="2">
        <v>3237</v>
      </c>
      <c r="C16071" s="4" t="str">
        <f>HYPERLINK("http://www.uniprot.org/uniprot/M5VJF0","M5VJF0")</f>
        <v>M5VJF0</v>
      </c>
      <c r="D16071" s="2" t="s">
        <v>12809</v>
      </c>
      <c r="E16071" s="3">
        <v>0</v>
      </c>
      <c r="F16071" s="2">
        <v>3213</v>
      </c>
      <c r="G16071" s="2">
        <v>98</v>
      </c>
      <c r="H16071" s="2">
        <v>679</v>
      </c>
      <c r="I16071" s="2">
        <v>870</v>
      </c>
      <c r="J16071" s="2">
        <v>2906</v>
      </c>
      <c r="K16071" s="2">
        <v>1</v>
      </c>
      <c r="L16071" s="2">
        <v>666</v>
      </c>
    </row>
    <row r="16072" spans="1:12" x14ac:dyDescent="0.25">
      <c r="A16072" s="4" t="str">
        <f>HYPERLINK("http://www.rosaceae.org/Prunus/Prunus_persica/p.persica_gdr_reftransV1_0019221","p.persica_gdr_reftransV1_0019221")</f>
        <v>p.persica_gdr_reftransV1_0019221</v>
      </c>
      <c r="B16072" s="2">
        <v>1794</v>
      </c>
      <c r="C16072" s="4" t="str">
        <f>HYPERLINK("http://www.uniprot.org/uniprot/M5Y4C6","M5Y4C6")</f>
        <v>M5Y4C6</v>
      </c>
      <c r="D16072" s="2" t="s">
        <v>8512</v>
      </c>
      <c r="E16072" s="3">
        <v>0</v>
      </c>
      <c r="F16072" s="2">
        <v>2752</v>
      </c>
      <c r="G16072" s="2">
        <v>100</v>
      </c>
      <c r="H16072" s="2">
        <v>550</v>
      </c>
      <c r="I16072" s="2">
        <v>3</v>
      </c>
      <c r="J16072" s="2">
        <v>1652</v>
      </c>
      <c r="K16072" s="2">
        <v>948</v>
      </c>
      <c r="L16072" s="2">
        <v>1497</v>
      </c>
    </row>
    <row r="16073" spans="1:12" x14ac:dyDescent="0.25">
      <c r="A16073" s="4" t="str">
        <f>HYPERLINK("http://www.rosaceae.org/Prunus/Prunus_persica/p.persica_gdr_reftransV1_0019571","p.persica_gdr_reftransV1_0019571")</f>
        <v>p.persica_gdr_reftransV1_0019571</v>
      </c>
      <c r="B16073" s="2">
        <v>1221</v>
      </c>
      <c r="C16073" s="4" t="str">
        <f>HYPERLINK("http://www.uniprot.org/uniprot/M5VMW2","M5VMW2")</f>
        <v>M5VMW2</v>
      </c>
      <c r="D16073" s="2" t="s">
        <v>11412</v>
      </c>
      <c r="E16073" s="3">
        <v>0</v>
      </c>
      <c r="F16073" s="2">
        <v>1523</v>
      </c>
      <c r="G16073" s="2">
        <v>100</v>
      </c>
      <c r="H16073" s="2">
        <v>318</v>
      </c>
      <c r="I16073" s="2">
        <v>3</v>
      </c>
      <c r="J16073" s="2">
        <v>956</v>
      </c>
      <c r="K16073" s="2">
        <v>146</v>
      </c>
      <c r="L16073" s="2">
        <v>463</v>
      </c>
    </row>
    <row r="16074" spans="1:12" x14ac:dyDescent="0.25">
      <c r="A16074" s="4" t="str">
        <f>HYPERLINK("http://www.rosaceae.org/Prunus/Prunus_persica/p.persica_gdr_reftransV1_0019921","p.persica_gdr_reftransV1_0019921")</f>
        <v>p.persica_gdr_reftransV1_0019921</v>
      </c>
      <c r="B16074" s="2">
        <v>723</v>
      </c>
      <c r="C16074" s="4" t="str">
        <f>HYPERLINK("http://www.uniprot.org/uniprot/M5WLE3","M5WLE3")</f>
        <v>M5WLE3</v>
      </c>
      <c r="D16074" s="2" t="s">
        <v>12810</v>
      </c>
      <c r="E16074" s="3">
        <v>3.1200000000000003E-60</v>
      </c>
      <c r="F16074" s="2">
        <v>499</v>
      </c>
      <c r="G16074" s="2">
        <v>91</v>
      </c>
      <c r="H16074" s="2">
        <v>104</v>
      </c>
      <c r="I16074" s="2">
        <v>246</v>
      </c>
      <c r="J16074" s="2">
        <v>557</v>
      </c>
      <c r="K16074" s="2">
        <v>8</v>
      </c>
      <c r="L16074" s="2">
        <v>111</v>
      </c>
    </row>
    <row r="16075" spans="1:12" x14ac:dyDescent="0.25">
      <c r="A16075" s="4" t="str">
        <f>HYPERLINK("http://www.rosaceae.org/Prunus/Prunus_persica/p.persica_gdr_reftransV1_0020271","p.persica_gdr_reftransV1_0020271")</f>
        <v>p.persica_gdr_reftransV1_0020271</v>
      </c>
      <c r="B16075" s="2">
        <v>1637</v>
      </c>
      <c r="C16075" s="4" t="str">
        <f>HYPERLINK("http://www.uniprot.org/uniprot/A0A0B0PUH2","A0A0B0PUH2")</f>
        <v>A0A0B0PUH2</v>
      </c>
      <c r="D16075" s="2" t="s">
        <v>12811</v>
      </c>
      <c r="E16075" s="3">
        <v>3.31E-159</v>
      </c>
      <c r="F16075" s="2">
        <v>930</v>
      </c>
      <c r="G16075" s="2">
        <v>73</v>
      </c>
      <c r="H16075" s="2">
        <v>237</v>
      </c>
      <c r="I16075" s="2">
        <v>17</v>
      </c>
      <c r="J16075" s="2">
        <v>727</v>
      </c>
      <c r="K16075" s="2">
        <v>1</v>
      </c>
      <c r="L16075" s="2">
        <v>233</v>
      </c>
    </row>
    <row r="16076" spans="1:12" x14ac:dyDescent="0.25">
      <c r="A16076" s="4" t="str">
        <f>HYPERLINK("http://www.rosaceae.org/Prunus/Prunus_persica/p.persica_gdr_reftransV1_0020971","p.persica_gdr_reftransV1_0020971")</f>
        <v>p.persica_gdr_reftransV1_0020971</v>
      </c>
      <c r="B16076" s="2">
        <v>2393</v>
      </c>
      <c r="C16076" s="4" t="str">
        <f>HYPERLINK("http://www.uniprot.org/uniprot/M5W4T9","M5W4T9")</f>
        <v>M5W4T9</v>
      </c>
      <c r="D16076" s="2" t="s">
        <v>4063</v>
      </c>
      <c r="E16076" s="3">
        <v>0</v>
      </c>
      <c r="F16076" s="2">
        <v>4024</v>
      </c>
      <c r="G16076" s="2">
        <v>99</v>
      </c>
      <c r="H16076" s="2">
        <v>755</v>
      </c>
      <c r="I16076" s="2">
        <v>127</v>
      </c>
      <c r="J16076" s="2">
        <v>2391</v>
      </c>
      <c r="K16076" s="2">
        <v>44</v>
      </c>
      <c r="L16076" s="2">
        <v>798</v>
      </c>
    </row>
    <row r="16077" spans="1:12" x14ac:dyDescent="0.25">
      <c r="A16077" s="4" t="str">
        <f>HYPERLINK("http://www.rosaceae.org/Prunus/Prunus_persica/p.persica_gdr_reftransV1_0021321","p.persica_gdr_reftransV1_0021321")</f>
        <v>p.persica_gdr_reftransV1_0021321</v>
      </c>
      <c r="B16077" s="2">
        <v>4055</v>
      </c>
      <c r="C16077" s="4" t="str">
        <f>HYPERLINK("http://www.uniprot.org/uniprot/M5XEP2","M5XEP2")</f>
        <v>M5XEP2</v>
      </c>
      <c r="D16077" s="2" t="s">
        <v>12812</v>
      </c>
      <c r="E16077" s="3">
        <v>0</v>
      </c>
      <c r="F16077" s="2">
        <v>2340</v>
      </c>
      <c r="G16077" s="2">
        <v>100</v>
      </c>
      <c r="H16077" s="2">
        <v>451</v>
      </c>
      <c r="I16077" s="2">
        <v>931</v>
      </c>
      <c r="J16077" s="2">
        <v>2283</v>
      </c>
      <c r="K16077" s="2">
        <v>1</v>
      </c>
      <c r="L16077" s="2">
        <v>451</v>
      </c>
    </row>
    <row r="16078" spans="1:12" x14ac:dyDescent="0.25">
      <c r="A16078" s="4" t="str">
        <f>HYPERLINK("http://www.rosaceae.org/Prunus/Prunus_persica/p.persica_gdr_reftransV1_0022021","p.persica_gdr_reftransV1_0022021")</f>
        <v>p.persica_gdr_reftransV1_0022021</v>
      </c>
      <c r="B16078" s="2">
        <v>2277</v>
      </c>
      <c r="C16078" s="4" t="str">
        <f>HYPERLINK("http://www.uniprot.org/uniprot/M5W7M6","M5W7M6")</f>
        <v>M5W7M6</v>
      </c>
      <c r="D16078" s="2" t="s">
        <v>5938</v>
      </c>
      <c r="E16078" s="3">
        <v>4.31E-113</v>
      </c>
      <c r="F16078" s="2">
        <v>929</v>
      </c>
      <c r="G16078" s="2">
        <v>85</v>
      </c>
      <c r="H16078" s="2">
        <v>319</v>
      </c>
      <c r="I16078" s="2">
        <v>82</v>
      </c>
      <c r="J16078" s="2">
        <v>1011</v>
      </c>
      <c r="K16078" s="2">
        <v>1</v>
      </c>
      <c r="L16078" s="2">
        <v>319</v>
      </c>
    </row>
    <row r="16079" spans="1:12" x14ac:dyDescent="0.25">
      <c r="A16079" s="4" t="str">
        <f>HYPERLINK("http://www.rosaceae.org/Prunus/Prunus_persica/p.persica_gdr_reftransV1_0022371","p.persica_gdr_reftransV1_0022371")</f>
        <v>p.persica_gdr_reftransV1_0022371</v>
      </c>
      <c r="B16079" s="2">
        <v>658</v>
      </c>
      <c r="C16079" s="4" t="str">
        <f>HYPERLINK("http://www.uniprot.org/uniprot/M0RSH6","M0RSH6")</f>
        <v>M0RSH6</v>
      </c>
      <c r="D16079" s="2" t="s">
        <v>7830</v>
      </c>
      <c r="E16079" s="3">
        <v>4.8199999999999999E-45</v>
      </c>
      <c r="F16079" s="2">
        <v>398</v>
      </c>
      <c r="G16079" s="2">
        <v>82</v>
      </c>
      <c r="H16079" s="2">
        <v>109</v>
      </c>
      <c r="I16079" s="2">
        <v>306</v>
      </c>
      <c r="J16079" s="2">
        <v>629</v>
      </c>
      <c r="K16079" s="2">
        <v>24</v>
      </c>
      <c r="L16079" s="2">
        <v>132</v>
      </c>
    </row>
    <row r="16080" spans="1:12" x14ac:dyDescent="0.25">
      <c r="A16080" s="4" t="str">
        <f>HYPERLINK("http://www.rosaceae.org/Prunus/Prunus_persica/p.persica_gdr_reftransV1_0024121","p.persica_gdr_reftransV1_0024121")</f>
        <v>p.persica_gdr_reftransV1_0024121</v>
      </c>
      <c r="B16080" s="2">
        <v>903</v>
      </c>
      <c r="C16080" s="4" t="str">
        <f>HYPERLINK("http://www.uniprot.org/uniprot/M5Y0R1","M5Y0R1")</f>
        <v>M5Y0R1</v>
      </c>
      <c r="D16080" s="2" t="s">
        <v>12813</v>
      </c>
      <c r="E16080" s="3">
        <v>1.42E-112</v>
      </c>
      <c r="F16080" s="2">
        <v>870</v>
      </c>
      <c r="G16080" s="2">
        <v>89</v>
      </c>
      <c r="H16080" s="2">
        <v>186</v>
      </c>
      <c r="I16080" s="2">
        <v>344</v>
      </c>
      <c r="J16080" s="2">
        <v>901</v>
      </c>
      <c r="K16080" s="2">
        <v>131</v>
      </c>
      <c r="L16080" s="2">
        <v>296</v>
      </c>
    </row>
    <row r="16081" spans="1:12" x14ac:dyDescent="0.25">
      <c r="A16081" s="4" t="str">
        <f>HYPERLINK("http://www.rosaceae.org/Prunus/Prunus_persica/p.persica_gdr_reftransV1_0024471","p.persica_gdr_reftransV1_0024471")</f>
        <v>p.persica_gdr_reftransV1_0024471</v>
      </c>
      <c r="B16081" s="2">
        <v>1814</v>
      </c>
      <c r="C16081" s="4" t="str">
        <f>HYPERLINK("http://www.uniprot.org/uniprot/M5XSP4","M5XSP4")</f>
        <v>M5XSP4</v>
      </c>
      <c r="D16081" s="2" t="s">
        <v>12814</v>
      </c>
      <c r="E16081" s="3">
        <v>1.73E-125</v>
      </c>
      <c r="F16081" s="2">
        <v>942</v>
      </c>
      <c r="G16081" s="2">
        <v>100</v>
      </c>
      <c r="H16081" s="2">
        <v>179</v>
      </c>
      <c r="I16081" s="2">
        <v>726</v>
      </c>
      <c r="J16081" s="2">
        <v>1262</v>
      </c>
      <c r="K16081" s="2">
        <v>76</v>
      </c>
      <c r="L16081" s="2">
        <v>254</v>
      </c>
    </row>
    <row r="16082" spans="1:12" x14ac:dyDescent="0.25">
      <c r="A16082" s="4" t="str">
        <f>HYPERLINK("http://www.rosaceae.org/Prunus/Prunus_persica/p.persica_gdr_reftransV1_0025171","p.persica_gdr_reftransV1_0025171")</f>
        <v>p.persica_gdr_reftransV1_0025171</v>
      </c>
      <c r="B16082" s="2">
        <v>1132</v>
      </c>
      <c r="C16082" s="4" t="str">
        <f>HYPERLINK("http://www.uniprot.org/uniprot/M5WBK2","M5WBK2")</f>
        <v>M5WBK2</v>
      </c>
      <c r="D16082" s="2" t="s">
        <v>12815</v>
      </c>
      <c r="E16082" s="3">
        <v>3.48E-168</v>
      </c>
      <c r="F16082" s="2">
        <v>1251</v>
      </c>
      <c r="G16082" s="2">
        <v>100</v>
      </c>
      <c r="H16082" s="2">
        <v>343</v>
      </c>
      <c r="I16082" s="2">
        <v>54</v>
      </c>
      <c r="J16082" s="2">
        <v>1082</v>
      </c>
      <c r="K16082" s="2">
        <v>11</v>
      </c>
      <c r="L16082" s="2">
        <v>353</v>
      </c>
    </row>
    <row r="16083" spans="1:12" x14ac:dyDescent="0.25">
      <c r="A16083" s="4" t="str">
        <f>HYPERLINK("http://www.rosaceae.org/Prunus/Prunus_persica/p.persica_gdr_reftransV1_0025521","p.persica_gdr_reftransV1_0025521")</f>
        <v>p.persica_gdr_reftransV1_0025521</v>
      </c>
      <c r="B16083" s="2">
        <v>1083</v>
      </c>
      <c r="C16083" s="4" t="str">
        <f>HYPERLINK("http://www.uniprot.org/uniprot/M5WHQ6","M5WHQ6")</f>
        <v>M5WHQ6</v>
      </c>
      <c r="D16083" s="2" t="s">
        <v>12816</v>
      </c>
      <c r="E16083" s="3">
        <v>4.5199999999999997E-149</v>
      </c>
      <c r="F16083" s="2">
        <v>1109</v>
      </c>
      <c r="G16083" s="2">
        <v>100</v>
      </c>
      <c r="H16083" s="2">
        <v>211</v>
      </c>
      <c r="I16083" s="2">
        <v>382</v>
      </c>
      <c r="J16083" s="2">
        <v>1014</v>
      </c>
      <c r="K16083" s="2">
        <v>1</v>
      </c>
      <c r="L16083" s="2">
        <v>211</v>
      </c>
    </row>
    <row r="16084" spans="1:12" x14ac:dyDescent="0.25">
      <c r="A16084" s="4" t="str">
        <f>HYPERLINK("http://www.rosaceae.org/Prunus/Prunus_persica/p.persica_gdr_reftransV1_0026571","p.persica_gdr_reftransV1_0026571")</f>
        <v>p.persica_gdr_reftransV1_0026571</v>
      </c>
      <c r="B16084" s="2">
        <v>3464</v>
      </c>
      <c r="C16084" s="4" t="str">
        <f>HYPERLINK("http://www.uniprot.org/uniprot/M5W1N1","M5W1N1")</f>
        <v>M5W1N1</v>
      </c>
      <c r="D16084" s="2" t="s">
        <v>12817</v>
      </c>
      <c r="E16084" s="3">
        <v>0</v>
      </c>
      <c r="F16084" s="2">
        <v>2872</v>
      </c>
      <c r="G16084" s="2">
        <v>100</v>
      </c>
      <c r="H16084" s="2">
        <v>565</v>
      </c>
      <c r="I16084" s="2">
        <v>1491</v>
      </c>
      <c r="J16084" s="2">
        <v>3185</v>
      </c>
      <c r="K16084" s="2">
        <v>1</v>
      </c>
      <c r="L16084" s="2">
        <v>564</v>
      </c>
    </row>
    <row r="16085" spans="1:12" x14ac:dyDescent="0.25">
      <c r="A16085" s="4" t="str">
        <f>HYPERLINK("http://www.rosaceae.org/Prunus/Prunus_persica/p.persica_gdr_reftransV1_0027971","p.persica_gdr_reftransV1_0027971")</f>
        <v>p.persica_gdr_reftransV1_0027971</v>
      </c>
      <c r="B16085" s="2">
        <v>471</v>
      </c>
      <c r="C16085" s="4" t="str">
        <f>HYPERLINK("http://www.uniprot.org/uniprot/M5XF29","M5XF29")</f>
        <v>M5XF29</v>
      </c>
      <c r="D16085" s="2" t="s">
        <v>12818</v>
      </c>
      <c r="E16085" s="3">
        <v>7.9300000000000004E-66</v>
      </c>
      <c r="F16085" s="2">
        <v>560</v>
      </c>
      <c r="G16085" s="2">
        <v>100</v>
      </c>
      <c r="H16085" s="2">
        <v>129</v>
      </c>
      <c r="I16085" s="2">
        <v>1</v>
      </c>
      <c r="J16085" s="2">
        <v>387</v>
      </c>
      <c r="K16085" s="2">
        <v>1</v>
      </c>
      <c r="L16085" s="2">
        <v>129</v>
      </c>
    </row>
    <row r="16086" spans="1:12" x14ac:dyDescent="0.25">
      <c r="A16086" s="4" t="str">
        <f>HYPERLINK("http://www.rosaceae.org/Prunus/Prunus_persica/p.persica_gdr_reftransV1_0029021","p.persica_gdr_reftransV1_0029021")</f>
        <v>p.persica_gdr_reftransV1_0029021</v>
      </c>
      <c r="B16086" s="2">
        <v>887</v>
      </c>
      <c r="C16086" s="4" t="str">
        <f>HYPERLINK("http://www.uniprot.org/uniprot/U3MMQ4","U3MMQ4")</f>
        <v>U3MMQ4</v>
      </c>
      <c r="D16086" s="2" t="s">
        <v>11448</v>
      </c>
      <c r="E16086" s="3">
        <v>3.7399999999999998E-119</v>
      </c>
      <c r="F16086" s="2">
        <v>913</v>
      </c>
      <c r="G16086" s="2">
        <v>100</v>
      </c>
      <c r="H16086" s="2">
        <v>186</v>
      </c>
      <c r="I16086" s="2">
        <v>279</v>
      </c>
      <c r="J16086" s="2">
        <v>836</v>
      </c>
      <c r="K16086" s="2">
        <v>117</v>
      </c>
      <c r="L16086" s="2">
        <v>302</v>
      </c>
    </row>
    <row r="16087" spans="1:12" x14ac:dyDescent="0.25">
      <c r="A16087" s="4" t="str">
        <f>HYPERLINK("http://www.rosaceae.org/Prunus/Prunus_persica/p.persica_gdr_reftransV1_0029371","p.persica_gdr_reftransV1_0029371")</f>
        <v>p.persica_gdr_reftransV1_0029371</v>
      </c>
      <c r="B16087" s="2">
        <v>1988</v>
      </c>
      <c r="C16087" s="4" t="str">
        <f>HYPERLINK("http://www.uniprot.org/uniprot/M5VJP8","M5VJP8")</f>
        <v>M5VJP8</v>
      </c>
      <c r="D16087" s="2" t="s">
        <v>12819</v>
      </c>
      <c r="E16087" s="3">
        <v>0</v>
      </c>
      <c r="F16087" s="2">
        <v>2308</v>
      </c>
      <c r="G16087" s="2">
        <v>96</v>
      </c>
      <c r="H16087" s="2">
        <v>484</v>
      </c>
      <c r="I16087" s="2">
        <v>473</v>
      </c>
      <c r="J16087" s="2">
        <v>1924</v>
      </c>
      <c r="K16087" s="2">
        <v>1</v>
      </c>
      <c r="L16087" s="2">
        <v>465</v>
      </c>
    </row>
    <row r="16088" spans="1:12" x14ac:dyDescent="0.25">
      <c r="A16088" s="4" t="str">
        <f>HYPERLINK("http://www.rosaceae.org/Prunus/Prunus_persica/p.persica_gdr_reftransV1_0030421","p.persica_gdr_reftransV1_0030421")</f>
        <v>p.persica_gdr_reftransV1_0030421</v>
      </c>
      <c r="B16088" s="2">
        <v>1721</v>
      </c>
      <c r="C16088" s="4" t="str">
        <f>HYPERLINK("http://www.uniprot.org/uniprot/M5VT09","M5VT09")</f>
        <v>M5VT09</v>
      </c>
      <c r="D16088" s="2" t="s">
        <v>12820</v>
      </c>
      <c r="E16088" s="3">
        <v>0</v>
      </c>
      <c r="F16088" s="2">
        <v>1845</v>
      </c>
      <c r="G16088" s="2">
        <v>100</v>
      </c>
      <c r="H16088" s="2">
        <v>346</v>
      </c>
      <c r="I16088" s="2">
        <v>350</v>
      </c>
      <c r="J16088" s="2">
        <v>1387</v>
      </c>
      <c r="K16088" s="2">
        <v>1</v>
      </c>
      <c r="L16088" s="2">
        <v>346</v>
      </c>
    </row>
    <row r="16089" spans="1:12" x14ac:dyDescent="0.25">
      <c r="A16089" s="4" t="str">
        <f>HYPERLINK("http://www.rosaceae.org/Prunus/Prunus_persica/p.persica_gdr_reftransV1_0031471","p.persica_gdr_reftransV1_0031471")</f>
        <v>p.persica_gdr_reftransV1_0031471</v>
      </c>
      <c r="B16089" s="2">
        <v>1494</v>
      </c>
      <c r="C16089" s="4" t="str">
        <f>HYPERLINK("http://www.uniprot.org/uniprot/M5WQY3","M5WQY3")</f>
        <v>M5WQY3</v>
      </c>
      <c r="D16089" s="2" t="s">
        <v>12821</v>
      </c>
      <c r="E16089" s="3">
        <v>0</v>
      </c>
      <c r="F16089" s="2">
        <v>1718</v>
      </c>
      <c r="G16089" s="2">
        <v>100</v>
      </c>
      <c r="H16089" s="2">
        <v>317</v>
      </c>
      <c r="I16089" s="2">
        <v>337</v>
      </c>
      <c r="J16089" s="2">
        <v>1287</v>
      </c>
      <c r="K16089" s="2">
        <v>1</v>
      </c>
      <c r="L16089" s="2">
        <v>317</v>
      </c>
    </row>
    <row r="16090" spans="1:12" x14ac:dyDescent="0.25">
      <c r="A16090" s="4" t="str">
        <f>HYPERLINK("http://www.rosaceae.org/Prunus/Prunus_persica/p.persica_gdr_reftransV1_0032171","p.persica_gdr_reftransV1_0032171")</f>
        <v>p.persica_gdr_reftransV1_0032171</v>
      </c>
      <c r="B16090" s="2">
        <v>1345</v>
      </c>
      <c r="C16090" s="4" t="str">
        <f>HYPERLINK("http://www.uniprot.org/uniprot/M5WRU9","M5WRU9")</f>
        <v>M5WRU9</v>
      </c>
      <c r="D16090" s="2" t="s">
        <v>12822</v>
      </c>
      <c r="E16090" s="3">
        <v>0</v>
      </c>
      <c r="F16090" s="2">
        <v>1976</v>
      </c>
      <c r="G16090" s="2">
        <v>100</v>
      </c>
      <c r="H16090" s="2">
        <v>422</v>
      </c>
      <c r="I16090" s="2">
        <v>2</v>
      </c>
      <c r="J16090" s="2">
        <v>1267</v>
      </c>
      <c r="K16090" s="2">
        <v>1</v>
      </c>
      <c r="L16090" s="2">
        <v>422</v>
      </c>
    </row>
    <row r="16091" spans="1:12" x14ac:dyDescent="0.25">
      <c r="A16091" s="4" t="str">
        <f>HYPERLINK("http://www.rosaceae.org/Prunus/Prunus_persica/p.persica_gdr_reftransV1_0032521","p.persica_gdr_reftransV1_0032521")</f>
        <v>p.persica_gdr_reftransV1_0032521</v>
      </c>
      <c r="B16091" s="2">
        <v>1843</v>
      </c>
      <c r="C16091" s="4" t="str">
        <f>HYPERLINK("http://www.uniprot.org/uniprot/M5WZT8","M5WZT8")</f>
        <v>M5WZT8</v>
      </c>
      <c r="D16091" s="2" t="s">
        <v>12823</v>
      </c>
      <c r="E16091" s="3">
        <v>0</v>
      </c>
      <c r="F16091" s="2">
        <v>1838</v>
      </c>
      <c r="G16091" s="2">
        <v>98</v>
      </c>
      <c r="H16091" s="2">
        <v>390</v>
      </c>
      <c r="I16091" s="2">
        <v>239</v>
      </c>
      <c r="J16091" s="2">
        <v>1408</v>
      </c>
      <c r="K16091" s="2">
        <v>1</v>
      </c>
      <c r="L16091" s="2">
        <v>385</v>
      </c>
    </row>
    <row r="16092" spans="1:12" x14ac:dyDescent="0.25">
      <c r="A16092" s="4" t="str">
        <f>HYPERLINK("http://www.rosaceae.org/Prunus/Prunus_persica/p.persica_gdr_reftransV1_0034621","p.persica_gdr_reftransV1_0034621")</f>
        <v>p.persica_gdr_reftransV1_0034621</v>
      </c>
      <c r="B16092" s="2">
        <v>437</v>
      </c>
      <c r="C16092" s="4" t="str">
        <f>HYPERLINK("http://www.uniprot.org/uniprot/M5Y3F4","M5Y3F4")</f>
        <v>M5Y3F4</v>
      </c>
      <c r="D16092" s="2" t="s">
        <v>12824</v>
      </c>
      <c r="E16092" s="3">
        <v>1.0699999999999999E-75</v>
      </c>
      <c r="F16092" s="2">
        <v>594</v>
      </c>
      <c r="G16092" s="2">
        <v>100</v>
      </c>
      <c r="H16092" s="2">
        <v>130</v>
      </c>
      <c r="I16092" s="2">
        <v>46</v>
      </c>
      <c r="J16092" s="2">
        <v>435</v>
      </c>
      <c r="K16092" s="2">
        <v>1</v>
      </c>
      <c r="L16092" s="2">
        <v>130</v>
      </c>
    </row>
    <row r="16093" spans="1:12" x14ac:dyDescent="0.25">
      <c r="A16093" s="4" t="str">
        <f>HYPERLINK("http://www.rosaceae.org/Prunus/Prunus_persica/p.persica_gdr_reftransV1_0037421","p.persica_gdr_reftransV1_0037421")</f>
        <v>p.persica_gdr_reftransV1_0037421</v>
      </c>
      <c r="B16093" s="2">
        <v>2262</v>
      </c>
      <c r="C16093" s="4" t="str">
        <f>HYPERLINK("http://www.uniprot.org/uniprot/M5XED2","M5XED2")</f>
        <v>M5XED2</v>
      </c>
      <c r="D16093" s="2" t="s">
        <v>12825</v>
      </c>
      <c r="E16093" s="3">
        <v>0</v>
      </c>
      <c r="F16093" s="2">
        <v>1503</v>
      </c>
      <c r="G16093" s="2">
        <v>94</v>
      </c>
      <c r="H16093" s="2">
        <v>339</v>
      </c>
      <c r="I16093" s="2">
        <v>819</v>
      </c>
      <c r="J16093" s="2">
        <v>1835</v>
      </c>
      <c r="K16093" s="2">
        <v>1</v>
      </c>
      <c r="L16093" s="2">
        <v>328</v>
      </c>
    </row>
    <row r="16094" spans="1:12" x14ac:dyDescent="0.25">
      <c r="A16094" s="4" t="str">
        <f>HYPERLINK("http://www.rosaceae.org/Prunus/Prunus_persica/p.persica_gdr_reftransV1_0037771","p.persica_gdr_reftransV1_0037771")</f>
        <v>p.persica_gdr_reftransV1_0037771</v>
      </c>
      <c r="B16094" s="2">
        <v>1030</v>
      </c>
      <c r="C16094" s="4" t="str">
        <f>HYPERLINK("http://www.uniprot.org/uniprot/M5W075","M5W075")</f>
        <v>M5W075</v>
      </c>
      <c r="D16094" s="2" t="s">
        <v>1061</v>
      </c>
      <c r="E16094" s="3">
        <v>1.74E-81</v>
      </c>
      <c r="F16094" s="2">
        <v>655</v>
      </c>
      <c r="G16094" s="2">
        <v>99</v>
      </c>
      <c r="H16094" s="2">
        <v>142</v>
      </c>
      <c r="I16094" s="2">
        <v>485</v>
      </c>
      <c r="J16094" s="2">
        <v>910</v>
      </c>
      <c r="K16094" s="2">
        <v>18</v>
      </c>
      <c r="L16094" s="2">
        <v>159</v>
      </c>
    </row>
    <row r="16095" spans="1:12" x14ac:dyDescent="0.25">
      <c r="A16095" s="4" t="str">
        <f>HYPERLINK("http://www.rosaceae.org/Prunus/Prunus_persica/p.persica_gdr_reftransV1_0040221","p.persica_gdr_reftransV1_0040221")</f>
        <v>p.persica_gdr_reftransV1_0040221</v>
      </c>
      <c r="B16095" s="2">
        <v>1965</v>
      </c>
      <c r="C16095" s="4" t="str">
        <f>HYPERLINK("http://www.uniprot.org/uniprot/M5X8L5","M5X8L5")</f>
        <v>M5X8L5</v>
      </c>
      <c r="D16095" s="2" t="s">
        <v>12826</v>
      </c>
      <c r="E16095" s="3">
        <v>0</v>
      </c>
      <c r="F16095" s="2">
        <v>2367</v>
      </c>
      <c r="G16095" s="2">
        <v>100</v>
      </c>
      <c r="H16095" s="2">
        <v>444</v>
      </c>
      <c r="I16095" s="2">
        <v>450</v>
      </c>
      <c r="J16095" s="2">
        <v>1781</v>
      </c>
      <c r="K16095" s="2">
        <v>90</v>
      </c>
      <c r="L16095" s="2">
        <v>533</v>
      </c>
    </row>
    <row r="16096" spans="1:12" x14ac:dyDescent="0.25">
      <c r="A16096" s="4" t="str">
        <f>HYPERLINK("http://www.rosaceae.org/Prunus/Prunus_persica/p.persica_gdr_reftransV1_0043371","p.persica_gdr_reftransV1_0043371")</f>
        <v>p.persica_gdr_reftransV1_0043371</v>
      </c>
      <c r="B16096" s="2">
        <v>496</v>
      </c>
      <c r="C16096" s="4" t="str">
        <f>HYPERLINK("http://www.uniprot.org/uniprot/M5WIS0","M5WIS0")</f>
        <v>M5WIS0</v>
      </c>
      <c r="D16096" s="2" t="s">
        <v>2077</v>
      </c>
      <c r="E16096" s="3">
        <v>1.4100000000000001E-101</v>
      </c>
      <c r="F16096" s="2">
        <v>832</v>
      </c>
      <c r="G16096" s="2">
        <v>100</v>
      </c>
      <c r="H16096" s="2">
        <v>165</v>
      </c>
      <c r="I16096" s="2">
        <v>2</v>
      </c>
      <c r="J16096" s="2">
        <v>496</v>
      </c>
      <c r="K16096" s="2">
        <v>540</v>
      </c>
      <c r="L16096" s="2">
        <v>704</v>
      </c>
    </row>
    <row r="16097" spans="1:12" x14ac:dyDescent="0.25">
      <c r="A16097" s="4" t="str">
        <f>HYPERLINK("http://www.rosaceae.org/Prunus/Prunus_persica/p.persica_gdr_reftransV1_0043721","p.persica_gdr_reftransV1_0043721")</f>
        <v>p.persica_gdr_reftransV1_0043721</v>
      </c>
      <c r="B16097" s="2">
        <v>834</v>
      </c>
      <c r="C16097" s="4" t="str">
        <f>HYPERLINK("http://www.uniprot.org/uniprot/M5XNX3","M5XNX3")</f>
        <v>M5XNX3</v>
      </c>
      <c r="D16097" s="2" t="s">
        <v>11473</v>
      </c>
      <c r="E16097" s="3">
        <v>3.1999999999999997E-70</v>
      </c>
      <c r="F16097" s="2">
        <v>572</v>
      </c>
      <c r="G16097" s="2">
        <v>100</v>
      </c>
      <c r="H16097" s="2">
        <v>106</v>
      </c>
      <c r="I16097" s="2">
        <v>279</v>
      </c>
      <c r="J16097" s="2">
        <v>596</v>
      </c>
      <c r="K16097" s="2">
        <v>38</v>
      </c>
      <c r="L16097" s="2">
        <v>143</v>
      </c>
    </row>
    <row r="16098" spans="1:12" x14ac:dyDescent="0.25">
      <c r="A16098" s="4" t="str">
        <f>HYPERLINK("http://www.rosaceae.org/Prunus/Prunus_persica/p.persica_gdr_reftransV1_0044071","p.persica_gdr_reftransV1_0044071")</f>
        <v>p.persica_gdr_reftransV1_0044071</v>
      </c>
      <c r="B16098" s="2">
        <v>423</v>
      </c>
      <c r="C16098" s="4" t="str">
        <f>HYPERLINK("http://www.uniprot.org/uniprot/M5XED9","M5XED9")</f>
        <v>M5XED9</v>
      </c>
      <c r="D16098" s="2" t="s">
        <v>4689</v>
      </c>
      <c r="E16098" s="3">
        <v>5.5000000000000002E-41</v>
      </c>
      <c r="F16098" s="2">
        <v>364</v>
      </c>
      <c r="G16098" s="2">
        <v>100</v>
      </c>
      <c r="H16098" s="2">
        <v>104</v>
      </c>
      <c r="I16098" s="2">
        <v>112</v>
      </c>
      <c r="J16098" s="2">
        <v>423</v>
      </c>
      <c r="K16098" s="2">
        <v>40</v>
      </c>
      <c r="L16098" s="2">
        <v>143</v>
      </c>
    </row>
    <row r="16099" spans="1:12" x14ac:dyDescent="0.25">
      <c r="A16099" s="4" t="str">
        <f>HYPERLINK("http://www.rosaceae.org/Prunus/Prunus_persica/p.persica_gdr_reftransV1_0044421","p.persica_gdr_reftransV1_0044421")</f>
        <v>p.persica_gdr_reftransV1_0044421</v>
      </c>
      <c r="B16099" s="2">
        <v>1134</v>
      </c>
      <c r="C16099" s="4" t="str">
        <f>HYPERLINK("http://www.uniprot.org/uniprot/M5X2L7","M5X2L7")</f>
        <v>M5X2L7</v>
      </c>
      <c r="D16099" s="2" t="s">
        <v>12827</v>
      </c>
      <c r="E16099" s="3">
        <v>2.3299999999999998E-155</v>
      </c>
      <c r="F16099" s="2">
        <v>1181</v>
      </c>
      <c r="G16099" s="2">
        <v>91</v>
      </c>
      <c r="H16099" s="2">
        <v>252</v>
      </c>
      <c r="I16099" s="2">
        <v>418</v>
      </c>
      <c r="J16099" s="2">
        <v>1134</v>
      </c>
      <c r="K16099" s="2">
        <v>252</v>
      </c>
      <c r="L16099" s="2">
        <v>502</v>
      </c>
    </row>
    <row r="16100" spans="1:12" x14ac:dyDescent="0.25">
      <c r="A16100" s="4" t="str">
        <f>HYPERLINK("http://www.rosaceae.org/Prunus/Prunus_persica/p.persica_gdr_reftransV1_0044771","p.persica_gdr_reftransV1_0044771")</f>
        <v>p.persica_gdr_reftransV1_0044771</v>
      </c>
      <c r="B16100" s="2">
        <v>1915</v>
      </c>
      <c r="C16100" s="4" t="str">
        <f>HYPERLINK("http://www.uniprot.org/uniprot/M5WTF1","M5WTF1")</f>
        <v>M5WTF1</v>
      </c>
      <c r="D16100" s="2" t="s">
        <v>12828</v>
      </c>
      <c r="E16100" s="3">
        <v>0</v>
      </c>
      <c r="F16100" s="2">
        <v>2481</v>
      </c>
      <c r="G16100" s="2">
        <v>100</v>
      </c>
      <c r="H16100" s="2">
        <v>480</v>
      </c>
      <c r="I16100" s="2">
        <v>66</v>
      </c>
      <c r="J16100" s="2">
        <v>1505</v>
      </c>
      <c r="K16100" s="2">
        <v>1</v>
      </c>
      <c r="L16100" s="2">
        <v>480</v>
      </c>
    </row>
    <row r="16101" spans="1:12" x14ac:dyDescent="0.25">
      <c r="A16101" s="4" t="str">
        <f>HYPERLINK("http://www.rosaceae.org/Prunus/Prunus_persica/p.persica_gdr_reftransV1_0045121","p.persica_gdr_reftransV1_0045121")</f>
        <v>p.persica_gdr_reftransV1_0045121</v>
      </c>
      <c r="B16101" s="2">
        <v>1185</v>
      </c>
      <c r="C16101" s="4" t="str">
        <f>HYPERLINK("http://www.uniprot.org/uniprot/M5WH89","M5WH89")</f>
        <v>M5WH89</v>
      </c>
      <c r="D16101" s="2" t="s">
        <v>12829</v>
      </c>
      <c r="E16101" s="3">
        <v>6.6800000000000002E-178</v>
      </c>
      <c r="F16101" s="2">
        <v>1307</v>
      </c>
      <c r="G16101" s="2">
        <v>100</v>
      </c>
      <c r="H16101" s="2">
        <v>261</v>
      </c>
      <c r="I16101" s="2">
        <v>173</v>
      </c>
      <c r="J16101" s="2">
        <v>955</v>
      </c>
      <c r="K16101" s="2">
        <v>1</v>
      </c>
      <c r="L16101" s="2">
        <v>261</v>
      </c>
    </row>
    <row r="16102" spans="1:12" x14ac:dyDescent="0.25">
      <c r="A16102" s="4" t="str">
        <f>HYPERLINK("http://www.rosaceae.org/Prunus/Prunus_persica/p.persica_gdr_reftransV1_0045821","p.persica_gdr_reftransV1_0045821")</f>
        <v>p.persica_gdr_reftransV1_0045821</v>
      </c>
      <c r="B16102" s="2">
        <v>1635</v>
      </c>
      <c r="C16102" s="4" t="str">
        <f>HYPERLINK("http://www.uniprot.org/uniprot/M5X159","M5X159")</f>
        <v>M5X159</v>
      </c>
      <c r="D16102" s="2" t="s">
        <v>12830</v>
      </c>
      <c r="E16102" s="3">
        <v>0</v>
      </c>
      <c r="F16102" s="2">
        <v>2291</v>
      </c>
      <c r="G16102" s="2">
        <v>100</v>
      </c>
      <c r="H16102" s="2">
        <v>461</v>
      </c>
      <c r="I16102" s="2">
        <v>150</v>
      </c>
      <c r="J16102" s="2">
        <v>1532</v>
      </c>
      <c r="K16102" s="2">
        <v>1</v>
      </c>
      <c r="L16102" s="2">
        <v>461</v>
      </c>
    </row>
    <row r="16103" spans="1:12" x14ac:dyDescent="0.25">
      <c r="A16103" s="4" t="str">
        <f>HYPERLINK("http://www.rosaceae.org/Prunus/Prunus_persica/p.persica_gdr_reftransV1_0046171","p.persica_gdr_reftransV1_0046171")</f>
        <v>p.persica_gdr_reftransV1_0046171</v>
      </c>
      <c r="B16103" s="2">
        <v>471</v>
      </c>
      <c r="C16103" s="4" t="str">
        <f>HYPERLINK("http://www.uniprot.org/uniprot/M5XAQ0","M5XAQ0")</f>
        <v>M5XAQ0</v>
      </c>
      <c r="D16103" s="2" t="s">
        <v>12831</v>
      </c>
      <c r="E16103" s="3">
        <v>2.5999999999999999E-67</v>
      </c>
      <c r="F16103" s="2">
        <v>538</v>
      </c>
      <c r="G16103" s="2">
        <v>100</v>
      </c>
      <c r="H16103" s="2">
        <v>117</v>
      </c>
      <c r="I16103" s="2">
        <v>88</v>
      </c>
      <c r="J16103" s="2">
        <v>438</v>
      </c>
      <c r="K16103" s="2">
        <v>1</v>
      </c>
      <c r="L16103" s="2">
        <v>117</v>
      </c>
    </row>
    <row r="16104" spans="1:12" x14ac:dyDescent="0.25">
      <c r="A16104" s="4" t="str">
        <f>HYPERLINK("http://www.rosaceae.org/Prunus/Prunus_persica/p.persica_gdr_reftransV1_0046521","p.persica_gdr_reftransV1_0046521")</f>
        <v>p.persica_gdr_reftransV1_0046521</v>
      </c>
      <c r="B16104" s="2">
        <v>1709</v>
      </c>
      <c r="C16104" s="4" t="str">
        <f>HYPERLINK("http://www.uniprot.org/uniprot/M5WI51","M5WI51")</f>
        <v>M5WI51</v>
      </c>
      <c r="D16104" s="2" t="s">
        <v>6877</v>
      </c>
      <c r="E16104" s="3">
        <v>0</v>
      </c>
      <c r="F16104" s="2">
        <v>1946</v>
      </c>
      <c r="G16104" s="2">
        <v>96</v>
      </c>
      <c r="H16104" s="2">
        <v>413</v>
      </c>
      <c r="I16104" s="2">
        <v>304</v>
      </c>
      <c r="J16104" s="2">
        <v>1542</v>
      </c>
      <c r="K16104" s="2">
        <v>1</v>
      </c>
      <c r="L16104" s="2">
        <v>400</v>
      </c>
    </row>
    <row r="16105" spans="1:12" x14ac:dyDescent="0.25">
      <c r="A16105" s="4" t="str">
        <f>HYPERLINK("http://www.rosaceae.org/Prunus/Prunus_persica/p.persica_gdr_reftransV1_0046871","p.persica_gdr_reftransV1_0046871")</f>
        <v>p.persica_gdr_reftransV1_0046871</v>
      </c>
      <c r="B16105" s="2">
        <v>1859</v>
      </c>
      <c r="C16105" s="4" t="str">
        <f>HYPERLINK("http://www.uniprot.org/uniprot/A0A061EXJ6","A0A061EXJ6")</f>
        <v>A0A061EXJ6</v>
      </c>
      <c r="D16105" s="2" t="s">
        <v>12832</v>
      </c>
      <c r="E16105" s="3">
        <v>0</v>
      </c>
      <c r="F16105" s="2">
        <v>2304</v>
      </c>
      <c r="G16105" s="2">
        <v>79</v>
      </c>
      <c r="H16105" s="2">
        <v>543</v>
      </c>
      <c r="I16105" s="2">
        <v>3</v>
      </c>
      <c r="J16105" s="2">
        <v>1622</v>
      </c>
      <c r="K16105" s="2">
        <v>342</v>
      </c>
      <c r="L16105" s="2">
        <v>884</v>
      </c>
    </row>
    <row r="16106" spans="1:12" x14ac:dyDescent="0.25">
      <c r="A16106" s="4" t="str">
        <f>HYPERLINK("http://www.rosaceae.org/Prunus/Prunus_persica/p.persica_gdr_reftransV1_0047221","p.persica_gdr_reftransV1_0047221")</f>
        <v>p.persica_gdr_reftransV1_0047221</v>
      </c>
      <c r="B16106" s="2">
        <v>1724</v>
      </c>
      <c r="C16106" s="4" t="str">
        <f>HYPERLINK("http://www.uniprot.org/uniprot/M5XRL7","M5XRL7")</f>
        <v>M5XRL7</v>
      </c>
      <c r="D16106" s="2" t="s">
        <v>12833</v>
      </c>
      <c r="E16106" s="3">
        <v>0</v>
      </c>
      <c r="F16106" s="2">
        <v>2043</v>
      </c>
      <c r="G16106" s="2">
        <v>88</v>
      </c>
      <c r="H16106" s="2">
        <v>508</v>
      </c>
      <c r="I16106" s="2">
        <v>60</v>
      </c>
      <c r="J16106" s="2">
        <v>1583</v>
      </c>
      <c r="K16106" s="2">
        <v>1</v>
      </c>
      <c r="L16106" s="2">
        <v>493</v>
      </c>
    </row>
    <row r="16107" spans="1:12" x14ac:dyDescent="0.25">
      <c r="A16107" s="4" t="str">
        <f>HYPERLINK("http://www.rosaceae.org/Prunus/Prunus_persica/p.persica_gdr_reftransV1_0047571","p.persica_gdr_reftransV1_0047571")</f>
        <v>p.persica_gdr_reftransV1_0047571</v>
      </c>
      <c r="B16107" s="2">
        <v>1791</v>
      </c>
      <c r="C16107" s="4" t="str">
        <f>HYPERLINK("http://www.uniprot.org/uniprot/M5XW55","M5XW55")</f>
        <v>M5XW55</v>
      </c>
      <c r="D16107" s="2" t="s">
        <v>9769</v>
      </c>
      <c r="E16107" s="3">
        <v>0</v>
      </c>
      <c r="F16107" s="2">
        <v>1798</v>
      </c>
      <c r="G16107" s="2">
        <v>100</v>
      </c>
      <c r="H16107" s="2">
        <v>428</v>
      </c>
      <c r="I16107" s="2">
        <v>420</v>
      </c>
      <c r="J16107" s="2">
        <v>1703</v>
      </c>
      <c r="K16107" s="2">
        <v>1</v>
      </c>
      <c r="L16107" s="2">
        <v>428</v>
      </c>
    </row>
    <row r="16108" spans="1:12" x14ac:dyDescent="0.25">
      <c r="A16108" s="4" t="str">
        <f>HYPERLINK("http://www.rosaceae.org/Prunus/Prunus_persica/p.persica_gdr_reftransV1_0048271","p.persica_gdr_reftransV1_0048271")</f>
        <v>p.persica_gdr_reftransV1_0048271</v>
      </c>
      <c r="B16108" s="2">
        <v>3792</v>
      </c>
      <c r="C16108" s="4" t="str">
        <f>HYPERLINK("http://www.uniprot.org/uniprot/M5VPZ3","M5VPZ3")</f>
        <v>M5VPZ3</v>
      </c>
      <c r="D16108" s="2" t="s">
        <v>12834</v>
      </c>
      <c r="E16108" s="3">
        <v>0</v>
      </c>
      <c r="F16108" s="2">
        <v>3994</v>
      </c>
      <c r="G16108" s="2">
        <v>92</v>
      </c>
      <c r="H16108" s="2">
        <v>1020</v>
      </c>
      <c r="I16108" s="2">
        <v>220</v>
      </c>
      <c r="J16108" s="2">
        <v>3252</v>
      </c>
      <c r="K16108" s="2">
        <v>1</v>
      </c>
      <c r="L16108" s="2">
        <v>947</v>
      </c>
    </row>
    <row r="16109" spans="1:12" x14ac:dyDescent="0.25">
      <c r="A16109" s="4" t="str">
        <f>HYPERLINK("http://www.rosaceae.org/Prunus/Prunus_persica/p.persica_gdr_reftransV1_0048621","p.persica_gdr_reftransV1_0048621")</f>
        <v>p.persica_gdr_reftransV1_0048621</v>
      </c>
      <c r="B16109" s="2">
        <v>773</v>
      </c>
      <c r="C16109" s="4" t="str">
        <f>HYPERLINK("http://www.uniprot.org/uniprot/A0A0A0L4A6","A0A0A0L4A6")</f>
        <v>A0A0A0L4A6</v>
      </c>
      <c r="D16109" s="2" t="s">
        <v>12835</v>
      </c>
      <c r="E16109" s="3">
        <v>1.7700000000000001E-22</v>
      </c>
      <c r="F16109" s="2">
        <v>255</v>
      </c>
      <c r="G16109" s="2">
        <v>93</v>
      </c>
      <c r="H16109" s="2">
        <v>86</v>
      </c>
      <c r="I16109" s="2">
        <v>388</v>
      </c>
      <c r="J16109" s="2">
        <v>645</v>
      </c>
      <c r="K16109" s="2">
        <v>177</v>
      </c>
      <c r="L16109" s="2">
        <v>262</v>
      </c>
    </row>
    <row r="16110" spans="1:12" x14ac:dyDescent="0.25">
      <c r="A16110" s="4" t="str">
        <f>HYPERLINK("http://www.rosaceae.org/Prunus/Prunus_persica/p.persica_gdr_reftransV1_0048971","p.persica_gdr_reftransV1_0048971")</f>
        <v>p.persica_gdr_reftransV1_0048971</v>
      </c>
      <c r="B16110" s="2">
        <v>3382</v>
      </c>
      <c r="C16110" s="4" t="str">
        <f>HYPERLINK("http://www.uniprot.org/uniprot/M5WCE7","M5WCE7")</f>
        <v>M5WCE7</v>
      </c>
      <c r="D16110" s="2" t="s">
        <v>12836</v>
      </c>
      <c r="E16110" s="3">
        <v>0</v>
      </c>
      <c r="F16110" s="2">
        <v>4513</v>
      </c>
      <c r="G16110" s="2">
        <v>91</v>
      </c>
      <c r="H16110" s="2">
        <v>963</v>
      </c>
      <c r="I16110" s="2">
        <v>267</v>
      </c>
      <c r="J16110" s="2">
        <v>3155</v>
      </c>
      <c r="K16110" s="2">
        <v>1</v>
      </c>
      <c r="L16110" s="2">
        <v>896</v>
      </c>
    </row>
    <row r="16111" spans="1:12" x14ac:dyDescent="0.25">
      <c r="A16111" s="4" t="str">
        <f>HYPERLINK("http://www.rosaceae.org/Prunus/Prunus_persica/p.persica_gdr_reftransV1_0000322","p.persica_gdr_reftransV1_0000322")</f>
        <v>p.persica_gdr_reftransV1_0000322</v>
      </c>
      <c r="B16111" s="2">
        <v>1218</v>
      </c>
      <c r="C16111" s="4" t="str">
        <f>HYPERLINK("http://www.uniprot.org/uniprot/M5W0D2","M5W0D2")</f>
        <v>M5W0D2</v>
      </c>
      <c r="D16111" s="2" t="s">
        <v>7810</v>
      </c>
      <c r="E16111" s="3">
        <v>2.09E-107</v>
      </c>
      <c r="F16111" s="2">
        <v>834</v>
      </c>
      <c r="G16111" s="2">
        <v>100</v>
      </c>
      <c r="H16111" s="2">
        <v>178</v>
      </c>
      <c r="I16111" s="2">
        <v>321</v>
      </c>
      <c r="J16111" s="2">
        <v>854</v>
      </c>
      <c r="K16111" s="2">
        <v>1</v>
      </c>
      <c r="L16111" s="2">
        <v>178</v>
      </c>
    </row>
    <row r="16112" spans="1:12" x14ac:dyDescent="0.25">
      <c r="A16112" s="4" t="str">
        <f>HYPERLINK("http://www.rosaceae.org/Prunus/Prunus_persica/p.persica_gdr_reftransV1_0000672","p.persica_gdr_reftransV1_0000672")</f>
        <v>p.persica_gdr_reftransV1_0000672</v>
      </c>
      <c r="B16112" s="2">
        <v>3147</v>
      </c>
      <c r="C16112" s="4" t="str">
        <f>HYPERLINK("http://www.uniprot.org/uniprot/M5X8S2","M5X8S2")</f>
        <v>M5X8S2</v>
      </c>
      <c r="D16112" s="2" t="s">
        <v>9286</v>
      </c>
      <c r="E16112" s="3">
        <v>0</v>
      </c>
      <c r="F16112" s="2">
        <v>3879</v>
      </c>
      <c r="G16112" s="2">
        <v>93</v>
      </c>
      <c r="H16112" s="2">
        <v>919</v>
      </c>
      <c r="I16112" s="2">
        <v>64</v>
      </c>
      <c r="J16112" s="2">
        <v>2820</v>
      </c>
      <c r="K16112" s="2">
        <v>252</v>
      </c>
      <c r="L16112" s="2">
        <v>1106</v>
      </c>
    </row>
    <row r="16113" spans="1:12" x14ac:dyDescent="0.25">
      <c r="A16113" s="4" t="str">
        <f>HYPERLINK("http://www.rosaceae.org/Prunus/Prunus_persica/p.persica_gdr_reftransV1_0001022","p.persica_gdr_reftransV1_0001022")</f>
        <v>p.persica_gdr_reftransV1_0001022</v>
      </c>
      <c r="B16113" s="2">
        <v>1492</v>
      </c>
      <c r="C16113" s="4" t="str">
        <f>HYPERLINK("http://www.uniprot.org/uniprot/M5X055","M5X055")</f>
        <v>M5X055</v>
      </c>
      <c r="D16113" s="2" t="s">
        <v>286</v>
      </c>
      <c r="E16113" s="3">
        <v>0</v>
      </c>
      <c r="F16113" s="2">
        <v>1951</v>
      </c>
      <c r="G16113" s="2">
        <v>100</v>
      </c>
      <c r="H16113" s="2">
        <v>392</v>
      </c>
      <c r="I16113" s="2">
        <v>41</v>
      </c>
      <c r="J16113" s="2">
        <v>1216</v>
      </c>
      <c r="K16113" s="2">
        <v>1</v>
      </c>
      <c r="L16113" s="2">
        <v>392</v>
      </c>
    </row>
    <row r="16114" spans="1:12" x14ac:dyDescent="0.25">
      <c r="A16114" s="4" t="str">
        <f>HYPERLINK("http://www.rosaceae.org/Prunus/Prunus_persica/p.persica_gdr_reftransV1_0001372","p.persica_gdr_reftransV1_0001372")</f>
        <v>p.persica_gdr_reftransV1_0001372</v>
      </c>
      <c r="B16114" s="2">
        <v>1689</v>
      </c>
      <c r="C16114" s="4" t="str">
        <f>HYPERLINK("http://www.uniprot.org/uniprot/A0A061EYI5","A0A061EYI5")</f>
        <v>A0A061EYI5</v>
      </c>
      <c r="D16114" s="2" t="s">
        <v>12837</v>
      </c>
      <c r="E16114" s="3">
        <v>1.48E-178</v>
      </c>
      <c r="F16114" s="2">
        <v>1355</v>
      </c>
      <c r="G16114" s="2">
        <v>56</v>
      </c>
      <c r="H16114" s="2">
        <v>516</v>
      </c>
      <c r="I16114" s="2">
        <v>116</v>
      </c>
      <c r="J16114" s="2">
        <v>1624</v>
      </c>
      <c r="K16114" s="2">
        <v>1</v>
      </c>
      <c r="L16114" s="2">
        <v>514</v>
      </c>
    </row>
    <row r="16115" spans="1:12" x14ac:dyDescent="0.25">
      <c r="A16115" s="4" t="str">
        <f>HYPERLINK("http://www.rosaceae.org/Prunus/Prunus_persica/p.persica_gdr_reftransV1_0001722","p.persica_gdr_reftransV1_0001722")</f>
        <v>p.persica_gdr_reftransV1_0001722</v>
      </c>
      <c r="B16115" s="2">
        <v>766</v>
      </c>
      <c r="C16115" s="4" t="str">
        <f>HYPERLINK("http://www.uniprot.org/uniprot/M5WB01","M5WB01")</f>
        <v>M5WB01</v>
      </c>
      <c r="D16115" s="2" t="s">
        <v>757</v>
      </c>
      <c r="E16115" s="3">
        <v>1.9499999999999999E-96</v>
      </c>
      <c r="F16115" s="2">
        <v>746</v>
      </c>
      <c r="G16115" s="2">
        <v>100</v>
      </c>
      <c r="H16115" s="2">
        <v>151</v>
      </c>
      <c r="I16115" s="2">
        <v>76</v>
      </c>
      <c r="J16115" s="2">
        <v>528</v>
      </c>
      <c r="K16115" s="2">
        <v>1</v>
      </c>
      <c r="L16115" s="2">
        <v>151</v>
      </c>
    </row>
    <row r="16116" spans="1:12" x14ac:dyDescent="0.25">
      <c r="A16116" s="4" t="str">
        <f>HYPERLINK("http://www.rosaceae.org/Prunus/Prunus_persica/p.persica_gdr_reftransV1_0002422","p.persica_gdr_reftransV1_0002422")</f>
        <v>p.persica_gdr_reftransV1_0002422</v>
      </c>
      <c r="B16116" s="2">
        <v>1032</v>
      </c>
      <c r="C16116" s="4" t="str">
        <f>HYPERLINK("http://www.uniprot.org/uniprot/M5XQA3","M5XQA3")</f>
        <v>M5XQA3</v>
      </c>
      <c r="D16116" s="2" t="s">
        <v>12838</v>
      </c>
      <c r="E16116" s="3">
        <v>2.04E-170</v>
      </c>
      <c r="F16116" s="2">
        <v>1261</v>
      </c>
      <c r="G16116" s="2">
        <v>100</v>
      </c>
      <c r="H16116" s="2">
        <v>282</v>
      </c>
      <c r="I16116" s="2">
        <v>1</v>
      </c>
      <c r="J16116" s="2">
        <v>846</v>
      </c>
      <c r="K16116" s="2">
        <v>61</v>
      </c>
      <c r="L16116" s="2">
        <v>342</v>
      </c>
    </row>
    <row r="16117" spans="1:12" x14ac:dyDescent="0.25">
      <c r="A16117" s="4" t="str">
        <f>HYPERLINK("http://www.rosaceae.org/Prunus/Prunus_persica/p.persica_gdr_reftransV1_0004172","p.persica_gdr_reftransV1_0004172")</f>
        <v>p.persica_gdr_reftransV1_0004172</v>
      </c>
      <c r="B16117" s="2">
        <v>492</v>
      </c>
      <c r="C16117" s="4" t="str">
        <f>HYPERLINK("http://www.uniprot.org/uniprot/M5WEP7","M5WEP7")</f>
        <v>M5WEP7</v>
      </c>
      <c r="D16117" s="2" t="s">
        <v>12839</v>
      </c>
      <c r="E16117" s="3">
        <v>1.3099999999999999E-116</v>
      </c>
      <c r="F16117" s="2">
        <v>869</v>
      </c>
      <c r="G16117" s="2">
        <v>100</v>
      </c>
      <c r="H16117" s="2">
        <v>163</v>
      </c>
      <c r="I16117" s="2">
        <v>2</v>
      </c>
      <c r="J16117" s="2">
        <v>490</v>
      </c>
      <c r="K16117" s="2">
        <v>4</v>
      </c>
      <c r="L16117" s="2">
        <v>166</v>
      </c>
    </row>
    <row r="16118" spans="1:12" x14ac:dyDescent="0.25">
      <c r="A16118" s="4" t="str">
        <f>HYPERLINK("http://www.rosaceae.org/Prunus/Prunus_persica/p.persica_gdr_reftransV1_0004872","p.persica_gdr_reftransV1_0004872")</f>
        <v>p.persica_gdr_reftransV1_0004872</v>
      </c>
      <c r="B16118" s="2">
        <v>1533</v>
      </c>
      <c r="C16118" s="4" t="str">
        <f>HYPERLINK("http://www.uniprot.org/uniprot/M5XDT8","M5XDT8")</f>
        <v>M5XDT8</v>
      </c>
      <c r="D16118" s="2" t="s">
        <v>3989</v>
      </c>
      <c r="E16118" s="3">
        <v>0</v>
      </c>
      <c r="F16118" s="2">
        <v>1643</v>
      </c>
      <c r="G16118" s="2">
        <v>99</v>
      </c>
      <c r="H16118" s="2">
        <v>342</v>
      </c>
      <c r="I16118" s="2">
        <v>261</v>
      </c>
      <c r="J16118" s="2">
        <v>1286</v>
      </c>
      <c r="K16118" s="2">
        <v>1</v>
      </c>
      <c r="L16118" s="2">
        <v>342</v>
      </c>
    </row>
    <row r="16119" spans="1:12" x14ac:dyDescent="0.25">
      <c r="A16119" s="4" t="str">
        <f>HYPERLINK("http://www.rosaceae.org/Prunus/Prunus_persica/p.persica_gdr_reftransV1_0005222","p.persica_gdr_reftransV1_0005222")</f>
        <v>p.persica_gdr_reftransV1_0005222</v>
      </c>
      <c r="B16119" s="2">
        <v>2233</v>
      </c>
      <c r="C16119" s="4" t="str">
        <f>HYPERLINK("http://www.uniprot.org/uniprot/M5VJM2","M5VJM2")</f>
        <v>M5VJM2</v>
      </c>
      <c r="D16119" s="2" t="s">
        <v>12840</v>
      </c>
      <c r="E16119" s="3">
        <v>0</v>
      </c>
      <c r="F16119" s="2">
        <v>2869</v>
      </c>
      <c r="G16119" s="2">
        <v>100</v>
      </c>
      <c r="H16119" s="2">
        <v>538</v>
      </c>
      <c r="I16119" s="2">
        <v>491</v>
      </c>
      <c r="J16119" s="2">
        <v>2104</v>
      </c>
      <c r="K16119" s="2">
        <v>1</v>
      </c>
      <c r="L16119" s="2">
        <v>538</v>
      </c>
    </row>
    <row r="16120" spans="1:12" x14ac:dyDescent="0.25">
      <c r="A16120" s="4" t="str">
        <f>HYPERLINK("http://www.rosaceae.org/Prunus/Prunus_persica/p.persica_gdr_reftransV1_0005572","p.persica_gdr_reftransV1_0005572")</f>
        <v>p.persica_gdr_reftransV1_0005572</v>
      </c>
      <c r="B16120" s="2">
        <v>314</v>
      </c>
      <c r="C16120" s="4" t="str">
        <f>HYPERLINK("http://www.uniprot.org/uniprot/M5X371","M5X371")</f>
        <v>M5X371</v>
      </c>
      <c r="D16120" s="2" t="s">
        <v>553</v>
      </c>
      <c r="E16120" s="3">
        <v>6.8900000000000005E-41</v>
      </c>
      <c r="F16120" s="2">
        <v>391</v>
      </c>
      <c r="G16120" s="2">
        <v>75</v>
      </c>
      <c r="H16120" s="2">
        <v>110</v>
      </c>
      <c r="I16120" s="2">
        <v>2</v>
      </c>
      <c r="J16120" s="2">
        <v>313</v>
      </c>
      <c r="K16120" s="2">
        <v>988</v>
      </c>
      <c r="L16120" s="2">
        <v>1081</v>
      </c>
    </row>
    <row r="16121" spans="1:12" x14ac:dyDescent="0.25">
      <c r="A16121" s="4" t="str">
        <f>HYPERLINK("http://www.rosaceae.org/Prunus/Prunus_persica/p.persica_gdr_reftransV1_0005922","p.persica_gdr_reftransV1_0005922")</f>
        <v>p.persica_gdr_reftransV1_0005922</v>
      </c>
      <c r="B16121" s="2">
        <v>312</v>
      </c>
      <c r="C16121" s="4" t="str">
        <f>HYPERLINK("http://www.uniprot.org/uniprot/M5X3P6","M5X3P6")</f>
        <v>M5X3P6</v>
      </c>
      <c r="D16121" s="2" t="s">
        <v>12841</v>
      </c>
      <c r="E16121" s="3">
        <v>9.5599999999999998E-62</v>
      </c>
      <c r="F16121" s="2">
        <v>537</v>
      </c>
      <c r="G16121" s="2">
        <v>100</v>
      </c>
      <c r="H16121" s="2">
        <v>103</v>
      </c>
      <c r="I16121" s="2">
        <v>3</v>
      </c>
      <c r="J16121" s="2">
        <v>311</v>
      </c>
      <c r="K16121" s="2">
        <v>130</v>
      </c>
      <c r="L16121" s="2">
        <v>232</v>
      </c>
    </row>
    <row r="16122" spans="1:12" x14ac:dyDescent="0.25">
      <c r="A16122" s="4" t="str">
        <f>HYPERLINK("http://www.rosaceae.org/Prunus/Prunus_persica/p.persica_gdr_reftransV1_0006272","p.persica_gdr_reftransV1_0006272")</f>
        <v>p.persica_gdr_reftransV1_0006272</v>
      </c>
      <c r="B16122" s="2">
        <v>333</v>
      </c>
      <c r="C16122" s="4" t="str">
        <f>HYPERLINK("http://www.uniprot.org/uniprot/M5Y447","M5Y447")</f>
        <v>M5Y447</v>
      </c>
      <c r="D16122" s="2" t="s">
        <v>8600</v>
      </c>
      <c r="E16122" s="3">
        <v>1.1000000000000001E-65</v>
      </c>
      <c r="F16122" s="2">
        <v>569</v>
      </c>
      <c r="G16122" s="2">
        <v>100</v>
      </c>
      <c r="H16122" s="2">
        <v>111</v>
      </c>
      <c r="I16122" s="2">
        <v>1</v>
      </c>
      <c r="J16122" s="2">
        <v>333</v>
      </c>
      <c r="K16122" s="2">
        <v>162</v>
      </c>
      <c r="L16122" s="2">
        <v>272</v>
      </c>
    </row>
    <row r="16123" spans="1:12" x14ac:dyDescent="0.25">
      <c r="A16123" s="4" t="str">
        <f>HYPERLINK("http://www.rosaceae.org/Prunus/Prunus_persica/p.persica_gdr_reftransV1_0006972","p.persica_gdr_reftransV1_0006972")</f>
        <v>p.persica_gdr_reftransV1_0006972</v>
      </c>
      <c r="B16123" s="2">
        <v>431</v>
      </c>
      <c r="C16123" s="4" t="str">
        <f>HYPERLINK("http://www.uniprot.org/uniprot/M5W1Y2","M5W1Y2")</f>
        <v>M5W1Y2</v>
      </c>
      <c r="D16123" s="2" t="s">
        <v>12842</v>
      </c>
      <c r="E16123" s="3">
        <v>8.7699999999999997E-98</v>
      </c>
      <c r="F16123" s="2">
        <v>772</v>
      </c>
      <c r="G16123" s="2">
        <v>100</v>
      </c>
      <c r="H16123" s="2">
        <v>143</v>
      </c>
      <c r="I16123" s="2">
        <v>3</v>
      </c>
      <c r="J16123" s="2">
        <v>431</v>
      </c>
      <c r="K16123" s="2">
        <v>343</v>
      </c>
      <c r="L16123" s="2">
        <v>485</v>
      </c>
    </row>
    <row r="16124" spans="1:12" x14ac:dyDescent="0.25">
      <c r="A16124" s="4" t="str">
        <f>HYPERLINK("http://www.rosaceae.org/Prunus/Prunus_persica/p.persica_gdr_reftransV1_0008372","p.persica_gdr_reftransV1_0008372")</f>
        <v>p.persica_gdr_reftransV1_0008372</v>
      </c>
      <c r="B16124" s="2">
        <v>728</v>
      </c>
      <c r="C16124" s="4" t="str">
        <f>HYPERLINK("http://www.uniprot.org/uniprot/M5WJQ7","M5WJQ7")</f>
        <v>M5WJQ7</v>
      </c>
      <c r="D16124" s="2" t="s">
        <v>12843</v>
      </c>
      <c r="E16124" s="3">
        <v>1.45E-112</v>
      </c>
      <c r="F16124" s="2">
        <v>897</v>
      </c>
      <c r="G16124" s="2">
        <v>98</v>
      </c>
      <c r="H16124" s="2">
        <v>242</v>
      </c>
      <c r="I16124" s="2">
        <v>2</v>
      </c>
      <c r="J16124" s="2">
        <v>727</v>
      </c>
      <c r="K16124" s="2">
        <v>145</v>
      </c>
      <c r="L16124" s="2">
        <v>386</v>
      </c>
    </row>
    <row r="16125" spans="1:12" x14ac:dyDescent="0.25">
      <c r="A16125" s="4" t="str">
        <f>HYPERLINK("http://www.rosaceae.org/Prunus/Prunus_persica/p.persica_gdr_reftransV1_0010122","p.persica_gdr_reftransV1_0010122")</f>
        <v>p.persica_gdr_reftransV1_0010122</v>
      </c>
      <c r="B16125" s="2">
        <v>531</v>
      </c>
      <c r="C16125" s="4" t="str">
        <f>HYPERLINK("http://www.uniprot.org/uniprot/M5WTU6","M5WTU6")</f>
        <v>M5WTU6</v>
      </c>
      <c r="D16125" s="2" t="s">
        <v>12844</v>
      </c>
      <c r="E16125" s="3">
        <v>9.9700000000000008E-75</v>
      </c>
      <c r="F16125" s="2">
        <v>600</v>
      </c>
      <c r="G16125" s="2">
        <v>100</v>
      </c>
      <c r="H16125" s="2">
        <v>112</v>
      </c>
      <c r="I16125" s="2">
        <v>196</v>
      </c>
      <c r="J16125" s="2">
        <v>531</v>
      </c>
      <c r="K16125" s="2">
        <v>1</v>
      </c>
      <c r="L16125" s="2">
        <v>112</v>
      </c>
    </row>
    <row r="16126" spans="1:12" x14ac:dyDescent="0.25">
      <c r="A16126" s="4" t="str">
        <f>HYPERLINK("http://www.rosaceae.org/Prunus/Prunus_persica/p.persica_gdr_reftransV1_0010472","p.persica_gdr_reftransV1_0010472")</f>
        <v>p.persica_gdr_reftransV1_0010472</v>
      </c>
      <c r="B16126" s="2">
        <v>3720</v>
      </c>
      <c r="C16126" s="4" t="str">
        <f>HYPERLINK("http://www.uniprot.org/uniprot/M5W293","M5W293")</f>
        <v>M5W293</v>
      </c>
      <c r="D16126" s="2" t="s">
        <v>6210</v>
      </c>
      <c r="E16126" s="3">
        <v>0</v>
      </c>
      <c r="F16126" s="2">
        <v>2617</v>
      </c>
      <c r="G16126" s="2">
        <v>100</v>
      </c>
      <c r="H16126" s="2">
        <v>485</v>
      </c>
      <c r="I16126" s="2">
        <v>438</v>
      </c>
      <c r="J16126" s="2">
        <v>1892</v>
      </c>
      <c r="K16126" s="2">
        <v>503</v>
      </c>
      <c r="L16126" s="2">
        <v>987</v>
      </c>
    </row>
    <row r="16127" spans="1:12" x14ac:dyDescent="0.25">
      <c r="A16127" s="4" t="str">
        <f>HYPERLINK("http://www.rosaceae.org/Prunus/Prunus_persica/p.persica_gdr_reftransV1_0010822","p.persica_gdr_reftransV1_0010822")</f>
        <v>p.persica_gdr_reftransV1_0010822</v>
      </c>
      <c r="B16127" s="2">
        <v>967</v>
      </c>
      <c r="C16127" s="4" t="str">
        <f>HYPERLINK("http://www.uniprot.org/uniprot/M5VSS4","M5VSS4")</f>
        <v>M5VSS4</v>
      </c>
      <c r="D16127" s="2" t="s">
        <v>3555</v>
      </c>
      <c r="E16127" s="3">
        <v>0</v>
      </c>
      <c r="F16127" s="2">
        <v>1717</v>
      </c>
      <c r="G16127" s="2">
        <v>100</v>
      </c>
      <c r="H16127" s="2">
        <v>322</v>
      </c>
      <c r="I16127" s="2">
        <v>2</v>
      </c>
      <c r="J16127" s="2">
        <v>967</v>
      </c>
      <c r="K16127" s="2">
        <v>107</v>
      </c>
      <c r="L16127" s="2">
        <v>428</v>
      </c>
    </row>
    <row r="16128" spans="1:12" x14ac:dyDescent="0.25">
      <c r="A16128" s="4" t="str">
        <f>HYPERLINK("http://www.rosaceae.org/Prunus/Prunus_persica/p.persica_gdr_reftransV1_0011172","p.persica_gdr_reftransV1_0011172")</f>
        <v>p.persica_gdr_reftransV1_0011172</v>
      </c>
      <c r="B16128" s="2">
        <v>954</v>
      </c>
      <c r="C16128" s="4" t="str">
        <f>HYPERLINK("http://www.uniprot.org/uniprot/M5XU20","M5XU20")</f>
        <v>M5XU20</v>
      </c>
      <c r="D16128" s="2" t="s">
        <v>12845</v>
      </c>
      <c r="E16128" s="3">
        <v>2.01E-165</v>
      </c>
      <c r="F16128" s="2">
        <v>1213</v>
      </c>
      <c r="G16128" s="2">
        <v>100</v>
      </c>
      <c r="H16128" s="2">
        <v>227</v>
      </c>
      <c r="I16128" s="2">
        <v>141</v>
      </c>
      <c r="J16128" s="2">
        <v>821</v>
      </c>
      <c r="K16128" s="2">
        <v>1</v>
      </c>
      <c r="L16128" s="2">
        <v>227</v>
      </c>
    </row>
    <row r="16129" spans="1:12" x14ac:dyDescent="0.25">
      <c r="A16129" s="4" t="str">
        <f>HYPERLINK("http://www.rosaceae.org/Prunus/Prunus_persica/p.persica_gdr_reftransV1_0011522","p.persica_gdr_reftransV1_0011522")</f>
        <v>p.persica_gdr_reftransV1_0011522</v>
      </c>
      <c r="B16129" s="2">
        <v>2557</v>
      </c>
      <c r="C16129" s="4" t="str">
        <f>HYPERLINK("http://www.uniprot.org/uniprot/W9RU86","W9RU86")</f>
        <v>W9RU86</v>
      </c>
      <c r="D16129" s="2" t="s">
        <v>12846</v>
      </c>
      <c r="E16129" s="3">
        <v>0</v>
      </c>
      <c r="F16129" s="2">
        <v>3337</v>
      </c>
      <c r="G16129" s="2">
        <v>92</v>
      </c>
      <c r="H16129" s="2">
        <v>679</v>
      </c>
      <c r="I16129" s="2">
        <v>262</v>
      </c>
      <c r="J16129" s="2">
        <v>2298</v>
      </c>
      <c r="K16129" s="2">
        <v>16</v>
      </c>
      <c r="L16129" s="2">
        <v>694</v>
      </c>
    </row>
    <row r="16130" spans="1:12" x14ac:dyDescent="0.25">
      <c r="A16130" s="4" t="str">
        <f>HYPERLINK("http://www.rosaceae.org/Prunus/Prunus_persica/p.persica_gdr_reftransV1_0012572","p.persica_gdr_reftransV1_0012572")</f>
        <v>p.persica_gdr_reftransV1_0012572</v>
      </c>
      <c r="B16130" s="2">
        <v>2074</v>
      </c>
      <c r="C16130" s="4" t="str">
        <f>HYPERLINK("http://www.uniprot.org/uniprot/M5WG62","M5WG62")</f>
        <v>M5WG62</v>
      </c>
      <c r="D16130" s="2" t="s">
        <v>12847</v>
      </c>
      <c r="E16130" s="3">
        <v>3.0599999999999999E-105</v>
      </c>
      <c r="F16130" s="2">
        <v>861</v>
      </c>
      <c r="G16130" s="2">
        <v>97</v>
      </c>
      <c r="H16130" s="2">
        <v>204</v>
      </c>
      <c r="I16130" s="2">
        <v>1077</v>
      </c>
      <c r="J16130" s="2">
        <v>1688</v>
      </c>
      <c r="K16130" s="2">
        <v>1</v>
      </c>
      <c r="L16130" s="2">
        <v>204</v>
      </c>
    </row>
    <row r="16131" spans="1:12" x14ac:dyDescent="0.25">
      <c r="A16131" s="4" t="str">
        <f>HYPERLINK("http://www.rosaceae.org/Prunus/Prunus_persica/p.persica_gdr_reftransV1_0012922","p.persica_gdr_reftransV1_0012922")</f>
        <v>p.persica_gdr_reftransV1_0012922</v>
      </c>
      <c r="B16131" s="2">
        <v>1309</v>
      </c>
      <c r="C16131" s="4" t="str">
        <f>HYPERLINK("http://www.uniprot.org/uniprot/A0A0D2UW02","A0A0D2UW02")</f>
        <v>A0A0D2UW02</v>
      </c>
      <c r="D16131" s="2" t="s">
        <v>12848</v>
      </c>
      <c r="E16131" s="3">
        <v>2.0299999999999999E-86</v>
      </c>
      <c r="F16131" s="2">
        <v>549</v>
      </c>
      <c r="G16131" s="2">
        <v>76</v>
      </c>
      <c r="H16131" s="2">
        <v>130</v>
      </c>
      <c r="I16131" s="2">
        <v>170</v>
      </c>
      <c r="J16131" s="2">
        <v>559</v>
      </c>
      <c r="K16131" s="2">
        <v>29</v>
      </c>
      <c r="L16131" s="2">
        <v>158</v>
      </c>
    </row>
    <row r="16132" spans="1:12" x14ac:dyDescent="0.25">
      <c r="A16132" s="4" t="str">
        <f>HYPERLINK("http://www.rosaceae.org/Prunus/Prunus_persica/p.persica_gdr_reftransV1_0014322","p.persica_gdr_reftransV1_0014322")</f>
        <v>p.persica_gdr_reftransV1_0014322</v>
      </c>
      <c r="B16132" s="2">
        <v>1489</v>
      </c>
      <c r="C16132" s="4" t="str">
        <f>HYPERLINK("http://www.uniprot.org/uniprot/M5VND4","M5VND4")</f>
        <v>M5VND4</v>
      </c>
      <c r="D16132" s="2" t="s">
        <v>9038</v>
      </c>
      <c r="E16132" s="3">
        <v>0</v>
      </c>
      <c r="F16132" s="2">
        <v>1851</v>
      </c>
      <c r="G16132" s="2">
        <v>100</v>
      </c>
      <c r="H16132" s="2">
        <v>433</v>
      </c>
      <c r="I16132" s="2">
        <v>2</v>
      </c>
      <c r="J16132" s="2">
        <v>1300</v>
      </c>
      <c r="K16132" s="2">
        <v>221</v>
      </c>
      <c r="L16132" s="2">
        <v>653</v>
      </c>
    </row>
    <row r="16133" spans="1:12" x14ac:dyDescent="0.25">
      <c r="A16133" s="4" t="str">
        <f>HYPERLINK("http://www.rosaceae.org/Prunus/Prunus_persica/p.persica_gdr_reftransV1_0015022","p.persica_gdr_reftransV1_0015022")</f>
        <v>p.persica_gdr_reftransV1_0015022</v>
      </c>
      <c r="B16133" s="2">
        <v>3148</v>
      </c>
      <c r="C16133" s="4" t="str">
        <f>HYPERLINK("http://www.uniprot.org/uniprot/M5WYV6","M5WYV6")</f>
        <v>M5WYV6</v>
      </c>
      <c r="D16133" s="2" t="s">
        <v>12849</v>
      </c>
      <c r="E16133" s="3">
        <v>0</v>
      </c>
      <c r="F16133" s="2">
        <v>2197</v>
      </c>
      <c r="G16133" s="2">
        <v>100</v>
      </c>
      <c r="H16133" s="2">
        <v>409</v>
      </c>
      <c r="I16133" s="2">
        <v>1787</v>
      </c>
      <c r="J16133" s="2">
        <v>3013</v>
      </c>
      <c r="K16133" s="2">
        <v>1</v>
      </c>
      <c r="L16133" s="2">
        <v>409</v>
      </c>
    </row>
    <row r="16134" spans="1:12" x14ac:dyDescent="0.25">
      <c r="A16134" s="4" t="str">
        <f>HYPERLINK("http://www.rosaceae.org/Prunus/Prunus_persica/p.persica_gdr_reftransV1_0015372","p.persica_gdr_reftransV1_0015372")</f>
        <v>p.persica_gdr_reftransV1_0015372</v>
      </c>
      <c r="B16134" s="2">
        <v>1642</v>
      </c>
      <c r="C16134" s="4" t="str">
        <f>HYPERLINK("http://www.uniprot.org/uniprot/M5X0V0","M5X0V0")</f>
        <v>M5X0V0</v>
      </c>
      <c r="D16134" s="2" t="s">
        <v>12850</v>
      </c>
      <c r="E16134" s="3">
        <v>4.3199999999999998E-178</v>
      </c>
      <c r="F16134" s="2">
        <v>1335</v>
      </c>
      <c r="G16134" s="2">
        <v>100</v>
      </c>
      <c r="H16134" s="2">
        <v>268</v>
      </c>
      <c r="I16134" s="2">
        <v>623</v>
      </c>
      <c r="J16134" s="2">
        <v>1426</v>
      </c>
      <c r="K16134" s="2">
        <v>93</v>
      </c>
      <c r="L16134" s="2">
        <v>360</v>
      </c>
    </row>
    <row r="16135" spans="1:12" x14ac:dyDescent="0.25">
      <c r="A16135" s="4" t="str">
        <f>HYPERLINK("http://www.rosaceae.org/Prunus/Prunus_persica/p.persica_gdr_reftransV1_0016422","p.persica_gdr_reftransV1_0016422")</f>
        <v>p.persica_gdr_reftransV1_0016422</v>
      </c>
      <c r="B16135" s="2">
        <v>1521</v>
      </c>
      <c r="C16135" s="4" t="str">
        <f>HYPERLINK("http://www.uniprot.org/uniprot/M5WUI6","M5WUI6")</f>
        <v>M5WUI6</v>
      </c>
      <c r="D16135" s="2" t="s">
        <v>12851</v>
      </c>
      <c r="E16135" s="3">
        <v>6.3500000000000006E-154</v>
      </c>
      <c r="F16135" s="2">
        <v>1166</v>
      </c>
      <c r="G16135" s="2">
        <v>98</v>
      </c>
      <c r="H16135" s="2">
        <v>281</v>
      </c>
      <c r="I16135" s="2">
        <v>357</v>
      </c>
      <c r="J16135" s="2">
        <v>1199</v>
      </c>
      <c r="K16135" s="2">
        <v>33</v>
      </c>
      <c r="L16135" s="2">
        <v>309</v>
      </c>
    </row>
    <row r="16136" spans="1:12" x14ac:dyDescent="0.25">
      <c r="A16136" s="4" t="str">
        <f>HYPERLINK("http://www.rosaceae.org/Prunus/Prunus_persica/p.persica_gdr_reftransV1_0017122","p.persica_gdr_reftransV1_0017122")</f>
        <v>p.persica_gdr_reftransV1_0017122</v>
      </c>
      <c r="B16136" s="2">
        <v>1970</v>
      </c>
      <c r="C16136" s="4" t="str">
        <f>HYPERLINK("http://www.uniprot.org/uniprot/M5W8F9","M5W8F9")</f>
        <v>M5W8F9</v>
      </c>
      <c r="D16136" s="2" t="s">
        <v>3457</v>
      </c>
      <c r="E16136" s="3">
        <v>0</v>
      </c>
      <c r="F16136" s="2">
        <v>2070</v>
      </c>
      <c r="G16136" s="2">
        <v>100</v>
      </c>
      <c r="H16136" s="2">
        <v>397</v>
      </c>
      <c r="I16136" s="2">
        <v>3</v>
      </c>
      <c r="J16136" s="2">
        <v>1193</v>
      </c>
      <c r="K16136" s="2">
        <v>159</v>
      </c>
      <c r="L16136" s="2">
        <v>555</v>
      </c>
    </row>
    <row r="16137" spans="1:12" x14ac:dyDescent="0.25">
      <c r="A16137" s="4" t="str">
        <f>HYPERLINK("http://www.rosaceae.org/Prunus/Prunus_persica/p.persica_gdr_reftransV1_0017472","p.persica_gdr_reftransV1_0017472")</f>
        <v>p.persica_gdr_reftransV1_0017472</v>
      </c>
      <c r="B16137" s="2">
        <v>2596</v>
      </c>
      <c r="C16137" s="4" t="str">
        <f>HYPERLINK("http://www.uniprot.org/uniprot/M5VVH0","M5VVH0")</f>
        <v>M5VVH0</v>
      </c>
      <c r="D16137" s="2" t="s">
        <v>6586</v>
      </c>
      <c r="E16137" s="3">
        <v>0</v>
      </c>
      <c r="F16137" s="2">
        <v>2626</v>
      </c>
      <c r="G16137" s="2">
        <v>100</v>
      </c>
      <c r="H16137" s="2">
        <v>555</v>
      </c>
      <c r="I16137" s="2">
        <v>422</v>
      </c>
      <c r="J16137" s="2">
        <v>2086</v>
      </c>
      <c r="K16137" s="2">
        <v>9</v>
      </c>
      <c r="L16137" s="2">
        <v>563</v>
      </c>
    </row>
    <row r="16138" spans="1:12" x14ac:dyDescent="0.25">
      <c r="A16138" s="4" t="str">
        <f>HYPERLINK("http://www.rosaceae.org/Prunus/Prunus_persica/p.persica_gdr_reftransV1_0019222","p.persica_gdr_reftransV1_0019222")</f>
        <v>p.persica_gdr_reftransV1_0019222</v>
      </c>
      <c r="B16138" s="2">
        <v>1231</v>
      </c>
      <c r="C16138" s="4" t="str">
        <f>HYPERLINK("http://www.uniprot.org/uniprot/M5WWV8","M5WWV8")</f>
        <v>M5WWV8</v>
      </c>
      <c r="D16138" s="2" t="s">
        <v>12852</v>
      </c>
      <c r="E16138" s="3">
        <v>1.6700000000000001E-152</v>
      </c>
      <c r="F16138" s="2">
        <v>1136</v>
      </c>
      <c r="G16138" s="2">
        <v>100</v>
      </c>
      <c r="H16138" s="2">
        <v>209</v>
      </c>
      <c r="I16138" s="2">
        <v>447</v>
      </c>
      <c r="J16138" s="2">
        <v>1073</v>
      </c>
      <c r="K16138" s="2">
        <v>4</v>
      </c>
      <c r="L16138" s="2">
        <v>212</v>
      </c>
    </row>
    <row r="16139" spans="1:12" x14ac:dyDescent="0.25">
      <c r="A16139" s="4" t="str">
        <f>HYPERLINK("http://www.rosaceae.org/Prunus/Prunus_persica/p.persica_gdr_reftransV1_0019922","p.persica_gdr_reftransV1_0019922")</f>
        <v>p.persica_gdr_reftransV1_0019922</v>
      </c>
      <c r="B16139" s="2">
        <v>1488</v>
      </c>
      <c r="C16139" s="4" t="str">
        <f>HYPERLINK("http://www.uniprot.org/uniprot/M5X6I4","M5X6I4")</f>
        <v>M5X6I4</v>
      </c>
      <c r="D16139" s="2" t="s">
        <v>12853</v>
      </c>
      <c r="E16139" s="3">
        <v>0</v>
      </c>
      <c r="F16139" s="2">
        <v>1471</v>
      </c>
      <c r="G16139" s="2">
        <v>86</v>
      </c>
      <c r="H16139" s="2">
        <v>345</v>
      </c>
      <c r="I16139" s="2">
        <v>310</v>
      </c>
      <c r="J16139" s="2">
        <v>1344</v>
      </c>
      <c r="K16139" s="2">
        <v>1</v>
      </c>
      <c r="L16139" s="2">
        <v>311</v>
      </c>
    </row>
    <row r="16140" spans="1:12" x14ac:dyDescent="0.25">
      <c r="A16140" s="4" t="str">
        <f>HYPERLINK("http://www.rosaceae.org/Prunus/Prunus_persica/p.persica_gdr_reftransV1_0020272","p.persica_gdr_reftransV1_0020272")</f>
        <v>p.persica_gdr_reftransV1_0020272</v>
      </c>
      <c r="B16140" s="2">
        <v>2585</v>
      </c>
      <c r="C16140" s="4" t="str">
        <f>HYPERLINK("http://www.uniprot.org/uniprot/M5WXQ2","M5WXQ2")</f>
        <v>M5WXQ2</v>
      </c>
      <c r="D16140" s="2" t="s">
        <v>12854</v>
      </c>
      <c r="E16140" s="3">
        <v>0</v>
      </c>
      <c r="F16140" s="2">
        <v>3688</v>
      </c>
      <c r="G16140" s="2">
        <v>100</v>
      </c>
      <c r="H16140" s="2">
        <v>713</v>
      </c>
      <c r="I16140" s="2">
        <v>178</v>
      </c>
      <c r="J16140" s="2">
        <v>2316</v>
      </c>
      <c r="K16140" s="2">
        <v>1</v>
      </c>
      <c r="L16140" s="2">
        <v>710</v>
      </c>
    </row>
    <row r="16141" spans="1:12" x14ac:dyDescent="0.25">
      <c r="A16141" s="4" t="str">
        <f>HYPERLINK("http://www.rosaceae.org/Prunus/Prunus_persica/p.persica_gdr_reftransV1_0020972","p.persica_gdr_reftransV1_0020972")</f>
        <v>p.persica_gdr_reftransV1_0020972</v>
      </c>
      <c r="B16141" s="2">
        <v>3587</v>
      </c>
      <c r="C16141" s="4" t="str">
        <f>HYPERLINK("http://www.uniprot.org/uniprot/M5XAL6","M5XAL6")</f>
        <v>M5XAL6</v>
      </c>
      <c r="D16141" s="2" t="s">
        <v>7475</v>
      </c>
      <c r="E16141" s="3">
        <v>0</v>
      </c>
      <c r="F16141" s="2">
        <v>6224</v>
      </c>
      <c r="G16141" s="2">
        <v>100</v>
      </c>
      <c r="H16141" s="2">
        <v>1195</v>
      </c>
      <c r="I16141" s="2">
        <v>2</v>
      </c>
      <c r="J16141" s="2">
        <v>3586</v>
      </c>
      <c r="K16141" s="2">
        <v>277</v>
      </c>
      <c r="L16141" s="2">
        <v>1471</v>
      </c>
    </row>
    <row r="16142" spans="1:12" x14ac:dyDescent="0.25">
      <c r="A16142" s="4" t="str">
        <f>HYPERLINK("http://www.rosaceae.org/Prunus/Prunus_persica/p.persica_gdr_reftransV1_0021672","p.persica_gdr_reftransV1_0021672")</f>
        <v>p.persica_gdr_reftransV1_0021672</v>
      </c>
      <c r="B16142" s="2">
        <v>1597</v>
      </c>
      <c r="C16142" s="4" t="str">
        <f>HYPERLINK("http://www.uniprot.org/uniprot/M5WCE2","M5WCE2")</f>
        <v>M5WCE2</v>
      </c>
      <c r="D16142" s="2" t="s">
        <v>3222</v>
      </c>
      <c r="E16142" s="3">
        <v>0</v>
      </c>
      <c r="F16142" s="2">
        <v>1010</v>
      </c>
      <c r="G16142" s="2">
        <v>99</v>
      </c>
      <c r="H16142" s="2">
        <v>189</v>
      </c>
      <c r="I16142" s="2">
        <v>2</v>
      </c>
      <c r="J16142" s="2">
        <v>568</v>
      </c>
      <c r="K16142" s="2">
        <v>188</v>
      </c>
      <c r="L16142" s="2">
        <v>376</v>
      </c>
    </row>
    <row r="16143" spans="1:12" x14ac:dyDescent="0.25">
      <c r="A16143" s="4" t="str">
        <f>HYPERLINK("http://www.rosaceae.org/Prunus/Prunus_persica/p.persica_gdr_reftransV1_0022372","p.persica_gdr_reftransV1_0022372")</f>
        <v>p.persica_gdr_reftransV1_0022372</v>
      </c>
      <c r="B16143" s="2">
        <v>1671</v>
      </c>
      <c r="C16143" s="4" t="str">
        <f>HYPERLINK("http://www.uniprot.org/uniprot/M5VQW4","M5VQW4")</f>
        <v>M5VQW4</v>
      </c>
      <c r="D16143" s="2" t="s">
        <v>12855</v>
      </c>
      <c r="E16143" s="3">
        <v>0</v>
      </c>
      <c r="F16143" s="2">
        <v>1375</v>
      </c>
      <c r="G16143" s="2">
        <v>94</v>
      </c>
      <c r="H16143" s="2">
        <v>288</v>
      </c>
      <c r="I16143" s="2">
        <v>758</v>
      </c>
      <c r="J16143" s="2">
        <v>1618</v>
      </c>
      <c r="K16143" s="2">
        <v>1</v>
      </c>
      <c r="L16143" s="2">
        <v>283</v>
      </c>
    </row>
    <row r="16144" spans="1:12" x14ac:dyDescent="0.25">
      <c r="A16144" s="4" t="str">
        <f>HYPERLINK("http://www.rosaceae.org/Prunus/Prunus_persica/p.persica_gdr_reftransV1_0023072","p.persica_gdr_reftransV1_0023072")</f>
        <v>p.persica_gdr_reftransV1_0023072</v>
      </c>
      <c r="B16144" s="2">
        <v>1787</v>
      </c>
      <c r="C16144" s="4" t="str">
        <f>HYPERLINK("http://www.uniprot.org/uniprot/M5XFG1","M5XFG1")</f>
        <v>M5XFG1</v>
      </c>
      <c r="D16144" s="2" t="s">
        <v>12856</v>
      </c>
      <c r="E16144" s="3">
        <v>0</v>
      </c>
      <c r="F16144" s="2">
        <v>2425</v>
      </c>
      <c r="G16144" s="2">
        <v>100</v>
      </c>
      <c r="H16144" s="2">
        <v>496</v>
      </c>
      <c r="I16144" s="2">
        <v>252</v>
      </c>
      <c r="J16144" s="2">
        <v>1739</v>
      </c>
      <c r="K16144" s="2">
        <v>1</v>
      </c>
      <c r="L16144" s="2">
        <v>496</v>
      </c>
    </row>
    <row r="16145" spans="1:12" x14ac:dyDescent="0.25">
      <c r="A16145" s="4" t="str">
        <f>HYPERLINK("http://www.rosaceae.org/Prunus/Prunus_persica/p.persica_gdr_reftransV1_0023422","p.persica_gdr_reftransV1_0023422")</f>
        <v>p.persica_gdr_reftransV1_0023422</v>
      </c>
      <c r="B16145" s="2">
        <v>3452</v>
      </c>
      <c r="C16145" s="4" t="str">
        <f>HYPERLINK("http://www.uniprot.org/uniprot/M5X0H6","M5X0H6")</f>
        <v>M5X0H6</v>
      </c>
      <c r="D16145" s="2" t="s">
        <v>12857</v>
      </c>
      <c r="E16145" s="3">
        <v>0</v>
      </c>
      <c r="F16145" s="2">
        <v>3211</v>
      </c>
      <c r="G16145" s="2">
        <v>91</v>
      </c>
      <c r="H16145" s="2">
        <v>667</v>
      </c>
      <c r="I16145" s="2">
        <v>454</v>
      </c>
      <c r="J16145" s="2">
        <v>2397</v>
      </c>
      <c r="K16145" s="2">
        <v>11</v>
      </c>
      <c r="L16145" s="2">
        <v>659</v>
      </c>
    </row>
    <row r="16146" spans="1:12" x14ac:dyDescent="0.25">
      <c r="A16146" s="4" t="str">
        <f>HYPERLINK("http://www.rosaceae.org/Prunus/Prunus_persica/p.persica_gdr_reftransV1_0024472","p.persica_gdr_reftransV1_0024472")</f>
        <v>p.persica_gdr_reftransV1_0024472</v>
      </c>
      <c r="B16146" s="2">
        <v>603</v>
      </c>
      <c r="C16146" s="4" t="str">
        <f>HYPERLINK("http://www.uniprot.org/uniprot/M5WP64","M5WP64")</f>
        <v>M5WP64</v>
      </c>
      <c r="D16146" s="2" t="s">
        <v>12858</v>
      </c>
      <c r="E16146" s="3">
        <v>5.8600000000000001E-67</v>
      </c>
      <c r="F16146" s="2">
        <v>574</v>
      </c>
      <c r="G16146" s="2">
        <v>100</v>
      </c>
      <c r="H16146" s="2">
        <v>112</v>
      </c>
      <c r="I16146" s="2">
        <v>3</v>
      </c>
      <c r="J16146" s="2">
        <v>338</v>
      </c>
      <c r="K16146" s="2">
        <v>423</v>
      </c>
      <c r="L16146" s="2">
        <v>534</v>
      </c>
    </row>
    <row r="16147" spans="1:12" x14ac:dyDescent="0.25">
      <c r="A16147" s="4" t="str">
        <f>HYPERLINK("http://www.rosaceae.org/Prunus/Prunus_persica/p.persica_gdr_reftransV1_0025522","p.persica_gdr_reftransV1_0025522")</f>
        <v>p.persica_gdr_reftransV1_0025522</v>
      </c>
      <c r="B16147" s="2">
        <v>2004</v>
      </c>
      <c r="C16147" s="4" t="str">
        <f>HYPERLINK("http://www.uniprot.org/uniprot/J7K895","J7K895")</f>
        <v>J7K895</v>
      </c>
      <c r="D16147" s="2" t="s">
        <v>12859</v>
      </c>
      <c r="E16147" s="3">
        <v>0</v>
      </c>
      <c r="F16147" s="2">
        <v>2311</v>
      </c>
      <c r="G16147" s="2">
        <v>100</v>
      </c>
      <c r="H16147" s="2">
        <v>430</v>
      </c>
      <c r="I16147" s="2">
        <v>178</v>
      </c>
      <c r="J16147" s="2">
        <v>1467</v>
      </c>
      <c r="K16147" s="2">
        <v>1</v>
      </c>
      <c r="L16147" s="2">
        <v>430</v>
      </c>
    </row>
    <row r="16148" spans="1:12" x14ac:dyDescent="0.25">
      <c r="A16148" s="4" t="str">
        <f>HYPERLINK("http://www.rosaceae.org/Prunus/Prunus_persica/p.persica_gdr_reftransV1_0025872","p.persica_gdr_reftransV1_0025872")</f>
        <v>p.persica_gdr_reftransV1_0025872</v>
      </c>
      <c r="B16148" s="2">
        <v>2063</v>
      </c>
      <c r="C16148" s="4" t="str">
        <f>HYPERLINK("http://www.uniprot.org/uniprot/M5W0B0","M5W0B0")</f>
        <v>M5W0B0</v>
      </c>
      <c r="D16148" s="2" t="s">
        <v>4342</v>
      </c>
      <c r="E16148" s="3">
        <v>9.7400000000000002E-112</v>
      </c>
      <c r="F16148" s="2">
        <v>889</v>
      </c>
      <c r="G16148" s="2">
        <v>99</v>
      </c>
      <c r="H16148" s="2">
        <v>191</v>
      </c>
      <c r="I16148" s="2">
        <v>1200</v>
      </c>
      <c r="J16148" s="2">
        <v>1772</v>
      </c>
      <c r="K16148" s="2">
        <v>1</v>
      </c>
      <c r="L16148" s="2">
        <v>191</v>
      </c>
    </row>
    <row r="16149" spans="1:12" x14ac:dyDescent="0.25">
      <c r="A16149" s="4" t="str">
        <f>HYPERLINK("http://www.rosaceae.org/Prunus/Prunus_persica/p.persica_gdr_reftransV1_0026222","p.persica_gdr_reftransV1_0026222")</f>
        <v>p.persica_gdr_reftransV1_0026222</v>
      </c>
      <c r="B16149" s="2">
        <v>1252</v>
      </c>
      <c r="C16149" s="4" t="str">
        <f>HYPERLINK("http://www.uniprot.org/uniprot/M5XG09","M5XG09")</f>
        <v>M5XG09</v>
      </c>
      <c r="D16149" s="2" t="s">
        <v>8170</v>
      </c>
      <c r="E16149" s="3">
        <v>5.6599999999999999E-142</v>
      </c>
      <c r="F16149" s="2">
        <v>1069</v>
      </c>
      <c r="G16149" s="2">
        <v>100</v>
      </c>
      <c r="H16149" s="2">
        <v>223</v>
      </c>
      <c r="I16149" s="2">
        <v>220</v>
      </c>
      <c r="J16149" s="2">
        <v>888</v>
      </c>
      <c r="K16149" s="2">
        <v>1</v>
      </c>
      <c r="L16149" s="2">
        <v>223</v>
      </c>
    </row>
    <row r="16150" spans="1:12" x14ac:dyDescent="0.25">
      <c r="A16150" s="4" t="str">
        <f>HYPERLINK("http://www.rosaceae.org/Prunus/Prunus_persica/p.persica_gdr_reftransV1_0027622","p.persica_gdr_reftransV1_0027622")</f>
        <v>p.persica_gdr_reftransV1_0027622</v>
      </c>
      <c r="B16150" s="2">
        <v>1968</v>
      </c>
      <c r="C16150" s="4" t="str">
        <f>HYPERLINK("http://www.uniprot.org/uniprot/M5XBF5","M5XBF5")</f>
        <v>M5XBF5</v>
      </c>
      <c r="D16150" s="2" t="s">
        <v>12860</v>
      </c>
      <c r="E16150" s="3">
        <v>0</v>
      </c>
      <c r="F16150" s="2">
        <v>1254</v>
      </c>
      <c r="G16150" s="2">
        <v>100</v>
      </c>
      <c r="H16150" s="2">
        <v>238</v>
      </c>
      <c r="I16150" s="2">
        <v>480</v>
      </c>
      <c r="J16150" s="2">
        <v>1193</v>
      </c>
      <c r="K16150" s="2">
        <v>1</v>
      </c>
      <c r="L16150" s="2">
        <v>238</v>
      </c>
    </row>
    <row r="16151" spans="1:12" x14ac:dyDescent="0.25">
      <c r="A16151" s="4" t="str">
        <f>HYPERLINK("http://www.rosaceae.org/Prunus/Prunus_persica/p.persica_gdr_reftransV1_0027972","p.persica_gdr_reftransV1_0027972")</f>
        <v>p.persica_gdr_reftransV1_0027972</v>
      </c>
      <c r="B16151" s="2">
        <v>1049</v>
      </c>
      <c r="C16151" s="4" t="str">
        <f>HYPERLINK("http://www.uniprot.org/uniprot/M5WCC9","M5WCC9")</f>
        <v>M5WCC9</v>
      </c>
      <c r="D16151" s="2" t="s">
        <v>12861</v>
      </c>
      <c r="E16151" s="3">
        <v>4.8899999999999995E-75</v>
      </c>
      <c r="F16151" s="2">
        <v>610</v>
      </c>
      <c r="G16151" s="2">
        <v>100</v>
      </c>
      <c r="H16151" s="2">
        <v>131</v>
      </c>
      <c r="I16151" s="2">
        <v>235</v>
      </c>
      <c r="J16151" s="2">
        <v>627</v>
      </c>
      <c r="K16151" s="2">
        <v>1</v>
      </c>
      <c r="L16151" s="2">
        <v>131</v>
      </c>
    </row>
    <row r="16152" spans="1:12" x14ac:dyDescent="0.25">
      <c r="A16152" s="4" t="str">
        <f>HYPERLINK("http://www.rosaceae.org/Prunus/Prunus_persica/p.persica_gdr_reftransV1_0028322","p.persica_gdr_reftransV1_0028322")</f>
        <v>p.persica_gdr_reftransV1_0028322</v>
      </c>
      <c r="B16152" s="2">
        <v>1599</v>
      </c>
      <c r="C16152" s="4" t="str">
        <f>HYPERLINK("http://www.uniprot.org/uniprot/M5XB26","M5XB26")</f>
        <v>M5XB26</v>
      </c>
      <c r="D16152" s="2" t="s">
        <v>12862</v>
      </c>
      <c r="E16152" s="3">
        <v>6.61E-142</v>
      </c>
      <c r="F16152" s="2">
        <v>736</v>
      </c>
      <c r="G16152" s="2">
        <v>100</v>
      </c>
      <c r="H16152" s="2">
        <v>158</v>
      </c>
      <c r="I16152" s="2">
        <v>78</v>
      </c>
      <c r="J16152" s="2">
        <v>551</v>
      </c>
      <c r="K16152" s="2">
        <v>1</v>
      </c>
      <c r="L16152" s="2">
        <v>158</v>
      </c>
    </row>
    <row r="16153" spans="1:12" x14ac:dyDescent="0.25">
      <c r="A16153" s="4" t="str">
        <f>HYPERLINK("http://www.rosaceae.org/Prunus/Prunus_persica/p.persica_gdr_reftransV1_0029022","p.persica_gdr_reftransV1_0029022")</f>
        <v>p.persica_gdr_reftransV1_0029022</v>
      </c>
      <c r="B16153" s="2">
        <v>526</v>
      </c>
      <c r="C16153" s="4" t="str">
        <f>HYPERLINK("http://www.uniprot.org/uniprot/A0A0G2UPZ4","A0A0G2UPZ4")</f>
        <v>A0A0G2UPZ4</v>
      </c>
      <c r="D16153" s="2" t="s">
        <v>10982</v>
      </c>
      <c r="E16153" s="3">
        <v>4.3200000000000001E-107</v>
      </c>
      <c r="F16153" s="2">
        <v>840</v>
      </c>
      <c r="G16153" s="2">
        <v>99</v>
      </c>
      <c r="H16153" s="2">
        <v>174</v>
      </c>
      <c r="I16153" s="2">
        <v>3</v>
      </c>
      <c r="J16153" s="2">
        <v>524</v>
      </c>
      <c r="K16153" s="2">
        <v>63</v>
      </c>
      <c r="L16153" s="2">
        <v>236</v>
      </c>
    </row>
    <row r="16154" spans="1:12" x14ac:dyDescent="0.25">
      <c r="A16154" s="4" t="str">
        <f>HYPERLINK("http://www.rosaceae.org/Prunus/Prunus_persica/p.persica_gdr_reftransV1_0030422","p.persica_gdr_reftransV1_0030422")</f>
        <v>p.persica_gdr_reftransV1_0030422</v>
      </c>
      <c r="B16154" s="2">
        <v>2110</v>
      </c>
      <c r="C16154" s="4" t="str">
        <f>HYPERLINK("http://www.uniprot.org/uniprot/M5W4F3","M5W4F3")</f>
        <v>M5W4F3</v>
      </c>
      <c r="D16154" s="2" t="s">
        <v>1190</v>
      </c>
      <c r="E16154" s="3">
        <v>0</v>
      </c>
      <c r="F16154" s="2">
        <v>2755</v>
      </c>
      <c r="G16154" s="2">
        <v>100</v>
      </c>
      <c r="H16154" s="2">
        <v>515</v>
      </c>
      <c r="I16154" s="2">
        <v>256</v>
      </c>
      <c r="J16154" s="2">
        <v>1800</v>
      </c>
      <c r="K16154" s="2">
        <v>1</v>
      </c>
      <c r="L16154" s="2">
        <v>515</v>
      </c>
    </row>
    <row r="16155" spans="1:12" x14ac:dyDescent="0.25">
      <c r="A16155" s="4" t="str">
        <f>HYPERLINK("http://www.rosaceae.org/Prunus/Prunus_persica/p.persica_gdr_reftransV1_0031472","p.persica_gdr_reftransV1_0031472")</f>
        <v>p.persica_gdr_reftransV1_0031472</v>
      </c>
      <c r="B16155" s="2">
        <v>2119</v>
      </c>
      <c r="C16155" s="4" t="str">
        <f>HYPERLINK("http://www.uniprot.org/uniprot/M5XNY8","M5XNY8")</f>
        <v>M5XNY8</v>
      </c>
      <c r="D16155" s="2" t="s">
        <v>12863</v>
      </c>
      <c r="E16155" s="3">
        <v>0</v>
      </c>
      <c r="F16155" s="2">
        <v>3139</v>
      </c>
      <c r="G16155" s="2">
        <v>100</v>
      </c>
      <c r="H16155" s="2">
        <v>612</v>
      </c>
      <c r="I16155" s="2">
        <v>217</v>
      </c>
      <c r="J16155" s="2">
        <v>2052</v>
      </c>
      <c r="K16155" s="2">
        <v>1</v>
      </c>
      <c r="L16155" s="2">
        <v>612</v>
      </c>
    </row>
    <row r="16156" spans="1:12" x14ac:dyDescent="0.25">
      <c r="A16156" s="4" t="str">
        <f>HYPERLINK("http://www.rosaceae.org/Prunus/Prunus_persica/p.persica_gdr_reftransV1_0034622","p.persica_gdr_reftransV1_0034622")</f>
        <v>p.persica_gdr_reftransV1_0034622</v>
      </c>
      <c r="B16156" s="2">
        <v>1522</v>
      </c>
      <c r="C16156" s="4" t="str">
        <f>HYPERLINK("http://www.uniprot.org/uniprot/M5Y827","M5Y827")</f>
        <v>M5Y827</v>
      </c>
      <c r="D16156" s="2" t="s">
        <v>3922</v>
      </c>
      <c r="E16156" s="3">
        <v>0</v>
      </c>
      <c r="F16156" s="2">
        <v>1662</v>
      </c>
      <c r="G16156" s="2">
        <v>90</v>
      </c>
      <c r="H16156" s="2">
        <v>447</v>
      </c>
      <c r="I16156" s="2">
        <v>69</v>
      </c>
      <c r="J16156" s="2">
        <v>1409</v>
      </c>
      <c r="K16156" s="2">
        <v>9</v>
      </c>
      <c r="L16156" s="2">
        <v>409</v>
      </c>
    </row>
    <row r="16157" spans="1:12" x14ac:dyDescent="0.25">
      <c r="A16157" s="4" t="str">
        <f>HYPERLINK("http://www.rosaceae.org/Prunus/Prunus_persica/p.persica_gdr_reftransV1_0035322","p.persica_gdr_reftransV1_0035322")</f>
        <v>p.persica_gdr_reftransV1_0035322</v>
      </c>
      <c r="B16157" s="2">
        <v>4354</v>
      </c>
      <c r="C16157" s="4" t="str">
        <f>HYPERLINK("http://www.uniprot.org/uniprot/M5WJA3","M5WJA3")</f>
        <v>M5WJA3</v>
      </c>
      <c r="D16157" s="2" t="s">
        <v>9982</v>
      </c>
      <c r="E16157" s="3">
        <v>0</v>
      </c>
      <c r="F16157" s="2">
        <v>4397</v>
      </c>
      <c r="G16157" s="2">
        <v>100</v>
      </c>
      <c r="H16157" s="2">
        <v>943</v>
      </c>
      <c r="I16157" s="2">
        <v>1221</v>
      </c>
      <c r="J16157" s="2">
        <v>4049</v>
      </c>
      <c r="K16157" s="2">
        <v>1</v>
      </c>
      <c r="L16157" s="2">
        <v>943</v>
      </c>
    </row>
    <row r="16158" spans="1:12" x14ac:dyDescent="0.25">
      <c r="A16158" s="4" t="str">
        <f>HYPERLINK("http://www.rosaceae.org/Prunus/Prunus_persica/p.persica_gdr_reftransV1_0036372","p.persica_gdr_reftransV1_0036372")</f>
        <v>p.persica_gdr_reftransV1_0036372</v>
      </c>
      <c r="B16158" s="2">
        <v>3249</v>
      </c>
      <c r="C16158" s="4" t="str">
        <f>HYPERLINK("http://www.uniprot.org/uniprot/M5XBP0","M5XBP0")</f>
        <v>M5XBP0</v>
      </c>
      <c r="D16158" s="2" t="s">
        <v>10912</v>
      </c>
      <c r="E16158" s="3">
        <v>2.0599999999999999E-175</v>
      </c>
      <c r="F16158" s="2">
        <v>1382</v>
      </c>
      <c r="G16158" s="2">
        <v>100</v>
      </c>
      <c r="H16158" s="2">
        <v>287</v>
      </c>
      <c r="I16158" s="2">
        <v>1941</v>
      </c>
      <c r="J16158" s="2">
        <v>2801</v>
      </c>
      <c r="K16158" s="2">
        <v>1</v>
      </c>
      <c r="L16158" s="2">
        <v>287</v>
      </c>
    </row>
    <row r="16159" spans="1:12" x14ac:dyDescent="0.25">
      <c r="A16159" s="4" t="str">
        <f>HYPERLINK("http://www.rosaceae.org/Prunus/Prunus_persica/p.persica_gdr_reftransV1_0037072","p.persica_gdr_reftransV1_0037072")</f>
        <v>p.persica_gdr_reftransV1_0037072</v>
      </c>
      <c r="B16159" s="2">
        <v>2696</v>
      </c>
      <c r="C16159" s="4" t="str">
        <f>HYPERLINK("http://www.uniprot.org/uniprot/M5WE34","M5WE34")</f>
        <v>M5WE34</v>
      </c>
      <c r="D16159" s="2" t="s">
        <v>12864</v>
      </c>
      <c r="E16159" s="3">
        <v>0</v>
      </c>
      <c r="F16159" s="2">
        <v>1527</v>
      </c>
      <c r="G16159" s="2">
        <v>80</v>
      </c>
      <c r="H16159" s="2">
        <v>397</v>
      </c>
      <c r="I16159" s="2">
        <v>161</v>
      </c>
      <c r="J16159" s="2">
        <v>1348</v>
      </c>
      <c r="K16159" s="2">
        <v>128</v>
      </c>
      <c r="L16159" s="2">
        <v>468</v>
      </c>
    </row>
    <row r="16160" spans="1:12" x14ac:dyDescent="0.25">
      <c r="A16160" s="4" t="str">
        <f>HYPERLINK("http://www.rosaceae.org/Prunus/Prunus_persica/p.persica_gdr_reftransV1_0039522","p.persica_gdr_reftransV1_0039522")</f>
        <v>p.persica_gdr_reftransV1_0039522</v>
      </c>
      <c r="B16160" s="2">
        <v>1337</v>
      </c>
      <c r="C16160" s="4" t="str">
        <f>HYPERLINK("http://www.uniprot.org/uniprot/M5XLR4","M5XLR4")</f>
        <v>M5XLR4</v>
      </c>
      <c r="D16160" s="2" t="s">
        <v>9457</v>
      </c>
      <c r="E16160" s="3">
        <v>1.9600000000000002E-145</v>
      </c>
      <c r="F16160" s="2">
        <v>1058</v>
      </c>
      <c r="G16160" s="2">
        <v>100</v>
      </c>
      <c r="H16160" s="2">
        <v>208</v>
      </c>
      <c r="I16160" s="2">
        <v>584</v>
      </c>
      <c r="J16160" s="2">
        <v>1207</v>
      </c>
      <c r="K16160" s="2">
        <v>1</v>
      </c>
      <c r="L16160" s="2">
        <v>208</v>
      </c>
    </row>
    <row r="16161" spans="1:12" x14ac:dyDescent="0.25">
      <c r="A16161" s="4" t="str">
        <f>HYPERLINK("http://www.rosaceae.org/Prunus/Prunus_persica/p.persica_gdr_reftransV1_0041272","p.persica_gdr_reftransV1_0041272")</f>
        <v>p.persica_gdr_reftransV1_0041272</v>
      </c>
      <c r="B16161" s="2">
        <v>2713</v>
      </c>
      <c r="C16161" s="4" t="str">
        <f>HYPERLINK("http://www.uniprot.org/uniprot/M5WL24","M5WL24")</f>
        <v>M5WL24</v>
      </c>
      <c r="D16161" s="2" t="s">
        <v>11322</v>
      </c>
      <c r="E16161" s="3">
        <v>0</v>
      </c>
      <c r="F16161" s="2">
        <v>1999</v>
      </c>
      <c r="G16161" s="2">
        <v>100</v>
      </c>
      <c r="H16161" s="2">
        <v>420</v>
      </c>
      <c r="I16161" s="2">
        <v>276</v>
      </c>
      <c r="J16161" s="2">
        <v>1535</v>
      </c>
      <c r="K16161" s="2">
        <v>1</v>
      </c>
      <c r="L16161" s="2">
        <v>420</v>
      </c>
    </row>
    <row r="16162" spans="1:12" x14ac:dyDescent="0.25">
      <c r="A16162" s="4" t="str">
        <f>HYPERLINK("http://www.rosaceae.org/Prunus/Prunus_persica/p.persica_gdr_reftransV1_0043722","p.persica_gdr_reftransV1_0043722")</f>
        <v>p.persica_gdr_reftransV1_0043722</v>
      </c>
      <c r="B16162" s="2">
        <v>308</v>
      </c>
      <c r="C16162" s="4" t="str">
        <f>HYPERLINK("http://www.uniprot.org/uniprot/M5XI26","M5XI26")</f>
        <v>M5XI26</v>
      </c>
      <c r="D16162" s="2" t="s">
        <v>12215</v>
      </c>
      <c r="E16162" s="3">
        <v>1.2099999999999999E-65</v>
      </c>
      <c r="F16162" s="2">
        <v>543</v>
      </c>
      <c r="G16162" s="2">
        <v>100</v>
      </c>
      <c r="H16162" s="2">
        <v>102</v>
      </c>
      <c r="I16162" s="2">
        <v>3</v>
      </c>
      <c r="J16162" s="2">
        <v>308</v>
      </c>
      <c r="K16162" s="2">
        <v>128</v>
      </c>
      <c r="L16162" s="2">
        <v>229</v>
      </c>
    </row>
    <row r="16163" spans="1:12" x14ac:dyDescent="0.25">
      <c r="A16163" s="4" t="str">
        <f>HYPERLINK("http://www.rosaceae.org/Prunus/Prunus_persica/p.persica_gdr_reftransV1_0044072","p.persica_gdr_reftransV1_0044072")</f>
        <v>p.persica_gdr_reftransV1_0044072</v>
      </c>
      <c r="B16163" s="2">
        <v>1240</v>
      </c>
      <c r="C16163" s="4" t="str">
        <f>HYPERLINK("http://www.uniprot.org/uniprot/M5VR92","M5VR92")</f>
        <v>M5VR92</v>
      </c>
      <c r="D16163" s="2" t="s">
        <v>1215</v>
      </c>
      <c r="E16163" s="3">
        <v>5.4000000000000002E-122</v>
      </c>
      <c r="F16163" s="2">
        <v>933</v>
      </c>
      <c r="G16163" s="2">
        <v>100</v>
      </c>
      <c r="H16163" s="2">
        <v>187</v>
      </c>
      <c r="I16163" s="2">
        <v>372</v>
      </c>
      <c r="J16163" s="2">
        <v>932</v>
      </c>
      <c r="K16163" s="2">
        <v>1</v>
      </c>
      <c r="L16163" s="2">
        <v>187</v>
      </c>
    </row>
    <row r="16164" spans="1:12" x14ac:dyDescent="0.25">
      <c r="A16164" s="4" t="str">
        <f>HYPERLINK("http://www.rosaceae.org/Prunus/Prunus_persica/p.persica_gdr_reftransV1_0044422","p.persica_gdr_reftransV1_0044422")</f>
        <v>p.persica_gdr_reftransV1_0044422</v>
      </c>
      <c r="B16164" s="2">
        <v>2002</v>
      </c>
      <c r="C16164" s="4" t="str">
        <f>HYPERLINK("http://www.uniprot.org/uniprot/M5WFJ7","M5WFJ7")</f>
        <v>M5WFJ7</v>
      </c>
      <c r="D16164" s="2" t="s">
        <v>12865</v>
      </c>
      <c r="E16164" s="3">
        <v>0</v>
      </c>
      <c r="F16164" s="2">
        <v>2920</v>
      </c>
      <c r="G16164" s="2">
        <v>99</v>
      </c>
      <c r="H16164" s="2">
        <v>562</v>
      </c>
      <c r="I16164" s="2">
        <v>314</v>
      </c>
      <c r="J16164" s="2">
        <v>1999</v>
      </c>
      <c r="K16164" s="2">
        <v>43</v>
      </c>
      <c r="L16164" s="2">
        <v>604</v>
      </c>
    </row>
    <row r="16165" spans="1:12" x14ac:dyDescent="0.25">
      <c r="A16165" s="4" t="str">
        <f>HYPERLINK("http://www.rosaceae.org/Prunus/Prunus_persica/p.persica_gdr_reftransV1_0044772","p.persica_gdr_reftransV1_0044772")</f>
        <v>p.persica_gdr_reftransV1_0044772</v>
      </c>
      <c r="B16165" s="2">
        <v>1108</v>
      </c>
      <c r="C16165" s="4" t="str">
        <f>HYPERLINK("http://www.uniprot.org/uniprot/M5XXR3","M5XXR3")</f>
        <v>M5XXR3</v>
      </c>
      <c r="D16165" s="2" t="s">
        <v>12866</v>
      </c>
      <c r="E16165" s="3">
        <v>8.0999999999999999E-151</v>
      </c>
      <c r="F16165" s="2">
        <v>1186</v>
      </c>
      <c r="G16165" s="2">
        <v>100</v>
      </c>
      <c r="H16165" s="2">
        <v>222</v>
      </c>
      <c r="I16165" s="2">
        <v>3</v>
      </c>
      <c r="J16165" s="2">
        <v>668</v>
      </c>
      <c r="K16165" s="2">
        <v>1</v>
      </c>
      <c r="L16165" s="2">
        <v>222</v>
      </c>
    </row>
    <row r="16166" spans="1:12" x14ac:dyDescent="0.25">
      <c r="A16166" s="4" t="str">
        <f>HYPERLINK("http://www.rosaceae.org/Prunus/Prunus_persica/p.persica_gdr_reftransV1_0045122","p.persica_gdr_reftransV1_0045122")</f>
        <v>p.persica_gdr_reftransV1_0045122</v>
      </c>
      <c r="B16166" s="2">
        <v>537</v>
      </c>
      <c r="C16166" s="4" t="str">
        <f>HYPERLINK("http://www.uniprot.org/uniprot/M5VSU8","M5VSU8")</f>
        <v>M5VSU8</v>
      </c>
      <c r="D16166" s="2" t="s">
        <v>3024</v>
      </c>
      <c r="E16166" s="3">
        <v>1.98E-82</v>
      </c>
      <c r="F16166" s="2">
        <v>666</v>
      </c>
      <c r="G16166" s="2">
        <v>99</v>
      </c>
      <c r="H16166" s="2">
        <v>157</v>
      </c>
      <c r="I16166" s="2">
        <v>1</v>
      </c>
      <c r="J16166" s="2">
        <v>471</v>
      </c>
      <c r="K16166" s="2">
        <v>127</v>
      </c>
      <c r="L16166" s="2">
        <v>283</v>
      </c>
    </row>
    <row r="16167" spans="1:12" x14ac:dyDescent="0.25">
      <c r="A16167" s="4" t="str">
        <f>HYPERLINK("http://www.rosaceae.org/Prunus/Prunus_persica/p.persica_gdr_reftransV1_0045472","p.persica_gdr_reftransV1_0045472")</f>
        <v>p.persica_gdr_reftransV1_0045472</v>
      </c>
      <c r="B16167" s="2">
        <v>2309</v>
      </c>
      <c r="C16167" s="4" t="str">
        <f>HYPERLINK("http://www.uniprot.org/uniprot/M5WP79","M5WP79")</f>
        <v>M5WP79</v>
      </c>
      <c r="D16167" s="2" t="s">
        <v>12867</v>
      </c>
      <c r="E16167" s="3">
        <v>0</v>
      </c>
      <c r="F16167" s="2">
        <v>2608</v>
      </c>
      <c r="G16167" s="2">
        <v>100</v>
      </c>
      <c r="H16167" s="2">
        <v>485</v>
      </c>
      <c r="I16167" s="2">
        <v>477</v>
      </c>
      <c r="J16167" s="2">
        <v>1931</v>
      </c>
      <c r="K16167" s="2">
        <v>1</v>
      </c>
      <c r="L16167" s="2">
        <v>485</v>
      </c>
    </row>
    <row r="16168" spans="1:12" x14ac:dyDescent="0.25">
      <c r="A16168" s="4" t="str">
        <f>HYPERLINK("http://www.rosaceae.org/Prunus/Prunus_persica/p.persica_gdr_reftransV1_0045822","p.persica_gdr_reftransV1_0045822")</f>
        <v>p.persica_gdr_reftransV1_0045822</v>
      </c>
      <c r="B16168" s="2">
        <v>459</v>
      </c>
      <c r="C16168" s="4" t="str">
        <f>HYPERLINK("http://www.uniprot.org/uniprot/M5W989","M5W989")</f>
        <v>M5W989</v>
      </c>
      <c r="D16168" s="2" t="s">
        <v>12868</v>
      </c>
      <c r="E16168" s="3">
        <v>2.47E-101</v>
      </c>
      <c r="F16168" s="2">
        <v>804</v>
      </c>
      <c r="G16168" s="2">
        <v>100</v>
      </c>
      <c r="H16168" s="2">
        <v>152</v>
      </c>
      <c r="I16168" s="2">
        <v>2</v>
      </c>
      <c r="J16168" s="2">
        <v>457</v>
      </c>
      <c r="K16168" s="2">
        <v>288</v>
      </c>
      <c r="L16168" s="2">
        <v>439</v>
      </c>
    </row>
    <row r="16169" spans="1:12" x14ac:dyDescent="0.25">
      <c r="A16169" s="4" t="str">
        <f>HYPERLINK("http://www.rosaceae.org/Prunus/Prunus_persica/p.persica_gdr_reftransV1_0046522","p.persica_gdr_reftransV1_0046522")</f>
        <v>p.persica_gdr_reftransV1_0046522</v>
      </c>
      <c r="B16169" s="2">
        <v>2091</v>
      </c>
      <c r="C16169" s="4" t="str">
        <f>HYPERLINK("http://www.uniprot.org/uniprot/M5WTU8","M5WTU8")</f>
        <v>M5WTU8</v>
      </c>
      <c r="D16169" s="2" t="s">
        <v>7184</v>
      </c>
      <c r="E16169" s="3">
        <v>1.1599999999999999E-131</v>
      </c>
      <c r="F16169" s="2">
        <v>1057</v>
      </c>
      <c r="G16169" s="2">
        <v>100</v>
      </c>
      <c r="H16169" s="2">
        <v>351</v>
      </c>
      <c r="I16169" s="2">
        <v>1038</v>
      </c>
      <c r="J16169" s="2">
        <v>2090</v>
      </c>
      <c r="K16169" s="2">
        <v>187</v>
      </c>
      <c r="L16169" s="2">
        <v>537</v>
      </c>
    </row>
    <row r="16170" spans="1:12" x14ac:dyDescent="0.25">
      <c r="A16170" s="4" t="str">
        <f>HYPERLINK("http://www.rosaceae.org/Prunus/Prunus_persica/p.persica_gdr_reftransV1_0046872","p.persica_gdr_reftransV1_0046872")</f>
        <v>p.persica_gdr_reftransV1_0046872</v>
      </c>
      <c r="B16170" s="2">
        <v>1861</v>
      </c>
      <c r="C16170" s="4" t="str">
        <f>HYPERLINK("http://www.uniprot.org/uniprot/M5WUD3","M5WUD3")</f>
        <v>M5WUD3</v>
      </c>
      <c r="D16170" s="2" t="s">
        <v>647</v>
      </c>
      <c r="E16170" s="3">
        <v>0</v>
      </c>
      <c r="F16170" s="2">
        <v>2136</v>
      </c>
      <c r="G16170" s="2">
        <v>100</v>
      </c>
      <c r="H16170" s="2">
        <v>413</v>
      </c>
      <c r="I16170" s="2">
        <v>397</v>
      </c>
      <c r="J16170" s="2">
        <v>1635</v>
      </c>
      <c r="K16170" s="2">
        <v>1</v>
      </c>
      <c r="L16170" s="2">
        <v>413</v>
      </c>
    </row>
    <row r="16171" spans="1:12" x14ac:dyDescent="0.25">
      <c r="A16171" s="4" t="str">
        <f>HYPERLINK("http://www.rosaceae.org/Prunus/Prunus_persica/p.persica_gdr_reftransV1_0047222","p.persica_gdr_reftransV1_0047222")</f>
        <v>p.persica_gdr_reftransV1_0047222</v>
      </c>
      <c r="B16171" s="2">
        <v>473</v>
      </c>
      <c r="C16171" s="4" t="str">
        <f>HYPERLINK("http://www.uniprot.org/uniprot/M5XMB9","M5XMB9")</f>
        <v>M5XMB9</v>
      </c>
      <c r="D16171" s="2" t="s">
        <v>8324</v>
      </c>
      <c r="E16171" s="3">
        <v>2.59E-102</v>
      </c>
      <c r="F16171" s="2">
        <v>844</v>
      </c>
      <c r="G16171" s="2">
        <v>100</v>
      </c>
      <c r="H16171" s="2">
        <v>157</v>
      </c>
      <c r="I16171" s="2">
        <v>3</v>
      </c>
      <c r="J16171" s="2">
        <v>473</v>
      </c>
      <c r="K16171" s="2">
        <v>364</v>
      </c>
      <c r="L16171" s="2">
        <v>520</v>
      </c>
    </row>
    <row r="16172" spans="1:12" x14ac:dyDescent="0.25">
      <c r="A16172" s="4" t="str">
        <f>HYPERLINK("http://www.rosaceae.org/Prunus/Prunus_persica/p.persica_gdr_reftransV1_0048272","p.persica_gdr_reftransV1_0048272")</f>
        <v>p.persica_gdr_reftransV1_0048272</v>
      </c>
      <c r="B16172" s="2">
        <v>529</v>
      </c>
      <c r="C16172" s="4" t="str">
        <f>HYPERLINK("http://www.uniprot.org/uniprot/M5WK02","M5WK02")</f>
        <v>M5WK02</v>
      </c>
      <c r="D16172" s="2" t="s">
        <v>12869</v>
      </c>
      <c r="E16172" s="3">
        <v>7.0199999999999998E-56</v>
      </c>
      <c r="F16172" s="2">
        <v>462</v>
      </c>
      <c r="G16172" s="2">
        <v>100</v>
      </c>
      <c r="H16172" s="2">
        <v>89</v>
      </c>
      <c r="I16172" s="2">
        <v>46</v>
      </c>
      <c r="J16172" s="2">
        <v>312</v>
      </c>
      <c r="K16172" s="2">
        <v>1</v>
      </c>
      <c r="L16172" s="2">
        <v>89</v>
      </c>
    </row>
    <row r="16173" spans="1:12" x14ac:dyDescent="0.25">
      <c r="A16173" s="4" t="str">
        <f>HYPERLINK("http://www.rosaceae.org/Prunus/Prunus_persica/p.persica_gdr_reftransV1_0048622","p.persica_gdr_reftransV1_0048622")</f>
        <v>p.persica_gdr_reftransV1_0048622</v>
      </c>
      <c r="B16173" s="2">
        <v>1686</v>
      </c>
      <c r="C16173" s="4" t="str">
        <f>HYPERLINK("http://www.uniprot.org/uniprot/M5WGJ3","M5WGJ3")</f>
        <v>M5WGJ3</v>
      </c>
      <c r="D16173" s="2" t="s">
        <v>8346</v>
      </c>
      <c r="E16173" s="3">
        <v>1.1200000000000001E-129</v>
      </c>
      <c r="F16173" s="2">
        <v>1007</v>
      </c>
      <c r="G16173" s="2">
        <v>100</v>
      </c>
      <c r="H16173" s="2">
        <v>207</v>
      </c>
      <c r="I16173" s="2">
        <v>787</v>
      </c>
      <c r="J16173" s="2">
        <v>1407</v>
      </c>
      <c r="K16173" s="2">
        <v>73</v>
      </c>
      <c r="L16173" s="2">
        <v>279</v>
      </c>
    </row>
    <row r="16174" spans="1:12" x14ac:dyDescent="0.25">
      <c r="A16174" s="4" t="str">
        <f>HYPERLINK("http://www.rosaceae.org/Prunus/Prunus_persica/p.persica_gdr_reftransV1_0048972","p.persica_gdr_reftransV1_0048972")</f>
        <v>p.persica_gdr_reftransV1_0048972</v>
      </c>
      <c r="B16174" s="2">
        <v>1346</v>
      </c>
      <c r="C16174" s="4" t="str">
        <f>HYPERLINK("http://www.uniprot.org/uniprot/M5VZT2","M5VZT2")</f>
        <v>M5VZT2</v>
      </c>
      <c r="D16174" s="2" t="s">
        <v>12870</v>
      </c>
      <c r="E16174" s="3">
        <v>0</v>
      </c>
      <c r="F16174" s="2">
        <v>1823</v>
      </c>
      <c r="G16174" s="2">
        <v>96</v>
      </c>
      <c r="H16174" s="2">
        <v>369</v>
      </c>
      <c r="I16174" s="2">
        <v>151</v>
      </c>
      <c r="J16174" s="2">
        <v>1257</v>
      </c>
      <c r="K16174" s="2">
        <v>1</v>
      </c>
      <c r="L16174" s="2">
        <v>356</v>
      </c>
    </row>
    <row r="16175" spans="1:12" x14ac:dyDescent="0.25">
      <c r="A16175" s="4" t="str">
        <f>HYPERLINK("http://www.rosaceae.org/Prunus/Prunus_persica/p.persica_gdr_reftransV1_0000323","p.persica_gdr_reftransV1_0000323")</f>
        <v>p.persica_gdr_reftransV1_0000323</v>
      </c>
      <c r="B16175" s="2">
        <v>1715</v>
      </c>
      <c r="C16175" s="4" t="str">
        <f>HYPERLINK("http://www.uniprot.org/uniprot/M5WGV3","M5WGV3")</f>
        <v>M5WGV3</v>
      </c>
      <c r="D16175" s="2" t="s">
        <v>596</v>
      </c>
      <c r="E16175" s="3">
        <v>0</v>
      </c>
      <c r="F16175" s="2">
        <v>2531</v>
      </c>
      <c r="G16175" s="2">
        <v>100</v>
      </c>
      <c r="H16175" s="2">
        <v>496</v>
      </c>
      <c r="I16175" s="2">
        <v>189</v>
      </c>
      <c r="J16175" s="2">
        <v>1676</v>
      </c>
      <c r="K16175" s="2">
        <v>1</v>
      </c>
      <c r="L16175" s="2">
        <v>496</v>
      </c>
    </row>
    <row r="16176" spans="1:12" x14ac:dyDescent="0.25">
      <c r="A16176" s="4" t="str">
        <f>HYPERLINK("http://www.rosaceae.org/Prunus/Prunus_persica/p.persica_gdr_reftransV1_0001023","p.persica_gdr_reftransV1_0001023")</f>
        <v>p.persica_gdr_reftransV1_0001023</v>
      </c>
      <c r="B16176" s="2">
        <v>423</v>
      </c>
      <c r="C16176" s="4" t="str">
        <f>HYPERLINK("http://www.uniprot.org/uniprot/M5VT46","M5VT46")</f>
        <v>M5VT46</v>
      </c>
      <c r="D16176" s="2" t="s">
        <v>12871</v>
      </c>
      <c r="E16176" s="3">
        <v>1.8900000000000001E-66</v>
      </c>
      <c r="F16176" s="2">
        <v>530</v>
      </c>
      <c r="G16176" s="2">
        <v>100</v>
      </c>
      <c r="H16176" s="2">
        <v>101</v>
      </c>
      <c r="I16176" s="2">
        <v>120</v>
      </c>
      <c r="J16176" s="2">
        <v>422</v>
      </c>
      <c r="K16176" s="2">
        <v>16</v>
      </c>
      <c r="L16176" s="2">
        <v>116</v>
      </c>
    </row>
    <row r="16177" spans="1:12" x14ac:dyDescent="0.25">
      <c r="A16177" s="4" t="str">
        <f>HYPERLINK("http://www.rosaceae.org/Prunus/Prunus_persica/p.persica_gdr_reftransV1_0001373","p.persica_gdr_reftransV1_0001373")</f>
        <v>p.persica_gdr_reftransV1_0001373</v>
      </c>
      <c r="B16177" s="2">
        <v>1175</v>
      </c>
      <c r="C16177" s="4" t="str">
        <f>HYPERLINK("http://www.uniprot.org/uniprot/M5XQ32","M5XQ32")</f>
        <v>M5XQ32</v>
      </c>
      <c r="D16177" s="2" t="s">
        <v>12872</v>
      </c>
      <c r="E16177" s="3">
        <v>0</v>
      </c>
      <c r="F16177" s="2">
        <v>1488</v>
      </c>
      <c r="G16177" s="2">
        <v>99</v>
      </c>
      <c r="H16177" s="2">
        <v>374</v>
      </c>
      <c r="I16177" s="2">
        <v>53</v>
      </c>
      <c r="J16177" s="2">
        <v>1174</v>
      </c>
      <c r="K16177" s="2">
        <v>3</v>
      </c>
      <c r="L16177" s="2">
        <v>376</v>
      </c>
    </row>
    <row r="16178" spans="1:12" x14ac:dyDescent="0.25">
      <c r="A16178" s="4" t="str">
        <f>HYPERLINK("http://www.rosaceae.org/Prunus/Prunus_persica/p.persica_gdr_reftransV1_0001723","p.persica_gdr_reftransV1_0001723")</f>
        <v>p.persica_gdr_reftransV1_0001723</v>
      </c>
      <c r="B16178" s="2">
        <v>353</v>
      </c>
      <c r="C16178" s="4" t="str">
        <f>HYPERLINK("http://www.uniprot.org/uniprot/M5XCQ1","M5XCQ1")</f>
        <v>M5XCQ1</v>
      </c>
      <c r="D16178" s="2" t="s">
        <v>5999</v>
      </c>
      <c r="E16178" s="3">
        <v>5.4099999999999997E-70</v>
      </c>
      <c r="F16178" s="2">
        <v>570</v>
      </c>
      <c r="G16178" s="2">
        <v>100</v>
      </c>
      <c r="H16178" s="2">
        <v>117</v>
      </c>
      <c r="I16178" s="2">
        <v>1</v>
      </c>
      <c r="J16178" s="2">
        <v>351</v>
      </c>
      <c r="K16178" s="2">
        <v>211</v>
      </c>
      <c r="L16178" s="2">
        <v>327</v>
      </c>
    </row>
    <row r="16179" spans="1:12" x14ac:dyDescent="0.25">
      <c r="A16179" s="4" t="str">
        <f>HYPERLINK("http://www.rosaceae.org/Prunus/Prunus_persica/p.persica_gdr_reftransV1_0002073","p.persica_gdr_reftransV1_0002073")</f>
        <v>p.persica_gdr_reftransV1_0002073</v>
      </c>
      <c r="B16179" s="2">
        <v>1332</v>
      </c>
      <c r="C16179" s="4" t="str">
        <f>HYPERLINK("http://www.uniprot.org/uniprot/M5XP18","M5XP18")</f>
        <v>M5XP18</v>
      </c>
      <c r="D16179" s="2" t="s">
        <v>6732</v>
      </c>
      <c r="E16179" s="3">
        <v>0</v>
      </c>
      <c r="F16179" s="2">
        <v>1606</v>
      </c>
      <c r="G16179" s="2">
        <v>92</v>
      </c>
      <c r="H16179" s="2">
        <v>331</v>
      </c>
      <c r="I16179" s="2">
        <v>338</v>
      </c>
      <c r="J16179" s="2">
        <v>1330</v>
      </c>
      <c r="K16179" s="2">
        <v>484</v>
      </c>
      <c r="L16179" s="2">
        <v>814</v>
      </c>
    </row>
    <row r="16180" spans="1:12" x14ac:dyDescent="0.25">
      <c r="A16180" s="4" t="str">
        <f>HYPERLINK("http://www.rosaceae.org/Prunus/Prunus_persica/p.persica_gdr_reftransV1_0002423","p.persica_gdr_reftransV1_0002423")</f>
        <v>p.persica_gdr_reftransV1_0002423</v>
      </c>
      <c r="B16180" s="2">
        <v>2730</v>
      </c>
      <c r="C16180" s="4" t="str">
        <f>HYPERLINK("http://www.uniprot.org/uniprot/M5VVP9","M5VVP9")</f>
        <v>M5VVP9</v>
      </c>
      <c r="D16180" s="2" t="s">
        <v>1500</v>
      </c>
      <c r="E16180" s="3">
        <v>0</v>
      </c>
      <c r="F16180" s="2">
        <v>3934</v>
      </c>
      <c r="G16180" s="2">
        <v>100</v>
      </c>
      <c r="H16180" s="2">
        <v>748</v>
      </c>
      <c r="I16180" s="2">
        <v>150</v>
      </c>
      <c r="J16180" s="2">
        <v>2393</v>
      </c>
      <c r="K16180" s="2">
        <v>16</v>
      </c>
      <c r="L16180" s="2">
        <v>763</v>
      </c>
    </row>
    <row r="16181" spans="1:12" x14ac:dyDescent="0.25">
      <c r="A16181" s="4" t="str">
        <f>HYPERLINK("http://www.rosaceae.org/Prunus/Prunus_persica/p.persica_gdr_reftransV1_0003473","p.persica_gdr_reftransV1_0003473")</f>
        <v>p.persica_gdr_reftransV1_0003473</v>
      </c>
      <c r="B16181" s="2">
        <v>3942</v>
      </c>
      <c r="C16181" s="4" t="str">
        <f>HYPERLINK("http://www.uniprot.org/uniprot/M5VWR5","M5VWR5")</f>
        <v>M5VWR5</v>
      </c>
      <c r="D16181" s="2" t="s">
        <v>11713</v>
      </c>
      <c r="E16181" s="3">
        <v>0</v>
      </c>
      <c r="F16181" s="2">
        <v>4423</v>
      </c>
      <c r="G16181" s="2">
        <v>96</v>
      </c>
      <c r="H16181" s="2">
        <v>868</v>
      </c>
      <c r="I16181" s="2">
        <v>661</v>
      </c>
      <c r="J16181" s="2">
        <v>3186</v>
      </c>
      <c r="K16181" s="2">
        <v>1</v>
      </c>
      <c r="L16181" s="2">
        <v>868</v>
      </c>
    </row>
    <row r="16182" spans="1:12" x14ac:dyDescent="0.25">
      <c r="A16182" s="4" t="str">
        <f>HYPERLINK("http://www.rosaceae.org/Prunus/Prunus_persica/p.persica_gdr_reftransV1_0003823","p.persica_gdr_reftransV1_0003823")</f>
        <v>p.persica_gdr_reftransV1_0003823</v>
      </c>
      <c r="B16182" s="2">
        <v>1933</v>
      </c>
      <c r="C16182" s="4" t="str">
        <f>HYPERLINK("http://www.uniprot.org/uniprot/M5WU90","M5WU90")</f>
        <v>M5WU90</v>
      </c>
      <c r="D16182" s="2" t="s">
        <v>12873</v>
      </c>
      <c r="E16182" s="3">
        <v>0</v>
      </c>
      <c r="F16182" s="2">
        <v>1766</v>
      </c>
      <c r="G16182" s="2">
        <v>91</v>
      </c>
      <c r="H16182" s="2">
        <v>461</v>
      </c>
      <c r="I16182" s="2">
        <v>391</v>
      </c>
      <c r="J16182" s="2">
        <v>1773</v>
      </c>
      <c r="K16182" s="2">
        <v>1</v>
      </c>
      <c r="L16182" s="2">
        <v>437</v>
      </c>
    </row>
    <row r="16183" spans="1:12" x14ac:dyDescent="0.25">
      <c r="A16183" s="4" t="str">
        <f>HYPERLINK("http://www.rosaceae.org/Prunus/Prunus_persica/p.persica_gdr_reftransV1_0004173","p.persica_gdr_reftransV1_0004173")</f>
        <v>p.persica_gdr_reftransV1_0004173</v>
      </c>
      <c r="B16183" s="2">
        <v>3600</v>
      </c>
      <c r="C16183" s="4" t="str">
        <f>HYPERLINK("http://www.uniprot.org/uniprot/M5XKG0","M5XKG0")</f>
        <v>M5XKG0</v>
      </c>
      <c r="D16183" s="2" t="s">
        <v>12874</v>
      </c>
      <c r="E16183" s="3">
        <v>0</v>
      </c>
      <c r="F16183" s="2">
        <v>5105</v>
      </c>
      <c r="G16183" s="2">
        <v>95</v>
      </c>
      <c r="H16183" s="2">
        <v>1046</v>
      </c>
      <c r="I16183" s="2">
        <v>267</v>
      </c>
      <c r="J16183" s="2">
        <v>3404</v>
      </c>
      <c r="K16183" s="2">
        <v>1</v>
      </c>
      <c r="L16183" s="2">
        <v>998</v>
      </c>
    </row>
    <row r="16184" spans="1:12" x14ac:dyDescent="0.25">
      <c r="A16184" s="4" t="str">
        <f>HYPERLINK("http://www.rosaceae.org/Prunus/Prunus_persica/p.persica_gdr_reftransV1_0004523","p.persica_gdr_reftransV1_0004523")</f>
        <v>p.persica_gdr_reftransV1_0004523</v>
      </c>
      <c r="B16184" s="2">
        <v>464</v>
      </c>
      <c r="C16184" s="4" t="str">
        <f>HYPERLINK("http://www.uniprot.org/uniprot/M5W718","M5W718")</f>
        <v>M5W718</v>
      </c>
      <c r="D16184" s="2" t="s">
        <v>2225</v>
      </c>
      <c r="E16184" s="3">
        <v>3.2500000000000002E-99</v>
      </c>
      <c r="F16184" s="2">
        <v>797</v>
      </c>
      <c r="G16184" s="2">
        <v>100</v>
      </c>
      <c r="H16184" s="2">
        <v>154</v>
      </c>
      <c r="I16184" s="2">
        <v>3</v>
      </c>
      <c r="J16184" s="2">
        <v>464</v>
      </c>
      <c r="K16184" s="2">
        <v>11</v>
      </c>
      <c r="L16184" s="2">
        <v>164</v>
      </c>
    </row>
    <row r="16185" spans="1:12" x14ac:dyDescent="0.25">
      <c r="A16185" s="4" t="str">
        <f>HYPERLINK("http://www.rosaceae.org/Prunus/Prunus_persica/p.persica_gdr_reftransV1_0004873","p.persica_gdr_reftransV1_0004873")</f>
        <v>p.persica_gdr_reftransV1_0004873</v>
      </c>
      <c r="B16185" s="2">
        <v>3172</v>
      </c>
      <c r="C16185" s="4" t="str">
        <f>HYPERLINK("http://www.uniprot.org/uniprot/M5X9F6","M5X9F6")</f>
        <v>M5X9F6</v>
      </c>
      <c r="D16185" s="2" t="s">
        <v>6495</v>
      </c>
      <c r="E16185" s="3">
        <v>0</v>
      </c>
      <c r="F16185" s="2">
        <v>1866</v>
      </c>
      <c r="G16185" s="2">
        <v>95</v>
      </c>
      <c r="H16185" s="2">
        <v>416</v>
      </c>
      <c r="I16185" s="2">
        <v>97</v>
      </c>
      <c r="J16185" s="2">
        <v>1332</v>
      </c>
      <c r="K16185" s="2">
        <v>1</v>
      </c>
      <c r="L16185" s="2">
        <v>401</v>
      </c>
    </row>
    <row r="16186" spans="1:12" x14ac:dyDescent="0.25">
      <c r="A16186" s="4" t="str">
        <f>HYPERLINK("http://www.rosaceae.org/Prunus/Prunus_persica/p.persica_gdr_reftransV1_0005223","p.persica_gdr_reftransV1_0005223")</f>
        <v>p.persica_gdr_reftransV1_0005223</v>
      </c>
      <c r="B16186" s="2">
        <v>2389</v>
      </c>
      <c r="C16186" s="4" t="str">
        <f>HYPERLINK("http://www.uniprot.org/uniprot/M5X784","M5X784")</f>
        <v>M5X784</v>
      </c>
      <c r="D16186" s="2" t="s">
        <v>194</v>
      </c>
      <c r="E16186" s="3">
        <v>0</v>
      </c>
      <c r="F16186" s="2">
        <v>3557</v>
      </c>
      <c r="G16186" s="2">
        <v>100</v>
      </c>
      <c r="H16186" s="2">
        <v>717</v>
      </c>
      <c r="I16186" s="2">
        <v>132</v>
      </c>
      <c r="J16186" s="2">
        <v>2282</v>
      </c>
      <c r="K16186" s="2">
        <v>1</v>
      </c>
      <c r="L16186" s="2">
        <v>717</v>
      </c>
    </row>
    <row r="16187" spans="1:12" x14ac:dyDescent="0.25">
      <c r="A16187" s="4" t="str">
        <f>HYPERLINK("http://www.rosaceae.org/Prunus/Prunus_persica/p.persica_gdr_reftransV1_0005573","p.persica_gdr_reftransV1_0005573")</f>
        <v>p.persica_gdr_reftransV1_0005573</v>
      </c>
      <c r="B16187" s="2">
        <v>707</v>
      </c>
      <c r="C16187" s="4" t="str">
        <f>HYPERLINK("http://www.uniprot.org/uniprot/M5WLB0","M5WLB0")</f>
        <v>M5WLB0</v>
      </c>
      <c r="D16187" s="2" t="s">
        <v>12875</v>
      </c>
      <c r="E16187" s="3">
        <v>3.0400000000000001E-164</v>
      </c>
      <c r="F16187" s="2">
        <v>1196</v>
      </c>
      <c r="G16187" s="2">
        <v>100</v>
      </c>
      <c r="H16187" s="2">
        <v>223</v>
      </c>
      <c r="I16187" s="2">
        <v>32</v>
      </c>
      <c r="J16187" s="2">
        <v>700</v>
      </c>
      <c r="K16187" s="2">
        <v>1</v>
      </c>
      <c r="L16187" s="2">
        <v>223</v>
      </c>
    </row>
    <row r="16188" spans="1:12" x14ac:dyDescent="0.25">
      <c r="A16188" s="4" t="str">
        <f>HYPERLINK("http://www.rosaceae.org/Prunus/Prunus_persica/p.persica_gdr_reftransV1_0006273","p.persica_gdr_reftransV1_0006273")</f>
        <v>p.persica_gdr_reftransV1_0006273</v>
      </c>
      <c r="B16188" s="2">
        <v>507</v>
      </c>
      <c r="C16188" s="4" t="str">
        <f>HYPERLINK("http://www.uniprot.org/uniprot/M5WV15","M5WV15")</f>
        <v>M5WV15</v>
      </c>
      <c r="D16188" s="2" t="s">
        <v>12876</v>
      </c>
      <c r="E16188" s="3">
        <v>1.4799999999999999E-93</v>
      </c>
      <c r="F16188" s="2">
        <v>759</v>
      </c>
      <c r="G16188" s="2">
        <v>100</v>
      </c>
      <c r="H16188" s="2">
        <v>144</v>
      </c>
      <c r="I16188" s="2">
        <v>74</v>
      </c>
      <c r="J16188" s="2">
        <v>505</v>
      </c>
      <c r="K16188" s="2">
        <v>1</v>
      </c>
      <c r="L16188" s="2">
        <v>144</v>
      </c>
    </row>
    <row r="16189" spans="1:12" x14ac:dyDescent="0.25">
      <c r="A16189" s="4" t="str">
        <f>HYPERLINK("http://www.rosaceae.org/Prunus/Prunus_persica/p.persica_gdr_reftransV1_0006623","p.persica_gdr_reftransV1_0006623")</f>
        <v>p.persica_gdr_reftransV1_0006623</v>
      </c>
      <c r="B16189" s="2">
        <v>583</v>
      </c>
      <c r="C16189" s="4" t="str">
        <f>HYPERLINK("http://www.uniprot.org/uniprot/M5VNU3","M5VNU3")</f>
        <v>M5VNU3</v>
      </c>
      <c r="D16189" s="2" t="s">
        <v>9281</v>
      </c>
      <c r="E16189" s="3">
        <v>1.3600000000000001E-136</v>
      </c>
      <c r="F16189" s="2">
        <v>1038</v>
      </c>
      <c r="G16189" s="2">
        <v>100</v>
      </c>
      <c r="H16189" s="2">
        <v>193</v>
      </c>
      <c r="I16189" s="2">
        <v>3</v>
      </c>
      <c r="J16189" s="2">
        <v>581</v>
      </c>
      <c r="K16189" s="2">
        <v>148</v>
      </c>
      <c r="L16189" s="2">
        <v>340</v>
      </c>
    </row>
    <row r="16190" spans="1:12" x14ac:dyDescent="0.25">
      <c r="A16190" s="4" t="str">
        <f>HYPERLINK("http://www.rosaceae.org/Prunus/Prunus_persica/p.persica_gdr_reftransV1_0006973","p.persica_gdr_reftransV1_0006973")</f>
        <v>p.persica_gdr_reftransV1_0006973</v>
      </c>
      <c r="B16190" s="2">
        <v>792</v>
      </c>
      <c r="C16190" s="4" t="str">
        <f>HYPERLINK("http://www.uniprot.org/uniprot/M5W0S7","M5W0S7")</f>
        <v>M5W0S7</v>
      </c>
      <c r="D16190" s="2" t="s">
        <v>12877</v>
      </c>
      <c r="E16190" s="3">
        <v>7.1099999999999998E-90</v>
      </c>
      <c r="F16190" s="2">
        <v>701</v>
      </c>
      <c r="G16190" s="2">
        <v>100</v>
      </c>
      <c r="H16190" s="2">
        <v>130</v>
      </c>
      <c r="I16190" s="2">
        <v>84</v>
      </c>
      <c r="J16190" s="2">
        <v>473</v>
      </c>
      <c r="K16190" s="2">
        <v>1</v>
      </c>
      <c r="L16190" s="2">
        <v>130</v>
      </c>
    </row>
    <row r="16191" spans="1:12" x14ac:dyDescent="0.25">
      <c r="A16191" s="4" t="str">
        <f>HYPERLINK("http://www.rosaceae.org/Prunus/Prunus_persica/p.persica_gdr_reftransV1_0007673","p.persica_gdr_reftransV1_0007673")</f>
        <v>p.persica_gdr_reftransV1_0007673</v>
      </c>
      <c r="B16191" s="2">
        <v>664</v>
      </c>
      <c r="C16191" s="4" t="str">
        <f>HYPERLINK("http://www.uniprot.org/uniprot/M5Y6Q3","M5Y6Q3")</f>
        <v>M5Y6Q3</v>
      </c>
      <c r="D16191" s="2" t="s">
        <v>5431</v>
      </c>
      <c r="E16191" s="3">
        <v>1.5799999999999999E-94</v>
      </c>
      <c r="F16191" s="2">
        <v>797</v>
      </c>
      <c r="G16191" s="2">
        <v>99</v>
      </c>
      <c r="H16191" s="2">
        <v>194</v>
      </c>
      <c r="I16191" s="2">
        <v>81</v>
      </c>
      <c r="J16191" s="2">
        <v>662</v>
      </c>
      <c r="K16191" s="2">
        <v>9</v>
      </c>
      <c r="L16191" s="2">
        <v>202</v>
      </c>
    </row>
    <row r="16192" spans="1:12" x14ac:dyDescent="0.25">
      <c r="A16192" s="4" t="str">
        <f>HYPERLINK("http://www.rosaceae.org/Prunus/Prunus_persica/p.persica_gdr_reftransV1_0010123","p.persica_gdr_reftransV1_0010123")</f>
        <v>p.persica_gdr_reftransV1_0010123</v>
      </c>
      <c r="B16192" s="2">
        <v>2021</v>
      </c>
      <c r="C16192" s="4" t="str">
        <f>HYPERLINK("http://www.uniprot.org/uniprot/S4V388","S4V388")</f>
        <v>S4V388</v>
      </c>
      <c r="D16192" s="2" t="s">
        <v>12878</v>
      </c>
      <c r="E16192" s="3">
        <v>0</v>
      </c>
      <c r="F16192" s="2">
        <v>1826</v>
      </c>
      <c r="G16192" s="2">
        <v>99</v>
      </c>
      <c r="H16192" s="2">
        <v>344</v>
      </c>
      <c r="I16192" s="2">
        <v>625</v>
      </c>
      <c r="J16192" s="2">
        <v>1656</v>
      </c>
      <c r="K16192" s="2">
        <v>1</v>
      </c>
      <c r="L16192" s="2">
        <v>344</v>
      </c>
    </row>
    <row r="16193" spans="1:12" x14ac:dyDescent="0.25">
      <c r="A16193" s="4" t="str">
        <f>HYPERLINK("http://www.rosaceae.org/Prunus/Prunus_persica/p.persica_gdr_reftransV1_0010473","p.persica_gdr_reftransV1_0010473")</f>
        <v>p.persica_gdr_reftransV1_0010473</v>
      </c>
      <c r="B16193" s="2">
        <v>1814</v>
      </c>
      <c r="C16193" s="4" t="str">
        <f>HYPERLINK("http://www.uniprot.org/uniprot/M5VUS8","M5VUS8")</f>
        <v>M5VUS8</v>
      </c>
      <c r="D16193" s="2" t="s">
        <v>12879</v>
      </c>
      <c r="E16193" s="3">
        <v>0</v>
      </c>
      <c r="F16193" s="2">
        <v>1761</v>
      </c>
      <c r="G16193" s="2">
        <v>83</v>
      </c>
      <c r="H16193" s="2">
        <v>444</v>
      </c>
      <c r="I16193" s="2">
        <v>157</v>
      </c>
      <c r="J16193" s="2">
        <v>1488</v>
      </c>
      <c r="K16193" s="2">
        <v>1</v>
      </c>
      <c r="L16193" s="2">
        <v>385</v>
      </c>
    </row>
    <row r="16194" spans="1:12" x14ac:dyDescent="0.25">
      <c r="A16194" s="4" t="str">
        <f>HYPERLINK("http://www.rosaceae.org/Prunus/Prunus_persica/p.persica_gdr_reftransV1_0010823","p.persica_gdr_reftransV1_0010823")</f>
        <v>p.persica_gdr_reftransV1_0010823</v>
      </c>
      <c r="B16194" s="2">
        <v>3060</v>
      </c>
      <c r="C16194" s="4" t="str">
        <f>HYPERLINK("http://www.uniprot.org/uniprot/M5WCW1","M5WCW1")</f>
        <v>M5WCW1</v>
      </c>
      <c r="D16194" s="2" t="s">
        <v>4509</v>
      </c>
      <c r="E16194" s="3">
        <v>0</v>
      </c>
      <c r="F16194" s="2">
        <v>4026</v>
      </c>
      <c r="G16194" s="2">
        <v>100</v>
      </c>
      <c r="H16194" s="2">
        <v>739</v>
      </c>
      <c r="I16194" s="2">
        <v>843</v>
      </c>
      <c r="J16194" s="2">
        <v>3059</v>
      </c>
      <c r="K16194" s="2">
        <v>226</v>
      </c>
      <c r="L16194" s="2">
        <v>964</v>
      </c>
    </row>
    <row r="16195" spans="1:12" x14ac:dyDescent="0.25">
      <c r="A16195" s="4" t="str">
        <f>HYPERLINK("http://www.rosaceae.org/Prunus/Prunus_persica/p.persica_gdr_reftransV1_0011173","p.persica_gdr_reftransV1_0011173")</f>
        <v>p.persica_gdr_reftransV1_0011173</v>
      </c>
      <c r="B16195" s="2">
        <v>1008</v>
      </c>
      <c r="C16195" s="4" t="str">
        <f>HYPERLINK("http://www.uniprot.org/uniprot/M5W3U1","M5W3U1")</f>
        <v>M5W3U1</v>
      </c>
      <c r="D16195" s="2" t="s">
        <v>12880</v>
      </c>
      <c r="E16195" s="3">
        <v>2.71E-21</v>
      </c>
      <c r="F16195" s="2">
        <v>176</v>
      </c>
      <c r="G16195" s="2">
        <v>56</v>
      </c>
      <c r="H16195" s="2">
        <v>62</v>
      </c>
      <c r="I16195" s="2">
        <v>723</v>
      </c>
      <c r="J16195" s="2">
        <v>908</v>
      </c>
      <c r="K16195" s="2">
        <v>106</v>
      </c>
      <c r="L16195" s="2">
        <v>167</v>
      </c>
    </row>
    <row r="16196" spans="1:12" x14ac:dyDescent="0.25">
      <c r="A16196" s="4" t="str">
        <f>HYPERLINK("http://www.rosaceae.org/Prunus/Prunus_persica/p.persica_gdr_reftransV1_0011523","p.persica_gdr_reftransV1_0011523")</f>
        <v>p.persica_gdr_reftransV1_0011523</v>
      </c>
      <c r="B16196" s="2">
        <v>3392</v>
      </c>
      <c r="C16196" s="4" t="str">
        <f>HYPERLINK("http://www.uniprot.org/uniprot/M5W3U5","M5W3U5")</f>
        <v>M5W3U5</v>
      </c>
      <c r="D16196" s="2" t="s">
        <v>2233</v>
      </c>
      <c r="E16196" s="3">
        <v>0</v>
      </c>
      <c r="F16196" s="2">
        <v>3952</v>
      </c>
      <c r="G16196" s="2">
        <v>96</v>
      </c>
      <c r="H16196" s="2">
        <v>837</v>
      </c>
      <c r="I16196" s="2">
        <v>465</v>
      </c>
      <c r="J16196" s="2">
        <v>2975</v>
      </c>
      <c r="K16196" s="2">
        <v>1</v>
      </c>
      <c r="L16196" s="2">
        <v>812</v>
      </c>
    </row>
    <row r="16197" spans="1:12" x14ac:dyDescent="0.25">
      <c r="A16197" s="4" t="str">
        <f>HYPERLINK("http://www.rosaceae.org/Prunus/Prunus_persica/p.persica_gdr_reftransV1_0012223","p.persica_gdr_reftransV1_0012223")</f>
        <v>p.persica_gdr_reftransV1_0012223</v>
      </c>
      <c r="B16197" s="2">
        <v>829</v>
      </c>
      <c r="C16197" s="4" t="str">
        <f>HYPERLINK("http://www.uniprot.org/uniprot/G7K3J7","G7K3J7")</f>
        <v>G7K3J7</v>
      </c>
      <c r="D16197" s="2" t="s">
        <v>12881</v>
      </c>
      <c r="E16197" s="3">
        <v>1.7800000000000001E-8</v>
      </c>
      <c r="F16197" s="2">
        <v>143</v>
      </c>
      <c r="G16197" s="2">
        <v>53</v>
      </c>
      <c r="H16197" s="2">
        <v>68</v>
      </c>
      <c r="I16197" s="2">
        <v>113</v>
      </c>
      <c r="J16197" s="2">
        <v>310</v>
      </c>
      <c r="K16197" s="2">
        <v>1</v>
      </c>
      <c r="L16197" s="2">
        <v>61</v>
      </c>
    </row>
    <row r="16198" spans="1:12" x14ac:dyDescent="0.25">
      <c r="A16198" s="4" t="str">
        <f>HYPERLINK("http://www.rosaceae.org/Prunus/Prunus_persica/p.persica_gdr_reftransV1_0014323","p.persica_gdr_reftransV1_0014323")</f>
        <v>p.persica_gdr_reftransV1_0014323</v>
      </c>
      <c r="B16198" s="2">
        <v>455</v>
      </c>
      <c r="C16198" s="4" t="str">
        <f>HYPERLINK("http://www.uniprot.org/uniprot/M5WFU8","M5WFU8")</f>
        <v>M5WFU8</v>
      </c>
      <c r="D16198" s="2" t="s">
        <v>12882</v>
      </c>
      <c r="E16198" s="3">
        <v>1.3699999999999999E-94</v>
      </c>
      <c r="F16198" s="2">
        <v>736</v>
      </c>
      <c r="G16198" s="2">
        <v>100</v>
      </c>
      <c r="H16198" s="2">
        <v>141</v>
      </c>
      <c r="I16198" s="2">
        <v>31</v>
      </c>
      <c r="J16198" s="2">
        <v>453</v>
      </c>
      <c r="K16198" s="2">
        <v>1</v>
      </c>
      <c r="L16198" s="2">
        <v>141</v>
      </c>
    </row>
    <row r="16199" spans="1:12" x14ac:dyDescent="0.25">
      <c r="A16199" s="4" t="str">
        <f>HYPERLINK("http://www.rosaceae.org/Prunus/Prunus_persica/p.persica_gdr_reftransV1_0014673","p.persica_gdr_reftransV1_0014673")</f>
        <v>p.persica_gdr_reftransV1_0014673</v>
      </c>
      <c r="B16199" s="2">
        <v>2686</v>
      </c>
      <c r="C16199" s="4" t="str">
        <f>HYPERLINK("http://www.uniprot.org/uniprot/M5W1N6","M5W1N6")</f>
        <v>M5W1N6</v>
      </c>
      <c r="D16199" s="2" t="s">
        <v>12883</v>
      </c>
      <c r="E16199" s="3">
        <v>0</v>
      </c>
      <c r="F16199" s="2">
        <v>2725</v>
      </c>
      <c r="G16199" s="2">
        <v>100</v>
      </c>
      <c r="H16199" s="2">
        <v>507</v>
      </c>
      <c r="I16199" s="2">
        <v>883</v>
      </c>
      <c r="J16199" s="2">
        <v>2403</v>
      </c>
      <c r="K16199" s="2">
        <v>1</v>
      </c>
      <c r="L16199" s="2">
        <v>507</v>
      </c>
    </row>
    <row r="16200" spans="1:12" x14ac:dyDescent="0.25">
      <c r="A16200" s="4" t="str">
        <f>HYPERLINK("http://www.rosaceae.org/Prunus/Prunus_persica/p.persica_gdr_reftransV1_0015373","p.persica_gdr_reftransV1_0015373")</f>
        <v>p.persica_gdr_reftransV1_0015373</v>
      </c>
      <c r="B16200" s="2">
        <v>2154</v>
      </c>
      <c r="C16200" s="4" t="str">
        <f>HYPERLINK("http://www.uniprot.org/uniprot/M5W8Q2","M5W8Q2")</f>
        <v>M5W8Q2</v>
      </c>
      <c r="D16200" s="2" t="s">
        <v>2686</v>
      </c>
      <c r="E16200" s="3">
        <v>0</v>
      </c>
      <c r="F16200" s="2">
        <v>1632</v>
      </c>
      <c r="G16200" s="2">
        <v>100</v>
      </c>
      <c r="H16200" s="2">
        <v>329</v>
      </c>
      <c r="I16200" s="2">
        <v>1074</v>
      </c>
      <c r="J16200" s="2">
        <v>2060</v>
      </c>
      <c r="K16200" s="2">
        <v>1</v>
      </c>
      <c r="L16200" s="2">
        <v>329</v>
      </c>
    </row>
    <row r="16201" spans="1:12" x14ac:dyDescent="0.25">
      <c r="A16201" s="4" t="str">
        <f>HYPERLINK("http://www.rosaceae.org/Prunus/Prunus_persica/p.persica_gdr_reftransV1_0016423","p.persica_gdr_reftransV1_0016423")</f>
        <v>p.persica_gdr_reftransV1_0016423</v>
      </c>
      <c r="B16201" s="2">
        <v>1109</v>
      </c>
      <c r="C16201" s="4" t="str">
        <f>HYPERLINK("http://www.uniprot.org/uniprot/M5XAJ7","M5XAJ7")</f>
        <v>M5XAJ7</v>
      </c>
      <c r="D16201" s="2" t="s">
        <v>12277</v>
      </c>
      <c r="E16201" s="3">
        <v>1.51E-178</v>
      </c>
      <c r="F16201" s="2">
        <v>1347</v>
      </c>
      <c r="G16201" s="2">
        <v>94</v>
      </c>
      <c r="H16201" s="2">
        <v>265</v>
      </c>
      <c r="I16201" s="2">
        <v>245</v>
      </c>
      <c r="J16201" s="2">
        <v>1036</v>
      </c>
      <c r="K16201" s="2">
        <v>20</v>
      </c>
      <c r="L16201" s="2">
        <v>284</v>
      </c>
    </row>
    <row r="16202" spans="1:12" x14ac:dyDescent="0.25">
      <c r="A16202" s="4" t="str">
        <f>HYPERLINK("http://www.rosaceae.org/Prunus/Prunus_persica/p.persica_gdr_reftransV1_0017123","p.persica_gdr_reftransV1_0017123")</f>
        <v>p.persica_gdr_reftransV1_0017123</v>
      </c>
      <c r="B16202" s="2">
        <v>2611</v>
      </c>
      <c r="C16202" s="4" t="str">
        <f>HYPERLINK("http://www.uniprot.org/uniprot/M5W841","M5W841")</f>
        <v>M5W841</v>
      </c>
      <c r="D16202" s="2" t="s">
        <v>12884</v>
      </c>
      <c r="E16202" s="3">
        <v>0</v>
      </c>
      <c r="F16202" s="2">
        <v>3076</v>
      </c>
      <c r="G16202" s="2">
        <v>99</v>
      </c>
      <c r="H16202" s="2">
        <v>656</v>
      </c>
      <c r="I16202" s="2">
        <v>194</v>
      </c>
      <c r="J16202" s="2">
        <v>2161</v>
      </c>
      <c r="K16202" s="2">
        <v>3</v>
      </c>
      <c r="L16202" s="2">
        <v>658</v>
      </c>
    </row>
    <row r="16203" spans="1:12" x14ac:dyDescent="0.25">
      <c r="A16203" s="4" t="str">
        <f>HYPERLINK("http://www.rosaceae.org/Prunus/Prunus_persica/p.persica_gdr_reftransV1_0020623","p.persica_gdr_reftransV1_0020623")</f>
        <v>p.persica_gdr_reftransV1_0020623</v>
      </c>
      <c r="B16203" s="2">
        <v>1065</v>
      </c>
      <c r="C16203" s="4" t="str">
        <f>HYPERLINK("http://www.uniprot.org/uniprot/M5W9T7","M5W9T7")</f>
        <v>M5W9T7</v>
      </c>
      <c r="D16203" s="2" t="s">
        <v>1336</v>
      </c>
      <c r="E16203" s="3">
        <v>1.97E-59</v>
      </c>
      <c r="F16203" s="2">
        <v>521</v>
      </c>
      <c r="G16203" s="2">
        <v>97</v>
      </c>
      <c r="H16203" s="2">
        <v>100</v>
      </c>
      <c r="I16203" s="2">
        <v>1</v>
      </c>
      <c r="J16203" s="2">
        <v>300</v>
      </c>
      <c r="K16203" s="2">
        <v>133</v>
      </c>
      <c r="L16203" s="2">
        <v>232</v>
      </c>
    </row>
    <row r="16204" spans="1:12" x14ac:dyDescent="0.25">
      <c r="A16204" s="4" t="str">
        <f>HYPERLINK("http://www.rosaceae.org/Prunus/Prunus_persica/p.persica_gdr_reftransV1_0021323","p.persica_gdr_reftransV1_0021323")</f>
        <v>p.persica_gdr_reftransV1_0021323</v>
      </c>
      <c r="B16204" s="2">
        <v>3370</v>
      </c>
      <c r="C16204" s="4" t="str">
        <f>HYPERLINK("http://www.uniprot.org/uniprot/M5XT76","M5XT76")</f>
        <v>M5XT76</v>
      </c>
      <c r="D16204" s="2" t="s">
        <v>12885</v>
      </c>
      <c r="E16204" s="3">
        <v>0</v>
      </c>
      <c r="F16204" s="2">
        <v>5131</v>
      </c>
      <c r="G16204" s="2">
        <v>98</v>
      </c>
      <c r="H16204" s="2">
        <v>1062</v>
      </c>
      <c r="I16204" s="2">
        <v>2</v>
      </c>
      <c r="J16204" s="2">
        <v>3187</v>
      </c>
      <c r="K16204" s="2">
        <v>15</v>
      </c>
      <c r="L16204" s="2">
        <v>1052</v>
      </c>
    </row>
    <row r="16205" spans="1:12" x14ac:dyDescent="0.25">
      <c r="A16205" s="4" t="str">
        <f>HYPERLINK("http://www.rosaceae.org/Prunus/Prunus_persica/p.persica_gdr_reftransV1_0024473","p.persica_gdr_reftransV1_0024473")</f>
        <v>p.persica_gdr_reftransV1_0024473</v>
      </c>
      <c r="B16205" s="2">
        <v>1398</v>
      </c>
      <c r="C16205" s="4" t="str">
        <f>HYPERLINK("http://www.uniprot.org/uniprot/M5VWY4","M5VWY4")</f>
        <v>M5VWY4</v>
      </c>
      <c r="D16205" s="2" t="s">
        <v>12886</v>
      </c>
      <c r="E16205" s="3">
        <v>1.4300000000000001E-118</v>
      </c>
      <c r="F16205" s="2">
        <v>920</v>
      </c>
      <c r="G16205" s="2">
        <v>100</v>
      </c>
      <c r="H16205" s="2">
        <v>232</v>
      </c>
      <c r="I16205" s="2">
        <v>521</v>
      </c>
      <c r="J16205" s="2">
        <v>1216</v>
      </c>
      <c r="K16205" s="2">
        <v>1</v>
      </c>
      <c r="L16205" s="2">
        <v>232</v>
      </c>
    </row>
    <row r="16206" spans="1:12" x14ac:dyDescent="0.25">
      <c r="A16206" s="4" t="str">
        <f>HYPERLINK("http://www.rosaceae.org/Prunus/Prunus_persica/p.persica_gdr_reftransV1_0025173","p.persica_gdr_reftransV1_0025173")</f>
        <v>p.persica_gdr_reftransV1_0025173</v>
      </c>
      <c r="B16206" s="2">
        <v>2779</v>
      </c>
      <c r="C16206" s="4" t="str">
        <f>HYPERLINK("http://www.uniprot.org/uniprot/M5XYL8","M5XYL8")</f>
        <v>M5XYL8</v>
      </c>
      <c r="D16206" s="2" t="s">
        <v>12887</v>
      </c>
      <c r="E16206" s="3">
        <v>0</v>
      </c>
      <c r="F16206" s="2">
        <v>2573</v>
      </c>
      <c r="G16206" s="2">
        <v>98</v>
      </c>
      <c r="H16206" s="2">
        <v>523</v>
      </c>
      <c r="I16206" s="2">
        <v>1093</v>
      </c>
      <c r="J16206" s="2">
        <v>2661</v>
      </c>
      <c r="K16206" s="2">
        <v>1</v>
      </c>
      <c r="L16206" s="2">
        <v>521</v>
      </c>
    </row>
    <row r="16207" spans="1:12" x14ac:dyDescent="0.25">
      <c r="A16207" s="4" t="str">
        <f>HYPERLINK("http://www.rosaceae.org/Prunus/Prunus_persica/p.persica_gdr_reftransV1_0025523","p.persica_gdr_reftransV1_0025523")</f>
        <v>p.persica_gdr_reftransV1_0025523</v>
      </c>
      <c r="B16207" s="2">
        <v>2027</v>
      </c>
      <c r="C16207" s="4" t="str">
        <f>HYPERLINK("http://www.uniprot.org/uniprot/M5W7L3","M5W7L3")</f>
        <v>M5W7L3</v>
      </c>
      <c r="D16207" s="2" t="s">
        <v>12888</v>
      </c>
      <c r="E16207" s="3">
        <v>0</v>
      </c>
      <c r="F16207" s="2">
        <v>2022</v>
      </c>
      <c r="G16207" s="2">
        <v>100</v>
      </c>
      <c r="H16207" s="2">
        <v>415</v>
      </c>
      <c r="I16207" s="2">
        <v>288</v>
      </c>
      <c r="J16207" s="2">
        <v>1532</v>
      </c>
      <c r="K16207" s="2">
        <v>1</v>
      </c>
      <c r="L16207" s="2">
        <v>415</v>
      </c>
    </row>
    <row r="16208" spans="1:12" x14ac:dyDescent="0.25">
      <c r="A16208" s="4" t="str">
        <f>HYPERLINK("http://www.rosaceae.org/Prunus/Prunus_persica/p.persica_gdr_reftransV1_0026223","p.persica_gdr_reftransV1_0026223")</f>
        <v>p.persica_gdr_reftransV1_0026223</v>
      </c>
      <c r="B16208" s="2">
        <v>1539</v>
      </c>
      <c r="C16208" s="4" t="str">
        <f>HYPERLINK("http://www.uniprot.org/uniprot/M5XG51","M5XG51")</f>
        <v>M5XG51</v>
      </c>
      <c r="D16208" s="2" t="s">
        <v>12889</v>
      </c>
      <c r="E16208" s="3">
        <v>9.0800000000000002E-126</v>
      </c>
      <c r="F16208" s="2">
        <v>971</v>
      </c>
      <c r="G16208" s="2">
        <v>100</v>
      </c>
      <c r="H16208" s="2">
        <v>184</v>
      </c>
      <c r="I16208" s="2">
        <v>327</v>
      </c>
      <c r="J16208" s="2">
        <v>878</v>
      </c>
      <c r="K16208" s="2">
        <v>1</v>
      </c>
      <c r="L16208" s="2">
        <v>184</v>
      </c>
    </row>
    <row r="16209" spans="1:12" x14ac:dyDescent="0.25">
      <c r="A16209" s="4" t="str">
        <f>HYPERLINK("http://www.rosaceae.org/Prunus/Prunus_persica/p.persica_gdr_reftransV1_0027273","p.persica_gdr_reftransV1_0027273")</f>
        <v>p.persica_gdr_reftransV1_0027273</v>
      </c>
      <c r="B16209" s="2">
        <v>2579</v>
      </c>
      <c r="C16209" s="4" t="str">
        <f>HYPERLINK("http://www.uniprot.org/uniprot/M5Y3C5","M5Y3C5")</f>
        <v>M5Y3C5</v>
      </c>
      <c r="D16209" s="2" t="s">
        <v>12890</v>
      </c>
      <c r="E16209" s="3">
        <v>0</v>
      </c>
      <c r="F16209" s="2">
        <v>1647</v>
      </c>
      <c r="G16209" s="2">
        <v>100</v>
      </c>
      <c r="H16209" s="2">
        <v>440</v>
      </c>
      <c r="I16209" s="2">
        <v>946</v>
      </c>
      <c r="J16209" s="2">
        <v>2265</v>
      </c>
      <c r="K16209" s="2">
        <v>1</v>
      </c>
      <c r="L16209" s="2">
        <v>440</v>
      </c>
    </row>
    <row r="16210" spans="1:12" x14ac:dyDescent="0.25">
      <c r="A16210" s="4" t="str">
        <f>HYPERLINK("http://www.rosaceae.org/Prunus/Prunus_persica/p.persica_gdr_reftransV1_0027973","p.persica_gdr_reftransV1_0027973")</f>
        <v>p.persica_gdr_reftransV1_0027973</v>
      </c>
      <c r="B16210" s="2">
        <v>643</v>
      </c>
      <c r="C16210" s="4" t="str">
        <f>HYPERLINK("http://www.uniprot.org/uniprot/M5Y1F2","M5Y1F2")</f>
        <v>M5Y1F2</v>
      </c>
      <c r="D16210" s="2" t="s">
        <v>12350</v>
      </c>
      <c r="E16210" s="3">
        <v>5.1600000000000003E-18</v>
      </c>
      <c r="F16210" s="2">
        <v>221</v>
      </c>
      <c r="G16210" s="2">
        <v>100</v>
      </c>
      <c r="H16210" s="2">
        <v>118</v>
      </c>
      <c r="I16210" s="2">
        <v>1</v>
      </c>
      <c r="J16210" s="2">
        <v>354</v>
      </c>
      <c r="K16210" s="2">
        <v>207</v>
      </c>
      <c r="L16210" s="2">
        <v>324</v>
      </c>
    </row>
    <row r="16211" spans="1:12" x14ac:dyDescent="0.25">
      <c r="A16211" s="4" t="str">
        <f>HYPERLINK("http://www.rosaceae.org/Prunus/Prunus_persica/p.persica_gdr_reftransV1_0029023","p.persica_gdr_reftransV1_0029023")</f>
        <v>p.persica_gdr_reftransV1_0029023</v>
      </c>
      <c r="B16211" s="2">
        <v>598</v>
      </c>
      <c r="C16211" s="4" t="str">
        <f>HYPERLINK("http://www.uniprot.org/uniprot/M5VZ47","M5VZ47")</f>
        <v>M5VZ47</v>
      </c>
      <c r="D16211" s="2" t="s">
        <v>12891</v>
      </c>
      <c r="E16211" s="3">
        <v>1.19E-89</v>
      </c>
      <c r="F16211" s="2">
        <v>710</v>
      </c>
      <c r="G16211" s="2">
        <v>100</v>
      </c>
      <c r="H16211" s="2">
        <v>135</v>
      </c>
      <c r="I16211" s="2">
        <v>1</v>
      </c>
      <c r="J16211" s="2">
        <v>405</v>
      </c>
      <c r="K16211" s="2">
        <v>198</v>
      </c>
      <c r="L16211" s="2">
        <v>332</v>
      </c>
    </row>
    <row r="16212" spans="1:12" x14ac:dyDescent="0.25">
      <c r="A16212" s="4" t="str">
        <f>HYPERLINK("http://www.rosaceae.org/Prunus/Prunus_persica/p.persica_gdr_reftransV1_0030073","p.persica_gdr_reftransV1_0030073")</f>
        <v>p.persica_gdr_reftransV1_0030073</v>
      </c>
      <c r="B16212" s="2">
        <v>3251</v>
      </c>
      <c r="C16212" s="4" t="str">
        <f>HYPERLINK("http://www.uniprot.org/uniprot/M5VTV5","M5VTV5")</f>
        <v>M5VTV5</v>
      </c>
      <c r="D16212" s="2" t="s">
        <v>12892</v>
      </c>
      <c r="E16212" s="3">
        <v>0</v>
      </c>
      <c r="F16212" s="2">
        <v>1813</v>
      </c>
      <c r="G16212" s="2">
        <v>100</v>
      </c>
      <c r="H16212" s="2">
        <v>431</v>
      </c>
      <c r="I16212" s="2">
        <v>277</v>
      </c>
      <c r="J16212" s="2">
        <v>1566</v>
      </c>
      <c r="K16212" s="2">
        <v>8</v>
      </c>
      <c r="L16212" s="2">
        <v>438</v>
      </c>
    </row>
    <row r="16213" spans="1:12" x14ac:dyDescent="0.25">
      <c r="A16213" s="4" t="str">
        <f>HYPERLINK("http://www.rosaceae.org/Prunus/Prunus_persica/p.persica_gdr_reftransV1_0030423","p.persica_gdr_reftransV1_0030423")</f>
        <v>p.persica_gdr_reftransV1_0030423</v>
      </c>
      <c r="B16213" s="2">
        <v>1826</v>
      </c>
      <c r="C16213" s="4" t="str">
        <f>HYPERLINK("http://www.uniprot.org/uniprot/M5W3R4","M5W3R4")</f>
        <v>M5W3R4</v>
      </c>
      <c r="D16213" s="2" t="s">
        <v>12893</v>
      </c>
      <c r="E16213" s="3">
        <v>3.02E-99</v>
      </c>
      <c r="F16213" s="2">
        <v>799</v>
      </c>
      <c r="G16213" s="2">
        <v>100</v>
      </c>
      <c r="H16213" s="2">
        <v>186</v>
      </c>
      <c r="I16213" s="2">
        <v>1191</v>
      </c>
      <c r="J16213" s="2">
        <v>1748</v>
      </c>
      <c r="K16213" s="2">
        <v>1</v>
      </c>
      <c r="L16213" s="2">
        <v>186</v>
      </c>
    </row>
    <row r="16214" spans="1:12" x14ac:dyDescent="0.25">
      <c r="A16214" s="4" t="str">
        <f>HYPERLINK("http://www.rosaceae.org/Prunus/Prunus_persica/p.persica_gdr_reftransV1_0030773","p.persica_gdr_reftransV1_0030773")</f>
        <v>p.persica_gdr_reftransV1_0030773</v>
      </c>
      <c r="B16214" s="2">
        <v>3795</v>
      </c>
      <c r="C16214" s="4" t="str">
        <f>HYPERLINK("http://www.uniprot.org/uniprot/M5XR61","M5XR61")</f>
        <v>M5XR61</v>
      </c>
      <c r="D16214" s="2" t="s">
        <v>6181</v>
      </c>
      <c r="E16214" s="3">
        <v>0</v>
      </c>
      <c r="F16214" s="2">
        <v>5471</v>
      </c>
      <c r="G16214" s="2">
        <v>98</v>
      </c>
      <c r="H16214" s="2">
        <v>1100</v>
      </c>
      <c r="I16214" s="2">
        <v>2</v>
      </c>
      <c r="J16214" s="2">
        <v>3301</v>
      </c>
      <c r="K16214" s="2">
        <v>249</v>
      </c>
      <c r="L16214" s="2">
        <v>1341</v>
      </c>
    </row>
    <row r="16215" spans="1:12" x14ac:dyDescent="0.25">
      <c r="A16215" s="4" t="str">
        <f>HYPERLINK("http://www.rosaceae.org/Prunus/Prunus_persica/p.persica_gdr_reftransV1_0032523","p.persica_gdr_reftransV1_0032523")</f>
        <v>p.persica_gdr_reftransV1_0032523</v>
      </c>
      <c r="B16215" s="2">
        <v>2507</v>
      </c>
      <c r="C16215" s="4" t="str">
        <f>HYPERLINK("http://www.uniprot.org/uniprot/M5X9A2","M5X9A2")</f>
        <v>M5X9A2</v>
      </c>
      <c r="D16215" s="2" t="s">
        <v>12894</v>
      </c>
      <c r="E16215" s="3">
        <v>0</v>
      </c>
      <c r="F16215" s="2">
        <v>1906</v>
      </c>
      <c r="G16215" s="2">
        <v>97</v>
      </c>
      <c r="H16215" s="2">
        <v>379</v>
      </c>
      <c r="I16215" s="2">
        <v>1232</v>
      </c>
      <c r="J16215" s="2">
        <v>2368</v>
      </c>
      <c r="K16215" s="2">
        <v>1</v>
      </c>
      <c r="L16215" s="2">
        <v>378</v>
      </c>
    </row>
    <row r="16216" spans="1:12" x14ac:dyDescent="0.25">
      <c r="A16216" s="4" t="str">
        <f>HYPERLINK("http://www.rosaceae.org/Prunus/Prunus_persica/p.persica_gdr_reftransV1_0033223","p.persica_gdr_reftransV1_0033223")</f>
        <v>p.persica_gdr_reftransV1_0033223</v>
      </c>
      <c r="B16216" s="2">
        <v>7473</v>
      </c>
      <c r="C16216" s="4" t="str">
        <f>HYPERLINK("http://www.uniprot.org/uniprot/M5XAF3","M5XAF3")</f>
        <v>M5XAF3</v>
      </c>
      <c r="D16216" s="2" t="s">
        <v>12895</v>
      </c>
      <c r="E16216" s="3">
        <v>0</v>
      </c>
      <c r="F16216" s="2">
        <v>5824</v>
      </c>
      <c r="G16216" s="2">
        <v>100</v>
      </c>
      <c r="H16216" s="2">
        <v>1143</v>
      </c>
      <c r="I16216" s="2">
        <v>3198</v>
      </c>
      <c r="J16216" s="2">
        <v>6626</v>
      </c>
      <c r="K16216" s="2">
        <v>1</v>
      </c>
      <c r="L16216" s="2">
        <v>1143</v>
      </c>
    </row>
    <row r="16217" spans="1:12" x14ac:dyDescent="0.25">
      <c r="A16217" s="4" t="str">
        <f>HYPERLINK("http://www.rosaceae.org/Prunus/Prunus_persica/p.persica_gdr_reftransV1_0033573","p.persica_gdr_reftransV1_0033573")</f>
        <v>p.persica_gdr_reftransV1_0033573</v>
      </c>
      <c r="B16217" s="2">
        <v>6401</v>
      </c>
      <c r="C16217" s="4" t="str">
        <f>HYPERLINK("http://www.uniprot.org/uniprot/A0A067LAZ7","A0A067LAZ7")</f>
        <v>A0A067LAZ7</v>
      </c>
      <c r="D16217" s="2" t="s">
        <v>12896</v>
      </c>
      <c r="E16217" s="3">
        <v>0</v>
      </c>
      <c r="F16217" s="2">
        <v>8323</v>
      </c>
      <c r="G16217" s="2">
        <v>84</v>
      </c>
      <c r="H16217" s="2">
        <v>1906</v>
      </c>
      <c r="I16217" s="2">
        <v>388</v>
      </c>
      <c r="J16217" s="2">
        <v>6099</v>
      </c>
      <c r="K16217" s="2">
        <v>1</v>
      </c>
      <c r="L16217" s="2">
        <v>1903</v>
      </c>
    </row>
    <row r="16218" spans="1:12" x14ac:dyDescent="0.25">
      <c r="A16218" s="4" t="str">
        <f>HYPERLINK("http://www.rosaceae.org/Prunus/Prunus_persica/p.persica_gdr_reftransV1_0033923","p.persica_gdr_reftransV1_0033923")</f>
        <v>p.persica_gdr_reftransV1_0033923</v>
      </c>
      <c r="B16218" s="2">
        <v>1705</v>
      </c>
      <c r="C16218" s="4" t="str">
        <f>HYPERLINK("http://www.uniprot.org/uniprot/M5XCF3","M5XCF3")</f>
        <v>M5XCF3</v>
      </c>
      <c r="D16218" s="2" t="s">
        <v>12897</v>
      </c>
      <c r="E16218" s="3">
        <v>0</v>
      </c>
      <c r="F16218" s="2">
        <v>1878</v>
      </c>
      <c r="G16218" s="2">
        <v>100</v>
      </c>
      <c r="H16218" s="2">
        <v>366</v>
      </c>
      <c r="I16218" s="2">
        <v>220</v>
      </c>
      <c r="J16218" s="2">
        <v>1317</v>
      </c>
      <c r="K16218" s="2">
        <v>1</v>
      </c>
      <c r="L16218" s="2">
        <v>366</v>
      </c>
    </row>
    <row r="16219" spans="1:12" x14ac:dyDescent="0.25">
      <c r="A16219" s="4" t="str">
        <f>HYPERLINK("http://www.rosaceae.org/Prunus/Prunus_persica/p.persica_gdr_reftransV1_0035673","p.persica_gdr_reftransV1_0035673")</f>
        <v>p.persica_gdr_reftransV1_0035673</v>
      </c>
      <c r="B16219" s="2">
        <v>2263</v>
      </c>
      <c r="C16219" s="4" t="str">
        <f>HYPERLINK("http://www.uniprot.org/uniprot/M5X1C0","M5X1C0")</f>
        <v>M5X1C0</v>
      </c>
      <c r="D16219" s="2" t="s">
        <v>12898</v>
      </c>
      <c r="E16219" s="3">
        <v>3.72E-90</v>
      </c>
      <c r="F16219" s="2">
        <v>760</v>
      </c>
      <c r="G16219" s="2">
        <v>100</v>
      </c>
      <c r="H16219" s="2">
        <v>168</v>
      </c>
      <c r="I16219" s="2">
        <v>83</v>
      </c>
      <c r="J16219" s="2">
        <v>586</v>
      </c>
      <c r="K16219" s="2">
        <v>1</v>
      </c>
      <c r="L16219" s="2">
        <v>168</v>
      </c>
    </row>
    <row r="16220" spans="1:12" x14ac:dyDescent="0.25">
      <c r="A16220" s="4" t="str">
        <f>HYPERLINK("http://www.rosaceae.org/Prunus/Prunus_persica/p.persica_gdr_reftransV1_0039173","p.persica_gdr_reftransV1_0039173")</f>
        <v>p.persica_gdr_reftransV1_0039173</v>
      </c>
      <c r="B16220" s="2">
        <v>1246</v>
      </c>
      <c r="C16220" s="4" t="str">
        <f>HYPERLINK("http://www.uniprot.org/uniprot/M5XRW6","M5XRW6")</f>
        <v>M5XRW6</v>
      </c>
      <c r="D16220" s="2" t="s">
        <v>3712</v>
      </c>
      <c r="E16220" s="3">
        <v>0</v>
      </c>
      <c r="F16220" s="2">
        <v>1427</v>
      </c>
      <c r="G16220" s="2">
        <v>100</v>
      </c>
      <c r="H16220" s="2">
        <v>265</v>
      </c>
      <c r="I16220" s="2">
        <v>2</v>
      </c>
      <c r="J16220" s="2">
        <v>796</v>
      </c>
      <c r="K16220" s="2">
        <v>684</v>
      </c>
      <c r="L16220" s="2">
        <v>948</v>
      </c>
    </row>
    <row r="16221" spans="1:12" x14ac:dyDescent="0.25">
      <c r="A16221" s="4" t="str">
        <f>HYPERLINK("http://www.rosaceae.org/Prunus/Prunus_persica/p.persica_gdr_reftransV1_0039523","p.persica_gdr_reftransV1_0039523")</f>
        <v>p.persica_gdr_reftransV1_0039523</v>
      </c>
      <c r="B16221" s="2">
        <v>1179</v>
      </c>
      <c r="C16221" s="4" t="str">
        <f>HYPERLINK("http://www.uniprot.org/uniprot/M5VN46","M5VN46")</f>
        <v>M5VN46</v>
      </c>
      <c r="D16221" s="2" t="s">
        <v>12899</v>
      </c>
      <c r="E16221" s="3">
        <v>2.7699999999999999E-66</v>
      </c>
      <c r="F16221" s="2">
        <v>553</v>
      </c>
      <c r="G16221" s="2">
        <v>100</v>
      </c>
      <c r="H16221" s="2">
        <v>105</v>
      </c>
      <c r="I16221" s="2">
        <v>578</v>
      </c>
      <c r="J16221" s="2">
        <v>892</v>
      </c>
      <c r="K16221" s="2">
        <v>1</v>
      </c>
      <c r="L16221" s="2">
        <v>105</v>
      </c>
    </row>
    <row r="16222" spans="1:12" x14ac:dyDescent="0.25">
      <c r="A16222" s="4" t="str">
        <f>HYPERLINK("http://www.rosaceae.org/Prunus/Prunus_persica/p.persica_gdr_reftransV1_0040223","p.persica_gdr_reftransV1_0040223")</f>
        <v>p.persica_gdr_reftransV1_0040223</v>
      </c>
      <c r="B16222" s="2">
        <v>2599</v>
      </c>
      <c r="C16222" s="4" t="str">
        <f>HYPERLINK("http://www.uniprot.org/uniprot/M5X006","M5X006")</f>
        <v>M5X006</v>
      </c>
      <c r="D16222" s="2" t="s">
        <v>12900</v>
      </c>
      <c r="E16222" s="3">
        <v>0</v>
      </c>
      <c r="F16222" s="2">
        <v>1789</v>
      </c>
      <c r="G16222" s="2">
        <v>100</v>
      </c>
      <c r="H16222" s="2">
        <v>352</v>
      </c>
      <c r="I16222" s="2">
        <v>1299</v>
      </c>
      <c r="J16222" s="2">
        <v>2354</v>
      </c>
      <c r="K16222" s="2">
        <v>1</v>
      </c>
      <c r="L16222" s="2">
        <v>352</v>
      </c>
    </row>
    <row r="16223" spans="1:12" x14ac:dyDescent="0.25">
      <c r="A16223" s="4" t="str">
        <f>HYPERLINK("http://www.rosaceae.org/Prunus/Prunus_persica/p.persica_gdr_reftransV1_0040923","p.persica_gdr_reftransV1_0040923")</f>
        <v>p.persica_gdr_reftransV1_0040923</v>
      </c>
      <c r="B16223" s="2">
        <v>3989</v>
      </c>
      <c r="C16223" s="4" t="str">
        <f>HYPERLINK("http://www.uniprot.org/uniprot/M5WQK4","M5WQK4")</f>
        <v>M5WQK4</v>
      </c>
      <c r="D16223" s="2" t="s">
        <v>12901</v>
      </c>
      <c r="E16223" s="3">
        <v>0</v>
      </c>
      <c r="F16223" s="2">
        <v>2750</v>
      </c>
      <c r="G16223" s="2">
        <v>93</v>
      </c>
      <c r="H16223" s="2">
        <v>562</v>
      </c>
      <c r="I16223" s="2">
        <v>2135</v>
      </c>
      <c r="J16223" s="2">
        <v>3820</v>
      </c>
      <c r="K16223" s="2">
        <v>458</v>
      </c>
      <c r="L16223" s="2">
        <v>981</v>
      </c>
    </row>
    <row r="16224" spans="1:12" x14ac:dyDescent="0.25">
      <c r="A16224" s="4" t="str">
        <f>HYPERLINK("http://www.rosaceae.org/Prunus/Prunus_persica/p.persica_gdr_reftransV1_0041273","p.persica_gdr_reftransV1_0041273")</f>
        <v>p.persica_gdr_reftransV1_0041273</v>
      </c>
      <c r="B16224" s="2">
        <v>2209</v>
      </c>
      <c r="C16224" s="4" t="str">
        <f>HYPERLINK("http://www.uniprot.org/uniprot/M5W8L7","M5W8L7")</f>
        <v>M5W8L7</v>
      </c>
      <c r="D16224" s="2" t="s">
        <v>12902</v>
      </c>
      <c r="E16224" s="3">
        <v>0</v>
      </c>
      <c r="F16224" s="2">
        <v>2436</v>
      </c>
      <c r="G16224" s="2">
        <v>94</v>
      </c>
      <c r="H16224" s="2">
        <v>528</v>
      </c>
      <c r="I16224" s="2">
        <v>525</v>
      </c>
      <c r="J16224" s="2">
        <v>2108</v>
      </c>
      <c r="K16224" s="2">
        <v>1</v>
      </c>
      <c r="L16224" s="2">
        <v>497</v>
      </c>
    </row>
    <row r="16225" spans="1:12" x14ac:dyDescent="0.25">
      <c r="A16225" s="4" t="str">
        <f>HYPERLINK("http://www.rosaceae.org/Prunus/Prunus_persica/p.persica_gdr_reftransV1_0041623","p.persica_gdr_reftransV1_0041623")</f>
        <v>p.persica_gdr_reftransV1_0041623</v>
      </c>
      <c r="B16225" s="2">
        <v>2160</v>
      </c>
      <c r="C16225" s="4" t="str">
        <f>HYPERLINK("http://www.uniprot.org/uniprot/M5W8J2","M5W8J2")</f>
        <v>M5W8J2</v>
      </c>
      <c r="D16225" s="2" t="s">
        <v>12903</v>
      </c>
      <c r="E16225" s="3">
        <v>0</v>
      </c>
      <c r="F16225" s="2">
        <v>1307</v>
      </c>
      <c r="G16225" s="2">
        <v>100</v>
      </c>
      <c r="H16225" s="2">
        <v>272</v>
      </c>
      <c r="I16225" s="2">
        <v>1224</v>
      </c>
      <c r="J16225" s="2">
        <v>2039</v>
      </c>
      <c r="K16225" s="2">
        <v>1</v>
      </c>
      <c r="L16225" s="2">
        <v>272</v>
      </c>
    </row>
    <row r="16226" spans="1:12" x14ac:dyDescent="0.25">
      <c r="A16226" s="4" t="str">
        <f>HYPERLINK("http://www.rosaceae.org/Prunus/Prunus_persica/p.persica_gdr_reftransV1_0041973","p.persica_gdr_reftransV1_0041973")</f>
        <v>p.persica_gdr_reftransV1_0041973</v>
      </c>
      <c r="B16226" s="2">
        <v>2108</v>
      </c>
      <c r="C16226" s="4" t="str">
        <f>HYPERLINK("http://www.uniprot.org/uniprot/M5XWS1","M5XWS1")</f>
        <v>M5XWS1</v>
      </c>
      <c r="D16226" s="2" t="s">
        <v>12904</v>
      </c>
      <c r="E16226" s="3">
        <v>0</v>
      </c>
      <c r="F16226" s="2">
        <v>2086</v>
      </c>
      <c r="G16226" s="2">
        <v>100</v>
      </c>
      <c r="H16226" s="2">
        <v>409</v>
      </c>
      <c r="I16226" s="2">
        <v>560</v>
      </c>
      <c r="J16226" s="2">
        <v>1786</v>
      </c>
      <c r="K16226" s="2">
        <v>1</v>
      </c>
      <c r="L16226" s="2">
        <v>409</v>
      </c>
    </row>
    <row r="16227" spans="1:12" x14ac:dyDescent="0.25">
      <c r="A16227" s="4" t="str">
        <f>HYPERLINK("http://www.rosaceae.org/Prunus/Prunus_persica/p.persica_gdr_reftransV1_0043023","p.persica_gdr_reftransV1_0043023")</f>
        <v>p.persica_gdr_reftransV1_0043023</v>
      </c>
      <c r="B16227" s="2">
        <v>3254</v>
      </c>
      <c r="C16227" s="4" t="str">
        <f>HYPERLINK("http://www.uniprot.org/uniprot/M5W0N1","M5W0N1")</f>
        <v>M5W0N1</v>
      </c>
      <c r="D16227" s="2" t="s">
        <v>9272</v>
      </c>
      <c r="E16227" s="3">
        <v>0</v>
      </c>
      <c r="F16227" s="2">
        <v>1421</v>
      </c>
      <c r="G16227" s="2">
        <v>100</v>
      </c>
      <c r="H16227" s="2">
        <v>286</v>
      </c>
      <c r="I16227" s="2">
        <v>1577</v>
      </c>
      <c r="J16227" s="2">
        <v>2434</v>
      </c>
      <c r="K16227" s="2">
        <v>35</v>
      </c>
      <c r="L16227" s="2">
        <v>320</v>
      </c>
    </row>
    <row r="16228" spans="1:12" x14ac:dyDescent="0.25">
      <c r="A16228" s="4" t="str">
        <f>HYPERLINK("http://www.rosaceae.org/Prunus/Prunus_persica/p.persica_gdr_reftransV1_0043373","p.persica_gdr_reftransV1_0043373")</f>
        <v>p.persica_gdr_reftransV1_0043373</v>
      </c>
      <c r="B16228" s="2">
        <v>2129</v>
      </c>
      <c r="C16228" s="4" t="str">
        <f>HYPERLINK("http://www.uniprot.org/uniprot/M5WSD2","M5WSD2")</f>
        <v>M5WSD2</v>
      </c>
      <c r="D16228" s="2" t="s">
        <v>9193</v>
      </c>
      <c r="E16228" s="3">
        <v>0</v>
      </c>
      <c r="F16228" s="2">
        <v>2561</v>
      </c>
      <c r="G16228" s="2">
        <v>100</v>
      </c>
      <c r="H16228" s="2">
        <v>550</v>
      </c>
      <c r="I16228" s="2">
        <v>329</v>
      </c>
      <c r="J16228" s="2">
        <v>1978</v>
      </c>
      <c r="K16228" s="2">
        <v>1</v>
      </c>
      <c r="L16228" s="2">
        <v>550</v>
      </c>
    </row>
    <row r="16229" spans="1:12" x14ac:dyDescent="0.25">
      <c r="A16229" s="4" t="str">
        <f>HYPERLINK("http://www.rosaceae.org/Prunus/Prunus_persica/p.persica_gdr_reftransV1_0043723","p.persica_gdr_reftransV1_0043723")</f>
        <v>p.persica_gdr_reftransV1_0043723</v>
      </c>
      <c r="B16229" s="2">
        <v>1511</v>
      </c>
      <c r="C16229" s="4" t="str">
        <f>HYPERLINK("http://www.uniprot.org/uniprot/M5XQQ2","M5XQQ2")</f>
        <v>M5XQQ2</v>
      </c>
      <c r="D16229" s="2" t="s">
        <v>8464</v>
      </c>
      <c r="E16229" s="3">
        <v>0</v>
      </c>
      <c r="F16229" s="2">
        <v>2629</v>
      </c>
      <c r="G16229" s="2">
        <v>98</v>
      </c>
      <c r="H16229" s="2">
        <v>505</v>
      </c>
      <c r="I16229" s="2">
        <v>1</v>
      </c>
      <c r="J16229" s="2">
        <v>1509</v>
      </c>
      <c r="K16229" s="2">
        <v>100</v>
      </c>
      <c r="L16229" s="2">
        <v>604</v>
      </c>
    </row>
    <row r="16230" spans="1:12" x14ac:dyDescent="0.25">
      <c r="A16230" s="4" t="str">
        <f>HYPERLINK("http://www.rosaceae.org/Prunus/Prunus_persica/p.persica_gdr_reftransV1_0044073","p.persica_gdr_reftransV1_0044073")</f>
        <v>p.persica_gdr_reftransV1_0044073</v>
      </c>
      <c r="B16230" s="2">
        <v>917</v>
      </c>
      <c r="C16230" s="4" t="str">
        <f>HYPERLINK("http://www.uniprot.org/uniprot/M5WBS8","M5WBS8")</f>
        <v>M5WBS8</v>
      </c>
      <c r="D16230" s="2" t="s">
        <v>12905</v>
      </c>
      <c r="E16230" s="3">
        <v>6.3299999999999999E-150</v>
      </c>
      <c r="F16230" s="2">
        <v>1118</v>
      </c>
      <c r="G16230" s="2">
        <v>100</v>
      </c>
      <c r="H16230" s="2">
        <v>283</v>
      </c>
      <c r="I16230" s="2">
        <v>1</v>
      </c>
      <c r="J16230" s="2">
        <v>849</v>
      </c>
      <c r="K16230" s="2">
        <v>24</v>
      </c>
      <c r="L16230" s="2">
        <v>306</v>
      </c>
    </row>
    <row r="16231" spans="1:12" x14ac:dyDescent="0.25">
      <c r="A16231" s="4" t="str">
        <f>HYPERLINK("http://www.rosaceae.org/Prunus/Prunus_persica/p.persica_gdr_reftransV1_0044423","p.persica_gdr_reftransV1_0044423")</f>
        <v>p.persica_gdr_reftransV1_0044423</v>
      </c>
      <c r="B16231" s="2">
        <v>1194</v>
      </c>
      <c r="C16231" s="4" t="str">
        <f>HYPERLINK("http://www.uniprot.org/uniprot/M5Y7H9","M5Y7H9")</f>
        <v>M5Y7H9</v>
      </c>
      <c r="D16231" s="2" t="s">
        <v>12906</v>
      </c>
      <c r="E16231" s="3">
        <v>1.8399999999999999E-159</v>
      </c>
      <c r="F16231" s="2">
        <v>1184</v>
      </c>
      <c r="G16231" s="2">
        <v>100</v>
      </c>
      <c r="H16231" s="2">
        <v>239</v>
      </c>
      <c r="I16231" s="2">
        <v>135</v>
      </c>
      <c r="J16231" s="2">
        <v>851</v>
      </c>
      <c r="K16231" s="2">
        <v>1</v>
      </c>
      <c r="L16231" s="2">
        <v>239</v>
      </c>
    </row>
    <row r="16232" spans="1:12" x14ac:dyDescent="0.25">
      <c r="A16232" s="4" t="str">
        <f>HYPERLINK("http://www.rosaceae.org/Prunus/Prunus_persica/p.persica_gdr_reftransV1_0044773","p.persica_gdr_reftransV1_0044773")</f>
        <v>p.persica_gdr_reftransV1_0044773</v>
      </c>
      <c r="B16232" s="2">
        <v>2260</v>
      </c>
      <c r="C16232" s="4" t="str">
        <f>HYPERLINK("http://www.uniprot.org/uniprot/M5XXR3","M5XXR3")</f>
        <v>M5XXR3</v>
      </c>
      <c r="D16232" s="2" t="s">
        <v>12866</v>
      </c>
      <c r="E16232" s="3">
        <v>0</v>
      </c>
      <c r="F16232" s="2">
        <v>3337</v>
      </c>
      <c r="G16232" s="2">
        <v>100</v>
      </c>
      <c r="H16232" s="2">
        <v>623</v>
      </c>
      <c r="I16232" s="2">
        <v>390</v>
      </c>
      <c r="J16232" s="2">
        <v>2258</v>
      </c>
      <c r="K16232" s="2">
        <v>313</v>
      </c>
      <c r="L16232" s="2">
        <v>935</v>
      </c>
    </row>
    <row r="16233" spans="1:12" x14ac:dyDescent="0.25">
      <c r="A16233" s="4" t="str">
        <f>HYPERLINK("http://www.rosaceae.org/Prunus/Prunus_persica/p.persica_gdr_reftransV1_0045123","p.persica_gdr_reftransV1_0045123")</f>
        <v>p.persica_gdr_reftransV1_0045123</v>
      </c>
      <c r="B16233" s="2">
        <v>912</v>
      </c>
      <c r="C16233" s="4" t="str">
        <f>HYPERLINK("http://www.uniprot.org/uniprot/M5X446","M5X446")</f>
        <v>M5X446</v>
      </c>
      <c r="D16233" s="2" t="s">
        <v>12907</v>
      </c>
      <c r="E16233" s="3">
        <v>1.8499999999999999E-152</v>
      </c>
      <c r="F16233" s="2">
        <v>1126</v>
      </c>
      <c r="G16233" s="2">
        <v>100</v>
      </c>
      <c r="H16233" s="2">
        <v>221</v>
      </c>
      <c r="I16233" s="2">
        <v>130</v>
      </c>
      <c r="J16233" s="2">
        <v>792</v>
      </c>
      <c r="K16233" s="2">
        <v>1</v>
      </c>
      <c r="L16233" s="2">
        <v>221</v>
      </c>
    </row>
    <row r="16234" spans="1:12" x14ac:dyDescent="0.25">
      <c r="A16234" s="4" t="str">
        <f>HYPERLINK("http://www.rosaceae.org/Prunus/Prunus_persica/p.persica_gdr_reftransV1_0045473","p.persica_gdr_reftransV1_0045473")</f>
        <v>p.persica_gdr_reftransV1_0045473</v>
      </c>
      <c r="B16234" s="2">
        <v>1194</v>
      </c>
      <c r="C16234" s="4" t="str">
        <f>HYPERLINK("http://www.uniprot.org/uniprot/M5VZB3","M5VZB3")</f>
        <v>M5VZB3</v>
      </c>
      <c r="D16234" s="2" t="s">
        <v>7376</v>
      </c>
      <c r="E16234" s="3">
        <v>0</v>
      </c>
      <c r="F16234" s="2">
        <v>1473</v>
      </c>
      <c r="G16234" s="2">
        <v>87</v>
      </c>
      <c r="H16234" s="2">
        <v>315</v>
      </c>
      <c r="I16234" s="2">
        <v>114</v>
      </c>
      <c r="J16234" s="2">
        <v>1058</v>
      </c>
      <c r="K16234" s="2">
        <v>1</v>
      </c>
      <c r="L16234" s="2">
        <v>315</v>
      </c>
    </row>
    <row r="16235" spans="1:12" x14ac:dyDescent="0.25">
      <c r="A16235" s="4" t="str">
        <f>HYPERLINK("http://www.rosaceae.org/Prunus/Prunus_persica/p.persica_gdr_reftransV1_0045823","p.persica_gdr_reftransV1_0045823")</f>
        <v>p.persica_gdr_reftransV1_0045823</v>
      </c>
      <c r="B16235" s="2">
        <v>2068</v>
      </c>
      <c r="C16235" s="4" t="str">
        <f>HYPERLINK("http://www.uniprot.org/uniprot/M5Y4J5","M5Y4J5")</f>
        <v>M5Y4J5</v>
      </c>
      <c r="D16235" s="2" t="s">
        <v>12908</v>
      </c>
      <c r="E16235" s="3">
        <v>0</v>
      </c>
      <c r="F16235" s="2">
        <v>3093</v>
      </c>
      <c r="G16235" s="2">
        <v>100</v>
      </c>
      <c r="H16235" s="2">
        <v>587</v>
      </c>
      <c r="I16235" s="2">
        <v>109</v>
      </c>
      <c r="J16235" s="2">
        <v>1869</v>
      </c>
      <c r="K16235" s="2">
        <v>1</v>
      </c>
      <c r="L16235" s="2">
        <v>587</v>
      </c>
    </row>
    <row r="16236" spans="1:12" x14ac:dyDescent="0.25">
      <c r="A16236" s="4" t="str">
        <f>HYPERLINK("http://www.rosaceae.org/Prunus/Prunus_persica/p.persica_gdr_reftransV1_0046523","p.persica_gdr_reftransV1_0046523")</f>
        <v>p.persica_gdr_reftransV1_0046523</v>
      </c>
      <c r="B16236" s="2">
        <v>842</v>
      </c>
      <c r="C16236" s="4" t="str">
        <f>HYPERLINK("http://www.uniprot.org/uniprot/M5VRG3","M5VRG3")</f>
        <v>M5VRG3</v>
      </c>
      <c r="D16236" s="2" t="s">
        <v>12909</v>
      </c>
      <c r="E16236" s="3">
        <v>5.0000000000000002E-90</v>
      </c>
      <c r="F16236" s="2">
        <v>703</v>
      </c>
      <c r="G16236" s="2">
        <v>100</v>
      </c>
      <c r="H16236" s="2">
        <v>135</v>
      </c>
      <c r="I16236" s="2">
        <v>429</v>
      </c>
      <c r="J16236" s="2">
        <v>833</v>
      </c>
      <c r="K16236" s="2">
        <v>1</v>
      </c>
      <c r="L16236" s="2">
        <v>135</v>
      </c>
    </row>
    <row r="16237" spans="1:12" x14ac:dyDescent="0.25">
      <c r="A16237" s="4" t="str">
        <f>HYPERLINK("http://www.rosaceae.org/Prunus/Prunus_persica/p.persica_gdr_reftransV1_0046873","p.persica_gdr_reftransV1_0046873")</f>
        <v>p.persica_gdr_reftransV1_0046873</v>
      </c>
      <c r="B16237" s="2">
        <v>1476</v>
      </c>
      <c r="C16237" s="4" t="str">
        <f>HYPERLINK("http://www.uniprot.org/uniprot/M5VYS4","M5VYS4")</f>
        <v>M5VYS4</v>
      </c>
      <c r="D16237" s="2" t="s">
        <v>12910</v>
      </c>
      <c r="E16237" s="3">
        <v>0</v>
      </c>
      <c r="F16237" s="2">
        <v>1768</v>
      </c>
      <c r="G16237" s="2">
        <v>79</v>
      </c>
      <c r="H16237" s="2">
        <v>431</v>
      </c>
      <c r="I16237" s="2">
        <v>145</v>
      </c>
      <c r="J16237" s="2">
        <v>1422</v>
      </c>
      <c r="K16237" s="2">
        <v>1</v>
      </c>
      <c r="L16237" s="2">
        <v>431</v>
      </c>
    </row>
    <row r="16238" spans="1:12" x14ac:dyDescent="0.25">
      <c r="A16238" s="4" t="str">
        <f>HYPERLINK("http://www.rosaceae.org/Prunus/Prunus_persica/p.persica_gdr_reftransV1_0047223","p.persica_gdr_reftransV1_0047223")</f>
        <v>p.persica_gdr_reftransV1_0047223</v>
      </c>
      <c r="B16238" s="2">
        <v>872</v>
      </c>
      <c r="C16238" s="4" t="str">
        <f>HYPERLINK("http://www.uniprot.org/uniprot/M5X0Q7","M5X0Q7")</f>
        <v>M5X0Q7</v>
      </c>
      <c r="D16238" s="2" t="s">
        <v>6992</v>
      </c>
      <c r="E16238" s="3">
        <v>1.14E-90</v>
      </c>
      <c r="F16238" s="2">
        <v>713</v>
      </c>
      <c r="G16238" s="2">
        <v>91</v>
      </c>
      <c r="H16238" s="2">
        <v>182</v>
      </c>
      <c r="I16238" s="2">
        <v>150</v>
      </c>
      <c r="J16238" s="2">
        <v>695</v>
      </c>
      <c r="K16238" s="2">
        <v>14</v>
      </c>
      <c r="L16238" s="2">
        <v>190</v>
      </c>
    </row>
    <row r="16239" spans="1:12" x14ac:dyDescent="0.25">
      <c r="A16239" s="4" t="str">
        <f>HYPERLINK("http://www.rosaceae.org/Prunus/Prunus_persica/p.persica_gdr_reftransV1_0048273","p.persica_gdr_reftransV1_0048273")</f>
        <v>p.persica_gdr_reftransV1_0048273</v>
      </c>
      <c r="B16239" s="2">
        <v>455</v>
      </c>
      <c r="C16239" s="4" t="str">
        <f>HYPERLINK("http://www.uniprot.org/uniprot/M5WC90","M5WC90")</f>
        <v>M5WC90</v>
      </c>
      <c r="D16239" s="2" t="s">
        <v>12911</v>
      </c>
      <c r="E16239" s="3">
        <v>1.52E-50</v>
      </c>
      <c r="F16239" s="2">
        <v>440</v>
      </c>
      <c r="G16239" s="2">
        <v>100</v>
      </c>
      <c r="H16239" s="2">
        <v>101</v>
      </c>
      <c r="I16239" s="2">
        <v>2</v>
      </c>
      <c r="J16239" s="2">
        <v>304</v>
      </c>
      <c r="K16239" s="2">
        <v>1</v>
      </c>
      <c r="L16239" s="2">
        <v>101</v>
      </c>
    </row>
    <row r="16240" spans="1:12" x14ac:dyDescent="0.25">
      <c r="A16240" s="4" t="str">
        <f>HYPERLINK("http://www.rosaceae.org/Prunus/Prunus_persica/p.persica_gdr_reftransV1_0048623","p.persica_gdr_reftransV1_0048623")</f>
        <v>p.persica_gdr_reftransV1_0048623</v>
      </c>
      <c r="B16240" s="2">
        <v>1276</v>
      </c>
      <c r="C16240" s="4" t="str">
        <f>HYPERLINK("http://www.uniprot.org/uniprot/M5VZQ7","M5VZQ7")</f>
        <v>M5VZQ7</v>
      </c>
      <c r="D16240" s="2" t="s">
        <v>3175</v>
      </c>
      <c r="E16240" s="3">
        <v>2.44E-179</v>
      </c>
      <c r="F16240" s="2">
        <v>1332</v>
      </c>
      <c r="G16240" s="2">
        <v>100</v>
      </c>
      <c r="H16240" s="2">
        <v>281</v>
      </c>
      <c r="I16240" s="2">
        <v>1</v>
      </c>
      <c r="J16240" s="2">
        <v>843</v>
      </c>
      <c r="K16240" s="2">
        <v>89</v>
      </c>
      <c r="L16240" s="2">
        <v>369</v>
      </c>
    </row>
    <row r="16241" spans="1:12" x14ac:dyDescent="0.25">
      <c r="A16241" s="4" t="str">
        <f>HYPERLINK("http://www.rosaceae.org/Prunus/Prunus_persica/p.persica_gdr_reftransV1_0048973","p.persica_gdr_reftransV1_0048973")</f>
        <v>p.persica_gdr_reftransV1_0048973</v>
      </c>
      <c r="B16241" s="2">
        <v>464</v>
      </c>
      <c r="C16241" s="4" t="str">
        <f>HYPERLINK("http://www.uniprot.org/uniprot/M5VZ62","M5VZ62")</f>
        <v>M5VZ62</v>
      </c>
      <c r="D16241" s="2" t="s">
        <v>11380</v>
      </c>
      <c r="E16241" s="3">
        <v>9.4299999999999997E-49</v>
      </c>
      <c r="F16241" s="2">
        <v>436</v>
      </c>
      <c r="G16241" s="2">
        <v>100</v>
      </c>
      <c r="H16241" s="2">
        <v>95</v>
      </c>
      <c r="I16241" s="2">
        <v>168</v>
      </c>
      <c r="J16241" s="2">
        <v>452</v>
      </c>
      <c r="K16241" s="2">
        <v>33</v>
      </c>
      <c r="L16241" s="2">
        <v>127</v>
      </c>
    </row>
    <row r="16242" spans="1:12" x14ac:dyDescent="0.25">
      <c r="A16242" s="4" t="str">
        <f>HYPERLINK("http://www.rosaceae.org/Prunus/Prunus_persica/p.persica_gdr_reftransV1_0000324","p.persica_gdr_reftransV1_0000324")</f>
        <v>p.persica_gdr_reftransV1_0000324</v>
      </c>
      <c r="B16242" s="2">
        <v>787</v>
      </c>
      <c r="C16242" s="4" t="str">
        <f>HYPERLINK("http://www.uniprot.org/uniprot/M5Y753","M5Y753")</f>
        <v>M5Y753</v>
      </c>
      <c r="D16242" s="2" t="s">
        <v>12912</v>
      </c>
      <c r="E16242" s="3">
        <v>1.25E-96</v>
      </c>
      <c r="F16242" s="2">
        <v>746</v>
      </c>
      <c r="G16242" s="2">
        <v>100</v>
      </c>
      <c r="H16242" s="2">
        <v>150</v>
      </c>
      <c r="I16242" s="2">
        <v>89</v>
      </c>
      <c r="J16242" s="2">
        <v>538</v>
      </c>
      <c r="K16242" s="2">
        <v>1</v>
      </c>
      <c r="L16242" s="2">
        <v>150</v>
      </c>
    </row>
    <row r="16243" spans="1:12" x14ac:dyDescent="0.25">
      <c r="A16243" s="4" t="str">
        <f>HYPERLINK("http://www.rosaceae.org/Prunus/Prunus_persica/p.persica_gdr_reftransV1_0000674","p.persica_gdr_reftransV1_0000674")</f>
        <v>p.persica_gdr_reftransV1_0000674</v>
      </c>
      <c r="B16243" s="2">
        <v>1037</v>
      </c>
      <c r="C16243" s="4" t="str">
        <f>HYPERLINK("http://www.uniprot.org/uniprot/M5VSI2","M5VSI2")</f>
        <v>M5VSI2</v>
      </c>
      <c r="D16243" s="2" t="s">
        <v>5552</v>
      </c>
      <c r="E16243" s="3">
        <v>1.8599999999999999E-40</v>
      </c>
      <c r="F16243" s="2">
        <v>344</v>
      </c>
      <c r="G16243" s="2">
        <v>74</v>
      </c>
      <c r="H16243" s="2">
        <v>101</v>
      </c>
      <c r="I16243" s="2">
        <v>435</v>
      </c>
      <c r="J16243" s="2">
        <v>710</v>
      </c>
      <c r="K16243" s="2">
        <v>146</v>
      </c>
      <c r="L16243" s="2">
        <v>246</v>
      </c>
    </row>
    <row r="16244" spans="1:12" x14ac:dyDescent="0.25">
      <c r="A16244" s="4" t="str">
        <f>HYPERLINK("http://www.rosaceae.org/Prunus/Prunus_persica/p.persica_gdr_reftransV1_0001024","p.persica_gdr_reftransV1_0001024")</f>
        <v>p.persica_gdr_reftransV1_0001024</v>
      </c>
      <c r="B16244" s="2">
        <v>1658</v>
      </c>
      <c r="C16244" s="4" t="str">
        <f>HYPERLINK("http://www.uniprot.org/uniprot/M5X2U8","M5X2U8")</f>
        <v>M5X2U8</v>
      </c>
      <c r="D16244" s="2" t="s">
        <v>12913</v>
      </c>
      <c r="E16244" s="3">
        <v>0</v>
      </c>
      <c r="F16244" s="2">
        <v>2656</v>
      </c>
      <c r="G16244" s="2">
        <v>100</v>
      </c>
      <c r="H16244" s="2">
        <v>492</v>
      </c>
      <c r="I16244" s="2">
        <v>142</v>
      </c>
      <c r="J16244" s="2">
        <v>1617</v>
      </c>
      <c r="K16244" s="2">
        <v>1</v>
      </c>
      <c r="L16244" s="2">
        <v>492</v>
      </c>
    </row>
    <row r="16245" spans="1:12" x14ac:dyDescent="0.25">
      <c r="A16245" s="4" t="str">
        <f>HYPERLINK("http://www.rosaceae.org/Prunus/Prunus_persica/p.persica_gdr_reftransV1_0001374","p.persica_gdr_reftransV1_0001374")</f>
        <v>p.persica_gdr_reftransV1_0001374</v>
      </c>
      <c r="B16245" s="2">
        <v>877</v>
      </c>
      <c r="C16245" s="4" t="str">
        <f>HYPERLINK("http://www.uniprot.org/uniprot/M5W936","M5W936")</f>
        <v>M5W936</v>
      </c>
      <c r="D16245" s="2" t="s">
        <v>2387</v>
      </c>
      <c r="E16245" s="3">
        <v>9.9199999999999993E-156</v>
      </c>
      <c r="F16245" s="2">
        <v>1188</v>
      </c>
      <c r="G16245" s="2">
        <v>100</v>
      </c>
      <c r="H16245" s="2">
        <v>231</v>
      </c>
      <c r="I16245" s="2">
        <v>183</v>
      </c>
      <c r="J16245" s="2">
        <v>875</v>
      </c>
      <c r="K16245" s="2">
        <v>1</v>
      </c>
      <c r="L16245" s="2">
        <v>231</v>
      </c>
    </row>
    <row r="16246" spans="1:12" x14ac:dyDescent="0.25">
      <c r="A16246" s="4" t="str">
        <f>HYPERLINK("http://www.rosaceae.org/Prunus/Prunus_persica/p.persica_gdr_reftransV1_0001724","p.persica_gdr_reftransV1_0001724")</f>
        <v>p.persica_gdr_reftransV1_0001724</v>
      </c>
      <c r="B16246" s="2">
        <v>3002</v>
      </c>
      <c r="C16246" s="4" t="str">
        <f>HYPERLINK("http://www.uniprot.org/uniprot/M5XSE8","M5XSE8")</f>
        <v>M5XSE8</v>
      </c>
      <c r="D16246" s="2" t="s">
        <v>401</v>
      </c>
      <c r="E16246" s="3">
        <v>0</v>
      </c>
      <c r="F16246" s="2">
        <v>4070</v>
      </c>
      <c r="G16246" s="2">
        <v>100</v>
      </c>
      <c r="H16246" s="2">
        <v>829</v>
      </c>
      <c r="I16246" s="2">
        <v>3</v>
      </c>
      <c r="J16246" s="2">
        <v>2489</v>
      </c>
      <c r="K16246" s="2">
        <v>48</v>
      </c>
      <c r="L16246" s="2">
        <v>876</v>
      </c>
    </row>
    <row r="16247" spans="1:12" x14ac:dyDescent="0.25">
      <c r="A16247" s="4" t="str">
        <f>HYPERLINK("http://www.rosaceae.org/Prunus/Prunus_persica/p.persica_gdr_reftransV1_0002424","p.persica_gdr_reftransV1_0002424")</f>
        <v>p.persica_gdr_reftransV1_0002424</v>
      </c>
      <c r="B16247" s="2">
        <v>422</v>
      </c>
      <c r="C16247" s="4" t="str">
        <f>HYPERLINK("http://www.uniprot.org/uniprot/B4G0W8","B4G0W8")</f>
        <v>B4G0W8</v>
      </c>
      <c r="D16247" s="2" t="s">
        <v>12914</v>
      </c>
      <c r="E16247" s="3">
        <v>5.0599999999999999E-42</v>
      </c>
      <c r="F16247" s="2">
        <v>394</v>
      </c>
      <c r="G16247" s="2">
        <v>64</v>
      </c>
      <c r="H16247" s="2">
        <v>129</v>
      </c>
      <c r="I16247" s="2">
        <v>1</v>
      </c>
      <c r="J16247" s="2">
        <v>387</v>
      </c>
      <c r="K16247" s="2">
        <v>326</v>
      </c>
      <c r="L16247" s="2">
        <v>454</v>
      </c>
    </row>
    <row r="16248" spans="1:12" x14ac:dyDescent="0.25">
      <c r="A16248" s="4" t="str">
        <f>HYPERLINK("http://www.rosaceae.org/Prunus/Prunus_persica/p.persica_gdr_reftransV1_0003474","p.persica_gdr_reftransV1_0003474")</f>
        <v>p.persica_gdr_reftransV1_0003474</v>
      </c>
      <c r="B16248" s="2">
        <v>351</v>
      </c>
      <c r="C16248" s="4" t="str">
        <f>HYPERLINK("http://www.uniprot.org/uniprot/M5XGM4","M5XGM4")</f>
        <v>M5XGM4</v>
      </c>
      <c r="D16248" s="2" t="s">
        <v>12915</v>
      </c>
      <c r="E16248" s="3">
        <v>5.3499999999999999E-72</v>
      </c>
      <c r="F16248" s="2">
        <v>594</v>
      </c>
      <c r="G16248" s="2">
        <v>100</v>
      </c>
      <c r="H16248" s="2">
        <v>112</v>
      </c>
      <c r="I16248" s="2">
        <v>14</v>
      </c>
      <c r="J16248" s="2">
        <v>349</v>
      </c>
      <c r="K16248" s="2">
        <v>1</v>
      </c>
      <c r="L16248" s="2">
        <v>112</v>
      </c>
    </row>
    <row r="16249" spans="1:12" x14ac:dyDescent="0.25">
      <c r="A16249" s="4" t="str">
        <f>HYPERLINK("http://www.rosaceae.org/Prunus/Prunus_persica/p.persica_gdr_reftransV1_0003824","p.persica_gdr_reftransV1_0003824")</f>
        <v>p.persica_gdr_reftransV1_0003824</v>
      </c>
      <c r="B16249" s="2">
        <v>620</v>
      </c>
      <c r="C16249" s="4" t="str">
        <f>HYPERLINK("http://www.uniprot.org/uniprot/M5VQB8","M5VQB8")</f>
        <v>M5VQB8</v>
      </c>
      <c r="D16249" s="2" t="s">
        <v>12916</v>
      </c>
      <c r="E16249" s="3">
        <v>1.23E-108</v>
      </c>
      <c r="F16249" s="2">
        <v>835</v>
      </c>
      <c r="G16249" s="2">
        <v>100</v>
      </c>
      <c r="H16249" s="2">
        <v>156</v>
      </c>
      <c r="I16249" s="2">
        <v>151</v>
      </c>
      <c r="J16249" s="2">
        <v>618</v>
      </c>
      <c r="K16249" s="2">
        <v>160</v>
      </c>
      <c r="L16249" s="2">
        <v>315</v>
      </c>
    </row>
    <row r="16250" spans="1:12" x14ac:dyDescent="0.25">
      <c r="A16250" s="4" t="str">
        <f>HYPERLINK("http://www.rosaceae.org/Prunus/Prunus_persica/p.persica_gdr_reftransV1_0004524","p.persica_gdr_reftransV1_0004524")</f>
        <v>p.persica_gdr_reftransV1_0004524</v>
      </c>
      <c r="B16250" s="2">
        <v>2797</v>
      </c>
      <c r="C16250" s="4" t="str">
        <f>HYPERLINK("http://www.uniprot.org/uniprot/A0A072TFB0","A0A072TFB0")</f>
        <v>A0A072TFB0</v>
      </c>
      <c r="D16250" s="2" t="s">
        <v>12917</v>
      </c>
      <c r="E16250" s="3">
        <v>1.3400000000000001E-118</v>
      </c>
      <c r="F16250" s="2">
        <v>963</v>
      </c>
      <c r="G16250" s="2">
        <v>90</v>
      </c>
      <c r="H16250" s="2">
        <v>205</v>
      </c>
      <c r="I16250" s="2">
        <v>510</v>
      </c>
      <c r="J16250" s="2">
        <v>1112</v>
      </c>
      <c r="K16250" s="2">
        <v>89</v>
      </c>
      <c r="L16250" s="2">
        <v>293</v>
      </c>
    </row>
    <row r="16251" spans="1:12" x14ac:dyDescent="0.25">
      <c r="A16251" s="4" t="str">
        <f>HYPERLINK("http://www.rosaceae.org/Prunus/Prunus_persica/p.persica_gdr_reftransV1_0005574","p.persica_gdr_reftransV1_0005574")</f>
        <v>p.persica_gdr_reftransV1_0005574</v>
      </c>
      <c r="B16251" s="2">
        <v>1516</v>
      </c>
      <c r="C16251" s="4" t="str">
        <f>HYPERLINK("http://www.uniprot.org/uniprot/M5X815","M5X815")</f>
        <v>M5X815</v>
      </c>
      <c r="D16251" s="2" t="s">
        <v>12918</v>
      </c>
      <c r="E16251" s="3">
        <v>0</v>
      </c>
      <c r="F16251" s="2">
        <v>2374</v>
      </c>
      <c r="G16251" s="2">
        <v>100</v>
      </c>
      <c r="H16251" s="2">
        <v>471</v>
      </c>
      <c r="I16251" s="2">
        <v>103</v>
      </c>
      <c r="J16251" s="2">
        <v>1515</v>
      </c>
      <c r="K16251" s="2">
        <v>214</v>
      </c>
      <c r="L16251" s="2">
        <v>684</v>
      </c>
    </row>
    <row r="16252" spans="1:12" x14ac:dyDescent="0.25">
      <c r="A16252" s="4" t="str">
        <f>HYPERLINK("http://www.rosaceae.org/Prunus/Prunus_persica/p.persica_gdr_reftransV1_0006974","p.persica_gdr_reftransV1_0006974")</f>
        <v>p.persica_gdr_reftransV1_0006974</v>
      </c>
      <c r="B16252" s="2">
        <v>1226</v>
      </c>
      <c r="C16252" s="4" t="str">
        <f>HYPERLINK("http://www.uniprot.org/uniprot/M5WAV4","M5WAV4")</f>
        <v>M5WAV4</v>
      </c>
      <c r="D16252" s="2" t="s">
        <v>11407</v>
      </c>
      <c r="E16252" s="3">
        <v>0</v>
      </c>
      <c r="F16252" s="2">
        <v>1553</v>
      </c>
      <c r="G16252" s="2">
        <v>100</v>
      </c>
      <c r="H16252" s="2">
        <v>341</v>
      </c>
      <c r="I16252" s="2">
        <v>204</v>
      </c>
      <c r="J16252" s="2">
        <v>1226</v>
      </c>
      <c r="K16252" s="2">
        <v>1</v>
      </c>
      <c r="L16252" s="2">
        <v>341</v>
      </c>
    </row>
    <row r="16253" spans="1:12" x14ac:dyDescent="0.25">
      <c r="A16253" s="4" t="str">
        <f>HYPERLINK("http://www.rosaceae.org/Prunus/Prunus_persica/p.persica_gdr_reftransV1_0007674","p.persica_gdr_reftransV1_0007674")</f>
        <v>p.persica_gdr_reftransV1_0007674</v>
      </c>
      <c r="B16253" s="2">
        <v>828</v>
      </c>
      <c r="C16253" s="4" t="str">
        <f>HYPERLINK("http://www.uniprot.org/uniprot/M5XZR3","M5XZR3")</f>
        <v>M5XZR3</v>
      </c>
      <c r="D16253" s="2" t="s">
        <v>12919</v>
      </c>
      <c r="E16253" s="3">
        <v>1.1699999999999999E-65</v>
      </c>
      <c r="F16253" s="2">
        <v>538</v>
      </c>
      <c r="G16253" s="2">
        <v>100</v>
      </c>
      <c r="H16253" s="2">
        <v>103</v>
      </c>
      <c r="I16253" s="2">
        <v>271</v>
      </c>
      <c r="J16253" s="2">
        <v>579</v>
      </c>
      <c r="K16253" s="2">
        <v>1</v>
      </c>
      <c r="L16253" s="2">
        <v>103</v>
      </c>
    </row>
    <row r="16254" spans="1:12" x14ac:dyDescent="0.25">
      <c r="A16254" s="4" t="str">
        <f>HYPERLINK("http://www.rosaceae.org/Prunus/Prunus_persica/p.persica_gdr_reftransV1_0008374","p.persica_gdr_reftransV1_0008374")</f>
        <v>p.persica_gdr_reftransV1_0008374</v>
      </c>
      <c r="B16254" s="2">
        <v>1711</v>
      </c>
      <c r="C16254" s="4" t="str">
        <f>HYPERLINK("http://www.uniprot.org/uniprot/M5WC62","M5WC62")</f>
        <v>M5WC62</v>
      </c>
      <c r="D16254" s="2" t="s">
        <v>12920</v>
      </c>
      <c r="E16254" s="3">
        <v>8.6099999999999997E-53</v>
      </c>
      <c r="F16254" s="2">
        <v>478</v>
      </c>
      <c r="G16254" s="2">
        <v>98</v>
      </c>
      <c r="H16254" s="2">
        <v>110</v>
      </c>
      <c r="I16254" s="2">
        <v>214</v>
      </c>
      <c r="J16254" s="2">
        <v>543</v>
      </c>
      <c r="K16254" s="2">
        <v>1</v>
      </c>
      <c r="L16254" s="2">
        <v>110</v>
      </c>
    </row>
    <row r="16255" spans="1:12" x14ac:dyDescent="0.25">
      <c r="A16255" s="4" t="str">
        <f>HYPERLINK("http://www.rosaceae.org/Prunus/Prunus_persica/p.persica_gdr_reftransV1_0009074","p.persica_gdr_reftransV1_0009074")</f>
        <v>p.persica_gdr_reftransV1_0009074</v>
      </c>
      <c r="B16255" s="2">
        <v>2695</v>
      </c>
      <c r="C16255" s="4" t="str">
        <f>HYPERLINK("http://www.uniprot.org/uniprot/M5WLZ8","M5WLZ8")</f>
        <v>M5WLZ8</v>
      </c>
      <c r="D16255" s="2" t="s">
        <v>12921</v>
      </c>
      <c r="E16255" s="3">
        <v>0</v>
      </c>
      <c r="F16255" s="2">
        <v>3631</v>
      </c>
      <c r="G16255" s="2">
        <v>100</v>
      </c>
      <c r="H16255" s="2">
        <v>706</v>
      </c>
      <c r="I16255" s="2">
        <v>177</v>
      </c>
      <c r="J16255" s="2">
        <v>2294</v>
      </c>
      <c r="K16255" s="2">
        <v>1</v>
      </c>
      <c r="L16255" s="2">
        <v>706</v>
      </c>
    </row>
    <row r="16256" spans="1:12" x14ac:dyDescent="0.25">
      <c r="A16256" s="4" t="str">
        <f>HYPERLINK("http://www.rosaceae.org/Prunus/Prunus_persica/p.persica_gdr_reftransV1_0010124","p.persica_gdr_reftransV1_0010124")</f>
        <v>p.persica_gdr_reftransV1_0010124</v>
      </c>
      <c r="B16256" s="2">
        <v>717</v>
      </c>
      <c r="C16256" s="4" t="str">
        <f>HYPERLINK("http://www.uniprot.org/uniprot/M5WDG0","M5WDG0")</f>
        <v>M5WDG0</v>
      </c>
      <c r="D16256" s="2" t="s">
        <v>12922</v>
      </c>
      <c r="E16256" s="3">
        <v>8.5500000000000005E-148</v>
      </c>
      <c r="F16256" s="2">
        <v>1109</v>
      </c>
      <c r="G16256" s="2">
        <v>100</v>
      </c>
      <c r="H16256" s="2">
        <v>222</v>
      </c>
      <c r="I16256" s="2">
        <v>1</v>
      </c>
      <c r="J16256" s="2">
        <v>666</v>
      </c>
      <c r="K16256" s="2">
        <v>40</v>
      </c>
      <c r="L16256" s="2">
        <v>261</v>
      </c>
    </row>
    <row r="16257" spans="1:12" x14ac:dyDescent="0.25">
      <c r="A16257" s="4" t="str">
        <f>HYPERLINK("http://www.rosaceae.org/Prunus/Prunus_persica/p.persica_gdr_reftransV1_0011174","p.persica_gdr_reftransV1_0011174")</f>
        <v>p.persica_gdr_reftransV1_0011174</v>
      </c>
      <c r="B16257" s="2">
        <v>721</v>
      </c>
      <c r="C16257" s="4" t="str">
        <f>HYPERLINK("http://www.uniprot.org/uniprot/M5X2C1","M5X2C1")</f>
        <v>M5X2C1</v>
      </c>
      <c r="D16257" s="2" t="s">
        <v>10966</v>
      </c>
      <c r="E16257" s="3">
        <v>1.74E-66</v>
      </c>
      <c r="F16257" s="2">
        <v>545</v>
      </c>
      <c r="G16257" s="2">
        <v>100</v>
      </c>
      <c r="H16257" s="2">
        <v>128</v>
      </c>
      <c r="I16257" s="2">
        <v>79</v>
      </c>
      <c r="J16257" s="2">
        <v>462</v>
      </c>
      <c r="K16257" s="2">
        <v>35</v>
      </c>
      <c r="L16257" s="2">
        <v>162</v>
      </c>
    </row>
    <row r="16258" spans="1:12" x14ac:dyDescent="0.25">
      <c r="A16258" s="4" t="str">
        <f>HYPERLINK("http://www.rosaceae.org/Prunus/Prunus_persica/p.persica_gdr_reftransV1_0011524","p.persica_gdr_reftransV1_0011524")</f>
        <v>p.persica_gdr_reftransV1_0011524</v>
      </c>
      <c r="B16258" s="2">
        <v>1108</v>
      </c>
      <c r="C16258" s="4" t="str">
        <f>HYPERLINK("http://www.uniprot.org/uniprot/M5Y6B7","M5Y6B7")</f>
        <v>M5Y6B7</v>
      </c>
      <c r="D16258" s="2" t="s">
        <v>10242</v>
      </c>
      <c r="E16258" s="3">
        <v>4.0100000000000001E-158</v>
      </c>
      <c r="F16258" s="2">
        <v>1202</v>
      </c>
      <c r="G16258" s="2">
        <v>100</v>
      </c>
      <c r="H16258" s="2">
        <v>226</v>
      </c>
      <c r="I16258" s="2">
        <v>3</v>
      </c>
      <c r="J16258" s="2">
        <v>680</v>
      </c>
      <c r="K16258" s="2">
        <v>1</v>
      </c>
      <c r="L16258" s="2">
        <v>226</v>
      </c>
    </row>
    <row r="16259" spans="1:12" x14ac:dyDescent="0.25">
      <c r="A16259" s="4" t="str">
        <f>HYPERLINK("http://www.rosaceae.org/Prunus/Prunus_persica/p.persica_gdr_reftransV1_0012924","p.persica_gdr_reftransV1_0012924")</f>
        <v>p.persica_gdr_reftransV1_0012924</v>
      </c>
      <c r="B16259" s="2">
        <v>1476</v>
      </c>
      <c r="C16259" s="4" t="str">
        <f>HYPERLINK("http://www.uniprot.org/uniprot/M5XL00","M5XL00")</f>
        <v>M5XL00</v>
      </c>
      <c r="D16259" s="2" t="s">
        <v>12923</v>
      </c>
      <c r="E16259" s="3">
        <v>0</v>
      </c>
      <c r="F16259" s="2">
        <v>1335</v>
      </c>
      <c r="G16259" s="2">
        <v>100</v>
      </c>
      <c r="H16259" s="2">
        <v>249</v>
      </c>
      <c r="I16259" s="2">
        <v>138</v>
      </c>
      <c r="J16259" s="2">
        <v>884</v>
      </c>
      <c r="K16259" s="2">
        <v>1</v>
      </c>
      <c r="L16259" s="2">
        <v>249</v>
      </c>
    </row>
    <row r="16260" spans="1:12" x14ac:dyDescent="0.25">
      <c r="A16260" s="4" t="str">
        <f>HYPERLINK("http://www.rosaceae.org/Prunus/Prunus_persica/p.persica_gdr_reftransV1_0013624","p.persica_gdr_reftransV1_0013624")</f>
        <v>p.persica_gdr_reftransV1_0013624</v>
      </c>
      <c r="B16260" s="2">
        <v>2140</v>
      </c>
      <c r="C16260" s="4" t="str">
        <f>HYPERLINK("http://www.uniprot.org/uniprot/M5W9Z4","M5W9Z4")</f>
        <v>M5W9Z4</v>
      </c>
      <c r="D16260" s="2" t="s">
        <v>12924</v>
      </c>
      <c r="E16260" s="3">
        <v>5.7700000000000002E-176</v>
      </c>
      <c r="F16260" s="2">
        <v>1334</v>
      </c>
      <c r="G16260" s="2">
        <v>90</v>
      </c>
      <c r="H16260" s="2">
        <v>366</v>
      </c>
      <c r="I16260" s="2">
        <v>562</v>
      </c>
      <c r="J16260" s="2">
        <v>1659</v>
      </c>
      <c r="K16260" s="2">
        <v>1</v>
      </c>
      <c r="L16260" s="2">
        <v>331</v>
      </c>
    </row>
    <row r="16261" spans="1:12" x14ac:dyDescent="0.25">
      <c r="A16261" s="4" t="str">
        <f>HYPERLINK("http://www.rosaceae.org/Prunus/Prunus_persica/p.persica_gdr_reftransV1_0014324","p.persica_gdr_reftransV1_0014324")</f>
        <v>p.persica_gdr_reftransV1_0014324</v>
      </c>
      <c r="B16261" s="2">
        <v>2966</v>
      </c>
      <c r="C16261" s="4" t="str">
        <f>HYPERLINK("http://www.uniprot.org/uniprot/M5X7E0","M5X7E0")</f>
        <v>M5X7E0</v>
      </c>
      <c r="D16261" s="2" t="s">
        <v>12925</v>
      </c>
      <c r="E16261" s="3">
        <v>0</v>
      </c>
      <c r="F16261" s="2">
        <v>2709</v>
      </c>
      <c r="G16261" s="2">
        <v>100</v>
      </c>
      <c r="H16261" s="2">
        <v>603</v>
      </c>
      <c r="I16261" s="2">
        <v>946</v>
      </c>
      <c r="J16261" s="2">
        <v>2754</v>
      </c>
      <c r="K16261" s="2">
        <v>1</v>
      </c>
      <c r="L16261" s="2">
        <v>603</v>
      </c>
    </row>
    <row r="16262" spans="1:12" x14ac:dyDescent="0.25">
      <c r="A16262" s="4" t="str">
        <f>HYPERLINK("http://www.rosaceae.org/Prunus/Prunus_persica/p.persica_gdr_reftransV1_0014674","p.persica_gdr_reftransV1_0014674")</f>
        <v>p.persica_gdr_reftransV1_0014674</v>
      </c>
      <c r="B16262" s="2">
        <v>1110</v>
      </c>
      <c r="C16262" s="4" t="str">
        <f>HYPERLINK("http://www.uniprot.org/uniprot/M5W6F1","M5W6F1")</f>
        <v>M5W6F1</v>
      </c>
      <c r="D16262" s="2" t="s">
        <v>238</v>
      </c>
      <c r="E16262" s="3">
        <v>0</v>
      </c>
      <c r="F16262" s="2">
        <v>1529</v>
      </c>
      <c r="G16262" s="2">
        <v>100</v>
      </c>
      <c r="H16262" s="2">
        <v>285</v>
      </c>
      <c r="I16262" s="2">
        <v>3</v>
      </c>
      <c r="J16262" s="2">
        <v>857</v>
      </c>
      <c r="K16262" s="2">
        <v>252</v>
      </c>
      <c r="L16262" s="2">
        <v>536</v>
      </c>
    </row>
    <row r="16263" spans="1:12" x14ac:dyDescent="0.25">
      <c r="A16263" s="4" t="str">
        <f>HYPERLINK("http://www.rosaceae.org/Prunus/Prunus_persica/p.persica_gdr_reftransV1_0016424","p.persica_gdr_reftransV1_0016424")</f>
        <v>p.persica_gdr_reftransV1_0016424</v>
      </c>
      <c r="B16263" s="2">
        <v>4120</v>
      </c>
      <c r="C16263" s="4" t="str">
        <f>HYPERLINK("http://www.uniprot.org/uniprot/M5VIL5","M5VIL5")</f>
        <v>M5VIL5</v>
      </c>
      <c r="D16263" s="2" t="s">
        <v>12926</v>
      </c>
      <c r="E16263" s="3">
        <v>0</v>
      </c>
      <c r="F16263" s="2">
        <v>4672</v>
      </c>
      <c r="G16263" s="2">
        <v>98</v>
      </c>
      <c r="H16263" s="2">
        <v>1075</v>
      </c>
      <c r="I16263" s="2">
        <v>244</v>
      </c>
      <c r="J16263" s="2">
        <v>3456</v>
      </c>
      <c r="K16263" s="2">
        <v>1</v>
      </c>
      <c r="L16263" s="2">
        <v>1057</v>
      </c>
    </row>
    <row r="16264" spans="1:12" x14ac:dyDescent="0.25">
      <c r="A16264" s="4" t="str">
        <f>HYPERLINK("http://www.rosaceae.org/Prunus/Prunus_persica/p.persica_gdr_reftransV1_0017474","p.persica_gdr_reftransV1_0017474")</f>
        <v>p.persica_gdr_reftransV1_0017474</v>
      </c>
      <c r="B16264" s="2">
        <v>2449</v>
      </c>
      <c r="C16264" s="4" t="str">
        <f>HYPERLINK("http://www.uniprot.org/uniprot/M5X1Z2","M5X1Z2")</f>
        <v>M5X1Z2</v>
      </c>
      <c r="D16264" s="2" t="s">
        <v>12927</v>
      </c>
      <c r="E16264" s="3">
        <v>0</v>
      </c>
      <c r="F16264" s="2">
        <v>2672</v>
      </c>
      <c r="G16264" s="2">
        <v>100</v>
      </c>
      <c r="H16264" s="2">
        <v>566</v>
      </c>
      <c r="I16264" s="2">
        <v>670</v>
      </c>
      <c r="J16264" s="2">
        <v>2367</v>
      </c>
      <c r="K16264" s="2">
        <v>1</v>
      </c>
      <c r="L16264" s="2">
        <v>566</v>
      </c>
    </row>
    <row r="16265" spans="1:12" x14ac:dyDescent="0.25">
      <c r="A16265" s="4" t="str">
        <f>HYPERLINK("http://www.rosaceae.org/Prunus/Prunus_persica/p.persica_gdr_reftransV1_0017824","p.persica_gdr_reftransV1_0017824")</f>
        <v>p.persica_gdr_reftransV1_0017824</v>
      </c>
      <c r="B16265" s="2">
        <v>2073</v>
      </c>
      <c r="C16265" s="4" t="str">
        <f>HYPERLINK("http://www.uniprot.org/uniprot/W9RAU6","W9RAU6")</f>
        <v>W9RAU6</v>
      </c>
      <c r="D16265" s="2" t="s">
        <v>12928</v>
      </c>
      <c r="E16265" s="3">
        <v>2.6499999999999999E-114</v>
      </c>
      <c r="F16265" s="2">
        <v>749</v>
      </c>
      <c r="G16265" s="2">
        <v>59</v>
      </c>
      <c r="H16265" s="2">
        <v>300</v>
      </c>
      <c r="I16265" s="2">
        <v>856</v>
      </c>
      <c r="J16265" s="2">
        <v>1725</v>
      </c>
      <c r="K16265" s="2">
        <v>108</v>
      </c>
      <c r="L16265" s="2">
        <v>401</v>
      </c>
    </row>
    <row r="16266" spans="1:12" x14ac:dyDescent="0.25">
      <c r="A16266" s="4" t="str">
        <f>HYPERLINK("http://www.rosaceae.org/Prunus/Prunus_persica/p.persica_gdr_reftransV1_0018524","p.persica_gdr_reftransV1_0018524")</f>
        <v>p.persica_gdr_reftransV1_0018524</v>
      </c>
      <c r="B16266" s="2">
        <v>2427</v>
      </c>
      <c r="C16266" s="4" t="str">
        <f>HYPERLINK("http://www.uniprot.org/uniprot/M5XST9","M5XST9")</f>
        <v>M5XST9</v>
      </c>
      <c r="D16266" s="2" t="s">
        <v>12929</v>
      </c>
      <c r="E16266" s="3">
        <v>0</v>
      </c>
      <c r="F16266" s="2">
        <v>3104</v>
      </c>
      <c r="G16266" s="2">
        <v>100</v>
      </c>
      <c r="H16266" s="2">
        <v>590</v>
      </c>
      <c r="I16266" s="2">
        <v>210</v>
      </c>
      <c r="J16266" s="2">
        <v>1979</v>
      </c>
      <c r="K16266" s="2">
        <v>19</v>
      </c>
      <c r="L16266" s="2">
        <v>608</v>
      </c>
    </row>
    <row r="16267" spans="1:12" x14ac:dyDescent="0.25">
      <c r="A16267" s="4" t="str">
        <f>HYPERLINK("http://www.rosaceae.org/Prunus/Prunus_persica/p.persica_gdr_reftransV1_0019224","p.persica_gdr_reftransV1_0019224")</f>
        <v>p.persica_gdr_reftransV1_0019224</v>
      </c>
      <c r="B16267" s="2">
        <v>1727</v>
      </c>
      <c r="C16267" s="4" t="str">
        <f>HYPERLINK("http://www.uniprot.org/uniprot/M5WUC7","M5WUC7")</f>
        <v>M5WUC7</v>
      </c>
      <c r="D16267" s="2" t="s">
        <v>271</v>
      </c>
      <c r="E16267" s="3">
        <v>3.0100000000000002E-148</v>
      </c>
      <c r="F16267" s="2">
        <v>1145</v>
      </c>
      <c r="G16267" s="2">
        <v>100</v>
      </c>
      <c r="H16267" s="2">
        <v>254</v>
      </c>
      <c r="I16267" s="2">
        <v>91</v>
      </c>
      <c r="J16267" s="2">
        <v>852</v>
      </c>
      <c r="K16267" s="2">
        <v>1</v>
      </c>
      <c r="L16267" s="2">
        <v>254</v>
      </c>
    </row>
    <row r="16268" spans="1:12" x14ac:dyDescent="0.25">
      <c r="A16268" s="4" t="str">
        <f>HYPERLINK("http://www.rosaceae.org/Prunus/Prunus_persica/p.persica_gdr_reftransV1_0019574","p.persica_gdr_reftransV1_0019574")</f>
        <v>p.persica_gdr_reftransV1_0019574</v>
      </c>
      <c r="B16268" s="2">
        <v>3243</v>
      </c>
      <c r="C16268" s="4" t="str">
        <f>HYPERLINK("http://www.uniprot.org/uniprot/M5W845","M5W845")</f>
        <v>M5W845</v>
      </c>
      <c r="D16268" s="2" t="s">
        <v>12930</v>
      </c>
      <c r="E16268" s="3">
        <v>0</v>
      </c>
      <c r="F16268" s="2">
        <v>1822</v>
      </c>
      <c r="G16268" s="2">
        <v>100</v>
      </c>
      <c r="H16268" s="2">
        <v>370</v>
      </c>
      <c r="I16268" s="2">
        <v>1384</v>
      </c>
      <c r="J16268" s="2">
        <v>2493</v>
      </c>
      <c r="K16268" s="2">
        <v>1</v>
      </c>
      <c r="L16268" s="2">
        <v>370</v>
      </c>
    </row>
    <row r="16269" spans="1:12" x14ac:dyDescent="0.25">
      <c r="A16269" s="4" t="str">
        <f>HYPERLINK("http://www.rosaceae.org/Prunus/Prunus_persica/p.persica_gdr_reftransV1_0019924","p.persica_gdr_reftransV1_0019924")</f>
        <v>p.persica_gdr_reftransV1_0019924</v>
      </c>
      <c r="B16269" s="2">
        <v>1070</v>
      </c>
      <c r="C16269" s="4" t="str">
        <f>HYPERLINK("http://www.uniprot.org/uniprot/M5X9S3","M5X9S3")</f>
        <v>M5X9S3</v>
      </c>
      <c r="D16269" s="2" t="s">
        <v>12931</v>
      </c>
      <c r="E16269" s="3">
        <v>2.2600000000000002E-137</v>
      </c>
      <c r="F16269" s="2">
        <v>1033</v>
      </c>
      <c r="G16269" s="2">
        <v>100</v>
      </c>
      <c r="H16269" s="2">
        <v>233</v>
      </c>
      <c r="I16269" s="2">
        <v>108</v>
      </c>
      <c r="J16269" s="2">
        <v>806</v>
      </c>
      <c r="K16269" s="2">
        <v>1</v>
      </c>
      <c r="L16269" s="2">
        <v>233</v>
      </c>
    </row>
    <row r="16270" spans="1:12" x14ac:dyDescent="0.25">
      <c r="A16270" s="4" t="str">
        <f>HYPERLINK("http://www.rosaceae.org/Prunus/Prunus_persica/p.persica_gdr_reftransV1_0020274","p.persica_gdr_reftransV1_0020274")</f>
        <v>p.persica_gdr_reftransV1_0020274</v>
      </c>
      <c r="B16270" s="2">
        <v>1981</v>
      </c>
      <c r="C16270" s="4" t="str">
        <f>HYPERLINK("http://www.uniprot.org/uniprot/M5XQ90","M5XQ90")</f>
        <v>M5XQ90</v>
      </c>
      <c r="D16270" s="2" t="s">
        <v>12932</v>
      </c>
      <c r="E16270" s="3">
        <v>7.5599999999999995E-95</v>
      </c>
      <c r="F16270" s="2">
        <v>788</v>
      </c>
      <c r="G16270" s="2">
        <v>100</v>
      </c>
      <c r="H16270" s="2">
        <v>145</v>
      </c>
      <c r="I16270" s="2">
        <v>172</v>
      </c>
      <c r="J16270" s="2">
        <v>606</v>
      </c>
      <c r="K16270" s="2">
        <v>19</v>
      </c>
      <c r="L16270" s="2">
        <v>163</v>
      </c>
    </row>
    <row r="16271" spans="1:12" x14ac:dyDescent="0.25">
      <c r="A16271" s="4" t="str">
        <f>HYPERLINK("http://www.rosaceae.org/Prunus/Prunus_persica/p.persica_gdr_reftransV1_0020624","p.persica_gdr_reftransV1_0020624")</f>
        <v>p.persica_gdr_reftransV1_0020624</v>
      </c>
      <c r="B16271" s="2">
        <v>876</v>
      </c>
      <c r="C16271" s="4" t="str">
        <f>HYPERLINK("http://www.uniprot.org/uniprot/M5WAS4","M5WAS4")</f>
        <v>M5WAS4</v>
      </c>
      <c r="D16271" s="2" t="s">
        <v>10862</v>
      </c>
      <c r="E16271" s="3">
        <v>3.3200000000000002E-120</v>
      </c>
      <c r="F16271" s="2">
        <v>908</v>
      </c>
      <c r="G16271" s="2">
        <v>100</v>
      </c>
      <c r="H16271" s="2">
        <v>186</v>
      </c>
      <c r="I16271" s="2">
        <v>92</v>
      </c>
      <c r="J16271" s="2">
        <v>649</v>
      </c>
      <c r="K16271" s="2">
        <v>1</v>
      </c>
      <c r="L16271" s="2">
        <v>186</v>
      </c>
    </row>
    <row r="16272" spans="1:12" x14ac:dyDescent="0.25">
      <c r="A16272" s="4" t="str">
        <f>HYPERLINK("http://www.rosaceae.org/Prunus/Prunus_persica/p.persica_gdr_reftransV1_0021324","p.persica_gdr_reftransV1_0021324")</f>
        <v>p.persica_gdr_reftransV1_0021324</v>
      </c>
      <c r="B16272" s="2">
        <v>1568</v>
      </c>
      <c r="C16272" s="4" t="str">
        <f>HYPERLINK("http://www.uniprot.org/uniprot/M5VQ57","M5VQ57")</f>
        <v>M5VQ57</v>
      </c>
      <c r="D16272" s="2" t="s">
        <v>12933</v>
      </c>
      <c r="E16272" s="3">
        <v>7.0799999999999996E-96</v>
      </c>
      <c r="F16272" s="2">
        <v>782</v>
      </c>
      <c r="G16272" s="2">
        <v>100</v>
      </c>
      <c r="H16272" s="2">
        <v>323</v>
      </c>
      <c r="I16272" s="2">
        <v>376</v>
      </c>
      <c r="J16272" s="2">
        <v>1344</v>
      </c>
      <c r="K16272" s="2">
        <v>1</v>
      </c>
      <c r="L16272" s="2">
        <v>323</v>
      </c>
    </row>
    <row r="16273" spans="1:12" x14ac:dyDescent="0.25">
      <c r="A16273" s="4" t="str">
        <f>HYPERLINK("http://www.rosaceae.org/Prunus/Prunus_persica/p.persica_gdr_reftransV1_0021674","p.persica_gdr_reftransV1_0021674")</f>
        <v>p.persica_gdr_reftransV1_0021674</v>
      </c>
      <c r="B16273" s="2">
        <v>2998</v>
      </c>
      <c r="C16273" s="4" t="str">
        <f>HYPERLINK("http://www.uniprot.org/uniprot/M5WSK2","M5WSK2")</f>
        <v>M5WSK2</v>
      </c>
      <c r="D16273" s="2" t="s">
        <v>4219</v>
      </c>
      <c r="E16273" s="3">
        <v>0</v>
      </c>
      <c r="F16273" s="2">
        <v>3075</v>
      </c>
      <c r="G16273" s="2">
        <v>100</v>
      </c>
      <c r="H16273" s="2">
        <v>687</v>
      </c>
      <c r="I16273" s="2">
        <v>647</v>
      </c>
      <c r="J16273" s="2">
        <v>2707</v>
      </c>
      <c r="K16273" s="2">
        <v>4</v>
      </c>
      <c r="L16273" s="2">
        <v>690</v>
      </c>
    </row>
    <row r="16274" spans="1:12" x14ac:dyDescent="0.25">
      <c r="A16274" s="4" t="str">
        <f>HYPERLINK("http://www.rosaceae.org/Prunus/Prunus_persica/p.persica_gdr_reftransV1_0022724","p.persica_gdr_reftransV1_0022724")</f>
        <v>p.persica_gdr_reftransV1_0022724</v>
      </c>
      <c r="B16274" s="2">
        <v>2958</v>
      </c>
      <c r="C16274" s="4" t="str">
        <f>HYPERLINK("http://www.uniprot.org/uniprot/M5XM19","M5XM19")</f>
        <v>M5XM19</v>
      </c>
      <c r="D16274" s="2" t="s">
        <v>8913</v>
      </c>
      <c r="E16274" s="3">
        <v>0</v>
      </c>
      <c r="F16274" s="2">
        <v>3518</v>
      </c>
      <c r="G16274" s="2">
        <v>89</v>
      </c>
      <c r="H16274" s="2">
        <v>785</v>
      </c>
      <c r="I16274" s="2">
        <v>1</v>
      </c>
      <c r="J16274" s="2">
        <v>2355</v>
      </c>
      <c r="K16274" s="2">
        <v>159</v>
      </c>
      <c r="L16274" s="2">
        <v>933</v>
      </c>
    </row>
    <row r="16275" spans="1:12" x14ac:dyDescent="0.25">
      <c r="A16275" s="4" t="str">
        <f>HYPERLINK("http://www.rosaceae.org/Prunus/Prunus_persica/p.persica_gdr_reftransV1_0023074","p.persica_gdr_reftransV1_0023074")</f>
        <v>p.persica_gdr_reftransV1_0023074</v>
      </c>
      <c r="B16275" s="2">
        <v>3400</v>
      </c>
      <c r="C16275" s="4" t="str">
        <f>HYPERLINK("http://www.uniprot.org/uniprot/M5XB54","M5XB54")</f>
        <v>M5XB54</v>
      </c>
      <c r="D16275" s="2" t="s">
        <v>12934</v>
      </c>
      <c r="E16275" s="3">
        <v>0</v>
      </c>
      <c r="F16275" s="2">
        <v>2537</v>
      </c>
      <c r="G16275" s="2">
        <v>100</v>
      </c>
      <c r="H16275" s="2">
        <v>471</v>
      </c>
      <c r="I16275" s="2">
        <v>495</v>
      </c>
      <c r="J16275" s="2">
        <v>1907</v>
      </c>
      <c r="K16275" s="2">
        <v>165</v>
      </c>
      <c r="L16275" s="2">
        <v>635</v>
      </c>
    </row>
    <row r="16276" spans="1:12" x14ac:dyDescent="0.25">
      <c r="A16276" s="4" t="str">
        <f>HYPERLINK("http://www.rosaceae.org/Prunus/Prunus_persica/p.persica_gdr_reftransV1_0023424","p.persica_gdr_reftransV1_0023424")</f>
        <v>p.persica_gdr_reftransV1_0023424</v>
      </c>
      <c r="B16276" s="2">
        <v>1471</v>
      </c>
      <c r="C16276" s="4" t="str">
        <f>HYPERLINK("http://www.uniprot.org/uniprot/M5XZH6","M5XZH6")</f>
        <v>M5XZH6</v>
      </c>
      <c r="D16276" s="2" t="s">
        <v>10343</v>
      </c>
      <c r="E16276" s="3">
        <v>5.4000000000000003E-101</v>
      </c>
      <c r="F16276" s="2">
        <v>801</v>
      </c>
      <c r="G16276" s="2">
        <v>100</v>
      </c>
      <c r="H16276" s="2">
        <v>193</v>
      </c>
      <c r="I16276" s="2">
        <v>655</v>
      </c>
      <c r="J16276" s="2">
        <v>1233</v>
      </c>
      <c r="K16276" s="2">
        <v>1</v>
      </c>
      <c r="L16276" s="2">
        <v>193</v>
      </c>
    </row>
    <row r="16277" spans="1:12" x14ac:dyDescent="0.25">
      <c r="A16277" s="4" t="str">
        <f>HYPERLINK("http://www.rosaceae.org/Prunus/Prunus_persica/p.persica_gdr_reftransV1_0024474","p.persica_gdr_reftransV1_0024474")</f>
        <v>p.persica_gdr_reftransV1_0024474</v>
      </c>
      <c r="B16277" s="2">
        <v>2457</v>
      </c>
      <c r="C16277" s="4" t="str">
        <f>HYPERLINK("http://www.uniprot.org/uniprot/A0A0A0LK05","A0A0A0LK05")</f>
        <v>A0A0A0LK05</v>
      </c>
      <c r="D16277" s="2" t="s">
        <v>12935</v>
      </c>
      <c r="E16277" s="3">
        <v>0</v>
      </c>
      <c r="F16277" s="2">
        <v>2000</v>
      </c>
      <c r="G16277" s="2">
        <v>69</v>
      </c>
      <c r="H16277" s="2">
        <v>574</v>
      </c>
      <c r="I16277" s="2">
        <v>381</v>
      </c>
      <c r="J16277" s="2">
        <v>2102</v>
      </c>
      <c r="K16277" s="2">
        <v>63</v>
      </c>
      <c r="L16277" s="2">
        <v>613</v>
      </c>
    </row>
    <row r="16278" spans="1:12" x14ac:dyDescent="0.25">
      <c r="A16278" s="4" t="str">
        <f>HYPERLINK("http://www.rosaceae.org/Prunus/Prunus_persica/p.persica_gdr_reftransV1_0024824","p.persica_gdr_reftransV1_0024824")</f>
        <v>p.persica_gdr_reftransV1_0024824</v>
      </c>
      <c r="B16278" s="2">
        <v>4302</v>
      </c>
      <c r="C16278" s="4" t="str">
        <f>HYPERLINK("http://www.uniprot.org/uniprot/M5VMP9","M5VMP9")</f>
        <v>M5VMP9</v>
      </c>
      <c r="D16278" s="2" t="s">
        <v>9395</v>
      </c>
      <c r="E16278" s="3">
        <v>0</v>
      </c>
      <c r="F16278" s="2">
        <v>4498</v>
      </c>
      <c r="G16278" s="2">
        <v>85</v>
      </c>
      <c r="H16278" s="2">
        <v>1103</v>
      </c>
      <c r="I16278" s="2">
        <v>725</v>
      </c>
      <c r="J16278" s="2">
        <v>4009</v>
      </c>
      <c r="K16278" s="2">
        <v>2</v>
      </c>
      <c r="L16278" s="2">
        <v>1089</v>
      </c>
    </row>
    <row r="16279" spans="1:12" x14ac:dyDescent="0.25">
      <c r="A16279" s="4" t="str">
        <f>HYPERLINK("http://www.rosaceae.org/Prunus/Prunus_persica/p.persica_gdr_reftransV1_0025174","p.persica_gdr_reftransV1_0025174")</f>
        <v>p.persica_gdr_reftransV1_0025174</v>
      </c>
      <c r="B16279" s="2">
        <v>2023</v>
      </c>
      <c r="C16279" s="4" t="str">
        <f>HYPERLINK("http://www.uniprot.org/uniprot/M5VVN7","M5VVN7")</f>
        <v>M5VVN7</v>
      </c>
      <c r="D16279" s="2" t="s">
        <v>9253</v>
      </c>
      <c r="E16279" s="3">
        <v>0</v>
      </c>
      <c r="F16279" s="2">
        <v>2481</v>
      </c>
      <c r="G16279" s="2">
        <v>100</v>
      </c>
      <c r="H16279" s="2">
        <v>461</v>
      </c>
      <c r="I16279" s="2">
        <v>1</v>
      </c>
      <c r="J16279" s="2">
        <v>1383</v>
      </c>
      <c r="K16279" s="2">
        <v>254</v>
      </c>
      <c r="L16279" s="2">
        <v>714</v>
      </c>
    </row>
    <row r="16280" spans="1:12" x14ac:dyDescent="0.25">
      <c r="A16280" s="4" t="str">
        <f>HYPERLINK("http://www.rosaceae.org/Prunus/Prunus_persica/p.persica_gdr_reftransV1_0025524","p.persica_gdr_reftransV1_0025524")</f>
        <v>p.persica_gdr_reftransV1_0025524</v>
      </c>
      <c r="B16280" s="2">
        <v>2342</v>
      </c>
      <c r="C16280" s="4" t="str">
        <f>HYPERLINK("http://www.uniprot.org/uniprot/M5XWV9","M5XWV9")</f>
        <v>M5XWV9</v>
      </c>
      <c r="D16280" s="2" t="s">
        <v>12936</v>
      </c>
      <c r="E16280" s="3">
        <v>0</v>
      </c>
      <c r="F16280" s="2">
        <v>2707</v>
      </c>
      <c r="G16280" s="2">
        <v>100</v>
      </c>
      <c r="H16280" s="2">
        <v>528</v>
      </c>
      <c r="I16280" s="2">
        <v>395</v>
      </c>
      <c r="J16280" s="2">
        <v>1978</v>
      </c>
      <c r="K16280" s="2">
        <v>1</v>
      </c>
      <c r="L16280" s="2">
        <v>528</v>
      </c>
    </row>
    <row r="16281" spans="1:12" x14ac:dyDescent="0.25">
      <c r="A16281" s="4" t="str">
        <f>HYPERLINK("http://www.rosaceae.org/Prunus/Prunus_persica/p.persica_gdr_reftransV1_0025874","p.persica_gdr_reftransV1_0025874")</f>
        <v>p.persica_gdr_reftransV1_0025874</v>
      </c>
      <c r="B16281" s="2">
        <v>1306</v>
      </c>
      <c r="C16281" s="4" t="str">
        <f>HYPERLINK("http://www.uniprot.org/uniprot/M5VML5","M5VML5")</f>
        <v>M5VML5</v>
      </c>
      <c r="D16281" s="2" t="s">
        <v>12937</v>
      </c>
      <c r="E16281" s="3">
        <v>4.2000000000000002E-143</v>
      </c>
      <c r="F16281" s="2">
        <v>1080</v>
      </c>
      <c r="G16281" s="2">
        <v>100</v>
      </c>
      <c r="H16281" s="2">
        <v>242</v>
      </c>
      <c r="I16281" s="2">
        <v>167</v>
      </c>
      <c r="J16281" s="2">
        <v>892</v>
      </c>
      <c r="K16281" s="2">
        <v>1</v>
      </c>
      <c r="L16281" s="2">
        <v>242</v>
      </c>
    </row>
    <row r="16282" spans="1:12" x14ac:dyDescent="0.25">
      <c r="A16282" s="4" t="str">
        <f>HYPERLINK("http://www.rosaceae.org/Prunus/Prunus_persica/p.persica_gdr_reftransV1_0026924","p.persica_gdr_reftransV1_0026924")</f>
        <v>p.persica_gdr_reftransV1_0026924</v>
      </c>
      <c r="B16282" s="2">
        <v>1059</v>
      </c>
      <c r="C16282" s="4" t="str">
        <f>HYPERLINK("http://www.uniprot.org/uniprot/M5Y7S6","M5Y7S6")</f>
        <v>M5Y7S6</v>
      </c>
      <c r="D16282" s="2" t="s">
        <v>5570</v>
      </c>
      <c r="E16282" s="3">
        <v>2.8500000000000002E-106</v>
      </c>
      <c r="F16282" s="2">
        <v>891</v>
      </c>
      <c r="G16282" s="2">
        <v>86</v>
      </c>
      <c r="H16282" s="2">
        <v>207</v>
      </c>
      <c r="I16282" s="2">
        <v>444</v>
      </c>
      <c r="J16282" s="2">
        <v>1058</v>
      </c>
      <c r="K16282" s="2">
        <v>772</v>
      </c>
      <c r="L16282" s="2">
        <v>977</v>
      </c>
    </row>
    <row r="16283" spans="1:12" x14ac:dyDescent="0.25">
      <c r="A16283" s="4" t="str">
        <f>HYPERLINK("http://www.rosaceae.org/Prunus/Prunus_persica/p.persica_gdr_reftransV1_0027624","p.persica_gdr_reftransV1_0027624")</f>
        <v>p.persica_gdr_reftransV1_0027624</v>
      </c>
      <c r="B16283" s="2">
        <v>1283</v>
      </c>
      <c r="C16283" s="4" t="str">
        <f>HYPERLINK("http://www.uniprot.org/uniprot/M5XGB3","M5XGB3")</f>
        <v>M5XGB3</v>
      </c>
      <c r="D16283" s="2" t="s">
        <v>12938</v>
      </c>
      <c r="E16283" s="3">
        <v>3.9899999999999998E-171</v>
      </c>
      <c r="F16283" s="2">
        <v>1264</v>
      </c>
      <c r="G16283" s="2">
        <v>100</v>
      </c>
      <c r="H16283" s="2">
        <v>244</v>
      </c>
      <c r="I16283" s="2">
        <v>236</v>
      </c>
      <c r="J16283" s="2">
        <v>967</v>
      </c>
      <c r="K16283" s="2">
        <v>1</v>
      </c>
      <c r="L16283" s="2">
        <v>244</v>
      </c>
    </row>
    <row r="16284" spans="1:12" x14ac:dyDescent="0.25">
      <c r="A16284" s="4" t="str">
        <f>HYPERLINK("http://www.rosaceae.org/Prunus/Prunus_persica/p.persica_gdr_reftransV1_0027974","p.persica_gdr_reftransV1_0027974")</f>
        <v>p.persica_gdr_reftransV1_0027974</v>
      </c>
      <c r="B16284" s="2">
        <v>2517</v>
      </c>
      <c r="C16284" s="4" t="str">
        <f>HYPERLINK("http://www.uniprot.org/uniprot/F4IFM7","F4IFM7")</f>
        <v>F4IFM7</v>
      </c>
      <c r="D16284" s="2" t="s">
        <v>12939</v>
      </c>
      <c r="E16284" s="3">
        <v>0</v>
      </c>
      <c r="F16284" s="2">
        <v>2023</v>
      </c>
      <c r="G16284" s="2">
        <v>65</v>
      </c>
      <c r="H16284" s="2">
        <v>609</v>
      </c>
      <c r="I16284" s="2">
        <v>283</v>
      </c>
      <c r="J16284" s="2">
        <v>2094</v>
      </c>
      <c r="K16284" s="2">
        <v>1</v>
      </c>
      <c r="L16284" s="2">
        <v>564</v>
      </c>
    </row>
    <row r="16285" spans="1:12" x14ac:dyDescent="0.25">
      <c r="A16285" s="4" t="str">
        <f>HYPERLINK("http://www.rosaceae.org/Prunus/Prunus_persica/p.persica_gdr_reftransV1_0028324","p.persica_gdr_reftransV1_0028324")</f>
        <v>p.persica_gdr_reftransV1_0028324</v>
      </c>
      <c r="B16285" s="2">
        <v>1863</v>
      </c>
      <c r="C16285" s="4" t="str">
        <f>HYPERLINK("http://www.uniprot.org/uniprot/M5WBK7","M5WBK7")</f>
        <v>M5WBK7</v>
      </c>
      <c r="D16285" s="2" t="s">
        <v>12940</v>
      </c>
      <c r="E16285" s="3">
        <v>0</v>
      </c>
      <c r="F16285" s="2">
        <v>1506</v>
      </c>
      <c r="G16285" s="2">
        <v>100</v>
      </c>
      <c r="H16285" s="2">
        <v>329</v>
      </c>
      <c r="I16285" s="2">
        <v>378</v>
      </c>
      <c r="J16285" s="2">
        <v>1364</v>
      </c>
      <c r="K16285" s="2">
        <v>24</v>
      </c>
      <c r="L16285" s="2">
        <v>352</v>
      </c>
    </row>
    <row r="16286" spans="1:12" x14ac:dyDescent="0.25">
      <c r="A16286" s="4" t="str">
        <f>HYPERLINK("http://www.rosaceae.org/Prunus/Prunus_persica/p.persica_gdr_reftransV1_0028674","p.persica_gdr_reftransV1_0028674")</f>
        <v>p.persica_gdr_reftransV1_0028674</v>
      </c>
      <c r="B16286" s="2">
        <v>1570</v>
      </c>
      <c r="C16286" s="4" t="str">
        <f>HYPERLINK("http://www.uniprot.org/uniprot/M5WHA0","M5WHA0")</f>
        <v>M5WHA0</v>
      </c>
      <c r="D16286" s="2" t="s">
        <v>12941</v>
      </c>
      <c r="E16286" s="3">
        <v>0</v>
      </c>
      <c r="F16286" s="2">
        <v>1769</v>
      </c>
      <c r="G16286" s="2">
        <v>99</v>
      </c>
      <c r="H16286" s="2">
        <v>333</v>
      </c>
      <c r="I16286" s="2">
        <v>86</v>
      </c>
      <c r="J16286" s="2">
        <v>1084</v>
      </c>
      <c r="K16286" s="2">
        <v>1</v>
      </c>
      <c r="L16286" s="2">
        <v>333</v>
      </c>
    </row>
    <row r="16287" spans="1:12" x14ac:dyDescent="0.25">
      <c r="A16287" s="4" t="str">
        <f>HYPERLINK("http://www.rosaceae.org/Prunus/Prunus_persica/p.persica_gdr_reftransV1_0029724","p.persica_gdr_reftransV1_0029724")</f>
        <v>p.persica_gdr_reftransV1_0029724</v>
      </c>
      <c r="B16287" s="2">
        <v>2451</v>
      </c>
      <c r="C16287" s="4" t="str">
        <f>HYPERLINK("http://www.uniprot.org/uniprot/M5WH16","M5WH16")</f>
        <v>M5WH16</v>
      </c>
      <c r="D16287" s="2" t="s">
        <v>5515</v>
      </c>
      <c r="E16287" s="3">
        <v>3.24E-139</v>
      </c>
      <c r="F16287" s="2">
        <v>1106</v>
      </c>
      <c r="G16287" s="2">
        <v>100</v>
      </c>
      <c r="H16287" s="2">
        <v>208</v>
      </c>
      <c r="I16287" s="2">
        <v>834</v>
      </c>
      <c r="J16287" s="2">
        <v>1457</v>
      </c>
      <c r="K16287" s="2">
        <v>140</v>
      </c>
      <c r="L16287" s="2">
        <v>347</v>
      </c>
    </row>
    <row r="16288" spans="1:12" x14ac:dyDescent="0.25">
      <c r="A16288" s="4" t="str">
        <f>HYPERLINK("http://www.rosaceae.org/Prunus/Prunus_persica/p.persica_gdr_reftransV1_0030424","p.persica_gdr_reftransV1_0030424")</f>
        <v>p.persica_gdr_reftransV1_0030424</v>
      </c>
      <c r="B16288" s="2">
        <v>875</v>
      </c>
      <c r="C16288" s="4" t="str">
        <f>HYPERLINK("http://www.uniprot.org/uniprot/B9ICK7","B9ICK7")</f>
        <v>B9ICK7</v>
      </c>
      <c r="D16288" s="2" t="s">
        <v>12942</v>
      </c>
      <c r="E16288" s="3">
        <v>3.4099999999999998E-28</v>
      </c>
      <c r="F16288" s="2">
        <v>299</v>
      </c>
      <c r="G16288" s="2">
        <v>47</v>
      </c>
      <c r="H16288" s="2">
        <v>135</v>
      </c>
      <c r="I16288" s="2">
        <v>250</v>
      </c>
      <c r="J16288" s="2">
        <v>645</v>
      </c>
      <c r="K16288" s="2">
        <v>53</v>
      </c>
      <c r="L16288" s="2">
        <v>187</v>
      </c>
    </row>
    <row r="16289" spans="1:12" x14ac:dyDescent="0.25">
      <c r="A16289" s="4" t="str">
        <f>HYPERLINK("http://www.rosaceae.org/Prunus/Prunus_persica/p.persica_gdr_reftransV1_0030774","p.persica_gdr_reftransV1_0030774")</f>
        <v>p.persica_gdr_reftransV1_0030774</v>
      </c>
      <c r="B16289" s="2">
        <v>4950</v>
      </c>
      <c r="C16289" s="4" t="str">
        <f>HYPERLINK("http://www.uniprot.org/uniprot/M5WCT8","M5WCT8")</f>
        <v>M5WCT8</v>
      </c>
      <c r="D16289" s="2" t="s">
        <v>12943</v>
      </c>
      <c r="E16289" s="3">
        <v>0</v>
      </c>
      <c r="F16289" s="2">
        <v>2572</v>
      </c>
      <c r="G16289" s="2">
        <v>100</v>
      </c>
      <c r="H16289" s="2">
        <v>514</v>
      </c>
      <c r="I16289" s="2">
        <v>2424</v>
      </c>
      <c r="J16289" s="2">
        <v>3965</v>
      </c>
      <c r="K16289" s="2">
        <v>1</v>
      </c>
      <c r="L16289" s="2">
        <v>514</v>
      </c>
    </row>
    <row r="16290" spans="1:12" x14ac:dyDescent="0.25">
      <c r="A16290" s="4" t="str">
        <f>HYPERLINK("http://www.rosaceae.org/Prunus/Prunus_persica/p.persica_gdr_reftransV1_0032174","p.persica_gdr_reftransV1_0032174")</f>
        <v>p.persica_gdr_reftransV1_0032174</v>
      </c>
      <c r="B16290" s="2">
        <v>1140</v>
      </c>
      <c r="C16290" s="4" t="str">
        <f>HYPERLINK("http://www.uniprot.org/uniprot/M5XY35","M5XY35")</f>
        <v>M5XY35</v>
      </c>
      <c r="D16290" s="2" t="s">
        <v>7199</v>
      </c>
      <c r="E16290" s="3">
        <v>2.0900000000000002E-102</v>
      </c>
      <c r="F16290" s="2">
        <v>812</v>
      </c>
      <c r="G16290" s="2">
        <v>100</v>
      </c>
      <c r="H16290" s="2">
        <v>169</v>
      </c>
      <c r="I16290" s="2">
        <v>515</v>
      </c>
      <c r="J16290" s="2">
        <v>1021</v>
      </c>
      <c r="K16290" s="2">
        <v>1</v>
      </c>
      <c r="L16290" s="2">
        <v>169</v>
      </c>
    </row>
    <row r="16291" spans="1:12" x14ac:dyDescent="0.25">
      <c r="A16291" s="4" t="str">
        <f>HYPERLINK("http://www.rosaceae.org/Prunus/Prunus_persica/p.persica_gdr_reftransV1_0034274","p.persica_gdr_reftransV1_0034274")</f>
        <v>p.persica_gdr_reftransV1_0034274</v>
      </c>
      <c r="B16291" s="2">
        <v>6488</v>
      </c>
      <c r="C16291" s="4" t="str">
        <f>HYPERLINK("http://www.uniprot.org/uniprot/M5XKL2","M5XKL2")</f>
        <v>M5XKL2</v>
      </c>
      <c r="D16291" s="2" t="s">
        <v>12944</v>
      </c>
      <c r="E16291" s="3">
        <v>0</v>
      </c>
      <c r="F16291" s="2">
        <v>5469</v>
      </c>
      <c r="G16291" s="2">
        <v>100</v>
      </c>
      <c r="H16291" s="2">
        <v>1077</v>
      </c>
      <c r="I16291" s="2">
        <v>3208</v>
      </c>
      <c r="J16291" s="2">
        <v>6438</v>
      </c>
      <c r="K16291" s="2">
        <v>77</v>
      </c>
      <c r="L16291" s="2">
        <v>1153</v>
      </c>
    </row>
    <row r="16292" spans="1:12" x14ac:dyDescent="0.25">
      <c r="A16292" s="4" t="str">
        <f>HYPERLINK("http://www.rosaceae.org/Prunus/Prunus_persica/p.persica_gdr_reftransV1_0034974","p.persica_gdr_reftransV1_0034974")</f>
        <v>p.persica_gdr_reftransV1_0034974</v>
      </c>
      <c r="B16292" s="2">
        <v>2330</v>
      </c>
      <c r="C16292" s="4" t="str">
        <f>HYPERLINK("http://www.uniprot.org/uniprot/M5WUB0","M5WUB0")</f>
        <v>M5WUB0</v>
      </c>
      <c r="D16292" s="2" t="s">
        <v>12945</v>
      </c>
      <c r="E16292" s="3">
        <v>0</v>
      </c>
      <c r="F16292" s="2">
        <v>1371</v>
      </c>
      <c r="G16292" s="2">
        <v>95</v>
      </c>
      <c r="H16292" s="2">
        <v>310</v>
      </c>
      <c r="I16292" s="2">
        <v>774</v>
      </c>
      <c r="J16292" s="2">
        <v>1703</v>
      </c>
      <c r="K16292" s="2">
        <v>1</v>
      </c>
      <c r="L16292" s="2">
        <v>298</v>
      </c>
    </row>
    <row r="16293" spans="1:12" x14ac:dyDescent="0.25">
      <c r="A16293" s="4" t="str">
        <f>HYPERLINK("http://www.rosaceae.org/Prunus/Prunus_persica/p.persica_gdr_reftransV1_0035324","p.persica_gdr_reftransV1_0035324")</f>
        <v>p.persica_gdr_reftransV1_0035324</v>
      </c>
      <c r="B16293" s="2">
        <v>538</v>
      </c>
      <c r="C16293" s="4" t="str">
        <f>HYPERLINK("http://www.uniprot.org/uniprot/A0A0D2TMA5","A0A0D2TMA5")</f>
        <v>A0A0D2TMA5</v>
      </c>
      <c r="D16293" s="2" t="s">
        <v>12946</v>
      </c>
      <c r="E16293" s="3">
        <v>2.4600000000000001E-70</v>
      </c>
      <c r="F16293" s="2">
        <v>612</v>
      </c>
      <c r="G16293" s="2">
        <v>84</v>
      </c>
      <c r="H16293" s="2">
        <v>134</v>
      </c>
      <c r="I16293" s="2">
        <v>135</v>
      </c>
      <c r="J16293" s="2">
        <v>536</v>
      </c>
      <c r="K16293" s="2">
        <v>964</v>
      </c>
      <c r="L16293" s="2">
        <v>1097</v>
      </c>
    </row>
    <row r="16294" spans="1:12" x14ac:dyDescent="0.25">
      <c r="A16294" s="4" t="str">
        <f>HYPERLINK("http://www.rosaceae.org/Prunus/Prunus_persica/p.persica_gdr_reftransV1_0035674","p.persica_gdr_reftransV1_0035674")</f>
        <v>p.persica_gdr_reftransV1_0035674</v>
      </c>
      <c r="B16294" s="2">
        <v>4309</v>
      </c>
      <c r="C16294" s="4" t="str">
        <f>HYPERLINK("http://www.uniprot.org/uniprot/M5WQB1","M5WQB1")</f>
        <v>M5WQB1</v>
      </c>
      <c r="D16294" s="2" t="s">
        <v>12947</v>
      </c>
      <c r="E16294" s="3">
        <v>0</v>
      </c>
      <c r="F16294" s="2">
        <v>3054</v>
      </c>
      <c r="G16294" s="2">
        <v>100</v>
      </c>
      <c r="H16294" s="2">
        <v>626</v>
      </c>
      <c r="I16294" s="2">
        <v>517</v>
      </c>
      <c r="J16294" s="2">
        <v>2394</v>
      </c>
      <c r="K16294" s="2">
        <v>1</v>
      </c>
      <c r="L16294" s="2">
        <v>626</v>
      </c>
    </row>
    <row r="16295" spans="1:12" x14ac:dyDescent="0.25">
      <c r="A16295" s="4" t="str">
        <f>HYPERLINK("http://www.rosaceae.org/Prunus/Prunus_persica/p.persica_gdr_reftransV1_0036374","p.persica_gdr_reftransV1_0036374")</f>
        <v>p.persica_gdr_reftransV1_0036374</v>
      </c>
      <c r="B16295" s="2">
        <v>1999</v>
      </c>
      <c r="C16295" s="4" t="str">
        <f>HYPERLINK("http://www.uniprot.org/uniprot/M5W8M1","M5W8M1")</f>
        <v>M5W8M1</v>
      </c>
      <c r="D16295" s="2" t="s">
        <v>12948</v>
      </c>
      <c r="E16295" s="3">
        <v>0</v>
      </c>
      <c r="F16295" s="2">
        <v>1517</v>
      </c>
      <c r="G16295" s="2">
        <v>98</v>
      </c>
      <c r="H16295" s="2">
        <v>290</v>
      </c>
      <c r="I16295" s="2">
        <v>312</v>
      </c>
      <c r="J16295" s="2">
        <v>1181</v>
      </c>
      <c r="K16295" s="2">
        <v>161</v>
      </c>
      <c r="L16295" s="2">
        <v>450</v>
      </c>
    </row>
    <row r="16296" spans="1:12" x14ac:dyDescent="0.25">
      <c r="A16296" s="4" t="str">
        <f>HYPERLINK("http://www.rosaceae.org/Prunus/Prunus_persica/p.persica_gdr_reftransV1_0037074","p.persica_gdr_reftransV1_0037074")</f>
        <v>p.persica_gdr_reftransV1_0037074</v>
      </c>
      <c r="B16296" s="2">
        <v>1135</v>
      </c>
      <c r="C16296" s="4" t="str">
        <f>HYPERLINK("http://www.uniprot.org/uniprot/M5Y370","M5Y370")</f>
        <v>M5Y370</v>
      </c>
      <c r="D16296" s="2" t="s">
        <v>12949</v>
      </c>
      <c r="E16296" s="3">
        <v>2.3699999999999998E-158</v>
      </c>
      <c r="F16296" s="2">
        <v>1174</v>
      </c>
      <c r="G16296" s="2">
        <v>100</v>
      </c>
      <c r="H16296" s="2">
        <v>230</v>
      </c>
      <c r="I16296" s="2">
        <v>295</v>
      </c>
      <c r="J16296" s="2">
        <v>984</v>
      </c>
      <c r="K16296" s="2">
        <v>1</v>
      </c>
      <c r="L16296" s="2">
        <v>230</v>
      </c>
    </row>
    <row r="16297" spans="1:12" x14ac:dyDescent="0.25">
      <c r="A16297" s="4" t="str">
        <f>HYPERLINK("http://www.rosaceae.org/Prunus/Prunus_persica/p.persica_gdr_reftransV1_0039524","p.persica_gdr_reftransV1_0039524")</f>
        <v>p.persica_gdr_reftransV1_0039524</v>
      </c>
      <c r="B16297" s="2">
        <v>970</v>
      </c>
      <c r="C16297" s="4" t="str">
        <f>HYPERLINK("http://www.uniprot.org/uniprot/M5XDP8","M5XDP8")</f>
        <v>M5XDP8</v>
      </c>
      <c r="D16297" s="2" t="s">
        <v>5303</v>
      </c>
      <c r="E16297" s="3">
        <v>1.2399999999999999E-160</v>
      </c>
      <c r="F16297" s="2">
        <v>1215</v>
      </c>
      <c r="G16297" s="2">
        <v>100</v>
      </c>
      <c r="H16297" s="2">
        <v>258</v>
      </c>
      <c r="I16297" s="2">
        <v>1</v>
      </c>
      <c r="J16297" s="2">
        <v>774</v>
      </c>
      <c r="K16297" s="2">
        <v>1</v>
      </c>
      <c r="L16297" s="2">
        <v>258</v>
      </c>
    </row>
    <row r="16298" spans="1:12" x14ac:dyDescent="0.25">
      <c r="A16298" s="4" t="str">
        <f>HYPERLINK("http://www.rosaceae.org/Prunus/Prunus_persica/p.persica_gdr_reftransV1_0042674","p.persica_gdr_reftransV1_0042674")</f>
        <v>p.persica_gdr_reftransV1_0042674</v>
      </c>
      <c r="B16298" s="2">
        <v>1670</v>
      </c>
      <c r="C16298" s="4" t="str">
        <f>HYPERLINK("http://www.uniprot.org/uniprot/M5X1H1","M5X1H1")</f>
        <v>M5X1H1</v>
      </c>
      <c r="D16298" s="2" t="s">
        <v>12950</v>
      </c>
      <c r="E16298" s="3">
        <v>3.8300000000000001E-100</v>
      </c>
      <c r="F16298" s="2">
        <v>819</v>
      </c>
      <c r="G16298" s="2">
        <v>99</v>
      </c>
      <c r="H16298" s="2">
        <v>182</v>
      </c>
      <c r="I16298" s="2">
        <v>903</v>
      </c>
      <c r="J16298" s="2">
        <v>1448</v>
      </c>
      <c r="K16298" s="2">
        <v>190</v>
      </c>
      <c r="L16298" s="2">
        <v>371</v>
      </c>
    </row>
    <row r="16299" spans="1:12" x14ac:dyDescent="0.25">
      <c r="A16299" s="4" t="str">
        <f>HYPERLINK("http://www.rosaceae.org/Prunus/Prunus_persica/p.persica_gdr_reftransV1_0043374","p.persica_gdr_reftransV1_0043374")</f>
        <v>p.persica_gdr_reftransV1_0043374</v>
      </c>
      <c r="B16299" s="2">
        <v>878</v>
      </c>
      <c r="C16299" s="4" t="str">
        <f>HYPERLINK("http://www.uniprot.org/uniprot/M5VKM7","M5VKM7")</f>
        <v>M5VKM7</v>
      </c>
      <c r="D16299" s="2" t="s">
        <v>12951</v>
      </c>
      <c r="E16299" s="3">
        <v>2.57E-110</v>
      </c>
      <c r="F16299" s="2">
        <v>846</v>
      </c>
      <c r="G16299" s="2">
        <v>98</v>
      </c>
      <c r="H16299" s="2">
        <v>166</v>
      </c>
      <c r="I16299" s="2">
        <v>272</v>
      </c>
      <c r="J16299" s="2">
        <v>769</v>
      </c>
      <c r="K16299" s="2">
        <v>51</v>
      </c>
      <c r="L16299" s="2">
        <v>215</v>
      </c>
    </row>
    <row r="16300" spans="1:12" x14ac:dyDescent="0.25">
      <c r="A16300" s="4" t="str">
        <f>HYPERLINK("http://www.rosaceae.org/Prunus/Prunus_persica/p.persica_gdr_reftransV1_0043724","p.persica_gdr_reftransV1_0043724")</f>
        <v>p.persica_gdr_reftransV1_0043724</v>
      </c>
      <c r="B16300" s="2">
        <v>393</v>
      </c>
      <c r="C16300" s="4" t="str">
        <f>HYPERLINK("http://www.uniprot.org/uniprot/M5WPP2","M5WPP2")</f>
        <v>M5WPP2</v>
      </c>
      <c r="D16300" s="2" t="s">
        <v>1834</v>
      </c>
      <c r="E16300" s="3">
        <v>4.0199999999999998E-74</v>
      </c>
      <c r="F16300" s="2">
        <v>626</v>
      </c>
      <c r="G16300" s="2">
        <v>92</v>
      </c>
      <c r="H16300" s="2">
        <v>130</v>
      </c>
      <c r="I16300" s="2">
        <v>2</v>
      </c>
      <c r="J16300" s="2">
        <v>391</v>
      </c>
      <c r="K16300" s="2">
        <v>626</v>
      </c>
      <c r="L16300" s="2">
        <v>755</v>
      </c>
    </row>
    <row r="16301" spans="1:12" x14ac:dyDescent="0.25">
      <c r="A16301" s="4" t="str">
        <f>HYPERLINK("http://www.rosaceae.org/Prunus/Prunus_persica/p.persica_gdr_reftransV1_0044074","p.persica_gdr_reftransV1_0044074")</f>
        <v>p.persica_gdr_reftransV1_0044074</v>
      </c>
      <c r="B16301" s="2">
        <v>1154</v>
      </c>
      <c r="C16301" s="4" t="str">
        <f>HYPERLINK("http://www.uniprot.org/uniprot/M5XXJ8","M5XXJ8")</f>
        <v>M5XXJ8</v>
      </c>
      <c r="D16301" s="2" t="s">
        <v>12952</v>
      </c>
      <c r="E16301" s="3">
        <v>1.45E-89</v>
      </c>
      <c r="F16301" s="2">
        <v>735</v>
      </c>
      <c r="G16301" s="2">
        <v>85</v>
      </c>
      <c r="H16301" s="2">
        <v>169</v>
      </c>
      <c r="I16301" s="2">
        <v>486</v>
      </c>
      <c r="J16301" s="2">
        <v>956</v>
      </c>
      <c r="K16301" s="2">
        <v>242</v>
      </c>
      <c r="L16301" s="2">
        <v>407</v>
      </c>
    </row>
    <row r="16302" spans="1:12" x14ac:dyDescent="0.25">
      <c r="A16302" s="4" t="str">
        <f>HYPERLINK("http://www.rosaceae.org/Prunus/Prunus_persica/p.persica_gdr_reftransV1_0044424","p.persica_gdr_reftransV1_0044424")</f>
        <v>p.persica_gdr_reftransV1_0044424</v>
      </c>
      <c r="B16302" s="2">
        <v>1347</v>
      </c>
      <c r="C16302" s="4" t="str">
        <f>HYPERLINK("http://www.uniprot.org/uniprot/D7KRS7","D7KRS7")</f>
        <v>D7KRS7</v>
      </c>
      <c r="D16302" s="2" t="s">
        <v>12953</v>
      </c>
      <c r="E16302" s="3">
        <v>0</v>
      </c>
      <c r="F16302" s="2">
        <v>1957</v>
      </c>
      <c r="G16302" s="2">
        <v>95</v>
      </c>
      <c r="H16302" s="2">
        <v>412</v>
      </c>
      <c r="I16302" s="2">
        <v>43</v>
      </c>
      <c r="J16302" s="2">
        <v>1269</v>
      </c>
      <c r="K16302" s="2">
        <v>77</v>
      </c>
      <c r="L16302" s="2">
        <v>483</v>
      </c>
    </row>
    <row r="16303" spans="1:12" x14ac:dyDescent="0.25">
      <c r="A16303" s="4" t="str">
        <f>HYPERLINK("http://www.rosaceae.org/Prunus/Prunus_persica/p.persica_gdr_reftransV1_0044774","p.persica_gdr_reftransV1_0044774")</f>
        <v>p.persica_gdr_reftransV1_0044774</v>
      </c>
      <c r="B16303" s="2">
        <v>1100</v>
      </c>
      <c r="C16303" s="4" t="str">
        <f>HYPERLINK("http://www.uniprot.org/uniprot/M5VWA3","M5VWA3")</f>
        <v>M5VWA3</v>
      </c>
      <c r="D16303" s="2" t="s">
        <v>12954</v>
      </c>
      <c r="E16303" s="3">
        <v>3.2799999999999999E-162</v>
      </c>
      <c r="F16303" s="2">
        <v>1201</v>
      </c>
      <c r="G16303" s="2">
        <v>100</v>
      </c>
      <c r="H16303" s="2">
        <v>266</v>
      </c>
      <c r="I16303" s="2">
        <v>82</v>
      </c>
      <c r="J16303" s="2">
        <v>879</v>
      </c>
      <c r="K16303" s="2">
        <v>1</v>
      </c>
      <c r="L16303" s="2">
        <v>266</v>
      </c>
    </row>
    <row r="16304" spans="1:12" x14ac:dyDescent="0.25">
      <c r="A16304" s="4" t="str">
        <f>HYPERLINK("http://www.rosaceae.org/Prunus/Prunus_persica/p.persica_gdr_reftransV1_0045124","p.persica_gdr_reftransV1_0045124")</f>
        <v>p.persica_gdr_reftransV1_0045124</v>
      </c>
      <c r="B16304" s="2">
        <v>2155</v>
      </c>
      <c r="C16304" s="4" t="str">
        <f>HYPERLINK("http://www.uniprot.org/uniprot/M5WCV7","M5WCV7")</f>
        <v>M5WCV7</v>
      </c>
      <c r="D16304" s="2" t="s">
        <v>5206</v>
      </c>
      <c r="E16304" s="3">
        <v>0</v>
      </c>
      <c r="F16304" s="2">
        <v>1842</v>
      </c>
      <c r="G16304" s="2">
        <v>100</v>
      </c>
      <c r="H16304" s="2">
        <v>371</v>
      </c>
      <c r="I16304" s="2">
        <v>410</v>
      </c>
      <c r="J16304" s="2">
        <v>1522</v>
      </c>
      <c r="K16304" s="2">
        <v>434</v>
      </c>
      <c r="L16304" s="2">
        <v>804</v>
      </c>
    </row>
    <row r="16305" spans="1:12" x14ac:dyDescent="0.25">
      <c r="A16305" s="4" t="str">
        <f>HYPERLINK("http://www.rosaceae.org/Prunus/Prunus_persica/p.persica_gdr_reftransV1_0045474","p.persica_gdr_reftransV1_0045474")</f>
        <v>p.persica_gdr_reftransV1_0045474</v>
      </c>
      <c r="B16305" s="2">
        <v>1572</v>
      </c>
      <c r="C16305" s="4" t="str">
        <f>HYPERLINK("http://www.uniprot.org/uniprot/A0A0D2RJZ7","A0A0D2RJZ7")</f>
        <v>A0A0D2RJZ7</v>
      </c>
      <c r="D16305" s="2" t="s">
        <v>12955</v>
      </c>
      <c r="E16305" s="3">
        <v>0</v>
      </c>
      <c r="F16305" s="2">
        <v>1556</v>
      </c>
      <c r="G16305" s="2">
        <v>78</v>
      </c>
      <c r="H16305" s="2">
        <v>380</v>
      </c>
      <c r="I16305" s="2">
        <v>214</v>
      </c>
      <c r="J16305" s="2">
        <v>1350</v>
      </c>
      <c r="K16305" s="2">
        <v>40</v>
      </c>
      <c r="L16305" s="2">
        <v>418</v>
      </c>
    </row>
    <row r="16306" spans="1:12" x14ac:dyDescent="0.25">
      <c r="A16306" s="4" t="str">
        <f>HYPERLINK("http://www.rosaceae.org/Prunus/Prunus_persica/p.persica_gdr_reftransV1_0045824","p.persica_gdr_reftransV1_0045824")</f>
        <v>p.persica_gdr_reftransV1_0045824</v>
      </c>
      <c r="B16306" s="2">
        <v>582</v>
      </c>
      <c r="C16306" s="4" t="str">
        <f>HYPERLINK("http://www.uniprot.org/uniprot/M5WUR9","M5WUR9")</f>
        <v>M5WUR9</v>
      </c>
      <c r="D16306" s="2" t="s">
        <v>12956</v>
      </c>
      <c r="E16306" s="3">
        <v>8.0299999999999996E-62</v>
      </c>
      <c r="F16306" s="2">
        <v>504</v>
      </c>
      <c r="G16306" s="2">
        <v>100</v>
      </c>
      <c r="H16306" s="2">
        <v>95</v>
      </c>
      <c r="I16306" s="2">
        <v>135</v>
      </c>
      <c r="J16306" s="2">
        <v>419</v>
      </c>
      <c r="K16306" s="2">
        <v>1</v>
      </c>
      <c r="L16306" s="2">
        <v>95</v>
      </c>
    </row>
    <row r="16307" spans="1:12" x14ac:dyDescent="0.25">
      <c r="A16307" s="4" t="str">
        <f>HYPERLINK("http://www.rosaceae.org/Prunus/Prunus_persica/p.persica_gdr_reftransV1_0046524","p.persica_gdr_reftransV1_0046524")</f>
        <v>p.persica_gdr_reftransV1_0046524</v>
      </c>
      <c r="B16307" s="2">
        <v>363</v>
      </c>
      <c r="C16307" s="4" t="str">
        <f>HYPERLINK("http://www.uniprot.org/uniprot/M5X6X2","M5X6X2")</f>
        <v>M5X6X2</v>
      </c>
      <c r="D16307" s="2" t="s">
        <v>7087</v>
      </c>
      <c r="E16307" s="3">
        <v>8.0699999999999998E-81</v>
      </c>
      <c r="F16307" s="2">
        <v>664</v>
      </c>
      <c r="G16307" s="2">
        <v>100</v>
      </c>
      <c r="H16307" s="2">
        <v>121</v>
      </c>
      <c r="I16307" s="2">
        <v>1</v>
      </c>
      <c r="J16307" s="2">
        <v>363</v>
      </c>
      <c r="K16307" s="2">
        <v>206</v>
      </c>
      <c r="L16307" s="2">
        <v>326</v>
      </c>
    </row>
    <row r="16308" spans="1:12" x14ac:dyDescent="0.25">
      <c r="A16308" s="4" t="str">
        <f>HYPERLINK("http://www.rosaceae.org/Prunus/Prunus_persica/p.persica_gdr_reftransV1_0046874","p.persica_gdr_reftransV1_0046874")</f>
        <v>p.persica_gdr_reftransV1_0046874</v>
      </c>
      <c r="B16308" s="2">
        <v>1446</v>
      </c>
      <c r="C16308" s="4" t="str">
        <f>HYPERLINK("http://www.uniprot.org/uniprot/M5W735","M5W735")</f>
        <v>M5W735</v>
      </c>
      <c r="D16308" s="2" t="s">
        <v>5919</v>
      </c>
      <c r="E16308" s="3">
        <v>0</v>
      </c>
      <c r="F16308" s="2">
        <v>1360</v>
      </c>
      <c r="G16308" s="2">
        <v>100</v>
      </c>
      <c r="H16308" s="2">
        <v>258</v>
      </c>
      <c r="I16308" s="2">
        <v>288</v>
      </c>
      <c r="J16308" s="2">
        <v>1061</v>
      </c>
      <c r="K16308" s="2">
        <v>234</v>
      </c>
      <c r="L16308" s="2">
        <v>491</v>
      </c>
    </row>
    <row r="16309" spans="1:12" x14ac:dyDescent="0.25">
      <c r="A16309" s="4" t="str">
        <f>HYPERLINK("http://www.rosaceae.org/Prunus/Prunus_persica/p.persica_gdr_reftransV1_0047224","p.persica_gdr_reftransV1_0047224")</f>
        <v>p.persica_gdr_reftransV1_0047224</v>
      </c>
      <c r="B16309" s="2">
        <v>940</v>
      </c>
      <c r="C16309" s="4" t="str">
        <f>HYPERLINK("http://www.uniprot.org/uniprot/M5W2C7","M5W2C7")</f>
        <v>M5W2C7</v>
      </c>
      <c r="D16309" s="2" t="s">
        <v>997</v>
      </c>
      <c r="E16309" s="3">
        <v>1.67E-146</v>
      </c>
      <c r="F16309" s="2">
        <v>1129</v>
      </c>
      <c r="G16309" s="2">
        <v>94</v>
      </c>
      <c r="H16309" s="2">
        <v>227</v>
      </c>
      <c r="I16309" s="2">
        <v>255</v>
      </c>
      <c r="J16309" s="2">
        <v>935</v>
      </c>
      <c r="K16309" s="2">
        <v>439</v>
      </c>
      <c r="L16309" s="2">
        <v>651</v>
      </c>
    </row>
    <row r="16310" spans="1:12" x14ac:dyDescent="0.25">
      <c r="A16310" s="4" t="str">
        <f>HYPERLINK("http://www.rosaceae.org/Prunus/Prunus_persica/p.persica_gdr_reftransV1_0047924","p.persica_gdr_reftransV1_0047924")</f>
        <v>p.persica_gdr_reftransV1_0047924</v>
      </c>
      <c r="B16310" s="2">
        <v>1504</v>
      </c>
      <c r="C16310" s="4" t="str">
        <f>HYPERLINK("http://www.uniprot.org/uniprot/M5X035","M5X035")</f>
        <v>M5X035</v>
      </c>
      <c r="D16310" s="2" t="s">
        <v>8575</v>
      </c>
      <c r="E16310" s="3">
        <v>1.67E-155</v>
      </c>
      <c r="F16310" s="2">
        <v>1186</v>
      </c>
      <c r="G16310" s="2">
        <v>97</v>
      </c>
      <c r="H16310" s="2">
        <v>246</v>
      </c>
      <c r="I16310" s="2">
        <v>674</v>
      </c>
      <c r="J16310" s="2">
        <v>1411</v>
      </c>
      <c r="K16310" s="2">
        <v>1</v>
      </c>
      <c r="L16310" s="2">
        <v>246</v>
      </c>
    </row>
    <row r="16311" spans="1:12" x14ac:dyDescent="0.25">
      <c r="A16311" s="4" t="str">
        <f>HYPERLINK("http://www.rosaceae.org/Prunus/Prunus_persica/p.persica_gdr_reftransV1_0048274","p.persica_gdr_reftransV1_0048274")</f>
        <v>p.persica_gdr_reftransV1_0048274</v>
      </c>
      <c r="B16311" s="2">
        <v>470</v>
      </c>
      <c r="C16311" s="4" t="str">
        <f>HYPERLINK("http://www.uniprot.org/uniprot/M5XV94","M5XV94")</f>
        <v>M5XV94</v>
      </c>
      <c r="D16311" s="2" t="s">
        <v>2996</v>
      </c>
      <c r="E16311" s="3">
        <v>9.8300000000000002E-105</v>
      </c>
      <c r="F16311" s="2">
        <v>825</v>
      </c>
      <c r="G16311" s="2">
        <v>100</v>
      </c>
      <c r="H16311" s="2">
        <v>155</v>
      </c>
      <c r="I16311" s="2">
        <v>2</v>
      </c>
      <c r="J16311" s="2">
        <v>466</v>
      </c>
      <c r="K16311" s="2">
        <v>242</v>
      </c>
      <c r="L16311" s="2">
        <v>396</v>
      </c>
    </row>
    <row r="16312" spans="1:12" x14ac:dyDescent="0.25">
      <c r="A16312" s="4" t="str">
        <f>HYPERLINK("http://www.rosaceae.org/Prunus/Prunus_persica/p.persica_gdr_reftransV1_0048624","p.persica_gdr_reftransV1_0048624")</f>
        <v>p.persica_gdr_reftransV1_0048624</v>
      </c>
      <c r="B16312" s="2">
        <v>827</v>
      </c>
      <c r="C16312" s="4" t="str">
        <f>HYPERLINK("http://www.uniprot.org/uniprot/M5WUV9","M5WUV9")</f>
        <v>M5WUV9</v>
      </c>
      <c r="D16312" s="2" t="s">
        <v>12957</v>
      </c>
      <c r="E16312" s="3">
        <v>2.5200000000000001E-94</v>
      </c>
      <c r="F16312" s="2">
        <v>733</v>
      </c>
      <c r="G16312" s="2">
        <v>93</v>
      </c>
      <c r="H16312" s="2">
        <v>165</v>
      </c>
      <c r="I16312" s="2">
        <v>203</v>
      </c>
      <c r="J16312" s="2">
        <v>697</v>
      </c>
      <c r="K16312" s="2">
        <v>1</v>
      </c>
      <c r="L16312" s="2">
        <v>154</v>
      </c>
    </row>
    <row r="16313" spans="1:12" x14ac:dyDescent="0.25">
      <c r="A16313" s="4" t="str">
        <f>HYPERLINK("http://www.rosaceae.org/Prunus/Prunus_persica/p.persica_gdr_reftransV1_0048974","p.persica_gdr_reftransV1_0048974")</f>
        <v>p.persica_gdr_reftransV1_0048974</v>
      </c>
      <c r="B16313" s="2">
        <v>2530</v>
      </c>
      <c r="C16313" s="4" t="str">
        <f>HYPERLINK("http://www.uniprot.org/uniprot/M5XQJ0","M5XQJ0")</f>
        <v>M5XQJ0</v>
      </c>
      <c r="D16313" s="2" t="s">
        <v>12958</v>
      </c>
      <c r="E16313" s="3">
        <v>0</v>
      </c>
      <c r="F16313" s="2">
        <v>3282</v>
      </c>
      <c r="G16313" s="2">
        <v>98</v>
      </c>
      <c r="H16313" s="2">
        <v>667</v>
      </c>
      <c r="I16313" s="2">
        <v>117</v>
      </c>
      <c r="J16313" s="2">
        <v>2117</v>
      </c>
      <c r="K16313" s="2">
        <v>1</v>
      </c>
      <c r="L16313" s="2">
        <v>667</v>
      </c>
    </row>
    <row r="16314" spans="1:12" x14ac:dyDescent="0.25">
      <c r="A16314" s="4" t="str">
        <f>HYPERLINK("http://www.rosaceae.org/Prunus/Prunus_persica/p.persica_gdr_reftransV1_0000325","p.persica_gdr_reftransV1_0000325")</f>
        <v>p.persica_gdr_reftransV1_0000325</v>
      </c>
      <c r="B16314" s="2">
        <v>855</v>
      </c>
      <c r="C16314" s="4" t="str">
        <f>HYPERLINK("http://www.uniprot.org/uniprot/M5WK31","M5WK31")</f>
        <v>M5WK31</v>
      </c>
      <c r="D16314" s="2" t="s">
        <v>173</v>
      </c>
      <c r="E16314" s="3">
        <v>3.0699999999999999E-109</v>
      </c>
      <c r="F16314" s="2">
        <v>897</v>
      </c>
      <c r="G16314" s="2">
        <v>100</v>
      </c>
      <c r="H16314" s="2">
        <v>180</v>
      </c>
      <c r="I16314" s="2">
        <v>315</v>
      </c>
      <c r="J16314" s="2">
        <v>854</v>
      </c>
      <c r="K16314" s="2">
        <v>12</v>
      </c>
      <c r="L16314" s="2">
        <v>191</v>
      </c>
    </row>
    <row r="16315" spans="1:12" x14ac:dyDescent="0.25">
      <c r="A16315" s="4" t="str">
        <f>HYPERLINK("http://www.rosaceae.org/Prunus/Prunus_persica/p.persica_gdr_reftransV1_0001025","p.persica_gdr_reftransV1_0001025")</f>
        <v>p.persica_gdr_reftransV1_0001025</v>
      </c>
      <c r="B16315" s="2">
        <v>323</v>
      </c>
      <c r="C16315" s="4" t="str">
        <f>HYPERLINK("http://www.uniprot.org/uniprot/M5VSE7","M5VSE7")</f>
        <v>M5VSE7</v>
      </c>
      <c r="D16315" s="2" t="s">
        <v>7703</v>
      </c>
      <c r="E16315" s="3">
        <v>1.0200000000000001E-43</v>
      </c>
      <c r="F16315" s="2">
        <v>412</v>
      </c>
      <c r="G16315" s="2">
        <v>100</v>
      </c>
      <c r="H16315" s="2">
        <v>107</v>
      </c>
      <c r="I16315" s="2">
        <v>3</v>
      </c>
      <c r="J16315" s="2">
        <v>323</v>
      </c>
      <c r="K16315" s="2">
        <v>834</v>
      </c>
      <c r="L16315" s="2">
        <v>940</v>
      </c>
    </row>
    <row r="16316" spans="1:12" x14ac:dyDescent="0.25">
      <c r="A16316" s="4" t="str">
        <f>HYPERLINK("http://www.rosaceae.org/Prunus/Prunus_persica/p.persica_gdr_reftransV1_0001375","p.persica_gdr_reftransV1_0001375")</f>
        <v>p.persica_gdr_reftransV1_0001375</v>
      </c>
      <c r="B16316" s="2">
        <v>538</v>
      </c>
      <c r="C16316" s="4" t="str">
        <f>HYPERLINK("http://www.uniprot.org/uniprot/M5X2R9","M5X2R9")</f>
        <v>M5X2R9</v>
      </c>
      <c r="D16316" s="2" t="s">
        <v>12959</v>
      </c>
      <c r="E16316" s="3">
        <v>2.2200000000000001E-76</v>
      </c>
      <c r="F16316" s="2">
        <v>605</v>
      </c>
      <c r="G16316" s="2">
        <v>100</v>
      </c>
      <c r="H16316" s="2">
        <v>114</v>
      </c>
      <c r="I16316" s="2">
        <v>2</v>
      </c>
      <c r="J16316" s="2">
        <v>343</v>
      </c>
      <c r="K16316" s="2">
        <v>56</v>
      </c>
      <c r="L16316" s="2">
        <v>169</v>
      </c>
    </row>
    <row r="16317" spans="1:12" x14ac:dyDescent="0.25">
      <c r="A16317" s="4" t="str">
        <f>HYPERLINK("http://www.rosaceae.org/Prunus/Prunus_persica/p.persica_gdr_reftransV1_0001725","p.persica_gdr_reftransV1_0001725")</f>
        <v>p.persica_gdr_reftransV1_0001725</v>
      </c>
      <c r="B16317" s="2">
        <v>1550</v>
      </c>
      <c r="C16317" s="4" t="str">
        <f>HYPERLINK("http://www.uniprot.org/uniprot/M5WSH1","M5WSH1")</f>
        <v>M5WSH1</v>
      </c>
      <c r="D16317" s="2" t="s">
        <v>12960</v>
      </c>
      <c r="E16317" s="3">
        <v>0</v>
      </c>
      <c r="F16317" s="2">
        <v>1531</v>
      </c>
      <c r="G16317" s="2">
        <v>82</v>
      </c>
      <c r="H16317" s="2">
        <v>423</v>
      </c>
      <c r="I16317" s="2">
        <v>226</v>
      </c>
      <c r="J16317" s="2">
        <v>1482</v>
      </c>
      <c r="K16317" s="2">
        <v>1</v>
      </c>
      <c r="L16317" s="2">
        <v>423</v>
      </c>
    </row>
    <row r="16318" spans="1:12" x14ac:dyDescent="0.25">
      <c r="A16318" s="4" t="str">
        <f>HYPERLINK("http://www.rosaceae.org/Prunus/Prunus_persica/p.persica_gdr_reftransV1_0002075","p.persica_gdr_reftransV1_0002075")</f>
        <v>p.persica_gdr_reftransV1_0002075</v>
      </c>
      <c r="B16318" s="2">
        <v>409</v>
      </c>
      <c r="C16318" s="4" t="str">
        <f>HYPERLINK("http://www.uniprot.org/uniprot/M5W2Z4","M5W2Z4")</f>
        <v>M5W2Z4</v>
      </c>
      <c r="D16318" s="2" t="s">
        <v>6280</v>
      </c>
      <c r="E16318" s="3">
        <v>9.7500000000000008E-63</v>
      </c>
      <c r="F16318" s="2">
        <v>544</v>
      </c>
      <c r="G16318" s="2">
        <v>100</v>
      </c>
      <c r="H16318" s="2">
        <v>101</v>
      </c>
      <c r="I16318" s="2">
        <v>3</v>
      </c>
      <c r="J16318" s="2">
        <v>305</v>
      </c>
      <c r="K16318" s="2">
        <v>569</v>
      </c>
      <c r="L16318" s="2">
        <v>669</v>
      </c>
    </row>
    <row r="16319" spans="1:12" x14ac:dyDescent="0.25">
      <c r="A16319" s="4" t="str">
        <f>HYPERLINK("http://www.rosaceae.org/Prunus/Prunus_persica/p.persica_gdr_reftransV1_0002425","p.persica_gdr_reftransV1_0002425")</f>
        <v>p.persica_gdr_reftransV1_0002425</v>
      </c>
      <c r="B16319" s="2">
        <v>4082</v>
      </c>
      <c r="C16319" s="4" t="str">
        <f>HYPERLINK("http://www.uniprot.org/uniprot/M5Y6Q3","M5Y6Q3")</f>
        <v>M5Y6Q3</v>
      </c>
      <c r="D16319" s="2" t="s">
        <v>5431</v>
      </c>
      <c r="E16319" s="3">
        <v>0</v>
      </c>
      <c r="F16319" s="2">
        <v>5530</v>
      </c>
      <c r="G16319" s="2">
        <v>95</v>
      </c>
      <c r="H16319" s="2">
        <v>1214</v>
      </c>
      <c r="I16319" s="2">
        <v>500</v>
      </c>
      <c r="J16319" s="2">
        <v>4048</v>
      </c>
      <c r="K16319" s="2">
        <v>131</v>
      </c>
      <c r="L16319" s="2">
        <v>1344</v>
      </c>
    </row>
    <row r="16320" spans="1:12" x14ac:dyDescent="0.25">
      <c r="A16320" s="4" t="str">
        <f>HYPERLINK("http://www.rosaceae.org/Prunus/Prunus_persica/p.persica_gdr_reftransV1_0003475","p.persica_gdr_reftransV1_0003475")</f>
        <v>p.persica_gdr_reftransV1_0003475</v>
      </c>
      <c r="B16320" s="2">
        <v>732</v>
      </c>
      <c r="C16320" s="4" t="str">
        <f>HYPERLINK("http://www.uniprot.org/uniprot/M5XPL7","M5XPL7")</f>
        <v>M5XPL7</v>
      </c>
      <c r="D16320" s="2" t="s">
        <v>12961</v>
      </c>
      <c r="E16320" s="3">
        <v>3.27E-124</v>
      </c>
      <c r="F16320" s="2">
        <v>931</v>
      </c>
      <c r="G16320" s="2">
        <v>100</v>
      </c>
      <c r="H16320" s="2">
        <v>176</v>
      </c>
      <c r="I16320" s="2">
        <v>2</v>
      </c>
      <c r="J16320" s="2">
        <v>529</v>
      </c>
      <c r="K16320" s="2">
        <v>1</v>
      </c>
      <c r="L16320" s="2">
        <v>176</v>
      </c>
    </row>
    <row r="16321" spans="1:12" x14ac:dyDescent="0.25">
      <c r="A16321" s="4" t="str">
        <f>HYPERLINK("http://www.rosaceae.org/Prunus/Prunus_persica/p.persica_gdr_reftransV1_0003825","p.persica_gdr_reftransV1_0003825")</f>
        <v>p.persica_gdr_reftransV1_0003825</v>
      </c>
      <c r="B16321" s="2">
        <v>307</v>
      </c>
      <c r="C16321" s="4" t="str">
        <f>HYPERLINK("http://www.uniprot.org/uniprot/M5WH77","M5WH77")</f>
        <v>M5WH77</v>
      </c>
      <c r="D16321" s="2" t="s">
        <v>6988</v>
      </c>
      <c r="E16321" s="3">
        <v>4.3699999999999997E-19</v>
      </c>
      <c r="F16321" s="2">
        <v>226</v>
      </c>
      <c r="G16321" s="2">
        <v>98</v>
      </c>
      <c r="H16321" s="2">
        <v>45</v>
      </c>
      <c r="I16321" s="2">
        <v>119</v>
      </c>
      <c r="J16321" s="2">
        <v>253</v>
      </c>
      <c r="K16321" s="2">
        <v>710</v>
      </c>
      <c r="L16321" s="2">
        <v>754</v>
      </c>
    </row>
    <row r="16322" spans="1:12" x14ac:dyDescent="0.25">
      <c r="A16322" s="4" t="str">
        <f>HYPERLINK("http://www.rosaceae.org/Prunus/Prunus_persica/p.persica_gdr_reftransV1_0004175","p.persica_gdr_reftransV1_0004175")</f>
        <v>p.persica_gdr_reftransV1_0004175</v>
      </c>
      <c r="B16322" s="2">
        <v>1794</v>
      </c>
      <c r="C16322" s="4" t="str">
        <f>HYPERLINK("http://www.uniprot.org/uniprot/M5X2D2","M5X2D2")</f>
        <v>M5X2D2</v>
      </c>
      <c r="D16322" s="2" t="s">
        <v>12962</v>
      </c>
      <c r="E16322" s="3">
        <v>0</v>
      </c>
      <c r="F16322" s="2">
        <v>1579</v>
      </c>
      <c r="G16322" s="2">
        <v>100</v>
      </c>
      <c r="H16322" s="2">
        <v>293</v>
      </c>
      <c r="I16322" s="2">
        <v>293</v>
      </c>
      <c r="J16322" s="2">
        <v>1171</v>
      </c>
      <c r="K16322" s="2">
        <v>295</v>
      </c>
      <c r="L16322" s="2">
        <v>587</v>
      </c>
    </row>
    <row r="16323" spans="1:12" x14ac:dyDescent="0.25">
      <c r="A16323" s="4" t="str">
        <f>HYPERLINK("http://www.rosaceae.org/Prunus/Prunus_persica/p.persica_gdr_reftransV1_0006275","p.persica_gdr_reftransV1_0006275")</f>
        <v>p.persica_gdr_reftransV1_0006275</v>
      </c>
      <c r="B16323" s="2">
        <v>493</v>
      </c>
      <c r="C16323" s="4" t="str">
        <f>HYPERLINK("http://www.uniprot.org/uniprot/M5X3J8","M5X3J8")</f>
        <v>M5X3J8</v>
      </c>
      <c r="D16323" s="2" t="s">
        <v>4277</v>
      </c>
      <c r="E16323" s="3">
        <v>1.5999999999999999E-111</v>
      </c>
      <c r="F16323" s="2">
        <v>846</v>
      </c>
      <c r="G16323" s="2">
        <v>100</v>
      </c>
      <c r="H16323" s="2">
        <v>156</v>
      </c>
      <c r="I16323" s="2">
        <v>1</v>
      </c>
      <c r="J16323" s="2">
        <v>468</v>
      </c>
      <c r="K16323" s="2">
        <v>1</v>
      </c>
      <c r="L16323" s="2">
        <v>156</v>
      </c>
    </row>
    <row r="16324" spans="1:12" x14ac:dyDescent="0.25">
      <c r="A16324" s="4" t="str">
        <f>HYPERLINK("http://www.rosaceae.org/Prunus/Prunus_persica/p.persica_gdr_reftransV1_0007675","p.persica_gdr_reftransV1_0007675")</f>
        <v>p.persica_gdr_reftransV1_0007675</v>
      </c>
      <c r="B16324" s="2">
        <v>413</v>
      </c>
      <c r="C16324" s="4" t="str">
        <f>HYPERLINK("http://www.uniprot.org/uniprot/M5WWT4","M5WWT4")</f>
        <v>M5WWT4</v>
      </c>
      <c r="D16324" s="2" t="s">
        <v>3245</v>
      </c>
      <c r="E16324" s="3">
        <v>3.9099999999999998E-94</v>
      </c>
      <c r="F16324" s="2">
        <v>737</v>
      </c>
      <c r="G16324" s="2">
        <v>100</v>
      </c>
      <c r="H16324" s="2">
        <v>137</v>
      </c>
      <c r="I16324" s="2">
        <v>3</v>
      </c>
      <c r="J16324" s="2">
        <v>413</v>
      </c>
      <c r="K16324" s="2">
        <v>216</v>
      </c>
      <c r="L16324" s="2">
        <v>352</v>
      </c>
    </row>
    <row r="16325" spans="1:12" x14ac:dyDescent="0.25">
      <c r="A16325" s="4" t="str">
        <f>HYPERLINK("http://www.rosaceae.org/Prunus/Prunus_persica/p.persica_gdr_reftransV1_0008025","p.persica_gdr_reftransV1_0008025")</f>
        <v>p.persica_gdr_reftransV1_0008025</v>
      </c>
      <c r="B16325" s="2">
        <v>1684</v>
      </c>
      <c r="C16325" s="4" t="str">
        <f>HYPERLINK("http://www.uniprot.org/uniprot/M5VQ83","M5VQ83")</f>
        <v>M5VQ83</v>
      </c>
      <c r="D16325" s="2" t="s">
        <v>12963</v>
      </c>
      <c r="E16325" s="3">
        <v>0</v>
      </c>
      <c r="F16325" s="2">
        <v>1359</v>
      </c>
      <c r="G16325" s="2">
        <v>100</v>
      </c>
      <c r="H16325" s="2">
        <v>348</v>
      </c>
      <c r="I16325" s="2">
        <v>418</v>
      </c>
      <c r="J16325" s="2">
        <v>1461</v>
      </c>
      <c r="K16325" s="2">
        <v>2</v>
      </c>
      <c r="L16325" s="2">
        <v>349</v>
      </c>
    </row>
    <row r="16326" spans="1:12" x14ac:dyDescent="0.25">
      <c r="A16326" s="4" t="str">
        <f>HYPERLINK("http://www.rosaceae.org/Prunus/Prunus_persica/p.persica_gdr_reftransV1_0008375","p.persica_gdr_reftransV1_0008375")</f>
        <v>p.persica_gdr_reftransV1_0008375</v>
      </c>
      <c r="B16326" s="2">
        <v>1988</v>
      </c>
      <c r="C16326" s="4" t="str">
        <f>HYPERLINK("http://www.uniprot.org/uniprot/M5XXI2","M5XXI2")</f>
        <v>M5XXI2</v>
      </c>
      <c r="D16326" s="2" t="s">
        <v>12964</v>
      </c>
      <c r="E16326" s="3">
        <v>1.4100000000000001E-28</v>
      </c>
      <c r="F16326" s="2">
        <v>317</v>
      </c>
      <c r="G16326" s="2">
        <v>100</v>
      </c>
      <c r="H16326" s="2">
        <v>129</v>
      </c>
      <c r="I16326" s="2">
        <v>1416</v>
      </c>
      <c r="J16326" s="2">
        <v>1802</v>
      </c>
      <c r="K16326" s="2">
        <v>193</v>
      </c>
      <c r="L16326" s="2">
        <v>321</v>
      </c>
    </row>
    <row r="16327" spans="1:12" x14ac:dyDescent="0.25">
      <c r="A16327" s="4" t="str">
        <f>HYPERLINK("http://www.rosaceae.org/Prunus/Prunus_persica/p.persica_gdr_reftransV1_0009075","p.persica_gdr_reftransV1_0009075")</f>
        <v>p.persica_gdr_reftransV1_0009075</v>
      </c>
      <c r="B16327" s="2">
        <v>698</v>
      </c>
      <c r="C16327" s="4" t="str">
        <f>HYPERLINK("http://www.uniprot.org/uniprot/M5X1N8","M5X1N8")</f>
        <v>M5X1N8</v>
      </c>
      <c r="D16327" s="2" t="s">
        <v>9305</v>
      </c>
      <c r="E16327" s="3">
        <v>3.8099999999999997E-68</v>
      </c>
      <c r="F16327" s="2">
        <v>563</v>
      </c>
      <c r="G16327" s="2">
        <v>100</v>
      </c>
      <c r="H16327" s="2">
        <v>163</v>
      </c>
      <c r="I16327" s="2">
        <v>6</v>
      </c>
      <c r="J16327" s="2">
        <v>494</v>
      </c>
      <c r="K16327" s="2">
        <v>79</v>
      </c>
      <c r="L16327" s="2">
        <v>241</v>
      </c>
    </row>
    <row r="16328" spans="1:12" x14ac:dyDescent="0.25">
      <c r="A16328" s="4" t="str">
        <f>HYPERLINK("http://www.rosaceae.org/Prunus/Prunus_persica/p.persica_gdr_reftransV1_0009425","p.persica_gdr_reftransV1_0009425")</f>
        <v>p.persica_gdr_reftransV1_0009425</v>
      </c>
      <c r="B16328" s="2">
        <v>1078</v>
      </c>
      <c r="C16328" s="4" t="str">
        <f>HYPERLINK("http://www.uniprot.org/uniprot/M5WY40","M5WY40")</f>
        <v>M5WY40</v>
      </c>
      <c r="D16328" s="2" t="s">
        <v>12965</v>
      </c>
      <c r="E16328" s="3">
        <v>4.9999999999999998E-70</v>
      </c>
      <c r="F16328" s="2">
        <v>575</v>
      </c>
      <c r="G16328" s="2">
        <v>100</v>
      </c>
      <c r="H16328" s="2">
        <v>106</v>
      </c>
      <c r="I16328" s="2">
        <v>517</v>
      </c>
      <c r="J16328" s="2">
        <v>834</v>
      </c>
      <c r="K16328" s="2">
        <v>1</v>
      </c>
      <c r="L16328" s="2">
        <v>106</v>
      </c>
    </row>
    <row r="16329" spans="1:12" x14ac:dyDescent="0.25">
      <c r="A16329" s="4" t="str">
        <f>HYPERLINK("http://www.rosaceae.org/Prunus/Prunus_persica/p.persica_gdr_reftransV1_0010125","p.persica_gdr_reftransV1_0010125")</f>
        <v>p.persica_gdr_reftransV1_0010125</v>
      </c>
      <c r="B16329" s="2">
        <v>1803</v>
      </c>
      <c r="C16329" s="4" t="str">
        <f>HYPERLINK("http://www.uniprot.org/uniprot/M5VVK6","M5VVK6")</f>
        <v>M5VVK6</v>
      </c>
      <c r="D16329" s="2" t="s">
        <v>2206</v>
      </c>
      <c r="E16329" s="3">
        <v>0</v>
      </c>
      <c r="F16329" s="2">
        <v>2403</v>
      </c>
      <c r="G16329" s="2">
        <v>99</v>
      </c>
      <c r="H16329" s="2">
        <v>458</v>
      </c>
      <c r="I16329" s="2">
        <v>212</v>
      </c>
      <c r="J16329" s="2">
        <v>1585</v>
      </c>
      <c r="K16329" s="2">
        <v>1</v>
      </c>
      <c r="L16329" s="2">
        <v>458</v>
      </c>
    </row>
    <row r="16330" spans="1:12" x14ac:dyDescent="0.25">
      <c r="A16330" s="4" t="str">
        <f>HYPERLINK("http://www.rosaceae.org/Prunus/Prunus_persica/p.persica_gdr_reftransV1_0010825","p.persica_gdr_reftransV1_0010825")</f>
        <v>p.persica_gdr_reftransV1_0010825</v>
      </c>
      <c r="B16330" s="2">
        <v>1311</v>
      </c>
      <c r="C16330" s="4" t="str">
        <f>HYPERLINK("http://www.uniprot.org/uniprot/M5XHX6","M5XHX6")</f>
        <v>M5XHX6</v>
      </c>
      <c r="D16330" s="2" t="s">
        <v>6325</v>
      </c>
      <c r="E16330" s="3">
        <v>2.0900000000000001E-104</v>
      </c>
      <c r="F16330" s="2">
        <v>823</v>
      </c>
      <c r="G16330" s="2">
        <v>99</v>
      </c>
      <c r="H16330" s="2">
        <v>153</v>
      </c>
      <c r="I16330" s="2">
        <v>580</v>
      </c>
      <c r="J16330" s="2">
        <v>1038</v>
      </c>
      <c r="K16330" s="2">
        <v>71</v>
      </c>
      <c r="L16330" s="2">
        <v>223</v>
      </c>
    </row>
    <row r="16331" spans="1:12" x14ac:dyDescent="0.25">
      <c r="A16331" s="4" t="str">
        <f>HYPERLINK("http://www.rosaceae.org/Prunus/Prunus_persica/p.persica_gdr_reftransV1_0011175","p.persica_gdr_reftransV1_0011175")</f>
        <v>p.persica_gdr_reftransV1_0011175</v>
      </c>
      <c r="B16331" s="2">
        <v>599</v>
      </c>
      <c r="C16331" s="4" t="str">
        <f>HYPERLINK("http://www.uniprot.org/uniprot/M5Y0Y4","M5Y0Y4")</f>
        <v>M5Y0Y4</v>
      </c>
      <c r="D16331" s="2" t="s">
        <v>12966</v>
      </c>
      <c r="E16331" s="3">
        <v>2.3499999999999999E-75</v>
      </c>
      <c r="F16331" s="2">
        <v>596</v>
      </c>
      <c r="G16331" s="2">
        <v>100</v>
      </c>
      <c r="H16331" s="2">
        <v>114</v>
      </c>
      <c r="I16331" s="2">
        <v>257</v>
      </c>
      <c r="J16331" s="2">
        <v>598</v>
      </c>
      <c r="K16331" s="2">
        <v>1</v>
      </c>
      <c r="L16331" s="2">
        <v>114</v>
      </c>
    </row>
    <row r="16332" spans="1:12" x14ac:dyDescent="0.25">
      <c r="A16332" s="4" t="str">
        <f>HYPERLINK("http://www.rosaceae.org/Prunus/Prunus_persica/p.persica_gdr_reftransV1_0011525","p.persica_gdr_reftransV1_0011525")</f>
        <v>p.persica_gdr_reftransV1_0011525</v>
      </c>
      <c r="B16332" s="2">
        <v>1434</v>
      </c>
      <c r="C16332" s="4" t="str">
        <f>HYPERLINK("http://www.uniprot.org/uniprot/M5WNG7","M5WNG7")</f>
        <v>M5WNG7</v>
      </c>
      <c r="D16332" s="2" t="s">
        <v>3738</v>
      </c>
      <c r="E16332" s="3">
        <v>0</v>
      </c>
      <c r="F16332" s="2">
        <v>2085</v>
      </c>
      <c r="G16332" s="2">
        <v>100</v>
      </c>
      <c r="H16332" s="2">
        <v>434</v>
      </c>
      <c r="I16332" s="2">
        <v>3</v>
      </c>
      <c r="J16332" s="2">
        <v>1304</v>
      </c>
      <c r="K16332" s="2">
        <v>238</v>
      </c>
      <c r="L16332" s="2">
        <v>671</v>
      </c>
    </row>
    <row r="16333" spans="1:12" x14ac:dyDescent="0.25">
      <c r="A16333" s="4" t="str">
        <f>HYPERLINK("http://www.rosaceae.org/Prunus/Prunus_persica/p.persica_gdr_reftransV1_0011875","p.persica_gdr_reftransV1_0011875")</f>
        <v>p.persica_gdr_reftransV1_0011875</v>
      </c>
      <c r="B16333" s="2">
        <v>492</v>
      </c>
      <c r="C16333" s="4" t="str">
        <f>HYPERLINK("http://www.uniprot.org/uniprot/M5XQQ2","M5XQQ2")</f>
        <v>M5XQQ2</v>
      </c>
      <c r="D16333" s="2" t="s">
        <v>8464</v>
      </c>
      <c r="E16333" s="3">
        <v>7.5700000000000002E-63</v>
      </c>
      <c r="F16333" s="2">
        <v>559</v>
      </c>
      <c r="G16333" s="2">
        <v>100</v>
      </c>
      <c r="H16333" s="2">
        <v>106</v>
      </c>
      <c r="I16333" s="2">
        <v>3</v>
      </c>
      <c r="J16333" s="2">
        <v>320</v>
      </c>
      <c r="K16333" s="2">
        <v>882</v>
      </c>
      <c r="L16333" s="2">
        <v>987</v>
      </c>
    </row>
    <row r="16334" spans="1:12" x14ac:dyDescent="0.25">
      <c r="A16334" s="4" t="str">
        <f>HYPERLINK("http://www.rosaceae.org/Prunus/Prunus_persica/p.persica_gdr_reftransV1_0012925","p.persica_gdr_reftransV1_0012925")</f>
        <v>p.persica_gdr_reftransV1_0012925</v>
      </c>
      <c r="B16334" s="2">
        <v>970</v>
      </c>
      <c r="C16334" s="4" t="str">
        <f>HYPERLINK("http://www.uniprot.org/uniprot/M5XM44","M5XM44")</f>
        <v>M5XM44</v>
      </c>
      <c r="D16334" s="2" t="s">
        <v>5665</v>
      </c>
      <c r="E16334" s="3">
        <v>3.8799999999999999E-106</v>
      </c>
      <c r="F16334" s="2">
        <v>816</v>
      </c>
      <c r="G16334" s="2">
        <v>100</v>
      </c>
      <c r="H16334" s="2">
        <v>159</v>
      </c>
      <c r="I16334" s="2">
        <v>215</v>
      </c>
      <c r="J16334" s="2">
        <v>691</v>
      </c>
      <c r="K16334" s="2">
        <v>1</v>
      </c>
      <c r="L16334" s="2">
        <v>159</v>
      </c>
    </row>
    <row r="16335" spans="1:12" x14ac:dyDescent="0.25">
      <c r="A16335" s="4" t="str">
        <f>HYPERLINK("http://www.rosaceae.org/Prunus/Prunus_persica/p.persica_gdr_reftransV1_0013275","p.persica_gdr_reftransV1_0013275")</f>
        <v>p.persica_gdr_reftransV1_0013275</v>
      </c>
      <c r="B16335" s="2">
        <v>1041</v>
      </c>
      <c r="C16335" s="4" t="str">
        <f>HYPERLINK("http://www.uniprot.org/uniprot/M5WHE7","M5WHE7")</f>
        <v>M5WHE7</v>
      </c>
      <c r="D16335" s="2" t="s">
        <v>12967</v>
      </c>
      <c r="E16335" s="3">
        <v>0</v>
      </c>
      <c r="F16335" s="2">
        <v>1342</v>
      </c>
      <c r="G16335" s="2">
        <v>100</v>
      </c>
      <c r="H16335" s="2">
        <v>252</v>
      </c>
      <c r="I16335" s="2">
        <v>2</v>
      </c>
      <c r="J16335" s="2">
        <v>757</v>
      </c>
      <c r="K16335" s="2">
        <v>2</v>
      </c>
      <c r="L16335" s="2">
        <v>253</v>
      </c>
    </row>
    <row r="16336" spans="1:12" x14ac:dyDescent="0.25">
      <c r="A16336" s="4" t="str">
        <f>HYPERLINK("http://www.rosaceae.org/Prunus/Prunus_persica/p.persica_gdr_reftransV1_0014675","p.persica_gdr_reftransV1_0014675")</f>
        <v>p.persica_gdr_reftransV1_0014675</v>
      </c>
      <c r="B16336" s="2">
        <v>1913</v>
      </c>
      <c r="C16336" s="4" t="str">
        <f>HYPERLINK("http://www.uniprot.org/uniprot/M5WBH1","M5WBH1")</f>
        <v>M5WBH1</v>
      </c>
      <c r="D16336" s="2" t="s">
        <v>12968</v>
      </c>
      <c r="E16336" s="3">
        <v>0</v>
      </c>
      <c r="F16336" s="2">
        <v>2411</v>
      </c>
      <c r="G16336" s="2">
        <v>100</v>
      </c>
      <c r="H16336" s="2">
        <v>467</v>
      </c>
      <c r="I16336" s="2">
        <v>459</v>
      </c>
      <c r="J16336" s="2">
        <v>1859</v>
      </c>
      <c r="K16336" s="2">
        <v>60</v>
      </c>
      <c r="L16336" s="2">
        <v>526</v>
      </c>
    </row>
    <row r="16337" spans="1:12" x14ac:dyDescent="0.25">
      <c r="A16337" s="4" t="str">
        <f>HYPERLINK("http://www.rosaceae.org/Prunus/Prunus_persica/p.persica_gdr_reftransV1_0015375","p.persica_gdr_reftransV1_0015375")</f>
        <v>p.persica_gdr_reftransV1_0015375</v>
      </c>
      <c r="B16337" s="2">
        <v>2116</v>
      </c>
      <c r="C16337" s="4" t="str">
        <f>HYPERLINK("http://www.uniprot.org/uniprot/M5WRL1","M5WRL1")</f>
        <v>M5WRL1</v>
      </c>
      <c r="D16337" s="2" t="s">
        <v>12969</v>
      </c>
      <c r="E16337" s="3">
        <v>0</v>
      </c>
      <c r="F16337" s="2">
        <v>2700</v>
      </c>
      <c r="G16337" s="2">
        <v>99</v>
      </c>
      <c r="H16337" s="2">
        <v>588</v>
      </c>
      <c r="I16337" s="2">
        <v>300</v>
      </c>
      <c r="J16337" s="2">
        <v>2063</v>
      </c>
      <c r="K16337" s="2">
        <v>1</v>
      </c>
      <c r="L16337" s="2">
        <v>588</v>
      </c>
    </row>
    <row r="16338" spans="1:12" x14ac:dyDescent="0.25">
      <c r="A16338" s="4" t="str">
        <f>HYPERLINK("http://www.rosaceae.org/Prunus/Prunus_persica/p.persica_gdr_reftransV1_0016775","p.persica_gdr_reftransV1_0016775")</f>
        <v>p.persica_gdr_reftransV1_0016775</v>
      </c>
      <c r="B16338" s="2">
        <v>3080</v>
      </c>
      <c r="C16338" s="4" t="str">
        <f>HYPERLINK("http://www.uniprot.org/uniprot/M5WE30","M5WE30")</f>
        <v>M5WE30</v>
      </c>
      <c r="D16338" s="2" t="s">
        <v>12970</v>
      </c>
      <c r="E16338" s="3">
        <v>0</v>
      </c>
      <c r="F16338" s="2">
        <v>4499</v>
      </c>
      <c r="G16338" s="2">
        <v>100</v>
      </c>
      <c r="H16338" s="2">
        <v>875</v>
      </c>
      <c r="I16338" s="2">
        <v>247</v>
      </c>
      <c r="J16338" s="2">
        <v>2871</v>
      </c>
      <c r="K16338" s="2">
        <v>1</v>
      </c>
      <c r="L16338" s="2">
        <v>875</v>
      </c>
    </row>
    <row r="16339" spans="1:12" x14ac:dyDescent="0.25">
      <c r="A16339" s="4" t="str">
        <f>HYPERLINK("http://www.rosaceae.org/Prunus/Prunus_persica/p.persica_gdr_reftransV1_0017125","p.persica_gdr_reftransV1_0017125")</f>
        <v>p.persica_gdr_reftransV1_0017125</v>
      </c>
      <c r="B16339" s="2">
        <v>1335</v>
      </c>
      <c r="C16339" s="4" t="str">
        <f>HYPERLINK("http://www.uniprot.org/uniprot/M5X621","M5X621")</f>
        <v>M5X621</v>
      </c>
      <c r="D16339" s="2" t="s">
        <v>12971</v>
      </c>
      <c r="E16339" s="3">
        <v>0</v>
      </c>
      <c r="F16339" s="2">
        <v>1449</v>
      </c>
      <c r="G16339" s="2">
        <v>100</v>
      </c>
      <c r="H16339" s="2">
        <v>286</v>
      </c>
      <c r="I16339" s="2">
        <v>413</v>
      </c>
      <c r="J16339" s="2">
        <v>1270</v>
      </c>
      <c r="K16339" s="2">
        <v>1</v>
      </c>
      <c r="L16339" s="2">
        <v>286</v>
      </c>
    </row>
    <row r="16340" spans="1:12" x14ac:dyDescent="0.25">
      <c r="A16340" s="4" t="str">
        <f>HYPERLINK("http://www.rosaceae.org/Prunus/Prunus_persica/p.persica_gdr_reftransV1_0018525","p.persica_gdr_reftransV1_0018525")</f>
        <v>p.persica_gdr_reftransV1_0018525</v>
      </c>
      <c r="B16340" s="2">
        <v>1955</v>
      </c>
      <c r="C16340" s="4" t="str">
        <f>HYPERLINK("http://www.uniprot.org/uniprot/M5WUB9","M5WUB9")</f>
        <v>M5WUB9</v>
      </c>
      <c r="D16340" s="2" t="s">
        <v>12972</v>
      </c>
      <c r="E16340" s="3">
        <v>4.6800000000000003E-176</v>
      </c>
      <c r="F16340" s="2">
        <v>1081</v>
      </c>
      <c r="G16340" s="2">
        <v>100</v>
      </c>
      <c r="H16340" s="2">
        <v>235</v>
      </c>
      <c r="I16340" s="2">
        <v>980</v>
      </c>
      <c r="J16340" s="2">
        <v>1684</v>
      </c>
      <c r="K16340" s="2">
        <v>1</v>
      </c>
      <c r="L16340" s="2">
        <v>235</v>
      </c>
    </row>
    <row r="16341" spans="1:12" x14ac:dyDescent="0.25">
      <c r="A16341" s="4" t="str">
        <f>HYPERLINK("http://www.rosaceae.org/Prunus/Prunus_persica/p.persica_gdr_reftransV1_0019225","p.persica_gdr_reftransV1_0019225")</f>
        <v>p.persica_gdr_reftransV1_0019225</v>
      </c>
      <c r="B16341" s="2">
        <v>2522</v>
      </c>
      <c r="C16341" s="4" t="str">
        <f>HYPERLINK("http://www.uniprot.org/uniprot/M5VWQ4","M5VWQ4")</f>
        <v>M5VWQ4</v>
      </c>
      <c r="D16341" s="2" t="s">
        <v>288</v>
      </c>
      <c r="E16341" s="3">
        <v>0</v>
      </c>
      <c r="F16341" s="2">
        <v>3506</v>
      </c>
      <c r="G16341" s="2">
        <v>100</v>
      </c>
      <c r="H16341" s="2">
        <v>784</v>
      </c>
      <c r="I16341" s="2">
        <v>3</v>
      </c>
      <c r="J16341" s="2">
        <v>2354</v>
      </c>
      <c r="K16341" s="2">
        <v>660</v>
      </c>
      <c r="L16341" s="2">
        <v>1443</v>
      </c>
    </row>
    <row r="16342" spans="1:12" x14ac:dyDescent="0.25">
      <c r="A16342" s="4" t="str">
        <f>HYPERLINK("http://www.rosaceae.org/Prunus/Prunus_persica/p.persica_gdr_reftransV1_0020625","p.persica_gdr_reftransV1_0020625")</f>
        <v>p.persica_gdr_reftransV1_0020625</v>
      </c>
      <c r="B16342" s="2">
        <v>1840</v>
      </c>
      <c r="C16342" s="4" t="str">
        <f>HYPERLINK("http://www.uniprot.org/uniprot/M5X0C1","M5X0C1")</f>
        <v>M5X0C1</v>
      </c>
      <c r="D16342" s="2" t="s">
        <v>12973</v>
      </c>
      <c r="E16342" s="3">
        <v>0</v>
      </c>
      <c r="F16342" s="2">
        <v>1441</v>
      </c>
      <c r="G16342" s="2">
        <v>93</v>
      </c>
      <c r="H16342" s="2">
        <v>388</v>
      </c>
      <c r="I16342" s="2">
        <v>297</v>
      </c>
      <c r="J16342" s="2">
        <v>1460</v>
      </c>
      <c r="K16342" s="2">
        <v>1</v>
      </c>
      <c r="L16342" s="2">
        <v>362</v>
      </c>
    </row>
    <row r="16343" spans="1:12" x14ac:dyDescent="0.25">
      <c r="A16343" s="4" t="str">
        <f>HYPERLINK("http://www.rosaceae.org/Prunus/Prunus_persica/p.persica_gdr_reftransV1_0021325","p.persica_gdr_reftransV1_0021325")</f>
        <v>p.persica_gdr_reftransV1_0021325</v>
      </c>
      <c r="B16343" s="2">
        <v>4308</v>
      </c>
      <c r="C16343" s="4" t="str">
        <f>HYPERLINK("http://www.uniprot.org/uniprot/M5VWP3","M5VWP3")</f>
        <v>M5VWP3</v>
      </c>
      <c r="D16343" s="2" t="s">
        <v>12974</v>
      </c>
      <c r="E16343" s="3">
        <v>0</v>
      </c>
      <c r="F16343" s="2">
        <v>4447</v>
      </c>
      <c r="G16343" s="2">
        <v>100</v>
      </c>
      <c r="H16343" s="2">
        <v>859</v>
      </c>
      <c r="I16343" s="2">
        <v>140</v>
      </c>
      <c r="J16343" s="2">
        <v>2716</v>
      </c>
      <c r="K16343" s="2">
        <v>1</v>
      </c>
      <c r="L16343" s="2">
        <v>859</v>
      </c>
    </row>
    <row r="16344" spans="1:12" x14ac:dyDescent="0.25">
      <c r="A16344" s="4" t="str">
        <f>HYPERLINK("http://www.rosaceae.org/Prunus/Prunus_persica/p.persica_gdr_reftransV1_0021675","p.persica_gdr_reftransV1_0021675")</f>
        <v>p.persica_gdr_reftransV1_0021675</v>
      </c>
      <c r="B16344" s="2">
        <v>695</v>
      </c>
      <c r="C16344" s="4" t="str">
        <f>HYPERLINK("http://www.uniprot.org/uniprot/M5XHR3","M5XHR3")</f>
        <v>M5XHR3</v>
      </c>
      <c r="D16344" s="2" t="s">
        <v>12975</v>
      </c>
      <c r="E16344" s="3">
        <v>7.2099999999999997E-143</v>
      </c>
      <c r="F16344" s="2">
        <v>1091</v>
      </c>
      <c r="G16344" s="2">
        <v>100</v>
      </c>
      <c r="H16344" s="2">
        <v>231</v>
      </c>
      <c r="I16344" s="2">
        <v>1</v>
      </c>
      <c r="J16344" s="2">
        <v>693</v>
      </c>
      <c r="K16344" s="2">
        <v>2</v>
      </c>
      <c r="L16344" s="2">
        <v>232</v>
      </c>
    </row>
    <row r="16345" spans="1:12" x14ac:dyDescent="0.25">
      <c r="A16345" s="4" t="str">
        <f>HYPERLINK("http://www.rosaceae.org/Prunus/Prunus_persica/p.persica_gdr_reftransV1_0022375","p.persica_gdr_reftransV1_0022375")</f>
        <v>p.persica_gdr_reftransV1_0022375</v>
      </c>
      <c r="B16345" s="2">
        <v>2317</v>
      </c>
      <c r="C16345" s="4" t="str">
        <f>HYPERLINK("http://www.uniprot.org/uniprot/M5VGC3","M5VGC3")</f>
        <v>M5VGC3</v>
      </c>
      <c r="D16345" s="2" t="s">
        <v>1206</v>
      </c>
      <c r="E16345" s="3">
        <v>0</v>
      </c>
      <c r="F16345" s="2">
        <v>2294</v>
      </c>
      <c r="G16345" s="2">
        <v>100</v>
      </c>
      <c r="H16345" s="2">
        <v>529</v>
      </c>
      <c r="I16345" s="2">
        <v>597</v>
      </c>
      <c r="J16345" s="2">
        <v>2183</v>
      </c>
      <c r="K16345" s="2">
        <v>1</v>
      </c>
      <c r="L16345" s="2">
        <v>529</v>
      </c>
    </row>
    <row r="16346" spans="1:12" x14ac:dyDescent="0.25">
      <c r="A16346" s="4" t="str">
        <f>HYPERLINK("http://www.rosaceae.org/Prunus/Prunus_persica/p.persica_gdr_reftransV1_0023075","p.persica_gdr_reftransV1_0023075")</f>
        <v>p.persica_gdr_reftransV1_0023075</v>
      </c>
      <c r="B16346" s="2">
        <v>641</v>
      </c>
      <c r="C16346" s="4" t="str">
        <f>HYPERLINK("http://www.uniprot.org/uniprot/M5WX11","M5WX11")</f>
        <v>M5WX11</v>
      </c>
      <c r="D16346" s="2" t="s">
        <v>12976</v>
      </c>
      <c r="E16346" s="3">
        <v>4.3500000000000002E-139</v>
      </c>
      <c r="F16346" s="2">
        <v>1126</v>
      </c>
      <c r="G16346" s="2">
        <v>100</v>
      </c>
      <c r="H16346" s="2">
        <v>213</v>
      </c>
      <c r="I16346" s="2">
        <v>1</v>
      </c>
      <c r="J16346" s="2">
        <v>639</v>
      </c>
      <c r="K16346" s="2">
        <v>2</v>
      </c>
      <c r="L16346" s="2">
        <v>214</v>
      </c>
    </row>
    <row r="16347" spans="1:12" x14ac:dyDescent="0.25">
      <c r="A16347" s="4" t="str">
        <f>HYPERLINK("http://www.rosaceae.org/Prunus/Prunus_persica/p.persica_gdr_reftransV1_0023425","p.persica_gdr_reftransV1_0023425")</f>
        <v>p.persica_gdr_reftransV1_0023425</v>
      </c>
      <c r="B16347" s="2">
        <v>1000</v>
      </c>
      <c r="C16347" s="4" t="str">
        <f>HYPERLINK("http://www.uniprot.org/uniprot/M5XGY0","M5XGY0")</f>
        <v>M5XGY0</v>
      </c>
      <c r="D16347" s="2" t="s">
        <v>12977</v>
      </c>
      <c r="E16347" s="3">
        <v>0</v>
      </c>
      <c r="F16347" s="2">
        <v>1504</v>
      </c>
      <c r="G16347" s="2">
        <v>100</v>
      </c>
      <c r="H16347" s="2">
        <v>313</v>
      </c>
      <c r="I16347" s="2">
        <v>60</v>
      </c>
      <c r="J16347" s="2">
        <v>998</v>
      </c>
      <c r="K16347" s="2">
        <v>7</v>
      </c>
      <c r="L16347" s="2">
        <v>319</v>
      </c>
    </row>
    <row r="16348" spans="1:12" x14ac:dyDescent="0.25">
      <c r="A16348" s="4" t="str">
        <f>HYPERLINK("http://www.rosaceae.org/Prunus/Prunus_persica/p.persica_gdr_reftransV1_0023775","p.persica_gdr_reftransV1_0023775")</f>
        <v>p.persica_gdr_reftransV1_0023775</v>
      </c>
      <c r="B16348" s="2">
        <v>1971</v>
      </c>
      <c r="C16348" s="4" t="str">
        <f>HYPERLINK("http://www.uniprot.org/uniprot/M5XQ50","M5XQ50")</f>
        <v>M5XQ50</v>
      </c>
      <c r="D16348" s="2" t="s">
        <v>5348</v>
      </c>
      <c r="E16348" s="3">
        <v>0</v>
      </c>
      <c r="F16348" s="2">
        <v>1145</v>
      </c>
      <c r="G16348" s="2">
        <v>100</v>
      </c>
      <c r="H16348" s="2">
        <v>235</v>
      </c>
      <c r="I16348" s="2">
        <v>267</v>
      </c>
      <c r="J16348" s="2">
        <v>971</v>
      </c>
      <c r="K16348" s="2">
        <v>335</v>
      </c>
      <c r="L16348" s="2">
        <v>569</v>
      </c>
    </row>
    <row r="16349" spans="1:12" x14ac:dyDescent="0.25">
      <c r="A16349" s="4" t="str">
        <f>HYPERLINK("http://www.rosaceae.org/Prunus/Prunus_persica/p.persica_gdr_reftransV1_0024475","p.persica_gdr_reftransV1_0024475")</f>
        <v>p.persica_gdr_reftransV1_0024475</v>
      </c>
      <c r="B16349" s="2">
        <v>2108</v>
      </c>
      <c r="C16349" s="4" t="str">
        <f>HYPERLINK("http://www.uniprot.org/uniprot/M5XQ02","M5XQ02")</f>
        <v>M5XQ02</v>
      </c>
      <c r="D16349" s="2" t="s">
        <v>994</v>
      </c>
      <c r="E16349" s="3">
        <v>9.7799999999999999E-179</v>
      </c>
      <c r="F16349" s="2">
        <v>1352</v>
      </c>
      <c r="G16349" s="2">
        <v>99</v>
      </c>
      <c r="H16349" s="2">
        <v>276</v>
      </c>
      <c r="I16349" s="2">
        <v>617</v>
      </c>
      <c r="J16349" s="2">
        <v>1444</v>
      </c>
      <c r="K16349" s="2">
        <v>60</v>
      </c>
      <c r="L16349" s="2">
        <v>335</v>
      </c>
    </row>
    <row r="16350" spans="1:12" x14ac:dyDescent="0.25">
      <c r="A16350" s="4" t="str">
        <f>HYPERLINK("http://www.rosaceae.org/Prunus/Prunus_persica/p.persica_gdr_reftransV1_0025525","p.persica_gdr_reftransV1_0025525")</f>
        <v>p.persica_gdr_reftransV1_0025525</v>
      </c>
      <c r="B16350" s="2">
        <v>878</v>
      </c>
      <c r="C16350" s="4" t="str">
        <f>HYPERLINK("http://www.uniprot.org/uniprot/M5Y6W3","M5Y6W3")</f>
        <v>M5Y6W3</v>
      </c>
      <c r="D16350" s="2" t="s">
        <v>12978</v>
      </c>
      <c r="E16350" s="3">
        <v>9.1600000000000001E-135</v>
      </c>
      <c r="F16350" s="2">
        <v>1008</v>
      </c>
      <c r="G16350" s="2">
        <v>100</v>
      </c>
      <c r="H16350" s="2">
        <v>207</v>
      </c>
      <c r="I16350" s="2">
        <v>257</v>
      </c>
      <c r="J16350" s="2">
        <v>877</v>
      </c>
      <c r="K16350" s="2">
        <v>20</v>
      </c>
      <c r="L16350" s="2">
        <v>226</v>
      </c>
    </row>
    <row r="16351" spans="1:12" x14ac:dyDescent="0.25">
      <c r="A16351" s="4" t="str">
        <f>HYPERLINK("http://www.rosaceae.org/Prunus/Prunus_persica/p.persica_gdr_reftransV1_0025875","p.persica_gdr_reftransV1_0025875")</f>
        <v>p.persica_gdr_reftransV1_0025875</v>
      </c>
      <c r="B16351" s="2">
        <v>3131</v>
      </c>
      <c r="C16351" s="4" t="str">
        <f>HYPERLINK("http://www.uniprot.org/uniprot/M5WZ93","M5WZ93")</f>
        <v>M5WZ93</v>
      </c>
      <c r="D16351" s="2" t="s">
        <v>12979</v>
      </c>
      <c r="E16351" s="3">
        <v>0</v>
      </c>
      <c r="F16351" s="2">
        <v>2322</v>
      </c>
      <c r="G16351" s="2">
        <v>100</v>
      </c>
      <c r="H16351" s="2">
        <v>448</v>
      </c>
      <c r="I16351" s="2">
        <v>1724</v>
      </c>
      <c r="J16351" s="2">
        <v>3067</v>
      </c>
      <c r="K16351" s="2">
        <v>1</v>
      </c>
      <c r="L16351" s="2">
        <v>448</v>
      </c>
    </row>
    <row r="16352" spans="1:12" x14ac:dyDescent="0.25">
      <c r="A16352" s="4" t="str">
        <f>HYPERLINK("http://www.rosaceae.org/Prunus/Prunus_persica/p.persica_gdr_reftransV1_0027275","p.persica_gdr_reftransV1_0027275")</f>
        <v>p.persica_gdr_reftransV1_0027275</v>
      </c>
      <c r="B16352" s="2">
        <v>1834</v>
      </c>
      <c r="C16352" s="4" t="str">
        <f>HYPERLINK("http://www.uniprot.org/uniprot/M5WJ72","M5WJ72")</f>
        <v>M5WJ72</v>
      </c>
      <c r="D16352" s="2" t="s">
        <v>12980</v>
      </c>
      <c r="E16352" s="3">
        <v>3.15E-85</v>
      </c>
      <c r="F16352" s="2">
        <v>704</v>
      </c>
      <c r="G16352" s="2">
        <v>100</v>
      </c>
      <c r="H16352" s="2">
        <v>148</v>
      </c>
      <c r="I16352" s="2">
        <v>318</v>
      </c>
      <c r="J16352" s="2">
        <v>761</v>
      </c>
      <c r="K16352" s="2">
        <v>1</v>
      </c>
      <c r="L16352" s="2">
        <v>148</v>
      </c>
    </row>
    <row r="16353" spans="1:12" x14ac:dyDescent="0.25">
      <c r="A16353" s="4" t="str">
        <f>HYPERLINK("http://www.rosaceae.org/Prunus/Prunus_persica/p.persica_gdr_reftransV1_0027625","p.persica_gdr_reftransV1_0027625")</f>
        <v>p.persica_gdr_reftransV1_0027625</v>
      </c>
      <c r="B16353" s="2">
        <v>711</v>
      </c>
      <c r="C16353" s="4" t="str">
        <f>HYPERLINK("http://www.uniprot.org/uniprot/M5WIJ6","M5WIJ6")</f>
        <v>M5WIJ6</v>
      </c>
      <c r="D16353" s="2" t="s">
        <v>555</v>
      </c>
      <c r="E16353" s="3">
        <v>1.8299999999999999E-63</v>
      </c>
      <c r="F16353" s="2">
        <v>520</v>
      </c>
      <c r="G16353" s="2">
        <v>99</v>
      </c>
      <c r="H16353" s="2">
        <v>104</v>
      </c>
      <c r="I16353" s="2">
        <v>233</v>
      </c>
      <c r="J16353" s="2">
        <v>544</v>
      </c>
      <c r="K16353" s="2">
        <v>1</v>
      </c>
      <c r="L16353" s="2">
        <v>104</v>
      </c>
    </row>
    <row r="16354" spans="1:12" x14ac:dyDescent="0.25">
      <c r="A16354" s="4" t="str">
        <f>HYPERLINK("http://www.rosaceae.org/Prunus/Prunus_persica/p.persica_gdr_reftransV1_0028675","p.persica_gdr_reftransV1_0028675")</f>
        <v>p.persica_gdr_reftransV1_0028675</v>
      </c>
      <c r="B16354" s="2">
        <v>2167</v>
      </c>
      <c r="C16354" s="4" t="str">
        <f>HYPERLINK("http://www.uniprot.org/uniprot/M5WUN9","M5WUN9")</f>
        <v>M5WUN9</v>
      </c>
      <c r="D16354" s="2" t="s">
        <v>12981</v>
      </c>
      <c r="E16354" s="3">
        <v>0</v>
      </c>
      <c r="F16354" s="2">
        <v>1465</v>
      </c>
      <c r="G16354" s="2">
        <v>100</v>
      </c>
      <c r="H16354" s="2">
        <v>345</v>
      </c>
      <c r="I16354" s="2">
        <v>776</v>
      </c>
      <c r="J16354" s="2">
        <v>1810</v>
      </c>
      <c r="K16354" s="2">
        <v>1</v>
      </c>
      <c r="L16354" s="2">
        <v>345</v>
      </c>
    </row>
    <row r="16355" spans="1:12" x14ac:dyDescent="0.25">
      <c r="A16355" s="4" t="str">
        <f>HYPERLINK("http://www.rosaceae.org/Prunus/Prunus_persica/p.persica_gdr_reftransV1_0029025","p.persica_gdr_reftransV1_0029025")</f>
        <v>p.persica_gdr_reftransV1_0029025</v>
      </c>
      <c r="B16355" s="2">
        <v>2850</v>
      </c>
      <c r="C16355" s="4" t="str">
        <f>HYPERLINK("http://www.uniprot.org/uniprot/M5WJX8","M5WJX8")</f>
        <v>M5WJX8</v>
      </c>
      <c r="D16355" s="2" t="s">
        <v>12982</v>
      </c>
      <c r="E16355" s="3">
        <v>0</v>
      </c>
      <c r="F16355" s="2">
        <v>3344</v>
      </c>
      <c r="G16355" s="2">
        <v>100</v>
      </c>
      <c r="H16355" s="2">
        <v>670</v>
      </c>
      <c r="I16355" s="2">
        <v>665</v>
      </c>
      <c r="J16355" s="2">
        <v>2674</v>
      </c>
      <c r="K16355" s="2">
        <v>1</v>
      </c>
      <c r="L16355" s="2">
        <v>670</v>
      </c>
    </row>
    <row r="16356" spans="1:12" x14ac:dyDescent="0.25">
      <c r="A16356" s="4" t="str">
        <f>HYPERLINK("http://www.rosaceae.org/Prunus/Prunus_persica/p.persica_gdr_reftransV1_0031475","p.persica_gdr_reftransV1_0031475")</f>
        <v>p.persica_gdr_reftransV1_0031475</v>
      </c>
      <c r="B16356" s="2">
        <v>2450</v>
      </c>
      <c r="C16356" s="4" t="str">
        <f>HYPERLINK("http://www.uniprot.org/uniprot/M5VZN8","M5VZN8")</f>
        <v>M5VZN8</v>
      </c>
      <c r="D16356" s="2" t="s">
        <v>12983</v>
      </c>
      <c r="E16356" s="3">
        <v>1.81E-174</v>
      </c>
      <c r="F16356" s="2">
        <v>1337</v>
      </c>
      <c r="G16356" s="2">
        <v>100</v>
      </c>
      <c r="H16356" s="2">
        <v>299</v>
      </c>
      <c r="I16356" s="2">
        <v>1462</v>
      </c>
      <c r="J16356" s="2">
        <v>2358</v>
      </c>
      <c r="K16356" s="2">
        <v>1</v>
      </c>
      <c r="L16356" s="2">
        <v>299</v>
      </c>
    </row>
    <row r="16357" spans="1:12" x14ac:dyDescent="0.25">
      <c r="A16357" s="4" t="str">
        <f>HYPERLINK("http://www.rosaceae.org/Prunus/Prunus_persica/p.persica_gdr_reftransV1_0032175","p.persica_gdr_reftransV1_0032175")</f>
        <v>p.persica_gdr_reftransV1_0032175</v>
      </c>
      <c r="B16357" s="2">
        <v>2040</v>
      </c>
      <c r="C16357" s="4" t="str">
        <f>HYPERLINK("http://www.uniprot.org/uniprot/M5XFE6","M5XFE6")</f>
        <v>M5XFE6</v>
      </c>
      <c r="D16357" s="2" t="s">
        <v>12984</v>
      </c>
      <c r="E16357" s="3">
        <v>0</v>
      </c>
      <c r="F16357" s="2">
        <v>2516</v>
      </c>
      <c r="G16357" s="2">
        <v>100</v>
      </c>
      <c r="H16357" s="2">
        <v>503</v>
      </c>
      <c r="I16357" s="2">
        <v>173</v>
      </c>
      <c r="J16357" s="2">
        <v>1681</v>
      </c>
      <c r="K16357" s="2">
        <v>1</v>
      </c>
      <c r="L16357" s="2">
        <v>503</v>
      </c>
    </row>
    <row r="16358" spans="1:12" x14ac:dyDescent="0.25">
      <c r="A16358" s="4" t="str">
        <f>HYPERLINK("http://www.rosaceae.org/Prunus/Prunus_persica/p.persica_gdr_reftransV1_0034625","p.persica_gdr_reftransV1_0034625")</f>
        <v>p.persica_gdr_reftransV1_0034625</v>
      </c>
      <c r="B16358" s="2">
        <v>4438</v>
      </c>
      <c r="C16358" s="4" t="str">
        <f>HYPERLINK("http://www.uniprot.org/uniprot/M5WX46","M5WX46")</f>
        <v>M5WX46</v>
      </c>
      <c r="D16358" s="2" t="s">
        <v>12985</v>
      </c>
      <c r="E16358" s="3">
        <v>0</v>
      </c>
      <c r="F16358" s="2">
        <v>3338</v>
      </c>
      <c r="G16358" s="2">
        <v>100</v>
      </c>
      <c r="H16358" s="2">
        <v>678</v>
      </c>
      <c r="I16358" s="2">
        <v>1181</v>
      </c>
      <c r="J16358" s="2">
        <v>3214</v>
      </c>
      <c r="K16358" s="2">
        <v>1</v>
      </c>
      <c r="L16358" s="2">
        <v>678</v>
      </c>
    </row>
    <row r="16359" spans="1:12" x14ac:dyDescent="0.25">
      <c r="A16359" s="4" t="str">
        <f>HYPERLINK("http://www.rosaceae.org/Prunus/Prunus_persica/p.persica_gdr_reftransV1_0035325","p.persica_gdr_reftransV1_0035325")</f>
        <v>p.persica_gdr_reftransV1_0035325</v>
      </c>
      <c r="B16359" s="2">
        <v>3538</v>
      </c>
      <c r="C16359" s="4" t="str">
        <f>HYPERLINK("http://www.uniprot.org/uniprot/M5X076","M5X076")</f>
        <v>M5X076</v>
      </c>
      <c r="D16359" s="2" t="s">
        <v>12986</v>
      </c>
      <c r="E16359" s="3">
        <v>0</v>
      </c>
      <c r="F16359" s="2">
        <v>4810</v>
      </c>
      <c r="G16359" s="2">
        <v>100</v>
      </c>
      <c r="H16359" s="2">
        <v>962</v>
      </c>
      <c r="I16359" s="2">
        <v>128</v>
      </c>
      <c r="J16359" s="2">
        <v>3013</v>
      </c>
      <c r="K16359" s="2">
        <v>1</v>
      </c>
      <c r="L16359" s="2">
        <v>962</v>
      </c>
    </row>
    <row r="16360" spans="1:12" x14ac:dyDescent="0.25">
      <c r="A16360" s="4" t="str">
        <f>HYPERLINK("http://www.rosaceae.org/Prunus/Prunus_persica/p.persica_gdr_reftransV1_0037075","p.persica_gdr_reftransV1_0037075")</f>
        <v>p.persica_gdr_reftransV1_0037075</v>
      </c>
      <c r="B16360" s="2">
        <v>2874</v>
      </c>
      <c r="C16360" s="4" t="str">
        <f>HYPERLINK("http://www.uniprot.org/uniprot/M5XCZ7","M5XCZ7")</f>
        <v>M5XCZ7</v>
      </c>
      <c r="D16360" s="2" t="s">
        <v>12987</v>
      </c>
      <c r="E16360" s="3">
        <v>1.64E-152</v>
      </c>
      <c r="F16360" s="2">
        <v>1202</v>
      </c>
      <c r="G16360" s="2">
        <v>98</v>
      </c>
      <c r="H16360" s="2">
        <v>251</v>
      </c>
      <c r="I16360" s="2">
        <v>155</v>
      </c>
      <c r="J16360" s="2">
        <v>907</v>
      </c>
      <c r="K16360" s="2">
        <v>1</v>
      </c>
      <c r="L16360" s="2">
        <v>251</v>
      </c>
    </row>
    <row r="16361" spans="1:12" x14ac:dyDescent="0.25">
      <c r="A16361" s="4" t="str">
        <f>HYPERLINK("http://www.rosaceae.org/Prunus/Prunus_persica/p.persica_gdr_reftransV1_0037775","p.persica_gdr_reftransV1_0037775")</f>
        <v>p.persica_gdr_reftransV1_0037775</v>
      </c>
      <c r="B16361" s="2">
        <v>2539</v>
      </c>
      <c r="C16361" s="4" t="str">
        <f>HYPERLINK("http://www.uniprot.org/uniprot/M5X5Z4","M5X5Z4")</f>
        <v>M5X5Z4</v>
      </c>
      <c r="D16361" s="2" t="s">
        <v>12988</v>
      </c>
      <c r="E16361" s="3">
        <v>0</v>
      </c>
      <c r="F16361" s="2">
        <v>3907</v>
      </c>
      <c r="G16361" s="2">
        <v>99</v>
      </c>
      <c r="H16361" s="2">
        <v>743</v>
      </c>
      <c r="I16361" s="2">
        <v>56</v>
      </c>
      <c r="J16361" s="2">
        <v>2284</v>
      </c>
      <c r="K16361" s="2">
        <v>5</v>
      </c>
      <c r="L16361" s="2">
        <v>747</v>
      </c>
    </row>
    <row r="16362" spans="1:12" x14ac:dyDescent="0.25">
      <c r="A16362" s="4" t="str">
        <f>HYPERLINK("http://www.rosaceae.org/Prunus/Prunus_persica/p.persica_gdr_reftransV1_0038825","p.persica_gdr_reftransV1_0038825")</f>
        <v>p.persica_gdr_reftransV1_0038825</v>
      </c>
      <c r="B16362" s="2">
        <v>1786</v>
      </c>
      <c r="C16362" s="4" t="str">
        <f>HYPERLINK("http://www.uniprot.org/uniprot/M5XJG4","M5XJG4")</f>
        <v>M5XJG4</v>
      </c>
      <c r="D16362" s="2" t="s">
        <v>12989</v>
      </c>
      <c r="E16362" s="3">
        <v>0</v>
      </c>
      <c r="F16362" s="2">
        <v>1903</v>
      </c>
      <c r="G16362" s="2">
        <v>100</v>
      </c>
      <c r="H16362" s="2">
        <v>384</v>
      </c>
      <c r="I16362" s="2">
        <v>230</v>
      </c>
      <c r="J16362" s="2">
        <v>1381</v>
      </c>
      <c r="K16362" s="2">
        <v>76</v>
      </c>
      <c r="L16362" s="2">
        <v>459</v>
      </c>
    </row>
    <row r="16363" spans="1:12" x14ac:dyDescent="0.25">
      <c r="A16363" s="4" t="str">
        <f>HYPERLINK("http://www.rosaceae.org/Prunus/Prunus_persica/p.persica_gdr_reftransV1_0040225","p.persica_gdr_reftransV1_0040225")</f>
        <v>p.persica_gdr_reftransV1_0040225</v>
      </c>
      <c r="B16363" s="2">
        <v>12237</v>
      </c>
      <c r="C16363" s="4" t="str">
        <f>HYPERLINK("http://www.uniprot.org/uniprot/M5VP29","M5VP29")</f>
        <v>M5VP29</v>
      </c>
      <c r="D16363" s="2" t="s">
        <v>12990</v>
      </c>
      <c r="E16363" s="3">
        <v>0</v>
      </c>
      <c r="F16363" s="2">
        <v>17858</v>
      </c>
      <c r="G16363" s="2">
        <v>100</v>
      </c>
      <c r="H16363" s="2">
        <v>3493</v>
      </c>
      <c r="I16363" s="2">
        <v>802</v>
      </c>
      <c r="J16363" s="2">
        <v>11280</v>
      </c>
      <c r="K16363" s="2">
        <v>1</v>
      </c>
      <c r="L16363" s="2">
        <v>3493</v>
      </c>
    </row>
    <row r="16364" spans="1:12" x14ac:dyDescent="0.25">
      <c r="A16364" s="4" t="str">
        <f>HYPERLINK("http://www.rosaceae.org/Prunus/Prunus_persica/p.persica_gdr_reftransV1_0040925","p.persica_gdr_reftransV1_0040925")</f>
        <v>p.persica_gdr_reftransV1_0040925</v>
      </c>
      <c r="B16364" s="2">
        <v>567</v>
      </c>
      <c r="C16364" s="4" t="str">
        <f>HYPERLINK("http://www.uniprot.org/uniprot/M5WW87","M5WW87")</f>
        <v>M5WW87</v>
      </c>
      <c r="D16364" s="2" t="s">
        <v>12991</v>
      </c>
      <c r="E16364" s="3">
        <v>9.3400000000000005E-85</v>
      </c>
      <c r="F16364" s="2">
        <v>659</v>
      </c>
      <c r="G16364" s="2">
        <v>100</v>
      </c>
      <c r="H16364" s="2">
        <v>143</v>
      </c>
      <c r="I16364" s="2">
        <v>93</v>
      </c>
      <c r="J16364" s="2">
        <v>521</v>
      </c>
      <c r="K16364" s="2">
        <v>1</v>
      </c>
      <c r="L16364" s="2">
        <v>143</v>
      </c>
    </row>
    <row r="16365" spans="1:12" x14ac:dyDescent="0.25">
      <c r="A16365" s="4" t="str">
        <f>HYPERLINK("http://www.rosaceae.org/Prunus/Prunus_persica/p.persica_gdr_reftransV1_0041275","p.persica_gdr_reftransV1_0041275")</f>
        <v>p.persica_gdr_reftransV1_0041275</v>
      </c>
      <c r="B16365" s="2">
        <v>1827</v>
      </c>
      <c r="C16365" s="4" t="str">
        <f>HYPERLINK("http://www.uniprot.org/uniprot/M5XET3","M5XET3")</f>
        <v>M5XET3</v>
      </c>
      <c r="D16365" s="2" t="s">
        <v>12992</v>
      </c>
      <c r="E16365" s="3">
        <v>5.2999999999999995E-57</v>
      </c>
      <c r="F16365" s="2">
        <v>505</v>
      </c>
      <c r="G16365" s="2">
        <v>100</v>
      </c>
      <c r="H16365" s="2">
        <v>122</v>
      </c>
      <c r="I16365" s="2">
        <v>721</v>
      </c>
      <c r="J16365" s="2">
        <v>1086</v>
      </c>
      <c r="K16365" s="2">
        <v>1</v>
      </c>
      <c r="L16365" s="2">
        <v>122</v>
      </c>
    </row>
    <row r="16366" spans="1:12" x14ac:dyDescent="0.25">
      <c r="A16366" s="4" t="str">
        <f>HYPERLINK("http://www.rosaceae.org/Prunus/Prunus_persica/p.persica_gdr_reftransV1_0041625","p.persica_gdr_reftransV1_0041625")</f>
        <v>p.persica_gdr_reftransV1_0041625</v>
      </c>
      <c r="B16366" s="2">
        <v>892</v>
      </c>
      <c r="C16366" s="4" t="str">
        <f>HYPERLINK("http://www.uniprot.org/uniprot/M5W5Z9","M5W5Z9")</f>
        <v>M5W5Z9</v>
      </c>
      <c r="D16366" s="2" t="s">
        <v>12993</v>
      </c>
      <c r="E16366" s="3">
        <v>5.0099999999999998E-98</v>
      </c>
      <c r="F16366" s="2">
        <v>761</v>
      </c>
      <c r="G16366" s="2">
        <v>100</v>
      </c>
      <c r="H16366" s="2">
        <v>169</v>
      </c>
      <c r="I16366" s="2">
        <v>152</v>
      </c>
      <c r="J16366" s="2">
        <v>658</v>
      </c>
      <c r="K16366" s="2">
        <v>1</v>
      </c>
      <c r="L16366" s="2">
        <v>169</v>
      </c>
    </row>
    <row r="16367" spans="1:12" x14ac:dyDescent="0.25">
      <c r="A16367" s="4" t="str">
        <f>HYPERLINK("http://www.rosaceae.org/Prunus/Prunus_persica/p.persica_gdr_reftransV1_0043375","p.persica_gdr_reftransV1_0043375")</f>
        <v>p.persica_gdr_reftransV1_0043375</v>
      </c>
      <c r="B16367" s="2">
        <v>906</v>
      </c>
      <c r="C16367" s="4" t="str">
        <f>HYPERLINK("http://www.uniprot.org/uniprot/M5VXW0","M5VXW0")</f>
        <v>M5VXW0</v>
      </c>
      <c r="D16367" s="2" t="s">
        <v>12994</v>
      </c>
      <c r="E16367" s="3">
        <v>0</v>
      </c>
      <c r="F16367" s="2">
        <v>1418</v>
      </c>
      <c r="G16367" s="2">
        <v>98</v>
      </c>
      <c r="H16367" s="2">
        <v>283</v>
      </c>
      <c r="I16367" s="2">
        <v>51</v>
      </c>
      <c r="J16367" s="2">
        <v>899</v>
      </c>
      <c r="K16367" s="2">
        <v>72</v>
      </c>
      <c r="L16367" s="2">
        <v>354</v>
      </c>
    </row>
    <row r="16368" spans="1:12" x14ac:dyDescent="0.25">
      <c r="A16368" s="4" t="str">
        <f>HYPERLINK("http://www.rosaceae.org/Prunus/Prunus_persica/p.persica_gdr_reftransV1_0043725","p.persica_gdr_reftransV1_0043725")</f>
        <v>p.persica_gdr_reftransV1_0043725</v>
      </c>
      <c r="B16368" s="2">
        <v>375</v>
      </c>
      <c r="C16368" s="4" t="str">
        <f>HYPERLINK("http://www.uniprot.org/uniprot/M5X2T2","M5X2T2")</f>
        <v>M5X2T2</v>
      </c>
      <c r="D16368" s="2" t="s">
        <v>3357</v>
      </c>
      <c r="E16368" s="3">
        <v>6.4699999999999998E-72</v>
      </c>
      <c r="F16368" s="2">
        <v>612</v>
      </c>
      <c r="G16368" s="2">
        <v>99</v>
      </c>
      <c r="H16368" s="2">
        <v>113</v>
      </c>
      <c r="I16368" s="2">
        <v>1</v>
      </c>
      <c r="J16368" s="2">
        <v>339</v>
      </c>
      <c r="K16368" s="2">
        <v>581</v>
      </c>
      <c r="L16368" s="2">
        <v>693</v>
      </c>
    </row>
    <row r="16369" spans="1:12" x14ac:dyDescent="0.25">
      <c r="A16369" s="4" t="str">
        <f>HYPERLINK("http://www.rosaceae.org/Prunus/Prunus_persica/p.persica_gdr_reftransV1_0044075","p.persica_gdr_reftransV1_0044075")</f>
        <v>p.persica_gdr_reftransV1_0044075</v>
      </c>
      <c r="B16369" s="2">
        <v>827</v>
      </c>
      <c r="C16369" s="4" t="str">
        <f>HYPERLINK("http://www.uniprot.org/uniprot/M5XZT7","M5XZT7")</f>
        <v>M5XZT7</v>
      </c>
      <c r="D16369" s="2" t="s">
        <v>12995</v>
      </c>
      <c r="E16369" s="3">
        <v>0</v>
      </c>
      <c r="F16369" s="2">
        <v>1392</v>
      </c>
      <c r="G16369" s="2">
        <v>100</v>
      </c>
      <c r="H16369" s="2">
        <v>275</v>
      </c>
      <c r="I16369" s="2">
        <v>2</v>
      </c>
      <c r="J16369" s="2">
        <v>826</v>
      </c>
      <c r="K16369" s="2">
        <v>138</v>
      </c>
      <c r="L16369" s="2">
        <v>412</v>
      </c>
    </row>
    <row r="16370" spans="1:12" x14ac:dyDescent="0.25">
      <c r="A16370" s="4" t="str">
        <f>HYPERLINK("http://www.rosaceae.org/Prunus/Prunus_persica/p.persica_gdr_reftransV1_0044425","p.persica_gdr_reftransV1_0044425")</f>
        <v>p.persica_gdr_reftransV1_0044425</v>
      </c>
      <c r="B16370" s="2">
        <v>374</v>
      </c>
      <c r="C16370" s="4" t="str">
        <f>HYPERLINK("http://www.uniprot.org/uniprot/M5X8P0","M5X8P0")</f>
        <v>M5X8P0</v>
      </c>
      <c r="D16370" s="2" t="s">
        <v>12996</v>
      </c>
      <c r="E16370" s="3">
        <v>6.7400000000000002E-80</v>
      </c>
      <c r="F16370" s="2">
        <v>674</v>
      </c>
      <c r="G16370" s="2">
        <v>100</v>
      </c>
      <c r="H16370" s="2">
        <v>124</v>
      </c>
      <c r="I16370" s="2">
        <v>2</v>
      </c>
      <c r="J16370" s="2">
        <v>373</v>
      </c>
      <c r="K16370" s="2">
        <v>609</v>
      </c>
      <c r="L16370" s="2">
        <v>732</v>
      </c>
    </row>
    <row r="16371" spans="1:12" x14ac:dyDescent="0.25">
      <c r="A16371" s="4" t="str">
        <f>HYPERLINK("http://www.rosaceae.org/Prunus/Prunus_persica/p.persica_gdr_reftransV1_0044775","p.persica_gdr_reftransV1_0044775")</f>
        <v>p.persica_gdr_reftransV1_0044775</v>
      </c>
      <c r="B16371" s="2">
        <v>683</v>
      </c>
      <c r="C16371" s="4" t="str">
        <f>HYPERLINK("http://www.uniprot.org/uniprot/B9H7B9","B9H7B9")</f>
        <v>B9H7B9</v>
      </c>
      <c r="D16371" s="2" t="s">
        <v>12997</v>
      </c>
      <c r="E16371" s="3">
        <v>1.22E-33</v>
      </c>
      <c r="F16371" s="2">
        <v>327</v>
      </c>
      <c r="G16371" s="2">
        <v>88</v>
      </c>
      <c r="H16371" s="2">
        <v>72</v>
      </c>
      <c r="I16371" s="2">
        <v>326</v>
      </c>
      <c r="J16371" s="2">
        <v>541</v>
      </c>
      <c r="K16371" s="2">
        <v>1</v>
      </c>
      <c r="L16371" s="2">
        <v>72</v>
      </c>
    </row>
    <row r="16372" spans="1:12" x14ac:dyDescent="0.25">
      <c r="A16372" s="4" t="str">
        <f>HYPERLINK("http://www.rosaceae.org/Prunus/Prunus_persica/p.persica_gdr_reftransV1_0045125","p.persica_gdr_reftransV1_0045125")</f>
        <v>p.persica_gdr_reftransV1_0045125</v>
      </c>
      <c r="B16372" s="2">
        <v>2340</v>
      </c>
      <c r="C16372" s="4" t="str">
        <f>HYPERLINK("http://www.uniprot.org/uniprot/M5XJQ4","M5XJQ4")</f>
        <v>M5XJQ4</v>
      </c>
      <c r="D16372" s="2" t="s">
        <v>12998</v>
      </c>
      <c r="E16372" s="3">
        <v>0</v>
      </c>
      <c r="F16372" s="2">
        <v>2060</v>
      </c>
      <c r="G16372" s="2">
        <v>96</v>
      </c>
      <c r="H16372" s="2">
        <v>425</v>
      </c>
      <c r="I16372" s="2">
        <v>254</v>
      </c>
      <c r="J16372" s="2">
        <v>1528</v>
      </c>
      <c r="K16372" s="2">
        <v>9</v>
      </c>
      <c r="L16372" s="2">
        <v>422</v>
      </c>
    </row>
    <row r="16373" spans="1:12" x14ac:dyDescent="0.25">
      <c r="A16373" s="4" t="str">
        <f>HYPERLINK("http://www.rosaceae.org/Prunus/Prunus_persica/p.persica_gdr_reftransV1_0045475","p.persica_gdr_reftransV1_0045475")</f>
        <v>p.persica_gdr_reftransV1_0045475</v>
      </c>
      <c r="B16373" s="2">
        <v>632</v>
      </c>
      <c r="C16373" s="4" t="str">
        <f>HYPERLINK("http://www.uniprot.org/uniprot/M5WGL5","M5WGL5")</f>
        <v>M5WGL5</v>
      </c>
      <c r="D16373" s="2" t="s">
        <v>7875</v>
      </c>
      <c r="E16373" s="3">
        <v>3.3700000000000001E-100</v>
      </c>
      <c r="F16373" s="2">
        <v>770</v>
      </c>
      <c r="G16373" s="2">
        <v>100</v>
      </c>
      <c r="H16373" s="2">
        <v>162</v>
      </c>
      <c r="I16373" s="2">
        <v>146</v>
      </c>
      <c r="J16373" s="2">
        <v>631</v>
      </c>
      <c r="K16373" s="2">
        <v>1</v>
      </c>
      <c r="L16373" s="2">
        <v>162</v>
      </c>
    </row>
    <row r="16374" spans="1:12" x14ac:dyDescent="0.25">
      <c r="A16374" s="4" t="str">
        <f>HYPERLINK("http://www.rosaceae.org/Prunus/Prunus_persica/p.persica_gdr_reftransV1_0045825","p.persica_gdr_reftransV1_0045825")</f>
        <v>p.persica_gdr_reftransV1_0045825</v>
      </c>
      <c r="B16374" s="2">
        <v>2390</v>
      </c>
      <c r="C16374" s="4" t="str">
        <f>HYPERLINK("http://www.uniprot.org/uniprot/M5XQ25","M5XQ25")</f>
        <v>M5XQ25</v>
      </c>
      <c r="D16374" s="2" t="s">
        <v>12537</v>
      </c>
      <c r="E16374" s="3">
        <v>0</v>
      </c>
      <c r="F16374" s="2">
        <v>3299</v>
      </c>
      <c r="G16374" s="2">
        <v>100</v>
      </c>
      <c r="H16374" s="2">
        <v>713</v>
      </c>
      <c r="I16374" s="2">
        <v>253</v>
      </c>
      <c r="J16374" s="2">
        <v>2388</v>
      </c>
      <c r="K16374" s="2">
        <v>40</v>
      </c>
      <c r="L16374" s="2">
        <v>751</v>
      </c>
    </row>
    <row r="16375" spans="1:12" x14ac:dyDescent="0.25">
      <c r="A16375" s="4" t="str">
        <f>HYPERLINK("http://www.rosaceae.org/Prunus/Prunus_persica/p.persica_gdr_reftransV1_0046525","p.persica_gdr_reftransV1_0046525")</f>
        <v>p.persica_gdr_reftransV1_0046525</v>
      </c>
      <c r="B16375" s="2">
        <v>333</v>
      </c>
      <c r="C16375" s="4" t="str">
        <f>HYPERLINK("http://www.uniprot.org/uniprot/M5WT49","M5WT49")</f>
        <v>M5WT49</v>
      </c>
      <c r="D16375" s="2" t="s">
        <v>1883</v>
      </c>
      <c r="E16375" s="3">
        <v>3.1400000000000003E-13</v>
      </c>
      <c r="F16375" s="2">
        <v>182</v>
      </c>
      <c r="G16375" s="2">
        <v>100</v>
      </c>
      <c r="H16375" s="2">
        <v>52</v>
      </c>
      <c r="I16375" s="2">
        <v>5</v>
      </c>
      <c r="J16375" s="2">
        <v>160</v>
      </c>
      <c r="K16375" s="2">
        <v>64</v>
      </c>
      <c r="L16375" s="2">
        <v>115</v>
      </c>
    </row>
    <row r="16376" spans="1:12" x14ac:dyDescent="0.25">
      <c r="A16376" s="4" t="str">
        <f>HYPERLINK("http://www.rosaceae.org/Prunus/Prunus_persica/p.persica_gdr_reftransV1_0046875","p.persica_gdr_reftransV1_0046875")</f>
        <v>p.persica_gdr_reftransV1_0046875</v>
      </c>
      <c r="B16376" s="2">
        <v>375</v>
      </c>
      <c r="C16376" s="4" t="str">
        <f>HYPERLINK("http://www.uniprot.org/uniprot/M5XHH6","M5XHH6")</f>
        <v>M5XHH6</v>
      </c>
      <c r="D16376" s="2" t="s">
        <v>5814</v>
      </c>
      <c r="E16376" s="3">
        <v>2.9500000000000001E-82</v>
      </c>
      <c r="F16376" s="2">
        <v>678</v>
      </c>
      <c r="G16376" s="2">
        <v>100</v>
      </c>
      <c r="H16376" s="2">
        <v>125</v>
      </c>
      <c r="I16376" s="2">
        <v>1</v>
      </c>
      <c r="J16376" s="2">
        <v>375</v>
      </c>
      <c r="K16376" s="2">
        <v>489</v>
      </c>
      <c r="L16376" s="2">
        <v>613</v>
      </c>
    </row>
    <row r="16377" spans="1:12" x14ac:dyDescent="0.25">
      <c r="A16377" s="4" t="str">
        <f>HYPERLINK("http://www.rosaceae.org/Prunus/Prunus_persica/p.persica_gdr_reftransV1_0047225","p.persica_gdr_reftransV1_0047225")</f>
        <v>p.persica_gdr_reftransV1_0047225</v>
      </c>
      <c r="B16377" s="2">
        <v>465</v>
      </c>
      <c r="C16377" s="4" t="str">
        <f>HYPERLINK("http://www.uniprot.org/uniprot/M5Y0B9","M5Y0B9")</f>
        <v>M5Y0B9</v>
      </c>
      <c r="D16377" s="2" t="s">
        <v>8938</v>
      </c>
      <c r="E16377" s="3">
        <v>3.7599999999999998E-94</v>
      </c>
      <c r="F16377" s="2">
        <v>726</v>
      </c>
      <c r="G16377" s="2">
        <v>97</v>
      </c>
      <c r="H16377" s="2">
        <v>142</v>
      </c>
      <c r="I16377" s="2">
        <v>14</v>
      </c>
      <c r="J16377" s="2">
        <v>439</v>
      </c>
      <c r="K16377" s="2">
        <v>83</v>
      </c>
      <c r="L16377" s="2">
        <v>224</v>
      </c>
    </row>
    <row r="16378" spans="1:12" x14ac:dyDescent="0.25">
      <c r="A16378" s="4" t="str">
        <f>HYPERLINK("http://www.rosaceae.org/Prunus/Prunus_persica/p.persica_gdr_reftransV1_0047925","p.persica_gdr_reftransV1_0047925")</f>
        <v>p.persica_gdr_reftransV1_0047925</v>
      </c>
      <c r="B16378" s="2">
        <v>910</v>
      </c>
      <c r="C16378" s="4" t="str">
        <f>HYPERLINK("http://www.uniprot.org/uniprot/M5XDZ4","M5XDZ4")</f>
        <v>M5XDZ4</v>
      </c>
      <c r="D16378" s="2" t="s">
        <v>12999</v>
      </c>
      <c r="E16378" s="3">
        <v>7.9000000000000003E-143</v>
      </c>
      <c r="F16378" s="2">
        <v>1061</v>
      </c>
      <c r="G16378" s="2">
        <v>98</v>
      </c>
      <c r="H16378" s="2">
        <v>208</v>
      </c>
      <c r="I16378" s="2">
        <v>146</v>
      </c>
      <c r="J16378" s="2">
        <v>754</v>
      </c>
      <c r="K16378" s="2">
        <v>1</v>
      </c>
      <c r="L16378" s="2">
        <v>208</v>
      </c>
    </row>
    <row r="16379" spans="1:12" x14ac:dyDescent="0.25">
      <c r="A16379" s="4" t="str">
        <f>HYPERLINK("http://www.rosaceae.org/Prunus/Prunus_persica/p.persica_gdr_reftransV1_0048275","p.persica_gdr_reftransV1_0048275")</f>
        <v>p.persica_gdr_reftransV1_0048275</v>
      </c>
      <c r="B16379" s="2">
        <v>2963</v>
      </c>
      <c r="C16379" s="4" t="str">
        <f>HYPERLINK("http://www.uniprot.org/uniprot/M5Y0Z4","M5Y0Z4")</f>
        <v>M5Y0Z4</v>
      </c>
      <c r="D16379" s="2" t="s">
        <v>10066</v>
      </c>
      <c r="E16379" s="3">
        <v>0</v>
      </c>
      <c r="F16379" s="2">
        <v>4372</v>
      </c>
      <c r="G16379" s="2">
        <v>100</v>
      </c>
      <c r="H16379" s="2">
        <v>827</v>
      </c>
      <c r="I16379" s="2">
        <v>1</v>
      </c>
      <c r="J16379" s="2">
        <v>2481</v>
      </c>
      <c r="K16379" s="2">
        <v>82</v>
      </c>
      <c r="L16379" s="2">
        <v>908</v>
      </c>
    </row>
    <row r="16380" spans="1:12" x14ac:dyDescent="0.25">
      <c r="A16380" s="4" t="str">
        <f>HYPERLINK("http://www.rosaceae.org/Prunus/Prunus_persica/p.persica_gdr_reftransV1_0048975","p.persica_gdr_reftransV1_0048975")</f>
        <v>p.persica_gdr_reftransV1_0048975</v>
      </c>
      <c r="B16380" s="2">
        <v>1742</v>
      </c>
      <c r="C16380" s="4" t="str">
        <f>HYPERLINK("http://www.uniprot.org/uniprot/M5XC25","M5XC25")</f>
        <v>M5XC25</v>
      </c>
      <c r="D16380" s="2" t="s">
        <v>13000</v>
      </c>
      <c r="E16380" s="3">
        <v>0</v>
      </c>
      <c r="F16380" s="2">
        <v>2197</v>
      </c>
      <c r="G16380" s="2">
        <v>99</v>
      </c>
      <c r="H16380" s="2">
        <v>416</v>
      </c>
      <c r="I16380" s="2">
        <v>368</v>
      </c>
      <c r="J16380" s="2">
        <v>1615</v>
      </c>
      <c r="K16380" s="2">
        <v>1</v>
      </c>
      <c r="L16380" s="2">
        <v>416</v>
      </c>
    </row>
    <row r="16381" spans="1:12" x14ac:dyDescent="0.25">
      <c r="A16381" s="4" t="str">
        <f>HYPERLINK("http://www.rosaceae.org/Prunus/Prunus_persica/p.persica_gdr_reftransV1_0000326","p.persica_gdr_reftransV1_0000326")</f>
        <v>p.persica_gdr_reftransV1_0000326</v>
      </c>
      <c r="B16381" s="2">
        <v>366</v>
      </c>
      <c r="C16381" s="4" t="str">
        <f>HYPERLINK("http://www.uniprot.org/uniprot/M5WRU0","M5WRU0")</f>
        <v>M5WRU0</v>
      </c>
      <c r="D16381" s="2" t="s">
        <v>13001</v>
      </c>
      <c r="E16381" s="3">
        <v>2.9100000000000002E-66</v>
      </c>
      <c r="F16381" s="2">
        <v>572</v>
      </c>
      <c r="G16381" s="2">
        <v>99</v>
      </c>
      <c r="H16381" s="2">
        <v>108</v>
      </c>
      <c r="I16381" s="2">
        <v>43</v>
      </c>
      <c r="J16381" s="2">
        <v>366</v>
      </c>
      <c r="K16381" s="2">
        <v>129</v>
      </c>
      <c r="L16381" s="2">
        <v>236</v>
      </c>
    </row>
    <row r="16382" spans="1:12" x14ac:dyDescent="0.25">
      <c r="A16382" s="4" t="str">
        <f>HYPERLINK("http://www.rosaceae.org/Prunus/Prunus_persica/p.persica_gdr_reftransV1_0000676","p.persica_gdr_reftransV1_0000676")</f>
        <v>p.persica_gdr_reftransV1_0000676</v>
      </c>
      <c r="B16382" s="2">
        <v>1414</v>
      </c>
      <c r="C16382" s="4" t="str">
        <f>HYPERLINK("http://www.uniprot.org/uniprot/M5Y1T3","M5Y1T3")</f>
        <v>M5Y1T3</v>
      </c>
      <c r="D16382" s="2" t="s">
        <v>2994</v>
      </c>
      <c r="E16382" s="3">
        <v>0</v>
      </c>
      <c r="F16382" s="2">
        <v>2143</v>
      </c>
      <c r="G16382" s="2">
        <v>100</v>
      </c>
      <c r="H16382" s="2">
        <v>452</v>
      </c>
      <c r="I16382" s="2">
        <v>3</v>
      </c>
      <c r="J16382" s="2">
        <v>1358</v>
      </c>
      <c r="K16382" s="2">
        <v>1</v>
      </c>
      <c r="L16382" s="2">
        <v>452</v>
      </c>
    </row>
    <row r="16383" spans="1:12" x14ac:dyDescent="0.25">
      <c r="A16383" s="4" t="str">
        <f>HYPERLINK("http://www.rosaceae.org/Prunus/Prunus_persica/p.persica_gdr_reftransV1_0001026","p.persica_gdr_reftransV1_0001026")</f>
        <v>p.persica_gdr_reftransV1_0001026</v>
      </c>
      <c r="B16383" s="2">
        <v>552</v>
      </c>
      <c r="C16383" s="4" t="str">
        <f>HYPERLINK("http://www.uniprot.org/uniprot/M5WJC8","M5WJC8")</f>
        <v>M5WJC8</v>
      </c>
      <c r="D16383" s="2" t="s">
        <v>13002</v>
      </c>
      <c r="E16383" s="3">
        <v>6.8700000000000003E-75</v>
      </c>
      <c r="F16383" s="2">
        <v>590</v>
      </c>
      <c r="G16383" s="2">
        <v>100</v>
      </c>
      <c r="H16383" s="2">
        <v>110</v>
      </c>
      <c r="I16383" s="2">
        <v>90</v>
      </c>
      <c r="J16383" s="2">
        <v>419</v>
      </c>
      <c r="K16383" s="2">
        <v>1</v>
      </c>
      <c r="L16383" s="2">
        <v>110</v>
      </c>
    </row>
    <row r="16384" spans="1:12" x14ac:dyDescent="0.25">
      <c r="A16384" s="4" t="str">
        <f>HYPERLINK("http://www.rosaceae.org/Prunus/Prunus_persica/p.persica_gdr_reftransV1_0001376","p.persica_gdr_reftransV1_0001376")</f>
        <v>p.persica_gdr_reftransV1_0001376</v>
      </c>
      <c r="B16384" s="2">
        <v>1315</v>
      </c>
      <c r="C16384" s="4" t="str">
        <f>HYPERLINK("http://www.uniprot.org/uniprot/M5X2A9","M5X2A9")</f>
        <v>M5X2A9</v>
      </c>
      <c r="D16384" s="2" t="s">
        <v>3396</v>
      </c>
      <c r="E16384" s="3">
        <v>1.82E-158</v>
      </c>
      <c r="F16384" s="2">
        <v>867</v>
      </c>
      <c r="G16384" s="2">
        <v>100</v>
      </c>
      <c r="H16384" s="2">
        <v>179</v>
      </c>
      <c r="I16384" s="2">
        <v>77</v>
      </c>
      <c r="J16384" s="2">
        <v>613</v>
      </c>
      <c r="K16384" s="2">
        <v>1</v>
      </c>
      <c r="L16384" s="2">
        <v>179</v>
      </c>
    </row>
    <row r="16385" spans="1:12" x14ac:dyDescent="0.25">
      <c r="A16385" s="4" t="str">
        <f>HYPERLINK("http://www.rosaceae.org/Prunus/Prunus_persica/p.persica_gdr_reftransV1_0001726","p.persica_gdr_reftransV1_0001726")</f>
        <v>p.persica_gdr_reftransV1_0001726</v>
      </c>
      <c r="B16385" s="2">
        <v>505</v>
      </c>
      <c r="C16385" s="4" t="str">
        <f>HYPERLINK("http://www.uniprot.org/uniprot/R8BTM0","R8BTM0")</f>
        <v>R8BTM0</v>
      </c>
      <c r="D16385" s="2" t="s">
        <v>13003</v>
      </c>
      <c r="E16385" s="3">
        <v>1.8200000000000001E-108</v>
      </c>
      <c r="F16385" s="2">
        <v>830</v>
      </c>
      <c r="G16385" s="2">
        <v>88</v>
      </c>
      <c r="H16385" s="2">
        <v>168</v>
      </c>
      <c r="I16385" s="2">
        <v>1</v>
      </c>
      <c r="J16385" s="2">
        <v>504</v>
      </c>
      <c r="K16385" s="2">
        <v>104</v>
      </c>
      <c r="L16385" s="2">
        <v>271</v>
      </c>
    </row>
    <row r="16386" spans="1:12" x14ac:dyDescent="0.25">
      <c r="A16386" s="4" t="str">
        <f>HYPERLINK("http://www.rosaceae.org/Prunus/Prunus_persica/p.persica_gdr_reftransV1_0002076","p.persica_gdr_reftransV1_0002076")</f>
        <v>p.persica_gdr_reftransV1_0002076</v>
      </c>
      <c r="B16386" s="2">
        <v>4556</v>
      </c>
      <c r="C16386" s="4" t="str">
        <f>HYPERLINK("http://www.uniprot.org/uniprot/M5VWS9","M5VWS9")</f>
        <v>M5VWS9</v>
      </c>
      <c r="D16386" s="2" t="s">
        <v>5788</v>
      </c>
      <c r="E16386" s="3">
        <v>0</v>
      </c>
      <c r="F16386" s="2">
        <v>6089</v>
      </c>
      <c r="G16386" s="2">
        <v>99</v>
      </c>
      <c r="H16386" s="2">
        <v>1296</v>
      </c>
      <c r="I16386" s="2">
        <v>294</v>
      </c>
      <c r="J16386" s="2">
        <v>4157</v>
      </c>
      <c r="K16386" s="2">
        <v>1</v>
      </c>
      <c r="L16386" s="2">
        <v>1296</v>
      </c>
    </row>
    <row r="16387" spans="1:12" x14ac:dyDescent="0.25">
      <c r="A16387" s="4" t="str">
        <f>HYPERLINK("http://www.rosaceae.org/Prunus/Prunus_persica/p.persica_gdr_reftransV1_0003126","p.persica_gdr_reftransV1_0003126")</f>
        <v>p.persica_gdr_reftransV1_0003126</v>
      </c>
      <c r="B16387" s="2">
        <v>2172</v>
      </c>
      <c r="C16387" s="4" t="str">
        <f>HYPERLINK("http://www.uniprot.org/uniprot/M5X9W9","M5X9W9")</f>
        <v>M5X9W9</v>
      </c>
      <c r="D16387" s="2" t="s">
        <v>13004</v>
      </c>
      <c r="E16387" s="3">
        <v>0</v>
      </c>
      <c r="F16387" s="2">
        <v>3083</v>
      </c>
      <c r="G16387" s="2">
        <v>98</v>
      </c>
      <c r="H16387" s="2">
        <v>616</v>
      </c>
      <c r="I16387" s="2">
        <v>3</v>
      </c>
      <c r="J16387" s="2">
        <v>1850</v>
      </c>
      <c r="K16387" s="2">
        <v>105</v>
      </c>
      <c r="L16387" s="2">
        <v>711</v>
      </c>
    </row>
    <row r="16388" spans="1:12" x14ac:dyDescent="0.25">
      <c r="A16388" s="4" t="str">
        <f>HYPERLINK("http://www.rosaceae.org/Prunus/Prunus_persica/p.persica_gdr_reftransV1_0003476","p.persica_gdr_reftransV1_0003476")</f>
        <v>p.persica_gdr_reftransV1_0003476</v>
      </c>
      <c r="B16388" s="2">
        <v>409</v>
      </c>
      <c r="C16388" s="4" t="str">
        <f>HYPERLINK("http://www.uniprot.org/uniprot/I1S2U1","I1S2U1")</f>
        <v>I1S2U1</v>
      </c>
      <c r="D16388" s="2" t="s">
        <v>13005</v>
      </c>
      <c r="E16388" s="3">
        <v>1.8000000000000001E-69</v>
      </c>
      <c r="F16388" s="2">
        <v>560</v>
      </c>
      <c r="G16388" s="2">
        <v>98</v>
      </c>
      <c r="H16388" s="2">
        <v>109</v>
      </c>
      <c r="I16388" s="2">
        <v>81</v>
      </c>
      <c r="J16388" s="2">
        <v>407</v>
      </c>
      <c r="K16388" s="2">
        <v>125</v>
      </c>
      <c r="L16388" s="2">
        <v>233</v>
      </c>
    </row>
    <row r="16389" spans="1:12" x14ac:dyDescent="0.25">
      <c r="A16389" s="4" t="str">
        <f>HYPERLINK("http://www.rosaceae.org/Prunus/Prunus_persica/p.persica_gdr_reftransV1_0003826","p.persica_gdr_reftransV1_0003826")</f>
        <v>p.persica_gdr_reftransV1_0003826</v>
      </c>
      <c r="B16389" s="2">
        <v>973</v>
      </c>
      <c r="C16389" s="4" t="str">
        <f>HYPERLINK("http://www.uniprot.org/uniprot/M5W239","M5W239")</f>
        <v>M5W239</v>
      </c>
      <c r="D16389" s="2" t="s">
        <v>13006</v>
      </c>
      <c r="E16389" s="3">
        <v>2.6699999999999998E-72</v>
      </c>
      <c r="F16389" s="2">
        <v>604</v>
      </c>
      <c r="G16389" s="2">
        <v>66</v>
      </c>
      <c r="H16389" s="2">
        <v>174</v>
      </c>
      <c r="I16389" s="2">
        <v>3</v>
      </c>
      <c r="J16389" s="2">
        <v>524</v>
      </c>
      <c r="K16389" s="2">
        <v>23</v>
      </c>
      <c r="L16389" s="2">
        <v>196</v>
      </c>
    </row>
    <row r="16390" spans="1:12" x14ac:dyDescent="0.25">
      <c r="A16390" s="4" t="str">
        <f>HYPERLINK("http://www.rosaceae.org/Prunus/Prunus_persica/p.persica_gdr_reftransV1_0004176","p.persica_gdr_reftransV1_0004176")</f>
        <v>p.persica_gdr_reftransV1_0004176</v>
      </c>
      <c r="B16390" s="2">
        <v>921</v>
      </c>
      <c r="C16390" s="4" t="str">
        <f>HYPERLINK("http://www.uniprot.org/uniprot/M5WN09","M5WN09")</f>
        <v>M5WN09</v>
      </c>
      <c r="D16390" s="2" t="s">
        <v>11401</v>
      </c>
      <c r="E16390" s="3">
        <v>8.4399999999999998E-105</v>
      </c>
      <c r="F16390" s="2">
        <v>813</v>
      </c>
      <c r="G16390" s="2">
        <v>100</v>
      </c>
      <c r="H16390" s="2">
        <v>236</v>
      </c>
      <c r="I16390" s="2">
        <v>23</v>
      </c>
      <c r="J16390" s="2">
        <v>730</v>
      </c>
      <c r="K16390" s="2">
        <v>1</v>
      </c>
      <c r="L16390" s="2">
        <v>236</v>
      </c>
    </row>
    <row r="16391" spans="1:12" x14ac:dyDescent="0.25">
      <c r="A16391" s="4" t="str">
        <f>HYPERLINK("http://www.rosaceae.org/Prunus/Prunus_persica/p.persica_gdr_reftransV1_0004526","p.persica_gdr_reftransV1_0004526")</f>
        <v>p.persica_gdr_reftransV1_0004526</v>
      </c>
      <c r="B16391" s="2">
        <v>348</v>
      </c>
      <c r="C16391" s="4" t="str">
        <f>HYPERLINK("http://www.uniprot.org/uniprot/M5X6X3","M5X6X3")</f>
        <v>M5X6X3</v>
      </c>
      <c r="D16391" s="2" t="s">
        <v>12656</v>
      </c>
      <c r="E16391" s="3">
        <v>1.19E-74</v>
      </c>
      <c r="F16391" s="2">
        <v>630</v>
      </c>
      <c r="G16391" s="2">
        <v>100</v>
      </c>
      <c r="H16391" s="2">
        <v>116</v>
      </c>
      <c r="I16391" s="2">
        <v>1</v>
      </c>
      <c r="J16391" s="2">
        <v>348</v>
      </c>
      <c r="K16391" s="2">
        <v>37</v>
      </c>
      <c r="L16391" s="2">
        <v>152</v>
      </c>
    </row>
    <row r="16392" spans="1:12" x14ac:dyDescent="0.25">
      <c r="A16392" s="4" t="str">
        <f>HYPERLINK("http://www.rosaceae.org/Prunus/Prunus_persica/p.persica_gdr_reftransV1_0005226","p.persica_gdr_reftransV1_0005226")</f>
        <v>p.persica_gdr_reftransV1_0005226</v>
      </c>
      <c r="B16392" s="2">
        <v>3509</v>
      </c>
      <c r="C16392" s="4" t="str">
        <f>HYPERLINK("http://www.uniprot.org/uniprot/M5VHA5","M5VHA5")</f>
        <v>M5VHA5</v>
      </c>
      <c r="D16392" s="2" t="s">
        <v>40</v>
      </c>
      <c r="E16392" s="3">
        <v>0</v>
      </c>
      <c r="F16392" s="2">
        <v>3469</v>
      </c>
      <c r="G16392" s="2">
        <v>100</v>
      </c>
      <c r="H16392" s="2">
        <v>727</v>
      </c>
      <c r="I16392" s="2">
        <v>1</v>
      </c>
      <c r="J16392" s="2">
        <v>2181</v>
      </c>
      <c r="K16392" s="2">
        <v>8</v>
      </c>
      <c r="L16392" s="2">
        <v>734</v>
      </c>
    </row>
    <row r="16393" spans="1:12" x14ac:dyDescent="0.25">
      <c r="A16393" s="4" t="str">
        <f>HYPERLINK("http://www.rosaceae.org/Prunus/Prunus_persica/p.persica_gdr_reftransV1_0005576","p.persica_gdr_reftransV1_0005576")</f>
        <v>p.persica_gdr_reftransV1_0005576</v>
      </c>
      <c r="B16393" s="2">
        <v>1145</v>
      </c>
      <c r="C16393" s="4" t="str">
        <f>HYPERLINK("http://www.uniprot.org/uniprot/M5WX10","M5WX10")</f>
        <v>M5WX10</v>
      </c>
      <c r="D16393" s="2" t="s">
        <v>13007</v>
      </c>
      <c r="E16393" s="3">
        <v>0</v>
      </c>
      <c r="F16393" s="2">
        <v>1407</v>
      </c>
      <c r="G16393" s="2">
        <v>100</v>
      </c>
      <c r="H16393" s="2">
        <v>306</v>
      </c>
      <c r="I16393" s="2">
        <v>186</v>
      </c>
      <c r="J16393" s="2">
        <v>1103</v>
      </c>
      <c r="K16393" s="2">
        <v>1</v>
      </c>
      <c r="L16393" s="2">
        <v>306</v>
      </c>
    </row>
    <row r="16394" spans="1:12" x14ac:dyDescent="0.25">
      <c r="A16394" s="4" t="str">
        <f>HYPERLINK("http://www.rosaceae.org/Prunus/Prunus_persica/p.persica_gdr_reftransV1_0005926","p.persica_gdr_reftransV1_0005926")</f>
        <v>p.persica_gdr_reftransV1_0005926</v>
      </c>
      <c r="B16394" s="2">
        <v>5557</v>
      </c>
      <c r="C16394" s="4" t="str">
        <f>HYPERLINK("http://www.uniprot.org/uniprot/M5X371","M5X371")</f>
        <v>M5X371</v>
      </c>
      <c r="D16394" s="2" t="s">
        <v>553</v>
      </c>
      <c r="E16394" s="3">
        <v>0</v>
      </c>
      <c r="F16394" s="2">
        <v>6458</v>
      </c>
      <c r="G16394" s="2">
        <v>91</v>
      </c>
      <c r="H16394" s="2">
        <v>1427</v>
      </c>
      <c r="I16394" s="2">
        <v>679</v>
      </c>
      <c r="J16394" s="2">
        <v>4944</v>
      </c>
      <c r="K16394" s="2">
        <v>1</v>
      </c>
      <c r="L16394" s="2">
        <v>1410</v>
      </c>
    </row>
    <row r="16395" spans="1:12" x14ac:dyDescent="0.25">
      <c r="A16395" s="4" t="str">
        <f>HYPERLINK("http://www.rosaceae.org/Prunus/Prunus_persica/p.persica_gdr_reftransV1_0006276","p.persica_gdr_reftransV1_0006276")</f>
        <v>p.persica_gdr_reftransV1_0006276</v>
      </c>
      <c r="B16395" s="2">
        <v>1220</v>
      </c>
      <c r="C16395" s="4" t="str">
        <f>HYPERLINK("http://www.uniprot.org/uniprot/M5WTA3","M5WTA3")</f>
        <v>M5WTA3</v>
      </c>
      <c r="D16395" s="2" t="s">
        <v>13008</v>
      </c>
      <c r="E16395" s="3">
        <v>0</v>
      </c>
      <c r="F16395" s="2">
        <v>1909</v>
      </c>
      <c r="G16395" s="2">
        <v>100</v>
      </c>
      <c r="H16395" s="2">
        <v>405</v>
      </c>
      <c r="I16395" s="2">
        <v>5</v>
      </c>
      <c r="J16395" s="2">
        <v>1219</v>
      </c>
      <c r="K16395" s="2">
        <v>1</v>
      </c>
      <c r="L16395" s="2">
        <v>405</v>
      </c>
    </row>
    <row r="16396" spans="1:12" x14ac:dyDescent="0.25">
      <c r="A16396" s="4" t="str">
        <f>HYPERLINK("http://www.rosaceae.org/Prunus/Prunus_persica/p.persica_gdr_reftransV1_0006626","p.persica_gdr_reftransV1_0006626")</f>
        <v>p.persica_gdr_reftransV1_0006626</v>
      </c>
      <c r="B16396" s="2">
        <v>771</v>
      </c>
      <c r="C16396" s="4" t="str">
        <f>HYPERLINK("http://www.uniprot.org/uniprot/M5XAF2","M5XAF2")</f>
        <v>M5XAF2</v>
      </c>
      <c r="D16396" s="2" t="s">
        <v>2045</v>
      </c>
      <c r="E16396" s="3">
        <v>1.21E-76</v>
      </c>
      <c r="F16396" s="2">
        <v>617</v>
      </c>
      <c r="G16396" s="2">
        <v>61</v>
      </c>
      <c r="H16396" s="2">
        <v>191</v>
      </c>
      <c r="I16396" s="2">
        <v>83</v>
      </c>
      <c r="J16396" s="2">
        <v>655</v>
      </c>
      <c r="K16396" s="2">
        <v>1</v>
      </c>
      <c r="L16396" s="2">
        <v>184</v>
      </c>
    </row>
    <row r="16397" spans="1:12" x14ac:dyDescent="0.25">
      <c r="A16397" s="4" t="str">
        <f>HYPERLINK("http://www.rosaceae.org/Prunus/Prunus_persica/p.persica_gdr_reftransV1_0007326","p.persica_gdr_reftransV1_0007326")</f>
        <v>p.persica_gdr_reftransV1_0007326</v>
      </c>
      <c r="B16397" s="2">
        <v>1936</v>
      </c>
      <c r="C16397" s="4" t="str">
        <f>HYPERLINK("http://www.uniprot.org/uniprot/M5VM63","M5VM63")</f>
        <v>M5VM63</v>
      </c>
      <c r="D16397" s="2" t="s">
        <v>13009</v>
      </c>
      <c r="E16397" s="3">
        <v>0</v>
      </c>
      <c r="F16397" s="2">
        <v>1792</v>
      </c>
      <c r="G16397" s="2">
        <v>100</v>
      </c>
      <c r="H16397" s="2">
        <v>391</v>
      </c>
      <c r="I16397" s="2">
        <v>561</v>
      </c>
      <c r="J16397" s="2">
        <v>1733</v>
      </c>
      <c r="K16397" s="2">
        <v>1</v>
      </c>
      <c r="L16397" s="2">
        <v>391</v>
      </c>
    </row>
    <row r="16398" spans="1:12" x14ac:dyDescent="0.25">
      <c r="A16398" s="4" t="str">
        <f>HYPERLINK("http://www.rosaceae.org/Prunus/Prunus_persica/p.persica_gdr_reftransV1_0008026","p.persica_gdr_reftransV1_0008026")</f>
        <v>p.persica_gdr_reftransV1_0008026</v>
      </c>
      <c r="B16398" s="2">
        <v>7542</v>
      </c>
      <c r="C16398" s="4" t="str">
        <f>HYPERLINK("http://www.uniprot.org/uniprot/M5WEG0","M5WEG0")</f>
        <v>M5WEG0</v>
      </c>
      <c r="D16398" s="2" t="s">
        <v>13010</v>
      </c>
      <c r="E16398" s="3">
        <v>0</v>
      </c>
      <c r="F16398" s="2">
        <v>9259</v>
      </c>
      <c r="G16398" s="2">
        <v>100</v>
      </c>
      <c r="H16398" s="2">
        <v>1851</v>
      </c>
      <c r="I16398" s="2">
        <v>1742</v>
      </c>
      <c r="J16398" s="2">
        <v>7294</v>
      </c>
      <c r="K16398" s="2">
        <v>1</v>
      </c>
      <c r="L16398" s="2">
        <v>1849</v>
      </c>
    </row>
    <row r="16399" spans="1:12" x14ac:dyDescent="0.25">
      <c r="A16399" s="4" t="str">
        <f>HYPERLINK("http://www.rosaceae.org/Prunus/Prunus_persica/p.persica_gdr_reftransV1_0009076","p.persica_gdr_reftransV1_0009076")</f>
        <v>p.persica_gdr_reftransV1_0009076</v>
      </c>
      <c r="B16399" s="2">
        <v>1579</v>
      </c>
      <c r="C16399" s="4" t="str">
        <f>HYPERLINK("http://www.uniprot.org/uniprot/A0A067JU89","A0A067JU89")</f>
        <v>A0A067JU89</v>
      </c>
      <c r="D16399" s="2" t="s">
        <v>13011</v>
      </c>
      <c r="E16399" s="3">
        <v>7.5300000000000001E-87</v>
      </c>
      <c r="F16399" s="2">
        <v>712</v>
      </c>
      <c r="G16399" s="2">
        <v>86</v>
      </c>
      <c r="H16399" s="2">
        <v>218</v>
      </c>
      <c r="I16399" s="2">
        <v>315</v>
      </c>
      <c r="J16399" s="2">
        <v>968</v>
      </c>
      <c r="K16399" s="2">
        <v>1</v>
      </c>
      <c r="L16399" s="2">
        <v>216</v>
      </c>
    </row>
    <row r="16400" spans="1:12" x14ac:dyDescent="0.25">
      <c r="A16400" s="4" t="str">
        <f>HYPERLINK("http://www.rosaceae.org/Prunus/Prunus_persica/p.persica_gdr_reftransV1_0009426","p.persica_gdr_reftransV1_0009426")</f>
        <v>p.persica_gdr_reftransV1_0009426</v>
      </c>
      <c r="B16400" s="2">
        <v>572</v>
      </c>
      <c r="C16400" s="4" t="str">
        <f>HYPERLINK("http://www.uniprot.org/uniprot/M5WET1","M5WET1")</f>
        <v>M5WET1</v>
      </c>
      <c r="D16400" s="2" t="s">
        <v>13012</v>
      </c>
      <c r="E16400" s="3">
        <v>4.1000000000000002E-133</v>
      </c>
      <c r="F16400" s="2">
        <v>1021</v>
      </c>
      <c r="G16400" s="2">
        <v>100</v>
      </c>
      <c r="H16400" s="2">
        <v>190</v>
      </c>
      <c r="I16400" s="2">
        <v>1</v>
      </c>
      <c r="J16400" s="2">
        <v>570</v>
      </c>
      <c r="K16400" s="2">
        <v>411</v>
      </c>
      <c r="L16400" s="2">
        <v>600</v>
      </c>
    </row>
    <row r="16401" spans="1:12" x14ac:dyDescent="0.25">
      <c r="A16401" s="4" t="str">
        <f>HYPERLINK("http://www.rosaceae.org/Prunus/Prunus_persica/p.persica_gdr_reftransV1_0009776","p.persica_gdr_reftransV1_0009776")</f>
        <v>p.persica_gdr_reftransV1_0009776</v>
      </c>
      <c r="B16401" s="2">
        <v>1390</v>
      </c>
      <c r="C16401" s="4" t="str">
        <f>HYPERLINK("http://www.uniprot.org/uniprot/M5WMF4","M5WMF4")</f>
        <v>M5WMF4</v>
      </c>
      <c r="D16401" s="2" t="s">
        <v>7168</v>
      </c>
      <c r="E16401" s="3">
        <v>0</v>
      </c>
      <c r="F16401" s="2">
        <v>1532</v>
      </c>
      <c r="G16401" s="2">
        <v>100</v>
      </c>
      <c r="H16401" s="2">
        <v>283</v>
      </c>
      <c r="I16401" s="2">
        <v>1</v>
      </c>
      <c r="J16401" s="2">
        <v>849</v>
      </c>
      <c r="K16401" s="2">
        <v>1</v>
      </c>
      <c r="L16401" s="2">
        <v>283</v>
      </c>
    </row>
    <row r="16402" spans="1:12" x14ac:dyDescent="0.25">
      <c r="A16402" s="4" t="str">
        <f>HYPERLINK("http://www.rosaceae.org/Prunus/Prunus_persica/p.persica_gdr_reftransV1_0010126","p.persica_gdr_reftransV1_0010126")</f>
        <v>p.persica_gdr_reftransV1_0010126</v>
      </c>
      <c r="B16402" s="2">
        <v>1931</v>
      </c>
      <c r="C16402" s="4" t="str">
        <f>HYPERLINK("http://www.uniprot.org/uniprot/M5XJF5","M5XJF5")</f>
        <v>M5XJF5</v>
      </c>
      <c r="D16402" s="2" t="s">
        <v>13013</v>
      </c>
      <c r="E16402" s="3">
        <v>0</v>
      </c>
      <c r="F16402" s="2">
        <v>2201</v>
      </c>
      <c r="G16402" s="2">
        <v>98</v>
      </c>
      <c r="H16402" s="2">
        <v>479</v>
      </c>
      <c r="I16402" s="2">
        <v>152</v>
      </c>
      <c r="J16402" s="2">
        <v>1588</v>
      </c>
      <c r="K16402" s="2">
        <v>1</v>
      </c>
      <c r="L16402" s="2">
        <v>468</v>
      </c>
    </row>
    <row r="16403" spans="1:12" x14ac:dyDescent="0.25">
      <c r="A16403" s="4" t="str">
        <f>HYPERLINK("http://www.rosaceae.org/Prunus/Prunus_persica/p.persica_gdr_reftransV1_0010476","p.persica_gdr_reftransV1_0010476")</f>
        <v>p.persica_gdr_reftransV1_0010476</v>
      </c>
      <c r="B16403" s="2">
        <v>2109</v>
      </c>
      <c r="C16403" s="4" t="str">
        <f>HYPERLINK("http://www.uniprot.org/uniprot/M5VTN2","M5VTN2")</f>
        <v>M5VTN2</v>
      </c>
      <c r="D16403" s="2" t="s">
        <v>8664</v>
      </c>
      <c r="E16403" s="3">
        <v>0</v>
      </c>
      <c r="F16403" s="2">
        <v>1947</v>
      </c>
      <c r="G16403" s="2">
        <v>83</v>
      </c>
      <c r="H16403" s="2">
        <v>529</v>
      </c>
      <c r="I16403" s="2">
        <v>472</v>
      </c>
      <c r="J16403" s="2">
        <v>2055</v>
      </c>
      <c r="K16403" s="2">
        <v>198</v>
      </c>
      <c r="L16403" s="2">
        <v>644</v>
      </c>
    </row>
    <row r="16404" spans="1:12" x14ac:dyDescent="0.25">
      <c r="A16404" s="4" t="str">
        <f>HYPERLINK("http://www.rosaceae.org/Prunus/Prunus_persica/p.persica_gdr_reftransV1_0011176","p.persica_gdr_reftransV1_0011176")</f>
        <v>p.persica_gdr_reftransV1_0011176</v>
      </c>
      <c r="B16404" s="2">
        <v>1478</v>
      </c>
      <c r="C16404" s="4" t="str">
        <f>HYPERLINK("http://www.uniprot.org/uniprot/M5VWU7","M5VWU7")</f>
        <v>M5VWU7</v>
      </c>
      <c r="D16404" s="2" t="s">
        <v>8413</v>
      </c>
      <c r="E16404" s="3">
        <v>7.4800000000000005E-176</v>
      </c>
      <c r="F16404" s="2">
        <v>1307</v>
      </c>
      <c r="G16404" s="2">
        <v>100</v>
      </c>
      <c r="H16404" s="2">
        <v>245</v>
      </c>
      <c r="I16404" s="2">
        <v>437</v>
      </c>
      <c r="J16404" s="2">
        <v>1171</v>
      </c>
      <c r="K16404" s="2">
        <v>1</v>
      </c>
      <c r="L16404" s="2">
        <v>245</v>
      </c>
    </row>
    <row r="16405" spans="1:12" x14ac:dyDescent="0.25">
      <c r="A16405" s="4" t="str">
        <f>HYPERLINK("http://www.rosaceae.org/Prunus/Prunus_persica/p.persica_gdr_reftransV1_0012226","p.persica_gdr_reftransV1_0012226")</f>
        <v>p.persica_gdr_reftransV1_0012226</v>
      </c>
      <c r="B16405" s="2">
        <v>1712</v>
      </c>
      <c r="C16405" s="4" t="str">
        <f>HYPERLINK("http://www.uniprot.org/uniprot/M5XRR5","M5XRR5")</f>
        <v>M5XRR5</v>
      </c>
      <c r="D16405" s="2" t="s">
        <v>9012</v>
      </c>
      <c r="E16405" s="3">
        <v>0</v>
      </c>
      <c r="F16405" s="2">
        <v>1948</v>
      </c>
      <c r="G16405" s="2">
        <v>80</v>
      </c>
      <c r="H16405" s="2">
        <v>484</v>
      </c>
      <c r="I16405" s="2">
        <v>107</v>
      </c>
      <c r="J16405" s="2">
        <v>1558</v>
      </c>
      <c r="K16405" s="2">
        <v>1</v>
      </c>
      <c r="L16405" s="2">
        <v>389</v>
      </c>
    </row>
    <row r="16406" spans="1:12" x14ac:dyDescent="0.25">
      <c r="A16406" s="4" t="str">
        <f>HYPERLINK("http://www.rosaceae.org/Prunus/Prunus_persica/p.persica_gdr_reftransV1_0013276","p.persica_gdr_reftransV1_0013276")</f>
        <v>p.persica_gdr_reftransV1_0013276</v>
      </c>
      <c r="B16406" s="2">
        <v>1004</v>
      </c>
      <c r="C16406" s="4" t="str">
        <f>HYPERLINK("http://www.uniprot.org/uniprot/M5XFT1","M5XFT1")</f>
        <v>M5XFT1</v>
      </c>
      <c r="D16406" s="2" t="s">
        <v>13014</v>
      </c>
      <c r="E16406" s="3">
        <v>3.0100000000000002E-92</v>
      </c>
      <c r="F16406" s="2">
        <v>736</v>
      </c>
      <c r="G16406" s="2">
        <v>89</v>
      </c>
      <c r="H16406" s="2">
        <v>244</v>
      </c>
      <c r="I16406" s="2">
        <v>272</v>
      </c>
      <c r="J16406" s="2">
        <v>1003</v>
      </c>
      <c r="K16406" s="2">
        <v>1</v>
      </c>
      <c r="L16406" s="2">
        <v>221</v>
      </c>
    </row>
    <row r="16407" spans="1:12" x14ac:dyDescent="0.25">
      <c r="A16407" s="4" t="str">
        <f>HYPERLINK("http://www.rosaceae.org/Prunus/Prunus_persica/p.persica_gdr_reftransV1_0014326","p.persica_gdr_reftransV1_0014326")</f>
        <v>p.persica_gdr_reftransV1_0014326</v>
      </c>
      <c r="B16407" s="2">
        <v>1527</v>
      </c>
      <c r="C16407" s="4" t="str">
        <f>HYPERLINK("http://www.uniprot.org/uniprot/M5VP38","M5VP38")</f>
        <v>M5VP38</v>
      </c>
      <c r="D16407" s="2" t="s">
        <v>13015</v>
      </c>
      <c r="E16407" s="3">
        <v>0</v>
      </c>
      <c r="F16407" s="2">
        <v>1984</v>
      </c>
      <c r="G16407" s="2">
        <v>95</v>
      </c>
      <c r="H16407" s="2">
        <v>392</v>
      </c>
      <c r="I16407" s="2">
        <v>311</v>
      </c>
      <c r="J16407" s="2">
        <v>1486</v>
      </c>
      <c r="K16407" s="2">
        <v>2</v>
      </c>
      <c r="L16407" s="2">
        <v>377</v>
      </c>
    </row>
    <row r="16408" spans="1:12" x14ac:dyDescent="0.25">
      <c r="A16408" s="4" t="str">
        <f>HYPERLINK("http://www.rosaceae.org/Prunus/Prunus_persica/p.persica_gdr_reftransV1_0015376","p.persica_gdr_reftransV1_0015376")</f>
        <v>p.persica_gdr_reftransV1_0015376</v>
      </c>
      <c r="B16408" s="2">
        <v>858</v>
      </c>
      <c r="C16408" s="4" t="str">
        <f>HYPERLINK("http://www.uniprot.org/uniprot/M5VR73","M5VR73")</f>
        <v>M5VR73</v>
      </c>
      <c r="D16408" s="2" t="s">
        <v>13016</v>
      </c>
      <c r="E16408" s="3">
        <v>8.4899999999999998E-132</v>
      </c>
      <c r="F16408" s="2">
        <v>985</v>
      </c>
      <c r="G16408" s="2">
        <v>95</v>
      </c>
      <c r="H16408" s="2">
        <v>197</v>
      </c>
      <c r="I16408" s="2">
        <v>88</v>
      </c>
      <c r="J16408" s="2">
        <v>651</v>
      </c>
      <c r="K16408" s="2">
        <v>1</v>
      </c>
      <c r="L16408" s="2">
        <v>197</v>
      </c>
    </row>
    <row r="16409" spans="1:12" x14ac:dyDescent="0.25">
      <c r="A16409" s="4" t="str">
        <f>HYPERLINK("http://www.rosaceae.org/Prunus/Prunus_persica/p.persica_gdr_reftransV1_0016076","p.persica_gdr_reftransV1_0016076")</f>
        <v>p.persica_gdr_reftransV1_0016076</v>
      </c>
      <c r="B16409" s="2">
        <v>2807</v>
      </c>
      <c r="C16409" s="4" t="str">
        <f>HYPERLINK("http://www.uniprot.org/uniprot/M5XF14","M5XF14")</f>
        <v>M5XF14</v>
      </c>
      <c r="D16409" s="2" t="s">
        <v>13017</v>
      </c>
      <c r="E16409" s="3">
        <v>5.1000000000000001E-135</v>
      </c>
      <c r="F16409" s="2">
        <v>929</v>
      </c>
      <c r="G16409" s="2">
        <v>100</v>
      </c>
      <c r="H16409" s="2">
        <v>176</v>
      </c>
      <c r="I16409" s="2">
        <v>2148</v>
      </c>
      <c r="J16409" s="2">
        <v>2675</v>
      </c>
      <c r="K16409" s="2">
        <v>1</v>
      </c>
      <c r="L16409" s="2">
        <v>176</v>
      </c>
    </row>
    <row r="16410" spans="1:12" x14ac:dyDescent="0.25">
      <c r="A16410" s="4" t="str">
        <f>HYPERLINK("http://www.rosaceae.org/Prunus/Prunus_persica/p.persica_gdr_reftransV1_0016776","p.persica_gdr_reftransV1_0016776")</f>
        <v>p.persica_gdr_reftransV1_0016776</v>
      </c>
      <c r="B16410" s="2">
        <v>2215</v>
      </c>
      <c r="C16410" s="4" t="str">
        <f>HYPERLINK("http://www.uniprot.org/uniprot/M5X215","M5X215")</f>
        <v>M5X215</v>
      </c>
      <c r="D16410" s="2" t="s">
        <v>8202</v>
      </c>
      <c r="E16410" s="3">
        <v>0</v>
      </c>
      <c r="F16410" s="2">
        <v>3091</v>
      </c>
      <c r="G16410" s="2">
        <v>100</v>
      </c>
      <c r="H16410" s="2">
        <v>586</v>
      </c>
      <c r="I16410" s="2">
        <v>456</v>
      </c>
      <c r="J16410" s="2">
        <v>2213</v>
      </c>
      <c r="K16410" s="2">
        <v>184</v>
      </c>
      <c r="L16410" s="2">
        <v>769</v>
      </c>
    </row>
    <row r="16411" spans="1:12" x14ac:dyDescent="0.25">
      <c r="A16411" s="4" t="str">
        <f>HYPERLINK("http://www.rosaceae.org/Prunus/Prunus_persica/p.persica_gdr_reftransV1_0017126","p.persica_gdr_reftransV1_0017126")</f>
        <v>p.persica_gdr_reftransV1_0017126</v>
      </c>
      <c r="B16411" s="2">
        <v>3805</v>
      </c>
      <c r="C16411" s="4" t="str">
        <f>HYPERLINK("http://www.uniprot.org/uniprot/M5WIY5","M5WIY5")</f>
        <v>M5WIY5</v>
      </c>
      <c r="D16411" s="2" t="s">
        <v>13018</v>
      </c>
      <c r="E16411" s="3">
        <v>0</v>
      </c>
      <c r="F16411" s="2">
        <v>4829</v>
      </c>
      <c r="G16411" s="2">
        <v>94</v>
      </c>
      <c r="H16411" s="2">
        <v>1091</v>
      </c>
      <c r="I16411" s="2">
        <v>297</v>
      </c>
      <c r="J16411" s="2">
        <v>3569</v>
      </c>
      <c r="K16411" s="2">
        <v>1</v>
      </c>
      <c r="L16411" s="2">
        <v>1038</v>
      </c>
    </row>
    <row r="16412" spans="1:12" x14ac:dyDescent="0.25">
      <c r="A16412" s="4" t="str">
        <f>HYPERLINK("http://www.rosaceae.org/Prunus/Prunus_persica/p.persica_gdr_reftransV1_0017476","p.persica_gdr_reftransV1_0017476")</f>
        <v>p.persica_gdr_reftransV1_0017476</v>
      </c>
      <c r="B16412" s="2">
        <v>1062</v>
      </c>
      <c r="C16412" s="4" t="str">
        <f>HYPERLINK("http://www.uniprot.org/uniprot/M5XJ17","M5XJ17")</f>
        <v>M5XJ17</v>
      </c>
      <c r="D16412" s="2" t="s">
        <v>7276</v>
      </c>
      <c r="E16412" s="3">
        <v>9.1300000000000006E-36</v>
      </c>
      <c r="F16412" s="2">
        <v>376</v>
      </c>
      <c r="G16412" s="2">
        <v>100</v>
      </c>
      <c r="H16412" s="2">
        <v>131</v>
      </c>
      <c r="I16412" s="2">
        <v>496</v>
      </c>
      <c r="J16412" s="2">
        <v>888</v>
      </c>
      <c r="K16412" s="2">
        <v>1</v>
      </c>
      <c r="L16412" s="2">
        <v>131</v>
      </c>
    </row>
    <row r="16413" spans="1:12" x14ac:dyDescent="0.25">
      <c r="A16413" s="4" t="str">
        <f>HYPERLINK("http://www.rosaceae.org/Prunus/Prunus_persica/p.persica_gdr_reftransV1_0019226","p.persica_gdr_reftransV1_0019226")</f>
        <v>p.persica_gdr_reftransV1_0019226</v>
      </c>
      <c r="B16413" s="2">
        <v>1237</v>
      </c>
      <c r="C16413" s="4" t="str">
        <f>HYPERLINK("http://www.uniprot.org/uniprot/M5WCC8","M5WCC8")</f>
        <v>M5WCC8</v>
      </c>
      <c r="D16413" s="2" t="s">
        <v>13019</v>
      </c>
      <c r="E16413" s="3">
        <v>6.3500000000000003E-176</v>
      </c>
      <c r="F16413" s="2">
        <v>1297</v>
      </c>
      <c r="G16413" s="2">
        <v>99</v>
      </c>
      <c r="H16413" s="2">
        <v>265</v>
      </c>
      <c r="I16413" s="2">
        <v>70</v>
      </c>
      <c r="J16413" s="2">
        <v>864</v>
      </c>
      <c r="K16413" s="2">
        <v>1</v>
      </c>
      <c r="L16413" s="2">
        <v>265</v>
      </c>
    </row>
    <row r="16414" spans="1:12" x14ac:dyDescent="0.25">
      <c r="A16414" s="4" t="str">
        <f>HYPERLINK("http://www.rosaceae.org/Prunus/Prunus_persica/p.persica_gdr_reftransV1_0019926","p.persica_gdr_reftransV1_0019926")</f>
        <v>p.persica_gdr_reftransV1_0019926</v>
      </c>
      <c r="B16414" s="2">
        <v>3095</v>
      </c>
      <c r="C16414" s="4" t="str">
        <f>HYPERLINK("http://www.uniprot.org/uniprot/M5WHK7","M5WHK7")</f>
        <v>M5WHK7</v>
      </c>
      <c r="D16414" s="2" t="s">
        <v>13020</v>
      </c>
      <c r="E16414" s="3">
        <v>0</v>
      </c>
      <c r="F16414" s="2">
        <v>2599</v>
      </c>
      <c r="G16414" s="2">
        <v>100</v>
      </c>
      <c r="H16414" s="2">
        <v>519</v>
      </c>
      <c r="I16414" s="2">
        <v>1113</v>
      </c>
      <c r="J16414" s="2">
        <v>2669</v>
      </c>
      <c r="K16414" s="2">
        <v>9</v>
      </c>
      <c r="L16414" s="2">
        <v>527</v>
      </c>
    </row>
    <row r="16415" spans="1:12" x14ac:dyDescent="0.25">
      <c r="A16415" s="4" t="str">
        <f>HYPERLINK("http://www.rosaceae.org/Prunus/Prunus_persica/p.persica_gdr_reftransV1_0020626","p.persica_gdr_reftransV1_0020626")</f>
        <v>p.persica_gdr_reftransV1_0020626</v>
      </c>
      <c r="B16415" s="2">
        <v>868</v>
      </c>
      <c r="C16415" s="4" t="str">
        <f>HYPERLINK("http://www.uniprot.org/uniprot/M5XI77","M5XI77")</f>
        <v>M5XI77</v>
      </c>
      <c r="D16415" s="2" t="s">
        <v>13021</v>
      </c>
      <c r="E16415" s="3">
        <v>2.69E-128</v>
      </c>
      <c r="F16415" s="2">
        <v>965</v>
      </c>
      <c r="G16415" s="2">
        <v>100</v>
      </c>
      <c r="H16415" s="2">
        <v>223</v>
      </c>
      <c r="I16415" s="2">
        <v>11</v>
      </c>
      <c r="J16415" s="2">
        <v>679</v>
      </c>
      <c r="K16415" s="2">
        <v>1</v>
      </c>
      <c r="L16415" s="2">
        <v>223</v>
      </c>
    </row>
    <row r="16416" spans="1:12" x14ac:dyDescent="0.25">
      <c r="A16416" s="4" t="str">
        <f>HYPERLINK("http://www.rosaceae.org/Prunus/Prunus_persica/p.persica_gdr_reftransV1_0021676","p.persica_gdr_reftransV1_0021676")</f>
        <v>p.persica_gdr_reftransV1_0021676</v>
      </c>
      <c r="B16416" s="2">
        <v>863</v>
      </c>
      <c r="C16416" s="4" t="str">
        <f>HYPERLINK("http://www.uniprot.org/uniprot/M5XFR9","M5XFR9")</f>
        <v>M5XFR9</v>
      </c>
      <c r="D16416" s="2" t="s">
        <v>13022</v>
      </c>
      <c r="E16416" s="3">
        <v>1.1500000000000001E-167</v>
      </c>
      <c r="F16416" s="2">
        <v>1248</v>
      </c>
      <c r="G16416" s="2">
        <v>100</v>
      </c>
      <c r="H16416" s="2">
        <v>254</v>
      </c>
      <c r="I16416" s="2">
        <v>2</v>
      </c>
      <c r="J16416" s="2">
        <v>763</v>
      </c>
      <c r="K16416" s="2">
        <v>209</v>
      </c>
      <c r="L16416" s="2">
        <v>462</v>
      </c>
    </row>
    <row r="16417" spans="1:12" x14ac:dyDescent="0.25">
      <c r="A16417" s="4" t="str">
        <f>HYPERLINK("http://www.rosaceae.org/Prunus/Prunus_persica/p.persica_gdr_reftransV1_0023076","p.persica_gdr_reftransV1_0023076")</f>
        <v>p.persica_gdr_reftransV1_0023076</v>
      </c>
      <c r="B16417" s="2">
        <v>1364</v>
      </c>
      <c r="C16417" s="4" t="str">
        <f>HYPERLINK("http://www.uniprot.org/uniprot/M5WW68","M5WW68")</f>
        <v>M5WW68</v>
      </c>
      <c r="D16417" s="2" t="s">
        <v>308</v>
      </c>
      <c r="E16417" s="3">
        <v>2.1900000000000001E-26</v>
      </c>
      <c r="F16417" s="2">
        <v>276</v>
      </c>
      <c r="G16417" s="2">
        <v>100</v>
      </c>
      <c r="H16417" s="2">
        <v>69</v>
      </c>
      <c r="I16417" s="2">
        <v>1068</v>
      </c>
      <c r="J16417" s="2">
        <v>1274</v>
      </c>
      <c r="K16417" s="2">
        <v>1</v>
      </c>
      <c r="L16417" s="2">
        <v>69</v>
      </c>
    </row>
    <row r="16418" spans="1:12" x14ac:dyDescent="0.25">
      <c r="A16418" s="4" t="str">
        <f>HYPERLINK("http://www.rosaceae.org/Prunus/Prunus_persica/p.persica_gdr_reftransV1_0023426","p.persica_gdr_reftransV1_0023426")</f>
        <v>p.persica_gdr_reftransV1_0023426</v>
      </c>
      <c r="B16418" s="2">
        <v>1031</v>
      </c>
      <c r="C16418" s="4" t="str">
        <f>HYPERLINK("http://www.uniprot.org/uniprot/M5VRS1","M5VRS1")</f>
        <v>M5VRS1</v>
      </c>
      <c r="D16418" s="2" t="s">
        <v>13023</v>
      </c>
      <c r="E16418" s="3">
        <v>3.3099999999999998E-167</v>
      </c>
      <c r="F16418" s="2">
        <v>1228</v>
      </c>
      <c r="G16418" s="2">
        <v>100</v>
      </c>
      <c r="H16418" s="2">
        <v>230</v>
      </c>
      <c r="I16418" s="2">
        <v>234</v>
      </c>
      <c r="J16418" s="2">
        <v>923</v>
      </c>
      <c r="K16418" s="2">
        <v>1</v>
      </c>
      <c r="L16418" s="2">
        <v>230</v>
      </c>
    </row>
    <row r="16419" spans="1:12" x14ac:dyDescent="0.25">
      <c r="A16419" s="4" t="str">
        <f>HYPERLINK("http://www.rosaceae.org/Prunus/Prunus_persica/p.persica_gdr_reftransV1_0024476","p.persica_gdr_reftransV1_0024476")</f>
        <v>p.persica_gdr_reftransV1_0024476</v>
      </c>
      <c r="B16419" s="2">
        <v>901</v>
      </c>
      <c r="C16419" s="4" t="str">
        <f>HYPERLINK("http://www.uniprot.org/uniprot/M5WJQ4","M5WJQ4")</f>
        <v>M5WJQ4</v>
      </c>
      <c r="D16419" s="2" t="s">
        <v>7156</v>
      </c>
      <c r="E16419" s="3">
        <v>3.74E-34</v>
      </c>
      <c r="F16419" s="2">
        <v>338</v>
      </c>
      <c r="G16419" s="2">
        <v>100</v>
      </c>
      <c r="H16419" s="2">
        <v>105</v>
      </c>
      <c r="I16419" s="2">
        <v>444</v>
      </c>
      <c r="J16419" s="2">
        <v>758</v>
      </c>
      <c r="K16419" s="2">
        <v>1</v>
      </c>
      <c r="L16419" s="2">
        <v>105</v>
      </c>
    </row>
    <row r="16420" spans="1:12" x14ac:dyDescent="0.25">
      <c r="A16420" s="4" t="str">
        <f>HYPERLINK("http://www.rosaceae.org/Prunus/Prunus_persica/p.persica_gdr_reftransV1_0024826","p.persica_gdr_reftransV1_0024826")</f>
        <v>p.persica_gdr_reftransV1_0024826</v>
      </c>
      <c r="B16420" s="2">
        <v>1174</v>
      </c>
      <c r="C16420" s="4" t="str">
        <f>HYPERLINK("http://www.uniprot.org/uniprot/M5VUE7","M5VUE7")</f>
        <v>M5VUE7</v>
      </c>
      <c r="D16420" s="2" t="s">
        <v>396</v>
      </c>
      <c r="E16420" s="3">
        <v>0</v>
      </c>
      <c r="F16420" s="2">
        <v>1667</v>
      </c>
      <c r="G16420" s="2">
        <v>100</v>
      </c>
      <c r="H16420" s="2">
        <v>333</v>
      </c>
      <c r="I16420" s="2">
        <v>3</v>
      </c>
      <c r="J16420" s="2">
        <v>1001</v>
      </c>
      <c r="K16420" s="2">
        <v>1</v>
      </c>
      <c r="L16420" s="2">
        <v>333</v>
      </c>
    </row>
    <row r="16421" spans="1:12" x14ac:dyDescent="0.25">
      <c r="A16421" s="4" t="str">
        <f>HYPERLINK("http://www.rosaceae.org/Prunus/Prunus_persica/p.persica_gdr_reftransV1_0025176","p.persica_gdr_reftransV1_0025176")</f>
        <v>p.persica_gdr_reftransV1_0025176</v>
      </c>
      <c r="B16421" s="2">
        <v>3746</v>
      </c>
      <c r="C16421" s="4" t="str">
        <f>HYPERLINK("http://www.uniprot.org/uniprot/M5X6S2","M5X6S2")</f>
        <v>M5X6S2</v>
      </c>
      <c r="D16421" s="2" t="s">
        <v>13024</v>
      </c>
      <c r="E16421" s="3">
        <v>0</v>
      </c>
      <c r="F16421" s="2">
        <v>5335</v>
      </c>
      <c r="G16421" s="2">
        <v>100</v>
      </c>
      <c r="H16421" s="2">
        <v>1077</v>
      </c>
      <c r="I16421" s="2">
        <v>160</v>
      </c>
      <c r="J16421" s="2">
        <v>3390</v>
      </c>
      <c r="K16421" s="2">
        <v>1</v>
      </c>
      <c r="L16421" s="2">
        <v>1077</v>
      </c>
    </row>
    <row r="16422" spans="1:12" x14ac:dyDescent="0.25">
      <c r="A16422" s="4" t="str">
        <f>HYPERLINK("http://www.rosaceae.org/Prunus/Prunus_persica/p.persica_gdr_reftransV1_0026576","p.persica_gdr_reftransV1_0026576")</f>
        <v>p.persica_gdr_reftransV1_0026576</v>
      </c>
      <c r="B16422" s="2">
        <v>703</v>
      </c>
      <c r="C16422" s="4" t="str">
        <f>HYPERLINK("http://www.uniprot.org/uniprot/M5XHQ7","M5XHQ7")</f>
        <v>M5XHQ7</v>
      </c>
      <c r="D16422" s="2" t="s">
        <v>13025</v>
      </c>
      <c r="E16422" s="3">
        <v>7.8299999999999996E-85</v>
      </c>
      <c r="F16422" s="2">
        <v>671</v>
      </c>
      <c r="G16422" s="2">
        <v>59</v>
      </c>
      <c r="H16422" s="2">
        <v>216</v>
      </c>
      <c r="I16422" s="2">
        <v>38</v>
      </c>
      <c r="J16422" s="2">
        <v>685</v>
      </c>
      <c r="K16422" s="2">
        <v>3</v>
      </c>
      <c r="L16422" s="2">
        <v>194</v>
      </c>
    </row>
    <row r="16423" spans="1:12" x14ac:dyDescent="0.25">
      <c r="A16423" s="4" t="str">
        <f>HYPERLINK("http://www.rosaceae.org/Prunus/Prunus_persica/p.persica_gdr_reftransV1_0026926","p.persica_gdr_reftransV1_0026926")</f>
        <v>p.persica_gdr_reftransV1_0026926</v>
      </c>
      <c r="B16423" s="2">
        <v>1600</v>
      </c>
      <c r="C16423" s="4" t="str">
        <f>HYPERLINK("http://www.uniprot.org/uniprot/M5X9X9","M5X9X9")</f>
        <v>M5X9X9</v>
      </c>
      <c r="D16423" s="2" t="s">
        <v>13026</v>
      </c>
      <c r="E16423" s="3">
        <v>0</v>
      </c>
      <c r="F16423" s="2">
        <v>1704</v>
      </c>
      <c r="G16423" s="2">
        <v>100</v>
      </c>
      <c r="H16423" s="2">
        <v>320</v>
      </c>
      <c r="I16423" s="2">
        <v>205</v>
      </c>
      <c r="J16423" s="2">
        <v>1164</v>
      </c>
      <c r="K16423" s="2">
        <v>1</v>
      </c>
      <c r="L16423" s="2">
        <v>320</v>
      </c>
    </row>
    <row r="16424" spans="1:12" x14ac:dyDescent="0.25">
      <c r="A16424" s="4" t="str">
        <f>HYPERLINK("http://www.rosaceae.org/Prunus/Prunus_persica/p.persica_gdr_reftransV1_0027976","p.persica_gdr_reftransV1_0027976")</f>
        <v>p.persica_gdr_reftransV1_0027976</v>
      </c>
      <c r="B16424" s="2">
        <v>1877</v>
      </c>
      <c r="C16424" s="4" t="str">
        <f>HYPERLINK("http://www.uniprot.org/uniprot/M5WIM7","M5WIM7")</f>
        <v>M5WIM7</v>
      </c>
      <c r="D16424" s="2" t="s">
        <v>13027</v>
      </c>
      <c r="E16424" s="3">
        <v>0</v>
      </c>
      <c r="F16424" s="2">
        <v>1870</v>
      </c>
      <c r="G16424" s="2">
        <v>100</v>
      </c>
      <c r="H16424" s="2">
        <v>351</v>
      </c>
      <c r="I16424" s="2">
        <v>198</v>
      </c>
      <c r="J16424" s="2">
        <v>1250</v>
      </c>
      <c r="K16424" s="2">
        <v>1</v>
      </c>
      <c r="L16424" s="2">
        <v>351</v>
      </c>
    </row>
    <row r="16425" spans="1:12" x14ac:dyDescent="0.25">
      <c r="A16425" s="4" t="str">
        <f>HYPERLINK("http://www.rosaceae.org/Prunus/Prunus_persica/p.persica_gdr_reftransV1_0028326","p.persica_gdr_reftransV1_0028326")</f>
        <v>p.persica_gdr_reftransV1_0028326</v>
      </c>
      <c r="B16425" s="2">
        <v>1156</v>
      </c>
      <c r="C16425" s="4" t="str">
        <f>HYPERLINK("http://www.uniprot.org/uniprot/M5XTL4","M5XTL4")</f>
        <v>M5XTL4</v>
      </c>
      <c r="D16425" s="2" t="s">
        <v>13028</v>
      </c>
      <c r="E16425" s="3">
        <v>1.84E-43</v>
      </c>
      <c r="F16425" s="2">
        <v>401</v>
      </c>
      <c r="G16425" s="2">
        <v>100</v>
      </c>
      <c r="H16425" s="2">
        <v>123</v>
      </c>
      <c r="I16425" s="2">
        <v>546</v>
      </c>
      <c r="J16425" s="2">
        <v>914</v>
      </c>
      <c r="K16425" s="2">
        <v>19</v>
      </c>
      <c r="L16425" s="2">
        <v>141</v>
      </c>
    </row>
    <row r="16426" spans="1:12" x14ac:dyDescent="0.25">
      <c r="A16426" s="4" t="str">
        <f>HYPERLINK("http://www.rosaceae.org/Prunus/Prunus_persica/p.persica_gdr_reftransV1_0028676","p.persica_gdr_reftransV1_0028676")</f>
        <v>p.persica_gdr_reftransV1_0028676</v>
      </c>
      <c r="B16426" s="2">
        <v>1829</v>
      </c>
      <c r="C16426" s="4" t="str">
        <f>HYPERLINK("http://www.uniprot.org/uniprot/M5WU86","M5WU86")</f>
        <v>M5WU86</v>
      </c>
      <c r="D16426" s="2" t="s">
        <v>13029</v>
      </c>
      <c r="E16426" s="3">
        <v>0</v>
      </c>
      <c r="F16426" s="2">
        <v>1958</v>
      </c>
      <c r="G16426" s="2">
        <v>100</v>
      </c>
      <c r="H16426" s="2">
        <v>439</v>
      </c>
      <c r="I16426" s="2">
        <v>326</v>
      </c>
      <c r="J16426" s="2">
        <v>1642</v>
      </c>
      <c r="K16426" s="2">
        <v>1</v>
      </c>
      <c r="L16426" s="2">
        <v>439</v>
      </c>
    </row>
    <row r="16427" spans="1:12" x14ac:dyDescent="0.25">
      <c r="A16427" s="4" t="str">
        <f>HYPERLINK("http://www.rosaceae.org/Prunus/Prunus_persica/p.persica_gdr_reftransV1_0031126","p.persica_gdr_reftransV1_0031126")</f>
        <v>p.persica_gdr_reftransV1_0031126</v>
      </c>
      <c r="B16427" s="2">
        <v>2983</v>
      </c>
      <c r="C16427" s="4" t="str">
        <f>HYPERLINK("http://www.uniprot.org/uniprot/M5VVL0","M5VVL0")</f>
        <v>M5VVL0</v>
      </c>
      <c r="D16427" s="2" t="s">
        <v>11763</v>
      </c>
      <c r="E16427" s="3">
        <v>0</v>
      </c>
      <c r="F16427" s="2">
        <v>3286</v>
      </c>
      <c r="G16427" s="2">
        <v>100</v>
      </c>
      <c r="H16427" s="2">
        <v>662</v>
      </c>
      <c r="I16427" s="2">
        <v>574</v>
      </c>
      <c r="J16427" s="2">
        <v>2559</v>
      </c>
      <c r="K16427" s="2">
        <v>1</v>
      </c>
      <c r="L16427" s="2">
        <v>662</v>
      </c>
    </row>
    <row r="16428" spans="1:12" x14ac:dyDescent="0.25">
      <c r="A16428" s="4" t="str">
        <f>HYPERLINK("http://www.rosaceae.org/Prunus/Prunus_persica/p.persica_gdr_reftransV1_0032526","p.persica_gdr_reftransV1_0032526")</f>
        <v>p.persica_gdr_reftransV1_0032526</v>
      </c>
      <c r="B16428" s="2">
        <v>3937</v>
      </c>
      <c r="C16428" s="4" t="str">
        <f>HYPERLINK("http://www.uniprot.org/uniprot/M5W1Q1","M5W1Q1")</f>
        <v>M5W1Q1</v>
      </c>
      <c r="D16428" s="2" t="s">
        <v>13030</v>
      </c>
      <c r="E16428" s="3">
        <v>0</v>
      </c>
      <c r="F16428" s="2">
        <v>1727</v>
      </c>
      <c r="G16428" s="2">
        <v>100</v>
      </c>
      <c r="H16428" s="2">
        <v>370</v>
      </c>
      <c r="I16428" s="2">
        <v>2240</v>
      </c>
      <c r="J16428" s="2">
        <v>3349</v>
      </c>
      <c r="K16428" s="2">
        <v>23</v>
      </c>
      <c r="L16428" s="2">
        <v>392</v>
      </c>
    </row>
    <row r="16429" spans="1:12" x14ac:dyDescent="0.25">
      <c r="A16429" s="4" t="str">
        <f>HYPERLINK("http://www.rosaceae.org/Prunus/Prunus_persica/p.persica_gdr_reftransV1_0032876","p.persica_gdr_reftransV1_0032876")</f>
        <v>p.persica_gdr_reftransV1_0032876</v>
      </c>
      <c r="B16429" s="2">
        <v>2440</v>
      </c>
      <c r="C16429" s="4" t="str">
        <f>HYPERLINK("http://www.uniprot.org/uniprot/M5WB53","M5WB53")</f>
        <v>M5WB53</v>
      </c>
      <c r="D16429" s="2" t="s">
        <v>13031</v>
      </c>
      <c r="E16429" s="3">
        <v>8.2999999999999999E-44</v>
      </c>
      <c r="F16429" s="2">
        <v>412</v>
      </c>
      <c r="G16429" s="2">
        <v>100</v>
      </c>
      <c r="H16429" s="2">
        <v>77</v>
      </c>
      <c r="I16429" s="2">
        <v>1265</v>
      </c>
      <c r="J16429" s="2">
        <v>1495</v>
      </c>
      <c r="K16429" s="2">
        <v>1</v>
      </c>
      <c r="L16429" s="2">
        <v>77</v>
      </c>
    </row>
    <row r="16430" spans="1:12" x14ac:dyDescent="0.25">
      <c r="A16430" s="4" t="str">
        <f>HYPERLINK("http://www.rosaceae.org/Prunus/Prunus_persica/p.persica_gdr_reftransV1_0033926","p.persica_gdr_reftransV1_0033926")</f>
        <v>p.persica_gdr_reftransV1_0033926</v>
      </c>
      <c r="B16430" s="2">
        <v>2386</v>
      </c>
      <c r="C16430" s="4" t="str">
        <f>HYPERLINK("http://www.uniprot.org/uniprot/M5WFR2","M5WFR2")</f>
        <v>M5WFR2</v>
      </c>
      <c r="D16430" s="2" t="s">
        <v>13032</v>
      </c>
      <c r="E16430" s="3">
        <v>3.7900000000000001E-117</v>
      </c>
      <c r="F16430" s="2">
        <v>952</v>
      </c>
      <c r="G16430" s="2">
        <v>98</v>
      </c>
      <c r="H16430" s="2">
        <v>251</v>
      </c>
      <c r="I16430" s="2">
        <v>1497</v>
      </c>
      <c r="J16430" s="2">
        <v>2249</v>
      </c>
      <c r="K16430" s="2">
        <v>23</v>
      </c>
      <c r="L16430" s="2">
        <v>273</v>
      </c>
    </row>
    <row r="16431" spans="1:12" x14ac:dyDescent="0.25">
      <c r="A16431" s="4" t="str">
        <f>HYPERLINK("http://www.rosaceae.org/Prunus/Prunus_persica/p.persica_gdr_reftransV1_0036026","p.persica_gdr_reftransV1_0036026")</f>
        <v>p.persica_gdr_reftransV1_0036026</v>
      </c>
      <c r="B16431" s="2">
        <v>2532</v>
      </c>
      <c r="C16431" s="4" t="str">
        <f>HYPERLINK("http://www.uniprot.org/uniprot/M5WA59","M5WA59")</f>
        <v>M5WA59</v>
      </c>
      <c r="D16431" s="2" t="s">
        <v>13033</v>
      </c>
      <c r="E16431" s="3">
        <v>6.2100000000000003E-52</v>
      </c>
      <c r="F16431" s="2">
        <v>490</v>
      </c>
      <c r="G16431" s="2">
        <v>97</v>
      </c>
      <c r="H16431" s="2">
        <v>97</v>
      </c>
      <c r="I16431" s="2">
        <v>174</v>
      </c>
      <c r="J16431" s="2">
        <v>464</v>
      </c>
      <c r="K16431" s="2">
        <v>1</v>
      </c>
      <c r="L16431" s="2">
        <v>97</v>
      </c>
    </row>
    <row r="16432" spans="1:12" x14ac:dyDescent="0.25">
      <c r="A16432" s="4" t="str">
        <f>HYPERLINK("http://www.rosaceae.org/Prunus/Prunus_persica/p.persica_gdr_reftransV1_0036726","p.persica_gdr_reftransV1_0036726")</f>
        <v>p.persica_gdr_reftransV1_0036726</v>
      </c>
      <c r="B16432" s="2">
        <v>2853</v>
      </c>
      <c r="C16432" s="4" t="str">
        <f>HYPERLINK("http://www.uniprot.org/uniprot/M5XCH1","M5XCH1")</f>
        <v>M5XCH1</v>
      </c>
      <c r="D16432" s="2" t="s">
        <v>13034</v>
      </c>
      <c r="E16432" s="3">
        <v>1.8000000000000001E-138</v>
      </c>
      <c r="F16432" s="2">
        <v>1102</v>
      </c>
      <c r="G16432" s="2">
        <v>97</v>
      </c>
      <c r="H16432" s="2">
        <v>233</v>
      </c>
      <c r="I16432" s="2">
        <v>135</v>
      </c>
      <c r="J16432" s="2">
        <v>833</v>
      </c>
      <c r="K16432" s="2">
        <v>1</v>
      </c>
      <c r="L16432" s="2">
        <v>233</v>
      </c>
    </row>
    <row r="16433" spans="1:12" x14ac:dyDescent="0.25">
      <c r="A16433" s="4" t="str">
        <f>HYPERLINK("http://www.rosaceae.org/Prunus/Prunus_persica/p.persica_gdr_reftransV1_0037776","p.persica_gdr_reftransV1_0037776")</f>
        <v>p.persica_gdr_reftransV1_0037776</v>
      </c>
      <c r="B16433" s="2">
        <v>1211</v>
      </c>
      <c r="C16433" s="4" t="str">
        <f>HYPERLINK("http://www.uniprot.org/uniprot/M5VPB3","M5VPB3")</f>
        <v>M5VPB3</v>
      </c>
      <c r="D16433" s="2" t="s">
        <v>13035</v>
      </c>
      <c r="E16433" s="3">
        <v>1.5600000000000001E-180</v>
      </c>
      <c r="F16433" s="2">
        <v>1328</v>
      </c>
      <c r="G16433" s="2">
        <v>99</v>
      </c>
      <c r="H16433" s="2">
        <v>282</v>
      </c>
      <c r="I16433" s="2">
        <v>264</v>
      </c>
      <c r="J16433" s="2">
        <v>1109</v>
      </c>
      <c r="K16433" s="2">
        <v>1</v>
      </c>
      <c r="L16433" s="2">
        <v>281</v>
      </c>
    </row>
    <row r="16434" spans="1:12" x14ac:dyDescent="0.25">
      <c r="A16434" s="4" t="str">
        <f>HYPERLINK("http://www.rosaceae.org/Prunus/Prunus_persica/p.persica_gdr_reftransV1_0039176","p.persica_gdr_reftransV1_0039176")</f>
        <v>p.persica_gdr_reftransV1_0039176</v>
      </c>
      <c r="B16434" s="2">
        <v>2415</v>
      </c>
      <c r="C16434" s="4" t="str">
        <f>HYPERLINK("http://www.uniprot.org/uniprot/M5X001","M5X001")</f>
        <v>M5X001</v>
      </c>
      <c r="D16434" s="2" t="s">
        <v>7505</v>
      </c>
      <c r="E16434" s="3">
        <v>0</v>
      </c>
      <c r="F16434" s="2">
        <v>3422</v>
      </c>
      <c r="G16434" s="2">
        <v>100</v>
      </c>
      <c r="H16434" s="2">
        <v>673</v>
      </c>
      <c r="I16434" s="2">
        <v>396</v>
      </c>
      <c r="J16434" s="2">
        <v>2414</v>
      </c>
      <c r="K16434" s="2">
        <v>1</v>
      </c>
      <c r="L16434" s="2">
        <v>673</v>
      </c>
    </row>
    <row r="16435" spans="1:12" x14ac:dyDescent="0.25">
      <c r="A16435" s="4" t="str">
        <f>HYPERLINK("http://www.rosaceae.org/Prunus/Prunus_persica/p.persica_gdr_reftransV1_0041626","p.persica_gdr_reftransV1_0041626")</f>
        <v>p.persica_gdr_reftransV1_0041626</v>
      </c>
      <c r="B16435" s="2">
        <v>1891</v>
      </c>
      <c r="C16435" s="4" t="str">
        <f>HYPERLINK("http://www.uniprot.org/uniprot/W9RWW0","W9RWW0")</f>
        <v>W9RWW0</v>
      </c>
      <c r="D16435" s="2" t="s">
        <v>13036</v>
      </c>
      <c r="E16435" s="3">
        <v>3.3099999999999998E-55</v>
      </c>
      <c r="F16435" s="2">
        <v>539</v>
      </c>
      <c r="G16435" s="2">
        <v>88</v>
      </c>
      <c r="H16435" s="2">
        <v>252</v>
      </c>
      <c r="I16435" s="2">
        <v>111</v>
      </c>
      <c r="J16435" s="2">
        <v>866</v>
      </c>
      <c r="K16435" s="2">
        <v>70</v>
      </c>
      <c r="L16435" s="2">
        <v>321</v>
      </c>
    </row>
    <row r="16436" spans="1:12" x14ac:dyDescent="0.25">
      <c r="A16436" s="4" t="str">
        <f>HYPERLINK("http://www.rosaceae.org/Prunus/Prunus_persica/p.persica_gdr_reftransV1_0042676","p.persica_gdr_reftransV1_0042676")</f>
        <v>p.persica_gdr_reftransV1_0042676</v>
      </c>
      <c r="B16436" s="2">
        <v>1437</v>
      </c>
      <c r="C16436" s="4" t="str">
        <f>HYPERLINK("http://www.uniprot.org/uniprot/V4UD40","V4UD40")</f>
        <v>V4UD40</v>
      </c>
      <c r="D16436" s="2" t="s">
        <v>13037</v>
      </c>
      <c r="E16436" s="3">
        <v>4.02E-35</v>
      </c>
      <c r="F16436" s="2">
        <v>365</v>
      </c>
      <c r="G16436" s="2">
        <v>29</v>
      </c>
      <c r="H16436" s="2">
        <v>332</v>
      </c>
      <c r="I16436" s="2">
        <v>11</v>
      </c>
      <c r="J16436" s="2">
        <v>973</v>
      </c>
      <c r="K16436" s="2">
        <v>11</v>
      </c>
      <c r="L16436" s="2">
        <v>306</v>
      </c>
    </row>
    <row r="16437" spans="1:12" x14ac:dyDescent="0.25">
      <c r="A16437" s="4" t="str">
        <f>HYPERLINK("http://www.rosaceae.org/Prunus/Prunus_persica/p.persica_gdr_reftransV1_0043026","p.persica_gdr_reftransV1_0043026")</f>
        <v>p.persica_gdr_reftransV1_0043026</v>
      </c>
      <c r="B16437" s="2">
        <v>376</v>
      </c>
      <c r="C16437" s="4" t="str">
        <f>HYPERLINK("http://www.uniprot.org/uniprot/F7FWH2","F7FWH2")</f>
        <v>F7FWH2</v>
      </c>
      <c r="D16437" s="2" t="s">
        <v>13038</v>
      </c>
      <c r="E16437" s="3">
        <v>2.1500000000000002E-84</v>
      </c>
      <c r="F16437" s="2">
        <v>651</v>
      </c>
      <c r="G16437" s="2">
        <v>99</v>
      </c>
      <c r="H16437" s="2">
        <v>124</v>
      </c>
      <c r="I16437" s="2">
        <v>3</v>
      </c>
      <c r="J16437" s="2">
        <v>374</v>
      </c>
      <c r="K16437" s="2">
        <v>15</v>
      </c>
      <c r="L16437" s="2">
        <v>138</v>
      </c>
    </row>
    <row r="16438" spans="1:12" x14ac:dyDescent="0.25">
      <c r="A16438" s="4" t="str">
        <f>HYPERLINK("http://www.rosaceae.org/Prunus/Prunus_persica/p.persica_gdr_reftransV1_0043376","p.persica_gdr_reftransV1_0043376")</f>
        <v>p.persica_gdr_reftransV1_0043376</v>
      </c>
      <c r="B16438" s="2">
        <v>987</v>
      </c>
      <c r="C16438" s="4" t="str">
        <f>HYPERLINK("http://www.uniprot.org/uniprot/M5XB67","M5XB67")</f>
        <v>M5XB67</v>
      </c>
      <c r="D16438" s="2" t="s">
        <v>12111</v>
      </c>
      <c r="E16438" s="3">
        <v>1.0899999999999999E-82</v>
      </c>
      <c r="F16438" s="2">
        <v>661</v>
      </c>
      <c r="G16438" s="2">
        <v>100</v>
      </c>
      <c r="H16438" s="2">
        <v>155</v>
      </c>
      <c r="I16438" s="2">
        <v>401</v>
      </c>
      <c r="J16438" s="2">
        <v>865</v>
      </c>
      <c r="K16438" s="2">
        <v>1</v>
      </c>
      <c r="L16438" s="2">
        <v>155</v>
      </c>
    </row>
    <row r="16439" spans="1:12" x14ac:dyDescent="0.25">
      <c r="A16439" s="4" t="str">
        <f>HYPERLINK("http://www.rosaceae.org/Prunus/Prunus_persica/p.persica_gdr_reftransV1_0043726","p.persica_gdr_reftransV1_0043726")</f>
        <v>p.persica_gdr_reftransV1_0043726</v>
      </c>
      <c r="B16439" s="2">
        <v>560</v>
      </c>
      <c r="C16439" s="4" t="str">
        <f>HYPERLINK("http://www.uniprot.org/uniprot/M5W585","M5W585")</f>
        <v>M5W585</v>
      </c>
      <c r="D16439" s="2" t="s">
        <v>13039</v>
      </c>
      <c r="E16439" s="3">
        <v>2.3999999999999999E-68</v>
      </c>
      <c r="F16439" s="2">
        <v>567</v>
      </c>
      <c r="G16439" s="2">
        <v>100</v>
      </c>
      <c r="H16439" s="2">
        <v>107</v>
      </c>
      <c r="I16439" s="2">
        <v>3</v>
      </c>
      <c r="J16439" s="2">
        <v>323</v>
      </c>
      <c r="K16439" s="2">
        <v>1</v>
      </c>
      <c r="L16439" s="2">
        <v>107</v>
      </c>
    </row>
    <row r="16440" spans="1:12" x14ac:dyDescent="0.25">
      <c r="A16440" s="4" t="str">
        <f>HYPERLINK("http://www.rosaceae.org/Prunus/Prunus_persica/p.persica_gdr_reftransV1_0044076","p.persica_gdr_reftransV1_0044076")</f>
        <v>p.persica_gdr_reftransV1_0044076</v>
      </c>
      <c r="B16440" s="2">
        <v>544</v>
      </c>
      <c r="C16440" s="4" t="str">
        <f>HYPERLINK("http://www.uniprot.org/uniprot/M5XBR3","M5XBR3")</f>
        <v>M5XBR3</v>
      </c>
      <c r="D16440" s="2" t="s">
        <v>7702</v>
      </c>
      <c r="E16440" s="3">
        <v>1.8600000000000001E-70</v>
      </c>
      <c r="F16440" s="2">
        <v>592</v>
      </c>
      <c r="G16440" s="2">
        <v>99</v>
      </c>
      <c r="H16440" s="2">
        <v>116</v>
      </c>
      <c r="I16440" s="2">
        <v>197</v>
      </c>
      <c r="J16440" s="2">
        <v>544</v>
      </c>
      <c r="K16440" s="2">
        <v>374</v>
      </c>
      <c r="L16440" s="2">
        <v>489</v>
      </c>
    </row>
    <row r="16441" spans="1:12" x14ac:dyDescent="0.25">
      <c r="A16441" s="4" t="str">
        <f>HYPERLINK("http://www.rosaceae.org/Prunus/Prunus_persica/p.persica_gdr_reftransV1_0044426","p.persica_gdr_reftransV1_0044426")</f>
        <v>p.persica_gdr_reftransV1_0044426</v>
      </c>
      <c r="B16441" s="2">
        <v>417</v>
      </c>
      <c r="C16441" s="4" t="str">
        <f>HYPERLINK("http://www.uniprot.org/uniprot/M5VWS5","M5VWS5")</f>
        <v>M5VWS5</v>
      </c>
      <c r="D16441" s="2" t="s">
        <v>1069</v>
      </c>
      <c r="E16441" s="3">
        <v>3.59E-50</v>
      </c>
      <c r="F16441" s="2">
        <v>462</v>
      </c>
      <c r="G16441" s="2">
        <v>100</v>
      </c>
      <c r="H16441" s="2">
        <v>94</v>
      </c>
      <c r="I16441" s="2">
        <v>134</v>
      </c>
      <c r="J16441" s="2">
        <v>415</v>
      </c>
      <c r="K16441" s="2">
        <v>1</v>
      </c>
      <c r="L16441" s="2">
        <v>94</v>
      </c>
    </row>
    <row r="16442" spans="1:12" x14ac:dyDescent="0.25">
      <c r="A16442" s="4" t="str">
        <f>HYPERLINK("http://www.rosaceae.org/Prunus/Prunus_persica/p.persica_gdr_reftransV1_0044776","p.persica_gdr_reftransV1_0044776")</f>
        <v>p.persica_gdr_reftransV1_0044776</v>
      </c>
      <c r="B16442" s="2">
        <v>2616</v>
      </c>
      <c r="C16442" s="4" t="str">
        <f>HYPERLINK("http://www.uniprot.org/uniprot/A0A061EHT3","A0A061EHT3")</f>
        <v>A0A061EHT3</v>
      </c>
      <c r="D16442" s="2" t="s">
        <v>13040</v>
      </c>
      <c r="E16442" s="3">
        <v>0</v>
      </c>
      <c r="F16442" s="2">
        <v>2854</v>
      </c>
      <c r="G16442" s="2">
        <v>86</v>
      </c>
      <c r="H16442" s="2">
        <v>640</v>
      </c>
      <c r="I16442" s="2">
        <v>4</v>
      </c>
      <c r="J16442" s="2">
        <v>1920</v>
      </c>
      <c r="K16442" s="2">
        <v>667</v>
      </c>
      <c r="L16442" s="2">
        <v>1306</v>
      </c>
    </row>
    <row r="16443" spans="1:12" x14ac:dyDescent="0.25">
      <c r="A16443" s="4" t="str">
        <f>HYPERLINK("http://www.rosaceae.org/Prunus/Prunus_persica/p.persica_gdr_reftransV1_0045126","p.persica_gdr_reftransV1_0045126")</f>
        <v>p.persica_gdr_reftransV1_0045126</v>
      </c>
      <c r="B16443" s="2">
        <v>475</v>
      </c>
      <c r="C16443" s="4" t="str">
        <f>HYPERLINK("http://www.uniprot.org/uniprot/M5VMR3","M5VMR3")</f>
        <v>M5VMR3</v>
      </c>
      <c r="D16443" s="2" t="s">
        <v>13041</v>
      </c>
      <c r="E16443" s="3">
        <v>7.4599999999999996E-100</v>
      </c>
      <c r="F16443" s="2">
        <v>788</v>
      </c>
      <c r="G16443" s="2">
        <v>100</v>
      </c>
      <c r="H16443" s="2">
        <v>158</v>
      </c>
      <c r="I16443" s="2">
        <v>2</v>
      </c>
      <c r="J16443" s="2">
        <v>475</v>
      </c>
      <c r="K16443" s="2">
        <v>56</v>
      </c>
      <c r="L16443" s="2">
        <v>213</v>
      </c>
    </row>
    <row r="16444" spans="1:12" x14ac:dyDescent="0.25">
      <c r="A16444" s="4" t="str">
        <f>HYPERLINK("http://www.rosaceae.org/Prunus/Prunus_persica/p.persica_gdr_reftransV1_0045826","p.persica_gdr_reftransV1_0045826")</f>
        <v>p.persica_gdr_reftransV1_0045826</v>
      </c>
      <c r="B16444" s="2">
        <v>2602</v>
      </c>
      <c r="C16444" s="4" t="str">
        <f>HYPERLINK("http://www.uniprot.org/uniprot/M5WNI6","M5WNI6")</f>
        <v>M5WNI6</v>
      </c>
      <c r="D16444" s="2" t="s">
        <v>13042</v>
      </c>
      <c r="E16444" s="3">
        <v>0</v>
      </c>
      <c r="F16444" s="2">
        <v>3315</v>
      </c>
      <c r="G16444" s="2">
        <v>99</v>
      </c>
      <c r="H16444" s="2">
        <v>706</v>
      </c>
      <c r="I16444" s="2">
        <v>210</v>
      </c>
      <c r="J16444" s="2">
        <v>2327</v>
      </c>
      <c r="K16444" s="2">
        <v>1</v>
      </c>
      <c r="L16444" s="2">
        <v>699</v>
      </c>
    </row>
    <row r="16445" spans="1:12" x14ac:dyDescent="0.25">
      <c r="A16445" s="4" t="str">
        <f>HYPERLINK("http://www.rosaceae.org/Prunus/Prunus_persica/p.persica_gdr_reftransV1_0046176","p.persica_gdr_reftransV1_0046176")</f>
        <v>p.persica_gdr_reftransV1_0046176</v>
      </c>
      <c r="B16445" s="2">
        <v>1426</v>
      </c>
      <c r="C16445" s="4" t="str">
        <f>HYPERLINK("http://www.uniprot.org/uniprot/M5W886","M5W886")</f>
        <v>M5W886</v>
      </c>
      <c r="D16445" s="2" t="s">
        <v>13043</v>
      </c>
      <c r="E16445" s="3">
        <v>0</v>
      </c>
      <c r="F16445" s="2">
        <v>1393</v>
      </c>
      <c r="G16445" s="2">
        <v>86</v>
      </c>
      <c r="H16445" s="2">
        <v>318</v>
      </c>
      <c r="I16445" s="2">
        <v>97</v>
      </c>
      <c r="J16445" s="2">
        <v>963</v>
      </c>
      <c r="K16445" s="2">
        <v>1</v>
      </c>
      <c r="L16445" s="2">
        <v>318</v>
      </c>
    </row>
    <row r="16446" spans="1:12" x14ac:dyDescent="0.25">
      <c r="A16446" s="4" t="str">
        <f>HYPERLINK("http://www.rosaceae.org/Prunus/Prunus_persica/p.persica_gdr_reftransV1_0046526","p.persica_gdr_reftransV1_0046526")</f>
        <v>p.persica_gdr_reftransV1_0046526</v>
      </c>
      <c r="B16446" s="2">
        <v>1491</v>
      </c>
      <c r="C16446" s="4" t="str">
        <f>HYPERLINK("http://www.uniprot.org/uniprot/M5VQY6","M5VQY6")</f>
        <v>M5VQY6</v>
      </c>
      <c r="D16446" s="2" t="s">
        <v>360</v>
      </c>
      <c r="E16446" s="3">
        <v>2.1000000000000001E-71</v>
      </c>
      <c r="F16446" s="2">
        <v>606</v>
      </c>
      <c r="G16446" s="2">
        <v>100</v>
      </c>
      <c r="H16446" s="2">
        <v>190</v>
      </c>
      <c r="I16446" s="2">
        <v>671</v>
      </c>
      <c r="J16446" s="2">
        <v>1240</v>
      </c>
      <c r="K16446" s="2">
        <v>36</v>
      </c>
      <c r="L16446" s="2">
        <v>225</v>
      </c>
    </row>
    <row r="16447" spans="1:12" x14ac:dyDescent="0.25">
      <c r="A16447" s="4" t="str">
        <f>HYPERLINK("http://www.rosaceae.org/Prunus/Prunus_persica/p.persica_gdr_reftransV1_0046876","p.persica_gdr_reftransV1_0046876")</f>
        <v>p.persica_gdr_reftransV1_0046876</v>
      </c>
      <c r="B16447" s="2">
        <v>614</v>
      </c>
      <c r="C16447" s="4" t="str">
        <f>HYPERLINK("http://www.uniprot.org/uniprot/M5XIB2","M5XIB2")</f>
        <v>M5XIB2</v>
      </c>
      <c r="D16447" s="2" t="s">
        <v>13044</v>
      </c>
      <c r="E16447" s="3">
        <v>2.4100000000000001E-30</v>
      </c>
      <c r="F16447" s="2">
        <v>302</v>
      </c>
      <c r="G16447" s="2">
        <v>100</v>
      </c>
      <c r="H16447" s="2">
        <v>76</v>
      </c>
      <c r="I16447" s="2">
        <v>354</v>
      </c>
      <c r="J16447" s="2">
        <v>581</v>
      </c>
      <c r="K16447" s="2">
        <v>63</v>
      </c>
      <c r="L16447" s="2">
        <v>138</v>
      </c>
    </row>
    <row r="16448" spans="1:12" x14ac:dyDescent="0.25">
      <c r="A16448" s="4" t="str">
        <f>HYPERLINK("http://www.rosaceae.org/Prunus/Prunus_persica/p.persica_gdr_reftransV1_0047226","p.persica_gdr_reftransV1_0047226")</f>
        <v>p.persica_gdr_reftransV1_0047226</v>
      </c>
      <c r="B16448" s="2">
        <v>4064</v>
      </c>
      <c r="C16448" s="4" t="str">
        <f>HYPERLINK("http://www.uniprot.org/uniprot/M5WSC2","M5WSC2")</f>
        <v>M5WSC2</v>
      </c>
      <c r="D16448" s="2" t="s">
        <v>13045</v>
      </c>
      <c r="E16448" s="3">
        <v>0</v>
      </c>
      <c r="F16448" s="2">
        <v>4776</v>
      </c>
      <c r="G16448" s="2">
        <v>83</v>
      </c>
      <c r="H16448" s="2">
        <v>1147</v>
      </c>
      <c r="I16448" s="2">
        <v>256</v>
      </c>
      <c r="J16448" s="2">
        <v>3654</v>
      </c>
      <c r="K16448" s="2">
        <v>1</v>
      </c>
      <c r="L16448" s="2">
        <v>1139</v>
      </c>
    </row>
    <row r="16449" spans="1:12" x14ac:dyDescent="0.25">
      <c r="A16449" s="4" t="str">
        <f>HYPERLINK("http://www.rosaceae.org/Prunus/Prunus_persica/p.persica_gdr_reftransV1_0047576","p.persica_gdr_reftransV1_0047576")</f>
        <v>p.persica_gdr_reftransV1_0047576</v>
      </c>
      <c r="B16449" s="2">
        <v>493</v>
      </c>
      <c r="C16449" s="4" t="str">
        <f>HYPERLINK("http://www.uniprot.org/uniprot/M5XQP7","M5XQP7")</f>
        <v>M5XQP7</v>
      </c>
      <c r="D16449" s="2" t="s">
        <v>453</v>
      </c>
      <c r="E16449" s="3">
        <v>1.28E-114</v>
      </c>
      <c r="F16449" s="2">
        <v>899</v>
      </c>
      <c r="G16449" s="2">
        <v>100</v>
      </c>
      <c r="H16449" s="2">
        <v>164</v>
      </c>
      <c r="I16449" s="2">
        <v>1</v>
      </c>
      <c r="J16449" s="2">
        <v>492</v>
      </c>
      <c r="K16449" s="2">
        <v>291</v>
      </c>
      <c r="L16449" s="2">
        <v>454</v>
      </c>
    </row>
    <row r="16450" spans="1:12" x14ac:dyDescent="0.25">
      <c r="A16450" s="4" t="str">
        <f>HYPERLINK("http://www.rosaceae.org/Prunus/Prunus_persica/p.persica_gdr_reftransV1_0047926","p.persica_gdr_reftransV1_0047926")</f>
        <v>p.persica_gdr_reftransV1_0047926</v>
      </c>
      <c r="B16450" s="2">
        <v>1607</v>
      </c>
      <c r="C16450" s="4" t="str">
        <f>HYPERLINK("http://www.uniprot.org/uniprot/M5WE85","M5WE85")</f>
        <v>M5WE85</v>
      </c>
      <c r="D16450" s="2" t="s">
        <v>1467</v>
      </c>
      <c r="E16450" s="3">
        <v>0</v>
      </c>
      <c r="F16450" s="2">
        <v>2002</v>
      </c>
      <c r="G16450" s="2">
        <v>93</v>
      </c>
      <c r="H16450" s="2">
        <v>420</v>
      </c>
      <c r="I16450" s="2">
        <v>347</v>
      </c>
      <c r="J16450" s="2">
        <v>1606</v>
      </c>
      <c r="K16450" s="2">
        <v>1</v>
      </c>
      <c r="L16450" s="2">
        <v>391</v>
      </c>
    </row>
    <row r="16451" spans="1:12" x14ac:dyDescent="0.25">
      <c r="A16451" s="4" t="str">
        <f>HYPERLINK("http://www.rosaceae.org/Prunus/Prunus_persica/p.persica_gdr_reftransV1_0048276","p.persica_gdr_reftransV1_0048276")</f>
        <v>p.persica_gdr_reftransV1_0048276</v>
      </c>
      <c r="B16451" s="2">
        <v>461</v>
      </c>
      <c r="C16451" s="4" t="str">
        <f>HYPERLINK("http://www.uniprot.org/uniprot/M5W0I4","M5W0I4")</f>
        <v>M5W0I4</v>
      </c>
      <c r="D16451" s="2" t="s">
        <v>9840</v>
      </c>
      <c r="E16451" s="3">
        <v>2.5699999999999997E-88</v>
      </c>
      <c r="F16451" s="2">
        <v>699</v>
      </c>
      <c r="G16451" s="2">
        <v>100</v>
      </c>
      <c r="H16451" s="2">
        <v>136</v>
      </c>
      <c r="I16451" s="2">
        <v>53</v>
      </c>
      <c r="J16451" s="2">
        <v>460</v>
      </c>
      <c r="K16451" s="2">
        <v>18</v>
      </c>
      <c r="L16451" s="2">
        <v>153</v>
      </c>
    </row>
    <row r="16452" spans="1:12" x14ac:dyDescent="0.25">
      <c r="A16452" s="4" t="str">
        <f>HYPERLINK("http://www.rosaceae.org/Prunus/Prunus_persica/p.persica_gdr_reftransV1_0048976","p.persica_gdr_reftransV1_0048976")</f>
        <v>p.persica_gdr_reftransV1_0048976</v>
      </c>
      <c r="B16452" s="2">
        <v>2616</v>
      </c>
      <c r="C16452" s="4" t="str">
        <f>HYPERLINK("http://www.uniprot.org/uniprot/M5XIS2","M5XIS2")</f>
        <v>M5XIS2</v>
      </c>
      <c r="D16452" s="2" t="s">
        <v>13046</v>
      </c>
      <c r="E16452" s="3">
        <v>0</v>
      </c>
      <c r="F16452" s="2">
        <v>3308</v>
      </c>
      <c r="G16452" s="2">
        <v>100</v>
      </c>
      <c r="H16452" s="2">
        <v>675</v>
      </c>
      <c r="I16452" s="2">
        <v>78</v>
      </c>
      <c r="J16452" s="2">
        <v>2102</v>
      </c>
      <c r="K16452" s="2">
        <v>1</v>
      </c>
      <c r="L16452" s="2">
        <v>675</v>
      </c>
    </row>
    <row r="16453" spans="1:12" x14ac:dyDescent="0.25">
      <c r="A16453" s="4" t="str">
        <f>HYPERLINK("http://www.rosaceae.org/Prunus/Prunus_persica/p.persica_gdr_reftransV1_0000327","p.persica_gdr_reftransV1_0000327")</f>
        <v>p.persica_gdr_reftransV1_0000327</v>
      </c>
      <c r="B16453" s="2">
        <v>1416</v>
      </c>
      <c r="C16453" s="4" t="str">
        <f>HYPERLINK("http://www.uniprot.org/uniprot/M5VU71","M5VU71")</f>
        <v>M5VU71</v>
      </c>
      <c r="D16453" s="2" t="s">
        <v>13047</v>
      </c>
      <c r="E16453" s="3">
        <v>0</v>
      </c>
      <c r="F16453" s="2">
        <v>2302</v>
      </c>
      <c r="G16453" s="2">
        <v>91</v>
      </c>
      <c r="H16453" s="2">
        <v>464</v>
      </c>
      <c r="I16453" s="2">
        <v>25</v>
      </c>
      <c r="J16453" s="2">
        <v>1416</v>
      </c>
      <c r="K16453" s="2">
        <v>1</v>
      </c>
      <c r="L16453" s="2">
        <v>464</v>
      </c>
    </row>
    <row r="16454" spans="1:12" x14ac:dyDescent="0.25">
      <c r="A16454" s="4" t="str">
        <f>HYPERLINK("http://www.rosaceae.org/Prunus/Prunus_persica/p.persica_gdr_reftransV1_0000677","p.persica_gdr_reftransV1_0000677")</f>
        <v>p.persica_gdr_reftransV1_0000677</v>
      </c>
      <c r="B16454" s="2">
        <v>397</v>
      </c>
      <c r="C16454" s="4" t="str">
        <f>HYPERLINK("http://www.uniprot.org/uniprot/M5W587","M5W587")</f>
        <v>M5W587</v>
      </c>
      <c r="D16454" s="2" t="s">
        <v>13048</v>
      </c>
      <c r="E16454" s="3">
        <v>5.0399999999999996E-72</v>
      </c>
      <c r="F16454" s="2">
        <v>617</v>
      </c>
      <c r="G16454" s="2">
        <v>100</v>
      </c>
      <c r="H16454" s="2">
        <v>131</v>
      </c>
      <c r="I16454" s="2">
        <v>3</v>
      </c>
      <c r="J16454" s="2">
        <v>395</v>
      </c>
      <c r="K16454" s="2">
        <v>54</v>
      </c>
      <c r="L16454" s="2">
        <v>184</v>
      </c>
    </row>
    <row r="16455" spans="1:12" x14ac:dyDescent="0.25">
      <c r="A16455" s="4" t="str">
        <f>HYPERLINK("http://www.rosaceae.org/Prunus/Prunus_persica/p.persica_gdr_reftransV1_0001027","p.persica_gdr_reftransV1_0001027")</f>
        <v>p.persica_gdr_reftransV1_0001027</v>
      </c>
      <c r="B16455" s="2">
        <v>2244</v>
      </c>
      <c r="C16455" s="4" t="str">
        <f>HYPERLINK("http://www.uniprot.org/uniprot/M5WH73","M5WH73")</f>
        <v>M5WH73</v>
      </c>
      <c r="D16455" s="2" t="s">
        <v>13049</v>
      </c>
      <c r="E16455" s="3">
        <v>0</v>
      </c>
      <c r="F16455" s="2">
        <v>3054</v>
      </c>
      <c r="G16455" s="2">
        <v>95</v>
      </c>
      <c r="H16455" s="2">
        <v>604</v>
      </c>
      <c r="I16455" s="2">
        <v>241</v>
      </c>
      <c r="J16455" s="2">
        <v>2052</v>
      </c>
      <c r="K16455" s="2">
        <v>1</v>
      </c>
      <c r="L16455" s="2">
        <v>577</v>
      </c>
    </row>
    <row r="16456" spans="1:12" x14ac:dyDescent="0.25">
      <c r="A16456" s="4" t="str">
        <f>HYPERLINK("http://www.rosaceae.org/Prunus/Prunus_persica/p.persica_gdr_reftransV1_0001377","p.persica_gdr_reftransV1_0001377")</f>
        <v>p.persica_gdr_reftransV1_0001377</v>
      </c>
      <c r="B16456" s="2">
        <v>975</v>
      </c>
      <c r="C16456" s="4" t="str">
        <f>HYPERLINK("http://www.uniprot.org/uniprot/M5VSH2","M5VSH2")</f>
        <v>M5VSH2</v>
      </c>
      <c r="D16456" s="2" t="s">
        <v>2138</v>
      </c>
      <c r="E16456" s="3">
        <v>0</v>
      </c>
      <c r="F16456" s="2">
        <v>1718</v>
      </c>
      <c r="G16456" s="2">
        <v>100</v>
      </c>
      <c r="H16456" s="2">
        <v>325</v>
      </c>
      <c r="I16456" s="2">
        <v>1</v>
      </c>
      <c r="J16456" s="2">
        <v>975</v>
      </c>
      <c r="K16456" s="2">
        <v>591</v>
      </c>
      <c r="L16456" s="2">
        <v>915</v>
      </c>
    </row>
    <row r="16457" spans="1:12" x14ac:dyDescent="0.25">
      <c r="A16457" s="4" t="str">
        <f>HYPERLINK("http://www.rosaceae.org/Prunus/Prunus_persica/p.persica_gdr_reftransV1_0001727","p.persica_gdr_reftransV1_0001727")</f>
        <v>p.persica_gdr_reftransV1_0001727</v>
      </c>
      <c r="B16457" s="2">
        <v>561</v>
      </c>
      <c r="C16457" s="4" t="str">
        <f>HYPERLINK("http://www.uniprot.org/uniprot/M5WZ10","M5WZ10")</f>
        <v>M5WZ10</v>
      </c>
      <c r="D16457" s="2" t="s">
        <v>111</v>
      </c>
      <c r="E16457" s="3">
        <v>7.1599999999999999E-125</v>
      </c>
      <c r="F16457" s="2">
        <v>958</v>
      </c>
      <c r="G16457" s="2">
        <v>100</v>
      </c>
      <c r="H16457" s="2">
        <v>177</v>
      </c>
      <c r="I16457" s="2">
        <v>30</v>
      </c>
      <c r="J16457" s="2">
        <v>560</v>
      </c>
      <c r="K16457" s="2">
        <v>329</v>
      </c>
      <c r="L16457" s="2">
        <v>505</v>
      </c>
    </row>
    <row r="16458" spans="1:12" x14ac:dyDescent="0.25">
      <c r="A16458" s="4" t="str">
        <f>HYPERLINK("http://www.rosaceae.org/Prunus/Prunus_persica/p.persica_gdr_reftransV1_0002077","p.persica_gdr_reftransV1_0002077")</f>
        <v>p.persica_gdr_reftransV1_0002077</v>
      </c>
      <c r="B16458" s="2">
        <v>1852</v>
      </c>
      <c r="C16458" s="4" t="str">
        <f>HYPERLINK("http://www.uniprot.org/uniprot/M5WEB2","M5WEB2")</f>
        <v>M5WEB2</v>
      </c>
      <c r="D16458" s="2" t="s">
        <v>13050</v>
      </c>
      <c r="E16458" s="3">
        <v>0</v>
      </c>
      <c r="F16458" s="2">
        <v>2759</v>
      </c>
      <c r="G16458" s="2">
        <v>100</v>
      </c>
      <c r="H16458" s="2">
        <v>523</v>
      </c>
      <c r="I16458" s="2">
        <v>148</v>
      </c>
      <c r="J16458" s="2">
        <v>1716</v>
      </c>
      <c r="K16458" s="2">
        <v>1</v>
      </c>
      <c r="L16458" s="2">
        <v>523</v>
      </c>
    </row>
    <row r="16459" spans="1:12" x14ac:dyDescent="0.25">
      <c r="A16459" s="4" t="str">
        <f>HYPERLINK("http://www.rosaceae.org/Prunus/Prunus_persica/p.persica_gdr_reftransV1_0002427","p.persica_gdr_reftransV1_0002427")</f>
        <v>p.persica_gdr_reftransV1_0002427</v>
      </c>
      <c r="B16459" s="2">
        <v>1362</v>
      </c>
      <c r="C16459" s="4" t="str">
        <f>HYPERLINK("http://www.uniprot.org/uniprot/M5WQK7","M5WQK7")</f>
        <v>M5WQK7</v>
      </c>
      <c r="D16459" s="2" t="s">
        <v>1355</v>
      </c>
      <c r="E16459" s="3">
        <v>5.4499999999999997E-49</v>
      </c>
      <c r="F16459" s="2">
        <v>482</v>
      </c>
      <c r="G16459" s="2">
        <v>84</v>
      </c>
      <c r="H16459" s="2">
        <v>293</v>
      </c>
      <c r="I16459" s="2">
        <v>312</v>
      </c>
      <c r="J16459" s="2">
        <v>1160</v>
      </c>
      <c r="K16459" s="2">
        <v>1</v>
      </c>
      <c r="L16459" s="2">
        <v>265</v>
      </c>
    </row>
    <row r="16460" spans="1:12" x14ac:dyDescent="0.25">
      <c r="A16460" s="4" t="str">
        <f>HYPERLINK("http://www.rosaceae.org/Prunus/Prunus_persica/p.persica_gdr_reftransV1_0003477","p.persica_gdr_reftransV1_0003477")</f>
        <v>p.persica_gdr_reftransV1_0003477</v>
      </c>
      <c r="B16460" s="2">
        <v>2431</v>
      </c>
      <c r="C16460" s="4" t="str">
        <f>HYPERLINK("http://www.uniprot.org/uniprot/M5XNC0","M5XNC0")</f>
        <v>M5XNC0</v>
      </c>
      <c r="D16460" s="2" t="s">
        <v>13051</v>
      </c>
      <c r="E16460" s="3">
        <v>0</v>
      </c>
      <c r="F16460" s="2">
        <v>2359</v>
      </c>
      <c r="G16460" s="2">
        <v>100</v>
      </c>
      <c r="H16460" s="2">
        <v>514</v>
      </c>
      <c r="I16460" s="2">
        <v>402</v>
      </c>
      <c r="J16460" s="2">
        <v>1943</v>
      </c>
      <c r="K16460" s="2">
        <v>1</v>
      </c>
      <c r="L16460" s="2">
        <v>514</v>
      </c>
    </row>
    <row r="16461" spans="1:12" x14ac:dyDescent="0.25">
      <c r="A16461" s="4" t="str">
        <f>HYPERLINK("http://www.rosaceae.org/Prunus/Prunus_persica/p.persica_gdr_reftransV1_0003827","p.persica_gdr_reftransV1_0003827")</f>
        <v>p.persica_gdr_reftransV1_0003827</v>
      </c>
      <c r="B16461" s="2">
        <v>1291</v>
      </c>
      <c r="C16461" s="4" t="str">
        <f>HYPERLINK("http://www.uniprot.org/uniprot/M5W883","M5W883")</f>
        <v>M5W883</v>
      </c>
      <c r="D16461" s="2" t="s">
        <v>12506</v>
      </c>
      <c r="E16461" s="3">
        <v>0</v>
      </c>
      <c r="F16461" s="2">
        <v>1666</v>
      </c>
      <c r="G16461" s="2">
        <v>100</v>
      </c>
      <c r="H16461" s="2">
        <v>333</v>
      </c>
      <c r="I16461" s="2">
        <v>212</v>
      </c>
      <c r="J16461" s="2">
        <v>1210</v>
      </c>
      <c r="K16461" s="2">
        <v>1</v>
      </c>
      <c r="L16461" s="2">
        <v>333</v>
      </c>
    </row>
    <row r="16462" spans="1:12" x14ac:dyDescent="0.25">
      <c r="A16462" s="4" t="str">
        <f>HYPERLINK("http://www.rosaceae.org/Prunus/Prunus_persica/p.persica_gdr_reftransV1_0004177","p.persica_gdr_reftransV1_0004177")</f>
        <v>p.persica_gdr_reftransV1_0004177</v>
      </c>
      <c r="B16462" s="2">
        <v>718</v>
      </c>
      <c r="C16462" s="4" t="str">
        <f>HYPERLINK("http://www.uniprot.org/uniprot/M5VYG5","M5VYG5")</f>
        <v>M5VYG5</v>
      </c>
      <c r="D16462" s="2" t="s">
        <v>7600</v>
      </c>
      <c r="E16462" s="3">
        <v>7.7799999999999996E-139</v>
      </c>
      <c r="F16462" s="2">
        <v>1047</v>
      </c>
      <c r="G16462" s="2">
        <v>100</v>
      </c>
      <c r="H16462" s="2">
        <v>238</v>
      </c>
      <c r="I16462" s="2">
        <v>3</v>
      </c>
      <c r="J16462" s="2">
        <v>716</v>
      </c>
      <c r="K16462" s="2">
        <v>4</v>
      </c>
      <c r="L16462" s="2">
        <v>241</v>
      </c>
    </row>
    <row r="16463" spans="1:12" x14ac:dyDescent="0.25">
      <c r="A16463" s="4" t="str">
        <f>HYPERLINK("http://www.rosaceae.org/Prunus/Prunus_persica/p.persica_gdr_reftransV1_0004527","p.persica_gdr_reftransV1_0004527")</f>
        <v>p.persica_gdr_reftransV1_0004527</v>
      </c>
      <c r="B16463" s="2">
        <v>1761</v>
      </c>
      <c r="C16463" s="4" t="str">
        <f>HYPERLINK("http://www.uniprot.org/uniprot/M5WBU1","M5WBU1")</f>
        <v>M5WBU1</v>
      </c>
      <c r="D16463" s="2" t="s">
        <v>11997</v>
      </c>
      <c r="E16463" s="3">
        <v>0</v>
      </c>
      <c r="F16463" s="2">
        <v>1516</v>
      </c>
      <c r="G16463" s="2">
        <v>100</v>
      </c>
      <c r="H16463" s="2">
        <v>326</v>
      </c>
      <c r="I16463" s="2">
        <v>177</v>
      </c>
      <c r="J16463" s="2">
        <v>1154</v>
      </c>
      <c r="K16463" s="2">
        <v>1</v>
      </c>
      <c r="L16463" s="2">
        <v>326</v>
      </c>
    </row>
    <row r="16464" spans="1:12" x14ac:dyDescent="0.25">
      <c r="A16464" s="4" t="str">
        <f>HYPERLINK("http://www.rosaceae.org/Prunus/Prunus_persica/p.persica_gdr_reftransV1_0005577","p.persica_gdr_reftransV1_0005577")</f>
        <v>p.persica_gdr_reftransV1_0005577</v>
      </c>
      <c r="B16464" s="2">
        <v>1396</v>
      </c>
      <c r="C16464" s="4" t="str">
        <f>HYPERLINK("http://www.uniprot.org/uniprot/M5XUA3","M5XUA3")</f>
        <v>M5XUA3</v>
      </c>
      <c r="D16464" s="2" t="s">
        <v>9118</v>
      </c>
      <c r="E16464" s="3">
        <v>0</v>
      </c>
      <c r="F16464" s="2">
        <v>2223</v>
      </c>
      <c r="G16464" s="2">
        <v>100</v>
      </c>
      <c r="H16464" s="2">
        <v>459</v>
      </c>
      <c r="I16464" s="2">
        <v>20</v>
      </c>
      <c r="J16464" s="2">
        <v>1396</v>
      </c>
      <c r="K16464" s="2">
        <v>1</v>
      </c>
      <c r="L16464" s="2">
        <v>459</v>
      </c>
    </row>
    <row r="16465" spans="1:12" x14ac:dyDescent="0.25">
      <c r="A16465" s="4" t="str">
        <f>HYPERLINK("http://www.rosaceae.org/Prunus/Prunus_persica/p.persica_gdr_reftransV1_0005927","p.persica_gdr_reftransV1_0005927")</f>
        <v>p.persica_gdr_reftransV1_0005927</v>
      </c>
      <c r="B16465" s="2">
        <v>507</v>
      </c>
      <c r="C16465" s="4" t="str">
        <f>HYPERLINK("http://www.uniprot.org/uniprot/M5W9R5","M5W9R5")</f>
        <v>M5W9R5</v>
      </c>
      <c r="D16465" s="2" t="s">
        <v>13052</v>
      </c>
      <c r="E16465" s="3">
        <v>1.0300000000000001E-114</v>
      </c>
      <c r="F16465" s="2">
        <v>891</v>
      </c>
      <c r="G16465" s="2">
        <v>100</v>
      </c>
      <c r="H16465" s="2">
        <v>167</v>
      </c>
      <c r="I16465" s="2">
        <v>6</v>
      </c>
      <c r="J16465" s="2">
        <v>506</v>
      </c>
      <c r="K16465" s="2">
        <v>244</v>
      </c>
      <c r="L16465" s="2">
        <v>410</v>
      </c>
    </row>
    <row r="16466" spans="1:12" x14ac:dyDescent="0.25">
      <c r="A16466" s="4" t="str">
        <f>HYPERLINK("http://www.rosaceae.org/Prunus/Prunus_persica/p.persica_gdr_reftransV1_0006627","p.persica_gdr_reftransV1_0006627")</f>
        <v>p.persica_gdr_reftransV1_0006627</v>
      </c>
      <c r="B16466" s="2">
        <v>491</v>
      </c>
      <c r="C16466" s="4" t="str">
        <f>HYPERLINK("http://www.uniprot.org/uniprot/M5WE59","M5WE59")</f>
        <v>M5WE59</v>
      </c>
      <c r="D16466" s="2" t="s">
        <v>13053</v>
      </c>
      <c r="E16466" s="3">
        <v>3.58E-107</v>
      </c>
      <c r="F16466" s="2">
        <v>867</v>
      </c>
      <c r="G16466" s="2">
        <v>100</v>
      </c>
      <c r="H16466" s="2">
        <v>163</v>
      </c>
      <c r="I16466" s="2">
        <v>1</v>
      </c>
      <c r="J16466" s="2">
        <v>489</v>
      </c>
      <c r="K16466" s="2">
        <v>94</v>
      </c>
      <c r="L16466" s="2">
        <v>256</v>
      </c>
    </row>
    <row r="16467" spans="1:12" x14ac:dyDescent="0.25">
      <c r="A16467" s="4" t="str">
        <f>HYPERLINK("http://www.rosaceae.org/Prunus/Prunus_persica/p.persica_gdr_reftransV1_0007327","p.persica_gdr_reftransV1_0007327")</f>
        <v>p.persica_gdr_reftransV1_0007327</v>
      </c>
      <c r="B16467" s="2">
        <v>2344</v>
      </c>
      <c r="C16467" s="4" t="str">
        <f>HYPERLINK("http://www.uniprot.org/uniprot/M5WYF9","M5WYF9")</f>
        <v>M5WYF9</v>
      </c>
      <c r="D16467" s="2" t="s">
        <v>13054</v>
      </c>
      <c r="E16467" s="3">
        <v>0</v>
      </c>
      <c r="F16467" s="2">
        <v>3073</v>
      </c>
      <c r="G16467" s="2">
        <v>98</v>
      </c>
      <c r="H16467" s="2">
        <v>625</v>
      </c>
      <c r="I16467" s="2">
        <v>383</v>
      </c>
      <c r="J16467" s="2">
        <v>2254</v>
      </c>
      <c r="K16467" s="2">
        <v>1</v>
      </c>
      <c r="L16467" s="2">
        <v>620</v>
      </c>
    </row>
    <row r="16468" spans="1:12" x14ac:dyDescent="0.25">
      <c r="A16468" s="4" t="str">
        <f>HYPERLINK("http://www.rosaceae.org/Prunus/Prunus_persica/p.persica_gdr_reftransV1_0007677","p.persica_gdr_reftransV1_0007677")</f>
        <v>p.persica_gdr_reftransV1_0007677</v>
      </c>
      <c r="B16468" s="2">
        <v>4541</v>
      </c>
      <c r="C16468" s="4" t="str">
        <f>HYPERLINK("http://www.uniprot.org/uniprot/M5X020","M5X020")</f>
        <v>M5X020</v>
      </c>
      <c r="D16468" s="2" t="s">
        <v>13055</v>
      </c>
      <c r="E16468" s="3">
        <v>0</v>
      </c>
      <c r="F16468" s="2">
        <v>5065</v>
      </c>
      <c r="G16468" s="2">
        <v>100</v>
      </c>
      <c r="H16468" s="2">
        <v>988</v>
      </c>
      <c r="I16468" s="2">
        <v>1407</v>
      </c>
      <c r="J16468" s="2">
        <v>4370</v>
      </c>
      <c r="K16468" s="2">
        <v>1</v>
      </c>
      <c r="L16468" s="2">
        <v>988</v>
      </c>
    </row>
    <row r="16469" spans="1:12" x14ac:dyDescent="0.25">
      <c r="A16469" s="4" t="str">
        <f>HYPERLINK("http://www.rosaceae.org/Prunus/Prunus_persica/p.persica_gdr_reftransV1_0008027","p.persica_gdr_reftransV1_0008027")</f>
        <v>p.persica_gdr_reftransV1_0008027</v>
      </c>
      <c r="B16469" s="2">
        <v>500</v>
      </c>
      <c r="C16469" s="4" t="str">
        <f>HYPERLINK("http://www.uniprot.org/uniprot/M5XNQ0","M5XNQ0")</f>
        <v>M5XNQ0</v>
      </c>
      <c r="D16469" s="2" t="s">
        <v>1926</v>
      </c>
      <c r="E16469" s="3">
        <v>2.4300000000000001E-94</v>
      </c>
      <c r="F16469" s="2">
        <v>764</v>
      </c>
      <c r="G16469" s="2">
        <v>90</v>
      </c>
      <c r="H16469" s="2">
        <v>166</v>
      </c>
      <c r="I16469" s="2">
        <v>3</v>
      </c>
      <c r="J16469" s="2">
        <v>500</v>
      </c>
      <c r="K16469" s="2">
        <v>173</v>
      </c>
      <c r="L16469" s="2">
        <v>328</v>
      </c>
    </row>
    <row r="16470" spans="1:12" x14ac:dyDescent="0.25">
      <c r="A16470" s="4" t="str">
        <f>HYPERLINK("http://www.rosaceae.org/Prunus/Prunus_persica/p.persica_gdr_reftransV1_0008377","p.persica_gdr_reftransV1_0008377")</f>
        <v>p.persica_gdr_reftransV1_0008377</v>
      </c>
      <c r="B16470" s="2">
        <v>770</v>
      </c>
      <c r="C16470" s="4" t="str">
        <f>HYPERLINK("http://www.uniprot.org/uniprot/M5XGU4","M5XGU4")</f>
        <v>M5XGU4</v>
      </c>
      <c r="D16470" s="2" t="s">
        <v>13056</v>
      </c>
      <c r="E16470" s="3">
        <v>6.8000000000000001E-99</v>
      </c>
      <c r="F16470" s="2">
        <v>763</v>
      </c>
      <c r="G16470" s="2">
        <v>100</v>
      </c>
      <c r="H16470" s="2">
        <v>180</v>
      </c>
      <c r="I16470" s="2">
        <v>33</v>
      </c>
      <c r="J16470" s="2">
        <v>572</v>
      </c>
      <c r="K16470" s="2">
        <v>1</v>
      </c>
      <c r="L16470" s="2">
        <v>180</v>
      </c>
    </row>
    <row r="16471" spans="1:12" x14ac:dyDescent="0.25">
      <c r="A16471" s="4" t="str">
        <f>HYPERLINK("http://www.rosaceae.org/Prunus/Prunus_persica/p.persica_gdr_reftransV1_0009427","p.persica_gdr_reftransV1_0009427")</f>
        <v>p.persica_gdr_reftransV1_0009427</v>
      </c>
      <c r="B16471" s="2">
        <v>1707</v>
      </c>
      <c r="C16471" s="4" t="str">
        <f>HYPERLINK("http://www.uniprot.org/uniprot/M5W3Q0","M5W3Q0")</f>
        <v>M5W3Q0</v>
      </c>
      <c r="D16471" s="2" t="s">
        <v>13057</v>
      </c>
      <c r="E16471" s="3">
        <v>0</v>
      </c>
      <c r="F16471" s="2">
        <v>1833</v>
      </c>
      <c r="G16471" s="2">
        <v>94</v>
      </c>
      <c r="H16471" s="2">
        <v>392</v>
      </c>
      <c r="I16471" s="2">
        <v>562</v>
      </c>
      <c r="J16471" s="2">
        <v>1671</v>
      </c>
      <c r="K16471" s="2">
        <v>1</v>
      </c>
      <c r="L16471" s="2">
        <v>392</v>
      </c>
    </row>
    <row r="16472" spans="1:12" x14ac:dyDescent="0.25">
      <c r="A16472" s="4" t="str">
        <f>HYPERLINK("http://www.rosaceae.org/Prunus/Prunus_persica/p.persica_gdr_reftransV1_0009777","p.persica_gdr_reftransV1_0009777")</f>
        <v>p.persica_gdr_reftransV1_0009777</v>
      </c>
      <c r="B16472" s="2">
        <v>1237</v>
      </c>
      <c r="C16472" s="4" t="str">
        <f>HYPERLINK("http://www.uniprot.org/uniprot/M5XMU9","M5XMU9")</f>
        <v>M5XMU9</v>
      </c>
      <c r="D16472" s="2" t="s">
        <v>13058</v>
      </c>
      <c r="E16472" s="3">
        <v>1.92E-120</v>
      </c>
      <c r="F16472" s="2">
        <v>927</v>
      </c>
      <c r="G16472" s="2">
        <v>99</v>
      </c>
      <c r="H16472" s="2">
        <v>238</v>
      </c>
      <c r="I16472" s="2">
        <v>303</v>
      </c>
      <c r="J16472" s="2">
        <v>1016</v>
      </c>
      <c r="K16472" s="2">
        <v>1</v>
      </c>
      <c r="L16472" s="2">
        <v>238</v>
      </c>
    </row>
    <row r="16473" spans="1:12" x14ac:dyDescent="0.25">
      <c r="A16473" s="4" t="str">
        <f>HYPERLINK("http://www.rosaceae.org/Prunus/Prunus_persica/p.persica_gdr_reftransV1_0010827","p.persica_gdr_reftransV1_0010827")</f>
        <v>p.persica_gdr_reftransV1_0010827</v>
      </c>
      <c r="B16473" s="2">
        <v>1115</v>
      </c>
      <c r="C16473" s="4" t="str">
        <f>HYPERLINK("http://www.uniprot.org/uniprot/M5XFZ7","M5XFZ7")</f>
        <v>M5XFZ7</v>
      </c>
      <c r="D16473" s="2" t="s">
        <v>11075</v>
      </c>
      <c r="E16473" s="3">
        <v>5.4199999999999997E-41</v>
      </c>
      <c r="F16473" s="2">
        <v>384</v>
      </c>
      <c r="G16473" s="2">
        <v>100</v>
      </c>
      <c r="H16473" s="2">
        <v>90</v>
      </c>
      <c r="I16473" s="2">
        <v>796</v>
      </c>
      <c r="J16473" s="2">
        <v>1065</v>
      </c>
      <c r="K16473" s="2">
        <v>1</v>
      </c>
      <c r="L16473" s="2">
        <v>90</v>
      </c>
    </row>
    <row r="16474" spans="1:12" x14ac:dyDescent="0.25">
      <c r="A16474" s="4" t="str">
        <f>HYPERLINK("http://www.rosaceae.org/Prunus/Prunus_persica/p.persica_gdr_reftransV1_0011877","p.persica_gdr_reftransV1_0011877")</f>
        <v>p.persica_gdr_reftransV1_0011877</v>
      </c>
      <c r="B16474" s="2">
        <v>921</v>
      </c>
      <c r="C16474" s="4" t="str">
        <f>HYPERLINK("http://www.uniprot.org/uniprot/M5X7X6","M5X7X6")</f>
        <v>M5X7X6</v>
      </c>
      <c r="D16474" s="2" t="s">
        <v>13059</v>
      </c>
      <c r="E16474" s="3">
        <v>7.5199999999999994E-133</v>
      </c>
      <c r="F16474" s="2">
        <v>1016</v>
      </c>
      <c r="G16474" s="2">
        <v>100</v>
      </c>
      <c r="H16474" s="2">
        <v>204</v>
      </c>
      <c r="I16474" s="2">
        <v>2</v>
      </c>
      <c r="J16474" s="2">
        <v>613</v>
      </c>
      <c r="K16474" s="2">
        <v>216</v>
      </c>
      <c r="L16474" s="2">
        <v>419</v>
      </c>
    </row>
    <row r="16475" spans="1:12" x14ac:dyDescent="0.25">
      <c r="A16475" s="4" t="str">
        <f>HYPERLINK("http://www.rosaceae.org/Prunus/Prunus_persica/p.persica_gdr_reftransV1_0012577","p.persica_gdr_reftransV1_0012577")</f>
        <v>p.persica_gdr_reftransV1_0012577</v>
      </c>
      <c r="B16475" s="2">
        <v>2035</v>
      </c>
      <c r="C16475" s="4" t="str">
        <f>HYPERLINK("http://www.uniprot.org/uniprot/A0A0F6PZ58","A0A0F6PZ58")</f>
        <v>A0A0F6PZ58</v>
      </c>
      <c r="D16475" s="2" t="s">
        <v>13060</v>
      </c>
      <c r="E16475" s="3">
        <v>1.2900000000000001E-74</v>
      </c>
      <c r="F16475" s="2">
        <v>630</v>
      </c>
      <c r="G16475" s="2">
        <v>100</v>
      </c>
      <c r="H16475" s="2">
        <v>122</v>
      </c>
      <c r="I16475" s="2">
        <v>1161</v>
      </c>
      <c r="J16475" s="2">
        <v>1526</v>
      </c>
      <c r="K16475" s="2">
        <v>1</v>
      </c>
      <c r="L16475" s="2">
        <v>122</v>
      </c>
    </row>
    <row r="16476" spans="1:12" x14ac:dyDescent="0.25">
      <c r="A16476" s="4" t="str">
        <f>HYPERLINK("http://www.rosaceae.org/Prunus/Prunus_persica/p.persica_gdr_reftransV1_0013277","p.persica_gdr_reftransV1_0013277")</f>
        <v>p.persica_gdr_reftransV1_0013277</v>
      </c>
      <c r="B16476" s="2">
        <v>1736</v>
      </c>
      <c r="C16476" s="4" t="str">
        <f>HYPERLINK("http://www.uniprot.org/uniprot/M5VTC1","M5VTC1")</f>
        <v>M5VTC1</v>
      </c>
      <c r="D16476" s="2" t="s">
        <v>13061</v>
      </c>
      <c r="E16476" s="3">
        <v>0</v>
      </c>
      <c r="F16476" s="2">
        <v>2458</v>
      </c>
      <c r="G16476" s="2">
        <v>100</v>
      </c>
      <c r="H16476" s="2">
        <v>455</v>
      </c>
      <c r="I16476" s="2">
        <v>170</v>
      </c>
      <c r="J16476" s="2">
        <v>1534</v>
      </c>
      <c r="K16476" s="2">
        <v>1</v>
      </c>
      <c r="L16476" s="2">
        <v>455</v>
      </c>
    </row>
    <row r="16477" spans="1:12" x14ac:dyDescent="0.25">
      <c r="A16477" s="4" t="str">
        <f>HYPERLINK("http://www.rosaceae.org/Prunus/Prunus_persica/p.persica_gdr_reftransV1_0014677","p.persica_gdr_reftransV1_0014677")</f>
        <v>p.persica_gdr_reftransV1_0014677</v>
      </c>
      <c r="B16477" s="2">
        <v>2287</v>
      </c>
      <c r="C16477" s="4" t="str">
        <f>HYPERLINK("http://www.uniprot.org/uniprot/M5WJT7","M5WJT7")</f>
        <v>M5WJT7</v>
      </c>
      <c r="D16477" s="2" t="s">
        <v>13062</v>
      </c>
      <c r="E16477" s="3">
        <v>2.2900000000000001E-178</v>
      </c>
      <c r="F16477" s="2">
        <v>1346</v>
      </c>
      <c r="G16477" s="2">
        <v>100</v>
      </c>
      <c r="H16477" s="2">
        <v>250</v>
      </c>
      <c r="I16477" s="2">
        <v>396</v>
      </c>
      <c r="J16477" s="2">
        <v>1145</v>
      </c>
      <c r="K16477" s="2">
        <v>1</v>
      </c>
      <c r="L16477" s="2">
        <v>250</v>
      </c>
    </row>
    <row r="16478" spans="1:12" x14ac:dyDescent="0.25">
      <c r="A16478" s="4" t="str">
        <f>HYPERLINK("http://www.rosaceae.org/Prunus/Prunus_persica/p.persica_gdr_reftransV1_0015377","p.persica_gdr_reftransV1_0015377")</f>
        <v>p.persica_gdr_reftransV1_0015377</v>
      </c>
      <c r="B16478" s="2">
        <v>1625</v>
      </c>
      <c r="C16478" s="4" t="str">
        <f>HYPERLINK("http://www.uniprot.org/uniprot/M5X206","M5X206")</f>
        <v>M5X206</v>
      </c>
      <c r="D16478" s="2" t="s">
        <v>11560</v>
      </c>
      <c r="E16478" s="3">
        <v>0</v>
      </c>
      <c r="F16478" s="2">
        <v>1606</v>
      </c>
      <c r="G16478" s="2">
        <v>99</v>
      </c>
      <c r="H16478" s="2">
        <v>324</v>
      </c>
      <c r="I16478" s="2">
        <v>641</v>
      </c>
      <c r="J16478" s="2">
        <v>1612</v>
      </c>
      <c r="K16478" s="2">
        <v>1</v>
      </c>
      <c r="L16478" s="2">
        <v>324</v>
      </c>
    </row>
    <row r="16479" spans="1:12" x14ac:dyDescent="0.25">
      <c r="A16479" s="4" t="str">
        <f>HYPERLINK("http://www.rosaceae.org/Prunus/Prunus_persica/p.persica_gdr_reftransV1_0016427","p.persica_gdr_reftransV1_0016427")</f>
        <v>p.persica_gdr_reftransV1_0016427</v>
      </c>
      <c r="B16479" s="2">
        <v>1259</v>
      </c>
      <c r="C16479" s="4" t="str">
        <f>HYPERLINK("http://www.uniprot.org/uniprot/M5VKU6","M5VKU6")</f>
        <v>M5VKU6</v>
      </c>
      <c r="D16479" s="2" t="s">
        <v>13063</v>
      </c>
      <c r="E16479" s="3">
        <v>1.19E-91</v>
      </c>
      <c r="F16479" s="2">
        <v>733</v>
      </c>
      <c r="G16479" s="2">
        <v>98</v>
      </c>
      <c r="H16479" s="2">
        <v>140</v>
      </c>
      <c r="I16479" s="2">
        <v>109</v>
      </c>
      <c r="J16479" s="2">
        <v>528</v>
      </c>
      <c r="K16479" s="2">
        <v>1</v>
      </c>
      <c r="L16479" s="2">
        <v>139</v>
      </c>
    </row>
    <row r="16480" spans="1:12" x14ac:dyDescent="0.25">
      <c r="A16480" s="4" t="str">
        <f>HYPERLINK("http://www.rosaceae.org/Prunus/Prunus_persica/p.persica_gdr_reftransV1_0016777","p.persica_gdr_reftransV1_0016777")</f>
        <v>p.persica_gdr_reftransV1_0016777</v>
      </c>
      <c r="B16480" s="2">
        <v>2389</v>
      </c>
      <c r="C16480" s="4" t="str">
        <f>HYPERLINK("http://www.uniprot.org/uniprot/M5Y825","M5Y825")</f>
        <v>M5Y825</v>
      </c>
      <c r="D16480" s="2" t="s">
        <v>13064</v>
      </c>
      <c r="E16480" s="3">
        <v>0</v>
      </c>
      <c r="F16480" s="2">
        <v>3198</v>
      </c>
      <c r="G16480" s="2">
        <v>95</v>
      </c>
      <c r="H16480" s="2">
        <v>645</v>
      </c>
      <c r="I16480" s="2">
        <v>113</v>
      </c>
      <c r="J16480" s="2">
        <v>1960</v>
      </c>
      <c r="K16480" s="2">
        <v>1</v>
      </c>
      <c r="L16480" s="2">
        <v>645</v>
      </c>
    </row>
    <row r="16481" spans="1:12" x14ac:dyDescent="0.25">
      <c r="A16481" s="4" t="str">
        <f>HYPERLINK("http://www.rosaceae.org/Prunus/Prunus_persica/p.persica_gdr_reftransV1_0017477","p.persica_gdr_reftransV1_0017477")</f>
        <v>p.persica_gdr_reftransV1_0017477</v>
      </c>
      <c r="B16481" s="2">
        <v>489</v>
      </c>
      <c r="C16481" s="4" t="str">
        <f>HYPERLINK("http://www.uniprot.org/uniprot/M5WH78","M5WH78")</f>
        <v>M5WH78</v>
      </c>
      <c r="D16481" s="2" t="s">
        <v>8320</v>
      </c>
      <c r="E16481" s="3">
        <v>1.11E-64</v>
      </c>
      <c r="F16481" s="2">
        <v>535</v>
      </c>
      <c r="G16481" s="2">
        <v>100</v>
      </c>
      <c r="H16481" s="2">
        <v>118</v>
      </c>
      <c r="I16481" s="2">
        <v>3</v>
      </c>
      <c r="J16481" s="2">
        <v>356</v>
      </c>
      <c r="K16481" s="2">
        <v>42</v>
      </c>
      <c r="L16481" s="2">
        <v>159</v>
      </c>
    </row>
    <row r="16482" spans="1:12" x14ac:dyDescent="0.25">
      <c r="A16482" s="4" t="str">
        <f>HYPERLINK("http://www.rosaceae.org/Prunus/Prunus_persica/p.persica_gdr_reftransV1_0019227","p.persica_gdr_reftransV1_0019227")</f>
        <v>p.persica_gdr_reftransV1_0019227</v>
      </c>
      <c r="B16482" s="2">
        <v>7899</v>
      </c>
      <c r="C16482" s="4" t="str">
        <f>HYPERLINK("http://www.uniprot.org/uniprot/Q645H4","Q645H4")</f>
        <v>Q645H4</v>
      </c>
      <c r="D16482" s="2" t="s">
        <v>13065</v>
      </c>
      <c r="E16482" s="3">
        <v>0</v>
      </c>
      <c r="F16482" s="2">
        <v>1972</v>
      </c>
      <c r="G16482" s="2">
        <v>99</v>
      </c>
      <c r="H16482" s="2">
        <v>391</v>
      </c>
      <c r="I16482" s="2">
        <v>5360</v>
      </c>
      <c r="J16482" s="2">
        <v>6532</v>
      </c>
      <c r="K16482" s="2">
        <v>3</v>
      </c>
      <c r="L16482" s="2">
        <v>393</v>
      </c>
    </row>
    <row r="16483" spans="1:12" x14ac:dyDescent="0.25">
      <c r="A16483" s="4" t="str">
        <f>HYPERLINK("http://www.rosaceae.org/Prunus/Prunus_persica/p.persica_gdr_reftransV1_0019577","p.persica_gdr_reftransV1_0019577")</f>
        <v>p.persica_gdr_reftransV1_0019577</v>
      </c>
      <c r="B16483" s="2">
        <v>3481</v>
      </c>
      <c r="C16483" s="4" t="str">
        <f>HYPERLINK("http://www.uniprot.org/uniprot/M5XB70","M5XB70")</f>
        <v>M5XB70</v>
      </c>
      <c r="D16483" s="2" t="s">
        <v>13066</v>
      </c>
      <c r="E16483" s="3">
        <v>0</v>
      </c>
      <c r="F16483" s="2">
        <v>1786</v>
      </c>
      <c r="G16483" s="2">
        <v>100</v>
      </c>
      <c r="H16483" s="2">
        <v>366</v>
      </c>
      <c r="I16483" s="2">
        <v>2104</v>
      </c>
      <c r="J16483" s="2">
        <v>3201</v>
      </c>
      <c r="K16483" s="2">
        <v>1</v>
      </c>
      <c r="L16483" s="2">
        <v>366</v>
      </c>
    </row>
    <row r="16484" spans="1:12" x14ac:dyDescent="0.25">
      <c r="A16484" s="4" t="str">
        <f>HYPERLINK("http://www.rosaceae.org/Prunus/Prunus_persica/p.persica_gdr_reftransV1_0019927","p.persica_gdr_reftransV1_0019927")</f>
        <v>p.persica_gdr_reftransV1_0019927</v>
      </c>
      <c r="B16484" s="2">
        <v>2486</v>
      </c>
      <c r="C16484" s="4" t="str">
        <f>HYPERLINK("http://www.uniprot.org/uniprot/M5W9Q4","M5W9Q4")</f>
        <v>M5W9Q4</v>
      </c>
      <c r="D16484" s="2" t="s">
        <v>13067</v>
      </c>
      <c r="E16484" s="3">
        <v>1.1300000000000001E-168</v>
      </c>
      <c r="F16484" s="2">
        <v>1299</v>
      </c>
      <c r="G16484" s="2">
        <v>86</v>
      </c>
      <c r="H16484" s="2">
        <v>324</v>
      </c>
      <c r="I16484" s="2">
        <v>1295</v>
      </c>
      <c r="J16484" s="2">
        <v>2260</v>
      </c>
      <c r="K16484" s="2">
        <v>1</v>
      </c>
      <c r="L16484" s="2">
        <v>316</v>
      </c>
    </row>
    <row r="16485" spans="1:12" x14ac:dyDescent="0.25">
      <c r="A16485" s="4" t="str">
        <f>HYPERLINK("http://www.rosaceae.org/Prunus/Prunus_persica/p.persica_gdr_reftransV1_0020277","p.persica_gdr_reftransV1_0020277")</f>
        <v>p.persica_gdr_reftransV1_0020277</v>
      </c>
      <c r="B16485" s="2">
        <v>353</v>
      </c>
      <c r="C16485" s="4" t="str">
        <f>HYPERLINK("http://www.uniprot.org/uniprot/M5WMA5","M5WMA5")</f>
        <v>M5WMA5</v>
      </c>
      <c r="D16485" s="2" t="s">
        <v>5661</v>
      </c>
      <c r="E16485" s="3">
        <v>4.23E-14</v>
      </c>
      <c r="F16485" s="2">
        <v>188</v>
      </c>
      <c r="G16485" s="2">
        <v>97</v>
      </c>
      <c r="H16485" s="2">
        <v>38</v>
      </c>
      <c r="I16485" s="2">
        <v>2</v>
      </c>
      <c r="J16485" s="2">
        <v>115</v>
      </c>
      <c r="K16485" s="2">
        <v>1</v>
      </c>
      <c r="L16485" s="2">
        <v>38</v>
      </c>
    </row>
    <row r="16486" spans="1:12" x14ac:dyDescent="0.25">
      <c r="A16486" s="4" t="str">
        <f>HYPERLINK("http://www.rosaceae.org/Prunus/Prunus_persica/p.persica_gdr_reftransV1_0020627","p.persica_gdr_reftransV1_0020627")</f>
        <v>p.persica_gdr_reftransV1_0020627</v>
      </c>
      <c r="B16486" s="2">
        <v>2866</v>
      </c>
      <c r="C16486" s="4" t="str">
        <f>HYPERLINK("http://www.uniprot.org/uniprot/M5W3W5","M5W3W5")</f>
        <v>M5W3W5</v>
      </c>
      <c r="D16486" s="2" t="s">
        <v>13068</v>
      </c>
      <c r="E16486" s="3">
        <v>0</v>
      </c>
      <c r="F16486" s="2">
        <v>3734</v>
      </c>
      <c r="G16486" s="2">
        <v>100</v>
      </c>
      <c r="H16486" s="2">
        <v>748</v>
      </c>
      <c r="I16486" s="2">
        <v>250</v>
      </c>
      <c r="J16486" s="2">
        <v>2493</v>
      </c>
      <c r="K16486" s="2">
        <v>1</v>
      </c>
      <c r="L16486" s="2">
        <v>748</v>
      </c>
    </row>
    <row r="16487" spans="1:12" x14ac:dyDescent="0.25">
      <c r="A16487" s="4" t="str">
        <f>HYPERLINK("http://www.rosaceae.org/Prunus/Prunus_persica/p.persica_gdr_reftransV1_0020977","p.persica_gdr_reftransV1_0020977")</f>
        <v>p.persica_gdr_reftransV1_0020977</v>
      </c>
      <c r="B16487" s="2">
        <v>3314</v>
      </c>
      <c r="C16487" s="4" t="str">
        <f>HYPERLINK("http://www.uniprot.org/uniprot/M5VII8","M5VII8")</f>
        <v>M5VII8</v>
      </c>
      <c r="D16487" s="2" t="s">
        <v>13069</v>
      </c>
      <c r="E16487" s="3">
        <v>0</v>
      </c>
      <c r="F16487" s="2">
        <v>1780</v>
      </c>
      <c r="G16487" s="2">
        <v>100</v>
      </c>
      <c r="H16487" s="2">
        <v>352</v>
      </c>
      <c r="I16487" s="2">
        <v>381</v>
      </c>
      <c r="J16487" s="2">
        <v>1436</v>
      </c>
      <c r="K16487" s="2">
        <v>296</v>
      </c>
      <c r="L16487" s="2">
        <v>647</v>
      </c>
    </row>
    <row r="16488" spans="1:12" x14ac:dyDescent="0.25">
      <c r="A16488" s="4" t="str">
        <f>HYPERLINK("http://www.rosaceae.org/Prunus/Prunus_persica/p.persica_gdr_reftransV1_0021677","p.persica_gdr_reftransV1_0021677")</f>
        <v>p.persica_gdr_reftransV1_0021677</v>
      </c>
      <c r="B16488" s="2">
        <v>830</v>
      </c>
      <c r="C16488" s="4" t="str">
        <f>HYPERLINK("http://www.uniprot.org/uniprot/M5WZC0","M5WZC0")</f>
        <v>M5WZC0</v>
      </c>
      <c r="D16488" s="2" t="s">
        <v>13070</v>
      </c>
      <c r="E16488" s="3">
        <v>0</v>
      </c>
      <c r="F16488" s="2">
        <v>1363</v>
      </c>
      <c r="G16488" s="2">
        <v>100</v>
      </c>
      <c r="H16488" s="2">
        <v>257</v>
      </c>
      <c r="I16488" s="2">
        <v>3</v>
      </c>
      <c r="J16488" s="2">
        <v>773</v>
      </c>
      <c r="K16488" s="2">
        <v>206</v>
      </c>
      <c r="L16488" s="2">
        <v>462</v>
      </c>
    </row>
    <row r="16489" spans="1:12" x14ac:dyDescent="0.25">
      <c r="A16489" s="4" t="str">
        <f>HYPERLINK("http://www.rosaceae.org/Prunus/Prunus_persica/p.persica_gdr_reftransV1_0022027","p.persica_gdr_reftransV1_0022027")</f>
        <v>p.persica_gdr_reftransV1_0022027</v>
      </c>
      <c r="B16489" s="2">
        <v>2480</v>
      </c>
      <c r="C16489" s="4" t="str">
        <f>HYPERLINK("http://www.uniprot.org/uniprot/M5WIU1","M5WIU1")</f>
        <v>M5WIU1</v>
      </c>
      <c r="D16489" s="2" t="s">
        <v>13071</v>
      </c>
      <c r="E16489" s="3">
        <v>4.99E-166</v>
      </c>
      <c r="F16489" s="2">
        <v>1278</v>
      </c>
      <c r="G16489" s="2">
        <v>100</v>
      </c>
      <c r="H16489" s="2">
        <v>252</v>
      </c>
      <c r="I16489" s="2">
        <v>1365</v>
      </c>
      <c r="J16489" s="2">
        <v>2120</v>
      </c>
      <c r="K16489" s="2">
        <v>79</v>
      </c>
      <c r="L16489" s="2">
        <v>330</v>
      </c>
    </row>
    <row r="16490" spans="1:12" x14ac:dyDescent="0.25">
      <c r="A16490" s="4" t="str">
        <f>HYPERLINK("http://www.rosaceae.org/Prunus/Prunus_persica/p.persica_gdr_reftransV1_0023077","p.persica_gdr_reftransV1_0023077")</f>
        <v>p.persica_gdr_reftransV1_0023077</v>
      </c>
      <c r="B16490" s="2">
        <v>3114</v>
      </c>
      <c r="C16490" s="4" t="str">
        <f>HYPERLINK("http://www.uniprot.org/uniprot/M5WX36","M5WX36")</f>
        <v>M5WX36</v>
      </c>
      <c r="D16490" s="2" t="s">
        <v>13072</v>
      </c>
      <c r="E16490" s="3">
        <v>0</v>
      </c>
      <c r="F16490" s="2">
        <v>2132</v>
      </c>
      <c r="G16490" s="2">
        <v>100</v>
      </c>
      <c r="H16490" s="2">
        <v>444</v>
      </c>
      <c r="I16490" s="2">
        <v>1432</v>
      </c>
      <c r="J16490" s="2">
        <v>2763</v>
      </c>
      <c r="K16490" s="2">
        <v>281</v>
      </c>
      <c r="L16490" s="2">
        <v>724</v>
      </c>
    </row>
    <row r="16491" spans="1:12" x14ac:dyDescent="0.25">
      <c r="A16491" s="4" t="str">
        <f>HYPERLINK("http://www.rosaceae.org/Prunus/Prunus_persica/p.persica_gdr_reftransV1_0023427","p.persica_gdr_reftransV1_0023427")</f>
        <v>p.persica_gdr_reftransV1_0023427</v>
      </c>
      <c r="B16491" s="2">
        <v>734</v>
      </c>
      <c r="C16491" s="4" t="str">
        <f>HYPERLINK("http://www.uniprot.org/uniprot/M5WUT8","M5WUT8")</f>
        <v>M5WUT8</v>
      </c>
      <c r="D16491" s="2" t="s">
        <v>11775</v>
      </c>
      <c r="E16491" s="3">
        <v>3.8499999999999999E-133</v>
      </c>
      <c r="F16491" s="2">
        <v>1003</v>
      </c>
      <c r="G16491" s="2">
        <v>100</v>
      </c>
      <c r="H16491" s="2">
        <v>188</v>
      </c>
      <c r="I16491" s="2">
        <v>98</v>
      </c>
      <c r="J16491" s="2">
        <v>661</v>
      </c>
      <c r="K16491" s="2">
        <v>8</v>
      </c>
      <c r="L16491" s="2">
        <v>195</v>
      </c>
    </row>
    <row r="16492" spans="1:12" x14ac:dyDescent="0.25">
      <c r="A16492" s="4" t="str">
        <f>HYPERLINK("http://www.rosaceae.org/Prunus/Prunus_persica/p.persica_gdr_reftransV1_0024477","p.persica_gdr_reftransV1_0024477")</f>
        <v>p.persica_gdr_reftransV1_0024477</v>
      </c>
      <c r="B16492" s="2">
        <v>394</v>
      </c>
      <c r="C16492" s="4" t="str">
        <f>HYPERLINK("http://www.uniprot.org/uniprot/M5XGK0","M5XGK0")</f>
        <v>M5XGK0</v>
      </c>
      <c r="D16492" s="2" t="s">
        <v>13073</v>
      </c>
      <c r="E16492" s="3">
        <v>7.7900000000000006E-67</v>
      </c>
      <c r="F16492" s="2">
        <v>563</v>
      </c>
      <c r="G16492" s="2">
        <v>95</v>
      </c>
      <c r="H16492" s="2">
        <v>116</v>
      </c>
      <c r="I16492" s="2">
        <v>3</v>
      </c>
      <c r="J16492" s="2">
        <v>347</v>
      </c>
      <c r="K16492" s="2">
        <v>328</v>
      </c>
      <c r="L16492" s="2">
        <v>443</v>
      </c>
    </row>
    <row r="16493" spans="1:12" x14ac:dyDescent="0.25">
      <c r="A16493" s="4" t="str">
        <f>HYPERLINK("http://www.rosaceae.org/Prunus/Prunus_persica/p.persica_gdr_reftransV1_0024827","p.persica_gdr_reftransV1_0024827")</f>
        <v>p.persica_gdr_reftransV1_0024827</v>
      </c>
      <c r="B16493" s="2">
        <v>381</v>
      </c>
      <c r="C16493" s="4" t="str">
        <f>HYPERLINK("http://www.uniprot.org/uniprot/M5VL96","M5VL96")</f>
        <v>M5VL96</v>
      </c>
      <c r="D16493" s="2" t="s">
        <v>12021</v>
      </c>
      <c r="E16493" s="3">
        <v>2.5400000000000001E-69</v>
      </c>
      <c r="F16493" s="2">
        <v>586</v>
      </c>
      <c r="G16493" s="2">
        <v>100</v>
      </c>
      <c r="H16493" s="2">
        <v>115</v>
      </c>
      <c r="I16493" s="2">
        <v>37</v>
      </c>
      <c r="J16493" s="2">
        <v>381</v>
      </c>
      <c r="K16493" s="2">
        <v>48</v>
      </c>
      <c r="L16493" s="2">
        <v>162</v>
      </c>
    </row>
    <row r="16494" spans="1:12" x14ac:dyDescent="0.25">
      <c r="A16494" s="4" t="str">
        <f>HYPERLINK("http://www.rosaceae.org/Prunus/Prunus_persica/p.persica_gdr_reftransV1_0025177","p.persica_gdr_reftransV1_0025177")</f>
        <v>p.persica_gdr_reftransV1_0025177</v>
      </c>
      <c r="B16494" s="2">
        <v>1608</v>
      </c>
      <c r="C16494" s="4" t="str">
        <f>HYPERLINK("http://www.uniprot.org/uniprot/M5X049","M5X049")</f>
        <v>M5X049</v>
      </c>
      <c r="D16494" s="2" t="s">
        <v>13074</v>
      </c>
      <c r="E16494" s="3">
        <v>0</v>
      </c>
      <c r="F16494" s="2">
        <v>1753</v>
      </c>
      <c r="G16494" s="2">
        <v>100</v>
      </c>
      <c r="H16494" s="2">
        <v>347</v>
      </c>
      <c r="I16494" s="2">
        <v>483</v>
      </c>
      <c r="J16494" s="2">
        <v>1523</v>
      </c>
      <c r="K16494" s="2">
        <v>1</v>
      </c>
      <c r="L16494" s="2">
        <v>347</v>
      </c>
    </row>
    <row r="16495" spans="1:12" x14ac:dyDescent="0.25">
      <c r="A16495" s="4" t="str">
        <f>HYPERLINK("http://www.rosaceae.org/Prunus/Prunus_persica/p.persica_gdr_reftransV1_0025527","p.persica_gdr_reftransV1_0025527")</f>
        <v>p.persica_gdr_reftransV1_0025527</v>
      </c>
      <c r="B16495" s="2">
        <v>1302</v>
      </c>
      <c r="C16495" s="4" t="str">
        <f>HYPERLINK("http://www.uniprot.org/uniprot/M5XCV8","M5XCV8")</f>
        <v>M5XCV8</v>
      </c>
      <c r="D16495" s="2" t="s">
        <v>13075</v>
      </c>
      <c r="E16495" s="3">
        <v>2.6299999999999999E-171</v>
      </c>
      <c r="F16495" s="2">
        <v>1273</v>
      </c>
      <c r="G16495" s="2">
        <v>100</v>
      </c>
      <c r="H16495" s="2">
        <v>243</v>
      </c>
      <c r="I16495" s="2">
        <v>438</v>
      </c>
      <c r="J16495" s="2">
        <v>1166</v>
      </c>
      <c r="K16495" s="2">
        <v>70</v>
      </c>
      <c r="L16495" s="2">
        <v>312</v>
      </c>
    </row>
    <row r="16496" spans="1:12" x14ac:dyDescent="0.25">
      <c r="A16496" s="4" t="str">
        <f>HYPERLINK("http://www.rosaceae.org/Prunus/Prunus_persica/p.persica_gdr_reftransV1_0026577","p.persica_gdr_reftransV1_0026577")</f>
        <v>p.persica_gdr_reftransV1_0026577</v>
      </c>
      <c r="B16496" s="2">
        <v>3003</v>
      </c>
      <c r="C16496" s="4" t="str">
        <f>HYPERLINK("http://www.uniprot.org/uniprot/B6ZL92","B6ZL92")</f>
        <v>B6ZL92</v>
      </c>
      <c r="D16496" s="2" t="s">
        <v>1530</v>
      </c>
      <c r="E16496" s="3">
        <v>0</v>
      </c>
      <c r="F16496" s="2">
        <v>1982</v>
      </c>
      <c r="G16496" s="2">
        <v>97</v>
      </c>
      <c r="H16496" s="2">
        <v>376</v>
      </c>
      <c r="I16496" s="2">
        <v>1632</v>
      </c>
      <c r="J16496" s="2">
        <v>2759</v>
      </c>
      <c r="K16496" s="2">
        <v>1</v>
      </c>
      <c r="L16496" s="2">
        <v>376</v>
      </c>
    </row>
    <row r="16497" spans="1:12" x14ac:dyDescent="0.25">
      <c r="A16497" s="4" t="str">
        <f>HYPERLINK("http://www.rosaceae.org/Prunus/Prunus_persica/p.persica_gdr_reftransV1_0027277","p.persica_gdr_reftransV1_0027277")</f>
        <v>p.persica_gdr_reftransV1_0027277</v>
      </c>
      <c r="B16497" s="2">
        <v>913</v>
      </c>
      <c r="C16497" s="4" t="str">
        <f>HYPERLINK("http://www.uniprot.org/uniprot/M5W4T0","M5W4T0")</f>
        <v>M5W4T0</v>
      </c>
      <c r="D16497" s="2" t="s">
        <v>13076</v>
      </c>
      <c r="E16497" s="3">
        <v>3.3999999999999997E-55</v>
      </c>
      <c r="F16497" s="2">
        <v>472</v>
      </c>
      <c r="G16497" s="2">
        <v>100</v>
      </c>
      <c r="H16497" s="2">
        <v>112</v>
      </c>
      <c r="I16497" s="2">
        <v>430</v>
      </c>
      <c r="J16497" s="2">
        <v>765</v>
      </c>
      <c r="K16497" s="2">
        <v>1</v>
      </c>
      <c r="L16497" s="2">
        <v>112</v>
      </c>
    </row>
    <row r="16498" spans="1:12" x14ac:dyDescent="0.25">
      <c r="A16498" s="4" t="str">
        <f>HYPERLINK("http://www.rosaceae.org/Prunus/Prunus_persica/p.persica_gdr_reftransV1_0027627","p.persica_gdr_reftransV1_0027627")</f>
        <v>p.persica_gdr_reftransV1_0027627</v>
      </c>
      <c r="B16498" s="2">
        <v>2884</v>
      </c>
      <c r="C16498" s="4" t="str">
        <f>HYPERLINK("http://www.uniprot.org/uniprot/M5XXD6","M5XXD6")</f>
        <v>M5XXD6</v>
      </c>
      <c r="D16498" s="2" t="s">
        <v>3219</v>
      </c>
      <c r="E16498" s="3">
        <v>5.6499999999999999E-86</v>
      </c>
      <c r="F16498" s="2">
        <v>768</v>
      </c>
      <c r="G16498" s="2">
        <v>100</v>
      </c>
      <c r="H16498" s="2">
        <v>134</v>
      </c>
      <c r="I16498" s="2">
        <v>3</v>
      </c>
      <c r="J16498" s="2">
        <v>404</v>
      </c>
      <c r="K16498" s="2">
        <v>490</v>
      </c>
      <c r="L16498" s="2">
        <v>623</v>
      </c>
    </row>
    <row r="16499" spans="1:12" x14ac:dyDescent="0.25">
      <c r="A16499" s="4" t="str">
        <f>HYPERLINK("http://www.rosaceae.org/Prunus/Prunus_persica/p.persica_gdr_reftransV1_0029027","p.persica_gdr_reftransV1_0029027")</f>
        <v>p.persica_gdr_reftransV1_0029027</v>
      </c>
      <c r="B16499" s="2">
        <v>4966</v>
      </c>
      <c r="C16499" s="4" t="str">
        <f>HYPERLINK("http://www.uniprot.org/uniprot/A0A067ENS5","A0A067ENS5")</f>
        <v>A0A067ENS5</v>
      </c>
      <c r="D16499" s="2" t="s">
        <v>13077</v>
      </c>
      <c r="E16499" s="3">
        <v>0</v>
      </c>
      <c r="F16499" s="2">
        <v>3866</v>
      </c>
      <c r="G16499" s="2">
        <v>83</v>
      </c>
      <c r="H16499" s="2">
        <v>883</v>
      </c>
      <c r="I16499" s="2">
        <v>2242</v>
      </c>
      <c r="J16499" s="2">
        <v>4890</v>
      </c>
      <c r="K16499" s="2">
        <v>1</v>
      </c>
      <c r="L16499" s="2">
        <v>883</v>
      </c>
    </row>
    <row r="16500" spans="1:12" x14ac:dyDescent="0.25">
      <c r="A16500" s="4" t="str">
        <f>HYPERLINK("http://www.rosaceae.org/Prunus/Prunus_persica/p.persica_gdr_reftransV1_0029727","p.persica_gdr_reftransV1_0029727")</f>
        <v>p.persica_gdr_reftransV1_0029727</v>
      </c>
      <c r="B16500" s="2">
        <v>1197</v>
      </c>
      <c r="C16500" s="4" t="str">
        <f>HYPERLINK("http://www.uniprot.org/uniprot/M5XCX9","M5XCX9")</f>
        <v>M5XCX9</v>
      </c>
      <c r="D16500" s="2" t="s">
        <v>13078</v>
      </c>
      <c r="E16500" s="3">
        <v>0</v>
      </c>
      <c r="F16500" s="2">
        <v>1382</v>
      </c>
      <c r="G16500" s="2">
        <v>100</v>
      </c>
      <c r="H16500" s="2">
        <v>285</v>
      </c>
      <c r="I16500" s="2">
        <v>278</v>
      </c>
      <c r="J16500" s="2">
        <v>1132</v>
      </c>
      <c r="K16500" s="2">
        <v>1</v>
      </c>
      <c r="L16500" s="2">
        <v>285</v>
      </c>
    </row>
    <row r="16501" spans="1:12" x14ac:dyDescent="0.25">
      <c r="A16501" s="4" t="str">
        <f>HYPERLINK("http://www.rosaceae.org/Prunus/Prunus_persica/p.persica_gdr_reftransV1_0032527","p.persica_gdr_reftransV1_0032527")</f>
        <v>p.persica_gdr_reftransV1_0032527</v>
      </c>
      <c r="B16501" s="2">
        <v>1071</v>
      </c>
      <c r="C16501" s="4" t="str">
        <f>HYPERLINK("http://www.uniprot.org/uniprot/M5W0Z3","M5W0Z3")</f>
        <v>M5W0Z3</v>
      </c>
      <c r="D16501" s="2" t="s">
        <v>13079</v>
      </c>
      <c r="E16501" s="3">
        <v>2.2600000000000001E-106</v>
      </c>
      <c r="F16501" s="2">
        <v>828</v>
      </c>
      <c r="G16501" s="2">
        <v>100</v>
      </c>
      <c r="H16501" s="2">
        <v>177</v>
      </c>
      <c r="I16501" s="2">
        <v>151</v>
      </c>
      <c r="J16501" s="2">
        <v>681</v>
      </c>
      <c r="K16501" s="2">
        <v>53</v>
      </c>
      <c r="L16501" s="2">
        <v>229</v>
      </c>
    </row>
    <row r="16502" spans="1:12" x14ac:dyDescent="0.25">
      <c r="A16502" s="4" t="str">
        <f>HYPERLINK("http://www.rosaceae.org/Prunus/Prunus_persica/p.persica_gdr_reftransV1_0032877","p.persica_gdr_reftransV1_0032877")</f>
        <v>p.persica_gdr_reftransV1_0032877</v>
      </c>
      <c r="B16502" s="2">
        <v>1792</v>
      </c>
      <c r="C16502" s="4" t="str">
        <f>HYPERLINK("http://www.uniprot.org/uniprot/M5X7F4","M5X7F4")</f>
        <v>M5X7F4</v>
      </c>
      <c r="D16502" s="2" t="s">
        <v>13080</v>
      </c>
      <c r="E16502" s="3">
        <v>0</v>
      </c>
      <c r="F16502" s="2">
        <v>2345</v>
      </c>
      <c r="G16502" s="2">
        <v>100</v>
      </c>
      <c r="H16502" s="2">
        <v>461</v>
      </c>
      <c r="I16502" s="2">
        <v>239</v>
      </c>
      <c r="J16502" s="2">
        <v>1621</v>
      </c>
      <c r="K16502" s="2">
        <v>1</v>
      </c>
      <c r="L16502" s="2">
        <v>461</v>
      </c>
    </row>
    <row r="16503" spans="1:12" x14ac:dyDescent="0.25">
      <c r="A16503" s="4" t="str">
        <f>HYPERLINK("http://www.rosaceae.org/Prunus/Prunus_persica/p.persica_gdr_reftransV1_0036727","p.persica_gdr_reftransV1_0036727")</f>
        <v>p.persica_gdr_reftransV1_0036727</v>
      </c>
      <c r="B16503" s="2">
        <v>1266</v>
      </c>
      <c r="C16503" s="4" t="str">
        <f>HYPERLINK("http://www.uniprot.org/uniprot/M5WV04","M5WV04")</f>
        <v>M5WV04</v>
      </c>
      <c r="D16503" s="2" t="s">
        <v>13081</v>
      </c>
      <c r="E16503" s="3">
        <v>1.9499999999999999E-99</v>
      </c>
      <c r="F16503" s="2">
        <v>788</v>
      </c>
      <c r="G16503" s="2">
        <v>100</v>
      </c>
      <c r="H16503" s="2">
        <v>229</v>
      </c>
      <c r="I16503" s="2">
        <v>160</v>
      </c>
      <c r="J16503" s="2">
        <v>846</v>
      </c>
      <c r="K16503" s="2">
        <v>3</v>
      </c>
      <c r="L16503" s="2">
        <v>231</v>
      </c>
    </row>
    <row r="16504" spans="1:12" x14ac:dyDescent="0.25">
      <c r="A16504" s="4" t="str">
        <f>HYPERLINK("http://www.rosaceae.org/Prunus/Prunus_persica/p.persica_gdr_reftransV1_0038827","p.persica_gdr_reftransV1_0038827")</f>
        <v>p.persica_gdr_reftransV1_0038827</v>
      </c>
      <c r="B16504" s="2">
        <v>353</v>
      </c>
      <c r="C16504" s="4" t="str">
        <f>HYPERLINK("http://www.uniprot.org/uniprot/M5WRW6","M5WRW6")</f>
        <v>M5WRW6</v>
      </c>
      <c r="D16504" s="2" t="s">
        <v>10600</v>
      </c>
      <c r="E16504" s="3">
        <v>6.2699999999999999E-8</v>
      </c>
      <c r="F16504" s="2">
        <v>142</v>
      </c>
      <c r="G16504" s="2">
        <v>99</v>
      </c>
      <c r="H16504" s="2">
        <v>76</v>
      </c>
      <c r="I16504" s="2">
        <v>126</v>
      </c>
      <c r="J16504" s="2">
        <v>353</v>
      </c>
      <c r="K16504" s="2">
        <v>228</v>
      </c>
      <c r="L16504" s="2">
        <v>303</v>
      </c>
    </row>
    <row r="16505" spans="1:12" x14ac:dyDescent="0.25">
      <c r="A16505" s="4" t="str">
        <f>HYPERLINK("http://www.rosaceae.org/Prunus/Prunus_persica/p.persica_gdr_reftransV1_0041277","p.persica_gdr_reftransV1_0041277")</f>
        <v>p.persica_gdr_reftransV1_0041277</v>
      </c>
      <c r="B16505" s="2">
        <v>1502</v>
      </c>
      <c r="C16505" s="4" t="str">
        <f>HYPERLINK("http://www.uniprot.org/uniprot/M5WDN9","M5WDN9")</f>
        <v>M5WDN9</v>
      </c>
      <c r="D16505" s="2" t="s">
        <v>13082</v>
      </c>
      <c r="E16505" s="3">
        <v>3.9500000000000002E-129</v>
      </c>
      <c r="F16505" s="2">
        <v>997</v>
      </c>
      <c r="G16505" s="2">
        <v>98</v>
      </c>
      <c r="H16505" s="2">
        <v>194</v>
      </c>
      <c r="I16505" s="2">
        <v>217</v>
      </c>
      <c r="J16505" s="2">
        <v>798</v>
      </c>
      <c r="K16505" s="2">
        <v>84</v>
      </c>
      <c r="L16505" s="2">
        <v>277</v>
      </c>
    </row>
    <row r="16506" spans="1:12" x14ac:dyDescent="0.25">
      <c r="A16506" s="4" t="str">
        <f>HYPERLINK("http://www.rosaceae.org/Prunus/Prunus_persica/p.persica_gdr_reftransV1_0041627","p.persica_gdr_reftransV1_0041627")</f>
        <v>p.persica_gdr_reftransV1_0041627</v>
      </c>
      <c r="B16506" s="2">
        <v>2198</v>
      </c>
      <c r="C16506" s="4" t="str">
        <f>HYPERLINK("http://www.uniprot.org/uniprot/M5XS66","M5XS66")</f>
        <v>M5XS66</v>
      </c>
      <c r="D16506" s="2" t="s">
        <v>13083</v>
      </c>
      <c r="E16506" s="3">
        <v>0</v>
      </c>
      <c r="F16506" s="2">
        <v>3523</v>
      </c>
      <c r="G16506" s="2">
        <v>100</v>
      </c>
      <c r="H16506" s="2">
        <v>654</v>
      </c>
      <c r="I16506" s="2">
        <v>148</v>
      </c>
      <c r="J16506" s="2">
        <v>2109</v>
      </c>
      <c r="K16506" s="2">
        <v>1</v>
      </c>
      <c r="L16506" s="2">
        <v>654</v>
      </c>
    </row>
    <row r="16507" spans="1:12" x14ac:dyDescent="0.25">
      <c r="A16507" s="4" t="str">
        <f>HYPERLINK("http://www.rosaceae.org/Prunus/Prunus_persica/p.persica_gdr_reftransV1_0041977","p.persica_gdr_reftransV1_0041977")</f>
        <v>p.persica_gdr_reftransV1_0041977</v>
      </c>
      <c r="B16507" s="2">
        <v>1234</v>
      </c>
      <c r="C16507" s="4" t="str">
        <f>HYPERLINK("http://www.uniprot.org/uniprot/M5XG33","M5XG33")</f>
        <v>M5XG33</v>
      </c>
      <c r="D16507" s="2" t="s">
        <v>13084</v>
      </c>
      <c r="E16507" s="3">
        <v>3.8600000000000002E-173</v>
      </c>
      <c r="F16507" s="2">
        <v>1277</v>
      </c>
      <c r="G16507" s="2">
        <v>100</v>
      </c>
      <c r="H16507" s="2">
        <v>252</v>
      </c>
      <c r="I16507" s="2">
        <v>423</v>
      </c>
      <c r="J16507" s="2">
        <v>1178</v>
      </c>
      <c r="K16507" s="2">
        <v>1</v>
      </c>
      <c r="L16507" s="2">
        <v>252</v>
      </c>
    </row>
    <row r="16508" spans="1:12" x14ac:dyDescent="0.25">
      <c r="A16508" s="4" t="str">
        <f>HYPERLINK("http://www.rosaceae.org/Prunus/Prunus_persica/p.persica_gdr_reftransV1_0042677","p.persica_gdr_reftransV1_0042677")</f>
        <v>p.persica_gdr_reftransV1_0042677</v>
      </c>
      <c r="B16508" s="2">
        <v>1975</v>
      </c>
      <c r="C16508" s="4" t="str">
        <f>HYPERLINK("http://www.uniprot.org/uniprot/M5WAC7","M5WAC7")</f>
        <v>M5WAC7</v>
      </c>
      <c r="D16508" s="2" t="s">
        <v>13085</v>
      </c>
      <c r="E16508" s="3">
        <v>1.3400000000000001E-147</v>
      </c>
      <c r="F16508" s="2">
        <v>1129</v>
      </c>
      <c r="G16508" s="2">
        <v>100</v>
      </c>
      <c r="H16508" s="2">
        <v>219</v>
      </c>
      <c r="I16508" s="2">
        <v>292</v>
      </c>
      <c r="J16508" s="2">
        <v>948</v>
      </c>
      <c r="K16508" s="2">
        <v>1</v>
      </c>
      <c r="L16508" s="2">
        <v>219</v>
      </c>
    </row>
    <row r="16509" spans="1:12" x14ac:dyDescent="0.25">
      <c r="A16509" s="4" t="str">
        <f>HYPERLINK("http://www.rosaceae.org/Prunus/Prunus_persica/p.persica_gdr_reftransV1_0043027","p.persica_gdr_reftransV1_0043027")</f>
        <v>p.persica_gdr_reftransV1_0043027</v>
      </c>
      <c r="B16509" s="2">
        <v>313</v>
      </c>
      <c r="C16509" s="4" t="str">
        <f>HYPERLINK("http://www.uniprot.org/uniprot/I3LBJ8","I3LBJ8")</f>
        <v>I3LBJ8</v>
      </c>
      <c r="D16509" s="2" t="s">
        <v>13086</v>
      </c>
      <c r="E16509" s="3">
        <v>4.0700000000000001E-67</v>
      </c>
      <c r="F16509" s="2">
        <v>553</v>
      </c>
      <c r="G16509" s="2">
        <v>100</v>
      </c>
      <c r="H16509" s="2">
        <v>103</v>
      </c>
      <c r="I16509" s="2">
        <v>3</v>
      </c>
      <c r="J16509" s="2">
        <v>311</v>
      </c>
      <c r="K16509" s="2">
        <v>148</v>
      </c>
      <c r="L16509" s="2">
        <v>250</v>
      </c>
    </row>
    <row r="16510" spans="1:12" x14ac:dyDescent="0.25">
      <c r="A16510" s="4" t="str">
        <f>HYPERLINK("http://www.rosaceae.org/Prunus/Prunus_persica/p.persica_gdr_reftransV1_0043727","p.persica_gdr_reftransV1_0043727")</f>
        <v>p.persica_gdr_reftransV1_0043727</v>
      </c>
      <c r="B16510" s="2">
        <v>1190</v>
      </c>
      <c r="C16510" s="4" t="str">
        <f>HYPERLINK("http://www.uniprot.org/uniprot/M5W102","M5W102")</f>
        <v>M5W102</v>
      </c>
      <c r="D16510" s="2" t="s">
        <v>3944</v>
      </c>
      <c r="E16510" s="3">
        <v>0</v>
      </c>
      <c r="F16510" s="2">
        <v>1742</v>
      </c>
      <c r="G16510" s="2">
        <v>100</v>
      </c>
      <c r="H16510" s="2">
        <v>396</v>
      </c>
      <c r="I16510" s="2">
        <v>2</v>
      </c>
      <c r="J16510" s="2">
        <v>1189</v>
      </c>
      <c r="K16510" s="2">
        <v>135</v>
      </c>
      <c r="L16510" s="2">
        <v>530</v>
      </c>
    </row>
    <row r="16511" spans="1:12" x14ac:dyDescent="0.25">
      <c r="A16511" s="4" t="str">
        <f>HYPERLINK("http://www.rosaceae.org/Prunus/Prunus_persica/p.persica_gdr_reftransV1_0044077","p.persica_gdr_reftransV1_0044077")</f>
        <v>p.persica_gdr_reftransV1_0044077</v>
      </c>
      <c r="B16511" s="2">
        <v>425</v>
      </c>
      <c r="C16511" s="4" t="str">
        <f>HYPERLINK("http://www.uniprot.org/uniprot/M5X9Z5","M5X9Z5")</f>
        <v>M5X9Z5</v>
      </c>
      <c r="D16511" s="2" t="s">
        <v>4702</v>
      </c>
      <c r="E16511" s="3">
        <v>6.8899999999999996E-70</v>
      </c>
      <c r="F16511" s="2">
        <v>565</v>
      </c>
      <c r="G16511" s="2">
        <v>85</v>
      </c>
      <c r="H16511" s="2">
        <v>133</v>
      </c>
      <c r="I16511" s="2">
        <v>26</v>
      </c>
      <c r="J16511" s="2">
        <v>424</v>
      </c>
      <c r="K16511" s="2">
        <v>1</v>
      </c>
      <c r="L16511" s="2">
        <v>113</v>
      </c>
    </row>
    <row r="16512" spans="1:12" x14ac:dyDescent="0.25">
      <c r="A16512" s="4" t="str">
        <f>HYPERLINK("http://www.rosaceae.org/Prunus/Prunus_persica/p.persica_gdr_reftransV1_0044427","p.persica_gdr_reftransV1_0044427")</f>
        <v>p.persica_gdr_reftransV1_0044427</v>
      </c>
      <c r="B16512" s="2">
        <v>1715</v>
      </c>
      <c r="C16512" s="4" t="str">
        <f>HYPERLINK("http://www.uniprot.org/uniprot/M5WGI7","M5WGI7")</f>
        <v>M5WGI7</v>
      </c>
      <c r="D16512" s="2" t="s">
        <v>13087</v>
      </c>
      <c r="E16512" s="3">
        <v>0</v>
      </c>
      <c r="F16512" s="2">
        <v>2072</v>
      </c>
      <c r="G16512" s="2">
        <v>100</v>
      </c>
      <c r="H16512" s="2">
        <v>421</v>
      </c>
      <c r="I16512" s="2">
        <v>446</v>
      </c>
      <c r="J16512" s="2">
        <v>1708</v>
      </c>
      <c r="K16512" s="2">
        <v>1</v>
      </c>
      <c r="L16512" s="2">
        <v>421</v>
      </c>
    </row>
    <row r="16513" spans="1:12" x14ac:dyDescent="0.25">
      <c r="A16513" s="4" t="str">
        <f>HYPERLINK("http://www.rosaceae.org/Prunus/Prunus_persica/p.persica_gdr_reftransV1_0044777","p.persica_gdr_reftransV1_0044777")</f>
        <v>p.persica_gdr_reftransV1_0044777</v>
      </c>
      <c r="B16513" s="2">
        <v>2842</v>
      </c>
      <c r="C16513" s="4" t="str">
        <f>HYPERLINK("http://www.uniprot.org/uniprot/M5Y3T2","M5Y3T2")</f>
        <v>M5Y3T2</v>
      </c>
      <c r="D16513" s="2" t="s">
        <v>4392</v>
      </c>
      <c r="E16513" s="3">
        <v>0</v>
      </c>
      <c r="F16513" s="2">
        <v>3781</v>
      </c>
      <c r="G16513" s="2">
        <v>100</v>
      </c>
      <c r="H16513" s="2">
        <v>732</v>
      </c>
      <c r="I16513" s="2">
        <v>343</v>
      </c>
      <c r="J16513" s="2">
        <v>2538</v>
      </c>
      <c r="K16513" s="2">
        <v>46</v>
      </c>
      <c r="L16513" s="2">
        <v>777</v>
      </c>
    </row>
    <row r="16514" spans="1:12" x14ac:dyDescent="0.25">
      <c r="A16514" s="4" t="str">
        <f>HYPERLINK("http://www.rosaceae.org/Prunus/Prunus_persica/p.persica_gdr_reftransV1_0045127","p.persica_gdr_reftransV1_0045127")</f>
        <v>p.persica_gdr_reftransV1_0045127</v>
      </c>
      <c r="B16514" s="2">
        <v>871</v>
      </c>
      <c r="C16514" s="4" t="str">
        <f>HYPERLINK("http://www.uniprot.org/uniprot/M5XP28","M5XP28")</f>
        <v>M5XP28</v>
      </c>
      <c r="D16514" s="2" t="s">
        <v>13088</v>
      </c>
      <c r="E16514" s="3">
        <v>1.3199999999999999E-144</v>
      </c>
      <c r="F16514" s="2">
        <v>1077</v>
      </c>
      <c r="G16514" s="2">
        <v>100</v>
      </c>
      <c r="H16514" s="2">
        <v>251</v>
      </c>
      <c r="I16514" s="2">
        <v>117</v>
      </c>
      <c r="J16514" s="2">
        <v>869</v>
      </c>
      <c r="K16514" s="2">
        <v>13</v>
      </c>
      <c r="L16514" s="2">
        <v>263</v>
      </c>
    </row>
    <row r="16515" spans="1:12" x14ac:dyDescent="0.25">
      <c r="A16515" s="4" t="str">
        <f>HYPERLINK("http://www.rosaceae.org/Prunus/Prunus_persica/p.persica_gdr_reftransV1_0045477","p.persica_gdr_reftransV1_0045477")</f>
        <v>p.persica_gdr_reftransV1_0045477</v>
      </c>
      <c r="B16515" s="2">
        <v>657</v>
      </c>
      <c r="C16515" s="4" t="str">
        <f>HYPERLINK("http://www.uniprot.org/uniprot/M5WCG6","M5WCG6")</f>
        <v>M5WCG6</v>
      </c>
      <c r="D16515" s="2" t="s">
        <v>13089</v>
      </c>
      <c r="E16515" s="3">
        <v>4.7200000000000002E-56</v>
      </c>
      <c r="F16515" s="2">
        <v>470</v>
      </c>
      <c r="G16515" s="2">
        <v>100</v>
      </c>
      <c r="H16515" s="2">
        <v>92</v>
      </c>
      <c r="I16515" s="2">
        <v>232</v>
      </c>
      <c r="J16515" s="2">
        <v>507</v>
      </c>
      <c r="K16515" s="2">
        <v>24</v>
      </c>
      <c r="L16515" s="2">
        <v>115</v>
      </c>
    </row>
    <row r="16516" spans="1:12" x14ac:dyDescent="0.25">
      <c r="A16516" s="4" t="str">
        <f>HYPERLINK("http://www.rosaceae.org/Prunus/Prunus_persica/p.persica_gdr_reftransV1_0045827","p.persica_gdr_reftransV1_0045827")</f>
        <v>p.persica_gdr_reftransV1_0045827</v>
      </c>
      <c r="B16516" s="2">
        <v>785</v>
      </c>
      <c r="C16516" s="4" t="str">
        <f>HYPERLINK("http://www.uniprot.org/uniprot/M5XTK1","M5XTK1")</f>
        <v>M5XTK1</v>
      </c>
      <c r="D16516" s="2" t="s">
        <v>4616</v>
      </c>
      <c r="E16516" s="3">
        <v>2.1800000000000001E-99</v>
      </c>
      <c r="F16516" s="2">
        <v>763</v>
      </c>
      <c r="G16516" s="2">
        <v>100</v>
      </c>
      <c r="H16516" s="2">
        <v>142</v>
      </c>
      <c r="I16516" s="2">
        <v>212</v>
      </c>
      <c r="J16516" s="2">
        <v>637</v>
      </c>
      <c r="K16516" s="2">
        <v>1</v>
      </c>
      <c r="L16516" s="2">
        <v>142</v>
      </c>
    </row>
    <row r="16517" spans="1:12" x14ac:dyDescent="0.25">
      <c r="A16517" s="4" t="str">
        <f>HYPERLINK("http://www.rosaceae.org/Prunus/Prunus_persica/p.persica_gdr_reftransV1_0046177","p.persica_gdr_reftransV1_0046177")</f>
        <v>p.persica_gdr_reftransV1_0046177</v>
      </c>
      <c r="B16517" s="2">
        <v>1653</v>
      </c>
      <c r="C16517" s="4" t="str">
        <f>HYPERLINK("http://www.uniprot.org/uniprot/M5W1S7","M5W1S7")</f>
        <v>M5W1S7</v>
      </c>
      <c r="D16517" s="2" t="s">
        <v>4649</v>
      </c>
      <c r="E16517" s="3">
        <v>0</v>
      </c>
      <c r="F16517" s="2">
        <v>2183</v>
      </c>
      <c r="G16517" s="2">
        <v>100</v>
      </c>
      <c r="H16517" s="2">
        <v>487</v>
      </c>
      <c r="I16517" s="2">
        <v>10</v>
      </c>
      <c r="J16517" s="2">
        <v>1470</v>
      </c>
      <c r="K16517" s="2">
        <v>1</v>
      </c>
      <c r="L16517" s="2">
        <v>487</v>
      </c>
    </row>
    <row r="16518" spans="1:12" x14ac:dyDescent="0.25">
      <c r="A16518" s="4" t="str">
        <f>HYPERLINK("http://www.rosaceae.org/Prunus/Prunus_persica/p.persica_gdr_reftransV1_0046877","p.persica_gdr_reftransV1_0046877")</f>
        <v>p.persica_gdr_reftransV1_0046877</v>
      </c>
      <c r="B16518" s="2">
        <v>773</v>
      </c>
      <c r="C16518" s="4" t="str">
        <f>HYPERLINK("http://www.uniprot.org/uniprot/M5XFB4","M5XFB4")</f>
        <v>M5XFB4</v>
      </c>
      <c r="D16518" s="2" t="s">
        <v>13090</v>
      </c>
      <c r="E16518" s="3">
        <v>8.7599999999999997E-76</v>
      </c>
      <c r="F16518" s="2">
        <v>609</v>
      </c>
      <c r="G16518" s="2">
        <v>79</v>
      </c>
      <c r="H16518" s="2">
        <v>146</v>
      </c>
      <c r="I16518" s="2">
        <v>118</v>
      </c>
      <c r="J16518" s="2">
        <v>555</v>
      </c>
      <c r="K16518" s="2">
        <v>24</v>
      </c>
      <c r="L16518" s="2">
        <v>164</v>
      </c>
    </row>
    <row r="16519" spans="1:12" x14ac:dyDescent="0.25">
      <c r="A16519" s="4" t="str">
        <f>HYPERLINK("http://www.rosaceae.org/Prunus/Prunus_persica/p.persica_gdr_reftransV1_0047577","p.persica_gdr_reftransV1_0047577")</f>
        <v>p.persica_gdr_reftransV1_0047577</v>
      </c>
      <c r="B16519" s="2">
        <v>431</v>
      </c>
      <c r="C16519" s="4" t="str">
        <f>HYPERLINK("http://www.uniprot.org/uniprot/M5X364","M5X364")</f>
        <v>M5X364</v>
      </c>
      <c r="D16519" s="2" t="s">
        <v>13091</v>
      </c>
      <c r="E16519" s="3">
        <v>2.02E-61</v>
      </c>
      <c r="F16519" s="2">
        <v>498</v>
      </c>
      <c r="G16519" s="2">
        <v>100</v>
      </c>
      <c r="H16519" s="2">
        <v>103</v>
      </c>
      <c r="I16519" s="2">
        <v>121</v>
      </c>
      <c r="J16519" s="2">
        <v>429</v>
      </c>
      <c r="K16519" s="2">
        <v>1</v>
      </c>
      <c r="L16519" s="2">
        <v>103</v>
      </c>
    </row>
    <row r="16520" spans="1:12" x14ac:dyDescent="0.25">
      <c r="A16520" s="4" t="str">
        <f>HYPERLINK("http://www.rosaceae.org/Prunus/Prunus_persica/p.persica_gdr_reftransV1_0048277","p.persica_gdr_reftransV1_0048277")</f>
        <v>p.persica_gdr_reftransV1_0048277</v>
      </c>
      <c r="B16520" s="2">
        <v>1163</v>
      </c>
      <c r="C16520" s="4" t="str">
        <f>HYPERLINK("http://www.uniprot.org/uniprot/M5XFN6","M5XFN6")</f>
        <v>M5XFN6</v>
      </c>
      <c r="D16520" s="2" t="s">
        <v>11539</v>
      </c>
      <c r="E16520" s="3">
        <v>2.5699999999999998E-161</v>
      </c>
      <c r="F16520" s="2">
        <v>1196</v>
      </c>
      <c r="G16520" s="2">
        <v>100</v>
      </c>
      <c r="H16520" s="2">
        <v>250</v>
      </c>
      <c r="I16520" s="2">
        <v>280</v>
      </c>
      <c r="J16520" s="2">
        <v>1029</v>
      </c>
      <c r="K16520" s="2">
        <v>1</v>
      </c>
      <c r="L16520" s="2">
        <v>250</v>
      </c>
    </row>
    <row r="16521" spans="1:12" x14ac:dyDescent="0.25">
      <c r="A16521" s="4" t="str">
        <f>HYPERLINK("http://www.rosaceae.org/Prunus/Prunus_persica/p.persica_gdr_reftransV1_0048627","p.persica_gdr_reftransV1_0048627")</f>
        <v>p.persica_gdr_reftransV1_0048627</v>
      </c>
      <c r="B16521" s="2">
        <v>428</v>
      </c>
      <c r="C16521" s="4" t="str">
        <f>HYPERLINK("http://www.uniprot.org/uniprot/M5XGV7","M5XGV7")</f>
        <v>M5XGV7</v>
      </c>
      <c r="D16521" s="2" t="s">
        <v>1943</v>
      </c>
      <c r="E16521" s="3">
        <v>2.7700000000000001E-89</v>
      </c>
      <c r="F16521" s="2">
        <v>759</v>
      </c>
      <c r="G16521" s="2">
        <v>100</v>
      </c>
      <c r="H16521" s="2">
        <v>142</v>
      </c>
      <c r="I16521" s="2">
        <v>2</v>
      </c>
      <c r="J16521" s="2">
        <v>427</v>
      </c>
      <c r="K16521" s="2">
        <v>825</v>
      </c>
      <c r="L16521" s="2">
        <v>966</v>
      </c>
    </row>
    <row r="16522" spans="1:12" x14ac:dyDescent="0.25">
      <c r="A16522" s="4" t="str">
        <f>HYPERLINK("http://www.rosaceae.org/Prunus/Prunus_persica/p.persica_gdr_reftransV1_0048977","p.persica_gdr_reftransV1_0048977")</f>
        <v>p.persica_gdr_reftransV1_0048977</v>
      </c>
      <c r="B16522" s="2">
        <v>491</v>
      </c>
      <c r="C16522" s="4" t="str">
        <f>HYPERLINK("http://www.uniprot.org/uniprot/M5W3X8","M5W3X8")</f>
        <v>M5W3X8</v>
      </c>
      <c r="D16522" s="2" t="s">
        <v>5188</v>
      </c>
      <c r="E16522" s="3">
        <v>1.5700000000000002E-107</v>
      </c>
      <c r="F16522" s="2">
        <v>869</v>
      </c>
      <c r="G16522" s="2">
        <v>100</v>
      </c>
      <c r="H16522" s="2">
        <v>161</v>
      </c>
      <c r="I16522" s="2">
        <v>2</v>
      </c>
      <c r="J16522" s="2">
        <v>484</v>
      </c>
      <c r="K16522" s="2">
        <v>751</v>
      </c>
      <c r="L16522" s="2">
        <v>911</v>
      </c>
    </row>
    <row r="16523" spans="1:12" x14ac:dyDescent="0.25">
      <c r="A16523" s="4" t="str">
        <f>HYPERLINK("http://www.rosaceae.org/Prunus/Prunus_persica/p.persica_gdr_reftransV1_0000678","p.persica_gdr_reftransV1_0000678")</f>
        <v>p.persica_gdr_reftransV1_0000678</v>
      </c>
      <c r="B16523" s="2">
        <v>3399</v>
      </c>
      <c r="C16523" s="4" t="str">
        <f>HYPERLINK("http://www.uniprot.org/uniprot/M5VIM5","M5VIM5")</f>
        <v>M5VIM5</v>
      </c>
      <c r="D16523" s="2" t="s">
        <v>13092</v>
      </c>
      <c r="E16523" s="3">
        <v>0</v>
      </c>
      <c r="F16523" s="2">
        <v>4777</v>
      </c>
      <c r="G16523" s="2">
        <v>99</v>
      </c>
      <c r="H16523" s="2">
        <v>1025</v>
      </c>
      <c r="I16523" s="2">
        <v>193</v>
      </c>
      <c r="J16523" s="2">
        <v>3261</v>
      </c>
      <c r="K16523" s="2">
        <v>1</v>
      </c>
      <c r="L16523" s="2">
        <v>1025</v>
      </c>
    </row>
    <row r="16524" spans="1:12" x14ac:dyDescent="0.25">
      <c r="A16524" s="4" t="str">
        <f>HYPERLINK("http://www.rosaceae.org/Prunus/Prunus_persica/p.persica_gdr_reftransV1_0001028","p.persica_gdr_reftransV1_0001028")</f>
        <v>p.persica_gdr_reftransV1_0001028</v>
      </c>
      <c r="B16524" s="2">
        <v>335</v>
      </c>
      <c r="C16524" s="4" t="str">
        <f>HYPERLINK("http://www.uniprot.org/uniprot/M5WSK7","M5WSK7")</f>
        <v>M5WSK7</v>
      </c>
      <c r="D16524" s="2" t="s">
        <v>503</v>
      </c>
      <c r="E16524" s="3">
        <v>2.8999999999999997E-63</v>
      </c>
      <c r="F16524" s="2">
        <v>545</v>
      </c>
      <c r="G16524" s="2">
        <v>96</v>
      </c>
      <c r="H16524" s="2">
        <v>110</v>
      </c>
      <c r="I16524" s="2">
        <v>4</v>
      </c>
      <c r="J16524" s="2">
        <v>333</v>
      </c>
      <c r="K16524" s="2">
        <v>3</v>
      </c>
      <c r="L16524" s="2">
        <v>112</v>
      </c>
    </row>
    <row r="16525" spans="1:12" x14ac:dyDescent="0.25">
      <c r="A16525" s="4" t="str">
        <f>HYPERLINK("http://www.rosaceae.org/Prunus/Prunus_persica/p.persica_gdr_reftransV1_0001378","p.persica_gdr_reftransV1_0001378")</f>
        <v>p.persica_gdr_reftransV1_0001378</v>
      </c>
      <c r="B16525" s="2">
        <v>1307</v>
      </c>
      <c r="C16525" s="4" t="str">
        <f>HYPERLINK("http://www.uniprot.org/uniprot/M5W6R1","M5W6R1")</f>
        <v>M5W6R1</v>
      </c>
      <c r="D16525" s="2" t="s">
        <v>2140</v>
      </c>
      <c r="E16525" s="3">
        <v>9.7800000000000003E-18</v>
      </c>
      <c r="F16525" s="2">
        <v>236</v>
      </c>
      <c r="G16525" s="2">
        <v>68</v>
      </c>
      <c r="H16525" s="2">
        <v>62</v>
      </c>
      <c r="I16525" s="2">
        <v>2</v>
      </c>
      <c r="J16525" s="2">
        <v>187</v>
      </c>
      <c r="K16525" s="2">
        <v>1124</v>
      </c>
      <c r="L16525" s="2">
        <v>1185</v>
      </c>
    </row>
    <row r="16526" spans="1:12" x14ac:dyDescent="0.25">
      <c r="A16526" s="4" t="str">
        <f>HYPERLINK("http://www.rosaceae.org/Prunus/Prunus_persica/p.persica_gdr_reftransV1_0001728","p.persica_gdr_reftransV1_0001728")</f>
        <v>p.persica_gdr_reftransV1_0001728</v>
      </c>
      <c r="B16526" s="2">
        <v>475</v>
      </c>
      <c r="C16526" s="4" t="str">
        <f>HYPERLINK("http://www.uniprot.org/uniprot/M5WC08","M5WC08")</f>
        <v>M5WC08</v>
      </c>
      <c r="D16526" s="2" t="s">
        <v>5129</v>
      </c>
      <c r="E16526" s="3">
        <v>3.8000000000000002E-63</v>
      </c>
      <c r="F16526" s="2">
        <v>552</v>
      </c>
      <c r="G16526" s="2">
        <v>100</v>
      </c>
      <c r="H16526" s="2">
        <v>106</v>
      </c>
      <c r="I16526" s="2">
        <v>156</v>
      </c>
      <c r="J16526" s="2">
        <v>473</v>
      </c>
      <c r="K16526" s="2">
        <v>631</v>
      </c>
      <c r="L16526" s="2">
        <v>736</v>
      </c>
    </row>
    <row r="16527" spans="1:12" x14ac:dyDescent="0.25">
      <c r="A16527" s="4" t="str">
        <f>HYPERLINK("http://www.rosaceae.org/Prunus/Prunus_persica/p.persica_gdr_reftransV1_0002078","p.persica_gdr_reftransV1_0002078")</f>
        <v>p.persica_gdr_reftransV1_0002078</v>
      </c>
      <c r="B16527" s="2">
        <v>874</v>
      </c>
      <c r="C16527" s="4" t="str">
        <f>HYPERLINK("http://www.uniprot.org/uniprot/M5WJC0","M5WJC0")</f>
        <v>M5WJC0</v>
      </c>
      <c r="D16527" s="2" t="s">
        <v>13093</v>
      </c>
      <c r="E16527" s="3">
        <v>2.3899999999999999E-91</v>
      </c>
      <c r="F16527" s="2">
        <v>715</v>
      </c>
      <c r="G16527" s="2">
        <v>100</v>
      </c>
      <c r="H16527" s="2">
        <v>162</v>
      </c>
      <c r="I16527" s="2">
        <v>308</v>
      </c>
      <c r="J16527" s="2">
        <v>793</v>
      </c>
      <c r="K16527" s="2">
        <v>1</v>
      </c>
      <c r="L16527" s="2">
        <v>162</v>
      </c>
    </row>
    <row r="16528" spans="1:12" x14ac:dyDescent="0.25">
      <c r="A16528" s="4" t="str">
        <f>HYPERLINK("http://www.rosaceae.org/Prunus/Prunus_persica/p.persica_gdr_reftransV1_0003128","p.persica_gdr_reftransV1_0003128")</f>
        <v>p.persica_gdr_reftransV1_0003128</v>
      </c>
      <c r="B16528" s="2">
        <v>470</v>
      </c>
      <c r="C16528" s="4" t="str">
        <f>HYPERLINK("http://www.uniprot.org/uniprot/M5XGD3","M5XGD3")</f>
        <v>M5XGD3</v>
      </c>
      <c r="D16528" s="2" t="s">
        <v>8988</v>
      </c>
      <c r="E16528" s="3">
        <v>9.2300000000000007E-108</v>
      </c>
      <c r="F16528" s="2">
        <v>831</v>
      </c>
      <c r="G16528" s="2">
        <v>100</v>
      </c>
      <c r="H16528" s="2">
        <v>156</v>
      </c>
      <c r="I16528" s="2">
        <v>1</v>
      </c>
      <c r="J16528" s="2">
        <v>468</v>
      </c>
      <c r="K16528" s="2">
        <v>139</v>
      </c>
      <c r="L16528" s="2">
        <v>294</v>
      </c>
    </row>
    <row r="16529" spans="1:12" x14ac:dyDescent="0.25">
      <c r="A16529" s="4" t="str">
        <f>HYPERLINK("http://www.rosaceae.org/Prunus/Prunus_persica/p.persica_gdr_reftransV1_0003828","p.persica_gdr_reftransV1_0003828")</f>
        <v>p.persica_gdr_reftransV1_0003828</v>
      </c>
      <c r="B16529" s="2">
        <v>1986</v>
      </c>
      <c r="C16529" s="4" t="str">
        <f>HYPERLINK("http://www.uniprot.org/uniprot/M5WHC7","M5WHC7")</f>
        <v>M5WHC7</v>
      </c>
      <c r="D16529" s="2" t="s">
        <v>12232</v>
      </c>
      <c r="E16529" s="3">
        <v>0</v>
      </c>
      <c r="F16529" s="2">
        <v>2263</v>
      </c>
      <c r="G16529" s="2">
        <v>100</v>
      </c>
      <c r="H16529" s="2">
        <v>445</v>
      </c>
      <c r="I16529" s="2">
        <v>64</v>
      </c>
      <c r="J16529" s="2">
        <v>1398</v>
      </c>
      <c r="K16529" s="2">
        <v>1</v>
      </c>
      <c r="L16529" s="2">
        <v>445</v>
      </c>
    </row>
    <row r="16530" spans="1:12" x14ac:dyDescent="0.25">
      <c r="A16530" s="4" t="str">
        <f>HYPERLINK("http://www.rosaceae.org/Prunus/Prunus_persica/p.persica_gdr_reftransV1_0004878","p.persica_gdr_reftransV1_0004878")</f>
        <v>p.persica_gdr_reftransV1_0004878</v>
      </c>
      <c r="B16530" s="2">
        <v>556</v>
      </c>
      <c r="C16530" s="4" t="str">
        <f>HYPERLINK("http://www.uniprot.org/uniprot/M5XJN1","M5XJN1")</f>
        <v>M5XJN1</v>
      </c>
      <c r="D16530" s="2" t="s">
        <v>13094</v>
      </c>
      <c r="E16530" s="3">
        <v>2.6399999999999999E-128</v>
      </c>
      <c r="F16530" s="2">
        <v>970</v>
      </c>
      <c r="G16530" s="2">
        <v>99</v>
      </c>
      <c r="H16530" s="2">
        <v>185</v>
      </c>
      <c r="I16530" s="2">
        <v>1</v>
      </c>
      <c r="J16530" s="2">
        <v>555</v>
      </c>
      <c r="K16530" s="2">
        <v>75</v>
      </c>
      <c r="L16530" s="2">
        <v>259</v>
      </c>
    </row>
    <row r="16531" spans="1:12" x14ac:dyDescent="0.25">
      <c r="A16531" s="4" t="str">
        <f>HYPERLINK("http://www.rosaceae.org/Prunus/Prunus_persica/p.persica_gdr_reftransV1_0005228","p.persica_gdr_reftransV1_0005228")</f>
        <v>p.persica_gdr_reftransV1_0005228</v>
      </c>
      <c r="B16531" s="2">
        <v>885</v>
      </c>
      <c r="C16531" s="4" t="str">
        <f>HYPERLINK("http://www.uniprot.org/uniprot/M5Y2C6","M5Y2C6")</f>
        <v>M5Y2C6</v>
      </c>
      <c r="D16531" s="2" t="s">
        <v>11755</v>
      </c>
      <c r="E16531" s="3">
        <v>4.6100000000000002E-128</v>
      </c>
      <c r="F16531" s="2">
        <v>962</v>
      </c>
      <c r="G16531" s="2">
        <v>100</v>
      </c>
      <c r="H16531" s="2">
        <v>198</v>
      </c>
      <c r="I16531" s="2">
        <v>141</v>
      </c>
      <c r="J16531" s="2">
        <v>734</v>
      </c>
      <c r="K16531" s="2">
        <v>1</v>
      </c>
      <c r="L16531" s="2">
        <v>198</v>
      </c>
    </row>
    <row r="16532" spans="1:12" x14ac:dyDescent="0.25">
      <c r="A16532" s="4" t="str">
        <f>HYPERLINK("http://www.rosaceae.org/Prunus/Prunus_persica/p.persica_gdr_reftransV1_0005578","p.persica_gdr_reftransV1_0005578")</f>
        <v>p.persica_gdr_reftransV1_0005578</v>
      </c>
      <c r="B16532" s="2">
        <v>408</v>
      </c>
      <c r="C16532" s="4" t="str">
        <f>HYPERLINK("http://www.uniprot.org/uniprot/M5XQN5","M5XQN5")</f>
        <v>M5XQN5</v>
      </c>
      <c r="D16532" s="2" t="s">
        <v>13095</v>
      </c>
      <c r="E16532" s="3">
        <v>2.2800000000000001E-11</v>
      </c>
      <c r="F16532" s="2">
        <v>172</v>
      </c>
      <c r="G16532" s="2">
        <v>38</v>
      </c>
      <c r="H16532" s="2">
        <v>112</v>
      </c>
      <c r="I16532" s="2">
        <v>1</v>
      </c>
      <c r="J16532" s="2">
        <v>333</v>
      </c>
      <c r="K16532" s="2">
        <v>15</v>
      </c>
      <c r="L16532" s="2">
        <v>124</v>
      </c>
    </row>
    <row r="16533" spans="1:12" x14ac:dyDescent="0.25">
      <c r="A16533" s="4" t="str">
        <f>HYPERLINK("http://www.rosaceae.org/Prunus/Prunus_persica/p.persica_gdr_reftransV1_0005928","p.persica_gdr_reftransV1_0005928")</f>
        <v>p.persica_gdr_reftransV1_0005928</v>
      </c>
      <c r="B16533" s="2">
        <v>358</v>
      </c>
      <c r="C16533" s="4" t="str">
        <f>HYPERLINK("http://www.uniprot.org/uniprot/M5WCT4","M5WCT4")</f>
        <v>M5WCT4</v>
      </c>
      <c r="D16533" s="2" t="s">
        <v>3778</v>
      </c>
      <c r="E16533" s="3">
        <v>5.3999999999999995E-69</v>
      </c>
      <c r="F16533" s="2">
        <v>594</v>
      </c>
      <c r="G16533" s="2">
        <v>97</v>
      </c>
      <c r="H16533" s="2">
        <v>118</v>
      </c>
      <c r="I16533" s="2">
        <v>3</v>
      </c>
      <c r="J16533" s="2">
        <v>356</v>
      </c>
      <c r="K16533" s="2">
        <v>163</v>
      </c>
      <c r="L16533" s="2">
        <v>280</v>
      </c>
    </row>
    <row r="16534" spans="1:12" x14ac:dyDescent="0.25">
      <c r="A16534" s="4" t="str">
        <f>HYPERLINK("http://www.rosaceae.org/Prunus/Prunus_persica/p.persica_gdr_reftransV1_0006278","p.persica_gdr_reftransV1_0006278")</f>
        <v>p.persica_gdr_reftransV1_0006278</v>
      </c>
      <c r="B16534" s="2">
        <v>1170</v>
      </c>
      <c r="C16534" s="4" t="str">
        <f>HYPERLINK("http://www.uniprot.org/uniprot/M5WY99","M5WY99")</f>
        <v>M5WY99</v>
      </c>
      <c r="D16534" s="2" t="s">
        <v>13096</v>
      </c>
      <c r="E16534" s="3">
        <v>0</v>
      </c>
      <c r="F16534" s="2">
        <v>1370</v>
      </c>
      <c r="G16534" s="2">
        <v>99</v>
      </c>
      <c r="H16534" s="2">
        <v>261</v>
      </c>
      <c r="I16534" s="2">
        <v>317</v>
      </c>
      <c r="J16534" s="2">
        <v>1099</v>
      </c>
      <c r="K16534" s="2">
        <v>1</v>
      </c>
      <c r="L16534" s="2">
        <v>261</v>
      </c>
    </row>
    <row r="16535" spans="1:12" x14ac:dyDescent="0.25">
      <c r="A16535" s="4" t="str">
        <f>HYPERLINK("http://www.rosaceae.org/Prunus/Prunus_persica/p.persica_gdr_reftransV1_0006628","p.persica_gdr_reftransV1_0006628")</f>
        <v>p.persica_gdr_reftransV1_0006628</v>
      </c>
      <c r="B16535" s="2">
        <v>737</v>
      </c>
      <c r="C16535" s="4" t="str">
        <f>HYPERLINK("http://www.uniprot.org/uniprot/M5WHG3","M5WHG3")</f>
        <v>M5WHG3</v>
      </c>
      <c r="D16535" s="2" t="s">
        <v>13097</v>
      </c>
      <c r="E16535" s="3">
        <v>2.0700000000000001E-117</v>
      </c>
      <c r="F16535" s="2">
        <v>901</v>
      </c>
      <c r="G16535" s="2">
        <v>99</v>
      </c>
      <c r="H16535" s="2">
        <v>176</v>
      </c>
      <c r="I16535" s="2">
        <v>3</v>
      </c>
      <c r="J16535" s="2">
        <v>530</v>
      </c>
      <c r="K16535" s="2">
        <v>175</v>
      </c>
      <c r="L16535" s="2">
        <v>348</v>
      </c>
    </row>
    <row r="16536" spans="1:12" x14ac:dyDescent="0.25">
      <c r="A16536" s="4" t="str">
        <f>HYPERLINK("http://www.rosaceae.org/Prunus/Prunus_persica/p.persica_gdr_reftransV1_0008028","p.persica_gdr_reftransV1_0008028")</f>
        <v>p.persica_gdr_reftransV1_0008028</v>
      </c>
      <c r="B16536" s="2">
        <v>479</v>
      </c>
      <c r="C16536" s="4" t="str">
        <f>HYPERLINK("http://www.uniprot.org/uniprot/M5X3K1","M5X3K1")</f>
        <v>M5X3K1</v>
      </c>
      <c r="D16536" s="2" t="s">
        <v>13098</v>
      </c>
      <c r="E16536" s="3">
        <v>3.71E-73</v>
      </c>
      <c r="F16536" s="2">
        <v>614</v>
      </c>
      <c r="G16536" s="2">
        <v>100</v>
      </c>
      <c r="H16536" s="2">
        <v>135</v>
      </c>
      <c r="I16536" s="2">
        <v>75</v>
      </c>
      <c r="J16536" s="2">
        <v>479</v>
      </c>
      <c r="K16536" s="2">
        <v>433</v>
      </c>
      <c r="L16536" s="2">
        <v>567</v>
      </c>
    </row>
    <row r="16537" spans="1:12" x14ac:dyDescent="0.25">
      <c r="A16537" s="4" t="str">
        <f>HYPERLINK("http://www.rosaceae.org/Prunus/Prunus_persica/p.persica_gdr_reftransV1_0008378","p.persica_gdr_reftransV1_0008378")</f>
        <v>p.persica_gdr_reftransV1_0008378</v>
      </c>
      <c r="B16537" s="2">
        <v>1467</v>
      </c>
      <c r="C16537" s="4" t="str">
        <f>HYPERLINK("http://www.uniprot.org/uniprot/M5VSD9","M5VSD9")</f>
        <v>M5VSD9</v>
      </c>
      <c r="D16537" s="2" t="s">
        <v>13099</v>
      </c>
      <c r="E16537" s="3">
        <v>1.8499999999999999E-34</v>
      </c>
      <c r="F16537" s="2">
        <v>342</v>
      </c>
      <c r="G16537" s="2">
        <v>85</v>
      </c>
      <c r="H16537" s="2">
        <v>102</v>
      </c>
      <c r="I16537" s="2">
        <v>1140</v>
      </c>
      <c r="J16537" s="2">
        <v>1445</v>
      </c>
      <c r="K16537" s="2">
        <v>6</v>
      </c>
      <c r="L16537" s="2">
        <v>93</v>
      </c>
    </row>
    <row r="16538" spans="1:12" x14ac:dyDescent="0.25">
      <c r="A16538" s="4" t="str">
        <f>HYPERLINK("http://www.rosaceae.org/Prunus/Prunus_persica/p.persica_gdr_reftransV1_0009078","p.persica_gdr_reftransV1_0009078")</f>
        <v>p.persica_gdr_reftransV1_0009078</v>
      </c>
      <c r="B16538" s="2">
        <v>965</v>
      </c>
      <c r="C16538" s="4" t="str">
        <f>HYPERLINK("http://www.uniprot.org/uniprot/M5WAT2","M5WAT2")</f>
        <v>M5WAT2</v>
      </c>
      <c r="D16538" s="2" t="s">
        <v>13100</v>
      </c>
      <c r="E16538" s="3">
        <v>1.6700000000000001E-105</v>
      </c>
      <c r="F16538" s="2">
        <v>812</v>
      </c>
      <c r="G16538" s="2">
        <v>100</v>
      </c>
      <c r="H16538" s="2">
        <v>157</v>
      </c>
      <c r="I16538" s="2">
        <v>442</v>
      </c>
      <c r="J16538" s="2">
        <v>912</v>
      </c>
      <c r="K16538" s="2">
        <v>1</v>
      </c>
      <c r="L16538" s="2">
        <v>157</v>
      </c>
    </row>
    <row r="16539" spans="1:12" x14ac:dyDescent="0.25">
      <c r="A16539" s="4" t="str">
        <f>HYPERLINK("http://www.rosaceae.org/Prunus/Prunus_persica/p.persica_gdr_reftransV1_0009428","p.persica_gdr_reftransV1_0009428")</f>
        <v>p.persica_gdr_reftransV1_0009428</v>
      </c>
      <c r="B16539" s="2">
        <v>2049</v>
      </c>
      <c r="C16539" s="4" t="str">
        <f>HYPERLINK("http://www.uniprot.org/uniprot/M5WHD0","M5WHD0")</f>
        <v>M5WHD0</v>
      </c>
      <c r="D16539" s="2" t="s">
        <v>13101</v>
      </c>
      <c r="E16539" s="3">
        <v>0</v>
      </c>
      <c r="F16539" s="2">
        <v>2595</v>
      </c>
      <c r="G16539" s="2">
        <v>100</v>
      </c>
      <c r="H16539" s="2">
        <v>486</v>
      </c>
      <c r="I16539" s="2">
        <v>393</v>
      </c>
      <c r="J16539" s="2">
        <v>1850</v>
      </c>
      <c r="K16539" s="2">
        <v>1</v>
      </c>
      <c r="L16539" s="2">
        <v>486</v>
      </c>
    </row>
    <row r="16540" spans="1:12" x14ac:dyDescent="0.25">
      <c r="A16540" s="4" t="str">
        <f>HYPERLINK("http://www.rosaceae.org/Prunus/Prunus_persica/p.persica_gdr_reftransV1_0009778","p.persica_gdr_reftransV1_0009778")</f>
        <v>p.persica_gdr_reftransV1_0009778</v>
      </c>
      <c r="B16540" s="2">
        <v>2310</v>
      </c>
      <c r="C16540" s="4" t="str">
        <f>HYPERLINK("http://www.uniprot.org/uniprot/W9R3N6","W9R3N6")</f>
        <v>W9R3N6</v>
      </c>
      <c r="D16540" s="2" t="s">
        <v>13102</v>
      </c>
      <c r="E16540" s="3">
        <v>0</v>
      </c>
      <c r="F16540" s="2">
        <v>1934</v>
      </c>
      <c r="G16540" s="2">
        <v>70</v>
      </c>
      <c r="H16540" s="2">
        <v>512</v>
      </c>
      <c r="I16540" s="2">
        <v>146</v>
      </c>
      <c r="J16540" s="2">
        <v>1678</v>
      </c>
      <c r="K16540" s="2">
        <v>25</v>
      </c>
      <c r="L16540" s="2">
        <v>535</v>
      </c>
    </row>
    <row r="16541" spans="1:12" x14ac:dyDescent="0.25">
      <c r="A16541" s="4" t="str">
        <f>HYPERLINK("http://www.rosaceae.org/Prunus/Prunus_persica/p.persica_gdr_reftransV1_0010128","p.persica_gdr_reftransV1_0010128")</f>
        <v>p.persica_gdr_reftransV1_0010128</v>
      </c>
      <c r="B16541" s="2">
        <v>1210</v>
      </c>
      <c r="C16541" s="4" t="str">
        <f>HYPERLINK("http://www.uniprot.org/uniprot/M5XXI5","M5XXI5")</f>
        <v>M5XXI5</v>
      </c>
      <c r="D16541" s="2" t="s">
        <v>1042</v>
      </c>
      <c r="E16541" s="3">
        <v>0</v>
      </c>
      <c r="F16541" s="2">
        <v>1417</v>
      </c>
      <c r="G16541" s="2">
        <v>98</v>
      </c>
      <c r="H16541" s="2">
        <v>338</v>
      </c>
      <c r="I16541" s="2">
        <v>1</v>
      </c>
      <c r="J16541" s="2">
        <v>999</v>
      </c>
      <c r="K16541" s="2">
        <v>443</v>
      </c>
      <c r="L16541" s="2">
        <v>780</v>
      </c>
    </row>
    <row r="16542" spans="1:12" x14ac:dyDescent="0.25">
      <c r="A16542" s="4" t="str">
        <f>HYPERLINK("http://www.rosaceae.org/Prunus/Prunus_persica/p.persica_gdr_reftransV1_0010478","p.persica_gdr_reftransV1_0010478")</f>
        <v>p.persica_gdr_reftransV1_0010478</v>
      </c>
      <c r="B16542" s="2">
        <v>1403</v>
      </c>
      <c r="C16542" s="4" t="str">
        <f>HYPERLINK("http://www.uniprot.org/uniprot/M5XE10","M5XE10")</f>
        <v>M5XE10</v>
      </c>
      <c r="D16542" s="2" t="s">
        <v>13103</v>
      </c>
      <c r="E16542" s="3">
        <v>6.7200000000000002E-168</v>
      </c>
      <c r="F16542" s="2">
        <v>1257</v>
      </c>
      <c r="G16542" s="2">
        <v>100</v>
      </c>
      <c r="H16542" s="2">
        <v>340</v>
      </c>
      <c r="I16542" s="2">
        <v>221</v>
      </c>
      <c r="J16542" s="2">
        <v>1240</v>
      </c>
      <c r="K16542" s="2">
        <v>1</v>
      </c>
      <c r="L16542" s="2">
        <v>340</v>
      </c>
    </row>
    <row r="16543" spans="1:12" x14ac:dyDescent="0.25">
      <c r="A16543" s="4" t="str">
        <f>HYPERLINK("http://www.rosaceae.org/Prunus/Prunus_persica/p.persica_gdr_reftransV1_0011878","p.persica_gdr_reftransV1_0011878")</f>
        <v>p.persica_gdr_reftransV1_0011878</v>
      </c>
      <c r="B16543" s="2">
        <v>560</v>
      </c>
      <c r="C16543" s="4" t="str">
        <f>HYPERLINK("http://www.uniprot.org/uniprot/W9R0T6","W9R0T6")</f>
        <v>W9R0T6</v>
      </c>
      <c r="D16543" s="2" t="s">
        <v>13104</v>
      </c>
      <c r="E16543" s="3">
        <v>9.4099999999999994E-83</v>
      </c>
      <c r="F16543" s="2">
        <v>680</v>
      </c>
      <c r="G16543" s="2">
        <v>66</v>
      </c>
      <c r="H16543" s="2">
        <v>183</v>
      </c>
      <c r="I16543" s="2">
        <v>4</v>
      </c>
      <c r="J16543" s="2">
        <v>552</v>
      </c>
      <c r="K16543" s="2">
        <v>5</v>
      </c>
      <c r="L16543" s="2">
        <v>187</v>
      </c>
    </row>
    <row r="16544" spans="1:12" x14ac:dyDescent="0.25">
      <c r="A16544" s="4" t="str">
        <f>HYPERLINK("http://www.rosaceae.org/Prunus/Prunus_persica/p.persica_gdr_reftransV1_0012228","p.persica_gdr_reftransV1_0012228")</f>
        <v>p.persica_gdr_reftransV1_0012228</v>
      </c>
      <c r="B16544" s="2">
        <v>2378</v>
      </c>
      <c r="C16544" s="4" t="str">
        <f>HYPERLINK("http://www.uniprot.org/uniprot/M5XDS1","M5XDS1")</f>
        <v>M5XDS1</v>
      </c>
      <c r="D16544" s="2" t="s">
        <v>13105</v>
      </c>
      <c r="E16544" s="3">
        <v>0</v>
      </c>
      <c r="F16544" s="2">
        <v>2805</v>
      </c>
      <c r="G16544" s="2">
        <v>100</v>
      </c>
      <c r="H16544" s="2">
        <v>518</v>
      </c>
      <c r="I16544" s="2">
        <v>387</v>
      </c>
      <c r="J16544" s="2">
        <v>1940</v>
      </c>
      <c r="K16544" s="2">
        <v>1</v>
      </c>
      <c r="L16544" s="2">
        <v>518</v>
      </c>
    </row>
    <row r="16545" spans="1:12" x14ac:dyDescent="0.25">
      <c r="A16545" s="4" t="str">
        <f>HYPERLINK("http://www.rosaceae.org/Prunus/Prunus_persica/p.persica_gdr_reftransV1_0012578","p.persica_gdr_reftransV1_0012578")</f>
        <v>p.persica_gdr_reftransV1_0012578</v>
      </c>
      <c r="B16545" s="2">
        <v>1301</v>
      </c>
      <c r="C16545" s="4" t="str">
        <f>HYPERLINK("http://www.uniprot.org/uniprot/M5X3B8","M5X3B8")</f>
        <v>M5X3B8</v>
      </c>
      <c r="D16545" s="2" t="s">
        <v>13106</v>
      </c>
      <c r="E16545" s="3">
        <v>2.9899999999999999E-120</v>
      </c>
      <c r="F16545" s="2">
        <v>901</v>
      </c>
      <c r="G16545" s="2">
        <v>100</v>
      </c>
      <c r="H16545" s="2">
        <v>189</v>
      </c>
      <c r="I16545" s="2">
        <v>513</v>
      </c>
      <c r="J16545" s="2">
        <v>1079</v>
      </c>
      <c r="K16545" s="2">
        <v>19</v>
      </c>
      <c r="L16545" s="2">
        <v>207</v>
      </c>
    </row>
    <row r="16546" spans="1:12" x14ac:dyDescent="0.25">
      <c r="A16546" s="4" t="str">
        <f>HYPERLINK("http://www.rosaceae.org/Prunus/Prunus_persica/p.persica_gdr_reftransV1_0012928","p.persica_gdr_reftransV1_0012928")</f>
        <v>p.persica_gdr_reftransV1_0012928</v>
      </c>
      <c r="B16546" s="2">
        <v>1709</v>
      </c>
      <c r="C16546" s="4" t="str">
        <f>HYPERLINK("http://www.uniprot.org/uniprot/M5XTA8","M5XTA8")</f>
        <v>M5XTA8</v>
      </c>
      <c r="D16546" s="2" t="s">
        <v>8568</v>
      </c>
      <c r="E16546" s="3">
        <v>2.02E-35</v>
      </c>
      <c r="F16546" s="2">
        <v>376</v>
      </c>
      <c r="G16546" s="2">
        <v>58</v>
      </c>
      <c r="H16546" s="2">
        <v>135</v>
      </c>
      <c r="I16546" s="2">
        <v>1</v>
      </c>
      <c r="J16546" s="2">
        <v>384</v>
      </c>
      <c r="K16546" s="2">
        <v>190</v>
      </c>
      <c r="L16546" s="2">
        <v>323</v>
      </c>
    </row>
    <row r="16547" spans="1:12" x14ac:dyDescent="0.25">
      <c r="A16547" s="4" t="str">
        <f>HYPERLINK("http://www.rosaceae.org/Prunus/Prunus_persica/p.persica_gdr_reftransV1_0013278","p.persica_gdr_reftransV1_0013278")</f>
        <v>p.persica_gdr_reftransV1_0013278</v>
      </c>
      <c r="B16547" s="2">
        <v>718</v>
      </c>
      <c r="C16547" s="4" t="str">
        <f>HYPERLINK("http://www.uniprot.org/uniprot/M5X0U9","M5X0U9")</f>
        <v>M5X0U9</v>
      </c>
      <c r="D16547" s="2" t="s">
        <v>13107</v>
      </c>
      <c r="E16547" s="3">
        <v>7.8099999999999999E-42</v>
      </c>
      <c r="F16547" s="2">
        <v>381</v>
      </c>
      <c r="G16547" s="2">
        <v>100</v>
      </c>
      <c r="H16547" s="2">
        <v>102</v>
      </c>
      <c r="I16547" s="2">
        <v>412</v>
      </c>
      <c r="J16547" s="2">
        <v>717</v>
      </c>
      <c r="K16547" s="2">
        <v>47</v>
      </c>
      <c r="L16547" s="2">
        <v>148</v>
      </c>
    </row>
    <row r="16548" spans="1:12" x14ac:dyDescent="0.25">
      <c r="A16548" s="4" t="str">
        <f>HYPERLINK("http://www.rosaceae.org/Prunus/Prunus_persica/p.persica_gdr_reftransV1_0014328","p.persica_gdr_reftransV1_0014328")</f>
        <v>p.persica_gdr_reftransV1_0014328</v>
      </c>
      <c r="B16548" s="2">
        <v>739</v>
      </c>
      <c r="C16548" s="4" t="str">
        <f>HYPERLINK("http://www.uniprot.org/uniprot/M5XVB6","M5XVB6")</f>
        <v>M5XVB6</v>
      </c>
      <c r="D16548" s="2" t="s">
        <v>13108</v>
      </c>
      <c r="E16548" s="3">
        <v>5.4200000000000002E-103</v>
      </c>
      <c r="F16548" s="2">
        <v>795</v>
      </c>
      <c r="G16548" s="2">
        <v>99</v>
      </c>
      <c r="H16548" s="2">
        <v>154</v>
      </c>
      <c r="I16548" s="2">
        <v>88</v>
      </c>
      <c r="J16548" s="2">
        <v>549</v>
      </c>
      <c r="K16548" s="2">
        <v>83</v>
      </c>
      <c r="L16548" s="2">
        <v>236</v>
      </c>
    </row>
    <row r="16549" spans="1:12" x14ac:dyDescent="0.25">
      <c r="A16549" s="4" t="str">
        <f>HYPERLINK("http://www.rosaceae.org/Prunus/Prunus_persica/p.persica_gdr_reftransV1_0014678","p.persica_gdr_reftransV1_0014678")</f>
        <v>p.persica_gdr_reftransV1_0014678</v>
      </c>
      <c r="B16549" s="2">
        <v>692</v>
      </c>
      <c r="C16549" s="4" t="str">
        <f>HYPERLINK("http://www.uniprot.org/uniprot/A0A0A0V5L5","A0A0A0V5L5")</f>
        <v>A0A0A0V5L5</v>
      </c>
      <c r="D16549" s="2" t="s">
        <v>2422</v>
      </c>
      <c r="E16549" s="3">
        <v>9.5600000000000007E-102</v>
      </c>
      <c r="F16549" s="2">
        <v>800</v>
      </c>
      <c r="G16549" s="2">
        <v>93</v>
      </c>
      <c r="H16549" s="2">
        <v>213</v>
      </c>
      <c r="I16549" s="2">
        <v>61</v>
      </c>
      <c r="J16549" s="2">
        <v>690</v>
      </c>
      <c r="K16549" s="2">
        <v>172</v>
      </c>
      <c r="L16549" s="2">
        <v>384</v>
      </c>
    </row>
    <row r="16550" spans="1:12" x14ac:dyDescent="0.25">
      <c r="A16550" s="4" t="str">
        <f>HYPERLINK("http://www.rosaceae.org/Prunus/Prunus_persica/p.persica_gdr_reftransV1_0015028","p.persica_gdr_reftransV1_0015028")</f>
        <v>p.persica_gdr_reftransV1_0015028</v>
      </c>
      <c r="B16550" s="2">
        <v>1977</v>
      </c>
      <c r="C16550" s="4" t="str">
        <f>HYPERLINK("http://www.uniprot.org/uniprot/M5XB80","M5XB80")</f>
        <v>M5XB80</v>
      </c>
      <c r="D16550" s="2" t="s">
        <v>13109</v>
      </c>
      <c r="E16550" s="3">
        <v>0</v>
      </c>
      <c r="F16550" s="2">
        <v>2116</v>
      </c>
      <c r="G16550" s="2">
        <v>100</v>
      </c>
      <c r="H16550" s="2">
        <v>444</v>
      </c>
      <c r="I16550" s="2">
        <v>211</v>
      </c>
      <c r="J16550" s="2">
        <v>1542</v>
      </c>
      <c r="K16550" s="2">
        <v>1</v>
      </c>
      <c r="L16550" s="2">
        <v>444</v>
      </c>
    </row>
    <row r="16551" spans="1:12" x14ac:dyDescent="0.25">
      <c r="A16551" s="4" t="str">
        <f>HYPERLINK("http://www.rosaceae.org/Prunus/Prunus_persica/p.persica_gdr_reftransV1_0015378","p.persica_gdr_reftransV1_0015378")</f>
        <v>p.persica_gdr_reftransV1_0015378</v>
      </c>
      <c r="B16551" s="2">
        <v>3944</v>
      </c>
      <c r="C16551" s="4" t="str">
        <f>HYPERLINK("http://www.uniprot.org/uniprot/M5WU77","M5WU77")</f>
        <v>M5WU77</v>
      </c>
      <c r="D16551" s="2" t="s">
        <v>13110</v>
      </c>
      <c r="E16551" s="3">
        <v>0</v>
      </c>
      <c r="F16551" s="2">
        <v>2629</v>
      </c>
      <c r="G16551" s="2">
        <v>99</v>
      </c>
      <c r="H16551" s="2">
        <v>498</v>
      </c>
      <c r="I16551" s="2">
        <v>2157</v>
      </c>
      <c r="J16551" s="2">
        <v>3638</v>
      </c>
      <c r="K16551" s="2">
        <v>364</v>
      </c>
      <c r="L16551" s="2">
        <v>861</v>
      </c>
    </row>
    <row r="16552" spans="1:12" x14ac:dyDescent="0.25">
      <c r="A16552" s="4" t="str">
        <f>HYPERLINK("http://www.rosaceae.org/Prunus/Prunus_persica/p.persica_gdr_reftransV1_0016778","p.persica_gdr_reftransV1_0016778")</f>
        <v>p.persica_gdr_reftransV1_0016778</v>
      </c>
      <c r="B16552" s="2">
        <v>1544</v>
      </c>
      <c r="C16552" s="4" t="str">
        <f>HYPERLINK("http://www.uniprot.org/uniprot/M5WKM9","M5WKM9")</f>
        <v>M5WKM9</v>
      </c>
      <c r="D16552" s="2" t="s">
        <v>13111</v>
      </c>
      <c r="E16552" s="3">
        <v>0</v>
      </c>
      <c r="F16552" s="2">
        <v>1031</v>
      </c>
      <c r="G16552" s="2">
        <v>98</v>
      </c>
      <c r="H16552" s="2">
        <v>205</v>
      </c>
      <c r="I16552" s="2">
        <v>747</v>
      </c>
      <c r="J16552" s="2">
        <v>1361</v>
      </c>
      <c r="K16552" s="2">
        <v>198</v>
      </c>
      <c r="L16552" s="2">
        <v>398</v>
      </c>
    </row>
    <row r="16553" spans="1:12" x14ac:dyDescent="0.25">
      <c r="A16553" s="4" t="str">
        <f>HYPERLINK("http://www.rosaceae.org/Prunus/Prunus_persica/p.persica_gdr_reftransV1_0017128","p.persica_gdr_reftransV1_0017128")</f>
        <v>p.persica_gdr_reftransV1_0017128</v>
      </c>
      <c r="B16553" s="2">
        <v>447</v>
      </c>
      <c r="C16553" s="4" t="str">
        <f>HYPERLINK("http://www.uniprot.org/uniprot/M5WH00","M5WH00")</f>
        <v>M5WH00</v>
      </c>
      <c r="D16553" s="2" t="s">
        <v>13112</v>
      </c>
      <c r="E16553" s="3">
        <v>4.6899999999999998E-101</v>
      </c>
      <c r="F16553" s="2">
        <v>785</v>
      </c>
      <c r="G16553" s="2">
        <v>100</v>
      </c>
      <c r="H16553" s="2">
        <v>148</v>
      </c>
      <c r="I16553" s="2">
        <v>3</v>
      </c>
      <c r="J16553" s="2">
        <v>446</v>
      </c>
      <c r="K16553" s="2">
        <v>116</v>
      </c>
      <c r="L16553" s="2">
        <v>263</v>
      </c>
    </row>
    <row r="16554" spans="1:12" x14ac:dyDescent="0.25">
      <c r="A16554" s="4" t="str">
        <f>HYPERLINK("http://www.rosaceae.org/Prunus/Prunus_persica/p.persica_gdr_reftransV1_0017828","p.persica_gdr_reftransV1_0017828")</f>
        <v>p.persica_gdr_reftransV1_0017828</v>
      </c>
      <c r="B16554" s="2">
        <v>2333</v>
      </c>
      <c r="C16554" s="4" t="str">
        <f>HYPERLINK("http://www.uniprot.org/uniprot/M5W186","M5W186")</f>
        <v>M5W186</v>
      </c>
      <c r="D16554" s="2" t="s">
        <v>13113</v>
      </c>
      <c r="E16554" s="3">
        <v>0</v>
      </c>
      <c r="F16554" s="2">
        <v>2510</v>
      </c>
      <c r="G16554" s="2">
        <v>100</v>
      </c>
      <c r="H16554" s="2">
        <v>503</v>
      </c>
      <c r="I16554" s="2">
        <v>609</v>
      </c>
      <c r="J16554" s="2">
        <v>2117</v>
      </c>
      <c r="K16554" s="2">
        <v>1</v>
      </c>
      <c r="L16554" s="2">
        <v>503</v>
      </c>
    </row>
    <row r="16555" spans="1:12" x14ac:dyDescent="0.25">
      <c r="A16555" s="4" t="str">
        <f>HYPERLINK("http://www.rosaceae.org/Prunus/Prunus_persica/p.persica_gdr_reftransV1_0020278","p.persica_gdr_reftransV1_0020278")</f>
        <v>p.persica_gdr_reftransV1_0020278</v>
      </c>
      <c r="B16555" s="2">
        <v>850</v>
      </c>
      <c r="C16555" s="4" t="str">
        <f>HYPERLINK("http://www.uniprot.org/uniprot/M5WZ87","M5WZ87")</f>
        <v>M5WZ87</v>
      </c>
      <c r="D16555" s="2" t="s">
        <v>13114</v>
      </c>
      <c r="E16555" s="3">
        <v>4.0999999999999998E-110</v>
      </c>
      <c r="F16555" s="2">
        <v>840</v>
      </c>
      <c r="G16555" s="2">
        <v>100</v>
      </c>
      <c r="H16555" s="2">
        <v>176</v>
      </c>
      <c r="I16555" s="2">
        <v>226</v>
      </c>
      <c r="J16555" s="2">
        <v>753</v>
      </c>
      <c r="K16555" s="2">
        <v>1</v>
      </c>
      <c r="L16555" s="2">
        <v>176</v>
      </c>
    </row>
    <row r="16556" spans="1:12" x14ac:dyDescent="0.25">
      <c r="A16556" s="4" t="str">
        <f>HYPERLINK("http://www.rosaceae.org/Prunus/Prunus_persica/p.persica_gdr_reftransV1_0020978","p.persica_gdr_reftransV1_0020978")</f>
        <v>p.persica_gdr_reftransV1_0020978</v>
      </c>
      <c r="B16556" s="2">
        <v>4209</v>
      </c>
      <c r="C16556" s="4" t="str">
        <f>HYPERLINK("http://www.uniprot.org/uniprot/M5XL29","M5XL29")</f>
        <v>M5XL29</v>
      </c>
      <c r="D16556" s="2" t="s">
        <v>13115</v>
      </c>
      <c r="E16556" s="3">
        <v>0</v>
      </c>
      <c r="F16556" s="2">
        <v>5666</v>
      </c>
      <c r="G16556" s="2">
        <v>97</v>
      </c>
      <c r="H16556" s="2">
        <v>1192</v>
      </c>
      <c r="I16556" s="2">
        <v>212</v>
      </c>
      <c r="J16556" s="2">
        <v>3787</v>
      </c>
      <c r="K16556" s="2">
        <v>1</v>
      </c>
      <c r="L16556" s="2">
        <v>1166</v>
      </c>
    </row>
    <row r="16557" spans="1:12" x14ac:dyDescent="0.25">
      <c r="A16557" s="4" t="str">
        <f>HYPERLINK("http://www.rosaceae.org/Prunus/Prunus_persica/p.persica_gdr_reftransV1_0021678","p.persica_gdr_reftransV1_0021678")</f>
        <v>p.persica_gdr_reftransV1_0021678</v>
      </c>
      <c r="B16557" s="2">
        <v>1150</v>
      </c>
      <c r="C16557" s="4" t="str">
        <f>HYPERLINK("http://www.uniprot.org/uniprot/M5XCR4","M5XCR4")</f>
        <v>M5XCR4</v>
      </c>
      <c r="D16557" s="2" t="s">
        <v>7329</v>
      </c>
      <c r="E16557" s="3">
        <v>7.5799999999999993E-71</v>
      </c>
      <c r="F16557" s="2">
        <v>622</v>
      </c>
      <c r="G16557" s="2">
        <v>100</v>
      </c>
      <c r="H16557" s="2">
        <v>121</v>
      </c>
      <c r="I16557" s="2">
        <v>30</v>
      </c>
      <c r="J16557" s="2">
        <v>392</v>
      </c>
      <c r="K16557" s="2">
        <v>419</v>
      </c>
      <c r="L16557" s="2">
        <v>539</v>
      </c>
    </row>
    <row r="16558" spans="1:12" x14ac:dyDescent="0.25">
      <c r="A16558" s="4" t="str">
        <f>HYPERLINK("http://www.rosaceae.org/Prunus/Prunus_persica/p.persica_gdr_reftransV1_0022378","p.persica_gdr_reftransV1_0022378")</f>
        <v>p.persica_gdr_reftransV1_0022378</v>
      </c>
      <c r="B16558" s="2">
        <v>1207</v>
      </c>
      <c r="C16558" s="4" t="str">
        <f>HYPERLINK("http://www.uniprot.org/uniprot/M5WAH4","M5WAH4")</f>
        <v>M5WAH4</v>
      </c>
      <c r="D16558" s="2" t="s">
        <v>2734</v>
      </c>
      <c r="E16558" s="3">
        <v>2.42E-99</v>
      </c>
      <c r="F16558" s="2">
        <v>765</v>
      </c>
      <c r="G16558" s="2">
        <v>100</v>
      </c>
      <c r="H16558" s="2">
        <v>182</v>
      </c>
      <c r="I16558" s="2">
        <v>661</v>
      </c>
      <c r="J16558" s="2">
        <v>1206</v>
      </c>
      <c r="K16558" s="2">
        <v>292</v>
      </c>
      <c r="L16558" s="2">
        <v>473</v>
      </c>
    </row>
    <row r="16559" spans="1:12" x14ac:dyDescent="0.25">
      <c r="A16559" s="4" t="str">
        <f>HYPERLINK("http://www.rosaceae.org/Prunus/Prunus_persica/p.persica_gdr_reftransV1_0023428","p.persica_gdr_reftransV1_0023428")</f>
        <v>p.persica_gdr_reftransV1_0023428</v>
      </c>
      <c r="B16559" s="2">
        <v>2009</v>
      </c>
      <c r="C16559" s="4" t="str">
        <f>HYPERLINK("http://www.uniprot.org/uniprot/M5X0M9","M5X0M9")</f>
        <v>M5X0M9</v>
      </c>
      <c r="D16559" s="2" t="s">
        <v>13116</v>
      </c>
      <c r="E16559" s="3">
        <v>0</v>
      </c>
      <c r="F16559" s="2">
        <v>2781</v>
      </c>
      <c r="G16559" s="2">
        <v>100</v>
      </c>
      <c r="H16559" s="2">
        <v>518</v>
      </c>
      <c r="I16559" s="2">
        <v>318</v>
      </c>
      <c r="J16559" s="2">
        <v>1871</v>
      </c>
      <c r="K16559" s="2">
        <v>1</v>
      </c>
      <c r="L16559" s="2">
        <v>518</v>
      </c>
    </row>
    <row r="16560" spans="1:12" x14ac:dyDescent="0.25">
      <c r="A16560" s="4" t="str">
        <f>HYPERLINK("http://www.rosaceae.org/Prunus/Prunus_persica/p.persica_gdr_reftransV1_0023778","p.persica_gdr_reftransV1_0023778")</f>
        <v>p.persica_gdr_reftransV1_0023778</v>
      </c>
      <c r="B16560" s="2">
        <v>2504</v>
      </c>
      <c r="C16560" s="4" t="str">
        <f>HYPERLINK("http://www.uniprot.org/uniprot/A5AQE2","A5AQE2")</f>
        <v>A5AQE2</v>
      </c>
      <c r="D16560" s="2" t="s">
        <v>13117</v>
      </c>
      <c r="E16560" s="3">
        <v>4.7800000000000003E-166</v>
      </c>
      <c r="F16560" s="2">
        <v>1299</v>
      </c>
      <c r="G16560" s="2">
        <v>74</v>
      </c>
      <c r="H16560" s="2">
        <v>334</v>
      </c>
      <c r="I16560" s="2">
        <v>1252</v>
      </c>
      <c r="J16560" s="2">
        <v>2253</v>
      </c>
      <c r="K16560" s="2">
        <v>202</v>
      </c>
      <c r="L16560" s="2">
        <v>534</v>
      </c>
    </row>
    <row r="16561" spans="1:12" x14ac:dyDescent="0.25">
      <c r="A16561" s="4" t="str">
        <f>HYPERLINK("http://www.rosaceae.org/Prunus/Prunus_persica/p.persica_gdr_reftransV1_0024128","p.persica_gdr_reftransV1_0024128")</f>
        <v>p.persica_gdr_reftransV1_0024128</v>
      </c>
      <c r="B16561" s="2">
        <v>1726</v>
      </c>
      <c r="C16561" s="4" t="str">
        <f>HYPERLINK("http://www.uniprot.org/uniprot/M5W385","M5W385")</f>
        <v>M5W385</v>
      </c>
      <c r="D16561" s="2" t="s">
        <v>13118</v>
      </c>
      <c r="E16561" s="3">
        <v>1.8300000000000002E-92</v>
      </c>
      <c r="F16561" s="2">
        <v>731</v>
      </c>
      <c r="G16561" s="2">
        <v>100</v>
      </c>
      <c r="H16561" s="2">
        <v>140</v>
      </c>
      <c r="I16561" s="2">
        <v>1098</v>
      </c>
      <c r="J16561" s="2">
        <v>1517</v>
      </c>
      <c r="K16561" s="2">
        <v>1</v>
      </c>
      <c r="L16561" s="2">
        <v>140</v>
      </c>
    </row>
    <row r="16562" spans="1:12" x14ac:dyDescent="0.25">
      <c r="A16562" s="4" t="str">
        <f>HYPERLINK("http://www.rosaceae.org/Prunus/Prunus_persica/p.persica_gdr_reftransV1_0025178","p.persica_gdr_reftransV1_0025178")</f>
        <v>p.persica_gdr_reftransV1_0025178</v>
      </c>
      <c r="B16562" s="2">
        <v>4714</v>
      </c>
      <c r="C16562" s="4" t="str">
        <f>HYPERLINK("http://www.uniprot.org/uniprot/M5WGG3","M5WGG3")</f>
        <v>M5WGG3</v>
      </c>
      <c r="D16562" s="2" t="s">
        <v>5827</v>
      </c>
      <c r="E16562" s="3">
        <v>0</v>
      </c>
      <c r="F16562" s="2">
        <v>5583</v>
      </c>
      <c r="G16562" s="2">
        <v>96</v>
      </c>
      <c r="H16562" s="2">
        <v>1337</v>
      </c>
      <c r="I16562" s="2">
        <v>457</v>
      </c>
      <c r="J16562" s="2">
        <v>4467</v>
      </c>
      <c r="K16562" s="2">
        <v>1</v>
      </c>
      <c r="L16562" s="2">
        <v>1286</v>
      </c>
    </row>
    <row r="16563" spans="1:12" x14ac:dyDescent="0.25">
      <c r="A16563" s="4" t="str">
        <f>HYPERLINK("http://www.rosaceae.org/Prunus/Prunus_persica/p.persica_gdr_reftransV1_0025528","p.persica_gdr_reftransV1_0025528")</f>
        <v>p.persica_gdr_reftransV1_0025528</v>
      </c>
      <c r="B16563" s="2">
        <v>4293</v>
      </c>
      <c r="C16563" s="4" t="str">
        <f>HYPERLINK("http://www.uniprot.org/uniprot/M5X2E6","M5X2E6")</f>
        <v>M5X2E6</v>
      </c>
      <c r="D16563" s="2" t="s">
        <v>13119</v>
      </c>
      <c r="E16563" s="3">
        <v>0</v>
      </c>
      <c r="F16563" s="2">
        <v>4538</v>
      </c>
      <c r="G16563" s="2">
        <v>100</v>
      </c>
      <c r="H16563" s="2">
        <v>849</v>
      </c>
      <c r="I16563" s="2">
        <v>114</v>
      </c>
      <c r="J16563" s="2">
        <v>2660</v>
      </c>
      <c r="K16563" s="2">
        <v>1</v>
      </c>
      <c r="L16563" s="2">
        <v>849</v>
      </c>
    </row>
    <row r="16564" spans="1:12" x14ac:dyDescent="0.25">
      <c r="A16564" s="4" t="str">
        <f>HYPERLINK("http://www.rosaceae.org/Prunus/Prunus_persica/p.persica_gdr_reftransV1_0027628","p.persica_gdr_reftransV1_0027628")</f>
        <v>p.persica_gdr_reftransV1_0027628</v>
      </c>
      <c r="B16564" s="2">
        <v>1076</v>
      </c>
      <c r="C16564" s="4" t="str">
        <f>HYPERLINK("http://www.uniprot.org/uniprot/M5VW84","M5VW84")</f>
        <v>M5VW84</v>
      </c>
      <c r="D16564" s="2" t="s">
        <v>13120</v>
      </c>
      <c r="E16564" s="3">
        <v>8.0000000000000003E-108</v>
      </c>
      <c r="F16564" s="2">
        <v>833</v>
      </c>
      <c r="G16564" s="2">
        <v>100</v>
      </c>
      <c r="H16564" s="2">
        <v>183</v>
      </c>
      <c r="I16564" s="2">
        <v>103</v>
      </c>
      <c r="J16564" s="2">
        <v>651</v>
      </c>
      <c r="K16564" s="2">
        <v>1</v>
      </c>
      <c r="L16564" s="2">
        <v>183</v>
      </c>
    </row>
    <row r="16565" spans="1:12" x14ac:dyDescent="0.25">
      <c r="A16565" s="4" t="str">
        <f>HYPERLINK("http://www.rosaceae.org/Prunus/Prunus_persica/p.persica_gdr_reftransV1_0028678","p.persica_gdr_reftransV1_0028678")</f>
        <v>p.persica_gdr_reftransV1_0028678</v>
      </c>
      <c r="B16565" s="2">
        <v>955</v>
      </c>
      <c r="C16565" s="4" t="str">
        <f>HYPERLINK("http://www.uniprot.org/uniprot/M5XZ84","M5XZ84")</f>
        <v>M5XZ84</v>
      </c>
      <c r="D16565" s="2" t="s">
        <v>13121</v>
      </c>
      <c r="E16565" s="3">
        <v>4.5699999999999999E-161</v>
      </c>
      <c r="F16565" s="2">
        <v>1184</v>
      </c>
      <c r="G16565" s="2">
        <v>100</v>
      </c>
      <c r="H16565" s="2">
        <v>219</v>
      </c>
      <c r="I16565" s="2">
        <v>60</v>
      </c>
      <c r="J16565" s="2">
        <v>716</v>
      </c>
      <c r="K16565" s="2">
        <v>1</v>
      </c>
      <c r="L16565" s="2">
        <v>219</v>
      </c>
    </row>
    <row r="16566" spans="1:12" x14ac:dyDescent="0.25">
      <c r="A16566" s="4" t="str">
        <f>HYPERLINK("http://www.rosaceae.org/Prunus/Prunus_persica/p.persica_gdr_reftransV1_0030428","p.persica_gdr_reftransV1_0030428")</f>
        <v>p.persica_gdr_reftransV1_0030428</v>
      </c>
      <c r="B16566" s="2">
        <v>2606</v>
      </c>
      <c r="C16566" s="4" t="str">
        <f>HYPERLINK("http://www.uniprot.org/uniprot/M5Y3B4","M5Y3B4")</f>
        <v>M5Y3B4</v>
      </c>
      <c r="D16566" s="2" t="s">
        <v>13122</v>
      </c>
      <c r="E16566" s="3">
        <v>0</v>
      </c>
      <c r="F16566" s="2">
        <v>2760</v>
      </c>
      <c r="G16566" s="2">
        <v>100</v>
      </c>
      <c r="H16566" s="2">
        <v>536</v>
      </c>
      <c r="I16566" s="2">
        <v>652</v>
      </c>
      <c r="J16566" s="2">
        <v>2259</v>
      </c>
      <c r="K16566" s="2">
        <v>12</v>
      </c>
      <c r="L16566" s="2">
        <v>547</v>
      </c>
    </row>
    <row r="16567" spans="1:12" x14ac:dyDescent="0.25">
      <c r="A16567" s="4" t="str">
        <f>HYPERLINK("http://www.rosaceae.org/Prunus/Prunus_persica/p.persica_gdr_reftransV1_0031828","p.persica_gdr_reftransV1_0031828")</f>
        <v>p.persica_gdr_reftransV1_0031828</v>
      </c>
      <c r="B16567" s="2">
        <v>3489</v>
      </c>
      <c r="C16567" s="4" t="str">
        <f>HYPERLINK("http://www.uniprot.org/uniprot/M5WV71","M5WV71")</f>
        <v>M5WV71</v>
      </c>
      <c r="D16567" s="2" t="s">
        <v>13123</v>
      </c>
      <c r="E16567" s="3">
        <v>1.38E-167</v>
      </c>
      <c r="F16567" s="2">
        <v>1307</v>
      </c>
      <c r="G16567" s="2">
        <v>100</v>
      </c>
      <c r="H16567" s="2">
        <v>248</v>
      </c>
      <c r="I16567" s="2">
        <v>585</v>
      </c>
      <c r="J16567" s="2">
        <v>1328</v>
      </c>
      <c r="K16567" s="2">
        <v>14</v>
      </c>
      <c r="L16567" s="2">
        <v>261</v>
      </c>
    </row>
    <row r="16568" spans="1:12" x14ac:dyDescent="0.25">
      <c r="A16568" s="4" t="str">
        <f>HYPERLINK("http://www.rosaceae.org/Prunus/Prunus_persica/p.persica_gdr_reftransV1_0032878","p.persica_gdr_reftransV1_0032878")</f>
        <v>p.persica_gdr_reftransV1_0032878</v>
      </c>
      <c r="B16568" s="2">
        <v>1519</v>
      </c>
      <c r="C16568" s="4" t="str">
        <f>HYPERLINK("http://www.uniprot.org/uniprot/M5VKU2","M5VKU2")</f>
        <v>M5VKU2</v>
      </c>
      <c r="D16568" s="2" t="s">
        <v>13124</v>
      </c>
      <c r="E16568" s="3">
        <v>0</v>
      </c>
      <c r="F16568" s="2">
        <v>1524</v>
      </c>
      <c r="G16568" s="2">
        <v>100</v>
      </c>
      <c r="H16568" s="2">
        <v>284</v>
      </c>
      <c r="I16568" s="2">
        <v>291</v>
      </c>
      <c r="J16568" s="2">
        <v>1142</v>
      </c>
      <c r="K16568" s="2">
        <v>1</v>
      </c>
      <c r="L16568" s="2">
        <v>284</v>
      </c>
    </row>
    <row r="16569" spans="1:12" x14ac:dyDescent="0.25">
      <c r="A16569" s="4" t="str">
        <f>HYPERLINK("http://www.rosaceae.org/Prunus/Prunus_persica/p.persica_gdr_reftransV1_0033578","p.persica_gdr_reftransV1_0033578")</f>
        <v>p.persica_gdr_reftransV1_0033578</v>
      </c>
      <c r="B16569" s="2">
        <v>3411</v>
      </c>
      <c r="C16569" s="4" t="str">
        <f>HYPERLINK("http://www.uniprot.org/uniprot/M5X0F7","M5X0F7")</f>
        <v>M5X0F7</v>
      </c>
      <c r="D16569" s="2" t="s">
        <v>5763</v>
      </c>
      <c r="E16569" s="3">
        <v>7.8599999999999998E-100</v>
      </c>
      <c r="F16569" s="2">
        <v>850</v>
      </c>
      <c r="G16569" s="2">
        <v>100</v>
      </c>
      <c r="H16569" s="2">
        <v>161</v>
      </c>
      <c r="I16569" s="2">
        <v>1325</v>
      </c>
      <c r="J16569" s="2">
        <v>1807</v>
      </c>
      <c r="K16569" s="2">
        <v>71</v>
      </c>
      <c r="L16569" s="2">
        <v>231</v>
      </c>
    </row>
    <row r="16570" spans="1:12" x14ac:dyDescent="0.25">
      <c r="A16570" s="4" t="str">
        <f>HYPERLINK("http://www.rosaceae.org/Prunus/Prunus_persica/p.persica_gdr_reftransV1_0034628","p.persica_gdr_reftransV1_0034628")</f>
        <v>p.persica_gdr_reftransV1_0034628</v>
      </c>
      <c r="B16570" s="2">
        <v>1112</v>
      </c>
      <c r="C16570" s="4" t="str">
        <f>HYPERLINK("http://www.uniprot.org/uniprot/A0A067EEB2","A0A067EEB2")</f>
        <v>A0A067EEB2</v>
      </c>
      <c r="D16570" s="2" t="s">
        <v>13125</v>
      </c>
      <c r="E16570" s="3">
        <v>1.23E-26</v>
      </c>
      <c r="F16570" s="2">
        <v>289</v>
      </c>
      <c r="G16570" s="2">
        <v>51</v>
      </c>
      <c r="H16570" s="2">
        <v>175</v>
      </c>
      <c r="I16570" s="2">
        <v>80</v>
      </c>
      <c r="J16570" s="2">
        <v>535</v>
      </c>
      <c r="K16570" s="2">
        <v>55</v>
      </c>
      <c r="L16570" s="2">
        <v>225</v>
      </c>
    </row>
    <row r="16571" spans="1:12" x14ac:dyDescent="0.25">
      <c r="A16571" s="4" t="str">
        <f>HYPERLINK("http://www.rosaceae.org/Prunus/Prunus_persica/p.persica_gdr_reftransV1_0034978","p.persica_gdr_reftransV1_0034978")</f>
        <v>p.persica_gdr_reftransV1_0034978</v>
      </c>
      <c r="B16571" s="2">
        <v>4518</v>
      </c>
      <c r="C16571" s="4" t="str">
        <f>HYPERLINK("http://www.uniprot.org/uniprot/M5X9H6","M5X9H6")</f>
        <v>M5X9H6</v>
      </c>
      <c r="D16571" s="2" t="s">
        <v>13126</v>
      </c>
      <c r="E16571" s="3">
        <v>0</v>
      </c>
      <c r="F16571" s="2">
        <v>3504</v>
      </c>
      <c r="G16571" s="2">
        <v>100</v>
      </c>
      <c r="H16571" s="2">
        <v>661</v>
      </c>
      <c r="I16571" s="2">
        <v>238</v>
      </c>
      <c r="J16571" s="2">
        <v>2220</v>
      </c>
      <c r="K16571" s="2">
        <v>1</v>
      </c>
      <c r="L16571" s="2">
        <v>661</v>
      </c>
    </row>
    <row r="16572" spans="1:12" x14ac:dyDescent="0.25">
      <c r="A16572" s="4" t="str">
        <f>HYPERLINK("http://www.rosaceae.org/Prunus/Prunus_persica/p.persica_gdr_reftransV1_0035328","p.persica_gdr_reftransV1_0035328")</f>
        <v>p.persica_gdr_reftransV1_0035328</v>
      </c>
      <c r="B16572" s="2">
        <v>4117</v>
      </c>
      <c r="C16572" s="4" t="str">
        <f>HYPERLINK("http://www.uniprot.org/uniprot/M5WMY3","M5WMY3")</f>
        <v>M5WMY3</v>
      </c>
      <c r="D16572" s="2" t="s">
        <v>13127</v>
      </c>
      <c r="E16572" s="3">
        <v>0</v>
      </c>
      <c r="F16572" s="2">
        <v>2174</v>
      </c>
      <c r="G16572" s="2">
        <v>100</v>
      </c>
      <c r="H16572" s="2">
        <v>405</v>
      </c>
      <c r="I16572" s="2">
        <v>799</v>
      </c>
      <c r="J16572" s="2">
        <v>2013</v>
      </c>
      <c r="K16572" s="2">
        <v>1</v>
      </c>
      <c r="L16572" s="2">
        <v>405</v>
      </c>
    </row>
    <row r="16573" spans="1:12" x14ac:dyDescent="0.25">
      <c r="A16573" s="4" t="str">
        <f>HYPERLINK("http://www.rosaceae.org/Prunus/Prunus_persica/p.persica_gdr_reftransV1_0035678","p.persica_gdr_reftransV1_0035678")</f>
        <v>p.persica_gdr_reftransV1_0035678</v>
      </c>
      <c r="B16573" s="2">
        <v>3095</v>
      </c>
      <c r="C16573" s="4" t="str">
        <f>HYPERLINK("http://www.uniprot.org/uniprot/M5XPK1","M5XPK1")</f>
        <v>M5XPK1</v>
      </c>
      <c r="D16573" s="2" t="s">
        <v>7579</v>
      </c>
      <c r="E16573" s="3">
        <v>1.4399999999999999E-161</v>
      </c>
      <c r="F16573" s="2">
        <v>1262</v>
      </c>
      <c r="G16573" s="2">
        <v>86</v>
      </c>
      <c r="H16573" s="2">
        <v>305</v>
      </c>
      <c r="I16573" s="2">
        <v>1371</v>
      </c>
      <c r="J16573" s="2">
        <v>2270</v>
      </c>
      <c r="K16573" s="2">
        <v>20</v>
      </c>
      <c r="L16573" s="2">
        <v>308</v>
      </c>
    </row>
    <row r="16574" spans="1:12" x14ac:dyDescent="0.25">
      <c r="A16574" s="4" t="str">
        <f>HYPERLINK("http://www.rosaceae.org/Prunus/Prunus_persica/p.persica_gdr_reftransV1_0036728","p.persica_gdr_reftransV1_0036728")</f>
        <v>p.persica_gdr_reftransV1_0036728</v>
      </c>
      <c r="B16574" s="2">
        <v>688</v>
      </c>
      <c r="C16574" s="4" t="str">
        <f>HYPERLINK("http://www.uniprot.org/uniprot/M5WUP3","M5WUP3")</f>
        <v>M5WUP3</v>
      </c>
      <c r="D16574" s="2" t="s">
        <v>13128</v>
      </c>
      <c r="E16574" s="3">
        <v>1.0599999999999999E-23</v>
      </c>
      <c r="F16574" s="2">
        <v>249</v>
      </c>
      <c r="G16574" s="2">
        <v>100</v>
      </c>
      <c r="H16574" s="2">
        <v>70</v>
      </c>
      <c r="I16574" s="2">
        <v>387</v>
      </c>
      <c r="J16574" s="2">
        <v>596</v>
      </c>
      <c r="K16574" s="2">
        <v>1</v>
      </c>
      <c r="L16574" s="2">
        <v>70</v>
      </c>
    </row>
    <row r="16575" spans="1:12" x14ac:dyDescent="0.25">
      <c r="A16575" s="4" t="str">
        <f>HYPERLINK("http://www.rosaceae.org/Prunus/Prunus_persica/p.persica_gdr_reftransV1_0037428","p.persica_gdr_reftransV1_0037428")</f>
        <v>p.persica_gdr_reftransV1_0037428</v>
      </c>
      <c r="B16575" s="2">
        <v>1945</v>
      </c>
      <c r="C16575" s="4" t="str">
        <f>HYPERLINK("http://www.uniprot.org/uniprot/M5XEP3","M5XEP3")</f>
        <v>M5XEP3</v>
      </c>
      <c r="D16575" s="2" t="s">
        <v>13129</v>
      </c>
      <c r="E16575" s="3">
        <v>3.3799999999999999E-150</v>
      </c>
      <c r="F16575" s="2">
        <v>1150</v>
      </c>
      <c r="G16575" s="2">
        <v>100</v>
      </c>
      <c r="H16575" s="2">
        <v>233</v>
      </c>
      <c r="I16575" s="2">
        <v>1022</v>
      </c>
      <c r="J16575" s="2">
        <v>1720</v>
      </c>
      <c r="K16575" s="2">
        <v>1</v>
      </c>
      <c r="L16575" s="2">
        <v>233</v>
      </c>
    </row>
    <row r="16576" spans="1:12" x14ac:dyDescent="0.25">
      <c r="A16576" s="4" t="str">
        <f>HYPERLINK("http://www.rosaceae.org/Prunus/Prunus_persica/p.persica_gdr_reftransV1_0037778","p.persica_gdr_reftransV1_0037778")</f>
        <v>p.persica_gdr_reftransV1_0037778</v>
      </c>
      <c r="B16576" s="2">
        <v>1502</v>
      </c>
      <c r="C16576" s="4" t="str">
        <f>HYPERLINK("http://www.uniprot.org/uniprot/M5VZ41","M5VZ41")</f>
        <v>M5VZ41</v>
      </c>
      <c r="D16576" s="2" t="s">
        <v>3705</v>
      </c>
      <c r="E16576" s="3">
        <v>3.4400000000000002E-124</v>
      </c>
      <c r="F16576" s="2">
        <v>982</v>
      </c>
      <c r="G16576" s="2">
        <v>100</v>
      </c>
      <c r="H16576" s="2">
        <v>200</v>
      </c>
      <c r="I16576" s="2">
        <v>680</v>
      </c>
      <c r="J16576" s="2">
        <v>1279</v>
      </c>
      <c r="K16576" s="2">
        <v>254</v>
      </c>
      <c r="L16576" s="2">
        <v>453</v>
      </c>
    </row>
    <row r="16577" spans="1:12" x14ac:dyDescent="0.25">
      <c r="A16577" s="4" t="str">
        <f>HYPERLINK("http://www.rosaceae.org/Prunus/Prunus_persica/p.persica_gdr_reftransV1_0038828","p.persica_gdr_reftransV1_0038828")</f>
        <v>p.persica_gdr_reftransV1_0038828</v>
      </c>
      <c r="B16577" s="2">
        <v>888</v>
      </c>
      <c r="C16577" s="4" t="str">
        <f>HYPERLINK("http://www.uniprot.org/uniprot/M5XCG2","M5XCG2")</f>
        <v>M5XCG2</v>
      </c>
      <c r="D16577" s="2" t="s">
        <v>13130</v>
      </c>
      <c r="E16577" s="3">
        <v>9.1399999999999994E-117</v>
      </c>
      <c r="F16577" s="2">
        <v>901</v>
      </c>
      <c r="G16577" s="2">
        <v>100</v>
      </c>
      <c r="H16577" s="2">
        <v>171</v>
      </c>
      <c r="I16577" s="2">
        <v>62</v>
      </c>
      <c r="J16577" s="2">
        <v>574</v>
      </c>
      <c r="K16577" s="2">
        <v>1</v>
      </c>
      <c r="L16577" s="2">
        <v>171</v>
      </c>
    </row>
    <row r="16578" spans="1:12" x14ac:dyDescent="0.25">
      <c r="A16578" s="4" t="str">
        <f>HYPERLINK("http://www.rosaceae.org/Prunus/Prunus_persica/p.persica_gdr_reftransV1_0039878","p.persica_gdr_reftransV1_0039878")</f>
        <v>p.persica_gdr_reftransV1_0039878</v>
      </c>
      <c r="B16578" s="2">
        <v>3160</v>
      </c>
      <c r="C16578" s="4" t="str">
        <f>HYPERLINK("http://www.uniprot.org/uniprot/M5VUA0","M5VUA0")</f>
        <v>M5VUA0</v>
      </c>
      <c r="D16578" s="2" t="s">
        <v>11498</v>
      </c>
      <c r="E16578" s="3">
        <v>0</v>
      </c>
      <c r="F16578" s="2">
        <v>1732</v>
      </c>
      <c r="G16578" s="2">
        <v>100</v>
      </c>
      <c r="H16578" s="2">
        <v>321</v>
      </c>
      <c r="I16578" s="2">
        <v>744</v>
      </c>
      <c r="J16578" s="2">
        <v>1706</v>
      </c>
      <c r="K16578" s="2">
        <v>219</v>
      </c>
      <c r="L16578" s="2">
        <v>539</v>
      </c>
    </row>
    <row r="16579" spans="1:12" x14ac:dyDescent="0.25">
      <c r="A16579" s="4" t="str">
        <f>HYPERLINK("http://www.rosaceae.org/Prunus/Prunus_persica/p.persica_gdr_reftransV1_0040578","p.persica_gdr_reftransV1_0040578")</f>
        <v>p.persica_gdr_reftransV1_0040578</v>
      </c>
      <c r="B16579" s="2">
        <v>2571</v>
      </c>
      <c r="C16579" s="4" t="str">
        <f>HYPERLINK("http://www.uniprot.org/uniprot/M5WAH6","M5WAH6")</f>
        <v>M5WAH6</v>
      </c>
      <c r="D16579" s="2" t="s">
        <v>13131</v>
      </c>
      <c r="E16579" s="3">
        <v>0</v>
      </c>
      <c r="F16579" s="2">
        <v>2341</v>
      </c>
      <c r="G16579" s="2">
        <v>100</v>
      </c>
      <c r="H16579" s="2">
        <v>462</v>
      </c>
      <c r="I16579" s="2">
        <v>270</v>
      </c>
      <c r="J16579" s="2">
        <v>1655</v>
      </c>
      <c r="K16579" s="2">
        <v>1</v>
      </c>
      <c r="L16579" s="2">
        <v>462</v>
      </c>
    </row>
    <row r="16580" spans="1:12" x14ac:dyDescent="0.25">
      <c r="A16580" s="4" t="str">
        <f>HYPERLINK("http://www.rosaceae.org/Prunus/Prunus_persica/p.persica_gdr_reftransV1_0040928","p.persica_gdr_reftransV1_0040928")</f>
        <v>p.persica_gdr_reftransV1_0040928</v>
      </c>
      <c r="B16580" s="2">
        <v>2435</v>
      </c>
      <c r="C16580" s="4" t="str">
        <f>HYPERLINK("http://www.uniprot.org/uniprot/M5XBM4","M5XBM4")</f>
        <v>M5XBM4</v>
      </c>
      <c r="D16580" s="2" t="s">
        <v>13132</v>
      </c>
      <c r="E16580" s="3">
        <v>0</v>
      </c>
      <c r="F16580" s="2">
        <v>2098</v>
      </c>
      <c r="G16580" s="2">
        <v>100</v>
      </c>
      <c r="H16580" s="2">
        <v>507</v>
      </c>
      <c r="I16580" s="2">
        <v>798</v>
      </c>
      <c r="J16580" s="2">
        <v>2318</v>
      </c>
      <c r="K16580" s="2">
        <v>1</v>
      </c>
      <c r="L16580" s="2">
        <v>507</v>
      </c>
    </row>
    <row r="16581" spans="1:12" x14ac:dyDescent="0.25">
      <c r="A16581" s="4" t="str">
        <f>HYPERLINK("http://www.rosaceae.org/Prunus/Prunus_persica/p.persica_gdr_reftransV1_0041978","p.persica_gdr_reftransV1_0041978")</f>
        <v>p.persica_gdr_reftransV1_0041978</v>
      </c>
      <c r="B16581" s="2">
        <v>2300</v>
      </c>
      <c r="C16581" s="4" t="str">
        <f>HYPERLINK("http://www.uniprot.org/uniprot/M5WYR0","M5WYR0")</f>
        <v>M5WYR0</v>
      </c>
      <c r="D16581" s="2" t="s">
        <v>5931</v>
      </c>
      <c r="E16581" s="3">
        <v>0</v>
      </c>
      <c r="F16581" s="2">
        <v>3098</v>
      </c>
      <c r="G16581" s="2">
        <v>100</v>
      </c>
      <c r="H16581" s="2">
        <v>591</v>
      </c>
      <c r="I16581" s="2">
        <v>3</v>
      </c>
      <c r="J16581" s="2">
        <v>1775</v>
      </c>
      <c r="K16581" s="2">
        <v>1</v>
      </c>
      <c r="L16581" s="2">
        <v>591</v>
      </c>
    </row>
    <row r="16582" spans="1:12" x14ac:dyDescent="0.25">
      <c r="A16582" s="4" t="str">
        <f>HYPERLINK("http://www.rosaceae.org/Prunus/Prunus_persica/p.persica_gdr_reftransV1_0043028","p.persica_gdr_reftransV1_0043028")</f>
        <v>p.persica_gdr_reftransV1_0043028</v>
      </c>
      <c r="B16582" s="2">
        <v>348</v>
      </c>
      <c r="C16582" s="4" t="str">
        <f>HYPERLINK("http://www.uniprot.org/uniprot/A2AIM5","A2AIM5")</f>
        <v>A2AIM5</v>
      </c>
      <c r="D16582" s="2" t="s">
        <v>13133</v>
      </c>
      <c r="E16582" s="3">
        <v>2.12E-20</v>
      </c>
      <c r="F16582" s="2">
        <v>221</v>
      </c>
      <c r="G16582" s="2">
        <v>100</v>
      </c>
      <c r="H16582" s="2">
        <v>77</v>
      </c>
      <c r="I16582" s="2">
        <v>3</v>
      </c>
      <c r="J16582" s="2">
        <v>233</v>
      </c>
      <c r="K16582" s="2">
        <v>1</v>
      </c>
      <c r="L16582" s="2">
        <v>77</v>
      </c>
    </row>
    <row r="16583" spans="1:12" x14ac:dyDescent="0.25">
      <c r="A16583" s="4" t="str">
        <f>HYPERLINK("http://www.rosaceae.org/Prunus/Prunus_persica/p.persica_gdr_reftransV1_0043378","p.persica_gdr_reftransV1_0043378")</f>
        <v>p.persica_gdr_reftransV1_0043378</v>
      </c>
      <c r="B16583" s="2">
        <v>1366</v>
      </c>
      <c r="C16583" s="4" t="str">
        <f>HYPERLINK("http://www.uniprot.org/uniprot/M5VWX5","M5VWX5")</f>
        <v>M5VWX5</v>
      </c>
      <c r="D16583" s="2" t="s">
        <v>13134</v>
      </c>
      <c r="E16583" s="3">
        <v>0</v>
      </c>
      <c r="F16583" s="2">
        <v>1725</v>
      </c>
      <c r="G16583" s="2">
        <v>100</v>
      </c>
      <c r="H16583" s="2">
        <v>350</v>
      </c>
      <c r="I16583" s="2">
        <v>316</v>
      </c>
      <c r="J16583" s="2">
        <v>1365</v>
      </c>
      <c r="K16583" s="2">
        <v>78</v>
      </c>
      <c r="L16583" s="2">
        <v>427</v>
      </c>
    </row>
    <row r="16584" spans="1:12" x14ac:dyDescent="0.25">
      <c r="A16584" s="4" t="str">
        <f>HYPERLINK("http://www.rosaceae.org/Prunus/Prunus_persica/p.persica_gdr_reftransV1_0043728","p.persica_gdr_reftransV1_0043728")</f>
        <v>p.persica_gdr_reftransV1_0043728</v>
      </c>
      <c r="B16584" s="2">
        <v>1610</v>
      </c>
      <c r="C16584" s="4" t="str">
        <f>HYPERLINK("http://www.uniprot.org/uniprot/M5W3N8","M5W3N8")</f>
        <v>M5W3N8</v>
      </c>
      <c r="D16584" s="2" t="s">
        <v>851</v>
      </c>
      <c r="E16584" s="3">
        <v>0</v>
      </c>
      <c r="F16584" s="2">
        <v>1867</v>
      </c>
      <c r="G16584" s="2">
        <v>99</v>
      </c>
      <c r="H16584" s="2">
        <v>401</v>
      </c>
      <c r="I16584" s="2">
        <v>251</v>
      </c>
      <c r="J16584" s="2">
        <v>1453</v>
      </c>
      <c r="K16584" s="2">
        <v>1</v>
      </c>
      <c r="L16584" s="2">
        <v>401</v>
      </c>
    </row>
    <row r="16585" spans="1:12" x14ac:dyDescent="0.25">
      <c r="A16585" s="4" t="str">
        <f>HYPERLINK("http://www.rosaceae.org/Prunus/Prunus_persica/p.persica_gdr_reftransV1_0044078","p.persica_gdr_reftransV1_0044078")</f>
        <v>p.persica_gdr_reftransV1_0044078</v>
      </c>
      <c r="B16585" s="2">
        <v>1810</v>
      </c>
      <c r="C16585" s="4" t="str">
        <f>HYPERLINK("http://www.uniprot.org/uniprot/M5XEP0","M5XEP0")</f>
        <v>M5XEP0</v>
      </c>
      <c r="D16585" s="2" t="s">
        <v>3902</v>
      </c>
      <c r="E16585" s="3">
        <v>0</v>
      </c>
      <c r="F16585" s="2">
        <v>2578</v>
      </c>
      <c r="G16585" s="2">
        <v>100</v>
      </c>
      <c r="H16585" s="2">
        <v>482</v>
      </c>
      <c r="I16585" s="2">
        <v>270</v>
      </c>
      <c r="J16585" s="2">
        <v>1715</v>
      </c>
      <c r="K16585" s="2">
        <v>1</v>
      </c>
      <c r="L16585" s="2">
        <v>482</v>
      </c>
    </row>
    <row r="16586" spans="1:12" x14ac:dyDescent="0.25">
      <c r="A16586" s="4" t="str">
        <f>HYPERLINK("http://www.rosaceae.org/Prunus/Prunus_persica/p.persica_gdr_reftransV1_0044428","p.persica_gdr_reftransV1_0044428")</f>
        <v>p.persica_gdr_reftransV1_0044428</v>
      </c>
      <c r="B16586" s="2">
        <v>1383</v>
      </c>
      <c r="C16586" s="4" t="str">
        <f>HYPERLINK("http://www.uniprot.org/uniprot/M5W822","M5W822")</f>
        <v>M5W822</v>
      </c>
      <c r="D16586" s="2" t="s">
        <v>2484</v>
      </c>
      <c r="E16586" s="3">
        <v>0</v>
      </c>
      <c r="F16586" s="2">
        <v>2099</v>
      </c>
      <c r="G16586" s="2">
        <v>100</v>
      </c>
      <c r="H16586" s="2">
        <v>407</v>
      </c>
      <c r="I16586" s="2">
        <v>45</v>
      </c>
      <c r="J16586" s="2">
        <v>1265</v>
      </c>
      <c r="K16586" s="2">
        <v>497</v>
      </c>
      <c r="L16586" s="2">
        <v>903</v>
      </c>
    </row>
    <row r="16587" spans="1:12" x14ac:dyDescent="0.25">
      <c r="A16587" s="4" t="str">
        <f>HYPERLINK("http://www.rosaceae.org/Prunus/Prunus_persica/p.persica_gdr_reftransV1_0045478","p.persica_gdr_reftransV1_0045478")</f>
        <v>p.persica_gdr_reftransV1_0045478</v>
      </c>
      <c r="B16587" s="2">
        <v>2254</v>
      </c>
      <c r="C16587" s="4" t="str">
        <f>HYPERLINK("http://www.uniprot.org/uniprot/M5VYJ5","M5VYJ5")</f>
        <v>M5VYJ5</v>
      </c>
      <c r="D16587" s="2" t="s">
        <v>13135</v>
      </c>
      <c r="E16587" s="3">
        <v>0</v>
      </c>
      <c r="F16587" s="2">
        <v>2741</v>
      </c>
      <c r="G16587" s="2">
        <v>100</v>
      </c>
      <c r="H16587" s="2">
        <v>585</v>
      </c>
      <c r="I16587" s="2">
        <v>376</v>
      </c>
      <c r="J16587" s="2">
        <v>2130</v>
      </c>
      <c r="K16587" s="2">
        <v>1</v>
      </c>
      <c r="L16587" s="2">
        <v>585</v>
      </c>
    </row>
    <row r="16588" spans="1:12" x14ac:dyDescent="0.25">
      <c r="A16588" s="4" t="str">
        <f>HYPERLINK("http://www.rosaceae.org/Prunus/Prunus_persica/p.persica_gdr_reftransV1_0046178","p.persica_gdr_reftransV1_0046178")</f>
        <v>p.persica_gdr_reftransV1_0046178</v>
      </c>
      <c r="B16588" s="2">
        <v>1138</v>
      </c>
      <c r="C16588" s="4" t="str">
        <f>HYPERLINK("http://www.uniprot.org/uniprot/M5W1D3","M5W1D3")</f>
        <v>M5W1D3</v>
      </c>
      <c r="D16588" s="2" t="s">
        <v>7020</v>
      </c>
      <c r="E16588" s="3">
        <v>3.3999999999999998E-94</v>
      </c>
      <c r="F16588" s="2">
        <v>748</v>
      </c>
      <c r="G16588" s="2">
        <v>100</v>
      </c>
      <c r="H16588" s="2">
        <v>181</v>
      </c>
      <c r="I16588" s="2">
        <v>526</v>
      </c>
      <c r="J16588" s="2">
        <v>1068</v>
      </c>
      <c r="K16588" s="2">
        <v>1</v>
      </c>
      <c r="L16588" s="2">
        <v>181</v>
      </c>
    </row>
    <row r="16589" spans="1:12" x14ac:dyDescent="0.25">
      <c r="A16589" s="4" t="str">
        <f>HYPERLINK("http://www.rosaceae.org/Prunus/Prunus_persica/p.persica_gdr_reftransV1_0046528","p.persica_gdr_reftransV1_0046528")</f>
        <v>p.persica_gdr_reftransV1_0046528</v>
      </c>
      <c r="B16589" s="2">
        <v>3632</v>
      </c>
      <c r="C16589" s="4" t="str">
        <f>HYPERLINK("http://www.uniprot.org/uniprot/M5WZZ9","M5WZZ9")</f>
        <v>M5WZZ9</v>
      </c>
      <c r="D16589" s="2" t="s">
        <v>13136</v>
      </c>
      <c r="E16589" s="3">
        <v>0</v>
      </c>
      <c r="F16589" s="2">
        <v>4446</v>
      </c>
      <c r="G16589" s="2">
        <v>94</v>
      </c>
      <c r="H16589" s="2">
        <v>1051</v>
      </c>
      <c r="I16589" s="2">
        <v>167</v>
      </c>
      <c r="J16589" s="2">
        <v>3319</v>
      </c>
      <c r="K16589" s="2">
        <v>13</v>
      </c>
      <c r="L16589" s="2">
        <v>1012</v>
      </c>
    </row>
    <row r="16590" spans="1:12" x14ac:dyDescent="0.25">
      <c r="A16590" s="4" t="str">
        <f>HYPERLINK("http://www.rosaceae.org/Prunus/Prunus_persica/p.persica_gdr_reftransV1_0046878","p.persica_gdr_reftransV1_0046878")</f>
        <v>p.persica_gdr_reftransV1_0046878</v>
      </c>
      <c r="B16590" s="2">
        <v>465</v>
      </c>
      <c r="C16590" s="4" t="str">
        <f>HYPERLINK("http://www.uniprot.org/uniprot/M5WHG2","M5WHG2")</f>
        <v>M5WHG2</v>
      </c>
      <c r="D16590" s="2" t="s">
        <v>13137</v>
      </c>
      <c r="E16590" s="3">
        <v>2.14E-91</v>
      </c>
      <c r="F16590" s="2">
        <v>706</v>
      </c>
      <c r="G16590" s="2">
        <v>100</v>
      </c>
      <c r="H16590" s="2">
        <v>155</v>
      </c>
      <c r="I16590" s="2">
        <v>1</v>
      </c>
      <c r="J16590" s="2">
        <v>465</v>
      </c>
      <c r="K16590" s="2">
        <v>26</v>
      </c>
      <c r="L16590" s="2">
        <v>180</v>
      </c>
    </row>
    <row r="16591" spans="1:12" x14ac:dyDescent="0.25">
      <c r="A16591" s="4" t="str">
        <f>HYPERLINK("http://www.rosaceae.org/Prunus/Prunus_persica/p.persica_gdr_reftransV1_0047228","p.persica_gdr_reftransV1_0047228")</f>
        <v>p.persica_gdr_reftransV1_0047228</v>
      </c>
      <c r="B16591" s="2">
        <v>475</v>
      </c>
      <c r="C16591" s="4" t="str">
        <f>HYPERLINK("http://www.uniprot.org/uniprot/M5XUC8","M5XUC8")</f>
        <v>M5XUC8</v>
      </c>
      <c r="D16591" s="2" t="s">
        <v>13138</v>
      </c>
      <c r="E16591" s="3">
        <v>2.9999999999999999E-48</v>
      </c>
      <c r="F16591" s="2">
        <v>421</v>
      </c>
      <c r="G16591" s="2">
        <v>98</v>
      </c>
      <c r="H16591" s="2">
        <v>115</v>
      </c>
      <c r="I16591" s="2">
        <v>74</v>
      </c>
      <c r="J16591" s="2">
        <v>418</v>
      </c>
      <c r="K16591" s="2">
        <v>1</v>
      </c>
      <c r="L16591" s="2">
        <v>115</v>
      </c>
    </row>
    <row r="16592" spans="1:12" x14ac:dyDescent="0.25">
      <c r="A16592" s="4" t="str">
        <f>HYPERLINK("http://www.rosaceae.org/Prunus/Prunus_persica/p.persica_gdr_reftransV1_0047578","p.persica_gdr_reftransV1_0047578")</f>
        <v>p.persica_gdr_reftransV1_0047578</v>
      </c>
      <c r="B16592" s="2">
        <v>3045</v>
      </c>
      <c r="C16592" s="4" t="str">
        <f>HYPERLINK("http://www.uniprot.org/uniprot/M5W741","M5W741")</f>
        <v>M5W741</v>
      </c>
      <c r="D16592" s="2" t="s">
        <v>13139</v>
      </c>
      <c r="E16592" s="3">
        <v>0</v>
      </c>
      <c r="F16592" s="2">
        <v>3981</v>
      </c>
      <c r="G16592" s="2">
        <v>100</v>
      </c>
      <c r="H16592" s="2">
        <v>798</v>
      </c>
      <c r="I16592" s="2">
        <v>1</v>
      </c>
      <c r="J16592" s="2">
        <v>2394</v>
      </c>
      <c r="K16592" s="2">
        <v>3</v>
      </c>
      <c r="L16592" s="2">
        <v>800</v>
      </c>
    </row>
    <row r="16593" spans="1:12" x14ac:dyDescent="0.25">
      <c r="A16593" s="4" t="str">
        <f>HYPERLINK("http://www.rosaceae.org/Prunus/Prunus_persica/p.persica_gdr_reftransV1_0047928","p.persica_gdr_reftransV1_0047928")</f>
        <v>p.persica_gdr_reftransV1_0047928</v>
      </c>
      <c r="B16593" s="2">
        <v>1592</v>
      </c>
      <c r="C16593" s="4" t="str">
        <f>HYPERLINK("http://www.uniprot.org/uniprot/M5XCW9","M5XCW9")</f>
        <v>M5XCW9</v>
      </c>
      <c r="D16593" s="2" t="s">
        <v>13140</v>
      </c>
      <c r="E16593" s="3">
        <v>0</v>
      </c>
      <c r="F16593" s="2">
        <v>1581</v>
      </c>
      <c r="G16593" s="2">
        <v>100</v>
      </c>
      <c r="H16593" s="2">
        <v>307</v>
      </c>
      <c r="I16593" s="2">
        <v>388</v>
      </c>
      <c r="J16593" s="2">
        <v>1308</v>
      </c>
      <c r="K16593" s="2">
        <v>1</v>
      </c>
      <c r="L16593" s="2">
        <v>307</v>
      </c>
    </row>
    <row r="16594" spans="1:12" x14ac:dyDescent="0.25">
      <c r="A16594" s="4" t="str">
        <f>HYPERLINK("http://www.rosaceae.org/Prunus/Prunus_persica/p.persica_gdr_reftransV1_0048278","p.persica_gdr_reftransV1_0048278")</f>
        <v>p.persica_gdr_reftransV1_0048278</v>
      </c>
      <c r="B16594" s="2">
        <v>955</v>
      </c>
      <c r="C16594" s="4" t="str">
        <f>HYPERLINK("http://www.uniprot.org/uniprot/M5VYE5","M5VYE5")</f>
        <v>M5VYE5</v>
      </c>
      <c r="D16594" s="2" t="s">
        <v>13141</v>
      </c>
      <c r="E16594" s="3">
        <v>1.7900000000000001E-114</v>
      </c>
      <c r="F16594" s="2">
        <v>879</v>
      </c>
      <c r="G16594" s="2">
        <v>100</v>
      </c>
      <c r="H16594" s="2">
        <v>206</v>
      </c>
      <c r="I16594" s="2">
        <v>234</v>
      </c>
      <c r="J16594" s="2">
        <v>851</v>
      </c>
      <c r="K16594" s="2">
        <v>40</v>
      </c>
      <c r="L16594" s="2">
        <v>245</v>
      </c>
    </row>
    <row r="16595" spans="1:12" x14ac:dyDescent="0.25">
      <c r="A16595" s="4" t="str">
        <f>HYPERLINK("http://www.rosaceae.org/Prunus/Prunus_persica/p.persica_gdr_reftransV1_0048978","p.persica_gdr_reftransV1_0048978")</f>
        <v>p.persica_gdr_reftransV1_0048978</v>
      </c>
      <c r="B16595" s="2">
        <v>1781</v>
      </c>
      <c r="C16595" s="4" t="str">
        <f>HYPERLINK("http://www.uniprot.org/uniprot/M5WJP2","M5WJP2")</f>
        <v>M5WJP2</v>
      </c>
      <c r="D16595" s="2" t="s">
        <v>13142</v>
      </c>
      <c r="E16595" s="3">
        <v>0</v>
      </c>
      <c r="F16595" s="2">
        <v>2682</v>
      </c>
      <c r="G16595" s="2">
        <v>97</v>
      </c>
      <c r="H16595" s="2">
        <v>538</v>
      </c>
      <c r="I16595" s="2">
        <v>1</v>
      </c>
      <c r="J16595" s="2">
        <v>1614</v>
      </c>
      <c r="K16595" s="2">
        <v>105</v>
      </c>
      <c r="L16595" s="2">
        <v>625</v>
      </c>
    </row>
    <row r="16596" spans="1:12" x14ac:dyDescent="0.25">
      <c r="A16596" s="4" t="str">
        <f>HYPERLINK("http://www.rosaceae.org/Prunus/Prunus_persica/p.persica_gdr_reftransV1_0000329","p.persica_gdr_reftransV1_0000329")</f>
        <v>p.persica_gdr_reftransV1_0000329</v>
      </c>
      <c r="B16596" s="2">
        <v>1567</v>
      </c>
      <c r="C16596" s="4" t="str">
        <f>HYPERLINK("http://www.uniprot.org/uniprot/M5X4I0","M5X4I0")</f>
        <v>M5X4I0</v>
      </c>
      <c r="D16596" s="2" t="s">
        <v>13143</v>
      </c>
      <c r="E16596" s="3">
        <v>4.1199999999999999E-177</v>
      </c>
      <c r="F16596" s="2">
        <v>1324</v>
      </c>
      <c r="G16596" s="2">
        <v>100</v>
      </c>
      <c r="H16596" s="2">
        <v>256</v>
      </c>
      <c r="I16596" s="2">
        <v>3</v>
      </c>
      <c r="J16596" s="2">
        <v>770</v>
      </c>
      <c r="K16596" s="2">
        <v>85</v>
      </c>
      <c r="L16596" s="2">
        <v>340</v>
      </c>
    </row>
    <row r="16597" spans="1:12" x14ac:dyDescent="0.25">
      <c r="A16597" s="4" t="str">
        <f>HYPERLINK("http://www.rosaceae.org/Prunus/Prunus_persica/p.persica_gdr_reftransV1_0000679","p.persica_gdr_reftransV1_0000679")</f>
        <v>p.persica_gdr_reftransV1_0000679</v>
      </c>
      <c r="B16597" s="2">
        <v>1194</v>
      </c>
      <c r="C16597" s="4" t="str">
        <f>HYPERLINK("http://www.uniprot.org/uniprot/M5VQX2","M5VQX2")</f>
        <v>M5VQX2</v>
      </c>
      <c r="D16597" s="2" t="s">
        <v>13144</v>
      </c>
      <c r="E16597" s="3">
        <v>1.11E-157</v>
      </c>
      <c r="F16597" s="2">
        <v>1173</v>
      </c>
      <c r="G16597" s="2">
        <v>100</v>
      </c>
      <c r="H16597" s="2">
        <v>249</v>
      </c>
      <c r="I16597" s="2">
        <v>156</v>
      </c>
      <c r="J16597" s="2">
        <v>902</v>
      </c>
      <c r="K16597" s="2">
        <v>1</v>
      </c>
      <c r="L16597" s="2">
        <v>249</v>
      </c>
    </row>
    <row r="16598" spans="1:12" x14ac:dyDescent="0.25">
      <c r="A16598" s="4" t="str">
        <f>HYPERLINK("http://www.rosaceae.org/Prunus/Prunus_persica/p.persica_gdr_reftransV1_0001029","p.persica_gdr_reftransV1_0001029")</f>
        <v>p.persica_gdr_reftransV1_0001029</v>
      </c>
      <c r="B16598" s="2">
        <v>477</v>
      </c>
      <c r="C16598" s="4" t="str">
        <f>HYPERLINK("http://www.uniprot.org/uniprot/M5XFQ4","M5XFQ4")</f>
        <v>M5XFQ4</v>
      </c>
      <c r="D16598" s="2" t="s">
        <v>13145</v>
      </c>
      <c r="E16598" s="3">
        <v>3.5900000000000001E-90</v>
      </c>
      <c r="F16598" s="2">
        <v>718</v>
      </c>
      <c r="G16598" s="2">
        <v>96</v>
      </c>
      <c r="H16598" s="2">
        <v>151</v>
      </c>
      <c r="I16598" s="2">
        <v>1</v>
      </c>
      <c r="J16598" s="2">
        <v>453</v>
      </c>
      <c r="K16598" s="2">
        <v>111</v>
      </c>
      <c r="L16598" s="2">
        <v>261</v>
      </c>
    </row>
    <row r="16599" spans="1:12" x14ac:dyDescent="0.25">
      <c r="A16599" s="4" t="str">
        <f>HYPERLINK("http://www.rosaceae.org/Prunus/Prunus_persica/p.persica_gdr_reftransV1_0002779","p.persica_gdr_reftransV1_0002779")</f>
        <v>p.persica_gdr_reftransV1_0002779</v>
      </c>
      <c r="B16599" s="2">
        <v>1055</v>
      </c>
      <c r="C16599" s="4" t="str">
        <f>HYPERLINK("http://www.uniprot.org/uniprot/M5XAV4","M5XAV4")</f>
        <v>M5XAV4</v>
      </c>
      <c r="D16599" s="2" t="s">
        <v>8443</v>
      </c>
      <c r="E16599" s="3">
        <v>2.8200000000000002E-116</v>
      </c>
      <c r="F16599" s="2">
        <v>960</v>
      </c>
      <c r="G16599" s="2">
        <v>86</v>
      </c>
      <c r="H16599" s="2">
        <v>216</v>
      </c>
      <c r="I16599" s="2">
        <v>254</v>
      </c>
      <c r="J16599" s="2">
        <v>901</v>
      </c>
      <c r="K16599" s="2">
        <v>926</v>
      </c>
      <c r="L16599" s="2">
        <v>1113</v>
      </c>
    </row>
    <row r="16600" spans="1:12" x14ac:dyDescent="0.25">
      <c r="A16600" s="4" t="str">
        <f>HYPERLINK("http://www.rosaceae.org/Prunus/Prunus_persica/p.persica_gdr_reftransV1_0003479","p.persica_gdr_reftransV1_0003479")</f>
        <v>p.persica_gdr_reftransV1_0003479</v>
      </c>
      <c r="B16600" s="2">
        <v>1131</v>
      </c>
      <c r="C16600" s="4" t="str">
        <f>HYPERLINK("http://www.uniprot.org/uniprot/M5W9G4","M5W9G4")</f>
        <v>M5W9G4</v>
      </c>
      <c r="D16600" s="2" t="s">
        <v>13146</v>
      </c>
      <c r="E16600" s="3">
        <v>0</v>
      </c>
      <c r="F16600" s="2">
        <v>1551</v>
      </c>
      <c r="G16600" s="2">
        <v>100</v>
      </c>
      <c r="H16600" s="2">
        <v>287</v>
      </c>
      <c r="I16600" s="2">
        <v>187</v>
      </c>
      <c r="J16600" s="2">
        <v>1047</v>
      </c>
      <c r="K16600" s="2">
        <v>1</v>
      </c>
      <c r="L16600" s="2">
        <v>287</v>
      </c>
    </row>
    <row r="16601" spans="1:12" x14ac:dyDescent="0.25">
      <c r="A16601" s="4" t="str">
        <f>HYPERLINK("http://www.rosaceae.org/Prunus/Prunus_persica/p.persica_gdr_reftransV1_0003829","p.persica_gdr_reftransV1_0003829")</f>
        <v>p.persica_gdr_reftransV1_0003829</v>
      </c>
      <c r="B16601" s="2">
        <v>1069</v>
      </c>
      <c r="C16601" s="4" t="str">
        <f>HYPERLINK("http://www.uniprot.org/uniprot/M5XP62","M5XP62")</f>
        <v>M5XP62</v>
      </c>
      <c r="D16601" s="2" t="s">
        <v>9130</v>
      </c>
      <c r="E16601" s="3">
        <v>7.8799999999999994E-110</v>
      </c>
      <c r="F16601" s="2">
        <v>858</v>
      </c>
      <c r="G16601" s="2">
        <v>100</v>
      </c>
      <c r="H16601" s="2">
        <v>181</v>
      </c>
      <c r="I16601" s="2">
        <v>84</v>
      </c>
      <c r="J16601" s="2">
        <v>626</v>
      </c>
      <c r="K16601" s="2">
        <v>1</v>
      </c>
      <c r="L16601" s="2">
        <v>181</v>
      </c>
    </row>
    <row r="16602" spans="1:12" x14ac:dyDescent="0.25">
      <c r="A16602" s="4" t="str">
        <f>HYPERLINK("http://www.rosaceae.org/Prunus/Prunus_persica/p.persica_gdr_reftransV1_0004179","p.persica_gdr_reftransV1_0004179")</f>
        <v>p.persica_gdr_reftransV1_0004179</v>
      </c>
      <c r="B16602" s="2">
        <v>2110</v>
      </c>
      <c r="C16602" s="4" t="str">
        <f>HYPERLINK("http://www.uniprot.org/uniprot/M5W6M5","M5W6M5")</f>
        <v>M5W6M5</v>
      </c>
      <c r="D16602" s="2" t="s">
        <v>13147</v>
      </c>
      <c r="E16602" s="3">
        <v>0</v>
      </c>
      <c r="F16602" s="2">
        <v>2816</v>
      </c>
      <c r="G16602" s="2">
        <v>86</v>
      </c>
      <c r="H16602" s="2">
        <v>654</v>
      </c>
      <c r="I16602" s="2">
        <v>168</v>
      </c>
      <c r="J16602" s="2">
        <v>2108</v>
      </c>
      <c r="K16602" s="2">
        <v>15</v>
      </c>
      <c r="L16602" s="2">
        <v>661</v>
      </c>
    </row>
    <row r="16603" spans="1:12" x14ac:dyDescent="0.25">
      <c r="A16603" s="4" t="str">
        <f>HYPERLINK("http://www.rosaceae.org/Prunus/Prunus_persica/p.persica_gdr_reftransV1_0004879","p.persica_gdr_reftransV1_0004879")</f>
        <v>p.persica_gdr_reftransV1_0004879</v>
      </c>
      <c r="B16603" s="2">
        <v>1321</v>
      </c>
      <c r="C16603" s="4" t="str">
        <f>HYPERLINK("http://www.uniprot.org/uniprot/M5VVW8","M5VVW8")</f>
        <v>M5VVW8</v>
      </c>
      <c r="D16603" s="2" t="s">
        <v>13148</v>
      </c>
      <c r="E16603" s="3">
        <v>0</v>
      </c>
      <c r="F16603" s="2">
        <v>1591</v>
      </c>
      <c r="G16603" s="2">
        <v>97</v>
      </c>
      <c r="H16603" s="2">
        <v>377</v>
      </c>
      <c r="I16603" s="2">
        <v>55</v>
      </c>
      <c r="J16603" s="2">
        <v>1185</v>
      </c>
      <c r="K16603" s="2">
        <v>4</v>
      </c>
      <c r="L16603" s="2">
        <v>380</v>
      </c>
    </row>
    <row r="16604" spans="1:12" x14ac:dyDescent="0.25">
      <c r="A16604" s="4" t="str">
        <f>HYPERLINK("http://www.rosaceae.org/Prunus/Prunus_persica/p.persica_gdr_reftransV1_0005229","p.persica_gdr_reftransV1_0005229")</f>
        <v>p.persica_gdr_reftransV1_0005229</v>
      </c>
      <c r="B16604" s="2">
        <v>416</v>
      </c>
      <c r="C16604" s="4" t="str">
        <f>HYPERLINK("http://www.uniprot.org/uniprot/Q5EGG5","Q5EGG5")</f>
        <v>Q5EGG5</v>
      </c>
      <c r="D16604" s="2" t="s">
        <v>13149</v>
      </c>
      <c r="E16604" s="3">
        <v>3.0200000000000002E-15</v>
      </c>
      <c r="F16604" s="2">
        <v>203</v>
      </c>
      <c r="G16604" s="2">
        <v>42</v>
      </c>
      <c r="H16604" s="2">
        <v>122</v>
      </c>
      <c r="I16604" s="2">
        <v>59</v>
      </c>
      <c r="J16604" s="2">
        <v>406</v>
      </c>
      <c r="K16604" s="2">
        <v>509</v>
      </c>
      <c r="L16604" s="2">
        <v>626</v>
      </c>
    </row>
    <row r="16605" spans="1:12" x14ac:dyDescent="0.25">
      <c r="A16605" s="4" t="str">
        <f>HYPERLINK("http://www.rosaceae.org/Prunus/Prunus_persica/p.persica_gdr_reftransV1_0007329","p.persica_gdr_reftransV1_0007329")</f>
        <v>p.persica_gdr_reftransV1_0007329</v>
      </c>
      <c r="B16605" s="2">
        <v>1176</v>
      </c>
      <c r="C16605" s="4" t="str">
        <f>HYPERLINK("http://www.uniprot.org/uniprot/M5XP25","M5XP25")</f>
        <v>M5XP25</v>
      </c>
      <c r="D16605" s="2" t="s">
        <v>8675</v>
      </c>
      <c r="E16605" s="3">
        <v>0</v>
      </c>
      <c r="F16605" s="2">
        <v>1374</v>
      </c>
      <c r="G16605" s="2">
        <v>100</v>
      </c>
      <c r="H16605" s="2">
        <v>280</v>
      </c>
      <c r="I16605" s="2">
        <v>1</v>
      </c>
      <c r="J16605" s="2">
        <v>840</v>
      </c>
      <c r="K16605" s="2">
        <v>63</v>
      </c>
      <c r="L16605" s="2">
        <v>342</v>
      </c>
    </row>
    <row r="16606" spans="1:12" x14ac:dyDescent="0.25">
      <c r="A16606" s="4" t="str">
        <f>HYPERLINK("http://www.rosaceae.org/Prunus/Prunus_persica/p.persica_gdr_reftransV1_0008029","p.persica_gdr_reftransV1_0008029")</f>
        <v>p.persica_gdr_reftransV1_0008029</v>
      </c>
      <c r="B16606" s="2">
        <v>1783</v>
      </c>
      <c r="C16606" s="4" t="str">
        <f>HYPERLINK("http://www.uniprot.org/uniprot/M5WZ19","M5WZ19")</f>
        <v>M5WZ19</v>
      </c>
      <c r="D16606" s="2" t="s">
        <v>13150</v>
      </c>
      <c r="E16606" s="3">
        <v>0</v>
      </c>
      <c r="F16606" s="2">
        <v>2289</v>
      </c>
      <c r="G16606" s="2">
        <v>100</v>
      </c>
      <c r="H16606" s="2">
        <v>452</v>
      </c>
      <c r="I16606" s="2">
        <v>113</v>
      </c>
      <c r="J16606" s="2">
        <v>1468</v>
      </c>
      <c r="K16606" s="2">
        <v>1</v>
      </c>
      <c r="L16606" s="2">
        <v>452</v>
      </c>
    </row>
    <row r="16607" spans="1:12" x14ac:dyDescent="0.25">
      <c r="A16607" s="4" t="str">
        <f>HYPERLINK("http://www.rosaceae.org/Prunus/Prunus_persica/p.persica_gdr_reftransV1_0009079","p.persica_gdr_reftransV1_0009079")</f>
        <v>p.persica_gdr_reftransV1_0009079</v>
      </c>
      <c r="B16607" s="2">
        <v>1224</v>
      </c>
      <c r="C16607" s="4" t="str">
        <f>HYPERLINK("http://www.uniprot.org/uniprot/M5XPJ1","M5XPJ1")</f>
        <v>M5XPJ1</v>
      </c>
      <c r="D16607" s="2" t="s">
        <v>13151</v>
      </c>
      <c r="E16607" s="3">
        <v>0</v>
      </c>
      <c r="F16607" s="2">
        <v>1480</v>
      </c>
      <c r="G16607" s="2">
        <v>100</v>
      </c>
      <c r="H16607" s="2">
        <v>282</v>
      </c>
      <c r="I16607" s="2">
        <v>379</v>
      </c>
      <c r="J16607" s="2">
        <v>1224</v>
      </c>
      <c r="K16607" s="2">
        <v>21</v>
      </c>
      <c r="L16607" s="2">
        <v>302</v>
      </c>
    </row>
    <row r="16608" spans="1:12" x14ac:dyDescent="0.25">
      <c r="A16608" s="4" t="str">
        <f>HYPERLINK("http://www.rosaceae.org/Prunus/Prunus_persica/p.persica_gdr_reftransV1_0009429","p.persica_gdr_reftransV1_0009429")</f>
        <v>p.persica_gdr_reftransV1_0009429</v>
      </c>
      <c r="B16608" s="2">
        <v>646</v>
      </c>
      <c r="C16608" s="4" t="str">
        <f>HYPERLINK("http://www.uniprot.org/uniprot/M5XHK7","M5XHK7")</f>
        <v>M5XHK7</v>
      </c>
      <c r="D16608" s="2" t="s">
        <v>13152</v>
      </c>
      <c r="E16608" s="3">
        <v>8.0999999999999993E-43</v>
      </c>
      <c r="F16608" s="2">
        <v>380</v>
      </c>
      <c r="G16608" s="2">
        <v>100</v>
      </c>
      <c r="H16608" s="2">
        <v>93</v>
      </c>
      <c r="I16608" s="2">
        <v>229</v>
      </c>
      <c r="J16608" s="2">
        <v>507</v>
      </c>
      <c r="K16608" s="2">
        <v>11</v>
      </c>
      <c r="L16608" s="2">
        <v>103</v>
      </c>
    </row>
    <row r="16609" spans="1:12" x14ac:dyDescent="0.25">
      <c r="A16609" s="4" t="str">
        <f>HYPERLINK("http://www.rosaceae.org/Prunus/Prunus_persica/p.persica_gdr_reftransV1_0010129","p.persica_gdr_reftransV1_0010129")</f>
        <v>p.persica_gdr_reftransV1_0010129</v>
      </c>
      <c r="B16609" s="2">
        <v>1879</v>
      </c>
      <c r="C16609" s="4" t="str">
        <f>HYPERLINK("http://www.uniprot.org/uniprot/M5XW60","M5XW60")</f>
        <v>M5XW60</v>
      </c>
      <c r="D16609" s="2" t="s">
        <v>13153</v>
      </c>
      <c r="E16609" s="3">
        <v>0</v>
      </c>
      <c r="F16609" s="2">
        <v>2002</v>
      </c>
      <c r="G16609" s="2">
        <v>100</v>
      </c>
      <c r="H16609" s="2">
        <v>423</v>
      </c>
      <c r="I16609" s="2">
        <v>243</v>
      </c>
      <c r="J16609" s="2">
        <v>1511</v>
      </c>
      <c r="K16609" s="2">
        <v>19</v>
      </c>
      <c r="L16609" s="2">
        <v>441</v>
      </c>
    </row>
    <row r="16610" spans="1:12" x14ac:dyDescent="0.25">
      <c r="A16610" s="4" t="str">
        <f>HYPERLINK("http://www.rosaceae.org/Prunus/Prunus_persica/p.persica_gdr_reftransV1_0010829","p.persica_gdr_reftransV1_0010829")</f>
        <v>p.persica_gdr_reftransV1_0010829</v>
      </c>
      <c r="B16610" s="2">
        <v>3042</v>
      </c>
      <c r="C16610" s="4" t="str">
        <f>HYPERLINK("http://www.uniprot.org/uniprot/M5WF92","M5WF92")</f>
        <v>M5WF92</v>
      </c>
      <c r="D16610" s="2" t="s">
        <v>13154</v>
      </c>
      <c r="E16610" s="3">
        <v>0</v>
      </c>
      <c r="F16610" s="2">
        <v>1743</v>
      </c>
      <c r="G16610" s="2">
        <v>98</v>
      </c>
      <c r="H16610" s="2">
        <v>332</v>
      </c>
      <c r="I16610" s="2">
        <v>894</v>
      </c>
      <c r="J16610" s="2">
        <v>1889</v>
      </c>
      <c r="K16610" s="2">
        <v>261</v>
      </c>
      <c r="L16610" s="2">
        <v>592</v>
      </c>
    </row>
    <row r="16611" spans="1:12" x14ac:dyDescent="0.25">
      <c r="A16611" s="4" t="str">
        <f>HYPERLINK("http://www.rosaceae.org/Prunus/Prunus_persica/p.persica_gdr_reftransV1_0011179","p.persica_gdr_reftransV1_0011179")</f>
        <v>p.persica_gdr_reftransV1_0011179</v>
      </c>
      <c r="B16611" s="2">
        <v>4131</v>
      </c>
      <c r="C16611" s="4" t="str">
        <f>HYPERLINK("http://www.uniprot.org/uniprot/M5WE65","M5WE65")</f>
        <v>M5WE65</v>
      </c>
      <c r="D16611" s="2" t="s">
        <v>13155</v>
      </c>
      <c r="E16611" s="3">
        <v>0</v>
      </c>
      <c r="F16611" s="2">
        <v>4898</v>
      </c>
      <c r="G16611" s="2">
        <v>100</v>
      </c>
      <c r="H16611" s="2">
        <v>965</v>
      </c>
      <c r="I16611" s="2">
        <v>865</v>
      </c>
      <c r="J16611" s="2">
        <v>3759</v>
      </c>
      <c r="K16611" s="2">
        <v>1</v>
      </c>
      <c r="L16611" s="2">
        <v>965</v>
      </c>
    </row>
    <row r="16612" spans="1:12" x14ac:dyDescent="0.25">
      <c r="A16612" s="4" t="str">
        <f>HYPERLINK("http://www.rosaceae.org/Prunus/Prunus_persica/p.persica_gdr_reftransV1_0012229","p.persica_gdr_reftransV1_0012229")</f>
        <v>p.persica_gdr_reftransV1_0012229</v>
      </c>
      <c r="B16612" s="2">
        <v>1091</v>
      </c>
      <c r="C16612" s="4" t="str">
        <f>HYPERLINK("http://www.uniprot.org/uniprot/M5XP28","M5XP28")</f>
        <v>M5XP28</v>
      </c>
      <c r="D16612" s="2" t="s">
        <v>13088</v>
      </c>
      <c r="E16612" s="3">
        <v>3.6600000000000003E-92</v>
      </c>
      <c r="F16612" s="2">
        <v>737</v>
      </c>
      <c r="G16612" s="2">
        <v>98</v>
      </c>
      <c r="H16612" s="2">
        <v>174</v>
      </c>
      <c r="I16612" s="2">
        <v>449</v>
      </c>
      <c r="J16612" s="2">
        <v>970</v>
      </c>
      <c r="K16612" s="2">
        <v>90</v>
      </c>
      <c r="L16612" s="2">
        <v>263</v>
      </c>
    </row>
    <row r="16613" spans="1:12" x14ac:dyDescent="0.25">
      <c r="A16613" s="4" t="str">
        <f>HYPERLINK("http://www.rosaceae.org/Prunus/Prunus_persica/p.persica_gdr_reftransV1_0013279","p.persica_gdr_reftransV1_0013279")</f>
        <v>p.persica_gdr_reftransV1_0013279</v>
      </c>
      <c r="B16613" s="2">
        <v>1195</v>
      </c>
      <c r="C16613" s="4" t="str">
        <f>HYPERLINK("http://www.uniprot.org/uniprot/M5VK57","M5VK57")</f>
        <v>M5VK57</v>
      </c>
      <c r="D16613" s="2" t="s">
        <v>7064</v>
      </c>
      <c r="E16613" s="3">
        <v>0</v>
      </c>
      <c r="F16613" s="2">
        <v>1626</v>
      </c>
      <c r="G16613" s="2">
        <v>98</v>
      </c>
      <c r="H16613" s="2">
        <v>398</v>
      </c>
      <c r="I16613" s="2">
        <v>2</v>
      </c>
      <c r="J16613" s="2">
        <v>1195</v>
      </c>
      <c r="K16613" s="2">
        <v>148</v>
      </c>
      <c r="L16613" s="2">
        <v>545</v>
      </c>
    </row>
    <row r="16614" spans="1:12" x14ac:dyDescent="0.25">
      <c r="A16614" s="4" t="str">
        <f>HYPERLINK("http://www.rosaceae.org/Prunus/Prunus_persica/p.persica_gdr_reftransV1_0014329","p.persica_gdr_reftransV1_0014329")</f>
        <v>p.persica_gdr_reftransV1_0014329</v>
      </c>
      <c r="B16614" s="2">
        <v>834</v>
      </c>
      <c r="C16614" s="4" t="str">
        <f>HYPERLINK("http://www.uniprot.org/uniprot/M5W1H7","M5W1H7")</f>
        <v>M5W1H7</v>
      </c>
      <c r="D16614" s="2" t="s">
        <v>4864</v>
      </c>
      <c r="E16614" s="3">
        <v>1.8500000000000001E-91</v>
      </c>
      <c r="F16614" s="2">
        <v>715</v>
      </c>
      <c r="G16614" s="2">
        <v>100</v>
      </c>
      <c r="H16614" s="2">
        <v>142</v>
      </c>
      <c r="I16614" s="2">
        <v>3</v>
      </c>
      <c r="J16614" s="2">
        <v>428</v>
      </c>
      <c r="K16614" s="2">
        <v>25</v>
      </c>
      <c r="L16614" s="2">
        <v>166</v>
      </c>
    </row>
    <row r="16615" spans="1:12" x14ac:dyDescent="0.25">
      <c r="A16615" s="4" t="str">
        <f>HYPERLINK("http://www.rosaceae.org/Prunus/Prunus_persica/p.persica_gdr_reftransV1_0014679","p.persica_gdr_reftransV1_0014679")</f>
        <v>p.persica_gdr_reftransV1_0014679</v>
      </c>
      <c r="B16615" s="2">
        <v>617</v>
      </c>
      <c r="C16615" s="4" t="str">
        <f>HYPERLINK("http://www.uniprot.org/uniprot/A0A022RL11","A0A022RL11")</f>
        <v>A0A022RL11</v>
      </c>
      <c r="D16615" s="2" t="s">
        <v>13156</v>
      </c>
      <c r="E16615" s="3">
        <v>4.1100000000000002E-19</v>
      </c>
      <c r="F16615" s="2">
        <v>224</v>
      </c>
      <c r="G16615" s="2">
        <v>74</v>
      </c>
      <c r="H16615" s="2">
        <v>58</v>
      </c>
      <c r="I16615" s="2">
        <v>317</v>
      </c>
      <c r="J16615" s="2">
        <v>490</v>
      </c>
      <c r="K16615" s="2">
        <v>137</v>
      </c>
      <c r="L16615" s="2">
        <v>191</v>
      </c>
    </row>
    <row r="16616" spans="1:12" x14ac:dyDescent="0.25">
      <c r="A16616" s="4" t="str">
        <f>HYPERLINK("http://www.rosaceae.org/Prunus/Prunus_persica/p.persica_gdr_reftransV1_0015029","p.persica_gdr_reftransV1_0015029")</f>
        <v>p.persica_gdr_reftransV1_0015029</v>
      </c>
      <c r="B16616" s="2">
        <v>816</v>
      </c>
      <c r="C16616" s="4" t="str">
        <f>HYPERLINK("http://www.uniprot.org/uniprot/M5WHW1","M5WHW1")</f>
        <v>M5WHW1</v>
      </c>
      <c r="D16616" s="2" t="s">
        <v>5558</v>
      </c>
      <c r="E16616" s="3">
        <v>9.2399999999999996E-116</v>
      </c>
      <c r="F16616" s="2">
        <v>853</v>
      </c>
      <c r="G16616" s="2">
        <v>99</v>
      </c>
      <c r="H16616" s="2">
        <v>158</v>
      </c>
      <c r="I16616" s="2">
        <v>3</v>
      </c>
      <c r="J16616" s="2">
        <v>476</v>
      </c>
      <c r="K16616" s="2">
        <v>9</v>
      </c>
      <c r="L16616" s="2">
        <v>166</v>
      </c>
    </row>
    <row r="16617" spans="1:12" x14ac:dyDescent="0.25">
      <c r="A16617" s="4" t="str">
        <f>HYPERLINK("http://www.rosaceae.org/Prunus/Prunus_persica/p.persica_gdr_reftransV1_0016779","p.persica_gdr_reftransV1_0016779")</f>
        <v>p.persica_gdr_reftransV1_0016779</v>
      </c>
      <c r="B16617" s="2">
        <v>1898</v>
      </c>
      <c r="C16617" s="4" t="str">
        <f>HYPERLINK("http://www.uniprot.org/uniprot/M5VVF1","M5VVF1")</f>
        <v>M5VVF1</v>
      </c>
      <c r="D16617" s="2" t="s">
        <v>13157</v>
      </c>
      <c r="E16617" s="3">
        <v>5.0799999999999999E-158</v>
      </c>
      <c r="F16617" s="2">
        <v>1208</v>
      </c>
      <c r="G16617" s="2">
        <v>100</v>
      </c>
      <c r="H16617" s="2">
        <v>339</v>
      </c>
      <c r="I16617" s="2">
        <v>250</v>
      </c>
      <c r="J16617" s="2">
        <v>1266</v>
      </c>
      <c r="K16617" s="2">
        <v>1</v>
      </c>
      <c r="L16617" s="2">
        <v>339</v>
      </c>
    </row>
    <row r="16618" spans="1:12" x14ac:dyDescent="0.25">
      <c r="A16618" s="4" t="str">
        <f>HYPERLINK("http://www.rosaceae.org/Prunus/Prunus_persica/p.persica_gdr_reftransV1_0017129","p.persica_gdr_reftransV1_0017129")</f>
        <v>p.persica_gdr_reftransV1_0017129</v>
      </c>
      <c r="B16618" s="2">
        <v>1629</v>
      </c>
      <c r="C16618" s="4" t="str">
        <f>HYPERLINK("http://www.uniprot.org/uniprot/M5VS53","M5VS53")</f>
        <v>M5VS53</v>
      </c>
      <c r="D16618" s="2" t="s">
        <v>13158</v>
      </c>
      <c r="E16618" s="3">
        <v>1.8899999999999999E-32</v>
      </c>
      <c r="F16618" s="2">
        <v>331</v>
      </c>
      <c r="G16618" s="2">
        <v>99</v>
      </c>
      <c r="H16618" s="2">
        <v>80</v>
      </c>
      <c r="I16618" s="2">
        <v>441</v>
      </c>
      <c r="J16618" s="2">
        <v>680</v>
      </c>
      <c r="K16618" s="2">
        <v>95</v>
      </c>
      <c r="L16618" s="2">
        <v>174</v>
      </c>
    </row>
    <row r="16619" spans="1:12" x14ac:dyDescent="0.25">
      <c r="A16619" s="4" t="str">
        <f>HYPERLINK("http://www.rosaceae.org/Prunus/Prunus_persica/p.persica_gdr_reftransV1_0018179","p.persica_gdr_reftransV1_0018179")</f>
        <v>p.persica_gdr_reftransV1_0018179</v>
      </c>
      <c r="B16619" s="2">
        <v>526</v>
      </c>
      <c r="C16619" s="4" t="str">
        <f>HYPERLINK("http://www.uniprot.org/uniprot/M5W1C7","M5W1C7")</f>
        <v>M5W1C7</v>
      </c>
      <c r="D16619" s="2" t="s">
        <v>3895</v>
      </c>
      <c r="E16619" s="3">
        <v>3.5899999999999998E-113</v>
      </c>
      <c r="F16619" s="2">
        <v>849</v>
      </c>
      <c r="G16619" s="2">
        <v>100</v>
      </c>
      <c r="H16619" s="2">
        <v>158</v>
      </c>
      <c r="I16619" s="2">
        <v>33</v>
      </c>
      <c r="J16619" s="2">
        <v>506</v>
      </c>
      <c r="K16619" s="2">
        <v>26</v>
      </c>
      <c r="L16619" s="2">
        <v>183</v>
      </c>
    </row>
    <row r="16620" spans="1:12" x14ac:dyDescent="0.25">
      <c r="A16620" s="4" t="str">
        <f>HYPERLINK("http://www.rosaceae.org/Prunus/Prunus_persica/p.persica_gdr_reftransV1_0018879","p.persica_gdr_reftransV1_0018879")</f>
        <v>p.persica_gdr_reftransV1_0018879</v>
      </c>
      <c r="B16620" s="2">
        <v>1040</v>
      </c>
      <c r="C16620" s="4" t="str">
        <f>HYPERLINK("http://www.uniprot.org/uniprot/M5WVS4","M5WVS4")</f>
        <v>M5WVS4</v>
      </c>
      <c r="D16620" s="2" t="s">
        <v>13159</v>
      </c>
      <c r="E16620" s="3">
        <v>7.6599999999999996E-69</v>
      </c>
      <c r="F16620" s="2">
        <v>572</v>
      </c>
      <c r="G16620" s="2">
        <v>100</v>
      </c>
      <c r="H16620" s="2">
        <v>172</v>
      </c>
      <c r="I16620" s="2">
        <v>140</v>
      </c>
      <c r="J16620" s="2">
        <v>655</v>
      </c>
      <c r="K16620" s="2">
        <v>1</v>
      </c>
      <c r="L16620" s="2">
        <v>172</v>
      </c>
    </row>
    <row r="16621" spans="1:12" x14ac:dyDescent="0.25">
      <c r="A16621" s="4" t="str">
        <f>HYPERLINK("http://www.rosaceae.org/Prunus/Prunus_persica/p.persica_gdr_reftransV1_0019229","p.persica_gdr_reftransV1_0019229")</f>
        <v>p.persica_gdr_reftransV1_0019229</v>
      </c>
      <c r="B16621" s="2">
        <v>2228</v>
      </c>
      <c r="C16621" s="4" t="str">
        <f>HYPERLINK("http://www.uniprot.org/uniprot/M5XPR5","M5XPR5")</f>
        <v>M5XPR5</v>
      </c>
      <c r="D16621" s="2" t="s">
        <v>13160</v>
      </c>
      <c r="E16621" s="3">
        <v>0</v>
      </c>
      <c r="F16621" s="2">
        <v>2509</v>
      </c>
      <c r="G16621" s="2">
        <v>100</v>
      </c>
      <c r="H16621" s="2">
        <v>537</v>
      </c>
      <c r="I16621" s="2">
        <v>291</v>
      </c>
      <c r="J16621" s="2">
        <v>1901</v>
      </c>
      <c r="K16621" s="2">
        <v>1</v>
      </c>
      <c r="L16621" s="2">
        <v>537</v>
      </c>
    </row>
    <row r="16622" spans="1:12" x14ac:dyDescent="0.25">
      <c r="A16622" s="4" t="str">
        <f>HYPERLINK("http://www.rosaceae.org/Prunus/Prunus_persica/p.persica_gdr_reftransV1_0020279","p.persica_gdr_reftransV1_0020279")</f>
        <v>p.persica_gdr_reftransV1_0020279</v>
      </c>
      <c r="B16622" s="2">
        <v>1432</v>
      </c>
      <c r="C16622" s="4" t="str">
        <f>HYPERLINK("http://www.uniprot.org/uniprot/M5WBI8","M5WBI8")</f>
        <v>M5WBI8</v>
      </c>
      <c r="D16622" s="2" t="s">
        <v>13161</v>
      </c>
      <c r="E16622" s="3">
        <v>0</v>
      </c>
      <c r="F16622" s="2">
        <v>1527</v>
      </c>
      <c r="G16622" s="2">
        <v>100</v>
      </c>
      <c r="H16622" s="2">
        <v>355</v>
      </c>
      <c r="I16622" s="2">
        <v>39</v>
      </c>
      <c r="J16622" s="2">
        <v>1103</v>
      </c>
      <c r="K16622" s="2">
        <v>1</v>
      </c>
      <c r="L16622" s="2">
        <v>355</v>
      </c>
    </row>
    <row r="16623" spans="1:12" x14ac:dyDescent="0.25">
      <c r="A16623" s="4" t="str">
        <f>HYPERLINK("http://www.rosaceae.org/Prunus/Prunus_persica/p.persica_gdr_reftransV1_0021329","p.persica_gdr_reftransV1_0021329")</f>
        <v>p.persica_gdr_reftransV1_0021329</v>
      </c>
      <c r="B16623" s="2">
        <v>1136</v>
      </c>
      <c r="C16623" s="4" t="str">
        <f>HYPERLINK("http://www.uniprot.org/uniprot/M5XQQ2","M5XQQ2")</f>
        <v>M5XQQ2</v>
      </c>
      <c r="D16623" s="2" t="s">
        <v>8464</v>
      </c>
      <c r="E16623" s="3">
        <v>1.43E-27</v>
      </c>
      <c r="F16623" s="2">
        <v>314</v>
      </c>
      <c r="G16623" s="2">
        <v>98</v>
      </c>
      <c r="H16623" s="2">
        <v>85</v>
      </c>
      <c r="I16623" s="2">
        <v>800</v>
      </c>
      <c r="J16623" s="2">
        <v>1054</v>
      </c>
      <c r="K16623" s="2">
        <v>1141</v>
      </c>
      <c r="L16623" s="2">
        <v>1225</v>
      </c>
    </row>
    <row r="16624" spans="1:12" x14ac:dyDescent="0.25">
      <c r="A16624" s="4" t="str">
        <f>HYPERLINK("http://www.rosaceae.org/Prunus/Prunus_persica/p.persica_gdr_reftransV1_0021679","p.persica_gdr_reftransV1_0021679")</f>
        <v>p.persica_gdr_reftransV1_0021679</v>
      </c>
      <c r="B16624" s="2">
        <v>1325</v>
      </c>
      <c r="C16624" s="4" t="str">
        <f>HYPERLINK("http://www.uniprot.org/uniprot/M5W9Q0","M5W9Q0")</f>
        <v>M5W9Q0</v>
      </c>
      <c r="D16624" s="2" t="s">
        <v>10441</v>
      </c>
      <c r="E16624" s="3">
        <v>1.5599999999999999E-95</v>
      </c>
      <c r="F16624" s="2">
        <v>777</v>
      </c>
      <c r="G16624" s="2">
        <v>100</v>
      </c>
      <c r="H16624" s="2">
        <v>167</v>
      </c>
      <c r="I16624" s="2">
        <v>595</v>
      </c>
      <c r="J16624" s="2">
        <v>1095</v>
      </c>
      <c r="K16624" s="2">
        <v>200</v>
      </c>
      <c r="L16624" s="2">
        <v>366</v>
      </c>
    </row>
    <row r="16625" spans="1:12" x14ac:dyDescent="0.25">
      <c r="A16625" s="4" t="str">
        <f>HYPERLINK("http://www.rosaceae.org/Prunus/Prunus_persica/p.persica_gdr_reftransV1_0022029","p.persica_gdr_reftransV1_0022029")</f>
        <v>p.persica_gdr_reftransV1_0022029</v>
      </c>
      <c r="B16625" s="2">
        <v>1963</v>
      </c>
      <c r="C16625" s="4" t="str">
        <f>HYPERLINK("http://www.uniprot.org/uniprot/M5W672","M5W672")</f>
        <v>M5W672</v>
      </c>
      <c r="D16625" s="2" t="s">
        <v>13162</v>
      </c>
      <c r="E16625" s="3">
        <v>0</v>
      </c>
      <c r="F16625" s="2">
        <v>2782</v>
      </c>
      <c r="G16625" s="2">
        <v>100</v>
      </c>
      <c r="H16625" s="2">
        <v>524</v>
      </c>
      <c r="I16625" s="2">
        <v>278</v>
      </c>
      <c r="J16625" s="2">
        <v>1849</v>
      </c>
      <c r="K16625" s="2">
        <v>30</v>
      </c>
      <c r="L16625" s="2">
        <v>553</v>
      </c>
    </row>
    <row r="16626" spans="1:12" x14ac:dyDescent="0.25">
      <c r="A16626" s="4" t="str">
        <f>HYPERLINK("http://www.rosaceae.org/Prunus/Prunus_persica/p.persica_gdr_reftransV1_0023079","p.persica_gdr_reftransV1_0023079")</f>
        <v>p.persica_gdr_reftransV1_0023079</v>
      </c>
      <c r="B16626" s="2">
        <v>2121</v>
      </c>
      <c r="C16626" s="4" t="str">
        <f>HYPERLINK("http://www.uniprot.org/uniprot/M5XG99","M5XG99")</f>
        <v>M5XG99</v>
      </c>
      <c r="D16626" s="2" t="s">
        <v>13163</v>
      </c>
      <c r="E16626" s="3">
        <v>0</v>
      </c>
      <c r="F16626" s="2">
        <v>2462</v>
      </c>
      <c r="G16626" s="2">
        <v>100</v>
      </c>
      <c r="H16626" s="2">
        <v>481</v>
      </c>
      <c r="I16626" s="2">
        <v>551</v>
      </c>
      <c r="J16626" s="2">
        <v>1993</v>
      </c>
      <c r="K16626" s="2">
        <v>1</v>
      </c>
      <c r="L16626" s="2">
        <v>481</v>
      </c>
    </row>
    <row r="16627" spans="1:12" x14ac:dyDescent="0.25">
      <c r="A16627" s="4" t="str">
        <f>HYPERLINK("http://www.rosaceae.org/Prunus/Prunus_persica/p.persica_gdr_reftransV1_0023429","p.persica_gdr_reftransV1_0023429")</f>
        <v>p.persica_gdr_reftransV1_0023429</v>
      </c>
      <c r="B16627" s="2">
        <v>804</v>
      </c>
      <c r="C16627" s="4" t="str">
        <f>HYPERLINK("http://www.uniprot.org/uniprot/M5XCR6","M5XCR6")</f>
        <v>M5XCR6</v>
      </c>
      <c r="D16627" s="2" t="s">
        <v>4345</v>
      </c>
      <c r="E16627" s="3">
        <v>5.3100000000000002E-117</v>
      </c>
      <c r="F16627" s="2">
        <v>917</v>
      </c>
      <c r="G16627" s="2">
        <v>100</v>
      </c>
      <c r="H16627" s="2">
        <v>174</v>
      </c>
      <c r="I16627" s="2">
        <v>282</v>
      </c>
      <c r="J16627" s="2">
        <v>803</v>
      </c>
      <c r="K16627" s="2">
        <v>1</v>
      </c>
      <c r="L16627" s="2">
        <v>174</v>
      </c>
    </row>
    <row r="16628" spans="1:12" x14ac:dyDescent="0.25">
      <c r="A16628" s="4" t="str">
        <f>HYPERLINK("http://www.rosaceae.org/Prunus/Prunus_persica/p.persica_gdr_reftransV1_0024479","p.persica_gdr_reftransV1_0024479")</f>
        <v>p.persica_gdr_reftransV1_0024479</v>
      </c>
      <c r="B16628" s="2">
        <v>2655</v>
      </c>
      <c r="C16628" s="4" t="str">
        <f>HYPERLINK("http://www.uniprot.org/uniprot/M5X2I9","M5X2I9")</f>
        <v>M5X2I9</v>
      </c>
      <c r="D16628" s="2" t="s">
        <v>13164</v>
      </c>
      <c r="E16628" s="3">
        <v>0</v>
      </c>
      <c r="F16628" s="2">
        <v>1399</v>
      </c>
      <c r="G16628" s="2">
        <v>100</v>
      </c>
      <c r="H16628" s="2">
        <v>301</v>
      </c>
      <c r="I16628" s="2">
        <v>635</v>
      </c>
      <c r="J16628" s="2">
        <v>1537</v>
      </c>
      <c r="K16628" s="2">
        <v>1</v>
      </c>
      <c r="L16628" s="2">
        <v>301</v>
      </c>
    </row>
    <row r="16629" spans="1:12" x14ac:dyDescent="0.25">
      <c r="A16629" s="4" t="str">
        <f>HYPERLINK("http://www.rosaceae.org/Prunus/Prunus_persica/p.persica_gdr_reftransV1_0024829","p.persica_gdr_reftransV1_0024829")</f>
        <v>p.persica_gdr_reftransV1_0024829</v>
      </c>
      <c r="B16629" s="2">
        <v>1915</v>
      </c>
      <c r="C16629" s="4" t="str">
        <f>HYPERLINK("http://www.uniprot.org/uniprot/M5XD18","M5XD18")</f>
        <v>M5XD18</v>
      </c>
      <c r="D16629" s="2" t="s">
        <v>13165</v>
      </c>
      <c r="E16629" s="3">
        <v>0</v>
      </c>
      <c r="F16629" s="2">
        <v>1652</v>
      </c>
      <c r="G16629" s="2">
        <v>100</v>
      </c>
      <c r="H16629" s="2">
        <v>316</v>
      </c>
      <c r="I16629" s="2">
        <v>226</v>
      </c>
      <c r="J16629" s="2">
        <v>1173</v>
      </c>
      <c r="K16629" s="2">
        <v>2</v>
      </c>
      <c r="L16629" s="2">
        <v>317</v>
      </c>
    </row>
    <row r="16630" spans="1:12" x14ac:dyDescent="0.25">
      <c r="A16630" s="4" t="str">
        <f>HYPERLINK("http://www.rosaceae.org/Prunus/Prunus_persica/p.persica_gdr_reftransV1_0025529","p.persica_gdr_reftransV1_0025529")</f>
        <v>p.persica_gdr_reftransV1_0025529</v>
      </c>
      <c r="B16630" s="2">
        <v>1300</v>
      </c>
      <c r="C16630" s="4" t="str">
        <f>HYPERLINK("http://www.uniprot.org/uniprot/M5X258","M5X258")</f>
        <v>M5X258</v>
      </c>
      <c r="D16630" s="2" t="s">
        <v>13166</v>
      </c>
      <c r="E16630" s="3">
        <v>7.3600000000000001E-149</v>
      </c>
      <c r="F16630" s="2">
        <v>975</v>
      </c>
      <c r="G16630" s="2">
        <v>100</v>
      </c>
      <c r="H16630" s="2">
        <v>184</v>
      </c>
      <c r="I16630" s="2">
        <v>451</v>
      </c>
      <c r="J16630" s="2">
        <v>1002</v>
      </c>
      <c r="K16630" s="2">
        <v>94</v>
      </c>
      <c r="L16630" s="2">
        <v>277</v>
      </c>
    </row>
    <row r="16631" spans="1:12" x14ac:dyDescent="0.25">
      <c r="A16631" s="4" t="str">
        <f>HYPERLINK("http://www.rosaceae.org/Prunus/Prunus_persica/p.persica_gdr_reftransV1_0026579","p.persica_gdr_reftransV1_0026579")</f>
        <v>p.persica_gdr_reftransV1_0026579</v>
      </c>
      <c r="B16631" s="2">
        <v>3619</v>
      </c>
      <c r="C16631" s="4" t="str">
        <f>HYPERLINK("http://www.uniprot.org/uniprot/M5XBT0","M5XBT0")</f>
        <v>M5XBT0</v>
      </c>
      <c r="D16631" s="2" t="s">
        <v>13167</v>
      </c>
      <c r="E16631" s="3">
        <v>1.5499999999999999E-124</v>
      </c>
      <c r="F16631" s="2">
        <v>1018</v>
      </c>
      <c r="G16631" s="2">
        <v>100</v>
      </c>
      <c r="H16631" s="2">
        <v>263</v>
      </c>
      <c r="I16631" s="2">
        <v>124</v>
      </c>
      <c r="J16631" s="2">
        <v>912</v>
      </c>
      <c r="K16631" s="2">
        <v>19</v>
      </c>
      <c r="L16631" s="2">
        <v>281</v>
      </c>
    </row>
    <row r="16632" spans="1:12" x14ac:dyDescent="0.25">
      <c r="A16632" s="4" t="str">
        <f>HYPERLINK("http://www.rosaceae.org/Prunus/Prunus_persica/p.persica_gdr_reftransV1_0028679","p.persica_gdr_reftransV1_0028679")</f>
        <v>p.persica_gdr_reftransV1_0028679</v>
      </c>
      <c r="B16632" s="2">
        <v>2065</v>
      </c>
      <c r="C16632" s="4" t="str">
        <f>HYPERLINK("http://www.uniprot.org/uniprot/M5WZ90","M5WZ90")</f>
        <v>M5WZ90</v>
      </c>
      <c r="D16632" s="2" t="s">
        <v>13168</v>
      </c>
      <c r="E16632" s="3">
        <v>0</v>
      </c>
      <c r="F16632" s="2">
        <v>2277</v>
      </c>
      <c r="G16632" s="2">
        <v>97</v>
      </c>
      <c r="H16632" s="2">
        <v>447</v>
      </c>
      <c r="I16632" s="2">
        <v>359</v>
      </c>
      <c r="J16632" s="2">
        <v>1699</v>
      </c>
      <c r="K16632" s="2">
        <v>1</v>
      </c>
      <c r="L16632" s="2">
        <v>432</v>
      </c>
    </row>
    <row r="16633" spans="1:12" x14ac:dyDescent="0.25">
      <c r="A16633" s="4" t="str">
        <f>HYPERLINK("http://www.rosaceae.org/Prunus/Prunus_persica/p.persica_gdr_reftransV1_0030429","p.persica_gdr_reftransV1_0030429")</f>
        <v>p.persica_gdr_reftransV1_0030429</v>
      </c>
      <c r="B16633" s="2">
        <v>1858</v>
      </c>
      <c r="C16633" s="4" t="str">
        <f>HYPERLINK("http://www.uniprot.org/uniprot/M5X2P1","M5X2P1")</f>
        <v>M5X2P1</v>
      </c>
      <c r="D16633" s="2" t="s">
        <v>13169</v>
      </c>
      <c r="E16633" s="3">
        <v>1.5399999999999999E-78</v>
      </c>
      <c r="F16633" s="2">
        <v>666</v>
      </c>
      <c r="G16633" s="2">
        <v>83</v>
      </c>
      <c r="H16633" s="2">
        <v>163</v>
      </c>
      <c r="I16633" s="2">
        <v>1199</v>
      </c>
      <c r="J16633" s="2">
        <v>1681</v>
      </c>
      <c r="K16633" s="2">
        <v>1</v>
      </c>
      <c r="L16633" s="2">
        <v>161</v>
      </c>
    </row>
    <row r="16634" spans="1:12" x14ac:dyDescent="0.25">
      <c r="A16634" s="4" t="str">
        <f>HYPERLINK("http://www.rosaceae.org/Prunus/Prunus_persica/p.persica_gdr_reftransV1_0031479","p.persica_gdr_reftransV1_0031479")</f>
        <v>p.persica_gdr_reftransV1_0031479</v>
      </c>
      <c r="B16634" s="2">
        <v>1340</v>
      </c>
      <c r="C16634" s="4" t="str">
        <f>HYPERLINK("http://www.uniprot.org/uniprot/F6HBU8","F6HBU8")</f>
        <v>F6HBU8</v>
      </c>
      <c r="D16634" s="2" t="s">
        <v>13170</v>
      </c>
      <c r="E16634" s="3">
        <v>5.5799999999999998E-159</v>
      </c>
      <c r="F16634" s="2">
        <v>1194</v>
      </c>
      <c r="G16634" s="2">
        <v>72</v>
      </c>
      <c r="H16634" s="2">
        <v>320</v>
      </c>
      <c r="I16634" s="2">
        <v>213</v>
      </c>
      <c r="J16634" s="2">
        <v>1172</v>
      </c>
      <c r="K16634" s="2">
        <v>6</v>
      </c>
      <c r="L16634" s="2">
        <v>324</v>
      </c>
    </row>
    <row r="16635" spans="1:12" x14ac:dyDescent="0.25">
      <c r="A16635" s="4" t="str">
        <f>HYPERLINK("http://www.rosaceae.org/Prunus/Prunus_persica/p.persica_gdr_reftransV1_0031829","p.persica_gdr_reftransV1_0031829")</f>
        <v>p.persica_gdr_reftransV1_0031829</v>
      </c>
      <c r="B16635" s="2">
        <v>1315</v>
      </c>
      <c r="C16635" s="4" t="str">
        <f>HYPERLINK("http://www.uniprot.org/uniprot/M5VR19","M5VR19")</f>
        <v>M5VR19</v>
      </c>
      <c r="D16635" s="2" t="s">
        <v>13171</v>
      </c>
      <c r="E16635" s="3">
        <v>0</v>
      </c>
      <c r="F16635" s="2">
        <v>1696</v>
      </c>
      <c r="G16635" s="2">
        <v>100</v>
      </c>
      <c r="H16635" s="2">
        <v>323</v>
      </c>
      <c r="I16635" s="2">
        <v>144</v>
      </c>
      <c r="J16635" s="2">
        <v>1112</v>
      </c>
      <c r="K16635" s="2">
        <v>1</v>
      </c>
      <c r="L16635" s="2">
        <v>322</v>
      </c>
    </row>
    <row r="16636" spans="1:12" x14ac:dyDescent="0.25">
      <c r="A16636" s="4" t="str">
        <f>HYPERLINK("http://www.rosaceae.org/Prunus/Prunus_persica/p.persica_gdr_reftransV1_0032529","p.persica_gdr_reftransV1_0032529")</f>
        <v>p.persica_gdr_reftransV1_0032529</v>
      </c>
      <c r="B16636" s="2">
        <v>3688</v>
      </c>
      <c r="C16636" s="4" t="str">
        <f>HYPERLINK("http://www.uniprot.org/uniprot/M5WTM9","M5WTM9")</f>
        <v>M5WTM9</v>
      </c>
      <c r="D16636" s="2" t="s">
        <v>13172</v>
      </c>
      <c r="E16636" s="3">
        <v>0</v>
      </c>
      <c r="F16636" s="2">
        <v>2030</v>
      </c>
      <c r="G16636" s="2">
        <v>97</v>
      </c>
      <c r="H16636" s="2">
        <v>402</v>
      </c>
      <c r="I16636" s="2">
        <v>576</v>
      </c>
      <c r="J16636" s="2">
        <v>1781</v>
      </c>
      <c r="K16636" s="2">
        <v>56</v>
      </c>
      <c r="L16636" s="2">
        <v>446</v>
      </c>
    </row>
    <row r="16637" spans="1:12" x14ac:dyDescent="0.25">
      <c r="A16637" s="4" t="str">
        <f>HYPERLINK("http://www.rosaceae.org/Prunus/Prunus_persica/p.persica_gdr_reftransV1_0035329","p.persica_gdr_reftransV1_0035329")</f>
        <v>p.persica_gdr_reftransV1_0035329</v>
      </c>
      <c r="B16637" s="2">
        <v>1355</v>
      </c>
      <c r="C16637" s="4" t="str">
        <f>HYPERLINK("http://www.uniprot.org/uniprot/M5XDC9","M5XDC9")</f>
        <v>M5XDC9</v>
      </c>
      <c r="D16637" s="2" t="s">
        <v>13173</v>
      </c>
      <c r="E16637" s="3">
        <v>0</v>
      </c>
      <c r="F16637" s="2">
        <v>1638</v>
      </c>
      <c r="G16637" s="2">
        <v>100</v>
      </c>
      <c r="H16637" s="2">
        <v>321</v>
      </c>
      <c r="I16637" s="2">
        <v>154</v>
      </c>
      <c r="J16637" s="2">
        <v>1116</v>
      </c>
      <c r="K16637" s="2">
        <v>1</v>
      </c>
      <c r="L16637" s="2">
        <v>321</v>
      </c>
    </row>
    <row r="16638" spans="1:12" x14ac:dyDescent="0.25">
      <c r="A16638" s="4" t="str">
        <f>HYPERLINK("http://www.rosaceae.org/Prunus/Prunus_persica/p.persica_gdr_reftransV1_0035679","p.persica_gdr_reftransV1_0035679")</f>
        <v>p.persica_gdr_reftransV1_0035679</v>
      </c>
      <c r="B16638" s="2">
        <v>2557</v>
      </c>
      <c r="C16638" s="4" t="str">
        <f>HYPERLINK("http://www.uniprot.org/uniprot/M5WA02","M5WA02")</f>
        <v>M5WA02</v>
      </c>
      <c r="D16638" s="2" t="s">
        <v>13174</v>
      </c>
      <c r="E16638" s="3">
        <v>4.3999999999999998E-84</v>
      </c>
      <c r="F16638" s="2">
        <v>723</v>
      </c>
      <c r="G16638" s="2">
        <v>100</v>
      </c>
      <c r="H16638" s="2">
        <v>310</v>
      </c>
      <c r="I16638" s="2">
        <v>607</v>
      </c>
      <c r="J16638" s="2">
        <v>1536</v>
      </c>
      <c r="K16638" s="2">
        <v>1</v>
      </c>
      <c r="L16638" s="2">
        <v>310</v>
      </c>
    </row>
    <row r="16639" spans="1:12" x14ac:dyDescent="0.25">
      <c r="A16639" s="4" t="str">
        <f>HYPERLINK("http://www.rosaceae.org/Prunus/Prunus_persica/p.persica_gdr_reftransV1_0036379","p.persica_gdr_reftransV1_0036379")</f>
        <v>p.persica_gdr_reftransV1_0036379</v>
      </c>
      <c r="B16639" s="2">
        <v>2018</v>
      </c>
      <c r="C16639" s="4" t="str">
        <f>HYPERLINK("http://www.uniprot.org/uniprot/M5WUJ4","M5WUJ4")</f>
        <v>M5WUJ4</v>
      </c>
      <c r="D16639" s="2" t="s">
        <v>13175</v>
      </c>
      <c r="E16639" s="3">
        <v>2.2500000000000002E-152</v>
      </c>
      <c r="F16639" s="2">
        <v>1182</v>
      </c>
      <c r="G16639" s="2">
        <v>90</v>
      </c>
      <c r="H16639" s="2">
        <v>251</v>
      </c>
      <c r="I16639" s="2">
        <v>1028</v>
      </c>
      <c r="J16639" s="2">
        <v>1780</v>
      </c>
      <c r="K16639" s="2">
        <v>1</v>
      </c>
      <c r="L16639" s="2">
        <v>226</v>
      </c>
    </row>
    <row r="16640" spans="1:12" x14ac:dyDescent="0.25">
      <c r="A16640" s="4" t="str">
        <f>HYPERLINK("http://www.rosaceae.org/Prunus/Prunus_persica/p.persica_gdr_reftransV1_0036729","p.persica_gdr_reftransV1_0036729")</f>
        <v>p.persica_gdr_reftransV1_0036729</v>
      </c>
      <c r="B16640" s="2">
        <v>1086</v>
      </c>
      <c r="C16640" s="4" t="str">
        <f>HYPERLINK("http://www.uniprot.org/uniprot/M5Y7K2","M5Y7K2")</f>
        <v>M5Y7K2</v>
      </c>
      <c r="D16640" s="2" t="s">
        <v>13176</v>
      </c>
      <c r="E16640" s="3">
        <v>2.1400000000000001E-119</v>
      </c>
      <c r="F16640" s="2">
        <v>912</v>
      </c>
      <c r="G16640" s="2">
        <v>100</v>
      </c>
      <c r="H16640" s="2">
        <v>199</v>
      </c>
      <c r="I16640" s="2">
        <v>208</v>
      </c>
      <c r="J16640" s="2">
        <v>804</v>
      </c>
      <c r="K16640" s="2">
        <v>1</v>
      </c>
      <c r="L16640" s="2">
        <v>199</v>
      </c>
    </row>
    <row r="16641" spans="1:12" x14ac:dyDescent="0.25">
      <c r="A16641" s="4" t="str">
        <f>HYPERLINK("http://www.rosaceae.org/Prunus/Prunus_persica/p.persica_gdr_reftransV1_0040929","p.persica_gdr_reftransV1_0040929")</f>
        <v>p.persica_gdr_reftransV1_0040929</v>
      </c>
      <c r="B16641" s="2">
        <v>1734</v>
      </c>
      <c r="C16641" s="4" t="str">
        <f>HYPERLINK("http://www.uniprot.org/uniprot/M5XCF9","M5XCF9")</f>
        <v>M5XCF9</v>
      </c>
      <c r="D16641" s="2" t="s">
        <v>13177</v>
      </c>
      <c r="E16641" s="3">
        <v>0</v>
      </c>
      <c r="F16641" s="2">
        <v>1885</v>
      </c>
      <c r="G16641" s="2">
        <v>100</v>
      </c>
      <c r="H16641" s="2">
        <v>448</v>
      </c>
      <c r="I16641" s="2">
        <v>233</v>
      </c>
      <c r="J16641" s="2">
        <v>1576</v>
      </c>
      <c r="K16641" s="2">
        <v>1</v>
      </c>
      <c r="L16641" s="2">
        <v>448</v>
      </c>
    </row>
    <row r="16642" spans="1:12" x14ac:dyDescent="0.25">
      <c r="A16642" s="4" t="str">
        <f>HYPERLINK("http://www.rosaceae.org/Prunus/Prunus_persica/p.persica_gdr_reftransV1_0041279","p.persica_gdr_reftransV1_0041279")</f>
        <v>p.persica_gdr_reftransV1_0041279</v>
      </c>
      <c r="B16642" s="2">
        <v>2144</v>
      </c>
      <c r="C16642" s="4" t="str">
        <f>HYPERLINK("http://www.uniprot.org/uniprot/M5VLW5","M5VLW5")</f>
        <v>M5VLW5</v>
      </c>
      <c r="D16642" s="2" t="s">
        <v>13178</v>
      </c>
      <c r="E16642" s="3">
        <v>0</v>
      </c>
      <c r="F16642" s="2">
        <v>2595</v>
      </c>
      <c r="G16642" s="2">
        <v>95</v>
      </c>
      <c r="H16642" s="2">
        <v>529</v>
      </c>
      <c r="I16642" s="2">
        <v>131</v>
      </c>
      <c r="J16642" s="2">
        <v>1717</v>
      </c>
      <c r="K16642" s="2">
        <v>1</v>
      </c>
      <c r="L16642" s="2">
        <v>505</v>
      </c>
    </row>
    <row r="16643" spans="1:12" x14ac:dyDescent="0.25">
      <c r="A16643" s="4" t="str">
        <f>HYPERLINK("http://www.rosaceae.org/Prunus/Prunus_persica/p.persica_gdr_reftransV1_0041979","p.persica_gdr_reftransV1_0041979")</f>
        <v>p.persica_gdr_reftransV1_0041979</v>
      </c>
      <c r="B16643" s="2">
        <v>1826</v>
      </c>
      <c r="C16643" s="4" t="str">
        <f>HYPERLINK("http://www.uniprot.org/uniprot/M5W4F1","M5W4F1")</f>
        <v>M5W4F1</v>
      </c>
      <c r="D16643" s="2" t="s">
        <v>13179</v>
      </c>
      <c r="E16643" s="3">
        <v>0</v>
      </c>
      <c r="F16643" s="2">
        <v>2051</v>
      </c>
      <c r="G16643" s="2">
        <v>100</v>
      </c>
      <c r="H16643" s="2">
        <v>485</v>
      </c>
      <c r="I16643" s="2">
        <v>116</v>
      </c>
      <c r="J16643" s="2">
        <v>1570</v>
      </c>
      <c r="K16643" s="2">
        <v>1</v>
      </c>
      <c r="L16643" s="2">
        <v>485</v>
      </c>
    </row>
    <row r="16644" spans="1:12" x14ac:dyDescent="0.25">
      <c r="A16644" s="4" t="str">
        <f>HYPERLINK("http://www.rosaceae.org/Prunus/Prunus_persica/p.persica_gdr_reftransV1_0043029","p.persica_gdr_reftransV1_0043029")</f>
        <v>p.persica_gdr_reftransV1_0043029</v>
      </c>
      <c r="B16644" s="2">
        <v>467</v>
      </c>
      <c r="C16644" s="4" t="str">
        <f>HYPERLINK("http://www.uniprot.org/uniprot/A0A061I0U7","A0A061I0U7")</f>
        <v>A0A061I0U7</v>
      </c>
      <c r="D16644" s="2" t="s">
        <v>13180</v>
      </c>
      <c r="E16644" s="3">
        <v>1.31E-98</v>
      </c>
      <c r="F16644" s="2">
        <v>751</v>
      </c>
      <c r="G16644" s="2">
        <v>95</v>
      </c>
      <c r="H16644" s="2">
        <v>155</v>
      </c>
      <c r="I16644" s="2">
        <v>1</v>
      </c>
      <c r="J16644" s="2">
        <v>465</v>
      </c>
      <c r="K16644" s="2">
        <v>1</v>
      </c>
      <c r="L16644" s="2">
        <v>155</v>
      </c>
    </row>
    <row r="16645" spans="1:12" x14ac:dyDescent="0.25">
      <c r="A16645" s="4" t="str">
        <f>HYPERLINK("http://www.rosaceae.org/Prunus/Prunus_persica/p.persica_gdr_reftransV1_0043379","p.persica_gdr_reftransV1_0043379")</f>
        <v>p.persica_gdr_reftransV1_0043379</v>
      </c>
      <c r="B16645" s="2">
        <v>1108</v>
      </c>
      <c r="C16645" s="4" t="str">
        <f>HYPERLINK("http://www.uniprot.org/uniprot/M5WIS0","M5WIS0")</f>
        <v>M5WIS0</v>
      </c>
      <c r="D16645" s="2" t="s">
        <v>2077</v>
      </c>
      <c r="E16645" s="3">
        <v>0</v>
      </c>
      <c r="F16645" s="2">
        <v>1551</v>
      </c>
      <c r="G16645" s="2">
        <v>100</v>
      </c>
      <c r="H16645" s="2">
        <v>316</v>
      </c>
      <c r="I16645" s="2">
        <v>161</v>
      </c>
      <c r="J16645" s="2">
        <v>1108</v>
      </c>
      <c r="K16645" s="2">
        <v>704</v>
      </c>
      <c r="L16645" s="2">
        <v>1019</v>
      </c>
    </row>
    <row r="16646" spans="1:12" x14ac:dyDescent="0.25">
      <c r="A16646" s="4" t="str">
        <f>HYPERLINK("http://www.rosaceae.org/Prunus/Prunus_persica/p.persica_gdr_reftransV1_0043729","p.persica_gdr_reftransV1_0043729")</f>
        <v>p.persica_gdr_reftransV1_0043729</v>
      </c>
      <c r="B16646" s="2">
        <v>3430</v>
      </c>
      <c r="C16646" s="4" t="str">
        <f>HYPERLINK("http://www.uniprot.org/uniprot/M5WSD5","M5WSD5")</f>
        <v>M5WSD5</v>
      </c>
      <c r="D16646" s="2" t="s">
        <v>13181</v>
      </c>
      <c r="E16646" s="3">
        <v>0</v>
      </c>
      <c r="F16646" s="2">
        <v>5116</v>
      </c>
      <c r="G16646" s="2">
        <v>100</v>
      </c>
      <c r="H16646" s="2">
        <v>981</v>
      </c>
      <c r="I16646" s="2">
        <v>250</v>
      </c>
      <c r="J16646" s="2">
        <v>3192</v>
      </c>
      <c r="K16646" s="2">
        <v>1</v>
      </c>
      <c r="L16646" s="2">
        <v>981</v>
      </c>
    </row>
    <row r="16647" spans="1:12" x14ac:dyDescent="0.25">
      <c r="A16647" s="4" t="str">
        <f>HYPERLINK("http://www.rosaceae.org/Prunus/Prunus_persica/p.persica_gdr_reftransV1_0044429","p.persica_gdr_reftransV1_0044429")</f>
        <v>p.persica_gdr_reftransV1_0044429</v>
      </c>
      <c r="B16647" s="2">
        <v>943</v>
      </c>
      <c r="C16647" s="4" t="str">
        <f>HYPERLINK("http://www.uniprot.org/uniprot/M5XAD0","M5XAD0")</f>
        <v>M5XAD0</v>
      </c>
      <c r="D16647" s="2" t="s">
        <v>13182</v>
      </c>
      <c r="E16647" s="3">
        <v>0</v>
      </c>
      <c r="F16647" s="2">
        <v>1440</v>
      </c>
      <c r="G16647" s="2">
        <v>100</v>
      </c>
      <c r="H16647" s="2">
        <v>271</v>
      </c>
      <c r="I16647" s="2">
        <v>83</v>
      </c>
      <c r="J16647" s="2">
        <v>895</v>
      </c>
      <c r="K16647" s="2">
        <v>1</v>
      </c>
      <c r="L16647" s="2">
        <v>271</v>
      </c>
    </row>
    <row r="16648" spans="1:12" x14ac:dyDescent="0.25">
      <c r="A16648" s="4" t="str">
        <f>HYPERLINK("http://www.rosaceae.org/Prunus/Prunus_persica/p.persica_gdr_reftransV1_0044779","p.persica_gdr_reftransV1_0044779")</f>
        <v>p.persica_gdr_reftransV1_0044779</v>
      </c>
      <c r="B16648" s="2">
        <v>848</v>
      </c>
      <c r="C16648" s="4" t="str">
        <f>HYPERLINK("http://www.uniprot.org/uniprot/M5XDT8","M5XDT8")</f>
        <v>M5XDT8</v>
      </c>
      <c r="D16648" s="2" t="s">
        <v>3989</v>
      </c>
      <c r="E16648" s="3">
        <v>5.2299999999999997E-148</v>
      </c>
      <c r="F16648" s="2">
        <v>1106</v>
      </c>
      <c r="G16648" s="2">
        <v>98</v>
      </c>
      <c r="H16648" s="2">
        <v>231</v>
      </c>
      <c r="I16648" s="2">
        <v>130</v>
      </c>
      <c r="J16648" s="2">
        <v>822</v>
      </c>
      <c r="K16648" s="2">
        <v>1</v>
      </c>
      <c r="L16648" s="2">
        <v>231</v>
      </c>
    </row>
    <row r="16649" spans="1:12" x14ac:dyDescent="0.25">
      <c r="A16649" s="4" t="str">
        <f>HYPERLINK("http://www.rosaceae.org/Prunus/Prunus_persica/p.persica_gdr_reftransV1_0045129","p.persica_gdr_reftransV1_0045129")</f>
        <v>p.persica_gdr_reftransV1_0045129</v>
      </c>
      <c r="B16649" s="2">
        <v>1228</v>
      </c>
      <c r="C16649" s="4" t="str">
        <f>HYPERLINK("http://www.uniprot.org/uniprot/M5Y2K5","M5Y2K5")</f>
        <v>M5Y2K5</v>
      </c>
      <c r="D16649" s="2" t="s">
        <v>7986</v>
      </c>
      <c r="E16649" s="3">
        <v>1.7299999999999998E-151</v>
      </c>
      <c r="F16649" s="2">
        <v>1130</v>
      </c>
      <c r="G16649" s="2">
        <v>99</v>
      </c>
      <c r="H16649" s="2">
        <v>218</v>
      </c>
      <c r="I16649" s="2">
        <v>345</v>
      </c>
      <c r="J16649" s="2">
        <v>998</v>
      </c>
      <c r="K16649" s="2">
        <v>1</v>
      </c>
      <c r="L16649" s="2">
        <v>218</v>
      </c>
    </row>
    <row r="16650" spans="1:12" x14ac:dyDescent="0.25">
      <c r="A16650" s="4" t="str">
        <f>HYPERLINK("http://www.rosaceae.org/Prunus/Prunus_persica/p.persica_gdr_reftransV1_0045479","p.persica_gdr_reftransV1_0045479")</f>
        <v>p.persica_gdr_reftransV1_0045479</v>
      </c>
      <c r="B16650" s="2">
        <v>519</v>
      </c>
      <c r="C16650" s="4" t="str">
        <f>HYPERLINK("http://www.uniprot.org/uniprot/M5VSL3","M5VSL3")</f>
        <v>M5VSL3</v>
      </c>
      <c r="D16650" s="2" t="s">
        <v>8030</v>
      </c>
      <c r="E16650" s="3">
        <v>9.2600000000000005E-54</v>
      </c>
      <c r="F16650" s="2">
        <v>462</v>
      </c>
      <c r="G16650" s="2">
        <v>99</v>
      </c>
      <c r="H16650" s="2">
        <v>82</v>
      </c>
      <c r="I16650" s="2">
        <v>274</v>
      </c>
      <c r="J16650" s="2">
        <v>519</v>
      </c>
      <c r="K16650" s="2">
        <v>1</v>
      </c>
      <c r="L16650" s="2">
        <v>82</v>
      </c>
    </row>
    <row r="16651" spans="1:12" x14ac:dyDescent="0.25">
      <c r="A16651" s="4" t="str">
        <f>HYPERLINK("http://www.rosaceae.org/Prunus/Prunus_persica/p.persica_gdr_reftransV1_0045829","p.persica_gdr_reftransV1_0045829")</f>
        <v>p.persica_gdr_reftransV1_0045829</v>
      </c>
      <c r="B16651" s="2">
        <v>2299</v>
      </c>
      <c r="C16651" s="4" t="str">
        <f>HYPERLINK("http://www.uniprot.org/uniprot/M5VVQ7","M5VVQ7")</f>
        <v>M5VVQ7</v>
      </c>
      <c r="D16651" s="2" t="s">
        <v>2660</v>
      </c>
      <c r="E16651" s="3">
        <v>0</v>
      </c>
      <c r="F16651" s="2">
        <v>2275</v>
      </c>
      <c r="G16651" s="2">
        <v>90</v>
      </c>
      <c r="H16651" s="2">
        <v>472</v>
      </c>
      <c r="I16651" s="2">
        <v>637</v>
      </c>
      <c r="J16651" s="2">
        <v>2052</v>
      </c>
      <c r="K16651" s="2">
        <v>26</v>
      </c>
      <c r="L16651" s="2">
        <v>497</v>
      </c>
    </row>
    <row r="16652" spans="1:12" x14ac:dyDescent="0.25">
      <c r="A16652" s="4" t="str">
        <f>HYPERLINK("http://www.rosaceae.org/Prunus/Prunus_persica/p.persica_gdr_reftransV1_0046879","p.persica_gdr_reftransV1_0046879")</f>
        <v>p.persica_gdr_reftransV1_0046879</v>
      </c>
      <c r="B16652" s="2">
        <v>1762</v>
      </c>
      <c r="C16652" s="4" t="str">
        <f>HYPERLINK("http://www.uniprot.org/uniprot/M5W8I0","M5W8I0")</f>
        <v>M5W8I0</v>
      </c>
      <c r="D16652" s="2" t="s">
        <v>617</v>
      </c>
      <c r="E16652" s="3">
        <v>0</v>
      </c>
      <c r="F16652" s="2">
        <v>2178</v>
      </c>
      <c r="G16652" s="2">
        <v>94</v>
      </c>
      <c r="H16652" s="2">
        <v>489</v>
      </c>
      <c r="I16652" s="2">
        <v>1</v>
      </c>
      <c r="J16652" s="2">
        <v>1467</v>
      </c>
      <c r="K16652" s="2">
        <v>491</v>
      </c>
      <c r="L16652" s="2">
        <v>948</v>
      </c>
    </row>
    <row r="16653" spans="1:12" x14ac:dyDescent="0.25">
      <c r="A16653" s="4" t="str">
        <f>HYPERLINK("http://www.rosaceae.org/Prunus/Prunus_persica/p.persica_gdr_reftransV1_0047579","p.persica_gdr_reftransV1_0047579")</f>
        <v>p.persica_gdr_reftransV1_0047579</v>
      </c>
      <c r="B16653" s="2">
        <v>2094</v>
      </c>
      <c r="C16653" s="4" t="str">
        <f>HYPERLINK("http://www.uniprot.org/uniprot/M5XTJ9","M5XTJ9")</f>
        <v>M5XTJ9</v>
      </c>
      <c r="D16653" s="2" t="s">
        <v>2059</v>
      </c>
      <c r="E16653" s="3">
        <v>0</v>
      </c>
      <c r="F16653" s="2">
        <v>2824</v>
      </c>
      <c r="G16653" s="2">
        <v>100</v>
      </c>
      <c r="H16653" s="2">
        <v>554</v>
      </c>
      <c r="I16653" s="2">
        <v>421</v>
      </c>
      <c r="J16653" s="2">
        <v>2082</v>
      </c>
      <c r="K16653" s="2">
        <v>342</v>
      </c>
      <c r="L16653" s="2">
        <v>895</v>
      </c>
    </row>
    <row r="16654" spans="1:12" x14ac:dyDescent="0.25">
      <c r="A16654" s="4" t="str">
        <f>HYPERLINK("http://www.rosaceae.org/Prunus/Prunus_persica/p.persica_gdr_reftransV1_0047929","p.persica_gdr_reftransV1_0047929")</f>
        <v>p.persica_gdr_reftransV1_0047929</v>
      </c>
      <c r="B16654" s="2">
        <v>1240</v>
      </c>
      <c r="C16654" s="4" t="str">
        <f>HYPERLINK("http://www.uniprot.org/uniprot/M5VTK1","M5VTK1")</f>
        <v>M5VTK1</v>
      </c>
      <c r="D16654" s="2" t="s">
        <v>4115</v>
      </c>
      <c r="E16654" s="3">
        <v>0</v>
      </c>
      <c r="F16654" s="2">
        <v>2162</v>
      </c>
      <c r="G16654" s="2">
        <v>100</v>
      </c>
      <c r="H16654" s="2">
        <v>413</v>
      </c>
      <c r="I16654" s="2">
        <v>1</v>
      </c>
      <c r="J16654" s="2">
        <v>1239</v>
      </c>
      <c r="K16654" s="2">
        <v>138</v>
      </c>
      <c r="L16654" s="2">
        <v>550</v>
      </c>
    </row>
    <row r="16655" spans="1:12" x14ac:dyDescent="0.25">
      <c r="A16655" s="4" t="str">
        <f>HYPERLINK("http://www.rosaceae.org/Prunus/Prunus_persica/p.persica_gdr_reftransV1_0048279","p.persica_gdr_reftransV1_0048279")</f>
        <v>p.persica_gdr_reftransV1_0048279</v>
      </c>
      <c r="B16655" s="2">
        <v>469</v>
      </c>
      <c r="C16655" s="4" t="str">
        <f>HYPERLINK("http://www.uniprot.org/uniprot/M5VYV9","M5VYV9")</f>
        <v>M5VYV9</v>
      </c>
      <c r="D16655" s="2" t="s">
        <v>1726</v>
      </c>
      <c r="E16655" s="3">
        <v>1.4699999999999999E-107</v>
      </c>
      <c r="F16655" s="2">
        <v>841</v>
      </c>
      <c r="G16655" s="2">
        <v>100</v>
      </c>
      <c r="H16655" s="2">
        <v>156</v>
      </c>
      <c r="I16655" s="2">
        <v>1</v>
      </c>
      <c r="J16655" s="2">
        <v>468</v>
      </c>
      <c r="K16655" s="2">
        <v>147</v>
      </c>
      <c r="L16655" s="2">
        <v>302</v>
      </c>
    </row>
    <row r="16656" spans="1:12" x14ac:dyDescent="0.25">
      <c r="A16656" s="4" t="str">
        <f>HYPERLINK("http://www.rosaceae.org/Prunus/Prunus_persica/p.persica_gdr_reftransV1_0048629","p.persica_gdr_reftransV1_0048629")</f>
        <v>p.persica_gdr_reftransV1_0048629</v>
      </c>
      <c r="B16656" s="2">
        <v>1239</v>
      </c>
      <c r="C16656" s="4" t="str">
        <f>HYPERLINK("http://www.uniprot.org/uniprot/M5XXM5","M5XXM5")</f>
        <v>M5XXM5</v>
      </c>
      <c r="D16656" s="2" t="s">
        <v>13183</v>
      </c>
      <c r="E16656" s="3">
        <v>5.4299999999999995E-26</v>
      </c>
      <c r="F16656" s="2">
        <v>301</v>
      </c>
      <c r="G16656" s="2">
        <v>100</v>
      </c>
      <c r="H16656" s="2">
        <v>145</v>
      </c>
      <c r="I16656" s="2">
        <v>805</v>
      </c>
      <c r="J16656" s="2">
        <v>1239</v>
      </c>
      <c r="K16656" s="2">
        <v>556</v>
      </c>
      <c r="L16656" s="2">
        <v>700</v>
      </c>
    </row>
    <row r="16657" spans="1:12" x14ac:dyDescent="0.25">
      <c r="A16657" s="4" t="str">
        <f>HYPERLINK("http://www.rosaceae.org/Prunus/Prunus_persica/p.persica_gdr_reftransV1_0048979","p.persica_gdr_reftransV1_0048979")</f>
        <v>p.persica_gdr_reftransV1_0048979</v>
      </c>
      <c r="B16657" s="2">
        <v>1413</v>
      </c>
      <c r="C16657" s="4" t="str">
        <f>HYPERLINK("http://www.uniprot.org/uniprot/M5VYD5","M5VYD5")</f>
        <v>M5VYD5</v>
      </c>
      <c r="D16657" s="2" t="s">
        <v>13184</v>
      </c>
      <c r="E16657" s="3">
        <v>3.5799999999999998E-151</v>
      </c>
      <c r="F16657" s="2">
        <v>1154</v>
      </c>
      <c r="G16657" s="2">
        <v>100</v>
      </c>
      <c r="H16657" s="2">
        <v>217</v>
      </c>
      <c r="I16657" s="2">
        <v>149</v>
      </c>
      <c r="J16657" s="2">
        <v>799</v>
      </c>
      <c r="K16657" s="2">
        <v>1</v>
      </c>
      <c r="L16657" s="2">
        <v>217</v>
      </c>
    </row>
    <row r="16658" spans="1:12" x14ac:dyDescent="0.25">
      <c r="A16658" s="4" t="str">
        <f>HYPERLINK("http://www.rosaceae.org/Prunus/Prunus_persica/p.persica_gdr_reftransV1_0000330","p.persica_gdr_reftransV1_0000330")</f>
        <v>p.persica_gdr_reftransV1_0000330</v>
      </c>
      <c r="B16658" s="2">
        <v>328</v>
      </c>
      <c r="C16658" s="4" t="str">
        <f>HYPERLINK("http://www.uniprot.org/uniprot/M5WRL7","M5WRL7")</f>
        <v>M5WRL7</v>
      </c>
      <c r="D16658" s="2" t="s">
        <v>13185</v>
      </c>
      <c r="E16658" s="3">
        <v>3.4799999999999999E-62</v>
      </c>
      <c r="F16658" s="2">
        <v>547</v>
      </c>
      <c r="G16658" s="2">
        <v>100</v>
      </c>
      <c r="H16658" s="2">
        <v>108</v>
      </c>
      <c r="I16658" s="2">
        <v>3</v>
      </c>
      <c r="J16658" s="2">
        <v>326</v>
      </c>
      <c r="K16658" s="2">
        <v>160</v>
      </c>
      <c r="L16658" s="2">
        <v>267</v>
      </c>
    </row>
    <row r="16659" spans="1:12" x14ac:dyDescent="0.25">
      <c r="A16659" s="4" t="str">
        <f>HYPERLINK("http://www.rosaceae.org/Prunus/Prunus_persica/p.persica_gdr_reftransV1_0000680","p.persica_gdr_reftransV1_0000680")</f>
        <v>p.persica_gdr_reftransV1_0000680</v>
      </c>
      <c r="B16659" s="2">
        <v>4726</v>
      </c>
      <c r="C16659" s="4" t="str">
        <f>HYPERLINK("http://www.uniprot.org/uniprot/M5WSV3","M5WSV3")</f>
        <v>M5WSV3</v>
      </c>
      <c r="D16659" s="2" t="s">
        <v>13186</v>
      </c>
      <c r="E16659" s="3">
        <v>0</v>
      </c>
      <c r="F16659" s="2">
        <v>3669</v>
      </c>
      <c r="G16659" s="2">
        <v>100</v>
      </c>
      <c r="H16659" s="2">
        <v>818</v>
      </c>
      <c r="I16659" s="2">
        <v>305</v>
      </c>
      <c r="J16659" s="2">
        <v>2758</v>
      </c>
      <c r="K16659" s="2">
        <v>29</v>
      </c>
      <c r="L16659" s="2">
        <v>846</v>
      </c>
    </row>
    <row r="16660" spans="1:12" x14ac:dyDescent="0.25">
      <c r="A16660" s="4" t="str">
        <f>HYPERLINK("http://www.rosaceae.org/Prunus/Prunus_persica/p.persica_gdr_reftransV1_0001030","p.persica_gdr_reftransV1_0001030")</f>
        <v>p.persica_gdr_reftransV1_0001030</v>
      </c>
      <c r="B16660" s="2">
        <v>1050</v>
      </c>
      <c r="C16660" s="4" t="str">
        <f>HYPERLINK("http://www.uniprot.org/uniprot/M5XC06","M5XC06")</f>
        <v>M5XC06</v>
      </c>
      <c r="D16660" s="2" t="s">
        <v>596</v>
      </c>
      <c r="E16660" s="3">
        <v>0</v>
      </c>
      <c r="F16660" s="2">
        <v>1632</v>
      </c>
      <c r="G16660" s="2">
        <v>91</v>
      </c>
      <c r="H16660" s="2">
        <v>367</v>
      </c>
      <c r="I16660" s="2">
        <v>3</v>
      </c>
      <c r="J16660" s="2">
        <v>1049</v>
      </c>
      <c r="K16660" s="2">
        <v>88</v>
      </c>
      <c r="L16660" s="2">
        <v>440</v>
      </c>
    </row>
    <row r="16661" spans="1:12" x14ac:dyDescent="0.25">
      <c r="A16661" s="4" t="str">
        <f>HYPERLINK("http://www.rosaceae.org/Prunus/Prunus_persica/p.persica_gdr_reftransV1_0002080","p.persica_gdr_reftransV1_0002080")</f>
        <v>p.persica_gdr_reftransV1_0002080</v>
      </c>
      <c r="B16661" s="2">
        <v>2254</v>
      </c>
      <c r="C16661" s="4" t="str">
        <f>HYPERLINK("http://www.uniprot.org/uniprot/M5XH94","M5XH94")</f>
        <v>M5XH94</v>
      </c>
      <c r="D16661" s="2" t="s">
        <v>13187</v>
      </c>
      <c r="E16661" s="3">
        <v>2.0899999999999999E-166</v>
      </c>
      <c r="F16661" s="2">
        <v>1285</v>
      </c>
      <c r="G16661" s="2">
        <v>98</v>
      </c>
      <c r="H16661" s="2">
        <v>251</v>
      </c>
      <c r="I16661" s="2">
        <v>590</v>
      </c>
      <c r="J16661" s="2">
        <v>1342</v>
      </c>
      <c r="K16661" s="2">
        <v>1</v>
      </c>
      <c r="L16661" s="2">
        <v>251</v>
      </c>
    </row>
    <row r="16662" spans="1:12" x14ac:dyDescent="0.25">
      <c r="A16662" s="4" t="str">
        <f>HYPERLINK("http://www.rosaceae.org/Prunus/Prunus_persica/p.persica_gdr_reftransV1_0002430","p.persica_gdr_reftransV1_0002430")</f>
        <v>p.persica_gdr_reftransV1_0002430</v>
      </c>
      <c r="B16662" s="2">
        <v>804</v>
      </c>
      <c r="C16662" s="4" t="str">
        <f>HYPERLINK("http://www.uniprot.org/uniprot/M5WBI9","M5WBI9")</f>
        <v>M5WBI9</v>
      </c>
      <c r="D16662" s="2" t="s">
        <v>6009</v>
      </c>
      <c r="E16662" s="3">
        <v>2.3899999999999999E-13</v>
      </c>
      <c r="F16662" s="2">
        <v>193</v>
      </c>
      <c r="G16662" s="2">
        <v>100</v>
      </c>
      <c r="H16662" s="2">
        <v>36</v>
      </c>
      <c r="I16662" s="2">
        <v>243</v>
      </c>
      <c r="J16662" s="2">
        <v>350</v>
      </c>
      <c r="K16662" s="2">
        <v>16</v>
      </c>
      <c r="L16662" s="2">
        <v>51</v>
      </c>
    </row>
    <row r="16663" spans="1:12" x14ac:dyDescent="0.25">
      <c r="A16663" s="4" t="str">
        <f>HYPERLINK("http://www.rosaceae.org/Prunus/Prunus_persica/p.persica_gdr_reftransV1_0003130","p.persica_gdr_reftransV1_0003130")</f>
        <v>p.persica_gdr_reftransV1_0003130</v>
      </c>
      <c r="B16663" s="2">
        <v>572</v>
      </c>
      <c r="C16663" s="4" t="str">
        <f>HYPERLINK("http://www.uniprot.org/uniprot/M5XF61","M5XF61")</f>
        <v>M5XF61</v>
      </c>
      <c r="D16663" s="2" t="s">
        <v>13188</v>
      </c>
      <c r="E16663" s="3">
        <v>4.9300000000000002E-136</v>
      </c>
      <c r="F16663" s="2">
        <v>1016</v>
      </c>
      <c r="G16663" s="2">
        <v>100</v>
      </c>
      <c r="H16663" s="2">
        <v>190</v>
      </c>
      <c r="I16663" s="2">
        <v>2</v>
      </c>
      <c r="J16663" s="2">
        <v>571</v>
      </c>
      <c r="K16663" s="2">
        <v>112</v>
      </c>
      <c r="L16663" s="2">
        <v>301</v>
      </c>
    </row>
    <row r="16664" spans="1:12" x14ac:dyDescent="0.25">
      <c r="A16664" s="4" t="str">
        <f>HYPERLINK("http://www.rosaceae.org/Prunus/Prunus_persica/p.persica_gdr_reftransV1_0003480","p.persica_gdr_reftransV1_0003480")</f>
        <v>p.persica_gdr_reftransV1_0003480</v>
      </c>
      <c r="B16664" s="2">
        <v>614</v>
      </c>
      <c r="C16664" s="4" t="str">
        <f>HYPERLINK("http://www.uniprot.org/uniprot/M5XHS1","M5XHS1")</f>
        <v>M5XHS1</v>
      </c>
      <c r="D16664" s="2" t="s">
        <v>13189</v>
      </c>
      <c r="E16664" s="3">
        <v>8.8000000000000005E-104</v>
      </c>
      <c r="F16664" s="2">
        <v>793</v>
      </c>
      <c r="G16664" s="2">
        <v>100</v>
      </c>
      <c r="H16664" s="2">
        <v>174</v>
      </c>
      <c r="I16664" s="2">
        <v>93</v>
      </c>
      <c r="J16664" s="2">
        <v>614</v>
      </c>
      <c r="K16664" s="2">
        <v>1</v>
      </c>
      <c r="L16664" s="2">
        <v>174</v>
      </c>
    </row>
    <row r="16665" spans="1:12" x14ac:dyDescent="0.25">
      <c r="A16665" s="4" t="str">
        <f>HYPERLINK("http://www.rosaceae.org/Prunus/Prunus_persica/p.persica_gdr_reftransV1_0003830","p.persica_gdr_reftransV1_0003830")</f>
        <v>p.persica_gdr_reftransV1_0003830</v>
      </c>
      <c r="B16665" s="2">
        <v>946</v>
      </c>
      <c r="C16665" s="4" t="str">
        <f>HYPERLINK("http://www.uniprot.org/uniprot/X0AS64","X0AS64")</f>
        <v>X0AS64</v>
      </c>
      <c r="D16665" s="2" t="s">
        <v>11200</v>
      </c>
      <c r="E16665" s="3">
        <v>0</v>
      </c>
      <c r="F16665" s="2">
        <v>1561</v>
      </c>
      <c r="G16665" s="2">
        <v>96</v>
      </c>
      <c r="H16665" s="2">
        <v>314</v>
      </c>
      <c r="I16665" s="2">
        <v>3</v>
      </c>
      <c r="J16665" s="2">
        <v>944</v>
      </c>
      <c r="K16665" s="2">
        <v>234</v>
      </c>
      <c r="L16665" s="2">
        <v>547</v>
      </c>
    </row>
    <row r="16666" spans="1:12" x14ac:dyDescent="0.25">
      <c r="A16666" s="4" t="str">
        <f>HYPERLINK("http://www.rosaceae.org/Prunus/Prunus_persica/p.persica_gdr_reftransV1_0004180","p.persica_gdr_reftransV1_0004180")</f>
        <v>p.persica_gdr_reftransV1_0004180</v>
      </c>
      <c r="B16666" s="2">
        <v>1963</v>
      </c>
      <c r="C16666" s="4" t="str">
        <f>HYPERLINK("http://www.uniprot.org/uniprot/M5WBP4","M5WBP4")</f>
        <v>M5WBP4</v>
      </c>
      <c r="D16666" s="2" t="s">
        <v>2464</v>
      </c>
      <c r="E16666" s="3">
        <v>0</v>
      </c>
      <c r="F16666" s="2">
        <v>2140</v>
      </c>
      <c r="G16666" s="2">
        <v>100</v>
      </c>
      <c r="H16666" s="2">
        <v>479</v>
      </c>
      <c r="I16666" s="2">
        <v>412</v>
      </c>
      <c r="J16666" s="2">
        <v>1848</v>
      </c>
      <c r="K16666" s="2">
        <v>1</v>
      </c>
      <c r="L16666" s="2">
        <v>479</v>
      </c>
    </row>
    <row r="16667" spans="1:12" x14ac:dyDescent="0.25">
      <c r="A16667" s="4" t="str">
        <f>HYPERLINK("http://www.rosaceae.org/Prunus/Prunus_persica/p.persica_gdr_reftransV1_0004530","p.persica_gdr_reftransV1_0004530")</f>
        <v>p.persica_gdr_reftransV1_0004530</v>
      </c>
      <c r="B16667" s="2">
        <v>2611</v>
      </c>
      <c r="C16667" s="4" t="str">
        <f>HYPERLINK("http://www.uniprot.org/uniprot/M5XQ24","M5XQ24")</f>
        <v>M5XQ24</v>
      </c>
      <c r="D16667" s="2" t="s">
        <v>8169</v>
      </c>
      <c r="E16667" s="3">
        <v>8.4099999999999999E-155</v>
      </c>
      <c r="F16667" s="2">
        <v>1216</v>
      </c>
      <c r="G16667" s="2">
        <v>100</v>
      </c>
      <c r="H16667" s="2">
        <v>247</v>
      </c>
      <c r="I16667" s="2">
        <v>1693</v>
      </c>
      <c r="J16667" s="2">
        <v>2433</v>
      </c>
      <c r="K16667" s="2">
        <v>1</v>
      </c>
      <c r="L16667" s="2">
        <v>247</v>
      </c>
    </row>
    <row r="16668" spans="1:12" x14ac:dyDescent="0.25">
      <c r="A16668" s="4" t="str">
        <f>HYPERLINK("http://www.rosaceae.org/Prunus/Prunus_persica/p.persica_gdr_reftransV1_0004880","p.persica_gdr_reftransV1_0004880")</f>
        <v>p.persica_gdr_reftransV1_0004880</v>
      </c>
      <c r="B16668" s="2">
        <v>607</v>
      </c>
      <c r="C16668" s="4" t="str">
        <f>HYPERLINK("http://www.uniprot.org/uniprot/M5XTA8","M5XTA8")</f>
        <v>M5XTA8</v>
      </c>
      <c r="D16668" s="2" t="s">
        <v>8568</v>
      </c>
      <c r="E16668" s="3">
        <v>7.4299999999999996E-15</v>
      </c>
      <c r="F16668" s="2">
        <v>202</v>
      </c>
      <c r="G16668" s="2">
        <v>40</v>
      </c>
      <c r="H16668" s="2">
        <v>137</v>
      </c>
      <c r="I16668" s="2">
        <v>214</v>
      </c>
      <c r="J16668" s="2">
        <v>606</v>
      </c>
      <c r="K16668" s="2">
        <v>442</v>
      </c>
      <c r="L16668" s="2">
        <v>574</v>
      </c>
    </row>
    <row r="16669" spans="1:12" x14ac:dyDescent="0.25">
      <c r="A16669" s="4" t="str">
        <f>HYPERLINK("http://www.rosaceae.org/Prunus/Prunus_persica/p.persica_gdr_reftransV1_0005230","p.persica_gdr_reftransV1_0005230")</f>
        <v>p.persica_gdr_reftransV1_0005230</v>
      </c>
      <c r="B16669" s="2">
        <v>1414</v>
      </c>
      <c r="C16669" s="4" t="str">
        <f>HYPERLINK("http://www.uniprot.org/uniprot/M5WZX9","M5WZX9")</f>
        <v>M5WZX9</v>
      </c>
      <c r="D16669" s="2" t="s">
        <v>3839</v>
      </c>
      <c r="E16669" s="3">
        <v>0</v>
      </c>
      <c r="F16669" s="2">
        <v>1959</v>
      </c>
      <c r="G16669" s="2">
        <v>100</v>
      </c>
      <c r="H16669" s="2">
        <v>366</v>
      </c>
      <c r="I16669" s="2">
        <v>153</v>
      </c>
      <c r="J16669" s="2">
        <v>1250</v>
      </c>
      <c r="K16669" s="2">
        <v>1</v>
      </c>
      <c r="L16669" s="2">
        <v>366</v>
      </c>
    </row>
    <row r="16670" spans="1:12" x14ac:dyDescent="0.25">
      <c r="A16670" s="4" t="str">
        <f>HYPERLINK("http://www.rosaceae.org/Prunus/Prunus_persica/p.persica_gdr_reftransV1_0005580","p.persica_gdr_reftransV1_0005580")</f>
        <v>p.persica_gdr_reftransV1_0005580</v>
      </c>
      <c r="B16670" s="2">
        <v>1832</v>
      </c>
      <c r="C16670" s="4" t="str">
        <f>HYPERLINK("http://www.uniprot.org/uniprot/M5X9K7","M5X9K7")</f>
        <v>M5X9K7</v>
      </c>
      <c r="D16670" s="2" t="s">
        <v>10861</v>
      </c>
      <c r="E16670" s="3">
        <v>0</v>
      </c>
      <c r="F16670" s="2">
        <v>1965</v>
      </c>
      <c r="G16670" s="2">
        <v>100</v>
      </c>
      <c r="H16670" s="2">
        <v>414</v>
      </c>
      <c r="I16670" s="2">
        <v>1</v>
      </c>
      <c r="J16670" s="2">
        <v>1242</v>
      </c>
      <c r="K16670" s="2">
        <v>337</v>
      </c>
      <c r="L16670" s="2">
        <v>750</v>
      </c>
    </row>
    <row r="16671" spans="1:12" x14ac:dyDescent="0.25">
      <c r="A16671" s="4" t="str">
        <f>HYPERLINK("http://www.rosaceae.org/Prunus/Prunus_persica/p.persica_gdr_reftransV1_0005930","p.persica_gdr_reftransV1_0005930")</f>
        <v>p.persica_gdr_reftransV1_0005930</v>
      </c>
      <c r="B16671" s="2">
        <v>1173</v>
      </c>
      <c r="C16671" s="4" t="str">
        <f>HYPERLINK("http://www.uniprot.org/uniprot/M5VQ38","M5VQ38")</f>
        <v>M5VQ38</v>
      </c>
      <c r="D16671" s="2" t="s">
        <v>13190</v>
      </c>
      <c r="E16671" s="3">
        <v>0</v>
      </c>
      <c r="F16671" s="2">
        <v>1648</v>
      </c>
      <c r="G16671" s="2">
        <v>100</v>
      </c>
      <c r="H16671" s="2">
        <v>332</v>
      </c>
      <c r="I16671" s="2">
        <v>150</v>
      </c>
      <c r="J16671" s="2">
        <v>1145</v>
      </c>
      <c r="K16671" s="2">
        <v>1</v>
      </c>
      <c r="L16671" s="2">
        <v>332</v>
      </c>
    </row>
    <row r="16672" spans="1:12" x14ac:dyDescent="0.25">
      <c r="A16672" s="4" t="str">
        <f>HYPERLINK("http://www.rosaceae.org/Prunus/Prunus_persica/p.persica_gdr_reftransV1_0006280","p.persica_gdr_reftransV1_0006280")</f>
        <v>p.persica_gdr_reftransV1_0006280</v>
      </c>
      <c r="B16672" s="2">
        <v>336</v>
      </c>
      <c r="C16672" s="4" t="str">
        <f>HYPERLINK("http://www.uniprot.org/uniprot/M5XMI5","M5XMI5")</f>
        <v>M5XMI5</v>
      </c>
      <c r="D16672" s="2" t="s">
        <v>12581</v>
      </c>
      <c r="E16672" s="3">
        <v>1.04E-24</v>
      </c>
      <c r="F16672" s="2">
        <v>254</v>
      </c>
      <c r="G16672" s="2">
        <v>81</v>
      </c>
      <c r="H16672" s="2">
        <v>59</v>
      </c>
      <c r="I16672" s="2">
        <v>2</v>
      </c>
      <c r="J16672" s="2">
        <v>178</v>
      </c>
      <c r="K16672" s="2">
        <v>79</v>
      </c>
      <c r="L16672" s="2">
        <v>137</v>
      </c>
    </row>
    <row r="16673" spans="1:12" x14ac:dyDescent="0.25">
      <c r="A16673" s="4" t="str">
        <f>HYPERLINK("http://www.rosaceae.org/Prunus/Prunus_persica/p.persica_gdr_reftransV1_0006630","p.persica_gdr_reftransV1_0006630")</f>
        <v>p.persica_gdr_reftransV1_0006630</v>
      </c>
      <c r="B16673" s="2">
        <v>2280</v>
      </c>
      <c r="C16673" s="4" t="str">
        <f>HYPERLINK("http://www.uniprot.org/uniprot/M5XVN4","M5XVN4")</f>
        <v>M5XVN4</v>
      </c>
      <c r="D16673" s="2" t="s">
        <v>9414</v>
      </c>
      <c r="E16673" s="3">
        <v>0</v>
      </c>
      <c r="F16673" s="2">
        <v>3254</v>
      </c>
      <c r="G16673" s="2">
        <v>92</v>
      </c>
      <c r="H16673" s="2">
        <v>673</v>
      </c>
      <c r="I16673" s="2">
        <v>214</v>
      </c>
      <c r="J16673" s="2">
        <v>2232</v>
      </c>
      <c r="K16673" s="2">
        <v>1</v>
      </c>
      <c r="L16673" s="2">
        <v>620</v>
      </c>
    </row>
    <row r="16674" spans="1:12" x14ac:dyDescent="0.25">
      <c r="A16674" s="4" t="str">
        <f>HYPERLINK("http://www.rosaceae.org/Prunus/Prunus_persica/p.persica_gdr_reftransV1_0007330","p.persica_gdr_reftransV1_0007330")</f>
        <v>p.persica_gdr_reftransV1_0007330</v>
      </c>
      <c r="B16674" s="2">
        <v>570</v>
      </c>
      <c r="C16674" s="4" t="str">
        <f>HYPERLINK("http://www.uniprot.org/uniprot/M5XPU4","M5XPU4")</f>
        <v>M5XPU4</v>
      </c>
      <c r="D16674" s="2" t="s">
        <v>13191</v>
      </c>
      <c r="E16674" s="3">
        <v>1.43E-97</v>
      </c>
      <c r="F16674" s="2">
        <v>754</v>
      </c>
      <c r="G16674" s="2">
        <v>100</v>
      </c>
      <c r="H16674" s="2">
        <v>147</v>
      </c>
      <c r="I16674" s="2">
        <v>1</v>
      </c>
      <c r="J16674" s="2">
        <v>441</v>
      </c>
      <c r="K16674" s="2">
        <v>106</v>
      </c>
      <c r="L16674" s="2">
        <v>252</v>
      </c>
    </row>
    <row r="16675" spans="1:12" x14ac:dyDescent="0.25">
      <c r="A16675" s="4" t="str">
        <f>HYPERLINK("http://www.rosaceae.org/Prunus/Prunus_persica/p.persica_gdr_reftransV1_0007680","p.persica_gdr_reftransV1_0007680")</f>
        <v>p.persica_gdr_reftransV1_0007680</v>
      </c>
      <c r="B16675" s="2">
        <v>603</v>
      </c>
      <c r="C16675" s="4" t="str">
        <f>HYPERLINK("http://www.uniprot.org/uniprot/M5XN60","M5XN60")</f>
        <v>M5XN60</v>
      </c>
      <c r="D16675" s="2" t="s">
        <v>520</v>
      </c>
      <c r="E16675" s="3">
        <v>2.3600000000000001E-101</v>
      </c>
      <c r="F16675" s="2">
        <v>786</v>
      </c>
      <c r="G16675" s="2">
        <v>100</v>
      </c>
      <c r="H16675" s="2">
        <v>146</v>
      </c>
      <c r="I16675" s="2">
        <v>165</v>
      </c>
      <c r="J16675" s="2">
        <v>602</v>
      </c>
      <c r="K16675" s="2">
        <v>169</v>
      </c>
      <c r="L16675" s="2">
        <v>314</v>
      </c>
    </row>
    <row r="16676" spans="1:12" x14ac:dyDescent="0.25">
      <c r="A16676" s="4" t="str">
        <f>HYPERLINK("http://www.rosaceae.org/Prunus/Prunus_persica/p.persica_gdr_reftransV1_0008380","p.persica_gdr_reftransV1_0008380")</f>
        <v>p.persica_gdr_reftransV1_0008380</v>
      </c>
      <c r="B16676" s="2">
        <v>4387</v>
      </c>
      <c r="C16676" s="4" t="str">
        <f>HYPERLINK("http://www.uniprot.org/uniprot/A0A0D2RN42","A0A0D2RN42")</f>
        <v>A0A0D2RN42</v>
      </c>
      <c r="D16676" s="2" t="s">
        <v>13192</v>
      </c>
      <c r="E16676" s="3">
        <v>0</v>
      </c>
      <c r="F16676" s="2">
        <v>2371</v>
      </c>
      <c r="G16676" s="2">
        <v>86</v>
      </c>
      <c r="H16676" s="2">
        <v>552</v>
      </c>
      <c r="I16676" s="2">
        <v>2470</v>
      </c>
      <c r="J16676" s="2">
        <v>4125</v>
      </c>
      <c r="K16676" s="2">
        <v>6</v>
      </c>
      <c r="L16676" s="2">
        <v>557</v>
      </c>
    </row>
    <row r="16677" spans="1:12" x14ac:dyDescent="0.25">
      <c r="A16677" s="4" t="str">
        <f>HYPERLINK("http://www.rosaceae.org/Prunus/Prunus_persica/p.persica_gdr_reftransV1_0009430","p.persica_gdr_reftransV1_0009430")</f>
        <v>p.persica_gdr_reftransV1_0009430</v>
      </c>
      <c r="B16677" s="2">
        <v>1986</v>
      </c>
      <c r="C16677" s="4" t="str">
        <f>HYPERLINK("http://www.uniprot.org/uniprot/M5VQD8","M5VQD8")</f>
        <v>M5VQD8</v>
      </c>
      <c r="D16677" s="2" t="s">
        <v>13193</v>
      </c>
      <c r="E16677" s="3">
        <v>0</v>
      </c>
      <c r="F16677" s="2">
        <v>1820</v>
      </c>
      <c r="G16677" s="2">
        <v>100</v>
      </c>
      <c r="H16677" s="2">
        <v>350</v>
      </c>
      <c r="I16677" s="2">
        <v>425</v>
      </c>
      <c r="J16677" s="2">
        <v>1474</v>
      </c>
      <c r="K16677" s="2">
        <v>1</v>
      </c>
      <c r="L16677" s="2">
        <v>350</v>
      </c>
    </row>
    <row r="16678" spans="1:12" x14ac:dyDescent="0.25">
      <c r="A16678" s="4" t="str">
        <f>HYPERLINK("http://www.rosaceae.org/Prunus/Prunus_persica/p.persica_gdr_reftransV1_0010480","p.persica_gdr_reftransV1_0010480")</f>
        <v>p.persica_gdr_reftransV1_0010480</v>
      </c>
      <c r="B16678" s="2">
        <v>932</v>
      </c>
      <c r="C16678" s="4" t="str">
        <f>HYPERLINK("http://www.uniprot.org/uniprot/M5WCM4","M5WCM4")</f>
        <v>M5WCM4</v>
      </c>
      <c r="D16678" s="2" t="s">
        <v>13194</v>
      </c>
      <c r="E16678" s="3">
        <v>3.9800000000000001E-53</v>
      </c>
      <c r="F16678" s="2">
        <v>498</v>
      </c>
      <c r="G16678" s="2">
        <v>100</v>
      </c>
      <c r="H16678" s="2">
        <v>97</v>
      </c>
      <c r="I16678" s="2">
        <v>641</v>
      </c>
      <c r="J16678" s="2">
        <v>931</v>
      </c>
      <c r="K16678" s="2">
        <v>26</v>
      </c>
      <c r="L16678" s="2">
        <v>122</v>
      </c>
    </row>
    <row r="16679" spans="1:12" x14ac:dyDescent="0.25">
      <c r="A16679" s="4" t="str">
        <f>HYPERLINK("http://www.rosaceae.org/Prunus/Prunus_persica/p.persica_gdr_reftransV1_0011880","p.persica_gdr_reftransV1_0011880")</f>
        <v>p.persica_gdr_reftransV1_0011880</v>
      </c>
      <c r="B16679" s="2">
        <v>1957</v>
      </c>
      <c r="C16679" s="4" t="str">
        <f>HYPERLINK("http://www.uniprot.org/uniprot/M5XDQ3","M5XDQ3")</f>
        <v>M5XDQ3</v>
      </c>
      <c r="D16679" s="2" t="s">
        <v>13195</v>
      </c>
      <c r="E16679" s="3">
        <v>0</v>
      </c>
      <c r="F16679" s="2">
        <v>2780</v>
      </c>
      <c r="G16679" s="2">
        <v>100</v>
      </c>
      <c r="H16679" s="2">
        <v>535</v>
      </c>
      <c r="I16679" s="2">
        <v>228</v>
      </c>
      <c r="J16679" s="2">
        <v>1832</v>
      </c>
      <c r="K16679" s="2">
        <v>1</v>
      </c>
      <c r="L16679" s="2">
        <v>535</v>
      </c>
    </row>
    <row r="16680" spans="1:12" x14ac:dyDescent="0.25">
      <c r="A16680" s="4" t="str">
        <f>HYPERLINK("http://www.rosaceae.org/Prunus/Prunus_persica/p.persica_gdr_reftransV1_0012230","p.persica_gdr_reftransV1_0012230")</f>
        <v>p.persica_gdr_reftransV1_0012230</v>
      </c>
      <c r="B16680" s="2">
        <v>3188</v>
      </c>
      <c r="C16680" s="4" t="str">
        <f>HYPERLINK("http://www.uniprot.org/uniprot/M5X9V9","M5X9V9")</f>
        <v>M5X9V9</v>
      </c>
      <c r="D16680" s="2" t="s">
        <v>13196</v>
      </c>
      <c r="E16680" s="3">
        <v>0</v>
      </c>
      <c r="F16680" s="2">
        <v>3396</v>
      </c>
      <c r="G16680" s="2">
        <v>100</v>
      </c>
      <c r="H16680" s="2">
        <v>761</v>
      </c>
      <c r="I16680" s="2">
        <v>425</v>
      </c>
      <c r="J16680" s="2">
        <v>2707</v>
      </c>
      <c r="K16680" s="2">
        <v>12</v>
      </c>
      <c r="L16680" s="2">
        <v>772</v>
      </c>
    </row>
    <row r="16681" spans="1:12" x14ac:dyDescent="0.25">
      <c r="A16681" s="4" t="str">
        <f>HYPERLINK("http://www.rosaceae.org/Prunus/Prunus_persica/p.persica_gdr_reftransV1_0013280","p.persica_gdr_reftransV1_0013280")</f>
        <v>p.persica_gdr_reftransV1_0013280</v>
      </c>
      <c r="B16681" s="2">
        <v>2829</v>
      </c>
      <c r="C16681" s="4" t="str">
        <f>HYPERLINK("http://www.uniprot.org/uniprot/M5WTX8","M5WTX8")</f>
        <v>M5WTX8</v>
      </c>
      <c r="D16681" s="2" t="s">
        <v>1327</v>
      </c>
      <c r="E16681" s="3">
        <v>0</v>
      </c>
      <c r="F16681" s="2">
        <v>1908</v>
      </c>
      <c r="G16681" s="2">
        <v>100</v>
      </c>
      <c r="H16681" s="2">
        <v>385</v>
      </c>
      <c r="I16681" s="2">
        <v>3</v>
      </c>
      <c r="J16681" s="2">
        <v>1157</v>
      </c>
      <c r="K16681" s="2">
        <v>15</v>
      </c>
      <c r="L16681" s="2">
        <v>399</v>
      </c>
    </row>
    <row r="16682" spans="1:12" x14ac:dyDescent="0.25">
      <c r="A16682" s="4" t="str">
        <f>HYPERLINK("http://www.rosaceae.org/Prunus/Prunus_persica/p.persica_gdr_reftransV1_0014330","p.persica_gdr_reftransV1_0014330")</f>
        <v>p.persica_gdr_reftransV1_0014330</v>
      </c>
      <c r="B16682" s="2">
        <v>1401</v>
      </c>
      <c r="C16682" s="4" t="str">
        <f>HYPERLINK("http://www.uniprot.org/uniprot/M5WBD1","M5WBD1")</f>
        <v>M5WBD1</v>
      </c>
      <c r="D16682" s="2" t="s">
        <v>13197</v>
      </c>
      <c r="E16682" s="3">
        <v>6.1599999999999999E-179</v>
      </c>
      <c r="F16682" s="2">
        <v>1325</v>
      </c>
      <c r="G16682" s="2">
        <v>100</v>
      </c>
      <c r="H16682" s="2">
        <v>293</v>
      </c>
      <c r="I16682" s="2">
        <v>339</v>
      </c>
      <c r="J16682" s="2">
        <v>1217</v>
      </c>
      <c r="K16682" s="2">
        <v>1</v>
      </c>
      <c r="L16682" s="2">
        <v>293</v>
      </c>
    </row>
    <row r="16683" spans="1:12" x14ac:dyDescent="0.25">
      <c r="A16683" s="4" t="str">
        <f>HYPERLINK("http://www.rosaceae.org/Prunus/Prunus_persica/p.persica_gdr_reftransV1_0014680","p.persica_gdr_reftransV1_0014680")</f>
        <v>p.persica_gdr_reftransV1_0014680</v>
      </c>
      <c r="B16683" s="2">
        <v>2585</v>
      </c>
      <c r="C16683" s="4" t="str">
        <f>HYPERLINK("http://www.uniprot.org/uniprot/M5WT64","M5WT64")</f>
        <v>M5WT64</v>
      </c>
      <c r="D16683" s="2" t="s">
        <v>13198</v>
      </c>
      <c r="E16683" s="3">
        <v>0</v>
      </c>
      <c r="F16683" s="2">
        <v>2750</v>
      </c>
      <c r="G16683" s="2">
        <v>100</v>
      </c>
      <c r="H16683" s="2">
        <v>524</v>
      </c>
      <c r="I16683" s="2">
        <v>771</v>
      </c>
      <c r="J16683" s="2">
        <v>2342</v>
      </c>
      <c r="K16683" s="2">
        <v>1</v>
      </c>
      <c r="L16683" s="2">
        <v>524</v>
      </c>
    </row>
    <row r="16684" spans="1:12" x14ac:dyDescent="0.25">
      <c r="A16684" s="4" t="str">
        <f>HYPERLINK("http://www.rosaceae.org/Prunus/Prunus_persica/p.persica_gdr_reftransV1_0015030","p.persica_gdr_reftransV1_0015030")</f>
        <v>p.persica_gdr_reftransV1_0015030</v>
      </c>
      <c r="B16684" s="2">
        <v>1128</v>
      </c>
      <c r="C16684" s="4" t="str">
        <f>HYPERLINK("http://www.uniprot.org/uniprot/M5WFJ9","M5WFJ9")</f>
        <v>M5WFJ9</v>
      </c>
      <c r="D16684" s="2" t="s">
        <v>13199</v>
      </c>
      <c r="E16684" s="3">
        <v>0</v>
      </c>
      <c r="F16684" s="2">
        <v>2016</v>
      </c>
      <c r="G16684" s="2">
        <v>100</v>
      </c>
      <c r="H16684" s="2">
        <v>375</v>
      </c>
      <c r="I16684" s="2">
        <v>2</v>
      </c>
      <c r="J16684" s="2">
        <v>1126</v>
      </c>
      <c r="K16684" s="2">
        <v>210</v>
      </c>
      <c r="L16684" s="2">
        <v>584</v>
      </c>
    </row>
    <row r="16685" spans="1:12" x14ac:dyDescent="0.25">
      <c r="A16685" s="4" t="str">
        <f>HYPERLINK("http://www.rosaceae.org/Prunus/Prunus_persica/p.persica_gdr_reftransV1_0015380","p.persica_gdr_reftransV1_0015380")</f>
        <v>p.persica_gdr_reftransV1_0015380</v>
      </c>
      <c r="B16685" s="2">
        <v>968</v>
      </c>
      <c r="C16685" s="4" t="str">
        <f>HYPERLINK("http://www.uniprot.org/uniprot/M5W5M9","M5W5M9")</f>
        <v>M5W5M9</v>
      </c>
      <c r="D16685" s="2" t="s">
        <v>13200</v>
      </c>
      <c r="E16685" s="3">
        <v>0</v>
      </c>
      <c r="F16685" s="2">
        <v>1505</v>
      </c>
      <c r="G16685" s="2">
        <v>100</v>
      </c>
      <c r="H16685" s="2">
        <v>322</v>
      </c>
      <c r="I16685" s="2">
        <v>3</v>
      </c>
      <c r="J16685" s="2">
        <v>968</v>
      </c>
      <c r="K16685" s="2">
        <v>931</v>
      </c>
      <c r="L16685" s="2">
        <v>1252</v>
      </c>
    </row>
    <row r="16686" spans="1:12" x14ac:dyDescent="0.25">
      <c r="A16686" s="4" t="str">
        <f>HYPERLINK("http://www.rosaceae.org/Prunus/Prunus_persica/p.persica_gdr_reftransV1_0016780","p.persica_gdr_reftransV1_0016780")</f>
        <v>p.persica_gdr_reftransV1_0016780</v>
      </c>
      <c r="B16686" s="2">
        <v>3369</v>
      </c>
      <c r="C16686" s="4" t="str">
        <f>HYPERLINK("http://www.uniprot.org/uniprot/A0A067HCE1","A0A067HCE1")</f>
        <v>A0A067HCE1</v>
      </c>
      <c r="D16686" s="2" t="s">
        <v>13201</v>
      </c>
      <c r="E16686" s="3">
        <v>2.7399999999999998E-94</v>
      </c>
      <c r="F16686" s="2">
        <v>800</v>
      </c>
      <c r="G16686" s="2">
        <v>95</v>
      </c>
      <c r="H16686" s="2">
        <v>151</v>
      </c>
      <c r="I16686" s="2">
        <v>1620</v>
      </c>
      <c r="J16686" s="2">
        <v>2072</v>
      </c>
      <c r="K16686" s="2">
        <v>102</v>
      </c>
      <c r="L16686" s="2">
        <v>252</v>
      </c>
    </row>
    <row r="16687" spans="1:12" x14ac:dyDescent="0.25">
      <c r="A16687" s="4" t="str">
        <f>HYPERLINK("http://www.rosaceae.org/Prunus/Prunus_persica/p.persica_gdr_reftransV1_0017480","p.persica_gdr_reftransV1_0017480")</f>
        <v>p.persica_gdr_reftransV1_0017480</v>
      </c>
      <c r="B16687" s="2">
        <v>2489</v>
      </c>
      <c r="C16687" s="4" t="str">
        <f>HYPERLINK("http://www.uniprot.org/uniprot/M5XFA2","M5XFA2")</f>
        <v>M5XFA2</v>
      </c>
      <c r="D16687" s="2" t="s">
        <v>13202</v>
      </c>
      <c r="E16687" s="3">
        <v>0</v>
      </c>
      <c r="F16687" s="2">
        <v>2740</v>
      </c>
      <c r="G16687" s="2">
        <v>97</v>
      </c>
      <c r="H16687" s="2">
        <v>545</v>
      </c>
      <c r="I16687" s="2">
        <v>409</v>
      </c>
      <c r="J16687" s="2">
        <v>2043</v>
      </c>
      <c r="K16687" s="2">
        <v>1</v>
      </c>
      <c r="L16687" s="2">
        <v>530</v>
      </c>
    </row>
    <row r="16688" spans="1:12" x14ac:dyDescent="0.25">
      <c r="A16688" s="4" t="str">
        <f>HYPERLINK("http://www.rosaceae.org/Prunus/Prunus_persica/p.persica_gdr_reftransV1_0019580","p.persica_gdr_reftransV1_0019580")</f>
        <v>p.persica_gdr_reftransV1_0019580</v>
      </c>
      <c r="B16688" s="2">
        <v>2064</v>
      </c>
      <c r="C16688" s="4" t="str">
        <f>HYPERLINK("http://www.uniprot.org/uniprot/M5XD29","M5XD29")</f>
        <v>M5XD29</v>
      </c>
      <c r="D16688" s="2" t="s">
        <v>13203</v>
      </c>
      <c r="E16688" s="3">
        <v>0</v>
      </c>
      <c r="F16688" s="2">
        <v>2670</v>
      </c>
      <c r="G16688" s="2">
        <v>100</v>
      </c>
      <c r="H16688" s="2">
        <v>521</v>
      </c>
      <c r="I16688" s="2">
        <v>177</v>
      </c>
      <c r="J16688" s="2">
        <v>1739</v>
      </c>
      <c r="K16688" s="2">
        <v>1</v>
      </c>
      <c r="L16688" s="2">
        <v>521</v>
      </c>
    </row>
    <row r="16689" spans="1:12" x14ac:dyDescent="0.25">
      <c r="A16689" s="4" t="str">
        <f>HYPERLINK("http://www.rosaceae.org/Prunus/Prunus_persica/p.persica_gdr_reftransV1_0020280","p.persica_gdr_reftransV1_0020280")</f>
        <v>p.persica_gdr_reftransV1_0020280</v>
      </c>
      <c r="B16689" s="2">
        <v>3098</v>
      </c>
      <c r="C16689" s="4" t="str">
        <f>HYPERLINK("http://www.uniprot.org/uniprot/M5XS05","M5XS05")</f>
        <v>M5XS05</v>
      </c>
      <c r="D16689" s="2" t="s">
        <v>13204</v>
      </c>
      <c r="E16689" s="3">
        <v>0</v>
      </c>
      <c r="F16689" s="2">
        <v>3767</v>
      </c>
      <c r="G16689" s="2">
        <v>95</v>
      </c>
      <c r="H16689" s="2">
        <v>877</v>
      </c>
      <c r="I16689" s="2">
        <v>49</v>
      </c>
      <c r="J16689" s="2">
        <v>2679</v>
      </c>
      <c r="K16689" s="2">
        <v>1</v>
      </c>
      <c r="L16689" s="2">
        <v>837</v>
      </c>
    </row>
    <row r="16690" spans="1:12" x14ac:dyDescent="0.25">
      <c r="A16690" s="4" t="str">
        <f>HYPERLINK("http://www.rosaceae.org/Prunus/Prunus_persica/p.persica_gdr_reftransV1_0021330","p.persica_gdr_reftransV1_0021330")</f>
        <v>p.persica_gdr_reftransV1_0021330</v>
      </c>
      <c r="B16690" s="2">
        <v>2134</v>
      </c>
      <c r="C16690" s="4" t="str">
        <f>HYPERLINK("http://www.uniprot.org/uniprot/M5VVJ9","M5VVJ9")</f>
        <v>M5VVJ9</v>
      </c>
      <c r="D16690" s="2" t="s">
        <v>13205</v>
      </c>
      <c r="E16690" s="3">
        <v>0</v>
      </c>
      <c r="F16690" s="2">
        <v>2834</v>
      </c>
      <c r="G16690" s="2">
        <v>100</v>
      </c>
      <c r="H16690" s="2">
        <v>566</v>
      </c>
      <c r="I16690" s="2">
        <v>294</v>
      </c>
      <c r="J16690" s="2">
        <v>1991</v>
      </c>
      <c r="K16690" s="2">
        <v>1</v>
      </c>
      <c r="L16690" s="2">
        <v>564</v>
      </c>
    </row>
    <row r="16691" spans="1:12" x14ac:dyDescent="0.25">
      <c r="A16691" s="4" t="str">
        <f>HYPERLINK("http://www.rosaceae.org/Prunus/Prunus_persica/p.persica_gdr_reftransV1_0022380","p.persica_gdr_reftransV1_0022380")</f>
        <v>p.persica_gdr_reftransV1_0022380</v>
      </c>
      <c r="B16691" s="2">
        <v>2174</v>
      </c>
      <c r="C16691" s="4" t="str">
        <f>HYPERLINK("http://www.uniprot.org/uniprot/M5X2T8","M5X2T8")</f>
        <v>M5X2T8</v>
      </c>
      <c r="D16691" s="2" t="s">
        <v>13206</v>
      </c>
      <c r="E16691" s="3">
        <v>0</v>
      </c>
      <c r="F16691" s="2">
        <v>1444</v>
      </c>
      <c r="G16691" s="2">
        <v>100</v>
      </c>
      <c r="H16691" s="2">
        <v>325</v>
      </c>
      <c r="I16691" s="2">
        <v>967</v>
      </c>
      <c r="J16691" s="2">
        <v>1941</v>
      </c>
      <c r="K16691" s="2">
        <v>173</v>
      </c>
      <c r="L16691" s="2">
        <v>497</v>
      </c>
    </row>
    <row r="16692" spans="1:12" x14ac:dyDescent="0.25">
      <c r="A16692" s="4" t="str">
        <f>HYPERLINK("http://www.rosaceae.org/Prunus/Prunus_persica/p.persica_gdr_reftransV1_0022730","p.persica_gdr_reftransV1_0022730")</f>
        <v>p.persica_gdr_reftransV1_0022730</v>
      </c>
      <c r="B16692" s="2">
        <v>3833</v>
      </c>
      <c r="C16692" s="4" t="str">
        <f>HYPERLINK("http://www.uniprot.org/uniprot/J7MFY1","J7MFY1")</f>
        <v>J7MFY1</v>
      </c>
      <c r="D16692" s="2" t="s">
        <v>2954</v>
      </c>
      <c r="E16692" s="3">
        <v>0</v>
      </c>
      <c r="F16692" s="2">
        <v>3154</v>
      </c>
      <c r="G16692" s="2">
        <v>97</v>
      </c>
      <c r="H16692" s="2">
        <v>655</v>
      </c>
      <c r="I16692" s="2">
        <v>703</v>
      </c>
      <c r="J16692" s="2">
        <v>2667</v>
      </c>
      <c r="K16692" s="2">
        <v>1</v>
      </c>
      <c r="L16692" s="2">
        <v>655</v>
      </c>
    </row>
    <row r="16693" spans="1:12" x14ac:dyDescent="0.25">
      <c r="A16693" s="4" t="str">
        <f>HYPERLINK("http://www.rosaceae.org/Prunus/Prunus_persica/p.persica_gdr_reftransV1_0024480","p.persica_gdr_reftransV1_0024480")</f>
        <v>p.persica_gdr_reftransV1_0024480</v>
      </c>
      <c r="B16693" s="2">
        <v>1332</v>
      </c>
      <c r="C16693" s="4" t="str">
        <f>HYPERLINK("http://www.uniprot.org/uniprot/M5VR31","M5VR31")</f>
        <v>M5VR31</v>
      </c>
      <c r="D16693" s="2" t="s">
        <v>839</v>
      </c>
      <c r="E16693" s="3">
        <v>2.12E-119</v>
      </c>
      <c r="F16693" s="2">
        <v>922</v>
      </c>
      <c r="G16693" s="2">
        <v>100</v>
      </c>
      <c r="H16693" s="2">
        <v>176</v>
      </c>
      <c r="I16693" s="2">
        <v>298</v>
      </c>
      <c r="J16693" s="2">
        <v>825</v>
      </c>
      <c r="K16693" s="2">
        <v>43</v>
      </c>
      <c r="L16693" s="2">
        <v>218</v>
      </c>
    </row>
    <row r="16694" spans="1:12" x14ac:dyDescent="0.25">
      <c r="A16694" s="4" t="str">
        <f>HYPERLINK("http://www.rosaceae.org/Prunus/Prunus_persica/p.persica_gdr_reftransV1_0027630","p.persica_gdr_reftransV1_0027630")</f>
        <v>p.persica_gdr_reftransV1_0027630</v>
      </c>
      <c r="B16694" s="2">
        <v>1225</v>
      </c>
      <c r="C16694" s="4" t="str">
        <f>HYPERLINK("http://www.uniprot.org/uniprot/M5X1F5","M5X1F5")</f>
        <v>M5X1F5</v>
      </c>
      <c r="D16694" s="2" t="s">
        <v>13207</v>
      </c>
      <c r="E16694" s="3">
        <v>7.1599999999999998E-76</v>
      </c>
      <c r="F16694" s="2">
        <v>622</v>
      </c>
      <c r="G16694" s="2">
        <v>96</v>
      </c>
      <c r="H16694" s="2">
        <v>144</v>
      </c>
      <c r="I16694" s="2">
        <v>156</v>
      </c>
      <c r="J16694" s="2">
        <v>587</v>
      </c>
      <c r="K16694" s="2">
        <v>11</v>
      </c>
      <c r="L16694" s="2">
        <v>152</v>
      </c>
    </row>
    <row r="16695" spans="1:12" x14ac:dyDescent="0.25">
      <c r="A16695" s="4" t="str">
        <f>HYPERLINK("http://www.rosaceae.org/Prunus/Prunus_persica/p.persica_gdr_reftransV1_0028330","p.persica_gdr_reftransV1_0028330")</f>
        <v>p.persica_gdr_reftransV1_0028330</v>
      </c>
      <c r="B16695" s="2">
        <v>3771</v>
      </c>
      <c r="C16695" s="4" t="str">
        <f>HYPERLINK("http://www.uniprot.org/uniprot/M5WE85","M5WE85")</f>
        <v>M5WE85</v>
      </c>
      <c r="D16695" s="2" t="s">
        <v>1467</v>
      </c>
      <c r="E16695" s="3">
        <v>0</v>
      </c>
      <c r="F16695" s="2">
        <v>3971</v>
      </c>
      <c r="G16695" s="2">
        <v>100</v>
      </c>
      <c r="H16695" s="2">
        <v>772</v>
      </c>
      <c r="I16695" s="2">
        <v>3</v>
      </c>
      <c r="J16695" s="2">
        <v>2318</v>
      </c>
      <c r="K16695" s="2">
        <v>336</v>
      </c>
      <c r="L16695" s="2">
        <v>1107</v>
      </c>
    </row>
    <row r="16696" spans="1:12" x14ac:dyDescent="0.25">
      <c r="A16696" s="4" t="str">
        <f>HYPERLINK("http://www.rosaceae.org/Prunus/Prunus_persica/p.persica_gdr_reftransV1_0030780","p.persica_gdr_reftransV1_0030780")</f>
        <v>p.persica_gdr_reftransV1_0030780</v>
      </c>
      <c r="B16696" s="2">
        <v>2447</v>
      </c>
      <c r="C16696" s="4" t="str">
        <f>HYPERLINK("http://www.uniprot.org/uniprot/M5W975","M5W975")</f>
        <v>M5W975</v>
      </c>
      <c r="D16696" s="2" t="s">
        <v>13208</v>
      </c>
      <c r="E16696" s="3">
        <v>5.97E-126</v>
      </c>
      <c r="F16696" s="2">
        <v>1017</v>
      </c>
      <c r="G16696" s="2">
        <v>100</v>
      </c>
      <c r="H16696" s="2">
        <v>209</v>
      </c>
      <c r="I16696" s="2">
        <v>212</v>
      </c>
      <c r="J16696" s="2">
        <v>838</v>
      </c>
      <c r="K16696" s="2">
        <v>1</v>
      </c>
      <c r="L16696" s="2">
        <v>209</v>
      </c>
    </row>
    <row r="16697" spans="1:12" x14ac:dyDescent="0.25">
      <c r="A16697" s="4" t="str">
        <f>HYPERLINK("http://www.rosaceae.org/Prunus/Prunus_persica/p.persica_gdr_reftransV1_0031480","p.persica_gdr_reftransV1_0031480")</f>
        <v>p.persica_gdr_reftransV1_0031480</v>
      </c>
      <c r="B16697" s="2">
        <v>390</v>
      </c>
      <c r="C16697" s="4" t="str">
        <f>HYPERLINK("http://www.uniprot.org/uniprot/M5XIT8","M5XIT8")</f>
        <v>M5XIT8</v>
      </c>
      <c r="D16697" s="2" t="s">
        <v>8231</v>
      </c>
      <c r="E16697" s="3">
        <v>3.0099999999999998E-81</v>
      </c>
      <c r="F16697" s="2">
        <v>677</v>
      </c>
      <c r="G16697" s="2">
        <v>100</v>
      </c>
      <c r="H16697" s="2">
        <v>130</v>
      </c>
      <c r="I16697" s="2">
        <v>1</v>
      </c>
      <c r="J16697" s="2">
        <v>390</v>
      </c>
      <c r="K16697" s="2">
        <v>312</v>
      </c>
      <c r="L16697" s="2">
        <v>441</v>
      </c>
    </row>
    <row r="16698" spans="1:12" x14ac:dyDescent="0.25">
      <c r="A16698" s="4" t="str">
        <f>HYPERLINK("http://www.rosaceae.org/Prunus/Prunus_persica/p.persica_gdr_reftransV1_0032180","p.persica_gdr_reftransV1_0032180")</f>
        <v>p.persica_gdr_reftransV1_0032180</v>
      </c>
      <c r="B16698" s="2">
        <v>5269</v>
      </c>
      <c r="C16698" s="4" t="str">
        <f>HYPERLINK("http://www.uniprot.org/uniprot/M5VZH7","M5VZH7")</f>
        <v>M5VZH7</v>
      </c>
      <c r="D16698" s="2" t="s">
        <v>13209</v>
      </c>
      <c r="E16698" s="3">
        <v>2.53E-162</v>
      </c>
      <c r="F16698" s="2">
        <v>935</v>
      </c>
      <c r="G16698" s="2">
        <v>100</v>
      </c>
      <c r="H16698" s="2">
        <v>171</v>
      </c>
      <c r="I16698" s="2">
        <v>2167</v>
      </c>
      <c r="J16698" s="2">
        <v>2679</v>
      </c>
      <c r="K16698" s="2">
        <v>1</v>
      </c>
      <c r="L16698" s="2">
        <v>171</v>
      </c>
    </row>
    <row r="16699" spans="1:12" x14ac:dyDescent="0.25">
      <c r="A16699" s="4" t="str">
        <f>HYPERLINK("http://www.rosaceae.org/Prunus/Prunus_persica/p.persica_gdr_reftransV1_0033930","p.persica_gdr_reftransV1_0033930")</f>
        <v>p.persica_gdr_reftransV1_0033930</v>
      </c>
      <c r="B16699" s="2">
        <v>4074</v>
      </c>
      <c r="C16699" s="4" t="str">
        <f>HYPERLINK("http://www.uniprot.org/uniprot/M5X0E1","M5X0E1")</f>
        <v>M5X0E1</v>
      </c>
      <c r="D16699" s="2" t="s">
        <v>13210</v>
      </c>
      <c r="E16699" s="3">
        <v>0</v>
      </c>
      <c r="F16699" s="2">
        <v>1843</v>
      </c>
      <c r="G16699" s="2">
        <v>99</v>
      </c>
      <c r="H16699" s="2">
        <v>389</v>
      </c>
      <c r="I16699" s="2">
        <v>93</v>
      </c>
      <c r="J16699" s="2">
        <v>1256</v>
      </c>
      <c r="K16699" s="2">
        <v>1</v>
      </c>
      <c r="L16699" s="2">
        <v>389</v>
      </c>
    </row>
    <row r="16700" spans="1:12" x14ac:dyDescent="0.25">
      <c r="A16700" s="4" t="str">
        <f>HYPERLINK("http://www.rosaceae.org/Prunus/Prunus_persica/p.persica_gdr_reftransV1_0034630","p.persica_gdr_reftransV1_0034630")</f>
        <v>p.persica_gdr_reftransV1_0034630</v>
      </c>
      <c r="B16700" s="2">
        <v>1319</v>
      </c>
      <c r="C16700" s="4" t="str">
        <f>HYPERLINK("http://www.uniprot.org/uniprot/A0A0A0L2Y1","A0A0A0L2Y1")</f>
        <v>A0A0A0L2Y1</v>
      </c>
      <c r="D16700" s="2" t="s">
        <v>13211</v>
      </c>
      <c r="E16700" s="3">
        <v>1.32E-86</v>
      </c>
      <c r="F16700" s="2">
        <v>466</v>
      </c>
      <c r="G16700" s="2">
        <v>86</v>
      </c>
      <c r="H16700" s="2">
        <v>98</v>
      </c>
      <c r="I16700" s="2">
        <v>721</v>
      </c>
      <c r="J16700" s="2">
        <v>1014</v>
      </c>
      <c r="K16700" s="2">
        <v>229</v>
      </c>
      <c r="L16700" s="2">
        <v>326</v>
      </c>
    </row>
    <row r="16701" spans="1:12" x14ac:dyDescent="0.25">
      <c r="A16701" s="4" t="str">
        <f>HYPERLINK("http://www.rosaceae.org/Prunus/Prunus_persica/p.persica_gdr_reftransV1_0034980","p.persica_gdr_reftransV1_0034980")</f>
        <v>p.persica_gdr_reftransV1_0034980</v>
      </c>
      <c r="B16701" s="2">
        <v>2165</v>
      </c>
      <c r="C16701" s="4" t="str">
        <f>HYPERLINK("http://www.uniprot.org/uniprot/M5WBR0","M5WBR0")</f>
        <v>M5WBR0</v>
      </c>
      <c r="D16701" s="2" t="s">
        <v>13212</v>
      </c>
      <c r="E16701" s="3">
        <v>0</v>
      </c>
      <c r="F16701" s="2">
        <v>1997</v>
      </c>
      <c r="G16701" s="2">
        <v>100</v>
      </c>
      <c r="H16701" s="2">
        <v>446</v>
      </c>
      <c r="I16701" s="2">
        <v>583</v>
      </c>
      <c r="J16701" s="2">
        <v>1920</v>
      </c>
      <c r="K16701" s="2">
        <v>39</v>
      </c>
      <c r="L16701" s="2">
        <v>484</v>
      </c>
    </row>
    <row r="16702" spans="1:12" x14ac:dyDescent="0.25">
      <c r="A16702" s="4" t="str">
        <f>HYPERLINK("http://www.rosaceae.org/Prunus/Prunus_persica/p.persica_gdr_reftransV1_0037080","p.persica_gdr_reftransV1_0037080")</f>
        <v>p.persica_gdr_reftransV1_0037080</v>
      </c>
      <c r="B16702" s="2">
        <v>1918</v>
      </c>
      <c r="C16702" s="4" t="str">
        <f>HYPERLINK("http://www.uniprot.org/uniprot/M5XCC1","M5XCC1")</f>
        <v>M5XCC1</v>
      </c>
      <c r="D16702" s="2" t="s">
        <v>9409</v>
      </c>
      <c r="E16702" s="3">
        <v>1.26E-161</v>
      </c>
      <c r="F16702" s="2">
        <v>1232</v>
      </c>
      <c r="G16702" s="2">
        <v>100</v>
      </c>
      <c r="H16702" s="2">
        <v>230</v>
      </c>
      <c r="I16702" s="2">
        <v>1227</v>
      </c>
      <c r="J16702" s="2">
        <v>1916</v>
      </c>
      <c r="K16702" s="2">
        <v>104</v>
      </c>
      <c r="L16702" s="2">
        <v>333</v>
      </c>
    </row>
    <row r="16703" spans="1:12" x14ac:dyDescent="0.25">
      <c r="A16703" s="4" t="str">
        <f>HYPERLINK("http://www.rosaceae.org/Prunus/Prunus_persica/p.persica_gdr_reftransV1_0037430","p.persica_gdr_reftransV1_0037430")</f>
        <v>p.persica_gdr_reftransV1_0037430</v>
      </c>
      <c r="B16703" s="2">
        <v>1072</v>
      </c>
      <c r="C16703" s="4" t="str">
        <f>HYPERLINK("http://www.uniprot.org/uniprot/M5WAY2","M5WAY2")</f>
        <v>M5WAY2</v>
      </c>
      <c r="D16703" s="2" t="s">
        <v>2118</v>
      </c>
      <c r="E16703" s="3">
        <v>4.7199999999999997E-73</v>
      </c>
      <c r="F16703" s="2">
        <v>601</v>
      </c>
      <c r="G16703" s="2">
        <v>100</v>
      </c>
      <c r="H16703" s="2">
        <v>111</v>
      </c>
      <c r="I16703" s="2">
        <v>579</v>
      </c>
      <c r="J16703" s="2">
        <v>911</v>
      </c>
      <c r="K16703" s="2">
        <v>11</v>
      </c>
      <c r="L16703" s="2">
        <v>121</v>
      </c>
    </row>
    <row r="16704" spans="1:12" x14ac:dyDescent="0.25">
      <c r="A16704" s="4" t="str">
        <f>HYPERLINK("http://www.rosaceae.org/Prunus/Prunus_persica/p.persica_gdr_reftransV1_0040930","p.persica_gdr_reftransV1_0040930")</f>
        <v>p.persica_gdr_reftransV1_0040930</v>
      </c>
      <c r="B16704" s="2">
        <v>885</v>
      </c>
      <c r="C16704" s="4" t="str">
        <f>HYPERLINK("http://www.uniprot.org/uniprot/M5VZY3","M5VZY3")</f>
        <v>M5VZY3</v>
      </c>
      <c r="D16704" s="2" t="s">
        <v>13213</v>
      </c>
      <c r="E16704" s="3">
        <v>7.8399999999999999E-135</v>
      </c>
      <c r="F16704" s="2">
        <v>1061</v>
      </c>
      <c r="G16704" s="2">
        <v>100</v>
      </c>
      <c r="H16704" s="2">
        <v>197</v>
      </c>
      <c r="I16704" s="2">
        <v>2</v>
      </c>
      <c r="J16704" s="2">
        <v>592</v>
      </c>
      <c r="K16704" s="2">
        <v>584</v>
      </c>
      <c r="L16704" s="2">
        <v>780</v>
      </c>
    </row>
    <row r="16705" spans="1:12" x14ac:dyDescent="0.25">
      <c r="A16705" s="4" t="str">
        <f>HYPERLINK("http://www.rosaceae.org/Prunus/Prunus_persica/p.persica_gdr_reftransV1_0042680","p.persica_gdr_reftransV1_0042680")</f>
        <v>p.persica_gdr_reftransV1_0042680</v>
      </c>
      <c r="B16705" s="2">
        <v>2967</v>
      </c>
      <c r="C16705" s="4" t="str">
        <f>HYPERLINK("http://www.uniprot.org/uniprot/M5WRS4","M5WRS4")</f>
        <v>M5WRS4</v>
      </c>
      <c r="D16705" s="2" t="s">
        <v>448</v>
      </c>
      <c r="E16705" s="3">
        <v>0</v>
      </c>
      <c r="F16705" s="2">
        <v>1654</v>
      </c>
      <c r="G16705" s="2">
        <v>99</v>
      </c>
      <c r="H16705" s="2">
        <v>308</v>
      </c>
      <c r="I16705" s="2">
        <v>686</v>
      </c>
      <c r="J16705" s="2">
        <v>1609</v>
      </c>
      <c r="K16705" s="2">
        <v>1</v>
      </c>
      <c r="L16705" s="2">
        <v>308</v>
      </c>
    </row>
    <row r="16706" spans="1:12" x14ac:dyDescent="0.25">
      <c r="A16706" s="4" t="str">
        <f>HYPERLINK("http://www.rosaceae.org/Prunus/Prunus_persica/p.persica_gdr_reftransV1_0043030","p.persica_gdr_reftransV1_0043030")</f>
        <v>p.persica_gdr_reftransV1_0043030</v>
      </c>
      <c r="B16706" s="2">
        <v>1133</v>
      </c>
      <c r="C16706" s="4" t="str">
        <f>HYPERLINK("http://www.uniprot.org/uniprot/M5XRW9","M5XRW9")</f>
        <v>M5XRW9</v>
      </c>
      <c r="D16706" s="2" t="s">
        <v>3965</v>
      </c>
      <c r="E16706" s="3">
        <v>0</v>
      </c>
      <c r="F16706" s="2">
        <v>1780</v>
      </c>
      <c r="G16706" s="2">
        <v>100</v>
      </c>
      <c r="H16706" s="2">
        <v>377</v>
      </c>
      <c r="I16706" s="2">
        <v>1</v>
      </c>
      <c r="J16706" s="2">
        <v>1131</v>
      </c>
      <c r="K16706" s="2">
        <v>305</v>
      </c>
      <c r="L16706" s="2">
        <v>681</v>
      </c>
    </row>
    <row r="16707" spans="1:12" x14ac:dyDescent="0.25">
      <c r="A16707" s="4" t="str">
        <f>HYPERLINK("http://www.rosaceae.org/Prunus/Prunus_persica/p.persica_gdr_reftransV1_0043380","p.persica_gdr_reftransV1_0043380")</f>
        <v>p.persica_gdr_reftransV1_0043380</v>
      </c>
      <c r="B16707" s="2">
        <v>2168</v>
      </c>
      <c r="C16707" s="4" t="str">
        <f>HYPERLINK("http://www.uniprot.org/uniprot/M5VWH6","M5VWH6")</f>
        <v>M5VWH6</v>
      </c>
      <c r="D16707" s="2" t="s">
        <v>5392</v>
      </c>
      <c r="E16707" s="3">
        <v>0</v>
      </c>
      <c r="F16707" s="2">
        <v>2738</v>
      </c>
      <c r="G16707" s="2">
        <v>100</v>
      </c>
      <c r="H16707" s="2">
        <v>511</v>
      </c>
      <c r="I16707" s="2">
        <v>400</v>
      </c>
      <c r="J16707" s="2">
        <v>1932</v>
      </c>
      <c r="K16707" s="2">
        <v>1</v>
      </c>
      <c r="L16707" s="2">
        <v>511</v>
      </c>
    </row>
    <row r="16708" spans="1:12" x14ac:dyDescent="0.25">
      <c r="A16708" s="4" t="str">
        <f>HYPERLINK("http://www.rosaceae.org/Prunus/Prunus_persica/p.persica_gdr_reftransV1_0043730","p.persica_gdr_reftransV1_0043730")</f>
        <v>p.persica_gdr_reftransV1_0043730</v>
      </c>
      <c r="B16708" s="2">
        <v>795</v>
      </c>
      <c r="C16708" s="4" t="str">
        <f>HYPERLINK("http://www.uniprot.org/uniprot/M5XGZ3","M5XGZ3")</f>
        <v>M5XGZ3</v>
      </c>
      <c r="D16708" s="2" t="s">
        <v>13214</v>
      </c>
      <c r="E16708" s="3">
        <v>1.95E-43</v>
      </c>
      <c r="F16708" s="2">
        <v>389</v>
      </c>
      <c r="G16708" s="2">
        <v>100</v>
      </c>
      <c r="H16708" s="2">
        <v>107</v>
      </c>
      <c r="I16708" s="2">
        <v>391</v>
      </c>
      <c r="J16708" s="2">
        <v>711</v>
      </c>
      <c r="K16708" s="2">
        <v>1</v>
      </c>
      <c r="L16708" s="2">
        <v>107</v>
      </c>
    </row>
    <row r="16709" spans="1:12" x14ac:dyDescent="0.25">
      <c r="A16709" s="4" t="str">
        <f>HYPERLINK("http://www.rosaceae.org/Prunus/Prunus_persica/p.persica_gdr_reftransV1_0044080","p.persica_gdr_reftransV1_0044080")</f>
        <v>p.persica_gdr_reftransV1_0044080</v>
      </c>
      <c r="B16709" s="2">
        <v>747</v>
      </c>
      <c r="C16709" s="4" t="str">
        <f>HYPERLINK("http://www.uniprot.org/uniprot/M5VPR8","M5VPR8")</f>
        <v>M5VPR8</v>
      </c>
      <c r="D16709" s="2" t="s">
        <v>5325</v>
      </c>
      <c r="E16709" s="3">
        <v>1.3600000000000001E-118</v>
      </c>
      <c r="F16709" s="2">
        <v>936</v>
      </c>
      <c r="G16709" s="2">
        <v>98</v>
      </c>
      <c r="H16709" s="2">
        <v>179</v>
      </c>
      <c r="I16709" s="2">
        <v>209</v>
      </c>
      <c r="J16709" s="2">
        <v>745</v>
      </c>
      <c r="K16709" s="2">
        <v>480</v>
      </c>
      <c r="L16709" s="2">
        <v>658</v>
      </c>
    </row>
    <row r="16710" spans="1:12" x14ac:dyDescent="0.25">
      <c r="A16710" s="4" t="str">
        <f>HYPERLINK("http://www.rosaceae.org/Prunus/Prunus_persica/p.persica_gdr_reftransV1_0044780","p.persica_gdr_reftransV1_0044780")</f>
        <v>p.persica_gdr_reftransV1_0044780</v>
      </c>
      <c r="B16710" s="2">
        <v>510</v>
      </c>
      <c r="C16710" s="4" t="str">
        <f>HYPERLINK("http://www.uniprot.org/uniprot/A0A059BP59","A0A059BP59")</f>
        <v>A0A059BP59</v>
      </c>
      <c r="D16710" s="2" t="s">
        <v>13215</v>
      </c>
      <c r="E16710" s="3">
        <v>1.4700000000000001E-81</v>
      </c>
      <c r="F16710" s="2">
        <v>644</v>
      </c>
      <c r="G16710" s="2">
        <v>81</v>
      </c>
      <c r="H16710" s="2">
        <v>140</v>
      </c>
      <c r="I16710" s="2">
        <v>30</v>
      </c>
      <c r="J16710" s="2">
        <v>449</v>
      </c>
      <c r="K16710" s="2">
        <v>1</v>
      </c>
      <c r="L16710" s="2">
        <v>140</v>
      </c>
    </row>
    <row r="16711" spans="1:12" x14ac:dyDescent="0.25">
      <c r="A16711" s="4" t="str">
        <f>HYPERLINK("http://www.rosaceae.org/Prunus/Prunus_persica/p.persica_gdr_reftransV1_0045130","p.persica_gdr_reftransV1_0045130")</f>
        <v>p.persica_gdr_reftransV1_0045130</v>
      </c>
      <c r="B16711" s="2">
        <v>1743</v>
      </c>
      <c r="C16711" s="4" t="str">
        <f>HYPERLINK("http://www.uniprot.org/uniprot/M5VND4","M5VND4")</f>
        <v>M5VND4</v>
      </c>
      <c r="D16711" s="2" t="s">
        <v>9038</v>
      </c>
      <c r="E16711" s="3">
        <v>0</v>
      </c>
      <c r="F16711" s="2">
        <v>1995</v>
      </c>
      <c r="G16711" s="2">
        <v>100</v>
      </c>
      <c r="H16711" s="2">
        <v>373</v>
      </c>
      <c r="I16711" s="2">
        <v>301</v>
      </c>
      <c r="J16711" s="2">
        <v>1419</v>
      </c>
      <c r="K16711" s="2">
        <v>29</v>
      </c>
      <c r="L16711" s="2">
        <v>401</v>
      </c>
    </row>
    <row r="16712" spans="1:12" x14ac:dyDescent="0.25">
      <c r="A16712" s="4" t="str">
        <f>HYPERLINK("http://www.rosaceae.org/Prunus/Prunus_persica/p.persica_gdr_reftransV1_0045480","p.persica_gdr_reftransV1_0045480")</f>
        <v>p.persica_gdr_reftransV1_0045480</v>
      </c>
      <c r="B16712" s="2">
        <v>2184</v>
      </c>
      <c r="C16712" s="4" t="str">
        <f>HYPERLINK("http://www.uniprot.org/uniprot/M5XR27","M5XR27")</f>
        <v>M5XR27</v>
      </c>
      <c r="D16712" s="2" t="s">
        <v>10068</v>
      </c>
      <c r="E16712" s="3">
        <v>1.8199999999999999E-162</v>
      </c>
      <c r="F16712" s="2">
        <v>1271</v>
      </c>
      <c r="G16712" s="2">
        <v>100</v>
      </c>
      <c r="H16712" s="2">
        <v>227</v>
      </c>
      <c r="I16712" s="2">
        <v>255</v>
      </c>
      <c r="J16712" s="2">
        <v>935</v>
      </c>
      <c r="K16712" s="2">
        <v>30</v>
      </c>
      <c r="L16712" s="2">
        <v>256</v>
      </c>
    </row>
    <row r="16713" spans="1:12" x14ac:dyDescent="0.25">
      <c r="A16713" s="4" t="str">
        <f>HYPERLINK("http://www.rosaceae.org/Prunus/Prunus_persica/p.persica_gdr_reftransV1_0045830","p.persica_gdr_reftransV1_0045830")</f>
        <v>p.persica_gdr_reftransV1_0045830</v>
      </c>
      <c r="B16713" s="2">
        <v>1858</v>
      </c>
      <c r="C16713" s="4" t="str">
        <f>HYPERLINK("http://www.uniprot.org/uniprot/M5VY96","M5VY96")</f>
        <v>M5VY96</v>
      </c>
      <c r="D16713" s="2" t="s">
        <v>13216</v>
      </c>
      <c r="E16713" s="3">
        <v>0</v>
      </c>
      <c r="F16713" s="2">
        <v>1875</v>
      </c>
      <c r="G16713" s="2">
        <v>100</v>
      </c>
      <c r="H16713" s="2">
        <v>438</v>
      </c>
      <c r="I16713" s="2">
        <v>474</v>
      </c>
      <c r="J16713" s="2">
        <v>1787</v>
      </c>
      <c r="K16713" s="2">
        <v>1</v>
      </c>
      <c r="L16713" s="2">
        <v>438</v>
      </c>
    </row>
    <row r="16714" spans="1:12" x14ac:dyDescent="0.25">
      <c r="A16714" s="4" t="str">
        <f>HYPERLINK("http://www.rosaceae.org/Prunus/Prunus_persica/p.persica_gdr_reftransV1_0046880","p.persica_gdr_reftransV1_0046880")</f>
        <v>p.persica_gdr_reftransV1_0046880</v>
      </c>
      <c r="B16714" s="2">
        <v>1721</v>
      </c>
      <c r="C16714" s="4" t="str">
        <f>HYPERLINK("http://www.uniprot.org/uniprot/M5XUE2","M5XUE2")</f>
        <v>M5XUE2</v>
      </c>
      <c r="D16714" s="2" t="s">
        <v>4206</v>
      </c>
      <c r="E16714" s="3">
        <v>2.4800000000000001E-110</v>
      </c>
      <c r="F16714" s="2">
        <v>914</v>
      </c>
      <c r="G16714" s="2">
        <v>100</v>
      </c>
      <c r="H16714" s="2">
        <v>166</v>
      </c>
      <c r="I16714" s="2">
        <v>615</v>
      </c>
      <c r="J16714" s="2">
        <v>1112</v>
      </c>
      <c r="K16714" s="2">
        <v>497</v>
      </c>
      <c r="L16714" s="2">
        <v>662</v>
      </c>
    </row>
    <row r="16715" spans="1:12" x14ac:dyDescent="0.25">
      <c r="A16715" s="4" t="str">
        <f>HYPERLINK("http://www.rosaceae.org/Prunus/Prunus_persica/p.persica_gdr_reftransV1_0047580","p.persica_gdr_reftransV1_0047580")</f>
        <v>p.persica_gdr_reftransV1_0047580</v>
      </c>
      <c r="B16715" s="2">
        <v>674</v>
      </c>
      <c r="C16715" s="4" t="str">
        <f>HYPERLINK("http://www.uniprot.org/uniprot/W5A0K9","W5A0K9")</f>
        <v>W5A0K9</v>
      </c>
      <c r="D16715" s="2" t="s">
        <v>4768</v>
      </c>
      <c r="E16715" s="3">
        <v>1.99E-71</v>
      </c>
      <c r="F16715" s="2">
        <v>576</v>
      </c>
      <c r="G16715" s="2">
        <v>96</v>
      </c>
      <c r="H16715" s="2">
        <v>135</v>
      </c>
      <c r="I16715" s="2">
        <v>223</v>
      </c>
      <c r="J16715" s="2">
        <v>627</v>
      </c>
      <c r="K16715" s="2">
        <v>15</v>
      </c>
      <c r="L16715" s="2">
        <v>149</v>
      </c>
    </row>
    <row r="16716" spans="1:12" x14ac:dyDescent="0.25">
      <c r="A16716" s="4" t="str">
        <f>HYPERLINK("http://www.rosaceae.org/Prunus/Prunus_persica/p.persica_gdr_reftransV1_0047930","p.persica_gdr_reftransV1_0047930")</f>
        <v>p.persica_gdr_reftransV1_0047930</v>
      </c>
      <c r="B16716" s="2">
        <v>2738</v>
      </c>
      <c r="C16716" s="4" t="str">
        <f>HYPERLINK("http://www.uniprot.org/uniprot/M5WEB4","M5WEB4")</f>
        <v>M5WEB4</v>
      </c>
      <c r="D16716" s="2" t="s">
        <v>13217</v>
      </c>
      <c r="E16716" s="3">
        <v>0</v>
      </c>
      <c r="F16716" s="2">
        <v>2909</v>
      </c>
      <c r="G16716" s="2">
        <v>100</v>
      </c>
      <c r="H16716" s="2">
        <v>575</v>
      </c>
      <c r="I16716" s="2">
        <v>406</v>
      </c>
      <c r="J16716" s="2">
        <v>2130</v>
      </c>
      <c r="K16716" s="2">
        <v>1</v>
      </c>
      <c r="L16716" s="2">
        <v>574</v>
      </c>
    </row>
    <row r="16717" spans="1:12" x14ac:dyDescent="0.25">
      <c r="A16717" s="4" t="str">
        <f>HYPERLINK("http://www.rosaceae.org/Prunus/Prunus_persica/p.persica_gdr_reftransV1_0048630","p.persica_gdr_reftransV1_0048630")</f>
        <v>p.persica_gdr_reftransV1_0048630</v>
      </c>
      <c r="B16717" s="2">
        <v>679</v>
      </c>
      <c r="C16717" s="4" t="str">
        <f>HYPERLINK("http://www.uniprot.org/uniprot/M5VVC5","M5VVC5")</f>
        <v>M5VVC5</v>
      </c>
      <c r="D16717" s="2" t="s">
        <v>1828</v>
      </c>
      <c r="E16717" s="3">
        <v>7.8999999999999998E-134</v>
      </c>
      <c r="F16717" s="2">
        <v>1100</v>
      </c>
      <c r="G16717" s="2">
        <v>100</v>
      </c>
      <c r="H16717" s="2">
        <v>225</v>
      </c>
      <c r="I16717" s="2">
        <v>3</v>
      </c>
      <c r="J16717" s="2">
        <v>677</v>
      </c>
      <c r="K16717" s="2">
        <v>158</v>
      </c>
      <c r="L16717" s="2">
        <v>382</v>
      </c>
    </row>
    <row r="16718" spans="1:12" x14ac:dyDescent="0.25">
      <c r="A16718" s="4" t="str">
        <f>HYPERLINK("http://www.rosaceae.org/Prunus/Prunus_persica/p.persica_gdr_reftransV1_0048980","p.persica_gdr_reftransV1_0048980")</f>
        <v>p.persica_gdr_reftransV1_0048980</v>
      </c>
      <c r="B16718" s="2">
        <v>372</v>
      </c>
      <c r="C16718" s="4" t="str">
        <f>HYPERLINK("http://www.uniprot.org/uniprot/M5XJK2","M5XJK2")</f>
        <v>M5XJK2</v>
      </c>
      <c r="D16718" s="2" t="s">
        <v>8753</v>
      </c>
      <c r="E16718" s="3">
        <v>1.44E-82</v>
      </c>
      <c r="F16718" s="2">
        <v>660</v>
      </c>
      <c r="G16718" s="2">
        <v>100</v>
      </c>
      <c r="H16718" s="2">
        <v>123</v>
      </c>
      <c r="I16718" s="2">
        <v>2</v>
      </c>
      <c r="J16718" s="2">
        <v>370</v>
      </c>
      <c r="K16718" s="2">
        <v>42</v>
      </c>
      <c r="L16718" s="2">
        <v>164</v>
      </c>
    </row>
    <row r="16719" spans="1:12" x14ac:dyDescent="0.25">
      <c r="A16719" s="4" t="str">
        <f>HYPERLINK("http://www.rosaceae.org/Prunus/Prunus_persica/p.persica_gdr_reftransV1_0000033","p.persica_gdr_reftransV1_0000033")</f>
        <v>p.persica_gdr_reftransV1_0000033</v>
      </c>
      <c r="B16719" s="2">
        <v>389</v>
      </c>
      <c r="C16719" s="4" t="str">
        <f>HYPERLINK("http://www.uniprot.org/uniprot/M5XPF4","M5XPF4")</f>
        <v>M5XPF4</v>
      </c>
      <c r="D16719" s="2" t="s">
        <v>8166</v>
      </c>
      <c r="E16719" s="3">
        <v>1.3299999999999999E-38</v>
      </c>
      <c r="F16719" s="2">
        <v>357</v>
      </c>
      <c r="G16719" s="2">
        <v>98</v>
      </c>
      <c r="H16719" s="2">
        <v>87</v>
      </c>
      <c r="I16719" s="2">
        <v>94</v>
      </c>
      <c r="J16719" s="2">
        <v>354</v>
      </c>
      <c r="K16719" s="2">
        <v>194</v>
      </c>
      <c r="L16719" s="2">
        <v>280</v>
      </c>
    </row>
    <row r="16720" spans="1:12" x14ac:dyDescent="0.25">
      <c r="A16720" s="4" t="str">
        <f>HYPERLINK("http://www.rosaceae.org/Prunus/Prunus_persica/p.persica_gdr_reftransV1_0000383","p.persica_gdr_reftransV1_0000383")</f>
        <v>p.persica_gdr_reftransV1_0000383</v>
      </c>
      <c r="B16720" s="2">
        <v>343</v>
      </c>
      <c r="C16720" s="4" t="str">
        <f>HYPERLINK("http://www.uniprot.org/uniprot/M5XNG0","M5XNG0")</f>
        <v>M5XNG0</v>
      </c>
      <c r="D16720" s="2" t="s">
        <v>6840</v>
      </c>
      <c r="E16720" s="3">
        <v>5.1399999999999999E-64</v>
      </c>
      <c r="F16720" s="2">
        <v>519</v>
      </c>
      <c r="G16720" s="2">
        <v>100</v>
      </c>
      <c r="H16720" s="2">
        <v>100</v>
      </c>
      <c r="I16720" s="2">
        <v>43</v>
      </c>
      <c r="J16720" s="2">
        <v>342</v>
      </c>
      <c r="K16720" s="2">
        <v>86</v>
      </c>
      <c r="L16720" s="2">
        <v>185</v>
      </c>
    </row>
    <row r="16721" spans="1:12" x14ac:dyDescent="0.25">
      <c r="A16721" s="4" t="str">
        <f>HYPERLINK("http://www.rosaceae.org/Prunus/Prunus_persica/p.persica_gdr_reftransV1_0000733","p.persica_gdr_reftransV1_0000733")</f>
        <v>p.persica_gdr_reftransV1_0000733</v>
      </c>
      <c r="B16721" s="2">
        <v>893</v>
      </c>
      <c r="C16721" s="4" t="str">
        <f>HYPERLINK("http://www.uniprot.org/uniprot/M5VHA3","M5VHA3")</f>
        <v>M5VHA3</v>
      </c>
      <c r="D16721" s="2" t="s">
        <v>7848</v>
      </c>
      <c r="E16721" s="3">
        <v>1.47E-147</v>
      </c>
      <c r="F16721" s="2">
        <v>1118</v>
      </c>
      <c r="G16721" s="2">
        <v>100</v>
      </c>
      <c r="H16721" s="2">
        <v>257</v>
      </c>
      <c r="I16721" s="2">
        <v>3</v>
      </c>
      <c r="J16721" s="2">
        <v>773</v>
      </c>
      <c r="K16721" s="2">
        <v>1</v>
      </c>
      <c r="L16721" s="2">
        <v>257</v>
      </c>
    </row>
    <row r="16722" spans="1:12" x14ac:dyDescent="0.25">
      <c r="A16722" s="4" t="str">
        <f>HYPERLINK("http://www.rosaceae.org/Prunus/Prunus_persica/p.persica_gdr_reftransV1_0001083","p.persica_gdr_reftransV1_0001083")</f>
        <v>p.persica_gdr_reftransV1_0001083</v>
      </c>
      <c r="B16722" s="2">
        <v>838</v>
      </c>
      <c r="C16722" s="4" t="str">
        <f>HYPERLINK("http://www.uniprot.org/uniprot/M5VGN9","M5VGN9")</f>
        <v>M5VGN9</v>
      </c>
      <c r="D16722" s="2" t="s">
        <v>12729</v>
      </c>
      <c r="E16722" s="3">
        <v>2.06E-72</v>
      </c>
      <c r="F16722" s="2">
        <v>587</v>
      </c>
      <c r="G16722" s="2">
        <v>99</v>
      </c>
      <c r="H16722" s="2">
        <v>144</v>
      </c>
      <c r="I16722" s="2">
        <v>239</v>
      </c>
      <c r="J16722" s="2">
        <v>670</v>
      </c>
      <c r="K16722" s="2">
        <v>1</v>
      </c>
      <c r="L16722" s="2">
        <v>144</v>
      </c>
    </row>
    <row r="16723" spans="1:12" x14ac:dyDescent="0.25">
      <c r="A16723" s="4" t="str">
        <f>HYPERLINK("http://www.rosaceae.org/Prunus/Prunus_persica/p.persica_gdr_reftransV1_0001433","p.persica_gdr_reftransV1_0001433")</f>
        <v>p.persica_gdr_reftransV1_0001433</v>
      </c>
      <c r="B16723" s="2">
        <v>5974</v>
      </c>
      <c r="C16723" s="4" t="str">
        <f>HYPERLINK("http://www.uniprot.org/uniprot/M5X9V0","M5X9V0")</f>
        <v>M5X9V0</v>
      </c>
      <c r="D16723" s="2" t="s">
        <v>13218</v>
      </c>
      <c r="E16723" s="3">
        <v>0</v>
      </c>
      <c r="F16723" s="2">
        <v>9629</v>
      </c>
      <c r="G16723" s="2">
        <v>100</v>
      </c>
      <c r="H16723" s="2">
        <v>1833</v>
      </c>
      <c r="I16723" s="2">
        <v>413</v>
      </c>
      <c r="J16723" s="2">
        <v>5911</v>
      </c>
      <c r="K16723" s="2">
        <v>1</v>
      </c>
      <c r="L16723" s="2">
        <v>1833</v>
      </c>
    </row>
    <row r="16724" spans="1:12" x14ac:dyDescent="0.25">
      <c r="A16724" s="4" t="str">
        <f>HYPERLINK("http://www.rosaceae.org/Prunus/Prunus_persica/p.persica_gdr_reftransV1_0001783","p.persica_gdr_reftransV1_0001783")</f>
        <v>p.persica_gdr_reftransV1_0001783</v>
      </c>
      <c r="B16724" s="2">
        <v>1153</v>
      </c>
      <c r="C16724" s="4" t="str">
        <f>HYPERLINK("http://www.uniprot.org/uniprot/M5WKF1","M5WKF1")</f>
        <v>M5WKF1</v>
      </c>
      <c r="D16724" s="2" t="s">
        <v>6366</v>
      </c>
      <c r="E16724" s="3">
        <v>3.5399999999999998E-101</v>
      </c>
      <c r="F16724" s="2">
        <v>788</v>
      </c>
      <c r="G16724" s="2">
        <v>100</v>
      </c>
      <c r="H16724" s="2">
        <v>148</v>
      </c>
      <c r="I16724" s="2">
        <v>430</v>
      </c>
      <c r="J16724" s="2">
        <v>873</v>
      </c>
      <c r="K16724" s="2">
        <v>1</v>
      </c>
      <c r="L16724" s="2">
        <v>148</v>
      </c>
    </row>
    <row r="16725" spans="1:12" x14ac:dyDescent="0.25">
      <c r="A16725" s="4" t="str">
        <f>HYPERLINK("http://www.rosaceae.org/Prunus/Prunus_persica/p.persica_gdr_reftransV1_0002483","p.persica_gdr_reftransV1_0002483")</f>
        <v>p.persica_gdr_reftransV1_0002483</v>
      </c>
      <c r="B16725" s="2">
        <v>2699</v>
      </c>
      <c r="C16725" s="4" t="str">
        <f>HYPERLINK("http://www.uniprot.org/uniprot/M5X315","M5X315")</f>
        <v>M5X315</v>
      </c>
      <c r="D16725" s="2" t="s">
        <v>10326</v>
      </c>
      <c r="E16725" s="3">
        <v>0</v>
      </c>
      <c r="F16725" s="2">
        <v>1498</v>
      </c>
      <c r="G16725" s="2">
        <v>100</v>
      </c>
      <c r="H16725" s="2">
        <v>317</v>
      </c>
      <c r="I16725" s="2">
        <v>176</v>
      </c>
      <c r="J16725" s="2">
        <v>1126</v>
      </c>
      <c r="K16725" s="2">
        <v>1</v>
      </c>
      <c r="L16725" s="2">
        <v>317</v>
      </c>
    </row>
    <row r="16726" spans="1:12" x14ac:dyDescent="0.25">
      <c r="A16726" s="4" t="str">
        <f>HYPERLINK("http://www.rosaceae.org/Prunus/Prunus_persica/p.persica_gdr_reftransV1_0002833","p.persica_gdr_reftransV1_0002833")</f>
        <v>p.persica_gdr_reftransV1_0002833</v>
      </c>
      <c r="B16726" s="2">
        <v>1365</v>
      </c>
      <c r="C16726" s="4" t="str">
        <f>HYPERLINK("http://www.uniprot.org/uniprot/M5XLX4","M5XLX4")</f>
        <v>M5XLX4</v>
      </c>
      <c r="D16726" s="2" t="s">
        <v>7013</v>
      </c>
      <c r="E16726" s="3">
        <v>0</v>
      </c>
      <c r="F16726" s="2">
        <v>2168</v>
      </c>
      <c r="G16726" s="2">
        <v>100</v>
      </c>
      <c r="H16726" s="2">
        <v>415</v>
      </c>
      <c r="I16726" s="2">
        <v>120</v>
      </c>
      <c r="J16726" s="2">
        <v>1364</v>
      </c>
      <c r="K16726" s="2">
        <v>101</v>
      </c>
      <c r="L16726" s="2">
        <v>515</v>
      </c>
    </row>
    <row r="16727" spans="1:12" x14ac:dyDescent="0.25">
      <c r="A16727" s="4" t="str">
        <f>HYPERLINK("http://www.rosaceae.org/Prunus/Prunus_persica/p.persica_gdr_reftransV1_0003883","p.persica_gdr_reftransV1_0003883")</f>
        <v>p.persica_gdr_reftransV1_0003883</v>
      </c>
      <c r="B16727" s="2">
        <v>1253</v>
      </c>
      <c r="C16727" s="4" t="str">
        <f>HYPERLINK("http://www.uniprot.org/uniprot/M5VI18","M5VI18")</f>
        <v>M5VI18</v>
      </c>
      <c r="D16727" s="2" t="s">
        <v>13219</v>
      </c>
      <c r="E16727" s="3">
        <v>0</v>
      </c>
      <c r="F16727" s="2">
        <v>1610</v>
      </c>
      <c r="G16727" s="2">
        <v>99</v>
      </c>
      <c r="H16727" s="2">
        <v>315</v>
      </c>
      <c r="I16727" s="2">
        <v>206</v>
      </c>
      <c r="J16727" s="2">
        <v>1150</v>
      </c>
      <c r="K16727" s="2">
        <v>1</v>
      </c>
      <c r="L16727" s="2">
        <v>315</v>
      </c>
    </row>
    <row r="16728" spans="1:12" x14ac:dyDescent="0.25">
      <c r="A16728" s="4" t="str">
        <f>HYPERLINK("http://www.rosaceae.org/Prunus/Prunus_persica/p.persica_gdr_reftransV1_0004233","p.persica_gdr_reftransV1_0004233")</f>
        <v>p.persica_gdr_reftransV1_0004233</v>
      </c>
      <c r="B16728" s="2">
        <v>4149</v>
      </c>
      <c r="C16728" s="4" t="str">
        <f>HYPERLINK("http://www.uniprot.org/uniprot/M5X7F9","M5X7F9")</f>
        <v>M5X7F9</v>
      </c>
      <c r="D16728" s="2" t="s">
        <v>11490</v>
      </c>
      <c r="E16728" s="3">
        <v>0</v>
      </c>
      <c r="F16728" s="2">
        <v>5013</v>
      </c>
      <c r="G16728" s="2">
        <v>96</v>
      </c>
      <c r="H16728" s="2">
        <v>1015</v>
      </c>
      <c r="I16728" s="2">
        <v>256</v>
      </c>
      <c r="J16728" s="2">
        <v>3300</v>
      </c>
      <c r="K16728" s="2">
        <v>1</v>
      </c>
      <c r="L16728" s="2">
        <v>1012</v>
      </c>
    </row>
    <row r="16729" spans="1:12" x14ac:dyDescent="0.25">
      <c r="A16729" s="4" t="str">
        <f>HYPERLINK("http://www.rosaceae.org/Prunus/Prunus_persica/p.persica_gdr_reftransV1_0004583","p.persica_gdr_reftransV1_0004583")</f>
        <v>p.persica_gdr_reftransV1_0004583</v>
      </c>
      <c r="B16729" s="2">
        <v>3294</v>
      </c>
      <c r="C16729" s="4" t="str">
        <f>HYPERLINK("http://www.uniprot.org/uniprot/M5WYF8","M5WYF8")</f>
        <v>M5WYF8</v>
      </c>
      <c r="D16729" s="2" t="s">
        <v>13220</v>
      </c>
      <c r="E16729" s="3">
        <v>0</v>
      </c>
      <c r="F16729" s="2">
        <v>4503</v>
      </c>
      <c r="G16729" s="2">
        <v>100</v>
      </c>
      <c r="H16729" s="2">
        <v>896</v>
      </c>
      <c r="I16729" s="2">
        <v>466</v>
      </c>
      <c r="J16729" s="2">
        <v>3153</v>
      </c>
      <c r="K16729" s="2">
        <v>1</v>
      </c>
      <c r="L16729" s="2">
        <v>896</v>
      </c>
    </row>
    <row r="16730" spans="1:12" x14ac:dyDescent="0.25">
      <c r="A16730" s="4" t="str">
        <f>HYPERLINK("http://www.rosaceae.org/Prunus/Prunus_persica/p.persica_gdr_reftransV1_0004933","p.persica_gdr_reftransV1_0004933")</f>
        <v>p.persica_gdr_reftransV1_0004933</v>
      </c>
      <c r="B16730" s="2">
        <v>1097</v>
      </c>
      <c r="C16730" s="4" t="str">
        <f>HYPERLINK("http://www.uniprot.org/uniprot/M5WLA5","M5WLA5")</f>
        <v>M5WLA5</v>
      </c>
      <c r="D16730" s="2" t="s">
        <v>7929</v>
      </c>
      <c r="E16730" s="3">
        <v>2.4899999999999999E-172</v>
      </c>
      <c r="F16730" s="2">
        <v>1279</v>
      </c>
      <c r="G16730" s="2">
        <v>100</v>
      </c>
      <c r="H16730" s="2">
        <v>322</v>
      </c>
      <c r="I16730" s="2">
        <v>1</v>
      </c>
      <c r="J16730" s="2">
        <v>966</v>
      </c>
      <c r="K16730" s="2">
        <v>54</v>
      </c>
      <c r="L16730" s="2">
        <v>375</v>
      </c>
    </row>
    <row r="16731" spans="1:12" x14ac:dyDescent="0.25">
      <c r="A16731" s="4" t="str">
        <f>HYPERLINK("http://www.rosaceae.org/Prunus/Prunus_persica/p.persica_gdr_reftransV1_0005983","p.persica_gdr_reftransV1_0005983")</f>
        <v>p.persica_gdr_reftransV1_0005983</v>
      </c>
      <c r="B16731" s="2">
        <v>1579</v>
      </c>
      <c r="C16731" s="4" t="str">
        <f>HYPERLINK("http://www.uniprot.org/uniprot/Q5GIS9","Q5GIS9")</f>
        <v>Q5GIS9</v>
      </c>
      <c r="D16731" s="2" t="s">
        <v>13221</v>
      </c>
      <c r="E16731" s="3">
        <v>2.11E-14</v>
      </c>
      <c r="F16731" s="2">
        <v>209</v>
      </c>
      <c r="G16731" s="2">
        <v>28</v>
      </c>
      <c r="H16731" s="2">
        <v>148</v>
      </c>
      <c r="I16731" s="2">
        <v>342</v>
      </c>
      <c r="J16731" s="2">
        <v>785</v>
      </c>
      <c r="K16731" s="2">
        <v>277</v>
      </c>
      <c r="L16731" s="2">
        <v>416</v>
      </c>
    </row>
    <row r="16732" spans="1:12" x14ac:dyDescent="0.25">
      <c r="A16732" s="4" t="str">
        <f>HYPERLINK("http://www.rosaceae.org/Prunus/Prunus_persica/p.persica_gdr_reftransV1_0006333","p.persica_gdr_reftransV1_0006333")</f>
        <v>p.persica_gdr_reftransV1_0006333</v>
      </c>
      <c r="B16732" s="2">
        <v>844</v>
      </c>
      <c r="C16732" s="4" t="str">
        <f>HYPERLINK("http://www.uniprot.org/uniprot/M5W0N8","M5W0N8")</f>
        <v>M5W0N8</v>
      </c>
      <c r="D16732" s="2" t="s">
        <v>13222</v>
      </c>
      <c r="E16732" s="3">
        <v>0</v>
      </c>
      <c r="F16732" s="2">
        <v>1423</v>
      </c>
      <c r="G16732" s="2">
        <v>96</v>
      </c>
      <c r="H16732" s="2">
        <v>281</v>
      </c>
      <c r="I16732" s="2">
        <v>1</v>
      </c>
      <c r="J16732" s="2">
        <v>843</v>
      </c>
      <c r="K16732" s="2">
        <v>64</v>
      </c>
      <c r="L16732" s="2">
        <v>344</v>
      </c>
    </row>
    <row r="16733" spans="1:12" x14ac:dyDescent="0.25">
      <c r="A16733" s="4" t="str">
        <f>HYPERLINK("http://www.rosaceae.org/Prunus/Prunus_persica/p.persica_gdr_reftransV1_0007383","p.persica_gdr_reftransV1_0007383")</f>
        <v>p.persica_gdr_reftransV1_0007383</v>
      </c>
      <c r="B16733" s="2">
        <v>1324</v>
      </c>
      <c r="C16733" s="4" t="str">
        <f>HYPERLINK("http://www.uniprot.org/uniprot/M5WCT1","M5WCT1")</f>
        <v>M5WCT1</v>
      </c>
      <c r="D16733" s="2" t="s">
        <v>13223</v>
      </c>
      <c r="E16733" s="3">
        <v>5.0899999999999999E-117</v>
      </c>
      <c r="F16733" s="2">
        <v>905</v>
      </c>
      <c r="G16733" s="2">
        <v>99</v>
      </c>
      <c r="H16733" s="2">
        <v>214</v>
      </c>
      <c r="I16733" s="2">
        <v>355</v>
      </c>
      <c r="J16733" s="2">
        <v>996</v>
      </c>
      <c r="K16733" s="2">
        <v>1</v>
      </c>
      <c r="L16733" s="2">
        <v>214</v>
      </c>
    </row>
    <row r="16734" spans="1:12" x14ac:dyDescent="0.25">
      <c r="A16734" s="4" t="str">
        <f>HYPERLINK("http://www.rosaceae.org/Prunus/Prunus_persica/p.persica_gdr_reftransV1_0008083","p.persica_gdr_reftransV1_0008083")</f>
        <v>p.persica_gdr_reftransV1_0008083</v>
      </c>
      <c r="B16734" s="2">
        <v>1769</v>
      </c>
      <c r="C16734" s="4" t="str">
        <f>HYPERLINK("http://www.uniprot.org/uniprot/M5X141","M5X141")</f>
        <v>M5X141</v>
      </c>
      <c r="D16734" s="2" t="s">
        <v>13224</v>
      </c>
      <c r="E16734" s="3">
        <v>0</v>
      </c>
      <c r="F16734" s="2">
        <v>1691</v>
      </c>
      <c r="G16734" s="2">
        <v>93</v>
      </c>
      <c r="H16734" s="2">
        <v>359</v>
      </c>
      <c r="I16734" s="2">
        <v>3</v>
      </c>
      <c r="J16734" s="2">
        <v>1079</v>
      </c>
      <c r="K16734" s="2">
        <v>114</v>
      </c>
      <c r="L16734" s="2">
        <v>448</v>
      </c>
    </row>
    <row r="16735" spans="1:12" x14ac:dyDescent="0.25">
      <c r="A16735" s="4" t="str">
        <f>HYPERLINK("http://www.rosaceae.org/Prunus/Prunus_persica/p.persica_gdr_reftransV1_0008433","p.persica_gdr_reftransV1_0008433")</f>
        <v>p.persica_gdr_reftransV1_0008433</v>
      </c>
      <c r="B16735" s="2">
        <v>1096</v>
      </c>
      <c r="C16735" s="4" t="str">
        <f>HYPERLINK("http://www.uniprot.org/uniprot/M5X1G1","M5X1G1")</f>
        <v>M5X1G1</v>
      </c>
      <c r="D16735" s="2" t="s">
        <v>4921</v>
      </c>
      <c r="E16735" s="3">
        <v>4.3700000000000001E-142</v>
      </c>
      <c r="F16735" s="2">
        <v>1072</v>
      </c>
      <c r="G16735" s="2">
        <v>100</v>
      </c>
      <c r="H16735" s="2">
        <v>272</v>
      </c>
      <c r="I16735" s="2">
        <v>152</v>
      </c>
      <c r="J16735" s="2">
        <v>967</v>
      </c>
      <c r="K16735" s="2">
        <v>29</v>
      </c>
      <c r="L16735" s="2">
        <v>300</v>
      </c>
    </row>
    <row r="16736" spans="1:12" x14ac:dyDescent="0.25">
      <c r="A16736" s="4" t="str">
        <f>HYPERLINK("http://www.rosaceae.org/Prunus/Prunus_persica/p.persica_gdr_reftransV1_0009133","p.persica_gdr_reftransV1_0009133")</f>
        <v>p.persica_gdr_reftransV1_0009133</v>
      </c>
      <c r="B16736" s="2">
        <v>3369</v>
      </c>
      <c r="C16736" s="4" t="str">
        <f>HYPERLINK("http://www.uniprot.org/uniprot/M5Y3M4","M5Y3M4")</f>
        <v>M5Y3M4</v>
      </c>
      <c r="D16736" s="2" t="s">
        <v>13225</v>
      </c>
      <c r="E16736" s="3">
        <v>0</v>
      </c>
      <c r="F16736" s="2">
        <v>2449</v>
      </c>
      <c r="G16736" s="2">
        <v>98</v>
      </c>
      <c r="H16736" s="2">
        <v>491</v>
      </c>
      <c r="I16736" s="2">
        <v>150</v>
      </c>
      <c r="J16736" s="2">
        <v>1622</v>
      </c>
      <c r="K16736" s="2">
        <v>1</v>
      </c>
      <c r="L16736" s="2">
        <v>491</v>
      </c>
    </row>
    <row r="16737" spans="1:12" x14ac:dyDescent="0.25">
      <c r="A16737" s="4" t="str">
        <f>HYPERLINK("http://www.rosaceae.org/Prunus/Prunus_persica/p.persica_gdr_reftransV1_0009483","p.persica_gdr_reftransV1_0009483")</f>
        <v>p.persica_gdr_reftransV1_0009483</v>
      </c>
      <c r="B16737" s="2">
        <v>875</v>
      </c>
      <c r="C16737" s="4" t="str">
        <f>HYPERLINK("http://www.uniprot.org/uniprot/M5X8U4","M5X8U4")</f>
        <v>M5X8U4</v>
      </c>
      <c r="D16737" s="2" t="s">
        <v>13226</v>
      </c>
      <c r="E16737" s="3">
        <v>2.0200000000000001E-165</v>
      </c>
      <c r="F16737" s="2">
        <v>1235</v>
      </c>
      <c r="G16737" s="2">
        <v>100</v>
      </c>
      <c r="H16737" s="2">
        <v>231</v>
      </c>
      <c r="I16737" s="2">
        <v>183</v>
      </c>
      <c r="J16737" s="2">
        <v>875</v>
      </c>
      <c r="K16737" s="2">
        <v>1</v>
      </c>
      <c r="L16737" s="2">
        <v>231</v>
      </c>
    </row>
    <row r="16738" spans="1:12" x14ac:dyDescent="0.25">
      <c r="A16738" s="4" t="str">
        <f>HYPERLINK("http://www.rosaceae.org/Prunus/Prunus_persica/p.persica_gdr_reftransV1_0009833","p.persica_gdr_reftransV1_0009833")</f>
        <v>p.persica_gdr_reftransV1_0009833</v>
      </c>
      <c r="B16738" s="2">
        <v>1123</v>
      </c>
      <c r="C16738" s="4" t="str">
        <f>HYPERLINK("http://www.uniprot.org/uniprot/M5W9Y6","M5W9Y6")</f>
        <v>M5W9Y6</v>
      </c>
      <c r="D16738" s="2" t="s">
        <v>6459</v>
      </c>
      <c r="E16738" s="3">
        <v>8.5400000000000003E-21</v>
      </c>
      <c r="F16738" s="2">
        <v>245</v>
      </c>
      <c r="G16738" s="2">
        <v>88</v>
      </c>
      <c r="H16738" s="2">
        <v>56</v>
      </c>
      <c r="I16738" s="2">
        <v>1</v>
      </c>
      <c r="J16738" s="2">
        <v>168</v>
      </c>
      <c r="K16738" s="2">
        <v>1</v>
      </c>
      <c r="L16738" s="2">
        <v>56</v>
      </c>
    </row>
    <row r="16739" spans="1:12" x14ac:dyDescent="0.25">
      <c r="A16739" s="4" t="str">
        <f>HYPERLINK("http://www.rosaceae.org/Prunus/Prunus_persica/p.persica_gdr_reftransV1_0010533","p.persica_gdr_reftransV1_0010533")</f>
        <v>p.persica_gdr_reftransV1_0010533</v>
      </c>
      <c r="B16739" s="2">
        <v>599</v>
      </c>
      <c r="C16739" s="4" t="str">
        <f>HYPERLINK("http://www.uniprot.org/uniprot/M5XHE2","M5XHE2")</f>
        <v>M5XHE2</v>
      </c>
      <c r="D16739" s="2" t="s">
        <v>13227</v>
      </c>
      <c r="E16739" s="3">
        <v>8.2799999999999992E-62</v>
      </c>
      <c r="F16739" s="2">
        <v>527</v>
      </c>
      <c r="G16739" s="2">
        <v>100</v>
      </c>
      <c r="H16739" s="2">
        <v>118</v>
      </c>
      <c r="I16739" s="2">
        <v>245</v>
      </c>
      <c r="J16739" s="2">
        <v>598</v>
      </c>
      <c r="K16739" s="2">
        <v>1</v>
      </c>
      <c r="L16739" s="2">
        <v>118</v>
      </c>
    </row>
    <row r="16740" spans="1:12" x14ac:dyDescent="0.25">
      <c r="A16740" s="4" t="str">
        <f>HYPERLINK("http://www.rosaceae.org/Prunus/Prunus_persica/p.persica_gdr_reftransV1_0010883","p.persica_gdr_reftransV1_0010883")</f>
        <v>p.persica_gdr_reftransV1_0010883</v>
      </c>
      <c r="B16740" s="2">
        <v>2117</v>
      </c>
      <c r="C16740" s="4" t="str">
        <f>HYPERLINK("http://www.uniprot.org/uniprot/M5W445","M5W445")</f>
        <v>M5W445</v>
      </c>
      <c r="D16740" s="2" t="s">
        <v>7680</v>
      </c>
      <c r="E16740" s="3">
        <v>0</v>
      </c>
      <c r="F16740" s="2">
        <v>2571</v>
      </c>
      <c r="G16740" s="2">
        <v>99</v>
      </c>
      <c r="H16740" s="2">
        <v>538</v>
      </c>
      <c r="I16740" s="2">
        <v>202</v>
      </c>
      <c r="J16740" s="2">
        <v>1815</v>
      </c>
      <c r="K16740" s="2">
        <v>1</v>
      </c>
      <c r="L16740" s="2">
        <v>533</v>
      </c>
    </row>
    <row r="16741" spans="1:12" x14ac:dyDescent="0.25">
      <c r="A16741" s="4" t="str">
        <f>HYPERLINK("http://www.rosaceae.org/Prunus/Prunus_persica/p.persica_gdr_reftransV1_0011233","p.persica_gdr_reftransV1_0011233")</f>
        <v>p.persica_gdr_reftransV1_0011233</v>
      </c>
      <c r="B16741" s="2">
        <v>1975</v>
      </c>
      <c r="C16741" s="4" t="str">
        <f>HYPERLINK("http://www.uniprot.org/uniprot/M5VV22","M5VV22")</f>
        <v>M5VV22</v>
      </c>
      <c r="D16741" s="2" t="s">
        <v>11966</v>
      </c>
      <c r="E16741" s="3">
        <v>0</v>
      </c>
      <c r="F16741" s="2">
        <v>2750</v>
      </c>
      <c r="G16741" s="2">
        <v>100</v>
      </c>
      <c r="H16741" s="2">
        <v>582</v>
      </c>
      <c r="I16741" s="2">
        <v>2</v>
      </c>
      <c r="J16741" s="2">
        <v>1747</v>
      </c>
      <c r="K16741" s="2">
        <v>51</v>
      </c>
      <c r="L16741" s="2">
        <v>632</v>
      </c>
    </row>
    <row r="16742" spans="1:12" x14ac:dyDescent="0.25">
      <c r="A16742" s="4" t="str">
        <f>HYPERLINK("http://www.rosaceae.org/Prunus/Prunus_persica/p.persica_gdr_reftransV1_0012983","p.persica_gdr_reftransV1_0012983")</f>
        <v>p.persica_gdr_reftransV1_0012983</v>
      </c>
      <c r="B16742" s="2">
        <v>1355</v>
      </c>
      <c r="C16742" s="4" t="str">
        <f>HYPERLINK("http://www.uniprot.org/uniprot/M5W0D8","M5W0D8")</f>
        <v>M5W0D8</v>
      </c>
      <c r="D16742" s="2" t="s">
        <v>13228</v>
      </c>
      <c r="E16742" s="3">
        <v>8.6899999999999995E-108</v>
      </c>
      <c r="F16742" s="2">
        <v>842</v>
      </c>
      <c r="G16742" s="2">
        <v>100</v>
      </c>
      <c r="H16742" s="2">
        <v>182</v>
      </c>
      <c r="I16742" s="2">
        <v>348</v>
      </c>
      <c r="J16742" s="2">
        <v>893</v>
      </c>
      <c r="K16742" s="2">
        <v>1</v>
      </c>
      <c r="L16742" s="2">
        <v>182</v>
      </c>
    </row>
    <row r="16743" spans="1:12" x14ac:dyDescent="0.25">
      <c r="A16743" s="4" t="str">
        <f>HYPERLINK("http://www.rosaceae.org/Prunus/Prunus_persica/p.persica_gdr_reftransV1_0014383","p.persica_gdr_reftransV1_0014383")</f>
        <v>p.persica_gdr_reftransV1_0014383</v>
      </c>
      <c r="B16743" s="2">
        <v>1722</v>
      </c>
      <c r="C16743" s="4" t="str">
        <f>HYPERLINK("http://www.uniprot.org/uniprot/M5WA33","M5WA33")</f>
        <v>M5WA33</v>
      </c>
      <c r="D16743" s="2" t="s">
        <v>13229</v>
      </c>
      <c r="E16743" s="3">
        <v>2.68E-125</v>
      </c>
      <c r="F16743" s="2">
        <v>981</v>
      </c>
      <c r="G16743" s="2">
        <v>100</v>
      </c>
      <c r="H16743" s="2">
        <v>207</v>
      </c>
      <c r="I16743" s="2">
        <v>493</v>
      </c>
      <c r="J16743" s="2">
        <v>1113</v>
      </c>
      <c r="K16743" s="2">
        <v>1</v>
      </c>
      <c r="L16743" s="2">
        <v>207</v>
      </c>
    </row>
    <row r="16744" spans="1:12" x14ac:dyDescent="0.25">
      <c r="A16744" s="4" t="str">
        <f>HYPERLINK("http://www.rosaceae.org/Prunus/Prunus_persica/p.persica_gdr_reftransV1_0016133","p.persica_gdr_reftransV1_0016133")</f>
        <v>p.persica_gdr_reftransV1_0016133</v>
      </c>
      <c r="B16744" s="2">
        <v>1592</v>
      </c>
      <c r="C16744" s="4" t="str">
        <f>HYPERLINK("http://www.uniprot.org/uniprot/M5VNW8","M5VNW8")</f>
        <v>M5VNW8</v>
      </c>
      <c r="D16744" s="2" t="s">
        <v>13230</v>
      </c>
      <c r="E16744" s="3">
        <v>0</v>
      </c>
      <c r="F16744" s="2">
        <v>1609</v>
      </c>
      <c r="G16744" s="2">
        <v>100</v>
      </c>
      <c r="H16744" s="2">
        <v>350</v>
      </c>
      <c r="I16744" s="2">
        <v>437</v>
      </c>
      <c r="J16744" s="2">
        <v>1486</v>
      </c>
      <c r="K16744" s="2">
        <v>1</v>
      </c>
      <c r="L16744" s="2">
        <v>350</v>
      </c>
    </row>
    <row r="16745" spans="1:12" x14ac:dyDescent="0.25">
      <c r="A16745" s="4" t="str">
        <f>HYPERLINK("http://www.rosaceae.org/Prunus/Prunus_persica/p.persica_gdr_reftransV1_0016483","p.persica_gdr_reftransV1_0016483")</f>
        <v>p.persica_gdr_reftransV1_0016483</v>
      </c>
      <c r="B16745" s="2">
        <v>1307</v>
      </c>
      <c r="C16745" s="4" t="str">
        <f>HYPERLINK("http://www.uniprot.org/uniprot/W8TP72","W8TP72")</f>
        <v>W8TP72</v>
      </c>
      <c r="D16745" s="2" t="s">
        <v>13231</v>
      </c>
      <c r="E16745" s="3">
        <v>7.06E-158</v>
      </c>
      <c r="F16745" s="2">
        <v>1189</v>
      </c>
      <c r="G16745" s="2">
        <v>81</v>
      </c>
      <c r="H16745" s="2">
        <v>273</v>
      </c>
      <c r="I16745" s="2">
        <v>404</v>
      </c>
      <c r="J16745" s="2">
        <v>1216</v>
      </c>
      <c r="K16745" s="2">
        <v>18</v>
      </c>
      <c r="L16745" s="2">
        <v>290</v>
      </c>
    </row>
    <row r="16746" spans="1:12" x14ac:dyDescent="0.25">
      <c r="A16746" s="4" t="str">
        <f>HYPERLINK("http://www.rosaceae.org/Prunus/Prunus_persica/p.persica_gdr_reftransV1_0018233","p.persica_gdr_reftransV1_0018233")</f>
        <v>p.persica_gdr_reftransV1_0018233</v>
      </c>
      <c r="B16746" s="2">
        <v>2266</v>
      </c>
      <c r="C16746" s="4" t="str">
        <f>HYPERLINK("http://www.uniprot.org/uniprot/M5XNZ2","M5XNZ2")</f>
        <v>M5XNZ2</v>
      </c>
      <c r="D16746" s="2" t="s">
        <v>13232</v>
      </c>
      <c r="E16746" s="3">
        <v>0</v>
      </c>
      <c r="F16746" s="2">
        <v>3018</v>
      </c>
      <c r="G16746" s="2">
        <v>100</v>
      </c>
      <c r="H16746" s="2">
        <v>651</v>
      </c>
      <c r="I16746" s="2">
        <v>1</v>
      </c>
      <c r="J16746" s="2">
        <v>1953</v>
      </c>
      <c r="K16746" s="2">
        <v>262</v>
      </c>
      <c r="L16746" s="2">
        <v>912</v>
      </c>
    </row>
    <row r="16747" spans="1:12" x14ac:dyDescent="0.25">
      <c r="A16747" s="4" t="str">
        <f>HYPERLINK("http://www.rosaceae.org/Prunus/Prunus_persica/p.persica_gdr_reftransV1_0018583","p.persica_gdr_reftransV1_0018583")</f>
        <v>p.persica_gdr_reftransV1_0018583</v>
      </c>
      <c r="B16747" s="2">
        <v>1854</v>
      </c>
      <c r="C16747" s="4" t="str">
        <f>HYPERLINK("http://www.uniprot.org/uniprot/M5XP30","M5XP30")</f>
        <v>M5XP30</v>
      </c>
      <c r="D16747" s="2" t="s">
        <v>5696</v>
      </c>
      <c r="E16747" s="3">
        <v>0</v>
      </c>
      <c r="F16747" s="2">
        <v>2364</v>
      </c>
      <c r="G16747" s="2">
        <v>99</v>
      </c>
      <c r="H16747" s="2">
        <v>498</v>
      </c>
      <c r="I16747" s="2">
        <v>361</v>
      </c>
      <c r="J16747" s="2">
        <v>1854</v>
      </c>
      <c r="K16747" s="2">
        <v>58</v>
      </c>
      <c r="L16747" s="2">
        <v>555</v>
      </c>
    </row>
    <row r="16748" spans="1:12" x14ac:dyDescent="0.25">
      <c r="A16748" s="4" t="str">
        <f>HYPERLINK("http://www.rosaceae.org/Prunus/Prunus_persica/p.persica_gdr_reftransV1_0018933","p.persica_gdr_reftransV1_0018933")</f>
        <v>p.persica_gdr_reftransV1_0018933</v>
      </c>
      <c r="B16748" s="2">
        <v>891</v>
      </c>
      <c r="C16748" s="4" t="str">
        <f>HYPERLINK("http://www.uniprot.org/uniprot/M5WVB7","M5WVB7")</f>
        <v>M5WVB7</v>
      </c>
      <c r="D16748" s="2" t="s">
        <v>13233</v>
      </c>
      <c r="E16748" s="3">
        <v>5.5800000000000001E-40</v>
      </c>
      <c r="F16748" s="2">
        <v>253</v>
      </c>
      <c r="G16748" s="2">
        <v>51</v>
      </c>
      <c r="H16748" s="2">
        <v>171</v>
      </c>
      <c r="I16748" s="2">
        <v>393</v>
      </c>
      <c r="J16748" s="2">
        <v>887</v>
      </c>
      <c r="K16748" s="2">
        <v>1088</v>
      </c>
      <c r="L16748" s="2">
        <v>1227</v>
      </c>
    </row>
    <row r="16749" spans="1:12" x14ac:dyDescent="0.25">
      <c r="A16749" s="4" t="str">
        <f>HYPERLINK("http://www.rosaceae.org/Prunus/Prunus_persica/p.persica_gdr_reftransV1_0019283","p.persica_gdr_reftransV1_0019283")</f>
        <v>p.persica_gdr_reftransV1_0019283</v>
      </c>
      <c r="B16749" s="2">
        <v>1760</v>
      </c>
      <c r="C16749" s="4" t="str">
        <f>HYPERLINK("http://www.uniprot.org/uniprot/M5X1Z4","M5X1Z4")</f>
        <v>M5X1Z4</v>
      </c>
      <c r="D16749" s="2" t="s">
        <v>13234</v>
      </c>
      <c r="E16749" s="3">
        <v>2.0699999999999999E-106</v>
      </c>
      <c r="F16749" s="2">
        <v>850</v>
      </c>
      <c r="G16749" s="2">
        <v>99</v>
      </c>
      <c r="H16749" s="2">
        <v>163</v>
      </c>
      <c r="I16749" s="2">
        <v>390</v>
      </c>
      <c r="J16749" s="2">
        <v>878</v>
      </c>
      <c r="K16749" s="2">
        <v>77</v>
      </c>
      <c r="L16749" s="2">
        <v>239</v>
      </c>
    </row>
    <row r="16750" spans="1:12" x14ac:dyDescent="0.25">
      <c r="A16750" s="4" t="str">
        <f>HYPERLINK("http://www.rosaceae.org/Prunus/Prunus_persica/p.persica_gdr_reftransV1_0019983","p.persica_gdr_reftransV1_0019983")</f>
        <v>p.persica_gdr_reftransV1_0019983</v>
      </c>
      <c r="B16750" s="2">
        <v>2503</v>
      </c>
      <c r="C16750" s="4" t="str">
        <f>HYPERLINK("http://www.uniprot.org/uniprot/I7AYD2","I7AYD2")</f>
        <v>I7AYD2</v>
      </c>
      <c r="D16750" s="2" t="s">
        <v>13235</v>
      </c>
      <c r="E16750" s="3">
        <v>2.8100000000000001E-132</v>
      </c>
      <c r="F16750" s="2">
        <v>1088</v>
      </c>
      <c r="G16750" s="2">
        <v>35</v>
      </c>
      <c r="H16750" s="2">
        <v>725</v>
      </c>
      <c r="I16750" s="2">
        <v>17</v>
      </c>
      <c r="J16750" s="2">
        <v>2029</v>
      </c>
      <c r="K16750" s="2">
        <v>2</v>
      </c>
      <c r="L16750" s="2">
        <v>666</v>
      </c>
    </row>
    <row r="16751" spans="1:12" x14ac:dyDescent="0.25">
      <c r="A16751" s="4" t="str">
        <f>HYPERLINK("http://www.rosaceae.org/Prunus/Prunus_persica/p.persica_gdr_reftransV1_0020333","p.persica_gdr_reftransV1_0020333")</f>
        <v>p.persica_gdr_reftransV1_0020333</v>
      </c>
      <c r="B16751" s="2">
        <v>982</v>
      </c>
      <c r="C16751" s="4" t="str">
        <f>HYPERLINK("http://www.uniprot.org/uniprot/M5X8W1","M5X8W1")</f>
        <v>M5X8W1</v>
      </c>
      <c r="D16751" s="2" t="s">
        <v>10497</v>
      </c>
      <c r="E16751" s="3">
        <v>9.4499999999999999E-81</v>
      </c>
      <c r="F16751" s="2">
        <v>650</v>
      </c>
      <c r="G16751" s="2">
        <v>70</v>
      </c>
      <c r="H16751" s="2">
        <v>217</v>
      </c>
      <c r="I16751" s="2">
        <v>91</v>
      </c>
      <c r="J16751" s="2">
        <v>714</v>
      </c>
      <c r="K16751" s="2">
        <v>1</v>
      </c>
      <c r="L16751" s="2">
        <v>176</v>
      </c>
    </row>
    <row r="16752" spans="1:12" x14ac:dyDescent="0.25">
      <c r="A16752" s="4" t="str">
        <f>HYPERLINK("http://www.rosaceae.org/Prunus/Prunus_persica/p.persica_gdr_reftransV1_0021033","p.persica_gdr_reftransV1_0021033")</f>
        <v>p.persica_gdr_reftransV1_0021033</v>
      </c>
      <c r="B16752" s="2">
        <v>1153</v>
      </c>
      <c r="C16752" s="4" t="str">
        <f>HYPERLINK("http://www.uniprot.org/uniprot/M5XB14","M5XB14")</f>
        <v>M5XB14</v>
      </c>
      <c r="D16752" s="2" t="s">
        <v>2691</v>
      </c>
      <c r="E16752" s="3">
        <v>6.3799999999999999E-89</v>
      </c>
      <c r="F16752" s="2">
        <v>479</v>
      </c>
      <c r="G16752" s="2">
        <v>100</v>
      </c>
      <c r="H16752" s="2">
        <v>107</v>
      </c>
      <c r="I16752" s="2">
        <v>828</v>
      </c>
      <c r="J16752" s="2">
        <v>1148</v>
      </c>
      <c r="K16752" s="2">
        <v>1</v>
      </c>
      <c r="L16752" s="2">
        <v>107</v>
      </c>
    </row>
    <row r="16753" spans="1:12" x14ac:dyDescent="0.25">
      <c r="A16753" s="4" t="str">
        <f>HYPERLINK("http://www.rosaceae.org/Prunus/Prunus_persica/p.persica_gdr_reftransV1_0021733","p.persica_gdr_reftransV1_0021733")</f>
        <v>p.persica_gdr_reftransV1_0021733</v>
      </c>
      <c r="B16753" s="2">
        <v>851</v>
      </c>
      <c r="C16753" s="4" t="str">
        <f>HYPERLINK("http://www.uniprot.org/uniprot/M5W6I8","M5W6I8")</f>
        <v>M5W6I8</v>
      </c>
      <c r="D16753" s="2" t="s">
        <v>12060</v>
      </c>
      <c r="E16753" s="3">
        <v>2.72E-174</v>
      </c>
      <c r="F16753" s="2">
        <v>1318</v>
      </c>
      <c r="G16753" s="2">
        <v>100</v>
      </c>
      <c r="H16753" s="2">
        <v>248</v>
      </c>
      <c r="I16753" s="2">
        <v>108</v>
      </c>
      <c r="J16753" s="2">
        <v>851</v>
      </c>
      <c r="K16753" s="2">
        <v>499</v>
      </c>
      <c r="L16753" s="2">
        <v>746</v>
      </c>
    </row>
    <row r="16754" spans="1:12" x14ac:dyDescent="0.25">
      <c r="A16754" s="4" t="str">
        <f>HYPERLINK("http://www.rosaceae.org/Prunus/Prunus_persica/p.persica_gdr_reftransV1_0022433","p.persica_gdr_reftransV1_0022433")</f>
        <v>p.persica_gdr_reftransV1_0022433</v>
      </c>
      <c r="B16754" s="2">
        <v>2225</v>
      </c>
      <c r="C16754" s="4" t="str">
        <f>HYPERLINK("http://www.uniprot.org/uniprot/M5WAJ5","M5WAJ5")</f>
        <v>M5WAJ5</v>
      </c>
      <c r="D16754" s="2" t="s">
        <v>13236</v>
      </c>
      <c r="E16754" s="3">
        <v>4.2800000000000003E-99</v>
      </c>
      <c r="F16754" s="2">
        <v>812</v>
      </c>
      <c r="G16754" s="2">
        <v>74</v>
      </c>
      <c r="H16754" s="2">
        <v>226</v>
      </c>
      <c r="I16754" s="2">
        <v>892</v>
      </c>
      <c r="J16754" s="2">
        <v>1536</v>
      </c>
      <c r="K16754" s="2">
        <v>14</v>
      </c>
      <c r="L16754" s="2">
        <v>237</v>
      </c>
    </row>
    <row r="16755" spans="1:12" x14ac:dyDescent="0.25">
      <c r="A16755" s="4" t="str">
        <f>HYPERLINK("http://www.rosaceae.org/Prunus/Prunus_persica/p.persica_gdr_reftransV1_0023133","p.persica_gdr_reftransV1_0023133")</f>
        <v>p.persica_gdr_reftransV1_0023133</v>
      </c>
      <c r="B16755" s="2">
        <v>1250</v>
      </c>
      <c r="C16755" s="4" t="str">
        <f>HYPERLINK("http://www.uniprot.org/uniprot/M5WBK3","M5WBK3")</f>
        <v>M5WBK3</v>
      </c>
      <c r="D16755" s="2" t="s">
        <v>7106</v>
      </c>
      <c r="E16755" s="3">
        <v>0</v>
      </c>
      <c r="F16755" s="2">
        <v>1414</v>
      </c>
      <c r="G16755" s="2">
        <v>100</v>
      </c>
      <c r="H16755" s="2">
        <v>292</v>
      </c>
      <c r="I16755" s="2">
        <v>57</v>
      </c>
      <c r="J16755" s="2">
        <v>932</v>
      </c>
      <c r="K16755" s="2">
        <v>205</v>
      </c>
      <c r="L16755" s="2">
        <v>496</v>
      </c>
    </row>
    <row r="16756" spans="1:12" x14ac:dyDescent="0.25">
      <c r="A16756" s="4" t="str">
        <f>HYPERLINK("http://www.rosaceae.org/Prunus/Prunus_persica/p.persica_gdr_reftransV1_0023483","p.persica_gdr_reftransV1_0023483")</f>
        <v>p.persica_gdr_reftransV1_0023483</v>
      </c>
      <c r="B16756" s="2">
        <v>1805</v>
      </c>
      <c r="C16756" s="4" t="str">
        <f>HYPERLINK("http://www.uniprot.org/uniprot/M5WPP2","M5WPP2")</f>
        <v>M5WPP2</v>
      </c>
      <c r="D16756" s="2" t="s">
        <v>1834</v>
      </c>
      <c r="E16756" s="3">
        <v>0</v>
      </c>
      <c r="F16756" s="2">
        <v>2208</v>
      </c>
      <c r="G16756" s="2">
        <v>90</v>
      </c>
      <c r="H16756" s="2">
        <v>471</v>
      </c>
      <c r="I16756" s="2">
        <v>3</v>
      </c>
      <c r="J16756" s="2">
        <v>1415</v>
      </c>
      <c r="K16756" s="2">
        <v>338</v>
      </c>
      <c r="L16756" s="2">
        <v>762</v>
      </c>
    </row>
    <row r="16757" spans="1:12" x14ac:dyDescent="0.25">
      <c r="A16757" s="4" t="str">
        <f>HYPERLINK("http://www.rosaceae.org/Prunus/Prunus_persica/p.persica_gdr_reftransV1_0024883","p.persica_gdr_reftransV1_0024883")</f>
        <v>p.persica_gdr_reftransV1_0024883</v>
      </c>
      <c r="B16757" s="2">
        <v>1212</v>
      </c>
      <c r="C16757" s="4" t="str">
        <f>HYPERLINK("http://www.uniprot.org/uniprot/M5XMJ5","M5XMJ5")</f>
        <v>M5XMJ5</v>
      </c>
      <c r="D16757" s="2" t="s">
        <v>13237</v>
      </c>
      <c r="E16757" s="3">
        <v>1.25E-117</v>
      </c>
      <c r="F16757" s="2">
        <v>902</v>
      </c>
      <c r="G16757" s="2">
        <v>100</v>
      </c>
      <c r="H16757" s="2">
        <v>167</v>
      </c>
      <c r="I16757" s="2">
        <v>593</v>
      </c>
      <c r="J16757" s="2">
        <v>1093</v>
      </c>
      <c r="K16757" s="2">
        <v>1</v>
      </c>
      <c r="L16757" s="2">
        <v>167</v>
      </c>
    </row>
    <row r="16758" spans="1:12" x14ac:dyDescent="0.25">
      <c r="A16758" s="4" t="str">
        <f>HYPERLINK("http://www.rosaceae.org/Prunus/Prunus_persica/p.persica_gdr_reftransV1_0026283","p.persica_gdr_reftransV1_0026283")</f>
        <v>p.persica_gdr_reftransV1_0026283</v>
      </c>
      <c r="B16758" s="2">
        <v>655</v>
      </c>
      <c r="C16758" s="4" t="str">
        <f>HYPERLINK("http://www.uniprot.org/uniprot/M5XDU2","M5XDU2")</f>
        <v>M5XDU2</v>
      </c>
      <c r="D16758" s="2" t="s">
        <v>13238</v>
      </c>
      <c r="E16758" s="3">
        <v>2.08E-71</v>
      </c>
      <c r="F16758" s="2">
        <v>592</v>
      </c>
      <c r="G16758" s="2">
        <v>100</v>
      </c>
      <c r="H16758" s="2">
        <v>111</v>
      </c>
      <c r="I16758" s="2">
        <v>1</v>
      </c>
      <c r="J16758" s="2">
        <v>333</v>
      </c>
      <c r="K16758" s="2">
        <v>1</v>
      </c>
      <c r="L16758" s="2">
        <v>111</v>
      </c>
    </row>
    <row r="16759" spans="1:12" x14ac:dyDescent="0.25">
      <c r="A16759" s="4" t="str">
        <f>HYPERLINK("http://www.rosaceae.org/Prunus/Prunus_persica/p.persica_gdr_reftransV1_0030133","p.persica_gdr_reftransV1_0030133")</f>
        <v>p.persica_gdr_reftransV1_0030133</v>
      </c>
      <c r="B16759" s="2">
        <v>1934</v>
      </c>
      <c r="C16759" s="4" t="str">
        <f>HYPERLINK("http://www.uniprot.org/uniprot/M5W586","M5W586")</f>
        <v>M5W586</v>
      </c>
      <c r="D16759" s="2" t="s">
        <v>13239</v>
      </c>
      <c r="E16759" s="3">
        <v>0</v>
      </c>
      <c r="F16759" s="2">
        <v>2541</v>
      </c>
      <c r="G16759" s="2">
        <v>96</v>
      </c>
      <c r="H16759" s="2">
        <v>549</v>
      </c>
      <c r="I16759" s="2">
        <v>22</v>
      </c>
      <c r="J16759" s="2">
        <v>1668</v>
      </c>
      <c r="K16759" s="2">
        <v>108</v>
      </c>
      <c r="L16759" s="2">
        <v>635</v>
      </c>
    </row>
    <row r="16760" spans="1:12" x14ac:dyDescent="0.25">
      <c r="A16760" s="4" t="str">
        <f>HYPERLINK("http://www.rosaceae.org/Prunus/Prunus_persica/p.persica_gdr_reftransV1_0030483","p.persica_gdr_reftransV1_0030483")</f>
        <v>p.persica_gdr_reftransV1_0030483</v>
      </c>
      <c r="B16760" s="2">
        <v>4959</v>
      </c>
      <c r="C16760" s="4" t="str">
        <f>HYPERLINK("http://www.uniprot.org/uniprot/M5X0S6","M5X0S6")</f>
        <v>M5X0S6</v>
      </c>
      <c r="D16760" s="2" t="s">
        <v>1390</v>
      </c>
      <c r="E16760" s="3">
        <v>5.2199999999999998E-166</v>
      </c>
      <c r="F16760" s="2">
        <v>1347</v>
      </c>
      <c r="G16760" s="2">
        <v>99</v>
      </c>
      <c r="H16760" s="2">
        <v>270</v>
      </c>
      <c r="I16760" s="2">
        <v>2781</v>
      </c>
      <c r="J16760" s="2">
        <v>3590</v>
      </c>
      <c r="K16760" s="2">
        <v>192</v>
      </c>
      <c r="L16760" s="2">
        <v>461</v>
      </c>
    </row>
    <row r="16761" spans="1:12" x14ac:dyDescent="0.25">
      <c r="A16761" s="4" t="str">
        <f>HYPERLINK("http://www.rosaceae.org/Prunus/Prunus_persica/p.persica_gdr_reftransV1_0030833","p.persica_gdr_reftransV1_0030833")</f>
        <v>p.persica_gdr_reftransV1_0030833</v>
      </c>
      <c r="B16761" s="2">
        <v>6614</v>
      </c>
      <c r="C16761" s="4" t="str">
        <f>HYPERLINK("http://www.uniprot.org/uniprot/F6GZ87","F6GZ87")</f>
        <v>F6GZ87</v>
      </c>
      <c r="D16761" s="2" t="s">
        <v>13240</v>
      </c>
      <c r="E16761" s="3">
        <v>0</v>
      </c>
      <c r="F16761" s="2">
        <v>2863</v>
      </c>
      <c r="G16761" s="2">
        <v>78</v>
      </c>
      <c r="H16761" s="2">
        <v>758</v>
      </c>
      <c r="I16761" s="2">
        <v>3153</v>
      </c>
      <c r="J16761" s="2">
        <v>5411</v>
      </c>
      <c r="K16761" s="2">
        <v>611</v>
      </c>
      <c r="L16761" s="2">
        <v>1363</v>
      </c>
    </row>
    <row r="16762" spans="1:12" x14ac:dyDescent="0.25">
      <c r="A16762" s="4" t="str">
        <f>HYPERLINK("http://www.rosaceae.org/Prunus/Prunus_persica/p.persica_gdr_reftransV1_0031533","p.persica_gdr_reftransV1_0031533")</f>
        <v>p.persica_gdr_reftransV1_0031533</v>
      </c>
      <c r="B16762" s="2">
        <v>1280</v>
      </c>
      <c r="C16762" s="4" t="str">
        <f>HYPERLINK("http://www.uniprot.org/uniprot/M5WTG4","M5WTG4")</f>
        <v>M5WTG4</v>
      </c>
      <c r="D16762" s="2" t="s">
        <v>13241</v>
      </c>
      <c r="E16762" s="3">
        <v>2.3099999999999999E-126</v>
      </c>
      <c r="F16762" s="2">
        <v>967</v>
      </c>
      <c r="G16762" s="2">
        <v>100</v>
      </c>
      <c r="H16762" s="2">
        <v>177</v>
      </c>
      <c r="I16762" s="2">
        <v>456</v>
      </c>
      <c r="J16762" s="2">
        <v>986</v>
      </c>
      <c r="K16762" s="2">
        <v>1</v>
      </c>
      <c r="L16762" s="2">
        <v>177</v>
      </c>
    </row>
    <row r="16763" spans="1:12" x14ac:dyDescent="0.25">
      <c r="A16763" s="4" t="str">
        <f>HYPERLINK("http://www.rosaceae.org/Prunus/Prunus_persica/p.persica_gdr_reftransV1_0032583","p.persica_gdr_reftransV1_0032583")</f>
        <v>p.persica_gdr_reftransV1_0032583</v>
      </c>
      <c r="B16763" s="2">
        <v>3326</v>
      </c>
      <c r="C16763" s="4" t="str">
        <f>HYPERLINK("http://www.uniprot.org/uniprot/M5WXW3","M5WXW3")</f>
        <v>M5WXW3</v>
      </c>
      <c r="D16763" s="2" t="s">
        <v>2127</v>
      </c>
      <c r="E16763" s="3">
        <v>0</v>
      </c>
      <c r="F16763" s="2">
        <v>4777</v>
      </c>
      <c r="G16763" s="2">
        <v>94</v>
      </c>
      <c r="H16763" s="2">
        <v>982</v>
      </c>
      <c r="I16763" s="2">
        <v>446</v>
      </c>
      <c r="J16763" s="2">
        <v>3325</v>
      </c>
      <c r="K16763" s="2">
        <v>170</v>
      </c>
      <c r="L16763" s="2">
        <v>1117</v>
      </c>
    </row>
    <row r="16764" spans="1:12" x14ac:dyDescent="0.25">
      <c r="A16764" s="4" t="str">
        <f>HYPERLINK("http://www.rosaceae.org/Prunus/Prunus_persica/p.persica_gdr_reftransV1_0032933","p.persica_gdr_reftransV1_0032933")</f>
        <v>p.persica_gdr_reftransV1_0032933</v>
      </c>
      <c r="B16764" s="2">
        <v>2698</v>
      </c>
      <c r="C16764" s="4" t="str">
        <f>HYPERLINK("http://www.uniprot.org/uniprot/M5X7F3","M5X7F3")</f>
        <v>M5X7F3</v>
      </c>
      <c r="D16764" s="2" t="s">
        <v>13242</v>
      </c>
      <c r="E16764" s="3">
        <v>0</v>
      </c>
      <c r="F16764" s="2">
        <v>2891</v>
      </c>
      <c r="G16764" s="2">
        <v>100</v>
      </c>
      <c r="H16764" s="2">
        <v>644</v>
      </c>
      <c r="I16764" s="2">
        <v>608</v>
      </c>
      <c r="J16764" s="2">
        <v>2539</v>
      </c>
      <c r="K16764" s="2">
        <v>1</v>
      </c>
      <c r="L16764" s="2">
        <v>644</v>
      </c>
    </row>
    <row r="16765" spans="1:12" x14ac:dyDescent="0.25">
      <c r="A16765" s="4" t="str">
        <f>HYPERLINK("http://www.rosaceae.org/Prunus/Prunus_persica/p.persica_gdr_reftransV1_0033633","p.persica_gdr_reftransV1_0033633")</f>
        <v>p.persica_gdr_reftransV1_0033633</v>
      </c>
      <c r="B16765" s="2">
        <v>2556</v>
      </c>
      <c r="C16765" s="4" t="str">
        <f>HYPERLINK("http://www.uniprot.org/uniprot/M5WJH0","M5WJH0")</f>
        <v>M5WJH0</v>
      </c>
      <c r="D16765" s="2" t="s">
        <v>9936</v>
      </c>
      <c r="E16765" s="3">
        <v>0</v>
      </c>
      <c r="F16765" s="2">
        <v>1735</v>
      </c>
      <c r="G16765" s="2">
        <v>100</v>
      </c>
      <c r="H16765" s="2">
        <v>421</v>
      </c>
      <c r="I16765" s="2">
        <v>1012</v>
      </c>
      <c r="J16765" s="2">
        <v>2274</v>
      </c>
      <c r="K16765" s="2">
        <v>416</v>
      </c>
      <c r="L16765" s="2">
        <v>836</v>
      </c>
    </row>
    <row r="16766" spans="1:12" x14ac:dyDescent="0.25">
      <c r="A16766" s="4" t="str">
        <f>HYPERLINK("http://www.rosaceae.org/Prunus/Prunus_persica/p.persica_gdr_reftransV1_0033983","p.persica_gdr_reftransV1_0033983")</f>
        <v>p.persica_gdr_reftransV1_0033983</v>
      </c>
      <c r="B16766" s="2">
        <v>2372</v>
      </c>
      <c r="C16766" s="4" t="str">
        <f>HYPERLINK("http://www.uniprot.org/uniprot/M5VQU3","M5VQU3")</f>
        <v>M5VQU3</v>
      </c>
      <c r="D16766" s="2" t="s">
        <v>13243</v>
      </c>
      <c r="E16766" s="3">
        <v>1.01E-171</v>
      </c>
      <c r="F16766" s="2">
        <v>1306</v>
      </c>
      <c r="G16766" s="2">
        <v>100</v>
      </c>
      <c r="H16766" s="2">
        <v>249</v>
      </c>
      <c r="I16766" s="2">
        <v>961</v>
      </c>
      <c r="J16766" s="2">
        <v>1707</v>
      </c>
      <c r="K16766" s="2">
        <v>22</v>
      </c>
      <c r="L16766" s="2">
        <v>270</v>
      </c>
    </row>
    <row r="16767" spans="1:12" x14ac:dyDescent="0.25">
      <c r="A16767" s="4" t="str">
        <f>HYPERLINK("http://www.rosaceae.org/Prunus/Prunus_persica/p.persica_gdr_reftransV1_0036083","p.persica_gdr_reftransV1_0036083")</f>
        <v>p.persica_gdr_reftransV1_0036083</v>
      </c>
      <c r="B16767" s="2">
        <v>1254</v>
      </c>
      <c r="C16767" s="4" t="str">
        <f>HYPERLINK("http://www.uniprot.org/uniprot/M5WB13","M5WB13")</f>
        <v>M5WB13</v>
      </c>
      <c r="D16767" s="2" t="s">
        <v>13244</v>
      </c>
      <c r="E16767" s="3">
        <v>0</v>
      </c>
      <c r="F16767" s="2">
        <v>1713</v>
      </c>
      <c r="G16767" s="2">
        <v>100</v>
      </c>
      <c r="H16767" s="2">
        <v>361</v>
      </c>
      <c r="I16767" s="2">
        <v>64</v>
      </c>
      <c r="J16767" s="2">
        <v>1146</v>
      </c>
      <c r="K16767" s="2">
        <v>1</v>
      </c>
      <c r="L16767" s="2">
        <v>361</v>
      </c>
    </row>
    <row r="16768" spans="1:12" x14ac:dyDescent="0.25">
      <c r="A16768" s="4" t="str">
        <f>HYPERLINK("http://www.rosaceae.org/Prunus/Prunus_persica/p.persica_gdr_reftransV1_0039233","p.persica_gdr_reftransV1_0039233")</f>
        <v>p.persica_gdr_reftransV1_0039233</v>
      </c>
      <c r="B16768" s="2">
        <v>1154</v>
      </c>
      <c r="C16768" s="4" t="str">
        <f>HYPERLINK("http://www.uniprot.org/uniprot/M5WL26","M5WL26")</f>
        <v>M5WL26</v>
      </c>
      <c r="D16768" s="2" t="s">
        <v>8117</v>
      </c>
      <c r="E16768" s="3">
        <v>0</v>
      </c>
      <c r="F16768" s="2">
        <v>1577</v>
      </c>
      <c r="G16768" s="2">
        <v>99</v>
      </c>
      <c r="H16768" s="2">
        <v>319</v>
      </c>
      <c r="I16768" s="2">
        <v>162</v>
      </c>
      <c r="J16768" s="2">
        <v>1118</v>
      </c>
      <c r="K16768" s="2">
        <v>1</v>
      </c>
      <c r="L16768" s="2">
        <v>316</v>
      </c>
    </row>
    <row r="16769" spans="1:12" x14ac:dyDescent="0.25">
      <c r="A16769" s="4" t="str">
        <f>HYPERLINK("http://www.rosaceae.org/Prunus/Prunus_persica/p.persica_gdr_reftransV1_0039933","p.persica_gdr_reftransV1_0039933")</f>
        <v>p.persica_gdr_reftransV1_0039933</v>
      </c>
      <c r="B16769" s="2">
        <v>1438</v>
      </c>
      <c r="C16769" s="4" t="str">
        <f>HYPERLINK("http://www.uniprot.org/uniprot/M5WU03","M5WU03")</f>
        <v>M5WU03</v>
      </c>
      <c r="D16769" s="2" t="s">
        <v>13245</v>
      </c>
      <c r="E16769" s="3">
        <v>5.1899999999999999E-126</v>
      </c>
      <c r="F16769" s="2">
        <v>968</v>
      </c>
      <c r="G16769" s="2">
        <v>99</v>
      </c>
      <c r="H16769" s="2">
        <v>183</v>
      </c>
      <c r="I16769" s="2">
        <v>734</v>
      </c>
      <c r="J16769" s="2">
        <v>1282</v>
      </c>
      <c r="K16769" s="2">
        <v>1</v>
      </c>
      <c r="L16769" s="2">
        <v>183</v>
      </c>
    </row>
    <row r="16770" spans="1:12" x14ac:dyDescent="0.25">
      <c r="A16770" s="4" t="str">
        <f>HYPERLINK("http://www.rosaceae.org/Prunus/Prunus_persica/p.persica_gdr_reftransV1_0040283","p.persica_gdr_reftransV1_0040283")</f>
        <v>p.persica_gdr_reftransV1_0040283</v>
      </c>
      <c r="B16770" s="2">
        <v>3775</v>
      </c>
      <c r="C16770" s="4" t="str">
        <f>HYPERLINK("http://www.uniprot.org/uniprot/M5X2D3","M5X2D3")</f>
        <v>M5X2D3</v>
      </c>
      <c r="D16770" s="2" t="s">
        <v>13246</v>
      </c>
      <c r="E16770" s="3">
        <v>1.9799999999999999E-155</v>
      </c>
      <c r="F16770" s="2">
        <v>1253</v>
      </c>
      <c r="G16770" s="2">
        <v>91</v>
      </c>
      <c r="H16770" s="2">
        <v>268</v>
      </c>
      <c r="I16770" s="2">
        <v>1503</v>
      </c>
      <c r="J16770" s="2">
        <v>2306</v>
      </c>
      <c r="K16770" s="2">
        <v>221</v>
      </c>
      <c r="L16770" s="2">
        <v>481</v>
      </c>
    </row>
    <row r="16771" spans="1:12" x14ac:dyDescent="0.25">
      <c r="A16771" s="4" t="str">
        <f>HYPERLINK("http://www.rosaceae.org/Prunus/Prunus_persica/p.persica_gdr_reftransV1_0043433","p.persica_gdr_reftransV1_0043433")</f>
        <v>p.persica_gdr_reftransV1_0043433</v>
      </c>
      <c r="B16771" s="2">
        <v>400</v>
      </c>
      <c r="C16771" s="4" t="str">
        <f>HYPERLINK("http://www.uniprot.org/uniprot/M5VUC7","M5VUC7")</f>
        <v>M5VUC7</v>
      </c>
      <c r="D16771" s="2" t="s">
        <v>131</v>
      </c>
      <c r="E16771" s="3">
        <v>7.6900000000000002E-34</v>
      </c>
      <c r="F16771" s="2">
        <v>340</v>
      </c>
      <c r="G16771" s="2">
        <v>53</v>
      </c>
      <c r="H16771" s="2">
        <v>139</v>
      </c>
      <c r="I16771" s="2">
        <v>1</v>
      </c>
      <c r="J16771" s="2">
        <v>399</v>
      </c>
      <c r="K16771" s="2">
        <v>883</v>
      </c>
      <c r="L16771" s="2">
        <v>1005</v>
      </c>
    </row>
    <row r="16772" spans="1:12" x14ac:dyDescent="0.25">
      <c r="A16772" s="4" t="str">
        <f>HYPERLINK("http://www.rosaceae.org/Prunus/Prunus_persica/p.persica_gdr_reftransV1_0043783","p.persica_gdr_reftransV1_0043783")</f>
        <v>p.persica_gdr_reftransV1_0043783</v>
      </c>
      <c r="B16772" s="2">
        <v>1226</v>
      </c>
      <c r="C16772" s="4" t="str">
        <f>HYPERLINK("http://www.uniprot.org/uniprot/B6ZL94","B6ZL94")</f>
        <v>B6ZL94</v>
      </c>
      <c r="D16772" s="2" t="s">
        <v>10300</v>
      </c>
      <c r="E16772" s="3">
        <v>0</v>
      </c>
      <c r="F16772" s="2">
        <v>1422</v>
      </c>
      <c r="G16772" s="2">
        <v>100</v>
      </c>
      <c r="H16772" s="2">
        <v>270</v>
      </c>
      <c r="I16772" s="2">
        <v>289</v>
      </c>
      <c r="J16772" s="2">
        <v>1098</v>
      </c>
      <c r="K16772" s="2">
        <v>1</v>
      </c>
      <c r="L16772" s="2">
        <v>270</v>
      </c>
    </row>
    <row r="16773" spans="1:12" x14ac:dyDescent="0.25">
      <c r="A16773" s="4" t="str">
        <f>HYPERLINK("http://www.rosaceae.org/Prunus/Prunus_persica/p.persica_gdr_reftransV1_0044133","p.persica_gdr_reftransV1_0044133")</f>
        <v>p.persica_gdr_reftransV1_0044133</v>
      </c>
      <c r="B16773" s="2">
        <v>1259</v>
      </c>
      <c r="C16773" s="4" t="str">
        <f>HYPERLINK("http://www.uniprot.org/uniprot/M5X1D7","M5X1D7")</f>
        <v>M5X1D7</v>
      </c>
      <c r="D16773" s="2" t="s">
        <v>13247</v>
      </c>
      <c r="E16773" s="3">
        <v>0</v>
      </c>
      <c r="F16773" s="2">
        <v>1383</v>
      </c>
      <c r="G16773" s="2">
        <v>95</v>
      </c>
      <c r="H16773" s="2">
        <v>317</v>
      </c>
      <c r="I16773" s="2">
        <v>115</v>
      </c>
      <c r="J16773" s="2">
        <v>1065</v>
      </c>
      <c r="K16773" s="2">
        <v>1</v>
      </c>
      <c r="L16773" s="2">
        <v>303</v>
      </c>
    </row>
    <row r="16774" spans="1:12" x14ac:dyDescent="0.25">
      <c r="A16774" s="4" t="str">
        <f>HYPERLINK("http://www.rosaceae.org/Prunus/Prunus_persica/p.persica_gdr_reftransV1_0044833","p.persica_gdr_reftransV1_0044833")</f>
        <v>p.persica_gdr_reftransV1_0044833</v>
      </c>
      <c r="B16774" s="2">
        <v>561</v>
      </c>
      <c r="C16774" s="4" t="str">
        <f>HYPERLINK("http://www.uniprot.org/uniprot/M5X3M4","M5X3M4")</f>
        <v>M5X3M4</v>
      </c>
      <c r="D16774" s="2" t="s">
        <v>2124</v>
      </c>
      <c r="E16774" s="3">
        <v>3.5600000000000002E-99</v>
      </c>
      <c r="F16774" s="2">
        <v>822</v>
      </c>
      <c r="G16774" s="2">
        <v>100</v>
      </c>
      <c r="H16774" s="2">
        <v>151</v>
      </c>
      <c r="I16774" s="2">
        <v>107</v>
      </c>
      <c r="J16774" s="2">
        <v>559</v>
      </c>
      <c r="K16774" s="2">
        <v>966</v>
      </c>
      <c r="L16774" s="2">
        <v>1116</v>
      </c>
    </row>
    <row r="16775" spans="1:12" x14ac:dyDescent="0.25">
      <c r="A16775" s="4" t="str">
        <f>HYPERLINK("http://www.rosaceae.org/Prunus/Prunus_persica/p.persica_gdr_reftransV1_0045183","p.persica_gdr_reftransV1_0045183")</f>
        <v>p.persica_gdr_reftransV1_0045183</v>
      </c>
      <c r="B16775" s="2">
        <v>676</v>
      </c>
      <c r="C16775" s="4" t="str">
        <f>HYPERLINK("http://www.uniprot.org/uniprot/M5WAZ0","M5WAZ0")</f>
        <v>M5WAZ0</v>
      </c>
      <c r="D16775" s="2" t="s">
        <v>4447</v>
      </c>
      <c r="E16775" s="3">
        <v>3.4599999999999997E-135</v>
      </c>
      <c r="F16775" s="2">
        <v>1024</v>
      </c>
      <c r="G16775" s="2">
        <v>100</v>
      </c>
      <c r="H16775" s="2">
        <v>194</v>
      </c>
      <c r="I16775" s="2">
        <v>3</v>
      </c>
      <c r="J16775" s="2">
        <v>584</v>
      </c>
      <c r="K16775" s="2">
        <v>239</v>
      </c>
      <c r="L16775" s="2">
        <v>432</v>
      </c>
    </row>
    <row r="16776" spans="1:12" x14ac:dyDescent="0.25">
      <c r="A16776" s="4" t="str">
        <f>HYPERLINK("http://www.rosaceae.org/Prunus/Prunus_persica/p.persica_gdr_reftransV1_0045533","p.persica_gdr_reftransV1_0045533")</f>
        <v>p.persica_gdr_reftransV1_0045533</v>
      </c>
      <c r="B16776" s="2">
        <v>1373</v>
      </c>
      <c r="C16776" s="4" t="str">
        <f>HYPERLINK("http://www.uniprot.org/uniprot/M5Y082","M5Y082")</f>
        <v>M5Y082</v>
      </c>
      <c r="D16776" s="2" t="s">
        <v>13248</v>
      </c>
      <c r="E16776" s="3">
        <v>7.6599999999999999E-170</v>
      </c>
      <c r="F16776" s="2">
        <v>1259</v>
      </c>
      <c r="G16776" s="2">
        <v>100</v>
      </c>
      <c r="H16776" s="2">
        <v>239</v>
      </c>
      <c r="I16776" s="2">
        <v>392</v>
      </c>
      <c r="J16776" s="2">
        <v>1108</v>
      </c>
      <c r="K16776" s="2">
        <v>1</v>
      </c>
      <c r="L16776" s="2">
        <v>239</v>
      </c>
    </row>
    <row r="16777" spans="1:12" x14ac:dyDescent="0.25">
      <c r="A16777" s="4" t="str">
        <f>HYPERLINK("http://www.rosaceae.org/Prunus/Prunus_persica/p.persica_gdr_reftransV1_0045883","p.persica_gdr_reftransV1_0045883")</f>
        <v>p.persica_gdr_reftransV1_0045883</v>
      </c>
      <c r="B16777" s="2">
        <v>647</v>
      </c>
      <c r="C16777" s="4" t="str">
        <f>HYPERLINK("http://www.uniprot.org/uniprot/M5WNX5","M5WNX5")</f>
        <v>M5WNX5</v>
      </c>
      <c r="D16777" s="2" t="s">
        <v>13249</v>
      </c>
      <c r="E16777" s="3">
        <v>2.5199999999999999E-48</v>
      </c>
      <c r="F16777" s="2">
        <v>418</v>
      </c>
      <c r="G16777" s="2">
        <v>100</v>
      </c>
      <c r="H16777" s="2">
        <v>82</v>
      </c>
      <c r="I16777" s="2">
        <v>329</v>
      </c>
      <c r="J16777" s="2">
        <v>574</v>
      </c>
      <c r="K16777" s="2">
        <v>29</v>
      </c>
      <c r="L16777" s="2">
        <v>110</v>
      </c>
    </row>
    <row r="16778" spans="1:12" x14ac:dyDescent="0.25">
      <c r="A16778" s="4" t="str">
        <f>HYPERLINK("http://www.rosaceae.org/Prunus/Prunus_persica/p.persica_gdr_reftransV1_0047633","p.persica_gdr_reftransV1_0047633")</f>
        <v>p.persica_gdr_reftransV1_0047633</v>
      </c>
      <c r="B16778" s="2">
        <v>1259</v>
      </c>
      <c r="C16778" s="4" t="str">
        <f>HYPERLINK("http://www.uniprot.org/uniprot/G0Z815","G0Z815")</f>
        <v>G0Z815</v>
      </c>
      <c r="D16778" s="2" t="s">
        <v>13250</v>
      </c>
      <c r="E16778" s="3">
        <v>3.7E-47</v>
      </c>
      <c r="F16778" s="2">
        <v>292</v>
      </c>
      <c r="G16778" s="2">
        <v>78</v>
      </c>
      <c r="H16778" s="2">
        <v>147</v>
      </c>
      <c r="I16778" s="2">
        <v>770</v>
      </c>
      <c r="J16778" s="2">
        <v>1207</v>
      </c>
      <c r="K16778" s="2">
        <v>1</v>
      </c>
      <c r="L16778" s="2">
        <v>147</v>
      </c>
    </row>
    <row r="16779" spans="1:12" x14ac:dyDescent="0.25">
      <c r="A16779" s="4" t="str">
        <f>HYPERLINK("http://www.rosaceae.org/Prunus/Prunus_persica/p.persica_gdr_reftransV1_0047983","p.persica_gdr_reftransV1_0047983")</f>
        <v>p.persica_gdr_reftransV1_0047983</v>
      </c>
      <c r="B16779" s="2">
        <v>1747</v>
      </c>
      <c r="C16779" s="4" t="str">
        <f>HYPERLINK("http://www.uniprot.org/uniprot/M5W9X7","M5W9X7")</f>
        <v>M5W9X7</v>
      </c>
      <c r="D16779" s="2" t="s">
        <v>13251</v>
      </c>
      <c r="E16779" s="3">
        <v>7.7699999999999998E-147</v>
      </c>
      <c r="F16779" s="2">
        <v>1127</v>
      </c>
      <c r="G16779" s="2">
        <v>100</v>
      </c>
      <c r="H16779" s="2">
        <v>322</v>
      </c>
      <c r="I16779" s="2">
        <v>292</v>
      </c>
      <c r="J16779" s="2">
        <v>1257</v>
      </c>
      <c r="K16779" s="2">
        <v>1</v>
      </c>
      <c r="L16779" s="2">
        <v>322</v>
      </c>
    </row>
    <row r="16780" spans="1:12" x14ac:dyDescent="0.25">
      <c r="A16780" s="4" t="str">
        <f>HYPERLINK("http://www.rosaceae.org/Prunus/Prunus_persica/p.persica_gdr_reftransV1_0048333","p.persica_gdr_reftransV1_0048333")</f>
        <v>p.persica_gdr_reftransV1_0048333</v>
      </c>
      <c r="B16780" s="2">
        <v>2622</v>
      </c>
      <c r="C16780" s="4" t="str">
        <f>HYPERLINK("http://www.uniprot.org/uniprot/M5X622","M5X622")</f>
        <v>M5X622</v>
      </c>
      <c r="D16780" s="2" t="s">
        <v>11828</v>
      </c>
      <c r="E16780" s="3">
        <v>0</v>
      </c>
      <c r="F16780" s="2">
        <v>2965</v>
      </c>
      <c r="G16780" s="2">
        <v>100</v>
      </c>
      <c r="H16780" s="2">
        <v>586</v>
      </c>
      <c r="I16780" s="2">
        <v>340</v>
      </c>
      <c r="J16780" s="2">
        <v>2097</v>
      </c>
      <c r="K16780" s="2">
        <v>26</v>
      </c>
      <c r="L16780" s="2">
        <v>611</v>
      </c>
    </row>
    <row r="16781" spans="1:12" x14ac:dyDescent="0.25">
      <c r="A16781" s="4" t="str">
        <f>HYPERLINK("http://www.rosaceae.org/Prunus/Prunus_persica/p.persica_gdr_reftransV1_0048683","p.persica_gdr_reftransV1_0048683")</f>
        <v>p.persica_gdr_reftransV1_0048683</v>
      </c>
      <c r="B16781" s="2">
        <v>683</v>
      </c>
      <c r="C16781" s="4" t="str">
        <f>HYPERLINK("http://www.uniprot.org/uniprot/M5WBP5","M5WBP5")</f>
        <v>M5WBP5</v>
      </c>
      <c r="D16781" s="2" t="s">
        <v>6256</v>
      </c>
      <c r="E16781" s="3">
        <v>1.74E-69</v>
      </c>
      <c r="F16781" s="2">
        <v>591</v>
      </c>
      <c r="G16781" s="2">
        <v>100</v>
      </c>
      <c r="H16781" s="2">
        <v>109</v>
      </c>
      <c r="I16781" s="2">
        <v>254</v>
      </c>
      <c r="J16781" s="2">
        <v>580</v>
      </c>
      <c r="K16781" s="2">
        <v>383</v>
      </c>
      <c r="L16781" s="2">
        <v>491</v>
      </c>
    </row>
    <row r="16782" spans="1:12" x14ac:dyDescent="0.25">
      <c r="A16782" s="4" t="str">
        <f>HYPERLINK("http://www.rosaceae.org/Prunus/Prunus_persica/p.persica_gdr_reftransV1_0049033","p.persica_gdr_reftransV1_0049033")</f>
        <v>p.persica_gdr_reftransV1_0049033</v>
      </c>
      <c r="B16782" s="2">
        <v>1470</v>
      </c>
      <c r="C16782" s="4" t="str">
        <f>HYPERLINK("http://www.uniprot.org/uniprot/M5WTT2","M5WTT2")</f>
        <v>M5WTT2</v>
      </c>
      <c r="D16782" s="2" t="s">
        <v>2747</v>
      </c>
      <c r="E16782" s="3">
        <v>1.8399999999999999E-118</v>
      </c>
      <c r="F16782" s="2">
        <v>932</v>
      </c>
      <c r="G16782" s="2">
        <v>100</v>
      </c>
      <c r="H16782" s="2">
        <v>344</v>
      </c>
      <c r="I16782" s="2">
        <v>232</v>
      </c>
      <c r="J16782" s="2">
        <v>1263</v>
      </c>
      <c r="K16782" s="2">
        <v>1</v>
      </c>
      <c r="L16782" s="2">
        <v>344</v>
      </c>
    </row>
    <row r="16783" spans="1:12" x14ac:dyDescent="0.25">
      <c r="A16783" s="4" t="str">
        <f>HYPERLINK("http://www.rosaceae.org/Prunus/Prunus_persica/p.persica_gdr_reftransV1_0000331","p.persica_gdr_reftransV1_0000331")</f>
        <v>p.persica_gdr_reftransV1_0000331</v>
      </c>
      <c r="B16783" s="2">
        <v>2080</v>
      </c>
      <c r="C16783" s="4" t="str">
        <f>HYPERLINK("http://www.uniprot.org/uniprot/M5XD10","M5XD10")</f>
        <v>M5XD10</v>
      </c>
      <c r="D16783" s="2" t="s">
        <v>9924</v>
      </c>
      <c r="E16783" s="3">
        <v>0</v>
      </c>
      <c r="F16783" s="2">
        <v>2618</v>
      </c>
      <c r="G16783" s="2">
        <v>100</v>
      </c>
      <c r="H16783" s="2">
        <v>496</v>
      </c>
      <c r="I16783" s="2">
        <v>249</v>
      </c>
      <c r="J16783" s="2">
        <v>1736</v>
      </c>
      <c r="K16783" s="2">
        <v>1</v>
      </c>
      <c r="L16783" s="2">
        <v>496</v>
      </c>
    </row>
    <row r="16784" spans="1:12" x14ac:dyDescent="0.25">
      <c r="A16784" s="4" t="str">
        <f>HYPERLINK("http://www.rosaceae.org/Prunus/Prunus_persica/p.persica_gdr_reftransV1_0001031","p.persica_gdr_reftransV1_0001031")</f>
        <v>p.persica_gdr_reftransV1_0001031</v>
      </c>
      <c r="B16784" s="2">
        <v>1122</v>
      </c>
      <c r="C16784" s="4" t="str">
        <f>HYPERLINK("http://www.uniprot.org/uniprot/M5WJL1","M5WJL1")</f>
        <v>M5WJL1</v>
      </c>
      <c r="D16784" s="2" t="s">
        <v>205</v>
      </c>
      <c r="E16784" s="3">
        <v>2.8300000000000001E-145</v>
      </c>
      <c r="F16784" s="2">
        <v>1148</v>
      </c>
      <c r="G16784" s="2">
        <v>100</v>
      </c>
      <c r="H16784" s="2">
        <v>216</v>
      </c>
      <c r="I16784" s="2">
        <v>3</v>
      </c>
      <c r="J16784" s="2">
        <v>650</v>
      </c>
      <c r="K16784" s="2">
        <v>1</v>
      </c>
      <c r="L16784" s="2">
        <v>216</v>
      </c>
    </row>
    <row r="16785" spans="1:12" x14ac:dyDescent="0.25">
      <c r="A16785" s="4" t="str">
        <f>HYPERLINK("http://www.rosaceae.org/Prunus/Prunus_persica/p.persica_gdr_reftransV1_0001381","p.persica_gdr_reftransV1_0001381")</f>
        <v>p.persica_gdr_reftransV1_0001381</v>
      </c>
      <c r="B16785" s="2">
        <v>858</v>
      </c>
      <c r="C16785" s="4" t="str">
        <f>HYPERLINK("http://www.uniprot.org/uniprot/M5W8F6","M5W8F6")</f>
        <v>M5W8F6</v>
      </c>
      <c r="D16785" s="2" t="s">
        <v>8645</v>
      </c>
      <c r="E16785" s="3">
        <v>1.0899999999999999E-40</v>
      </c>
      <c r="F16785" s="2">
        <v>363</v>
      </c>
      <c r="G16785" s="2">
        <v>87</v>
      </c>
      <c r="H16785" s="2">
        <v>77</v>
      </c>
      <c r="I16785" s="2">
        <v>330</v>
      </c>
      <c r="J16785" s="2">
        <v>560</v>
      </c>
      <c r="K16785" s="2">
        <v>485</v>
      </c>
      <c r="L16785" s="2">
        <v>560</v>
      </c>
    </row>
    <row r="16786" spans="1:12" x14ac:dyDescent="0.25">
      <c r="A16786" s="4" t="str">
        <f>HYPERLINK("http://www.rosaceae.org/Prunus/Prunus_persica/p.persica_gdr_reftransV1_0002081","p.persica_gdr_reftransV1_0002081")</f>
        <v>p.persica_gdr_reftransV1_0002081</v>
      </c>
      <c r="B16786" s="2">
        <v>2784</v>
      </c>
      <c r="C16786" s="4" t="str">
        <f>HYPERLINK("http://www.uniprot.org/uniprot/M5X7Q9","M5X7Q9")</f>
        <v>M5X7Q9</v>
      </c>
      <c r="D16786" s="2" t="s">
        <v>10464</v>
      </c>
      <c r="E16786" s="3">
        <v>0</v>
      </c>
      <c r="F16786" s="2">
        <v>2410</v>
      </c>
      <c r="G16786" s="2">
        <v>100</v>
      </c>
      <c r="H16786" s="2">
        <v>480</v>
      </c>
      <c r="I16786" s="2">
        <v>1017</v>
      </c>
      <c r="J16786" s="2">
        <v>2456</v>
      </c>
      <c r="K16786" s="2">
        <v>230</v>
      </c>
      <c r="L16786" s="2">
        <v>709</v>
      </c>
    </row>
    <row r="16787" spans="1:12" x14ac:dyDescent="0.25">
      <c r="A16787" s="4" t="str">
        <f>HYPERLINK("http://www.rosaceae.org/Prunus/Prunus_persica/p.persica_gdr_reftransV1_0002431","p.persica_gdr_reftransV1_0002431")</f>
        <v>p.persica_gdr_reftransV1_0002431</v>
      </c>
      <c r="B16787" s="2">
        <v>1198</v>
      </c>
      <c r="C16787" s="4" t="str">
        <f>HYPERLINK("http://www.uniprot.org/uniprot/M5XEI4","M5XEI4")</f>
        <v>M5XEI4</v>
      </c>
      <c r="D16787" s="2" t="s">
        <v>13252</v>
      </c>
      <c r="E16787" s="3">
        <v>0</v>
      </c>
      <c r="F16787" s="2">
        <v>1470</v>
      </c>
      <c r="G16787" s="2">
        <v>100</v>
      </c>
      <c r="H16787" s="2">
        <v>310</v>
      </c>
      <c r="I16787" s="2">
        <v>205</v>
      </c>
      <c r="J16787" s="2">
        <v>1134</v>
      </c>
      <c r="K16787" s="2">
        <v>1</v>
      </c>
      <c r="L16787" s="2">
        <v>310</v>
      </c>
    </row>
    <row r="16788" spans="1:12" x14ac:dyDescent="0.25">
      <c r="A16788" s="4" t="str">
        <f>HYPERLINK("http://www.rosaceae.org/Prunus/Prunus_persica/p.persica_gdr_reftransV1_0003131","p.persica_gdr_reftransV1_0003131")</f>
        <v>p.persica_gdr_reftransV1_0003131</v>
      </c>
      <c r="B16788" s="2">
        <v>1334</v>
      </c>
      <c r="C16788" s="4" t="str">
        <f>HYPERLINK("http://www.uniprot.org/uniprot/M5X7H3","M5X7H3")</f>
        <v>M5X7H3</v>
      </c>
      <c r="D16788" s="2" t="s">
        <v>4673</v>
      </c>
      <c r="E16788" s="3">
        <v>0</v>
      </c>
      <c r="F16788" s="2">
        <v>2107</v>
      </c>
      <c r="G16788" s="2">
        <v>100</v>
      </c>
      <c r="H16788" s="2">
        <v>393</v>
      </c>
      <c r="I16788" s="2">
        <v>2</v>
      </c>
      <c r="J16788" s="2">
        <v>1180</v>
      </c>
      <c r="K16788" s="2">
        <v>1</v>
      </c>
      <c r="L16788" s="2">
        <v>393</v>
      </c>
    </row>
    <row r="16789" spans="1:12" x14ac:dyDescent="0.25">
      <c r="A16789" s="4" t="str">
        <f>HYPERLINK("http://www.rosaceae.org/Prunus/Prunus_persica/p.persica_gdr_reftransV1_0003481","p.persica_gdr_reftransV1_0003481")</f>
        <v>p.persica_gdr_reftransV1_0003481</v>
      </c>
      <c r="B16789" s="2">
        <v>1902</v>
      </c>
      <c r="C16789" s="4" t="str">
        <f>HYPERLINK("http://www.uniprot.org/uniprot/A0A097QHB0","A0A097QHB0")</f>
        <v>A0A097QHB0</v>
      </c>
      <c r="D16789" s="2" t="s">
        <v>13253</v>
      </c>
      <c r="E16789" s="3">
        <v>0</v>
      </c>
      <c r="F16789" s="2">
        <v>3046</v>
      </c>
      <c r="G16789" s="2">
        <v>99</v>
      </c>
      <c r="H16789" s="2">
        <v>573</v>
      </c>
      <c r="I16789" s="2">
        <v>64</v>
      </c>
      <c r="J16789" s="2">
        <v>1782</v>
      </c>
      <c r="K16789" s="2">
        <v>1</v>
      </c>
      <c r="L16789" s="2">
        <v>573</v>
      </c>
    </row>
    <row r="16790" spans="1:12" x14ac:dyDescent="0.25">
      <c r="A16790" s="4" t="str">
        <f>HYPERLINK("http://www.rosaceae.org/Prunus/Prunus_persica/p.persica_gdr_reftransV1_0003831","p.persica_gdr_reftransV1_0003831")</f>
        <v>p.persica_gdr_reftransV1_0003831</v>
      </c>
      <c r="B16790" s="2">
        <v>620</v>
      </c>
      <c r="C16790" s="4" t="str">
        <f>HYPERLINK("http://www.uniprot.org/uniprot/M5VW37","M5VW37")</f>
        <v>M5VW37</v>
      </c>
      <c r="D16790" s="2" t="s">
        <v>10786</v>
      </c>
      <c r="E16790" s="3">
        <v>8.6499999999999997E-56</v>
      </c>
      <c r="F16790" s="2">
        <v>511</v>
      </c>
      <c r="G16790" s="2">
        <v>60</v>
      </c>
      <c r="H16790" s="2">
        <v>173</v>
      </c>
      <c r="I16790" s="2">
        <v>5</v>
      </c>
      <c r="J16790" s="2">
        <v>514</v>
      </c>
      <c r="K16790" s="2">
        <v>23</v>
      </c>
      <c r="L16790" s="2">
        <v>194</v>
      </c>
    </row>
    <row r="16791" spans="1:12" x14ac:dyDescent="0.25">
      <c r="A16791" s="4" t="str">
        <f>HYPERLINK("http://www.rosaceae.org/Prunus/Prunus_persica/p.persica_gdr_reftransV1_0004181","p.persica_gdr_reftransV1_0004181")</f>
        <v>p.persica_gdr_reftransV1_0004181</v>
      </c>
      <c r="B16791" s="2">
        <v>2631</v>
      </c>
      <c r="C16791" s="4" t="str">
        <f>HYPERLINK("http://www.uniprot.org/uniprot/M5WBS3","M5WBS3")</f>
        <v>M5WBS3</v>
      </c>
      <c r="D16791" s="2" t="s">
        <v>7119</v>
      </c>
      <c r="E16791" s="3">
        <v>0</v>
      </c>
      <c r="F16791" s="2">
        <v>3910</v>
      </c>
      <c r="G16791" s="2">
        <v>96</v>
      </c>
      <c r="H16791" s="2">
        <v>811</v>
      </c>
      <c r="I16791" s="2">
        <v>223</v>
      </c>
      <c r="J16791" s="2">
        <v>2631</v>
      </c>
      <c r="K16791" s="2">
        <v>25</v>
      </c>
      <c r="L16791" s="2">
        <v>835</v>
      </c>
    </row>
    <row r="16792" spans="1:12" x14ac:dyDescent="0.25">
      <c r="A16792" s="4" t="str">
        <f>HYPERLINK("http://www.rosaceae.org/Prunus/Prunus_persica/p.persica_gdr_reftransV1_0004531","p.persica_gdr_reftransV1_0004531")</f>
        <v>p.persica_gdr_reftransV1_0004531</v>
      </c>
      <c r="B16792" s="2">
        <v>672</v>
      </c>
      <c r="C16792" s="4" t="str">
        <f>HYPERLINK("http://www.uniprot.org/uniprot/M5VZI2","M5VZI2")</f>
        <v>M5VZI2</v>
      </c>
      <c r="D16792" s="2" t="s">
        <v>13254</v>
      </c>
      <c r="E16792" s="3">
        <v>1.7099999999999998E-108</v>
      </c>
      <c r="F16792" s="2">
        <v>833</v>
      </c>
      <c r="G16792" s="2">
        <v>99</v>
      </c>
      <c r="H16792" s="2">
        <v>159</v>
      </c>
      <c r="I16792" s="2">
        <v>196</v>
      </c>
      <c r="J16792" s="2">
        <v>672</v>
      </c>
      <c r="K16792" s="2">
        <v>122</v>
      </c>
      <c r="L16792" s="2">
        <v>280</v>
      </c>
    </row>
    <row r="16793" spans="1:12" x14ac:dyDescent="0.25">
      <c r="A16793" s="4" t="str">
        <f>HYPERLINK("http://www.rosaceae.org/Prunus/Prunus_persica/p.persica_gdr_reftransV1_0004881","p.persica_gdr_reftransV1_0004881")</f>
        <v>p.persica_gdr_reftransV1_0004881</v>
      </c>
      <c r="B16793" s="2">
        <v>5188</v>
      </c>
      <c r="C16793" s="4" t="str">
        <f>HYPERLINK("http://www.uniprot.org/uniprot/M5XJT5","M5XJT5")</f>
        <v>M5XJT5</v>
      </c>
      <c r="D16793" s="2" t="s">
        <v>13255</v>
      </c>
      <c r="E16793" s="3">
        <v>0</v>
      </c>
      <c r="F16793" s="2">
        <v>7668</v>
      </c>
      <c r="G16793" s="2">
        <v>98</v>
      </c>
      <c r="H16793" s="2">
        <v>1467</v>
      </c>
      <c r="I16793" s="2">
        <v>524</v>
      </c>
      <c r="J16793" s="2">
        <v>4921</v>
      </c>
      <c r="K16793" s="2">
        <v>1</v>
      </c>
      <c r="L16793" s="2">
        <v>1467</v>
      </c>
    </row>
    <row r="16794" spans="1:12" x14ac:dyDescent="0.25">
      <c r="A16794" s="4" t="str">
        <f>HYPERLINK("http://www.rosaceae.org/Prunus/Prunus_persica/p.persica_gdr_reftransV1_0005231","p.persica_gdr_reftransV1_0005231")</f>
        <v>p.persica_gdr_reftransV1_0005231</v>
      </c>
      <c r="B16794" s="2">
        <v>3118</v>
      </c>
      <c r="C16794" s="4" t="str">
        <f>HYPERLINK("http://www.uniprot.org/uniprot/M5XGV2","M5XGV2")</f>
        <v>M5XGV2</v>
      </c>
      <c r="D16794" s="2" t="s">
        <v>3390</v>
      </c>
      <c r="E16794" s="3">
        <v>0</v>
      </c>
      <c r="F16794" s="2">
        <v>4968</v>
      </c>
      <c r="G16794" s="2">
        <v>100</v>
      </c>
      <c r="H16794" s="2">
        <v>948</v>
      </c>
      <c r="I16794" s="2">
        <v>55</v>
      </c>
      <c r="J16794" s="2">
        <v>2898</v>
      </c>
      <c r="K16794" s="2">
        <v>417</v>
      </c>
      <c r="L16794" s="2">
        <v>1364</v>
      </c>
    </row>
    <row r="16795" spans="1:12" x14ac:dyDescent="0.25">
      <c r="A16795" s="4" t="str">
        <f>HYPERLINK("http://www.rosaceae.org/Prunus/Prunus_persica/p.persica_gdr_reftransV1_0005581","p.persica_gdr_reftransV1_0005581")</f>
        <v>p.persica_gdr_reftransV1_0005581</v>
      </c>
      <c r="B16795" s="2">
        <v>1500</v>
      </c>
      <c r="C16795" s="4" t="str">
        <f>HYPERLINK("http://www.uniprot.org/uniprot/A0A0F6T2S1","A0A0F6T2S1")</f>
        <v>A0A0F6T2S1</v>
      </c>
      <c r="D16795" s="2" t="s">
        <v>13256</v>
      </c>
      <c r="E16795" s="3">
        <v>0</v>
      </c>
      <c r="F16795" s="2">
        <v>1561</v>
      </c>
      <c r="G16795" s="2">
        <v>100</v>
      </c>
      <c r="H16795" s="2">
        <v>320</v>
      </c>
      <c r="I16795" s="2">
        <v>286</v>
      </c>
      <c r="J16795" s="2">
        <v>1245</v>
      </c>
      <c r="K16795" s="2">
        <v>1</v>
      </c>
      <c r="L16795" s="2">
        <v>320</v>
      </c>
    </row>
    <row r="16796" spans="1:12" x14ac:dyDescent="0.25">
      <c r="A16796" s="4" t="str">
        <f>HYPERLINK("http://www.rosaceae.org/Prunus/Prunus_persica/p.persica_gdr_reftransV1_0005931","p.persica_gdr_reftransV1_0005931")</f>
        <v>p.persica_gdr_reftransV1_0005931</v>
      </c>
      <c r="B16796" s="2">
        <v>3743</v>
      </c>
      <c r="C16796" s="4" t="str">
        <f>HYPERLINK("http://www.uniprot.org/uniprot/M5XJ00","M5XJ00")</f>
        <v>M5XJ00</v>
      </c>
      <c r="D16796" s="2" t="s">
        <v>13257</v>
      </c>
      <c r="E16796" s="3">
        <v>0</v>
      </c>
      <c r="F16796" s="2">
        <v>5265</v>
      </c>
      <c r="G16796" s="2">
        <v>100</v>
      </c>
      <c r="H16796" s="2">
        <v>1009</v>
      </c>
      <c r="I16796" s="2">
        <v>433</v>
      </c>
      <c r="J16796" s="2">
        <v>3459</v>
      </c>
      <c r="K16796" s="2">
        <v>1</v>
      </c>
      <c r="L16796" s="2">
        <v>1009</v>
      </c>
    </row>
    <row r="16797" spans="1:12" x14ac:dyDescent="0.25">
      <c r="A16797" s="4" t="str">
        <f>HYPERLINK("http://www.rosaceae.org/Prunus/Prunus_persica/p.persica_gdr_reftransV1_0007331","p.persica_gdr_reftransV1_0007331")</f>
        <v>p.persica_gdr_reftransV1_0007331</v>
      </c>
      <c r="B16797" s="2">
        <v>783</v>
      </c>
      <c r="C16797" s="4" t="str">
        <f>HYPERLINK("http://www.uniprot.org/uniprot/M5VMU5","M5VMU5")</f>
        <v>M5VMU5</v>
      </c>
      <c r="D16797" s="2" t="s">
        <v>9167</v>
      </c>
      <c r="E16797" s="3">
        <v>7.2499999999999999E-20</v>
      </c>
      <c r="F16797" s="2">
        <v>242</v>
      </c>
      <c r="G16797" s="2">
        <v>100</v>
      </c>
      <c r="H16797" s="2">
        <v>78</v>
      </c>
      <c r="I16797" s="2">
        <v>469</v>
      </c>
      <c r="J16797" s="2">
        <v>702</v>
      </c>
      <c r="K16797" s="2">
        <v>393</v>
      </c>
      <c r="L16797" s="2">
        <v>470</v>
      </c>
    </row>
    <row r="16798" spans="1:12" x14ac:dyDescent="0.25">
      <c r="A16798" s="4" t="str">
        <f>HYPERLINK("http://www.rosaceae.org/Prunus/Prunus_persica/p.persica_gdr_reftransV1_0007681","p.persica_gdr_reftransV1_0007681")</f>
        <v>p.persica_gdr_reftransV1_0007681</v>
      </c>
      <c r="B16798" s="2">
        <v>1643</v>
      </c>
      <c r="C16798" s="4" t="str">
        <f>HYPERLINK("http://www.uniprot.org/uniprot/M5XAH2","M5XAH2")</f>
        <v>M5XAH2</v>
      </c>
      <c r="D16798" s="2" t="s">
        <v>13258</v>
      </c>
      <c r="E16798" s="3">
        <v>0</v>
      </c>
      <c r="F16798" s="2">
        <v>1953</v>
      </c>
      <c r="G16798" s="2">
        <v>100</v>
      </c>
      <c r="H16798" s="2">
        <v>365</v>
      </c>
      <c r="I16798" s="2">
        <v>283</v>
      </c>
      <c r="J16798" s="2">
        <v>1377</v>
      </c>
      <c r="K16798" s="2">
        <v>33</v>
      </c>
      <c r="L16798" s="2">
        <v>397</v>
      </c>
    </row>
    <row r="16799" spans="1:12" x14ac:dyDescent="0.25">
      <c r="A16799" s="4" t="str">
        <f>HYPERLINK("http://www.rosaceae.org/Prunus/Prunus_persica/p.persica_gdr_reftransV1_0008031","p.persica_gdr_reftransV1_0008031")</f>
        <v>p.persica_gdr_reftransV1_0008031</v>
      </c>
      <c r="B16799" s="2">
        <v>748</v>
      </c>
      <c r="C16799" s="4" t="str">
        <f>HYPERLINK("http://www.uniprot.org/uniprot/M5XNR8","M5XNR8")</f>
        <v>M5XNR8</v>
      </c>
      <c r="D16799" s="2" t="s">
        <v>13259</v>
      </c>
      <c r="E16799" s="3">
        <v>5.6899999999999997E-120</v>
      </c>
      <c r="F16799" s="2">
        <v>901</v>
      </c>
      <c r="G16799" s="2">
        <v>100</v>
      </c>
      <c r="H16799" s="2">
        <v>170</v>
      </c>
      <c r="I16799" s="2">
        <v>42</v>
      </c>
      <c r="J16799" s="2">
        <v>551</v>
      </c>
      <c r="K16799" s="2">
        <v>1</v>
      </c>
      <c r="L16799" s="2">
        <v>170</v>
      </c>
    </row>
    <row r="16800" spans="1:12" x14ac:dyDescent="0.25">
      <c r="A16800" s="4" t="str">
        <f>HYPERLINK("http://www.rosaceae.org/Prunus/Prunus_persica/p.persica_gdr_reftransV1_0009081","p.persica_gdr_reftransV1_0009081")</f>
        <v>p.persica_gdr_reftransV1_0009081</v>
      </c>
      <c r="B16800" s="2">
        <v>1772</v>
      </c>
      <c r="C16800" s="4" t="str">
        <f>HYPERLINK("http://www.uniprot.org/uniprot/M5VPM1","M5VPM1")</f>
        <v>M5VPM1</v>
      </c>
      <c r="D16800" s="2" t="s">
        <v>13260</v>
      </c>
      <c r="E16800" s="3">
        <v>0</v>
      </c>
      <c r="F16800" s="2">
        <v>2175</v>
      </c>
      <c r="G16800" s="2">
        <v>100</v>
      </c>
      <c r="H16800" s="2">
        <v>444</v>
      </c>
      <c r="I16800" s="2">
        <v>274</v>
      </c>
      <c r="J16800" s="2">
        <v>1605</v>
      </c>
      <c r="K16800" s="2">
        <v>30</v>
      </c>
      <c r="L16800" s="2">
        <v>473</v>
      </c>
    </row>
    <row r="16801" spans="1:12" x14ac:dyDescent="0.25">
      <c r="A16801" s="4" t="str">
        <f>HYPERLINK("http://www.rosaceae.org/Prunus/Prunus_persica/p.persica_gdr_reftransV1_0009781","p.persica_gdr_reftransV1_0009781")</f>
        <v>p.persica_gdr_reftransV1_0009781</v>
      </c>
      <c r="B16801" s="2">
        <v>4382</v>
      </c>
      <c r="C16801" s="4" t="str">
        <f>HYPERLINK("http://www.uniprot.org/uniprot/M5WXH4","M5WXH4")</f>
        <v>M5WXH4</v>
      </c>
      <c r="D16801" s="2" t="s">
        <v>13261</v>
      </c>
      <c r="E16801" s="3">
        <v>0</v>
      </c>
      <c r="F16801" s="2">
        <v>3626</v>
      </c>
      <c r="G16801" s="2">
        <v>100</v>
      </c>
      <c r="H16801" s="2">
        <v>682</v>
      </c>
      <c r="I16801" s="2">
        <v>2154</v>
      </c>
      <c r="J16801" s="2">
        <v>4199</v>
      </c>
      <c r="K16801" s="2">
        <v>1</v>
      </c>
      <c r="L16801" s="2">
        <v>682</v>
      </c>
    </row>
    <row r="16802" spans="1:12" x14ac:dyDescent="0.25">
      <c r="A16802" s="4" t="str">
        <f>HYPERLINK("http://www.rosaceae.org/Prunus/Prunus_persica/p.persica_gdr_reftransV1_0010131","p.persica_gdr_reftransV1_0010131")</f>
        <v>p.persica_gdr_reftransV1_0010131</v>
      </c>
      <c r="B16802" s="2">
        <v>449</v>
      </c>
      <c r="C16802" s="4" t="str">
        <f>HYPERLINK("http://www.uniprot.org/uniprot/M5WLR4","M5WLR4")</f>
        <v>M5WLR4</v>
      </c>
      <c r="D16802" s="2" t="s">
        <v>2002</v>
      </c>
      <c r="E16802" s="3">
        <v>2.4799999999999998E-103</v>
      </c>
      <c r="F16802" s="2">
        <v>805</v>
      </c>
      <c r="G16802" s="2">
        <v>100</v>
      </c>
      <c r="H16802" s="2">
        <v>149</v>
      </c>
      <c r="I16802" s="2">
        <v>1</v>
      </c>
      <c r="J16802" s="2">
        <v>447</v>
      </c>
      <c r="K16802" s="2">
        <v>152</v>
      </c>
      <c r="L16802" s="2">
        <v>300</v>
      </c>
    </row>
    <row r="16803" spans="1:12" x14ac:dyDescent="0.25">
      <c r="A16803" s="4" t="str">
        <f>HYPERLINK("http://www.rosaceae.org/Prunus/Prunus_persica/p.persica_gdr_reftransV1_0010481","p.persica_gdr_reftransV1_0010481")</f>
        <v>p.persica_gdr_reftransV1_0010481</v>
      </c>
      <c r="B16803" s="2">
        <v>1850</v>
      </c>
      <c r="C16803" s="4" t="str">
        <f>HYPERLINK("http://www.uniprot.org/uniprot/M5Y376","M5Y376")</f>
        <v>M5Y376</v>
      </c>
      <c r="D16803" s="2" t="s">
        <v>13262</v>
      </c>
      <c r="E16803" s="3">
        <v>0</v>
      </c>
      <c r="F16803" s="2">
        <v>2095</v>
      </c>
      <c r="G16803" s="2">
        <v>100</v>
      </c>
      <c r="H16803" s="2">
        <v>449</v>
      </c>
      <c r="I16803" s="2">
        <v>139</v>
      </c>
      <c r="J16803" s="2">
        <v>1485</v>
      </c>
      <c r="K16803" s="2">
        <v>31</v>
      </c>
      <c r="L16803" s="2">
        <v>479</v>
      </c>
    </row>
    <row r="16804" spans="1:12" x14ac:dyDescent="0.25">
      <c r="A16804" s="4" t="str">
        <f>HYPERLINK("http://www.rosaceae.org/Prunus/Prunus_persica/p.persica_gdr_reftransV1_0011531","p.persica_gdr_reftransV1_0011531")</f>
        <v>p.persica_gdr_reftransV1_0011531</v>
      </c>
      <c r="B16804" s="2">
        <v>1201</v>
      </c>
      <c r="C16804" s="4" t="str">
        <f>HYPERLINK("http://www.uniprot.org/uniprot/M5WI87","M5WI87")</f>
        <v>M5WI87</v>
      </c>
      <c r="D16804" s="2" t="s">
        <v>13263</v>
      </c>
      <c r="E16804" s="3">
        <v>1.1799999999999999E-175</v>
      </c>
      <c r="F16804" s="2">
        <v>1295</v>
      </c>
      <c r="G16804" s="2">
        <v>100</v>
      </c>
      <c r="H16804" s="2">
        <v>280</v>
      </c>
      <c r="I16804" s="2">
        <v>122</v>
      </c>
      <c r="J16804" s="2">
        <v>961</v>
      </c>
      <c r="K16804" s="2">
        <v>1</v>
      </c>
      <c r="L16804" s="2">
        <v>280</v>
      </c>
    </row>
    <row r="16805" spans="1:12" x14ac:dyDescent="0.25">
      <c r="A16805" s="4" t="str">
        <f>HYPERLINK("http://www.rosaceae.org/Prunus/Prunus_persica/p.persica_gdr_reftransV1_0011881","p.persica_gdr_reftransV1_0011881")</f>
        <v>p.persica_gdr_reftransV1_0011881</v>
      </c>
      <c r="B16805" s="2">
        <v>3180</v>
      </c>
      <c r="C16805" s="4" t="str">
        <f>HYPERLINK("http://www.uniprot.org/uniprot/M5XDT6","M5XDT6")</f>
        <v>M5XDT6</v>
      </c>
      <c r="D16805" s="2" t="s">
        <v>13264</v>
      </c>
      <c r="E16805" s="3">
        <v>0</v>
      </c>
      <c r="F16805" s="2">
        <v>4651</v>
      </c>
      <c r="G16805" s="2">
        <v>100</v>
      </c>
      <c r="H16805" s="2">
        <v>915</v>
      </c>
      <c r="I16805" s="2">
        <v>323</v>
      </c>
      <c r="J16805" s="2">
        <v>3067</v>
      </c>
      <c r="K16805" s="2">
        <v>11</v>
      </c>
      <c r="L16805" s="2">
        <v>925</v>
      </c>
    </row>
    <row r="16806" spans="1:12" x14ac:dyDescent="0.25">
      <c r="A16806" s="4" t="str">
        <f>HYPERLINK("http://www.rosaceae.org/Prunus/Prunus_persica/p.persica_gdr_reftransV1_0012581","p.persica_gdr_reftransV1_0012581")</f>
        <v>p.persica_gdr_reftransV1_0012581</v>
      </c>
      <c r="B16806" s="2">
        <v>4611</v>
      </c>
      <c r="C16806" s="4" t="str">
        <f>HYPERLINK("http://www.uniprot.org/uniprot/M5XLW3","M5XLW3")</f>
        <v>M5XLW3</v>
      </c>
      <c r="D16806" s="2" t="s">
        <v>13265</v>
      </c>
      <c r="E16806" s="3">
        <v>0</v>
      </c>
      <c r="F16806" s="2">
        <v>2463</v>
      </c>
      <c r="G16806" s="2">
        <v>100</v>
      </c>
      <c r="H16806" s="2">
        <v>465</v>
      </c>
      <c r="I16806" s="2">
        <v>283</v>
      </c>
      <c r="J16806" s="2">
        <v>1677</v>
      </c>
      <c r="K16806" s="2">
        <v>1</v>
      </c>
      <c r="L16806" s="2">
        <v>465</v>
      </c>
    </row>
    <row r="16807" spans="1:12" x14ac:dyDescent="0.25">
      <c r="A16807" s="4" t="str">
        <f>HYPERLINK("http://www.rosaceae.org/Prunus/Prunus_persica/p.persica_gdr_reftransV1_0013281","p.persica_gdr_reftransV1_0013281")</f>
        <v>p.persica_gdr_reftransV1_0013281</v>
      </c>
      <c r="B16807" s="2">
        <v>1456</v>
      </c>
      <c r="C16807" s="4" t="str">
        <f>HYPERLINK("http://www.uniprot.org/uniprot/M5WX61","M5WX61")</f>
        <v>M5WX61</v>
      </c>
      <c r="D16807" s="2" t="s">
        <v>13266</v>
      </c>
      <c r="E16807" s="3">
        <v>0</v>
      </c>
      <c r="F16807" s="2">
        <v>2255</v>
      </c>
      <c r="G16807" s="2">
        <v>100</v>
      </c>
      <c r="H16807" s="2">
        <v>429</v>
      </c>
      <c r="I16807" s="2">
        <v>170</v>
      </c>
      <c r="J16807" s="2">
        <v>1456</v>
      </c>
      <c r="K16807" s="2">
        <v>21</v>
      </c>
      <c r="L16807" s="2">
        <v>449</v>
      </c>
    </row>
    <row r="16808" spans="1:12" x14ac:dyDescent="0.25">
      <c r="A16808" s="4" t="str">
        <f>HYPERLINK("http://www.rosaceae.org/Prunus/Prunus_persica/p.persica_gdr_reftransV1_0013631","p.persica_gdr_reftransV1_0013631")</f>
        <v>p.persica_gdr_reftransV1_0013631</v>
      </c>
      <c r="B16808" s="2">
        <v>974</v>
      </c>
      <c r="C16808" s="4" t="str">
        <f>HYPERLINK("http://www.uniprot.org/uniprot/M5WBZ6","M5WBZ6")</f>
        <v>M5WBZ6</v>
      </c>
      <c r="D16808" s="2" t="s">
        <v>13267</v>
      </c>
      <c r="E16808" s="3">
        <v>2.4399999999999999E-137</v>
      </c>
      <c r="F16808" s="2">
        <v>1026</v>
      </c>
      <c r="G16808" s="2">
        <v>100</v>
      </c>
      <c r="H16808" s="2">
        <v>190</v>
      </c>
      <c r="I16808" s="2">
        <v>386</v>
      </c>
      <c r="J16808" s="2">
        <v>955</v>
      </c>
      <c r="K16808" s="2">
        <v>7</v>
      </c>
      <c r="L16808" s="2">
        <v>196</v>
      </c>
    </row>
    <row r="16809" spans="1:12" x14ac:dyDescent="0.25">
      <c r="A16809" s="4" t="str">
        <f>HYPERLINK("http://www.rosaceae.org/Prunus/Prunus_persica/p.persica_gdr_reftransV1_0015031","p.persica_gdr_reftransV1_0015031")</f>
        <v>p.persica_gdr_reftransV1_0015031</v>
      </c>
      <c r="B16809" s="2">
        <v>2612</v>
      </c>
      <c r="C16809" s="4" t="str">
        <f>HYPERLINK("http://www.uniprot.org/uniprot/M5WPA9","M5WPA9")</f>
        <v>M5WPA9</v>
      </c>
      <c r="D16809" s="2" t="s">
        <v>13268</v>
      </c>
      <c r="E16809" s="3">
        <v>0</v>
      </c>
      <c r="F16809" s="2">
        <v>2468</v>
      </c>
      <c r="G16809" s="2">
        <v>100</v>
      </c>
      <c r="H16809" s="2">
        <v>499</v>
      </c>
      <c r="I16809" s="2">
        <v>738</v>
      </c>
      <c r="J16809" s="2">
        <v>2234</v>
      </c>
      <c r="K16809" s="2">
        <v>1</v>
      </c>
      <c r="L16809" s="2">
        <v>499</v>
      </c>
    </row>
    <row r="16810" spans="1:12" x14ac:dyDescent="0.25">
      <c r="A16810" s="4" t="str">
        <f>HYPERLINK("http://www.rosaceae.org/Prunus/Prunus_persica/p.persica_gdr_reftransV1_0015381","p.persica_gdr_reftransV1_0015381")</f>
        <v>p.persica_gdr_reftransV1_0015381</v>
      </c>
      <c r="B16810" s="2">
        <v>964</v>
      </c>
      <c r="C16810" s="4" t="str">
        <f>HYPERLINK("http://www.uniprot.org/uniprot/M5WC69","M5WC69")</f>
        <v>M5WC69</v>
      </c>
      <c r="D16810" s="2" t="s">
        <v>11865</v>
      </c>
      <c r="E16810" s="3">
        <v>3.2800000000000002E-161</v>
      </c>
      <c r="F16810" s="2">
        <v>1219</v>
      </c>
      <c r="G16810" s="2">
        <v>100</v>
      </c>
      <c r="H16810" s="2">
        <v>242</v>
      </c>
      <c r="I16810" s="2">
        <v>3</v>
      </c>
      <c r="J16810" s="2">
        <v>728</v>
      </c>
      <c r="K16810" s="2">
        <v>328</v>
      </c>
      <c r="L16810" s="2">
        <v>569</v>
      </c>
    </row>
    <row r="16811" spans="1:12" x14ac:dyDescent="0.25">
      <c r="A16811" s="4" t="str">
        <f>HYPERLINK("http://www.rosaceae.org/Prunus/Prunus_persica/p.persica_gdr_reftransV1_0017831","p.persica_gdr_reftransV1_0017831")</f>
        <v>p.persica_gdr_reftransV1_0017831</v>
      </c>
      <c r="B16811" s="2">
        <v>593</v>
      </c>
      <c r="C16811" s="4" t="str">
        <f>HYPERLINK("http://www.uniprot.org/uniprot/M5WL52","M5WL52")</f>
        <v>M5WL52</v>
      </c>
      <c r="D16811" s="2" t="s">
        <v>13269</v>
      </c>
      <c r="E16811" s="3">
        <v>1.0800000000000001E-66</v>
      </c>
      <c r="F16811" s="2">
        <v>543</v>
      </c>
      <c r="G16811" s="2">
        <v>96</v>
      </c>
      <c r="H16811" s="2">
        <v>108</v>
      </c>
      <c r="I16811" s="2">
        <v>2</v>
      </c>
      <c r="J16811" s="2">
        <v>325</v>
      </c>
      <c r="K16811" s="2">
        <v>58</v>
      </c>
      <c r="L16811" s="2">
        <v>165</v>
      </c>
    </row>
    <row r="16812" spans="1:12" x14ac:dyDescent="0.25">
      <c r="A16812" s="4" t="str">
        <f>HYPERLINK("http://www.rosaceae.org/Prunus/Prunus_persica/p.persica_gdr_reftransV1_0018181","p.persica_gdr_reftransV1_0018181")</f>
        <v>p.persica_gdr_reftransV1_0018181</v>
      </c>
      <c r="B16812" s="2">
        <v>1726</v>
      </c>
      <c r="C16812" s="4" t="str">
        <f>HYPERLINK("http://www.uniprot.org/uniprot/M5WIA4","M5WIA4")</f>
        <v>M5WIA4</v>
      </c>
      <c r="D16812" s="2" t="s">
        <v>7525</v>
      </c>
      <c r="E16812" s="3">
        <v>2.1900000000000001E-141</v>
      </c>
      <c r="F16812" s="2">
        <v>1097</v>
      </c>
      <c r="G16812" s="2">
        <v>100</v>
      </c>
      <c r="H16812" s="2">
        <v>250</v>
      </c>
      <c r="I16812" s="2">
        <v>942</v>
      </c>
      <c r="J16812" s="2">
        <v>1691</v>
      </c>
      <c r="K16812" s="2">
        <v>21</v>
      </c>
      <c r="L16812" s="2">
        <v>270</v>
      </c>
    </row>
    <row r="16813" spans="1:12" x14ac:dyDescent="0.25">
      <c r="A16813" s="4" t="str">
        <f>HYPERLINK("http://www.rosaceae.org/Prunus/Prunus_persica/p.persica_gdr_reftransV1_0018531","p.persica_gdr_reftransV1_0018531")</f>
        <v>p.persica_gdr_reftransV1_0018531</v>
      </c>
      <c r="B16813" s="2">
        <v>432</v>
      </c>
      <c r="C16813" s="4" t="str">
        <f>HYPERLINK("http://www.uniprot.org/uniprot/M5XEK9","M5XEK9")</f>
        <v>M5XEK9</v>
      </c>
      <c r="D16813" s="2" t="s">
        <v>7109</v>
      </c>
      <c r="E16813" s="3">
        <v>8.6800000000000001E-97</v>
      </c>
      <c r="F16813" s="2">
        <v>776</v>
      </c>
      <c r="G16813" s="2">
        <v>100</v>
      </c>
      <c r="H16813" s="2">
        <v>143</v>
      </c>
      <c r="I16813" s="2">
        <v>2</v>
      </c>
      <c r="J16813" s="2">
        <v>430</v>
      </c>
      <c r="K16813" s="2">
        <v>106</v>
      </c>
      <c r="L16813" s="2">
        <v>248</v>
      </c>
    </row>
    <row r="16814" spans="1:12" x14ac:dyDescent="0.25">
      <c r="A16814" s="4" t="str">
        <f>HYPERLINK("http://www.rosaceae.org/Prunus/Prunus_persica/p.persica_gdr_reftransV1_0019231","p.persica_gdr_reftransV1_0019231")</f>
        <v>p.persica_gdr_reftransV1_0019231</v>
      </c>
      <c r="B16814" s="2">
        <v>2703</v>
      </c>
      <c r="C16814" s="4" t="str">
        <f>HYPERLINK("http://www.uniprot.org/uniprot/M5WBB2","M5WBB2")</f>
        <v>M5WBB2</v>
      </c>
      <c r="D16814" s="2" t="s">
        <v>13270</v>
      </c>
      <c r="E16814" s="3">
        <v>4.8699999999999997E-115</v>
      </c>
      <c r="F16814" s="2">
        <v>937</v>
      </c>
      <c r="G16814" s="2">
        <v>97</v>
      </c>
      <c r="H16814" s="2">
        <v>201</v>
      </c>
      <c r="I16814" s="2">
        <v>713</v>
      </c>
      <c r="J16814" s="2">
        <v>1315</v>
      </c>
      <c r="K16814" s="2">
        <v>69</v>
      </c>
      <c r="L16814" s="2">
        <v>269</v>
      </c>
    </row>
    <row r="16815" spans="1:12" x14ac:dyDescent="0.25">
      <c r="A16815" s="4" t="str">
        <f>HYPERLINK("http://www.rosaceae.org/Prunus/Prunus_persica/p.persica_gdr_reftransV1_0019581","p.persica_gdr_reftransV1_0019581")</f>
        <v>p.persica_gdr_reftransV1_0019581</v>
      </c>
      <c r="B16815" s="2">
        <v>2024</v>
      </c>
      <c r="C16815" s="4" t="str">
        <f>HYPERLINK("http://www.uniprot.org/uniprot/M5VYW6","M5VYW6")</f>
        <v>M5VYW6</v>
      </c>
      <c r="D16815" s="2" t="s">
        <v>13271</v>
      </c>
      <c r="E16815" s="3">
        <v>0</v>
      </c>
      <c r="F16815" s="2">
        <v>2268</v>
      </c>
      <c r="G16815" s="2">
        <v>100</v>
      </c>
      <c r="H16815" s="2">
        <v>497</v>
      </c>
      <c r="I16815" s="2">
        <v>74</v>
      </c>
      <c r="J16815" s="2">
        <v>1564</v>
      </c>
      <c r="K16815" s="2">
        <v>1</v>
      </c>
      <c r="L16815" s="2">
        <v>497</v>
      </c>
    </row>
    <row r="16816" spans="1:12" x14ac:dyDescent="0.25">
      <c r="A16816" s="4" t="str">
        <f>HYPERLINK("http://www.rosaceae.org/Prunus/Prunus_persica/p.persica_gdr_reftransV1_0020281","p.persica_gdr_reftransV1_0020281")</f>
        <v>p.persica_gdr_reftransV1_0020281</v>
      </c>
      <c r="B16816" s="2">
        <v>1602</v>
      </c>
      <c r="C16816" s="4" t="str">
        <f>HYPERLINK("http://www.uniprot.org/uniprot/M5W8I7","M5W8I7")</f>
        <v>M5W8I7</v>
      </c>
      <c r="D16816" s="2" t="s">
        <v>13272</v>
      </c>
      <c r="E16816" s="3">
        <v>0</v>
      </c>
      <c r="F16816" s="2">
        <v>2012</v>
      </c>
      <c r="G16816" s="2">
        <v>100</v>
      </c>
      <c r="H16816" s="2">
        <v>371</v>
      </c>
      <c r="I16816" s="2">
        <v>302</v>
      </c>
      <c r="J16816" s="2">
        <v>1414</v>
      </c>
      <c r="K16816" s="2">
        <v>1</v>
      </c>
      <c r="L16816" s="2">
        <v>371</v>
      </c>
    </row>
    <row r="16817" spans="1:12" x14ac:dyDescent="0.25">
      <c r="A16817" s="4" t="str">
        <f>HYPERLINK("http://www.rosaceae.org/Prunus/Prunus_persica/p.persica_gdr_reftransV1_0020631","p.persica_gdr_reftransV1_0020631")</f>
        <v>p.persica_gdr_reftransV1_0020631</v>
      </c>
      <c r="B16817" s="2">
        <v>1837</v>
      </c>
      <c r="C16817" s="4" t="str">
        <f>HYPERLINK("http://www.uniprot.org/uniprot/M5WSW1","M5WSW1")</f>
        <v>M5WSW1</v>
      </c>
      <c r="D16817" s="2" t="s">
        <v>13273</v>
      </c>
      <c r="E16817" s="3">
        <v>3.83E-125</v>
      </c>
      <c r="F16817" s="2">
        <v>985</v>
      </c>
      <c r="G16817" s="2">
        <v>87</v>
      </c>
      <c r="H16817" s="2">
        <v>332</v>
      </c>
      <c r="I16817" s="2">
        <v>521</v>
      </c>
      <c r="J16817" s="2">
        <v>1510</v>
      </c>
      <c r="K16817" s="2">
        <v>18</v>
      </c>
      <c r="L16817" s="2">
        <v>310</v>
      </c>
    </row>
    <row r="16818" spans="1:12" x14ac:dyDescent="0.25">
      <c r="A16818" s="4" t="str">
        <f>HYPERLINK("http://www.rosaceae.org/Prunus/Prunus_persica/p.persica_gdr_reftransV1_0020981","p.persica_gdr_reftransV1_0020981")</f>
        <v>p.persica_gdr_reftransV1_0020981</v>
      </c>
      <c r="B16818" s="2">
        <v>2692</v>
      </c>
      <c r="C16818" s="4" t="str">
        <f>HYPERLINK("http://www.uniprot.org/uniprot/M5XM57","M5XM57")</f>
        <v>M5XM57</v>
      </c>
      <c r="D16818" s="2" t="s">
        <v>1697</v>
      </c>
      <c r="E16818" s="3">
        <v>0</v>
      </c>
      <c r="F16818" s="2">
        <v>2081</v>
      </c>
      <c r="G16818" s="2">
        <v>92</v>
      </c>
      <c r="H16818" s="2">
        <v>477</v>
      </c>
      <c r="I16818" s="2">
        <v>1050</v>
      </c>
      <c r="J16818" s="2">
        <v>2459</v>
      </c>
      <c r="K16818" s="2">
        <v>200</v>
      </c>
      <c r="L16818" s="2">
        <v>676</v>
      </c>
    </row>
    <row r="16819" spans="1:12" x14ac:dyDescent="0.25">
      <c r="A16819" s="4" t="str">
        <f>HYPERLINK("http://www.rosaceae.org/Prunus/Prunus_persica/p.persica_gdr_reftransV1_0021331","p.persica_gdr_reftransV1_0021331")</f>
        <v>p.persica_gdr_reftransV1_0021331</v>
      </c>
      <c r="B16819" s="2">
        <v>1387</v>
      </c>
      <c r="C16819" s="4" t="str">
        <f>HYPERLINK("http://www.uniprot.org/uniprot/P89920","P89920")</f>
        <v>P89920</v>
      </c>
      <c r="D16819" s="2" t="s">
        <v>13274</v>
      </c>
      <c r="E16819" s="3">
        <v>7.9900000000000005E-156</v>
      </c>
      <c r="F16819" s="2">
        <v>1282</v>
      </c>
      <c r="G16819" s="2">
        <v>61</v>
      </c>
      <c r="H16819" s="2">
        <v>414</v>
      </c>
      <c r="I16819" s="2">
        <v>6</v>
      </c>
      <c r="J16819" s="2">
        <v>1247</v>
      </c>
      <c r="K16819" s="2">
        <v>19</v>
      </c>
      <c r="L16819" s="2">
        <v>429</v>
      </c>
    </row>
    <row r="16820" spans="1:12" x14ac:dyDescent="0.25">
      <c r="A16820" s="4" t="str">
        <f>HYPERLINK("http://www.rosaceae.org/Prunus/Prunus_persica/p.persica_gdr_reftransV1_0021681","p.persica_gdr_reftransV1_0021681")</f>
        <v>p.persica_gdr_reftransV1_0021681</v>
      </c>
      <c r="B16820" s="2">
        <v>12403</v>
      </c>
      <c r="C16820" s="4" t="str">
        <f>HYPERLINK("http://www.uniprot.org/uniprot/A0A0F6Q0I9","A0A0F6Q0I9")</f>
        <v>A0A0F6Q0I9</v>
      </c>
      <c r="D16820" s="2" t="s">
        <v>13275</v>
      </c>
      <c r="E16820" s="3">
        <v>0</v>
      </c>
      <c r="F16820" s="2">
        <v>1625</v>
      </c>
      <c r="G16820" s="2">
        <v>99</v>
      </c>
      <c r="H16820" s="2">
        <v>319</v>
      </c>
      <c r="I16820" s="2">
        <v>7719</v>
      </c>
      <c r="J16820" s="2">
        <v>8675</v>
      </c>
      <c r="K16820" s="2">
        <v>1</v>
      </c>
      <c r="L16820" s="2">
        <v>319</v>
      </c>
    </row>
    <row r="16821" spans="1:12" x14ac:dyDescent="0.25">
      <c r="A16821" s="4" t="str">
        <f>HYPERLINK("http://www.rosaceae.org/Prunus/Prunus_persica/p.persica_gdr_reftransV1_0022031","p.persica_gdr_reftransV1_0022031")</f>
        <v>p.persica_gdr_reftransV1_0022031</v>
      </c>
      <c r="B16821" s="2">
        <v>773</v>
      </c>
      <c r="C16821" s="4" t="str">
        <f>HYPERLINK("http://www.uniprot.org/uniprot/A0A067KSX9","A0A067KSX9")</f>
        <v>A0A067KSX9</v>
      </c>
      <c r="D16821" s="2" t="s">
        <v>13276</v>
      </c>
      <c r="E16821" s="3">
        <v>6.2499999999999998E-84</v>
      </c>
      <c r="F16821" s="2">
        <v>695</v>
      </c>
      <c r="G16821" s="2">
        <v>86</v>
      </c>
      <c r="H16821" s="2">
        <v>150</v>
      </c>
      <c r="I16821" s="2">
        <v>322</v>
      </c>
      <c r="J16821" s="2">
        <v>771</v>
      </c>
      <c r="K16821" s="2">
        <v>1</v>
      </c>
      <c r="L16821" s="2">
        <v>150</v>
      </c>
    </row>
    <row r="16822" spans="1:12" x14ac:dyDescent="0.25">
      <c r="A16822" s="4" t="str">
        <f>HYPERLINK("http://www.rosaceae.org/Prunus/Prunus_persica/p.persica_gdr_reftransV1_0024131","p.persica_gdr_reftransV1_0024131")</f>
        <v>p.persica_gdr_reftransV1_0024131</v>
      </c>
      <c r="B16822" s="2">
        <v>1697</v>
      </c>
      <c r="C16822" s="4" t="str">
        <f>HYPERLINK("http://www.uniprot.org/uniprot/M5X1I9","M5X1I9")</f>
        <v>M5X1I9</v>
      </c>
      <c r="D16822" s="2" t="s">
        <v>13277</v>
      </c>
      <c r="E16822" s="3">
        <v>0</v>
      </c>
      <c r="F16822" s="2">
        <v>1939</v>
      </c>
      <c r="G16822" s="2">
        <v>100</v>
      </c>
      <c r="H16822" s="2">
        <v>370</v>
      </c>
      <c r="I16822" s="2">
        <v>192</v>
      </c>
      <c r="J16822" s="2">
        <v>1301</v>
      </c>
      <c r="K16822" s="2">
        <v>1</v>
      </c>
      <c r="L16822" s="2">
        <v>370</v>
      </c>
    </row>
    <row r="16823" spans="1:12" x14ac:dyDescent="0.25">
      <c r="A16823" s="4" t="str">
        <f>HYPERLINK("http://www.rosaceae.org/Prunus/Prunus_persica/p.persica_gdr_reftransV1_0024831","p.persica_gdr_reftransV1_0024831")</f>
        <v>p.persica_gdr_reftransV1_0024831</v>
      </c>
      <c r="B16823" s="2">
        <v>4110</v>
      </c>
      <c r="C16823" s="4" t="str">
        <f>HYPERLINK("http://www.uniprot.org/uniprot/M5WM75","M5WM75")</f>
        <v>M5WM75</v>
      </c>
      <c r="D16823" s="2" t="s">
        <v>13278</v>
      </c>
      <c r="E16823" s="3">
        <v>0</v>
      </c>
      <c r="F16823" s="2">
        <v>2399</v>
      </c>
      <c r="G16823" s="2">
        <v>99</v>
      </c>
      <c r="H16823" s="2">
        <v>464</v>
      </c>
      <c r="I16823" s="2">
        <v>201</v>
      </c>
      <c r="J16823" s="2">
        <v>1592</v>
      </c>
      <c r="K16823" s="2">
        <v>1</v>
      </c>
      <c r="L16823" s="2">
        <v>464</v>
      </c>
    </row>
    <row r="16824" spans="1:12" x14ac:dyDescent="0.25">
      <c r="A16824" s="4" t="str">
        <f>HYPERLINK("http://www.rosaceae.org/Prunus/Prunus_persica/p.persica_gdr_reftransV1_0025531","p.persica_gdr_reftransV1_0025531")</f>
        <v>p.persica_gdr_reftransV1_0025531</v>
      </c>
      <c r="B16824" s="2">
        <v>2622</v>
      </c>
      <c r="C16824" s="4" t="str">
        <f>HYPERLINK("http://www.uniprot.org/uniprot/M5XSH2","M5XSH2")</f>
        <v>M5XSH2</v>
      </c>
      <c r="D16824" s="2" t="s">
        <v>13279</v>
      </c>
      <c r="E16824" s="3">
        <v>1.2400000000000001E-102</v>
      </c>
      <c r="F16824" s="2">
        <v>838</v>
      </c>
      <c r="G16824" s="2">
        <v>100</v>
      </c>
      <c r="H16824" s="2">
        <v>172</v>
      </c>
      <c r="I16824" s="2">
        <v>1642</v>
      </c>
      <c r="J16824" s="2">
        <v>2157</v>
      </c>
      <c r="K16824" s="2">
        <v>1</v>
      </c>
      <c r="L16824" s="2">
        <v>172</v>
      </c>
    </row>
    <row r="16825" spans="1:12" x14ac:dyDescent="0.25">
      <c r="A16825" s="4" t="str">
        <f>HYPERLINK("http://www.rosaceae.org/Prunus/Prunus_persica/p.persica_gdr_reftransV1_0026231","p.persica_gdr_reftransV1_0026231")</f>
        <v>p.persica_gdr_reftransV1_0026231</v>
      </c>
      <c r="B16825" s="2">
        <v>1815</v>
      </c>
      <c r="C16825" s="4" t="str">
        <f>HYPERLINK("http://www.uniprot.org/uniprot/D7SLW2","D7SLW2")</f>
        <v>D7SLW2</v>
      </c>
      <c r="D16825" s="2" t="s">
        <v>9461</v>
      </c>
      <c r="E16825" s="3">
        <v>1.2299999999999999E-163</v>
      </c>
      <c r="F16825" s="2">
        <v>1248</v>
      </c>
      <c r="G16825" s="2">
        <v>73</v>
      </c>
      <c r="H16825" s="2">
        <v>335</v>
      </c>
      <c r="I16825" s="2">
        <v>565</v>
      </c>
      <c r="J16825" s="2">
        <v>1563</v>
      </c>
      <c r="K16825" s="2">
        <v>58</v>
      </c>
      <c r="L16825" s="2">
        <v>382</v>
      </c>
    </row>
    <row r="16826" spans="1:12" x14ac:dyDescent="0.25">
      <c r="A16826" s="4" t="str">
        <f>HYPERLINK("http://www.rosaceae.org/Prunus/Prunus_persica/p.persica_gdr_reftransV1_0027281","p.persica_gdr_reftransV1_0027281")</f>
        <v>p.persica_gdr_reftransV1_0027281</v>
      </c>
      <c r="B16826" s="2">
        <v>2713</v>
      </c>
      <c r="C16826" s="4" t="str">
        <f>HYPERLINK("http://www.uniprot.org/uniprot/M5WUJ7","M5WUJ7")</f>
        <v>M5WUJ7</v>
      </c>
      <c r="D16826" s="2" t="s">
        <v>13280</v>
      </c>
      <c r="E16826" s="3">
        <v>0</v>
      </c>
      <c r="F16826" s="2">
        <v>1481</v>
      </c>
      <c r="G16826" s="2">
        <v>100</v>
      </c>
      <c r="H16826" s="2">
        <v>274</v>
      </c>
      <c r="I16826" s="2">
        <v>345</v>
      </c>
      <c r="J16826" s="2">
        <v>1166</v>
      </c>
      <c r="K16826" s="2">
        <v>1</v>
      </c>
      <c r="L16826" s="2">
        <v>274</v>
      </c>
    </row>
    <row r="16827" spans="1:12" x14ac:dyDescent="0.25">
      <c r="A16827" s="4" t="str">
        <f>HYPERLINK("http://www.rosaceae.org/Prunus/Prunus_persica/p.persica_gdr_reftransV1_0028331","p.persica_gdr_reftransV1_0028331")</f>
        <v>p.persica_gdr_reftransV1_0028331</v>
      </c>
      <c r="B16827" s="2">
        <v>1575</v>
      </c>
      <c r="C16827" s="4" t="str">
        <f>HYPERLINK("http://www.uniprot.org/uniprot/M5VZ46","M5VZ46")</f>
        <v>M5VZ46</v>
      </c>
      <c r="D16827" s="2" t="s">
        <v>5779</v>
      </c>
      <c r="E16827" s="3">
        <v>0</v>
      </c>
      <c r="F16827" s="2">
        <v>2297</v>
      </c>
      <c r="G16827" s="2">
        <v>100</v>
      </c>
      <c r="H16827" s="2">
        <v>433</v>
      </c>
      <c r="I16827" s="2">
        <v>277</v>
      </c>
      <c r="J16827" s="2">
        <v>1575</v>
      </c>
      <c r="K16827" s="2">
        <v>1</v>
      </c>
      <c r="L16827" s="2">
        <v>433</v>
      </c>
    </row>
    <row r="16828" spans="1:12" x14ac:dyDescent="0.25">
      <c r="A16828" s="4" t="str">
        <f>HYPERLINK("http://www.rosaceae.org/Prunus/Prunus_persica/p.persica_gdr_reftransV1_0028681","p.persica_gdr_reftransV1_0028681")</f>
        <v>p.persica_gdr_reftransV1_0028681</v>
      </c>
      <c r="B16828" s="2">
        <v>4006</v>
      </c>
      <c r="C16828" s="4" t="str">
        <f>HYPERLINK("http://www.uniprot.org/uniprot/A0A068Q721","A0A068Q721")</f>
        <v>A0A068Q721</v>
      </c>
      <c r="D16828" s="2" t="s">
        <v>13281</v>
      </c>
      <c r="E16828" s="3">
        <v>0</v>
      </c>
      <c r="F16828" s="2">
        <v>2208</v>
      </c>
      <c r="G16828" s="2">
        <v>97</v>
      </c>
      <c r="H16828" s="2">
        <v>513</v>
      </c>
      <c r="I16828" s="2">
        <v>650</v>
      </c>
      <c r="J16828" s="2">
        <v>2188</v>
      </c>
      <c r="K16828" s="2">
        <v>1</v>
      </c>
      <c r="L16828" s="2">
        <v>513</v>
      </c>
    </row>
    <row r="16829" spans="1:12" x14ac:dyDescent="0.25">
      <c r="A16829" s="4" t="str">
        <f>HYPERLINK("http://www.rosaceae.org/Prunus/Prunus_persica/p.persica_gdr_reftransV1_0030081","p.persica_gdr_reftransV1_0030081")</f>
        <v>p.persica_gdr_reftransV1_0030081</v>
      </c>
      <c r="B16829" s="2">
        <v>2457</v>
      </c>
      <c r="C16829" s="4" t="str">
        <f>HYPERLINK("http://www.uniprot.org/uniprot/M5X9N5","M5X9N5")</f>
        <v>M5X9N5</v>
      </c>
      <c r="D16829" s="2" t="s">
        <v>13282</v>
      </c>
      <c r="E16829" s="3">
        <v>0</v>
      </c>
      <c r="F16829" s="2">
        <v>2201</v>
      </c>
      <c r="G16829" s="2">
        <v>100</v>
      </c>
      <c r="H16829" s="2">
        <v>439</v>
      </c>
      <c r="I16829" s="2">
        <v>175</v>
      </c>
      <c r="J16829" s="2">
        <v>1491</v>
      </c>
      <c r="K16829" s="2">
        <v>198</v>
      </c>
      <c r="L16829" s="2">
        <v>636</v>
      </c>
    </row>
    <row r="16830" spans="1:12" x14ac:dyDescent="0.25">
      <c r="A16830" s="4" t="str">
        <f>HYPERLINK("http://www.rosaceae.org/Prunus/Prunus_persica/p.persica_gdr_reftransV1_0034981","p.persica_gdr_reftransV1_0034981")</f>
        <v>p.persica_gdr_reftransV1_0034981</v>
      </c>
      <c r="B16830" s="2">
        <v>3506</v>
      </c>
      <c r="C16830" s="4" t="str">
        <f>HYPERLINK("http://www.uniprot.org/uniprot/M5X508","M5X508")</f>
        <v>M5X508</v>
      </c>
      <c r="D16830" s="2" t="s">
        <v>1461</v>
      </c>
      <c r="E16830" s="3">
        <v>0</v>
      </c>
      <c r="F16830" s="2">
        <v>2150</v>
      </c>
      <c r="G16830" s="2">
        <v>100</v>
      </c>
      <c r="H16830" s="2">
        <v>432</v>
      </c>
      <c r="I16830" s="2">
        <v>452</v>
      </c>
      <c r="J16830" s="2">
        <v>1747</v>
      </c>
      <c r="K16830" s="2">
        <v>1</v>
      </c>
      <c r="L16830" s="2">
        <v>432</v>
      </c>
    </row>
    <row r="16831" spans="1:12" x14ac:dyDescent="0.25">
      <c r="A16831" s="4" t="str">
        <f>HYPERLINK("http://www.rosaceae.org/Prunus/Prunus_persica/p.persica_gdr_reftransV1_0036731","p.persica_gdr_reftransV1_0036731")</f>
        <v>p.persica_gdr_reftransV1_0036731</v>
      </c>
      <c r="B16831" s="2">
        <v>2605</v>
      </c>
      <c r="C16831" s="4" t="str">
        <f>HYPERLINK("http://www.uniprot.org/uniprot/M5X8L8","M5X8L8")</f>
        <v>M5X8L8</v>
      </c>
      <c r="D16831" s="2" t="s">
        <v>2237</v>
      </c>
      <c r="E16831" s="3">
        <v>0</v>
      </c>
      <c r="F16831" s="2">
        <v>3111</v>
      </c>
      <c r="G16831" s="2">
        <v>99</v>
      </c>
      <c r="H16831" s="2">
        <v>589</v>
      </c>
      <c r="I16831" s="2">
        <v>350</v>
      </c>
      <c r="J16831" s="2">
        <v>2116</v>
      </c>
      <c r="K16831" s="2">
        <v>126</v>
      </c>
      <c r="L16831" s="2">
        <v>714</v>
      </c>
    </row>
    <row r="16832" spans="1:12" x14ac:dyDescent="0.25">
      <c r="A16832" s="4" t="str">
        <f>HYPERLINK("http://www.rosaceae.org/Prunus/Prunus_persica/p.persica_gdr_reftransV1_0037431","p.persica_gdr_reftransV1_0037431")</f>
        <v>p.persica_gdr_reftransV1_0037431</v>
      </c>
      <c r="B16832" s="2">
        <v>3631</v>
      </c>
      <c r="C16832" s="4" t="str">
        <f>HYPERLINK("http://www.uniprot.org/uniprot/M5XBL7","M5XBL7")</f>
        <v>M5XBL7</v>
      </c>
      <c r="D16832" s="2" t="s">
        <v>13283</v>
      </c>
      <c r="E16832" s="3">
        <v>3.6599999999999997E-151</v>
      </c>
      <c r="F16832" s="2">
        <v>1217</v>
      </c>
      <c r="G16832" s="2">
        <v>98</v>
      </c>
      <c r="H16832" s="2">
        <v>259</v>
      </c>
      <c r="I16832" s="2">
        <v>2651</v>
      </c>
      <c r="J16832" s="2">
        <v>3427</v>
      </c>
      <c r="K16832" s="2">
        <v>1</v>
      </c>
      <c r="L16832" s="2">
        <v>259</v>
      </c>
    </row>
    <row r="16833" spans="1:12" x14ac:dyDescent="0.25">
      <c r="A16833" s="4" t="str">
        <f>HYPERLINK("http://www.rosaceae.org/Prunus/Prunus_persica/p.persica_gdr_reftransV1_0040581","p.persica_gdr_reftransV1_0040581")</f>
        <v>p.persica_gdr_reftransV1_0040581</v>
      </c>
      <c r="B16833" s="2">
        <v>3991</v>
      </c>
      <c r="C16833" s="4" t="str">
        <f>HYPERLINK("http://www.uniprot.org/uniprot/V4UAU7","V4UAU7")</f>
        <v>V4UAU7</v>
      </c>
      <c r="D16833" s="2" t="s">
        <v>13284</v>
      </c>
      <c r="E16833" s="3">
        <v>0</v>
      </c>
      <c r="F16833" s="2">
        <v>3254</v>
      </c>
      <c r="G16833" s="2">
        <v>67</v>
      </c>
      <c r="H16833" s="2">
        <v>969</v>
      </c>
      <c r="I16833" s="2">
        <v>193</v>
      </c>
      <c r="J16833" s="2">
        <v>3084</v>
      </c>
      <c r="K16833" s="2">
        <v>5</v>
      </c>
      <c r="L16833" s="2">
        <v>895</v>
      </c>
    </row>
    <row r="16834" spans="1:12" x14ac:dyDescent="0.25">
      <c r="A16834" s="4" t="str">
        <f>HYPERLINK("http://www.rosaceae.org/Prunus/Prunus_persica/p.persica_gdr_reftransV1_0041281","p.persica_gdr_reftransV1_0041281")</f>
        <v>p.persica_gdr_reftransV1_0041281</v>
      </c>
      <c r="B16834" s="2">
        <v>3223</v>
      </c>
      <c r="C16834" s="4" t="str">
        <f>HYPERLINK("http://www.uniprot.org/uniprot/M5XF42","M5XF42")</f>
        <v>M5XF42</v>
      </c>
      <c r="D16834" s="2" t="s">
        <v>1592</v>
      </c>
      <c r="E16834" s="3">
        <v>0</v>
      </c>
      <c r="F16834" s="2">
        <v>2624</v>
      </c>
      <c r="G16834" s="2">
        <v>100</v>
      </c>
      <c r="H16834" s="2">
        <v>572</v>
      </c>
      <c r="I16834" s="2">
        <v>734</v>
      </c>
      <c r="J16834" s="2">
        <v>2449</v>
      </c>
      <c r="K16834" s="2">
        <v>1</v>
      </c>
      <c r="L16834" s="2">
        <v>572</v>
      </c>
    </row>
    <row r="16835" spans="1:12" x14ac:dyDescent="0.25">
      <c r="A16835" s="4" t="str">
        <f>HYPERLINK("http://www.rosaceae.org/Prunus/Prunus_persica/p.persica_gdr_reftransV1_0041631","p.persica_gdr_reftransV1_0041631")</f>
        <v>p.persica_gdr_reftransV1_0041631</v>
      </c>
      <c r="B16835" s="2">
        <v>3166</v>
      </c>
      <c r="C16835" s="4" t="str">
        <f>HYPERLINK("http://www.uniprot.org/uniprot/M5XLG4","M5XLG4")</f>
        <v>M5XLG4</v>
      </c>
      <c r="D16835" s="2" t="s">
        <v>13285</v>
      </c>
      <c r="E16835" s="3">
        <v>0</v>
      </c>
      <c r="F16835" s="2">
        <v>2851</v>
      </c>
      <c r="G16835" s="2">
        <v>91</v>
      </c>
      <c r="H16835" s="2">
        <v>614</v>
      </c>
      <c r="I16835" s="2">
        <v>445</v>
      </c>
      <c r="J16835" s="2">
        <v>2286</v>
      </c>
      <c r="K16835" s="2">
        <v>1</v>
      </c>
      <c r="L16835" s="2">
        <v>561</v>
      </c>
    </row>
    <row r="16836" spans="1:12" x14ac:dyDescent="0.25">
      <c r="A16836" s="4" t="str">
        <f>HYPERLINK("http://www.rosaceae.org/Prunus/Prunus_persica/p.persica_gdr_reftransV1_0042681","p.persica_gdr_reftransV1_0042681")</f>
        <v>p.persica_gdr_reftransV1_0042681</v>
      </c>
      <c r="B16836" s="2">
        <v>1227</v>
      </c>
      <c r="C16836" s="4" t="str">
        <f>HYPERLINK("http://www.uniprot.org/uniprot/M5WDR0","M5WDR0")</f>
        <v>M5WDR0</v>
      </c>
      <c r="D16836" s="2" t="s">
        <v>13286</v>
      </c>
      <c r="E16836" s="3">
        <v>5.8499999999999999E-170</v>
      </c>
      <c r="F16836" s="2">
        <v>1263</v>
      </c>
      <c r="G16836" s="2">
        <v>100</v>
      </c>
      <c r="H16836" s="2">
        <v>273</v>
      </c>
      <c r="I16836" s="2">
        <v>3</v>
      </c>
      <c r="J16836" s="2">
        <v>821</v>
      </c>
      <c r="K16836" s="2">
        <v>55</v>
      </c>
      <c r="L16836" s="2">
        <v>327</v>
      </c>
    </row>
    <row r="16837" spans="1:12" x14ac:dyDescent="0.25">
      <c r="A16837" s="4" t="str">
        <f>HYPERLINK("http://www.rosaceae.org/Prunus/Prunus_persica/p.persica_gdr_reftransV1_0043031","p.persica_gdr_reftransV1_0043031")</f>
        <v>p.persica_gdr_reftransV1_0043031</v>
      </c>
      <c r="B16837" s="2">
        <v>300</v>
      </c>
      <c r="C16837" s="4" t="str">
        <f>HYPERLINK("http://www.uniprot.org/uniprot/M5XMQ0","M5XMQ0")</f>
        <v>M5XMQ0</v>
      </c>
      <c r="D16837" s="2" t="s">
        <v>3225</v>
      </c>
      <c r="E16837" s="3">
        <v>6.9499999999999995E-63</v>
      </c>
      <c r="F16837" s="2">
        <v>537</v>
      </c>
      <c r="G16837" s="2">
        <v>100</v>
      </c>
      <c r="H16837" s="2">
        <v>99</v>
      </c>
      <c r="I16837" s="2">
        <v>3</v>
      </c>
      <c r="J16837" s="2">
        <v>299</v>
      </c>
      <c r="K16837" s="2">
        <v>171</v>
      </c>
      <c r="L16837" s="2">
        <v>269</v>
      </c>
    </row>
    <row r="16838" spans="1:12" x14ac:dyDescent="0.25">
      <c r="A16838" s="4" t="str">
        <f>HYPERLINK("http://www.rosaceae.org/Prunus/Prunus_persica/p.persica_gdr_reftransV1_0043381","p.persica_gdr_reftransV1_0043381")</f>
        <v>p.persica_gdr_reftransV1_0043381</v>
      </c>
      <c r="B16838" s="2">
        <v>661</v>
      </c>
      <c r="C16838" s="4" t="str">
        <f>HYPERLINK("http://www.uniprot.org/uniprot/M5WE75","M5WE75")</f>
        <v>M5WE75</v>
      </c>
      <c r="D16838" s="2" t="s">
        <v>5016</v>
      </c>
      <c r="E16838" s="3">
        <v>2.85E-97</v>
      </c>
      <c r="F16838" s="2">
        <v>808</v>
      </c>
      <c r="G16838" s="2">
        <v>100</v>
      </c>
      <c r="H16838" s="2">
        <v>154</v>
      </c>
      <c r="I16838" s="2">
        <v>3</v>
      </c>
      <c r="J16838" s="2">
        <v>464</v>
      </c>
      <c r="K16838" s="2">
        <v>1</v>
      </c>
      <c r="L16838" s="2">
        <v>154</v>
      </c>
    </row>
    <row r="16839" spans="1:12" x14ac:dyDescent="0.25">
      <c r="A16839" s="4" t="str">
        <f>HYPERLINK("http://www.rosaceae.org/Prunus/Prunus_persica/p.persica_gdr_reftransV1_0044081","p.persica_gdr_reftransV1_0044081")</f>
        <v>p.persica_gdr_reftransV1_0044081</v>
      </c>
      <c r="B16839" s="2">
        <v>2466</v>
      </c>
      <c r="C16839" s="4" t="str">
        <f>HYPERLINK("http://www.uniprot.org/uniprot/M5WZE1","M5WZE1")</f>
        <v>M5WZE1</v>
      </c>
      <c r="D16839" s="2" t="s">
        <v>13287</v>
      </c>
      <c r="E16839" s="3">
        <v>0</v>
      </c>
      <c r="F16839" s="2">
        <v>3812</v>
      </c>
      <c r="G16839" s="2">
        <v>100</v>
      </c>
      <c r="H16839" s="2">
        <v>743</v>
      </c>
      <c r="I16839" s="2">
        <v>75</v>
      </c>
      <c r="J16839" s="2">
        <v>2303</v>
      </c>
      <c r="K16839" s="2">
        <v>1</v>
      </c>
      <c r="L16839" s="2">
        <v>743</v>
      </c>
    </row>
    <row r="16840" spans="1:12" x14ac:dyDescent="0.25">
      <c r="A16840" s="4" t="str">
        <f>HYPERLINK("http://www.rosaceae.org/Prunus/Prunus_persica/p.persica_gdr_reftransV1_0044431","p.persica_gdr_reftransV1_0044431")</f>
        <v>p.persica_gdr_reftransV1_0044431</v>
      </c>
      <c r="B16840" s="2">
        <v>797</v>
      </c>
      <c r="C16840" s="4" t="str">
        <f>HYPERLINK("http://www.uniprot.org/uniprot/G8H5D5","G8H5D5")</f>
        <v>G8H5D5</v>
      </c>
      <c r="D16840" s="2" t="s">
        <v>13288</v>
      </c>
      <c r="E16840" s="3">
        <v>2.3199999999999999E-102</v>
      </c>
      <c r="F16840" s="2">
        <v>784</v>
      </c>
      <c r="G16840" s="2">
        <v>100</v>
      </c>
      <c r="H16840" s="2">
        <v>147</v>
      </c>
      <c r="I16840" s="2">
        <v>156</v>
      </c>
      <c r="J16840" s="2">
        <v>596</v>
      </c>
      <c r="K16840" s="2">
        <v>1</v>
      </c>
      <c r="L16840" s="2">
        <v>147</v>
      </c>
    </row>
    <row r="16841" spans="1:12" x14ac:dyDescent="0.25">
      <c r="A16841" s="4" t="str">
        <f>HYPERLINK("http://www.rosaceae.org/Prunus/Prunus_persica/p.persica_gdr_reftransV1_0044781","p.persica_gdr_reftransV1_0044781")</f>
        <v>p.persica_gdr_reftransV1_0044781</v>
      </c>
      <c r="B16841" s="2">
        <v>2000</v>
      </c>
      <c r="C16841" s="4" t="str">
        <f>HYPERLINK("http://www.uniprot.org/uniprot/M5W493","M5W493")</f>
        <v>M5W493</v>
      </c>
      <c r="D16841" s="2" t="s">
        <v>4523</v>
      </c>
      <c r="E16841" s="3">
        <v>0</v>
      </c>
      <c r="F16841" s="2">
        <v>2612</v>
      </c>
      <c r="G16841" s="2">
        <v>100</v>
      </c>
      <c r="H16841" s="2">
        <v>502</v>
      </c>
      <c r="I16841" s="2">
        <v>174</v>
      </c>
      <c r="J16841" s="2">
        <v>1679</v>
      </c>
      <c r="K16841" s="2">
        <v>1</v>
      </c>
      <c r="L16841" s="2">
        <v>502</v>
      </c>
    </row>
    <row r="16842" spans="1:12" x14ac:dyDescent="0.25">
      <c r="A16842" s="4" t="str">
        <f>HYPERLINK("http://www.rosaceae.org/Prunus/Prunus_persica/p.persica_gdr_reftransV1_0045131","p.persica_gdr_reftransV1_0045131")</f>
        <v>p.persica_gdr_reftransV1_0045131</v>
      </c>
      <c r="B16842" s="2">
        <v>352</v>
      </c>
      <c r="C16842" s="4" t="str">
        <f>HYPERLINK("http://www.uniprot.org/uniprot/M5WYA4","M5WYA4")</f>
        <v>M5WYA4</v>
      </c>
      <c r="D16842" s="2" t="s">
        <v>13289</v>
      </c>
      <c r="E16842" s="3">
        <v>1.0600000000000001E-62</v>
      </c>
      <c r="F16842" s="2">
        <v>521</v>
      </c>
      <c r="G16842" s="2">
        <v>80</v>
      </c>
      <c r="H16842" s="2">
        <v>117</v>
      </c>
      <c r="I16842" s="2">
        <v>2</v>
      </c>
      <c r="J16842" s="2">
        <v>352</v>
      </c>
      <c r="K16842" s="2">
        <v>16</v>
      </c>
      <c r="L16842" s="2">
        <v>132</v>
      </c>
    </row>
    <row r="16843" spans="1:12" x14ac:dyDescent="0.25">
      <c r="A16843" s="4" t="str">
        <f>HYPERLINK("http://www.rosaceae.org/Prunus/Prunus_persica/p.persica_gdr_reftransV1_0045481","p.persica_gdr_reftransV1_0045481")</f>
        <v>p.persica_gdr_reftransV1_0045481</v>
      </c>
      <c r="B16843" s="2">
        <v>1930</v>
      </c>
      <c r="C16843" s="4" t="str">
        <f>HYPERLINK("http://www.uniprot.org/uniprot/M5WBJ9","M5WBJ9")</f>
        <v>M5WBJ9</v>
      </c>
      <c r="D16843" s="2" t="s">
        <v>12699</v>
      </c>
      <c r="E16843" s="3">
        <v>0</v>
      </c>
      <c r="F16843" s="2">
        <v>2506</v>
      </c>
      <c r="G16843" s="2">
        <v>100</v>
      </c>
      <c r="H16843" s="2">
        <v>524</v>
      </c>
      <c r="I16843" s="2">
        <v>152</v>
      </c>
      <c r="J16843" s="2">
        <v>1723</v>
      </c>
      <c r="K16843" s="2">
        <v>3</v>
      </c>
      <c r="L16843" s="2">
        <v>526</v>
      </c>
    </row>
    <row r="16844" spans="1:12" x14ac:dyDescent="0.25">
      <c r="A16844" s="4" t="str">
        <f>HYPERLINK("http://www.rosaceae.org/Prunus/Prunus_persica/p.persica_gdr_reftransV1_0045831","p.persica_gdr_reftransV1_0045831")</f>
        <v>p.persica_gdr_reftransV1_0045831</v>
      </c>
      <c r="B16844" s="2">
        <v>2569</v>
      </c>
      <c r="C16844" s="4" t="str">
        <f>HYPERLINK("http://www.uniprot.org/uniprot/M5XJY9","M5XJY9")</f>
        <v>M5XJY9</v>
      </c>
      <c r="D16844" s="2" t="s">
        <v>10170</v>
      </c>
      <c r="E16844" s="3">
        <v>5.2300000000000001E-164</v>
      </c>
      <c r="F16844" s="2">
        <v>1303</v>
      </c>
      <c r="G16844" s="2">
        <v>95</v>
      </c>
      <c r="H16844" s="2">
        <v>293</v>
      </c>
      <c r="I16844" s="2">
        <v>240</v>
      </c>
      <c r="J16844" s="2">
        <v>1112</v>
      </c>
      <c r="K16844" s="2">
        <v>424</v>
      </c>
      <c r="L16844" s="2">
        <v>710</v>
      </c>
    </row>
    <row r="16845" spans="1:12" x14ac:dyDescent="0.25">
      <c r="A16845" s="4" t="str">
        <f>HYPERLINK("http://www.rosaceae.org/Prunus/Prunus_persica/p.persica_gdr_reftransV1_0047581","p.persica_gdr_reftransV1_0047581")</f>
        <v>p.persica_gdr_reftransV1_0047581</v>
      </c>
      <c r="B16845" s="2">
        <v>1109</v>
      </c>
      <c r="C16845" s="4" t="str">
        <f>HYPERLINK("http://www.uniprot.org/uniprot/M5X1Y6","M5X1Y6")</f>
        <v>M5X1Y6</v>
      </c>
      <c r="D16845" s="2" t="s">
        <v>7821</v>
      </c>
      <c r="E16845" s="3">
        <v>0</v>
      </c>
      <c r="F16845" s="2">
        <v>1857</v>
      </c>
      <c r="G16845" s="2">
        <v>100</v>
      </c>
      <c r="H16845" s="2">
        <v>345</v>
      </c>
      <c r="I16845" s="2">
        <v>41</v>
      </c>
      <c r="J16845" s="2">
        <v>1075</v>
      </c>
      <c r="K16845" s="2">
        <v>840</v>
      </c>
      <c r="L16845" s="2">
        <v>1184</v>
      </c>
    </row>
    <row r="16846" spans="1:12" x14ac:dyDescent="0.25">
      <c r="A16846" s="4" t="str">
        <f>HYPERLINK("http://www.rosaceae.org/Prunus/Prunus_persica/p.persica_gdr_reftransV1_0048631","p.persica_gdr_reftransV1_0048631")</f>
        <v>p.persica_gdr_reftransV1_0048631</v>
      </c>
      <c r="B16846" s="2">
        <v>639</v>
      </c>
      <c r="C16846" s="4" t="str">
        <f>HYPERLINK("http://www.uniprot.org/uniprot/M5W875","M5W875")</f>
        <v>M5W875</v>
      </c>
      <c r="D16846" s="2" t="s">
        <v>1159</v>
      </c>
      <c r="E16846" s="3">
        <v>6.82E-127</v>
      </c>
      <c r="F16846" s="2">
        <v>992</v>
      </c>
      <c r="G16846" s="2">
        <v>92</v>
      </c>
      <c r="H16846" s="2">
        <v>212</v>
      </c>
      <c r="I16846" s="2">
        <v>3</v>
      </c>
      <c r="J16846" s="2">
        <v>638</v>
      </c>
      <c r="K16846" s="2">
        <v>482</v>
      </c>
      <c r="L16846" s="2">
        <v>677</v>
      </c>
    </row>
    <row r="16847" spans="1:12" x14ac:dyDescent="0.25">
      <c r="A16847" s="4" t="str">
        <f>HYPERLINK("http://www.rosaceae.org/Prunus/Prunus_persica/p.persica_gdr_reftransV1_0048981","p.persica_gdr_reftransV1_0048981")</f>
        <v>p.persica_gdr_reftransV1_0048981</v>
      </c>
      <c r="B16847" s="2">
        <v>440</v>
      </c>
      <c r="C16847" s="4" t="str">
        <f>HYPERLINK("http://www.uniprot.org/uniprot/M5WLU0","M5WLU0")</f>
        <v>M5WLU0</v>
      </c>
      <c r="D16847" s="2" t="s">
        <v>13290</v>
      </c>
      <c r="E16847" s="3">
        <v>1.3500000000000001E-63</v>
      </c>
      <c r="F16847" s="2">
        <v>541</v>
      </c>
      <c r="G16847" s="2">
        <v>96</v>
      </c>
      <c r="H16847" s="2">
        <v>106</v>
      </c>
      <c r="I16847" s="2">
        <v>3</v>
      </c>
      <c r="J16847" s="2">
        <v>320</v>
      </c>
      <c r="K16847" s="2">
        <v>1</v>
      </c>
      <c r="L16847" s="2">
        <v>106</v>
      </c>
    </row>
    <row r="16848" spans="1:12" x14ac:dyDescent="0.25">
      <c r="A16848" s="4" t="str">
        <f>HYPERLINK("http://www.rosaceae.org/Prunus/Prunus_persica/p.persica_gdr_reftransV1_0000332","p.persica_gdr_reftransV1_0000332")</f>
        <v>p.persica_gdr_reftransV1_0000332</v>
      </c>
      <c r="B16848" s="2">
        <v>1659</v>
      </c>
      <c r="C16848" s="4" t="str">
        <f>HYPERLINK("http://www.uniprot.org/uniprot/M5WBP7","M5WBP7")</f>
        <v>M5WBP7</v>
      </c>
      <c r="D16848" s="2" t="s">
        <v>11786</v>
      </c>
      <c r="E16848" s="3">
        <v>0</v>
      </c>
      <c r="F16848" s="2">
        <v>1807</v>
      </c>
      <c r="G16848" s="2">
        <v>100</v>
      </c>
      <c r="H16848" s="2">
        <v>341</v>
      </c>
      <c r="I16848" s="2">
        <v>300</v>
      </c>
      <c r="J16848" s="2">
        <v>1322</v>
      </c>
      <c r="K16848" s="2">
        <v>1</v>
      </c>
      <c r="L16848" s="2">
        <v>341</v>
      </c>
    </row>
    <row r="16849" spans="1:12" x14ac:dyDescent="0.25">
      <c r="A16849" s="4" t="str">
        <f>HYPERLINK("http://www.rosaceae.org/Prunus/Prunus_persica/p.persica_gdr_reftransV1_0000682","p.persica_gdr_reftransV1_0000682")</f>
        <v>p.persica_gdr_reftransV1_0000682</v>
      </c>
      <c r="B16849" s="2">
        <v>645</v>
      </c>
      <c r="C16849" s="4" t="str">
        <f>HYPERLINK("http://www.uniprot.org/uniprot/M5XIB1","M5XIB1")</f>
        <v>M5XIB1</v>
      </c>
      <c r="D16849" s="2" t="s">
        <v>10079</v>
      </c>
      <c r="E16849" s="3">
        <v>2.0000000000000001E-63</v>
      </c>
      <c r="F16849" s="2">
        <v>574</v>
      </c>
      <c r="G16849" s="2">
        <v>93</v>
      </c>
      <c r="H16849" s="2">
        <v>148</v>
      </c>
      <c r="I16849" s="2">
        <v>200</v>
      </c>
      <c r="J16849" s="2">
        <v>643</v>
      </c>
      <c r="K16849" s="2">
        <v>1654</v>
      </c>
      <c r="L16849" s="2">
        <v>1801</v>
      </c>
    </row>
    <row r="16850" spans="1:12" x14ac:dyDescent="0.25">
      <c r="A16850" s="4" t="str">
        <f>HYPERLINK("http://www.rosaceae.org/Prunus/Prunus_persica/p.persica_gdr_reftransV1_0002432","p.persica_gdr_reftransV1_0002432")</f>
        <v>p.persica_gdr_reftransV1_0002432</v>
      </c>
      <c r="B16850" s="2">
        <v>419</v>
      </c>
      <c r="C16850" s="4" t="str">
        <f>HYPERLINK("http://www.uniprot.org/uniprot/N1RDC7","N1RDC7")</f>
        <v>N1RDC7</v>
      </c>
      <c r="D16850" s="2" t="s">
        <v>13291</v>
      </c>
      <c r="E16850" s="3">
        <v>6.8900000000000005E-67</v>
      </c>
      <c r="F16850" s="2">
        <v>556</v>
      </c>
      <c r="G16850" s="2">
        <v>99</v>
      </c>
      <c r="H16850" s="2">
        <v>110</v>
      </c>
      <c r="I16850" s="2">
        <v>1</v>
      </c>
      <c r="J16850" s="2">
        <v>330</v>
      </c>
      <c r="K16850" s="2">
        <v>278</v>
      </c>
      <c r="L16850" s="2">
        <v>387</v>
      </c>
    </row>
    <row r="16851" spans="1:12" x14ac:dyDescent="0.25">
      <c r="A16851" s="4" t="str">
        <f>HYPERLINK("http://www.rosaceae.org/Prunus/Prunus_persica/p.persica_gdr_reftransV1_0002782","p.persica_gdr_reftransV1_0002782")</f>
        <v>p.persica_gdr_reftransV1_0002782</v>
      </c>
      <c r="B16851" s="2">
        <v>1465</v>
      </c>
      <c r="C16851" s="4" t="str">
        <f>HYPERLINK("http://www.uniprot.org/uniprot/B9HTD4","B9HTD4")</f>
        <v>B9HTD4</v>
      </c>
      <c r="D16851" s="2" t="s">
        <v>3720</v>
      </c>
      <c r="E16851" s="3">
        <v>0</v>
      </c>
      <c r="F16851" s="2">
        <v>1460</v>
      </c>
      <c r="G16851" s="2">
        <v>62</v>
      </c>
      <c r="H16851" s="2">
        <v>432</v>
      </c>
      <c r="I16851" s="2">
        <v>80</v>
      </c>
      <c r="J16851" s="2">
        <v>1375</v>
      </c>
      <c r="K16851" s="2">
        <v>1</v>
      </c>
      <c r="L16851" s="2">
        <v>427</v>
      </c>
    </row>
    <row r="16852" spans="1:12" x14ac:dyDescent="0.25">
      <c r="A16852" s="4" t="str">
        <f>HYPERLINK("http://www.rosaceae.org/Prunus/Prunus_persica/p.persica_gdr_reftransV1_0003132","p.persica_gdr_reftransV1_0003132")</f>
        <v>p.persica_gdr_reftransV1_0003132</v>
      </c>
      <c r="B16852" s="2">
        <v>1536</v>
      </c>
      <c r="C16852" s="4" t="str">
        <f>HYPERLINK("http://www.uniprot.org/uniprot/M5VRD1","M5VRD1")</f>
        <v>M5VRD1</v>
      </c>
      <c r="D16852" s="2" t="s">
        <v>8984</v>
      </c>
      <c r="E16852" s="3">
        <v>3.11E-145</v>
      </c>
      <c r="F16852" s="2">
        <v>856</v>
      </c>
      <c r="G16852" s="2">
        <v>100</v>
      </c>
      <c r="H16852" s="2">
        <v>157</v>
      </c>
      <c r="I16852" s="2">
        <v>364</v>
      </c>
      <c r="J16852" s="2">
        <v>834</v>
      </c>
      <c r="K16852" s="2">
        <v>180</v>
      </c>
      <c r="L16852" s="2">
        <v>336</v>
      </c>
    </row>
    <row r="16853" spans="1:12" x14ac:dyDescent="0.25">
      <c r="A16853" s="4" t="str">
        <f>HYPERLINK("http://www.rosaceae.org/Prunus/Prunus_persica/p.persica_gdr_reftransV1_0003482","p.persica_gdr_reftransV1_0003482")</f>
        <v>p.persica_gdr_reftransV1_0003482</v>
      </c>
      <c r="B16853" s="2">
        <v>1649</v>
      </c>
      <c r="C16853" s="4" t="str">
        <f>HYPERLINK("http://www.uniprot.org/uniprot/M5XJT1","M5XJT1")</f>
        <v>M5XJT1</v>
      </c>
      <c r="D16853" s="2" t="s">
        <v>13292</v>
      </c>
      <c r="E16853" s="3">
        <v>0</v>
      </c>
      <c r="F16853" s="2">
        <v>2535</v>
      </c>
      <c r="G16853" s="2">
        <v>100</v>
      </c>
      <c r="H16853" s="2">
        <v>485</v>
      </c>
      <c r="I16853" s="2">
        <v>69</v>
      </c>
      <c r="J16853" s="2">
        <v>1523</v>
      </c>
      <c r="K16853" s="2">
        <v>12</v>
      </c>
      <c r="L16853" s="2">
        <v>496</v>
      </c>
    </row>
    <row r="16854" spans="1:12" x14ac:dyDescent="0.25">
      <c r="A16854" s="4" t="str">
        <f>HYPERLINK("http://www.rosaceae.org/Prunus/Prunus_persica/p.persica_gdr_reftransV1_0003832","p.persica_gdr_reftransV1_0003832")</f>
        <v>p.persica_gdr_reftransV1_0003832</v>
      </c>
      <c r="B16854" s="2">
        <v>1918</v>
      </c>
      <c r="C16854" s="4" t="str">
        <f>HYPERLINK("http://www.uniprot.org/uniprot/M5Y4Q9","M5Y4Q9")</f>
        <v>M5Y4Q9</v>
      </c>
      <c r="D16854" s="2" t="s">
        <v>13293</v>
      </c>
      <c r="E16854" s="3">
        <v>0</v>
      </c>
      <c r="F16854" s="2">
        <v>2457</v>
      </c>
      <c r="G16854" s="2">
        <v>100</v>
      </c>
      <c r="H16854" s="2">
        <v>545</v>
      </c>
      <c r="I16854" s="2">
        <v>261</v>
      </c>
      <c r="J16854" s="2">
        <v>1895</v>
      </c>
      <c r="K16854" s="2">
        <v>1</v>
      </c>
      <c r="L16854" s="2">
        <v>545</v>
      </c>
    </row>
    <row r="16855" spans="1:12" x14ac:dyDescent="0.25">
      <c r="A16855" s="4" t="str">
        <f>HYPERLINK("http://www.rosaceae.org/Prunus/Prunus_persica/p.persica_gdr_reftransV1_0004532","p.persica_gdr_reftransV1_0004532")</f>
        <v>p.persica_gdr_reftransV1_0004532</v>
      </c>
      <c r="B16855" s="2">
        <v>1465</v>
      </c>
      <c r="C16855" s="4" t="str">
        <f>HYPERLINK("http://www.uniprot.org/uniprot/D7SQ02","D7SQ02")</f>
        <v>D7SQ02</v>
      </c>
      <c r="D16855" s="2" t="s">
        <v>287</v>
      </c>
      <c r="E16855" s="3">
        <v>4.1300000000000003E-158</v>
      </c>
      <c r="F16855" s="2">
        <v>1206</v>
      </c>
      <c r="G16855" s="2">
        <v>62</v>
      </c>
      <c r="H16855" s="2">
        <v>452</v>
      </c>
      <c r="I16855" s="2">
        <v>50</v>
      </c>
      <c r="J16855" s="2">
        <v>1402</v>
      </c>
      <c r="K16855" s="2">
        <v>19</v>
      </c>
      <c r="L16855" s="2">
        <v>452</v>
      </c>
    </row>
    <row r="16856" spans="1:12" x14ac:dyDescent="0.25">
      <c r="A16856" s="4" t="str">
        <f>HYPERLINK("http://www.rosaceae.org/Prunus/Prunus_persica/p.persica_gdr_reftransV1_0005932","p.persica_gdr_reftransV1_0005932")</f>
        <v>p.persica_gdr_reftransV1_0005932</v>
      </c>
      <c r="B16856" s="2">
        <v>516</v>
      </c>
      <c r="C16856" s="4" t="str">
        <f>HYPERLINK("http://www.uniprot.org/uniprot/M5X7T2","M5X7T2")</f>
        <v>M5X7T2</v>
      </c>
      <c r="D16856" s="2" t="s">
        <v>9575</v>
      </c>
      <c r="E16856" s="3">
        <v>1.7600000000000001E-113</v>
      </c>
      <c r="F16856" s="2">
        <v>861</v>
      </c>
      <c r="G16856" s="2">
        <v>100</v>
      </c>
      <c r="H16856" s="2">
        <v>161</v>
      </c>
      <c r="I16856" s="2">
        <v>34</v>
      </c>
      <c r="J16856" s="2">
        <v>516</v>
      </c>
      <c r="K16856" s="2">
        <v>1</v>
      </c>
      <c r="L16856" s="2">
        <v>161</v>
      </c>
    </row>
    <row r="16857" spans="1:12" x14ac:dyDescent="0.25">
      <c r="A16857" s="4" t="str">
        <f>HYPERLINK("http://www.rosaceae.org/Prunus/Prunus_persica/p.persica_gdr_reftransV1_0007332","p.persica_gdr_reftransV1_0007332")</f>
        <v>p.persica_gdr_reftransV1_0007332</v>
      </c>
      <c r="B16857" s="2">
        <v>4480</v>
      </c>
      <c r="C16857" s="4" t="str">
        <f>HYPERLINK("http://www.uniprot.org/uniprot/M5WSE0","M5WSE0")</f>
        <v>M5WSE0</v>
      </c>
      <c r="D16857" s="2" t="s">
        <v>1882</v>
      </c>
      <c r="E16857" s="3">
        <v>0</v>
      </c>
      <c r="F16857" s="2">
        <v>3296</v>
      </c>
      <c r="G16857" s="2">
        <v>99</v>
      </c>
      <c r="H16857" s="2">
        <v>640</v>
      </c>
      <c r="I16857" s="2">
        <v>48</v>
      </c>
      <c r="J16857" s="2">
        <v>1967</v>
      </c>
      <c r="K16857" s="2">
        <v>1</v>
      </c>
      <c r="L16857" s="2">
        <v>640</v>
      </c>
    </row>
    <row r="16858" spans="1:12" x14ac:dyDescent="0.25">
      <c r="A16858" s="4" t="str">
        <f>HYPERLINK("http://www.rosaceae.org/Prunus/Prunus_persica/p.persica_gdr_reftransV1_0007682","p.persica_gdr_reftransV1_0007682")</f>
        <v>p.persica_gdr_reftransV1_0007682</v>
      </c>
      <c r="B16858" s="2">
        <v>1176</v>
      </c>
      <c r="C16858" s="4" t="str">
        <f>HYPERLINK("http://www.uniprot.org/uniprot/M5XQF5","M5XQF5")</f>
        <v>M5XQF5</v>
      </c>
      <c r="D16858" s="2" t="s">
        <v>8406</v>
      </c>
      <c r="E16858" s="3">
        <v>2.5099999999999999E-101</v>
      </c>
      <c r="F16858" s="2">
        <v>808</v>
      </c>
      <c r="G16858" s="2">
        <v>100</v>
      </c>
      <c r="H16858" s="2">
        <v>240</v>
      </c>
      <c r="I16858" s="2">
        <v>386</v>
      </c>
      <c r="J16858" s="2">
        <v>1105</v>
      </c>
      <c r="K16858" s="2">
        <v>94</v>
      </c>
      <c r="L16858" s="2">
        <v>333</v>
      </c>
    </row>
    <row r="16859" spans="1:12" x14ac:dyDescent="0.25">
      <c r="A16859" s="4" t="str">
        <f>HYPERLINK("http://www.rosaceae.org/Prunus/Prunus_persica/p.persica_gdr_reftransV1_0008032","p.persica_gdr_reftransV1_0008032")</f>
        <v>p.persica_gdr_reftransV1_0008032</v>
      </c>
      <c r="B16859" s="2">
        <v>1512</v>
      </c>
      <c r="C16859" s="4" t="str">
        <f>HYPERLINK("http://www.uniprot.org/uniprot/M5VKV4","M5VKV4")</f>
        <v>M5VKV4</v>
      </c>
      <c r="D16859" s="2" t="s">
        <v>8942</v>
      </c>
      <c r="E16859" s="3">
        <v>5.52E-160</v>
      </c>
      <c r="F16859" s="2">
        <v>1256</v>
      </c>
      <c r="G16859" s="2">
        <v>99</v>
      </c>
      <c r="H16859" s="2">
        <v>239</v>
      </c>
      <c r="I16859" s="2">
        <v>544</v>
      </c>
      <c r="J16859" s="2">
        <v>1260</v>
      </c>
      <c r="K16859" s="2">
        <v>615</v>
      </c>
      <c r="L16859" s="2">
        <v>853</v>
      </c>
    </row>
    <row r="16860" spans="1:12" x14ac:dyDescent="0.25">
      <c r="A16860" s="4" t="str">
        <f>HYPERLINK("http://www.rosaceae.org/Prunus/Prunus_persica/p.persica_gdr_reftransV1_0009432","p.persica_gdr_reftransV1_0009432")</f>
        <v>p.persica_gdr_reftransV1_0009432</v>
      </c>
      <c r="B16860" s="2">
        <v>1042</v>
      </c>
      <c r="C16860" s="4" t="str">
        <f>HYPERLINK("http://www.uniprot.org/uniprot/M5VXJ2","M5VXJ2")</f>
        <v>M5VXJ2</v>
      </c>
      <c r="D16860" s="2" t="s">
        <v>12632</v>
      </c>
      <c r="E16860" s="3">
        <v>7.0899999999999998E-176</v>
      </c>
      <c r="F16860" s="2">
        <v>1329</v>
      </c>
      <c r="G16860" s="2">
        <v>100</v>
      </c>
      <c r="H16860" s="2">
        <v>239</v>
      </c>
      <c r="I16860" s="2">
        <v>324</v>
      </c>
      <c r="J16860" s="2">
        <v>1040</v>
      </c>
      <c r="K16860" s="2">
        <v>440</v>
      </c>
      <c r="L16860" s="2">
        <v>678</v>
      </c>
    </row>
    <row r="16861" spans="1:12" x14ac:dyDescent="0.25">
      <c r="A16861" s="4" t="str">
        <f>HYPERLINK("http://www.rosaceae.org/Prunus/Prunus_persica/p.persica_gdr_reftransV1_0010482","p.persica_gdr_reftransV1_0010482")</f>
        <v>p.persica_gdr_reftransV1_0010482</v>
      </c>
      <c r="B16861" s="2">
        <v>2101</v>
      </c>
      <c r="C16861" s="4" t="str">
        <f>HYPERLINK("http://www.uniprot.org/uniprot/M5WAN9","M5WAN9")</f>
        <v>M5WAN9</v>
      </c>
      <c r="D16861" s="2" t="s">
        <v>13294</v>
      </c>
      <c r="E16861" s="3">
        <v>0</v>
      </c>
      <c r="F16861" s="2">
        <v>2473</v>
      </c>
      <c r="G16861" s="2">
        <v>100</v>
      </c>
      <c r="H16861" s="2">
        <v>489</v>
      </c>
      <c r="I16861" s="2">
        <v>394</v>
      </c>
      <c r="J16861" s="2">
        <v>1860</v>
      </c>
      <c r="K16861" s="2">
        <v>1</v>
      </c>
      <c r="L16861" s="2">
        <v>489</v>
      </c>
    </row>
    <row r="16862" spans="1:12" x14ac:dyDescent="0.25">
      <c r="A16862" s="4" t="str">
        <f>HYPERLINK("http://www.rosaceae.org/Prunus/Prunus_persica/p.persica_gdr_reftransV1_0010832","p.persica_gdr_reftransV1_0010832")</f>
        <v>p.persica_gdr_reftransV1_0010832</v>
      </c>
      <c r="B16862" s="2">
        <v>918</v>
      </c>
      <c r="C16862" s="4" t="str">
        <f>HYPERLINK("http://www.uniprot.org/uniprot/M5XRT2","M5XRT2")</f>
        <v>M5XRT2</v>
      </c>
      <c r="D16862" s="2" t="s">
        <v>8870</v>
      </c>
      <c r="E16862" s="3">
        <v>1.03E-120</v>
      </c>
      <c r="F16862" s="2">
        <v>920</v>
      </c>
      <c r="G16862" s="2">
        <v>85</v>
      </c>
      <c r="H16862" s="2">
        <v>211</v>
      </c>
      <c r="I16862" s="2">
        <v>285</v>
      </c>
      <c r="J16862" s="2">
        <v>917</v>
      </c>
      <c r="K16862" s="2">
        <v>78</v>
      </c>
      <c r="L16862" s="2">
        <v>256</v>
      </c>
    </row>
    <row r="16863" spans="1:12" x14ac:dyDescent="0.25">
      <c r="A16863" s="4" t="str">
        <f>HYPERLINK("http://www.rosaceae.org/Prunus/Prunus_persica/p.persica_gdr_reftransV1_0011532","p.persica_gdr_reftransV1_0011532")</f>
        <v>p.persica_gdr_reftransV1_0011532</v>
      </c>
      <c r="B16863" s="2">
        <v>912</v>
      </c>
      <c r="C16863" s="4" t="str">
        <f>HYPERLINK("http://www.uniprot.org/uniprot/M5W1I7","M5W1I7")</f>
        <v>M5W1I7</v>
      </c>
      <c r="D16863" s="2" t="s">
        <v>13295</v>
      </c>
      <c r="E16863" s="3">
        <v>8.06E-112</v>
      </c>
      <c r="F16863" s="2">
        <v>852</v>
      </c>
      <c r="G16863" s="2">
        <v>100</v>
      </c>
      <c r="H16863" s="2">
        <v>164</v>
      </c>
      <c r="I16863" s="2">
        <v>309</v>
      </c>
      <c r="J16863" s="2">
        <v>800</v>
      </c>
      <c r="K16863" s="2">
        <v>1</v>
      </c>
      <c r="L16863" s="2">
        <v>164</v>
      </c>
    </row>
    <row r="16864" spans="1:12" x14ac:dyDescent="0.25">
      <c r="A16864" s="4" t="str">
        <f>HYPERLINK("http://www.rosaceae.org/Prunus/Prunus_persica/p.persica_gdr_reftransV1_0013282","p.persica_gdr_reftransV1_0013282")</f>
        <v>p.persica_gdr_reftransV1_0013282</v>
      </c>
      <c r="B16864" s="2">
        <v>1286</v>
      </c>
      <c r="C16864" s="4" t="str">
        <f>HYPERLINK("http://www.uniprot.org/uniprot/M5VZN1","M5VZN1")</f>
        <v>M5VZN1</v>
      </c>
      <c r="D16864" s="2" t="s">
        <v>13296</v>
      </c>
      <c r="E16864" s="3">
        <v>0</v>
      </c>
      <c r="F16864" s="2">
        <v>1406</v>
      </c>
      <c r="G16864" s="2">
        <v>100</v>
      </c>
      <c r="H16864" s="2">
        <v>266</v>
      </c>
      <c r="I16864" s="2">
        <v>150</v>
      </c>
      <c r="J16864" s="2">
        <v>947</v>
      </c>
      <c r="K16864" s="2">
        <v>1</v>
      </c>
      <c r="L16864" s="2">
        <v>266</v>
      </c>
    </row>
    <row r="16865" spans="1:12" x14ac:dyDescent="0.25">
      <c r="A16865" s="4" t="str">
        <f>HYPERLINK("http://www.rosaceae.org/Prunus/Prunus_persica/p.persica_gdr_reftransV1_0014332","p.persica_gdr_reftransV1_0014332")</f>
        <v>p.persica_gdr_reftransV1_0014332</v>
      </c>
      <c r="B16865" s="2">
        <v>2078</v>
      </c>
      <c r="C16865" s="4" t="str">
        <f>HYPERLINK("http://www.uniprot.org/uniprot/M5XCZ5","M5XCZ5")</f>
        <v>M5XCZ5</v>
      </c>
      <c r="D16865" s="2" t="s">
        <v>13297</v>
      </c>
      <c r="E16865" s="3">
        <v>0</v>
      </c>
      <c r="F16865" s="2">
        <v>1793</v>
      </c>
      <c r="G16865" s="2">
        <v>100</v>
      </c>
      <c r="H16865" s="2">
        <v>357</v>
      </c>
      <c r="I16865" s="2">
        <v>886</v>
      </c>
      <c r="J16865" s="2">
        <v>1956</v>
      </c>
      <c r="K16865" s="2">
        <v>1</v>
      </c>
      <c r="L16865" s="2">
        <v>357</v>
      </c>
    </row>
    <row r="16866" spans="1:12" x14ac:dyDescent="0.25">
      <c r="A16866" s="4" t="str">
        <f>HYPERLINK("http://www.rosaceae.org/Prunus/Prunus_persica/p.persica_gdr_reftransV1_0015032","p.persica_gdr_reftransV1_0015032")</f>
        <v>p.persica_gdr_reftransV1_0015032</v>
      </c>
      <c r="B16866" s="2">
        <v>1726</v>
      </c>
      <c r="C16866" s="4" t="str">
        <f>HYPERLINK("http://www.uniprot.org/uniprot/M5W682","M5W682")</f>
        <v>M5W682</v>
      </c>
      <c r="D16866" s="2" t="s">
        <v>13298</v>
      </c>
      <c r="E16866" s="3">
        <v>0</v>
      </c>
      <c r="F16866" s="2">
        <v>2571</v>
      </c>
      <c r="G16866" s="2">
        <v>100</v>
      </c>
      <c r="H16866" s="2">
        <v>508</v>
      </c>
      <c r="I16866" s="2">
        <v>202</v>
      </c>
      <c r="J16866" s="2">
        <v>1725</v>
      </c>
      <c r="K16866" s="2">
        <v>82</v>
      </c>
      <c r="L16866" s="2">
        <v>589</v>
      </c>
    </row>
    <row r="16867" spans="1:12" x14ac:dyDescent="0.25">
      <c r="A16867" s="4" t="str">
        <f>HYPERLINK("http://www.rosaceae.org/Prunus/Prunus_persica/p.persica_gdr_reftransV1_0015382","p.persica_gdr_reftransV1_0015382")</f>
        <v>p.persica_gdr_reftransV1_0015382</v>
      </c>
      <c r="B16867" s="2">
        <v>544</v>
      </c>
      <c r="C16867" s="4" t="str">
        <f>HYPERLINK("http://www.uniprot.org/uniprot/M5Y7D4","M5Y7D4")</f>
        <v>M5Y7D4</v>
      </c>
      <c r="D16867" s="2" t="s">
        <v>1393</v>
      </c>
      <c r="E16867" s="3">
        <v>2.03E-119</v>
      </c>
      <c r="F16867" s="2">
        <v>984</v>
      </c>
      <c r="G16867" s="2">
        <v>100</v>
      </c>
      <c r="H16867" s="2">
        <v>181</v>
      </c>
      <c r="I16867" s="2">
        <v>2</v>
      </c>
      <c r="J16867" s="2">
        <v>544</v>
      </c>
      <c r="K16867" s="2">
        <v>830</v>
      </c>
      <c r="L16867" s="2">
        <v>1010</v>
      </c>
    </row>
    <row r="16868" spans="1:12" x14ac:dyDescent="0.25">
      <c r="A16868" s="4" t="str">
        <f>HYPERLINK("http://www.rosaceae.org/Prunus/Prunus_persica/p.persica_gdr_reftransV1_0015732","p.persica_gdr_reftransV1_0015732")</f>
        <v>p.persica_gdr_reftransV1_0015732</v>
      </c>
      <c r="B16868" s="2">
        <v>3128</v>
      </c>
      <c r="C16868" s="4" t="str">
        <f>HYPERLINK("http://www.uniprot.org/uniprot/M5WK20","M5WK20")</f>
        <v>M5WK20</v>
      </c>
      <c r="D16868" s="2" t="s">
        <v>13299</v>
      </c>
      <c r="E16868" s="3">
        <v>5.7799999999999999E-40</v>
      </c>
      <c r="F16868" s="2">
        <v>398</v>
      </c>
      <c r="G16868" s="2">
        <v>93</v>
      </c>
      <c r="H16868" s="2">
        <v>140</v>
      </c>
      <c r="I16868" s="2">
        <v>167</v>
      </c>
      <c r="J16868" s="2">
        <v>574</v>
      </c>
      <c r="K16868" s="2">
        <v>1</v>
      </c>
      <c r="L16868" s="2">
        <v>140</v>
      </c>
    </row>
    <row r="16869" spans="1:12" x14ac:dyDescent="0.25">
      <c r="A16869" s="4" t="str">
        <f>HYPERLINK("http://www.rosaceae.org/Prunus/Prunus_persica/p.persica_gdr_reftransV1_0016082","p.persica_gdr_reftransV1_0016082")</f>
        <v>p.persica_gdr_reftransV1_0016082</v>
      </c>
      <c r="B16869" s="2">
        <v>6072</v>
      </c>
      <c r="C16869" s="4" t="str">
        <f>HYPERLINK("http://www.uniprot.org/uniprot/M5WBU7","M5WBU7")</f>
        <v>M5WBU7</v>
      </c>
      <c r="D16869" s="2" t="s">
        <v>13300</v>
      </c>
      <c r="E16869" s="3">
        <v>0</v>
      </c>
      <c r="F16869" s="2">
        <v>3072</v>
      </c>
      <c r="G16869" s="2">
        <v>90</v>
      </c>
      <c r="H16869" s="2">
        <v>799</v>
      </c>
      <c r="I16869" s="2">
        <v>3302</v>
      </c>
      <c r="J16869" s="2">
        <v>5698</v>
      </c>
      <c r="K16869" s="2">
        <v>1</v>
      </c>
      <c r="L16869" s="2">
        <v>723</v>
      </c>
    </row>
    <row r="16870" spans="1:12" x14ac:dyDescent="0.25">
      <c r="A16870" s="4" t="str">
        <f>HYPERLINK("http://www.rosaceae.org/Prunus/Prunus_persica/p.persica_gdr_reftransV1_0017482","p.persica_gdr_reftransV1_0017482")</f>
        <v>p.persica_gdr_reftransV1_0017482</v>
      </c>
      <c r="B16870" s="2">
        <v>2555</v>
      </c>
      <c r="C16870" s="4" t="str">
        <f>HYPERLINK("http://www.uniprot.org/uniprot/M5WR29","M5WR29")</f>
        <v>M5WR29</v>
      </c>
      <c r="D16870" s="2" t="s">
        <v>10255</v>
      </c>
      <c r="E16870" s="3">
        <v>0</v>
      </c>
      <c r="F16870" s="2">
        <v>3337</v>
      </c>
      <c r="G16870" s="2">
        <v>100</v>
      </c>
      <c r="H16870" s="2">
        <v>661</v>
      </c>
      <c r="I16870" s="2">
        <v>571</v>
      </c>
      <c r="J16870" s="2">
        <v>2553</v>
      </c>
      <c r="K16870" s="2">
        <v>1</v>
      </c>
      <c r="L16870" s="2">
        <v>661</v>
      </c>
    </row>
    <row r="16871" spans="1:12" x14ac:dyDescent="0.25">
      <c r="A16871" s="4" t="str">
        <f>HYPERLINK("http://www.rosaceae.org/Prunus/Prunus_persica/p.persica_gdr_reftransV1_0018182","p.persica_gdr_reftransV1_0018182")</f>
        <v>p.persica_gdr_reftransV1_0018182</v>
      </c>
      <c r="B16871" s="2">
        <v>1829</v>
      </c>
      <c r="C16871" s="4" t="str">
        <f>HYPERLINK("http://www.uniprot.org/uniprot/M5XCR8","M5XCR8")</f>
        <v>M5XCR8</v>
      </c>
      <c r="D16871" s="2" t="s">
        <v>13301</v>
      </c>
      <c r="E16871" s="3">
        <v>0</v>
      </c>
      <c r="F16871" s="2">
        <v>1714</v>
      </c>
      <c r="G16871" s="2">
        <v>100</v>
      </c>
      <c r="H16871" s="2">
        <v>335</v>
      </c>
      <c r="I16871" s="2">
        <v>374</v>
      </c>
      <c r="J16871" s="2">
        <v>1378</v>
      </c>
      <c r="K16871" s="2">
        <v>64</v>
      </c>
      <c r="L16871" s="2">
        <v>398</v>
      </c>
    </row>
    <row r="16872" spans="1:12" x14ac:dyDescent="0.25">
      <c r="A16872" s="4" t="str">
        <f>HYPERLINK("http://www.rosaceae.org/Prunus/Prunus_persica/p.persica_gdr_reftransV1_0018532","p.persica_gdr_reftransV1_0018532")</f>
        <v>p.persica_gdr_reftransV1_0018532</v>
      </c>
      <c r="B16872" s="2">
        <v>2713</v>
      </c>
      <c r="C16872" s="4" t="str">
        <f>HYPERLINK("http://www.uniprot.org/uniprot/M5WWN5","M5WWN5")</f>
        <v>M5WWN5</v>
      </c>
      <c r="D16872" s="2" t="s">
        <v>13302</v>
      </c>
      <c r="E16872" s="3">
        <v>0</v>
      </c>
      <c r="F16872" s="2">
        <v>2082</v>
      </c>
      <c r="G16872" s="2">
        <v>98</v>
      </c>
      <c r="H16872" s="2">
        <v>392</v>
      </c>
      <c r="I16872" s="2">
        <v>1290</v>
      </c>
      <c r="J16872" s="2">
        <v>2465</v>
      </c>
      <c r="K16872" s="2">
        <v>339</v>
      </c>
      <c r="L16872" s="2">
        <v>730</v>
      </c>
    </row>
    <row r="16873" spans="1:12" x14ac:dyDescent="0.25">
      <c r="A16873" s="4" t="str">
        <f>HYPERLINK("http://www.rosaceae.org/Prunus/Prunus_persica/p.persica_gdr_reftransV1_0018882","p.persica_gdr_reftransV1_0018882")</f>
        <v>p.persica_gdr_reftransV1_0018882</v>
      </c>
      <c r="B16873" s="2">
        <v>2195</v>
      </c>
      <c r="C16873" s="4" t="str">
        <f>HYPERLINK("http://www.uniprot.org/uniprot/M5XMM5","M5XMM5")</f>
        <v>M5XMM5</v>
      </c>
      <c r="D16873" s="2" t="s">
        <v>13303</v>
      </c>
      <c r="E16873" s="3">
        <v>0</v>
      </c>
      <c r="F16873" s="2">
        <v>1693</v>
      </c>
      <c r="G16873" s="2">
        <v>92</v>
      </c>
      <c r="H16873" s="2">
        <v>351</v>
      </c>
      <c r="I16873" s="2">
        <v>885</v>
      </c>
      <c r="J16873" s="2">
        <v>1937</v>
      </c>
      <c r="K16873" s="2">
        <v>42</v>
      </c>
      <c r="L16873" s="2">
        <v>366</v>
      </c>
    </row>
    <row r="16874" spans="1:12" x14ac:dyDescent="0.25">
      <c r="A16874" s="4" t="str">
        <f>HYPERLINK("http://www.rosaceae.org/Prunus/Prunus_persica/p.persica_gdr_reftransV1_0020632","p.persica_gdr_reftransV1_0020632")</f>
        <v>p.persica_gdr_reftransV1_0020632</v>
      </c>
      <c r="B16874" s="2">
        <v>1388</v>
      </c>
      <c r="C16874" s="4" t="str">
        <f>HYPERLINK("http://www.uniprot.org/uniprot/M5X4I0","M5X4I0")</f>
        <v>M5X4I0</v>
      </c>
      <c r="D16874" s="2" t="s">
        <v>13143</v>
      </c>
      <c r="E16874" s="3">
        <v>7.2099999999999997E-153</v>
      </c>
      <c r="F16874" s="2">
        <v>1157</v>
      </c>
      <c r="G16874" s="2">
        <v>100</v>
      </c>
      <c r="H16874" s="2">
        <v>224</v>
      </c>
      <c r="I16874" s="2">
        <v>2</v>
      </c>
      <c r="J16874" s="2">
        <v>673</v>
      </c>
      <c r="K16874" s="2">
        <v>72</v>
      </c>
      <c r="L16874" s="2">
        <v>295</v>
      </c>
    </row>
    <row r="16875" spans="1:12" x14ac:dyDescent="0.25">
      <c r="A16875" s="4" t="str">
        <f>HYPERLINK("http://www.rosaceae.org/Prunus/Prunus_persica/p.persica_gdr_reftransV1_0020982","p.persica_gdr_reftransV1_0020982")</f>
        <v>p.persica_gdr_reftransV1_0020982</v>
      </c>
      <c r="B16875" s="2">
        <v>5247</v>
      </c>
      <c r="C16875" s="4" t="str">
        <f>HYPERLINK("http://www.uniprot.org/uniprot/M5X7S3","M5X7S3")</f>
        <v>M5X7S3</v>
      </c>
      <c r="D16875" s="2" t="s">
        <v>13304</v>
      </c>
      <c r="E16875" s="3">
        <v>0</v>
      </c>
      <c r="F16875" s="2">
        <v>6993</v>
      </c>
      <c r="G16875" s="2">
        <v>100</v>
      </c>
      <c r="H16875" s="2">
        <v>1410</v>
      </c>
      <c r="I16875" s="2">
        <v>406</v>
      </c>
      <c r="J16875" s="2">
        <v>4635</v>
      </c>
      <c r="K16875" s="2">
        <v>1</v>
      </c>
      <c r="L16875" s="2">
        <v>1410</v>
      </c>
    </row>
    <row r="16876" spans="1:12" x14ac:dyDescent="0.25">
      <c r="A16876" s="4" t="str">
        <f>HYPERLINK("http://www.rosaceae.org/Prunus/Prunus_persica/p.persica_gdr_reftransV1_0021332","p.persica_gdr_reftransV1_0021332")</f>
        <v>p.persica_gdr_reftransV1_0021332</v>
      </c>
      <c r="B16876" s="2">
        <v>1616</v>
      </c>
      <c r="C16876" s="4" t="str">
        <f>HYPERLINK("http://www.uniprot.org/uniprot/M5W8B0","M5W8B0")</f>
        <v>M5W8B0</v>
      </c>
      <c r="D16876" s="2" t="s">
        <v>13305</v>
      </c>
      <c r="E16876" s="3">
        <v>1.1800000000000001E-99</v>
      </c>
      <c r="F16876" s="2">
        <v>792</v>
      </c>
      <c r="G16876" s="2">
        <v>100</v>
      </c>
      <c r="H16876" s="2">
        <v>148</v>
      </c>
      <c r="I16876" s="2">
        <v>921</v>
      </c>
      <c r="J16876" s="2">
        <v>1364</v>
      </c>
      <c r="K16876" s="2">
        <v>1</v>
      </c>
      <c r="L16876" s="2">
        <v>148</v>
      </c>
    </row>
    <row r="16877" spans="1:12" x14ac:dyDescent="0.25">
      <c r="A16877" s="4" t="str">
        <f>HYPERLINK("http://www.rosaceae.org/Prunus/Prunus_persica/p.persica_gdr_reftransV1_0022382","p.persica_gdr_reftransV1_0022382")</f>
        <v>p.persica_gdr_reftransV1_0022382</v>
      </c>
      <c r="B16877" s="2">
        <v>765</v>
      </c>
      <c r="C16877" s="4" t="str">
        <f>HYPERLINK("http://www.uniprot.org/uniprot/M5XHQ0","M5XHQ0")</f>
        <v>M5XHQ0</v>
      </c>
      <c r="D16877" s="2" t="s">
        <v>3096</v>
      </c>
      <c r="E16877" s="3">
        <v>2.98E-90</v>
      </c>
      <c r="F16877" s="2">
        <v>716</v>
      </c>
      <c r="G16877" s="2">
        <v>100</v>
      </c>
      <c r="H16877" s="2">
        <v>198</v>
      </c>
      <c r="I16877" s="2">
        <v>14</v>
      </c>
      <c r="J16877" s="2">
        <v>607</v>
      </c>
      <c r="K16877" s="2">
        <v>91</v>
      </c>
      <c r="L16877" s="2">
        <v>288</v>
      </c>
    </row>
    <row r="16878" spans="1:12" x14ac:dyDescent="0.25">
      <c r="A16878" s="4" t="str">
        <f>HYPERLINK("http://www.rosaceae.org/Prunus/Prunus_persica/p.persica_gdr_reftransV1_0023082","p.persica_gdr_reftransV1_0023082")</f>
        <v>p.persica_gdr_reftransV1_0023082</v>
      </c>
      <c r="B16878" s="2">
        <v>901</v>
      </c>
      <c r="C16878" s="4" t="str">
        <f>HYPERLINK("http://www.uniprot.org/uniprot/M5WVX2","M5WVX2")</f>
        <v>M5WVX2</v>
      </c>
      <c r="D16878" s="2" t="s">
        <v>13306</v>
      </c>
      <c r="E16878" s="3">
        <v>2.3299999999999998E-93</v>
      </c>
      <c r="F16878" s="2">
        <v>728</v>
      </c>
      <c r="G16878" s="2">
        <v>81</v>
      </c>
      <c r="H16878" s="2">
        <v>176</v>
      </c>
      <c r="I16878" s="2">
        <v>173</v>
      </c>
      <c r="J16878" s="2">
        <v>700</v>
      </c>
      <c r="K16878" s="2">
        <v>9</v>
      </c>
      <c r="L16878" s="2">
        <v>151</v>
      </c>
    </row>
    <row r="16879" spans="1:12" x14ac:dyDescent="0.25">
      <c r="A16879" s="4" t="str">
        <f>HYPERLINK("http://www.rosaceae.org/Prunus/Prunus_persica/p.persica_gdr_reftransV1_0023432","p.persica_gdr_reftransV1_0023432")</f>
        <v>p.persica_gdr_reftransV1_0023432</v>
      </c>
      <c r="B16879" s="2">
        <v>1052</v>
      </c>
      <c r="C16879" s="4" t="str">
        <f>HYPERLINK("http://www.uniprot.org/uniprot/A0A061EW66","A0A061EW66")</f>
        <v>A0A061EW66</v>
      </c>
      <c r="D16879" s="2" t="s">
        <v>13307</v>
      </c>
      <c r="E16879" s="3">
        <v>1.5499999999999999E-44</v>
      </c>
      <c r="F16879" s="2">
        <v>443</v>
      </c>
      <c r="G16879" s="2">
        <v>56</v>
      </c>
      <c r="H16879" s="2">
        <v>158</v>
      </c>
      <c r="I16879" s="2">
        <v>218</v>
      </c>
      <c r="J16879" s="2">
        <v>688</v>
      </c>
      <c r="K16879" s="2">
        <v>1122</v>
      </c>
      <c r="L16879" s="2">
        <v>1279</v>
      </c>
    </row>
    <row r="16880" spans="1:12" x14ac:dyDescent="0.25">
      <c r="A16880" s="4" t="str">
        <f>HYPERLINK("http://www.rosaceae.org/Prunus/Prunus_persica/p.persica_gdr_reftransV1_0025182","p.persica_gdr_reftransV1_0025182")</f>
        <v>p.persica_gdr_reftransV1_0025182</v>
      </c>
      <c r="B16880" s="2">
        <v>4494</v>
      </c>
      <c r="C16880" s="4" t="str">
        <f>HYPERLINK("http://www.uniprot.org/uniprot/M5VT93","M5VT93")</f>
        <v>M5VT93</v>
      </c>
      <c r="D16880" s="2" t="s">
        <v>13308</v>
      </c>
      <c r="E16880" s="3">
        <v>0</v>
      </c>
      <c r="F16880" s="2">
        <v>4670</v>
      </c>
      <c r="G16880" s="2">
        <v>100</v>
      </c>
      <c r="H16880" s="2">
        <v>872</v>
      </c>
      <c r="I16880" s="2">
        <v>1397</v>
      </c>
      <c r="J16880" s="2">
        <v>4012</v>
      </c>
      <c r="K16880" s="2">
        <v>1</v>
      </c>
      <c r="L16880" s="2">
        <v>872</v>
      </c>
    </row>
    <row r="16881" spans="1:12" x14ac:dyDescent="0.25">
      <c r="A16881" s="4" t="str">
        <f>HYPERLINK("http://www.rosaceae.org/Prunus/Prunus_persica/p.persica_gdr_reftransV1_0026232","p.persica_gdr_reftransV1_0026232")</f>
        <v>p.persica_gdr_reftransV1_0026232</v>
      </c>
      <c r="B16881" s="2">
        <v>494</v>
      </c>
      <c r="C16881" s="4" t="str">
        <f>HYPERLINK("http://www.uniprot.org/uniprot/M5WRA0","M5WRA0")</f>
        <v>M5WRA0</v>
      </c>
      <c r="D16881" s="2" t="s">
        <v>2147</v>
      </c>
      <c r="E16881" s="3">
        <v>2.0200000000000001E-111</v>
      </c>
      <c r="F16881" s="2">
        <v>882</v>
      </c>
      <c r="G16881" s="2">
        <v>100</v>
      </c>
      <c r="H16881" s="2">
        <v>164</v>
      </c>
      <c r="I16881" s="2">
        <v>2</v>
      </c>
      <c r="J16881" s="2">
        <v>493</v>
      </c>
      <c r="K16881" s="2">
        <v>164</v>
      </c>
      <c r="L16881" s="2">
        <v>327</v>
      </c>
    </row>
    <row r="16882" spans="1:12" x14ac:dyDescent="0.25">
      <c r="A16882" s="4" t="str">
        <f>HYPERLINK("http://www.rosaceae.org/Prunus/Prunus_persica/p.persica_gdr_reftransV1_0026932","p.persica_gdr_reftransV1_0026932")</f>
        <v>p.persica_gdr_reftransV1_0026932</v>
      </c>
      <c r="B16882" s="2">
        <v>1890</v>
      </c>
      <c r="C16882" s="4" t="str">
        <f>HYPERLINK("http://www.uniprot.org/uniprot/M5W0C5","M5W0C5")</f>
        <v>M5W0C5</v>
      </c>
      <c r="D16882" s="2" t="s">
        <v>13309</v>
      </c>
      <c r="E16882" s="3">
        <v>4.2400000000000003E-129</v>
      </c>
      <c r="F16882" s="2">
        <v>1000</v>
      </c>
      <c r="G16882" s="2">
        <v>100</v>
      </c>
      <c r="H16882" s="2">
        <v>186</v>
      </c>
      <c r="I16882" s="2">
        <v>355</v>
      </c>
      <c r="J16882" s="2">
        <v>912</v>
      </c>
      <c r="K16882" s="2">
        <v>1</v>
      </c>
      <c r="L16882" s="2">
        <v>186</v>
      </c>
    </row>
    <row r="16883" spans="1:12" x14ac:dyDescent="0.25">
      <c r="A16883" s="4" t="str">
        <f>HYPERLINK("http://www.rosaceae.org/Prunus/Prunus_persica/p.persica_gdr_reftransV1_0029032","p.persica_gdr_reftransV1_0029032")</f>
        <v>p.persica_gdr_reftransV1_0029032</v>
      </c>
      <c r="B16883" s="2">
        <v>3513</v>
      </c>
      <c r="C16883" s="4" t="str">
        <f>HYPERLINK("http://www.uniprot.org/uniprot/M5WJ05","M5WJ05")</f>
        <v>M5WJ05</v>
      </c>
      <c r="D16883" s="2" t="s">
        <v>13310</v>
      </c>
      <c r="E16883" s="3">
        <v>0</v>
      </c>
      <c r="F16883" s="2">
        <v>1523</v>
      </c>
      <c r="G16883" s="2">
        <v>83</v>
      </c>
      <c r="H16883" s="2">
        <v>358</v>
      </c>
      <c r="I16883" s="2">
        <v>1434</v>
      </c>
      <c r="J16883" s="2">
        <v>2507</v>
      </c>
      <c r="K16883" s="2">
        <v>64</v>
      </c>
      <c r="L16883" s="2">
        <v>391</v>
      </c>
    </row>
    <row r="16884" spans="1:12" x14ac:dyDescent="0.25">
      <c r="A16884" s="4" t="str">
        <f>HYPERLINK("http://www.rosaceae.org/Prunus/Prunus_persica/p.persica_gdr_reftransV1_0032882","p.persica_gdr_reftransV1_0032882")</f>
        <v>p.persica_gdr_reftransV1_0032882</v>
      </c>
      <c r="B16884" s="2">
        <v>2335</v>
      </c>
      <c r="C16884" s="4" t="str">
        <f>HYPERLINK("http://www.uniprot.org/uniprot/M5VX93","M5VX93")</f>
        <v>M5VX93</v>
      </c>
      <c r="D16884" s="2" t="s">
        <v>11199</v>
      </c>
      <c r="E16884" s="3">
        <v>9.2600000000000009E-112</v>
      </c>
      <c r="F16884" s="2">
        <v>902</v>
      </c>
      <c r="G16884" s="2">
        <v>100</v>
      </c>
      <c r="H16884" s="2">
        <v>168</v>
      </c>
      <c r="I16884" s="2">
        <v>1514</v>
      </c>
      <c r="J16884" s="2">
        <v>2017</v>
      </c>
      <c r="K16884" s="2">
        <v>87</v>
      </c>
      <c r="L16884" s="2">
        <v>254</v>
      </c>
    </row>
    <row r="16885" spans="1:12" x14ac:dyDescent="0.25">
      <c r="A16885" s="4" t="str">
        <f>HYPERLINK("http://www.rosaceae.org/Prunus/Prunus_persica/p.persica_gdr_reftransV1_0034982","p.persica_gdr_reftransV1_0034982")</f>
        <v>p.persica_gdr_reftransV1_0034982</v>
      </c>
      <c r="B16885" s="2">
        <v>1720</v>
      </c>
      <c r="C16885" s="4" t="str">
        <f>HYPERLINK("http://www.uniprot.org/uniprot/M5WQU9","M5WQU9")</f>
        <v>M5WQU9</v>
      </c>
      <c r="D16885" s="2" t="s">
        <v>13311</v>
      </c>
      <c r="E16885" s="3">
        <v>9.97E-170</v>
      </c>
      <c r="F16885" s="2">
        <v>1286</v>
      </c>
      <c r="G16885" s="2">
        <v>92</v>
      </c>
      <c r="H16885" s="2">
        <v>353</v>
      </c>
      <c r="I16885" s="2">
        <v>414</v>
      </c>
      <c r="J16885" s="2">
        <v>1472</v>
      </c>
      <c r="K16885" s="2">
        <v>52</v>
      </c>
      <c r="L16885" s="2">
        <v>399</v>
      </c>
    </row>
    <row r="16886" spans="1:12" x14ac:dyDescent="0.25">
      <c r="A16886" s="4" t="str">
        <f>HYPERLINK("http://www.rosaceae.org/Prunus/Prunus_persica/p.persica_gdr_reftransV1_0037782","p.persica_gdr_reftransV1_0037782")</f>
        <v>p.persica_gdr_reftransV1_0037782</v>
      </c>
      <c r="B16886" s="2">
        <v>3788</v>
      </c>
      <c r="C16886" s="4" t="str">
        <f>HYPERLINK("http://www.uniprot.org/uniprot/M5X2S7","M5X2S7")</f>
        <v>M5X2S7</v>
      </c>
      <c r="D16886" s="2" t="s">
        <v>11799</v>
      </c>
      <c r="E16886" s="3">
        <v>0</v>
      </c>
      <c r="F16886" s="2">
        <v>1772</v>
      </c>
      <c r="G16886" s="2">
        <v>100</v>
      </c>
      <c r="H16886" s="2">
        <v>346</v>
      </c>
      <c r="I16886" s="2">
        <v>1632</v>
      </c>
      <c r="J16886" s="2">
        <v>2669</v>
      </c>
      <c r="K16886" s="2">
        <v>265</v>
      </c>
      <c r="L16886" s="2">
        <v>610</v>
      </c>
    </row>
    <row r="16887" spans="1:12" x14ac:dyDescent="0.25">
      <c r="A16887" s="4" t="str">
        <f>HYPERLINK("http://www.rosaceae.org/Prunus/Prunus_persica/p.persica_gdr_reftransV1_0038832","p.persica_gdr_reftransV1_0038832")</f>
        <v>p.persica_gdr_reftransV1_0038832</v>
      </c>
      <c r="B16887" s="2">
        <v>3921</v>
      </c>
      <c r="C16887" s="4" t="str">
        <f>HYPERLINK("http://www.uniprot.org/uniprot/M5VVQ8","M5VVQ8")</f>
        <v>M5VVQ8</v>
      </c>
      <c r="D16887" s="2" t="s">
        <v>13312</v>
      </c>
      <c r="E16887" s="3">
        <v>0</v>
      </c>
      <c r="F16887" s="2">
        <v>2243</v>
      </c>
      <c r="G16887" s="2">
        <v>99</v>
      </c>
      <c r="H16887" s="2">
        <v>471</v>
      </c>
      <c r="I16887" s="2">
        <v>1056</v>
      </c>
      <c r="J16887" s="2">
        <v>2468</v>
      </c>
      <c r="K16887" s="2">
        <v>268</v>
      </c>
      <c r="L16887" s="2">
        <v>738</v>
      </c>
    </row>
    <row r="16888" spans="1:12" x14ac:dyDescent="0.25">
      <c r="A16888" s="4" t="str">
        <f>HYPERLINK("http://www.rosaceae.org/Prunus/Prunus_persica/p.persica_gdr_reftransV1_0039532","p.persica_gdr_reftransV1_0039532")</f>
        <v>p.persica_gdr_reftransV1_0039532</v>
      </c>
      <c r="B16888" s="2">
        <v>2769</v>
      </c>
      <c r="C16888" s="4" t="str">
        <f>HYPERLINK("http://www.uniprot.org/uniprot/M5X3U8","M5X3U8")</f>
        <v>M5X3U8</v>
      </c>
      <c r="D16888" s="2" t="s">
        <v>6264</v>
      </c>
      <c r="E16888" s="3">
        <v>0</v>
      </c>
      <c r="F16888" s="2">
        <v>1860</v>
      </c>
      <c r="G16888" s="2">
        <v>94</v>
      </c>
      <c r="H16888" s="2">
        <v>405</v>
      </c>
      <c r="I16888" s="2">
        <v>537</v>
      </c>
      <c r="J16888" s="2">
        <v>1751</v>
      </c>
      <c r="K16888" s="2">
        <v>268</v>
      </c>
      <c r="L16888" s="2">
        <v>664</v>
      </c>
    </row>
    <row r="16889" spans="1:12" x14ac:dyDescent="0.25">
      <c r="A16889" s="4" t="str">
        <f>HYPERLINK("http://www.rosaceae.org/Prunus/Prunus_persica/p.persica_gdr_reftransV1_0043032","p.persica_gdr_reftransV1_0043032")</f>
        <v>p.persica_gdr_reftransV1_0043032</v>
      </c>
      <c r="B16889" s="2">
        <v>488</v>
      </c>
      <c r="C16889" s="4" t="str">
        <f>HYPERLINK("http://www.uniprot.org/uniprot/Q712W6","Q712W6")</f>
        <v>Q712W6</v>
      </c>
      <c r="D16889" s="2" t="s">
        <v>13313</v>
      </c>
      <c r="E16889" s="3">
        <v>4.9999999999999997E-113</v>
      </c>
      <c r="F16889" s="2">
        <v>855</v>
      </c>
      <c r="G16889" s="2">
        <v>100</v>
      </c>
      <c r="H16889" s="2">
        <v>160</v>
      </c>
      <c r="I16889" s="2">
        <v>9</v>
      </c>
      <c r="J16889" s="2">
        <v>488</v>
      </c>
      <c r="K16889" s="2">
        <v>1</v>
      </c>
      <c r="L16889" s="2">
        <v>160</v>
      </c>
    </row>
    <row r="16890" spans="1:12" x14ac:dyDescent="0.25">
      <c r="A16890" s="4" t="str">
        <f>HYPERLINK("http://www.rosaceae.org/Prunus/Prunus_persica/p.persica_gdr_reftransV1_0043382","p.persica_gdr_reftransV1_0043382")</f>
        <v>p.persica_gdr_reftransV1_0043382</v>
      </c>
      <c r="B16890" s="2">
        <v>2700</v>
      </c>
      <c r="C16890" s="4" t="str">
        <f>HYPERLINK("http://www.uniprot.org/uniprot/M5XLW5","M5XLW5")</f>
        <v>M5XLW5</v>
      </c>
      <c r="D16890" s="2" t="s">
        <v>13314</v>
      </c>
      <c r="E16890" s="3">
        <v>0</v>
      </c>
      <c r="F16890" s="2">
        <v>4271</v>
      </c>
      <c r="G16890" s="2">
        <v>99</v>
      </c>
      <c r="H16890" s="2">
        <v>846</v>
      </c>
      <c r="I16890" s="2">
        <v>58</v>
      </c>
      <c r="J16890" s="2">
        <v>2595</v>
      </c>
      <c r="K16890" s="2">
        <v>1</v>
      </c>
      <c r="L16890" s="2">
        <v>835</v>
      </c>
    </row>
    <row r="16891" spans="1:12" x14ac:dyDescent="0.25">
      <c r="A16891" s="4" t="str">
        <f>HYPERLINK("http://www.rosaceae.org/Prunus/Prunus_persica/p.persica_gdr_reftransV1_0043732","p.persica_gdr_reftransV1_0043732")</f>
        <v>p.persica_gdr_reftransV1_0043732</v>
      </c>
      <c r="B16891" s="2">
        <v>1613</v>
      </c>
      <c r="C16891" s="4" t="str">
        <f>HYPERLINK("http://www.uniprot.org/uniprot/M5W9Y9","M5W9Y9")</f>
        <v>M5W9Y9</v>
      </c>
      <c r="D16891" s="2" t="s">
        <v>13315</v>
      </c>
      <c r="E16891" s="3">
        <v>0</v>
      </c>
      <c r="F16891" s="2">
        <v>1518</v>
      </c>
      <c r="G16891" s="2">
        <v>100</v>
      </c>
      <c r="H16891" s="2">
        <v>283</v>
      </c>
      <c r="I16891" s="2">
        <v>181</v>
      </c>
      <c r="J16891" s="2">
        <v>1029</v>
      </c>
      <c r="K16891" s="2">
        <v>1</v>
      </c>
      <c r="L16891" s="2">
        <v>283</v>
      </c>
    </row>
    <row r="16892" spans="1:12" x14ac:dyDescent="0.25">
      <c r="A16892" s="4" t="str">
        <f>HYPERLINK("http://www.rosaceae.org/Prunus/Prunus_persica/p.persica_gdr_reftransV1_0044082","p.persica_gdr_reftransV1_0044082")</f>
        <v>p.persica_gdr_reftransV1_0044082</v>
      </c>
      <c r="B16892" s="2">
        <v>1062</v>
      </c>
      <c r="C16892" s="4" t="str">
        <f>HYPERLINK("http://www.uniprot.org/uniprot/M5W0V3","M5W0V3")</f>
        <v>M5W0V3</v>
      </c>
      <c r="D16892" s="2" t="s">
        <v>13316</v>
      </c>
      <c r="E16892" s="3">
        <v>2.6299999999999998E-142</v>
      </c>
      <c r="F16892" s="2">
        <v>1067</v>
      </c>
      <c r="G16892" s="2">
        <v>91</v>
      </c>
      <c r="H16892" s="2">
        <v>222</v>
      </c>
      <c r="I16892" s="2">
        <v>291</v>
      </c>
      <c r="J16892" s="2">
        <v>944</v>
      </c>
      <c r="K16892" s="2">
        <v>1</v>
      </c>
      <c r="L16892" s="2">
        <v>221</v>
      </c>
    </row>
    <row r="16893" spans="1:12" x14ac:dyDescent="0.25">
      <c r="A16893" s="4" t="str">
        <f>HYPERLINK("http://www.rosaceae.org/Prunus/Prunus_persica/p.persica_gdr_reftransV1_0044432","p.persica_gdr_reftransV1_0044432")</f>
        <v>p.persica_gdr_reftransV1_0044432</v>
      </c>
      <c r="B16893" s="2">
        <v>753</v>
      </c>
      <c r="C16893" s="4" t="str">
        <f>HYPERLINK("http://www.uniprot.org/uniprot/M5WUA4","M5WUA4")</f>
        <v>M5WUA4</v>
      </c>
      <c r="D16893" s="2" t="s">
        <v>13317</v>
      </c>
      <c r="E16893" s="3">
        <v>1.89E-134</v>
      </c>
      <c r="F16893" s="2">
        <v>1014</v>
      </c>
      <c r="G16893" s="2">
        <v>100</v>
      </c>
      <c r="H16893" s="2">
        <v>187</v>
      </c>
      <c r="I16893" s="2">
        <v>1</v>
      </c>
      <c r="J16893" s="2">
        <v>561</v>
      </c>
      <c r="K16893" s="2">
        <v>164</v>
      </c>
      <c r="L16893" s="2">
        <v>350</v>
      </c>
    </row>
    <row r="16894" spans="1:12" x14ac:dyDescent="0.25">
      <c r="A16894" s="4" t="str">
        <f>HYPERLINK("http://www.rosaceae.org/Prunus/Prunus_persica/p.persica_gdr_reftransV1_0044782","p.persica_gdr_reftransV1_0044782")</f>
        <v>p.persica_gdr_reftransV1_0044782</v>
      </c>
      <c r="B16894" s="2">
        <v>455</v>
      </c>
      <c r="C16894" s="4" t="str">
        <f>HYPERLINK("http://www.uniprot.org/uniprot/M5X0Q1","M5X0Q1")</f>
        <v>M5X0Q1</v>
      </c>
      <c r="D16894" s="2" t="s">
        <v>9835</v>
      </c>
      <c r="E16894" s="3">
        <v>4.8899999999999998E-106</v>
      </c>
      <c r="F16894" s="2">
        <v>821</v>
      </c>
      <c r="G16894" s="2">
        <v>100</v>
      </c>
      <c r="H16894" s="2">
        <v>151</v>
      </c>
      <c r="I16894" s="2">
        <v>3</v>
      </c>
      <c r="J16894" s="2">
        <v>455</v>
      </c>
      <c r="K16894" s="2">
        <v>91</v>
      </c>
      <c r="L16894" s="2">
        <v>241</v>
      </c>
    </row>
    <row r="16895" spans="1:12" x14ac:dyDescent="0.25">
      <c r="A16895" s="4" t="str">
        <f>HYPERLINK("http://www.rosaceae.org/Prunus/Prunus_persica/p.persica_gdr_reftransV1_0045132","p.persica_gdr_reftransV1_0045132")</f>
        <v>p.persica_gdr_reftransV1_0045132</v>
      </c>
      <c r="B16895" s="2">
        <v>1092</v>
      </c>
      <c r="C16895" s="4" t="str">
        <f>HYPERLINK("http://www.uniprot.org/uniprot/M5XTT9","M5XTT9")</f>
        <v>M5XTT9</v>
      </c>
      <c r="D16895" s="2" t="s">
        <v>6165</v>
      </c>
      <c r="E16895" s="3">
        <v>4.1600000000000002E-143</v>
      </c>
      <c r="F16895" s="2">
        <v>1073</v>
      </c>
      <c r="G16895" s="2">
        <v>89</v>
      </c>
      <c r="H16895" s="2">
        <v>241</v>
      </c>
      <c r="I16895" s="2">
        <v>235</v>
      </c>
      <c r="J16895" s="2">
        <v>930</v>
      </c>
      <c r="K16895" s="2">
        <v>1</v>
      </c>
      <c r="L16895" s="2">
        <v>241</v>
      </c>
    </row>
    <row r="16896" spans="1:12" x14ac:dyDescent="0.25">
      <c r="A16896" s="4" t="str">
        <f>HYPERLINK("http://www.rosaceae.org/Prunus/Prunus_persica/p.persica_gdr_reftransV1_0045482","p.persica_gdr_reftransV1_0045482")</f>
        <v>p.persica_gdr_reftransV1_0045482</v>
      </c>
      <c r="B16896" s="2">
        <v>2002</v>
      </c>
      <c r="C16896" s="4" t="str">
        <f>HYPERLINK("http://www.uniprot.org/uniprot/M5XNN5","M5XNN5")</f>
        <v>M5XNN5</v>
      </c>
      <c r="D16896" s="2" t="s">
        <v>13318</v>
      </c>
      <c r="E16896" s="3">
        <v>0</v>
      </c>
      <c r="F16896" s="2">
        <v>2660</v>
      </c>
      <c r="G16896" s="2">
        <v>100</v>
      </c>
      <c r="H16896" s="2">
        <v>505</v>
      </c>
      <c r="I16896" s="2">
        <v>207</v>
      </c>
      <c r="J16896" s="2">
        <v>1721</v>
      </c>
      <c r="K16896" s="2">
        <v>1</v>
      </c>
      <c r="L16896" s="2">
        <v>505</v>
      </c>
    </row>
    <row r="16897" spans="1:12" x14ac:dyDescent="0.25">
      <c r="A16897" s="4" t="str">
        <f>HYPERLINK("http://www.rosaceae.org/Prunus/Prunus_persica/p.persica_gdr_reftransV1_0045832","p.persica_gdr_reftransV1_0045832")</f>
        <v>p.persica_gdr_reftransV1_0045832</v>
      </c>
      <c r="B16897" s="2">
        <v>1226</v>
      </c>
      <c r="C16897" s="4" t="str">
        <f>HYPERLINK("http://www.uniprot.org/uniprot/M5WVH3","M5WVH3")</f>
        <v>M5WVH3</v>
      </c>
      <c r="D16897" s="2" t="s">
        <v>13319</v>
      </c>
      <c r="E16897" s="3">
        <v>2.3099999999999998E-92</v>
      </c>
      <c r="F16897" s="2">
        <v>735</v>
      </c>
      <c r="G16897" s="2">
        <v>100</v>
      </c>
      <c r="H16897" s="2">
        <v>139</v>
      </c>
      <c r="I16897" s="2">
        <v>493</v>
      </c>
      <c r="J16897" s="2">
        <v>909</v>
      </c>
      <c r="K16897" s="2">
        <v>40</v>
      </c>
      <c r="L16897" s="2">
        <v>178</v>
      </c>
    </row>
    <row r="16898" spans="1:12" x14ac:dyDescent="0.25">
      <c r="A16898" s="4" t="str">
        <f>HYPERLINK("http://www.rosaceae.org/Prunus/Prunus_persica/p.persica_gdr_reftransV1_0046882","p.persica_gdr_reftransV1_0046882")</f>
        <v>p.persica_gdr_reftransV1_0046882</v>
      </c>
      <c r="B16898" s="2">
        <v>491</v>
      </c>
      <c r="C16898" s="4" t="str">
        <f>HYPERLINK("http://www.uniprot.org/uniprot/M5XTF7","M5XTF7")</f>
        <v>M5XTF7</v>
      </c>
      <c r="D16898" s="2" t="s">
        <v>9115</v>
      </c>
      <c r="E16898" s="3">
        <v>1.11E-110</v>
      </c>
      <c r="F16898" s="2">
        <v>860</v>
      </c>
      <c r="G16898" s="2">
        <v>100</v>
      </c>
      <c r="H16898" s="2">
        <v>163</v>
      </c>
      <c r="I16898" s="2">
        <v>2</v>
      </c>
      <c r="J16898" s="2">
        <v>490</v>
      </c>
      <c r="K16898" s="2">
        <v>214</v>
      </c>
      <c r="L16898" s="2">
        <v>376</v>
      </c>
    </row>
    <row r="16899" spans="1:12" x14ac:dyDescent="0.25">
      <c r="A16899" s="4" t="str">
        <f>HYPERLINK("http://www.rosaceae.org/Prunus/Prunus_persica/p.persica_gdr_reftransV1_0047232","p.persica_gdr_reftransV1_0047232")</f>
        <v>p.persica_gdr_reftransV1_0047232</v>
      </c>
      <c r="B16899" s="2">
        <v>1559</v>
      </c>
      <c r="C16899" s="4" t="str">
        <f>HYPERLINK("http://www.uniprot.org/uniprot/B9GVQ7","B9GVQ7")</f>
        <v>B9GVQ7</v>
      </c>
      <c r="D16899" s="2" t="s">
        <v>13320</v>
      </c>
      <c r="E16899" s="3">
        <v>8.6700000000000001E-53</v>
      </c>
      <c r="F16899" s="2">
        <v>323</v>
      </c>
      <c r="G16899" s="2">
        <v>95</v>
      </c>
      <c r="H16899" s="2">
        <v>63</v>
      </c>
      <c r="I16899" s="2">
        <v>1128</v>
      </c>
      <c r="J16899" s="2">
        <v>1316</v>
      </c>
      <c r="K16899" s="2">
        <v>213</v>
      </c>
      <c r="L16899" s="2">
        <v>275</v>
      </c>
    </row>
    <row r="16900" spans="1:12" x14ac:dyDescent="0.25">
      <c r="A16900" s="4" t="str">
        <f>HYPERLINK("http://www.rosaceae.org/Prunus/Prunus_persica/p.persica_gdr_reftransV1_0047582","p.persica_gdr_reftransV1_0047582")</f>
        <v>p.persica_gdr_reftransV1_0047582</v>
      </c>
      <c r="B16900" s="2">
        <v>832</v>
      </c>
      <c r="C16900" s="4" t="str">
        <f>HYPERLINK("http://www.uniprot.org/uniprot/A0ZNJ8","A0ZNJ8")</f>
        <v>A0ZNJ8</v>
      </c>
      <c r="D16900" s="2" t="s">
        <v>8914</v>
      </c>
      <c r="E16900" s="3">
        <v>9.2600000000000006E-101</v>
      </c>
      <c r="F16900" s="2">
        <v>809</v>
      </c>
      <c r="G16900" s="2">
        <v>83</v>
      </c>
      <c r="H16900" s="2">
        <v>173</v>
      </c>
      <c r="I16900" s="2">
        <v>63</v>
      </c>
      <c r="J16900" s="2">
        <v>581</v>
      </c>
      <c r="K16900" s="2">
        <v>354</v>
      </c>
      <c r="L16900" s="2">
        <v>526</v>
      </c>
    </row>
    <row r="16901" spans="1:12" x14ac:dyDescent="0.25">
      <c r="A16901" s="4" t="str">
        <f>HYPERLINK("http://www.rosaceae.org/Prunus/Prunus_persica/p.persica_gdr_reftransV1_0047932","p.persica_gdr_reftransV1_0047932")</f>
        <v>p.persica_gdr_reftransV1_0047932</v>
      </c>
      <c r="B16901" s="2">
        <v>750</v>
      </c>
      <c r="C16901" s="4" t="str">
        <f>HYPERLINK("http://www.uniprot.org/uniprot/M5W0J6","M5W0J6")</f>
        <v>M5W0J6</v>
      </c>
      <c r="D16901" s="2" t="s">
        <v>10236</v>
      </c>
      <c r="E16901" s="3">
        <v>1.1700000000000001E-107</v>
      </c>
      <c r="F16901" s="2">
        <v>819</v>
      </c>
      <c r="G16901" s="2">
        <v>98</v>
      </c>
      <c r="H16901" s="2">
        <v>161</v>
      </c>
      <c r="I16901" s="2">
        <v>126</v>
      </c>
      <c r="J16901" s="2">
        <v>608</v>
      </c>
      <c r="K16901" s="2">
        <v>1</v>
      </c>
      <c r="L16901" s="2">
        <v>161</v>
      </c>
    </row>
    <row r="16902" spans="1:12" x14ac:dyDescent="0.25">
      <c r="A16902" s="4" t="str">
        <f>HYPERLINK("http://www.rosaceae.org/Prunus/Prunus_persica/p.persica_gdr_reftransV1_0048282","p.persica_gdr_reftransV1_0048282")</f>
        <v>p.persica_gdr_reftransV1_0048282</v>
      </c>
      <c r="B16902" s="2">
        <v>1683</v>
      </c>
      <c r="C16902" s="4" t="str">
        <f>HYPERLINK("http://www.uniprot.org/uniprot/M5XIV6","M5XIV6")</f>
        <v>M5XIV6</v>
      </c>
      <c r="D16902" s="2" t="s">
        <v>9853</v>
      </c>
      <c r="E16902" s="3">
        <v>6.9900000000000001E-68</v>
      </c>
      <c r="F16902" s="2">
        <v>586</v>
      </c>
      <c r="G16902" s="2">
        <v>100</v>
      </c>
      <c r="H16902" s="2">
        <v>212</v>
      </c>
      <c r="I16902" s="2">
        <v>693</v>
      </c>
      <c r="J16902" s="2">
        <v>1328</v>
      </c>
      <c r="K16902" s="2">
        <v>1</v>
      </c>
      <c r="L16902" s="2">
        <v>212</v>
      </c>
    </row>
    <row r="16903" spans="1:12" x14ac:dyDescent="0.25">
      <c r="A16903" s="4" t="str">
        <f>HYPERLINK("http://www.rosaceae.org/Prunus/Prunus_persica/p.persica_gdr_reftransV1_0048632","p.persica_gdr_reftransV1_0048632")</f>
        <v>p.persica_gdr_reftransV1_0048632</v>
      </c>
      <c r="B16903" s="2">
        <v>1289</v>
      </c>
      <c r="C16903" s="4" t="str">
        <f>HYPERLINK("http://www.uniprot.org/uniprot/M5W9F6","M5W9F6")</f>
        <v>M5W9F6</v>
      </c>
      <c r="D16903" s="2" t="s">
        <v>13321</v>
      </c>
      <c r="E16903" s="3">
        <v>0</v>
      </c>
      <c r="F16903" s="2">
        <v>1713</v>
      </c>
      <c r="G16903" s="2">
        <v>100</v>
      </c>
      <c r="H16903" s="2">
        <v>321</v>
      </c>
      <c r="I16903" s="2">
        <v>312</v>
      </c>
      <c r="J16903" s="2">
        <v>1274</v>
      </c>
      <c r="K16903" s="2">
        <v>1</v>
      </c>
      <c r="L16903" s="2">
        <v>321</v>
      </c>
    </row>
    <row r="16904" spans="1:12" x14ac:dyDescent="0.25">
      <c r="A16904" s="4" t="str">
        <f>HYPERLINK("http://www.rosaceae.org/Prunus/Prunus_persica/p.persica_gdr_reftransV1_0048982","p.persica_gdr_reftransV1_0048982")</f>
        <v>p.persica_gdr_reftransV1_0048982</v>
      </c>
      <c r="B16904" s="2">
        <v>5076</v>
      </c>
      <c r="C16904" s="4" t="str">
        <f>HYPERLINK("http://www.uniprot.org/uniprot/M5X9G4","M5X9G4")</f>
        <v>M5X9G4</v>
      </c>
      <c r="D16904" s="2" t="s">
        <v>13322</v>
      </c>
      <c r="E16904" s="3">
        <v>0</v>
      </c>
      <c r="F16904" s="2">
        <v>7292</v>
      </c>
      <c r="G16904" s="2">
        <v>100</v>
      </c>
      <c r="H16904" s="2">
        <v>1454</v>
      </c>
      <c r="I16904" s="2">
        <v>425</v>
      </c>
      <c r="J16904" s="2">
        <v>4786</v>
      </c>
      <c r="K16904" s="2">
        <v>1</v>
      </c>
      <c r="L16904" s="2">
        <v>1454</v>
      </c>
    </row>
    <row r="16905" spans="1:12" x14ac:dyDescent="0.25">
      <c r="A16905" s="4" t="str">
        <f>HYPERLINK("http://www.rosaceae.org/Prunus/Prunus_persica/p.persica_gdr_reftransV1_0000333","p.persica_gdr_reftransV1_0000333")</f>
        <v>p.persica_gdr_reftransV1_0000333</v>
      </c>
      <c r="B16905" s="2">
        <v>1029</v>
      </c>
      <c r="C16905" s="4" t="str">
        <f>HYPERLINK("http://www.uniprot.org/uniprot/M5VR64","M5VR64")</f>
        <v>M5VR64</v>
      </c>
      <c r="D16905" s="2" t="s">
        <v>0</v>
      </c>
      <c r="E16905" s="3">
        <v>1.16E-90</v>
      </c>
      <c r="F16905" s="2">
        <v>720</v>
      </c>
      <c r="G16905" s="2">
        <v>100</v>
      </c>
      <c r="H16905" s="2">
        <v>153</v>
      </c>
      <c r="I16905" s="2">
        <v>226</v>
      </c>
      <c r="J16905" s="2">
        <v>684</v>
      </c>
      <c r="K16905" s="2">
        <v>49</v>
      </c>
      <c r="L16905" s="2">
        <v>201</v>
      </c>
    </row>
    <row r="16906" spans="1:12" x14ac:dyDescent="0.25">
      <c r="A16906" s="4" t="str">
        <f>HYPERLINK("http://www.rosaceae.org/Prunus/Prunus_persica/p.persica_gdr_reftransV1_0000683","p.persica_gdr_reftransV1_0000683")</f>
        <v>p.persica_gdr_reftransV1_0000683</v>
      </c>
      <c r="B16906" s="2">
        <v>2595</v>
      </c>
      <c r="C16906" s="4" t="str">
        <f>HYPERLINK("http://www.uniprot.org/uniprot/M5WM93","M5WM93")</f>
        <v>M5WM93</v>
      </c>
      <c r="D16906" s="2" t="s">
        <v>10417</v>
      </c>
      <c r="E16906" s="3">
        <v>0</v>
      </c>
      <c r="F16906" s="2">
        <v>3518</v>
      </c>
      <c r="G16906" s="2">
        <v>100</v>
      </c>
      <c r="H16906" s="2">
        <v>712</v>
      </c>
      <c r="I16906" s="2">
        <v>275</v>
      </c>
      <c r="J16906" s="2">
        <v>2410</v>
      </c>
      <c r="K16906" s="2">
        <v>1</v>
      </c>
      <c r="L16906" s="2">
        <v>712</v>
      </c>
    </row>
    <row r="16907" spans="1:12" x14ac:dyDescent="0.25">
      <c r="A16907" s="4" t="str">
        <f>HYPERLINK("http://www.rosaceae.org/Prunus/Prunus_persica/p.persica_gdr_reftransV1_0002433","p.persica_gdr_reftransV1_0002433")</f>
        <v>p.persica_gdr_reftransV1_0002433</v>
      </c>
      <c r="B16907" s="2">
        <v>1572</v>
      </c>
      <c r="C16907" s="4" t="str">
        <f>HYPERLINK("http://www.uniprot.org/uniprot/M5WPQ3","M5WPQ3")</f>
        <v>M5WPQ3</v>
      </c>
      <c r="D16907" s="2" t="s">
        <v>13323</v>
      </c>
      <c r="E16907" s="3">
        <v>0</v>
      </c>
      <c r="F16907" s="2">
        <v>1490</v>
      </c>
      <c r="G16907" s="2">
        <v>100</v>
      </c>
      <c r="H16907" s="2">
        <v>330</v>
      </c>
      <c r="I16907" s="2">
        <v>446</v>
      </c>
      <c r="J16907" s="2">
        <v>1435</v>
      </c>
      <c r="K16907" s="2">
        <v>1</v>
      </c>
      <c r="L16907" s="2">
        <v>330</v>
      </c>
    </row>
    <row r="16908" spans="1:12" x14ac:dyDescent="0.25">
      <c r="A16908" s="4" t="str">
        <f>HYPERLINK("http://www.rosaceae.org/Prunus/Prunus_persica/p.persica_gdr_reftransV1_0002783","p.persica_gdr_reftransV1_0002783")</f>
        <v>p.persica_gdr_reftransV1_0002783</v>
      </c>
      <c r="B16908" s="2">
        <v>3523</v>
      </c>
      <c r="C16908" s="4" t="str">
        <f>HYPERLINK("http://www.uniprot.org/uniprot/M5X3L8","M5X3L8")</f>
        <v>M5X3L8</v>
      </c>
      <c r="D16908" s="2" t="s">
        <v>983</v>
      </c>
      <c r="E16908" s="3">
        <v>0</v>
      </c>
      <c r="F16908" s="2">
        <v>4797</v>
      </c>
      <c r="G16908" s="2">
        <v>94</v>
      </c>
      <c r="H16908" s="2">
        <v>1025</v>
      </c>
      <c r="I16908" s="2">
        <v>3</v>
      </c>
      <c r="J16908" s="2">
        <v>3074</v>
      </c>
      <c r="K16908" s="2">
        <v>40</v>
      </c>
      <c r="L16908" s="2">
        <v>1019</v>
      </c>
    </row>
    <row r="16909" spans="1:12" x14ac:dyDescent="0.25">
      <c r="A16909" s="4" t="str">
        <f>HYPERLINK("http://www.rosaceae.org/Prunus/Prunus_persica/p.persica_gdr_reftransV1_0003133","p.persica_gdr_reftransV1_0003133")</f>
        <v>p.persica_gdr_reftransV1_0003133</v>
      </c>
      <c r="B16909" s="2">
        <v>1301</v>
      </c>
      <c r="C16909" s="4" t="str">
        <f>HYPERLINK("http://www.uniprot.org/uniprot/M5XVW4","M5XVW4")</f>
        <v>M5XVW4</v>
      </c>
      <c r="D16909" s="2" t="s">
        <v>13324</v>
      </c>
      <c r="E16909" s="3">
        <v>2.7899999999999999E-154</v>
      </c>
      <c r="F16909" s="2">
        <v>1158</v>
      </c>
      <c r="G16909" s="2">
        <v>100</v>
      </c>
      <c r="H16909" s="2">
        <v>286</v>
      </c>
      <c r="I16909" s="2">
        <v>373</v>
      </c>
      <c r="J16909" s="2">
        <v>1230</v>
      </c>
      <c r="K16909" s="2">
        <v>1</v>
      </c>
      <c r="L16909" s="2">
        <v>285</v>
      </c>
    </row>
    <row r="16910" spans="1:12" x14ac:dyDescent="0.25">
      <c r="A16910" s="4" t="str">
        <f>HYPERLINK("http://www.rosaceae.org/Prunus/Prunus_persica/p.persica_gdr_reftransV1_0003483","p.persica_gdr_reftransV1_0003483")</f>
        <v>p.persica_gdr_reftransV1_0003483</v>
      </c>
      <c r="B16910" s="2">
        <v>742</v>
      </c>
      <c r="C16910" s="4" t="str">
        <f>HYPERLINK("http://www.uniprot.org/uniprot/M5XP09","M5XP09")</f>
        <v>M5XP09</v>
      </c>
      <c r="D16910" s="2" t="s">
        <v>4290</v>
      </c>
      <c r="E16910" s="3">
        <v>6.8799999999999997E-151</v>
      </c>
      <c r="F16910" s="2">
        <v>1156</v>
      </c>
      <c r="G16910" s="2">
        <v>93</v>
      </c>
      <c r="H16910" s="2">
        <v>247</v>
      </c>
      <c r="I16910" s="2">
        <v>1</v>
      </c>
      <c r="J16910" s="2">
        <v>741</v>
      </c>
      <c r="K16910" s="2">
        <v>246</v>
      </c>
      <c r="L16910" s="2">
        <v>474</v>
      </c>
    </row>
    <row r="16911" spans="1:12" x14ac:dyDescent="0.25">
      <c r="A16911" s="4" t="str">
        <f>HYPERLINK("http://www.rosaceae.org/Prunus/Prunus_persica/p.persica_gdr_reftransV1_0003833","p.persica_gdr_reftransV1_0003833")</f>
        <v>p.persica_gdr_reftransV1_0003833</v>
      </c>
      <c r="B16911" s="2">
        <v>2427</v>
      </c>
      <c r="C16911" s="4" t="str">
        <f>HYPERLINK("http://www.uniprot.org/uniprot/M5WS41","M5WS41")</f>
        <v>M5WS41</v>
      </c>
      <c r="D16911" s="2" t="s">
        <v>13325</v>
      </c>
      <c r="E16911" s="3">
        <v>0</v>
      </c>
      <c r="F16911" s="2">
        <v>2885</v>
      </c>
      <c r="G16911" s="2">
        <v>100</v>
      </c>
      <c r="H16911" s="2">
        <v>559</v>
      </c>
      <c r="I16911" s="2">
        <v>149</v>
      </c>
      <c r="J16911" s="2">
        <v>1825</v>
      </c>
      <c r="K16911" s="2">
        <v>1</v>
      </c>
      <c r="L16911" s="2">
        <v>559</v>
      </c>
    </row>
    <row r="16912" spans="1:12" x14ac:dyDescent="0.25">
      <c r="A16912" s="4" t="str">
        <f>HYPERLINK("http://www.rosaceae.org/Prunus/Prunus_persica/p.persica_gdr_reftransV1_0004183","p.persica_gdr_reftransV1_0004183")</f>
        <v>p.persica_gdr_reftransV1_0004183</v>
      </c>
      <c r="B16912" s="2">
        <v>1331</v>
      </c>
      <c r="C16912" s="4" t="str">
        <f>HYPERLINK("http://www.uniprot.org/uniprot/M5X0C5","M5X0C5")</f>
        <v>M5X0C5</v>
      </c>
      <c r="D16912" s="2" t="s">
        <v>10011</v>
      </c>
      <c r="E16912" s="3">
        <v>2.1300000000000001E-178</v>
      </c>
      <c r="F16912" s="2">
        <v>1320</v>
      </c>
      <c r="G16912" s="2">
        <v>100</v>
      </c>
      <c r="H16912" s="2">
        <v>276</v>
      </c>
      <c r="I16912" s="2">
        <v>377</v>
      </c>
      <c r="J16912" s="2">
        <v>1204</v>
      </c>
      <c r="K16912" s="2">
        <v>25</v>
      </c>
      <c r="L16912" s="2">
        <v>300</v>
      </c>
    </row>
    <row r="16913" spans="1:12" x14ac:dyDescent="0.25">
      <c r="A16913" s="4" t="str">
        <f>HYPERLINK("http://www.rosaceae.org/Prunus/Prunus_persica/p.persica_gdr_reftransV1_0004883","p.persica_gdr_reftransV1_0004883")</f>
        <v>p.persica_gdr_reftransV1_0004883</v>
      </c>
      <c r="B16913" s="2">
        <v>432</v>
      </c>
      <c r="C16913" s="4" t="str">
        <f>HYPERLINK("http://www.uniprot.org/uniprot/M5W8Z4","M5W8Z4")</f>
        <v>M5W8Z4</v>
      </c>
      <c r="D16913" s="2" t="s">
        <v>1553</v>
      </c>
      <c r="E16913" s="3">
        <v>5.2900000000000003E-88</v>
      </c>
      <c r="F16913" s="2">
        <v>706</v>
      </c>
      <c r="G16913" s="2">
        <v>100</v>
      </c>
      <c r="H16913" s="2">
        <v>143</v>
      </c>
      <c r="I16913" s="2">
        <v>3</v>
      </c>
      <c r="J16913" s="2">
        <v>431</v>
      </c>
      <c r="K16913" s="2">
        <v>180</v>
      </c>
      <c r="L16913" s="2">
        <v>322</v>
      </c>
    </row>
    <row r="16914" spans="1:12" x14ac:dyDescent="0.25">
      <c r="A16914" s="4" t="str">
        <f>HYPERLINK("http://www.rosaceae.org/Prunus/Prunus_persica/p.persica_gdr_reftransV1_0005233","p.persica_gdr_reftransV1_0005233")</f>
        <v>p.persica_gdr_reftransV1_0005233</v>
      </c>
      <c r="B16914" s="2">
        <v>2194</v>
      </c>
      <c r="C16914" s="4" t="str">
        <f>HYPERLINK("http://www.uniprot.org/uniprot/M5XCL8","M5XCL8")</f>
        <v>M5XCL8</v>
      </c>
      <c r="D16914" s="2" t="s">
        <v>9363</v>
      </c>
      <c r="E16914" s="3">
        <v>0</v>
      </c>
      <c r="F16914" s="2">
        <v>2386</v>
      </c>
      <c r="G16914" s="2">
        <v>100</v>
      </c>
      <c r="H16914" s="2">
        <v>483</v>
      </c>
      <c r="I16914" s="2">
        <v>372</v>
      </c>
      <c r="J16914" s="2">
        <v>1820</v>
      </c>
      <c r="K16914" s="2">
        <v>1</v>
      </c>
      <c r="L16914" s="2">
        <v>483</v>
      </c>
    </row>
    <row r="16915" spans="1:12" x14ac:dyDescent="0.25">
      <c r="A16915" s="4" t="str">
        <f>HYPERLINK("http://www.rosaceae.org/Prunus/Prunus_persica/p.persica_gdr_reftransV1_0005583","p.persica_gdr_reftransV1_0005583")</f>
        <v>p.persica_gdr_reftransV1_0005583</v>
      </c>
      <c r="B16915" s="2">
        <v>384</v>
      </c>
      <c r="C16915" s="4" t="str">
        <f>HYPERLINK("http://www.uniprot.org/uniprot/M5WQV9","M5WQV9")</f>
        <v>M5WQV9</v>
      </c>
      <c r="D16915" s="2" t="s">
        <v>7841</v>
      </c>
      <c r="E16915" s="3">
        <v>2.5500000000000001E-81</v>
      </c>
      <c r="F16915" s="2">
        <v>691</v>
      </c>
      <c r="G16915" s="2">
        <v>100</v>
      </c>
      <c r="H16915" s="2">
        <v>127</v>
      </c>
      <c r="I16915" s="2">
        <v>3</v>
      </c>
      <c r="J16915" s="2">
        <v>383</v>
      </c>
      <c r="K16915" s="2">
        <v>50</v>
      </c>
      <c r="L16915" s="2">
        <v>176</v>
      </c>
    </row>
    <row r="16916" spans="1:12" x14ac:dyDescent="0.25">
      <c r="A16916" s="4" t="str">
        <f>HYPERLINK("http://www.rosaceae.org/Prunus/Prunus_persica/p.persica_gdr_reftransV1_0005933","p.persica_gdr_reftransV1_0005933")</f>
        <v>p.persica_gdr_reftransV1_0005933</v>
      </c>
      <c r="B16916" s="2">
        <v>613</v>
      </c>
      <c r="C16916" s="4" t="str">
        <f>HYPERLINK("http://www.uniprot.org/uniprot/M5XSD9","M5XSD9")</f>
        <v>M5XSD9</v>
      </c>
      <c r="D16916" s="2" t="s">
        <v>13326</v>
      </c>
      <c r="E16916" s="3">
        <v>6.9099999999999998E-124</v>
      </c>
      <c r="F16916" s="2">
        <v>930</v>
      </c>
      <c r="G16916" s="2">
        <v>100</v>
      </c>
      <c r="H16916" s="2">
        <v>173</v>
      </c>
      <c r="I16916" s="2">
        <v>3</v>
      </c>
      <c r="J16916" s="2">
        <v>521</v>
      </c>
      <c r="K16916" s="2">
        <v>81</v>
      </c>
      <c r="L16916" s="2">
        <v>253</v>
      </c>
    </row>
    <row r="16917" spans="1:12" x14ac:dyDescent="0.25">
      <c r="A16917" s="4" t="str">
        <f>HYPERLINK("http://www.rosaceae.org/Prunus/Prunus_persica/p.persica_gdr_reftransV1_0006283","p.persica_gdr_reftransV1_0006283")</f>
        <v>p.persica_gdr_reftransV1_0006283</v>
      </c>
      <c r="B16917" s="2">
        <v>4700</v>
      </c>
      <c r="C16917" s="4" t="str">
        <f>HYPERLINK("http://www.uniprot.org/uniprot/M5W8G1","M5W8G1")</f>
        <v>M5W8G1</v>
      </c>
      <c r="D16917" s="2" t="s">
        <v>13327</v>
      </c>
      <c r="E16917" s="3">
        <v>0</v>
      </c>
      <c r="F16917" s="2">
        <v>5133</v>
      </c>
      <c r="G16917" s="2">
        <v>100</v>
      </c>
      <c r="H16917" s="2">
        <v>1046</v>
      </c>
      <c r="I16917" s="2">
        <v>147</v>
      </c>
      <c r="J16917" s="2">
        <v>3275</v>
      </c>
      <c r="K16917" s="2">
        <v>1</v>
      </c>
      <c r="L16917" s="2">
        <v>1046</v>
      </c>
    </row>
    <row r="16918" spans="1:12" x14ac:dyDescent="0.25">
      <c r="A16918" s="4" t="str">
        <f>HYPERLINK("http://www.rosaceae.org/Prunus/Prunus_persica/p.persica_gdr_reftransV1_0006633","p.persica_gdr_reftransV1_0006633")</f>
        <v>p.persica_gdr_reftransV1_0006633</v>
      </c>
      <c r="B16918" s="2">
        <v>2277</v>
      </c>
      <c r="C16918" s="4" t="str">
        <f>HYPERLINK("http://www.uniprot.org/uniprot/M5VXZ7","M5VXZ7")</f>
        <v>M5VXZ7</v>
      </c>
      <c r="D16918" s="2" t="s">
        <v>13328</v>
      </c>
      <c r="E16918" s="3">
        <v>0</v>
      </c>
      <c r="F16918" s="2">
        <v>2451</v>
      </c>
      <c r="G16918" s="2">
        <v>90</v>
      </c>
      <c r="H16918" s="2">
        <v>530</v>
      </c>
      <c r="I16918" s="2">
        <v>275</v>
      </c>
      <c r="J16918" s="2">
        <v>1864</v>
      </c>
      <c r="K16918" s="2">
        <v>1</v>
      </c>
      <c r="L16918" s="2">
        <v>477</v>
      </c>
    </row>
    <row r="16919" spans="1:12" x14ac:dyDescent="0.25">
      <c r="A16919" s="4" t="str">
        <f>HYPERLINK("http://www.rosaceae.org/Prunus/Prunus_persica/p.persica_gdr_reftransV1_0007333","p.persica_gdr_reftransV1_0007333")</f>
        <v>p.persica_gdr_reftransV1_0007333</v>
      </c>
      <c r="B16919" s="2">
        <v>1513</v>
      </c>
      <c r="C16919" s="4" t="str">
        <f>HYPERLINK("http://www.uniprot.org/uniprot/M5XYZ2","M5XYZ2")</f>
        <v>M5XYZ2</v>
      </c>
      <c r="D16919" s="2" t="s">
        <v>13329</v>
      </c>
      <c r="E16919" s="3">
        <v>2.2399999999999999E-125</v>
      </c>
      <c r="F16919" s="2">
        <v>964</v>
      </c>
      <c r="G16919" s="2">
        <v>100</v>
      </c>
      <c r="H16919" s="2">
        <v>183</v>
      </c>
      <c r="I16919" s="2">
        <v>214</v>
      </c>
      <c r="J16919" s="2">
        <v>762</v>
      </c>
      <c r="K16919" s="2">
        <v>1</v>
      </c>
      <c r="L16919" s="2">
        <v>183</v>
      </c>
    </row>
    <row r="16920" spans="1:12" x14ac:dyDescent="0.25">
      <c r="A16920" s="4" t="str">
        <f>HYPERLINK("http://www.rosaceae.org/Prunus/Prunus_persica/p.persica_gdr_reftransV1_0007683","p.persica_gdr_reftransV1_0007683")</f>
        <v>p.persica_gdr_reftransV1_0007683</v>
      </c>
      <c r="B16920" s="2">
        <v>2528</v>
      </c>
      <c r="C16920" s="4" t="str">
        <f>HYPERLINK("http://www.uniprot.org/uniprot/M5XH12","M5XH12")</f>
        <v>M5XH12</v>
      </c>
      <c r="D16920" s="2" t="s">
        <v>13330</v>
      </c>
      <c r="E16920" s="3">
        <v>0</v>
      </c>
      <c r="F16920" s="2">
        <v>3076</v>
      </c>
      <c r="G16920" s="2">
        <v>100</v>
      </c>
      <c r="H16920" s="2">
        <v>597</v>
      </c>
      <c r="I16920" s="2">
        <v>614</v>
      </c>
      <c r="J16920" s="2">
        <v>2404</v>
      </c>
      <c r="K16920" s="2">
        <v>1</v>
      </c>
      <c r="L16920" s="2">
        <v>597</v>
      </c>
    </row>
    <row r="16921" spans="1:12" x14ac:dyDescent="0.25">
      <c r="A16921" s="4" t="str">
        <f>HYPERLINK("http://www.rosaceae.org/Prunus/Prunus_persica/p.persica_gdr_reftransV1_0008033","p.persica_gdr_reftransV1_0008033")</f>
        <v>p.persica_gdr_reftransV1_0008033</v>
      </c>
      <c r="B16921" s="2">
        <v>1746</v>
      </c>
      <c r="C16921" s="4" t="str">
        <f>HYPERLINK("http://www.uniprot.org/uniprot/M5WIG2","M5WIG2")</f>
        <v>M5WIG2</v>
      </c>
      <c r="D16921" s="2" t="s">
        <v>13331</v>
      </c>
      <c r="E16921" s="3">
        <v>0</v>
      </c>
      <c r="F16921" s="2">
        <v>1584</v>
      </c>
      <c r="G16921" s="2">
        <v>100</v>
      </c>
      <c r="H16921" s="2">
        <v>314</v>
      </c>
      <c r="I16921" s="2">
        <v>529</v>
      </c>
      <c r="J16921" s="2">
        <v>1470</v>
      </c>
      <c r="K16921" s="2">
        <v>24</v>
      </c>
      <c r="L16921" s="2">
        <v>337</v>
      </c>
    </row>
    <row r="16922" spans="1:12" x14ac:dyDescent="0.25">
      <c r="A16922" s="4" t="str">
        <f>HYPERLINK("http://www.rosaceae.org/Prunus/Prunus_persica/p.persica_gdr_reftransV1_0008383","p.persica_gdr_reftransV1_0008383")</f>
        <v>p.persica_gdr_reftransV1_0008383</v>
      </c>
      <c r="B16922" s="2">
        <v>491</v>
      </c>
      <c r="C16922" s="4" t="str">
        <f>HYPERLINK("http://www.uniprot.org/uniprot/M5VXM3","M5VXM3")</f>
        <v>M5VXM3</v>
      </c>
      <c r="D16922" s="2" t="s">
        <v>4346</v>
      </c>
      <c r="E16922" s="3">
        <v>3.8700000000000002E-67</v>
      </c>
      <c r="F16922" s="2">
        <v>583</v>
      </c>
      <c r="G16922" s="2">
        <v>100</v>
      </c>
      <c r="H16922" s="2">
        <v>123</v>
      </c>
      <c r="I16922" s="2">
        <v>122</v>
      </c>
      <c r="J16922" s="2">
        <v>490</v>
      </c>
      <c r="K16922" s="2">
        <v>1</v>
      </c>
      <c r="L16922" s="2">
        <v>123</v>
      </c>
    </row>
    <row r="16923" spans="1:12" x14ac:dyDescent="0.25">
      <c r="A16923" s="4" t="str">
        <f>HYPERLINK("http://www.rosaceae.org/Prunus/Prunus_persica/p.persica_gdr_reftransV1_0008733","p.persica_gdr_reftransV1_0008733")</f>
        <v>p.persica_gdr_reftransV1_0008733</v>
      </c>
      <c r="B16923" s="2">
        <v>4766</v>
      </c>
      <c r="C16923" s="4" t="str">
        <f>HYPERLINK("http://www.uniprot.org/uniprot/M5WI21","M5WI21")</f>
        <v>M5WI21</v>
      </c>
      <c r="D16923" s="2" t="s">
        <v>6588</v>
      </c>
      <c r="E16923" s="3">
        <v>4.2399999999999999E-121</v>
      </c>
      <c r="F16923" s="2">
        <v>1037</v>
      </c>
      <c r="G16923" s="2">
        <v>99</v>
      </c>
      <c r="H16923" s="2">
        <v>194</v>
      </c>
      <c r="I16923" s="2">
        <v>950</v>
      </c>
      <c r="J16923" s="2">
        <v>1531</v>
      </c>
      <c r="K16923" s="2">
        <v>380</v>
      </c>
      <c r="L16923" s="2">
        <v>573</v>
      </c>
    </row>
    <row r="16924" spans="1:12" x14ac:dyDescent="0.25">
      <c r="A16924" s="4" t="str">
        <f>HYPERLINK("http://www.rosaceae.org/Prunus/Prunus_persica/p.persica_gdr_reftransV1_0009083","p.persica_gdr_reftransV1_0009083")</f>
        <v>p.persica_gdr_reftransV1_0009083</v>
      </c>
      <c r="B16924" s="2">
        <v>654</v>
      </c>
      <c r="C16924" s="4" t="str">
        <f>HYPERLINK("http://www.uniprot.org/uniprot/M5WJ29","M5WJ29")</f>
        <v>M5WJ29</v>
      </c>
      <c r="D16924" s="2" t="s">
        <v>13332</v>
      </c>
      <c r="E16924" s="3">
        <v>2.8599999999999997E-138</v>
      </c>
      <c r="F16924" s="2">
        <v>1061</v>
      </c>
      <c r="G16924" s="2">
        <v>100</v>
      </c>
      <c r="H16924" s="2">
        <v>217</v>
      </c>
      <c r="I16924" s="2">
        <v>2</v>
      </c>
      <c r="J16924" s="2">
        <v>652</v>
      </c>
      <c r="K16924" s="2">
        <v>378</v>
      </c>
      <c r="L16924" s="2">
        <v>594</v>
      </c>
    </row>
    <row r="16925" spans="1:12" x14ac:dyDescent="0.25">
      <c r="A16925" s="4" t="str">
        <f>HYPERLINK("http://www.rosaceae.org/Prunus/Prunus_persica/p.persica_gdr_reftransV1_0009433","p.persica_gdr_reftransV1_0009433")</f>
        <v>p.persica_gdr_reftransV1_0009433</v>
      </c>
      <c r="B16925" s="2">
        <v>364</v>
      </c>
      <c r="C16925" s="4" t="str">
        <f>HYPERLINK("http://www.uniprot.org/uniprot/M5WB10","M5WB10")</f>
        <v>M5WB10</v>
      </c>
      <c r="D16925" s="2" t="s">
        <v>9689</v>
      </c>
      <c r="E16925" s="3">
        <v>9.5599999999999996E-35</v>
      </c>
      <c r="F16925" s="2">
        <v>320</v>
      </c>
      <c r="G16925" s="2">
        <v>100</v>
      </c>
      <c r="H16925" s="2">
        <v>58</v>
      </c>
      <c r="I16925" s="2">
        <v>106</v>
      </c>
      <c r="J16925" s="2">
        <v>279</v>
      </c>
      <c r="K16925" s="2">
        <v>1</v>
      </c>
      <c r="L16925" s="2">
        <v>58</v>
      </c>
    </row>
    <row r="16926" spans="1:12" x14ac:dyDescent="0.25">
      <c r="A16926" s="4" t="str">
        <f>HYPERLINK("http://www.rosaceae.org/Prunus/Prunus_persica/p.persica_gdr_reftransV1_0009783","p.persica_gdr_reftransV1_0009783")</f>
        <v>p.persica_gdr_reftransV1_0009783</v>
      </c>
      <c r="B16926" s="2">
        <v>1495</v>
      </c>
      <c r="C16926" s="4" t="str">
        <f>HYPERLINK("http://www.uniprot.org/uniprot/U5G9F1","U5G9F1")</f>
        <v>U5G9F1</v>
      </c>
      <c r="D16926" s="2" t="s">
        <v>13333</v>
      </c>
      <c r="E16926" s="3">
        <v>0</v>
      </c>
      <c r="F16926" s="2">
        <v>1483</v>
      </c>
      <c r="G16926" s="2">
        <v>77</v>
      </c>
      <c r="H16926" s="2">
        <v>381</v>
      </c>
      <c r="I16926" s="2">
        <v>176</v>
      </c>
      <c r="J16926" s="2">
        <v>1264</v>
      </c>
      <c r="K16926" s="2">
        <v>25</v>
      </c>
      <c r="L16926" s="2">
        <v>404</v>
      </c>
    </row>
    <row r="16927" spans="1:12" x14ac:dyDescent="0.25">
      <c r="A16927" s="4" t="str">
        <f>HYPERLINK("http://www.rosaceae.org/Prunus/Prunus_persica/p.persica_gdr_reftransV1_0010133","p.persica_gdr_reftransV1_0010133")</f>
        <v>p.persica_gdr_reftransV1_0010133</v>
      </c>
      <c r="B16927" s="2">
        <v>2532</v>
      </c>
      <c r="C16927" s="4" t="str">
        <f>HYPERLINK("http://www.uniprot.org/uniprot/M5VUD4","M5VUD4")</f>
        <v>M5VUD4</v>
      </c>
      <c r="D16927" s="2" t="s">
        <v>13334</v>
      </c>
      <c r="E16927" s="3">
        <v>0</v>
      </c>
      <c r="F16927" s="2">
        <v>3556</v>
      </c>
      <c r="G16927" s="2">
        <v>100</v>
      </c>
      <c r="H16927" s="2">
        <v>719</v>
      </c>
      <c r="I16927" s="2">
        <v>123</v>
      </c>
      <c r="J16927" s="2">
        <v>2279</v>
      </c>
      <c r="K16927" s="2">
        <v>7</v>
      </c>
      <c r="L16927" s="2">
        <v>725</v>
      </c>
    </row>
    <row r="16928" spans="1:12" x14ac:dyDescent="0.25">
      <c r="A16928" s="4" t="str">
        <f>HYPERLINK("http://www.rosaceae.org/Prunus/Prunus_persica/p.persica_gdr_reftransV1_0010483","p.persica_gdr_reftransV1_0010483")</f>
        <v>p.persica_gdr_reftransV1_0010483</v>
      </c>
      <c r="B16928" s="2">
        <v>912</v>
      </c>
      <c r="C16928" s="4" t="str">
        <f>HYPERLINK("http://www.uniprot.org/uniprot/M5XGK7","M5XGK7")</f>
        <v>M5XGK7</v>
      </c>
      <c r="D16928" s="2" t="s">
        <v>13335</v>
      </c>
      <c r="E16928" s="3">
        <v>1.5799999999999999E-125</v>
      </c>
      <c r="F16928" s="2">
        <v>948</v>
      </c>
      <c r="G16928" s="2">
        <v>100</v>
      </c>
      <c r="H16928" s="2">
        <v>182</v>
      </c>
      <c r="I16928" s="2">
        <v>247</v>
      </c>
      <c r="J16928" s="2">
        <v>792</v>
      </c>
      <c r="K16928" s="2">
        <v>26</v>
      </c>
      <c r="L16928" s="2">
        <v>207</v>
      </c>
    </row>
    <row r="16929" spans="1:12" x14ac:dyDescent="0.25">
      <c r="A16929" s="4" t="str">
        <f>HYPERLINK("http://www.rosaceae.org/Prunus/Prunus_persica/p.persica_gdr_reftransV1_0010833","p.persica_gdr_reftransV1_0010833")</f>
        <v>p.persica_gdr_reftransV1_0010833</v>
      </c>
      <c r="B16929" s="2">
        <v>377</v>
      </c>
      <c r="C16929" s="4" t="str">
        <f>HYPERLINK("http://www.uniprot.org/uniprot/W9QZN7","W9QZN7")</f>
        <v>W9QZN7</v>
      </c>
      <c r="D16929" s="2" t="s">
        <v>10609</v>
      </c>
      <c r="E16929" s="3">
        <v>1.9399999999999999E-45</v>
      </c>
      <c r="F16929" s="2">
        <v>418</v>
      </c>
      <c r="G16929" s="2">
        <v>71</v>
      </c>
      <c r="H16929" s="2">
        <v>105</v>
      </c>
      <c r="I16929" s="2">
        <v>62</v>
      </c>
      <c r="J16929" s="2">
        <v>376</v>
      </c>
      <c r="K16929" s="2">
        <v>5</v>
      </c>
      <c r="L16929" s="2">
        <v>109</v>
      </c>
    </row>
    <row r="16930" spans="1:12" x14ac:dyDescent="0.25">
      <c r="A16930" s="4" t="str">
        <f>HYPERLINK("http://www.rosaceae.org/Prunus/Prunus_persica/p.persica_gdr_reftransV1_0011183","p.persica_gdr_reftransV1_0011183")</f>
        <v>p.persica_gdr_reftransV1_0011183</v>
      </c>
      <c r="B16930" s="2">
        <v>882</v>
      </c>
      <c r="C16930" s="4" t="str">
        <f>HYPERLINK("http://www.uniprot.org/uniprot/M5VXD3","M5VXD3")</f>
        <v>M5VXD3</v>
      </c>
      <c r="D16930" s="2" t="s">
        <v>10558</v>
      </c>
      <c r="E16930" s="3">
        <v>1.0800000000000001E-67</v>
      </c>
      <c r="F16930" s="2">
        <v>558</v>
      </c>
      <c r="G16930" s="2">
        <v>100</v>
      </c>
      <c r="H16930" s="2">
        <v>124</v>
      </c>
      <c r="I16930" s="2">
        <v>418</v>
      </c>
      <c r="J16930" s="2">
        <v>789</v>
      </c>
      <c r="K16930" s="2">
        <v>1</v>
      </c>
      <c r="L16930" s="2">
        <v>124</v>
      </c>
    </row>
    <row r="16931" spans="1:12" x14ac:dyDescent="0.25">
      <c r="A16931" s="4" t="str">
        <f>HYPERLINK("http://www.rosaceae.org/Prunus/Prunus_persica/p.persica_gdr_reftransV1_0011883","p.persica_gdr_reftransV1_0011883")</f>
        <v>p.persica_gdr_reftransV1_0011883</v>
      </c>
      <c r="B16931" s="2">
        <v>3450</v>
      </c>
      <c r="C16931" s="4" t="str">
        <f>HYPERLINK("http://www.uniprot.org/uniprot/M5W108","M5W108")</f>
        <v>M5W108</v>
      </c>
      <c r="D16931" s="2" t="s">
        <v>13336</v>
      </c>
      <c r="E16931" s="3">
        <v>3.0299999999999999E-115</v>
      </c>
      <c r="F16931" s="2">
        <v>940</v>
      </c>
      <c r="G16931" s="2">
        <v>100</v>
      </c>
      <c r="H16931" s="2">
        <v>178</v>
      </c>
      <c r="I16931" s="2">
        <v>2680</v>
      </c>
      <c r="J16931" s="2">
        <v>3213</v>
      </c>
      <c r="K16931" s="2">
        <v>1</v>
      </c>
      <c r="L16931" s="2">
        <v>178</v>
      </c>
    </row>
    <row r="16932" spans="1:12" x14ac:dyDescent="0.25">
      <c r="A16932" s="4" t="str">
        <f>HYPERLINK("http://www.rosaceae.org/Prunus/Prunus_persica/p.persica_gdr_reftransV1_0012583","p.persica_gdr_reftransV1_0012583")</f>
        <v>p.persica_gdr_reftransV1_0012583</v>
      </c>
      <c r="B16932" s="2">
        <v>784</v>
      </c>
      <c r="C16932" s="4" t="str">
        <f>HYPERLINK("http://www.uniprot.org/uniprot/M5XKR1","M5XKR1")</f>
        <v>M5XKR1</v>
      </c>
      <c r="D16932" s="2" t="s">
        <v>13337</v>
      </c>
      <c r="E16932" s="3">
        <v>2.3800000000000002E-86</v>
      </c>
      <c r="F16932" s="2">
        <v>678</v>
      </c>
      <c r="G16932" s="2">
        <v>96</v>
      </c>
      <c r="H16932" s="2">
        <v>136</v>
      </c>
      <c r="I16932" s="2">
        <v>280</v>
      </c>
      <c r="J16932" s="2">
        <v>687</v>
      </c>
      <c r="K16932" s="2">
        <v>1</v>
      </c>
      <c r="L16932" s="2">
        <v>130</v>
      </c>
    </row>
    <row r="16933" spans="1:12" x14ac:dyDescent="0.25">
      <c r="A16933" s="4" t="str">
        <f>HYPERLINK("http://www.rosaceae.org/Prunus/Prunus_persica/p.persica_gdr_reftransV1_0015033","p.persica_gdr_reftransV1_0015033")</f>
        <v>p.persica_gdr_reftransV1_0015033</v>
      </c>
      <c r="B16933" s="2">
        <v>651</v>
      </c>
      <c r="C16933" s="4" t="str">
        <f>HYPERLINK("http://www.uniprot.org/uniprot/W9QLW6","W9QLW6")</f>
        <v>W9QLW6</v>
      </c>
      <c r="D16933" s="2" t="s">
        <v>13338</v>
      </c>
      <c r="E16933" s="3">
        <v>7.5600000000000003E-94</v>
      </c>
      <c r="F16933" s="2">
        <v>743</v>
      </c>
      <c r="G16933" s="2">
        <v>73</v>
      </c>
      <c r="H16933" s="2">
        <v>183</v>
      </c>
      <c r="I16933" s="2">
        <v>102</v>
      </c>
      <c r="J16933" s="2">
        <v>650</v>
      </c>
      <c r="K16933" s="2">
        <v>179</v>
      </c>
      <c r="L16933" s="2">
        <v>361</v>
      </c>
    </row>
    <row r="16934" spans="1:12" x14ac:dyDescent="0.25">
      <c r="A16934" s="4" t="str">
        <f>HYPERLINK("http://www.rosaceae.org/Prunus/Prunus_persica/p.persica_gdr_reftransV1_0015383","p.persica_gdr_reftransV1_0015383")</f>
        <v>p.persica_gdr_reftransV1_0015383</v>
      </c>
      <c r="B16934" s="2">
        <v>1976</v>
      </c>
      <c r="C16934" s="4" t="str">
        <f>HYPERLINK("http://www.uniprot.org/uniprot/M5VZR0","M5VZR0")</f>
        <v>M5VZR0</v>
      </c>
      <c r="D16934" s="2" t="s">
        <v>13339</v>
      </c>
      <c r="E16934" s="3">
        <v>0</v>
      </c>
      <c r="F16934" s="2">
        <v>1632</v>
      </c>
      <c r="G16934" s="2">
        <v>100</v>
      </c>
      <c r="H16934" s="2">
        <v>363</v>
      </c>
      <c r="I16934" s="2">
        <v>60</v>
      </c>
      <c r="J16934" s="2">
        <v>1148</v>
      </c>
      <c r="K16934" s="2">
        <v>1</v>
      </c>
      <c r="L16934" s="2">
        <v>363</v>
      </c>
    </row>
    <row r="16935" spans="1:12" x14ac:dyDescent="0.25">
      <c r="A16935" s="4" t="str">
        <f>HYPERLINK("http://www.rosaceae.org/Prunus/Prunus_persica/p.persica_gdr_reftransV1_0016083","p.persica_gdr_reftransV1_0016083")</f>
        <v>p.persica_gdr_reftransV1_0016083</v>
      </c>
      <c r="B16935" s="2">
        <v>936</v>
      </c>
      <c r="C16935" s="4" t="str">
        <f>HYPERLINK("http://www.uniprot.org/uniprot/M5WY44","M5WY44")</f>
        <v>M5WY44</v>
      </c>
      <c r="D16935" s="2" t="s">
        <v>13340</v>
      </c>
      <c r="E16935" s="3">
        <v>3.9199999999999998E-156</v>
      </c>
      <c r="F16935" s="2">
        <v>1151</v>
      </c>
      <c r="G16935" s="2">
        <v>100</v>
      </c>
      <c r="H16935" s="2">
        <v>222</v>
      </c>
      <c r="I16935" s="2">
        <v>67</v>
      </c>
      <c r="J16935" s="2">
        <v>732</v>
      </c>
      <c r="K16935" s="2">
        <v>1</v>
      </c>
      <c r="L16935" s="2">
        <v>222</v>
      </c>
    </row>
    <row r="16936" spans="1:12" x14ac:dyDescent="0.25">
      <c r="A16936" s="4" t="str">
        <f>HYPERLINK("http://www.rosaceae.org/Prunus/Prunus_persica/p.persica_gdr_reftransV1_0016433","p.persica_gdr_reftransV1_0016433")</f>
        <v>p.persica_gdr_reftransV1_0016433</v>
      </c>
      <c r="B16936" s="2">
        <v>1022</v>
      </c>
      <c r="C16936" s="4" t="str">
        <f>HYPERLINK("http://www.uniprot.org/uniprot/M5X138","M5X138")</f>
        <v>M5X138</v>
      </c>
      <c r="D16936" s="2" t="s">
        <v>8119</v>
      </c>
      <c r="E16936" s="3">
        <v>3.8200000000000001E-109</v>
      </c>
      <c r="F16936" s="2">
        <v>842</v>
      </c>
      <c r="G16936" s="2">
        <v>100</v>
      </c>
      <c r="H16936" s="2">
        <v>204</v>
      </c>
      <c r="I16936" s="2">
        <v>328</v>
      </c>
      <c r="J16936" s="2">
        <v>939</v>
      </c>
      <c r="K16936" s="2">
        <v>1</v>
      </c>
      <c r="L16936" s="2">
        <v>204</v>
      </c>
    </row>
    <row r="16937" spans="1:12" x14ac:dyDescent="0.25">
      <c r="A16937" s="4" t="str">
        <f>HYPERLINK("http://www.rosaceae.org/Prunus/Prunus_persica/p.persica_gdr_reftransV1_0016783","p.persica_gdr_reftransV1_0016783")</f>
        <v>p.persica_gdr_reftransV1_0016783</v>
      </c>
      <c r="B16937" s="2">
        <v>881</v>
      </c>
      <c r="C16937" s="4" t="str">
        <f>HYPERLINK("http://www.uniprot.org/uniprot/M5VRC8","M5VRC8")</f>
        <v>M5VRC8</v>
      </c>
      <c r="D16937" s="2" t="s">
        <v>13341</v>
      </c>
      <c r="E16937" s="3">
        <v>3.6299999999999998E-88</v>
      </c>
      <c r="F16937" s="2">
        <v>694</v>
      </c>
      <c r="G16937" s="2">
        <v>100</v>
      </c>
      <c r="H16937" s="2">
        <v>143</v>
      </c>
      <c r="I16937" s="2">
        <v>178</v>
      </c>
      <c r="J16937" s="2">
        <v>606</v>
      </c>
      <c r="K16937" s="2">
        <v>14</v>
      </c>
      <c r="L16937" s="2">
        <v>156</v>
      </c>
    </row>
    <row r="16938" spans="1:12" x14ac:dyDescent="0.25">
      <c r="A16938" s="4" t="str">
        <f>HYPERLINK("http://www.rosaceae.org/Prunus/Prunus_persica/p.persica_gdr_reftransV1_0020283","p.persica_gdr_reftransV1_0020283")</f>
        <v>p.persica_gdr_reftransV1_0020283</v>
      </c>
      <c r="B16938" s="2">
        <v>2310</v>
      </c>
      <c r="C16938" s="4" t="str">
        <f>HYPERLINK("http://www.uniprot.org/uniprot/M5VM70","M5VM70")</f>
        <v>M5VM70</v>
      </c>
      <c r="D16938" s="2" t="s">
        <v>13342</v>
      </c>
      <c r="E16938" s="3">
        <v>0</v>
      </c>
      <c r="F16938" s="2">
        <v>2020</v>
      </c>
      <c r="G16938" s="2">
        <v>100</v>
      </c>
      <c r="H16938" s="2">
        <v>385</v>
      </c>
      <c r="I16938" s="2">
        <v>843</v>
      </c>
      <c r="J16938" s="2">
        <v>1997</v>
      </c>
      <c r="K16938" s="2">
        <v>1</v>
      </c>
      <c r="L16938" s="2">
        <v>385</v>
      </c>
    </row>
    <row r="16939" spans="1:12" x14ac:dyDescent="0.25">
      <c r="A16939" s="4" t="str">
        <f>HYPERLINK("http://www.rosaceae.org/Prunus/Prunus_persica/p.persica_gdr_reftransV1_0020633","p.persica_gdr_reftransV1_0020633")</f>
        <v>p.persica_gdr_reftransV1_0020633</v>
      </c>
      <c r="B16939" s="2">
        <v>2161</v>
      </c>
      <c r="C16939" s="4" t="str">
        <f>HYPERLINK("http://www.uniprot.org/uniprot/M5XDS3","M5XDS3")</f>
        <v>M5XDS3</v>
      </c>
      <c r="D16939" s="2" t="s">
        <v>13343</v>
      </c>
      <c r="E16939" s="3">
        <v>0</v>
      </c>
      <c r="F16939" s="2">
        <v>2327</v>
      </c>
      <c r="G16939" s="2">
        <v>99</v>
      </c>
      <c r="H16939" s="2">
        <v>539</v>
      </c>
      <c r="I16939" s="2">
        <v>353</v>
      </c>
      <c r="J16939" s="2">
        <v>1969</v>
      </c>
      <c r="K16939" s="2">
        <v>1</v>
      </c>
      <c r="L16939" s="2">
        <v>534</v>
      </c>
    </row>
    <row r="16940" spans="1:12" x14ac:dyDescent="0.25">
      <c r="A16940" s="4" t="str">
        <f>HYPERLINK("http://www.rosaceae.org/Prunus/Prunus_persica/p.persica_gdr_reftransV1_0021333","p.persica_gdr_reftransV1_0021333")</f>
        <v>p.persica_gdr_reftransV1_0021333</v>
      </c>
      <c r="B16940" s="2">
        <v>1202</v>
      </c>
      <c r="C16940" s="4" t="str">
        <f>HYPERLINK("http://www.uniprot.org/uniprot/M5W0K4","M5W0K4")</f>
        <v>M5W0K4</v>
      </c>
      <c r="D16940" s="2" t="s">
        <v>7767</v>
      </c>
      <c r="E16940" s="3">
        <v>1.18E-110</v>
      </c>
      <c r="F16940" s="2">
        <v>854</v>
      </c>
      <c r="G16940" s="2">
        <v>100</v>
      </c>
      <c r="H16940" s="2">
        <v>162</v>
      </c>
      <c r="I16940" s="2">
        <v>268</v>
      </c>
      <c r="J16940" s="2">
        <v>753</v>
      </c>
      <c r="K16940" s="2">
        <v>1</v>
      </c>
      <c r="L16940" s="2">
        <v>162</v>
      </c>
    </row>
    <row r="16941" spans="1:12" x14ac:dyDescent="0.25">
      <c r="A16941" s="4" t="str">
        <f>HYPERLINK("http://www.rosaceae.org/Prunus/Prunus_persica/p.persica_gdr_reftransV1_0021683","p.persica_gdr_reftransV1_0021683")</f>
        <v>p.persica_gdr_reftransV1_0021683</v>
      </c>
      <c r="B16941" s="2">
        <v>1151</v>
      </c>
      <c r="C16941" s="4" t="str">
        <f>HYPERLINK("http://www.uniprot.org/uniprot/M5WXY9","M5WXY9")</f>
        <v>M5WXY9</v>
      </c>
      <c r="D16941" s="2" t="s">
        <v>13344</v>
      </c>
      <c r="E16941" s="3">
        <v>2.64E-171</v>
      </c>
      <c r="F16941" s="2">
        <v>1264</v>
      </c>
      <c r="G16941" s="2">
        <v>97</v>
      </c>
      <c r="H16941" s="2">
        <v>270</v>
      </c>
      <c r="I16941" s="2">
        <v>97</v>
      </c>
      <c r="J16941" s="2">
        <v>906</v>
      </c>
      <c r="K16941" s="2">
        <v>3</v>
      </c>
      <c r="L16941" s="2">
        <v>270</v>
      </c>
    </row>
    <row r="16942" spans="1:12" x14ac:dyDescent="0.25">
      <c r="A16942" s="4" t="str">
        <f>HYPERLINK("http://www.rosaceae.org/Prunus/Prunus_persica/p.persica_gdr_reftransV1_0023783","p.persica_gdr_reftransV1_0023783")</f>
        <v>p.persica_gdr_reftransV1_0023783</v>
      </c>
      <c r="B16942" s="2">
        <v>2613</v>
      </c>
      <c r="C16942" s="4" t="str">
        <f>HYPERLINK("http://www.uniprot.org/uniprot/M5XVA3","M5XVA3")</f>
        <v>M5XVA3</v>
      </c>
      <c r="D16942" s="2" t="s">
        <v>13345</v>
      </c>
      <c r="E16942" s="3">
        <v>0</v>
      </c>
      <c r="F16942" s="2">
        <v>2850</v>
      </c>
      <c r="G16942" s="2">
        <v>97</v>
      </c>
      <c r="H16942" s="2">
        <v>596</v>
      </c>
      <c r="I16942" s="2">
        <v>490</v>
      </c>
      <c r="J16942" s="2">
        <v>2277</v>
      </c>
      <c r="K16942" s="2">
        <v>1</v>
      </c>
      <c r="L16942" s="2">
        <v>582</v>
      </c>
    </row>
    <row r="16943" spans="1:12" x14ac:dyDescent="0.25">
      <c r="A16943" s="4" t="str">
        <f>HYPERLINK("http://www.rosaceae.org/Prunus/Prunus_persica/p.persica_gdr_reftransV1_0024133","p.persica_gdr_reftransV1_0024133")</f>
        <v>p.persica_gdr_reftransV1_0024133</v>
      </c>
      <c r="B16943" s="2">
        <v>1862</v>
      </c>
      <c r="C16943" s="4" t="str">
        <f>HYPERLINK("http://www.uniprot.org/uniprot/A8VYM8","A8VYM8")</f>
        <v>A8VYM8</v>
      </c>
      <c r="D16943" s="2" t="s">
        <v>13346</v>
      </c>
      <c r="E16943" s="3">
        <v>3.9399999999999998E-153</v>
      </c>
      <c r="F16943" s="2">
        <v>810</v>
      </c>
      <c r="G16943" s="2">
        <v>87</v>
      </c>
      <c r="H16943" s="2">
        <v>172</v>
      </c>
      <c r="I16943" s="2">
        <v>623</v>
      </c>
      <c r="J16943" s="2">
        <v>1138</v>
      </c>
      <c r="K16943" s="2">
        <v>138</v>
      </c>
      <c r="L16943" s="2">
        <v>309</v>
      </c>
    </row>
    <row r="16944" spans="1:12" x14ac:dyDescent="0.25">
      <c r="A16944" s="4" t="str">
        <f>HYPERLINK("http://www.rosaceae.org/Prunus/Prunus_persica/p.persica_gdr_reftransV1_0024833","p.persica_gdr_reftransV1_0024833")</f>
        <v>p.persica_gdr_reftransV1_0024833</v>
      </c>
      <c r="B16944" s="2">
        <v>2429</v>
      </c>
      <c r="C16944" s="4" t="str">
        <f>HYPERLINK("http://www.uniprot.org/uniprot/M5XEX5","M5XEX5")</f>
        <v>M5XEX5</v>
      </c>
      <c r="D16944" s="2" t="s">
        <v>13347</v>
      </c>
      <c r="E16944" s="3">
        <v>0</v>
      </c>
      <c r="F16944" s="2">
        <v>3161</v>
      </c>
      <c r="G16944" s="2">
        <v>100</v>
      </c>
      <c r="H16944" s="2">
        <v>633</v>
      </c>
      <c r="I16944" s="2">
        <v>72</v>
      </c>
      <c r="J16944" s="2">
        <v>1970</v>
      </c>
      <c r="K16944" s="2">
        <v>1</v>
      </c>
      <c r="L16944" s="2">
        <v>633</v>
      </c>
    </row>
    <row r="16945" spans="1:12" x14ac:dyDescent="0.25">
      <c r="A16945" s="4" t="str">
        <f>HYPERLINK("http://www.rosaceae.org/Prunus/Prunus_persica/p.persica_gdr_reftransV1_0026233","p.persica_gdr_reftransV1_0026233")</f>
        <v>p.persica_gdr_reftransV1_0026233</v>
      </c>
      <c r="B16945" s="2">
        <v>917</v>
      </c>
      <c r="C16945" s="4" t="str">
        <f>HYPERLINK("http://www.uniprot.org/uniprot/M5XH98","M5XH98")</f>
        <v>M5XH98</v>
      </c>
      <c r="D16945" s="2" t="s">
        <v>13348</v>
      </c>
      <c r="E16945" s="3">
        <v>4.7399999999999999E-80</v>
      </c>
      <c r="F16945" s="2">
        <v>641</v>
      </c>
      <c r="G16945" s="2">
        <v>100</v>
      </c>
      <c r="H16945" s="2">
        <v>143</v>
      </c>
      <c r="I16945" s="2">
        <v>371</v>
      </c>
      <c r="J16945" s="2">
        <v>799</v>
      </c>
      <c r="K16945" s="2">
        <v>10</v>
      </c>
      <c r="L16945" s="2">
        <v>152</v>
      </c>
    </row>
    <row r="16946" spans="1:12" x14ac:dyDescent="0.25">
      <c r="A16946" s="4" t="str">
        <f>HYPERLINK("http://www.rosaceae.org/Prunus/Prunus_persica/p.persica_gdr_reftransV1_0030083","p.persica_gdr_reftransV1_0030083")</f>
        <v>p.persica_gdr_reftransV1_0030083</v>
      </c>
      <c r="B16946" s="2">
        <v>2708</v>
      </c>
      <c r="C16946" s="4" t="str">
        <f>HYPERLINK("http://www.uniprot.org/uniprot/M5WRT2","M5WRT2")</f>
        <v>M5WRT2</v>
      </c>
      <c r="D16946" s="2" t="s">
        <v>5251</v>
      </c>
      <c r="E16946" s="3">
        <v>0</v>
      </c>
      <c r="F16946" s="2">
        <v>3561</v>
      </c>
      <c r="G16946" s="2">
        <v>100</v>
      </c>
      <c r="H16946" s="2">
        <v>678</v>
      </c>
      <c r="I16946" s="2">
        <v>274</v>
      </c>
      <c r="J16946" s="2">
        <v>2307</v>
      </c>
      <c r="K16946" s="2">
        <v>1</v>
      </c>
      <c r="L16946" s="2">
        <v>678</v>
      </c>
    </row>
    <row r="16947" spans="1:12" x14ac:dyDescent="0.25">
      <c r="A16947" s="4" t="str">
        <f>HYPERLINK("http://www.rosaceae.org/Prunus/Prunus_persica/p.persica_gdr_reftransV1_0031133","p.persica_gdr_reftransV1_0031133")</f>
        <v>p.persica_gdr_reftransV1_0031133</v>
      </c>
      <c r="B16947" s="2">
        <v>2449</v>
      </c>
      <c r="C16947" s="4" t="str">
        <f>HYPERLINK("http://www.uniprot.org/uniprot/M5VXT3","M5VXT3")</f>
        <v>M5VXT3</v>
      </c>
      <c r="D16947" s="2" t="s">
        <v>13349</v>
      </c>
      <c r="E16947" s="3">
        <v>0</v>
      </c>
      <c r="F16947" s="2">
        <v>2593</v>
      </c>
      <c r="G16947" s="2">
        <v>100</v>
      </c>
      <c r="H16947" s="2">
        <v>499</v>
      </c>
      <c r="I16947" s="2">
        <v>189</v>
      </c>
      <c r="J16947" s="2">
        <v>1685</v>
      </c>
      <c r="K16947" s="2">
        <v>14</v>
      </c>
      <c r="L16947" s="2">
        <v>512</v>
      </c>
    </row>
    <row r="16948" spans="1:12" x14ac:dyDescent="0.25">
      <c r="A16948" s="4" t="str">
        <f>HYPERLINK("http://www.rosaceae.org/Prunus/Prunus_persica/p.persica_gdr_reftransV1_0031833","p.persica_gdr_reftransV1_0031833")</f>
        <v>p.persica_gdr_reftransV1_0031833</v>
      </c>
      <c r="B16948" s="2">
        <v>1620</v>
      </c>
      <c r="C16948" s="4" t="str">
        <f>HYPERLINK("http://www.uniprot.org/uniprot/A0A022Q8Q3","A0A022Q8Q3")</f>
        <v>A0A022Q8Q3</v>
      </c>
      <c r="D16948" s="2" t="s">
        <v>13350</v>
      </c>
      <c r="E16948" s="3">
        <v>5.2300000000000003E-24</v>
      </c>
      <c r="F16948" s="2">
        <v>177</v>
      </c>
      <c r="G16948" s="2">
        <v>40</v>
      </c>
      <c r="H16948" s="2">
        <v>105</v>
      </c>
      <c r="I16948" s="2">
        <v>983</v>
      </c>
      <c r="J16948" s="2">
        <v>1297</v>
      </c>
      <c r="K16948" s="2">
        <v>102</v>
      </c>
      <c r="L16948" s="2">
        <v>198</v>
      </c>
    </row>
    <row r="16949" spans="1:12" x14ac:dyDescent="0.25">
      <c r="A16949" s="4" t="str">
        <f>HYPERLINK("http://www.rosaceae.org/Prunus/Prunus_persica/p.persica_gdr_reftransV1_0033583","p.persica_gdr_reftransV1_0033583")</f>
        <v>p.persica_gdr_reftransV1_0033583</v>
      </c>
      <c r="B16949" s="2">
        <v>2765</v>
      </c>
      <c r="C16949" s="4" t="str">
        <f>HYPERLINK("http://www.uniprot.org/uniprot/M5XHX5","M5XHX5")</f>
        <v>M5XHX5</v>
      </c>
      <c r="D16949" s="2" t="s">
        <v>13351</v>
      </c>
      <c r="E16949" s="3">
        <v>0</v>
      </c>
      <c r="F16949" s="2">
        <v>1383</v>
      </c>
      <c r="G16949" s="2">
        <v>76</v>
      </c>
      <c r="H16949" s="2">
        <v>373</v>
      </c>
      <c r="I16949" s="2">
        <v>1496</v>
      </c>
      <c r="J16949" s="2">
        <v>2614</v>
      </c>
      <c r="K16949" s="2">
        <v>1</v>
      </c>
      <c r="L16949" s="2">
        <v>302</v>
      </c>
    </row>
    <row r="16950" spans="1:12" x14ac:dyDescent="0.25">
      <c r="A16950" s="4" t="str">
        <f>HYPERLINK("http://www.rosaceae.org/Prunus/Prunus_persica/p.persica_gdr_reftransV1_0033933","p.persica_gdr_reftransV1_0033933")</f>
        <v>p.persica_gdr_reftransV1_0033933</v>
      </c>
      <c r="B16950" s="2">
        <v>3265</v>
      </c>
      <c r="C16950" s="4" t="str">
        <f>HYPERLINK("http://www.uniprot.org/uniprot/M5WYU7","M5WYU7")</f>
        <v>M5WYU7</v>
      </c>
      <c r="D16950" s="2" t="s">
        <v>13352</v>
      </c>
      <c r="E16950" s="3">
        <v>0</v>
      </c>
      <c r="F16950" s="2">
        <v>4704</v>
      </c>
      <c r="G16950" s="2">
        <v>97</v>
      </c>
      <c r="H16950" s="2">
        <v>952</v>
      </c>
      <c r="I16950" s="2">
        <v>92</v>
      </c>
      <c r="J16950" s="2">
        <v>2947</v>
      </c>
      <c r="K16950" s="2">
        <v>1</v>
      </c>
      <c r="L16950" s="2">
        <v>937</v>
      </c>
    </row>
    <row r="16951" spans="1:12" x14ac:dyDescent="0.25">
      <c r="A16951" s="4" t="str">
        <f>HYPERLINK("http://www.rosaceae.org/Prunus/Prunus_persica/p.persica_gdr_reftransV1_0037083","p.persica_gdr_reftransV1_0037083")</f>
        <v>p.persica_gdr_reftransV1_0037083</v>
      </c>
      <c r="B16951" s="2">
        <v>1071</v>
      </c>
      <c r="C16951" s="4" t="str">
        <f>HYPERLINK("http://www.uniprot.org/uniprot/M5WJE2","M5WJE2")</f>
        <v>M5WJE2</v>
      </c>
      <c r="D16951" s="2" t="s">
        <v>11116</v>
      </c>
      <c r="E16951" s="3">
        <v>6.4000000000000003E-171</v>
      </c>
      <c r="F16951" s="2">
        <v>1258</v>
      </c>
      <c r="G16951" s="2">
        <v>100</v>
      </c>
      <c r="H16951" s="2">
        <v>257</v>
      </c>
      <c r="I16951" s="2">
        <v>75</v>
      </c>
      <c r="J16951" s="2">
        <v>845</v>
      </c>
      <c r="K16951" s="2">
        <v>10</v>
      </c>
      <c r="L16951" s="2">
        <v>266</v>
      </c>
    </row>
    <row r="16952" spans="1:12" x14ac:dyDescent="0.25">
      <c r="A16952" s="4" t="str">
        <f>HYPERLINK("http://www.rosaceae.org/Prunus/Prunus_persica/p.persica_gdr_reftransV1_0038133","p.persica_gdr_reftransV1_0038133")</f>
        <v>p.persica_gdr_reftransV1_0038133</v>
      </c>
      <c r="B16952" s="2">
        <v>4138</v>
      </c>
      <c r="C16952" s="4" t="str">
        <f>HYPERLINK("http://www.uniprot.org/uniprot/M5VJC9","M5VJC9")</f>
        <v>M5VJC9</v>
      </c>
      <c r="D16952" s="2" t="s">
        <v>13353</v>
      </c>
      <c r="E16952" s="3">
        <v>0</v>
      </c>
      <c r="F16952" s="2">
        <v>1627</v>
      </c>
      <c r="G16952" s="2">
        <v>100</v>
      </c>
      <c r="H16952" s="2">
        <v>364</v>
      </c>
      <c r="I16952" s="2">
        <v>358</v>
      </c>
      <c r="J16952" s="2">
        <v>1449</v>
      </c>
      <c r="K16952" s="2">
        <v>430</v>
      </c>
      <c r="L16952" s="2">
        <v>793</v>
      </c>
    </row>
    <row r="16953" spans="1:12" x14ac:dyDescent="0.25">
      <c r="A16953" s="4" t="str">
        <f>HYPERLINK("http://www.rosaceae.org/Prunus/Prunus_persica/p.persica_gdr_reftransV1_0040233","p.persica_gdr_reftransV1_0040233")</f>
        <v>p.persica_gdr_reftransV1_0040233</v>
      </c>
      <c r="B16953" s="2">
        <v>2134</v>
      </c>
      <c r="C16953" s="4" t="str">
        <f>HYPERLINK("http://www.uniprot.org/uniprot/M5VZ81","M5VZ81")</f>
        <v>M5VZ81</v>
      </c>
      <c r="D16953" s="2" t="s">
        <v>1344</v>
      </c>
      <c r="E16953" s="3">
        <v>0</v>
      </c>
      <c r="F16953" s="2">
        <v>2059</v>
      </c>
      <c r="G16953" s="2">
        <v>94</v>
      </c>
      <c r="H16953" s="2">
        <v>466</v>
      </c>
      <c r="I16953" s="2">
        <v>122</v>
      </c>
      <c r="J16953" s="2">
        <v>1519</v>
      </c>
      <c r="K16953" s="2">
        <v>1</v>
      </c>
      <c r="L16953" s="2">
        <v>437</v>
      </c>
    </row>
    <row r="16954" spans="1:12" x14ac:dyDescent="0.25">
      <c r="A16954" s="4" t="str">
        <f>HYPERLINK("http://www.rosaceae.org/Prunus/Prunus_persica/p.persica_gdr_reftransV1_0041983","p.persica_gdr_reftransV1_0041983")</f>
        <v>p.persica_gdr_reftransV1_0041983</v>
      </c>
      <c r="B16954" s="2">
        <v>1037</v>
      </c>
      <c r="C16954" s="4" t="str">
        <f>HYPERLINK("http://www.uniprot.org/uniprot/M5VWU6","M5VWU6")</f>
        <v>M5VWU6</v>
      </c>
      <c r="D16954" s="2" t="s">
        <v>13354</v>
      </c>
      <c r="E16954" s="3">
        <v>2.38E-54</v>
      </c>
      <c r="F16954" s="2">
        <v>490</v>
      </c>
      <c r="G16954" s="2">
        <v>98</v>
      </c>
      <c r="H16954" s="2">
        <v>116</v>
      </c>
      <c r="I16954" s="2">
        <v>355</v>
      </c>
      <c r="J16954" s="2">
        <v>702</v>
      </c>
      <c r="K16954" s="2">
        <v>240</v>
      </c>
      <c r="L16954" s="2">
        <v>355</v>
      </c>
    </row>
    <row r="16955" spans="1:12" x14ac:dyDescent="0.25">
      <c r="A16955" s="4" t="str">
        <f>HYPERLINK("http://www.rosaceae.org/Prunus/Prunus_persica/p.persica_gdr_reftransV1_0043033","p.persica_gdr_reftransV1_0043033")</f>
        <v>p.persica_gdr_reftransV1_0043033</v>
      </c>
      <c r="B16955" s="2">
        <v>371</v>
      </c>
      <c r="C16955" s="4" t="str">
        <f>HYPERLINK("http://www.uniprot.org/uniprot/L8IHL0","L8IHL0")</f>
        <v>L8IHL0</v>
      </c>
      <c r="D16955" s="2" t="s">
        <v>13355</v>
      </c>
      <c r="E16955" s="3">
        <v>8.9899999999999991E-75</v>
      </c>
      <c r="F16955" s="2">
        <v>587</v>
      </c>
      <c r="G16955" s="2">
        <v>100</v>
      </c>
      <c r="H16955" s="2">
        <v>116</v>
      </c>
      <c r="I16955" s="2">
        <v>22</v>
      </c>
      <c r="J16955" s="2">
        <v>369</v>
      </c>
      <c r="K16955" s="2">
        <v>39</v>
      </c>
      <c r="L16955" s="2">
        <v>154</v>
      </c>
    </row>
    <row r="16956" spans="1:12" x14ac:dyDescent="0.25">
      <c r="A16956" s="4" t="str">
        <f>HYPERLINK("http://www.rosaceae.org/Prunus/Prunus_persica/p.persica_gdr_reftransV1_0043383","p.persica_gdr_reftransV1_0043383")</f>
        <v>p.persica_gdr_reftransV1_0043383</v>
      </c>
      <c r="B16956" s="2">
        <v>2341</v>
      </c>
      <c r="C16956" s="4" t="str">
        <f>HYPERLINK("http://www.uniprot.org/uniprot/M5WE67","M5WE67")</f>
        <v>M5WE67</v>
      </c>
      <c r="D16956" s="2" t="s">
        <v>9566</v>
      </c>
      <c r="E16956" s="3">
        <v>0</v>
      </c>
      <c r="F16956" s="2">
        <v>2808</v>
      </c>
      <c r="G16956" s="2">
        <v>100</v>
      </c>
      <c r="H16956" s="2">
        <v>531</v>
      </c>
      <c r="I16956" s="2">
        <v>144</v>
      </c>
      <c r="J16956" s="2">
        <v>1736</v>
      </c>
      <c r="K16956" s="2">
        <v>1</v>
      </c>
      <c r="L16956" s="2">
        <v>531</v>
      </c>
    </row>
    <row r="16957" spans="1:12" x14ac:dyDescent="0.25">
      <c r="A16957" s="4" t="str">
        <f>HYPERLINK("http://www.rosaceae.org/Prunus/Prunus_persica/p.persica_gdr_reftransV1_0043733","p.persica_gdr_reftransV1_0043733")</f>
        <v>p.persica_gdr_reftransV1_0043733</v>
      </c>
      <c r="B16957" s="2">
        <v>835</v>
      </c>
      <c r="C16957" s="4" t="str">
        <f>HYPERLINK("http://www.uniprot.org/uniprot/M5WQG3","M5WQG3")</f>
        <v>M5WQG3</v>
      </c>
      <c r="D16957" s="2" t="s">
        <v>1600</v>
      </c>
      <c r="E16957" s="3">
        <v>3.1999999999999998E-103</v>
      </c>
      <c r="F16957" s="2">
        <v>795</v>
      </c>
      <c r="G16957" s="2">
        <v>100</v>
      </c>
      <c r="H16957" s="2">
        <v>184</v>
      </c>
      <c r="I16957" s="2">
        <v>284</v>
      </c>
      <c r="J16957" s="2">
        <v>835</v>
      </c>
      <c r="K16957" s="2">
        <v>5</v>
      </c>
      <c r="L16957" s="2">
        <v>188</v>
      </c>
    </row>
    <row r="16958" spans="1:12" x14ac:dyDescent="0.25">
      <c r="A16958" s="4" t="str">
        <f>HYPERLINK("http://www.rosaceae.org/Prunus/Prunus_persica/p.persica_gdr_reftransV1_0044083","p.persica_gdr_reftransV1_0044083")</f>
        <v>p.persica_gdr_reftransV1_0044083</v>
      </c>
      <c r="B16958" s="2">
        <v>748</v>
      </c>
      <c r="C16958" s="4" t="str">
        <f>HYPERLINK("http://www.uniprot.org/uniprot/M5VHB2","M5VHB2")</f>
        <v>M5VHB2</v>
      </c>
      <c r="D16958" s="2" t="s">
        <v>5692</v>
      </c>
      <c r="E16958" s="3">
        <v>1.16E-118</v>
      </c>
      <c r="F16958" s="2">
        <v>923</v>
      </c>
      <c r="G16958" s="2">
        <v>97</v>
      </c>
      <c r="H16958" s="2">
        <v>175</v>
      </c>
      <c r="I16958" s="2">
        <v>60</v>
      </c>
      <c r="J16958" s="2">
        <v>584</v>
      </c>
      <c r="K16958" s="2">
        <v>1</v>
      </c>
      <c r="L16958" s="2">
        <v>175</v>
      </c>
    </row>
    <row r="16959" spans="1:12" x14ac:dyDescent="0.25">
      <c r="A16959" s="4" t="str">
        <f>HYPERLINK("http://www.rosaceae.org/Prunus/Prunus_persica/p.persica_gdr_reftransV1_0044433","p.persica_gdr_reftransV1_0044433")</f>
        <v>p.persica_gdr_reftransV1_0044433</v>
      </c>
      <c r="B16959" s="2">
        <v>524</v>
      </c>
      <c r="C16959" s="4" t="str">
        <f>HYPERLINK("http://www.uniprot.org/uniprot/M5XCL1","M5XCL1")</f>
        <v>M5XCL1</v>
      </c>
      <c r="D16959" s="2" t="s">
        <v>13356</v>
      </c>
      <c r="E16959" s="3">
        <v>1.7200000000000001E-85</v>
      </c>
      <c r="F16959" s="2">
        <v>681</v>
      </c>
      <c r="G16959" s="2">
        <v>96</v>
      </c>
      <c r="H16959" s="2">
        <v>136</v>
      </c>
      <c r="I16959" s="2">
        <v>3</v>
      </c>
      <c r="J16959" s="2">
        <v>410</v>
      </c>
      <c r="K16959" s="2">
        <v>18</v>
      </c>
      <c r="L16959" s="2">
        <v>152</v>
      </c>
    </row>
    <row r="16960" spans="1:12" x14ac:dyDescent="0.25">
      <c r="A16960" s="4" t="str">
        <f>HYPERLINK("http://www.rosaceae.org/Prunus/Prunus_persica/p.persica_gdr_reftransV1_0044783","p.persica_gdr_reftransV1_0044783")</f>
        <v>p.persica_gdr_reftransV1_0044783</v>
      </c>
      <c r="B16960" s="2">
        <v>1093</v>
      </c>
      <c r="C16960" s="4" t="str">
        <f>HYPERLINK("http://www.uniprot.org/uniprot/M5X278","M5X278")</f>
        <v>M5X278</v>
      </c>
      <c r="D16960" s="2" t="s">
        <v>13357</v>
      </c>
      <c r="E16960" s="3">
        <v>2.2699999999999999E-155</v>
      </c>
      <c r="F16960" s="2">
        <v>1153</v>
      </c>
      <c r="G16960" s="2">
        <v>100</v>
      </c>
      <c r="H16960" s="2">
        <v>233</v>
      </c>
      <c r="I16960" s="2">
        <v>124</v>
      </c>
      <c r="J16960" s="2">
        <v>822</v>
      </c>
      <c r="K16960" s="2">
        <v>1</v>
      </c>
      <c r="L16960" s="2">
        <v>233</v>
      </c>
    </row>
    <row r="16961" spans="1:12" x14ac:dyDescent="0.25">
      <c r="A16961" s="4" t="str">
        <f>HYPERLINK("http://www.rosaceae.org/Prunus/Prunus_persica/p.persica_gdr_reftransV1_0045483","p.persica_gdr_reftransV1_0045483")</f>
        <v>p.persica_gdr_reftransV1_0045483</v>
      </c>
      <c r="B16961" s="2">
        <v>1834</v>
      </c>
      <c r="C16961" s="4" t="str">
        <f>HYPERLINK("http://www.uniprot.org/uniprot/M5VM18","M5VM18")</f>
        <v>M5VM18</v>
      </c>
      <c r="D16961" s="2" t="s">
        <v>8102</v>
      </c>
      <c r="E16961" s="3">
        <v>0</v>
      </c>
      <c r="F16961" s="2">
        <v>2147</v>
      </c>
      <c r="G16961" s="2">
        <v>100</v>
      </c>
      <c r="H16961" s="2">
        <v>464</v>
      </c>
      <c r="I16961" s="2">
        <v>373</v>
      </c>
      <c r="J16961" s="2">
        <v>1764</v>
      </c>
      <c r="K16961" s="2">
        <v>1</v>
      </c>
      <c r="L16961" s="2">
        <v>464</v>
      </c>
    </row>
    <row r="16962" spans="1:12" x14ac:dyDescent="0.25">
      <c r="A16962" s="4" t="str">
        <f>HYPERLINK("http://www.rosaceae.org/Prunus/Prunus_persica/p.persica_gdr_reftransV1_0045833","p.persica_gdr_reftransV1_0045833")</f>
        <v>p.persica_gdr_reftransV1_0045833</v>
      </c>
      <c r="B16962" s="2">
        <v>2145</v>
      </c>
      <c r="C16962" s="4" t="str">
        <f>HYPERLINK("http://www.uniprot.org/uniprot/M5XFQ0","M5XFQ0")</f>
        <v>M5XFQ0</v>
      </c>
      <c r="D16962" s="2" t="s">
        <v>13358</v>
      </c>
      <c r="E16962" s="3">
        <v>0</v>
      </c>
      <c r="F16962" s="2">
        <v>2064</v>
      </c>
      <c r="G16962" s="2">
        <v>100</v>
      </c>
      <c r="H16962" s="2">
        <v>385</v>
      </c>
      <c r="I16962" s="2">
        <v>303</v>
      </c>
      <c r="J16962" s="2">
        <v>1457</v>
      </c>
      <c r="K16962" s="2">
        <v>1</v>
      </c>
      <c r="L16962" s="2">
        <v>385</v>
      </c>
    </row>
    <row r="16963" spans="1:12" x14ac:dyDescent="0.25">
      <c r="A16963" s="4" t="str">
        <f>HYPERLINK("http://www.rosaceae.org/Prunus/Prunus_persica/p.persica_gdr_reftransV1_0046533","p.persica_gdr_reftransV1_0046533")</f>
        <v>p.persica_gdr_reftransV1_0046533</v>
      </c>
      <c r="B16963" s="2">
        <v>690</v>
      </c>
      <c r="C16963" s="4" t="str">
        <f>HYPERLINK("http://www.uniprot.org/uniprot/M5XBX3","M5XBX3")</f>
        <v>M5XBX3</v>
      </c>
      <c r="D16963" s="2" t="s">
        <v>13359</v>
      </c>
      <c r="E16963" s="3">
        <v>2.5900000000000001E-59</v>
      </c>
      <c r="F16963" s="2">
        <v>493</v>
      </c>
      <c r="G16963" s="2">
        <v>100</v>
      </c>
      <c r="H16963" s="2">
        <v>120</v>
      </c>
      <c r="I16963" s="2">
        <v>73</v>
      </c>
      <c r="J16963" s="2">
        <v>432</v>
      </c>
      <c r="K16963" s="2">
        <v>1</v>
      </c>
      <c r="L16963" s="2">
        <v>120</v>
      </c>
    </row>
    <row r="16964" spans="1:12" x14ac:dyDescent="0.25">
      <c r="A16964" s="4" t="str">
        <f>HYPERLINK("http://www.rosaceae.org/Prunus/Prunus_persica/p.persica_gdr_reftransV1_0046883","p.persica_gdr_reftransV1_0046883")</f>
        <v>p.persica_gdr_reftransV1_0046883</v>
      </c>
      <c r="B16964" s="2">
        <v>348</v>
      </c>
      <c r="C16964" s="4" t="str">
        <f>HYPERLINK("http://www.uniprot.org/uniprot/F6I788","F6I788")</f>
        <v>F6I788</v>
      </c>
      <c r="D16964" s="2" t="s">
        <v>13360</v>
      </c>
      <c r="E16964" s="3">
        <v>5.21E-30</v>
      </c>
      <c r="F16964" s="2">
        <v>303</v>
      </c>
      <c r="G16964" s="2">
        <v>57</v>
      </c>
      <c r="H16964" s="2">
        <v>116</v>
      </c>
      <c r="I16964" s="2">
        <v>1</v>
      </c>
      <c r="J16964" s="2">
        <v>348</v>
      </c>
      <c r="K16964" s="2">
        <v>16</v>
      </c>
      <c r="L16964" s="2">
        <v>131</v>
      </c>
    </row>
    <row r="16965" spans="1:12" x14ac:dyDescent="0.25">
      <c r="A16965" s="4" t="str">
        <f>HYPERLINK("http://www.rosaceae.org/Prunus/Prunus_persica/p.persica_gdr_reftransV1_0047933","p.persica_gdr_reftransV1_0047933")</f>
        <v>p.persica_gdr_reftransV1_0047933</v>
      </c>
      <c r="B16965" s="2">
        <v>765</v>
      </c>
      <c r="C16965" s="4" t="str">
        <f>HYPERLINK("http://www.uniprot.org/uniprot/M5W2N3","M5W2N3")</f>
        <v>M5W2N3</v>
      </c>
      <c r="D16965" s="2" t="s">
        <v>13361</v>
      </c>
      <c r="E16965" s="3">
        <v>3.0400000000000002E-146</v>
      </c>
      <c r="F16965" s="2">
        <v>1092</v>
      </c>
      <c r="G16965" s="2">
        <v>84</v>
      </c>
      <c r="H16965" s="2">
        <v>254</v>
      </c>
      <c r="I16965" s="2">
        <v>3</v>
      </c>
      <c r="J16965" s="2">
        <v>764</v>
      </c>
      <c r="K16965" s="2">
        <v>73</v>
      </c>
      <c r="L16965" s="2">
        <v>286</v>
      </c>
    </row>
    <row r="16966" spans="1:12" x14ac:dyDescent="0.25">
      <c r="A16966" s="4" t="str">
        <f>HYPERLINK("http://www.rosaceae.org/Prunus/Prunus_persica/p.persica_gdr_reftransV1_0048633","p.persica_gdr_reftransV1_0048633")</f>
        <v>p.persica_gdr_reftransV1_0048633</v>
      </c>
      <c r="B16966" s="2">
        <v>385</v>
      </c>
      <c r="C16966" s="4" t="str">
        <f>HYPERLINK("http://www.uniprot.org/uniprot/M5WYM3","M5WYM3")</f>
        <v>M5WYM3</v>
      </c>
      <c r="D16966" s="2" t="s">
        <v>13362</v>
      </c>
      <c r="E16966" s="3">
        <v>1.86E-79</v>
      </c>
      <c r="F16966" s="2">
        <v>656</v>
      </c>
      <c r="G16966" s="2">
        <v>100</v>
      </c>
      <c r="H16966" s="2">
        <v>127</v>
      </c>
      <c r="I16966" s="2">
        <v>3</v>
      </c>
      <c r="J16966" s="2">
        <v>383</v>
      </c>
      <c r="K16966" s="2">
        <v>124</v>
      </c>
      <c r="L16966" s="2">
        <v>250</v>
      </c>
    </row>
    <row r="16967" spans="1:12" x14ac:dyDescent="0.25">
      <c r="A16967" s="4" t="str">
        <f>HYPERLINK("http://www.rosaceae.org/Prunus/Prunus_persica/p.persica_gdr_reftransV1_0048983","p.persica_gdr_reftransV1_0048983")</f>
        <v>p.persica_gdr_reftransV1_0048983</v>
      </c>
      <c r="B16967" s="2">
        <v>342</v>
      </c>
      <c r="C16967" s="4" t="str">
        <f>HYPERLINK("http://www.uniprot.org/uniprot/M5XY16","M5XY16")</f>
        <v>M5XY16</v>
      </c>
      <c r="D16967" s="2" t="s">
        <v>2076</v>
      </c>
      <c r="E16967" s="3">
        <v>3.2499999999999999E-68</v>
      </c>
      <c r="F16967" s="2">
        <v>594</v>
      </c>
      <c r="G16967" s="2">
        <v>100</v>
      </c>
      <c r="H16967" s="2">
        <v>114</v>
      </c>
      <c r="I16967" s="2">
        <v>1</v>
      </c>
      <c r="J16967" s="2">
        <v>342</v>
      </c>
      <c r="K16967" s="2">
        <v>300</v>
      </c>
      <c r="L16967" s="2">
        <v>413</v>
      </c>
    </row>
    <row r="16968" spans="1:12" x14ac:dyDescent="0.25">
      <c r="A16968" s="4" t="str">
        <f>HYPERLINK("http://www.rosaceae.org/Prunus/Prunus_persica/p.persica_gdr_reftransV1_0000684","p.persica_gdr_reftransV1_0000684")</f>
        <v>p.persica_gdr_reftransV1_0000684</v>
      </c>
      <c r="B16968" s="2">
        <v>1018</v>
      </c>
      <c r="C16968" s="4" t="str">
        <f>HYPERLINK("http://www.uniprot.org/uniprot/W9R6T0","W9R6T0")</f>
        <v>W9R6T0</v>
      </c>
      <c r="D16968" s="2" t="s">
        <v>3400</v>
      </c>
      <c r="E16968" s="3">
        <v>2.5799999999999999E-156</v>
      </c>
      <c r="F16968" s="2">
        <v>1269</v>
      </c>
      <c r="G16968" s="2">
        <v>76</v>
      </c>
      <c r="H16968" s="2">
        <v>338</v>
      </c>
      <c r="I16968" s="2">
        <v>3</v>
      </c>
      <c r="J16968" s="2">
        <v>1016</v>
      </c>
      <c r="K16968" s="2">
        <v>17</v>
      </c>
      <c r="L16968" s="2">
        <v>354</v>
      </c>
    </row>
    <row r="16969" spans="1:12" x14ac:dyDescent="0.25">
      <c r="A16969" s="4" t="str">
        <f>HYPERLINK("http://www.rosaceae.org/Prunus/Prunus_persica/p.persica_gdr_reftransV1_0001034","p.persica_gdr_reftransV1_0001034")</f>
        <v>p.persica_gdr_reftransV1_0001034</v>
      </c>
      <c r="B16969" s="2">
        <v>591</v>
      </c>
      <c r="C16969" s="4" t="str">
        <f>HYPERLINK("http://www.uniprot.org/uniprot/M5X3C0","M5X3C0")</f>
        <v>M5X3C0</v>
      </c>
      <c r="D16969" s="2" t="s">
        <v>13363</v>
      </c>
      <c r="E16969" s="3">
        <v>3.5499999999999998E-54</v>
      </c>
      <c r="F16969" s="2">
        <v>465</v>
      </c>
      <c r="G16969" s="2">
        <v>87</v>
      </c>
      <c r="H16969" s="2">
        <v>137</v>
      </c>
      <c r="I16969" s="2">
        <v>1</v>
      </c>
      <c r="J16969" s="2">
        <v>411</v>
      </c>
      <c r="K16969" s="2">
        <v>1</v>
      </c>
      <c r="L16969" s="2">
        <v>126</v>
      </c>
    </row>
    <row r="16970" spans="1:12" x14ac:dyDescent="0.25">
      <c r="A16970" s="4" t="str">
        <f>HYPERLINK("http://www.rosaceae.org/Prunus/Prunus_persica/p.persica_gdr_reftransV1_0001384","p.persica_gdr_reftransV1_0001384")</f>
        <v>p.persica_gdr_reftransV1_0001384</v>
      </c>
      <c r="B16970" s="2">
        <v>2875</v>
      </c>
      <c r="C16970" s="4" t="str">
        <f>HYPERLINK("http://www.uniprot.org/uniprot/M5Y3Q6","M5Y3Q6")</f>
        <v>M5Y3Q6</v>
      </c>
      <c r="D16970" s="2" t="s">
        <v>13364</v>
      </c>
      <c r="E16970" s="3">
        <v>0</v>
      </c>
      <c r="F16970" s="2">
        <v>3353</v>
      </c>
      <c r="G16970" s="2">
        <v>94</v>
      </c>
      <c r="H16970" s="2">
        <v>769</v>
      </c>
      <c r="I16970" s="2">
        <v>269</v>
      </c>
      <c r="J16970" s="2">
        <v>2575</v>
      </c>
      <c r="K16970" s="2">
        <v>1</v>
      </c>
      <c r="L16970" s="2">
        <v>732</v>
      </c>
    </row>
    <row r="16971" spans="1:12" x14ac:dyDescent="0.25">
      <c r="A16971" s="4" t="str">
        <f>HYPERLINK("http://www.rosaceae.org/Prunus/Prunus_persica/p.persica_gdr_reftransV1_0001734","p.persica_gdr_reftransV1_0001734")</f>
        <v>p.persica_gdr_reftransV1_0001734</v>
      </c>
      <c r="B16971" s="2">
        <v>2110</v>
      </c>
      <c r="C16971" s="4" t="str">
        <f>HYPERLINK("http://www.uniprot.org/uniprot/M5XC16","M5XC16")</f>
        <v>M5XC16</v>
      </c>
      <c r="D16971" s="2" t="s">
        <v>10468</v>
      </c>
      <c r="E16971" s="3">
        <v>1.29E-177</v>
      </c>
      <c r="F16971" s="2">
        <v>1353</v>
      </c>
      <c r="G16971" s="2">
        <v>100</v>
      </c>
      <c r="H16971" s="2">
        <v>284</v>
      </c>
      <c r="I16971" s="2">
        <v>810</v>
      </c>
      <c r="J16971" s="2">
        <v>1661</v>
      </c>
      <c r="K16971" s="2">
        <v>140</v>
      </c>
      <c r="L16971" s="2">
        <v>423</v>
      </c>
    </row>
    <row r="16972" spans="1:12" x14ac:dyDescent="0.25">
      <c r="A16972" s="4" t="str">
        <f>HYPERLINK("http://www.rosaceae.org/Prunus/Prunus_persica/p.persica_gdr_reftransV1_0002084","p.persica_gdr_reftransV1_0002084")</f>
        <v>p.persica_gdr_reftransV1_0002084</v>
      </c>
      <c r="B16972" s="2">
        <v>5549</v>
      </c>
      <c r="C16972" s="4" t="str">
        <f>HYPERLINK("http://www.uniprot.org/uniprot/M5W8C0","M5W8C0")</f>
        <v>M5W8C0</v>
      </c>
      <c r="D16972" s="2" t="s">
        <v>10410</v>
      </c>
      <c r="E16972" s="3">
        <v>0</v>
      </c>
      <c r="F16972" s="2">
        <v>8173</v>
      </c>
      <c r="G16972" s="2">
        <v>98</v>
      </c>
      <c r="H16972" s="2">
        <v>1629</v>
      </c>
      <c r="I16972" s="2">
        <v>297</v>
      </c>
      <c r="J16972" s="2">
        <v>5183</v>
      </c>
      <c r="K16972" s="2">
        <v>1</v>
      </c>
      <c r="L16972" s="2">
        <v>1597</v>
      </c>
    </row>
    <row r="16973" spans="1:12" x14ac:dyDescent="0.25">
      <c r="A16973" s="4" t="str">
        <f>HYPERLINK("http://www.rosaceae.org/Prunus/Prunus_persica/p.persica_gdr_reftransV1_0002434","p.persica_gdr_reftransV1_0002434")</f>
        <v>p.persica_gdr_reftransV1_0002434</v>
      </c>
      <c r="B16973" s="2">
        <v>1099</v>
      </c>
      <c r="C16973" s="4" t="str">
        <f>HYPERLINK("http://www.uniprot.org/uniprot/M5X1L4","M5X1L4")</f>
        <v>M5X1L4</v>
      </c>
      <c r="D16973" s="2" t="s">
        <v>13365</v>
      </c>
      <c r="E16973" s="3">
        <v>0</v>
      </c>
      <c r="F16973" s="2">
        <v>1591</v>
      </c>
      <c r="G16973" s="2">
        <v>100</v>
      </c>
      <c r="H16973" s="2">
        <v>292</v>
      </c>
      <c r="I16973" s="2">
        <v>150</v>
      </c>
      <c r="J16973" s="2">
        <v>1025</v>
      </c>
      <c r="K16973" s="2">
        <v>1</v>
      </c>
      <c r="L16973" s="2">
        <v>292</v>
      </c>
    </row>
    <row r="16974" spans="1:12" x14ac:dyDescent="0.25">
      <c r="A16974" s="4" t="str">
        <f>HYPERLINK("http://www.rosaceae.org/Prunus/Prunus_persica/p.persica_gdr_reftransV1_0002784","p.persica_gdr_reftransV1_0002784")</f>
        <v>p.persica_gdr_reftransV1_0002784</v>
      </c>
      <c r="B16974" s="2">
        <v>878</v>
      </c>
      <c r="C16974" s="4" t="str">
        <f>HYPERLINK("http://www.uniprot.org/uniprot/M5X717","M5X717")</f>
        <v>M5X717</v>
      </c>
      <c r="D16974" s="2" t="s">
        <v>11586</v>
      </c>
      <c r="E16974" s="3">
        <v>1.7699999999999999E-170</v>
      </c>
      <c r="F16974" s="2">
        <v>1273</v>
      </c>
      <c r="G16974" s="2">
        <v>100</v>
      </c>
      <c r="H16974" s="2">
        <v>263</v>
      </c>
      <c r="I16974" s="2">
        <v>3</v>
      </c>
      <c r="J16974" s="2">
        <v>791</v>
      </c>
      <c r="K16974" s="2">
        <v>255</v>
      </c>
      <c r="L16974" s="2">
        <v>517</v>
      </c>
    </row>
    <row r="16975" spans="1:12" x14ac:dyDescent="0.25">
      <c r="A16975" s="4" t="str">
        <f>HYPERLINK("http://www.rosaceae.org/Prunus/Prunus_persica/p.persica_gdr_reftransV1_0003134","p.persica_gdr_reftransV1_0003134")</f>
        <v>p.persica_gdr_reftransV1_0003134</v>
      </c>
      <c r="B16975" s="2">
        <v>1277</v>
      </c>
      <c r="C16975" s="4" t="str">
        <f>HYPERLINK("http://www.uniprot.org/uniprot/M5WDC5","M5WDC5")</f>
        <v>M5WDC5</v>
      </c>
      <c r="D16975" s="2" t="s">
        <v>13366</v>
      </c>
      <c r="E16975" s="3">
        <v>2.5500000000000001E-110</v>
      </c>
      <c r="F16975" s="2">
        <v>858</v>
      </c>
      <c r="G16975" s="2">
        <v>100</v>
      </c>
      <c r="H16975" s="2">
        <v>164</v>
      </c>
      <c r="I16975" s="2">
        <v>248</v>
      </c>
      <c r="J16975" s="2">
        <v>739</v>
      </c>
      <c r="K16975" s="2">
        <v>43</v>
      </c>
      <c r="L16975" s="2">
        <v>206</v>
      </c>
    </row>
    <row r="16976" spans="1:12" x14ac:dyDescent="0.25">
      <c r="A16976" s="4" t="str">
        <f>HYPERLINK("http://www.rosaceae.org/Prunus/Prunus_persica/p.persica_gdr_reftransV1_0003484","p.persica_gdr_reftransV1_0003484")</f>
        <v>p.persica_gdr_reftransV1_0003484</v>
      </c>
      <c r="B16976" s="2">
        <v>1264</v>
      </c>
      <c r="C16976" s="4" t="str">
        <f>HYPERLINK("http://www.uniprot.org/uniprot/M5WXC5","M5WXC5")</f>
        <v>M5WXC5</v>
      </c>
      <c r="D16976" s="2" t="s">
        <v>461</v>
      </c>
      <c r="E16976" s="3">
        <v>0</v>
      </c>
      <c r="F16976" s="2">
        <v>1417</v>
      </c>
      <c r="G16976" s="2">
        <v>94</v>
      </c>
      <c r="H16976" s="2">
        <v>337</v>
      </c>
      <c r="I16976" s="2">
        <v>261</v>
      </c>
      <c r="J16976" s="2">
        <v>1259</v>
      </c>
      <c r="K16976" s="2">
        <v>6</v>
      </c>
      <c r="L16976" s="2">
        <v>342</v>
      </c>
    </row>
    <row r="16977" spans="1:12" x14ac:dyDescent="0.25">
      <c r="A16977" s="4" t="str">
        <f>HYPERLINK("http://www.rosaceae.org/Prunus/Prunus_persica/p.persica_gdr_reftransV1_0004184","p.persica_gdr_reftransV1_0004184")</f>
        <v>p.persica_gdr_reftransV1_0004184</v>
      </c>
      <c r="B16977" s="2">
        <v>1084</v>
      </c>
      <c r="C16977" s="4" t="str">
        <f>HYPERLINK("http://www.uniprot.org/uniprot/M5W6R3","M5W6R3")</f>
        <v>M5W6R3</v>
      </c>
      <c r="D16977" s="2" t="s">
        <v>13367</v>
      </c>
      <c r="E16977" s="3">
        <v>0</v>
      </c>
      <c r="F16977" s="2">
        <v>1649</v>
      </c>
      <c r="G16977" s="2">
        <v>99</v>
      </c>
      <c r="H16977" s="2">
        <v>307</v>
      </c>
      <c r="I16977" s="2">
        <v>162</v>
      </c>
      <c r="J16977" s="2">
        <v>1082</v>
      </c>
      <c r="K16977" s="2">
        <v>20</v>
      </c>
      <c r="L16977" s="2">
        <v>326</v>
      </c>
    </row>
    <row r="16978" spans="1:12" x14ac:dyDescent="0.25">
      <c r="A16978" s="4" t="str">
        <f>HYPERLINK("http://www.rosaceae.org/Prunus/Prunus_persica/p.persica_gdr_reftransV1_0004534","p.persica_gdr_reftransV1_0004534")</f>
        <v>p.persica_gdr_reftransV1_0004534</v>
      </c>
      <c r="B16978" s="2">
        <v>3649</v>
      </c>
      <c r="C16978" s="4" t="str">
        <f>HYPERLINK("http://www.uniprot.org/uniprot/M5XS00","M5XS00")</f>
        <v>M5XS00</v>
      </c>
      <c r="D16978" s="2" t="s">
        <v>13368</v>
      </c>
      <c r="E16978" s="3">
        <v>0</v>
      </c>
      <c r="F16978" s="2">
        <v>4549</v>
      </c>
      <c r="G16978" s="2">
        <v>100</v>
      </c>
      <c r="H16978" s="2">
        <v>848</v>
      </c>
      <c r="I16978" s="2">
        <v>254</v>
      </c>
      <c r="J16978" s="2">
        <v>2797</v>
      </c>
      <c r="K16978" s="2">
        <v>1</v>
      </c>
      <c r="L16978" s="2">
        <v>848</v>
      </c>
    </row>
    <row r="16979" spans="1:12" x14ac:dyDescent="0.25">
      <c r="A16979" s="4" t="str">
        <f>HYPERLINK("http://www.rosaceae.org/Prunus/Prunus_persica/p.persica_gdr_reftransV1_0004884","p.persica_gdr_reftransV1_0004884")</f>
        <v>p.persica_gdr_reftransV1_0004884</v>
      </c>
      <c r="B16979" s="2">
        <v>404</v>
      </c>
      <c r="C16979" s="4" t="str">
        <f>HYPERLINK("http://www.uniprot.org/uniprot/Q6YNS1","Q6YNS1")</f>
        <v>Q6YNS1</v>
      </c>
      <c r="D16979" s="2" t="s">
        <v>6530</v>
      </c>
      <c r="E16979" s="3">
        <v>1.51E-56</v>
      </c>
      <c r="F16979" s="2">
        <v>470</v>
      </c>
      <c r="G16979" s="2">
        <v>100</v>
      </c>
      <c r="H16979" s="2">
        <v>87</v>
      </c>
      <c r="I16979" s="2">
        <v>60</v>
      </c>
      <c r="J16979" s="2">
        <v>320</v>
      </c>
      <c r="K16979" s="2">
        <v>1</v>
      </c>
      <c r="L16979" s="2">
        <v>87</v>
      </c>
    </row>
    <row r="16980" spans="1:12" x14ac:dyDescent="0.25">
      <c r="A16980" s="4" t="str">
        <f>HYPERLINK("http://www.rosaceae.org/Prunus/Prunus_persica/p.persica_gdr_reftransV1_0005234","p.persica_gdr_reftransV1_0005234")</f>
        <v>p.persica_gdr_reftransV1_0005234</v>
      </c>
      <c r="B16980" s="2">
        <v>782</v>
      </c>
      <c r="C16980" s="4" t="str">
        <f>HYPERLINK("http://www.uniprot.org/uniprot/M5VGM4","M5VGM4")</f>
        <v>M5VGM4</v>
      </c>
      <c r="D16980" s="2" t="s">
        <v>13369</v>
      </c>
      <c r="E16980" s="3">
        <v>1.15E-114</v>
      </c>
      <c r="F16980" s="2">
        <v>866</v>
      </c>
      <c r="G16980" s="2">
        <v>100</v>
      </c>
      <c r="H16980" s="2">
        <v>161</v>
      </c>
      <c r="I16980" s="2">
        <v>76</v>
      </c>
      <c r="J16980" s="2">
        <v>558</v>
      </c>
      <c r="K16980" s="2">
        <v>1</v>
      </c>
      <c r="L16980" s="2">
        <v>161</v>
      </c>
    </row>
    <row r="16981" spans="1:12" x14ac:dyDescent="0.25">
      <c r="A16981" s="4" t="str">
        <f>HYPERLINK("http://www.rosaceae.org/Prunus/Prunus_persica/p.persica_gdr_reftransV1_0005584","p.persica_gdr_reftransV1_0005584")</f>
        <v>p.persica_gdr_reftransV1_0005584</v>
      </c>
      <c r="B16981" s="2">
        <v>448</v>
      </c>
      <c r="C16981" s="4" t="str">
        <f>HYPERLINK("http://www.uniprot.org/uniprot/M5WL36","M5WL36")</f>
        <v>M5WL36</v>
      </c>
      <c r="D16981" s="2" t="s">
        <v>13370</v>
      </c>
      <c r="E16981" s="3">
        <v>1.3399999999999999E-48</v>
      </c>
      <c r="F16981" s="2">
        <v>446</v>
      </c>
      <c r="G16981" s="2">
        <v>70</v>
      </c>
      <c r="H16981" s="2">
        <v>149</v>
      </c>
      <c r="I16981" s="2">
        <v>1</v>
      </c>
      <c r="J16981" s="2">
        <v>444</v>
      </c>
      <c r="K16981" s="2">
        <v>574</v>
      </c>
      <c r="L16981" s="2">
        <v>722</v>
      </c>
    </row>
    <row r="16982" spans="1:12" x14ac:dyDescent="0.25">
      <c r="A16982" s="4" t="str">
        <f>HYPERLINK("http://www.rosaceae.org/Prunus/Prunus_persica/p.persica_gdr_reftransV1_0005934","p.persica_gdr_reftransV1_0005934")</f>
        <v>p.persica_gdr_reftransV1_0005934</v>
      </c>
      <c r="B16982" s="2">
        <v>760</v>
      </c>
      <c r="C16982" s="4" t="str">
        <f>HYPERLINK("http://www.uniprot.org/uniprot/M5XEP9","M5XEP9")</f>
        <v>M5XEP9</v>
      </c>
      <c r="D16982" s="2" t="s">
        <v>5071</v>
      </c>
      <c r="E16982" s="3">
        <v>1.0699999999999999E-64</v>
      </c>
      <c r="F16982" s="2">
        <v>578</v>
      </c>
      <c r="G16982" s="2">
        <v>64</v>
      </c>
      <c r="H16982" s="2">
        <v>245</v>
      </c>
      <c r="I16982" s="2">
        <v>2</v>
      </c>
      <c r="J16982" s="2">
        <v>721</v>
      </c>
      <c r="K16982" s="2">
        <v>2</v>
      </c>
      <c r="L16982" s="2">
        <v>226</v>
      </c>
    </row>
    <row r="16983" spans="1:12" x14ac:dyDescent="0.25">
      <c r="A16983" s="4" t="str">
        <f>HYPERLINK("http://www.rosaceae.org/Prunus/Prunus_persica/p.persica_gdr_reftransV1_0006634","p.persica_gdr_reftransV1_0006634")</f>
        <v>p.persica_gdr_reftransV1_0006634</v>
      </c>
      <c r="B16983" s="2">
        <v>1008</v>
      </c>
      <c r="C16983" s="4" t="str">
        <f>HYPERLINK("http://www.uniprot.org/uniprot/M5W223","M5W223")</f>
        <v>M5W223</v>
      </c>
      <c r="D16983" s="2" t="s">
        <v>4187</v>
      </c>
      <c r="E16983" s="3">
        <v>1.27E-169</v>
      </c>
      <c r="F16983" s="2">
        <v>1257</v>
      </c>
      <c r="G16983" s="2">
        <v>100</v>
      </c>
      <c r="H16983" s="2">
        <v>234</v>
      </c>
      <c r="I16983" s="2">
        <v>113</v>
      </c>
      <c r="J16983" s="2">
        <v>814</v>
      </c>
      <c r="K16983" s="2">
        <v>135</v>
      </c>
      <c r="L16983" s="2">
        <v>368</v>
      </c>
    </row>
    <row r="16984" spans="1:12" x14ac:dyDescent="0.25">
      <c r="A16984" s="4" t="str">
        <f>HYPERLINK("http://www.rosaceae.org/Prunus/Prunus_persica/p.persica_gdr_reftransV1_0007334","p.persica_gdr_reftransV1_0007334")</f>
        <v>p.persica_gdr_reftransV1_0007334</v>
      </c>
      <c r="B16984" s="2">
        <v>1245</v>
      </c>
      <c r="C16984" s="4" t="str">
        <f>HYPERLINK("http://www.uniprot.org/uniprot/M5VHC7","M5VHC7")</f>
        <v>M5VHC7</v>
      </c>
      <c r="D16984" s="2" t="s">
        <v>13371</v>
      </c>
      <c r="E16984" s="3">
        <v>1.4000000000000001E-102</v>
      </c>
      <c r="F16984" s="2">
        <v>801</v>
      </c>
      <c r="G16984" s="2">
        <v>100</v>
      </c>
      <c r="H16984" s="2">
        <v>153</v>
      </c>
      <c r="I16984" s="2">
        <v>576</v>
      </c>
      <c r="J16984" s="2">
        <v>1034</v>
      </c>
      <c r="K16984" s="2">
        <v>1</v>
      </c>
      <c r="L16984" s="2">
        <v>153</v>
      </c>
    </row>
    <row r="16985" spans="1:12" x14ac:dyDescent="0.25">
      <c r="A16985" s="4" t="str">
        <f>HYPERLINK("http://www.rosaceae.org/Prunus/Prunus_persica/p.persica_gdr_reftransV1_0007684","p.persica_gdr_reftransV1_0007684")</f>
        <v>p.persica_gdr_reftransV1_0007684</v>
      </c>
      <c r="B16985" s="2">
        <v>607</v>
      </c>
      <c r="C16985" s="4" t="str">
        <f>HYPERLINK("http://www.uniprot.org/uniprot/M5W0K7","M5W0K7")</f>
        <v>M5W0K7</v>
      </c>
      <c r="D16985" s="2" t="s">
        <v>13372</v>
      </c>
      <c r="E16985" s="3">
        <v>7.4000000000000004E-66</v>
      </c>
      <c r="F16985" s="2">
        <v>537</v>
      </c>
      <c r="G16985" s="2">
        <v>100</v>
      </c>
      <c r="H16985" s="2">
        <v>122</v>
      </c>
      <c r="I16985" s="2">
        <v>122</v>
      </c>
      <c r="J16985" s="2">
        <v>487</v>
      </c>
      <c r="K16985" s="2">
        <v>32</v>
      </c>
      <c r="L16985" s="2">
        <v>153</v>
      </c>
    </row>
    <row r="16986" spans="1:12" x14ac:dyDescent="0.25">
      <c r="A16986" s="4" t="str">
        <f>HYPERLINK("http://www.rosaceae.org/Prunus/Prunus_persica/p.persica_gdr_reftransV1_0008034","p.persica_gdr_reftransV1_0008034")</f>
        <v>p.persica_gdr_reftransV1_0008034</v>
      </c>
      <c r="B16986" s="2">
        <v>493</v>
      </c>
      <c r="C16986" s="4" t="str">
        <f>HYPERLINK("http://www.uniprot.org/uniprot/M5XPV9","M5XPV9")</f>
        <v>M5XPV9</v>
      </c>
      <c r="D16986" s="2" t="s">
        <v>4655</v>
      </c>
      <c r="E16986" s="3">
        <v>9.5800000000000007E-77</v>
      </c>
      <c r="F16986" s="2">
        <v>634</v>
      </c>
      <c r="G16986" s="2">
        <v>100</v>
      </c>
      <c r="H16986" s="2">
        <v>123</v>
      </c>
      <c r="I16986" s="2">
        <v>3</v>
      </c>
      <c r="J16986" s="2">
        <v>371</v>
      </c>
      <c r="K16986" s="2">
        <v>370</v>
      </c>
      <c r="L16986" s="2">
        <v>492</v>
      </c>
    </row>
    <row r="16987" spans="1:12" x14ac:dyDescent="0.25">
      <c r="A16987" s="4" t="str">
        <f>HYPERLINK("http://www.rosaceae.org/Prunus/Prunus_persica/p.persica_gdr_reftransV1_0008384","p.persica_gdr_reftransV1_0008384")</f>
        <v>p.persica_gdr_reftransV1_0008384</v>
      </c>
      <c r="B16987" s="2">
        <v>605</v>
      </c>
      <c r="C16987" s="4" t="str">
        <f>HYPERLINK("http://www.uniprot.org/uniprot/M5XLA8","M5XLA8")</f>
        <v>M5XLA8</v>
      </c>
      <c r="D16987" s="2" t="s">
        <v>13373</v>
      </c>
      <c r="E16987" s="3">
        <v>3.49E-42</v>
      </c>
      <c r="F16987" s="2">
        <v>375</v>
      </c>
      <c r="G16987" s="2">
        <v>97</v>
      </c>
      <c r="H16987" s="2">
        <v>102</v>
      </c>
      <c r="I16987" s="2">
        <v>1</v>
      </c>
      <c r="J16987" s="2">
        <v>306</v>
      </c>
      <c r="K16987" s="2">
        <v>8</v>
      </c>
      <c r="L16987" s="2">
        <v>109</v>
      </c>
    </row>
    <row r="16988" spans="1:12" x14ac:dyDescent="0.25">
      <c r="A16988" s="4" t="str">
        <f>HYPERLINK("http://www.rosaceae.org/Prunus/Prunus_persica/p.persica_gdr_reftransV1_0009434","p.persica_gdr_reftransV1_0009434")</f>
        <v>p.persica_gdr_reftransV1_0009434</v>
      </c>
      <c r="B16988" s="2">
        <v>999</v>
      </c>
      <c r="C16988" s="4" t="str">
        <f>HYPERLINK("http://www.uniprot.org/uniprot/M5W6V0","M5W6V0")</f>
        <v>M5W6V0</v>
      </c>
      <c r="D16988" s="2" t="s">
        <v>12272</v>
      </c>
      <c r="E16988" s="3">
        <v>3.44E-90</v>
      </c>
      <c r="F16988" s="2">
        <v>730</v>
      </c>
      <c r="G16988" s="2">
        <v>62</v>
      </c>
      <c r="H16988" s="2">
        <v>218</v>
      </c>
      <c r="I16988" s="2">
        <v>236</v>
      </c>
      <c r="J16988" s="2">
        <v>889</v>
      </c>
      <c r="K16988" s="2">
        <v>19</v>
      </c>
      <c r="L16988" s="2">
        <v>235</v>
      </c>
    </row>
    <row r="16989" spans="1:12" x14ac:dyDescent="0.25">
      <c r="A16989" s="4" t="str">
        <f>HYPERLINK("http://www.rosaceae.org/Prunus/Prunus_persica/p.persica_gdr_reftransV1_0009784","p.persica_gdr_reftransV1_0009784")</f>
        <v>p.persica_gdr_reftransV1_0009784</v>
      </c>
      <c r="B16989" s="2">
        <v>1941</v>
      </c>
      <c r="C16989" s="4" t="str">
        <f>HYPERLINK("http://www.uniprot.org/uniprot/M5XSE3","M5XSE3")</f>
        <v>M5XSE3</v>
      </c>
      <c r="D16989" s="2" t="s">
        <v>4039</v>
      </c>
      <c r="E16989" s="3">
        <v>0</v>
      </c>
      <c r="F16989" s="2">
        <v>1568</v>
      </c>
      <c r="G16989" s="2">
        <v>100</v>
      </c>
      <c r="H16989" s="2">
        <v>331</v>
      </c>
      <c r="I16989" s="2">
        <v>232</v>
      </c>
      <c r="J16989" s="2">
        <v>1224</v>
      </c>
      <c r="K16989" s="2">
        <v>24</v>
      </c>
      <c r="L16989" s="2">
        <v>354</v>
      </c>
    </row>
    <row r="16990" spans="1:12" x14ac:dyDescent="0.25">
      <c r="A16990" s="4" t="str">
        <f>HYPERLINK("http://www.rosaceae.org/Prunus/Prunus_persica/p.persica_gdr_reftransV1_0010134","p.persica_gdr_reftransV1_0010134")</f>
        <v>p.persica_gdr_reftransV1_0010134</v>
      </c>
      <c r="B16990" s="2">
        <v>727</v>
      </c>
      <c r="C16990" s="4" t="str">
        <f>HYPERLINK("http://www.uniprot.org/uniprot/M5WHT6","M5WHT6")</f>
        <v>M5WHT6</v>
      </c>
      <c r="D16990" s="2" t="s">
        <v>11180</v>
      </c>
      <c r="E16990" s="3">
        <v>5.3199999999999998E-118</v>
      </c>
      <c r="F16990" s="2">
        <v>913</v>
      </c>
      <c r="G16990" s="2">
        <v>99</v>
      </c>
      <c r="H16990" s="2">
        <v>170</v>
      </c>
      <c r="I16990" s="2">
        <v>217</v>
      </c>
      <c r="J16990" s="2">
        <v>726</v>
      </c>
      <c r="K16990" s="2">
        <v>279</v>
      </c>
      <c r="L16990" s="2">
        <v>448</v>
      </c>
    </row>
    <row r="16991" spans="1:12" x14ac:dyDescent="0.25">
      <c r="A16991" s="4" t="str">
        <f>HYPERLINK("http://www.rosaceae.org/Prunus/Prunus_persica/p.persica_gdr_reftransV1_0010484","p.persica_gdr_reftransV1_0010484")</f>
        <v>p.persica_gdr_reftransV1_0010484</v>
      </c>
      <c r="B16991" s="2">
        <v>2654</v>
      </c>
      <c r="C16991" s="4" t="str">
        <f>HYPERLINK("http://www.uniprot.org/uniprot/A5AHF8","A5AHF8")</f>
        <v>A5AHF8</v>
      </c>
      <c r="D16991" s="2" t="s">
        <v>13374</v>
      </c>
      <c r="E16991" s="3">
        <v>2.5299999999999999E-54</v>
      </c>
      <c r="F16991" s="2">
        <v>418</v>
      </c>
      <c r="G16991" s="2">
        <v>43</v>
      </c>
      <c r="H16991" s="2">
        <v>196</v>
      </c>
      <c r="I16991" s="2">
        <v>1409</v>
      </c>
      <c r="J16991" s="2">
        <v>1984</v>
      </c>
      <c r="K16991" s="2">
        <v>573</v>
      </c>
      <c r="L16991" s="2">
        <v>768</v>
      </c>
    </row>
    <row r="16992" spans="1:12" x14ac:dyDescent="0.25">
      <c r="A16992" s="4" t="str">
        <f>HYPERLINK("http://www.rosaceae.org/Prunus/Prunus_persica/p.persica_gdr_reftransV1_0011534","p.persica_gdr_reftransV1_0011534")</f>
        <v>p.persica_gdr_reftransV1_0011534</v>
      </c>
      <c r="B16992" s="2">
        <v>2372</v>
      </c>
      <c r="C16992" s="4" t="str">
        <f>HYPERLINK("http://www.uniprot.org/uniprot/M5WND0","M5WND0")</f>
        <v>M5WND0</v>
      </c>
      <c r="D16992" s="2" t="s">
        <v>13375</v>
      </c>
      <c r="E16992" s="3">
        <v>1.0499999999999999E-136</v>
      </c>
      <c r="F16992" s="2">
        <v>1067</v>
      </c>
      <c r="G16992" s="2">
        <v>100</v>
      </c>
      <c r="H16992" s="2">
        <v>216</v>
      </c>
      <c r="I16992" s="2">
        <v>1697</v>
      </c>
      <c r="J16992" s="2">
        <v>2344</v>
      </c>
      <c r="K16992" s="2">
        <v>1</v>
      </c>
      <c r="L16992" s="2">
        <v>216</v>
      </c>
    </row>
    <row r="16993" spans="1:12" x14ac:dyDescent="0.25">
      <c r="A16993" s="4" t="str">
        <f>HYPERLINK("http://www.rosaceae.org/Prunus/Prunus_persica/p.persica_gdr_reftransV1_0011884","p.persica_gdr_reftransV1_0011884")</f>
        <v>p.persica_gdr_reftransV1_0011884</v>
      </c>
      <c r="B16993" s="2">
        <v>1372</v>
      </c>
      <c r="C16993" s="4" t="str">
        <f>HYPERLINK("http://www.uniprot.org/uniprot/M5X0H2","M5X0H2")</f>
        <v>M5X0H2</v>
      </c>
      <c r="D16993" s="2" t="s">
        <v>13376</v>
      </c>
      <c r="E16993" s="3">
        <v>2.0099999999999999E-140</v>
      </c>
      <c r="F16993" s="2">
        <v>1062</v>
      </c>
      <c r="G16993" s="2">
        <v>100</v>
      </c>
      <c r="H16993" s="2">
        <v>214</v>
      </c>
      <c r="I16993" s="2">
        <v>328</v>
      </c>
      <c r="J16993" s="2">
        <v>969</v>
      </c>
      <c r="K16993" s="2">
        <v>1</v>
      </c>
      <c r="L16993" s="2">
        <v>214</v>
      </c>
    </row>
    <row r="16994" spans="1:12" x14ac:dyDescent="0.25">
      <c r="A16994" s="4" t="str">
        <f>HYPERLINK("http://www.rosaceae.org/Prunus/Prunus_persica/p.persica_gdr_reftransV1_0012234","p.persica_gdr_reftransV1_0012234")</f>
        <v>p.persica_gdr_reftransV1_0012234</v>
      </c>
      <c r="B16994" s="2">
        <v>3079</v>
      </c>
      <c r="C16994" s="4" t="str">
        <f>HYPERLINK("http://www.uniprot.org/uniprot/M5WM28","M5WM28")</f>
        <v>M5WM28</v>
      </c>
      <c r="D16994" s="2" t="s">
        <v>13377</v>
      </c>
      <c r="E16994" s="3">
        <v>0</v>
      </c>
      <c r="F16994" s="2">
        <v>4343</v>
      </c>
      <c r="G16994" s="2">
        <v>100</v>
      </c>
      <c r="H16994" s="2">
        <v>817</v>
      </c>
      <c r="I16994" s="2">
        <v>436</v>
      </c>
      <c r="J16994" s="2">
        <v>2886</v>
      </c>
      <c r="K16994" s="2">
        <v>1</v>
      </c>
      <c r="L16994" s="2">
        <v>817</v>
      </c>
    </row>
    <row r="16995" spans="1:12" x14ac:dyDescent="0.25">
      <c r="A16995" s="4" t="str">
        <f>HYPERLINK("http://www.rosaceae.org/Prunus/Prunus_persica/p.persica_gdr_reftransV1_0013284","p.persica_gdr_reftransV1_0013284")</f>
        <v>p.persica_gdr_reftransV1_0013284</v>
      </c>
      <c r="B16995" s="2">
        <v>2691</v>
      </c>
      <c r="C16995" s="4" t="str">
        <f>HYPERLINK("http://www.uniprot.org/uniprot/M5W6G0","M5W6G0")</f>
        <v>M5W6G0</v>
      </c>
      <c r="D16995" s="2" t="s">
        <v>13378</v>
      </c>
      <c r="E16995" s="3">
        <v>0</v>
      </c>
      <c r="F16995" s="2">
        <v>2420</v>
      </c>
      <c r="G16995" s="2">
        <v>100</v>
      </c>
      <c r="H16995" s="2">
        <v>541</v>
      </c>
      <c r="I16995" s="2">
        <v>489</v>
      </c>
      <c r="J16995" s="2">
        <v>2111</v>
      </c>
      <c r="K16995" s="2">
        <v>1</v>
      </c>
      <c r="L16995" s="2">
        <v>541</v>
      </c>
    </row>
    <row r="16996" spans="1:12" x14ac:dyDescent="0.25">
      <c r="A16996" s="4" t="str">
        <f>HYPERLINK("http://www.rosaceae.org/Prunus/Prunus_persica/p.persica_gdr_reftransV1_0013984","p.persica_gdr_reftransV1_0013984")</f>
        <v>p.persica_gdr_reftransV1_0013984</v>
      </c>
      <c r="B16996" s="2">
        <v>1395</v>
      </c>
      <c r="C16996" s="4" t="str">
        <f>HYPERLINK("http://www.uniprot.org/uniprot/M5W174","M5W174")</f>
        <v>M5W174</v>
      </c>
      <c r="D16996" s="2" t="s">
        <v>6749</v>
      </c>
      <c r="E16996" s="3">
        <v>2.8200000000000002E-119</v>
      </c>
      <c r="F16996" s="2">
        <v>921</v>
      </c>
      <c r="G16996" s="2">
        <v>100</v>
      </c>
      <c r="H16996" s="2">
        <v>187</v>
      </c>
      <c r="I16996" s="2">
        <v>715</v>
      </c>
      <c r="J16996" s="2">
        <v>1275</v>
      </c>
      <c r="K16996" s="2">
        <v>1</v>
      </c>
      <c r="L16996" s="2">
        <v>187</v>
      </c>
    </row>
    <row r="16997" spans="1:12" x14ac:dyDescent="0.25">
      <c r="A16997" s="4" t="str">
        <f>HYPERLINK("http://www.rosaceae.org/Prunus/Prunus_persica/p.persica_gdr_reftransV1_0014334","p.persica_gdr_reftransV1_0014334")</f>
        <v>p.persica_gdr_reftransV1_0014334</v>
      </c>
      <c r="B16997" s="2">
        <v>2340</v>
      </c>
      <c r="C16997" s="4" t="str">
        <f>HYPERLINK("http://www.uniprot.org/uniprot/M5X110","M5X110")</f>
        <v>M5X110</v>
      </c>
      <c r="D16997" s="2" t="s">
        <v>13379</v>
      </c>
      <c r="E16997" s="3">
        <v>0</v>
      </c>
      <c r="F16997" s="2">
        <v>2718</v>
      </c>
      <c r="G16997" s="2">
        <v>91</v>
      </c>
      <c r="H16997" s="2">
        <v>576</v>
      </c>
      <c r="I16997" s="2">
        <v>325</v>
      </c>
      <c r="J16997" s="2">
        <v>2052</v>
      </c>
      <c r="K16997" s="2">
        <v>1</v>
      </c>
      <c r="L16997" s="2">
        <v>533</v>
      </c>
    </row>
    <row r="16998" spans="1:12" x14ac:dyDescent="0.25">
      <c r="A16998" s="4" t="str">
        <f>HYPERLINK("http://www.rosaceae.org/Prunus/Prunus_persica/p.persica_gdr_reftransV1_0015034","p.persica_gdr_reftransV1_0015034")</f>
        <v>p.persica_gdr_reftransV1_0015034</v>
      </c>
      <c r="B16998" s="2">
        <v>2294</v>
      </c>
      <c r="C16998" s="4" t="str">
        <f>HYPERLINK("http://www.uniprot.org/uniprot/M5XWD8","M5XWD8")</f>
        <v>M5XWD8</v>
      </c>
      <c r="D16998" s="2" t="s">
        <v>13380</v>
      </c>
      <c r="E16998" s="3">
        <v>1.7999999999999998E-123</v>
      </c>
      <c r="F16998" s="2">
        <v>998</v>
      </c>
      <c r="G16998" s="2">
        <v>100</v>
      </c>
      <c r="H16998" s="2">
        <v>182</v>
      </c>
      <c r="I16998" s="2">
        <v>1320</v>
      </c>
      <c r="J16998" s="2">
        <v>1865</v>
      </c>
      <c r="K16998" s="2">
        <v>93</v>
      </c>
      <c r="L16998" s="2">
        <v>274</v>
      </c>
    </row>
    <row r="16999" spans="1:12" x14ac:dyDescent="0.25">
      <c r="A16999" s="4" t="str">
        <f>HYPERLINK("http://www.rosaceae.org/Prunus/Prunus_persica/p.persica_gdr_reftransV1_0015384","p.persica_gdr_reftransV1_0015384")</f>
        <v>p.persica_gdr_reftransV1_0015384</v>
      </c>
      <c r="B16999" s="2">
        <v>1496</v>
      </c>
      <c r="C16999" s="4" t="str">
        <f>HYPERLINK("http://www.uniprot.org/uniprot/M5VGC8","M5VGC8")</f>
        <v>M5VGC8</v>
      </c>
      <c r="D16999" s="2" t="s">
        <v>13381</v>
      </c>
      <c r="E16999" s="3">
        <v>0</v>
      </c>
      <c r="F16999" s="2">
        <v>1601</v>
      </c>
      <c r="G16999" s="2">
        <v>100</v>
      </c>
      <c r="H16999" s="2">
        <v>335</v>
      </c>
      <c r="I16999" s="2">
        <v>491</v>
      </c>
      <c r="J16999" s="2">
        <v>1495</v>
      </c>
      <c r="K16999" s="2">
        <v>582</v>
      </c>
      <c r="L16999" s="2">
        <v>916</v>
      </c>
    </row>
    <row r="17000" spans="1:12" x14ac:dyDescent="0.25">
      <c r="A17000" s="4" t="str">
        <f>HYPERLINK("http://www.rosaceae.org/Prunus/Prunus_persica/p.persica_gdr_reftransV1_0016084","p.persica_gdr_reftransV1_0016084")</f>
        <v>p.persica_gdr_reftransV1_0016084</v>
      </c>
      <c r="B17000" s="2">
        <v>6613</v>
      </c>
      <c r="C17000" s="4" t="str">
        <f>HYPERLINK("http://www.uniprot.org/uniprot/M5WE95","M5WE95")</f>
        <v>M5WE95</v>
      </c>
      <c r="D17000" s="2" t="s">
        <v>9413</v>
      </c>
      <c r="E17000" s="3">
        <v>0</v>
      </c>
      <c r="F17000" s="2">
        <v>6243</v>
      </c>
      <c r="G17000" s="2">
        <v>99</v>
      </c>
      <c r="H17000" s="2">
        <v>1251</v>
      </c>
      <c r="I17000" s="2">
        <v>2430</v>
      </c>
      <c r="J17000" s="2">
        <v>6140</v>
      </c>
      <c r="K17000" s="2">
        <v>1</v>
      </c>
      <c r="L17000" s="2">
        <v>1251</v>
      </c>
    </row>
    <row r="17001" spans="1:12" x14ac:dyDescent="0.25">
      <c r="A17001" s="4" t="str">
        <f>HYPERLINK("http://www.rosaceae.org/Prunus/Prunus_persica/p.persica_gdr_reftransV1_0016434","p.persica_gdr_reftransV1_0016434")</f>
        <v>p.persica_gdr_reftransV1_0016434</v>
      </c>
      <c r="B17001" s="2">
        <v>4504</v>
      </c>
      <c r="C17001" s="4" t="str">
        <f>HYPERLINK("http://www.uniprot.org/uniprot/M5XFV6","M5XFV6")</f>
        <v>M5XFV6</v>
      </c>
      <c r="D17001" s="2" t="s">
        <v>4287</v>
      </c>
      <c r="E17001" s="3">
        <v>6.1499999999999999E-177</v>
      </c>
      <c r="F17001" s="2">
        <v>1418</v>
      </c>
      <c r="G17001" s="2">
        <v>90</v>
      </c>
      <c r="H17001" s="2">
        <v>344</v>
      </c>
      <c r="I17001" s="2">
        <v>418</v>
      </c>
      <c r="J17001" s="2">
        <v>1449</v>
      </c>
      <c r="K17001" s="2">
        <v>204</v>
      </c>
      <c r="L17001" s="2">
        <v>514</v>
      </c>
    </row>
    <row r="17002" spans="1:12" x14ac:dyDescent="0.25">
      <c r="A17002" s="4" t="str">
        <f>HYPERLINK("http://www.rosaceae.org/Prunus/Prunus_persica/p.persica_gdr_reftransV1_0016784","p.persica_gdr_reftransV1_0016784")</f>
        <v>p.persica_gdr_reftransV1_0016784</v>
      </c>
      <c r="B17002" s="2">
        <v>543</v>
      </c>
      <c r="C17002" s="4" t="str">
        <f>HYPERLINK("http://www.uniprot.org/uniprot/A0A087PQ99","A0A087PQ99")</f>
        <v>A0A087PQ99</v>
      </c>
      <c r="D17002" s="2" t="s">
        <v>2781</v>
      </c>
      <c r="E17002" s="3">
        <v>1.39E-33</v>
      </c>
      <c r="F17002" s="2">
        <v>345</v>
      </c>
      <c r="G17002" s="2">
        <v>43</v>
      </c>
      <c r="H17002" s="2">
        <v>180</v>
      </c>
      <c r="I17002" s="2">
        <v>3</v>
      </c>
      <c r="J17002" s="2">
        <v>542</v>
      </c>
      <c r="K17002" s="2">
        <v>507</v>
      </c>
      <c r="L17002" s="2">
        <v>664</v>
      </c>
    </row>
    <row r="17003" spans="1:12" x14ac:dyDescent="0.25">
      <c r="A17003" s="4" t="str">
        <f>HYPERLINK("http://www.rosaceae.org/Prunus/Prunus_persica/p.persica_gdr_reftransV1_0017834","p.persica_gdr_reftransV1_0017834")</f>
        <v>p.persica_gdr_reftransV1_0017834</v>
      </c>
      <c r="B17003" s="2">
        <v>738</v>
      </c>
      <c r="C17003" s="4" t="str">
        <f>HYPERLINK("http://www.uniprot.org/uniprot/M5WR69","M5WR69")</f>
        <v>M5WR69</v>
      </c>
      <c r="D17003" s="2" t="s">
        <v>13382</v>
      </c>
      <c r="E17003" s="3">
        <v>1.7000000000000001E-109</v>
      </c>
      <c r="F17003" s="2">
        <v>830</v>
      </c>
      <c r="G17003" s="2">
        <v>100</v>
      </c>
      <c r="H17003" s="2">
        <v>157</v>
      </c>
      <c r="I17003" s="2">
        <v>194</v>
      </c>
      <c r="J17003" s="2">
        <v>664</v>
      </c>
      <c r="K17003" s="2">
        <v>1</v>
      </c>
      <c r="L17003" s="2">
        <v>157</v>
      </c>
    </row>
    <row r="17004" spans="1:12" x14ac:dyDescent="0.25">
      <c r="A17004" s="4" t="str">
        <f>HYPERLINK("http://www.rosaceae.org/Prunus/Prunus_persica/p.persica_gdr_reftransV1_0018534","p.persica_gdr_reftransV1_0018534")</f>
        <v>p.persica_gdr_reftransV1_0018534</v>
      </c>
      <c r="B17004" s="2">
        <v>1295</v>
      </c>
      <c r="C17004" s="4" t="str">
        <f>HYPERLINK("http://www.uniprot.org/uniprot/M5VQK8","M5VQK8")</f>
        <v>M5VQK8</v>
      </c>
      <c r="D17004" s="2" t="s">
        <v>7774</v>
      </c>
      <c r="E17004" s="3">
        <v>5.3099999999999999E-176</v>
      </c>
      <c r="F17004" s="2">
        <v>1006</v>
      </c>
      <c r="G17004" s="2">
        <v>100</v>
      </c>
      <c r="H17004" s="2">
        <v>190</v>
      </c>
      <c r="I17004" s="2">
        <v>528</v>
      </c>
      <c r="J17004" s="2">
        <v>1097</v>
      </c>
      <c r="K17004" s="2">
        <v>151</v>
      </c>
      <c r="L17004" s="2">
        <v>340</v>
      </c>
    </row>
    <row r="17005" spans="1:12" x14ac:dyDescent="0.25">
      <c r="A17005" s="4" t="str">
        <f>HYPERLINK("http://www.rosaceae.org/Prunus/Prunus_persica/p.persica_gdr_reftransV1_0019234","p.persica_gdr_reftransV1_0019234")</f>
        <v>p.persica_gdr_reftransV1_0019234</v>
      </c>
      <c r="B17005" s="2">
        <v>972</v>
      </c>
      <c r="C17005" s="4" t="str">
        <f>HYPERLINK("http://www.uniprot.org/uniprot/M5Y636","M5Y636")</f>
        <v>M5Y636</v>
      </c>
      <c r="D17005" s="2" t="s">
        <v>7154</v>
      </c>
      <c r="E17005" s="3">
        <v>0</v>
      </c>
      <c r="F17005" s="2">
        <v>1698</v>
      </c>
      <c r="G17005" s="2">
        <v>100</v>
      </c>
      <c r="H17005" s="2">
        <v>315</v>
      </c>
      <c r="I17005" s="2">
        <v>3</v>
      </c>
      <c r="J17005" s="2">
        <v>947</v>
      </c>
      <c r="K17005" s="2">
        <v>1</v>
      </c>
      <c r="L17005" s="2">
        <v>315</v>
      </c>
    </row>
    <row r="17006" spans="1:12" x14ac:dyDescent="0.25">
      <c r="A17006" s="4" t="str">
        <f>HYPERLINK("http://www.rosaceae.org/Prunus/Prunus_persica/p.persica_gdr_reftransV1_0019934","p.persica_gdr_reftransV1_0019934")</f>
        <v>p.persica_gdr_reftransV1_0019934</v>
      </c>
      <c r="B17006" s="2">
        <v>1600</v>
      </c>
      <c r="C17006" s="4" t="str">
        <f>HYPERLINK("http://www.uniprot.org/uniprot/M5VHM0","M5VHM0")</f>
        <v>M5VHM0</v>
      </c>
      <c r="D17006" s="2" t="s">
        <v>9213</v>
      </c>
      <c r="E17006" s="3">
        <v>9.8500000000000006E-114</v>
      </c>
      <c r="F17006" s="2">
        <v>906</v>
      </c>
      <c r="G17006" s="2">
        <v>98</v>
      </c>
      <c r="H17006" s="2">
        <v>193</v>
      </c>
      <c r="I17006" s="2">
        <v>146</v>
      </c>
      <c r="J17006" s="2">
        <v>724</v>
      </c>
      <c r="K17006" s="2">
        <v>171</v>
      </c>
      <c r="L17006" s="2">
        <v>363</v>
      </c>
    </row>
    <row r="17007" spans="1:12" x14ac:dyDescent="0.25">
      <c r="A17007" s="4" t="str">
        <f>HYPERLINK("http://www.rosaceae.org/Prunus/Prunus_persica/p.persica_gdr_reftransV1_0020634","p.persica_gdr_reftransV1_0020634")</f>
        <v>p.persica_gdr_reftransV1_0020634</v>
      </c>
      <c r="B17007" s="2">
        <v>1547</v>
      </c>
      <c r="C17007" s="4" t="str">
        <f>HYPERLINK("http://www.uniprot.org/uniprot/M5WCV5","M5WCV5")</f>
        <v>M5WCV5</v>
      </c>
      <c r="D17007" s="2" t="s">
        <v>13383</v>
      </c>
      <c r="E17007" s="3">
        <v>0</v>
      </c>
      <c r="F17007" s="2">
        <v>2382</v>
      </c>
      <c r="G17007" s="2">
        <v>100</v>
      </c>
      <c r="H17007" s="2">
        <v>493</v>
      </c>
      <c r="I17007" s="2">
        <v>68</v>
      </c>
      <c r="J17007" s="2">
        <v>1546</v>
      </c>
      <c r="K17007" s="2">
        <v>3</v>
      </c>
      <c r="L17007" s="2">
        <v>495</v>
      </c>
    </row>
    <row r="17008" spans="1:12" x14ac:dyDescent="0.25">
      <c r="A17008" s="4" t="str">
        <f>HYPERLINK("http://www.rosaceae.org/Prunus/Prunus_persica/p.persica_gdr_reftransV1_0020984","p.persica_gdr_reftransV1_0020984")</f>
        <v>p.persica_gdr_reftransV1_0020984</v>
      </c>
      <c r="B17008" s="2">
        <v>2222</v>
      </c>
      <c r="C17008" s="4" t="str">
        <f>HYPERLINK("http://www.uniprot.org/uniprot/M5XYJ8","M5XYJ8")</f>
        <v>M5XYJ8</v>
      </c>
      <c r="D17008" s="2" t="s">
        <v>13384</v>
      </c>
      <c r="E17008" s="3">
        <v>0</v>
      </c>
      <c r="F17008" s="2">
        <v>2486</v>
      </c>
      <c r="G17008" s="2">
        <v>100</v>
      </c>
      <c r="H17008" s="2">
        <v>460</v>
      </c>
      <c r="I17008" s="2">
        <v>552</v>
      </c>
      <c r="J17008" s="2">
        <v>1931</v>
      </c>
      <c r="K17008" s="2">
        <v>1</v>
      </c>
      <c r="L17008" s="2">
        <v>460</v>
      </c>
    </row>
    <row r="17009" spans="1:12" x14ac:dyDescent="0.25">
      <c r="A17009" s="4" t="str">
        <f>HYPERLINK("http://www.rosaceae.org/Prunus/Prunus_persica/p.persica_gdr_reftransV1_0021334","p.persica_gdr_reftransV1_0021334")</f>
        <v>p.persica_gdr_reftransV1_0021334</v>
      </c>
      <c r="B17009" s="2">
        <v>3754</v>
      </c>
      <c r="C17009" s="4" t="str">
        <f>HYPERLINK("http://www.uniprot.org/uniprot/M5Y453","M5Y453")</f>
        <v>M5Y453</v>
      </c>
      <c r="D17009" s="2" t="s">
        <v>13385</v>
      </c>
      <c r="E17009" s="3">
        <v>0</v>
      </c>
      <c r="F17009" s="2">
        <v>4969</v>
      </c>
      <c r="G17009" s="2">
        <v>100</v>
      </c>
      <c r="H17009" s="2">
        <v>998</v>
      </c>
      <c r="I17009" s="2">
        <v>698</v>
      </c>
      <c r="J17009" s="2">
        <v>3691</v>
      </c>
      <c r="K17009" s="2">
        <v>1</v>
      </c>
      <c r="L17009" s="2">
        <v>998</v>
      </c>
    </row>
    <row r="17010" spans="1:12" x14ac:dyDescent="0.25">
      <c r="A17010" s="4" t="str">
        <f>HYPERLINK("http://www.rosaceae.org/Prunus/Prunus_persica/p.persica_gdr_reftransV1_0022734","p.persica_gdr_reftransV1_0022734")</f>
        <v>p.persica_gdr_reftransV1_0022734</v>
      </c>
      <c r="B17010" s="2">
        <v>2135</v>
      </c>
      <c r="C17010" s="4" t="str">
        <f>HYPERLINK("http://www.uniprot.org/uniprot/M5W014","M5W014")</f>
        <v>M5W014</v>
      </c>
      <c r="D17010" s="2" t="s">
        <v>13386</v>
      </c>
      <c r="E17010" s="3">
        <v>0</v>
      </c>
      <c r="F17010" s="2">
        <v>1801</v>
      </c>
      <c r="G17010" s="2">
        <v>100</v>
      </c>
      <c r="H17010" s="2">
        <v>335</v>
      </c>
      <c r="I17010" s="2">
        <v>195</v>
      </c>
      <c r="J17010" s="2">
        <v>1199</v>
      </c>
      <c r="K17010" s="2">
        <v>1</v>
      </c>
      <c r="L17010" s="2">
        <v>335</v>
      </c>
    </row>
    <row r="17011" spans="1:12" x14ac:dyDescent="0.25">
      <c r="A17011" s="4" t="str">
        <f>HYPERLINK("http://www.rosaceae.org/Prunus/Prunus_persica/p.persica_gdr_reftransV1_0023084","p.persica_gdr_reftransV1_0023084")</f>
        <v>p.persica_gdr_reftransV1_0023084</v>
      </c>
      <c r="B17011" s="2">
        <v>2136</v>
      </c>
      <c r="C17011" s="4" t="str">
        <f>HYPERLINK("http://www.uniprot.org/uniprot/M5X3F3","M5X3F3")</f>
        <v>M5X3F3</v>
      </c>
      <c r="D17011" s="2" t="s">
        <v>10470</v>
      </c>
      <c r="E17011" s="3">
        <v>0</v>
      </c>
      <c r="F17011" s="2">
        <v>1850</v>
      </c>
      <c r="G17011" s="2">
        <v>78</v>
      </c>
      <c r="H17011" s="2">
        <v>482</v>
      </c>
      <c r="I17011" s="2">
        <v>478</v>
      </c>
      <c r="J17011" s="2">
        <v>1896</v>
      </c>
      <c r="K17011" s="2">
        <v>1</v>
      </c>
      <c r="L17011" s="2">
        <v>472</v>
      </c>
    </row>
    <row r="17012" spans="1:12" x14ac:dyDescent="0.25">
      <c r="A17012" s="4" t="str">
        <f>HYPERLINK("http://www.rosaceae.org/Prunus/Prunus_persica/p.persica_gdr_reftransV1_0023434","p.persica_gdr_reftransV1_0023434")</f>
        <v>p.persica_gdr_reftransV1_0023434</v>
      </c>
      <c r="B17012" s="2">
        <v>2684</v>
      </c>
      <c r="C17012" s="4" t="str">
        <f>HYPERLINK("http://www.uniprot.org/uniprot/M5W2A3","M5W2A3")</f>
        <v>M5W2A3</v>
      </c>
      <c r="D17012" s="2" t="s">
        <v>13387</v>
      </c>
      <c r="E17012" s="3">
        <v>0</v>
      </c>
      <c r="F17012" s="2">
        <v>1919</v>
      </c>
      <c r="G17012" s="2">
        <v>99</v>
      </c>
      <c r="H17012" s="2">
        <v>359</v>
      </c>
      <c r="I17012" s="2">
        <v>823</v>
      </c>
      <c r="J17012" s="2">
        <v>1899</v>
      </c>
      <c r="K17012" s="2">
        <v>30</v>
      </c>
      <c r="L17012" s="2">
        <v>388</v>
      </c>
    </row>
    <row r="17013" spans="1:12" x14ac:dyDescent="0.25">
      <c r="A17013" s="4" t="str">
        <f>HYPERLINK("http://www.rosaceae.org/Prunus/Prunus_persica/p.persica_gdr_reftransV1_0023784","p.persica_gdr_reftransV1_0023784")</f>
        <v>p.persica_gdr_reftransV1_0023784</v>
      </c>
      <c r="B17013" s="2">
        <v>2297</v>
      </c>
      <c r="C17013" s="4" t="str">
        <f>HYPERLINK("http://www.uniprot.org/uniprot/M5W0V3","M5W0V3")</f>
        <v>M5W0V3</v>
      </c>
      <c r="D17013" s="2" t="s">
        <v>13316</v>
      </c>
      <c r="E17013" s="3">
        <v>2.6E-123</v>
      </c>
      <c r="F17013" s="2">
        <v>979</v>
      </c>
      <c r="G17013" s="2">
        <v>91</v>
      </c>
      <c r="H17013" s="2">
        <v>206</v>
      </c>
      <c r="I17013" s="2">
        <v>1373</v>
      </c>
      <c r="J17013" s="2">
        <v>1978</v>
      </c>
      <c r="K17013" s="2">
        <v>17</v>
      </c>
      <c r="L17013" s="2">
        <v>221</v>
      </c>
    </row>
    <row r="17014" spans="1:12" x14ac:dyDescent="0.25">
      <c r="A17014" s="4" t="str">
        <f>HYPERLINK("http://www.rosaceae.org/Prunus/Prunus_persica/p.persica_gdr_reftransV1_0025534","p.persica_gdr_reftransV1_0025534")</f>
        <v>p.persica_gdr_reftransV1_0025534</v>
      </c>
      <c r="B17014" s="2">
        <v>2952</v>
      </c>
      <c r="C17014" s="4" t="str">
        <f>HYPERLINK("http://www.uniprot.org/uniprot/M5XJW2","M5XJW2")</f>
        <v>M5XJW2</v>
      </c>
      <c r="D17014" s="2" t="s">
        <v>7316</v>
      </c>
      <c r="E17014" s="3">
        <v>1.32E-108</v>
      </c>
      <c r="F17014" s="2">
        <v>907</v>
      </c>
      <c r="G17014" s="2">
        <v>95</v>
      </c>
      <c r="H17014" s="2">
        <v>183</v>
      </c>
      <c r="I17014" s="2">
        <v>1280</v>
      </c>
      <c r="J17014" s="2">
        <v>1828</v>
      </c>
      <c r="K17014" s="2">
        <v>1</v>
      </c>
      <c r="L17014" s="2">
        <v>173</v>
      </c>
    </row>
    <row r="17015" spans="1:12" x14ac:dyDescent="0.25">
      <c r="A17015" s="4" t="str">
        <f>HYPERLINK("http://www.rosaceae.org/Prunus/Prunus_persica/p.persica_gdr_reftransV1_0025884","p.persica_gdr_reftransV1_0025884")</f>
        <v>p.persica_gdr_reftransV1_0025884</v>
      </c>
      <c r="B17015" s="2">
        <v>2464</v>
      </c>
      <c r="C17015" s="4" t="str">
        <f>HYPERLINK("http://www.uniprot.org/uniprot/M5XMD0","M5XMD0")</f>
        <v>M5XMD0</v>
      </c>
      <c r="D17015" s="2" t="s">
        <v>3159</v>
      </c>
      <c r="E17015" s="3">
        <v>0</v>
      </c>
      <c r="F17015" s="2">
        <v>1608</v>
      </c>
      <c r="G17015" s="2">
        <v>100</v>
      </c>
      <c r="H17015" s="2">
        <v>302</v>
      </c>
      <c r="I17015" s="2">
        <v>2</v>
      </c>
      <c r="J17015" s="2">
        <v>907</v>
      </c>
      <c r="K17015" s="2">
        <v>712</v>
      </c>
      <c r="L17015" s="2">
        <v>1013</v>
      </c>
    </row>
    <row r="17016" spans="1:12" x14ac:dyDescent="0.25">
      <c r="A17016" s="4" t="str">
        <f>HYPERLINK("http://www.rosaceae.org/Prunus/Prunus_persica/p.persica_gdr_reftransV1_0026234","p.persica_gdr_reftransV1_0026234")</f>
        <v>p.persica_gdr_reftransV1_0026234</v>
      </c>
      <c r="B17016" s="2">
        <v>766</v>
      </c>
      <c r="C17016" s="4" t="str">
        <f>HYPERLINK("http://www.uniprot.org/uniprot/M5XSC3","M5XSC3")</f>
        <v>M5XSC3</v>
      </c>
      <c r="D17016" s="2" t="s">
        <v>1330</v>
      </c>
      <c r="E17016" s="3">
        <v>1.4799999999999999E-175</v>
      </c>
      <c r="F17016" s="2">
        <v>1358</v>
      </c>
      <c r="G17016" s="2">
        <v>100</v>
      </c>
      <c r="H17016" s="2">
        <v>254</v>
      </c>
      <c r="I17016" s="2">
        <v>3</v>
      </c>
      <c r="J17016" s="2">
        <v>764</v>
      </c>
      <c r="K17016" s="2">
        <v>96</v>
      </c>
      <c r="L17016" s="2">
        <v>349</v>
      </c>
    </row>
    <row r="17017" spans="1:12" x14ac:dyDescent="0.25">
      <c r="A17017" s="4" t="str">
        <f>HYPERLINK("http://www.rosaceae.org/Prunus/Prunus_persica/p.persica_gdr_reftransV1_0030434","p.persica_gdr_reftransV1_0030434")</f>
        <v>p.persica_gdr_reftransV1_0030434</v>
      </c>
      <c r="B17017" s="2">
        <v>3064</v>
      </c>
      <c r="C17017" s="4" t="str">
        <f>HYPERLINK("http://www.uniprot.org/uniprot/M5WJ87","M5WJ87")</f>
        <v>M5WJ87</v>
      </c>
      <c r="D17017" s="2" t="s">
        <v>13388</v>
      </c>
      <c r="E17017" s="3">
        <v>3.9900000000000003E-105</v>
      </c>
      <c r="F17017" s="2">
        <v>864</v>
      </c>
      <c r="G17017" s="2">
        <v>100</v>
      </c>
      <c r="H17017" s="2">
        <v>179</v>
      </c>
      <c r="I17017" s="2">
        <v>934</v>
      </c>
      <c r="J17017" s="2">
        <v>1470</v>
      </c>
      <c r="K17017" s="2">
        <v>1</v>
      </c>
      <c r="L17017" s="2">
        <v>179</v>
      </c>
    </row>
    <row r="17018" spans="1:12" x14ac:dyDescent="0.25">
      <c r="A17018" s="4" t="str">
        <f>HYPERLINK("http://www.rosaceae.org/Prunus/Prunus_persica/p.persica_gdr_reftransV1_0030784","p.persica_gdr_reftransV1_0030784")</f>
        <v>p.persica_gdr_reftransV1_0030784</v>
      </c>
      <c r="B17018" s="2">
        <v>2469</v>
      </c>
      <c r="C17018" s="4" t="str">
        <f>HYPERLINK("http://www.uniprot.org/uniprot/M5XB23","M5XB23")</f>
        <v>M5XB23</v>
      </c>
      <c r="D17018" s="2" t="s">
        <v>8453</v>
      </c>
      <c r="E17018" s="3">
        <v>0</v>
      </c>
      <c r="F17018" s="2">
        <v>3782</v>
      </c>
      <c r="G17018" s="2">
        <v>100</v>
      </c>
      <c r="H17018" s="2">
        <v>744</v>
      </c>
      <c r="I17018" s="2">
        <v>236</v>
      </c>
      <c r="J17018" s="2">
        <v>2467</v>
      </c>
      <c r="K17018" s="2">
        <v>52</v>
      </c>
      <c r="L17018" s="2">
        <v>795</v>
      </c>
    </row>
    <row r="17019" spans="1:12" x14ac:dyDescent="0.25">
      <c r="A17019" s="4" t="str">
        <f>HYPERLINK("http://www.rosaceae.org/Prunus/Prunus_persica/p.persica_gdr_reftransV1_0032184","p.persica_gdr_reftransV1_0032184")</f>
        <v>p.persica_gdr_reftransV1_0032184</v>
      </c>
      <c r="B17019" s="2">
        <v>1072</v>
      </c>
      <c r="C17019" s="4" t="str">
        <f>HYPERLINK("http://www.uniprot.org/uniprot/M5X833","M5X833")</f>
        <v>M5X833</v>
      </c>
      <c r="D17019" s="2" t="s">
        <v>7419</v>
      </c>
      <c r="E17019" s="3">
        <v>5.4500000000000003E-152</v>
      </c>
      <c r="F17019" s="2">
        <v>1199</v>
      </c>
      <c r="G17019" s="2">
        <v>100</v>
      </c>
      <c r="H17019" s="2">
        <v>222</v>
      </c>
      <c r="I17019" s="2">
        <v>406</v>
      </c>
      <c r="J17019" s="2">
        <v>1071</v>
      </c>
      <c r="K17019" s="2">
        <v>1</v>
      </c>
      <c r="L17019" s="2">
        <v>222</v>
      </c>
    </row>
    <row r="17020" spans="1:12" x14ac:dyDescent="0.25">
      <c r="A17020" s="4" t="str">
        <f>HYPERLINK("http://www.rosaceae.org/Prunus/Prunus_persica/p.persica_gdr_reftransV1_0033934","p.persica_gdr_reftransV1_0033934")</f>
        <v>p.persica_gdr_reftransV1_0033934</v>
      </c>
      <c r="B17020" s="2">
        <v>3347</v>
      </c>
      <c r="C17020" s="4" t="str">
        <f>HYPERLINK("http://www.uniprot.org/uniprot/M5WCV6","M5WCV6")</f>
        <v>M5WCV6</v>
      </c>
      <c r="D17020" s="2" t="s">
        <v>13389</v>
      </c>
      <c r="E17020" s="3">
        <v>0</v>
      </c>
      <c r="F17020" s="2">
        <v>2066</v>
      </c>
      <c r="G17020" s="2">
        <v>100</v>
      </c>
      <c r="H17020" s="2">
        <v>472</v>
      </c>
      <c r="I17020" s="2">
        <v>1772</v>
      </c>
      <c r="J17020" s="2">
        <v>3187</v>
      </c>
      <c r="K17020" s="2">
        <v>1</v>
      </c>
      <c r="L17020" s="2">
        <v>472</v>
      </c>
    </row>
    <row r="17021" spans="1:12" x14ac:dyDescent="0.25">
      <c r="A17021" s="4" t="str">
        <f>HYPERLINK("http://www.rosaceae.org/Prunus/Prunus_persica/p.persica_gdr_reftransV1_0035334","p.persica_gdr_reftransV1_0035334")</f>
        <v>p.persica_gdr_reftransV1_0035334</v>
      </c>
      <c r="B17021" s="2">
        <v>2424</v>
      </c>
      <c r="C17021" s="4" t="str">
        <f>HYPERLINK("http://www.uniprot.org/uniprot/M5WBD9","M5WBD9")</f>
        <v>M5WBD9</v>
      </c>
      <c r="D17021" s="2" t="s">
        <v>13390</v>
      </c>
      <c r="E17021" s="3">
        <v>0</v>
      </c>
      <c r="F17021" s="2">
        <v>2804</v>
      </c>
      <c r="G17021" s="2">
        <v>99</v>
      </c>
      <c r="H17021" s="2">
        <v>547</v>
      </c>
      <c r="I17021" s="2">
        <v>187</v>
      </c>
      <c r="J17021" s="2">
        <v>1827</v>
      </c>
      <c r="K17021" s="2">
        <v>1</v>
      </c>
      <c r="L17021" s="2">
        <v>547</v>
      </c>
    </row>
    <row r="17022" spans="1:12" x14ac:dyDescent="0.25">
      <c r="A17022" s="4" t="str">
        <f>HYPERLINK("http://www.rosaceae.org/Prunus/Prunus_persica/p.persica_gdr_reftransV1_0036734","p.persica_gdr_reftransV1_0036734")</f>
        <v>p.persica_gdr_reftransV1_0036734</v>
      </c>
      <c r="B17022" s="2">
        <v>3471</v>
      </c>
      <c r="C17022" s="4" t="str">
        <f>HYPERLINK("http://www.uniprot.org/uniprot/M5XAF6","M5XAF6")</f>
        <v>M5XAF6</v>
      </c>
      <c r="D17022" s="2" t="s">
        <v>7865</v>
      </c>
      <c r="E17022" s="3">
        <v>8.2800000000000002E-91</v>
      </c>
      <c r="F17022" s="2">
        <v>780</v>
      </c>
      <c r="G17022" s="2">
        <v>100</v>
      </c>
      <c r="H17022" s="2">
        <v>174</v>
      </c>
      <c r="I17022" s="2">
        <v>1771</v>
      </c>
      <c r="J17022" s="2">
        <v>2292</v>
      </c>
      <c r="K17022" s="2">
        <v>1</v>
      </c>
      <c r="L17022" s="2">
        <v>174</v>
      </c>
    </row>
    <row r="17023" spans="1:12" x14ac:dyDescent="0.25">
      <c r="A17023" s="4" t="str">
        <f>HYPERLINK("http://www.rosaceae.org/Prunus/Prunus_persica/p.persica_gdr_reftransV1_0039184","p.persica_gdr_reftransV1_0039184")</f>
        <v>p.persica_gdr_reftransV1_0039184</v>
      </c>
      <c r="B17023" s="2">
        <v>2528</v>
      </c>
      <c r="C17023" s="4" t="str">
        <f>HYPERLINK("http://www.uniprot.org/uniprot/M5VZ33","M5VZ33")</f>
        <v>M5VZ33</v>
      </c>
      <c r="D17023" s="2" t="s">
        <v>13391</v>
      </c>
      <c r="E17023" s="3">
        <v>4.1499999999999997E-71</v>
      </c>
      <c r="F17023" s="2">
        <v>634</v>
      </c>
      <c r="G17023" s="2">
        <v>100</v>
      </c>
      <c r="H17023" s="2">
        <v>119</v>
      </c>
      <c r="I17023" s="2">
        <v>183</v>
      </c>
      <c r="J17023" s="2">
        <v>539</v>
      </c>
      <c r="K17023" s="2">
        <v>1</v>
      </c>
      <c r="L17023" s="2">
        <v>119</v>
      </c>
    </row>
    <row r="17024" spans="1:12" x14ac:dyDescent="0.25">
      <c r="A17024" s="4" t="str">
        <f>HYPERLINK("http://www.rosaceae.org/Prunus/Prunus_persica/p.persica_gdr_reftransV1_0039534","p.persica_gdr_reftransV1_0039534")</f>
        <v>p.persica_gdr_reftransV1_0039534</v>
      </c>
      <c r="B17024" s="2">
        <v>2267</v>
      </c>
      <c r="C17024" s="4" t="str">
        <f>HYPERLINK("http://www.uniprot.org/uniprot/W9QP17","W9QP17")</f>
        <v>W9QP17</v>
      </c>
      <c r="D17024" s="2" t="s">
        <v>9941</v>
      </c>
      <c r="E17024" s="3">
        <v>3.7300000000000002E-170</v>
      </c>
      <c r="F17024" s="2">
        <v>1263</v>
      </c>
      <c r="G17024" s="2">
        <v>94</v>
      </c>
      <c r="H17024" s="2">
        <v>253</v>
      </c>
      <c r="I17024" s="2">
        <v>499</v>
      </c>
      <c r="J17024" s="2">
        <v>1257</v>
      </c>
      <c r="K17024" s="2">
        <v>113</v>
      </c>
      <c r="L17024" s="2">
        <v>365</v>
      </c>
    </row>
    <row r="17025" spans="1:12" x14ac:dyDescent="0.25">
      <c r="A17025" s="4" t="str">
        <f>HYPERLINK("http://www.rosaceae.org/Prunus/Prunus_persica/p.persica_gdr_reftransV1_0042684","p.persica_gdr_reftransV1_0042684")</f>
        <v>p.persica_gdr_reftransV1_0042684</v>
      </c>
      <c r="B17025" s="2">
        <v>1879</v>
      </c>
      <c r="C17025" s="4" t="str">
        <f>HYPERLINK("http://www.uniprot.org/uniprot/M5XA84","M5XA84")</f>
        <v>M5XA84</v>
      </c>
      <c r="D17025" s="2" t="s">
        <v>13392</v>
      </c>
      <c r="E17025" s="3">
        <v>0</v>
      </c>
      <c r="F17025" s="2">
        <v>1481</v>
      </c>
      <c r="G17025" s="2">
        <v>91</v>
      </c>
      <c r="H17025" s="2">
        <v>338</v>
      </c>
      <c r="I17025" s="2">
        <v>276</v>
      </c>
      <c r="J17025" s="2">
        <v>1289</v>
      </c>
      <c r="K17025" s="2">
        <v>145</v>
      </c>
      <c r="L17025" s="2">
        <v>453</v>
      </c>
    </row>
    <row r="17026" spans="1:12" x14ac:dyDescent="0.25">
      <c r="A17026" s="4" t="str">
        <f>HYPERLINK("http://www.rosaceae.org/Prunus/Prunus_persica/p.persica_gdr_reftransV1_0043034","p.persica_gdr_reftransV1_0043034")</f>
        <v>p.persica_gdr_reftransV1_0043034</v>
      </c>
      <c r="B17026" s="2">
        <v>322</v>
      </c>
      <c r="C17026" s="4" t="str">
        <f>HYPERLINK("http://www.uniprot.org/uniprot/G3MZK7","G3MZK7")</f>
        <v>G3MZK7</v>
      </c>
      <c r="D17026" s="2" t="s">
        <v>13393</v>
      </c>
      <c r="E17026" s="3">
        <v>1.14E-43</v>
      </c>
      <c r="F17026" s="2">
        <v>375</v>
      </c>
      <c r="G17026" s="2">
        <v>100</v>
      </c>
      <c r="H17026" s="2">
        <v>95</v>
      </c>
      <c r="I17026" s="2">
        <v>37</v>
      </c>
      <c r="J17026" s="2">
        <v>321</v>
      </c>
      <c r="K17026" s="2">
        <v>1</v>
      </c>
      <c r="L17026" s="2">
        <v>95</v>
      </c>
    </row>
    <row r="17027" spans="1:12" x14ac:dyDescent="0.25">
      <c r="A17027" s="4" t="str">
        <f>HYPERLINK("http://www.rosaceae.org/Prunus/Prunus_persica/p.persica_gdr_reftransV1_0043384","p.persica_gdr_reftransV1_0043384")</f>
        <v>p.persica_gdr_reftransV1_0043384</v>
      </c>
      <c r="B17027" s="2">
        <v>371</v>
      </c>
      <c r="C17027" s="4" t="str">
        <f>HYPERLINK("http://www.uniprot.org/uniprot/M5WSJ0","M5WSJ0")</f>
        <v>M5WSJ0</v>
      </c>
      <c r="D17027" s="2" t="s">
        <v>13394</v>
      </c>
      <c r="E17027" s="3">
        <v>4.9899999999999998E-80</v>
      </c>
      <c r="F17027" s="2">
        <v>648</v>
      </c>
      <c r="G17027" s="2">
        <v>100</v>
      </c>
      <c r="H17027" s="2">
        <v>123</v>
      </c>
      <c r="I17027" s="2">
        <v>1</v>
      </c>
      <c r="J17027" s="2">
        <v>369</v>
      </c>
      <c r="K17027" s="2">
        <v>228</v>
      </c>
      <c r="L17027" s="2">
        <v>350</v>
      </c>
    </row>
    <row r="17028" spans="1:12" x14ac:dyDescent="0.25">
      <c r="A17028" s="4" t="str">
        <f>HYPERLINK("http://www.rosaceae.org/Prunus/Prunus_persica/p.persica_gdr_reftransV1_0043734","p.persica_gdr_reftransV1_0043734")</f>
        <v>p.persica_gdr_reftransV1_0043734</v>
      </c>
      <c r="B17028" s="2">
        <v>1000</v>
      </c>
      <c r="C17028" s="4" t="str">
        <f>HYPERLINK("http://www.uniprot.org/uniprot/A0A067KFH5","A0A067KFH5")</f>
        <v>A0A067KFH5</v>
      </c>
      <c r="D17028" s="2" t="s">
        <v>13395</v>
      </c>
      <c r="E17028" s="3">
        <v>1.2000000000000001E-52</v>
      </c>
      <c r="F17028" s="2">
        <v>498</v>
      </c>
      <c r="G17028" s="2">
        <v>39</v>
      </c>
      <c r="H17028" s="2">
        <v>332</v>
      </c>
      <c r="I17028" s="2">
        <v>3</v>
      </c>
      <c r="J17028" s="2">
        <v>992</v>
      </c>
      <c r="K17028" s="2">
        <v>26</v>
      </c>
      <c r="L17028" s="2">
        <v>329</v>
      </c>
    </row>
    <row r="17029" spans="1:12" x14ac:dyDescent="0.25">
      <c r="A17029" s="4" t="str">
        <f>HYPERLINK("http://www.rosaceae.org/Prunus/Prunus_persica/p.persica_gdr_reftransV1_0044434","p.persica_gdr_reftransV1_0044434")</f>
        <v>p.persica_gdr_reftransV1_0044434</v>
      </c>
      <c r="B17029" s="2">
        <v>1229</v>
      </c>
      <c r="C17029" s="4" t="str">
        <f>HYPERLINK("http://www.uniprot.org/uniprot/M5WWG5","M5WWG5")</f>
        <v>M5WWG5</v>
      </c>
      <c r="D17029" s="2" t="s">
        <v>13396</v>
      </c>
      <c r="E17029" s="3">
        <v>0</v>
      </c>
      <c r="F17029" s="2">
        <v>1575</v>
      </c>
      <c r="G17029" s="2">
        <v>100</v>
      </c>
      <c r="H17029" s="2">
        <v>292</v>
      </c>
      <c r="I17029" s="2">
        <v>3</v>
      </c>
      <c r="J17029" s="2">
        <v>878</v>
      </c>
      <c r="K17029" s="2">
        <v>129</v>
      </c>
      <c r="L17029" s="2">
        <v>420</v>
      </c>
    </row>
    <row r="17030" spans="1:12" x14ac:dyDescent="0.25">
      <c r="A17030" s="4" t="str">
        <f>HYPERLINK("http://www.rosaceae.org/Prunus/Prunus_persica/p.persica_gdr_reftransV1_0044784","p.persica_gdr_reftransV1_0044784")</f>
        <v>p.persica_gdr_reftransV1_0044784</v>
      </c>
      <c r="B17030" s="2">
        <v>410</v>
      </c>
      <c r="C17030" s="4" t="str">
        <f>HYPERLINK("http://www.uniprot.org/uniprot/M5Y2W1","M5Y2W1")</f>
        <v>M5Y2W1</v>
      </c>
      <c r="D17030" s="2" t="s">
        <v>3820</v>
      </c>
      <c r="E17030" s="3">
        <v>4.27E-60</v>
      </c>
      <c r="F17030" s="2">
        <v>520</v>
      </c>
      <c r="G17030" s="2">
        <v>100</v>
      </c>
      <c r="H17030" s="2">
        <v>136</v>
      </c>
      <c r="I17030" s="2">
        <v>1</v>
      </c>
      <c r="J17030" s="2">
        <v>408</v>
      </c>
      <c r="K17030" s="2">
        <v>142</v>
      </c>
      <c r="L17030" s="2">
        <v>277</v>
      </c>
    </row>
    <row r="17031" spans="1:12" x14ac:dyDescent="0.25">
      <c r="A17031" s="4" t="str">
        <f>HYPERLINK("http://www.rosaceae.org/Prunus/Prunus_persica/p.persica_gdr_reftransV1_0045484","p.persica_gdr_reftransV1_0045484")</f>
        <v>p.persica_gdr_reftransV1_0045484</v>
      </c>
      <c r="B17031" s="2">
        <v>1052</v>
      </c>
      <c r="C17031" s="4" t="str">
        <f>HYPERLINK("http://www.uniprot.org/uniprot/M5WXC5","M5WXC5")</f>
        <v>M5WXC5</v>
      </c>
      <c r="D17031" s="2" t="s">
        <v>461</v>
      </c>
      <c r="E17031" s="3">
        <v>9.4400000000000005E-179</v>
      </c>
      <c r="F17031" s="2">
        <v>1317</v>
      </c>
      <c r="G17031" s="2">
        <v>89</v>
      </c>
      <c r="H17031" s="2">
        <v>316</v>
      </c>
      <c r="I17031" s="2">
        <v>59</v>
      </c>
      <c r="J17031" s="2">
        <v>985</v>
      </c>
      <c r="K17031" s="2">
        <v>3</v>
      </c>
      <c r="L17031" s="2">
        <v>317</v>
      </c>
    </row>
    <row r="17032" spans="1:12" x14ac:dyDescent="0.25">
      <c r="A17032" s="4" t="str">
        <f>HYPERLINK("http://www.rosaceae.org/Prunus/Prunus_persica/p.persica_gdr_reftransV1_0045834","p.persica_gdr_reftransV1_0045834")</f>
        <v>p.persica_gdr_reftransV1_0045834</v>
      </c>
      <c r="B17032" s="2">
        <v>1981</v>
      </c>
      <c r="C17032" s="4" t="str">
        <f>HYPERLINK("http://www.uniprot.org/uniprot/M4QEJ8","M4QEJ8")</f>
        <v>M4QEJ8</v>
      </c>
      <c r="D17032" s="2" t="s">
        <v>5270</v>
      </c>
      <c r="E17032" s="3">
        <v>0</v>
      </c>
      <c r="F17032" s="2">
        <v>2197</v>
      </c>
      <c r="G17032" s="2">
        <v>100</v>
      </c>
      <c r="H17032" s="2">
        <v>417</v>
      </c>
      <c r="I17032" s="2">
        <v>386</v>
      </c>
      <c r="J17032" s="2">
        <v>1636</v>
      </c>
      <c r="K17032" s="2">
        <v>1</v>
      </c>
      <c r="L17032" s="2">
        <v>417</v>
      </c>
    </row>
    <row r="17033" spans="1:12" x14ac:dyDescent="0.25">
      <c r="A17033" s="4" t="str">
        <f>HYPERLINK("http://www.rosaceae.org/Prunus/Prunus_persica/p.persica_gdr_reftransV1_0046534","p.persica_gdr_reftransV1_0046534")</f>
        <v>p.persica_gdr_reftransV1_0046534</v>
      </c>
      <c r="B17033" s="2">
        <v>1193</v>
      </c>
      <c r="C17033" s="4" t="str">
        <f>HYPERLINK("http://www.uniprot.org/uniprot/M5WBJ9","M5WBJ9")</f>
        <v>M5WBJ9</v>
      </c>
      <c r="D17033" s="2" t="s">
        <v>12699</v>
      </c>
      <c r="E17033" s="3">
        <v>1.21E-138</v>
      </c>
      <c r="F17033" s="2">
        <v>1074</v>
      </c>
      <c r="G17033" s="2">
        <v>64</v>
      </c>
      <c r="H17033" s="2">
        <v>321</v>
      </c>
      <c r="I17033" s="2">
        <v>44</v>
      </c>
      <c r="J17033" s="2">
        <v>964</v>
      </c>
      <c r="K17033" s="2">
        <v>1</v>
      </c>
      <c r="L17033" s="2">
        <v>321</v>
      </c>
    </row>
    <row r="17034" spans="1:12" x14ac:dyDescent="0.25">
      <c r="A17034" s="4" t="str">
        <f>HYPERLINK("http://www.rosaceae.org/Prunus/Prunus_persica/p.persica_gdr_reftransV1_0047584","p.persica_gdr_reftransV1_0047584")</f>
        <v>p.persica_gdr_reftransV1_0047584</v>
      </c>
      <c r="B17034" s="2">
        <v>1006</v>
      </c>
      <c r="C17034" s="4" t="str">
        <f>HYPERLINK("http://www.uniprot.org/uniprot/M5X774","M5X774")</f>
        <v>M5X774</v>
      </c>
      <c r="D17034" s="2" t="s">
        <v>6659</v>
      </c>
      <c r="E17034" s="3">
        <v>2.8300000000000001E-35</v>
      </c>
      <c r="F17034" s="2">
        <v>348</v>
      </c>
      <c r="G17034" s="2">
        <v>90</v>
      </c>
      <c r="H17034" s="2">
        <v>94</v>
      </c>
      <c r="I17034" s="2">
        <v>259</v>
      </c>
      <c r="J17034" s="2">
        <v>540</v>
      </c>
      <c r="K17034" s="2">
        <v>28</v>
      </c>
      <c r="L17034" s="2">
        <v>121</v>
      </c>
    </row>
    <row r="17035" spans="1:12" x14ac:dyDescent="0.25">
      <c r="A17035" s="4" t="str">
        <f>HYPERLINK("http://www.rosaceae.org/Prunus/Prunus_persica/p.persica_gdr_reftransV1_0047934","p.persica_gdr_reftransV1_0047934")</f>
        <v>p.persica_gdr_reftransV1_0047934</v>
      </c>
      <c r="B17035" s="2">
        <v>1213</v>
      </c>
      <c r="C17035" s="4" t="str">
        <f>HYPERLINK("http://www.uniprot.org/uniprot/M5VR42","M5VR42")</f>
        <v>M5VR42</v>
      </c>
      <c r="D17035" s="2" t="s">
        <v>5143</v>
      </c>
      <c r="E17035" s="3">
        <v>2.5099999999999999E-119</v>
      </c>
      <c r="F17035" s="2">
        <v>916</v>
      </c>
      <c r="G17035" s="2">
        <v>100</v>
      </c>
      <c r="H17035" s="2">
        <v>209</v>
      </c>
      <c r="I17035" s="2">
        <v>308</v>
      </c>
      <c r="J17035" s="2">
        <v>934</v>
      </c>
      <c r="K17035" s="2">
        <v>1</v>
      </c>
      <c r="L17035" s="2">
        <v>209</v>
      </c>
    </row>
    <row r="17036" spans="1:12" x14ac:dyDescent="0.25">
      <c r="A17036" s="4" t="str">
        <f>HYPERLINK("http://www.rosaceae.org/Prunus/Prunus_persica/p.persica_gdr_reftransV1_0048284","p.persica_gdr_reftransV1_0048284")</f>
        <v>p.persica_gdr_reftransV1_0048284</v>
      </c>
      <c r="B17036" s="2">
        <v>1303</v>
      </c>
      <c r="C17036" s="4" t="str">
        <f>HYPERLINK("http://www.uniprot.org/uniprot/M5X1G1","M5X1G1")</f>
        <v>M5X1G1</v>
      </c>
      <c r="D17036" s="2" t="s">
        <v>4921</v>
      </c>
      <c r="E17036" s="3">
        <v>6.4700000000000002E-89</v>
      </c>
      <c r="F17036" s="2">
        <v>726</v>
      </c>
      <c r="G17036" s="2">
        <v>99</v>
      </c>
      <c r="H17036" s="2">
        <v>203</v>
      </c>
      <c r="I17036" s="2">
        <v>17</v>
      </c>
      <c r="J17036" s="2">
        <v>625</v>
      </c>
      <c r="K17036" s="2">
        <v>1</v>
      </c>
      <c r="L17036" s="2">
        <v>203</v>
      </c>
    </row>
    <row r="17037" spans="1:12" x14ac:dyDescent="0.25">
      <c r="A17037" s="4" t="str">
        <f>HYPERLINK("http://www.rosaceae.org/Prunus/Prunus_persica/p.persica_gdr_reftransV1_0048634","p.persica_gdr_reftransV1_0048634")</f>
        <v>p.persica_gdr_reftransV1_0048634</v>
      </c>
      <c r="B17037" s="2">
        <v>433</v>
      </c>
      <c r="C17037" s="4" t="str">
        <f>HYPERLINK("http://www.uniprot.org/uniprot/M5WGC8","M5WGC8")</f>
        <v>M5WGC8</v>
      </c>
      <c r="D17037" s="2" t="s">
        <v>801</v>
      </c>
      <c r="E17037" s="3">
        <v>2.6200000000000001E-11</v>
      </c>
      <c r="F17037" s="2">
        <v>169</v>
      </c>
      <c r="G17037" s="2">
        <v>100</v>
      </c>
      <c r="H17037" s="2">
        <v>70</v>
      </c>
      <c r="I17037" s="2">
        <v>222</v>
      </c>
      <c r="J17037" s="2">
        <v>431</v>
      </c>
      <c r="K17037" s="2">
        <v>1</v>
      </c>
      <c r="L17037" s="2">
        <v>70</v>
      </c>
    </row>
    <row r="17038" spans="1:12" x14ac:dyDescent="0.25">
      <c r="A17038" s="4" t="str">
        <f>HYPERLINK("http://www.rosaceae.org/Prunus/Prunus_persica/p.persica_gdr_reftransV1_0048984","p.persica_gdr_reftransV1_0048984")</f>
        <v>p.persica_gdr_reftransV1_0048984</v>
      </c>
      <c r="B17038" s="2">
        <v>522</v>
      </c>
      <c r="C17038" s="4" t="str">
        <f>HYPERLINK("http://www.uniprot.org/uniprot/M5XQA2","M5XQA2")</f>
        <v>M5XQA2</v>
      </c>
      <c r="D17038" s="2" t="s">
        <v>13397</v>
      </c>
      <c r="E17038" s="3">
        <v>3.8699999999999998E-102</v>
      </c>
      <c r="F17038" s="2">
        <v>842</v>
      </c>
      <c r="G17038" s="2">
        <v>99</v>
      </c>
      <c r="H17038" s="2">
        <v>162</v>
      </c>
      <c r="I17038" s="2">
        <v>3</v>
      </c>
      <c r="J17038" s="2">
        <v>488</v>
      </c>
      <c r="K17038" s="2">
        <v>475</v>
      </c>
      <c r="L17038" s="2">
        <v>636</v>
      </c>
    </row>
    <row r="17039" spans="1:12" x14ac:dyDescent="0.25">
      <c r="A17039" s="4" t="str">
        <f>HYPERLINK("http://www.rosaceae.org/Prunus/Prunus_persica/p.persica_gdr_reftransV1_0000335","p.persica_gdr_reftransV1_0000335")</f>
        <v>p.persica_gdr_reftransV1_0000335</v>
      </c>
      <c r="B17039" s="2">
        <v>1183</v>
      </c>
      <c r="C17039" s="4" t="str">
        <f>HYPERLINK("http://www.uniprot.org/uniprot/M5W6V4","M5W6V4")</f>
        <v>M5W6V4</v>
      </c>
      <c r="D17039" s="2" t="s">
        <v>13398</v>
      </c>
      <c r="E17039" s="3">
        <v>1.7699999999999998E-176</v>
      </c>
      <c r="F17039" s="2">
        <v>1298</v>
      </c>
      <c r="G17039" s="2">
        <v>100</v>
      </c>
      <c r="H17039" s="2">
        <v>265</v>
      </c>
      <c r="I17039" s="2">
        <v>260</v>
      </c>
      <c r="J17039" s="2">
        <v>1054</v>
      </c>
      <c r="K17039" s="2">
        <v>1</v>
      </c>
      <c r="L17039" s="2">
        <v>265</v>
      </c>
    </row>
    <row r="17040" spans="1:12" x14ac:dyDescent="0.25">
      <c r="A17040" s="4" t="str">
        <f>HYPERLINK("http://www.rosaceae.org/Prunus/Prunus_persica/p.persica_gdr_reftransV1_0000685","p.persica_gdr_reftransV1_0000685")</f>
        <v>p.persica_gdr_reftransV1_0000685</v>
      </c>
      <c r="B17040" s="2">
        <v>2674</v>
      </c>
      <c r="C17040" s="4" t="str">
        <f>HYPERLINK("http://www.uniprot.org/uniprot/M5X8M9","M5X8M9")</f>
        <v>M5X8M9</v>
      </c>
      <c r="D17040" s="2" t="s">
        <v>4895</v>
      </c>
      <c r="E17040" s="3">
        <v>0</v>
      </c>
      <c r="F17040" s="2">
        <v>4165</v>
      </c>
      <c r="G17040" s="2">
        <v>100</v>
      </c>
      <c r="H17040" s="2">
        <v>847</v>
      </c>
      <c r="I17040" s="2">
        <v>3</v>
      </c>
      <c r="J17040" s="2">
        <v>2543</v>
      </c>
      <c r="K17040" s="2">
        <v>1</v>
      </c>
      <c r="L17040" s="2">
        <v>847</v>
      </c>
    </row>
    <row r="17041" spans="1:12" x14ac:dyDescent="0.25">
      <c r="A17041" s="4" t="str">
        <f>HYPERLINK("http://www.rosaceae.org/Prunus/Prunus_persica/p.persica_gdr_reftransV1_0001035","p.persica_gdr_reftransV1_0001035")</f>
        <v>p.persica_gdr_reftransV1_0001035</v>
      </c>
      <c r="B17041" s="2">
        <v>305</v>
      </c>
      <c r="C17041" s="4" t="str">
        <f>HYPERLINK("http://www.uniprot.org/uniprot/M5WA68","M5WA68")</f>
        <v>M5WA68</v>
      </c>
      <c r="D17041" s="2" t="s">
        <v>7729</v>
      </c>
      <c r="E17041" s="3">
        <v>1.94E-59</v>
      </c>
      <c r="F17041" s="2">
        <v>524</v>
      </c>
      <c r="G17041" s="2">
        <v>100</v>
      </c>
      <c r="H17041" s="2">
        <v>101</v>
      </c>
      <c r="I17041" s="2">
        <v>3</v>
      </c>
      <c r="J17041" s="2">
        <v>305</v>
      </c>
      <c r="K17041" s="2">
        <v>607</v>
      </c>
      <c r="L17041" s="2">
        <v>707</v>
      </c>
    </row>
    <row r="17042" spans="1:12" x14ac:dyDescent="0.25">
      <c r="A17042" s="4" t="str">
        <f>HYPERLINK("http://www.rosaceae.org/Prunus/Prunus_persica/p.persica_gdr_reftransV1_0001735","p.persica_gdr_reftransV1_0001735")</f>
        <v>p.persica_gdr_reftransV1_0001735</v>
      </c>
      <c r="B17042" s="2">
        <v>2088</v>
      </c>
      <c r="C17042" s="4" t="str">
        <f>HYPERLINK("http://www.uniprot.org/uniprot/M5WD10","M5WD10")</f>
        <v>M5WD10</v>
      </c>
      <c r="D17042" s="2" t="s">
        <v>7551</v>
      </c>
      <c r="E17042" s="3">
        <v>0</v>
      </c>
      <c r="F17042" s="2">
        <v>2490</v>
      </c>
      <c r="G17042" s="2">
        <v>93</v>
      </c>
      <c r="H17042" s="2">
        <v>507</v>
      </c>
      <c r="I17042" s="2">
        <v>330</v>
      </c>
      <c r="J17042" s="2">
        <v>1850</v>
      </c>
      <c r="K17042" s="2">
        <v>1</v>
      </c>
      <c r="L17042" s="2">
        <v>473</v>
      </c>
    </row>
    <row r="17043" spans="1:12" x14ac:dyDescent="0.25">
      <c r="A17043" s="4" t="str">
        <f>HYPERLINK("http://www.rosaceae.org/Prunus/Prunus_persica/p.persica_gdr_reftransV1_0002085","p.persica_gdr_reftransV1_0002085")</f>
        <v>p.persica_gdr_reftransV1_0002085</v>
      </c>
      <c r="B17043" s="2">
        <v>2318</v>
      </c>
      <c r="C17043" s="4" t="str">
        <f>HYPERLINK("http://www.uniprot.org/uniprot/M5WEC1","M5WEC1")</f>
        <v>M5WEC1</v>
      </c>
      <c r="D17043" s="2" t="s">
        <v>4769</v>
      </c>
      <c r="E17043" s="3">
        <v>0</v>
      </c>
      <c r="F17043" s="2">
        <v>3929</v>
      </c>
      <c r="G17043" s="2">
        <v>100</v>
      </c>
      <c r="H17043" s="2">
        <v>739</v>
      </c>
      <c r="I17043" s="2">
        <v>14</v>
      </c>
      <c r="J17043" s="2">
        <v>2230</v>
      </c>
      <c r="K17043" s="2">
        <v>1</v>
      </c>
      <c r="L17043" s="2">
        <v>739</v>
      </c>
    </row>
    <row r="17044" spans="1:12" x14ac:dyDescent="0.25">
      <c r="A17044" s="4" t="str">
        <f>HYPERLINK("http://www.rosaceae.org/Prunus/Prunus_persica/p.persica_gdr_reftransV1_0002435","p.persica_gdr_reftransV1_0002435")</f>
        <v>p.persica_gdr_reftransV1_0002435</v>
      </c>
      <c r="B17044" s="2">
        <v>435</v>
      </c>
      <c r="C17044" s="4" t="str">
        <f>HYPERLINK("http://www.uniprot.org/uniprot/M5WML3","M5WML3")</f>
        <v>M5WML3</v>
      </c>
      <c r="D17044" s="2" t="s">
        <v>13399</v>
      </c>
      <c r="E17044" s="3">
        <v>6.1700000000000002E-103</v>
      </c>
      <c r="F17044" s="2">
        <v>795</v>
      </c>
      <c r="G17044" s="2">
        <v>100</v>
      </c>
      <c r="H17044" s="2">
        <v>145</v>
      </c>
      <c r="I17044" s="2">
        <v>1</v>
      </c>
      <c r="J17044" s="2">
        <v>435</v>
      </c>
      <c r="K17044" s="2">
        <v>19</v>
      </c>
      <c r="L17044" s="2">
        <v>163</v>
      </c>
    </row>
    <row r="17045" spans="1:12" x14ac:dyDescent="0.25">
      <c r="A17045" s="4" t="str">
        <f>HYPERLINK("http://www.rosaceae.org/Prunus/Prunus_persica/p.persica_gdr_reftransV1_0002785","p.persica_gdr_reftransV1_0002785")</f>
        <v>p.persica_gdr_reftransV1_0002785</v>
      </c>
      <c r="B17045" s="2">
        <v>666</v>
      </c>
      <c r="C17045" s="4" t="str">
        <f>HYPERLINK("http://www.uniprot.org/uniprot/M5WUA4","M5WUA4")</f>
        <v>M5WUA4</v>
      </c>
      <c r="D17045" s="2" t="s">
        <v>13317</v>
      </c>
      <c r="E17045" s="3">
        <v>1.19E-122</v>
      </c>
      <c r="F17045" s="2">
        <v>933</v>
      </c>
      <c r="G17045" s="2">
        <v>100</v>
      </c>
      <c r="H17045" s="2">
        <v>177</v>
      </c>
      <c r="I17045" s="2">
        <v>1</v>
      </c>
      <c r="J17045" s="2">
        <v>531</v>
      </c>
      <c r="K17045" s="2">
        <v>1</v>
      </c>
      <c r="L17045" s="2">
        <v>177</v>
      </c>
    </row>
    <row r="17046" spans="1:12" x14ac:dyDescent="0.25">
      <c r="A17046" s="4" t="str">
        <f>HYPERLINK("http://www.rosaceae.org/Prunus/Prunus_persica/p.persica_gdr_reftransV1_0003135","p.persica_gdr_reftransV1_0003135")</f>
        <v>p.persica_gdr_reftransV1_0003135</v>
      </c>
      <c r="B17046" s="2">
        <v>314</v>
      </c>
      <c r="C17046" s="4" t="str">
        <f>HYPERLINK("http://www.uniprot.org/uniprot/M5W899","M5W899")</f>
        <v>M5W899</v>
      </c>
      <c r="D17046" s="2" t="s">
        <v>529</v>
      </c>
      <c r="E17046" s="3">
        <v>5.1099999999999999E-10</v>
      </c>
      <c r="F17046" s="2">
        <v>158</v>
      </c>
      <c r="G17046" s="2">
        <v>38</v>
      </c>
      <c r="H17046" s="2">
        <v>101</v>
      </c>
      <c r="I17046" s="2">
        <v>5</v>
      </c>
      <c r="J17046" s="2">
        <v>304</v>
      </c>
      <c r="K17046" s="2">
        <v>26</v>
      </c>
      <c r="L17046" s="2">
        <v>126</v>
      </c>
    </row>
    <row r="17047" spans="1:12" x14ac:dyDescent="0.25">
      <c r="A17047" s="4" t="str">
        <f>HYPERLINK("http://www.rosaceae.org/Prunus/Prunus_persica/p.persica_gdr_reftransV1_0003485","p.persica_gdr_reftransV1_0003485")</f>
        <v>p.persica_gdr_reftransV1_0003485</v>
      </c>
      <c r="B17047" s="2">
        <v>2191</v>
      </c>
      <c r="C17047" s="4" t="str">
        <f>HYPERLINK("http://www.uniprot.org/uniprot/M5WIB5","M5WIB5")</f>
        <v>M5WIB5</v>
      </c>
      <c r="D17047" s="2" t="s">
        <v>13400</v>
      </c>
      <c r="E17047" s="3">
        <v>0</v>
      </c>
      <c r="F17047" s="2">
        <v>2737</v>
      </c>
      <c r="G17047" s="2">
        <v>100</v>
      </c>
      <c r="H17047" s="2">
        <v>522</v>
      </c>
      <c r="I17047" s="2">
        <v>118</v>
      </c>
      <c r="J17047" s="2">
        <v>1683</v>
      </c>
      <c r="K17047" s="2">
        <v>1</v>
      </c>
      <c r="L17047" s="2">
        <v>522</v>
      </c>
    </row>
    <row r="17048" spans="1:12" x14ac:dyDescent="0.25">
      <c r="A17048" s="4" t="str">
        <f>HYPERLINK("http://www.rosaceae.org/Prunus/Prunus_persica/p.persica_gdr_reftransV1_0003835","p.persica_gdr_reftransV1_0003835")</f>
        <v>p.persica_gdr_reftransV1_0003835</v>
      </c>
      <c r="B17048" s="2">
        <v>1625</v>
      </c>
      <c r="C17048" s="4" t="str">
        <f>HYPERLINK("http://www.uniprot.org/uniprot/M5WC94","M5WC94")</f>
        <v>M5WC94</v>
      </c>
      <c r="D17048" s="2" t="s">
        <v>13401</v>
      </c>
      <c r="E17048" s="3">
        <v>1.19E-179</v>
      </c>
      <c r="F17048" s="2">
        <v>1336</v>
      </c>
      <c r="G17048" s="2">
        <v>88</v>
      </c>
      <c r="H17048" s="2">
        <v>317</v>
      </c>
      <c r="I17048" s="2">
        <v>318</v>
      </c>
      <c r="J17048" s="2">
        <v>1268</v>
      </c>
      <c r="K17048" s="2">
        <v>1</v>
      </c>
      <c r="L17048" s="2">
        <v>280</v>
      </c>
    </row>
    <row r="17049" spans="1:12" x14ac:dyDescent="0.25">
      <c r="A17049" s="4" t="str">
        <f>HYPERLINK("http://www.rosaceae.org/Prunus/Prunus_persica/p.persica_gdr_reftransV1_0004885","p.persica_gdr_reftransV1_0004885")</f>
        <v>p.persica_gdr_reftransV1_0004885</v>
      </c>
      <c r="B17049" s="2">
        <v>345</v>
      </c>
      <c r="C17049" s="4" t="str">
        <f>HYPERLINK("http://www.uniprot.org/uniprot/M5Wid3","M5Wid3")</f>
        <v>M5Wid3</v>
      </c>
      <c r="D17049" s="2" t="s">
        <v>49</v>
      </c>
      <c r="E17049" s="3">
        <v>7.88E-70</v>
      </c>
      <c r="F17049" s="2">
        <v>599</v>
      </c>
      <c r="G17049" s="2">
        <v>100</v>
      </c>
      <c r="H17049" s="2">
        <v>114</v>
      </c>
      <c r="I17049" s="2">
        <v>2</v>
      </c>
      <c r="J17049" s="2">
        <v>343</v>
      </c>
      <c r="K17049" s="2">
        <v>536</v>
      </c>
      <c r="L17049" s="2">
        <v>649</v>
      </c>
    </row>
    <row r="17050" spans="1:12" x14ac:dyDescent="0.25">
      <c r="A17050" s="4" t="str">
        <f>HYPERLINK("http://www.rosaceae.org/Prunus/Prunus_persica/p.persica_gdr_reftransV1_0005585","p.persica_gdr_reftransV1_0005585")</f>
        <v>p.persica_gdr_reftransV1_0005585</v>
      </c>
      <c r="B17050" s="2">
        <v>537</v>
      </c>
      <c r="C17050" s="4" t="str">
        <f>HYPERLINK("http://www.uniprot.org/uniprot/M5VSH6","M5VSH6")</f>
        <v>M5VSH6</v>
      </c>
      <c r="D17050" s="2" t="s">
        <v>13402</v>
      </c>
      <c r="E17050" s="3">
        <v>2.2000000000000001E-66</v>
      </c>
      <c r="F17050" s="2">
        <v>535</v>
      </c>
      <c r="G17050" s="2">
        <v>90</v>
      </c>
      <c r="H17050" s="2">
        <v>120</v>
      </c>
      <c r="I17050" s="2">
        <v>64</v>
      </c>
      <c r="J17050" s="2">
        <v>387</v>
      </c>
      <c r="K17050" s="2">
        <v>1</v>
      </c>
      <c r="L17050" s="2">
        <v>120</v>
      </c>
    </row>
    <row r="17051" spans="1:12" x14ac:dyDescent="0.25">
      <c r="A17051" s="4" t="str">
        <f>HYPERLINK("http://www.rosaceae.org/Prunus/Prunus_persica/p.persica_gdr_reftransV1_0005935","p.persica_gdr_reftransV1_0005935")</f>
        <v>p.persica_gdr_reftransV1_0005935</v>
      </c>
      <c r="B17051" s="2">
        <v>487</v>
      </c>
      <c r="C17051" s="4" t="str">
        <f>HYPERLINK("http://www.uniprot.org/uniprot/A6XN05","A6XN05")</f>
        <v>A6XN05</v>
      </c>
      <c r="D17051" s="2" t="s">
        <v>2264</v>
      </c>
      <c r="E17051" s="3">
        <v>2.3200000000000002E-16</v>
      </c>
      <c r="F17051" s="2">
        <v>209</v>
      </c>
      <c r="G17051" s="2">
        <v>76</v>
      </c>
      <c r="H17051" s="2">
        <v>50</v>
      </c>
      <c r="I17051" s="2">
        <v>238</v>
      </c>
      <c r="J17051" s="2">
        <v>387</v>
      </c>
      <c r="K17051" s="2">
        <v>69</v>
      </c>
      <c r="L17051" s="2">
        <v>118</v>
      </c>
    </row>
    <row r="17052" spans="1:12" x14ac:dyDescent="0.25">
      <c r="A17052" s="4" t="str">
        <f>HYPERLINK("http://www.rosaceae.org/Prunus/Prunus_persica/p.persica_gdr_reftransV1_0006285","p.persica_gdr_reftransV1_0006285")</f>
        <v>p.persica_gdr_reftransV1_0006285</v>
      </c>
      <c r="B17052" s="2">
        <v>821</v>
      </c>
      <c r="C17052" s="4" t="str">
        <f>HYPERLINK("http://www.uniprot.org/uniprot/M5W6G4","M5W6G4")</f>
        <v>M5W6G4</v>
      </c>
      <c r="D17052" s="2" t="s">
        <v>13403</v>
      </c>
      <c r="E17052" s="3">
        <v>1.3400000000000001E-95</v>
      </c>
      <c r="F17052" s="2">
        <v>812</v>
      </c>
      <c r="G17052" s="2">
        <v>100</v>
      </c>
      <c r="H17052" s="2">
        <v>226</v>
      </c>
      <c r="I17052" s="2">
        <v>112</v>
      </c>
      <c r="J17052" s="2">
        <v>789</v>
      </c>
      <c r="K17052" s="2">
        <v>1</v>
      </c>
      <c r="L17052" s="2">
        <v>226</v>
      </c>
    </row>
    <row r="17053" spans="1:12" x14ac:dyDescent="0.25">
      <c r="A17053" s="4" t="str">
        <f>HYPERLINK("http://www.rosaceae.org/Prunus/Prunus_persica/p.persica_gdr_reftransV1_0007335","p.persica_gdr_reftransV1_0007335")</f>
        <v>p.persica_gdr_reftransV1_0007335</v>
      </c>
      <c r="B17053" s="2">
        <v>1896</v>
      </c>
      <c r="C17053" s="4" t="str">
        <f>HYPERLINK("http://www.uniprot.org/uniprot/M5WU34","M5WU34")</f>
        <v>M5WU34</v>
      </c>
      <c r="D17053" s="2" t="s">
        <v>13404</v>
      </c>
      <c r="E17053" s="3">
        <v>0</v>
      </c>
      <c r="F17053" s="2">
        <v>2035</v>
      </c>
      <c r="G17053" s="2">
        <v>100</v>
      </c>
      <c r="H17053" s="2">
        <v>378</v>
      </c>
      <c r="I17053" s="2">
        <v>423</v>
      </c>
      <c r="J17053" s="2">
        <v>1556</v>
      </c>
      <c r="K17053" s="2">
        <v>1</v>
      </c>
      <c r="L17053" s="2">
        <v>378</v>
      </c>
    </row>
    <row r="17054" spans="1:12" x14ac:dyDescent="0.25">
      <c r="A17054" s="4" t="str">
        <f>HYPERLINK("http://www.rosaceae.org/Prunus/Prunus_persica/p.persica_gdr_reftransV1_0008035","p.persica_gdr_reftransV1_0008035")</f>
        <v>p.persica_gdr_reftransV1_0008035</v>
      </c>
      <c r="B17054" s="2">
        <v>680</v>
      </c>
      <c r="C17054" s="4" t="str">
        <f>HYPERLINK("http://www.uniprot.org/uniprot/M5WRP0","M5WRP0")</f>
        <v>M5WRP0</v>
      </c>
      <c r="D17054" s="2" t="s">
        <v>13405</v>
      </c>
      <c r="E17054" s="3">
        <v>6.0200000000000003E-116</v>
      </c>
      <c r="F17054" s="2">
        <v>930</v>
      </c>
      <c r="G17054" s="2">
        <v>100</v>
      </c>
      <c r="H17054" s="2">
        <v>173</v>
      </c>
      <c r="I17054" s="2">
        <v>162</v>
      </c>
      <c r="J17054" s="2">
        <v>680</v>
      </c>
      <c r="K17054" s="2">
        <v>692</v>
      </c>
      <c r="L17054" s="2">
        <v>864</v>
      </c>
    </row>
    <row r="17055" spans="1:12" x14ac:dyDescent="0.25">
      <c r="A17055" s="4" t="str">
        <f>HYPERLINK("http://www.rosaceae.org/Prunus/Prunus_persica/p.persica_gdr_reftransV1_0008385","p.persica_gdr_reftransV1_0008385")</f>
        <v>p.persica_gdr_reftransV1_0008385</v>
      </c>
      <c r="B17055" s="2">
        <v>2307</v>
      </c>
      <c r="C17055" s="4" t="str">
        <f>HYPERLINK("http://www.uniprot.org/uniprot/M5XAX6","M5XAX6")</f>
        <v>M5XAX6</v>
      </c>
      <c r="D17055" s="2" t="s">
        <v>13406</v>
      </c>
      <c r="E17055" s="3">
        <v>0</v>
      </c>
      <c r="F17055" s="2">
        <v>2265</v>
      </c>
      <c r="G17055" s="2">
        <v>95</v>
      </c>
      <c r="H17055" s="2">
        <v>632</v>
      </c>
      <c r="I17055" s="2">
        <v>81</v>
      </c>
      <c r="J17055" s="2">
        <v>1976</v>
      </c>
      <c r="K17055" s="2">
        <v>53</v>
      </c>
      <c r="L17055" s="2">
        <v>666</v>
      </c>
    </row>
    <row r="17056" spans="1:12" x14ac:dyDescent="0.25">
      <c r="A17056" s="4" t="str">
        <f>HYPERLINK("http://www.rosaceae.org/Prunus/Prunus_persica/p.persica_gdr_reftransV1_0009085","p.persica_gdr_reftransV1_0009085")</f>
        <v>p.persica_gdr_reftransV1_0009085</v>
      </c>
      <c r="B17056" s="2">
        <v>1241</v>
      </c>
      <c r="C17056" s="4" t="str">
        <f>HYPERLINK("http://www.uniprot.org/uniprot/M5WU32","M5WU32")</f>
        <v>M5WU32</v>
      </c>
      <c r="D17056" s="2" t="s">
        <v>13407</v>
      </c>
      <c r="E17056" s="3">
        <v>3.6099999999999999E-137</v>
      </c>
      <c r="F17056" s="2">
        <v>1034</v>
      </c>
      <c r="G17056" s="2">
        <v>100</v>
      </c>
      <c r="H17056" s="2">
        <v>193</v>
      </c>
      <c r="I17056" s="2">
        <v>520</v>
      </c>
      <c r="J17056" s="2">
        <v>1098</v>
      </c>
      <c r="K17056" s="2">
        <v>1</v>
      </c>
      <c r="L17056" s="2">
        <v>193</v>
      </c>
    </row>
    <row r="17057" spans="1:12" x14ac:dyDescent="0.25">
      <c r="A17057" s="4" t="str">
        <f>HYPERLINK("http://www.rosaceae.org/Prunus/Prunus_persica/p.persica_gdr_reftransV1_0009435","p.persica_gdr_reftransV1_0009435")</f>
        <v>p.persica_gdr_reftransV1_0009435</v>
      </c>
      <c r="B17057" s="2">
        <v>2170</v>
      </c>
      <c r="C17057" s="4" t="str">
        <f>HYPERLINK("http://www.uniprot.org/uniprot/M5WS36","M5WS36")</f>
        <v>M5WS36</v>
      </c>
      <c r="D17057" s="2" t="s">
        <v>13408</v>
      </c>
      <c r="E17057" s="3">
        <v>0</v>
      </c>
      <c r="F17057" s="2">
        <v>3017</v>
      </c>
      <c r="G17057" s="2">
        <v>100</v>
      </c>
      <c r="H17057" s="2">
        <v>578</v>
      </c>
      <c r="I17057" s="2">
        <v>140</v>
      </c>
      <c r="J17057" s="2">
        <v>1873</v>
      </c>
      <c r="K17057" s="2">
        <v>1</v>
      </c>
      <c r="L17057" s="2">
        <v>578</v>
      </c>
    </row>
    <row r="17058" spans="1:12" x14ac:dyDescent="0.25">
      <c r="A17058" s="4" t="str">
        <f>HYPERLINK("http://www.rosaceae.org/Prunus/Prunus_persica/p.persica_gdr_reftransV1_0009785","p.persica_gdr_reftransV1_0009785")</f>
        <v>p.persica_gdr_reftransV1_0009785</v>
      </c>
      <c r="B17058" s="2">
        <v>1439</v>
      </c>
      <c r="C17058" s="4" t="str">
        <f>HYPERLINK("http://www.uniprot.org/uniprot/M5VVX3","M5VVX3")</f>
        <v>M5VVX3</v>
      </c>
      <c r="D17058" s="2" t="s">
        <v>13409</v>
      </c>
      <c r="E17058" s="3">
        <v>0</v>
      </c>
      <c r="F17058" s="2">
        <v>1705</v>
      </c>
      <c r="G17058" s="2">
        <v>100</v>
      </c>
      <c r="H17058" s="2">
        <v>358</v>
      </c>
      <c r="I17058" s="2">
        <v>314</v>
      </c>
      <c r="J17058" s="2">
        <v>1387</v>
      </c>
      <c r="K17058" s="2">
        <v>21</v>
      </c>
      <c r="L17058" s="2">
        <v>378</v>
      </c>
    </row>
    <row r="17059" spans="1:12" x14ac:dyDescent="0.25">
      <c r="A17059" s="4" t="str">
        <f>HYPERLINK("http://www.rosaceae.org/Prunus/Prunus_persica/p.persica_gdr_reftransV1_0010135","p.persica_gdr_reftransV1_0010135")</f>
        <v>p.persica_gdr_reftransV1_0010135</v>
      </c>
      <c r="B17059" s="2">
        <v>1030</v>
      </c>
      <c r="C17059" s="4" t="str">
        <f>HYPERLINK("http://www.uniprot.org/uniprot/M5WCK2","M5WCK2")</f>
        <v>M5WCK2</v>
      </c>
      <c r="D17059" s="2" t="s">
        <v>13410</v>
      </c>
      <c r="E17059" s="3">
        <v>1.42E-166</v>
      </c>
      <c r="F17059" s="2">
        <v>1225</v>
      </c>
      <c r="G17059" s="2">
        <v>100</v>
      </c>
      <c r="H17059" s="2">
        <v>237</v>
      </c>
      <c r="I17059" s="2">
        <v>223</v>
      </c>
      <c r="J17059" s="2">
        <v>933</v>
      </c>
      <c r="K17059" s="2">
        <v>1</v>
      </c>
      <c r="L17059" s="2">
        <v>237</v>
      </c>
    </row>
    <row r="17060" spans="1:12" x14ac:dyDescent="0.25">
      <c r="A17060" s="4" t="str">
        <f>HYPERLINK("http://www.rosaceae.org/Prunus/Prunus_persica/p.persica_gdr_reftransV1_0011885","p.persica_gdr_reftransV1_0011885")</f>
        <v>p.persica_gdr_reftransV1_0011885</v>
      </c>
      <c r="B17060" s="2">
        <v>850</v>
      </c>
      <c r="C17060" s="4" t="str">
        <f>HYPERLINK("http://www.uniprot.org/uniprot/M5X440","M5X440")</f>
        <v>M5X440</v>
      </c>
      <c r="D17060" s="2" t="s">
        <v>13411</v>
      </c>
      <c r="E17060" s="3">
        <v>1.9099999999999999E-46</v>
      </c>
      <c r="F17060" s="2">
        <v>415</v>
      </c>
      <c r="G17060" s="2">
        <v>100</v>
      </c>
      <c r="H17060" s="2">
        <v>158</v>
      </c>
      <c r="I17060" s="2">
        <v>303</v>
      </c>
      <c r="J17060" s="2">
        <v>776</v>
      </c>
      <c r="K17060" s="2">
        <v>1</v>
      </c>
      <c r="L17060" s="2">
        <v>158</v>
      </c>
    </row>
    <row r="17061" spans="1:12" x14ac:dyDescent="0.25">
      <c r="A17061" s="4" t="str">
        <f>HYPERLINK("http://www.rosaceae.org/Prunus/Prunus_persica/p.persica_gdr_reftransV1_0012585","p.persica_gdr_reftransV1_0012585")</f>
        <v>p.persica_gdr_reftransV1_0012585</v>
      </c>
      <c r="B17061" s="2">
        <v>1971</v>
      </c>
      <c r="C17061" s="4" t="str">
        <f>HYPERLINK("http://www.uniprot.org/uniprot/M5WU48","M5WU48")</f>
        <v>M5WU48</v>
      </c>
      <c r="D17061" s="2" t="s">
        <v>13412</v>
      </c>
      <c r="E17061" s="3">
        <v>0</v>
      </c>
      <c r="F17061" s="2">
        <v>1518</v>
      </c>
      <c r="G17061" s="2">
        <v>100</v>
      </c>
      <c r="H17061" s="2">
        <v>369</v>
      </c>
      <c r="I17061" s="2">
        <v>565</v>
      </c>
      <c r="J17061" s="2">
        <v>1671</v>
      </c>
      <c r="K17061" s="2">
        <v>1</v>
      </c>
      <c r="L17061" s="2">
        <v>369</v>
      </c>
    </row>
    <row r="17062" spans="1:12" x14ac:dyDescent="0.25">
      <c r="A17062" s="4" t="str">
        <f>HYPERLINK("http://www.rosaceae.org/Prunus/Prunus_persica/p.persica_gdr_reftransV1_0013285","p.persica_gdr_reftransV1_0013285")</f>
        <v>p.persica_gdr_reftransV1_0013285</v>
      </c>
      <c r="B17062" s="2">
        <v>2577</v>
      </c>
      <c r="C17062" s="4" t="str">
        <f>HYPERLINK("http://www.uniprot.org/uniprot/M5X5M4","M5X5M4")</f>
        <v>M5X5M4</v>
      </c>
      <c r="D17062" s="2" t="s">
        <v>13413</v>
      </c>
      <c r="E17062" s="3">
        <v>0</v>
      </c>
      <c r="F17062" s="2">
        <v>2093</v>
      </c>
      <c r="G17062" s="2">
        <v>100</v>
      </c>
      <c r="H17062" s="2">
        <v>387</v>
      </c>
      <c r="I17062" s="2">
        <v>1095</v>
      </c>
      <c r="J17062" s="2">
        <v>2255</v>
      </c>
      <c r="K17062" s="2">
        <v>11</v>
      </c>
      <c r="L17062" s="2">
        <v>397</v>
      </c>
    </row>
    <row r="17063" spans="1:12" x14ac:dyDescent="0.25">
      <c r="A17063" s="4" t="str">
        <f>HYPERLINK("http://www.rosaceae.org/Prunus/Prunus_persica/p.persica_gdr_reftransV1_0015035","p.persica_gdr_reftransV1_0015035")</f>
        <v>p.persica_gdr_reftransV1_0015035</v>
      </c>
      <c r="B17063" s="2">
        <v>5594</v>
      </c>
      <c r="C17063" s="4" t="str">
        <f>HYPERLINK("http://www.uniprot.org/uniprot/M5WP52","M5WP52")</f>
        <v>M5WP52</v>
      </c>
      <c r="D17063" s="2" t="s">
        <v>13414</v>
      </c>
      <c r="E17063" s="3">
        <v>0</v>
      </c>
      <c r="F17063" s="2">
        <v>6706</v>
      </c>
      <c r="G17063" s="2">
        <v>100</v>
      </c>
      <c r="H17063" s="2">
        <v>1347</v>
      </c>
      <c r="I17063" s="2">
        <v>224</v>
      </c>
      <c r="J17063" s="2">
        <v>4264</v>
      </c>
      <c r="K17063" s="2">
        <v>254</v>
      </c>
      <c r="L17063" s="2">
        <v>1600</v>
      </c>
    </row>
    <row r="17064" spans="1:12" x14ac:dyDescent="0.25">
      <c r="A17064" s="4" t="str">
        <f>HYPERLINK("http://www.rosaceae.org/Prunus/Prunus_persica/p.persica_gdr_reftransV1_0015735","p.persica_gdr_reftransV1_0015735")</f>
        <v>p.persica_gdr_reftransV1_0015735</v>
      </c>
      <c r="B17064" s="2">
        <v>1006</v>
      </c>
      <c r="C17064" s="4" t="str">
        <f>HYPERLINK("http://www.uniprot.org/uniprot/M5W8I3","M5W8I3")</f>
        <v>M5W8I3</v>
      </c>
      <c r="D17064" s="2" t="s">
        <v>13415</v>
      </c>
      <c r="E17064" s="3">
        <v>6.2200000000000003E-130</v>
      </c>
      <c r="F17064" s="2">
        <v>977</v>
      </c>
      <c r="G17064" s="2">
        <v>94</v>
      </c>
      <c r="H17064" s="2">
        <v>198</v>
      </c>
      <c r="I17064" s="2">
        <v>196</v>
      </c>
      <c r="J17064" s="2">
        <v>789</v>
      </c>
      <c r="K17064" s="2">
        <v>1</v>
      </c>
      <c r="L17064" s="2">
        <v>187</v>
      </c>
    </row>
    <row r="17065" spans="1:12" x14ac:dyDescent="0.25">
      <c r="A17065" s="4" t="str">
        <f>HYPERLINK("http://www.rosaceae.org/Prunus/Prunus_persica/p.persica_gdr_reftransV1_0016785","p.persica_gdr_reftransV1_0016785")</f>
        <v>p.persica_gdr_reftransV1_0016785</v>
      </c>
      <c r="B17065" s="2">
        <v>2345</v>
      </c>
      <c r="C17065" s="4" t="str">
        <f>HYPERLINK("http://www.uniprot.org/uniprot/M5VZ55","M5VZ55")</f>
        <v>M5VZ55</v>
      </c>
      <c r="D17065" s="2" t="s">
        <v>13416</v>
      </c>
      <c r="E17065" s="3">
        <v>0</v>
      </c>
      <c r="F17065" s="2">
        <v>2396</v>
      </c>
      <c r="G17065" s="2">
        <v>100</v>
      </c>
      <c r="H17065" s="2">
        <v>448</v>
      </c>
      <c r="I17065" s="2">
        <v>426</v>
      </c>
      <c r="J17065" s="2">
        <v>1769</v>
      </c>
      <c r="K17065" s="2">
        <v>1</v>
      </c>
      <c r="L17065" s="2">
        <v>448</v>
      </c>
    </row>
    <row r="17066" spans="1:12" x14ac:dyDescent="0.25">
      <c r="A17066" s="4" t="str">
        <f>HYPERLINK("http://www.rosaceae.org/Prunus/Prunus_persica/p.persica_gdr_reftransV1_0017835","p.persica_gdr_reftransV1_0017835")</f>
        <v>p.persica_gdr_reftransV1_0017835</v>
      </c>
      <c r="B17066" s="2">
        <v>3947</v>
      </c>
      <c r="C17066" s="4" t="str">
        <f>HYPERLINK("http://www.uniprot.org/uniprot/M5XNP1","M5XNP1")</f>
        <v>M5XNP1</v>
      </c>
      <c r="D17066" s="2" t="s">
        <v>5048</v>
      </c>
      <c r="E17066" s="3">
        <v>0</v>
      </c>
      <c r="F17066" s="2">
        <v>5437</v>
      </c>
      <c r="G17066" s="2">
        <v>97</v>
      </c>
      <c r="H17066" s="2">
        <v>1203</v>
      </c>
      <c r="I17066" s="2">
        <v>258</v>
      </c>
      <c r="J17066" s="2">
        <v>3866</v>
      </c>
      <c r="K17066" s="2">
        <v>1</v>
      </c>
      <c r="L17066" s="2">
        <v>1162</v>
      </c>
    </row>
    <row r="17067" spans="1:12" x14ac:dyDescent="0.25">
      <c r="A17067" s="4" t="str">
        <f>HYPERLINK("http://www.rosaceae.org/Prunus/Prunus_persica/p.persica_gdr_reftransV1_0018885","p.persica_gdr_reftransV1_0018885")</f>
        <v>p.persica_gdr_reftransV1_0018885</v>
      </c>
      <c r="B17067" s="2">
        <v>1281</v>
      </c>
      <c r="C17067" s="4" t="str">
        <f>HYPERLINK("http://www.uniprot.org/uniprot/B9IKY1","B9IKY1")</f>
        <v>B9IKY1</v>
      </c>
      <c r="D17067" s="2" t="s">
        <v>13417</v>
      </c>
      <c r="E17067" s="3">
        <v>1.9999999999999999E-60</v>
      </c>
      <c r="F17067" s="2">
        <v>410</v>
      </c>
      <c r="G17067" s="2">
        <v>75</v>
      </c>
      <c r="H17067" s="2">
        <v>100</v>
      </c>
      <c r="I17067" s="2">
        <v>376</v>
      </c>
      <c r="J17067" s="2">
        <v>669</v>
      </c>
      <c r="K17067" s="2">
        <v>81</v>
      </c>
      <c r="L17067" s="2">
        <v>180</v>
      </c>
    </row>
    <row r="17068" spans="1:12" x14ac:dyDescent="0.25">
      <c r="A17068" s="4" t="str">
        <f>HYPERLINK("http://www.rosaceae.org/Prunus/Prunus_persica/p.persica_gdr_reftransV1_0019935","p.persica_gdr_reftransV1_0019935")</f>
        <v>p.persica_gdr_reftransV1_0019935</v>
      </c>
      <c r="B17068" s="2">
        <v>2455</v>
      </c>
      <c r="C17068" s="4" t="str">
        <f>HYPERLINK("http://www.uniprot.org/uniprot/M5WDU4","M5WDU4")</f>
        <v>M5WDU4</v>
      </c>
      <c r="D17068" s="2" t="s">
        <v>13418</v>
      </c>
      <c r="E17068" s="3">
        <v>0</v>
      </c>
      <c r="F17068" s="2">
        <v>3254</v>
      </c>
      <c r="G17068" s="2">
        <v>98</v>
      </c>
      <c r="H17068" s="2">
        <v>701</v>
      </c>
      <c r="I17068" s="2">
        <v>203</v>
      </c>
      <c r="J17068" s="2">
        <v>2305</v>
      </c>
      <c r="K17068" s="2">
        <v>1</v>
      </c>
      <c r="L17068" s="2">
        <v>687</v>
      </c>
    </row>
    <row r="17069" spans="1:12" x14ac:dyDescent="0.25">
      <c r="A17069" s="4" t="str">
        <f>HYPERLINK("http://www.rosaceae.org/Prunus/Prunus_persica/p.persica_gdr_reftransV1_0020285","p.persica_gdr_reftransV1_0020285")</f>
        <v>p.persica_gdr_reftransV1_0020285</v>
      </c>
      <c r="B17069" s="2">
        <v>1899</v>
      </c>
      <c r="C17069" s="4" t="str">
        <f>HYPERLINK("http://www.uniprot.org/uniprot/M5W5G8","M5W5G8")</f>
        <v>M5W5G8</v>
      </c>
      <c r="D17069" s="2" t="s">
        <v>13419</v>
      </c>
      <c r="E17069" s="3">
        <v>0</v>
      </c>
      <c r="F17069" s="2">
        <v>2758</v>
      </c>
      <c r="G17069" s="2">
        <v>99</v>
      </c>
      <c r="H17069" s="2">
        <v>510</v>
      </c>
      <c r="I17069" s="2">
        <v>248</v>
      </c>
      <c r="J17069" s="2">
        <v>1777</v>
      </c>
      <c r="K17069" s="2">
        <v>1</v>
      </c>
      <c r="L17069" s="2">
        <v>510</v>
      </c>
    </row>
    <row r="17070" spans="1:12" x14ac:dyDescent="0.25">
      <c r="A17070" s="4" t="str">
        <f>HYPERLINK("http://www.rosaceae.org/Prunus/Prunus_persica/p.persica_gdr_reftransV1_0020635","p.persica_gdr_reftransV1_0020635")</f>
        <v>p.persica_gdr_reftransV1_0020635</v>
      </c>
      <c r="B17070" s="2">
        <v>955</v>
      </c>
      <c r="C17070" s="4" t="str">
        <f>HYPERLINK("http://www.uniprot.org/uniprot/M5Wid1","M5Wid1")</f>
        <v>M5Wid1</v>
      </c>
      <c r="D17070" s="2" t="s">
        <v>13420</v>
      </c>
      <c r="E17070" s="3">
        <v>2.6999999999999997E-69</v>
      </c>
      <c r="F17070" s="2">
        <v>566</v>
      </c>
      <c r="G17070" s="2">
        <v>100</v>
      </c>
      <c r="H17070" s="2">
        <v>107</v>
      </c>
      <c r="I17070" s="2">
        <v>163</v>
      </c>
      <c r="J17070" s="2">
        <v>483</v>
      </c>
      <c r="K17070" s="2">
        <v>1</v>
      </c>
      <c r="L17070" s="2">
        <v>107</v>
      </c>
    </row>
    <row r="17071" spans="1:12" x14ac:dyDescent="0.25">
      <c r="A17071" s="4" t="str">
        <f>HYPERLINK("http://www.rosaceae.org/Prunus/Prunus_persica/p.persica_gdr_reftransV1_0021335","p.persica_gdr_reftransV1_0021335")</f>
        <v>p.persica_gdr_reftransV1_0021335</v>
      </c>
      <c r="B17071" s="2">
        <v>1601</v>
      </c>
      <c r="C17071" s="4" t="str">
        <f>HYPERLINK("http://www.uniprot.org/uniprot/M5WAB1","M5WAB1")</f>
        <v>M5WAB1</v>
      </c>
      <c r="D17071" s="2" t="s">
        <v>13421</v>
      </c>
      <c r="E17071" s="3">
        <v>1.3699999999999999E-147</v>
      </c>
      <c r="F17071" s="2">
        <v>1118</v>
      </c>
      <c r="G17071" s="2">
        <v>100</v>
      </c>
      <c r="H17071" s="2">
        <v>225</v>
      </c>
      <c r="I17071" s="2">
        <v>714</v>
      </c>
      <c r="J17071" s="2">
        <v>1388</v>
      </c>
      <c r="K17071" s="2">
        <v>1</v>
      </c>
      <c r="L17071" s="2">
        <v>225</v>
      </c>
    </row>
    <row r="17072" spans="1:12" x14ac:dyDescent="0.25">
      <c r="A17072" s="4" t="str">
        <f>HYPERLINK("http://www.rosaceae.org/Prunus/Prunus_persica/p.persica_gdr_reftransV1_0021685","p.persica_gdr_reftransV1_0021685")</f>
        <v>p.persica_gdr_reftransV1_0021685</v>
      </c>
      <c r="B17072" s="2">
        <v>1272</v>
      </c>
      <c r="C17072" s="4" t="str">
        <f>HYPERLINK("http://www.uniprot.org/uniprot/M5WL02","M5WL02")</f>
        <v>M5WL02</v>
      </c>
      <c r="D17072" s="2" t="s">
        <v>13422</v>
      </c>
      <c r="E17072" s="3">
        <v>0</v>
      </c>
      <c r="F17072" s="2">
        <v>1329</v>
      </c>
      <c r="G17072" s="2">
        <v>97</v>
      </c>
      <c r="H17072" s="2">
        <v>261</v>
      </c>
      <c r="I17072" s="2">
        <v>165</v>
      </c>
      <c r="J17072" s="2">
        <v>947</v>
      </c>
      <c r="K17072" s="2">
        <v>1</v>
      </c>
      <c r="L17072" s="2">
        <v>253</v>
      </c>
    </row>
    <row r="17073" spans="1:12" x14ac:dyDescent="0.25">
      <c r="A17073" s="4" t="str">
        <f>HYPERLINK("http://www.rosaceae.org/Prunus/Prunus_persica/p.persica_gdr_reftransV1_0023785","p.persica_gdr_reftransV1_0023785")</f>
        <v>p.persica_gdr_reftransV1_0023785</v>
      </c>
      <c r="B17073" s="2">
        <v>4093</v>
      </c>
      <c r="C17073" s="4" t="str">
        <f>HYPERLINK("http://www.uniprot.org/uniprot/M5XF13","M5XF13")</f>
        <v>M5XF13</v>
      </c>
      <c r="D17073" s="2" t="s">
        <v>13423</v>
      </c>
      <c r="E17073" s="3">
        <v>0</v>
      </c>
      <c r="F17073" s="2">
        <v>5105</v>
      </c>
      <c r="G17073" s="2">
        <v>86</v>
      </c>
      <c r="H17073" s="2">
        <v>1262</v>
      </c>
      <c r="I17073" s="2">
        <v>1</v>
      </c>
      <c r="J17073" s="2">
        <v>3780</v>
      </c>
      <c r="K17073" s="2">
        <v>1</v>
      </c>
      <c r="L17073" s="2">
        <v>1152</v>
      </c>
    </row>
    <row r="17074" spans="1:12" x14ac:dyDescent="0.25">
      <c r="A17074" s="4" t="str">
        <f>HYPERLINK("http://www.rosaceae.org/Prunus/Prunus_persica/p.persica_gdr_reftransV1_0024485","p.persica_gdr_reftransV1_0024485")</f>
        <v>p.persica_gdr_reftransV1_0024485</v>
      </c>
      <c r="B17074" s="2">
        <v>3161</v>
      </c>
      <c r="C17074" s="4" t="str">
        <f>HYPERLINK("http://www.uniprot.org/uniprot/M5XKE8","M5XKE8")</f>
        <v>M5XKE8</v>
      </c>
      <c r="D17074" s="2" t="s">
        <v>1925</v>
      </c>
      <c r="E17074" s="3">
        <v>0</v>
      </c>
      <c r="F17074" s="2">
        <v>3805</v>
      </c>
      <c r="G17074" s="2">
        <v>100</v>
      </c>
      <c r="H17074" s="2">
        <v>732</v>
      </c>
      <c r="I17074" s="2">
        <v>832</v>
      </c>
      <c r="J17074" s="2">
        <v>3027</v>
      </c>
      <c r="K17074" s="2">
        <v>1</v>
      </c>
      <c r="L17074" s="2">
        <v>732</v>
      </c>
    </row>
    <row r="17075" spans="1:12" x14ac:dyDescent="0.25">
      <c r="A17075" s="4" t="str">
        <f>HYPERLINK("http://www.rosaceae.org/Prunus/Prunus_persica/p.persica_gdr_reftransV1_0026585","p.persica_gdr_reftransV1_0026585")</f>
        <v>p.persica_gdr_reftransV1_0026585</v>
      </c>
      <c r="B17075" s="2">
        <v>3014</v>
      </c>
      <c r="C17075" s="4" t="str">
        <f>HYPERLINK("http://www.uniprot.org/uniprot/M5WJ19","M5WJ19")</f>
        <v>M5WJ19</v>
      </c>
      <c r="D17075" s="2" t="s">
        <v>5617</v>
      </c>
      <c r="E17075" s="3">
        <v>0</v>
      </c>
      <c r="F17075" s="2">
        <v>1665</v>
      </c>
      <c r="G17075" s="2">
        <v>100</v>
      </c>
      <c r="H17075" s="2">
        <v>308</v>
      </c>
      <c r="I17075" s="2">
        <v>1805</v>
      </c>
      <c r="J17075" s="2">
        <v>2728</v>
      </c>
      <c r="K17075" s="2">
        <v>1</v>
      </c>
      <c r="L17075" s="2">
        <v>308</v>
      </c>
    </row>
    <row r="17076" spans="1:12" x14ac:dyDescent="0.25">
      <c r="A17076" s="4" t="str">
        <f>HYPERLINK("http://www.rosaceae.org/Prunus/Prunus_persica/p.persica_gdr_reftransV1_0027985","p.persica_gdr_reftransV1_0027985")</f>
        <v>p.persica_gdr_reftransV1_0027985</v>
      </c>
      <c r="B17076" s="2">
        <v>3508</v>
      </c>
      <c r="C17076" s="4" t="str">
        <f>HYPERLINK("http://www.uniprot.org/uniprot/M5XQW3","M5XQW3")</f>
        <v>M5XQW3</v>
      </c>
      <c r="D17076" s="2" t="s">
        <v>13424</v>
      </c>
      <c r="E17076" s="3">
        <v>0</v>
      </c>
      <c r="F17076" s="2">
        <v>2838</v>
      </c>
      <c r="G17076" s="2">
        <v>100</v>
      </c>
      <c r="H17076" s="2">
        <v>536</v>
      </c>
      <c r="I17076" s="2">
        <v>1667</v>
      </c>
      <c r="J17076" s="2">
        <v>3274</v>
      </c>
      <c r="K17076" s="2">
        <v>1</v>
      </c>
      <c r="L17076" s="2">
        <v>536</v>
      </c>
    </row>
    <row r="17077" spans="1:12" x14ac:dyDescent="0.25">
      <c r="A17077" s="4" t="str">
        <f>HYPERLINK("http://www.rosaceae.org/Prunus/Prunus_persica/p.persica_gdr_reftransV1_0028335","p.persica_gdr_reftransV1_0028335")</f>
        <v>p.persica_gdr_reftransV1_0028335</v>
      </c>
      <c r="B17077" s="2">
        <v>1296</v>
      </c>
      <c r="C17077" s="4" t="str">
        <f>HYPERLINK("http://www.uniprot.org/uniprot/B4UW59","B4UW59")</f>
        <v>B4UW59</v>
      </c>
      <c r="D17077" s="2" t="s">
        <v>13425</v>
      </c>
      <c r="E17077" s="3">
        <v>1.3299999999999999E-57</v>
      </c>
      <c r="F17077" s="2">
        <v>499</v>
      </c>
      <c r="G17077" s="2">
        <v>86</v>
      </c>
      <c r="H17077" s="2">
        <v>131</v>
      </c>
      <c r="I17077" s="2">
        <v>186</v>
      </c>
      <c r="J17077" s="2">
        <v>578</v>
      </c>
      <c r="K17077" s="2">
        <v>2</v>
      </c>
      <c r="L17077" s="2">
        <v>129</v>
      </c>
    </row>
    <row r="17078" spans="1:12" x14ac:dyDescent="0.25">
      <c r="A17078" s="4" t="str">
        <f>HYPERLINK("http://www.rosaceae.org/Prunus/Prunus_persica/p.persica_gdr_reftransV1_0028685","p.persica_gdr_reftransV1_0028685")</f>
        <v>p.persica_gdr_reftransV1_0028685</v>
      </c>
      <c r="B17078" s="2">
        <v>2688</v>
      </c>
      <c r="C17078" s="4" t="str">
        <f>HYPERLINK("http://www.uniprot.org/uniprot/M5Y9C6","M5Y9C6")</f>
        <v>M5Y9C6</v>
      </c>
      <c r="D17078" s="2" t="s">
        <v>13426</v>
      </c>
      <c r="E17078" s="3">
        <v>0</v>
      </c>
      <c r="F17078" s="2">
        <v>1590</v>
      </c>
      <c r="G17078" s="2">
        <v>99</v>
      </c>
      <c r="H17078" s="2">
        <v>363</v>
      </c>
      <c r="I17078" s="2">
        <v>1438</v>
      </c>
      <c r="J17078" s="2">
        <v>2526</v>
      </c>
      <c r="K17078" s="2">
        <v>1</v>
      </c>
      <c r="L17078" s="2">
        <v>363</v>
      </c>
    </row>
    <row r="17079" spans="1:12" x14ac:dyDescent="0.25">
      <c r="A17079" s="4" t="str">
        <f>HYPERLINK("http://www.rosaceae.org/Prunus/Prunus_persica/p.persica_gdr_reftransV1_0030085","p.persica_gdr_reftransV1_0030085")</f>
        <v>p.persica_gdr_reftransV1_0030085</v>
      </c>
      <c r="B17079" s="2">
        <v>1882</v>
      </c>
      <c r="C17079" s="4" t="str">
        <f>HYPERLINK("http://www.uniprot.org/uniprot/M5WEB9","M5WEB9")</f>
        <v>M5WEB9</v>
      </c>
      <c r="D17079" s="2" t="s">
        <v>13427</v>
      </c>
      <c r="E17079" s="3">
        <v>0</v>
      </c>
      <c r="F17079" s="2">
        <v>2602</v>
      </c>
      <c r="G17079" s="2">
        <v>100</v>
      </c>
      <c r="H17079" s="2">
        <v>578</v>
      </c>
      <c r="I17079" s="2">
        <v>1</v>
      </c>
      <c r="J17079" s="2">
        <v>1734</v>
      </c>
      <c r="K17079" s="2">
        <v>19</v>
      </c>
      <c r="L17079" s="2">
        <v>596</v>
      </c>
    </row>
    <row r="17080" spans="1:12" x14ac:dyDescent="0.25">
      <c r="A17080" s="4" t="str">
        <f>HYPERLINK("http://www.rosaceae.org/Prunus/Prunus_persica/p.persica_gdr_reftransV1_0030435","p.persica_gdr_reftransV1_0030435")</f>
        <v>p.persica_gdr_reftransV1_0030435</v>
      </c>
      <c r="B17080" s="2">
        <v>1017</v>
      </c>
      <c r="C17080" s="4" t="str">
        <f>HYPERLINK("http://www.uniprot.org/uniprot/M5X269","M5X269")</f>
        <v>M5X269</v>
      </c>
      <c r="D17080" s="2" t="s">
        <v>13428</v>
      </c>
      <c r="E17080" s="3">
        <v>1.4000000000000001E-141</v>
      </c>
      <c r="F17080" s="2">
        <v>1057</v>
      </c>
      <c r="G17080" s="2">
        <v>100</v>
      </c>
      <c r="H17080" s="2">
        <v>215</v>
      </c>
      <c r="I17080" s="2">
        <v>182</v>
      </c>
      <c r="J17080" s="2">
        <v>826</v>
      </c>
      <c r="K17080" s="2">
        <v>1</v>
      </c>
      <c r="L17080" s="2">
        <v>215</v>
      </c>
    </row>
    <row r="17081" spans="1:12" x14ac:dyDescent="0.25">
      <c r="A17081" s="4" t="str">
        <f>HYPERLINK("http://www.rosaceae.org/Prunus/Prunus_persica/p.persica_gdr_reftransV1_0031135","p.persica_gdr_reftransV1_0031135")</f>
        <v>p.persica_gdr_reftransV1_0031135</v>
      </c>
      <c r="B17081" s="2">
        <v>2064</v>
      </c>
      <c r="C17081" s="4" t="str">
        <f>HYPERLINK("http://www.uniprot.org/uniprot/M5W580","M5W580")</f>
        <v>M5W580</v>
      </c>
      <c r="D17081" s="2" t="s">
        <v>10071</v>
      </c>
      <c r="E17081" s="3">
        <v>0</v>
      </c>
      <c r="F17081" s="2">
        <v>3218</v>
      </c>
      <c r="G17081" s="2">
        <v>100</v>
      </c>
      <c r="H17081" s="2">
        <v>603</v>
      </c>
      <c r="I17081" s="2">
        <v>254</v>
      </c>
      <c r="J17081" s="2">
        <v>2062</v>
      </c>
      <c r="K17081" s="2">
        <v>21</v>
      </c>
      <c r="L17081" s="2">
        <v>623</v>
      </c>
    </row>
    <row r="17082" spans="1:12" x14ac:dyDescent="0.25">
      <c r="A17082" s="4" t="str">
        <f>HYPERLINK("http://www.rosaceae.org/Prunus/Prunus_persica/p.persica_gdr_reftransV1_0031485","p.persica_gdr_reftransV1_0031485")</f>
        <v>p.persica_gdr_reftransV1_0031485</v>
      </c>
      <c r="B17082" s="2">
        <v>2677</v>
      </c>
      <c r="C17082" s="4" t="str">
        <f>HYPERLINK("http://www.uniprot.org/uniprot/M5WN69","M5WN69")</f>
        <v>M5WN69</v>
      </c>
      <c r="D17082" s="2" t="s">
        <v>13429</v>
      </c>
      <c r="E17082" s="3">
        <v>0</v>
      </c>
      <c r="F17082" s="2">
        <v>2767</v>
      </c>
      <c r="G17082" s="2">
        <v>100</v>
      </c>
      <c r="H17082" s="2">
        <v>547</v>
      </c>
      <c r="I17082" s="2">
        <v>473</v>
      </c>
      <c r="J17082" s="2">
        <v>2113</v>
      </c>
      <c r="K17082" s="2">
        <v>12</v>
      </c>
      <c r="L17082" s="2">
        <v>558</v>
      </c>
    </row>
    <row r="17083" spans="1:12" x14ac:dyDescent="0.25">
      <c r="A17083" s="4" t="str">
        <f>HYPERLINK("http://www.rosaceae.org/Prunus/Prunus_persica/p.persica_gdr_reftransV1_0031835","p.persica_gdr_reftransV1_0031835")</f>
        <v>p.persica_gdr_reftransV1_0031835</v>
      </c>
      <c r="B17083" s="2">
        <v>2466</v>
      </c>
      <c r="C17083" s="4" t="str">
        <f>HYPERLINK("http://www.uniprot.org/uniprot/M5WDV5","M5WDV5")</f>
        <v>M5WDV5</v>
      </c>
      <c r="D17083" s="2" t="s">
        <v>13430</v>
      </c>
      <c r="E17083" s="3">
        <v>0</v>
      </c>
      <c r="F17083" s="2">
        <v>1651</v>
      </c>
      <c r="G17083" s="2">
        <v>100</v>
      </c>
      <c r="H17083" s="2">
        <v>469</v>
      </c>
      <c r="I17083" s="2">
        <v>583</v>
      </c>
      <c r="J17083" s="2">
        <v>1989</v>
      </c>
      <c r="K17083" s="2">
        <v>83</v>
      </c>
      <c r="L17083" s="2">
        <v>551</v>
      </c>
    </row>
    <row r="17084" spans="1:12" x14ac:dyDescent="0.25">
      <c r="A17084" s="4" t="str">
        <f>HYPERLINK("http://www.rosaceae.org/Prunus/Prunus_persica/p.persica_gdr_reftransV1_0032185","p.persica_gdr_reftransV1_0032185")</f>
        <v>p.persica_gdr_reftransV1_0032185</v>
      </c>
      <c r="B17084" s="2">
        <v>868</v>
      </c>
      <c r="C17084" s="4" t="str">
        <f>HYPERLINK("http://www.uniprot.org/uniprot/M5WK75","M5WK75")</f>
        <v>M5WK75</v>
      </c>
      <c r="D17084" s="2" t="s">
        <v>13431</v>
      </c>
      <c r="E17084" s="3">
        <v>1.3600000000000001E-112</v>
      </c>
      <c r="F17084" s="2">
        <v>856</v>
      </c>
      <c r="G17084" s="2">
        <v>100</v>
      </c>
      <c r="H17084" s="2">
        <v>171</v>
      </c>
      <c r="I17084" s="2">
        <v>259</v>
      </c>
      <c r="J17084" s="2">
        <v>771</v>
      </c>
      <c r="K17084" s="2">
        <v>1</v>
      </c>
      <c r="L17084" s="2">
        <v>171</v>
      </c>
    </row>
    <row r="17085" spans="1:12" x14ac:dyDescent="0.25">
      <c r="A17085" s="4" t="str">
        <f>HYPERLINK("http://www.rosaceae.org/Prunus/Prunus_persica/p.persica_gdr_reftransV1_0033235","p.persica_gdr_reftransV1_0033235")</f>
        <v>p.persica_gdr_reftransV1_0033235</v>
      </c>
      <c r="B17085" s="2">
        <v>1117</v>
      </c>
      <c r="C17085" s="4" t="str">
        <f>HYPERLINK("http://www.uniprot.org/uniprot/M5WAM8","M5WAM8")</f>
        <v>M5WAM8</v>
      </c>
      <c r="D17085" s="2" t="s">
        <v>6792</v>
      </c>
      <c r="E17085" s="3">
        <v>6.8199999999999996E-133</v>
      </c>
      <c r="F17085" s="2">
        <v>1003</v>
      </c>
      <c r="G17085" s="2">
        <v>100</v>
      </c>
      <c r="H17085" s="2">
        <v>192</v>
      </c>
      <c r="I17085" s="2">
        <v>199</v>
      </c>
      <c r="J17085" s="2">
        <v>774</v>
      </c>
      <c r="K17085" s="2">
        <v>1</v>
      </c>
      <c r="L17085" s="2">
        <v>192</v>
      </c>
    </row>
    <row r="17086" spans="1:12" x14ac:dyDescent="0.25">
      <c r="A17086" s="4" t="str">
        <f>HYPERLINK("http://www.rosaceae.org/Prunus/Prunus_persica/p.persica_gdr_reftransV1_0033935","p.persica_gdr_reftransV1_0033935")</f>
        <v>p.persica_gdr_reftransV1_0033935</v>
      </c>
      <c r="B17086" s="2">
        <v>1831</v>
      </c>
      <c r="C17086" s="4" t="str">
        <f>HYPERLINK("http://www.uniprot.org/uniprot/M5WMR8","M5WMR8")</f>
        <v>M5WMR8</v>
      </c>
      <c r="D17086" s="2" t="s">
        <v>13432</v>
      </c>
      <c r="E17086" s="3">
        <v>0</v>
      </c>
      <c r="F17086" s="2">
        <v>1390</v>
      </c>
      <c r="G17086" s="2">
        <v>100</v>
      </c>
      <c r="H17086" s="2">
        <v>271</v>
      </c>
      <c r="I17086" s="2">
        <v>927</v>
      </c>
      <c r="J17086" s="2">
        <v>1739</v>
      </c>
      <c r="K17086" s="2">
        <v>1</v>
      </c>
      <c r="L17086" s="2">
        <v>271</v>
      </c>
    </row>
    <row r="17087" spans="1:12" x14ac:dyDescent="0.25">
      <c r="A17087" s="4" t="str">
        <f>HYPERLINK("http://www.rosaceae.org/Prunus/Prunus_persica/p.persica_gdr_reftransV1_0034635","p.persica_gdr_reftransV1_0034635")</f>
        <v>p.persica_gdr_reftransV1_0034635</v>
      </c>
      <c r="B17087" s="2">
        <v>3645</v>
      </c>
      <c r="C17087" s="4" t="str">
        <f>HYPERLINK("http://www.uniprot.org/uniprot/M5WEW4","M5WEW4")</f>
        <v>M5WEW4</v>
      </c>
      <c r="D17087" s="2" t="s">
        <v>13433</v>
      </c>
      <c r="E17087" s="3">
        <v>0</v>
      </c>
      <c r="F17087" s="2">
        <v>2627</v>
      </c>
      <c r="G17087" s="2">
        <v>100</v>
      </c>
      <c r="H17087" s="2">
        <v>530</v>
      </c>
      <c r="I17087" s="2">
        <v>251</v>
      </c>
      <c r="J17087" s="2">
        <v>1840</v>
      </c>
      <c r="K17087" s="2">
        <v>1</v>
      </c>
      <c r="L17087" s="2">
        <v>530</v>
      </c>
    </row>
    <row r="17088" spans="1:12" x14ac:dyDescent="0.25">
      <c r="A17088" s="4" t="str">
        <f>HYPERLINK("http://www.rosaceae.org/Prunus/Prunus_persica/p.persica_gdr_reftransV1_0034985","p.persica_gdr_reftransV1_0034985")</f>
        <v>p.persica_gdr_reftransV1_0034985</v>
      </c>
      <c r="B17088" s="2">
        <v>1767</v>
      </c>
      <c r="C17088" s="4" t="str">
        <f>HYPERLINK("http://www.uniprot.org/uniprot/M5XAL0","M5XAL0")</f>
        <v>M5XAL0</v>
      </c>
      <c r="D17088" s="2" t="s">
        <v>13434</v>
      </c>
      <c r="E17088" s="3">
        <v>1.4000000000000001E-164</v>
      </c>
      <c r="F17088" s="2">
        <v>1250</v>
      </c>
      <c r="G17088" s="2">
        <v>100</v>
      </c>
      <c r="H17088" s="2">
        <v>237</v>
      </c>
      <c r="I17088" s="2">
        <v>893</v>
      </c>
      <c r="J17088" s="2">
        <v>1603</v>
      </c>
      <c r="K17088" s="2">
        <v>1</v>
      </c>
      <c r="L17088" s="2">
        <v>237</v>
      </c>
    </row>
    <row r="17089" spans="1:12" x14ac:dyDescent="0.25">
      <c r="A17089" s="4" t="str">
        <f>HYPERLINK("http://www.rosaceae.org/Prunus/Prunus_persica/p.persica_gdr_reftransV1_0037085","p.persica_gdr_reftransV1_0037085")</f>
        <v>p.persica_gdr_reftransV1_0037085</v>
      </c>
      <c r="B17089" s="2">
        <v>1895</v>
      </c>
      <c r="C17089" s="4" t="str">
        <f>HYPERLINK("http://www.uniprot.org/uniprot/M5XXM5","M5XXM5")</f>
        <v>M5XXM5</v>
      </c>
      <c r="D17089" s="2" t="s">
        <v>13183</v>
      </c>
      <c r="E17089" s="3">
        <v>3.8700000000000002E-67</v>
      </c>
      <c r="F17089" s="2">
        <v>627</v>
      </c>
      <c r="G17089" s="2">
        <v>98</v>
      </c>
      <c r="H17089" s="2">
        <v>130</v>
      </c>
      <c r="I17089" s="2">
        <v>491</v>
      </c>
      <c r="J17089" s="2">
        <v>880</v>
      </c>
      <c r="K17089" s="2">
        <v>71</v>
      </c>
      <c r="L17089" s="2">
        <v>200</v>
      </c>
    </row>
    <row r="17090" spans="1:12" x14ac:dyDescent="0.25">
      <c r="A17090" s="4" t="str">
        <f>HYPERLINK("http://www.rosaceae.org/Prunus/Prunus_persica/p.persica_gdr_reftransV1_0040585","p.persica_gdr_reftransV1_0040585")</f>
        <v>p.persica_gdr_reftransV1_0040585</v>
      </c>
      <c r="B17090" s="2">
        <v>2777</v>
      </c>
      <c r="C17090" s="4" t="str">
        <f>HYPERLINK("http://www.uniprot.org/uniprot/M5XRU7","M5XRU7")</f>
        <v>M5XRU7</v>
      </c>
      <c r="D17090" s="2" t="s">
        <v>13435</v>
      </c>
      <c r="E17090" s="3">
        <v>0</v>
      </c>
      <c r="F17090" s="2">
        <v>3147</v>
      </c>
      <c r="G17090" s="2">
        <v>100</v>
      </c>
      <c r="H17090" s="2">
        <v>599</v>
      </c>
      <c r="I17090" s="2">
        <v>382</v>
      </c>
      <c r="J17090" s="2">
        <v>2178</v>
      </c>
      <c r="K17090" s="2">
        <v>1</v>
      </c>
      <c r="L17090" s="2">
        <v>599</v>
      </c>
    </row>
    <row r="17091" spans="1:12" x14ac:dyDescent="0.25">
      <c r="A17091" s="4" t="str">
        <f>HYPERLINK("http://www.rosaceae.org/Prunus/Prunus_persica/p.persica_gdr_reftransV1_0043035","p.persica_gdr_reftransV1_0043035")</f>
        <v>p.persica_gdr_reftransV1_0043035</v>
      </c>
      <c r="B17091" s="2">
        <v>2124</v>
      </c>
      <c r="C17091" s="4" t="str">
        <f>HYPERLINK("http://www.uniprot.org/uniprot/M5X460","M5X460")</f>
        <v>M5X460</v>
      </c>
      <c r="D17091" s="2" t="s">
        <v>13436</v>
      </c>
      <c r="E17091" s="3">
        <v>2.7000000000000001E-95</v>
      </c>
      <c r="F17091" s="2">
        <v>776</v>
      </c>
      <c r="G17091" s="2">
        <v>100</v>
      </c>
      <c r="H17091" s="2">
        <v>150</v>
      </c>
      <c r="I17091" s="2">
        <v>1531</v>
      </c>
      <c r="J17091" s="2">
        <v>1980</v>
      </c>
      <c r="K17091" s="2">
        <v>1</v>
      </c>
      <c r="L17091" s="2">
        <v>150</v>
      </c>
    </row>
    <row r="17092" spans="1:12" x14ac:dyDescent="0.25">
      <c r="A17092" s="4" t="str">
        <f>HYPERLINK("http://www.rosaceae.org/Prunus/Prunus_persica/p.persica_gdr_reftransV1_0043385","p.persica_gdr_reftransV1_0043385")</f>
        <v>p.persica_gdr_reftransV1_0043385</v>
      </c>
      <c r="B17092" s="2">
        <v>5025</v>
      </c>
      <c r="C17092" s="4" t="str">
        <f>HYPERLINK("http://www.uniprot.org/uniprot/W9RI64","W9RI64")</f>
        <v>W9RI64</v>
      </c>
      <c r="D17092" s="2" t="s">
        <v>13437</v>
      </c>
      <c r="E17092" s="3">
        <v>0</v>
      </c>
      <c r="F17092" s="2">
        <v>5898</v>
      </c>
      <c r="G17092" s="2">
        <v>79</v>
      </c>
      <c r="H17092" s="2">
        <v>1594</v>
      </c>
      <c r="I17092" s="2">
        <v>41</v>
      </c>
      <c r="J17092" s="2">
        <v>4783</v>
      </c>
      <c r="K17092" s="2">
        <v>1</v>
      </c>
      <c r="L17092" s="2">
        <v>1577</v>
      </c>
    </row>
    <row r="17093" spans="1:12" x14ac:dyDescent="0.25">
      <c r="A17093" s="4" t="str">
        <f>HYPERLINK("http://www.rosaceae.org/Prunus/Prunus_persica/p.persica_gdr_reftransV1_0043735","p.persica_gdr_reftransV1_0043735")</f>
        <v>p.persica_gdr_reftransV1_0043735</v>
      </c>
      <c r="B17093" s="2">
        <v>502</v>
      </c>
      <c r="C17093" s="4" t="str">
        <f>HYPERLINK("http://www.uniprot.org/uniprot/M5WI04","M5WI04")</f>
        <v>M5WI04</v>
      </c>
      <c r="D17093" s="2" t="s">
        <v>8552</v>
      </c>
      <c r="E17093" s="3">
        <v>1.1400000000000001E-93</v>
      </c>
      <c r="F17093" s="2">
        <v>756</v>
      </c>
      <c r="G17093" s="2">
        <v>100</v>
      </c>
      <c r="H17093" s="2">
        <v>167</v>
      </c>
      <c r="I17093" s="2">
        <v>2</v>
      </c>
      <c r="J17093" s="2">
        <v>502</v>
      </c>
      <c r="K17093" s="2">
        <v>23</v>
      </c>
      <c r="L17093" s="2">
        <v>189</v>
      </c>
    </row>
    <row r="17094" spans="1:12" x14ac:dyDescent="0.25">
      <c r="A17094" s="4" t="str">
        <f>HYPERLINK("http://www.rosaceae.org/Prunus/Prunus_persica/p.persica_gdr_reftransV1_0044435","p.persica_gdr_reftransV1_0044435")</f>
        <v>p.persica_gdr_reftransV1_0044435</v>
      </c>
      <c r="B17094" s="2">
        <v>2425</v>
      </c>
      <c r="C17094" s="4" t="str">
        <f>HYPERLINK("http://www.uniprot.org/uniprot/M5VQ75","M5VQ75")</f>
        <v>M5VQ75</v>
      </c>
      <c r="D17094" s="2" t="s">
        <v>13438</v>
      </c>
      <c r="E17094" s="3">
        <v>0</v>
      </c>
      <c r="F17094" s="2">
        <v>3106</v>
      </c>
      <c r="G17094" s="2">
        <v>96</v>
      </c>
      <c r="H17094" s="2">
        <v>675</v>
      </c>
      <c r="I17094" s="2">
        <v>324</v>
      </c>
      <c r="J17094" s="2">
        <v>2348</v>
      </c>
      <c r="K17094" s="2">
        <v>1</v>
      </c>
      <c r="L17094" s="2">
        <v>650</v>
      </c>
    </row>
    <row r="17095" spans="1:12" x14ac:dyDescent="0.25">
      <c r="A17095" s="4" t="str">
        <f>HYPERLINK("http://www.rosaceae.org/Prunus/Prunus_persica/p.persica_gdr_reftransV1_0044785","p.persica_gdr_reftransV1_0044785")</f>
        <v>p.persica_gdr_reftransV1_0044785</v>
      </c>
      <c r="B17095" s="2">
        <v>704</v>
      </c>
      <c r="C17095" s="4" t="str">
        <f>HYPERLINK("http://www.uniprot.org/uniprot/M5WSC8","M5WSC8")</f>
        <v>M5WSC8</v>
      </c>
      <c r="D17095" s="2" t="s">
        <v>13439</v>
      </c>
      <c r="E17095" s="3">
        <v>2.42E-117</v>
      </c>
      <c r="F17095" s="2">
        <v>917</v>
      </c>
      <c r="G17095" s="2">
        <v>100</v>
      </c>
      <c r="H17095" s="2">
        <v>169</v>
      </c>
      <c r="I17095" s="2">
        <v>1</v>
      </c>
      <c r="J17095" s="2">
        <v>507</v>
      </c>
      <c r="K17095" s="2">
        <v>1</v>
      </c>
      <c r="L17095" s="2">
        <v>169</v>
      </c>
    </row>
    <row r="17096" spans="1:12" x14ac:dyDescent="0.25">
      <c r="A17096" s="4" t="str">
        <f>HYPERLINK("http://www.rosaceae.org/Prunus/Prunus_persica/p.persica_gdr_reftransV1_0045485","p.persica_gdr_reftransV1_0045485")</f>
        <v>p.persica_gdr_reftransV1_0045485</v>
      </c>
      <c r="B17096" s="2">
        <v>1260</v>
      </c>
      <c r="C17096" s="4" t="str">
        <f>HYPERLINK("http://www.uniprot.org/uniprot/M5WBY9","M5WBY9")</f>
        <v>M5WBY9</v>
      </c>
      <c r="D17096" s="2" t="s">
        <v>13440</v>
      </c>
      <c r="E17096" s="3">
        <v>2.9200000000000002E-122</v>
      </c>
      <c r="F17096" s="2">
        <v>948</v>
      </c>
      <c r="G17096" s="2">
        <v>99</v>
      </c>
      <c r="H17096" s="2">
        <v>180</v>
      </c>
      <c r="I17096" s="2">
        <v>600</v>
      </c>
      <c r="J17096" s="2">
        <v>1139</v>
      </c>
      <c r="K17096" s="2">
        <v>1</v>
      </c>
      <c r="L17096" s="2">
        <v>180</v>
      </c>
    </row>
    <row r="17097" spans="1:12" x14ac:dyDescent="0.25">
      <c r="A17097" s="4" t="str">
        <f>HYPERLINK("http://www.rosaceae.org/Prunus/Prunus_persica/p.persica_gdr_reftransV1_0046185","p.persica_gdr_reftransV1_0046185")</f>
        <v>p.persica_gdr_reftransV1_0046185</v>
      </c>
      <c r="B17097" s="2">
        <v>1313</v>
      </c>
      <c r="C17097" s="4" t="str">
        <f>HYPERLINK("http://www.uniprot.org/uniprot/A6XMZ7","A6XMZ7")</f>
        <v>A6XMZ7</v>
      </c>
      <c r="D17097" s="2" t="s">
        <v>13441</v>
      </c>
      <c r="E17097" s="3">
        <v>1.6400000000000001E-133</v>
      </c>
      <c r="F17097" s="2">
        <v>1016</v>
      </c>
      <c r="G17097" s="2">
        <v>98</v>
      </c>
      <c r="H17097" s="2">
        <v>227</v>
      </c>
      <c r="I17097" s="2">
        <v>275</v>
      </c>
      <c r="J17097" s="2">
        <v>955</v>
      </c>
      <c r="K17097" s="2">
        <v>12</v>
      </c>
      <c r="L17097" s="2">
        <v>238</v>
      </c>
    </row>
    <row r="17098" spans="1:12" x14ac:dyDescent="0.25">
      <c r="A17098" s="4" t="str">
        <f>HYPERLINK("http://www.rosaceae.org/Prunus/Prunus_persica/p.persica_gdr_reftransV1_0046535","p.persica_gdr_reftransV1_0046535")</f>
        <v>p.persica_gdr_reftransV1_0046535</v>
      </c>
      <c r="B17098" s="2">
        <v>1511</v>
      </c>
      <c r="C17098" s="4" t="str">
        <f>HYPERLINK("http://www.uniprot.org/uniprot/M5X6F4","M5X6F4")</f>
        <v>M5X6F4</v>
      </c>
      <c r="D17098" s="2" t="s">
        <v>13442</v>
      </c>
      <c r="E17098" s="3">
        <v>1.42E-158</v>
      </c>
      <c r="F17098" s="2">
        <v>1192</v>
      </c>
      <c r="G17098" s="2">
        <v>87</v>
      </c>
      <c r="H17098" s="2">
        <v>293</v>
      </c>
      <c r="I17098" s="2">
        <v>79</v>
      </c>
      <c r="J17098" s="2">
        <v>957</v>
      </c>
      <c r="K17098" s="2">
        <v>1</v>
      </c>
      <c r="L17098" s="2">
        <v>273</v>
      </c>
    </row>
    <row r="17099" spans="1:12" x14ac:dyDescent="0.25">
      <c r="A17099" s="4" t="str">
        <f>HYPERLINK("http://www.rosaceae.org/Prunus/Prunus_persica/p.persica_gdr_reftransV1_0046885","p.persica_gdr_reftransV1_0046885")</f>
        <v>p.persica_gdr_reftransV1_0046885</v>
      </c>
      <c r="B17099" s="2">
        <v>491</v>
      </c>
      <c r="C17099" s="4" t="str">
        <f>HYPERLINK("http://www.uniprot.org/uniprot/M5WFF2","M5WFF2")</f>
        <v>M5WFF2</v>
      </c>
      <c r="D17099" s="2" t="s">
        <v>7353</v>
      </c>
      <c r="E17099" s="3">
        <v>5.4900000000000001E-76</v>
      </c>
      <c r="F17099" s="2">
        <v>611</v>
      </c>
      <c r="G17099" s="2">
        <v>96</v>
      </c>
      <c r="H17099" s="2">
        <v>121</v>
      </c>
      <c r="I17099" s="2">
        <v>1</v>
      </c>
      <c r="J17099" s="2">
        <v>363</v>
      </c>
      <c r="K17099" s="2">
        <v>164</v>
      </c>
      <c r="L17099" s="2">
        <v>284</v>
      </c>
    </row>
    <row r="17100" spans="1:12" x14ac:dyDescent="0.25">
      <c r="A17100" s="4" t="str">
        <f>HYPERLINK("http://www.rosaceae.org/Prunus/Prunus_persica/p.persica_gdr_reftransV1_0047585","p.persica_gdr_reftransV1_0047585")</f>
        <v>p.persica_gdr_reftransV1_0047585</v>
      </c>
      <c r="B17100" s="2">
        <v>2084</v>
      </c>
      <c r="C17100" s="4" t="str">
        <f>HYPERLINK("http://www.uniprot.org/uniprot/M5XSF0","M5XSF0")</f>
        <v>M5XSF0</v>
      </c>
      <c r="D17100" s="2" t="s">
        <v>4681</v>
      </c>
      <c r="E17100" s="3">
        <v>0</v>
      </c>
      <c r="F17100" s="2">
        <v>2133</v>
      </c>
      <c r="G17100" s="2">
        <v>100</v>
      </c>
      <c r="H17100" s="2">
        <v>438</v>
      </c>
      <c r="I17100" s="2">
        <v>476</v>
      </c>
      <c r="J17100" s="2">
        <v>1789</v>
      </c>
      <c r="K17100" s="2">
        <v>19</v>
      </c>
      <c r="L17100" s="2">
        <v>456</v>
      </c>
    </row>
    <row r="17101" spans="1:12" x14ac:dyDescent="0.25">
      <c r="A17101" s="4" t="str">
        <f>HYPERLINK("http://www.rosaceae.org/Prunus/Prunus_persica/p.persica_gdr_reftransV1_0047935","p.persica_gdr_reftransV1_0047935")</f>
        <v>p.persica_gdr_reftransV1_0047935</v>
      </c>
      <c r="B17101" s="2">
        <v>5984</v>
      </c>
      <c r="C17101" s="4" t="str">
        <f>HYPERLINK("http://www.uniprot.org/uniprot/M5X8H9","M5X8H9")</f>
        <v>M5X8H9</v>
      </c>
      <c r="D17101" s="2" t="s">
        <v>13443</v>
      </c>
      <c r="E17101" s="3">
        <v>0</v>
      </c>
      <c r="F17101" s="2">
        <v>9112</v>
      </c>
      <c r="G17101" s="2">
        <v>100</v>
      </c>
      <c r="H17101" s="2">
        <v>1775</v>
      </c>
      <c r="I17101" s="2">
        <v>316</v>
      </c>
      <c r="J17101" s="2">
        <v>5640</v>
      </c>
      <c r="K17101" s="2">
        <v>1</v>
      </c>
      <c r="L17101" s="2">
        <v>1775</v>
      </c>
    </row>
    <row r="17102" spans="1:12" x14ac:dyDescent="0.25">
      <c r="A17102" s="4" t="str">
        <f>HYPERLINK("http://www.rosaceae.org/Prunus/Prunus_persica/p.persica_gdr_reftransV1_0048285","p.persica_gdr_reftransV1_0048285")</f>
        <v>p.persica_gdr_reftransV1_0048285</v>
      </c>
      <c r="B17102" s="2">
        <v>1311</v>
      </c>
      <c r="C17102" s="4" t="str">
        <f>HYPERLINK("http://www.uniprot.org/uniprot/M5W8N1","M5W8N1")</f>
        <v>M5W8N1</v>
      </c>
      <c r="D17102" s="2" t="s">
        <v>13444</v>
      </c>
      <c r="E17102" s="3">
        <v>9.5499999999999996E-167</v>
      </c>
      <c r="F17102" s="2">
        <v>1241</v>
      </c>
      <c r="G17102" s="2">
        <v>100</v>
      </c>
      <c r="H17102" s="2">
        <v>263</v>
      </c>
      <c r="I17102" s="2">
        <v>124</v>
      </c>
      <c r="J17102" s="2">
        <v>912</v>
      </c>
      <c r="K17102" s="2">
        <v>1</v>
      </c>
      <c r="L17102" s="2">
        <v>263</v>
      </c>
    </row>
    <row r="17103" spans="1:12" x14ac:dyDescent="0.25">
      <c r="A17103" s="4" t="str">
        <f>HYPERLINK("http://www.rosaceae.org/Prunus/Prunus_persica/p.persica_gdr_reftransV1_0048635","p.persica_gdr_reftransV1_0048635")</f>
        <v>p.persica_gdr_reftransV1_0048635</v>
      </c>
      <c r="B17103" s="2">
        <v>346</v>
      </c>
      <c r="C17103" s="4" t="str">
        <f>HYPERLINK("http://www.uniprot.org/uniprot/M5XB45","M5XB45")</f>
        <v>M5XB45</v>
      </c>
      <c r="D17103" s="2" t="s">
        <v>13445</v>
      </c>
      <c r="E17103" s="3">
        <v>8.1600000000000005E-76</v>
      </c>
      <c r="F17103" s="2">
        <v>610</v>
      </c>
      <c r="G17103" s="2">
        <v>100</v>
      </c>
      <c r="H17103" s="2">
        <v>114</v>
      </c>
      <c r="I17103" s="2">
        <v>3</v>
      </c>
      <c r="J17103" s="2">
        <v>344</v>
      </c>
      <c r="K17103" s="2">
        <v>187</v>
      </c>
      <c r="L17103" s="2">
        <v>300</v>
      </c>
    </row>
    <row r="17104" spans="1:12" x14ac:dyDescent="0.25">
      <c r="A17104" s="4" t="str">
        <f>HYPERLINK("http://www.rosaceae.org/Prunus/Prunus_persica/p.persica_gdr_reftransV1_0048985","p.persica_gdr_reftransV1_0048985")</f>
        <v>p.persica_gdr_reftransV1_0048985</v>
      </c>
      <c r="B17104" s="2">
        <v>899</v>
      </c>
      <c r="C17104" s="4" t="str">
        <f>HYPERLINK("http://www.uniprot.org/uniprot/M5WAC0","M5WAC0")</f>
        <v>M5WAC0</v>
      </c>
      <c r="D17104" s="2" t="s">
        <v>13446</v>
      </c>
      <c r="E17104" s="3">
        <v>3.6100000000000001E-126</v>
      </c>
      <c r="F17104" s="2">
        <v>952</v>
      </c>
      <c r="G17104" s="2">
        <v>88</v>
      </c>
      <c r="H17104" s="2">
        <v>208</v>
      </c>
      <c r="I17104" s="2">
        <v>221</v>
      </c>
      <c r="J17104" s="2">
        <v>808</v>
      </c>
      <c r="K17104" s="2">
        <v>11</v>
      </c>
      <c r="L17104" s="2">
        <v>217</v>
      </c>
    </row>
    <row r="17105" spans="1:12" x14ac:dyDescent="0.25">
      <c r="A17105" s="4" t="str">
        <f>HYPERLINK("http://www.rosaceae.org/Prunus/Prunus_persica/p.persica_gdr_reftransV1_0000336","p.persica_gdr_reftransV1_0000336")</f>
        <v>p.persica_gdr_reftransV1_0000336</v>
      </c>
      <c r="B17105" s="2">
        <v>2070</v>
      </c>
      <c r="C17105" s="4" t="str">
        <f>HYPERLINK("http://www.uniprot.org/uniprot/M5W940","M5W940")</f>
        <v>M5W940</v>
      </c>
      <c r="D17105" s="2" t="s">
        <v>6642</v>
      </c>
      <c r="E17105" s="3">
        <v>0</v>
      </c>
      <c r="F17105" s="2">
        <v>2793</v>
      </c>
      <c r="G17105" s="2">
        <v>100</v>
      </c>
      <c r="H17105" s="2">
        <v>559</v>
      </c>
      <c r="I17105" s="2">
        <v>392</v>
      </c>
      <c r="J17105" s="2">
        <v>2068</v>
      </c>
      <c r="K17105" s="2">
        <v>2</v>
      </c>
      <c r="L17105" s="2">
        <v>560</v>
      </c>
    </row>
    <row r="17106" spans="1:12" x14ac:dyDescent="0.25">
      <c r="A17106" s="4" t="str">
        <f>HYPERLINK("http://www.rosaceae.org/Prunus/Prunus_persica/p.persica_gdr_reftransV1_0000686","p.persica_gdr_reftransV1_0000686")</f>
        <v>p.persica_gdr_reftransV1_0000686</v>
      </c>
      <c r="B17106" s="2">
        <v>881</v>
      </c>
      <c r="C17106" s="4" t="str">
        <f>HYPERLINK("http://www.uniprot.org/uniprot/M5Y0F4","M5Y0F4")</f>
        <v>M5Y0F4</v>
      </c>
      <c r="D17106" s="2" t="s">
        <v>13447</v>
      </c>
      <c r="E17106" s="3">
        <v>4.1299999999999999E-88</v>
      </c>
      <c r="F17106" s="2">
        <v>691</v>
      </c>
      <c r="G17106" s="2">
        <v>100</v>
      </c>
      <c r="H17106" s="2">
        <v>131</v>
      </c>
      <c r="I17106" s="2">
        <v>131</v>
      </c>
      <c r="J17106" s="2">
        <v>523</v>
      </c>
      <c r="K17106" s="2">
        <v>1</v>
      </c>
      <c r="L17106" s="2">
        <v>131</v>
      </c>
    </row>
    <row r="17107" spans="1:12" x14ac:dyDescent="0.25">
      <c r="A17107" s="4" t="str">
        <f>HYPERLINK("http://www.rosaceae.org/Prunus/Prunus_persica/p.persica_gdr_reftransV1_0001036","p.persica_gdr_reftransV1_0001036")</f>
        <v>p.persica_gdr_reftransV1_0001036</v>
      </c>
      <c r="B17107" s="2">
        <v>306</v>
      </c>
      <c r="C17107" s="4" t="str">
        <f>HYPERLINK("http://www.uniprot.org/uniprot/M5Y2R9","M5Y2R9")</f>
        <v>M5Y2R9</v>
      </c>
      <c r="D17107" s="2" t="s">
        <v>1941</v>
      </c>
      <c r="E17107" s="3">
        <v>1.67E-62</v>
      </c>
      <c r="F17107" s="2">
        <v>536</v>
      </c>
      <c r="G17107" s="2">
        <v>100</v>
      </c>
      <c r="H17107" s="2">
        <v>100</v>
      </c>
      <c r="I17107" s="2">
        <v>7</v>
      </c>
      <c r="J17107" s="2">
        <v>306</v>
      </c>
      <c r="K17107" s="2">
        <v>353</v>
      </c>
      <c r="L17107" s="2">
        <v>452</v>
      </c>
    </row>
    <row r="17108" spans="1:12" x14ac:dyDescent="0.25">
      <c r="A17108" s="4" t="str">
        <f>HYPERLINK("http://www.rosaceae.org/Prunus/Prunus_persica/p.persica_gdr_reftransV1_0001386","p.persica_gdr_reftransV1_0001386")</f>
        <v>p.persica_gdr_reftransV1_0001386</v>
      </c>
      <c r="B17108" s="2">
        <v>2114</v>
      </c>
      <c r="C17108" s="4" t="str">
        <f>HYPERLINK("http://www.uniprot.org/uniprot/M5XL72","M5XL72")</f>
        <v>M5XL72</v>
      </c>
      <c r="D17108" s="2" t="s">
        <v>13448</v>
      </c>
      <c r="E17108" s="3">
        <v>0</v>
      </c>
      <c r="F17108" s="2">
        <v>2936</v>
      </c>
      <c r="G17108" s="2">
        <v>99</v>
      </c>
      <c r="H17108" s="2">
        <v>580</v>
      </c>
      <c r="I17108" s="2">
        <v>236</v>
      </c>
      <c r="J17108" s="2">
        <v>1975</v>
      </c>
      <c r="K17108" s="2">
        <v>1</v>
      </c>
      <c r="L17108" s="2">
        <v>580</v>
      </c>
    </row>
    <row r="17109" spans="1:12" x14ac:dyDescent="0.25">
      <c r="A17109" s="4" t="str">
        <f>HYPERLINK("http://www.rosaceae.org/Prunus/Prunus_persica/p.persica_gdr_reftransV1_0001736","p.persica_gdr_reftransV1_0001736")</f>
        <v>p.persica_gdr_reftransV1_0001736</v>
      </c>
      <c r="B17109" s="2">
        <v>1091</v>
      </c>
      <c r="C17109" s="4" t="str">
        <f>HYPERLINK("http://www.uniprot.org/uniprot/M5X0Y4","M5X0Y4")</f>
        <v>M5X0Y4</v>
      </c>
      <c r="D17109" s="2" t="s">
        <v>13449</v>
      </c>
      <c r="E17109" s="3">
        <v>1.19E-138</v>
      </c>
      <c r="F17109" s="2">
        <v>1041</v>
      </c>
      <c r="G17109" s="2">
        <v>100</v>
      </c>
      <c r="H17109" s="2">
        <v>221</v>
      </c>
      <c r="I17109" s="2">
        <v>301</v>
      </c>
      <c r="J17109" s="2">
        <v>963</v>
      </c>
      <c r="K17109" s="2">
        <v>1</v>
      </c>
      <c r="L17109" s="2">
        <v>221</v>
      </c>
    </row>
    <row r="17110" spans="1:12" x14ac:dyDescent="0.25">
      <c r="A17110" s="4" t="str">
        <f>HYPERLINK("http://www.rosaceae.org/Prunus/Prunus_persica/p.persica_gdr_reftransV1_0002086","p.persica_gdr_reftransV1_0002086")</f>
        <v>p.persica_gdr_reftransV1_0002086</v>
      </c>
      <c r="B17110" s="2">
        <v>5952</v>
      </c>
      <c r="C17110" s="4" t="str">
        <f>HYPERLINK("http://www.uniprot.org/uniprot/M5XKQ3","M5XKQ3")</f>
        <v>M5XKQ3</v>
      </c>
      <c r="D17110" s="2" t="s">
        <v>7607</v>
      </c>
      <c r="E17110" s="3">
        <v>0</v>
      </c>
      <c r="F17110" s="2">
        <v>7143</v>
      </c>
      <c r="G17110" s="2">
        <v>93</v>
      </c>
      <c r="H17110" s="2">
        <v>1505</v>
      </c>
      <c r="I17110" s="2">
        <v>1045</v>
      </c>
      <c r="J17110" s="2">
        <v>5544</v>
      </c>
      <c r="K17110" s="2">
        <v>9</v>
      </c>
      <c r="L17110" s="2">
        <v>1497</v>
      </c>
    </row>
    <row r="17111" spans="1:12" x14ac:dyDescent="0.25">
      <c r="A17111" s="4" t="str">
        <f>HYPERLINK("http://www.rosaceae.org/Prunus/Prunus_persica/p.persica_gdr_reftransV1_0002436","p.persica_gdr_reftransV1_0002436")</f>
        <v>p.persica_gdr_reftransV1_0002436</v>
      </c>
      <c r="B17111" s="2">
        <v>1867</v>
      </c>
      <c r="C17111" s="4" t="str">
        <f>HYPERLINK("http://www.uniprot.org/uniprot/M5VM78","M5VM78")</f>
        <v>M5VM78</v>
      </c>
      <c r="D17111" s="2" t="s">
        <v>9042</v>
      </c>
      <c r="E17111" s="3">
        <v>0</v>
      </c>
      <c r="F17111" s="2">
        <v>2178</v>
      </c>
      <c r="G17111" s="2">
        <v>100</v>
      </c>
      <c r="H17111" s="2">
        <v>407</v>
      </c>
      <c r="I17111" s="2">
        <v>378</v>
      </c>
      <c r="J17111" s="2">
        <v>1598</v>
      </c>
      <c r="K17111" s="2">
        <v>1</v>
      </c>
      <c r="L17111" s="2">
        <v>407</v>
      </c>
    </row>
    <row r="17112" spans="1:12" x14ac:dyDescent="0.25">
      <c r="A17112" s="4" t="str">
        <f>HYPERLINK("http://www.rosaceae.org/Prunus/Prunus_persica/p.persica_gdr_reftransV1_0002786","p.persica_gdr_reftransV1_0002786")</f>
        <v>p.persica_gdr_reftransV1_0002786</v>
      </c>
      <c r="B17112" s="2">
        <v>841</v>
      </c>
      <c r="C17112" s="4" t="str">
        <f>HYPERLINK("http://www.uniprot.org/uniprot/M5VR65","M5VR65")</f>
        <v>M5VR65</v>
      </c>
      <c r="D17112" s="2" t="s">
        <v>13450</v>
      </c>
      <c r="E17112" s="3">
        <v>6.6600000000000004E-131</v>
      </c>
      <c r="F17112" s="2">
        <v>977</v>
      </c>
      <c r="G17112" s="2">
        <v>100</v>
      </c>
      <c r="H17112" s="2">
        <v>183</v>
      </c>
      <c r="I17112" s="2">
        <v>72</v>
      </c>
      <c r="J17112" s="2">
        <v>620</v>
      </c>
      <c r="K17112" s="2">
        <v>1</v>
      </c>
      <c r="L17112" s="2">
        <v>183</v>
      </c>
    </row>
    <row r="17113" spans="1:12" x14ac:dyDescent="0.25">
      <c r="A17113" s="4" t="str">
        <f>HYPERLINK("http://www.rosaceae.org/Prunus/Prunus_persica/p.persica_gdr_reftransV1_0003136","p.persica_gdr_reftransV1_0003136")</f>
        <v>p.persica_gdr_reftransV1_0003136</v>
      </c>
      <c r="B17113" s="2">
        <v>1768</v>
      </c>
      <c r="C17113" s="4" t="str">
        <f>HYPERLINK("http://www.uniprot.org/uniprot/M5XE78","M5XE78")</f>
        <v>M5XE78</v>
      </c>
      <c r="D17113" s="2" t="s">
        <v>13451</v>
      </c>
      <c r="E17113" s="3">
        <v>0</v>
      </c>
      <c r="F17113" s="2">
        <v>1129</v>
      </c>
      <c r="G17113" s="2">
        <v>100</v>
      </c>
      <c r="H17113" s="2">
        <v>211</v>
      </c>
      <c r="I17113" s="2">
        <v>521</v>
      </c>
      <c r="J17113" s="2">
        <v>1153</v>
      </c>
      <c r="K17113" s="2">
        <v>96</v>
      </c>
      <c r="L17113" s="2">
        <v>306</v>
      </c>
    </row>
    <row r="17114" spans="1:12" x14ac:dyDescent="0.25">
      <c r="A17114" s="4" t="str">
        <f>HYPERLINK("http://www.rosaceae.org/Prunus/Prunus_persica/p.persica_gdr_reftransV1_0003486","p.persica_gdr_reftransV1_0003486")</f>
        <v>p.persica_gdr_reftransV1_0003486</v>
      </c>
      <c r="B17114" s="2">
        <v>631</v>
      </c>
      <c r="C17114" s="4" t="str">
        <f>HYPERLINK("http://www.uniprot.org/uniprot/M5XHP1","M5XHP1")</f>
        <v>M5XHP1</v>
      </c>
      <c r="D17114" s="2" t="s">
        <v>6177</v>
      </c>
      <c r="E17114" s="3">
        <v>3.1699999999999999E-58</v>
      </c>
      <c r="F17114" s="2">
        <v>504</v>
      </c>
      <c r="G17114" s="2">
        <v>77</v>
      </c>
      <c r="H17114" s="2">
        <v>155</v>
      </c>
      <c r="I17114" s="2">
        <v>65</v>
      </c>
      <c r="J17114" s="2">
        <v>505</v>
      </c>
      <c r="K17114" s="2">
        <v>164</v>
      </c>
      <c r="L17114" s="2">
        <v>316</v>
      </c>
    </row>
    <row r="17115" spans="1:12" x14ac:dyDescent="0.25">
      <c r="A17115" s="4" t="str">
        <f>HYPERLINK("http://www.rosaceae.org/Prunus/Prunus_persica/p.persica_gdr_reftransV1_0004186","p.persica_gdr_reftransV1_0004186")</f>
        <v>p.persica_gdr_reftransV1_0004186</v>
      </c>
      <c r="B17115" s="2">
        <v>699</v>
      </c>
      <c r="C17115" s="4" t="str">
        <f>HYPERLINK("http://www.uniprot.org/uniprot/M5VXG5","M5VXG5")</f>
        <v>M5VXG5</v>
      </c>
      <c r="D17115" s="2" t="s">
        <v>9008</v>
      </c>
      <c r="E17115" s="3">
        <v>5.7699999999999997E-97</v>
      </c>
      <c r="F17115" s="2">
        <v>761</v>
      </c>
      <c r="G17115" s="2">
        <v>100</v>
      </c>
      <c r="H17115" s="2">
        <v>165</v>
      </c>
      <c r="I17115" s="2">
        <v>163</v>
      </c>
      <c r="J17115" s="2">
        <v>657</v>
      </c>
      <c r="K17115" s="2">
        <v>1</v>
      </c>
      <c r="L17115" s="2">
        <v>165</v>
      </c>
    </row>
    <row r="17116" spans="1:12" x14ac:dyDescent="0.25">
      <c r="A17116" s="4" t="str">
        <f>HYPERLINK("http://www.rosaceae.org/Prunus/Prunus_persica/p.persica_gdr_reftransV1_0004886","p.persica_gdr_reftransV1_0004886")</f>
        <v>p.persica_gdr_reftransV1_0004886</v>
      </c>
      <c r="B17116" s="2">
        <v>862</v>
      </c>
      <c r="C17116" s="4" t="str">
        <f>HYPERLINK("http://www.uniprot.org/uniprot/M5W5N8","M5W5N8")</f>
        <v>M5W5N8</v>
      </c>
      <c r="D17116" s="2" t="s">
        <v>13452</v>
      </c>
      <c r="E17116" s="3">
        <v>8.5E-94</v>
      </c>
      <c r="F17116" s="2">
        <v>756</v>
      </c>
      <c r="G17116" s="2">
        <v>100</v>
      </c>
      <c r="H17116" s="2">
        <v>181</v>
      </c>
      <c r="I17116" s="2">
        <v>43</v>
      </c>
      <c r="J17116" s="2">
        <v>585</v>
      </c>
      <c r="K17116" s="2">
        <v>1</v>
      </c>
      <c r="L17116" s="2">
        <v>181</v>
      </c>
    </row>
    <row r="17117" spans="1:12" x14ac:dyDescent="0.25">
      <c r="A17117" s="4" t="str">
        <f>HYPERLINK("http://www.rosaceae.org/Prunus/Prunus_persica/p.persica_gdr_reftransV1_0005236","p.persica_gdr_reftransV1_0005236")</f>
        <v>p.persica_gdr_reftransV1_0005236</v>
      </c>
      <c r="B17117" s="2">
        <v>3789</v>
      </c>
      <c r="C17117" s="4" t="str">
        <f>HYPERLINK("http://www.uniprot.org/uniprot/M5WBU7","M5WBU7")</f>
        <v>M5WBU7</v>
      </c>
      <c r="D17117" s="2" t="s">
        <v>13300</v>
      </c>
      <c r="E17117" s="3">
        <v>0</v>
      </c>
      <c r="F17117" s="2">
        <v>3686</v>
      </c>
      <c r="G17117" s="2">
        <v>93</v>
      </c>
      <c r="H17117" s="2">
        <v>849</v>
      </c>
      <c r="I17117" s="2">
        <v>2</v>
      </c>
      <c r="J17117" s="2">
        <v>2548</v>
      </c>
      <c r="K17117" s="2">
        <v>491</v>
      </c>
      <c r="L17117" s="2">
        <v>1284</v>
      </c>
    </row>
    <row r="17118" spans="1:12" x14ac:dyDescent="0.25">
      <c r="A17118" s="4" t="str">
        <f>HYPERLINK("http://www.rosaceae.org/Prunus/Prunus_persica/p.persica_gdr_reftransV1_0006286","p.persica_gdr_reftransV1_0006286")</f>
        <v>p.persica_gdr_reftransV1_0006286</v>
      </c>
      <c r="B17118" s="2">
        <v>1020</v>
      </c>
      <c r="C17118" s="4" t="str">
        <f>HYPERLINK("http://www.uniprot.org/uniprot/M5WR99","M5WR99")</f>
        <v>M5WR99</v>
      </c>
      <c r="D17118" s="2" t="s">
        <v>4764</v>
      </c>
      <c r="E17118" s="3">
        <v>9.3400000000000003E-180</v>
      </c>
      <c r="F17118" s="2">
        <v>1375</v>
      </c>
      <c r="G17118" s="2">
        <v>100</v>
      </c>
      <c r="H17118" s="2">
        <v>257</v>
      </c>
      <c r="I17118" s="2">
        <v>3</v>
      </c>
      <c r="J17118" s="2">
        <v>773</v>
      </c>
      <c r="K17118" s="2">
        <v>666</v>
      </c>
      <c r="L17118" s="2">
        <v>922</v>
      </c>
    </row>
    <row r="17119" spans="1:12" x14ac:dyDescent="0.25">
      <c r="A17119" s="4" t="str">
        <f>HYPERLINK("http://www.rosaceae.org/Prunus/Prunus_persica/p.persica_gdr_reftransV1_0006636","p.persica_gdr_reftransV1_0006636")</f>
        <v>p.persica_gdr_reftransV1_0006636</v>
      </c>
      <c r="B17119" s="2">
        <v>784</v>
      </c>
      <c r="C17119" s="4" t="str">
        <f>HYPERLINK("http://www.uniprot.org/uniprot/M5XW51","M5XW51")</f>
        <v>M5XW51</v>
      </c>
      <c r="D17119" s="2" t="s">
        <v>13453</v>
      </c>
      <c r="E17119" s="3">
        <v>5.0500000000000003E-132</v>
      </c>
      <c r="F17119" s="2">
        <v>962</v>
      </c>
      <c r="G17119" s="2">
        <v>99</v>
      </c>
      <c r="H17119" s="2">
        <v>181</v>
      </c>
      <c r="I17119" s="2">
        <v>242</v>
      </c>
      <c r="J17119" s="2">
        <v>784</v>
      </c>
      <c r="K17119" s="2">
        <v>174</v>
      </c>
      <c r="L17119" s="2">
        <v>354</v>
      </c>
    </row>
    <row r="17120" spans="1:12" x14ac:dyDescent="0.25">
      <c r="A17120" s="4" t="str">
        <f>HYPERLINK("http://www.rosaceae.org/Prunus/Prunus_persica/p.persica_gdr_reftransV1_0007336","p.persica_gdr_reftransV1_0007336")</f>
        <v>p.persica_gdr_reftransV1_0007336</v>
      </c>
      <c r="B17120" s="2">
        <v>534</v>
      </c>
      <c r="C17120" s="4" t="str">
        <f>HYPERLINK("http://www.uniprot.org/uniprot/M5X7W2","M5X7W2")</f>
        <v>M5X7W2</v>
      </c>
      <c r="D17120" s="2" t="s">
        <v>4504</v>
      </c>
      <c r="E17120" s="3">
        <v>5.0500000000000002E-123</v>
      </c>
      <c r="F17120" s="2">
        <v>947</v>
      </c>
      <c r="G17120" s="2">
        <v>100</v>
      </c>
      <c r="H17120" s="2">
        <v>177</v>
      </c>
      <c r="I17120" s="2">
        <v>2</v>
      </c>
      <c r="J17120" s="2">
        <v>532</v>
      </c>
      <c r="K17120" s="2">
        <v>172</v>
      </c>
      <c r="L17120" s="2">
        <v>348</v>
      </c>
    </row>
    <row r="17121" spans="1:12" x14ac:dyDescent="0.25">
      <c r="A17121" s="4" t="str">
        <f>HYPERLINK("http://www.rosaceae.org/Prunus/Prunus_persica/p.persica_gdr_reftransV1_0008036","p.persica_gdr_reftransV1_0008036")</f>
        <v>p.persica_gdr_reftransV1_0008036</v>
      </c>
      <c r="B17121" s="2">
        <v>1147</v>
      </c>
      <c r="C17121" s="4" t="str">
        <f>HYPERLINK("http://www.uniprot.org/uniprot/A5AU23","A5AU23")</f>
        <v>A5AU23</v>
      </c>
      <c r="D17121" s="2" t="s">
        <v>13454</v>
      </c>
      <c r="E17121" s="3">
        <v>0</v>
      </c>
      <c r="F17121" s="2">
        <v>1456</v>
      </c>
      <c r="G17121" s="2">
        <v>71</v>
      </c>
      <c r="H17121" s="2">
        <v>381</v>
      </c>
      <c r="I17121" s="2">
        <v>3</v>
      </c>
      <c r="J17121" s="2">
        <v>1145</v>
      </c>
      <c r="K17121" s="2">
        <v>97</v>
      </c>
      <c r="L17121" s="2">
        <v>476</v>
      </c>
    </row>
    <row r="17122" spans="1:12" x14ac:dyDescent="0.25">
      <c r="A17122" s="4" t="str">
        <f>HYPERLINK("http://www.rosaceae.org/Prunus/Prunus_persica/p.persica_gdr_reftransV1_0008386","p.persica_gdr_reftransV1_0008386")</f>
        <v>p.persica_gdr_reftransV1_0008386</v>
      </c>
      <c r="B17122" s="2">
        <v>1444</v>
      </c>
      <c r="C17122" s="4" t="str">
        <f>HYPERLINK("http://www.uniprot.org/uniprot/A0A061ETP0","A0A061ETP0")</f>
        <v>A0A061ETP0</v>
      </c>
      <c r="D17122" s="2" t="s">
        <v>13455</v>
      </c>
      <c r="E17122" s="3">
        <v>1.54E-94</v>
      </c>
      <c r="F17122" s="2">
        <v>763</v>
      </c>
      <c r="G17122" s="2">
        <v>66</v>
      </c>
      <c r="H17122" s="2">
        <v>270</v>
      </c>
      <c r="I17122" s="2">
        <v>164</v>
      </c>
      <c r="J17122" s="2">
        <v>973</v>
      </c>
      <c r="K17122" s="2">
        <v>2</v>
      </c>
      <c r="L17122" s="2">
        <v>250</v>
      </c>
    </row>
    <row r="17123" spans="1:12" x14ac:dyDescent="0.25">
      <c r="A17123" s="4" t="str">
        <f>HYPERLINK("http://www.rosaceae.org/Prunus/Prunus_persica/p.persica_gdr_reftransV1_0009086","p.persica_gdr_reftransV1_0009086")</f>
        <v>p.persica_gdr_reftransV1_0009086</v>
      </c>
      <c r="B17123" s="2">
        <v>957</v>
      </c>
      <c r="C17123" s="4" t="str">
        <f>HYPERLINK("http://www.uniprot.org/uniprot/A0A067KPT4","A0A067KPT4")</f>
        <v>A0A067KPT4</v>
      </c>
      <c r="D17123" s="2" t="s">
        <v>13456</v>
      </c>
      <c r="E17123" s="3">
        <v>7.11E-49</v>
      </c>
      <c r="F17123" s="2">
        <v>434</v>
      </c>
      <c r="G17123" s="2">
        <v>72</v>
      </c>
      <c r="H17123" s="2">
        <v>124</v>
      </c>
      <c r="I17123" s="2">
        <v>201</v>
      </c>
      <c r="J17123" s="2">
        <v>572</v>
      </c>
      <c r="K17123" s="2">
        <v>3</v>
      </c>
      <c r="L17123" s="2">
        <v>124</v>
      </c>
    </row>
    <row r="17124" spans="1:12" x14ac:dyDescent="0.25">
      <c r="A17124" s="4" t="str">
        <f>HYPERLINK("http://www.rosaceae.org/Prunus/Prunus_persica/p.persica_gdr_reftransV1_0009436","p.persica_gdr_reftransV1_0009436")</f>
        <v>p.persica_gdr_reftransV1_0009436</v>
      </c>
      <c r="B17124" s="2">
        <v>2071</v>
      </c>
      <c r="C17124" s="4" t="str">
        <f>HYPERLINK("http://www.uniprot.org/uniprot/M5WB32","M5WB32")</f>
        <v>M5WB32</v>
      </c>
      <c r="D17124" s="2" t="s">
        <v>13457</v>
      </c>
      <c r="E17124" s="3">
        <v>0</v>
      </c>
      <c r="F17124" s="2">
        <v>1928</v>
      </c>
      <c r="G17124" s="2">
        <v>100</v>
      </c>
      <c r="H17124" s="2">
        <v>414</v>
      </c>
      <c r="I17124" s="2">
        <v>391</v>
      </c>
      <c r="J17124" s="2">
        <v>1632</v>
      </c>
      <c r="K17124" s="2">
        <v>1</v>
      </c>
      <c r="L17124" s="2">
        <v>414</v>
      </c>
    </row>
    <row r="17125" spans="1:12" x14ac:dyDescent="0.25">
      <c r="A17125" s="4" t="str">
        <f>HYPERLINK("http://www.rosaceae.org/Prunus/Prunus_persica/p.persica_gdr_reftransV1_0010486","p.persica_gdr_reftransV1_0010486")</f>
        <v>p.persica_gdr_reftransV1_0010486</v>
      </c>
      <c r="B17125" s="2">
        <v>1749</v>
      </c>
      <c r="C17125" s="4" t="str">
        <f>HYPERLINK("http://www.uniprot.org/uniprot/M5XBE8","M5XBE8")</f>
        <v>M5XBE8</v>
      </c>
      <c r="D17125" s="2" t="s">
        <v>7837</v>
      </c>
      <c r="E17125" s="3">
        <v>0</v>
      </c>
      <c r="F17125" s="2">
        <v>1792</v>
      </c>
      <c r="G17125" s="2">
        <v>100</v>
      </c>
      <c r="H17125" s="2">
        <v>348</v>
      </c>
      <c r="I17125" s="2">
        <v>372</v>
      </c>
      <c r="J17125" s="2">
        <v>1415</v>
      </c>
      <c r="K17125" s="2">
        <v>1</v>
      </c>
      <c r="L17125" s="2">
        <v>348</v>
      </c>
    </row>
    <row r="17126" spans="1:12" x14ac:dyDescent="0.25">
      <c r="A17126" s="4" t="str">
        <f>HYPERLINK("http://www.rosaceae.org/Prunus/Prunus_persica/p.persica_gdr_reftransV1_0011186","p.persica_gdr_reftransV1_0011186")</f>
        <v>p.persica_gdr_reftransV1_0011186</v>
      </c>
      <c r="B17126" s="2">
        <v>926</v>
      </c>
      <c r="C17126" s="4" t="str">
        <f>HYPERLINK("http://www.uniprot.org/uniprot/A0A061GTC0","A0A061GTC0")</f>
        <v>A0A061GTC0</v>
      </c>
      <c r="D17126" s="2" t="s">
        <v>13458</v>
      </c>
      <c r="E17126" s="3">
        <v>1.8299999999999998E-102</v>
      </c>
      <c r="F17126" s="2">
        <v>814</v>
      </c>
      <c r="G17126" s="2">
        <v>75</v>
      </c>
      <c r="H17126" s="2">
        <v>188</v>
      </c>
      <c r="I17126" s="2">
        <v>71</v>
      </c>
      <c r="J17126" s="2">
        <v>634</v>
      </c>
      <c r="K17126" s="2">
        <v>195</v>
      </c>
      <c r="L17126" s="2">
        <v>382</v>
      </c>
    </row>
    <row r="17127" spans="1:12" x14ac:dyDescent="0.25">
      <c r="A17127" s="4" t="str">
        <f>HYPERLINK("http://www.rosaceae.org/Prunus/Prunus_persica/p.persica_gdr_reftransV1_0012236","p.persica_gdr_reftransV1_0012236")</f>
        <v>p.persica_gdr_reftransV1_0012236</v>
      </c>
      <c r="B17127" s="2">
        <v>1891</v>
      </c>
      <c r="C17127" s="4" t="str">
        <f>HYPERLINK("http://www.uniprot.org/uniprot/M5X580","M5X580")</f>
        <v>M5X580</v>
      </c>
      <c r="D17127" s="2" t="s">
        <v>13459</v>
      </c>
      <c r="E17127" s="3">
        <v>0</v>
      </c>
      <c r="F17127" s="2">
        <v>1763</v>
      </c>
      <c r="G17127" s="2">
        <v>100</v>
      </c>
      <c r="H17127" s="2">
        <v>332</v>
      </c>
      <c r="I17127" s="2">
        <v>55</v>
      </c>
      <c r="J17127" s="2">
        <v>1050</v>
      </c>
      <c r="K17127" s="2">
        <v>70</v>
      </c>
      <c r="L17127" s="2">
        <v>401</v>
      </c>
    </row>
    <row r="17128" spans="1:12" x14ac:dyDescent="0.25">
      <c r="A17128" s="4" t="str">
        <f>HYPERLINK("http://www.rosaceae.org/Prunus/Prunus_persica/p.persica_gdr_reftransV1_0013286","p.persica_gdr_reftransV1_0013286")</f>
        <v>p.persica_gdr_reftransV1_0013286</v>
      </c>
      <c r="B17128" s="2">
        <v>985</v>
      </c>
      <c r="C17128" s="4" t="str">
        <f>HYPERLINK("http://www.uniprot.org/uniprot/W9S8X5","W9S8X5")</f>
        <v>W9S8X5</v>
      </c>
      <c r="D17128" s="2" t="s">
        <v>13460</v>
      </c>
      <c r="E17128" s="3">
        <v>7.0400000000000002E-41</v>
      </c>
      <c r="F17128" s="2">
        <v>382</v>
      </c>
      <c r="G17128" s="2">
        <v>63</v>
      </c>
      <c r="H17128" s="2">
        <v>169</v>
      </c>
      <c r="I17128" s="2">
        <v>251</v>
      </c>
      <c r="J17128" s="2">
        <v>742</v>
      </c>
      <c r="K17128" s="2">
        <v>1</v>
      </c>
      <c r="L17128" s="2">
        <v>166</v>
      </c>
    </row>
    <row r="17129" spans="1:12" x14ac:dyDescent="0.25">
      <c r="A17129" s="4" t="str">
        <f>HYPERLINK("http://www.rosaceae.org/Prunus/Prunus_persica/p.persica_gdr_reftransV1_0013986","p.persica_gdr_reftransV1_0013986")</f>
        <v>p.persica_gdr_reftransV1_0013986</v>
      </c>
      <c r="B17129" s="2">
        <v>2092</v>
      </c>
      <c r="C17129" s="4" t="str">
        <f>HYPERLINK("http://www.uniprot.org/uniprot/M5XX62","M5XX62")</f>
        <v>M5XX62</v>
      </c>
      <c r="D17129" s="2" t="s">
        <v>6101</v>
      </c>
      <c r="E17129" s="3">
        <v>0</v>
      </c>
      <c r="F17129" s="2">
        <v>2356</v>
      </c>
      <c r="G17129" s="2">
        <v>93</v>
      </c>
      <c r="H17129" s="2">
        <v>484</v>
      </c>
      <c r="I17129" s="2">
        <v>347</v>
      </c>
      <c r="J17129" s="2">
        <v>1798</v>
      </c>
      <c r="K17129" s="2">
        <v>1</v>
      </c>
      <c r="L17129" s="2">
        <v>484</v>
      </c>
    </row>
    <row r="17130" spans="1:12" x14ac:dyDescent="0.25">
      <c r="A17130" s="4" t="str">
        <f>HYPERLINK("http://www.rosaceae.org/Prunus/Prunus_persica/p.persica_gdr_reftransV1_0014336","p.persica_gdr_reftransV1_0014336")</f>
        <v>p.persica_gdr_reftransV1_0014336</v>
      </c>
      <c r="B17130" s="2">
        <v>2197</v>
      </c>
      <c r="C17130" s="4" t="str">
        <f>HYPERLINK("http://www.uniprot.org/uniprot/M5X3N9","M5X3N9")</f>
        <v>M5X3N9</v>
      </c>
      <c r="D17130" s="2" t="s">
        <v>13461</v>
      </c>
      <c r="E17130" s="3">
        <v>0</v>
      </c>
      <c r="F17130" s="2">
        <v>3103</v>
      </c>
      <c r="G17130" s="2">
        <v>94</v>
      </c>
      <c r="H17130" s="2">
        <v>629</v>
      </c>
      <c r="I17130" s="2">
        <v>309</v>
      </c>
      <c r="J17130" s="2">
        <v>2195</v>
      </c>
      <c r="K17130" s="2">
        <v>45</v>
      </c>
      <c r="L17130" s="2">
        <v>634</v>
      </c>
    </row>
    <row r="17131" spans="1:12" x14ac:dyDescent="0.25">
      <c r="A17131" s="4" t="str">
        <f>HYPERLINK("http://www.rosaceae.org/Prunus/Prunus_persica/p.persica_gdr_reftransV1_0014686","p.persica_gdr_reftransV1_0014686")</f>
        <v>p.persica_gdr_reftransV1_0014686</v>
      </c>
      <c r="B17131" s="2">
        <v>1612</v>
      </c>
      <c r="C17131" s="4" t="str">
        <f>HYPERLINK("http://www.uniprot.org/uniprot/M5XIS1","M5XIS1")</f>
        <v>M5XIS1</v>
      </c>
      <c r="D17131" s="2" t="s">
        <v>13462</v>
      </c>
      <c r="E17131" s="3">
        <v>3.15E-164</v>
      </c>
      <c r="F17131" s="2">
        <v>1240</v>
      </c>
      <c r="G17131" s="2">
        <v>100</v>
      </c>
      <c r="H17131" s="2">
        <v>269</v>
      </c>
      <c r="I17131" s="2">
        <v>125</v>
      </c>
      <c r="J17131" s="2">
        <v>931</v>
      </c>
      <c r="K17131" s="2">
        <v>72</v>
      </c>
      <c r="L17131" s="2">
        <v>340</v>
      </c>
    </row>
    <row r="17132" spans="1:12" x14ac:dyDescent="0.25">
      <c r="A17132" s="4" t="str">
        <f>HYPERLINK("http://www.rosaceae.org/Prunus/Prunus_persica/p.persica_gdr_reftransV1_0015386","p.persica_gdr_reftransV1_0015386")</f>
        <v>p.persica_gdr_reftransV1_0015386</v>
      </c>
      <c r="B17132" s="2">
        <v>2447</v>
      </c>
      <c r="C17132" s="4" t="str">
        <f>HYPERLINK("http://www.uniprot.org/uniprot/M5X675","M5X675")</f>
        <v>M5X675</v>
      </c>
      <c r="D17132" s="2" t="s">
        <v>13463</v>
      </c>
      <c r="E17132" s="3">
        <v>3.3799999999999998E-122</v>
      </c>
      <c r="F17132" s="2">
        <v>976</v>
      </c>
      <c r="G17132" s="2">
        <v>100</v>
      </c>
      <c r="H17132" s="2">
        <v>180</v>
      </c>
      <c r="I17132" s="2">
        <v>1068</v>
      </c>
      <c r="J17132" s="2">
        <v>1607</v>
      </c>
      <c r="K17132" s="2">
        <v>80</v>
      </c>
      <c r="L17132" s="2">
        <v>259</v>
      </c>
    </row>
    <row r="17133" spans="1:12" x14ac:dyDescent="0.25">
      <c r="A17133" s="4" t="str">
        <f>HYPERLINK("http://www.rosaceae.org/Prunus/Prunus_persica/p.persica_gdr_reftransV1_0015736","p.persica_gdr_reftransV1_0015736")</f>
        <v>p.persica_gdr_reftransV1_0015736</v>
      </c>
      <c r="B17133" s="2">
        <v>1425</v>
      </c>
      <c r="C17133" s="4" t="str">
        <f>HYPERLINK("http://www.uniprot.org/uniprot/M5WDS0","M5WDS0")</f>
        <v>M5WDS0</v>
      </c>
      <c r="D17133" s="2" t="s">
        <v>13464</v>
      </c>
      <c r="E17133" s="3">
        <v>0</v>
      </c>
      <c r="F17133" s="2">
        <v>1784</v>
      </c>
      <c r="G17133" s="2">
        <v>100</v>
      </c>
      <c r="H17133" s="2">
        <v>364</v>
      </c>
      <c r="I17133" s="2">
        <v>166</v>
      </c>
      <c r="J17133" s="2">
        <v>1257</v>
      </c>
      <c r="K17133" s="2">
        <v>1</v>
      </c>
      <c r="L17133" s="2">
        <v>364</v>
      </c>
    </row>
    <row r="17134" spans="1:12" x14ac:dyDescent="0.25">
      <c r="A17134" s="4" t="str">
        <f>HYPERLINK("http://www.rosaceae.org/Prunus/Prunus_persica/p.persica_gdr_reftransV1_0016436","p.persica_gdr_reftransV1_0016436")</f>
        <v>p.persica_gdr_reftransV1_0016436</v>
      </c>
      <c r="B17134" s="2">
        <v>625</v>
      </c>
      <c r="C17134" s="4" t="str">
        <f>HYPERLINK("http://www.uniprot.org/uniprot/M5WNE5","M5WNE5")</f>
        <v>M5WNE5</v>
      </c>
      <c r="D17134" s="2" t="s">
        <v>13465</v>
      </c>
      <c r="E17134" s="3">
        <v>3.4500000000000002E-136</v>
      </c>
      <c r="F17134" s="2">
        <v>1007</v>
      </c>
      <c r="G17134" s="2">
        <v>100</v>
      </c>
      <c r="H17134" s="2">
        <v>196</v>
      </c>
      <c r="I17134" s="2">
        <v>24</v>
      </c>
      <c r="J17134" s="2">
        <v>611</v>
      </c>
      <c r="K17134" s="2">
        <v>13</v>
      </c>
      <c r="L17134" s="2">
        <v>208</v>
      </c>
    </row>
    <row r="17135" spans="1:12" x14ac:dyDescent="0.25">
      <c r="A17135" s="4" t="str">
        <f>HYPERLINK("http://www.rosaceae.org/Prunus/Prunus_persica/p.persica_gdr_reftransV1_0016786","p.persica_gdr_reftransV1_0016786")</f>
        <v>p.persica_gdr_reftransV1_0016786</v>
      </c>
      <c r="B17135" s="2">
        <v>724</v>
      </c>
      <c r="C17135" s="4" t="str">
        <f>HYPERLINK("http://www.uniprot.org/uniprot/M5XRE8","M5XRE8")</f>
        <v>M5XRE8</v>
      </c>
      <c r="D17135" s="2" t="s">
        <v>13466</v>
      </c>
      <c r="E17135" s="3">
        <v>5.0299999999999996E-115</v>
      </c>
      <c r="F17135" s="2">
        <v>946</v>
      </c>
      <c r="G17135" s="2">
        <v>99</v>
      </c>
      <c r="H17135" s="2">
        <v>197</v>
      </c>
      <c r="I17135" s="2">
        <v>2</v>
      </c>
      <c r="J17135" s="2">
        <v>592</v>
      </c>
      <c r="K17135" s="2">
        <v>931</v>
      </c>
      <c r="L17135" s="2">
        <v>1127</v>
      </c>
    </row>
    <row r="17136" spans="1:12" x14ac:dyDescent="0.25">
      <c r="A17136" s="4" t="str">
        <f>HYPERLINK("http://www.rosaceae.org/Prunus/Prunus_persica/p.persica_gdr_reftransV1_0018186","p.persica_gdr_reftransV1_0018186")</f>
        <v>p.persica_gdr_reftransV1_0018186</v>
      </c>
      <c r="B17136" s="2">
        <v>1536</v>
      </c>
      <c r="C17136" s="4" t="str">
        <f>HYPERLINK("http://www.uniprot.org/uniprot/M5XWN5","M5XWN5")</f>
        <v>M5XWN5</v>
      </c>
      <c r="D17136" s="2" t="s">
        <v>13467</v>
      </c>
      <c r="E17136" s="3">
        <v>6.9499999999999998E-170</v>
      </c>
      <c r="F17136" s="2">
        <v>807</v>
      </c>
      <c r="G17136" s="2">
        <v>99</v>
      </c>
      <c r="H17136" s="2">
        <v>153</v>
      </c>
      <c r="I17136" s="2">
        <v>741</v>
      </c>
      <c r="J17136" s="2">
        <v>1199</v>
      </c>
      <c r="K17136" s="2">
        <v>174</v>
      </c>
      <c r="L17136" s="2">
        <v>326</v>
      </c>
    </row>
    <row r="17137" spans="1:12" x14ac:dyDescent="0.25">
      <c r="A17137" s="4" t="str">
        <f>HYPERLINK("http://www.rosaceae.org/Prunus/Prunus_persica/p.persica_gdr_reftransV1_0019236","p.persica_gdr_reftransV1_0019236")</f>
        <v>p.persica_gdr_reftransV1_0019236</v>
      </c>
      <c r="B17137" s="2">
        <v>738</v>
      </c>
      <c r="C17137" s="4" t="str">
        <f>HYPERLINK("http://www.uniprot.org/uniprot/M5W1B8","M5W1B8")</f>
        <v>M5W1B8</v>
      </c>
      <c r="D17137" s="2" t="s">
        <v>13468</v>
      </c>
      <c r="E17137" s="3">
        <v>8.0199999999999999E-100</v>
      </c>
      <c r="F17137" s="2">
        <v>769</v>
      </c>
      <c r="G17137" s="2">
        <v>100</v>
      </c>
      <c r="H17137" s="2">
        <v>143</v>
      </c>
      <c r="I17137" s="2">
        <v>230</v>
      </c>
      <c r="J17137" s="2">
        <v>658</v>
      </c>
      <c r="K17137" s="2">
        <v>41</v>
      </c>
      <c r="L17137" s="2">
        <v>183</v>
      </c>
    </row>
    <row r="17138" spans="1:12" x14ac:dyDescent="0.25">
      <c r="A17138" s="4" t="str">
        <f>HYPERLINK("http://www.rosaceae.org/Prunus/Prunus_persica/p.persica_gdr_reftransV1_0019936","p.persica_gdr_reftransV1_0019936")</f>
        <v>p.persica_gdr_reftransV1_0019936</v>
      </c>
      <c r="B17138" s="2">
        <v>2274</v>
      </c>
      <c r="C17138" s="4" t="str">
        <f>HYPERLINK("http://www.uniprot.org/uniprot/M5XDD1","M5XDD1")</f>
        <v>M5XDD1</v>
      </c>
      <c r="D17138" s="2" t="s">
        <v>13469</v>
      </c>
      <c r="E17138" s="3">
        <v>0</v>
      </c>
      <c r="F17138" s="2">
        <v>2774</v>
      </c>
      <c r="G17138" s="2">
        <v>99</v>
      </c>
      <c r="H17138" s="2">
        <v>555</v>
      </c>
      <c r="I17138" s="2">
        <v>470</v>
      </c>
      <c r="J17138" s="2">
        <v>2128</v>
      </c>
      <c r="K17138" s="2">
        <v>1</v>
      </c>
      <c r="L17138" s="2">
        <v>555</v>
      </c>
    </row>
    <row r="17139" spans="1:12" x14ac:dyDescent="0.25">
      <c r="A17139" s="4" t="str">
        <f>HYPERLINK("http://www.rosaceae.org/Prunus/Prunus_persica/p.persica_gdr_reftransV1_0020286","p.persica_gdr_reftransV1_0020286")</f>
        <v>p.persica_gdr_reftransV1_0020286</v>
      </c>
      <c r="B17139" s="2">
        <v>3494</v>
      </c>
      <c r="C17139" s="4" t="str">
        <f>HYPERLINK("http://www.uniprot.org/uniprot/M5XL34","M5XL34")</f>
        <v>M5XL34</v>
      </c>
      <c r="D17139" s="2" t="s">
        <v>13470</v>
      </c>
      <c r="E17139" s="3">
        <v>0</v>
      </c>
      <c r="F17139" s="2">
        <v>4996</v>
      </c>
      <c r="G17139" s="2">
        <v>95</v>
      </c>
      <c r="H17139" s="2">
        <v>1026</v>
      </c>
      <c r="I17139" s="2">
        <v>332</v>
      </c>
      <c r="J17139" s="2">
        <v>3394</v>
      </c>
      <c r="K17139" s="2">
        <v>205</v>
      </c>
      <c r="L17139" s="2">
        <v>1191</v>
      </c>
    </row>
    <row r="17140" spans="1:12" x14ac:dyDescent="0.25">
      <c r="A17140" s="4" t="str">
        <f>HYPERLINK("http://www.rosaceae.org/Prunus/Prunus_persica/p.persica_gdr_reftransV1_0020636","p.persica_gdr_reftransV1_0020636")</f>
        <v>p.persica_gdr_reftransV1_0020636</v>
      </c>
      <c r="B17140" s="2">
        <v>3368</v>
      </c>
      <c r="C17140" s="4" t="str">
        <f>HYPERLINK("http://www.uniprot.org/uniprot/M5VY05","M5VY05")</f>
        <v>M5VY05</v>
      </c>
      <c r="D17140" s="2" t="s">
        <v>13471</v>
      </c>
      <c r="E17140" s="3">
        <v>0</v>
      </c>
      <c r="F17140" s="2">
        <v>2275</v>
      </c>
      <c r="G17140" s="2">
        <v>97</v>
      </c>
      <c r="H17140" s="2">
        <v>458</v>
      </c>
      <c r="I17140" s="2">
        <v>1675</v>
      </c>
      <c r="J17140" s="2">
        <v>3048</v>
      </c>
      <c r="K17140" s="2">
        <v>1</v>
      </c>
      <c r="L17140" s="2">
        <v>446</v>
      </c>
    </row>
    <row r="17141" spans="1:12" x14ac:dyDescent="0.25">
      <c r="A17141" s="4" t="str">
        <f>HYPERLINK("http://www.rosaceae.org/Prunus/Prunus_persica/p.persica_gdr_reftransV1_0021686","p.persica_gdr_reftransV1_0021686")</f>
        <v>p.persica_gdr_reftransV1_0021686</v>
      </c>
      <c r="B17141" s="2">
        <v>1798</v>
      </c>
      <c r="C17141" s="4" t="str">
        <f>HYPERLINK("http://www.uniprot.org/uniprot/M5XRE9","M5XRE9")</f>
        <v>M5XRE9</v>
      </c>
      <c r="D17141" s="2" t="s">
        <v>13472</v>
      </c>
      <c r="E17141" s="3">
        <v>1.32E-162</v>
      </c>
      <c r="F17141" s="2">
        <v>1239</v>
      </c>
      <c r="G17141" s="2">
        <v>99</v>
      </c>
      <c r="H17141" s="2">
        <v>245</v>
      </c>
      <c r="I17141" s="2">
        <v>293</v>
      </c>
      <c r="J17141" s="2">
        <v>1027</v>
      </c>
      <c r="K17141" s="2">
        <v>130</v>
      </c>
      <c r="L17141" s="2">
        <v>374</v>
      </c>
    </row>
    <row r="17142" spans="1:12" x14ac:dyDescent="0.25">
      <c r="A17142" s="4" t="str">
        <f>HYPERLINK("http://www.rosaceae.org/Prunus/Prunus_persica/p.persica_gdr_reftransV1_0022736","p.persica_gdr_reftransV1_0022736")</f>
        <v>p.persica_gdr_reftransV1_0022736</v>
      </c>
      <c r="B17142" s="2">
        <v>3303</v>
      </c>
      <c r="C17142" s="4" t="str">
        <f>HYPERLINK("http://www.uniprot.org/uniprot/Q93XB3","Q93XB3")</f>
        <v>Q93XB3</v>
      </c>
      <c r="D17142" s="2" t="s">
        <v>13473</v>
      </c>
      <c r="E17142" s="3">
        <v>0</v>
      </c>
      <c r="F17142" s="2">
        <v>1900</v>
      </c>
      <c r="G17142" s="2">
        <v>93</v>
      </c>
      <c r="H17142" s="2">
        <v>374</v>
      </c>
      <c r="I17142" s="2">
        <v>1697</v>
      </c>
      <c r="J17142" s="2">
        <v>2818</v>
      </c>
      <c r="K17142" s="2">
        <v>290</v>
      </c>
      <c r="L17142" s="2">
        <v>662</v>
      </c>
    </row>
    <row r="17143" spans="1:12" x14ac:dyDescent="0.25">
      <c r="A17143" s="4" t="str">
        <f>HYPERLINK("http://www.rosaceae.org/Prunus/Prunus_persica/p.persica_gdr_reftransV1_0023086","p.persica_gdr_reftransV1_0023086")</f>
        <v>p.persica_gdr_reftransV1_0023086</v>
      </c>
      <c r="B17143" s="2">
        <v>3235</v>
      </c>
      <c r="C17143" s="4" t="str">
        <f>HYPERLINK("http://www.uniprot.org/uniprot/M5WNF7","M5WNF7")</f>
        <v>M5WNF7</v>
      </c>
      <c r="D17143" s="2" t="s">
        <v>13474</v>
      </c>
      <c r="E17143" s="3">
        <v>0</v>
      </c>
      <c r="F17143" s="2">
        <v>4215</v>
      </c>
      <c r="G17143" s="2">
        <v>100</v>
      </c>
      <c r="H17143" s="2">
        <v>870</v>
      </c>
      <c r="I17143" s="2">
        <v>407</v>
      </c>
      <c r="J17143" s="2">
        <v>3016</v>
      </c>
      <c r="K17143" s="2">
        <v>1</v>
      </c>
      <c r="L17143" s="2">
        <v>870</v>
      </c>
    </row>
    <row r="17144" spans="1:12" x14ac:dyDescent="0.25">
      <c r="A17144" s="4" t="str">
        <f>HYPERLINK("http://www.rosaceae.org/Prunus/Prunus_persica/p.persica_gdr_reftransV1_0023786","p.persica_gdr_reftransV1_0023786")</f>
        <v>p.persica_gdr_reftransV1_0023786</v>
      </c>
      <c r="B17144" s="2">
        <v>4394</v>
      </c>
      <c r="C17144" s="4" t="str">
        <f>HYPERLINK("http://www.uniprot.org/uniprot/M5WW18","M5WW18")</f>
        <v>M5WW18</v>
      </c>
      <c r="D17144" s="2" t="s">
        <v>13475</v>
      </c>
      <c r="E17144" s="3">
        <v>0</v>
      </c>
      <c r="F17144" s="2">
        <v>3093</v>
      </c>
      <c r="G17144" s="2">
        <v>94</v>
      </c>
      <c r="H17144" s="2">
        <v>693</v>
      </c>
      <c r="I17144" s="2">
        <v>445</v>
      </c>
      <c r="J17144" s="2">
        <v>2523</v>
      </c>
      <c r="K17144" s="2">
        <v>442</v>
      </c>
      <c r="L17144" s="2">
        <v>1090</v>
      </c>
    </row>
    <row r="17145" spans="1:12" x14ac:dyDescent="0.25">
      <c r="A17145" s="4" t="str">
        <f>HYPERLINK("http://www.rosaceae.org/Prunus/Prunus_persica/p.persica_gdr_reftransV1_0026236","p.persica_gdr_reftransV1_0026236")</f>
        <v>p.persica_gdr_reftransV1_0026236</v>
      </c>
      <c r="B17145" s="2">
        <v>3110</v>
      </c>
      <c r="C17145" s="4" t="str">
        <f>HYPERLINK("http://www.uniprot.org/uniprot/M5WTF3","M5WTF3")</f>
        <v>M5WTF3</v>
      </c>
      <c r="D17145" s="2" t="s">
        <v>8077</v>
      </c>
      <c r="E17145" s="3">
        <v>3.2600000000000002E-50</v>
      </c>
      <c r="F17145" s="2">
        <v>482</v>
      </c>
      <c r="G17145" s="2">
        <v>99</v>
      </c>
      <c r="H17145" s="2">
        <v>90</v>
      </c>
      <c r="I17145" s="2">
        <v>1997</v>
      </c>
      <c r="J17145" s="2">
        <v>2266</v>
      </c>
      <c r="K17145" s="2">
        <v>68</v>
      </c>
      <c r="L17145" s="2">
        <v>157</v>
      </c>
    </row>
    <row r="17146" spans="1:12" x14ac:dyDescent="0.25">
      <c r="A17146" s="4" t="str">
        <f>HYPERLINK("http://www.rosaceae.org/Prunus/Prunus_persica/p.persica_gdr_reftransV1_0026586","p.persica_gdr_reftransV1_0026586")</f>
        <v>p.persica_gdr_reftransV1_0026586</v>
      </c>
      <c r="B17146" s="2">
        <v>629</v>
      </c>
      <c r="C17146" s="4" t="str">
        <f>HYPERLINK("http://www.uniprot.org/uniprot/M5X9J4","M5X9J4")</f>
        <v>M5X9J4</v>
      </c>
      <c r="D17146" s="2" t="s">
        <v>8881</v>
      </c>
      <c r="E17146" s="3">
        <v>3.0600000000000001E-73</v>
      </c>
      <c r="F17146" s="2">
        <v>633</v>
      </c>
      <c r="G17146" s="2">
        <v>97</v>
      </c>
      <c r="H17146" s="2">
        <v>148</v>
      </c>
      <c r="I17146" s="2">
        <v>3</v>
      </c>
      <c r="J17146" s="2">
        <v>440</v>
      </c>
      <c r="K17146" s="2">
        <v>44</v>
      </c>
      <c r="L17146" s="2">
        <v>191</v>
      </c>
    </row>
    <row r="17147" spans="1:12" x14ac:dyDescent="0.25">
      <c r="A17147" s="4" t="str">
        <f>HYPERLINK("http://www.rosaceae.org/Prunus/Prunus_persica/p.persica_gdr_reftransV1_0027286","p.persica_gdr_reftransV1_0027286")</f>
        <v>p.persica_gdr_reftransV1_0027286</v>
      </c>
      <c r="B17147" s="2">
        <v>803</v>
      </c>
      <c r="C17147" s="4" t="str">
        <f>HYPERLINK("http://www.uniprot.org/uniprot/M1C9W2","M1C9W2")</f>
        <v>M1C9W2</v>
      </c>
      <c r="D17147" s="2" t="s">
        <v>13476</v>
      </c>
      <c r="E17147" s="3">
        <v>3.8700000000000001E-46</v>
      </c>
      <c r="F17147" s="2">
        <v>442</v>
      </c>
      <c r="G17147" s="2">
        <v>78</v>
      </c>
      <c r="H17147" s="2">
        <v>101</v>
      </c>
      <c r="I17147" s="2">
        <v>453</v>
      </c>
      <c r="J17147" s="2">
        <v>755</v>
      </c>
      <c r="K17147" s="2">
        <v>701</v>
      </c>
      <c r="L17147" s="2">
        <v>801</v>
      </c>
    </row>
    <row r="17148" spans="1:12" x14ac:dyDescent="0.25">
      <c r="A17148" s="4" t="str">
        <f>HYPERLINK("http://www.rosaceae.org/Prunus/Prunus_persica/p.persica_gdr_reftransV1_0027636","p.persica_gdr_reftransV1_0027636")</f>
        <v>p.persica_gdr_reftransV1_0027636</v>
      </c>
      <c r="B17148" s="2">
        <v>656</v>
      </c>
      <c r="C17148" s="4" t="str">
        <f>HYPERLINK("http://www.uniprot.org/uniprot/M5W295","M5W295")</f>
        <v>M5W295</v>
      </c>
      <c r="D17148" s="2" t="s">
        <v>558</v>
      </c>
      <c r="E17148" s="3">
        <v>1.6199999999999999E-125</v>
      </c>
      <c r="F17148" s="2">
        <v>991</v>
      </c>
      <c r="G17148" s="2">
        <v>100</v>
      </c>
      <c r="H17148" s="2">
        <v>217</v>
      </c>
      <c r="I17148" s="2">
        <v>6</v>
      </c>
      <c r="J17148" s="2">
        <v>656</v>
      </c>
      <c r="K17148" s="2">
        <v>1</v>
      </c>
      <c r="L17148" s="2">
        <v>217</v>
      </c>
    </row>
    <row r="17149" spans="1:12" x14ac:dyDescent="0.25">
      <c r="A17149" s="4" t="str">
        <f>HYPERLINK("http://www.rosaceae.org/Prunus/Prunus_persica/p.persica_gdr_reftransV1_0030086","p.persica_gdr_reftransV1_0030086")</f>
        <v>p.persica_gdr_reftransV1_0030086</v>
      </c>
      <c r="B17149" s="2">
        <v>4343</v>
      </c>
      <c r="C17149" s="4" t="str">
        <f>HYPERLINK("http://www.uniprot.org/uniprot/M5VXJ7","M5VXJ7")</f>
        <v>M5VXJ7</v>
      </c>
      <c r="D17149" s="2" t="s">
        <v>13477</v>
      </c>
      <c r="E17149" s="3">
        <v>0</v>
      </c>
      <c r="F17149" s="2">
        <v>3512</v>
      </c>
      <c r="G17149" s="2">
        <v>100</v>
      </c>
      <c r="H17149" s="2">
        <v>655</v>
      </c>
      <c r="I17149" s="2">
        <v>963</v>
      </c>
      <c r="J17149" s="2">
        <v>2927</v>
      </c>
      <c r="K17149" s="2">
        <v>32</v>
      </c>
      <c r="L17149" s="2">
        <v>686</v>
      </c>
    </row>
    <row r="17150" spans="1:12" x14ac:dyDescent="0.25">
      <c r="A17150" s="4" t="str">
        <f>HYPERLINK("http://www.rosaceae.org/Prunus/Prunus_persica/p.persica_gdr_reftransV1_0030436","p.persica_gdr_reftransV1_0030436")</f>
        <v>p.persica_gdr_reftransV1_0030436</v>
      </c>
      <c r="B17150" s="2">
        <v>2008</v>
      </c>
      <c r="C17150" s="4" t="str">
        <f>HYPERLINK("http://www.uniprot.org/uniprot/M5W0I6","M5W0I6")</f>
        <v>M5W0I6</v>
      </c>
      <c r="D17150" s="2" t="s">
        <v>13478</v>
      </c>
      <c r="E17150" s="3">
        <v>0</v>
      </c>
      <c r="F17150" s="2">
        <v>2080</v>
      </c>
      <c r="G17150" s="2">
        <v>100</v>
      </c>
      <c r="H17150" s="2">
        <v>417</v>
      </c>
      <c r="I17150" s="2">
        <v>576</v>
      </c>
      <c r="J17150" s="2">
        <v>1826</v>
      </c>
      <c r="K17150" s="2">
        <v>1</v>
      </c>
      <c r="L17150" s="2">
        <v>417</v>
      </c>
    </row>
    <row r="17151" spans="1:12" x14ac:dyDescent="0.25">
      <c r="A17151" s="4" t="str">
        <f>HYPERLINK("http://www.rosaceae.org/Prunus/Prunus_persica/p.persica_gdr_reftransV1_0030786","p.persica_gdr_reftransV1_0030786")</f>
        <v>p.persica_gdr_reftransV1_0030786</v>
      </c>
      <c r="B17151" s="2">
        <v>2940</v>
      </c>
      <c r="C17151" s="4" t="str">
        <f>HYPERLINK("http://www.uniprot.org/uniprot/M5W7I0","M5W7I0")</f>
        <v>M5W7I0</v>
      </c>
      <c r="D17151" s="2" t="s">
        <v>10024</v>
      </c>
      <c r="E17151" s="3">
        <v>0</v>
      </c>
      <c r="F17151" s="2">
        <v>2039</v>
      </c>
      <c r="G17151" s="2">
        <v>95</v>
      </c>
      <c r="H17151" s="2">
        <v>563</v>
      </c>
      <c r="I17151" s="2">
        <v>897</v>
      </c>
      <c r="J17151" s="2">
        <v>2585</v>
      </c>
      <c r="K17151" s="2">
        <v>1</v>
      </c>
      <c r="L17151" s="2">
        <v>538</v>
      </c>
    </row>
    <row r="17152" spans="1:12" x14ac:dyDescent="0.25">
      <c r="A17152" s="4" t="str">
        <f>HYPERLINK("http://www.rosaceae.org/Prunus/Prunus_persica/p.persica_gdr_reftransV1_0031136","p.persica_gdr_reftransV1_0031136")</f>
        <v>p.persica_gdr_reftransV1_0031136</v>
      </c>
      <c r="B17152" s="2">
        <v>1550</v>
      </c>
      <c r="C17152" s="4" t="str">
        <f>HYPERLINK("http://www.uniprot.org/uniprot/M5WGP6","M5WGP6")</f>
        <v>M5WGP6</v>
      </c>
      <c r="D17152" s="2" t="s">
        <v>9328</v>
      </c>
      <c r="E17152" s="3">
        <v>0</v>
      </c>
      <c r="F17152" s="2">
        <v>1580</v>
      </c>
      <c r="G17152" s="2">
        <v>100</v>
      </c>
      <c r="H17152" s="2">
        <v>299</v>
      </c>
      <c r="I17152" s="2">
        <v>210</v>
      </c>
      <c r="J17152" s="2">
        <v>1106</v>
      </c>
      <c r="K17152" s="2">
        <v>1</v>
      </c>
      <c r="L17152" s="2">
        <v>299</v>
      </c>
    </row>
    <row r="17153" spans="1:12" x14ac:dyDescent="0.25">
      <c r="A17153" s="4" t="str">
        <f>HYPERLINK("http://www.rosaceae.org/Prunus/Prunus_persica/p.persica_gdr_reftransV1_0034286","p.persica_gdr_reftransV1_0034286")</f>
        <v>p.persica_gdr_reftransV1_0034286</v>
      </c>
      <c r="B17153" s="2">
        <v>1987</v>
      </c>
      <c r="C17153" s="4" t="str">
        <f>HYPERLINK("http://www.uniprot.org/uniprot/M5VKX5","M5VKX5")</f>
        <v>M5VKX5</v>
      </c>
      <c r="D17153" s="2" t="s">
        <v>13479</v>
      </c>
      <c r="E17153" s="3">
        <v>0</v>
      </c>
      <c r="F17153" s="2">
        <v>1174</v>
      </c>
      <c r="G17153" s="2">
        <v>100</v>
      </c>
      <c r="H17153" s="2">
        <v>219</v>
      </c>
      <c r="I17153" s="2">
        <v>679</v>
      </c>
      <c r="J17153" s="2">
        <v>1335</v>
      </c>
      <c r="K17153" s="2">
        <v>139</v>
      </c>
      <c r="L17153" s="2">
        <v>357</v>
      </c>
    </row>
    <row r="17154" spans="1:12" x14ac:dyDescent="0.25">
      <c r="A17154" s="4" t="str">
        <f>HYPERLINK("http://www.rosaceae.org/Prunus/Prunus_persica/p.persica_gdr_reftransV1_0038486","p.persica_gdr_reftransV1_0038486")</f>
        <v>p.persica_gdr_reftransV1_0038486</v>
      </c>
      <c r="B17154" s="2">
        <v>965</v>
      </c>
      <c r="C17154" s="4" t="str">
        <f>HYPERLINK("http://www.uniprot.org/uniprot/M5W6P1","M5W6P1")</f>
        <v>M5W6P1</v>
      </c>
      <c r="D17154" s="2" t="s">
        <v>13480</v>
      </c>
      <c r="E17154" s="3">
        <v>1.3300000000000001E-171</v>
      </c>
      <c r="F17154" s="2">
        <v>1288</v>
      </c>
      <c r="G17154" s="2">
        <v>100</v>
      </c>
      <c r="H17154" s="2">
        <v>241</v>
      </c>
      <c r="I17154" s="2">
        <v>32</v>
      </c>
      <c r="J17154" s="2">
        <v>754</v>
      </c>
      <c r="K17154" s="2">
        <v>1</v>
      </c>
      <c r="L17154" s="2">
        <v>241</v>
      </c>
    </row>
    <row r="17155" spans="1:12" x14ac:dyDescent="0.25">
      <c r="A17155" s="4" t="str">
        <f>HYPERLINK("http://www.rosaceae.org/Prunus/Prunus_persica/p.persica_gdr_reftransV1_0040236","p.persica_gdr_reftransV1_0040236")</f>
        <v>p.persica_gdr_reftransV1_0040236</v>
      </c>
      <c r="B17155" s="2">
        <v>1849</v>
      </c>
      <c r="C17155" s="4" t="str">
        <f>HYPERLINK("http://www.uniprot.org/uniprot/M5XGA8","M5XGA8")</f>
        <v>M5XGA8</v>
      </c>
      <c r="D17155" s="2" t="s">
        <v>13481</v>
      </c>
      <c r="E17155" s="3">
        <v>7.8000000000000005E-46</v>
      </c>
      <c r="F17155" s="2">
        <v>423</v>
      </c>
      <c r="G17155" s="2">
        <v>100</v>
      </c>
      <c r="H17155" s="2">
        <v>92</v>
      </c>
      <c r="I17155" s="2">
        <v>1433</v>
      </c>
      <c r="J17155" s="2">
        <v>1708</v>
      </c>
      <c r="K17155" s="2">
        <v>1</v>
      </c>
      <c r="L17155" s="2">
        <v>92</v>
      </c>
    </row>
    <row r="17156" spans="1:12" x14ac:dyDescent="0.25">
      <c r="A17156" s="4" t="str">
        <f>HYPERLINK("http://www.rosaceae.org/Prunus/Prunus_persica/p.persica_gdr_reftransV1_0041286","p.persica_gdr_reftransV1_0041286")</f>
        <v>p.persica_gdr_reftransV1_0041286</v>
      </c>
      <c r="B17156" s="2">
        <v>1849</v>
      </c>
      <c r="C17156" s="4" t="str">
        <f>HYPERLINK("http://www.uniprot.org/uniprot/M5VYG7","M5VYG7")</f>
        <v>M5VYG7</v>
      </c>
      <c r="D17156" s="2" t="s">
        <v>13482</v>
      </c>
      <c r="E17156" s="3">
        <v>3.44E-135</v>
      </c>
      <c r="F17156" s="2">
        <v>1062</v>
      </c>
      <c r="G17156" s="2">
        <v>100</v>
      </c>
      <c r="H17156" s="2">
        <v>236</v>
      </c>
      <c r="I17156" s="2">
        <v>289</v>
      </c>
      <c r="J17156" s="2">
        <v>996</v>
      </c>
      <c r="K17156" s="2">
        <v>178</v>
      </c>
      <c r="L17156" s="2">
        <v>413</v>
      </c>
    </row>
    <row r="17157" spans="1:12" x14ac:dyDescent="0.25">
      <c r="A17157" s="4" t="str">
        <f>HYPERLINK("http://www.rosaceae.org/Prunus/Prunus_persica/p.persica_gdr_reftransV1_0041986","p.persica_gdr_reftransV1_0041986")</f>
        <v>p.persica_gdr_reftransV1_0041986</v>
      </c>
      <c r="B17157" s="2">
        <v>2698</v>
      </c>
      <c r="C17157" s="4" t="str">
        <f>HYPERLINK("http://www.uniprot.org/uniprot/M5XEI6","M5XEI6")</f>
        <v>M5XEI6</v>
      </c>
      <c r="D17157" s="2" t="s">
        <v>13483</v>
      </c>
      <c r="E17157" s="3">
        <v>0</v>
      </c>
      <c r="F17157" s="2">
        <v>2169</v>
      </c>
      <c r="G17157" s="2">
        <v>99</v>
      </c>
      <c r="H17157" s="2">
        <v>409</v>
      </c>
      <c r="I17157" s="2">
        <v>419</v>
      </c>
      <c r="J17157" s="2">
        <v>1645</v>
      </c>
      <c r="K17157" s="2">
        <v>1</v>
      </c>
      <c r="L17157" s="2">
        <v>407</v>
      </c>
    </row>
    <row r="17158" spans="1:12" x14ac:dyDescent="0.25">
      <c r="A17158" s="4" t="str">
        <f>HYPERLINK("http://www.rosaceae.org/Prunus/Prunus_persica/p.persica_gdr_reftransV1_0043036","p.persica_gdr_reftransV1_0043036")</f>
        <v>p.persica_gdr_reftransV1_0043036</v>
      </c>
      <c r="B17158" s="2">
        <v>380</v>
      </c>
      <c r="C17158" s="4" t="str">
        <f>HYPERLINK("http://www.uniprot.org/uniprot/M5WGF3","M5WGF3")</f>
        <v>M5WGF3</v>
      </c>
      <c r="D17158" s="2" t="s">
        <v>2122</v>
      </c>
      <c r="E17158" s="3">
        <v>8.6200000000000005E-68</v>
      </c>
      <c r="F17158" s="2">
        <v>586</v>
      </c>
      <c r="G17158" s="2">
        <v>100</v>
      </c>
      <c r="H17158" s="2">
        <v>126</v>
      </c>
      <c r="I17158" s="2">
        <v>1</v>
      </c>
      <c r="J17158" s="2">
        <v>378</v>
      </c>
      <c r="K17158" s="2">
        <v>290</v>
      </c>
      <c r="L17158" s="2">
        <v>415</v>
      </c>
    </row>
    <row r="17159" spans="1:12" x14ac:dyDescent="0.25">
      <c r="A17159" s="4" t="str">
        <f>HYPERLINK("http://www.rosaceae.org/Prunus/Prunus_persica/p.persica_gdr_reftransV1_0043386","p.persica_gdr_reftransV1_0043386")</f>
        <v>p.persica_gdr_reftransV1_0043386</v>
      </c>
      <c r="B17159" s="2">
        <v>1529</v>
      </c>
      <c r="C17159" s="4" t="str">
        <f>HYPERLINK("http://www.uniprot.org/uniprot/M5VZK4","M5VZK4")</f>
        <v>M5VZK4</v>
      </c>
      <c r="D17159" s="2" t="s">
        <v>13484</v>
      </c>
      <c r="E17159" s="3">
        <v>0</v>
      </c>
      <c r="F17159" s="2">
        <v>1701</v>
      </c>
      <c r="G17159" s="2">
        <v>99</v>
      </c>
      <c r="H17159" s="2">
        <v>346</v>
      </c>
      <c r="I17159" s="2">
        <v>242</v>
      </c>
      <c r="J17159" s="2">
        <v>1279</v>
      </c>
      <c r="K17159" s="2">
        <v>1</v>
      </c>
      <c r="L17159" s="2">
        <v>346</v>
      </c>
    </row>
    <row r="17160" spans="1:12" x14ac:dyDescent="0.25">
      <c r="A17160" s="4" t="str">
        <f>HYPERLINK("http://www.rosaceae.org/Prunus/Prunus_persica/p.persica_gdr_reftransV1_0043736","p.persica_gdr_reftransV1_0043736")</f>
        <v>p.persica_gdr_reftransV1_0043736</v>
      </c>
      <c r="B17160" s="2">
        <v>1044</v>
      </c>
      <c r="C17160" s="4" t="str">
        <f>HYPERLINK("http://www.uniprot.org/uniprot/M5WUI4","M5WUI4")</f>
        <v>M5WUI4</v>
      </c>
      <c r="D17160" s="2" t="s">
        <v>13485</v>
      </c>
      <c r="E17160" s="3">
        <v>2.0500000000000001E-159</v>
      </c>
      <c r="F17160" s="2">
        <v>1183</v>
      </c>
      <c r="G17160" s="2">
        <v>100</v>
      </c>
      <c r="H17160" s="2">
        <v>240</v>
      </c>
      <c r="I17160" s="2">
        <v>188</v>
      </c>
      <c r="J17160" s="2">
        <v>907</v>
      </c>
      <c r="K17160" s="2">
        <v>43</v>
      </c>
      <c r="L17160" s="2">
        <v>282</v>
      </c>
    </row>
    <row r="17161" spans="1:12" x14ac:dyDescent="0.25">
      <c r="A17161" s="4" t="str">
        <f>HYPERLINK("http://www.rosaceae.org/Prunus/Prunus_persica/p.persica_gdr_reftransV1_0044086","p.persica_gdr_reftransV1_0044086")</f>
        <v>p.persica_gdr_reftransV1_0044086</v>
      </c>
      <c r="B17161" s="2">
        <v>1246</v>
      </c>
      <c r="C17161" s="4" t="str">
        <f>HYPERLINK("http://www.uniprot.org/uniprot/M5WHP0","M5WHP0")</f>
        <v>M5WHP0</v>
      </c>
      <c r="D17161" s="2" t="s">
        <v>4202</v>
      </c>
      <c r="E17161" s="3">
        <v>0</v>
      </c>
      <c r="F17161" s="2">
        <v>1405</v>
      </c>
      <c r="G17161" s="2">
        <v>100</v>
      </c>
      <c r="H17161" s="2">
        <v>276</v>
      </c>
      <c r="I17161" s="2">
        <v>418</v>
      </c>
      <c r="J17161" s="2">
        <v>1245</v>
      </c>
      <c r="K17161" s="2">
        <v>187</v>
      </c>
      <c r="L17161" s="2">
        <v>462</v>
      </c>
    </row>
    <row r="17162" spans="1:12" x14ac:dyDescent="0.25">
      <c r="A17162" s="4" t="str">
        <f>HYPERLINK("http://www.rosaceae.org/Prunus/Prunus_persica/p.persica_gdr_reftransV1_0044436","p.persica_gdr_reftransV1_0044436")</f>
        <v>p.persica_gdr_reftransV1_0044436</v>
      </c>
      <c r="B17162" s="2">
        <v>1474</v>
      </c>
      <c r="C17162" s="4" t="str">
        <f>HYPERLINK("http://www.uniprot.org/uniprot/M5WQ99","M5WQ99")</f>
        <v>M5WQ99</v>
      </c>
      <c r="D17162" s="2" t="s">
        <v>13486</v>
      </c>
      <c r="E17162" s="3">
        <v>1.4299999999999999E-121</v>
      </c>
      <c r="F17162" s="2">
        <v>976</v>
      </c>
      <c r="G17162" s="2">
        <v>100</v>
      </c>
      <c r="H17162" s="2">
        <v>218</v>
      </c>
      <c r="I17162" s="2">
        <v>525</v>
      </c>
      <c r="J17162" s="2">
        <v>1178</v>
      </c>
      <c r="K17162" s="2">
        <v>1</v>
      </c>
      <c r="L17162" s="2">
        <v>218</v>
      </c>
    </row>
    <row r="17163" spans="1:12" x14ac:dyDescent="0.25">
      <c r="A17163" s="4" t="str">
        <f>HYPERLINK("http://www.rosaceae.org/Prunus/Prunus_persica/p.persica_gdr_reftransV1_0044786","p.persica_gdr_reftransV1_0044786")</f>
        <v>p.persica_gdr_reftransV1_0044786</v>
      </c>
      <c r="B17163" s="2">
        <v>1360</v>
      </c>
      <c r="C17163" s="4" t="str">
        <f>HYPERLINK("http://www.uniprot.org/uniprot/M5VQP4","M5VQP4")</f>
        <v>M5VQP4</v>
      </c>
      <c r="D17163" s="2" t="s">
        <v>8996</v>
      </c>
      <c r="E17163" s="3">
        <v>0</v>
      </c>
      <c r="F17163" s="2">
        <v>1469</v>
      </c>
      <c r="G17163" s="2">
        <v>100</v>
      </c>
      <c r="H17163" s="2">
        <v>276</v>
      </c>
      <c r="I17163" s="2">
        <v>426</v>
      </c>
      <c r="J17163" s="2">
        <v>1253</v>
      </c>
      <c r="K17163" s="2">
        <v>1</v>
      </c>
      <c r="L17163" s="2">
        <v>276</v>
      </c>
    </row>
    <row r="17164" spans="1:12" x14ac:dyDescent="0.25">
      <c r="A17164" s="4" t="str">
        <f>HYPERLINK("http://www.rosaceae.org/Prunus/Prunus_persica/p.persica_gdr_reftransV1_0045136","p.persica_gdr_reftransV1_0045136")</f>
        <v>p.persica_gdr_reftransV1_0045136</v>
      </c>
      <c r="B17164" s="2">
        <v>1774</v>
      </c>
      <c r="C17164" s="4" t="str">
        <f>HYPERLINK("http://www.uniprot.org/uniprot/M5WIC3","M5WIC3")</f>
        <v>M5WIC3</v>
      </c>
      <c r="D17164" s="2" t="s">
        <v>3040</v>
      </c>
      <c r="E17164" s="3">
        <v>0</v>
      </c>
      <c r="F17164" s="2">
        <v>2547</v>
      </c>
      <c r="G17164" s="2">
        <v>100</v>
      </c>
      <c r="H17164" s="2">
        <v>486</v>
      </c>
      <c r="I17164" s="2">
        <v>117</v>
      </c>
      <c r="J17164" s="2">
        <v>1574</v>
      </c>
      <c r="K17164" s="2">
        <v>1</v>
      </c>
      <c r="L17164" s="2">
        <v>486</v>
      </c>
    </row>
    <row r="17165" spans="1:12" x14ac:dyDescent="0.25">
      <c r="A17165" s="4" t="str">
        <f>HYPERLINK("http://www.rosaceae.org/Prunus/Prunus_persica/p.persica_gdr_reftransV1_0045836","p.persica_gdr_reftransV1_0045836")</f>
        <v>p.persica_gdr_reftransV1_0045836</v>
      </c>
      <c r="B17165" s="2">
        <v>2329</v>
      </c>
      <c r="C17165" s="4" t="str">
        <f>HYPERLINK("http://www.uniprot.org/uniprot/M5WP35","M5WP35")</f>
        <v>M5WP35</v>
      </c>
      <c r="D17165" s="2" t="s">
        <v>5159</v>
      </c>
      <c r="E17165" s="3">
        <v>0</v>
      </c>
      <c r="F17165" s="2">
        <v>2486</v>
      </c>
      <c r="G17165" s="2">
        <v>97</v>
      </c>
      <c r="H17165" s="2">
        <v>510</v>
      </c>
      <c r="I17165" s="2">
        <v>467</v>
      </c>
      <c r="J17165" s="2">
        <v>1996</v>
      </c>
      <c r="K17165" s="2">
        <v>1</v>
      </c>
      <c r="L17165" s="2">
        <v>510</v>
      </c>
    </row>
    <row r="17166" spans="1:12" x14ac:dyDescent="0.25">
      <c r="A17166" s="4" t="str">
        <f>HYPERLINK("http://www.rosaceae.org/Prunus/Prunus_persica/p.persica_gdr_reftransV1_0046536","p.persica_gdr_reftransV1_0046536")</f>
        <v>p.persica_gdr_reftransV1_0046536</v>
      </c>
      <c r="B17166" s="2">
        <v>1931</v>
      </c>
      <c r="C17166" s="4" t="str">
        <f>HYPERLINK("http://www.uniprot.org/uniprot/M5WB34","M5WB34")</f>
        <v>M5WB34</v>
      </c>
      <c r="D17166" s="2" t="s">
        <v>13487</v>
      </c>
      <c r="E17166" s="3">
        <v>0</v>
      </c>
      <c r="F17166" s="2">
        <v>1890</v>
      </c>
      <c r="G17166" s="2">
        <v>100</v>
      </c>
      <c r="H17166" s="2">
        <v>351</v>
      </c>
      <c r="I17166" s="2">
        <v>171</v>
      </c>
      <c r="J17166" s="2">
        <v>1223</v>
      </c>
      <c r="K17166" s="2">
        <v>1</v>
      </c>
      <c r="L17166" s="2">
        <v>351</v>
      </c>
    </row>
    <row r="17167" spans="1:12" x14ac:dyDescent="0.25">
      <c r="A17167" s="4" t="str">
        <f>HYPERLINK("http://www.rosaceae.org/Prunus/Prunus_persica/p.persica_gdr_reftransV1_0046886","p.persica_gdr_reftransV1_0046886")</f>
        <v>p.persica_gdr_reftransV1_0046886</v>
      </c>
      <c r="B17167" s="2">
        <v>2203</v>
      </c>
      <c r="C17167" s="4" t="str">
        <f>HYPERLINK("http://www.uniprot.org/uniprot/M5W7Y7","M5W7Y7")</f>
        <v>M5W7Y7</v>
      </c>
      <c r="D17167" s="2" t="s">
        <v>10800</v>
      </c>
      <c r="E17167" s="3">
        <v>0</v>
      </c>
      <c r="F17167" s="2">
        <v>1442</v>
      </c>
      <c r="G17167" s="2">
        <v>100</v>
      </c>
      <c r="H17167" s="2">
        <v>302</v>
      </c>
      <c r="I17167" s="2">
        <v>1102</v>
      </c>
      <c r="J17167" s="2">
        <v>2007</v>
      </c>
      <c r="K17167" s="2">
        <v>281</v>
      </c>
      <c r="L17167" s="2">
        <v>582</v>
      </c>
    </row>
    <row r="17168" spans="1:12" x14ac:dyDescent="0.25">
      <c r="A17168" s="4" t="str">
        <f>HYPERLINK("http://www.rosaceae.org/Prunus/Prunus_persica/p.persica_gdr_reftransV1_0047586","p.persica_gdr_reftransV1_0047586")</f>
        <v>p.persica_gdr_reftransV1_0047586</v>
      </c>
      <c r="B17168" s="2">
        <v>2359</v>
      </c>
      <c r="C17168" s="4" t="str">
        <f>HYPERLINK("http://www.uniprot.org/uniprot/M5XA16","M5XA16")</f>
        <v>M5XA16</v>
      </c>
      <c r="D17168" s="2" t="s">
        <v>2479</v>
      </c>
      <c r="E17168" s="3">
        <v>0</v>
      </c>
      <c r="F17168" s="2">
        <v>3777</v>
      </c>
      <c r="G17168" s="2">
        <v>99</v>
      </c>
      <c r="H17168" s="2">
        <v>746</v>
      </c>
      <c r="I17168" s="2">
        <v>12</v>
      </c>
      <c r="J17168" s="2">
        <v>2249</v>
      </c>
      <c r="K17168" s="2">
        <v>1</v>
      </c>
      <c r="L17168" s="2">
        <v>746</v>
      </c>
    </row>
    <row r="17169" spans="1:12" x14ac:dyDescent="0.25">
      <c r="A17169" s="4" t="str">
        <f>HYPERLINK("http://www.rosaceae.org/Prunus/Prunus_persica/p.persica_gdr_reftransV1_0047936","p.persica_gdr_reftransV1_0047936")</f>
        <v>p.persica_gdr_reftransV1_0047936</v>
      </c>
      <c r="B17169" s="2">
        <v>342</v>
      </c>
      <c r="C17169" s="4" t="str">
        <f>HYPERLINK("http://www.uniprot.org/uniprot/M5X0M4","M5X0M4")</f>
        <v>M5X0M4</v>
      </c>
      <c r="D17169" s="2" t="s">
        <v>13488</v>
      </c>
      <c r="E17169" s="3">
        <v>5.2300000000000004E-63</v>
      </c>
      <c r="F17169" s="2">
        <v>520</v>
      </c>
      <c r="G17169" s="2">
        <v>97</v>
      </c>
      <c r="H17169" s="2">
        <v>99</v>
      </c>
      <c r="I17169" s="2">
        <v>46</v>
      </c>
      <c r="J17169" s="2">
        <v>342</v>
      </c>
      <c r="K17169" s="2">
        <v>91</v>
      </c>
      <c r="L17169" s="2">
        <v>189</v>
      </c>
    </row>
    <row r="17170" spans="1:12" x14ac:dyDescent="0.25">
      <c r="A17170" s="4" t="str">
        <f>HYPERLINK("http://www.rosaceae.org/Prunus/Prunus_persica/p.persica_gdr_reftransV1_0000337","p.persica_gdr_reftransV1_0000337")</f>
        <v>p.persica_gdr_reftransV1_0000337</v>
      </c>
      <c r="B17170" s="2">
        <v>1291</v>
      </c>
      <c r="C17170" s="4" t="str">
        <f>HYPERLINK("http://www.uniprot.org/uniprot/M5W1Z2","M5W1Z2")</f>
        <v>M5W1Z2</v>
      </c>
      <c r="D17170" s="2" t="s">
        <v>13489</v>
      </c>
      <c r="E17170" s="3">
        <v>0</v>
      </c>
      <c r="F17170" s="2">
        <v>2013</v>
      </c>
      <c r="G17170" s="2">
        <v>95</v>
      </c>
      <c r="H17170" s="2">
        <v>408</v>
      </c>
      <c r="I17170" s="2">
        <v>66</v>
      </c>
      <c r="J17170" s="2">
        <v>1289</v>
      </c>
      <c r="K17170" s="2">
        <v>5</v>
      </c>
      <c r="L17170" s="2">
        <v>412</v>
      </c>
    </row>
    <row r="17171" spans="1:12" x14ac:dyDescent="0.25">
      <c r="A17171" s="4" t="str">
        <f>HYPERLINK("http://www.rosaceae.org/Prunus/Prunus_persica/p.persica_gdr_reftransV1_0001037","p.persica_gdr_reftransV1_0001037")</f>
        <v>p.persica_gdr_reftransV1_0001037</v>
      </c>
      <c r="B17171" s="2">
        <v>705</v>
      </c>
      <c r="C17171" s="4" t="str">
        <f>HYPERLINK("http://www.uniprot.org/uniprot/M5XJE4","M5XJE4")</f>
        <v>M5XJE4</v>
      </c>
      <c r="D17171" s="2" t="s">
        <v>8661</v>
      </c>
      <c r="E17171" s="3">
        <v>3.7099999999999998E-85</v>
      </c>
      <c r="F17171" s="2">
        <v>727</v>
      </c>
      <c r="G17171" s="2">
        <v>99</v>
      </c>
      <c r="H17171" s="2">
        <v>181</v>
      </c>
      <c r="I17171" s="2">
        <v>29</v>
      </c>
      <c r="J17171" s="2">
        <v>571</v>
      </c>
      <c r="K17171" s="2">
        <v>935</v>
      </c>
      <c r="L17171" s="2">
        <v>1115</v>
      </c>
    </row>
    <row r="17172" spans="1:12" x14ac:dyDescent="0.25">
      <c r="A17172" s="4" t="str">
        <f>HYPERLINK("http://www.rosaceae.org/Prunus/Prunus_persica/p.persica_gdr_reftransV1_0001737","p.persica_gdr_reftransV1_0001737")</f>
        <v>p.persica_gdr_reftransV1_0001737</v>
      </c>
      <c r="B17172" s="2">
        <v>2501</v>
      </c>
      <c r="C17172" s="4" t="str">
        <f>HYPERLINK("http://www.uniprot.org/uniprot/M5WP35","M5WP35")</f>
        <v>M5WP35</v>
      </c>
      <c r="D17172" s="2" t="s">
        <v>5159</v>
      </c>
      <c r="E17172" s="3">
        <v>0</v>
      </c>
      <c r="F17172" s="2">
        <v>2534</v>
      </c>
      <c r="G17172" s="2">
        <v>100</v>
      </c>
      <c r="H17172" s="2">
        <v>510</v>
      </c>
      <c r="I17172" s="2">
        <v>331</v>
      </c>
      <c r="J17172" s="2">
        <v>1860</v>
      </c>
      <c r="K17172" s="2">
        <v>1</v>
      </c>
      <c r="L17172" s="2">
        <v>510</v>
      </c>
    </row>
    <row r="17173" spans="1:12" x14ac:dyDescent="0.25">
      <c r="A17173" s="4" t="str">
        <f>HYPERLINK("http://www.rosaceae.org/Prunus/Prunus_persica/p.persica_gdr_reftransV1_0002437","p.persica_gdr_reftransV1_0002437")</f>
        <v>p.persica_gdr_reftransV1_0002437</v>
      </c>
      <c r="B17173" s="2">
        <v>1184</v>
      </c>
      <c r="C17173" s="4" t="str">
        <f>HYPERLINK("http://www.uniprot.org/uniprot/M5X079","M5X079")</f>
        <v>M5X079</v>
      </c>
      <c r="D17173" s="2" t="s">
        <v>13490</v>
      </c>
      <c r="E17173" s="3">
        <v>0</v>
      </c>
      <c r="F17173" s="2">
        <v>1831</v>
      </c>
      <c r="G17173" s="2">
        <v>100</v>
      </c>
      <c r="H17173" s="2">
        <v>377</v>
      </c>
      <c r="I17173" s="2">
        <v>11</v>
      </c>
      <c r="J17173" s="2">
        <v>1141</v>
      </c>
      <c r="K17173" s="2">
        <v>1</v>
      </c>
      <c r="L17173" s="2">
        <v>377</v>
      </c>
    </row>
    <row r="17174" spans="1:12" x14ac:dyDescent="0.25">
      <c r="A17174" s="4" t="str">
        <f>HYPERLINK("http://www.rosaceae.org/Prunus/Prunus_persica/p.persica_gdr_reftransV1_0002787","p.persica_gdr_reftransV1_0002787")</f>
        <v>p.persica_gdr_reftransV1_0002787</v>
      </c>
      <c r="B17174" s="2">
        <v>977</v>
      </c>
      <c r="C17174" s="4" t="str">
        <f>HYPERLINK("http://www.uniprot.org/uniprot/M5X1N9","M5X1N9")</f>
        <v>M5X1N9</v>
      </c>
      <c r="D17174" s="2" t="s">
        <v>13491</v>
      </c>
      <c r="E17174" s="3">
        <v>3.5399999999999998E-178</v>
      </c>
      <c r="F17174" s="2">
        <v>1304</v>
      </c>
      <c r="G17174" s="2">
        <v>100</v>
      </c>
      <c r="H17174" s="2">
        <v>282</v>
      </c>
      <c r="I17174" s="2">
        <v>31</v>
      </c>
      <c r="J17174" s="2">
        <v>876</v>
      </c>
      <c r="K17174" s="2">
        <v>1</v>
      </c>
      <c r="L17174" s="2">
        <v>282</v>
      </c>
    </row>
    <row r="17175" spans="1:12" x14ac:dyDescent="0.25">
      <c r="A17175" s="4" t="str">
        <f>HYPERLINK("http://www.rosaceae.org/Prunus/Prunus_persica/p.persica_gdr_reftransV1_0003137","p.persica_gdr_reftransV1_0003137")</f>
        <v>p.persica_gdr_reftransV1_0003137</v>
      </c>
      <c r="B17175" s="2">
        <v>637</v>
      </c>
      <c r="C17175" s="4" t="str">
        <f>HYPERLINK("http://www.uniprot.org/uniprot/M5XHG2","M5XHG2")</f>
        <v>M5XHG2</v>
      </c>
      <c r="D17175" s="2" t="s">
        <v>4113</v>
      </c>
      <c r="E17175" s="3">
        <v>1.53E-82</v>
      </c>
      <c r="F17175" s="2">
        <v>689</v>
      </c>
      <c r="G17175" s="2">
        <v>96</v>
      </c>
      <c r="H17175" s="2">
        <v>136</v>
      </c>
      <c r="I17175" s="2">
        <v>226</v>
      </c>
      <c r="J17175" s="2">
        <v>633</v>
      </c>
      <c r="K17175" s="2">
        <v>540</v>
      </c>
      <c r="L17175" s="2">
        <v>675</v>
      </c>
    </row>
    <row r="17176" spans="1:12" x14ac:dyDescent="0.25">
      <c r="A17176" s="4" t="str">
        <f>HYPERLINK("http://www.rosaceae.org/Prunus/Prunus_persica/p.persica_gdr_reftransV1_0003487","p.persica_gdr_reftransV1_0003487")</f>
        <v>p.persica_gdr_reftransV1_0003487</v>
      </c>
      <c r="B17176" s="2">
        <v>4673</v>
      </c>
      <c r="C17176" s="4" t="str">
        <f>HYPERLINK("http://www.uniprot.org/uniprot/M5X6Y8","M5X6Y8")</f>
        <v>M5X6Y8</v>
      </c>
      <c r="D17176" s="2" t="s">
        <v>13492</v>
      </c>
      <c r="E17176" s="3">
        <v>0</v>
      </c>
      <c r="F17176" s="2">
        <v>2571</v>
      </c>
      <c r="G17176" s="2">
        <v>100</v>
      </c>
      <c r="H17176" s="2">
        <v>527</v>
      </c>
      <c r="I17176" s="2">
        <v>966</v>
      </c>
      <c r="J17176" s="2">
        <v>2546</v>
      </c>
      <c r="K17176" s="2">
        <v>107</v>
      </c>
      <c r="L17176" s="2">
        <v>633</v>
      </c>
    </row>
    <row r="17177" spans="1:12" x14ac:dyDescent="0.25">
      <c r="A17177" s="4" t="str">
        <f>HYPERLINK("http://www.rosaceae.org/Prunus/Prunus_persica/p.persica_gdr_reftransV1_0004187","p.persica_gdr_reftransV1_0004187")</f>
        <v>p.persica_gdr_reftransV1_0004187</v>
      </c>
      <c r="B17177" s="2">
        <v>1467</v>
      </c>
      <c r="C17177" s="4" t="str">
        <f>HYPERLINK("http://www.uniprot.org/uniprot/W9R6J5","W9R6J5")</f>
        <v>W9R6J5</v>
      </c>
      <c r="D17177" s="2" t="s">
        <v>13493</v>
      </c>
      <c r="E17177" s="3">
        <v>4.0900000000000002E-140</v>
      </c>
      <c r="F17177" s="2">
        <v>808</v>
      </c>
      <c r="G17177" s="2">
        <v>90</v>
      </c>
      <c r="H17177" s="2">
        <v>174</v>
      </c>
      <c r="I17177" s="2">
        <v>746</v>
      </c>
      <c r="J17177" s="2">
        <v>1267</v>
      </c>
      <c r="K17177" s="2">
        <v>230</v>
      </c>
      <c r="L17177" s="2">
        <v>403</v>
      </c>
    </row>
    <row r="17178" spans="1:12" x14ac:dyDescent="0.25">
      <c r="A17178" s="4" t="str">
        <f>HYPERLINK("http://www.rosaceae.org/Prunus/Prunus_persica/p.persica_gdr_reftransV1_0004537","p.persica_gdr_reftransV1_0004537")</f>
        <v>p.persica_gdr_reftransV1_0004537</v>
      </c>
      <c r="B17178" s="2">
        <v>2109</v>
      </c>
      <c r="C17178" s="4" t="str">
        <f>HYPERLINK("http://www.uniprot.org/uniprot/M5WRQ0","M5WRQ0")</f>
        <v>M5WRQ0</v>
      </c>
      <c r="D17178" s="2" t="s">
        <v>13494</v>
      </c>
      <c r="E17178" s="3">
        <v>0</v>
      </c>
      <c r="F17178" s="2">
        <v>2566</v>
      </c>
      <c r="G17178" s="2">
        <v>100</v>
      </c>
      <c r="H17178" s="2">
        <v>498</v>
      </c>
      <c r="I17178" s="2">
        <v>338</v>
      </c>
      <c r="J17178" s="2">
        <v>1831</v>
      </c>
      <c r="K17178" s="2">
        <v>1</v>
      </c>
      <c r="L17178" s="2">
        <v>498</v>
      </c>
    </row>
    <row r="17179" spans="1:12" x14ac:dyDescent="0.25">
      <c r="A17179" s="4" t="str">
        <f>HYPERLINK("http://www.rosaceae.org/Prunus/Prunus_persica/p.persica_gdr_reftransV1_0004887","p.persica_gdr_reftransV1_0004887")</f>
        <v>p.persica_gdr_reftransV1_0004887</v>
      </c>
      <c r="B17179" s="2">
        <v>340</v>
      </c>
      <c r="C17179" s="4" t="str">
        <f>HYPERLINK("http://www.uniprot.org/uniprot/M5W1U7","M5W1U7")</f>
        <v>M5W1U7</v>
      </c>
      <c r="D17179" s="2" t="s">
        <v>2402</v>
      </c>
      <c r="E17179" s="3">
        <v>9.7500000000000005E-73</v>
      </c>
      <c r="F17179" s="2">
        <v>604</v>
      </c>
      <c r="G17179" s="2">
        <v>100</v>
      </c>
      <c r="H17179" s="2">
        <v>113</v>
      </c>
      <c r="I17179" s="2">
        <v>2</v>
      </c>
      <c r="J17179" s="2">
        <v>340</v>
      </c>
      <c r="K17179" s="2">
        <v>295</v>
      </c>
      <c r="L17179" s="2">
        <v>407</v>
      </c>
    </row>
    <row r="17180" spans="1:12" x14ac:dyDescent="0.25">
      <c r="A17180" s="4" t="str">
        <f>HYPERLINK("http://www.rosaceae.org/Prunus/Prunus_persica/p.persica_gdr_reftransV1_0005587","p.persica_gdr_reftransV1_0005587")</f>
        <v>p.persica_gdr_reftransV1_0005587</v>
      </c>
      <c r="B17180" s="2">
        <v>1339</v>
      </c>
      <c r="C17180" s="4" t="str">
        <f>HYPERLINK("http://www.uniprot.org/uniprot/M5Y181","M5Y181")</f>
        <v>M5Y181</v>
      </c>
      <c r="D17180" s="2" t="s">
        <v>10904</v>
      </c>
      <c r="E17180" s="3">
        <v>0</v>
      </c>
      <c r="F17180" s="2">
        <v>1700</v>
      </c>
      <c r="G17180" s="2">
        <v>100</v>
      </c>
      <c r="H17180" s="2">
        <v>335</v>
      </c>
      <c r="I17180" s="2">
        <v>169</v>
      </c>
      <c r="J17180" s="2">
        <v>1173</v>
      </c>
      <c r="K17180" s="2">
        <v>1</v>
      </c>
      <c r="L17180" s="2">
        <v>335</v>
      </c>
    </row>
    <row r="17181" spans="1:12" x14ac:dyDescent="0.25">
      <c r="A17181" s="4" t="str">
        <f>HYPERLINK("http://www.rosaceae.org/Prunus/Prunus_persica/p.persica_gdr_reftransV1_0005937","p.persica_gdr_reftransV1_0005937")</f>
        <v>p.persica_gdr_reftransV1_0005937</v>
      </c>
      <c r="B17181" s="2">
        <v>606</v>
      </c>
      <c r="C17181" s="4" t="str">
        <f>HYPERLINK("http://www.uniprot.org/uniprot/A0A022R9N3","A0A022R9N3")</f>
        <v>A0A022R9N3</v>
      </c>
      <c r="D17181" s="2" t="s">
        <v>13495</v>
      </c>
      <c r="E17181" s="3">
        <v>1.9899999999999999E-100</v>
      </c>
      <c r="F17181" s="2">
        <v>774</v>
      </c>
      <c r="G17181" s="2">
        <v>83</v>
      </c>
      <c r="H17181" s="2">
        <v>181</v>
      </c>
      <c r="I17181" s="2">
        <v>3</v>
      </c>
      <c r="J17181" s="2">
        <v>545</v>
      </c>
      <c r="K17181" s="2">
        <v>42</v>
      </c>
      <c r="L17181" s="2">
        <v>222</v>
      </c>
    </row>
    <row r="17182" spans="1:12" x14ac:dyDescent="0.25">
      <c r="A17182" s="4" t="str">
        <f>HYPERLINK("http://www.rosaceae.org/Prunus/Prunus_persica/p.persica_gdr_reftransV1_0006637","p.persica_gdr_reftransV1_0006637")</f>
        <v>p.persica_gdr_reftransV1_0006637</v>
      </c>
      <c r="B17182" s="2">
        <v>1068</v>
      </c>
      <c r="C17182" s="4" t="str">
        <f>HYPERLINK("http://www.uniprot.org/uniprot/M5XWE8","M5XWE8")</f>
        <v>M5XWE8</v>
      </c>
      <c r="D17182" s="2" t="s">
        <v>13496</v>
      </c>
      <c r="E17182" s="3">
        <v>3.36E-177</v>
      </c>
      <c r="F17182" s="2">
        <v>1320</v>
      </c>
      <c r="G17182" s="2">
        <v>100</v>
      </c>
      <c r="H17182" s="2">
        <v>316</v>
      </c>
      <c r="I17182" s="2">
        <v>67</v>
      </c>
      <c r="J17182" s="2">
        <v>1014</v>
      </c>
      <c r="K17182" s="2">
        <v>64</v>
      </c>
      <c r="L17182" s="2">
        <v>379</v>
      </c>
    </row>
    <row r="17183" spans="1:12" x14ac:dyDescent="0.25">
      <c r="A17183" s="4" t="str">
        <f>HYPERLINK("http://www.rosaceae.org/Prunus/Prunus_persica/p.persica_gdr_reftransV1_0007337","p.persica_gdr_reftransV1_0007337")</f>
        <v>p.persica_gdr_reftransV1_0007337</v>
      </c>
      <c r="B17183" s="2">
        <v>1006</v>
      </c>
      <c r="C17183" s="4" t="str">
        <f>HYPERLINK("http://www.uniprot.org/uniprot/M5WT00","M5WT00")</f>
        <v>M5WT00</v>
      </c>
      <c r="D17183" s="2" t="s">
        <v>12787</v>
      </c>
      <c r="E17183" s="3">
        <v>1.1000000000000001E-174</v>
      </c>
      <c r="F17183" s="2">
        <v>1284</v>
      </c>
      <c r="G17183" s="2">
        <v>100</v>
      </c>
      <c r="H17183" s="2">
        <v>276</v>
      </c>
      <c r="I17183" s="2">
        <v>177</v>
      </c>
      <c r="J17183" s="2">
        <v>1004</v>
      </c>
      <c r="K17183" s="2">
        <v>24</v>
      </c>
      <c r="L17183" s="2">
        <v>299</v>
      </c>
    </row>
    <row r="17184" spans="1:12" x14ac:dyDescent="0.25">
      <c r="A17184" s="4" t="str">
        <f>HYPERLINK("http://www.rosaceae.org/Prunus/Prunus_persica/p.persica_gdr_reftransV1_0008037","p.persica_gdr_reftransV1_0008037")</f>
        <v>p.persica_gdr_reftransV1_0008037</v>
      </c>
      <c r="B17184" s="2">
        <v>928</v>
      </c>
      <c r="C17184" s="4" t="str">
        <f>HYPERLINK("http://www.uniprot.org/uniprot/M5W921","M5W921")</f>
        <v>M5W921</v>
      </c>
      <c r="D17184" s="2" t="s">
        <v>13497</v>
      </c>
      <c r="E17184" s="3">
        <v>6.7699999999999999E-171</v>
      </c>
      <c r="F17184" s="2">
        <v>1250</v>
      </c>
      <c r="G17184" s="2">
        <v>89</v>
      </c>
      <c r="H17184" s="2">
        <v>272</v>
      </c>
      <c r="I17184" s="2">
        <v>86</v>
      </c>
      <c r="J17184" s="2">
        <v>901</v>
      </c>
      <c r="K17184" s="2">
        <v>1</v>
      </c>
      <c r="L17184" s="2">
        <v>242</v>
      </c>
    </row>
    <row r="17185" spans="1:12" x14ac:dyDescent="0.25">
      <c r="A17185" s="4" t="str">
        <f>HYPERLINK("http://www.rosaceae.org/Prunus/Prunus_persica/p.persica_gdr_reftransV1_0009437","p.persica_gdr_reftransV1_0009437")</f>
        <v>p.persica_gdr_reftransV1_0009437</v>
      </c>
      <c r="B17185" s="2">
        <v>1663</v>
      </c>
      <c r="C17185" s="4" t="str">
        <f>HYPERLINK("http://www.uniprot.org/uniprot/M5WPN4","M5WPN4")</f>
        <v>M5WPN4</v>
      </c>
      <c r="D17185" s="2" t="s">
        <v>7988</v>
      </c>
      <c r="E17185" s="3">
        <v>0</v>
      </c>
      <c r="F17185" s="2">
        <v>1239</v>
      </c>
      <c r="G17185" s="2">
        <v>100</v>
      </c>
      <c r="H17185" s="2">
        <v>234</v>
      </c>
      <c r="I17185" s="2">
        <v>275</v>
      </c>
      <c r="J17185" s="2">
        <v>976</v>
      </c>
      <c r="K17185" s="2">
        <v>213</v>
      </c>
      <c r="L17185" s="2">
        <v>446</v>
      </c>
    </row>
    <row r="17186" spans="1:12" x14ac:dyDescent="0.25">
      <c r="A17186" s="4" t="str">
        <f>HYPERLINK("http://www.rosaceae.org/Prunus/Prunus_persica/p.persica_gdr_reftransV1_0009787","p.persica_gdr_reftransV1_0009787")</f>
        <v>p.persica_gdr_reftransV1_0009787</v>
      </c>
      <c r="B17186" s="2">
        <v>817</v>
      </c>
      <c r="C17186" s="4" t="str">
        <f>HYPERLINK("http://www.uniprot.org/uniprot/M5VJA6","M5VJA6")</f>
        <v>M5VJA6</v>
      </c>
      <c r="D17186" s="2" t="s">
        <v>4286</v>
      </c>
      <c r="E17186" s="3">
        <v>2.3900000000000001E-85</v>
      </c>
      <c r="F17186" s="2">
        <v>733</v>
      </c>
      <c r="G17186" s="2">
        <v>100</v>
      </c>
      <c r="H17186" s="2">
        <v>158</v>
      </c>
      <c r="I17186" s="2">
        <v>344</v>
      </c>
      <c r="J17186" s="2">
        <v>817</v>
      </c>
      <c r="K17186" s="2">
        <v>186</v>
      </c>
      <c r="L17186" s="2">
        <v>343</v>
      </c>
    </row>
    <row r="17187" spans="1:12" x14ac:dyDescent="0.25">
      <c r="A17187" s="4" t="str">
        <f>HYPERLINK("http://www.rosaceae.org/Prunus/Prunus_persica/p.persica_gdr_reftransV1_0010137","p.persica_gdr_reftransV1_0010137")</f>
        <v>p.persica_gdr_reftransV1_0010137</v>
      </c>
      <c r="B17187" s="2">
        <v>866</v>
      </c>
      <c r="C17187" s="4" t="str">
        <f>HYPERLINK("http://www.uniprot.org/uniprot/M5W4S9","M5W4S9")</f>
        <v>M5W4S9</v>
      </c>
      <c r="D17187" s="2" t="s">
        <v>13498</v>
      </c>
      <c r="E17187" s="3">
        <v>1.16E-66</v>
      </c>
      <c r="F17187" s="2">
        <v>560</v>
      </c>
      <c r="G17187" s="2">
        <v>100</v>
      </c>
      <c r="H17187" s="2">
        <v>102</v>
      </c>
      <c r="I17187" s="2">
        <v>169</v>
      </c>
      <c r="J17187" s="2">
        <v>474</v>
      </c>
      <c r="K17187" s="2">
        <v>1</v>
      </c>
      <c r="L17187" s="2">
        <v>102</v>
      </c>
    </row>
    <row r="17188" spans="1:12" x14ac:dyDescent="0.25">
      <c r="A17188" s="4" t="str">
        <f>HYPERLINK("http://www.rosaceae.org/Prunus/Prunus_persica/p.persica_gdr_reftransV1_0010487","p.persica_gdr_reftransV1_0010487")</f>
        <v>p.persica_gdr_reftransV1_0010487</v>
      </c>
      <c r="B17188" s="2">
        <v>1476</v>
      </c>
      <c r="C17188" s="4" t="str">
        <f>HYPERLINK("http://www.uniprot.org/uniprot/M5XMV8","M5XMV8")</f>
        <v>M5XMV8</v>
      </c>
      <c r="D17188" s="2" t="s">
        <v>12056</v>
      </c>
      <c r="E17188" s="3">
        <v>0</v>
      </c>
      <c r="F17188" s="2">
        <v>1773</v>
      </c>
      <c r="G17188" s="2">
        <v>100</v>
      </c>
      <c r="H17188" s="2">
        <v>331</v>
      </c>
      <c r="I17188" s="2">
        <v>414</v>
      </c>
      <c r="J17188" s="2">
        <v>1406</v>
      </c>
      <c r="K17188" s="2">
        <v>1</v>
      </c>
      <c r="L17188" s="2">
        <v>331</v>
      </c>
    </row>
    <row r="17189" spans="1:12" x14ac:dyDescent="0.25">
      <c r="A17189" s="4" t="str">
        <f>HYPERLINK("http://www.rosaceae.org/Prunus/Prunus_persica/p.persica_gdr_reftransV1_0012237","p.persica_gdr_reftransV1_0012237")</f>
        <v>p.persica_gdr_reftransV1_0012237</v>
      </c>
      <c r="B17189" s="2">
        <v>1865</v>
      </c>
      <c r="C17189" s="4" t="str">
        <f>HYPERLINK("http://www.uniprot.org/uniprot/M5X326","M5X326")</f>
        <v>M5X326</v>
      </c>
      <c r="D17189" s="2" t="s">
        <v>13499</v>
      </c>
      <c r="E17189" s="3">
        <v>0</v>
      </c>
      <c r="F17189" s="2">
        <v>1958</v>
      </c>
      <c r="G17189" s="2">
        <v>100</v>
      </c>
      <c r="H17189" s="2">
        <v>400</v>
      </c>
      <c r="I17189" s="2">
        <v>275</v>
      </c>
      <c r="J17189" s="2">
        <v>1474</v>
      </c>
      <c r="K17189" s="2">
        <v>1</v>
      </c>
      <c r="L17189" s="2">
        <v>400</v>
      </c>
    </row>
    <row r="17190" spans="1:12" x14ac:dyDescent="0.25">
      <c r="A17190" s="4" t="str">
        <f>HYPERLINK("http://www.rosaceae.org/Prunus/Prunus_persica/p.persica_gdr_reftransV1_0012587","p.persica_gdr_reftransV1_0012587")</f>
        <v>p.persica_gdr_reftransV1_0012587</v>
      </c>
      <c r="B17190" s="2">
        <v>3719</v>
      </c>
      <c r="C17190" s="4" t="str">
        <f>HYPERLINK("http://www.uniprot.org/uniprot/M5XIX0","M5XIX0")</f>
        <v>M5XIX0</v>
      </c>
      <c r="D17190" s="2" t="s">
        <v>13500</v>
      </c>
      <c r="E17190" s="3">
        <v>0</v>
      </c>
      <c r="F17190" s="2">
        <v>3897</v>
      </c>
      <c r="G17190" s="2">
        <v>100</v>
      </c>
      <c r="H17190" s="2">
        <v>826</v>
      </c>
      <c r="I17190" s="2">
        <v>169</v>
      </c>
      <c r="J17190" s="2">
        <v>2646</v>
      </c>
      <c r="K17190" s="2">
        <v>20</v>
      </c>
      <c r="L17190" s="2">
        <v>845</v>
      </c>
    </row>
    <row r="17191" spans="1:12" x14ac:dyDescent="0.25">
      <c r="A17191" s="4" t="str">
        <f>HYPERLINK("http://www.rosaceae.org/Prunus/Prunus_persica/p.persica_gdr_reftransV1_0014337","p.persica_gdr_reftransV1_0014337")</f>
        <v>p.persica_gdr_reftransV1_0014337</v>
      </c>
      <c r="B17191" s="2">
        <v>2202</v>
      </c>
      <c r="C17191" s="4" t="str">
        <f>HYPERLINK("http://www.uniprot.org/uniprot/M5X0K9","M5X0K9")</f>
        <v>M5X0K9</v>
      </c>
      <c r="D17191" s="2" t="s">
        <v>502</v>
      </c>
      <c r="E17191" s="3">
        <v>0</v>
      </c>
      <c r="F17191" s="2">
        <v>1489</v>
      </c>
      <c r="G17191" s="2">
        <v>100</v>
      </c>
      <c r="H17191" s="2">
        <v>295</v>
      </c>
      <c r="I17191" s="2">
        <v>1</v>
      </c>
      <c r="J17191" s="2">
        <v>885</v>
      </c>
      <c r="K17191" s="2">
        <v>166</v>
      </c>
      <c r="L17191" s="2">
        <v>460</v>
      </c>
    </row>
    <row r="17192" spans="1:12" x14ac:dyDescent="0.25">
      <c r="A17192" s="4" t="str">
        <f>HYPERLINK("http://www.rosaceae.org/Prunus/Prunus_persica/p.persica_gdr_reftransV1_0016437","p.persica_gdr_reftransV1_0016437")</f>
        <v>p.persica_gdr_reftransV1_0016437</v>
      </c>
      <c r="B17192" s="2">
        <v>4052</v>
      </c>
      <c r="C17192" s="4" t="str">
        <f>HYPERLINK("http://www.uniprot.org/uniprot/M5W8G0","M5W8G0")</f>
        <v>M5W8G0</v>
      </c>
      <c r="D17192" s="2" t="s">
        <v>13501</v>
      </c>
      <c r="E17192" s="3">
        <v>0</v>
      </c>
      <c r="F17192" s="2">
        <v>3320</v>
      </c>
      <c r="G17192" s="2">
        <v>100</v>
      </c>
      <c r="H17192" s="2">
        <v>641</v>
      </c>
      <c r="I17192" s="2">
        <v>277</v>
      </c>
      <c r="J17192" s="2">
        <v>2199</v>
      </c>
      <c r="K17192" s="2">
        <v>1</v>
      </c>
      <c r="L17192" s="2">
        <v>641</v>
      </c>
    </row>
    <row r="17193" spans="1:12" x14ac:dyDescent="0.25">
      <c r="A17193" s="4" t="str">
        <f>HYPERLINK("http://www.rosaceae.org/Prunus/Prunus_persica/p.persica_gdr_reftransV1_0016787","p.persica_gdr_reftransV1_0016787")</f>
        <v>p.persica_gdr_reftransV1_0016787</v>
      </c>
      <c r="B17193" s="2">
        <v>4932</v>
      </c>
      <c r="C17193" s="4" t="str">
        <f>HYPERLINK("http://www.uniprot.org/uniprot/M5WTL1","M5WTL1")</f>
        <v>M5WTL1</v>
      </c>
      <c r="D17193" s="2" t="s">
        <v>1385</v>
      </c>
      <c r="E17193" s="3">
        <v>2.1100000000000001E-178</v>
      </c>
      <c r="F17193" s="2">
        <v>1438</v>
      </c>
      <c r="G17193" s="2">
        <v>98</v>
      </c>
      <c r="H17193" s="2">
        <v>307</v>
      </c>
      <c r="I17193" s="2">
        <v>169</v>
      </c>
      <c r="J17193" s="2">
        <v>1089</v>
      </c>
      <c r="K17193" s="2">
        <v>1</v>
      </c>
      <c r="L17193" s="2">
        <v>307</v>
      </c>
    </row>
    <row r="17194" spans="1:12" x14ac:dyDescent="0.25">
      <c r="A17194" s="4" t="str">
        <f>HYPERLINK("http://www.rosaceae.org/Prunus/Prunus_persica/p.persica_gdr_reftransV1_0017487","p.persica_gdr_reftransV1_0017487")</f>
        <v>p.persica_gdr_reftransV1_0017487</v>
      </c>
      <c r="B17194" s="2">
        <v>3536</v>
      </c>
      <c r="C17194" s="4" t="str">
        <f>HYPERLINK("http://www.uniprot.org/uniprot/M5XPU2","M5XPU2")</f>
        <v>M5XPU2</v>
      </c>
      <c r="D17194" s="2" t="s">
        <v>13502</v>
      </c>
      <c r="E17194" s="3">
        <v>0</v>
      </c>
      <c r="F17194" s="2">
        <v>3228</v>
      </c>
      <c r="G17194" s="2">
        <v>100</v>
      </c>
      <c r="H17194" s="2">
        <v>626</v>
      </c>
      <c r="I17194" s="2">
        <v>1145</v>
      </c>
      <c r="J17194" s="2">
        <v>3022</v>
      </c>
      <c r="K17194" s="2">
        <v>1</v>
      </c>
      <c r="L17194" s="2">
        <v>626</v>
      </c>
    </row>
    <row r="17195" spans="1:12" x14ac:dyDescent="0.25">
      <c r="A17195" s="4" t="str">
        <f>HYPERLINK("http://www.rosaceae.org/Prunus/Prunus_persica/p.persica_gdr_reftransV1_0017837","p.persica_gdr_reftransV1_0017837")</f>
        <v>p.persica_gdr_reftransV1_0017837</v>
      </c>
      <c r="B17195" s="2">
        <v>1573</v>
      </c>
      <c r="C17195" s="4" t="str">
        <f>HYPERLINK("http://www.uniprot.org/uniprot/M5XM22","M5XM22")</f>
        <v>M5XM22</v>
      </c>
      <c r="D17195" s="2" t="s">
        <v>13503</v>
      </c>
      <c r="E17195" s="3">
        <v>1.53E-76</v>
      </c>
      <c r="F17195" s="2">
        <v>638</v>
      </c>
      <c r="G17195" s="2">
        <v>100</v>
      </c>
      <c r="H17195" s="2">
        <v>153</v>
      </c>
      <c r="I17195" s="2">
        <v>554</v>
      </c>
      <c r="J17195" s="2">
        <v>1012</v>
      </c>
      <c r="K17195" s="2">
        <v>1</v>
      </c>
      <c r="L17195" s="2">
        <v>153</v>
      </c>
    </row>
    <row r="17196" spans="1:12" x14ac:dyDescent="0.25">
      <c r="A17196" s="4" t="str">
        <f>HYPERLINK("http://www.rosaceae.org/Prunus/Prunus_persica/p.persica_gdr_reftransV1_0019237","p.persica_gdr_reftransV1_0019237")</f>
        <v>p.persica_gdr_reftransV1_0019237</v>
      </c>
      <c r="B17196" s="2">
        <v>462</v>
      </c>
      <c r="C17196" s="4" t="str">
        <f>HYPERLINK("http://www.uniprot.org/uniprot/M5XFS1","M5XFS1")</f>
        <v>M5XFS1</v>
      </c>
      <c r="D17196" s="2" t="s">
        <v>13504</v>
      </c>
      <c r="E17196" s="3">
        <v>7.02E-69</v>
      </c>
      <c r="F17196" s="2">
        <v>553</v>
      </c>
      <c r="G17196" s="2">
        <v>100</v>
      </c>
      <c r="H17196" s="2">
        <v>132</v>
      </c>
      <c r="I17196" s="2">
        <v>66</v>
      </c>
      <c r="J17196" s="2">
        <v>461</v>
      </c>
      <c r="K17196" s="2">
        <v>1</v>
      </c>
      <c r="L17196" s="2">
        <v>132</v>
      </c>
    </row>
    <row r="17197" spans="1:12" x14ac:dyDescent="0.25">
      <c r="A17197" s="4" t="str">
        <f>HYPERLINK("http://www.rosaceae.org/Prunus/Prunus_persica/p.persica_gdr_reftransV1_0019937","p.persica_gdr_reftransV1_0019937")</f>
        <v>p.persica_gdr_reftransV1_0019937</v>
      </c>
      <c r="B17197" s="2">
        <v>1807</v>
      </c>
      <c r="C17197" s="4" t="str">
        <f>HYPERLINK("http://www.uniprot.org/uniprot/M5XFI8","M5XFI8")</f>
        <v>M5XFI8</v>
      </c>
      <c r="D17197" s="2" t="s">
        <v>13505</v>
      </c>
      <c r="E17197" s="3">
        <v>2.64E-166</v>
      </c>
      <c r="F17197" s="2">
        <v>1252</v>
      </c>
      <c r="G17197" s="2">
        <v>100</v>
      </c>
      <c r="H17197" s="2">
        <v>233</v>
      </c>
      <c r="I17197" s="2">
        <v>251</v>
      </c>
      <c r="J17197" s="2">
        <v>949</v>
      </c>
      <c r="K17197" s="2">
        <v>1</v>
      </c>
      <c r="L17197" s="2">
        <v>233</v>
      </c>
    </row>
    <row r="17198" spans="1:12" x14ac:dyDescent="0.25">
      <c r="A17198" s="4" t="str">
        <f>HYPERLINK("http://www.rosaceae.org/Prunus/Prunus_persica/p.persica_gdr_reftransV1_0020287","p.persica_gdr_reftransV1_0020287")</f>
        <v>p.persica_gdr_reftransV1_0020287</v>
      </c>
      <c r="B17198" s="2">
        <v>1133</v>
      </c>
      <c r="C17198" s="4" t="str">
        <f>HYPERLINK("http://www.uniprot.org/uniprot/M5Y903","M5Y903")</f>
        <v>M5Y903</v>
      </c>
      <c r="D17198" s="2" t="s">
        <v>13506</v>
      </c>
      <c r="E17198" s="3">
        <v>7.6399999999999998E-90</v>
      </c>
      <c r="F17198" s="2">
        <v>714</v>
      </c>
      <c r="G17198" s="2">
        <v>99</v>
      </c>
      <c r="H17198" s="2">
        <v>158</v>
      </c>
      <c r="I17198" s="2">
        <v>241</v>
      </c>
      <c r="J17198" s="2">
        <v>714</v>
      </c>
      <c r="K17198" s="2">
        <v>3</v>
      </c>
      <c r="L17198" s="2">
        <v>160</v>
      </c>
    </row>
    <row r="17199" spans="1:12" x14ac:dyDescent="0.25">
      <c r="A17199" s="4" t="str">
        <f>HYPERLINK("http://www.rosaceae.org/Prunus/Prunus_persica/p.persica_gdr_reftransV1_0021337","p.persica_gdr_reftransV1_0021337")</f>
        <v>p.persica_gdr_reftransV1_0021337</v>
      </c>
      <c r="B17199" s="2">
        <v>1104</v>
      </c>
      <c r="C17199" s="4" t="str">
        <f>HYPERLINK("http://www.uniprot.org/uniprot/M5WD08","M5WD08")</f>
        <v>M5WD08</v>
      </c>
      <c r="D17199" s="2" t="s">
        <v>13507</v>
      </c>
      <c r="E17199" s="3">
        <v>1.7300000000000001E-89</v>
      </c>
      <c r="F17199" s="2">
        <v>590</v>
      </c>
      <c r="G17199" s="2">
        <v>97</v>
      </c>
      <c r="H17199" s="2">
        <v>124</v>
      </c>
      <c r="I17199" s="2">
        <v>54</v>
      </c>
      <c r="J17199" s="2">
        <v>425</v>
      </c>
      <c r="K17199" s="2">
        <v>1</v>
      </c>
      <c r="L17199" s="2">
        <v>124</v>
      </c>
    </row>
    <row r="17200" spans="1:12" x14ac:dyDescent="0.25">
      <c r="A17200" s="4" t="str">
        <f>HYPERLINK("http://www.rosaceae.org/Prunus/Prunus_persica/p.persica_gdr_reftransV1_0022387","p.persica_gdr_reftransV1_0022387")</f>
        <v>p.persica_gdr_reftransV1_0022387</v>
      </c>
      <c r="B17200" s="2">
        <v>3399</v>
      </c>
      <c r="C17200" s="4" t="str">
        <f>HYPERLINK("http://www.uniprot.org/uniprot/M5X8G0","M5X8G0")</f>
        <v>M5X8G0</v>
      </c>
      <c r="D17200" s="2" t="s">
        <v>6002</v>
      </c>
      <c r="E17200" s="3">
        <v>0</v>
      </c>
      <c r="F17200" s="2">
        <v>1714</v>
      </c>
      <c r="G17200" s="2">
        <v>94</v>
      </c>
      <c r="H17200" s="2">
        <v>371</v>
      </c>
      <c r="I17200" s="2">
        <v>926</v>
      </c>
      <c r="J17200" s="2">
        <v>2023</v>
      </c>
      <c r="K17200" s="2">
        <v>220</v>
      </c>
      <c r="L17200" s="2">
        <v>590</v>
      </c>
    </row>
    <row r="17201" spans="1:12" x14ac:dyDescent="0.25">
      <c r="A17201" s="4" t="str">
        <f>HYPERLINK("http://www.rosaceae.org/Prunus/Prunus_persica/p.persica_gdr_reftransV1_0022737","p.persica_gdr_reftransV1_0022737")</f>
        <v>p.persica_gdr_reftransV1_0022737</v>
      </c>
      <c r="B17201" s="2">
        <v>1120</v>
      </c>
      <c r="C17201" s="4" t="str">
        <f>HYPERLINK("http://www.uniprot.org/uniprot/M5W002","M5W002")</f>
        <v>M5W002</v>
      </c>
      <c r="D17201" s="2" t="s">
        <v>13508</v>
      </c>
      <c r="E17201" s="3">
        <v>1.07E-90</v>
      </c>
      <c r="F17201" s="2">
        <v>717</v>
      </c>
      <c r="G17201" s="2">
        <v>100</v>
      </c>
      <c r="H17201" s="2">
        <v>136</v>
      </c>
      <c r="I17201" s="2">
        <v>206</v>
      </c>
      <c r="J17201" s="2">
        <v>613</v>
      </c>
      <c r="K17201" s="2">
        <v>1</v>
      </c>
      <c r="L17201" s="2">
        <v>136</v>
      </c>
    </row>
    <row r="17202" spans="1:12" x14ac:dyDescent="0.25">
      <c r="A17202" s="4" t="str">
        <f>HYPERLINK("http://www.rosaceae.org/Prunus/Prunus_persica/p.persica_gdr_reftransV1_0024137","p.persica_gdr_reftransV1_0024137")</f>
        <v>p.persica_gdr_reftransV1_0024137</v>
      </c>
      <c r="B17202" s="2">
        <v>1331</v>
      </c>
      <c r="C17202" s="4" t="str">
        <f>HYPERLINK("http://www.uniprot.org/uniprot/M5WS51","M5WS51")</f>
        <v>M5WS51</v>
      </c>
      <c r="D17202" s="2" t="s">
        <v>13509</v>
      </c>
      <c r="E17202" s="3">
        <v>0</v>
      </c>
      <c r="F17202" s="2">
        <v>1691</v>
      </c>
      <c r="G17202" s="2">
        <v>94</v>
      </c>
      <c r="H17202" s="2">
        <v>340</v>
      </c>
      <c r="I17202" s="2">
        <v>69</v>
      </c>
      <c r="J17202" s="2">
        <v>1088</v>
      </c>
      <c r="K17202" s="2">
        <v>98</v>
      </c>
      <c r="L17202" s="2">
        <v>419</v>
      </c>
    </row>
    <row r="17203" spans="1:12" x14ac:dyDescent="0.25">
      <c r="A17203" s="4" t="str">
        <f>HYPERLINK("http://www.rosaceae.org/Prunus/Prunus_persica/p.persica_gdr_reftransV1_0024837","p.persica_gdr_reftransV1_0024837")</f>
        <v>p.persica_gdr_reftransV1_0024837</v>
      </c>
      <c r="B17203" s="2">
        <v>1824</v>
      </c>
      <c r="C17203" s="4" t="str">
        <f>HYPERLINK("http://www.uniprot.org/uniprot/M5XR73","M5XR73")</f>
        <v>M5XR73</v>
      </c>
      <c r="D17203" s="2" t="s">
        <v>13510</v>
      </c>
      <c r="E17203" s="3">
        <v>0</v>
      </c>
      <c r="F17203" s="2">
        <v>2092</v>
      </c>
      <c r="G17203" s="2">
        <v>92</v>
      </c>
      <c r="H17203" s="2">
        <v>517</v>
      </c>
      <c r="I17203" s="2">
        <v>50</v>
      </c>
      <c r="J17203" s="2">
        <v>1600</v>
      </c>
      <c r="K17203" s="2">
        <v>1</v>
      </c>
      <c r="L17203" s="2">
        <v>475</v>
      </c>
    </row>
    <row r="17204" spans="1:12" x14ac:dyDescent="0.25">
      <c r="A17204" s="4" t="str">
        <f>HYPERLINK("http://www.rosaceae.org/Prunus/Prunus_persica/p.persica_gdr_reftransV1_0025187","p.persica_gdr_reftransV1_0025187")</f>
        <v>p.persica_gdr_reftransV1_0025187</v>
      </c>
      <c r="B17204" s="2">
        <v>3663</v>
      </c>
      <c r="C17204" s="4" t="str">
        <f>HYPERLINK("http://www.uniprot.org/uniprot/M5WS17","M5WS17")</f>
        <v>M5WS17</v>
      </c>
      <c r="D17204" s="2" t="s">
        <v>13511</v>
      </c>
      <c r="E17204" s="3">
        <v>0</v>
      </c>
      <c r="F17204" s="2">
        <v>3640</v>
      </c>
      <c r="G17204" s="2">
        <v>100</v>
      </c>
      <c r="H17204" s="2">
        <v>786</v>
      </c>
      <c r="I17204" s="2">
        <v>1079</v>
      </c>
      <c r="J17204" s="2">
        <v>3436</v>
      </c>
      <c r="K17204" s="2">
        <v>1</v>
      </c>
      <c r="L17204" s="2">
        <v>786</v>
      </c>
    </row>
    <row r="17205" spans="1:12" x14ac:dyDescent="0.25">
      <c r="A17205" s="4" t="str">
        <f>HYPERLINK("http://www.rosaceae.org/Prunus/Prunus_persica/p.persica_gdr_reftransV1_0027637","p.persica_gdr_reftransV1_0027637")</f>
        <v>p.persica_gdr_reftransV1_0027637</v>
      </c>
      <c r="B17205" s="2">
        <v>867</v>
      </c>
      <c r="C17205" s="4" t="str">
        <f>HYPERLINK("http://www.uniprot.org/uniprot/M5WZF5","M5WZF5")</f>
        <v>M5WZF5</v>
      </c>
      <c r="D17205" s="2" t="s">
        <v>13512</v>
      </c>
      <c r="E17205" s="3">
        <v>2.8400000000000001E-84</v>
      </c>
      <c r="F17205" s="2">
        <v>665</v>
      </c>
      <c r="G17205" s="2">
        <v>100</v>
      </c>
      <c r="H17205" s="2">
        <v>127</v>
      </c>
      <c r="I17205" s="2">
        <v>238</v>
      </c>
      <c r="J17205" s="2">
        <v>618</v>
      </c>
      <c r="K17205" s="2">
        <v>1</v>
      </c>
      <c r="L17205" s="2">
        <v>127</v>
      </c>
    </row>
    <row r="17206" spans="1:12" x14ac:dyDescent="0.25">
      <c r="A17206" s="4" t="str">
        <f>HYPERLINK("http://www.rosaceae.org/Prunus/Prunus_persica/p.persica_gdr_reftransV1_0027987","p.persica_gdr_reftransV1_0027987")</f>
        <v>p.persica_gdr_reftransV1_0027987</v>
      </c>
      <c r="B17206" s="2">
        <v>1727</v>
      </c>
      <c r="C17206" s="4" t="str">
        <f>HYPERLINK("http://www.uniprot.org/uniprot/M5WA18","M5WA18")</f>
        <v>M5WA18</v>
      </c>
      <c r="D17206" s="2" t="s">
        <v>13513</v>
      </c>
      <c r="E17206" s="3">
        <v>0</v>
      </c>
      <c r="F17206" s="2">
        <v>1362</v>
      </c>
      <c r="G17206" s="2">
        <v>91</v>
      </c>
      <c r="H17206" s="2">
        <v>285</v>
      </c>
      <c r="I17206" s="2">
        <v>715</v>
      </c>
      <c r="J17206" s="2">
        <v>1569</v>
      </c>
      <c r="K17206" s="2">
        <v>1</v>
      </c>
      <c r="L17206" s="2">
        <v>278</v>
      </c>
    </row>
    <row r="17207" spans="1:12" x14ac:dyDescent="0.25">
      <c r="A17207" s="4" t="str">
        <f>HYPERLINK("http://www.rosaceae.org/Prunus/Prunus_persica/p.persica_gdr_reftransV1_0030437","p.persica_gdr_reftransV1_0030437")</f>
        <v>p.persica_gdr_reftransV1_0030437</v>
      </c>
      <c r="B17207" s="2">
        <v>2446</v>
      </c>
      <c r="C17207" s="4" t="str">
        <f>HYPERLINK("http://www.uniprot.org/uniprot/M5WGR3","M5WGR3")</f>
        <v>M5WGR3</v>
      </c>
      <c r="D17207" s="2" t="s">
        <v>13514</v>
      </c>
      <c r="E17207" s="3">
        <v>0</v>
      </c>
      <c r="F17207" s="2">
        <v>1815</v>
      </c>
      <c r="G17207" s="2">
        <v>100</v>
      </c>
      <c r="H17207" s="2">
        <v>407</v>
      </c>
      <c r="I17207" s="2">
        <v>699</v>
      </c>
      <c r="J17207" s="2">
        <v>1919</v>
      </c>
      <c r="K17207" s="2">
        <v>1</v>
      </c>
      <c r="L17207" s="2">
        <v>407</v>
      </c>
    </row>
    <row r="17208" spans="1:12" x14ac:dyDescent="0.25">
      <c r="A17208" s="4" t="str">
        <f>HYPERLINK("http://www.rosaceae.org/Prunus/Prunus_persica/p.persica_gdr_reftransV1_0032187","p.persica_gdr_reftransV1_0032187")</f>
        <v>p.persica_gdr_reftransV1_0032187</v>
      </c>
      <c r="B17208" s="2">
        <v>2085</v>
      </c>
      <c r="C17208" s="4" t="str">
        <f>HYPERLINK("http://www.uniprot.org/uniprot/M5VIA7","M5VIA7")</f>
        <v>M5VIA7</v>
      </c>
      <c r="D17208" s="2" t="s">
        <v>13515</v>
      </c>
      <c r="E17208" s="3">
        <v>0</v>
      </c>
      <c r="F17208" s="2">
        <v>3030</v>
      </c>
      <c r="G17208" s="2">
        <v>100</v>
      </c>
      <c r="H17208" s="2">
        <v>576</v>
      </c>
      <c r="I17208" s="2">
        <v>51</v>
      </c>
      <c r="J17208" s="2">
        <v>1778</v>
      </c>
      <c r="K17208" s="2">
        <v>1</v>
      </c>
      <c r="L17208" s="2">
        <v>576</v>
      </c>
    </row>
    <row r="17209" spans="1:12" x14ac:dyDescent="0.25">
      <c r="A17209" s="4" t="str">
        <f>HYPERLINK("http://www.rosaceae.org/Prunus/Prunus_persica/p.persica_gdr_reftransV1_0033237","p.persica_gdr_reftransV1_0033237")</f>
        <v>p.persica_gdr_reftransV1_0033237</v>
      </c>
      <c r="B17209" s="2">
        <v>1845</v>
      </c>
      <c r="C17209" s="4" t="str">
        <f>HYPERLINK("http://www.uniprot.org/uniprot/A0A0D2Q161","A0A0D2Q161")</f>
        <v>A0A0D2Q161</v>
      </c>
      <c r="D17209" s="2" t="s">
        <v>13516</v>
      </c>
      <c r="E17209" s="3">
        <v>1.4099999999999999E-178</v>
      </c>
      <c r="F17209" s="2">
        <v>1338</v>
      </c>
      <c r="G17209" s="2">
        <v>95</v>
      </c>
      <c r="H17209" s="2">
        <v>260</v>
      </c>
      <c r="I17209" s="2">
        <v>291</v>
      </c>
      <c r="J17209" s="2">
        <v>1070</v>
      </c>
      <c r="K17209" s="2">
        <v>37</v>
      </c>
      <c r="L17209" s="2">
        <v>296</v>
      </c>
    </row>
    <row r="17210" spans="1:12" x14ac:dyDescent="0.25">
      <c r="A17210" s="4" t="str">
        <f>HYPERLINK("http://www.rosaceae.org/Prunus/Prunus_persica/p.persica_gdr_reftransV1_0033937","p.persica_gdr_reftransV1_0033937")</f>
        <v>p.persica_gdr_reftransV1_0033937</v>
      </c>
      <c r="B17210" s="2">
        <v>479</v>
      </c>
      <c r="C17210" s="4" t="str">
        <f>HYPERLINK("http://www.uniprot.org/uniprot/M5WS28","M5WS28")</f>
        <v>M5WS28</v>
      </c>
      <c r="D17210" s="2" t="s">
        <v>1062</v>
      </c>
      <c r="E17210" s="3">
        <v>8.1599999999999998E-51</v>
      </c>
      <c r="F17210" s="2">
        <v>453</v>
      </c>
      <c r="G17210" s="2">
        <v>100</v>
      </c>
      <c r="H17210" s="2">
        <v>99</v>
      </c>
      <c r="I17210" s="2">
        <v>181</v>
      </c>
      <c r="J17210" s="2">
        <v>477</v>
      </c>
      <c r="K17210" s="2">
        <v>1</v>
      </c>
      <c r="L17210" s="2">
        <v>99</v>
      </c>
    </row>
    <row r="17211" spans="1:12" x14ac:dyDescent="0.25">
      <c r="A17211" s="4" t="str">
        <f>HYPERLINK("http://www.rosaceae.org/Prunus/Prunus_persica/p.persica_gdr_reftransV1_0034287","p.persica_gdr_reftransV1_0034287")</f>
        <v>p.persica_gdr_reftransV1_0034287</v>
      </c>
      <c r="B17211" s="2">
        <v>960</v>
      </c>
      <c r="C17211" s="4" t="str">
        <f>HYPERLINK("http://www.uniprot.org/uniprot/M5WT57","M5WT57")</f>
        <v>M5WT57</v>
      </c>
      <c r="D17211" s="2" t="s">
        <v>4226</v>
      </c>
      <c r="E17211" s="3">
        <v>1.1599999999999999E-91</v>
      </c>
      <c r="F17211" s="2">
        <v>739</v>
      </c>
      <c r="G17211" s="2">
        <v>96</v>
      </c>
      <c r="H17211" s="2">
        <v>207</v>
      </c>
      <c r="I17211" s="2">
        <v>338</v>
      </c>
      <c r="J17211" s="2">
        <v>958</v>
      </c>
      <c r="K17211" s="2">
        <v>170</v>
      </c>
      <c r="L17211" s="2">
        <v>367</v>
      </c>
    </row>
    <row r="17212" spans="1:12" x14ac:dyDescent="0.25">
      <c r="A17212" s="4" t="str">
        <f>HYPERLINK("http://www.rosaceae.org/Prunus/Prunus_persica/p.persica_gdr_reftransV1_0034637","p.persica_gdr_reftransV1_0034637")</f>
        <v>p.persica_gdr_reftransV1_0034637</v>
      </c>
      <c r="B17212" s="2">
        <v>5734</v>
      </c>
      <c r="C17212" s="4" t="str">
        <f>HYPERLINK("http://www.uniprot.org/uniprot/M5X9G0","M5X9G0")</f>
        <v>M5X9G0</v>
      </c>
      <c r="D17212" s="2" t="s">
        <v>13517</v>
      </c>
      <c r="E17212" s="3">
        <v>0</v>
      </c>
      <c r="F17212" s="2">
        <v>5698</v>
      </c>
      <c r="G17212" s="2">
        <v>100</v>
      </c>
      <c r="H17212" s="2">
        <v>1077</v>
      </c>
      <c r="I17212" s="2">
        <v>2321</v>
      </c>
      <c r="J17212" s="2">
        <v>5548</v>
      </c>
      <c r="K17212" s="2">
        <v>1</v>
      </c>
      <c r="L17212" s="2">
        <v>1077</v>
      </c>
    </row>
    <row r="17213" spans="1:12" x14ac:dyDescent="0.25">
      <c r="A17213" s="4" t="str">
        <f>HYPERLINK("http://www.rosaceae.org/Prunus/Prunus_persica/p.persica_gdr_reftransV1_0038487","p.persica_gdr_reftransV1_0038487")</f>
        <v>p.persica_gdr_reftransV1_0038487</v>
      </c>
      <c r="B17213" s="2">
        <v>4885</v>
      </c>
      <c r="C17213" s="4" t="str">
        <f>HYPERLINK("http://www.uniprot.org/uniprot/M5X8N8","M5X8N8")</f>
        <v>M5X8N8</v>
      </c>
      <c r="D17213" s="2" t="s">
        <v>13518</v>
      </c>
      <c r="E17213" s="3">
        <v>0</v>
      </c>
      <c r="F17213" s="2">
        <v>2849</v>
      </c>
      <c r="G17213" s="2">
        <v>100</v>
      </c>
      <c r="H17213" s="2">
        <v>651</v>
      </c>
      <c r="I17213" s="2">
        <v>2844</v>
      </c>
      <c r="J17213" s="2">
        <v>4796</v>
      </c>
      <c r="K17213" s="2">
        <v>1</v>
      </c>
      <c r="L17213" s="2">
        <v>651</v>
      </c>
    </row>
    <row r="17214" spans="1:12" x14ac:dyDescent="0.25">
      <c r="A17214" s="4" t="str">
        <f>HYPERLINK("http://www.rosaceae.org/Prunus/Prunus_persica/p.persica_gdr_reftransV1_0040587","p.persica_gdr_reftransV1_0040587")</f>
        <v>p.persica_gdr_reftransV1_0040587</v>
      </c>
      <c r="B17214" s="2">
        <v>2304</v>
      </c>
      <c r="C17214" s="4" t="str">
        <f>HYPERLINK("http://www.uniprot.org/uniprot/M5WJ88","M5WJ88")</f>
        <v>M5WJ88</v>
      </c>
      <c r="D17214" s="2" t="s">
        <v>13519</v>
      </c>
      <c r="E17214" s="3">
        <v>1.3299999999999999E-163</v>
      </c>
      <c r="F17214" s="2">
        <v>1252</v>
      </c>
      <c r="G17214" s="2">
        <v>100</v>
      </c>
      <c r="H17214" s="2">
        <v>285</v>
      </c>
      <c r="I17214" s="2">
        <v>113</v>
      </c>
      <c r="J17214" s="2">
        <v>967</v>
      </c>
      <c r="K17214" s="2">
        <v>1</v>
      </c>
      <c r="L17214" s="2">
        <v>285</v>
      </c>
    </row>
    <row r="17215" spans="1:12" x14ac:dyDescent="0.25">
      <c r="A17215" s="4" t="str">
        <f>HYPERLINK("http://www.rosaceae.org/Prunus/Prunus_persica/p.persica_gdr_reftransV1_0041637","p.persica_gdr_reftransV1_0041637")</f>
        <v>p.persica_gdr_reftransV1_0041637</v>
      </c>
      <c r="B17215" s="2">
        <v>2759</v>
      </c>
      <c r="C17215" s="4" t="str">
        <f>HYPERLINK("http://www.uniprot.org/uniprot/M5W9Q2","M5W9Q2")</f>
        <v>M5W9Q2</v>
      </c>
      <c r="D17215" s="2" t="s">
        <v>13520</v>
      </c>
      <c r="E17215" s="3">
        <v>0</v>
      </c>
      <c r="F17215" s="2">
        <v>1492</v>
      </c>
      <c r="G17215" s="2">
        <v>99</v>
      </c>
      <c r="H17215" s="2">
        <v>290</v>
      </c>
      <c r="I17215" s="2">
        <v>698</v>
      </c>
      <c r="J17215" s="2">
        <v>1567</v>
      </c>
      <c r="K17215" s="2">
        <v>1</v>
      </c>
      <c r="L17215" s="2">
        <v>290</v>
      </c>
    </row>
    <row r="17216" spans="1:12" x14ac:dyDescent="0.25">
      <c r="A17216" s="4" t="str">
        <f>HYPERLINK("http://www.rosaceae.org/Prunus/Prunus_persica/p.persica_gdr_reftransV1_0042337","p.persica_gdr_reftransV1_0042337")</f>
        <v>p.persica_gdr_reftransV1_0042337</v>
      </c>
      <c r="B17216" s="2">
        <v>2948</v>
      </c>
      <c r="C17216" s="4" t="str">
        <f>HYPERLINK("http://www.uniprot.org/uniprot/M5WS21","M5WS21")</f>
        <v>M5WS21</v>
      </c>
      <c r="D17216" s="2" t="s">
        <v>13521</v>
      </c>
      <c r="E17216" s="3">
        <v>0</v>
      </c>
      <c r="F17216" s="2">
        <v>3127</v>
      </c>
      <c r="G17216" s="2">
        <v>100</v>
      </c>
      <c r="H17216" s="2">
        <v>614</v>
      </c>
      <c r="I17216" s="2">
        <v>995</v>
      </c>
      <c r="J17216" s="2">
        <v>2836</v>
      </c>
      <c r="K17216" s="2">
        <v>1</v>
      </c>
      <c r="L17216" s="2">
        <v>614</v>
      </c>
    </row>
    <row r="17217" spans="1:12" x14ac:dyDescent="0.25">
      <c r="A17217" s="4" t="str">
        <f>HYPERLINK("http://www.rosaceae.org/Prunus/Prunus_persica/p.persica_gdr_reftransV1_0043037","p.persica_gdr_reftransV1_0043037")</f>
        <v>p.persica_gdr_reftransV1_0043037</v>
      </c>
      <c r="B17217" s="2">
        <v>1214</v>
      </c>
      <c r="C17217" s="4" t="str">
        <f>HYPERLINK("http://www.uniprot.org/uniprot/M5VQQ0","M5VQQ0")</f>
        <v>M5VQQ0</v>
      </c>
      <c r="D17217" s="2" t="s">
        <v>13522</v>
      </c>
      <c r="E17217" s="3">
        <v>0</v>
      </c>
      <c r="F17217" s="2">
        <v>1482</v>
      </c>
      <c r="G17217" s="2">
        <v>100</v>
      </c>
      <c r="H17217" s="2">
        <v>293</v>
      </c>
      <c r="I17217" s="2">
        <v>331</v>
      </c>
      <c r="J17217" s="2">
        <v>1209</v>
      </c>
      <c r="K17217" s="2">
        <v>1</v>
      </c>
      <c r="L17217" s="2">
        <v>293</v>
      </c>
    </row>
    <row r="17218" spans="1:12" x14ac:dyDescent="0.25">
      <c r="A17218" s="4" t="str">
        <f>HYPERLINK("http://www.rosaceae.org/Prunus/Prunus_persica/p.persica_gdr_reftransV1_0043387","p.persica_gdr_reftransV1_0043387")</f>
        <v>p.persica_gdr_reftransV1_0043387</v>
      </c>
      <c r="B17218" s="2">
        <v>1574</v>
      </c>
      <c r="C17218" s="4" t="str">
        <f>HYPERLINK("http://www.uniprot.org/uniprot/M5W9C8","M5W9C8")</f>
        <v>M5W9C8</v>
      </c>
      <c r="D17218" s="2" t="s">
        <v>13523</v>
      </c>
      <c r="E17218" s="3">
        <v>0</v>
      </c>
      <c r="F17218" s="2">
        <v>2428</v>
      </c>
      <c r="G17218" s="2">
        <v>100</v>
      </c>
      <c r="H17218" s="2">
        <v>457</v>
      </c>
      <c r="I17218" s="2">
        <v>117</v>
      </c>
      <c r="J17218" s="2">
        <v>1487</v>
      </c>
      <c r="K17218" s="2">
        <v>1</v>
      </c>
      <c r="L17218" s="2">
        <v>457</v>
      </c>
    </row>
    <row r="17219" spans="1:12" x14ac:dyDescent="0.25">
      <c r="A17219" s="4" t="str">
        <f>HYPERLINK("http://www.rosaceae.org/Prunus/Prunus_persica/p.persica_gdr_reftransV1_0043737","p.persica_gdr_reftransV1_0043737")</f>
        <v>p.persica_gdr_reftransV1_0043737</v>
      </c>
      <c r="B17219" s="2">
        <v>961</v>
      </c>
      <c r="C17219" s="4" t="str">
        <f>HYPERLINK("http://www.uniprot.org/uniprot/M5XHQ4","M5XHQ4")</f>
        <v>M5XHQ4</v>
      </c>
      <c r="D17219" s="2" t="s">
        <v>13524</v>
      </c>
      <c r="E17219" s="3">
        <v>2.8899999999999997E-163</v>
      </c>
      <c r="F17219" s="2">
        <v>1221</v>
      </c>
      <c r="G17219" s="2">
        <v>93</v>
      </c>
      <c r="H17219" s="2">
        <v>256</v>
      </c>
      <c r="I17219" s="2">
        <v>194</v>
      </c>
      <c r="J17219" s="2">
        <v>961</v>
      </c>
      <c r="K17219" s="2">
        <v>188</v>
      </c>
      <c r="L17219" s="2">
        <v>443</v>
      </c>
    </row>
    <row r="17220" spans="1:12" x14ac:dyDescent="0.25">
      <c r="A17220" s="4" t="str">
        <f>HYPERLINK("http://www.rosaceae.org/Prunus/Prunus_persica/p.persica_gdr_reftransV1_0044437","p.persica_gdr_reftransV1_0044437")</f>
        <v>p.persica_gdr_reftransV1_0044437</v>
      </c>
      <c r="B17220" s="2">
        <v>1958</v>
      </c>
      <c r="C17220" s="4" t="str">
        <f>HYPERLINK("http://www.uniprot.org/uniprot/M5W617","M5W617")</f>
        <v>M5W617</v>
      </c>
      <c r="D17220" s="2" t="s">
        <v>13525</v>
      </c>
      <c r="E17220" s="3">
        <v>0</v>
      </c>
      <c r="F17220" s="2">
        <v>2618</v>
      </c>
      <c r="G17220" s="2">
        <v>100</v>
      </c>
      <c r="H17220" s="2">
        <v>530</v>
      </c>
      <c r="I17220" s="2">
        <v>125</v>
      </c>
      <c r="J17220" s="2">
        <v>1714</v>
      </c>
      <c r="K17220" s="2">
        <v>1</v>
      </c>
      <c r="L17220" s="2">
        <v>530</v>
      </c>
    </row>
    <row r="17221" spans="1:12" x14ac:dyDescent="0.25">
      <c r="A17221" s="4" t="str">
        <f>HYPERLINK("http://www.rosaceae.org/Prunus/Prunus_persica/p.persica_gdr_reftransV1_0044787","p.persica_gdr_reftransV1_0044787")</f>
        <v>p.persica_gdr_reftransV1_0044787</v>
      </c>
      <c r="B17221" s="2">
        <v>2062</v>
      </c>
      <c r="C17221" s="4" t="str">
        <f>HYPERLINK("http://www.uniprot.org/uniprot/M5WPY0","M5WPY0")</f>
        <v>M5WPY0</v>
      </c>
      <c r="D17221" s="2" t="s">
        <v>13526</v>
      </c>
      <c r="E17221" s="3">
        <v>0</v>
      </c>
      <c r="F17221" s="2">
        <v>3211</v>
      </c>
      <c r="G17221" s="2">
        <v>93</v>
      </c>
      <c r="H17221" s="2">
        <v>669</v>
      </c>
      <c r="I17221" s="2">
        <v>1</v>
      </c>
      <c r="J17221" s="2">
        <v>2007</v>
      </c>
      <c r="K17221" s="2">
        <v>167</v>
      </c>
      <c r="L17221" s="2">
        <v>792</v>
      </c>
    </row>
    <row r="17222" spans="1:12" x14ac:dyDescent="0.25">
      <c r="A17222" s="4" t="str">
        <f>HYPERLINK("http://www.rosaceae.org/Prunus/Prunus_persica/p.persica_gdr_reftransV1_0045837","p.persica_gdr_reftransV1_0045837")</f>
        <v>p.persica_gdr_reftransV1_0045837</v>
      </c>
      <c r="B17222" s="2">
        <v>1704</v>
      </c>
      <c r="C17222" s="4" t="str">
        <f>HYPERLINK("http://www.uniprot.org/uniprot/M5XKP7","M5XKP7")</f>
        <v>M5XKP7</v>
      </c>
      <c r="D17222" s="2" t="s">
        <v>6831</v>
      </c>
      <c r="E17222" s="3">
        <v>0</v>
      </c>
      <c r="F17222" s="2">
        <v>2307</v>
      </c>
      <c r="G17222" s="2">
        <v>92</v>
      </c>
      <c r="H17222" s="2">
        <v>527</v>
      </c>
      <c r="I17222" s="2">
        <v>134</v>
      </c>
      <c r="J17222" s="2">
        <v>1702</v>
      </c>
      <c r="K17222" s="2">
        <v>1</v>
      </c>
      <c r="L17222" s="2">
        <v>527</v>
      </c>
    </row>
    <row r="17223" spans="1:12" x14ac:dyDescent="0.25">
      <c r="A17223" s="4" t="str">
        <f>HYPERLINK("http://www.rosaceae.org/Prunus/Prunus_persica/p.persica_gdr_reftransV1_0046537","p.persica_gdr_reftransV1_0046537")</f>
        <v>p.persica_gdr_reftransV1_0046537</v>
      </c>
      <c r="B17223" s="2">
        <v>947</v>
      </c>
      <c r="C17223" s="4" t="str">
        <f>HYPERLINK("http://www.uniprot.org/uniprot/M5X4I0","M5X4I0")</f>
        <v>M5X4I0</v>
      </c>
      <c r="D17223" s="2" t="s">
        <v>13143</v>
      </c>
      <c r="E17223" s="3">
        <v>0</v>
      </c>
      <c r="F17223" s="2">
        <v>1496</v>
      </c>
      <c r="G17223" s="2">
        <v>100</v>
      </c>
      <c r="H17223" s="2">
        <v>290</v>
      </c>
      <c r="I17223" s="2">
        <v>78</v>
      </c>
      <c r="J17223" s="2">
        <v>947</v>
      </c>
      <c r="K17223" s="2">
        <v>51</v>
      </c>
      <c r="L17223" s="2">
        <v>340</v>
      </c>
    </row>
    <row r="17224" spans="1:12" x14ac:dyDescent="0.25">
      <c r="A17224" s="4" t="str">
        <f>HYPERLINK("http://www.rosaceae.org/Prunus/Prunus_persica/p.persica_gdr_reftransV1_0046887","p.persica_gdr_reftransV1_0046887")</f>
        <v>p.persica_gdr_reftransV1_0046887</v>
      </c>
      <c r="B17224" s="2">
        <v>597</v>
      </c>
      <c r="C17224" s="4" t="str">
        <f>HYPERLINK("http://www.uniprot.org/uniprot/M5XCA5","M5XCA5")</f>
        <v>M5XCA5</v>
      </c>
      <c r="D17224" s="2" t="s">
        <v>4181</v>
      </c>
      <c r="E17224" s="3">
        <v>7.8500000000000006E-62</v>
      </c>
      <c r="F17224" s="2">
        <v>531</v>
      </c>
      <c r="G17224" s="2">
        <v>100</v>
      </c>
      <c r="H17224" s="2">
        <v>99</v>
      </c>
      <c r="I17224" s="2">
        <v>3</v>
      </c>
      <c r="J17224" s="2">
        <v>299</v>
      </c>
      <c r="K17224" s="2">
        <v>1</v>
      </c>
      <c r="L17224" s="2">
        <v>99</v>
      </c>
    </row>
    <row r="17225" spans="1:12" x14ac:dyDescent="0.25">
      <c r="A17225" s="4" t="str">
        <f>HYPERLINK("http://www.rosaceae.org/Prunus/Prunus_persica/p.persica_gdr_reftransV1_0047587","p.persica_gdr_reftransV1_0047587")</f>
        <v>p.persica_gdr_reftransV1_0047587</v>
      </c>
      <c r="B17225" s="2">
        <v>415</v>
      </c>
      <c r="C17225" s="4" t="str">
        <f>HYPERLINK("http://www.uniprot.org/uniprot/M5WX11","M5WX11")</f>
        <v>M5WX11</v>
      </c>
      <c r="D17225" s="2" t="s">
        <v>12976</v>
      </c>
      <c r="E17225" s="3">
        <v>9.0400000000000006E-53</v>
      </c>
      <c r="F17225" s="2">
        <v>484</v>
      </c>
      <c r="G17225" s="2">
        <v>88</v>
      </c>
      <c r="H17225" s="2">
        <v>137</v>
      </c>
      <c r="I17225" s="2">
        <v>3</v>
      </c>
      <c r="J17225" s="2">
        <v>413</v>
      </c>
      <c r="K17225" s="2">
        <v>209</v>
      </c>
      <c r="L17225" s="2">
        <v>339</v>
      </c>
    </row>
    <row r="17226" spans="1:12" x14ac:dyDescent="0.25">
      <c r="A17226" s="4" t="str">
        <f>HYPERLINK("http://www.rosaceae.org/Prunus/Prunus_persica/p.persica_gdr_reftransV1_0047937","p.persica_gdr_reftransV1_0047937")</f>
        <v>p.persica_gdr_reftransV1_0047937</v>
      </c>
      <c r="B17226" s="2">
        <v>509</v>
      </c>
      <c r="C17226" s="4" t="str">
        <f>HYPERLINK("http://www.uniprot.org/uniprot/M5W629","M5W629")</f>
        <v>M5W629</v>
      </c>
      <c r="D17226" s="2" t="s">
        <v>13527</v>
      </c>
      <c r="E17226" s="3">
        <v>4.0999999999999998E-121</v>
      </c>
      <c r="F17226" s="2">
        <v>910</v>
      </c>
      <c r="G17226" s="2">
        <v>100</v>
      </c>
      <c r="H17226" s="2">
        <v>169</v>
      </c>
      <c r="I17226" s="2">
        <v>2</v>
      </c>
      <c r="J17226" s="2">
        <v>508</v>
      </c>
      <c r="K17226" s="2">
        <v>114</v>
      </c>
      <c r="L17226" s="2">
        <v>282</v>
      </c>
    </row>
    <row r="17227" spans="1:12" x14ac:dyDescent="0.25">
      <c r="A17227" s="4" t="str">
        <f>HYPERLINK("http://www.rosaceae.org/Prunus/Prunus_persica/p.persica_gdr_reftransV1_0048287","p.persica_gdr_reftransV1_0048287")</f>
        <v>p.persica_gdr_reftransV1_0048287</v>
      </c>
      <c r="B17227" s="2">
        <v>896</v>
      </c>
      <c r="C17227" s="4" t="str">
        <f>HYPERLINK("http://www.uniprot.org/uniprot/M5WG76","M5WG76")</f>
        <v>M5WG76</v>
      </c>
      <c r="D17227" s="2" t="s">
        <v>12189</v>
      </c>
      <c r="E17227" s="3">
        <v>1.31E-172</v>
      </c>
      <c r="F17227" s="2">
        <v>1281</v>
      </c>
      <c r="G17227" s="2">
        <v>100</v>
      </c>
      <c r="H17227" s="2">
        <v>282</v>
      </c>
      <c r="I17227" s="2">
        <v>49</v>
      </c>
      <c r="J17227" s="2">
        <v>894</v>
      </c>
      <c r="K17227" s="2">
        <v>1</v>
      </c>
      <c r="L17227" s="2">
        <v>282</v>
      </c>
    </row>
    <row r="17228" spans="1:12" x14ac:dyDescent="0.25">
      <c r="A17228" s="4" t="str">
        <f>HYPERLINK("http://www.rosaceae.org/Prunus/Prunus_persica/p.persica_gdr_reftransV1_0048987","p.persica_gdr_reftransV1_0048987")</f>
        <v>p.persica_gdr_reftransV1_0048987</v>
      </c>
      <c r="B17228" s="2">
        <v>393</v>
      </c>
      <c r="C17228" s="4" t="str">
        <f>HYPERLINK("http://www.uniprot.org/uniprot/M5W013","M5W013")</f>
        <v>M5W013</v>
      </c>
      <c r="D17228" s="2" t="s">
        <v>13528</v>
      </c>
      <c r="E17228" s="3">
        <v>2.7099999999999999E-68</v>
      </c>
      <c r="F17228" s="2">
        <v>551</v>
      </c>
      <c r="G17228" s="2">
        <v>100</v>
      </c>
      <c r="H17228" s="2">
        <v>108</v>
      </c>
      <c r="I17228" s="2">
        <v>70</v>
      </c>
      <c r="J17228" s="2">
        <v>393</v>
      </c>
      <c r="K17228" s="2">
        <v>117</v>
      </c>
      <c r="L17228" s="2">
        <v>224</v>
      </c>
    </row>
    <row r="17229" spans="1:12" x14ac:dyDescent="0.25">
      <c r="A17229" s="4" t="str">
        <f>HYPERLINK("http://www.rosaceae.org/Prunus/Prunus_persica/p.persica_gdr_reftransV1_0000688","p.persica_gdr_reftransV1_0000688")</f>
        <v>p.persica_gdr_reftransV1_0000688</v>
      </c>
      <c r="B17229" s="2">
        <v>2942</v>
      </c>
      <c r="C17229" s="4" t="str">
        <f>HYPERLINK("http://www.uniprot.org/uniprot/M5WU27","M5WU27")</f>
        <v>M5WU27</v>
      </c>
      <c r="D17229" s="2" t="s">
        <v>10180</v>
      </c>
      <c r="E17229" s="3">
        <v>0</v>
      </c>
      <c r="F17229" s="2">
        <v>2594</v>
      </c>
      <c r="G17229" s="2">
        <v>100</v>
      </c>
      <c r="H17229" s="2">
        <v>499</v>
      </c>
      <c r="I17229" s="2">
        <v>788</v>
      </c>
      <c r="J17229" s="2">
        <v>2284</v>
      </c>
      <c r="K17229" s="2">
        <v>75</v>
      </c>
      <c r="L17229" s="2">
        <v>573</v>
      </c>
    </row>
    <row r="17230" spans="1:12" x14ac:dyDescent="0.25">
      <c r="A17230" s="4" t="str">
        <f>HYPERLINK("http://www.rosaceae.org/Prunus/Prunus_persica/p.persica_gdr_reftransV1_0001038","p.persica_gdr_reftransV1_0001038")</f>
        <v>p.persica_gdr_reftransV1_0001038</v>
      </c>
      <c r="B17230" s="2">
        <v>1879</v>
      </c>
      <c r="C17230" s="4" t="str">
        <f>HYPERLINK("http://www.uniprot.org/uniprot/M5VLA7","M5VLA7")</f>
        <v>M5VLA7</v>
      </c>
      <c r="D17230" s="2" t="s">
        <v>13529</v>
      </c>
      <c r="E17230" s="3">
        <v>3.66E-167</v>
      </c>
      <c r="F17230" s="2">
        <v>1265</v>
      </c>
      <c r="G17230" s="2">
        <v>100</v>
      </c>
      <c r="H17230" s="2">
        <v>312</v>
      </c>
      <c r="I17230" s="2">
        <v>591</v>
      </c>
      <c r="J17230" s="2">
        <v>1526</v>
      </c>
      <c r="K17230" s="2">
        <v>1</v>
      </c>
      <c r="L17230" s="2">
        <v>312</v>
      </c>
    </row>
    <row r="17231" spans="1:12" x14ac:dyDescent="0.25">
      <c r="A17231" s="4" t="str">
        <f>HYPERLINK("http://www.rosaceae.org/Prunus/Prunus_persica/p.persica_gdr_reftransV1_0002088","p.persica_gdr_reftransV1_0002088")</f>
        <v>p.persica_gdr_reftransV1_0002088</v>
      </c>
      <c r="B17231" s="2">
        <v>918</v>
      </c>
      <c r="C17231" s="4" t="str">
        <f>HYPERLINK("http://www.uniprot.org/uniprot/M5W1C4","M5W1C4")</f>
        <v>M5W1C4</v>
      </c>
      <c r="D17231" s="2" t="s">
        <v>13530</v>
      </c>
      <c r="E17231" s="3">
        <v>9.1200000000000004E-109</v>
      </c>
      <c r="F17231" s="2">
        <v>845</v>
      </c>
      <c r="G17231" s="2">
        <v>98</v>
      </c>
      <c r="H17231" s="2">
        <v>159</v>
      </c>
      <c r="I17231" s="2">
        <v>3</v>
      </c>
      <c r="J17231" s="2">
        <v>479</v>
      </c>
      <c r="K17231" s="2">
        <v>1</v>
      </c>
      <c r="L17231" s="2">
        <v>159</v>
      </c>
    </row>
    <row r="17232" spans="1:12" x14ac:dyDescent="0.25">
      <c r="A17232" s="4" t="str">
        <f>HYPERLINK("http://www.rosaceae.org/Prunus/Prunus_persica/p.persica_gdr_reftransV1_0002788","p.persica_gdr_reftransV1_0002788")</f>
        <v>p.persica_gdr_reftransV1_0002788</v>
      </c>
      <c r="B17232" s="2">
        <v>2559</v>
      </c>
      <c r="C17232" s="4" t="str">
        <f>HYPERLINK("http://www.uniprot.org/uniprot/M5XJM1","M5XJM1")</f>
        <v>M5XJM1</v>
      </c>
      <c r="D17232" s="2" t="s">
        <v>13531</v>
      </c>
      <c r="E17232" s="3">
        <v>0</v>
      </c>
      <c r="F17232" s="2">
        <v>1587</v>
      </c>
      <c r="G17232" s="2">
        <v>86</v>
      </c>
      <c r="H17232" s="2">
        <v>365</v>
      </c>
      <c r="I17232" s="2">
        <v>941</v>
      </c>
      <c r="J17232" s="2">
        <v>2035</v>
      </c>
      <c r="K17232" s="2">
        <v>1</v>
      </c>
      <c r="L17232" s="2">
        <v>315</v>
      </c>
    </row>
    <row r="17233" spans="1:12" x14ac:dyDescent="0.25">
      <c r="A17233" s="4" t="str">
        <f>HYPERLINK("http://www.rosaceae.org/Prunus/Prunus_persica/p.persica_gdr_reftransV1_0003138","p.persica_gdr_reftransV1_0003138")</f>
        <v>p.persica_gdr_reftransV1_0003138</v>
      </c>
      <c r="B17233" s="2">
        <v>1641</v>
      </c>
      <c r="C17233" s="4" t="str">
        <f>HYPERLINK("http://www.uniprot.org/uniprot/M5XDK9","M5XDK9")</f>
        <v>M5XDK9</v>
      </c>
      <c r="D17233" s="2" t="s">
        <v>6523</v>
      </c>
      <c r="E17233" s="3">
        <v>0</v>
      </c>
      <c r="F17233" s="2">
        <v>1560</v>
      </c>
      <c r="G17233" s="2">
        <v>100</v>
      </c>
      <c r="H17233" s="2">
        <v>332</v>
      </c>
      <c r="I17233" s="2">
        <v>249</v>
      </c>
      <c r="J17233" s="2">
        <v>1244</v>
      </c>
      <c r="K17233" s="2">
        <v>150</v>
      </c>
      <c r="L17233" s="2">
        <v>481</v>
      </c>
    </row>
    <row r="17234" spans="1:12" x14ac:dyDescent="0.25">
      <c r="A17234" s="4" t="str">
        <f>HYPERLINK("http://www.rosaceae.org/Prunus/Prunus_persica/p.persica_gdr_reftransV1_0003838","p.persica_gdr_reftransV1_0003838")</f>
        <v>p.persica_gdr_reftransV1_0003838</v>
      </c>
      <c r="B17234" s="2">
        <v>2655</v>
      </c>
      <c r="C17234" s="4" t="str">
        <f>HYPERLINK("http://www.uniprot.org/uniprot/A0A0F6PZR4","A0A0F6PZR4")</f>
        <v>A0A0F6PZR4</v>
      </c>
      <c r="D17234" s="2" t="s">
        <v>13532</v>
      </c>
      <c r="E17234" s="3">
        <v>0</v>
      </c>
      <c r="F17234" s="2">
        <v>2520</v>
      </c>
      <c r="G17234" s="2">
        <v>100</v>
      </c>
      <c r="H17234" s="2">
        <v>492</v>
      </c>
      <c r="I17234" s="2">
        <v>659</v>
      </c>
      <c r="J17234" s="2">
        <v>2134</v>
      </c>
      <c r="K17234" s="2">
        <v>1</v>
      </c>
      <c r="L17234" s="2">
        <v>492</v>
      </c>
    </row>
    <row r="17235" spans="1:12" x14ac:dyDescent="0.25">
      <c r="A17235" s="4" t="str">
        <f>HYPERLINK("http://www.rosaceae.org/Prunus/Prunus_persica/p.persica_gdr_reftransV1_0004538","p.persica_gdr_reftransV1_0004538")</f>
        <v>p.persica_gdr_reftransV1_0004538</v>
      </c>
      <c r="B17235" s="2">
        <v>1032</v>
      </c>
      <c r="C17235" s="4" t="str">
        <f>HYPERLINK("http://www.uniprot.org/uniprot/M5XRS9","M5XRS9")</f>
        <v>M5XRS9</v>
      </c>
      <c r="D17235" s="2" t="s">
        <v>290</v>
      </c>
      <c r="E17235" s="3">
        <v>5.5699999999999996E-153</v>
      </c>
      <c r="F17235" s="2">
        <v>1134</v>
      </c>
      <c r="G17235" s="2">
        <v>100</v>
      </c>
      <c r="H17235" s="2">
        <v>215</v>
      </c>
      <c r="I17235" s="2">
        <v>166</v>
      </c>
      <c r="J17235" s="2">
        <v>810</v>
      </c>
      <c r="K17235" s="2">
        <v>14</v>
      </c>
      <c r="L17235" s="2">
        <v>228</v>
      </c>
    </row>
    <row r="17236" spans="1:12" x14ac:dyDescent="0.25">
      <c r="A17236" s="4" t="str">
        <f>HYPERLINK("http://www.rosaceae.org/Prunus/Prunus_persica/p.persica_gdr_reftransV1_0004888","p.persica_gdr_reftransV1_0004888")</f>
        <v>p.persica_gdr_reftransV1_0004888</v>
      </c>
      <c r="B17236" s="2">
        <v>2069</v>
      </c>
      <c r="C17236" s="4" t="str">
        <f>HYPERLINK("http://www.uniprot.org/uniprot/M5VVX2","M5VVX2")</f>
        <v>M5VVX2</v>
      </c>
      <c r="D17236" s="2" t="s">
        <v>1616</v>
      </c>
      <c r="E17236" s="3">
        <v>0</v>
      </c>
      <c r="F17236" s="2">
        <v>1895</v>
      </c>
      <c r="G17236" s="2">
        <v>100</v>
      </c>
      <c r="H17236" s="2">
        <v>360</v>
      </c>
      <c r="I17236" s="2">
        <v>794</v>
      </c>
      <c r="J17236" s="2">
        <v>1873</v>
      </c>
      <c r="K17236" s="2">
        <v>157</v>
      </c>
      <c r="L17236" s="2">
        <v>516</v>
      </c>
    </row>
    <row r="17237" spans="1:12" x14ac:dyDescent="0.25">
      <c r="A17237" s="4" t="str">
        <f>HYPERLINK("http://www.rosaceae.org/Prunus/Prunus_persica/p.persica_gdr_reftransV1_0005588","p.persica_gdr_reftransV1_0005588")</f>
        <v>p.persica_gdr_reftransV1_0005588</v>
      </c>
      <c r="B17237" s="2">
        <v>511</v>
      </c>
      <c r="C17237" s="4" t="str">
        <f>HYPERLINK("http://www.uniprot.org/uniprot/M5X835","M5X835")</f>
        <v>M5X835</v>
      </c>
      <c r="D17237" s="2" t="s">
        <v>10653</v>
      </c>
      <c r="E17237" s="3">
        <v>1.04E-65</v>
      </c>
      <c r="F17237" s="2">
        <v>559</v>
      </c>
      <c r="G17237" s="2">
        <v>90</v>
      </c>
      <c r="H17237" s="2">
        <v>154</v>
      </c>
      <c r="I17237" s="2">
        <v>52</v>
      </c>
      <c r="J17237" s="2">
        <v>504</v>
      </c>
      <c r="K17237" s="2">
        <v>1</v>
      </c>
      <c r="L17237" s="2">
        <v>152</v>
      </c>
    </row>
    <row r="17238" spans="1:12" x14ac:dyDescent="0.25">
      <c r="A17238" s="4" t="str">
        <f>HYPERLINK("http://www.rosaceae.org/Prunus/Prunus_persica/p.persica_gdr_reftransV1_0005938","p.persica_gdr_reftransV1_0005938")</f>
        <v>p.persica_gdr_reftransV1_0005938</v>
      </c>
      <c r="B17238" s="2">
        <v>1092</v>
      </c>
      <c r="C17238" s="4" t="str">
        <f>HYPERLINK("http://www.uniprot.org/uniprot/M5XR81","M5XR81")</f>
        <v>M5XR81</v>
      </c>
      <c r="D17238" s="2" t="s">
        <v>13533</v>
      </c>
      <c r="E17238" s="3">
        <v>5.92E-119</v>
      </c>
      <c r="F17238" s="2">
        <v>911</v>
      </c>
      <c r="G17238" s="2">
        <v>100</v>
      </c>
      <c r="H17238" s="2">
        <v>200</v>
      </c>
      <c r="I17238" s="2">
        <v>375</v>
      </c>
      <c r="J17238" s="2">
        <v>974</v>
      </c>
      <c r="K17238" s="2">
        <v>22</v>
      </c>
      <c r="L17238" s="2">
        <v>221</v>
      </c>
    </row>
    <row r="17239" spans="1:12" x14ac:dyDescent="0.25">
      <c r="A17239" s="4" t="str">
        <f>HYPERLINK("http://www.rosaceae.org/Prunus/Prunus_persica/p.persica_gdr_reftransV1_0006638","p.persica_gdr_reftransV1_0006638")</f>
        <v>p.persica_gdr_reftransV1_0006638</v>
      </c>
      <c r="B17239" s="2">
        <v>492</v>
      </c>
      <c r="C17239" s="4" t="str">
        <f>HYPERLINK("http://www.uniprot.org/uniprot/M5XGN0","M5XGN0")</f>
        <v>M5XGN0</v>
      </c>
      <c r="D17239" s="2" t="s">
        <v>13534</v>
      </c>
      <c r="E17239" s="3">
        <v>1.2700000000000001E-45</v>
      </c>
      <c r="F17239" s="2">
        <v>392</v>
      </c>
      <c r="G17239" s="2">
        <v>100</v>
      </c>
      <c r="H17239" s="2">
        <v>75</v>
      </c>
      <c r="I17239" s="2">
        <v>71</v>
      </c>
      <c r="J17239" s="2">
        <v>295</v>
      </c>
      <c r="K17239" s="2">
        <v>1</v>
      </c>
      <c r="L17239" s="2">
        <v>75</v>
      </c>
    </row>
    <row r="17240" spans="1:12" x14ac:dyDescent="0.25">
      <c r="A17240" s="4" t="str">
        <f>HYPERLINK("http://www.rosaceae.org/Prunus/Prunus_persica/p.persica_gdr_reftransV1_0006988","p.persica_gdr_reftransV1_0006988")</f>
        <v>p.persica_gdr_reftransV1_0006988</v>
      </c>
      <c r="B17240" s="2">
        <v>539</v>
      </c>
      <c r="C17240" s="4" t="str">
        <f>HYPERLINK("http://www.uniprot.org/uniprot/M5WIH2","M5WIH2")</f>
        <v>M5WIH2</v>
      </c>
      <c r="D17240" s="2" t="s">
        <v>13535</v>
      </c>
      <c r="E17240" s="3">
        <v>7.0800000000000002E-23</v>
      </c>
      <c r="F17240" s="2">
        <v>241</v>
      </c>
      <c r="G17240" s="2">
        <v>100</v>
      </c>
      <c r="H17240" s="2">
        <v>81</v>
      </c>
      <c r="I17240" s="2">
        <v>130</v>
      </c>
      <c r="J17240" s="2">
        <v>372</v>
      </c>
      <c r="K17240" s="2">
        <v>1</v>
      </c>
      <c r="L17240" s="2">
        <v>81</v>
      </c>
    </row>
    <row r="17241" spans="1:12" x14ac:dyDescent="0.25">
      <c r="A17241" s="4" t="str">
        <f>HYPERLINK("http://www.rosaceae.org/Prunus/Prunus_persica/p.persica_gdr_reftransV1_0007688","p.persica_gdr_reftransV1_0007688")</f>
        <v>p.persica_gdr_reftransV1_0007688</v>
      </c>
      <c r="B17241" s="2">
        <v>870</v>
      </c>
      <c r="C17241" s="4" t="str">
        <f>HYPERLINK("http://www.uniprot.org/uniprot/M5VR95","M5VR95")</f>
        <v>M5VR95</v>
      </c>
      <c r="D17241" s="2" t="s">
        <v>13536</v>
      </c>
      <c r="E17241" s="3">
        <v>9.2100000000000001E-84</v>
      </c>
      <c r="F17241" s="2">
        <v>665</v>
      </c>
      <c r="G17241" s="2">
        <v>100</v>
      </c>
      <c r="H17241" s="2">
        <v>154</v>
      </c>
      <c r="I17241" s="2">
        <v>60</v>
      </c>
      <c r="J17241" s="2">
        <v>521</v>
      </c>
      <c r="K17241" s="2">
        <v>1</v>
      </c>
      <c r="L17241" s="2">
        <v>154</v>
      </c>
    </row>
    <row r="17242" spans="1:12" x14ac:dyDescent="0.25">
      <c r="A17242" s="4" t="str">
        <f>HYPERLINK("http://www.rosaceae.org/Prunus/Prunus_persica/p.persica_gdr_reftransV1_0008038","p.persica_gdr_reftransV1_0008038")</f>
        <v>p.persica_gdr_reftransV1_0008038</v>
      </c>
      <c r="B17242" s="2">
        <v>3127</v>
      </c>
      <c r="C17242" s="4" t="str">
        <f>HYPERLINK("http://www.uniprot.org/uniprot/M5XK58","M5XK58")</f>
        <v>M5XK58</v>
      </c>
      <c r="D17242" s="2" t="s">
        <v>13537</v>
      </c>
      <c r="E17242" s="3">
        <v>0</v>
      </c>
      <c r="F17242" s="2">
        <v>3979</v>
      </c>
      <c r="G17242" s="2">
        <v>100</v>
      </c>
      <c r="H17242" s="2">
        <v>800</v>
      </c>
      <c r="I17242" s="2">
        <v>527</v>
      </c>
      <c r="J17242" s="2">
        <v>2926</v>
      </c>
      <c r="K17242" s="2">
        <v>1</v>
      </c>
      <c r="L17242" s="2">
        <v>800</v>
      </c>
    </row>
    <row r="17243" spans="1:12" x14ac:dyDescent="0.25">
      <c r="A17243" s="4" t="str">
        <f>HYPERLINK("http://www.rosaceae.org/Prunus/Prunus_persica/p.persica_gdr_reftransV1_0008388","p.persica_gdr_reftransV1_0008388")</f>
        <v>p.persica_gdr_reftransV1_0008388</v>
      </c>
      <c r="B17243" s="2">
        <v>1299</v>
      </c>
      <c r="C17243" s="4" t="str">
        <f>HYPERLINK("http://www.uniprot.org/uniprot/M5WFF1","M5WFF1")</f>
        <v>M5WFF1</v>
      </c>
      <c r="D17243" s="2" t="s">
        <v>13538</v>
      </c>
      <c r="E17243" s="3">
        <v>9.17E-126</v>
      </c>
      <c r="F17243" s="2">
        <v>966</v>
      </c>
      <c r="G17243" s="2">
        <v>89</v>
      </c>
      <c r="H17243" s="2">
        <v>247</v>
      </c>
      <c r="I17243" s="2">
        <v>374</v>
      </c>
      <c r="J17243" s="2">
        <v>1114</v>
      </c>
      <c r="K17243" s="2">
        <v>1</v>
      </c>
      <c r="L17243" s="2">
        <v>247</v>
      </c>
    </row>
    <row r="17244" spans="1:12" x14ac:dyDescent="0.25">
      <c r="A17244" s="4" t="str">
        <f>HYPERLINK("http://www.rosaceae.org/Prunus/Prunus_persica/p.persica_gdr_reftransV1_0009438","p.persica_gdr_reftransV1_0009438")</f>
        <v>p.persica_gdr_reftransV1_0009438</v>
      </c>
      <c r="B17244" s="2">
        <v>569</v>
      </c>
      <c r="C17244" s="4" t="str">
        <f>HYPERLINK("http://www.uniprot.org/uniprot/J7G586","J7G586")</f>
        <v>J7G586</v>
      </c>
      <c r="D17244" s="2" t="s">
        <v>298</v>
      </c>
      <c r="E17244" s="3">
        <v>4.8999999999999998E-22</v>
      </c>
      <c r="F17244" s="2">
        <v>257</v>
      </c>
      <c r="G17244" s="2">
        <v>33</v>
      </c>
      <c r="H17244" s="2">
        <v>187</v>
      </c>
      <c r="I17244" s="2">
        <v>1</v>
      </c>
      <c r="J17244" s="2">
        <v>558</v>
      </c>
      <c r="K17244" s="2">
        <v>13</v>
      </c>
      <c r="L17244" s="2">
        <v>173</v>
      </c>
    </row>
    <row r="17245" spans="1:12" x14ac:dyDescent="0.25">
      <c r="A17245" s="4" t="str">
        <f>HYPERLINK("http://www.rosaceae.org/Prunus/Prunus_persica/p.persica_gdr_reftransV1_0010488","p.persica_gdr_reftransV1_0010488")</f>
        <v>p.persica_gdr_reftransV1_0010488</v>
      </c>
      <c r="B17245" s="2">
        <v>1362</v>
      </c>
      <c r="C17245" s="4" t="str">
        <f>HYPERLINK("http://www.uniprot.org/uniprot/M5VZZ7","M5VZZ7")</f>
        <v>M5VZZ7</v>
      </c>
      <c r="D17245" s="2" t="s">
        <v>13539</v>
      </c>
      <c r="E17245" s="3">
        <v>1.1799999999999999E-95</v>
      </c>
      <c r="F17245" s="2">
        <v>765</v>
      </c>
      <c r="G17245" s="2">
        <v>100</v>
      </c>
      <c r="H17245" s="2">
        <v>186</v>
      </c>
      <c r="I17245" s="2">
        <v>353</v>
      </c>
      <c r="J17245" s="2">
        <v>910</v>
      </c>
      <c r="K17245" s="2">
        <v>20</v>
      </c>
      <c r="L17245" s="2">
        <v>205</v>
      </c>
    </row>
    <row r="17246" spans="1:12" x14ac:dyDescent="0.25">
      <c r="A17246" s="4" t="str">
        <f>HYPERLINK("http://www.rosaceae.org/Prunus/Prunus_persica/p.persica_gdr_reftransV1_0010838","p.persica_gdr_reftransV1_0010838")</f>
        <v>p.persica_gdr_reftransV1_0010838</v>
      </c>
      <c r="B17246" s="2">
        <v>2493</v>
      </c>
      <c r="C17246" s="4" t="str">
        <f>HYPERLINK("http://www.uniprot.org/uniprot/M5WSQ2","M5WSQ2")</f>
        <v>M5WSQ2</v>
      </c>
      <c r="D17246" s="2" t="s">
        <v>13540</v>
      </c>
      <c r="E17246" s="3">
        <v>0</v>
      </c>
      <c r="F17246" s="2">
        <v>2516</v>
      </c>
      <c r="G17246" s="2">
        <v>97</v>
      </c>
      <c r="H17246" s="2">
        <v>540</v>
      </c>
      <c r="I17246" s="2">
        <v>514</v>
      </c>
      <c r="J17246" s="2">
        <v>2133</v>
      </c>
      <c r="K17246" s="2">
        <v>1</v>
      </c>
      <c r="L17246" s="2">
        <v>526</v>
      </c>
    </row>
    <row r="17247" spans="1:12" x14ac:dyDescent="0.25">
      <c r="A17247" s="4" t="str">
        <f>HYPERLINK("http://www.rosaceae.org/Prunus/Prunus_persica/p.persica_gdr_reftransV1_0012938","p.persica_gdr_reftransV1_0012938")</f>
        <v>p.persica_gdr_reftransV1_0012938</v>
      </c>
      <c r="B17247" s="2">
        <v>1101</v>
      </c>
      <c r="C17247" s="4" t="str">
        <f>HYPERLINK("http://www.uniprot.org/uniprot/M5WWA8","M5WWA8")</f>
        <v>M5WWA8</v>
      </c>
      <c r="D17247" s="2" t="s">
        <v>3723</v>
      </c>
      <c r="E17247" s="3">
        <v>0</v>
      </c>
      <c r="F17247" s="2">
        <v>1875</v>
      </c>
      <c r="G17247" s="2">
        <v>100</v>
      </c>
      <c r="H17247" s="2">
        <v>366</v>
      </c>
      <c r="I17247" s="2">
        <v>3</v>
      </c>
      <c r="J17247" s="2">
        <v>1100</v>
      </c>
      <c r="K17247" s="2">
        <v>203</v>
      </c>
      <c r="L17247" s="2">
        <v>568</v>
      </c>
    </row>
    <row r="17248" spans="1:12" x14ac:dyDescent="0.25">
      <c r="A17248" s="4" t="str">
        <f>HYPERLINK("http://www.rosaceae.org/Prunus/Prunus_persica/p.persica_gdr_reftransV1_0013988","p.persica_gdr_reftransV1_0013988")</f>
        <v>p.persica_gdr_reftransV1_0013988</v>
      </c>
      <c r="B17248" s="2">
        <v>2810</v>
      </c>
      <c r="C17248" s="4" t="str">
        <f>HYPERLINK("http://www.uniprot.org/uniprot/M5X3U9","M5X3U9")</f>
        <v>M5X3U9</v>
      </c>
      <c r="D17248" s="2" t="s">
        <v>13541</v>
      </c>
      <c r="E17248" s="3">
        <v>0</v>
      </c>
      <c r="F17248" s="2">
        <v>2687</v>
      </c>
      <c r="G17248" s="2">
        <v>100</v>
      </c>
      <c r="H17248" s="2">
        <v>537</v>
      </c>
      <c r="I17248" s="2">
        <v>167</v>
      </c>
      <c r="J17248" s="2">
        <v>1777</v>
      </c>
      <c r="K17248" s="2">
        <v>1</v>
      </c>
      <c r="L17248" s="2">
        <v>537</v>
      </c>
    </row>
    <row r="17249" spans="1:12" x14ac:dyDescent="0.25">
      <c r="A17249" s="4" t="str">
        <f>HYPERLINK("http://www.rosaceae.org/Prunus/Prunus_persica/p.persica_gdr_reftransV1_0014688","p.persica_gdr_reftransV1_0014688")</f>
        <v>p.persica_gdr_reftransV1_0014688</v>
      </c>
      <c r="B17249" s="2">
        <v>2448</v>
      </c>
      <c r="C17249" s="4" t="str">
        <f>HYPERLINK("http://www.uniprot.org/uniprot/M5XC96","M5XC96")</f>
        <v>M5XC96</v>
      </c>
      <c r="D17249" s="2" t="s">
        <v>13542</v>
      </c>
      <c r="E17249" s="3">
        <v>0</v>
      </c>
      <c r="F17249" s="2">
        <v>1687</v>
      </c>
      <c r="G17249" s="2">
        <v>100</v>
      </c>
      <c r="H17249" s="2">
        <v>354</v>
      </c>
      <c r="I17249" s="2">
        <v>971</v>
      </c>
      <c r="J17249" s="2">
        <v>2032</v>
      </c>
      <c r="K17249" s="2">
        <v>35</v>
      </c>
      <c r="L17249" s="2">
        <v>388</v>
      </c>
    </row>
    <row r="17250" spans="1:12" x14ac:dyDescent="0.25">
      <c r="A17250" s="4" t="str">
        <f>HYPERLINK("http://www.rosaceae.org/Prunus/Prunus_persica/p.persica_gdr_reftransV1_0015738","p.persica_gdr_reftransV1_0015738")</f>
        <v>p.persica_gdr_reftransV1_0015738</v>
      </c>
      <c r="B17250" s="2">
        <v>2046</v>
      </c>
      <c r="C17250" s="4" t="str">
        <f>HYPERLINK("http://www.uniprot.org/uniprot/F6GZH2","F6GZH2")</f>
        <v>F6GZH2</v>
      </c>
      <c r="D17250" s="2" t="s">
        <v>13543</v>
      </c>
      <c r="E17250" s="3">
        <v>3.1800000000000002E-24</v>
      </c>
      <c r="F17250" s="2">
        <v>285</v>
      </c>
      <c r="G17250" s="2">
        <v>32</v>
      </c>
      <c r="H17250" s="2">
        <v>193</v>
      </c>
      <c r="I17250" s="2">
        <v>145</v>
      </c>
      <c r="J17250" s="2">
        <v>699</v>
      </c>
      <c r="K17250" s="2">
        <v>37</v>
      </c>
      <c r="L17250" s="2">
        <v>225</v>
      </c>
    </row>
    <row r="17251" spans="1:12" x14ac:dyDescent="0.25">
      <c r="A17251" s="4" t="str">
        <f>HYPERLINK("http://www.rosaceae.org/Prunus/Prunus_persica/p.persica_gdr_reftransV1_0017838","p.persica_gdr_reftransV1_0017838")</f>
        <v>p.persica_gdr_reftransV1_0017838</v>
      </c>
      <c r="B17251" s="2">
        <v>996</v>
      </c>
      <c r="C17251" s="4" t="str">
        <f>HYPERLINK("http://www.uniprot.org/uniprot/M5XH40","M5XH40")</f>
        <v>M5XH40</v>
      </c>
      <c r="D17251" s="2" t="s">
        <v>13544</v>
      </c>
      <c r="E17251" s="3">
        <v>8.9000000000000001E-41</v>
      </c>
      <c r="F17251" s="2">
        <v>379</v>
      </c>
      <c r="G17251" s="2">
        <v>97</v>
      </c>
      <c r="H17251" s="2">
        <v>78</v>
      </c>
      <c r="I17251" s="2">
        <v>126</v>
      </c>
      <c r="J17251" s="2">
        <v>359</v>
      </c>
      <c r="K17251" s="2">
        <v>1</v>
      </c>
      <c r="L17251" s="2">
        <v>78</v>
      </c>
    </row>
    <row r="17252" spans="1:12" x14ac:dyDescent="0.25">
      <c r="A17252" s="4" t="str">
        <f>HYPERLINK("http://www.rosaceae.org/Prunus/Prunus_persica/p.persica_gdr_reftransV1_0019238","p.persica_gdr_reftransV1_0019238")</f>
        <v>p.persica_gdr_reftransV1_0019238</v>
      </c>
      <c r="B17252" s="2">
        <v>933</v>
      </c>
      <c r="C17252" s="4" t="str">
        <f>HYPERLINK("http://www.uniprot.org/uniprot/M5W0R7","M5W0R7")</f>
        <v>M5W0R7</v>
      </c>
      <c r="D17252" s="2" t="s">
        <v>13545</v>
      </c>
      <c r="E17252" s="3">
        <v>3.0199999999999998E-76</v>
      </c>
      <c r="F17252" s="2">
        <v>614</v>
      </c>
      <c r="G17252" s="2">
        <v>100</v>
      </c>
      <c r="H17252" s="2">
        <v>122</v>
      </c>
      <c r="I17252" s="2">
        <v>68</v>
      </c>
      <c r="J17252" s="2">
        <v>433</v>
      </c>
      <c r="K17252" s="2">
        <v>1</v>
      </c>
      <c r="L17252" s="2">
        <v>122</v>
      </c>
    </row>
    <row r="17253" spans="1:12" x14ac:dyDescent="0.25">
      <c r="A17253" s="4" t="str">
        <f>HYPERLINK("http://www.rosaceae.org/Prunus/Prunus_persica/p.persica_gdr_reftransV1_0019938","p.persica_gdr_reftransV1_0019938")</f>
        <v>p.persica_gdr_reftransV1_0019938</v>
      </c>
      <c r="B17253" s="2">
        <v>822</v>
      </c>
      <c r="C17253" s="4" t="str">
        <f>HYPERLINK("http://www.uniprot.org/uniprot/M5WC25","M5WC25")</f>
        <v>M5WC25</v>
      </c>
      <c r="D17253" s="2" t="s">
        <v>13546</v>
      </c>
      <c r="E17253" s="3">
        <v>1.39E-156</v>
      </c>
      <c r="F17253" s="2">
        <v>1169</v>
      </c>
      <c r="G17253" s="2">
        <v>87</v>
      </c>
      <c r="H17253" s="2">
        <v>266</v>
      </c>
      <c r="I17253" s="2">
        <v>5</v>
      </c>
      <c r="J17253" s="2">
        <v>802</v>
      </c>
      <c r="K17253" s="2">
        <v>86</v>
      </c>
      <c r="L17253" s="2">
        <v>347</v>
      </c>
    </row>
    <row r="17254" spans="1:12" x14ac:dyDescent="0.25">
      <c r="A17254" s="4" t="str">
        <f>HYPERLINK("http://www.rosaceae.org/Prunus/Prunus_persica/p.persica_gdr_reftransV1_0020638","p.persica_gdr_reftransV1_0020638")</f>
        <v>p.persica_gdr_reftransV1_0020638</v>
      </c>
      <c r="B17254" s="2">
        <v>2640</v>
      </c>
      <c r="C17254" s="4" t="str">
        <f>HYPERLINK("http://www.uniprot.org/uniprot/W9RC90","W9RC90")</f>
        <v>W9RC90</v>
      </c>
      <c r="D17254" s="2" t="s">
        <v>13547</v>
      </c>
      <c r="E17254" s="3">
        <v>8.4199999999999994E-163</v>
      </c>
      <c r="F17254" s="2">
        <v>1279</v>
      </c>
      <c r="G17254" s="2">
        <v>73</v>
      </c>
      <c r="H17254" s="2">
        <v>371</v>
      </c>
      <c r="I17254" s="2">
        <v>235</v>
      </c>
      <c r="J17254" s="2">
        <v>1284</v>
      </c>
      <c r="K17254" s="2">
        <v>54</v>
      </c>
      <c r="L17254" s="2">
        <v>418</v>
      </c>
    </row>
    <row r="17255" spans="1:12" x14ac:dyDescent="0.25">
      <c r="A17255" s="4" t="str">
        <f>HYPERLINK("http://www.rosaceae.org/Prunus/Prunus_persica/p.persica_gdr_reftransV1_0020988","p.persica_gdr_reftransV1_0020988")</f>
        <v>p.persica_gdr_reftransV1_0020988</v>
      </c>
      <c r="B17255" s="2">
        <v>3137</v>
      </c>
      <c r="C17255" s="4" t="str">
        <f>HYPERLINK("http://www.uniprot.org/uniprot/M5XRV7","M5XRV7")</f>
        <v>M5XRV7</v>
      </c>
      <c r="D17255" s="2" t="s">
        <v>13548</v>
      </c>
      <c r="E17255" s="3">
        <v>0</v>
      </c>
      <c r="F17255" s="2">
        <v>3085</v>
      </c>
      <c r="G17255" s="2">
        <v>93</v>
      </c>
      <c r="H17255" s="2">
        <v>634</v>
      </c>
      <c r="I17255" s="2">
        <v>609</v>
      </c>
      <c r="J17255" s="2">
        <v>2510</v>
      </c>
      <c r="K17255" s="2">
        <v>1</v>
      </c>
      <c r="L17255" s="2">
        <v>590</v>
      </c>
    </row>
    <row r="17256" spans="1:12" x14ac:dyDescent="0.25">
      <c r="A17256" s="4" t="str">
        <f>HYPERLINK("http://www.rosaceae.org/Prunus/Prunus_persica/p.persica_gdr_reftransV1_0024138","p.persica_gdr_reftransV1_0024138")</f>
        <v>p.persica_gdr_reftransV1_0024138</v>
      </c>
      <c r="B17256" s="2">
        <v>3620</v>
      </c>
      <c r="C17256" s="4" t="str">
        <f>HYPERLINK("http://www.uniprot.org/uniprot/M5W757","M5W757")</f>
        <v>M5W757</v>
      </c>
      <c r="D17256" s="2" t="s">
        <v>3070</v>
      </c>
      <c r="E17256" s="3">
        <v>0</v>
      </c>
      <c r="F17256" s="2">
        <v>3930</v>
      </c>
      <c r="G17256" s="2">
        <v>100</v>
      </c>
      <c r="H17256" s="2">
        <v>780</v>
      </c>
      <c r="I17256" s="2">
        <v>725</v>
      </c>
      <c r="J17256" s="2">
        <v>3064</v>
      </c>
      <c r="K17256" s="2">
        <v>193</v>
      </c>
      <c r="L17256" s="2">
        <v>972</v>
      </c>
    </row>
    <row r="17257" spans="1:12" x14ac:dyDescent="0.25">
      <c r="A17257" s="4" t="str">
        <f>HYPERLINK("http://www.rosaceae.org/Prunus/Prunus_persica/p.persica_gdr_reftransV1_0025188","p.persica_gdr_reftransV1_0025188")</f>
        <v>p.persica_gdr_reftransV1_0025188</v>
      </c>
      <c r="B17257" s="2">
        <v>2225</v>
      </c>
      <c r="C17257" s="4" t="str">
        <f>HYPERLINK("http://www.uniprot.org/uniprot/M5Y006","M5Y006")</f>
        <v>M5Y006</v>
      </c>
      <c r="D17257" s="2" t="s">
        <v>13549</v>
      </c>
      <c r="E17257" s="3">
        <v>1.5900000000000001E-96</v>
      </c>
      <c r="F17257" s="2">
        <v>796</v>
      </c>
      <c r="G17257" s="2">
        <v>100</v>
      </c>
      <c r="H17257" s="2">
        <v>148</v>
      </c>
      <c r="I17257" s="2">
        <v>324</v>
      </c>
      <c r="J17257" s="2">
        <v>767</v>
      </c>
      <c r="K17257" s="2">
        <v>1</v>
      </c>
      <c r="L17257" s="2">
        <v>148</v>
      </c>
    </row>
    <row r="17258" spans="1:12" x14ac:dyDescent="0.25">
      <c r="A17258" s="4" t="str">
        <f>HYPERLINK("http://www.rosaceae.org/Prunus/Prunus_persica/p.persica_gdr_reftransV1_0025888","p.persica_gdr_reftransV1_0025888")</f>
        <v>p.persica_gdr_reftransV1_0025888</v>
      </c>
      <c r="B17258" s="2">
        <v>2680</v>
      </c>
      <c r="C17258" s="4" t="str">
        <f>HYPERLINK("http://www.uniprot.org/uniprot/M5WAD9","M5WAD9")</f>
        <v>M5WAD9</v>
      </c>
      <c r="D17258" s="2" t="s">
        <v>13550</v>
      </c>
      <c r="E17258" s="3">
        <v>0</v>
      </c>
      <c r="F17258" s="2">
        <v>3023</v>
      </c>
      <c r="G17258" s="2">
        <v>100</v>
      </c>
      <c r="H17258" s="2">
        <v>564</v>
      </c>
      <c r="I17258" s="2">
        <v>627</v>
      </c>
      <c r="J17258" s="2">
        <v>2318</v>
      </c>
      <c r="K17258" s="2">
        <v>1</v>
      </c>
      <c r="L17258" s="2">
        <v>564</v>
      </c>
    </row>
    <row r="17259" spans="1:12" x14ac:dyDescent="0.25">
      <c r="A17259" s="4" t="str">
        <f>HYPERLINK("http://www.rosaceae.org/Prunus/Prunus_persica/p.persica_gdr_reftransV1_0026588","p.persica_gdr_reftransV1_0026588")</f>
        <v>p.persica_gdr_reftransV1_0026588</v>
      </c>
      <c r="B17259" s="2">
        <v>2887</v>
      </c>
      <c r="C17259" s="4" t="str">
        <f>HYPERLINK("http://www.uniprot.org/uniprot/M5X973","M5X973")</f>
        <v>M5X973</v>
      </c>
      <c r="D17259" s="2" t="s">
        <v>7528</v>
      </c>
      <c r="E17259" s="3">
        <v>0</v>
      </c>
      <c r="F17259" s="2">
        <v>1630</v>
      </c>
      <c r="G17259" s="2">
        <v>77</v>
      </c>
      <c r="H17259" s="2">
        <v>447</v>
      </c>
      <c r="I17259" s="2">
        <v>1446</v>
      </c>
      <c r="J17259" s="2">
        <v>2786</v>
      </c>
      <c r="K17259" s="2">
        <v>1</v>
      </c>
      <c r="L17259" s="2">
        <v>400</v>
      </c>
    </row>
    <row r="17260" spans="1:12" x14ac:dyDescent="0.25">
      <c r="A17260" s="4" t="str">
        <f>HYPERLINK("http://www.rosaceae.org/Prunus/Prunus_persica/p.persica_gdr_reftransV1_0027288","p.persica_gdr_reftransV1_0027288")</f>
        <v>p.persica_gdr_reftransV1_0027288</v>
      </c>
      <c r="B17260" s="2">
        <v>2355</v>
      </c>
      <c r="C17260" s="4" t="str">
        <f>HYPERLINK("http://www.uniprot.org/uniprot/M5XJU7","M5XJU7")</f>
        <v>M5XJU7</v>
      </c>
      <c r="D17260" s="2" t="s">
        <v>13551</v>
      </c>
      <c r="E17260" s="3">
        <v>0</v>
      </c>
      <c r="F17260" s="2">
        <v>2031</v>
      </c>
      <c r="G17260" s="2">
        <v>100</v>
      </c>
      <c r="H17260" s="2">
        <v>396</v>
      </c>
      <c r="I17260" s="2">
        <v>278</v>
      </c>
      <c r="J17260" s="2">
        <v>1465</v>
      </c>
      <c r="K17260" s="2">
        <v>1</v>
      </c>
      <c r="L17260" s="2">
        <v>396</v>
      </c>
    </row>
    <row r="17261" spans="1:12" x14ac:dyDescent="0.25">
      <c r="A17261" s="4" t="str">
        <f>HYPERLINK("http://www.rosaceae.org/Prunus/Prunus_persica/p.persica_gdr_reftransV1_0029388","p.persica_gdr_reftransV1_0029388")</f>
        <v>p.persica_gdr_reftransV1_0029388</v>
      </c>
      <c r="B17261" s="2">
        <v>2698</v>
      </c>
      <c r="C17261" s="4" t="str">
        <f>HYPERLINK("http://www.uniprot.org/uniprot/M5X6I8","M5X6I8")</f>
        <v>M5X6I8</v>
      </c>
      <c r="D17261" s="2" t="s">
        <v>13552</v>
      </c>
      <c r="E17261" s="3">
        <v>6.4799999999999998E-132</v>
      </c>
      <c r="F17261" s="2">
        <v>1043</v>
      </c>
      <c r="G17261" s="2">
        <v>100</v>
      </c>
      <c r="H17261" s="2">
        <v>202</v>
      </c>
      <c r="I17261" s="2">
        <v>570</v>
      </c>
      <c r="J17261" s="2">
        <v>1175</v>
      </c>
      <c r="K17261" s="2">
        <v>1</v>
      </c>
      <c r="L17261" s="2">
        <v>202</v>
      </c>
    </row>
    <row r="17262" spans="1:12" x14ac:dyDescent="0.25">
      <c r="A17262" s="4" t="str">
        <f>HYPERLINK("http://www.rosaceae.org/Prunus/Prunus_persica/p.persica_gdr_reftransV1_0031488","p.persica_gdr_reftransV1_0031488")</f>
        <v>p.persica_gdr_reftransV1_0031488</v>
      </c>
      <c r="B17262" s="2">
        <v>3560</v>
      </c>
      <c r="C17262" s="4" t="str">
        <f>HYPERLINK("http://www.uniprot.org/uniprot/M5WZY3","M5WZY3")</f>
        <v>M5WZY3</v>
      </c>
      <c r="D17262" s="2" t="s">
        <v>8966</v>
      </c>
      <c r="E17262" s="3">
        <v>0</v>
      </c>
      <c r="F17262" s="2">
        <v>2083</v>
      </c>
      <c r="G17262" s="2">
        <v>100</v>
      </c>
      <c r="H17262" s="2">
        <v>401</v>
      </c>
      <c r="I17262" s="2">
        <v>530</v>
      </c>
      <c r="J17262" s="2">
        <v>1732</v>
      </c>
      <c r="K17262" s="2">
        <v>1</v>
      </c>
      <c r="L17262" s="2">
        <v>401</v>
      </c>
    </row>
    <row r="17263" spans="1:12" x14ac:dyDescent="0.25">
      <c r="A17263" s="4" t="str">
        <f>HYPERLINK("http://www.rosaceae.org/Prunus/Prunus_persica/p.persica_gdr_reftransV1_0031838","p.persica_gdr_reftransV1_0031838")</f>
        <v>p.persica_gdr_reftransV1_0031838</v>
      </c>
      <c r="B17263" s="2">
        <v>1434</v>
      </c>
      <c r="C17263" s="4" t="str">
        <f>HYPERLINK("http://www.uniprot.org/uniprot/M5X7W9","M5X7W9")</f>
        <v>M5X7W9</v>
      </c>
      <c r="D17263" s="2" t="s">
        <v>1124</v>
      </c>
      <c r="E17263" s="3">
        <v>1.7400000000000001E-93</v>
      </c>
      <c r="F17263" s="2">
        <v>789</v>
      </c>
      <c r="G17263" s="2">
        <v>99</v>
      </c>
      <c r="H17263" s="2">
        <v>195</v>
      </c>
      <c r="I17263" s="2">
        <v>230</v>
      </c>
      <c r="J17263" s="2">
        <v>814</v>
      </c>
      <c r="K17263" s="2">
        <v>3</v>
      </c>
      <c r="L17263" s="2">
        <v>197</v>
      </c>
    </row>
    <row r="17264" spans="1:12" x14ac:dyDescent="0.25">
      <c r="A17264" s="4" t="str">
        <f>HYPERLINK("http://www.rosaceae.org/Prunus/Prunus_persica/p.persica_gdr_reftransV1_0032188","p.persica_gdr_reftransV1_0032188")</f>
        <v>p.persica_gdr_reftransV1_0032188</v>
      </c>
      <c r="B17264" s="2">
        <v>1347</v>
      </c>
      <c r="C17264" s="4" t="str">
        <f>HYPERLINK("http://www.uniprot.org/uniprot/M5VMI6","M5VMI6")</f>
        <v>M5VMI6</v>
      </c>
      <c r="D17264" s="2" t="s">
        <v>13553</v>
      </c>
      <c r="E17264" s="3">
        <v>2.0099999999999999E-157</v>
      </c>
      <c r="F17264" s="2">
        <v>1183</v>
      </c>
      <c r="G17264" s="2">
        <v>100</v>
      </c>
      <c r="H17264" s="2">
        <v>293</v>
      </c>
      <c r="I17264" s="2">
        <v>243</v>
      </c>
      <c r="J17264" s="2">
        <v>1121</v>
      </c>
      <c r="K17264" s="2">
        <v>22</v>
      </c>
      <c r="L17264" s="2">
        <v>314</v>
      </c>
    </row>
    <row r="17265" spans="1:12" x14ac:dyDescent="0.25">
      <c r="A17265" s="4" t="str">
        <f>HYPERLINK("http://www.rosaceae.org/Prunus/Prunus_persica/p.persica_gdr_reftransV1_0033238","p.persica_gdr_reftransV1_0033238")</f>
        <v>p.persica_gdr_reftransV1_0033238</v>
      </c>
      <c r="B17265" s="2">
        <v>1598</v>
      </c>
      <c r="C17265" s="4" t="str">
        <f>HYPERLINK("http://www.uniprot.org/uniprot/M5WIT6","M5WIT6")</f>
        <v>M5WIT6</v>
      </c>
      <c r="D17265" s="2" t="s">
        <v>13554</v>
      </c>
      <c r="E17265" s="3">
        <v>0</v>
      </c>
      <c r="F17265" s="2">
        <v>1638</v>
      </c>
      <c r="G17265" s="2">
        <v>100</v>
      </c>
      <c r="H17265" s="2">
        <v>331</v>
      </c>
      <c r="I17265" s="2">
        <v>243</v>
      </c>
      <c r="J17265" s="2">
        <v>1235</v>
      </c>
      <c r="K17265" s="2">
        <v>1</v>
      </c>
      <c r="L17265" s="2">
        <v>331</v>
      </c>
    </row>
    <row r="17266" spans="1:12" x14ac:dyDescent="0.25">
      <c r="A17266" s="4" t="str">
        <f>HYPERLINK("http://www.rosaceae.org/Prunus/Prunus_persica/p.persica_gdr_reftransV1_0033588","p.persica_gdr_reftransV1_0033588")</f>
        <v>p.persica_gdr_reftransV1_0033588</v>
      </c>
      <c r="B17266" s="2">
        <v>2444</v>
      </c>
      <c r="C17266" s="4" t="str">
        <f>HYPERLINK("http://www.uniprot.org/uniprot/M5WG38","M5WG38")</f>
        <v>M5WG38</v>
      </c>
      <c r="D17266" s="2" t="s">
        <v>13555</v>
      </c>
      <c r="E17266" s="3">
        <v>1.1800000000000001E-127</v>
      </c>
      <c r="F17266" s="2">
        <v>1020</v>
      </c>
      <c r="G17266" s="2">
        <v>100</v>
      </c>
      <c r="H17266" s="2">
        <v>190</v>
      </c>
      <c r="I17266" s="2">
        <v>455</v>
      </c>
      <c r="J17266" s="2">
        <v>1024</v>
      </c>
      <c r="K17266" s="2">
        <v>148</v>
      </c>
      <c r="L17266" s="2">
        <v>337</v>
      </c>
    </row>
    <row r="17267" spans="1:12" x14ac:dyDescent="0.25">
      <c r="A17267" s="4" t="str">
        <f>HYPERLINK("http://www.rosaceae.org/Prunus/Prunus_persica/p.persica_gdr_reftransV1_0033938","p.persica_gdr_reftransV1_0033938")</f>
        <v>p.persica_gdr_reftransV1_0033938</v>
      </c>
      <c r="B17267" s="2">
        <v>953</v>
      </c>
      <c r="C17267" s="4" t="str">
        <f>HYPERLINK("http://www.uniprot.org/uniprot/M5X7R2","M5X7R2")</f>
        <v>M5X7R2</v>
      </c>
      <c r="D17267" s="2" t="s">
        <v>5715</v>
      </c>
      <c r="E17267" s="3">
        <v>3.6299999999999999E-157</v>
      </c>
      <c r="F17267" s="2">
        <v>1252</v>
      </c>
      <c r="G17267" s="2">
        <v>98</v>
      </c>
      <c r="H17267" s="2">
        <v>255</v>
      </c>
      <c r="I17267" s="2">
        <v>78</v>
      </c>
      <c r="J17267" s="2">
        <v>842</v>
      </c>
      <c r="K17267" s="2">
        <v>1</v>
      </c>
      <c r="L17267" s="2">
        <v>255</v>
      </c>
    </row>
    <row r="17268" spans="1:12" x14ac:dyDescent="0.25">
      <c r="A17268" s="4" t="str">
        <f>HYPERLINK("http://www.rosaceae.org/Prunus/Prunus_persica/p.persica_gdr_reftransV1_0034288","p.persica_gdr_reftransV1_0034288")</f>
        <v>p.persica_gdr_reftransV1_0034288</v>
      </c>
      <c r="B17268" s="2">
        <v>3383</v>
      </c>
      <c r="C17268" s="4" t="str">
        <f>HYPERLINK("http://www.uniprot.org/uniprot/M5VZF1","M5VZF1")</f>
        <v>M5VZF1</v>
      </c>
      <c r="D17268" s="2" t="s">
        <v>4119</v>
      </c>
      <c r="E17268" s="3">
        <v>1.6199999999999999E-92</v>
      </c>
      <c r="F17268" s="2">
        <v>792</v>
      </c>
      <c r="G17268" s="2">
        <v>100</v>
      </c>
      <c r="H17268" s="2">
        <v>186</v>
      </c>
      <c r="I17268" s="2">
        <v>2698</v>
      </c>
      <c r="J17268" s="2">
        <v>3255</v>
      </c>
      <c r="K17268" s="2">
        <v>1</v>
      </c>
      <c r="L17268" s="2">
        <v>186</v>
      </c>
    </row>
    <row r="17269" spans="1:12" x14ac:dyDescent="0.25">
      <c r="A17269" s="4" t="str">
        <f>HYPERLINK("http://www.rosaceae.org/Prunus/Prunus_persica/p.persica_gdr_reftransV1_0035338","p.persica_gdr_reftransV1_0035338")</f>
        <v>p.persica_gdr_reftransV1_0035338</v>
      </c>
      <c r="B17269" s="2">
        <v>2100</v>
      </c>
      <c r="C17269" s="4" t="str">
        <f>HYPERLINK("http://www.uniprot.org/uniprot/M5W6C0","M5W6C0")</f>
        <v>M5W6C0</v>
      </c>
      <c r="D17269" s="2" t="s">
        <v>371</v>
      </c>
      <c r="E17269" s="3">
        <v>1.1400000000000001E-177</v>
      </c>
      <c r="F17269" s="2">
        <v>1368</v>
      </c>
      <c r="G17269" s="2">
        <v>100</v>
      </c>
      <c r="H17269" s="2">
        <v>251</v>
      </c>
      <c r="I17269" s="2">
        <v>1347</v>
      </c>
      <c r="J17269" s="2">
        <v>2099</v>
      </c>
      <c r="K17269" s="2">
        <v>320</v>
      </c>
      <c r="L17269" s="2">
        <v>570</v>
      </c>
    </row>
    <row r="17270" spans="1:12" x14ac:dyDescent="0.25">
      <c r="A17270" s="4" t="str">
        <f>HYPERLINK("http://www.rosaceae.org/Prunus/Prunus_persica/p.persica_gdr_reftransV1_0036738","p.persica_gdr_reftransV1_0036738")</f>
        <v>p.persica_gdr_reftransV1_0036738</v>
      </c>
      <c r="B17270" s="2">
        <v>1525</v>
      </c>
      <c r="C17270" s="4" t="str">
        <f>HYPERLINK("http://www.uniprot.org/uniprot/M5WSE1","M5WSE1")</f>
        <v>M5WSE1</v>
      </c>
      <c r="D17270" s="2" t="s">
        <v>13556</v>
      </c>
      <c r="E17270" s="3">
        <v>0</v>
      </c>
      <c r="F17270" s="2">
        <v>1764</v>
      </c>
      <c r="G17270" s="2">
        <v>100</v>
      </c>
      <c r="H17270" s="2">
        <v>380</v>
      </c>
      <c r="I17270" s="2">
        <v>116</v>
      </c>
      <c r="J17270" s="2">
        <v>1255</v>
      </c>
      <c r="K17270" s="2">
        <v>1</v>
      </c>
      <c r="L17270" s="2">
        <v>380</v>
      </c>
    </row>
    <row r="17271" spans="1:12" x14ac:dyDescent="0.25">
      <c r="A17271" s="4" t="str">
        <f>HYPERLINK("http://www.rosaceae.org/Prunus/Prunus_persica/p.persica_gdr_reftransV1_0039188","p.persica_gdr_reftransV1_0039188")</f>
        <v>p.persica_gdr_reftransV1_0039188</v>
      </c>
      <c r="B17271" s="2">
        <v>575</v>
      </c>
      <c r="C17271" s="4" t="str">
        <f>HYPERLINK("http://www.uniprot.org/uniprot/M5WAI4","M5WAI4")</f>
        <v>M5WAI4</v>
      </c>
      <c r="D17271" s="2" t="s">
        <v>13557</v>
      </c>
      <c r="E17271" s="3">
        <v>2.2799999999999999E-47</v>
      </c>
      <c r="F17271" s="2">
        <v>406</v>
      </c>
      <c r="G17271" s="2">
        <v>100</v>
      </c>
      <c r="H17271" s="2">
        <v>77</v>
      </c>
      <c r="I17271" s="2">
        <v>240</v>
      </c>
      <c r="J17271" s="2">
        <v>470</v>
      </c>
      <c r="K17271" s="2">
        <v>1</v>
      </c>
      <c r="L17271" s="2">
        <v>77</v>
      </c>
    </row>
    <row r="17272" spans="1:12" x14ac:dyDescent="0.25">
      <c r="A17272" s="4" t="str">
        <f>HYPERLINK("http://www.rosaceae.org/Prunus/Prunus_persica/p.persica_gdr_reftransV1_0040238","p.persica_gdr_reftransV1_0040238")</f>
        <v>p.persica_gdr_reftransV1_0040238</v>
      </c>
      <c r="B17272" s="2">
        <v>2449</v>
      </c>
      <c r="C17272" s="4" t="str">
        <f>HYPERLINK("http://www.uniprot.org/uniprot/M5VJJ0","M5VJJ0")</f>
        <v>M5VJJ0</v>
      </c>
      <c r="D17272" s="2" t="s">
        <v>13558</v>
      </c>
      <c r="E17272" s="3">
        <v>0</v>
      </c>
      <c r="F17272" s="2">
        <v>2239</v>
      </c>
      <c r="G17272" s="2">
        <v>97</v>
      </c>
      <c r="H17272" s="2">
        <v>555</v>
      </c>
      <c r="I17272" s="2">
        <v>431</v>
      </c>
      <c r="J17272" s="2">
        <v>2068</v>
      </c>
      <c r="K17272" s="2">
        <v>497</v>
      </c>
      <c r="L17272" s="2">
        <v>1051</v>
      </c>
    </row>
    <row r="17273" spans="1:12" x14ac:dyDescent="0.25">
      <c r="A17273" s="4" t="str">
        <f>HYPERLINK("http://www.rosaceae.org/Prunus/Prunus_persica/p.persica_gdr_reftransV1_0041288","p.persica_gdr_reftransV1_0041288")</f>
        <v>p.persica_gdr_reftransV1_0041288</v>
      </c>
      <c r="B17273" s="2">
        <v>1081</v>
      </c>
      <c r="C17273" s="4" t="str">
        <f>HYPERLINK("http://www.uniprot.org/uniprot/A0A0A0KUY5","A0A0A0KUY5")</f>
        <v>A0A0A0KUY5</v>
      </c>
      <c r="D17273" s="2" t="s">
        <v>13559</v>
      </c>
      <c r="E17273" s="3">
        <v>0</v>
      </c>
      <c r="F17273" s="2">
        <v>1404</v>
      </c>
      <c r="G17273" s="2">
        <v>78</v>
      </c>
      <c r="H17273" s="2">
        <v>316</v>
      </c>
      <c r="I17273" s="2">
        <v>2</v>
      </c>
      <c r="J17273" s="2">
        <v>949</v>
      </c>
      <c r="K17273" s="2">
        <v>227</v>
      </c>
      <c r="L17273" s="2">
        <v>542</v>
      </c>
    </row>
    <row r="17274" spans="1:12" x14ac:dyDescent="0.25">
      <c r="A17274" s="4" t="str">
        <f>HYPERLINK("http://www.rosaceae.org/Prunus/Prunus_persica/p.persica_gdr_reftransV1_0041988","p.persica_gdr_reftransV1_0041988")</f>
        <v>p.persica_gdr_reftransV1_0041988</v>
      </c>
      <c r="B17274" s="2">
        <v>663</v>
      </c>
      <c r="C17274" s="4" t="str">
        <f>HYPERLINK("http://www.uniprot.org/uniprot/M5WH10","M5WH10")</f>
        <v>M5WH10</v>
      </c>
      <c r="D17274" s="2" t="s">
        <v>13560</v>
      </c>
      <c r="E17274" s="3">
        <v>5.34E-128</v>
      </c>
      <c r="F17274" s="2">
        <v>962</v>
      </c>
      <c r="G17274" s="2">
        <v>100</v>
      </c>
      <c r="H17274" s="2">
        <v>187</v>
      </c>
      <c r="I17274" s="2">
        <v>102</v>
      </c>
      <c r="J17274" s="2">
        <v>662</v>
      </c>
      <c r="K17274" s="2">
        <v>1</v>
      </c>
      <c r="L17274" s="2">
        <v>187</v>
      </c>
    </row>
    <row r="17275" spans="1:12" x14ac:dyDescent="0.25">
      <c r="A17275" s="4" t="str">
        <f>HYPERLINK("http://www.rosaceae.org/Prunus/Prunus_persica/p.persica_gdr_reftransV1_0042688","p.persica_gdr_reftransV1_0042688")</f>
        <v>p.persica_gdr_reftransV1_0042688</v>
      </c>
      <c r="B17275" s="2">
        <v>2112</v>
      </c>
      <c r="C17275" s="4" t="str">
        <f>HYPERLINK("http://www.uniprot.org/uniprot/M5WIA1","M5WIA1")</f>
        <v>M5WIA1</v>
      </c>
      <c r="D17275" s="2" t="s">
        <v>4055</v>
      </c>
      <c r="E17275" s="3">
        <v>7.5399999999999995E-104</v>
      </c>
      <c r="F17275" s="2">
        <v>857</v>
      </c>
      <c r="G17275" s="2">
        <v>100</v>
      </c>
      <c r="H17275" s="2">
        <v>221</v>
      </c>
      <c r="I17275" s="2">
        <v>111</v>
      </c>
      <c r="J17275" s="2">
        <v>773</v>
      </c>
      <c r="K17275" s="2">
        <v>50</v>
      </c>
      <c r="L17275" s="2">
        <v>270</v>
      </c>
    </row>
    <row r="17276" spans="1:12" x14ac:dyDescent="0.25">
      <c r="A17276" s="4" t="str">
        <f>HYPERLINK("http://www.rosaceae.org/Prunus/Prunus_persica/p.persica_gdr_reftransV1_0043038","p.persica_gdr_reftransV1_0043038")</f>
        <v>p.persica_gdr_reftransV1_0043038</v>
      </c>
      <c r="B17276" s="2">
        <v>686</v>
      </c>
      <c r="C17276" s="4" t="str">
        <f>HYPERLINK("http://www.uniprot.org/uniprot/M5XPK2","M5XPK2")</f>
        <v>M5XPK2</v>
      </c>
      <c r="D17276" s="2" t="s">
        <v>13561</v>
      </c>
      <c r="E17276" s="3">
        <v>1.1500000000000001E-11</v>
      </c>
      <c r="F17276" s="2">
        <v>166</v>
      </c>
      <c r="G17276" s="2">
        <v>100</v>
      </c>
      <c r="H17276" s="2">
        <v>32</v>
      </c>
      <c r="I17276" s="2">
        <v>340</v>
      </c>
      <c r="J17276" s="2">
        <v>435</v>
      </c>
      <c r="K17276" s="2">
        <v>65</v>
      </c>
      <c r="L17276" s="2">
        <v>96</v>
      </c>
    </row>
    <row r="17277" spans="1:12" x14ac:dyDescent="0.25">
      <c r="A17277" s="4" t="str">
        <f>HYPERLINK("http://www.rosaceae.org/Prunus/Prunus_persica/p.persica_gdr_reftransV1_0043388","p.persica_gdr_reftransV1_0043388")</f>
        <v>p.persica_gdr_reftransV1_0043388</v>
      </c>
      <c r="B17277" s="2">
        <v>605</v>
      </c>
      <c r="C17277" s="4" t="str">
        <f>HYPERLINK("http://www.uniprot.org/uniprot/M5WRJ9","M5WRJ9")</f>
        <v>M5WRJ9</v>
      </c>
      <c r="D17277" s="2" t="s">
        <v>13562</v>
      </c>
      <c r="E17277" s="3">
        <v>2.7900000000000001E-93</v>
      </c>
      <c r="F17277" s="2">
        <v>718</v>
      </c>
      <c r="G17277" s="2">
        <v>100</v>
      </c>
      <c r="H17277" s="2">
        <v>151</v>
      </c>
      <c r="I17277" s="2">
        <v>36</v>
      </c>
      <c r="J17277" s="2">
        <v>488</v>
      </c>
      <c r="K17277" s="2">
        <v>1</v>
      </c>
      <c r="L17277" s="2">
        <v>151</v>
      </c>
    </row>
    <row r="17278" spans="1:12" x14ac:dyDescent="0.25">
      <c r="A17278" s="4" t="str">
        <f>HYPERLINK("http://www.rosaceae.org/Prunus/Prunus_persica/p.persica_gdr_reftransV1_0044088","p.persica_gdr_reftransV1_0044088")</f>
        <v>p.persica_gdr_reftransV1_0044088</v>
      </c>
      <c r="B17278" s="2">
        <v>2016</v>
      </c>
      <c r="C17278" s="4" t="str">
        <f>HYPERLINK("http://www.uniprot.org/uniprot/M5WZW8","M5WZW8")</f>
        <v>M5WZW8</v>
      </c>
      <c r="D17278" s="2" t="s">
        <v>11872</v>
      </c>
      <c r="E17278" s="3">
        <v>1.2499999999999999E-144</v>
      </c>
      <c r="F17278" s="2">
        <v>1125</v>
      </c>
      <c r="G17278" s="2">
        <v>100</v>
      </c>
      <c r="H17278" s="2">
        <v>209</v>
      </c>
      <c r="I17278" s="2">
        <v>324</v>
      </c>
      <c r="J17278" s="2">
        <v>950</v>
      </c>
      <c r="K17278" s="2">
        <v>161</v>
      </c>
      <c r="L17278" s="2">
        <v>369</v>
      </c>
    </row>
    <row r="17279" spans="1:12" x14ac:dyDescent="0.25">
      <c r="A17279" s="4" t="str">
        <f>HYPERLINK("http://www.rosaceae.org/Prunus/Prunus_persica/p.persica_gdr_reftransV1_0044438","p.persica_gdr_reftransV1_0044438")</f>
        <v>p.persica_gdr_reftransV1_0044438</v>
      </c>
      <c r="B17279" s="2">
        <v>883</v>
      </c>
      <c r="C17279" s="4" t="str">
        <f>HYPERLINK("http://www.uniprot.org/uniprot/M5VYX9","M5VYX9")</f>
        <v>M5VYX9</v>
      </c>
      <c r="D17279" s="2" t="s">
        <v>13563</v>
      </c>
      <c r="E17279" s="3">
        <v>3.79E-152</v>
      </c>
      <c r="F17279" s="2">
        <v>1136</v>
      </c>
      <c r="G17279" s="2">
        <v>100</v>
      </c>
      <c r="H17279" s="2">
        <v>210</v>
      </c>
      <c r="I17279" s="2">
        <v>1</v>
      </c>
      <c r="J17279" s="2">
        <v>630</v>
      </c>
      <c r="K17279" s="2">
        <v>142</v>
      </c>
      <c r="L17279" s="2">
        <v>351</v>
      </c>
    </row>
    <row r="17280" spans="1:12" x14ac:dyDescent="0.25">
      <c r="A17280" s="4" t="str">
        <f>HYPERLINK("http://www.rosaceae.org/Prunus/Prunus_persica/p.persica_gdr_reftransV1_0044788","p.persica_gdr_reftransV1_0044788")</f>
        <v>p.persica_gdr_reftransV1_0044788</v>
      </c>
      <c r="B17280" s="2">
        <v>813</v>
      </c>
      <c r="C17280" s="4" t="str">
        <f>HYPERLINK("http://www.uniprot.org/uniprot/M5WR47","M5WR47")</f>
        <v>M5WR47</v>
      </c>
      <c r="D17280" s="2" t="s">
        <v>10991</v>
      </c>
      <c r="E17280" s="3">
        <v>4.3999999999999998E-70</v>
      </c>
      <c r="F17280" s="2">
        <v>573</v>
      </c>
      <c r="G17280" s="2">
        <v>85</v>
      </c>
      <c r="H17280" s="2">
        <v>157</v>
      </c>
      <c r="I17280" s="2">
        <v>56</v>
      </c>
      <c r="J17280" s="2">
        <v>526</v>
      </c>
      <c r="K17280" s="2">
        <v>1</v>
      </c>
      <c r="L17280" s="2">
        <v>144</v>
      </c>
    </row>
    <row r="17281" spans="1:12" x14ac:dyDescent="0.25">
      <c r="A17281" s="4" t="str">
        <f>HYPERLINK("http://www.rosaceae.org/Prunus/Prunus_persica/p.persica_gdr_reftransV1_0045138","p.persica_gdr_reftransV1_0045138")</f>
        <v>p.persica_gdr_reftransV1_0045138</v>
      </c>
      <c r="B17281" s="2">
        <v>2978</v>
      </c>
      <c r="C17281" s="4" t="str">
        <f>HYPERLINK("http://www.uniprot.org/uniprot/M5W9E3","M5W9E3")</f>
        <v>M5W9E3</v>
      </c>
      <c r="D17281" s="2" t="s">
        <v>2967</v>
      </c>
      <c r="E17281" s="3">
        <v>0</v>
      </c>
      <c r="F17281" s="2">
        <v>4376</v>
      </c>
      <c r="G17281" s="2">
        <v>99</v>
      </c>
      <c r="H17281" s="2">
        <v>979</v>
      </c>
      <c r="I17281" s="2">
        <v>42</v>
      </c>
      <c r="J17281" s="2">
        <v>2978</v>
      </c>
      <c r="K17281" s="2">
        <v>125</v>
      </c>
      <c r="L17281" s="2">
        <v>1092</v>
      </c>
    </row>
    <row r="17282" spans="1:12" x14ac:dyDescent="0.25">
      <c r="A17282" s="4" t="str">
        <f>HYPERLINK("http://www.rosaceae.org/Prunus/Prunus_persica/p.persica_gdr_reftransV1_0045488","p.persica_gdr_reftransV1_0045488")</f>
        <v>p.persica_gdr_reftransV1_0045488</v>
      </c>
      <c r="B17282" s="2">
        <v>2960</v>
      </c>
      <c r="C17282" s="4" t="str">
        <f>HYPERLINK("http://www.uniprot.org/uniprot/W9S1B0","W9S1B0")</f>
        <v>W9S1B0</v>
      </c>
      <c r="D17282" s="2" t="s">
        <v>13564</v>
      </c>
      <c r="E17282" s="3">
        <v>0</v>
      </c>
      <c r="F17282" s="2">
        <v>2714</v>
      </c>
      <c r="G17282" s="2">
        <v>61</v>
      </c>
      <c r="H17282" s="2">
        <v>890</v>
      </c>
      <c r="I17282" s="2">
        <v>9</v>
      </c>
      <c r="J17282" s="2">
        <v>2636</v>
      </c>
      <c r="K17282" s="2">
        <v>53</v>
      </c>
      <c r="L17282" s="2">
        <v>897</v>
      </c>
    </row>
    <row r="17283" spans="1:12" x14ac:dyDescent="0.25">
      <c r="A17283" s="4" t="str">
        <f>HYPERLINK("http://www.rosaceae.org/Prunus/Prunus_persica/p.persica_gdr_reftransV1_0045838","p.persica_gdr_reftransV1_0045838")</f>
        <v>p.persica_gdr_reftransV1_0045838</v>
      </c>
      <c r="B17283" s="2">
        <v>2721</v>
      </c>
      <c r="C17283" s="4" t="str">
        <f>HYPERLINK("http://www.uniprot.org/uniprot/M5Y4V1","M5Y4V1")</f>
        <v>M5Y4V1</v>
      </c>
      <c r="D17283" s="2" t="s">
        <v>6984</v>
      </c>
      <c r="E17283" s="3">
        <v>0</v>
      </c>
      <c r="F17283" s="2">
        <v>3301</v>
      </c>
      <c r="G17283" s="2">
        <v>100</v>
      </c>
      <c r="H17283" s="2">
        <v>633</v>
      </c>
      <c r="I17283" s="2">
        <v>255</v>
      </c>
      <c r="J17283" s="2">
        <v>2153</v>
      </c>
      <c r="K17283" s="2">
        <v>1</v>
      </c>
      <c r="L17283" s="2">
        <v>633</v>
      </c>
    </row>
    <row r="17284" spans="1:12" x14ac:dyDescent="0.25">
      <c r="A17284" s="4" t="str">
        <f>HYPERLINK("http://www.rosaceae.org/Prunus/Prunus_persica/p.persica_gdr_reftransV1_0046538","p.persica_gdr_reftransV1_0046538")</f>
        <v>p.persica_gdr_reftransV1_0046538</v>
      </c>
      <c r="B17284" s="2">
        <v>1966</v>
      </c>
      <c r="C17284" s="4" t="str">
        <f>HYPERLINK("http://www.uniprot.org/uniprot/M5XPS8","M5XPS8")</f>
        <v>M5XPS8</v>
      </c>
      <c r="D17284" s="2" t="s">
        <v>13565</v>
      </c>
      <c r="E17284" s="3">
        <v>0</v>
      </c>
      <c r="F17284" s="2">
        <v>2748</v>
      </c>
      <c r="G17284" s="2">
        <v>100</v>
      </c>
      <c r="H17284" s="2">
        <v>536</v>
      </c>
      <c r="I17284" s="2">
        <v>194</v>
      </c>
      <c r="J17284" s="2">
        <v>1801</v>
      </c>
      <c r="K17284" s="2">
        <v>1</v>
      </c>
      <c r="L17284" s="2">
        <v>536</v>
      </c>
    </row>
    <row r="17285" spans="1:12" x14ac:dyDescent="0.25">
      <c r="A17285" s="4" t="str">
        <f>HYPERLINK("http://www.rosaceae.org/Prunus/Prunus_persica/p.persica_gdr_reftransV1_0047238","p.persica_gdr_reftransV1_0047238")</f>
        <v>p.persica_gdr_reftransV1_0047238</v>
      </c>
      <c r="B17285" s="2">
        <v>2449</v>
      </c>
      <c r="C17285" s="4" t="str">
        <f>HYPERLINK("http://www.uniprot.org/uniprot/M5XQ17","M5XQ17")</f>
        <v>M5XQ17</v>
      </c>
      <c r="D17285" s="2" t="s">
        <v>13566</v>
      </c>
      <c r="E17285" s="3">
        <v>0</v>
      </c>
      <c r="F17285" s="2">
        <v>2557</v>
      </c>
      <c r="G17285" s="2">
        <v>100</v>
      </c>
      <c r="H17285" s="2">
        <v>684</v>
      </c>
      <c r="I17285" s="2">
        <v>398</v>
      </c>
      <c r="J17285" s="2">
        <v>2449</v>
      </c>
      <c r="K17285" s="2">
        <v>3</v>
      </c>
      <c r="L17285" s="2">
        <v>686</v>
      </c>
    </row>
    <row r="17286" spans="1:12" x14ac:dyDescent="0.25">
      <c r="A17286" s="4" t="str">
        <f>HYPERLINK("http://www.rosaceae.org/Prunus/Prunus_persica/p.persica_gdr_reftransV1_0047588","p.persica_gdr_reftransV1_0047588")</f>
        <v>p.persica_gdr_reftransV1_0047588</v>
      </c>
      <c r="B17286" s="2">
        <v>423</v>
      </c>
      <c r="C17286" s="4" t="str">
        <f>HYPERLINK("http://www.uniprot.org/uniprot/M5VVX9","M5VVX9")</f>
        <v>M5VVX9</v>
      </c>
      <c r="D17286" s="2" t="s">
        <v>1001</v>
      </c>
      <c r="E17286" s="3">
        <v>6.8700000000000002E-53</v>
      </c>
      <c r="F17286" s="2">
        <v>475</v>
      </c>
      <c r="G17286" s="2">
        <v>100</v>
      </c>
      <c r="H17286" s="2">
        <v>90</v>
      </c>
      <c r="I17286" s="2">
        <v>3</v>
      </c>
      <c r="J17286" s="2">
        <v>272</v>
      </c>
      <c r="K17286" s="2">
        <v>1</v>
      </c>
      <c r="L17286" s="2">
        <v>90</v>
      </c>
    </row>
    <row r="17287" spans="1:12" x14ac:dyDescent="0.25">
      <c r="A17287" s="4" t="str">
        <f>HYPERLINK("http://www.rosaceae.org/Prunus/Prunus_persica/p.persica_gdr_reftransV1_0047938","p.persica_gdr_reftransV1_0047938")</f>
        <v>p.persica_gdr_reftransV1_0047938</v>
      </c>
      <c r="B17287" s="2">
        <v>465</v>
      </c>
      <c r="C17287" s="4" t="str">
        <f>HYPERLINK("http://www.uniprot.org/uniprot/M5WU22","M5WU22")</f>
        <v>M5WU22</v>
      </c>
      <c r="D17287" s="2" t="s">
        <v>12422</v>
      </c>
      <c r="E17287" s="3">
        <v>9.38E-53</v>
      </c>
      <c r="F17287" s="2">
        <v>479</v>
      </c>
      <c r="G17287" s="2">
        <v>100</v>
      </c>
      <c r="H17287" s="2">
        <v>87</v>
      </c>
      <c r="I17287" s="2">
        <v>204</v>
      </c>
      <c r="J17287" s="2">
        <v>464</v>
      </c>
      <c r="K17287" s="2">
        <v>1</v>
      </c>
      <c r="L17287" s="2">
        <v>87</v>
      </c>
    </row>
    <row r="17288" spans="1:12" x14ac:dyDescent="0.25">
      <c r="A17288" s="4" t="str">
        <f>HYPERLINK("http://www.rosaceae.org/Prunus/Prunus_persica/p.persica_gdr_reftransV1_0048288","p.persica_gdr_reftransV1_0048288")</f>
        <v>p.persica_gdr_reftransV1_0048288</v>
      </c>
      <c r="B17288" s="2">
        <v>1708</v>
      </c>
      <c r="C17288" s="4" t="str">
        <f>HYPERLINK("http://www.uniprot.org/uniprot/M5WP00","M5WP00")</f>
        <v>M5WP00</v>
      </c>
      <c r="D17288" s="2" t="s">
        <v>13567</v>
      </c>
      <c r="E17288" s="3">
        <v>0</v>
      </c>
      <c r="F17288" s="2">
        <v>1593</v>
      </c>
      <c r="G17288" s="2">
        <v>100</v>
      </c>
      <c r="H17288" s="2">
        <v>299</v>
      </c>
      <c r="I17288" s="2">
        <v>481</v>
      </c>
      <c r="J17288" s="2">
        <v>1377</v>
      </c>
      <c r="K17288" s="2">
        <v>1</v>
      </c>
      <c r="L17288" s="2">
        <v>299</v>
      </c>
    </row>
    <row r="17289" spans="1:12" x14ac:dyDescent="0.25">
      <c r="A17289" s="4" t="str">
        <f>HYPERLINK("http://www.rosaceae.org/Prunus/Prunus_persica/p.persica_gdr_reftransV1_0048638","p.persica_gdr_reftransV1_0048638")</f>
        <v>p.persica_gdr_reftransV1_0048638</v>
      </c>
      <c r="B17289" s="2">
        <v>2473</v>
      </c>
      <c r="C17289" s="4" t="str">
        <f>HYPERLINK("http://www.uniprot.org/uniprot/M5WEE0","M5WEE0")</f>
        <v>M5WEE0</v>
      </c>
      <c r="D17289" s="2" t="s">
        <v>8856</v>
      </c>
      <c r="E17289" s="3">
        <v>0</v>
      </c>
      <c r="F17289" s="2">
        <v>1864</v>
      </c>
      <c r="G17289" s="2">
        <v>100</v>
      </c>
      <c r="H17289" s="2">
        <v>377</v>
      </c>
      <c r="I17289" s="2">
        <v>1225</v>
      </c>
      <c r="J17289" s="2">
        <v>2355</v>
      </c>
      <c r="K17289" s="2">
        <v>1</v>
      </c>
      <c r="L17289" s="2">
        <v>377</v>
      </c>
    </row>
    <row r="17290" spans="1:12" x14ac:dyDescent="0.25">
      <c r="A17290" s="4" t="str">
        <f>HYPERLINK("http://www.rosaceae.org/Prunus/Prunus_persica/p.persica_gdr_reftransV1_0048988","p.persica_gdr_reftransV1_0048988")</f>
        <v>p.persica_gdr_reftransV1_0048988</v>
      </c>
      <c r="B17290" s="2">
        <v>978</v>
      </c>
      <c r="C17290" s="4" t="str">
        <f>HYPERLINK("http://www.uniprot.org/uniprot/M5X4K5","M5X4K5")</f>
        <v>M5X4K5</v>
      </c>
      <c r="D17290" s="2" t="s">
        <v>13568</v>
      </c>
      <c r="E17290" s="3">
        <v>3.4000000000000003E-91</v>
      </c>
      <c r="F17290" s="2">
        <v>719</v>
      </c>
      <c r="G17290" s="2">
        <v>100</v>
      </c>
      <c r="H17290" s="2">
        <v>173</v>
      </c>
      <c r="I17290" s="2">
        <v>355</v>
      </c>
      <c r="J17290" s="2">
        <v>873</v>
      </c>
      <c r="K17290" s="2">
        <v>1</v>
      </c>
      <c r="L17290" s="2">
        <v>173</v>
      </c>
    </row>
    <row r="17291" spans="1:12" x14ac:dyDescent="0.25">
      <c r="A17291" s="4" t="str">
        <f>HYPERLINK("http://www.rosaceae.org/Prunus/Prunus_persica/p.persica_gdr_reftransV1_0000339","p.persica_gdr_reftransV1_0000339")</f>
        <v>p.persica_gdr_reftransV1_0000339</v>
      </c>
      <c r="B17291" s="2">
        <v>1094</v>
      </c>
      <c r="C17291" s="4" t="str">
        <f>HYPERLINK("http://www.uniprot.org/uniprot/M5W2N4","M5W2N4")</f>
        <v>M5W2N4</v>
      </c>
      <c r="D17291" s="2" t="s">
        <v>13569</v>
      </c>
      <c r="E17291" s="3">
        <v>1.7500000000000001E-165</v>
      </c>
      <c r="F17291" s="2">
        <v>1274</v>
      </c>
      <c r="G17291" s="2">
        <v>100</v>
      </c>
      <c r="H17291" s="2">
        <v>252</v>
      </c>
      <c r="I17291" s="2">
        <v>2</v>
      </c>
      <c r="J17291" s="2">
        <v>757</v>
      </c>
      <c r="K17291" s="2">
        <v>1</v>
      </c>
      <c r="L17291" s="2">
        <v>252</v>
      </c>
    </row>
    <row r="17292" spans="1:12" x14ac:dyDescent="0.25">
      <c r="A17292" s="4" t="str">
        <f>HYPERLINK("http://www.rosaceae.org/Prunus/Prunus_persica/p.persica_gdr_reftransV1_0000689","p.persica_gdr_reftransV1_0000689")</f>
        <v>p.persica_gdr_reftransV1_0000689</v>
      </c>
      <c r="B17292" s="2">
        <v>3348</v>
      </c>
      <c r="C17292" s="4" t="str">
        <f>HYPERLINK("http://www.uniprot.org/uniprot/A0A0A0L416","A0A0A0L416")</f>
        <v>A0A0A0L416</v>
      </c>
      <c r="D17292" s="2" t="s">
        <v>13570</v>
      </c>
      <c r="E17292" s="3">
        <v>0</v>
      </c>
      <c r="F17292" s="2">
        <v>4055</v>
      </c>
      <c r="G17292" s="2">
        <v>75</v>
      </c>
      <c r="H17292" s="2">
        <v>1061</v>
      </c>
      <c r="I17292" s="2">
        <v>1</v>
      </c>
      <c r="J17292" s="2">
        <v>3183</v>
      </c>
      <c r="K17292" s="2">
        <v>1</v>
      </c>
      <c r="L17292" s="2">
        <v>1040</v>
      </c>
    </row>
    <row r="17293" spans="1:12" x14ac:dyDescent="0.25">
      <c r="A17293" s="4" t="str">
        <f>HYPERLINK("http://www.rosaceae.org/Prunus/Prunus_persica/p.persica_gdr_reftransV1_0001039","p.persica_gdr_reftransV1_0001039")</f>
        <v>p.persica_gdr_reftransV1_0001039</v>
      </c>
      <c r="B17293" s="2">
        <v>704</v>
      </c>
      <c r="C17293" s="4" t="str">
        <f>HYPERLINK("http://www.uniprot.org/uniprot/M5WJM1","M5WJM1")</f>
        <v>M5WJM1</v>
      </c>
      <c r="D17293" s="2" t="s">
        <v>13571</v>
      </c>
      <c r="E17293" s="3">
        <v>1.04E-126</v>
      </c>
      <c r="F17293" s="2">
        <v>951</v>
      </c>
      <c r="G17293" s="2">
        <v>83</v>
      </c>
      <c r="H17293" s="2">
        <v>218</v>
      </c>
      <c r="I17293" s="2">
        <v>1</v>
      </c>
      <c r="J17293" s="2">
        <v>654</v>
      </c>
      <c r="K17293" s="2">
        <v>25</v>
      </c>
      <c r="L17293" s="2">
        <v>242</v>
      </c>
    </row>
    <row r="17294" spans="1:12" x14ac:dyDescent="0.25">
      <c r="A17294" s="4" t="str">
        <f>HYPERLINK("http://www.rosaceae.org/Prunus/Prunus_persica/p.persica_gdr_reftransV1_0001389","p.persica_gdr_reftransV1_0001389")</f>
        <v>p.persica_gdr_reftransV1_0001389</v>
      </c>
      <c r="B17294" s="2">
        <v>375</v>
      </c>
      <c r="C17294" s="4" t="str">
        <f>HYPERLINK("http://www.uniprot.org/uniprot/M5X0G1","M5X0G1")</f>
        <v>M5X0G1</v>
      </c>
      <c r="D17294" s="2" t="s">
        <v>13572</v>
      </c>
      <c r="E17294" s="3">
        <v>1.08E-80</v>
      </c>
      <c r="F17294" s="2">
        <v>678</v>
      </c>
      <c r="G17294" s="2">
        <v>99</v>
      </c>
      <c r="H17294" s="2">
        <v>124</v>
      </c>
      <c r="I17294" s="2">
        <v>3</v>
      </c>
      <c r="J17294" s="2">
        <v>374</v>
      </c>
      <c r="K17294" s="2">
        <v>672</v>
      </c>
      <c r="L17294" s="2">
        <v>795</v>
      </c>
    </row>
    <row r="17295" spans="1:12" x14ac:dyDescent="0.25">
      <c r="A17295" s="4" t="str">
        <f>HYPERLINK("http://www.rosaceae.org/Prunus/Prunus_persica/p.persica_gdr_reftransV1_0001739","p.persica_gdr_reftransV1_0001739")</f>
        <v>p.persica_gdr_reftransV1_0001739</v>
      </c>
      <c r="B17295" s="2">
        <v>723</v>
      </c>
      <c r="C17295" s="4" t="str">
        <f>HYPERLINK("http://www.uniprot.org/uniprot/M5XHK5","M5XHK5")</f>
        <v>M5XHK5</v>
      </c>
      <c r="D17295" s="2" t="s">
        <v>4805</v>
      </c>
      <c r="E17295" s="3">
        <v>1.81E-48</v>
      </c>
      <c r="F17295" s="2">
        <v>420</v>
      </c>
      <c r="G17295" s="2">
        <v>100</v>
      </c>
      <c r="H17295" s="2">
        <v>105</v>
      </c>
      <c r="I17295" s="2">
        <v>1</v>
      </c>
      <c r="J17295" s="2">
        <v>315</v>
      </c>
      <c r="K17295" s="2">
        <v>1</v>
      </c>
      <c r="L17295" s="2">
        <v>105</v>
      </c>
    </row>
    <row r="17296" spans="1:12" x14ac:dyDescent="0.25">
      <c r="A17296" s="4" t="str">
        <f>HYPERLINK("http://www.rosaceae.org/Prunus/Prunus_persica/p.persica_gdr_reftransV1_0002439","p.persica_gdr_reftransV1_0002439")</f>
        <v>p.persica_gdr_reftransV1_0002439</v>
      </c>
      <c r="B17296" s="2">
        <v>444</v>
      </c>
      <c r="C17296" s="4" t="str">
        <f>HYPERLINK("http://www.uniprot.org/uniprot/M5W2R4","M5W2R4")</f>
        <v>M5W2R4</v>
      </c>
      <c r="D17296" s="2" t="s">
        <v>11166</v>
      </c>
      <c r="E17296" s="3">
        <v>3.1599999999999998E-78</v>
      </c>
      <c r="F17296" s="2">
        <v>642</v>
      </c>
      <c r="G17296" s="2">
        <v>93</v>
      </c>
      <c r="H17296" s="2">
        <v>147</v>
      </c>
      <c r="I17296" s="2">
        <v>2</v>
      </c>
      <c r="J17296" s="2">
        <v>442</v>
      </c>
      <c r="K17296" s="2">
        <v>330</v>
      </c>
      <c r="L17296" s="2">
        <v>472</v>
      </c>
    </row>
    <row r="17297" spans="1:12" x14ac:dyDescent="0.25">
      <c r="A17297" s="4" t="str">
        <f>HYPERLINK("http://www.rosaceae.org/Prunus/Prunus_persica/p.persica_gdr_reftransV1_0002789","p.persica_gdr_reftransV1_0002789")</f>
        <v>p.persica_gdr_reftransV1_0002789</v>
      </c>
      <c r="B17297" s="2">
        <v>623</v>
      </c>
      <c r="C17297" s="4" t="str">
        <f>HYPERLINK("http://www.uniprot.org/uniprot/B2ZZ10","B2ZZ10")</f>
        <v>B2ZZ10</v>
      </c>
      <c r="D17297" s="2" t="s">
        <v>5359</v>
      </c>
      <c r="E17297" s="3">
        <v>2.6999999999999999E-73</v>
      </c>
      <c r="F17297" s="2">
        <v>592</v>
      </c>
      <c r="G17297" s="2">
        <v>82</v>
      </c>
      <c r="H17297" s="2">
        <v>170</v>
      </c>
      <c r="I17297" s="2">
        <v>31</v>
      </c>
      <c r="J17297" s="2">
        <v>537</v>
      </c>
      <c r="K17297" s="2">
        <v>1</v>
      </c>
      <c r="L17297" s="2">
        <v>170</v>
      </c>
    </row>
    <row r="17298" spans="1:12" x14ac:dyDescent="0.25">
      <c r="A17298" s="4" t="str">
        <f>HYPERLINK("http://www.rosaceae.org/Prunus/Prunus_persica/p.persica_gdr_reftransV1_0003139","p.persica_gdr_reftransV1_0003139")</f>
        <v>p.persica_gdr_reftransV1_0003139</v>
      </c>
      <c r="B17298" s="2">
        <v>2312</v>
      </c>
      <c r="C17298" s="4" t="str">
        <f>HYPERLINK("http://www.uniprot.org/uniprot/M5VTL8","M5VTL8")</f>
        <v>M5VTL8</v>
      </c>
      <c r="D17298" s="2" t="s">
        <v>9564</v>
      </c>
      <c r="E17298" s="3">
        <v>0</v>
      </c>
      <c r="F17298" s="2">
        <v>3331</v>
      </c>
      <c r="G17298" s="2">
        <v>100</v>
      </c>
      <c r="H17298" s="2">
        <v>770</v>
      </c>
      <c r="I17298" s="2">
        <v>2</v>
      </c>
      <c r="J17298" s="2">
        <v>2311</v>
      </c>
      <c r="K17298" s="2">
        <v>34</v>
      </c>
      <c r="L17298" s="2">
        <v>803</v>
      </c>
    </row>
    <row r="17299" spans="1:12" x14ac:dyDescent="0.25">
      <c r="A17299" s="4" t="str">
        <f>HYPERLINK("http://www.rosaceae.org/Prunus/Prunus_persica/p.persica_gdr_reftransV1_0004189","p.persica_gdr_reftransV1_0004189")</f>
        <v>p.persica_gdr_reftransV1_0004189</v>
      </c>
      <c r="B17299" s="2">
        <v>1298</v>
      </c>
      <c r="C17299" s="4" t="str">
        <f>HYPERLINK("http://www.uniprot.org/uniprot/M5WVA3","M5WVA3")</f>
        <v>M5WVA3</v>
      </c>
      <c r="D17299" s="2" t="s">
        <v>13573</v>
      </c>
      <c r="E17299" s="3">
        <v>1.57E-113</v>
      </c>
      <c r="F17299" s="2">
        <v>881</v>
      </c>
      <c r="G17299" s="2">
        <v>100</v>
      </c>
      <c r="H17299" s="2">
        <v>198</v>
      </c>
      <c r="I17299" s="2">
        <v>112</v>
      </c>
      <c r="J17299" s="2">
        <v>705</v>
      </c>
      <c r="K17299" s="2">
        <v>1</v>
      </c>
      <c r="L17299" s="2">
        <v>198</v>
      </c>
    </row>
    <row r="17300" spans="1:12" x14ac:dyDescent="0.25">
      <c r="A17300" s="4" t="str">
        <f>HYPERLINK("http://www.rosaceae.org/Prunus/Prunus_persica/p.persica_gdr_reftransV1_0004539","p.persica_gdr_reftransV1_0004539")</f>
        <v>p.persica_gdr_reftransV1_0004539</v>
      </c>
      <c r="B17300" s="2">
        <v>603</v>
      </c>
      <c r="C17300" s="4" t="str">
        <f>HYPERLINK("http://www.uniprot.org/uniprot/M5VIF4","M5VIF4")</f>
        <v>M5VIF4</v>
      </c>
      <c r="D17300" s="2" t="s">
        <v>7925</v>
      </c>
      <c r="E17300" s="3">
        <v>1.42E-143</v>
      </c>
      <c r="F17300" s="2">
        <v>1094</v>
      </c>
      <c r="G17300" s="2">
        <v>100</v>
      </c>
      <c r="H17300" s="2">
        <v>201</v>
      </c>
      <c r="I17300" s="2">
        <v>1</v>
      </c>
      <c r="J17300" s="2">
        <v>603</v>
      </c>
      <c r="K17300" s="2">
        <v>422</v>
      </c>
      <c r="L17300" s="2">
        <v>622</v>
      </c>
    </row>
    <row r="17301" spans="1:12" x14ac:dyDescent="0.25">
      <c r="A17301" s="4" t="str">
        <f>HYPERLINK("http://www.rosaceae.org/Prunus/Prunus_persica/p.persica_gdr_reftransV1_0004889","p.persica_gdr_reftransV1_0004889")</f>
        <v>p.persica_gdr_reftransV1_0004889</v>
      </c>
      <c r="B17301" s="2">
        <v>3775</v>
      </c>
      <c r="C17301" s="4" t="str">
        <f>HYPERLINK("http://www.uniprot.org/uniprot/U5GHH1","U5GHH1")</f>
        <v>U5GHH1</v>
      </c>
      <c r="D17301" s="2" t="s">
        <v>13574</v>
      </c>
      <c r="E17301" s="3">
        <v>0</v>
      </c>
      <c r="F17301" s="2">
        <v>4142</v>
      </c>
      <c r="G17301" s="2">
        <v>81</v>
      </c>
      <c r="H17301" s="2">
        <v>989</v>
      </c>
      <c r="I17301" s="2">
        <v>621</v>
      </c>
      <c r="J17301" s="2">
        <v>3542</v>
      </c>
      <c r="K17301" s="2">
        <v>1</v>
      </c>
      <c r="L17301" s="2">
        <v>980</v>
      </c>
    </row>
    <row r="17302" spans="1:12" x14ac:dyDescent="0.25">
      <c r="A17302" s="4" t="str">
        <f>HYPERLINK("http://www.rosaceae.org/Prunus/Prunus_persica/p.persica_gdr_reftransV1_0005239","p.persica_gdr_reftransV1_0005239")</f>
        <v>p.persica_gdr_reftransV1_0005239</v>
      </c>
      <c r="B17302" s="2">
        <v>1593</v>
      </c>
      <c r="C17302" s="4" t="str">
        <f>HYPERLINK("http://www.uniprot.org/uniprot/W8R477","W8R477")</f>
        <v>W8R477</v>
      </c>
      <c r="D17302" s="2" t="s">
        <v>4669</v>
      </c>
      <c r="E17302" s="3">
        <v>0</v>
      </c>
      <c r="F17302" s="2">
        <v>1888</v>
      </c>
      <c r="G17302" s="2">
        <v>98</v>
      </c>
      <c r="H17302" s="2">
        <v>390</v>
      </c>
      <c r="I17302" s="2">
        <v>422</v>
      </c>
      <c r="J17302" s="2">
        <v>1591</v>
      </c>
      <c r="K17302" s="2">
        <v>1</v>
      </c>
      <c r="L17302" s="2">
        <v>390</v>
      </c>
    </row>
    <row r="17303" spans="1:12" x14ac:dyDescent="0.25">
      <c r="A17303" s="4" t="str">
        <f>HYPERLINK("http://www.rosaceae.org/Prunus/Prunus_persica/p.persica_gdr_reftransV1_0005589","p.persica_gdr_reftransV1_0005589")</f>
        <v>p.persica_gdr_reftransV1_0005589</v>
      </c>
      <c r="B17303" s="2">
        <v>1376</v>
      </c>
      <c r="C17303" s="4" t="str">
        <f>HYPERLINK("http://www.uniprot.org/uniprot/M5WVY8","M5WVY8")</f>
        <v>M5WVY8</v>
      </c>
      <c r="D17303" s="2" t="s">
        <v>13575</v>
      </c>
      <c r="E17303" s="3">
        <v>0</v>
      </c>
      <c r="F17303" s="2">
        <v>2300</v>
      </c>
      <c r="G17303" s="2">
        <v>100</v>
      </c>
      <c r="H17303" s="2">
        <v>431</v>
      </c>
      <c r="I17303" s="2">
        <v>76</v>
      </c>
      <c r="J17303" s="2">
        <v>1368</v>
      </c>
      <c r="K17303" s="2">
        <v>1</v>
      </c>
      <c r="L17303" s="2">
        <v>431</v>
      </c>
    </row>
    <row r="17304" spans="1:12" x14ac:dyDescent="0.25">
      <c r="A17304" s="4" t="str">
        <f>HYPERLINK("http://www.rosaceae.org/Prunus/Prunus_persica/p.persica_gdr_reftransV1_0005939","p.persica_gdr_reftransV1_0005939")</f>
        <v>p.persica_gdr_reftransV1_0005939</v>
      </c>
      <c r="B17304" s="2">
        <v>400</v>
      </c>
      <c r="C17304" s="4" t="str">
        <f>HYPERLINK("http://www.uniprot.org/uniprot/M5W4T9","M5W4T9")</f>
        <v>M5W4T9</v>
      </c>
      <c r="D17304" s="2" t="s">
        <v>4063</v>
      </c>
      <c r="E17304" s="3">
        <v>3.1200000000000001E-41</v>
      </c>
      <c r="F17304" s="2">
        <v>392</v>
      </c>
      <c r="G17304" s="2">
        <v>100</v>
      </c>
      <c r="H17304" s="2">
        <v>74</v>
      </c>
      <c r="I17304" s="2">
        <v>179</v>
      </c>
      <c r="J17304" s="2">
        <v>400</v>
      </c>
      <c r="K17304" s="2">
        <v>1</v>
      </c>
      <c r="L17304" s="2">
        <v>74</v>
      </c>
    </row>
    <row r="17305" spans="1:12" x14ac:dyDescent="0.25">
      <c r="A17305" s="4" t="str">
        <f>HYPERLINK("http://www.rosaceae.org/Prunus/Prunus_persica/p.persica_gdr_reftransV1_0006989","p.persica_gdr_reftransV1_0006989")</f>
        <v>p.persica_gdr_reftransV1_0006989</v>
      </c>
      <c r="B17305" s="2">
        <v>1300</v>
      </c>
      <c r="C17305" s="4" t="str">
        <f>HYPERLINK("http://www.uniprot.org/uniprot/M5XI49","M5XI49")</f>
        <v>M5XI49</v>
      </c>
      <c r="D17305" s="2" t="s">
        <v>13576</v>
      </c>
      <c r="E17305" s="3">
        <v>1.2800000000000001E-131</v>
      </c>
      <c r="F17305" s="2">
        <v>1001</v>
      </c>
      <c r="G17305" s="2">
        <v>74</v>
      </c>
      <c r="H17305" s="2">
        <v>272</v>
      </c>
      <c r="I17305" s="2">
        <v>272</v>
      </c>
      <c r="J17305" s="2">
        <v>1087</v>
      </c>
      <c r="K17305" s="2">
        <v>1</v>
      </c>
      <c r="L17305" s="2">
        <v>215</v>
      </c>
    </row>
    <row r="17306" spans="1:12" x14ac:dyDescent="0.25">
      <c r="A17306" s="4" t="str">
        <f>HYPERLINK("http://www.rosaceae.org/Prunus/Prunus_persica/p.persica_gdr_reftransV1_0007689","p.persica_gdr_reftransV1_0007689")</f>
        <v>p.persica_gdr_reftransV1_0007689</v>
      </c>
      <c r="B17306" s="2">
        <v>3110</v>
      </c>
      <c r="C17306" s="4" t="str">
        <f>HYPERLINK("http://www.uniprot.org/uniprot/M5WCS7","M5WCS7")</f>
        <v>M5WCS7</v>
      </c>
      <c r="D17306" s="2" t="s">
        <v>13577</v>
      </c>
      <c r="E17306" s="3">
        <v>0</v>
      </c>
      <c r="F17306" s="2">
        <v>4152</v>
      </c>
      <c r="G17306" s="2">
        <v>100</v>
      </c>
      <c r="H17306" s="2">
        <v>813</v>
      </c>
      <c r="I17306" s="2">
        <v>398</v>
      </c>
      <c r="J17306" s="2">
        <v>2836</v>
      </c>
      <c r="K17306" s="2">
        <v>1</v>
      </c>
      <c r="L17306" s="2">
        <v>813</v>
      </c>
    </row>
    <row r="17307" spans="1:12" x14ac:dyDescent="0.25">
      <c r="A17307" s="4" t="str">
        <f>HYPERLINK("http://www.rosaceae.org/Prunus/Prunus_persica/p.persica_gdr_reftransV1_0008739","p.persica_gdr_reftransV1_0008739")</f>
        <v>p.persica_gdr_reftransV1_0008739</v>
      </c>
      <c r="B17307" s="2">
        <v>433</v>
      </c>
      <c r="C17307" s="4" t="str">
        <f>HYPERLINK("http://www.uniprot.org/uniprot/M5XP87","M5XP87")</f>
        <v>M5XP87</v>
      </c>
      <c r="D17307" s="2" t="s">
        <v>10919</v>
      </c>
      <c r="E17307" s="3">
        <v>2.7700000000000002E-82</v>
      </c>
      <c r="F17307" s="2">
        <v>690</v>
      </c>
      <c r="G17307" s="2">
        <v>100</v>
      </c>
      <c r="H17307" s="2">
        <v>144</v>
      </c>
      <c r="I17307" s="2">
        <v>1</v>
      </c>
      <c r="J17307" s="2">
        <v>432</v>
      </c>
      <c r="K17307" s="2">
        <v>269</v>
      </c>
      <c r="L17307" s="2">
        <v>412</v>
      </c>
    </row>
    <row r="17308" spans="1:12" x14ac:dyDescent="0.25">
      <c r="A17308" s="4" t="str">
        <f>HYPERLINK("http://www.rosaceae.org/Prunus/Prunus_persica/p.persica_gdr_reftransV1_0009789","p.persica_gdr_reftransV1_0009789")</f>
        <v>p.persica_gdr_reftransV1_0009789</v>
      </c>
      <c r="B17308" s="2">
        <v>1638</v>
      </c>
      <c r="C17308" s="4" t="str">
        <f>HYPERLINK("http://www.uniprot.org/uniprot/M5WUP7","M5WUP7")</f>
        <v>M5WUP7</v>
      </c>
      <c r="D17308" s="2" t="s">
        <v>13578</v>
      </c>
      <c r="E17308" s="3">
        <v>0</v>
      </c>
      <c r="F17308" s="2">
        <v>1604</v>
      </c>
      <c r="G17308" s="2">
        <v>86</v>
      </c>
      <c r="H17308" s="2">
        <v>374</v>
      </c>
      <c r="I17308" s="2">
        <v>301</v>
      </c>
      <c r="J17308" s="2">
        <v>1422</v>
      </c>
      <c r="K17308" s="2">
        <v>8</v>
      </c>
      <c r="L17308" s="2">
        <v>356</v>
      </c>
    </row>
    <row r="17309" spans="1:12" x14ac:dyDescent="0.25">
      <c r="A17309" s="4" t="str">
        <f>HYPERLINK("http://www.rosaceae.org/Prunus/Prunus_persica/p.persica_gdr_reftransV1_0010139","p.persica_gdr_reftransV1_0010139")</f>
        <v>p.persica_gdr_reftransV1_0010139</v>
      </c>
      <c r="B17309" s="2">
        <v>519</v>
      </c>
      <c r="C17309" s="4" t="str">
        <f>HYPERLINK("http://www.uniprot.org/uniprot/K4DBS9","K4DBS9")</f>
        <v>K4DBS9</v>
      </c>
      <c r="D17309" s="2" t="s">
        <v>13579</v>
      </c>
      <c r="E17309" s="3">
        <v>4.5800000000000003E-9</v>
      </c>
      <c r="F17309" s="2">
        <v>156</v>
      </c>
      <c r="G17309" s="2">
        <v>44</v>
      </c>
      <c r="H17309" s="2">
        <v>64</v>
      </c>
      <c r="I17309" s="2">
        <v>26</v>
      </c>
      <c r="J17309" s="2">
        <v>217</v>
      </c>
      <c r="K17309" s="2">
        <v>12</v>
      </c>
      <c r="L17309" s="2">
        <v>75</v>
      </c>
    </row>
    <row r="17310" spans="1:12" x14ac:dyDescent="0.25">
      <c r="A17310" s="4" t="str">
        <f>HYPERLINK("http://www.rosaceae.org/Prunus/Prunus_persica/p.persica_gdr_reftransV1_0010489","p.persica_gdr_reftransV1_0010489")</f>
        <v>p.persica_gdr_reftransV1_0010489</v>
      </c>
      <c r="B17310" s="2">
        <v>1830</v>
      </c>
      <c r="C17310" s="4" t="str">
        <f>HYPERLINK("http://www.uniprot.org/uniprot/M5X0Y8","M5X0Y8")</f>
        <v>M5X0Y8</v>
      </c>
      <c r="D17310" s="2" t="s">
        <v>3428</v>
      </c>
      <c r="E17310" s="3">
        <v>4.3299999999999999E-67</v>
      </c>
      <c r="F17310" s="2">
        <v>584</v>
      </c>
      <c r="G17310" s="2">
        <v>99</v>
      </c>
      <c r="H17310" s="2">
        <v>153</v>
      </c>
      <c r="I17310" s="2">
        <v>1117</v>
      </c>
      <c r="J17310" s="2">
        <v>1575</v>
      </c>
      <c r="K17310" s="2">
        <v>65</v>
      </c>
      <c r="L17310" s="2">
        <v>217</v>
      </c>
    </row>
    <row r="17311" spans="1:12" x14ac:dyDescent="0.25">
      <c r="A17311" s="4" t="str">
        <f>HYPERLINK("http://www.rosaceae.org/Prunus/Prunus_persica/p.persica_gdr_reftransV1_0012589","p.persica_gdr_reftransV1_0012589")</f>
        <v>p.persica_gdr_reftransV1_0012589</v>
      </c>
      <c r="B17311" s="2">
        <v>1962</v>
      </c>
      <c r="C17311" s="4" t="str">
        <f>HYPERLINK("http://www.uniprot.org/uniprot/M5W497","M5W497")</f>
        <v>M5W497</v>
      </c>
      <c r="D17311" s="2" t="s">
        <v>13580</v>
      </c>
      <c r="E17311" s="3">
        <v>0</v>
      </c>
      <c r="F17311" s="2">
        <v>1868</v>
      </c>
      <c r="G17311" s="2">
        <v>100</v>
      </c>
      <c r="H17311" s="2">
        <v>414</v>
      </c>
      <c r="I17311" s="2">
        <v>248</v>
      </c>
      <c r="J17311" s="2">
        <v>1489</v>
      </c>
      <c r="K17311" s="2">
        <v>85</v>
      </c>
      <c r="L17311" s="2">
        <v>498</v>
      </c>
    </row>
    <row r="17312" spans="1:12" x14ac:dyDescent="0.25">
      <c r="A17312" s="4" t="str">
        <f>HYPERLINK("http://www.rosaceae.org/Prunus/Prunus_persica/p.persica_gdr_reftransV1_0012939","p.persica_gdr_reftransV1_0012939")</f>
        <v>p.persica_gdr_reftransV1_0012939</v>
      </c>
      <c r="B17312" s="2">
        <v>2558</v>
      </c>
      <c r="C17312" s="4" t="str">
        <f>HYPERLINK("http://www.uniprot.org/uniprot/M5WJ48","M5WJ48")</f>
        <v>M5WJ48</v>
      </c>
      <c r="D17312" s="2" t="s">
        <v>7464</v>
      </c>
      <c r="E17312" s="3">
        <v>0</v>
      </c>
      <c r="F17312" s="2">
        <v>3492</v>
      </c>
      <c r="G17312" s="2">
        <v>100</v>
      </c>
      <c r="H17312" s="2">
        <v>724</v>
      </c>
      <c r="I17312" s="2">
        <v>220</v>
      </c>
      <c r="J17312" s="2">
        <v>2391</v>
      </c>
      <c r="K17312" s="2">
        <v>1</v>
      </c>
      <c r="L17312" s="2">
        <v>724</v>
      </c>
    </row>
    <row r="17313" spans="1:12" x14ac:dyDescent="0.25">
      <c r="A17313" s="4" t="str">
        <f>HYPERLINK("http://www.rosaceae.org/Prunus/Prunus_persica/p.persica_gdr_reftransV1_0013289","p.persica_gdr_reftransV1_0013289")</f>
        <v>p.persica_gdr_reftransV1_0013289</v>
      </c>
      <c r="B17313" s="2">
        <v>2742</v>
      </c>
      <c r="C17313" s="4" t="str">
        <f>HYPERLINK("http://www.uniprot.org/uniprot/M5W903","M5W903")</f>
        <v>M5W903</v>
      </c>
      <c r="D17313" s="2" t="s">
        <v>13581</v>
      </c>
      <c r="E17313" s="3">
        <v>1.49E-55</v>
      </c>
      <c r="F17313" s="2">
        <v>530</v>
      </c>
      <c r="G17313" s="2">
        <v>41</v>
      </c>
      <c r="H17313" s="2">
        <v>315</v>
      </c>
      <c r="I17313" s="2">
        <v>951</v>
      </c>
      <c r="J17313" s="2">
        <v>1877</v>
      </c>
      <c r="K17313" s="2">
        <v>68</v>
      </c>
      <c r="L17313" s="2">
        <v>368</v>
      </c>
    </row>
    <row r="17314" spans="1:12" x14ac:dyDescent="0.25">
      <c r="A17314" s="4" t="str">
        <f>HYPERLINK("http://www.rosaceae.org/Prunus/Prunus_persica/p.persica_gdr_reftransV1_0013989","p.persica_gdr_reftransV1_0013989")</f>
        <v>p.persica_gdr_reftransV1_0013989</v>
      </c>
      <c r="B17314" s="2">
        <v>1735</v>
      </c>
      <c r="C17314" s="4" t="str">
        <f>HYPERLINK("http://www.uniprot.org/uniprot/M5XRJ6","M5XRJ6")</f>
        <v>M5XRJ6</v>
      </c>
      <c r="D17314" s="2" t="s">
        <v>13582</v>
      </c>
      <c r="E17314" s="3">
        <v>0</v>
      </c>
      <c r="F17314" s="2">
        <v>2198</v>
      </c>
      <c r="G17314" s="2">
        <v>100</v>
      </c>
      <c r="H17314" s="2">
        <v>460</v>
      </c>
      <c r="I17314" s="2">
        <v>51</v>
      </c>
      <c r="J17314" s="2">
        <v>1430</v>
      </c>
      <c r="K17314" s="2">
        <v>7</v>
      </c>
      <c r="L17314" s="2">
        <v>466</v>
      </c>
    </row>
    <row r="17315" spans="1:12" x14ac:dyDescent="0.25">
      <c r="A17315" s="4" t="str">
        <f>HYPERLINK("http://www.rosaceae.org/Prunus/Prunus_persica/p.persica_gdr_reftransV1_0015389","p.persica_gdr_reftransV1_0015389")</f>
        <v>p.persica_gdr_reftransV1_0015389</v>
      </c>
      <c r="B17315" s="2">
        <v>1922</v>
      </c>
      <c r="C17315" s="4" t="str">
        <f>HYPERLINK("http://www.uniprot.org/uniprot/M5XGM2","M5XGM2")</f>
        <v>M5XGM2</v>
      </c>
      <c r="D17315" s="2" t="s">
        <v>13583</v>
      </c>
      <c r="E17315" s="3">
        <v>2.3000000000000002E-78</v>
      </c>
      <c r="F17315" s="2">
        <v>664</v>
      </c>
      <c r="G17315" s="2">
        <v>98</v>
      </c>
      <c r="H17315" s="2">
        <v>126</v>
      </c>
      <c r="I17315" s="2">
        <v>1199</v>
      </c>
      <c r="J17315" s="2">
        <v>1576</v>
      </c>
      <c r="K17315" s="2">
        <v>107</v>
      </c>
      <c r="L17315" s="2">
        <v>232</v>
      </c>
    </row>
    <row r="17316" spans="1:12" x14ac:dyDescent="0.25">
      <c r="A17316" s="4" t="str">
        <f>HYPERLINK("http://www.rosaceae.org/Prunus/Prunus_persica/p.persica_gdr_reftransV1_0015739","p.persica_gdr_reftransV1_0015739")</f>
        <v>p.persica_gdr_reftransV1_0015739</v>
      </c>
      <c r="B17316" s="2">
        <v>631</v>
      </c>
      <c r="C17316" s="4" t="str">
        <f>HYPERLINK("http://www.uniprot.org/uniprot/M5WV99","M5WV99")</f>
        <v>M5WV99</v>
      </c>
      <c r="D17316" s="2" t="s">
        <v>2943</v>
      </c>
      <c r="E17316" s="3">
        <v>4.2799999999999999E-82</v>
      </c>
      <c r="F17316" s="2">
        <v>649</v>
      </c>
      <c r="G17316" s="2">
        <v>100</v>
      </c>
      <c r="H17316" s="2">
        <v>124</v>
      </c>
      <c r="I17316" s="2">
        <v>3</v>
      </c>
      <c r="J17316" s="2">
        <v>374</v>
      </c>
      <c r="K17316" s="2">
        <v>1</v>
      </c>
      <c r="L17316" s="2">
        <v>124</v>
      </c>
    </row>
    <row r="17317" spans="1:12" x14ac:dyDescent="0.25">
      <c r="A17317" s="4" t="str">
        <f>HYPERLINK("http://www.rosaceae.org/Prunus/Prunus_persica/p.persica_gdr_reftransV1_0017139","p.persica_gdr_reftransV1_0017139")</f>
        <v>p.persica_gdr_reftransV1_0017139</v>
      </c>
      <c r="B17317" s="2">
        <v>466</v>
      </c>
      <c r="C17317" s="4" t="str">
        <f>HYPERLINK("http://www.uniprot.org/uniprot/M5WBK1","M5WBK1")</f>
        <v>M5WBK1</v>
      </c>
      <c r="D17317" s="2" t="s">
        <v>4967</v>
      </c>
      <c r="E17317" s="3">
        <v>3.2299999999999997E-107</v>
      </c>
      <c r="F17317" s="2">
        <v>815</v>
      </c>
      <c r="G17317" s="2">
        <v>100</v>
      </c>
      <c r="H17317" s="2">
        <v>154</v>
      </c>
      <c r="I17317" s="2">
        <v>3</v>
      </c>
      <c r="J17317" s="2">
        <v>464</v>
      </c>
      <c r="K17317" s="2">
        <v>52</v>
      </c>
      <c r="L17317" s="2">
        <v>205</v>
      </c>
    </row>
    <row r="17318" spans="1:12" x14ac:dyDescent="0.25">
      <c r="A17318" s="4" t="str">
        <f>HYPERLINK("http://www.rosaceae.org/Prunus/Prunus_persica/p.persica_gdr_reftransV1_0019589","p.persica_gdr_reftransV1_0019589")</f>
        <v>p.persica_gdr_reftransV1_0019589</v>
      </c>
      <c r="B17318" s="2">
        <v>789</v>
      </c>
      <c r="C17318" s="4" t="str">
        <f>HYPERLINK("http://www.uniprot.org/uniprot/M5WQ95","M5WQ95")</f>
        <v>M5WQ95</v>
      </c>
      <c r="D17318" s="2" t="s">
        <v>3986</v>
      </c>
      <c r="E17318" s="3">
        <v>1.3899999999999999E-115</v>
      </c>
      <c r="F17318" s="2">
        <v>912</v>
      </c>
      <c r="G17318" s="2">
        <v>100</v>
      </c>
      <c r="H17318" s="2">
        <v>168</v>
      </c>
      <c r="I17318" s="2">
        <v>2</v>
      </c>
      <c r="J17318" s="2">
        <v>505</v>
      </c>
      <c r="K17318" s="2">
        <v>425</v>
      </c>
      <c r="L17318" s="2">
        <v>592</v>
      </c>
    </row>
    <row r="17319" spans="1:12" x14ac:dyDescent="0.25">
      <c r="A17319" s="4" t="str">
        <f>HYPERLINK("http://www.rosaceae.org/Prunus/Prunus_persica/p.persica_gdr_reftransV1_0019939","p.persica_gdr_reftransV1_0019939")</f>
        <v>p.persica_gdr_reftransV1_0019939</v>
      </c>
      <c r="B17319" s="2">
        <v>1759</v>
      </c>
      <c r="C17319" s="4" t="str">
        <f>HYPERLINK("http://www.uniprot.org/uniprot/M5XLN0","M5XLN0")</f>
        <v>M5XLN0</v>
      </c>
      <c r="D17319" s="2" t="s">
        <v>13584</v>
      </c>
      <c r="E17319" s="3">
        <v>0</v>
      </c>
      <c r="F17319" s="2">
        <v>2080</v>
      </c>
      <c r="G17319" s="2">
        <v>100</v>
      </c>
      <c r="H17319" s="2">
        <v>418</v>
      </c>
      <c r="I17319" s="2">
        <v>134</v>
      </c>
      <c r="J17319" s="2">
        <v>1387</v>
      </c>
      <c r="K17319" s="2">
        <v>5</v>
      </c>
      <c r="L17319" s="2">
        <v>422</v>
      </c>
    </row>
    <row r="17320" spans="1:12" x14ac:dyDescent="0.25">
      <c r="A17320" s="4" t="str">
        <f>HYPERLINK("http://www.rosaceae.org/Prunus/Prunus_persica/p.persica_gdr_reftransV1_0020289","p.persica_gdr_reftransV1_0020289")</f>
        <v>p.persica_gdr_reftransV1_0020289</v>
      </c>
      <c r="B17320" s="2">
        <v>2755</v>
      </c>
      <c r="C17320" s="4" t="str">
        <f>HYPERLINK("http://www.uniprot.org/uniprot/M5WBI1","M5WBI1")</f>
        <v>M5WBI1</v>
      </c>
      <c r="D17320" s="2" t="s">
        <v>13585</v>
      </c>
      <c r="E17320" s="3">
        <v>0</v>
      </c>
      <c r="F17320" s="2">
        <v>2671</v>
      </c>
      <c r="G17320" s="2">
        <v>100</v>
      </c>
      <c r="H17320" s="2">
        <v>539</v>
      </c>
      <c r="I17320" s="2">
        <v>400</v>
      </c>
      <c r="J17320" s="2">
        <v>2016</v>
      </c>
      <c r="K17320" s="2">
        <v>1</v>
      </c>
      <c r="L17320" s="2">
        <v>539</v>
      </c>
    </row>
    <row r="17321" spans="1:12" x14ac:dyDescent="0.25">
      <c r="A17321" s="4" t="str">
        <f>HYPERLINK("http://www.rosaceae.org/Prunus/Prunus_persica/p.persica_gdr_reftransV1_0021689","p.persica_gdr_reftransV1_0021689")</f>
        <v>p.persica_gdr_reftransV1_0021689</v>
      </c>
      <c r="B17321" s="2">
        <v>2201</v>
      </c>
      <c r="C17321" s="4" t="str">
        <f>HYPERLINK("http://www.uniprot.org/uniprot/M5WM10","M5WM10")</f>
        <v>M5WM10</v>
      </c>
      <c r="D17321" s="2" t="s">
        <v>13586</v>
      </c>
      <c r="E17321" s="3">
        <v>0</v>
      </c>
      <c r="F17321" s="2">
        <v>2995</v>
      </c>
      <c r="G17321" s="2">
        <v>100</v>
      </c>
      <c r="H17321" s="2">
        <v>559</v>
      </c>
      <c r="I17321" s="2">
        <v>305</v>
      </c>
      <c r="J17321" s="2">
        <v>1981</v>
      </c>
      <c r="K17321" s="2">
        <v>1</v>
      </c>
      <c r="L17321" s="2">
        <v>559</v>
      </c>
    </row>
    <row r="17322" spans="1:12" x14ac:dyDescent="0.25">
      <c r="A17322" s="4" t="str">
        <f>HYPERLINK("http://www.rosaceae.org/Prunus/Prunus_persica/p.persica_gdr_reftransV1_0023439","p.persica_gdr_reftransV1_0023439")</f>
        <v>p.persica_gdr_reftransV1_0023439</v>
      </c>
      <c r="B17322" s="2">
        <v>3124</v>
      </c>
      <c r="C17322" s="4" t="str">
        <f>HYPERLINK("http://www.uniprot.org/uniprot/M5WX90","M5WX90")</f>
        <v>M5WX90</v>
      </c>
      <c r="D17322" s="2" t="s">
        <v>13587</v>
      </c>
      <c r="E17322" s="3">
        <v>0</v>
      </c>
      <c r="F17322" s="2">
        <v>4179</v>
      </c>
      <c r="G17322" s="2">
        <v>99</v>
      </c>
      <c r="H17322" s="2">
        <v>887</v>
      </c>
      <c r="I17322" s="2">
        <v>327</v>
      </c>
      <c r="J17322" s="2">
        <v>2987</v>
      </c>
      <c r="K17322" s="2">
        <v>287</v>
      </c>
      <c r="L17322" s="2">
        <v>1163</v>
      </c>
    </row>
    <row r="17323" spans="1:12" x14ac:dyDescent="0.25">
      <c r="A17323" s="4" t="str">
        <f>HYPERLINK("http://www.rosaceae.org/Prunus/Prunus_persica/p.persica_gdr_reftransV1_0024139","p.persica_gdr_reftransV1_0024139")</f>
        <v>p.persica_gdr_reftransV1_0024139</v>
      </c>
      <c r="B17323" s="2">
        <v>1764</v>
      </c>
      <c r="C17323" s="4" t="str">
        <f>HYPERLINK("http://www.uniprot.org/uniprot/M5X6C0","M5X6C0")</f>
        <v>M5X6C0</v>
      </c>
      <c r="D17323" s="2" t="s">
        <v>4985</v>
      </c>
      <c r="E17323" s="3">
        <v>3.6599999999999999E-128</v>
      </c>
      <c r="F17323" s="2">
        <v>1058</v>
      </c>
      <c r="G17323" s="2">
        <v>95</v>
      </c>
      <c r="H17323" s="2">
        <v>274</v>
      </c>
      <c r="I17323" s="2">
        <v>595</v>
      </c>
      <c r="J17323" s="2">
        <v>1416</v>
      </c>
      <c r="K17323" s="2">
        <v>1</v>
      </c>
      <c r="L17323" s="2">
        <v>262</v>
      </c>
    </row>
    <row r="17324" spans="1:12" x14ac:dyDescent="0.25">
      <c r="A17324" s="4" t="str">
        <f>HYPERLINK("http://www.rosaceae.org/Prunus/Prunus_persica/p.persica_gdr_reftransV1_0024489","p.persica_gdr_reftransV1_0024489")</f>
        <v>p.persica_gdr_reftransV1_0024489</v>
      </c>
      <c r="B17324" s="2">
        <v>1896</v>
      </c>
      <c r="C17324" s="4" t="str">
        <f>HYPERLINK("http://www.uniprot.org/uniprot/M5W292","M5W292")</f>
        <v>M5W292</v>
      </c>
      <c r="D17324" s="2" t="s">
        <v>11010</v>
      </c>
      <c r="E17324" s="3">
        <v>0</v>
      </c>
      <c r="F17324" s="2">
        <v>1466</v>
      </c>
      <c r="G17324" s="2">
        <v>100</v>
      </c>
      <c r="H17324" s="2">
        <v>284</v>
      </c>
      <c r="I17324" s="2">
        <v>990</v>
      </c>
      <c r="J17324" s="2">
        <v>1841</v>
      </c>
      <c r="K17324" s="2">
        <v>1</v>
      </c>
      <c r="L17324" s="2">
        <v>284</v>
      </c>
    </row>
    <row r="17325" spans="1:12" x14ac:dyDescent="0.25">
      <c r="A17325" s="4" t="str">
        <f>HYPERLINK("http://www.rosaceae.org/Prunus/Prunus_persica/p.persica_gdr_reftransV1_0025539","p.persica_gdr_reftransV1_0025539")</f>
        <v>p.persica_gdr_reftransV1_0025539</v>
      </c>
      <c r="B17325" s="2">
        <v>2596</v>
      </c>
      <c r="C17325" s="4" t="str">
        <f>HYPERLINK("http://www.uniprot.org/uniprot/W9SBL1","W9SBL1")</f>
        <v>W9SBL1</v>
      </c>
      <c r="D17325" s="2" t="s">
        <v>13588</v>
      </c>
      <c r="E17325" s="3">
        <v>0</v>
      </c>
      <c r="F17325" s="2">
        <v>2006</v>
      </c>
      <c r="G17325" s="2">
        <v>85</v>
      </c>
      <c r="H17325" s="2">
        <v>491</v>
      </c>
      <c r="I17325" s="2">
        <v>937</v>
      </c>
      <c r="J17325" s="2">
        <v>2406</v>
      </c>
      <c r="K17325" s="2">
        <v>1</v>
      </c>
      <c r="L17325" s="2">
        <v>487</v>
      </c>
    </row>
    <row r="17326" spans="1:12" x14ac:dyDescent="0.25">
      <c r="A17326" s="4" t="str">
        <f>HYPERLINK("http://www.rosaceae.org/Prunus/Prunus_persica/p.persica_gdr_reftransV1_0025889","p.persica_gdr_reftransV1_0025889")</f>
        <v>p.persica_gdr_reftransV1_0025889</v>
      </c>
      <c r="B17326" s="2">
        <v>2377</v>
      </c>
      <c r="C17326" s="4" t="str">
        <f>HYPERLINK("http://www.uniprot.org/uniprot/M5WR87","M5WR87")</f>
        <v>M5WR87</v>
      </c>
      <c r="D17326" s="2" t="s">
        <v>5519</v>
      </c>
      <c r="E17326" s="3">
        <v>0</v>
      </c>
      <c r="F17326" s="2">
        <v>1583</v>
      </c>
      <c r="G17326" s="2">
        <v>100</v>
      </c>
      <c r="H17326" s="2">
        <v>350</v>
      </c>
      <c r="I17326" s="2">
        <v>904</v>
      </c>
      <c r="J17326" s="2">
        <v>1953</v>
      </c>
      <c r="K17326" s="2">
        <v>346</v>
      </c>
      <c r="L17326" s="2">
        <v>695</v>
      </c>
    </row>
    <row r="17327" spans="1:12" x14ac:dyDescent="0.25">
      <c r="A17327" s="4" t="str">
        <f>HYPERLINK("http://www.rosaceae.org/Prunus/Prunus_persica/p.persica_gdr_reftransV1_0027989","p.persica_gdr_reftransV1_0027989")</f>
        <v>p.persica_gdr_reftransV1_0027989</v>
      </c>
      <c r="B17327" s="2">
        <v>1015</v>
      </c>
      <c r="C17327" s="4" t="str">
        <f>HYPERLINK("http://www.uniprot.org/uniprot/M5WAQ5","M5WAQ5")</f>
        <v>M5WAQ5</v>
      </c>
      <c r="D17327" s="2" t="s">
        <v>13589</v>
      </c>
      <c r="E17327" s="3">
        <v>5.3399999999999998E-137</v>
      </c>
      <c r="F17327" s="2">
        <v>1026</v>
      </c>
      <c r="G17327" s="2">
        <v>99</v>
      </c>
      <c r="H17327" s="2">
        <v>195</v>
      </c>
      <c r="I17327" s="2">
        <v>93</v>
      </c>
      <c r="J17327" s="2">
        <v>677</v>
      </c>
      <c r="K17327" s="2">
        <v>1</v>
      </c>
      <c r="L17327" s="2">
        <v>195</v>
      </c>
    </row>
    <row r="17328" spans="1:12" x14ac:dyDescent="0.25">
      <c r="A17328" s="4" t="str">
        <f>HYPERLINK("http://www.rosaceae.org/Prunus/Prunus_persica/p.persica_gdr_reftransV1_0028689","p.persica_gdr_reftransV1_0028689")</f>
        <v>p.persica_gdr_reftransV1_0028689</v>
      </c>
      <c r="B17328" s="2">
        <v>1891</v>
      </c>
      <c r="C17328" s="4" t="str">
        <f>HYPERLINK("http://www.uniprot.org/uniprot/M5WLN9","M5WLN9")</f>
        <v>M5WLN9</v>
      </c>
      <c r="D17328" s="2" t="s">
        <v>13590</v>
      </c>
      <c r="E17328" s="3">
        <v>0</v>
      </c>
      <c r="F17328" s="2">
        <v>2310</v>
      </c>
      <c r="G17328" s="2">
        <v>90</v>
      </c>
      <c r="H17328" s="2">
        <v>483</v>
      </c>
      <c r="I17328" s="2">
        <v>2</v>
      </c>
      <c r="J17328" s="2">
        <v>1450</v>
      </c>
      <c r="K17328" s="2">
        <v>76</v>
      </c>
      <c r="L17328" s="2">
        <v>513</v>
      </c>
    </row>
    <row r="17329" spans="1:12" x14ac:dyDescent="0.25">
      <c r="A17329" s="4" t="str">
        <f>HYPERLINK("http://www.rosaceae.org/Prunus/Prunus_persica/p.persica_gdr_reftransV1_0032189","p.persica_gdr_reftransV1_0032189")</f>
        <v>p.persica_gdr_reftransV1_0032189</v>
      </c>
      <c r="B17329" s="2">
        <v>3147</v>
      </c>
      <c r="C17329" s="4" t="str">
        <f>HYPERLINK("http://www.uniprot.org/uniprot/M5WD87","M5WD87")</f>
        <v>M5WD87</v>
      </c>
      <c r="D17329" s="2" t="s">
        <v>1275</v>
      </c>
      <c r="E17329" s="3">
        <v>0</v>
      </c>
      <c r="F17329" s="2">
        <v>3615</v>
      </c>
      <c r="G17329" s="2">
        <v>100</v>
      </c>
      <c r="H17329" s="2">
        <v>691</v>
      </c>
      <c r="I17329" s="2">
        <v>752</v>
      </c>
      <c r="J17329" s="2">
        <v>2824</v>
      </c>
      <c r="K17329" s="2">
        <v>233</v>
      </c>
      <c r="L17329" s="2">
        <v>923</v>
      </c>
    </row>
    <row r="17330" spans="1:12" x14ac:dyDescent="0.25">
      <c r="A17330" s="4" t="str">
        <f>HYPERLINK("http://www.rosaceae.org/Prunus/Prunus_persica/p.persica_gdr_reftransV1_0032889","p.persica_gdr_reftransV1_0032889")</f>
        <v>p.persica_gdr_reftransV1_0032889</v>
      </c>
      <c r="B17330" s="2">
        <v>2450</v>
      </c>
      <c r="C17330" s="4" t="str">
        <f>HYPERLINK("http://www.uniprot.org/uniprot/M5VZF6","M5VZF6")</f>
        <v>M5VZF6</v>
      </c>
      <c r="D17330" s="2" t="s">
        <v>11370</v>
      </c>
      <c r="E17330" s="3">
        <v>1.22E-147</v>
      </c>
      <c r="F17330" s="2">
        <v>1151</v>
      </c>
      <c r="G17330" s="2">
        <v>98</v>
      </c>
      <c r="H17330" s="2">
        <v>220</v>
      </c>
      <c r="I17330" s="2">
        <v>1500</v>
      </c>
      <c r="J17330" s="2">
        <v>2159</v>
      </c>
      <c r="K17330" s="2">
        <v>79</v>
      </c>
      <c r="L17330" s="2">
        <v>298</v>
      </c>
    </row>
    <row r="17331" spans="1:12" x14ac:dyDescent="0.25">
      <c r="A17331" s="4" t="str">
        <f>HYPERLINK("http://www.rosaceae.org/Prunus/Prunus_persica/p.persica_gdr_reftransV1_0033239","p.persica_gdr_reftransV1_0033239")</f>
        <v>p.persica_gdr_reftransV1_0033239</v>
      </c>
      <c r="B17331" s="2">
        <v>4197</v>
      </c>
      <c r="C17331" s="4" t="str">
        <f>HYPERLINK("http://www.uniprot.org/uniprot/M5XHP4","M5XHP4")</f>
        <v>M5XHP4</v>
      </c>
      <c r="D17331" s="2" t="s">
        <v>13591</v>
      </c>
      <c r="E17331" s="3">
        <v>0</v>
      </c>
      <c r="F17331" s="2">
        <v>3471</v>
      </c>
      <c r="G17331" s="2">
        <v>95</v>
      </c>
      <c r="H17331" s="2">
        <v>681</v>
      </c>
      <c r="I17331" s="2">
        <v>1700</v>
      </c>
      <c r="J17331" s="2">
        <v>3742</v>
      </c>
      <c r="K17331" s="2">
        <v>1</v>
      </c>
      <c r="L17331" s="2">
        <v>655</v>
      </c>
    </row>
    <row r="17332" spans="1:12" x14ac:dyDescent="0.25">
      <c r="A17332" s="4" t="str">
        <f>HYPERLINK("http://www.rosaceae.org/Prunus/Prunus_persica/p.persica_gdr_reftransV1_0033939","p.persica_gdr_reftransV1_0033939")</f>
        <v>p.persica_gdr_reftransV1_0033939</v>
      </c>
      <c r="B17332" s="2">
        <v>1826</v>
      </c>
      <c r="C17332" s="4" t="str">
        <f>HYPERLINK("http://www.uniprot.org/uniprot/M5W242","M5W242")</f>
        <v>M5W242</v>
      </c>
      <c r="D17332" s="2" t="s">
        <v>12657</v>
      </c>
      <c r="E17332" s="3">
        <v>0</v>
      </c>
      <c r="F17332" s="2">
        <v>2483</v>
      </c>
      <c r="G17332" s="2">
        <v>99</v>
      </c>
      <c r="H17332" s="2">
        <v>467</v>
      </c>
      <c r="I17332" s="2">
        <v>405</v>
      </c>
      <c r="J17332" s="2">
        <v>1805</v>
      </c>
      <c r="K17332" s="2">
        <v>125</v>
      </c>
      <c r="L17332" s="2">
        <v>591</v>
      </c>
    </row>
    <row r="17333" spans="1:12" x14ac:dyDescent="0.25">
      <c r="A17333" s="4" t="str">
        <f>HYPERLINK("http://www.rosaceae.org/Prunus/Prunus_persica/p.persica_gdr_reftransV1_0035339","p.persica_gdr_reftransV1_0035339")</f>
        <v>p.persica_gdr_reftransV1_0035339</v>
      </c>
      <c r="B17333" s="2">
        <v>3504</v>
      </c>
      <c r="C17333" s="4" t="str">
        <f>HYPERLINK("http://www.uniprot.org/uniprot/M5X9K3","M5X9K3")</f>
        <v>M5X9K3</v>
      </c>
      <c r="D17333" s="2" t="s">
        <v>13592</v>
      </c>
      <c r="E17333" s="3">
        <v>0</v>
      </c>
      <c r="F17333" s="2">
        <v>3691</v>
      </c>
      <c r="G17333" s="2">
        <v>100</v>
      </c>
      <c r="H17333" s="2">
        <v>704</v>
      </c>
      <c r="I17333" s="2">
        <v>858</v>
      </c>
      <c r="J17333" s="2">
        <v>2969</v>
      </c>
      <c r="K17333" s="2">
        <v>1</v>
      </c>
      <c r="L17333" s="2">
        <v>704</v>
      </c>
    </row>
    <row r="17334" spans="1:12" x14ac:dyDescent="0.25">
      <c r="A17334" s="4" t="str">
        <f>HYPERLINK("http://www.rosaceae.org/Prunus/Prunus_persica/p.persica_gdr_reftransV1_0036739","p.persica_gdr_reftransV1_0036739")</f>
        <v>p.persica_gdr_reftransV1_0036739</v>
      </c>
      <c r="B17334" s="2">
        <v>4378</v>
      </c>
      <c r="C17334" s="4" t="str">
        <f>HYPERLINK("http://www.uniprot.org/uniprot/M5X761","M5X761")</f>
        <v>M5X761</v>
      </c>
      <c r="D17334" s="2" t="s">
        <v>13593</v>
      </c>
      <c r="E17334" s="3">
        <v>0</v>
      </c>
      <c r="F17334" s="2">
        <v>5158</v>
      </c>
      <c r="G17334" s="2">
        <v>100</v>
      </c>
      <c r="H17334" s="2">
        <v>1102</v>
      </c>
      <c r="I17334" s="2">
        <v>505</v>
      </c>
      <c r="J17334" s="2">
        <v>3810</v>
      </c>
      <c r="K17334" s="2">
        <v>1</v>
      </c>
      <c r="L17334" s="2">
        <v>1102</v>
      </c>
    </row>
    <row r="17335" spans="1:12" x14ac:dyDescent="0.25">
      <c r="A17335" s="4" t="str">
        <f>HYPERLINK("http://www.rosaceae.org/Prunus/Prunus_persica/p.persica_gdr_reftransV1_0038489","p.persica_gdr_reftransV1_0038489")</f>
        <v>p.persica_gdr_reftransV1_0038489</v>
      </c>
      <c r="B17335" s="2">
        <v>1132</v>
      </c>
      <c r="C17335" s="4" t="str">
        <f>HYPERLINK("http://www.uniprot.org/uniprot/M5XG35","M5XG35")</f>
        <v>M5XG35</v>
      </c>
      <c r="D17335" s="2" t="s">
        <v>13594</v>
      </c>
      <c r="E17335" s="3">
        <v>3.0299999999999998E-137</v>
      </c>
      <c r="F17335" s="2">
        <v>894</v>
      </c>
      <c r="G17335" s="2">
        <v>100</v>
      </c>
      <c r="H17335" s="2">
        <v>182</v>
      </c>
      <c r="I17335" s="2">
        <v>375</v>
      </c>
      <c r="J17335" s="2">
        <v>920</v>
      </c>
      <c r="K17335" s="2">
        <v>82</v>
      </c>
      <c r="L17335" s="2">
        <v>263</v>
      </c>
    </row>
    <row r="17336" spans="1:12" x14ac:dyDescent="0.25">
      <c r="A17336" s="4" t="str">
        <f>HYPERLINK("http://www.rosaceae.org/Prunus/Prunus_persica/p.persica_gdr_reftransV1_0039189","p.persica_gdr_reftransV1_0039189")</f>
        <v>p.persica_gdr_reftransV1_0039189</v>
      </c>
      <c r="B17336" s="2">
        <v>1700</v>
      </c>
      <c r="C17336" s="4" t="str">
        <f>HYPERLINK("http://www.uniprot.org/uniprot/M5W7K4","M5W7K4")</f>
        <v>M5W7K4</v>
      </c>
      <c r="D17336" s="2" t="s">
        <v>693</v>
      </c>
      <c r="E17336" s="3">
        <v>0</v>
      </c>
      <c r="F17336" s="2">
        <v>2549</v>
      </c>
      <c r="G17336" s="2">
        <v>100</v>
      </c>
      <c r="H17336" s="2">
        <v>508</v>
      </c>
      <c r="I17336" s="2">
        <v>2</v>
      </c>
      <c r="J17336" s="2">
        <v>1525</v>
      </c>
      <c r="K17336" s="2">
        <v>1</v>
      </c>
      <c r="L17336" s="2">
        <v>508</v>
      </c>
    </row>
    <row r="17337" spans="1:12" x14ac:dyDescent="0.25">
      <c r="A17337" s="4" t="str">
        <f>HYPERLINK("http://www.rosaceae.org/Prunus/Prunus_persica/p.persica_gdr_reftransV1_0040589","p.persica_gdr_reftransV1_0040589")</f>
        <v>p.persica_gdr_reftransV1_0040589</v>
      </c>
      <c r="B17337" s="2">
        <v>2384</v>
      </c>
      <c r="C17337" s="4" t="str">
        <f>HYPERLINK("http://www.uniprot.org/uniprot/M5X3X8","M5X3X8")</f>
        <v>M5X3X8</v>
      </c>
      <c r="D17337" s="2" t="s">
        <v>13595</v>
      </c>
      <c r="E17337" s="3">
        <v>2.0900000000000001E-158</v>
      </c>
      <c r="F17337" s="2">
        <v>1243</v>
      </c>
      <c r="G17337" s="2">
        <v>100</v>
      </c>
      <c r="H17337" s="2">
        <v>265</v>
      </c>
      <c r="I17337" s="2">
        <v>206</v>
      </c>
      <c r="J17337" s="2">
        <v>1000</v>
      </c>
      <c r="K17337" s="2">
        <v>1</v>
      </c>
      <c r="L17337" s="2">
        <v>265</v>
      </c>
    </row>
    <row r="17338" spans="1:12" x14ac:dyDescent="0.25">
      <c r="A17338" s="4" t="str">
        <f>HYPERLINK("http://www.rosaceae.org/Prunus/Prunus_persica/p.persica_gdr_reftransV1_0040939","p.persica_gdr_reftransV1_0040939")</f>
        <v>p.persica_gdr_reftransV1_0040939</v>
      </c>
      <c r="B17338" s="2">
        <v>3795</v>
      </c>
      <c r="C17338" s="4" t="str">
        <f>HYPERLINK("http://www.uniprot.org/uniprot/M5WFD2","M5WFD2")</f>
        <v>M5WFD2</v>
      </c>
      <c r="D17338" s="2" t="s">
        <v>13596</v>
      </c>
      <c r="E17338" s="3">
        <v>0</v>
      </c>
      <c r="F17338" s="2">
        <v>2409</v>
      </c>
      <c r="G17338" s="2">
        <v>91</v>
      </c>
      <c r="H17338" s="2">
        <v>517</v>
      </c>
      <c r="I17338" s="2">
        <v>2152</v>
      </c>
      <c r="J17338" s="2">
        <v>3702</v>
      </c>
      <c r="K17338" s="2">
        <v>344</v>
      </c>
      <c r="L17338" s="2">
        <v>813</v>
      </c>
    </row>
    <row r="17339" spans="1:12" x14ac:dyDescent="0.25">
      <c r="A17339" s="4" t="str">
        <f>HYPERLINK("http://www.rosaceae.org/Prunus/Prunus_persica/p.persica_gdr_reftransV1_0041639","p.persica_gdr_reftransV1_0041639")</f>
        <v>p.persica_gdr_reftransV1_0041639</v>
      </c>
      <c r="B17339" s="2">
        <v>4242</v>
      </c>
      <c r="C17339" s="4" t="str">
        <f>HYPERLINK("http://www.uniprot.org/uniprot/M5VZJ4","M5VZJ4")</f>
        <v>M5VZJ4</v>
      </c>
      <c r="D17339" s="2" t="s">
        <v>13597</v>
      </c>
      <c r="E17339" s="3">
        <v>0</v>
      </c>
      <c r="F17339" s="2">
        <v>4245</v>
      </c>
      <c r="G17339" s="2">
        <v>94</v>
      </c>
      <c r="H17339" s="2">
        <v>938</v>
      </c>
      <c r="I17339" s="2">
        <v>359</v>
      </c>
      <c r="J17339" s="2">
        <v>3172</v>
      </c>
      <c r="K17339" s="2">
        <v>1</v>
      </c>
      <c r="L17339" s="2">
        <v>887</v>
      </c>
    </row>
    <row r="17340" spans="1:12" x14ac:dyDescent="0.25">
      <c r="A17340" s="4" t="str">
        <f>HYPERLINK("http://www.rosaceae.org/Prunus/Prunus_persica/p.persica_gdr_reftransV1_0041989","p.persica_gdr_reftransV1_0041989")</f>
        <v>p.persica_gdr_reftransV1_0041989</v>
      </c>
      <c r="B17340" s="2">
        <v>548</v>
      </c>
      <c r="C17340" s="4" t="str">
        <f>HYPERLINK("http://www.uniprot.org/uniprot/A0A0A0KDD2","A0A0A0KDD2")</f>
        <v>A0A0A0KDD2</v>
      </c>
      <c r="D17340" s="2" t="s">
        <v>13598</v>
      </c>
      <c r="E17340" s="3">
        <v>3.3299999999999999E-13</v>
      </c>
      <c r="F17340" s="2">
        <v>188</v>
      </c>
      <c r="G17340" s="2">
        <v>57</v>
      </c>
      <c r="H17340" s="2">
        <v>72</v>
      </c>
      <c r="I17340" s="2">
        <v>332</v>
      </c>
      <c r="J17340" s="2">
        <v>547</v>
      </c>
      <c r="K17340" s="2">
        <v>126</v>
      </c>
      <c r="L17340" s="2">
        <v>191</v>
      </c>
    </row>
    <row r="17341" spans="1:12" x14ac:dyDescent="0.25">
      <c r="A17341" s="4" t="str">
        <f>HYPERLINK("http://www.rosaceae.org/Prunus/Prunus_persica/p.persica_gdr_reftransV1_0043039","p.persica_gdr_reftransV1_0043039")</f>
        <v>p.persica_gdr_reftransV1_0043039</v>
      </c>
      <c r="B17341" s="2">
        <v>2086</v>
      </c>
      <c r="C17341" s="4" t="str">
        <f>HYPERLINK("http://www.uniprot.org/uniprot/M5W994","M5W994")</f>
        <v>M5W994</v>
      </c>
      <c r="D17341" s="2" t="s">
        <v>6615</v>
      </c>
      <c r="E17341" s="3">
        <v>0</v>
      </c>
      <c r="F17341" s="2">
        <v>2458</v>
      </c>
      <c r="G17341" s="2">
        <v>100</v>
      </c>
      <c r="H17341" s="2">
        <v>462</v>
      </c>
      <c r="I17341" s="2">
        <v>382</v>
      </c>
      <c r="J17341" s="2">
        <v>1767</v>
      </c>
      <c r="K17341" s="2">
        <v>1</v>
      </c>
      <c r="L17341" s="2">
        <v>462</v>
      </c>
    </row>
    <row r="17342" spans="1:12" x14ac:dyDescent="0.25">
      <c r="A17342" s="4" t="str">
        <f>HYPERLINK("http://www.rosaceae.org/Prunus/Prunus_persica/p.persica_gdr_reftransV1_0043739","p.persica_gdr_reftransV1_0043739")</f>
        <v>p.persica_gdr_reftransV1_0043739</v>
      </c>
      <c r="B17342" s="2">
        <v>1105</v>
      </c>
      <c r="C17342" s="4" t="str">
        <f>HYPERLINK("http://www.uniprot.org/uniprot/M5W8L4","M5W8L4")</f>
        <v>M5W8L4</v>
      </c>
      <c r="D17342" s="2" t="s">
        <v>13599</v>
      </c>
      <c r="E17342" s="3">
        <v>0</v>
      </c>
      <c r="F17342" s="2">
        <v>1914</v>
      </c>
      <c r="G17342" s="2">
        <v>100</v>
      </c>
      <c r="H17342" s="2">
        <v>355</v>
      </c>
      <c r="I17342" s="2">
        <v>40</v>
      </c>
      <c r="J17342" s="2">
        <v>1104</v>
      </c>
      <c r="K17342" s="2">
        <v>27</v>
      </c>
      <c r="L17342" s="2">
        <v>381</v>
      </c>
    </row>
    <row r="17343" spans="1:12" x14ac:dyDescent="0.25">
      <c r="A17343" s="4" t="str">
        <f>HYPERLINK("http://www.rosaceae.org/Prunus/Prunus_persica/p.persica_gdr_reftransV1_0044089","p.persica_gdr_reftransV1_0044089")</f>
        <v>p.persica_gdr_reftransV1_0044089</v>
      </c>
      <c r="B17343" s="2">
        <v>637</v>
      </c>
      <c r="C17343" s="4" t="str">
        <f>HYPERLINK("http://www.uniprot.org/uniprot/M5WRT4","M5WRT4")</f>
        <v>M5WRT4</v>
      </c>
      <c r="D17343" s="2" t="s">
        <v>13600</v>
      </c>
      <c r="E17343" s="3">
        <v>1.4799999999999999E-108</v>
      </c>
      <c r="F17343" s="2">
        <v>830</v>
      </c>
      <c r="G17343" s="2">
        <v>100</v>
      </c>
      <c r="H17343" s="2">
        <v>167</v>
      </c>
      <c r="I17343" s="2">
        <v>135</v>
      </c>
      <c r="J17343" s="2">
        <v>635</v>
      </c>
      <c r="K17343" s="2">
        <v>91</v>
      </c>
      <c r="L17343" s="2">
        <v>257</v>
      </c>
    </row>
    <row r="17344" spans="1:12" x14ac:dyDescent="0.25">
      <c r="A17344" s="4" t="str">
        <f>HYPERLINK("http://www.rosaceae.org/Prunus/Prunus_persica/p.persica_gdr_reftransV1_0045139","p.persica_gdr_reftransV1_0045139")</f>
        <v>p.persica_gdr_reftransV1_0045139</v>
      </c>
      <c r="B17344" s="2">
        <v>605</v>
      </c>
      <c r="C17344" s="4" t="str">
        <f>HYPERLINK("http://www.uniprot.org/uniprot/M5VVI1","M5VVI1")</f>
        <v>M5VVI1</v>
      </c>
      <c r="D17344" s="2" t="s">
        <v>13601</v>
      </c>
      <c r="E17344" s="3">
        <v>4.2400000000000004E-111</v>
      </c>
      <c r="F17344" s="2">
        <v>859</v>
      </c>
      <c r="G17344" s="2">
        <v>100</v>
      </c>
      <c r="H17344" s="2">
        <v>184</v>
      </c>
      <c r="I17344" s="2">
        <v>52</v>
      </c>
      <c r="J17344" s="2">
        <v>603</v>
      </c>
      <c r="K17344" s="2">
        <v>217</v>
      </c>
      <c r="L17344" s="2">
        <v>400</v>
      </c>
    </row>
    <row r="17345" spans="1:12" x14ac:dyDescent="0.25">
      <c r="A17345" s="4" t="str">
        <f>HYPERLINK("http://www.rosaceae.org/Prunus/Prunus_persica/p.persica_gdr_reftransV1_0045489","p.persica_gdr_reftransV1_0045489")</f>
        <v>p.persica_gdr_reftransV1_0045489</v>
      </c>
      <c r="B17345" s="2">
        <v>2681</v>
      </c>
      <c r="C17345" s="4" t="str">
        <f>HYPERLINK("http://www.uniprot.org/uniprot/M5WH40","M5WH40")</f>
        <v>M5WH40</v>
      </c>
      <c r="D17345" s="2" t="s">
        <v>7063</v>
      </c>
      <c r="E17345" s="3">
        <v>0</v>
      </c>
      <c r="F17345" s="2">
        <v>2877</v>
      </c>
      <c r="G17345" s="2">
        <v>97</v>
      </c>
      <c r="H17345" s="2">
        <v>598</v>
      </c>
      <c r="I17345" s="2">
        <v>456</v>
      </c>
      <c r="J17345" s="2">
        <v>2249</v>
      </c>
      <c r="K17345" s="2">
        <v>1</v>
      </c>
      <c r="L17345" s="2">
        <v>581</v>
      </c>
    </row>
    <row r="17346" spans="1:12" x14ac:dyDescent="0.25">
      <c r="A17346" s="4" t="str">
        <f>HYPERLINK("http://www.rosaceae.org/Prunus/Prunus_persica/p.persica_gdr_reftransV1_0045839","p.persica_gdr_reftransV1_0045839")</f>
        <v>p.persica_gdr_reftransV1_0045839</v>
      </c>
      <c r="B17346" s="2">
        <v>1199</v>
      </c>
      <c r="C17346" s="4" t="str">
        <f>HYPERLINK("http://www.uniprot.org/uniprot/M5VI16","M5VI16")</f>
        <v>M5VI16</v>
      </c>
      <c r="D17346" s="2" t="s">
        <v>13602</v>
      </c>
      <c r="E17346" s="3">
        <v>0</v>
      </c>
      <c r="F17346" s="2">
        <v>1374</v>
      </c>
      <c r="G17346" s="2">
        <v>100</v>
      </c>
      <c r="H17346" s="2">
        <v>309</v>
      </c>
      <c r="I17346" s="2">
        <v>230</v>
      </c>
      <c r="J17346" s="2">
        <v>1156</v>
      </c>
      <c r="K17346" s="2">
        <v>1</v>
      </c>
      <c r="L17346" s="2">
        <v>309</v>
      </c>
    </row>
    <row r="17347" spans="1:12" x14ac:dyDescent="0.25">
      <c r="A17347" s="4" t="str">
        <f>HYPERLINK("http://www.rosaceae.org/Prunus/Prunus_persica/p.persica_gdr_reftransV1_0046539","p.persica_gdr_reftransV1_0046539")</f>
        <v>p.persica_gdr_reftransV1_0046539</v>
      </c>
      <c r="B17347" s="2">
        <v>1174</v>
      </c>
      <c r="C17347" s="4" t="str">
        <f>HYPERLINK("http://www.uniprot.org/uniprot/M5WG81","M5WG81")</f>
        <v>M5WG81</v>
      </c>
      <c r="D17347" s="2" t="s">
        <v>12634</v>
      </c>
      <c r="E17347" s="3">
        <v>7.5399999999999998E-97</v>
      </c>
      <c r="F17347" s="2">
        <v>779</v>
      </c>
      <c r="G17347" s="2">
        <v>98</v>
      </c>
      <c r="H17347" s="2">
        <v>153</v>
      </c>
      <c r="I17347" s="2">
        <v>364</v>
      </c>
      <c r="J17347" s="2">
        <v>822</v>
      </c>
      <c r="K17347" s="2">
        <v>188</v>
      </c>
      <c r="L17347" s="2">
        <v>340</v>
      </c>
    </row>
    <row r="17348" spans="1:12" x14ac:dyDescent="0.25">
      <c r="A17348" s="4" t="str">
        <f>HYPERLINK("http://www.rosaceae.org/Prunus/Prunus_persica/p.persica_gdr_reftransV1_0047239","p.persica_gdr_reftransV1_0047239")</f>
        <v>p.persica_gdr_reftransV1_0047239</v>
      </c>
      <c r="B17348" s="2">
        <v>810</v>
      </c>
      <c r="C17348" s="4" t="str">
        <f>HYPERLINK("http://www.uniprot.org/uniprot/M5XNP3","M5XNP3")</f>
        <v>M5XNP3</v>
      </c>
      <c r="D17348" s="2" t="s">
        <v>5619</v>
      </c>
      <c r="E17348" s="3">
        <v>5.96E-80</v>
      </c>
      <c r="F17348" s="2">
        <v>640</v>
      </c>
      <c r="G17348" s="2">
        <v>100</v>
      </c>
      <c r="H17348" s="2">
        <v>119</v>
      </c>
      <c r="I17348" s="2">
        <v>72</v>
      </c>
      <c r="J17348" s="2">
        <v>428</v>
      </c>
      <c r="K17348" s="2">
        <v>67</v>
      </c>
      <c r="L17348" s="2">
        <v>185</v>
      </c>
    </row>
    <row r="17349" spans="1:12" x14ac:dyDescent="0.25">
      <c r="A17349" s="4" t="str">
        <f>HYPERLINK("http://www.rosaceae.org/Prunus/Prunus_persica/p.persica_gdr_reftransV1_0047939","p.persica_gdr_reftransV1_0047939")</f>
        <v>p.persica_gdr_reftransV1_0047939</v>
      </c>
      <c r="B17349" s="2">
        <v>1258</v>
      </c>
      <c r="C17349" s="4" t="str">
        <f>HYPERLINK("http://www.uniprot.org/uniprot/M5WIA3","M5WIA3")</f>
        <v>M5WIA3</v>
      </c>
      <c r="D17349" s="2" t="s">
        <v>13603</v>
      </c>
      <c r="E17349" s="3">
        <v>1.0899999999999999E-162</v>
      </c>
      <c r="F17349" s="2">
        <v>1211</v>
      </c>
      <c r="G17349" s="2">
        <v>100</v>
      </c>
      <c r="H17349" s="2">
        <v>233</v>
      </c>
      <c r="I17349" s="2">
        <v>316</v>
      </c>
      <c r="J17349" s="2">
        <v>1014</v>
      </c>
      <c r="K17349" s="2">
        <v>41</v>
      </c>
      <c r="L17349" s="2">
        <v>273</v>
      </c>
    </row>
    <row r="17350" spans="1:12" x14ac:dyDescent="0.25">
      <c r="A17350" s="4" t="str">
        <f>HYPERLINK("http://www.rosaceae.org/Prunus/Prunus_persica/p.persica_gdr_reftransV1_0000340","p.persica_gdr_reftransV1_0000340")</f>
        <v>p.persica_gdr_reftransV1_0000340</v>
      </c>
      <c r="B17350" s="2">
        <v>2001</v>
      </c>
      <c r="C17350" s="4" t="str">
        <f>HYPERLINK("http://www.uniprot.org/uniprot/M5X7T8","M5X7T8")</f>
        <v>M5X7T8</v>
      </c>
      <c r="D17350" s="2" t="s">
        <v>11281</v>
      </c>
      <c r="E17350" s="3">
        <v>2.5300000000000001E-76</v>
      </c>
      <c r="F17350" s="2">
        <v>674</v>
      </c>
      <c r="G17350" s="2">
        <v>100</v>
      </c>
      <c r="H17350" s="2">
        <v>132</v>
      </c>
      <c r="I17350" s="2">
        <v>1605</v>
      </c>
      <c r="J17350" s="2">
        <v>2000</v>
      </c>
      <c r="K17350" s="2">
        <v>359</v>
      </c>
      <c r="L17350" s="2">
        <v>490</v>
      </c>
    </row>
    <row r="17351" spans="1:12" x14ac:dyDescent="0.25">
      <c r="A17351" s="4" t="str">
        <f>HYPERLINK("http://www.rosaceae.org/Prunus/Prunus_persica/p.persica_gdr_reftransV1_0000690","p.persica_gdr_reftransV1_0000690")</f>
        <v>p.persica_gdr_reftransV1_0000690</v>
      </c>
      <c r="B17351" s="2">
        <v>1820</v>
      </c>
      <c r="C17351" s="4" t="str">
        <f>HYPERLINK("http://www.uniprot.org/uniprot/M5WUL8","M5WUL8")</f>
        <v>M5WUL8</v>
      </c>
      <c r="D17351" s="2" t="s">
        <v>13604</v>
      </c>
      <c r="E17351" s="3">
        <v>0</v>
      </c>
      <c r="F17351" s="2">
        <v>2337</v>
      </c>
      <c r="G17351" s="2">
        <v>90</v>
      </c>
      <c r="H17351" s="2">
        <v>514</v>
      </c>
      <c r="I17351" s="2">
        <v>49</v>
      </c>
      <c r="J17351" s="2">
        <v>1590</v>
      </c>
      <c r="K17351" s="2">
        <v>1</v>
      </c>
      <c r="L17351" s="2">
        <v>514</v>
      </c>
    </row>
    <row r="17352" spans="1:12" x14ac:dyDescent="0.25">
      <c r="A17352" s="4" t="str">
        <f>HYPERLINK("http://www.rosaceae.org/Prunus/Prunus_persica/p.persica_gdr_reftransV1_0001390","p.persica_gdr_reftransV1_0001390")</f>
        <v>p.persica_gdr_reftransV1_0001390</v>
      </c>
      <c r="B17352" s="2">
        <v>479</v>
      </c>
      <c r="C17352" s="4" t="str">
        <f>HYPERLINK("http://www.uniprot.org/uniprot/M5VSK1","M5VSK1")</f>
        <v>M5VSK1</v>
      </c>
      <c r="D17352" s="2" t="s">
        <v>13605</v>
      </c>
      <c r="E17352" s="3">
        <v>7.8499999999999996E-109</v>
      </c>
      <c r="F17352" s="2">
        <v>857</v>
      </c>
      <c r="G17352" s="2">
        <v>100</v>
      </c>
      <c r="H17352" s="2">
        <v>159</v>
      </c>
      <c r="I17352" s="2">
        <v>1</v>
      </c>
      <c r="J17352" s="2">
        <v>477</v>
      </c>
      <c r="K17352" s="2">
        <v>418</v>
      </c>
      <c r="L17352" s="2">
        <v>576</v>
      </c>
    </row>
    <row r="17353" spans="1:12" x14ac:dyDescent="0.25">
      <c r="A17353" s="4" t="str">
        <f>HYPERLINK("http://www.rosaceae.org/Prunus/Prunus_persica/p.persica_gdr_reftransV1_0002090","p.persica_gdr_reftransV1_0002090")</f>
        <v>p.persica_gdr_reftransV1_0002090</v>
      </c>
      <c r="B17353" s="2">
        <v>416</v>
      </c>
      <c r="C17353" s="4" t="str">
        <f>HYPERLINK("http://www.uniprot.org/uniprot/A0A0D2YBF0","A0A0D2YBF0")</f>
        <v>A0A0D2YBF0</v>
      </c>
      <c r="D17353" s="2" t="s">
        <v>13606</v>
      </c>
      <c r="E17353" s="3">
        <v>2.07E-58</v>
      </c>
      <c r="F17353" s="2">
        <v>501</v>
      </c>
      <c r="G17353" s="2">
        <v>86</v>
      </c>
      <c r="H17353" s="2">
        <v>138</v>
      </c>
      <c r="I17353" s="2">
        <v>2</v>
      </c>
      <c r="J17353" s="2">
        <v>415</v>
      </c>
      <c r="K17353" s="2">
        <v>68</v>
      </c>
      <c r="L17353" s="2">
        <v>205</v>
      </c>
    </row>
    <row r="17354" spans="1:12" x14ac:dyDescent="0.25">
      <c r="A17354" s="4" t="str">
        <f>HYPERLINK("http://www.rosaceae.org/Prunus/Prunus_persica/p.persica_gdr_reftransV1_0002440","p.persica_gdr_reftransV1_0002440")</f>
        <v>p.persica_gdr_reftransV1_0002440</v>
      </c>
      <c r="B17354" s="2">
        <v>888</v>
      </c>
      <c r="C17354" s="4" t="str">
        <f>HYPERLINK("http://www.uniprot.org/uniprot/M5VR68","M5VR68")</f>
        <v>M5VR68</v>
      </c>
      <c r="D17354" s="2" t="s">
        <v>13607</v>
      </c>
      <c r="E17354" s="3">
        <v>6.0299999999999998E-130</v>
      </c>
      <c r="F17354" s="2">
        <v>974</v>
      </c>
      <c r="G17354" s="2">
        <v>100</v>
      </c>
      <c r="H17354" s="2">
        <v>199</v>
      </c>
      <c r="I17354" s="2">
        <v>101</v>
      </c>
      <c r="J17354" s="2">
        <v>697</v>
      </c>
      <c r="K17354" s="2">
        <v>1</v>
      </c>
      <c r="L17354" s="2">
        <v>199</v>
      </c>
    </row>
    <row r="17355" spans="1:12" x14ac:dyDescent="0.25">
      <c r="A17355" s="4" t="str">
        <f>HYPERLINK("http://www.rosaceae.org/Prunus/Prunus_persica/p.persica_gdr_reftransV1_0002790","p.persica_gdr_reftransV1_0002790")</f>
        <v>p.persica_gdr_reftransV1_0002790</v>
      </c>
      <c r="B17355" s="2">
        <v>982</v>
      </c>
      <c r="C17355" s="4" t="str">
        <f>HYPERLINK("http://www.uniprot.org/uniprot/M5WT54","M5WT54")</f>
        <v>M5WT54</v>
      </c>
      <c r="D17355" s="2" t="s">
        <v>10774</v>
      </c>
      <c r="E17355" s="3">
        <v>2.0299999999999999E-151</v>
      </c>
      <c r="F17355" s="2">
        <v>830</v>
      </c>
      <c r="G17355" s="2">
        <v>98</v>
      </c>
      <c r="H17355" s="2">
        <v>158</v>
      </c>
      <c r="I17355" s="2">
        <v>150</v>
      </c>
      <c r="J17355" s="2">
        <v>623</v>
      </c>
      <c r="K17355" s="2">
        <v>114</v>
      </c>
      <c r="L17355" s="2">
        <v>271</v>
      </c>
    </row>
    <row r="17356" spans="1:12" x14ac:dyDescent="0.25">
      <c r="A17356" s="4" t="str">
        <f>HYPERLINK("http://www.rosaceae.org/Prunus/Prunus_persica/p.persica_gdr_reftransV1_0003140","p.persica_gdr_reftransV1_0003140")</f>
        <v>p.persica_gdr_reftransV1_0003140</v>
      </c>
      <c r="B17356" s="2">
        <v>3136</v>
      </c>
      <c r="C17356" s="4" t="str">
        <f>HYPERLINK("http://www.uniprot.org/uniprot/M5WQ05","M5WQ05")</f>
        <v>M5WQ05</v>
      </c>
      <c r="D17356" s="2" t="s">
        <v>13608</v>
      </c>
      <c r="E17356" s="3">
        <v>0</v>
      </c>
      <c r="F17356" s="2">
        <v>2671</v>
      </c>
      <c r="G17356" s="2">
        <v>100</v>
      </c>
      <c r="H17356" s="2">
        <v>549</v>
      </c>
      <c r="I17356" s="2">
        <v>1144</v>
      </c>
      <c r="J17356" s="2">
        <v>2790</v>
      </c>
      <c r="K17356" s="2">
        <v>39</v>
      </c>
      <c r="L17356" s="2">
        <v>587</v>
      </c>
    </row>
    <row r="17357" spans="1:12" x14ac:dyDescent="0.25">
      <c r="A17357" s="4" t="str">
        <f>HYPERLINK("http://www.rosaceae.org/Prunus/Prunus_persica/p.persica_gdr_reftransV1_0003840","p.persica_gdr_reftransV1_0003840")</f>
        <v>p.persica_gdr_reftransV1_0003840</v>
      </c>
      <c r="B17357" s="2">
        <v>3282</v>
      </c>
      <c r="C17357" s="4" t="str">
        <f>HYPERLINK("http://www.uniprot.org/uniprot/J7G0Q7","J7G0Q7")</f>
        <v>J7G0Q7</v>
      </c>
      <c r="D17357" s="2" t="s">
        <v>10516</v>
      </c>
      <c r="E17357" s="3">
        <v>6.55E-99</v>
      </c>
      <c r="F17357" s="2">
        <v>620</v>
      </c>
      <c r="G17357" s="2">
        <v>51</v>
      </c>
      <c r="H17357" s="2">
        <v>253</v>
      </c>
      <c r="I17357" s="2">
        <v>2235</v>
      </c>
      <c r="J17357" s="2">
        <v>2978</v>
      </c>
      <c r="K17357" s="2">
        <v>710</v>
      </c>
      <c r="L17357" s="2">
        <v>962</v>
      </c>
    </row>
    <row r="17358" spans="1:12" x14ac:dyDescent="0.25">
      <c r="A17358" s="4" t="str">
        <f>HYPERLINK("http://www.rosaceae.org/Prunus/Prunus_persica/p.persica_gdr_reftransV1_0004190","p.persica_gdr_reftransV1_0004190")</f>
        <v>p.persica_gdr_reftransV1_0004190</v>
      </c>
      <c r="B17358" s="2">
        <v>1672</v>
      </c>
      <c r="C17358" s="4" t="str">
        <f>HYPERLINK("http://www.uniprot.org/uniprot/M5Wid8","M5Wid8")</f>
        <v>M5Wid8</v>
      </c>
      <c r="D17358" s="2" t="s">
        <v>5167</v>
      </c>
      <c r="E17358" s="3">
        <v>0</v>
      </c>
      <c r="F17358" s="2">
        <v>2516</v>
      </c>
      <c r="G17358" s="2">
        <v>98</v>
      </c>
      <c r="H17358" s="2">
        <v>495</v>
      </c>
      <c r="I17358" s="2">
        <v>48</v>
      </c>
      <c r="J17358" s="2">
        <v>1532</v>
      </c>
      <c r="K17358" s="2">
        <v>1</v>
      </c>
      <c r="L17358" s="2">
        <v>495</v>
      </c>
    </row>
    <row r="17359" spans="1:12" x14ac:dyDescent="0.25">
      <c r="A17359" s="4" t="str">
        <f>HYPERLINK("http://www.rosaceae.org/Prunus/Prunus_persica/p.persica_gdr_reftransV1_0004540","p.persica_gdr_reftransV1_0004540")</f>
        <v>p.persica_gdr_reftransV1_0004540</v>
      </c>
      <c r="B17359" s="2">
        <v>930</v>
      </c>
      <c r="C17359" s="4" t="str">
        <f>HYPERLINK("http://www.uniprot.org/uniprot/K4C9U5","K4C9U5")</f>
        <v>K4C9U5</v>
      </c>
      <c r="D17359" s="2" t="s">
        <v>5873</v>
      </c>
      <c r="E17359" s="3">
        <v>7.8000000000000004E-56</v>
      </c>
      <c r="F17359" s="2">
        <v>479</v>
      </c>
      <c r="G17359" s="2">
        <v>100</v>
      </c>
      <c r="H17359" s="2">
        <v>91</v>
      </c>
      <c r="I17359" s="2">
        <v>415</v>
      </c>
      <c r="J17359" s="2">
        <v>687</v>
      </c>
      <c r="K17359" s="2">
        <v>56</v>
      </c>
      <c r="L17359" s="2">
        <v>146</v>
      </c>
    </row>
    <row r="17360" spans="1:12" x14ac:dyDescent="0.25">
      <c r="A17360" s="4" t="str">
        <f>HYPERLINK("http://www.rosaceae.org/Prunus/Prunus_persica/p.persica_gdr_reftransV1_0004890","p.persica_gdr_reftransV1_0004890")</f>
        <v>p.persica_gdr_reftransV1_0004890</v>
      </c>
      <c r="B17360" s="2">
        <v>543</v>
      </c>
      <c r="C17360" s="4" t="str">
        <f>HYPERLINK("http://www.uniprot.org/uniprot/A0A068B255","A0A068B255")</f>
        <v>A0A068B255</v>
      </c>
      <c r="D17360" s="2" t="s">
        <v>7873</v>
      </c>
      <c r="E17360" s="3">
        <v>2.7599999999999998E-85</v>
      </c>
      <c r="F17360" s="2">
        <v>697</v>
      </c>
      <c r="G17360" s="2">
        <v>92</v>
      </c>
      <c r="H17360" s="2">
        <v>168</v>
      </c>
      <c r="I17360" s="2">
        <v>38</v>
      </c>
      <c r="J17360" s="2">
        <v>541</v>
      </c>
      <c r="K17360" s="2">
        <v>1</v>
      </c>
      <c r="L17360" s="2">
        <v>168</v>
      </c>
    </row>
    <row r="17361" spans="1:12" x14ac:dyDescent="0.25">
      <c r="A17361" s="4" t="str">
        <f>HYPERLINK("http://www.rosaceae.org/Prunus/Prunus_persica/p.persica_gdr_reftransV1_0005590","p.persica_gdr_reftransV1_0005590")</f>
        <v>p.persica_gdr_reftransV1_0005590</v>
      </c>
      <c r="B17361" s="2">
        <v>970</v>
      </c>
      <c r="C17361" s="4" t="str">
        <f>HYPERLINK("http://www.uniprot.org/uniprot/M5VJR2","M5VJR2")</f>
        <v>M5VJR2</v>
      </c>
      <c r="D17361" s="2" t="s">
        <v>13609</v>
      </c>
      <c r="E17361" s="3">
        <v>5.2600000000000003E-156</v>
      </c>
      <c r="F17361" s="2">
        <v>1152</v>
      </c>
      <c r="G17361" s="2">
        <v>91</v>
      </c>
      <c r="H17361" s="2">
        <v>245</v>
      </c>
      <c r="I17361" s="2">
        <v>85</v>
      </c>
      <c r="J17361" s="2">
        <v>819</v>
      </c>
      <c r="K17361" s="2">
        <v>1</v>
      </c>
      <c r="L17361" s="2">
        <v>225</v>
      </c>
    </row>
    <row r="17362" spans="1:12" x14ac:dyDescent="0.25">
      <c r="A17362" s="4" t="str">
        <f>HYPERLINK("http://www.rosaceae.org/Prunus/Prunus_persica/p.persica_gdr_reftransV1_0005940","p.persica_gdr_reftransV1_0005940")</f>
        <v>p.persica_gdr_reftransV1_0005940</v>
      </c>
      <c r="B17362" s="2">
        <v>1337</v>
      </c>
      <c r="C17362" s="4" t="str">
        <f>HYPERLINK("http://www.uniprot.org/uniprot/M5XDL1","M5XDL1")</f>
        <v>M5XDL1</v>
      </c>
      <c r="D17362" s="2" t="s">
        <v>4703</v>
      </c>
      <c r="E17362" s="3">
        <v>9.74E-74</v>
      </c>
      <c r="F17362" s="2">
        <v>581</v>
      </c>
      <c r="G17362" s="2">
        <v>99</v>
      </c>
      <c r="H17362" s="2">
        <v>112</v>
      </c>
      <c r="I17362" s="2">
        <v>886</v>
      </c>
      <c r="J17362" s="2">
        <v>1221</v>
      </c>
      <c r="K17362" s="2">
        <v>1</v>
      </c>
      <c r="L17362" s="2">
        <v>112</v>
      </c>
    </row>
    <row r="17363" spans="1:12" x14ac:dyDescent="0.25">
      <c r="A17363" s="4" t="str">
        <f>HYPERLINK("http://www.rosaceae.org/Prunus/Prunus_persica/p.persica_gdr_reftransV1_0006640","p.persica_gdr_reftransV1_0006640")</f>
        <v>p.persica_gdr_reftransV1_0006640</v>
      </c>
      <c r="B17363" s="2">
        <v>607</v>
      </c>
      <c r="C17363" s="4" t="str">
        <f>HYPERLINK("http://www.uniprot.org/uniprot/M5XSU5","M5XSU5")</f>
        <v>M5XSU5</v>
      </c>
      <c r="D17363" s="2" t="s">
        <v>13610</v>
      </c>
      <c r="E17363" s="3">
        <v>9.6200000000000001E-11</v>
      </c>
      <c r="F17363" s="2">
        <v>169</v>
      </c>
      <c r="G17363" s="2">
        <v>64</v>
      </c>
      <c r="H17363" s="2">
        <v>53</v>
      </c>
      <c r="I17363" s="2">
        <v>120</v>
      </c>
      <c r="J17363" s="2">
        <v>278</v>
      </c>
      <c r="K17363" s="2">
        <v>367</v>
      </c>
      <c r="L17363" s="2">
        <v>419</v>
      </c>
    </row>
    <row r="17364" spans="1:12" x14ac:dyDescent="0.25">
      <c r="A17364" s="4" t="str">
        <f>HYPERLINK("http://www.rosaceae.org/Prunus/Prunus_persica/p.persica_gdr_reftransV1_0006990","p.persica_gdr_reftransV1_0006990")</f>
        <v>p.persica_gdr_reftransV1_0006990</v>
      </c>
      <c r="B17364" s="2">
        <v>489</v>
      </c>
      <c r="C17364" s="4" t="str">
        <f>HYPERLINK("http://www.uniprot.org/uniprot/F6HHN6","F6HHN6")</f>
        <v>F6HHN6</v>
      </c>
      <c r="D17364" s="2" t="s">
        <v>13611</v>
      </c>
      <c r="E17364" s="3">
        <v>9.9600000000000007E-55</v>
      </c>
      <c r="F17364" s="2">
        <v>494</v>
      </c>
      <c r="G17364" s="2">
        <v>59</v>
      </c>
      <c r="H17364" s="2">
        <v>165</v>
      </c>
      <c r="I17364" s="2">
        <v>1</v>
      </c>
      <c r="J17364" s="2">
        <v>489</v>
      </c>
      <c r="K17364" s="2">
        <v>336</v>
      </c>
      <c r="L17364" s="2">
        <v>499</v>
      </c>
    </row>
    <row r="17365" spans="1:12" x14ac:dyDescent="0.25">
      <c r="A17365" s="4" t="str">
        <f>HYPERLINK("http://www.rosaceae.org/Prunus/Prunus_persica/p.persica_gdr_reftransV1_0007690","p.persica_gdr_reftransV1_0007690")</f>
        <v>p.persica_gdr_reftransV1_0007690</v>
      </c>
      <c r="B17365" s="2">
        <v>1966</v>
      </c>
      <c r="C17365" s="4" t="str">
        <f>HYPERLINK("http://www.uniprot.org/uniprot/M5XBT5","M5XBT5")</f>
        <v>M5XBT5</v>
      </c>
      <c r="D17365" s="2" t="s">
        <v>13612</v>
      </c>
      <c r="E17365" s="3">
        <v>0</v>
      </c>
      <c r="F17365" s="2">
        <v>2309</v>
      </c>
      <c r="G17365" s="2">
        <v>100</v>
      </c>
      <c r="H17365" s="2">
        <v>468</v>
      </c>
      <c r="I17365" s="2">
        <v>396</v>
      </c>
      <c r="J17365" s="2">
        <v>1799</v>
      </c>
      <c r="K17365" s="2">
        <v>1</v>
      </c>
      <c r="L17365" s="2">
        <v>468</v>
      </c>
    </row>
    <row r="17366" spans="1:12" x14ac:dyDescent="0.25">
      <c r="A17366" s="4" t="str">
        <f>HYPERLINK("http://www.rosaceae.org/Prunus/Prunus_persica/p.persica_gdr_reftransV1_0008040","p.persica_gdr_reftransV1_0008040")</f>
        <v>p.persica_gdr_reftransV1_0008040</v>
      </c>
      <c r="B17366" s="2">
        <v>699</v>
      </c>
      <c r="C17366" s="4" t="str">
        <f>HYPERLINK("http://www.uniprot.org/uniprot/M5VSP4","M5VSP4")</f>
        <v>M5VSP4</v>
      </c>
      <c r="D17366" s="2" t="s">
        <v>7024</v>
      </c>
      <c r="E17366" s="3">
        <v>2.4000000000000001E-113</v>
      </c>
      <c r="F17366" s="2">
        <v>877</v>
      </c>
      <c r="G17366" s="2">
        <v>85</v>
      </c>
      <c r="H17366" s="2">
        <v>206</v>
      </c>
      <c r="I17366" s="2">
        <v>80</v>
      </c>
      <c r="J17366" s="2">
        <v>697</v>
      </c>
      <c r="K17366" s="2">
        <v>1</v>
      </c>
      <c r="L17366" s="2">
        <v>176</v>
      </c>
    </row>
    <row r="17367" spans="1:12" x14ac:dyDescent="0.25">
      <c r="A17367" s="4" t="str">
        <f>HYPERLINK("http://www.rosaceae.org/Prunus/Prunus_persica/p.persica_gdr_reftransV1_0008740","p.persica_gdr_reftransV1_0008740")</f>
        <v>p.persica_gdr_reftransV1_0008740</v>
      </c>
      <c r="B17367" s="2">
        <v>1629</v>
      </c>
      <c r="C17367" s="4" t="str">
        <f>HYPERLINK("http://www.uniprot.org/uniprot/M5XAI8","M5XAI8")</f>
        <v>M5XAI8</v>
      </c>
      <c r="D17367" s="2" t="s">
        <v>13613</v>
      </c>
      <c r="E17367" s="3">
        <v>0</v>
      </c>
      <c r="F17367" s="2">
        <v>1908</v>
      </c>
      <c r="G17367" s="2">
        <v>96</v>
      </c>
      <c r="H17367" s="2">
        <v>400</v>
      </c>
      <c r="I17367" s="2">
        <v>202</v>
      </c>
      <c r="J17367" s="2">
        <v>1401</v>
      </c>
      <c r="K17367" s="2">
        <v>1</v>
      </c>
      <c r="L17367" s="2">
        <v>383</v>
      </c>
    </row>
    <row r="17368" spans="1:12" x14ac:dyDescent="0.25">
      <c r="A17368" s="4" t="str">
        <f>HYPERLINK("http://www.rosaceae.org/Prunus/Prunus_persica/p.persica_gdr_reftransV1_0009440","p.persica_gdr_reftransV1_0009440")</f>
        <v>p.persica_gdr_reftransV1_0009440</v>
      </c>
      <c r="B17368" s="2">
        <v>688</v>
      </c>
      <c r="C17368" s="4" t="str">
        <f>HYPERLINK("http://www.uniprot.org/uniprot/M5W0G2","M5W0G2")</f>
        <v>M5W0G2</v>
      </c>
      <c r="D17368" s="2" t="s">
        <v>5985</v>
      </c>
      <c r="E17368" s="3">
        <v>9.1500000000000004E-89</v>
      </c>
      <c r="F17368" s="2">
        <v>701</v>
      </c>
      <c r="G17368" s="2">
        <v>93</v>
      </c>
      <c r="H17368" s="2">
        <v>189</v>
      </c>
      <c r="I17368" s="2">
        <v>122</v>
      </c>
      <c r="J17368" s="2">
        <v>688</v>
      </c>
      <c r="K17368" s="2">
        <v>1</v>
      </c>
      <c r="L17368" s="2">
        <v>189</v>
      </c>
    </row>
    <row r="17369" spans="1:12" x14ac:dyDescent="0.25">
      <c r="A17369" s="4" t="str">
        <f>HYPERLINK("http://www.rosaceae.org/Prunus/Prunus_persica/p.persica_gdr_reftransV1_0010140","p.persica_gdr_reftransV1_0010140")</f>
        <v>p.persica_gdr_reftransV1_0010140</v>
      </c>
      <c r="B17369" s="2">
        <v>3778</v>
      </c>
      <c r="C17369" s="4" t="str">
        <f>HYPERLINK("http://www.uniprot.org/uniprot/M5WM70","M5WM70")</f>
        <v>M5WM70</v>
      </c>
      <c r="D17369" s="2" t="s">
        <v>13614</v>
      </c>
      <c r="E17369" s="3">
        <v>0</v>
      </c>
      <c r="F17369" s="2">
        <v>4924</v>
      </c>
      <c r="G17369" s="2">
        <v>100</v>
      </c>
      <c r="H17369" s="2">
        <v>977</v>
      </c>
      <c r="I17369" s="2">
        <v>803</v>
      </c>
      <c r="J17369" s="2">
        <v>3733</v>
      </c>
      <c r="K17369" s="2">
        <v>1</v>
      </c>
      <c r="L17369" s="2">
        <v>977</v>
      </c>
    </row>
    <row r="17370" spans="1:12" x14ac:dyDescent="0.25">
      <c r="A17370" s="4" t="str">
        <f>HYPERLINK("http://www.rosaceae.org/Prunus/Prunus_persica/p.persica_gdr_reftransV1_0010840","p.persica_gdr_reftransV1_0010840")</f>
        <v>p.persica_gdr_reftransV1_0010840</v>
      </c>
      <c r="B17370" s="2">
        <v>4385</v>
      </c>
      <c r="C17370" s="4" t="str">
        <f>HYPERLINK("http://www.uniprot.org/uniprot/M5WXR4","M5WXR4")</f>
        <v>M5WXR4</v>
      </c>
      <c r="D17370" s="2" t="s">
        <v>13615</v>
      </c>
      <c r="E17370" s="3">
        <v>0</v>
      </c>
      <c r="F17370" s="2">
        <v>5524</v>
      </c>
      <c r="G17370" s="2">
        <v>100</v>
      </c>
      <c r="H17370" s="2">
        <v>1076</v>
      </c>
      <c r="I17370" s="2">
        <v>193</v>
      </c>
      <c r="J17370" s="2">
        <v>3420</v>
      </c>
      <c r="K17370" s="2">
        <v>1</v>
      </c>
      <c r="L17370" s="2">
        <v>1076</v>
      </c>
    </row>
    <row r="17371" spans="1:12" x14ac:dyDescent="0.25">
      <c r="A17371" s="4" t="str">
        <f>HYPERLINK("http://www.rosaceae.org/Prunus/Prunus_persica/p.persica_gdr_reftransV1_0011190","p.persica_gdr_reftransV1_0011190")</f>
        <v>p.persica_gdr_reftransV1_0011190</v>
      </c>
      <c r="B17371" s="2">
        <v>2778</v>
      </c>
      <c r="C17371" s="4" t="str">
        <f>HYPERLINK("http://www.uniprot.org/uniprot/J7G586","J7G586")</f>
        <v>J7G586</v>
      </c>
      <c r="D17371" s="2" t="s">
        <v>298</v>
      </c>
      <c r="E17371" s="3">
        <v>2.1999999999999999E-115</v>
      </c>
      <c r="F17371" s="2">
        <v>902</v>
      </c>
      <c r="G17371" s="2">
        <v>45</v>
      </c>
      <c r="H17371" s="2">
        <v>398</v>
      </c>
      <c r="I17371" s="2">
        <v>1447</v>
      </c>
      <c r="J17371" s="2">
        <v>2628</v>
      </c>
      <c r="K17371" s="2">
        <v>312</v>
      </c>
      <c r="L17371" s="2">
        <v>707</v>
      </c>
    </row>
    <row r="17372" spans="1:12" x14ac:dyDescent="0.25">
      <c r="A17372" s="4" t="str">
        <f>HYPERLINK("http://www.rosaceae.org/Prunus/Prunus_persica/p.persica_gdr_reftransV1_0011540","p.persica_gdr_reftransV1_0011540")</f>
        <v>p.persica_gdr_reftransV1_0011540</v>
      </c>
      <c r="B17372" s="2">
        <v>4431</v>
      </c>
      <c r="C17372" s="4" t="str">
        <f>HYPERLINK("http://www.uniprot.org/uniprot/M5X0U5","M5X0U5")</f>
        <v>M5X0U5</v>
      </c>
      <c r="D17372" s="2" t="s">
        <v>13616</v>
      </c>
      <c r="E17372" s="3">
        <v>0</v>
      </c>
      <c r="F17372" s="2">
        <v>1818</v>
      </c>
      <c r="G17372" s="2">
        <v>94</v>
      </c>
      <c r="H17372" s="2">
        <v>363</v>
      </c>
      <c r="I17372" s="2">
        <v>3203</v>
      </c>
      <c r="J17372" s="2">
        <v>4291</v>
      </c>
      <c r="K17372" s="2">
        <v>1</v>
      </c>
      <c r="L17372" s="2">
        <v>362</v>
      </c>
    </row>
    <row r="17373" spans="1:12" x14ac:dyDescent="0.25">
      <c r="A17373" s="4" t="str">
        <f>HYPERLINK("http://www.rosaceae.org/Prunus/Prunus_persica/p.persica_gdr_reftransV1_0011890","p.persica_gdr_reftransV1_0011890")</f>
        <v>p.persica_gdr_reftransV1_0011890</v>
      </c>
      <c r="B17373" s="2">
        <v>1906</v>
      </c>
      <c r="C17373" s="4" t="str">
        <f>HYPERLINK("http://www.uniprot.org/uniprot/V4UJL9","V4UJL9")</f>
        <v>V4UJL9</v>
      </c>
      <c r="D17373" s="2" t="s">
        <v>13617</v>
      </c>
      <c r="E17373" s="3">
        <v>1.71E-177</v>
      </c>
      <c r="F17373" s="2">
        <v>1344</v>
      </c>
      <c r="G17373" s="2">
        <v>70</v>
      </c>
      <c r="H17373" s="2">
        <v>408</v>
      </c>
      <c r="I17373" s="2">
        <v>324</v>
      </c>
      <c r="J17373" s="2">
        <v>1538</v>
      </c>
      <c r="K17373" s="2">
        <v>1</v>
      </c>
      <c r="L17373" s="2">
        <v>405</v>
      </c>
    </row>
    <row r="17374" spans="1:12" x14ac:dyDescent="0.25">
      <c r="A17374" s="4" t="str">
        <f>HYPERLINK("http://www.rosaceae.org/Prunus/Prunus_persica/p.persica_gdr_reftransV1_0012240","p.persica_gdr_reftransV1_0012240")</f>
        <v>p.persica_gdr_reftransV1_0012240</v>
      </c>
      <c r="B17374" s="2">
        <v>3371</v>
      </c>
      <c r="C17374" s="4" t="str">
        <f>HYPERLINK("http://www.uniprot.org/uniprot/M5WAT3","M5WAT3")</f>
        <v>M5WAT3</v>
      </c>
      <c r="D17374" s="2" t="s">
        <v>13618</v>
      </c>
      <c r="E17374" s="3">
        <v>0</v>
      </c>
      <c r="F17374" s="2">
        <v>1035</v>
      </c>
      <c r="G17374" s="2">
        <v>98</v>
      </c>
      <c r="H17374" s="2">
        <v>197</v>
      </c>
      <c r="I17374" s="2">
        <v>2191</v>
      </c>
      <c r="J17374" s="2">
        <v>2781</v>
      </c>
      <c r="K17374" s="2">
        <v>132</v>
      </c>
      <c r="L17374" s="2">
        <v>328</v>
      </c>
    </row>
    <row r="17375" spans="1:12" x14ac:dyDescent="0.25">
      <c r="A17375" s="4" t="str">
        <f>HYPERLINK("http://www.rosaceae.org/Prunus/Prunus_persica/p.persica_gdr_reftransV1_0012940","p.persica_gdr_reftransV1_0012940")</f>
        <v>p.persica_gdr_reftransV1_0012940</v>
      </c>
      <c r="B17375" s="2">
        <v>1208</v>
      </c>
      <c r="C17375" s="4" t="str">
        <f>HYPERLINK("http://www.uniprot.org/uniprot/M5XDB6","M5XDB6")</f>
        <v>M5XDB6</v>
      </c>
      <c r="D17375" s="2" t="s">
        <v>13619</v>
      </c>
      <c r="E17375" s="3">
        <v>1.61E-163</v>
      </c>
      <c r="F17375" s="2">
        <v>1212</v>
      </c>
      <c r="G17375" s="2">
        <v>100</v>
      </c>
      <c r="H17375" s="2">
        <v>245</v>
      </c>
      <c r="I17375" s="2">
        <v>384</v>
      </c>
      <c r="J17375" s="2">
        <v>1118</v>
      </c>
      <c r="K17375" s="2">
        <v>1</v>
      </c>
      <c r="L17375" s="2">
        <v>245</v>
      </c>
    </row>
    <row r="17376" spans="1:12" x14ac:dyDescent="0.25">
      <c r="A17376" s="4" t="str">
        <f>HYPERLINK("http://www.rosaceae.org/Prunus/Prunus_persica/p.persica_gdr_reftransV1_0013640","p.persica_gdr_reftransV1_0013640")</f>
        <v>p.persica_gdr_reftransV1_0013640</v>
      </c>
      <c r="B17376" s="2">
        <v>1386</v>
      </c>
      <c r="C17376" s="4" t="str">
        <f>HYPERLINK("http://www.uniprot.org/uniprot/M5X5B1","M5X5B1")</f>
        <v>M5X5B1</v>
      </c>
      <c r="D17376" s="2" t="s">
        <v>13620</v>
      </c>
      <c r="E17376" s="3">
        <v>2.25E-42</v>
      </c>
      <c r="F17376" s="2">
        <v>435</v>
      </c>
      <c r="G17376" s="2">
        <v>99</v>
      </c>
      <c r="H17376" s="2">
        <v>106</v>
      </c>
      <c r="I17376" s="2">
        <v>3</v>
      </c>
      <c r="J17376" s="2">
        <v>320</v>
      </c>
      <c r="K17376" s="2">
        <v>1</v>
      </c>
      <c r="L17376" s="2">
        <v>106</v>
      </c>
    </row>
    <row r="17377" spans="1:12" x14ac:dyDescent="0.25">
      <c r="A17377" s="4" t="str">
        <f>HYPERLINK("http://www.rosaceae.org/Prunus/Prunus_persica/p.persica_gdr_reftransV1_0013990","p.persica_gdr_reftransV1_0013990")</f>
        <v>p.persica_gdr_reftransV1_0013990</v>
      </c>
      <c r="B17377" s="2">
        <v>881</v>
      </c>
      <c r="C17377" s="4" t="str">
        <f>HYPERLINK("http://www.uniprot.org/uniprot/M5X5R9","M5X5R9")</f>
        <v>M5X5R9</v>
      </c>
      <c r="D17377" s="2" t="s">
        <v>13621</v>
      </c>
      <c r="E17377" s="3">
        <v>7.1299999999999999E-89</v>
      </c>
      <c r="F17377" s="2">
        <v>697</v>
      </c>
      <c r="G17377" s="2">
        <v>99</v>
      </c>
      <c r="H17377" s="2">
        <v>132</v>
      </c>
      <c r="I17377" s="2">
        <v>274</v>
      </c>
      <c r="J17377" s="2">
        <v>669</v>
      </c>
      <c r="K17377" s="2">
        <v>1</v>
      </c>
      <c r="L17377" s="2">
        <v>132</v>
      </c>
    </row>
    <row r="17378" spans="1:12" x14ac:dyDescent="0.25">
      <c r="A17378" s="4" t="str">
        <f>HYPERLINK("http://www.rosaceae.org/Prunus/Prunus_persica/p.persica_gdr_reftransV1_0014340","p.persica_gdr_reftransV1_0014340")</f>
        <v>p.persica_gdr_reftransV1_0014340</v>
      </c>
      <c r="B17378" s="2">
        <v>1646</v>
      </c>
      <c r="C17378" s="4" t="str">
        <f>HYPERLINK("http://www.uniprot.org/uniprot/M5W2T5","M5W2T5")</f>
        <v>M5W2T5</v>
      </c>
      <c r="D17378" s="2" t="s">
        <v>13622</v>
      </c>
      <c r="E17378" s="3">
        <v>0</v>
      </c>
      <c r="F17378" s="2">
        <v>2093</v>
      </c>
      <c r="G17378" s="2">
        <v>100</v>
      </c>
      <c r="H17378" s="2">
        <v>405</v>
      </c>
      <c r="I17378" s="2">
        <v>174</v>
      </c>
      <c r="J17378" s="2">
        <v>1388</v>
      </c>
      <c r="K17378" s="2">
        <v>1</v>
      </c>
      <c r="L17378" s="2">
        <v>405</v>
      </c>
    </row>
    <row r="17379" spans="1:12" x14ac:dyDescent="0.25">
      <c r="A17379" s="4" t="str">
        <f>HYPERLINK("http://www.rosaceae.org/Prunus/Prunus_persica/p.persica_gdr_reftransV1_0016440","p.persica_gdr_reftransV1_0016440")</f>
        <v>p.persica_gdr_reftransV1_0016440</v>
      </c>
      <c r="B17379" s="2">
        <v>2432</v>
      </c>
      <c r="C17379" s="4" t="str">
        <f>HYPERLINK("http://www.uniprot.org/uniprot/M5VMQ1","M5VMQ1")</f>
        <v>M5VMQ1</v>
      </c>
      <c r="D17379" s="2" t="s">
        <v>13623</v>
      </c>
      <c r="E17379" s="3">
        <v>4.3800000000000001E-138</v>
      </c>
      <c r="F17379" s="2">
        <v>1079</v>
      </c>
      <c r="G17379" s="2">
        <v>100</v>
      </c>
      <c r="H17379" s="2">
        <v>218</v>
      </c>
      <c r="I17379" s="2">
        <v>823</v>
      </c>
      <c r="J17379" s="2">
        <v>1476</v>
      </c>
      <c r="K17379" s="2">
        <v>14</v>
      </c>
      <c r="L17379" s="2">
        <v>231</v>
      </c>
    </row>
    <row r="17380" spans="1:12" x14ac:dyDescent="0.25">
      <c r="A17380" s="4" t="str">
        <f>HYPERLINK("http://www.rosaceae.org/Prunus/Prunus_persica/p.persica_gdr_reftransV1_0017140","p.persica_gdr_reftransV1_0017140")</f>
        <v>p.persica_gdr_reftransV1_0017140</v>
      </c>
      <c r="B17380" s="2">
        <v>667</v>
      </c>
      <c r="C17380" s="4" t="str">
        <f>HYPERLINK("http://www.uniprot.org/uniprot/M5WSB8","M5WSB8")</f>
        <v>M5WSB8</v>
      </c>
      <c r="D17380" s="2" t="s">
        <v>10381</v>
      </c>
      <c r="E17380" s="3">
        <v>1.8100000000000001E-79</v>
      </c>
      <c r="F17380" s="2">
        <v>650</v>
      </c>
      <c r="G17380" s="2">
        <v>100</v>
      </c>
      <c r="H17380" s="2">
        <v>211</v>
      </c>
      <c r="I17380" s="2">
        <v>3</v>
      </c>
      <c r="J17380" s="2">
        <v>635</v>
      </c>
      <c r="K17380" s="2">
        <v>24</v>
      </c>
      <c r="L17380" s="2">
        <v>234</v>
      </c>
    </row>
    <row r="17381" spans="1:12" x14ac:dyDescent="0.25">
      <c r="A17381" s="4" t="str">
        <f>HYPERLINK("http://www.rosaceae.org/Prunus/Prunus_persica/p.persica_gdr_reftransV1_0018190","p.persica_gdr_reftransV1_0018190")</f>
        <v>p.persica_gdr_reftransV1_0018190</v>
      </c>
      <c r="B17381" s="2">
        <v>3396</v>
      </c>
      <c r="C17381" s="4" t="str">
        <f>HYPERLINK("http://www.uniprot.org/uniprot/M5W265","M5W265")</f>
        <v>M5W265</v>
      </c>
      <c r="D17381" s="2" t="s">
        <v>10561</v>
      </c>
      <c r="E17381" s="3">
        <v>0</v>
      </c>
      <c r="F17381" s="2">
        <v>3093</v>
      </c>
      <c r="G17381" s="2">
        <v>98</v>
      </c>
      <c r="H17381" s="2">
        <v>609</v>
      </c>
      <c r="I17381" s="2">
        <v>895</v>
      </c>
      <c r="J17381" s="2">
        <v>2721</v>
      </c>
      <c r="K17381" s="2">
        <v>225</v>
      </c>
      <c r="L17381" s="2">
        <v>830</v>
      </c>
    </row>
    <row r="17382" spans="1:12" x14ac:dyDescent="0.25">
      <c r="A17382" s="4" t="str">
        <f>HYPERLINK("http://www.rosaceae.org/Prunus/Prunus_persica/p.persica_gdr_reftransV1_0018540","p.persica_gdr_reftransV1_0018540")</f>
        <v>p.persica_gdr_reftransV1_0018540</v>
      </c>
      <c r="B17382" s="2">
        <v>801</v>
      </c>
      <c r="C17382" s="4" t="str">
        <f>HYPERLINK("http://www.uniprot.org/uniprot/M5WEV9","M5WEV9")</f>
        <v>M5WEV9</v>
      </c>
      <c r="D17382" s="2" t="s">
        <v>13624</v>
      </c>
      <c r="E17382" s="3">
        <v>2.8600000000000001E-43</v>
      </c>
      <c r="F17382" s="2">
        <v>392</v>
      </c>
      <c r="G17382" s="2">
        <v>99</v>
      </c>
      <c r="H17382" s="2">
        <v>137</v>
      </c>
      <c r="I17382" s="2">
        <v>143</v>
      </c>
      <c r="J17382" s="2">
        <v>553</v>
      </c>
      <c r="K17382" s="2">
        <v>22</v>
      </c>
      <c r="L17382" s="2">
        <v>158</v>
      </c>
    </row>
    <row r="17383" spans="1:12" x14ac:dyDescent="0.25">
      <c r="A17383" s="4" t="str">
        <f>HYPERLINK("http://www.rosaceae.org/Prunus/Prunus_persica/p.persica_gdr_reftransV1_0019240","p.persica_gdr_reftransV1_0019240")</f>
        <v>p.persica_gdr_reftransV1_0019240</v>
      </c>
      <c r="B17383" s="2">
        <v>2389</v>
      </c>
      <c r="C17383" s="4" t="str">
        <f>HYPERLINK("http://www.uniprot.org/uniprot/M5W6E5","M5W6E5")</f>
        <v>M5W6E5</v>
      </c>
      <c r="D17383" s="2" t="s">
        <v>13625</v>
      </c>
      <c r="E17383" s="3">
        <v>0</v>
      </c>
      <c r="F17383" s="2">
        <v>2992</v>
      </c>
      <c r="G17383" s="2">
        <v>100</v>
      </c>
      <c r="H17383" s="2">
        <v>549</v>
      </c>
      <c r="I17383" s="2">
        <v>302</v>
      </c>
      <c r="J17383" s="2">
        <v>1948</v>
      </c>
      <c r="K17383" s="2">
        <v>1</v>
      </c>
      <c r="L17383" s="2">
        <v>549</v>
      </c>
    </row>
    <row r="17384" spans="1:12" x14ac:dyDescent="0.25">
      <c r="A17384" s="4" t="str">
        <f>HYPERLINK("http://www.rosaceae.org/Prunus/Prunus_persica/p.persica_gdr_reftransV1_0019590","p.persica_gdr_reftransV1_0019590")</f>
        <v>p.persica_gdr_reftransV1_0019590</v>
      </c>
      <c r="B17384" s="2">
        <v>2232</v>
      </c>
      <c r="C17384" s="4" t="str">
        <f>HYPERLINK("http://www.uniprot.org/uniprot/M5XSB6","M5XSB6")</f>
        <v>M5XSB6</v>
      </c>
      <c r="D17384" s="2" t="s">
        <v>13626</v>
      </c>
      <c r="E17384" s="3">
        <v>2.5300000000000001E-167</v>
      </c>
      <c r="F17384" s="2">
        <v>1286</v>
      </c>
      <c r="G17384" s="2">
        <v>82</v>
      </c>
      <c r="H17384" s="2">
        <v>428</v>
      </c>
      <c r="I17384" s="2">
        <v>217</v>
      </c>
      <c r="J17384" s="2">
        <v>1500</v>
      </c>
      <c r="K17384" s="2">
        <v>1</v>
      </c>
      <c r="L17384" s="2">
        <v>374</v>
      </c>
    </row>
    <row r="17385" spans="1:12" x14ac:dyDescent="0.25">
      <c r="A17385" s="4" t="str">
        <f>HYPERLINK("http://www.rosaceae.org/Prunus/Prunus_persica/p.persica_gdr_reftransV1_0020990","p.persica_gdr_reftransV1_0020990")</f>
        <v>p.persica_gdr_reftransV1_0020990</v>
      </c>
      <c r="B17385" s="2">
        <v>1126</v>
      </c>
      <c r="C17385" s="4" t="str">
        <f>HYPERLINK("http://www.uniprot.org/uniprot/M5X0F6","M5X0F6")</f>
        <v>M5X0F6</v>
      </c>
      <c r="D17385" s="2" t="s">
        <v>13627</v>
      </c>
      <c r="E17385" s="3">
        <v>4.1899999999999996E-112</v>
      </c>
      <c r="F17385" s="2">
        <v>867</v>
      </c>
      <c r="G17385" s="2">
        <v>100</v>
      </c>
      <c r="H17385" s="2">
        <v>163</v>
      </c>
      <c r="I17385" s="2">
        <v>636</v>
      </c>
      <c r="J17385" s="2">
        <v>1124</v>
      </c>
      <c r="K17385" s="2">
        <v>55</v>
      </c>
      <c r="L17385" s="2">
        <v>217</v>
      </c>
    </row>
    <row r="17386" spans="1:12" x14ac:dyDescent="0.25">
      <c r="A17386" s="4" t="str">
        <f>HYPERLINK("http://www.rosaceae.org/Prunus/Prunus_persica/p.persica_gdr_reftransV1_0022390","p.persica_gdr_reftransV1_0022390")</f>
        <v>p.persica_gdr_reftransV1_0022390</v>
      </c>
      <c r="B17386" s="2">
        <v>2922</v>
      </c>
      <c r="C17386" s="4" t="str">
        <f>HYPERLINK("http://www.uniprot.org/uniprot/M5WXF4","M5WXF4")</f>
        <v>M5WXF4</v>
      </c>
      <c r="D17386" s="2" t="s">
        <v>13628</v>
      </c>
      <c r="E17386" s="3">
        <v>0</v>
      </c>
      <c r="F17386" s="2">
        <v>3384</v>
      </c>
      <c r="G17386" s="2">
        <v>95</v>
      </c>
      <c r="H17386" s="2">
        <v>752</v>
      </c>
      <c r="I17386" s="2">
        <v>282</v>
      </c>
      <c r="J17386" s="2">
        <v>2513</v>
      </c>
      <c r="K17386" s="2">
        <v>1</v>
      </c>
      <c r="L17386" s="2">
        <v>752</v>
      </c>
    </row>
    <row r="17387" spans="1:12" x14ac:dyDescent="0.25">
      <c r="A17387" s="4" t="str">
        <f>HYPERLINK("http://www.rosaceae.org/Prunus/Prunus_persica/p.persica_gdr_reftransV1_0023090","p.persica_gdr_reftransV1_0023090")</f>
        <v>p.persica_gdr_reftransV1_0023090</v>
      </c>
      <c r="B17387" s="2">
        <v>1656</v>
      </c>
      <c r="C17387" s="4" t="str">
        <f>HYPERLINK("http://www.uniprot.org/uniprot/M5XP58","M5XP58")</f>
        <v>M5XP58</v>
      </c>
      <c r="D17387" s="2" t="s">
        <v>13629</v>
      </c>
      <c r="E17387" s="3">
        <v>1.0100000000000001E-106</v>
      </c>
      <c r="F17387" s="2">
        <v>695</v>
      </c>
      <c r="G17387" s="2">
        <v>98</v>
      </c>
      <c r="H17387" s="2">
        <v>129</v>
      </c>
      <c r="I17387" s="2">
        <v>41</v>
      </c>
      <c r="J17387" s="2">
        <v>427</v>
      </c>
      <c r="K17387" s="2">
        <v>20</v>
      </c>
      <c r="L17387" s="2">
        <v>148</v>
      </c>
    </row>
    <row r="17388" spans="1:12" x14ac:dyDescent="0.25">
      <c r="A17388" s="4" t="str">
        <f>HYPERLINK("http://www.rosaceae.org/Prunus/Prunus_persica/p.persica_gdr_reftransV1_0023440","p.persica_gdr_reftransV1_0023440")</f>
        <v>p.persica_gdr_reftransV1_0023440</v>
      </c>
      <c r="B17388" s="2">
        <v>1444</v>
      </c>
      <c r="C17388" s="4" t="str">
        <f>HYPERLINK("http://www.uniprot.org/uniprot/M5X5V4","M5X5V4")</f>
        <v>M5X5V4</v>
      </c>
      <c r="D17388" s="2" t="s">
        <v>9163</v>
      </c>
      <c r="E17388" s="3">
        <v>0</v>
      </c>
      <c r="F17388" s="2">
        <v>1381</v>
      </c>
      <c r="G17388" s="2">
        <v>90</v>
      </c>
      <c r="H17388" s="2">
        <v>348</v>
      </c>
      <c r="I17388" s="2">
        <v>137</v>
      </c>
      <c r="J17388" s="2">
        <v>1180</v>
      </c>
      <c r="K17388" s="2">
        <v>1</v>
      </c>
      <c r="L17388" s="2">
        <v>314</v>
      </c>
    </row>
    <row r="17389" spans="1:12" x14ac:dyDescent="0.25">
      <c r="A17389" s="4" t="str">
        <f>HYPERLINK("http://www.rosaceae.org/Prunus/Prunus_persica/p.persica_gdr_reftransV1_0024840","p.persica_gdr_reftransV1_0024840")</f>
        <v>p.persica_gdr_reftransV1_0024840</v>
      </c>
      <c r="B17389" s="2">
        <v>3949</v>
      </c>
      <c r="C17389" s="4" t="str">
        <f>HYPERLINK("http://www.uniprot.org/uniprot/W9RF96","W9RF96")</f>
        <v>W9RF96</v>
      </c>
      <c r="D17389" s="2" t="s">
        <v>13630</v>
      </c>
      <c r="E17389" s="3">
        <v>2.8600000000000001E-159</v>
      </c>
      <c r="F17389" s="2">
        <v>1271</v>
      </c>
      <c r="G17389" s="2">
        <v>75</v>
      </c>
      <c r="H17389" s="2">
        <v>367</v>
      </c>
      <c r="I17389" s="2">
        <v>2504</v>
      </c>
      <c r="J17389" s="2">
        <v>3595</v>
      </c>
      <c r="K17389" s="2">
        <v>1</v>
      </c>
      <c r="L17389" s="2">
        <v>363</v>
      </c>
    </row>
    <row r="17390" spans="1:12" x14ac:dyDescent="0.25">
      <c r="A17390" s="4" t="str">
        <f>HYPERLINK("http://www.rosaceae.org/Prunus/Prunus_persica/p.persica_gdr_reftransV1_0026590","p.persica_gdr_reftransV1_0026590")</f>
        <v>p.persica_gdr_reftransV1_0026590</v>
      </c>
      <c r="B17390" s="2">
        <v>1089</v>
      </c>
      <c r="C17390" s="4" t="str">
        <f>HYPERLINK("http://www.uniprot.org/uniprot/M5WJQ9","M5WJQ9")</f>
        <v>M5WJQ9</v>
      </c>
      <c r="D17390" s="2" t="s">
        <v>13631</v>
      </c>
      <c r="E17390" s="3">
        <v>1.87E-46</v>
      </c>
      <c r="F17390" s="2">
        <v>415</v>
      </c>
      <c r="G17390" s="2">
        <v>98</v>
      </c>
      <c r="H17390" s="2">
        <v>80</v>
      </c>
      <c r="I17390" s="2">
        <v>202</v>
      </c>
      <c r="J17390" s="2">
        <v>441</v>
      </c>
      <c r="K17390" s="2">
        <v>1</v>
      </c>
      <c r="L17390" s="2">
        <v>80</v>
      </c>
    </row>
    <row r="17391" spans="1:12" x14ac:dyDescent="0.25">
      <c r="A17391" s="4" t="str">
        <f>HYPERLINK("http://www.rosaceae.org/Prunus/Prunus_persica/p.persica_gdr_reftransV1_0027640","p.persica_gdr_reftransV1_0027640")</f>
        <v>p.persica_gdr_reftransV1_0027640</v>
      </c>
      <c r="B17391" s="2">
        <v>4667</v>
      </c>
      <c r="C17391" s="4" t="str">
        <f>HYPERLINK("http://www.uniprot.org/uniprot/M5Y3Z7","M5Y3Z7")</f>
        <v>M5Y3Z7</v>
      </c>
      <c r="D17391" s="2" t="s">
        <v>11816</v>
      </c>
      <c r="E17391" s="3">
        <v>0</v>
      </c>
      <c r="F17391" s="2">
        <v>2120</v>
      </c>
      <c r="G17391" s="2">
        <v>90</v>
      </c>
      <c r="H17391" s="2">
        <v>458</v>
      </c>
      <c r="I17391" s="2">
        <v>3114</v>
      </c>
      <c r="J17391" s="2">
        <v>4487</v>
      </c>
      <c r="K17391" s="2">
        <v>1</v>
      </c>
      <c r="L17391" s="2">
        <v>410</v>
      </c>
    </row>
    <row r="17392" spans="1:12" x14ac:dyDescent="0.25">
      <c r="A17392" s="4" t="str">
        <f>HYPERLINK("http://www.rosaceae.org/Prunus/Prunus_persica/p.persica_gdr_reftransV1_0027990","p.persica_gdr_reftransV1_0027990")</f>
        <v>p.persica_gdr_reftransV1_0027990</v>
      </c>
      <c r="B17392" s="2">
        <v>988</v>
      </c>
      <c r="C17392" s="4" t="str">
        <f>HYPERLINK("http://www.uniprot.org/uniprot/M5XI14","M5XI14")</f>
        <v>M5XI14</v>
      </c>
      <c r="D17392" s="2" t="s">
        <v>9814</v>
      </c>
      <c r="E17392" s="3">
        <v>5.6899999999999996E-180</v>
      </c>
      <c r="F17392" s="2">
        <v>1343</v>
      </c>
      <c r="G17392" s="2">
        <v>100</v>
      </c>
      <c r="H17392" s="2">
        <v>250</v>
      </c>
      <c r="I17392" s="2">
        <v>3</v>
      </c>
      <c r="J17392" s="2">
        <v>752</v>
      </c>
      <c r="K17392" s="2">
        <v>306</v>
      </c>
      <c r="L17392" s="2">
        <v>555</v>
      </c>
    </row>
    <row r="17393" spans="1:12" x14ac:dyDescent="0.25">
      <c r="A17393" s="4" t="str">
        <f>HYPERLINK("http://www.rosaceae.org/Prunus/Prunus_persica/p.persica_gdr_reftransV1_0028340","p.persica_gdr_reftransV1_0028340")</f>
        <v>p.persica_gdr_reftransV1_0028340</v>
      </c>
      <c r="B17393" s="2">
        <v>6151</v>
      </c>
      <c r="C17393" s="4" t="str">
        <f>HYPERLINK("http://www.uniprot.org/uniprot/M5VK88","M5VK88")</f>
        <v>M5VK88</v>
      </c>
      <c r="D17393" s="2" t="s">
        <v>13632</v>
      </c>
      <c r="E17393" s="3">
        <v>0</v>
      </c>
      <c r="F17393" s="2">
        <v>7750</v>
      </c>
      <c r="G17393" s="2">
        <v>100</v>
      </c>
      <c r="H17393" s="2">
        <v>1500</v>
      </c>
      <c r="I17393" s="2">
        <v>991</v>
      </c>
      <c r="J17393" s="2">
        <v>5490</v>
      </c>
      <c r="K17393" s="2">
        <v>1</v>
      </c>
      <c r="L17393" s="2">
        <v>1500</v>
      </c>
    </row>
    <row r="17394" spans="1:12" x14ac:dyDescent="0.25">
      <c r="A17394" s="4" t="str">
        <f>HYPERLINK("http://www.rosaceae.org/Prunus/Prunus_persica/p.persica_gdr_reftransV1_0028690","p.persica_gdr_reftransV1_0028690")</f>
        <v>p.persica_gdr_reftransV1_0028690</v>
      </c>
      <c r="B17394" s="2">
        <v>1700</v>
      </c>
      <c r="C17394" s="4" t="str">
        <f>HYPERLINK("http://www.uniprot.org/uniprot/M5WMG8","M5WMG8")</f>
        <v>M5WMG8</v>
      </c>
      <c r="D17394" s="2" t="s">
        <v>13633</v>
      </c>
      <c r="E17394" s="3">
        <v>0</v>
      </c>
      <c r="F17394" s="2">
        <v>1937</v>
      </c>
      <c r="G17394" s="2">
        <v>93</v>
      </c>
      <c r="H17394" s="2">
        <v>426</v>
      </c>
      <c r="I17394" s="2">
        <v>277</v>
      </c>
      <c r="J17394" s="2">
        <v>1542</v>
      </c>
      <c r="K17394" s="2">
        <v>1</v>
      </c>
      <c r="L17394" s="2">
        <v>420</v>
      </c>
    </row>
    <row r="17395" spans="1:12" x14ac:dyDescent="0.25">
      <c r="A17395" s="4" t="str">
        <f>HYPERLINK("http://www.rosaceae.org/Prunus/Prunus_persica/p.persica_gdr_reftransV1_0029390","p.persica_gdr_reftransV1_0029390")</f>
        <v>p.persica_gdr_reftransV1_0029390</v>
      </c>
      <c r="B17395" s="2">
        <v>1790</v>
      </c>
      <c r="C17395" s="4" t="str">
        <f>HYPERLINK("http://www.uniprot.org/uniprot/M5VX82","M5VX82")</f>
        <v>M5VX82</v>
      </c>
      <c r="D17395" s="2" t="s">
        <v>13634</v>
      </c>
      <c r="E17395" s="3">
        <v>1.34E-114</v>
      </c>
      <c r="F17395" s="2">
        <v>899</v>
      </c>
      <c r="G17395" s="2">
        <v>100</v>
      </c>
      <c r="H17395" s="2">
        <v>173</v>
      </c>
      <c r="I17395" s="2">
        <v>128</v>
      </c>
      <c r="J17395" s="2">
        <v>646</v>
      </c>
      <c r="K17395" s="2">
        <v>1</v>
      </c>
      <c r="L17395" s="2">
        <v>173</v>
      </c>
    </row>
    <row r="17396" spans="1:12" x14ac:dyDescent="0.25">
      <c r="A17396" s="4" t="str">
        <f>HYPERLINK("http://www.rosaceae.org/Prunus/Prunus_persica/p.persica_gdr_reftransV1_0030440","p.persica_gdr_reftransV1_0030440")</f>
        <v>p.persica_gdr_reftransV1_0030440</v>
      </c>
      <c r="B17396" s="2">
        <v>3456</v>
      </c>
      <c r="C17396" s="4" t="str">
        <f>HYPERLINK("http://www.uniprot.org/uniprot/M5WJA8","M5WJA8")</f>
        <v>M5WJA8</v>
      </c>
      <c r="D17396" s="2" t="s">
        <v>13635</v>
      </c>
      <c r="E17396" s="3">
        <v>0</v>
      </c>
      <c r="F17396" s="2">
        <v>5106</v>
      </c>
      <c r="G17396" s="2">
        <v>100</v>
      </c>
      <c r="H17396" s="2">
        <v>1037</v>
      </c>
      <c r="I17396" s="2">
        <v>232</v>
      </c>
      <c r="J17396" s="2">
        <v>3342</v>
      </c>
      <c r="K17396" s="2">
        <v>1</v>
      </c>
      <c r="L17396" s="2">
        <v>1037</v>
      </c>
    </row>
    <row r="17397" spans="1:12" x14ac:dyDescent="0.25">
      <c r="A17397" s="4" t="str">
        <f>HYPERLINK("http://www.rosaceae.org/Prunus/Prunus_persica/p.persica_gdr_reftransV1_0030790","p.persica_gdr_reftransV1_0030790")</f>
        <v>p.persica_gdr_reftransV1_0030790</v>
      </c>
      <c r="B17397" s="2">
        <v>1516</v>
      </c>
      <c r="C17397" s="4" t="str">
        <f>HYPERLINK("http://www.uniprot.org/uniprot/M5WZX7","M5WZX7")</f>
        <v>M5WZX7</v>
      </c>
      <c r="D17397" s="2" t="s">
        <v>13636</v>
      </c>
      <c r="E17397" s="3">
        <v>0</v>
      </c>
      <c r="F17397" s="2">
        <v>1416</v>
      </c>
      <c r="G17397" s="2">
        <v>85</v>
      </c>
      <c r="H17397" s="2">
        <v>362</v>
      </c>
      <c r="I17397" s="2">
        <v>136</v>
      </c>
      <c r="J17397" s="2">
        <v>1221</v>
      </c>
      <c r="K17397" s="2">
        <v>132</v>
      </c>
      <c r="L17397" s="2">
        <v>438</v>
      </c>
    </row>
    <row r="17398" spans="1:12" x14ac:dyDescent="0.25">
      <c r="A17398" s="4" t="str">
        <f>HYPERLINK("http://www.rosaceae.org/Prunus/Prunus_persica/p.persica_gdr_reftransV1_0031140","p.persica_gdr_reftransV1_0031140")</f>
        <v>p.persica_gdr_reftransV1_0031140</v>
      </c>
      <c r="B17398" s="2">
        <v>3084</v>
      </c>
      <c r="C17398" s="4" t="str">
        <f>HYPERLINK("http://www.uniprot.org/uniprot/M5XCQ7","M5XCQ7")</f>
        <v>M5XCQ7</v>
      </c>
      <c r="D17398" s="2" t="s">
        <v>13637</v>
      </c>
      <c r="E17398" s="3">
        <v>0</v>
      </c>
      <c r="F17398" s="2">
        <v>2132</v>
      </c>
      <c r="G17398" s="2">
        <v>92</v>
      </c>
      <c r="H17398" s="2">
        <v>438</v>
      </c>
      <c r="I17398" s="2">
        <v>1495</v>
      </c>
      <c r="J17398" s="2">
        <v>2808</v>
      </c>
      <c r="K17398" s="2">
        <v>1</v>
      </c>
      <c r="L17398" s="2">
        <v>405</v>
      </c>
    </row>
    <row r="17399" spans="1:12" x14ac:dyDescent="0.25">
      <c r="A17399" s="4" t="str">
        <f>HYPERLINK("http://www.rosaceae.org/Prunus/Prunus_persica/p.persica_gdr_reftransV1_0031840","p.persica_gdr_reftransV1_0031840")</f>
        <v>p.persica_gdr_reftransV1_0031840</v>
      </c>
      <c r="B17399" s="2">
        <v>508</v>
      </c>
      <c r="C17399" s="4" t="str">
        <f>HYPERLINK("http://www.uniprot.org/uniprot/M5WNQ3","M5WNQ3")</f>
        <v>M5WNQ3</v>
      </c>
      <c r="D17399" s="2" t="s">
        <v>2704</v>
      </c>
      <c r="E17399" s="3">
        <v>3.7999999999999996E-74</v>
      </c>
      <c r="F17399" s="2">
        <v>637</v>
      </c>
      <c r="G17399" s="2">
        <v>99</v>
      </c>
      <c r="H17399" s="2">
        <v>121</v>
      </c>
      <c r="I17399" s="2">
        <v>144</v>
      </c>
      <c r="J17399" s="2">
        <v>506</v>
      </c>
      <c r="K17399" s="2">
        <v>1</v>
      </c>
      <c r="L17399" s="2">
        <v>121</v>
      </c>
    </row>
    <row r="17400" spans="1:12" x14ac:dyDescent="0.25">
      <c r="A17400" s="4" t="str">
        <f>HYPERLINK("http://www.rosaceae.org/Prunus/Prunus_persica/p.persica_gdr_reftransV1_0032890","p.persica_gdr_reftransV1_0032890")</f>
        <v>p.persica_gdr_reftransV1_0032890</v>
      </c>
      <c r="B17400" s="2">
        <v>1896</v>
      </c>
      <c r="C17400" s="4" t="str">
        <f>HYPERLINK("http://www.uniprot.org/uniprot/M5VNA4","M5VNA4")</f>
        <v>M5VNA4</v>
      </c>
      <c r="D17400" s="2" t="s">
        <v>13638</v>
      </c>
      <c r="E17400" s="3">
        <v>0</v>
      </c>
      <c r="F17400" s="2">
        <v>1553</v>
      </c>
      <c r="G17400" s="2">
        <v>93</v>
      </c>
      <c r="H17400" s="2">
        <v>348</v>
      </c>
      <c r="I17400" s="2">
        <v>524</v>
      </c>
      <c r="J17400" s="2">
        <v>1567</v>
      </c>
      <c r="K17400" s="2">
        <v>11</v>
      </c>
      <c r="L17400" s="2">
        <v>335</v>
      </c>
    </row>
    <row r="17401" spans="1:12" x14ac:dyDescent="0.25">
      <c r="A17401" s="4" t="str">
        <f>HYPERLINK("http://www.rosaceae.org/Prunus/Prunus_persica/p.persica_gdr_reftransV1_0034640","p.persica_gdr_reftransV1_0034640")</f>
        <v>p.persica_gdr_reftransV1_0034640</v>
      </c>
      <c r="B17401" s="2">
        <v>1955</v>
      </c>
      <c r="C17401" s="4" t="str">
        <f>HYPERLINK("http://www.uniprot.org/uniprot/M5XR94","M5XR94")</f>
        <v>M5XR94</v>
      </c>
      <c r="D17401" s="2" t="s">
        <v>13639</v>
      </c>
      <c r="E17401" s="3">
        <v>0</v>
      </c>
      <c r="F17401" s="2">
        <v>2621</v>
      </c>
      <c r="G17401" s="2">
        <v>100</v>
      </c>
      <c r="H17401" s="2">
        <v>518</v>
      </c>
      <c r="I17401" s="2">
        <v>13</v>
      </c>
      <c r="J17401" s="2">
        <v>1566</v>
      </c>
      <c r="K17401" s="2">
        <v>1</v>
      </c>
      <c r="L17401" s="2">
        <v>518</v>
      </c>
    </row>
    <row r="17402" spans="1:12" x14ac:dyDescent="0.25">
      <c r="A17402" s="4" t="str">
        <f>HYPERLINK("http://www.rosaceae.org/Prunus/Prunus_persica/p.persica_gdr_reftransV1_0035340","p.persica_gdr_reftransV1_0035340")</f>
        <v>p.persica_gdr_reftransV1_0035340</v>
      </c>
      <c r="B17402" s="2">
        <v>2798</v>
      </c>
      <c r="C17402" s="4" t="str">
        <f>HYPERLINK("http://www.uniprot.org/uniprot/M5WMT9","M5WMT9")</f>
        <v>M5WMT9</v>
      </c>
      <c r="D17402" s="2" t="s">
        <v>13640</v>
      </c>
      <c r="E17402" s="3">
        <v>7.5699999999999996E-143</v>
      </c>
      <c r="F17402" s="2">
        <v>1128</v>
      </c>
      <c r="G17402" s="2">
        <v>94</v>
      </c>
      <c r="H17402" s="2">
        <v>230</v>
      </c>
      <c r="I17402" s="2">
        <v>1230</v>
      </c>
      <c r="J17402" s="2">
        <v>1919</v>
      </c>
      <c r="K17402" s="2">
        <v>63</v>
      </c>
      <c r="L17402" s="2">
        <v>285</v>
      </c>
    </row>
    <row r="17403" spans="1:12" x14ac:dyDescent="0.25">
      <c r="A17403" s="4" t="str">
        <f>HYPERLINK("http://www.rosaceae.org/Prunus/Prunus_persica/p.persica_gdr_reftransV1_0036040","p.persica_gdr_reftransV1_0036040")</f>
        <v>p.persica_gdr_reftransV1_0036040</v>
      </c>
      <c r="B17403" s="2">
        <v>1854</v>
      </c>
      <c r="C17403" s="4" t="str">
        <f>HYPERLINK("http://www.uniprot.org/uniprot/A0A096UCV3","A0A096UCV3")</f>
        <v>A0A096UCV3</v>
      </c>
      <c r="D17403" s="2" t="s">
        <v>13641</v>
      </c>
      <c r="E17403" s="3">
        <v>1.5099999999999999E-175</v>
      </c>
      <c r="F17403" s="2">
        <v>1327</v>
      </c>
      <c r="G17403" s="2">
        <v>85</v>
      </c>
      <c r="H17403" s="2">
        <v>289</v>
      </c>
      <c r="I17403" s="2">
        <v>237</v>
      </c>
      <c r="J17403" s="2">
        <v>1100</v>
      </c>
      <c r="K17403" s="2">
        <v>1</v>
      </c>
      <c r="L17403" s="2">
        <v>289</v>
      </c>
    </row>
    <row r="17404" spans="1:12" x14ac:dyDescent="0.25">
      <c r="A17404" s="4" t="str">
        <f>HYPERLINK("http://www.rosaceae.org/Prunus/Prunus_persica/p.persica_gdr_reftransV1_0037790","p.persica_gdr_reftransV1_0037790")</f>
        <v>p.persica_gdr_reftransV1_0037790</v>
      </c>
      <c r="B17404" s="2">
        <v>4397</v>
      </c>
      <c r="C17404" s="4" t="str">
        <f>HYPERLINK("http://www.uniprot.org/uniprot/M5XCJ3","M5XCJ3")</f>
        <v>M5XCJ3</v>
      </c>
      <c r="D17404" s="2" t="s">
        <v>13642</v>
      </c>
      <c r="E17404" s="3">
        <v>0</v>
      </c>
      <c r="F17404" s="2">
        <v>2858</v>
      </c>
      <c r="G17404" s="2">
        <v>100</v>
      </c>
      <c r="H17404" s="2">
        <v>563</v>
      </c>
      <c r="I17404" s="2">
        <v>990</v>
      </c>
      <c r="J17404" s="2">
        <v>2678</v>
      </c>
      <c r="K17404" s="2">
        <v>22</v>
      </c>
      <c r="L17404" s="2">
        <v>584</v>
      </c>
    </row>
    <row r="17405" spans="1:12" x14ac:dyDescent="0.25">
      <c r="A17405" s="4" t="str">
        <f>HYPERLINK("http://www.rosaceae.org/Prunus/Prunus_persica/p.persica_gdr_reftransV1_0038140","p.persica_gdr_reftransV1_0038140")</f>
        <v>p.persica_gdr_reftransV1_0038140</v>
      </c>
      <c r="B17405" s="2">
        <v>4151</v>
      </c>
      <c r="C17405" s="4" t="str">
        <f>HYPERLINK("http://www.uniprot.org/uniprot/M5WYC5","M5WYC5")</f>
        <v>M5WYC5</v>
      </c>
      <c r="D17405" s="2" t="s">
        <v>13643</v>
      </c>
      <c r="E17405" s="3">
        <v>0</v>
      </c>
      <c r="F17405" s="2">
        <v>3358</v>
      </c>
      <c r="G17405" s="2">
        <v>100</v>
      </c>
      <c r="H17405" s="2">
        <v>641</v>
      </c>
      <c r="I17405" s="2">
        <v>40</v>
      </c>
      <c r="J17405" s="2">
        <v>1962</v>
      </c>
      <c r="K17405" s="2">
        <v>96</v>
      </c>
      <c r="L17405" s="2">
        <v>736</v>
      </c>
    </row>
    <row r="17406" spans="1:12" x14ac:dyDescent="0.25">
      <c r="A17406" s="4" t="str">
        <f>HYPERLINK("http://www.rosaceae.org/Prunus/Prunus_persica/p.persica_gdr_reftransV1_0039890","p.persica_gdr_reftransV1_0039890")</f>
        <v>p.persica_gdr_reftransV1_0039890</v>
      </c>
      <c r="B17406" s="2">
        <v>4125</v>
      </c>
      <c r="C17406" s="4" t="str">
        <f>HYPERLINK("http://www.uniprot.org/uniprot/M5W7G2","M5W7G2")</f>
        <v>M5W7G2</v>
      </c>
      <c r="D17406" s="2" t="s">
        <v>13644</v>
      </c>
      <c r="E17406" s="3">
        <v>0</v>
      </c>
      <c r="F17406" s="2">
        <v>4132</v>
      </c>
      <c r="G17406" s="2">
        <v>100</v>
      </c>
      <c r="H17406" s="2">
        <v>900</v>
      </c>
      <c r="I17406" s="2">
        <v>872</v>
      </c>
      <c r="J17406" s="2">
        <v>3571</v>
      </c>
      <c r="K17406" s="2">
        <v>19</v>
      </c>
      <c r="L17406" s="2">
        <v>918</v>
      </c>
    </row>
    <row r="17407" spans="1:12" x14ac:dyDescent="0.25">
      <c r="A17407" s="4" t="str">
        <f>HYPERLINK("http://www.rosaceae.org/Prunus/Prunus_persica/p.persica_gdr_reftransV1_0040240","p.persica_gdr_reftransV1_0040240")</f>
        <v>p.persica_gdr_reftransV1_0040240</v>
      </c>
      <c r="B17407" s="2">
        <v>1047</v>
      </c>
      <c r="C17407" s="4" t="str">
        <f>HYPERLINK("http://www.uniprot.org/uniprot/M5WXF5","M5WXF5")</f>
        <v>M5WXF5</v>
      </c>
      <c r="D17407" s="2" t="s">
        <v>13645</v>
      </c>
      <c r="E17407" s="3">
        <v>5.6600000000000001E-78</v>
      </c>
      <c r="F17407" s="2">
        <v>635</v>
      </c>
      <c r="G17407" s="2">
        <v>100</v>
      </c>
      <c r="H17407" s="2">
        <v>118</v>
      </c>
      <c r="I17407" s="2">
        <v>321</v>
      </c>
      <c r="J17407" s="2">
        <v>674</v>
      </c>
      <c r="K17407" s="2">
        <v>78</v>
      </c>
      <c r="L17407" s="2">
        <v>195</v>
      </c>
    </row>
    <row r="17408" spans="1:12" x14ac:dyDescent="0.25">
      <c r="A17408" s="4" t="str">
        <f>HYPERLINK("http://www.rosaceae.org/Prunus/Prunus_persica/p.persica_gdr_reftransV1_0041640","p.persica_gdr_reftransV1_0041640")</f>
        <v>p.persica_gdr_reftransV1_0041640</v>
      </c>
      <c r="B17408" s="2">
        <v>679</v>
      </c>
      <c r="C17408" s="4" t="str">
        <f>HYPERLINK("http://www.uniprot.org/uniprot/M5W4W4","M5W4W4")</f>
        <v>M5W4W4</v>
      </c>
      <c r="D17408" s="2" t="s">
        <v>13646</v>
      </c>
      <c r="E17408" s="3">
        <v>7.8400000000000006E-37</v>
      </c>
      <c r="F17408" s="2">
        <v>340</v>
      </c>
      <c r="G17408" s="2">
        <v>100</v>
      </c>
      <c r="H17408" s="2">
        <v>83</v>
      </c>
      <c r="I17408" s="2">
        <v>325</v>
      </c>
      <c r="J17408" s="2">
        <v>573</v>
      </c>
      <c r="K17408" s="2">
        <v>1</v>
      </c>
      <c r="L17408" s="2">
        <v>83</v>
      </c>
    </row>
    <row r="17409" spans="1:12" x14ac:dyDescent="0.25">
      <c r="A17409" s="4" t="str">
        <f>HYPERLINK("http://www.rosaceae.org/Prunus/Prunus_persica/p.persica_gdr_reftransV1_0043040","p.persica_gdr_reftransV1_0043040")</f>
        <v>p.persica_gdr_reftransV1_0043040</v>
      </c>
      <c r="B17409" s="2">
        <v>302</v>
      </c>
      <c r="C17409" s="4" t="str">
        <f>HYPERLINK("http://www.uniprot.org/uniprot/M5W1X3","M5W1X3")</f>
        <v>M5W1X3</v>
      </c>
      <c r="D17409" s="2" t="s">
        <v>13647</v>
      </c>
      <c r="E17409" s="3">
        <v>3.34E-40</v>
      </c>
      <c r="F17409" s="2">
        <v>356</v>
      </c>
      <c r="G17409" s="2">
        <v>92</v>
      </c>
      <c r="H17409" s="2">
        <v>77</v>
      </c>
      <c r="I17409" s="2">
        <v>3</v>
      </c>
      <c r="J17409" s="2">
        <v>215</v>
      </c>
      <c r="K17409" s="2">
        <v>1</v>
      </c>
      <c r="L17409" s="2">
        <v>77</v>
      </c>
    </row>
    <row r="17410" spans="1:12" x14ac:dyDescent="0.25">
      <c r="A17410" s="4" t="str">
        <f>HYPERLINK("http://www.rosaceae.org/Prunus/Prunus_persica/p.persica_gdr_reftransV1_0043390","p.persica_gdr_reftransV1_0043390")</f>
        <v>p.persica_gdr_reftransV1_0043390</v>
      </c>
      <c r="B17410" s="2">
        <v>402</v>
      </c>
      <c r="C17410" s="4" t="str">
        <f>HYPERLINK("http://www.uniprot.org/uniprot/M5WT82","M5WT82")</f>
        <v>M5WT82</v>
      </c>
      <c r="D17410" s="2" t="s">
        <v>1187</v>
      </c>
      <c r="E17410" s="3">
        <v>1.71E-17</v>
      </c>
      <c r="F17410" s="2">
        <v>218</v>
      </c>
      <c r="G17410" s="2">
        <v>69</v>
      </c>
      <c r="H17410" s="2">
        <v>127</v>
      </c>
      <c r="I17410" s="2">
        <v>39</v>
      </c>
      <c r="J17410" s="2">
        <v>401</v>
      </c>
      <c r="K17410" s="2">
        <v>628</v>
      </c>
      <c r="L17410" s="2">
        <v>753</v>
      </c>
    </row>
    <row r="17411" spans="1:12" x14ac:dyDescent="0.25">
      <c r="A17411" s="4" t="str">
        <f>HYPERLINK("http://www.rosaceae.org/Prunus/Prunus_persica/p.persica_gdr_reftransV1_0043740","p.persica_gdr_reftransV1_0043740")</f>
        <v>p.persica_gdr_reftransV1_0043740</v>
      </c>
      <c r="B17411" s="2">
        <v>359</v>
      </c>
      <c r="C17411" s="4" t="str">
        <f>HYPERLINK("http://www.uniprot.org/uniprot/Q2L360","Q2L360")</f>
        <v>Q2L360</v>
      </c>
      <c r="D17411" s="2" t="s">
        <v>6083</v>
      </c>
      <c r="E17411" s="3">
        <v>9.8200000000000008E-22</v>
      </c>
      <c r="F17411" s="2">
        <v>247</v>
      </c>
      <c r="G17411" s="2">
        <v>70</v>
      </c>
      <c r="H17411" s="2">
        <v>70</v>
      </c>
      <c r="I17411" s="2">
        <v>3</v>
      </c>
      <c r="J17411" s="2">
        <v>212</v>
      </c>
      <c r="K17411" s="2">
        <v>33</v>
      </c>
      <c r="L17411" s="2">
        <v>102</v>
      </c>
    </row>
    <row r="17412" spans="1:12" x14ac:dyDescent="0.25">
      <c r="A17412" s="4" t="str">
        <f>HYPERLINK("http://www.rosaceae.org/Prunus/Prunus_persica/p.persica_gdr_reftransV1_0044090","p.persica_gdr_reftransV1_0044090")</f>
        <v>p.persica_gdr_reftransV1_0044090</v>
      </c>
      <c r="B17412" s="2">
        <v>722</v>
      </c>
      <c r="C17412" s="4" t="str">
        <f>HYPERLINK("http://www.uniprot.org/uniprot/M5WEX2","M5WEX2")</f>
        <v>M5WEX2</v>
      </c>
      <c r="D17412" s="2" t="s">
        <v>13648</v>
      </c>
      <c r="E17412" s="3">
        <v>6.67E-109</v>
      </c>
      <c r="F17412" s="2">
        <v>834</v>
      </c>
      <c r="G17412" s="2">
        <v>100</v>
      </c>
      <c r="H17412" s="2">
        <v>179</v>
      </c>
      <c r="I17412" s="2">
        <v>2</v>
      </c>
      <c r="J17412" s="2">
        <v>538</v>
      </c>
      <c r="K17412" s="2">
        <v>64</v>
      </c>
      <c r="L17412" s="2">
        <v>242</v>
      </c>
    </row>
    <row r="17413" spans="1:12" x14ac:dyDescent="0.25">
      <c r="A17413" s="4" t="str">
        <f>HYPERLINK("http://www.rosaceae.org/Prunus/Prunus_persica/p.persica_gdr_reftransV1_0044440","p.persica_gdr_reftransV1_0044440")</f>
        <v>p.persica_gdr_reftransV1_0044440</v>
      </c>
      <c r="B17413" s="2">
        <v>1646</v>
      </c>
      <c r="C17413" s="4" t="str">
        <f>HYPERLINK("http://www.uniprot.org/uniprot/M5XWQ2","M5XWQ2")</f>
        <v>M5XWQ2</v>
      </c>
      <c r="D17413" s="2" t="s">
        <v>11301</v>
      </c>
      <c r="E17413" s="3">
        <v>1.2899999999999999E-152</v>
      </c>
      <c r="F17413" s="2">
        <v>1167</v>
      </c>
      <c r="G17413" s="2">
        <v>100</v>
      </c>
      <c r="H17413" s="2">
        <v>220</v>
      </c>
      <c r="I17413" s="2">
        <v>632</v>
      </c>
      <c r="J17413" s="2">
        <v>1291</v>
      </c>
      <c r="K17413" s="2">
        <v>128</v>
      </c>
      <c r="L17413" s="2">
        <v>347</v>
      </c>
    </row>
    <row r="17414" spans="1:12" x14ac:dyDescent="0.25">
      <c r="A17414" s="4" t="str">
        <f>HYPERLINK("http://www.rosaceae.org/Prunus/Prunus_persica/p.persica_gdr_reftransV1_0044790","p.persica_gdr_reftransV1_0044790")</f>
        <v>p.persica_gdr_reftransV1_0044790</v>
      </c>
      <c r="B17414" s="2">
        <v>854</v>
      </c>
      <c r="C17414" s="4" t="str">
        <f>HYPERLINK("http://www.uniprot.org/uniprot/M5Y200","M5Y200")</f>
        <v>M5Y200</v>
      </c>
      <c r="D17414" s="2" t="s">
        <v>13649</v>
      </c>
      <c r="E17414" s="3">
        <v>3.6100000000000001E-152</v>
      </c>
      <c r="F17414" s="2">
        <v>1123</v>
      </c>
      <c r="G17414" s="2">
        <v>94</v>
      </c>
      <c r="H17414" s="2">
        <v>234</v>
      </c>
      <c r="I17414" s="2">
        <v>192</v>
      </c>
      <c r="J17414" s="2">
        <v>854</v>
      </c>
      <c r="K17414" s="2">
        <v>3</v>
      </c>
      <c r="L17414" s="2">
        <v>236</v>
      </c>
    </row>
    <row r="17415" spans="1:12" x14ac:dyDescent="0.25">
      <c r="A17415" s="4" t="str">
        <f>HYPERLINK("http://www.rosaceae.org/Prunus/Prunus_persica/p.persica_gdr_reftransV1_0045140","p.persica_gdr_reftransV1_0045140")</f>
        <v>p.persica_gdr_reftransV1_0045140</v>
      </c>
      <c r="B17415" s="2">
        <v>1004</v>
      </c>
      <c r="C17415" s="4" t="str">
        <f>HYPERLINK("http://www.uniprot.org/uniprot/M5W1A0","M5W1A0")</f>
        <v>M5W1A0</v>
      </c>
      <c r="D17415" s="2" t="s">
        <v>7209</v>
      </c>
      <c r="E17415" s="3">
        <v>4.9100000000000004E-128</v>
      </c>
      <c r="F17415" s="2">
        <v>965</v>
      </c>
      <c r="G17415" s="2">
        <v>100</v>
      </c>
      <c r="H17415" s="2">
        <v>187</v>
      </c>
      <c r="I17415" s="2">
        <v>356</v>
      </c>
      <c r="J17415" s="2">
        <v>916</v>
      </c>
      <c r="K17415" s="2">
        <v>1</v>
      </c>
      <c r="L17415" s="2">
        <v>187</v>
      </c>
    </row>
    <row r="17416" spans="1:12" x14ac:dyDescent="0.25">
      <c r="A17416" s="4" t="str">
        <f>HYPERLINK("http://www.rosaceae.org/Prunus/Prunus_persica/p.persica_gdr_reftransV1_0045490","p.persica_gdr_reftransV1_0045490")</f>
        <v>p.persica_gdr_reftransV1_0045490</v>
      </c>
      <c r="B17416" s="2">
        <v>812</v>
      </c>
      <c r="C17416" s="4" t="str">
        <f>HYPERLINK("http://www.uniprot.org/uniprot/M5VKC5","M5VKC5")</f>
        <v>M5VKC5</v>
      </c>
      <c r="D17416" s="2" t="s">
        <v>13650</v>
      </c>
      <c r="E17416" s="3">
        <v>2.0300000000000002E-87</v>
      </c>
      <c r="F17416" s="2">
        <v>723</v>
      </c>
      <c r="G17416" s="2">
        <v>90</v>
      </c>
      <c r="H17416" s="2">
        <v>172</v>
      </c>
      <c r="I17416" s="2">
        <v>118</v>
      </c>
      <c r="J17416" s="2">
        <v>633</v>
      </c>
      <c r="K17416" s="2">
        <v>410</v>
      </c>
      <c r="L17416" s="2">
        <v>581</v>
      </c>
    </row>
    <row r="17417" spans="1:12" x14ac:dyDescent="0.25">
      <c r="A17417" s="4" t="str">
        <f>HYPERLINK("http://www.rosaceae.org/Prunus/Prunus_persica/p.persica_gdr_reftransV1_0045840","p.persica_gdr_reftransV1_0045840")</f>
        <v>p.persica_gdr_reftransV1_0045840</v>
      </c>
      <c r="B17417" s="2">
        <v>1611</v>
      </c>
      <c r="C17417" s="4" t="str">
        <f>HYPERLINK("http://www.uniprot.org/uniprot/A0A059A0J1","A0A059A0J1")</f>
        <v>A0A059A0J1</v>
      </c>
      <c r="D17417" s="2" t="s">
        <v>13651</v>
      </c>
      <c r="E17417" s="3">
        <v>0</v>
      </c>
      <c r="F17417" s="2">
        <v>1192</v>
      </c>
      <c r="G17417" s="2">
        <v>96</v>
      </c>
      <c r="H17417" s="2">
        <v>236</v>
      </c>
      <c r="I17417" s="2">
        <v>816</v>
      </c>
      <c r="J17417" s="2">
        <v>1523</v>
      </c>
      <c r="K17417" s="2">
        <v>4</v>
      </c>
      <c r="L17417" s="2">
        <v>239</v>
      </c>
    </row>
    <row r="17418" spans="1:12" x14ac:dyDescent="0.25">
      <c r="A17418" s="4" t="str">
        <f>HYPERLINK("http://www.rosaceae.org/Prunus/Prunus_persica/p.persica_gdr_reftransV1_0046190","p.persica_gdr_reftransV1_0046190")</f>
        <v>p.persica_gdr_reftransV1_0046190</v>
      </c>
      <c r="B17418" s="2">
        <v>534</v>
      </c>
      <c r="C17418" s="4" t="str">
        <f>HYPERLINK("http://www.uniprot.org/uniprot/M5W4N3","M5W4N3")</f>
        <v>M5W4N3</v>
      </c>
      <c r="D17418" s="2" t="s">
        <v>13652</v>
      </c>
      <c r="E17418" s="3">
        <v>6.4599999999999997E-67</v>
      </c>
      <c r="F17418" s="2">
        <v>536</v>
      </c>
      <c r="G17418" s="2">
        <v>100</v>
      </c>
      <c r="H17418" s="2">
        <v>99</v>
      </c>
      <c r="I17418" s="2">
        <v>41</v>
      </c>
      <c r="J17418" s="2">
        <v>337</v>
      </c>
      <c r="K17418" s="2">
        <v>1</v>
      </c>
      <c r="L17418" s="2">
        <v>99</v>
      </c>
    </row>
    <row r="17419" spans="1:12" x14ac:dyDescent="0.25">
      <c r="A17419" s="4" t="str">
        <f>HYPERLINK("http://www.rosaceae.org/Prunus/Prunus_persica/p.persica_gdr_reftransV1_0046540","p.persica_gdr_reftransV1_0046540")</f>
        <v>p.persica_gdr_reftransV1_0046540</v>
      </c>
      <c r="B17419" s="2">
        <v>2544</v>
      </c>
      <c r="C17419" s="4" t="str">
        <f>HYPERLINK("http://www.uniprot.org/uniprot/M5VYV4","M5VYV4")</f>
        <v>M5VYV4</v>
      </c>
      <c r="D17419" s="2" t="s">
        <v>13653</v>
      </c>
      <c r="E17419" s="3">
        <v>0</v>
      </c>
      <c r="F17419" s="2">
        <v>3465</v>
      </c>
      <c r="G17419" s="2">
        <v>100</v>
      </c>
      <c r="H17419" s="2">
        <v>668</v>
      </c>
      <c r="I17419" s="2">
        <v>307</v>
      </c>
      <c r="J17419" s="2">
        <v>2310</v>
      </c>
      <c r="K17419" s="2">
        <v>1</v>
      </c>
      <c r="L17419" s="2">
        <v>668</v>
      </c>
    </row>
    <row r="17420" spans="1:12" x14ac:dyDescent="0.25">
      <c r="A17420" s="4" t="str">
        <f>HYPERLINK("http://www.rosaceae.org/Prunus/Prunus_persica/p.persica_gdr_reftransV1_0046890","p.persica_gdr_reftransV1_0046890")</f>
        <v>p.persica_gdr_reftransV1_0046890</v>
      </c>
      <c r="B17420" s="2">
        <v>6160</v>
      </c>
      <c r="C17420" s="4" t="str">
        <f>HYPERLINK("http://www.uniprot.org/uniprot/M5WEG0","M5WEG0")</f>
        <v>M5WEG0</v>
      </c>
      <c r="D17420" s="2" t="s">
        <v>13010</v>
      </c>
      <c r="E17420" s="3">
        <v>0</v>
      </c>
      <c r="F17420" s="2">
        <v>9082</v>
      </c>
      <c r="G17420" s="2">
        <v>98</v>
      </c>
      <c r="H17420" s="2">
        <v>1851</v>
      </c>
      <c r="I17420" s="2">
        <v>469</v>
      </c>
      <c r="J17420" s="2">
        <v>5940</v>
      </c>
      <c r="K17420" s="2">
        <v>1</v>
      </c>
      <c r="L17420" s="2">
        <v>1849</v>
      </c>
    </row>
    <row r="17421" spans="1:12" x14ac:dyDescent="0.25">
      <c r="A17421" s="4" t="str">
        <f>HYPERLINK("http://www.rosaceae.org/Prunus/Prunus_persica/p.persica_gdr_reftransV1_0047590","p.persica_gdr_reftransV1_0047590")</f>
        <v>p.persica_gdr_reftransV1_0047590</v>
      </c>
      <c r="B17421" s="2">
        <v>1362</v>
      </c>
      <c r="C17421" s="4" t="str">
        <f>HYPERLINK("http://www.uniprot.org/uniprot/M5XCC6","M5XCC6")</f>
        <v>M5XCC6</v>
      </c>
      <c r="D17421" s="2" t="s">
        <v>3791</v>
      </c>
      <c r="E17421" s="3">
        <v>0</v>
      </c>
      <c r="F17421" s="2">
        <v>1493</v>
      </c>
      <c r="G17421" s="2">
        <v>100</v>
      </c>
      <c r="H17421" s="2">
        <v>313</v>
      </c>
      <c r="I17421" s="2">
        <v>160</v>
      </c>
      <c r="J17421" s="2">
        <v>1098</v>
      </c>
      <c r="K17421" s="2">
        <v>20</v>
      </c>
      <c r="L17421" s="2">
        <v>332</v>
      </c>
    </row>
    <row r="17422" spans="1:12" x14ac:dyDescent="0.25">
      <c r="A17422" s="4" t="str">
        <f>HYPERLINK("http://www.rosaceae.org/Prunus/Prunus_persica/p.persica_gdr_reftransV1_0047940","p.persica_gdr_reftransV1_0047940")</f>
        <v>p.persica_gdr_reftransV1_0047940</v>
      </c>
      <c r="B17422" s="2">
        <v>456</v>
      </c>
      <c r="C17422" s="4" t="str">
        <f>HYPERLINK("http://www.uniprot.org/uniprot/M5W756","M5W756")</f>
        <v>M5W756</v>
      </c>
      <c r="D17422" s="2" t="s">
        <v>10282</v>
      </c>
      <c r="E17422" s="3">
        <v>5.5200000000000002E-102</v>
      </c>
      <c r="F17422" s="2">
        <v>814</v>
      </c>
      <c r="G17422" s="2">
        <v>100</v>
      </c>
      <c r="H17422" s="2">
        <v>151</v>
      </c>
      <c r="I17422" s="2">
        <v>3</v>
      </c>
      <c r="J17422" s="2">
        <v>455</v>
      </c>
      <c r="K17422" s="2">
        <v>449</v>
      </c>
      <c r="L17422" s="2">
        <v>599</v>
      </c>
    </row>
    <row r="17423" spans="1:12" x14ac:dyDescent="0.25">
      <c r="A17423" s="4" t="str">
        <f>HYPERLINK("http://www.rosaceae.org/Prunus/Prunus_persica/p.persica_gdr_reftransV1_0048290","p.persica_gdr_reftransV1_0048290")</f>
        <v>p.persica_gdr_reftransV1_0048290</v>
      </c>
      <c r="B17423" s="2">
        <v>1642</v>
      </c>
      <c r="C17423" s="4" t="str">
        <f>HYPERLINK("http://www.uniprot.org/uniprot/M5XBZ4","M5XBZ4")</f>
        <v>M5XBZ4</v>
      </c>
      <c r="D17423" s="2" t="s">
        <v>2234</v>
      </c>
      <c r="E17423" s="3">
        <v>0</v>
      </c>
      <c r="F17423" s="2">
        <v>1796</v>
      </c>
      <c r="G17423" s="2">
        <v>99</v>
      </c>
      <c r="H17423" s="2">
        <v>332</v>
      </c>
      <c r="I17423" s="2">
        <v>318</v>
      </c>
      <c r="J17423" s="2">
        <v>1313</v>
      </c>
      <c r="K17423" s="2">
        <v>20</v>
      </c>
      <c r="L17423" s="2">
        <v>351</v>
      </c>
    </row>
    <row r="17424" spans="1:12" x14ac:dyDescent="0.25">
      <c r="A17424" s="4" t="str">
        <f>HYPERLINK("http://www.rosaceae.org/Prunus/Prunus_persica/p.persica_gdr_reftransV1_0048640","p.persica_gdr_reftransV1_0048640")</f>
        <v>p.persica_gdr_reftransV1_0048640</v>
      </c>
      <c r="B17424" s="2">
        <v>872</v>
      </c>
      <c r="C17424" s="4" t="str">
        <f>HYPERLINK("http://www.uniprot.org/uniprot/M5WAY6","M5WAY6")</f>
        <v>M5WAY6</v>
      </c>
      <c r="D17424" s="2" t="s">
        <v>4179</v>
      </c>
      <c r="E17424" s="3">
        <v>1.8400000000000001E-68</v>
      </c>
      <c r="F17424" s="2">
        <v>564</v>
      </c>
      <c r="G17424" s="2">
        <v>100</v>
      </c>
      <c r="H17424" s="2">
        <v>161</v>
      </c>
      <c r="I17424" s="2">
        <v>7</v>
      </c>
      <c r="J17424" s="2">
        <v>489</v>
      </c>
      <c r="K17424" s="2">
        <v>11</v>
      </c>
      <c r="L17424" s="2">
        <v>171</v>
      </c>
    </row>
    <row r="17425" spans="1:12" x14ac:dyDescent="0.25">
      <c r="A17425" s="4" t="str">
        <f>HYPERLINK("http://www.rosaceae.org/Prunus/Prunus_persica/p.persica_gdr_reftransV1_0048990","p.persica_gdr_reftransV1_0048990")</f>
        <v>p.persica_gdr_reftransV1_0048990</v>
      </c>
      <c r="B17425" s="2">
        <v>659</v>
      </c>
      <c r="C17425" s="4" t="str">
        <f>HYPERLINK("http://www.uniprot.org/uniprot/M5XJM6","M5XJM6")</f>
        <v>M5XJM6</v>
      </c>
      <c r="D17425" s="2" t="s">
        <v>13654</v>
      </c>
      <c r="E17425" s="3">
        <v>7.4099999999999994E-77</v>
      </c>
      <c r="F17425" s="2">
        <v>456</v>
      </c>
      <c r="G17425" s="2">
        <v>100</v>
      </c>
      <c r="H17425" s="2">
        <v>89</v>
      </c>
      <c r="I17425" s="2">
        <v>38</v>
      </c>
      <c r="J17425" s="2">
        <v>304</v>
      </c>
      <c r="K17425" s="2">
        <v>63</v>
      </c>
      <c r="L17425" s="2">
        <v>151</v>
      </c>
    </row>
    <row r="17426" spans="1:12" x14ac:dyDescent="0.25">
      <c r="A17426" s="4" t="str">
        <f>HYPERLINK("http://www.rosaceae.org/Prunus/Prunus_persica/p.persica_gdr_reftransV1_0000034","p.persica_gdr_reftransV1_0000034")</f>
        <v>p.persica_gdr_reftransV1_0000034</v>
      </c>
      <c r="B17426" s="2">
        <v>1193</v>
      </c>
      <c r="C17426" s="4" t="str">
        <f>HYPERLINK("http://www.uniprot.org/uniprot/M5X9T9","M5X9T9")</f>
        <v>M5X9T9</v>
      </c>
      <c r="D17426" s="2" t="s">
        <v>6623</v>
      </c>
      <c r="E17426" s="3">
        <v>0</v>
      </c>
      <c r="F17426" s="2">
        <v>1708</v>
      </c>
      <c r="G17426" s="2">
        <v>100</v>
      </c>
      <c r="H17426" s="2">
        <v>318</v>
      </c>
      <c r="I17426" s="2">
        <v>1</v>
      </c>
      <c r="J17426" s="2">
        <v>954</v>
      </c>
      <c r="K17426" s="2">
        <v>532</v>
      </c>
      <c r="L17426" s="2">
        <v>849</v>
      </c>
    </row>
    <row r="17427" spans="1:12" x14ac:dyDescent="0.25">
      <c r="A17427" s="4" t="str">
        <f>HYPERLINK("http://www.rosaceae.org/Prunus/Prunus_persica/p.persica_gdr_reftransV1_0000384","p.persica_gdr_reftransV1_0000384")</f>
        <v>p.persica_gdr_reftransV1_0000384</v>
      </c>
      <c r="B17427" s="2">
        <v>3171</v>
      </c>
      <c r="C17427" s="4" t="str">
        <f>HYPERLINK("http://www.uniprot.org/uniprot/M5W4S2","M5W4S2")</f>
        <v>M5W4S2</v>
      </c>
      <c r="D17427" s="2" t="s">
        <v>3257</v>
      </c>
      <c r="E17427" s="3">
        <v>0</v>
      </c>
      <c r="F17427" s="2">
        <v>2850</v>
      </c>
      <c r="G17427" s="2">
        <v>100</v>
      </c>
      <c r="H17427" s="2">
        <v>563</v>
      </c>
      <c r="I17427" s="2">
        <v>900</v>
      </c>
      <c r="J17427" s="2">
        <v>2588</v>
      </c>
      <c r="K17427" s="2">
        <v>34</v>
      </c>
      <c r="L17427" s="2">
        <v>596</v>
      </c>
    </row>
    <row r="17428" spans="1:12" x14ac:dyDescent="0.25">
      <c r="A17428" s="4" t="str">
        <f>HYPERLINK("http://www.rosaceae.org/Prunus/Prunus_persica/p.persica_gdr_reftransV1_0000734","p.persica_gdr_reftransV1_0000734")</f>
        <v>p.persica_gdr_reftransV1_0000734</v>
      </c>
      <c r="B17428" s="2">
        <v>1102</v>
      </c>
      <c r="C17428" s="4" t="str">
        <f>HYPERLINK("http://www.uniprot.org/uniprot/M5XYX9","M5XYX9")</f>
        <v>M5XYX9</v>
      </c>
      <c r="D17428" s="2" t="s">
        <v>13655</v>
      </c>
      <c r="E17428" s="3">
        <v>1.5500000000000001E-117</v>
      </c>
      <c r="F17428" s="2">
        <v>899</v>
      </c>
      <c r="G17428" s="2">
        <v>100</v>
      </c>
      <c r="H17428" s="2">
        <v>193</v>
      </c>
      <c r="I17428" s="2">
        <v>199</v>
      </c>
      <c r="J17428" s="2">
        <v>777</v>
      </c>
      <c r="K17428" s="2">
        <v>1</v>
      </c>
      <c r="L17428" s="2">
        <v>193</v>
      </c>
    </row>
    <row r="17429" spans="1:12" x14ac:dyDescent="0.25">
      <c r="A17429" s="4" t="str">
        <f>HYPERLINK("http://www.rosaceae.org/Prunus/Prunus_persica/p.persica_gdr_reftransV1_0001084","p.persica_gdr_reftransV1_0001084")</f>
        <v>p.persica_gdr_reftransV1_0001084</v>
      </c>
      <c r="B17429" s="2">
        <v>1646</v>
      </c>
      <c r="C17429" s="4" t="str">
        <f>HYPERLINK("http://www.uniprot.org/uniprot/M5X014","M5X014")</f>
        <v>M5X014</v>
      </c>
      <c r="D17429" s="2" t="s">
        <v>8998</v>
      </c>
      <c r="E17429" s="3">
        <v>6.5599999999999996E-172</v>
      </c>
      <c r="F17429" s="2">
        <v>1294</v>
      </c>
      <c r="G17429" s="2">
        <v>100</v>
      </c>
      <c r="H17429" s="2">
        <v>357</v>
      </c>
      <c r="I17429" s="2">
        <v>353</v>
      </c>
      <c r="J17429" s="2">
        <v>1423</v>
      </c>
      <c r="K17429" s="2">
        <v>1</v>
      </c>
      <c r="L17429" s="2">
        <v>357</v>
      </c>
    </row>
    <row r="17430" spans="1:12" x14ac:dyDescent="0.25">
      <c r="A17430" s="4" t="str">
        <f>HYPERLINK("http://www.rosaceae.org/Prunus/Prunus_persica/p.persica_gdr_reftransV1_0001784","p.persica_gdr_reftransV1_0001784")</f>
        <v>p.persica_gdr_reftransV1_0001784</v>
      </c>
      <c r="B17430" s="2">
        <v>363</v>
      </c>
      <c r="C17430" s="4" t="str">
        <f>HYPERLINK("http://www.uniprot.org/uniprot/M5W361","M5W361")</f>
        <v>M5W361</v>
      </c>
      <c r="D17430" s="2" t="s">
        <v>11981</v>
      </c>
      <c r="E17430" s="3">
        <v>3.2199999999999998E-82</v>
      </c>
      <c r="F17430" s="2">
        <v>655</v>
      </c>
      <c r="G17430" s="2">
        <v>99</v>
      </c>
      <c r="H17430" s="2">
        <v>120</v>
      </c>
      <c r="I17430" s="2">
        <v>2</v>
      </c>
      <c r="J17430" s="2">
        <v>361</v>
      </c>
      <c r="K17430" s="2">
        <v>35</v>
      </c>
      <c r="L17430" s="2">
        <v>154</v>
      </c>
    </row>
    <row r="17431" spans="1:12" x14ac:dyDescent="0.25">
      <c r="A17431" s="4" t="str">
        <f>HYPERLINK("http://www.rosaceae.org/Prunus/Prunus_persica/p.persica_gdr_reftransV1_0002134","p.persica_gdr_reftransV1_0002134")</f>
        <v>p.persica_gdr_reftransV1_0002134</v>
      </c>
      <c r="B17431" s="2">
        <v>2605</v>
      </c>
      <c r="C17431" s="4" t="str">
        <f>HYPERLINK("http://www.uniprot.org/uniprot/M5XBF0","M5XBF0")</f>
        <v>M5XBF0</v>
      </c>
      <c r="D17431" s="2" t="s">
        <v>11312</v>
      </c>
      <c r="E17431" s="3">
        <v>0</v>
      </c>
      <c r="F17431" s="2">
        <v>2242</v>
      </c>
      <c r="G17431" s="2">
        <v>74</v>
      </c>
      <c r="H17431" s="2">
        <v>652</v>
      </c>
      <c r="I17431" s="2">
        <v>497</v>
      </c>
      <c r="J17431" s="2">
        <v>2446</v>
      </c>
      <c r="K17431" s="2">
        <v>32</v>
      </c>
      <c r="L17431" s="2">
        <v>664</v>
      </c>
    </row>
    <row r="17432" spans="1:12" x14ac:dyDescent="0.25">
      <c r="A17432" s="4" t="str">
        <f>HYPERLINK("http://www.rosaceae.org/Prunus/Prunus_persica/p.persica_gdr_reftransV1_0003534","p.persica_gdr_reftransV1_0003534")</f>
        <v>p.persica_gdr_reftransV1_0003534</v>
      </c>
      <c r="B17432" s="2">
        <v>1271</v>
      </c>
      <c r="C17432" s="4" t="str">
        <f>HYPERLINK("http://www.uniprot.org/uniprot/M5XR44","M5XR44")</f>
        <v>M5XR44</v>
      </c>
      <c r="D17432" s="2" t="s">
        <v>6944</v>
      </c>
      <c r="E17432" s="3">
        <v>1.6600000000000001E-169</v>
      </c>
      <c r="F17432" s="2">
        <v>1289</v>
      </c>
      <c r="G17432" s="2">
        <v>80</v>
      </c>
      <c r="H17432" s="2">
        <v>320</v>
      </c>
      <c r="I17432" s="2">
        <v>327</v>
      </c>
      <c r="J17432" s="2">
        <v>1271</v>
      </c>
      <c r="K17432" s="2">
        <v>25</v>
      </c>
      <c r="L17432" s="2">
        <v>312</v>
      </c>
    </row>
    <row r="17433" spans="1:12" x14ac:dyDescent="0.25">
      <c r="A17433" s="4" t="str">
        <f>HYPERLINK("http://www.rosaceae.org/Prunus/Prunus_persica/p.persica_gdr_reftransV1_0004234","p.persica_gdr_reftransV1_0004234")</f>
        <v>p.persica_gdr_reftransV1_0004234</v>
      </c>
      <c r="B17433" s="2">
        <v>558</v>
      </c>
      <c r="C17433" s="4" t="str">
        <f>HYPERLINK("http://www.uniprot.org/uniprot/M5X5S8","M5X5S8")</f>
        <v>M5X5S8</v>
      </c>
      <c r="D17433" s="2" t="s">
        <v>758</v>
      </c>
      <c r="E17433" s="3">
        <v>5.5700000000000001E-92</v>
      </c>
      <c r="F17433" s="2">
        <v>751</v>
      </c>
      <c r="G17433" s="2">
        <v>97</v>
      </c>
      <c r="H17433" s="2">
        <v>145</v>
      </c>
      <c r="I17433" s="2">
        <v>124</v>
      </c>
      <c r="J17433" s="2">
        <v>558</v>
      </c>
      <c r="K17433" s="2">
        <v>531</v>
      </c>
      <c r="L17433" s="2">
        <v>675</v>
      </c>
    </row>
    <row r="17434" spans="1:12" x14ac:dyDescent="0.25">
      <c r="A17434" s="4" t="str">
        <f>HYPERLINK("http://www.rosaceae.org/Prunus/Prunus_persica/p.persica_gdr_reftransV1_0004584","p.persica_gdr_reftransV1_0004584")</f>
        <v>p.persica_gdr_reftransV1_0004584</v>
      </c>
      <c r="B17434" s="2">
        <v>1118</v>
      </c>
      <c r="C17434" s="4" t="str">
        <f>HYPERLINK("http://www.uniprot.org/uniprot/M5W3H4","M5W3H4")</f>
        <v>M5W3H4</v>
      </c>
      <c r="D17434" s="2" t="s">
        <v>8693</v>
      </c>
      <c r="E17434" s="3">
        <v>1.61E-124</v>
      </c>
      <c r="F17434" s="2">
        <v>946</v>
      </c>
      <c r="G17434" s="2">
        <v>100</v>
      </c>
      <c r="H17434" s="2">
        <v>197</v>
      </c>
      <c r="I17434" s="2">
        <v>108</v>
      </c>
      <c r="J17434" s="2">
        <v>698</v>
      </c>
      <c r="K17434" s="2">
        <v>1</v>
      </c>
      <c r="L17434" s="2">
        <v>197</v>
      </c>
    </row>
    <row r="17435" spans="1:12" x14ac:dyDescent="0.25">
      <c r="A17435" s="4" t="str">
        <f>HYPERLINK("http://www.rosaceae.org/Prunus/Prunus_persica/p.persica_gdr_reftransV1_0004934","p.persica_gdr_reftransV1_0004934")</f>
        <v>p.persica_gdr_reftransV1_0004934</v>
      </c>
      <c r="B17435" s="2">
        <v>3279</v>
      </c>
      <c r="C17435" s="4" t="str">
        <f>HYPERLINK("http://www.uniprot.org/uniprot/M5W145","M5W145")</f>
        <v>M5W145</v>
      </c>
      <c r="D17435" s="2" t="s">
        <v>2036</v>
      </c>
      <c r="E17435" s="3">
        <v>0</v>
      </c>
      <c r="F17435" s="2">
        <v>2392</v>
      </c>
      <c r="G17435" s="2">
        <v>98</v>
      </c>
      <c r="H17435" s="2">
        <v>482</v>
      </c>
      <c r="I17435" s="2">
        <v>266</v>
      </c>
      <c r="J17435" s="2">
        <v>1711</v>
      </c>
      <c r="K17435" s="2">
        <v>1</v>
      </c>
      <c r="L17435" s="2">
        <v>482</v>
      </c>
    </row>
    <row r="17436" spans="1:12" x14ac:dyDescent="0.25">
      <c r="A17436" s="4" t="str">
        <f>HYPERLINK("http://www.rosaceae.org/Prunus/Prunus_persica/p.persica_gdr_reftransV1_0005284","p.persica_gdr_reftransV1_0005284")</f>
        <v>p.persica_gdr_reftransV1_0005284</v>
      </c>
      <c r="B17436" s="2">
        <v>1217</v>
      </c>
      <c r="C17436" s="4" t="str">
        <f>HYPERLINK("http://www.uniprot.org/uniprot/M5VR38","M5VR38")</f>
        <v>M5VR38</v>
      </c>
      <c r="D17436" s="2" t="s">
        <v>13656</v>
      </c>
      <c r="E17436" s="3">
        <v>6.4400000000000002E-125</v>
      </c>
      <c r="F17436" s="2">
        <v>701</v>
      </c>
      <c r="G17436" s="2">
        <v>100</v>
      </c>
      <c r="H17436" s="2">
        <v>129</v>
      </c>
      <c r="I17436" s="2">
        <v>516</v>
      </c>
      <c r="J17436" s="2">
        <v>902</v>
      </c>
      <c r="K17436" s="2">
        <v>1</v>
      </c>
      <c r="L17436" s="2">
        <v>129</v>
      </c>
    </row>
    <row r="17437" spans="1:12" x14ac:dyDescent="0.25">
      <c r="A17437" s="4" t="str">
        <f>HYPERLINK("http://www.rosaceae.org/Prunus/Prunus_persica/p.persica_gdr_reftransV1_0006334","p.persica_gdr_reftransV1_0006334")</f>
        <v>p.persica_gdr_reftransV1_0006334</v>
      </c>
      <c r="B17437" s="2">
        <v>352</v>
      </c>
      <c r="C17437" s="4" t="str">
        <f>HYPERLINK("http://www.uniprot.org/uniprot/M5XF99","M5XF99")</f>
        <v>M5XF99</v>
      </c>
      <c r="D17437" s="2" t="s">
        <v>5419</v>
      </c>
      <c r="E17437" s="3">
        <v>1.05E-35</v>
      </c>
      <c r="F17437" s="2">
        <v>344</v>
      </c>
      <c r="G17437" s="2">
        <v>100</v>
      </c>
      <c r="H17437" s="2">
        <v>68</v>
      </c>
      <c r="I17437" s="2">
        <v>2</v>
      </c>
      <c r="J17437" s="2">
        <v>205</v>
      </c>
      <c r="K17437" s="2">
        <v>1</v>
      </c>
      <c r="L17437" s="2">
        <v>68</v>
      </c>
    </row>
    <row r="17438" spans="1:12" x14ac:dyDescent="0.25">
      <c r="A17438" s="4" t="str">
        <f>HYPERLINK("http://www.rosaceae.org/Prunus/Prunus_persica/p.persica_gdr_reftransV1_0006684","p.persica_gdr_reftransV1_0006684")</f>
        <v>p.persica_gdr_reftransV1_0006684</v>
      </c>
      <c r="B17438" s="2">
        <v>1921</v>
      </c>
      <c r="C17438" s="4" t="str">
        <f>HYPERLINK("http://www.uniprot.org/uniprot/M5X3H3","M5X3H3")</f>
        <v>M5X3H3</v>
      </c>
      <c r="D17438" s="2" t="s">
        <v>13657</v>
      </c>
      <c r="E17438" s="3">
        <v>0</v>
      </c>
      <c r="F17438" s="2">
        <v>2317</v>
      </c>
      <c r="G17438" s="2">
        <v>94</v>
      </c>
      <c r="H17438" s="2">
        <v>483</v>
      </c>
      <c r="I17438" s="2">
        <v>379</v>
      </c>
      <c r="J17438" s="2">
        <v>1827</v>
      </c>
      <c r="K17438" s="2">
        <v>43</v>
      </c>
      <c r="L17438" s="2">
        <v>498</v>
      </c>
    </row>
    <row r="17439" spans="1:12" x14ac:dyDescent="0.25">
      <c r="A17439" s="4" t="str">
        <f>HYPERLINK("http://www.rosaceae.org/Prunus/Prunus_persica/p.persica_gdr_reftransV1_0007384","p.persica_gdr_reftransV1_0007384")</f>
        <v>p.persica_gdr_reftransV1_0007384</v>
      </c>
      <c r="B17439" s="2">
        <v>2267</v>
      </c>
      <c r="C17439" s="4" t="str">
        <f>HYPERLINK("http://www.uniprot.org/uniprot/M5Y809","M5Y809")</f>
        <v>M5Y809</v>
      </c>
      <c r="D17439" s="2" t="s">
        <v>13658</v>
      </c>
      <c r="E17439" s="3">
        <v>0</v>
      </c>
      <c r="F17439" s="2">
        <v>2980</v>
      </c>
      <c r="G17439" s="2">
        <v>100</v>
      </c>
      <c r="H17439" s="2">
        <v>604</v>
      </c>
      <c r="I17439" s="2">
        <v>3</v>
      </c>
      <c r="J17439" s="2">
        <v>1814</v>
      </c>
      <c r="K17439" s="2">
        <v>8</v>
      </c>
      <c r="L17439" s="2">
        <v>611</v>
      </c>
    </row>
    <row r="17440" spans="1:12" x14ac:dyDescent="0.25">
      <c r="A17440" s="4" t="str">
        <f>HYPERLINK("http://www.rosaceae.org/Prunus/Prunus_persica/p.persica_gdr_reftransV1_0007734","p.persica_gdr_reftransV1_0007734")</f>
        <v>p.persica_gdr_reftransV1_0007734</v>
      </c>
      <c r="B17440" s="2">
        <v>1890</v>
      </c>
      <c r="C17440" s="4" t="str">
        <f>HYPERLINK("http://www.uniprot.org/uniprot/M5WLM4","M5WLM4")</f>
        <v>M5WLM4</v>
      </c>
      <c r="D17440" s="2" t="s">
        <v>13659</v>
      </c>
      <c r="E17440" s="3">
        <v>0</v>
      </c>
      <c r="F17440" s="2">
        <v>1858</v>
      </c>
      <c r="G17440" s="2">
        <v>95</v>
      </c>
      <c r="H17440" s="2">
        <v>376</v>
      </c>
      <c r="I17440" s="2">
        <v>368</v>
      </c>
      <c r="J17440" s="2">
        <v>1495</v>
      </c>
      <c r="K17440" s="2">
        <v>1</v>
      </c>
      <c r="L17440" s="2">
        <v>358</v>
      </c>
    </row>
    <row r="17441" spans="1:12" x14ac:dyDescent="0.25">
      <c r="A17441" s="4" t="str">
        <f>HYPERLINK("http://www.rosaceae.org/Prunus/Prunus_persica/p.persica_gdr_reftransV1_0008084","p.persica_gdr_reftransV1_0008084")</f>
        <v>p.persica_gdr_reftransV1_0008084</v>
      </c>
      <c r="B17441" s="2">
        <v>1140</v>
      </c>
      <c r="C17441" s="4" t="str">
        <f>HYPERLINK("http://www.uniprot.org/uniprot/M5WN68","M5WN68")</f>
        <v>M5WN68</v>
      </c>
      <c r="D17441" s="2" t="s">
        <v>13660</v>
      </c>
      <c r="E17441" s="3">
        <v>1.3899999999999999E-161</v>
      </c>
      <c r="F17441" s="2">
        <v>1196</v>
      </c>
      <c r="G17441" s="2">
        <v>100</v>
      </c>
      <c r="H17441" s="2">
        <v>241</v>
      </c>
      <c r="I17441" s="2">
        <v>196</v>
      </c>
      <c r="J17441" s="2">
        <v>918</v>
      </c>
      <c r="K17441" s="2">
        <v>1</v>
      </c>
      <c r="L17441" s="2">
        <v>241</v>
      </c>
    </row>
    <row r="17442" spans="1:12" x14ac:dyDescent="0.25">
      <c r="A17442" s="4" t="str">
        <f>HYPERLINK("http://www.rosaceae.org/Prunus/Prunus_persica/p.persica_gdr_reftransV1_0008434","p.persica_gdr_reftransV1_0008434")</f>
        <v>p.persica_gdr_reftransV1_0008434</v>
      </c>
      <c r="B17442" s="2">
        <v>1613</v>
      </c>
      <c r="C17442" s="4" t="str">
        <f>HYPERLINK("http://www.uniprot.org/uniprot/M5XEH2","M5XEH2")</f>
        <v>M5XEH2</v>
      </c>
      <c r="D17442" s="2" t="s">
        <v>13661</v>
      </c>
      <c r="E17442" s="3">
        <v>0</v>
      </c>
      <c r="F17442" s="2">
        <v>1716</v>
      </c>
      <c r="G17442" s="2">
        <v>100</v>
      </c>
      <c r="H17442" s="2">
        <v>326</v>
      </c>
      <c r="I17442" s="2">
        <v>515</v>
      </c>
      <c r="J17442" s="2">
        <v>1492</v>
      </c>
      <c r="K17442" s="2">
        <v>1</v>
      </c>
      <c r="L17442" s="2">
        <v>326</v>
      </c>
    </row>
    <row r="17443" spans="1:12" x14ac:dyDescent="0.25">
      <c r="A17443" s="4" t="str">
        <f>HYPERLINK("http://www.rosaceae.org/Prunus/Prunus_persica/p.persica_gdr_reftransV1_0009834","p.persica_gdr_reftransV1_0009834")</f>
        <v>p.persica_gdr_reftransV1_0009834</v>
      </c>
      <c r="B17443" s="2">
        <v>356</v>
      </c>
      <c r="C17443" s="4" t="str">
        <f>HYPERLINK("http://www.uniprot.org/uniprot/M5VVL2","M5VVL2")</f>
        <v>M5VVL2</v>
      </c>
      <c r="D17443" s="2" t="s">
        <v>2016</v>
      </c>
      <c r="E17443" s="3">
        <v>2.0200000000000001E-78</v>
      </c>
      <c r="F17443" s="2">
        <v>651</v>
      </c>
      <c r="G17443" s="2">
        <v>100</v>
      </c>
      <c r="H17443" s="2">
        <v>118</v>
      </c>
      <c r="I17443" s="2">
        <v>3</v>
      </c>
      <c r="J17443" s="2">
        <v>356</v>
      </c>
      <c r="K17443" s="2">
        <v>192</v>
      </c>
      <c r="L17443" s="2">
        <v>309</v>
      </c>
    </row>
    <row r="17444" spans="1:12" x14ac:dyDescent="0.25">
      <c r="A17444" s="4" t="str">
        <f>HYPERLINK("http://www.rosaceae.org/Prunus/Prunus_persica/p.persica_gdr_reftransV1_0011234","p.persica_gdr_reftransV1_0011234")</f>
        <v>p.persica_gdr_reftransV1_0011234</v>
      </c>
      <c r="B17444" s="2">
        <v>1633</v>
      </c>
      <c r="C17444" s="4" t="str">
        <f>HYPERLINK("http://www.uniprot.org/uniprot/M5W3N7","M5W3N7")</f>
        <v>M5W3N7</v>
      </c>
      <c r="D17444" s="2" t="s">
        <v>13662</v>
      </c>
      <c r="E17444" s="3">
        <v>0</v>
      </c>
      <c r="F17444" s="2">
        <v>1600</v>
      </c>
      <c r="G17444" s="2">
        <v>100</v>
      </c>
      <c r="H17444" s="2">
        <v>310</v>
      </c>
      <c r="I17444" s="2">
        <v>62</v>
      </c>
      <c r="J17444" s="2">
        <v>991</v>
      </c>
      <c r="K17444" s="2">
        <v>1</v>
      </c>
      <c r="L17444" s="2">
        <v>310</v>
      </c>
    </row>
    <row r="17445" spans="1:12" x14ac:dyDescent="0.25">
      <c r="A17445" s="4" t="str">
        <f>HYPERLINK("http://www.rosaceae.org/Prunus/Prunus_persica/p.persica_gdr_reftransV1_0011934","p.persica_gdr_reftransV1_0011934")</f>
        <v>p.persica_gdr_reftransV1_0011934</v>
      </c>
      <c r="B17445" s="2">
        <v>769</v>
      </c>
      <c r="C17445" s="4" t="str">
        <f>HYPERLINK("http://www.uniprot.org/uniprot/M5X3A9","M5X3A9")</f>
        <v>M5X3A9</v>
      </c>
      <c r="D17445" s="2" t="s">
        <v>13663</v>
      </c>
      <c r="E17445" s="3">
        <v>1.5199999999999999E-73</v>
      </c>
      <c r="F17445" s="2">
        <v>600</v>
      </c>
      <c r="G17445" s="2">
        <v>98</v>
      </c>
      <c r="H17445" s="2">
        <v>167</v>
      </c>
      <c r="I17445" s="2">
        <v>219</v>
      </c>
      <c r="J17445" s="2">
        <v>719</v>
      </c>
      <c r="K17445" s="2">
        <v>23</v>
      </c>
      <c r="L17445" s="2">
        <v>189</v>
      </c>
    </row>
    <row r="17446" spans="1:12" x14ac:dyDescent="0.25">
      <c r="A17446" s="4" t="str">
        <f>HYPERLINK("http://www.rosaceae.org/Prunus/Prunus_persica/p.persica_gdr_reftransV1_0012984","p.persica_gdr_reftransV1_0012984")</f>
        <v>p.persica_gdr_reftransV1_0012984</v>
      </c>
      <c r="B17446" s="2">
        <v>1970</v>
      </c>
      <c r="C17446" s="4" t="str">
        <f>HYPERLINK("http://www.uniprot.org/uniprot/M5XHR3","M5XHR3")</f>
        <v>M5XHR3</v>
      </c>
      <c r="D17446" s="2" t="s">
        <v>12975</v>
      </c>
      <c r="E17446" s="3">
        <v>0</v>
      </c>
      <c r="F17446" s="2">
        <v>1951</v>
      </c>
      <c r="G17446" s="2">
        <v>100</v>
      </c>
      <c r="H17446" s="2">
        <v>369</v>
      </c>
      <c r="I17446" s="2">
        <v>862</v>
      </c>
      <c r="J17446" s="2">
        <v>1968</v>
      </c>
      <c r="K17446" s="2">
        <v>237</v>
      </c>
      <c r="L17446" s="2">
        <v>605</v>
      </c>
    </row>
    <row r="17447" spans="1:12" x14ac:dyDescent="0.25">
      <c r="A17447" s="4" t="str">
        <f>HYPERLINK("http://www.rosaceae.org/Prunus/Prunus_persica/p.persica_gdr_reftransV1_0014034","p.persica_gdr_reftransV1_0014034")</f>
        <v>p.persica_gdr_reftransV1_0014034</v>
      </c>
      <c r="B17447" s="2">
        <v>1260</v>
      </c>
      <c r="C17447" s="4" t="str">
        <f>HYPERLINK("http://www.uniprot.org/uniprot/M5WTC1","M5WTC1")</f>
        <v>M5WTC1</v>
      </c>
      <c r="D17447" s="2" t="s">
        <v>3592</v>
      </c>
      <c r="E17447" s="3">
        <v>8.1599999999999998E-98</v>
      </c>
      <c r="F17447" s="2">
        <v>779</v>
      </c>
      <c r="G17447" s="2">
        <v>100</v>
      </c>
      <c r="H17447" s="2">
        <v>186</v>
      </c>
      <c r="I17447" s="2">
        <v>1</v>
      </c>
      <c r="J17447" s="2">
        <v>558</v>
      </c>
      <c r="K17447" s="2">
        <v>19</v>
      </c>
      <c r="L17447" s="2">
        <v>204</v>
      </c>
    </row>
    <row r="17448" spans="1:12" x14ac:dyDescent="0.25">
      <c r="A17448" s="4" t="str">
        <f>HYPERLINK("http://www.rosaceae.org/Prunus/Prunus_persica/p.persica_gdr_reftransV1_0014734","p.persica_gdr_reftransV1_0014734")</f>
        <v>p.persica_gdr_reftransV1_0014734</v>
      </c>
      <c r="B17448" s="2">
        <v>3139</v>
      </c>
      <c r="C17448" s="4" t="str">
        <f>HYPERLINK("http://www.uniprot.org/uniprot/M5WP45","M5WP45")</f>
        <v>M5WP45</v>
      </c>
      <c r="D17448" s="2" t="s">
        <v>8123</v>
      </c>
      <c r="E17448" s="3">
        <v>0</v>
      </c>
      <c r="F17448" s="2">
        <v>1765</v>
      </c>
      <c r="G17448" s="2">
        <v>100</v>
      </c>
      <c r="H17448" s="2">
        <v>328</v>
      </c>
      <c r="I17448" s="2">
        <v>180</v>
      </c>
      <c r="J17448" s="2">
        <v>1163</v>
      </c>
      <c r="K17448" s="2">
        <v>24</v>
      </c>
      <c r="L17448" s="2">
        <v>351</v>
      </c>
    </row>
    <row r="17449" spans="1:12" x14ac:dyDescent="0.25">
      <c r="A17449" s="4" t="str">
        <f>HYPERLINK("http://www.rosaceae.org/Prunus/Prunus_persica/p.persica_gdr_reftransV1_0015084","p.persica_gdr_reftransV1_0015084")</f>
        <v>p.persica_gdr_reftransV1_0015084</v>
      </c>
      <c r="B17449" s="2">
        <v>6167</v>
      </c>
      <c r="C17449" s="4" t="str">
        <f>HYPERLINK("http://www.uniprot.org/uniprot/M5X306","M5X306")</f>
        <v>M5X306</v>
      </c>
      <c r="D17449" s="2" t="s">
        <v>13664</v>
      </c>
      <c r="E17449" s="3">
        <v>0</v>
      </c>
      <c r="F17449" s="2">
        <v>9280</v>
      </c>
      <c r="G17449" s="2">
        <v>100</v>
      </c>
      <c r="H17449" s="2">
        <v>1851</v>
      </c>
      <c r="I17449" s="2">
        <v>254</v>
      </c>
      <c r="J17449" s="2">
        <v>5806</v>
      </c>
      <c r="K17449" s="2">
        <v>1</v>
      </c>
      <c r="L17449" s="2">
        <v>1851</v>
      </c>
    </row>
    <row r="17450" spans="1:12" x14ac:dyDescent="0.25">
      <c r="A17450" s="4" t="str">
        <f>HYPERLINK("http://www.rosaceae.org/Prunus/Prunus_persica/p.persica_gdr_reftransV1_0016134","p.persica_gdr_reftransV1_0016134")</f>
        <v>p.persica_gdr_reftransV1_0016134</v>
      </c>
      <c r="B17450" s="2">
        <v>936</v>
      </c>
      <c r="C17450" s="4" t="str">
        <f>HYPERLINK("http://www.uniprot.org/uniprot/M5X3Y7","M5X3Y7")</f>
        <v>M5X3Y7</v>
      </c>
      <c r="D17450" s="2" t="s">
        <v>11067</v>
      </c>
      <c r="E17450" s="3">
        <v>8.6900000000000001E-132</v>
      </c>
      <c r="F17450" s="2">
        <v>987</v>
      </c>
      <c r="G17450" s="2">
        <v>100</v>
      </c>
      <c r="H17450" s="2">
        <v>187</v>
      </c>
      <c r="I17450" s="2">
        <v>228</v>
      </c>
      <c r="J17450" s="2">
        <v>788</v>
      </c>
      <c r="K17450" s="2">
        <v>1</v>
      </c>
      <c r="L17450" s="2">
        <v>187</v>
      </c>
    </row>
    <row r="17451" spans="1:12" x14ac:dyDescent="0.25">
      <c r="A17451" s="4" t="str">
        <f>HYPERLINK("http://www.rosaceae.org/Prunus/Prunus_persica/p.persica_gdr_reftransV1_0017884","p.persica_gdr_reftransV1_0017884")</f>
        <v>p.persica_gdr_reftransV1_0017884</v>
      </c>
      <c r="B17451" s="2">
        <v>6382</v>
      </c>
      <c r="C17451" s="4" t="str">
        <f>HYPERLINK("http://www.uniprot.org/uniprot/M5X6E8","M5X6E8")</f>
        <v>M5X6E8</v>
      </c>
      <c r="D17451" s="2" t="s">
        <v>13665</v>
      </c>
      <c r="E17451" s="3">
        <v>0</v>
      </c>
      <c r="F17451" s="2">
        <v>5987</v>
      </c>
      <c r="G17451" s="2">
        <v>100</v>
      </c>
      <c r="H17451" s="2">
        <v>1145</v>
      </c>
      <c r="I17451" s="2">
        <v>397</v>
      </c>
      <c r="J17451" s="2">
        <v>3831</v>
      </c>
      <c r="K17451" s="2">
        <v>691</v>
      </c>
      <c r="L17451" s="2">
        <v>1835</v>
      </c>
    </row>
    <row r="17452" spans="1:12" x14ac:dyDescent="0.25">
      <c r="A17452" s="4" t="str">
        <f>HYPERLINK("http://www.rosaceae.org/Prunus/Prunus_persica/p.persica_gdr_reftransV1_0018234","p.persica_gdr_reftransV1_0018234")</f>
        <v>p.persica_gdr_reftransV1_0018234</v>
      </c>
      <c r="B17452" s="2">
        <v>2103</v>
      </c>
      <c r="C17452" s="4" t="str">
        <f>HYPERLINK("http://www.uniprot.org/uniprot/M5XXZ7","M5XXZ7")</f>
        <v>M5XXZ7</v>
      </c>
      <c r="D17452" s="2" t="s">
        <v>13666</v>
      </c>
      <c r="E17452" s="3">
        <v>0</v>
      </c>
      <c r="F17452" s="2">
        <v>2935</v>
      </c>
      <c r="G17452" s="2">
        <v>95</v>
      </c>
      <c r="H17452" s="2">
        <v>591</v>
      </c>
      <c r="I17452" s="2">
        <v>90</v>
      </c>
      <c r="J17452" s="2">
        <v>1862</v>
      </c>
      <c r="K17452" s="2">
        <v>1</v>
      </c>
      <c r="L17452" s="2">
        <v>562</v>
      </c>
    </row>
    <row r="17453" spans="1:12" x14ac:dyDescent="0.25">
      <c r="A17453" s="4" t="str">
        <f>HYPERLINK("http://www.rosaceae.org/Prunus/Prunus_persica/p.persica_gdr_reftransV1_0018584","p.persica_gdr_reftransV1_0018584")</f>
        <v>p.persica_gdr_reftransV1_0018584</v>
      </c>
      <c r="B17453" s="2">
        <v>2795</v>
      </c>
      <c r="C17453" s="4" t="str">
        <f>HYPERLINK("http://www.uniprot.org/uniprot/M5Y427","M5Y427")</f>
        <v>M5Y427</v>
      </c>
      <c r="D17453" s="2" t="s">
        <v>5005</v>
      </c>
      <c r="E17453" s="3">
        <v>0</v>
      </c>
      <c r="F17453" s="2">
        <v>2709</v>
      </c>
      <c r="G17453" s="2">
        <v>98</v>
      </c>
      <c r="H17453" s="2">
        <v>517</v>
      </c>
      <c r="I17453" s="2">
        <v>1245</v>
      </c>
      <c r="J17453" s="2">
        <v>2795</v>
      </c>
      <c r="K17453" s="2">
        <v>419</v>
      </c>
      <c r="L17453" s="2">
        <v>935</v>
      </c>
    </row>
    <row r="17454" spans="1:12" x14ac:dyDescent="0.25">
      <c r="A17454" s="4" t="str">
        <f>HYPERLINK("http://www.rosaceae.org/Prunus/Prunus_persica/p.persica_gdr_reftransV1_0018934","p.persica_gdr_reftransV1_0018934")</f>
        <v>p.persica_gdr_reftransV1_0018934</v>
      </c>
      <c r="B17454" s="2">
        <v>858</v>
      </c>
      <c r="C17454" s="4" t="str">
        <f>HYPERLINK("http://www.uniprot.org/uniprot/M5XDE0","M5XDE0")</f>
        <v>M5XDE0</v>
      </c>
      <c r="D17454" s="2" t="s">
        <v>3805</v>
      </c>
      <c r="E17454" s="3">
        <v>8.5100000000000002E-79</v>
      </c>
      <c r="F17454" s="2">
        <v>653</v>
      </c>
      <c r="G17454" s="2">
        <v>100</v>
      </c>
      <c r="H17454" s="2">
        <v>123</v>
      </c>
      <c r="I17454" s="2">
        <v>3</v>
      </c>
      <c r="J17454" s="2">
        <v>371</v>
      </c>
      <c r="K17454" s="2">
        <v>286</v>
      </c>
      <c r="L17454" s="2">
        <v>408</v>
      </c>
    </row>
    <row r="17455" spans="1:12" x14ac:dyDescent="0.25">
      <c r="A17455" s="4" t="str">
        <f>HYPERLINK("http://www.rosaceae.org/Prunus/Prunus_persica/p.persica_gdr_reftransV1_0019634","p.persica_gdr_reftransV1_0019634")</f>
        <v>p.persica_gdr_reftransV1_0019634</v>
      </c>
      <c r="B17455" s="2">
        <v>1074</v>
      </c>
      <c r="C17455" s="4" t="str">
        <f>HYPERLINK("http://www.uniprot.org/uniprot/M5X3H6","M5X3H6")</f>
        <v>M5X3H6</v>
      </c>
      <c r="D17455" s="2" t="s">
        <v>13667</v>
      </c>
      <c r="E17455" s="3">
        <v>0</v>
      </c>
      <c r="F17455" s="2">
        <v>1528</v>
      </c>
      <c r="G17455" s="2">
        <v>100</v>
      </c>
      <c r="H17455" s="2">
        <v>296</v>
      </c>
      <c r="I17455" s="2">
        <v>3</v>
      </c>
      <c r="J17455" s="2">
        <v>890</v>
      </c>
      <c r="K17455" s="2">
        <v>326</v>
      </c>
      <c r="L17455" s="2">
        <v>621</v>
      </c>
    </row>
    <row r="17456" spans="1:12" x14ac:dyDescent="0.25">
      <c r="A17456" s="4" t="str">
        <f>HYPERLINK("http://www.rosaceae.org/Prunus/Prunus_persica/p.persica_gdr_reftransV1_0021384","p.persica_gdr_reftransV1_0021384")</f>
        <v>p.persica_gdr_reftransV1_0021384</v>
      </c>
      <c r="B17456" s="2">
        <v>2916</v>
      </c>
      <c r="C17456" s="4" t="str">
        <f>HYPERLINK("http://www.uniprot.org/uniprot/M5XJP7","M5XJP7")</f>
        <v>M5XJP7</v>
      </c>
      <c r="D17456" s="2" t="s">
        <v>13668</v>
      </c>
      <c r="E17456" s="3">
        <v>5.9400000000000001E-81</v>
      </c>
      <c r="F17456" s="2">
        <v>703</v>
      </c>
      <c r="G17456" s="2">
        <v>100</v>
      </c>
      <c r="H17456" s="2">
        <v>132</v>
      </c>
      <c r="I17456" s="2">
        <v>258</v>
      </c>
      <c r="J17456" s="2">
        <v>653</v>
      </c>
      <c r="K17456" s="2">
        <v>148</v>
      </c>
      <c r="L17456" s="2">
        <v>279</v>
      </c>
    </row>
    <row r="17457" spans="1:12" x14ac:dyDescent="0.25">
      <c r="A17457" s="4" t="str">
        <f>HYPERLINK("http://www.rosaceae.org/Prunus/Prunus_persica/p.persica_gdr_reftransV1_0024184","p.persica_gdr_reftransV1_0024184")</f>
        <v>p.persica_gdr_reftransV1_0024184</v>
      </c>
      <c r="B17457" s="2">
        <v>1653</v>
      </c>
      <c r="C17457" s="4" t="str">
        <f>HYPERLINK("http://www.uniprot.org/uniprot/M5WC40","M5WC40")</f>
        <v>M5WC40</v>
      </c>
      <c r="D17457" s="2" t="s">
        <v>13669</v>
      </c>
      <c r="E17457" s="3">
        <v>1.3099999999999999E-102</v>
      </c>
      <c r="F17457" s="2">
        <v>828</v>
      </c>
      <c r="G17457" s="2">
        <v>96</v>
      </c>
      <c r="H17457" s="2">
        <v>163</v>
      </c>
      <c r="I17457" s="2">
        <v>1100</v>
      </c>
      <c r="J17457" s="2">
        <v>1588</v>
      </c>
      <c r="K17457" s="2">
        <v>1</v>
      </c>
      <c r="L17457" s="2">
        <v>158</v>
      </c>
    </row>
    <row r="17458" spans="1:12" x14ac:dyDescent="0.25">
      <c r="A17458" s="4" t="str">
        <f>HYPERLINK("http://www.rosaceae.org/Prunus/Prunus_persica/p.persica_gdr_reftransV1_0027334","p.persica_gdr_reftransV1_0027334")</f>
        <v>p.persica_gdr_reftransV1_0027334</v>
      </c>
      <c r="B17458" s="2">
        <v>3221</v>
      </c>
      <c r="C17458" s="4" t="str">
        <f>HYPERLINK("http://www.uniprot.org/uniprot/M5W2E9","M5W2E9")</f>
        <v>M5W2E9</v>
      </c>
      <c r="D17458" s="2" t="s">
        <v>13670</v>
      </c>
      <c r="E17458" s="3">
        <v>0</v>
      </c>
      <c r="F17458" s="2">
        <v>1552</v>
      </c>
      <c r="G17458" s="2">
        <v>94</v>
      </c>
      <c r="H17458" s="2">
        <v>324</v>
      </c>
      <c r="I17458" s="2">
        <v>65</v>
      </c>
      <c r="J17458" s="2">
        <v>1036</v>
      </c>
      <c r="K17458" s="2">
        <v>1</v>
      </c>
      <c r="L17458" s="2">
        <v>321</v>
      </c>
    </row>
    <row r="17459" spans="1:12" x14ac:dyDescent="0.25">
      <c r="A17459" s="4" t="str">
        <f>HYPERLINK("http://www.rosaceae.org/Prunus/Prunus_persica/p.persica_gdr_reftransV1_0027684","p.persica_gdr_reftransV1_0027684")</f>
        <v>p.persica_gdr_reftransV1_0027684</v>
      </c>
      <c r="B17459" s="2">
        <v>892</v>
      </c>
      <c r="C17459" s="4" t="str">
        <f>HYPERLINK("http://www.uniprot.org/uniprot/M5WHG7","M5WHG7")</f>
        <v>M5WHG7</v>
      </c>
      <c r="D17459" s="2" t="s">
        <v>13671</v>
      </c>
      <c r="E17459" s="3">
        <v>5.4399999999999996E-54</v>
      </c>
      <c r="F17459" s="2">
        <v>472</v>
      </c>
      <c r="G17459" s="2">
        <v>100</v>
      </c>
      <c r="H17459" s="2">
        <v>159</v>
      </c>
      <c r="I17459" s="2">
        <v>95</v>
      </c>
      <c r="J17459" s="2">
        <v>571</v>
      </c>
      <c r="K17459" s="2">
        <v>51</v>
      </c>
      <c r="L17459" s="2">
        <v>209</v>
      </c>
    </row>
    <row r="17460" spans="1:12" x14ac:dyDescent="0.25">
      <c r="A17460" s="4" t="str">
        <f>HYPERLINK("http://www.rosaceae.org/Prunus/Prunus_persica/p.persica_gdr_reftransV1_0028384","p.persica_gdr_reftransV1_0028384")</f>
        <v>p.persica_gdr_reftransV1_0028384</v>
      </c>
      <c r="B17460" s="2">
        <v>1704</v>
      </c>
      <c r="C17460" s="4" t="str">
        <f>HYPERLINK("http://www.uniprot.org/uniprot/M5WIT1","M5WIT1")</f>
        <v>M5WIT1</v>
      </c>
      <c r="D17460" s="2" t="s">
        <v>13672</v>
      </c>
      <c r="E17460" s="3">
        <v>0</v>
      </c>
      <c r="F17460" s="2">
        <v>1421</v>
      </c>
      <c r="G17460" s="2">
        <v>100</v>
      </c>
      <c r="H17460" s="2">
        <v>313</v>
      </c>
      <c r="I17460" s="2">
        <v>614</v>
      </c>
      <c r="J17460" s="2">
        <v>1552</v>
      </c>
      <c r="K17460" s="2">
        <v>1</v>
      </c>
      <c r="L17460" s="2">
        <v>313</v>
      </c>
    </row>
    <row r="17461" spans="1:12" x14ac:dyDescent="0.25">
      <c r="A17461" s="4" t="str">
        <f>HYPERLINK("http://www.rosaceae.org/Prunus/Prunus_persica/p.persica_gdr_reftransV1_0028734","p.persica_gdr_reftransV1_0028734")</f>
        <v>p.persica_gdr_reftransV1_0028734</v>
      </c>
      <c r="B17461" s="2">
        <v>1554</v>
      </c>
      <c r="C17461" s="4" t="str">
        <f>HYPERLINK("http://www.uniprot.org/uniprot/M5WBK8","M5WBK8")</f>
        <v>M5WBK8</v>
      </c>
      <c r="D17461" s="2" t="s">
        <v>13673</v>
      </c>
      <c r="E17461" s="3">
        <v>2.92E-100</v>
      </c>
      <c r="F17461" s="2">
        <v>809</v>
      </c>
      <c r="G17461" s="2">
        <v>99</v>
      </c>
      <c r="H17461" s="2">
        <v>152</v>
      </c>
      <c r="I17461" s="2">
        <v>345</v>
      </c>
      <c r="J17461" s="2">
        <v>800</v>
      </c>
      <c r="K17461" s="2">
        <v>149</v>
      </c>
      <c r="L17461" s="2">
        <v>300</v>
      </c>
    </row>
    <row r="17462" spans="1:12" x14ac:dyDescent="0.25">
      <c r="A17462" s="4" t="str">
        <f>HYPERLINK("http://www.rosaceae.org/Prunus/Prunus_persica/p.persica_gdr_reftransV1_0030134","p.persica_gdr_reftransV1_0030134")</f>
        <v>p.persica_gdr_reftransV1_0030134</v>
      </c>
      <c r="B17462" s="2">
        <v>1336</v>
      </c>
      <c r="C17462" s="4" t="str">
        <f>HYPERLINK("http://www.uniprot.org/uniprot/M5WAQ4","M5WAQ4")</f>
        <v>M5WAQ4</v>
      </c>
      <c r="D17462" s="2" t="s">
        <v>13674</v>
      </c>
      <c r="E17462" s="3">
        <v>0</v>
      </c>
      <c r="F17462" s="2">
        <v>2218</v>
      </c>
      <c r="G17462" s="2">
        <v>99</v>
      </c>
      <c r="H17462" s="2">
        <v>416</v>
      </c>
      <c r="I17462" s="2">
        <v>1</v>
      </c>
      <c r="J17462" s="2">
        <v>1248</v>
      </c>
      <c r="K17462" s="2">
        <v>1</v>
      </c>
      <c r="L17462" s="2">
        <v>416</v>
      </c>
    </row>
    <row r="17463" spans="1:12" x14ac:dyDescent="0.25">
      <c r="A17463" s="4" t="str">
        <f>HYPERLINK("http://www.rosaceae.org/Prunus/Prunus_persica/p.persica_gdr_reftransV1_0032584","p.persica_gdr_reftransV1_0032584")</f>
        <v>p.persica_gdr_reftransV1_0032584</v>
      </c>
      <c r="B17463" s="2">
        <v>1879</v>
      </c>
      <c r="C17463" s="4" t="str">
        <f>HYPERLINK("http://www.uniprot.org/uniprot/M5WXA4","M5WXA4")</f>
        <v>M5WXA4</v>
      </c>
      <c r="D17463" s="2" t="s">
        <v>13675</v>
      </c>
      <c r="E17463" s="3">
        <v>0</v>
      </c>
      <c r="F17463" s="2">
        <v>1977</v>
      </c>
      <c r="G17463" s="2">
        <v>100</v>
      </c>
      <c r="H17463" s="2">
        <v>450</v>
      </c>
      <c r="I17463" s="2">
        <v>355</v>
      </c>
      <c r="J17463" s="2">
        <v>1704</v>
      </c>
      <c r="K17463" s="2">
        <v>1</v>
      </c>
      <c r="L17463" s="2">
        <v>450</v>
      </c>
    </row>
    <row r="17464" spans="1:12" x14ac:dyDescent="0.25">
      <c r="A17464" s="4" t="str">
        <f>HYPERLINK("http://www.rosaceae.org/Prunus/Prunus_persica/p.persica_gdr_reftransV1_0032934","p.persica_gdr_reftransV1_0032934")</f>
        <v>p.persica_gdr_reftransV1_0032934</v>
      </c>
      <c r="B17464" s="2">
        <v>1784</v>
      </c>
      <c r="C17464" s="4" t="str">
        <f>HYPERLINK("http://www.uniprot.org/uniprot/M5XKL1","M5XKL1")</f>
        <v>M5XKL1</v>
      </c>
      <c r="D17464" s="2" t="s">
        <v>13676</v>
      </c>
      <c r="E17464" s="3">
        <v>3.1599999999999999E-133</v>
      </c>
      <c r="F17464" s="2">
        <v>1027</v>
      </c>
      <c r="G17464" s="2">
        <v>100</v>
      </c>
      <c r="H17464" s="2">
        <v>216</v>
      </c>
      <c r="I17464" s="2">
        <v>958</v>
      </c>
      <c r="J17464" s="2">
        <v>1605</v>
      </c>
      <c r="K17464" s="2">
        <v>1</v>
      </c>
      <c r="L17464" s="2">
        <v>216</v>
      </c>
    </row>
    <row r="17465" spans="1:12" x14ac:dyDescent="0.25">
      <c r="A17465" s="4" t="str">
        <f>HYPERLINK("http://www.rosaceae.org/Prunus/Prunus_persica/p.persica_gdr_reftransV1_0034684","p.persica_gdr_reftransV1_0034684")</f>
        <v>p.persica_gdr_reftransV1_0034684</v>
      </c>
      <c r="B17465" s="2">
        <v>4195</v>
      </c>
      <c r="C17465" s="4" t="str">
        <f>HYPERLINK("http://www.uniprot.org/uniprot/M5WYN8","M5WYN8")</f>
        <v>M5WYN8</v>
      </c>
      <c r="D17465" s="2" t="s">
        <v>13677</v>
      </c>
      <c r="E17465" s="3">
        <v>0</v>
      </c>
      <c r="F17465" s="2">
        <v>2838</v>
      </c>
      <c r="G17465" s="2">
        <v>100</v>
      </c>
      <c r="H17465" s="2">
        <v>528</v>
      </c>
      <c r="I17465" s="2">
        <v>2611</v>
      </c>
      <c r="J17465" s="2">
        <v>4194</v>
      </c>
      <c r="K17465" s="2">
        <v>155</v>
      </c>
      <c r="L17465" s="2">
        <v>682</v>
      </c>
    </row>
    <row r="17466" spans="1:12" x14ac:dyDescent="0.25">
      <c r="A17466" s="4" t="str">
        <f>HYPERLINK("http://www.rosaceae.org/Prunus/Prunus_persica/p.persica_gdr_reftransV1_0035034","p.persica_gdr_reftransV1_0035034")</f>
        <v>p.persica_gdr_reftransV1_0035034</v>
      </c>
      <c r="B17466" s="2">
        <v>6763</v>
      </c>
      <c r="C17466" s="4" t="str">
        <f>HYPERLINK("http://www.uniprot.org/uniprot/M5WGX5","M5WGX5")</f>
        <v>M5WGX5</v>
      </c>
      <c r="D17466" s="2" t="s">
        <v>13678</v>
      </c>
      <c r="E17466" s="3">
        <v>0</v>
      </c>
      <c r="F17466" s="2">
        <v>7390</v>
      </c>
      <c r="G17466" s="2">
        <v>94</v>
      </c>
      <c r="H17466" s="2">
        <v>1665</v>
      </c>
      <c r="I17466" s="2">
        <v>348</v>
      </c>
      <c r="J17466" s="2">
        <v>5186</v>
      </c>
      <c r="K17466" s="2">
        <v>242</v>
      </c>
      <c r="L17466" s="2">
        <v>1866</v>
      </c>
    </row>
    <row r="17467" spans="1:12" x14ac:dyDescent="0.25">
      <c r="A17467" s="4" t="str">
        <f>HYPERLINK("http://www.rosaceae.org/Prunus/Prunus_persica/p.persica_gdr_reftransV1_0035384","p.persica_gdr_reftransV1_0035384")</f>
        <v>p.persica_gdr_reftransV1_0035384</v>
      </c>
      <c r="B17467" s="2">
        <v>2145</v>
      </c>
      <c r="C17467" s="4" t="str">
        <f>HYPERLINK("http://www.uniprot.org/uniprot/M5XHB2","M5XHB2")</f>
        <v>M5XHB2</v>
      </c>
      <c r="D17467" s="2" t="s">
        <v>13679</v>
      </c>
      <c r="E17467" s="3">
        <v>0</v>
      </c>
      <c r="F17467" s="2">
        <v>2612</v>
      </c>
      <c r="G17467" s="2">
        <v>100</v>
      </c>
      <c r="H17467" s="2">
        <v>511</v>
      </c>
      <c r="I17467" s="2">
        <v>378</v>
      </c>
      <c r="J17467" s="2">
        <v>1910</v>
      </c>
      <c r="K17467" s="2">
        <v>1</v>
      </c>
      <c r="L17467" s="2">
        <v>511</v>
      </c>
    </row>
    <row r="17468" spans="1:12" x14ac:dyDescent="0.25">
      <c r="A17468" s="4" t="str">
        <f>HYPERLINK("http://www.rosaceae.org/Prunus/Prunus_persica/p.persica_gdr_reftransV1_0036434","p.persica_gdr_reftransV1_0036434")</f>
        <v>p.persica_gdr_reftransV1_0036434</v>
      </c>
      <c r="B17468" s="2">
        <v>2470</v>
      </c>
      <c r="C17468" s="4" t="str">
        <f>HYPERLINK("http://www.uniprot.org/uniprot/M5WIE1","M5WIE1")</f>
        <v>M5WIE1</v>
      </c>
      <c r="D17468" s="2" t="s">
        <v>13680</v>
      </c>
      <c r="E17468" s="3">
        <v>0</v>
      </c>
      <c r="F17468" s="2">
        <v>1511</v>
      </c>
      <c r="G17468" s="2">
        <v>94</v>
      </c>
      <c r="H17468" s="2">
        <v>318</v>
      </c>
      <c r="I17468" s="2">
        <v>1188</v>
      </c>
      <c r="J17468" s="2">
        <v>2141</v>
      </c>
      <c r="K17468" s="2">
        <v>1</v>
      </c>
      <c r="L17468" s="2">
        <v>317</v>
      </c>
    </row>
    <row r="17469" spans="1:12" x14ac:dyDescent="0.25">
      <c r="A17469" s="4" t="str">
        <f>HYPERLINK("http://www.rosaceae.org/Prunus/Prunus_persica/p.persica_gdr_reftransV1_0037134","p.persica_gdr_reftransV1_0037134")</f>
        <v>p.persica_gdr_reftransV1_0037134</v>
      </c>
      <c r="B17469" s="2">
        <v>2174</v>
      </c>
      <c r="C17469" s="4" t="str">
        <f>HYPERLINK("http://www.uniprot.org/uniprot/E5GBH3","E5GBH3")</f>
        <v>E5GBH3</v>
      </c>
      <c r="D17469" s="2" t="s">
        <v>13681</v>
      </c>
      <c r="E17469" s="3">
        <v>0</v>
      </c>
      <c r="F17469" s="2">
        <v>1944</v>
      </c>
      <c r="G17469" s="2">
        <v>80</v>
      </c>
      <c r="H17469" s="2">
        <v>563</v>
      </c>
      <c r="I17469" s="2">
        <v>201</v>
      </c>
      <c r="J17469" s="2">
        <v>1889</v>
      </c>
      <c r="K17469" s="2">
        <v>21</v>
      </c>
      <c r="L17469" s="2">
        <v>572</v>
      </c>
    </row>
    <row r="17470" spans="1:12" x14ac:dyDescent="0.25">
      <c r="A17470" s="4" t="str">
        <f>HYPERLINK("http://www.rosaceae.org/Prunus/Prunus_persica/p.persica_gdr_reftransV1_0037484","p.persica_gdr_reftransV1_0037484")</f>
        <v>p.persica_gdr_reftransV1_0037484</v>
      </c>
      <c r="B17470" s="2">
        <v>2610</v>
      </c>
      <c r="C17470" s="4" t="str">
        <f>HYPERLINK("http://www.uniprot.org/uniprot/M5VYH8","M5VYH8")</f>
        <v>M5VYH8</v>
      </c>
      <c r="D17470" s="2" t="s">
        <v>12240</v>
      </c>
      <c r="E17470" s="3">
        <v>0</v>
      </c>
      <c r="F17470" s="2">
        <v>2899</v>
      </c>
      <c r="G17470" s="2">
        <v>100</v>
      </c>
      <c r="H17470" s="2">
        <v>680</v>
      </c>
      <c r="I17470" s="2">
        <v>69</v>
      </c>
      <c r="J17470" s="2">
        <v>2108</v>
      </c>
      <c r="K17470" s="2">
        <v>112</v>
      </c>
      <c r="L17470" s="2">
        <v>791</v>
      </c>
    </row>
    <row r="17471" spans="1:12" x14ac:dyDescent="0.25">
      <c r="A17471" s="4" t="str">
        <f>HYPERLINK("http://www.rosaceae.org/Prunus/Prunus_persica/p.persica_gdr_reftransV1_0037834","p.persica_gdr_reftransV1_0037834")</f>
        <v>p.persica_gdr_reftransV1_0037834</v>
      </c>
      <c r="B17471" s="2">
        <v>3209</v>
      </c>
      <c r="C17471" s="4" t="str">
        <f>HYPERLINK("http://www.uniprot.org/uniprot/A0A087PQ99","A0A087PQ99")</f>
        <v>A0A087PQ99</v>
      </c>
      <c r="D17471" s="2" t="s">
        <v>2781</v>
      </c>
      <c r="E17471" s="3">
        <v>9.2900000000000004E-146</v>
      </c>
      <c r="F17471" s="2">
        <v>1243</v>
      </c>
      <c r="G17471" s="2">
        <v>45</v>
      </c>
      <c r="H17471" s="2">
        <v>577</v>
      </c>
      <c r="I17471" s="2">
        <v>471</v>
      </c>
      <c r="J17471" s="2">
        <v>2171</v>
      </c>
      <c r="K17471" s="2">
        <v>279</v>
      </c>
      <c r="L17471" s="2">
        <v>848</v>
      </c>
    </row>
    <row r="17472" spans="1:12" x14ac:dyDescent="0.25">
      <c r="A17472" s="4" t="str">
        <f>HYPERLINK("http://www.rosaceae.org/Prunus/Prunus_persica/p.persica_gdr_reftransV1_0038884","p.persica_gdr_reftransV1_0038884")</f>
        <v>p.persica_gdr_reftransV1_0038884</v>
      </c>
      <c r="B17472" s="2">
        <v>4526</v>
      </c>
      <c r="C17472" s="4" t="str">
        <f>HYPERLINK("http://www.uniprot.org/uniprot/M5WL22","M5WL22")</f>
        <v>M5WL22</v>
      </c>
      <c r="D17472" s="2" t="s">
        <v>13682</v>
      </c>
      <c r="E17472" s="3">
        <v>4.1300000000000001E-104</v>
      </c>
      <c r="F17472" s="2">
        <v>876</v>
      </c>
      <c r="G17472" s="2">
        <v>100</v>
      </c>
      <c r="H17472" s="2">
        <v>229</v>
      </c>
      <c r="I17472" s="2">
        <v>2895</v>
      </c>
      <c r="J17472" s="2">
        <v>3581</v>
      </c>
      <c r="K17472" s="2">
        <v>1</v>
      </c>
      <c r="L17472" s="2">
        <v>229</v>
      </c>
    </row>
    <row r="17473" spans="1:12" x14ac:dyDescent="0.25">
      <c r="A17473" s="4" t="str">
        <f>HYPERLINK("http://www.rosaceae.org/Prunus/Prunus_persica/p.persica_gdr_reftransV1_0042734","p.persica_gdr_reftransV1_0042734")</f>
        <v>p.persica_gdr_reftransV1_0042734</v>
      </c>
      <c r="B17473" s="2">
        <v>1878</v>
      </c>
      <c r="C17473" s="4" t="str">
        <f>HYPERLINK("http://www.uniprot.org/uniprot/M5WZP3","M5WZP3")</f>
        <v>M5WZP3</v>
      </c>
      <c r="D17473" s="2" t="s">
        <v>13683</v>
      </c>
      <c r="E17473" s="3">
        <v>0</v>
      </c>
      <c r="F17473" s="2">
        <v>1448</v>
      </c>
      <c r="G17473" s="2">
        <v>99</v>
      </c>
      <c r="H17473" s="2">
        <v>390</v>
      </c>
      <c r="I17473" s="2">
        <v>489</v>
      </c>
      <c r="J17473" s="2">
        <v>1658</v>
      </c>
      <c r="K17473" s="2">
        <v>3</v>
      </c>
      <c r="L17473" s="2">
        <v>392</v>
      </c>
    </row>
    <row r="17474" spans="1:12" x14ac:dyDescent="0.25">
      <c r="A17474" s="4" t="str">
        <f>HYPERLINK("http://www.rosaceae.org/Prunus/Prunus_persica/p.persica_gdr_reftransV1_0043084","p.persica_gdr_reftransV1_0043084")</f>
        <v>p.persica_gdr_reftransV1_0043084</v>
      </c>
      <c r="B17474" s="2">
        <v>2074</v>
      </c>
      <c r="C17474" s="4" t="str">
        <f>HYPERLINK("http://www.uniprot.org/uniprot/M5WN78","M5WN78")</f>
        <v>M5WN78</v>
      </c>
      <c r="D17474" s="2" t="s">
        <v>13684</v>
      </c>
      <c r="E17474" s="3">
        <v>0</v>
      </c>
      <c r="F17474" s="2">
        <v>2520</v>
      </c>
      <c r="G17474" s="2">
        <v>100</v>
      </c>
      <c r="H17474" s="2">
        <v>484</v>
      </c>
      <c r="I17474" s="2">
        <v>211</v>
      </c>
      <c r="J17474" s="2">
        <v>1662</v>
      </c>
      <c r="K17474" s="2">
        <v>1</v>
      </c>
      <c r="L17474" s="2">
        <v>484</v>
      </c>
    </row>
    <row r="17475" spans="1:12" x14ac:dyDescent="0.25">
      <c r="A17475" s="4" t="str">
        <f>HYPERLINK("http://www.rosaceae.org/Prunus/Prunus_persica/p.persica_gdr_reftransV1_0043434","p.persica_gdr_reftransV1_0043434")</f>
        <v>p.persica_gdr_reftransV1_0043434</v>
      </c>
      <c r="B17475" s="2">
        <v>908</v>
      </c>
      <c r="C17475" s="4" t="str">
        <f>HYPERLINK("http://www.uniprot.org/uniprot/M5W9G6","M5W9G6")</f>
        <v>M5W9G6</v>
      </c>
      <c r="D17475" s="2" t="s">
        <v>13685</v>
      </c>
      <c r="E17475" s="3">
        <v>0</v>
      </c>
      <c r="F17475" s="2">
        <v>1472</v>
      </c>
      <c r="G17475" s="2">
        <v>100</v>
      </c>
      <c r="H17475" s="2">
        <v>274</v>
      </c>
      <c r="I17475" s="2">
        <v>87</v>
      </c>
      <c r="J17475" s="2">
        <v>908</v>
      </c>
      <c r="K17475" s="2">
        <v>1</v>
      </c>
      <c r="L17475" s="2">
        <v>274</v>
      </c>
    </row>
    <row r="17476" spans="1:12" x14ac:dyDescent="0.25">
      <c r="A17476" s="4" t="str">
        <f>HYPERLINK("http://www.rosaceae.org/Prunus/Prunus_persica/p.persica_gdr_reftransV1_0043784","p.persica_gdr_reftransV1_0043784")</f>
        <v>p.persica_gdr_reftransV1_0043784</v>
      </c>
      <c r="B17476" s="2">
        <v>2548</v>
      </c>
      <c r="C17476" s="4" t="str">
        <f>HYPERLINK("http://www.uniprot.org/uniprot/M5XYB0","M5XYB0")</f>
        <v>M5XYB0</v>
      </c>
      <c r="D17476" s="2" t="s">
        <v>13686</v>
      </c>
      <c r="E17476" s="3">
        <v>0</v>
      </c>
      <c r="F17476" s="2">
        <v>2419</v>
      </c>
      <c r="G17476" s="2">
        <v>100</v>
      </c>
      <c r="H17476" s="2">
        <v>464</v>
      </c>
      <c r="I17476" s="2">
        <v>248</v>
      </c>
      <c r="J17476" s="2">
        <v>1639</v>
      </c>
      <c r="K17476" s="2">
        <v>1</v>
      </c>
      <c r="L17476" s="2">
        <v>464</v>
      </c>
    </row>
    <row r="17477" spans="1:12" x14ac:dyDescent="0.25">
      <c r="A17477" s="4" t="str">
        <f>HYPERLINK("http://www.rosaceae.org/Prunus/Prunus_persica/p.persica_gdr_reftransV1_0044134","p.persica_gdr_reftransV1_0044134")</f>
        <v>p.persica_gdr_reftransV1_0044134</v>
      </c>
      <c r="B17477" s="2">
        <v>2265</v>
      </c>
      <c r="C17477" s="4" t="str">
        <f>HYPERLINK("http://www.uniprot.org/uniprot/M5X711","M5X711")</f>
        <v>M5X711</v>
      </c>
      <c r="D17477" s="2" t="s">
        <v>13687</v>
      </c>
      <c r="E17477" s="3">
        <v>0</v>
      </c>
      <c r="F17477" s="2">
        <v>3022</v>
      </c>
      <c r="G17477" s="2">
        <v>100</v>
      </c>
      <c r="H17477" s="2">
        <v>631</v>
      </c>
      <c r="I17477" s="2">
        <v>160</v>
      </c>
      <c r="J17477" s="2">
        <v>2052</v>
      </c>
      <c r="K17477" s="2">
        <v>1</v>
      </c>
      <c r="L17477" s="2">
        <v>631</v>
      </c>
    </row>
    <row r="17478" spans="1:12" x14ac:dyDescent="0.25">
      <c r="A17478" s="4" t="str">
        <f>HYPERLINK("http://www.rosaceae.org/Prunus/Prunus_persica/p.persica_gdr_reftransV1_0044484","p.persica_gdr_reftransV1_0044484")</f>
        <v>p.persica_gdr_reftransV1_0044484</v>
      </c>
      <c r="B17478" s="2">
        <v>2398</v>
      </c>
      <c r="C17478" s="4" t="str">
        <f>HYPERLINK("http://www.uniprot.org/uniprot/M5X8K3","M5X8K3")</f>
        <v>M5X8K3</v>
      </c>
      <c r="D17478" s="2" t="s">
        <v>2725</v>
      </c>
      <c r="E17478" s="3">
        <v>0</v>
      </c>
      <c r="F17478" s="2">
        <v>3119</v>
      </c>
      <c r="G17478" s="2">
        <v>100</v>
      </c>
      <c r="H17478" s="2">
        <v>698</v>
      </c>
      <c r="I17478" s="2">
        <v>305</v>
      </c>
      <c r="J17478" s="2">
        <v>2398</v>
      </c>
      <c r="K17478" s="2">
        <v>135</v>
      </c>
      <c r="L17478" s="2">
        <v>832</v>
      </c>
    </row>
    <row r="17479" spans="1:12" x14ac:dyDescent="0.25">
      <c r="A17479" s="4" t="str">
        <f>HYPERLINK("http://www.rosaceae.org/Prunus/Prunus_persica/p.persica_gdr_reftransV1_0044834","p.persica_gdr_reftransV1_0044834")</f>
        <v>p.persica_gdr_reftransV1_0044834</v>
      </c>
      <c r="B17479" s="2">
        <v>1932</v>
      </c>
      <c r="C17479" s="4" t="str">
        <f>HYPERLINK("http://www.uniprot.org/uniprot/M5VUL7","M5VUL7")</f>
        <v>M5VUL7</v>
      </c>
      <c r="D17479" s="2" t="s">
        <v>713</v>
      </c>
      <c r="E17479" s="3">
        <v>0</v>
      </c>
      <c r="F17479" s="2">
        <v>1888</v>
      </c>
      <c r="G17479" s="2">
        <v>100</v>
      </c>
      <c r="H17479" s="2">
        <v>477</v>
      </c>
      <c r="I17479" s="2">
        <v>437</v>
      </c>
      <c r="J17479" s="2">
        <v>1867</v>
      </c>
      <c r="K17479" s="2">
        <v>1</v>
      </c>
      <c r="L17479" s="2">
        <v>477</v>
      </c>
    </row>
    <row r="17480" spans="1:12" x14ac:dyDescent="0.25">
      <c r="A17480" s="4" t="str">
        <f>HYPERLINK("http://www.rosaceae.org/Prunus/Prunus_persica/p.persica_gdr_reftransV1_0045184","p.persica_gdr_reftransV1_0045184")</f>
        <v>p.persica_gdr_reftransV1_0045184</v>
      </c>
      <c r="B17480" s="2">
        <v>3332</v>
      </c>
      <c r="C17480" s="4" t="str">
        <f>HYPERLINK("http://www.uniprot.org/uniprot/M5VSU3","M5VSU3")</f>
        <v>M5VSU3</v>
      </c>
      <c r="D17480" s="2" t="s">
        <v>13688</v>
      </c>
      <c r="E17480" s="3">
        <v>0</v>
      </c>
      <c r="F17480" s="2">
        <v>3736</v>
      </c>
      <c r="G17480" s="2">
        <v>100</v>
      </c>
      <c r="H17480" s="2">
        <v>832</v>
      </c>
      <c r="I17480" s="2">
        <v>309</v>
      </c>
      <c r="J17480" s="2">
        <v>2804</v>
      </c>
      <c r="K17480" s="2">
        <v>75</v>
      </c>
      <c r="L17480" s="2">
        <v>906</v>
      </c>
    </row>
    <row r="17481" spans="1:12" x14ac:dyDescent="0.25">
      <c r="A17481" s="4" t="str">
        <f>HYPERLINK("http://www.rosaceae.org/Prunus/Prunus_persica/p.persica_gdr_reftransV1_0045534","p.persica_gdr_reftransV1_0045534")</f>
        <v>p.persica_gdr_reftransV1_0045534</v>
      </c>
      <c r="B17481" s="2">
        <v>2429</v>
      </c>
      <c r="C17481" s="4" t="str">
        <f>HYPERLINK("http://www.uniprot.org/uniprot/M5WDH3","M5WDH3")</f>
        <v>M5WDH3</v>
      </c>
      <c r="D17481" s="2" t="s">
        <v>3740</v>
      </c>
      <c r="E17481" s="3">
        <v>0</v>
      </c>
      <c r="F17481" s="2">
        <v>3140</v>
      </c>
      <c r="G17481" s="2">
        <v>100</v>
      </c>
      <c r="H17481" s="2">
        <v>577</v>
      </c>
      <c r="I17481" s="2">
        <v>608</v>
      </c>
      <c r="J17481" s="2">
        <v>2338</v>
      </c>
      <c r="K17481" s="2">
        <v>1</v>
      </c>
      <c r="L17481" s="2">
        <v>577</v>
      </c>
    </row>
    <row r="17482" spans="1:12" x14ac:dyDescent="0.25">
      <c r="A17482" s="4" t="str">
        <f>HYPERLINK("http://www.rosaceae.org/Prunus/Prunus_persica/p.persica_gdr_reftransV1_0045884","p.persica_gdr_reftransV1_0045884")</f>
        <v>p.persica_gdr_reftransV1_0045884</v>
      </c>
      <c r="B17482" s="2">
        <v>1109</v>
      </c>
      <c r="C17482" s="4" t="str">
        <f>HYPERLINK("http://www.uniprot.org/uniprot/M5VWU8","M5VWU8")</f>
        <v>M5VWU8</v>
      </c>
      <c r="D17482" s="2" t="s">
        <v>9154</v>
      </c>
      <c r="E17482" s="3">
        <v>9.4600000000000003E-142</v>
      </c>
      <c r="F17482" s="2">
        <v>1078</v>
      </c>
      <c r="G17482" s="2">
        <v>100</v>
      </c>
      <c r="H17482" s="2">
        <v>274</v>
      </c>
      <c r="I17482" s="2">
        <v>287</v>
      </c>
      <c r="J17482" s="2">
        <v>1108</v>
      </c>
      <c r="K17482" s="2">
        <v>1</v>
      </c>
      <c r="L17482" s="2">
        <v>274</v>
      </c>
    </row>
    <row r="17483" spans="1:12" x14ac:dyDescent="0.25">
      <c r="A17483" s="4" t="str">
        <f>HYPERLINK("http://www.rosaceae.org/Prunus/Prunus_persica/p.persica_gdr_reftransV1_0046584","p.persica_gdr_reftransV1_0046584")</f>
        <v>p.persica_gdr_reftransV1_0046584</v>
      </c>
      <c r="B17483" s="2">
        <v>842</v>
      </c>
      <c r="C17483" s="4" t="str">
        <f>HYPERLINK("http://www.uniprot.org/uniprot/M5X7W4","M5X7W4")</f>
        <v>M5X7W4</v>
      </c>
      <c r="D17483" s="2" t="s">
        <v>13689</v>
      </c>
      <c r="E17483" s="3">
        <v>1.9100000000000001E-89</v>
      </c>
      <c r="F17483" s="2">
        <v>699</v>
      </c>
      <c r="G17483" s="2">
        <v>99</v>
      </c>
      <c r="H17483" s="2">
        <v>134</v>
      </c>
      <c r="I17483" s="2">
        <v>230</v>
      </c>
      <c r="J17483" s="2">
        <v>631</v>
      </c>
      <c r="K17483" s="2">
        <v>2</v>
      </c>
      <c r="L17483" s="2">
        <v>135</v>
      </c>
    </row>
    <row r="17484" spans="1:12" x14ac:dyDescent="0.25">
      <c r="A17484" s="4" t="str">
        <f>HYPERLINK("http://www.rosaceae.org/Prunus/Prunus_persica/p.persica_gdr_reftransV1_0046934","p.persica_gdr_reftransV1_0046934")</f>
        <v>p.persica_gdr_reftransV1_0046934</v>
      </c>
      <c r="B17484" s="2">
        <v>541</v>
      </c>
      <c r="C17484" s="4" t="str">
        <f>HYPERLINK("http://www.uniprot.org/uniprot/M5W7L9","M5W7L9")</f>
        <v>M5W7L9</v>
      </c>
      <c r="D17484" s="2" t="s">
        <v>5344</v>
      </c>
      <c r="E17484" s="3">
        <v>7.2300000000000003E-106</v>
      </c>
      <c r="F17484" s="2">
        <v>866</v>
      </c>
      <c r="G17484" s="2">
        <v>98</v>
      </c>
      <c r="H17484" s="2">
        <v>180</v>
      </c>
      <c r="I17484" s="2">
        <v>1</v>
      </c>
      <c r="J17484" s="2">
        <v>540</v>
      </c>
      <c r="K17484" s="2">
        <v>481</v>
      </c>
      <c r="L17484" s="2">
        <v>660</v>
      </c>
    </row>
    <row r="17485" spans="1:12" x14ac:dyDescent="0.25">
      <c r="A17485" s="4" t="str">
        <f>HYPERLINK("http://www.rosaceae.org/Prunus/Prunus_persica/p.persica_gdr_reftransV1_0047634","p.persica_gdr_reftransV1_0047634")</f>
        <v>p.persica_gdr_reftransV1_0047634</v>
      </c>
      <c r="B17485" s="2">
        <v>688</v>
      </c>
      <c r="C17485" s="4" t="str">
        <f>HYPERLINK("http://www.uniprot.org/uniprot/M5WFF2","M5WFF2")</f>
        <v>M5WFF2</v>
      </c>
      <c r="D17485" s="2" t="s">
        <v>7353</v>
      </c>
      <c r="E17485" s="3">
        <v>7.1000000000000001E-35</v>
      </c>
      <c r="F17485" s="2">
        <v>342</v>
      </c>
      <c r="G17485" s="2">
        <v>100</v>
      </c>
      <c r="H17485" s="2">
        <v>105</v>
      </c>
      <c r="I17485" s="2">
        <v>373</v>
      </c>
      <c r="J17485" s="2">
        <v>687</v>
      </c>
      <c r="K17485" s="2">
        <v>1</v>
      </c>
      <c r="L17485" s="2">
        <v>105</v>
      </c>
    </row>
    <row r="17486" spans="1:12" x14ac:dyDescent="0.25">
      <c r="A17486" s="4" t="str">
        <f>HYPERLINK("http://www.rosaceae.org/Prunus/Prunus_persica/p.persica_gdr_reftransV1_0047984","p.persica_gdr_reftransV1_0047984")</f>
        <v>p.persica_gdr_reftransV1_0047984</v>
      </c>
      <c r="B17486" s="2">
        <v>1002</v>
      </c>
      <c r="C17486" s="4" t="str">
        <f>HYPERLINK("http://www.uniprot.org/uniprot/A0A059CSX2","A0A059CSX2")</f>
        <v>A0A059CSX2</v>
      </c>
      <c r="D17486" s="2" t="s">
        <v>13690</v>
      </c>
      <c r="E17486" s="3">
        <v>4.2500000000000002E-103</v>
      </c>
      <c r="F17486" s="2">
        <v>802</v>
      </c>
      <c r="G17486" s="2">
        <v>82</v>
      </c>
      <c r="H17486" s="2">
        <v>172</v>
      </c>
      <c r="I17486" s="2">
        <v>187</v>
      </c>
      <c r="J17486" s="2">
        <v>702</v>
      </c>
      <c r="K17486" s="2">
        <v>33</v>
      </c>
      <c r="L17486" s="2">
        <v>204</v>
      </c>
    </row>
    <row r="17487" spans="1:12" x14ac:dyDescent="0.25">
      <c r="A17487" s="4" t="str">
        <f>HYPERLINK("http://www.rosaceae.org/Prunus/Prunus_persica/p.persica_gdr_reftransV1_0048684","p.persica_gdr_reftransV1_0048684")</f>
        <v>p.persica_gdr_reftransV1_0048684</v>
      </c>
      <c r="B17487" s="2">
        <v>1949</v>
      </c>
      <c r="C17487" s="4" t="str">
        <f>HYPERLINK("http://www.uniprot.org/uniprot/M5Y4Y6","M5Y4Y6")</f>
        <v>M5Y4Y6</v>
      </c>
      <c r="D17487" s="2" t="s">
        <v>498</v>
      </c>
      <c r="E17487" s="3">
        <v>0</v>
      </c>
      <c r="F17487" s="2">
        <v>1773</v>
      </c>
      <c r="G17487" s="2">
        <v>100</v>
      </c>
      <c r="H17487" s="2">
        <v>366</v>
      </c>
      <c r="I17487" s="2">
        <v>323</v>
      </c>
      <c r="J17487" s="2">
        <v>1420</v>
      </c>
      <c r="K17487" s="2">
        <v>1</v>
      </c>
      <c r="L17487" s="2">
        <v>366</v>
      </c>
    </row>
    <row r="17488" spans="1:12" x14ac:dyDescent="0.25">
      <c r="A17488" s="4" t="str">
        <f>HYPERLINK("http://www.rosaceae.org/Prunus/Prunus_persica/p.persica_gdr_reftransV1_0049034","p.persica_gdr_reftransV1_0049034")</f>
        <v>p.persica_gdr_reftransV1_0049034</v>
      </c>
      <c r="B17488" s="2">
        <v>3078</v>
      </c>
      <c r="C17488" s="4" t="str">
        <f>HYPERLINK("http://www.uniprot.org/uniprot/M5WX90","M5WX90")</f>
        <v>M5WX90</v>
      </c>
      <c r="D17488" s="2" t="s">
        <v>13587</v>
      </c>
      <c r="E17488" s="3">
        <v>0</v>
      </c>
      <c r="F17488" s="2">
        <v>4730</v>
      </c>
      <c r="G17488" s="2">
        <v>99</v>
      </c>
      <c r="H17488" s="2">
        <v>991</v>
      </c>
      <c r="I17488" s="2">
        <v>3</v>
      </c>
      <c r="J17488" s="2">
        <v>2975</v>
      </c>
      <c r="K17488" s="2">
        <v>183</v>
      </c>
      <c r="L17488" s="2">
        <v>1163</v>
      </c>
    </row>
    <row r="17489" spans="1:12" x14ac:dyDescent="0.25">
      <c r="A17489" s="4" t="str">
        <f>HYPERLINK("http://www.rosaceae.org/Prunus/Prunus_persica/p.persica_gdr_reftransV1_0000691","p.persica_gdr_reftransV1_0000691")</f>
        <v>p.persica_gdr_reftransV1_0000691</v>
      </c>
      <c r="B17489" s="2">
        <v>1000</v>
      </c>
      <c r="C17489" s="4" t="str">
        <f>HYPERLINK("http://www.uniprot.org/uniprot/M5WTI7","M5WTI7")</f>
        <v>M5WTI7</v>
      </c>
      <c r="D17489" s="2" t="s">
        <v>13691</v>
      </c>
      <c r="E17489" s="3">
        <v>1.2800000000000001E-170</v>
      </c>
      <c r="F17489" s="2">
        <v>1273</v>
      </c>
      <c r="G17489" s="2">
        <v>100</v>
      </c>
      <c r="H17489" s="2">
        <v>251</v>
      </c>
      <c r="I17489" s="2">
        <v>110</v>
      </c>
      <c r="J17489" s="2">
        <v>862</v>
      </c>
      <c r="K17489" s="2">
        <v>217</v>
      </c>
      <c r="L17489" s="2">
        <v>467</v>
      </c>
    </row>
    <row r="17490" spans="1:12" x14ac:dyDescent="0.25">
      <c r="A17490" s="4" t="str">
        <f>HYPERLINK("http://www.rosaceae.org/Prunus/Prunus_persica/p.persica_gdr_reftransV1_0001391","p.persica_gdr_reftransV1_0001391")</f>
        <v>p.persica_gdr_reftransV1_0001391</v>
      </c>
      <c r="B17490" s="2">
        <v>1681</v>
      </c>
      <c r="C17490" s="4" t="str">
        <f>HYPERLINK("http://www.uniprot.org/uniprot/M5XIQ0","M5XIQ0")</f>
        <v>M5XIQ0</v>
      </c>
      <c r="D17490" s="2" t="s">
        <v>13692</v>
      </c>
      <c r="E17490" s="3">
        <v>0</v>
      </c>
      <c r="F17490" s="2">
        <v>1938</v>
      </c>
      <c r="G17490" s="2">
        <v>90</v>
      </c>
      <c r="H17490" s="2">
        <v>421</v>
      </c>
      <c r="I17490" s="2">
        <v>198</v>
      </c>
      <c r="J17490" s="2">
        <v>1460</v>
      </c>
      <c r="K17490" s="2">
        <v>26</v>
      </c>
      <c r="L17490" s="2">
        <v>445</v>
      </c>
    </row>
    <row r="17491" spans="1:12" x14ac:dyDescent="0.25">
      <c r="A17491" s="4" t="str">
        <f>HYPERLINK("http://www.rosaceae.org/Prunus/Prunus_persica/p.persica_gdr_reftransV1_0002091","p.persica_gdr_reftransV1_0002091")</f>
        <v>p.persica_gdr_reftransV1_0002091</v>
      </c>
      <c r="B17491" s="2">
        <v>1205</v>
      </c>
      <c r="C17491" s="4" t="str">
        <f>HYPERLINK("http://www.uniprot.org/uniprot/M5X1G5","M5X1G5")</f>
        <v>M5X1G5</v>
      </c>
      <c r="D17491" s="2" t="s">
        <v>13693</v>
      </c>
      <c r="E17491" s="3">
        <v>0</v>
      </c>
      <c r="F17491" s="2">
        <v>1392</v>
      </c>
      <c r="G17491" s="2">
        <v>100</v>
      </c>
      <c r="H17491" s="2">
        <v>299</v>
      </c>
      <c r="I17491" s="2">
        <v>65</v>
      </c>
      <c r="J17491" s="2">
        <v>961</v>
      </c>
      <c r="K17491" s="2">
        <v>1</v>
      </c>
      <c r="L17491" s="2">
        <v>299</v>
      </c>
    </row>
    <row r="17492" spans="1:12" x14ac:dyDescent="0.25">
      <c r="A17492" s="4" t="str">
        <f>HYPERLINK("http://www.rosaceae.org/Prunus/Prunus_persica/p.persica_gdr_reftransV1_0002791","p.persica_gdr_reftransV1_0002791")</f>
        <v>p.persica_gdr_reftransV1_0002791</v>
      </c>
      <c r="B17492" s="2">
        <v>1202</v>
      </c>
      <c r="C17492" s="4" t="str">
        <f>HYPERLINK("http://www.uniprot.org/uniprot/A0A061GY30","A0A061GY30")</f>
        <v>A0A061GY30</v>
      </c>
      <c r="D17492" s="2" t="s">
        <v>13694</v>
      </c>
      <c r="E17492" s="3">
        <v>8.1699999999999996E-120</v>
      </c>
      <c r="F17492" s="2">
        <v>927</v>
      </c>
      <c r="G17492" s="2">
        <v>77</v>
      </c>
      <c r="H17492" s="2">
        <v>240</v>
      </c>
      <c r="I17492" s="2">
        <v>441</v>
      </c>
      <c r="J17492" s="2">
        <v>1160</v>
      </c>
      <c r="K17492" s="2">
        <v>49</v>
      </c>
      <c r="L17492" s="2">
        <v>288</v>
      </c>
    </row>
    <row r="17493" spans="1:12" x14ac:dyDescent="0.25">
      <c r="A17493" s="4" t="str">
        <f>HYPERLINK("http://www.rosaceae.org/Prunus/Prunus_persica/p.persica_gdr_reftransV1_0003141","p.persica_gdr_reftransV1_0003141")</f>
        <v>p.persica_gdr_reftransV1_0003141</v>
      </c>
      <c r="B17493" s="2">
        <v>1921</v>
      </c>
      <c r="C17493" s="4" t="str">
        <f>HYPERLINK("http://www.uniprot.org/uniprot/M5WPB9","M5WPB9")</f>
        <v>M5WPB9</v>
      </c>
      <c r="D17493" s="2" t="s">
        <v>37</v>
      </c>
      <c r="E17493" s="3">
        <v>0</v>
      </c>
      <c r="F17493" s="2">
        <v>1593</v>
      </c>
      <c r="G17493" s="2">
        <v>100</v>
      </c>
      <c r="H17493" s="2">
        <v>347</v>
      </c>
      <c r="I17493" s="2">
        <v>650</v>
      </c>
      <c r="J17493" s="2">
        <v>1690</v>
      </c>
      <c r="K17493" s="2">
        <v>145</v>
      </c>
      <c r="L17493" s="2">
        <v>491</v>
      </c>
    </row>
    <row r="17494" spans="1:12" x14ac:dyDescent="0.25">
      <c r="A17494" s="4" t="str">
        <f>HYPERLINK("http://www.rosaceae.org/Prunus/Prunus_persica/p.persica_gdr_reftransV1_0004191","p.persica_gdr_reftransV1_0004191")</f>
        <v>p.persica_gdr_reftransV1_0004191</v>
      </c>
      <c r="B17494" s="2">
        <v>783</v>
      </c>
      <c r="C17494" s="4" t="str">
        <f>HYPERLINK("http://www.uniprot.org/uniprot/M5WVJ7","M5WVJ7")</f>
        <v>M5WVJ7</v>
      </c>
      <c r="D17494" s="2" t="s">
        <v>13695</v>
      </c>
      <c r="E17494" s="3">
        <v>8.5399999999999996E-117</v>
      </c>
      <c r="F17494" s="2">
        <v>881</v>
      </c>
      <c r="G17494" s="2">
        <v>100</v>
      </c>
      <c r="H17494" s="2">
        <v>168</v>
      </c>
      <c r="I17494" s="2">
        <v>235</v>
      </c>
      <c r="J17494" s="2">
        <v>738</v>
      </c>
      <c r="K17494" s="2">
        <v>1</v>
      </c>
      <c r="L17494" s="2">
        <v>168</v>
      </c>
    </row>
    <row r="17495" spans="1:12" x14ac:dyDescent="0.25">
      <c r="A17495" s="4" t="str">
        <f>HYPERLINK("http://www.rosaceae.org/Prunus/Prunus_persica/p.persica_gdr_reftransV1_0005241","p.persica_gdr_reftransV1_0005241")</f>
        <v>p.persica_gdr_reftransV1_0005241</v>
      </c>
      <c r="B17495" s="2">
        <v>1594</v>
      </c>
      <c r="C17495" s="4" t="str">
        <f>HYPERLINK("http://www.uniprot.org/uniprot/M5WS67","M5WS67")</f>
        <v>M5WS67</v>
      </c>
      <c r="D17495" s="2" t="s">
        <v>2156</v>
      </c>
      <c r="E17495" s="3">
        <v>0</v>
      </c>
      <c r="F17495" s="2">
        <v>1552</v>
      </c>
      <c r="G17495" s="2">
        <v>100</v>
      </c>
      <c r="H17495" s="2">
        <v>388</v>
      </c>
      <c r="I17495" s="2">
        <v>259</v>
      </c>
      <c r="J17495" s="2">
        <v>1422</v>
      </c>
      <c r="K17495" s="2">
        <v>20</v>
      </c>
      <c r="L17495" s="2">
        <v>407</v>
      </c>
    </row>
    <row r="17496" spans="1:12" x14ac:dyDescent="0.25">
      <c r="A17496" s="4" t="str">
        <f>HYPERLINK("http://www.rosaceae.org/Prunus/Prunus_persica/p.persica_gdr_reftransV1_0006291","p.persica_gdr_reftransV1_0006291")</f>
        <v>p.persica_gdr_reftransV1_0006291</v>
      </c>
      <c r="B17496" s="2">
        <v>349</v>
      </c>
      <c r="C17496" s="4" t="str">
        <f>HYPERLINK("http://www.uniprot.org/uniprot/M5VK99","M5VK99")</f>
        <v>M5VK99</v>
      </c>
      <c r="D17496" s="2" t="s">
        <v>5713</v>
      </c>
      <c r="E17496" s="3">
        <v>1.55E-68</v>
      </c>
      <c r="F17496" s="2">
        <v>589</v>
      </c>
      <c r="G17496" s="2">
        <v>100</v>
      </c>
      <c r="H17496" s="2">
        <v>116</v>
      </c>
      <c r="I17496" s="2">
        <v>1</v>
      </c>
      <c r="J17496" s="2">
        <v>348</v>
      </c>
      <c r="K17496" s="2">
        <v>208</v>
      </c>
      <c r="L17496" s="2">
        <v>323</v>
      </c>
    </row>
    <row r="17497" spans="1:12" x14ac:dyDescent="0.25">
      <c r="A17497" s="4" t="str">
        <f>HYPERLINK("http://www.rosaceae.org/Prunus/Prunus_persica/p.persica_gdr_reftransV1_0006991","p.persica_gdr_reftransV1_0006991")</f>
        <v>p.persica_gdr_reftransV1_0006991</v>
      </c>
      <c r="B17497" s="2">
        <v>1004</v>
      </c>
      <c r="C17497" s="4" t="str">
        <f>HYPERLINK("http://www.uniprot.org/uniprot/M5XYM8","M5XYM8")</f>
        <v>M5XYM8</v>
      </c>
      <c r="D17497" s="2" t="s">
        <v>12024</v>
      </c>
      <c r="E17497" s="3">
        <v>4.9199999999999997E-117</v>
      </c>
      <c r="F17497" s="2">
        <v>904</v>
      </c>
      <c r="G17497" s="2">
        <v>100</v>
      </c>
      <c r="H17497" s="2">
        <v>211</v>
      </c>
      <c r="I17497" s="2">
        <v>372</v>
      </c>
      <c r="J17497" s="2">
        <v>1004</v>
      </c>
      <c r="K17497" s="2">
        <v>95</v>
      </c>
      <c r="L17497" s="2">
        <v>305</v>
      </c>
    </row>
    <row r="17498" spans="1:12" x14ac:dyDescent="0.25">
      <c r="A17498" s="4" t="str">
        <f>HYPERLINK("http://www.rosaceae.org/Prunus/Prunus_persica/p.persica_gdr_reftransV1_0007691","p.persica_gdr_reftransV1_0007691")</f>
        <v>p.persica_gdr_reftransV1_0007691</v>
      </c>
      <c r="B17498" s="2">
        <v>1119</v>
      </c>
      <c r="C17498" s="4" t="str">
        <f>HYPERLINK("http://www.uniprot.org/uniprot/M5XMV2","M5XMV2")</f>
        <v>M5XMV2</v>
      </c>
      <c r="D17498" s="2" t="s">
        <v>13696</v>
      </c>
      <c r="E17498" s="3">
        <v>2.18E-146</v>
      </c>
      <c r="F17498" s="2">
        <v>1098</v>
      </c>
      <c r="G17498" s="2">
        <v>100</v>
      </c>
      <c r="H17498" s="2">
        <v>267</v>
      </c>
      <c r="I17498" s="2">
        <v>179</v>
      </c>
      <c r="J17498" s="2">
        <v>979</v>
      </c>
      <c r="K17498" s="2">
        <v>1</v>
      </c>
      <c r="L17498" s="2">
        <v>267</v>
      </c>
    </row>
    <row r="17499" spans="1:12" x14ac:dyDescent="0.25">
      <c r="A17499" s="4" t="str">
        <f>HYPERLINK("http://www.rosaceae.org/Prunus/Prunus_persica/p.persica_gdr_reftransV1_0008391","p.persica_gdr_reftransV1_0008391")</f>
        <v>p.persica_gdr_reftransV1_0008391</v>
      </c>
      <c r="B17499" s="2">
        <v>847</v>
      </c>
      <c r="C17499" s="4" t="str">
        <f>HYPERLINK("http://www.uniprot.org/uniprot/M5WVH5","M5WVH5")</f>
        <v>M5WVH5</v>
      </c>
      <c r="D17499" s="2" t="s">
        <v>13697</v>
      </c>
      <c r="E17499" s="3">
        <v>1.8099999999999999E-51</v>
      </c>
      <c r="F17499" s="2">
        <v>473</v>
      </c>
      <c r="G17499" s="2">
        <v>57</v>
      </c>
      <c r="H17499" s="2">
        <v>178</v>
      </c>
      <c r="I17499" s="2">
        <v>3</v>
      </c>
      <c r="J17499" s="2">
        <v>527</v>
      </c>
      <c r="K17499" s="2">
        <v>317</v>
      </c>
      <c r="L17499" s="2">
        <v>489</v>
      </c>
    </row>
    <row r="17500" spans="1:12" x14ac:dyDescent="0.25">
      <c r="A17500" s="4" t="str">
        <f>HYPERLINK("http://www.rosaceae.org/Prunus/Prunus_persica/p.persica_gdr_reftransV1_0009091","p.persica_gdr_reftransV1_0009091")</f>
        <v>p.persica_gdr_reftransV1_0009091</v>
      </c>
      <c r="B17500" s="2">
        <v>1699</v>
      </c>
      <c r="C17500" s="4" t="str">
        <f>HYPERLINK("http://www.uniprot.org/uniprot/M5WJ41","M5WJ41")</f>
        <v>M5WJ41</v>
      </c>
      <c r="D17500" s="2" t="s">
        <v>13698</v>
      </c>
      <c r="E17500" s="3">
        <v>0</v>
      </c>
      <c r="F17500" s="2">
        <v>1954</v>
      </c>
      <c r="G17500" s="2">
        <v>95</v>
      </c>
      <c r="H17500" s="2">
        <v>403</v>
      </c>
      <c r="I17500" s="2">
        <v>201</v>
      </c>
      <c r="J17500" s="2">
        <v>1409</v>
      </c>
      <c r="K17500" s="2">
        <v>10</v>
      </c>
      <c r="L17500" s="2">
        <v>393</v>
      </c>
    </row>
    <row r="17501" spans="1:12" x14ac:dyDescent="0.25">
      <c r="A17501" s="4" t="str">
        <f>HYPERLINK("http://www.rosaceae.org/Prunus/Prunus_persica/p.persica_gdr_reftransV1_0010491","p.persica_gdr_reftransV1_0010491")</f>
        <v>p.persica_gdr_reftransV1_0010491</v>
      </c>
      <c r="B17501" s="2">
        <v>1742</v>
      </c>
      <c r="C17501" s="4" t="str">
        <f>HYPERLINK("http://www.uniprot.org/uniprot/M5WRM2","M5WRM2")</f>
        <v>M5WRM2</v>
      </c>
      <c r="D17501" s="2" t="s">
        <v>13699</v>
      </c>
      <c r="E17501" s="3">
        <v>0</v>
      </c>
      <c r="F17501" s="2">
        <v>1723</v>
      </c>
      <c r="G17501" s="2">
        <v>100</v>
      </c>
      <c r="H17501" s="2">
        <v>339</v>
      </c>
      <c r="I17501" s="2">
        <v>3</v>
      </c>
      <c r="J17501" s="2">
        <v>1019</v>
      </c>
      <c r="K17501" s="2">
        <v>124</v>
      </c>
      <c r="L17501" s="2">
        <v>462</v>
      </c>
    </row>
    <row r="17502" spans="1:12" x14ac:dyDescent="0.25">
      <c r="A17502" s="4" t="str">
        <f>HYPERLINK("http://www.rosaceae.org/Prunus/Prunus_persica/p.persica_gdr_reftransV1_0010841","p.persica_gdr_reftransV1_0010841")</f>
        <v>p.persica_gdr_reftransV1_0010841</v>
      </c>
      <c r="B17502" s="2">
        <v>1047</v>
      </c>
      <c r="C17502" s="4" t="str">
        <f>HYPERLINK("http://www.uniprot.org/uniprot/M5WTI8","M5WTI8")</f>
        <v>M5WTI8</v>
      </c>
      <c r="D17502" s="2" t="s">
        <v>13700</v>
      </c>
      <c r="E17502" s="3">
        <v>2.5100000000000001E-164</v>
      </c>
      <c r="F17502" s="2">
        <v>1209</v>
      </c>
      <c r="G17502" s="2">
        <v>100</v>
      </c>
      <c r="H17502" s="2">
        <v>225</v>
      </c>
      <c r="I17502" s="2">
        <v>110</v>
      </c>
      <c r="J17502" s="2">
        <v>784</v>
      </c>
      <c r="K17502" s="2">
        <v>1</v>
      </c>
      <c r="L17502" s="2">
        <v>225</v>
      </c>
    </row>
    <row r="17503" spans="1:12" x14ac:dyDescent="0.25">
      <c r="A17503" s="4" t="str">
        <f>HYPERLINK("http://www.rosaceae.org/Prunus/Prunus_persica/p.persica_gdr_reftransV1_0011541","p.persica_gdr_reftransV1_0011541")</f>
        <v>p.persica_gdr_reftransV1_0011541</v>
      </c>
      <c r="B17503" s="2">
        <v>1555</v>
      </c>
      <c r="C17503" s="4" t="str">
        <f>HYPERLINK("http://www.uniprot.org/uniprot/M5Y1I3","M5Y1I3")</f>
        <v>M5Y1I3</v>
      </c>
      <c r="D17503" s="2" t="s">
        <v>11732</v>
      </c>
      <c r="E17503" s="3">
        <v>0</v>
      </c>
      <c r="F17503" s="2">
        <v>2107</v>
      </c>
      <c r="G17503" s="2">
        <v>100</v>
      </c>
      <c r="H17503" s="2">
        <v>406</v>
      </c>
      <c r="I17503" s="2">
        <v>338</v>
      </c>
      <c r="J17503" s="2">
        <v>1555</v>
      </c>
      <c r="K17503" s="2">
        <v>75</v>
      </c>
      <c r="L17503" s="2">
        <v>480</v>
      </c>
    </row>
    <row r="17504" spans="1:12" x14ac:dyDescent="0.25">
      <c r="A17504" s="4" t="str">
        <f>HYPERLINK("http://www.rosaceae.org/Prunus/Prunus_persica/p.persica_gdr_reftransV1_0011891","p.persica_gdr_reftransV1_0011891")</f>
        <v>p.persica_gdr_reftransV1_0011891</v>
      </c>
      <c r="B17504" s="2">
        <v>3234</v>
      </c>
      <c r="C17504" s="4" t="str">
        <f>HYPERLINK("http://www.uniprot.org/uniprot/M5XCP1","M5XCP1")</f>
        <v>M5XCP1</v>
      </c>
      <c r="D17504" s="2" t="s">
        <v>13701</v>
      </c>
      <c r="E17504" s="3">
        <v>5.7500000000000005E-178</v>
      </c>
      <c r="F17504" s="2">
        <v>1407</v>
      </c>
      <c r="G17504" s="2">
        <v>100</v>
      </c>
      <c r="H17504" s="2">
        <v>271</v>
      </c>
      <c r="I17504" s="2">
        <v>1020</v>
      </c>
      <c r="J17504" s="2">
        <v>1832</v>
      </c>
      <c r="K17504" s="2">
        <v>283</v>
      </c>
      <c r="L17504" s="2">
        <v>553</v>
      </c>
    </row>
    <row r="17505" spans="1:12" x14ac:dyDescent="0.25">
      <c r="A17505" s="4" t="str">
        <f>HYPERLINK("http://www.rosaceae.org/Prunus/Prunus_persica/p.persica_gdr_reftransV1_0012591","p.persica_gdr_reftransV1_0012591")</f>
        <v>p.persica_gdr_reftransV1_0012591</v>
      </c>
      <c r="B17505" s="2">
        <v>1115</v>
      </c>
      <c r="C17505" s="4" t="str">
        <f>HYPERLINK("http://www.uniprot.org/uniprot/M5WHI9","M5WHI9")</f>
        <v>M5WHI9</v>
      </c>
      <c r="D17505" s="2" t="s">
        <v>13702</v>
      </c>
      <c r="E17505" s="3">
        <v>2E-116</v>
      </c>
      <c r="F17505" s="2">
        <v>896</v>
      </c>
      <c r="G17505" s="2">
        <v>100</v>
      </c>
      <c r="H17505" s="2">
        <v>231</v>
      </c>
      <c r="I17505" s="2">
        <v>92</v>
      </c>
      <c r="J17505" s="2">
        <v>784</v>
      </c>
      <c r="K17505" s="2">
        <v>1</v>
      </c>
      <c r="L17505" s="2">
        <v>231</v>
      </c>
    </row>
    <row r="17506" spans="1:12" x14ac:dyDescent="0.25">
      <c r="A17506" s="4" t="str">
        <f>HYPERLINK("http://www.rosaceae.org/Prunus/Prunus_persica/p.persica_gdr_reftransV1_0013291","p.persica_gdr_reftransV1_0013291")</f>
        <v>p.persica_gdr_reftransV1_0013291</v>
      </c>
      <c r="B17506" s="2">
        <v>1271</v>
      </c>
      <c r="C17506" s="4" t="str">
        <f>HYPERLINK("http://www.uniprot.org/uniprot/M5XU33","M5XU33")</f>
        <v>M5XU33</v>
      </c>
      <c r="D17506" s="2" t="s">
        <v>13703</v>
      </c>
      <c r="E17506" s="3">
        <v>1.04E-83</v>
      </c>
      <c r="F17506" s="2">
        <v>674</v>
      </c>
      <c r="G17506" s="2">
        <v>100</v>
      </c>
      <c r="H17506" s="2">
        <v>127</v>
      </c>
      <c r="I17506" s="2">
        <v>783</v>
      </c>
      <c r="J17506" s="2">
        <v>1163</v>
      </c>
      <c r="K17506" s="2">
        <v>4</v>
      </c>
      <c r="L17506" s="2">
        <v>130</v>
      </c>
    </row>
    <row r="17507" spans="1:12" x14ac:dyDescent="0.25">
      <c r="A17507" s="4" t="str">
        <f>HYPERLINK("http://www.rosaceae.org/Prunus/Prunus_persica/p.persica_gdr_reftransV1_0013991","p.persica_gdr_reftransV1_0013991")</f>
        <v>p.persica_gdr_reftransV1_0013991</v>
      </c>
      <c r="B17507" s="2">
        <v>3579</v>
      </c>
      <c r="C17507" s="4" t="str">
        <f>HYPERLINK("http://www.uniprot.org/uniprot/M5XRM3","M5XRM3")</f>
        <v>M5XRM3</v>
      </c>
      <c r="D17507" s="2" t="s">
        <v>13704</v>
      </c>
      <c r="E17507" s="3">
        <v>0</v>
      </c>
      <c r="F17507" s="2">
        <v>3920</v>
      </c>
      <c r="G17507" s="2">
        <v>100</v>
      </c>
      <c r="H17507" s="2">
        <v>744</v>
      </c>
      <c r="I17507" s="2">
        <v>741</v>
      </c>
      <c r="J17507" s="2">
        <v>2972</v>
      </c>
      <c r="K17507" s="2">
        <v>1</v>
      </c>
      <c r="L17507" s="2">
        <v>744</v>
      </c>
    </row>
    <row r="17508" spans="1:12" x14ac:dyDescent="0.25">
      <c r="A17508" s="4" t="str">
        <f>HYPERLINK("http://www.rosaceae.org/Prunus/Prunus_persica/p.persica_gdr_reftransV1_0014341","p.persica_gdr_reftransV1_0014341")</f>
        <v>p.persica_gdr_reftransV1_0014341</v>
      </c>
      <c r="B17508" s="2">
        <v>2033</v>
      </c>
      <c r="C17508" s="4" t="str">
        <f>HYPERLINK("http://www.uniprot.org/uniprot/M5XLV3","M5XLV3")</f>
        <v>M5XLV3</v>
      </c>
      <c r="D17508" s="2" t="s">
        <v>1595</v>
      </c>
      <c r="E17508" s="3">
        <v>4.0799999999999999E-75</v>
      </c>
      <c r="F17508" s="2">
        <v>648</v>
      </c>
      <c r="G17508" s="2">
        <v>100</v>
      </c>
      <c r="H17508" s="2">
        <v>118</v>
      </c>
      <c r="I17508" s="2">
        <v>127</v>
      </c>
      <c r="J17508" s="2">
        <v>480</v>
      </c>
      <c r="K17508" s="2">
        <v>160</v>
      </c>
      <c r="L17508" s="2">
        <v>277</v>
      </c>
    </row>
    <row r="17509" spans="1:12" x14ac:dyDescent="0.25">
      <c r="A17509" s="4" t="str">
        <f>HYPERLINK("http://www.rosaceae.org/Prunus/Prunus_persica/p.persica_gdr_reftransV1_0015391","p.persica_gdr_reftransV1_0015391")</f>
        <v>p.persica_gdr_reftransV1_0015391</v>
      </c>
      <c r="B17509" s="2">
        <v>1044</v>
      </c>
      <c r="C17509" s="4" t="str">
        <f>HYPERLINK("http://www.uniprot.org/uniprot/M5WSU8","M5WSU8")</f>
        <v>M5WSU8</v>
      </c>
      <c r="D17509" s="2" t="s">
        <v>13705</v>
      </c>
      <c r="E17509" s="3">
        <v>3.3900000000000001E-109</v>
      </c>
      <c r="F17509" s="2">
        <v>839</v>
      </c>
      <c r="G17509" s="2">
        <v>99</v>
      </c>
      <c r="H17509" s="2">
        <v>158</v>
      </c>
      <c r="I17509" s="2">
        <v>286</v>
      </c>
      <c r="J17509" s="2">
        <v>759</v>
      </c>
      <c r="K17509" s="2">
        <v>1</v>
      </c>
      <c r="L17509" s="2">
        <v>158</v>
      </c>
    </row>
    <row r="17510" spans="1:12" x14ac:dyDescent="0.25">
      <c r="A17510" s="4" t="str">
        <f>HYPERLINK("http://www.rosaceae.org/Prunus/Prunus_persica/p.persica_gdr_reftransV1_0015741","p.persica_gdr_reftransV1_0015741")</f>
        <v>p.persica_gdr_reftransV1_0015741</v>
      </c>
      <c r="B17510" s="2">
        <v>6114</v>
      </c>
      <c r="C17510" s="4" t="str">
        <f>HYPERLINK("http://www.uniprot.org/uniprot/M5WNX4","M5WNX4")</f>
        <v>M5WNX4</v>
      </c>
      <c r="D17510" s="2" t="s">
        <v>13706</v>
      </c>
      <c r="E17510" s="3">
        <v>0</v>
      </c>
      <c r="F17510" s="2">
        <v>6276</v>
      </c>
      <c r="G17510" s="2">
        <v>100</v>
      </c>
      <c r="H17510" s="2">
        <v>1196</v>
      </c>
      <c r="I17510" s="2">
        <v>250</v>
      </c>
      <c r="J17510" s="2">
        <v>3837</v>
      </c>
      <c r="K17510" s="2">
        <v>1</v>
      </c>
      <c r="L17510" s="2">
        <v>1196</v>
      </c>
    </row>
    <row r="17511" spans="1:12" x14ac:dyDescent="0.25">
      <c r="A17511" s="4" t="str">
        <f>HYPERLINK("http://www.rosaceae.org/Prunus/Prunus_persica/p.persica_gdr_reftransV1_0016091","p.persica_gdr_reftransV1_0016091")</f>
        <v>p.persica_gdr_reftransV1_0016091</v>
      </c>
      <c r="B17511" s="2">
        <v>1293</v>
      </c>
      <c r="C17511" s="4" t="str">
        <f>HYPERLINK("http://www.uniprot.org/uniprot/M5WI31","M5WI31")</f>
        <v>M5WI31</v>
      </c>
      <c r="D17511" s="2" t="s">
        <v>13707</v>
      </c>
      <c r="E17511" s="3">
        <v>1.4299999999999999E-66</v>
      </c>
      <c r="F17511" s="2">
        <v>562</v>
      </c>
      <c r="G17511" s="2">
        <v>100</v>
      </c>
      <c r="H17511" s="2">
        <v>157</v>
      </c>
      <c r="I17511" s="2">
        <v>635</v>
      </c>
      <c r="J17511" s="2">
        <v>1105</v>
      </c>
      <c r="K17511" s="2">
        <v>1</v>
      </c>
      <c r="L17511" s="2">
        <v>157</v>
      </c>
    </row>
    <row r="17512" spans="1:12" x14ac:dyDescent="0.25">
      <c r="A17512" s="4" t="str">
        <f>HYPERLINK("http://www.rosaceae.org/Prunus/Prunus_persica/p.persica_gdr_reftransV1_0017141","p.persica_gdr_reftransV1_0017141")</f>
        <v>p.persica_gdr_reftransV1_0017141</v>
      </c>
      <c r="B17512" s="2">
        <v>1905</v>
      </c>
      <c r="C17512" s="4" t="str">
        <f>HYPERLINK("http://www.uniprot.org/uniprot/M5XSH7","M5XSH7")</f>
        <v>M5XSH7</v>
      </c>
      <c r="D17512" s="2" t="s">
        <v>13708</v>
      </c>
      <c r="E17512" s="3">
        <v>0</v>
      </c>
      <c r="F17512" s="2">
        <v>2628</v>
      </c>
      <c r="G17512" s="2">
        <v>100</v>
      </c>
      <c r="H17512" s="2">
        <v>502</v>
      </c>
      <c r="I17512" s="2">
        <v>143</v>
      </c>
      <c r="J17512" s="2">
        <v>1648</v>
      </c>
      <c r="K17512" s="2">
        <v>1</v>
      </c>
      <c r="L17512" s="2">
        <v>502</v>
      </c>
    </row>
    <row r="17513" spans="1:12" x14ac:dyDescent="0.25">
      <c r="A17513" s="4" t="str">
        <f>HYPERLINK("http://www.rosaceae.org/Prunus/Prunus_persica/p.persica_gdr_reftransV1_0017491","p.persica_gdr_reftransV1_0017491")</f>
        <v>p.persica_gdr_reftransV1_0017491</v>
      </c>
      <c r="B17513" s="2">
        <v>2933</v>
      </c>
      <c r="C17513" s="4" t="str">
        <f>HYPERLINK("http://www.uniprot.org/uniprot/M5XJX6","M5XJX6")</f>
        <v>M5XJX6</v>
      </c>
      <c r="D17513" s="2" t="s">
        <v>13709</v>
      </c>
      <c r="E17513" s="3">
        <v>0</v>
      </c>
      <c r="F17513" s="2">
        <v>4567</v>
      </c>
      <c r="G17513" s="2">
        <v>100</v>
      </c>
      <c r="H17513" s="2">
        <v>877</v>
      </c>
      <c r="I17513" s="2">
        <v>303</v>
      </c>
      <c r="J17513" s="2">
        <v>2933</v>
      </c>
      <c r="K17513" s="2">
        <v>27</v>
      </c>
      <c r="L17513" s="2">
        <v>903</v>
      </c>
    </row>
    <row r="17514" spans="1:12" x14ac:dyDescent="0.25">
      <c r="A17514" s="4" t="str">
        <f>HYPERLINK("http://www.rosaceae.org/Prunus/Prunus_persica/p.persica_gdr_reftransV1_0018541","p.persica_gdr_reftransV1_0018541")</f>
        <v>p.persica_gdr_reftransV1_0018541</v>
      </c>
      <c r="B17514" s="2">
        <v>717</v>
      </c>
      <c r="C17514" s="4" t="str">
        <f>HYPERLINK("http://www.uniprot.org/uniprot/M5W2V6","M5W2V6")</f>
        <v>M5W2V6</v>
      </c>
      <c r="D17514" s="2" t="s">
        <v>8155</v>
      </c>
      <c r="E17514" s="3">
        <v>2.9200000000000001E-118</v>
      </c>
      <c r="F17514" s="2">
        <v>900</v>
      </c>
      <c r="G17514" s="2">
        <v>100</v>
      </c>
      <c r="H17514" s="2">
        <v>190</v>
      </c>
      <c r="I17514" s="2">
        <v>71</v>
      </c>
      <c r="J17514" s="2">
        <v>640</v>
      </c>
      <c r="K17514" s="2">
        <v>1</v>
      </c>
      <c r="L17514" s="2">
        <v>190</v>
      </c>
    </row>
    <row r="17515" spans="1:12" x14ac:dyDescent="0.25">
      <c r="A17515" s="4" t="str">
        <f>HYPERLINK("http://www.rosaceae.org/Prunus/Prunus_persica/p.persica_gdr_reftransV1_0019241","p.persica_gdr_reftransV1_0019241")</f>
        <v>p.persica_gdr_reftransV1_0019241</v>
      </c>
      <c r="B17515" s="2">
        <v>1062</v>
      </c>
      <c r="C17515" s="4" t="str">
        <f>HYPERLINK("http://www.uniprot.org/uniprot/M5WCM3","M5WCM3")</f>
        <v>M5WCM3</v>
      </c>
      <c r="D17515" s="2" t="s">
        <v>3883</v>
      </c>
      <c r="E17515" s="3">
        <v>4.1800000000000003E-172</v>
      </c>
      <c r="F17515" s="2">
        <v>1272</v>
      </c>
      <c r="G17515" s="2">
        <v>95</v>
      </c>
      <c r="H17515" s="2">
        <v>263</v>
      </c>
      <c r="I17515" s="2">
        <v>2</v>
      </c>
      <c r="J17515" s="2">
        <v>754</v>
      </c>
      <c r="K17515" s="2">
        <v>73</v>
      </c>
      <c r="L17515" s="2">
        <v>335</v>
      </c>
    </row>
    <row r="17516" spans="1:12" x14ac:dyDescent="0.25">
      <c r="A17516" s="4" t="str">
        <f>HYPERLINK("http://www.rosaceae.org/Prunus/Prunus_persica/p.persica_gdr_reftransV1_0019941","p.persica_gdr_reftransV1_0019941")</f>
        <v>p.persica_gdr_reftransV1_0019941</v>
      </c>
      <c r="B17516" s="2">
        <v>1138</v>
      </c>
      <c r="C17516" s="4" t="str">
        <f>HYPERLINK("http://www.uniprot.org/uniprot/M5VME1","M5VME1")</f>
        <v>M5VME1</v>
      </c>
      <c r="D17516" s="2" t="s">
        <v>1794</v>
      </c>
      <c r="E17516" s="3">
        <v>0</v>
      </c>
      <c r="F17516" s="2">
        <v>1585</v>
      </c>
      <c r="G17516" s="2">
        <v>99</v>
      </c>
      <c r="H17516" s="2">
        <v>298</v>
      </c>
      <c r="I17516" s="2">
        <v>243</v>
      </c>
      <c r="J17516" s="2">
        <v>1136</v>
      </c>
      <c r="K17516" s="2">
        <v>1</v>
      </c>
      <c r="L17516" s="2">
        <v>298</v>
      </c>
    </row>
    <row r="17517" spans="1:12" x14ac:dyDescent="0.25">
      <c r="A17517" s="4" t="str">
        <f>HYPERLINK("http://www.rosaceae.org/Prunus/Prunus_persica/p.persica_gdr_reftransV1_0020291","p.persica_gdr_reftransV1_0020291")</f>
        <v>p.persica_gdr_reftransV1_0020291</v>
      </c>
      <c r="B17517" s="2">
        <v>1484</v>
      </c>
      <c r="C17517" s="4" t="str">
        <f>HYPERLINK("http://www.uniprot.org/uniprot/M5VNQ8","M5VNQ8")</f>
        <v>M5VNQ8</v>
      </c>
      <c r="D17517" s="2" t="s">
        <v>13710</v>
      </c>
      <c r="E17517" s="3">
        <v>7.5000000000000002E-87</v>
      </c>
      <c r="F17517" s="2">
        <v>707</v>
      </c>
      <c r="G17517" s="2">
        <v>98</v>
      </c>
      <c r="H17517" s="2">
        <v>191</v>
      </c>
      <c r="I17517" s="2">
        <v>363</v>
      </c>
      <c r="J17517" s="2">
        <v>935</v>
      </c>
      <c r="K17517" s="2">
        <v>1</v>
      </c>
      <c r="L17517" s="2">
        <v>191</v>
      </c>
    </row>
    <row r="17518" spans="1:12" x14ac:dyDescent="0.25">
      <c r="A17518" s="4" t="str">
        <f>HYPERLINK("http://www.rosaceae.org/Prunus/Prunus_persica/p.persica_gdr_reftransV1_0020991","p.persica_gdr_reftransV1_0020991")</f>
        <v>p.persica_gdr_reftransV1_0020991</v>
      </c>
      <c r="B17518" s="2">
        <v>4401</v>
      </c>
      <c r="C17518" s="4" t="str">
        <f>HYPERLINK("http://www.uniprot.org/uniprot/M5WTB5","M5WTB5")</f>
        <v>M5WTB5</v>
      </c>
      <c r="D17518" s="2" t="s">
        <v>13711</v>
      </c>
      <c r="E17518" s="3">
        <v>0</v>
      </c>
      <c r="F17518" s="2">
        <v>2375</v>
      </c>
      <c r="G17518" s="2">
        <v>100</v>
      </c>
      <c r="H17518" s="2">
        <v>624</v>
      </c>
      <c r="I17518" s="2">
        <v>2039</v>
      </c>
      <c r="J17518" s="2">
        <v>3910</v>
      </c>
      <c r="K17518" s="2">
        <v>1</v>
      </c>
      <c r="L17518" s="2">
        <v>624</v>
      </c>
    </row>
    <row r="17519" spans="1:12" x14ac:dyDescent="0.25">
      <c r="A17519" s="4" t="str">
        <f>HYPERLINK("http://www.rosaceae.org/Prunus/Prunus_persica/p.persica_gdr_reftransV1_0021691","p.persica_gdr_reftransV1_0021691")</f>
        <v>p.persica_gdr_reftransV1_0021691</v>
      </c>
      <c r="B17519" s="2">
        <v>1816</v>
      </c>
      <c r="C17519" s="4" t="str">
        <f>HYPERLINK("http://www.uniprot.org/uniprot/M5XZE8","M5XZE8")</f>
        <v>M5XZE8</v>
      </c>
      <c r="D17519" s="2" t="s">
        <v>13712</v>
      </c>
      <c r="E17519" s="3">
        <v>1.04E-83</v>
      </c>
      <c r="F17519" s="2">
        <v>695</v>
      </c>
      <c r="G17519" s="2">
        <v>99</v>
      </c>
      <c r="H17519" s="2">
        <v>133</v>
      </c>
      <c r="I17519" s="2">
        <v>132</v>
      </c>
      <c r="J17519" s="2">
        <v>530</v>
      </c>
      <c r="K17519" s="2">
        <v>1</v>
      </c>
      <c r="L17519" s="2">
        <v>133</v>
      </c>
    </row>
    <row r="17520" spans="1:12" x14ac:dyDescent="0.25">
      <c r="A17520" s="4" t="str">
        <f>HYPERLINK("http://www.rosaceae.org/Prunus/Prunus_persica/p.persica_gdr_reftransV1_0022041","p.persica_gdr_reftransV1_0022041")</f>
        <v>p.persica_gdr_reftransV1_0022041</v>
      </c>
      <c r="B17520" s="2">
        <v>3207</v>
      </c>
      <c r="C17520" s="4" t="str">
        <f>HYPERLINK("http://www.uniprot.org/uniprot/M5W9B2","M5W9B2")</f>
        <v>M5W9B2</v>
      </c>
      <c r="D17520" s="2" t="s">
        <v>13713</v>
      </c>
      <c r="E17520" s="3">
        <v>0</v>
      </c>
      <c r="F17520" s="2">
        <v>2651</v>
      </c>
      <c r="G17520" s="2">
        <v>100</v>
      </c>
      <c r="H17520" s="2">
        <v>493</v>
      </c>
      <c r="I17520" s="2">
        <v>1485</v>
      </c>
      <c r="J17520" s="2">
        <v>2963</v>
      </c>
      <c r="K17520" s="2">
        <v>1</v>
      </c>
      <c r="L17520" s="2">
        <v>493</v>
      </c>
    </row>
    <row r="17521" spans="1:12" x14ac:dyDescent="0.25">
      <c r="A17521" s="4" t="str">
        <f>HYPERLINK("http://www.rosaceae.org/Prunus/Prunus_persica/p.persica_gdr_reftransV1_0022391","p.persica_gdr_reftransV1_0022391")</f>
        <v>p.persica_gdr_reftransV1_0022391</v>
      </c>
      <c r="B17521" s="2">
        <v>2120</v>
      </c>
      <c r="C17521" s="4" t="str">
        <f>HYPERLINK("http://www.uniprot.org/uniprot/M5VVG1","M5VVG1")</f>
        <v>M5VVG1</v>
      </c>
      <c r="D17521" s="2" t="s">
        <v>13714</v>
      </c>
      <c r="E17521" s="3">
        <v>0</v>
      </c>
      <c r="F17521" s="2">
        <v>2474</v>
      </c>
      <c r="G17521" s="2">
        <v>100</v>
      </c>
      <c r="H17521" s="2">
        <v>464</v>
      </c>
      <c r="I17521" s="2">
        <v>691</v>
      </c>
      <c r="J17521" s="2">
        <v>2082</v>
      </c>
      <c r="K17521" s="2">
        <v>1</v>
      </c>
      <c r="L17521" s="2">
        <v>464</v>
      </c>
    </row>
    <row r="17522" spans="1:12" x14ac:dyDescent="0.25">
      <c r="A17522" s="4" t="str">
        <f>HYPERLINK("http://www.rosaceae.org/Prunus/Prunus_persica/p.persica_gdr_reftransV1_0024141","p.persica_gdr_reftransV1_0024141")</f>
        <v>p.persica_gdr_reftransV1_0024141</v>
      </c>
      <c r="B17522" s="2">
        <v>3377</v>
      </c>
      <c r="C17522" s="4" t="str">
        <f>HYPERLINK("http://www.uniprot.org/uniprot/M5WE33","M5WE33")</f>
        <v>M5WE33</v>
      </c>
      <c r="D17522" s="2" t="s">
        <v>3230</v>
      </c>
      <c r="E17522" s="3">
        <v>0</v>
      </c>
      <c r="F17522" s="2">
        <v>3324</v>
      </c>
      <c r="G17522" s="2">
        <v>99</v>
      </c>
      <c r="H17522" s="2">
        <v>813</v>
      </c>
      <c r="I17522" s="2">
        <v>488</v>
      </c>
      <c r="J17522" s="2">
        <v>2926</v>
      </c>
      <c r="K17522" s="2">
        <v>1</v>
      </c>
      <c r="L17522" s="2">
        <v>802</v>
      </c>
    </row>
    <row r="17523" spans="1:12" x14ac:dyDescent="0.25">
      <c r="A17523" s="4" t="str">
        <f>HYPERLINK("http://www.rosaceae.org/Prunus/Prunus_persica/p.persica_gdr_reftransV1_0024491","p.persica_gdr_reftransV1_0024491")</f>
        <v>p.persica_gdr_reftransV1_0024491</v>
      </c>
      <c r="B17523" s="2">
        <v>3361</v>
      </c>
      <c r="C17523" s="4" t="str">
        <f>HYPERLINK("http://www.uniprot.org/uniprot/M5WRT9","M5WRT9")</f>
        <v>M5WRT9</v>
      </c>
      <c r="D17523" s="2" t="s">
        <v>13715</v>
      </c>
      <c r="E17523" s="3">
        <v>0</v>
      </c>
      <c r="F17523" s="2">
        <v>1643</v>
      </c>
      <c r="G17523" s="2">
        <v>100</v>
      </c>
      <c r="H17523" s="2">
        <v>360</v>
      </c>
      <c r="I17523" s="2">
        <v>2014</v>
      </c>
      <c r="J17523" s="2">
        <v>3093</v>
      </c>
      <c r="K17523" s="2">
        <v>1</v>
      </c>
      <c r="L17523" s="2">
        <v>360</v>
      </c>
    </row>
    <row r="17524" spans="1:12" x14ac:dyDescent="0.25">
      <c r="A17524" s="4" t="str">
        <f>HYPERLINK("http://www.rosaceae.org/Prunus/Prunus_persica/p.persica_gdr_reftransV1_0025891","p.persica_gdr_reftransV1_0025891")</f>
        <v>p.persica_gdr_reftransV1_0025891</v>
      </c>
      <c r="B17524" s="2">
        <v>3197</v>
      </c>
      <c r="C17524" s="4" t="str">
        <f>HYPERLINK("http://www.uniprot.org/uniprot/M5W7J7","M5W7J7")</f>
        <v>M5W7J7</v>
      </c>
      <c r="D17524" s="2" t="s">
        <v>13716</v>
      </c>
      <c r="E17524" s="3">
        <v>0</v>
      </c>
      <c r="F17524" s="2">
        <v>3495</v>
      </c>
      <c r="G17524" s="2">
        <v>98</v>
      </c>
      <c r="H17524" s="2">
        <v>806</v>
      </c>
      <c r="I17524" s="2">
        <v>564</v>
      </c>
      <c r="J17524" s="2">
        <v>2981</v>
      </c>
      <c r="K17524" s="2">
        <v>1</v>
      </c>
      <c r="L17524" s="2">
        <v>795</v>
      </c>
    </row>
    <row r="17525" spans="1:12" x14ac:dyDescent="0.25">
      <c r="A17525" s="4" t="str">
        <f>HYPERLINK("http://www.rosaceae.org/Prunus/Prunus_persica/p.persica_gdr_reftransV1_0026591","p.persica_gdr_reftransV1_0026591")</f>
        <v>p.persica_gdr_reftransV1_0026591</v>
      </c>
      <c r="B17525" s="2">
        <v>2842</v>
      </c>
      <c r="C17525" s="4" t="str">
        <f>HYPERLINK("http://www.uniprot.org/uniprot/M5XXI7","M5XXI7")</f>
        <v>M5XXI7</v>
      </c>
      <c r="D17525" s="2" t="s">
        <v>13717</v>
      </c>
      <c r="E17525" s="3">
        <v>3.46E-171</v>
      </c>
      <c r="F17525" s="2">
        <v>1337</v>
      </c>
      <c r="G17525" s="2">
        <v>100</v>
      </c>
      <c r="H17525" s="2">
        <v>383</v>
      </c>
      <c r="I17525" s="2">
        <v>531</v>
      </c>
      <c r="J17525" s="2">
        <v>1679</v>
      </c>
      <c r="K17525" s="2">
        <v>1</v>
      </c>
      <c r="L17525" s="2">
        <v>383</v>
      </c>
    </row>
    <row r="17526" spans="1:12" x14ac:dyDescent="0.25">
      <c r="A17526" s="4" t="str">
        <f>HYPERLINK("http://www.rosaceae.org/Prunus/Prunus_persica/p.persica_gdr_reftransV1_0028341","p.persica_gdr_reftransV1_0028341")</f>
        <v>p.persica_gdr_reftransV1_0028341</v>
      </c>
      <c r="B17526" s="2">
        <v>2264</v>
      </c>
      <c r="C17526" s="4" t="str">
        <f>HYPERLINK("http://www.uniprot.org/uniprot/M5XMZ9","M5XMZ9")</f>
        <v>M5XMZ9</v>
      </c>
      <c r="D17526" s="2" t="s">
        <v>9939</v>
      </c>
      <c r="E17526" s="3">
        <v>0</v>
      </c>
      <c r="F17526" s="2">
        <v>1370</v>
      </c>
      <c r="G17526" s="2">
        <v>100</v>
      </c>
      <c r="H17526" s="2">
        <v>257</v>
      </c>
      <c r="I17526" s="2">
        <v>1019</v>
      </c>
      <c r="J17526" s="2">
        <v>1789</v>
      </c>
      <c r="K17526" s="2">
        <v>1</v>
      </c>
      <c r="L17526" s="2">
        <v>257</v>
      </c>
    </row>
    <row r="17527" spans="1:12" x14ac:dyDescent="0.25">
      <c r="A17527" s="4" t="str">
        <f>HYPERLINK("http://www.rosaceae.org/Prunus/Prunus_persica/p.persica_gdr_reftransV1_0028691","p.persica_gdr_reftransV1_0028691")</f>
        <v>p.persica_gdr_reftransV1_0028691</v>
      </c>
      <c r="B17527" s="2">
        <v>1172</v>
      </c>
      <c r="C17527" s="4" t="str">
        <f>HYPERLINK("http://www.uniprot.org/uniprot/M5X1I0","M5X1I0")</f>
        <v>M5X1I0</v>
      </c>
      <c r="D17527" s="2" t="s">
        <v>3601</v>
      </c>
      <c r="E17527" s="3">
        <v>0</v>
      </c>
      <c r="F17527" s="2">
        <v>1485</v>
      </c>
      <c r="G17527" s="2">
        <v>100</v>
      </c>
      <c r="H17527" s="2">
        <v>295</v>
      </c>
      <c r="I17527" s="2">
        <v>62</v>
      </c>
      <c r="J17527" s="2">
        <v>946</v>
      </c>
      <c r="K17527" s="2">
        <v>1</v>
      </c>
      <c r="L17527" s="2">
        <v>295</v>
      </c>
    </row>
    <row r="17528" spans="1:12" x14ac:dyDescent="0.25">
      <c r="A17528" s="4" t="str">
        <f>HYPERLINK("http://www.rosaceae.org/Prunus/Prunus_persica/p.persica_gdr_reftransV1_0030441","p.persica_gdr_reftransV1_0030441")</f>
        <v>p.persica_gdr_reftransV1_0030441</v>
      </c>
      <c r="B17528" s="2">
        <v>1224</v>
      </c>
      <c r="C17528" s="4" t="str">
        <f>HYPERLINK("http://www.uniprot.org/uniprot/M5VS29","M5VS29")</f>
        <v>M5VS29</v>
      </c>
      <c r="D17528" s="2" t="s">
        <v>13718</v>
      </c>
      <c r="E17528" s="3">
        <v>1.3100000000000001E-59</v>
      </c>
      <c r="F17528" s="2">
        <v>516</v>
      </c>
      <c r="G17528" s="2">
        <v>100</v>
      </c>
      <c r="H17528" s="2">
        <v>96</v>
      </c>
      <c r="I17528" s="2">
        <v>204</v>
      </c>
      <c r="J17528" s="2">
        <v>491</v>
      </c>
      <c r="K17528" s="2">
        <v>1</v>
      </c>
      <c r="L17528" s="2">
        <v>96</v>
      </c>
    </row>
    <row r="17529" spans="1:12" x14ac:dyDescent="0.25">
      <c r="A17529" s="4" t="str">
        <f>HYPERLINK("http://www.rosaceae.org/Prunus/Prunus_persica/p.persica_gdr_reftransV1_0030791","p.persica_gdr_reftransV1_0030791")</f>
        <v>p.persica_gdr_reftransV1_0030791</v>
      </c>
      <c r="B17529" s="2">
        <v>2084</v>
      </c>
      <c r="C17529" s="4" t="str">
        <f>HYPERLINK("http://www.uniprot.org/uniprot/M5XQ14","M5XQ14")</f>
        <v>M5XQ14</v>
      </c>
      <c r="D17529" s="2" t="s">
        <v>10433</v>
      </c>
      <c r="E17529" s="3">
        <v>0</v>
      </c>
      <c r="F17529" s="2">
        <v>1947</v>
      </c>
      <c r="G17529" s="2">
        <v>92</v>
      </c>
      <c r="H17529" s="2">
        <v>447</v>
      </c>
      <c r="I17529" s="2">
        <v>618</v>
      </c>
      <c r="J17529" s="2">
        <v>1958</v>
      </c>
      <c r="K17529" s="2">
        <v>1</v>
      </c>
      <c r="L17529" s="2">
        <v>412</v>
      </c>
    </row>
    <row r="17530" spans="1:12" x14ac:dyDescent="0.25">
      <c r="A17530" s="4" t="str">
        <f>HYPERLINK("http://www.rosaceae.org/Prunus/Prunus_persica/p.persica_gdr_reftransV1_0031841","p.persica_gdr_reftransV1_0031841")</f>
        <v>p.persica_gdr_reftransV1_0031841</v>
      </c>
      <c r="B17530" s="2">
        <v>775</v>
      </c>
      <c r="C17530" s="4" t="str">
        <f>HYPERLINK("http://www.uniprot.org/uniprot/M5VM95","M5VM95")</f>
        <v>M5VM95</v>
      </c>
      <c r="D17530" s="2" t="s">
        <v>13719</v>
      </c>
      <c r="E17530" s="3">
        <v>9.0399999999999998E-57</v>
      </c>
      <c r="F17530" s="2">
        <v>482</v>
      </c>
      <c r="G17530" s="2">
        <v>81</v>
      </c>
      <c r="H17530" s="2">
        <v>151</v>
      </c>
      <c r="I17530" s="2">
        <v>143</v>
      </c>
      <c r="J17530" s="2">
        <v>514</v>
      </c>
      <c r="K17530" s="2">
        <v>8</v>
      </c>
      <c r="L17530" s="2">
        <v>158</v>
      </c>
    </row>
    <row r="17531" spans="1:12" x14ac:dyDescent="0.25">
      <c r="A17531" s="4" t="str">
        <f>HYPERLINK("http://www.rosaceae.org/Prunus/Prunus_persica/p.persica_gdr_reftransV1_0033591","p.persica_gdr_reftransV1_0033591")</f>
        <v>p.persica_gdr_reftransV1_0033591</v>
      </c>
      <c r="B17531" s="2">
        <v>2986</v>
      </c>
      <c r="C17531" s="4" t="str">
        <f>HYPERLINK("http://www.uniprot.org/uniprot/M5XK19","M5XK19")</f>
        <v>M5XK19</v>
      </c>
      <c r="D17531" s="2" t="s">
        <v>13720</v>
      </c>
      <c r="E17531" s="3">
        <v>0</v>
      </c>
      <c r="F17531" s="2">
        <v>3964</v>
      </c>
      <c r="G17531" s="2">
        <v>100</v>
      </c>
      <c r="H17531" s="2">
        <v>738</v>
      </c>
      <c r="I17531" s="2">
        <v>329</v>
      </c>
      <c r="J17531" s="2">
        <v>2542</v>
      </c>
      <c r="K17531" s="2">
        <v>1</v>
      </c>
      <c r="L17531" s="2">
        <v>738</v>
      </c>
    </row>
    <row r="17532" spans="1:12" x14ac:dyDescent="0.25">
      <c r="A17532" s="4" t="str">
        <f>HYPERLINK("http://www.rosaceae.org/Prunus/Prunus_persica/p.persica_gdr_reftransV1_0034991","p.persica_gdr_reftransV1_0034991")</f>
        <v>p.persica_gdr_reftransV1_0034991</v>
      </c>
      <c r="B17532" s="2">
        <v>1152</v>
      </c>
      <c r="C17532" s="4" t="str">
        <f>HYPERLINK("http://www.uniprot.org/uniprot/M5XI29","M5XI29")</f>
        <v>M5XI29</v>
      </c>
      <c r="D17532" s="2" t="s">
        <v>7091</v>
      </c>
      <c r="E17532" s="3">
        <v>1.61E-112</v>
      </c>
      <c r="F17532" s="2">
        <v>870</v>
      </c>
      <c r="G17532" s="2">
        <v>100</v>
      </c>
      <c r="H17532" s="2">
        <v>165</v>
      </c>
      <c r="I17532" s="2">
        <v>3</v>
      </c>
      <c r="J17532" s="2">
        <v>497</v>
      </c>
      <c r="K17532" s="2">
        <v>56</v>
      </c>
      <c r="L17532" s="2">
        <v>220</v>
      </c>
    </row>
    <row r="17533" spans="1:12" x14ac:dyDescent="0.25">
      <c r="A17533" s="4" t="str">
        <f>HYPERLINK("http://www.rosaceae.org/Prunus/Prunus_persica/p.persica_gdr_reftransV1_0035691","p.persica_gdr_reftransV1_0035691")</f>
        <v>p.persica_gdr_reftransV1_0035691</v>
      </c>
      <c r="B17533" s="2">
        <v>1680</v>
      </c>
      <c r="C17533" s="4" t="str">
        <f>HYPERLINK("http://www.uniprot.org/uniprot/M5VYV7","M5VYV7")</f>
        <v>M5VYV7</v>
      </c>
      <c r="D17533" s="2" t="s">
        <v>13721</v>
      </c>
      <c r="E17533" s="3">
        <v>0</v>
      </c>
      <c r="F17533" s="2">
        <v>1881</v>
      </c>
      <c r="G17533" s="2">
        <v>100</v>
      </c>
      <c r="H17533" s="2">
        <v>360</v>
      </c>
      <c r="I17533" s="2">
        <v>283</v>
      </c>
      <c r="J17533" s="2">
        <v>1362</v>
      </c>
      <c r="K17533" s="2">
        <v>1</v>
      </c>
      <c r="L17533" s="2">
        <v>360</v>
      </c>
    </row>
    <row r="17534" spans="1:12" x14ac:dyDescent="0.25">
      <c r="A17534" s="4" t="str">
        <f>HYPERLINK("http://www.rosaceae.org/Prunus/Prunus_persica/p.persica_gdr_reftransV1_0036741","p.persica_gdr_reftransV1_0036741")</f>
        <v>p.persica_gdr_reftransV1_0036741</v>
      </c>
      <c r="B17534" s="2">
        <v>2670</v>
      </c>
      <c r="C17534" s="4" t="str">
        <f>HYPERLINK("http://www.uniprot.org/uniprot/M5XGJ6","M5XGJ6")</f>
        <v>M5XGJ6</v>
      </c>
      <c r="D17534" s="2" t="s">
        <v>10510</v>
      </c>
      <c r="E17534" s="3">
        <v>0</v>
      </c>
      <c r="F17534" s="2">
        <v>2576</v>
      </c>
      <c r="G17534" s="2">
        <v>100</v>
      </c>
      <c r="H17534" s="2">
        <v>481</v>
      </c>
      <c r="I17534" s="2">
        <v>1147</v>
      </c>
      <c r="J17534" s="2">
        <v>2589</v>
      </c>
      <c r="K17534" s="2">
        <v>1</v>
      </c>
      <c r="L17534" s="2">
        <v>481</v>
      </c>
    </row>
    <row r="17535" spans="1:12" x14ac:dyDescent="0.25">
      <c r="A17535" s="4" t="str">
        <f>HYPERLINK("http://www.rosaceae.org/Prunus/Prunus_persica/p.persica_gdr_reftransV1_0039191","p.persica_gdr_reftransV1_0039191")</f>
        <v>p.persica_gdr_reftransV1_0039191</v>
      </c>
      <c r="B17535" s="2">
        <v>2219</v>
      </c>
      <c r="C17535" s="4" t="str">
        <f>HYPERLINK("http://www.uniprot.org/uniprot/M5WUY0","M5WUY0")</f>
        <v>M5WUY0</v>
      </c>
      <c r="D17535" s="2" t="s">
        <v>13722</v>
      </c>
      <c r="E17535" s="3">
        <v>0</v>
      </c>
      <c r="F17535" s="2">
        <v>2081</v>
      </c>
      <c r="G17535" s="2">
        <v>100</v>
      </c>
      <c r="H17535" s="2">
        <v>412</v>
      </c>
      <c r="I17535" s="2">
        <v>370</v>
      </c>
      <c r="J17535" s="2">
        <v>1605</v>
      </c>
      <c r="K17535" s="2">
        <v>1</v>
      </c>
      <c r="L17535" s="2">
        <v>412</v>
      </c>
    </row>
    <row r="17536" spans="1:12" x14ac:dyDescent="0.25">
      <c r="A17536" s="4" t="str">
        <f>HYPERLINK("http://www.rosaceae.org/Prunus/Prunus_persica/p.persica_gdr_reftransV1_0039541","p.persica_gdr_reftransV1_0039541")</f>
        <v>p.persica_gdr_reftransV1_0039541</v>
      </c>
      <c r="B17536" s="2">
        <v>3685</v>
      </c>
      <c r="C17536" s="4" t="str">
        <f>HYPERLINK("http://www.uniprot.org/uniprot/M5WH29","M5WH29")</f>
        <v>M5WH29</v>
      </c>
      <c r="D17536" s="2" t="s">
        <v>13723</v>
      </c>
      <c r="E17536" s="3">
        <v>0</v>
      </c>
      <c r="F17536" s="2">
        <v>2384</v>
      </c>
      <c r="G17536" s="2">
        <v>100</v>
      </c>
      <c r="H17536" s="2">
        <v>498</v>
      </c>
      <c r="I17536" s="2">
        <v>135</v>
      </c>
      <c r="J17536" s="2">
        <v>1628</v>
      </c>
      <c r="K17536" s="2">
        <v>1</v>
      </c>
      <c r="L17536" s="2">
        <v>498</v>
      </c>
    </row>
    <row r="17537" spans="1:12" x14ac:dyDescent="0.25">
      <c r="A17537" s="4" t="str">
        <f>HYPERLINK("http://www.rosaceae.org/Prunus/Prunus_persica/p.persica_gdr_reftransV1_0040241","p.persica_gdr_reftransV1_0040241")</f>
        <v>p.persica_gdr_reftransV1_0040241</v>
      </c>
      <c r="B17537" s="2">
        <v>1565</v>
      </c>
      <c r="C17537" s="4" t="str">
        <f>HYPERLINK("http://www.uniprot.org/uniprot/M5XLH9","M5XLH9")</f>
        <v>M5XLH9</v>
      </c>
      <c r="D17537" s="2" t="s">
        <v>13724</v>
      </c>
      <c r="E17537" s="3">
        <v>0</v>
      </c>
      <c r="F17537" s="2">
        <v>1496</v>
      </c>
      <c r="G17537" s="2">
        <v>100</v>
      </c>
      <c r="H17537" s="2">
        <v>314</v>
      </c>
      <c r="I17537" s="2">
        <v>428</v>
      </c>
      <c r="J17537" s="2">
        <v>1369</v>
      </c>
      <c r="K17537" s="2">
        <v>1</v>
      </c>
      <c r="L17537" s="2">
        <v>314</v>
      </c>
    </row>
    <row r="17538" spans="1:12" x14ac:dyDescent="0.25">
      <c r="A17538" s="4" t="str">
        <f>HYPERLINK("http://www.rosaceae.org/Prunus/Prunus_persica/p.persica_gdr_reftransV1_0041291","p.persica_gdr_reftransV1_0041291")</f>
        <v>p.persica_gdr_reftransV1_0041291</v>
      </c>
      <c r="B17538" s="2">
        <v>2005</v>
      </c>
      <c r="C17538" s="4" t="str">
        <f>HYPERLINK("http://www.uniprot.org/uniprot/M5WRK6","M5WRK6")</f>
        <v>M5WRK6</v>
      </c>
      <c r="D17538" s="2" t="s">
        <v>13725</v>
      </c>
      <c r="E17538" s="3">
        <v>0</v>
      </c>
      <c r="F17538" s="2">
        <v>1934</v>
      </c>
      <c r="G17538" s="2">
        <v>92</v>
      </c>
      <c r="H17538" s="2">
        <v>400</v>
      </c>
      <c r="I17538" s="2">
        <v>691</v>
      </c>
      <c r="J17538" s="2">
        <v>1890</v>
      </c>
      <c r="K17538" s="2">
        <v>1</v>
      </c>
      <c r="L17538" s="2">
        <v>369</v>
      </c>
    </row>
    <row r="17539" spans="1:12" x14ac:dyDescent="0.25">
      <c r="A17539" s="4" t="str">
        <f>HYPERLINK("http://www.rosaceae.org/Prunus/Prunus_persica/p.persica_gdr_reftransV1_0042691","p.persica_gdr_reftransV1_0042691")</f>
        <v>p.persica_gdr_reftransV1_0042691</v>
      </c>
      <c r="B17539" s="2">
        <v>1347</v>
      </c>
      <c r="C17539" s="4" t="str">
        <f>HYPERLINK("http://www.uniprot.org/uniprot/M5WFV1","M5WFV1")</f>
        <v>M5WFV1</v>
      </c>
      <c r="D17539" s="2" t="s">
        <v>13726</v>
      </c>
      <c r="E17539" s="3">
        <v>1.61E-52</v>
      </c>
      <c r="F17539" s="2">
        <v>475</v>
      </c>
      <c r="G17539" s="2">
        <v>100</v>
      </c>
      <c r="H17539" s="2">
        <v>91</v>
      </c>
      <c r="I17539" s="2">
        <v>97</v>
      </c>
      <c r="J17539" s="2">
        <v>369</v>
      </c>
      <c r="K17539" s="2">
        <v>5</v>
      </c>
      <c r="L17539" s="2">
        <v>95</v>
      </c>
    </row>
    <row r="17540" spans="1:12" x14ac:dyDescent="0.25">
      <c r="A17540" s="4" t="str">
        <f>HYPERLINK("http://www.rosaceae.org/Prunus/Prunus_persica/p.persica_gdr_reftransV1_0043041","p.persica_gdr_reftransV1_0043041")</f>
        <v>p.persica_gdr_reftransV1_0043041</v>
      </c>
      <c r="B17540" s="2">
        <v>1416</v>
      </c>
      <c r="C17540" s="4" t="str">
        <f>HYPERLINK("http://www.uniprot.org/uniprot/M5XEN1","M5XEN1")</f>
        <v>M5XEN1</v>
      </c>
      <c r="D17540" s="2" t="s">
        <v>13727</v>
      </c>
      <c r="E17540" s="3">
        <v>0</v>
      </c>
      <c r="F17540" s="2">
        <v>1742</v>
      </c>
      <c r="G17540" s="2">
        <v>100</v>
      </c>
      <c r="H17540" s="2">
        <v>354</v>
      </c>
      <c r="I17540" s="2">
        <v>47</v>
      </c>
      <c r="J17540" s="2">
        <v>1108</v>
      </c>
      <c r="K17540" s="2">
        <v>1</v>
      </c>
      <c r="L17540" s="2">
        <v>354</v>
      </c>
    </row>
    <row r="17541" spans="1:12" x14ac:dyDescent="0.25">
      <c r="A17541" s="4" t="str">
        <f>HYPERLINK("http://www.rosaceae.org/Prunus/Prunus_persica/p.persica_gdr_reftransV1_0043391","p.persica_gdr_reftransV1_0043391")</f>
        <v>p.persica_gdr_reftransV1_0043391</v>
      </c>
      <c r="B17541" s="2">
        <v>1479</v>
      </c>
      <c r="C17541" s="4" t="str">
        <f>HYPERLINK("http://www.uniprot.org/uniprot/M5W2E1","M5W2E1")</f>
        <v>M5W2E1</v>
      </c>
      <c r="D17541" s="2" t="s">
        <v>8478</v>
      </c>
      <c r="E17541" s="3">
        <v>0</v>
      </c>
      <c r="F17541" s="2">
        <v>1533</v>
      </c>
      <c r="G17541" s="2">
        <v>92</v>
      </c>
      <c r="H17541" s="2">
        <v>352</v>
      </c>
      <c r="I17541" s="2">
        <v>368</v>
      </c>
      <c r="J17541" s="2">
        <v>1423</v>
      </c>
      <c r="K17541" s="2">
        <v>1</v>
      </c>
      <c r="L17541" s="2">
        <v>325</v>
      </c>
    </row>
    <row r="17542" spans="1:12" x14ac:dyDescent="0.25">
      <c r="A17542" s="4" t="str">
        <f>HYPERLINK("http://www.rosaceae.org/Prunus/Prunus_persica/p.persica_gdr_reftransV1_0043741","p.persica_gdr_reftransV1_0043741")</f>
        <v>p.persica_gdr_reftransV1_0043741</v>
      </c>
      <c r="B17542" s="2">
        <v>413</v>
      </c>
      <c r="C17542" s="4" t="str">
        <f>HYPERLINK("http://www.uniprot.org/uniprot/Q2L359","Q2L359")</f>
        <v>Q2L359</v>
      </c>
      <c r="D17542" s="2" t="s">
        <v>13728</v>
      </c>
      <c r="E17542" s="3">
        <v>2.95E-53</v>
      </c>
      <c r="F17542" s="2">
        <v>482</v>
      </c>
      <c r="G17542" s="2">
        <v>75</v>
      </c>
      <c r="H17542" s="2">
        <v>126</v>
      </c>
      <c r="I17542" s="2">
        <v>2</v>
      </c>
      <c r="J17542" s="2">
        <v>379</v>
      </c>
      <c r="K17542" s="2">
        <v>1</v>
      </c>
      <c r="L17542" s="2">
        <v>126</v>
      </c>
    </row>
    <row r="17543" spans="1:12" x14ac:dyDescent="0.25">
      <c r="A17543" s="4" t="str">
        <f>HYPERLINK("http://www.rosaceae.org/Prunus/Prunus_persica/p.persica_gdr_reftransV1_0044441","p.persica_gdr_reftransV1_0044441")</f>
        <v>p.persica_gdr_reftransV1_0044441</v>
      </c>
      <c r="B17543" s="2">
        <v>424</v>
      </c>
      <c r="C17543" s="4" t="str">
        <f>HYPERLINK("http://www.uniprot.org/uniprot/M5XAB9","M5XAB9")</f>
        <v>M5XAB9</v>
      </c>
      <c r="D17543" s="2" t="s">
        <v>9451</v>
      </c>
      <c r="E17543" s="3">
        <v>6.42E-95</v>
      </c>
      <c r="F17543" s="2">
        <v>754</v>
      </c>
      <c r="G17543" s="2">
        <v>100</v>
      </c>
      <c r="H17543" s="2">
        <v>141</v>
      </c>
      <c r="I17543" s="2">
        <v>2</v>
      </c>
      <c r="J17543" s="2">
        <v>424</v>
      </c>
      <c r="K17543" s="2">
        <v>85</v>
      </c>
      <c r="L17543" s="2">
        <v>225</v>
      </c>
    </row>
    <row r="17544" spans="1:12" x14ac:dyDescent="0.25">
      <c r="A17544" s="4" t="str">
        <f>HYPERLINK("http://www.rosaceae.org/Prunus/Prunus_persica/p.persica_gdr_reftransV1_0044791","p.persica_gdr_reftransV1_0044791")</f>
        <v>p.persica_gdr_reftransV1_0044791</v>
      </c>
      <c r="B17544" s="2">
        <v>1185</v>
      </c>
      <c r="C17544" s="4" t="str">
        <f>HYPERLINK("http://www.uniprot.org/uniprot/M5XNV8","M5XNV8")</f>
        <v>M5XNV8</v>
      </c>
      <c r="D17544" s="2" t="s">
        <v>10633</v>
      </c>
      <c r="E17544" s="3">
        <v>1.46E-68</v>
      </c>
      <c r="F17544" s="2">
        <v>582</v>
      </c>
      <c r="G17544" s="2">
        <v>100</v>
      </c>
      <c r="H17544" s="2">
        <v>233</v>
      </c>
      <c r="I17544" s="2">
        <v>161</v>
      </c>
      <c r="J17544" s="2">
        <v>859</v>
      </c>
      <c r="K17544" s="2">
        <v>1</v>
      </c>
      <c r="L17544" s="2">
        <v>233</v>
      </c>
    </row>
    <row r="17545" spans="1:12" x14ac:dyDescent="0.25">
      <c r="A17545" s="4" t="str">
        <f>HYPERLINK("http://www.rosaceae.org/Prunus/Prunus_persica/p.persica_gdr_reftransV1_0045141","p.persica_gdr_reftransV1_0045141")</f>
        <v>p.persica_gdr_reftransV1_0045141</v>
      </c>
      <c r="B17545" s="2">
        <v>867</v>
      </c>
      <c r="C17545" s="4" t="str">
        <f>HYPERLINK("http://www.uniprot.org/uniprot/M5VZY6","M5VZY6")</f>
        <v>M5VZY6</v>
      </c>
      <c r="D17545" s="2" t="s">
        <v>7814</v>
      </c>
      <c r="E17545" s="3">
        <v>4.1800000000000002E-128</v>
      </c>
      <c r="F17545" s="2">
        <v>960</v>
      </c>
      <c r="G17545" s="2">
        <v>100</v>
      </c>
      <c r="H17545" s="2">
        <v>187</v>
      </c>
      <c r="I17545" s="2">
        <v>245</v>
      </c>
      <c r="J17545" s="2">
        <v>805</v>
      </c>
      <c r="K17545" s="2">
        <v>1</v>
      </c>
      <c r="L17545" s="2">
        <v>187</v>
      </c>
    </row>
    <row r="17546" spans="1:12" x14ac:dyDescent="0.25">
      <c r="A17546" s="4" t="str">
        <f>HYPERLINK("http://www.rosaceae.org/Prunus/Prunus_persica/p.persica_gdr_reftransV1_0045491","p.persica_gdr_reftransV1_0045491")</f>
        <v>p.persica_gdr_reftransV1_0045491</v>
      </c>
      <c r="B17546" s="2">
        <v>705</v>
      </c>
      <c r="C17546" s="4" t="str">
        <f>HYPERLINK("http://www.uniprot.org/uniprot/M5VT35","M5VT35")</f>
        <v>M5VT35</v>
      </c>
      <c r="D17546" s="2" t="s">
        <v>10472</v>
      </c>
      <c r="E17546" s="3">
        <v>9.7000000000000004E-104</v>
      </c>
      <c r="F17546" s="2">
        <v>837</v>
      </c>
      <c r="G17546" s="2">
        <v>100</v>
      </c>
      <c r="H17546" s="2">
        <v>230</v>
      </c>
      <c r="I17546" s="2">
        <v>8</v>
      </c>
      <c r="J17546" s="2">
        <v>697</v>
      </c>
      <c r="K17546" s="2">
        <v>1</v>
      </c>
      <c r="L17546" s="2">
        <v>230</v>
      </c>
    </row>
    <row r="17547" spans="1:12" x14ac:dyDescent="0.25">
      <c r="A17547" s="4" t="str">
        <f>HYPERLINK("http://www.rosaceae.org/Prunus/Prunus_persica/p.persica_gdr_reftransV1_0045841","p.persica_gdr_reftransV1_0045841")</f>
        <v>p.persica_gdr_reftransV1_0045841</v>
      </c>
      <c r="B17547" s="2">
        <v>913</v>
      </c>
      <c r="C17547" s="4" t="str">
        <f>HYPERLINK("http://www.uniprot.org/uniprot/M5XPV5","M5XPV5")</f>
        <v>M5XPV5</v>
      </c>
      <c r="D17547" s="2" t="s">
        <v>13729</v>
      </c>
      <c r="E17547" s="3">
        <v>1.27E-79</v>
      </c>
      <c r="F17547" s="2">
        <v>643</v>
      </c>
      <c r="G17547" s="2">
        <v>100</v>
      </c>
      <c r="H17547" s="2">
        <v>162</v>
      </c>
      <c r="I17547" s="2">
        <v>16</v>
      </c>
      <c r="J17547" s="2">
        <v>501</v>
      </c>
      <c r="K17547" s="2">
        <v>47</v>
      </c>
      <c r="L17547" s="2">
        <v>208</v>
      </c>
    </row>
    <row r="17548" spans="1:12" x14ac:dyDescent="0.25">
      <c r="A17548" s="4" t="str">
        <f>HYPERLINK("http://www.rosaceae.org/Prunus/Prunus_persica/p.persica_gdr_reftransV1_0046191","p.persica_gdr_reftransV1_0046191")</f>
        <v>p.persica_gdr_reftransV1_0046191</v>
      </c>
      <c r="B17548" s="2">
        <v>2714</v>
      </c>
      <c r="C17548" s="4" t="str">
        <f>HYPERLINK("http://www.uniprot.org/uniprot/M5XXG7","M5XXG7")</f>
        <v>M5XXG7</v>
      </c>
      <c r="D17548" s="2" t="s">
        <v>13730</v>
      </c>
      <c r="E17548" s="3">
        <v>0</v>
      </c>
      <c r="F17548" s="2">
        <v>3883</v>
      </c>
      <c r="G17548" s="2">
        <v>100</v>
      </c>
      <c r="H17548" s="2">
        <v>735</v>
      </c>
      <c r="I17548" s="2">
        <v>156</v>
      </c>
      <c r="J17548" s="2">
        <v>2360</v>
      </c>
      <c r="K17548" s="2">
        <v>1</v>
      </c>
      <c r="L17548" s="2">
        <v>735</v>
      </c>
    </row>
    <row r="17549" spans="1:12" x14ac:dyDescent="0.25">
      <c r="A17549" s="4" t="str">
        <f>HYPERLINK("http://www.rosaceae.org/Prunus/Prunus_persica/p.persica_gdr_reftransV1_0046541","p.persica_gdr_reftransV1_0046541")</f>
        <v>p.persica_gdr_reftransV1_0046541</v>
      </c>
      <c r="B17549" s="2">
        <v>321</v>
      </c>
      <c r="C17549" s="4" t="str">
        <f>HYPERLINK("http://www.uniprot.org/uniprot/M5XJ63","M5XJ63")</f>
        <v>M5XJ63</v>
      </c>
      <c r="D17549" s="2" t="s">
        <v>13731</v>
      </c>
      <c r="E17549" s="3">
        <v>1.7700000000000001E-31</v>
      </c>
      <c r="F17549" s="2">
        <v>312</v>
      </c>
      <c r="G17549" s="2">
        <v>100</v>
      </c>
      <c r="H17549" s="2">
        <v>92</v>
      </c>
      <c r="I17549" s="2">
        <v>3</v>
      </c>
      <c r="J17549" s="2">
        <v>278</v>
      </c>
      <c r="K17549" s="2">
        <v>1</v>
      </c>
      <c r="L17549" s="2">
        <v>92</v>
      </c>
    </row>
    <row r="17550" spans="1:12" x14ac:dyDescent="0.25">
      <c r="A17550" s="4" t="str">
        <f>HYPERLINK("http://www.rosaceae.org/Prunus/Prunus_persica/p.persica_gdr_reftransV1_0046891","p.persica_gdr_reftransV1_0046891")</f>
        <v>p.persica_gdr_reftransV1_0046891</v>
      </c>
      <c r="B17550" s="2">
        <v>1920</v>
      </c>
      <c r="C17550" s="4" t="str">
        <f>HYPERLINK("http://www.uniprot.org/uniprot/M5VJM2","M5VJM2")</f>
        <v>M5VJM2</v>
      </c>
      <c r="D17550" s="2" t="s">
        <v>12840</v>
      </c>
      <c r="E17550" s="3">
        <v>0</v>
      </c>
      <c r="F17550" s="2">
        <v>1544</v>
      </c>
      <c r="G17550" s="2">
        <v>100</v>
      </c>
      <c r="H17550" s="2">
        <v>290</v>
      </c>
      <c r="I17550" s="2">
        <v>987</v>
      </c>
      <c r="J17550" s="2">
        <v>1856</v>
      </c>
      <c r="K17550" s="2">
        <v>1</v>
      </c>
      <c r="L17550" s="2">
        <v>290</v>
      </c>
    </row>
    <row r="17551" spans="1:12" x14ac:dyDescent="0.25">
      <c r="A17551" s="4" t="str">
        <f>HYPERLINK("http://www.rosaceae.org/Prunus/Prunus_persica/p.persica_gdr_reftransV1_0047241","p.persica_gdr_reftransV1_0047241")</f>
        <v>p.persica_gdr_reftransV1_0047241</v>
      </c>
      <c r="B17551" s="2">
        <v>1111</v>
      </c>
      <c r="C17551" s="4" t="str">
        <f>HYPERLINK("http://www.uniprot.org/uniprot/M5XES1","M5XES1")</f>
        <v>M5XES1</v>
      </c>
      <c r="D17551" s="2" t="s">
        <v>13732</v>
      </c>
      <c r="E17551" s="3">
        <v>1.7499999999999999E-120</v>
      </c>
      <c r="F17551" s="2">
        <v>921</v>
      </c>
      <c r="G17551" s="2">
        <v>100</v>
      </c>
      <c r="H17551" s="2">
        <v>177</v>
      </c>
      <c r="I17551" s="2">
        <v>280</v>
      </c>
      <c r="J17551" s="2">
        <v>810</v>
      </c>
      <c r="K17551" s="2">
        <v>39</v>
      </c>
      <c r="L17551" s="2">
        <v>215</v>
      </c>
    </row>
    <row r="17552" spans="1:12" x14ac:dyDescent="0.25">
      <c r="A17552" s="4" t="str">
        <f>HYPERLINK("http://www.rosaceae.org/Prunus/Prunus_persica/p.persica_gdr_reftransV1_0047591","p.persica_gdr_reftransV1_0047591")</f>
        <v>p.persica_gdr_reftransV1_0047591</v>
      </c>
      <c r="B17552" s="2">
        <v>2185</v>
      </c>
      <c r="C17552" s="4" t="str">
        <f>HYPERLINK("http://www.uniprot.org/uniprot/M5W4A5","M5W4A5")</f>
        <v>M5W4A5</v>
      </c>
      <c r="D17552" s="2" t="s">
        <v>5501</v>
      </c>
      <c r="E17552" s="3">
        <v>0</v>
      </c>
      <c r="F17552" s="2">
        <v>2175</v>
      </c>
      <c r="G17552" s="2">
        <v>100</v>
      </c>
      <c r="H17552" s="2">
        <v>442</v>
      </c>
      <c r="I17552" s="2">
        <v>322</v>
      </c>
      <c r="J17552" s="2">
        <v>1647</v>
      </c>
      <c r="K17552" s="2">
        <v>1</v>
      </c>
      <c r="L17552" s="2">
        <v>442</v>
      </c>
    </row>
    <row r="17553" spans="1:12" x14ac:dyDescent="0.25">
      <c r="A17553" s="4" t="str">
        <f>HYPERLINK("http://www.rosaceae.org/Prunus/Prunus_persica/p.persica_gdr_reftransV1_0047941","p.persica_gdr_reftransV1_0047941")</f>
        <v>p.persica_gdr_reftransV1_0047941</v>
      </c>
      <c r="B17553" s="2">
        <v>1017</v>
      </c>
      <c r="C17553" s="4" t="str">
        <f>HYPERLINK("http://www.uniprot.org/uniprot/M5X5C2","M5X5C2")</f>
        <v>M5X5C2</v>
      </c>
      <c r="D17553" s="2" t="s">
        <v>13733</v>
      </c>
      <c r="E17553" s="3">
        <v>2.08E-162</v>
      </c>
      <c r="F17553" s="2">
        <v>1208</v>
      </c>
      <c r="G17553" s="2">
        <v>100</v>
      </c>
      <c r="H17553" s="2">
        <v>330</v>
      </c>
      <c r="I17553" s="2">
        <v>1</v>
      </c>
      <c r="J17553" s="2">
        <v>990</v>
      </c>
      <c r="K17553" s="2">
        <v>20</v>
      </c>
      <c r="L17553" s="2">
        <v>349</v>
      </c>
    </row>
    <row r="17554" spans="1:12" x14ac:dyDescent="0.25">
      <c r="A17554" s="4" t="str">
        <f>HYPERLINK("http://www.rosaceae.org/Prunus/Prunus_persica/p.persica_gdr_reftransV1_0048291","p.persica_gdr_reftransV1_0048291")</f>
        <v>p.persica_gdr_reftransV1_0048291</v>
      </c>
      <c r="B17554" s="2">
        <v>1046</v>
      </c>
      <c r="C17554" s="4" t="str">
        <f>HYPERLINK("http://www.uniprot.org/uniprot/A0A067LKN1","A0A067LKN1")</f>
        <v>A0A067LKN1</v>
      </c>
      <c r="D17554" s="2" t="s">
        <v>13734</v>
      </c>
      <c r="E17554" s="3">
        <v>5.0700000000000003E-76</v>
      </c>
      <c r="F17554" s="2">
        <v>618</v>
      </c>
      <c r="G17554" s="2">
        <v>87</v>
      </c>
      <c r="H17554" s="2">
        <v>149</v>
      </c>
      <c r="I17554" s="2">
        <v>242</v>
      </c>
      <c r="J17554" s="2">
        <v>688</v>
      </c>
      <c r="K17554" s="2">
        <v>6</v>
      </c>
      <c r="L17554" s="2">
        <v>154</v>
      </c>
    </row>
    <row r="17555" spans="1:12" x14ac:dyDescent="0.25">
      <c r="A17555" s="4" t="str">
        <f>HYPERLINK("http://www.rosaceae.org/Prunus/Prunus_persica/p.persica_gdr_reftransV1_0048991","p.persica_gdr_reftransV1_0048991")</f>
        <v>p.persica_gdr_reftransV1_0048991</v>
      </c>
      <c r="B17555" s="2">
        <v>385</v>
      </c>
      <c r="C17555" s="4" t="str">
        <f>HYPERLINK("http://www.uniprot.org/uniprot/M5XHK0","M5XHK0")</f>
        <v>M5XHK0</v>
      </c>
      <c r="D17555" s="2" t="s">
        <v>13735</v>
      </c>
      <c r="E17555" s="3">
        <v>1.4700000000000001E-82</v>
      </c>
      <c r="F17555" s="2">
        <v>694</v>
      </c>
      <c r="G17555" s="2">
        <v>100</v>
      </c>
      <c r="H17555" s="2">
        <v>128</v>
      </c>
      <c r="I17555" s="2">
        <v>1</v>
      </c>
      <c r="J17555" s="2">
        <v>384</v>
      </c>
      <c r="K17555" s="2">
        <v>422</v>
      </c>
      <c r="L17555" s="2">
        <v>549</v>
      </c>
    </row>
    <row r="17556" spans="1:12" x14ac:dyDescent="0.25">
      <c r="A17556" s="4" t="str">
        <f>HYPERLINK("http://www.rosaceae.org/Prunus/Prunus_persica/p.persica_gdr_reftransV1_0000342","p.persica_gdr_reftransV1_0000342")</f>
        <v>p.persica_gdr_reftransV1_0000342</v>
      </c>
      <c r="B17556" s="2">
        <v>2552</v>
      </c>
      <c r="C17556" s="4" t="str">
        <f>HYPERLINK("http://www.uniprot.org/uniprot/M5WNJ0","M5WNJ0")</f>
        <v>M5WNJ0</v>
      </c>
      <c r="D17556" s="2" t="s">
        <v>12194</v>
      </c>
      <c r="E17556" s="3">
        <v>0</v>
      </c>
      <c r="F17556" s="2">
        <v>3554</v>
      </c>
      <c r="G17556" s="2">
        <v>94</v>
      </c>
      <c r="H17556" s="2">
        <v>709</v>
      </c>
      <c r="I17556" s="2">
        <v>348</v>
      </c>
      <c r="J17556" s="2">
        <v>2354</v>
      </c>
      <c r="K17556" s="2">
        <v>1</v>
      </c>
      <c r="L17556" s="2">
        <v>709</v>
      </c>
    </row>
    <row r="17557" spans="1:12" x14ac:dyDescent="0.25">
      <c r="A17557" s="4" t="str">
        <f>HYPERLINK("http://www.rosaceae.org/Prunus/Prunus_persica/p.persica_gdr_reftransV1_0000692","p.persica_gdr_reftransV1_0000692")</f>
        <v>p.persica_gdr_reftransV1_0000692</v>
      </c>
      <c r="B17557" s="2">
        <v>1522</v>
      </c>
      <c r="C17557" s="4" t="str">
        <f>HYPERLINK("http://www.uniprot.org/uniprot/W9QNH1","W9QNH1")</f>
        <v>W9QNH1</v>
      </c>
      <c r="D17557" s="2" t="s">
        <v>6294</v>
      </c>
      <c r="E17557" s="3">
        <v>3.6799999999999998E-87</v>
      </c>
      <c r="F17557" s="2">
        <v>641</v>
      </c>
      <c r="G17557" s="2">
        <v>64</v>
      </c>
      <c r="H17557" s="2">
        <v>211</v>
      </c>
      <c r="I17557" s="2">
        <v>512</v>
      </c>
      <c r="J17557" s="2">
        <v>1114</v>
      </c>
      <c r="K17557" s="2">
        <v>96</v>
      </c>
      <c r="L17557" s="2">
        <v>306</v>
      </c>
    </row>
    <row r="17558" spans="1:12" x14ac:dyDescent="0.25">
      <c r="A17558" s="4" t="str">
        <f>HYPERLINK("http://www.rosaceae.org/Prunus/Prunus_persica/p.persica_gdr_reftransV1_0001392","p.persica_gdr_reftransV1_0001392")</f>
        <v>p.persica_gdr_reftransV1_0001392</v>
      </c>
      <c r="B17558" s="2">
        <v>1975</v>
      </c>
      <c r="C17558" s="4" t="str">
        <f>HYPERLINK("http://www.uniprot.org/uniprot/M5XWR6","M5XWR6")</f>
        <v>M5XWR6</v>
      </c>
      <c r="D17558" s="2" t="s">
        <v>1619</v>
      </c>
      <c r="E17558" s="3">
        <v>0</v>
      </c>
      <c r="F17558" s="2">
        <v>2254</v>
      </c>
      <c r="G17558" s="2">
        <v>100</v>
      </c>
      <c r="H17558" s="2">
        <v>426</v>
      </c>
      <c r="I17558" s="2">
        <v>445</v>
      </c>
      <c r="J17558" s="2">
        <v>1722</v>
      </c>
      <c r="K17558" s="2">
        <v>1</v>
      </c>
      <c r="L17558" s="2">
        <v>426</v>
      </c>
    </row>
    <row r="17559" spans="1:12" x14ac:dyDescent="0.25">
      <c r="A17559" s="4" t="str">
        <f>HYPERLINK("http://www.rosaceae.org/Prunus/Prunus_persica/p.persica_gdr_reftransV1_0001742","p.persica_gdr_reftransV1_0001742")</f>
        <v>p.persica_gdr_reftransV1_0001742</v>
      </c>
      <c r="B17559" s="2">
        <v>2799</v>
      </c>
      <c r="C17559" s="4" t="str">
        <f>HYPERLINK("http://www.uniprot.org/uniprot/M5W1L8","M5W1L8")</f>
        <v>M5W1L8</v>
      </c>
      <c r="D17559" s="2" t="s">
        <v>13736</v>
      </c>
      <c r="E17559" s="3">
        <v>0</v>
      </c>
      <c r="F17559" s="2">
        <v>4209</v>
      </c>
      <c r="G17559" s="2">
        <v>100</v>
      </c>
      <c r="H17559" s="2">
        <v>811</v>
      </c>
      <c r="I17559" s="2">
        <v>287</v>
      </c>
      <c r="J17559" s="2">
        <v>2719</v>
      </c>
      <c r="K17559" s="2">
        <v>1</v>
      </c>
      <c r="L17559" s="2">
        <v>811</v>
      </c>
    </row>
    <row r="17560" spans="1:12" x14ac:dyDescent="0.25">
      <c r="A17560" s="4" t="str">
        <f>HYPERLINK("http://www.rosaceae.org/Prunus/Prunus_persica/p.persica_gdr_reftransV1_0002442","p.persica_gdr_reftransV1_0002442")</f>
        <v>p.persica_gdr_reftransV1_0002442</v>
      </c>
      <c r="B17560" s="2">
        <v>638</v>
      </c>
      <c r="C17560" s="4" t="str">
        <f>HYPERLINK("http://www.uniprot.org/uniprot/M5WZE1","M5WZE1")</f>
        <v>M5WZE1</v>
      </c>
      <c r="D17560" s="2" t="s">
        <v>13287</v>
      </c>
      <c r="E17560" s="3">
        <v>5.7699999999999997E-113</v>
      </c>
      <c r="F17560" s="2">
        <v>900</v>
      </c>
      <c r="G17560" s="2">
        <v>95</v>
      </c>
      <c r="H17560" s="2">
        <v>196</v>
      </c>
      <c r="I17560" s="2">
        <v>35</v>
      </c>
      <c r="J17560" s="2">
        <v>622</v>
      </c>
      <c r="K17560" s="2">
        <v>1</v>
      </c>
      <c r="L17560" s="2">
        <v>196</v>
      </c>
    </row>
    <row r="17561" spans="1:12" x14ac:dyDescent="0.25">
      <c r="A17561" s="4" t="str">
        <f>HYPERLINK("http://www.rosaceae.org/Prunus/Prunus_persica/p.persica_gdr_reftransV1_0002792","p.persica_gdr_reftransV1_0002792")</f>
        <v>p.persica_gdr_reftransV1_0002792</v>
      </c>
      <c r="B17561" s="2">
        <v>372</v>
      </c>
      <c r="C17561" s="4" t="str">
        <f>HYPERLINK("http://www.uniprot.org/uniprot/E6YCZ8","E6YCZ8")</f>
        <v>E6YCZ8</v>
      </c>
      <c r="D17561" s="2" t="s">
        <v>13737</v>
      </c>
      <c r="E17561" s="3">
        <v>1.8699999999999999E-53</v>
      </c>
      <c r="F17561" s="2">
        <v>487</v>
      </c>
      <c r="G17561" s="2">
        <v>80</v>
      </c>
      <c r="H17561" s="2">
        <v>127</v>
      </c>
      <c r="I17561" s="2">
        <v>2</v>
      </c>
      <c r="J17561" s="2">
        <v>370</v>
      </c>
      <c r="K17561" s="2">
        <v>1278</v>
      </c>
      <c r="L17561" s="2">
        <v>1404</v>
      </c>
    </row>
    <row r="17562" spans="1:12" x14ac:dyDescent="0.25">
      <c r="A17562" s="4" t="str">
        <f>HYPERLINK("http://www.rosaceae.org/Prunus/Prunus_persica/p.persica_gdr_reftransV1_0003142","p.persica_gdr_reftransV1_0003142")</f>
        <v>p.persica_gdr_reftransV1_0003142</v>
      </c>
      <c r="B17562" s="2">
        <v>735</v>
      </c>
      <c r="C17562" s="4" t="str">
        <f>HYPERLINK("http://www.uniprot.org/uniprot/M5W7B1","M5W7B1")</f>
        <v>M5W7B1</v>
      </c>
      <c r="D17562" s="2" t="s">
        <v>3087</v>
      </c>
      <c r="E17562" s="3">
        <v>1.3199999999999999E-84</v>
      </c>
      <c r="F17562" s="2">
        <v>727</v>
      </c>
      <c r="G17562" s="2">
        <v>96</v>
      </c>
      <c r="H17562" s="2">
        <v>145</v>
      </c>
      <c r="I17562" s="2">
        <v>250</v>
      </c>
      <c r="J17562" s="2">
        <v>684</v>
      </c>
      <c r="K17562" s="2">
        <v>1154</v>
      </c>
      <c r="L17562" s="2">
        <v>1298</v>
      </c>
    </row>
    <row r="17563" spans="1:12" x14ac:dyDescent="0.25">
      <c r="A17563" s="4" t="str">
        <f>HYPERLINK("http://www.rosaceae.org/Prunus/Prunus_persica/p.persica_gdr_reftransV1_0004192","p.persica_gdr_reftransV1_0004192")</f>
        <v>p.persica_gdr_reftransV1_0004192</v>
      </c>
      <c r="B17563" s="2">
        <v>1080</v>
      </c>
      <c r="C17563" s="4" t="str">
        <f>HYPERLINK("http://www.uniprot.org/uniprot/M5XI08","M5XI08")</f>
        <v>M5XI08</v>
      </c>
      <c r="D17563" s="2" t="s">
        <v>13738</v>
      </c>
      <c r="E17563" s="3">
        <v>5.3399999999999997E-171</v>
      </c>
      <c r="F17563" s="2">
        <v>1268</v>
      </c>
      <c r="G17563" s="2">
        <v>100</v>
      </c>
      <c r="H17563" s="2">
        <v>277</v>
      </c>
      <c r="I17563" s="2">
        <v>249</v>
      </c>
      <c r="J17563" s="2">
        <v>1079</v>
      </c>
      <c r="K17563" s="2">
        <v>81</v>
      </c>
      <c r="L17563" s="2">
        <v>357</v>
      </c>
    </row>
    <row r="17564" spans="1:12" x14ac:dyDescent="0.25">
      <c r="A17564" s="4" t="str">
        <f>HYPERLINK("http://www.rosaceae.org/Prunus/Prunus_persica/p.persica_gdr_reftransV1_0004542","p.persica_gdr_reftransV1_0004542")</f>
        <v>p.persica_gdr_reftransV1_0004542</v>
      </c>
      <c r="B17564" s="2">
        <v>999</v>
      </c>
      <c r="C17564" s="4" t="str">
        <f>HYPERLINK("http://www.uniprot.org/uniprot/M5WGH4","M5WGH4")</f>
        <v>M5WGH4</v>
      </c>
      <c r="D17564" s="2" t="s">
        <v>13739</v>
      </c>
      <c r="E17564" s="3">
        <v>0</v>
      </c>
      <c r="F17564" s="2">
        <v>1611</v>
      </c>
      <c r="G17564" s="2">
        <v>100</v>
      </c>
      <c r="H17564" s="2">
        <v>301</v>
      </c>
      <c r="I17564" s="2">
        <v>95</v>
      </c>
      <c r="J17564" s="2">
        <v>997</v>
      </c>
      <c r="K17564" s="2">
        <v>150</v>
      </c>
      <c r="L17564" s="2">
        <v>450</v>
      </c>
    </row>
    <row r="17565" spans="1:12" x14ac:dyDescent="0.25">
      <c r="A17565" s="4" t="str">
        <f>HYPERLINK("http://www.rosaceae.org/Prunus/Prunus_persica/p.persica_gdr_reftransV1_0004892","p.persica_gdr_reftransV1_0004892")</f>
        <v>p.persica_gdr_reftransV1_0004892</v>
      </c>
      <c r="B17565" s="2">
        <v>1067</v>
      </c>
      <c r="C17565" s="4" t="str">
        <f>HYPERLINK("http://www.uniprot.org/uniprot/M5X6N4","M5X6N4")</f>
        <v>M5X6N4</v>
      </c>
      <c r="D17565" s="2" t="s">
        <v>2728</v>
      </c>
      <c r="E17565" s="3">
        <v>6.3400000000000004E-124</v>
      </c>
      <c r="F17565" s="2">
        <v>940</v>
      </c>
      <c r="G17565" s="2">
        <v>87</v>
      </c>
      <c r="H17565" s="2">
        <v>215</v>
      </c>
      <c r="I17565" s="2">
        <v>276</v>
      </c>
      <c r="J17565" s="2">
        <v>920</v>
      </c>
      <c r="K17565" s="2">
        <v>1</v>
      </c>
      <c r="L17565" s="2">
        <v>190</v>
      </c>
    </row>
    <row r="17566" spans="1:12" x14ac:dyDescent="0.25">
      <c r="A17566" s="4" t="str">
        <f>HYPERLINK("http://www.rosaceae.org/Prunus/Prunus_persica/p.persica_gdr_reftransV1_0005242","p.persica_gdr_reftransV1_0005242")</f>
        <v>p.persica_gdr_reftransV1_0005242</v>
      </c>
      <c r="B17566" s="2">
        <v>3577</v>
      </c>
      <c r="C17566" s="4" t="str">
        <f>HYPERLINK("http://www.uniprot.org/uniprot/G2XLU2","G2XLU2")</f>
        <v>G2XLU2</v>
      </c>
      <c r="D17566" s="2" t="s">
        <v>13740</v>
      </c>
      <c r="E17566" s="3">
        <v>6.0499999999999999E-84</v>
      </c>
      <c r="F17566" s="2">
        <v>730</v>
      </c>
      <c r="G17566" s="2">
        <v>98</v>
      </c>
      <c r="H17566" s="2">
        <v>145</v>
      </c>
      <c r="I17566" s="2">
        <v>236</v>
      </c>
      <c r="J17566" s="2">
        <v>670</v>
      </c>
      <c r="K17566" s="2">
        <v>144</v>
      </c>
      <c r="L17566" s="2">
        <v>288</v>
      </c>
    </row>
    <row r="17567" spans="1:12" x14ac:dyDescent="0.25">
      <c r="A17567" s="4" t="str">
        <f>HYPERLINK("http://www.rosaceae.org/Prunus/Prunus_persica/p.persica_gdr_reftransV1_0005592","p.persica_gdr_reftransV1_0005592")</f>
        <v>p.persica_gdr_reftransV1_0005592</v>
      </c>
      <c r="B17567" s="2">
        <v>400</v>
      </c>
      <c r="C17567" s="4" t="str">
        <f>HYPERLINK("http://www.uniprot.org/uniprot/M5XPA6","M5XPA6")</f>
        <v>M5XPA6</v>
      </c>
      <c r="D17567" s="2" t="s">
        <v>4821</v>
      </c>
      <c r="E17567" s="3">
        <v>4.4700000000000003E-84</v>
      </c>
      <c r="F17567" s="2">
        <v>707</v>
      </c>
      <c r="G17567" s="2">
        <v>99</v>
      </c>
      <c r="H17567" s="2">
        <v>132</v>
      </c>
      <c r="I17567" s="2">
        <v>3</v>
      </c>
      <c r="J17567" s="2">
        <v>398</v>
      </c>
      <c r="K17567" s="2">
        <v>89</v>
      </c>
      <c r="L17567" s="2">
        <v>220</v>
      </c>
    </row>
    <row r="17568" spans="1:12" x14ac:dyDescent="0.25">
      <c r="A17568" s="4" t="str">
        <f>HYPERLINK("http://www.rosaceae.org/Prunus/Prunus_persica/p.persica_gdr_reftransV1_0006292","p.persica_gdr_reftransV1_0006292")</f>
        <v>p.persica_gdr_reftransV1_0006292</v>
      </c>
      <c r="B17568" s="2">
        <v>1906</v>
      </c>
      <c r="C17568" s="4" t="str">
        <f>HYPERLINK("http://www.uniprot.org/uniprot/M5VT79","M5VT79")</f>
        <v>M5VT79</v>
      </c>
      <c r="D17568" s="2" t="s">
        <v>13741</v>
      </c>
      <c r="E17568" s="3">
        <v>6.5699999999999998E-102</v>
      </c>
      <c r="F17568" s="2">
        <v>816</v>
      </c>
      <c r="G17568" s="2">
        <v>100</v>
      </c>
      <c r="H17568" s="2">
        <v>166</v>
      </c>
      <c r="I17568" s="2">
        <v>436</v>
      </c>
      <c r="J17568" s="2">
        <v>933</v>
      </c>
      <c r="K17568" s="2">
        <v>1</v>
      </c>
      <c r="L17568" s="2">
        <v>166</v>
      </c>
    </row>
    <row r="17569" spans="1:12" x14ac:dyDescent="0.25">
      <c r="A17569" s="4" t="str">
        <f>HYPERLINK("http://www.rosaceae.org/Prunus/Prunus_persica/p.persica_gdr_reftransV1_0006992","p.persica_gdr_reftransV1_0006992")</f>
        <v>p.persica_gdr_reftransV1_0006992</v>
      </c>
      <c r="B17569" s="2">
        <v>569</v>
      </c>
      <c r="C17569" s="4" t="str">
        <f>HYPERLINK("http://www.uniprot.org/uniprot/M5VV87","M5VV87")</f>
        <v>M5VV87</v>
      </c>
      <c r="D17569" s="2" t="s">
        <v>13742</v>
      </c>
      <c r="E17569" s="3">
        <v>1.31E-91</v>
      </c>
      <c r="F17569" s="2">
        <v>738</v>
      </c>
      <c r="G17569" s="2">
        <v>100</v>
      </c>
      <c r="H17569" s="2">
        <v>139</v>
      </c>
      <c r="I17569" s="2">
        <v>1</v>
      </c>
      <c r="J17569" s="2">
        <v>417</v>
      </c>
      <c r="K17569" s="2">
        <v>383</v>
      </c>
      <c r="L17569" s="2">
        <v>521</v>
      </c>
    </row>
    <row r="17570" spans="1:12" x14ac:dyDescent="0.25">
      <c r="A17570" s="4" t="str">
        <f>HYPERLINK("http://www.rosaceae.org/Prunus/Prunus_persica/p.persica_gdr_reftransV1_0007342","p.persica_gdr_reftransV1_0007342")</f>
        <v>p.persica_gdr_reftransV1_0007342</v>
      </c>
      <c r="B17570" s="2">
        <v>2192</v>
      </c>
      <c r="C17570" s="4" t="str">
        <f>HYPERLINK("http://www.uniprot.org/uniprot/M5XJP6","M5XJP6")</f>
        <v>M5XJP6</v>
      </c>
      <c r="D17570" s="2" t="s">
        <v>203</v>
      </c>
      <c r="E17570" s="3">
        <v>6.2699999999999993E-92</v>
      </c>
      <c r="F17570" s="2">
        <v>637</v>
      </c>
      <c r="G17570" s="2">
        <v>96</v>
      </c>
      <c r="H17570" s="2">
        <v>141</v>
      </c>
      <c r="I17570" s="2">
        <v>78</v>
      </c>
      <c r="J17570" s="2">
        <v>500</v>
      </c>
      <c r="K17570" s="2">
        <v>1</v>
      </c>
      <c r="L17570" s="2">
        <v>141</v>
      </c>
    </row>
    <row r="17571" spans="1:12" x14ac:dyDescent="0.25">
      <c r="A17571" s="4" t="str">
        <f>HYPERLINK("http://www.rosaceae.org/Prunus/Prunus_persica/p.persica_gdr_reftransV1_0007692","p.persica_gdr_reftransV1_0007692")</f>
        <v>p.persica_gdr_reftransV1_0007692</v>
      </c>
      <c r="B17571" s="2">
        <v>845</v>
      </c>
      <c r="C17571" s="4" t="str">
        <f>HYPERLINK("http://www.uniprot.org/uniprot/M5XEP5","M5XEP5")</f>
        <v>M5XEP5</v>
      </c>
      <c r="D17571" s="2" t="s">
        <v>13743</v>
      </c>
      <c r="E17571" s="3">
        <v>3.6000000000000001E-61</v>
      </c>
      <c r="F17571" s="2">
        <v>512</v>
      </c>
      <c r="G17571" s="2">
        <v>100</v>
      </c>
      <c r="H17571" s="2">
        <v>141</v>
      </c>
      <c r="I17571" s="2">
        <v>319</v>
      </c>
      <c r="J17571" s="2">
        <v>741</v>
      </c>
      <c r="K17571" s="2">
        <v>1</v>
      </c>
      <c r="L17571" s="2">
        <v>141</v>
      </c>
    </row>
    <row r="17572" spans="1:12" x14ac:dyDescent="0.25">
      <c r="A17572" s="4" t="str">
        <f>HYPERLINK("http://www.rosaceae.org/Prunus/Prunus_persica/p.persica_gdr_reftransV1_0008042","p.persica_gdr_reftransV1_0008042")</f>
        <v>p.persica_gdr_reftransV1_0008042</v>
      </c>
      <c r="B17572" s="2">
        <v>2925</v>
      </c>
      <c r="C17572" s="4" t="str">
        <f>HYPERLINK("http://www.uniprot.org/uniprot/M5XIU9","M5XIU9")</f>
        <v>M5XIU9</v>
      </c>
      <c r="D17572" s="2" t="s">
        <v>13744</v>
      </c>
      <c r="E17572" s="3">
        <v>0</v>
      </c>
      <c r="F17572" s="2">
        <v>4138</v>
      </c>
      <c r="G17572" s="2">
        <v>100</v>
      </c>
      <c r="H17572" s="2">
        <v>788</v>
      </c>
      <c r="I17572" s="2">
        <v>361</v>
      </c>
      <c r="J17572" s="2">
        <v>2724</v>
      </c>
      <c r="K17572" s="2">
        <v>1</v>
      </c>
      <c r="L17572" s="2">
        <v>788</v>
      </c>
    </row>
    <row r="17573" spans="1:12" x14ac:dyDescent="0.25">
      <c r="A17573" s="4" t="str">
        <f>HYPERLINK("http://www.rosaceae.org/Prunus/Prunus_persica/p.persica_gdr_reftransV1_0008392","p.persica_gdr_reftransV1_0008392")</f>
        <v>p.persica_gdr_reftransV1_0008392</v>
      </c>
      <c r="B17573" s="2">
        <v>1368</v>
      </c>
      <c r="C17573" s="4" t="str">
        <f>HYPERLINK("http://www.uniprot.org/uniprot/M5Y314","M5Y314")</f>
        <v>M5Y314</v>
      </c>
      <c r="D17573" s="2" t="s">
        <v>13745</v>
      </c>
      <c r="E17573" s="3">
        <v>0</v>
      </c>
      <c r="F17573" s="2">
        <v>1749</v>
      </c>
      <c r="G17573" s="2">
        <v>100</v>
      </c>
      <c r="H17573" s="2">
        <v>350</v>
      </c>
      <c r="I17573" s="2">
        <v>188</v>
      </c>
      <c r="J17573" s="2">
        <v>1237</v>
      </c>
      <c r="K17573" s="2">
        <v>1</v>
      </c>
      <c r="L17573" s="2">
        <v>350</v>
      </c>
    </row>
    <row r="17574" spans="1:12" x14ac:dyDescent="0.25">
      <c r="A17574" s="4" t="str">
        <f>HYPERLINK("http://www.rosaceae.org/Prunus/Prunus_persica/p.persica_gdr_reftransV1_0008742","p.persica_gdr_reftransV1_0008742")</f>
        <v>p.persica_gdr_reftransV1_0008742</v>
      </c>
      <c r="B17574" s="2">
        <v>2036</v>
      </c>
      <c r="C17574" s="4" t="str">
        <f>HYPERLINK("http://www.uniprot.org/uniprot/M5VWI8","M5VWI8")</f>
        <v>M5VWI8</v>
      </c>
      <c r="D17574" s="2" t="s">
        <v>13746</v>
      </c>
      <c r="E17574" s="3">
        <v>0</v>
      </c>
      <c r="F17574" s="2">
        <v>2928</v>
      </c>
      <c r="G17574" s="2">
        <v>100</v>
      </c>
      <c r="H17574" s="2">
        <v>568</v>
      </c>
      <c r="I17574" s="2">
        <v>17</v>
      </c>
      <c r="J17574" s="2">
        <v>1720</v>
      </c>
      <c r="K17574" s="2">
        <v>1</v>
      </c>
      <c r="L17574" s="2">
        <v>568</v>
      </c>
    </row>
    <row r="17575" spans="1:12" x14ac:dyDescent="0.25">
      <c r="A17575" s="4" t="str">
        <f>HYPERLINK("http://www.rosaceae.org/Prunus/Prunus_persica/p.persica_gdr_reftransV1_0009442","p.persica_gdr_reftransV1_0009442")</f>
        <v>p.persica_gdr_reftransV1_0009442</v>
      </c>
      <c r="B17575" s="2">
        <v>959</v>
      </c>
      <c r="C17575" s="4" t="str">
        <f>HYPERLINK("http://www.uniprot.org/uniprot/M5VKM5","M5VKM5")</f>
        <v>M5VKM5</v>
      </c>
      <c r="D17575" s="2" t="s">
        <v>13747</v>
      </c>
      <c r="E17575" s="3">
        <v>2.4499999999999999E-86</v>
      </c>
      <c r="F17575" s="2">
        <v>684</v>
      </c>
      <c r="G17575" s="2">
        <v>100</v>
      </c>
      <c r="H17575" s="2">
        <v>151</v>
      </c>
      <c r="I17575" s="2">
        <v>106</v>
      </c>
      <c r="J17575" s="2">
        <v>558</v>
      </c>
      <c r="K17575" s="2">
        <v>1</v>
      </c>
      <c r="L17575" s="2">
        <v>151</v>
      </c>
    </row>
    <row r="17576" spans="1:12" x14ac:dyDescent="0.25">
      <c r="A17576" s="4" t="str">
        <f>HYPERLINK("http://www.rosaceae.org/Prunus/Prunus_persica/p.persica_gdr_reftransV1_0009792","p.persica_gdr_reftransV1_0009792")</f>
        <v>p.persica_gdr_reftransV1_0009792</v>
      </c>
      <c r="B17576" s="2">
        <v>1346</v>
      </c>
      <c r="C17576" s="4" t="str">
        <f>HYPERLINK("http://www.uniprot.org/uniprot/M5XLT4","M5XLT4")</f>
        <v>M5XLT4</v>
      </c>
      <c r="D17576" s="2" t="s">
        <v>13748</v>
      </c>
      <c r="E17576" s="3">
        <v>2.9400000000000001E-136</v>
      </c>
      <c r="F17576" s="2">
        <v>1039</v>
      </c>
      <c r="G17576" s="2">
        <v>82</v>
      </c>
      <c r="H17576" s="2">
        <v>251</v>
      </c>
      <c r="I17576" s="2">
        <v>504</v>
      </c>
      <c r="J17576" s="2">
        <v>1256</v>
      </c>
      <c r="K17576" s="2">
        <v>1</v>
      </c>
      <c r="L17576" s="2">
        <v>209</v>
      </c>
    </row>
    <row r="17577" spans="1:12" x14ac:dyDescent="0.25">
      <c r="A17577" s="4" t="str">
        <f>HYPERLINK("http://www.rosaceae.org/Prunus/Prunus_persica/p.persica_gdr_reftransV1_0010142","p.persica_gdr_reftransV1_0010142")</f>
        <v>p.persica_gdr_reftransV1_0010142</v>
      </c>
      <c r="B17577" s="2">
        <v>2201</v>
      </c>
      <c r="C17577" s="4" t="str">
        <f>HYPERLINK("http://www.uniprot.org/uniprot/M5WVF1","M5WVF1")</f>
        <v>M5WVF1</v>
      </c>
      <c r="D17577" s="2" t="s">
        <v>13749</v>
      </c>
      <c r="E17577" s="3">
        <v>0</v>
      </c>
      <c r="F17577" s="2">
        <v>2247</v>
      </c>
      <c r="G17577" s="2">
        <v>99</v>
      </c>
      <c r="H17577" s="2">
        <v>436</v>
      </c>
      <c r="I17577" s="2">
        <v>407</v>
      </c>
      <c r="J17577" s="2">
        <v>1714</v>
      </c>
      <c r="K17577" s="2">
        <v>1</v>
      </c>
      <c r="L17577" s="2">
        <v>430</v>
      </c>
    </row>
    <row r="17578" spans="1:12" x14ac:dyDescent="0.25">
      <c r="A17578" s="4" t="str">
        <f>HYPERLINK("http://www.rosaceae.org/Prunus/Prunus_persica/p.persica_gdr_reftransV1_0010492","p.persica_gdr_reftransV1_0010492")</f>
        <v>p.persica_gdr_reftransV1_0010492</v>
      </c>
      <c r="B17578" s="2">
        <v>3935</v>
      </c>
      <c r="C17578" s="4" t="str">
        <f>HYPERLINK("http://www.uniprot.org/uniprot/M5X4Z2","M5X4Z2")</f>
        <v>M5X4Z2</v>
      </c>
      <c r="D17578" s="2" t="s">
        <v>13750</v>
      </c>
      <c r="E17578" s="3">
        <v>0</v>
      </c>
      <c r="F17578" s="2">
        <v>1436</v>
      </c>
      <c r="G17578" s="2">
        <v>94</v>
      </c>
      <c r="H17578" s="2">
        <v>291</v>
      </c>
      <c r="I17578" s="2">
        <v>1811</v>
      </c>
      <c r="J17578" s="2">
        <v>2683</v>
      </c>
      <c r="K17578" s="2">
        <v>49</v>
      </c>
      <c r="L17578" s="2">
        <v>321</v>
      </c>
    </row>
    <row r="17579" spans="1:12" x14ac:dyDescent="0.25">
      <c r="A17579" s="4" t="str">
        <f>HYPERLINK("http://www.rosaceae.org/Prunus/Prunus_persica/p.persica_gdr_reftransV1_0010842","p.persica_gdr_reftransV1_0010842")</f>
        <v>p.persica_gdr_reftransV1_0010842</v>
      </c>
      <c r="B17579" s="2">
        <v>2460</v>
      </c>
      <c r="C17579" s="4" t="str">
        <f>HYPERLINK("http://www.uniprot.org/uniprot/M5W832","M5W832")</f>
        <v>M5W832</v>
      </c>
      <c r="D17579" s="2" t="s">
        <v>13751</v>
      </c>
      <c r="E17579" s="3">
        <v>0</v>
      </c>
      <c r="F17579" s="2">
        <v>3061</v>
      </c>
      <c r="G17579" s="2">
        <v>100</v>
      </c>
      <c r="H17579" s="2">
        <v>600</v>
      </c>
      <c r="I17579" s="2">
        <v>146</v>
      </c>
      <c r="J17579" s="2">
        <v>1945</v>
      </c>
      <c r="K17579" s="2">
        <v>1</v>
      </c>
      <c r="L17579" s="2">
        <v>600</v>
      </c>
    </row>
    <row r="17580" spans="1:12" x14ac:dyDescent="0.25">
      <c r="A17580" s="4" t="str">
        <f>HYPERLINK("http://www.rosaceae.org/Prunus/Prunus_persica/p.persica_gdr_reftransV1_0013292","p.persica_gdr_reftransV1_0013292")</f>
        <v>p.persica_gdr_reftransV1_0013292</v>
      </c>
      <c r="B17580" s="2">
        <v>1150</v>
      </c>
      <c r="C17580" s="4" t="str">
        <f>HYPERLINK("http://www.uniprot.org/uniprot/M5VNB8","M5VNB8")</f>
        <v>M5VNB8</v>
      </c>
      <c r="D17580" s="2" t="s">
        <v>192</v>
      </c>
      <c r="E17580" s="3">
        <v>4.6900000000000003E-86</v>
      </c>
      <c r="F17580" s="2">
        <v>686</v>
      </c>
      <c r="G17580" s="2">
        <v>99</v>
      </c>
      <c r="H17580" s="2">
        <v>129</v>
      </c>
      <c r="I17580" s="2">
        <v>470</v>
      </c>
      <c r="J17580" s="2">
        <v>856</v>
      </c>
      <c r="K17580" s="2">
        <v>1</v>
      </c>
      <c r="L17580" s="2">
        <v>129</v>
      </c>
    </row>
    <row r="17581" spans="1:12" x14ac:dyDescent="0.25">
      <c r="A17581" s="4" t="str">
        <f>HYPERLINK("http://www.rosaceae.org/Prunus/Prunus_persica/p.persica_gdr_reftransV1_0013642","p.persica_gdr_reftransV1_0013642")</f>
        <v>p.persica_gdr_reftransV1_0013642</v>
      </c>
      <c r="B17581" s="2">
        <v>3125</v>
      </c>
      <c r="C17581" s="4" t="str">
        <f>HYPERLINK("http://www.uniprot.org/uniprot/M5XLP7","M5XLP7")</f>
        <v>M5XLP7</v>
      </c>
      <c r="D17581" s="2" t="s">
        <v>13752</v>
      </c>
      <c r="E17581" s="3">
        <v>0</v>
      </c>
      <c r="F17581" s="2">
        <v>3590</v>
      </c>
      <c r="G17581" s="2">
        <v>100</v>
      </c>
      <c r="H17581" s="2">
        <v>724</v>
      </c>
      <c r="I17581" s="2">
        <v>527</v>
      </c>
      <c r="J17581" s="2">
        <v>2698</v>
      </c>
      <c r="K17581" s="2">
        <v>1</v>
      </c>
      <c r="L17581" s="2">
        <v>724</v>
      </c>
    </row>
    <row r="17582" spans="1:12" x14ac:dyDescent="0.25">
      <c r="A17582" s="4" t="str">
        <f>HYPERLINK("http://www.rosaceae.org/Prunus/Prunus_persica/p.persica_gdr_reftransV1_0017142","p.persica_gdr_reftransV1_0017142")</f>
        <v>p.persica_gdr_reftransV1_0017142</v>
      </c>
      <c r="B17582" s="2">
        <v>596</v>
      </c>
      <c r="C17582" s="4" t="str">
        <f>HYPERLINK("http://www.uniprot.org/uniprot/M5WBH9","M5WBH9")</f>
        <v>M5WBH9</v>
      </c>
      <c r="D17582" s="2" t="s">
        <v>8351</v>
      </c>
      <c r="E17582" s="3">
        <v>1.24E-82</v>
      </c>
      <c r="F17582" s="2">
        <v>658</v>
      </c>
      <c r="G17582" s="2">
        <v>100</v>
      </c>
      <c r="H17582" s="2">
        <v>121</v>
      </c>
      <c r="I17582" s="2">
        <v>233</v>
      </c>
      <c r="J17582" s="2">
        <v>595</v>
      </c>
      <c r="K17582" s="2">
        <v>151</v>
      </c>
      <c r="L17582" s="2">
        <v>271</v>
      </c>
    </row>
    <row r="17583" spans="1:12" x14ac:dyDescent="0.25">
      <c r="A17583" s="4" t="str">
        <f>HYPERLINK("http://www.rosaceae.org/Prunus/Prunus_persica/p.persica_gdr_reftransV1_0017842","p.persica_gdr_reftransV1_0017842")</f>
        <v>p.persica_gdr_reftransV1_0017842</v>
      </c>
      <c r="B17583" s="2">
        <v>2786</v>
      </c>
      <c r="C17583" s="4" t="str">
        <f>HYPERLINK("http://www.uniprot.org/uniprot/M5Y502","M5Y502")</f>
        <v>M5Y502</v>
      </c>
      <c r="D17583" s="2" t="s">
        <v>13753</v>
      </c>
      <c r="E17583" s="3">
        <v>0</v>
      </c>
      <c r="F17583" s="2">
        <v>1567</v>
      </c>
      <c r="G17583" s="2">
        <v>100</v>
      </c>
      <c r="H17583" s="2">
        <v>292</v>
      </c>
      <c r="I17583" s="2">
        <v>598</v>
      </c>
      <c r="J17583" s="2">
        <v>1473</v>
      </c>
      <c r="K17583" s="2">
        <v>1</v>
      </c>
      <c r="L17583" s="2">
        <v>292</v>
      </c>
    </row>
    <row r="17584" spans="1:12" x14ac:dyDescent="0.25">
      <c r="A17584" s="4" t="str">
        <f>HYPERLINK("http://www.rosaceae.org/Prunus/Prunus_persica/p.persica_gdr_reftransV1_0018892","p.persica_gdr_reftransV1_0018892")</f>
        <v>p.persica_gdr_reftransV1_0018892</v>
      </c>
      <c r="B17584" s="2">
        <v>1348</v>
      </c>
      <c r="C17584" s="4" t="str">
        <f>HYPERLINK("http://www.uniprot.org/uniprot/M5WBJ1","M5WBJ1")</f>
        <v>M5WBJ1</v>
      </c>
      <c r="D17584" s="2" t="s">
        <v>8674</v>
      </c>
      <c r="E17584" s="3">
        <v>3.5600000000000001E-126</v>
      </c>
      <c r="F17584" s="2">
        <v>994</v>
      </c>
      <c r="G17584" s="2">
        <v>96</v>
      </c>
      <c r="H17584" s="2">
        <v>325</v>
      </c>
      <c r="I17584" s="2">
        <v>372</v>
      </c>
      <c r="J17584" s="2">
        <v>1346</v>
      </c>
      <c r="K17584" s="2">
        <v>193</v>
      </c>
      <c r="L17584" s="2">
        <v>505</v>
      </c>
    </row>
    <row r="17585" spans="1:12" x14ac:dyDescent="0.25">
      <c r="A17585" s="4" t="str">
        <f>HYPERLINK("http://www.rosaceae.org/Prunus/Prunus_persica/p.persica_gdr_reftransV1_0019242","p.persica_gdr_reftransV1_0019242")</f>
        <v>p.persica_gdr_reftransV1_0019242</v>
      </c>
      <c r="B17585" s="2">
        <v>543</v>
      </c>
      <c r="C17585" s="4" t="str">
        <f>HYPERLINK("http://www.uniprot.org/uniprot/M5WQ33","M5WQ33")</f>
        <v>M5WQ33</v>
      </c>
      <c r="D17585" s="2" t="s">
        <v>13754</v>
      </c>
      <c r="E17585" s="3">
        <v>1.5000000000000002E-101</v>
      </c>
      <c r="F17585" s="2">
        <v>830</v>
      </c>
      <c r="G17585" s="2">
        <v>87</v>
      </c>
      <c r="H17585" s="2">
        <v>188</v>
      </c>
      <c r="I17585" s="2">
        <v>3</v>
      </c>
      <c r="J17585" s="2">
        <v>542</v>
      </c>
      <c r="K17585" s="2">
        <v>286</v>
      </c>
      <c r="L17585" s="2">
        <v>471</v>
      </c>
    </row>
    <row r="17586" spans="1:12" x14ac:dyDescent="0.25">
      <c r="A17586" s="4" t="str">
        <f>HYPERLINK("http://www.rosaceae.org/Prunus/Prunus_persica/p.persica_gdr_reftransV1_0019942","p.persica_gdr_reftransV1_0019942")</f>
        <v>p.persica_gdr_reftransV1_0019942</v>
      </c>
      <c r="B17586" s="2">
        <v>911</v>
      </c>
      <c r="C17586" s="4" t="str">
        <f>HYPERLINK("http://www.uniprot.org/uniprot/M5W0V1","M5W0V1")</f>
        <v>M5W0V1</v>
      </c>
      <c r="D17586" s="2" t="s">
        <v>13755</v>
      </c>
      <c r="E17586" s="3">
        <v>3.22E-65</v>
      </c>
      <c r="F17586" s="2">
        <v>538</v>
      </c>
      <c r="G17586" s="2">
        <v>100</v>
      </c>
      <c r="H17586" s="2">
        <v>99</v>
      </c>
      <c r="I17586" s="2">
        <v>134</v>
      </c>
      <c r="J17586" s="2">
        <v>430</v>
      </c>
      <c r="K17586" s="2">
        <v>7</v>
      </c>
      <c r="L17586" s="2">
        <v>105</v>
      </c>
    </row>
    <row r="17587" spans="1:12" x14ac:dyDescent="0.25">
      <c r="A17587" s="4" t="str">
        <f>HYPERLINK("http://www.rosaceae.org/Prunus/Prunus_persica/p.persica_gdr_reftransV1_0020292","p.persica_gdr_reftransV1_0020292")</f>
        <v>p.persica_gdr_reftransV1_0020292</v>
      </c>
      <c r="B17587" s="2">
        <v>1579</v>
      </c>
      <c r="C17587" s="4" t="str">
        <f>HYPERLINK("http://www.uniprot.org/uniprot/M5XNU1","M5XNU1")</f>
        <v>M5XNU1</v>
      </c>
      <c r="D17587" s="2" t="s">
        <v>6734</v>
      </c>
      <c r="E17587" s="3">
        <v>1.2600000000000001E-68</v>
      </c>
      <c r="F17587" s="2">
        <v>583</v>
      </c>
      <c r="G17587" s="2">
        <v>97</v>
      </c>
      <c r="H17587" s="2">
        <v>111</v>
      </c>
      <c r="I17587" s="2">
        <v>243</v>
      </c>
      <c r="J17587" s="2">
        <v>575</v>
      </c>
      <c r="K17587" s="2">
        <v>49</v>
      </c>
      <c r="L17587" s="2">
        <v>159</v>
      </c>
    </row>
    <row r="17588" spans="1:12" x14ac:dyDescent="0.25">
      <c r="A17588" s="4" t="str">
        <f>HYPERLINK("http://www.rosaceae.org/Prunus/Prunus_persica/p.persica_gdr_reftransV1_0020642","p.persica_gdr_reftransV1_0020642")</f>
        <v>p.persica_gdr_reftransV1_0020642</v>
      </c>
      <c r="B17588" s="2">
        <v>1453</v>
      </c>
      <c r="C17588" s="4" t="str">
        <f>HYPERLINK("http://www.uniprot.org/uniprot/M5W369","M5W369")</f>
        <v>M5W369</v>
      </c>
      <c r="D17588" s="2" t="s">
        <v>13756</v>
      </c>
      <c r="E17588" s="3">
        <v>3.2000000000000002E-127</v>
      </c>
      <c r="F17588" s="2">
        <v>979</v>
      </c>
      <c r="G17588" s="2">
        <v>100</v>
      </c>
      <c r="H17588" s="2">
        <v>220</v>
      </c>
      <c r="I17588" s="2">
        <v>3</v>
      </c>
      <c r="J17588" s="2">
        <v>662</v>
      </c>
      <c r="K17588" s="2">
        <v>19</v>
      </c>
      <c r="L17588" s="2">
        <v>238</v>
      </c>
    </row>
    <row r="17589" spans="1:12" x14ac:dyDescent="0.25">
      <c r="A17589" s="4" t="str">
        <f>HYPERLINK("http://www.rosaceae.org/Prunus/Prunus_persica/p.persica_gdr_reftransV1_0020992","p.persica_gdr_reftransV1_0020992")</f>
        <v>p.persica_gdr_reftransV1_0020992</v>
      </c>
      <c r="B17589" s="2">
        <v>2000</v>
      </c>
      <c r="C17589" s="4" t="str">
        <f>HYPERLINK("http://www.uniprot.org/uniprot/M5VR04","M5VR04")</f>
        <v>M5VR04</v>
      </c>
      <c r="D17589" s="2" t="s">
        <v>13757</v>
      </c>
      <c r="E17589" s="3">
        <v>0</v>
      </c>
      <c r="F17589" s="2">
        <v>1460</v>
      </c>
      <c r="G17589" s="2">
        <v>100</v>
      </c>
      <c r="H17589" s="2">
        <v>312</v>
      </c>
      <c r="I17589" s="2">
        <v>840</v>
      </c>
      <c r="J17589" s="2">
        <v>1775</v>
      </c>
      <c r="K17589" s="2">
        <v>1</v>
      </c>
      <c r="L17589" s="2">
        <v>312</v>
      </c>
    </row>
    <row r="17590" spans="1:12" x14ac:dyDescent="0.25">
      <c r="A17590" s="4" t="str">
        <f>HYPERLINK("http://www.rosaceae.org/Prunus/Prunus_persica/p.persica_gdr_reftransV1_0021692","p.persica_gdr_reftransV1_0021692")</f>
        <v>p.persica_gdr_reftransV1_0021692</v>
      </c>
      <c r="B17590" s="2">
        <v>921</v>
      </c>
      <c r="C17590" s="4" t="str">
        <f>HYPERLINK("http://www.uniprot.org/uniprot/M5X9N9","M5X9N9")</f>
        <v>M5X9N9</v>
      </c>
      <c r="D17590" s="2" t="s">
        <v>2829</v>
      </c>
      <c r="E17590" s="3">
        <v>1.5000000000000001E-45</v>
      </c>
      <c r="F17590" s="2">
        <v>440</v>
      </c>
      <c r="G17590" s="2">
        <v>100</v>
      </c>
      <c r="H17590" s="2">
        <v>130</v>
      </c>
      <c r="I17590" s="2">
        <v>71</v>
      </c>
      <c r="J17590" s="2">
        <v>460</v>
      </c>
      <c r="K17590" s="2">
        <v>654</v>
      </c>
      <c r="L17590" s="2">
        <v>783</v>
      </c>
    </row>
    <row r="17591" spans="1:12" x14ac:dyDescent="0.25">
      <c r="A17591" s="4" t="str">
        <f>HYPERLINK("http://www.rosaceae.org/Prunus/Prunus_persica/p.persica_gdr_reftransV1_0022392","p.persica_gdr_reftransV1_0022392")</f>
        <v>p.persica_gdr_reftransV1_0022392</v>
      </c>
      <c r="B17591" s="2">
        <v>577</v>
      </c>
      <c r="C17591" s="4" t="str">
        <f>HYPERLINK("http://www.uniprot.org/uniprot/D7U1X2","D7U1X2")</f>
        <v>D7U1X2</v>
      </c>
      <c r="D17591" s="2" t="s">
        <v>13758</v>
      </c>
      <c r="E17591" s="3">
        <v>2.4799999999999999E-78</v>
      </c>
      <c r="F17591" s="2">
        <v>642</v>
      </c>
      <c r="G17591" s="2">
        <v>78</v>
      </c>
      <c r="H17591" s="2">
        <v>147</v>
      </c>
      <c r="I17591" s="2">
        <v>68</v>
      </c>
      <c r="J17591" s="2">
        <v>508</v>
      </c>
      <c r="K17591" s="2">
        <v>1</v>
      </c>
      <c r="L17591" s="2">
        <v>147</v>
      </c>
    </row>
    <row r="17592" spans="1:12" x14ac:dyDescent="0.25">
      <c r="A17592" s="4" t="str">
        <f>HYPERLINK("http://www.rosaceae.org/Prunus/Prunus_persica/p.persica_gdr_reftransV1_0023442","p.persica_gdr_reftransV1_0023442")</f>
        <v>p.persica_gdr_reftransV1_0023442</v>
      </c>
      <c r="B17592" s="2">
        <v>2151</v>
      </c>
      <c r="C17592" s="4" t="str">
        <f>HYPERLINK("http://www.uniprot.org/uniprot/M5X2G3","M5X2G3")</f>
        <v>M5X2G3</v>
      </c>
      <c r="D17592" s="2" t="s">
        <v>622</v>
      </c>
      <c r="E17592" s="3">
        <v>1.1E-119</v>
      </c>
      <c r="F17592" s="2">
        <v>946</v>
      </c>
      <c r="G17592" s="2">
        <v>100</v>
      </c>
      <c r="H17592" s="2">
        <v>209</v>
      </c>
      <c r="I17592" s="2">
        <v>1199</v>
      </c>
      <c r="J17592" s="2">
        <v>1825</v>
      </c>
      <c r="K17592" s="2">
        <v>1</v>
      </c>
      <c r="L17592" s="2">
        <v>209</v>
      </c>
    </row>
    <row r="17593" spans="1:12" x14ac:dyDescent="0.25">
      <c r="A17593" s="4" t="str">
        <f>HYPERLINK("http://www.rosaceae.org/Prunus/Prunus_persica/p.persica_gdr_reftransV1_0025192","p.persica_gdr_reftransV1_0025192")</f>
        <v>p.persica_gdr_reftransV1_0025192</v>
      </c>
      <c r="B17593" s="2">
        <v>2046</v>
      </c>
      <c r="C17593" s="4" t="str">
        <f>HYPERLINK("http://www.uniprot.org/uniprot/M5WTS7","M5WTS7")</f>
        <v>M5WTS7</v>
      </c>
      <c r="D17593" s="2" t="s">
        <v>13759</v>
      </c>
      <c r="E17593" s="3">
        <v>0</v>
      </c>
      <c r="F17593" s="2">
        <v>1682</v>
      </c>
      <c r="G17593" s="2">
        <v>98</v>
      </c>
      <c r="H17593" s="2">
        <v>315</v>
      </c>
      <c r="I17593" s="2">
        <v>1023</v>
      </c>
      <c r="J17593" s="2">
        <v>1967</v>
      </c>
      <c r="K17593" s="2">
        <v>1</v>
      </c>
      <c r="L17593" s="2">
        <v>315</v>
      </c>
    </row>
    <row r="17594" spans="1:12" x14ac:dyDescent="0.25">
      <c r="A17594" s="4" t="str">
        <f>HYPERLINK("http://www.rosaceae.org/Prunus/Prunus_persica/p.persica_gdr_reftransV1_0026242","p.persica_gdr_reftransV1_0026242")</f>
        <v>p.persica_gdr_reftransV1_0026242</v>
      </c>
      <c r="B17594" s="2">
        <v>2159</v>
      </c>
      <c r="C17594" s="4" t="str">
        <f>HYPERLINK("http://www.uniprot.org/uniprot/M5VLA3","M5VLA3")</f>
        <v>M5VLA3</v>
      </c>
      <c r="D17594" s="2" t="s">
        <v>11162</v>
      </c>
      <c r="E17594" s="3">
        <v>3.0699999999999998E-136</v>
      </c>
      <c r="F17594" s="2">
        <v>1068</v>
      </c>
      <c r="G17594" s="2">
        <v>100</v>
      </c>
      <c r="H17594" s="2">
        <v>221</v>
      </c>
      <c r="I17594" s="2">
        <v>954</v>
      </c>
      <c r="J17594" s="2">
        <v>1616</v>
      </c>
      <c r="K17594" s="2">
        <v>93</v>
      </c>
      <c r="L17594" s="2">
        <v>313</v>
      </c>
    </row>
    <row r="17595" spans="1:12" x14ac:dyDescent="0.25">
      <c r="A17595" s="4" t="str">
        <f>HYPERLINK("http://www.rosaceae.org/Prunus/Prunus_persica/p.persica_gdr_reftransV1_0028342","p.persica_gdr_reftransV1_0028342")</f>
        <v>p.persica_gdr_reftransV1_0028342</v>
      </c>
      <c r="B17595" s="2">
        <v>2518</v>
      </c>
      <c r="C17595" s="4" t="str">
        <f>HYPERLINK("http://www.uniprot.org/uniprot/M5WTM8","M5WTM8")</f>
        <v>M5WTM8</v>
      </c>
      <c r="D17595" s="2" t="s">
        <v>6478</v>
      </c>
      <c r="E17595" s="3">
        <v>5.0000000000000004E-112</v>
      </c>
      <c r="F17595" s="2">
        <v>919</v>
      </c>
      <c r="G17595" s="2">
        <v>100</v>
      </c>
      <c r="H17595" s="2">
        <v>172</v>
      </c>
      <c r="I17595" s="2">
        <v>400</v>
      </c>
      <c r="J17595" s="2">
        <v>915</v>
      </c>
      <c r="K17595" s="2">
        <v>194</v>
      </c>
      <c r="L17595" s="2">
        <v>365</v>
      </c>
    </row>
    <row r="17596" spans="1:12" x14ac:dyDescent="0.25">
      <c r="A17596" s="4" t="str">
        <f>HYPERLINK("http://www.rosaceae.org/Prunus/Prunus_persica/p.persica_gdr_reftransV1_0028692","p.persica_gdr_reftransV1_0028692")</f>
        <v>p.persica_gdr_reftransV1_0028692</v>
      </c>
      <c r="B17596" s="2">
        <v>624</v>
      </c>
      <c r="C17596" s="4" t="str">
        <f>HYPERLINK("http://www.uniprot.org/uniprot/M5XHT4","M5XHT4")</f>
        <v>M5XHT4</v>
      </c>
      <c r="D17596" s="2" t="s">
        <v>13760</v>
      </c>
      <c r="E17596" s="3">
        <v>1.3E-17</v>
      </c>
      <c r="F17596" s="2">
        <v>206</v>
      </c>
      <c r="G17596" s="2">
        <v>100</v>
      </c>
      <c r="H17596" s="2">
        <v>57</v>
      </c>
      <c r="I17596" s="2">
        <v>434</v>
      </c>
      <c r="J17596" s="2">
        <v>604</v>
      </c>
      <c r="K17596" s="2">
        <v>20</v>
      </c>
      <c r="L17596" s="2">
        <v>76</v>
      </c>
    </row>
    <row r="17597" spans="1:12" x14ac:dyDescent="0.25">
      <c r="A17597" s="4" t="str">
        <f>HYPERLINK("http://www.rosaceae.org/Prunus/Prunus_persica/p.persica_gdr_reftransV1_0029392","p.persica_gdr_reftransV1_0029392")</f>
        <v>p.persica_gdr_reftransV1_0029392</v>
      </c>
      <c r="B17597" s="2">
        <v>1567</v>
      </c>
      <c r="C17597" s="4" t="str">
        <f>HYPERLINK("http://www.uniprot.org/uniprot/M5Y497","M5Y497")</f>
        <v>M5Y497</v>
      </c>
      <c r="D17597" s="2" t="s">
        <v>5828</v>
      </c>
      <c r="E17597" s="3">
        <v>0</v>
      </c>
      <c r="F17597" s="2">
        <v>2039</v>
      </c>
      <c r="G17597" s="2">
        <v>100</v>
      </c>
      <c r="H17597" s="2">
        <v>421</v>
      </c>
      <c r="I17597" s="2">
        <v>305</v>
      </c>
      <c r="J17597" s="2">
        <v>1567</v>
      </c>
      <c r="K17597" s="2">
        <v>1</v>
      </c>
      <c r="L17597" s="2">
        <v>421</v>
      </c>
    </row>
    <row r="17598" spans="1:12" x14ac:dyDescent="0.25">
      <c r="A17598" s="4" t="str">
        <f>HYPERLINK("http://www.rosaceae.org/Prunus/Prunus_persica/p.persica_gdr_reftransV1_0031842","p.persica_gdr_reftransV1_0031842")</f>
        <v>p.persica_gdr_reftransV1_0031842</v>
      </c>
      <c r="B17598" s="2">
        <v>1867</v>
      </c>
      <c r="C17598" s="4" t="str">
        <f>HYPERLINK("http://www.uniprot.org/uniprot/M5WAE2","M5WAE2")</f>
        <v>M5WAE2</v>
      </c>
      <c r="D17598" s="2" t="s">
        <v>13761</v>
      </c>
      <c r="E17598" s="3">
        <v>9.5599999999999998E-62</v>
      </c>
      <c r="F17598" s="2">
        <v>414</v>
      </c>
      <c r="G17598" s="2">
        <v>100</v>
      </c>
      <c r="H17598" s="2">
        <v>79</v>
      </c>
      <c r="I17598" s="2">
        <v>463</v>
      </c>
      <c r="J17598" s="2">
        <v>699</v>
      </c>
      <c r="K17598" s="2">
        <v>177</v>
      </c>
      <c r="L17598" s="2">
        <v>255</v>
      </c>
    </row>
    <row r="17599" spans="1:12" x14ac:dyDescent="0.25">
      <c r="A17599" s="4" t="str">
        <f>HYPERLINK("http://www.rosaceae.org/Prunus/Prunus_persica/p.persica_gdr_reftransV1_0036042","p.persica_gdr_reftransV1_0036042")</f>
        <v>p.persica_gdr_reftransV1_0036042</v>
      </c>
      <c r="B17599" s="2">
        <v>1381</v>
      </c>
      <c r="C17599" s="4" t="str">
        <f>HYPERLINK("http://www.uniprot.org/uniprot/M5WUV8","M5WUV8")</f>
        <v>M5WUV8</v>
      </c>
      <c r="D17599" s="2" t="s">
        <v>13762</v>
      </c>
      <c r="E17599" s="3">
        <v>2.4600000000000001E-151</v>
      </c>
      <c r="F17599" s="2">
        <v>1137</v>
      </c>
      <c r="G17599" s="2">
        <v>100</v>
      </c>
      <c r="H17599" s="2">
        <v>242</v>
      </c>
      <c r="I17599" s="2">
        <v>295</v>
      </c>
      <c r="J17599" s="2">
        <v>1020</v>
      </c>
      <c r="K17599" s="2">
        <v>1</v>
      </c>
      <c r="L17599" s="2">
        <v>242</v>
      </c>
    </row>
    <row r="17600" spans="1:12" x14ac:dyDescent="0.25">
      <c r="A17600" s="4" t="str">
        <f>HYPERLINK("http://www.rosaceae.org/Prunus/Prunus_persica/p.persica_gdr_reftransV1_0038842","p.persica_gdr_reftransV1_0038842")</f>
        <v>p.persica_gdr_reftransV1_0038842</v>
      </c>
      <c r="B17600" s="2">
        <v>1866</v>
      </c>
      <c r="C17600" s="4" t="str">
        <f>HYPERLINK("http://www.uniprot.org/uniprot/M5WZQ8","M5WZQ8")</f>
        <v>M5WZQ8</v>
      </c>
      <c r="D17600" s="2" t="s">
        <v>13763</v>
      </c>
      <c r="E17600" s="3">
        <v>0</v>
      </c>
      <c r="F17600" s="2">
        <v>1472</v>
      </c>
      <c r="G17600" s="2">
        <v>96</v>
      </c>
      <c r="H17600" s="2">
        <v>317</v>
      </c>
      <c r="I17600" s="2">
        <v>652</v>
      </c>
      <c r="J17600" s="2">
        <v>1602</v>
      </c>
      <c r="K17600" s="2">
        <v>103</v>
      </c>
      <c r="L17600" s="2">
        <v>409</v>
      </c>
    </row>
    <row r="17601" spans="1:12" x14ac:dyDescent="0.25">
      <c r="A17601" s="4" t="str">
        <f>HYPERLINK("http://www.rosaceae.org/Prunus/Prunus_persica/p.persica_gdr_reftransV1_0039192","p.persica_gdr_reftransV1_0039192")</f>
        <v>p.persica_gdr_reftransV1_0039192</v>
      </c>
      <c r="B17601" s="2">
        <v>1332</v>
      </c>
      <c r="C17601" s="4" t="str">
        <f>HYPERLINK("http://www.uniprot.org/uniprot/M5W9R1","M5W9R1")</f>
        <v>M5W9R1</v>
      </c>
      <c r="D17601" s="2" t="s">
        <v>13764</v>
      </c>
      <c r="E17601" s="3">
        <v>0</v>
      </c>
      <c r="F17601" s="2">
        <v>1595</v>
      </c>
      <c r="G17601" s="2">
        <v>100</v>
      </c>
      <c r="H17601" s="2">
        <v>304</v>
      </c>
      <c r="I17601" s="2">
        <v>98</v>
      </c>
      <c r="J17601" s="2">
        <v>1009</v>
      </c>
      <c r="K17601" s="2">
        <v>1</v>
      </c>
      <c r="L17601" s="2">
        <v>304</v>
      </c>
    </row>
    <row r="17602" spans="1:12" x14ac:dyDescent="0.25">
      <c r="A17602" s="4" t="str">
        <f>HYPERLINK("http://www.rosaceae.org/Prunus/Prunus_persica/p.persica_gdr_reftransV1_0040942","p.persica_gdr_reftransV1_0040942")</f>
        <v>p.persica_gdr_reftransV1_0040942</v>
      </c>
      <c r="B17602" s="2">
        <v>1001</v>
      </c>
      <c r="C17602" s="4" t="str">
        <f>HYPERLINK("http://www.uniprot.org/uniprot/M5W8K6","M5W8K6")</f>
        <v>M5W8K6</v>
      </c>
      <c r="D17602" s="2" t="s">
        <v>13765</v>
      </c>
      <c r="E17602" s="3">
        <v>8.4100000000000008E-84</v>
      </c>
      <c r="F17602" s="2">
        <v>666</v>
      </c>
      <c r="G17602" s="2">
        <v>100</v>
      </c>
      <c r="H17602" s="2">
        <v>127</v>
      </c>
      <c r="I17602" s="2">
        <v>253</v>
      </c>
      <c r="J17602" s="2">
        <v>633</v>
      </c>
      <c r="K17602" s="2">
        <v>1</v>
      </c>
      <c r="L17602" s="2">
        <v>127</v>
      </c>
    </row>
    <row r="17603" spans="1:12" x14ac:dyDescent="0.25">
      <c r="A17603" s="4" t="str">
        <f>HYPERLINK("http://www.rosaceae.org/Prunus/Prunus_persica/p.persica_gdr_reftransV1_0043042","p.persica_gdr_reftransV1_0043042")</f>
        <v>p.persica_gdr_reftransV1_0043042</v>
      </c>
      <c r="B17603" s="2">
        <v>959</v>
      </c>
      <c r="C17603" s="4" t="str">
        <f>HYPERLINK("http://www.uniprot.org/uniprot/M5Y687","M5Y687")</f>
        <v>M5Y687</v>
      </c>
      <c r="D17603" s="2" t="s">
        <v>13766</v>
      </c>
      <c r="E17603" s="3">
        <v>6.8199999999999998E-56</v>
      </c>
      <c r="F17603" s="2">
        <v>479</v>
      </c>
      <c r="G17603" s="2">
        <v>99</v>
      </c>
      <c r="H17603" s="2">
        <v>124</v>
      </c>
      <c r="I17603" s="2">
        <v>410</v>
      </c>
      <c r="J17603" s="2">
        <v>781</v>
      </c>
      <c r="K17603" s="2">
        <v>5</v>
      </c>
      <c r="L17603" s="2">
        <v>128</v>
      </c>
    </row>
    <row r="17604" spans="1:12" x14ac:dyDescent="0.25">
      <c r="A17604" s="4" t="str">
        <f>HYPERLINK("http://www.rosaceae.org/Prunus/Prunus_persica/p.persica_gdr_reftransV1_0043392","p.persica_gdr_reftransV1_0043392")</f>
        <v>p.persica_gdr_reftransV1_0043392</v>
      </c>
      <c r="B17604" s="2">
        <v>333</v>
      </c>
      <c r="C17604" s="4" t="str">
        <f>HYPERLINK("http://www.uniprot.org/uniprot/M5XQM8","M5XQM8")</f>
        <v>M5XQM8</v>
      </c>
      <c r="D17604" s="2" t="s">
        <v>13767</v>
      </c>
      <c r="E17604" s="3">
        <v>2.8300000000000003E-60</v>
      </c>
      <c r="F17604" s="2">
        <v>497</v>
      </c>
      <c r="G17604" s="2">
        <v>82</v>
      </c>
      <c r="H17604" s="2">
        <v>122</v>
      </c>
      <c r="I17604" s="2">
        <v>3</v>
      </c>
      <c r="J17604" s="2">
        <v>317</v>
      </c>
      <c r="K17604" s="2">
        <v>1</v>
      </c>
      <c r="L17604" s="2">
        <v>122</v>
      </c>
    </row>
    <row r="17605" spans="1:12" x14ac:dyDescent="0.25">
      <c r="A17605" s="4" t="str">
        <f>HYPERLINK("http://www.rosaceae.org/Prunus/Prunus_persica/p.persica_gdr_reftransV1_0043742","p.persica_gdr_reftransV1_0043742")</f>
        <v>p.persica_gdr_reftransV1_0043742</v>
      </c>
      <c r="B17605" s="2">
        <v>1120</v>
      </c>
      <c r="C17605" s="4" t="str">
        <f>HYPERLINK("http://www.uniprot.org/uniprot/M5XJF2","M5XJF2")</f>
        <v>M5XJF2</v>
      </c>
      <c r="D17605" s="2" t="s">
        <v>427</v>
      </c>
      <c r="E17605" s="3">
        <v>0</v>
      </c>
      <c r="F17605" s="2">
        <v>1819</v>
      </c>
      <c r="G17605" s="2">
        <v>98</v>
      </c>
      <c r="H17605" s="2">
        <v>348</v>
      </c>
      <c r="I17605" s="2">
        <v>1</v>
      </c>
      <c r="J17605" s="2">
        <v>1044</v>
      </c>
      <c r="K17605" s="2">
        <v>204</v>
      </c>
      <c r="L17605" s="2">
        <v>545</v>
      </c>
    </row>
    <row r="17606" spans="1:12" x14ac:dyDescent="0.25">
      <c r="A17606" s="4" t="str">
        <f>HYPERLINK("http://www.rosaceae.org/Prunus/Prunus_persica/p.persica_gdr_reftransV1_0044092","p.persica_gdr_reftransV1_0044092")</f>
        <v>p.persica_gdr_reftransV1_0044092</v>
      </c>
      <c r="B17606" s="2">
        <v>1792</v>
      </c>
      <c r="C17606" s="4" t="str">
        <f>HYPERLINK("http://www.uniprot.org/uniprot/M5W714","M5W714")</f>
        <v>M5W714</v>
      </c>
      <c r="D17606" s="2" t="s">
        <v>7297</v>
      </c>
      <c r="E17606" s="3">
        <v>0</v>
      </c>
      <c r="F17606" s="2">
        <v>1729</v>
      </c>
      <c r="G17606" s="2">
        <v>92</v>
      </c>
      <c r="H17606" s="2">
        <v>380</v>
      </c>
      <c r="I17606" s="2">
        <v>691</v>
      </c>
      <c r="J17606" s="2">
        <v>1791</v>
      </c>
      <c r="K17606" s="2">
        <v>136</v>
      </c>
      <c r="L17606" s="2">
        <v>498</v>
      </c>
    </row>
    <row r="17607" spans="1:12" x14ac:dyDescent="0.25">
      <c r="A17607" s="4" t="str">
        <f>HYPERLINK("http://www.rosaceae.org/Prunus/Prunus_persica/p.persica_gdr_reftransV1_0044442","p.persica_gdr_reftransV1_0044442")</f>
        <v>p.persica_gdr_reftransV1_0044442</v>
      </c>
      <c r="B17607" s="2">
        <v>2047</v>
      </c>
      <c r="C17607" s="4" t="str">
        <f>HYPERLINK("http://www.uniprot.org/uniprot/M5W3X6","M5W3X6")</f>
        <v>M5W3X6</v>
      </c>
      <c r="D17607" s="2" t="s">
        <v>13768</v>
      </c>
      <c r="E17607" s="3">
        <v>0</v>
      </c>
      <c r="F17607" s="2">
        <v>2344</v>
      </c>
      <c r="G17607" s="2">
        <v>96</v>
      </c>
      <c r="H17607" s="2">
        <v>506</v>
      </c>
      <c r="I17607" s="2">
        <v>535</v>
      </c>
      <c r="J17607" s="2">
        <v>2046</v>
      </c>
      <c r="K17607" s="2">
        <v>28</v>
      </c>
      <c r="L17607" s="2">
        <v>530</v>
      </c>
    </row>
    <row r="17608" spans="1:12" x14ac:dyDescent="0.25">
      <c r="A17608" s="4" t="str">
        <f>HYPERLINK("http://www.rosaceae.org/Prunus/Prunus_persica/p.persica_gdr_reftransV1_0044792","p.persica_gdr_reftransV1_0044792")</f>
        <v>p.persica_gdr_reftransV1_0044792</v>
      </c>
      <c r="B17608" s="2">
        <v>1068</v>
      </c>
      <c r="C17608" s="4" t="str">
        <f>HYPERLINK("http://www.uniprot.org/uniprot/M5VPR3","M5VPR3")</f>
        <v>M5VPR3</v>
      </c>
      <c r="D17608" s="2" t="s">
        <v>3648</v>
      </c>
      <c r="E17608" s="3">
        <v>5.6799999999999997E-71</v>
      </c>
      <c r="F17608" s="2">
        <v>622</v>
      </c>
      <c r="G17608" s="2">
        <v>100</v>
      </c>
      <c r="H17608" s="2">
        <v>114</v>
      </c>
      <c r="I17608" s="2">
        <v>727</v>
      </c>
      <c r="J17608" s="2">
        <v>1068</v>
      </c>
      <c r="K17608" s="2">
        <v>1</v>
      </c>
      <c r="L17608" s="2">
        <v>114</v>
      </c>
    </row>
    <row r="17609" spans="1:12" x14ac:dyDescent="0.25">
      <c r="A17609" s="4" t="str">
        <f>HYPERLINK("http://www.rosaceae.org/Prunus/Prunus_persica/p.persica_gdr_reftransV1_0045142","p.persica_gdr_reftransV1_0045142")</f>
        <v>p.persica_gdr_reftransV1_0045142</v>
      </c>
      <c r="B17609" s="2">
        <v>663</v>
      </c>
      <c r="C17609" s="4" t="str">
        <f>HYPERLINK("http://www.uniprot.org/uniprot/M5W532","M5W532")</f>
        <v>M5W532</v>
      </c>
      <c r="D17609" s="2" t="s">
        <v>13769</v>
      </c>
      <c r="E17609" s="3">
        <v>1.8E-115</v>
      </c>
      <c r="F17609" s="2">
        <v>870</v>
      </c>
      <c r="G17609" s="2">
        <v>100</v>
      </c>
      <c r="H17609" s="2">
        <v>181</v>
      </c>
      <c r="I17609" s="2">
        <v>63</v>
      </c>
      <c r="J17609" s="2">
        <v>605</v>
      </c>
      <c r="K17609" s="2">
        <v>1</v>
      </c>
      <c r="L17609" s="2">
        <v>181</v>
      </c>
    </row>
    <row r="17610" spans="1:12" x14ac:dyDescent="0.25">
      <c r="A17610" s="4" t="str">
        <f>HYPERLINK("http://www.rosaceae.org/Prunus/Prunus_persica/p.persica_gdr_reftransV1_0045492","p.persica_gdr_reftransV1_0045492")</f>
        <v>p.persica_gdr_reftransV1_0045492</v>
      </c>
      <c r="B17610" s="2">
        <v>1694</v>
      </c>
      <c r="C17610" s="4" t="str">
        <f>HYPERLINK("http://www.uniprot.org/uniprot/M5XDU3","M5XDU3")</f>
        <v>M5XDU3</v>
      </c>
      <c r="D17610" s="2" t="s">
        <v>13770</v>
      </c>
      <c r="E17610" s="3">
        <v>5.0599999999999999E-172</v>
      </c>
      <c r="F17610" s="2">
        <v>1299</v>
      </c>
      <c r="G17610" s="2">
        <v>99</v>
      </c>
      <c r="H17610" s="2">
        <v>380</v>
      </c>
      <c r="I17610" s="2">
        <v>278</v>
      </c>
      <c r="J17610" s="2">
        <v>1417</v>
      </c>
      <c r="K17610" s="2">
        <v>1</v>
      </c>
      <c r="L17610" s="2">
        <v>380</v>
      </c>
    </row>
    <row r="17611" spans="1:12" x14ac:dyDescent="0.25">
      <c r="A17611" s="4" t="str">
        <f>HYPERLINK("http://www.rosaceae.org/Prunus/Prunus_persica/p.persica_gdr_reftransV1_0045842","p.persica_gdr_reftransV1_0045842")</f>
        <v>p.persica_gdr_reftransV1_0045842</v>
      </c>
      <c r="B17611" s="2">
        <v>1754</v>
      </c>
      <c r="C17611" s="4" t="str">
        <f>HYPERLINK("http://www.uniprot.org/uniprot/M5VT35","M5VT35")</f>
        <v>M5VT35</v>
      </c>
      <c r="D17611" s="2" t="s">
        <v>10472</v>
      </c>
      <c r="E17611" s="3">
        <v>0</v>
      </c>
      <c r="F17611" s="2">
        <v>1591</v>
      </c>
      <c r="G17611" s="2">
        <v>81</v>
      </c>
      <c r="H17611" s="2">
        <v>442</v>
      </c>
      <c r="I17611" s="2">
        <v>285</v>
      </c>
      <c r="J17611" s="2">
        <v>1610</v>
      </c>
      <c r="K17611" s="2">
        <v>323</v>
      </c>
      <c r="L17611" s="2">
        <v>694</v>
      </c>
    </row>
    <row r="17612" spans="1:12" x14ac:dyDescent="0.25">
      <c r="A17612" s="4" t="str">
        <f>HYPERLINK("http://www.rosaceae.org/Prunus/Prunus_persica/p.persica_gdr_reftransV1_0046192","p.persica_gdr_reftransV1_0046192")</f>
        <v>p.persica_gdr_reftransV1_0046192</v>
      </c>
      <c r="B17612" s="2">
        <v>1931</v>
      </c>
      <c r="C17612" s="4" t="str">
        <f>HYPERLINK("http://www.uniprot.org/uniprot/M5XFM0","M5XFM0")</f>
        <v>M5XFM0</v>
      </c>
      <c r="D17612" s="2" t="s">
        <v>2741</v>
      </c>
      <c r="E17612" s="3">
        <v>0</v>
      </c>
      <c r="F17612" s="2">
        <v>2653</v>
      </c>
      <c r="G17612" s="2">
        <v>87</v>
      </c>
      <c r="H17612" s="2">
        <v>555</v>
      </c>
      <c r="I17612" s="2">
        <v>21</v>
      </c>
      <c r="J17612" s="2">
        <v>1685</v>
      </c>
      <c r="K17612" s="2">
        <v>1</v>
      </c>
      <c r="L17612" s="2">
        <v>555</v>
      </c>
    </row>
    <row r="17613" spans="1:12" x14ac:dyDescent="0.25">
      <c r="A17613" s="4" t="str">
        <f>HYPERLINK("http://www.rosaceae.org/Prunus/Prunus_persica/p.persica_gdr_reftransV1_0046542","p.persica_gdr_reftransV1_0046542")</f>
        <v>p.persica_gdr_reftransV1_0046542</v>
      </c>
      <c r="B17613" s="2">
        <v>1858</v>
      </c>
      <c r="C17613" s="4" t="str">
        <f>HYPERLINK("http://www.uniprot.org/uniprot/M5Y001","M5Y001")</f>
        <v>M5Y001</v>
      </c>
      <c r="D17613" s="2" t="s">
        <v>13771</v>
      </c>
      <c r="E17613" s="3">
        <v>3.6400000000000002E-109</v>
      </c>
      <c r="F17613" s="2">
        <v>872</v>
      </c>
      <c r="G17613" s="2">
        <v>100</v>
      </c>
      <c r="H17613" s="2">
        <v>250</v>
      </c>
      <c r="I17613" s="2">
        <v>615</v>
      </c>
      <c r="J17613" s="2">
        <v>1364</v>
      </c>
      <c r="K17613" s="2">
        <v>1</v>
      </c>
      <c r="L17613" s="2">
        <v>250</v>
      </c>
    </row>
    <row r="17614" spans="1:12" x14ac:dyDescent="0.25">
      <c r="A17614" s="4" t="str">
        <f>HYPERLINK("http://www.rosaceae.org/Prunus/Prunus_persica/p.persica_gdr_reftransV1_0046892","p.persica_gdr_reftransV1_0046892")</f>
        <v>p.persica_gdr_reftransV1_0046892</v>
      </c>
      <c r="B17614" s="2">
        <v>2125</v>
      </c>
      <c r="C17614" s="4" t="str">
        <f>HYPERLINK("http://www.uniprot.org/uniprot/W9R7B9","W9R7B9")</f>
        <v>W9R7B9</v>
      </c>
      <c r="D17614" s="2" t="s">
        <v>13772</v>
      </c>
      <c r="E17614" s="3">
        <v>1.0199999999999999E-50</v>
      </c>
      <c r="F17614" s="2">
        <v>505</v>
      </c>
      <c r="G17614" s="2">
        <v>61</v>
      </c>
      <c r="H17614" s="2">
        <v>192</v>
      </c>
      <c r="I17614" s="2">
        <v>116</v>
      </c>
      <c r="J17614" s="2">
        <v>673</v>
      </c>
      <c r="K17614" s="2">
        <v>1</v>
      </c>
      <c r="L17614" s="2">
        <v>192</v>
      </c>
    </row>
    <row r="17615" spans="1:12" x14ac:dyDescent="0.25">
      <c r="A17615" s="4" t="str">
        <f>HYPERLINK("http://www.rosaceae.org/Prunus/Prunus_persica/p.persica_gdr_reftransV1_0047592","p.persica_gdr_reftransV1_0047592")</f>
        <v>p.persica_gdr_reftransV1_0047592</v>
      </c>
      <c r="B17615" s="2">
        <v>1495</v>
      </c>
      <c r="C17615" s="4" t="str">
        <f>HYPERLINK("http://www.uniprot.org/uniprot/M5Wid2","M5Wid2")</f>
        <v>M5Wid2</v>
      </c>
      <c r="D17615" s="2" t="s">
        <v>4299</v>
      </c>
      <c r="E17615" s="3">
        <v>0</v>
      </c>
      <c r="F17615" s="2">
        <v>1628</v>
      </c>
      <c r="G17615" s="2">
        <v>100</v>
      </c>
      <c r="H17615" s="2">
        <v>458</v>
      </c>
      <c r="I17615" s="2">
        <v>22</v>
      </c>
      <c r="J17615" s="2">
        <v>1395</v>
      </c>
      <c r="K17615" s="2">
        <v>1</v>
      </c>
      <c r="L17615" s="2">
        <v>458</v>
      </c>
    </row>
    <row r="17616" spans="1:12" x14ac:dyDescent="0.25">
      <c r="A17616" s="4" t="str">
        <f>HYPERLINK("http://www.rosaceae.org/Prunus/Prunus_persica/p.persica_gdr_reftransV1_0047942","p.persica_gdr_reftransV1_0047942")</f>
        <v>p.persica_gdr_reftransV1_0047942</v>
      </c>
      <c r="B17616" s="2">
        <v>954</v>
      </c>
      <c r="C17616" s="4" t="str">
        <f>HYPERLINK("http://www.uniprot.org/uniprot/M5XYZ5","M5XYZ5")</f>
        <v>M5XYZ5</v>
      </c>
      <c r="D17616" s="2" t="s">
        <v>13773</v>
      </c>
      <c r="E17616" s="3">
        <v>1.8000000000000001E-78</v>
      </c>
      <c r="F17616" s="2">
        <v>635</v>
      </c>
      <c r="G17616" s="2">
        <v>100</v>
      </c>
      <c r="H17616" s="2">
        <v>166</v>
      </c>
      <c r="I17616" s="2">
        <v>326</v>
      </c>
      <c r="J17616" s="2">
        <v>823</v>
      </c>
      <c r="K17616" s="2">
        <v>22</v>
      </c>
      <c r="L17616" s="2">
        <v>187</v>
      </c>
    </row>
    <row r="17617" spans="1:12" x14ac:dyDescent="0.25">
      <c r="A17617" s="4" t="str">
        <f>HYPERLINK("http://www.rosaceae.org/Prunus/Prunus_persica/p.persica_gdr_reftransV1_0048292","p.persica_gdr_reftransV1_0048292")</f>
        <v>p.persica_gdr_reftransV1_0048292</v>
      </c>
      <c r="B17617" s="2">
        <v>1960</v>
      </c>
      <c r="C17617" s="4" t="str">
        <f>HYPERLINK("http://www.uniprot.org/uniprot/M5VN34","M5VN34")</f>
        <v>M5VN34</v>
      </c>
      <c r="D17617" s="2" t="s">
        <v>13774</v>
      </c>
      <c r="E17617" s="3">
        <v>0</v>
      </c>
      <c r="F17617" s="2">
        <v>2914</v>
      </c>
      <c r="G17617" s="2">
        <v>100</v>
      </c>
      <c r="H17617" s="2">
        <v>543</v>
      </c>
      <c r="I17617" s="2">
        <v>74</v>
      </c>
      <c r="J17617" s="2">
        <v>1702</v>
      </c>
      <c r="K17617" s="2">
        <v>28</v>
      </c>
      <c r="L17617" s="2">
        <v>570</v>
      </c>
    </row>
    <row r="17618" spans="1:12" x14ac:dyDescent="0.25">
      <c r="A17618" s="4" t="str">
        <f>HYPERLINK("http://www.rosaceae.org/Prunus/Prunus_persica/p.persica_gdr_reftransV1_0048642","p.persica_gdr_reftransV1_0048642")</f>
        <v>p.persica_gdr_reftransV1_0048642</v>
      </c>
      <c r="B17618" s="2">
        <v>1772</v>
      </c>
      <c r="C17618" s="4" t="str">
        <f>HYPERLINK("http://www.uniprot.org/uniprot/M5W0U0","M5W0U0")</f>
        <v>M5W0U0</v>
      </c>
      <c r="D17618" s="2" t="s">
        <v>1269</v>
      </c>
      <c r="E17618" s="3">
        <v>0</v>
      </c>
      <c r="F17618" s="2">
        <v>2132</v>
      </c>
      <c r="G17618" s="2">
        <v>100</v>
      </c>
      <c r="H17618" s="2">
        <v>411</v>
      </c>
      <c r="I17618" s="2">
        <v>29</v>
      </c>
      <c r="J17618" s="2">
        <v>1261</v>
      </c>
      <c r="K17618" s="2">
        <v>1</v>
      </c>
      <c r="L17618" s="2">
        <v>411</v>
      </c>
    </row>
    <row r="17619" spans="1:12" x14ac:dyDescent="0.25">
      <c r="A17619" s="4" t="str">
        <f>HYPERLINK("http://www.rosaceae.org/Prunus/Prunus_persica/p.persica_gdr_reftransV1_0048992","p.persica_gdr_reftransV1_0048992")</f>
        <v>p.persica_gdr_reftransV1_0048992</v>
      </c>
      <c r="B17619" s="2">
        <v>1442</v>
      </c>
      <c r="C17619" s="4" t="str">
        <f>HYPERLINK("http://www.uniprot.org/uniprot/M5VKW6","M5VKW6")</f>
        <v>M5VKW6</v>
      </c>
      <c r="D17619" s="2" t="s">
        <v>13775</v>
      </c>
      <c r="E17619" s="3">
        <v>0</v>
      </c>
      <c r="F17619" s="2">
        <v>1711</v>
      </c>
      <c r="G17619" s="2">
        <v>100</v>
      </c>
      <c r="H17619" s="2">
        <v>323</v>
      </c>
      <c r="I17619" s="2">
        <v>290</v>
      </c>
      <c r="J17619" s="2">
        <v>1258</v>
      </c>
      <c r="K17619" s="2">
        <v>1</v>
      </c>
      <c r="L17619" s="2">
        <v>323</v>
      </c>
    </row>
    <row r="17620" spans="1:12" x14ac:dyDescent="0.25">
      <c r="A17620" s="4" t="str">
        <f>HYPERLINK("http://www.rosaceae.org/Prunus/Prunus_persica/p.persica_gdr_reftransV1_0000343","p.persica_gdr_reftransV1_0000343")</f>
        <v>p.persica_gdr_reftransV1_0000343</v>
      </c>
      <c r="B17620" s="2">
        <v>1189</v>
      </c>
      <c r="C17620" s="4" t="str">
        <f>HYPERLINK("http://www.uniprot.org/uniprot/M5XIV3","M5XIV3")</f>
        <v>M5XIV3</v>
      </c>
      <c r="D17620" s="2" t="s">
        <v>9283</v>
      </c>
      <c r="E17620" s="3">
        <v>0</v>
      </c>
      <c r="F17620" s="2">
        <v>1128</v>
      </c>
      <c r="G17620" s="2">
        <v>94</v>
      </c>
      <c r="H17620" s="2">
        <v>228</v>
      </c>
      <c r="I17620" s="2">
        <v>337</v>
      </c>
      <c r="J17620" s="2">
        <v>1020</v>
      </c>
      <c r="K17620" s="2">
        <v>570</v>
      </c>
      <c r="L17620" s="2">
        <v>785</v>
      </c>
    </row>
    <row r="17621" spans="1:12" x14ac:dyDescent="0.25">
      <c r="A17621" s="4" t="str">
        <f>HYPERLINK("http://www.rosaceae.org/Prunus/Prunus_persica/p.persica_gdr_reftransV1_0000693","p.persica_gdr_reftransV1_0000693")</f>
        <v>p.persica_gdr_reftransV1_0000693</v>
      </c>
      <c r="B17621" s="2">
        <v>474</v>
      </c>
      <c r="C17621" s="4" t="str">
        <f>HYPERLINK("http://www.uniprot.org/uniprot/M5VWF8","M5VWF8")</f>
        <v>M5VWF8</v>
      </c>
      <c r="D17621" s="2" t="s">
        <v>13776</v>
      </c>
      <c r="E17621" s="3">
        <v>1.21E-87</v>
      </c>
      <c r="F17621" s="2">
        <v>678</v>
      </c>
      <c r="G17621" s="2">
        <v>100</v>
      </c>
      <c r="H17621" s="2">
        <v>147</v>
      </c>
      <c r="I17621" s="2">
        <v>3</v>
      </c>
      <c r="J17621" s="2">
        <v>443</v>
      </c>
      <c r="K17621" s="2">
        <v>1</v>
      </c>
      <c r="L17621" s="2">
        <v>147</v>
      </c>
    </row>
    <row r="17622" spans="1:12" x14ac:dyDescent="0.25">
      <c r="A17622" s="4" t="str">
        <f>HYPERLINK("http://www.rosaceae.org/Prunus/Prunus_persica/p.persica_gdr_reftransV1_0001393","p.persica_gdr_reftransV1_0001393")</f>
        <v>p.persica_gdr_reftransV1_0001393</v>
      </c>
      <c r="B17622" s="2">
        <v>500</v>
      </c>
      <c r="C17622" s="4" t="str">
        <f>HYPERLINK("http://www.uniprot.org/uniprot/M5VNL7","M5VNL7")</f>
        <v>M5VNL7</v>
      </c>
      <c r="D17622" s="2" t="s">
        <v>13777</v>
      </c>
      <c r="E17622" s="3">
        <v>1.9200000000000002E-102</v>
      </c>
      <c r="F17622" s="2">
        <v>803</v>
      </c>
      <c r="G17622" s="2">
        <v>100</v>
      </c>
      <c r="H17622" s="2">
        <v>165</v>
      </c>
      <c r="I17622" s="2">
        <v>3</v>
      </c>
      <c r="J17622" s="2">
        <v>497</v>
      </c>
      <c r="K17622" s="2">
        <v>296</v>
      </c>
      <c r="L17622" s="2">
        <v>460</v>
      </c>
    </row>
    <row r="17623" spans="1:12" x14ac:dyDescent="0.25">
      <c r="A17623" s="4" t="str">
        <f>HYPERLINK("http://www.rosaceae.org/Prunus/Prunus_persica/p.persica_gdr_reftransV1_0002093","p.persica_gdr_reftransV1_0002093")</f>
        <v>p.persica_gdr_reftransV1_0002093</v>
      </c>
      <c r="B17623" s="2">
        <v>1940</v>
      </c>
      <c r="C17623" s="4" t="str">
        <f>HYPERLINK("http://www.uniprot.org/uniprot/M5X322","M5X322")</f>
        <v>M5X322</v>
      </c>
      <c r="D17623" s="2" t="s">
        <v>13778</v>
      </c>
      <c r="E17623" s="3">
        <v>0</v>
      </c>
      <c r="F17623" s="2">
        <v>2076</v>
      </c>
      <c r="G17623" s="2">
        <v>92</v>
      </c>
      <c r="H17623" s="2">
        <v>437</v>
      </c>
      <c r="I17623" s="2">
        <v>588</v>
      </c>
      <c r="J17623" s="2">
        <v>1898</v>
      </c>
      <c r="K17623" s="2">
        <v>1</v>
      </c>
      <c r="L17623" s="2">
        <v>402</v>
      </c>
    </row>
    <row r="17624" spans="1:12" x14ac:dyDescent="0.25">
      <c r="A17624" s="4" t="str">
        <f>HYPERLINK("http://www.rosaceae.org/Prunus/Prunus_persica/p.persica_gdr_reftransV1_0002443","p.persica_gdr_reftransV1_0002443")</f>
        <v>p.persica_gdr_reftransV1_0002443</v>
      </c>
      <c r="B17624" s="2">
        <v>463</v>
      </c>
      <c r="C17624" s="4" t="str">
        <f>HYPERLINK("http://www.uniprot.org/uniprot/M5WW60","M5WW60")</f>
        <v>M5WW60</v>
      </c>
      <c r="D17624" s="2" t="s">
        <v>13779</v>
      </c>
      <c r="E17624" s="3">
        <v>9.0199999999999999E-89</v>
      </c>
      <c r="F17624" s="2">
        <v>695</v>
      </c>
      <c r="G17624" s="2">
        <v>96</v>
      </c>
      <c r="H17624" s="2">
        <v>142</v>
      </c>
      <c r="I17624" s="2">
        <v>1</v>
      </c>
      <c r="J17624" s="2">
        <v>411</v>
      </c>
      <c r="K17624" s="2">
        <v>1</v>
      </c>
      <c r="L17624" s="2">
        <v>142</v>
      </c>
    </row>
    <row r="17625" spans="1:12" x14ac:dyDescent="0.25">
      <c r="A17625" s="4" t="str">
        <f>HYPERLINK("http://www.rosaceae.org/Prunus/Prunus_persica/p.persica_gdr_reftransV1_0002793","p.persica_gdr_reftransV1_0002793")</f>
        <v>p.persica_gdr_reftransV1_0002793</v>
      </c>
      <c r="B17625" s="2">
        <v>1356</v>
      </c>
      <c r="C17625" s="4" t="str">
        <f>HYPERLINK("http://www.uniprot.org/uniprot/M5XJN9","M5XJN9")</f>
        <v>M5XJN9</v>
      </c>
      <c r="D17625" s="2" t="s">
        <v>10324</v>
      </c>
      <c r="E17625" s="3">
        <v>0</v>
      </c>
      <c r="F17625" s="2">
        <v>1360</v>
      </c>
      <c r="G17625" s="2">
        <v>100</v>
      </c>
      <c r="H17625" s="2">
        <v>283</v>
      </c>
      <c r="I17625" s="2">
        <v>2</v>
      </c>
      <c r="J17625" s="2">
        <v>850</v>
      </c>
      <c r="K17625" s="2">
        <v>15</v>
      </c>
      <c r="L17625" s="2">
        <v>297</v>
      </c>
    </row>
    <row r="17626" spans="1:12" x14ac:dyDescent="0.25">
      <c r="A17626" s="4" t="str">
        <f>HYPERLINK("http://www.rosaceae.org/Prunus/Prunus_persica/p.persica_gdr_reftransV1_0003143","p.persica_gdr_reftransV1_0003143")</f>
        <v>p.persica_gdr_reftransV1_0003143</v>
      </c>
      <c r="B17626" s="2">
        <v>2045</v>
      </c>
      <c r="C17626" s="4" t="str">
        <f>HYPERLINK("http://www.uniprot.org/uniprot/M5W292","M5W292")</f>
        <v>M5W292</v>
      </c>
      <c r="D17626" s="2" t="s">
        <v>11010</v>
      </c>
      <c r="E17626" s="3">
        <v>0</v>
      </c>
      <c r="F17626" s="2">
        <v>1939</v>
      </c>
      <c r="G17626" s="2">
        <v>100</v>
      </c>
      <c r="H17626" s="2">
        <v>413</v>
      </c>
      <c r="I17626" s="2">
        <v>64</v>
      </c>
      <c r="J17626" s="2">
        <v>1302</v>
      </c>
      <c r="K17626" s="2">
        <v>1</v>
      </c>
      <c r="L17626" s="2">
        <v>413</v>
      </c>
    </row>
    <row r="17627" spans="1:12" x14ac:dyDescent="0.25">
      <c r="A17627" s="4" t="str">
        <f>HYPERLINK("http://www.rosaceae.org/Prunus/Prunus_persica/p.persica_gdr_reftransV1_0003493","p.persica_gdr_reftransV1_0003493")</f>
        <v>p.persica_gdr_reftransV1_0003493</v>
      </c>
      <c r="B17627" s="2">
        <v>2398</v>
      </c>
      <c r="C17627" s="4" t="str">
        <f>HYPERLINK("http://www.uniprot.org/uniprot/M5XMG2","M5XMG2")</f>
        <v>M5XMG2</v>
      </c>
      <c r="D17627" s="2" t="s">
        <v>12048</v>
      </c>
      <c r="E17627" s="3">
        <v>0</v>
      </c>
      <c r="F17627" s="2">
        <v>2511</v>
      </c>
      <c r="G17627" s="2">
        <v>100</v>
      </c>
      <c r="H17627" s="2">
        <v>498</v>
      </c>
      <c r="I17627" s="2">
        <v>245</v>
      </c>
      <c r="J17627" s="2">
        <v>1738</v>
      </c>
      <c r="K17627" s="2">
        <v>1</v>
      </c>
      <c r="L17627" s="2">
        <v>497</v>
      </c>
    </row>
    <row r="17628" spans="1:12" x14ac:dyDescent="0.25">
      <c r="A17628" s="4" t="str">
        <f>HYPERLINK("http://www.rosaceae.org/Prunus/Prunus_persica/p.persica_gdr_reftransV1_0004193","p.persica_gdr_reftransV1_0004193")</f>
        <v>p.persica_gdr_reftransV1_0004193</v>
      </c>
      <c r="B17628" s="2">
        <v>2452</v>
      </c>
      <c r="C17628" s="4" t="str">
        <f>HYPERLINK("http://www.uniprot.org/uniprot/M5VWH9","M5VWH9")</f>
        <v>M5VWH9</v>
      </c>
      <c r="D17628" s="2" t="s">
        <v>13780</v>
      </c>
      <c r="E17628" s="3">
        <v>0</v>
      </c>
      <c r="F17628" s="2">
        <v>2616</v>
      </c>
      <c r="G17628" s="2">
        <v>100</v>
      </c>
      <c r="H17628" s="2">
        <v>549</v>
      </c>
      <c r="I17628" s="2">
        <v>463</v>
      </c>
      <c r="J17628" s="2">
        <v>2109</v>
      </c>
      <c r="K17628" s="2">
        <v>1</v>
      </c>
      <c r="L17628" s="2">
        <v>549</v>
      </c>
    </row>
    <row r="17629" spans="1:12" x14ac:dyDescent="0.25">
      <c r="A17629" s="4" t="str">
        <f>HYPERLINK("http://www.rosaceae.org/Prunus/Prunus_persica/p.persica_gdr_reftransV1_0004543","p.persica_gdr_reftransV1_0004543")</f>
        <v>p.persica_gdr_reftransV1_0004543</v>
      </c>
      <c r="B17629" s="2">
        <v>4166</v>
      </c>
      <c r="C17629" s="4" t="str">
        <f>HYPERLINK("http://www.uniprot.org/uniprot/M5X9M7","M5X9M7")</f>
        <v>M5X9M7</v>
      </c>
      <c r="D17629" s="2" t="s">
        <v>9437</v>
      </c>
      <c r="E17629" s="3">
        <v>0</v>
      </c>
      <c r="F17629" s="2">
        <v>6139</v>
      </c>
      <c r="G17629" s="2">
        <v>100</v>
      </c>
      <c r="H17629" s="2">
        <v>1213</v>
      </c>
      <c r="I17629" s="2">
        <v>311</v>
      </c>
      <c r="J17629" s="2">
        <v>3949</v>
      </c>
      <c r="K17629" s="2">
        <v>1</v>
      </c>
      <c r="L17629" s="2">
        <v>1213</v>
      </c>
    </row>
    <row r="17630" spans="1:12" x14ac:dyDescent="0.25">
      <c r="A17630" s="4" t="str">
        <f>HYPERLINK("http://www.rosaceae.org/Prunus/Prunus_persica/p.persica_gdr_reftransV1_0004893","p.persica_gdr_reftransV1_0004893")</f>
        <v>p.persica_gdr_reftransV1_0004893</v>
      </c>
      <c r="B17630" s="2">
        <v>1630</v>
      </c>
      <c r="C17630" s="4" t="str">
        <f>HYPERLINK("http://www.uniprot.org/uniprot/W9SIM8","W9SIM8")</f>
        <v>W9SIM8</v>
      </c>
      <c r="D17630" s="2" t="s">
        <v>13781</v>
      </c>
      <c r="E17630" s="3">
        <v>0</v>
      </c>
      <c r="F17630" s="2">
        <v>1816</v>
      </c>
      <c r="G17630" s="2">
        <v>76</v>
      </c>
      <c r="H17630" s="2">
        <v>474</v>
      </c>
      <c r="I17630" s="2">
        <v>3</v>
      </c>
      <c r="J17630" s="2">
        <v>1415</v>
      </c>
      <c r="K17630" s="2">
        <v>517</v>
      </c>
      <c r="L17630" s="2">
        <v>987</v>
      </c>
    </row>
    <row r="17631" spans="1:12" x14ac:dyDescent="0.25">
      <c r="A17631" s="4" t="str">
        <f>HYPERLINK("http://www.rosaceae.org/Prunus/Prunus_persica/p.persica_gdr_reftransV1_0005593","p.persica_gdr_reftransV1_0005593")</f>
        <v>p.persica_gdr_reftransV1_0005593</v>
      </c>
      <c r="B17631" s="2">
        <v>693</v>
      </c>
      <c r="C17631" s="4" t="str">
        <f>HYPERLINK("http://www.uniprot.org/uniprot/M5X7P6","M5X7P6")</f>
        <v>M5X7P6</v>
      </c>
      <c r="D17631" s="2" t="s">
        <v>13782</v>
      </c>
      <c r="E17631" s="3">
        <v>1.92E-63</v>
      </c>
      <c r="F17631" s="2">
        <v>353</v>
      </c>
      <c r="G17631" s="2">
        <v>60</v>
      </c>
      <c r="H17631" s="2">
        <v>109</v>
      </c>
      <c r="I17631" s="2">
        <v>3</v>
      </c>
      <c r="J17631" s="2">
        <v>329</v>
      </c>
      <c r="K17631" s="2">
        <v>265</v>
      </c>
      <c r="L17631" s="2">
        <v>373</v>
      </c>
    </row>
    <row r="17632" spans="1:12" x14ac:dyDescent="0.25">
      <c r="A17632" s="4" t="str">
        <f>HYPERLINK("http://www.rosaceae.org/Prunus/Prunus_persica/p.persica_gdr_reftransV1_0006993","p.persica_gdr_reftransV1_0006993")</f>
        <v>p.persica_gdr_reftransV1_0006993</v>
      </c>
      <c r="B17632" s="2">
        <v>585</v>
      </c>
      <c r="C17632" s="4" t="str">
        <f>HYPERLINK("http://www.uniprot.org/uniprot/M5WBF7","M5WBF7")</f>
        <v>M5WBF7</v>
      </c>
      <c r="D17632" s="2" t="s">
        <v>13783</v>
      </c>
      <c r="E17632" s="3">
        <v>1.8399999999999999E-101</v>
      </c>
      <c r="F17632" s="2">
        <v>775</v>
      </c>
      <c r="G17632" s="2">
        <v>100</v>
      </c>
      <c r="H17632" s="2">
        <v>142</v>
      </c>
      <c r="I17632" s="2">
        <v>53</v>
      </c>
      <c r="J17632" s="2">
        <v>478</v>
      </c>
      <c r="K17632" s="2">
        <v>1</v>
      </c>
      <c r="L17632" s="2">
        <v>142</v>
      </c>
    </row>
    <row r="17633" spans="1:12" x14ac:dyDescent="0.25">
      <c r="A17633" s="4" t="str">
        <f>HYPERLINK("http://www.rosaceae.org/Prunus/Prunus_persica/p.persica_gdr_reftransV1_0008743","p.persica_gdr_reftransV1_0008743")</f>
        <v>p.persica_gdr_reftransV1_0008743</v>
      </c>
      <c r="B17633" s="2">
        <v>739</v>
      </c>
      <c r="C17633" s="4" t="str">
        <f>HYPERLINK("http://www.uniprot.org/uniprot/M5X5I1","M5X5I1")</f>
        <v>M5X5I1</v>
      </c>
      <c r="D17633" s="2" t="s">
        <v>13784</v>
      </c>
      <c r="E17633" s="3">
        <v>2.1999999999999998E-30</v>
      </c>
      <c r="F17633" s="2">
        <v>301</v>
      </c>
      <c r="G17633" s="2">
        <v>100</v>
      </c>
      <c r="H17633" s="2">
        <v>92</v>
      </c>
      <c r="I17633" s="2">
        <v>246</v>
      </c>
      <c r="J17633" s="2">
        <v>521</v>
      </c>
      <c r="K17633" s="2">
        <v>39</v>
      </c>
      <c r="L17633" s="2">
        <v>130</v>
      </c>
    </row>
    <row r="17634" spans="1:12" x14ac:dyDescent="0.25">
      <c r="A17634" s="4" t="str">
        <f>HYPERLINK("http://www.rosaceae.org/Prunus/Prunus_persica/p.persica_gdr_reftransV1_0009093","p.persica_gdr_reftransV1_0009093")</f>
        <v>p.persica_gdr_reftransV1_0009093</v>
      </c>
      <c r="B17634" s="2">
        <v>875</v>
      </c>
      <c r="C17634" s="4" t="str">
        <f>HYPERLINK("http://www.uniprot.org/uniprot/M5XD17","M5XD17")</f>
        <v>M5XD17</v>
      </c>
      <c r="D17634" s="2" t="s">
        <v>154</v>
      </c>
      <c r="E17634" s="3">
        <v>1.8199999999999999E-150</v>
      </c>
      <c r="F17634" s="2">
        <v>1134</v>
      </c>
      <c r="G17634" s="2">
        <v>100</v>
      </c>
      <c r="H17634" s="2">
        <v>246</v>
      </c>
      <c r="I17634" s="2">
        <v>136</v>
      </c>
      <c r="J17634" s="2">
        <v>873</v>
      </c>
      <c r="K17634" s="2">
        <v>1</v>
      </c>
      <c r="L17634" s="2">
        <v>246</v>
      </c>
    </row>
    <row r="17635" spans="1:12" x14ac:dyDescent="0.25">
      <c r="A17635" s="4" t="str">
        <f>HYPERLINK("http://www.rosaceae.org/Prunus/Prunus_persica/p.persica_gdr_reftransV1_0009443","p.persica_gdr_reftransV1_0009443")</f>
        <v>p.persica_gdr_reftransV1_0009443</v>
      </c>
      <c r="B17635" s="2">
        <v>2500</v>
      </c>
      <c r="C17635" s="4" t="str">
        <f>HYPERLINK("http://www.uniprot.org/uniprot/M5WTE8","M5WTE8")</f>
        <v>M5WTE8</v>
      </c>
      <c r="D17635" s="2" t="s">
        <v>13785</v>
      </c>
      <c r="E17635" s="3">
        <v>0</v>
      </c>
      <c r="F17635" s="2">
        <v>3091</v>
      </c>
      <c r="G17635" s="2">
        <v>100</v>
      </c>
      <c r="H17635" s="2">
        <v>603</v>
      </c>
      <c r="I17635" s="2">
        <v>298</v>
      </c>
      <c r="J17635" s="2">
        <v>2106</v>
      </c>
      <c r="K17635" s="2">
        <v>4</v>
      </c>
      <c r="L17635" s="2">
        <v>606</v>
      </c>
    </row>
    <row r="17636" spans="1:12" x14ac:dyDescent="0.25">
      <c r="A17636" s="4" t="str">
        <f>HYPERLINK("http://www.rosaceae.org/Prunus/Prunus_persica/p.persica_gdr_reftransV1_0010843","p.persica_gdr_reftransV1_0010843")</f>
        <v>p.persica_gdr_reftransV1_0010843</v>
      </c>
      <c r="B17636" s="2">
        <v>449</v>
      </c>
      <c r="C17636" s="4" t="str">
        <f>HYPERLINK("http://www.uniprot.org/uniprot/M5WT82","M5WT82")</f>
        <v>M5WT82</v>
      </c>
      <c r="D17636" s="2" t="s">
        <v>1187</v>
      </c>
      <c r="E17636" s="3">
        <v>1.4699999999999999E-39</v>
      </c>
      <c r="F17636" s="2">
        <v>381</v>
      </c>
      <c r="G17636" s="2">
        <v>61</v>
      </c>
      <c r="H17636" s="2">
        <v>170</v>
      </c>
      <c r="I17636" s="2">
        <v>1</v>
      </c>
      <c r="J17636" s="2">
        <v>447</v>
      </c>
      <c r="K17636" s="2">
        <v>258</v>
      </c>
      <c r="L17636" s="2">
        <v>416</v>
      </c>
    </row>
    <row r="17637" spans="1:12" x14ac:dyDescent="0.25">
      <c r="A17637" s="4" t="str">
        <f>HYPERLINK("http://www.rosaceae.org/Prunus/Prunus_persica/p.persica_gdr_reftransV1_0011193","p.persica_gdr_reftransV1_0011193")</f>
        <v>p.persica_gdr_reftransV1_0011193</v>
      </c>
      <c r="B17637" s="2">
        <v>2927</v>
      </c>
      <c r="C17637" s="4" t="str">
        <f>HYPERLINK("http://www.uniprot.org/uniprot/M5WAA3","M5WAA3")</f>
        <v>M5WAA3</v>
      </c>
      <c r="D17637" s="2" t="s">
        <v>13786</v>
      </c>
      <c r="E17637" s="3">
        <v>0</v>
      </c>
      <c r="F17637" s="2">
        <v>3133</v>
      </c>
      <c r="G17637" s="2">
        <v>100</v>
      </c>
      <c r="H17637" s="2">
        <v>616</v>
      </c>
      <c r="I17637" s="2">
        <v>726</v>
      </c>
      <c r="J17637" s="2">
        <v>2573</v>
      </c>
      <c r="K17637" s="2">
        <v>1</v>
      </c>
      <c r="L17637" s="2">
        <v>616</v>
      </c>
    </row>
    <row r="17638" spans="1:12" x14ac:dyDescent="0.25">
      <c r="A17638" s="4" t="str">
        <f>HYPERLINK("http://www.rosaceae.org/Prunus/Prunus_persica/p.persica_gdr_reftransV1_0015043","p.persica_gdr_reftransV1_0015043")</f>
        <v>p.persica_gdr_reftransV1_0015043</v>
      </c>
      <c r="B17638" s="2">
        <v>1163</v>
      </c>
      <c r="C17638" s="4" t="str">
        <f>HYPERLINK("http://www.uniprot.org/uniprot/M5VU27","M5VU27")</f>
        <v>M5VU27</v>
      </c>
      <c r="D17638" s="2" t="s">
        <v>5607</v>
      </c>
      <c r="E17638" s="3">
        <v>5.5099999999999996E-168</v>
      </c>
      <c r="F17638" s="2">
        <v>1241</v>
      </c>
      <c r="G17638" s="2">
        <v>81</v>
      </c>
      <c r="H17638" s="2">
        <v>317</v>
      </c>
      <c r="I17638" s="2">
        <v>182</v>
      </c>
      <c r="J17638" s="2">
        <v>1132</v>
      </c>
      <c r="K17638" s="2">
        <v>1</v>
      </c>
      <c r="L17638" s="2">
        <v>258</v>
      </c>
    </row>
    <row r="17639" spans="1:12" x14ac:dyDescent="0.25">
      <c r="A17639" s="4" t="str">
        <f>HYPERLINK("http://www.rosaceae.org/Prunus/Prunus_persica/p.persica_gdr_reftransV1_0015393","p.persica_gdr_reftransV1_0015393")</f>
        <v>p.persica_gdr_reftransV1_0015393</v>
      </c>
      <c r="B17639" s="2">
        <v>3158</v>
      </c>
      <c r="C17639" s="4" t="str">
        <f>HYPERLINK("http://www.uniprot.org/uniprot/M5WJ38","M5WJ38")</f>
        <v>M5WJ38</v>
      </c>
      <c r="D17639" s="2" t="s">
        <v>13787</v>
      </c>
      <c r="E17639" s="3">
        <v>0</v>
      </c>
      <c r="F17639" s="2">
        <v>3376</v>
      </c>
      <c r="G17639" s="2">
        <v>100</v>
      </c>
      <c r="H17639" s="2">
        <v>672</v>
      </c>
      <c r="I17639" s="2">
        <v>707</v>
      </c>
      <c r="J17639" s="2">
        <v>2722</v>
      </c>
      <c r="K17639" s="2">
        <v>1</v>
      </c>
      <c r="L17639" s="2">
        <v>672</v>
      </c>
    </row>
    <row r="17640" spans="1:12" x14ac:dyDescent="0.25">
      <c r="A17640" s="4" t="str">
        <f>HYPERLINK("http://www.rosaceae.org/Prunus/Prunus_persica/p.persica_gdr_reftransV1_0015743","p.persica_gdr_reftransV1_0015743")</f>
        <v>p.persica_gdr_reftransV1_0015743</v>
      </c>
      <c r="B17640" s="2">
        <v>903</v>
      </c>
      <c r="C17640" s="4" t="str">
        <f>HYPERLINK("http://www.uniprot.org/uniprot/M5XT66","M5XT66")</f>
        <v>M5XT66</v>
      </c>
      <c r="D17640" s="2" t="s">
        <v>13788</v>
      </c>
      <c r="E17640" s="3">
        <v>8.7399999999999999E-84</v>
      </c>
      <c r="F17640" s="2">
        <v>668</v>
      </c>
      <c r="G17640" s="2">
        <v>100</v>
      </c>
      <c r="H17640" s="2">
        <v>159</v>
      </c>
      <c r="I17640" s="2">
        <v>273</v>
      </c>
      <c r="J17640" s="2">
        <v>749</v>
      </c>
      <c r="K17640" s="2">
        <v>19</v>
      </c>
      <c r="L17640" s="2">
        <v>177</v>
      </c>
    </row>
    <row r="17641" spans="1:12" x14ac:dyDescent="0.25">
      <c r="A17641" s="4" t="str">
        <f>HYPERLINK("http://www.rosaceae.org/Prunus/Prunus_persica/p.persica_gdr_reftransV1_0016093","p.persica_gdr_reftransV1_0016093")</f>
        <v>p.persica_gdr_reftransV1_0016093</v>
      </c>
      <c r="B17641" s="2">
        <v>1062</v>
      </c>
      <c r="C17641" s="4" t="str">
        <f>HYPERLINK("http://www.uniprot.org/uniprot/M5W7E8","M5W7E8")</f>
        <v>M5W7E8</v>
      </c>
      <c r="D17641" s="2" t="s">
        <v>13789</v>
      </c>
      <c r="E17641" s="3">
        <v>0</v>
      </c>
      <c r="F17641" s="2">
        <v>1375</v>
      </c>
      <c r="G17641" s="2">
        <v>100</v>
      </c>
      <c r="H17641" s="2">
        <v>270</v>
      </c>
      <c r="I17641" s="2">
        <v>251</v>
      </c>
      <c r="J17641" s="2">
        <v>1060</v>
      </c>
      <c r="K17641" s="2">
        <v>358</v>
      </c>
      <c r="L17641" s="2">
        <v>627</v>
      </c>
    </row>
    <row r="17642" spans="1:12" x14ac:dyDescent="0.25">
      <c r="A17642" s="4" t="str">
        <f>HYPERLINK("http://www.rosaceae.org/Prunus/Prunus_persica/p.persica_gdr_reftransV1_0017143","p.persica_gdr_reftransV1_0017143")</f>
        <v>p.persica_gdr_reftransV1_0017143</v>
      </c>
      <c r="B17642" s="2">
        <v>3880</v>
      </c>
      <c r="C17642" s="4" t="str">
        <f>HYPERLINK("http://www.uniprot.org/uniprot/M5XXL6","M5XXL6")</f>
        <v>M5XXL6</v>
      </c>
      <c r="D17642" s="2" t="s">
        <v>13790</v>
      </c>
      <c r="E17642" s="3">
        <v>0</v>
      </c>
      <c r="F17642" s="2">
        <v>4026</v>
      </c>
      <c r="G17642" s="2">
        <v>100</v>
      </c>
      <c r="H17642" s="2">
        <v>831</v>
      </c>
      <c r="I17642" s="2">
        <v>797</v>
      </c>
      <c r="J17642" s="2">
        <v>3289</v>
      </c>
      <c r="K17642" s="2">
        <v>1</v>
      </c>
      <c r="L17642" s="2">
        <v>831</v>
      </c>
    </row>
    <row r="17643" spans="1:12" x14ac:dyDescent="0.25">
      <c r="A17643" s="4" t="str">
        <f>HYPERLINK("http://www.rosaceae.org/Prunus/Prunus_persica/p.persica_gdr_reftransV1_0017843","p.persica_gdr_reftransV1_0017843")</f>
        <v>p.persica_gdr_reftransV1_0017843</v>
      </c>
      <c r="B17643" s="2">
        <v>2023</v>
      </c>
      <c r="C17643" s="4" t="str">
        <f>HYPERLINK("http://www.uniprot.org/uniprot/M5WBK9","M5WBK9")</f>
        <v>M5WBK9</v>
      </c>
      <c r="D17643" s="2" t="s">
        <v>13791</v>
      </c>
      <c r="E17643" s="3">
        <v>0</v>
      </c>
      <c r="F17643" s="2">
        <v>2681</v>
      </c>
      <c r="G17643" s="2">
        <v>100</v>
      </c>
      <c r="H17643" s="2">
        <v>507</v>
      </c>
      <c r="I17643" s="2">
        <v>304</v>
      </c>
      <c r="J17643" s="2">
        <v>1824</v>
      </c>
      <c r="K17643" s="2">
        <v>10</v>
      </c>
      <c r="L17643" s="2">
        <v>516</v>
      </c>
    </row>
    <row r="17644" spans="1:12" x14ac:dyDescent="0.25">
      <c r="A17644" s="4" t="str">
        <f>HYPERLINK("http://www.rosaceae.org/Prunus/Prunus_persica/p.persica_gdr_reftransV1_0019593","p.persica_gdr_reftransV1_0019593")</f>
        <v>p.persica_gdr_reftransV1_0019593</v>
      </c>
      <c r="B17644" s="2">
        <v>1303</v>
      </c>
      <c r="C17644" s="4" t="str">
        <f>HYPERLINK("http://www.uniprot.org/uniprot/M5W3L2","M5W3L2")</f>
        <v>M5W3L2</v>
      </c>
      <c r="D17644" s="2" t="s">
        <v>13792</v>
      </c>
      <c r="E17644" s="3">
        <v>2.2699999999999998E-93</v>
      </c>
      <c r="F17644" s="2">
        <v>744</v>
      </c>
      <c r="G17644" s="2">
        <v>100</v>
      </c>
      <c r="H17644" s="2">
        <v>179</v>
      </c>
      <c r="I17644" s="2">
        <v>232</v>
      </c>
      <c r="J17644" s="2">
        <v>768</v>
      </c>
      <c r="K17644" s="2">
        <v>1</v>
      </c>
      <c r="L17644" s="2">
        <v>179</v>
      </c>
    </row>
    <row r="17645" spans="1:12" x14ac:dyDescent="0.25">
      <c r="A17645" s="4" t="str">
        <f>HYPERLINK("http://www.rosaceae.org/Prunus/Prunus_persica/p.persica_gdr_reftransV1_0021343","p.persica_gdr_reftransV1_0021343")</f>
        <v>p.persica_gdr_reftransV1_0021343</v>
      </c>
      <c r="B17645" s="2">
        <v>1625</v>
      </c>
      <c r="C17645" s="4" t="str">
        <f>HYPERLINK("http://www.uniprot.org/uniprot/M5WGB4","M5WGB4")</f>
        <v>M5WGB4</v>
      </c>
      <c r="D17645" s="2" t="s">
        <v>13793</v>
      </c>
      <c r="E17645" s="3">
        <v>1.2699999999999999E-178</v>
      </c>
      <c r="F17645" s="2">
        <v>1334</v>
      </c>
      <c r="G17645" s="2">
        <v>100</v>
      </c>
      <c r="H17645" s="2">
        <v>322</v>
      </c>
      <c r="I17645" s="2">
        <v>590</v>
      </c>
      <c r="J17645" s="2">
        <v>1555</v>
      </c>
      <c r="K17645" s="2">
        <v>1</v>
      </c>
      <c r="L17645" s="2">
        <v>322</v>
      </c>
    </row>
    <row r="17646" spans="1:12" x14ac:dyDescent="0.25">
      <c r="A17646" s="4" t="str">
        <f>HYPERLINK("http://www.rosaceae.org/Prunus/Prunus_persica/p.persica_gdr_reftransV1_0022393","p.persica_gdr_reftransV1_0022393")</f>
        <v>p.persica_gdr_reftransV1_0022393</v>
      </c>
      <c r="B17646" s="2">
        <v>1443</v>
      </c>
      <c r="C17646" s="4" t="str">
        <f>HYPERLINK("http://www.uniprot.org/uniprot/M5WIV4","M5WIV4")</f>
        <v>M5WIV4</v>
      </c>
      <c r="D17646" s="2" t="s">
        <v>13794</v>
      </c>
      <c r="E17646" s="3">
        <v>0</v>
      </c>
      <c r="F17646" s="2">
        <v>1413</v>
      </c>
      <c r="G17646" s="2">
        <v>99</v>
      </c>
      <c r="H17646" s="2">
        <v>321</v>
      </c>
      <c r="I17646" s="2">
        <v>147</v>
      </c>
      <c r="J17646" s="2">
        <v>1109</v>
      </c>
      <c r="K17646" s="2">
        <v>1</v>
      </c>
      <c r="L17646" s="2">
        <v>321</v>
      </c>
    </row>
    <row r="17647" spans="1:12" x14ac:dyDescent="0.25">
      <c r="A17647" s="4" t="str">
        <f>HYPERLINK("http://www.rosaceae.org/Prunus/Prunus_persica/p.persica_gdr_reftransV1_0022743","p.persica_gdr_reftransV1_0022743")</f>
        <v>p.persica_gdr_reftransV1_0022743</v>
      </c>
      <c r="B17647" s="2">
        <v>1501</v>
      </c>
      <c r="C17647" s="4" t="str">
        <f>HYPERLINK("http://www.uniprot.org/uniprot/M5XF98","M5XF98")</f>
        <v>M5XF98</v>
      </c>
      <c r="D17647" s="2" t="s">
        <v>13795</v>
      </c>
      <c r="E17647" s="3">
        <v>3.8400000000000003E-114</v>
      </c>
      <c r="F17647" s="2">
        <v>887</v>
      </c>
      <c r="G17647" s="2">
        <v>100</v>
      </c>
      <c r="H17647" s="2">
        <v>167</v>
      </c>
      <c r="I17647" s="2">
        <v>846</v>
      </c>
      <c r="J17647" s="2">
        <v>1346</v>
      </c>
      <c r="K17647" s="2">
        <v>1</v>
      </c>
      <c r="L17647" s="2">
        <v>167</v>
      </c>
    </row>
    <row r="17648" spans="1:12" x14ac:dyDescent="0.25">
      <c r="A17648" s="4" t="str">
        <f>HYPERLINK("http://www.rosaceae.org/Prunus/Prunus_persica/p.persica_gdr_reftransV1_0023443","p.persica_gdr_reftransV1_0023443")</f>
        <v>p.persica_gdr_reftransV1_0023443</v>
      </c>
      <c r="B17648" s="2">
        <v>1289</v>
      </c>
      <c r="C17648" s="4" t="str">
        <f>HYPERLINK("http://www.uniprot.org/uniprot/M5WV62","M5WV62")</f>
        <v>M5WV62</v>
      </c>
      <c r="D17648" s="2" t="s">
        <v>13796</v>
      </c>
      <c r="E17648" s="3">
        <v>6.9800000000000002E-121</v>
      </c>
      <c r="F17648" s="2">
        <v>930</v>
      </c>
      <c r="G17648" s="2">
        <v>97</v>
      </c>
      <c r="H17648" s="2">
        <v>221</v>
      </c>
      <c r="I17648" s="2">
        <v>391</v>
      </c>
      <c r="J17648" s="2">
        <v>1053</v>
      </c>
      <c r="K17648" s="2">
        <v>1</v>
      </c>
      <c r="L17648" s="2">
        <v>218</v>
      </c>
    </row>
    <row r="17649" spans="1:12" x14ac:dyDescent="0.25">
      <c r="A17649" s="4" t="str">
        <f>HYPERLINK("http://www.rosaceae.org/Prunus/Prunus_persica/p.persica_gdr_reftransV1_0024143","p.persica_gdr_reftransV1_0024143")</f>
        <v>p.persica_gdr_reftransV1_0024143</v>
      </c>
      <c r="B17649" s="2">
        <v>1157</v>
      </c>
      <c r="C17649" s="4" t="str">
        <f>HYPERLINK("http://www.uniprot.org/uniprot/M5XLY7","M5XLY7")</f>
        <v>M5XLY7</v>
      </c>
      <c r="D17649" s="2" t="s">
        <v>13797</v>
      </c>
      <c r="E17649" s="3">
        <v>0</v>
      </c>
      <c r="F17649" s="2">
        <v>1471</v>
      </c>
      <c r="G17649" s="2">
        <v>100</v>
      </c>
      <c r="H17649" s="2">
        <v>332</v>
      </c>
      <c r="I17649" s="2">
        <v>2</v>
      </c>
      <c r="J17649" s="2">
        <v>997</v>
      </c>
      <c r="K17649" s="2">
        <v>1</v>
      </c>
      <c r="L17649" s="2">
        <v>332</v>
      </c>
    </row>
    <row r="17650" spans="1:12" x14ac:dyDescent="0.25">
      <c r="A17650" s="4" t="str">
        <f>HYPERLINK("http://www.rosaceae.org/Prunus/Prunus_persica/p.persica_gdr_reftransV1_0026593","p.persica_gdr_reftransV1_0026593")</f>
        <v>p.persica_gdr_reftransV1_0026593</v>
      </c>
      <c r="B17650" s="2">
        <v>949</v>
      </c>
      <c r="C17650" s="4" t="str">
        <f>HYPERLINK("http://www.uniprot.org/uniprot/M5WVN7","M5WVN7")</f>
        <v>M5WVN7</v>
      </c>
      <c r="D17650" s="2" t="s">
        <v>13798</v>
      </c>
      <c r="E17650" s="3">
        <v>5.4199999999999998E-45</v>
      </c>
      <c r="F17650" s="2">
        <v>407</v>
      </c>
      <c r="G17650" s="2">
        <v>99</v>
      </c>
      <c r="H17650" s="2">
        <v>116</v>
      </c>
      <c r="I17650" s="2">
        <v>425</v>
      </c>
      <c r="J17650" s="2">
        <v>772</v>
      </c>
      <c r="K17650" s="2">
        <v>20</v>
      </c>
      <c r="L17650" s="2">
        <v>135</v>
      </c>
    </row>
    <row r="17651" spans="1:12" x14ac:dyDescent="0.25">
      <c r="A17651" s="4" t="str">
        <f>HYPERLINK("http://www.rosaceae.org/Prunus/Prunus_persica/p.persica_gdr_reftransV1_0027993","p.persica_gdr_reftransV1_0027993")</f>
        <v>p.persica_gdr_reftransV1_0027993</v>
      </c>
      <c r="B17651" s="2">
        <v>6139</v>
      </c>
      <c r="C17651" s="4" t="str">
        <f>HYPERLINK("http://www.uniprot.org/uniprot/M5WX99","M5WX99")</f>
        <v>M5WX99</v>
      </c>
      <c r="D17651" s="2" t="s">
        <v>13799</v>
      </c>
      <c r="E17651" s="3">
        <v>0</v>
      </c>
      <c r="F17651" s="2">
        <v>9129</v>
      </c>
      <c r="G17651" s="2">
        <v>100</v>
      </c>
      <c r="H17651" s="2">
        <v>1876</v>
      </c>
      <c r="I17651" s="2">
        <v>334</v>
      </c>
      <c r="J17651" s="2">
        <v>5943</v>
      </c>
      <c r="K17651" s="2">
        <v>3</v>
      </c>
      <c r="L17651" s="2">
        <v>1878</v>
      </c>
    </row>
    <row r="17652" spans="1:12" x14ac:dyDescent="0.25">
      <c r="A17652" s="4" t="str">
        <f>HYPERLINK("http://www.rosaceae.org/Prunus/Prunus_persica/p.persica_gdr_reftransV1_0030443","p.persica_gdr_reftransV1_0030443")</f>
        <v>p.persica_gdr_reftransV1_0030443</v>
      </c>
      <c r="B17652" s="2">
        <v>2006</v>
      </c>
      <c r="C17652" s="4" t="str">
        <f>HYPERLINK("http://www.uniprot.org/uniprot/M5XJK3","M5XJK3")</f>
        <v>M5XJK3</v>
      </c>
      <c r="D17652" s="2" t="s">
        <v>13800</v>
      </c>
      <c r="E17652" s="3">
        <v>0</v>
      </c>
      <c r="F17652" s="2">
        <v>2252</v>
      </c>
      <c r="G17652" s="2">
        <v>100</v>
      </c>
      <c r="H17652" s="2">
        <v>440</v>
      </c>
      <c r="I17652" s="2">
        <v>108</v>
      </c>
      <c r="J17652" s="2">
        <v>1427</v>
      </c>
      <c r="K17652" s="2">
        <v>1</v>
      </c>
      <c r="L17652" s="2">
        <v>440</v>
      </c>
    </row>
    <row r="17653" spans="1:12" x14ac:dyDescent="0.25">
      <c r="A17653" s="4" t="str">
        <f>HYPERLINK("http://www.rosaceae.org/Prunus/Prunus_persica/p.persica_gdr_reftransV1_0034643","p.persica_gdr_reftransV1_0034643")</f>
        <v>p.persica_gdr_reftransV1_0034643</v>
      </c>
      <c r="B17653" s="2">
        <v>3019</v>
      </c>
      <c r="C17653" s="4" t="str">
        <f>HYPERLINK("http://www.uniprot.org/uniprot/B9T6W4","B9T6W4")</f>
        <v>B9T6W4</v>
      </c>
      <c r="D17653" s="2" t="s">
        <v>13801</v>
      </c>
      <c r="E17653" s="3">
        <v>2.06E-137</v>
      </c>
      <c r="F17653" s="2">
        <v>753</v>
      </c>
      <c r="G17653" s="2">
        <v>79</v>
      </c>
      <c r="H17653" s="2">
        <v>171</v>
      </c>
      <c r="I17653" s="2">
        <v>72</v>
      </c>
      <c r="J17653" s="2">
        <v>584</v>
      </c>
      <c r="K17653" s="2">
        <v>5</v>
      </c>
      <c r="L17653" s="2">
        <v>175</v>
      </c>
    </row>
    <row r="17654" spans="1:12" x14ac:dyDescent="0.25">
      <c r="A17654" s="4" t="str">
        <f>HYPERLINK("http://www.rosaceae.org/Prunus/Prunus_persica/p.persica_gdr_reftransV1_0036743","p.persica_gdr_reftransV1_0036743")</f>
        <v>p.persica_gdr_reftransV1_0036743</v>
      </c>
      <c r="B17654" s="2">
        <v>2458</v>
      </c>
      <c r="C17654" s="4" t="str">
        <f>HYPERLINK("http://www.uniprot.org/uniprot/M5X538","M5X538")</f>
        <v>M5X538</v>
      </c>
      <c r="D17654" s="2" t="s">
        <v>13802</v>
      </c>
      <c r="E17654" s="3">
        <v>0</v>
      </c>
      <c r="F17654" s="2">
        <v>1863</v>
      </c>
      <c r="G17654" s="2">
        <v>100</v>
      </c>
      <c r="H17654" s="2">
        <v>418</v>
      </c>
      <c r="I17654" s="2">
        <v>345</v>
      </c>
      <c r="J17654" s="2">
        <v>1598</v>
      </c>
      <c r="K17654" s="2">
        <v>1</v>
      </c>
      <c r="L17654" s="2">
        <v>418</v>
      </c>
    </row>
    <row r="17655" spans="1:12" x14ac:dyDescent="0.25">
      <c r="A17655" s="4" t="str">
        <f>HYPERLINK("http://www.rosaceae.org/Prunus/Prunus_persica/p.persica_gdr_reftransV1_0037093","p.persica_gdr_reftransV1_0037093")</f>
        <v>p.persica_gdr_reftransV1_0037093</v>
      </c>
      <c r="B17655" s="2">
        <v>1355</v>
      </c>
      <c r="C17655" s="4" t="str">
        <f>HYPERLINK("http://www.uniprot.org/uniprot/M5WAE1","M5WAE1")</f>
        <v>M5WAE1</v>
      </c>
      <c r="D17655" s="2" t="s">
        <v>13803</v>
      </c>
      <c r="E17655" s="3">
        <v>3.0100000000000002E-109</v>
      </c>
      <c r="F17655" s="2">
        <v>854</v>
      </c>
      <c r="G17655" s="2">
        <v>100</v>
      </c>
      <c r="H17655" s="2">
        <v>210</v>
      </c>
      <c r="I17655" s="2">
        <v>123</v>
      </c>
      <c r="J17655" s="2">
        <v>752</v>
      </c>
      <c r="K17655" s="2">
        <v>1</v>
      </c>
      <c r="L17655" s="2">
        <v>210</v>
      </c>
    </row>
    <row r="17656" spans="1:12" x14ac:dyDescent="0.25">
      <c r="A17656" s="4" t="str">
        <f>HYPERLINK("http://www.rosaceae.org/Prunus/Prunus_persica/p.persica_gdr_reftransV1_0037793","p.persica_gdr_reftransV1_0037793")</f>
        <v>p.persica_gdr_reftransV1_0037793</v>
      </c>
      <c r="B17656" s="2">
        <v>1439</v>
      </c>
      <c r="C17656" s="4" t="str">
        <f>HYPERLINK("http://www.uniprot.org/uniprot/M5WIE4","M5WIE4")</f>
        <v>M5WIE4</v>
      </c>
      <c r="D17656" s="2" t="s">
        <v>13804</v>
      </c>
      <c r="E17656" s="3">
        <v>0</v>
      </c>
      <c r="F17656" s="2">
        <v>2101</v>
      </c>
      <c r="G17656" s="2">
        <v>100</v>
      </c>
      <c r="H17656" s="2">
        <v>392</v>
      </c>
      <c r="I17656" s="2">
        <v>24</v>
      </c>
      <c r="J17656" s="2">
        <v>1199</v>
      </c>
      <c r="K17656" s="2">
        <v>104</v>
      </c>
      <c r="L17656" s="2">
        <v>495</v>
      </c>
    </row>
    <row r="17657" spans="1:12" x14ac:dyDescent="0.25">
      <c r="A17657" s="4" t="str">
        <f>HYPERLINK("http://www.rosaceae.org/Prunus/Prunus_persica/p.persica_gdr_reftransV1_0039893","p.persica_gdr_reftransV1_0039893")</f>
        <v>p.persica_gdr_reftransV1_0039893</v>
      </c>
      <c r="B17657" s="2">
        <v>1745</v>
      </c>
      <c r="C17657" s="4" t="str">
        <f>HYPERLINK("http://www.uniprot.org/uniprot/M5WM54","M5WM54")</f>
        <v>M5WM54</v>
      </c>
      <c r="D17657" s="2" t="s">
        <v>13805</v>
      </c>
      <c r="E17657" s="3">
        <v>0</v>
      </c>
      <c r="F17657" s="2">
        <v>1191</v>
      </c>
      <c r="G17657" s="2">
        <v>100</v>
      </c>
      <c r="H17657" s="2">
        <v>240</v>
      </c>
      <c r="I17657" s="2">
        <v>113</v>
      </c>
      <c r="J17657" s="2">
        <v>832</v>
      </c>
      <c r="K17657" s="2">
        <v>1</v>
      </c>
      <c r="L17657" s="2">
        <v>240</v>
      </c>
    </row>
    <row r="17658" spans="1:12" x14ac:dyDescent="0.25">
      <c r="A17658" s="4" t="str">
        <f>HYPERLINK("http://www.rosaceae.org/Prunus/Prunus_persica/p.persica_gdr_reftransV1_0042693","p.persica_gdr_reftransV1_0042693")</f>
        <v>p.persica_gdr_reftransV1_0042693</v>
      </c>
      <c r="B17658" s="2">
        <v>2066</v>
      </c>
      <c r="C17658" s="4" t="str">
        <f>HYPERLINK("http://www.uniprot.org/uniprot/M5VRN8","M5VRN8")</f>
        <v>M5VRN8</v>
      </c>
      <c r="D17658" s="2" t="s">
        <v>13806</v>
      </c>
      <c r="E17658" s="3">
        <v>8.7600000000000006E-117</v>
      </c>
      <c r="F17658" s="2">
        <v>929</v>
      </c>
      <c r="G17658" s="2">
        <v>100</v>
      </c>
      <c r="H17658" s="2">
        <v>202</v>
      </c>
      <c r="I17658" s="2">
        <v>1233</v>
      </c>
      <c r="J17658" s="2">
        <v>1838</v>
      </c>
      <c r="K17658" s="2">
        <v>1</v>
      </c>
      <c r="L17658" s="2">
        <v>202</v>
      </c>
    </row>
    <row r="17659" spans="1:12" x14ac:dyDescent="0.25">
      <c r="A17659" s="4" t="str">
        <f>HYPERLINK("http://www.rosaceae.org/Prunus/Prunus_persica/p.persica_gdr_reftransV1_0043043","p.persica_gdr_reftransV1_0043043")</f>
        <v>p.persica_gdr_reftransV1_0043043</v>
      </c>
      <c r="B17659" s="2">
        <v>439</v>
      </c>
      <c r="C17659" s="4" t="str">
        <f>HYPERLINK("http://www.uniprot.org/uniprot/M5W3F9","M5W3F9")</f>
        <v>M5W3F9</v>
      </c>
      <c r="D17659" s="2" t="s">
        <v>6324</v>
      </c>
      <c r="E17659" s="3">
        <v>5.3599999999999999E-86</v>
      </c>
      <c r="F17659" s="2">
        <v>703</v>
      </c>
      <c r="G17659" s="2">
        <v>89</v>
      </c>
      <c r="H17659" s="2">
        <v>146</v>
      </c>
      <c r="I17659" s="2">
        <v>2</v>
      </c>
      <c r="J17659" s="2">
        <v>439</v>
      </c>
      <c r="K17659" s="2">
        <v>280</v>
      </c>
      <c r="L17659" s="2">
        <v>425</v>
      </c>
    </row>
    <row r="17660" spans="1:12" x14ac:dyDescent="0.25">
      <c r="A17660" s="4" t="str">
        <f>HYPERLINK("http://www.rosaceae.org/Prunus/Prunus_persica/p.persica_gdr_reftransV1_0043393","p.persica_gdr_reftransV1_0043393")</f>
        <v>p.persica_gdr_reftransV1_0043393</v>
      </c>
      <c r="B17660" s="2">
        <v>321</v>
      </c>
      <c r="C17660" s="4" t="str">
        <f>HYPERLINK("http://www.uniprot.org/uniprot/A5BMJ9","A5BMJ9")</f>
        <v>A5BMJ9</v>
      </c>
      <c r="D17660" s="2" t="s">
        <v>13807</v>
      </c>
      <c r="E17660" s="3">
        <v>1.3100000000000001E-52</v>
      </c>
      <c r="F17660" s="2">
        <v>452</v>
      </c>
      <c r="G17660" s="2">
        <v>73</v>
      </c>
      <c r="H17660" s="2">
        <v>106</v>
      </c>
      <c r="I17660" s="2">
        <v>1</v>
      </c>
      <c r="J17660" s="2">
        <v>318</v>
      </c>
      <c r="K17660" s="2">
        <v>129</v>
      </c>
      <c r="L17660" s="2">
        <v>234</v>
      </c>
    </row>
    <row r="17661" spans="1:12" x14ac:dyDescent="0.25">
      <c r="A17661" s="4" t="str">
        <f>HYPERLINK("http://www.rosaceae.org/Prunus/Prunus_persica/p.persica_gdr_reftransV1_0043743","p.persica_gdr_reftransV1_0043743")</f>
        <v>p.persica_gdr_reftransV1_0043743</v>
      </c>
      <c r="B17661" s="2">
        <v>1817</v>
      </c>
      <c r="C17661" s="4" t="str">
        <f>HYPERLINK("http://www.uniprot.org/uniprot/M5XZU2","M5XZU2")</f>
        <v>M5XZU2</v>
      </c>
      <c r="D17661" s="2" t="s">
        <v>5598</v>
      </c>
      <c r="E17661" s="3">
        <v>0</v>
      </c>
      <c r="F17661" s="2">
        <v>2290</v>
      </c>
      <c r="G17661" s="2">
        <v>93</v>
      </c>
      <c r="H17661" s="2">
        <v>531</v>
      </c>
      <c r="I17661" s="2">
        <v>3</v>
      </c>
      <c r="J17661" s="2">
        <v>1595</v>
      </c>
      <c r="K17661" s="2">
        <v>1701</v>
      </c>
      <c r="L17661" s="2">
        <v>2195</v>
      </c>
    </row>
    <row r="17662" spans="1:12" x14ac:dyDescent="0.25">
      <c r="A17662" s="4" t="str">
        <f>HYPERLINK("http://www.rosaceae.org/Prunus/Prunus_persica/p.persica_gdr_reftransV1_0044093","p.persica_gdr_reftransV1_0044093")</f>
        <v>p.persica_gdr_reftransV1_0044093</v>
      </c>
      <c r="B17662" s="2">
        <v>2243</v>
      </c>
      <c r="C17662" s="4" t="str">
        <f>HYPERLINK("http://www.uniprot.org/uniprot/M5XV59","M5XV59")</f>
        <v>M5XV59</v>
      </c>
      <c r="D17662" s="2" t="s">
        <v>4767</v>
      </c>
      <c r="E17662" s="3">
        <v>0</v>
      </c>
      <c r="F17662" s="2">
        <v>2587</v>
      </c>
      <c r="G17662" s="2">
        <v>94</v>
      </c>
      <c r="H17662" s="2">
        <v>545</v>
      </c>
      <c r="I17662" s="2">
        <v>184</v>
      </c>
      <c r="J17662" s="2">
        <v>1818</v>
      </c>
      <c r="K17662" s="2">
        <v>1</v>
      </c>
      <c r="L17662" s="2">
        <v>538</v>
      </c>
    </row>
    <row r="17663" spans="1:12" x14ac:dyDescent="0.25">
      <c r="A17663" s="4" t="str">
        <f>HYPERLINK("http://www.rosaceae.org/Prunus/Prunus_persica/p.persica_gdr_reftransV1_0044443","p.persica_gdr_reftransV1_0044443")</f>
        <v>p.persica_gdr_reftransV1_0044443</v>
      </c>
      <c r="B17663" s="2">
        <v>1237</v>
      </c>
      <c r="C17663" s="4" t="str">
        <f>HYPERLINK("http://www.uniprot.org/uniprot/F6H3E6","F6H3E6")</f>
        <v>F6H3E6</v>
      </c>
      <c r="D17663" s="2" t="s">
        <v>13808</v>
      </c>
      <c r="E17663" s="3">
        <v>0</v>
      </c>
      <c r="F17663" s="2">
        <v>1381</v>
      </c>
      <c r="G17663" s="2">
        <v>75</v>
      </c>
      <c r="H17663" s="2">
        <v>338</v>
      </c>
      <c r="I17663" s="2">
        <v>227</v>
      </c>
      <c r="J17663" s="2">
        <v>1237</v>
      </c>
      <c r="K17663" s="2">
        <v>11</v>
      </c>
      <c r="L17663" s="2">
        <v>348</v>
      </c>
    </row>
    <row r="17664" spans="1:12" x14ac:dyDescent="0.25">
      <c r="A17664" s="4" t="str">
        <f>HYPERLINK("http://www.rosaceae.org/Prunus/Prunus_persica/p.persica_gdr_reftransV1_0044793","p.persica_gdr_reftransV1_0044793")</f>
        <v>p.persica_gdr_reftransV1_0044793</v>
      </c>
      <c r="B17664" s="2">
        <v>2382</v>
      </c>
      <c r="C17664" s="4" t="str">
        <f>HYPERLINK("http://www.uniprot.org/uniprot/M5XB99","M5XB99")</f>
        <v>M5XB99</v>
      </c>
      <c r="D17664" s="2" t="s">
        <v>13809</v>
      </c>
      <c r="E17664" s="3">
        <v>0</v>
      </c>
      <c r="F17664" s="2">
        <v>3037</v>
      </c>
      <c r="G17664" s="2">
        <v>100</v>
      </c>
      <c r="H17664" s="2">
        <v>603</v>
      </c>
      <c r="I17664" s="2">
        <v>287</v>
      </c>
      <c r="J17664" s="2">
        <v>2095</v>
      </c>
      <c r="K17664" s="2">
        <v>1</v>
      </c>
      <c r="L17664" s="2">
        <v>603</v>
      </c>
    </row>
    <row r="17665" spans="1:12" x14ac:dyDescent="0.25">
      <c r="A17665" s="4" t="str">
        <f>HYPERLINK("http://www.rosaceae.org/Prunus/Prunus_persica/p.persica_gdr_reftransV1_0045843","p.persica_gdr_reftransV1_0045843")</f>
        <v>p.persica_gdr_reftransV1_0045843</v>
      </c>
      <c r="B17665" s="2">
        <v>1508</v>
      </c>
      <c r="C17665" s="4" t="str">
        <f>HYPERLINK("http://www.uniprot.org/uniprot/M5X2T5","M5X2T5")</f>
        <v>M5X2T5</v>
      </c>
      <c r="D17665" s="2" t="s">
        <v>13810</v>
      </c>
      <c r="E17665" s="3">
        <v>2.5399999999999999E-106</v>
      </c>
      <c r="F17665" s="2">
        <v>834</v>
      </c>
      <c r="G17665" s="2">
        <v>100</v>
      </c>
      <c r="H17665" s="2">
        <v>159</v>
      </c>
      <c r="I17665" s="2">
        <v>311</v>
      </c>
      <c r="J17665" s="2">
        <v>787</v>
      </c>
      <c r="K17665" s="2">
        <v>1</v>
      </c>
      <c r="L17665" s="2">
        <v>159</v>
      </c>
    </row>
    <row r="17666" spans="1:12" x14ac:dyDescent="0.25">
      <c r="A17666" s="4" t="str">
        <f>HYPERLINK("http://www.rosaceae.org/Prunus/Prunus_persica/p.persica_gdr_reftransV1_0046193","p.persica_gdr_reftransV1_0046193")</f>
        <v>p.persica_gdr_reftransV1_0046193</v>
      </c>
      <c r="B17666" s="2">
        <v>1101</v>
      </c>
      <c r="C17666" s="4" t="str">
        <f>HYPERLINK("http://www.uniprot.org/uniprot/M5WDK0","M5WDK0")</f>
        <v>M5WDK0</v>
      </c>
      <c r="D17666" s="2" t="s">
        <v>2194</v>
      </c>
      <c r="E17666" s="3">
        <v>0</v>
      </c>
      <c r="F17666" s="2">
        <v>1529</v>
      </c>
      <c r="G17666" s="2">
        <v>100</v>
      </c>
      <c r="H17666" s="2">
        <v>330</v>
      </c>
      <c r="I17666" s="2">
        <v>6</v>
      </c>
      <c r="J17666" s="2">
        <v>995</v>
      </c>
      <c r="K17666" s="2">
        <v>1</v>
      </c>
      <c r="L17666" s="2">
        <v>329</v>
      </c>
    </row>
    <row r="17667" spans="1:12" x14ac:dyDescent="0.25">
      <c r="A17667" s="4" t="str">
        <f>HYPERLINK("http://www.rosaceae.org/Prunus/Prunus_persica/p.persica_gdr_reftransV1_0046543","p.persica_gdr_reftransV1_0046543")</f>
        <v>p.persica_gdr_reftransV1_0046543</v>
      </c>
      <c r="B17667" s="2">
        <v>313</v>
      </c>
      <c r="C17667" s="4" t="str">
        <f>HYPERLINK("http://www.uniprot.org/uniprot/A0A0D2VBK7","A0A0D2VBK7")</f>
        <v>A0A0D2VBK7</v>
      </c>
      <c r="D17667" s="2" t="s">
        <v>13811</v>
      </c>
      <c r="E17667" s="3">
        <v>6.4300000000000002E-41</v>
      </c>
      <c r="F17667" s="2">
        <v>364</v>
      </c>
      <c r="G17667" s="2">
        <v>95</v>
      </c>
      <c r="H17667" s="2">
        <v>77</v>
      </c>
      <c r="I17667" s="2">
        <v>1</v>
      </c>
      <c r="J17667" s="2">
        <v>231</v>
      </c>
      <c r="K17667" s="2">
        <v>50</v>
      </c>
      <c r="L17667" s="2">
        <v>126</v>
      </c>
    </row>
    <row r="17668" spans="1:12" x14ac:dyDescent="0.25">
      <c r="A17668" s="4" t="str">
        <f>HYPERLINK("http://www.rosaceae.org/Prunus/Prunus_persica/p.persica_gdr_reftransV1_0047243","p.persica_gdr_reftransV1_0047243")</f>
        <v>p.persica_gdr_reftransV1_0047243</v>
      </c>
      <c r="B17668" s="2">
        <v>870</v>
      </c>
      <c r="C17668" s="4" t="str">
        <f>HYPERLINK("http://www.uniprot.org/uniprot/M5WWZ4","M5WWZ4")</f>
        <v>M5WWZ4</v>
      </c>
      <c r="D17668" s="2" t="s">
        <v>10543</v>
      </c>
      <c r="E17668" s="3">
        <v>4.7299999999999997E-96</v>
      </c>
      <c r="F17668" s="2">
        <v>786</v>
      </c>
      <c r="G17668" s="2">
        <v>100</v>
      </c>
      <c r="H17668" s="2">
        <v>167</v>
      </c>
      <c r="I17668" s="2">
        <v>181</v>
      </c>
      <c r="J17668" s="2">
        <v>681</v>
      </c>
      <c r="K17668" s="2">
        <v>449</v>
      </c>
      <c r="L17668" s="2">
        <v>615</v>
      </c>
    </row>
    <row r="17669" spans="1:12" x14ac:dyDescent="0.25">
      <c r="A17669" s="4" t="str">
        <f>HYPERLINK("http://www.rosaceae.org/Prunus/Prunus_persica/p.persica_gdr_reftransV1_0047593","p.persica_gdr_reftransV1_0047593")</f>
        <v>p.persica_gdr_reftransV1_0047593</v>
      </c>
      <c r="B17669" s="2">
        <v>1532</v>
      </c>
      <c r="C17669" s="4" t="str">
        <f>HYPERLINK("http://www.uniprot.org/uniprot/M5VGW7","M5VGW7")</f>
        <v>M5VGW7</v>
      </c>
      <c r="D17669" s="2" t="s">
        <v>13812</v>
      </c>
      <c r="E17669" s="3">
        <v>0</v>
      </c>
      <c r="F17669" s="2">
        <v>1657</v>
      </c>
      <c r="G17669" s="2">
        <v>99</v>
      </c>
      <c r="H17669" s="2">
        <v>338</v>
      </c>
      <c r="I17669" s="2">
        <v>190</v>
      </c>
      <c r="J17669" s="2">
        <v>1194</v>
      </c>
      <c r="K17669" s="2">
        <v>1</v>
      </c>
      <c r="L17669" s="2">
        <v>338</v>
      </c>
    </row>
    <row r="17670" spans="1:12" x14ac:dyDescent="0.25">
      <c r="A17670" s="4" t="str">
        <f>HYPERLINK("http://www.rosaceae.org/Prunus/Prunus_persica/p.persica_gdr_reftransV1_0047943","p.persica_gdr_reftransV1_0047943")</f>
        <v>p.persica_gdr_reftransV1_0047943</v>
      </c>
      <c r="B17670" s="2">
        <v>1143</v>
      </c>
      <c r="C17670" s="4" t="str">
        <f>HYPERLINK("http://www.uniprot.org/uniprot/M5XRA6","M5XRA6")</f>
        <v>M5XRA6</v>
      </c>
      <c r="D17670" s="2" t="s">
        <v>13813</v>
      </c>
      <c r="E17670" s="3">
        <v>0</v>
      </c>
      <c r="F17670" s="2">
        <v>1944</v>
      </c>
      <c r="G17670" s="2">
        <v>100</v>
      </c>
      <c r="H17670" s="2">
        <v>381</v>
      </c>
      <c r="I17670" s="2">
        <v>1</v>
      </c>
      <c r="J17670" s="2">
        <v>1143</v>
      </c>
      <c r="K17670" s="2">
        <v>279</v>
      </c>
      <c r="L17670" s="2">
        <v>659</v>
      </c>
    </row>
    <row r="17671" spans="1:12" x14ac:dyDescent="0.25">
      <c r="A17671" s="4" t="str">
        <f>HYPERLINK("http://www.rosaceae.org/Prunus/Prunus_persica/p.persica_gdr_reftransV1_0048293","p.persica_gdr_reftransV1_0048293")</f>
        <v>p.persica_gdr_reftransV1_0048293</v>
      </c>
      <c r="B17671" s="2">
        <v>448</v>
      </c>
      <c r="C17671" s="4" t="str">
        <f>HYPERLINK("http://www.uniprot.org/uniprot/M5VJK2","M5VJK2")</f>
        <v>M5VJK2</v>
      </c>
      <c r="D17671" s="2" t="s">
        <v>13814</v>
      </c>
      <c r="E17671" s="3">
        <v>5.3000000000000004E-90</v>
      </c>
      <c r="F17671" s="2">
        <v>719</v>
      </c>
      <c r="G17671" s="2">
        <v>100</v>
      </c>
      <c r="H17671" s="2">
        <v>148</v>
      </c>
      <c r="I17671" s="2">
        <v>3</v>
      </c>
      <c r="J17671" s="2">
        <v>446</v>
      </c>
      <c r="K17671" s="2">
        <v>267</v>
      </c>
      <c r="L17671" s="2">
        <v>414</v>
      </c>
    </row>
    <row r="17672" spans="1:12" x14ac:dyDescent="0.25">
      <c r="A17672" s="4" t="str">
        <f>HYPERLINK("http://www.rosaceae.org/Prunus/Prunus_persica/p.persica_gdr_reftransV1_0048643","p.persica_gdr_reftransV1_0048643")</f>
        <v>p.persica_gdr_reftransV1_0048643</v>
      </c>
      <c r="B17672" s="2">
        <v>2050</v>
      </c>
      <c r="C17672" s="4" t="str">
        <f>HYPERLINK("http://www.uniprot.org/uniprot/M5VI72","M5VI72")</f>
        <v>M5VI72</v>
      </c>
      <c r="D17672" s="2" t="s">
        <v>2450</v>
      </c>
      <c r="E17672" s="3">
        <v>0</v>
      </c>
      <c r="F17672" s="2">
        <v>1953</v>
      </c>
      <c r="G17672" s="2">
        <v>100</v>
      </c>
      <c r="H17672" s="2">
        <v>505</v>
      </c>
      <c r="I17672" s="2">
        <v>301</v>
      </c>
      <c r="J17672" s="2">
        <v>1815</v>
      </c>
      <c r="K17672" s="2">
        <v>1</v>
      </c>
      <c r="L17672" s="2">
        <v>505</v>
      </c>
    </row>
    <row r="17673" spans="1:12" x14ac:dyDescent="0.25">
      <c r="A17673" s="4" t="str">
        <f>HYPERLINK("http://www.rosaceae.org/Prunus/Prunus_persica/p.persica_gdr_reftransV1_0048993","p.persica_gdr_reftransV1_0048993")</f>
        <v>p.persica_gdr_reftransV1_0048993</v>
      </c>
      <c r="B17673" s="2">
        <v>469</v>
      </c>
      <c r="C17673" s="4" t="str">
        <f>HYPERLINK("http://www.uniprot.org/uniprot/M5WPT0","M5WPT0")</f>
        <v>M5WPT0</v>
      </c>
      <c r="D17673" s="2" t="s">
        <v>13815</v>
      </c>
      <c r="E17673" s="3">
        <v>4.1899999999999996E-105</v>
      </c>
      <c r="F17673" s="2">
        <v>835</v>
      </c>
      <c r="G17673" s="2">
        <v>100</v>
      </c>
      <c r="H17673" s="2">
        <v>156</v>
      </c>
      <c r="I17673" s="2">
        <v>1</v>
      </c>
      <c r="J17673" s="2">
        <v>468</v>
      </c>
      <c r="K17673" s="2">
        <v>263</v>
      </c>
      <c r="L17673" s="2">
        <v>418</v>
      </c>
    </row>
    <row r="17674" spans="1:12" x14ac:dyDescent="0.25">
      <c r="A17674" s="4" t="str">
        <f>HYPERLINK("http://www.rosaceae.org/Prunus/Prunus_persica/p.persica_gdr_reftransV1_0000694","p.persica_gdr_reftransV1_0000694")</f>
        <v>p.persica_gdr_reftransV1_0000694</v>
      </c>
      <c r="B17674" s="2">
        <v>369</v>
      </c>
      <c r="C17674" s="4" t="str">
        <f>HYPERLINK("http://www.uniprot.org/uniprot/M5WE12","M5WE12")</f>
        <v>M5WE12</v>
      </c>
      <c r="D17674" s="2" t="s">
        <v>79</v>
      </c>
      <c r="E17674" s="3">
        <v>6.0099999999999999E-79</v>
      </c>
      <c r="F17674" s="2">
        <v>647</v>
      </c>
      <c r="G17674" s="2">
        <v>100</v>
      </c>
      <c r="H17674" s="2">
        <v>123</v>
      </c>
      <c r="I17674" s="2">
        <v>1</v>
      </c>
      <c r="J17674" s="2">
        <v>369</v>
      </c>
      <c r="K17674" s="2">
        <v>27</v>
      </c>
      <c r="L17674" s="2">
        <v>149</v>
      </c>
    </row>
    <row r="17675" spans="1:12" x14ac:dyDescent="0.25">
      <c r="A17675" s="4" t="str">
        <f>HYPERLINK("http://www.rosaceae.org/Prunus/Prunus_persica/p.persica_gdr_reftransV1_0001394","p.persica_gdr_reftransV1_0001394")</f>
        <v>p.persica_gdr_reftransV1_0001394</v>
      </c>
      <c r="B17675" s="2">
        <v>913</v>
      </c>
      <c r="C17675" s="4" t="str">
        <f>HYPERLINK("http://www.uniprot.org/uniprot/M5X0F9","M5X0F9")</f>
        <v>M5X0F9</v>
      </c>
      <c r="D17675" s="2" t="s">
        <v>13816</v>
      </c>
      <c r="E17675" s="3">
        <v>4.25E-67</v>
      </c>
      <c r="F17675" s="2">
        <v>552</v>
      </c>
      <c r="G17675" s="2">
        <v>100</v>
      </c>
      <c r="H17675" s="2">
        <v>119</v>
      </c>
      <c r="I17675" s="2">
        <v>423</v>
      </c>
      <c r="J17675" s="2">
        <v>779</v>
      </c>
      <c r="K17675" s="2">
        <v>1</v>
      </c>
      <c r="L17675" s="2">
        <v>119</v>
      </c>
    </row>
    <row r="17676" spans="1:12" x14ac:dyDescent="0.25">
      <c r="A17676" s="4" t="str">
        <f>HYPERLINK("http://www.rosaceae.org/Prunus/Prunus_persica/p.persica_gdr_reftransV1_0001744","p.persica_gdr_reftransV1_0001744")</f>
        <v>p.persica_gdr_reftransV1_0001744</v>
      </c>
      <c r="B17676" s="2">
        <v>399</v>
      </c>
      <c r="C17676" s="4" t="str">
        <f>HYPERLINK("http://www.uniprot.org/uniprot/M5XHK4","M5XHK4")</f>
        <v>M5XHK4</v>
      </c>
      <c r="D17676" s="2" t="s">
        <v>13817</v>
      </c>
      <c r="E17676" s="3">
        <v>9.5599999999999998E-82</v>
      </c>
      <c r="F17676" s="2">
        <v>693</v>
      </c>
      <c r="G17676" s="2">
        <v>100</v>
      </c>
      <c r="H17676" s="2">
        <v>133</v>
      </c>
      <c r="I17676" s="2">
        <v>1</v>
      </c>
      <c r="J17676" s="2">
        <v>399</v>
      </c>
      <c r="K17676" s="2">
        <v>627</v>
      </c>
      <c r="L17676" s="2">
        <v>759</v>
      </c>
    </row>
    <row r="17677" spans="1:12" x14ac:dyDescent="0.25">
      <c r="A17677" s="4" t="str">
        <f>HYPERLINK("http://www.rosaceae.org/Prunus/Prunus_persica/p.persica_gdr_reftransV1_0002094","p.persica_gdr_reftransV1_0002094")</f>
        <v>p.persica_gdr_reftransV1_0002094</v>
      </c>
      <c r="B17677" s="2">
        <v>506</v>
      </c>
      <c r="C17677" s="4" t="str">
        <f>HYPERLINK("http://www.uniprot.org/uniprot/M5W248","M5W248")</f>
        <v>M5W248</v>
      </c>
      <c r="D17677" s="2" t="s">
        <v>1074</v>
      </c>
      <c r="E17677" s="3">
        <v>1.8599999999999999E-73</v>
      </c>
      <c r="F17677" s="2">
        <v>613</v>
      </c>
      <c r="G17677" s="2">
        <v>100</v>
      </c>
      <c r="H17677" s="2">
        <v>113</v>
      </c>
      <c r="I17677" s="2">
        <v>2</v>
      </c>
      <c r="J17677" s="2">
        <v>340</v>
      </c>
      <c r="K17677" s="2">
        <v>1</v>
      </c>
      <c r="L17677" s="2">
        <v>113</v>
      </c>
    </row>
    <row r="17678" spans="1:12" x14ac:dyDescent="0.25">
      <c r="A17678" s="4" t="str">
        <f>HYPERLINK("http://www.rosaceae.org/Prunus/Prunus_persica/p.persica_gdr_reftransV1_0002444","p.persica_gdr_reftransV1_0002444")</f>
        <v>p.persica_gdr_reftransV1_0002444</v>
      </c>
      <c r="B17678" s="2">
        <v>1649</v>
      </c>
      <c r="C17678" s="4" t="str">
        <f>HYPERLINK("http://www.uniprot.org/uniprot/M5VYX6","M5VYX6")</f>
        <v>M5VYX6</v>
      </c>
      <c r="D17678" s="2" t="s">
        <v>13818</v>
      </c>
      <c r="E17678" s="3">
        <v>0</v>
      </c>
      <c r="F17678" s="2">
        <v>2631</v>
      </c>
      <c r="G17678" s="2">
        <v>100</v>
      </c>
      <c r="H17678" s="2">
        <v>492</v>
      </c>
      <c r="I17678" s="2">
        <v>41</v>
      </c>
      <c r="J17678" s="2">
        <v>1516</v>
      </c>
      <c r="K17678" s="2">
        <v>1</v>
      </c>
      <c r="L17678" s="2">
        <v>492</v>
      </c>
    </row>
    <row r="17679" spans="1:12" x14ac:dyDescent="0.25">
      <c r="A17679" s="4" t="str">
        <f>HYPERLINK("http://www.rosaceae.org/Prunus/Prunus_persica/p.persica_gdr_reftransV1_0002794","p.persica_gdr_reftransV1_0002794")</f>
        <v>p.persica_gdr_reftransV1_0002794</v>
      </c>
      <c r="B17679" s="2">
        <v>2387</v>
      </c>
      <c r="C17679" s="4" t="str">
        <f>HYPERLINK("http://www.uniprot.org/uniprot/M5WXN3","M5WXN3")</f>
        <v>M5WXN3</v>
      </c>
      <c r="D17679" s="2" t="s">
        <v>13819</v>
      </c>
      <c r="E17679" s="3">
        <v>0</v>
      </c>
      <c r="F17679" s="2">
        <v>3027</v>
      </c>
      <c r="G17679" s="2">
        <v>97</v>
      </c>
      <c r="H17679" s="2">
        <v>626</v>
      </c>
      <c r="I17679" s="2">
        <v>287</v>
      </c>
      <c r="J17679" s="2">
        <v>2164</v>
      </c>
      <c r="K17679" s="2">
        <v>265</v>
      </c>
      <c r="L17679" s="2">
        <v>869</v>
      </c>
    </row>
    <row r="17680" spans="1:12" x14ac:dyDescent="0.25">
      <c r="A17680" s="4" t="str">
        <f>HYPERLINK("http://www.rosaceae.org/Prunus/Prunus_persica/p.persica_gdr_reftransV1_0003494","p.persica_gdr_reftransV1_0003494")</f>
        <v>p.persica_gdr_reftransV1_0003494</v>
      </c>
      <c r="B17680" s="2">
        <v>598</v>
      </c>
      <c r="C17680" s="4" t="str">
        <f>HYPERLINK("http://www.uniprot.org/uniprot/C7YHI8","C7YHI8")</f>
        <v>C7YHI8</v>
      </c>
      <c r="D17680" s="2" t="s">
        <v>13820</v>
      </c>
      <c r="E17680" s="3">
        <v>6.7400000000000002E-91</v>
      </c>
      <c r="F17680" s="2">
        <v>738</v>
      </c>
      <c r="G17680" s="2">
        <v>73</v>
      </c>
      <c r="H17680" s="2">
        <v>212</v>
      </c>
      <c r="I17680" s="2">
        <v>1</v>
      </c>
      <c r="J17680" s="2">
        <v>597</v>
      </c>
      <c r="K17680" s="2">
        <v>241</v>
      </c>
      <c r="L17680" s="2">
        <v>452</v>
      </c>
    </row>
    <row r="17681" spans="1:12" x14ac:dyDescent="0.25">
      <c r="A17681" s="4" t="str">
        <f>HYPERLINK("http://www.rosaceae.org/Prunus/Prunus_persica/p.persica_gdr_reftransV1_0004194","p.persica_gdr_reftransV1_0004194")</f>
        <v>p.persica_gdr_reftransV1_0004194</v>
      </c>
      <c r="B17681" s="2">
        <v>483</v>
      </c>
      <c r="C17681" s="4" t="str">
        <f>HYPERLINK("http://www.uniprot.org/uniprot/M5Y6V1","M5Y6V1")</f>
        <v>M5Y6V1</v>
      </c>
      <c r="D17681" s="2" t="s">
        <v>5102</v>
      </c>
      <c r="E17681" s="3">
        <v>1.8E-96</v>
      </c>
      <c r="F17681" s="2">
        <v>741</v>
      </c>
      <c r="G17681" s="2">
        <v>100</v>
      </c>
      <c r="H17681" s="2">
        <v>140</v>
      </c>
      <c r="I17681" s="2">
        <v>1</v>
      </c>
      <c r="J17681" s="2">
        <v>420</v>
      </c>
      <c r="K17681" s="2">
        <v>79</v>
      </c>
      <c r="L17681" s="2">
        <v>218</v>
      </c>
    </row>
    <row r="17682" spans="1:12" x14ac:dyDescent="0.25">
      <c r="A17682" s="4" t="str">
        <f>HYPERLINK("http://www.rosaceae.org/Prunus/Prunus_persica/p.persica_gdr_reftransV1_0004894","p.persica_gdr_reftransV1_0004894")</f>
        <v>p.persica_gdr_reftransV1_0004894</v>
      </c>
      <c r="B17682" s="2">
        <v>2077</v>
      </c>
      <c r="C17682" s="4" t="str">
        <f>HYPERLINK("http://www.uniprot.org/uniprot/M5W7P2","M5W7P2")</f>
        <v>M5W7P2</v>
      </c>
      <c r="D17682" s="2" t="s">
        <v>7825</v>
      </c>
      <c r="E17682" s="3">
        <v>1.4700000000000001E-153</v>
      </c>
      <c r="F17682" s="2">
        <v>1265</v>
      </c>
      <c r="G17682" s="2">
        <v>99</v>
      </c>
      <c r="H17682" s="2">
        <v>298</v>
      </c>
      <c r="I17682" s="2">
        <v>990</v>
      </c>
      <c r="J17682" s="2">
        <v>1883</v>
      </c>
      <c r="K17682" s="2">
        <v>533</v>
      </c>
      <c r="L17682" s="2">
        <v>828</v>
      </c>
    </row>
    <row r="17683" spans="1:12" x14ac:dyDescent="0.25">
      <c r="A17683" s="4" t="str">
        <f>HYPERLINK("http://www.rosaceae.org/Prunus/Prunus_persica/p.persica_gdr_reftransV1_0005244","p.persica_gdr_reftransV1_0005244")</f>
        <v>p.persica_gdr_reftransV1_0005244</v>
      </c>
      <c r="B17683" s="2">
        <v>305</v>
      </c>
      <c r="C17683" s="4" t="str">
        <f>HYPERLINK("http://www.uniprot.org/uniprot/M5XQ36","M5XQ36")</f>
        <v>M5XQ36</v>
      </c>
      <c r="D17683" s="2" t="s">
        <v>13821</v>
      </c>
      <c r="E17683" s="3">
        <v>2.1000000000000001E-42</v>
      </c>
      <c r="F17683" s="2">
        <v>397</v>
      </c>
      <c r="G17683" s="2">
        <v>86</v>
      </c>
      <c r="H17683" s="2">
        <v>101</v>
      </c>
      <c r="I17683" s="2">
        <v>3</v>
      </c>
      <c r="J17683" s="2">
        <v>305</v>
      </c>
      <c r="K17683" s="2">
        <v>629</v>
      </c>
      <c r="L17683" s="2">
        <v>729</v>
      </c>
    </row>
    <row r="17684" spans="1:12" x14ac:dyDescent="0.25">
      <c r="A17684" s="4" t="str">
        <f>HYPERLINK("http://www.rosaceae.org/Prunus/Prunus_persica/p.persica_gdr_reftransV1_0006294","p.persica_gdr_reftransV1_0006294")</f>
        <v>p.persica_gdr_reftransV1_0006294</v>
      </c>
      <c r="B17684" s="2">
        <v>491</v>
      </c>
      <c r="C17684" s="4" t="str">
        <f>HYPERLINK("http://www.uniprot.org/uniprot/M5WHB6","M5WHB6")</f>
        <v>M5WHB6</v>
      </c>
      <c r="D17684" s="2" t="s">
        <v>1189</v>
      </c>
      <c r="E17684" s="3">
        <v>7.75E-72</v>
      </c>
      <c r="F17684" s="2">
        <v>598</v>
      </c>
      <c r="G17684" s="2">
        <v>100</v>
      </c>
      <c r="H17684" s="2">
        <v>115</v>
      </c>
      <c r="I17684" s="2">
        <v>147</v>
      </c>
      <c r="J17684" s="2">
        <v>491</v>
      </c>
      <c r="K17684" s="2">
        <v>1</v>
      </c>
      <c r="L17684" s="2">
        <v>115</v>
      </c>
    </row>
    <row r="17685" spans="1:12" x14ac:dyDescent="0.25">
      <c r="A17685" s="4" t="str">
        <f>HYPERLINK("http://www.rosaceae.org/Prunus/Prunus_persica/p.persica_gdr_reftransV1_0006644","p.persica_gdr_reftransV1_0006644")</f>
        <v>p.persica_gdr_reftransV1_0006644</v>
      </c>
      <c r="B17685" s="2">
        <v>4278</v>
      </c>
      <c r="C17685" s="4" t="str">
        <f>HYPERLINK("http://www.uniprot.org/uniprot/A0A061FPH8","A0A061FPH8")</f>
        <v>A0A061FPH8</v>
      </c>
      <c r="D17685" s="2" t="s">
        <v>13822</v>
      </c>
      <c r="E17685" s="3">
        <v>0</v>
      </c>
      <c r="F17685" s="2">
        <v>1914</v>
      </c>
      <c r="G17685" s="2">
        <v>81</v>
      </c>
      <c r="H17685" s="2">
        <v>449</v>
      </c>
      <c r="I17685" s="2">
        <v>2854</v>
      </c>
      <c r="J17685" s="2">
        <v>4194</v>
      </c>
      <c r="K17685" s="2">
        <v>1</v>
      </c>
      <c r="L17685" s="2">
        <v>441</v>
      </c>
    </row>
    <row r="17686" spans="1:12" x14ac:dyDescent="0.25">
      <c r="A17686" s="4" t="str">
        <f>HYPERLINK("http://www.rosaceae.org/Prunus/Prunus_persica/p.persica_gdr_reftransV1_0007694","p.persica_gdr_reftransV1_0007694")</f>
        <v>p.persica_gdr_reftransV1_0007694</v>
      </c>
      <c r="B17686" s="2">
        <v>4085</v>
      </c>
      <c r="C17686" s="4" t="str">
        <f>HYPERLINK("http://www.uniprot.org/uniprot/M5WZP4","M5WZP4")</f>
        <v>M5WZP4</v>
      </c>
      <c r="D17686" s="2" t="s">
        <v>13823</v>
      </c>
      <c r="E17686" s="3">
        <v>0</v>
      </c>
      <c r="F17686" s="2">
        <v>2230</v>
      </c>
      <c r="G17686" s="2">
        <v>100</v>
      </c>
      <c r="H17686" s="2">
        <v>437</v>
      </c>
      <c r="I17686" s="2">
        <v>501</v>
      </c>
      <c r="J17686" s="2">
        <v>1811</v>
      </c>
      <c r="K17686" s="2">
        <v>1</v>
      </c>
      <c r="L17686" s="2">
        <v>437</v>
      </c>
    </row>
    <row r="17687" spans="1:12" x14ac:dyDescent="0.25">
      <c r="A17687" s="4" t="str">
        <f>HYPERLINK("http://www.rosaceae.org/Prunus/Prunus_persica/p.persica_gdr_reftransV1_0008044","p.persica_gdr_reftransV1_0008044")</f>
        <v>p.persica_gdr_reftransV1_0008044</v>
      </c>
      <c r="B17687" s="2">
        <v>1167</v>
      </c>
      <c r="C17687" s="4" t="str">
        <f>HYPERLINK("http://www.uniprot.org/uniprot/A0A072TVZ8","A0A072TVZ8")</f>
        <v>A0A072TVZ8</v>
      </c>
      <c r="D17687" s="2" t="s">
        <v>13824</v>
      </c>
      <c r="E17687" s="3">
        <v>3.4899999999999999E-39</v>
      </c>
      <c r="F17687" s="2">
        <v>378</v>
      </c>
      <c r="G17687" s="2">
        <v>84</v>
      </c>
      <c r="H17687" s="2">
        <v>98</v>
      </c>
      <c r="I17687" s="2">
        <v>321</v>
      </c>
      <c r="J17687" s="2">
        <v>614</v>
      </c>
      <c r="K17687" s="2">
        <v>109</v>
      </c>
      <c r="L17687" s="2">
        <v>204</v>
      </c>
    </row>
    <row r="17688" spans="1:12" x14ac:dyDescent="0.25">
      <c r="A17688" s="4" t="str">
        <f>HYPERLINK("http://www.rosaceae.org/Prunus/Prunus_persica/p.persica_gdr_reftransV1_0008744","p.persica_gdr_reftransV1_0008744")</f>
        <v>p.persica_gdr_reftransV1_0008744</v>
      </c>
      <c r="B17688" s="2">
        <v>851</v>
      </c>
      <c r="C17688" s="4" t="str">
        <f>HYPERLINK("http://www.uniprot.org/uniprot/M5XB90","M5XB90")</f>
        <v>M5XB90</v>
      </c>
      <c r="D17688" s="2" t="s">
        <v>13825</v>
      </c>
      <c r="E17688" s="3">
        <v>0</v>
      </c>
      <c r="F17688" s="2">
        <v>1515</v>
      </c>
      <c r="G17688" s="2">
        <v>100</v>
      </c>
      <c r="H17688" s="2">
        <v>283</v>
      </c>
      <c r="I17688" s="2">
        <v>3</v>
      </c>
      <c r="J17688" s="2">
        <v>851</v>
      </c>
      <c r="K17688" s="2">
        <v>139</v>
      </c>
      <c r="L17688" s="2">
        <v>421</v>
      </c>
    </row>
    <row r="17689" spans="1:12" x14ac:dyDescent="0.25">
      <c r="A17689" s="4" t="str">
        <f>HYPERLINK("http://www.rosaceae.org/Prunus/Prunus_persica/p.persica_gdr_reftransV1_0009094","p.persica_gdr_reftransV1_0009094")</f>
        <v>p.persica_gdr_reftransV1_0009094</v>
      </c>
      <c r="B17689" s="2">
        <v>903</v>
      </c>
      <c r="C17689" s="4" t="str">
        <f>HYPERLINK("http://www.uniprot.org/uniprot/M5XYG5","M5XYG5")</f>
        <v>M5XYG5</v>
      </c>
      <c r="D17689" s="2" t="s">
        <v>803</v>
      </c>
      <c r="E17689" s="3">
        <v>4.6100000000000003E-130</v>
      </c>
      <c r="F17689" s="2">
        <v>994</v>
      </c>
      <c r="G17689" s="2">
        <v>91</v>
      </c>
      <c r="H17689" s="2">
        <v>277</v>
      </c>
      <c r="I17689" s="2">
        <v>27</v>
      </c>
      <c r="J17689" s="2">
        <v>845</v>
      </c>
      <c r="K17689" s="2">
        <v>1</v>
      </c>
      <c r="L17689" s="2">
        <v>277</v>
      </c>
    </row>
    <row r="17690" spans="1:12" x14ac:dyDescent="0.25">
      <c r="A17690" s="4" t="str">
        <f>HYPERLINK("http://www.rosaceae.org/Prunus/Prunus_persica/p.persica_gdr_reftransV1_0009794","p.persica_gdr_reftransV1_0009794")</f>
        <v>p.persica_gdr_reftransV1_0009794</v>
      </c>
      <c r="B17690" s="2">
        <v>3308</v>
      </c>
      <c r="C17690" s="4" t="str">
        <f>HYPERLINK("http://www.uniprot.org/uniprot/G5CZ67","G5CZ67")</f>
        <v>G5CZ67</v>
      </c>
      <c r="D17690" s="2" t="s">
        <v>13826</v>
      </c>
      <c r="E17690" s="3">
        <v>0</v>
      </c>
      <c r="F17690" s="2">
        <v>5553</v>
      </c>
      <c r="G17690" s="2">
        <v>100</v>
      </c>
      <c r="H17690" s="2">
        <v>1045</v>
      </c>
      <c r="I17690" s="2">
        <v>13</v>
      </c>
      <c r="J17690" s="2">
        <v>3147</v>
      </c>
      <c r="K17690" s="2">
        <v>1</v>
      </c>
      <c r="L17690" s="2">
        <v>1045</v>
      </c>
    </row>
    <row r="17691" spans="1:12" x14ac:dyDescent="0.25">
      <c r="A17691" s="4" t="str">
        <f>HYPERLINK("http://www.rosaceae.org/Prunus/Prunus_persica/p.persica_gdr_reftransV1_0010144","p.persica_gdr_reftransV1_0010144")</f>
        <v>p.persica_gdr_reftransV1_0010144</v>
      </c>
      <c r="B17691" s="2">
        <v>2165</v>
      </c>
      <c r="C17691" s="4" t="str">
        <f>HYPERLINK("http://www.uniprot.org/uniprot/M5VXP4","M5VXP4")</f>
        <v>M5VXP4</v>
      </c>
      <c r="D17691" s="2" t="s">
        <v>13827</v>
      </c>
      <c r="E17691" s="3">
        <v>0</v>
      </c>
      <c r="F17691" s="2">
        <v>2453</v>
      </c>
      <c r="G17691" s="2">
        <v>100</v>
      </c>
      <c r="H17691" s="2">
        <v>555</v>
      </c>
      <c r="I17691" s="2">
        <v>185</v>
      </c>
      <c r="J17691" s="2">
        <v>1849</v>
      </c>
      <c r="K17691" s="2">
        <v>1</v>
      </c>
      <c r="L17691" s="2">
        <v>555</v>
      </c>
    </row>
    <row r="17692" spans="1:12" x14ac:dyDescent="0.25">
      <c r="A17692" s="4" t="str">
        <f>HYPERLINK("http://www.rosaceae.org/Prunus/Prunus_persica/p.persica_gdr_reftransV1_0010844","p.persica_gdr_reftransV1_0010844")</f>
        <v>p.persica_gdr_reftransV1_0010844</v>
      </c>
      <c r="B17692" s="2">
        <v>584</v>
      </c>
      <c r="C17692" s="4" t="str">
        <f>HYPERLINK("http://www.uniprot.org/uniprot/M5XGU5","M5XGU5")</f>
        <v>M5XGU5</v>
      </c>
      <c r="D17692" s="2" t="s">
        <v>13828</v>
      </c>
      <c r="E17692" s="3">
        <v>2.7000000000000002E-29</v>
      </c>
      <c r="F17692" s="2">
        <v>294</v>
      </c>
      <c r="G17692" s="2">
        <v>100</v>
      </c>
      <c r="H17692" s="2">
        <v>158</v>
      </c>
      <c r="I17692" s="2">
        <v>1</v>
      </c>
      <c r="J17692" s="2">
        <v>474</v>
      </c>
      <c r="K17692" s="2">
        <v>37</v>
      </c>
      <c r="L17692" s="2">
        <v>194</v>
      </c>
    </row>
    <row r="17693" spans="1:12" x14ac:dyDescent="0.25">
      <c r="A17693" s="4" t="str">
        <f>HYPERLINK("http://www.rosaceae.org/Prunus/Prunus_persica/p.persica_gdr_reftransV1_0011194","p.persica_gdr_reftransV1_0011194")</f>
        <v>p.persica_gdr_reftransV1_0011194</v>
      </c>
      <c r="B17693" s="2">
        <v>1829</v>
      </c>
      <c r="C17693" s="4" t="str">
        <f>HYPERLINK("http://www.uniprot.org/uniprot/M5W8V4","M5W8V4")</f>
        <v>M5W8V4</v>
      </c>
      <c r="D17693" s="2" t="s">
        <v>13829</v>
      </c>
      <c r="E17693" s="3">
        <v>0</v>
      </c>
      <c r="F17693" s="2">
        <v>2602</v>
      </c>
      <c r="G17693" s="2">
        <v>100</v>
      </c>
      <c r="H17693" s="2">
        <v>481</v>
      </c>
      <c r="I17693" s="2">
        <v>1</v>
      </c>
      <c r="J17693" s="2">
        <v>1443</v>
      </c>
      <c r="K17693" s="2">
        <v>201</v>
      </c>
      <c r="L17693" s="2">
        <v>681</v>
      </c>
    </row>
    <row r="17694" spans="1:12" x14ac:dyDescent="0.25">
      <c r="A17694" s="4" t="str">
        <f>HYPERLINK("http://www.rosaceae.org/Prunus/Prunus_persica/p.persica_gdr_reftransV1_0011544","p.persica_gdr_reftransV1_0011544")</f>
        <v>p.persica_gdr_reftransV1_0011544</v>
      </c>
      <c r="B17694" s="2">
        <v>2940</v>
      </c>
      <c r="C17694" s="4" t="str">
        <f>HYPERLINK("http://www.uniprot.org/uniprot/M5W760","M5W760")</f>
        <v>M5W760</v>
      </c>
      <c r="D17694" s="2" t="s">
        <v>13830</v>
      </c>
      <c r="E17694" s="3">
        <v>0</v>
      </c>
      <c r="F17694" s="2">
        <v>3275</v>
      </c>
      <c r="G17694" s="2">
        <v>100</v>
      </c>
      <c r="H17694" s="2">
        <v>674</v>
      </c>
      <c r="I17694" s="2">
        <v>594</v>
      </c>
      <c r="J17694" s="2">
        <v>2615</v>
      </c>
      <c r="K17694" s="2">
        <v>31</v>
      </c>
      <c r="L17694" s="2">
        <v>704</v>
      </c>
    </row>
    <row r="17695" spans="1:12" x14ac:dyDescent="0.25">
      <c r="A17695" s="4" t="str">
        <f>HYPERLINK("http://www.rosaceae.org/Prunus/Prunus_persica/p.persica_gdr_reftransV1_0013294","p.persica_gdr_reftransV1_0013294")</f>
        <v>p.persica_gdr_reftransV1_0013294</v>
      </c>
      <c r="B17695" s="2">
        <v>1222</v>
      </c>
      <c r="C17695" s="4" t="str">
        <f>HYPERLINK("http://www.uniprot.org/uniprot/M5WK10","M5WK10")</f>
        <v>M5WK10</v>
      </c>
      <c r="D17695" s="2" t="s">
        <v>13831</v>
      </c>
      <c r="E17695" s="3">
        <v>2.2299999999999999E-112</v>
      </c>
      <c r="F17695" s="2">
        <v>869</v>
      </c>
      <c r="G17695" s="2">
        <v>100</v>
      </c>
      <c r="H17695" s="2">
        <v>190</v>
      </c>
      <c r="I17695" s="2">
        <v>366</v>
      </c>
      <c r="J17695" s="2">
        <v>935</v>
      </c>
      <c r="K17695" s="2">
        <v>6</v>
      </c>
      <c r="L17695" s="2">
        <v>195</v>
      </c>
    </row>
    <row r="17696" spans="1:12" x14ac:dyDescent="0.25">
      <c r="A17696" s="4" t="str">
        <f>HYPERLINK("http://www.rosaceae.org/Prunus/Prunus_persica/p.persica_gdr_reftransV1_0013644","p.persica_gdr_reftransV1_0013644")</f>
        <v>p.persica_gdr_reftransV1_0013644</v>
      </c>
      <c r="B17696" s="2">
        <v>877</v>
      </c>
      <c r="C17696" s="4" t="str">
        <f>HYPERLINK("http://www.uniprot.org/uniprot/M5XDP7","M5XDP7")</f>
        <v>M5XDP7</v>
      </c>
      <c r="D17696" s="2" t="s">
        <v>11693</v>
      </c>
      <c r="E17696" s="3">
        <v>1.6600000000000001E-144</v>
      </c>
      <c r="F17696" s="2">
        <v>1097</v>
      </c>
      <c r="G17696" s="2">
        <v>100</v>
      </c>
      <c r="H17696" s="2">
        <v>202</v>
      </c>
      <c r="I17696" s="2">
        <v>270</v>
      </c>
      <c r="J17696" s="2">
        <v>875</v>
      </c>
      <c r="K17696" s="2">
        <v>274</v>
      </c>
      <c r="L17696" s="2">
        <v>475</v>
      </c>
    </row>
    <row r="17697" spans="1:12" x14ac:dyDescent="0.25">
      <c r="A17697" s="4" t="str">
        <f>HYPERLINK("http://www.rosaceae.org/Prunus/Prunus_persica/p.persica_gdr_reftransV1_0013994","p.persica_gdr_reftransV1_0013994")</f>
        <v>p.persica_gdr_reftransV1_0013994</v>
      </c>
      <c r="B17697" s="2">
        <v>1903</v>
      </c>
      <c r="C17697" s="4" t="str">
        <f>HYPERLINK("http://www.uniprot.org/uniprot/M5XDA5","M5XDA5")</f>
        <v>M5XDA5</v>
      </c>
      <c r="D17697" s="2" t="s">
        <v>13832</v>
      </c>
      <c r="E17697" s="3">
        <v>6.57E-135</v>
      </c>
      <c r="F17697" s="2">
        <v>1053</v>
      </c>
      <c r="G17697" s="2">
        <v>100</v>
      </c>
      <c r="H17697" s="2">
        <v>200</v>
      </c>
      <c r="I17697" s="2">
        <v>1181</v>
      </c>
      <c r="J17697" s="2">
        <v>1780</v>
      </c>
      <c r="K17697" s="2">
        <v>1</v>
      </c>
      <c r="L17697" s="2">
        <v>200</v>
      </c>
    </row>
    <row r="17698" spans="1:12" x14ac:dyDescent="0.25">
      <c r="A17698" s="4" t="str">
        <f>HYPERLINK("http://www.rosaceae.org/Prunus/Prunus_persica/p.persica_gdr_reftransV1_0014694","p.persica_gdr_reftransV1_0014694")</f>
        <v>p.persica_gdr_reftransV1_0014694</v>
      </c>
      <c r="B17698" s="2">
        <v>750</v>
      </c>
      <c r="C17698" s="4" t="str">
        <f>HYPERLINK("http://www.uniprot.org/uniprot/M5VR38","M5VR38")</f>
        <v>M5VR38</v>
      </c>
      <c r="D17698" s="2" t="s">
        <v>13656</v>
      </c>
      <c r="E17698" s="3">
        <v>9.7399999999999998E-88</v>
      </c>
      <c r="F17698" s="2">
        <v>705</v>
      </c>
      <c r="G17698" s="2">
        <v>100</v>
      </c>
      <c r="H17698" s="2">
        <v>150</v>
      </c>
      <c r="I17698" s="2">
        <v>1</v>
      </c>
      <c r="J17698" s="2">
        <v>450</v>
      </c>
      <c r="K17698" s="2">
        <v>209</v>
      </c>
      <c r="L17698" s="2">
        <v>358</v>
      </c>
    </row>
    <row r="17699" spans="1:12" x14ac:dyDescent="0.25">
      <c r="A17699" s="4" t="str">
        <f>HYPERLINK("http://www.rosaceae.org/Prunus/Prunus_persica/p.persica_gdr_reftransV1_0015394","p.persica_gdr_reftransV1_0015394")</f>
        <v>p.persica_gdr_reftransV1_0015394</v>
      </c>
      <c r="B17699" s="2">
        <v>1459</v>
      </c>
      <c r="C17699" s="4" t="str">
        <f>HYPERLINK("http://www.uniprot.org/uniprot/M5W000","M5W000")</f>
        <v>M5W000</v>
      </c>
      <c r="D17699" s="2" t="s">
        <v>10908</v>
      </c>
      <c r="E17699" s="3">
        <v>1.31E-115</v>
      </c>
      <c r="F17699" s="2">
        <v>901</v>
      </c>
      <c r="G17699" s="2">
        <v>100</v>
      </c>
      <c r="H17699" s="2">
        <v>165</v>
      </c>
      <c r="I17699" s="2">
        <v>915</v>
      </c>
      <c r="J17699" s="2">
        <v>1409</v>
      </c>
      <c r="K17699" s="2">
        <v>56</v>
      </c>
      <c r="L17699" s="2">
        <v>220</v>
      </c>
    </row>
    <row r="17700" spans="1:12" x14ac:dyDescent="0.25">
      <c r="A17700" s="4" t="str">
        <f>HYPERLINK("http://www.rosaceae.org/Prunus/Prunus_persica/p.persica_gdr_reftransV1_0015744","p.persica_gdr_reftransV1_0015744")</f>
        <v>p.persica_gdr_reftransV1_0015744</v>
      </c>
      <c r="B17700" s="2">
        <v>365</v>
      </c>
      <c r="C17700" s="4" t="str">
        <f>HYPERLINK("http://www.uniprot.org/uniprot/M5WA83","M5WA83")</f>
        <v>M5WA83</v>
      </c>
      <c r="D17700" s="2" t="s">
        <v>3486</v>
      </c>
      <c r="E17700" s="3">
        <v>9.9400000000000001E-80</v>
      </c>
      <c r="F17700" s="2">
        <v>661</v>
      </c>
      <c r="G17700" s="2">
        <v>100</v>
      </c>
      <c r="H17700" s="2">
        <v>121</v>
      </c>
      <c r="I17700" s="2">
        <v>3</v>
      </c>
      <c r="J17700" s="2">
        <v>365</v>
      </c>
      <c r="K17700" s="2">
        <v>513</v>
      </c>
      <c r="L17700" s="2">
        <v>633</v>
      </c>
    </row>
    <row r="17701" spans="1:12" x14ac:dyDescent="0.25">
      <c r="A17701" s="4" t="str">
        <f>HYPERLINK("http://www.rosaceae.org/Prunus/Prunus_persica/p.persica_gdr_reftransV1_0017844","p.persica_gdr_reftransV1_0017844")</f>
        <v>p.persica_gdr_reftransV1_0017844</v>
      </c>
      <c r="B17701" s="2">
        <v>1257</v>
      </c>
      <c r="C17701" s="4" t="str">
        <f>HYPERLINK("http://www.uniprot.org/uniprot/M5WHT4","M5WHT4")</f>
        <v>M5WHT4</v>
      </c>
      <c r="D17701" s="2" t="s">
        <v>13833</v>
      </c>
      <c r="E17701" s="3">
        <v>1.01E-97</v>
      </c>
      <c r="F17701" s="2">
        <v>770</v>
      </c>
      <c r="G17701" s="2">
        <v>98</v>
      </c>
      <c r="H17701" s="2">
        <v>154</v>
      </c>
      <c r="I17701" s="2">
        <v>124</v>
      </c>
      <c r="J17701" s="2">
        <v>585</v>
      </c>
      <c r="K17701" s="2">
        <v>1</v>
      </c>
      <c r="L17701" s="2">
        <v>154</v>
      </c>
    </row>
    <row r="17702" spans="1:12" x14ac:dyDescent="0.25">
      <c r="A17702" s="4" t="str">
        <f>HYPERLINK("http://www.rosaceae.org/Prunus/Prunus_persica/p.persica_gdr_reftransV1_0018894","p.persica_gdr_reftransV1_0018894")</f>
        <v>p.persica_gdr_reftransV1_0018894</v>
      </c>
      <c r="B17702" s="2">
        <v>1383</v>
      </c>
      <c r="C17702" s="4" t="str">
        <f>HYPERLINK("http://www.uniprot.org/uniprot/M5XUE4","M5XUE4")</f>
        <v>M5XUE4</v>
      </c>
      <c r="D17702" s="2" t="s">
        <v>13834</v>
      </c>
      <c r="E17702" s="3">
        <v>0</v>
      </c>
      <c r="F17702" s="2">
        <v>1475</v>
      </c>
      <c r="G17702" s="2">
        <v>100</v>
      </c>
      <c r="H17702" s="2">
        <v>298</v>
      </c>
      <c r="I17702" s="2">
        <v>308</v>
      </c>
      <c r="J17702" s="2">
        <v>1201</v>
      </c>
      <c r="K17702" s="2">
        <v>1</v>
      </c>
      <c r="L17702" s="2">
        <v>298</v>
      </c>
    </row>
    <row r="17703" spans="1:12" x14ac:dyDescent="0.25">
      <c r="A17703" s="4" t="str">
        <f>HYPERLINK("http://www.rosaceae.org/Prunus/Prunus_persica/p.persica_gdr_reftransV1_0019594","p.persica_gdr_reftransV1_0019594")</f>
        <v>p.persica_gdr_reftransV1_0019594</v>
      </c>
      <c r="B17703" s="2">
        <v>2934</v>
      </c>
      <c r="C17703" s="4" t="str">
        <f>HYPERLINK("http://www.uniprot.org/uniprot/M5X8I9","M5X8I9")</f>
        <v>M5X8I9</v>
      </c>
      <c r="D17703" s="2" t="s">
        <v>3764</v>
      </c>
      <c r="E17703" s="3">
        <v>0</v>
      </c>
      <c r="F17703" s="2">
        <v>3962</v>
      </c>
      <c r="G17703" s="2">
        <v>100</v>
      </c>
      <c r="H17703" s="2">
        <v>820</v>
      </c>
      <c r="I17703" s="2">
        <v>1</v>
      </c>
      <c r="J17703" s="2">
        <v>2460</v>
      </c>
      <c r="K17703" s="2">
        <v>400</v>
      </c>
      <c r="L17703" s="2">
        <v>1219</v>
      </c>
    </row>
    <row r="17704" spans="1:12" x14ac:dyDescent="0.25">
      <c r="A17704" s="4" t="str">
        <f>HYPERLINK("http://www.rosaceae.org/Prunus/Prunus_persica/p.persica_gdr_reftransV1_0019944","p.persica_gdr_reftransV1_0019944")</f>
        <v>p.persica_gdr_reftransV1_0019944</v>
      </c>
      <c r="B17704" s="2">
        <v>445</v>
      </c>
      <c r="C17704" s="4" t="str">
        <f>HYPERLINK("http://www.uniprot.org/uniprot/M5XZ16","M5XZ16")</f>
        <v>M5XZ16</v>
      </c>
      <c r="D17704" s="2" t="s">
        <v>1097</v>
      </c>
      <c r="E17704" s="3">
        <v>8.3900000000000004E-7</v>
      </c>
      <c r="F17704" s="2">
        <v>115</v>
      </c>
      <c r="G17704" s="2">
        <v>66</v>
      </c>
      <c r="H17704" s="2">
        <v>38</v>
      </c>
      <c r="I17704" s="2">
        <v>286</v>
      </c>
      <c r="J17704" s="2">
        <v>399</v>
      </c>
      <c r="K17704" s="2">
        <v>11</v>
      </c>
      <c r="L17704" s="2">
        <v>48</v>
      </c>
    </row>
    <row r="17705" spans="1:12" x14ac:dyDescent="0.25">
      <c r="A17705" s="4" t="str">
        <f>HYPERLINK("http://www.rosaceae.org/Prunus/Prunus_persica/p.persica_gdr_reftransV1_0020644","p.persica_gdr_reftransV1_0020644")</f>
        <v>p.persica_gdr_reftransV1_0020644</v>
      </c>
      <c r="B17705" s="2">
        <v>4494</v>
      </c>
      <c r="C17705" s="4" t="str">
        <f>HYPERLINK("http://www.uniprot.org/uniprot/M5XQS1","M5XQS1")</f>
        <v>M5XQS1</v>
      </c>
      <c r="D17705" s="2" t="s">
        <v>1640</v>
      </c>
      <c r="E17705" s="3">
        <v>4.54E-65</v>
      </c>
      <c r="F17705" s="2">
        <v>609</v>
      </c>
      <c r="G17705" s="2">
        <v>98</v>
      </c>
      <c r="H17705" s="2">
        <v>112</v>
      </c>
      <c r="I17705" s="2">
        <v>548</v>
      </c>
      <c r="J17705" s="2">
        <v>883</v>
      </c>
      <c r="K17705" s="2">
        <v>306</v>
      </c>
      <c r="L17705" s="2">
        <v>417</v>
      </c>
    </row>
    <row r="17706" spans="1:12" x14ac:dyDescent="0.25">
      <c r="A17706" s="4" t="str">
        <f>HYPERLINK("http://www.rosaceae.org/Prunus/Prunus_persica/p.persica_gdr_reftransV1_0020994","p.persica_gdr_reftransV1_0020994")</f>
        <v>p.persica_gdr_reftransV1_0020994</v>
      </c>
      <c r="B17706" s="2">
        <v>1325</v>
      </c>
      <c r="C17706" s="4" t="str">
        <f>HYPERLINK("http://www.uniprot.org/uniprot/M5VS72","M5VS72")</f>
        <v>M5VS72</v>
      </c>
      <c r="D17706" s="2" t="s">
        <v>13835</v>
      </c>
      <c r="E17706" s="3">
        <v>0</v>
      </c>
      <c r="F17706" s="2">
        <v>1827</v>
      </c>
      <c r="G17706" s="2">
        <v>100</v>
      </c>
      <c r="H17706" s="2">
        <v>380</v>
      </c>
      <c r="I17706" s="2">
        <v>129</v>
      </c>
      <c r="J17706" s="2">
        <v>1268</v>
      </c>
      <c r="K17706" s="2">
        <v>1</v>
      </c>
      <c r="L17706" s="2">
        <v>380</v>
      </c>
    </row>
    <row r="17707" spans="1:12" x14ac:dyDescent="0.25">
      <c r="A17707" s="4" t="str">
        <f>HYPERLINK("http://www.rosaceae.org/Prunus/Prunus_persica/p.persica_gdr_reftransV1_0021694","p.persica_gdr_reftransV1_0021694")</f>
        <v>p.persica_gdr_reftransV1_0021694</v>
      </c>
      <c r="B17707" s="2">
        <v>5937</v>
      </c>
      <c r="C17707" s="4" t="str">
        <f>HYPERLINK("http://www.uniprot.org/uniprot/U5XKZ4","U5XKZ4")</f>
        <v>U5XKZ4</v>
      </c>
      <c r="D17707" s="2" t="s">
        <v>10396</v>
      </c>
      <c r="E17707" s="3">
        <v>2.2700000000000001E-126</v>
      </c>
      <c r="F17707" s="2">
        <v>1073</v>
      </c>
      <c r="G17707" s="2">
        <v>99</v>
      </c>
      <c r="H17707" s="2">
        <v>210</v>
      </c>
      <c r="I17707" s="2">
        <v>5306</v>
      </c>
      <c r="J17707" s="2">
        <v>5935</v>
      </c>
      <c r="K17707" s="2">
        <v>236</v>
      </c>
      <c r="L17707" s="2">
        <v>445</v>
      </c>
    </row>
    <row r="17708" spans="1:12" x14ac:dyDescent="0.25">
      <c r="A17708" s="4" t="str">
        <f>HYPERLINK("http://www.rosaceae.org/Prunus/Prunus_persica/p.persica_gdr_reftransV1_0022744","p.persica_gdr_reftransV1_0022744")</f>
        <v>p.persica_gdr_reftransV1_0022744</v>
      </c>
      <c r="B17708" s="2">
        <v>461</v>
      </c>
      <c r="C17708" s="4" t="str">
        <f>HYPERLINK("http://www.uniprot.org/uniprot/M5WJU0","M5WJU0")</f>
        <v>M5WJU0</v>
      </c>
      <c r="D17708" s="2" t="s">
        <v>13836</v>
      </c>
      <c r="E17708" s="3">
        <v>4.3699999999999998E-106</v>
      </c>
      <c r="F17708" s="2">
        <v>803</v>
      </c>
      <c r="G17708" s="2">
        <v>100</v>
      </c>
      <c r="H17708" s="2">
        <v>153</v>
      </c>
      <c r="I17708" s="2">
        <v>2</v>
      </c>
      <c r="J17708" s="2">
        <v>460</v>
      </c>
      <c r="K17708" s="2">
        <v>3</v>
      </c>
      <c r="L17708" s="2">
        <v>155</v>
      </c>
    </row>
    <row r="17709" spans="1:12" x14ac:dyDescent="0.25">
      <c r="A17709" s="4" t="str">
        <f>HYPERLINK("http://www.rosaceae.org/Prunus/Prunus_persica/p.persica_gdr_reftransV1_0023094","p.persica_gdr_reftransV1_0023094")</f>
        <v>p.persica_gdr_reftransV1_0023094</v>
      </c>
      <c r="B17709" s="2">
        <v>2631</v>
      </c>
      <c r="C17709" s="4" t="str">
        <f>HYPERLINK("http://www.uniprot.org/uniprot/M5XGB5","M5XGB5")</f>
        <v>M5XGB5</v>
      </c>
      <c r="D17709" s="2" t="s">
        <v>13837</v>
      </c>
      <c r="E17709" s="3">
        <v>0</v>
      </c>
      <c r="F17709" s="2">
        <v>1851</v>
      </c>
      <c r="G17709" s="2">
        <v>100</v>
      </c>
      <c r="H17709" s="2">
        <v>350</v>
      </c>
      <c r="I17709" s="2">
        <v>540</v>
      </c>
      <c r="J17709" s="2">
        <v>1589</v>
      </c>
      <c r="K17709" s="2">
        <v>1</v>
      </c>
      <c r="L17709" s="2">
        <v>350</v>
      </c>
    </row>
    <row r="17710" spans="1:12" x14ac:dyDescent="0.25">
      <c r="A17710" s="4" t="str">
        <f>HYPERLINK("http://www.rosaceae.org/Prunus/Prunus_persica/p.persica_gdr_reftransV1_0023444","p.persica_gdr_reftransV1_0023444")</f>
        <v>p.persica_gdr_reftransV1_0023444</v>
      </c>
      <c r="B17710" s="2">
        <v>1332</v>
      </c>
      <c r="C17710" s="4" t="str">
        <f>HYPERLINK("http://www.uniprot.org/uniprot/M5VR96","M5VR96")</f>
        <v>M5VR96</v>
      </c>
      <c r="D17710" s="2" t="s">
        <v>10639</v>
      </c>
      <c r="E17710" s="3">
        <v>7.5600000000000001E-76</v>
      </c>
      <c r="F17710" s="2">
        <v>628</v>
      </c>
      <c r="G17710" s="2">
        <v>98</v>
      </c>
      <c r="H17710" s="2">
        <v>144</v>
      </c>
      <c r="I17710" s="2">
        <v>134</v>
      </c>
      <c r="J17710" s="2">
        <v>565</v>
      </c>
      <c r="K17710" s="2">
        <v>1</v>
      </c>
      <c r="L17710" s="2">
        <v>144</v>
      </c>
    </row>
    <row r="17711" spans="1:12" x14ac:dyDescent="0.25">
      <c r="A17711" s="4" t="str">
        <f>HYPERLINK("http://www.rosaceae.org/Prunus/Prunus_persica/p.persica_gdr_reftransV1_0025194","p.persica_gdr_reftransV1_0025194")</f>
        <v>p.persica_gdr_reftransV1_0025194</v>
      </c>
      <c r="B17711" s="2">
        <v>2862</v>
      </c>
      <c r="C17711" s="4" t="str">
        <f>HYPERLINK("http://www.uniprot.org/uniprot/V4URE3","V4URE3")</f>
        <v>V4URE3</v>
      </c>
      <c r="D17711" s="2" t="s">
        <v>9591</v>
      </c>
      <c r="E17711" s="3">
        <v>0</v>
      </c>
      <c r="F17711" s="2">
        <v>1595</v>
      </c>
      <c r="G17711" s="2">
        <v>47</v>
      </c>
      <c r="H17711" s="2">
        <v>708</v>
      </c>
      <c r="I17711" s="2">
        <v>408</v>
      </c>
      <c r="J17711" s="2">
        <v>2498</v>
      </c>
      <c r="K17711" s="2">
        <v>9</v>
      </c>
      <c r="L17711" s="2">
        <v>665</v>
      </c>
    </row>
    <row r="17712" spans="1:12" x14ac:dyDescent="0.25">
      <c r="A17712" s="4" t="str">
        <f>HYPERLINK("http://www.rosaceae.org/Prunus/Prunus_persica/p.persica_gdr_reftransV1_0026594","p.persica_gdr_reftransV1_0026594")</f>
        <v>p.persica_gdr_reftransV1_0026594</v>
      </c>
      <c r="B17712" s="2">
        <v>1357</v>
      </c>
      <c r="C17712" s="4" t="str">
        <f>HYPERLINK("http://www.uniprot.org/uniprot/M5XS20","M5XS20")</f>
        <v>M5XS20</v>
      </c>
      <c r="D17712" s="2" t="s">
        <v>13838</v>
      </c>
      <c r="E17712" s="3">
        <v>0</v>
      </c>
      <c r="F17712" s="2">
        <v>1561</v>
      </c>
      <c r="G17712" s="2">
        <v>100</v>
      </c>
      <c r="H17712" s="2">
        <v>310</v>
      </c>
      <c r="I17712" s="2">
        <v>84</v>
      </c>
      <c r="J17712" s="2">
        <v>1013</v>
      </c>
      <c r="K17712" s="2">
        <v>1</v>
      </c>
      <c r="L17712" s="2">
        <v>310</v>
      </c>
    </row>
    <row r="17713" spans="1:12" x14ac:dyDescent="0.25">
      <c r="A17713" s="4" t="str">
        <f>HYPERLINK("http://www.rosaceae.org/Prunus/Prunus_persica/p.persica_gdr_reftransV1_0026944","p.persica_gdr_reftransV1_0026944")</f>
        <v>p.persica_gdr_reftransV1_0026944</v>
      </c>
      <c r="B17713" s="2">
        <v>1722</v>
      </c>
      <c r="C17713" s="4" t="str">
        <f>HYPERLINK("http://www.uniprot.org/uniprot/M5W9Z6","M5W9Z6")</f>
        <v>M5W9Z6</v>
      </c>
      <c r="D17713" s="2" t="s">
        <v>13839</v>
      </c>
      <c r="E17713" s="3">
        <v>6.0499999999999998E-88</v>
      </c>
      <c r="F17713" s="2">
        <v>729</v>
      </c>
      <c r="G17713" s="2">
        <v>81</v>
      </c>
      <c r="H17713" s="2">
        <v>176</v>
      </c>
      <c r="I17713" s="2">
        <v>98</v>
      </c>
      <c r="J17713" s="2">
        <v>625</v>
      </c>
      <c r="K17713" s="2">
        <v>1</v>
      </c>
      <c r="L17713" s="2">
        <v>142</v>
      </c>
    </row>
    <row r="17714" spans="1:12" x14ac:dyDescent="0.25">
      <c r="A17714" s="4" t="str">
        <f>HYPERLINK("http://www.rosaceae.org/Prunus/Prunus_persica/p.persica_gdr_reftransV1_0029744","p.persica_gdr_reftransV1_0029744")</f>
        <v>p.persica_gdr_reftransV1_0029744</v>
      </c>
      <c r="B17714" s="2">
        <v>4546</v>
      </c>
      <c r="C17714" s="4" t="str">
        <f>HYPERLINK("http://www.uniprot.org/uniprot/M5VQ31","M5VQ31")</f>
        <v>M5VQ31</v>
      </c>
      <c r="D17714" s="2" t="s">
        <v>13840</v>
      </c>
      <c r="E17714" s="3">
        <v>0</v>
      </c>
      <c r="F17714" s="2">
        <v>1078</v>
      </c>
      <c r="G17714" s="2">
        <v>90</v>
      </c>
      <c r="H17714" s="2">
        <v>234</v>
      </c>
      <c r="I17714" s="2">
        <v>732</v>
      </c>
      <c r="J17714" s="2">
        <v>1433</v>
      </c>
      <c r="K17714" s="2">
        <v>143</v>
      </c>
      <c r="L17714" s="2">
        <v>372</v>
      </c>
    </row>
    <row r="17715" spans="1:12" x14ac:dyDescent="0.25">
      <c r="A17715" s="4" t="str">
        <f>HYPERLINK("http://www.rosaceae.org/Prunus/Prunus_persica/p.persica_gdr_reftransV1_0030094","p.persica_gdr_reftransV1_0030094")</f>
        <v>p.persica_gdr_reftransV1_0030094</v>
      </c>
      <c r="B17715" s="2">
        <v>3456</v>
      </c>
      <c r="C17715" s="4" t="str">
        <f>HYPERLINK("http://www.uniprot.org/uniprot/W9RYB6","W9RYB6")</f>
        <v>W9RYB6</v>
      </c>
      <c r="D17715" s="2" t="s">
        <v>13841</v>
      </c>
      <c r="E17715" s="3">
        <v>0</v>
      </c>
      <c r="F17715" s="2">
        <v>1557</v>
      </c>
      <c r="G17715" s="2">
        <v>72</v>
      </c>
      <c r="H17715" s="2">
        <v>465</v>
      </c>
      <c r="I17715" s="2">
        <v>1049</v>
      </c>
      <c r="J17715" s="2">
        <v>2437</v>
      </c>
      <c r="K17715" s="2">
        <v>289</v>
      </c>
      <c r="L17715" s="2">
        <v>681</v>
      </c>
    </row>
    <row r="17716" spans="1:12" x14ac:dyDescent="0.25">
      <c r="A17716" s="4" t="str">
        <f>HYPERLINK("http://www.rosaceae.org/Prunus/Prunus_persica/p.persica_gdr_reftransV1_0031494","p.persica_gdr_reftransV1_0031494")</f>
        <v>p.persica_gdr_reftransV1_0031494</v>
      </c>
      <c r="B17716" s="2">
        <v>1453</v>
      </c>
      <c r="C17716" s="4" t="str">
        <f>HYPERLINK("http://www.uniprot.org/uniprot/M5W2T6","M5W2T6")</f>
        <v>M5W2T6</v>
      </c>
      <c r="D17716" s="2" t="s">
        <v>13842</v>
      </c>
      <c r="E17716" s="3">
        <v>2.54E-157</v>
      </c>
      <c r="F17716" s="2">
        <v>1146</v>
      </c>
      <c r="G17716" s="2">
        <v>95</v>
      </c>
      <c r="H17716" s="2">
        <v>246</v>
      </c>
      <c r="I17716" s="2">
        <v>242</v>
      </c>
      <c r="J17716" s="2">
        <v>979</v>
      </c>
      <c r="K17716" s="2">
        <v>1</v>
      </c>
      <c r="L17716" s="2">
        <v>237</v>
      </c>
    </row>
    <row r="17717" spans="1:12" x14ac:dyDescent="0.25">
      <c r="A17717" s="4" t="str">
        <f>HYPERLINK("http://www.rosaceae.org/Prunus/Prunus_persica/p.persica_gdr_reftransV1_0032894","p.persica_gdr_reftransV1_0032894")</f>
        <v>p.persica_gdr_reftransV1_0032894</v>
      </c>
      <c r="B17717" s="2">
        <v>2288</v>
      </c>
      <c r="C17717" s="4" t="str">
        <f>HYPERLINK("http://www.uniprot.org/uniprot/M5WPF8","M5WPF8")</f>
        <v>M5WPF8</v>
      </c>
      <c r="D17717" s="2" t="s">
        <v>13843</v>
      </c>
      <c r="E17717" s="3">
        <v>0</v>
      </c>
      <c r="F17717" s="2">
        <v>2388</v>
      </c>
      <c r="G17717" s="2">
        <v>83</v>
      </c>
      <c r="H17717" s="2">
        <v>580</v>
      </c>
      <c r="I17717" s="2">
        <v>90</v>
      </c>
      <c r="J17717" s="2">
        <v>1823</v>
      </c>
      <c r="K17717" s="2">
        <v>1</v>
      </c>
      <c r="L17717" s="2">
        <v>549</v>
      </c>
    </row>
    <row r="17718" spans="1:12" x14ac:dyDescent="0.25">
      <c r="A17718" s="4" t="str">
        <f>HYPERLINK("http://www.rosaceae.org/Prunus/Prunus_persica/p.persica_gdr_reftransV1_0033594","p.persica_gdr_reftransV1_0033594")</f>
        <v>p.persica_gdr_reftransV1_0033594</v>
      </c>
      <c r="B17718" s="2">
        <v>2594</v>
      </c>
      <c r="C17718" s="4" t="str">
        <f>HYPERLINK("http://www.uniprot.org/uniprot/M5W7H1","M5W7H1")</f>
        <v>M5W7H1</v>
      </c>
      <c r="D17718" s="2" t="s">
        <v>13844</v>
      </c>
      <c r="E17718" s="3">
        <v>0</v>
      </c>
      <c r="F17718" s="2">
        <v>1854</v>
      </c>
      <c r="G17718" s="2">
        <v>100</v>
      </c>
      <c r="H17718" s="2">
        <v>345</v>
      </c>
      <c r="I17718" s="2">
        <v>1215</v>
      </c>
      <c r="J17718" s="2">
        <v>2249</v>
      </c>
      <c r="K17718" s="2">
        <v>499</v>
      </c>
      <c r="L17718" s="2">
        <v>843</v>
      </c>
    </row>
    <row r="17719" spans="1:12" x14ac:dyDescent="0.25">
      <c r="A17719" s="4" t="str">
        <f>HYPERLINK("http://www.rosaceae.org/Prunus/Prunus_persica/p.persica_gdr_reftransV1_0034994","p.persica_gdr_reftransV1_0034994")</f>
        <v>p.persica_gdr_reftransV1_0034994</v>
      </c>
      <c r="B17719" s="2">
        <v>592</v>
      </c>
      <c r="C17719" s="4" t="str">
        <f>HYPERLINK("http://www.uniprot.org/uniprot/M5X0D7","M5X0D7")</f>
        <v>M5X0D7</v>
      </c>
      <c r="D17719" s="2" t="s">
        <v>1815</v>
      </c>
      <c r="E17719" s="3">
        <v>1.3300000000000001E-62</v>
      </c>
      <c r="F17719" s="2">
        <v>536</v>
      </c>
      <c r="G17719" s="2">
        <v>100</v>
      </c>
      <c r="H17719" s="2">
        <v>103</v>
      </c>
      <c r="I17719" s="2">
        <v>4</v>
      </c>
      <c r="J17719" s="2">
        <v>312</v>
      </c>
      <c r="K17719" s="2">
        <v>315</v>
      </c>
      <c r="L17719" s="2">
        <v>417</v>
      </c>
    </row>
    <row r="17720" spans="1:12" x14ac:dyDescent="0.25">
      <c r="A17720" s="4" t="str">
        <f>HYPERLINK("http://www.rosaceae.org/Prunus/Prunus_persica/p.persica_gdr_reftransV1_0036044","p.persica_gdr_reftransV1_0036044")</f>
        <v>p.persica_gdr_reftransV1_0036044</v>
      </c>
      <c r="B17720" s="2">
        <v>336</v>
      </c>
      <c r="C17720" s="4" t="str">
        <f>HYPERLINK("http://www.uniprot.org/uniprot/M5WHH4","M5WHH4")</f>
        <v>M5WHH4</v>
      </c>
      <c r="D17720" s="2" t="s">
        <v>9295</v>
      </c>
      <c r="E17720" s="3">
        <v>2.0000000000000001E-22</v>
      </c>
      <c r="F17720" s="2">
        <v>245</v>
      </c>
      <c r="G17720" s="2">
        <v>100</v>
      </c>
      <c r="H17720" s="2">
        <v>64</v>
      </c>
      <c r="I17720" s="2">
        <v>89</v>
      </c>
      <c r="J17720" s="2">
        <v>280</v>
      </c>
      <c r="K17720" s="2">
        <v>1</v>
      </c>
      <c r="L17720" s="2">
        <v>64</v>
      </c>
    </row>
    <row r="17721" spans="1:12" x14ac:dyDescent="0.25">
      <c r="A17721" s="4" t="str">
        <f>HYPERLINK("http://www.rosaceae.org/Prunus/Prunus_persica/p.persica_gdr_reftransV1_0037794","p.persica_gdr_reftransV1_0037794")</f>
        <v>p.persica_gdr_reftransV1_0037794</v>
      </c>
      <c r="B17721" s="2">
        <v>779</v>
      </c>
      <c r="C17721" s="4" t="str">
        <f>HYPERLINK("http://www.uniprot.org/uniprot/M5WPB4","M5WPB4")</f>
        <v>M5WPB4</v>
      </c>
      <c r="D17721" s="2" t="s">
        <v>6160</v>
      </c>
      <c r="E17721" s="3">
        <v>1.2900000000000001E-159</v>
      </c>
      <c r="F17721" s="2">
        <v>1193</v>
      </c>
      <c r="G17721" s="2">
        <v>100</v>
      </c>
      <c r="H17721" s="2">
        <v>243</v>
      </c>
      <c r="I17721" s="2">
        <v>1</v>
      </c>
      <c r="J17721" s="2">
        <v>729</v>
      </c>
      <c r="K17721" s="2">
        <v>1</v>
      </c>
      <c r="L17721" s="2">
        <v>243</v>
      </c>
    </row>
    <row r="17722" spans="1:12" x14ac:dyDescent="0.25">
      <c r="A17722" s="4" t="str">
        <f>HYPERLINK("http://www.rosaceae.org/Prunus/Prunus_persica/p.persica_gdr_reftransV1_0038494","p.persica_gdr_reftransV1_0038494")</f>
        <v>p.persica_gdr_reftransV1_0038494</v>
      </c>
      <c r="B17722" s="2">
        <v>2098</v>
      </c>
      <c r="C17722" s="4" t="str">
        <f>HYPERLINK("http://www.uniprot.org/uniprot/M5X816","M5X816")</f>
        <v>M5X816</v>
      </c>
      <c r="D17722" s="2" t="s">
        <v>11195</v>
      </c>
      <c r="E17722" s="3">
        <v>0</v>
      </c>
      <c r="F17722" s="2">
        <v>1442</v>
      </c>
      <c r="G17722" s="2">
        <v>100</v>
      </c>
      <c r="H17722" s="2">
        <v>266</v>
      </c>
      <c r="I17722" s="2">
        <v>246</v>
      </c>
      <c r="J17722" s="2">
        <v>1043</v>
      </c>
      <c r="K17722" s="2">
        <v>1</v>
      </c>
      <c r="L17722" s="2">
        <v>266</v>
      </c>
    </row>
    <row r="17723" spans="1:12" x14ac:dyDescent="0.25">
      <c r="A17723" s="4" t="str">
        <f>HYPERLINK("http://www.rosaceae.org/Prunus/Prunus_persica/p.persica_gdr_reftransV1_0039194","p.persica_gdr_reftransV1_0039194")</f>
        <v>p.persica_gdr_reftransV1_0039194</v>
      </c>
      <c r="B17723" s="2">
        <v>3119</v>
      </c>
      <c r="C17723" s="4" t="str">
        <f>HYPERLINK("http://www.uniprot.org/uniprot/M5VJ40","M5VJ40")</f>
        <v>M5VJ40</v>
      </c>
      <c r="D17723" s="2" t="s">
        <v>13845</v>
      </c>
      <c r="E17723" s="3">
        <v>0</v>
      </c>
      <c r="F17723" s="2">
        <v>2295</v>
      </c>
      <c r="G17723" s="2">
        <v>100</v>
      </c>
      <c r="H17723" s="2">
        <v>429</v>
      </c>
      <c r="I17723" s="2">
        <v>86</v>
      </c>
      <c r="J17723" s="2">
        <v>1372</v>
      </c>
      <c r="K17723" s="2">
        <v>1</v>
      </c>
      <c r="L17723" s="2">
        <v>429</v>
      </c>
    </row>
    <row r="17724" spans="1:12" x14ac:dyDescent="0.25">
      <c r="A17724" s="4" t="str">
        <f>HYPERLINK("http://www.rosaceae.org/Prunus/Prunus_persica/p.persica_gdr_reftransV1_0039544","p.persica_gdr_reftransV1_0039544")</f>
        <v>p.persica_gdr_reftransV1_0039544</v>
      </c>
      <c r="B17724" s="2">
        <v>1849</v>
      </c>
      <c r="C17724" s="4" t="str">
        <f>HYPERLINK("http://www.uniprot.org/uniprot/M5X050","M5X050")</f>
        <v>M5X050</v>
      </c>
      <c r="D17724" s="2" t="s">
        <v>13846</v>
      </c>
      <c r="E17724" s="3">
        <v>6.1799999999999996E-175</v>
      </c>
      <c r="F17724" s="2">
        <v>1325</v>
      </c>
      <c r="G17724" s="2">
        <v>100</v>
      </c>
      <c r="H17724" s="2">
        <v>354</v>
      </c>
      <c r="I17724" s="2">
        <v>621</v>
      </c>
      <c r="J17724" s="2">
        <v>1682</v>
      </c>
      <c r="K17724" s="2">
        <v>25</v>
      </c>
      <c r="L17724" s="2">
        <v>378</v>
      </c>
    </row>
    <row r="17725" spans="1:12" x14ac:dyDescent="0.25">
      <c r="A17725" s="4" t="str">
        <f>HYPERLINK("http://www.rosaceae.org/Prunus/Prunus_persica/p.persica_gdr_reftransV1_0039894","p.persica_gdr_reftransV1_0039894")</f>
        <v>p.persica_gdr_reftransV1_0039894</v>
      </c>
      <c r="B17725" s="2">
        <v>1069</v>
      </c>
      <c r="C17725" s="4" t="str">
        <f>HYPERLINK("http://www.uniprot.org/uniprot/M5XHQ1","M5XHQ1")</f>
        <v>M5XHQ1</v>
      </c>
      <c r="D17725" s="2" t="s">
        <v>13847</v>
      </c>
      <c r="E17725" s="3">
        <v>5.1100000000000003E-90</v>
      </c>
      <c r="F17725" s="2">
        <v>710</v>
      </c>
      <c r="G17725" s="2">
        <v>100</v>
      </c>
      <c r="H17725" s="2">
        <v>134</v>
      </c>
      <c r="I17725" s="2">
        <v>510</v>
      </c>
      <c r="J17725" s="2">
        <v>911</v>
      </c>
      <c r="K17725" s="2">
        <v>1</v>
      </c>
      <c r="L17725" s="2">
        <v>134</v>
      </c>
    </row>
    <row r="17726" spans="1:12" x14ac:dyDescent="0.25">
      <c r="A17726" s="4" t="str">
        <f>HYPERLINK("http://www.rosaceae.org/Prunus/Prunus_persica/p.persica_gdr_reftransV1_0040944","p.persica_gdr_reftransV1_0040944")</f>
        <v>p.persica_gdr_reftransV1_0040944</v>
      </c>
      <c r="B17726" s="2">
        <v>1775</v>
      </c>
      <c r="C17726" s="4" t="str">
        <f>HYPERLINK("http://www.uniprot.org/uniprot/M5XS34","M5XS34")</f>
        <v>M5XS34</v>
      </c>
      <c r="D17726" s="2" t="s">
        <v>13848</v>
      </c>
      <c r="E17726" s="3">
        <v>0</v>
      </c>
      <c r="F17726" s="2">
        <v>1461</v>
      </c>
      <c r="G17726" s="2">
        <v>100</v>
      </c>
      <c r="H17726" s="2">
        <v>294</v>
      </c>
      <c r="I17726" s="2">
        <v>295</v>
      </c>
      <c r="J17726" s="2">
        <v>1176</v>
      </c>
      <c r="K17726" s="2">
        <v>1</v>
      </c>
      <c r="L17726" s="2">
        <v>294</v>
      </c>
    </row>
    <row r="17727" spans="1:12" x14ac:dyDescent="0.25">
      <c r="A17727" s="4" t="str">
        <f>HYPERLINK("http://www.rosaceae.org/Prunus/Prunus_persica/p.persica_gdr_reftransV1_0041294","p.persica_gdr_reftransV1_0041294")</f>
        <v>p.persica_gdr_reftransV1_0041294</v>
      </c>
      <c r="B17727" s="2">
        <v>1340</v>
      </c>
      <c r="C17727" s="4" t="str">
        <f>HYPERLINK("http://www.uniprot.org/uniprot/M5W9Y8","M5W9Y8")</f>
        <v>M5W9Y8</v>
      </c>
      <c r="D17727" s="2" t="s">
        <v>5511</v>
      </c>
      <c r="E17727" s="3">
        <v>3.2500000000000001E-169</v>
      </c>
      <c r="F17727" s="2">
        <v>1260</v>
      </c>
      <c r="G17727" s="2">
        <v>100</v>
      </c>
      <c r="H17727" s="2">
        <v>235</v>
      </c>
      <c r="I17727" s="2">
        <v>47</v>
      </c>
      <c r="J17727" s="2">
        <v>751</v>
      </c>
      <c r="K17727" s="2">
        <v>1</v>
      </c>
      <c r="L17727" s="2">
        <v>235</v>
      </c>
    </row>
    <row r="17728" spans="1:12" x14ac:dyDescent="0.25">
      <c r="A17728" s="4" t="str">
        <f>HYPERLINK("http://www.rosaceae.org/Prunus/Prunus_persica/p.persica_gdr_reftransV1_0041994","p.persica_gdr_reftransV1_0041994")</f>
        <v>p.persica_gdr_reftransV1_0041994</v>
      </c>
      <c r="B17728" s="2">
        <v>2014</v>
      </c>
      <c r="C17728" s="4" t="str">
        <f>HYPERLINK("http://www.uniprot.org/uniprot/M5W9M2","M5W9M2")</f>
        <v>M5W9M2</v>
      </c>
      <c r="D17728" s="2" t="s">
        <v>13849</v>
      </c>
      <c r="E17728" s="3">
        <v>8.8300000000000005E-169</v>
      </c>
      <c r="F17728" s="2">
        <v>1281</v>
      </c>
      <c r="G17728" s="2">
        <v>99</v>
      </c>
      <c r="H17728" s="2">
        <v>329</v>
      </c>
      <c r="I17728" s="2">
        <v>805</v>
      </c>
      <c r="J17728" s="2">
        <v>1788</v>
      </c>
      <c r="K17728" s="2">
        <v>1</v>
      </c>
      <c r="L17728" s="2">
        <v>329</v>
      </c>
    </row>
    <row r="17729" spans="1:12" x14ac:dyDescent="0.25">
      <c r="A17729" s="4" t="str">
        <f>HYPERLINK("http://www.rosaceae.org/Prunus/Prunus_persica/p.persica_gdr_reftransV1_0043044","p.persica_gdr_reftransV1_0043044")</f>
        <v>p.persica_gdr_reftransV1_0043044</v>
      </c>
      <c r="B17729" s="2">
        <v>529</v>
      </c>
      <c r="C17729" s="4" t="str">
        <f>HYPERLINK("http://www.uniprot.org/uniprot/M5XAZ5","M5XAZ5")</f>
        <v>M5XAZ5</v>
      </c>
      <c r="D17729" s="2" t="s">
        <v>6805</v>
      </c>
      <c r="E17729" s="3">
        <v>4.6700000000000001E-61</v>
      </c>
      <c r="F17729" s="2">
        <v>530</v>
      </c>
      <c r="G17729" s="2">
        <v>94</v>
      </c>
      <c r="H17729" s="2">
        <v>156</v>
      </c>
      <c r="I17729" s="2">
        <v>3</v>
      </c>
      <c r="J17729" s="2">
        <v>470</v>
      </c>
      <c r="K17729" s="2">
        <v>106</v>
      </c>
      <c r="L17729" s="2">
        <v>261</v>
      </c>
    </row>
    <row r="17730" spans="1:12" x14ac:dyDescent="0.25">
      <c r="A17730" s="4" t="str">
        <f>HYPERLINK("http://www.rosaceae.org/Prunus/Prunus_persica/p.persica_gdr_reftransV1_0043394","p.persica_gdr_reftransV1_0043394")</f>
        <v>p.persica_gdr_reftransV1_0043394</v>
      </c>
      <c r="B17730" s="2">
        <v>824</v>
      </c>
      <c r="C17730" s="4" t="str">
        <f>HYPERLINK("http://www.uniprot.org/uniprot/M5XJ63","M5XJ63")</f>
        <v>M5XJ63</v>
      </c>
      <c r="D17730" s="2" t="s">
        <v>13731</v>
      </c>
      <c r="E17730" s="3">
        <v>7.8499999999999995E-111</v>
      </c>
      <c r="F17730" s="2">
        <v>867</v>
      </c>
      <c r="G17730" s="2">
        <v>99</v>
      </c>
      <c r="H17730" s="2">
        <v>202</v>
      </c>
      <c r="I17730" s="2">
        <v>218</v>
      </c>
      <c r="J17730" s="2">
        <v>823</v>
      </c>
      <c r="K17730" s="2">
        <v>223</v>
      </c>
      <c r="L17730" s="2">
        <v>424</v>
      </c>
    </row>
    <row r="17731" spans="1:12" x14ac:dyDescent="0.25">
      <c r="A17731" s="4" t="str">
        <f>HYPERLINK("http://www.rosaceae.org/Prunus/Prunus_persica/p.persica_gdr_reftransV1_0043744","p.persica_gdr_reftransV1_0043744")</f>
        <v>p.persica_gdr_reftransV1_0043744</v>
      </c>
      <c r="B17731" s="2">
        <v>1056</v>
      </c>
      <c r="C17731" s="4" t="str">
        <f>HYPERLINK("http://www.uniprot.org/uniprot/M5W3D3","M5W3D3")</f>
        <v>M5W3D3</v>
      </c>
      <c r="D17731" s="2" t="s">
        <v>274</v>
      </c>
      <c r="E17731" s="3">
        <v>0</v>
      </c>
      <c r="F17731" s="2">
        <v>1371</v>
      </c>
      <c r="G17731" s="2">
        <v>92</v>
      </c>
      <c r="H17731" s="2">
        <v>273</v>
      </c>
      <c r="I17731" s="2">
        <v>2</v>
      </c>
      <c r="J17731" s="2">
        <v>820</v>
      </c>
      <c r="K17731" s="2">
        <v>400</v>
      </c>
      <c r="L17731" s="2">
        <v>672</v>
      </c>
    </row>
    <row r="17732" spans="1:12" x14ac:dyDescent="0.25">
      <c r="A17732" s="4" t="str">
        <f>HYPERLINK("http://www.rosaceae.org/Prunus/Prunus_persica/p.persica_gdr_reftransV1_0044094","p.persica_gdr_reftransV1_0044094")</f>
        <v>p.persica_gdr_reftransV1_0044094</v>
      </c>
      <c r="B17732" s="2">
        <v>617</v>
      </c>
      <c r="C17732" s="4" t="str">
        <f>HYPERLINK("http://www.uniprot.org/uniprot/M5W732","M5W732")</f>
        <v>M5W732</v>
      </c>
      <c r="D17732" s="2" t="s">
        <v>6998</v>
      </c>
      <c r="E17732" s="3">
        <v>6.4100000000000002E-140</v>
      </c>
      <c r="F17732" s="2">
        <v>1068</v>
      </c>
      <c r="G17732" s="2">
        <v>99</v>
      </c>
      <c r="H17732" s="2">
        <v>205</v>
      </c>
      <c r="I17732" s="2">
        <v>1</v>
      </c>
      <c r="J17732" s="2">
        <v>615</v>
      </c>
      <c r="K17732" s="2">
        <v>58</v>
      </c>
      <c r="L17732" s="2">
        <v>262</v>
      </c>
    </row>
    <row r="17733" spans="1:12" x14ac:dyDescent="0.25">
      <c r="A17733" s="4" t="str">
        <f>HYPERLINK("http://www.rosaceae.org/Prunus/Prunus_persica/p.persica_gdr_reftransV1_0045144","p.persica_gdr_reftransV1_0045144")</f>
        <v>p.persica_gdr_reftransV1_0045144</v>
      </c>
      <c r="B17733" s="2">
        <v>1266</v>
      </c>
      <c r="C17733" s="4" t="str">
        <f>HYPERLINK("http://www.uniprot.org/uniprot/M5XT12","M5XT12")</f>
        <v>M5XT12</v>
      </c>
      <c r="D17733" s="2" t="s">
        <v>1013</v>
      </c>
      <c r="E17733" s="3">
        <v>3.6300000000000002E-111</v>
      </c>
      <c r="F17733" s="2">
        <v>862</v>
      </c>
      <c r="G17733" s="2">
        <v>100</v>
      </c>
      <c r="H17733" s="2">
        <v>192</v>
      </c>
      <c r="I17733" s="2">
        <v>638</v>
      </c>
      <c r="J17733" s="2">
        <v>1213</v>
      </c>
      <c r="K17733" s="2">
        <v>1</v>
      </c>
      <c r="L17733" s="2">
        <v>192</v>
      </c>
    </row>
    <row r="17734" spans="1:12" x14ac:dyDescent="0.25">
      <c r="A17734" s="4" t="str">
        <f>HYPERLINK("http://www.rosaceae.org/Prunus/Prunus_persica/p.persica_gdr_reftransV1_0046194","p.persica_gdr_reftransV1_0046194")</f>
        <v>p.persica_gdr_reftransV1_0046194</v>
      </c>
      <c r="B17734" s="2">
        <v>1310</v>
      </c>
      <c r="C17734" s="4" t="str">
        <f>HYPERLINK("http://www.uniprot.org/uniprot/Q7XJE8","Q7XJE8")</f>
        <v>Q7XJE8</v>
      </c>
      <c r="D17734" s="2" t="s">
        <v>13850</v>
      </c>
      <c r="E17734" s="3">
        <v>0</v>
      </c>
      <c r="F17734" s="2">
        <v>1479</v>
      </c>
      <c r="G17734" s="2">
        <v>94</v>
      </c>
      <c r="H17734" s="2">
        <v>329</v>
      </c>
      <c r="I17734" s="2">
        <v>323</v>
      </c>
      <c r="J17734" s="2">
        <v>1309</v>
      </c>
      <c r="K17734" s="2">
        <v>233</v>
      </c>
      <c r="L17734" s="2">
        <v>558</v>
      </c>
    </row>
    <row r="17735" spans="1:12" x14ac:dyDescent="0.25">
      <c r="A17735" s="4" t="str">
        <f>HYPERLINK("http://www.rosaceae.org/Prunus/Prunus_persica/p.persica_gdr_reftransV1_0046544","p.persica_gdr_reftransV1_0046544")</f>
        <v>p.persica_gdr_reftransV1_0046544</v>
      </c>
      <c r="B17735" s="2">
        <v>1020</v>
      </c>
      <c r="C17735" s="4" t="str">
        <f>HYPERLINK("http://www.uniprot.org/uniprot/M5WUQ0","M5WUQ0")</f>
        <v>M5WUQ0</v>
      </c>
      <c r="D17735" s="2" t="s">
        <v>13851</v>
      </c>
      <c r="E17735" s="3">
        <v>0</v>
      </c>
      <c r="F17735" s="2">
        <v>1386</v>
      </c>
      <c r="G17735" s="2">
        <v>100</v>
      </c>
      <c r="H17735" s="2">
        <v>265</v>
      </c>
      <c r="I17735" s="2">
        <v>156</v>
      </c>
      <c r="J17735" s="2">
        <v>950</v>
      </c>
      <c r="K17735" s="2">
        <v>1</v>
      </c>
      <c r="L17735" s="2">
        <v>265</v>
      </c>
    </row>
    <row r="17736" spans="1:12" x14ac:dyDescent="0.25">
      <c r="A17736" s="4" t="str">
        <f>HYPERLINK("http://www.rosaceae.org/Prunus/Prunus_persica/p.persica_gdr_reftransV1_0046894","p.persica_gdr_reftransV1_0046894")</f>
        <v>p.persica_gdr_reftransV1_0046894</v>
      </c>
      <c r="B17736" s="2">
        <v>632</v>
      </c>
      <c r="C17736" s="4" t="str">
        <f>HYPERLINK("http://www.uniprot.org/uniprot/M5VJE0","M5VJE0")</f>
        <v>M5VJE0</v>
      </c>
      <c r="D17736" s="2" t="s">
        <v>13852</v>
      </c>
      <c r="E17736" s="3">
        <v>1.7300000000000001E-111</v>
      </c>
      <c r="F17736" s="2">
        <v>839</v>
      </c>
      <c r="G17736" s="2">
        <v>100</v>
      </c>
      <c r="H17736" s="2">
        <v>157</v>
      </c>
      <c r="I17736" s="2">
        <v>102</v>
      </c>
      <c r="J17736" s="2">
        <v>572</v>
      </c>
      <c r="K17736" s="2">
        <v>1</v>
      </c>
      <c r="L17736" s="2">
        <v>157</v>
      </c>
    </row>
    <row r="17737" spans="1:12" x14ac:dyDescent="0.25">
      <c r="A17737" s="4" t="str">
        <f>HYPERLINK("http://www.rosaceae.org/Prunus/Prunus_persica/p.persica_gdr_reftransV1_0047244","p.persica_gdr_reftransV1_0047244")</f>
        <v>p.persica_gdr_reftransV1_0047244</v>
      </c>
      <c r="B17737" s="2">
        <v>717</v>
      </c>
      <c r="C17737" s="4" t="str">
        <f>HYPERLINK("http://www.uniprot.org/uniprot/M5WPG7","M5WPG7")</f>
        <v>M5WPG7</v>
      </c>
      <c r="D17737" s="2" t="s">
        <v>10421</v>
      </c>
      <c r="E17737" s="3">
        <v>1.33E-90</v>
      </c>
      <c r="F17737" s="2">
        <v>732</v>
      </c>
      <c r="G17737" s="2">
        <v>100</v>
      </c>
      <c r="H17737" s="2">
        <v>135</v>
      </c>
      <c r="I17737" s="2">
        <v>2</v>
      </c>
      <c r="J17737" s="2">
        <v>406</v>
      </c>
      <c r="K17737" s="2">
        <v>335</v>
      </c>
      <c r="L17737" s="2">
        <v>469</v>
      </c>
    </row>
    <row r="17738" spans="1:12" x14ac:dyDescent="0.25">
      <c r="A17738" s="4" t="str">
        <f>HYPERLINK("http://www.rosaceae.org/Prunus/Prunus_persica/p.persica_gdr_reftransV1_0047594","p.persica_gdr_reftransV1_0047594")</f>
        <v>p.persica_gdr_reftransV1_0047594</v>
      </c>
      <c r="B17738" s="2">
        <v>1282</v>
      </c>
      <c r="C17738" s="4" t="str">
        <f>HYPERLINK("http://www.uniprot.org/uniprot/M5XQV5","M5XQV5")</f>
        <v>M5XQV5</v>
      </c>
      <c r="D17738" s="2" t="s">
        <v>6822</v>
      </c>
      <c r="E17738" s="3">
        <v>8.7699999999999997E-108</v>
      </c>
      <c r="F17738" s="2">
        <v>855</v>
      </c>
      <c r="G17738" s="2">
        <v>100</v>
      </c>
      <c r="H17738" s="2">
        <v>195</v>
      </c>
      <c r="I17738" s="2">
        <v>638</v>
      </c>
      <c r="J17738" s="2">
        <v>1222</v>
      </c>
      <c r="K17738" s="2">
        <v>1</v>
      </c>
      <c r="L17738" s="2">
        <v>195</v>
      </c>
    </row>
    <row r="17739" spans="1:12" x14ac:dyDescent="0.25">
      <c r="A17739" s="4" t="str">
        <f>HYPERLINK("http://www.rosaceae.org/Prunus/Prunus_persica/p.persica_gdr_reftransV1_0047944","p.persica_gdr_reftransV1_0047944")</f>
        <v>p.persica_gdr_reftransV1_0047944</v>
      </c>
      <c r="B17739" s="2">
        <v>3259</v>
      </c>
      <c r="C17739" s="4" t="str">
        <f>HYPERLINK("http://www.uniprot.org/uniprot/M5XJU5","M5XJU5")</f>
        <v>M5XJU5</v>
      </c>
      <c r="D17739" s="2" t="s">
        <v>3182</v>
      </c>
      <c r="E17739" s="3">
        <v>0</v>
      </c>
      <c r="F17739" s="2">
        <v>5060</v>
      </c>
      <c r="G17739" s="2">
        <v>100</v>
      </c>
      <c r="H17739" s="2">
        <v>967</v>
      </c>
      <c r="I17739" s="2">
        <v>3</v>
      </c>
      <c r="J17739" s="2">
        <v>2903</v>
      </c>
      <c r="K17739" s="2">
        <v>179</v>
      </c>
      <c r="L17739" s="2">
        <v>1145</v>
      </c>
    </row>
    <row r="17740" spans="1:12" x14ac:dyDescent="0.25">
      <c r="A17740" s="4" t="str">
        <f>HYPERLINK("http://www.rosaceae.org/Prunus/Prunus_persica/p.persica_gdr_reftransV1_0048294","p.persica_gdr_reftransV1_0048294")</f>
        <v>p.persica_gdr_reftransV1_0048294</v>
      </c>
      <c r="B17740" s="2">
        <v>1583</v>
      </c>
      <c r="C17740" s="4" t="str">
        <f>HYPERLINK("http://www.uniprot.org/uniprot/M5VVS7","M5VVS7")</f>
        <v>M5VVS7</v>
      </c>
      <c r="D17740" s="2" t="s">
        <v>855</v>
      </c>
      <c r="E17740" s="3">
        <v>0</v>
      </c>
      <c r="F17740" s="2">
        <v>1854</v>
      </c>
      <c r="G17740" s="2">
        <v>100</v>
      </c>
      <c r="H17740" s="2">
        <v>451</v>
      </c>
      <c r="I17740" s="2">
        <v>2</v>
      </c>
      <c r="J17740" s="2">
        <v>1354</v>
      </c>
      <c r="K17740" s="2">
        <v>14</v>
      </c>
      <c r="L17740" s="2">
        <v>464</v>
      </c>
    </row>
    <row r="17741" spans="1:12" x14ac:dyDescent="0.25">
      <c r="A17741" s="4" t="str">
        <f>HYPERLINK("http://www.rosaceae.org/Prunus/Prunus_persica/p.persica_gdr_reftransV1_0048644","p.persica_gdr_reftransV1_0048644")</f>
        <v>p.persica_gdr_reftransV1_0048644</v>
      </c>
      <c r="B17741" s="2">
        <v>831</v>
      </c>
      <c r="C17741" s="4" t="str">
        <f>HYPERLINK("http://www.uniprot.org/uniprot/M5W5B9","M5W5B9")</f>
        <v>M5W5B9</v>
      </c>
      <c r="D17741" s="2" t="s">
        <v>2837</v>
      </c>
      <c r="E17741" s="3">
        <v>2.15E-128</v>
      </c>
      <c r="F17741" s="2">
        <v>1015</v>
      </c>
      <c r="G17741" s="2">
        <v>100</v>
      </c>
      <c r="H17741" s="2">
        <v>206</v>
      </c>
      <c r="I17741" s="2">
        <v>2</v>
      </c>
      <c r="J17741" s="2">
        <v>619</v>
      </c>
      <c r="K17741" s="2">
        <v>1</v>
      </c>
      <c r="L17741" s="2">
        <v>206</v>
      </c>
    </row>
    <row r="17742" spans="1:12" x14ac:dyDescent="0.25">
      <c r="A17742" s="4" t="str">
        <f>HYPERLINK("http://www.rosaceae.org/Prunus/Prunus_persica/p.persica_gdr_reftransV1_0048994","p.persica_gdr_reftransV1_0048994")</f>
        <v>p.persica_gdr_reftransV1_0048994</v>
      </c>
      <c r="B17742" s="2">
        <v>3903</v>
      </c>
      <c r="C17742" s="4" t="str">
        <f>HYPERLINK("http://www.uniprot.org/uniprot/M5VVF7","M5VVF7")</f>
        <v>M5VVF7</v>
      </c>
      <c r="D17742" s="2" t="s">
        <v>11703</v>
      </c>
      <c r="E17742" s="3">
        <v>0</v>
      </c>
      <c r="F17742" s="2">
        <v>5015</v>
      </c>
      <c r="G17742" s="2">
        <v>100</v>
      </c>
      <c r="H17742" s="2">
        <v>964</v>
      </c>
      <c r="I17742" s="2">
        <v>313</v>
      </c>
      <c r="J17742" s="2">
        <v>3204</v>
      </c>
      <c r="K17742" s="2">
        <v>1</v>
      </c>
      <c r="L17742" s="2">
        <v>964</v>
      </c>
    </row>
    <row r="17743" spans="1:12" x14ac:dyDescent="0.25">
      <c r="A17743" s="4" t="str">
        <f>HYPERLINK("http://www.rosaceae.org/Prunus/Prunus_persica/p.persica_gdr_reftransV1_0000695","p.persica_gdr_reftransV1_0000695")</f>
        <v>p.persica_gdr_reftransV1_0000695</v>
      </c>
      <c r="B17743" s="2">
        <v>2275</v>
      </c>
      <c r="C17743" s="4" t="str">
        <f>HYPERLINK("http://www.uniprot.org/uniprot/M5XEW3","M5XEW3")</f>
        <v>M5XEW3</v>
      </c>
      <c r="D17743" s="2" t="s">
        <v>13853</v>
      </c>
      <c r="E17743" s="3">
        <v>0</v>
      </c>
      <c r="F17743" s="2">
        <v>1951</v>
      </c>
      <c r="G17743" s="2">
        <v>100</v>
      </c>
      <c r="H17743" s="2">
        <v>378</v>
      </c>
      <c r="I17743" s="2">
        <v>837</v>
      </c>
      <c r="J17743" s="2">
        <v>1970</v>
      </c>
      <c r="K17743" s="2">
        <v>132</v>
      </c>
      <c r="L17743" s="2">
        <v>509</v>
      </c>
    </row>
    <row r="17744" spans="1:12" x14ac:dyDescent="0.25">
      <c r="A17744" s="4" t="str">
        <f>HYPERLINK("http://www.rosaceae.org/Prunus/Prunus_persica/p.persica_gdr_reftransV1_0001045","p.persica_gdr_reftransV1_0001045")</f>
        <v>p.persica_gdr_reftransV1_0001045</v>
      </c>
      <c r="B17744" s="2">
        <v>1175</v>
      </c>
      <c r="C17744" s="4" t="str">
        <f>HYPERLINK("http://www.uniprot.org/uniprot/M5XMK0","M5XMK0")</f>
        <v>M5XMK0</v>
      </c>
      <c r="D17744" s="2" t="s">
        <v>7710</v>
      </c>
      <c r="E17744" s="3">
        <v>2.6899999999999999E-66</v>
      </c>
      <c r="F17744" s="2">
        <v>553</v>
      </c>
      <c r="G17744" s="2">
        <v>100</v>
      </c>
      <c r="H17744" s="2">
        <v>105</v>
      </c>
      <c r="I17744" s="2">
        <v>179</v>
      </c>
      <c r="J17744" s="2">
        <v>493</v>
      </c>
      <c r="K17744" s="2">
        <v>1</v>
      </c>
      <c r="L17744" s="2">
        <v>105</v>
      </c>
    </row>
    <row r="17745" spans="1:12" x14ac:dyDescent="0.25">
      <c r="A17745" s="4" t="str">
        <f>HYPERLINK("http://www.rosaceae.org/Prunus/Prunus_persica/p.persica_gdr_reftransV1_0001395","p.persica_gdr_reftransV1_0001395")</f>
        <v>p.persica_gdr_reftransV1_0001395</v>
      </c>
      <c r="B17745" s="2">
        <v>857</v>
      </c>
      <c r="C17745" s="4" t="str">
        <f>HYPERLINK("http://www.uniprot.org/uniprot/M5VP10","M5VP10")</f>
        <v>M5VP10</v>
      </c>
      <c r="D17745" s="2" t="s">
        <v>10254</v>
      </c>
      <c r="E17745" s="3">
        <v>1.06E-125</v>
      </c>
      <c r="F17745" s="2">
        <v>1025</v>
      </c>
      <c r="G17745" s="2">
        <v>100</v>
      </c>
      <c r="H17745" s="2">
        <v>237</v>
      </c>
      <c r="I17745" s="2">
        <v>146</v>
      </c>
      <c r="J17745" s="2">
        <v>856</v>
      </c>
      <c r="K17745" s="2">
        <v>1</v>
      </c>
      <c r="L17745" s="2">
        <v>237</v>
      </c>
    </row>
    <row r="17746" spans="1:12" x14ac:dyDescent="0.25">
      <c r="A17746" s="4" t="str">
        <f>HYPERLINK("http://www.rosaceae.org/Prunus/Prunus_persica/p.persica_gdr_reftransV1_0002095","p.persica_gdr_reftransV1_0002095")</f>
        <v>p.persica_gdr_reftransV1_0002095</v>
      </c>
      <c r="B17746" s="2">
        <v>907</v>
      </c>
      <c r="C17746" s="4" t="str">
        <f>HYPERLINK("http://www.uniprot.org/uniprot/M5WX51","M5WX51")</f>
        <v>M5WX51</v>
      </c>
      <c r="D17746" s="2" t="s">
        <v>8023</v>
      </c>
      <c r="E17746" s="3">
        <v>0</v>
      </c>
      <c r="F17746" s="2">
        <v>1624</v>
      </c>
      <c r="G17746" s="2">
        <v>100</v>
      </c>
      <c r="H17746" s="2">
        <v>301</v>
      </c>
      <c r="I17746" s="2">
        <v>3</v>
      </c>
      <c r="J17746" s="2">
        <v>905</v>
      </c>
      <c r="K17746" s="2">
        <v>45</v>
      </c>
      <c r="L17746" s="2">
        <v>345</v>
      </c>
    </row>
    <row r="17747" spans="1:12" x14ac:dyDescent="0.25">
      <c r="A17747" s="4" t="str">
        <f>HYPERLINK("http://www.rosaceae.org/Prunus/Prunus_persica/p.persica_gdr_reftransV1_0002445","p.persica_gdr_reftransV1_0002445")</f>
        <v>p.persica_gdr_reftransV1_0002445</v>
      </c>
      <c r="B17747" s="2">
        <v>900</v>
      </c>
      <c r="C17747" s="4" t="str">
        <f>HYPERLINK("http://www.uniprot.org/uniprot/M5WSD7","M5WSD7")</f>
        <v>M5WSD7</v>
      </c>
      <c r="D17747" s="2" t="s">
        <v>11543</v>
      </c>
      <c r="E17747" s="3">
        <v>3.8099999999999998E-81</v>
      </c>
      <c r="F17747" s="2">
        <v>668</v>
      </c>
      <c r="G17747" s="2">
        <v>96</v>
      </c>
      <c r="H17747" s="2">
        <v>148</v>
      </c>
      <c r="I17747" s="2">
        <v>126</v>
      </c>
      <c r="J17747" s="2">
        <v>569</v>
      </c>
      <c r="K17747" s="2">
        <v>222</v>
      </c>
      <c r="L17747" s="2">
        <v>369</v>
      </c>
    </row>
    <row r="17748" spans="1:12" x14ac:dyDescent="0.25">
      <c r="A17748" s="4" t="str">
        <f>HYPERLINK("http://www.rosaceae.org/Prunus/Prunus_persica/p.persica_gdr_reftransV1_0003145","p.persica_gdr_reftransV1_0003145")</f>
        <v>p.persica_gdr_reftransV1_0003145</v>
      </c>
      <c r="B17748" s="2">
        <v>1140</v>
      </c>
      <c r="C17748" s="4" t="str">
        <f>HYPERLINK("http://www.uniprot.org/uniprot/A0A0B2NPD2","A0A0B2NPD2")</f>
        <v>A0A0B2NPD2</v>
      </c>
      <c r="D17748" s="2" t="s">
        <v>10994</v>
      </c>
      <c r="E17748" s="3">
        <v>2.1400000000000002E-161</v>
      </c>
      <c r="F17748" s="2">
        <v>1194</v>
      </c>
      <c r="G17748" s="2">
        <v>97</v>
      </c>
      <c r="H17748" s="2">
        <v>232</v>
      </c>
      <c r="I17748" s="2">
        <v>159</v>
      </c>
      <c r="J17748" s="2">
        <v>854</v>
      </c>
      <c r="K17748" s="2">
        <v>1</v>
      </c>
      <c r="L17748" s="2">
        <v>232</v>
      </c>
    </row>
    <row r="17749" spans="1:12" x14ac:dyDescent="0.25">
      <c r="A17749" s="4" t="str">
        <f>HYPERLINK("http://www.rosaceae.org/Prunus/Prunus_persica/p.persica_gdr_reftransV1_0004195","p.persica_gdr_reftransV1_0004195")</f>
        <v>p.persica_gdr_reftransV1_0004195</v>
      </c>
      <c r="B17749" s="2">
        <v>381</v>
      </c>
      <c r="C17749" s="4" t="str">
        <f>HYPERLINK("http://www.uniprot.org/uniprot/A0A0C4DMX0","A0A0C4DMX0")</f>
        <v>A0A0C4DMX0</v>
      </c>
      <c r="D17749" s="2" t="s">
        <v>13854</v>
      </c>
      <c r="E17749" s="3">
        <v>2.9999999999999999E-81</v>
      </c>
      <c r="F17749" s="2">
        <v>652</v>
      </c>
      <c r="G17749" s="2">
        <v>100</v>
      </c>
      <c r="H17749" s="2">
        <v>126</v>
      </c>
      <c r="I17749" s="2">
        <v>2</v>
      </c>
      <c r="J17749" s="2">
        <v>379</v>
      </c>
      <c r="K17749" s="2">
        <v>130</v>
      </c>
      <c r="L17749" s="2">
        <v>255</v>
      </c>
    </row>
    <row r="17750" spans="1:12" x14ac:dyDescent="0.25">
      <c r="A17750" s="4" t="str">
        <f>HYPERLINK("http://www.rosaceae.org/Prunus/Prunus_persica/p.persica_gdr_reftransV1_0004545","p.persica_gdr_reftransV1_0004545")</f>
        <v>p.persica_gdr_reftransV1_0004545</v>
      </c>
      <c r="B17750" s="2">
        <v>450</v>
      </c>
      <c r="C17750" s="4" t="str">
        <f>HYPERLINK("http://www.uniprot.org/uniprot/M5W8I0","M5W8I0")</f>
        <v>M5W8I0</v>
      </c>
      <c r="D17750" s="2" t="s">
        <v>617</v>
      </c>
      <c r="E17750" s="3">
        <v>3.3399999999999998E-96</v>
      </c>
      <c r="F17750" s="2">
        <v>790</v>
      </c>
      <c r="G17750" s="2">
        <v>100</v>
      </c>
      <c r="H17750" s="2">
        <v>149</v>
      </c>
      <c r="I17750" s="2">
        <v>2</v>
      </c>
      <c r="J17750" s="2">
        <v>448</v>
      </c>
      <c r="K17750" s="2">
        <v>384</v>
      </c>
      <c r="L17750" s="2">
        <v>532</v>
      </c>
    </row>
    <row r="17751" spans="1:12" x14ac:dyDescent="0.25">
      <c r="A17751" s="4" t="str">
        <f>HYPERLINK("http://www.rosaceae.org/Prunus/Prunus_persica/p.persica_gdr_reftransV1_0005245","p.persica_gdr_reftransV1_0005245")</f>
        <v>p.persica_gdr_reftransV1_0005245</v>
      </c>
      <c r="B17751" s="2">
        <v>480</v>
      </c>
      <c r="C17751" s="4" t="str">
        <f>HYPERLINK("http://www.uniprot.org/uniprot/M5XJM7","M5XJM7")</f>
        <v>M5XJM7</v>
      </c>
      <c r="D17751" s="2" t="s">
        <v>13855</v>
      </c>
      <c r="E17751" s="3">
        <v>9.3300000000000005E-46</v>
      </c>
      <c r="F17751" s="2">
        <v>393</v>
      </c>
      <c r="G17751" s="2">
        <v>95</v>
      </c>
      <c r="H17751" s="2">
        <v>81</v>
      </c>
      <c r="I17751" s="2">
        <v>163</v>
      </c>
      <c r="J17751" s="2">
        <v>405</v>
      </c>
      <c r="K17751" s="2">
        <v>3</v>
      </c>
      <c r="L17751" s="2">
        <v>83</v>
      </c>
    </row>
    <row r="17752" spans="1:12" x14ac:dyDescent="0.25">
      <c r="A17752" s="4" t="str">
        <f>HYPERLINK("http://www.rosaceae.org/Prunus/Prunus_persica/p.persica_gdr_reftransV1_0005595","p.persica_gdr_reftransV1_0005595")</f>
        <v>p.persica_gdr_reftransV1_0005595</v>
      </c>
      <c r="B17752" s="2">
        <v>721</v>
      </c>
      <c r="C17752" s="4" t="str">
        <f>HYPERLINK("http://www.uniprot.org/uniprot/M5X8Y5","M5X8Y5")</f>
        <v>M5X8Y5</v>
      </c>
      <c r="D17752" s="2" t="s">
        <v>12146</v>
      </c>
      <c r="E17752" s="3">
        <v>2.3199999999999999E-80</v>
      </c>
      <c r="F17752" s="2">
        <v>683</v>
      </c>
      <c r="G17752" s="2">
        <v>92</v>
      </c>
      <c r="H17752" s="2">
        <v>137</v>
      </c>
      <c r="I17752" s="2">
        <v>311</v>
      </c>
      <c r="J17752" s="2">
        <v>721</v>
      </c>
      <c r="K17752" s="2">
        <v>1</v>
      </c>
      <c r="L17752" s="2">
        <v>137</v>
      </c>
    </row>
    <row r="17753" spans="1:12" x14ac:dyDescent="0.25">
      <c r="A17753" s="4" t="str">
        <f>HYPERLINK("http://www.rosaceae.org/Prunus/Prunus_persica/p.persica_gdr_reftransV1_0006295","p.persica_gdr_reftransV1_0006295")</f>
        <v>p.persica_gdr_reftransV1_0006295</v>
      </c>
      <c r="B17753" s="2">
        <v>735</v>
      </c>
      <c r="C17753" s="4" t="str">
        <f>HYPERLINK("http://www.uniprot.org/uniprot/M5WGA1","M5WGA1")</f>
        <v>M5WGA1</v>
      </c>
      <c r="D17753" s="2" t="s">
        <v>12053</v>
      </c>
      <c r="E17753" s="3">
        <v>3.91E-107</v>
      </c>
      <c r="F17753" s="2">
        <v>849</v>
      </c>
      <c r="G17753" s="2">
        <v>100</v>
      </c>
      <c r="H17753" s="2">
        <v>185</v>
      </c>
      <c r="I17753" s="2">
        <v>181</v>
      </c>
      <c r="J17753" s="2">
        <v>735</v>
      </c>
      <c r="K17753" s="2">
        <v>23</v>
      </c>
      <c r="L17753" s="2">
        <v>207</v>
      </c>
    </row>
    <row r="17754" spans="1:12" x14ac:dyDescent="0.25">
      <c r="A17754" s="4" t="str">
        <f>HYPERLINK("http://www.rosaceae.org/Prunus/Prunus_persica/p.persica_gdr_reftransV1_0006645","p.persica_gdr_reftransV1_0006645")</f>
        <v>p.persica_gdr_reftransV1_0006645</v>
      </c>
      <c r="B17754" s="2">
        <v>884</v>
      </c>
      <c r="C17754" s="4" t="str">
        <f>HYPERLINK("http://www.uniprot.org/uniprot/M5VU37","M5VU37")</f>
        <v>M5VU37</v>
      </c>
      <c r="D17754" s="2" t="s">
        <v>7632</v>
      </c>
      <c r="E17754" s="3">
        <v>2.1900000000000001E-106</v>
      </c>
      <c r="F17754" s="2">
        <v>851</v>
      </c>
      <c r="G17754" s="2">
        <v>100</v>
      </c>
      <c r="H17754" s="2">
        <v>179</v>
      </c>
      <c r="I17754" s="2">
        <v>3</v>
      </c>
      <c r="J17754" s="2">
        <v>539</v>
      </c>
      <c r="K17754" s="2">
        <v>377</v>
      </c>
      <c r="L17754" s="2">
        <v>555</v>
      </c>
    </row>
    <row r="17755" spans="1:12" x14ac:dyDescent="0.25">
      <c r="A17755" s="4" t="str">
        <f>HYPERLINK("http://www.rosaceae.org/Prunus/Prunus_persica/p.persica_gdr_reftransV1_0006995","p.persica_gdr_reftransV1_0006995")</f>
        <v>p.persica_gdr_reftransV1_0006995</v>
      </c>
      <c r="B17755" s="2">
        <v>1568</v>
      </c>
      <c r="C17755" s="4" t="str">
        <f>HYPERLINK("http://www.uniprot.org/uniprot/O24249","O24249")</f>
        <v>O24249</v>
      </c>
      <c r="D17755" s="2" t="s">
        <v>4393</v>
      </c>
      <c r="E17755" s="3">
        <v>0</v>
      </c>
      <c r="F17755" s="2">
        <v>1683</v>
      </c>
      <c r="G17755" s="2">
        <v>84</v>
      </c>
      <c r="H17755" s="2">
        <v>384</v>
      </c>
      <c r="I17755" s="2">
        <v>15</v>
      </c>
      <c r="J17755" s="2">
        <v>1166</v>
      </c>
      <c r="K17755" s="2">
        <v>1</v>
      </c>
      <c r="L17755" s="2">
        <v>354</v>
      </c>
    </row>
    <row r="17756" spans="1:12" x14ac:dyDescent="0.25">
      <c r="A17756" s="4" t="str">
        <f>HYPERLINK("http://www.rosaceae.org/Prunus/Prunus_persica/p.persica_gdr_reftransV1_0007695","p.persica_gdr_reftransV1_0007695")</f>
        <v>p.persica_gdr_reftransV1_0007695</v>
      </c>
      <c r="B17756" s="2">
        <v>1342</v>
      </c>
      <c r="C17756" s="4" t="str">
        <f>HYPERLINK("http://www.uniprot.org/uniprot/A0A078E9G6","A0A078E9G6")</f>
        <v>A0A078E9G6</v>
      </c>
      <c r="D17756" s="2" t="s">
        <v>8854</v>
      </c>
      <c r="E17756" s="3">
        <v>4.6499999999999999E-69</v>
      </c>
      <c r="F17756" s="2">
        <v>582</v>
      </c>
      <c r="G17756" s="2">
        <v>98</v>
      </c>
      <c r="H17756" s="2">
        <v>110</v>
      </c>
      <c r="I17756" s="2">
        <v>248</v>
      </c>
      <c r="J17756" s="2">
        <v>577</v>
      </c>
      <c r="K17756" s="2">
        <v>62</v>
      </c>
      <c r="L17756" s="2">
        <v>171</v>
      </c>
    </row>
    <row r="17757" spans="1:12" x14ac:dyDescent="0.25">
      <c r="A17757" s="4" t="str">
        <f>HYPERLINK("http://www.rosaceae.org/Prunus/Prunus_persica/p.persica_gdr_reftransV1_0008045","p.persica_gdr_reftransV1_0008045")</f>
        <v>p.persica_gdr_reftransV1_0008045</v>
      </c>
      <c r="B17757" s="2">
        <v>846</v>
      </c>
      <c r="C17757" s="4" t="str">
        <f>HYPERLINK("http://www.uniprot.org/uniprot/D7MVM4","D7MVM4")</f>
        <v>D7MVM4</v>
      </c>
      <c r="D17757" s="2" t="s">
        <v>13856</v>
      </c>
      <c r="E17757" s="3">
        <v>2.0500000000000002E-34</v>
      </c>
      <c r="F17757" s="2">
        <v>283</v>
      </c>
      <c r="G17757" s="2">
        <v>93</v>
      </c>
      <c r="H17757" s="2">
        <v>58</v>
      </c>
      <c r="I17757" s="2">
        <v>279</v>
      </c>
      <c r="J17757" s="2">
        <v>452</v>
      </c>
      <c r="K17757" s="2">
        <v>39</v>
      </c>
      <c r="L17757" s="2">
        <v>96</v>
      </c>
    </row>
    <row r="17758" spans="1:12" x14ac:dyDescent="0.25">
      <c r="A17758" s="4" t="str">
        <f>HYPERLINK("http://www.rosaceae.org/Prunus/Prunus_persica/p.persica_gdr_reftransV1_0008745","p.persica_gdr_reftransV1_0008745")</f>
        <v>p.persica_gdr_reftransV1_0008745</v>
      </c>
      <c r="B17758" s="2">
        <v>3741</v>
      </c>
      <c r="C17758" s="4" t="str">
        <f>HYPERLINK("http://www.uniprot.org/uniprot/M5VWU5","M5VWU5")</f>
        <v>M5VWU5</v>
      </c>
      <c r="D17758" s="2" t="s">
        <v>13857</v>
      </c>
      <c r="E17758" s="3">
        <v>0</v>
      </c>
      <c r="F17758" s="2">
        <v>1736</v>
      </c>
      <c r="G17758" s="2">
        <v>100</v>
      </c>
      <c r="H17758" s="2">
        <v>401</v>
      </c>
      <c r="I17758" s="2">
        <v>441</v>
      </c>
      <c r="J17758" s="2">
        <v>1643</v>
      </c>
      <c r="K17758" s="2">
        <v>24</v>
      </c>
      <c r="L17758" s="2">
        <v>424</v>
      </c>
    </row>
    <row r="17759" spans="1:12" x14ac:dyDescent="0.25">
      <c r="A17759" s="4" t="str">
        <f>HYPERLINK("http://www.rosaceae.org/Prunus/Prunus_persica/p.persica_gdr_reftransV1_0009095","p.persica_gdr_reftransV1_0009095")</f>
        <v>p.persica_gdr_reftransV1_0009095</v>
      </c>
      <c r="B17759" s="2">
        <v>1516</v>
      </c>
      <c r="C17759" s="4" t="str">
        <f>HYPERLINK("http://www.uniprot.org/uniprot/M5VGW7","M5VGW7")</f>
        <v>M5VGW7</v>
      </c>
      <c r="D17759" s="2" t="s">
        <v>13812</v>
      </c>
      <c r="E17759" s="3">
        <v>0</v>
      </c>
      <c r="F17759" s="2">
        <v>1462</v>
      </c>
      <c r="G17759" s="2">
        <v>96</v>
      </c>
      <c r="H17759" s="2">
        <v>313</v>
      </c>
      <c r="I17759" s="2">
        <v>320</v>
      </c>
      <c r="J17759" s="2">
        <v>1249</v>
      </c>
      <c r="K17759" s="2">
        <v>1</v>
      </c>
      <c r="L17759" s="2">
        <v>313</v>
      </c>
    </row>
    <row r="17760" spans="1:12" x14ac:dyDescent="0.25">
      <c r="A17760" s="4" t="str">
        <f>HYPERLINK("http://www.rosaceae.org/Prunus/Prunus_persica/p.persica_gdr_reftransV1_0009445","p.persica_gdr_reftransV1_0009445")</f>
        <v>p.persica_gdr_reftransV1_0009445</v>
      </c>
      <c r="B17760" s="2">
        <v>3920</v>
      </c>
      <c r="C17760" s="4" t="str">
        <f>HYPERLINK("http://www.uniprot.org/uniprot/M5XFD8","M5XFD8")</f>
        <v>M5XFD8</v>
      </c>
      <c r="D17760" s="2" t="s">
        <v>13858</v>
      </c>
      <c r="E17760" s="3">
        <v>0</v>
      </c>
      <c r="F17760" s="2">
        <v>1598</v>
      </c>
      <c r="G17760" s="2">
        <v>100</v>
      </c>
      <c r="H17760" s="2">
        <v>296</v>
      </c>
      <c r="I17760" s="2">
        <v>506</v>
      </c>
      <c r="J17760" s="2">
        <v>1393</v>
      </c>
      <c r="K17760" s="2">
        <v>170</v>
      </c>
      <c r="L17760" s="2">
        <v>465</v>
      </c>
    </row>
    <row r="17761" spans="1:12" x14ac:dyDescent="0.25">
      <c r="A17761" s="4" t="str">
        <f>HYPERLINK("http://www.rosaceae.org/Prunus/Prunus_persica/p.persica_gdr_reftransV1_0009795","p.persica_gdr_reftransV1_0009795")</f>
        <v>p.persica_gdr_reftransV1_0009795</v>
      </c>
      <c r="B17761" s="2">
        <v>583</v>
      </c>
      <c r="C17761" s="4" t="str">
        <f>HYPERLINK("http://www.uniprot.org/uniprot/M5XEA9","M5XEA9")</f>
        <v>M5XEA9</v>
      </c>
      <c r="D17761" s="2" t="s">
        <v>2741</v>
      </c>
      <c r="E17761" s="3">
        <v>1.63E-62</v>
      </c>
      <c r="F17761" s="2">
        <v>530</v>
      </c>
      <c r="G17761" s="2">
        <v>100</v>
      </c>
      <c r="H17761" s="2">
        <v>122</v>
      </c>
      <c r="I17761" s="2">
        <v>216</v>
      </c>
      <c r="J17761" s="2">
        <v>581</v>
      </c>
      <c r="K17761" s="2">
        <v>223</v>
      </c>
      <c r="L17761" s="2">
        <v>344</v>
      </c>
    </row>
    <row r="17762" spans="1:12" x14ac:dyDescent="0.25">
      <c r="A17762" s="4" t="str">
        <f>HYPERLINK("http://www.rosaceae.org/Prunus/Prunus_persica/p.persica_gdr_reftransV1_0010145","p.persica_gdr_reftransV1_0010145")</f>
        <v>p.persica_gdr_reftransV1_0010145</v>
      </c>
      <c r="B17762" s="2">
        <v>1873</v>
      </c>
      <c r="C17762" s="4" t="str">
        <f>HYPERLINK("http://www.uniprot.org/uniprot/M5XBQ8","M5XBQ8")</f>
        <v>M5XBQ8</v>
      </c>
      <c r="D17762" s="2" t="s">
        <v>13859</v>
      </c>
      <c r="E17762" s="3">
        <v>0</v>
      </c>
      <c r="F17762" s="2">
        <v>2377</v>
      </c>
      <c r="G17762" s="2">
        <v>100</v>
      </c>
      <c r="H17762" s="2">
        <v>482</v>
      </c>
      <c r="I17762" s="2">
        <v>307</v>
      </c>
      <c r="J17762" s="2">
        <v>1752</v>
      </c>
      <c r="K17762" s="2">
        <v>1</v>
      </c>
      <c r="L17762" s="2">
        <v>482</v>
      </c>
    </row>
    <row r="17763" spans="1:12" x14ac:dyDescent="0.25">
      <c r="A17763" s="4" t="str">
        <f>HYPERLINK("http://www.rosaceae.org/Prunus/Prunus_persica/p.persica_gdr_reftransV1_0010845","p.persica_gdr_reftransV1_0010845")</f>
        <v>p.persica_gdr_reftransV1_0010845</v>
      </c>
      <c r="B17763" s="2">
        <v>505</v>
      </c>
      <c r="C17763" s="4" t="str">
        <f>HYPERLINK("http://www.uniprot.org/uniprot/M5VLL8","M5VLL8")</f>
        <v>M5VLL8</v>
      </c>
      <c r="D17763" s="2" t="s">
        <v>13860</v>
      </c>
      <c r="E17763" s="3">
        <v>1.0499999999999999E-48</v>
      </c>
      <c r="F17763" s="2">
        <v>450</v>
      </c>
      <c r="G17763" s="2">
        <v>99</v>
      </c>
      <c r="H17763" s="2">
        <v>109</v>
      </c>
      <c r="I17763" s="2">
        <v>177</v>
      </c>
      <c r="J17763" s="2">
        <v>503</v>
      </c>
      <c r="K17763" s="2">
        <v>1</v>
      </c>
      <c r="L17763" s="2">
        <v>109</v>
      </c>
    </row>
    <row r="17764" spans="1:12" x14ac:dyDescent="0.25">
      <c r="A17764" s="4" t="str">
        <f>HYPERLINK("http://www.rosaceae.org/Prunus/Prunus_persica/p.persica_gdr_reftransV1_0011545","p.persica_gdr_reftransV1_0011545")</f>
        <v>p.persica_gdr_reftransV1_0011545</v>
      </c>
      <c r="B17764" s="2">
        <v>3470</v>
      </c>
      <c r="C17764" s="4" t="str">
        <f>HYPERLINK("http://www.uniprot.org/uniprot/M5WX60","M5WX60")</f>
        <v>M5WX60</v>
      </c>
      <c r="D17764" s="2" t="s">
        <v>13861</v>
      </c>
      <c r="E17764" s="3">
        <v>0</v>
      </c>
      <c r="F17764" s="2">
        <v>4415</v>
      </c>
      <c r="G17764" s="2">
        <v>100</v>
      </c>
      <c r="H17764" s="2">
        <v>855</v>
      </c>
      <c r="I17764" s="2">
        <v>214</v>
      </c>
      <c r="J17764" s="2">
        <v>2778</v>
      </c>
      <c r="K17764" s="2">
        <v>1</v>
      </c>
      <c r="L17764" s="2">
        <v>855</v>
      </c>
    </row>
    <row r="17765" spans="1:12" x14ac:dyDescent="0.25">
      <c r="A17765" s="4" t="str">
        <f>HYPERLINK("http://www.rosaceae.org/Prunus/Prunus_persica/p.persica_gdr_reftransV1_0013295","p.persica_gdr_reftransV1_0013295")</f>
        <v>p.persica_gdr_reftransV1_0013295</v>
      </c>
      <c r="B17765" s="2">
        <v>961</v>
      </c>
      <c r="C17765" s="4" t="str">
        <f>HYPERLINK("http://www.uniprot.org/uniprot/M5XT48","M5XT48")</f>
        <v>M5XT48</v>
      </c>
      <c r="D17765" s="2" t="s">
        <v>10017</v>
      </c>
      <c r="E17765" s="3">
        <v>1.1300000000000001E-81</v>
      </c>
      <c r="F17765" s="2">
        <v>657</v>
      </c>
      <c r="G17765" s="2">
        <v>100</v>
      </c>
      <c r="H17765" s="2">
        <v>192</v>
      </c>
      <c r="I17765" s="2">
        <v>53</v>
      </c>
      <c r="J17765" s="2">
        <v>628</v>
      </c>
      <c r="K17765" s="2">
        <v>1</v>
      </c>
      <c r="L17765" s="2">
        <v>192</v>
      </c>
    </row>
    <row r="17766" spans="1:12" x14ac:dyDescent="0.25">
      <c r="A17766" s="4" t="str">
        <f>HYPERLINK("http://www.rosaceae.org/Prunus/Prunus_persica/p.persica_gdr_reftransV1_0013995","p.persica_gdr_reftransV1_0013995")</f>
        <v>p.persica_gdr_reftransV1_0013995</v>
      </c>
      <c r="B17766" s="2">
        <v>1099</v>
      </c>
      <c r="C17766" s="4" t="str">
        <f>HYPERLINK("http://www.uniprot.org/uniprot/M5WH96","M5WH96")</f>
        <v>M5WH96</v>
      </c>
      <c r="D17766" s="2" t="s">
        <v>13862</v>
      </c>
      <c r="E17766" s="3">
        <v>5.5199999999999997E-165</v>
      </c>
      <c r="F17766" s="2">
        <v>1216</v>
      </c>
      <c r="G17766" s="2">
        <v>99</v>
      </c>
      <c r="H17766" s="2">
        <v>228</v>
      </c>
      <c r="I17766" s="2">
        <v>193</v>
      </c>
      <c r="J17766" s="2">
        <v>876</v>
      </c>
      <c r="K17766" s="2">
        <v>1</v>
      </c>
      <c r="L17766" s="2">
        <v>228</v>
      </c>
    </row>
    <row r="17767" spans="1:12" x14ac:dyDescent="0.25">
      <c r="A17767" s="4" t="str">
        <f>HYPERLINK("http://www.rosaceae.org/Prunus/Prunus_persica/p.persica_gdr_reftransV1_0014345","p.persica_gdr_reftransV1_0014345")</f>
        <v>p.persica_gdr_reftransV1_0014345</v>
      </c>
      <c r="B17767" s="2">
        <v>2433</v>
      </c>
      <c r="C17767" s="4" t="str">
        <f>HYPERLINK("http://www.uniprot.org/uniprot/M5VJG4","M5VJG4")</f>
        <v>M5VJG4</v>
      </c>
      <c r="D17767" s="2" t="s">
        <v>13863</v>
      </c>
      <c r="E17767" s="3">
        <v>0</v>
      </c>
      <c r="F17767" s="2">
        <v>3173</v>
      </c>
      <c r="G17767" s="2">
        <v>100</v>
      </c>
      <c r="H17767" s="2">
        <v>634</v>
      </c>
      <c r="I17767" s="2">
        <v>453</v>
      </c>
      <c r="J17767" s="2">
        <v>2354</v>
      </c>
      <c r="K17767" s="2">
        <v>1</v>
      </c>
      <c r="L17767" s="2">
        <v>634</v>
      </c>
    </row>
    <row r="17768" spans="1:12" x14ac:dyDescent="0.25">
      <c r="A17768" s="4" t="str">
        <f>HYPERLINK("http://www.rosaceae.org/Prunus/Prunus_persica/p.persica_gdr_reftransV1_0015745","p.persica_gdr_reftransV1_0015745")</f>
        <v>p.persica_gdr_reftransV1_0015745</v>
      </c>
      <c r="B17768" s="2">
        <v>2281</v>
      </c>
      <c r="C17768" s="4" t="str">
        <f>HYPERLINK("http://www.uniprot.org/uniprot/M5VPZ5","M5VPZ5")</f>
        <v>M5VPZ5</v>
      </c>
      <c r="D17768" s="2" t="s">
        <v>12622</v>
      </c>
      <c r="E17768" s="3">
        <v>9.6799999999999996E-177</v>
      </c>
      <c r="F17768" s="2">
        <v>888</v>
      </c>
      <c r="G17768" s="2">
        <v>99</v>
      </c>
      <c r="H17768" s="2">
        <v>165</v>
      </c>
      <c r="I17768" s="2">
        <v>1397</v>
      </c>
      <c r="J17768" s="2">
        <v>1891</v>
      </c>
      <c r="K17768" s="2">
        <v>260</v>
      </c>
      <c r="L17768" s="2">
        <v>424</v>
      </c>
    </row>
    <row r="17769" spans="1:12" x14ac:dyDescent="0.25">
      <c r="A17769" s="4" t="str">
        <f>HYPERLINK("http://www.rosaceae.org/Prunus/Prunus_persica/p.persica_gdr_reftransV1_0016795","p.persica_gdr_reftransV1_0016795")</f>
        <v>p.persica_gdr_reftransV1_0016795</v>
      </c>
      <c r="B17769" s="2">
        <v>848</v>
      </c>
      <c r="C17769" s="4" t="str">
        <f>HYPERLINK("http://www.uniprot.org/uniprot/M5WEQ9","M5WEQ9")</f>
        <v>M5WEQ9</v>
      </c>
      <c r="D17769" s="2" t="s">
        <v>13864</v>
      </c>
      <c r="E17769" s="3">
        <v>0</v>
      </c>
      <c r="F17769" s="2">
        <v>1398</v>
      </c>
      <c r="G17769" s="2">
        <v>95</v>
      </c>
      <c r="H17769" s="2">
        <v>282</v>
      </c>
      <c r="I17769" s="2">
        <v>2</v>
      </c>
      <c r="J17769" s="2">
        <v>847</v>
      </c>
      <c r="K17769" s="2">
        <v>61</v>
      </c>
      <c r="L17769" s="2">
        <v>329</v>
      </c>
    </row>
    <row r="17770" spans="1:12" x14ac:dyDescent="0.25">
      <c r="A17770" s="4" t="str">
        <f>HYPERLINK("http://www.rosaceae.org/Prunus/Prunus_persica/p.persica_gdr_reftransV1_0017145","p.persica_gdr_reftransV1_0017145")</f>
        <v>p.persica_gdr_reftransV1_0017145</v>
      </c>
      <c r="B17770" s="2">
        <v>2506</v>
      </c>
      <c r="C17770" s="4" t="str">
        <f>HYPERLINK("http://www.uniprot.org/uniprot/M5WIS8","M5WIS8")</f>
        <v>M5WIS8</v>
      </c>
      <c r="D17770" s="2" t="s">
        <v>13865</v>
      </c>
      <c r="E17770" s="3">
        <v>1.63E-74</v>
      </c>
      <c r="F17770" s="2">
        <v>648</v>
      </c>
      <c r="G17770" s="2">
        <v>100</v>
      </c>
      <c r="H17770" s="2">
        <v>122</v>
      </c>
      <c r="I17770" s="2">
        <v>1946</v>
      </c>
      <c r="J17770" s="2">
        <v>2311</v>
      </c>
      <c r="K17770" s="2">
        <v>1</v>
      </c>
      <c r="L17770" s="2">
        <v>122</v>
      </c>
    </row>
    <row r="17771" spans="1:12" x14ac:dyDescent="0.25">
      <c r="A17771" s="4" t="str">
        <f>HYPERLINK("http://www.rosaceae.org/Prunus/Prunus_persica/p.persica_gdr_reftransV1_0018195","p.persica_gdr_reftransV1_0018195")</f>
        <v>p.persica_gdr_reftransV1_0018195</v>
      </c>
      <c r="B17771" s="2">
        <v>1609</v>
      </c>
      <c r="C17771" s="4" t="str">
        <f>HYPERLINK("http://www.uniprot.org/uniprot/M5VQV3","M5VQV3")</f>
        <v>M5VQV3</v>
      </c>
      <c r="D17771" s="2" t="s">
        <v>13866</v>
      </c>
      <c r="E17771" s="3">
        <v>1.0299999999999999E-169</v>
      </c>
      <c r="F17771" s="2">
        <v>1266</v>
      </c>
      <c r="G17771" s="2">
        <v>100</v>
      </c>
      <c r="H17771" s="2">
        <v>240</v>
      </c>
      <c r="I17771" s="2">
        <v>739</v>
      </c>
      <c r="J17771" s="2">
        <v>1458</v>
      </c>
      <c r="K17771" s="2">
        <v>1</v>
      </c>
      <c r="L17771" s="2">
        <v>240</v>
      </c>
    </row>
    <row r="17772" spans="1:12" x14ac:dyDescent="0.25">
      <c r="A17772" s="4" t="str">
        <f>HYPERLINK("http://www.rosaceae.org/Prunus/Prunus_persica/p.persica_gdr_reftransV1_0019245","p.persica_gdr_reftransV1_0019245")</f>
        <v>p.persica_gdr_reftransV1_0019245</v>
      </c>
      <c r="B17772" s="2">
        <v>2059</v>
      </c>
      <c r="C17772" s="4" t="str">
        <f>HYPERLINK("http://www.uniprot.org/uniprot/M5X0C3","M5X0C3")</f>
        <v>M5X0C3</v>
      </c>
      <c r="D17772" s="2" t="s">
        <v>13867</v>
      </c>
      <c r="E17772" s="3">
        <v>8.6899999999999993E-139</v>
      </c>
      <c r="F17772" s="2">
        <v>1085</v>
      </c>
      <c r="G17772" s="2">
        <v>100</v>
      </c>
      <c r="H17772" s="2">
        <v>257</v>
      </c>
      <c r="I17772" s="2">
        <v>1174</v>
      </c>
      <c r="J17772" s="2">
        <v>1944</v>
      </c>
      <c r="K17772" s="2">
        <v>1</v>
      </c>
      <c r="L17772" s="2">
        <v>257</v>
      </c>
    </row>
    <row r="17773" spans="1:12" x14ac:dyDescent="0.25">
      <c r="A17773" s="4" t="str">
        <f>HYPERLINK("http://www.rosaceae.org/Prunus/Prunus_persica/p.persica_gdr_reftransV1_0019945","p.persica_gdr_reftransV1_0019945")</f>
        <v>p.persica_gdr_reftransV1_0019945</v>
      </c>
      <c r="B17773" s="2">
        <v>1148</v>
      </c>
      <c r="C17773" s="4" t="str">
        <f>HYPERLINK("http://www.uniprot.org/uniprot/M5XL93","M5XL93")</f>
        <v>M5XL93</v>
      </c>
      <c r="D17773" s="2" t="s">
        <v>13868</v>
      </c>
      <c r="E17773" s="3">
        <v>1.0699999999999999E-65</v>
      </c>
      <c r="F17773" s="2">
        <v>549</v>
      </c>
      <c r="G17773" s="2">
        <v>100</v>
      </c>
      <c r="H17773" s="2">
        <v>118</v>
      </c>
      <c r="I17773" s="2">
        <v>232</v>
      </c>
      <c r="J17773" s="2">
        <v>585</v>
      </c>
      <c r="K17773" s="2">
        <v>1</v>
      </c>
      <c r="L17773" s="2">
        <v>118</v>
      </c>
    </row>
    <row r="17774" spans="1:12" x14ac:dyDescent="0.25">
      <c r="A17774" s="4" t="str">
        <f>HYPERLINK("http://www.rosaceae.org/Prunus/Prunus_persica/p.persica_gdr_reftransV1_0020295","p.persica_gdr_reftransV1_0020295")</f>
        <v>p.persica_gdr_reftransV1_0020295</v>
      </c>
      <c r="B17774" s="2">
        <v>718</v>
      </c>
      <c r="C17774" s="4" t="str">
        <f>HYPERLINK("http://www.uniprot.org/uniprot/M5WWQ3","M5WWQ3")</f>
        <v>M5WWQ3</v>
      </c>
      <c r="D17774" s="2" t="s">
        <v>12771</v>
      </c>
      <c r="E17774" s="3">
        <v>8.0800000000000005E-166</v>
      </c>
      <c r="F17774" s="2">
        <v>1227</v>
      </c>
      <c r="G17774" s="2">
        <v>100</v>
      </c>
      <c r="H17774" s="2">
        <v>224</v>
      </c>
      <c r="I17774" s="2">
        <v>45</v>
      </c>
      <c r="J17774" s="2">
        <v>716</v>
      </c>
      <c r="K17774" s="2">
        <v>1</v>
      </c>
      <c r="L17774" s="2">
        <v>224</v>
      </c>
    </row>
    <row r="17775" spans="1:12" x14ac:dyDescent="0.25">
      <c r="A17775" s="4" t="str">
        <f>HYPERLINK("http://www.rosaceae.org/Prunus/Prunus_persica/p.persica_gdr_reftransV1_0020995","p.persica_gdr_reftransV1_0020995")</f>
        <v>p.persica_gdr_reftransV1_0020995</v>
      </c>
      <c r="B17775" s="2">
        <v>871</v>
      </c>
      <c r="C17775" s="4" t="str">
        <f>HYPERLINK("http://www.uniprot.org/uniprot/M5X1L0","M5X1L0")</f>
        <v>M5X1L0</v>
      </c>
      <c r="D17775" s="2" t="s">
        <v>13869</v>
      </c>
      <c r="E17775" s="3">
        <v>1.6200000000000001E-79</v>
      </c>
      <c r="F17775" s="2">
        <v>633</v>
      </c>
      <c r="G17775" s="2">
        <v>100</v>
      </c>
      <c r="H17775" s="2">
        <v>121</v>
      </c>
      <c r="I17775" s="2">
        <v>336</v>
      </c>
      <c r="J17775" s="2">
        <v>698</v>
      </c>
      <c r="K17775" s="2">
        <v>1</v>
      </c>
      <c r="L17775" s="2">
        <v>121</v>
      </c>
    </row>
    <row r="17776" spans="1:12" x14ac:dyDescent="0.25">
      <c r="A17776" s="4" t="str">
        <f>HYPERLINK("http://www.rosaceae.org/Prunus/Prunus_persica/p.persica_gdr_reftransV1_0022045","p.persica_gdr_reftransV1_0022045")</f>
        <v>p.persica_gdr_reftransV1_0022045</v>
      </c>
      <c r="B17776" s="2">
        <v>1908</v>
      </c>
      <c r="C17776" s="4" t="str">
        <f>HYPERLINK("http://www.uniprot.org/uniprot/M5XQD0","M5XQD0")</f>
        <v>M5XQD0</v>
      </c>
      <c r="D17776" s="2" t="s">
        <v>13870</v>
      </c>
      <c r="E17776" s="3">
        <v>0</v>
      </c>
      <c r="F17776" s="2">
        <v>1689</v>
      </c>
      <c r="G17776" s="2">
        <v>100</v>
      </c>
      <c r="H17776" s="2">
        <v>314</v>
      </c>
      <c r="I17776" s="2">
        <v>106</v>
      </c>
      <c r="J17776" s="2">
        <v>1047</v>
      </c>
      <c r="K17776" s="2">
        <v>96</v>
      </c>
      <c r="L17776" s="2">
        <v>409</v>
      </c>
    </row>
    <row r="17777" spans="1:12" x14ac:dyDescent="0.25">
      <c r="A17777" s="4" t="str">
        <f>HYPERLINK("http://www.rosaceae.org/Prunus/Prunus_persica/p.persica_gdr_reftransV1_0023445","p.persica_gdr_reftransV1_0023445")</f>
        <v>p.persica_gdr_reftransV1_0023445</v>
      </c>
      <c r="B17777" s="2">
        <v>1759</v>
      </c>
      <c r="C17777" s="4" t="str">
        <f>HYPERLINK("http://www.uniprot.org/uniprot/M5VQF3","M5VQF3")</f>
        <v>M5VQF3</v>
      </c>
      <c r="D17777" s="2" t="s">
        <v>13871</v>
      </c>
      <c r="E17777" s="3">
        <v>0</v>
      </c>
      <c r="F17777" s="2">
        <v>1509</v>
      </c>
      <c r="G17777" s="2">
        <v>100</v>
      </c>
      <c r="H17777" s="2">
        <v>311</v>
      </c>
      <c r="I17777" s="2">
        <v>356</v>
      </c>
      <c r="J17777" s="2">
        <v>1288</v>
      </c>
      <c r="K17777" s="2">
        <v>1</v>
      </c>
      <c r="L17777" s="2">
        <v>311</v>
      </c>
    </row>
    <row r="17778" spans="1:12" x14ac:dyDescent="0.25">
      <c r="A17778" s="4" t="str">
        <f>HYPERLINK("http://www.rosaceae.org/Prunus/Prunus_persica/p.persica_gdr_reftransV1_0024145","p.persica_gdr_reftransV1_0024145")</f>
        <v>p.persica_gdr_reftransV1_0024145</v>
      </c>
      <c r="B17778" s="2">
        <v>2365</v>
      </c>
      <c r="C17778" s="4" t="str">
        <f>HYPERLINK("http://www.uniprot.org/uniprot/M5XAP5","M5XAP5")</f>
        <v>M5XAP5</v>
      </c>
      <c r="D17778" s="2" t="s">
        <v>13872</v>
      </c>
      <c r="E17778" s="3">
        <v>0</v>
      </c>
      <c r="F17778" s="2">
        <v>2051</v>
      </c>
      <c r="G17778" s="2">
        <v>100</v>
      </c>
      <c r="H17778" s="2">
        <v>441</v>
      </c>
      <c r="I17778" s="2">
        <v>1042</v>
      </c>
      <c r="J17778" s="2">
        <v>2364</v>
      </c>
      <c r="K17778" s="2">
        <v>433</v>
      </c>
      <c r="L17778" s="2">
        <v>873</v>
      </c>
    </row>
    <row r="17779" spans="1:12" x14ac:dyDescent="0.25">
      <c r="A17779" s="4" t="str">
        <f>HYPERLINK("http://www.rosaceae.org/Prunus/Prunus_persica/p.persica_gdr_reftransV1_0026245","p.persica_gdr_reftransV1_0026245")</f>
        <v>p.persica_gdr_reftransV1_0026245</v>
      </c>
      <c r="B17779" s="2">
        <v>1144</v>
      </c>
      <c r="C17779" s="4" t="str">
        <f>HYPERLINK("http://www.uniprot.org/uniprot/M5WHT2","M5WHT2")</f>
        <v>M5WHT2</v>
      </c>
      <c r="D17779" s="2" t="s">
        <v>7992</v>
      </c>
      <c r="E17779" s="3">
        <v>0</v>
      </c>
      <c r="F17779" s="2">
        <v>1397</v>
      </c>
      <c r="G17779" s="2">
        <v>100</v>
      </c>
      <c r="H17779" s="2">
        <v>261</v>
      </c>
      <c r="I17779" s="2">
        <v>360</v>
      </c>
      <c r="J17779" s="2">
        <v>1142</v>
      </c>
      <c r="K17779" s="2">
        <v>12</v>
      </c>
      <c r="L17779" s="2">
        <v>272</v>
      </c>
    </row>
    <row r="17780" spans="1:12" x14ac:dyDescent="0.25">
      <c r="A17780" s="4" t="str">
        <f>HYPERLINK("http://www.rosaceae.org/Prunus/Prunus_persica/p.persica_gdr_reftransV1_0027295","p.persica_gdr_reftransV1_0027295")</f>
        <v>p.persica_gdr_reftransV1_0027295</v>
      </c>
      <c r="B17780" s="2">
        <v>3773</v>
      </c>
      <c r="C17780" s="4" t="str">
        <f>HYPERLINK("http://www.uniprot.org/uniprot/M5VIH6","M5VIH6")</f>
        <v>M5VIH6</v>
      </c>
      <c r="D17780" s="2" t="s">
        <v>13873</v>
      </c>
      <c r="E17780" s="3">
        <v>0</v>
      </c>
      <c r="F17780" s="2">
        <v>3245</v>
      </c>
      <c r="G17780" s="2">
        <v>100</v>
      </c>
      <c r="H17780" s="2">
        <v>648</v>
      </c>
      <c r="I17780" s="2">
        <v>202</v>
      </c>
      <c r="J17780" s="2">
        <v>2145</v>
      </c>
      <c r="K17780" s="2">
        <v>23</v>
      </c>
      <c r="L17780" s="2">
        <v>670</v>
      </c>
    </row>
    <row r="17781" spans="1:12" x14ac:dyDescent="0.25">
      <c r="A17781" s="4" t="str">
        <f>HYPERLINK("http://www.rosaceae.org/Prunus/Prunus_persica/p.persica_gdr_reftransV1_0028345","p.persica_gdr_reftransV1_0028345")</f>
        <v>p.persica_gdr_reftransV1_0028345</v>
      </c>
      <c r="B17781" s="2">
        <v>2431</v>
      </c>
      <c r="C17781" s="4" t="str">
        <f>HYPERLINK("http://www.uniprot.org/uniprot/M5WDU0","M5WDU0")</f>
        <v>M5WDU0</v>
      </c>
      <c r="D17781" s="2" t="s">
        <v>13874</v>
      </c>
      <c r="E17781" s="3">
        <v>0</v>
      </c>
      <c r="F17781" s="2">
        <v>2519</v>
      </c>
      <c r="G17781" s="2">
        <v>99</v>
      </c>
      <c r="H17781" s="2">
        <v>510</v>
      </c>
      <c r="I17781" s="2">
        <v>521</v>
      </c>
      <c r="J17781" s="2">
        <v>2044</v>
      </c>
      <c r="K17781" s="2">
        <v>1</v>
      </c>
      <c r="L17781" s="2">
        <v>510</v>
      </c>
    </row>
    <row r="17782" spans="1:12" x14ac:dyDescent="0.25">
      <c r="A17782" s="4" t="str">
        <f>HYPERLINK("http://www.rosaceae.org/Prunus/Prunus_persica/p.persica_gdr_reftransV1_0031495","p.persica_gdr_reftransV1_0031495")</f>
        <v>p.persica_gdr_reftransV1_0031495</v>
      </c>
      <c r="B17782" s="2">
        <v>3224</v>
      </c>
      <c r="C17782" s="4" t="str">
        <f>HYPERLINK("http://www.uniprot.org/uniprot/M5XDU6","M5XDU6")</f>
        <v>M5XDU6</v>
      </c>
      <c r="D17782" s="2" t="s">
        <v>210</v>
      </c>
      <c r="E17782" s="3">
        <v>0</v>
      </c>
      <c r="F17782" s="2">
        <v>1951</v>
      </c>
      <c r="G17782" s="2">
        <v>100</v>
      </c>
      <c r="H17782" s="2">
        <v>429</v>
      </c>
      <c r="I17782" s="2">
        <v>1345</v>
      </c>
      <c r="J17782" s="2">
        <v>2631</v>
      </c>
      <c r="K17782" s="2">
        <v>1</v>
      </c>
      <c r="L17782" s="2">
        <v>429</v>
      </c>
    </row>
    <row r="17783" spans="1:12" x14ac:dyDescent="0.25">
      <c r="A17783" s="4" t="str">
        <f>HYPERLINK("http://www.rosaceae.org/Prunus/Prunus_persica/p.persica_gdr_reftransV1_0034645","p.persica_gdr_reftransV1_0034645")</f>
        <v>p.persica_gdr_reftransV1_0034645</v>
      </c>
      <c r="B17783" s="2">
        <v>3354</v>
      </c>
      <c r="C17783" s="4" t="str">
        <f>HYPERLINK("http://www.uniprot.org/uniprot/M5XXX4","M5XXX4")</f>
        <v>M5XXX4</v>
      </c>
      <c r="D17783" s="2" t="s">
        <v>12743</v>
      </c>
      <c r="E17783" s="3">
        <v>0</v>
      </c>
      <c r="F17783" s="2">
        <v>4357</v>
      </c>
      <c r="G17783" s="2">
        <v>99</v>
      </c>
      <c r="H17783" s="2">
        <v>838</v>
      </c>
      <c r="I17783" s="2">
        <v>849</v>
      </c>
      <c r="J17783" s="2">
        <v>3353</v>
      </c>
      <c r="K17783" s="2">
        <v>22</v>
      </c>
      <c r="L17783" s="2">
        <v>859</v>
      </c>
    </row>
    <row r="17784" spans="1:12" x14ac:dyDescent="0.25">
      <c r="A17784" s="4" t="str">
        <f>HYPERLINK("http://www.rosaceae.org/Prunus/Prunus_persica/p.persica_gdr_reftransV1_0034995","p.persica_gdr_reftransV1_0034995")</f>
        <v>p.persica_gdr_reftransV1_0034995</v>
      </c>
      <c r="B17784" s="2">
        <v>2062</v>
      </c>
      <c r="C17784" s="4" t="str">
        <f>HYPERLINK("http://www.uniprot.org/uniprot/M5XY05","M5XY05")</f>
        <v>M5XY05</v>
      </c>
      <c r="D17784" s="2" t="s">
        <v>13875</v>
      </c>
      <c r="E17784" s="3">
        <v>0</v>
      </c>
      <c r="F17784" s="2">
        <v>2350</v>
      </c>
      <c r="G17784" s="2">
        <v>100</v>
      </c>
      <c r="H17784" s="2">
        <v>552</v>
      </c>
      <c r="I17784" s="2">
        <v>147</v>
      </c>
      <c r="J17784" s="2">
        <v>1802</v>
      </c>
      <c r="K17784" s="2">
        <v>7</v>
      </c>
      <c r="L17784" s="2">
        <v>558</v>
      </c>
    </row>
    <row r="17785" spans="1:12" x14ac:dyDescent="0.25">
      <c r="A17785" s="4" t="str">
        <f>HYPERLINK("http://www.rosaceae.org/Prunus/Prunus_persica/p.persica_gdr_reftransV1_0035695","p.persica_gdr_reftransV1_0035695")</f>
        <v>p.persica_gdr_reftransV1_0035695</v>
      </c>
      <c r="B17785" s="2">
        <v>1985</v>
      </c>
      <c r="C17785" s="4" t="str">
        <f>HYPERLINK("http://www.uniprot.org/uniprot/M5VPR4","M5VPR4")</f>
        <v>M5VPR4</v>
      </c>
      <c r="D17785" s="2" t="s">
        <v>13876</v>
      </c>
      <c r="E17785" s="3">
        <v>0</v>
      </c>
      <c r="F17785" s="2">
        <v>2017</v>
      </c>
      <c r="G17785" s="2">
        <v>100</v>
      </c>
      <c r="H17785" s="2">
        <v>381</v>
      </c>
      <c r="I17785" s="2">
        <v>724</v>
      </c>
      <c r="J17785" s="2">
        <v>1866</v>
      </c>
      <c r="K17785" s="2">
        <v>1</v>
      </c>
      <c r="L17785" s="2">
        <v>381</v>
      </c>
    </row>
    <row r="17786" spans="1:12" x14ac:dyDescent="0.25">
      <c r="A17786" s="4" t="str">
        <f>HYPERLINK("http://www.rosaceae.org/Prunus/Prunus_persica/p.persica_gdr_reftransV1_0036745","p.persica_gdr_reftransV1_0036745")</f>
        <v>p.persica_gdr_reftransV1_0036745</v>
      </c>
      <c r="B17786" s="2">
        <v>2073</v>
      </c>
      <c r="C17786" s="4" t="str">
        <f>HYPERLINK("http://www.uniprot.org/uniprot/M5W5D3","M5W5D3")</f>
        <v>M5W5D3</v>
      </c>
      <c r="D17786" s="2" t="s">
        <v>9271</v>
      </c>
      <c r="E17786" s="3">
        <v>6.6599999999999998E-170</v>
      </c>
      <c r="F17786" s="2">
        <v>1288</v>
      </c>
      <c r="G17786" s="2">
        <v>100</v>
      </c>
      <c r="H17786" s="2">
        <v>294</v>
      </c>
      <c r="I17786" s="2">
        <v>373</v>
      </c>
      <c r="J17786" s="2">
        <v>1254</v>
      </c>
      <c r="K17786" s="2">
        <v>1</v>
      </c>
      <c r="L17786" s="2">
        <v>294</v>
      </c>
    </row>
    <row r="17787" spans="1:12" x14ac:dyDescent="0.25">
      <c r="A17787" s="4" t="str">
        <f>HYPERLINK("http://www.rosaceae.org/Prunus/Prunus_persica/p.persica_gdr_reftransV1_0037445","p.persica_gdr_reftransV1_0037445")</f>
        <v>p.persica_gdr_reftransV1_0037445</v>
      </c>
      <c r="B17787" s="2">
        <v>3005</v>
      </c>
      <c r="C17787" s="4" t="str">
        <f>HYPERLINK("http://www.uniprot.org/uniprot/M5X9B1","M5X9B1")</f>
        <v>M5X9B1</v>
      </c>
      <c r="D17787" s="2" t="s">
        <v>13877</v>
      </c>
      <c r="E17787" s="3">
        <v>0</v>
      </c>
      <c r="F17787" s="2">
        <v>1788</v>
      </c>
      <c r="G17787" s="2">
        <v>99</v>
      </c>
      <c r="H17787" s="2">
        <v>340</v>
      </c>
      <c r="I17787" s="2">
        <v>1723</v>
      </c>
      <c r="J17787" s="2">
        <v>2742</v>
      </c>
      <c r="K17787" s="2">
        <v>1</v>
      </c>
      <c r="L17787" s="2">
        <v>340</v>
      </c>
    </row>
    <row r="17788" spans="1:12" x14ac:dyDescent="0.25">
      <c r="A17788" s="4" t="str">
        <f>HYPERLINK("http://www.rosaceae.org/Prunus/Prunus_persica/p.persica_gdr_reftransV1_0039195","p.persica_gdr_reftransV1_0039195")</f>
        <v>p.persica_gdr_reftransV1_0039195</v>
      </c>
      <c r="B17788" s="2">
        <v>641</v>
      </c>
      <c r="C17788" s="4" t="str">
        <f>HYPERLINK("http://www.uniprot.org/uniprot/W9RBR6","W9RBR6")</f>
        <v>W9RBR6</v>
      </c>
      <c r="D17788" s="2" t="s">
        <v>13878</v>
      </c>
      <c r="E17788" s="3">
        <v>1.14E-41</v>
      </c>
      <c r="F17788" s="2">
        <v>381</v>
      </c>
      <c r="G17788" s="2">
        <v>90</v>
      </c>
      <c r="H17788" s="2">
        <v>99</v>
      </c>
      <c r="I17788" s="2">
        <v>2</v>
      </c>
      <c r="J17788" s="2">
        <v>298</v>
      </c>
      <c r="K17788" s="2">
        <v>112</v>
      </c>
      <c r="L17788" s="2">
        <v>210</v>
      </c>
    </row>
    <row r="17789" spans="1:12" x14ac:dyDescent="0.25">
      <c r="A17789" s="4" t="str">
        <f>HYPERLINK("http://www.rosaceae.org/Prunus/Prunus_persica/p.persica_gdr_reftransV1_0039895","p.persica_gdr_reftransV1_0039895")</f>
        <v>p.persica_gdr_reftransV1_0039895</v>
      </c>
      <c r="B17789" s="2">
        <v>1799</v>
      </c>
      <c r="C17789" s="4" t="str">
        <f>HYPERLINK("http://www.uniprot.org/uniprot/M5WUC6","M5WUC6")</f>
        <v>M5WUC6</v>
      </c>
      <c r="D17789" s="2" t="s">
        <v>13879</v>
      </c>
      <c r="E17789" s="3">
        <v>0</v>
      </c>
      <c r="F17789" s="2">
        <v>1549</v>
      </c>
      <c r="G17789" s="2">
        <v>100</v>
      </c>
      <c r="H17789" s="2">
        <v>294</v>
      </c>
      <c r="I17789" s="2">
        <v>486</v>
      </c>
      <c r="J17789" s="2">
        <v>1367</v>
      </c>
      <c r="K17789" s="2">
        <v>1</v>
      </c>
      <c r="L17789" s="2">
        <v>294</v>
      </c>
    </row>
    <row r="17790" spans="1:12" x14ac:dyDescent="0.25">
      <c r="A17790" s="4" t="str">
        <f>HYPERLINK("http://www.rosaceae.org/Prunus/Prunus_persica/p.persica_gdr_reftransV1_0040595","p.persica_gdr_reftransV1_0040595")</f>
        <v>p.persica_gdr_reftransV1_0040595</v>
      </c>
      <c r="B17790" s="2">
        <v>2766</v>
      </c>
      <c r="C17790" s="4" t="str">
        <f>HYPERLINK("http://www.uniprot.org/uniprot/M5W7Q8","M5W7Q8")</f>
        <v>M5W7Q8</v>
      </c>
      <c r="D17790" s="2" t="s">
        <v>12093</v>
      </c>
      <c r="E17790" s="3">
        <v>0</v>
      </c>
      <c r="F17790" s="2">
        <v>2043</v>
      </c>
      <c r="G17790" s="2">
        <v>99</v>
      </c>
      <c r="H17790" s="2">
        <v>427</v>
      </c>
      <c r="I17790" s="2">
        <v>239</v>
      </c>
      <c r="J17790" s="2">
        <v>1519</v>
      </c>
      <c r="K17790" s="2">
        <v>1</v>
      </c>
      <c r="L17790" s="2">
        <v>427</v>
      </c>
    </row>
    <row r="17791" spans="1:12" x14ac:dyDescent="0.25">
      <c r="A17791" s="4" t="str">
        <f>HYPERLINK("http://www.rosaceae.org/Prunus/Prunus_persica/p.persica_gdr_reftransV1_0041645","p.persica_gdr_reftransV1_0041645")</f>
        <v>p.persica_gdr_reftransV1_0041645</v>
      </c>
      <c r="B17791" s="2">
        <v>4485</v>
      </c>
      <c r="C17791" s="4" t="str">
        <f>HYPERLINK("http://www.uniprot.org/uniprot/M5W5C1","M5W5C1")</f>
        <v>M5W5C1</v>
      </c>
      <c r="D17791" s="2" t="s">
        <v>13880</v>
      </c>
      <c r="E17791" s="3">
        <v>0</v>
      </c>
      <c r="F17791" s="2">
        <v>1507</v>
      </c>
      <c r="G17791" s="2">
        <v>100</v>
      </c>
      <c r="H17791" s="2">
        <v>279</v>
      </c>
      <c r="I17791" s="2">
        <v>3131</v>
      </c>
      <c r="J17791" s="2">
        <v>3967</v>
      </c>
      <c r="K17791" s="2">
        <v>185</v>
      </c>
      <c r="L17791" s="2">
        <v>463</v>
      </c>
    </row>
    <row r="17792" spans="1:12" x14ac:dyDescent="0.25">
      <c r="A17792" s="4" t="str">
        <f>HYPERLINK("http://www.rosaceae.org/Prunus/Prunus_persica/p.persica_gdr_reftransV1_0041995","p.persica_gdr_reftransV1_0041995")</f>
        <v>p.persica_gdr_reftransV1_0041995</v>
      </c>
      <c r="B17792" s="2">
        <v>4583</v>
      </c>
      <c r="C17792" s="4" t="str">
        <f>HYPERLINK("http://www.uniprot.org/uniprot/M5XKV2","M5XKV2")</f>
        <v>M5XKV2</v>
      </c>
      <c r="D17792" s="2" t="s">
        <v>13881</v>
      </c>
      <c r="E17792" s="3">
        <v>0</v>
      </c>
      <c r="F17792" s="2">
        <v>3541</v>
      </c>
      <c r="G17792" s="2">
        <v>100</v>
      </c>
      <c r="H17792" s="2">
        <v>763</v>
      </c>
      <c r="I17792" s="2">
        <v>477</v>
      </c>
      <c r="J17792" s="2">
        <v>2765</v>
      </c>
      <c r="K17792" s="2">
        <v>1</v>
      </c>
      <c r="L17792" s="2">
        <v>763</v>
      </c>
    </row>
    <row r="17793" spans="1:12" x14ac:dyDescent="0.25">
      <c r="A17793" s="4" t="str">
        <f>HYPERLINK("http://www.rosaceae.org/Prunus/Prunus_persica/p.persica_gdr_reftransV1_0043045","p.persica_gdr_reftransV1_0043045")</f>
        <v>p.persica_gdr_reftransV1_0043045</v>
      </c>
      <c r="B17793" s="2">
        <v>1313</v>
      </c>
      <c r="C17793" s="4" t="str">
        <f>HYPERLINK("http://www.uniprot.org/uniprot/M5VMB3","M5VMB3")</f>
        <v>M5VMB3</v>
      </c>
      <c r="D17793" s="2" t="s">
        <v>6290</v>
      </c>
      <c r="E17793" s="3">
        <v>0</v>
      </c>
      <c r="F17793" s="2">
        <v>1866</v>
      </c>
      <c r="G17793" s="2">
        <v>99</v>
      </c>
      <c r="H17793" s="2">
        <v>353</v>
      </c>
      <c r="I17793" s="2">
        <v>2</v>
      </c>
      <c r="J17793" s="2">
        <v>1060</v>
      </c>
      <c r="K17793" s="2">
        <v>128</v>
      </c>
      <c r="L17793" s="2">
        <v>480</v>
      </c>
    </row>
    <row r="17794" spans="1:12" x14ac:dyDescent="0.25">
      <c r="A17794" s="4" t="str">
        <f>HYPERLINK("http://www.rosaceae.org/Prunus/Prunus_persica/p.persica_gdr_reftransV1_0043395","p.persica_gdr_reftransV1_0043395")</f>
        <v>p.persica_gdr_reftransV1_0043395</v>
      </c>
      <c r="B17794" s="2">
        <v>1806</v>
      </c>
      <c r="C17794" s="4" t="str">
        <f>HYPERLINK("http://www.uniprot.org/uniprot/M5XAP0","M5XAP0")</f>
        <v>M5XAP0</v>
      </c>
      <c r="D17794" s="2" t="s">
        <v>13882</v>
      </c>
      <c r="E17794" s="3">
        <v>0</v>
      </c>
      <c r="F17794" s="2">
        <v>2243</v>
      </c>
      <c r="G17794" s="2">
        <v>100</v>
      </c>
      <c r="H17794" s="2">
        <v>456</v>
      </c>
      <c r="I17794" s="2">
        <v>95</v>
      </c>
      <c r="J17794" s="2">
        <v>1462</v>
      </c>
      <c r="K17794" s="2">
        <v>1</v>
      </c>
      <c r="L17794" s="2">
        <v>456</v>
      </c>
    </row>
    <row r="17795" spans="1:12" x14ac:dyDescent="0.25">
      <c r="A17795" s="4" t="str">
        <f>HYPERLINK("http://www.rosaceae.org/Prunus/Prunus_persica/p.persica_gdr_reftransV1_0043745","p.persica_gdr_reftransV1_0043745")</f>
        <v>p.persica_gdr_reftransV1_0043745</v>
      </c>
      <c r="B17795" s="2">
        <v>345</v>
      </c>
      <c r="C17795" s="4" t="str">
        <f>HYPERLINK("http://www.uniprot.org/uniprot/M5XEF0","M5XEF0")</f>
        <v>M5XEF0</v>
      </c>
      <c r="D17795" s="2" t="s">
        <v>13883</v>
      </c>
      <c r="E17795" s="3">
        <v>4.2399999999999998E-35</v>
      </c>
      <c r="F17795" s="2">
        <v>339</v>
      </c>
      <c r="G17795" s="2">
        <v>81</v>
      </c>
      <c r="H17795" s="2">
        <v>81</v>
      </c>
      <c r="I17795" s="2">
        <v>103</v>
      </c>
      <c r="J17795" s="2">
        <v>345</v>
      </c>
      <c r="K17795" s="2">
        <v>375</v>
      </c>
      <c r="L17795" s="2">
        <v>440</v>
      </c>
    </row>
    <row r="17796" spans="1:12" x14ac:dyDescent="0.25">
      <c r="A17796" s="4" t="str">
        <f>HYPERLINK("http://www.rosaceae.org/Prunus/Prunus_persica/p.persica_gdr_reftransV1_0044095","p.persica_gdr_reftransV1_0044095")</f>
        <v>p.persica_gdr_reftransV1_0044095</v>
      </c>
      <c r="B17796" s="2">
        <v>2024</v>
      </c>
      <c r="C17796" s="4" t="str">
        <f>HYPERLINK("http://www.uniprot.org/uniprot/M5VUJ4","M5VUJ4")</f>
        <v>M5VUJ4</v>
      </c>
      <c r="D17796" s="2" t="s">
        <v>13884</v>
      </c>
      <c r="E17796" s="3">
        <v>0</v>
      </c>
      <c r="F17796" s="2">
        <v>2422</v>
      </c>
      <c r="G17796" s="2">
        <v>100</v>
      </c>
      <c r="H17796" s="2">
        <v>507</v>
      </c>
      <c r="I17796" s="2">
        <v>502</v>
      </c>
      <c r="J17796" s="2">
        <v>2022</v>
      </c>
      <c r="K17796" s="2">
        <v>9</v>
      </c>
      <c r="L17796" s="2">
        <v>515</v>
      </c>
    </row>
    <row r="17797" spans="1:12" x14ac:dyDescent="0.25">
      <c r="A17797" s="4" t="str">
        <f>HYPERLINK("http://www.rosaceae.org/Prunus/Prunus_persica/p.persica_gdr_reftransV1_0044445","p.persica_gdr_reftransV1_0044445")</f>
        <v>p.persica_gdr_reftransV1_0044445</v>
      </c>
      <c r="B17797" s="2">
        <v>1276</v>
      </c>
      <c r="C17797" s="4" t="str">
        <f>HYPERLINK("http://www.uniprot.org/uniprot/M5XPF8","M5XPF8")</f>
        <v>M5XPF8</v>
      </c>
      <c r="D17797" s="2" t="s">
        <v>5531</v>
      </c>
      <c r="E17797" s="3">
        <v>9.2900000000000001E-166</v>
      </c>
      <c r="F17797" s="2">
        <v>1054</v>
      </c>
      <c r="G17797" s="2">
        <v>99</v>
      </c>
      <c r="H17797" s="2">
        <v>250</v>
      </c>
      <c r="I17797" s="2">
        <v>385</v>
      </c>
      <c r="J17797" s="2">
        <v>1134</v>
      </c>
      <c r="K17797" s="2">
        <v>105</v>
      </c>
      <c r="L17797" s="2">
        <v>354</v>
      </c>
    </row>
    <row r="17798" spans="1:12" x14ac:dyDescent="0.25">
      <c r="A17798" s="4" t="str">
        <f>HYPERLINK("http://www.rosaceae.org/Prunus/Prunus_persica/p.persica_gdr_reftransV1_0044795","p.persica_gdr_reftransV1_0044795")</f>
        <v>p.persica_gdr_reftransV1_0044795</v>
      </c>
      <c r="B17798" s="2">
        <v>2366</v>
      </c>
      <c r="C17798" s="4" t="str">
        <f>HYPERLINK("http://www.uniprot.org/uniprot/M5XDH6","M5XDH6")</f>
        <v>M5XDH6</v>
      </c>
      <c r="D17798" s="2" t="s">
        <v>13885</v>
      </c>
      <c r="E17798" s="3">
        <v>0</v>
      </c>
      <c r="F17798" s="2">
        <v>3020</v>
      </c>
      <c r="G17798" s="2">
        <v>100</v>
      </c>
      <c r="H17798" s="2">
        <v>585</v>
      </c>
      <c r="I17798" s="2">
        <v>482</v>
      </c>
      <c r="J17798" s="2">
        <v>2236</v>
      </c>
      <c r="K17798" s="2">
        <v>1</v>
      </c>
      <c r="L17798" s="2">
        <v>585</v>
      </c>
    </row>
    <row r="17799" spans="1:12" x14ac:dyDescent="0.25">
      <c r="A17799" s="4" t="str">
        <f>HYPERLINK("http://www.rosaceae.org/Prunus/Prunus_persica/p.persica_gdr_reftransV1_0045495","p.persica_gdr_reftransV1_0045495")</f>
        <v>p.persica_gdr_reftransV1_0045495</v>
      </c>
      <c r="B17799" s="2">
        <v>3773</v>
      </c>
      <c r="C17799" s="4" t="str">
        <f>HYPERLINK("http://www.uniprot.org/uniprot/M5X9L1","M5X9L1")</f>
        <v>M5X9L1</v>
      </c>
      <c r="D17799" s="2" t="s">
        <v>13886</v>
      </c>
      <c r="E17799" s="3">
        <v>0</v>
      </c>
      <c r="F17799" s="2">
        <v>5655</v>
      </c>
      <c r="G17799" s="2">
        <v>100</v>
      </c>
      <c r="H17799" s="2">
        <v>1072</v>
      </c>
      <c r="I17799" s="2">
        <v>147</v>
      </c>
      <c r="J17799" s="2">
        <v>3362</v>
      </c>
      <c r="K17799" s="2">
        <v>1</v>
      </c>
      <c r="L17799" s="2">
        <v>1072</v>
      </c>
    </row>
    <row r="17800" spans="1:12" x14ac:dyDescent="0.25">
      <c r="A17800" s="4" t="str">
        <f>HYPERLINK("http://www.rosaceae.org/Prunus/Prunus_persica/p.persica_gdr_reftransV1_0045845","p.persica_gdr_reftransV1_0045845")</f>
        <v>p.persica_gdr_reftransV1_0045845</v>
      </c>
      <c r="B17800" s="2">
        <v>381</v>
      </c>
      <c r="C17800" s="4" t="str">
        <f>HYPERLINK("http://www.uniprot.org/uniprot/M5WVD0","M5WVD0")</f>
        <v>M5WVD0</v>
      </c>
      <c r="D17800" s="2" t="s">
        <v>13887</v>
      </c>
      <c r="E17800" s="3">
        <v>1.43E-72</v>
      </c>
      <c r="F17800" s="2">
        <v>574</v>
      </c>
      <c r="G17800" s="2">
        <v>97</v>
      </c>
      <c r="H17800" s="2">
        <v>111</v>
      </c>
      <c r="I17800" s="2">
        <v>47</v>
      </c>
      <c r="J17800" s="2">
        <v>379</v>
      </c>
      <c r="K17800" s="2">
        <v>1</v>
      </c>
      <c r="L17800" s="2">
        <v>111</v>
      </c>
    </row>
    <row r="17801" spans="1:12" x14ac:dyDescent="0.25">
      <c r="A17801" s="4" t="str">
        <f>HYPERLINK("http://www.rosaceae.org/Prunus/Prunus_persica/p.persica_gdr_reftransV1_0046545","p.persica_gdr_reftransV1_0046545")</f>
        <v>p.persica_gdr_reftransV1_0046545</v>
      </c>
      <c r="B17801" s="2">
        <v>2577</v>
      </c>
      <c r="C17801" s="4" t="str">
        <f>HYPERLINK("http://www.uniprot.org/uniprot/M5WT68","M5WT68")</f>
        <v>M5WT68</v>
      </c>
      <c r="D17801" s="2" t="s">
        <v>13888</v>
      </c>
      <c r="E17801" s="3">
        <v>0</v>
      </c>
      <c r="F17801" s="2">
        <v>2787</v>
      </c>
      <c r="G17801" s="2">
        <v>100</v>
      </c>
      <c r="H17801" s="2">
        <v>661</v>
      </c>
      <c r="I17801" s="2">
        <v>238</v>
      </c>
      <c r="J17801" s="2">
        <v>2220</v>
      </c>
      <c r="K17801" s="2">
        <v>1</v>
      </c>
      <c r="L17801" s="2">
        <v>661</v>
      </c>
    </row>
    <row r="17802" spans="1:12" x14ac:dyDescent="0.25">
      <c r="A17802" s="4" t="str">
        <f>HYPERLINK("http://www.rosaceae.org/Prunus/Prunus_persica/p.persica_gdr_reftransV1_0046895","p.persica_gdr_reftransV1_0046895")</f>
        <v>p.persica_gdr_reftransV1_0046895</v>
      </c>
      <c r="B17802" s="2">
        <v>1187</v>
      </c>
      <c r="C17802" s="4" t="str">
        <f>HYPERLINK("http://www.uniprot.org/uniprot/M5XNL8","M5XNL8")</f>
        <v>M5XNL8</v>
      </c>
      <c r="D17802" s="2" t="s">
        <v>2707</v>
      </c>
      <c r="E17802" s="3">
        <v>8.1499999999999993E-71</v>
      </c>
      <c r="F17802" s="2">
        <v>584</v>
      </c>
      <c r="G17802" s="2">
        <v>100</v>
      </c>
      <c r="H17802" s="2">
        <v>112</v>
      </c>
      <c r="I17802" s="2">
        <v>601</v>
      </c>
      <c r="J17802" s="2">
        <v>936</v>
      </c>
      <c r="K17802" s="2">
        <v>1</v>
      </c>
      <c r="L17802" s="2">
        <v>112</v>
      </c>
    </row>
    <row r="17803" spans="1:12" x14ac:dyDescent="0.25">
      <c r="A17803" s="4" t="str">
        <f>HYPERLINK("http://www.rosaceae.org/Prunus/Prunus_persica/p.persica_gdr_reftransV1_0047245","p.persica_gdr_reftransV1_0047245")</f>
        <v>p.persica_gdr_reftransV1_0047245</v>
      </c>
      <c r="B17803" s="2">
        <v>1387</v>
      </c>
      <c r="C17803" s="4" t="str">
        <f>HYPERLINK("http://www.uniprot.org/uniprot/M5WER9","M5WER9")</f>
        <v>M5WER9</v>
      </c>
      <c r="D17803" s="2" t="s">
        <v>10705</v>
      </c>
      <c r="E17803" s="3">
        <v>3.0899999999999999E-171</v>
      </c>
      <c r="F17803" s="2">
        <v>1292</v>
      </c>
      <c r="G17803" s="2">
        <v>100</v>
      </c>
      <c r="H17803" s="2">
        <v>389</v>
      </c>
      <c r="I17803" s="2">
        <v>32</v>
      </c>
      <c r="J17803" s="2">
        <v>1198</v>
      </c>
      <c r="K17803" s="2">
        <v>1</v>
      </c>
      <c r="L17803" s="2">
        <v>389</v>
      </c>
    </row>
    <row r="17804" spans="1:12" x14ac:dyDescent="0.25">
      <c r="A17804" s="4" t="str">
        <f>HYPERLINK("http://www.rosaceae.org/Prunus/Prunus_persica/p.persica_gdr_reftransV1_0047595","p.persica_gdr_reftransV1_0047595")</f>
        <v>p.persica_gdr_reftransV1_0047595</v>
      </c>
      <c r="B17804" s="2">
        <v>2271</v>
      </c>
      <c r="C17804" s="4" t="str">
        <f>HYPERLINK("http://www.uniprot.org/uniprot/M5X721","M5X721")</f>
        <v>M5X721</v>
      </c>
      <c r="D17804" s="2" t="s">
        <v>13889</v>
      </c>
      <c r="E17804" s="3">
        <v>0</v>
      </c>
      <c r="F17804" s="2">
        <v>1882</v>
      </c>
      <c r="G17804" s="2">
        <v>99</v>
      </c>
      <c r="H17804" s="2">
        <v>360</v>
      </c>
      <c r="I17804" s="2">
        <v>1008</v>
      </c>
      <c r="J17804" s="2">
        <v>2084</v>
      </c>
      <c r="K17804" s="2">
        <v>257</v>
      </c>
      <c r="L17804" s="2">
        <v>616</v>
      </c>
    </row>
    <row r="17805" spans="1:12" x14ac:dyDescent="0.25">
      <c r="A17805" s="4" t="str">
        <f>HYPERLINK("http://www.rosaceae.org/Prunus/Prunus_persica/p.persica_gdr_reftransV1_0047945","p.persica_gdr_reftransV1_0047945")</f>
        <v>p.persica_gdr_reftransV1_0047945</v>
      </c>
      <c r="B17805" s="2">
        <v>729</v>
      </c>
      <c r="C17805" s="4" t="str">
        <f>HYPERLINK("http://www.uniprot.org/uniprot/M5W9Y6","M5W9Y6")</f>
        <v>M5W9Y6</v>
      </c>
      <c r="D17805" s="2" t="s">
        <v>6459</v>
      </c>
      <c r="E17805" s="3">
        <v>1.13E-58</v>
      </c>
      <c r="F17805" s="2">
        <v>499</v>
      </c>
      <c r="G17805" s="2">
        <v>77</v>
      </c>
      <c r="H17805" s="2">
        <v>152</v>
      </c>
      <c r="I17805" s="2">
        <v>4</v>
      </c>
      <c r="J17805" s="2">
        <v>438</v>
      </c>
      <c r="K17805" s="2">
        <v>21</v>
      </c>
      <c r="L17805" s="2">
        <v>172</v>
      </c>
    </row>
    <row r="17806" spans="1:12" x14ac:dyDescent="0.25">
      <c r="A17806" s="4" t="str">
        <f>HYPERLINK("http://www.rosaceae.org/Prunus/Prunus_persica/p.persica_gdr_reftransV1_0048295","p.persica_gdr_reftransV1_0048295")</f>
        <v>p.persica_gdr_reftransV1_0048295</v>
      </c>
      <c r="B17806" s="2">
        <v>1627</v>
      </c>
      <c r="C17806" s="4" t="str">
        <f>HYPERLINK("http://www.uniprot.org/uniprot/M5XDI5","M5XDI5")</f>
        <v>M5XDI5</v>
      </c>
      <c r="D17806" s="2" t="s">
        <v>13890</v>
      </c>
      <c r="E17806" s="3">
        <v>0</v>
      </c>
      <c r="F17806" s="2">
        <v>1677</v>
      </c>
      <c r="G17806" s="2">
        <v>100</v>
      </c>
      <c r="H17806" s="2">
        <v>405</v>
      </c>
      <c r="I17806" s="2">
        <v>138</v>
      </c>
      <c r="J17806" s="2">
        <v>1352</v>
      </c>
      <c r="K17806" s="2">
        <v>1</v>
      </c>
      <c r="L17806" s="2">
        <v>405</v>
      </c>
    </row>
    <row r="17807" spans="1:12" x14ac:dyDescent="0.25">
      <c r="A17807" s="4" t="str">
        <f>HYPERLINK("http://www.rosaceae.org/Prunus/Prunus_persica/p.persica_gdr_reftransV1_0048645","p.persica_gdr_reftransV1_0048645")</f>
        <v>p.persica_gdr_reftransV1_0048645</v>
      </c>
      <c r="B17807" s="2">
        <v>1416</v>
      </c>
      <c r="C17807" s="4" t="str">
        <f>HYPERLINK("http://www.uniprot.org/uniprot/M5X6C7","M5X6C7")</f>
        <v>M5X6C7</v>
      </c>
      <c r="D17807" s="2" t="s">
        <v>13891</v>
      </c>
      <c r="E17807" s="3">
        <v>1.1300000000000001E-172</v>
      </c>
      <c r="F17807" s="2">
        <v>1279</v>
      </c>
      <c r="G17807" s="2">
        <v>100</v>
      </c>
      <c r="H17807" s="2">
        <v>239</v>
      </c>
      <c r="I17807" s="2">
        <v>425</v>
      </c>
      <c r="J17807" s="2">
        <v>1141</v>
      </c>
      <c r="K17807" s="2">
        <v>1</v>
      </c>
      <c r="L17807" s="2">
        <v>239</v>
      </c>
    </row>
    <row r="17808" spans="1:12" x14ac:dyDescent="0.25">
      <c r="A17808" s="4" t="str">
        <f>HYPERLINK("http://www.rosaceae.org/Prunus/Prunus_persica/p.persica_gdr_reftransV1_0048995","p.persica_gdr_reftransV1_0048995")</f>
        <v>p.persica_gdr_reftransV1_0048995</v>
      </c>
      <c r="B17808" s="2">
        <v>745</v>
      </c>
      <c r="C17808" s="4" t="str">
        <f>HYPERLINK("http://www.uniprot.org/uniprot/M5WDM9","M5WDM9")</f>
        <v>M5WDM9</v>
      </c>
      <c r="D17808" s="2" t="s">
        <v>13892</v>
      </c>
      <c r="E17808" s="3">
        <v>1.4100000000000001E-45</v>
      </c>
      <c r="F17808" s="2">
        <v>401</v>
      </c>
      <c r="G17808" s="2">
        <v>100</v>
      </c>
      <c r="H17808" s="2">
        <v>79</v>
      </c>
      <c r="I17808" s="2">
        <v>298</v>
      </c>
      <c r="J17808" s="2">
        <v>534</v>
      </c>
      <c r="K17808" s="2">
        <v>1</v>
      </c>
      <c r="L17808" s="2">
        <v>79</v>
      </c>
    </row>
    <row r="17809" spans="1:12" x14ac:dyDescent="0.25">
      <c r="A17809" s="4" t="str">
        <f>HYPERLINK("http://www.rosaceae.org/Prunus/Prunus_persica/p.persica_gdr_reftransV1_0000346","p.persica_gdr_reftransV1_0000346")</f>
        <v>p.persica_gdr_reftransV1_0000346</v>
      </c>
      <c r="B17809" s="2">
        <v>1155</v>
      </c>
      <c r="C17809" s="4" t="str">
        <f>HYPERLINK("http://www.uniprot.org/uniprot/M5WCX3","M5WCX3")</f>
        <v>M5WCX3</v>
      </c>
      <c r="D17809" s="2" t="s">
        <v>13893</v>
      </c>
      <c r="E17809" s="3">
        <v>1.2999999999999999E-140</v>
      </c>
      <c r="F17809" s="2">
        <v>1054</v>
      </c>
      <c r="G17809" s="2">
        <v>100</v>
      </c>
      <c r="H17809" s="2">
        <v>200</v>
      </c>
      <c r="I17809" s="2">
        <v>277</v>
      </c>
      <c r="J17809" s="2">
        <v>876</v>
      </c>
      <c r="K17809" s="2">
        <v>1</v>
      </c>
      <c r="L17809" s="2">
        <v>200</v>
      </c>
    </row>
    <row r="17810" spans="1:12" x14ac:dyDescent="0.25">
      <c r="A17810" s="4" t="str">
        <f>HYPERLINK("http://www.rosaceae.org/Prunus/Prunus_persica/p.persica_gdr_reftransV1_0000696","p.persica_gdr_reftransV1_0000696")</f>
        <v>p.persica_gdr_reftransV1_0000696</v>
      </c>
      <c r="B17810" s="2">
        <v>1637</v>
      </c>
      <c r="C17810" s="4" t="str">
        <f>HYPERLINK("http://www.uniprot.org/uniprot/M5XEL9","M5XEL9")</f>
        <v>M5XEL9</v>
      </c>
      <c r="D17810" s="2" t="s">
        <v>13894</v>
      </c>
      <c r="E17810" s="3">
        <v>0</v>
      </c>
      <c r="F17810" s="2">
        <v>1787</v>
      </c>
      <c r="G17810" s="2">
        <v>93</v>
      </c>
      <c r="H17810" s="2">
        <v>396</v>
      </c>
      <c r="I17810" s="2">
        <v>292</v>
      </c>
      <c r="J17810" s="2">
        <v>1479</v>
      </c>
      <c r="K17810" s="2">
        <v>1</v>
      </c>
      <c r="L17810" s="2">
        <v>367</v>
      </c>
    </row>
    <row r="17811" spans="1:12" x14ac:dyDescent="0.25">
      <c r="A17811" s="4" t="str">
        <f>HYPERLINK("http://www.rosaceae.org/Prunus/Prunus_persica/p.persica_gdr_reftransV1_0001046","p.persica_gdr_reftransV1_0001046")</f>
        <v>p.persica_gdr_reftransV1_0001046</v>
      </c>
      <c r="B17811" s="2">
        <v>2414</v>
      </c>
      <c r="C17811" s="4" t="str">
        <f>HYPERLINK("http://www.uniprot.org/uniprot/M5VXJ9","M5VXJ9")</f>
        <v>M5VXJ9</v>
      </c>
      <c r="D17811" s="2" t="s">
        <v>13895</v>
      </c>
      <c r="E17811" s="3">
        <v>0</v>
      </c>
      <c r="F17811" s="2">
        <v>3308</v>
      </c>
      <c r="G17811" s="2">
        <v>97</v>
      </c>
      <c r="H17811" s="2">
        <v>677</v>
      </c>
      <c r="I17811" s="2">
        <v>1</v>
      </c>
      <c r="J17811" s="2">
        <v>2031</v>
      </c>
      <c r="K17811" s="2">
        <v>29</v>
      </c>
      <c r="L17811" s="2">
        <v>687</v>
      </c>
    </row>
    <row r="17812" spans="1:12" x14ac:dyDescent="0.25">
      <c r="A17812" s="4" t="str">
        <f>HYPERLINK("http://www.rosaceae.org/Prunus/Prunus_persica/p.persica_gdr_reftransV1_0001396","p.persica_gdr_reftransV1_0001396")</f>
        <v>p.persica_gdr_reftransV1_0001396</v>
      </c>
      <c r="B17812" s="2">
        <v>546</v>
      </c>
      <c r="C17812" s="4" t="str">
        <f>HYPERLINK("http://www.uniprot.org/uniprot/B2R4C5","B2R4C5")</f>
        <v>B2R4C5</v>
      </c>
      <c r="D17812" s="2" t="s">
        <v>13896</v>
      </c>
      <c r="E17812" s="3">
        <v>4.5800000000000001E-103</v>
      </c>
      <c r="F17812" s="2">
        <v>780</v>
      </c>
      <c r="G17812" s="2">
        <v>100</v>
      </c>
      <c r="H17812" s="2">
        <v>148</v>
      </c>
      <c r="I17812" s="2">
        <v>84</v>
      </c>
      <c r="J17812" s="2">
        <v>527</v>
      </c>
      <c r="K17812" s="2">
        <v>1</v>
      </c>
      <c r="L17812" s="2">
        <v>148</v>
      </c>
    </row>
    <row r="17813" spans="1:12" x14ac:dyDescent="0.25">
      <c r="A17813" s="4" t="str">
        <f>HYPERLINK("http://www.rosaceae.org/Prunus/Prunus_persica/p.persica_gdr_reftransV1_0001746","p.persica_gdr_reftransV1_0001746")</f>
        <v>p.persica_gdr_reftransV1_0001746</v>
      </c>
      <c r="B17813" s="2">
        <v>1453</v>
      </c>
      <c r="C17813" s="4" t="str">
        <f>HYPERLINK("http://www.uniprot.org/uniprot/M5W9K8","M5W9K8")</f>
        <v>M5W9K8</v>
      </c>
      <c r="D17813" s="2" t="s">
        <v>9113</v>
      </c>
      <c r="E17813" s="3">
        <v>1.3300000000000001E-158</v>
      </c>
      <c r="F17813" s="2">
        <v>1195</v>
      </c>
      <c r="G17813" s="2">
        <v>100</v>
      </c>
      <c r="H17813" s="2">
        <v>223</v>
      </c>
      <c r="I17813" s="2">
        <v>143</v>
      </c>
      <c r="J17813" s="2">
        <v>811</v>
      </c>
      <c r="K17813" s="2">
        <v>94</v>
      </c>
      <c r="L17813" s="2">
        <v>316</v>
      </c>
    </row>
    <row r="17814" spans="1:12" x14ac:dyDescent="0.25">
      <c r="A17814" s="4" t="str">
        <f>HYPERLINK("http://www.rosaceae.org/Prunus/Prunus_persica/p.persica_gdr_reftransV1_0002096","p.persica_gdr_reftransV1_0002096")</f>
        <v>p.persica_gdr_reftransV1_0002096</v>
      </c>
      <c r="B17814" s="2">
        <v>500</v>
      </c>
      <c r="C17814" s="4" t="str">
        <f>HYPERLINK("http://www.uniprot.org/uniprot/W9IFW7","W9IFW7")</f>
        <v>W9IFW7</v>
      </c>
      <c r="D17814" s="2" t="s">
        <v>13897</v>
      </c>
      <c r="E17814" s="3">
        <v>1.04E-75</v>
      </c>
      <c r="F17814" s="2">
        <v>608</v>
      </c>
      <c r="G17814" s="2">
        <v>91</v>
      </c>
      <c r="H17814" s="2">
        <v>148</v>
      </c>
      <c r="I17814" s="2">
        <v>3</v>
      </c>
      <c r="J17814" s="2">
        <v>446</v>
      </c>
      <c r="K17814" s="2">
        <v>1</v>
      </c>
      <c r="L17814" s="2">
        <v>148</v>
      </c>
    </row>
    <row r="17815" spans="1:12" x14ac:dyDescent="0.25">
      <c r="A17815" s="4" t="str">
        <f>HYPERLINK("http://www.rosaceae.org/Prunus/Prunus_persica/p.persica_gdr_reftransV1_0002796","p.persica_gdr_reftransV1_0002796")</f>
        <v>p.persica_gdr_reftransV1_0002796</v>
      </c>
      <c r="B17815" s="2">
        <v>1510</v>
      </c>
      <c r="C17815" s="4" t="str">
        <f>HYPERLINK("http://www.uniprot.org/uniprot/M5WTM7","M5WTM7")</f>
        <v>M5WTM7</v>
      </c>
      <c r="D17815" s="2" t="s">
        <v>13898</v>
      </c>
      <c r="E17815" s="3">
        <v>0</v>
      </c>
      <c r="F17815" s="2">
        <v>1413</v>
      </c>
      <c r="G17815" s="2">
        <v>100</v>
      </c>
      <c r="H17815" s="2">
        <v>262</v>
      </c>
      <c r="I17815" s="2">
        <v>335</v>
      </c>
      <c r="J17815" s="2">
        <v>1120</v>
      </c>
      <c r="K17815" s="2">
        <v>1</v>
      </c>
      <c r="L17815" s="2">
        <v>262</v>
      </c>
    </row>
    <row r="17816" spans="1:12" x14ac:dyDescent="0.25">
      <c r="A17816" s="4" t="str">
        <f>HYPERLINK("http://www.rosaceae.org/Prunus/Prunus_persica/p.persica_gdr_reftransV1_0003146","p.persica_gdr_reftransV1_0003146")</f>
        <v>p.persica_gdr_reftransV1_0003146</v>
      </c>
      <c r="B17816" s="2">
        <v>1626</v>
      </c>
      <c r="C17816" s="4" t="str">
        <f>HYPERLINK("http://www.uniprot.org/uniprot/M5VKI0","M5VKI0")</f>
        <v>M5VKI0</v>
      </c>
      <c r="D17816" s="2" t="s">
        <v>12378</v>
      </c>
      <c r="E17816" s="3">
        <v>0</v>
      </c>
      <c r="F17816" s="2">
        <v>1437</v>
      </c>
      <c r="G17816" s="2">
        <v>100</v>
      </c>
      <c r="H17816" s="2">
        <v>321</v>
      </c>
      <c r="I17816" s="2">
        <v>265</v>
      </c>
      <c r="J17816" s="2">
        <v>1227</v>
      </c>
      <c r="K17816" s="2">
        <v>1</v>
      </c>
      <c r="L17816" s="2">
        <v>321</v>
      </c>
    </row>
    <row r="17817" spans="1:12" x14ac:dyDescent="0.25">
      <c r="A17817" s="4" t="str">
        <f>HYPERLINK("http://www.rosaceae.org/Prunus/Prunus_persica/p.persica_gdr_reftransV1_0003496","p.persica_gdr_reftransV1_0003496")</f>
        <v>p.persica_gdr_reftransV1_0003496</v>
      </c>
      <c r="B17817" s="2">
        <v>518</v>
      </c>
      <c r="C17817" s="4" t="str">
        <f>HYPERLINK("http://www.uniprot.org/uniprot/M5WHD8","M5WHD8")</f>
        <v>M5WHD8</v>
      </c>
      <c r="D17817" s="2" t="s">
        <v>13899</v>
      </c>
      <c r="E17817" s="3">
        <v>5.4999999999999997E-98</v>
      </c>
      <c r="F17817" s="2">
        <v>765</v>
      </c>
      <c r="G17817" s="2">
        <v>99</v>
      </c>
      <c r="H17817" s="2">
        <v>146</v>
      </c>
      <c r="I17817" s="2">
        <v>80</v>
      </c>
      <c r="J17817" s="2">
        <v>517</v>
      </c>
      <c r="K17817" s="2">
        <v>1</v>
      </c>
      <c r="L17817" s="2">
        <v>146</v>
      </c>
    </row>
    <row r="17818" spans="1:12" x14ac:dyDescent="0.25">
      <c r="A17818" s="4" t="str">
        <f>HYPERLINK("http://www.rosaceae.org/Prunus/Prunus_persica/p.persica_gdr_reftransV1_0003846","p.persica_gdr_reftransV1_0003846")</f>
        <v>p.persica_gdr_reftransV1_0003846</v>
      </c>
      <c r="B17818" s="2">
        <v>2458</v>
      </c>
      <c r="C17818" s="4" t="str">
        <f>HYPERLINK("http://www.uniprot.org/uniprot/M5WBM4","M5WBM4")</f>
        <v>M5WBM4</v>
      </c>
      <c r="D17818" s="2" t="s">
        <v>13900</v>
      </c>
      <c r="E17818" s="3">
        <v>0</v>
      </c>
      <c r="F17818" s="2">
        <v>1244</v>
      </c>
      <c r="G17818" s="2">
        <v>100</v>
      </c>
      <c r="H17818" s="2">
        <v>234</v>
      </c>
      <c r="I17818" s="2">
        <v>501</v>
      </c>
      <c r="J17818" s="2">
        <v>1202</v>
      </c>
      <c r="K17818" s="2">
        <v>255</v>
      </c>
      <c r="L17818" s="2">
        <v>488</v>
      </c>
    </row>
    <row r="17819" spans="1:12" x14ac:dyDescent="0.25">
      <c r="A17819" s="4" t="str">
        <f>HYPERLINK("http://www.rosaceae.org/Prunus/Prunus_persica/p.persica_gdr_reftransV1_0004196","p.persica_gdr_reftransV1_0004196")</f>
        <v>p.persica_gdr_reftransV1_0004196</v>
      </c>
      <c r="B17819" s="2">
        <v>1398</v>
      </c>
      <c r="C17819" s="4" t="str">
        <f>HYPERLINK("http://www.uniprot.org/uniprot/M5XZ05","M5XZ05")</f>
        <v>M5XZ05</v>
      </c>
      <c r="D17819" s="2" t="s">
        <v>7611</v>
      </c>
      <c r="E17819" s="3">
        <v>0</v>
      </c>
      <c r="F17819" s="2">
        <v>1838</v>
      </c>
      <c r="G17819" s="2">
        <v>98</v>
      </c>
      <c r="H17819" s="2">
        <v>351</v>
      </c>
      <c r="I17819" s="2">
        <v>255</v>
      </c>
      <c r="J17819" s="2">
        <v>1307</v>
      </c>
      <c r="K17819" s="2">
        <v>103</v>
      </c>
      <c r="L17819" s="2">
        <v>453</v>
      </c>
    </row>
    <row r="17820" spans="1:12" x14ac:dyDescent="0.25">
      <c r="A17820" s="4" t="str">
        <f>HYPERLINK("http://www.rosaceae.org/Prunus/Prunus_persica/p.persica_gdr_reftransV1_0004546","p.persica_gdr_reftransV1_0004546")</f>
        <v>p.persica_gdr_reftransV1_0004546</v>
      </c>
      <c r="B17820" s="2">
        <v>674</v>
      </c>
      <c r="C17820" s="4" t="str">
        <f>HYPERLINK("http://www.uniprot.org/uniprot/M5W3Q2","M5W3Q2")</f>
        <v>M5W3Q2</v>
      </c>
      <c r="D17820" s="2" t="s">
        <v>13901</v>
      </c>
      <c r="E17820" s="3">
        <v>1.87E-58</v>
      </c>
      <c r="F17820" s="2">
        <v>491</v>
      </c>
      <c r="G17820" s="2">
        <v>99</v>
      </c>
      <c r="H17820" s="2">
        <v>94</v>
      </c>
      <c r="I17820" s="2">
        <v>211</v>
      </c>
      <c r="J17820" s="2">
        <v>492</v>
      </c>
      <c r="K17820" s="2">
        <v>9</v>
      </c>
      <c r="L17820" s="2">
        <v>102</v>
      </c>
    </row>
    <row r="17821" spans="1:12" x14ac:dyDescent="0.25">
      <c r="A17821" s="4" t="str">
        <f>HYPERLINK("http://www.rosaceae.org/Prunus/Prunus_persica/p.persica_gdr_reftransV1_0005246","p.persica_gdr_reftransV1_0005246")</f>
        <v>p.persica_gdr_reftransV1_0005246</v>
      </c>
      <c r="B17821" s="2">
        <v>343</v>
      </c>
      <c r="C17821" s="4" t="str">
        <f>HYPERLINK("http://www.uniprot.org/uniprot/M5W756","M5W756")</f>
        <v>M5W756</v>
      </c>
      <c r="D17821" s="2" t="s">
        <v>10282</v>
      </c>
      <c r="E17821" s="3">
        <v>2.8300000000000001E-24</v>
      </c>
      <c r="F17821" s="2">
        <v>265</v>
      </c>
      <c r="G17821" s="2">
        <v>98</v>
      </c>
      <c r="H17821" s="2">
        <v>51</v>
      </c>
      <c r="I17821" s="2">
        <v>1</v>
      </c>
      <c r="J17821" s="2">
        <v>153</v>
      </c>
      <c r="K17821" s="2">
        <v>124</v>
      </c>
      <c r="L17821" s="2">
        <v>174</v>
      </c>
    </row>
    <row r="17822" spans="1:12" x14ac:dyDescent="0.25">
      <c r="A17822" s="4" t="str">
        <f>HYPERLINK("http://www.rosaceae.org/Prunus/Prunus_persica/p.persica_gdr_reftransV1_0005596","p.persica_gdr_reftransV1_0005596")</f>
        <v>p.persica_gdr_reftransV1_0005596</v>
      </c>
      <c r="B17822" s="2">
        <v>521</v>
      </c>
      <c r="C17822" s="4" t="str">
        <f>HYPERLINK("http://www.uniprot.org/uniprot/Q6YL54","Q6YL54")</f>
        <v>Q6YL54</v>
      </c>
      <c r="D17822" s="2" t="s">
        <v>13902</v>
      </c>
      <c r="E17822" s="3">
        <v>4.7199999999999997E-76</v>
      </c>
      <c r="F17822" s="2">
        <v>660</v>
      </c>
      <c r="G17822" s="2">
        <v>99</v>
      </c>
      <c r="H17822" s="2">
        <v>150</v>
      </c>
      <c r="I17822" s="2">
        <v>71</v>
      </c>
      <c r="J17822" s="2">
        <v>520</v>
      </c>
      <c r="K17822" s="2">
        <v>47</v>
      </c>
      <c r="L17822" s="2">
        <v>196</v>
      </c>
    </row>
    <row r="17823" spans="1:12" x14ac:dyDescent="0.25">
      <c r="A17823" s="4" t="str">
        <f>HYPERLINK("http://www.rosaceae.org/Prunus/Prunus_persica/p.persica_gdr_reftransV1_0006296","p.persica_gdr_reftransV1_0006296")</f>
        <v>p.persica_gdr_reftransV1_0006296</v>
      </c>
      <c r="B17823" s="2">
        <v>569</v>
      </c>
      <c r="C17823" s="4" t="str">
        <f>HYPERLINK("http://www.uniprot.org/uniprot/M5VPD4","M5VPD4")</f>
        <v>M5VPD4</v>
      </c>
      <c r="D17823" s="2" t="s">
        <v>9524</v>
      </c>
      <c r="E17823" s="3">
        <v>1.01E-121</v>
      </c>
      <c r="F17823" s="2">
        <v>905</v>
      </c>
      <c r="G17823" s="2">
        <v>100</v>
      </c>
      <c r="H17823" s="2">
        <v>168</v>
      </c>
      <c r="I17823" s="2">
        <v>1</v>
      </c>
      <c r="J17823" s="2">
        <v>504</v>
      </c>
      <c r="K17823" s="2">
        <v>1</v>
      </c>
      <c r="L17823" s="2">
        <v>168</v>
      </c>
    </row>
    <row r="17824" spans="1:12" x14ac:dyDescent="0.25">
      <c r="A17824" s="4" t="str">
        <f>HYPERLINK("http://www.rosaceae.org/Prunus/Prunus_persica/p.persica_gdr_reftransV1_0006646","p.persica_gdr_reftransV1_0006646")</f>
        <v>p.persica_gdr_reftransV1_0006646</v>
      </c>
      <c r="B17824" s="2">
        <v>1638</v>
      </c>
      <c r="C17824" s="4" t="str">
        <f>HYPERLINK("http://www.uniprot.org/uniprot/M5W9M7","M5W9M7")</f>
        <v>M5W9M7</v>
      </c>
      <c r="D17824" s="2" t="s">
        <v>13903</v>
      </c>
      <c r="E17824" s="3">
        <v>2.0699999999999999E-139</v>
      </c>
      <c r="F17824" s="2">
        <v>1073</v>
      </c>
      <c r="G17824" s="2">
        <v>87</v>
      </c>
      <c r="H17824" s="2">
        <v>252</v>
      </c>
      <c r="I17824" s="2">
        <v>61</v>
      </c>
      <c r="J17824" s="2">
        <v>813</v>
      </c>
      <c r="K17824" s="2">
        <v>1</v>
      </c>
      <c r="L17824" s="2">
        <v>252</v>
      </c>
    </row>
    <row r="17825" spans="1:12" x14ac:dyDescent="0.25">
      <c r="A17825" s="4" t="str">
        <f>HYPERLINK("http://www.rosaceae.org/Prunus/Prunus_persica/p.persica_gdr_reftransV1_0006996","p.persica_gdr_reftransV1_0006996")</f>
        <v>p.persica_gdr_reftransV1_0006996</v>
      </c>
      <c r="B17825" s="2">
        <v>620</v>
      </c>
      <c r="C17825" s="4" t="str">
        <f>HYPERLINK("http://www.uniprot.org/uniprot/M5XBM0","M5XBM0")</f>
        <v>M5XBM0</v>
      </c>
      <c r="D17825" s="2" t="s">
        <v>5298</v>
      </c>
      <c r="E17825" s="3">
        <v>9.9100000000000003E-78</v>
      </c>
      <c r="F17825" s="2">
        <v>645</v>
      </c>
      <c r="G17825" s="2">
        <v>100</v>
      </c>
      <c r="H17825" s="2">
        <v>115</v>
      </c>
      <c r="I17825" s="2">
        <v>3</v>
      </c>
      <c r="J17825" s="2">
        <v>347</v>
      </c>
      <c r="K17825" s="2">
        <v>1</v>
      </c>
      <c r="L17825" s="2">
        <v>115</v>
      </c>
    </row>
    <row r="17826" spans="1:12" x14ac:dyDescent="0.25">
      <c r="A17826" s="4" t="str">
        <f>HYPERLINK("http://www.rosaceae.org/Prunus/Prunus_persica/p.persica_gdr_reftransV1_0007346","p.persica_gdr_reftransV1_0007346")</f>
        <v>p.persica_gdr_reftransV1_0007346</v>
      </c>
      <c r="B17826" s="2">
        <v>1945</v>
      </c>
      <c r="C17826" s="4" t="str">
        <f>HYPERLINK("http://www.uniprot.org/uniprot/M5WBQ4","M5WBQ4")</f>
        <v>M5WBQ4</v>
      </c>
      <c r="D17826" s="2" t="s">
        <v>13904</v>
      </c>
      <c r="E17826" s="3">
        <v>0</v>
      </c>
      <c r="F17826" s="2">
        <v>2266</v>
      </c>
      <c r="G17826" s="2">
        <v>100</v>
      </c>
      <c r="H17826" s="2">
        <v>472</v>
      </c>
      <c r="I17826" s="2">
        <v>220</v>
      </c>
      <c r="J17826" s="2">
        <v>1635</v>
      </c>
      <c r="K17826" s="2">
        <v>1</v>
      </c>
      <c r="L17826" s="2">
        <v>472</v>
      </c>
    </row>
    <row r="17827" spans="1:12" x14ac:dyDescent="0.25">
      <c r="A17827" s="4" t="str">
        <f>HYPERLINK("http://www.rosaceae.org/Prunus/Prunus_persica/p.persica_gdr_reftransV1_0007696","p.persica_gdr_reftransV1_0007696")</f>
        <v>p.persica_gdr_reftransV1_0007696</v>
      </c>
      <c r="B17827" s="2">
        <v>1180</v>
      </c>
      <c r="C17827" s="4" t="str">
        <f>HYPERLINK("http://www.uniprot.org/uniprot/M5XPW3","M5XPW3")</f>
        <v>M5XPW3</v>
      </c>
      <c r="D17827" s="2" t="s">
        <v>13905</v>
      </c>
      <c r="E17827" s="3">
        <v>1.49E-156</v>
      </c>
      <c r="F17827" s="2">
        <v>1168</v>
      </c>
      <c r="G17827" s="2">
        <v>100</v>
      </c>
      <c r="H17827" s="2">
        <v>280</v>
      </c>
      <c r="I17827" s="2">
        <v>97</v>
      </c>
      <c r="J17827" s="2">
        <v>936</v>
      </c>
      <c r="K17827" s="2">
        <v>1</v>
      </c>
      <c r="L17827" s="2">
        <v>280</v>
      </c>
    </row>
    <row r="17828" spans="1:12" x14ac:dyDescent="0.25">
      <c r="A17828" s="4" t="str">
        <f>HYPERLINK("http://www.rosaceae.org/Prunus/Prunus_persica/p.persica_gdr_reftransV1_0008046","p.persica_gdr_reftransV1_0008046")</f>
        <v>p.persica_gdr_reftransV1_0008046</v>
      </c>
      <c r="B17828" s="2">
        <v>2020</v>
      </c>
      <c r="C17828" s="4" t="str">
        <f>HYPERLINK("http://www.uniprot.org/uniprot/M5WUV0","M5WUV0")</f>
        <v>M5WUV0</v>
      </c>
      <c r="D17828" s="2" t="s">
        <v>13906</v>
      </c>
      <c r="E17828" s="3">
        <v>3.5199999999999998E-164</v>
      </c>
      <c r="F17828" s="2">
        <v>1243</v>
      </c>
      <c r="G17828" s="2">
        <v>100</v>
      </c>
      <c r="H17828" s="2">
        <v>243</v>
      </c>
      <c r="I17828" s="2">
        <v>940</v>
      </c>
      <c r="J17828" s="2">
        <v>1668</v>
      </c>
      <c r="K17828" s="2">
        <v>1</v>
      </c>
      <c r="L17828" s="2">
        <v>243</v>
      </c>
    </row>
    <row r="17829" spans="1:12" x14ac:dyDescent="0.25">
      <c r="A17829" s="4" t="str">
        <f>HYPERLINK("http://www.rosaceae.org/Prunus/Prunus_persica/p.persica_gdr_reftransV1_0009096","p.persica_gdr_reftransV1_0009096")</f>
        <v>p.persica_gdr_reftransV1_0009096</v>
      </c>
      <c r="B17829" s="2">
        <v>947</v>
      </c>
      <c r="C17829" s="4" t="str">
        <f>HYPERLINK("http://www.uniprot.org/uniprot/M5WYG3","M5WYG3")</f>
        <v>M5WYG3</v>
      </c>
      <c r="D17829" s="2" t="s">
        <v>870</v>
      </c>
      <c r="E17829" s="3">
        <v>0</v>
      </c>
      <c r="F17829" s="2">
        <v>1709</v>
      </c>
      <c r="G17829" s="2">
        <v>100</v>
      </c>
      <c r="H17829" s="2">
        <v>315</v>
      </c>
      <c r="I17829" s="2">
        <v>1</v>
      </c>
      <c r="J17829" s="2">
        <v>945</v>
      </c>
      <c r="K17829" s="2">
        <v>184</v>
      </c>
      <c r="L17829" s="2">
        <v>498</v>
      </c>
    </row>
    <row r="17830" spans="1:12" x14ac:dyDescent="0.25">
      <c r="A17830" s="4" t="str">
        <f>HYPERLINK("http://www.rosaceae.org/Prunus/Prunus_persica/p.persica_gdr_reftransV1_0009446","p.persica_gdr_reftransV1_0009446")</f>
        <v>p.persica_gdr_reftransV1_0009446</v>
      </c>
      <c r="B17830" s="2">
        <v>2293</v>
      </c>
      <c r="C17830" s="4" t="str">
        <f>HYPERLINK("http://www.uniprot.org/uniprot/M5Y3H2","M5Y3H2")</f>
        <v>M5Y3H2</v>
      </c>
      <c r="D17830" s="2" t="s">
        <v>13907</v>
      </c>
      <c r="E17830" s="3">
        <v>0</v>
      </c>
      <c r="F17830" s="2">
        <v>3195</v>
      </c>
      <c r="G17830" s="2">
        <v>100</v>
      </c>
      <c r="H17830" s="2">
        <v>656</v>
      </c>
      <c r="I17830" s="2">
        <v>247</v>
      </c>
      <c r="J17830" s="2">
        <v>2214</v>
      </c>
      <c r="K17830" s="2">
        <v>1</v>
      </c>
      <c r="L17830" s="2">
        <v>654</v>
      </c>
    </row>
    <row r="17831" spans="1:12" x14ac:dyDescent="0.25">
      <c r="A17831" s="4" t="str">
        <f>HYPERLINK("http://www.rosaceae.org/Prunus/Prunus_persica/p.persica_gdr_reftransV1_0009796","p.persica_gdr_reftransV1_0009796")</f>
        <v>p.persica_gdr_reftransV1_0009796</v>
      </c>
      <c r="B17831" s="2">
        <v>4458</v>
      </c>
      <c r="C17831" s="4" t="str">
        <f>HYPERLINK("http://www.uniprot.org/uniprot/M5XQL7","M5XQL7")</f>
        <v>M5XQL7</v>
      </c>
      <c r="D17831" s="2" t="s">
        <v>13908</v>
      </c>
      <c r="E17831" s="3">
        <v>0</v>
      </c>
      <c r="F17831" s="2">
        <v>3748</v>
      </c>
      <c r="G17831" s="2">
        <v>100</v>
      </c>
      <c r="H17831" s="2">
        <v>799</v>
      </c>
      <c r="I17831" s="2">
        <v>1992</v>
      </c>
      <c r="J17831" s="2">
        <v>4388</v>
      </c>
      <c r="K17831" s="2">
        <v>1</v>
      </c>
      <c r="L17831" s="2">
        <v>799</v>
      </c>
    </row>
    <row r="17832" spans="1:12" x14ac:dyDescent="0.25">
      <c r="A17832" s="4" t="str">
        <f>HYPERLINK("http://www.rosaceae.org/Prunus/Prunus_persica/p.persica_gdr_reftransV1_0010146","p.persica_gdr_reftransV1_0010146")</f>
        <v>p.persica_gdr_reftransV1_0010146</v>
      </c>
      <c r="B17832" s="2">
        <v>1487</v>
      </c>
      <c r="C17832" s="4" t="str">
        <f>HYPERLINK("http://www.uniprot.org/uniprot/M5WMR4","M5WMR4")</f>
        <v>M5WMR4</v>
      </c>
      <c r="D17832" s="2" t="s">
        <v>13909</v>
      </c>
      <c r="E17832" s="3">
        <v>0</v>
      </c>
      <c r="F17832" s="2">
        <v>1629</v>
      </c>
      <c r="G17832" s="2">
        <v>100</v>
      </c>
      <c r="H17832" s="2">
        <v>316</v>
      </c>
      <c r="I17832" s="2">
        <v>55</v>
      </c>
      <c r="J17832" s="2">
        <v>1002</v>
      </c>
      <c r="K17832" s="2">
        <v>1</v>
      </c>
      <c r="L17832" s="2">
        <v>316</v>
      </c>
    </row>
    <row r="17833" spans="1:12" x14ac:dyDescent="0.25">
      <c r="A17833" s="4" t="str">
        <f>HYPERLINK("http://www.rosaceae.org/Prunus/Prunus_persica/p.persica_gdr_reftransV1_0010496","p.persica_gdr_reftransV1_0010496")</f>
        <v>p.persica_gdr_reftransV1_0010496</v>
      </c>
      <c r="B17833" s="2">
        <v>2956</v>
      </c>
      <c r="C17833" s="4" t="str">
        <f>HYPERLINK("http://www.uniprot.org/uniprot/M5XIW4","M5XIW4")</f>
        <v>M5XIW4</v>
      </c>
      <c r="D17833" s="2" t="s">
        <v>7870</v>
      </c>
      <c r="E17833" s="3">
        <v>0</v>
      </c>
      <c r="F17833" s="2">
        <v>1768</v>
      </c>
      <c r="G17833" s="2">
        <v>100</v>
      </c>
      <c r="H17833" s="2">
        <v>421</v>
      </c>
      <c r="I17833" s="2">
        <v>363</v>
      </c>
      <c r="J17833" s="2">
        <v>1625</v>
      </c>
      <c r="K17833" s="2">
        <v>1</v>
      </c>
      <c r="L17833" s="2">
        <v>421</v>
      </c>
    </row>
    <row r="17834" spans="1:12" x14ac:dyDescent="0.25">
      <c r="A17834" s="4" t="str">
        <f>HYPERLINK("http://www.rosaceae.org/Prunus/Prunus_persica/p.persica_gdr_reftransV1_0010846","p.persica_gdr_reftransV1_0010846")</f>
        <v>p.persica_gdr_reftransV1_0010846</v>
      </c>
      <c r="B17834" s="2">
        <v>1335</v>
      </c>
      <c r="C17834" s="4" t="str">
        <f>HYPERLINK("http://www.uniprot.org/uniprot/M5XTE9","M5XTE9")</f>
        <v>M5XTE9</v>
      </c>
      <c r="D17834" s="2" t="s">
        <v>13910</v>
      </c>
      <c r="E17834" s="3">
        <v>5.4200000000000002E-85</v>
      </c>
      <c r="F17834" s="2">
        <v>687</v>
      </c>
      <c r="G17834" s="2">
        <v>100</v>
      </c>
      <c r="H17834" s="2">
        <v>154</v>
      </c>
      <c r="I17834" s="2">
        <v>489</v>
      </c>
      <c r="J17834" s="2">
        <v>950</v>
      </c>
      <c r="K17834" s="2">
        <v>1</v>
      </c>
      <c r="L17834" s="2">
        <v>154</v>
      </c>
    </row>
    <row r="17835" spans="1:12" x14ac:dyDescent="0.25">
      <c r="A17835" s="4" t="str">
        <f>HYPERLINK("http://www.rosaceae.org/Prunus/Prunus_persica/p.persica_gdr_reftransV1_0011896","p.persica_gdr_reftransV1_0011896")</f>
        <v>p.persica_gdr_reftransV1_0011896</v>
      </c>
      <c r="B17835" s="2">
        <v>1431</v>
      </c>
      <c r="C17835" s="4" t="str">
        <f>HYPERLINK("http://www.uniprot.org/uniprot/A0A067GP02","A0A067GP02")</f>
        <v>A0A067GP02</v>
      </c>
      <c r="D17835" s="2" t="s">
        <v>13911</v>
      </c>
      <c r="E17835" s="3">
        <v>7.2700000000000002E-128</v>
      </c>
      <c r="F17835" s="2">
        <v>988</v>
      </c>
      <c r="G17835" s="2">
        <v>82</v>
      </c>
      <c r="H17835" s="2">
        <v>265</v>
      </c>
      <c r="I17835" s="2">
        <v>195</v>
      </c>
      <c r="J17835" s="2">
        <v>989</v>
      </c>
      <c r="K17835" s="2">
        <v>23</v>
      </c>
      <c r="L17835" s="2">
        <v>287</v>
      </c>
    </row>
    <row r="17836" spans="1:12" x14ac:dyDescent="0.25">
      <c r="A17836" s="4" t="str">
        <f>HYPERLINK("http://www.rosaceae.org/Prunus/Prunus_persica/p.persica_gdr_reftransV1_0012596","p.persica_gdr_reftransV1_0012596")</f>
        <v>p.persica_gdr_reftransV1_0012596</v>
      </c>
      <c r="B17836" s="2">
        <v>3273</v>
      </c>
      <c r="C17836" s="4" t="str">
        <f>HYPERLINK("http://www.uniprot.org/uniprot/M5VRZ9","M5VRZ9")</f>
        <v>M5VRZ9</v>
      </c>
      <c r="D17836" s="2" t="s">
        <v>13912</v>
      </c>
      <c r="E17836" s="3">
        <v>0</v>
      </c>
      <c r="F17836" s="2">
        <v>2056</v>
      </c>
      <c r="G17836" s="2">
        <v>100</v>
      </c>
      <c r="H17836" s="2">
        <v>401</v>
      </c>
      <c r="I17836" s="2">
        <v>223</v>
      </c>
      <c r="J17836" s="2">
        <v>1425</v>
      </c>
      <c r="K17836" s="2">
        <v>1</v>
      </c>
      <c r="L17836" s="2">
        <v>401</v>
      </c>
    </row>
    <row r="17837" spans="1:12" x14ac:dyDescent="0.25">
      <c r="A17837" s="4" t="str">
        <f>HYPERLINK("http://www.rosaceae.org/Prunus/Prunus_persica/p.persica_gdr_reftransV1_0012946","p.persica_gdr_reftransV1_0012946")</f>
        <v>p.persica_gdr_reftransV1_0012946</v>
      </c>
      <c r="B17837" s="2">
        <v>1646</v>
      </c>
      <c r="C17837" s="4" t="str">
        <f>HYPERLINK("http://www.uniprot.org/uniprot/M5XK86","M5XK86")</f>
        <v>M5XK86</v>
      </c>
      <c r="D17837" s="2" t="s">
        <v>13913</v>
      </c>
      <c r="E17837" s="3">
        <v>7.3899999999999998E-154</v>
      </c>
      <c r="F17837" s="2">
        <v>1177</v>
      </c>
      <c r="G17837" s="2">
        <v>90</v>
      </c>
      <c r="H17837" s="2">
        <v>273</v>
      </c>
      <c r="I17837" s="2">
        <v>9</v>
      </c>
      <c r="J17837" s="2">
        <v>827</v>
      </c>
      <c r="K17837" s="2">
        <v>124</v>
      </c>
      <c r="L17837" s="2">
        <v>381</v>
      </c>
    </row>
    <row r="17838" spans="1:12" x14ac:dyDescent="0.25">
      <c r="A17838" s="4" t="str">
        <f>HYPERLINK("http://www.rosaceae.org/Prunus/Prunus_persica/p.persica_gdr_reftransV1_0013296","p.persica_gdr_reftransV1_0013296")</f>
        <v>p.persica_gdr_reftransV1_0013296</v>
      </c>
      <c r="B17838" s="2">
        <v>665</v>
      </c>
      <c r="C17838" s="4" t="str">
        <f>HYPERLINK("http://www.uniprot.org/uniprot/M5WXI7","M5WXI7")</f>
        <v>M5WXI7</v>
      </c>
      <c r="D17838" s="2" t="s">
        <v>13914</v>
      </c>
      <c r="E17838" s="3">
        <v>1.4899999999999998E-67</v>
      </c>
      <c r="F17838" s="2">
        <v>547</v>
      </c>
      <c r="G17838" s="2">
        <v>100</v>
      </c>
      <c r="H17838" s="2">
        <v>119</v>
      </c>
      <c r="I17838" s="2">
        <v>100</v>
      </c>
      <c r="J17838" s="2">
        <v>456</v>
      </c>
      <c r="K17838" s="2">
        <v>1</v>
      </c>
      <c r="L17838" s="2">
        <v>119</v>
      </c>
    </row>
    <row r="17839" spans="1:12" x14ac:dyDescent="0.25">
      <c r="A17839" s="4" t="str">
        <f>HYPERLINK("http://www.rosaceae.org/Prunus/Prunus_persica/p.persica_gdr_reftransV1_0013646","p.persica_gdr_reftransV1_0013646")</f>
        <v>p.persica_gdr_reftransV1_0013646</v>
      </c>
      <c r="B17839" s="2">
        <v>4343</v>
      </c>
      <c r="C17839" s="4" t="str">
        <f>HYPERLINK("http://www.uniprot.org/uniprot/M5XSP1","M5XSP1")</f>
        <v>M5XSP1</v>
      </c>
      <c r="D17839" s="2" t="s">
        <v>13915</v>
      </c>
      <c r="E17839" s="3">
        <v>0</v>
      </c>
      <c r="F17839" s="2">
        <v>6438</v>
      </c>
      <c r="G17839" s="2">
        <v>99</v>
      </c>
      <c r="H17839" s="2">
        <v>1324</v>
      </c>
      <c r="I17839" s="2">
        <v>378</v>
      </c>
      <c r="J17839" s="2">
        <v>4343</v>
      </c>
      <c r="K17839" s="2">
        <v>48</v>
      </c>
      <c r="L17839" s="2">
        <v>1371</v>
      </c>
    </row>
    <row r="17840" spans="1:12" x14ac:dyDescent="0.25">
      <c r="A17840" s="4" t="str">
        <f>HYPERLINK("http://www.rosaceae.org/Prunus/Prunus_persica/p.persica_gdr_reftransV1_0014346","p.persica_gdr_reftransV1_0014346")</f>
        <v>p.persica_gdr_reftransV1_0014346</v>
      </c>
      <c r="B17840" s="2">
        <v>1561</v>
      </c>
      <c r="C17840" s="4" t="str">
        <f>HYPERLINK("http://www.uniprot.org/uniprot/M5WUN6","M5WUN6")</f>
        <v>M5WUN6</v>
      </c>
      <c r="D17840" s="2" t="s">
        <v>13916</v>
      </c>
      <c r="E17840" s="3">
        <v>0</v>
      </c>
      <c r="F17840" s="2">
        <v>1690</v>
      </c>
      <c r="G17840" s="2">
        <v>100</v>
      </c>
      <c r="H17840" s="2">
        <v>362</v>
      </c>
      <c r="I17840" s="2">
        <v>345</v>
      </c>
      <c r="J17840" s="2">
        <v>1430</v>
      </c>
      <c r="K17840" s="2">
        <v>1</v>
      </c>
      <c r="L17840" s="2">
        <v>362</v>
      </c>
    </row>
    <row r="17841" spans="1:12" x14ac:dyDescent="0.25">
      <c r="A17841" s="4" t="str">
        <f>HYPERLINK("http://www.rosaceae.org/Prunus/Prunus_persica/p.persica_gdr_reftransV1_0015396","p.persica_gdr_reftransV1_0015396")</f>
        <v>p.persica_gdr_reftransV1_0015396</v>
      </c>
      <c r="B17841" s="2">
        <v>703</v>
      </c>
      <c r="C17841" s="4" t="str">
        <f>HYPERLINK("http://www.uniprot.org/uniprot/M5WKN8","M5WKN8")</f>
        <v>M5WKN8</v>
      </c>
      <c r="D17841" s="2" t="s">
        <v>3284</v>
      </c>
      <c r="E17841" s="3">
        <v>2.0900000000000001E-128</v>
      </c>
      <c r="F17841" s="2">
        <v>1011</v>
      </c>
      <c r="G17841" s="2">
        <v>100</v>
      </c>
      <c r="H17841" s="2">
        <v>221</v>
      </c>
      <c r="I17841" s="2">
        <v>3</v>
      </c>
      <c r="J17841" s="2">
        <v>665</v>
      </c>
      <c r="K17841" s="2">
        <v>597</v>
      </c>
      <c r="L17841" s="2">
        <v>817</v>
      </c>
    </row>
    <row r="17842" spans="1:12" x14ac:dyDescent="0.25">
      <c r="A17842" s="4" t="str">
        <f>HYPERLINK("http://www.rosaceae.org/Prunus/Prunus_persica/p.persica_gdr_reftransV1_0016096","p.persica_gdr_reftransV1_0016096")</f>
        <v>p.persica_gdr_reftransV1_0016096</v>
      </c>
      <c r="B17842" s="2">
        <v>2019</v>
      </c>
      <c r="C17842" s="4" t="str">
        <f>HYPERLINK("http://www.uniprot.org/uniprot/M5VZR5","M5VZR5")</f>
        <v>M5VZR5</v>
      </c>
      <c r="D17842" s="2" t="s">
        <v>13917</v>
      </c>
      <c r="E17842" s="3">
        <v>0</v>
      </c>
      <c r="F17842" s="2">
        <v>1703</v>
      </c>
      <c r="G17842" s="2">
        <v>100</v>
      </c>
      <c r="H17842" s="2">
        <v>329</v>
      </c>
      <c r="I17842" s="2">
        <v>299</v>
      </c>
      <c r="J17842" s="2">
        <v>1285</v>
      </c>
      <c r="K17842" s="2">
        <v>1</v>
      </c>
      <c r="L17842" s="2">
        <v>329</v>
      </c>
    </row>
    <row r="17843" spans="1:12" x14ac:dyDescent="0.25">
      <c r="A17843" s="4" t="str">
        <f>HYPERLINK("http://www.rosaceae.org/Prunus/Prunus_persica/p.persica_gdr_reftransV1_0016796","p.persica_gdr_reftransV1_0016796")</f>
        <v>p.persica_gdr_reftransV1_0016796</v>
      </c>
      <c r="B17843" s="2">
        <v>3242</v>
      </c>
      <c r="C17843" s="4" t="str">
        <f>HYPERLINK("http://www.uniprot.org/uniprot/M5X8P4","M5X8P4")</f>
        <v>M5X8P4</v>
      </c>
      <c r="D17843" s="2" t="s">
        <v>13918</v>
      </c>
      <c r="E17843" s="3">
        <v>0</v>
      </c>
      <c r="F17843" s="2">
        <v>2877</v>
      </c>
      <c r="G17843" s="2">
        <v>100</v>
      </c>
      <c r="H17843" s="2">
        <v>644</v>
      </c>
      <c r="I17843" s="2">
        <v>888</v>
      </c>
      <c r="J17843" s="2">
        <v>2819</v>
      </c>
      <c r="K17843" s="2">
        <v>1</v>
      </c>
      <c r="L17843" s="2">
        <v>644</v>
      </c>
    </row>
    <row r="17844" spans="1:12" x14ac:dyDescent="0.25">
      <c r="A17844" s="4" t="str">
        <f>HYPERLINK("http://www.rosaceae.org/Prunus/Prunus_persica/p.persica_gdr_reftransV1_0017146","p.persica_gdr_reftransV1_0017146")</f>
        <v>p.persica_gdr_reftransV1_0017146</v>
      </c>
      <c r="B17844" s="2">
        <v>1494</v>
      </c>
      <c r="C17844" s="4" t="str">
        <f>HYPERLINK("http://www.uniprot.org/uniprot/M5VZ33","M5VZ33")</f>
        <v>M5VZ33</v>
      </c>
      <c r="D17844" s="2" t="s">
        <v>13391</v>
      </c>
      <c r="E17844" s="3">
        <v>0</v>
      </c>
      <c r="F17844" s="2">
        <v>1822</v>
      </c>
      <c r="G17844" s="2">
        <v>100</v>
      </c>
      <c r="H17844" s="2">
        <v>337</v>
      </c>
      <c r="I17844" s="2">
        <v>152</v>
      </c>
      <c r="J17844" s="2">
        <v>1162</v>
      </c>
      <c r="K17844" s="2">
        <v>1</v>
      </c>
      <c r="L17844" s="2">
        <v>337</v>
      </c>
    </row>
    <row r="17845" spans="1:12" x14ac:dyDescent="0.25">
      <c r="A17845" s="4" t="str">
        <f>HYPERLINK("http://www.rosaceae.org/Prunus/Prunus_persica/p.persica_gdr_reftransV1_0017846","p.persica_gdr_reftransV1_0017846")</f>
        <v>p.persica_gdr_reftransV1_0017846</v>
      </c>
      <c r="B17845" s="2">
        <v>3198</v>
      </c>
      <c r="C17845" s="4" t="str">
        <f>HYPERLINK("http://www.uniprot.org/uniprot/M5WQB5","M5WQB5")</f>
        <v>M5WQB5</v>
      </c>
      <c r="D17845" s="2" t="s">
        <v>3294</v>
      </c>
      <c r="E17845" s="3">
        <v>0</v>
      </c>
      <c r="F17845" s="2">
        <v>1659</v>
      </c>
      <c r="G17845" s="2">
        <v>87</v>
      </c>
      <c r="H17845" s="2">
        <v>407</v>
      </c>
      <c r="I17845" s="2">
        <v>113</v>
      </c>
      <c r="J17845" s="2">
        <v>1333</v>
      </c>
      <c r="K17845" s="2">
        <v>1</v>
      </c>
      <c r="L17845" s="2">
        <v>358</v>
      </c>
    </row>
    <row r="17846" spans="1:12" x14ac:dyDescent="0.25">
      <c r="A17846" s="4" t="str">
        <f>HYPERLINK("http://www.rosaceae.org/Prunus/Prunus_persica/p.persica_gdr_reftransV1_0018196","p.persica_gdr_reftransV1_0018196")</f>
        <v>p.persica_gdr_reftransV1_0018196</v>
      </c>
      <c r="B17846" s="2">
        <v>1466</v>
      </c>
      <c r="C17846" s="4" t="str">
        <f>HYPERLINK("http://www.uniprot.org/uniprot/M5WAD3","M5WAD3")</f>
        <v>M5WAD3</v>
      </c>
      <c r="D17846" s="2" t="s">
        <v>13919</v>
      </c>
      <c r="E17846" s="3">
        <v>5.39E-165</v>
      </c>
      <c r="F17846" s="2">
        <v>1231</v>
      </c>
      <c r="G17846" s="2">
        <v>100</v>
      </c>
      <c r="H17846" s="2">
        <v>249</v>
      </c>
      <c r="I17846" s="2">
        <v>479</v>
      </c>
      <c r="J17846" s="2">
        <v>1225</v>
      </c>
      <c r="K17846" s="2">
        <v>1</v>
      </c>
      <c r="L17846" s="2">
        <v>249</v>
      </c>
    </row>
    <row r="17847" spans="1:12" x14ac:dyDescent="0.25">
      <c r="A17847" s="4" t="str">
        <f>HYPERLINK("http://www.rosaceae.org/Prunus/Prunus_persica/p.persica_gdr_reftransV1_0018896","p.persica_gdr_reftransV1_0018896")</f>
        <v>p.persica_gdr_reftransV1_0018896</v>
      </c>
      <c r="B17847" s="2">
        <v>522</v>
      </c>
      <c r="C17847" s="4" t="str">
        <f>HYPERLINK("http://www.uniprot.org/uniprot/M5X6H4","M5X6H4")</f>
        <v>M5X6H4</v>
      </c>
      <c r="D17847" s="2" t="s">
        <v>13920</v>
      </c>
      <c r="E17847" s="3">
        <v>1.21E-52</v>
      </c>
      <c r="F17847" s="2">
        <v>302</v>
      </c>
      <c r="G17847" s="2">
        <v>83</v>
      </c>
      <c r="H17847" s="2">
        <v>72</v>
      </c>
      <c r="I17847" s="2">
        <v>305</v>
      </c>
      <c r="J17847" s="2">
        <v>520</v>
      </c>
      <c r="K17847" s="2">
        <v>69</v>
      </c>
      <c r="L17847" s="2">
        <v>140</v>
      </c>
    </row>
    <row r="17848" spans="1:12" x14ac:dyDescent="0.25">
      <c r="A17848" s="4" t="str">
        <f>HYPERLINK("http://www.rosaceae.org/Prunus/Prunus_persica/p.persica_gdr_reftransV1_0020296","p.persica_gdr_reftransV1_0020296")</f>
        <v>p.persica_gdr_reftransV1_0020296</v>
      </c>
      <c r="B17848" s="2">
        <v>1713</v>
      </c>
      <c r="C17848" s="4" t="str">
        <f>HYPERLINK("http://www.uniprot.org/uniprot/M5X9G4","M5X9G4")</f>
        <v>M5X9G4</v>
      </c>
      <c r="D17848" s="2" t="s">
        <v>13322</v>
      </c>
      <c r="E17848" s="3">
        <v>0</v>
      </c>
      <c r="F17848" s="2">
        <v>2257</v>
      </c>
      <c r="G17848" s="2">
        <v>98</v>
      </c>
      <c r="H17848" s="2">
        <v>459</v>
      </c>
      <c r="I17848" s="2">
        <v>166</v>
      </c>
      <c r="J17848" s="2">
        <v>1542</v>
      </c>
      <c r="K17848" s="2">
        <v>1</v>
      </c>
      <c r="L17848" s="2">
        <v>456</v>
      </c>
    </row>
    <row r="17849" spans="1:12" x14ac:dyDescent="0.25">
      <c r="A17849" s="4" t="str">
        <f>HYPERLINK("http://www.rosaceae.org/Prunus/Prunus_persica/p.persica_gdr_reftransV1_0020646","p.persica_gdr_reftransV1_0020646")</f>
        <v>p.persica_gdr_reftransV1_0020646</v>
      </c>
      <c r="B17849" s="2">
        <v>1515</v>
      </c>
      <c r="C17849" s="4" t="str">
        <f>HYPERLINK("http://www.uniprot.org/uniprot/M5XUQ8","M5XUQ8")</f>
        <v>M5XUQ8</v>
      </c>
      <c r="D17849" s="2" t="s">
        <v>13921</v>
      </c>
      <c r="E17849" s="3">
        <v>3.3299999999999998E-112</v>
      </c>
      <c r="F17849" s="2">
        <v>902</v>
      </c>
      <c r="G17849" s="2">
        <v>96</v>
      </c>
      <c r="H17849" s="2">
        <v>181</v>
      </c>
      <c r="I17849" s="2">
        <v>972</v>
      </c>
      <c r="J17849" s="2">
        <v>1514</v>
      </c>
      <c r="K17849" s="2">
        <v>265</v>
      </c>
      <c r="L17849" s="2">
        <v>445</v>
      </c>
    </row>
    <row r="17850" spans="1:12" x14ac:dyDescent="0.25">
      <c r="A17850" s="4" t="str">
        <f>HYPERLINK("http://www.rosaceae.org/Prunus/Prunus_persica/p.persica_gdr_reftransV1_0021346","p.persica_gdr_reftransV1_0021346")</f>
        <v>p.persica_gdr_reftransV1_0021346</v>
      </c>
      <c r="B17850" s="2">
        <v>5718</v>
      </c>
      <c r="C17850" s="4" t="str">
        <f>HYPERLINK("http://www.uniprot.org/uniprot/M5XMM4","M5XMM4")</f>
        <v>M5XMM4</v>
      </c>
      <c r="D17850" s="2" t="s">
        <v>13922</v>
      </c>
      <c r="E17850" s="3">
        <v>0</v>
      </c>
      <c r="F17850" s="2">
        <v>2066</v>
      </c>
      <c r="G17850" s="2">
        <v>100</v>
      </c>
      <c r="H17850" s="2">
        <v>430</v>
      </c>
      <c r="I17850" s="2">
        <v>4256</v>
      </c>
      <c r="J17850" s="2">
        <v>5545</v>
      </c>
      <c r="K17850" s="2">
        <v>1</v>
      </c>
      <c r="L17850" s="2">
        <v>430</v>
      </c>
    </row>
    <row r="17851" spans="1:12" x14ac:dyDescent="0.25">
      <c r="A17851" s="4" t="str">
        <f>HYPERLINK("http://www.rosaceae.org/Prunus/Prunus_persica/p.persica_gdr_reftransV1_0023446","p.persica_gdr_reftransV1_0023446")</f>
        <v>p.persica_gdr_reftransV1_0023446</v>
      </c>
      <c r="B17851" s="2">
        <v>650</v>
      </c>
      <c r="C17851" s="4" t="str">
        <f>HYPERLINK("http://www.uniprot.org/uniprot/M5WJS1","M5WJS1")</f>
        <v>M5WJS1</v>
      </c>
      <c r="D17851" s="2" t="s">
        <v>6845</v>
      </c>
      <c r="E17851" s="3">
        <v>5.5699999999999998E-25</v>
      </c>
      <c r="F17851" s="2">
        <v>268</v>
      </c>
      <c r="G17851" s="2">
        <v>100</v>
      </c>
      <c r="H17851" s="2">
        <v>59</v>
      </c>
      <c r="I17851" s="2">
        <v>393</v>
      </c>
      <c r="J17851" s="2">
        <v>569</v>
      </c>
      <c r="K17851" s="2">
        <v>14</v>
      </c>
      <c r="L17851" s="2">
        <v>72</v>
      </c>
    </row>
    <row r="17852" spans="1:12" x14ac:dyDescent="0.25">
      <c r="A17852" s="4" t="str">
        <f>HYPERLINK("http://www.rosaceae.org/Prunus/Prunus_persica/p.persica_gdr_reftransV1_0024496","p.persica_gdr_reftransV1_0024496")</f>
        <v>p.persica_gdr_reftransV1_0024496</v>
      </c>
      <c r="B17852" s="2">
        <v>1736</v>
      </c>
      <c r="C17852" s="4" t="str">
        <f>HYPERLINK("http://www.uniprot.org/uniprot/M5WDY9","M5WDY9")</f>
        <v>M5WDY9</v>
      </c>
      <c r="D17852" s="2" t="s">
        <v>13923</v>
      </c>
      <c r="E17852" s="3">
        <v>0</v>
      </c>
      <c r="F17852" s="2">
        <v>1973</v>
      </c>
      <c r="G17852" s="2">
        <v>100</v>
      </c>
      <c r="H17852" s="2">
        <v>368</v>
      </c>
      <c r="I17852" s="2">
        <v>355</v>
      </c>
      <c r="J17852" s="2">
        <v>1458</v>
      </c>
      <c r="K17852" s="2">
        <v>1</v>
      </c>
      <c r="L17852" s="2">
        <v>368</v>
      </c>
    </row>
    <row r="17853" spans="1:12" x14ac:dyDescent="0.25">
      <c r="A17853" s="4" t="str">
        <f>HYPERLINK("http://www.rosaceae.org/Prunus/Prunus_persica/p.persica_gdr_reftransV1_0025896","p.persica_gdr_reftransV1_0025896")</f>
        <v>p.persica_gdr_reftransV1_0025896</v>
      </c>
      <c r="B17853" s="2">
        <v>4466</v>
      </c>
      <c r="C17853" s="4" t="str">
        <f>HYPERLINK("http://www.uniprot.org/uniprot/M5W6J9","M5W6J9")</f>
        <v>M5W6J9</v>
      </c>
      <c r="D17853" s="2" t="s">
        <v>10072</v>
      </c>
      <c r="E17853" s="3">
        <v>0</v>
      </c>
      <c r="F17853" s="2">
        <v>5457</v>
      </c>
      <c r="G17853" s="2">
        <v>95</v>
      </c>
      <c r="H17853" s="2">
        <v>1222</v>
      </c>
      <c r="I17853" s="2">
        <v>288</v>
      </c>
      <c r="J17853" s="2">
        <v>3887</v>
      </c>
      <c r="K17853" s="2">
        <v>1</v>
      </c>
      <c r="L17853" s="2">
        <v>1217</v>
      </c>
    </row>
    <row r="17854" spans="1:12" x14ac:dyDescent="0.25">
      <c r="A17854" s="4" t="str">
        <f>HYPERLINK("http://www.rosaceae.org/Prunus/Prunus_persica/p.persica_gdr_reftransV1_0026246","p.persica_gdr_reftransV1_0026246")</f>
        <v>p.persica_gdr_reftransV1_0026246</v>
      </c>
      <c r="B17854" s="2">
        <v>1128</v>
      </c>
      <c r="C17854" s="4" t="str">
        <f>HYPERLINK("http://www.uniprot.org/uniprot/M5VLP6","M5VLP6")</f>
        <v>M5VLP6</v>
      </c>
      <c r="D17854" s="2" t="s">
        <v>62</v>
      </c>
      <c r="E17854" s="3">
        <v>2.5700000000000001E-172</v>
      </c>
      <c r="F17854" s="2">
        <v>1268</v>
      </c>
      <c r="G17854" s="2">
        <v>100</v>
      </c>
      <c r="H17854" s="2">
        <v>255</v>
      </c>
      <c r="I17854" s="2">
        <v>125</v>
      </c>
      <c r="J17854" s="2">
        <v>889</v>
      </c>
      <c r="K17854" s="2">
        <v>1</v>
      </c>
      <c r="L17854" s="2">
        <v>255</v>
      </c>
    </row>
    <row r="17855" spans="1:12" x14ac:dyDescent="0.25">
      <c r="A17855" s="4" t="str">
        <f>HYPERLINK("http://www.rosaceae.org/Prunus/Prunus_persica/p.persica_gdr_reftransV1_0026596","p.persica_gdr_reftransV1_0026596")</f>
        <v>p.persica_gdr_reftransV1_0026596</v>
      </c>
      <c r="B17855" s="2">
        <v>999</v>
      </c>
      <c r="C17855" s="4" t="str">
        <f>HYPERLINK("http://www.uniprot.org/uniprot/M5WTI5","M5WTI5")</f>
        <v>M5WTI5</v>
      </c>
      <c r="D17855" s="2" t="s">
        <v>13924</v>
      </c>
      <c r="E17855" s="3">
        <v>1.8500000000000001E-132</v>
      </c>
      <c r="F17855" s="2">
        <v>997</v>
      </c>
      <c r="G17855" s="2">
        <v>100</v>
      </c>
      <c r="H17855" s="2">
        <v>215</v>
      </c>
      <c r="I17855" s="2">
        <v>112</v>
      </c>
      <c r="J17855" s="2">
        <v>756</v>
      </c>
      <c r="K17855" s="2">
        <v>1</v>
      </c>
      <c r="L17855" s="2">
        <v>215</v>
      </c>
    </row>
    <row r="17856" spans="1:12" x14ac:dyDescent="0.25">
      <c r="A17856" s="4" t="str">
        <f>HYPERLINK("http://www.rosaceae.org/Prunus/Prunus_persica/p.persica_gdr_reftransV1_0028696","p.persica_gdr_reftransV1_0028696")</f>
        <v>p.persica_gdr_reftransV1_0028696</v>
      </c>
      <c r="B17856" s="2">
        <v>1146</v>
      </c>
      <c r="C17856" s="4" t="str">
        <f>HYPERLINK("http://www.uniprot.org/uniprot/A0A061FWG8","A0A061FWG8")</f>
        <v>A0A061FWG8</v>
      </c>
      <c r="D17856" s="2" t="s">
        <v>13925</v>
      </c>
      <c r="E17856" s="3">
        <v>3.4600000000000002E-119</v>
      </c>
      <c r="F17856" s="2">
        <v>920</v>
      </c>
      <c r="G17856" s="2">
        <v>67</v>
      </c>
      <c r="H17856" s="2">
        <v>282</v>
      </c>
      <c r="I17856" s="2">
        <v>89</v>
      </c>
      <c r="J17856" s="2">
        <v>913</v>
      </c>
      <c r="K17856" s="2">
        <v>1</v>
      </c>
      <c r="L17856" s="2">
        <v>277</v>
      </c>
    </row>
    <row r="17857" spans="1:12" x14ac:dyDescent="0.25">
      <c r="A17857" s="4" t="str">
        <f>HYPERLINK("http://www.rosaceae.org/Prunus/Prunus_persica/p.persica_gdr_reftransV1_0029046","p.persica_gdr_reftransV1_0029046")</f>
        <v>p.persica_gdr_reftransV1_0029046</v>
      </c>
      <c r="B17857" s="2">
        <v>1751</v>
      </c>
      <c r="C17857" s="4" t="str">
        <f>HYPERLINK("http://www.uniprot.org/uniprot/M5X635","M5X635")</f>
        <v>M5X635</v>
      </c>
      <c r="D17857" s="2" t="s">
        <v>13926</v>
      </c>
      <c r="E17857" s="3">
        <v>0</v>
      </c>
      <c r="F17857" s="2">
        <v>1454</v>
      </c>
      <c r="G17857" s="2">
        <v>100</v>
      </c>
      <c r="H17857" s="2">
        <v>278</v>
      </c>
      <c r="I17857" s="2">
        <v>769</v>
      </c>
      <c r="J17857" s="2">
        <v>1602</v>
      </c>
      <c r="K17857" s="2">
        <v>1</v>
      </c>
      <c r="L17857" s="2">
        <v>278</v>
      </c>
    </row>
    <row r="17858" spans="1:12" x14ac:dyDescent="0.25">
      <c r="A17858" s="4" t="str">
        <f>HYPERLINK("http://www.rosaceae.org/Prunus/Prunus_persica/p.persica_gdr_reftransV1_0031146","p.persica_gdr_reftransV1_0031146")</f>
        <v>p.persica_gdr_reftransV1_0031146</v>
      </c>
      <c r="B17858" s="2">
        <v>2467</v>
      </c>
      <c r="C17858" s="4" t="str">
        <f>HYPERLINK("http://www.uniprot.org/uniprot/M5WSL0","M5WSL0")</f>
        <v>M5WSL0</v>
      </c>
      <c r="D17858" s="2" t="s">
        <v>13927</v>
      </c>
      <c r="E17858" s="3">
        <v>0</v>
      </c>
      <c r="F17858" s="2">
        <v>3501</v>
      </c>
      <c r="G17858" s="2">
        <v>98</v>
      </c>
      <c r="H17858" s="2">
        <v>686</v>
      </c>
      <c r="I17858" s="2">
        <v>230</v>
      </c>
      <c r="J17858" s="2">
        <v>2287</v>
      </c>
      <c r="K17858" s="2">
        <v>1</v>
      </c>
      <c r="L17858" s="2">
        <v>673</v>
      </c>
    </row>
    <row r="17859" spans="1:12" x14ac:dyDescent="0.25">
      <c r="A17859" s="4" t="str">
        <f>HYPERLINK("http://www.rosaceae.org/Prunus/Prunus_persica/p.persica_gdr_reftransV1_0031496","p.persica_gdr_reftransV1_0031496")</f>
        <v>p.persica_gdr_reftransV1_0031496</v>
      </c>
      <c r="B17859" s="2">
        <v>2841</v>
      </c>
      <c r="C17859" s="4" t="str">
        <f>HYPERLINK("http://www.uniprot.org/uniprot/M5X9S5","M5X9S5")</f>
        <v>M5X9S5</v>
      </c>
      <c r="D17859" s="2" t="s">
        <v>13928</v>
      </c>
      <c r="E17859" s="3">
        <v>4.1999999999999998E-36</v>
      </c>
      <c r="F17859" s="2">
        <v>288</v>
      </c>
      <c r="G17859" s="2">
        <v>56</v>
      </c>
      <c r="H17859" s="2">
        <v>86</v>
      </c>
      <c r="I17859" s="2">
        <v>1170</v>
      </c>
      <c r="J17859" s="2">
        <v>1427</v>
      </c>
      <c r="K17859" s="2">
        <v>61</v>
      </c>
      <c r="L17859" s="2">
        <v>146</v>
      </c>
    </row>
    <row r="17860" spans="1:12" x14ac:dyDescent="0.25">
      <c r="A17860" s="4" t="str">
        <f>HYPERLINK("http://www.rosaceae.org/Prunus/Prunus_persica/p.persica_gdr_reftransV1_0031846","p.persica_gdr_reftransV1_0031846")</f>
        <v>p.persica_gdr_reftransV1_0031846</v>
      </c>
      <c r="B17860" s="2">
        <v>1376</v>
      </c>
      <c r="C17860" s="4" t="str">
        <f>HYPERLINK("http://www.uniprot.org/uniprot/M5VS44","M5VS44")</f>
        <v>M5VS44</v>
      </c>
      <c r="D17860" s="2" t="s">
        <v>13929</v>
      </c>
      <c r="E17860" s="3">
        <v>1.5699999999999999E-138</v>
      </c>
      <c r="F17860" s="2">
        <v>733</v>
      </c>
      <c r="G17860" s="2">
        <v>100</v>
      </c>
      <c r="H17860" s="2">
        <v>138</v>
      </c>
      <c r="I17860" s="2">
        <v>438</v>
      </c>
      <c r="J17860" s="2">
        <v>851</v>
      </c>
      <c r="K17860" s="2">
        <v>116</v>
      </c>
      <c r="L17860" s="2">
        <v>253</v>
      </c>
    </row>
    <row r="17861" spans="1:12" x14ac:dyDescent="0.25">
      <c r="A17861" s="4" t="str">
        <f>HYPERLINK("http://www.rosaceae.org/Prunus/Prunus_persica/p.persica_gdr_reftransV1_0034296","p.persica_gdr_reftransV1_0034296")</f>
        <v>p.persica_gdr_reftransV1_0034296</v>
      </c>
      <c r="B17861" s="2">
        <v>2076</v>
      </c>
      <c r="C17861" s="4" t="str">
        <f>HYPERLINK("http://www.uniprot.org/uniprot/M5WVD8","M5WVD8")</f>
        <v>M5WVD8</v>
      </c>
      <c r="D17861" s="2" t="s">
        <v>13930</v>
      </c>
      <c r="E17861" s="3">
        <v>0</v>
      </c>
      <c r="F17861" s="2">
        <v>2568</v>
      </c>
      <c r="G17861" s="2">
        <v>100</v>
      </c>
      <c r="H17861" s="2">
        <v>522</v>
      </c>
      <c r="I17861" s="2">
        <v>393</v>
      </c>
      <c r="J17861" s="2">
        <v>1958</v>
      </c>
      <c r="K17861" s="2">
        <v>1</v>
      </c>
      <c r="L17861" s="2">
        <v>522</v>
      </c>
    </row>
    <row r="17862" spans="1:12" x14ac:dyDescent="0.25">
      <c r="A17862" s="4" t="str">
        <f>HYPERLINK("http://www.rosaceae.org/Prunus/Prunus_persica/p.persica_gdr_reftransV1_0034996","p.persica_gdr_reftransV1_0034996")</f>
        <v>p.persica_gdr_reftransV1_0034996</v>
      </c>
      <c r="B17862" s="2">
        <v>1153</v>
      </c>
      <c r="C17862" s="4" t="str">
        <f>HYPERLINK("http://www.uniprot.org/uniprot/M5VXX0","M5VXX0")</f>
        <v>M5VXX0</v>
      </c>
      <c r="D17862" s="2" t="s">
        <v>1560</v>
      </c>
      <c r="E17862" s="3">
        <v>8.5899999999999998E-148</v>
      </c>
      <c r="F17862" s="2">
        <v>1102</v>
      </c>
      <c r="G17862" s="2">
        <v>100</v>
      </c>
      <c r="H17862" s="2">
        <v>208</v>
      </c>
      <c r="I17862" s="2">
        <v>424</v>
      </c>
      <c r="J17862" s="2">
        <v>1047</v>
      </c>
      <c r="K17862" s="2">
        <v>1</v>
      </c>
      <c r="L17862" s="2">
        <v>208</v>
      </c>
    </row>
    <row r="17863" spans="1:12" x14ac:dyDescent="0.25">
      <c r="A17863" s="4" t="str">
        <f>HYPERLINK("http://www.rosaceae.org/Prunus/Prunus_persica/p.persica_gdr_reftransV1_0036746","p.persica_gdr_reftransV1_0036746")</f>
        <v>p.persica_gdr_reftransV1_0036746</v>
      </c>
      <c r="B17863" s="2">
        <v>2042</v>
      </c>
      <c r="C17863" s="4" t="str">
        <f>HYPERLINK("http://www.uniprot.org/uniprot/M5W469","M5W469")</f>
        <v>M5W469</v>
      </c>
      <c r="D17863" s="2" t="s">
        <v>13931</v>
      </c>
      <c r="E17863" s="3">
        <v>2.6900000000000002E-75</v>
      </c>
      <c r="F17863" s="2">
        <v>651</v>
      </c>
      <c r="G17863" s="2">
        <v>99</v>
      </c>
      <c r="H17863" s="2">
        <v>122</v>
      </c>
      <c r="I17863" s="2">
        <v>594</v>
      </c>
      <c r="J17863" s="2">
        <v>959</v>
      </c>
      <c r="K17863" s="2">
        <v>144</v>
      </c>
      <c r="L17863" s="2">
        <v>265</v>
      </c>
    </row>
    <row r="17864" spans="1:12" x14ac:dyDescent="0.25">
      <c r="A17864" s="4" t="str">
        <f>HYPERLINK("http://www.rosaceae.org/Prunus/Prunus_persica/p.persica_gdr_reftransV1_0038846","p.persica_gdr_reftransV1_0038846")</f>
        <v>p.persica_gdr_reftransV1_0038846</v>
      </c>
      <c r="B17864" s="2">
        <v>2724</v>
      </c>
      <c r="C17864" s="4" t="str">
        <f>HYPERLINK("http://www.uniprot.org/uniprot/M5X6X4","M5X6X4")</f>
        <v>M5X6X4</v>
      </c>
      <c r="D17864" s="2" t="s">
        <v>8372</v>
      </c>
      <c r="E17864" s="3">
        <v>0</v>
      </c>
      <c r="F17864" s="2">
        <v>2593</v>
      </c>
      <c r="G17864" s="2">
        <v>99</v>
      </c>
      <c r="H17864" s="2">
        <v>488</v>
      </c>
      <c r="I17864" s="2">
        <v>222</v>
      </c>
      <c r="J17864" s="2">
        <v>1685</v>
      </c>
      <c r="K17864" s="2">
        <v>86</v>
      </c>
      <c r="L17864" s="2">
        <v>573</v>
      </c>
    </row>
    <row r="17865" spans="1:12" x14ac:dyDescent="0.25">
      <c r="A17865" s="4" t="str">
        <f>HYPERLINK("http://www.rosaceae.org/Prunus/Prunus_persica/p.persica_gdr_reftransV1_0039196","p.persica_gdr_reftransV1_0039196")</f>
        <v>p.persica_gdr_reftransV1_0039196</v>
      </c>
      <c r="B17865" s="2">
        <v>504</v>
      </c>
      <c r="C17865" s="4" t="str">
        <f>HYPERLINK("http://www.uniprot.org/uniprot/M5VSL6","M5VSL6")</f>
        <v>M5VSL6</v>
      </c>
      <c r="D17865" s="2" t="s">
        <v>12383</v>
      </c>
      <c r="E17865" s="3">
        <v>2.5399999999999999E-63</v>
      </c>
      <c r="F17865" s="2">
        <v>546</v>
      </c>
      <c r="G17865" s="2">
        <v>100</v>
      </c>
      <c r="H17865" s="2">
        <v>102</v>
      </c>
      <c r="I17865" s="2">
        <v>2</v>
      </c>
      <c r="J17865" s="2">
        <v>307</v>
      </c>
      <c r="K17865" s="2">
        <v>444</v>
      </c>
      <c r="L17865" s="2">
        <v>545</v>
      </c>
    </row>
    <row r="17866" spans="1:12" x14ac:dyDescent="0.25">
      <c r="A17866" s="4" t="str">
        <f>HYPERLINK("http://www.rosaceae.org/Prunus/Prunus_persica/p.persica_gdr_reftransV1_0041296","p.persica_gdr_reftransV1_0041296")</f>
        <v>p.persica_gdr_reftransV1_0041296</v>
      </c>
      <c r="B17866" s="2">
        <v>754</v>
      </c>
      <c r="C17866" s="4" t="str">
        <f>HYPERLINK("http://www.uniprot.org/uniprot/M5W0N3","M5W0N3")</f>
        <v>M5W0N3</v>
      </c>
      <c r="D17866" s="2" t="s">
        <v>13932</v>
      </c>
      <c r="E17866" s="3">
        <v>2.6799999999999999E-76</v>
      </c>
      <c r="F17866" s="2">
        <v>609</v>
      </c>
      <c r="G17866" s="2">
        <v>100</v>
      </c>
      <c r="H17866" s="2">
        <v>131</v>
      </c>
      <c r="I17866" s="2">
        <v>231</v>
      </c>
      <c r="J17866" s="2">
        <v>623</v>
      </c>
      <c r="K17866" s="2">
        <v>1</v>
      </c>
      <c r="L17866" s="2">
        <v>131</v>
      </c>
    </row>
    <row r="17867" spans="1:12" x14ac:dyDescent="0.25">
      <c r="A17867" s="4" t="str">
        <f>HYPERLINK("http://www.rosaceae.org/Prunus/Prunus_persica/p.persica_gdr_reftransV1_0043046","p.persica_gdr_reftransV1_0043046")</f>
        <v>p.persica_gdr_reftransV1_0043046</v>
      </c>
      <c r="B17867" s="2">
        <v>3036</v>
      </c>
      <c r="C17867" s="4" t="str">
        <f>HYPERLINK("http://www.uniprot.org/uniprot/M5VTA0","M5VTA0")</f>
        <v>M5VTA0</v>
      </c>
      <c r="D17867" s="2" t="s">
        <v>4627</v>
      </c>
      <c r="E17867" s="3">
        <v>0</v>
      </c>
      <c r="F17867" s="2">
        <v>4278</v>
      </c>
      <c r="G17867" s="2">
        <v>100</v>
      </c>
      <c r="H17867" s="2">
        <v>884</v>
      </c>
      <c r="I17867" s="2">
        <v>11</v>
      </c>
      <c r="J17867" s="2">
        <v>2662</v>
      </c>
      <c r="K17867" s="2">
        <v>1</v>
      </c>
      <c r="L17867" s="2">
        <v>884</v>
      </c>
    </row>
    <row r="17868" spans="1:12" x14ac:dyDescent="0.25">
      <c r="A17868" s="4" t="str">
        <f>HYPERLINK("http://www.rosaceae.org/Prunus/Prunus_persica/p.persica_gdr_reftransV1_0043396","p.persica_gdr_reftransV1_0043396")</f>
        <v>p.persica_gdr_reftransV1_0043396</v>
      </c>
      <c r="B17868" s="2">
        <v>1387</v>
      </c>
      <c r="C17868" s="4" t="str">
        <f>HYPERLINK("http://www.uniprot.org/uniprot/M5VVH4","M5VVH4")</f>
        <v>M5VVH4</v>
      </c>
      <c r="D17868" s="2" t="s">
        <v>11919</v>
      </c>
      <c r="E17868" s="3">
        <v>0</v>
      </c>
      <c r="F17868" s="2">
        <v>1662</v>
      </c>
      <c r="G17868" s="2">
        <v>100</v>
      </c>
      <c r="H17868" s="2">
        <v>324</v>
      </c>
      <c r="I17868" s="2">
        <v>2</v>
      </c>
      <c r="J17868" s="2">
        <v>973</v>
      </c>
      <c r="K17868" s="2">
        <v>230</v>
      </c>
      <c r="L17868" s="2">
        <v>553</v>
      </c>
    </row>
    <row r="17869" spans="1:12" x14ac:dyDescent="0.25">
      <c r="A17869" s="4" t="str">
        <f>HYPERLINK("http://www.rosaceae.org/Prunus/Prunus_persica/p.persica_gdr_reftransV1_0043746","p.persica_gdr_reftransV1_0043746")</f>
        <v>p.persica_gdr_reftransV1_0043746</v>
      </c>
      <c r="B17869" s="2">
        <v>923</v>
      </c>
      <c r="C17869" s="4" t="str">
        <f>HYPERLINK("http://www.uniprot.org/uniprot/M5XNW8","M5XNW8")</f>
        <v>M5XNW8</v>
      </c>
      <c r="D17869" s="2" t="s">
        <v>333</v>
      </c>
      <c r="E17869" s="3">
        <v>6.2199999999999994E-154</v>
      </c>
      <c r="F17869" s="2">
        <v>1139</v>
      </c>
      <c r="G17869" s="2">
        <v>100</v>
      </c>
      <c r="H17869" s="2">
        <v>251</v>
      </c>
      <c r="I17869" s="2">
        <v>79</v>
      </c>
      <c r="J17869" s="2">
        <v>831</v>
      </c>
      <c r="K17869" s="2">
        <v>1</v>
      </c>
      <c r="L17869" s="2">
        <v>251</v>
      </c>
    </row>
    <row r="17870" spans="1:12" x14ac:dyDescent="0.25">
      <c r="A17870" s="4" t="str">
        <f>HYPERLINK("http://www.rosaceae.org/Prunus/Prunus_persica/p.persica_gdr_reftransV1_0044096","p.persica_gdr_reftransV1_0044096")</f>
        <v>p.persica_gdr_reftransV1_0044096</v>
      </c>
      <c r="B17870" s="2">
        <v>625</v>
      </c>
      <c r="C17870" s="4" t="str">
        <f>HYPERLINK("http://www.uniprot.org/uniprot/M5VYM2","M5VYM2")</f>
        <v>M5VYM2</v>
      </c>
      <c r="D17870" s="2" t="s">
        <v>13933</v>
      </c>
      <c r="E17870" s="3">
        <v>9.1400000000000008E-65</v>
      </c>
      <c r="F17870" s="2">
        <v>550</v>
      </c>
      <c r="G17870" s="2">
        <v>100</v>
      </c>
      <c r="H17870" s="2">
        <v>107</v>
      </c>
      <c r="I17870" s="2">
        <v>269</v>
      </c>
      <c r="J17870" s="2">
        <v>589</v>
      </c>
      <c r="K17870" s="2">
        <v>1</v>
      </c>
      <c r="L17870" s="2">
        <v>107</v>
      </c>
    </row>
    <row r="17871" spans="1:12" x14ac:dyDescent="0.25">
      <c r="A17871" s="4" t="str">
        <f>HYPERLINK("http://www.rosaceae.org/Prunus/Prunus_persica/p.persica_gdr_reftransV1_0044446","p.persica_gdr_reftransV1_0044446")</f>
        <v>p.persica_gdr_reftransV1_0044446</v>
      </c>
      <c r="B17871" s="2">
        <v>463</v>
      </c>
      <c r="C17871" s="4" t="str">
        <f>HYPERLINK("http://www.uniprot.org/uniprot/M5VUI4","M5VUI4")</f>
        <v>M5VUI4</v>
      </c>
      <c r="D17871" s="2" t="s">
        <v>13934</v>
      </c>
      <c r="E17871" s="3">
        <v>1.1100000000000001E-76</v>
      </c>
      <c r="F17871" s="2">
        <v>652</v>
      </c>
      <c r="G17871" s="2">
        <v>80</v>
      </c>
      <c r="H17871" s="2">
        <v>158</v>
      </c>
      <c r="I17871" s="2">
        <v>3</v>
      </c>
      <c r="J17871" s="2">
        <v>461</v>
      </c>
      <c r="K17871" s="2">
        <v>657</v>
      </c>
      <c r="L17871" s="2">
        <v>803</v>
      </c>
    </row>
    <row r="17872" spans="1:12" x14ac:dyDescent="0.25">
      <c r="A17872" s="4" t="str">
        <f>HYPERLINK("http://www.rosaceae.org/Prunus/Prunus_persica/p.persica_gdr_reftransV1_0044796","p.persica_gdr_reftransV1_0044796")</f>
        <v>p.persica_gdr_reftransV1_0044796</v>
      </c>
      <c r="B17872" s="2">
        <v>404</v>
      </c>
      <c r="C17872" s="4" t="str">
        <f>HYPERLINK("http://www.uniprot.org/uniprot/Q2L359","Q2L359")</f>
        <v>Q2L359</v>
      </c>
      <c r="D17872" s="2" t="s">
        <v>13728</v>
      </c>
      <c r="E17872" s="3">
        <v>1.1200000000000001E-28</v>
      </c>
      <c r="F17872" s="2">
        <v>302</v>
      </c>
      <c r="G17872" s="2">
        <v>56</v>
      </c>
      <c r="H17872" s="2">
        <v>133</v>
      </c>
      <c r="I17872" s="2">
        <v>1</v>
      </c>
      <c r="J17872" s="2">
        <v>396</v>
      </c>
      <c r="K17872" s="2">
        <v>673</v>
      </c>
      <c r="L17872" s="2">
        <v>800</v>
      </c>
    </row>
    <row r="17873" spans="1:12" x14ac:dyDescent="0.25">
      <c r="A17873" s="4" t="str">
        <f>HYPERLINK("http://www.rosaceae.org/Prunus/Prunus_persica/p.persica_gdr_reftransV1_0045146","p.persica_gdr_reftransV1_0045146")</f>
        <v>p.persica_gdr_reftransV1_0045146</v>
      </c>
      <c r="B17873" s="2">
        <v>1367</v>
      </c>
      <c r="C17873" s="4" t="str">
        <f>HYPERLINK("http://www.uniprot.org/uniprot/M5VRB7","M5VRB7")</f>
        <v>M5VRB7</v>
      </c>
      <c r="D17873" s="2" t="s">
        <v>1723</v>
      </c>
      <c r="E17873" s="3">
        <v>0</v>
      </c>
      <c r="F17873" s="2">
        <v>1753</v>
      </c>
      <c r="G17873" s="2">
        <v>96</v>
      </c>
      <c r="H17873" s="2">
        <v>343</v>
      </c>
      <c r="I17873" s="2">
        <v>259</v>
      </c>
      <c r="J17873" s="2">
        <v>1287</v>
      </c>
      <c r="K17873" s="2">
        <v>1</v>
      </c>
      <c r="L17873" s="2">
        <v>343</v>
      </c>
    </row>
    <row r="17874" spans="1:12" x14ac:dyDescent="0.25">
      <c r="A17874" s="4" t="str">
        <f>HYPERLINK("http://www.rosaceae.org/Prunus/Prunus_persica/p.persica_gdr_reftransV1_0045846","p.persica_gdr_reftransV1_0045846")</f>
        <v>p.persica_gdr_reftransV1_0045846</v>
      </c>
      <c r="B17874" s="2">
        <v>3410</v>
      </c>
      <c r="C17874" s="4" t="str">
        <f>HYPERLINK("http://www.uniprot.org/uniprot/M5XRI8","M5XRI8")</f>
        <v>M5XRI8</v>
      </c>
      <c r="D17874" s="2" t="s">
        <v>11306</v>
      </c>
      <c r="E17874" s="3">
        <v>0</v>
      </c>
      <c r="F17874" s="2">
        <v>4498</v>
      </c>
      <c r="G17874" s="2">
        <v>99</v>
      </c>
      <c r="H17874" s="2">
        <v>849</v>
      </c>
      <c r="I17874" s="2">
        <v>605</v>
      </c>
      <c r="J17874" s="2">
        <v>3151</v>
      </c>
      <c r="K17874" s="2">
        <v>1</v>
      </c>
      <c r="L17874" s="2">
        <v>849</v>
      </c>
    </row>
    <row r="17875" spans="1:12" x14ac:dyDescent="0.25">
      <c r="A17875" s="4" t="str">
        <f>HYPERLINK("http://www.rosaceae.org/Prunus/Prunus_persica/p.persica_gdr_reftransV1_0046896","p.persica_gdr_reftransV1_0046896")</f>
        <v>p.persica_gdr_reftransV1_0046896</v>
      </c>
      <c r="B17875" s="2">
        <v>414</v>
      </c>
      <c r="C17875" s="4" t="str">
        <f>HYPERLINK("http://www.uniprot.org/uniprot/M5WS65","M5WS65")</f>
        <v>M5WS65</v>
      </c>
      <c r="D17875" s="2" t="s">
        <v>5253</v>
      </c>
      <c r="E17875" s="3">
        <v>1.3E-84</v>
      </c>
      <c r="F17875" s="2">
        <v>721</v>
      </c>
      <c r="G17875" s="2">
        <v>100</v>
      </c>
      <c r="H17875" s="2">
        <v>137</v>
      </c>
      <c r="I17875" s="2">
        <v>2</v>
      </c>
      <c r="J17875" s="2">
        <v>412</v>
      </c>
      <c r="K17875" s="2">
        <v>1269</v>
      </c>
      <c r="L17875" s="2">
        <v>1405</v>
      </c>
    </row>
    <row r="17876" spans="1:12" x14ac:dyDescent="0.25">
      <c r="A17876" s="4" t="str">
        <f>HYPERLINK("http://www.rosaceae.org/Prunus/Prunus_persica/p.persica_gdr_reftransV1_0047246","p.persica_gdr_reftransV1_0047246")</f>
        <v>p.persica_gdr_reftransV1_0047246</v>
      </c>
      <c r="B17876" s="2">
        <v>821</v>
      </c>
      <c r="C17876" s="4" t="str">
        <f>HYPERLINK("http://www.uniprot.org/uniprot/M5W8N3","M5W8N3")</f>
        <v>M5W8N3</v>
      </c>
      <c r="D17876" s="2" t="s">
        <v>3901</v>
      </c>
      <c r="E17876" s="3">
        <v>6.2199999999999997E-144</v>
      </c>
      <c r="F17876" s="2">
        <v>1078</v>
      </c>
      <c r="G17876" s="2">
        <v>100</v>
      </c>
      <c r="H17876" s="2">
        <v>222</v>
      </c>
      <c r="I17876" s="2">
        <v>154</v>
      </c>
      <c r="J17876" s="2">
        <v>819</v>
      </c>
      <c r="K17876" s="2">
        <v>112</v>
      </c>
      <c r="L17876" s="2">
        <v>333</v>
      </c>
    </row>
    <row r="17877" spans="1:12" x14ac:dyDescent="0.25">
      <c r="A17877" s="4" t="str">
        <f>HYPERLINK("http://www.rosaceae.org/Prunus/Prunus_persica/p.persica_gdr_reftransV1_0047946","p.persica_gdr_reftransV1_0047946")</f>
        <v>p.persica_gdr_reftransV1_0047946</v>
      </c>
      <c r="B17877" s="2">
        <v>2358</v>
      </c>
      <c r="C17877" s="4" t="str">
        <f>HYPERLINK("http://www.uniprot.org/uniprot/M1QDP5","M1QDP5")</f>
        <v>M1QDP5</v>
      </c>
      <c r="D17877" s="2" t="s">
        <v>6738</v>
      </c>
      <c r="E17877" s="3">
        <v>0</v>
      </c>
      <c r="F17877" s="2">
        <v>2009</v>
      </c>
      <c r="G17877" s="2">
        <v>100</v>
      </c>
      <c r="H17877" s="2">
        <v>393</v>
      </c>
      <c r="I17877" s="2">
        <v>367</v>
      </c>
      <c r="J17877" s="2">
        <v>1545</v>
      </c>
      <c r="K17877" s="2">
        <v>1</v>
      </c>
      <c r="L17877" s="2">
        <v>393</v>
      </c>
    </row>
    <row r="17878" spans="1:12" x14ac:dyDescent="0.25">
      <c r="A17878" s="4" t="str">
        <f>HYPERLINK("http://www.rosaceae.org/Prunus/Prunus_persica/p.persica_gdr_reftransV1_0048296","p.persica_gdr_reftransV1_0048296")</f>
        <v>p.persica_gdr_reftransV1_0048296</v>
      </c>
      <c r="B17878" s="2">
        <v>1369</v>
      </c>
      <c r="C17878" s="4" t="str">
        <f>HYPERLINK("http://www.uniprot.org/uniprot/M5WPD1","M5WPD1")</f>
        <v>M5WPD1</v>
      </c>
      <c r="D17878" s="2" t="s">
        <v>7107</v>
      </c>
      <c r="E17878" s="3">
        <v>0</v>
      </c>
      <c r="F17878" s="2">
        <v>2084</v>
      </c>
      <c r="G17878" s="2">
        <v>100</v>
      </c>
      <c r="H17878" s="2">
        <v>411</v>
      </c>
      <c r="I17878" s="2">
        <v>32</v>
      </c>
      <c r="J17878" s="2">
        <v>1264</v>
      </c>
      <c r="K17878" s="2">
        <v>1</v>
      </c>
      <c r="L17878" s="2">
        <v>411</v>
      </c>
    </row>
    <row r="17879" spans="1:12" x14ac:dyDescent="0.25">
      <c r="A17879" s="4" t="str">
        <f>HYPERLINK("http://www.rosaceae.org/Prunus/Prunus_persica/p.persica_gdr_reftransV1_0048996","p.persica_gdr_reftransV1_0048996")</f>
        <v>p.persica_gdr_reftransV1_0048996</v>
      </c>
      <c r="B17879" s="2">
        <v>2811</v>
      </c>
      <c r="C17879" s="4" t="str">
        <f>HYPERLINK("http://www.uniprot.org/uniprot/M5WM42","M5WM42")</f>
        <v>M5WM42</v>
      </c>
      <c r="D17879" s="2" t="s">
        <v>13935</v>
      </c>
      <c r="E17879" s="3">
        <v>0</v>
      </c>
      <c r="F17879" s="2">
        <v>4581</v>
      </c>
      <c r="G17879" s="2">
        <v>100</v>
      </c>
      <c r="H17879" s="2">
        <v>882</v>
      </c>
      <c r="I17879" s="2">
        <v>166</v>
      </c>
      <c r="J17879" s="2">
        <v>2811</v>
      </c>
      <c r="K17879" s="2">
        <v>28</v>
      </c>
      <c r="L17879" s="2">
        <v>909</v>
      </c>
    </row>
    <row r="17880" spans="1:12" x14ac:dyDescent="0.25">
      <c r="A17880" s="4" t="str">
        <f>HYPERLINK("http://www.rosaceae.org/Prunus/Prunus_persica/p.persica_gdr_reftransV1_0000697","p.persica_gdr_reftransV1_0000697")</f>
        <v>p.persica_gdr_reftransV1_0000697</v>
      </c>
      <c r="B17880" s="2">
        <v>2569</v>
      </c>
      <c r="C17880" s="4" t="str">
        <f>HYPERLINK("http://www.uniprot.org/uniprot/M5WIJ1","M5WIJ1")</f>
        <v>M5WIJ1</v>
      </c>
      <c r="D17880" s="2" t="s">
        <v>9427</v>
      </c>
      <c r="E17880" s="3">
        <v>0</v>
      </c>
      <c r="F17880" s="2">
        <v>2759</v>
      </c>
      <c r="G17880" s="2">
        <v>100</v>
      </c>
      <c r="H17880" s="2">
        <v>623</v>
      </c>
      <c r="I17880" s="2">
        <v>405</v>
      </c>
      <c r="J17880" s="2">
        <v>2273</v>
      </c>
      <c r="K17880" s="2">
        <v>1</v>
      </c>
      <c r="L17880" s="2">
        <v>623</v>
      </c>
    </row>
    <row r="17881" spans="1:12" x14ac:dyDescent="0.25">
      <c r="A17881" s="4" t="str">
        <f>HYPERLINK("http://www.rosaceae.org/Prunus/Prunus_persica/p.persica_gdr_reftransV1_0001047","p.persica_gdr_reftransV1_0001047")</f>
        <v>p.persica_gdr_reftransV1_0001047</v>
      </c>
      <c r="B17881" s="2">
        <v>895</v>
      </c>
      <c r="C17881" s="4" t="str">
        <f>HYPERLINK("http://www.uniprot.org/uniprot/M5XYH0","M5XYH0")</f>
        <v>M5XYH0</v>
      </c>
      <c r="D17881" s="2" t="s">
        <v>7718</v>
      </c>
      <c r="E17881" s="3">
        <v>3.1299999999999999E-175</v>
      </c>
      <c r="F17881" s="2">
        <v>1300</v>
      </c>
      <c r="G17881" s="2">
        <v>100</v>
      </c>
      <c r="H17881" s="2">
        <v>243</v>
      </c>
      <c r="I17881" s="2">
        <v>3</v>
      </c>
      <c r="J17881" s="2">
        <v>731</v>
      </c>
      <c r="K17881" s="2">
        <v>221</v>
      </c>
      <c r="L17881" s="2">
        <v>463</v>
      </c>
    </row>
    <row r="17882" spans="1:12" x14ac:dyDescent="0.25">
      <c r="A17882" s="4" t="str">
        <f>HYPERLINK("http://www.rosaceae.org/Prunus/Prunus_persica/p.persica_gdr_reftransV1_0001397","p.persica_gdr_reftransV1_0001397")</f>
        <v>p.persica_gdr_reftransV1_0001397</v>
      </c>
      <c r="B17882" s="2">
        <v>2018</v>
      </c>
      <c r="C17882" s="4" t="str">
        <f>HYPERLINK("http://www.uniprot.org/uniprot/M5X1E2","M5X1E2")</f>
        <v>M5X1E2</v>
      </c>
      <c r="D17882" s="2" t="s">
        <v>13936</v>
      </c>
      <c r="E17882" s="3">
        <v>0</v>
      </c>
      <c r="F17882" s="2">
        <v>1583</v>
      </c>
      <c r="G17882" s="2">
        <v>100</v>
      </c>
      <c r="H17882" s="2">
        <v>319</v>
      </c>
      <c r="I17882" s="2">
        <v>633</v>
      </c>
      <c r="J17882" s="2">
        <v>1589</v>
      </c>
      <c r="K17882" s="2">
        <v>1</v>
      </c>
      <c r="L17882" s="2">
        <v>319</v>
      </c>
    </row>
    <row r="17883" spans="1:12" x14ac:dyDescent="0.25">
      <c r="A17883" s="4" t="str">
        <f>HYPERLINK("http://www.rosaceae.org/Prunus/Prunus_persica/p.persica_gdr_reftransV1_0001747","p.persica_gdr_reftransV1_0001747")</f>
        <v>p.persica_gdr_reftransV1_0001747</v>
      </c>
      <c r="B17883" s="2">
        <v>3974</v>
      </c>
      <c r="C17883" s="4" t="str">
        <f>HYPERLINK("http://www.uniprot.org/uniprot/M5Y493","M5Y493")</f>
        <v>M5Y493</v>
      </c>
      <c r="D17883" s="2" t="s">
        <v>5290</v>
      </c>
      <c r="E17883" s="3">
        <v>0</v>
      </c>
      <c r="F17883" s="2">
        <v>5007</v>
      </c>
      <c r="G17883" s="2">
        <v>100</v>
      </c>
      <c r="H17883" s="2">
        <v>1137</v>
      </c>
      <c r="I17883" s="2">
        <v>397</v>
      </c>
      <c r="J17883" s="2">
        <v>3807</v>
      </c>
      <c r="K17883" s="2">
        <v>1</v>
      </c>
      <c r="L17883" s="2">
        <v>1137</v>
      </c>
    </row>
    <row r="17884" spans="1:12" x14ac:dyDescent="0.25">
      <c r="A17884" s="4" t="str">
        <f>HYPERLINK("http://www.rosaceae.org/Prunus/Prunus_persica/p.persica_gdr_reftransV1_0002097","p.persica_gdr_reftransV1_0002097")</f>
        <v>p.persica_gdr_reftransV1_0002097</v>
      </c>
      <c r="B17884" s="2">
        <v>1540</v>
      </c>
      <c r="C17884" s="4" t="str">
        <f>HYPERLINK("http://www.uniprot.org/uniprot/M5VP53","M5VP53")</f>
        <v>M5VP53</v>
      </c>
      <c r="D17884" s="2" t="s">
        <v>13937</v>
      </c>
      <c r="E17884" s="3">
        <v>0</v>
      </c>
      <c r="F17884" s="2">
        <v>1509</v>
      </c>
      <c r="G17884" s="2">
        <v>100</v>
      </c>
      <c r="H17884" s="2">
        <v>334</v>
      </c>
      <c r="I17884" s="2">
        <v>75</v>
      </c>
      <c r="J17884" s="2">
        <v>1076</v>
      </c>
      <c r="K17884" s="2">
        <v>1</v>
      </c>
      <c r="L17884" s="2">
        <v>334</v>
      </c>
    </row>
    <row r="17885" spans="1:12" x14ac:dyDescent="0.25">
      <c r="A17885" s="4" t="str">
        <f>HYPERLINK("http://www.rosaceae.org/Prunus/Prunus_persica/p.persica_gdr_reftransV1_0003147","p.persica_gdr_reftransV1_0003147")</f>
        <v>p.persica_gdr_reftransV1_0003147</v>
      </c>
      <c r="B17885" s="2">
        <v>1077</v>
      </c>
      <c r="C17885" s="4" t="str">
        <f>HYPERLINK("http://www.uniprot.org/uniprot/M5XEU4","M5XEU4")</f>
        <v>M5XEU4</v>
      </c>
      <c r="D17885" s="2" t="s">
        <v>6257</v>
      </c>
      <c r="E17885" s="3">
        <v>6.4799999999999997E-169</v>
      </c>
      <c r="F17885" s="2">
        <v>1244</v>
      </c>
      <c r="G17885" s="2">
        <v>100</v>
      </c>
      <c r="H17885" s="2">
        <v>245</v>
      </c>
      <c r="I17885" s="2">
        <v>285</v>
      </c>
      <c r="J17885" s="2">
        <v>1019</v>
      </c>
      <c r="K17885" s="2">
        <v>1</v>
      </c>
      <c r="L17885" s="2">
        <v>245</v>
      </c>
    </row>
    <row r="17886" spans="1:12" x14ac:dyDescent="0.25">
      <c r="A17886" s="4" t="str">
        <f>HYPERLINK("http://www.rosaceae.org/Prunus/Prunus_persica/p.persica_gdr_reftransV1_0003497","p.persica_gdr_reftransV1_0003497")</f>
        <v>p.persica_gdr_reftransV1_0003497</v>
      </c>
      <c r="B17886" s="2">
        <v>481</v>
      </c>
      <c r="C17886" s="4" t="str">
        <f>HYPERLINK("http://www.uniprot.org/uniprot/A0A090N583","A0A090N583")</f>
        <v>A0A090N583</v>
      </c>
      <c r="D17886" s="2" t="s">
        <v>13938</v>
      </c>
      <c r="E17886" s="3">
        <v>2.11E-94</v>
      </c>
      <c r="F17886" s="2">
        <v>754</v>
      </c>
      <c r="G17886" s="2">
        <v>93</v>
      </c>
      <c r="H17886" s="2">
        <v>152</v>
      </c>
      <c r="I17886" s="2">
        <v>3</v>
      </c>
      <c r="J17886" s="2">
        <v>458</v>
      </c>
      <c r="K17886" s="2">
        <v>328</v>
      </c>
      <c r="L17886" s="2">
        <v>479</v>
      </c>
    </row>
    <row r="17887" spans="1:12" x14ac:dyDescent="0.25">
      <c r="A17887" s="4" t="str">
        <f>HYPERLINK("http://www.rosaceae.org/Prunus/Prunus_persica/p.persica_gdr_reftransV1_0004897","p.persica_gdr_reftransV1_0004897")</f>
        <v>p.persica_gdr_reftransV1_0004897</v>
      </c>
      <c r="B17887" s="2">
        <v>1450</v>
      </c>
      <c r="C17887" s="4" t="str">
        <f>HYPERLINK("http://www.uniprot.org/uniprot/B9GFC1","B9GFC1")</f>
        <v>B9GFC1</v>
      </c>
      <c r="D17887" s="2" t="s">
        <v>579</v>
      </c>
      <c r="E17887" s="3">
        <v>7.7799999999999996E-163</v>
      </c>
      <c r="F17887" s="2">
        <v>1230</v>
      </c>
      <c r="G17887" s="2">
        <v>82</v>
      </c>
      <c r="H17887" s="2">
        <v>277</v>
      </c>
      <c r="I17887" s="2">
        <v>249</v>
      </c>
      <c r="J17887" s="2">
        <v>1079</v>
      </c>
      <c r="K17887" s="2">
        <v>110</v>
      </c>
      <c r="L17887" s="2">
        <v>383</v>
      </c>
    </row>
    <row r="17888" spans="1:12" x14ac:dyDescent="0.25">
      <c r="A17888" s="4" t="str">
        <f>HYPERLINK("http://www.rosaceae.org/Prunus/Prunus_persica/p.persica_gdr_reftransV1_0005597","p.persica_gdr_reftransV1_0005597")</f>
        <v>p.persica_gdr_reftransV1_0005597</v>
      </c>
      <c r="B17888" s="2">
        <v>404</v>
      </c>
      <c r="C17888" s="4" t="str">
        <f>HYPERLINK("http://www.uniprot.org/uniprot/M5X3G4","M5X3G4")</f>
        <v>M5X3G4</v>
      </c>
      <c r="D17888" s="2" t="s">
        <v>13939</v>
      </c>
      <c r="E17888" s="3">
        <v>4.1600000000000002E-84</v>
      </c>
      <c r="F17888" s="2">
        <v>701</v>
      </c>
      <c r="G17888" s="2">
        <v>99</v>
      </c>
      <c r="H17888" s="2">
        <v>134</v>
      </c>
      <c r="I17888" s="2">
        <v>3</v>
      </c>
      <c r="J17888" s="2">
        <v>404</v>
      </c>
      <c r="K17888" s="2">
        <v>327</v>
      </c>
      <c r="L17888" s="2">
        <v>460</v>
      </c>
    </row>
    <row r="17889" spans="1:12" x14ac:dyDescent="0.25">
      <c r="A17889" s="4" t="str">
        <f>HYPERLINK("http://www.rosaceae.org/Prunus/Prunus_persica/p.persica_gdr_reftransV1_0005947","p.persica_gdr_reftransV1_0005947")</f>
        <v>p.persica_gdr_reftransV1_0005947</v>
      </c>
      <c r="B17889" s="2">
        <v>1063</v>
      </c>
      <c r="C17889" s="4" t="str">
        <f>HYPERLINK("http://www.uniprot.org/uniprot/M5VRS6","M5VRS6")</f>
        <v>M5VRS6</v>
      </c>
      <c r="D17889" s="2" t="s">
        <v>9958</v>
      </c>
      <c r="E17889" s="3">
        <v>7.7799999999999995E-121</v>
      </c>
      <c r="F17889" s="2">
        <v>923</v>
      </c>
      <c r="G17889" s="2">
        <v>88</v>
      </c>
      <c r="H17889" s="2">
        <v>261</v>
      </c>
      <c r="I17889" s="2">
        <v>143</v>
      </c>
      <c r="J17889" s="2">
        <v>925</v>
      </c>
      <c r="K17889" s="2">
        <v>1</v>
      </c>
      <c r="L17889" s="2">
        <v>229</v>
      </c>
    </row>
    <row r="17890" spans="1:12" x14ac:dyDescent="0.25">
      <c r="A17890" s="4" t="str">
        <f>HYPERLINK("http://www.rosaceae.org/Prunus/Prunus_persica/p.persica_gdr_reftransV1_0006647","p.persica_gdr_reftransV1_0006647")</f>
        <v>p.persica_gdr_reftransV1_0006647</v>
      </c>
      <c r="B17890" s="2">
        <v>1233</v>
      </c>
      <c r="C17890" s="4" t="str">
        <f>HYPERLINK("http://www.uniprot.org/uniprot/M5XAG3","M5XAG3")</f>
        <v>M5XAG3</v>
      </c>
      <c r="D17890" s="2" t="s">
        <v>13940</v>
      </c>
      <c r="E17890" s="3">
        <v>0</v>
      </c>
      <c r="F17890" s="2">
        <v>1515</v>
      </c>
      <c r="G17890" s="2">
        <v>95</v>
      </c>
      <c r="H17890" s="2">
        <v>336</v>
      </c>
      <c r="I17890" s="2">
        <v>171</v>
      </c>
      <c r="J17890" s="2">
        <v>1178</v>
      </c>
      <c r="K17890" s="2">
        <v>1</v>
      </c>
      <c r="L17890" s="2">
        <v>325</v>
      </c>
    </row>
    <row r="17891" spans="1:12" x14ac:dyDescent="0.25">
      <c r="A17891" s="4" t="str">
        <f>HYPERLINK("http://www.rosaceae.org/Prunus/Prunus_persica/p.persica_gdr_reftransV1_0007347","p.persica_gdr_reftransV1_0007347")</f>
        <v>p.persica_gdr_reftransV1_0007347</v>
      </c>
      <c r="B17891" s="2">
        <v>685</v>
      </c>
      <c r="C17891" s="4" t="str">
        <f>HYPERLINK("http://www.uniprot.org/uniprot/A0A059BZX9","A0A059BZX9")</f>
        <v>A0A059BZX9</v>
      </c>
      <c r="D17891" s="2" t="s">
        <v>13941</v>
      </c>
      <c r="E17891" s="3">
        <v>4.1899999999999997E-46</v>
      </c>
      <c r="F17891" s="2">
        <v>413</v>
      </c>
      <c r="G17891" s="2">
        <v>65</v>
      </c>
      <c r="H17891" s="2">
        <v>140</v>
      </c>
      <c r="I17891" s="2">
        <v>151</v>
      </c>
      <c r="J17891" s="2">
        <v>567</v>
      </c>
      <c r="K17891" s="2">
        <v>1</v>
      </c>
      <c r="L17891" s="2">
        <v>140</v>
      </c>
    </row>
    <row r="17892" spans="1:12" x14ac:dyDescent="0.25">
      <c r="A17892" s="4" t="str">
        <f>HYPERLINK("http://www.rosaceae.org/Prunus/Prunus_persica/p.persica_gdr_reftransV1_0007697","p.persica_gdr_reftransV1_0007697")</f>
        <v>p.persica_gdr_reftransV1_0007697</v>
      </c>
      <c r="B17892" s="2">
        <v>1212</v>
      </c>
      <c r="C17892" s="4" t="str">
        <f>HYPERLINK("http://www.uniprot.org/uniprot/M5WAP6","M5WAP6")</f>
        <v>M5WAP6</v>
      </c>
      <c r="D17892" s="2" t="s">
        <v>13942</v>
      </c>
      <c r="E17892" s="3">
        <v>3.3099999999999998E-151</v>
      </c>
      <c r="F17892" s="2">
        <v>1127</v>
      </c>
      <c r="G17892" s="2">
        <v>100</v>
      </c>
      <c r="H17892" s="2">
        <v>211</v>
      </c>
      <c r="I17892" s="2">
        <v>158</v>
      </c>
      <c r="J17892" s="2">
        <v>790</v>
      </c>
      <c r="K17892" s="2">
        <v>1</v>
      </c>
      <c r="L17892" s="2">
        <v>211</v>
      </c>
    </row>
    <row r="17893" spans="1:12" x14ac:dyDescent="0.25">
      <c r="A17893" s="4" t="str">
        <f>HYPERLINK("http://www.rosaceae.org/Prunus/Prunus_persica/p.persica_gdr_reftransV1_0008747","p.persica_gdr_reftransV1_0008747")</f>
        <v>p.persica_gdr_reftransV1_0008747</v>
      </c>
      <c r="B17893" s="2">
        <v>966</v>
      </c>
      <c r="C17893" s="4" t="str">
        <f>HYPERLINK("http://www.uniprot.org/uniprot/M5X0T7","M5X0T7")</f>
        <v>M5X0T7</v>
      </c>
      <c r="D17893" s="2" t="s">
        <v>13943</v>
      </c>
      <c r="E17893" s="3">
        <v>4.9199999999999997E-165</v>
      </c>
      <c r="F17893" s="2">
        <v>1211</v>
      </c>
      <c r="G17893" s="2">
        <v>100</v>
      </c>
      <c r="H17893" s="2">
        <v>229</v>
      </c>
      <c r="I17893" s="2">
        <v>179</v>
      </c>
      <c r="J17893" s="2">
        <v>865</v>
      </c>
      <c r="K17893" s="2">
        <v>1</v>
      </c>
      <c r="L17893" s="2">
        <v>229</v>
      </c>
    </row>
    <row r="17894" spans="1:12" x14ac:dyDescent="0.25">
      <c r="A17894" s="4" t="str">
        <f>HYPERLINK("http://www.rosaceae.org/Prunus/Prunus_persica/p.persica_gdr_reftransV1_0009447","p.persica_gdr_reftransV1_0009447")</f>
        <v>p.persica_gdr_reftransV1_0009447</v>
      </c>
      <c r="B17894" s="2">
        <v>1753</v>
      </c>
      <c r="C17894" s="4" t="str">
        <f>HYPERLINK("http://www.uniprot.org/uniprot/M5W5R0","M5W5R0")</f>
        <v>M5W5R0</v>
      </c>
      <c r="D17894" s="2" t="s">
        <v>13944</v>
      </c>
      <c r="E17894" s="3">
        <v>0</v>
      </c>
      <c r="F17894" s="2">
        <v>1692</v>
      </c>
      <c r="G17894" s="2">
        <v>100</v>
      </c>
      <c r="H17894" s="2">
        <v>333</v>
      </c>
      <c r="I17894" s="2">
        <v>392</v>
      </c>
      <c r="J17894" s="2">
        <v>1390</v>
      </c>
      <c r="K17894" s="2">
        <v>1</v>
      </c>
      <c r="L17894" s="2">
        <v>333</v>
      </c>
    </row>
    <row r="17895" spans="1:12" x14ac:dyDescent="0.25">
      <c r="A17895" s="4" t="str">
        <f>HYPERLINK("http://www.rosaceae.org/Prunus/Prunus_persica/p.persica_gdr_reftransV1_0010147","p.persica_gdr_reftransV1_0010147")</f>
        <v>p.persica_gdr_reftransV1_0010147</v>
      </c>
      <c r="B17895" s="2">
        <v>1547</v>
      </c>
      <c r="C17895" s="4" t="str">
        <f>HYPERLINK("http://www.uniprot.org/uniprot/M5WA84","M5WA84")</f>
        <v>M5WA84</v>
      </c>
      <c r="D17895" s="2" t="s">
        <v>13945</v>
      </c>
      <c r="E17895" s="3">
        <v>0</v>
      </c>
      <c r="F17895" s="2">
        <v>2471</v>
      </c>
      <c r="G17895" s="2">
        <v>100</v>
      </c>
      <c r="H17895" s="2">
        <v>503</v>
      </c>
      <c r="I17895" s="2">
        <v>37</v>
      </c>
      <c r="J17895" s="2">
        <v>1545</v>
      </c>
      <c r="K17895" s="2">
        <v>1</v>
      </c>
      <c r="L17895" s="2">
        <v>503</v>
      </c>
    </row>
    <row r="17896" spans="1:12" x14ac:dyDescent="0.25">
      <c r="A17896" s="4" t="str">
        <f>HYPERLINK("http://www.rosaceae.org/Prunus/Prunus_persica/p.persica_gdr_reftransV1_0010847","p.persica_gdr_reftransV1_0010847")</f>
        <v>p.persica_gdr_reftransV1_0010847</v>
      </c>
      <c r="B17896" s="2">
        <v>458</v>
      </c>
      <c r="C17896" s="4" t="str">
        <f>HYPERLINK("http://www.uniprot.org/uniprot/M5Y6S4","M5Y6S4")</f>
        <v>M5Y6S4</v>
      </c>
      <c r="D17896" s="2" t="s">
        <v>13946</v>
      </c>
      <c r="E17896" s="3">
        <v>1.19E-72</v>
      </c>
      <c r="F17896" s="2">
        <v>597</v>
      </c>
      <c r="G17896" s="2">
        <v>100</v>
      </c>
      <c r="H17896" s="2">
        <v>111</v>
      </c>
      <c r="I17896" s="2">
        <v>2</v>
      </c>
      <c r="J17896" s="2">
        <v>334</v>
      </c>
      <c r="K17896" s="2">
        <v>50</v>
      </c>
      <c r="L17896" s="2">
        <v>160</v>
      </c>
    </row>
    <row r="17897" spans="1:12" x14ac:dyDescent="0.25">
      <c r="A17897" s="4" t="str">
        <f>HYPERLINK("http://www.rosaceae.org/Prunus/Prunus_persica/p.persica_gdr_reftransV1_0011547","p.persica_gdr_reftransV1_0011547")</f>
        <v>p.persica_gdr_reftransV1_0011547</v>
      </c>
      <c r="B17897" s="2">
        <v>3666</v>
      </c>
      <c r="C17897" s="4" t="str">
        <f>HYPERLINK("http://www.uniprot.org/uniprot/M5X868","M5X868")</f>
        <v>M5X868</v>
      </c>
      <c r="D17897" s="2" t="s">
        <v>10916</v>
      </c>
      <c r="E17897" s="3">
        <v>0</v>
      </c>
      <c r="F17897" s="2">
        <v>2131</v>
      </c>
      <c r="G17897" s="2">
        <v>97</v>
      </c>
      <c r="H17897" s="2">
        <v>445</v>
      </c>
      <c r="I17897" s="2">
        <v>700</v>
      </c>
      <c r="J17897" s="2">
        <v>2034</v>
      </c>
      <c r="K17897" s="2">
        <v>1</v>
      </c>
      <c r="L17897" s="2">
        <v>434</v>
      </c>
    </row>
    <row r="17898" spans="1:12" x14ac:dyDescent="0.25">
      <c r="A17898" s="4" t="str">
        <f>HYPERLINK("http://www.rosaceae.org/Prunus/Prunus_persica/p.persica_gdr_reftransV1_0011897","p.persica_gdr_reftransV1_0011897")</f>
        <v>p.persica_gdr_reftransV1_0011897</v>
      </c>
      <c r="B17898" s="2">
        <v>586</v>
      </c>
      <c r="C17898" s="4" t="str">
        <f>HYPERLINK("http://www.uniprot.org/uniprot/M5VN05","M5VN05")</f>
        <v>M5VN05</v>
      </c>
      <c r="D17898" s="2" t="s">
        <v>6720</v>
      </c>
      <c r="E17898" s="3">
        <v>2.7400000000000002E-69</v>
      </c>
      <c r="F17898" s="2">
        <v>561</v>
      </c>
      <c r="G17898" s="2">
        <v>99</v>
      </c>
      <c r="H17898" s="2">
        <v>139</v>
      </c>
      <c r="I17898" s="2">
        <v>168</v>
      </c>
      <c r="J17898" s="2">
        <v>584</v>
      </c>
      <c r="K17898" s="2">
        <v>1</v>
      </c>
      <c r="L17898" s="2">
        <v>139</v>
      </c>
    </row>
    <row r="17899" spans="1:12" x14ac:dyDescent="0.25">
      <c r="A17899" s="4" t="str">
        <f>HYPERLINK("http://www.rosaceae.org/Prunus/Prunus_persica/p.persica_gdr_reftransV1_0012597","p.persica_gdr_reftransV1_0012597")</f>
        <v>p.persica_gdr_reftransV1_0012597</v>
      </c>
      <c r="B17899" s="2">
        <v>899</v>
      </c>
      <c r="C17899" s="4" t="str">
        <f>HYPERLINK("http://www.uniprot.org/uniprot/M5W6G4","M5W6G4")</f>
        <v>M5W6G4</v>
      </c>
      <c r="D17899" s="2" t="s">
        <v>13403</v>
      </c>
      <c r="E17899" s="3">
        <v>3.5600000000000001E-130</v>
      </c>
      <c r="F17899" s="2">
        <v>1063</v>
      </c>
      <c r="G17899" s="2">
        <v>100</v>
      </c>
      <c r="H17899" s="2">
        <v>216</v>
      </c>
      <c r="I17899" s="2">
        <v>251</v>
      </c>
      <c r="J17899" s="2">
        <v>898</v>
      </c>
      <c r="K17899" s="2">
        <v>1187</v>
      </c>
      <c r="L17899" s="2">
        <v>1402</v>
      </c>
    </row>
    <row r="17900" spans="1:12" x14ac:dyDescent="0.25">
      <c r="A17900" s="4" t="str">
        <f>HYPERLINK("http://www.rosaceae.org/Prunus/Prunus_persica/p.persica_gdr_reftransV1_0013297","p.persica_gdr_reftransV1_0013297")</f>
        <v>p.persica_gdr_reftransV1_0013297</v>
      </c>
      <c r="B17900" s="2">
        <v>1228</v>
      </c>
      <c r="C17900" s="4" t="str">
        <f>HYPERLINK("http://www.uniprot.org/uniprot/M5X1F9","M5X1F9")</f>
        <v>M5X1F9</v>
      </c>
      <c r="D17900" s="2" t="s">
        <v>6066</v>
      </c>
      <c r="E17900" s="3">
        <v>3.8500000000000002E-85</v>
      </c>
      <c r="F17900" s="2">
        <v>684</v>
      </c>
      <c r="G17900" s="2">
        <v>100</v>
      </c>
      <c r="H17900" s="2">
        <v>150</v>
      </c>
      <c r="I17900" s="2">
        <v>449</v>
      </c>
      <c r="J17900" s="2">
        <v>898</v>
      </c>
      <c r="K17900" s="2">
        <v>1</v>
      </c>
      <c r="L17900" s="2">
        <v>150</v>
      </c>
    </row>
    <row r="17901" spans="1:12" x14ac:dyDescent="0.25">
      <c r="A17901" s="4" t="str">
        <f>HYPERLINK("http://www.rosaceae.org/Prunus/Prunus_persica/p.persica_gdr_reftransV1_0013997","p.persica_gdr_reftransV1_0013997")</f>
        <v>p.persica_gdr_reftransV1_0013997</v>
      </c>
      <c r="B17901" s="2">
        <v>661</v>
      </c>
      <c r="C17901" s="4" t="str">
        <f>HYPERLINK("http://www.uniprot.org/uniprot/M5WIN2","M5WIN2")</f>
        <v>M5WIN2</v>
      </c>
      <c r="D17901" s="2" t="s">
        <v>3132</v>
      </c>
      <c r="E17901" s="3">
        <v>5.7400000000000005E-132</v>
      </c>
      <c r="F17901" s="2">
        <v>994</v>
      </c>
      <c r="G17901" s="2">
        <v>100</v>
      </c>
      <c r="H17901" s="2">
        <v>187</v>
      </c>
      <c r="I17901" s="2">
        <v>3</v>
      </c>
      <c r="J17901" s="2">
        <v>563</v>
      </c>
      <c r="K17901" s="2">
        <v>1</v>
      </c>
      <c r="L17901" s="2">
        <v>187</v>
      </c>
    </row>
    <row r="17902" spans="1:12" x14ac:dyDescent="0.25">
      <c r="A17902" s="4" t="str">
        <f>HYPERLINK("http://www.rosaceae.org/Prunus/Prunus_persica/p.persica_gdr_reftransV1_0014347","p.persica_gdr_reftransV1_0014347")</f>
        <v>p.persica_gdr_reftransV1_0014347</v>
      </c>
      <c r="B17902" s="2">
        <v>1546</v>
      </c>
      <c r="C17902" s="4" t="str">
        <f>HYPERLINK("http://www.uniprot.org/uniprot/M5WC79","M5WC79")</f>
        <v>M5WC79</v>
      </c>
      <c r="D17902" s="2" t="s">
        <v>13947</v>
      </c>
      <c r="E17902" s="3">
        <v>0</v>
      </c>
      <c r="F17902" s="2">
        <v>1587</v>
      </c>
      <c r="G17902" s="2">
        <v>94</v>
      </c>
      <c r="H17902" s="2">
        <v>438</v>
      </c>
      <c r="I17902" s="2">
        <v>71</v>
      </c>
      <c r="J17902" s="2">
        <v>1384</v>
      </c>
      <c r="K17902" s="2">
        <v>22</v>
      </c>
      <c r="L17902" s="2">
        <v>435</v>
      </c>
    </row>
    <row r="17903" spans="1:12" x14ac:dyDescent="0.25">
      <c r="A17903" s="4" t="str">
        <f>HYPERLINK("http://www.rosaceae.org/Prunus/Prunus_persica/p.persica_gdr_reftransV1_0014697","p.persica_gdr_reftransV1_0014697")</f>
        <v>p.persica_gdr_reftransV1_0014697</v>
      </c>
      <c r="B17903" s="2">
        <v>8462</v>
      </c>
      <c r="C17903" s="4" t="str">
        <f>HYPERLINK("http://www.uniprot.org/uniprot/M5VPZ3","M5VPZ3")</f>
        <v>M5VPZ3</v>
      </c>
      <c r="D17903" s="2" t="s">
        <v>12834</v>
      </c>
      <c r="E17903" s="3">
        <v>0</v>
      </c>
      <c r="F17903" s="2">
        <v>3290</v>
      </c>
      <c r="G17903" s="2">
        <v>89</v>
      </c>
      <c r="H17903" s="2">
        <v>785</v>
      </c>
      <c r="I17903" s="2">
        <v>255</v>
      </c>
      <c r="J17903" s="2">
        <v>2585</v>
      </c>
      <c r="K17903" s="2">
        <v>1</v>
      </c>
      <c r="L17903" s="2">
        <v>712</v>
      </c>
    </row>
    <row r="17904" spans="1:12" x14ac:dyDescent="0.25">
      <c r="A17904" s="4" t="str">
        <f>HYPERLINK("http://www.rosaceae.org/Prunus/Prunus_persica/p.persica_gdr_reftransV1_0015397","p.persica_gdr_reftransV1_0015397")</f>
        <v>p.persica_gdr_reftransV1_0015397</v>
      </c>
      <c r="B17904" s="2">
        <v>1052</v>
      </c>
      <c r="C17904" s="4" t="str">
        <f>HYPERLINK("http://www.uniprot.org/uniprot/M5X609","M5X609")</f>
        <v>M5X609</v>
      </c>
      <c r="D17904" s="2" t="s">
        <v>8739</v>
      </c>
      <c r="E17904" s="3">
        <v>4.5000000000000002E-150</v>
      </c>
      <c r="F17904" s="2">
        <v>1192</v>
      </c>
      <c r="G17904" s="2">
        <v>88</v>
      </c>
      <c r="H17904" s="2">
        <v>257</v>
      </c>
      <c r="I17904" s="2">
        <v>2</v>
      </c>
      <c r="J17904" s="2">
        <v>772</v>
      </c>
      <c r="K17904" s="2">
        <v>900</v>
      </c>
      <c r="L17904" s="2">
        <v>1126</v>
      </c>
    </row>
    <row r="17905" spans="1:12" x14ac:dyDescent="0.25">
      <c r="A17905" s="4" t="str">
        <f>HYPERLINK("http://www.rosaceae.org/Prunus/Prunus_persica/p.persica_gdr_reftransV1_0016447","p.persica_gdr_reftransV1_0016447")</f>
        <v>p.persica_gdr_reftransV1_0016447</v>
      </c>
      <c r="B17905" s="2">
        <v>2742</v>
      </c>
      <c r="C17905" s="4" t="str">
        <f>HYPERLINK("http://www.uniprot.org/uniprot/M5X2I8","M5X2I8")</f>
        <v>M5X2I8</v>
      </c>
      <c r="D17905" s="2" t="s">
        <v>2375</v>
      </c>
      <c r="E17905" s="3">
        <v>0</v>
      </c>
      <c r="F17905" s="2">
        <v>2688</v>
      </c>
      <c r="G17905" s="2">
        <v>100</v>
      </c>
      <c r="H17905" s="2">
        <v>576</v>
      </c>
      <c r="I17905" s="2">
        <v>269</v>
      </c>
      <c r="J17905" s="2">
        <v>1996</v>
      </c>
      <c r="K17905" s="2">
        <v>20</v>
      </c>
      <c r="L17905" s="2">
        <v>595</v>
      </c>
    </row>
    <row r="17906" spans="1:12" x14ac:dyDescent="0.25">
      <c r="A17906" s="4" t="str">
        <f>HYPERLINK("http://www.rosaceae.org/Prunus/Prunus_persica/p.persica_gdr_reftransV1_0016797","p.persica_gdr_reftransV1_0016797")</f>
        <v>p.persica_gdr_reftransV1_0016797</v>
      </c>
      <c r="B17906" s="2">
        <v>1851</v>
      </c>
      <c r="C17906" s="4" t="str">
        <f>HYPERLINK("http://www.uniprot.org/uniprot/M5W046","M5W046")</f>
        <v>M5W046</v>
      </c>
      <c r="D17906" s="2" t="s">
        <v>13948</v>
      </c>
      <c r="E17906" s="3">
        <v>0</v>
      </c>
      <c r="F17906" s="2">
        <v>1774</v>
      </c>
      <c r="G17906" s="2">
        <v>100</v>
      </c>
      <c r="H17906" s="2">
        <v>326</v>
      </c>
      <c r="I17906" s="2">
        <v>381</v>
      </c>
      <c r="J17906" s="2">
        <v>1358</v>
      </c>
      <c r="K17906" s="2">
        <v>1</v>
      </c>
      <c r="L17906" s="2">
        <v>326</v>
      </c>
    </row>
    <row r="17907" spans="1:12" x14ac:dyDescent="0.25">
      <c r="A17907" s="4" t="str">
        <f>HYPERLINK("http://www.rosaceae.org/Prunus/Prunus_persica/p.persica_gdr_reftransV1_0017147","p.persica_gdr_reftransV1_0017147")</f>
        <v>p.persica_gdr_reftransV1_0017147</v>
      </c>
      <c r="B17907" s="2">
        <v>2110</v>
      </c>
      <c r="C17907" s="4" t="str">
        <f>HYPERLINK("http://www.uniprot.org/uniprot/M5XXJ0","M5XXJ0")</f>
        <v>M5XXJ0</v>
      </c>
      <c r="D17907" s="2" t="s">
        <v>13949</v>
      </c>
      <c r="E17907" s="3">
        <v>0</v>
      </c>
      <c r="F17907" s="2">
        <v>2033</v>
      </c>
      <c r="G17907" s="2">
        <v>100</v>
      </c>
      <c r="H17907" s="2">
        <v>409</v>
      </c>
      <c r="I17907" s="2">
        <v>776</v>
      </c>
      <c r="J17907" s="2">
        <v>2002</v>
      </c>
      <c r="K17907" s="2">
        <v>1</v>
      </c>
      <c r="L17907" s="2">
        <v>409</v>
      </c>
    </row>
    <row r="17908" spans="1:12" x14ac:dyDescent="0.25">
      <c r="A17908" s="4" t="str">
        <f>HYPERLINK("http://www.rosaceae.org/Prunus/Prunus_persica/p.persica_gdr_reftransV1_0017497","p.persica_gdr_reftransV1_0017497")</f>
        <v>p.persica_gdr_reftransV1_0017497</v>
      </c>
      <c r="B17908" s="2">
        <v>2256</v>
      </c>
      <c r="C17908" s="4" t="str">
        <f>HYPERLINK("http://www.uniprot.org/uniprot/M5X730","M5X730")</f>
        <v>M5X730</v>
      </c>
      <c r="D17908" s="2" t="s">
        <v>13950</v>
      </c>
      <c r="E17908" s="3">
        <v>0</v>
      </c>
      <c r="F17908" s="2">
        <v>2904</v>
      </c>
      <c r="G17908" s="2">
        <v>100</v>
      </c>
      <c r="H17908" s="2">
        <v>591</v>
      </c>
      <c r="I17908" s="2">
        <v>455</v>
      </c>
      <c r="J17908" s="2">
        <v>2227</v>
      </c>
      <c r="K17908" s="2">
        <v>1</v>
      </c>
      <c r="L17908" s="2">
        <v>591</v>
      </c>
    </row>
    <row r="17909" spans="1:12" x14ac:dyDescent="0.25">
      <c r="A17909" s="4" t="str">
        <f>HYPERLINK("http://www.rosaceae.org/Prunus/Prunus_persica/p.persica_gdr_reftransV1_0018197","p.persica_gdr_reftransV1_0018197")</f>
        <v>p.persica_gdr_reftransV1_0018197</v>
      </c>
      <c r="B17909" s="2">
        <v>1449</v>
      </c>
      <c r="C17909" s="4" t="str">
        <f>HYPERLINK("http://www.uniprot.org/uniprot/M5W101","M5W101")</f>
        <v>M5W101</v>
      </c>
      <c r="D17909" s="2" t="s">
        <v>13951</v>
      </c>
      <c r="E17909" s="3">
        <v>0</v>
      </c>
      <c r="F17909" s="2">
        <v>1492</v>
      </c>
      <c r="G17909" s="2">
        <v>100</v>
      </c>
      <c r="H17909" s="2">
        <v>356</v>
      </c>
      <c r="I17909" s="2">
        <v>382</v>
      </c>
      <c r="J17909" s="2">
        <v>1449</v>
      </c>
      <c r="K17909" s="2">
        <v>49</v>
      </c>
      <c r="L17909" s="2">
        <v>404</v>
      </c>
    </row>
    <row r="17910" spans="1:12" x14ac:dyDescent="0.25">
      <c r="A17910" s="4" t="str">
        <f>HYPERLINK("http://www.rosaceae.org/Prunus/Prunus_persica/p.persica_gdr_reftransV1_0018897","p.persica_gdr_reftransV1_0018897")</f>
        <v>p.persica_gdr_reftransV1_0018897</v>
      </c>
      <c r="B17910" s="2">
        <v>4753</v>
      </c>
      <c r="C17910" s="4" t="str">
        <f>HYPERLINK("http://www.uniprot.org/uniprot/M5VJA7","M5VJA7")</f>
        <v>M5VJA7</v>
      </c>
      <c r="D17910" s="2" t="s">
        <v>12342</v>
      </c>
      <c r="E17910" s="3">
        <v>0</v>
      </c>
      <c r="F17910" s="2">
        <v>6129</v>
      </c>
      <c r="G17910" s="2">
        <v>96</v>
      </c>
      <c r="H17910" s="2">
        <v>1328</v>
      </c>
      <c r="I17910" s="2">
        <v>293</v>
      </c>
      <c r="J17910" s="2">
        <v>4276</v>
      </c>
      <c r="K17910" s="2">
        <v>1</v>
      </c>
      <c r="L17910" s="2">
        <v>1282</v>
      </c>
    </row>
    <row r="17911" spans="1:12" x14ac:dyDescent="0.25">
      <c r="A17911" s="4" t="str">
        <f>HYPERLINK("http://www.rosaceae.org/Prunus/Prunus_persica/p.persica_gdr_reftransV1_0020647","p.persica_gdr_reftransV1_0020647")</f>
        <v>p.persica_gdr_reftransV1_0020647</v>
      </c>
      <c r="B17911" s="2">
        <v>649</v>
      </c>
      <c r="C17911" s="4" t="str">
        <f>HYPERLINK("http://www.uniprot.org/uniprot/M5X2J7","M5X2J7")</f>
        <v>M5X2J7</v>
      </c>
      <c r="D17911" s="2" t="s">
        <v>4191</v>
      </c>
      <c r="E17911" s="3">
        <v>1.8499999999999999E-88</v>
      </c>
      <c r="F17911" s="2">
        <v>725</v>
      </c>
      <c r="G17911" s="2">
        <v>100</v>
      </c>
      <c r="H17911" s="2">
        <v>151</v>
      </c>
      <c r="I17911" s="2">
        <v>195</v>
      </c>
      <c r="J17911" s="2">
        <v>647</v>
      </c>
      <c r="K17911" s="2">
        <v>406</v>
      </c>
      <c r="L17911" s="2">
        <v>556</v>
      </c>
    </row>
    <row r="17912" spans="1:12" x14ac:dyDescent="0.25">
      <c r="A17912" s="4" t="str">
        <f>HYPERLINK("http://www.rosaceae.org/Prunus/Prunus_persica/p.persica_gdr_reftransV1_0020997","p.persica_gdr_reftransV1_0020997")</f>
        <v>p.persica_gdr_reftransV1_0020997</v>
      </c>
      <c r="B17912" s="2">
        <v>2266</v>
      </c>
      <c r="C17912" s="4" t="str">
        <f>HYPERLINK("http://www.uniprot.org/uniprot/M5XDL2","M5XDL2")</f>
        <v>M5XDL2</v>
      </c>
      <c r="D17912" s="2" t="s">
        <v>13952</v>
      </c>
      <c r="E17912" s="3">
        <v>0</v>
      </c>
      <c r="F17912" s="2">
        <v>2806</v>
      </c>
      <c r="G17912" s="2">
        <v>100</v>
      </c>
      <c r="H17912" s="2">
        <v>535</v>
      </c>
      <c r="I17912" s="2">
        <v>393</v>
      </c>
      <c r="J17912" s="2">
        <v>1997</v>
      </c>
      <c r="K17912" s="2">
        <v>1</v>
      </c>
      <c r="L17912" s="2">
        <v>535</v>
      </c>
    </row>
    <row r="17913" spans="1:12" x14ac:dyDescent="0.25">
      <c r="A17913" s="4" t="str">
        <f>HYPERLINK("http://www.rosaceae.org/Prunus/Prunus_persica/p.persica_gdr_reftransV1_0022397","p.persica_gdr_reftransV1_0022397")</f>
        <v>p.persica_gdr_reftransV1_0022397</v>
      </c>
      <c r="B17913" s="2">
        <v>2317</v>
      </c>
      <c r="C17913" s="4" t="str">
        <f>HYPERLINK("http://www.uniprot.org/uniprot/M5X5L2","M5X5L2")</f>
        <v>M5X5L2</v>
      </c>
      <c r="D17913" s="2" t="s">
        <v>13953</v>
      </c>
      <c r="E17913" s="3">
        <v>0</v>
      </c>
      <c r="F17913" s="2">
        <v>1751</v>
      </c>
      <c r="G17913" s="2">
        <v>91</v>
      </c>
      <c r="H17913" s="2">
        <v>360</v>
      </c>
      <c r="I17913" s="2">
        <v>307</v>
      </c>
      <c r="J17913" s="2">
        <v>1386</v>
      </c>
      <c r="K17913" s="2">
        <v>213</v>
      </c>
      <c r="L17913" s="2">
        <v>542</v>
      </c>
    </row>
    <row r="17914" spans="1:12" x14ac:dyDescent="0.25">
      <c r="A17914" s="4" t="str">
        <f>HYPERLINK("http://www.rosaceae.org/Prunus/Prunus_persica/p.persica_gdr_reftransV1_0023097","p.persica_gdr_reftransV1_0023097")</f>
        <v>p.persica_gdr_reftransV1_0023097</v>
      </c>
      <c r="B17914" s="2">
        <v>1141</v>
      </c>
      <c r="C17914" s="4" t="str">
        <f>HYPERLINK("http://www.uniprot.org/uniprot/M5XPQ2","M5XPQ2")</f>
        <v>M5XPQ2</v>
      </c>
      <c r="D17914" s="2" t="s">
        <v>2753</v>
      </c>
      <c r="E17914" s="3">
        <v>0</v>
      </c>
      <c r="F17914" s="2">
        <v>1456</v>
      </c>
      <c r="G17914" s="2">
        <v>100</v>
      </c>
      <c r="H17914" s="2">
        <v>311</v>
      </c>
      <c r="I17914" s="2">
        <v>209</v>
      </c>
      <c r="J17914" s="2">
        <v>1141</v>
      </c>
      <c r="K17914" s="2">
        <v>1100</v>
      </c>
      <c r="L17914" s="2">
        <v>1410</v>
      </c>
    </row>
    <row r="17915" spans="1:12" x14ac:dyDescent="0.25">
      <c r="A17915" s="4" t="str">
        <f>HYPERLINK("http://www.rosaceae.org/Prunus/Prunus_persica/p.persica_gdr_reftransV1_0024147","p.persica_gdr_reftransV1_0024147")</f>
        <v>p.persica_gdr_reftransV1_0024147</v>
      </c>
      <c r="B17915" s="2">
        <v>2535</v>
      </c>
      <c r="C17915" s="4" t="str">
        <f>HYPERLINK("http://www.uniprot.org/uniprot/M5W009","M5W009")</f>
        <v>M5W009</v>
      </c>
      <c r="D17915" s="2" t="s">
        <v>10388</v>
      </c>
      <c r="E17915" s="3">
        <v>0</v>
      </c>
      <c r="F17915" s="2">
        <v>1409</v>
      </c>
      <c r="G17915" s="2">
        <v>100</v>
      </c>
      <c r="H17915" s="2">
        <v>317</v>
      </c>
      <c r="I17915" s="2">
        <v>540</v>
      </c>
      <c r="J17915" s="2">
        <v>1490</v>
      </c>
      <c r="K17915" s="2">
        <v>21</v>
      </c>
      <c r="L17915" s="2">
        <v>337</v>
      </c>
    </row>
    <row r="17916" spans="1:12" x14ac:dyDescent="0.25">
      <c r="A17916" s="4" t="str">
        <f>HYPERLINK("http://www.rosaceae.org/Prunus/Prunus_persica/p.persica_gdr_reftransV1_0024847","p.persica_gdr_reftransV1_0024847")</f>
        <v>p.persica_gdr_reftransV1_0024847</v>
      </c>
      <c r="B17916" s="2">
        <v>2661</v>
      </c>
      <c r="C17916" s="4" t="str">
        <f>HYPERLINK("http://www.uniprot.org/uniprot/J7K6M3","J7K6M3")</f>
        <v>J7K6M3</v>
      </c>
      <c r="D17916" s="2" t="s">
        <v>13954</v>
      </c>
      <c r="E17916" s="3">
        <v>0</v>
      </c>
      <c r="F17916" s="2">
        <v>3526</v>
      </c>
      <c r="G17916" s="2">
        <v>93</v>
      </c>
      <c r="H17916" s="2">
        <v>716</v>
      </c>
      <c r="I17916" s="2">
        <v>323</v>
      </c>
      <c r="J17916" s="2">
        <v>2470</v>
      </c>
      <c r="K17916" s="2">
        <v>1</v>
      </c>
      <c r="L17916" s="2">
        <v>664</v>
      </c>
    </row>
    <row r="17917" spans="1:12" x14ac:dyDescent="0.25">
      <c r="A17917" s="4" t="str">
        <f>HYPERLINK("http://www.rosaceae.org/Prunus/Prunus_persica/p.persica_gdr_reftransV1_0025897","p.persica_gdr_reftransV1_0025897")</f>
        <v>p.persica_gdr_reftransV1_0025897</v>
      </c>
      <c r="B17917" s="2">
        <v>2427</v>
      </c>
      <c r="C17917" s="4" t="str">
        <f>HYPERLINK("http://www.uniprot.org/uniprot/M5WWP0","M5WWP0")</f>
        <v>M5WWP0</v>
      </c>
      <c r="D17917" s="2" t="s">
        <v>13955</v>
      </c>
      <c r="E17917" s="3">
        <v>0</v>
      </c>
      <c r="F17917" s="2">
        <v>3246</v>
      </c>
      <c r="G17917" s="2">
        <v>100</v>
      </c>
      <c r="H17917" s="2">
        <v>674</v>
      </c>
      <c r="I17917" s="2">
        <v>179</v>
      </c>
      <c r="J17917" s="2">
        <v>2200</v>
      </c>
      <c r="K17917" s="2">
        <v>61</v>
      </c>
      <c r="L17917" s="2">
        <v>734</v>
      </c>
    </row>
    <row r="17918" spans="1:12" x14ac:dyDescent="0.25">
      <c r="A17918" s="4" t="str">
        <f>HYPERLINK("http://www.rosaceae.org/Prunus/Prunus_persica/p.persica_gdr_reftransV1_0026247","p.persica_gdr_reftransV1_0026247")</f>
        <v>p.persica_gdr_reftransV1_0026247</v>
      </c>
      <c r="B17918" s="2">
        <v>2384</v>
      </c>
      <c r="C17918" s="4" t="str">
        <f>HYPERLINK("http://www.uniprot.org/uniprot/M5W069","M5W069")</f>
        <v>M5W069</v>
      </c>
      <c r="D17918" s="2" t="s">
        <v>13956</v>
      </c>
      <c r="E17918" s="3">
        <v>0</v>
      </c>
      <c r="F17918" s="2">
        <v>2975</v>
      </c>
      <c r="G17918" s="2">
        <v>100</v>
      </c>
      <c r="H17918" s="2">
        <v>569</v>
      </c>
      <c r="I17918" s="2">
        <v>635</v>
      </c>
      <c r="J17918" s="2">
        <v>2341</v>
      </c>
      <c r="K17918" s="2">
        <v>1</v>
      </c>
      <c r="L17918" s="2">
        <v>569</v>
      </c>
    </row>
    <row r="17919" spans="1:12" x14ac:dyDescent="0.25">
      <c r="A17919" s="4" t="str">
        <f>HYPERLINK("http://www.rosaceae.org/Prunus/Prunus_persica/p.persica_gdr_reftransV1_0026597","p.persica_gdr_reftransV1_0026597")</f>
        <v>p.persica_gdr_reftransV1_0026597</v>
      </c>
      <c r="B17919" s="2">
        <v>596</v>
      </c>
      <c r="C17919" s="4" t="str">
        <f>HYPERLINK("http://www.uniprot.org/uniprot/M5W0H4","M5W0H4")</f>
        <v>M5W0H4</v>
      </c>
      <c r="D17919" s="2" t="s">
        <v>8766</v>
      </c>
      <c r="E17919" s="3">
        <v>6.5800000000000003E-54</v>
      </c>
      <c r="F17919" s="2">
        <v>458</v>
      </c>
      <c r="G17919" s="2">
        <v>87</v>
      </c>
      <c r="H17919" s="2">
        <v>126</v>
      </c>
      <c r="I17919" s="2">
        <v>161</v>
      </c>
      <c r="J17919" s="2">
        <v>538</v>
      </c>
      <c r="K17919" s="2">
        <v>31</v>
      </c>
      <c r="L17919" s="2">
        <v>156</v>
      </c>
    </row>
    <row r="17920" spans="1:12" x14ac:dyDescent="0.25">
      <c r="A17920" s="4" t="str">
        <f>HYPERLINK("http://www.rosaceae.org/Prunus/Prunus_persica/p.persica_gdr_reftransV1_0028347","p.persica_gdr_reftransV1_0028347")</f>
        <v>p.persica_gdr_reftransV1_0028347</v>
      </c>
      <c r="B17920" s="2">
        <v>440</v>
      </c>
      <c r="C17920" s="4" t="str">
        <f>HYPERLINK("http://www.uniprot.org/uniprot/E3UEQ9","E3UEQ9")</f>
        <v>E3UEQ9</v>
      </c>
      <c r="D17920" s="2" t="s">
        <v>13957</v>
      </c>
      <c r="E17920" s="3">
        <v>1.11E-33</v>
      </c>
      <c r="F17920" s="2">
        <v>318</v>
      </c>
      <c r="G17920" s="2">
        <v>97</v>
      </c>
      <c r="H17920" s="2">
        <v>78</v>
      </c>
      <c r="I17920" s="2">
        <v>3</v>
      </c>
      <c r="J17920" s="2">
        <v>236</v>
      </c>
      <c r="K17920" s="2">
        <v>94</v>
      </c>
      <c r="L17920" s="2">
        <v>171</v>
      </c>
    </row>
    <row r="17921" spans="1:12" x14ac:dyDescent="0.25">
      <c r="A17921" s="4" t="str">
        <f>HYPERLINK("http://www.rosaceae.org/Prunus/Prunus_persica/p.persica_gdr_reftransV1_0028697","p.persica_gdr_reftransV1_0028697")</f>
        <v>p.persica_gdr_reftransV1_0028697</v>
      </c>
      <c r="B17921" s="2">
        <v>962</v>
      </c>
      <c r="C17921" s="4" t="str">
        <f>HYPERLINK("http://www.uniprot.org/uniprot/M5XSI0","M5XSI0")</f>
        <v>M5XSI0</v>
      </c>
      <c r="D17921" s="2" t="s">
        <v>7310</v>
      </c>
      <c r="E17921" s="3">
        <v>5.3400000000000003E-147</v>
      </c>
      <c r="F17921" s="2">
        <v>1115</v>
      </c>
      <c r="G17921" s="2">
        <v>100</v>
      </c>
      <c r="H17921" s="2">
        <v>243</v>
      </c>
      <c r="I17921" s="2">
        <v>233</v>
      </c>
      <c r="J17921" s="2">
        <v>961</v>
      </c>
      <c r="K17921" s="2">
        <v>200</v>
      </c>
      <c r="L17921" s="2">
        <v>442</v>
      </c>
    </row>
    <row r="17922" spans="1:12" x14ac:dyDescent="0.25">
      <c r="A17922" s="4" t="str">
        <f>HYPERLINK("http://www.rosaceae.org/Prunus/Prunus_persica/p.persica_gdr_reftransV1_0029397","p.persica_gdr_reftransV1_0029397")</f>
        <v>p.persica_gdr_reftransV1_0029397</v>
      </c>
      <c r="B17922" s="2">
        <v>1596</v>
      </c>
      <c r="C17922" s="4" t="str">
        <f>HYPERLINK("http://www.uniprot.org/uniprot/M5XFX1","M5XFX1")</f>
        <v>M5XFX1</v>
      </c>
      <c r="D17922" s="2" t="s">
        <v>13958</v>
      </c>
      <c r="E17922" s="3">
        <v>4.0999999999999998E-89</v>
      </c>
      <c r="F17922" s="2">
        <v>442</v>
      </c>
      <c r="G17922" s="2">
        <v>100</v>
      </c>
      <c r="H17922" s="2">
        <v>85</v>
      </c>
      <c r="I17922" s="2">
        <v>1239</v>
      </c>
      <c r="J17922" s="2">
        <v>1493</v>
      </c>
      <c r="K17922" s="2">
        <v>1</v>
      </c>
      <c r="L17922" s="2">
        <v>85</v>
      </c>
    </row>
    <row r="17923" spans="1:12" x14ac:dyDescent="0.25">
      <c r="A17923" s="4" t="str">
        <f>HYPERLINK("http://www.rosaceae.org/Prunus/Prunus_persica/p.persica_gdr_reftransV1_0030097","p.persica_gdr_reftransV1_0030097")</f>
        <v>p.persica_gdr_reftransV1_0030097</v>
      </c>
      <c r="B17923" s="2">
        <v>1801</v>
      </c>
      <c r="C17923" s="4" t="str">
        <f>HYPERLINK("http://www.uniprot.org/uniprot/V4T4B8","V4T4B8")</f>
        <v>V4T4B8</v>
      </c>
      <c r="D17923" s="2" t="s">
        <v>13959</v>
      </c>
      <c r="E17923" s="3">
        <v>1.0499999999999999E-180</v>
      </c>
      <c r="F17923" s="2">
        <v>1115</v>
      </c>
      <c r="G17923" s="2">
        <v>59</v>
      </c>
      <c r="H17923" s="2">
        <v>378</v>
      </c>
      <c r="I17923" s="2">
        <v>14</v>
      </c>
      <c r="J17923" s="2">
        <v>1144</v>
      </c>
      <c r="K17923" s="2">
        <v>173</v>
      </c>
      <c r="L17923" s="2">
        <v>550</v>
      </c>
    </row>
    <row r="17924" spans="1:12" x14ac:dyDescent="0.25">
      <c r="A17924" s="4" t="str">
        <f>HYPERLINK("http://www.rosaceae.org/Prunus/Prunus_persica/p.persica_gdr_reftransV1_0030447","p.persica_gdr_reftransV1_0030447")</f>
        <v>p.persica_gdr_reftransV1_0030447</v>
      </c>
      <c r="B17924" s="2">
        <v>2626</v>
      </c>
      <c r="C17924" s="4" t="str">
        <f>HYPERLINK("http://www.uniprot.org/uniprot/M5Y0A5","M5Y0A5")</f>
        <v>M5Y0A5</v>
      </c>
      <c r="D17924" s="2" t="s">
        <v>13960</v>
      </c>
      <c r="E17924" s="3">
        <v>0</v>
      </c>
      <c r="F17924" s="2">
        <v>2193</v>
      </c>
      <c r="G17924" s="2">
        <v>100</v>
      </c>
      <c r="H17924" s="2">
        <v>410</v>
      </c>
      <c r="I17924" s="2">
        <v>1227</v>
      </c>
      <c r="J17924" s="2">
        <v>2456</v>
      </c>
      <c r="K17924" s="2">
        <v>1</v>
      </c>
      <c r="L17924" s="2">
        <v>410</v>
      </c>
    </row>
    <row r="17925" spans="1:12" x14ac:dyDescent="0.25">
      <c r="A17925" s="4" t="str">
        <f>HYPERLINK("http://www.rosaceae.org/Prunus/Prunus_persica/p.persica_gdr_reftransV1_0031497","p.persica_gdr_reftransV1_0031497")</f>
        <v>p.persica_gdr_reftransV1_0031497</v>
      </c>
      <c r="B17925" s="2">
        <v>580</v>
      </c>
      <c r="C17925" s="4" t="str">
        <f>HYPERLINK("http://www.uniprot.org/uniprot/M5WH10","M5WH10")</f>
        <v>M5WH10</v>
      </c>
      <c r="D17925" s="2" t="s">
        <v>13560</v>
      </c>
      <c r="E17925" s="3">
        <v>5.5699999999999997E-68</v>
      </c>
      <c r="F17925" s="2">
        <v>561</v>
      </c>
      <c r="G17925" s="2">
        <v>100</v>
      </c>
      <c r="H17925" s="2">
        <v>107</v>
      </c>
      <c r="I17925" s="2">
        <v>3</v>
      </c>
      <c r="J17925" s="2">
        <v>323</v>
      </c>
      <c r="K17925" s="2">
        <v>1</v>
      </c>
      <c r="L17925" s="2">
        <v>107</v>
      </c>
    </row>
    <row r="17926" spans="1:12" x14ac:dyDescent="0.25">
      <c r="A17926" s="4" t="str">
        <f>HYPERLINK("http://www.rosaceae.org/Prunus/Prunus_persica/p.persica_gdr_reftransV1_0032547","p.persica_gdr_reftransV1_0032547")</f>
        <v>p.persica_gdr_reftransV1_0032547</v>
      </c>
      <c r="B17926" s="2">
        <v>3472</v>
      </c>
      <c r="C17926" s="4" t="str">
        <f>HYPERLINK("http://www.uniprot.org/uniprot/M5XIG5","M5XIG5")</f>
        <v>M5XIG5</v>
      </c>
      <c r="D17926" s="2" t="s">
        <v>13961</v>
      </c>
      <c r="E17926" s="3">
        <v>0</v>
      </c>
      <c r="F17926" s="2">
        <v>1732</v>
      </c>
      <c r="G17926" s="2">
        <v>100</v>
      </c>
      <c r="H17926" s="2">
        <v>336</v>
      </c>
      <c r="I17926" s="2">
        <v>2095</v>
      </c>
      <c r="J17926" s="2">
        <v>3102</v>
      </c>
      <c r="K17926" s="2">
        <v>312</v>
      </c>
      <c r="L17926" s="2">
        <v>647</v>
      </c>
    </row>
    <row r="17927" spans="1:12" x14ac:dyDescent="0.25">
      <c r="A17927" s="4" t="str">
        <f>HYPERLINK("http://www.rosaceae.org/Prunus/Prunus_persica/p.persica_gdr_reftransV1_0033947","p.persica_gdr_reftransV1_0033947")</f>
        <v>p.persica_gdr_reftransV1_0033947</v>
      </c>
      <c r="B17927" s="2">
        <v>4605</v>
      </c>
      <c r="C17927" s="4" t="str">
        <f>HYPERLINK("http://www.uniprot.org/uniprot/M5XBT8","M5XBT8")</f>
        <v>M5XBT8</v>
      </c>
      <c r="D17927" s="2" t="s">
        <v>5364</v>
      </c>
      <c r="E17927" s="3">
        <v>0</v>
      </c>
      <c r="F17927" s="2">
        <v>1874</v>
      </c>
      <c r="G17927" s="2">
        <v>100</v>
      </c>
      <c r="H17927" s="2">
        <v>395</v>
      </c>
      <c r="I17927" s="2">
        <v>1693</v>
      </c>
      <c r="J17927" s="2">
        <v>2877</v>
      </c>
      <c r="K17927" s="2">
        <v>75</v>
      </c>
      <c r="L17927" s="2">
        <v>469</v>
      </c>
    </row>
    <row r="17928" spans="1:12" x14ac:dyDescent="0.25">
      <c r="A17928" s="4" t="str">
        <f>HYPERLINK("http://www.rosaceae.org/Prunus/Prunus_persica/p.persica_gdr_reftransV1_0037447","p.persica_gdr_reftransV1_0037447")</f>
        <v>p.persica_gdr_reftransV1_0037447</v>
      </c>
      <c r="B17928" s="2">
        <v>5122</v>
      </c>
      <c r="C17928" s="4" t="str">
        <f>HYPERLINK("http://www.uniprot.org/uniprot/M5WSV3","M5WSV3")</f>
        <v>M5WSV3</v>
      </c>
      <c r="D17928" s="2" t="s">
        <v>13186</v>
      </c>
      <c r="E17928" s="3">
        <v>0</v>
      </c>
      <c r="F17928" s="2">
        <v>5789</v>
      </c>
      <c r="G17928" s="2">
        <v>100</v>
      </c>
      <c r="H17928" s="2">
        <v>1235</v>
      </c>
      <c r="I17928" s="2">
        <v>306</v>
      </c>
      <c r="J17928" s="2">
        <v>4010</v>
      </c>
      <c r="K17928" s="2">
        <v>29</v>
      </c>
      <c r="L17928" s="2">
        <v>1263</v>
      </c>
    </row>
    <row r="17929" spans="1:12" x14ac:dyDescent="0.25">
      <c r="A17929" s="4" t="str">
        <f>HYPERLINK("http://www.rosaceae.org/Prunus/Prunus_persica/p.persica_gdr_reftransV1_0037797","p.persica_gdr_reftransV1_0037797")</f>
        <v>p.persica_gdr_reftransV1_0037797</v>
      </c>
      <c r="B17929" s="2">
        <v>3518</v>
      </c>
      <c r="C17929" s="4" t="str">
        <f>HYPERLINK("http://www.uniprot.org/uniprot/M5VIW1","M5VIW1")</f>
        <v>M5VIW1</v>
      </c>
      <c r="D17929" s="2" t="s">
        <v>12727</v>
      </c>
      <c r="E17929" s="3">
        <v>0</v>
      </c>
      <c r="F17929" s="2">
        <v>2631</v>
      </c>
      <c r="G17929" s="2">
        <v>97</v>
      </c>
      <c r="H17929" s="2">
        <v>526</v>
      </c>
      <c r="I17929" s="2">
        <v>1505</v>
      </c>
      <c r="J17929" s="2">
        <v>3082</v>
      </c>
      <c r="K17929" s="2">
        <v>44</v>
      </c>
      <c r="L17929" s="2">
        <v>557</v>
      </c>
    </row>
    <row r="17930" spans="1:12" x14ac:dyDescent="0.25">
      <c r="A17930" s="4" t="str">
        <f>HYPERLINK("http://www.rosaceae.org/Prunus/Prunus_persica/p.persica_gdr_reftransV1_0038147","p.persica_gdr_reftransV1_0038147")</f>
        <v>p.persica_gdr_reftransV1_0038147</v>
      </c>
      <c r="B17930" s="2">
        <v>1348</v>
      </c>
      <c r="C17930" s="4" t="str">
        <f>HYPERLINK("http://www.uniprot.org/uniprot/M5W0G0","M5W0G0")</f>
        <v>M5W0G0</v>
      </c>
      <c r="D17930" s="2" t="s">
        <v>13962</v>
      </c>
      <c r="E17930" s="3">
        <v>2.1999999999999999E-100</v>
      </c>
      <c r="F17930" s="2">
        <v>791</v>
      </c>
      <c r="G17930" s="2">
        <v>100</v>
      </c>
      <c r="H17930" s="2">
        <v>169</v>
      </c>
      <c r="I17930" s="2">
        <v>555</v>
      </c>
      <c r="J17930" s="2">
        <v>1061</v>
      </c>
      <c r="K17930" s="2">
        <v>1</v>
      </c>
      <c r="L17930" s="2">
        <v>169</v>
      </c>
    </row>
    <row r="17931" spans="1:12" x14ac:dyDescent="0.25">
      <c r="A17931" s="4" t="str">
        <f>HYPERLINK("http://www.rosaceae.org/Prunus/Prunus_persica/p.persica_gdr_reftransV1_0039547","p.persica_gdr_reftransV1_0039547")</f>
        <v>p.persica_gdr_reftransV1_0039547</v>
      </c>
      <c r="B17931" s="2">
        <v>1714</v>
      </c>
      <c r="C17931" s="4" t="str">
        <f>HYPERLINK("http://www.uniprot.org/uniprot/M5W9N2","M5W9N2")</f>
        <v>M5W9N2</v>
      </c>
      <c r="D17931" s="2" t="s">
        <v>13963</v>
      </c>
      <c r="E17931" s="3">
        <v>0</v>
      </c>
      <c r="F17931" s="2">
        <v>2016</v>
      </c>
      <c r="G17931" s="2">
        <v>100</v>
      </c>
      <c r="H17931" s="2">
        <v>379</v>
      </c>
      <c r="I17931" s="2">
        <v>225</v>
      </c>
      <c r="J17931" s="2">
        <v>1361</v>
      </c>
      <c r="K17931" s="2">
        <v>1</v>
      </c>
      <c r="L17931" s="2">
        <v>379</v>
      </c>
    </row>
    <row r="17932" spans="1:12" x14ac:dyDescent="0.25">
      <c r="A17932" s="4" t="str">
        <f>HYPERLINK("http://www.rosaceae.org/Prunus/Prunus_persica/p.persica_gdr_reftransV1_0041997","p.persica_gdr_reftransV1_0041997")</f>
        <v>p.persica_gdr_reftransV1_0041997</v>
      </c>
      <c r="B17932" s="2">
        <v>1795</v>
      </c>
      <c r="C17932" s="4" t="str">
        <f>HYPERLINK("http://www.uniprot.org/uniprot/M5XBN6","M5XBN6")</f>
        <v>M5XBN6</v>
      </c>
      <c r="D17932" s="2" t="s">
        <v>6451</v>
      </c>
      <c r="E17932" s="3">
        <v>0</v>
      </c>
      <c r="F17932" s="2">
        <v>1773</v>
      </c>
      <c r="G17932" s="2">
        <v>90</v>
      </c>
      <c r="H17932" s="2">
        <v>397</v>
      </c>
      <c r="I17932" s="2">
        <v>261</v>
      </c>
      <c r="J17932" s="2">
        <v>1451</v>
      </c>
      <c r="K17932" s="2">
        <v>33</v>
      </c>
      <c r="L17932" s="2">
        <v>388</v>
      </c>
    </row>
    <row r="17933" spans="1:12" x14ac:dyDescent="0.25">
      <c r="A17933" s="4" t="str">
        <f>HYPERLINK("http://www.rosaceae.org/Prunus/Prunus_persica/p.persica_gdr_reftransV1_0043047","p.persica_gdr_reftransV1_0043047")</f>
        <v>p.persica_gdr_reftransV1_0043047</v>
      </c>
      <c r="B17933" s="2">
        <v>667</v>
      </c>
      <c r="C17933" s="4" t="str">
        <f>HYPERLINK("http://www.uniprot.org/uniprot/M5WVT0","M5WVT0")</f>
        <v>M5WVT0</v>
      </c>
      <c r="D17933" s="2" t="s">
        <v>13964</v>
      </c>
      <c r="E17933" s="3">
        <v>1.9400000000000001E-72</v>
      </c>
      <c r="F17933" s="2">
        <v>578</v>
      </c>
      <c r="G17933" s="2">
        <v>100</v>
      </c>
      <c r="H17933" s="2">
        <v>110</v>
      </c>
      <c r="I17933" s="2">
        <v>76</v>
      </c>
      <c r="J17933" s="2">
        <v>405</v>
      </c>
      <c r="K17933" s="2">
        <v>1</v>
      </c>
      <c r="L17933" s="2">
        <v>110</v>
      </c>
    </row>
    <row r="17934" spans="1:12" x14ac:dyDescent="0.25">
      <c r="A17934" s="4" t="str">
        <f>HYPERLINK("http://www.rosaceae.org/Prunus/Prunus_persica/p.persica_gdr_reftransV1_0043397","p.persica_gdr_reftransV1_0043397")</f>
        <v>p.persica_gdr_reftransV1_0043397</v>
      </c>
      <c r="B17934" s="2">
        <v>1609</v>
      </c>
      <c r="C17934" s="4" t="str">
        <f>HYPERLINK("http://www.uniprot.org/uniprot/M5WI29","M5WI29")</f>
        <v>M5WI29</v>
      </c>
      <c r="D17934" s="2" t="s">
        <v>13965</v>
      </c>
      <c r="E17934" s="3">
        <v>0</v>
      </c>
      <c r="F17934" s="2">
        <v>2224</v>
      </c>
      <c r="G17934" s="2">
        <v>100</v>
      </c>
      <c r="H17934" s="2">
        <v>422</v>
      </c>
      <c r="I17934" s="2">
        <v>281</v>
      </c>
      <c r="J17934" s="2">
        <v>1546</v>
      </c>
      <c r="K17934" s="2">
        <v>1</v>
      </c>
      <c r="L17934" s="2">
        <v>422</v>
      </c>
    </row>
    <row r="17935" spans="1:12" x14ac:dyDescent="0.25">
      <c r="A17935" s="4" t="str">
        <f>HYPERLINK("http://www.rosaceae.org/Prunus/Prunus_persica/p.persica_gdr_reftransV1_0043747","p.persica_gdr_reftransV1_0043747")</f>
        <v>p.persica_gdr_reftransV1_0043747</v>
      </c>
      <c r="B17935" s="2">
        <v>1993</v>
      </c>
      <c r="C17935" s="4" t="str">
        <f>HYPERLINK("http://www.uniprot.org/uniprot/M5XPX6","M5XPX6")</f>
        <v>M5XPX6</v>
      </c>
      <c r="D17935" s="2" t="s">
        <v>13966</v>
      </c>
      <c r="E17935" s="3">
        <v>1.38E-148</v>
      </c>
      <c r="F17935" s="2">
        <v>1156</v>
      </c>
      <c r="G17935" s="2">
        <v>100</v>
      </c>
      <c r="H17935" s="2">
        <v>406</v>
      </c>
      <c r="I17935" s="2">
        <v>422</v>
      </c>
      <c r="J17935" s="2">
        <v>1639</v>
      </c>
      <c r="K17935" s="2">
        <v>7</v>
      </c>
      <c r="L17935" s="2">
        <v>412</v>
      </c>
    </row>
    <row r="17936" spans="1:12" x14ac:dyDescent="0.25">
      <c r="A17936" s="4" t="str">
        <f>HYPERLINK("http://www.rosaceae.org/Prunus/Prunus_persica/p.persica_gdr_reftransV1_0044447","p.persica_gdr_reftransV1_0044447")</f>
        <v>p.persica_gdr_reftransV1_0044447</v>
      </c>
      <c r="B17936" s="2">
        <v>902</v>
      </c>
      <c r="C17936" s="4" t="str">
        <f>HYPERLINK("http://www.uniprot.org/uniprot/M5WVM4","M5WVM4")</f>
        <v>M5WVM4</v>
      </c>
      <c r="D17936" s="2" t="s">
        <v>7291</v>
      </c>
      <c r="E17936" s="3">
        <v>7.3700000000000004E-124</v>
      </c>
      <c r="F17936" s="2">
        <v>934</v>
      </c>
      <c r="G17936" s="2">
        <v>100</v>
      </c>
      <c r="H17936" s="2">
        <v>191</v>
      </c>
      <c r="I17936" s="2">
        <v>80</v>
      </c>
      <c r="J17936" s="2">
        <v>652</v>
      </c>
      <c r="K17936" s="2">
        <v>1</v>
      </c>
      <c r="L17936" s="2">
        <v>191</v>
      </c>
    </row>
    <row r="17937" spans="1:12" x14ac:dyDescent="0.25">
      <c r="A17937" s="4" t="str">
        <f>HYPERLINK("http://www.rosaceae.org/Prunus/Prunus_persica/p.persica_gdr_reftransV1_0044797","p.persica_gdr_reftransV1_0044797")</f>
        <v>p.persica_gdr_reftransV1_0044797</v>
      </c>
      <c r="B17937" s="2">
        <v>633</v>
      </c>
      <c r="C17937" s="4" t="str">
        <f>HYPERLINK("http://www.uniprot.org/uniprot/M5VVL2","M5VVL2")</f>
        <v>M5VVL2</v>
      </c>
      <c r="D17937" s="2" t="s">
        <v>2016</v>
      </c>
      <c r="E17937" s="3">
        <v>1.19E-112</v>
      </c>
      <c r="F17937" s="2">
        <v>893</v>
      </c>
      <c r="G17937" s="2">
        <v>88</v>
      </c>
      <c r="H17937" s="2">
        <v>193</v>
      </c>
      <c r="I17937" s="2">
        <v>55</v>
      </c>
      <c r="J17937" s="2">
        <v>633</v>
      </c>
      <c r="K17937" s="2">
        <v>486</v>
      </c>
      <c r="L17937" s="2">
        <v>678</v>
      </c>
    </row>
    <row r="17938" spans="1:12" x14ac:dyDescent="0.25">
      <c r="A17938" s="4" t="str">
        <f>HYPERLINK("http://www.rosaceae.org/Prunus/Prunus_persica/p.persica_gdr_reftransV1_0045497","p.persica_gdr_reftransV1_0045497")</f>
        <v>p.persica_gdr_reftransV1_0045497</v>
      </c>
      <c r="B17938" s="2">
        <v>2307</v>
      </c>
      <c r="C17938" s="4" t="str">
        <f>HYPERLINK("http://www.uniprot.org/uniprot/M5WZL4","M5WZL4")</f>
        <v>M5WZL4</v>
      </c>
      <c r="D17938" s="2" t="s">
        <v>13967</v>
      </c>
      <c r="E17938" s="3">
        <v>0</v>
      </c>
      <c r="F17938" s="2">
        <v>2060</v>
      </c>
      <c r="G17938" s="2">
        <v>100</v>
      </c>
      <c r="H17938" s="2">
        <v>403</v>
      </c>
      <c r="I17938" s="2">
        <v>358</v>
      </c>
      <c r="J17938" s="2">
        <v>1566</v>
      </c>
      <c r="K17938" s="2">
        <v>24</v>
      </c>
      <c r="L17938" s="2">
        <v>426</v>
      </c>
    </row>
    <row r="17939" spans="1:12" x14ac:dyDescent="0.25">
      <c r="A17939" s="4" t="str">
        <f>HYPERLINK("http://www.rosaceae.org/Prunus/Prunus_persica/p.persica_gdr_reftransV1_0045847","p.persica_gdr_reftransV1_0045847")</f>
        <v>p.persica_gdr_reftransV1_0045847</v>
      </c>
      <c r="B17939" s="2">
        <v>1910</v>
      </c>
      <c r="C17939" s="4" t="str">
        <f>HYPERLINK("http://www.uniprot.org/uniprot/M5X1B4","M5X1B4")</f>
        <v>M5X1B4</v>
      </c>
      <c r="D17939" s="2" t="s">
        <v>13968</v>
      </c>
      <c r="E17939" s="3">
        <v>0</v>
      </c>
      <c r="F17939" s="2">
        <v>2157</v>
      </c>
      <c r="G17939" s="2">
        <v>100</v>
      </c>
      <c r="H17939" s="2">
        <v>417</v>
      </c>
      <c r="I17939" s="2">
        <v>488</v>
      </c>
      <c r="J17939" s="2">
        <v>1738</v>
      </c>
      <c r="K17939" s="2">
        <v>1</v>
      </c>
      <c r="L17939" s="2">
        <v>417</v>
      </c>
    </row>
    <row r="17940" spans="1:12" x14ac:dyDescent="0.25">
      <c r="A17940" s="4" t="str">
        <f>HYPERLINK("http://www.rosaceae.org/Prunus/Prunus_persica/p.persica_gdr_reftransV1_0046547","p.persica_gdr_reftransV1_0046547")</f>
        <v>p.persica_gdr_reftransV1_0046547</v>
      </c>
      <c r="B17940" s="2">
        <v>1247</v>
      </c>
      <c r="C17940" s="4" t="str">
        <f>HYPERLINK("http://www.uniprot.org/uniprot/M5WZX6","M5WZX6")</f>
        <v>M5WZX6</v>
      </c>
      <c r="D17940" s="2" t="s">
        <v>13969</v>
      </c>
      <c r="E17940" s="3">
        <v>0</v>
      </c>
      <c r="F17940" s="2">
        <v>1348</v>
      </c>
      <c r="G17940" s="2">
        <v>100</v>
      </c>
      <c r="H17940" s="2">
        <v>250</v>
      </c>
      <c r="I17940" s="2">
        <v>449</v>
      </c>
      <c r="J17940" s="2">
        <v>1198</v>
      </c>
      <c r="K17940" s="2">
        <v>1</v>
      </c>
      <c r="L17940" s="2">
        <v>250</v>
      </c>
    </row>
    <row r="17941" spans="1:12" x14ac:dyDescent="0.25">
      <c r="A17941" s="4" t="str">
        <f>HYPERLINK("http://www.rosaceae.org/Prunus/Prunus_persica/p.persica_gdr_reftransV1_0046897","p.persica_gdr_reftransV1_0046897")</f>
        <v>p.persica_gdr_reftransV1_0046897</v>
      </c>
      <c r="B17941" s="2">
        <v>712</v>
      </c>
      <c r="C17941" s="4" t="str">
        <f>HYPERLINK("http://www.uniprot.org/uniprot/M5XSC0","M5XSC0")</f>
        <v>M5XSC0</v>
      </c>
      <c r="D17941" s="2" t="s">
        <v>2474</v>
      </c>
      <c r="E17941" s="3">
        <v>4.21E-168</v>
      </c>
      <c r="F17941" s="2">
        <v>1263</v>
      </c>
      <c r="G17941" s="2">
        <v>100</v>
      </c>
      <c r="H17941" s="2">
        <v>237</v>
      </c>
      <c r="I17941" s="2">
        <v>2</v>
      </c>
      <c r="J17941" s="2">
        <v>712</v>
      </c>
      <c r="K17941" s="2">
        <v>151</v>
      </c>
      <c r="L17941" s="2">
        <v>387</v>
      </c>
    </row>
    <row r="17942" spans="1:12" x14ac:dyDescent="0.25">
      <c r="A17942" s="4" t="str">
        <f>HYPERLINK("http://www.rosaceae.org/Prunus/Prunus_persica/p.persica_gdr_reftransV1_0047247","p.persica_gdr_reftransV1_0047247")</f>
        <v>p.persica_gdr_reftransV1_0047247</v>
      </c>
      <c r="B17942" s="2">
        <v>866</v>
      </c>
      <c r="C17942" s="4" t="str">
        <f>HYPERLINK("http://www.uniprot.org/uniprot/M5W7M3","M5W7M3")</f>
        <v>M5W7M3</v>
      </c>
      <c r="D17942" s="2" t="s">
        <v>13970</v>
      </c>
      <c r="E17942" s="3">
        <v>9.7199999999999994E-108</v>
      </c>
      <c r="F17942" s="2">
        <v>825</v>
      </c>
      <c r="G17942" s="2">
        <v>100</v>
      </c>
      <c r="H17942" s="2">
        <v>152</v>
      </c>
      <c r="I17942" s="2">
        <v>317</v>
      </c>
      <c r="J17942" s="2">
        <v>772</v>
      </c>
      <c r="K17942" s="2">
        <v>25</v>
      </c>
      <c r="L17942" s="2">
        <v>176</v>
      </c>
    </row>
    <row r="17943" spans="1:12" x14ac:dyDescent="0.25">
      <c r="A17943" s="4" t="str">
        <f>HYPERLINK("http://www.rosaceae.org/Prunus/Prunus_persica/p.persica_gdr_reftransV1_0047597","p.persica_gdr_reftransV1_0047597")</f>
        <v>p.persica_gdr_reftransV1_0047597</v>
      </c>
      <c r="B17943" s="2">
        <v>873</v>
      </c>
      <c r="C17943" s="4" t="str">
        <f>HYPERLINK("http://www.uniprot.org/uniprot/M5VQJ9","M5VQJ9")</f>
        <v>M5VQJ9</v>
      </c>
      <c r="D17943" s="2" t="s">
        <v>13971</v>
      </c>
      <c r="E17943" s="3">
        <v>3.6699999999999999E-121</v>
      </c>
      <c r="F17943" s="2">
        <v>930</v>
      </c>
      <c r="G17943" s="2">
        <v>100</v>
      </c>
      <c r="H17943" s="2">
        <v>180</v>
      </c>
      <c r="I17943" s="2">
        <v>3</v>
      </c>
      <c r="J17943" s="2">
        <v>542</v>
      </c>
      <c r="K17943" s="2">
        <v>4</v>
      </c>
      <c r="L17943" s="2">
        <v>183</v>
      </c>
    </row>
    <row r="17944" spans="1:12" x14ac:dyDescent="0.25">
      <c r="A17944" s="4" t="str">
        <f>HYPERLINK("http://www.rosaceae.org/Prunus/Prunus_persica/p.persica_gdr_reftransV1_0047947","p.persica_gdr_reftransV1_0047947")</f>
        <v>p.persica_gdr_reftransV1_0047947</v>
      </c>
      <c r="B17944" s="2">
        <v>1209</v>
      </c>
      <c r="C17944" s="4" t="str">
        <f>HYPERLINK("http://www.uniprot.org/uniprot/Q93WZ6","Q93WZ6")</f>
        <v>Q93WZ6</v>
      </c>
      <c r="D17944" s="2" t="s">
        <v>4124</v>
      </c>
      <c r="E17944" s="3">
        <v>2.2799999999999999E-33</v>
      </c>
      <c r="F17944" s="2">
        <v>336</v>
      </c>
      <c r="G17944" s="2">
        <v>100</v>
      </c>
      <c r="H17944" s="2">
        <v>168</v>
      </c>
      <c r="I17944" s="2">
        <v>137</v>
      </c>
      <c r="J17944" s="2">
        <v>640</v>
      </c>
      <c r="K17944" s="2">
        <v>1</v>
      </c>
      <c r="L17944" s="2">
        <v>168</v>
      </c>
    </row>
    <row r="17945" spans="1:12" x14ac:dyDescent="0.25">
      <c r="A17945" s="4" t="str">
        <f>HYPERLINK("http://www.rosaceae.org/Prunus/Prunus_persica/p.persica_gdr_reftransV1_0048297","p.persica_gdr_reftransV1_0048297")</f>
        <v>p.persica_gdr_reftransV1_0048297</v>
      </c>
      <c r="B17945" s="2">
        <v>1238</v>
      </c>
      <c r="C17945" s="4" t="str">
        <f>HYPERLINK("http://www.uniprot.org/uniprot/M5W9Q7","M5W9Q7")</f>
        <v>M5W9Q7</v>
      </c>
      <c r="D17945" s="2" t="s">
        <v>13972</v>
      </c>
      <c r="E17945" s="3">
        <v>2.5599999999999999E-110</v>
      </c>
      <c r="F17945" s="2">
        <v>867</v>
      </c>
      <c r="G17945" s="2">
        <v>93</v>
      </c>
      <c r="H17945" s="2">
        <v>183</v>
      </c>
      <c r="I17945" s="2">
        <v>592</v>
      </c>
      <c r="J17945" s="2">
        <v>1140</v>
      </c>
      <c r="K17945" s="2">
        <v>1</v>
      </c>
      <c r="L17945" s="2">
        <v>178</v>
      </c>
    </row>
    <row r="17946" spans="1:12" x14ac:dyDescent="0.25">
      <c r="A17946" s="4" t="str">
        <f>HYPERLINK("http://www.rosaceae.org/Prunus/Prunus_persica/p.persica_gdr_reftransV1_0048647","p.persica_gdr_reftransV1_0048647")</f>
        <v>p.persica_gdr_reftransV1_0048647</v>
      </c>
      <c r="B17946" s="2">
        <v>1911</v>
      </c>
      <c r="C17946" s="4" t="str">
        <f>HYPERLINK("http://www.uniprot.org/uniprot/M5XDR1","M5XDR1")</f>
        <v>M5XDR1</v>
      </c>
      <c r="D17946" s="2" t="s">
        <v>13973</v>
      </c>
      <c r="E17946" s="3">
        <v>0</v>
      </c>
      <c r="F17946" s="2">
        <v>1702</v>
      </c>
      <c r="G17946" s="2">
        <v>100</v>
      </c>
      <c r="H17946" s="2">
        <v>322</v>
      </c>
      <c r="I17946" s="2">
        <v>610</v>
      </c>
      <c r="J17946" s="2">
        <v>1575</v>
      </c>
      <c r="K17946" s="2">
        <v>66</v>
      </c>
      <c r="L17946" s="2">
        <v>387</v>
      </c>
    </row>
    <row r="17947" spans="1:12" x14ac:dyDescent="0.25">
      <c r="A17947" s="4" t="str">
        <f>HYPERLINK("http://www.rosaceae.org/Prunus/Prunus_persica/p.persica_gdr_reftransV1_0048997","p.persica_gdr_reftransV1_0048997")</f>
        <v>p.persica_gdr_reftransV1_0048997</v>
      </c>
      <c r="B17947" s="2">
        <v>418</v>
      </c>
      <c r="C17947" s="4" t="str">
        <f>HYPERLINK("http://www.uniprot.org/uniprot/M5W295","M5W295")</f>
        <v>M5W295</v>
      </c>
      <c r="D17947" s="2" t="s">
        <v>558</v>
      </c>
      <c r="E17947" s="3">
        <v>1.96E-79</v>
      </c>
      <c r="F17947" s="2">
        <v>667</v>
      </c>
      <c r="G17947" s="2">
        <v>100</v>
      </c>
      <c r="H17947" s="2">
        <v>138</v>
      </c>
      <c r="I17947" s="2">
        <v>3</v>
      </c>
      <c r="J17947" s="2">
        <v>416</v>
      </c>
      <c r="K17947" s="2">
        <v>110</v>
      </c>
      <c r="L17947" s="2">
        <v>247</v>
      </c>
    </row>
    <row r="17948" spans="1:12" x14ac:dyDescent="0.25">
      <c r="A17948" s="4" t="str">
        <f>HYPERLINK("http://www.rosaceae.org/Prunus/Prunus_persica/p.persica_gdr_reftransV1_0000348","p.persica_gdr_reftransV1_0000348")</f>
        <v>p.persica_gdr_reftransV1_0000348</v>
      </c>
      <c r="B17948" s="2">
        <v>1603</v>
      </c>
      <c r="C17948" s="4" t="str">
        <f>HYPERLINK("http://www.uniprot.org/uniprot/M5Y4W1","M5Y4W1")</f>
        <v>M5Y4W1</v>
      </c>
      <c r="D17948" s="2" t="s">
        <v>13974</v>
      </c>
      <c r="E17948" s="3">
        <v>0</v>
      </c>
      <c r="F17948" s="2">
        <v>1458</v>
      </c>
      <c r="G17948" s="2">
        <v>100</v>
      </c>
      <c r="H17948" s="2">
        <v>306</v>
      </c>
      <c r="I17948" s="2">
        <v>380</v>
      </c>
      <c r="J17948" s="2">
        <v>1297</v>
      </c>
      <c r="K17948" s="2">
        <v>23</v>
      </c>
      <c r="L17948" s="2">
        <v>328</v>
      </c>
    </row>
    <row r="17949" spans="1:12" x14ac:dyDescent="0.25">
      <c r="A17949" s="4" t="str">
        <f>HYPERLINK("http://www.rosaceae.org/Prunus/Prunus_persica/p.persica_gdr_reftransV1_0000698","p.persica_gdr_reftransV1_0000698")</f>
        <v>p.persica_gdr_reftransV1_0000698</v>
      </c>
      <c r="B17949" s="2">
        <v>2140</v>
      </c>
      <c r="C17949" s="4" t="str">
        <f>HYPERLINK("http://www.uniprot.org/uniprot/M5VPK1","M5VPK1")</f>
        <v>M5VPK1</v>
      </c>
      <c r="D17949" s="2" t="s">
        <v>13975</v>
      </c>
      <c r="E17949" s="3">
        <v>0</v>
      </c>
      <c r="F17949" s="2">
        <v>3410</v>
      </c>
      <c r="G17949" s="2">
        <v>95</v>
      </c>
      <c r="H17949" s="2">
        <v>670</v>
      </c>
      <c r="I17949" s="2">
        <v>41</v>
      </c>
      <c r="J17949" s="2">
        <v>2050</v>
      </c>
      <c r="K17949" s="2">
        <v>31</v>
      </c>
      <c r="L17949" s="2">
        <v>669</v>
      </c>
    </row>
    <row r="17950" spans="1:12" x14ac:dyDescent="0.25">
      <c r="A17950" s="4" t="str">
        <f>HYPERLINK("http://www.rosaceae.org/Prunus/Prunus_persica/p.persica_gdr_reftransV1_0001048","p.persica_gdr_reftransV1_0001048")</f>
        <v>p.persica_gdr_reftransV1_0001048</v>
      </c>
      <c r="B17950" s="2">
        <v>409</v>
      </c>
      <c r="C17950" s="4" t="str">
        <f>HYPERLINK("http://www.uniprot.org/uniprot/M5VJA3","M5VJA3")</f>
        <v>M5VJA3</v>
      </c>
      <c r="D17950" s="2" t="s">
        <v>11432</v>
      </c>
      <c r="E17950" s="3">
        <v>2.9500000000000001E-69</v>
      </c>
      <c r="F17950" s="2">
        <v>599</v>
      </c>
      <c r="G17950" s="2">
        <v>99</v>
      </c>
      <c r="H17950" s="2">
        <v>135</v>
      </c>
      <c r="I17950" s="2">
        <v>3</v>
      </c>
      <c r="J17950" s="2">
        <v>407</v>
      </c>
      <c r="K17950" s="2">
        <v>6</v>
      </c>
      <c r="L17950" s="2">
        <v>140</v>
      </c>
    </row>
    <row r="17951" spans="1:12" x14ac:dyDescent="0.25">
      <c r="A17951" s="4" t="str">
        <f>HYPERLINK("http://www.rosaceae.org/Prunus/Prunus_persica/p.persica_gdr_reftransV1_0001398","p.persica_gdr_reftransV1_0001398")</f>
        <v>p.persica_gdr_reftransV1_0001398</v>
      </c>
      <c r="B17951" s="2">
        <v>490</v>
      </c>
      <c r="C17951" s="4" t="str">
        <f>HYPERLINK("http://www.uniprot.org/uniprot/A6BME9","A6BME9")</f>
        <v>A6BME9</v>
      </c>
      <c r="D17951" s="2" t="s">
        <v>13976</v>
      </c>
      <c r="E17951" s="3">
        <v>2.9300000000000001E-97</v>
      </c>
      <c r="F17951" s="2">
        <v>817</v>
      </c>
      <c r="G17951" s="2">
        <v>94</v>
      </c>
      <c r="H17951" s="2">
        <v>163</v>
      </c>
      <c r="I17951" s="2">
        <v>2</v>
      </c>
      <c r="J17951" s="2">
        <v>490</v>
      </c>
      <c r="K17951" s="2">
        <v>963</v>
      </c>
      <c r="L17951" s="2">
        <v>1125</v>
      </c>
    </row>
    <row r="17952" spans="1:12" x14ac:dyDescent="0.25">
      <c r="A17952" s="4" t="str">
        <f>HYPERLINK("http://www.rosaceae.org/Prunus/Prunus_persica/p.persica_gdr_reftransV1_0001748","p.persica_gdr_reftransV1_0001748")</f>
        <v>p.persica_gdr_reftransV1_0001748</v>
      </c>
      <c r="B17952" s="2">
        <v>1773</v>
      </c>
      <c r="C17952" s="4" t="str">
        <f>HYPERLINK("http://www.uniprot.org/uniprot/M5XDI2","M5XDI2")</f>
        <v>M5XDI2</v>
      </c>
      <c r="D17952" s="2" t="s">
        <v>13977</v>
      </c>
      <c r="E17952" s="3">
        <v>0</v>
      </c>
      <c r="F17952" s="2">
        <v>2766</v>
      </c>
      <c r="G17952" s="2">
        <v>100</v>
      </c>
      <c r="H17952" s="2">
        <v>516</v>
      </c>
      <c r="I17952" s="2">
        <v>135</v>
      </c>
      <c r="J17952" s="2">
        <v>1682</v>
      </c>
      <c r="K17952" s="2">
        <v>1</v>
      </c>
      <c r="L17952" s="2">
        <v>516</v>
      </c>
    </row>
    <row r="17953" spans="1:12" x14ac:dyDescent="0.25">
      <c r="A17953" s="4" t="str">
        <f>HYPERLINK("http://www.rosaceae.org/Prunus/Prunus_persica/p.persica_gdr_reftransV1_0002098","p.persica_gdr_reftransV1_0002098")</f>
        <v>p.persica_gdr_reftransV1_0002098</v>
      </c>
      <c r="B17953" s="2">
        <v>1366</v>
      </c>
      <c r="C17953" s="4" t="str">
        <f>HYPERLINK("http://www.uniprot.org/uniprot/M5X1V9","M5X1V9")</f>
        <v>M5X1V9</v>
      </c>
      <c r="D17953" s="2" t="s">
        <v>2659</v>
      </c>
      <c r="E17953" s="3">
        <v>2.8999999999999997E-138</v>
      </c>
      <c r="F17953" s="2">
        <v>881</v>
      </c>
      <c r="G17953" s="2">
        <v>99</v>
      </c>
      <c r="H17953" s="2">
        <v>163</v>
      </c>
      <c r="I17953" s="2">
        <v>873</v>
      </c>
      <c r="J17953" s="2">
        <v>1361</v>
      </c>
      <c r="K17953" s="2">
        <v>48</v>
      </c>
      <c r="L17953" s="2">
        <v>210</v>
      </c>
    </row>
    <row r="17954" spans="1:12" x14ac:dyDescent="0.25">
      <c r="A17954" s="4" t="str">
        <f>HYPERLINK("http://www.rosaceae.org/Prunus/Prunus_persica/p.persica_gdr_reftransV1_0002798","p.persica_gdr_reftransV1_0002798")</f>
        <v>p.persica_gdr_reftransV1_0002798</v>
      </c>
      <c r="B17954" s="2">
        <v>1891</v>
      </c>
      <c r="C17954" s="4" t="str">
        <f>HYPERLINK("http://www.uniprot.org/uniprot/M5X8M9","M5X8M9")</f>
        <v>M5X8M9</v>
      </c>
      <c r="D17954" s="2" t="s">
        <v>4895</v>
      </c>
      <c r="E17954" s="3">
        <v>0</v>
      </c>
      <c r="F17954" s="2">
        <v>1447</v>
      </c>
      <c r="G17954" s="2">
        <v>95</v>
      </c>
      <c r="H17954" s="2">
        <v>286</v>
      </c>
      <c r="I17954" s="2">
        <v>1034</v>
      </c>
      <c r="J17954" s="2">
        <v>1891</v>
      </c>
      <c r="K17954" s="2">
        <v>828</v>
      </c>
      <c r="L17954" s="2">
        <v>1100</v>
      </c>
    </row>
    <row r="17955" spans="1:12" x14ac:dyDescent="0.25">
      <c r="A17955" s="4" t="str">
        <f>HYPERLINK("http://www.rosaceae.org/Prunus/Prunus_persica/p.persica_gdr_reftransV1_0003148","p.persica_gdr_reftransV1_0003148")</f>
        <v>p.persica_gdr_reftransV1_0003148</v>
      </c>
      <c r="B17955" s="2">
        <v>1269</v>
      </c>
      <c r="C17955" s="4" t="str">
        <f>HYPERLINK("http://www.uniprot.org/uniprot/M5XEI1","M5XEI1")</f>
        <v>M5XEI1</v>
      </c>
      <c r="D17955" s="2" t="s">
        <v>13978</v>
      </c>
      <c r="E17955" s="3">
        <v>0</v>
      </c>
      <c r="F17955" s="2">
        <v>1596</v>
      </c>
      <c r="G17955" s="2">
        <v>93</v>
      </c>
      <c r="H17955" s="2">
        <v>327</v>
      </c>
      <c r="I17955" s="2">
        <v>21</v>
      </c>
      <c r="J17955" s="2">
        <v>1001</v>
      </c>
      <c r="K17955" s="2">
        <v>1</v>
      </c>
      <c r="L17955" s="2">
        <v>308</v>
      </c>
    </row>
    <row r="17956" spans="1:12" x14ac:dyDescent="0.25">
      <c r="A17956" s="4" t="str">
        <f>HYPERLINK("http://www.rosaceae.org/Prunus/Prunus_persica/p.persica_gdr_reftransV1_0004548","p.persica_gdr_reftransV1_0004548")</f>
        <v>p.persica_gdr_reftransV1_0004548</v>
      </c>
      <c r="B17956" s="2">
        <v>1734</v>
      </c>
      <c r="C17956" s="4" t="str">
        <f>HYPERLINK("http://www.uniprot.org/uniprot/M5X9X5","M5X9X5")</f>
        <v>M5X9X5</v>
      </c>
      <c r="D17956" s="2" t="s">
        <v>608</v>
      </c>
      <c r="E17956" s="3">
        <v>0</v>
      </c>
      <c r="F17956" s="2">
        <v>2524</v>
      </c>
      <c r="G17956" s="2">
        <v>95</v>
      </c>
      <c r="H17956" s="2">
        <v>521</v>
      </c>
      <c r="I17956" s="2">
        <v>2</v>
      </c>
      <c r="J17956" s="2">
        <v>1531</v>
      </c>
      <c r="K17956" s="2">
        <v>30</v>
      </c>
      <c r="L17956" s="2">
        <v>537</v>
      </c>
    </row>
    <row r="17957" spans="1:12" x14ac:dyDescent="0.25">
      <c r="A17957" s="4" t="str">
        <f>HYPERLINK("http://www.rosaceae.org/Prunus/Prunus_persica/p.persica_gdr_reftransV1_0005248","p.persica_gdr_reftransV1_0005248")</f>
        <v>p.persica_gdr_reftransV1_0005248</v>
      </c>
      <c r="B17957" s="2">
        <v>1794</v>
      </c>
      <c r="C17957" s="4" t="str">
        <f>HYPERLINK("http://www.uniprot.org/uniprot/M5VXY9","M5VXY9")</f>
        <v>M5VXY9</v>
      </c>
      <c r="D17957" s="2" t="s">
        <v>3600</v>
      </c>
      <c r="E17957" s="3">
        <v>0</v>
      </c>
      <c r="F17957" s="2">
        <v>2358</v>
      </c>
      <c r="G17957" s="2">
        <v>99</v>
      </c>
      <c r="H17957" s="2">
        <v>468</v>
      </c>
      <c r="I17957" s="2">
        <v>390</v>
      </c>
      <c r="J17957" s="2">
        <v>1793</v>
      </c>
      <c r="K17957" s="2">
        <v>4</v>
      </c>
      <c r="L17957" s="2">
        <v>471</v>
      </c>
    </row>
    <row r="17958" spans="1:12" x14ac:dyDescent="0.25">
      <c r="A17958" s="4" t="str">
        <f>HYPERLINK("http://www.rosaceae.org/Prunus/Prunus_persica/p.persica_gdr_reftransV1_0008048","p.persica_gdr_reftransV1_0008048")</f>
        <v>p.persica_gdr_reftransV1_0008048</v>
      </c>
      <c r="B17958" s="2">
        <v>848</v>
      </c>
      <c r="C17958" s="4" t="str">
        <f>HYPERLINK("http://www.uniprot.org/uniprot/M5XJ67","M5XJ67")</f>
        <v>M5XJ67</v>
      </c>
      <c r="D17958" s="2" t="s">
        <v>12614</v>
      </c>
      <c r="E17958" s="3">
        <v>5.0600000000000003E-8</v>
      </c>
      <c r="F17958" s="2">
        <v>140</v>
      </c>
      <c r="G17958" s="2">
        <v>68</v>
      </c>
      <c r="H17958" s="2">
        <v>44</v>
      </c>
      <c r="I17958" s="2">
        <v>124</v>
      </c>
      <c r="J17958" s="2">
        <v>255</v>
      </c>
      <c r="K17958" s="2">
        <v>25</v>
      </c>
      <c r="L17958" s="2">
        <v>67</v>
      </c>
    </row>
    <row r="17959" spans="1:12" x14ac:dyDescent="0.25">
      <c r="A17959" s="4" t="str">
        <f>HYPERLINK("http://www.rosaceae.org/Prunus/Prunus_persica/p.persica_gdr_reftransV1_0009098","p.persica_gdr_reftransV1_0009098")</f>
        <v>p.persica_gdr_reftransV1_0009098</v>
      </c>
      <c r="B17959" s="2">
        <v>989</v>
      </c>
      <c r="C17959" s="4" t="str">
        <f>HYPERLINK("http://www.uniprot.org/uniprot/M5W4S5","M5W4S5")</f>
        <v>M5W4S5</v>
      </c>
      <c r="D17959" s="2" t="s">
        <v>13979</v>
      </c>
      <c r="E17959" s="3">
        <v>1.1E-72</v>
      </c>
      <c r="F17959" s="2">
        <v>590</v>
      </c>
      <c r="G17959" s="2">
        <v>100</v>
      </c>
      <c r="H17959" s="2">
        <v>112</v>
      </c>
      <c r="I17959" s="2">
        <v>336</v>
      </c>
      <c r="J17959" s="2">
        <v>671</v>
      </c>
      <c r="K17959" s="2">
        <v>1</v>
      </c>
      <c r="L17959" s="2">
        <v>112</v>
      </c>
    </row>
    <row r="17960" spans="1:12" x14ac:dyDescent="0.25">
      <c r="A17960" s="4" t="str">
        <f>HYPERLINK("http://www.rosaceae.org/Prunus/Prunus_persica/p.persica_gdr_reftransV1_0009448","p.persica_gdr_reftransV1_0009448")</f>
        <v>p.persica_gdr_reftransV1_0009448</v>
      </c>
      <c r="B17960" s="2">
        <v>1719</v>
      </c>
      <c r="C17960" s="4" t="str">
        <f>HYPERLINK("http://www.uniprot.org/uniprot/M5X7J6","M5X7J6")</f>
        <v>M5X7J6</v>
      </c>
      <c r="D17960" s="2" t="s">
        <v>13980</v>
      </c>
      <c r="E17960" s="3">
        <v>0</v>
      </c>
      <c r="F17960" s="2">
        <v>1821</v>
      </c>
      <c r="G17960" s="2">
        <v>75</v>
      </c>
      <c r="H17960" s="2">
        <v>460</v>
      </c>
      <c r="I17960" s="2">
        <v>396</v>
      </c>
      <c r="J17960" s="2">
        <v>1694</v>
      </c>
      <c r="K17960" s="2">
        <v>117</v>
      </c>
      <c r="L17960" s="2">
        <v>576</v>
      </c>
    </row>
    <row r="17961" spans="1:12" x14ac:dyDescent="0.25">
      <c r="A17961" s="4" t="str">
        <f>HYPERLINK("http://www.rosaceae.org/Prunus/Prunus_persica/p.persica_gdr_reftransV1_0010848","p.persica_gdr_reftransV1_0010848")</f>
        <v>p.persica_gdr_reftransV1_0010848</v>
      </c>
      <c r="B17961" s="2">
        <v>2305</v>
      </c>
      <c r="C17961" s="4" t="str">
        <f>HYPERLINK("http://www.uniprot.org/uniprot/A0A061ENU5","A0A061ENU5")</f>
        <v>A0A061ENU5</v>
      </c>
      <c r="D17961" s="2" t="s">
        <v>13981</v>
      </c>
      <c r="E17961" s="3">
        <v>0</v>
      </c>
      <c r="F17961" s="2">
        <v>3061</v>
      </c>
      <c r="G17961" s="2">
        <v>85</v>
      </c>
      <c r="H17961" s="2">
        <v>653</v>
      </c>
      <c r="I17961" s="2">
        <v>1</v>
      </c>
      <c r="J17961" s="2">
        <v>1959</v>
      </c>
      <c r="K17961" s="2">
        <v>249</v>
      </c>
      <c r="L17961" s="2">
        <v>901</v>
      </c>
    </row>
    <row r="17962" spans="1:12" x14ac:dyDescent="0.25">
      <c r="A17962" s="4" t="str">
        <f>HYPERLINK("http://www.rosaceae.org/Prunus/Prunus_persica/p.persica_gdr_reftransV1_0011548","p.persica_gdr_reftransV1_0011548")</f>
        <v>p.persica_gdr_reftransV1_0011548</v>
      </c>
      <c r="B17962" s="2">
        <v>1355</v>
      </c>
      <c r="C17962" s="4" t="str">
        <f>HYPERLINK("http://www.uniprot.org/uniprot/A0A078FW83","A0A078FW83")</f>
        <v>A0A078FW83</v>
      </c>
      <c r="D17962" s="2" t="s">
        <v>13982</v>
      </c>
      <c r="E17962" s="3">
        <v>3.9799999999999998E-14</v>
      </c>
      <c r="F17962" s="2">
        <v>194</v>
      </c>
      <c r="G17962" s="2">
        <v>64</v>
      </c>
      <c r="H17962" s="2">
        <v>59</v>
      </c>
      <c r="I17962" s="2">
        <v>1</v>
      </c>
      <c r="J17962" s="2">
        <v>174</v>
      </c>
      <c r="K17962" s="2">
        <v>17</v>
      </c>
      <c r="L17962" s="2">
        <v>73</v>
      </c>
    </row>
    <row r="17963" spans="1:12" x14ac:dyDescent="0.25">
      <c r="A17963" s="4" t="str">
        <f>HYPERLINK("http://www.rosaceae.org/Prunus/Prunus_persica/p.persica_gdr_reftransV1_0011898","p.persica_gdr_reftransV1_0011898")</f>
        <v>p.persica_gdr_reftransV1_0011898</v>
      </c>
      <c r="B17963" s="2">
        <v>1256</v>
      </c>
      <c r="C17963" s="4" t="str">
        <f>HYPERLINK("http://www.uniprot.org/uniprot/M5W606","M5W606")</f>
        <v>M5W606</v>
      </c>
      <c r="D17963" s="2" t="s">
        <v>13983</v>
      </c>
      <c r="E17963" s="3">
        <v>3.5200000000000003E-64</v>
      </c>
      <c r="F17963" s="2">
        <v>373</v>
      </c>
      <c r="G17963" s="2">
        <v>98</v>
      </c>
      <c r="H17963" s="2">
        <v>86</v>
      </c>
      <c r="I17963" s="2">
        <v>462</v>
      </c>
      <c r="J17963" s="2">
        <v>719</v>
      </c>
      <c r="K17963" s="2">
        <v>75</v>
      </c>
      <c r="L17963" s="2">
        <v>160</v>
      </c>
    </row>
    <row r="17964" spans="1:12" x14ac:dyDescent="0.25">
      <c r="A17964" s="4" t="str">
        <f>HYPERLINK("http://www.rosaceae.org/Prunus/Prunus_persica/p.persica_gdr_reftransV1_0012598","p.persica_gdr_reftransV1_0012598")</f>
        <v>p.persica_gdr_reftransV1_0012598</v>
      </c>
      <c r="B17964" s="2">
        <v>509</v>
      </c>
      <c r="C17964" s="4" t="str">
        <f>HYPERLINK("http://www.uniprot.org/uniprot/M5VGJ2","M5VGJ2")</f>
        <v>M5VGJ2</v>
      </c>
      <c r="D17964" s="2" t="s">
        <v>13984</v>
      </c>
      <c r="E17964" s="3">
        <v>1.1600000000000001E-74</v>
      </c>
      <c r="F17964" s="2">
        <v>647</v>
      </c>
      <c r="G17964" s="2">
        <v>99</v>
      </c>
      <c r="H17964" s="2">
        <v>144</v>
      </c>
      <c r="I17964" s="2">
        <v>2</v>
      </c>
      <c r="J17964" s="2">
        <v>433</v>
      </c>
      <c r="K17964" s="2">
        <v>1220</v>
      </c>
      <c r="L17964" s="2">
        <v>1363</v>
      </c>
    </row>
    <row r="17965" spans="1:12" x14ac:dyDescent="0.25">
      <c r="A17965" s="4" t="str">
        <f>HYPERLINK("http://www.rosaceae.org/Prunus/Prunus_persica/p.persica_gdr_reftransV1_0013648","p.persica_gdr_reftransV1_0013648")</f>
        <v>p.persica_gdr_reftransV1_0013648</v>
      </c>
      <c r="B17965" s="2">
        <v>435</v>
      </c>
      <c r="C17965" s="4" t="str">
        <f>HYPERLINK("http://www.uniprot.org/uniprot/M5XKE7","M5XKE7")</f>
        <v>M5XKE7</v>
      </c>
      <c r="D17965" s="2" t="s">
        <v>13985</v>
      </c>
      <c r="E17965" s="3">
        <v>2.1099999999999999E-61</v>
      </c>
      <c r="F17965" s="2">
        <v>505</v>
      </c>
      <c r="G17965" s="2">
        <v>88</v>
      </c>
      <c r="H17965" s="2">
        <v>110</v>
      </c>
      <c r="I17965" s="2">
        <v>104</v>
      </c>
      <c r="J17965" s="2">
        <v>433</v>
      </c>
      <c r="K17965" s="2">
        <v>31</v>
      </c>
      <c r="L17965" s="2">
        <v>139</v>
      </c>
    </row>
    <row r="17966" spans="1:12" x14ac:dyDescent="0.25">
      <c r="A17966" s="4" t="str">
        <f>HYPERLINK("http://www.rosaceae.org/Prunus/Prunus_persica/p.persica_gdr_reftransV1_0014348","p.persica_gdr_reftransV1_0014348")</f>
        <v>p.persica_gdr_reftransV1_0014348</v>
      </c>
      <c r="B17966" s="2">
        <v>2462</v>
      </c>
      <c r="C17966" s="4" t="str">
        <f>HYPERLINK("http://www.uniprot.org/uniprot/H2EII7","H2EII7")</f>
        <v>H2EII7</v>
      </c>
      <c r="D17966" s="2" t="s">
        <v>13986</v>
      </c>
      <c r="E17966" s="3">
        <v>0</v>
      </c>
      <c r="F17966" s="2">
        <v>2603</v>
      </c>
      <c r="G17966" s="2">
        <v>82</v>
      </c>
      <c r="H17966" s="2">
        <v>647</v>
      </c>
      <c r="I17966" s="2">
        <v>265</v>
      </c>
      <c r="J17966" s="2">
        <v>2163</v>
      </c>
      <c r="K17966" s="2">
        <v>1</v>
      </c>
      <c r="L17966" s="2">
        <v>635</v>
      </c>
    </row>
    <row r="17967" spans="1:12" x14ac:dyDescent="0.25">
      <c r="A17967" s="4" t="str">
        <f>HYPERLINK("http://www.rosaceae.org/Prunus/Prunus_persica/p.persica_gdr_reftransV1_0015048","p.persica_gdr_reftransV1_0015048")</f>
        <v>p.persica_gdr_reftransV1_0015048</v>
      </c>
      <c r="B17967" s="2">
        <v>1040</v>
      </c>
      <c r="C17967" s="4" t="str">
        <f>HYPERLINK("http://www.uniprot.org/uniprot/M5WAL5","M5WAL5")</f>
        <v>M5WAL5</v>
      </c>
      <c r="D17967" s="2" t="s">
        <v>196</v>
      </c>
      <c r="E17967" s="3">
        <v>1.84E-75</v>
      </c>
      <c r="F17967" s="2">
        <v>639</v>
      </c>
      <c r="G17967" s="2">
        <v>100</v>
      </c>
      <c r="H17967" s="2">
        <v>119</v>
      </c>
      <c r="I17967" s="2">
        <v>1</v>
      </c>
      <c r="J17967" s="2">
        <v>357</v>
      </c>
      <c r="K17967" s="2">
        <v>34</v>
      </c>
      <c r="L17967" s="2">
        <v>152</v>
      </c>
    </row>
    <row r="17968" spans="1:12" x14ac:dyDescent="0.25">
      <c r="A17968" s="4" t="str">
        <f>HYPERLINK("http://www.rosaceae.org/Prunus/Prunus_persica/p.persica_gdr_reftransV1_0015398","p.persica_gdr_reftransV1_0015398")</f>
        <v>p.persica_gdr_reftransV1_0015398</v>
      </c>
      <c r="B17968" s="2">
        <v>995</v>
      </c>
      <c r="C17968" s="4" t="str">
        <f>HYPERLINK("http://www.uniprot.org/uniprot/M5WG19","M5WG19")</f>
        <v>M5WG19</v>
      </c>
      <c r="D17968" s="2" t="s">
        <v>13987</v>
      </c>
      <c r="E17968" s="3">
        <v>4.6199999999999998E-91</v>
      </c>
      <c r="F17968" s="2">
        <v>629</v>
      </c>
      <c r="G17968" s="2">
        <v>100</v>
      </c>
      <c r="H17968" s="2">
        <v>139</v>
      </c>
      <c r="I17968" s="2">
        <v>424</v>
      </c>
      <c r="J17968" s="2">
        <v>840</v>
      </c>
      <c r="K17968" s="2">
        <v>1</v>
      </c>
      <c r="L17968" s="2">
        <v>139</v>
      </c>
    </row>
    <row r="17969" spans="1:12" x14ac:dyDescent="0.25">
      <c r="A17969" s="4" t="str">
        <f>HYPERLINK("http://www.rosaceae.org/Prunus/Prunus_persica/p.persica_gdr_reftransV1_0016098","p.persica_gdr_reftransV1_0016098")</f>
        <v>p.persica_gdr_reftransV1_0016098</v>
      </c>
      <c r="B17969" s="2">
        <v>1934</v>
      </c>
      <c r="C17969" s="4" t="str">
        <f>HYPERLINK("http://www.uniprot.org/uniprot/M5XT79","M5XT79")</f>
        <v>M5XT79</v>
      </c>
      <c r="D17969" s="2" t="s">
        <v>13988</v>
      </c>
      <c r="E17969" s="3">
        <v>6.8500000000000004E-78</v>
      </c>
      <c r="F17969" s="2">
        <v>655</v>
      </c>
      <c r="G17969" s="2">
        <v>99</v>
      </c>
      <c r="H17969" s="2">
        <v>122</v>
      </c>
      <c r="I17969" s="2">
        <v>364</v>
      </c>
      <c r="J17969" s="2">
        <v>729</v>
      </c>
      <c r="K17969" s="2">
        <v>1</v>
      </c>
      <c r="L17969" s="2">
        <v>122</v>
      </c>
    </row>
    <row r="17970" spans="1:12" x14ac:dyDescent="0.25">
      <c r="A17970" s="4" t="str">
        <f>HYPERLINK("http://www.rosaceae.org/Prunus/Prunus_persica/p.persica_gdr_reftransV1_0016448","p.persica_gdr_reftransV1_0016448")</f>
        <v>p.persica_gdr_reftransV1_0016448</v>
      </c>
      <c r="B17970" s="2">
        <v>1081</v>
      </c>
      <c r="C17970" s="4" t="str">
        <f>HYPERLINK("http://www.uniprot.org/uniprot/M5WCN2","M5WCN2")</f>
        <v>M5WCN2</v>
      </c>
      <c r="D17970" s="2" t="s">
        <v>1347</v>
      </c>
      <c r="E17970" s="3">
        <v>1.9299999999999999E-165</v>
      </c>
      <c r="F17970" s="2">
        <v>1228</v>
      </c>
      <c r="G17970" s="2">
        <v>100</v>
      </c>
      <c r="H17970" s="2">
        <v>247</v>
      </c>
      <c r="I17970" s="2">
        <v>1</v>
      </c>
      <c r="J17970" s="2">
        <v>741</v>
      </c>
      <c r="K17970" s="2">
        <v>398</v>
      </c>
      <c r="L17970" s="2">
        <v>644</v>
      </c>
    </row>
    <row r="17971" spans="1:12" x14ac:dyDescent="0.25">
      <c r="A17971" s="4" t="str">
        <f>HYPERLINK("http://www.rosaceae.org/Prunus/Prunus_persica/p.persica_gdr_reftransV1_0016798","p.persica_gdr_reftransV1_0016798")</f>
        <v>p.persica_gdr_reftransV1_0016798</v>
      </c>
      <c r="B17971" s="2">
        <v>980</v>
      </c>
      <c r="C17971" s="4" t="str">
        <f>HYPERLINK("http://www.uniprot.org/uniprot/M5WGE7","M5WGE7")</f>
        <v>M5WGE7</v>
      </c>
      <c r="D17971" s="2" t="s">
        <v>13989</v>
      </c>
      <c r="E17971" s="3">
        <v>1.7499999999999999E-123</v>
      </c>
      <c r="F17971" s="2">
        <v>934</v>
      </c>
      <c r="G17971" s="2">
        <v>100</v>
      </c>
      <c r="H17971" s="2">
        <v>178</v>
      </c>
      <c r="I17971" s="2">
        <v>3</v>
      </c>
      <c r="J17971" s="2">
        <v>536</v>
      </c>
      <c r="K17971" s="2">
        <v>15</v>
      </c>
      <c r="L17971" s="2">
        <v>192</v>
      </c>
    </row>
    <row r="17972" spans="1:12" x14ac:dyDescent="0.25">
      <c r="A17972" s="4" t="str">
        <f>HYPERLINK("http://www.rosaceae.org/Prunus/Prunus_persica/p.persica_gdr_reftransV1_0017498","p.persica_gdr_reftransV1_0017498")</f>
        <v>p.persica_gdr_reftransV1_0017498</v>
      </c>
      <c r="B17972" s="2">
        <v>1564</v>
      </c>
      <c r="C17972" s="4" t="str">
        <f>HYPERLINK("http://www.uniprot.org/uniprot/M5WUB2","M5WUB2")</f>
        <v>M5WUB2</v>
      </c>
      <c r="D17972" s="2" t="s">
        <v>13990</v>
      </c>
      <c r="E17972" s="3">
        <v>0</v>
      </c>
      <c r="F17972" s="2">
        <v>1976</v>
      </c>
      <c r="G17972" s="2">
        <v>100</v>
      </c>
      <c r="H17972" s="2">
        <v>403</v>
      </c>
      <c r="I17972" s="2">
        <v>356</v>
      </c>
      <c r="J17972" s="2">
        <v>1564</v>
      </c>
      <c r="K17972" s="2">
        <v>59</v>
      </c>
      <c r="L17972" s="2">
        <v>461</v>
      </c>
    </row>
    <row r="17973" spans="1:12" x14ac:dyDescent="0.25">
      <c r="A17973" s="4" t="str">
        <f>HYPERLINK("http://www.rosaceae.org/Prunus/Prunus_persica/p.persica_gdr_reftransV1_0017848","p.persica_gdr_reftransV1_0017848")</f>
        <v>p.persica_gdr_reftransV1_0017848</v>
      </c>
      <c r="B17973" s="2">
        <v>2162</v>
      </c>
      <c r="C17973" s="4" t="str">
        <f>HYPERLINK("http://www.uniprot.org/uniprot/M5X521","M5X521")</f>
        <v>M5X521</v>
      </c>
      <c r="D17973" s="2" t="s">
        <v>13991</v>
      </c>
      <c r="E17973" s="3">
        <v>0</v>
      </c>
      <c r="F17973" s="2">
        <v>1753</v>
      </c>
      <c r="G17973" s="2">
        <v>100</v>
      </c>
      <c r="H17973" s="2">
        <v>395</v>
      </c>
      <c r="I17973" s="2">
        <v>856</v>
      </c>
      <c r="J17973" s="2">
        <v>2040</v>
      </c>
      <c r="K17973" s="2">
        <v>1</v>
      </c>
      <c r="L17973" s="2">
        <v>395</v>
      </c>
    </row>
    <row r="17974" spans="1:12" x14ac:dyDescent="0.25">
      <c r="A17974" s="4" t="str">
        <f>HYPERLINK("http://www.rosaceae.org/Prunus/Prunus_persica/p.persica_gdr_reftransV1_0018198","p.persica_gdr_reftransV1_0018198")</f>
        <v>p.persica_gdr_reftransV1_0018198</v>
      </c>
      <c r="B17974" s="2">
        <v>1084</v>
      </c>
      <c r="C17974" s="4" t="str">
        <f>HYPERLINK("http://www.uniprot.org/uniprot/Q5QIC0","Q5QIC0")</f>
        <v>Q5QIC0</v>
      </c>
      <c r="D17974" s="2" t="s">
        <v>13992</v>
      </c>
      <c r="E17974" s="3">
        <v>6.8900000000000004E-69</v>
      </c>
      <c r="F17974" s="2">
        <v>576</v>
      </c>
      <c r="G17974" s="2">
        <v>100</v>
      </c>
      <c r="H17974" s="2">
        <v>202</v>
      </c>
      <c r="I17974" s="2">
        <v>219</v>
      </c>
      <c r="J17974" s="2">
        <v>824</v>
      </c>
      <c r="K17974" s="2">
        <v>1</v>
      </c>
      <c r="L17974" s="2">
        <v>202</v>
      </c>
    </row>
    <row r="17975" spans="1:12" x14ac:dyDescent="0.25">
      <c r="A17975" s="4" t="str">
        <f>HYPERLINK("http://www.rosaceae.org/Prunus/Prunus_persica/p.persica_gdr_reftransV1_0019248","p.persica_gdr_reftransV1_0019248")</f>
        <v>p.persica_gdr_reftransV1_0019248</v>
      </c>
      <c r="B17975" s="2">
        <v>2742</v>
      </c>
      <c r="C17975" s="4" t="str">
        <f>HYPERLINK("http://www.uniprot.org/uniprot/M5WA58","M5WA58")</f>
        <v>M5WA58</v>
      </c>
      <c r="D17975" s="2" t="s">
        <v>13993</v>
      </c>
      <c r="E17975" s="3">
        <v>0</v>
      </c>
      <c r="F17975" s="2">
        <v>2296</v>
      </c>
      <c r="G17975" s="2">
        <v>100</v>
      </c>
      <c r="H17975" s="2">
        <v>596</v>
      </c>
      <c r="I17975" s="2">
        <v>487</v>
      </c>
      <c r="J17975" s="2">
        <v>2274</v>
      </c>
      <c r="K17975" s="2">
        <v>1</v>
      </c>
      <c r="L17975" s="2">
        <v>596</v>
      </c>
    </row>
    <row r="17976" spans="1:12" x14ac:dyDescent="0.25">
      <c r="A17976" s="4" t="str">
        <f>HYPERLINK("http://www.rosaceae.org/Prunus/Prunus_persica/p.persica_gdr_reftransV1_0020998","p.persica_gdr_reftransV1_0020998")</f>
        <v>p.persica_gdr_reftransV1_0020998</v>
      </c>
      <c r="B17976" s="2">
        <v>4657</v>
      </c>
      <c r="C17976" s="4" t="str">
        <f>HYPERLINK("http://www.uniprot.org/uniprot/M5WMI8","M5WMI8")</f>
        <v>M5WMI8</v>
      </c>
      <c r="D17976" s="2" t="s">
        <v>13994</v>
      </c>
      <c r="E17976" s="3">
        <v>0</v>
      </c>
      <c r="F17976" s="2">
        <v>6853</v>
      </c>
      <c r="G17976" s="2">
        <v>97</v>
      </c>
      <c r="H17976" s="2">
        <v>1384</v>
      </c>
      <c r="I17976" s="2">
        <v>177</v>
      </c>
      <c r="J17976" s="2">
        <v>4328</v>
      </c>
      <c r="K17976" s="2">
        <v>1</v>
      </c>
      <c r="L17976" s="2">
        <v>1337</v>
      </c>
    </row>
    <row r="17977" spans="1:12" x14ac:dyDescent="0.25">
      <c r="A17977" s="4" t="str">
        <f>HYPERLINK("http://www.rosaceae.org/Prunus/Prunus_persica/p.persica_gdr_reftransV1_0022398","p.persica_gdr_reftransV1_0022398")</f>
        <v>p.persica_gdr_reftransV1_0022398</v>
      </c>
      <c r="B17977" s="2">
        <v>908</v>
      </c>
      <c r="C17977" s="4" t="str">
        <f>HYPERLINK("http://www.uniprot.org/uniprot/M5WKR3","M5WKR3")</f>
        <v>M5WKR3</v>
      </c>
      <c r="D17977" s="2" t="s">
        <v>13995</v>
      </c>
      <c r="E17977" s="3">
        <v>7.8300000000000005E-147</v>
      </c>
      <c r="F17977" s="2">
        <v>999</v>
      </c>
      <c r="G17977" s="2">
        <v>93</v>
      </c>
      <c r="H17977" s="2">
        <v>199</v>
      </c>
      <c r="I17977" s="2">
        <v>2</v>
      </c>
      <c r="J17977" s="2">
        <v>598</v>
      </c>
      <c r="K17977" s="2">
        <v>155</v>
      </c>
      <c r="L17977" s="2">
        <v>353</v>
      </c>
    </row>
    <row r="17978" spans="1:12" x14ac:dyDescent="0.25">
      <c r="A17978" s="4" t="str">
        <f>HYPERLINK("http://www.rosaceae.org/Prunus/Prunus_persica/p.persica_gdr_reftransV1_0022748","p.persica_gdr_reftransV1_0022748")</f>
        <v>p.persica_gdr_reftransV1_0022748</v>
      </c>
      <c r="B17978" s="2">
        <v>2484</v>
      </c>
      <c r="C17978" s="4" t="str">
        <f>HYPERLINK("http://www.uniprot.org/uniprot/M5VMX6","M5VMX6")</f>
        <v>M5VMX6</v>
      </c>
      <c r="D17978" s="2" t="s">
        <v>13996</v>
      </c>
      <c r="E17978" s="3">
        <v>0</v>
      </c>
      <c r="F17978" s="2">
        <v>1733</v>
      </c>
      <c r="G17978" s="2">
        <v>90</v>
      </c>
      <c r="H17978" s="2">
        <v>380</v>
      </c>
      <c r="I17978" s="2">
        <v>987</v>
      </c>
      <c r="J17978" s="2">
        <v>2126</v>
      </c>
      <c r="K17978" s="2">
        <v>10</v>
      </c>
      <c r="L17978" s="2">
        <v>352</v>
      </c>
    </row>
    <row r="17979" spans="1:12" x14ac:dyDescent="0.25">
      <c r="A17979" s="4" t="str">
        <f>HYPERLINK("http://www.rosaceae.org/Prunus/Prunus_persica/p.persica_gdr_reftransV1_0024498","p.persica_gdr_reftransV1_0024498")</f>
        <v>p.persica_gdr_reftransV1_0024498</v>
      </c>
      <c r="B17979" s="2">
        <v>2257</v>
      </c>
      <c r="C17979" s="4" t="str">
        <f>HYPERLINK("http://www.uniprot.org/uniprot/M5VV30","M5VV30")</f>
        <v>M5VV30</v>
      </c>
      <c r="D17979" s="2" t="s">
        <v>13997</v>
      </c>
      <c r="E17979" s="3">
        <v>6.4600000000000004E-104</v>
      </c>
      <c r="F17979" s="2">
        <v>847</v>
      </c>
      <c r="G17979" s="2">
        <v>100</v>
      </c>
      <c r="H17979" s="2">
        <v>156</v>
      </c>
      <c r="I17979" s="2">
        <v>1492</v>
      </c>
      <c r="J17979" s="2">
        <v>1959</v>
      </c>
      <c r="K17979" s="2">
        <v>1</v>
      </c>
      <c r="L17979" s="2">
        <v>156</v>
      </c>
    </row>
    <row r="17980" spans="1:12" x14ac:dyDescent="0.25">
      <c r="A17980" s="4" t="str">
        <f>HYPERLINK("http://www.rosaceae.org/Prunus/Prunus_persica/p.persica_gdr_reftransV1_0026248","p.persica_gdr_reftransV1_0026248")</f>
        <v>p.persica_gdr_reftransV1_0026248</v>
      </c>
      <c r="B17980" s="2">
        <v>1158</v>
      </c>
      <c r="C17980" s="4" t="str">
        <f>HYPERLINK("http://www.uniprot.org/uniprot/M5VL60","M5VL60")</f>
        <v>M5VL60</v>
      </c>
      <c r="D17980" s="2" t="s">
        <v>13998</v>
      </c>
      <c r="E17980" s="3">
        <v>3.09E-88</v>
      </c>
      <c r="F17980" s="2">
        <v>704</v>
      </c>
      <c r="G17980" s="2">
        <v>100</v>
      </c>
      <c r="H17980" s="2">
        <v>163</v>
      </c>
      <c r="I17980" s="2">
        <v>69</v>
      </c>
      <c r="J17980" s="2">
        <v>557</v>
      </c>
      <c r="K17980" s="2">
        <v>1</v>
      </c>
      <c r="L17980" s="2">
        <v>163</v>
      </c>
    </row>
    <row r="17981" spans="1:12" x14ac:dyDescent="0.25">
      <c r="A17981" s="4" t="str">
        <f>HYPERLINK("http://www.rosaceae.org/Prunus/Prunus_persica/p.persica_gdr_reftransV1_0026948","p.persica_gdr_reftransV1_0026948")</f>
        <v>p.persica_gdr_reftransV1_0026948</v>
      </c>
      <c r="B17981" s="2">
        <v>1936</v>
      </c>
      <c r="C17981" s="4" t="str">
        <f>HYPERLINK("http://www.uniprot.org/uniprot/M5VU88","M5VU88")</f>
        <v>M5VU88</v>
      </c>
      <c r="D17981" s="2" t="s">
        <v>13999</v>
      </c>
      <c r="E17981" s="3">
        <v>0</v>
      </c>
      <c r="F17981" s="2">
        <v>2414</v>
      </c>
      <c r="G17981" s="2">
        <v>98</v>
      </c>
      <c r="H17981" s="2">
        <v>466</v>
      </c>
      <c r="I17981" s="2">
        <v>2</v>
      </c>
      <c r="J17981" s="2">
        <v>1399</v>
      </c>
      <c r="K17981" s="2">
        <v>111</v>
      </c>
      <c r="L17981" s="2">
        <v>566</v>
      </c>
    </row>
    <row r="17982" spans="1:12" x14ac:dyDescent="0.25">
      <c r="A17982" s="4" t="str">
        <f>HYPERLINK("http://www.rosaceae.org/Prunus/Prunus_persica/p.persica_gdr_reftransV1_0028348","p.persica_gdr_reftransV1_0028348")</f>
        <v>p.persica_gdr_reftransV1_0028348</v>
      </c>
      <c r="B17982" s="2">
        <v>3159</v>
      </c>
      <c r="C17982" s="4" t="str">
        <f>HYPERLINK("http://www.uniprot.org/uniprot/M5WCP4","M5WCP4")</f>
        <v>M5WCP4</v>
      </c>
      <c r="D17982" s="2" t="s">
        <v>14000</v>
      </c>
      <c r="E17982" s="3">
        <v>0</v>
      </c>
      <c r="F17982" s="2">
        <v>2766</v>
      </c>
      <c r="G17982" s="2">
        <v>100</v>
      </c>
      <c r="H17982" s="2">
        <v>545</v>
      </c>
      <c r="I17982" s="2">
        <v>1348</v>
      </c>
      <c r="J17982" s="2">
        <v>2982</v>
      </c>
      <c r="K17982" s="2">
        <v>1</v>
      </c>
      <c r="L17982" s="2">
        <v>545</v>
      </c>
    </row>
    <row r="17983" spans="1:12" x14ac:dyDescent="0.25">
      <c r="A17983" s="4" t="str">
        <f>HYPERLINK("http://www.rosaceae.org/Prunus/Prunus_persica/p.persica_gdr_reftransV1_0028698","p.persica_gdr_reftransV1_0028698")</f>
        <v>p.persica_gdr_reftransV1_0028698</v>
      </c>
      <c r="B17983" s="2">
        <v>2931</v>
      </c>
      <c r="C17983" s="4" t="str">
        <f>HYPERLINK("http://www.uniprot.org/uniprot/M5WZV4","M5WZV4")</f>
        <v>M5WZV4</v>
      </c>
      <c r="D17983" s="2" t="s">
        <v>14001</v>
      </c>
      <c r="E17983" s="3">
        <v>0</v>
      </c>
      <c r="F17983" s="2">
        <v>1436</v>
      </c>
      <c r="G17983" s="2">
        <v>100</v>
      </c>
      <c r="H17983" s="2">
        <v>285</v>
      </c>
      <c r="I17983" s="2">
        <v>2015</v>
      </c>
      <c r="J17983" s="2">
        <v>2869</v>
      </c>
      <c r="K17983" s="2">
        <v>1</v>
      </c>
      <c r="L17983" s="2">
        <v>285</v>
      </c>
    </row>
    <row r="17984" spans="1:12" x14ac:dyDescent="0.25">
      <c r="A17984" s="4" t="str">
        <f>HYPERLINK("http://www.rosaceae.org/Prunus/Prunus_persica/p.persica_gdr_reftransV1_0029748","p.persica_gdr_reftransV1_0029748")</f>
        <v>p.persica_gdr_reftransV1_0029748</v>
      </c>
      <c r="B17984" s="2">
        <v>1218</v>
      </c>
      <c r="C17984" s="4" t="str">
        <f>HYPERLINK("http://www.uniprot.org/uniprot/M5VWD5","M5VWD5")</f>
        <v>M5VWD5</v>
      </c>
      <c r="D17984" s="2" t="s">
        <v>3513</v>
      </c>
      <c r="E17984" s="3">
        <v>0</v>
      </c>
      <c r="F17984" s="2">
        <v>1491</v>
      </c>
      <c r="G17984" s="2">
        <v>100</v>
      </c>
      <c r="H17984" s="2">
        <v>297</v>
      </c>
      <c r="I17984" s="2">
        <v>3</v>
      </c>
      <c r="J17984" s="2">
        <v>893</v>
      </c>
      <c r="K17984" s="2">
        <v>72</v>
      </c>
      <c r="L17984" s="2">
        <v>368</v>
      </c>
    </row>
    <row r="17985" spans="1:12" x14ac:dyDescent="0.25">
      <c r="A17985" s="4" t="str">
        <f>HYPERLINK("http://www.rosaceae.org/Prunus/Prunus_persica/p.persica_gdr_reftransV1_0031848","p.persica_gdr_reftransV1_0031848")</f>
        <v>p.persica_gdr_reftransV1_0031848</v>
      </c>
      <c r="B17985" s="2">
        <v>1894</v>
      </c>
      <c r="C17985" s="4" t="str">
        <f>HYPERLINK("http://www.uniprot.org/uniprot/M5VY89","M5VY89")</f>
        <v>M5VY89</v>
      </c>
      <c r="D17985" s="2" t="s">
        <v>6482</v>
      </c>
      <c r="E17985" s="3">
        <v>0</v>
      </c>
      <c r="F17985" s="2">
        <v>2093</v>
      </c>
      <c r="G17985" s="2">
        <v>90</v>
      </c>
      <c r="H17985" s="2">
        <v>483</v>
      </c>
      <c r="I17985" s="2">
        <v>89</v>
      </c>
      <c r="J17985" s="2">
        <v>1537</v>
      </c>
      <c r="K17985" s="2">
        <v>1</v>
      </c>
      <c r="L17985" s="2">
        <v>435</v>
      </c>
    </row>
    <row r="17986" spans="1:12" x14ac:dyDescent="0.25">
      <c r="A17986" s="4" t="str">
        <f>HYPERLINK("http://www.rosaceae.org/Prunus/Prunus_persica/p.persica_gdr_reftransV1_0038848","p.persica_gdr_reftransV1_0038848")</f>
        <v>p.persica_gdr_reftransV1_0038848</v>
      </c>
      <c r="B17986" s="2">
        <v>876</v>
      </c>
      <c r="C17986" s="4" t="str">
        <f>HYPERLINK("http://www.uniprot.org/uniprot/M5WNM5","M5WNM5")</f>
        <v>M5WNM5</v>
      </c>
      <c r="D17986" s="2" t="s">
        <v>14002</v>
      </c>
      <c r="E17986" s="3">
        <v>2.3699999999999999E-105</v>
      </c>
      <c r="F17986" s="2">
        <v>809</v>
      </c>
      <c r="G17986" s="2">
        <v>100</v>
      </c>
      <c r="H17986" s="2">
        <v>173</v>
      </c>
      <c r="I17986" s="2">
        <v>171</v>
      </c>
      <c r="J17986" s="2">
        <v>689</v>
      </c>
      <c r="K17986" s="2">
        <v>1</v>
      </c>
      <c r="L17986" s="2">
        <v>173</v>
      </c>
    </row>
    <row r="17987" spans="1:12" x14ac:dyDescent="0.25">
      <c r="A17987" s="4" t="str">
        <f>HYPERLINK("http://www.rosaceae.org/Prunus/Prunus_persica/p.persica_gdr_reftransV1_0039548","p.persica_gdr_reftransV1_0039548")</f>
        <v>p.persica_gdr_reftransV1_0039548</v>
      </c>
      <c r="B17987" s="2">
        <v>1660</v>
      </c>
      <c r="C17987" s="4" t="str">
        <f>HYPERLINK("http://www.uniprot.org/uniprot/M5WUY4","M5WUY4")</f>
        <v>M5WUY4</v>
      </c>
      <c r="D17987" s="2" t="s">
        <v>14003</v>
      </c>
      <c r="E17987" s="3">
        <v>0</v>
      </c>
      <c r="F17987" s="2">
        <v>1951</v>
      </c>
      <c r="G17987" s="2">
        <v>100</v>
      </c>
      <c r="H17987" s="2">
        <v>408</v>
      </c>
      <c r="I17987" s="2">
        <v>288</v>
      </c>
      <c r="J17987" s="2">
        <v>1511</v>
      </c>
      <c r="K17987" s="2">
        <v>1</v>
      </c>
      <c r="L17987" s="2">
        <v>408</v>
      </c>
    </row>
    <row r="17988" spans="1:12" x14ac:dyDescent="0.25">
      <c r="A17988" s="4" t="str">
        <f>HYPERLINK("http://www.rosaceae.org/Prunus/Prunus_persica/p.persica_gdr_reftransV1_0040948","p.persica_gdr_reftransV1_0040948")</f>
        <v>p.persica_gdr_reftransV1_0040948</v>
      </c>
      <c r="B17988" s="2">
        <v>1609</v>
      </c>
      <c r="C17988" s="4" t="str">
        <f>HYPERLINK("http://www.uniprot.org/uniprot/M5XQT2","M5XQT2")</f>
        <v>M5XQT2</v>
      </c>
      <c r="D17988" s="2" t="s">
        <v>3288</v>
      </c>
      <c r="E17988" s="3">
        <v>1.1799999999999999E-95</v>
      </c>
      <c r="F17988" s="2">
        <v>782</v>
      </c>
      <c r="G17988" s="2">
        <v>100</v>
      </c>
      <c r="H17988" s="2">
        <v>152</v>
      </c>
      <c r="I17988" s="2">
        <v>1153</v>
      </c>
      <c r="J17988" s="2">
        <v>1608</v>
      </c>
      <c r="K17988" s="2">
        <v>23</v>
      </c>
      <c r="L17988" s="2">
        <v>174</v>
      </c>
    </row>
    <row r="17989" spans="1:12" x14ac:dyDescent="0.25">
      <c r="A17989" s="4" t="str">
        <f>HYPERLINK("http://www.rosaceae.org/Prunus/Prunus_persica/p.persica_gdr_reftransV1_0042348","p.persica_gdr_reftransV1_0042348")</f>
        <v>p.persica_gdr_reftransV1_0042348</v>
      </c>
      <c r="B17989" s="2">
        <v>2334</v>
      </c>
      <c r="C17989" s="4" t="str">
        <f>HYPERLINK("http://www.uniprot.org/uniprot/M5XXQ4","M5XXQ4")</f>
        <v>M5XXQ4</v>
      </c>
      <c r="D17989" s="2" t="s">
        <v>2304</v>
      </c>
      <c r="E17989" s="3">
        <v>0</v>
      </c>
      <c r="F17989" s="2">
        <v>2613</v>
      </c>
      <c r="G17989" s="2">
        <v>100</v>
      </c>
      <c r="H17989" s="2">
        <v>487</v>
      </c>
      <c r="I17989" s="2">
        <v>511</v>
      </c>
      <c r="J17989" s="2">
        <v>1971</v>
      </c>
      <c r="K17989" s="2">
        <v>80</v>
      </c>
      <c r="L17989" s="2">
        <v>566</v>
      </c>
    </row>
    <row r="17990" spans="1:12" x14ac:dyDescent="0.25">
      <c r="A17990" s="4" t="str">
        <f>HYPERLINK("http://www.rosaceae.org/Prunus/Prunus_persica/p.persica_gdr_reftransV1_0042698","p.persica_gdr_reftransV1_0042698")</f>
        <v>p.persica_gdr_reftransV1_0042698</v>
      </c>
      <c r="B17990" s="2">
        <v>2565</v>
      </c>
      <c r="C17990" s="4" t="str">
        <f>HYPERLINK("http://www.uniprot.org/uniprot/M5XKV6","M5XKV6")</f>
        <v>M5XKV6</v>
      </c>
      <c r="D17990" s="2" t="s">
        <v>14004</v>
      </c>
      <c r="E17990" s="3">
        <v>0</v>
      </c>
      <c r="F17990" s="2">
        <v>1857</v>
      </c>
      <c r="G17990" s="2">
        <v>100</v>
      </c>
      <c r="H17990" s="2">
        <v>383</v>
      </c>
      <c r="I17990" s="2">
        <v>138</v>
      </c>
      <c r="J17990" s="2">
        <v>1286</v>
      </c>
      <c r="K17990" s="2">
        <v>561</v>
      </c>
      <c r="L17990" s="2">
        <v>943</v>
      </c>
    </row>
    <row r="17991" spans="1:12" x14ac:dyDescent="0.25">
      <c r="A17991" s="4" t="str">
        <f>HYPERLINK("http://www.rosaceae.org/Prunus/Prunus_persica/p.persica_gdr_reftransV1_0043048","p.persica_gdr_reftransV1_0043048")</f>
        <v>p.persica_gdr_reftransV1_0043048</v>
      </c>
      <c r="B17991" s="2">
        <v>645</v>
      </c>
      <c r="C17991" s="4" t="str">
        <f>HYPERLINK("http://www.uniprot.org/uniprot/M5W8F9","M5W8F9")</f>
        <v>M5W8F9</v>
      </c>
      <c r="D17991" s="2" t="s">
        <v>3457</v>
      </c>
      <c r="E17991" s="3">
        <v>2.7E-140</v>
      </c>
      <c r="F17991" s="2">
        <v>1078</v>
      </c>
      <c r="G17991" s="2">
        <v>100</v>
      </c>
      <c r="H17991" s="2">
        <v>214</v>
      </c>
      <c r="I17991" s="2">
        <v>2</v>
      </c>
      <c r="J17991" s="2">
        <v>643</v>
      </c>
      <c r="K17991" s="2">
        <v>54</v>
      </c>
      <c r="L17991" s="2">
        <v>267</v>
      </c>
    </row>
    <row r="17992" spans="1:12" x14ac:dyDescent="0.25">
      <c r="A17992" s="4" t="str">
        <f>HYPERLINK("http://www.rosaceae.org/Prunus/Prunus_persica/p.persica_gdr_reftransV1_0043398","p.persica_gdr_reftransV1_0043398")</f>
        <v>p.persica_gdr_reftransV1_0043398</v>
      </c>
      <c r="B17992" s="2">
        <v>911</v>
      </c>
      <c r="C17992" s="4" t="str">
        <f>HYPERLINK("http://www.uniprot.org/uniprot/M5W3B0","M5W3B0")</f>
        <v>M5W3B0</v>
      </c>
      <c r="D17992" s="2" t="s">
        <v>14005</v>
      </c>
      <c r="E17992" s="3">
        <v>8.71E-159</v>
      </c>
      <c r="F17992" s="2">
        <v>1168</v>
      </c>
      <c r="G17992" s="2">
        <v>100</v>
      </c>
      <c r="H17992" s="2">
        <v>222</v>
      </c>
      <c r="I17992" s="2">
        <v>33</v>
      </c>
      <c r="J17992" s="2">
        <v>698</v>
      </c>
      <c r="K17992" s="2">
        <v>1</v>
      </c>
      <c r="L17992" s="2">
        <v>222</v>
      </c>
    </row>
    <row r="17993" spans="1:12" x14ac:dyDescent="0.25">
      <c r="A17993" s="4" t="str">
        <f>HYPERLINK("http://www.rosaceae.org/Prunus/Prunus_persica/p.persica_gdr_reftransV1_0043748","p.persica_gdr_reftransV1_0043748")</f>
        <v>p.persica_gdr_reftransV1_0043748</v>
      </c>
      <c r="B17993" s="2">
        <v>2232</v>
      </c>
      <c r="C17993" s="4" t="str">
        <f>HYPERLINK("http://www.uniprot.org/uniprot/M5WLX0","M5WLX0")</f>
        <v>M5WLX0</v>
      </c>
      <c r="D17993" s="2" t="s">
        <v>12184</v>
      </c>
      <c r="E17993" s="3">
        <v>0</v>
      </c>
      <c r="F17993" s="2">
        <v>3123</v>
      </c>
      <c r="G17993" s="2">
        <v>100</v>
      </c>
      <c r="H17993" s="2">
        <v>602</v>
      </c>
      <c r="I17993" s="2">
        <v>1</v>
      </c>
      <c r="J17993" s="2">
        <v>1806</v>
      </c>
      <c r="K17993" s="2">
        <v>6</v>
      </c>
      <c r="L17993" s="2">
        <v>607</v>
      </c>
    </row>
    <row r="17994" spans="1:12" x14ac:dyDescent="0.25">
      <c r="A17994" s="4" t="str">
        <f>HYPERLINK("http://www.rosaceae.org/Prunus/Prunus_persica/p.persica_gdr_reftransV1_0044448","p.persica_gdr_reftransV1_0044448")</f>
        <v>p.persica_gdr_reftransV1_0044448</v>
      </c>
      <c r="B17994" s="2">
        <v>633</v>
      </c>
      <c r="C17994" s="4" t="str">
        <f>HYPERLINK("http://www.uniprot.org/uniprot/M5WY76","M5WY76")</f>
        <v>M5WY76</v>
      </c>
      <c r="D17994" s="2" t="s">
        <v>9125</v>
      </c>
      <c r="E17994" s="3">
        <v>4.97E-136</v>
      </c>
      <c r="F17994" s="2">
        <v>1078</v>
      </c>
      <c r="G17994" s="2">
        <v>97</v>
      </c>
      <c r="H17994" s="2">
        <v>210</v>
      </c>
      <c r="I17994" s="2">
        <v>3</v>
      </c>
      <c r="J17994" s="2">
        <v>632</v>
      </c>
      <c r="K17994" s="2">
        <v>619</v>
      </c>
      <c r="L17994" s="2">
        <v>822</v>
      </c>
    </row>
    <row r="17995" spans="1:12" x14ac:dyDescent="0.25">
      <c r="A17995" s="4" t="str">
        <f>HYPERLINK("http://www.rosaceae.org/Prunus/Prunus_persica/p.persica_gdr_reftransV1_0044798","p.persica_gdr_reftransV1_0044798")</f>
        <v>p.persica_gdr_reftransV1_0044798</v>
      </c>
      <c r="B17995" s="2">
        <v>576</v>
      </c>
      <c r="C17995" s="4" t="str">
        <f>HYPERLINK("http://www.uniprot.org/uniprot/M5XY16","M5XY16")</f>
        <v>M5XY16</v>
      </c>
      <c r="D17995" s="2" t="s">
        <v>2076</v>
      </c>
      <c r="E17995" s="3">
        <v>2.0199999999999999E-82</v>
      </c>
      <c r="F17995" s="2">
        <v>708</v>
      </c>
      <c r="G17995" s="2">
        <v>100</v>
      </c>
      <c r="H17995" s="2">
        <v>192</v>
      </c>
      <c r="I17995" s="2">
        <v>1</v>
      </c>
      <c r="J17995" s="2">
        <v>576</v>
      </c>
      <c r="K17995" s="2">
        <v>854</v>
      </c>
      <c r="L17995" s="2">
        <v>1045</v>
      </c>
    </row>
    <row r="17996" spans="1:12" x14ac:dyDescent="0.25">
      <c r="A17996" s="4" t="str">
        <f>HYPERLINK("http://www.rosaceae.org/Prunus/Prunus_persica/p.persica_gdr_reftransV1_0045498","p.persica_gdr_reftransV1_0045498")</f>
        <v>p.persica_gdr_reftransV1_0045498</v>
      </c>
      <c r="B17996" s="2">
        <v>2364</v>
      </c>
      <c r="C17996" s="4" t="str">
        <f>HYPERLINK("http://www.uniprot.org/uniprot/M5WSY2","M5WSY2")</f>
        <v>M5WSY2</v>
      </c>
      <c r="D17996" s="2" t="s">
        <v>5060</v>
      </c>
      <c r="E17996" s="3">
        <v>0</v>
      </c>
      <c r="F17996" s="2">
        <v>1712</v>
      </c>
      <c r="G17996" s="2">
        <v>100</v>
      </c>
      <c r="H17996" s="2">
        <v>341</v>
      </c>
      <c r="I17996" s="2">
        <v>1086</v>
      </c>
      <c r="J17996" s="2">
        <v>2108</v>
      </c>
      <c r="K17996" s="2">
        <v>16</v>
      </c>
      <c r="L17996" s="2">
        <v>356</v>
      </c>
    </row>
    <row r="17997" spans="1:12" x14ac:dyDescent="0.25">
      <c r="A17997" s="4" t="str">
        <f>HYPERLINK("http://www.rosaceae.org/Prunus/Prunus_persica/p.persica_gdr_reftransV1_0046198","p.persica_gdr_reftransV1_0046198")</f>
        <v>p.persica_gdr_reftransV1_0046198</v>
      </c>
      <c r="B17997" s="2">
        <v>392</v>
      </c>
      <c r="C17997" s="4" t="str">
        <f>HYPERLINK("http://www.uniprot.org/uniprot/M5VKM9","M5VKM9")</f>
        <v>M5VKM9</v>
      </c>
      <c r="D17997" s="2" t="s">
        <v>14006</v>
      </c>
      <c r="E17997" s="3">
        <v>6.1300000000000005E-17</v>
      </c>
      <c r="F17997" s="2">
        <v>206</v>
      </c>
      <c r="G17997" s="2">
        <v>83</v>
      </c>
      <c r="H17997" s="2">
        <v>46</v>
      </c>
      <c r="I17997" s="2">
        <v>35</v>
      </c>
      <c r="J17997" s="2">
        <v>172</v>
      </c>
      <c r="K17997" s="2">
        <v>1</v>
      </c>
      <c r="L17997" s="2">
        <v>46</v>
      </c>
    </row>
    <row r="17998" spans="1:12" x14ac:dyDescent="0.25">
      <c r="A17998" s="4" t="str">
        <f>HYPERLINK("http://www.rosaceae.org/Prunus/Prunus_persica/p.persica_gdr_reftransV1_0046548","p.persica_gdr_reftransV1_0046548")</f>
        <v>p.persica_gdr_reftransV1_0046548</v>
      </c>
      <c r="B17998" s="2">
        <v>1280</v>
      </c>
      <c r="C17998" s="4" t="str">
        <f>HYPERLINK("http://www.uniprot.org/uniprot/M5W9Q4","M5W9Q4")</f>
        <v>M5W9Q4</v>
      </c>
      <c r="D17998" s="2" t="s">
        <v>13067</v>
      </c>
      <c r="E17998" s="3">
        <v>0</v>
      </c>
      <c r="F17998" s="2">
        <v>1662</v>
      </c>
      <c r="G17998" s="2">
        <v>100</v>
      </c>
      <c r="H17998" s="2">
        <v>363</v>
      </c>
      <c r="I17998" s="2">
        <v>106</v>
      </c>
      <c r="J17998" s="2">
        <v>1194</v>
      </c>
      <c r="K17998" s="2">
        <v>1</v>
      </c>
      <c r="L17998" s="2">
        <v>363</v>
      </c>
    </row>
    <row r="17999" spans="1:12" x14ac:dyDescent="0.25">
      <c r="A17999" s="4" t="str">
        <f>HYPERLINK("http://www.rosaceae.org/Prunus/Prunus_persica/p.persica_gdr_reftransV1_0046898","p.persica_gdr_reftransV1_0046898")</f>
        <v>p.persica_gdr_reftransV1_0046898</v>
      </c>
      <c r="B17999" s="2">
        <v>775</v>
      </c>
      <c r="C17999" s="4" t="str">
        <f>HYPERLINK("http://www.uniprot.org/uniprot/M5WWW3","M5WWW3")</f>
        <v>M5WWW3</v>
      </c>
      <c r="D17999" s="2" t="s">
        <v>14007</v>
      </c>
      <c r="E17999" s="3">
        <v>1.6500000000000001E-97</v>
      </c>
      <c r="F17999" s="2">
        <v>754</v>
      </c>
      <c r="G17999" s="2">
        <v>100</v>
      </c>
      <c r="H17999" s="2">
        <v>180</v>
      </c>
      <c r="I17999" s="2">
        <v>199</v>
      </c>
      <c r="J17999" s="2">
        <v>738</v>
      </c>
      <c r="K17999" s="2">
        <v>1</v>
      </c>
      <c r="L17999" s="2">
        <v>180</v>
      </c>
    </row>
    <row r="18000" spans="1:12" x14ac:dyDescent="0.25">
      <c r="A18000" s="4" t="str">
        <f>HYPERLINK("http://www.rosaceae.org/Prunus/Prunus_persica/p.persica_gdr_reftransV1_0047248","p.persica_gdr_reftransV1_0047248")</f>
        <v>p.persica_gdr_reftransV1_0047248</v>
      </c>
      <c r="B18000" s="2">
        <v>674</v>
      </c>
      <c r="C18000" s="4" t="str">
        <f>HYPERLINK("http://www.uniprot.org/uniprot/M5X3D0","M5X3D0")</f>
        <v>M5X3D0</v>
      </c>
      <c r="D18000" s="2" t="s">
        <v>9335</v>
      </c>
      <c r="E18000" s="3">
        <v>1.85E-120</v>
      </c>
      <c r="F18000" s="2">
        <v>912</v>
      </c>
      <c r="G18000" s="2">
        <v>96</v>
      </c>
      <c r="H18000" s="2">
        <v>183</v>
      </c>
      <c r="I18000" s="2">
        <v>3</v>
      </c>
      <c r="J18000" s="2">
        <v>539</v>
      </c>
      <c r="K18000" s="2">
        <v>83</v>
      </c>
      <c r="L18000" s="2">
        <v>265</v>
      </c>
    </row>
    <row r="18001" spans="1:12" x14ac:dyDescent="0.25">
      <c r="A18001" s="4" t="str">
        <f>HYPERLINK("http://www.rosaceae.org/Prunus/Prunus_persica/p.persica_gdr_reftransV1_0047598","p.persica_gdr_reftransV1_0047598")</f>
        <v>p.persica_gdr_reftransV1_0047598</v>
      </c>
      <c r="B18001" s="2">
        <v>761</v>
      </c>
      <c r="C18001" s="4" t="str">
        <f>HYPERLINK("http://www.uniprot.org/uniprot/M5X1L0","M5X1L0")</f>
        <v>M5X1L0</v>
      </c>
      <c r="D18001" s="2" t="s">
        <v>13869</v>
      </c>
      <c r="E18001" s="3">
        <v>4.2899999999999999E-80</v>
      </c>
      <c r="F18001" s="2">
        <v>633</v>
      </c>
      <c r="G18001" s="2">
        <v>100</v>
      </c>
      <c r="H18001" s="2">
        <v>121</v>
      </c>
      <c r="I18001" s="2">
        <v>165</v>
      </c>
      <c r="J18001" s="2">
        <v>527</v>
      </c>
      <c r="K18001" s="2">
        <v>1</v>
      </c>
      <c r="L18001" s="2">
        <v>121</v>
      </c>
    </row>
    <row r="18002" spans="1:12" x14ac:dyDescent="0.25">
      <c r="A18002" s="4" t="str">
        <f>HYPERLINK("http://www.rosaceae.org/Prunus/Prunus_persica/p.persica_gdr_reftransV1_0047948","p.persica_gdr_reftransV1_0047948")</f>
        <v>p.persica_gdr_reftransV1_0047948</v>
      </c>
      <c r="B18002" s="2">
        <v>1398</v>
      </c>
      <c r="C18002" s="4" t="str">
        <f>HYPERLINK("http://www.uniprot.org/uniprot/M5VN12","M5VN12")</f>
        <v>M5VN12</v>
      </c>
      <c r="D18002" s="2" t="s">
        <v>7430</v>
      </c>
      <c r="E18002" s="3">
        <v>1.2500000000000001E-167</v>
      </c>
      <c r="F18002" s="2">
        <v>1246</v>
      </c>
      <c r="G18002" s="2">
        <v>100</v>
      </c>
      <c r="H18002" s="2">
        <v>253</v>
      </c>
      <c r="I18002" s="2">
        <v>241</v>
      </c>
      <c r="J18002" s="2">
        <v>999</v>
      </c>
      <c r="K18002" s="2">
        <v>1</v>
      </c>
      <c r="L18002" s="2">
        <v>253</v>
      </c>
    </row>
    <row r="18003" spans="1:12" x14ac:dyDescent="0.25">
      <c r="A18003" s="4" t="str">
        <f>HYPERLINK("http://www.rosaceae.org/Prunus/Prunus_persica/p.persica_gdr_reftransV1_0048298","p.persica_gdr_reftransV1_0048298")</f>
        <v>p.persica_gdr_reftransV1_0048298</v>
      </c>
      <c r="B18003" s="2">
        <v>1322</v>
      </c>
      <c r="C18003" s="4" t="str">
        <f>HYPERLINK("http://www.uniprot.org/uniprot/M5XNP7","M5XNP7")</f>
        <v>M5XNP7</v>
      </c>
      <c r="D18003" s="2" t="s">
        <v>4965</v>
      </c>
      <c r="E18003" s="3">
        <v>0</v>
      </c>
      <c r="F18003" s="2">
        <v>2160</v>
      </c>
      <c r="G18003" s="2">
        <v>100</v>
      </c>
      <c r="H18003" s="2">
        <v>440</v>
      </c>
      <c r="I18003" s="2">
        <v>2</v>
      </c>
      <c r="J18003" s="2">
        <v>1321</v>
      </c>
      <c r="K18003" s="2">
        <v>89</v>
      </c>
      <c r="L18003" s="2">
        <v>528</v>
      </c>
    </row>
    <row r="18004" spans="1:12" x14ac:dyDescent="0.25">
      <c r="A18004" s="4" t="str">
        <f>HYPERLINK("http://www.rosaceae.org/Prunus/Prunus_persica/p.persica_gdr_reftransV1_0048648","p.persica_gdr_reftransV1_0048648")</f>
        <v>p.persica_gdr_reftransV1_0048648</v>
      </c>
      <c r="B18004" s="2">
        <v>1317</v>
      </c>
      <c r="C18004" s="4" t="str">
        <f>HYPERLINK("http://www.uniprot.org/uniprot/M5XIF4","M5XIF4")</f>
        <v>M5XIF4</v>
      </c>
      <c r="D18004" s="2" t="s">
        <v>14008</v>
      </c>
      <c r="E18004" s="3">
        <v>6.4999999999999998E-177</v>
      </c>
      <c r="F18004" s="2">
        <v>1311</v>
      </c>
      <c r="G18004" s="2">
        <v>100</v>
      </c>
      <c r="H18004" s="2">
        <v>308</v>
      </c>
      <c r="I18004" s="2">
        <v>77</v>
      </c>
      <c r="J18004" s="2">
        <v>1000</v>
      </c>
      <c r="K18004" s="2">
        <v>10</v>
      </c>
      <c r="L18004" s="2">
        <v>317</v>
      </c>
    </row>
    <row r="18005" spans="1:12" x14ac:dyDescent="0.25">
      <c r="A18005" s="4" t="str">
        <f>HYPERLINK("http://www.rosaceae.org/Prunus/Prunus_persica/p.persica_gdr_reftransV1_0048998","p.persica_gdr_reftransV1_0048998")</f>
        <v>p.persica_gdr_reftransV1_0048998</v>
      </c>
      <c r="B18005" s="2">
        <v>1021</v>
      </c>
      <c r="C18005" s="4" t="str">
        <f>HYPERLINK("http://www.uniprot.org/uniprot/V7BRS1","V7BRS1")</f>
        <v>V7BRS1</v>
      </c>
      <c r="D18005" s="2" t="s">
        <v>14009</v>
      </c>
      <c r="E18005" s="3">
        <v>6.7600000000000004E-128</v>
      </c>
      <c r="F18005" s="2">
        <v>984</v>
      </c>
      <c r="G18005" s="2">
        <v>92</v>
      </c>
      <c r="H18005" s="2">
        <v>227</v>
      </c>
      <c r="I18005" s="2">
        <v>1</v>
      </c>
      <c r="J18005" s="2">
        <v>681</v>
      </c>
      <c r="K18005" s="2">
        <v>165</v>
      </c>
      <c r="L18005" s="2">
        <v>391</v>
      </c>
    </row>
    <row r="18006" spans="1:12" x14ac:dyDescent="0.25">
      <c r="A18006" s="4" t="str">
        <f>HYPERLINK("http://www.rosaceae.org/Prunus/Prunus_persica/p.persica_gdr_reftransV1_0000349","p.persica_gdr_reftransV1_0000349")</f>
        <v>p.persica_gdr_reftransV1_0000349</v>
      </c>
      <c r="B18006" s="2">
        <v>1415</v>
      </c>
      <c r="C18006" s="4" t="str">
        <f>HYPERLINK("http://www.uniprot.org/uniprot/M5XD23","M5XD23")</f>
        <v>M5XD23</v>
      </c>
      <c r="D18006" s="2" t="s">
        <v>14010</v>
      </c>
      <c r="E18006" s="3">
        <v>0</v>
      </c>
      <c r="F18006" s="2">
        <v>1612</v>
      </c>
      <c r="G18006" s="2">
        <v>100</v>
      </c>
      <c r="H18006" s="2">
        <v>308</v>
      </c>
      <c r="I18006" s="2">
        <v>344</v>
      </c>
      <c r="J18006" s="2">
        <v>1267</v>
      </c>
      <c r="K18006" s="2">
        <v>21</v>
      </c>
      <c r="L18006" s="2">
        <v>328</v>
      </c>
    </row>
    <row r="18007" spans="1:12" x14ac:dyDescent="0.25">
      <c r="A18007" s="4" t="str">
        <f>HYPERLINK("http://www.rosaceae.org/Prunus/Prunus_persica/p.persica_gdr_reftransV1_0000699","p.persica_gdr_reftransV1_0000699")</f>
        <v>p.persica_gdr_reftransV1_0000699</v>
      </c>
      <c r="B18007" s="2">
        <v>319</v>
      </c>
      <c r="C18007" s="4" t="str">
        <f>HYPERLINK("http://www.uniprot.org/uniprot/A0A067GKZ0","A0A067GKZ0")</f>
        <v>A0A067GKZ0</v>
      </c>
      <c r="D18007" s="2" t="s">
        <v>14011</v>
      </c>
      <c r="E18007" s="3">
        <v>1.7699999999999999E-32</v>
      </c>
      <c r="F18007" s="2">
        <v>326</v>
      </c>
      <c r="G18007" s="2">
        <v>56</v>
      </c>
      <c r="H18007" s="2">
        <v>105</v>
      </c>
      <c r="I18007" s="2">
        <v>4</v>
      </c>
      <c r="J18007" s="2">
        <v>318</v>
      </c>
      <c r="K18007" s="2">
        <v>8</v>
      </c>
      <c r="L18007" s="2">
        <v>109</v>
      </c>
    </row>
    <row r="18008" spans="1:12" x14ac:dyDescent="0.25">
      <c r="A18008" s="4" t="str">
        <f>HYPERLINK("http://www.rosaceae.org/Prunus/Prunus_persica/p.persica_gdr_reftransV1_0001049","p.persica_gdr_reftransV1_0001049")</f>
        <v>p.persica_gdr_reftransV1_0001049</v>
      </c>
      <c r="B18008" s="2">
        <v>414</v>
      </c>
      <c r="C18008" s="4" t="str">
        <f>HYPERLINK("http://www.uniprot.org/uniprot/M5VZ36","M5VZ36")</f>
        <v>M5VZ36</v>
      </c>
      <c r="D18008" s="2" t="s">
        <v>12442</v>
      </c>
      <c r="E18008" s="3">
        <v>7.6300000000000004E-51</v>
      </c>
      <c r="F18008" s="2">
        <v>452</v>
      </c>
      <c r="G18008" s="2">
        <v>100</v>
      </c>
      <c r="H18008" s="2">
        <v>86</v>
      </c>
      <c r="I18008" s="2">
        <v>2</v>
      </c>
      <c r="J18008" s="2">
        <v>259</v>
      </c>
      <c r="K18008" s="2">
        <v>1</v>
      </c>
      <c r="L18008" s="2">
        <v>86</v>
      </c>
    </row>
    <row r="18009" spans="1:12" x14ac:dyDescent="0.25">
      <c r="A18009" s="4" t="str">
        <f>HYPERLINK("http://www.rosaceae.org/Prunus/Prunus_persica/p.persica_gdr_reftransV1_0001399","p.persica_gdr_reftransV1_0001399")</f>
        <v>p.persica_gdr_reftransV1_0001399</v>
      </c>
      <c r="B18009" s="2">
        <v>1984</v>
      </c>
      <c r="C18009" s="4" t="str">
        <f>HYPERLINK("http://www.uniprot.org/uniprot/M5XR09","M5XR09")</f>
        <v>M5XR09</v>
      </c>
      <c r="D18009" s="2" t="s">
        <v>14012</v>
      </c>
      <c r="E18009" s="3">
        <v>0</v>
      </c>
      <c r="F18009" s="2">
        <v>2716</v>
      </c>
      <c r="G18009" s="2">
        <v>100</v>
      </c>
      <c r="H18009" s="2">
        <v>574</v>
      </c>
      <c r="I18009" s="2">
        <v>262</v>
      </c>
      <c r="J18009" s="2">
        <v>1983</v>
      </c>
      <c r="K18009" s="2">
        <v>295</v>
      </c>
      <c r="L18009" s="2">
        <v>868</v>
      </c>
    </row>
    <row r="18010" spans="1:12" x14ac:dyDescent="0.25">
      <c r="A18010" s="4" t="str">
        <f>HYPERLINK("http://www.rosaceae.org/Prunus/Prunus_persica/p.persica_gdr_reftransV1_0002099","p.persica_gdr_reftransV1_0002099")</f>
        <v>p.persica_gdr_reftransV1_0002099</v>
      </c>
      <c r="B18010" s="2">
        <v>1382</v>
      </c>
      <c r="C18010" s="4" t="str">
        <f>HYPERLINK("http://www.uniprot.org/uniprot/M5VZ69","M5VZ69")</f>
        <v>M5VZ69</v>
      </c>
      <c r="D18010" s="2" t="s">
        <v>4319</v>
      </c>
      <c r="E18010" s="3">
        <v>0</v>
      </c>
      <c r="F18010" s="2">
        <v>1632</v>
      </c>
      <c r="G18010" s="2">
        <v>99</v>
      </c>
      <c r="H18010" s="2">
        <v>323</v>
      </c>
      <c r="I18010" s="2">
        <v>249</v>
      </c>
      <c r="J18010" s="2">
        <v>1217</v>
      </c>
      <c r="K18010" s="2">
        <v>1</v>
      </c>
      <c r="L18010" s="2">
        <v>323</v>
      </c>
    </row>
    <row r="18011" spans="1:12" x14ac:dyDescent="0.25">
      <c r="A18011" s="4" t="str">
        <f>HYPERLINK("http://www.rosaceae.org/Prunus/Prunus_persica/p.persica_gdr_reftransV1_0002799","p.persica_gdr_reftransV1_0002799")</f>
        <v>p.persica_gdr_reftransV1_0002799</v>
      </c>
      <c r="B18011" s="2">
        <v>1303</v>
      </c>
      <c r="C18011" s="4" t="str">
        <f>HYPERLINK("http://www.uniprot.org/uniprot/M5WBR0","M5WBR0")</f>
        <v>M5WBR0</v>
      </c>
      <c r="D18011" s="2" t="s">
        <v>13212</v>
      </c>
      <c r="E18011" s="3">
        <v>0</v>
      </c>
      <c r="F18011" s="2">
        <v>1364</v>
      </c>
      <c r="G18011" s="2">
        <v>100</v>
      </c>
      <c r="H18011" s="2">
        <v>326</v>
      </c>
      <c r="I18011" s="2">
        <v>3</v>
      </c>
      <c r="J18011" s="2">
        <v>980</v>
      </c>
      <c r="K18011" s="2">
        <v>39</v>
      </c>
      <c r="L18011" s="2">
        <v>364</v>
      </c>
    </row>
    <row r="18012" spans="1:12" x14ac:dyDescent="0.25">
      <c r="A18012" s="4" t="str">
        <f>HYPERLINK("http://www.rosaceae.org/Prunus/Prunus_persica/p.persica_gdr_reftransV1_0003149","p.persica_gdr_reftransV1_0003149")</f>
        <v>p.persica_gdr_reftransV1_0003149</v>
      </c>
      <c r="B18012" s="2">
        <v>1633</v>
      </c>
      <c r="C18012" s="4" t="str">
        <f>HYPERLINK("http://www.uniprot.org/uniprot/M5W0P8","M5W0P8")</f>
        <v>M5W0P8</v>
      </c>
      <c r="D18012" s="2" t="s">
        <v>4471</v>
      </c>
      <c r="E18012" s="3">
        <v>0</v>
      </c>
      <c r="F18012" s="2">
        <v>1768</v>
      </c>
      <c r="G18012" s="2">
        <v>100</v>
      </c>
      <c r="H18012" s="2">
        <v>345</v>
      </c>
      <c r="I18012" s="2">
        <v>276</v>
      </c>
      <c r="J18012" s="2">
        <v>1310</v>
      </c>
      <c r="K18012" s="2">
        <v>1</v>
      </c>
      <c r="L18012" s="2">
        <v>345</v>
      </c>
    </row>
    <row r="18013" spans="1:12" x14ac:dyDescent="0.25">
      <c r="A18013" s="4" t="str">
        <f>HYPERLINK("http://www.rosaceae.org/Prunus/Prunus_persica/p.persica_gdr_reftransV1_0003499","p.persica_gdr_reftransV1_0003499")</f>
        <v>p.persica_gdr_reftransV1_0003499</v>
      </c>
      <c r="B18013" s="2">
        <v>1600</v>
      </c>
      <c r="C18013" s="4" t="str">
        <f>HYPERLINK("http://www.uniprot.org/uniprot/M5VNL8","M5VNL8")</f>
        <v>M5VNL8</v>
      </c>
      <c r="D18013" s="2" t="s">
        <v>11103</v>
      </c>
      <c r="E18013" s="3">
        <v>0</v>
      </c>
      <c r="F18013" s="2">
        <v>1659</v>
      </c>
      <c r="G18013" s="2">
        <v>100</v>
      </c>
      <c r="H18013" s="2">
        <v>318</v>
      </c>
      <c r="I18013" s="2">
        <v>89</v>
      </c>
      <c r="J18013" s="2">
        <v>1042</v>
      </c>
      <c r="K18013" s="2">
        <v>13</v>
      </c>
      <c r="L18013" s="2">
        <v>330</v>
      </c>
    </row>
    <row r="18014" spans="1:12" x14ac:dyDescent="0.25">
      <c r="A18014" s="4" t="str">
        <f>HYPERLINK("http://www.rosaceae.org/Prunus/Prunus_persica/p.persica_gdr_reftransV1_0003849","p.persica_gdr_reftransV1_0003849")</f>
        <v>p.persica_gdr_reftransV1_0003849</v>
      </c>
      <c r="B18014" s="2">
        <v>3625</v>
      </c>
      <c r="C18014" s="4" t="str">
        <f>HYPERLINK("http://www.uniprot.org/uniprot/M5XXR8","M5XXR8")</f>
        <v>M5XXR8</v>
      </c>
      <c r="D18014" s="2" t="s">
        <v>10490</v>
      </c>
      <c r="E18014" s="3">
        <v>0</v>
      </c>
      <c r="F18014" s="2">
        <v>2255</v>
      </c>
      <c r="G18014" s="2">
        <v>100</v>
      </c>
      <c r="H18014" s="2">
        <v>483</v>
      </c>
      <c r="I18014" s="2">
        <v>1581</v>
      </c>
      <c r="J18014" s="2">
        <v>3029</v>
      </c>
      <c r="K18014" s="2">
        <v>1</v>
      </c>
      <c r="L18014" s="2">
        <v>483</v>
      </c>
    </row>
    <row r="18015" spans="1:12" x14ac:dyDescent="0.25">
      <c r="A18015" s="4" t="str">
        <f>HYPERLINK("http://www.rosaceae.org/Prunus/Prunus_persica/p.persica_gdr_reftransV1_0004549","p.persica_gdr_reftransV1_0004549")</f>
        <v>p.persica_gdr_reftransV1_0004549</v>
      </c>
      <c r="B18015" s="2">
        <v>950</v>
      </c>
      <c r="C18015" s="4" t="str">
        <f>HYPERLINK("http://www.uniprot.org/uniprot/M5W1E7","M5W1E7")</f>
        <v>M5W1E7</v>
      </c>
      <c r="D18015" s="2" t="s">
        <v>3369</v>
      </c>
      <c r="E18015" s="3">
        <v>9.5600000000000003E-43</v>
      </c>
      <c r="F18015" s="2">
        <v>387</v>
      </c>
      <c r="G18015" s="2">
        <v>100</v>
      </c>
      <c r="H18015" s="2">
        <v>93</v>
      </c>
      <c r="I18015" s="2">
        <v>360</v>
      </c>
      <c r="J18015" s="2">
        <v>638</v>
      </c>
      <c r="K18015" s="2">
        <v>1</v>
      </c>
      <c r="L18015" s="2">
        <v>93</v>
      </c>
    </row>
    <row r="18016" spans="1:12" x14ac:dyDescent="0.25">
      <c r="A18016" s="4" t="str">
        <f>HYPERLINK("http://www.rosaceae.org/Prunus/Prunus_persica/p.persica_gdr_reftransV1_0005249","p.persica_gdr_reftransV1_0005249")</f>
        <v>p.persica_gdr_reftransV1_0005249</v>
      </c>
      <c r="B18016" s="2">
        <v>2132</v>
      </c>
      <c r="C18016" s="4" t="str">
        <f>HYPERLINK("http://www.uniprot.org/uniprot/M5XLS5","M5XLS5")</f>
        <v>M5XLS5</v>
      </c>
      <c r="D18016" s="2" t="s">
        <v>1911</v>
      </c>
      <c r="E18016" s="3">
        <v>0</v>
      </c>
      <c r="F18016" s="2">
        <v>2233</v>
      </c>
      <c r="G18016" s="2">
        <v>100</v>
      </c>
      <c r="H18016" s="2">
        <v>413</v>
      </c>
      <c r="I18016" s="2">
        <v>419</v>
      </c>
      <c r="J18016" s="2">
        <v>1657</v>
      </c>
      <c r="K18016" s="2">
        <v>1</v>
      </c>
      <c r="L18016" s="2">
        <v>413</v>
      </c>
    </row>
    <row r="18017" spans="1:12" x14ac:dyDescent="0.25">
      <c r="A18017" s="4" t="str">
        <f>HYPERLINK("http://www.rosaceae.org/Prunus/Prunus_persica/p.persica_gdr_reftransV1_0005599","p.persica_gdr_reftransV1_0005599")</f>
        <v>p.persica_gdr_reftransV1_0005599</v>
      </c>
      <c r="B18017" s="2">
        <v>2266</v>
      </c>
      <c r="C18017" s="4" t="str">
        <f>HYPERLINK("http://www.uniprot.org/uniprot/M5VQS5","M5VQS5")</f>
        <v>M5VQS5</v>
      </c>
      <c r="D18017" s="2" t="s">
        <v>1525</v>
      </c>
      <c r="E18017" s="3">
        <v>0</v>
      </c>
      <c r="F18017" s="2">
        <v>2047</v>
      </c>
      <c r="G18017" s="2">
        <v>100</v>
      </c>
      <c r="H18017" s="2">
        <v>387</v>
      </c>
      <c r="I18017" s="2">
        <v>1085</v>
      </c>
      <c r="J18017" s="2">
        <v>2245</v>
      </c>
      <c r="K18017" s="2">
        <v>1</v>
      </c>
      <c r="L18017" s="2">
        <v>387</v>
      </c>
    </row>
    <row r="18018" spans="1:12" x14ac:dyDescent="0.25">
      <c r="A18018" s="4" t="str">
        <f>HYPERLINK("http://www.rosaceae.org/Prunus/Prunus_persica/p.persica_gdr_reftransV1_0006299","p.persica_gdr_reftransV1_0006299")</f>
        <v>p.persica_gdr_reftransV1_0006299</v>
      </c>
      <c r="B18018" s="2">
        <v>611</v>
      </c>
      <c r="C18018" s="4" t="str">
        <f>HYPERLINK("http://www.uniprot.org/uniprot/M5W0V7","M5W0V7")</f>
        <v>M5W0V7</v>
      </c>
      <c r="D18018" s="2" t="s">
        <v>14013</v>
      </c>
      <c r="E18018" s="3">
        <v>1.8E-73</v>
      </c>
      <c r="F18018" s="2">
        <v>584</v>
      </c>
      <c r="G18018" s="2">
        <v>100</v>
      </c>
      <c r="H18018" s="2">
        <v>116</v>
      </c>
      <c r="I18018" s="2">
        <v>210</v>
      </c>
      <c r="J18018" s="2">
        <v>557</v>
      </c>
      <c r="K18018" s="2">
        <v>1</v>
      </c>
      <c r="L18018" s="2">
        <v>116</v>
      </c>
    </row>
    <row r="18019" spans="1:12" x14ac:dyDescent="0.25">
      <c r="A18019" s="4" t="str">
        <f>HYPERLINK("http://www.rosaceae.org/Prunus/Prunus_persica/p.persica_gdr_reftransV1_0006649","p.persica_gdr_reftransV1_0006649")</f>
        <v>p.persica_gdr_reftransV1_0006649</v>
      </c>
      <c r="B18019" s="2">
        <v>1710</v>
      </c>
      <c r="C18019" s="4" t="str">
        <f>HYPERLINK("http://www.uniprot.org/uniprot/M5WZ30","M5WZ30")</f>
        <v>M5WZ30</v>
      </c>
      <c r="D18019" s="2" t="s">
        <v>14014</v>
      </c>
      <c r="E18019" s="3">
        <v>0</v>
      </c>
      <c r="F18019" s="2">
        <v>1708</v>
      </c>
      <c r="G18019" s="2">
        <v>96</v>
      </c>
      <c r="H18019" s="2">
        <v>371</v>
      </c>
      <c r="I18019" s="2">
        <v>412</v>
      </c>
      <c r="J18019" s="2">
        <v>1524</v>
      </c>
      <c r="K18019" s="2">
        <v>262</v>
      </c>
      <c r="L18019" s="2">
        <v>625</v>
      </c>
    </row>
    <row r="18020" spans="1:12" x14ac:dyDescent="0.25">
      <c r="A18020" s="4" t="str">
        <f>HYPERLINK("http://www.rosaceae.org/Prunus/Prunus_persica/p.persica_gdr_reftransV1_0008049","p.persica_gdr_reftransV1_0008049")</f>
        <v>p.persica_gdr_reftransV1_0008049</v>
      </c>
      <c r="B18020" s="2">
        <v>1476</v>
      </c>
      <c r="C18020" s="4" t="str">
        <f>HYPERLINK("http://www.uniprot.org/uniprot/M5W5Y2","M5W5Y2")</f>
        <v>M5W5Y2</v>
      </c>
      <c r="D18020" s="2" t="s">
        <v>14015</v>
      </c>
      <c r="E18020" s="3">
        <v>4.7900000000000003E-119</v>
      </c>
      <c r="F18020" s="2">
        <v>970</v>
      </c>
      <c r="G18020" s="2">
        <v>100</v>
      </c>
      <c r="H18020" s="2">
        <v>178</v>
      </c>
      <c r="I18020" s="2">
        <v>941</v>
      </c>
      <c r="J18020" s="2">
        <v>1474</v>
      </c>
      <c r="K18020" s="2">
        <v>568</v>
      </c>
      <c r="L18020" s="2">
        <v>745</v>
      </c>
    </row>
    <row r="18021" spans="1:12" x14ac:dyDescent="0.25">
      <c r="A18021" s="4" t="str">
        <f>HYPERLINK("http://www.rosaceae.org/Prunus/Prunus_persica/p.persica_gdr_reftransV1_0008749","p.persica_gdr_reftransV1_0008749")</f>
        <v>p.persica_gdr_reftransV1_0008749</v>
      </c>
      <c r="B18021" s="2">
        <v>2077</v>
      </c>
      <c r="C18021" s="4" t="str">
        <f>HYPERLINK("http://www.uniprot.org/uniprot/M5VSS4","M5VSS4")</f>
        <v>M5VSS4</v>
      </c>
      <c r="D18021" s="2" t="s">
        <v>3555</v>
      </c>
      <c r="E18021" s="3">
        <v>0</v>
      </c>
      <c r="F18021" s="2">
        <v>3305</v>
      </c>
      <c r="G18021" s="2">
        <v>100</v>
      </c>
      <c r="H18021" s="2">
        <v>614</v>
      </c>
      <c r="I18021" s="2">
        <v>236</v>
      </c>
      <c r="J18021" s="2">
        <v>2077</v>
      </c>
      <c r="K18021" s="2">
        <v>440</v>
      </c>
      <c r="L18021" s="2">
        <v>1053</v>
      </c>
    </row>
    <row r="18022" spans="1:12" x14ac:dyDescent="0.25">
      <c r="A18022" s="4" t="str">
        <f>HYPERLINK("http://www.rosaceae.org/Prunus/Prunus_persica/p.persica_gdr_reftransV1_0009099","p.persica_gdr_reftransV1_0009099")</f>
        <v>p.persica_gdr_reftransV1_0009099</v>
      </c>
      <c r="B18022" s="2">
        <v>4781</v>
      </c>
      <c r="C18022" s="4" t="str">
        <f>HYPERLINK("http://www.uniprot.org/uniprot/M5W8A0","M5W8A0")</f>
        <v>M5W8A0</v>
      </c>
      <c r="D18022" s="2" t="s">
        <v>14016</v>
      </c>
      <c r="E18022" s="3">
        <v>0</v>
      </c>
      <c r="F18022" s="2">
        <v>3173</v>
      </c>
      <c r="G18022" s="2">
        <v>100</v>
      </c>
      <c r="H18022" s="2">
        <v>654</v>
      </c>
      <c r="I18022" s="2">
        <v>920</v>
      </c>
      <c r="J18022" s="2">
        <v>2881</v>
      </c>
      <c r="K18022" s="2">
        <v>1</v>
      </c>
      <c r="L18022" s="2">
        <v>654</v>
      </c>
    </row>
    <row r="18023" spans="1:12" x14ac:dyDescent="0.25">
      <c r="A18023" s="4" t="str">
        <f>HYPERLINK("http://www.rosaceae.org/Prunus/Prunus_persica/p.persica_gdr_reftransV1_0010149","p.persica_gdr_reftransV1_0010149")</f>
        <v>p.persica_gdr_reftransV1_0010149</v>
      </c>
      <c r="B18023" s="2">
        <v>3550</v>
      </c>
      <c r="C18023" s="4" t="str">
        <f>HYPERLINK("http://www.uniprot.org/uniprot/M5WFH1","M5WFH1")</f>
        <v>M5WFH1</v>
      </c>
      <c r="D18023" s="2" t="s">
        <v>14017</v>
      </c>
      <c r="E18023" s="3">
        <v>0</v>
      </c>
      <c r="F18023" s="2">
        <v>4824</v>
      </c>
      <c r="G18023" s="2">
        <v>96</v>
      </c>
      <c r="H18023" s="2">
        <v>1003</v>
      </c>
      <c r="I18023" s="2">
        <v>320</v>
      </c>
      <c r="J18023" s="2">
        <v>3328</v>
      </c>
      <c r="K18023" s="2">
        <v>1</v>
      </c>
      <c r="L18023" s="2">
        <v>966</v>
      </c>
    </row>
    <row r="18024" spans="1:12" x14ac:dyDescent="0.25">
      <c r="A18024" s="4" t="str">
        <f>HYPERLINK("http://www.rosaceae.org/Prunus/Prunus_persica/p.persica_gdr_reftransV1_0010499","p.persica_gdr_reftransV1_0010499")</f>
        <v>p.persica_gdr_reftransV1_0010499</v>
      </c>
      <c r="B18024" s="2">
        <v>3424</v>
      </c>
      <c r="C18024" s="4" t="str">
        <f>HYPERLINK("http://www.uniprot.org/uniprot/M5VUJ4","M5VUJ4")</f>
        <v>M5VUJ4</v>
      </c>
      <c r="D18024" s="2" t="s">
        <v>13884</v>
      </c>
      <c r="E18024" s="3">
        <v>0</v>
      </c>
      <c r="F18024" s="2">
        <v>2068</v>
      </c>
      <c r="G18024" s="2">
        <v>99</v>
      </c>
      <c r="H18024" s="2">
        <v>450</v>
      </c>
      <c r="I18024" s="2">
        <v>813</v>
      </c>
      <c r="J18024" s="2">
        <v>2162</v>
      </c>
      <c r="K18024" s="2">
        <v>37</v>
      </c>
      <c r="L18024" s="2">
        <v>486</v>
      </c>
    </row>
    <row r="18025" spans="1:12" x14ac:dyDescent="0.25">
      <c r="A18025" s="4" t="str">
        <f>HYPERLINK("http://www.rosaceae.org/Prunus/Prunus_persica/p.persica_gdr_reftransV1_0010849","p.persica_gdr_reftransV1_0010849")</f>
        <v>p.persica_gdr_reftransV1_0010849</v>
      </c>
      <c r="B18025" s="2">
        <v>696</v>
      </c>
      <c r="C18025" s="4" t="str">
        <f>HYPERLINK("http://www.uniprot.org/uniprot/M5WGF9","M5WGF9")</f>
        <v>M5WGF9</v>
      </c>
      <c r="D18025" s="2" t="s">
        <v>14018</v>
      </c>
      <c r="E18025" s="3">
        <v>2.55E-27</v>
      </c>
      <c r="F18025" s="2">
        <v>299</v>
      </c>
      <c r="G18025" s="2">
        <v>47</v>
      </c>
      <c r="H18025" s="2">
        <v>196</v>
      </c>
      <c r="I18025" s="2">
        <v>15</v>
      </c>
      <c r="J18025" s="2">
        <v>530</v>
      </c>
      <c r="K18025" s="2">
        <v>2</v>
      </c>
      <c r="L18025" s="2">
        <v>193</v>
      </c>
    </row>
    <row r="18026" spans="1:12" x14ac:dyDescent="0.25">
      <c r="A18026" s="4" t="str">
        <f>HYPERLINK("http://www.rosaceae.org/Prunus/Prunus_persica/p.persica_gdr_reftransV1_0011199","p.persica_gdr_reftransV1_0011199")</f>
        <v>p.persica_gdr_reftransV1_0011199</v>
      </c>
      <c r="B18026" s="2">
        <v>2196</v>
      </c>
      <c r="C18026" s="4" t="str">
        <f>HYPERLINK("http://www.uniprot.org/uniprot/M5WAR2","M5WAR2")</f>
        <v>M5WAR2</v>
      </c>
      <c r="D18026" s="2" t="s">
        <v>14019</v>
      </c>
      <c r="E18026" s="3">
        <v>2.3800000000000001E-101</v>
      </c>
      <c r="F18026" s="2">
        <v>819</v>
      </c>
      <c r="G18026" s="2">
        <v>98</v>
      </c>
      <c r="H18026" s="2">
        <v>159</v>
      </c>
      <c r="I18026" s="2">
        <v>1234</v>
      </c>
      <c r="J18026" s="2">
        <v>1710</v>
      </c>
      <c r="K18026" s="2">
        <v>5</v>
      </c>
      <c r="L18026" s="2">
        <v>163</v>
      </c>
    </row>
    <row r="18027" spans="1:12" x14ac:dyDescent="0.25">
      <c r="A18027" s="4" t="str">
        <f>HYPERLINK("http://www.rosaceae.org/Prunus/Prunus_persica/p.persica_gdr_reftransV1_0012249","p.persica_gdr_reftransV1_0012249")</f>
        <v>p.persica_gdr_reftransV1_0012249</v>
      </c>
      <c r="B18027" s="2">
        <v>1534</v>
      </c>
      <c r="C18027" s="4" t="str">
        <f>HYPERLINK("http://www.uniprot.org/uniprot/M5X0H3","M5X0H3")</f>
        <v>M5X0H3</v>
      </c>
      <c r="D18027" s="2" t="s">
        <v>14020</v>
      </c>
      <c r="E18027" s="3">
        <v>0</v>
      </c>
      <c r="F18027" s="2">
        <v>1771</v>
      </c>
      <c r="G18027" s="2">
        <v>100</v>
      </c>
      <c r="H18027" s="2">
        <v>327</v>
      </c>
      <c r="I18027" s="2">
        <v>460</v>
      </c>
      <c r="J18027" s="2">
        <v>1440</v>
      </c>
      <c r="K18027" s="2">
        <v>1</v>
      </c>
      <c r="L18027" s="2">
        <v>327</v>
      </c>
    </row>
    <row r="18028" spans="1:12" x14ac:dyDescent="0.25">
      <c r="A18028" s="4" t="str">
        <f>HYPERLINK("http://www.rosaceae.org/Prunus/Prunus_persica/p.persica_gdr_reftransV1_0013999","p.persica_gdr_reftransV1_0013999")</f>
        <v>p.persica_gdr_reftransV1_0013999</v>
      </c>
      <c r="B18028" s="2">
        <v>1388</v>
      </c>
      <c r="C18028" s="4" t="str">
        <f>HYPERLINK("http://www.uniprot.org/uniprot/W9RFJ0","W9RFJ0")</f>
        <v>W9RFJ0</v>
      </c>
      <c r="D18028" s="2" t="s">
        <v>14021</v>
      </c>
      <c r="E18028" s="3">
        <v>4.6100000000000001E-124</v>
      </c>
      <c r="F18028" s="2">
        <v>956</v>
      </c>
      <c r="G18028" s="2">
        <v>88</v>
      </c>
      <c r="H18028" s="2">
        <v>204</v>
      </c>
      <c r="I18028" s="2">
        <v>110</v>
      </c>
      <c r="J18028" s="2">
        <v>721</v>
      </c>
      <c r="K18028" s="2">
        <v>27</v>
      </c>
      <c r="L18028" s="2">
        <v>230</v>
      </c>
    </row>
    <row r="18029" spans="1:12" x14ac:dyDescent="0.25">
      <c r="A18029" s="4" t="str">
        <f>HYPERLINK("http://www.rosaceae.org/Prunus/Prunus_persica/p.persica_gdr_reftransV1_0014349","p.persica_gdr_reftransV1_0014349")</f>
        <v>p.persica_gdr_reftransV1_0014349</v>
      </c>
      <c r="B18029" s="2">
        <v>1046</v>
      </c>
      <c r="C18029" s="4" t="str">
        <f>HYPERLINK("http://www.uniprot.org/uniprot/G7K6T5","G7K6T5")</f>
        <v>G7K6T5</v>
      </c>
      <c r="D18029" s="2" t="s">
        <v>14022</v>
      </c>
      <c r="E18029" s="3">
        <v>4.3299999999999998E-54</v>
      </c>
      <c r="F18029" s="2">
        <v>475</v>
      </c>
      <c r="G18029" s="2">
        <v>57</v>
      </c>
      <c r="H18029" s="2">
        <v>166</v>
      </c>
      <c r="I18029" s="2">
        <v>375</v>
      </c>
      <c r="J18029" s="2">
        <v>872</v>
      </c>
      <c r="K18029" s="2">
        <v>27</v>
      </c>
      <c r="L18029" s="2">
        <v>187</v>
      </c>
    </row>
    <row r="18030" spans="1:12" x14ac:dyDescent="0.25">
      <c r="A18030" s="4" t="str">
        <f>HYPERLINK("http://www.rosaceae.org/Prunus/Prunus_persica/p.persica_gdr_reftransV1_0015399","p.persica_gdr_reftransV1_0015399")</f>
        <v>p.persica_gdr_reftransV1_0015399</v>
      </c>
      <c r="B18030" s="2">
        <v>1294</v>
      </c>
      <c r="C18030" s="4" t="str">
        <f>HYPERLINK("http://www.uniprot.org/uniprot/M5W527","M5W527")</f>
        <v>M5W527</v>
      </c>
      <c r="D18030" s="2" t="s">
        <v>14023</v>
      </c>
      <c r="E18030" s="3">
        <v>4.7599999999999997E-114</v>
      </c>
      <c r="F18030" s="2">
        <v>904</v>
      </c>
      <c r="G18030" s="2">
        <v>99</v>
      </c>
      <c r="H18030" s="2">
        <v>173</v>
      </c>
      <c r="I18030" s="2">
        <v>430</v>
      </c>
      <c r="J18030" s="2">
        <v>948</v>
      </c>
      <c r="K18030" s="2">
        <v>240</v>
      </c>
      <c r="L18030" s="2">
        <v>412</v>
      </c>
    </row>
    <row r="18031" spans="1:12" x14ac:dyDescent="0.25">
      <c r="A18031" s="4" t="str">
        <f>HYPERLINK("http://www.rosaceae.org/Prunus/Prunus_persica/p.persica_gdr_reftransV1_0016449","p.persica_gdr_reftransV1_0016449")</f>
        <v>p.persica_gdr_reftransV1_0016449</v>
      </c>
      <c r="B18031" s="2">
        <v>742</v>
      </c>
      <c r="C18031" s="4" t="str">
        <f>HYPERLINK("http://www.uniprot.org/uniprot/M5VJ82","M5VJ82")</f>
        <v>M5VJ82</v>
      </c>
      <c r="D18031" s="2" t="s">
        <v>4557</v>
      </c>
      <c r="E18031" s="3">
        <v>1.54E-109</v>
      </c>
      <c r="F18031" s="2">
        <v>831</v>
      </c>
      <c r="G18031" s="2">
        <v>96</v>
      </c>
      <c r="H18031" s="2">
        <v>161</v>
      </c>
      <c r="I18031" s="2">
        <v>46</v>
      </c>
      <c r="J18031" s="2">
        <v>528</v>
      </c>
      <c r="K18031" s="2">
        <v>1</v>
      </c>
      <c r="L18031" s="2">
        <v>161</v>
      </c>
    </row>
    <row r="18032" spans="1:12" x14ac:dyDescent="0.25">
      <c r="A18032" s="4" t="str">
        <f>HYPERLINK("http://www.rosaceae.org/Prunus/Prunus_persica/p.persica_gdr_reftransV1_0017149","p.persica_gdr_reftransV1_0017149")</f>
        <v>p.persica_gdr_reftransV1_0017149</v>
      </c>
      <c r="B18032" s="2">
        <v>2416</v>
      </c>
      <c r="C18032" s="4" t="str">
        <f>HYPERLINK("http://www.uniprot.org/uniprot/M5WCW9","M5WCW9")</f>
        <v>M5WCW9</v>
      </c>
      <c r="D18032" s="2" t="s">
        <v>14024</v>
      </c>
      <c r="E18032" s="3">
        <v>0</v>
      </c>
      <c r="F18032" s="2">
        <v>1337</v>
      </c>
      <c r="G18032" s="2">
        <v>98</v>
      </c>
      <c r="H18032" s="2">
        <v>304</v>
      </c>
      <c r="I18032" s="2">
        <v>1276</v>
      </c>
      <c r="J18032" s="2">
        <v>2187</v>
      </c>
      <c r="K18032" s="2">
        <v>190</v>
      </c>
      <c r="L18032" s="2">
        <v>493</v>
      </c>
    </row>
    <row r="18033" spans="1:12" x14ac:dyDescent="0.25">
      <c r="A18033" s="4" t="str">
        <f>HYPERLINK("http://www.rosaceae.org/Prunus/Prunus_persica/p.persica_gdr_reftransV1_0017499","p.persica_gdr_reftransV1_0017499")</f>
        <v>p.persica_gdr_reftransV1_0017499</v>
      </c>
      <c r="B18033" s="2">
        <v>2712</v>
      </c>
      <c r="C18033" s="4" t="str">
        <f>HYPERLINK("http://www.uniprot.org/uniprot/M7YZZ8","M7YZZ8")</f>
        <v>M7YZZ8</v>
      </c>
      <c r="D18033" s="2" t="s">
        <v>14025</v>
      </c>
      <c r="E18033" s="3">
        <v>1.7000000000000001E-129</v>
      </c>
      <c r="F18033" s="2">
        <v>1044</v>
      </c>
      <c r="G18033" s="2">
        <v>60</v>
      </c>
      <c r="H18033" s="2">
        <v>373</v>
      </c>
      <c r="I18033" s="2">
        <v>888</v>
      </c>
      <c r="J18033" s="2">
        <v>1991</v>
      </c>
      <c r="K18033" s="2">
        <v>1</v>
      </c>
      <c r="L18033" s="2">
        <v>321</v>
      </c>
    </row>
    <row r="18034" spans="1:12" x14ac:dyDescent="0.25">
      <c r="A18034" s="4" t="str">
        <f>HYPERLINK("http://www.rosaceae.org/Prunus/Prunus_persica/p.persica_gdr_reftransV1_0018549","p.persica_gdr_reftransV1_0018549")</f>
        <v>p.persica_gdr_reftransV1_0018549</v>
      </c>
      <c r="B18034" s="2">
        <v>3531</v>
      </c>
      <c r="C18034" s="4" t="str">
        <f>HYPERLINK("http://www.uniprot.org/uniprot/M5X9W4","M5X9W4")</f>
        <v>M5X9W4</v>
      </c>
      <c r="D18034" s="2" t="s">
        <v>14026</v>
      </c>
      <c r="E18034" s="3">
        <v>0</v>
      </c>
      <c r="F18034" s="2">
        <v>2707</v>
      </c>
      <c r="G18034" s="2">
        <v>94</v>
      </c>
      <c r="H18034" s="2">
        <v>575</v>
      </c>
      <c r="I18034" s="2">
        <v>1484</v>
      </c>
      <c r="J18034" s="2">
        <v>3208</v>
      </c>
      <c r="K18034" s="2">
        <v>213</v>
      </c>
      <c r="L18034" s="2">
        <v>756</v>
      </c>
    </row>
    <row r="18035" spans="1:12" x14ac:dyDescent="0.25">
      <c r="A18035" s="4" t="str">
        <f>HYPERLINK("http://www.rosaceae.org/Prunus/Prunus_persica/p.persica_gdr_reftransV1_0020649","p.persica_gdr_reftransV1_0020649")</f>
        <v>p.persica_gdr_reftransV1_0020649</v>
      </c>
      <c r="B18035" s="2">
        <v>3380</v>
      </c>
      <c r="C18035" s="4" t="str">
        <f>HYPERLINK("http://www.uniprot.org/uniprot/M5VYI4","M5VYI4")</f>
        <v>M5VYI4</v>
      </c>
      <c r="D18035" s="2" t="s">
        <v>14027</v>
      </c>
      <c r="E18035" s="3">
        <v>0</v>
      </c>
      <c r="F18035" s="2">
        <v>1912</v>
      </c>
      <c r="G18035" s="2">
        <v>100</v>
      </c>
      <c r="H18035" s="2">
        <v>396</v>
      </c>
      <c r="I18035" s="2">
        <v>1764</v>
      </c>
      <c r="J18035" s="2">
        <v>2951</v>
      </c>
      <c r="K18035" s="2">
        <v>1</v>
      </c>
      <c r="L18035" s="2">
        <v>396</v>
      </c>
    </row>
    <row r="18036" spans="1:12" x14ac:dyDescent="0.25">
      <c r="A18036" s="4" t="str">
        <f>HYPERLINK("http://www.rosaceae.org/Prunus/Prunus_persica/p.persica_gdr_reftransV1_0020999","p.persica_gdr_reftransV1_0020999")</f>
        <v>p.persica_gdr_reftransV1_0020999</v>
      </c>
      <c r="B18036" s="2">
        <v>1066</v>
      </c>
      <c r="C18036" s="4" t="str">
        <f>HYPERLINK("http://www.uniprot.org/uniprot/M5WDP4","M5WDP4")</f>
        <v>M5WDP4</v>
      </c>
      <c r="D18036" s="2" t="s">
        <v>776</v>
      </c>
      <c r="E18036" s="3">
        <v>1.6699999999999999E-96</v>
      </c>
      <c r="F18036" s="2">
        <v>805</v>
      </c>
      <c r="G18036" s="2">
        <v>100</v>
      </c>
      <c r="H18036" s="2">
        <v>150</v>
      </c>
      <c r="I18036" s="2">
        <v>616</v>
      </c>
      <c r="J18036" s="2">
        <v>1065</v>
      </c>
      <c r="K18036" s="2">
        <v>610</v>
      </c>
      <c r="L18036" s="2">
        <v>759</v>
      </c>
    </row>
    <row r="18037" spans="1:12" x14ac:dyDescent="0.25">
      <c r="A18037" s="4" t="str">
        <f>HYPERLINK("http://www.rosaceae.org/Prunus/Prunus_persica/p.persica_gdr_reftransV1_0021699","p.persica_gdr_reftransV1_0021699")</f>
        <v>p.persica_gdr_reftransV1_0021699</v>
      </c>
      <c r="B18037" s="2">
        <v>2595</v>
      </c>
      <c r="C18037" s="4" t="str">
        <f>HYPERLINK("http://www.uniprot.org/uniprot/M5XT12","M5XT12")</f>
        <v>M5XT12</v>
      </c>
      <c r="D18037" s="2" t="s">
        <v>1013</v>
      </c>
      <c r="E18037" s="3">
        <v>5.17E-106</v>
      </c>
      <c r="F18037" s="2">
        <v>863</v>
      </c>
      <c r="G18037" s="2">
        <v>100</v>
      </c>
      <c r="H18037" s="2">
        <v>192</v>
      </c>
      <c r="I18037" s="2">
        <v>33</v>
      </c>
      <c r="J18037" s="2">
        <v>608</v>
      </c>
      <c r="K18037" s="2">
        <v>1</v>
      </c>
      <c r="L18037" s="2">
        <v>192</v>
      </c>
    </row>
    <row r="18038" spans="1:12" x14ac:dyDescent="0.25">
      <c r="A18038" s="4" t="str">
        <f>HYPERLINK("http://www.rosaceae.org/Prunus/Prunus_persica/p.persica_gdr_reftransV1_0022049","p.persica_gdr_reftransV1_0022049")</f>
        <v>p.persica_gdr_reftransV1_0022049</v>
      </c>
      <c r="B18038" s="2">
        <v>1305</v>
      </c>
      <c r="C18038" s="4" t="str">
        <f>HYPERLINK("http://www.uniprot.org/uniprot/M5WGX0","M5WGX0")</f>
        <v>M5WGX0</v>
      </c>
      <c r="D18038" s="2" t="s">
        <v>14028</v>
      </c>
      <c r="E18038" s="3">
        <v>0</v>
      </c>
      <c r="F18038" s="2">
        <v>1529</v>
      </c>
      <c r="G18038" s="2">
        <v>100</v>
      </c>
      <c r="H18038" s="2">
        <v>289</v>
      </c>
      <c r="I18038" s="2">
        <v>267</v>
      </c>
      <c r="J18038" s="2">
        <v>1133</v>
      </c>
      <c r="K18038" s="2">
        <v>1</v>
      </c>
      <c r="L18038" s="2">
        <v>289</v>
      </c>
    </row>
    <row r="18039" spans="1:12" x14ac:dyDescent="0.25">
      <c r="A18039" s="4" t="str">
        <f>HYPERLINK("http://www.rosaceae.org/Prunus/Prunus_persica/p.persica_gdr_reftransV1_0022399","p.persica_gdr_reftransV1_0022399")</f>
        <v>p.persica_gdr_reftransV1_0022399</v>
      </c>
      <c r="B18039" s="2">
        <v>2365</v>
      </c>
      <c r="C18039" s="4" t="str">
        <f>HYPERLINK("http://www.uniprot.org/uniprot/A0A0D2RL20","A0A0D2RL20")</f>
        <v>A0A0D2RL20</v>
      </c>
      <c r="D18039" s="2" t="s">
        <v>14029</v>
      </c>
      <c r="E18039" s="3">
        <v>9.0300000000000004E-116</v>
      </c>
      <c r="F18039" s="2">
        <v>821</v>
      </c>
      <c r="G18039" s="2">
        <v>88</v>
      </c>
      <c r="H18039" s="2">
        <v>178</v>
      </c>
      <c r="I18039" s="2">
        <v>1181</v>
      </c>
      <c r="J18039" s="2">
        <v>1714</v>
      </c>
      <c r="K18039" s="2">
        <v>71</v>
      </c>
      <c r="L18039" s="2">
        <v>248</v>
      </c>
    </row>
    <row r="18040" spans="1:12" x14ac:dyDescent="0.25">
      <c r="A18040" s="4" t="str">
        <f>HYPERLINK("http://www.rosaceae.org/Prunus/Prunus_persica/p.persica_gdr_reftransV1_0023099","p.persica_gdr_reftransV1_0023099")</f>
        <v>p.persica_gdr_reftransV1_0023099</v>
      </c>
      <c r="B18040" s="2">
        <v>1710</v>
      </c>
      <c r="C18040" s="4" t="str">
        <f>HYPERLINK("http://www.uniprot.org/uniprot/A0A067GA54","A0A067GA54")</f>
        <v>A0A067GA54</v>
      </c>
      <c r="D18040" s="2" t="s">
        <v>14030</v>
      </c>
      <c r="E18040" s="3">
        <v>9.2800000000000001E-120</v>
      </c>
      <c r="F18040" s="2">
        <v>946</v>
      </c>
      <c r="G18040" s="2">
        <v>55</v>
      </c>
      <c r="H18040" s="2">
        <v>363</v>
      </c>
      <c r="I18040" s="2">
        <v>293</v>
      </c>
      <c r="J18040" s="2">
        <v>1375</v>
      </c>
      <c r="K18040" s="2">
        <v>1</v>
      </c>
      <c r="L18040" s="2">
        <v>312</v>
      </c>
    </row>
    <row r="18041" spans="1:12" x14ac:dyDescent="0.25">
      <c r="A18041" s="4" t="str">
        <f>HYPERLINK("http://www.rosaceae.org/Prunus/Prunus_persica/p.persica_gdr_reftransV1_0023449","p.persica_gdr_reftransV1_0023449")</f>
        <v>p.persica_gdr_reftransV1_0023449</v>
      </c>
      <c r="B18041" s="2">
        <v>4687</v>
      </c>
      <c r="C18041" s="4" t="str">
        <f>HYPERLINK("http://www.uniprot.org/uniprot/M5XJ09","M5XJ09")</f>
        <v>M5XJ09</v>
      </c>
      <c r="D18041" s="2" t="s">
        <v>14031</v>
      </c>
      <c r="E18041" s="3">
        <v>0</v>
      </c>
      <c r="F18041" s="2">
        <v>4044</v>
      </c>
      <c r="G18041" s="2">
        <v>95</v>
      </c>
      <c r="H18041" s="2">
        <v>806</v>
      </c>
      <c r="I18041" s="2">
        <v>2053</v>
      </c>
      <c r="J18041" s="2">
        <v>4470</v>
      </c>
      <c r="K18041" s="2">
        <v>1</v>
      </c>
      <c r="L18041" s="2">
        <v>764</v>
      </c>
    </row>
    <row r="18042" spans="1:12" x14ac:dyDescent="0.25">
      <c r="A18042" s="4" t="str">
        <f>HYPERLINK("http://www.rosaceae.org/Prunus/Prunus_persica/p.persica_gdr_reftransV1_0024149","p.persica_gdr_reftransV1_0024149")</f>
        <v>p.persica_gdr_reftransV1_0024149</v>
      </c>
      <c r="B18042" s="2">
        <v>4800</v>
      </c>
      <c r="C18042" s="4" t="str">
        <f>HYPERLINK("http://www.uniprot.org/uniprot/M5XQS9","M5XQS9")</f>
        <v>M5XQS9</v>
      </c>
      <c r="D18042" s="2" t="s">
        <v>6737</v>
      </c>
      <c r="E18042" s="3">
        <v>0</v>
      </c>
      <c r="F18042" s="2">
        <v>6795</v>
      </c>
      <c r="G18042" s="2">
        <v>93</v>
      </c>
      <c r="H18042" s="2">
        <v>1403</v>
      </c>
      <c r="I18042" s="2">
        <v>346</v>
      </c>
      <c r="J18042" s="2">
        <v>4545</v>
      </c>
      <c r="K18042" s="2">
        <v>1</v>
      </c>
      <c r="L18042" s="2">
        <v>1330</v>
      </c>
    </row>
    <row r="18043" spans="1:12" x14ac:dyDescent="0.25">
      <c r="A18043" s="4" t="str">
        <f>HYPERLINK("http://www.rosaceae.org/Prunus/Prunus_persica/p.persica_gdr_reftransV1_0024849","p.persica_gdr_reftransV1_0024849")</f>
        <v>p.persica_gdr_reftransV1_0024849</v>
      </c>
      <c r="B18043" s="2">
        <v>1375</v>
      </c>
      <c r="C18043" s="4" t="str">
        <f>HYPERLINK("http://www.uniprot.org/uniprot/M5WE37","M5WE37")</f>
        <v>M5WE37</v>
      </c>
      <c r="D18043" s="2" t="s">
        <v>14032</v>
      </c>
      <c r="E18043" s="3">
        <v>5.9199999999999998E-141</v>
      </c>
      <c r="F18043" s="2">
        <v>1071</v>
      </c>
      <c r="G18043" s="2">
        <v>100</v>
      </c>
      <c r="H18043" s="2">
        <v>199</v>
      </c>
      <c r="I18043" s="2">
        <v>663</v>
      </c>
      <c r="J18043" s="2">
        <v>1259</v>
      </c>
      <c r="K18043" s="2">
        <v>66</v>
      </c>
      <c r="L18043" s="2">
        <v>264</v>
      </c>
    </row>
    <row r="18044" spans="1:12" x14ac:dyDescent="0.25">
      <c r="A18044" s="4" t="str">
        <f>HYPERLINK("http://www.rosaceae.org/Prunus/Prunus_persica/p.persica_gdr_reftransV1_0025199","p.persica_gdr_reftransV1_0025199")</f>
        <v>p.persica_gdr_reftransV1_0025199</v>
      </c>
      <c r="B18044" s="2">
        <v>2197</v>
      </c>
      <c r="C18044" s="4" t="str">
        <f>HYPERLINK("http://www.uniprot.org/uniprot/M5XRB0","M5XRB0")</f>
        <v>M5XRB0</v>
      </c>
      <c r="D18044" s="2" t="s">
        <v>14033</v>
      </c>
      <c r="E18044" s="3">
        <v>2.6000000000000002E-164</v>
      </c>
      <c r="F18044" s="2">
        <v>1250</v>
      </c>
      <c r="G18044" s="2">
        <v>100</v>
      </c>
      <c r="H18044" s="2">
        <v>251</v>
      </c>
      <c r="I18044" s="2">
        <v>828</v>
      </c>
      <c r="J18044" s="2">
        <v>1580</v>
      </c>
      <c r="K18044" s="2">
        <v>1</v>
      </c>
      <c r="L18044" s="2">
        <v>251</v>
      </c>
    </row>
    <row r="18045" spans="1:12" x14ac:dyDescent="0.25">
      <c r="A18045" s="4" t="str">
        <f>HYPERLINK("http://www.rosaceae.org/Prunus/Prunus_persica/p.persica_gdr_reftransV1_0026249","p.persica_gdr_reftransV1_0026249")</f>
        <v>p.persica_gdr_reftransV1_0026249</v>
      </c>
      <c r="B18045" s="2">
        <v>1849</v>
      </c>
      <c r="C18045" s="4" t="str">
        <f>HYPERLINK("http://www.uniprot.org/uniprot/M5XV67","M5XV67")</f>
        <v>M5XV67</v>
      </c>
      <c r="D18045" s="2" t="s">
        <v>14034</v>
      </c>
      <c r="E18045" s="3">
        <v>0</v>
      </c>
      <c r="F18045" s="2">
        <v>1947</v>
      </c>
      <c r="G18045" s="2">
        <v>97</v>
      </c>
      <c r="H18045" s="2">
        <v>416</v>
      </c>
      <c r="I18045" s="2">
        <v>176</v>
      </c>
      <c r="J18045" s="2">
        <v>1423</v>
      </c>
      <c r="K18045" s="2">
        <v>25</v>
      </c>
      <c r="L18045" s="2">
        <v>429</v>
      </c>
    </row>
    <row r="18046" spans="1:12" x14ac:dyDescent="0.25">
      <c r="A18046" s="4" t="str">
        <f>HYPERLINK("http://www.rosaceae.org/Prunus/Prunus_persica/p.persica_gdr_reftransV1_0026599","p.persica_gdr_reftransV1_0026599")</f>
        <v>p.persica_gdr_reftransV1_0026599</v>
      </c>
      <c r="B18046" s="2">
        <v>3475</v>
      </c>
      <c r="C18046" s="4" t="str">
        <f>HYPERLINK("http://www.uniprot.org/uniprot/M5XM52","M5XM52")</f>
        <v>M5XM52</v>
      </c>
      <c r="D18046" s="2" t="s">
        <v>14035</v>
      </c>
      <c r="E18046" s="3">
        <v>0</v>
      </c>
      <c r="F18046" s="2">
        <v>5367</v>
      </c>
      <c r="G18046" s="2">
        <v>100</v>
      </c>
      <c r="H18046" s="2">
        <v>1000</v>
      </c>
      <c r="I18046" s="2">
        <v>133</v>
      </c>
      <c r="J18046" s="2">
        <v>3132</v>
      </c>
      <c r="K18046" s="2">
        <v>1</v>
      </c>
      <c r="L18046" s="2">
        <v>1000</v>
      </c>
    </row>
    <row r="18047" spans="1:12" x14ac:dyDescent="0.25">
      <c r="A18047" s="4" t="str">
        <f>HYPERLINK("http://www.rosaceae.org/Prunus/Prunus_persica/p.persica_gdr_reftransV1_0027649","p.persica_gdr_reftransV1_0027649")</f>
        <v>p.persica_gdr_reftransV1_0027649</v>
      </c>
      <c r="B18047" s="2">
        <v>4627</v>
      </c>
      <c r="C18047" s="4" t="str">
        <f>HYPERLINK("http://www.uniprot.org/uniprot/A0A0C4W438","A0A0C4W438")</f>
        <v>A0A0C4W438</v>
      </c>
      <c r="D18047" s="2" t="s">
        <v>14036</v>
      </c>
      <c r="E18047" s="3">
        <v>0</v>
      </c>
      <c r="F18047" s="2">
        <v>4749</v>
      </c>
      <c r="G18047" s="2">
        <v>100</v>
      </c>
      <c r="H18047" s="2">
        <v>967</v>
      </c>
      <c r="I18047" s="2">
        <v>513</v>
      </c>
      <c r="J18047" s="2">
        <v>3413</v>
      </c>
      <c r="K18047" s="2">
        <v>1</v>
      </c>
      <c r="L18047" s="2">
        <v>967</v>
      </c>
    </row>
    <row r="18048" spans="1:12" x14ac:dyDescent="0.25">
      <c r="A18048" s="4" t="str">
        <f>HYPERLINK("http://www.rosaceae.org/Prunus/Prunus_persica/p.persica_gdr_reftransV1_0027999","p.persica_gdr_reftransV1_0027999")</f>
        <v>p.persica_gdr_reftransV1_0027999</v>
      </c>
      <c r="B18048" s="2">
        <v>968</v>
      </c>
      <c r="C18048" s="4" t="str">
        <f>HYPERLINK("http://www.uniprot.org/uniprot/M5W856","M5W856")</f>
        <v>M5W856</v>
      </c>
      <c r="D18048" s="2" t="s">
        <v>3624</v>
      </c>
      <c r="E18048" s="3">
        <v>1.6200000000000001E-79</v>
      </c>
      <c r="F18048" s="2">
        <v>682</v>
      </c>
      <c r="G18048" s="2">
        <v>100</v>
      </c>
      <c r="H18048" s="2">
        <v>126</v>
      </c>
      <c r="I18048" s="2">
        <v>589</v>
      </c>
      <c r="J18048" s="2">
        <v>966</v>
      </c>
      <c r="K18048" s="2">
        <v>582</v>
      </c>
      <c r="L18048" s="2">
        <v>707</v>
      </c>
    </row>
    <row r="18049" spans="1:12" x14ac:dyDescent="0.25">
      <c r="A18049" s="4" t="str">
        <f>HYPERLINK("http://www.rosaceae.org/Prunus/Prunus_persica/p.persica_gdr_reftransV1_0029049","p.persica_gdr_reftransV1_0029049")</f>
        <v>p.persica_gdr_reftransV1_0029049</v>
      </c>
      <c r="B18049" s="2">
        <v>2661</v>
      </c>
      <c r="C18049" s="4" t="str">
        <f>HYPERLINK("http://www.uniprot.org/uniprot/M5WHF4","M5WHF4")</f>
        <v>M5WHF4</v>
      </c>
      <c r="D18049" s="2" t="s">
        <v>2301</v>
      </c>
      <c r="E18049" s="3">
        <v>0</v>
      </c>
      <c r="F18049" s="2">
        <v>1826</v>
      </c>
      <c r="G18049" s="2">
        <v>99</v>
      </c>
      <c r="H18049" s="2">
        <v>342</v>
      </c>
      <c r="I18049" s="2">
        <v>153</v>
      </c>
      <c r="J18049" s="2">
        <v>1178</v>
      </c>
      <c r="K18049" s="2">
        <v>24</v>
      </c>
      <c r="L18049" s="2">
        <v>365</v>
      </c>
    </row>
    <row r="18050" spans="1:12" x14ac:dyDescent="0.25">
      <c r="A18050" s="4" t="str">
        <f>HYPERLINK("http://www.rosaceae.org/Prunus/Prunus_persica/p.persica_gdr_reftransV1_0029749","p.persica_gdr_reftransV1_0029749")</f>
        <v>p.persica_gdr_reftransV1_0029749</v>
      </c>
      <c r="B18050" s="2">
        <v>3304</v>
      </c>
      <c r="C18050" s="4" t="str">
        <f>HYPERLINK("http://www.uniprot.org/uniprot/W9RS91","W9RS91")</f>
        <v>W9RS91</v>
      </c>
      <c r="D18050" s="2" t="s">
        <v>14037</v>
      </c>
      <c r="E18050" s="3">
        <v>0</v>
      </c>
      <c r="F18050" s="2">
        <v>3727</v>
      </c>
      <c r="G18050" s="2">
        <v>71</v>
      </c>
      <c r="H18050" s="2">
        <v>1029</v>
      </c>
      <c r="I18050" s="2">
        <v>226</v>
      </c>
      <c r="J18050" s="2">
        <v>3252</v>
      </c>
      <c r="K18050" s="2">
        <v>3</v>
      </c>
      <c r="L18050" s="2">
        <v>1030</v>
      </c>
    </row>
    <row r="18051" spans="1:12" x14ac:dyDescent="0.25">
      <c r="A18051" s="4" t="str">
        <f>HYPERLINK("http://www.rosaceae.org/Prunus/Prunus_persica/p.persica_gdr_reftransV1_0030099","p.persica_gdr_reftransV1_0030099")</f>
        <v>p.persica_gdr_reftransV1_0030099</v>
      </c>
      <c r="B18051" s="2">
        <v>2951</v>
      </c>
      <c r="C18051" s="4" t="str">
        <f>HYPERLINK("http://www.uniprot.org/uniprot/M5XB66","M5XB66")</f>
        <v>M5XB66</v>
      </c>
      <c r="D18051" s="2" t="s">
        <v>14038</v>
      </c>
      <c r="E18051" s="3">
        <v>0</v>
      </c>
      <c r="F18051" s="2">
        <v>2172</v>
      </c>
      <c r="G18051" s="2">
        <v>100</v>
      </c>
      <c r="H18051" s="2">
        <v>446</v>
      </c>
      <c r="I18051" s="2">
        <v>1381</v>
      </c>
      <c r="J18051" s="2">
        <v>2718</v>
      </c>
      <c r="K18051" s="2">
        <v>1</v>
      </c>
      <c r="L18051" s="2">
        <v>446</v>
      </c>
    </row>
    <row r="18052" spans="1:12" x14ac:dyDescent="0.25">
      <c r="A18052" s="4" t="str">
        <f>HYPERLINK("http://www.rosaceae.org/Prunus/Prunus_persica/p.persica_gdr_reftransV1_0031149","p.persica_gdr_reftransV1_0031149")</f>
        <v>p.persica_gdr_reftransV1_0031149</v>
      </c>
      <c r="B18052" s="2">
        <v>2339</v>
      </c>
      <c r="C18052" s="4" t="str">
        <f>HYPERLINK("http://www.uniprot.org/uniprot/M5XCP9","M5XCP9")</f>
        <v>M5XCP9</v>
      </c>
      <c r="D18052" s="2" t="s">
        <v>14039</v>
      </c>
      <c r="E18052" s="3">
        <v>4.1799999999999998E-179</v>
      </c>
      <c r="F18052" s="2">
        <v>1369</v>
      </c>
      <c r="G18052" s="2">
        <v>100</v>
      </c>
      <c r="H18052" s="2">
        <v>260</v>
      </c>
      <c r="I18052" s="2">
        <v>934</v>
      </c>
      <c r="J18052" s="2">
        <v>1713</v>
      </c>
      <c r="K18052" s="2">
        <v>154</v>
      </c>
      <c r="L18052" s="2">
        <v>413</v>
      </c>
    </row>
    <row r="18053" spans="1:12" x14ac:dyDescent="0.25">
      <c r="A18053" s="4" t="str">
        <f>HYPERLINK("http://www.rosaceae.org/Prunus/Prunus_persica/p.persica_gdr_reftransV1_0031849","p.persica_gdr_reftransV1_0031849")</f>
        <v>p.persica_gdr_reftransV1_0031849</v>
      </c>
      <c r="B18053" s="2">
        <v>1139</v>
      </c>
      <c r="C18053" s="4" t="str">
        <f>HYPERLINK("http://www.uniprot.org/uniprot/M5XS79","M5XS79")</f>
        <v>M5XS79</v>
      </c>
      <c r="D18053" s="2" t="s">
        <v>14040</v>
      </c>
      <c r="E18053" s="3">
        <v>6.3599999999999998E-74</v>
      </c>
      <c r="F18053" s="2">
        <v>603</v>
      </c>
      <c r="G18053" s="2">
        <v>100</v>
      </c>
      <c r="H18053" s="2">
        <v>112</v>
      </c>
      <c r="I18053" s="2">
        <v>538</v>
      </c>
      <c r="J18053" s="2">
        <v>873</v>
      </c>
      <c r="K18053" s="2">
        <v>1</v>
      </c>
      <c r="L18053" s="2">
        <v>112</v>
      </c>
    </row>
    <row r="18054" spans="1:12" x14ac:dyDescent="0.25">
      <c r="A18054" s="4" t="str">
        <f>HYPERLINK("http://www.rosaceae.org/Prunus/Prunus_persica/p.persica_gdr_reftransV1_0032549","p.persica_gdr_reftransV1_0032549")</f>
        <v>p.persica_gdr_reftransV1_0032549</v>
      </c>
      <c r="B18054" s="2">
        <v>1845</v>
      </c>
      <c r="C18054" s="4" t="str">
        <f>HYPERLINK("http://www.uniprot.org/uniprot/M5XJ76","M5XJ76")</f>
        <v>M5XJ76</v>
      </c>
      <c r="D18054" s="2" t="s">
        <v>14041</v>
      </c>
      <c r="E18054" s="3">
        <v>9.0799999999999999E-139</v>
      </c>
      <c r="F18054" s="2">
        <v>1070</v>
      </c>
      <c r="G18054" s="2">
        <v>83</v>
      </c>
      <c r="H18054" s="2">
        <v>285</v>
      </c>
      <c r="I18054" s="2">
        <v>155</v>
      </c>
      <c r="J18054" s="2">
        <v>1009</v>
      </c>
      <c r="K18054" s="2">
        <v>1</v>
      </c>
      <c r="L18054" s="2">
        <v>248</v>
      </c>
    </row>
    <row r="18055" spans="1:12" x14ac:dyDescent="0.25">
      <c r="A18055" s="4" t="str">
        <f>HYPERLINK("http://www.rosaceae.org/Prunus/Prunus_persica/p.persica_gdr_reftransV1_0032899","p.persica_gdr_reftransV1_0032899")</f>
        <v>p.persica_gdr_reftransV1_0032899</v>
      </c>
      <c r="B18055" s="2">
        <v>1786</v>
      </c>
      <c r="C18055" s="4" t="str">
        <f>HYPERLINK("http://www.uniprot.org/uniprot/M5WF94","M5WF94")</f>
        <v>M5WF94</v>
      </c>
      <c r="D18055" s="2" t="s">
        <v>14042</v>
      </c>
      <c r="E18055" s="3">
        <v>1.2E-130</v>
      </c>
      <c r="F18055" s="2">
        <v>1024</v>
      </c>
      <c r="G18055" s="2">
        <v>100</v>
      </c>
      <c r="H18055" s="2">
        <v>188</v>
      </c>
      <c r="I18055" s="2">
        <v>839</v>
      </c>
      <c r="J18055" s="2">
        <v>1402</v>
      </c>
      <c r="K18055" s="2">
        <v>165</v>
      </c>
      <c r="L18055" s="2">
        <v>352</v>
      </c>
    </row>
    <row r="18056" spans="1:12" x14ac:dyDescent="0.25">
      <c r="A18056" s="4" t="str">
        <f>HYPERLINK("http://www.rosaceae.org/Prunus/Prunus_persica/p.persica_gdr_reftransV1_0033949","p.persica_gdr_reftransV1_0033949")</f>
        <v>p.persica_gdr_reftransV1_0033949</v>
      </c>
      <c r="B18056" s="2">
        <v>1196</v>
      </c>
      <c r="C18056" s="4" t="str">
        <f>HYPERLINK("http://www.uniprot.org/uniprot/M5WHB5","M5WHB5")</f>
        <v>M5WHB5</v>
      </c>
      <c r="D18056" s="2" t="s">
        <v>7565</v>
      </c>
      <c r="E18056" s="3">
        <v>7.0400000000000003E-25</v>
      </c>
      <c r="F18056" s="2">
        <v>276</v>
      </c>
      <c r="G18056" s="2">
        <v>99</v>
      </c>
      <c r="H18056" s="2">
        <v>71</v>
      </c>
      <c r="I18056" s="2">
        <v>259</v>
      </c>
      <c r="J18056" s="2">
        <v>471</v>
      </c>
      <c r="K18056" s="2">
        <v>151</v>
      </c>
      <c r="L18056" s="2">
        <v>221</v>
      </c>
    </row>
    <row r="18057" spans="1:12" x14ac:dyDescent="0.25">
      <c r="A18057" s="4" t="str">
        <f>HYPERLINK("http://www.rosaceae.org/Prunus/Prunus_persica/p.persica_gdr_reftransV1_0034649","p.persica_gdr_reftransV1_0034649")</f>
        <v>p.persica_gdr_reftransV1_0034649</v>
      </c>
      <c r="B18057" s="2">
        <v>1375</v>
      </c>
      <c r="C18057" s="4" t="str">
        <f>HYPERLINK("http://www.uniprot.org/uniprot/M5XEP9","M5XEP9")</f>
        <v>M5XEP9</v>
      </c>
      <c r="D18057" s="2" t="s">
        <v>5071</v>
      </c>
      <c r="E18057" s="3">
        <v>5.1700000000000002E-63</v>
      </c>
      <c r="F18057" s="2">
        <v>585</v>
      </c>
      <c r="G18057" s="2">
        <v>78</v>
      </c>
      <c r="H18057" s="2">
        <v>165</v>
      </c>
      <c r="I18057" s="2">
        <v>608</v>
      </c>
      <c r="J18057" s="2">
        <v>1102</v>
      </c>
      <c r="K18057" s="2">
        <v>777</v>
      </c>
      <c r="L18057" s="2">
        <v>938</v>
      </c>
    </row>
    <row r="18058" spans="1:12" x14ac:dyDescent="0.25">
      <c r="A18058" s="4" t="str">
        <f>HYPERLINK("http://www.rosaceae.org/Prunus/Prunus_persica/p.persica_gdr_reftransV1_0034999","p.persica_gdr_reftransV1_0034999")</f>
        <v>p.persica_gdr_reftransV1_0034999</v>
      </c>
      <c r="B18058" s="2">
        <v>3373</v>
      </c>
      <c r="C18058" s="4" t="str">
        <f>HYPERLINK("http://www.uniprot.org/uniprot/M5W3P5","M5W3P5")</f>
        <v>M5W3P5</v>
      </c>
      <c r="D18058" s="2" t="s">
        <v>14043</v>
      </c>
      <c r="E18058" s="3">
        <v>0</v>
      </c>
      <c r="F18058" s="2">
        <v>3792</v>
      </c>
      <c r="G18058" s="2">
        <v>100</v>
      </c>
      <c r="H18058" s="2">
        <v>731</v>
      </c>
      <c r="I18058" s="2">
        <v>701</v>
      </c>
      <c r="J18058" s="2">
        <v>2893</v>
      </c>
      <c r="K18058" s="2">
        <v>33</v>
      </c>
      <c r="L18058" s="2">
        <v>763</v>
      </c>
    </row>
    <row r="18059" spans="1:12" x14ac:dyDescent="0.25">
      <c r="A18059" s="4" t="str">
        <f>HYPERLINK("http://www.rosaceae.org/Prunus/Prunus_persica/p.persica_gdr_reftransV1_0035699","p.persica_gdr_reftransV1_0035699")</f>
        <v>p.persica_gdr_reftransV1_0035699</v>
      </c>
      <c r="B18059" s="2">
        <v>4407</v>
      </c>
      <c r="C18059" s="4" t="str">
        <f>HYPERLINK("http://www.uniprot.org/uniprot/M5VHB7","M5VHB7")</f>
        <v>M5VHB7</v>
      </c>
      <c r="D18059" s="2" t="s">
        <v>14044</v>
      </c>
      <c r="E18059" s="3">
        <v>0</v>
      </c>
      <c r="F18059" s="2">
        <v>4719</v>
      </c>
      <c r="G18059" s="2">
        <v>96</v>
      </c>
      <c r="H18059" s="2">
        <v>942</v>
      </c>
      <c r="I18059" s="2">
        <v>1228</v>
      </c>
      <c r="J18059" s="2">
        <v>4032</v>
      </c>
      <c r="K18059" s="2">
        <v>1</v>
      </c>
      <c r="L18059" s="2">
        <v>942</v>
      </c>
    </row>
    <row r="18060" spans="1:12" x14ac:dyDescent="0.25">
      <c r="A18060" s="4" t="str">
        <f>HYPERLINK("http://www.rosaceae.org/Prunus/Prunus_persica/p.persica_gdr_reftransV1_0036049","p.persica_gdr_reftransV1_0036049")</f>
        <v>p.persica_gdr_reftransV1_0036049</v>
      </c>
      <c r="B18060" s="2">
        <v>885</v>
      </c>
      <c r="C18060" s="4" t="str">
        <f>HYPERLINK("http://www.uniprot.org/uniprot/M5XAC7","M5XAC7")</f>
        <v>M5XAC7</v>
      </c>
      <c r="D18060" s="2" t="s">
        <v>14045</v>
      </c>
      <c r="E18060" s="3">
        <v>3.72E-176</v>
      </c>
      <c r="F18060" s="2">
        <v>1284</v>
      </c>
      <c r="G18060" s="2">
        <v>100</v>
      </c>
      <c r="H18060" s="2">
        <v>240</v>
      </c>
      <c r="I18060" s="2">
        <v>3</v>
      </c>
      <c r="J18060" s="2">
        <v>722</v>
      </c>
      <c r="K18060" s="2">
        <v>10</v>
      </c>
      <c r="L18060" s="2">
        <v>249</v>
      </c>
    </row>
    <row r="18061" spans="1:12" x14ac:dyDescent="0.25">
      <c r="A18061" s="4" t="str">
        <f>HYPERLINK("http://www.rosaceae.org/Prunus/Prunus_persica/p.persica_gdr_reftransV1_0036399","p.persica_gdr_reftransV1_0036399")</f>
        <v>p.persica_gdr_reftransV1_0036399</v>
      </c>
      <c r="B18061" s="2">
        <v>3006</v>
      </c>
      <c r="C18061" s="4" t="str">
        <f>HYPERLINK("http://www.uniprot.org/uniprot/M5W9G7","M5W9G7")</f>
        <v>M5W9G7</v>
      </c>
      <c r="D18061" s="2" t="s">
        <v>12020</v>
      </c>
      <c r="E18061" s="3">
        <v>2.3600000000000002E-159</v>
      </c>
      <c r="F18061" s="2">
        <v>1255</v>
      </c>
      <c r="G18061" s="2">
        <v>98</v>
      </c>
      <c r="H18061" s="2">
        <v>263</v>
      </c>
      <c r="I18061" s="2">
        <v>254</v>
      </c>
      <c r="J18061" s="2">
        <v>1042</v>
      </c>
      <c r="K18061" s="2">
        <v>151</v>
      </c>
      <c r="L18061" s="2">
        <v>413</v>
      </c>
    </row>
    <row r="18062" spans="1:12" x14ac:dyDescent="0.25">
      <c r="A18062" s="4" t="str">
        <f>HYPERLINK("http://www.rosaceae.org/Prunus/Prunus_persica/p.persica_gdr_reftransV1_0037099","p.persica_gdr_reftransV1_0037099")</f>
        <v>p.persica_gdr_reftransV1_0037099</v>
      </c>
      <c r="B18062" s="2">
        <v>1933</v>
      </c>
      <c r="C18062" s="4" t="str">
        <f>HYPERLINK("http://www.uniprot.org/uniprot/A0A0D2T4N4","A0A0D2T4N4")</f>
        <v>A0A0D2T4N4</v>
      </c>
      <c r="D18062" s="2" t="s">
        <v>14046</v>
      </c>
      <c r="E18062" s="3">
        <v>5.5299999999999997E-163</v>
      </c>
      <c r="F18062" s="2">
        <v>1250</v>
      </c>
      <c r="G18062" s="2">
        <v>61</v>
      </c>
      <c r="H18062" s="2">
        <v>414</v>
      </c>
      <c r="I18062" s="2">
        <v>238</v>
      </c>
      <c r="J18062" s="2">
        <v>1479</v>
      </c>
      <c r="K18062" s="2">
        <v>57</v>
      </c>
      <c r="L18062" s="2">
        <v>418</v>
      </c>
    </row>
    <row r="18063" spans="1:12" x14ac:dyDescent="0.25">
      <c r="A18063" s="4" t="str">
        <f>HYPERLINK("http://www.rosaceae.org/Prunus/Prunus_persica/p.persica_gdr_reftransV1_0037449","p.persica_gdr_reftransV1_0037449")</f>
        <v>p.persica_gdr_reftransV1_0037449</v>
      </c>
      <c r="B18063" s="2">
        <v>1615</v>
      </c>
      <c r="C18063" s="4" t="str">
        <f>HYPERLINK("http://www.uniprot.org/uniprot/M5XQH0","M5XQH0")</f>
        <v>M5XQH0</v>
      </c>
      <c r="D18063" s="2" t="s">
        <v>14047</v>
      </c>
      <c r="E18063" s="3">
        <v>0</v>
      </c>
      <c r="F18063" s="2">
        <v>2015</v>
      </c>
      <c r="G18063" s="2">
        <v>97</v>
      </c>
      <c r="H18063" s="2">
        <v>434</v>
      </c>
      <c r="I18063" s="2">
        <v>268</v>
      </c>
      <c r="J18063" s="2">
        <v>1569</v>
      </c>
      <c r="K18063" s="2">
        <v>1</v>
      </c>
      <c r="L18063" s="2">
        <v>420</v>
      </c>
    </row>
    <row r="18064" spans="1:12" x14ac:dyDescent="0.25">
      <c r="A18064" s="4" t="str">
        <f>HYPERLINK("http://www.rosaceae.org/Prunus/Prunus_persica/p.persica_gdr_reftransV1_0039549","p.persica_gdr_reftransV1_0039549")</f>
        <v>p.persica_gdr_reftransV1_0039549</v>
      </c>
      <c r="B18064" s="2">
        <v>560</v>
      </c>
      <c r="C18064" s="4" t="str">
        <f>HYPERLINK("http://www.uniprot.org/uniprot/M5WFL8","M5WFL8")</f>
        <v>M5WFL8</v>
      </c>
      <c r="D18064" s="2" t="s">
        <v>4587</v>
      </c>
      <c r="E18064" s="3">
        <v>1.31E-85</v>
      </c>
      <c r="F18064" s="2">
        <v>724</v>
      </c>
      <c r="G18064" s="2">
        <v>100</v>
      </c>
      <c r="H18064" s="2">
        <v>145</v>
      </c>
      <c r="I18064" s="2">
        <v>2</v>
      </c>
      <c r="J18064" s="2">
        <v>436</v>
      </c>
      <c r="K18064" s="2">
        <v>912</v>
      </c>
      <c r="L18064" s="2">
        <v>1056</v>
      </c>
    </row>
    <row r="18065" spans="1:12" x14ac:dyDescent="0.25">
      <c r="A18065" s="4" t="str">
        <f>HYPERLINK("http://www.rosaceae.org/Prunus/Prunus_persica/p.persica_gdr_reftransV1_0040949","p.persica_gdr_reftransV1_0040949")</f>
        <v>p.persica_gdr_reftransV1_0040949</v>
      </c>
      <c r="B18065" s="2">
        <v>2382</v>
      </c>
      <c r="C18065" s="4" t="str">
        <f>HYPERLINK("http://www.uniprot.org/uniprot/M5Y4X2","M5Y4X2")</f>
        <v>M5Y4X2</v>
      </c>
      <c r="D18065" s="2" t="s">
        <v>12433</v>
      </c>
      <c r="E18065" s="3">
        <v>0</v>
      </c>
      <c r="F18065" s="2">
        <v>2774</v>
      </c>
      <c r="G18065" s="2">
        <v>98</v>
      </c>
      <c r="H18065" s="2">
        <v>565</v>
      </c>
      <c r="I18065" s="2">
        <v>382</v>
      </c>
      <c r="J18065" s="2">
        <v>2076</v>
      </c>
      <c r="K18065" s="2">
        <v>1</v>
      </c>
      <c r="L18065" s="2">
        <v>565</v>
      </c>
    </row>
    <row r="18066" spans="1:12" x14ac:dyDescent="0.25">
      <c r="A18066" s="4" t="str">
        <f>HYPERLINK("http://www.rosaceae.org/Prunus/Prunus_persica/p.persica_gdr_reftransV1_0041299","p.persica_gdr_reftransV1_0041299")</f>
        <v>p.persica_gdr_reftransV1_0041299</v>
      </c>
      <c r="B18066" s="2">
        <v>2787</v>
      </c>
      <c r="C18066" s="4" t="str">
        <f>HYPERLINK("http://www.uniprot.org/uniprot/M5XXT2","M5XXT2")</f>
        <v>M5XXT2</v>
      </c>
      <c r="D18066" s="2" t="s">
        <v>14048</v>
      </c>
      <c r="E18066" s="3">
        <v>3.1299999999999999E-152</v>
      </c>
      <c r="F18066" s="2">
        <v>1179</v>
      </c>
      <c r="G18066" s="2">
        <v>88</v>
      </c>
      <c r="H18066" s="2">
        <v>261</v>
      </c>
      <c r="I18066" s="2">
        <v>184</v>
      </c>
      <c r="J18066" s="2">
        <v>966</v>
      </c>
      <c r="K18066" s="2">
        <v>91</v>
      </c>
      <c r="L18066" s="2">
        <v>319</v>
      </c>
    </row>
    <row r="18067" spans="1:12" x14ac:dyDescent="0.25">
      <c r="A18067" s="4" t="str">
        <f>HYPERLINK("http://www.rosaceae.org/Prunus/Prunus_persica/p.persica_gdr_reftransV1_0042349","p.persica_gdr_reftransV1_0042349")</f>
        <v>p.persica_gdr_reftransV1_0042349</v>
      </c>
      <c r="B18067" s="2">
        <v>903</v>
      </c>
      <c r="C18067" s="4" t="str">
        <f>HYPERLINK("http://www.uniprot.org/uniprot/M5WPZ1","M5WPZ1")</f>
        <v>M5WPZ1</v>
      </c>
      <c r="D18067" s="2" t="s">
        <v>3735</v>
      </c>
      <c r="E18067" s="3">
        <v>0</v>
      </c>
      <c r="F18067" s="2">
        <v>1618</v>
      </c>
      <c r="G18067" s="2">
        <v>100</v>
      </c>
      <c r="H18067" s="2">
        <v>297</v>
      </c>
      <c r="I18067" s="2">
        <v>12</v>
      </c>
      <c r="J18067" s="2">
        <v>902</v>
      </c>
      <c r="K18067" s="2">
        <v>277</v>
      </c>
      <c r="L18067" s="2">
        <v>573</v>
      </c>
    </row>
    <row r="18068" spans="1:12" x14ac:dyDescent="0.25">
      <c r="A18068" s="4" t="str">
        <f>HYPERLINK("http://www.rosaceae.org/Prunus/Prunus_persica/p.persica_gdr_reftransV1_0043049","p.persica_gdr_reftransV1_0043049")</f>
        <v>p.persica_gdr_reftransV1_0043049</v>
      </c>
      <c r="B18068" s="2">
        <v>1329</v>
      </c>
      <c r="C18068" s="4" t="str">
        <f>HYPERLINK("http://www.uniprot.org/uniprot/M5W576","M5W576")</f>
        <v>M5W576</v>
      </c>
      <c r="D18068" s="2" t="s">
        <v>14049</v>
      </c>
      <c r="E18068" s="3">
        <v>0</v>
      </c>
      <c r="F18068" s="2">
        <v>1347</v>
      </c>
      <c r="G18068" s="2">
        <v>100</v>
      </c>
      <c r="H18068" s="2">
        <v>279</v>
      </c>
      <c r="I18068" s="2">
        <v>327</v>
      </c>
      <c r="J18068" s="2">
        <v>1163</v>
      </c>
      <c r="K18068" s="2">
        <v>1</v>
      </c>
      <c r="L18068" s="2">
        <v>279</v>
      </c>
    </row>
    <row r="18069" spans="1:12" x14ac:dyDescent="0.25">
      <c r="A18069" s="4" t="str">
        <f>HYPERLINK("http://www.rosaceae.org/Prunus/Prunus_persica/p.persica_gdr_reftransV1_0043399","p.persica_gdr_reftransV1_0043399")</f>
        <v>p.persica_gdr_reftransV1_0043399</v>
      </c>
      <c r="B18069" s="2">
        <v>895</v>
      </c>
      <c r="C18069" s="4" t="str">
        <f>HYPERLINK("http://www.uniprot.org/uniprot/M5VU69","M5VU69")</f>
        <v>M5VU69</v>
      </c>
      <c r="D18069" s="2" t="s">
        <v>14050</v>
      </c>
      <c r="E18069" s="3">
        <v>2.47E-92</v>
      </c>
      <c r="F18069" s="2">
        <v>724</v>
      </c>
      <c r="G18069" s="2">
        <v>100</v>
      </c>
      <c r="H18069" s="2">
        <v>168</v>
      </c>
      <c r="I18069" s="2">
        <v>56</v>
      </c>
      <c r="J18069" s="2">
        <v>559</v>
      </c>
      <c r="K18069" s="2">
        <v>1</v>
      </c>
      <c r="L18069" s="2">
        <v>168</v>
      </c>
    </row>
    <row r="18070" spans="1:12" x14ac:dyDescent="0.25">
      <c r="A18070" s="4" t="str">
        <f>HYPERLINK("http://www.rosaceae.org/Prunus/Prunus_persica/p.persica_gdr_reftransV1_0044099","p.persica_gdr_reftransV1_0044099")</f>
        <v>p.persica_gdr_reftransV1_0044099</v>
      </c>
      <c r="B18070" s="2">
        <v>3419</v>
      </c>
      <c r="C18070" s="4" t="str">
        <f>HYPERLINK("http://www.uniprot.org/uniprot/M5X3M3","M5X3M3")</f>
        <v>M5X3M3</v>
      </c>
      <c r="D18070" s="2" t="s">
        <v>11719</v>
      </c>
      <c r="E18070" s="3">
        <v>0</v>
      </c>
      <c r="F18070" s="2">
        <v>3003</v>
      </c>
      <c r="G18070" s="2">
        <v>93</v>
      </c>
      <c r="H18070" s="2">
        <v>629</v>
      </c>
      <c r="I18070" s="2">
        <v>193</v>
      </c>
      <c r="J18070" s="2">
        <v>2079</v>
      </c>
      <c r="K18070" s="2">
        <v>251</v>
      </c>
      <c r="L18070" s="2">
        <v>875</v>
      </c>
    </row>
    <row r="18071" spans="1:12" x14ac:dyDescent="0.25">
      <c r="A18071" s="4" t="str">
        <f>HYPERLINK("http://www.rosaceae.org/Prunus/Prunus_persica/p.persica_gdr_reftransV1_0044449","p.persica_gdr_reftransV1_0044449")</f>
        <v>p.persica_gdr_reftransV1_0044449</v>
      </c>
      <c r="B18071" s="2">
        <v>1574</v>
      </c>
      <c r="C18071" s="4" t="str">
        <f>HYPERLINK("http://www.uniprot.org/uniprot/M5XXJ8","M5XXJ8")</f>
        <v>M5XXJ8</v>
      </c>
      <c r="D18071" s="2" t="s">
        <v>12952</v>
      </c>
      <c r="E18071" s="3">
        <v>1.6599999999999999E-151</v>
      </c>
      <c r="F18071" s="2">
        <v>1161</v>
      </c>
      <c r="G18071" s="2">
        <v>62</v>
      </c>
      <c r="H18071" s="2">
        <v>412</v>
      </c>
      <c r="I18071" s="2">
        <v>398</v>
      </c>
      <c r="J18071" s="2">
        <v>1477</v>
      </c>
      <c r="K18071" s="2">
        <v>1</v>
      </c>
      <c r="L18071" s="2">
        <v>394</v>
      </c>
    </row>
    <row r="18072" spans="1:12" x14ac:dyDescent="0.25">
      <c r="A18072" s="4" t="str">
        <f>HYPERLINK("http://www.rosaceae.org/Prunus/Prunus_persica/p.persica_gdr_reftransV1_0044799","p.persica_gdr_reftransV1_0044799")</f>
        <v>p.persica_gdr_reftransV1_0044799</v>
      </c>
      <c r="B18072" s="2">
        <v>1751</v>
      </c>
      <c r="C18072" s="4" t="str">
        <f>HYPERLINK("http://www.uniprot.org/uniprot/M5XQ50","M5XQ50")</f>
        <v>M5XQ50</v>
      </c>
      <c r="D18072" s="2" t="s">
        <v>5348</v>
      </c>
      <c r="E18072" s="3">
        <v>0</v>
      </c>
      <c r="F18072" s="2">
        <v>1502</v>
      </c>
      <c r="G18072" s="2">
        <v>100</v>
      </c>
      <c r="H18072" s="2">
        <v>303</v>
      </c>
      <c r="I18072" s="2">
        <v>37</v>
      </c>
      <c r="J18072" s="2">
        <v>945</v>
      </c>
      <c r="K18072" s="2">
        <v>267</v>
      </c>
      <c r="L18072" s="2">
        <v>569</v>
      </c>
    </row>
    <row r="18073" spans="1:12" x14ac:dyDescent="0.25">
      <c r="A18073" s="4" t="str">
        <f>HYPERLINK("http://www.rosaceae.org/Prunus/Prunus_persica/p.persica_gdr_reftransV1_0045149","p.persica_gdr_reftransV1_0045149")</f>
        <v>p.persica_gdr_reftransV1_0045149</v>
      </c>
      <c r="B18073" s="2">
        <v>537</v>
      </c>
      <c r="C18073" s="4" t="str">
        <f>HYPERLINK("http://www.uniprot.org/uniprot/M5WBG8","M5WBG8")</f>
        <v>M5WBG8</v>
      </c>
      <c r="D18073" s="2" t="s">
        <v>14051</v>
      </c>
      <c r="E18073" s="3">
        <v>1.41E-99</v>
      </c>
      <c r="F18073" s="2">
        <v>776</v>
      </c>
      <c r="G18073" s="2">
        <v>100</v>
      </c>
      <c r="H18073" s="2">
        <v>144</v>
      </c>
      <c r="I18073" s="2">
        <v>104</v>
      </c>
      <c r="J18073" s="2">
        <v>535</v>
      </c>
      <c r="K18073" s="2">
        <v>1</v>
      </c>
      <c r="L18073" s="2">
        <v>144</v>
      </c>
    </row>
    <row r="18074" spans="1:12" x14ac:dyDescent="0.25">
      <c r="A18074" s="4" t="str">
        <f>HYPERLINK("http://www.rosaceae.org/Prunus/Prunus_persica/p.persica_gdr_reftransV1_0045849","p.persica_gdr_reftransV1_0045849")</f>
        <v>p.persica_gdr_reftransV1_0045849</v>
      </c>
      <c r="B18074" s="2">
        <v>864</v>
      </c>
      <c r="C18074" s="4" t="str">
        <f>HYPERLINK("http://www.uniprot.org/uniprot/M5VRF9","M5VRF9")</f>
        <v>M5VRF9</v>
      </c>
      <c r="D18074" s="2" t="s">
        <v>14052</v>
      </c>
      <c r="E18074" s="3">
        <v>1.04E-89</v>
      </c>
      <c r="F18074" s="2">
        <v>704</v>
      </c>
      <c r="G18074" s="2">
        <v>99</v>
      </c>
      <c r="H18074" s="2">
        <v>159</v>
      </c>
      <c r="I18074" s="2">
        <v>287</v>
      </c>
      <c r="J18074" s="2">
        <v>763</v>
      </c>
      <c r="K18074" s="2">
        <v>1</v>
      </c>
      <c r="L18074" s="2">
        <v>159</v>
      </c>
    </row>
    <row r="18075" spans="1:12" x14ac:dyDescent="0.25">
      <c r="A18075" s="4" t="str">
        <f>HYPERLINK("http://www.rosaceae.org/Prunus/Prunus_persica/p.persica_gdr_reftransV1_0046199","p.persica_gdr_reftransV1_0046199")</f>
        <v>p.persica_gdr_reftransV1_0046199</v>
      </c>
      <c r="B18075" s="2">
        <v>417</v>
      </c>
      <c r="C18075" s="4" t="str">
        <f>HYPERLINK("http://www.uniprot.org/uniprot/M5WXC5","M5WXC5")</f>
        <v>M5WXC5</v>
      </c>
      <c r="D18075" s="2" t="s">
        <v>461</v>
      </c>
      <c r="E18075" s="3">
        <v>6.4300000000000002E-68</v>
      </c>
      <c r="F18075" s="2">
        <v>560</v>
      </c>
      <c r="G18075" s="2">
        <v>87</v>
      </c>
      <c r="H18075" s="2">
        <v>127</v>
      </c>
      <c r="I18075" s="2">
        <v>39</v>
      </c>
      <c r="J18075" s="2">
        <v>407</v>
      </c>
      <c r="K18075" s="2">
        <v>9</v>
      </c>
      <c r="L18075" s="2">
        <v>135</v>
      </c>
    </row>
    <row r="18076" spans="1:12" x14ac:dyDescent="0.25">
      <c r="A18076" s="4" t="str">
        <f>HYPERLINK("http://www.rosaceae.org/Prunus/Prunus_persica/p.persica_gdr_reftransV1_0046549","p.persica_gdr_reftransV1_0046549")</f>
        <v>p.persica_gdr_reftransV1_0046549</v>
      </c>
      <c r="B18076" s="2">
        <v>392</v>
      </c>
      <c r="C18076" s="4" t="str">
        <f>HYPERLINK("http://www.uniprot.org/uniprot/M5X679","M5X679")</f>
        <v>M5X679</v>
      </c>
      <c r="D18076" s="2" t="s">
        <v>14053</v>
      </c>
      <c r="E18076" s="3">
        <v>1.25E-88</v>
      </c>
      <c r="F18076" s="2">
        <v>705</v>
      </c>
      <c r="G18076" s="2">
        <v>100</v>
      </c>
      <c r="H18076" s="2">
        <v>130</v>
      </c>
      <c r="I18076" s="2">
        <v>1</v>
      </c>
      <c r="J18076" s="2">
        <v>390</v>
      </c>
      <c r="K18076" s="2">
        <v>283</v>
      </c>
      <c r="L18076" s="2">
        <v>412</v>
      </c>
    </row>
    <row r="18077" spans="1:12" x14ac:dyDescent="0.25">
      <c r="A18077" s="4" t="str">
        <f>HYPERLINK("http://www.rosaceae.org/Prunus/Prunus_persica/p.persica_gdr_reftransV1_0046899","p.persica_gdr_reftransV1_0046899")</f>
        <v>p.persica_gdr_reftransV1_0046899</v>
      </c>
      <c r="B18077" s="2">
        <v>2246</v>
      </c>
      <c r="C18077" s="4" t="str">
        <f>HYPERLINK("http://www.uniprot.org/uniprot/M5X3W7","M5X3W7")</f>
        <v>M5X3W7</v>
      </c>
      <c r="D18077" s="2" t="s">
        <v>1235</v>
      </c>
      <c r="E18077" s="3">
        <v>0</v>
      </c>
      <c r="F18077" s="2">
        <v>2998</v>
      </c>
      <c r="G18077" s="2">
        <v>97</v>
      </c>
      <c r="H18077" s="2">
        <v>598</v>
      </c>
      <c r="I18077" s="2">
        <v>393</v>
      </c>
      <c r="J18077" s="2">
        <v>2186</v>
      </c>
      <c r="K18077" s="2">
        <v>1</v>
      </c>
      <c r="L18077" s="2">
        <v>589</v>
      </c>
    </row>
    <row r="18078" spans="1:12" x14ac:dyDescent="0.25">
      <c r="A18078" s="4" t="str">
        <f>HYPERLINK("http://www.rosaceae.org/Prunus/Prunus_persica/p.persica_gdr_reftransV1_0047249","p.persica_gdr_reftransV1_0047249")</f>
        <v>p.persica_gdr_reftransV1_0047249</v>
      </c>
      <c r="B18078" s="2">
        <v>1821</v>
      </c>
      <c r="C18078" s="4" t="str">
        <f>HYPERLINK("http://www.uniprot.org/uniprot/M5WCW9","M5WCW9")</f>
        <v>M5WCW9</v>
      </c>
      <c r="D18078" s="2" t="s">
        <v>14024</v>
      </c>
      <c r="E18078" s="3">
        <v>0</v>
      </c>
      <c r="F18078" s="2">
        <v>2348</v>
      </c>
      <c r="G18078" s="2">
        <v>92</v>
      </c>
      <c r="H18078" s="2">
        <v>528</v>
      </c>
      <c r="I18078" s="2">
        <v>157</v>
      </c>
      <c r="J18078" s="2">
        <v>1740</v>
      </c>
      <c r="K18078" s="2">
        <v>1</v>
      </c>
      <c r="L18078" s="2">
        <v>493</v>
      </c>
    </row>
    <row r="18079" spans="1:12" x14ac:dyDescent="0.25">
      <c r="A18079" s="4" t="str">
        <f>HYPERLINK("http://www.rosaceae.org/Prunus/Prunus_persica/p.persica_gdr_reftransV1_0047949","p.persica_gdr_reftransV1_0047949")</f>
        <v>p.persica_gdr_reftransV1_0047949</v>
      </c>
      <c r="B18079" s="2">
        <v>1432</v>
      </c>
      <c r="C18079" s="4" t="str">
        <f>HYPERLINK("http://www.uniprot.org/uniprot/M5X6D3","M5X6D3")</f>
        <v>M5X6D3</v>
      </c>
      <c r="D18079" s="2" t="s">
        <v>14054</v>
      </c>
      <c r="E18079" s="3">
        <v>0</v>
      </c>
      <c r="F18079" s="2">
        <v>1665</v>
      </c>
      <c r="G18079" s="2">
        <v>100</v>
      </c>
      <c r="H18079" s="2">
        <v>310</v>
      </c>
      <c r="I18079" s="2">
        <v>3</v>
      </c>
      <c r="J18079" s="2">
        <v>932</v>
      </c>
      <c r="K18079" s="2">
        <v>807</v>
      </c>
      <c r="L18079" s="2">
        <v>1116</v>
      </c>
    </row>
    <row r="18080" spans="1:12" x14ac:dyDescent="0.25">
      <c r="A18080" s="4" t="str">
        <f>HYPERLINK("http://www.rosaceae.org/Prunus/Prunus_persica/p.persica_gdr_reftransV1_0048299","p.persica_gdr_reftransV1_0048299")</f>
        <v>p.persica_gdr_reftransV1_0048299</v>
      </c>
      <c r="B18080" s="2">
        <v>1754</v>
      </c>
      <c r="C18080" s="4" t="str">
        <f>HYPERLINK("http://www.uniprot.org/uniprot/M5WXM6","M5WXM6")</f>
        <v>M5WXM6</v>
      </c>
      <c r="D18080" s="2" t="s">
        <v>14055</v>
      </c>
      <c r="E18080" s="3">
        <v>0</v>
      </c>
      <c r="F18080" s="2">
        <v>2600</v>
      </c>
      <c r="G18080" s="2">
        <v>100</v>
      </c>
      <c r="H18080" s="2">
        <v>530</v>
      </c>
      <c r="I18080" s="2">
        <v>109</v>
      </c>
      <c r="J18080" s="2">
        <v>1698</v>
      </c>
      <c r="K18080" s="2">
        <v>1</v>
      </c>
      <c r="L18080" s="2">
        <v>530</v>
      </c>
    </row>
    <row r="18081" spans="1:12" x14ac:dyDescent="0.25">
      <c r="A18081" s="4" t="str">
        <f>HYPERLINK("http://www.rosaceae.org/Prunus/Prunus_persica/p.persica_gdr_reftransV1_0048649","p.persica_gdr_reftransV1_0048649")</f>
        <v>p.persica_gdr_reftransV1_0048649</v>
      </c>
      <c r="B18081" s="2">
        <v>866</v>
      </c>
      <c r="C18081" s="4" t="str">
        <f>HYPERLINK("http://www.uniprot.org/uniprot/M5WPK5","M5WPK5")</f>
        <v>M5WPK5</v>
      </c>
      <c r="D18081" s="2" t="s">
        <v>14056</v>
      </c>
      <c r="E18081" s="3">
        <v>9.9999999999999999E-132</v>
      </c>
      <c r="F18081" s="2">
        <v>989</v>
      </c>
      <c r="G18081" s="2">
        <v>97</v>
      </c>
      <c r="H18081" s="2">
        <v>189</v>
      </c>
      <c r="I18081" s="2">
        <v>94</v>
      </c>
      <c r="J18081" s="2">
        <v>660</v>
      </c>
      <c r="K18081" s="2">
        <v>52</v>
      </c>
      <c r="L18081" s="2">
        <v>240</v>
      </c>
    </row>
    <row r="18082" spans="1:12" x14ac:dyDescent="0.25">
      <c r="A18082" s="4" t="str">
        <f>HYPERLINK("http://www.rosaceae.org/Prunus/Prunus_persica/p.persica_gdr_reftransV1_0048999","p.persica_gdr_reftransV1_0048999")</f>
        <v>p.persica_gdr_reftransV1_0048999</v>
      </c>
      <c r="B18082" s="2">
        <v>1263</v>
      </c>
      <c r="C18082" s="4" t="str">
        <f>HYPERLINK("http://www.uniprot.org/uniprot/M5X4F8","M5X4F8")</f>
        <v>M5X4F8</v>
      </c>
      <c r="D18082" s="2" t="s">
        <v>14057</v>
      </c>
      <c r="E18082" s="3">
        <v>0</v>
      </c>
      <c r="F18082" s="2">
        <v>2162</v>
      </c>
      <c r="G18082" s="2">
        <v>100</v>
      </c>
      <c r="H18082" s="2">
        <v>420</v>
      </c>
      <c r="I18082" s="2">
        <v>3</v>
      </c>
      <c r="J18082" s="2">
        <v>1262</v>
      </c>
      <c r="K18082" s="2">
        <v>2</v>
      </c>
      <c r="L18082" s="2">
        <v>421</v>
      </c>
    </row>
    <row r="18083" spans="1:12" x14ac:dyDescent="0.25">
      <c r="A18083" s="4" t="str">
        <f>HYPERLINK("http://www.rosaceae.org/Prunus/Prunus_persica/p.persica_gdr_reftransV1_0000350","p.persica_gdr_reftransV1_0000350")</f>
        <v>p.persica_gdr_reftransV1_0000350</v>
      </c>
      <c r="B18083" s="2">
        <v>546</v>
      </c>
      <c r="C18083" s="4" t="str">
        <f>HYPERLINK("http://www.uniprot.org/uniprot/M5XAI3","M5XAI3")</f>
        <v>M5XAI3</v>
      </c>
      <c r="D18083" s="2" t="s">
        <v>368</v>
      </c>
      <c r="E18083" s="3">
        <v>1.7199999999999999E-87</v>
      </c>
      <c r="F18083" s="2">
        <v>697</v>
      </c>
      <c r="G18083" s="2">
        <v>100</v>
      </c>
      <c r="H18083" s="2">
        <v>124</v>
      </c>
      <c r="I18083" s="2">
        <v>174</v>
      </c>
      <c r="J18083" s="2">
        <v>545</v>
      </c>
      <c r="K18083" s="2">
        <v>1</v>
      </c>
      <c r="L18083" s="2">
        <v>124</v>
      </c>
    </row>
    <row r="18084" spans="1:12" x14ac:dyDescent="0.25">
      <c r="A18084" s="4" t="str">
        <f>HYPERLINK("http://www.rosaceae.org/Prunus/Prunus_persica/p.persica_gdr_reftransV1_0000700","p.persica_gdr_reftransV1_0000700")</f>
        <v>p.persica_gdr_reftransV1_0000700</v>
      </c>
      <c r="B18084" s="2">
        <v>1647</v>
      </c>
      <c r="C18084" s="4" t="str">
        <f>HYPERLINK("http://www.uniprot.org/uniprot/M5VP75","M5VP75")</f>
        <v>M5VP75</v>
      </c>
      <c r="D18084" s="2" t="s">
        <v>1694</v>
      </c>
      <c r="E18084" s="3">
        <v>0</v>
      </c>
      <c r="F18084" s="2">
        <v>1603</v>
      </c>
      <c r="G18084" s="2">
        <v>100</v>
      </c>
      <c r="H18084" s="2">
        <v>300</v>
      </c>
      <c r="I18084" s="2">
        <v>74</v>
      </c>
      <c r="J18084" s="2">
        <v>973</v>
      </c>
      <c r="K18084" s="2">
        <v>1</v>
      </c>
      <c r="L18084" s="2">
        <v>300</v>
      </c>
    </row>
    <row r="18085" spans="1:12" x14ac:dyDescent="0.25">
      <c r="A18085" s="4" t="str">
        <f>HYPERLINK("http://www.rosaceae.org/Prunus/Prunus_persica/p.persica_gdr_reftransV1_0001050","p.persica_gdr_reftransV1_0001050")</f>
        <v>p.persica_gdr_reftransV1_0001050</v>
      </c>
      <c r="B18085" s="2">
        <v>916</v>
      </c>
      <c r="C18085" s="4" t="str">
        <f>HYPERLINK("http://www.uniprot.org/uniprot/M5Y153","M5Y153")</f>
        <v>M5Y153</v>
      </c>
      <c r="D18085" s="2" t="s">
        <v>7318</v>
      </c>
      <c r="E18085" s="3">
        <v>1.2000000000000001E-153</v>
      </c>
      <c r="F18085" s="2">
        <v>1185</v>
      </c>
      <c r="G18085" s="2">
        <v>91</v>
      </c>
      <c r="H18085" s="2">
        <v>274</v>
      </c>
      <c r="I18085" s="2">
        <v>3</v>
      </c>
      <c r="J18085" s="2">
        <v>824</v>
      </c>
      <c r="K18085" s="2">
        <v>519</v>
      </c>
      <c r="L18085" s="2">
        <v>769</v>
      </c>
    </row>
    <row r="18086" spans="1:12" x14ac:dyDescent="0.25">
      <c r="A18086" s="4" t="str">
        <f>HYPERLINK("http://www.rosaceae.org/Prunus/Prunus_persica/p.persica_gdr_reftransV1_0001400","p.persica_gdr_reftransV1_0001400")</f>
        <v>p.persica_gdr_reftransV1_0001400</v>
      </c>
      <c r="B18086" s="2">
        <v>1123</v>
      </c>
      <c r="C18086" s="4" t="str">
        <f>HYPERLINK("http://www.uniprot.org/uniprot/M5X229","M5X229")</f>
        <v>M5X229</v>
      </c>
      <c r="D18086" s="2" t="s">
        <v>14058</v>
      </c>
      <c r="E18086" s="3">
        <v>1.28E-158</v>
      </c>
      <c r="F18086" s="2">
        <v>1185</v>
      </c>
      <c r="G18086" s="2">
        <v>100</v>
      </c>
      <c r="H18086" s="2">
        <v>326</v>
      </c>
      <c r="I18086" s="2">
        <v>87</v>
      </c>
      <c r="J18086" s="2">
        <v>1064</v>
      </c>
      <c r="K18086" s="2">
        <v>1</v>
      </c>
      <c r="L18086" s="2">
        <v>326</v>
      </c>
    </row>
    <row r="18087" spans="1:12" x14ac:dyDescent="0.25">
      <c r="A18087" s="4" t="str">
        <f>HYPERLINK("http://www.rosaceae.org/Prunus/Prunus_persica/p.persica_gdr_reftransV1_0001750","p.persica_gdr_reftransV1_0001750")</f>
        <v>p.persica_gdr_reftransV1_0001750</v>
      </c>
      <c r="B18087" s="2">
        <v>3600</v>
      </c>
      <c r="C18087" s="4" t="str">
        <f>HYPERLINK("http://www.uniprot.org/uniprot/M5VWK0","M5VWK0")</f>
        <v>M5VWK0</v>
      </c>
      <c r="D18087" s="2" t="s">
        <v>6243</v>
      </c>
      <c r="E18087" s="3">
        <v>0</v>
      </c>
      <c r="F18087" s="2">
        <v>4378</v>
      </c>
      <c r="G18087" s="2">
        <v>98</v>
      </c>
      <c r="H18087" s="2">
        <v>1008</v>
      </c>
      <c r="I18087" s="2">
        <v>575</v>
      </c>
      <c r="J18087" s="2">
        <v>3598</v>
      </c>
      <c r="K18087" s="2">
        <v>160</v>
      </c>
      <c r="L18087" s="2">
        <v>1157</v>
      </c>
    </row>
    <row r="18088" spans="1:12" x14ac:dyDescent="0.25">
      <c r="A18088" s="4" t="str">
        <f>HYPERLINK("http://www.rosaceae.org/Prunus/Prunus_persica/p.persica_gdr_reftransV1_0002100","p.persica_gdr_reftransV1_0002100")</f>
        <v>p.persica_gdr_reftransV1_0002100</v>
      </c>
      <c r="B18088" s="2">
        <v>347</v>
      </c>
      <c r="C18088" s="4" t="str">
        <f>HYPERLINK("http://www.uniprot.org/uniprot/M5VZY3","M5VZY3")</f>
        <v>M5VZY3</v>
      </c>
      <c r="D18088" s="2" t="s">
        <v>13213</v>
      </c>
      <c r="E18088" s="3">
        <v>1.3800000000000001E-72</v>
      </c>
      <c r="F18088" s="2">
        <v>616</v>
      </c>
      <c r="G18088" s="2">
        <v>100</v>
      </c>
      <c r="H18088" s="2">
        <v>115</v>
      </c>
      <c r="I18088" s="2">
        <v>3</v>
      </c>
      <c r="J18088" s="2">
        <v>347</v>
      </c>
      <c r="K18088" s="2">
        <v>497</v>
      </c>
      <c r="L18088" s="2">
        <v>611</v>
      </c>
    </row>
    <row r="18089" spans="1:12" x14ac:dyDescent="0.25">
      <c r="A18089" s="4" t="str">
        <f>HYPERLINK("http://www.rosaceae.org/Prunus/Prunus_persica/p.persica_gdr_reftransV1_0002800","p.persica_gdr_reftransV1_0002800")</f>
        <v>p.persica_gdr_reftransV1_0002800</v>
      </c>
      <c r="B18089" s="2">
        <v>383</v>
      </c>
      <c r="C18089" s="4" t="str">
        <f>HYPERLINK("http://www.uniprot.org/uniprot/M5WL42","M5WL42")</f>
        <v>M5WL42</v>
      </c>
      <c r="D18089" s="2" t="s">
        <v>3451</v>
      </c>
      <c r="E18089" s="3">
        <v>3.0400000000000001E-34</v>
      </c>
      <c r="F18089" s="2">
        <v>343</v>
      </c>
      <c r="G18089" s="2">
        <v>61</v>
      </c>
      <c r="H18089" s="2">
        <v>131</v>
      </c>
      <c r="I18089" s="2">
        <v>7</v>
      </c>
      <c r="J18089" s="2">
        <v>378</v>
      </c>
      <c r="K18089" s="2">
        <v>809</v>
      </c>
      <c r="L18089" s="2">
        <v>939</v>
      </c>
    </row>
    <row r="18090" spans="1:12" x14ac:dyDescent="0.25">
      <c r="A18090" s="4" t="str">
        <f>HYPERLINK("http://www.rosaceae.org/Prunus/Prunus_persica/p.persica_gdr_reftransV1_0003150","p.persica_gdr_reftransV1_0003150")</f>
        <v>p.persica_gdr_reftransV1_0003150</v>
      </c>
      <c r="B18090" s="2">
        <v>1884</v>
      </c>
      <c r="C18090" s="4" t="str">
        <f>HYPERLINK("http://www.uniprot.org/uniprot/M5WN84","M5WN84")</f>
        <v>M5WN84</v>
      </c>
      <c r="D18090" s="2" t="s">
        <v>14059</v>
      </c>
      <c r="E18090" s="3">
        <v>1.1400000000000001E-94</v>
      </c>
      <c r="F18090" s="2">
        <v>774</v>
      </c>
      <c r="G18090" s="2">
        <v>100</v>
      </c>
      <c r="H18090" s="2">
        <v>184</v>
      </c>
      <c r="I18090" s="2">
        <v>1011</v>
      </c>
      <c r="J18090" s="2">
        <v>1562</v>
      </c>
      <c r="K18090" s="2">
        <v>34</v>
      </c>
      <c r="L18090" s="2">
        <v>217</v>
      </c>
    </row>
    <row r="18091" spans="1:12" x14ac:dyDescent="0.25">
      <c r="A18091" s="4" t="str">
        <f>HYPERLINK("http://www.rosaceae.org/Prunus/Prunus_persica/p.persica_gdr_reftransV1_0003500","p.persica_gdr_reftransV1_0003500")</f>
        <v>p.persica_gdr_reftransV1_0003500</v>
      </c>
      <c r="B18091" s="2">
        <v>358</v>
      </c>
      <c r="C18091" s="4" t="str">
        <f>HYPERLINK("http://www.uniprot.org/uniprot/M5XNG3","M5XNG3")</f>
        <v>M5XNG3</v>
      </c>
      <c r="D18091" s="2" t="s">
        <v>14060</v>
      </c>
      <c r="E18091" s="3">
        <v>4.0299999999999998E-49</v>
      </c>
      <c r="F18091" s="2">
        <v>455</v>
      </c>
      <c r="G18091" s="2">
        <v>75</v>
      </c>
      <c r="H18091" s="2">
        <v>118</v>
      </c>
      <c r="I18091" s="2">
        <v>3</v>
      </c>
      <c r="J18091" s="2">
        <v>353</v>
      </c>
      <c r="K18091" s="2">
        <v>2286</v>
      </c>
      <c r="L18091" s="2">
        <v>2403</v>
      </c>
    </row>
    <row r="18092" spans="1:12" x14ac:dyDescent="0.25">
      <c r="A18092" s="4" t="str">
        <f>HYPERLINK("http://www.rosaceae.org/Prunus/Prunus_persica/p.persica_gdr_reftransV1_0003850","p.persica_gdr_reftransV1_0003850")</f>
        <v>p.persica_gdr_reftransV1_0003850</v>
      </c>
      <c r="B18092" s="2">
        <v>1365</v>
      </c>
      <c r="C18092" s="4" t="str">
        <f>HYPERLINK("http://www.uniprot.org/uniprot/M5W710","M5W710")</f>
        <v>M5W710</v>
      </c>
      <c r="D18092" s="2" t="s">
        <v>2804</v>
      </c>
      <c r="E18092" s="3">
        <v>2.5899999999999998E-115</v>
      </c>
      <c r="F18092" s="2">
        <v>892</v>
      </c>
      <c r="G18092" s="2">
        <v>99</v>
      </c>
      <c r="H18092" s="2">
        <v>180</v>
      </c>
      <c r="I18092" s="2">
        <v>496</v>
      </c>
      <c r="J18092" s="2">
        <v>1035</v>
      </c>
      <c r="K18092" s="2">
        <v>1</v>
      </c>
      <c r="L18092" s="2">
        <v>179</v>
      </c>
    </row>
    <row r="18093" spans="1:12" x14ac:dyDescent="0.25">
      <c r="A18093" s="4" t="str">
        <f>HYPERLINK("http://www.rosaceae.org/Prunus/Prunus_persica/p.persica_gdr_reftransV1_0004200","p.persica_gdr_reftransV1_0004200")</f>
        <v>p.persica_gdr_reftransV1_0004200</v>
      </c>
      <c r="B18093" s="2">
        <v>519</v>
      </c>
      <c r="C18093" s="4" t="str">
        <f>HYPERLINK("http://www.uniprot.org/uniprot/M5VRK6","M5VRK6")</f>
        <v>M5VRK6</v>
      </c>
      <c r="D18093" s="2" t="s">
        <v>1904</v>
      </c>
      <c r="E18093" s="3">
        <v>2.4300000000000001E-83</v>
      </c>
      <c r="F18093" s="2">
        <v>660</v>
      </c>
      <c r="G18093" s="2">
        <v>98</v>
      </c>
      <c r="H18093" s="2">
        <v>128</v>
      </c>
      <c r="I18093" s="2">
        <v>87</v>
      </c>
      <c r="J18093" s="2">
        <v>470</v>
      </c>
      <c r="K18093" s="2">
        <v>1</v>
      </c>
      <c r="L18093" s="2">
        <v>128</v>
      </c>
    </row>
    <row r="18094" spans="1:12" x14ac:dyDescent="0.25">
      <c r="A18094" s="4" t="str">
        <f>HYPERLINK("http://www.rosaceae.org/Prunus/Prunus_persica/p.persica_gdr_reftransV1_0004550","p.persica_gdr_reftransV1_0004550")</f>
        <v>p.persica_gdr_reftransV1_0004550</v>
      </c>
      <c r="B18094" s="2">
        <v>2011</v>
      </c>
      <c r="C18094" s="4" t="str">
        <f>HYPERLINK("http://www.uniprot.org/uniprot/M5X5U3","M5X5U3")</f>
        <v>M5X5U3</v>
      </c>
      <c r="D18094" s="2" t="s">
        <v>14061</v>
      </c>
      <c r="E18094" s="3">
        <v>0</v>
      </c>
      <c r="F18094" s="2">
        <v>2331</v>
      </c>
      <c r="G18094" s="2">
        <v>84</v>
      </c>
      <c r="H18094" s="2">
        <v>571</v>
      </c>
      <c r="I18094" s="2">
        <v>149</v>
      </c>
      <c r="J18094" s="2">
        <v>1861</v>
      </c>
      <c r="K18094" s="2">
        <v>105</v>
      </c>
      <c r="L18094" s="2">
        <v>645</v>
      </c>
    </row>
    <row r="18095" spans="1:12" x14ac:dyDescent="0.25">
      <c r="A18095" s="4" t="str">
        <f>HYPERLINK("http://www.rosaceae.org/Prunus/Prunus_persica/p.persica_gdr_reftransV1_0005250","p.persica_gdr_reftransV1_0005250")</f>
        <v>p.persica_gdr_reftransV1_0005250</v>
      </c>
      <c r="B18095" s="2">
        <v>2123</v>
      </c>
      <c r="C18095" s="4" t="str">
        <f>HYPERLINK("http://www.uniprot.org/uniprot/M5VYX8","M5VYX8")</f>
        <v>M5VYX8</v>
      </c>
      <c r="D18095" s="2" t="s">
        <v>7654</v>
      </c>
      <c r="E18095" s="3">
        <v>0</v>
      </c>
      <c r="F18095" s="2">
        <v>2279</v>
      </c>
      <c r="G18095" s="2">
        <v>100</v>
      </c>
      <c r="H18095" s="2">
        <v>490</v>
      </c>
      <c r="I18095" s="2">
        <v>180</v>
      </c>
      <c r="J18095" s="2">
        <v>1649</v>
      </c>
      <c r="K18095" s="2">
        <v>1</v>
      </c>
      <c r="L18095" s="2">
        <v>490</v>
      </c>
    </row>
    <row r="18096" spans="1:12" x14ac:dyDescent="0.25">
      <c r="A18096" s="4" t="str">
        <f>HYPERLINK("http://www.rosaceae.org/Prunus/Prunus_persica/p.persica_gdr_reftransV1_0005600","p.persica_gdr_reftransV1_0005600")</f>
        <v>p.persica_gdr_reftransV1_0005600</v>
      </c>
      <c r="B18096" s="2">
        <v>447</v>
      </c>
      <c r="C18096" s="4" t="str">
        <f>HYPERLINK("http://www.uniprot.org/uniprot/F6HNG9","F6HNG9")</f>
        <v>F6HNG9</v>
      </c>
      <c r="D18096" s="2" t="s">
        <v>14062</v>
      </c>
      <c r="E18096" s="3">
        <v>4.6600000000000002E-7</v>
      </c>
      <c r="F18096" s="2">
        <v>139</v>
      </c>
      <c r="G18096" s="2">
        <v>43</v>
      </c>
      <c r="H18096" s="2">
        <v>87</v>
      </c>
      <c r="I18096" s="2">
        <v>171</v>
      </c>
      <c r="J18096" s="2">
        <v>431</v>
      </c>
      <c r="K18096" s="2">
        <v>895</v>
      </c>
      <c r="L18096" s="2">
        <v>977</v>
      </c>
    </row>
    <row r="18097" spans="1:12" x14ac:dyDescent="0.25">
      <c r="A18097" s="4" t="str">
        <f>HYPERLINK("http://www.rosaceae.org/Prunus/Prunus_persica/p.persica_gdr_reftransV1_0006300","p.persica_gdr_reftransV1_0006300")</f>
        <v>p.persica_gdr_reftransV1_0006300</v>
      </c>
      <c r="B18097" s="2">
        <v>782</v>
      </c>
      <c r="C18097" s="4" t="str">
        <f>HYPERLINK("http://www.uniprot.org/uniprot/U5FWA6","U5FWA6")</f>
        <v>U5FWA6</v>
      </c>
      <c r="D18097" s="2" t="s">
        <v>14063</v>
      </c>
      <c r="E18097" s="3">
        <v>8.2199999999999997E-77</v>
      </c>
      <c r="F18097" s="2">
        <v>394</v>
      </c>
      <c r="G18097" s="2">
        <v>58</v>
      </c>
      <c r="H18097" s="2">
        <v>114</v>
      </c>
      <c r="I18097" s="2">
        <v>274</v>
      </c>
      <c r="J18097" s="2">
        <v>615</v>
      </c>
      <c r="K18097" s="2">
        <v>434</v>
      </c>
      <c r="L18097" s="2">
        <v>547</v>
      </c>
    </row>
    <row r="18098" spans="1:12" x14ac:dyDescent="0.25">
      <c r="A18098" s="4" t="str">
        <f>HYPERLINK("http://www.rosaceae.org/Prunus/Prunus_persica/p.persica_gdr_reftransV1_0006650","p.persica_gdr_reftransV1_0006650")</f>
        <v>p.persica_gdr_reftransV1_0006650</v>
      </c>
      <c r="B18098" s="2">
        <v>1562</v>
      </c>
      <c r="C18098" s="4" t="str">
        <f>HYPERLINK("http://www.uniprot.org/uniprot/M5XBJ6","M5XBJ6")</f>
        <v>M5XBJ6</v>
      </c>
      <c r="D18098" s="2" t="s">
        <v>14064</v>
      </c>
      <c r="E18098" s="3">
        <v>0</v>
      </c>
      <c r="F18098" s="2">
        <v>2488</v>
      </c>
      <c r="G18098" s="2">
        <v>100</v>
      </c>
      <c r="H18098" s="2">
        <v>469</v>
      </c>
      <c r="I18098" s="2">
        <v>108</v>
      </c>
      <c r="J18098" s="2">
        <v>1514</v>
      </c>
      <c r="K18098" s="2">
        <v>1</v>
      </c>
      <c r="L18098" s="2">
        <v>469</v>
      </c>
    </row>
    <row r="18099" spans="1:12" x14ac:dyDescent="0.25">
      <c r="A18099" s="4" t="str">
        <f>HYPERLINK("http://www.rosaceae.org/Prunus/Prunus_persica/p.persica_gdr_reftransV1_0007000","p.persica_gdr_reftransV1_0007000")</f>
        <v>p.persica_gdr_reftransV1_0007000</v>
      </c>
      <c r="B18099" s="2">
        <v>1993</v>
      </c>
      <c r="C18099" s="4" t="str">
        <f>HYPERLINK("http://www.uniprot.org/uniprot/A0A067E7V7","A0A067E7V7")</f>
        <v>A0A067E7V7</v>
      </c>
      <c r="D18099" s="2" t="s">
        <v>14065</v>
      </c>
      <c r="E18099" s="3">
        <v>2.0400000000000001E-8</v>
      </c>
      <c r="F18099" s="2">
        <v>156</v>
      </c>
      <c r="G18099" s="2">
        <v>72</v>
      </c>
      <c r="H18099" s="2">
        <v>46</v>
      </c>
      <c r="I18099" s="2">
        <v>1855</v>
      </c>
      <c r="J18099" s="2">
        <v>1992</v>
      </c>
      <c r="K18099" s="2">
        <v>150</v>
      </c>
      <c r="L18099" s="2">
        <v>190</v>
      </c>
    </row>
    <row r="18100" spans="1:12" x14ac:dyDescent="0.25">
      <c r="A18100" s="4" t="str">
        <f>HYPERLINK("http://www.rosaceae.org/Prunus/Prunus_persica/p.persica_gdr_reftransV1_0007700","p.persica_gdr_reftransV1_0007700")</f>
        <v>p.persica_gdr_reftransV1_0007700</v>
      </c>
      <c r="B18100" s="2">
        <v>1687</v>
      </c>
      <c r="C18100" s="4" t="str">
        <f>HYPERLINK("http://www.uniprot.org/uniprot/M5VYX5","M5VYX5")</f>
        <v>M5VYX5</v>
      </c>
      <c r="D18100" s="2" t="s">
        <v>14066</v>
      </c>
      <c r="E18100" s="3">
        <v>0</v>
      </c>
      <c r="F18100" s="2">
        <v>1629</v>
      </c>
      <c r="G18100" s="2">
        <v>100</v>
      </c>
      <c r="H18100" s="2">
        <v>354</v>
      </c>
      <c r="I18100" s="2">
        <v>114</v>
      </c>
      <c r="J18100" s="2">
        <v>1175</v>
      </c>
      <c r="K18100" s="2">
        <v>1</v>
      </c>
      <c r="L18100" s="2">
        <v>354</v>
      </c>
    </row>
    <row r="18101" spans="1:12" x14ac:dyDescent="0.25">
      <c r="A18101" s="4" t="str">
        <f>HYPERLINK("http://www.rosaceae.org/Prunus/Prunus_persica/p.persica_gdr_reftransV1_0008050","p.persica_gdr_reftransV1_0008050")</f>
        <v>p.persica_gdr_reftransV1_0008050</v>
      </c>
      <c r="B18101" s="2">
        <v>1186</v>
      </c>
      <c r="C18101" s="4" t="str">
        <f>HYPERLINK("http://www.uniprot.org/uniprot/M5VR54","M5VR54")</f>
        <v>M5VR54</v>
      </c>
      <c r="D18101" s="2" t="s">
        <v>14067</v>
      </c>
      <c r="E18101" s="3">
        <v>6.0600000000000003E-134</v>
      </c>
      <c r="F18101" s="2">
        <v>1010</v>
      </c>
      <c r="G18101" s="2">
        <v>100</v>
      </c>
      <c r="H18101" s="2">
        <v>190</v>
      </c>
      <c r="I18101" s="2">
        <v>296</v>
      </c>
      <c r="J18101" s="2">
        <v>865</v>
      </c>
      <c r="K18101" s="2">
        <v>1</v>
      </c>
      <c r="L18101" s="2">
        <v>190</v>
      </c>
    </row>
    <row r="18102" spans="1:12" x14ac:dyDescent="0.25">
      <c r="A18102" s="4" t="str">
        <f>HYPERLINK("http://www.rosaceae.org/Prunus/Prunus_persica/p.persica_gdr_reftransV1_0008750","p.persica_gdr_reftransV1_0008750")</f>
        <v>p.persica_gdr_reftransV1_0008750</v>
      </c>
      <c r="B18102" s="2">
        <v>700</v>
      </c>
      <c r="C18102" s="4" t="str">
        <f>HYPERLINK("http://www.uniprot.org/uniprot/M5WLU1","M5WLU1")</f>
        <v>M5WLU1</v>
      </c>
      <c r="D18102" s="2" t="s">
        <v>14068</v>
      </c>
      <c r="E18102" s="3">
        <v>1.4200000000000001E-51</v>
      </c>
      <c r="F18102" s="2">
        <v>410</v>
      </c>
      <c r="G18102" s="2">
        <v>92</v>
      </c>
      <c r="H18102" s="2">
        <v>90</v>
      </c>
      <c r="I18102" s="2">
        <v>443</v>
      </c>
      <c r="J18102" s="2">
        <v>700</v>
      </c>
      <c r="K18102" s="2">
        <v>71</v>
      </c>
      <c r="L18102" s="2">
        <v>160</v>
      </c>
    </row>
    <row r="18103" spans="1:12" x14ac:dyDescent="0.25">
      <c r="A18103" s="4" t="str">
        <f>HYPERLINK("http://www.rosaceae.org/Prunus/Prunus_persica/p.persica_gdr_reftransV1_0009100","p.persica_gdr_reftransV1_0009100")</f>
        <v>p.persica_gdr_reftransV1_0009100</v>
      </c>
      <c r="B18103" s="2">
        <v>1528</v>
      </c>
      <c r="C18103" s="4" t="str">
        <f>HYPERLINK("http://www.uniprot.org/uniprot/M5W4H8","M5W4H8")</f>
        <v>M5W4H8</v>
      </c>
      <c r="D18103" s="2" t="s">
        <v>2562</v>
      </c>
      <c r="E18103" s="3">
        <v>0</v>
      </c>
      <c r="F18103" s="2">
        <v>1497</v>
      </c>
      <c r="G18103" s="2">
        <v>100</v>
      </c>
      <c r="H18103" s="2">
        <v>301</v>
      </c>
      <c r="I18103" s="2">
        <v>40</v>
      </c>
      <c r="J18103" s="2">
        <v>942</v>
      </c>
      <c r="K18103" s="2">
        <v>1</v>
      </c>
      <c r="L18103" s="2">
        <v>301</v>
      </c>
    </row>
    <row r="18104" spans="1:12" x14ac:dyDescent="0.25">
      <c r="A18104" s="4" t="str">
        <f>HYPERLINK("http://www.rosaceae.org/Prunus/Prunus_persica/p.persica_gdr_reftransV1_0010150","p.persica_gdr_reftransV1_0010150")</f>
        <v>p.persica_gdr_reftransV1_0010150</v>
      </c>
      <c r="B18104" s="2">
        <v>628</v>
      </c>
      <c r="C18104" s="4" t="str">
        <f>HYPERLINK("http://www.uniprot.org/uniprot/M5X6V4","M5X6V4")</f>
        <v>M5X6V4</v>
      </c>
      <c r="D18104" s="2" t="s">
        <v>4105</v>
      </c>
      <c r="E18104" s="3">
        <v>1.91E-146</v>
      </c>
      <c r="F18104" s="2">
        <v>1119</v>
      </c>
      <c r="G18104" s="2">
        <v>100</v>
      </c>
      <c r="H18104" s="2">
        <v>209</v>
      </c>
      <c r="I18104" s="2">
        <v>1</v>
      </c>
      <c r="J18104" s="2">
        <v>627</v>
      </c>
      <c r="K18104" s="2">
        <v>134</v>
      </c>
      <c r="L18104" s="2">
        <v>342</v>
      </c>
    </row>
    <row r="18105" spans="1:12" x14ac:dyDescent="0.25">
      <c r="A18105" s="4" t="str">
        <f>HYPERLINK("http://www.rosaceae.org/Prunus/Prunus_persica/p.persica_gdr_reftransV1_0010850","p.persica_gdr_reftransV1_0010850")</f>
        <v>p.persica_gdr_reftransV1_0010850</v>
      </c>
      <c r="B18105" s="2">
        <v>765</v>
      </c>
      <c r="C18105" s="4" t="str">
        <f>HYPERLINK("http://www.uniprot.org/uniprot/M5VGF0","M5VGF0")</f>
        <v>M5VGF0</v>
      </c>
      <c r="D18105" s="2" t="s">
        <v>5996</v>
      </c>
      <c r="E18105" s="3">
        <v>5.5999999999999997E-117</v>
      </c>
      <c r="F18105" s="2">
        <v>893</v>
      </c>
      <c r="G18105" s="2">
        <v>100</v>
      </c>
      <c r="H18105" s="2">
        <v>180</v>
      </c>
      <c r="I18105" s="2">
        <v>224</v>
      </c>
      <c r="J18105" s="2">
        <v>763</v>
      </c>
      <c r="K18105" s="2">
        <v>111</v>
      </c>
      <c r="L18105" s="2">
        <v>290</v>
      </c>
    </row>
    <row r="18106" spans="1:12" x14ac:dyDescent="0.25">
      <c r="A18106" s="4" t="str">
        <f>HYPERLINK("http://www.rosaceae.org/Prunus/Prunus_persica/p.persica_gdr_reftransV1_0011550","p.persica_gdr_reftransV1_0011550")</f>
        <v>p.persica_gdr_reftransV1_0011550</v>
      </c>
      <c r="B18106" s="2">
        <v>2937</v>
      </c>
      <c r="C18106" s="4" t="str">
        <f>HYPERLINK("http://www.uniprot.org/uniprot/M5XFV1","M5XFV1")</f>
        <v>M5XFV1</v>
      </c>
      <c r="D18106" s="2" t="s">
        <v>76</v>
      </c>
      <c r="E18106" s="3">
        <v>7.1999999999999996E-56</v>
      </c>
      <c r="F18106" s="2">
        <v>507</v>
      </c>
      <c r="G18106" s="2">
        <v>99</v>
      </c>
      <c r="H18106" s="2">
        <v>122</v>
      </c>
      <c r="I18106" s="2">
        <v>395</v>
      </c>
      <c r="J18106" s="2">
        <v>760</v>
      </c>
      <c r="K18106" s="2">
        <v>12</v>
      </c>
      <c r="L18106" s="2">
        <v>133</v>
      </c>
    </row>
    <row r="18107" spans="1:12" x14ac:dyDescent="0.25">
      <c r="A18107" s="4" t="str">
        <f>HYPERLINK("http://www.rosaceae.org/Prunus/Prunus_persica/p.persica_gdr_reftransV1_0011900","p.persica_gdr_reftransV1_0011900")</f>
        <v>p.persica_gdr_reftransV1_0011900</v>
      </c>
      <c r="B18107" s="2">
        <v>1069</v>
      </c>
      <c r="C18107" s="4" t="str">
        <f>HYPERLINK("http://www.uniprot.org/uniprot/M5XNZ2","M5XNZ2")</f>
        <v>M5XNZ2</v>
      </c>
      <c r="D18107" s="2" t="s">
        <v>13232</v>
      </c>
      <c r="E18107" s="3">
        <v>2.0500000000000002E-90</v>
      </c>
      <c r="F18107" s="2">
        <v>771</v>
      </c>
      <c r="G18107" s="2">
        <v>100</v>
      </c>
      <c r="H18107" s="2">
        <v>154</v>
      </c>
      <c r="I18107" s="2">
        <v>96</v>
      </c>
      <c r="J18107" s="2">
        <v>557</v>
      </c>
      <c r="K18107" s="2">
        <v>109</v>
      </c>
      <c r="L18107" s="2">
        <v>262</v>
      </c>
    </row>
    <row r="18108" spans="1:12" x14ac:dyDescent="0.25">
      <c r="A18108" s="4" t="str">
        <f>HYPERLINK("http://www.rosaceae.org/Prunus/Prunus_persica/p.persica_gdr_reftransV1_0016450","p.persica_gdr_reftransV1_0016450")</f>
        <v>p.persica_gdr_reftransV1_0016450</v>
      </c>
      <c r="B18108" s="2">
        <v>737</v>
      </c>
      <c r="C18108" s="4" t="str">
        <f>HYPERLINK("http://www.uniprot.org/uniprot/W9T2Q0","W9T2Q0")</f>
        <v>W9T2Q0</v>
      </c>
      <c r="D18108" s="2" t="s">
        <v>14069</v>
      </c>
      <c r="E18108" s="3">
        <v>1.6499999999999999E-68</v>
      </c>
      <c r="F18108" s="2">
        <v>559</v>
      </c>
      <c r="G18108" s="2">
        <v>79</v>
      </c>
      <c r="H18108" s="2">
        <v>135</v>
      </c>
      <c r="I18108" s="2">
        <v>64</v>
      </c>
      <c r="J18108" s="2">
        <v>468</v>
      </c>
      <c r="K18108" s="2">
        <v>6</v>
      </c>
      <c r="L18108" s="2">
        <v>138</v>
      </c>
    </row>
    <row r="18109" spans="1:12" x14ac:dyDescent="0.25">
      <c r="A18109" s="4" t="str">
        <f>HYPERLINK("http://www.rosaceae.org/Prunus/Prunus_persica/p.persica_gdr_reftransV1_0016800","p.persica_gdr_reftransV1_0016800")</f>
        <v>p.persica_gdr_reftransV1_0016800</v>
      </c>
      <c r="B18109" s="2">
        <v>2033</v>
      </c>
      <c r="C18109" s="4" t="str">
        <f>HYPERLINK("http://www.uniprot.org/uniprot/M5WUJ0","M5WUJ0")</f>
        <v>M5WUJ0</v>
      </c>
      <c r="D18109" s="2" t="s">
        <v>14070</v>
      </c>
      <c r="E18109" s="3">
        <v>7.1300000000000005E-113</v>
      </c>
      <c r="F18109" s="2">
        <v>905</v>
      </c>
      <c r="G18109" s="2">
        <v>81</v>
      </c>
      <c r="H18109" s="2">
        <v>238</v>
      </c>
      <c r="I18109" s="2">
        <v>391</v>
      </c>
      <c r="J18109" s="2">
        <v>1104</v>
      </c>
      <c r="K18109" s="2">
        <v>88</v>
      </c>
      <c r="L18109" s="2">
        <v>281</v>
      </c>
    </row>
    <row r="18110" spans="1:12" x14ac:dyDescent="0.25">
      <c r="A18110" s="4" t="str">
        <f>HYPERLINK("http://www.rosaceae.org/Prunus/Prunus_persica/p.persica_gdr_reftransV1_0018200","p.persica_gdr_reftransV1_0018200")</f>
        <v>p.persica_gdr_reftransV1_0018200</v>
      </c>
      <c r="B18110" s="2">
        <v>5040</v>
      </c>
      <c r="C18110" s="4" t="str">
        <f>HYPERLINK("http://www.uniprot.org/uniprot/M5W6K1","M5W6K1")</f>
        <v>M5W6K1</v>
      </c>
      <c r="D18110" s="2" t="s">
        <v>14071</v>
      </c>
      <c r="E18110" s="3">
        <v>0</v>
      </c>
      <c r="F18110" s="2">
        <v>6762</v>
      </c>
      <c r="G18110" s="2">
        <v>91</v>
      </c>
      <c r="H18110" s="2">
        <v>1596</v>
      </c>
      <c r="I18110" s="2">
        <v>68</v>
      </c>
      <c r="J18110" s="2">
        <v>4795</v>
      </c>
      <c r="K18110" s="2">
        <v>1</v>
      </c>
      <c r="L18110" s="2">
        <v>1540</v>
      </c>
    </row>
    <row r="18111" spans="1:12" x14ac:dyDescent="0.25">
      <c r="A18111" s="4" t="str">
        <f>HYPERLINK("http://www.rosaceae.org/Prunus/Prunus_persica/p.persica_gdr_reftransV1_0020300","p.persica_gdr_reftransV1_0020300")</f>
        <v>p.persica_gdr_reftransV1_0020300</v>
      </c>
      <c r="B18111" s="2">
        <v>2835</v>
      </c>
      <c r="C18111" s="4" t="str">
        <f>HYPERLINK("http://www.uniprot.org/uniprot/M5W070","M5W070")</f>
        <v>M5W070</v>
      </c>
      <c r="D18111" s="2" t="s">
        <v>14072</v>
      </c>
      <c r="E18111" s="3">
        <v>7.3199999999999994E-102</v>
      </c>
      <c r="F18111" s="2">
        <v>840</v>
      </c>
      <c r="G18111" s="2">
        <v>100</v>
      </c>
      <c r="H18111" s="2">
        <v>170</v>
      </c>
      <c r="I18111" s="2">
        <v>1912</v>
      </c>
      <c r="J18111" s="2">
        <v>2421</v>
      </c>
      <c r="K18111" s="2">
        <v>38</v>
      </c>
      <c r="L18111" s="2">
        <v>207</v>
      </c>
    </row>
    <row r="18112" spans="1:12" x14ac:dyDescent="0.25">
      <c r="A18112" s="4" t="str">
        <f>HYPERLINK("http://www.rosaceae.org/Prunus/Prunus_persica/p.persica_gdr_reftransV1_0022050","p.persica_gdr_reftransV1_0022050")</f>
        <v>p.persica_gdr_reftransV1_0022050</v>
      </c>
      <c r="B18112" s="2">
        <v>807</v>
      </c>
      <c r="C18112" s="4" t="str">
        <f>HYPERLINK("http://www.uniprot.org/uniprot/M5XPR1","M5XPR1")</f>
        <v>M5XPR1</v>
      </c>
      <c r="D18112" s="2" t="s">
        <v>8936</v>
      </c>
      <c r="E18112" s="3">
        <v>7.1500000000000005E-169</v>
      </c>
      <c r="F18112" s="2">
        <v>1265</v>
      </c>
      <c r="G18112" s="2">
        <v>100</v>
      </c>
      <c r="H18112" s="2">
        <v>268</v>
      </c>
      <c r="I18112" s="2">
        <v>2</v>
      </c>
      <c r="J18112" s="2">
        <v>805</v>
      </c>
      <c r="K18112" s="2">
        <v>39</v>
      </c>
      <c r="L18112" s="2">
        <v>306</v>
      </c>
    </row>
    <row r="18113" spans="1:12" x14ac:dyDescent="0.25">
      <c r="A18113" s="4" t="str">
        <f>HYPERLINK("http://www.rosaceae.org/Prunus/Prunus_persica/p.persica_gdr_reftransV1_0023100","p.persica_gdr_reftransV1_0023100")</f>
        <v>p.persica_gdr_reftransV1_0023100</v>
      </c>
      <c r="B18113" s="2">
        <v>1149</v>
      </c>
      <c r="C18113" s="4" t="str">
        <f>HYPERLINK("http://www.uniprot.org/uniprot/M5XT02","M5XT02")</f>
        <v>M5XT02</v>
      </c>
      <c r="D18113" s="2" t="s">
        <v>14073</v>
      </c>
      <c r="E18113" s="3">
        <v>6.7699999999999997E-85</v>
      </c>
      <c r="F18113" s="2">
        <v>684</v>
      </c>
      <c r="G18113" s="2">
        <v>100</v>
      </c>
      <c r="H18113" s="2">
        <v>194</v>
      </c>
      <c r="I18113" s="2">
        <v>166</v>
      </c>
      <c r="J18113" s="2">
        <v>747</v>
      </c>
      <c r="K18113" s="2">
        <v>1</v>
      </c>
      <c r="L18113" s="2">
        <v>194</v>
      </c>
    </row>
    <row r="18114" spans="1:12" x14ac:dyDescent="0.25">
      <c r="A18114" s="4" t="str">
        <f>HYPERLINK("http://www.rosaceae.org/Prunus/Prunus_persica/p.persica_gdr_reftransV1_0023800","p.persica_gdr_reftransV1_0023800")</f>
        <v>p.persica_gdr_reftransV1_0023800</v>
      </c>
      <c r="B18114" s="2">
        <v>3811</v>
      </c>
      <c r="C18114" s="4" t="str">
        <f>HYPERLINK("http://www.uniprot.org/uniprot/M5VXS2","M5VXS2")</f>
        <v>M5VXS2</v>
      </c>
      <c r="D18114" s="2" t="s">
        <v>14074</v>
      </c>
      <c r="E18114" s="3">
        <v>8.67E-88</v>
      </c>
      <c r="F18114" s="2">
        <v>765</v>
      </c>
      <c r="G18114" s="2">
        <v>77</v>
      </c>
      <c r="H18114" s="2">
        <v>197</v>
      </c>
      <c r="I18114" s="2">
        <v>436</v>
      </c>
      <c r="J18114" s="2">
        <v>1026</v>
      </c>
      <c r="K18114" s="2">
        <v>179</v>
      </c>
      <c r="L18114" s="2">
        <v>338</v>
      </c>
    </row>
    <row r="18115" spans="1:12" x14ac:dyDescent="0.25">
      <c r="A18115" s="4" t="str">
        <f>HYPERLINK("http://www.rosaceae.org/Prunus/Prunus_persica/p.persica_gdr_reftransV1_0024500","p.persica_gdr_reftransV1_0024500")</f>
        <v>p.persica_gdr_reftransV1_0024500</v>
      </c>
      <c r="B18115" s="2">
        <v>1294</v>
      </c>
      <c r="C18115" s="4" t="str">
        <f>HYPERLINK("http://www.uniprot.org/uniprot/M5WG72","M5WG72")</f>
        <v>M5WG72</v>
      </c>
      <c r="D18115" s="2" t="s">
        <v>14075</v>
      </c>
      <c r="E18115" s="3">
        <v>5.7100000000000003E-177</v>
      </c>
      <c r="F18115" s="2">
        <v>937</v>
      </c>
      <c r="G18115" s="2">
        <v>99</v>
      </c>
      <c r="H18115" s="2">
        <v>187</v>
      </c>
      <c r="I18115" s="2">
        <v>580</v>
      </c>
      <c r="J18115" s="2">
        <v>1140</v>
      </c>
      <c r="K18115" s="2">
        <v>161</v>
      </c>
      <c r="L18115" s="2">
        <v>347</v>
      </c>
    </row>
    <row r="18116" spans="1:12" x14ac:dyDescent="0.25">
      <c r="A18116" s="4" t="str">
        <f>HYPERLINK("http://www.rosaceae.org/Prunus/Prunus_persica/p.persica_gdr_reftransV1_0025200","p.persica_gdr_reftransV1_0025200")</f>
        <v>p.persica_gdr_reftransV1_0025200</v>
      </c>
      <c r="B18116" s="2">
        <v>3633</v>
      </c>
      <c r="C18116" s="4" t="str">
        <f>HYPERLINK("http://www.uniprot.org/uniprot/M5X7N8","M5X7N8")</f>
        <v>M5X7N8</v>
      </c>
      <c r="D18116" s="2" t="s">
        <v>14076</v>
      </c>
      <c r="E18116" s="3">
        <v>0</v>
      </c>
      <c r="F18116" s="2">
        <v>5125</v>
      </c>
      <c r="G18116" s="2">
        <v>100</v>
      </c>
      <c r="H18116" s="2">
        <v>972</v>
      </c>
      <c r="I18116" s="2">
        <v>489</v>
      </c>
      <c r="J18116" s="2">
        <v>3404</v>
      </c>
      <c r="K18116" s="2">
        <v>1</v>
      </c>
      <c r="L18116" s="2">
        <v>972</v>
      </c>
    </row>
    <row r="18117" spans="1:12" x14ac:dyDescent="0.25">
      <c r="A18117" s="4" t="str">
        <f>HYPERLINK("http://www.rosaceae.org/Prunus/Prunus_persica/p.persica_gdr_reftransV1_0025900","p.persica_gdr_reftransV1_0025900")</f>
        <v>p.persica_gdr_reftransV1_0025900</v>
      </c>
      <c r="B18117" s="2">
        <v>3186</v>
      </c>
      <c r="C18117" s="4" t="str">
        <f>HYPERLINK("http://www.uniprot.org/uniprot/M5W872","M5W872")</f>
        <v>M5W872</v>
      </c>
      <c r="D18117" s="2" t="s">
        <v>14077</v>
      </c>
      <c r="E18117" s="3">
        <v>0</v>
      </c>
      <c r="F18117" s="2">
        <v>1887</v>
      </c>
      <c r="G18117" s="2">
        <v>99</v>
      </c>
      <c r="H18117" s="2">
        <v>354</v>
      </c>
      <c r="I18117" s="2">
        <v>1619</v>
      </c>
      <c r="J18117" s="2">
        <v>2680</v>
      </c>
      <c r="K18117" s="2">
        <v>261</v>
      </c>
      <c r="L18117" s="2">
        <v>614</v>
      </c>
    </row>
    <row r="18118" spans="1:12" x14ac:dyDescent="0.25">
      <c r="A18118" s="4" t="str">
        <f>HYPERLINK("http://www.rosaceae.org/Prunus/Prunus_persica/p.persica_gdr_reftransV1_0026600","p.persica_gdr_reftransV1_0026600")</f>
        <v>p.persica_gdr_reftransV1_0026600</v>
      </c>
      <c r="B18118" s="2">
        <v>1178</v>
      </c>
      <c r="C18118" s="4" t="str">
        <f>HYPERLINK("http://www.uniprot.org/uniprot/M5X227","M5X227")</f>
        <v>M5X227</v>
      </c>
      <c r="D18118" s="2" t="s">
        <v>14078</v>
      </c>
      <c r="E18118" s="3">
        <v>9.9400000000000005E-165</v>
      </c>
      <c r="F18118" s="2">
        <v>1219</v>
      </c>
      <c r="G18118" s="2">
        <v>100</v>
      </c>
      <c r="H18118" s="2">
        <v>244</v>
      </c>
      <c r="I18118" s="2">
        <v>283</v>
      </c>
      <c r="J18118" s="2">
        <v>1014</v>
      </c>
      <c r="K18118" s="2">
        <v>1</v>
      </c>
      <c r="L18118" s="2">
        <v>244</v>
      </c>
    </row>
    <row r="18119" spans="1:12" x14ac:dyDescent="0.25">
      <c r="A18119" s="4" t="str">
        <f>HYPERLINK("http://www.rosaceae.org/Prunus/Prunus_persica/p.persica_gdr_reftransV1_0028000","p.persica_gdr_reftransV1_0028000")</f>
        <v>p.persica_gdr_reftransV1_0028000</v>
      </c>
      <c r="B18119" s="2">
        <v>1191</v>
      </c>
      <c r="C18119" s="4" t="str">
        <f>HYPERLINK("http://www.uniprot.org/uniprot/M5VY07","M5VY07")</f>
        <v>M5VY07</v>
      </c>
      <c r="D18119" s="2" t="s">
        <v>5659</v>
      </c>
      <c r="E18119" s="3">
        <v>9.0399999999999997E-98</v>
      </c>
      <c r="F18119" s="2">
        <v>545</v>
      </c>
      <c r="G18119" s="2">
        <v>99</v>
      </c>
      <c r="H18119" s="2">
        <v>124</v>
      </c>
      <c r="I18119" s="2">
        <v>355</v>
      </c>
      <c r="J18119" s="2">
        <v>726</v>
      </c>
      <c r="K18119" s="2">
        <v>348</v>
      </c>
      <c r="L18119" s="2">
        <v>471</v>
      </c>
    </row>
    <row r="18120" spans="1:12" x14ac:dyDescent="0.25">
      <c r="A18120" s="4" t="str">
        <f>HYPERLINK("http://www.rosaceae.org/Prunus/Prunus_persica/p.persica_gdr_reftransV1_0029750","p.persica_gdr_reftransV1_0029750")</f>
        <v>p.persica_gdr_reftransV1_0029750</v>
      </c>
      <c r="B18120" s="2">
        <v>1168</v>
      </c>
      <c r="C18120" s="4" t="str">
        <f>HYPERLINK("http://www.uniprot.org/uniprot/D7TT12","D7TT12")</f>
        <v>D7TT12</v>
      </c>
      <c r="D18120" s="2" t="s">
        <v>14079</v>
      </c>
      <c r="E18120" s="3">
        <v>6.43E-140</v>
      </c>
      <c r="F18120" s="2">
        <v>1060</v>
      </c>
      <c r="G18120" s="2">
        <v>83</v>
      </c>
      <c r="H18120" s="2">
        <v>246</v>
      </c>
      <c r="I18120" s="2">
        <v>430</v>
      </c>
      <c r="J18120" s="2">
        <v>1167</v>
      </c>
      <c r="K18120" s="2">
        <v>1</v>
      </c>
      <c r="L18120" s="2">
        <v>246</v>
      </c>
    </row>
    <row r="18121" spans="1:12" x14ac:dyDescent="0.25">
      <c r="A18121" s="4" t="str">
        <f>HYPERLINK("http://www.rosaceae.org/Prunus/Prunus_persica/p.persica_gdr_reftransV1_0030100","p.persica_gdr_reftransV1_0030100")</f>
        <v>p.persica_gdr_reftransV1_0030100</v>
      </c>
      <c r="B18121" s="2">
        <v>919</v>
      </c>
      <c r="C18121" s="4" t="str">
        <f>HYPERLINK("http://www.uniprot.org/uniprot/M5WFJ9","M5WFJ9")</f>
        <v>M5WFJ9</v>
      </c>
      <c r="D18121" s="2" t="s">
        <v>13199</v>
      </c>
      <c r="E18121" s="3">
        <v>2.8400000000000001E-146</v>
      </c>
      <c r="F18121" s="2">
        <v>1127</v>
      </c>
      <c r="G18121" s="2">
        <v>100</v>
      </c>
      <c r="H18121" s="2">
        <v>212</v>
      </c>
      <c r="I18121" s="2">
        <v>283</v>
      </c>
      <c r="J18121" s="2">
        <v>918</v>
      </c>
      <c r="K18121" s="2">
        <v>4</v>
      </c>
      <c r="L18121" s="2">
        <v>215</v>
      </c>
    </row>
    <row r="18122" spans="1:12" x14ac:dyDescent="0.25">
      <c r="A18122" s="4" t="str">
        <f>HYPERLINK("http://www.rosaceae.org/Prunus/Prunus_persica/p.persica_gdr_reftransV1_0030450","p.persica_gdr_reftransV1_0030450")</f>
        <v>p.persica_gdr_reftransV1_0030450</v>
      </c>
      <c r="B18122" s="2">
        <v>2066</v>
      </c>
      <c r="C18122" s="4" t="str">
        <f>HYPERLINK("http://www.uniprot.org/uniprot/M5X8E8","M5X8E8")</f>
        <v>M5X8E8</v>
      </c>
      <c r="D18122" s="2" t="s">
        <v>5254</v>
      </c>
      <c r="E18122" s="3">
        <v>3.8900000000000002E-103</v>
      </c>
      <c r="F18122" s="2">
        <v>888</v>
      </c>
      <c r="G18122" s="2">
        <v>99</v>
      </c>
      <c r="H18122" s="2">
        <v>178</v>
      </c>
      <c r="I18122" s="2">
        <v>1532</v>
      </c>
      <c r="J18122" s="2">
        <v>2065</v>
      </c>
      <c r="K18122" s="2">
        <v>527</v>
      </c>
      <c r="L18122" s="2">
        <v>704</v>
      </c>
    </row>
    <row r="18123" spans="1:12" x14ac:dyDescent="0.25">
      <c r="A18123" s="4" t="str">
        <f>HYPERLINK("http://www.rosaceae.org/Prunus/Prunus_persica/p.persica_gdr_reftransV1_0031500","p.persica_gdr_reftransV1_0031500")</f>
        <v>p.persica_gdr_reftransV1_0031500</v>
      </c>
      <c r="B18123" s="2">
        <v>2476</v>
      </c>
      <c r="C18123" s="4" t="str">
        <f>HYPERLINK("http://www.uniprot.org/uniprot/M5W952","M5W952")</f>
        <v>M5W952</v>
      </c>
      <c r="D18123" s="2" t="s">
        <v>14080</v>
      </c>
      <c r="E18123" s="3">
        <v>0</v>
      </c>
      <c r="F18123" s="2">
        <v>3206</v>
      </c>
      <c r="G18123" s="2">
        <v>100</v>
      </c>
      <c r="H18123" s="2">
        <v>595</v>
      </c>
      <c r="I18123" s="2">
        <v>302</v>
      </c>
      <c r="J18123" s="2">
        <v>2086</v>
      </c>
      <c r="K18123" s="2">
        <v>1</v>
      </c>
      <c r="L18123" s="2">
        <v>595</v>
      </c>
    </row>
    <row r="18124" spans="1:12" x14ac:dyDescent="0.25">
      <c r="A18124" s="4" t="str">
        <f>HYPERLINK("http://www.rosaceae.org/Prunus/Prunus_persica/p.persica_gdr_reftransV1_0033250","p.persica_gdr_reftransV1_0033250")</f>
        <v>p.persica_gdr_reftransV1_0033250</v>
      </c>
      <c r="B18124" s="2">
        <v>3877</v>
      </c>
      <c r="C18124" s="4" t="str">
        <f>HYPERLINK("http://www.uniprot.org/uniprot/M5XRW9","M5XRW9")</f>
        <v>M5XRW9</v>
      </c>
      <c r="D18124" s="2" t="s">
        <v>3965</v>
      </c>
      <c r="E18124" s="3">
        <v>0</v>
      </c>
      <c r="F18124" s="2">
        <v>4497</v>
      </c>
      <c r="G18124" s="2">
        <v>100</v>
      </c>
      <c r="H18124" s="2">
        <v>929</v>
      </c>
      <c r="I18124" s="2">
        <v>1</v>
      </c>
      <c r="J18124" s="2">
        <v>2787</v>
      </c>
      <c r="K18124" s="2">
        <v>523</v>
      </c>
      <c r="L18124" s="2">
        <v>1451</v>
      </c>
    </row>
    <row r="18125" spans="1:12" x14ac:dyDescent="0.25">
      <c r="A18125" s="4" t="str">
        <f>HYPERLINK("http://www.rosaceae.org/Prunus/Prunus_persica/p.persica_gdr_reftransV1_0033950","p.persica_gdr_reftransV1_0033950")</f>
        <v>p.persica_gdr_reftransV1_0033950</v>
      </c>
      <c r="B18125" s="2">
        <v>595</v>
      </c>
      <c r="C18125" s="4" t="str">
        <f>HYPERLINK("http://www.uniprot.org/uniprot/M5XR44","M5XR44")</f>
        <v>M5XR44</v>
      </c>
      <c r="D18125" s="2" t="s">
        <v>6944</v>
      </c>
      <c r="E18125" s="3">
        <v>9.5299999999999998E-108</v>
      </c>
      <c r="F18125" s="2">
        <v>734</v>
      </c>
      <c r="G18125" s="2">
        <v>100</v>
      </c>
      <c r="H18125" s="2">
        <v>138</v>
      </c>
      <c r="I18125" s="2">
        <v>3</v>
      </c>
      <c r="J18125" s="2">
        <v>416</v>
      </c>
      <c r="K18125" s="2">
        <v>288</v>
      </c>
      <c r="L18125" s="2">
        <v>425</v>
      </c>
    </row>
    <row r="18126" spans="1:12" x14ac:dyDescent="0.25">
      <c r="A18126" s="4" t="str">
        <f>HYPERLINK("http://www.rosaceae.org/Prunus/Prunus_persica/p.persica_gdr_reftransV1_0034300","p.persica_gdr_reftransV1_0034300")</f>
        <v>p.persica_gdr_reftransV1_0034300</v>
      </c>
      <c r="B18126" s="2">
        <v>3323</v>
      </c>
      <c r="C18126" s="4" t="str">
        <f>HYPERLINK("http://www.uniprot.org/uniprot/M5XEY2","M5XEY2")</f>
        <v>M5XEY2</v>
      </c>
      <c r="D18126" s="2" t="s">
        <v>14081</v>
      </c>
      <c r="E18126" s="3">
        <v>1.92E-169</v>
      </c>
      <c r="F18126" s="2">
        <v>1338</v>
      </c>
      <c r="G18126" s="2">
        <v>99</v>
      </c>
      <c r="H18126" s="2">
        <v>269</v>
      </c>
      <c r="I18126" s="2">
        <v>1272</v>
      </c>
      <c r="J18126" s="2">
        <v>2078</v>
      </c>
      <c r="K18126" s="2">
        <v>210</v>
      </c>
      <c r="L18126" s="2">
        <v>478</v>
      </c>
    </row>
    <row r="18127" spans="1:12" x14ac:dyDescent="0.25">
      <c r="A18127" s="4" t="str">
        <f>HYPERLINK("http://www.rosaceae.org/Prunus/Prunus_persica/p.persica_gdr_reftransV1_0035700","p.persica_gdr_reftransV1_0035700")</f>
        <v>p.persica_gdr_reftransV1_0035700</v>
      </c>
      <c r="B18127" s="2">
        <v>1273</v>
      </c>
      <c r="C18127" s="4" t="str">
        <f>HYPERLINK("http://www.uniprot.org/uniprot/M5XFA9","M5XFA9")</f>
        <v>M5XFA9</v>
      </c>
      <c r="D18127" s="2" t="s">
        <v>8198</v>
      </c>
      <c r="E18127" s="3">
        <v>4.1299999999999998E-167</v>
      </c>
      <c r="F18127" s="2">
        <v>1245</v>
      </c>
      <c r="G18127" s="2">
        <v>100</v>
      </c>
      <c r="H18127" s="2">
        <v>317</v>
      </c>
      <c r="I18127" s="2">
        <v>169</v>
      </c>
      <c r="J18127" s="2">
        <v>1119</v>
      </c>
      <c r="K18127" s="2">
        <v>1</v>
      </c>
      <c r="L18127" s="2">
        <v>317</v>
      </c>
    </row>
    <row r="18128" spans="1:12" x14ac:dyDescent="0.25">
      <c r="A18128" s="4" t="str">
        <f>HYPERLINK("http://www.rosaceae.org/Prunus/Prunus_persica/p.persica_gdr_reftransV1_0036050","p.persica_gdr_reftransV1_0036050")</f>
        <v>p.persica_gdr_reftransV1_0036050</v>
      </c>
      <c r="B18128" s="2">
        <v>891</v>
      </c>
      <c r="C18128" s="4" t="str">
        <f>HYPERLINK("http://www.uniprot.org/uniprot/M5W9S5","M5W9S5")</f>
        <v>M5W9S5</v>
      </c>
      <c r="D18128" s="2" t="s">
        <v>3578</v>
      </c>
      <c r="E18128" s="3">
        <v>7.9700000000000006E-130</v>
      </c>
      <c r="F18128" s="2">
        <v>988</v>
      </c>
      <c r="G18128" s="2">
        <v>100</v>
      </c>
      <c r="H18128" s="2">
        <v>203</v>
      </c>
      <c r="I18128" s="2">
        <v>2</v>
      </c>
      <c r="J18128" s="2">
        <v>610</v>
      </c>
      <c r="K18128" s="2">
        <v>140</v>
      </c>
      <c r="L18128" s="2">
        <v>342</v>
      </c>
    </row>
    <row r="18129" spans="1:12" x14ac:dyDescent="0.25">
      <c r="A18129" s="4" t="str">
        <f>HYPERLINK("http://www.rosaceae.org/Prunus/Prunus_persica/p.persica_gdr_reftransV1_0037800","p.persica_gdr_reftransV1_0037800")</f>
        <v>p.persica_gdr_reftransV1_0037800</v>
      </c>
      <c r="B18129" s="2">
        <v>2722</v>
      </c>
      <c r="C18129" s="4" t="str">
        <f>HYPERLINK("http://www.uniprot.org/uniprot/M5XYR5","M5XYR5")</f>
        <v>M5XYR5</v>
      </c>
      <c r="D18129" s="2" t="s">
        <v>14082</v>
      </c>
      <c r="E18129" s="3">
        <v>6.9400000000000001E-98</v>
      </c>
      <c r="F18129" s="2">
        <v>820</v>
      </c>
      <c r="G18129" s="2">
        <v>87</v>
      </c>
      <c r="H18129" s="2">
        <v>212</v>
      </c>
      <c r="I18129" s="2">
        <v>403</v>
      </c>
      <c r="J18129" s="2">
        <v>1038</v>
      </c>
      <c r="K18129" s="2">
        <v>18</v>
      </c>
      <c r="L18129" s="2">
        <v>201</v>
      </c>
    </row>
    <row r="18130" spans="1:12" x14ac:dyDescent="0.25">
      <c r="A18130" s="4" t="str">
        <f>HYPERLINK("http://www.rosaceae.org/Prunus/Prunus_persica/p.persica_gdr_reftransV1_0038150","p.persica_gdr_reftransV1_0038150")</f>
        <v>p.persica_gdr_reftransV1_0038150</v>
      </c>
      <c r="B18130" s="2">
        <v>1339</v>
      </c>
      <c r="C18130" s="4" t="str">
        <f>HYPERLINK("http://www.uniprot.org/uniprot/M5XS98","M5XS98")</f>
        <v>M5XS98</v>
      </c>
      <c r="D18130" s="2" t="s">
        <v>14083</v>
      </c>
      <c r="E18130" s="3">
        <v>1.3800000000000001E-149</v>
      </c>
      <c r="F18130" s="2">
        <v>1127</v>
      </c>
      <c r="G18130" s="2">
        <v>99</v>
      </c>
      <c r="H18130" s="2">
        <v>270</v>
      </c>
      <c r="I18130" s="2">
        <v>209</v>
      </c>
      <c r="J18130" s="2">
        <v>1009</v>
      </c>
      <c r="K18130" s="2">
        <v>1</v>
      </c>
      <c r="L18130" s="2">
        <v>270</v>
      </c>
    </row>
    <row r="18131" spans="1:12" x14ac:dyDescent="0.25">
      <c r="A18131" s="4" t="str">
        <f>HYPERLINK("http://www.rosaceae.org/Prunus/Prunus_persica/p.persica_gdr_reftransV1_0038500","p.persica_gdr_reftransV1_0038500")</f>
        <v>p.persica_gdr_reftransV1_0038500</v>
      </c>
      <c r="B18131" s="2">
        <v>870</v>
      </c>
      <c r="C18131" s="4" t="str">
        <f>HYPERLINK("http://www.uniprot.org/uniprot/M5XX10","M5XX10")</f>
        <v>M5XX10</v>
      </c>
      <c r="D18131" s="2" t="s">
        <v>8777</v>
      </c>
      <c r="E18131" s="3">
        <v>2.0500000000000002E-74</v>
      </c>
      <c r="F18131" s="2">
        <v>625</v>
      </c>
      <c r="G18131" s="2">
        <v>100</v>
      </c>
      <c r="H18131" s="2">
        <v>115</v>
      </c>
      <c r="I18131" s="2">
        <v>525</v>
      </c>
      <c r="J18131" s="2">
        <v>869</v>
      </c>
      <c r="K18131" s="2">
        <v>303</v>
      </c>
      <c r="L18131" s="2">
        <v>417</v>
      </c>
    </row>
    <row r="18132" spans="1:12" x14ac:dyDescent="0.25">
      <c r="A18132" s="4" t="str">
        <f>HYPERLINK("http://www.rosaceae.org/Prunus/Prunus_persica/p.persica_gdr_reftransV1_0038850","p.persica_gdr_reftransV1_0038850")</f>
        <v>p.persica_gdr_reftransV1_0038850</v>
      </c>
      <c r="B18132" s="2">
        <v>2849</v>
      </c>
      <c r="C18132" s="4" t="str">
        <f>HYPERLINK("http://www.uniprot.org/uniprot/M5X1Z5","M5X1Z5")</f>
        <v>M5X1Z5</v>
      </c>
      <c r="D18132" s="2" t="s">
        <v>14084</v>
      </c>
      <c r="E18132" s="3">
        <v>2.7199999999999998E-81</v>
      </c>
      <c r="F18132" s="2">
        <v>706</v>
      </c>
      <c r="G18132" s="2">
        <v>98</v>
      </c>
      <c r="H18132" s="2">
        <v>137</v>
      </c>
      <c r="I18132" s="2">
        <v>1778</v>
      </c>
      <c r="J18132" s="2">
        <v>2188</v>
      </c>
      <c r="K18132" s="2">
        <v>64</v>
      </c>
      <c r="L18132" s="2">
        <v>200</v>
      </c>
    </row>
    <row r="18133" spans="1:12" x14ac:dyDescent="0.25">
      <c r="A18133" s="4" t="str">
        <f>HYPERLINK("http://www.rosaceae.org/Prunus/Prunus_persica/p.persica_gdr_reftransV1_0040600","p.persica_gdr_reftransV1_0040600")</f>
        <v>p.persica_gdr_reftransV1_0040600</v>
      </c>
      <c r="B18133" s="2">
        <v>2325</v>
      </c>
      <c r="C18133" s="4" t="str">
        <f>HYPERLINK("http://www.uniprot.org/uniprot/M5XHS3","M5XHS3")</f>
        <v>M5XHS3</v>
      </c>
      <c r="D18133" s="2" t="s">
        <v>12490</v>
      </c>
      <c r="E18133" s="3">
        <v>1.18E-91</v>
      </c>
      <c r="F18133" s="2">
        <v>764</v>
      </c>
      <c r="G18133" s="2">
        <v>99</v>
      </c>
      <c r="H18133" s="2">
        <v>148</v>
      </c>
      <c r="I18133" s="2">
        <v>531</v>
      </c>
      <c r="J18133" s="2">
        <v>974</v>
      </c>
      <c r="K18133" s="2">
        <v>75</v>
      </c>
      <c r="L18133" s="2">
        <v>222</v>
      </c>
    </row>
    <row r="18134" spans="1:12" x14ac:dyDescent="0.25">
      <c r="A18134" s="4" t="str">
        <f>HYPERLINK("http://www.rosaceae.org/Prunus/Prunus_persica/p.persica_gdr_reftransV1_0041650","p.persica_gdr_reftransV1_0041650")</f>
        <v>p.persica_gdr_reftransV1_0041650</v>
      </c>
      <c r="B18134" s="2">
        <v>1157</v>
      </c>
      <c r="C18134" s="4" t="str">
        <f>HYPERLINK("http://www.uniprot.org/uniprot/M5X7X0","M5X7X0")</f>
        <v>M5X7X0</v>
      </c>
      <c r="D18134" s="2" t="s">
        <v>14085</v>
      </c>
      <c r="E18134" s="3">
        <v>1.2699999999999999E-61</v>
      </c>
      <c r="F18134" s="2">
        <v>522</v>
      </c>
      <c r="G18134" s="2">
        <v>100</v>
      </c>
      <c r="H18134" s="2">
        <v>114</v>
      </c>
      <c r="I18134" s="2">
        <v>313</v>
      </c>
      <c r="J18134" s="2">
        <v>654</v>
      </c>
      <c r="K18134" s="2">
        <v>1</v>
      </c>
      <c r="L18134" s="2">
        <v>114</v>
      </c>
    </row>
    <row r="18135" spans="1:12" x14ac:dyDescent="0.25">
      <c r="A18135" s="4" t="str">
        <f>HYPERLINK("http://www.rosaceae.org/Prunus/Prunus_persica/p.persica_gdr_reftransV1_0042350","p.persica_gdr_reftransV1_0042350")</f>
        <v>p.persica_gdr_reftransV1_0042350</v>
      </c>
      <c r="B18135" s="2">
        <v>2499</v>
      </c>
      <c r="C18135" s="4" t="str">
        <f>HYPERLINK("http://www.uniprot.org/uniprot/M5XJM1","M5XJM1")</f>
        <v>M5XJM1</v>
      </c>
      <c r="D18135" s="2" t="s">
        <v>13531</v>
      </c>
      <c r="E18135" s="3">
        <v>0</v>
      </c>
      <c r="F18135" s="2">
        <v>2306</v>
      </c>
      <c r="G18135" s="2">
        <v>89</v>
      </c>
      <c r="H18135" s="2">
        <v>495</v>
      </c>
      <c r="I18135" s="2">
        <v>525</v>
      </c>
      <c r="J18135" s="2">
        <v>2009</v>
      </c>
      <c r="K18135" s="2">
        <v>1</v>
      </c>
      <c r="L18135" s="2">
        <v>445</v>
      </c>
    </row>
    <row r="18136" spans="1:12" x14ac:dyDescent="0.25">
      <c r="A18136" s="4" t="str">
        <f>HYPERLINK("http://www.rosaceae.org/Prunus/Prunus_persica/p.persica_gdr_reftransV1_0043050","p.persica_gdr_reftransV1_0043050")</f>
        <v>p.persica_gdr_reftransV1_0043050</v>
      </c>
      <c r="B18136" s="2">
        <v>854</v>
      </c>
      <c r="C18136" s="4" t="str">
        <f>HYPERLINK("http://www.uniprot.org/uniprot/A0A061DKE2","A0A061DKE2")</f>
        <v>A0A061DKE2</v>
      </c>
      <c r="D18136" s="2" t="s">
        <v>14086</v>
      </c>
      <c r="E18136" s="3">
        <v>4.3599999999999997E-34</v>
      </c>
      <c r="F18136" s="2">
        <v>331</v>
      </c>
      <c r="G18136" s="2">
        <v>56</v>
      </c>
      <c r="H18136" s="2">
        <v>156</v>
      </c>
      <c r="I18136" s="2">
        <v>137</v>
      </c>
      <c r="J18136" s="2">
        <v>589</v>
      </c>
      <c r="K18136" s="2">
        <v>1</v>
      </c>
      <c r="L18136" s="2">
        <v>147</v>
      </c>
    </row>
    <row r="18137" spans="1:12" x14ac:dyDescent="0.25">
      <c r="A18137" s="4" t="str">
        <f>HYPERLINK("http://www.rosaceae.org/Prunus/Prunus_persica/p.persica_gdr_reftransV1_0043400","p.persica_gdr_reftransV1_0043400")</f>
        <v>p.persica_gdr_reftransV1_0043400</v>
      </c>
      <c r="B18137" s="2">
        <v>320</v>
      </c>
      <c r="C18137" s="4" t="str">
        <f>HYPERLINK("http://www.uniprot.org/uniprot/J7G586","J7G586")</f>
        <v>J7G586</v>
      </c>
      <c r="D18137" s="2" t="s">
        <v>298</v>
      </c>
      <c r="E18137" s="3">
        <v>8.9000000000000001E-26</v>
      </c>
      <c r="F18137" s="2">
        <v>276</v>
      </c>
      <c r="G18137" s="2">
        <v>46</v>
      </c>
      <c r="H18137" s="2">
        <v>107</v>
      </c>
      <c r="I18137" s="2">
        <v>1</v>
      </c>
      <c r="J18137" s="2">
        <v>318</v>
      </c>
      <c r="K18137" s="2">
        <v>516</v>
      </c>
      <c r="L18137" s="2">
        <v>622</v>
      </c>
    </row>
    <row r="18138" spans="1:12" x14ac:dyDescent="0.25">
      <c r="A18138" s="4" t="str">
        <f>HYPERLINK("http://www.rosaceae.org/Prunus/Prunus_persica/p.persica_gdr_reftransV1_0043750","p.persica_gdr_reftransV1_0043750")</f>
        <v>p.persica_gdr_reftransV1_0043750</v>
      </c>
      <c r="B18138" s="2">
        <v>1737</v>
      </c>
      <c r="C18138" s="4" t="str">
        <f>HYPERLINK("http://www.uniprot.org/uniprot/M5XNC9","M5XNC9")</f>
        <v>M5XNC9</v>
      </c>
      <c r="D18138" s="2" t="s">
        <v>14087</v>
      </c>
      <c r="E18138" s="3">
        <v>0</v>
      </c>
      <c r="F18138" s="2">
        <v>1735</v>
      </c>
      <c r="G18138" s="2">
        <v>87</v>
      </c>
      <c r="H18138" s="2">
        <v>382</v>
      </c>
      <c r="I18138" s="2">
        <v>60</v>
      </c>
      <c r="J18138" s="2">
        <v>1202</v>
      </c>
      <c r="K18138" s="2">
        <v>1</v>
      </c>
      <c r="L18138" s="2">
        <v>382</v>
      </c>
    </row>
    <row r="18139" spans="1:12" x14ac:dyDescent="0.25">
      <c r="A18139" s="4" t="str">
        <f>HYPERLINK("http://www.rosaceae.org/Prunus/Prunus_persica/p.persica_gdr_reftransV1_0044100","p.persica_gdr_reftransV1_0044100")</f>
        <v>p.persica_gdr_reftransV1_0044100</v>
      </c>
      <c r="B18139" s="2">
        <v>506</v>
      </c>
      <c r="C18139" s="4" t="str">
        <f>HYPERLINK("http://www.uniprot.org/uniprot/M5XAF6","M5XAF6")</f>
        <v>M5XAF6</v>
      </c>
      <c r="D18139" s="2" t="s">
        <v>7865</v>
      </c>
      <c r="E18139" s="3">
        <v>6.9600000000000003E-63</v>
      </c>
      <c r="F18139" s="2">
        <v>526</v>
      </c>
      <c r="G18139" s="2">
        <v>100</v>
      </c>
      <c r="H18139" s="2">
        <v>100</v>
      </c>
      <c r="I18139" s="2">
        <v>1</v>
      </c>
      <c r="J18139" s="2">
        <v>300</v>
      </c>
      <c r="K18139" s="2">
        <v>1</v>
      </c>
      <c r="L18139" s="2">
        <v>100</v>
      </c>
    </row>
    <row r="18140" spans="1:12" x14ac:dyDescent="0.25">
      <c r="A18140" s="4" t="str">
        <f>HYPERLINK("http://www.rosaceae.org/Prunus/Prunus_persica/p.persica_gdr_reftransV1_0044450","p.persica_gdr_reftransV1_0044450")</f>
        <v>p.persica_gdr_reftransV1_0044450</v>
      </c>
      <c r="B18140" s="2">
        <v>311</v>
      </c>
      <c r="C18140" s="4" t="str">
        <f>HYPERLINK("http://www.uniprot.org/uniprot/M5W2N4","M5W2N4")</f>
        <v>M5W2N4</v>
      </c>
      <c r="D18140" s="2" t="s">
        <v>13569</v>
      </c>
      <c r="E18140" s="3">
        <v>1.9199999999999999E-39</v>
      </c>
      <c r="F18140" s="2">
        <v>376</v>
      </c>
      <c r="G18140" s="2">
        <v>100</v>
      </c>
      <c r="H18140" s="2">
        <v>103</v>
      </c>
      <c r="I18140" s="2">
        <v>2</v>
      </c>
      <c r="J18140" s="2">
        <v>310</v>
      </c>
      <c r="K18140" s="2">
        <v>247</v>
      </c>
      <c r="L18140" s="2">
        <v>349</v>
      </c>
    </row>
    <row r="18141" spans="1:12" x14ac:dyDescent="0.25">
      <c r="A18141" s="4" t="str">
        <f>HYPERLINK("http://www.rosaceae.org/Prunus/Prunus_persica/p.persica_gdr_reftransV1_0044800","p.persica_gdr_reftransV1_0044800")</f>
        <v>p.persica_gdr_reftransV1_0044800</v>
      </c>
      <c r="B18141" s="2">
        <v>1002</v>
      </c>
      <c r="C18141" s="4" t="str">
        <f>HYPERLINK("http://www.uniprot.org/uniprot/M5VJ30","M5VJ30")</f>
        <v>M5VJ30</v>
      </c>
      <c r="D18141" s="2" t="s">
        <v>52</v>
      </c>
      <c r="E18141" s="3">
        <v>2.2500000000000001E-59</v>
      </c>
      <c r="F18141" s="2">
        <v>530</v>
      </c>
      <c r="G18141" s="2">
        <v>50</v>
      </c>
      <c r="H18141" s="2">
        <v>216</v>
      </c>
      <c r="I18141" s="2">
        <v>19</v>
      </c>
      <c r="J18141" s="2">
        <v>660</v>
      </c>
      <c r="K18141" s="2">
        <v>237</v>
      </c>
      <c r="L18141" s="2">
        <v>447</v>
      </c>
    </row>
    <row r="18142" spans="1:12" x14ac:dyDescent="0.25">
      <c r="A18142" s="4" t="str">
        <f>HYPERLINK("http://www.rosaceae.org/Prunus/Prunus_persica/p.persica_gdr_reftransV1_0045500","p.persica_gdr_reftransV1_0045500")</f>
        <v>p.persica_gdr_reftransV1_0045500</v>
      </c>
      <c r="B18142" s="2">
        <v>645</v>
      </c>
      <c r="C18142" s="4" t="str">
        <f>HYPERLINK("http://www.uniprot.org/uniprot/M5WEG9","M5WEG9")</f>
        <v>M5WEG9</v>
      </c>
      <c r="D18142" s="2" t="s">
        <v>14088</v>
      </c>
      <c r="E18142" s="3">
        <v>2.6600000000000002E-82</v>
      </c>
      <c r="F18142" s="2">
        <v>647</v>
      </c>
      <c r="G18142" s="2">
        <v>100</v>
      </c>
      <c r="H18142" s="2">
        <v>131</v>
      </c>
      <c r="I18142" s="2">
        <v>107</v>
      </c>
      <c r="J18142" s="2">
        <v>499</v>
      </c>
      <c r="K18142" s="2">
        <v>23</v>
      </c>
      <c r="L18142" s="2">
        <v>153</v>
      </c>
    </row>
    <row r="18143" spans="1:12" x14ac:dyDescent="0.25">
      <c r="A18143" s="4" t="str">
        <f>HYPERLINK("http://www.rosaceae.org/Prunus/Prunus_persica/p.persica_gdr_reftransV1_0045850","p.persica_gdr_reftransV1_0045850")</f>
        <v>p.persica_gdr_reftransV1_0045850</v>
      </c>
      <c r="B18143" s="2">
        <v>842</v>
      </c>
      <c r="C18143" s="4" t="str">
        <f>HYPERLINK("http://www.uniprot.org/uniprot/M5WRQ3","M5WRQ3")</f>
        <v>M5WRQ3</v>
      </c>
      <c r="D18143" s="2" t="s">
        <v>14089</v>
      </c>
      <c r="E18143" s="3">
        <v>4.7999999999999998E-74</v>
      </c>
      <c r="F18143" s="2">
        <v>595</v>
      </c>
      <c r="G18143" s="2">
        <v>100</v>
      </c>
      <c r="H18143" s="2">
        <v>113</v>
      </c>
      <c r="I18143" s="2">
        <v>232</v>
      </c>
      <c r="J18143" s="2">
        <v>570</v>
      </c>
      <c r="K18143" s="2">
        <v>1</v>
      </c>
      <c r="L18143" s="2">
        <v>113</v>
      </c>
    </row>
    <row r="18144" spans="1:12" x14ac:dyDescent="0.25">
      <c r="A18144" s="4" t="str">
        <f>HYPERLINK("http://www.rosaceae.org/Prunus/Prunus_persica/p.persica_gdr_reftransV1_0046200","p.persica_gdr_reftransV1_0046200")</f>
        <v>p.persica_gdr_reftransV1_0046200</v>
      </c>
      <c r="B18144" s="2">
        <v>393</v>
      </c>
      <c r="C18144" s="4" t="str">
        <f>HYPERLINK("http://www.uniprot.org/uniprot/M5WIU8","M5WIU8")</f>
        <v>M5WIU8</v>
      </c>
      <c r="D18144" s="2" t="s">
        <v>14090</v>
      </c>
      <c r="E18144" s="3">
        <v>4.23E-80</v>
      </c>
      <c r="F18144" s="2">
        <v>629</v>
      </c>
      <c r="G18144" s="2">
        <v>98</v>
      </c>
      <c r="H18144" s="2">
        <v>120</v>
      </c>
      <c r="I18144" s="2">
        <v>10</v>
      </c>
      <c r="J18144" s="2">
        <v>369</v>
      </c>
      <c r="K18144" s="2">
        <v>89</v>
      </c>
      <c r="L18144" s="2">
        <v>208</v>
      </c>
    </row>
    <row r="18145" spans="1:12" x14ac:dyDescent="0.25">
      <c r="A18145" s="4" t="str">
        <f>HYPERLINK("http://www.rosaceae.org/Prunus/Prunus_persica/p.persica_gdr_reftransV1_0046550","p.persica_gdr_reftransV1_0046550")</f>
        <v>p.persica_gdr_reftransV1_0046550</v>
      </c>
      <c r="B18145" s="2">
        <v>797</v>
      </c>
      <c r="C18145" s="4" t="str">
        <f>HYPERLINK("http://www.uniprot.org/uniprot/M5W7J2","M5W7J2")</f>
        <v>M5W7J2</v>
      </c>
      <c r="D18145" s="2" t="s">
        <v>645</v>
      </c>
      <c r="E18145" s="3">
        <v>8.8599999999999994E-73</v>
      </c>
      <c r="F18145" s="2">
        <v>588</v>
      </c>
      <c r="G18145" s="2">
        <v>97</v>
      </c>
      <c r="H18145" s="2">
        <v>113</v>
      </c>
      <c r="I18145" s="2">
        <v>331</v>
      </c>
      <c r="J18145" s="2">
        <v>669</v>
      </c>
      <c r="K18145" s="2">
        <v>6</v>
      </c>
      <c r="L18145" s="2">
        <v>118</v>
      </c>
    </row>
    <row r="18146" spans="1:12" x14ac:dyDescent="0.25">
      <c r="A18146" s="4" t="str">
        <f>HYPERLINK("http://www.rosaceae.org/Prunus/Prunus_persica/p.persica_gdr_reftransV1_0046900","p.persica_gdr_reftransV1_0046900")</f>
        <v>p.persica_gdr_reftransV1_0046900</v>
      </c>
      <c r="B18146" s="2">
        <v>580</v>
      </c>
      <c r="C18146" s="4" t="str">
        <f>HYPERLINK("http://www.uniprot.org/uniprot/A0A0B4L0D8","A0A0B4L0D8")</f>
        <v>A0A0B4L0D8</v>
      </c>
      <c r="D18146" s="2" t="s">
        <v>14091</v>
      </c>
      <c r="E18146" s="3">
        <v>2.3399999999999998E-139</v>
      </c>
      <c r="F18146" s="2">
        <v>1044</v>
      </c>
      <c r="G18146" s="2">
        <v>99</v>
      </c>
      <c r="H18146" s="2">
        <v>192</v>
      </c>
      <c r="I18146" s="2">
        <v>3</v>
      </c>
      <c r="J18146" s="2">
        <v>578</v>
      </c>
      <c r="K18146" s="2">
        <v>126</v>
      </c>
      <c r="L18146" s="2">
        <v>317</v>
      </c>
    </row>
    <row r="18147" spans="1:12" x14ac:dyDescent="0.25">
      <c r="A18147" s="4" t="str">
        <f>HYPERLINK("http://www.rosaceae.org/Prunus/Prunus_persica/p.persica_gdr_reftransV1_0047600","p.persica_gdr_reftransV1_0047600")</f>
        <v>p.persica_gdr_reftransV1_0047600</v>
      </c>
      <c r="B18147" s="2">
        <v>1945</v>
      </c>
      <c r="C18147" s="4" t="str">
        <f>HYPERLINK("http://www.uniprot.org/uniprot/M5XE70","M5XE70")</f>
        <v>M5XE70</v>
      </c>
      <c r="D18147" s="2" t="s">
        <v>3856</v>
      </c>
      <c r="E18147" s="3">
        <v>0</v>
      </c>
      <c r="F18147" s="2">
        <v>1355</v>
      </c>
      <c r="G18147" s="2">
        <v>100</v>
      </c>
      <c r="H18147" s="2">
        <v>301</v>
      </c>
      <c r="I18147" s="2">
        <v>434</v>
      </c>
      <c r="J18147" s="2">
        <v>1336</v>
      </c>
      <c r="K18147" s="2">
        <v>92</v>
      </c>
      <c r="L18147" s="2">
        <v>392</v>
      </c>
    </row>
    <row r="18148" spans="1:12" x14ac:dyDescent="0.25">
      <c r="A18148" s="4" t="str">
        <f>HYPERLINK("http://www.rosaceae.org/Prunus/Prunus_persica/p.persica_gdr_reftransV1_0047950","p.persica_gdr_reftransV1_0047950")</f>
        <v>p.persica_gdr_reftransV1_0047950</v>
      </c>
      <c r="B18148" s="2">
        <v>1239</v>
      </c>
      <c r="C18148" s="4" t="str">
        <f>HYPERLINK("http://www.uniprot.org/uniprot/M5WPI9","M5WPI9")</f>
        <v>M5WPI9</v>
      </c>
      <c r="D18148" s="2" t="s">
        <v>6765</v>
      </c>
      <c r="E18148" s="3">
        <v>1.18E-118</v>
      </c>
      <c r="F18148" s="2">
        <v>939</v>
      </c>
      <c r="G18148" s="2">
        <v>99</v>
      </c>
      <c r="H18148" s="2">
        <v>185</v>
      </c>
      <c r="I18148" s="2">
        <v>34</v>
      </c>
      <c r="J18148" s="2">
        <v>588</v>
      </c>
      <c r="K18148" s="2">
        <v>298</v>
      </c>
      <c r="L18148" s="2">
        <v>482</v>
      </c>
    </row>
    <row r="18149" spans="1:12" x14ac:dyDescent="0.25">
      <c r="A18149" s="4" t="str">
        <f>HYPERLINK("http://www.rosaceae.org/Prunus/Prunus_persica/p.persica_gdr_reftransV1_0048650","p.persica_gdr_reftransV1_0048650")</f>
        <v>p.persica_gdr_reftransV1_0048650</v>
      </c>
      <c r="B18149" s="2">
        <v>1211</v>
      </c>
      <c r="C18149" s="4" t="str">
        <f>HYPERLINK("http://www.uniprot.org/uniprot/M5W019","M5W019")</f>
        <v>M5W019</v>
      </c>
      <c r="D18149" s="2" t="s">
        <v>14092</v>
      </c>
      <c r="E18149" s="3">
        <v>0</v>
      </c>
      <c r="F18149" s="2">
        <v>1455</v>
      </c>
      <c r="G18149" s="2">
        <v>100</v>
      </c>
      <c r="H18149" s="2">
        <v>323</v>
      </c>
      <c r="I18149" s="2">
        <v>190</v>
      </c>
      <c r="J18149" s="2">
        <v>1158</v>
      </c>
      <c r="K18149" s="2">
        <v>1</v>
      </c>
      <c r="L18149" s="2">
        <v>323</v>
      </c>
    </row>
    <row r="18150" spans="1:12" x14ac:dyDescent="0.25">
      <c r="A18150" s="4" t="str">
        <f>HYPERLINK("http://www.rosaceae.org/Prunus/Prunus_persica/p.persica_gdr_reftransV1_0049000","p.persica_gdr_reftransV1_0049000")</f>
        <v>p.persica_gdr_reftransV1_0049000</v>
      </c>
      <c r="B18150" s="2">
        <v>1145</v>
      </c>
      <c r="C18150" s="4" t="str">
        <f>HYPERLINK("http://www.uniprot.org/uniprot/M5VMQ0","M5VMQ0")</f>
        <v>M5VMQ0</v>
      </c>
      <c r="D18150" s="2" t="s">
        <v>14093</v>
      </c>
      <c r="E18150" s="3">
        <v>1.8399999999999998E-170</v>
      </c>
      <c r="F18150" s="2">
        <v>1264</v>
      </c>
      <c r="G18150" s="2">
        <v>100</v>
      </c>
      <c r="H18150" s="2">
        <v>330</v>
      </c>
      <c r="I18150" s="2">
        <v>117</v>
      </c>
      <c r="J18150" s="2">
        <v>1106</v>
      </c>
      <c r="K18150" s="2">
        <v>1</v>
      </c>
      <c r="L18150" s="2">
        <v>330</v>
      </c>
    </row>
    <row r="18151" spans="1:12" x14ac:dyDescent="0.25">
      <c r="A18151" s="4" t="str">
        <f>HYPERLINK("http://www.rosaceae.org/Prunus/Prunus_persica/p.persica_gdr_reftransV1_0000035","p.persica_gdr_reftransV1_0000035")</f>
        <v>p.persica_gdr_reftransV1_0000035</v>
      </c>
      <c r="B18151" s="2">
        <v>1644</v>
      </c>
      <c r="C18151" s="4" t="str">
        <f>HYPERLINK("http://www.uniprot.org/uniprot/M5VQ97","M5VQ97")</f>
        <v>M5VQ97</v>
      </c>
      <c r="D18151" s="2" t="s">
        <v>14094</v>
      </c>
      <c r="E18151" s="3">
        <v>0</v>
      </c>
      <c r="F18151" s="2">
        <v>1547</v>
      </c>
      <c r="G18151" s="2">
        <v>99</v>
      </c>
      <c r="H18151" s="2">
        <v>313</v>
      </c>
      <c r="I18151" s="2">
        <v>215</v>
      </c>
      <c r="J18151" s="2">
        <v>1153</v>
      </c>
      <c r="K18151" s="2">
        <v>10</v>
      </c>
      <c r="L18151" s="2">
        <v>322</v>
      </c>
    </row>
    <row r="18152" spans="1:12" x14ac:dyDescent="0.25">
      <c r="A18152" s="4" t="str">
        <f>HYPERLINK("http://www.rosaceae.org/Prunus/Prunus_persica/p.persica_gdr_reftransV1_0000385","p.persica_gdr_reftransV1_0000385")</f>
        <v>p.persica_gdr_reftransV1_0000385</v>
      </c>
      <c r="B18152" s="2">
        <v>335</v>
      </c>
      <c r="C18152" s="4" t="str">
        <f>HYPERLINK("http://www.uniprot.org/uniprot/M5XQB5","M5XQB5")</f>
        <v>M5XQB5</v>
      </c>
      <c r="D18152" s="2" t="s">
        <v>9757</v>
      </c>
      <c r="E18152" s="3">
        <v>1.33E-8</v>
      </c>
      <c r="F18152" s="2">
        <v>144</v>
      </c>
      <c r="G18152" s="2">
        <v>100</v>
      </c>
      <c r="H18152" s="2">
        <v>41</v>
      </c>
      <c r="I18152" s="2">
        <v>3</v>
      </c>
      <c r="J18152" s="2">
        <v>125</v>
      </c>
      <c r="K18152" s="2">
        <v>1</v>
      </c>
      <c r="L18152" s="2">
        <v>41</v>
      </c>
    </row>
    <row r="18153" spans="1:12" x14ac:dyDescent="0.25">
      <c r="A18153" s="4" t="str">
        <f>HYPERLINK("http://www.rosaceae.org/Prunus/Prunus_persica/p.persica_gdr_reftransV1_0000735","p.persica_gdr_reftransV1_0000735")</f>
        <v>p.persica_gdr_reftransV1_0000735</v>
      </c>
      <c r="B18153" s="2">
        <v>1182</v>
      </c>
      <c r="C18153" s="4" t="str">
        <f>HYPERLINK("http://www.uniprot.org/uniprot/M5VL20","M5VL20")</f>
        <v>M5VL20</v>
      </c>
      <c r="D18153" s="2" t="s">
        <v>14095</v>
      </c>
      <c r="E18153" s="3">
        <v>1.8700000000000001E-118</v>
      </c>
      <c r="F18153" s="2">
        <v>722</v>
      </c>
      <c r="G18153" s="2">
        <v>100</v>
      </c>
      <c r="H18153" s="2">
        <v>137</v>
      </c>
      <c r="I18153" s="2">
        <v>490</v>
      </c>
      <c r="J18153" s="2">
        <v>900</v>
      </c>
      <c r="K18153" s="2">
        <v>113</v>
      </c>
      <c r="L18153" s="2">
        <v>249</v>
      </c>
    </row>
    <row r="18154" spans="1:12" x14ac:dyDescent="0.25">
      <c r="A18154" s="4" t="str">
        <f>HYPERLINK("http://www.rosaceae.org/Prunus/Prunus_persica/p.persica_gdr_reftransV1_0001085","p.persica_gdr_reftransV1_0001085")</f>
        <v>p.persica_gdr_reftransV1_0001085</v>
      </c>
      <c r="B18154" s="2">
        <v>956</v>
      </c>
      <c r="C18154" s="4" t="str">
        <f>HYPERLINK("http://www.uniprot.org/uniprot/M5VTG4","M5VTG4")</f>
        <v>M5VTG4</v>
      </c>
      <c r="D18154" s="2" t="s">
        <v>14096</v>
      </c>
      <c r="E18154" s="3">
        <v>5.8800000000000006E-104</v>
      </c>
      <c r="F18154" s="2">
        <v>805</v>
      </c>
      <c r="G18154" s="2">
        <v>100</v>
      </c>
      <c r="H18154" s="2">
        <v>182</v>
      </c>
      <c r="I18154" s="2">
        <v>95</v>
      </c>
      <c r="J18154" s="2">
        <v>640</v>
      </c>
      <c r="K18154" s="2">
        <v>1</v>
      </c>
      <c r="L18154" s="2">
        <v>182</v>
      </c>
    </row>
    <row r="18155" spans="1:12" x14ac:dyDescent="0.25">
      <c r="A18155" s="4" t="str">
        <f>HYPERLINK("http://www.rosaceae.org/Prunus/Prunus_persica/p.persica_gdr_reftransV1_0001435","p.persica_gdr_reftransV1_0001435")</f>
        <v>p.persica_gdr_reftransV1_0001435</v>
      </c>
      <c r="B18155" s="2">
        <v>816</v>
      </c>
      <c r="C18155" s="4" t="str">
        <f>HYPERLINK("http://www.uniprot.org/uniprot/M5WSW5","M5WSW5")</f>
        <v>M5WSW5</v>
      </c>
      <c r="D18155" s="2" t="s">
        <v>3588</v>
      </c>
      <c r="E18155" s="3">
        <v>2.1300000000000001E-75</v>
      </c>
      <c r="F18155" s="2">
        <v>606</v>
      </c>
      <c r="G18155" s="2">
        <v>100</v>
      </c>
      <c r="H18155" s="2">
        <v>147</v>
      </c>
      <c r="I18155" s="2">
        <v>140</v>
      </c>
      <c r="J18155" s="2">
        <v>580</v>
      </c>
      <c r="K18155" s="2">
        <v>1</v>
      </c>
      <c r="L18155" s="2">
        <v>147</v>
      </c>
    </row>
    <row r="18156" spans="1:12" x14ac:dyDescent="0.25">
      <c r="A18156" s="4" t="str">
        <f>HYPERLINK("http://www.rosaceae.org/Prunus/Prunus_persica/p.persica_gdr_reftransV1_0001785","p.persica_gdr_reftransV1_0001785")</f>
        <v>p.persica_gdr_reftransV1_0001785</v>
      </c>
      <c r="B18156" s="2">
        <v>1362</v>
      </c>
      <c r="C18156" s="4" t="str">
        <f>HYPERLINK("http://www.uniprot.org/uniprot/D7TGT5","D7TGT5")</f>
        <v>D7TGT5</v>
      </c>
      <c r="D18156" s="2" t="s">
        <v>14097</v>
      </c>
      <c r="E18156" s="3">
        <v>5.0800000000000003E-168</v>
      </c>
      <c r="F18156" s="2">
        <v>1261</v>
      </c>
      <c r="G18156" s="2">
        <v>73</v>
      </c>
      <c r="H18156" s="2">
        <v>345</v>
      </c>
      <c r="I18156" s="2">
        <v>1</v>
      </c>
      <c r="J18156" s="2">
        <v>951</v>
      </c>
      <c r="K18156" s="2">
        <v>39</v>
      </c>
      <c r="L18156" s="2">
        <v>380</v>
      </c>
    </row>
    <row r="18157" spans="1:12" x14ac:dyDescent="0.25">
      <c r="A18157" s="4" t="str">
        <f>HYPERLINK("http://www.rosaceae.org/Prunus/Prunus_persica/p.persica_gdr_reftransV1_0002835","p.persica_gdr_reftransV1_0002835")</f>
        <v>p.persica_gdr_reftransV1_0002835</v>
      </c>
      <c r="B18157" s="2">
        <v>1135</v>
      </c>
      <c r="C18157" s="4" t="str">
        <f>HYPERLINK("http://www.uniprot.org/uniprot/M5VNT9","M5VNT9")</f>
        <v>M5VNT9</v>
      </c>
      <c r="D18157" s="2" t="s">
        <v>14098</v>
      </c>
      <c r="E18157" s="3">
        <v>3.7799999999999998E-131</v>
      </c>
      <c r="F18157" s="2">
        <v>989</v>
      </c>
      <c r="G18157" s="2">
        <v>100</v>
      </c>
      <c r="H18157" s="2">
        <v>183</v>
      </c>
      <c r="I18157" s="2">
        <v>218</v>
      </c>
      <c r="J18157" s="2">
        <v>766</v>
      </c>
      <c r="K18157" s="2">
        <v>1</v>
      </c>
      <c r="L18157" s="2">
        <v>183</v>
      </c>
    </row>
    <row r="18158" spans="1:12" x14ac:dyDescent="0.25">
      <c r="A18158" s="4" t="str">
        <f>HYPERLINK("http://www.rosaceae.org/Prunus/Prunus_persica/p.persica_gdr_reftransV1_0004235","p.persica_gdr_reftransV1_0004235")</f>
        <v>p.persica_gdr_reftransV1_0004235</v>
      </c>
      <c r="B18158" s="2">
        <v>3009</v>
      </c>
      <c r="C18158" s="4" t="str">
        <f>HYPERLINK("http://www.uniprot.org/uniprot/M5W7H4","M5W7H4")</f>
        <v>M5W7H4</v>
      </c>
      <c r="D18158" s="2" t="s">
        <v>4021</v>
      </c>
      <c r="E18158" s="3">
        <v>0</v>
      </c>
      <c r="F18158" s="2">
        <v>3536</v>
      </c>
      <c r="G18158" s="2">
        <v>100</v>
      </c>
      <c r="H18158" s="2">
        <v>761</v>
      </c>
      <c r="I18158" s="2">
        <v>598</v>
      </c>
      <c r="J18158" s="2">
        <v>2880</v>
      </c>
      <c r="K18158" s="2">
        <v>1</v>
      </c>
      <c r="L18158" s="2">
        <v>761</v>
      </c>
    </row>
    <row r="18159" spans="1:12" x14ac:dyDescent="0.25">
      <c r="A18159" s="4" t="str">
        <f>HYPERLINK("http://www.rosaceae.org/Prunus/Prunus_persica/p.persica_gdr_reftransV1_0004935","p.persica_gdr_reftransV1_0004935")</f>
        <v>p.persica_gdr_reftransV1_0004935</v>
      </c>
      <c r="B18159" s="2">
        <v>1037</v>
      </c>
      <c r="C18159" s="4" t="str">
        <f>HYPERLINK("http://www.uniprot.org/uniprot/M5X459","M5X459")</f>
        <v>M5X459</v>
      </c>
      <c r="D18159" s="2" t="s">
        <v>14099</v>
      </c>
      <c r="E18159" s="3">
        <v>1.79E-47</v>
      </c>
      <c r="F18159" s="2">
        <v>429</v>
      </c>
      <c r="G18159" s="2">
        <v>91</v>
      </c>
      <c r="H18159" s="2">
        <v>120</v>
      </c>
      <c r="I18159" s="2">
        <v>418</v>
      </c>
      <c r="J18159" s="2">
        <v>777</v>
      </c>
      <c r="K18159" s="2">
        <v>68</v>
      </c>
      <c r="L18159" s="2">
        <v>176</v>
      </c>
    </row>
    <row r="18160" spans="1:12" x14ac:dyDescent="0.25">
      <c r="A18160" s="4" t="str">
        <f>HYPERLINK("http://www.rosaceae.org/Prunus/Prunus_persica/p.persica_gdr_reftransV1_0007035","p.persica_gdr_reftransV1_0007035")</f>
        <v>p.persica_gdr_reftransV1_0007035</v>
      </c>
      <c r="B18160" s="2">
        <v>4112</v>
      </c>
      <c r="C18160" s="4" t="str">
        <f>HYPERLINK("http://www.uniprot.org/uniprot/G8A2A1","G8A2A1")</f>
        <v>G8A2A1</v>
      </c>
      <c r="D18160" s="2" t="s">
        <v>14100</v>
      </c>
      <c r="E18160" s="3">
        <v>9.9999999999999995E-163</v>
      </c>
      <c r="F18160" s="2">
        <v>814</v>
      </c>
      <c r="G18160" s="2">
        <v>74</v>
      </c>
      <c r="H18160" s="2">
        <v>223</v>
      </c>
      <c r="I18160" s="2">
        <v>117</v>
      </c>
      <c r="J18160" s="2">
        <v>785</v>
      </c>
      <c r="K18160" s="2">
        <v>90</v>
      </c>
      <c r="L18160" s="2">
        <v>277</v>
      </c>
    </row>
    <row r="18161" spans="1:12" x14ac:dyDescent="0.25">
      <c r="A18161" s="4" t="str">
        <f>HYPERLINK("http://www.rosaceae.org/Prunus/Prunus_persica/p.persica_gdr_reftransV1_0007385","p.persica_gdr_reftransV1_0007385")</f>
        <v>p.persica_gdr_reftransV1_0007385</v>
      </c>
      <c r="B18161" s="2">
        <v>2301</v>
      </c>
      <c r="C18161" s="4" t="str">
        <f>HYPERLINK("http://www.uniprot.org/uniprot/M5W116","M5W116")</f>
        <v>M5W116</v>
      </c>
      <c r="D18161" s="2" t="s">
        <v>14101</v>
      </c>
      <c r="E18161" s="3">
        <v>0</v>
      </c>
      <c r="F18161" s="2">
        <v>2691</v>
      </c>
      <c r="G18161" s="2">
        <v>93</v>
      </c>
      <c r="H18161" s="2">
        <v>586</v>
      </c>
      <c r="I18161" s="2">
        <v>332</v>
      </c>
      <c r="J18161" s="2">
        <v>1969</v>
      </c>
      <c r="K18161" s="2">
        <v>1</v>
      </c>
      <c r="L18161" s="2">
        <v>586</v>
      </c>
    </row>
    <row r="18162" spans="1:12" x14ac:dyDescent="0.25">
      <c r="A18162" s="4" t="str">
        <f>HYPERLINK("http://www.rosaceae.org/Prunus/Prunus_persica/p.persica_gdr_reftransV1_0008085","p.persica_gdr_reftransV1_0008085")</f>
        <v>p.persica_gdr_reftransV1_0008085</v>
      </c>
      <c r="B18162" s="2">
        <v>531</v>
      </c>
      <c r="C18162" s="4" t="str">
        <f>HYPERLINK("http://www.uniprot.org/uniprot/M5VP40","M5VP40")</f>
        <v>M5VP40</v>
      </c>
      <c r="D18162" s="2" t="s">
        <v>14102</v>
      </c>
      <c r="E18162" s="3">
        <v>1.01E-112</v>
      </c>
      <c r="F18162" s="2">
        <v>860</v>
      </c>
      <c r="G18162" s="2">
        <v>100</v>
      </c>
      <c r="H18162" s="2">
        <v>176</v>
      </c>
      <c r="I18162" s="2">
        <v>3</v>
      </c>
      <c r="J18162" s="2">
        <v>530</v>
      </c>
      <c r="K18162" s="2">
        <v>153</v>
      </c>
      <c r="L18162" s="2">
        <v>328</v>
      </c>
    </row>
    <row r="18163" spans="1:12" x14ac:dyDescent="0.25">
      <c r="A18163" s="4" t="str">
        <f>HYPERLINK("http://www.rosaceae.org/Prunus/Prunus_persica/p.persica_gdr_reftransV1_0008435","p.persica_gdr_reftransV1_0008435")</f>
        <v>p.persica_gdr_reftransV1_0008435</v>
      </c>
      <c r="B18163" s="2">
        <v>1628</v>
      </c>
      <c r="C18163" s="4" t="str">
        <f>HYPERLINK("http://www.uniprot.org/uniprot/M5VJA2","M5VJA2")</f>
        <v>M5VJA2</v>
      </c>
      <c r="D18163" s="2" t="s">
        <v>14103</v>
      </c>
      <c r="E18163" s="3">
        <v>0</v>
      </c>
      <c r="F18163" s="2">
        <v>1874</v>
      </c>
      <c r="G18163" s="2">
        <v>100</v>
      </c>
      <c r="H18163" s="2">
        <v>415</v>
      </c>
      <c r="I18163" s="2">
        <v>99</v>
      </c>
      <c r="J18163" s="2">
        <v>1343</v>
      </c>
      <c r="K18163" s="2">
        <v>1</v>
      </c>
      <c r="L18163" s="2">
        <v>415</v>
      </c>
    </row>
    <row r="18164" spans="1:12" x14ac:dyDescent="0.25">
      <c r="A18164" s="4" t="str">
        <f>HYPERLINK("http://www.rosaceae.org/Prunus/Prunus_persica/p.persica_gdr_reftransV1_0010535","p.persica_gdr_reftransV1_0010535")</f>
        <v>p.persica_gdr_reftransV1_0010535</v>
      </c>
      <c r="B18164" s="2">
        <v>3302</v>
      </c>
      <c r="C18164" s="4" t="str">
        <f>HYPERLINK("http://www.uniprot.org/uniprot/M5W6B8","M5W6B8")</f>
        <v>M5W6B8</v>
      </c>
      <c r="D18164" s="2" t="s">
        <v>1858</v>
      </c>
      <c r="E18164" s="3">
        <v>0</v>
      </c>
      <c r="F18164" s="2">
        <v>3792</v>
      </c>
      <c r="G18164" s="2">
        <v>100</v>
      </c>
      <c r="H18164" s="2">
        <v>849</v>
      </c>
      <c r="I18164" s="2">
        <v>326</v>
      </c>
      <c r="J18164" s="2">
        <v>2872</v>
      </c>
      <c r="K18164" s="2">
        <v>1</v>
      </c>
      <c r="L18164" s="2">
        <v>848</v>
      </c>
    </row>
    <row r="18165" spans="1:12" x14ac:dyDescent="0.25">
      <c r="A18165" s="4" t="str">
        <f>HYPERLINK("http://www.rosaceae.org/Prunus/Prunus_persica/p.persica_gdr_reftransV1_0011585","p.persica_gdr_reftransV1_0011585")</f>
        <v>p.persica_gdr_reftransV1_0011585</v>
      </c>
      <c r="B18165" s="2">
        <v>2251</v>
      </c>
      <c r="C18165" s="4" t="str">
        <f>HYPERLINK("http://www.uniprot.org/uniprot/M5VJL8","M5VJL8")</f>
        <v>M5VJL8</v>
      </c>
      <c r="D18165" s="2" t="s">
        <v>14104</v>
      </c>
      <c r="E18165" s="3">
        <v>0</v>
      </c>
      <c r="F18165" s="2">
        <v>2503</v>
      </c>
      <c r="G18165" s="2">
        <v>100</v>
      </c>
      <c r="H18165" s="2">
        <v>476</v>
      </c>
      <c r="I18165" s="2">
        <v>610</v>
      </c>
      <c r="J18165" s="2">
        <v>2037</v>
      </c>
      <c r="K18165" s="2">
        <v>64</v>
      </c>
      <c r="L18165" s="2">
        <v>539</v>
      </c>
    </row>
    <row r="18166" spans="1:12" x14ac:dyDescent="0.25">
      <c r="A18166" s="4" t="str">
        <f>HYPERLINK("http://www.rosaceae.org/Prunus/Prunus_persica/p.persica_gdr_reftransV1_0011935","p.persica_gdr_reftransV1_0011935")</f>
        <v>p.persica_gdr_reftransV1_0011935</v>
      </c>
      <c r="B18166" s="2">
        <v>3843</v>
      </c>
      <c r="C18166" s="4" t="str">
        <f>HYPERLINK("http://www.uniprot.org/uniprot/M5XHF1","M5XHF1")</f>
        <v>M5XHF1</v>
      </c>
      <c r="D18166" s="2" t="s">
        <v>14105</v>
      </c>
      <c r="E18166" s="3">
        <v>0</v>
      </c>
      <c r="F18166" s="2">
        <v>2046</v>
      </c>
      <c r="G18166" s="2">
        <v>99</v>
      </c>
      <c r="H18166" s="2">
        <v>488</v>
      </c>
      <c r="I18166" s="2">
        <v>2088</v>
      </c>
      <c r="J18166" s="2">
        <v>3551</v>
      </c>
      <c r="K18166" s="2">
        <v>27</v>
      </c>
      <c r="L18166" s="2">
        <v>513</v>
      </c>
    </row>
    <row r="18167" spans="1:12" x14ac:dyDescent="0.25">
      <c r="A18167" s="4" t="str">
        <f>HYPERLINK("http://www.rosaceae.org/Prunus/Prunus_persica/p.persica_gdr_reftransV1_0012985","p.persica_gdr_reftransV1_0012985")</f>
        <v>p.persica_gdr_reftransV1_0012985</v>
      </c>
      <c r="B18167" s="2">
        <v>3827</v>
      </c>
      <c r="C18167" s="4" t="str">
        <f>HYPERLINK("http://www.uniprot.org/uniprot/M5W873","M5W873")</f>
        <v>M5W873</v>
      </c>
      <c r="D18167" s="2" t="s">
        <v>14106</v>
      </c>
      <c r="E18167" s="3">
        <v>0</v>
      </c>
      <c r="F18167" s="2">
        <v>3171</v>
      </c>
      <c r="G18167" s="2">
        <v>100</v>
      </c>
      <c r="H18167" s="2">
        <v>615</v>
      </c>
      <c r="I18167" s="2">
        <v>376</v>
      </c>
      <c r="J18167" s="2">
        <v>2220</v>
      </c>
      <c r="K18167" s="2">
        <v>1</v>
      </c>
      <c r="L18167" s="2">
        <v>615</v>
      </c>
    </row>
    <row r="18168" spans="1:12" x14ac:dyDescent="0.25">
      <c r="A18168" s="4" t="str">
        <f>HYPERLINK("http://www.rosaceae.org/Prunus/Prunus_persica/p.persica_gdr_reftransV1_0013335","p.persica_gdr_reftransV1_0013335")</f>
        <v>p.persica_gdr_reftransV1_0013335</v>
      </c>
      <c r="B18168" s="2">
        <v>2008</v>
      </c>
      <c r="C18168" s="4" t="str">
        <f>HYPERLINK("http://www.uniprot.org/uniprot/M5W1U3","M5W1U3")</f>
        <v>M5W1U3</v>
      </c>
      <c r="D18168" s="2" t="s">
        <v>14107</v>
      </c>
      <c r="E18168" s="3">
        <v>4.2199999999999996E-164</v>
      </c>
      <c r="F18168" s="2">
        <v>1249</v>
      </c>
      <c r="G18168" s="2">
        <v>100</v>
      </c>
      <c r="H18168" s="2">
        <v>260</v>
      </c>
      <c r="I18168" s="2">
        <v>163</v>
      </c>
      <c r="J18168" s="2">
        <v>942</v>
      </c>
      <c r="K18168" s="2">
        <v>1</v>
      </c>
      <c r="L18168" s="2">
        <v>260</v>
      </c>
    </row>
    <row r="18169" spans="1:12" x14ac:dyDescent="0.25">
      <c r="A18169" s="4" t="str">
        <f>HYPERLINK("http://www.rosaceae.org/Prunus/Prunus_persica/p.persica_gdr_reftransV1_0014035","p.persica_gdr_reftransV1_0014035")</f>
        <v>p.persica_gdr_reftransV1_0014035</v>
      </c>
      <c r="B18169" s="2">
        <v>590</v>
      </c>
      <c r="C18169" s="4" t="str">
        <f>HYPERLINK("http://www.uniprot.org/uniprot/M5W1E8","M5W1E8")</f>
        <v>M5W1E8</v>
      </c>
      <c r="D18169" s="2" t="s">
        <v>14108</v>
      </c>
      <c r="E18169" s="3">
        <v>5.1499999999999997E-58</v>
      </c>
      <c r="F18169" s="2">
        <v>489</v>
      </c>
      <c r="G18169" s="2">
        <v>100</v>
      </c>
      <c r="H18169" s="2">
        <v>95</v>
      </c>
      <c r="I18169" s="2">
        <v>304</v>
      </c>
      <c r="J18169" s="2">
        <v>588</v>
      </c>
      <c r="K18169" s="2">
        <v>112</v>
      </c>
      <c r="L18169" s="2">
        <v>206</v>
      </c>
    </row>
    <row r="18170" spans="1:12" x14ac:dyDescent="0.25">
      <c r="A18170" s="4" t="str">
        <f>HYPERLINK("http://www.rosaceae.org/Prunus/Prunus_persica/p.persica_gdr_reftransV1_0014385","p.persica_gdr_reftransV1_0014385")</f>
        <v>p.persica_gdr_reftransV1_0014385</v>
      </c>
      <c r="B18170" s="2">
        <v>3083</v>
      </c>
      <c r="C18170" s="4" t="str">
        <f>HYPERLINK("http://www.uniprot.org/uniprot/M5WJX2","M5WJX2")</f>
        <v>M5WJX2</v>
      </c>
      <c r="D18170" s="2" t="s">
        <v>14109</v>
      </c>
      <c r="E18170" s="3">
        <v>0</v>
      </c>
      <c r="F18170" s="2">
        <v>3003</v>
      </c>
      <c r="G18170" s="2">
        <v>100</v>
      </c>
      <c r="H18170" s="2">
        <v>555</v>
      </c>
      <c r="I18170" s="2">
        <v>1136</v>
      </c>
      <c r="J18170" s="2">
        <v>2800</v>
      </c>
      <c r="K18170" s="2">
        <v>1</v>
      </c>
      <c r="L18170" s="2">
        <v>555</v>
      </c>
    </row>
    <row r="18171" spans="1:12" x14ac:dyDescent="0.25">
      <c r="A18171" s="4" t="str">
        <f>HYPERLINK("http://www.rosaceae.org/Prunus/Prunus_persica/p.persica_gdr_reftransV1_0015785","p.persica_gdr_reftransV1_0015785")</f>
        <v>p.persica_gdr_reftransV1_0015785</v>
      </c>
      <c r="B18171" s="2">
        <v>2437</v>
      </c>
      <c r="C18171" s="4" t="str">
        <f>HYPERLINK("http://www.uniprot.org/uniprot/M5WA23","M5WA23")</f>
        <v>M5WA23</v>
      </c>
      <c r="D18171" s="2" t="s">
        <v>14110</v>
      </c>
      <c r="E18171" s="3">
        <v>9.5900000000000006E-89</v>
      </c>
      <c r="F18171" s="2">
        <v>723</v>
      </c>
      <c r="G18171" s="2">
        <v>96</v>
      </c>
      <c r="H18171" s="2">
        <v>171</v>
      </c>
      <c r="I18171" s="2">
        <v>478</v>
      </c>
      <c r="J18171" s="2">
        <v>990</v>
      </c>
      <c r="K18171" s="2">
        <v>66</v>
      </c>
      <c r="L18171" s="2">
        <v>236</v>
      </c>
    </row>
    <row r="18172" spans="1:12" x14ac:dyDescent="0.25">
      <c r="A18172" s="4" t="str">
        <f>HYPERLINK("http://www.rosaceae.org/Prunus/Prunus_persica/p.persica_gdr_reftransV1_0016135","p.persica_gdr_reftransV1_0016135")</f>
        <v>p.persica_gdr_reftransV1_0016135</v>
      </c>
      <c r="B18172" s="2">
        <v>816</v>
      </c>
      <c r="C18172" s="4" t="str">
        <f>HYPERLINK("http://www.uniprot.org/uniprot/M5WXN4","M5WXN4")</f>
        <v>M5WXN4</v>
      </c>
      <c r="D18172" s="2" t="s">
        <v>14111</v>
      </c>
      <c r="E18172" s="3">
        <v>5.1299999999999999E-136</v>
      </c>
      <c r="F18172" s="2">
        <v>1037</v>
      </c>
      <c r="G18172" s="2">
        <v>95</v>
      </c>
      <c r="H18172" s="2">
        <v>202</v>
      </c>
      <c r="I18172" s="2">
        <v>186</v>
      </c>
      <c r="J18172" s="2">
        <v>791</v>
      </c>
      <c r="K18172" s="2">
        <v>259</v>
      </c>
      <c r="L18172" s="2">
        <v>460</v>
      </c>
    </row>
    <row r="18173" spans="1:12" x14ac:dyDescent="0.25">
      <c r="A18173" s="4" t="str">
        <f>HYPERLINK("http://www.rosaceae.org/Prunus/Prunus_persica/p.persica_gdr_reftransV1_0016485","p.persica_gdr_reftransV1_0016485")</f>
        <v>p.persica_gdr_reftransV1_0016485</v>
      </c>
      <c r="B18173" s="2">
        <v>4043</v>
      </c>
      <c r="C18173" s="4" t="str">
        <f>HYPERLINK("http://www.uniprot.org/uniprot/M5W7A6","M5W7A6")</f>
        <v>M5W7A6</v>
      </c>
      <c r="D18173" s="2" t="s">
        <v>14112</v>
      </c>
      <c r="E18173" s="3">
        <v>0</v>
      </c>
      <c r="F18173" s="2">
        <v>5816</v>
      </c>
      <c r="G18173" s="2">
        <v>99</v>
      </c>
      <c r="H18173" s="2">
        <v>1107</v>
      </c>
      <c r="I18173" s="2">
        <v>306</v>
      </c>
      <c r="J18173" s="2">
        <v>3626</v>
      </c>
      <c r="K18173" s="2">
        <v>1</v>
      </c>
      <c r="L18173" s="2">
        <v>1098</v>
      </c>
    </row>
    <row r="18174" spans="1:12" x14ac:dyDescent="0.25">
      <c r="A18174" s="4" t="str">
        <f>HYPERLINK("http://www.rosaceae.org/Prunus/Prunus_persica/p.persica_gdr_reftransV1_0016835","p.persica_gdr_reftransV1_0016835")</f>
        <v>p.persica_gdr_reftransV1_0016835</v>
      </c>
      <c r="B18174" s="2">
        <v>1967</v>
      </c>
      <c r="C18174" s="4" t="str">
        <f>HYPERLINK("http://www.uniprot.org/uniprot/M5WFK9","M5WFK9")</f>
        <v>M5WFK9</v>
      </c>
      <c r="D18174" s="2" t="s">
        <v>11510</v>
      </c>
      <c r="E18174" s="3">
        <v>2.24E-123</v>
      </c>
      <c r="F18174" s="2">
        <v>783</v>
      </c>
      <c r="G18174" s="2">
        <v>99</v>
      </c>
      <c r="H18174" s="2">
        <v>151</v>
      </c>
      <c r="I18174" s="2">
        <v>413</v>
      </c>
      <c r="J18174" s="2">
        <v>865</v>
      </c>
      <c r="K18174" s="2">
        <v>96</v>
      </c>
      <c r="L18174" s="2">
        <v>246</v>
      </c>
    </row>
    <row r="18175" spans="1:12" x14ac:dyDescent="0.25">
      <c r="A18175" s="4" t="str">
        <f>HYPERLINK("http://www.rosaceae.org/Prunus/Prunus_persica/p.persica_gdr_reftransV1_0017535","p.persica_gdr_reftransV1_0017535")</f>
        <v>p.persica_gdr_reftransV1_0017535</v>
      </c>
      <c r="B18175" s="2">
        <v>2869</v>
      </c>
      <c r="C18175" s="4" t="str">
        <f>HYPERLINK("http://www.uniprot.org/uniprot/M5W228","M5W228")</f>
        <v>M5W228</v>
      </c>
      <c r="D18175" s="2" t="s">
        <v>14113</v>
      </c>
      <c r="E18175" s="3">
        <v>0</v>
      </c>
      <c r="F18175" s="2">
        <v>1924</v>
      </c>
      <c r="G18175" s="2">
        <v>97</v>
      </c>
      <c r="H18175" s="2">
        <v>400</v>
      </c>
      <c r="I18175" s="2">
        <v>1476</v>
      </c>
      <c r="J18175" s="2">
        <v>2663</v>
      </c>
      <c r="K18175" s="2">
        <v>1</v>
      </c>
      <c r="L18175" s="2">
        <v>400</v>
      </c>
    </row>
    <row r="18176" spans="1:12" x14ac:dyDescent="0.25">
      <c r="A18176" s="4" t="str">
        <f>HYPERLINK("http://www.rosaceae.org/Prunus/Prunus_persica/p.persica_gdr_reftransV1_0018585","p.persica_gdr_reftransV1_0018585")</f>
        <v>p.persica_gdr_reftransV1_0018585</v>
      </c>
      <c r="B18176" s="2">
        <v>2914</v>
      </c>
      <c r="C18176" s="4" t="str">
        <f>HYPERLINK("http://www.uniprot.org/uniprot/M5WWR0","M5WWR0")</f>
        <v>M5WWR0</v>
      </c>
      <c r="D18176" s="2" t="s">
        <v>14114</v>
      </c>
      <c r="E18176" s="3">
        <v>0</v>
      </c>
      <c r="F18176" s="2">
        <v>3923</v>
      </c>
      <c r="G18176" s="2">
        <v>100</v>
      </c>
      <c r="H18176" s="2">
        <v>821</v>
      </c>
      <c r="I18176" s="2">
        <v>266</v>
      </c>
      <c r="J18176" s="2">
        <v>2728</v>
      </c>
      <c r="K18176" s="2">
        <v>1</v>
      </c>
      <c r="L18176" s="2">
        <v>821</v>
      </c>
    </row>
    <row r="18177" spans="1:12" x14ac:dyDescent="0.25">
      <c r="A18177" s="4" t="str">
        <f>HYPERLINK("http://www.rosaceae.org/Prunus/Prunus_persica/p.persica_gdr_reftransV1_0019285","p.persica_gdr_reftransV1_0019285")</f>
        <v>p.persica_gdr_reftransV1_0019285</v>
      </c>
      <c r="B18177" s="2">
        <v>1354</v>
      </c>
      <c r="C18177" s="4" t="str">
        <f>HYPERLINK("http://www.uniprot.org/uniprot/M5XJI4","M5XJI4")</f>
        <v>M5XJI4</v>
      </c>
      <c r="D18177" s="2" t="s">
        <v>14115</v>
      </c>
      <c r="E18177" s="3">
        <v>7.4099999999999992E-158</v>
      </c>
      <c r="F18177" s="2">
        <v>1178</v>
      </c>
      <c r="G18177" s="2">
        <v>96</v>
      </c>
      <c r="H18177" s="2">
        <v>237</v>
      </c>
      <c r="I18177" s="2">
        <v>195</v>
      </c>
      <c r="J18177" s="2">
        <v>890</v>
      </c>
      <c r="K18177" s="2">
        <v>1</v>
      </c>
      <c r="L18177" s="2">
        <v>233</v>
      </c>
    </row>
    <row r="18178" spans="1:12" x14ac:dyDescent="0.25">
      <c r="A18178" s="4" t="str">
        <f>HYPERLINK("http://www.rosaceae.org/Prunus/Prunus_persica/p.persica_gdr_reftransV1_0019985","p.persica_gdr_reftransV1_0019985")</f>
        <v>p.persica_gdr_reftransV1_0019985</v>
      </c>
      <c r="B18178" s="2">
        <v>3080</v>
      </c>
      <c r="C18178" s="4" t="str">
        <f>HYPERLINK("http://www.uniprot.org/uniprot/M5X3R9","M5X3R9")</f>
        <v>M5X3R9</v>
      </c>
      <c r="D18178" s="2" t="s">
        <v>14116</v>
      </c>
      <c r="E18178" s="3">
        <v>0</v>
      </c>
      <c r="F18178" s="2">
        <v>4077</v>
      </c>
      <c r="G18178" s="2">
        <v>96</v>
      </c>
      <c r="H18178" s="2">
        <v>806</v>
      </c>
      <c r="I18178" s="2">
        <v>365</v>
      </c>
      <c r="J18178" s="2">
        <v>2782</v>
      </c>
      <c r="K18178" s="2">
        <v>1</v>
      </c>
      <c r="L18178" s="2">
        <v>772</v>
      </c>
    </row>
    <row r="18179" spans="1:12" x14ac:dyDescent="0.25">
      <c r="A18179" s="4" t="str">
        <f>HYPERLINK("http://www.rosaceae.org/Prunus/Prunus_persica/p.persica_gdr_reftransV1_0020335","p.persica_gdr_reftransV1_0020335")</f>
        <v>p.persica_gdr_reftransV1_0020335</v>
      </c>
      <c r="B18179" s="2">
        <v>2244</v>
      </c>
      <c r="C18179" s="4" t="str">
        <f>HYPERLINK("http://www.uniprot.org/uniprot/M5Y7F0","M5Y7F0")</f>
        <v>M5Y7F0</v>
      </c>
      <c r="D18179" s="2" t="s">
        <v>14117</v>
      </c>
      <c r="E18179" s="3">
        <v>0</v>
      </c>
      <c r="F18179" s="2">
        <v>2974</v>
      </c>
      <c r="G18179" s="2">
        <v>95</v>
      </c>
      <c r="H18179" s="2">
        <v>589</v>
      </c>
      <c r="I18179" s="2">
        <v>266</v>
      </c>
      <c r="J18179" s="2">
        <v>2032</v>
      </c>
      <c r="K18179" s="2">
        <v>1</v>
      </c>
      <c r="L18179" s="2">
        <v>561</v>
      </c>
    </row>
    <row r="18180" spans="1:12" x14ac:dyDescent="0.25">
      <c r="A18180" s="4" t="str">
        <f>HYPERLINK("http://www.rosaceae.org/Prunus/Prunus_persica/p.persica_gdr_reftransV1_0022085","p.persica_gdr_reftransV1_0022085")</f>
        <v>p.persica_gdr_reftransV1_0022085</v>
      </c>
      <c r="B18180" s="2">
        <v>1349</v>
      </c>
      <c r="C18180" s="4" t="str">
        <f>HYPERLINK("http://www.uniprot.org/uniprot/M5WQ90","M5WQ90")</f>
        <v>M5WQ90</v>
      </c>
      <c r="D18180" s="2" t="s">
        <v>14118</v>
      </c>
      <c r="E18180" s="3">
        <v>0</v>
      </c>
      <c r="F18180" s="2">
        <v>1672</v>
      </c>
      <c r="G18180" s="2">
        <v>100</v>
      </c>
      <c r="H18180" s="2">
        <v>324</v>
      </c>
      <c r="I18180" s="2">
        <v>202</v>
      </c>
      <c r="J18180" s="2">
        <v>1173</v>
      </c>
      <c r="K18180" s="2">
        <v>1</v>
      </c>
      <c r="L18180" s="2">
        <v>324</v>
      </c>
    </row>
    <row r="18181" spans="1:12" x14ac:dyDescent="0.25">
      <c r="A18181" s="4" t="str">
        <f>HYPERLINK("http://www.rosaceae.org/Prunus/Prunus_persica/p.persica_gdr_reftransV1_0024185","p.persica_gdr_reftransV1_0024185")</f>
        <v>p.persica_gdr_reftransV1_0024185</v>
      </c>
      <c r="B18181" s="2">
        <v>2283</v>
      </c>
      <c r="C18181" s="4" t="str">
        <f>HYPERLINK("http://www.uniprot.org/uniprot/M5XS69","M5XS69")</f>
        <v>M5XS69</v>
      </c>
      <c r="D18181" s="2" t="s">
        <v>14119</v>
      </c>
      <c r="E18181" s="3">
        <v>0</v>
      </c>
      <c r="F18181" s="2">
        <v>2905</v>
      </c>
      <c r="G18181" s="2">
        <v>98</v>
      </c>
      <c r="H18181" s="2">
        <v>593</v>
      </c>
      <c r="I18181" s="2">
        <v>428</v>
      </c>
      <c r="J18181" s="2">
        <v>2206</v>
      </c>
      <c r="K18181" s="2">
        <v>1</v>
      </c>
      <c r="L18181" s="2">
        <v>584</v>
      </c>
    </row>
    <row r="18182" spans="1:12" x14ac:dyDescent="0.25">
      <c r="A18182" s="4" t="str">
        <f>HYPERLINK("http://www.rosaceae.org/Prunus/Prunus_persica/p.persica_gdr_reftransV1_0024885","p.persica_gdr_reftransV1_0024885")</f>
        <v>p.persica_gdr_reftransV1_0024885</v>
      </c>
      <c r="B18182" s="2">
        <v>2218</v>
      </c>
      <c r="C18182" s="4" t="str">
        <f>HYPERLINK("http://www.uniprot.org/uniprot/M5XCP6","M5XCP6")</f>
        <v>M5XCP6</v>
      </c>
      <c r="D18182" s="2" t="s">
        <v>14120</v>
      </c>
      <c r="E18182" s="3">
        <v>0</v>
      </c>
      <c r="F18182" s="2">
        <v>2794</v>
      </c>
      <c r="G18182" s="2">
        <v>95</v>
      </c>
      <c r="H18182" s="2">
        <v>619</v>
      </c>
      <c r="I18182" s="2">
        <v>172</v>
      </c>
      <c r="J18182" s="2">
        <v>2028</v>
      </c>
      <c r="K18182" s="2">
        <v>1</v>
      </c>
      <c r="L18182" s="2">
        <v>619</v>
      </c>
    </row>
    <row r="18183" spans="1:12" x14ac:dyDescent="0.25">
      <c r="A18183" s="4" t="str">
        <f>HYPERLINK("http://www.rosaceae.org/Prunus/Prunus_persica/p.persica_gdr_reftransV1_0025235","p.persica_gdr_reftransV1_0025235")</f>
        <v>p.persica_gdr_reftransV1_0025235</v>
      </c>
      <c r="B18183" s="2">
        <v>2897</v>
      </c>
      <c r="C18183" s="4" t="str">
        <f>HYPERLINK("http://www.uniprot.org/uniprot/M5XTE7","M5XTE7")</f>
        <v>M5XTE7</v>
      </c>
      <c r="D18183" s="2" t="s">
        <v>14121</v>
      </c>
      <c r="E18183" s="3">
        <v>1.4299999999999999E-160</v>
      </c>
      <c r="F18183" s="2">
        <v>1249</v>
      </c>
      <c r="G18183" s="2">
        <v>100</v>
      </c>
      <c r="H18183" s="2">
        <v>251</v>
      </c>
      <c r="I18183" s="2">
        <v>114</v>
      </c>
      <c r="J18183" s="2">
        <v>866</v>
      </c>
      <c r="K18183" s="2">
        <v>30</v>
      </c>
      <c r="L18183" s="2">
        <v>280</v>
      </c>
    </row>
    <row r="18184" spans="1:12" x14ac:dyDescent="0.25">
      <c r="A18184" s="4" t="str">
        <f>HYPERLINK("http://www.rosaceae.org/Prunus/Prunus_persica/p.persica_gdr_reftransV1_0026285","p.persica_gdr_reftransV1_0026285")</f>
        <v>p.persica_gdr_reftransV1_0026285</v>
      </c>
      <c r="B18184" s="2">
        <v>1074</v>
      </c>
      <c r="C18184" s="4" t="str">
        <f>HYPERLINK("http://www.uniprot.org/uniprot/M5WSP7","M5WSP7")</f>
        <v>M5WSP7</v>
      </c>
      <c r="D18184" s="2" t="s">
        <v>10069</v>
      </c>
      <c r="E18184" s="3">
        <v>4.5699999999999997E-149</v>
      </c>
      <c r="F18184" s="2">
        <v>1121</v>
      </c>
      <c r="G18184" s="2">
        <v>100</v>
      </c>
      <c r="H18184" s="2">
        <v>226</v>
      </c>
      <c r="I18184" s="2">
        <v>142</v>
      </c>
      <c r="J18184" s="2">
        <v>819</v>
      </c>
      <c r="K18184" s="2">
        <v>113</v>
      </c>
      <c r="L18184" s="2">
        <v>338</v>
      </c>
    </row>
    <row r="18185" spans="1:12" x14ac:dyDescent="0.25">
      <c r="A18185" s="4" t="str">
        <f>HYPERLINK("http://www.rosaceae.org/Prunus/Prunus_persica/p.persica_gdr_reftransV1_0027685","p.persica_gdr_reftransV1_0027685")</f>
        <v>p.persica_gdr_reftransV1_0027685</v>
      </c>
      <c r="B18185" s="2">
        <v>445</v>
      </c>
      <c r="C18185" s="4" t="str">
        <f>HYPERLINK("http://www.uniprot.org/uniprot/M5VU14","M5VU14")</f>
        <v>M5VU14</v>
      </c>
      <c r="D18185" s="2" t="s">
        <v>14122</v>
      </c>
      <c r="E18185" s="3">
        <v>1.0699999999999999E-49</v>
      </c>
      <c r="F18185" s="2">
        <v>435</v>
      </c>
      <c r="G18185" s="2">
        <v>100</v>
      </c>
      <c r="H18185" s="2">
        <v>95</v>
      </c>
      <c r="I18185" s="2">
        <v>69</v>
      </c>
      <c r="J18185" s="2">
        <v>353</v>
      </c>
      <c r="K18185" s="2">
        <v>116</v>
      </c>
      <c r="L18185" s="2">
        <v>210</v>
      </c>
    </row>
    <row r="18186" spans="1:12" x14ac:dyDescent="0.25">
      <c r="A18186" s="4" t="str">
        <f>HYPERLINK("http://www.rosaceae.org/Prunus/Prunus_persica/p.persica_gdr_reftransV1_0029085","p.persica_gdr_reftransV1_0029085")</f>
        <v>p.persica_gdr_reftransV1_0029085</v>
      </c>
      <c r="B18186" s="2">
        <v>1887</v>
      </c>
      <c r="C18186" s="4" t="str">
        <f>HYPERLINK("http://www.uniprot.org/uniprot/M5WCX9","M5WCX9")</f>
        <v>M5WCX9</v>
      </c>
      <c r="D18186" s="2" t="s">
        <v>14123</v>
      </c>
      <c r="E18186" s="3">
        <v>0</v>
      </c>
      <c r="F18186" s="2">
        <v>2247</v>
      </c>
      <c r="G18186" s="2">
        <v>100</v>
      </c>
      <c r="H18186" s="2">
        <v>479</v>
      </c>
      <c r="I18186" s="2">
        <v>63</v>
      </c>
      <c r="J18186" s="2">
        <v>1499</v>
      </c>
      <c r="K18186" s="2">
        <v>10</v>
      </c>
      <c r="L18186" s="2">
        <v>488</v>
      </c>
    </row>
    <row r="18187" spans="1:12" x14ac:dyDescent="0.25">
      <c r="A18187" s="4" t="str">
        <f>HYPERLINK("http://www.rosaceae.org/Prunus/Prunus_persica/p.persica_gdr_reftransV1_0032585","p.persica_gdr_reftransV1_0032585")</f>
        <v>p.persica_gdr_reftransV1_0032585</v>
      </c>
      <c r="B18187" s="2">
        <v>1354</v>
      </c>
      <c r="C18187" s="4" t="str">
        <f>HYPERLINK("http://www.uniprot.org/uniprot/M5XHM3","M5XHM3")</f>
        <v>M5XHM3</v>
      </c>
      <c r="D18187" s="2" t="s">
        <v>14124</v>
      </c>
      <c r="E18187" s="3">
        <v>0</v>
      </c>
      <c r="F18187" s="2">
        <v>1762</v>
      </c>
      <c r="G18187" s="2">
        <v>100</v>
      </c>
      <c r="H18187" s="2">
        <v>351</v>
      </c>
      <c r="I18187" s="2">
        <v>33</v>
      </c>
      <c r="J18187" s="2">
        <v>1085</v>
      </c>
      <c r="K18187" s="2">
        <v>1</v>
      </c>
      <c r="L18187" s="2">
        <v>351</v>
      </c>
    </row>
    <row r="18188" spans="1:12" x14ac:dyDescent="0.25">
      <c r="A18188" s="4" t="str">
        <f>HYPERLINK("http://www.rosaceae.org/Prunus/Prunus_persica/p.persica_gdr_reftransV1_0035735","p.persica_gdr_reftransV1_0035735")</f>
        <v>p.persica_gdr_reftransV1_0035735</v>
      </c>
      <c r="B18188" s="2">
        <v>2118</v>
      </c>
      <c r="C18188" s="4" t="str">
        <f>HYPERLINK("http://www.uniprot.org/uniprot/M5WTR8","M5WTR8")</f>
        <v>M5WTR8</v>
      </c>
      <c r="D18188" s="2" t="s">
        <v>14125</v>
      </c>
      <c r="E18188" s="3">
        <v>0</v>
      </c>
      <c r="F18188" s="2">
        <v>2881</v>
      </c>
      <c r="G18188" s="2">
        <v>100</v>
      </c>
      <c r="H18188" s="2">
        <v>536</v>
      </c>
      <c r="I18188" s="2">
        <v>1</v>
      </c>
      <c r="J18188" s="2">
        <v>1608</v>
      </c>
      <c r="K18188" s="2">
        <v>46</v>
      </c>
      <c r="L18188" s="2">
        <v>581</v>
      </c>
    </row>
    <row r="18189" spans="1:12" x14ac:dyDescent="0.25">
      <c r="A18189" s="4" t="str">
        <f>HYPERLINK("http://www.rosaceae.org/Prunus/Prunus_persica/p.persica_gdr_reftransV1_0036085","p.persica_gdr_reftransV1_0036085")</f>
        <v>p.persica_gdr_reftransV1_0036085</v>
      </c>
      <c r="B18189" s="2">
        <v>2593</v>
      </c>
      <c r="C18189" s="4" t="str">
        <f>HYPERLINK("http://www.uniprot.org/uniprot/M5VM12","M5VM12")</f>
        <v>M5VM12</v>
      </c>
      <c r="D18189" s="2" t="s">
        <v>6153</v>
      </c>
      <c r="E18189" s="3">
        <v>0</v>
      </c>
      <c r="F18189" s="2">
        <v>1403</v>
      </c>
      <c r="G18189" s="2">
        <v>86</v>
      </c>
      <c r="H18189" s="2">
        <v>318</v>
      </c>
      <c r="I18189" s="2">
        <v>1000</v>
      </c>
      <c r="J18189" s="2">
        <v>1953</v>
      </c>
      <c r="K18189" s="2">
        <v>104</v>
      </c>
      <c r="L18189" s="2">
        <v>384</v>
      </c>
    </row>
    <row r="18190" spans="1:12" x14ac:dyDescent="0.25">
      <c r="A18190" s="4" t="str">
        <f>HYPERLINK("http://www.rosaceae.org/Prunus/Prunus_persica/p.persica_gdr_reftransV1_0036435","p.persica_gdr_reftransV1_0036435")</f>
        <v>p.persica_gdr_reftransV1_0036435</v>
      </c>
      <c r="B18190" s="2">
        <v>3472</v>
      </c>
      <c r="C18190" s="4" t="str">
        <f>HYPERLINK("http://www.uniprot.org/uniprot/W9QLZ5","W9QLZ5")</f>
        <v>W9QLZ5</v>
      </c>
      <c r="D18190" s="2" t="s">
        <v>14126</v>
      </c>
      <c r="E18190" s="3">
        <v>0</v>
      </c>
      <c r="F18190" s="2">
        <v>2949</v>
      </c>
      <c r="G18190" s="2">
        <v>72</v>
      </c>
      <c r="H18190" s="2">
        <v>775</v>
      </c>
      <c r="I18190" s="2">
        <v>906</v>
      </c>
      <c r="J18190" s="2">
        <v>3221</v>
      </c>
      <c r="K18190" s="2">
        <v>35</v>
      </c>
      <c r="L18190" s="2">
        <v>806</v>
      </c>
    </row>
    <row r="18191" spans="1:12" x14ac:dyDescent="0.25">
      <c r="A18191" s="4" t="str">
        <f>HYPERLINK("http://www.rosaceae.org/Prunus/Prunus_persica/p.persica_gdr_reftransV1_0037835","p.persica_gdr_reftransV1_0037835")</f>
        <v>p.persica_gdr_reftransV1_0037835</v>
      </c>
      <c r="B18191" s="2">
        <v>629</v>
      </c>
      <c r="C18191" s="4" t="str">
        <f>HYPERLINK("http://www.uniprot.org/uniprot/M5VVY1","M5VVY1")</f>
        <v>M5VVY1</v>
      </c>
      <c r="D18191" s="2" t="s">
        <v>379</v>
      </c>
      <c r="E18191" s="3">
        <v>5.0500000000000001E-50</v>
      </c>
      <c r="F18191" s="2">
        <v>454</v>
      </c>
      <c r="G18191" s="2">
        <v>100</v>
      </c>
      <c r="H18191" s="2">
        <v>171</v>
      </c>
      <c r="I18191" s="2">
        <v>97</v>
      </c>
      <c r="J18191" s="2">
        <v>609</v>
      </c>
      <c r="K18191" s="2">
        <v>1</v>
      </c>
      <c r="L18191" s="2">
        <v>171</v>
      </c>
    </row>
    <row r="18192" spans="1:12" x14ac:dyDescent="0.25">
      <c r="A18192" s="4" t="str">
        <f>HYPERLINK("http://www.rosaceae.org/Prunus/Prunus_persica/p.persica_gdr_reftransV1_0038535","p.persica_gdr_reftransV1_0038535")</f>
        <v>p.persica_gdr_reftransV1_0038535</v>
      </c>
      <c r="B18192" s="2">
        <v>2387</v>
      </c>
      <c r="C18192" s="4" t="str">
        <f>HYPERLINK("http://www.uniprot.org/uniprot/M5VVW1","M5VVW1")</f>
        <v>M5VVW1</v>
      </c>
      <c r="D18192" s="2" t="s">
        <v>14127</v>
      </c>
      <c r="E18192" s="3">
        <v>0</v>
      </c>
      <c r="F18192" s="2">
        <v>2251</v>
      </c>
      <c r="G18192" s="2">
        <v>100</v>
      </c>
      <c r="H18192" s="2">
        <v>430</v>
      </c>
      <c r="I18192" s="2">
        <v>592</v>
      </c>
      <c r="J18192" s="2">
        <v>1881</v>
      </c>
      <c r="K18192" s="2">
        <v>1</v>
      </c>
      <c r="L18192" s="2">
        <v>430</v>
      </c>
    </row>
    <row r="18193" spans="1:12" x14ac:dyDescent="0.25">
      <c r="A18193" s="4" t="str">
        <f>HYPERLINK("http://www.rosaceae.org/Prunus/Prunus_persica/p.persica_gdr_reftransV1_0039585","p.persica_gdr_reftransV1_0039585")</f>
        <v>p.persica_gdr_reftransV1_0039585</v>
      </c>
      <c r="B18193" s="2">
        <v>1565</v>
      </c>
      <c r="C18193" s="4" t="str">
        <f>HYPERLINK("http://www.uniprot.org/uniprot/Q0GPY8","Q0GPY8")</f>
        <v>Q0GPY8</v>
      </c>
      <c r="D18193" s="2" t="s">
        <v>14128</v>
      </c>
      <c r="E18193" s="3">
        <v>3.7699999999999996E-155</v>
      </c>
      <c r="F18193" s="2">
        <v>1169</v>
      </c>
      <c r="G18193" s="2">
        <v>100</v>
      </c>
      <c r="H18193" s="2">
        <v>244</v>
      </c>
      <c r="I18193" s="2">
        <v>536</v>
      </c>
      <c r="J18193" s="2">
        <v>1267</v>
      </c>
      <c r="K18193" s="2">
        <v>1</v>
      </c>
      <c r="L18193" s="2">
        <v>244</v>
      </c>
    </row>
    <row r="18194" spans="1:12" x14ac:dyDescent="0.25">
      <c r="A18194" s="4" t="str">
        <f>HYPERLINK("http://www.rosaceae.org/Prunus/Prunus_persica/p.persica_gdr_reftransV1_0039935","p.persica_gdr_reftransV1_0039935")</f>
        <v>p.persica_gdr_reftransV1_0039935</v>
      </c>
      <c r="B18194" s="2">
        <v>1843</v>
      </c>
      <c r="C18194" s="4" t="str">
        <f>HYPERLINK("http://www.uniprot.org/uniprot/M5WCN0","M5WCN0")</f>
        <v>M5WCN0</v>
      </c>
      <c r="D18194" s="2" t="s">
        <v>14129</v>
      </c>
      <c r="E18194" s="3">
        <v>0</v>
      </c>
      <c r="F18194" s="2">
        <v>1691</v>
      </c>
      <c r="G18194" s="2">
        <v>93</v>
      </c>
      <c r="H18194" s="2">
        <v>347</v>
      </c>
      <c r="I18194" s="2">
        <v>525</v>
      </c>
      <c r="J18194" s="2">
        <v>1565</v>
      </c>
      <c r="K18194" s="2">
        <v>291</v>
      </c>
      <c r="L18194" s="2">
        <v>621</v>
      </c>
    </row>
    <row r="18195" spans="1:12" x14ac:dyDescent="0.25">
      <c r="A18195" s="4" t="str">
        <f>HYPERLINK("http://www.rosaceae.org/Prunus/Prunus_persica/p.persica_gdr_reftransV1_0040985","p.persica_gdr_reftransV1_0040985")</f>
        <v>p.persica_gdr_reftransV1_0040985</v>
      </c>
      <c r="B18195" s="2">
        <v>3125</v>
      </c>
      <c r="C18195" s="4" t="str">
        <f>HYPERLINK("http://www.uniprot.org/uniprot/M5W9H7","M5W9H7")</f>
        <v>M5W9H7</v>
      </c>
      <c r="D18195" s="2" t="s">
        <v>6347</v>
      </c>
      <c r="E18195" s="3">
        <v>5.7700000000000002E-134</v>
      </c>
      <c r="F18195" s="2">
        <v>1086</v>
      </c>
      <c r="G18195" s="2">
        <v>100</v>
      </c>
      <c r="H18195" s="2">
        <v>236</v>
      </c>
      <c r="I18195" s="2">
        <v>691</v>
      </c>
      <c r="J18195" s="2">
        <v>1398</v>
      </c>
      <c r="K18195" s="2">
        <v>1</v>
      </c>
      <c r="L18195" s="2">
        <v>236</v>
      </c>
    </row>
    <row r="18196" spans="1:12" x14ac:dyDescent="0.25">
      <c r="A18196" s="4" t="str">
        <f>HYPERLINK("http://www.rosaceae.org/Prunus/Prunus_persica/p.persica_gdr_reftransV1_0042385","p.persica_gdr_reftransV1_0042385")</f>
        <v>p.persica_gdr_reftransV1_0042385</v>
      </c>
      <c r="B18196" s="2">
        <v>2801</v>
      </c>
      <c r="C18196" s="4" t="str">
        <f>HYPERLINK("http://www.uniprot.org/uniprot/M5WRI9","M5WRI9")</f>
        <v>M5WRI9</v>
      </c>
      <c r="D18196" s="2" t="s">
        <v>14130</v>
      </c>
      <c r="E18196" s="3">
        <v>3.6800000000000002E-104</v>
      </c>
      <c r="F18196" s="2">
        <v>850</v>
      </c>
      <c r="G18196" s="2">
        <v>100</v>
      </c>
      <c r="H18196" s="2">
        <v>157</v>
      </c>
      <c r="I18196" s="2">
        <v>532</v>
      </c>
      <c r="J18196" s="2">
        <v>1002</v>
      </c>
      <c r="K18196" s="2">
        <v>1</v>
      </c>
      <c r="L18196" s="2">
        <v>157</v>
      </c>
    </row>
    <row r="18197" spans="1:12" x14ac:dyDescent="0.25">
      <c r="A18197" s="4" t="str">
        <f>HYPERLINK("http://www.rosaceae.org/Prunus/Prunus_persica/p.persica_gdr_reftransV1_0043085","p.persica_gdr_reftransV1_0043085")</f>
        <v>p.persica_gdr_reftransV1_0043085</v>
      </c>
      <c r="B18197" s="2">
        <v>1027</v>
      </c>
      <c r="C18197" s="4" t="str">
        <f>HYPERLINK("http://www.uniprot.org/uniprot/M5XU98","M5XU98")</f>
        <v>M5XU98</v>
      </c>
      <c r="D18197" s="2" t="s">
        <v>14131</v>
      </c>
      <c r="E18197" s="3">
        <v>2.2800000000000001E-160</v>
      </c>
      <c r="F18197" s="2">
        <v>1182</v>
      </c>
      <c r="G18197" s="2">
        <v>100</v>
      </c>
      <c r="H18197" s="2">
        <v>221</v>
      </c>
      <c r="I18197" s="2">
        <v>221</v>
      </c>
      <c r="J18197" s="2">
        <v>883</v>
      </c>
      <c r="K18197" s="2">
        <v>1</v>
      </c>
      <c r="L18197" s="2">
        <v>221</v>
      </c>
    </row>
    <row r="18198" spans="1:12" x14ac:dyDescent="0.25">
      <c r="A18198" s="4" t="str">
        <f>HYPERLINK("http://www.rosaceae.org/Prunus/Prunus_persica/p.persica_gdr_reftransV1_0043435","p.persica_gdr_reftransV1_0043435")</f>
        <v>p.persica_gdr_reftransV1_0043435</v>
      </c>
      <c r="B18198" s="2">
        <v>2140</v>
      </c>
      <c r="C18198" s="4" t="str">
        <f>HYPERLINK("http://www.uniprot.org/uniprot/M5XNY0","M5XNY0")</f>
        <v>M5XNY0</v>
      </c>
      <c r="D18198" s="2" t="s">
        <v>4469</v>
      </c>
      <c r="E18198" s="3">
        <v>0</v>
      </c>
      <c r="F18198" s="2">
        <v>2993</v>
      </c>
      <c r="G18198" s="2">
        <v>100</v>
      </c>
      <c r="H18198" s="2">
        <v>598</v>
      </c>
      <c r="I18198" s="2">
        <v>151</v>
      </c>
      <c r="J18198" s="2">
        <v>1944</v>
      </c>
      <c r="K18198" s="2">
        <v>152</v>
      </c>
      <c r="L18198" s="2">
        <v>749</v>
      </c>
    </row>
    <row r="18199" spans="1:12" x14ac:dyDescent="0.25">
      <c r="A18199" s="4" t="str">
        <f>HYPERLINK("http://www.rosaceae.org/Prunus/Prunus_persica/p.persica_gdr_reftransV1_0043785","p.persica_gdr_reftransV1_0043785")</f>
        <v>p.persica_gdr_reftransV1_0043785</v>
      </c>
      <c r="B18199" s="2">
        <v>481</v>
      </c>
      <c r="C18199" s="4" t="str">
        <f>HYPERLINK("http://www.uniprot.org/uniprot/M5Y318","M5Y318")</f>
        <v>M5Y318</v>
      </c>
      <c r="D18199" s="2" t="s">
        <v>7261</v>
      </c>
      <c r="E18199" s="3">
        <v>6.4600000000000004E-98</v>
      </c>
      <c r="F18199" s="2">
        <v>759</v>
      </c>
      <c r="G18199" s="2">
        <v>100</v>
      </c>
      <c r="H18199" s="2">
        <v>139</v>
      </c>
      <c r="I18199" s="2">
        <v>64</v>
      </c>
      <c r="J18199" s="2">
        <v>480</v>
      </c>
      <c r="K18199" s="2">
        <v>177</v>
      </c>
      <c r="L18199" s="2">
        <v>315</v>
      </c>
    </row>
    <row r="18200" spans="1:12" x14ac:dyDescent="0.25">
      <c r="A18200" s="4" t="str">
        <f>HYPERLINK("http://www.rosaceae.org/Prunus/Prunus_persica/p.persica_gdr_reftransV1_0044135","p.persica_gdr_reftransV1_0044135")</f>
        <v>p.persica_gdr_reftransV1_0044135</v>
      </c>
      <c r="B18200" s="2">
        <v>600</v>
      </c>
      <c r="C18200" s="4" t="str">
        <f>HYPERLINK("http://www.uniprot.org/uniprot/M5WEY7","M5WEY7")</f>
        <v>M5WEY7</v>
      </c>
      <c r="D18200" s="2" t="s">
        <v>14132</v>
      </c>
      <c r="E18200" s="3">
        <v>4.7099999999999999E-55</v>
      </c>
      <c r="F18200" s="2">
        <v>458</v>
      </c>
      <c r="G18200" s="2">
        <v>100</v>
      </c>
      <c r="H18200" s="2">
        <v>84</v>
      </c>
      <c r="I18200" s="2">
        <v>186</v>
      </c>
      <c r="J18200" s="2">
        <v>437</v>
      </c>
      <c r="K18200" s="2">
        <v>1</v>
      </c>
      <c r="L18200" s="2">
        <v>84</v>
      </c>
    </row>
    <row r="18201" spans="1:12" x14ac:dyDescent="0.25">
      <c r="A18201" s="4" t="str">
        <f>HYPERLINK("http://www.rosaceae.org/Prunus/Prunus_persica/p.persica_gdr_reftransV1_0044485","p.persica_gdr_reftransV1_0044485")</f>
        <v>p.persica_gdr_reftransV1_0044485</v>
      </c>
      <c r="B18201" s="2">
        <v>1873</v>
      </c>
      <c r="C18201" s="4" t="str">
        <f>HYPERLINK("http://www.uniprot.org/uniprot/M5WEL8","M5WEL8")</f>
        <v>M5WEL8</v>
      </c>
      <c r="D18201" s="2" t="s">
        <v>7752</v>
      </c>
      <c r="E18201" s="3">
        <v>0</v>
      </c>
      <c r="F18201" s="2">
        <v>2676</v>
      </c>
      <c r="G18201" s="2">
        <v>100</v>
      </c>
      <c r="H18201" s="2">
        <v>495</v>
      </c>
      <c r="I18201" s="2">
        <v>186</v>
      </c>
      <c r="J18201" s="2">
        <v>1670</v>
      </c>
      <c r="K18201" s="2">
        <v>1</v>
      </c>
      <c r="L18201" s="2">
        <v>495</v>
      </c>
    </row>
    <row r="18202" spans="1:12" x14ac:dyDescent="0.25">
      <c r="A18202" s="4" t="str">
        <f>HYPERLINK("http://www.rosaceae.org/Prunus/Prunus_persica/p.persica_gdr_reftransV1_0044835","p.persica_gdr_reftransV1_0044835")</f>
        <v>p.persica_gdr_reftransV1_0044835</v>
      </c>
      <c r="B18202" s="2">
        <v>1642</v>
      </c>
      <c r="C18202" s="4" t="str">
        <f>HYPERLINK("http://www.uniprot.org/uniprot/M5W8J8","M5W8J8")</f>
        <v>M5W8J8</v>
      </c>
      <c r="D18202" s="2" t="s">
        <v>14133</v>
      </c>
      <c r="E18202" s="3">
        <v>0</v>
      </c>
      <c r="F18202" s="2">
        <v>2024</v>
      </c>
      <c r="G18202" s="2">
        <v>100</v>
      </c>
      <c r="H18202" s="2">
        <v>396</v>
      </c>
      <c r="I18202" s="2">
        <v>338</v>
      </c>
      <c r="J18202" s="2">
        <v>1525</v>
      </c>
      <c r="K18202" s="2">
        <v>1</v>
      </c>
      <c r="L18202" s="2">
        <v>396</v>
      </c>
    </row>
    <row r="18203" spans="1:12" x14ac:dyDescent="0.25">
      <c r="A18203" s="4" t="str">
        <f>HYPERLINK("http://www.rosaceae.org/Prunus/Prunus_persica/p.persica_gdr_reftransV1_0045535","p.persica_gdr_reftransV1_0045535")</f>
        <v>p.persica_gdr_reftransV1_0045535</v>
      </c>
      <c r="B18203" s="2">
        <v>1544</v>
      </c>
      <c r="C18203" s="4" t="str">
        <f>HYPERLINK("http://www.uniprot.org/uniprot/W9R9Z2","W9R9Z2")</f>
        <v>W9R9Z2</v>
      </c>
      <c r="D18203" s="2" t="s">
        <v>14134</v>
      </c>
      <c r="E18203" s="3">
        <v>1.23E-16</v>
      </c>
      <c r="F18203" s="2">
        <v>229</v>
      </c>
      <c r="G18203" s="2">
        <v>34</v>
      </c>
      <c r="H18203" s="2">
        <v>357</v>
      </c>
      <c r="I18203" s="2">
        <v>590</v>
      </c>
      <c r="J18203" s="2">
        <v>1351</v>
      </c>
      <c r="K18203" s="2">
        <v>209</v>
      </c>
      <c r="L18203" s="2">
        <v>547</v>
      </c>
    </row>
    <row r="18204" spans="1:12" x14ac:dyDescent="0.25">
      <c r="A18204" s="4" t="str">
        <f>HYPERLINK("http://www.rosaceae.org/Prunus/Prunus_persica/p.persica_gdr_reftransV1_0045885","p.persica_gdr_reftransV1_0045885")</f>
        <v>p.persica_gdr_reftransV1_0045885</v>
      </c>
      <c r="B18204" s="2">
        <v>1426</v>
      </c>
      <c r="C18204" s="4" t="str">
        <f>HYPERLINK("http://www.uniprot.org/uniprot/M5WCH6","M5WCH6")</f>
        <v>M5WCH6</v>
      </c>
      <c r="D18204" s="2" t="s">
        <v>14135</v>
      </c>
      <c r="E18204" s="3">
        <v>3.4599999999999998E-133</v>
      </c>
      <c r="F18204" s="2">
        <v>1019</v>
      </c>
      <c r="G18204" s="2">
        <v>98</v>
      </c>
      <c r="H18204" s="2">
        <v>225</v>
      </c>
      <c r="I18204" s="2">
        <v>386</v>
      </c>
      <c r="J18204" s="2">
        <v>1060</v>
      </c>
      <c r="K18204" s="2">
        <v>24</v>
      </c>
      <c r="L18204" s="2">
        <v>248</v>
      </c>
    </row>
    <row r="18205" spans="1:12" x14ac:dyDescent="0.25">
      <c r="A18205" s="4" t="str">
        <f>HYPERLINK("http://www.rosaceae.org/Prunus/Prunus_persica/p.persica_gdr_reftransV1_0046585","p.persica_gdr_reftransV1_0046585")</f>
        <v>p.persica_gdr_reftransV1_0046585</v>
      </c>
      <c r="B18205" s="2">
        <v>551</v>
      </c>
      <c r="C18205" s="4" t="str">
        <f>HYPERLINK("http://www.uniprot.org/uniprot/M5W4E6","M5W4E6")</f>
        <v>M5W4E6</v>
      </c>
      <c r="D18205" s="2" t="s">
        <v>8838</v>
      </c>
      <c r="E18205" s="3">
        <v>5.6300000000000004E-130</v>
      </c>
      <c r="F18205" s="2">
        <v>989</v>
      </c>
      <c r="G18205" s="2">
        <v>100</v>
      </c>
      <c r="H18205" s="2">
        <v>183</v>
      </c>
      <c r="I18205" s="2">
        <v>1</v>
      </c>
      <c r="J18205" s="2">
        <v>549</v>
      </c>
      <c r="K18205" s="2">
        <v>127</v>
      </c>
      <c r="L18205" s="2">
        <v>309</v>
      </c>
    </row>
    <row r="18206" spans="1:12" x14ac:dyDescent="0.25">
      <c r="A18206" s="4" t="str">
        <f>HYPERLINK("http://www.rosaceae.org/Prunus/Prunus_persica/p.persica_gdr_reftransV1_0046935","p.persica_gdr_reftransV1_0046935")</f>
        <v>p.persica_gdr_reftransV1_0046935</v>
      </c>
      <c r="B18206" s="2">
        <v>1047</v>
      </c>
      <c r="C18206" s="4" t="str">
        <f>HYPERLINK("http://www.uniprot.org/uniprot/Q9MBD7","Q9MBD7")</f>
        <v>Q9MBD7</v>
      </c>
      <c r="D18206" s="2" t="s">
        <v>5382</v>
      </c>
      <c r="E18206" s="3">
        <v>4.6699999999999999E-149</v>
      </c>
      <c r="F18206" s="2">
        <v>1123</v>
      </c>
      <c r="G18206" s="2">
        <v>85</v>
      </c>
      <c r="H18206" s="2">
        <v>263</v>
      </c>
      <c r="I18206" s="2">
        <v>136</v>
      </c>
      <c r="J18206" s="2">
        <v>924</v>
      </c>
      <c r="K18206" s="2">
        <v>144</v>
      </c>
      <c r="L18206" s="2">
        <v>367</v>
      </c>
    </row>
    <row r="18207" spans="1:12" x14ac:dyDescent="0.25">
      <c r="A18207" s="4" t="str">
        <f>HYPERLINK("http://www.rosaceae.org/Prunus/Prunus_persica/p.persica_gdr_reftransV1_0047635","p.persica_gdr_reftransV1_0047635")</f>
        <v>p.persica_gdr_reftransV1_0047635</v>
      </c>
      <c r="B18207" s="2">
        <v>1061</v>
      </c>
      <c r="C18207" s="4" t="str">
        <f>HYPERLINK("http://www.uniprot.org/uniprot/M5X2M8","M5X2M8")</f>
        <v>M5X2M8</v>
      </c>
      <c r="D18207" s="2" t="s">
        <v>14136</v>
      </c>
      <c r="E18207" s="3">
        <v>2.3E-108</v>
      </c>
      <c r="F18207" s="2">
        <v>837</v>
      </c>
      <c r="G18207" s="2">
        <v>100</v>
      </c>
      <c r="H18207" s="2">
        <v>186</v>
      </c>
      <c r="I18207" s="2">
        <v>401</v>
      </c>
      <c r="J18207" s="2">
        <v>958</v>
      </c>
      <c r="K18207" s="2">
        <v>1</v>
      </c>
      <c r="L18207" s="2">
        <v>186</v>
      </c>
    </row>
    <row r="18208" spans="1:12" x14ac:dyDescent="0.25">
      <c r="A18208" s="4" t="str">
        <f>HYPERLINK("http://www.rosaceae.org/Prunus/Prunus_persica/p.persica_gdr_reftransV1_0047985","p.persica_gdr_reftransV1_0047985")</f>
        <v>p.persica_gdr_reftransV1_0047985</v>
      </c>
      <c r="B18208" s="2">
        <v>1492</v>
      </c>
      <c r="C18208" s="4" t="str">
        <f>HYPERLINK("http://www.uniprot.org/uniprot/M5WR66","M5WR66")</f>
        <v>M5WR66</v>
      </c>
      <c r="D18208" s="2" t="s">
        <v>14137</v>
      </c>
      <c r="E18208" s="3">
        <v>0</v>
      </c>
      <c r="F18208" s="2">
        <v>2259</v>
      </c>
      <c r="G18208" s="2">
        <v>89</v>
      </c>
      <c r="H18208" s="2">
        <v>497</v>
      </c>
      <c r="I18208" s="2">
        <v>2</v>
      </c>
      <c r="J18208" s="2">
        <v>1492</v>
      </c>
      <c r="K18208" s="2">
        <v>388</v>
      </c>
      <c r="L18208" s="2">
        <v>884</v>
      </c>
    </row>
    <row r="18209" spans="1:12" x14ac:dyDescent="0.25">
      <c r="A18209" s="4" t="str">
        <f>HYPERLINK("http://www.rosaceae.org/Prunus/Prunus_persica/p.persica_gdr_reftransV1_0048335","p.persica_gdr_reftransV1_0048335")</f>
        <v>p.persica_gdr_reftransV1_0048335</v>
      </c>
      <c r="B18209" s="2">
        <v>1948</v>
      </c>
      <c r="C18209" s="4" t="str">
        <f>HYPERLINK("http://www.uniprot.org/uniprot/M5VX27","M5VX27")</f>
        <v>M5VX27</v>
      </c>
      <c r="D18209" s="2" t="s">
        <v>14138</v>
      </c>
      <c r="E18209" s="3">
        <v>0</v>
      </c>
      <c r="F18209" s="2">
        <v>2783</v>
      </c>
      <c r="G18209" s="2">
        <v>100</v>
      </c>
      <c r="H18209" s="2">
        <v>515</v>
      </c>
      <c r="I18209" s="2">
        <v>137</v>
      </c>
      <c r="J18209" s="2">
        <v>1681</v>
      </c>
      <c r="K18209" s="2">
        <v>1</v>
      </c>
      <c r="L18209" s="2">
        <v>515</v>
      </c>
    </row>
    <row r="18210" spans="1:12" x14ac:dyDescent="0.25">
      <c r="A18210" s="4" t="str">
        <f>HYPERLINK("http://www.rosaceae.org/Prunus/Prunus_persica/p.persica_gdr_reftransV1_0048685","p.persica_gdr_reftransV1_0048685")</f>
        <v>p.persica_gdr_reftransV1_0048685</v>
      </c>
      <c r="B18210" s="2">
        <v>375</v>
      </c>
      <c r="C18210" s="4" t="str">
        <f>HYPERLINK("http://www.uniprot.org/uniprot/M5W0K0","M5W0K0")</f>
        <v>M5W0K0</v>
      </c>
      <c r="D18210" s="2" t="s">
        <v>11980</v>
      </c>
      <c r="E18210" s="3">
        <v>1.25E-26</v>
      </c>
      <c r="F18210" s="2">
        <v>279</v>
      </c>
      <c r="G18210" s="2">
        <v>100</v>
      </c>
      <c r="H18210" s="2">
        <v>54</v>
      </c>
      <c r="I18210" s="2">
        <v>3</v>
      </c>
      <c r="J18210" s="2">
        <v>164</v>
      </c>
      <c r="K18210" s="2">
        <v>1</v>
      </c>
      <c r="L18210" s="2">
        <v>54</v>
      </c>
    </row>
    <row r="18211" spans="1:12" x14ac:dyDescent="0.25">
      <c r="A18211" s="4" t="str">
        <f>HYPERLINK("http://www.rosaceae.org/Prunus/Prunus_persica/p.persica_gdr_reftransV1_0049035","p.persica_gdr_reftransV1_0049035")</f>
        <v>p.persica_gdr_reftransV1_0049035</v>
      </c>
      <c r="B18211" s="2">
        <v>929</v>
      </c>
      <c r="C18211" s="4" t="str">
        <f>HYPERLINK("http://www.uniprot.org/uniprot/M5W0G4","M5W0G4")</f>
        <v>M5W0G4</v>
      </c>
      <c r="D18211" s="2" t="s">
        <v>14139</v>
      </c>
      <c r="E18211" s="3">
        <v>2.0999999999999999E-107</v>
      </c>
      <c r="F18211" s="2">
        <v>824</v>
      </c>
      <c r="G18211" s="2">
        <v>100</v>
      </c>
      <c r="H18211" s="2">
        <v>167</v>
      </c>
      <c r="I18211" s="2">
        <v>251</v>
      </c>
      <c r="J18211" s="2">
        <v>751</v>
      </c>
      <c r="K18211" s="2">
        <v>1</v>
      </c>
      <c r="L18211" s="2">
        <v>167</v>
      </c>
    </row>
    <row r="18212" spans="1:12" x14ac:dyDescent="0.25">
      <c r="A18212" s="4" t="str">
        <f>HYPERLINK("http://www.rosaceae.org/Prunus/Prunus_persica/p.persica_gdr_reftransV1_0000036","p.persica_gdr_reftransV1_0000036")</f>
        <v>p.persica_gdr_reftransV1_0000036</v>
      </c>
      <c r="B18212" s="2">
        <v>3048</v>
      </c>
      <c r="C18212" s="4" t="str">
        <f>HYPERLINK("http://www.uniprot.org/uniprot/M5WSY3","M5WSY3")</f>
        <v>M5WSY3</v>
      </c>
      <c r="D18212" s="2" t="s">
        <v>14140</v>
      </c>
      <c r="E18212" s="3">
        <v>0</v>
      </c>
      <c r="F18212" s="2">
        <v>1781</v>
      </c>
      <c r="G18212" s="2">
        <v>96</v>
      </c>
      <c r="H18212" s="2">
        <v>389</v>
      </c>
      <c r="I18212" s="2">
        <v>410</v>
      </c>
      <c r="J18212" s="2">
        <v>1576</v>
      </c>
      <c r="K18212" s="2">
        <v>1</v>
      </c>
      <c r="L18212" s="2">
        <v>379</v>
      </c>
    </row>
    <row r="18213" spans="1:12" x14ac:dyDescent="0.25">
      <c r="A18213" s="4" t="str">
        <f>HYPERLINK("http://www.rosaceae.org/Prunus/Prunus_persica/p.persica_gdr_reftransV1_0000386","p.persica_gdr_reftransV1_0000386")</f>
        <v>p.persica_gdr_reftransV1_0000386</v>
      </c>
      <c r="B18213" s="2">
        <v>761</v>
      </c>
      <c r="C18213" s="4" t="str">
        <f>HYPERLINK("http://www.uniprot.org/uniprot/M1P419","M1P419")</f>
        <v>M1P419</v>
      </c>
      <c r="D18213" s="2" t="s">
        <v>9132</v>
      </c>
      <c r="E18213" s="3">
        <v>6.6399999999999999E-77</v>
      </c>
      <c r="F18213" s="2">
        <v>613</v>
      </c>
      <c r="G18213" s="2">
        <v>100</v>
      </c>
      <c r="H18213" s="2">
        <v>116</v>
      </c>
      <c r="I18213" s="2">
        <v>168</v>
      </c>
      <c r="J18213" s="2">
        <v>515</v>
      </c>
      <c r="K18213" s="2">
        <v>15</v>
      </c>
      <c r="L18213" s="2">
        <v>130</v>
      </c>
    </row>
    <row r="18214" spans="1:12" x14ac:dyDescent="0.25">
      <c r="A18214" s="4" t="str">
        <f>HYPERLINK("http://www.rosaceae.org/Prunus/Prunus_persica/p.persica_gdr_reftransV1_0001436","p.persica_gdr_reftransV1_0001436")</f>
        <v>p.persica_gdr_reftransV1_0001436</v>
      </c>
      <c r="B18214" s="2">
        <v>312</v>
      </c>
      <c r="C18214" s="4" t="str">
        <f>HYPERLINK("http://www.uniprot.org/uniprot/M5XS83","M5XS83")</f>
        <v>M5XS83</v>
      </c>
      <c r="D18214" s="2" t="s">
        <v>3200</v>
      </c>
      <c r="E18214" s="3">
        <v>2.1599999999999999E-60</v>
      </c>
      <c r="F18214" s="2">
        <v>523</v>
      </c>
      <c r="G18214" s="2">
        <v>100</v>
      </c>
      <c r="H18214" s="2">
        <v>103</v>
      </c>
      <c r="I18214" s="2">
        <v>2</v>
      </c>
      <c r="J18214" s="2">
        <v>310</v>
      </c>
      <c r="K18214" s="2">
        <v>178</v>
      </c>
      <c r="L18214" s="2">
        <v>280</v>
      </c>
    </row>
    <row r="18215" spans="1:12" x14ac:dyDescent="0.25">
      <c r="A18215" s="4" t="str">
        <f>HYPERLINK("http://www.rosaceae.org/Prunus/Prunus_persica/p.persica_gdr_reftransV1_0001786","p.persica_gdr_reftransV1_0001786")</f>
        <v>p.persica_gdr_reftransV1_0001786</v>
      </c>
      <c r="B18215" s="2">
        <v>776</v>
      </c>
      <c r="C18215" s="4" t="str">
        <f>HYPERLINK("http://www.uniprot.org/uniprot/M5VJE9","M5VJE9")</f>
        <v>M5VJE9</v>
      </c>
      <c r="D18215" s="2" t="s">
        <v>14141</v>
      </c>
      <c r="E18215" s="3">
        <v>1.8599999999999999E-109</v>
      </c>
      <c r="F18215" s="2">
        <v>847</v>
      </c>
      <c r="G18215" s="2">
        <v>100</v>
      </c>
      <c r="H18215" s="2">
        <v>160</v>
      </c>
      <c r="I18215" s="2">
        <v>1</v>
      </c>
      <c r="J18215" s="2">
        <v>480</v>
      </c>
      <c r="K18215" s="2">
        <v>1</v>
      </c>
      <c r="L18215" s="2">
        <v>160</v>
      </c>
    </row>
    <row r="18216" spans="1:12" x14ac:dyDescent="0.25">
      <c r="A18216" s="4" t="str">
        <f>HYPERLINK("http://www.rosaceae.org/Prunus/Prunus_persica/p.persica_gdr_reftransV1_0002836","p.persica_gdr_reftransV1_0002836")</f>
        <v>p.persica_gdr_reftransV1_0002836</v>
      </c>
      <c r="B18216" s="2">
        <v>3315</v>
      </c>
      <c r="C18216" s="4" t="str">
        <f>HYPERLINK("http://www.uniprot.org/uniprot/C4PKQ3","C4PKQ3")</f>
        <v>C4PKQ3</v>
      </c>
      <c r="D18216" s="2" t="s">
        <v>14142</v>
      </c>
      <c r="E18216" s="3">
        <v>0</v>
      </c>
      <c r="F18216" s="2">
        <v>3391</v>
      </c>
      <c r="G18216" s="2">
        <v>100</v>
      </c>
      <c r="H18216" s="2">
        <v>732</v>
      </c>
      <c r="I18216" s="2">
        <v>184</v>
      </c>
      <c r="J18216" s="2">
        <v>2379</v>
      </c>
      <c r="K18216" s="2">
        <v>1</v>
      </c>
      <c r="L18216" s="2">
        <v>732</v>
      </c>
    </row>
    <row r="18217" spans="1:12" x14ac:dyDescent="0.25">
      <c r="A18217" s="4" t="str">
        <f>HYPERLINK("http://www.rosaceae.org/Prunus/Prunus_persica/p.persica_gdr_reftransV1_0003886","p.persica_gdr_reftransV1_0003886")</f>
        <v>p.persica_gdr_reftransV1_0003886</v>
      </c>
      <c r="B18217" s="2">
        <v>740</v>
      </c>
      <c r="C18217" s="4" t="str">
        <f>HYPERLINK("http://www.uniprot.org/uniprot/M5WE36","M5WE36")</f>
        <v>M5WE36</v>
      </c>
      <c r="D18217" s="2" t="s">
        <v>2013</v>
      </c>
      <c r="E18217" s="3">
        <v>3.9900000000000003E-74</v>
      </c>
      <c r="F18217" s="2">
        <v>634</v>
      </c>
      <c r="G18217" s="2">
        <v>100</v>
      </c>
      <c r="H18217" s="2">
        <v>120</v>
      </c>
      <c r="I18217" s="2">
        <v>325</v>
      </c>
      <c r="J18217" s="2">
        <v>684</v>
      </c>
      <c r="K18217" s="2">
        <v>41</v>
      </c>
      <c r="L18217" s="2">
        <v>160</v>
      </c>
    </row>
    <row r="18218" spans="1:12" x14ac:dyDescent="0.25">
      <c r="A18218" s="4" t="str">
        <f>HYPERLINK("http://www.rosaceae.org/Prunus/Prunus_persica/p.persica_gdr_reftransV1_0004236","p.persica_gdr_reftransV1_0004236")</f>
        <v>p.persica_gdr_reftransV1_0004236</v>
      </c>
      <c r="B18218" s="2">
        <v>2098</v>
      </c>
      <c r="C18218" s="4" t="str">
        <f>HYPERLINK("http://www.uniprot.org/uniprot/M5X1C9","M5X1C9")</f>
        <v>M5X1C9</v>
      </c>
      <c r="D18218" s="2" t="s">
        <v>6891</v>
      </c>
      <c r="E18218" s="3">
        <v>0</v>
      </c>
      <c r="F18218" s="2">
        <v>1677</v>
      </c>
      <c r="G18218" s="2">
        <v>100</v>
      </c>
      <c r="H18218" s="2">
        <v>317</v>
      </c>
      <c r="I18218" s="2">
        <v>797</v>
      </c>
      <c r="J18218" s="2">
        <v>1747</v>
      </c>
      <c r="K18218" s="2">
        <v>7</v>
      </c>
      <c r="L18218" s="2">
        <v>323</v>
      </c>
    </row>
    <row r="18219" spans="1:12" x14ac:dyDescent="0.25">
      <c r="A18219" s="4" t="str">
        <f>HYPERLINK("http://www.rosaceae.org/Prunus/Prunus_persica/p.persica_gdr_reftransV1_0004586","p.persica_gdr_reftransV1_0004586")</f>
        <v>p.persica_gdr_reftransV1_0004586</v>
      </c>
      <c r="B18219" s="2">
        <v>1821</v>
      </c>
      <c r="C18219" s="4" t="str">
        <f>HYPERLINK("http://www.uniprot.org/uniprot/M5WSC6","M5WSC6")</f>
        <v>M5WSC6</v>
      </c>
      <c r="D18219" s="2" t="s">
        <v>14143</v>
      </c>
      <c r="E18219" s="3">
        <v>3.8000000000000003E-73</v>
      </c>
      <c r="F18219" s="2">
        <v>673</v>
      </c>
      <c r="G18219" s="2">
        <v>81</v>
      </c>
      <c r="H18219" s="2">
        <v>162</v>
      </c>
      <c r="I18219" s="2">
        <v>1254</v>
      </c>
      <c r="J18219" s="2">
        <v>1739</v>
      </c>
      <c r="K18219" s="2">
        <v>811</v>
      </c>
      <c r="L18219" s="2">
        <v>943</v>
      </c>
    </row>
    <row r="18220" spans="1:12" x14ac:dyDescent="0.25">
      <c r="A18220" s="4" t="str">
        <f>HYPERLINK("http://www.rosaceae.org/Prunus/Prunus_persica/p.persica_gdr_reftransV1_0005286","p.persica_gdr_reftransV1_0005286")</f>
        <v>p.persica_gdr_reftransV1_0005286</v>
      </c>
      <c r="B18220" s="2">
        <v>731</v>
      </c>
      <c r="C18220" s="4" t="str">
        <f>HYPERLINK("http://www.uniprot.org/uniprot/M5WSS4","M5WSS4")</f>
        <v>M5WSS4</v>
      </c>
      <c r="D18220" s="2" t="s">
        <v>14144</v>
      </c>
      <c r="E18220" s="3">
        <v>4.42E-101</v>
      </c>
      <c r="F18220" s="2">
        <v>776</v>
      </c>
      <c r="G18220" s="2">
        <v>100</v>
      </c>
      <c r="H18220" s="2">
        <v>158</v>
      </c>
      <c r="I18220" s="2">
        <v>123</v>
      </c>
      <c r="J18220" s="2">
        <v>596</v>
      </c>
      <c r="K18220" s="2">
        <v>1</v>
      </c>
      <c r="L18220" s="2">
        <v>158</v>
      </c>
    </row>
    <row r="18221" spans="1:12" x14ac:dyDescent="0.25">
      <c r="A18221" s="4" t="str">
        <f>HYPERLINK("http://www.rosaceae.org/Prunus/Prunus_persica/p.persica_gdr_reftransV1_0006686","p.persica_gdr_reftransV1_0006686")</f>
        <v>p.persica_gdr_reftransV1_0006686</v>
      </c>
      <c r="B18221" s="2">
        <v>2050</v>
      </c>
      <c r="C18221" s="4" t="str">
        <f>HYPERLINK("http://www.uniprot.org/uniprot/M5XNH9","M5XNH9")</f>
        <v>M5XNH9</v>
      </c>
      <c r="D18221" s="2" t="s">
        <v>8500</v>
      </c>
      <c r="E18221" s="3">
        <v>0</v>
      </c>
      <c r="F18221" s="2">
        <v>2298</v>
      </c>
      <c r="G18221" s="2">
        <v>88</v>
      </c>
      <c r="H18221" s="2">
        <v>504</v>
      </c>
      <c r="I18221" s="2">
        <v>525</v>
      </c>
      <c r="J18221" s="2">
        <v>2036</v>
      </c>
      <c r="K18221" s="2">
        <v>52</v>
      </c>
      <c r="L18221" s="2">
        <v>506</v>
      </c>
    </row>
    <row r="18222" spans="1:12" x14ac:dyDescent="0.25">
      <c r="A18222" s="4" t="str">
        <f>HYPERLINK("http://www.rosaceae.org/Prunus/Prunus_persica/p.persica_gdr_reftransV1_0007386","p.persica_gdr_reftransV1_0007386")</f>
        <v>p.persica_gdr_reftransV1_0007386</v>
      </c>
      <c r="B18222" s="2">
        <v>7627</v>
      </c>
      <c r="C18222" s="4" t="str">
        <f>HYPERLINK("http://www.uniprot.org/uniprot/M5XJS5","M5XJS5")</f>
        <v>M5XJS5</v>
      </c>
      <c r="D18222" s="2" t="s">
        <v>14145</v>
      </c>
      <c r="E18222" s="3">
        <v>0</v>
      </c>
      <c r="F18222" s="2">
        <v>11996</v>
      </c>
      <c r="G18222" s="2">
        <v>97</v>
      </c>
      <c r="H18222" s="2">
        <v>2394</v>
      </c>
      <c r="I18222" s="2">
        <v>286</v>
      </c>
      <c r="J18222" s="2">
        <v>7467</v>
      </c>
      <c r="K18222" s="2">
        <v>1</v>
      </c>
      <c r="L18222" s="2">
        <v>2332</v>
      </c>
    </row>
    <row r="18223" spans="1:12" x14ac:dyDescent="0.25">
      <c r="A18223" s="4" t="str">
        <f>HYPERLINK("http://www.rosaceae.org/Prunus/Prunus_persica/p.persica_gdr_reftransV1_0008436","p.persica_gdr_reftransV1_0008436")</f>
        <v>p.persica_gdr_reftransV1_0008436</v>
      </c>
      <c r="B18223" s="2">
        <v>682</v>
      </c>
      <c r="C18223" s="4" t="str">
        <f>HYPERLINK("http://www.uniprot.org/uniprot/M5WNI4","M5WNI4")</f>
        <v>M5WNI4</v>
      </c>
      <c r="D18223" s="2" t="s">
        <v>14146</v>
      </c>
      <c r="E18223" s="3">
        <v>1.1899999999999999E-80</v>
      </c>
      <c r="F18223" s="2">
        <v>655</v>
      </c>
      <c r="G18223" s="2">
        <v>100</v>
      </c>
      <c r="H18223" s="2">
        <v>123</v>
      </c>
      <c r="I18223" s="2">
        <v>313</v>
      </c>
      <c r="J18223" s="2">
        <v>681</v>
      </c>
      <c r="K18223" s="2">
        <v>231</v>
      </c>
      <c r="L18223" s="2">
        <v>353</v>
      </c>
    </row>
    <row r="18224" spans="1:12" x14ac:dyDescent="0.25">
      <c r="A18224" s="4" t="str">
        <f>HYPERLINK("http://www.rosaceae.org/Prunus/Prunus_persica/p.persica_gdr_reftransV1_0009136","p.persica_gdr_reftransV1_0009136")</f>
        <v>p.persica_gdr_reftransV1_0009136</v>
      </c>
      <c r="B18224" s="2">
        <v>370</v>
      </c>
      <c r="C18224" s="4" t="str">
        <f>HYPERLINK("http://www.uniprot.org/uniprot/M5W732","M5W732")</f>
        <v>M5W732</v>
      </c>
      <c r="D18224" s="2" t="s">
        <v>6998</v>
      </c>
      <c r="E18224" s="3">
        <v>4.2100000000000001E-29</v>
      </c>
      <c r="F18224" s="2">
        <v>300</v>
      </c>
      <c r="G18224" s="2">
        <v>100</v>
      </c>
      <c r="H18224" s="2">
        <v>57</v>
      </c>
      <c r="I18224" s="2">
        <v>200</v>
      </c>
      <c r="J18224" s="2">
        <v>370</v>
      </c>
      <c r="K18224" s="2">
        <v>1</v>
      </c>
      <c r="L18224" s="2">
        <v>57</v>
      </c>
    </row>
    <row r="18225" spans="1:12" x14ac:dyDescent="0.25">
      <c r="A18225" s="4" t="str">
        <f>HYPERLINK("http://www.rosaceae.org/Prunus/Prunus_persica/p.persica_gdr_reftransV1_0010536","p.persica_gdr_reftransV1_0010536")</f>
        <v>p.persica_gdr_reftransV1_0010536</v>
      </c>
      <c r="B18225" s="2">
        <v>3292</v>
      </c>
      <c r="C18225" s="4" t="str">
        <f>HYPERLINK("http://www.uniprot.org/uniprot/M5XWU9","M5XWU9")</f>
        <v>M5XWU9</v>
      </c>
      <c r="D18225" s="2" t="s">
        <v>14147</v>
      </c>
      <c r="E18225" s="3">
        <v>3.9700000000000001E-179</v>
      </c>
      <c r="F18225" s="2">
        <v>1408</v>
      </c>
      <c r="G18225" s="2">
        <v>97</v>
      </c>
      <c r="H18225" s="2">
        <v>293</v>
      </c>
      <c r="I18225" s="2">
        <v>1456</v>
      </c>
      <c r="J18225" s="2">
        <v>2334</v>
      </c>
      <c r="K18225" s="2">
        <v>1</v>
      </c>
      <c r="L18225" s="2">
        <v>293</v>
      </c>
    </row>
    <row r="18226" spans="1:12" x14ac:dyDescent="0.25">
      <c r="A18226" s="4" t="str">
        <f>HYPERLINK("http://www.rosaceae.org/Prunus/Prunus_persica/p.persica_gdr_reftransV1_0010886","p.persica_gdr_reftransV1_0010886")</f>
        <v>p.persica_gdr_reftransV1_0010886</v>
      </c>
      <c r="B18226" s="2">
        <v>2695</v>
      </c>
      <c r="C18226" s="4" t="str">
        <f>HYPERLINK("http://www.uniprot.org/uniprot/M5WHI2","M5WHI2")</f>
        <v>M5WHI2</v>
      </c>
      <c r="D18226" s="2" t="s">
        <v>4238</v>
      </c>
      <c r="E18226" s="3">
        <v>1.1E-81</v>
      </c>
      <c r="F18226" s="2">
        <v>694</v>
      </c>
      <c r="G18226" s="2">
        <v>100</v>
      </c>
      <c r="H18226" s="2">
        <v>133</v>
      </c>
      <c r="I18226" s="2">
        <v>1996</v>
      </c>
      <c r="J18226" s="2">
        <v>2394</v>
      </c>
      <c r="K18226" s="2">
        <v>37</v>
      </c>
      <c r="L18226" s="2">
        <v>169</v>
      </c>
    </row>
    <row r="18227" spans="1:12" x14ac:dyDescent="0.25">
      <c r="A18227" s="4" t="str">
        <f>HYPERLINK("http://www.rosaceae.org/Prunus/Prunus_persica/p.persica_gdr_reftransV1_0011236","p.persica_gdr_reftransV1_0011236")</f>
        <v>p.persica_gdr_reftransV1_0011236</v>
      </c>
      <c r="B18227" s="2">
        <v>1631</v>
      </c>
      <c r="C18227" s="4" t="str">
        <f>HYPERLINK("http://www.uniprot.org/uniprot/M5WGG0","M5WGG0")</f>
        <v>M5WGG0</v>
      </c>
      <c r="D18227" s="2" t="s">
        <v>14148</v>
      </c>
      <c r="E18227" s="3">
        <v>0</v>
      </c>
      <c r="F18227" s="2">
        <v>2222</v>
      </c>
      <c r="G18227" s="2">
        <v>100</v>
      </c>
      <c r="H18227" s="2">
        <v>457</v>
      </c>
      <c r="I18227" s="2">
        <v>103</v>
      </c>
      <c r="J18227" s="2">
        <v>1473</v>
      </c>
      <c r="K18227" s="2">
        <v>1</v>
      </c>
      <c r="L18227" s="2">
        <v>457</v>
      </c>
    </row>
    <row r="18228" spans="1:12" x14ac:dyDescent="0.25">
      <c r="A18228" s="4" t="str">
        <f>HYPERLINK("http://www.rosaceae.org/Prunus/Prunus_persica/p.persica_gdr_reftransV1_0011586","p.persica_gdr_reftransV1_0011586")</f>
        <v>p.persica_gdr_reftransV1_0011586</v>
      </c>
      <c r="B18228" s="2">
        <v>817</v>
      </c>
      <c r="C18228" s="4" t="str">
        <f>HYPERLINK("http://www.uniprot.org/uniprot/M5WC91","M5WC91")</f>
        <v>M5WC91</v>
      </c>
      <c r="D18228" s="2" t="s">
        <v>14149</v>
      </c>
      <c r="E18228" s="3">
        <v>1.06E-95</v>
      </c>
      <c r="F18228" s="2">
        <v>741</v>
      </c>
      <c r="G18228" s="2">
        <v>100</v>
      </c>
      <c r="H18228" s="2">
        <v>145</v>
      </c>
      <c r="I18228" s="2">
        <v>224</v>
      </c>
      <c r="J18228" s="2">
        <v>658</v>
      </c>
      <c r="K18228" s="2">
        <v>6</v>
      </c>
      <c r="L18228" s="2">
        <v>150</v>
      </c>
    </row>
    <row r="18229" spans="1:12" x14ac:dyDescent="0.25">
      <c r="A18229" s="4" t="str">
        <f>HYPERLINK("http://www.rosaceae.org/Prunus/Prunus_persica/p.persica_gdr_reftransV1_0012986","p.persica_gdr_reftransV1_0012986")</f>
        <v>p.persica_gdr_reftransV1_0012986</v>
      </c>
      <c r="B18229" s="2">
        <v>1245</v>
      </c>
      <c r="C18229" s="4" t="str">
        <f>HYPERLINK("http://www.uniprot.org/uniprot/M5WM16","M5WM16")</f>
        <v>M5WM16</v>
      </c>
      <c r="D18229" s="2" t="s">
        <v>14150</v>
      </c>
      <c r="E18229" s="3">
        <v>0</v>
      </c>
      <c r="F18229" s="2">
        <v>1801</v>
      </c>
      <c r="G18229" s="2">
        <v>100</v>
      </c>
      <c r="H18229" s="2">
        <v>340</v>
      </c>
      <c r="I18229" s="2">
        <v>225</v>
      </c>
      <c r="J18229" s="2">
        <v>1244</v>
      </c>
      <c r="K18229" s="2">
        <v>35</v>
      </c>
      <c r="L18229" s="2">
        <v>374</v>
      </c>
    </row>
    <row r="18230" spans="1:12" x14ac:dyDescent="0.25">
      <c r="A18230" s="4" t="str">
        <f>HYPERLINK("http://www.rosaceae.org/Prunus/Prunus_persica/p.persica_gdr_reftransV1_0013336","p.persica_gdr_reftransV1_0013336")</f>
        <v>p.persica_gdr_reftransV1_0013336</v>
      </c>
      <c r="B18230" s="2">
        <v>2498</v>
      </c>
      <c r="C18230" s="4" t="str">
        <f>HYPERLINK("http://www.uniprot.org/uniprot/M5VKR6","M5VKR6")</f>
        <v>M5VKR6</v>
      </c>
      <c r="D18230" s="2" t="s">
        <v>14151</v>
      </c>
      <c r="E18230" s="3">
        <v>1.2500000000000001E-174</v>
      </c>
      <c r="F18230" s="2">
        <v>1331</v>
      </c>
      <c r="G18230" s="2">
        <v>100</v>
      </c>
      <c r="H18230" s="2">
        <v>290</v>
      </c>
      <c r="I18230" s="2">
        <v>1568</v>
      </c>
      <c r="J18230" s="2">
        <v>2437</v>
      </c>
      <c r="K18230" s="2">
        <v>1</v>
      </c>
      <c r="L18230" s="2">
        <v>290</v>
      </c>
    </row>
    <row r="18231" spans="1:12" x14ac:dyDescent="0.25">
      <c r="A18231" s="4" t="str">
        <f>HYPERLINK("http://www.rosaceae.org/Prunus/Prunus_persica/p.persica_gdr_reftransV1_0014036","p.persica_gdr_reftransV1_0014036")</f>
        <v>p.persica_gdr_reftransV1_0014036</v>
      </c>
      <c r="B18231" s="2">
        <v>746</v>
      </c>
      <c r="C18231" s="4" t="str">
        <f>HYPERLINK("http://www.uniprot.org/uniprot/M5XQ58","M5XQ58")</f>
        <v>M5XQ58</v>
      </c>
      <c r="D18231" s="2" t="s">
        <v>14152</v>
      </c>
      <c r="E18231" s="3">
        <v>5.7899999999999997E-56</v>
      </c>
      <c r="F18231" s="2">
        <v>503</v>
      </c>
      <c r="G18231" s="2">
        <v>88</v>
      </c>
      <c r="H18231" s="2">
        <v>109</v>
      </c>
      <c r="I18231" s="2">
        <v>420</v>
      </c>
      <c r="J18231" s="2">
        <v>746</v>
      </c>
      <c r="K18231" s="2">
        <v>414</v>
      </c>
      <c r="L18231" s="2">
        <v>522</v>
      </c>
    </row>
    <row r="18232" spans="1:12" x14ac:dyDescent="0.25">
      <c r="A18232" s="4" t="str">
        <f>HYPERLINK("http://www.rosaceae.org/Prunus/Prunus_persica/p.persica_gdr_reftransV1_0014386","p.persica_gdr_reftransV1_0014386")</f>
        <v>p.persica_gdr_reftransV1_0014386</v>
      </c>
      <c r="B18232" s="2">
        <v>1612</v>
      </c>
      <c r="C18232" s="4" t="str">
        <f>HYPERLINK("http://www.uniprot.org/uniprot/M5W5V1","M5W5V1")</f>
        <v>M5W5V1</v>
      </c>
      <c r="D18232" s="2" t="s">
        <v>14153</v>
      </c>
      <c r="E18232" s="3">
        <v>0</v>
      </c>
      <c r="F18232" s="2">
        <v>1440</v>
      </c>
      <c r="G18232" s="2">
        <v>100</v>
      </c>
      <c r="H18232" s="2">
        <v>264</v>
      </c>
      <c r="I18232" s="2">
        <v>820</v>
      </c>
      <c r="J18232" s="2">
        <v>1611</v>
      </c>
      <c r="K18232" s="2">
        <v>185</v>
      </c>
      <c r="L18232" s="2">
        <v>448</v>
      </c>
    </row>
    <row r="18233" spans="1:12" x14ac:dyDescent="0.25">
      <c r="A18233" s="4" t="str">
        <f>HYPERLINK("http://www.rosaceae.org/Prunus/Prunus_persica/p.persica_gdr_reftransV1_0015086","p.persica_gdr_reftransV1_0015086")</f>
        <v>p.persica_gdr_reftransV1_0015086</v>
      </c>
      <c r="B18233" s="2">
        <v>1154</v>
      </c>
      <c r="C18233" s="4" t="str">
        <f>HYPERLINK("http://www.uniprot.org/uniprot/M5X3F9","M5X3F9")</f>
        <v>M5X3F9</v>
      </c>
      <c r="D18233" s="2" t="s">
        <v>14154</v>
      </c>
      <c r="E18233" s="3">
        <v>1.3800000000000001E-168</v>
      </c>
      <c r="F18233" s="2">
        <v>1245</v>
      </c>
      <c r="G18233" s="2">
        <v>100</v>
      </c>
      <c r="H18233" s="2">
        <v>262</v>
      </c>
      <c r="I18233" s="2">
        <v>217</v>
      </c>
      <c r="J18233" s="2">
        <v>1002</v>
      </c>
      <c r="K18233" s="2">
        <v>1</v>
      </c>
      <c r="L18233" s="2">
        <v>262</v>
      </c>
    </row>
    <row r="18234" spans="1:12" x14ac:dyDescent="0.25">
      <c r="A18234" s="4" t="str">
        <f>HYPERLINK("http://www.rosaceae.org/Prunus/Prunus_persica/p.persica_gdr_reftransV1_0016136","p.persica_gdr_reftransV1_0016136")</f>
        <v>p.persica_gdr_reftransV1_0016136</v>
      </c>
      <c r="B18234" s="2">
        <v>2656</v>
      </c>
      <c r="C18234" s="4" t="str">
        <f>HYPERLINK("http://www.uniprot.org/uniprot/M5XD03","M5XD03")</f>
        <v>M5XD03</v>
      </c>
      <c r="D18234" s="2" t="s">
        <v>3000</v>
      </c>
      <c r="E18234" s="3">
        <v>0</v>
      </c>
      <c r="F18234" s="2">
        <v>2495</v>
      </c>
      <c r="G18234" s="2">
        <v>100</v>
      </c>
      <c r="H18234" s="2">
        <v>480</v>
      </c>
      <c r="I18234" s="2">
        <v>475</v>
      </c>
      <c r="J18234" s="2">
        <v>1914</v>
      </c>
      <c r="K18234" s="2">
        <v>1</v>
      </c>
      <c r="L18234" s="2">
        <v>480</v>
      </c>
    </row>
    <row r="18235" spans="1:12" x14ac:dyDescent="0.25">
      <c r="A18235" s="4" t="str">
        <f>HYPERLINK("http://www.rosaceae.org/Prunus/Prunus_persica/p.persica_gdr_reftransV1_0016486","p.persica_gdr_reftransV1_0016486")</f>
        <v>p.persica_gdr_reftransV1_0016486</v>
      </c>
      <c r="B18235" s="2">
        <v>792</v>
      </c>
      <c r="C18235" s="4" t="str">
        <f>HYPERLINK("http://www.uniprot.org/uniprot/M5XU79","M5XU79")</f>
        <v>M5XU79</v>
      </c>
      <c r="D18235" s="2" t="s">
        <v>3237</v>
      </c>
      <c r="E18235" s="3">
        <v>1.01E-99</v>
      </c>
      <c r="F18235" s="2">
        <v>825</v>
      </c>
      <c r="G18235" s="2">
        <v>100</v>
      </c>
      <c r="H18235" s="2">
        <v>150</v>
      </c>
      <c r="I18235" s="2">
        <v>1</v>
      </c>
      <c r="J18235" s="2">
        <v>450</v>
      </c>
      <c r="K18235" s="2">
        <v>752</v>
      </c>
      <c r="L18235" s="2">
        <v>901</v>
      </c>
    </row>
    <row r="18236" spans="1:12" x14ac:dyDescent="0.25">
      <c r="A18236" s="4" t="str">
        <f>HYPERLINK("http://www.rosaceae.org/Prunus/Prunus_persica/p.persica_gdr_reftransV1_0017536","p.persica_gdr_reftransV1_0017536")</f>
        <v>p.persica_gdr_reftransV1_0017536</v>
      </c>
      <c r="B18236" s="2">
        <v>2110</v>
      </c>
      <c r="C18236" s="4" t="str">
        <f>HYPERLINK("http://www.uniprot.org/uniprot/M5VVY0","M5VVY0")</f>
        <v>M5VVY0</v>
      </c>
      <c r="D18236" s="2" t="s">
        <v>10192</v>
      </c>
      <c r="E18236" s="3">
        <v>2.3300000000000002E-134</v>
      </c>
      <c r="F18236" s="2">
        <v>1060</v>
      </c>
      <c r="G18236" s="2">
        <v>100</v>
      </c>
      <c r="H18236" s="2">
        <v>218</v>
      </c>
      <c r="I18236" s="2">
        <v>310</v>
      </c>
      <c r="J18236" s="2">
        <v>963</v>
      </c>
      <c r="K18236" s="2">
        <v>1</v>
      </c>
      <c r="L18236" s="2">
        <v>218</v>
      </c>
    </row>
    <row r="18237" spans="1:12" x14ac:dyDescent="0.25">
      <c r="A18237" s="4" t="str">
        <f>HYPERLINK("http://www.rosaceae.org/Prunus/Prunus_persica/p.persica_gdr_reftransV1_0018236","p.persica_gdr_reftransV1_0018236")</f>
        <v>p.persica_gdr_reftransV1_0018236</v>
      </c>
      <c r="B18237" s="2">
        <v>1110</v>
      </c>
      <c r="C18237" s="4" t="str">
        <f>HYPERLINK("http://www.uniprot.org/uniprot/M5WCL2","M5WCL2")</f>
        <v>M5WCL2</v>
      </c>
      <c r="D18237" s="2" t="s">
        <v>14155</v>
      </c>
      <c r="E18237" s="3">
        <v>5.6799999999999996E-122</v>
      </c>
      <c r="F18237" s="2">
        <v>933</v>
      </c>
      <c r="G18237" s="2">
        <v>100</v>
      </c>
      <c r="H18237" s="2">
        <v>230</v>
      </c>
      <c r="I18237" s="2">
        <v>94</v>
      </c>
      <c r="J18237" s="2">
        <v>783</v>
      </c>
      <c r="K18237" s="2">
        <v>1</v>
      </c>
      <c r="L18237" s="2">
        <v>230</v>
      </c>
    </row>
    <row r="18238" spans="1:12" x14ac:dyDescent="0.25">
      <c r="A18238" s="4" t="str">
        <f>HYPERLINK("http://www.rosaceae.org/Prunus/Prunus_persica/p.persica_gdr_reftransV1_0018586","p.persica_gdr_reftransV1_0018586")</f>
        <v>p.persica_gdr_reftransV1_0018586</v>
      </c>
      <c r="B18238" s="2">
        <v>1093</v>
      </c>
      <c r="C18238" s="4" t="str">
        <f>HYPERLINK("http://www.uniprot.org/uniprot/M5XT59","M5XT59")</f>
        <v>M5XT59</v>
      </c>
      <c r="D18238" s="2" t="s">
        <v>14156</v>
      </c>
      <c r="E18238" s="3">
        <v>1.4700000000000001E-60</v>
      </c>
      <c r="F18238" s="2">
        <v>518</v>
      </c>
      <c r="G18238" s="2">
        <v>100</v>
      </c>
      <c r="H18238" s="2">
        <v>99</v>
      </c>
      <c r="I18238" s="2">
        <v>795</v>
      </c>
      <c r="J18238" s="2">
        <v>1091</v>
      </c>
      <c r="K18238" s="2">
        <v>71</v>
      </c>
      <c r="L18238" s="2">
        <v>169</v>
      </c>
    </row>
    <row r="18239" spans="1:12" x14ac:dyDescent="0.25">
      <c r="A18239" s="4" t="str">
        <f>HYPERLINK("http://www.rosaceae.org/Prunus/Prunus_persica/p.persica_gdr_reftransV1_0019636","p.persica_gdr_reftransV1_0019636")</f>
        <v>p.persica_gdr_reftransV1_0019636</v>
      </c>
      <c r="B18239" s="2">
        <v>5751</v>
      </c>
      <c r="C18239" s="4" t="str">
        <f>HYPERLINK("http://www.uniprot.org/uniprot/M5XKP8","M5XKP8")</f>
        <v>M5XKP8</v>
      </c>
      <c r="D18239" s="2" t="s">
        <v>5945</v>
      </c>
      <c r="E18239" s="3">
        <v>0</v>
      </c>
      <c r="F18239" s="2">
        <v>5119</v>
      </c>
      <c r="G18239" s="2">
        <v>100</v>
      </c>
      <c r="H18239" s="2">
        <v>1111</v>
      </c>
      <c r="I18239" s="2">
        <v>633</v>
      </c>
      <c r="J18239" s="2">
        <v>3965</v>
      </c>
      <c r="K18239" s="2">
        <v>56</v>
      </c>
      <c r="L18239" s="2">
        <v>1166</v>
      </c>
    </row>
    <row r="18240" spans="1:12" x14ac:dyDescent="0.25">
      <c r="A18240" s="4" t="str">
        <f>HYPERLINK("http://www.rosaceae.org/Prunus/Prunus_persica/p.persica_gdr_reftransV1_0021036","p.persica_gdr_reftransV1_0021036")</f>
        <v>p.persica_gdr_reftransV1_0021036</v>
      </c>
      <c r="B18240" s="2">
        <v>2260</v>
      </c>
      <c r="C18240" s="4" t="str">
        <f>HYPERLINK("http://www.uniprot.org/uniprot/M5W612","M5W612")</f>
        <v>M5W612</v>
      </c>
      <c r="D18240" s="2" t="s">
        <v>14157</v>
      </c>
      <c r="E18240" s="3">
        <v>0</v>
      </c>
      <c r="F18240" s="2">
        <v>1871</v>
      </c>
      <c r="G18240" s="2">
        <v>100</v>
      </c>
      <c r="H18240" s="2">
        <v>348</v>
      </c>
      <c r="I18240" s="2">
        <v>969</v>
      </c>
      <c r="J18240" s="2">
        <v>2012</v>
      </c>
      <c r="K18240" s="2">
        <v>26</v>
      </c>
      <c r="L18240" s="2">
        <v>373</v>
      </c>
    </row>
    <row r="18241" spans="1:12" x14ac:dyDescent="0.25">
      <c r="A18241" s="4" t="str">
        <f>HYPERLINK("http://www.rosaceae.org/Prunus/Prunus_persica/p.persica_gdr_reftransV1_0021386","p.persica_gdr_reftransV1_0021386")</f>
        <v>p.persica_gdr_reftransV1_0021386</v>
      </c>
      <c r="B18241" s="2">
        <v>1975</v>
      </c>
      <c r="C18241" s="4" t="str">
        <f>HYPERLINK("http://www.uniprot.org/uniprot/M5XIU1","M5XIU1")</f>
        <v>M5XIU1</v>
      </c>
      <c r="D18241" s="2" t="s">
        <v>4056</v>
      </c>
      <c r="E18241" s="3">
        <v>0</v>
      </c>
      <c r="F18241" s="2">
        <v>2550</v>
      </c>
      <c r="G18241" s="2">
        <v>100</v>
      </c>
      <c r="H18241" s="2">
        <v>523</v>
      </c>
      <c r="I18241" s="2">
        <v>407</v>
      </c>
      <c r="J18241" s="2">
        <v>1975</v>
      </c>
      <c r="K18241" s="2">
        <v>1</v>
      </c>
      <c r="L18241" s="2">
        <v>523</v>
      </c>
    </row>
    <row r="18242" spans="1:12" x14ac:dyDescent="0.25">
      <c r="A18242" s="4" t="str">
        <f>HYPERLINK("http://www.rosaceae.org/Prunus/Prunus_persica/p.persica_gdr_reftransV1_0022436","p.persica_gdr_reftransV1_0022436")</f>
        <v>p.persica_gdr_reftransV1_0022436</v>
      </c>
      <c r="B18242" s="2">
        <v>821</v>
      </c>
      <c r="C18242" s="4" t="str">
        <f>HYPERLINK("http://www.uniprot.org/uniprot/M5WJ47","M5WJ47")</f>
        <v>M5WJ47</v>
      </c>
      <c r="D18242" s="2" t="s">
        <v>14158</v>
      </c>
      <c r="E18242" s="3">
        <v>7.4099999999999997E-41</v>
      </c>
      <c r="F18242" s="2">
        <v>380</v>
      </c>
      <c r="G18242" s="2">
        <v>69</v>
      </c>
      <c r="H18242" s="2">
        <v>117</v>
      </c>
      <c r="I18242" s="2">
        <v>269</v>
      </c>
      <c r="J18242" s="2">
        <v>601</v>
      </c>
      <c r="K18242" s="2">
        <v>71</v>
      </c>
      <c r="L18242" s="2">
        <v>186</v>
      </c>
    </row>
    <row r="18243" spans="1:12" x14ac:dyDescent="0.25">
      <c r="A18243" s="4" t="str">
        <f>HYPERLINK("http://www.rosaceae.org/Prunus/Prunus_persica/p.persica_gdr_reftransV1_0023486","p.persica_gdr_reftransV1_0023486")</f>
        <v>p.persica_gdr_reftransV1_0023486</v>
      </c>
      <c r="B18243" s="2">
        <v>3792</v>
      </c>
      <c r="C18243" s="4" t="str">
        <f>HYPERLINK("http://www.uniprot.org/uniprot/M5XCD2","M5XCD2")</f>
        <v>M5XCD2</v>
      </c>
      <c r="D18243" s="2" t="s">
        <v>14159</v>
      </c>
      <c r="E18243" s="3">
        <v>0</v>
      </c>
      <c r="F18243" s="2">
        <v>1636</v>
      </c>
      <c r="G18243" s="2">
        <v>100</v>
      </c>
      <c r="H18243" s="2">
        <v>463</v>
      </c>
      <c r="I18243" s="2">
        <v>2295</v>
      </c>
      <c r="J18243" s="2">
        <v>3683</v>
      </c>
      <c r="K18243" s="2">
        <v>1</v>
      </c>
      <c r="L18243" s="2">
        <v>463</v>
      </c>
    </row>
    <row r="18244" spans="1:12" x14ac:dyDescent="0.25">
      <c r="A18244" s="4" t="str">
        <f>HYPERLINK("http://www.rosaceae.org/Prunus/Prunus_persica/p.persica_gdr_reftransV1_0024186","p.persica_gdr_reftransV1_0024186")</f>
        <v>p.persica_gdr_reftransV1_0024186</v>
      </c>
      <c r="B18244" s="2">
        <v>3282</v>
      </c>
      <c r="C18244" s="4" t="str">
        <f>HYPERLINK("http://www.uniprot.org/uniprot/M5W6A2","M5W6A2")</f>
        <v>M5W6A2</v>
      </c>
      <c r="D18244" s="2" t="s">
        <v>14160</v>
      </c>
      <c r="E18244" s="3">
        <v>0</v>
      </c>
      <c r="F18244" s="2">
        <v>4077</v>
      </c>
      <c r="G18244" s="2">
        <v>95</v>
      </c>
      <c r="H18244" s="2">
        <v>820</v>
      </c>
      <c r="I18244" s="2">
        <v>485</v>
      </c>
      <c r="J18244" s="2">
        <v>2941</v>
      </c>
      <c r="K18244" s="2">
        <v>1</v>
      </c>
      <c r="L18244" s="2">
        <v>806</v>
      </c>
    </row>
    <row r="18245" spans="1:12" x14ac:dyDescent="0.25">
      <c r="A18245" s="4" t="str">
        <f>HYPERLINK("http://www.rosaceae.org/Prunus/Prunus_persica/p.persica_gdr_reftransV1_0024536","p.persica_gdr_reftransV1_0024536")</f>
        <v>p.persica_gdr_reftransV1_0024536</v>
      </c>
      <c r="B18245" s="2">
        <v>2722</v>
      </c>
      <c r="C18245" s="4" t="str">
        <f>HYPERLINK("http://www.uniprot.org/uniprot/M5W0C3","M5W0C3")</f>
        <v>M5W0C3</v>
      </c>
      <c r="D18245" s="2" t="s">
        <v>1773</v>
      </c>
      <c r="E18245" s="3">
        <v>4.7400000000000004E-78</v>
      </c>
      <c r="F18245" s="2">
        <v>683</v>
      </c>
      <c r="G18245" s="2">
        <v>91</v>
      </c>
      <c r="H18245" s="2">
        <v>170</v>
      </c>
      <c r="I18245" s="2">
        <v>1451</v>
      </c>
      <c r="J18245" s="2">
        <v>1960</v>
      </c>
      <c r="K18245" s="2">
        <v>35</v>
      </c>
      <c r="L18245" s="2">
        <v>204</v>
      </c>
    </row>
    <row r="18246" spans="1:12" x14ac:dyDescent="0.25">
      <c r="A18246" s="4" t="str">
        <f>HYPERLINK("http://www.rosaceae.org/Prunus/Prunus_persica/p.persica_gdr_reftransV1_0025236","p.persica_gdr_reftransV1_0025236")</f>
        <v>p.persica_gdr_reftransV1_0025236</v>
      </c>
      <c r="B18246" s="2">
        <v>3436</v>
      </c>
      <c r="C18246" s="4" t="str">
        <f>HYPERLINK("http://www.uniprot.org/uniprot/M5W7L7","M5W7L7")</f>
        <v>M5W7L7</v>
      </c>
      <c r="D18246" s="2" t="s">
        <v>14161</v>
      </c>
      <c r="E18246" s="3">
        <v>0</v>
      </c>
      <c r="F18246" s="2">
        <v>4988</v>
      </c>
      <c r="G18246" s="2">
        <v>100</v>
      </c>
      <c r="H18246" s="2">
        <v>969</v>
      </c>
      <c r="I18246" s="2">
        <v>296</v>
      </c>
      <c r="J18246" s="2">
        <v>3202</v>
      </c>
      <c r="K18246" s="2">
        <v>27</v>
      </c>
      <c r="L18246" s="2">
        <v>995</v>
      </c>
    </row>
    <row r="18247" spans="1:12" x14ac:dyDescent="0.25">
      <c r="A18247" s="4" t="str">
        <f>HYPERLINK("http://www.rosaceae.org/Prunus/Prunus_persica/p.persica_gdr_reftransV1_0025586","p.persica_gdr_reftransV1_0025586")</f>
        <v>p.persica_gdr_reftransV1_0025586</v>
      </c>
      <c r="B18247" s="2">
        <v>2271</v>
      </c>
      <c r="C18247" s="4" t="str">
        <f>HYPERLINK("http://www.uniprot.org/uniprot/M5WFL2","M5WFL2")</f>
        <v>M5WFL2</v>
      </c>
      <c r="D18247" s="2" t="s">
        <v>4926</v>
      </c>
      <c r="E18247" s="3">
        <v>1.06E-95</v>
      </c>
      <c r="F18247" s="2">
        <v>799</v>
      </c>
      <c r="G18247" s="2">
        <v>100</v>
      </c>
      <c r="H18247" s="2">
        <v>184</v>
      </c>
      <c r="I18247" s="2">
        <v>51</v>
      </c>
      <c r="J18247" s="2">
        <v>602</v>
      </c>
      <c r="K18247" s="2">
        <v>1</v>
      </c>
      <c r="L18247" s="2">
        <v>184</v>
      </c>
    </row>
    <row r="18248" spans="1:12" x14ac:dyDescent="0.25">
      <c r="A18248" s="4" t="str">
        <f>HYPERLINK("http://www.rosaceae.org/Prunus/Prunus_persica/p.persica_gdr_reftransV1_0026286","p.persica_gdr_reftransV1_0026286")</f>
        <v>p.persica_gdr_reftransV1_0026286</v>
      </c>
      <c r="B18248" s="2">
        <v>1473</v>
      </c>
      <c r="C18248" s="4" t="str">
        <f>HYPERLINK("http://www.uniprot.org/uniprot/M5XE21","M5XE21")</f>
        <v>M5XE21</v>
      </c>
      <c r="D18248" s="2" t="s">
        <v>12789</v>
      </c>
      <c r="E18248" s="3">
        <v>0</v>
      </c>
      <c r="F18248" s="2">
        <v>1863</v>
      </c>
      <c r="G18248" s="2">
        <v>100</v>
      </c>
      <c r="H18248" s="2">
        <v>366</v>
      </c>
      <c r="I18248" s="2">
        <v>374</v>
      </c>
      <c r="J18248" s="2">
        <v>1471</v>
      </c>
      <c r="K18248" s="2">
        <v>243</v>
      </c>
      <c r="L18248" s="2">
        <v>608</v>
      </c>
    </row>
    <row r="18249" spans="1:12" x14ac:dyDescent="0.25">
      <c r="A18249" s="4" t="str">
        <f>HYPERLINK("http://www.rosaceae.org/Prunus/Prunus_persica/p.persica_gdr_reftransV1_0026636","p.persica_gdr_reftransV1_0026636")</f>
        <v>p.persica_gdr_reftransV1_0026636</v>
      </c>
      <c r="B18249" s="2">
        <v>491</v>
      </c>
      <c r="C18249" s="4" t="str">
        <f>HYPERLINK("http://www.uniprot.org/uniprot/M5WQC8","M5WQC8")</f>
        <v>M5WQC8</v>
      </c>
      <c r="D18249" s="2" t="s">
        <v>7402</v>
      </c>
      <c r="E18249" s="3">
        <v>1.0399999999999999E-15</v>
      </c>
      <c r="F18249" s="2">
        <v>206</v>
      </c>
      <c r="G18249" s="2">
        <v>60</v>
      </c>
      <c r="H18249" s="2">
        <v>108</v>
      </c>
      <c r="I18249" s="2">
        <v>12</v>
      </c>
      <c r="J18249" s="2">
        <v>335</v>
      </c>
      <c r="K18249" s="2">
        <v>66</v>
      </c>
      <c r="L18249" s="2">
        <v>168</v>
      </c>
    </row>
    <row r="18250" spans="1:12" x14ac:dyDescent="0.25">
      <c r="A18250" s="4" t="str">
        <f>HYPERLINK("http://www.rosaceae.org/Prunus/Prunus_persica/p.persica_gdr_reftransV1_0027336","p.persica_gdr_reftransV1_0027336")</f>
        <v>p.persica_gdr_reftransV1_0027336</v>
      </c>
      <c r="B18250" s="2">
        <v>1356</v>
      </c>
      <c r="C18250" s="4" t="str">
        <f>HYPERLINK("http://www.uniprot.org/uniprot/M5Y920","M5Y920")</f>
        <v>M5Y920</v>
      </c>
      <c r="D18250" s="2" t="s">
        <v>14162</v>
      </c>
      <c r="E18250" s="3">
        <v>5.5399999999999996E-161</v>
      </c>
      <c r="F18250" s="2">
        <v>1205</v>
      </c>
      <c r="G18250" s="2">
        <v>100</v>
      </c>
      <c r="H18250" s="2">
        <v>280</v>
      </c>
      <c r="I18250" s="2">
        <v>202</v>
      </c>
      <c r="J18250" s="2">
        <v>1041</v>
      </c>
      <c r="K18250" s="2">
        <v>17</v>
      </c>
      <c r="L18250" s="2">
        <v>296</v>
      </c>
    </row>
    <row r="18251" spans="1:12" x14ac:dyDescent="0.25">
      <c r="A18251" s="4" t="str">
        <f>HYPERLINK("http://www.rosaceae.org/Prunus/Prunus_persica/p.persica_gdr_reftransV1_0027686","p.persica_gdr_reftransV1_0027686")</f>
        <v>p.persica_gdr_reftransV1_0027686</v>
      </c>
      <c r="B18251" s="2">
        <v>1233</v>
      </c>
      <c r="C18251" s="4" t="str">
        <f>HYPERLINK("http://www.uniprot.org/uniprot/M5WS28","M5WS28")</f>
        <v>M5WS28</v>
      </c>
      <c r="D18251" s="2" t="s">
        <v>1062</v>
      </c>
      <c r="E18251" s="3">
        <v>3.9299999999999999E-158</v>
      </c>
      <c r="F18251" s="2">
        <v>1196</v>
      </c>
      <c r="G18251" s="2">
        <v>92</v>
      </c>
      <c r="H18251" s="2">
        <v>365</v>
      </c>
      <c r="I18251" s="2">
        <v>137</v>
      </c>
      <c r="J18251" s="2">
        <v>1231</v>
      </c>
      <c r="K18251" s="2">
        <v>95</v>
      </c>
      <c r="L18251" s="2">
        <v>430</v>
      </c>
    </row>
    <row r="18252" spans="1:12" x14ac:dyDescent="0.25">
      <c r="A18252" s="4" t="str">
        <f>HYPERLINK("http://www.rosaceae.org/Prunus/Prunus_persica/p.persica_gdr_reftransV1_0028736","p.persica_gdr_reftransV1_0028736")</f>
        <v>p.persica_gdr_reftransV1_0028736</v>
      </c>
      <c r="B18252" s="2">
        <v>2338</v>
      </c>
      <c r="C18252" s="4" t="str">
        <f>HYPERLINK("http://www.uniprot.org/uniprot/A5B9B7","A5B9B7")</f>
        <v>A5B9B7</v>
      </c>
      <c r="D18252" s="2" t="s">
        <v>14163</v>
      </c>
      <c r="E18252" s="3">
        <v>1.64E-21</v>
      </c>
      <c r="F18252" s="2">
        <v>263</v>
      </c>
      <c r="G18252" s="2">
        <v>93</v>
      </c>
      <c r="H18252" s="2">
        <v>68</v>
      </c>
      <c r="I18252" s="2">
        <v>294</v>
      </c>
      <c r="J18252" s="2">
        <v>497</v>
      </c>
      <c r="K18252" s="2">
        <v>37</v>
      </c>
      <c r="L18252" s="2">
        <v>104</v>
      </c>
    </row>
    <row r="18253" spans="1:12" x14ac:dyDescent="0.25">
      <c r="A18253" s="4" t="str">
        <f>HYPERLINK("http://www.rosaceae.org/Prunus/Prunus_persica/p.persica_gdr_reftransV1_0029436","p.persica_gdr_reftransV1_0029436")</f>
        <v>p.persica_gdr_reftransV1_0029436</v>
      </c>
      <c r="B18253" s="2">
        <v>2215</v>
      </c>
      <c r="C18253" s="4" t="str">
        <f>HYPERLINK("http://www.uniprot.org/uniprot/M5WP39","M5WP39")</f>
        <v>M5WP39</v>
      </c>
      <c r="D18253" s="2" t="s">
        <v>14164</v>
      </c>
      <c r="E18253" s="3">
        <v>0</v>
      </c>
      <c r="F18253" s="2">
        <v>2302</v>
      </c>
      <c r="G18253" s="2">
        <v>99</v>
      </c>
      <c r="H18253" s="2">
        <v>431</v>
      </c>
      <c r="I18253" s="2">
        <v>365</v>
      </c>
      <c r="J18253" s="2">
        <v>1657</v>
      </c>
      <c r="K18253" s="2">
        <v>106</v>
      </c>
      <c r="L18253" s="2">
        <v>536</v>
      </c>
    </row>
    <row r="18254" spans="1:12" x14ac:dyDescent="0.25">
      <c r="A18254" s="4" t="str">
        <f>HYPERLINK("http://www.rosaceae.org/Prunus/Prunus_persica/p.persica_gdr_reftransV1_0032936","p.persica_gdr_reftransV1_0032936")</f>
        <v>p.persica_gdr_reftransV1_0032936</v>
      </c>
      <c r="B18254" s="2">
        <v>2087</v>
      </c>
      <c r="C18254" s="4" t="str">
        <f>HYPERLINK("http://www.uniprot.org/uniprot/M5XZ50","M5XZ50")</f>
        <v>M5XZ50</v>
      </c>
      <c r="D18254" s="2" t="s">
        <v>932</v>
      </c>
      <c r="E18254" s="3">
        <v>8.1899999999999996E-117</v>
      </c>
      <c r="F18254" s="2">
        <v>941</v>
      </c>
      <c r="G18254" s="2">
        <v>99</v>
      </c>
      <c r="H18254" s="2">
        <v>174</v>
      </c>
      <c r="I18254" s="2">
        <v>213</v>
      </c>
      <c r="J18254" s="2">
        <v>734</v>
      </c>
      <c r="K18254" s="2">
        <v>194</v>
      </c>
      <c r="L18254" s="2">
        <v>367</v>
      </c>
    </row>
    <row r="18255" spans="1:12" x14ac:dyDescent="0.25">
      <c r="A18255" s="4" t="str">
        <f>HYPERLINK("http://www.rosaceae.org/Prunus/Prunus_persica/p.persica_gdr_reftransV1_0034336","p.persica_gdr_reftransV1_0034336")</f>
        <v>p.persica_gdr_reftransV1_0034336</v>
      </c>
      <c r="B18255" s="2">
        <v>1931</v>
      </c>
      <c r="C18255" s="4" t="str">
        <f>HYPERLINK("http://www.uniprot.org/uniprot/M5Y0N2","M5Y0N2")</f>
        <v>M5Y0N2</v>
      </c>
      <c r="D18255" s="2" t="s">
        <v>14165</v>
      </c>
      <c r="E18255" s="3">
        <v>0</v>
      </c>
      <c r="F18255" s="2">
        <v>1885</v>
      </c>
      <c r="G18255" s="2">
        <v>99</v>
      </c>
      <c r="H18255" s="2">
        <v>373</v>
      </c>
      <c r="I18255" s="2">
        <v>408</v>
      </c>
      <c r="J18255" s="2">
        <v>1526</v>
      </c>
      <c r="K18255" s="2">
        <v>2</v>
      </c>
      <c r="L18255" s="2">
        <v>374</v>
      </c>
    </row>
    <row r="18256" spans="1:12" x14ac:dyDescent="0.25">
      <c r="A18256" s="4" t="str">
        <f>HYPERLINK("http://www.rosaceae.org/Prunus/Prunus_persica/p.persica_gdr_reftransV1_0034686","p.persica_gdr_reftransV1_0034686")</f>
        <v>p.persica_gdr_reftransV1_0034686</v>
      </c>
      <c r="B18256" s="2">
        <v>2947</v>
      </c>
      <c r="C18256" s="4" t="str">
        <f>HYPERLINK("http://www.uniprot.org/uniprot/M5W6Y4","M5W6Y4")</f>
        <v>M5W6Y4</v>
      </c>
      <c r="D18256" s="2" t="s">
        <v>14166</v>
      </c>
      <c r="E18256" s="3">
        <v>0</v>
      </c>
      <c r="F18256" s="2">
        <v>2752</v>
      </c>
      <c r="G18256" s="2">
        <v>100</v>
      </c>
      <c r="H18256" s="2">
        <v>566</v>
      </c>
      <c r="I18256" s="2">
        <v>660</v>
      </c>
      <c r="J18256" s="2">
        <v>2357</v>
      </c>
      <c r="K18256" s="2">
        <v>16</v>
      </c>
      <c r="L18256" s="2">
        <v>581</v>
      </c>
    </row>
    <row r="18257" spans="1:12" x14ac:dyDescent="0.25">
      <c r="A18257" s="4" t="str">
        <f>HYPERLINK("http://www.rosaceae.org/Prunus/Prunus_persica/p.persica_gdr_reftransV1_0035736","p.persica_gdr_reftransV1_0035736")</f>
        <v>p.persica_gdr_reftransV1_0035736</v>
      </c>
      <c r="B18257" s="2">
        <v>3494</v>
      </c>
      <c r="C18257" s="4" t="str">
        <f>HYPERLINK("http://www.uniprot.org/uniprot/M5W407","M5W407")</f>
        <v>M5W407</v>
      </c>
      <c r="D18257" s="2" t="s">
        <v>14167</v>
      </c>
      <c r="E18257" s="3">
        <v>0</v>
      </c>
      <c r="F18257" s="2">
        <v>2825</v>
      </c>
      <c r="G18257" s="2">
        <v>100</v>
      </c>
      <c r="H18257" s="2">
        <v>536</v>
      </c>
      <c r="I18257" s="2">
        <v>493</v>
      </c>
      <c r="J18257" s="2">
        <v>2100</v>
      </c>
      <c r="K18257" s="2">
        <v>350</v>
      </c>
      <c r="L18257" s="2">
        <v>885</v>
      </c>
    </row>
    <row r="18258" spans="1:12" x14ac:dyDescent="0.25">
      <c r="A18258" s="4" t="str">
        <f>HYPERLINK("http://www.rosaceae.org/Prunus/Prunus_persica/p.persica_gdr_reftransV1_0040636","p.persica_gdr_reftransV1_0040636")</f>
        <v>p.persica_gdr_reftransV1_0040636</v>
      </c>
      <c r="B18258" s="2">
        <v>4069</v>
      </c>
      <c r="C18258" s="4" t="str">
        <f>HYPERLINK("http://www.uniprot.org/uniprot/M5W2X6","M5W2X6")</f>
        <v>M5W2X6</v>
      </c>
      <c r="D18258" s="2" t="s">
        <v>14168</v>
      </c>
      <c r="E18258" s="3">
        <v>1.14E-68</v>
      </c>
      <c r="F18258" s="2">
        <v>377</v>
      </c>
      <c r="G18258" s="2">
        <v>55</v>
      </c>
      <c r="H18258" s="2">
        <v>172</v>
      </c>
      <c r="I18258" s="2">
        <v>2994</v>
      </c>
      <c r="J18258" s="2">
        <v>3509</v>
      </c>
      <c r="K18258" s="2">
        <v>256</v>
      </c>
      <c r="L18258" s="2">
        <v>369</v>
      </c>
    </row>
    <row r="18259" spans="1:12" x14ac:dyDescent="0.25">
      <c r="A18259" s="4" t="str">
        <f>HYPERLINK("http://www.rosaceae.org/Prunus/Prunus_persica/p.persica_gdr_reftransV1_0042036","p.persica_gdr_reftransV1_0042036")</f>
        <v>p.persica_gdr_reftransV1_0042036</v>
      </c>
      <c r="B18259" s="2">
        <v>1480</v>
      </c>
      <c r="C18259" s="4" t="str">
        <f>HYPERLINK("http://www.uniprot.org/uniprot/M5X0W5","M5X0W5")</f>
        <v>M5X0W5</v>
      </c>
      <c r="D18259" s="2" t="s">
        <v>14169</v>
      </c>
      <c r="E18259" s="3">
        <v>0</v>
      </c>
      <c r="F18259" s="2">
        <v>1691</v>
      </c>
      <c r="G18259" s="2">
        <v>100</v>
      </c>
      <c r="H18259" s="2">
        <v>319</v>
      </c>
      <c r="I18259" s="2">
        <v>331</v>
      </c>
      <c r="J18259" s="2">
        <v>1287</v>
      </c>
      <c r="K18259" s="2">
        <v>1</v>
      </c>
      <c r="L18259" s="2">
        <v>319</v>
      </c>
    </row>
    <row r="18260" spans="1:12" x14ac:dyDescent="0.25">
      <c r="A18260" s="4" t="str">
        <f>HYPERLINK("http://www.rosaceae.org/Prunus/Prunus_persica/p.persica_gdr_reftransV1_0042386","p.persica_gdr_reftransV1_0042386")</f>
        <v>p.persica_gdr_reftransV1_0042386</v>
      </c>
      <c r="B18260" s="2">
        <v>2668</v>
      </c>
      <c r="C18260" s="4" t="str">
        <f>HYPERLINK("http://www.uniprot.org/uniprot/M5VZH1","M5VZH1")</f>
        <v>M5VZH1</v>
      </c>
      <c r="D18260" s="2" t="s">
        <v>14170</v>
      </c>
      <c r="E18260" s="3">
        <v>0</v>
      </c>
      <c r="F18260" s="2">
        <v>3050</v>
      </c>
      <c r="G18260" s="2">
        <v>99</v>
      </c>
      <c r="H18260" s="2">
        <v>626</v>
      </c>
      <c r="I18260" s="2">
        <v>598</v>
      </c>
      <c r="J18260" s="2">
        <v>2475</v>
      </c>
      <c r="K18260" s="2">
        <v>1</v>
      </c>
      <c r="L18260" s="2">
        <v>620</v>
      </c>
    </row>
    <row r="18261" spans="1:12" x14ac:dyDescent="0.25">
      <c r="A18261" s="4" t="str">
        <f>HYPERLINK("http://www.rosaceae.org/Prunus/Prunus_persica/p.persica_gdr_reftransV1_0043086","p.persica_gdr_reftransV1_0043086")</f>
        <v>p.persica_gdr_reftransV1_0043086</v>
      </c>
      <c r="B18261" s="2">
        <v>864</v>
      </c>
      <c r="C18261" s="4" t="str">
        <f>HYPERLINK("http://www.uniprot.org/uniprot/M5WHV5","M5WHV5")</f>
        <v>M5WHV5</v>
      </c>
      <c r="D18261" s="2" t="s">
        <v>14171</v>
      </c>
      <c r="E18261" s="3">
        <v>4.13E-103</v>
      </c>
      <c r="F18261" s="2">
        <v>792</v>
      </c>
      <c r="G18261" s="2">
        <v>100</v>
      </c>
      <c r="H18261" s="2">
        <v>153</v>
      </c>
      <c r="I18261" s="2">
        <v>304</v>
      </c>
      <c r="J18261" s="2">
        <v>762</v>
      </c>
      <c r="K18261" s="2">
        <v>1</v>
      </c>
      <c r="L18261" s="2">
        <v>153</v>
      </c>
    </row>
    <row r="18262" spans="1:12" x14ac:dyDescent="0.25">
      <c r="A18262" s="4" t="str">
        <f>HYPERLINK("http://www.rosaceae.org/Prunus/Prunus_persica/p.persica_gdr_reftransV1_0043436","p.persica_gdr_reftransV1_0043436")</f>
        <v>p.persica_gdr_reftransV1_0043436</v>
      </c>
      <c r="B18262" s="2">
        <v>1463</v>
      </c>
      <c r="C18262" s="4" t="str">
        <f>HYPERLINK("http://www.uniprot.org/uniprot/M5WD83","M5WD83")</f>
        <v>M5WD83</v>
      </c>
      <c r="D18262" s="2" t="s">
        <v>491</v>
      </c>
      <c r="E18262" s="3">
        <v>0</v>
      </c>
      <c r="F18262" s="2">
        <v>1692</v>
      </c>
      <c r="G18262" s="2">
        <v>100</v>
      </c>
      <c r="H18262" s="2">
        <v>338</v>
      </c>
      <c r="I18262" s="2">
        <v>76</v>
      </c>
      <c r="J18262" s="2">
        <v>1089</v>
      </c>
      <c r="K18262" s="2">
        <v>1</v>
      </c>
      <c r="L18262" s="2">
        <v>338</v>
      </c>
    </row>
    <row r="18263" spans="1:12" x14ac:dyDescent="0.25">
      <c r="A18263" s="4" t="str">
        <f>HYPERLINK("http://www.rosaceae.org/Prunus/Prunus_persica/p.persica_gdr_reftransV1_0043786","p.persica_gdr_reftransV1_0043786")</f>
        <v>p.persica_gdr_reftransV1_0043786</v>
      </c>
      <c r="B18263" s="2">
        <v>1593</v>
      </c>
      <c r="C18263" s="4" t="str">
        <f>HYPERLINK("http://www.uniprot.org/uniprot/M5XC86","M5XC86")</f>
        <v>M5XC86</v>
      </c>
      <c r="D18263" s="2" t="s">
        <v>10672</v>
      </c>
      <c r="E18263" s="3">
        <v>0</v>
      </c>
      <c r="F18263" s="2">
        <v>2085</v>
      </c>
      <c r="G18263" s="2">
        <v>100</v>
      </c>
      <c r="H18263" s="2">
        <v>389</v>
      </c>
      <c r="I18263" s="2">
        <v>321</v>
      </c>
      <c r="J18263" s="2">
        <v>1487</v>
      </c>
      <c r="K18263" s="2">
        <v>1</v>
      </c>
      <c r="L18263" s="2">
        <v>389</v>
      </c>
    </row>
    <row r="18264" spans="1:12" x14ac:dyDescent="0.25">
      <c r="A18264" s="4" t="str">
        <f>HYPERLINK("http://www.rosaceae.org/Prunus/Prunus_persica/p.persica_gdr_reftransV1_0044136","p.persica_gdr_reftransV1_0044136")</f>
        <v>p.persica_gdr_reftransV1_0044136</v>
      </c>
      <c r="B18264" s="2">
        <v>1290</v>
      </c>
      <c r="C18264" s="4" t="str">
        <f>HYPERLINK("http://www.uniprot.org/uniprot/M5XKN7","M5XKN7")</f>
        <v>M5XKN7</v>
      </c>
      <c r="D18264" s="2" t="s">
        <v>11320</v>
      </c>
      <c r="E18264" s="3">
        <v>6.9700000000000003E-146</v>
      </c>
      <c r="F18264" s="2">
        <v>1095</v>
      </c>
      <c r="G18264" s="2">
        <v>100</v>
      </c>
      <c r="H18264" s="2">
        <v>209</v>
      </c>
      <c r="I18264" s="2">
        <v>202</v>
      </c>
      <c r="J18264" s="2">
        <v>828</v>
      </c>
      <c r="K18264" s="2">
        <v>1</v>
      </c>
      <c r="L18264" s="2">
        <v>209</v>
      </c>
    </row>
    <row r="18265" spans="1:12" x14ac:dyDescent="0.25">
      <c r="A18265" s="4" t="str">
        <f>HYPERLINK("http://www.rosaceae.org/Prunus/Prunus_persica/p.persica_gdr_reftransV1_0044486","p.persica_gdr_reftransV1_0044486")</f>
        <v>p.persica_gdr_reftransV1_0044486</v>
      </c>
      <c r="B18265" s="2">
        <v>907</v>
      </c>
      <c r="C18265" s="4" t="str">
        <f>HYPERLINK("http://www.uniprot.org/uniprot/M5VNS1","M5VNS1")</f>
        <v>M5VNS1</v>
      </c>
      <c r="D18265" s="2" t="s">
        <v>7237</v>
      </c>
      <c r="E18265" s="3">
        <v>8.7400000000000006E-149</v>
      </c>
      <c r="F18265" s="2">
        <v>1130</v>
      </c>
      <c r="G18265" s="2">
        <v>100</v>
      </c>
      <c r="H18265" s="2">
        <v>217</v>
      </c>
      <c r="I18265" s="2">
        <v>15</v>
      </c>
      <c r="J18265" s="2">
        <v>665</v>
      </c>
      <c r="K18265" s="2">
        <v>1</v>
      </c>
      <c r="L18265" s="2">
        <v>217</v>
      </c>
    </row>
    <row r="18266" spans="1:12" x14ac:dyDescent="0.25">
      <c r="A18266" s="4" t="str">
        <f>HYPERLINK("http://www.rosaceae.org/Prunus/Prunus_persica/p.persica_gdr_reftransV1_0044836","p.persica_gdr_reftransV1_0044836")</f>
        <v>p.persica_gdr_reftransV1_0044836</v>
      </c>
      <c r="B18266" s="2">
        <v>1114</v>
      </c>
      <c r="C18266" s="4" t="str">
        <f>HYPERLINK("http://www.uniprot.org/uniprot/M5X8Q9","M5X8Q9")</f>
        <v>M5X8Q9</v>
      </c>
      <c r="D18266" s="2" t="s">
        <v>738</v>
      </c>
      <c r="E18266" s="3">
        <v>8.7499999999999997E-97</v>
      </c>
      <c r="F18266" s="2">
        <v>776</v>
      </c>
      <c r="G18266" s="2">
        <v>100</v>
      </c>
      <c r="H18266" s="2">
        <v>173</v>
      </c>
      <c r="I18266" s="2">
        <v>596</v>
      </c>
      <c r="J18266" s="2">
        <v>1114</v>
      </c>
      <c r="K18266" s="2">
        <v>165</v>
      </c>
      <c r="L18266" s="2">
        <v>337</v>
      </c>
    </row>
    <row r="18267" spans="1:12" x14ac:dyDescent="0.25">
      <c r="A18267" s="4" t="str">
        <f>HYPERLINK("http://www.rosaceae.org/Prunus/Prunus_persica/p.persica_gdr_reftransV1_0045186","p.persica_gdr_reftransV1_0045186")</f>
        <v>p.persica_gdr_reftransV1_0045186</v>
      </c>
      <c r="B18267" s="2">
        <v>1747</v>
      </c>
      <c r="C18267" s="4" t="str">
        <f>HYPERLINK("http://www.uniprot.org/uniprot/M5WCP6","M5WCP6")</f>
        <v>M5WCP6</v>
      </c>
      <c r="D18267" s="2" t="s">
        <v>14172</v>
      </c>
      <c r="E18267" s="3">
        <v>9.1000000000000002E-143</v>
      </c>
      <c r="F18267" s="2">
        <v>1090</v>
      </c>
      <c r="G18267" s="2">
        <v>100</v>
      </c>
      <c r="H18267" s="2">
        <v>221</v>
      </c>
      <c r="I18267" s="2">
        <v>152</v>
      </c>
      <c r="J18267" s="2">
        <v>814</v>
      </c>
      <c r="K18267" s="2">
        <v>1</v>
      </c>
      <c r="L18267" s="2">
        <v>221</v>
      </c>
    </row>
    <row r="18268" spans="1:12" x14ac:dyDescent="0.25">
      <c r="A18268" s="4" t="str">
        <f>HYPERLINK("http://www.rosaceae.org/Prunus/Prunus_persica/p.persica_gdr_reftransV1_0045536","p.persica_gdr_reftransV1_0045536")</f>
        <v>p.persica_gdr_reftransV1_0045536</v>
      </c>
      <c r="B18268" s="2">
        <v>3536</v>
      </c>
      <c r="C18268" s="4" t="str">
        <f>HYPERLINK("http://www.uniprot.org/uniprot/M5VVI7","M5VVI7")</f>
        <v>M5VVI7</v>
      </c>
      <c r="D18268" s="2" t="s">
        <v>4309</v>
      </c>
      <c r="E18268" s="3">
        <v>0</v>
      </c>
      <c r="F18268" s="2">
        <v>2539</v>
      </c>
      <c r="G18268" s="2">
        <v>100</v>
      </c>
      <c r="H18268" s="2">
        <v>648</v>
      </c>
      <c r="I18268" s="2">
        <v>478</v>
      </c>
      <c r="J18268" s="2">
        <v>2421</v>
      </c>
      <c r="K18268" s="2">
        <v>1</v>
      </c>
      <c r="L18268" s="2">
        <v>648</v>
      </c>
    </row>
    <row r="18269" spans="1:12" x14ac:dyDescent="0.25">
      <c r="A18269" s="4" t="str">
        <f>HYPERLINK("http://www.rosaceae.org/Prunus/Prunus_persica/p.persica_gdr_reftransV1_0045886","p.persica_gdr_reftransV1_0045886")</f>
        <v>p.persica_gdr_reftransV1_0045886</v>
      </c>
      <c r="B18269" s="2">
        <v>981</v>
      </c>
      <c r="C18269" s="4" t="str">
        <f>HYPERLINK("http://www.uniprot.org/uniprot/M5WFK5","M5WFK5")</f>
        <v>M5WFK5</v>
      </c>
      <c r="D18269" s="2" t="s">
        <v>8347</v>
      </c>
      <c r="E18269" s="3">
        <v>8.66E-163</v>
      </c>
      <c r="F18269" s="2">
        <v>1212</v>
      </c>
      <c r="G18269" s="2">
        <v>100</v>
      </c>
      <c r="H18269" s="2">
        <v>282</v>
      </c>
      <c r="I18269" s="2">
        <v>1</v>
      </c>
      <c r="J18269" s="2">
        <v>846</v>
      </c>
      <c r="K18269" s="2">
        <v>1</v>
      </c>
      <c r="L18269" s="2">
        <v>282</v>
      </c>
    </row>
    <row r="18270" spans="1:12" x14ac:dyDescent="0.25">
      <c r="A18270" s="4" t="str">
        <f>HYPERLINK("http://www.rosaceae.org/Prunus/Prunus_persica/p.persica_gdr_reftransV1_0046236","p.persica_gdr_reftransV1_0046236")</f>
        <v>p.persica_gdr_reftransV1_0046236</v>
      </c>
      <c r="B18270" s="2">
        <v>546</v>
      </c>
      <c r="C18270" s="4" t="str">
        <f>HYPERLINK("http://www.uniprot.org/uniprot/M5WB54","M5WB54")</f>
        <v>M5WB54</v>
      </c>
      <c r="D18270" s="2" t="s">
        <v>12295</v>
      </c>
      <c r="E18270" s="3">
        <v>2.4299999999999999E-79</v>
      </c>
      <c r="F18270" s="2">
        <v>620</v>
      </c>
      <c r="G18270" s="2">
        <v>100</v>
      </c>
      <c r="H18270" s="2">
        <v>116</v>
      </c>
      <c r="I18270" s="2">
        <v>156</v>
      </c>
      <c r="J18270" s="2">
        <v>503</v>
      </c>
      <c r="K18270" s="2">
        <v>1</v>
      </c>
      <c r="L18270" s="2">
        <v>116</v>
      </c>
    </row>
    <row r="18271" spans="1:12" x14ac:dyDescent="0.25">
      <c r="A18271" s="4" t="str">
        <f>HYPERLINK("http://www.rosaceae.org/Prunus/Prunus_persica/p.persica_gdr_reftransV1_0046586","p.persica_gdr_reftransV1_0046586")</f>
        <v>p.persica_gdr_reftransV1_0046586</v>
      </c>
      <c r="B18271" s="2">
        <v>522</v>
      </c>
      <c r="C18271" s="4" t="str">
        <f>HYPERLINK("http://www.uniprot.org/uniprot/M5X5J5","M5X5J5")</f>
        <v>M5X5J5</v>
      </c>
      <c r="D18271" s="2" t="s">
        <v>14173</v>
      </c>
      <c r="E18271" s="3">
        <v>3.6199999999999999E-125</v>
      </c>
      <c r="F18271" s="2">
        <v>931</v>
      </c>
      <c r="G18271" s="2">
        <v>100</v>
      </c>
      <c r="H18271" s="2">
        <v>174</v>
      </c>
      <c r="I18271" s="2">
        <v>1</v>
      </c>
      <c r="J18271" s="2">
        <v>522</v>
      </c>
      <c r="K18271" s="2">
        <v>38</v>
      </c>
      <c r="L18271" s="2">
        <v>211</v>
      </c>
    </row>
    <row r="18272" spans="1:12" x14ac:dyDescent="0.25">
      <c r="A18272" s="4" t="str">
        <f>HYPERLINK("http://www.rosaceae.org/Prunus/Prunus_persica/p.persica_gdr_reftransV1_0047636","p.persica_gdr_reftransV1_0047636")</f>
        <v>p.persica_gdr_reftransV1_0047636</v>
      </c>
      <c r="B18272" s="2">
        <v>932</v>
      </c>
      <c r="C18272" s="4" t="str">
        <f>HYPERLINK("http://www.uniprot.org/uniprot/M5W090","M5W090")</f>
        <v>M5W090</v>
      </c>
      <c r="D18272" s="2" t="s">
        <v>14174</v>
      </c>
      <c r="E18272" s="3">
        <v>3.6500000000000001E-122</v>
      </c>
      <c r="F18272" s="2">
        <v>925</v>
      </c>
      <c r="G18272" s="2">
        <v>100</v>
      </c>
      <c r="H18272" s="2">
        <v>201</v>
      </c>
      <c r="I18272" s="2">
        <v>102</v>
      </c>
      <c r="J18272" s="2">
        <v>704</v>
      </c>
      <c r="K18272" s="2">
        <v>1</v>
      </c>
      <c r="L18272" s="2">
        <v>201</v>
      </c>
    </row>
    <row r="18273" spans="1:12" x14ac:dyDescent="0.25">
      <c r="A18273" s="4" t="str">
        <f>HYPERLINK("http://www.rosaceae.org/Prunus/Prunus_persica/p.persica_gdr_reftransV1_0047986","p.persica_gdr_reftransV1_0047986")</f>
        <v>p.persica_gdr_reftransV1_0047986</v>
      </c>
      <c r="B18273" s="2">
        <v>1248</v>
      </c>
      <c r="C18273" s="4" t="str">
        <f>HYPERLINK("http://www.uniprot.org/uniprot/M5X6D2","M5X6D2")</f>
        <v>M5X6D2</v>
      </c>
      <c r="D18273" s="2" t="s">
        <v>4988</v>
      </c>
      <c r="E18273" s="3">
        <v>1.3500000000000001E-172</v>
      </c>
      <c r="F18273" s="2">
        <v>1272</v>
      </c>
      <c r="G18273" s="2">
        <v>100</v>
      </c>
      <c r="H18273" s="2">
        <v>237</v>
      </c>
      <c r="I18273" s="2">
        <v>295</v>
      </c>
      <c r="J18273" s="2">
        <v>1005</v>
      </c>
      <c r="K18273" s="2">
        <v>1</v>
      </c>
      <c r="L18273" s="2">
        <v>237</v>
      </c>
    </row>
    <row r="18274" spans="1:12" x14ac:dyDescent="0.25">
      <c r="A18274" s="4" t="str">
        <f>HYPERLINK("http://www.rosaceae.org/Prunus/Prunus_persica/p.persica_gdr_reftransV1_0048336","p.persica_gdr_reftransV1_0048336")</f>
        <v>p.persica_gdr_reftransV1_0048336</v>
      </c>
      <c r="B18274" s="2">
        <v>2176</v>
      </c>
      <c r="C18274" s="4" t="str">
        <f>HYPERLINK("http://www.uniprot.org/uniprot/M5W6J0","M5W6J0")</f>
        <v>M5W6J0</v>
      </c>
      <c r="D18274" s="2" t="s">
        <v>14175</v>
      </c>
      <c r="E18274" s="3">
        <v>0</v>
      </c>
      <c r="F18274" s="2">
        <v>2490</v>
      </c>
      <c r="G18274" s="2">
        <v>100</v>
      </c>
      <c r="H18274" s="2">
        <v>508</v>
      </c>
      <c r="I18274" s="2">
        <v>310</v>
      </c>
      <c r="J18274" s="2">
        <v>1833</v>
      </c>
      <c r="K18274" s="2">
        <v>21</v>
      </c>
      <c r="L18274" s="2">
        <v>528</v>
      </c>
    </row>
    <row r="18275" spans="1:12" x14ac:dyDescent="0.25">
      <c r="A18275" s="4" t="str">
        <f>HYPERLINK("http://www.rosaceae.org/Prunus/Prunus_persica/p.persica_gdr_reftransV1_0048686","p.persica_gdr_reftransV1_0048686")</f>
        <v>p.persica_gdr_reftransV1_0048686</v>
      </c>
      <c r="B18275" s="2">
        <v>972</v>
      </c>
      <c r="C18275" s="4" t="str">
        <f>HYPERLINK("http://www.uniprot.org/uniprot/M5VX01","M5VX01")</f>
        <v>M5VX01</v>
      </c>
      <c r="D18275" s="2" t="s">
        <v>3914</v>
      </c>
      <c r="E18275" s="3">
        <v>1.3000000000000001E-101</v>
      </c>
      <c r="F18275" s="2">
        <v>786</v>
      </c>
      <c r="G18275" s="2">
        <v>100</v>
      </c>
      <c r="H18275" s="2">
        <v>161</v>
      </c>
      <c r="I18275" s="2">
        <v>129</v>
      </c>
      <c r="J18275" s="2">
        <v>611</v>
      </c>
      <c r="K18275" s="2">
        <v>1</v>
      </c>
      <c r="L18275" s="2">
        <v>161</v>
      </c>
    </row>
    <row r="18276" spans="1:12" x14ac:dyDescent="0.25">
      <c r="A18276" s="4" t="str">
        <f>HYPERLINK("http://www.rosaceae.org/Prunus/Prunus_persica/p.persica_gdr_reftransV1_0049036","p.persica_gdr_reftransV1_0049036")</f>
        <v>p.persica_gdr_reftransV1_0049036</v>
      </c>
      <c r="B18276" s="2">
        <v>1006</v>
      </c>
      <c r="C18276" s="4" t="str">
        <f>HYPERLINK("http://www.uniprot.org/uniprot/M5XGC4","M5XGC4")</f>
        <v>M5XGC4</v>
      </c>
      <c r="D18276" s="2" t="s">
        <v>14176</v>
      </c>
      <c r="E18276" s="3">
        <v>9.1899999999999996E-110</v>
      </c>
      <c r="F18276" s="2">
        <v>862</v>
      </c>
      <c r="G18276" s="2">
        <v>100</v>
      </c>
      <c r="H18276" s="2">
        <v>162</v>
      </c>
      <c r="I18276" s="2">
        <v>1</v>
      </c>
      <c r="J18276" s="2">
        <v>486</v>
      </c>
      <c r="K18276" s="2">
        <v>208</v>
      </c>
      <c r="L18276" s="2">
        <v>369</v>
      </c>
    </row>
    <row r="18277" spans="1:12" x14ac:dyDescent="0.25">
      <c r="A18277" s="4" t="str">
        <f>HYPERLINK("http://www.rosaceae.org/Prunus/Prunus_persica/p.persica_gdr_reftransV1_0000387","p.persica_gdr_reftransV1_0000387")</f>
        <v>p.persica_gdr_reftransV1_0000387</v>
      </c>
      <c r="B18277" s="2">
        <v>2253</v>
      </c>
      <c r="C18277" s="4" t="str">
        <f>HYPERLINK("http://www.uniprot.org/uniprot/M5WWT1","M5WWT1")</f>
        <v>M5WWT1</v>
      </c>
      <c r="D18277" s="2" t="s">
        <v>9660</v>
      </c>
      <c r="E18277" s="3">
        <v>0</v>
      </c>
      <c r="F18277" s="2">
        <v>3299</v>
      </c>
      <c r="G18277" s="2">
        <v>100</v>
      </c>
      <c r="H18277" s="2">
        <v>616</v>
      </c>
      <c r="I18277" s="2">
        <v>40</v>
      </c>
      <c r="J18277" s="2">
        <v>1887</v>
      </c>
      <c r="K18277" s="2">
        <v>1</v>
      </c>
      <c r="L18277" s="2">
        <v>616</v>
      </c>
    </row>
    <row r="18278" spans="1:12" x14ac:dyDescent="0.25">
      <c r="A18278" s="4" t="str">
        <f>HYPERLINK("http://www.rosaceae.org/Prunus/Prunus_persica/p.persica_gdr_reftransV1_0001437","p.persica_gdr_reftransV1_0001437")</f>
        <v>p.persica_gdr_reftransV1_0001437</v>
      </c>
      <c r="B18278" s="2">
        <v>1218</v>
      </c>
      <c r="C18278" s="4" t="str">
        <f>HYPERLINK("http://www.uniprot.org/uniprot/M5WEP3","M5WEP3")</f>
        <v>M5WEP3</v>
      </c>
      <c r="D18278" s="2" t="s">
        <v>14177</v>
      </c>
      <c r="E18278" s="3">
        <v>7.3999999999999999E-70</v>
      </c>
      <c r="F18278" s="2">
        <v>583</v>
      </c>
      <c r="G18278" s="2">
        <v>100</v>
      </c>
      <c r="H18278" s="2">
        <v>138</v>
      </c>
      <c r="I18278" s="2">
        <v>289</v>
      </c>
      <c r="J18278" s="2">
        <v>702</v>
      </c>
      <c r="K18278" s="2">
        <v>27</v>
      </c>
      <c r="L18278" s="2">
        <v>164</v>
      </c>
    </row>
    <row r="18279" spans="1:12" x14ac:dyDescent="0.25">
      <c r="A18279" s="4" t="str">
        <f>HYPERLINK("http://www.rosaceae.org/Prunus/Prunus_persica/p.persica_gdr_reftransV1_0001787","p.persica_gdr_reftransV1_0001787")</f>
        <v>p.persica_gdr_reftransV1_0001787</v>
      </c>
      <c r="B18279" s="2">
        <v>781</v>
      </c>
      <c r="C18279" s="4" t="str">
        <f>HYPERLINK("http://www.uniprot.org/uniprot/H6WAL5","H6WAL5")</f>
        <v>H6WAL5</v>
      </c>
      <c r="D18279" s="2" t="s">
        <v>14178</v>
      </c>
      <c r="E18279" s="3">
        <v>1.9599999999999999E-123</v>
      </c>
      <c r="F18279" s="2">
        <v>927</v>
      </c>
      <c r="G18279" s="2">
        <v>97</v>
      </c>
      <c r="H18279" s="2">
        <v>196</v>
      </c>
      <c r="I18279" s="2">
        <v>127</v>
      </c>
      <c r="J18279" s="2">
        <v>714</v>
      </c>
      <c r="K18279" s="2">
        <v>1</v>
      </c>
      <c r="L18279" s="2">
        <v>196</v>
      </c>
    </row>
    <row r="18280" spans="1:12" x14ac:dyDescent="0.25">
      <c r="A18280" s="4" t="str">
        <f>HYPERLINK("http://www.rosaceae.org/Prunus/Prunus_persica/p.persica_gdr_reftransV1_0002137","p.persica_gdr_reftransV1_0002137")</f>
        <v>p.persica_gdr_reftransV1_0002137</v>
      </c>
      <c r="B18280" s="2">
        <v>393</v>
      </c>
      <c r="C18280" s="4" t="str">
        <f>HYPERLINK("http://www.uniprot.org/uniprot/M5Y7B2","M5Y7B2")</f>
        <v>M5Y7B2</v>
      </c>
      <c r="D18280" s="2" t="s">
        <v>14179</v>
      </c>
      <c r="E18280" s="3">
        <v>1.7600000000000001E-88</v>
      </c>
      <c r="F18280" s="2">
        <v>695</v>
      </c>
      <c r="G18280" s="2">
        <v>100</v>
      </c>
      <c r="H18280" s="2">
        <v>131</v>
      </c>
      <c r="I18280" s="2">
        <v>1</v>
      </c>
      <c r="J18280" s="2">
        <v>393</v>
      </c>
      <c r="K18280" s="2">
        <v>162</v>
      </c>
      <c r="L18280" s="2">
        <v>292</v>
      </c>
    </row>
    <row r="18281" spans="1:12" x14ac:dyDescent="0.25">
      <c r="A18281" s="4" t="str">
        <f>HYPERLINK("http://www.rosaceae.org/Prunus/Prunus_persica/p.persica_gdr_reftransV1_0002487","p.persica_gdr_reftransV1_0002487")</f>
        <v>p.persica_gdr_reftransV1_0002487</v>
      </c>
      <c r="B18281" s="2">
        <v>2481</v>
      </c>
      <c r="C18281" s="4" t="str">
        <f>HYPERLINK("http://www.uniprot.org/uniprot/M5XJW9","M5XJW9")</f>
        <v>M5XJW9</v>
      </c>
      <c r="D18281" s="2" t="s">
        <v>4732</v>
      </c>
      <c r="E18281" s="3">
        <v>0</v>
      </c>
      <c r="F18281" s="2">
        <v>1582</v>
      </c>
      <c r="G18281" s="2">
        <v>100</v>
      </c>
      <c r="H18281" s="2">
        <v>325</v>
      </c>
      <c r="I18281" s="2">
        <v>1390</v>
      </c>
      <c r="J18281" s="2">
        <v>2364</v>
      </c>
      <c r="K18281" s="2">
        <v>1</v>
      </c>
      <c r="L18281" s="2">
        <v>325</v>
      </c>
    </row>
    <row r="18282" spans="1:12" x14ac:dyDescent="0.25">
      <c r="A18282" s="4" t="str">
        <f>HYPERLINK("http://www.rosaceae.org/Prunus/Prunus_persica/p.persica_gdr_reftransV1_0002837","p.persica_gdr_reftransV1_0002837")</f>
        <v>p.persica_gdr_reftransV1_0002837</v>
      </c>
      <c r="B18282" s="2">
        <v>1082</v>
      </c>
      <c r="C18282" s="4" t="str">
        <f>HYPERLINK("http://www.uniprot.org/uniprot/M5WGT2","M5WGT2")</f>
        <v>M5WGT2</v>
      </c>
      <c r="D18282" s="2" t="s">
        <v>9473</v>
      </c>
      <c r="E18282" s="3">
        <v>0</v>
      </c>
      <c r="F18282" s="2">
        <v>1729</v>
      </c>
      <c r="G18282" s="2">
        <v>100</v>
      </c>
      <c r="H18282" s="2">
        <v>325</v>
      </c>
      <c r="I18282" s="2">
        <v>108</v>
      </c>
      <c r="J18282" s="2">
        <v>1082</v>
      </c>
      <c r="K18282" s="2">
        <v>661</v>
      </c>
      <c r="L18282" s="2">
        <v>985</v>
      </c>
    </row>
    <row r="18283" spans="1:12" x14ac:dyDescent="0.25">
      <c r="A18283" s="4" t="str">
        <f>HYPERLINK("http://www.rosaceae.org/Prunus/Prunus_persica/p.persica_gdr_reftransV1_0003537","p.persica_gdr_reftransV1_0003537")</f>
        <v>p.persica_gdr_reftransV1_0003537</v>
      </c>
      <c r="B18283" s="2">
        <v>1627</v>
      </c>
      <c r="C18283" s="4" t="str">
        <f>HYPERLINK("http://www.uniprot.org/uniprot/A0A061DTC3","A0A061DTC3")</f>
        <v>A0A061DTC3</v>
      </c>
      <c r="D18283" s="2" t="s">
        <v>14180</v>
      </c>
      <c r="E18283" s="3">
        <v>0</v>
      </c>
      <c r="F18283" s="2">
        <v>1750</v>
      </c>
      <c r="G18283" s="2">
        <v>85</v>
      </c>
      <c r="H18283" s="2">
        <v>383</v>
      </c>
      <c r="I18283" s="2">
        <v>206</v>
      </c>
      <c r="J18283" s="2">
        <v>1351</v>
      </c>
      <c r="K18283" s="2">
        <v>20</v>
      </c>
      <c r="L18283" s="2">
        <v>402</v>
      </c>
    </row>
    <row r="18284" spans="1:12" x14ac:dyDescent="0.25">
      <c r="A18284" s="4" t="str">
        <f>HYPERLINK("http://www.rosaceae.org/Prunus/Prunus_persica/p.persica_gdr_reftransV1_0003887","p.persica_gdr_reftransV1_0003887")</f>
        <v>p.persica_gdr_reftransV1_0003887</v>
      </c>
      <c r="B18284" s="2">
        <v>332</v>
      </c>
      <c r="C18284" s="4" t="str">
        <f>HYPERLINK("http://www.uniprot.org/uniprot/M5VKE9","M5VKE9")</f>
        <v>M5VKE9</v>
      </c>
      <c r="D18284" s="2" t="s">
        <v>753</v>
      </c>
      <c r="E18284" s="3">
        <v>1.23E-58</v>
      </c>
      <c r="F18284" s="2">
        <v>525</v>
      </c>
      <c r="G18284" s="2">
        <v>100</v>
      </c>
      <c r="H18284" s="2">
        <v>110</v>
      </c>
      <c r="I18284" s="2">
        <v>2</v>
      </c>
      <c r="J18284" s="2">
        <v>331</v>
      </c>
      <c r="K18284" s="2">
        <v>1206</v>
      </c>
      <c r="L18284" s="2">
        <v>1315</v>
      </c>
    </row>
    <row r="18285" spans="1:12" x14ac:dyDescent="0.25">
      <c r="A18285" s="4" t="str">
        <f>HYPERLINK("http://www.rosaceae.org/Prunus/Prunus_persica/p.persica_gdr_reftransV1_0004237","p.persica_gdr_reftransV1_0004237")</f>
        <v>p.persica_gdr_reftransV1_0004237</v>
      </c>
      <c r="B18285" s="2">
        <v>1165</v>
      </c>
      <c r="C18285" s="4" t="str">
        <f>HYPERLINK("http://www.uniprot.org/uniprot/M5W576","M5W576")</f>
        <v>M5W576</v>
      </c>
      <c r="D18285" s="2" t="s">
        <v>14049</v>
      </c>
      <c r="E18285" s="3">
        <v>2.8400000000000003E-163</v>
      </c>
      <c r="F18285" s="2">
        <v>1213</v>
      </c>
      <c r="G18285" s="2">
        <v>93</v>
      </c>
      <c r="H18285" s="2">
        <v>272</v>
      </c>
      <c r="I18285" s="2">
        <v>145</v>
      </c>
      <c r="J18285" s="2">
        <v>960</v>
      </c>
      <c r="K18285" s="2">
        <v>8</v>
      </c>
      <c r="L18285" s="2">
        <v>279</v>
      </c>
    </row>
    <row r="18286" spans="1:12" x14ac:dyDescent="0.25">
      <c r="A18286" s="4" t="str">
        <f>HYPERLINK("http://www.rosaceae.org/Prunus/Prunus_persica/p.persica_gdr_reftransV1_0004587","p.persica_gdr_reftransV1_0004587")</f>
        <v>p.persica_gdr_reftransV1_0004587</v>
      </c>
      <c r="B18286" s="2">
        <v>602</v>
      </c>
      <c r="C18286" s="4" t="str">
        <f>HYPERLINK("http://www.uniprot.org/uniprot/M5VH18","M5VH18")</f>
        <v>M5VH18</v>
      </c>
      <c r="D18286" s="2" t="s">
        <v>14181</v>
      </c>
      <c r="E18286" s="3">
        <v>3.8499999999999998E-118</v>
      </c>
      <c r="F18286" s="2">
        <v>947</v>
      </c>
      <c r="G18286" s="2">
        <v>98</v>
      </c>
      <c r="H18286" s="2">
        <v>200</v>
      </c>
      <c r="I18286" s="2">
        <v>2</v>
      </c>
      <c r="J18286" s="2">
        <v>601</v>
      </c>
      <c r="K18286" s="2">
        <v>633</v>
      </c>
      <c r="L18286" s="2">
        <v>832</v>
      </c>
    </row>
    <row r="18287" spans="1:12" x14ac:dyDescent="0.25">
      <c r="A18287" s="4" t="str">
        <f>HYPERLINK("http://www.rosaceae.org/Prunus/Prunus_persica/p.persica_gdr_reftransV1_0005287","p.persica_gdr_reftransV1_0005287")</f>
        <v>p.persica_gdr_reftransV1_0005287</v>
      </c>
      <c r="B18287" s="2">
        <v>1775</v>
      </c>
      <c r="C18287" s="4" t="str">
        <f>HYPERLINK("http://www.uniprot.org/uniprot/M5WBY1","M5WBY1")</f>
        <v>M5WBY1</v>
      </c>
      <c r="D18287" s="2" t="s">
        <v>10389</v>
      </c>
      <c r="E18287" s="3">
        <v>0</v>
      </c>
      <c r="F18287" s="2">
        <v>2483</v>
      </c>
      <c r="G18287" s="2">
        <v>93</v>
      </c>
      <c r="H18287" s="2">
        <v>519</v>
      </c>
      <c r="I18287" s="2">
        <v>68</v>
      </c>
      <c r="J18287" s="2">
        <v>1624</v>
      </c>
      <c r="K18287" s="2">
        <v>1</v>
      </c>
      <c r="L18287" s="2">
        <v>519</v>
      </c>
    </row>
    <row r="18288" spans="1:12" x14ac:dyDescent="0.25">
      <c r="A18288" s="4" t="str">
        <f>HYPERLINK("http://www.rosaceae.org/Prunus/Prunus_persica/p.persica_gdr_reftransV1_0005637","p.persica_gdr_reftransV1_0005637")</f>
        <v>p.persica_gdr_reftransV1_0005637</v>
      </c>
      <c r="B18288" s="2">
        <v>773</v>
      </c>
      <c r="C18288" s="4" t="str">
        <f>HYPERLINK("http://www.uniprot.org/uniprot/M5VIJ4","M5VIJ4")</f>
        <v>M5VIJ4</v>
      </c>
      <c r="D18288" s="2" t="s">
        <v>14182</v>
      </c>
      <c r="E18288" s="3">
        <v>5.7200000000000003E-64</v>
      </c>
      <c r="F18288" s="2">
        <v>526</v>
      </c>
      <c r="G18288" s="2">
        <v>90</v>
      </c>
      <c r="H18288" s="2">
        <v>128</v>
      </c>
      <c r="I18288" s="2">
        <v>301</v>
      </c>
      <c r="J18288" s="2">
        <v>684</v>
      </c>
      <c r="K18288" s="2">
        <v>1</v>
      </c>
      <c r="L18288" s="2">
        <v>117</v>
      </c>
    </row>
    <row r="18289" spans="1:12" x14ac:dyDescent="0.25">
      <c r="A18289" s="4" t="str">
        <f>HYPERLINK("http://www.rosaceae.org/Prunus/Prunus_persica/p.persica_gdr_reftransV1_0006337","p.persica_gdr_reftransV1_0006337")</f>
        <v>p.persica_gdr_reftransV1_0006337</v>
      </c>
      <c r="B18289" s="2">
        <v>1830</v>
      </c>
      <c r="C18289" s="4" t="str">
        <f>HYPERLINK("http://www.uniprot.org/uniprot/M5XHX1","M5XHX1")</f>
        <v>M5XHX1</v>
      </c>
      <c r="D18289" s="2" t="s">
        <v>14183</v>
      </c>
      <c r="E18289" s="3">
        <v>5.8400000000000002E-139</v>
      </c>
      <c r="F18289" s="2">
        <v>1082</v>
      </c>
      <c r="G18289" s="2">
        <v>100</v>
      </c>
      <c r="H18289" s="2">
        <v>203</v>
      </c>
      <c r="I18289" s="2">
        <v>3</v>
      </c>
      <c r="J18289" s="2">
        <v>611</v>
      </c>
      <c r="K18289" s="2">
        <v>25</v>
      </c>
      <c r="L18289" s="2">
        <v>227</v>
      </c>
    </row>
    <row r="18290" spans="1:12" x14ac:dyDescent="0.25">
      <c r="A18290" s="4" t="str">
        <f>HYPERLINK("http://www.rosaceae.org/Prunus/Prunus_persica/p.persica_gdr_reftransV1_0006687","p.persica_gdr_reftransV1_0006687")</f>
        <v>p.persica_gdr_reftransV1_0006687</v>
      </c>
      <c r="B18290" s="2">
        <v>863</v>
      </c>
      <c r="C18290" s="4" t="str">
        <f>HYPERLINK("http://www.uniprot.org/uniprot/M5W0U8","M5W0U8")</f>
        <v>M5W0U8</v>
      </c>
      <c r="D18290" s="2" t="s">
        <v>14184</v>
      </c>
      <c r="E18290" s="3">
        <v>1.97E-83</v>
      </c>
      <c r="F18290" s="2">
        <v>547</v>
      </c>
      <c r="G18290" s="2">
        <v>100</v>
      </c>
      <c r="H18290" s="2">
        <v>124</v>
      </c>
      <c r="I18290" s="2">
        <v>478</v>
      </c>
      <c r="J18290" s="2">
        <v>849</v>
      </c>
      <c r="K18290" s="2">
        <v>129</v>
      </c>
      <c r="L18290" s="2">
        <v>252</v>
      </c>
    </row>
    <row r="18291" spans="1:12" x14ac:dyDescent="0.25">
      <c r="A18291" s="4" t="str">
        <f>HYPERLINK("http://www.rosaceae.org/Prunus/Prunus_persica/p.persica_gdr_reftransV1_0007037","p.persica_gdr_reftransV1_0007037")</f>
        <v>p.persica_gdr_reftransV1_0007037</v>
      </c>
      <c r="B18291" s="2">
        <v>1863</v>
      </c>
      <c r="C18291" s="4" t="str">
        <f>HYPERLINK("http://www.uniprot.org/uniprot/M5XR22","M5XR22")</f>
        <v>M5XR22</v>
      </c>
      <c r="D18291" s="2" t="s">
        <v>14185</v>
      </c>
      <c r="E18291" s="3">
        <v>0</v>
      </c>
      <c r="F18291" s="2">
        <v>2565</v>
      </c>
      <c r="G18291" s="2">
        <v>100</v>
      </c>
      <c r="H18291" s="2">
        <v>484</v>
      </c>
      <c r="I18291" s="2">
        <v>177</v>
      </c>
      <c r="J18291" s="2">
        <v>1628</v>
      </c>
      <c r="K18291" s="2">
        <v>1</v>
      </c>
      <c r="L18291" s="2">
        <v>484</v>
      </c>
    </row>
    <row r="18292" spans="1:12" x14ac:dyDescent="0.25">
      <c r="A18292" s="4" t="str">
        <f>HYPERLINK("http://www.rosaceae.org/Prunus/Prunus_persica/p.persica_gdr_reftransV1_0007387","p.persica_gdr_reftransV1_0007387")</f>
        <v>p.persica_gdr_reftransV1_0007387</v>
      </c>
      <c r="B18292" s="2">
        <v>2010</v>
      </c>
      <c r="C18292" s="4" t="str">
        <f>HYPERLINK("http://www.uniprot.org/uniprot/M5WS00","M5WS00")</f>
        <v>M5WS00</v>
      </c>
      <c r="D18292" s="2" t="s">
        <v>14186</v>
      </c>
      <c r="E18292" s="3">
        <v>0</v>
      </c>
      <c r="F18292" s="2">
        <v>2584</v>
      </c>
      <c r="G18292" s="2">
        <v>100</v>
      </c>
      <c r="H18292" s="2">
        <v>485</v>
      </c>
      <c r="I18292" s="2">
        <v>248</v>
      </c>
      <c r="J18292" s="2">
        <v>1702</v>
      </c>
      <c r="K18292" s="2">
        <v>22</v>
      </c>
      <c r="L18292" s="2">
        <v>506</v>
      </c>
    </row>
    <row r="18293" spans="1:12" x14ac:dyDescent="0.25">
      <c r="A18293" s="4" t="str">
        <f>HYPERLINK("http://www.rosaceae.org/Prunus/Prunus_persica/p.persica_gdr_reftransV1_0008087","p.persica_gdr_reftransV1_0008087")</f>
        <v>p.persica_gdr_reftransV1_0008087</v>
      </c>
      <c r="B18293" s="2">
        <v>1044</v>
      </c>
      <c r="C18293" s="4" t="str">
        <f>HYPERLINK("http://www.uniprot.org/uniprot/M5Y125","M5Y125")</f>
        <v>M5Y125</v>
      </c>
      <c r="D18293" s="2" t="s">
        <v>889</v>
      </c>
      <c r="E18293" s="3">
        <v>9.3600000000000001E-62</v>
      </c>
      <c r="F18293" s="2">
        <v>564</v>
      </c>
      <c r="G18293" s="2">
        <v>100</v>
      </c>
      <c r="H18293" s="2">
        <v>104</v>
      </c>
      <c r="I18293" s="2">
        <v>733</v>
      </c>
      <c r="J18293" s="2">
        <v>1044</v>
      </c>
      <c r="K18293" s="2">
        <v>721</v>
      </c>
      <c r="L18293" s="2">
        <v>824</v>
      </c>
    </row>
    <row r="18294" spans="1:12" x14ac:dyDescent="0.25">
      <c r="A18294" s="4" t="str">
        <f>HYPERLINK("http://www.rosaceae.org/Prunus/Prunus_persica/p.persica_gdr_reftransV1_0008437","p.persica_gdr_reftransV1_0008437")</f>
        <v>p.persica_gdr_reftransV1_0008437</v>
      </c>
      <c r="B18294" s="2">
        <v>474</v>
      </c>
      <c r="C18294" s="4" t="str">
        <f>HYPERLINK("http://www.uniprot.org/uniprot/M5W5J3","M5W5J3")</f>
        <v>M5W5J3</v>
      </c>
      <c r="D18294" s="2" t="s">
        <v>2568</v>
      </c>
      <c r="E18294" s="3">
        <v>1.98E-107</v>
      </c>
      <c r="F18294" s="2">
        <v>834</v>
      </c>
      <c r="G18294" s="2">
        <v>100</v>
      </c>
      <c r="H18294" s="2">
        <v>158</v>
      </c>
      <c r="I18294" s="2">
        <v>1</v>
      </c>
      <c r="J18294" s="2">
        <v>474</v>
      </c>
      <c r="K18294" s="2">
        <v>111</v>
      </c>
      <c r="L18294" s="2">
        <v>268</v>
      </c>
    </row>
    <row r="18295" spans="1:12" x14ac:dyDescent="0.25">
      <c r="A18295" s="4" t="str">
        <f>HYPERLINK("http://www.rosaceae.org/Prunus/Prunus_persica/p.persica_gdr_reftransV1_0009137","p.persica_gdr_reftransV1_0009137")</f>
        <v>p.persica_gdr_reftransV1_0009137</v>
      </c>
      <c r="B18295" s="2">
        <v>997</v>
      </c>
      <c r="C18295" s="4" t="str">
        <f>HYPERLINK("http://www.uniprot.org/uniprot/M5WMG9","M5WMG9")</f>
        <v>M5WMG9</v>
      </c>
      <c r="D18295" s="2" t="s">
        <v>7441</v>
      </c>
      <c r="E18295" s="3">
        <v>0</v>
      </c>
      <c r="F18295" s="2">
        <v>1487</v>
      </c>
      <c r="G18295" s="2">
        <v>100</v>
      </c>
      <c r="H18295" s="2">
        <v>328</v>
      </c>
      <c r="I18295" s="2">
        <v>1</v>
      </c>
      <c r="J18295" s="2">
        <v>984</v>
      </c>
      <c r="K18295" s="2">
        <v>1</v>
      </c>
      <c r="L18295" s="2">
        <v>328</v>
      </c>
    </row>
    <row r="18296" spans="1:12" x14ac:dyDescent="0.25">
      <c r="A18296" s="4" t="str">
        <f>HYPERLINK("http://www.rosaceae.org/Prunus/Prunus_persica/p.persica_gdr_reftransV1_0009487","p.persica_gdr_reftransV1_0009487")</f>
        <v>p.persica_gdr_reftransV1_0009487</v>
      </c>
      <c r="B18296" s="2">
        <v>2426</v>
      </c>
      <c r="C18296" s="4" t="str">
        <f>HYPERLINK("http://www.uniprot.org/uniprot/M5XPC5","M5XPC5")</f>
        <v>M5XPC5</v>
      </c>
      <c r="D18296" s="2" t="s">
        <v>4282</v>
      </c>
      <c r="E18296" s="3">
        <v>0</v>
      </c>
      <c r="F18296" s="2">
        <v>1376</v>
      </c>
      <c r="G18296" s="2">
        <v>96</v>
      </c>
      <c r="H18296" s="2">
        <v>302</v>
      </c>
      <c r="I18296" s="2">
        <v>898</v>
      </c>
      <c r="J18296" s="2">
        <v>1776</v>
      </c>
      <c r="K18296" s="2">
        <v>1</v>
      </c>
      <c r="L18296" s="2">
        <v>302</v>
      </c>
    </row>
    <row r="18297" spans="1:12" x14ac:dyDescent="0.25">
      <c r="A18297" s="4" t="str">
        <f>HYPERLINK("http://www.rosaceae.org/Prunus/Prunus_persica/p.persica_gdr_reftransV1_0009837","p.persica_gdr_reftransV1_0009837")</f>
        <v>p.persica_gdr_reftransV1_0009837</v>
      </c>
      <c r="B18297" s="2">
        <v>3538</v>
      </c>
      <c r="C18297" s="4" t="str">
        <f>HYPERLINK("http://www.uniprot.org/uniprot/A0A067LM29","A0A067LM29")</f>
        <v>A0A067LM29</v>
      </c>
      <c r="D18297" s="2" t="s">
        <v>14187</v>
      </c>
      <c r="E18297" s="3">
        <v>0</v>
      </c>
      <c r="F18297" s="2">
        <v>3344</v>
      </c>
      <c r="G18297" s="2">
        <v>87</v>
      </c>
      <c r="H18297" s="2">
        <v>749</v>
      </c>
      <c r="I18297" s="2">
        <v>199</v>
      </c>
      <c r="J18297" s="2">
        <v>2439</v>
      </c>
      <c r="K18297" s="2">
        <v>27</v>
      </c>
      <c r="L18297" s="2">
        <v>774</v>
      </c>
    </row>
    <row r="18298" spans="1:12" x14ac:dyDescent="0.25">
      <c r="A18298" s="4" t="str">
        <f>HYPERLINK("http://www.rosaceae.org/Prunus/Prunus_persica/p.persica_gdr_reftransV1_0010187","p.persica_gdr_reftransV1_0010187")</f>
        <v>p.persica_gdr_reftransV1_0010187</v>
      </c>
      <c r="B18298" s="2">
        <v>2183</v>
      </c>
      <c r="C18298" s="4" t="str">
        <f>HYPERLINK("http://www.uniprot.org/uniprot/M5WU25","M5WU25")</f>
        <v>M5WU25</v>
      </c>
      <c r="D18298" s="2" t="s">
        <v>14188</v>
      </c>
      <c r="E18298" s="3">
        <v>0</v>
      </c>
      <c r="F18298" s="2">
        <v>1545</v>
      </c>
      <c r="G18298" s="2">
        <v>100</v>
      </c>
      <c r="H18298" s="2">
        <v>316</v>
      </c>
      <c r="I18298" s="2">
        <v>239</v>
      </c>
      <c r="J18298" s="2">
        <v>1186</v>
      </c>
      <c r="K18298" s="2">
        <v>1</v>
      </c>
      <c r="L18298" s="2">
        <v>316</v>
      </c>
    </row>
    <row r="18299" spans="1:12" x14ac:dyDescent="0.25">
      <c r="A18299" s="4" t="str">
        <f>HYPERLINK("http://www.rosaceae.org/Prunus/Prunus_persica/p.persica_gdr_reftransV1_0010887","p.persica_gdr_reftransV1_0010887")</f>
        <v>p.persica_gdr_reftransV1_0010887</v>
      </c>
      <c r="B18299" s="2">
        <v>1043</v>
      </c>
      <c r="C18299" s="4" t="str">
        <f>HYPERLINK("http://www.uniprot.org/uniprot/M5VR45","M5VR45")</f>
        <v>M5VR45</v>
      </c>
      <c r="D18299" s="2" t="s">
        <v>14189</v>
      </c>
      <c r="E18299" s="3">
        <v>6.8499999999999998E-99</v>
      </c>
      <c r="F18299" s="2">
        <v>775</v>
      </c>
      <c r="G18299" s="2">
        <v>100</v>
      </c>
      <c r="H18299" s="2">
        <v>208</v>
      </c>
      <c r="I18299" s="2">
        <v>232</v>
      </c>
      <c r="J18299" s="2">
        <v>855</v>
      </c>
      <c r="K18299" s="2">
        <v>1</v>
      </c>
      <c r="L18299" s="2">
        <v>208</v>
      </c>
    </row>
    <row r="18300" spans="1:12" x14ac:dyDescent="0.25">
      <c r="A18300" s="4" t="str">
        <f>HYPERLINK("http://www.rosaceae.org/Prunus/Prunus_persica/p.persica_gdr_reftransV1_0011237","p.persica_gdr_reftransV1_0011237")</f>
        <v>p.persica_gdr_reftransV1_0011237</v>
      </c>
      <c r="B18300" s="2">
        <v>2027</v>
      </c>
      <c r="C18300" s="4" t="str">
        <f>HYPERLINK("http://www.uniprot.org/uniprot/M5WSG8","M5WSG8")</f>
        <v>M5WSG8</v>
      </c>
      <c r="D18300" s="2" t="s">
        <v>14190</v>
      </c>
      <c r="E18300" s="3">
        <v>0</v>
      </c>
      <c r="F18300" s="2">
        <v>2253</v>
      </c>
      <c r="G18300" s="2">
        <v>100</v>
      </c>
      <c r="H18300" s="2">
        <v>425</v>
      </c>
      <c r="I18300" s="2">
        <v>291</v>
      </c>
      <c r="J18300" s="2">
        <v>1565</v>
      </c>
      <c r="K18300" s="2">
        <v>1</v>
      </c>
      <c r="L18300" s="2">
        <v>425</v>
      </c>
    </row>
    <row r="18301" spans="1:12" x14ac:dyDescent="0.25">
      <c r="A18301" s="4" t="str">
        <f>HYPERLINK("http://www.rosaceae.org/Prunus/Prunus_persica/p.persica_gdr_reftransV1_0011587","p.persica_gdr_reftransV1_0011587")</f>
        <v>p.persica_gdr_reftransV1_0011587</v>
      </c>
      <c r="B18301" s="2">
        <v>902</v>
      </c>
      <c r="C18301" s="4" t="str">
        <f>HYPERLINK("http://www.uniprot.org/uniprot/M5VWU2","M5VWU2")</f>
        <v>M5VWU2</v>
      </c>
      <c r="D18301" s="2" t="s">
        <v>2499</v>
      </c>
      <c r="E18301" s="3">
        <v>4.1299999999999999E-119</v>
      </c>
      <c r="F18301" s="2">
        <v>918</v>
      </c>
      <c r="G18301" s="2">
        <v>99</v>
      </c>
      <c r="H18301" s="2">
        <v>185</v>
      </c>
      <c r="I18301" s="2">
        <v>346</v>
      </c>
      <c r="J18301" s="2">
        <v>900</v>
      </c>
      <c r="K18301" s="2">
        <v>1</v>
      </c>
      <c r="L18301" s="2">
        <v>185</v>
      </c>
    </row>
    <row r="18302" spans="1:12" x14ac:dyDescent="0.25">
      <c r="A18302" s="4" t="str">
        <f>HYPERLINK("http://www.rosaceae.org/Prunus/Prunus_persica/p.persica_gdr_reftransV1_0011937","p.persica_gdr_reftransV1_0011937")</f>
        <v>p.persica_gdr_reftransV1_0011937</v>
      </c>
      <c r="B18302" s="2">
        <v>3296</v>
      </c>
      <c r="C18302" s="4" t="str">
        <f>HYPERLINK("http://www.uniprot.org/uniprot/M5WWL1","M5WWL1")</f>
        <v>M5WWL1</v>
      </c>
      <c r="D18302" s="2" t="s">
        <v>14191</v>
      </c>
      <c r="E18302" s="3">
        <v>0</v>
      </c>
      <c r="F18302" s="2">
        <v>2861</v>
      </c>
      <c r="G18302" s="2">
        <v>96</v>
      </c>
      <c r="H18302" s="2">
        <v>628</v>
      </c>
      <c r="I18302" s="2">
        <v>673</v>
      </c>
      <c r="J18302" s="2">
        <v>2556</v>
      </c>
      <c r="K18302" s="2">
        <v>5</v>
      </c>
      <c r="L18302" s="2">
        <v>614</v>
      </c>
    </row>
    <row r="18303" spans="1:12" x14ac:dyDescent="0.25">
      <c r="A18303" s="4" t="str">
        <f>HYPERLINK("http://www.rosaceae.org/Prunus/Prunus_persica/p.persica_gdr_reftransV1_0012287","p.persica_gdr_reftransV1_0012287")</f>
        <v>p.persica_gdr_reftransV1_0012287</v>
      </c>
      <c r="B18303" s="2">
        <v>2323</v>
      </c>
      <c r="C18303" s="4" t="str">
        <f>HYPERLINK("http://www.uniprot.org/uniprot/M5X4N4","M5X4N4")</f>
        <v>M5X4N4</v>
      </c>
      <c r="D18303" s="2" t="s">
        <v>14192</v>
      </c>
      <c r="E18303" s="3">
        <v>0</v>
      </c>
      <c r="F18303" s="2">
        <v>2488</v>
      </c>
      <c r="G18303" s="2">
        <v>100</v>
      </c>
      <c r="H18303" s="2">
        <v>488</v>
      </c>
      <c r="I18303" s="2">
        <v>186</v>
      </c>
      <c r="J18303" s="2">
        <v>1649</v>
      </c>
      <c r="K18303" s="2">
        <v>10</v>
      </c>
      <c r="L18303" s="2">
        <v>497</v>
      </c>
    </row>
    <row r="18304" spans="1:12" x14ac:dyDescent="0.25">
      <c r="A18304" s="4" t="str">
        <f>HYPERLINK("http://www.rosaceae.org/Prunus/Prunus_persica/p.persica_gdr_reftransV1_0012637","p.persica_gdr_reftransV1_0012637")</f>
        <v>p.persica_gdr_reftransV1_0012637</v>
      </c>
      <c r="B18304" s="2">
        <v>2742</v>
      </c>
      <c r="C18304" s="4" t="str">
        <f>HYPERLINK("http://www.uniprot.org/uniprot/M5W9Y1","M5W9Y1")</f>
        <v>M5W9Y1</v>
      </c>
      <c r="D18304" s="2" t="s">
        <v>8758</v>
      </c>
      <c r="E18304" s="3">
        <v>1.14E-103</v>
      </c>
      <c r="F18304" s="2">
        <v>862</v>
      </c>
      <c r="G18304" s="2">
        <v>99</v>
      </c>
      <c r="H18304" s="2">
        <v>186</v>
      </c>
      <c r="I18304" s="2">
        <v>56</v>
      </c>
      <c r="J18304" s="2">
        <v>613</v>
      </c>
      <c r="K18304" s="2">
        <v>1</v>
      </c>
      <c r="L18304" s="2">
        <v>186</v>
      </c>
    </row>
    <row r="18305" spans="1:12" x14ac:dyDescent="0.25">
      <c r="A18305" s="4" t="str">
        <f>HYPERLINK("http://www.rosaceae.org/Prunus/Prunus_persica/p.persica_gdr_reftransV1_0012987","p.persica_gdr_reftransV1_0012987")</f>
        <v>p.persica_gdr_reftransV1_0012987</v>
      </c>
      <c r="B18305" s="2">
        <v>460</v>
      </c>
      <c r="C18305" s="4" t="str">
        <f>HYPERLINK("http://www.uniprot.org/uniprot/M5W4S0","M5W4S0")</f>
        <v>M5W4S0</v>
      </c>
      <c r="D18305" s="2" t="s">
        <v>14193</v>
      </c>
      <c r="E18305" s="3">
        <v>1.35E-55</v>
      </c>
      <c r="F18305" s="2">
        <v>461</v>
      </c>
      <c r="G18305" s="2">
        <v>94</v>
      </c>
      <c r="H18305" s="2">
        <v>98</v>
      </c>
      <c r="I18305" s="2">
        <v>167</v>
      </c>
      <c r="J18305" s="2">
        <v>460</v>
      </c>
      <c r="K18305" s="2">
        <v>21</v>
      </c>
      <c r="L18305" s="2">
        <v>118</v>
      </c>
    </row>
    <row r="18306" spans="1:12" x14ac:dyDescent="0.25">
      <c r="A18306" s="4" t="str">
        <f>HYPERLINK("http://www.rosaceae.org/Prunus/Prunus_persica/p.persica_gdr_reftransV1_0013687","p.persica_gdr_reftransV1_0013687")</f>
        <v>p.persica_gdr_reftransV1_0013687</v>
      </c>
      <c r="B18306" s="2">
        <v>1939</v>
      </c>
      <c r="C18306" s="4" t="str">
        <f>HYPERLINK("http://www.uniprot.org/uniprot/M5W8P5","M5W8P5")</f>
        <v>M5W8P5</v>
      </c>
      <c r="D18306" s="2" t="s">
        <v>14194</v>
      </c>
      <c r="E18306" s="3">
        <v>0</v>
      </c>
      <c r="F18306" s="2">
        <v>1817</v>
      </c>
      <c r="G18306" s="2">
        <v>100</v>
      </c>
      <c r="H18306" s="2">
        <v>380</v>
      </c>
      <c r="I18306" s="2">
        <v>213</v>
      </c>
      <c r="J18306" s="2">
        <v>1352</v>
      </c>
      <c r="K18306" s="2">
        <v>25</v>
      </c>
      <c r="L18306" s="2">
        <v>404</v>
      </c>
    </row>
    <row r="18307" spans="1:12" x14ac:dyDescent="0.25">
      <c r="A18307" s="4" t="str">
        <f>HYPERLINK("http://www.rosaceae.org/Prunus/Prunus_persica/p.persica_gdr_reftransV1_0015087","p.persica_gdr_reftransV1_0015087")</f>
        <v>p.persica_gdr_reftransV1_0015087</v>
      </c>
      <c r="B18307" s="2">
        <v>1678</v>
      </c>
      <c r="C18307" s="4" t="str">
        <f>HYPERLINK("http://www.uniprot.org/uniprot/M5XE14","M5XE14")</f>
        <v>M5XE14</v>
      </c>
      <c r="D18307" s="2" t="s">
        <v>14195</v>
      </c>
      <c r="E18307" s="3">
        <v>0</v>
      </c>
      <c r="F18307" s="2">
        <v>1410</v>
      </c>
      <c r="G18307" s="2">
        <v>100</v>
      </c>
      <c r="H18307" s="2">
        <v>319</v>
      </c>
      <c r="I18307" s="2">
        <v>216</v>
      </c>
      <c r="J18307" s="2">
        <v>1172</v>
      </c>
      <c r="K18307" s="2">
        <v>21</v>
      </c>
      <c r="L18307" s="2">
        <v>339</v>
      </c>
    </row>
    <row r="18308" spans="1:12" x14ac:dyDescent="0.25">
      <c r="A18308" s="4" t="str">
        <f>HYPERLINK("http://www.rosaceae.org/Prunus/Prunus_persica/p.persica_gdr_reftransV1_0016487","p.persica_gdr_reftransV1_0016487")</f>
        <v>p.persica_gdr_reftransV1_0016487</v>
      </c>
      <c r="B18308" s="2">
        <v>2166</v>
      </c>
      <c r="C18308" s="4" t="str">
        <f>HYPERLINK("http://www.uniprot.org/uniprot/M5XPY2","M5XPY2")</f>
        <v>M5XPY2</v>
      </c>
      <c r="D18308" s="2" t="s">
        <v>14196</v>
      </c>
      <c r="E18308" s="3">
        <v>0</v>
      </c>
      <c r="F18308" s="2">
        <v>2661</v>
      </c>
      <c r="G18308" s="2">
        <v>100</v>
      </c>
      <c r="H18308" s="2">
        <v>574</v>
      </c>
      <c r="I18308" s="2">
        <v>299</v>
      </c>
      <c r="J18308" s="2">
        <v>2020</v>
      </c>
      <c r="K18308" s="2">
        <v>1</v>
      </c>
      <c r="L18308" s="2">
        <v>574</v>
      </c>
    </row>
    <row r="18309" spans="1:12" x14ac:dyDescent="0.25">
      <c r="A18309" s="4" t="str">
        <f>HYPERLINK("http://www.rosaceae.org/Prunus/Prunus_persica/p.persica_gdr_reftransV1_0017887","p.persica_gdr_reftransV1_0017887")</f>
        <v>p.persica_gdr_reftransV1_0017887</v>
      </c>
      <c r="B18309" s="2">
        <v>2759</v>
      </c>
      <c r="C18309" s="4" t="str">
        <f>HYPERLINK("http://www.uniprot.org/uniprot/M5WIB9","M5WIB9")</f>
        <v>M5WIB9</v>
      </c>
      <c r="D18309" s="2" t="s">
        <v>14197</v>
      </c>
      <c r="E18309" s="3">
        <v>0</v>
      </c>
      <c r="F18309" s="2">
        <v>1784</v>
      </c>
      <c r="G18309" s="2">
        <v>100</v>
      </c>
      <c r="H18309" s="2">
        <v>324</v>
      </c>
      <c r="I18309" s="2">
        <v>1495</v>
      </c>
      <c r="J18309" s="2">
        <v>2466</v>
      </c>
      <c r="K18309" s="2">
        <v>1</v>
      </c>
      <c r="L18309" s="2">
        <v>324</v>
      </c>
    </row>
    <row r="18310" spans="1:12" x14ac:dyDescent="0.25">
      <c r="A18310" s="4" t="str">
        <f>HYPERLINK("http://www.rosaceae.org/Prunus/Prunus_persica/p.persica_gdr_reftransV1_0018237","p.persica_gdr_reftransV1_0018237")</f>
        <v>p.persica_gdr_reftransV1_0018237</v>
      </c>
      <c r="B18310" s="2">
        <v>485</v>
      </c>
      <c r="C18310" s="4" t="str">
        <f>HYPERLINK("http://www.uniprot.org/uniprot/M5W915","M5W915")</f>
        <v>M5W915</v>
      </c>
      <c r="D18310" s="2" t="s">
        <v>6854</v>
      </c>
      <c r="E18310" s="3">
        <v>1.3800000000000001E-92</v>
      </c>
      <c r="F18310" s="2">
        <v>735</v>
      </c>
      <c r="G18310" s="2">
        <v>100</v>
      </c>
      <c r="H18310" s="2">
        <v>150</v>
      </c>
      <c r="I18310" s="2">
        <v>2</v>
      </c>
      <c r="J18310" s="2">
        <v>451</v>
      </c>
      <c r="K18310" s="2">
        <v>289</v>
      </c>
      <c r="L18310" s="2">
        <v>438</v>
      </c>
    </row>
    <row r="18311" spans="1:12" x14ac:dyDescent="0.25">
      <c r="A18311" s="4" t="str">
        <f>HYPERLINK("http://www.rosaceae.org/Prunus/Prunus_persica/p.persica_gdr_reftransV1_0018937","p.persica_gdr_reftransV1_0018937")</f>
        <v>p.persica_gdr_reftransV1_0018937</v>
      </c>
      <c r="B18311" s="2">
        <v>1724</v>
      </c>
      <c r="C18311" s="4" t="str">
        <f>HYPERLINK("http://www.uniprot.org/uniprot/M5VVQ9","M5VVQ9")</f>
        <v>M5VVQ9</v>
      </c>
      <c r="D18311" s="2" t="s">
        <v>1770</v>
      </c>
      <c r="E18311" s="3">
        <v>0</v>
      </c>
      <c r="F18311" s="2">
        <v>2947</v>
      </c>
      <c r="G18311" s="2">
        <v>100</v>
      </c>
      <c r="H18311" s="2">
        <v>574</v>
      </c>
      <c r="I18311" s="2">
        <v>2</v>
      </c>
      <c r="J18311" s="2">
        <v>1723</v>
      </c>
      <c r="K18311" s="2">
        <v>304</v>
      </c>
      <c r="L18311" s="2">
        <v>877</v>
      </c>
    </row>
    <row r="18312" spans="1:12" x14ac:dyDescent="0.25">
      <c r="A18312" s="4" t="str">
        <f>HYPERLINK("http://www.rosaceae.org/Prunus/Prunus_persica/p.persica_gdr_reftransV1_0019287","p.persica_gdr_reftransV1_0019287")</f>
        <v>p.persica_gdr_reftransV1_0019287</v>
      </c>
      <c r="B18312" s="2">
        <v>2174</v>
      </c>
      <c r="C18312" s="4" t="str">
        <f>HYPERLINK("http://www.uniprot.org/uniprot/M5W0V6","M5W0V6")</f>
        <v>M5W0V6</v>
      </c>
      <c r="D18312" s="2" t="s">
        <v>12583</v>
      </c>
      <c r="E18312" s="3">
        <v>8.1099999999999994E-49</v>
      </c>
      <c r="F18312" s="2">
        <v>455</v>
      </c>
      <c r="G18312" s="2">
        <v>100</v>
      </c>
      <c r="H18312" s="2">
        <v>157</v>
      </c>
      <c r="I18312" s="2">
        <v>1562</v>
      </c>
      <c r="J18312" s="2">
        <v>2032</v>
      </c>
      <c r="K18312" s="2">
        <v>17</v>
      </c>
      <c r="L18312" s="2">
        <v>173</v>
      </c>
    </row>
    <row r="18313" spans="1:12" x14ac:dyDescent="0.25">
      <c r="A18313" s="4" t="str">
        <f>HYPERLINK("http://www.rosaceae.org/Prunus/Prunus_persica/p.persica_gdr_reftransV1_0019637","p.persica_gdr_reftransV1_0019637")</f>
        <v>p.persica_gdr_reftransV1_0019637</v>
      </c>
      <c r="B18313" s="2">
        <v>734</v>
      </c>
      <c r="C18313" s="4" t="str">
        <f>HYPERLINK("http://www.uniprot.org/uniprot/M5XH47","M5XH47")</f>
        <v>M5XH47</v>
      </c>
      <c r="D18313" s="2" t="s">
        <v>14198</v>
      </c>
      <c r="E18313" s="3">
        <v>3.9699999999999998E-69</v>
      </c>
      <c r="F18313" s="2">
        <v>559</v>
      </c>
      <c r="G18313" s="2">
        <v>100</v>
      </c>
      <c r="H18313" s="2">
        <v>117</v>
      </c>
      <c r="I18313" s="2">
        <v>300</v>
      </c>
      <c r="J18313" s="2">
        <v>650</v>
      </c>
      <c r="K18313" s="2">
        <v>1</v>
      </c>
      <c r="L18313" s="2">
        <v>117</v>
      </c>
    </row>
    <row r="18314" spans="1:12" x14ac:dyDescent="0.25">
      <c r="A18314" s="4" t="str">
        <f>HYPERLINK("http://www.rosaceae.org/Prunus/Prunus_persica/p.persica_gdr_reftransV1_0021737","p.persica_gdr_reftransV1_0021737")</f>
        <v>p.persica_gdr_reftransV1_0021737</v>
      </c>
      <c r="B18314" s="2">
        <v>2807</v>
      </c>
      <c r="C18314" s="4" t="str">
        <f>HYPERLINK("http://www.uniprot.org/uniprot/M5Y375","M5Y375")</f>
        <v>M5Y375</v>
      </c>
      <c r="D18314" s="2" t="s">
        <v>14199</v>
      </c>
      <c r="E18314" s="3">
        <v>7.2799999999999999E-111</v>
      </c>
      <c r="F18314" s="2">
        <v>904</v>
      </c>
      <c r="G18314" s="2">
        <v>100</v>
      </c>
      <c r="H18314" s="2">
        <v>227</v>
      </c>
      <c r="I18314" s="2">
        <v>1729</v>
      </c>
      <c r="J18314" s="2">
        <v>2409</v>
      </c>
      <c r="K18314" s="2">
        <v>1</v>
      </c>
      <c r="L18314" s="2">
        <v>227</v>
      </c>
    </row>
    <row r="18315" spans="1:12" x14ac:dyDescent="0.25">
      <c r="A18315" s="4" t="str">
        <f>HYPERLINK("http://www.rosaceae.org/Prunus/Prunus_persica/p.persica_gdr_reftransV1_0022087","p.persica_gdr_reftransV1_0022087")</f>
        <v>p.persica_gdr_reftransV1_0022087</v>
      </c>
      <c r="B18315" s="2">
        <v>4070</v>
      </c>
      <c r="C18315" s="4" t="str">
        <f>HYPERLINK("http://www.uniprot.org/uniprot/M5WFC4","M5WFC4")</f>
        <v>M5WFC4</v>
      </c>
      <c r="D18315" s="2" t="s">
        <v>14200</v>
      </c>
      <c r="E18315" s="3">
        <v>0</v>
      </c>
      <c r="F18315" s="2">
        <v>3083</v>
      </c>
      <c r="G18315" s="2">
        <v>100</v>
      </c>
      <c r="H18315" s="2">
        <v>613</v>
      </c>
      <c r="I18315" s="2">
        <v>2097</v>
      </c>
      <c r="J18315" s="2">
        <v>3935</v>
      </c>
      <c r="K18315" s="2">
        <v>1</v>
      </c>
      <c r="L18315" s="2">
        <v>613</v>
      </c>
    </row>
    <row r="18316" spans="1:12" x14ac:dyDescent="0.25">
      <c r="A18316" s="4" t="str">
        <f>HYPERLINK("http://www.rosaceae.org/Prunus/Prunus_persica/p.persica_gdr_reftransV1_0022437","p.persica_gdr_reftransV1_0022437")</f>
        <v>p.persica_gdr_reftransV1_0022437</v>
      </c>
      <c r="B18316" s="2">
        <v>2105</v>
      </c>
      <c r="C18316" s="4" t="str">
        <f>HYPERLINK("http://www.uniprot.org/uniprot/M5WV27","M5WV27")</f>
        <v>M5WV27</v>
      </c>
      <c r="D18316" s="2" t="s">
        <v>14201</v>
      </c>
      <c r="E18316" s="3">
        <v>1.4100000000000001E-174</v>
      </c>
      <c r="F18316" s="2">
        <v>1314</v>
      </c>
      <c r="G18316" s="2">
        <v>100</v>
      </c>
      <c r="H18316" s="2">
        <v>243</v>
      </c>
      <c r="I18316" s="2">
        <v>733</v>
      </c>
      <c r="J18316" s="2">
        <v>1461</v>
      </c>
      <c r="K18316" s="2">
        <v>1</v>
      </c>
      <c r="L18316" s="2">
        <v>243</v>
      </c>
    </row>
    <row r="18317" spans="1:12" x14ac:dyDescent="0.25">
      <c r="A18317" s="4" t="str">
        <f>HYPERLINK("http://www.rosaceae.org/Prunus/Prunus_persica/p.persica_gdr_reftransV1_0026637","p.persica_gdr_reftransV1_0026637")</f>
        <v>p.persica_gdr_reftransV1_0026637</v>
      </c>
      <c r="B18317" s="2">
        <v>1813</v>
      </c>
      <c r="C18317" s="4" t="str">
        <f>HYPERLINK("http://www.uniprot.org/uniprot/M5VNZ9","M5VNZ9")</f>
        <v>M5VNZ9</v>
      </c>
      <c r="D18317" s="2" t="s">
        <v>1234</v>
      </c>
      <c r="E18317" s="3">
        <v>0</v>
      </c>
      <c r="F18317" s="2">
        <v>2627</v>
      </c>
      <c r="G18317" s="2">
        <v>100</v>
      </c>
      <c r="H18317" s="2">
        <v>479</v>
      </c>
      <c r="I18317" s="2">
        <v>2</v>
      </c>
      <c r="J18317" s="2">
        <v>1438</v>
      </c>
      <c r="K18317" s="2">
        <v>10</v>
      </c>
      <c r="L18317" s="2">
        <v>488</v>
      </c>
    </row>
    <row r="18318" spans="1:12" x14ac:dyDescent="0.25">
      <c r="A18318" s="4" t="str">
        <f>HYPERLINK("http://www.rosaceae.org/Prunus/Prunus_persica/p.persica_gdr_reftransV1_0026987","p.persica_gdr_reftransV1_0026987")</f>
        <v>p.persica_gdr_reftransV1_0026987</v>
      </c>
      <c r="B18318" s="2">
        <v>2706</v>
      </c>
      <c r="C18318" s="4" t="str">
        <f>HYPERLINK("http://www.uniprot.org/uniprot/M5VXQ9","M5VXQ9")</f>
        <v>M5VXQ9</v>
      </c>
      <c r="D18318" s="2" t="s">
        <v>8364</v>
      </c>
      <c r="E18318" s="3">
        <v>1.75E-166</v>
      </c>
      <c r="F18318" s="2">
        <v>1283</v>
      </c>
      <c r="G18318" s="2">
        <v>99</v>
      </c>
      <c r="H18318" s="2">
        <v>247</v>
      </c>
      <c r="I18318" s="2">
        <v>931</v>
      </c>
      <c r="J18318" s="2">
        <v>1671</v>
      </c>
      <c r="K18318" s="2">
        <v>36</v>
      </c>
      <c r="L18318" s="2">
        <v>282</v>
      </c>
    </row>
    <row r="18319" spans="1:12" x14ac:dyDescent="0.25">
      <c r="A18319" s="4" t="str">
        <f>HYPERLINK("http://www.rosaceae.org/Prunus/Prunus_persica/p.persica_gdr_reftransV1_0031537","p.persica_gdr_reftransV1_0031537")</f>
        <v>p.persica_gdr_reftransV1_0031537</v>
      </c>
      <c r="B18319" s="2">
        <v>1134</v>
      </c>
      <c r="C18319" s="4" t="str">
        <f>HYPERLINK("http://www.uniprot.org/uniprot/M5W0I3","M5W0I3")</f>
        <v>M5W0I3</v>
      </c>
      <c r="D18319" s="2" t="s">
        <v>14202</v>
      </c>
      <c r="E18319" s="3">
        <v>2.59E-75</v>
      </c>
      <c r="F18319" s="2">
        <v>475</v>
      </c>
      <c r="G18319" s="2">
        <v>99</v>
      </c>
      <c r="H18319" s="2">
        <v>90</v>
      </c>
      <c r="I18319" s="2">
        <v>427</v>
      </c>
      <c r="J18319" s="2">
        <v>696</v>
      </c>
      <c r="K18319" s="2">
        <v>59</v>
      </c>
      <c r="L18319" s="2">
        <v>148</v>
      </c>
    </row>
    <row r="18320" spans="1:12" x14ac:dyDescent="0.25">
      <c r="A18320" s="4" t="str">
        <f>HYPERLINK("http://www.rosaceae.org/Prunus/Prunus_persica/p.persica_gdr_reftransV1_0032587","p.persica_gdr_reftransV1_0032587")</f>
        <v>p.persica_gdr_reftransV1_0032587</v>
      </c>
      <c r="B18320" s="2">
        <v>2369</v>
      </c>
      <c r="C18320" s="4" t="str">
        <f>HYPERLINK("http://www.uniprot.org/uniprot/M5X871","M5X871")</f>
        <v>M5X871</v>
      </c>
      <c r="D18320" s="2" t="s">
        <v>14203</v>
      </c>
      <c r="E18320" s="3">
        <v>0</v>
      </c>
      <c r="F18320" s="2">
        <v>1777</v>
      </c>
      <c r="G18320" s="2">
        <v>88</v>
      </c>
      <c r="H18320" s="2">
        <v>410</v>
      </c>
      <c r="I18320" s="2">
        <v>32</v>
      </c>
      <c r="J18320" s="2">
        <v>1201</v>
      </c>
      <c r="K18320" s="2">
        <v>1</v>
      </c>
      <c r="L18320" s="2">
        <v>407</v>
      </c>
    </row>
    <row r="18321" spans="1:12" x14ac:dyDescent="0.25">
      <c r="A18321" s="4" t="str">
        <f>HYPERLINK("http://www.rosaceae.org/Prunus/Prunus_persica/p.persica_gdr_reftransV1_0032937","p.persica_gdr_reftransV1_0032937")</f>
        <v>p.persica_gdr_reftransV1_0032937</v>
      </c>
      <c r="B18321" s="2">
        <v>1666</v>
      </c>
      <c r="C18321" s="4" t="str">
        <f>HYPERLINK("http://www.uniprot.org/uniprot/M5X5M5","M5X5M5")</f>
        <v>M5X5M5</v>
      </c>
      <c r="D18321" s="2" t="s">
        <v>5651</v>
      </c>
      <c r="E18321" s="3">
        <v>0</v>
      </c>
      <c r="F18321" s="2">
        <v>2367</v>
      </c>
      <c r="G18321" s="2">
        <v>99</v>
      </c>
      <c r="H18321" s="2">
        <v>446</v>
      </c>
      <c r="I18321" s="2">
        <v>327</v>
      </c>
      <c r="J18321" s="2">
        <v>1664</v>
      </c>
      <c r="K18321" s="2">
        <v>157</v>
      </c>
      <c r="L18321" s="2">
        <v>602</v>
      </c>
    </row>
    <row r="18322" spans="1:12" x14ac:dyDescent="0.25">
      <c r="A18322" s="4" t="str">
        <f>HYPERLINK("http://www.rosaceae.org/Prunus/Prunus_persica/p.persica_gdr_reftransV1_0035387","p.persica_gdr_reftransV1_0035387")</f>
        <v>p.persica_gdr_reftransV1_0035387</v>
      </c>
      <c r="B18322" s="2">
        <v>3293</v>
      </c>
      <c r="C18322" s="4" t="str">
        <f>HYPERLINK("http://www.uniprot.org/uniprot/M5XM06","M5XM06")</f>
        <v>M5XM06</v>
      </c>
      <c r="D18322" s="2" t="s">
        <v>14204</v>
      </c>
      <c r="E18322" s="3">
        <v>0</v>
      </c>
      <c r="F18322" s="2">
        <v>3887</v>
      </c>
      <c r="G18322" s="2">
        <v>100</v>
      </c>
      <c r="H18322" s="2">
        <v>906</v>
      </c>
      <c r="I18322" s="2">
        <v>258</v>
      </c>
      <c r="J18322" s="2">
        <v>2975</v>
      </c>
      <c r="K18322" s="2">
        <v>1</v>
      </c>
      <c r="L18322" s="2">
        <v>906</v>
      </c>
    </row>
    <row r="18323" spans="1:12" x14ac:dyDescent="0.25">
      <c r="A18323" s="4" t="str">
        <f>HYPERLINK("http://www.rosaceae.org/Prunus/Prunus_persica/p.persica_gdr_reftransV1_0038187","p.persica_gdr_reftransV1_0038187")</f>
        <v>p.persica_gdr_reftransV1_0038187</v>
      </c>
      <c r="B18323" s="2">
        <v>2289</v>
      </c>
      <c r="C18323" s="4" t="str">
        <f>HYPERLINK("http://www.uniprot.org/uniprot/M5W9V2","M5W9V2")</f>
        <v>M5W9V2</v>
      </c>
      <c r="D18323" s="2" t="s">
        <v>14205</v>
      </c>
      <c r="E18323" s="3">
        <v>8.4900000000000004E-158</v>
      </c>
      <c r="F18323" s="2">
        <v>790</v>
      </c>
      <c r="G18323" s="2">
        <v>99</v>
      </c>
      <c r="H18323" s="2">
        <v>151</v>
      </c>
      <c r="I18323" s="2">
        <v>484</v>
      </c>
      <c r="J18323" s="2">
        <v>936</v>
      </c>
      <c r="K18323" s="2">
        <v>81</v>
      </c>
      <c r="L18323" s="2">
        <v>231</v>
      </c>
    </row>
    <row r="18324" spans="1:12" x14ac:dyDescent="0.25">
      <c r="A18324" s="4" t="str">
        <f>HYPERLINK("http://www.rosaceae.org/Prunus/Prunus_persica/p.persica_gdr_reftransV1_0038537","p.persica_gdr_reftransV1_0038537")</f>
        <v>p.persica_gdr_reftransV1_0038537</v>
      </c>
      <c r="B18324" s="2">
        <v>1809</v>
      </c>
      <c r="C18324" s="4" t="str">
        <f>HYPERLINK("http://www.uniprot.org/uniprot/M5X9T1","M5X9T1")</f>
        <v>M5X9T1</v>
      </c>
      <c r="D18324" s="2" t="s">
        <v>5205</v>
      </c>
      <c r="E18324" s="3">
        <v>0</v>
      </c>
      <c r="F18324" s="2">
        <v>2264</v>
      </c>
      <c r="G18324" s="2">
        <v>94</v>
      </c>
      <c r="H18324" s="2">
        <v>464</v>
      </c>
      <c r="I18324" s="2">
        <v>84</v>
      </c>
      <c r="J18324" s="2">
        <v>1475</v>
      </c>
      <c r="K18324" s="2">
        <v>1</v>
      </c>
      <c r="L18324" s="2">
        <v>435</v>
      </c>
    </row>
    <row r="18325" spans="1:12" x14ac:dyDescent="0.25">
      <c r="A18325" s="4" t="str">
        <f>HYPERLINK("http://www.rosaceae.org/Prunus/Prunus_persica/p.persica_gdr_reftransV1_0039587","p.persica_gdr_reftransV1_0039587")</f>
        <v>p.persica_gdr_reftransV1_0039587</v>
      </c>
      <c r="B18325" s="2">
        <v>3794</v>
      </c>
      <c r="C18325" s="4" t="str">
        <f>HYPERLINK("http://www.uniprot.org/uniprot/M5WCS2","M5WCS2")</f>
        <v>M5WCS2</v>
      </c>
      <c r="D18325" s="2" t="s">
        <v>14206</v>
      </c>
      <c r="E18325" s="3">
        <v>0</v>
      </c>
      <c r="F18325" s="2">
        <v>2637</v>
      </c>
      <c r="G18325" s="2">
        <v>99</v>
      </c>
      <c r="H18325" s="2">
        <v>548</v>
      </c>
      <c r="I18325" s="2">
        <v>1032</v>
      </c>
      <c r="J18325" s="2">
        <v>2675</v>
      </c>
      <c r="K18325" s="2">
        <v>248</v>
      </c>
      <c r="L18325" s="2">
        <v>795</v>
      </c>
    </row>
    <row r="18326" spans="1:12" x14ac:dyDescent="0.25">
      <c r="A18326" s="4" t="str">
        <f>HYPERLINK("http://www.rosaceae.org/Prunus/Prunus_persica/p.persica_gdr_reftransV1_0039937","p.persica_gdr_reftransV1_0039937")</f>
        <v>p.persica_gdr_reftransV1_0039937</v>
      </c>
      <c r="B18326" s="2">
        <v>2354</v>
      </c>
      <c r="C18326" s="4" t="str">
        <f>HYPERLINK("http://www.uniprot.org/uniprot/M5WTF7","M5WTF7")</f>
        <v>M5WTF7</v>
      </c>
      <c r="D18326" s="2" t="s">
        <v>14207</v>
      </c>
      <c r="E18326" s="3">
        <v>0</v>
      </c>
      <c r="F18326" s="2">
        <v>2225</v>
      </c>
      <c r="G18326" s="2">
        <v>99</v>
      </c>
      <c r="H18326" s="2">
        <v>420</v>
      </c>
      <c r="I18326" s="2">
        <v>404</v>
      </c>
      <c r="J18326" s="2">
        <v>1663</v>
      </c>
      <c r="K18326" s="2">
        <v>169</v>
      </c>
      <c r="L18326" s="2">
        <v>588</v>
      </c>
    </row>
    <row r="18327" spans="1:12" x14ac:dyDescent="0.25">
      <c r="A18327" s="4" t="str">
        <f>HYPERLINK("http://www.rosaceae.org/Prunus/Prunus_persica/p.persica_gdr_reftransV1_0041687","p.persica_gdr_reftransV1_0041687")</f>
        <v>p.persica_gdr_reftransV1_0041687</v>
      </c>
      <c r="B18327" s="2">
        <v>2615</v>
      </c>
      <c r="C18327" s="4" t="str">
        <f>HYPERLINK("http://www.uniprot.org/uniprot/M5WC37","M5WC37")</f>
        <v>M5WC37</v>
      </c>
      <c r="D18327" s="2" t="s">
        <v>14208</v>
      </c>
      <c r="E18327" s="3">
        <v>5.3299999999999999E-54</v>
      </c>
      <c r="F18327" s="2">
        <v>496</v>
      </c>
      <c r="G18327" s="2">
        <v>99</v>
      </c>
      <c r="H18327" s="2">
        <v>97</v>
      </c>
      <c r="I18327" s="2">
        <v>2133</v>
      </c>
      <c r="J18327" s="2">
        <v>2423</v>
      </c>
      <c r="K18327" s="2">
        <v>1</v>
      </c>
      <c r="L18327" s="2">
        <v>97</v>
      </c>
    </row>
    <row r="18328" spans="1:12" x14ac:dyDescent="0.25">
      <c r="A18328" s="4" t="str">
        <f>HYPERLINK("http://www.rosaceae.org/Prunus/Prunus_persica/p.persica_gdr_reftransV1_0042037","p.persica_gdr_reftransV1_0042037")</f>
        <v>p.persica_gdr_reftransV1_0042037</v>
      </c>
      <c r="B18328" s="2">
        <v>538</v>
      </c>
      <c r="C18328" s="4" t="str">
        <f>HYPERLINK("http://www.uniprot.org/uniprot/M5X371","M5X371")</f>
        <v>M5X371</v>
      </c>
      <c r="D18328" s="2" t="s">
        <v>553</v>
      </c>
      <c r="E18328" s="3">
        <v>2.3700000000000002E-103</v>
      </c>
      <c r="F18328" s="2">
        <v>857</v>
      </c>
      <c r="G18328" s="2">
        <v>90</v>
      </c>
      <c r="H18328" s="2">
        <v>180</v>
      </c>
      <c r="I18328" s="2">
        <v>1</v>
      </c>
      <c r="J18328" s="2">
        <v>537</v>
      </c>
      <c r="K18328" s="2">
        <v>779</v>
      </c>
      <c r="L18328" s="2">
        <v>958</v>
      </c>
    </row>
    <row r="18329" spans="1:12" x14ac:dyDescent="0.25">
      <c r="A18329" s="4" t="str">
        <f>HYPERLINK("http://www.rosaceae.org/Prunus/Prunus_persica/p.persica_gdr_reftransV1_0043087","p.persica_gdr_reftransV1_0043087")</f>
        <v>p.persica_gdr_reftransV1_0043087</v>
      </c>
      <c r="B18329" s="2">
        <v>1001</v>
      </c>
      <c r="C18329" s="4" t="str">
        <f>HYPERLINK("http://www.uniprot.org/uniprot/M5VRR4","M5VRR4")</f>
        <v>M5VRR4</v>
      </c>
      <c r="D18329" s="2" t="s">
        <v>14209</v>
      </c>
      <c r="E18329" s="3">
        <v>4.3700000000000001E-100</v>
      </c>
      <c r="F18329" s="2">
        <v>795</v>
      </c>
      <c r="G18329" s="2">
        <v>100</v>
      </c>
      <c r="H18329" s="2">
        <v>263</v>
      </c>
      <c r="I18329" s="2">
        <v>168</v>
      </c>
      <c r="J18329" s="2">
        <v>956</v>
      </c>
      <c r="K18329" s="2">
        <v>70</v>
      </c>
      <c r="L18329" s="2">
        <v>332</v>
      </c>
    </row>
    <row r="18330" spans="1:12" x14ac:dyDescent="0.25">
      <c r="A18330" s="4" t="str">
        <f>HYPERLINK("http://www.rosaceae.org/Prunus/Prunus_persica/p.persica_gdr_reftransV1_0043437","p.persica_gdr_reftransV1_0043437")</f>
        <v>p.persica_gdr_reftransV1_0043437</v>
      </c>
      <c r="B18330" s="2">
        <v>769</v>
      </c>
      <c r="C18330" s="4" t="str">
        <f>HYPERLINK("http://www.uniprot.org/uniprot/M5WJG2","M5WJG2")</f>
        <v>M5WJG2</v>
      </c>
      <c r="D18330" s="2" t="s">
        <v>8639</v>
      </c>
      <c r="E18330" s="3">
        <v>1.9999999999999999E-72</v>
      </c>
      <c r="F18330" s="2">
        <v>583</v>
      </c>
      <c r="G18330" s="2">
        <v>100</v>
      </c>
      <c r="H18330" s="2">
        <v>130</v>
      </c>
      <c r="I18330" s="2">
        <v>70</v>
      </c>
      <c r="J18330" s="2">
        <v>459</v>
      </c>
      <c r="K18330" s="2">
        <v>1</v>
      </c>
      <c r="L18330" s="2">
        <v>130</v>
      </c>
    </row>
    <row r="18331" spans="1:12" x14ac:dyDescent="0.25">
      <c r="A18331" s="4" t="str">
        <f>HYPERLINK("http://www.rosaceae.org/Prunus/Prunus_persica/p.persica_gdr_reftransV1_0043787","p.persica_gdr_reftransV1_0043787")</f>
        <v>p.persica_gdr_reftransV1_0043787</v>
      </c>
      <c r="B18331" s="2">
        <v>305</v>
      </c>
      <c r="C18331" s="4" t="str">
        <f>HYPERLINK("http://www.uniprot.org/uniprot/M5X3V2","M5X3V2")</f>
        <v>M5X3V2</v>
      </c>
      <c r="D18331" s="2" t="s">
        <v>14210</v>
      </c>
      <c r="E18331" s="3">
        <v>1.0799999999999999E-63</v>
      </c>
      <c r="F18331" s="2">
        <v>533</v>
      </c>
      <c r="G18331" s="2">
        <v>100</v>
      </c>
      <c r="H18331" s="2">
        <v>101</v>
      </c>
      <c r="I18331" s="2">
        <v>3</v>
      </c>
      <c r="J18331" s="2">
        <v>305</v>
      </c>
      <c r="K18331" s="2">
        <v>51</v>
      </c>
      <c r="L18331" s="2">
        <v>151</v>
      </c>
    </row>
    <row r="18332" spans="1:12" x14ac:dyDescent="0.25">
      <c r="A18332" s="4" t="str">
        <f>HYPERLINK("http://www.rosaceae.org/Prunus/Prunus_persica/p.persica_gdr_reftransV1_0044137","p.persica_gdr_reftransV1_0044137")</f>
        <v>p.persica_gdr_reftransV1_0044137</v>
      </c>
      <c r="B18332" s="2">
        <v>454</v>
      </c>
      <c r="C18332" s="4" t="str">
        <f>HYPERLINK("http://www.uniprot.org/uniprot/A0A0B5GQ81","A0A0B5GQ81")</f>
        <v>A0A0B5GQ81</v>
      </c>
      <c r="D18332" s="2" t="s">
        <v>14211</v>
      </c>
      <c r="E18332" s="3">
        <v>4.4700000000000003E-80</v>
      </c>
      <c r="F18332" s="2">
        <v>649</v>
      </c>
      <c r="G18332" s="2">
        <v>88</v>
      </c>
      <c r="H18332" s="2">
        <v>139</v>
      </c>
      <c r="I18332" s="2">
        <v>38</v>
      </c>
      <c r="J18332" s="2">
        <v>454</v>
      </c>
      <c r="K18332" s="2">
        <v>1</v>
      </c>
      <c r="L18332" s="2">
        <v>138</v>
      </c>
    </row>
    <row r="18333" spans="1:12" x14ac:dyDescent="0.25">
      <c r="A18333" s="4" t="str">
        <f>HYPERLINK("http://www.rosaceae.org/Prunus/Prunus_persica/p.persica_gdr_reftransV1_0044487","p.persica_gdr_reftransV1_0044487")</f>
        <v>p.persica_gdr_reftransV1_0044487</v>
      </c>
      <c r="B18333" s="2">
        <v>1805</v>
      </c>
      <c r="C18333" s="4" t="str">
        <f>HYPERLINK("http://www.uniprot.org/uniprot/M5XB01","M5XB01")</f>
        <v>M5XB01</v>
      </c>
      <c r="D18333" s="2" t="s">
        <v>14212</v>
      </c>
      <c r="E18333" s="3">
        <v>0</v>
      </c>
      <c r="F18333" s="2">
        <v>1360</v>
      </c>
      <c r="G18333" s="2">
        <v>82</v>
      </c>
      <c r="H18333" s="2">
        <v>438</v>
      </c>
      <c r="I18333" s="2">
        <v>408</v>
      </c>
      <c r="J18333" s="2">
        <v>1721</v>
      </c>
      <c r="K18333" s="2">
        <v>1</v>
      </c>
      <c r="L18333" s="2">
        <v>361</v>
      </c>
    </row>
    <row r="18334" spans="1:12" x14ac:dyDescent="0.25">
      <c r="A18334" s="4" t="str">
        <f>HYPERLINK("http://www.rosaceae.org/Prunus/Prunus_persica/p.persica_gdr_reftransV1_0044837","p.persica_gdr_reftransV1_0044837")</f>
        <v>p.persica_gdr_reftransV1_0044837</v>
      </c>
      <c r="B18334" s="2">
        <v>1042</v>
      </c>
      <c r="C18334" s="4" t="str">
        <f>HYPERLINK("http://www.uniprot.org/uniprot/M5XS27","M5XS27")</f>
        <v>M5XS27</v>
      </c>
      <c r="D18334" s="2" t="s">
        <v>14213</v>
      </c>
      <c r="E18334" s="3">
        <v>5.6700000000000003E-155</v>
      </c>
      <c r="F18334" s="2">
        <v>1146</v>
      </c>
      <c r="G18334" s="2">
        <v>100</v>
      </c>
      <c r="H18334" s="2">
        <v>215</v>
      </c>
      <c r="I18334" s="2">
        <v>298</v>
      </c>
      <c r="J18334" s="2">
        <v>942</v>
      </c>
      <c r="K18334" s="2">
        <v>1</v>
      </c>
      <c r="L18334" s="2">
        <v>215</v>
      </c>
    </row>
    <row r="18335" spans="1:12" x14ac:dyDescent="0.25">
      <c r="A18335" s="4" t="str">
        <f>HYPERLINK("http://www.rosaceae.org/Prunus/Prunus_persica/p.persica_gdr_reftransV1_0045187","p.persica_gdr_reftransV1_0045187")</f>
        <v>p.persica_gdr_reftransV1_0045187</v>
      </c>
      <c r="B18335" s="2">
        <v>3029</v>
      </c>
      <c r="C18335" s="4" t="str">
        <f>HYPERLINK("http://www.uniprot.org/uniprot/M5WP21","M5WP21")</f>
        <v>M5WP21</v>
      </c>
      <c r="D18335" s="2" t="s">
        <v>14214</v>
      </c>
      <c r="E18335" s="3">
        <v>0</v>
      </c>
      <c r="F18335" s="2">
        <v>3539</v>
      </c>
      <c r="G18335" s="2">
        <v>100</v>
      </c>
      <c r="H18335" s="2">
        <v>722</v>
      </c>
      <c r="I18335" s="2">
        <v>351</v>
      </c>
      <c r="J18335" s="2">
        <v>2516</v>
      </c>
      <c r="K18335" s="2">
        <v>1</v>
      </c>
      <c r="L18335" s="2">
        <v>722</v>
      </c>
    </row>
    <row r="18336" spans="1:12" x14ac:dyDescent="0.25">
      <c r="A18336" s="4" t="str">
        <f>HYPERLINK("http://www.rosaceae.org/Prunus/Prunus_persica/p.persica_gdr_reftransV1_0045537","p.persica_gdr_reftransV1_0045537")</f>
        <v>p.persica_gdr_reftransV1_0045537</v>
      </c>
      <c r="B18336" s="2">
        <v>2242</v>
      </c>
      <c r="C18336" s="4" t="str">
        <f>HYPERLINK("http://www.uniprot.org/uniprot/M5WE33","M5WE33")</f>
        <v>M5WE33</v>
      </c>
      <c r="D18336" s="2" t="s">
        <v>3230</v>
      </c>
      <c r="E18336" s="3">
        <v>0</v>
      </c>
      <c r="F18336" s="2">
        <v>2118</v>
      </c>
      <c r="G18336" s="2">
        <v>76</v>
      </c>
      <c r="H18336" s="2">
        <v>722</v>
      </c>
      <c r="I18336" s="2">
        <v>2</v>
      </c>
      <c r="J18336" s="2">
        <v>1999</v>
      </c>
      <c r="K18336" s="2">
        <v>92</v>
      </c>
      <c r="L18336" s="2">
        <v>802</v>
      </c>
    </row>
    <row r="18337" spans="1:12" x14ac:dyDescent="0.25">
      <c r="A18337" s="4" t="str">
        <f>HYPERLINK("http://www.rosaceae.org/Prunus/Prunus_persica/p.persica_gdr_reftransV1_0045887","p.persica_gdr_reftransV1_0045887")</f>
        <v>p.persica_gdr_reftransV1_0045887</v>
      </c>
      <c r="B18337" s="2">
        <v>471</v>
      </c>
      <c r="C18337" s="4" t="str">
        <f>HYPERLINK("http://www.uniprot.org/uniprot/M5WCY2","M5WCY2")</f>
        <v>M5WCY2</v>
      </c>
      <c r="D18337" s="2" t="s">
        <v>14215</v>
      </c>
      <c r="E18337" s="3">
        <v>3.5499999999999999E-42</v>
      </c>
      <c r="F18337" s="2">
        <v>391</v>
      </c>
      <c r="G18337" s="2">
        <v>100</v>
      </c>
      <c r="H18337" s="2">
        <v>74</v>
      </c>
      <c r="I18337" s="2">
        <v>2</v>
      </c>
      <c r="J18337" s="2">
        <v>223</v>
      </c>
      <c r="K18337" s="2">
        <v>310</v>
      </c>
      <c r="L18337" s="2">
        <v>383</v>
      </c>
    </row>
    <row r="18338" spans="1:12" x14ac:dyDescent="0.25">
      <c r="A18338" s="4" t="str">
        <f>HYPERLINK("http://www.rosaceae.org/Prunus/Prunus_persica/p.persica_gdr_reftransV1_0046237","p.persica_gdr_reftransV1_0046237")</f>
        <v>p.persica_gdr_reftransV1_0046237</v>
      </c>
      <c r="B18338" s="2">
        <v>530</v>
      </c>
      <c r="C18338" s="4" t="str">
        <f>HYPERLINK("http://www.uniprot.org/uniprot/I3SQD4","I3SQD4")</f>
        <v>I3SQD4</v>
      </c>
      <c r="D18338" s="2" t="s">
        <v>3170</v>
      </c>
      <c r="E18338" s="3">
        <v>1.68E-73</v>
      </c>
      <c r="F18338" s="2">
        <v>590</v>
      </c>
      <c r="G18338" s="2">
        <v>78</v>
      </c>
      <c r="H18338" s="2">
        <v>141</v>
      </c>
      <c r="I18338" s="2">
        <v>26</v>
      </c>
      <c r="J18338" s="2">
        <v>448</v>
      </c>
      <c r="K18338" s="2">
        <v>17</v>
      </c>
      <c r="L18338" s="2">
        <v>157</v>
      </c>
    </row>
    <row r="18339" spans="1:12" x14ac:dyDescent="0.25">
      <c r="A18339" s="4" t="str">
        <f>HYPERLINK("http://www.rosaceae.org/Prunus/Prunus_persica/p.persica_gdr_reftransV1_0046587","p.persica_gdr_reftransV1_0046587")</f>
        <v>p.persica_gdr_reftransV1_0046587</v>
      </c>
      <c r="B18339" s="2">
        <v>1305</v>
      </c>
      <c r="C18339" s="4" t="str">
        <f>HYPERLINK("http://www.uniprot.org/uniprot/M5WTW4","M5WTW4")</f>
        <v>M5WTW4</v>
      </c>
      <c r="D18339" s="2" t="s">
        <v>628</v>
      </c>
      <c r="E18339" s="3">
        <v>2.21E-119</v>
      </c>
      <c r="F18339" s="2">
        <v>922</v>
      </c>
      <c r="G18339" s="2">
        <v>97</v>
      </c>
      <c r="H18339" s="2">
        <v>180</v>
      </c>
      <c r="I18339" s="2">
        <v>396</v>
      </c>
      <c r="J18339" s="2">
        <v>935</v>
      </c>
      <c r="K18339" s="2">
        <v>21</v>
      </c>
      <c r="L18339" s="2">
        <v>194</v>
      </c>
    </row>
    <row r="18340" spans="1:12" x14ac:dyDescent="0.25">
      <c r="A18340" s="4" t="str">
        <f>HYPERLINK("http://www.rosaceae.org/Prunus/Prunus_persica/p.persica_gdr_reftransV1_0046937","p.persica_gdr_reftransV1_0046937")</f>
        <v>p.persica_gdr_reftransV1_0046937</v>
      </c>
      <c r="B18340" s="2">
        <v>2236</v>
      </c>
      <c r="C18340" s="4" t="str">
        <f>HYPERLINK("http://www.uniprot.org/uniprot/M5W7E3","M5W7E3")</f>
        <v>M5W7E3</v>
      </c>
      <c r="D18340" s="2" t="s">
        <v>14216</v>
      </c>
      <c r="E18340" s="3">
        <v>0</v>
      </c>
      <c r="F18340" s="2">
        <v>2811</v>
      </c>
      <c r="G18340" s="2">
        <v>100</v>
      </c>
      <c r="H18340" s="2">
        <v>622</v>
      </c>
      <c r="I18340" s="2">
        <v>241</v>
      </c>
      <c r="J18340" s="2">
        <v>2106</v>
      </c>
      <c r="K18340" s="2">
        <v>1</v>
      </c>
      <c r="L18340" s="2">
        <v>622</v>
      </c>
    </row>
    <row r="18341" spans="1:12" x14ac:dyDescent="0.25">
      <c r="A18341" s="4" t="str">
        <f>HYPERLINK("http://www.rosaceae.org/Prunus/Prunus_persica/p.persica_gdr_reftransV1_0047287","p.persica_gdr_reftransV1_0047287")</f>
        <v>p.persica_gdr_reftransV1_0047287</v>
      </c>
      <c r="B18341" s="2">
        <v>2070</v>
      </c>
      <c r="C18341" s="4" t="str">
        <f>HYPERLINK("http://www.uniprot.org/uniprot/M5WP45","M5WP45")</f>
        <v>M5WP45</v>
      </c>
      <c r="D18341" s="2" t="s">
        <v>8123</v>
      </c>
      <c r="E18341" s="3">
        <v>0</v>
      </c>
      <c r="F18341" s="2">
        <v>2481</v>
      </c>
      <c r="G18341" s="2">
        <v>90</v>
      </c>
      <c r="H18341" s="2">
        <v>541</v>
      </c>
      <c r="I18341" s="2">
        <v>108</v>
      </c>
      <c r="J18341" s="2">
        <v>1730</v>
      </c>
      <c r="K18341" s="2">
        <v>24</v>
      </c>
      <c r="L18341" s="2">
        <v>531</v>
      </c>
    </row>
    <row r="18342" spans="1:12" x14ac:dyDescent="0.25">
      <c r="A18342" s="4" t="str">
        <f>HYPERLINK("http://www.rosaceae.org/Prunus/Prunus_persica/p.persica_gdr_reftransV1_0047637","p.persica_gdr_reftransV1_0047637")</f>
        <v>p.persica_gdr_reftransV1_0047637</v>
      </c>
      <c r="B18342" s="2">
        <v>2271</v>
      </c>
      <c r="C18342" s="4" t="str">
        <f>HYPERLINK("http://www.uniprot.org/uniprot/M5W2J9","M5W2J9")</f>
        <v>M5W2J9</v>
      </c>
      <c r="D18342" s="2" t="s">
        <v>596</v>
      </c>
      <c r="E18342" s="3">
        <v>0</v>
      </c>
      <c r="F18342" s="2">
        <v>2234</v>
      </c>
      <c r="G18342" s="2">
        <v>100</v>
      </c>
      <c r="H18342" s="2">
        <v>464</v>
      </c>
      <c r="I18342" s="2">
        <v>184</v>
      </c>
      <c r="J18342" s="2">
        <v>1575</v>
      </c>
      <c r="K18342" s="2">
        <v>30</v>
      </c>
      <c r="L18342" s="2">
        <v>493</v>
      </c>
    </row>
    <row r="18343" spans="1:12" x14ac:dyDescent="0.25">
      <c r="A18343" s="4" t="str">
        <f>HYPERLINK("http://www.rosaceae.org/Prunus/Prunus_persica/p.persica_gdr_reftransV1_0047987","p.persica_gdr_reftransV1_0047987")</f>
        <v>p.persica_gdr_reftransV1_0047987</v>
      </c>
      <c r="B18343" s="2">
        <v>1001</v>
      </c>
      <c r="C18343" s="4" t="str">
        <f>HYPERLINK("http://www.uniprot.org/uniprot/M5XM99","M5XM99")</f>
        <v>M5XM99</v>
      </c>
      <c r="D18343" s="2" t="s">
        <v>12748</v>
      </c>
      <c r="E18343" s="3">
        <v>0</v>
      </c>
      <c r="F18343" s="2">
        <v>1705</v>
      </c>
      <c r="G18343" s="2">
        <v>100</v>
      </c>
      <c r="H18343" s="2">
        <v>333</v>
      </c>
      <c r="I18343" s="2">
        <v>3</v>
      </c>
      <c r="J18343" s="2">
        <v>1001</v>
      </c>
      <c r="K18343" s="2">
        <v>17</v>
      </c>
      <c r="L18343" s="2">
        <v>349</v>
      </c>
    </row>
    <row r="18344" spans="1:12" x14ac:dyDescent="0.25">
      <c r="A18344" s="4" t="str">
        <f>HYPERLINK("http://www.rosaceae.org/Prunus/Prunus_persica/p.persica_gdr_reftransV1_0048337","p.persica_gdr_reftransV1_0048337")</f>
        <v>p.persica_gdr_reftransV1_0048337</v>
      </c>
      <c r="B18344" s="2">
        <v>1991</v>
      </c>
      <c r="C18344" s="4" t="str">
        <f>HYPERLINK("http://www.uniprot.org/uniprot/M5VU14","M5VU14")</f>
        <v>M5VU14</v>
      </c>
      <c r="D18344" s="2" t="s">
        <v>14122</v>
      </c>
      <c r="E18344" s="3">
        <v>1.6600000000000001E-169</v>
      </c>
      <c r="F18344" s="2">
        <v>1283</v>
      </c>
      <c r="G18344" s="2">
        <v>100</v>
      </c>
      <c r="H18344" s="2">
        <v>299</v>
      </c>
      <c r="I18344" s="2">
        <v>761</v>
      </c>
      <c r="J18344" s="2">
        <v>1657</v>
      </c>
      <c r="K18344" s="2">
        <v>1</v>
      </c>
      <c r="L18344" s="2">
        <v>299</v>
      </c>
    </row>
    <row r="18345" spans="1:12" x14ac:dyDescent="0.25">
      <c r="A18345" s="4" t="str">
        <f>HYPERLINK("http://www.rosaceae.org/Prunus/Prunus_persica/p.persica_gdr_reftransV1_0048687","p.persica_gdr_reftransV1_0048687")</f>
        <v>p.persica_gdr_reftransV1_0048687</v>
      </c>
      <c r="B18345" s="2">
        <v>2225</v>
      </c>
      <c r="C18345" s="4" t="str">
        <f>HYPERLINK("http://www.uniprot.org/uniprot/A0A0A0LE51","A0A0A0LE51")</f>
        <v>A0A0A0LE51</v>
      </c>
      <c r="D18345" s="2" t="s">
        <v>3467</v>
      </c>
      <c r="E18345" s="3">
        <v>0</v>
      </c>
      <c r="F18345" s="2">
        <v>2750</v>
      </c>
      <c r="G18345" s="2">
        <v>78</v>
      </c>
      <c r="H18345" s="2">
        <v>651</v>
      </c>
      <c r="I18345" s="2">
        <v>168</v>
      </c>
      <c r="J18345" s="2">
        <v>2117</v>
      </c>
      <c r="K18345" s="2">
        <v>13</v>
      </c>
      <c r="L18345" s="2">
        <v>663</v>
      </c>
    </row>
    <row r="18346" spans="1:12" x14ac:dyDescent="0.25">
      <c r="A18346" s="4" t="str">
        <f>HYPERLINK("http://www.rosaceae.org/Prunus/Prunus_persica/p.persica_gdr_reftransV1_0049037","p.persica_gdr_reftransV1_0049037")</f>
        <v>p.persica_gdr_reftransV1_0049037</v>
      </c>
      <c r="B18346" s="2">
        <v>2484</v>
      </c>
      <c r="C18346" s="4" t="str">
        <f>HYPERLINK("http://www.uniprot.org/uniprot/M5X0B4","M5X0B4")</f>
        <v>M5X0B4</v>
      </c>
      <c r="D18346" s="2" t="s">
        <v>14217</v>
      </c>
      <c r="E18346" s="3">
        <v>0</v>
      </c>
      <c r="F18346" s="2">
        <v>3094</v>
      </c>
      <c r="G18346" s="2">
        <v>100</v>
      </c>
      <c r="H18346" s="2">
        <v>611</v>
      </c>
      <c r="I18346" s="2">
        <v>443</v>
      </c>
      <c r="J18346" s="2">
        <v>2275</v>
      </c>
      <c r="K18346" s="2">
        <v>1</v>
      </c>
      <c r="L18346" s="2">
        <v>611</v>
      </c>
    </row>
    <row r="18347" spans="1:12" x14ac:dyDescent="0.25">
      <c r="A18347" s="4" t="str">
        <f>HYPERLINK("http://www.rosaceae.org/Prunus/Prunus_persica/p.persica_gdr_reftransV1_0000038","p.persica_gdr_reftransV1_0000038")</f>
        <v>p.persica_gdr_reftransV1_0000038</v>
      </c>
      <c r="B18347" s="2">
        <v>1773</v>
      </c>
      <c r="C18347" s="4" t="str">
        <f>HYPERLINK("http://www.uniprot.org/uniprot/M5WG30","M5WG30")</f>
        <v>M5WG30</v>
      </c>
      <c r="D18347" s="2" t="s">
        <v>4485</v>
      </c>
      <c r="E18347" s="3">
        <v>0</v>
      </c>
      <c r="F18347" s="2">
        <v>1765</v>
      </c>
      <c r="G18347" s="2">
        <v>100</v>
      </c>
      <c r="H18347" s="2">
        <v>363</v>
      </c>
      <c r="I18347" s="2">
        <v>90</v>
      </c>
      <c r="J18347" s="2">
        <v>1178</v>
      </c>
      <c r="K18347" s="2">
        <v>1</v>
      </c>
      <c r="L18347" s="2">
        <v>363</v>
      </c>
    </row>
    <row r="18348" spans="1:12" x14ac:dyDescent="0.25">
      <c r="A18348" s="4" t="str">
        <f>HYPERLINK("http://www.rosaceae.org/Prunus/Prunus_persica/p.persica_gdr_reftransV1_0000388","p.persica_gdr_reftransV1_0000388")</f>
        <v>p.persica_gdr_reftransV1_0000388</v>
      </c>
      <c r="B18348" s="2">
        <v>2266</v>
      </c>
      <c r="C18348" s="4" t="str">
        <f>HYPERLINK("http://www.uniprot.org/uniprot/M5XDW7","M5XDW7")</f>
        <v>M5XDW7</v>
      </c>
      <c r="D18348" s="2" t="s">
        <v>14218</v>
      </c>
      <c r="E18348" s="3">
        <v>0</v>
      </c>
      <c r="F18348" s="2">
        <v>2894</v>
      </c>
      <c r="G18348" s="2">
        <v>100</v>
      </c>
      <c r="H18348" s="2">
        <v>557</v>
      </c>
      <c r="I18348" s="2">
        <v>492</v>
      </c>
      <c r="J18348" s="2">
        <v>2162</v>
      </c>
      <c r="K18348" s="2">
        <v>1</v>
      </c>
      <c r="L18348" s="2">
        <v>557</v>
      </c>
    </row>
    <row r="18349" spans="1:12" x14ac:dyDescent="0.25">
      <c r="A18349" s="4" t="str">
        <f>HYPERLINK("http://www.rosaceae.org/Prunus/Prunus_persica/p.persica_gdr_reftransV1_0001088","p.persica_gdr_reftransV1_0001088")</f>
        <v>p.persica_gdr_reftransV1_0001088</v>
      </c>
      <c r="B18349" s="2">
        <v>3152</v>
      </c>
      <c r="C18349" s="4" t="str">
        <f>HYPERLINK("http://www.uniprot.org/uniprot/M5XC61","M5XC61")</f>
        <v>M5XC61</v>
      </c>
      <c r="D18349" s="2" t="s">
        <v>14219</v>
      </c>
      <c r="E18349" s="3">
        <v>2.35E-142</v>
      </c>
      <c r="F18349" s="2">
        <v>1156</v>
      </c>
      <c r="G18349" s="2">
        <v>94</v>
      </c>
      <c r="H18349" s="2">
        <v>253</v>
      </c>
      <c r="I18349" s="2">
        <v>1033</v>
      </c>
      <c r="J18349" s="2">
        <v>1791</v>
      </c>
      <c r="K18349" s="2">
        <v>181</v>
      </c>
      <c r="L18349" s="2">
        <v>433</v>
      </c>
    </row>
    <row r="18350" spans="1:12" x14ac:dyDescent="0.25">
      <c r="A18350" s="4" t="str">
        <f>HYPERLINK("http://www.rosaceae.org/Prunus/Prunus_persica/p.persica_gdr_reftransV1_0001438","p.persica_gdr_reftransV1_0001438")</f>
        <v>p.persica_gdr_reftransV1_0001438</v>
      </c>
      <c r="B18350" s="2">
        <v>1031</v>
      </c>
      <c r="C18350" s="4" t="str">
        <f>HYPERLINK("http://www.uniprot.org/uniprot/M5XAM6","M5XAM6")</f>
        <v>M5XAM6</v>
      </c>
      <c r="D18350" s="2" t="s">
        <v>5321</v>
      </c>
      <c r="E18350" s="3">
        <v>1.12E-178</v>
      </c>
      <c r="F18350" s="2">
        <v>1385</v>
      </c>
      <c r="G18350" s="2">
        <v>100</v>
      </c>
      <c r="H18350" s="2">
        <v>295</v>
      </c>
      <c r="I18350" s="2">
        <v>146</v>
      </c>
      <c r="J18350" s="2">
        <v>1030</v>
      </c>
      <c r="K18350" s="2">
        <v>1</v>
      </c>
      <c r="L18350" s="2">
        <v>295</v>
      </c>
    </row>
    <row r="18351" spans="1:12" x14ac:dyDescent="0.25">
      <c r="A18351" s="4" t="str">
        <f>HYPERLINK("http://www.rosaceae.org/Prunus/Prunus_persica/p.persica_gdr_reftransV1_0002488","p.persica_gdr_reftransV1_0002488")</f>
        <v>p.persica_gdr_reftransV1_0002488</v>
      </c>
      <c r="B18351" s="2">
        <v>1990</v>
      </c>
      <c r="C18351" s="4" t="str">
        <f>HYPERLINK("http://www.uniprot.org/uniprot/M5VMX1","M5VMX1")</f>
        <v>M5VMX1</v>
      </c>
      <c r="D18351" s="2" t="s">
        <v>14157</v>
      </c>
      <c r="E18351" s="3">
        <v>0</v>
      </c>
      <c r="F18351" s="2">
        <v>2406</v>
      </c>
      <c r="G18351" s="2">
        <v>100</v>
      </c>
      <c r="H18351" s="2">
        <v>448</v>
      </c>
      <c r="I18351" s="2">
        <v>306</v>
      </c>
      <c r="J18351" s="2">
        <v>1649</v>
      </c>
      <c r="K18351" s="2">
        <v>1</v>
      </c>
      <c r="L18351" s="2">
        <v>448</v>
      </c>
    </row>
    <row r="18352" spans="1:12" x14ac:dyDescent="0.25">
      <c r="A18352" s="4" t="str">
        <f>HYPERLINK("http://www.rosaceae.org/Prunus/Prunus_persica/p.persica_gdr_reftransV1_0002838","p.persica_gdr_reftransV1_0002838")</f>
        <v>p.persica_gdr_reftransV1_0002838</v>
      </c>
      <c r="B18352" s="2">
        <v>529</v>
      </c>
      <c r="C18352" s="4" t="str">
        <f>HYPERLINK("http://www.uniprot.org/uniprot/M5WCS0","M5WCS0")</f>
        <v>M5WCS0</v>
      </c>
      <c r="D18352" s="2" t="s">
        <v>10390</v>
      </c>
      <c r="E18352" s="3">
        <v>9.1599999999999995E-121</v>
      </c>
      <c r="F18352" s="2">
        <v>931</v>
      </c>
      <c r="G18352" s="2">
        <v>100</v>
      </c>
      <c r="H18352" s="2">
        <v>175</v>
      </c>
      <c r="I18352" s="2">
        <v>3</v>
      </c>
      <c r="J18352" s="2">
        <v>527</v>
      </c>
      <c r="K18352" s="2">
        <v>296</v>
      </c>
      <c r="L18352" s="2">
        <v>470</v>
      </c>
    </row>
    <row r="18353" spans="1:12" x14ac:dyDescent="0.25">
      <c r="A18353" s="4" t="str">
        <f>HYPERLINK("http://www.rosaceae.org/Prunus/Prunus_persica/p.persica_gdr_reftransV1_0003188","p.persica_gdr_reftransV1_0003188")</f>
        <v>p.persica_gdr_reftransV1_0003188</v>
      </c>
      <c r="B18353" s="2">
        <v>1603</v>
      </c>
      <c r="C18353" s="4" t="str">
        <f>HYPERLINK("http://www.uniprot.org/uniprot/M5W129","M5W129")</f>
        <v>M5W129</v>
      </c>
      <c r="D18353" s="2" t="s">
        <v>14220</v>
      </c>
      <c r="E18353" s="3">
        <v>0</v>
      </c>
      <c r="F18353" s="2">
        <v>1643</v>
      </c>
      <c r="G18353" s="2">
        <v>100</v>
      </c>
      <c r="H18353" s="2">
        <v>338</v>
      </c>
      <c r="I18353" s="2">
        <v>3</v>
      </c>
      <c r="J18353" s="2">
        <v>1016</v>
      </c>
      <c r="K18353" s="2">
        <v>283</v>
      </c>
      <c r="L18353" s="2">
        <v>620</v>
      </c>
    </row>
    <row r="18354" spans="1:12" x14ac:dyDescent="0.25">
      <c r="A18354" s="4" t="str">
        <f>HYPERLINK("http://www.rosaceae.org/Prunus/Prunus_persica/p.persica_gdr_reftransV1_0003538","p.persica_gdr_reftransV1_0003538")</f>
        <v>p.persica_gdr_reftransV1_0003538</v>
      </c>
      <c r="B18354" s="2">
        <v>413</v>
      </c>
      <c r="C18354" s="4" t="str">
        <f>HYPERLINK("http://www.uniprot.org/uniprot/M5VWJ6","M5VWJ6")</f>
        <v>M5VWJ6</v>
      </c>
      <c r="D18354" s="2" t="s">
        <v>10833</v>
      </c>
      <c r="E18354" s="3">
        <v>8.6000000000000007E-52</v>
      </c>
      <c r="F18354" s="2">
        <v>467</v>
      </c>
      <c r="G18354" s="2">
        <v>96</v>
      </c>
      <c r="H18354" s="2">
        <v>90</v>
      </c>
      <c r="I18354" s="2">
        <v>63</v>
      </c>
      <c r="J18354" s="2">
        <v>332</v>
      </c>
      <c r="K18354" s="2">
        <v>232</v>
      </c>
      <c r="L18354" s="2">
        <v>321</v>
      </c>
    </row>
    <row r="18355" spans="1:12" x14ac:dyDescent="0.25">
      <c r="A18355" s="4" t="str">
        <f>HYPERLINK("http://www.rosaceae.org/Prunus/Prunus_persica/p.persica_gdr_reftransV1_0003888","p.persica_gdr_reftransV1_0003888")</f>
        <v>p.persica_gdr_reftransV1_0003888</v>
      </c>
      <c r="B18355" s="2">
        <v>1979</v>
      </c>
      <c r="C18355" s="4" t="str">
        <f>HYPERLINK("http://www.uniprot.org/uniprot/A0A0A0KT69","A0A0A0KT69")</f>
        <v>A0A0A0KT69</v>
      </c>
      <c r="D18355" s="2" t="s">
        <v>14221</v>
      </c>
      <c r="E18355" s="3">
        <v>0</v>
      </c>
      <c r="F18355" s="2">
        <v>2403</v>
      </c>
      <c r="G18355" s="2">
        <v>93</v>
      </c>
      <c r="H18355" s="2">
        <v>496</v>
      </c>
      <c r="I18355" s="2">
        <v>329</v>
      </c>
      <c r="J18355" s="2">
        <v>1816</v>
      </c>
      <c r="K18355" s="2">
        <v>1</v>
      </c>
      <c r="L18355" s="2">
        <v>496</v>
      </c>
    </row>
    <row r="18356" spans="1:12" x14ac:dyDescent="0.25">
      <c r="A18356" s="4" t="str">
        <f>HYPERLINK("http://www.rosaceae.org/Prunus/Prunus_persica/p.persica_gdr_reftransV1_0004238","p.persica_gdr_reftransV1_0004238")</f>
        <v>p.persica_gdr_reftransV1_0004238</v>
      </c>
      <c r="B18356" s="2">
        <v>951</v>
      </c>
      <c r="C18356" s="4" t="str">
        <f>HYPERLINK("http://www.uniprot.org/uniprot/M5XL19","M5XL19")</f>
        <v>M5XL19</v>
      </c>
      <c r="D18356" s="2" t="s">
        <v>14222</v>
      </c>
      <c r="E18356" s="3">
        <v>4.6800000000000004E-9</v>
      </c>
      <c r="F18356" s="2">
        <v>163</v>
      </c>
      <c r="G18356" s="2">
        <v>57</v>
      </c>
      <c r="H18356" s="2">
        <v>61</v>
      </c>
      <c r="I18356" s="2">
        <v>372</v>
      </c>
      <c r="J18356" s="2">
        <v>551</v>
      </c>
      <c r="K18356" s="2">
        <v>408</v>
      </c>
      <c r="L18356" s="2">
        <v>468</v>
      </c>
    </row>
    <row r="18357" spans="1:12" x14ac:dyDescent="0.25">
      <c r="A18357" s="4" t="str">
        <f>HYPERLINK("http://www.rosaceae.org/Prunus/Prunus_persica/p.persica_gdr_reftransV1_0005288","p.persica_gdr_reftransV1_0005288")</f>
        <v>p.persica_gdr_reftransV1_0005288</v>
      </c>
      <c r="B18357" s="2">
        <v>1087</v>
      </c>
      <c r="C18357" s="4" t="str">
        <f>HYPERLINK("http://www.uniprot.org/uniprot/M5VR31","M5VR31")</f>
        <v>M5VR31</v>
      </c>
      <c r="D18357" s="2" t="s">
        <v>839</v>
      </c>
      <c r="E18357" s="3">
        <v>1.2800000000000001E-139</v>
      </c>
      <c r="F18357" s="2">
        <v>1047</v>
      </c>
      <c r="G18357" s="2">
        <v>100</v>
      </c>
      <c r="H18357" s="2">
        <v>197</v>
      </c>
      <c r="I18357" s="2">
        <v>310</v>
      </c>
      <c r="J18357" s="2">
        <v>900</v>
      </c>
      <c r="K18357" s="2">
        <v>22</v>
      </c>
      <c r="L18357" s="2">
        <v>218</v>
      </c>
    </row>
    <row r="18358" spans="1:12" x14ac:dyDescent="0.25">
      <c r="A18358" s="4" t="str">
        <f>HYPERLINK("http://www.rosaceae.org/Prunus/Prunus_persica/p.persica_gdr_reftransV1_0005638","p.persica_gdr_reftransV1_0005638")</f>
        <v>p.persica_gdr_reftransV1_0005638</v>
      </c>
      <c r="B18358" s="2">
        <v>1182</v>
      </c>
      <c r="C18358" s="4" t="str">
        <f>HYPERLINK("http://www.uniprot.org/uniprot/A0A067F0P3","A0A067F0P3")</f>
        <v>A0A067F0P3</v>
      </c>
      <c r="D18358" s="2" t="s">
        <v>419</v>
      </c>
      <c r="E18358" s="3">
        <v>1.06E-16</v>
      </c>
      <c r="F18358" s="2">
        <v>221</v>
      </c>
      <c r="G18358" s="2">
        <v>42</v>
      </c>
      <c r="H18358" s="2">
        <v>113</v>
      </c>
      <c r="I18358" s="2">
        <v>543</v>
      </c>
      <c r="J18358" s="2">
        <v>860</v>
      </c>
      <c r="K18358" s="2">
        <v>14</v>
      </c>
      <c r="L18358" s="2">
        <v>126</v>
      </c>
    </row>
    <row r="18359" spans="1:12" x14ac:dyDescent="0.25">
      <c r="A18359" s="4" t="str">
        <f>HYPERLINK("http://www.rosaceae.org/Prunus/Prunus_persica/p.persica_gdr_reftransV1_0006338","p.persica_gdr_reftransV1_0006338")</f>
        <v>p.persica_gdr_reftransV1_0006338</v>
      </c>
      <c r="B18359" s="2">
        <v>435</v>
      </c>
      <c r="C18359" s="4" t="str">
        <f>HYPERLINK("http://www.uniprot.org/uniprot/M5VPC3","M5VPC3")</f>
        <v>M5VPC3</v>
      </c>
      <c r="D18359" s="2" t="s">
        <v>14223</v>
      </c>
      <c r="E18359" s="3">
        <v>9.4599999999999993E-27</v>
      </c>
      <c r="F18359" s="2">
        <v>267</v>
      </c>
      <c r="G18359" s="2">
        <v>93</v>
      </c>
      <c r="H18359" s="2">
        <v>70</v>
      </c>
      <c r="I18359" s="2">
        <v>115</v>
      </c>
      <c r="J18359" s="2">
        <v>324</v>
      </c>
      <c r="K18359" s="2">
        <v>40</v>
      </c>
      <c r="L18359" s="2">
        <v>109</v>
      </c>
    </row>
    <row r="18360" spans="1:12" x14ac:dyDescent="0.25">
      <c r="A18360" s="4" t="str">
        <f>HYPERLINK("http://www.rosaceae.org/Prunus/Prunus_persica/p.persica_gdr_reftransV1_0007388","p.persica_gdr_reftransV1_0007388")</f>
        <v>p.persica_gdr_reftransV1_0007388</v>
      </c>
      <c r="B18360" s="2">
        <v>2097</v>
      </c>
      <c r="C18360" s="4" t="str">
        <f>HYPERLINK("http://www.uniprot.org/uniprot/M5X164","M5X164")</f>
        <v>M5X164</v>
      </c>
      <c r="D18360" s="2" t="s">
        <v>14224</v>
      </c>
      <c r="E18360" s="3">
        <v>0</v>
      </c>
      <c r="F18360" s="2">
        <v>2176</v>
      </c>
      <c r="G18360" s="2">
        <v>99</v>
      </c>
      <c r="H18360" s="2">
        <v>457</v>
      </c>
      <c r="I18360" s="2">
        <v>455</v>
      </c>
      <c r="J18360" s="2">
        <v>1825</v>
      </c>
      <c r="K18360" s="2">
        <v>1</v>
      </c>
      <c r="L18360" s="2">
        <v>457</v>
      </c>
    </row>
    <row r="18361" spans="1:12" x14ac:dyDescent="0.25">
      <c r="A18361" s="4" t="str">
        <f>HYPERLINK("http://www.rosaceae.org/Prunus/Prunus_persica/p.persica_gdr_reftransV1_0008088","p.persica_gdr_reftransV1_0008088")</f>
        <v>p.persica_gdr_reftransV1_0008088</v>
      </c>
      <c r="B18361" s="2">
        <v>2809</v>
      </c>
      <c r="C18361" s="4" t="str">
        <f>HYPERLINK("http://www.uniprot.org/uniprot/M5WQY9","M5WQY9")</f>
        <v>M5WQY9</v>
      </c>
      <c r="D18361" s="2" t="s">
        <v>14225</v>
      </c>
      <c r="E18361" s="3">
        <v>0</v>
      </c>
      <c r="F18361" s="2">
        <v>3031</v>
      </c>
      <c r="G18361" s="2">
        <v>100</v>
      </c>
      <c r="H18361" s="2">
        <v>664</v>
      </c>
      <c r="I18361" s="2">
        <v>596</v>
      </c>
      <c r="J18361" s="2">
        <v>2587</v>
      </c>
      <c r="K18361" s="2">
        <v>1</v>
      </c>
      <c r="L18361" s="2">
        <v>664</v>
      </c>
    </row>
    <row r="18362" spans="1:12" x14ac:dyDescent="0.25">
      <c r="A18362" s="4" t="str">
        <f>HYPERLINK("http://www.rosaceae.org/Prunus/Prunus_persica/p.persica_gdr_reftransV1_0009138","p.persica_gdr_reftransV1_0009138")</f>
        <v>p.persica_gdr_reftransV1_0009138</v>
      </c>
      <c r="B18362" s="2">
        <v>1793</v>
      </c>
      <c r="C18362" s="4" t="str">
        <f>HYPERLINK("http://www.uniprot.org/uniprot/M5XEL9","M5XEL9")</f>
        <v>M5XEL9</v>
      </c>
      <c r="D18362" s="2" t="s">
        <v>13894</v>
      </c>
      <c r="E18362" s="3">
        <v>0</v>
      </c>
      <c r="F18362" s="2">
        <v>1787</v>
      </c>
      <c r="G18362" s="2">
        <v>93</v>
      </c>
      <c r="H18362" s="2">
        <v>396</v>
      </c>
      <c r="I18362" s="2">
        <v>429</v>
      </c>
      <c r="J18362" s="2">
        <v>1616</v>
      </c>
      <c r="K18362" s="2">
        <v>1</v>
      </c>
      <c r="L18362" s="2">
        <v>367</v>
      </c>
    </row>
    <row r="18363" spans="1:12" x14ac:dyDescent="0.25">
      <c r="A18363" s="4" t="str">
        <f>HYPERLINK("http://www.rosaceae.org/Prunus/Prunus_persica/p.persica_gdr_reftransV1_0009488","p.persica_gdr_reftransV1_0009488")</f>
        <v>p.persica_gdr_reftransV1_0009488</v>
      </c>
      <c r="B18363" s="2">
        <v>1362</v>
      </c>
      <c r="C18363" s="4" t="str">
        <f>HYPERLINK("http://www.uniprot.org/uniprot/M5WK12","M5WK12")</f>
        <v>M5WK12</v>
      </c>
      <c r="D18363" s="2" t="s">
        <v>14226</v>
      </c>
      <c r="E18363" s="3">
        <v>9.6699999999999997E-48</v>
      </c>
      <c r="F18363" s="2">
        <v>429</v>
      </c>
      <c r="G18363" s="2">
        <v>100</v>
      </c>
      <c r="H18363" s="2">
        <v>81</v>
      </c>
      <c r="I18363" s="2">
        <v>609</v>
      </c>
      <c r="J18363" s="2">
        <v>851</v>
      </c>
      <c r="K18363" s="2">
        <v>1</v>
      </c>
      <c r="L18363" s="2">
        <v>81</v>
      </c>
    </row>
    <row r="18364" spans="1:12" x14ac:dyDescent="0.25">
      <c r="A18364" s="4" t="str">
        <f>HYPERLINK("http://www.rosaceae.org/Prunus/Prunus_persica/p.persica_gdr_reftransV1_0010538","p.persica_gdr_reftransV1_0010538")</f>
        <v>p.persica_gdr_reftransV1_0010538</v>
      </c>
      <c r="B18364" s="2">
        <v>1891</v>
      </c>
      <c r="C18364" s="4" t="str">
        <f>HYPERLINK("http://www.uniprot.org/uniprot/M5VYE4","M5VYE4")</f>
        <v>M5VYE4</v>
      </c>
      <c r="D18364" s="2" t="s">
        <v>14227</v>
      </c>
      <c r="E18364" s="3">
        <v>0</v>
      </c>
      <c r="F18364" s="2">
        <v>2192</v>
      </c>
      <c r="G18364" s="2">
        <v>100</v>
      </c>
      <c r="H18364" s="2">
        <v>411</v>
      </c>
      <c r="I18364" s="2">
        <v>287</v>
      </c>
      <c r="J18364" s="2">
        <v>1519</v>
      </c>
      <c r="K18364" s="2">
        <v>1</v>
      </c>
      <c r="L18364" s="2">
        <v>411</v>
      </c>
    </row>
    <row r="18365" spans="1:12" x14ac:dyDescent="0.25">
      <c r="A18365" s="4" t="str">
        <f>HYPERLINK("http://www.rosaceae.org/Prunus/Prunus_persica/p.persica_gdr_reftransV1_0010888","p.persica_gdr_reftransV1_0010888")</f>
        <v>p.persica_gdr_reftransV1_0010888</v>
      </c>
      <c r="B18365" s="2">
        <v>2004</v>
      </c>
      <c r="C18365" s="4" t="str">
        <f>HYPERLINK("http://www.uniprot.org/uniprot/M5X092","M5X092")</f>
        <v>M5X092</v>
      </c>
      <c r="D18365" s="2" t="s">
        <v>14228</v>
      </c>
      <c r="E18365" s="3">
        <v>0</v>
      </c>
      <c r="F18365" s="2">
        <v>2443</v>
      </c>
      <c r="G18365" s="2">
        <v>100</v>
      </c>
      <c r="H18365" s="2">
        <v>475</v>
      </c>
      <c r="I18365" s="2">
        <v>248</v>
      </c>
      <c r="J18365" s="2">
        <v>1672</v>
      </c>
      <c r="K18365" s="2">
        <v>28</v>
      </c>
      <c r="L18365" s="2">
        <v>502</v>
      </c>
    </row>
    <row r="18366" spans="1:12" x14ac:dyDescent="0.25">
      <c r="A18366" s="4" t="str">
        <f>HYPERLINK("http://www.rosaceae.org/Prunus/Prunus_persica/p.persica_gdr_reftransV1_0011588","p.persica_gdr_reftransV1_0011588")</f>
        <v>p.persica_gdr_reftransV1_0011588</v>
      </c>
      <c r="B18366" s="2">
        <v>1373</v>
      </c>
      <c r="C18366" s="4" t="str">
        <f>HYPERLINK("http://www.uniprot.org/uniprot/M5XDD8","M5XDD8")</f>
        <v>M5XDD8</v>
      </c>
      <c r="D18366" s="2" t="s">
        <v>14229</v>
      </c>
      <c r="E18366" s="3">
        <v>0</v>
      </c>
      <c r="F18366" s="2">
        <v>1801</v>
      </c>
      <c r="G18366" s="2">
        <v>100</v>
      </c>
      <c r="H18366" s="2">
        <v>333</v>
      </c>
      <c r="I18366" s="2">
        <v>107</v>
      </c>
      <c r="J18366" s="2">
        <v>1105</v>
      </c>
      <c r="K18366" s="2">
        <v>1</v>
      </c>
      <c r="L18366" s="2">
        <v>333</v>
      </c>
    </row>
    <row r="18367" spans="1:12" x14ac:dyDescent="0.25">
      <c r="A18367" s="4" t="str">
        <f>HYPERLINK("http://www.rosaceae.org/Prunus/Prunus_persica/p.persica_gdr_reftransV1_0011938","p.persica_gdr_reftransV1_0011938")</f>
        <v>p.persica_gdr_reftransV1_0011938</v>
      </c>
      <c r="B18367" s="2">
        <v>2532</v>
      </c>
      <c r="C18367" s="4" t="str">
        <f>HYPERLINK("http://www.uniprot.org/uniprot/M5XWR3","M5XWR3")</f>
        <v>M5XWR3</v>
      </c>
      <c r="D18367" s="2" t="s">
        <v>14230</v>
      </c>
      <c r="E18367" s="3">
        <v>0</v>
      </c>
      <c r="F18367" s="2">
        <v>2138</v>
      </c>
      <c r="G18367" s="2">
        <v>100</v>
      </c>
      <c r="H18367" s="2">
        <v>426</v>
      </c>
      <c r="I18367" s="2">
        <v>833</v>
      </c>
      <c r="J18367" s="2">
        <v>2110</v>
      </c>
      <c r="K18367" s="2">
        <v>1</v>
      </c>
      <c r="L18367" s="2">
        <v>426</v>
      </c>
    </row>
    <row r="18368" spans="1:12" x14ac:dyDescent="0.25">
      <c r="A18368" s="4" t="str">
        <f>HYPERLINK("http://www.rosaceae.org/Prunus/Prunus_persica/p.persica_gdr_reftransV1_0012288","p.persica_gdr_reftransV1_0012288")</f>
        <v>p.persica_gdr_reftransV1_0012288</v>
      </c>
      <c r="B18368" s="2">
        <v>1266</v>
      </c>
      <c r="C18368" s="4" t="str">
        <f>HYPERLINK("http://www.uniprot.org/uniprot/M5X6B3","M5X6B3")</f>
        <v>M5X6B3</v>
      </c>
      <c r="D18368" s="2" t="s">
        <v>14231</v>
      </c>
      <c r="E18368" s="3">
        <v>0</v>
      </c>
      <c r="F18368" s="2">
        <v>1760</v>
      </c>
      <c r="G18368" s="2">
        <v>100</v>
      </c>
      <c r="H18368" s="2">
        <v>330</v>
      </c>
      <c r="I18368" s="2">
        <v>107</v>
      </c>
      <c r="J18368" s="2">
        <v>1096</v>
      </c>
      <c r="K18368" s="2">
        <v>1</v>
      </c>
      <c r="L18368" s="2">
        <v>330</v>
      </c>
    </row>
    <row r="18369" spans="1:12" x14ac:dyDescent="0.25">
      <c r="A18369" s="4" t="str">
        <f>HYPERLINK("http://www.rosaceae.org/Prunus/Prunus_persica/p.persica_gdr_reftransV1_0012638","p.persica_gdr_reftransV1_0012638")</f>
        <v>p.persica_gdr_reftransV1_0012638</v>
      </c>
      <c r="B18369" s="2">
        <v>1169</v>
      </c>
      <c r="C18369" s="4" t="str">
        <f>HYPERLINK("http://www.uniprot.org/uniprot/M5XKW8","M5XKW8")</f>
        <v>M5XKW8</v>
      </c>
      <c r="D18369" s="2" t="s">
        <v>14232</v>
      </c>
      <c r="E18369" s="3">
        <v>9.25E-176</v>
      </c>
      <c r="F18369" s="2">
        <v>1293</v>
      </c>
      <c r="G18369" s="2">
        <v>100</v>
      </c>
      <c r="H18369" s="2">
        <v>260</v>
      </c>
      <c r="I18369" s="2">
        <v>310</v>
      </c>
      <c r="J18369" s="2">
        <v>1089</v>
      </c>
      <c r="K18369" s="2">
        <v>1</v>
      </c>
      <c r="L18369" s="2">
        <v>260</v>
      </c>
    </row>
    <row r="18370" spans="1:12" x14ac:dyDescent="0.25">
      <c r="A18370" s="4" t="str">
        <f>HYPERLINK("http://www.rosaceae.org/Prunus/Prunus_persica/p.persica_gdr_reftransV1_0013338","p.persica_gdr_reftransV1_0013338")</f>
        <v>p.persica_gdr_reftransV1_0013338</v>
      </c>
      <c r="B18370" s="2">
        <v>1041</v>
      </c>
      <c r="C18370" s="4" t="str">
        <f>HYPERLINK("http://www.uniprot.org/uniprot/M5XLY4","M5XLY4")</f>
        <v>M5XLY4</v>
      </c>
      <c r="D18370" s="2" t="s">
        <v>6609</v>
      </c>
      <c r="E18370" s="3">
        <v>2.1100000000000001E-129</v>
      </c>
      <c r="F18370" s="2">
        <v>1035</v>
      </c>
      <c r="G18370" s="2">
        <v>100</v>
      </c>
      <c r="H18370" s="2">
        <v>192</v>
      </c>
      <c r="I18370" s="2">
        <v>65</v>
      </c>
      <c r="J18370" s="2">
        <v>640</v>
      </c>
      <c r="K18370" s="2">
        <v>1</v>
      </c>
      <c r="L18370" s="2">
        <v>192</v>
      </c>
    </row>
    <row r="18371" spans="1:12" x14ac:dyDescent="0.25">
      <c r="A18371" s="4" t="str">
        <f>HYPERLINK("http://www.rosaceae.org/Prunus/Prunus_persica/p.persica_gdr_reftransV1_0015088","p.persica_gdr_reftransV1_0015088")</f>
        <v>p.persica_gdr_reftransV1_0015088</v>
      </c>
      <c r="B18371" s="2">
        <v>1472</v>
      </c>
      <c r="C18371" s="4" t="str">
        <f>HYPERLINK("http://www.uniprot.org/uniprot/M5W093","M5W093")</f>
        <v>M5W093</v>
      </c>
      <c r="D18371" s="2" t="s">
        <v>14233</v>
      </c>
      <c r="E18371" s="3">
        <v>0</v>
      </c>
      <c r="F18371" s="2">
        <v>1668</v>
      </c>
      <c r="G18371" s="2">
        <v>100</v>
      </c>
      <c r="H18371" s="2">
        <v>316</v>
      </c>
      <c r="I18371" s="2">
        <v>243</v>
      </c>
      <c r="J18371" s="2">
        <v>1190</v>
      </c>
      <c r="K18371" s="2">
        <v>1</v>
      </c>
      <c r="L18371" s="2">
        <v>316</v>
      </c>
    </row>
    <row r="18372" spans="1:12" x14ac:dyDescent="0.25">
      <c r="A18372" s="4" t="str">
        <f>HYPERLINK("http://www.rosaceae.org/Prunus/Prunus_persica/p.persica_gdr_reftransV1_0016138","p.persica_gdr_reftransV1_0016138")</f>
        <v>p.persica_gdr_reftransV1_0016138</v>
      </c>
      <c r="B18372" s="2">
        <v>1304</v>
      </c>
      <c r="C18372" s="4" t="str">
        <f>HYPERLINK("http://www.uniprot.org/uniprot/M5VZH3","M5VZH3")</f>
        <v>M5VZH3</v>
      </c>
      <c r="D18372" s="2" t="s">
        <v>14234</v>
      </c>
      <c r="E18372" s="3">
        <v>3.6299999999999997E-178</v>
      </c>
      <c r="F18372" s="2">
        <v>1316</v>
      </c>
      <c r="G18372" s="2">
        <v>100</v>
      </c>
      <c r="H18372" s="2">
        <v>252</v>
      </c>
      <c r="I18372" s="2">
        <v>181</v>
      </c>
      <c r="J18372" s="2">
        <v>936</v>
      </c>
      <c r="K18372" s="2">
        <v>40</v>
      </c>
      <c r="L18372" s="2">
        <v>291</v>
      </c>
    </row>
    <row r="18373" spans="1:12" x14ac:dyDescent="0.25">
      <c r="A18373" s="4" t="str">
        <f>HYPERLINK("http://www.rosaceae.org/Prunus/Prunus_persica/p.persica_gdr_reftransV1_0016488","p.persica_gdr_reftransV1_0016488")</f>
        <v>p.persica_gdr_reftransV1_0016488</v>
      </c>
      <c r="B18373" s="2">
        <v>622</v>
      </c>
      <c r="C18373" s="4" t="str">
        <f>HYPERLINK("http://www.uniprot.org/uniprot/M5VQR6","M5VQR6")</f>
        <v>M5VQR6</v>
      </c>
      <c r="D18373" s="2" t="s">
        <v>14235</v>
      </c>
      <c r="E18373" s="3">
        <v>2.1100000000000001E-125</v>
      </c>
      <c r="F18373" s="2">
        <v>953</v>
      </c>
      <c r="G18373" s="2">
        <v>100</v>
      </c>
      <c r="H18373" s="2">
        <v>193</v>
      </c>
      <c r="I18373" s="2">
        <v>2</v>
      </c>
      <c r="J18373" s="2">
        <v>580</v>
      </c>
      <c r="K18373" s="2">
        <v>1</v>
      </c>
      <c r="L18373" s="2">
        <v>193</v>
      </c>
    </row>
    <row r="18374" spans="1:12" x14ac:dyDescent="0.25">
      <c r="A18374" s="4" t="str">
        <f>HYPERLINK("http://www.rosaceae.org/Prunus/Prunus_persica/p.persica_gdr_reftransV1_0016838","p.persica_gdr_reftransV1_0016838")</f>
        <v>p.persica_gdr_reftransV1_0016838</v>
      </c>
      <c r="B18374" s="2">
        <v>3099</v>
      </c>
      <c r="C18374" s="4" t="str">
        <f>HYPERLINK("http://www.uniprot.org/uniprot/M5VM21","M5VM21")</f>
        <v>M5VM21</v>
      </c>
      <c r="D18374" s="2" t="s">
        <v>14236</v>
      </c>
      <c r="E18374" s="3">
        <v>0</v>
      </c>
      <c r="F18374" s="2">
        <v>1646</v>
      </c>
      <c r="G18374" s="2">
        <v>99</v>
      </c>
      <c r="H18374" s="2">
        <v>310</v>
      </c>
      <c r="I18374" s="2">
        <v>690</v>
      </c>
      <c r="J18374" s="2">
        <v>1619</v>
      </c>
      <c r="K18374" s="2">
        <v>22</v>
      </c>
      <c r="L18374" s="2">
        <v>331</v>
      </c>
    </row>
    <row r="18375" spans="1:12" x14ac:dyDescent="0.25">
      <c r="A18375" s="4" t="str">
        <f>HYPERLINK("http://www.rosaceae.org/Prunus/Prunus_persica/p.persica_gdr_reftransV1_0018238","p.persica_gdr_reftransV1_0018238")</f>
        <v>p.persica_gdr_reftransV1_0018238</v>
      </c>
      <c r="B18375" s="2">
        <v>540</v>
      </c>
      <c r="C18375" s="4" t="str">
        <f>HYPERLINK("http://www.uniprot.org/uniprot/M5W9F1","M5W9F1")</f>
        <v>M5W9F1</v>
      </c>
      <c r="D18375" s="2" t="s">
        <v>5634</v>
      </c>
      <c r="E18375" s="3">
        <v>2.1199999999999999E-74</v>
      </c>
      <c r="F18375" s="2">
        <v>606</v>
      </c>
      <c r="G18375" s="2">
        <v>100</v>
      </c>
      <c r="H18375" s="2">
        <v>117</v>
      </c>
      <c r="I18375" s="2">
        <v>189</v>
      </c>
      <c r="J18375" s="2">
        <v>539</v>
      </c>
      <c r="K18375" s="2">
        <v>209</v>
      </c>
      <c r="L18375" s="2">
        <v>325</v>
      </c>
    </row>
    <row r="18376" spans="1:12" x14ac:dyDescent="0.25">
      <c r="A18376" s="4" t="str">
        <f>HYPERLINK("http://www.rosaceae.org/Prunus/Prunus_persica/p.persica_gdr_reftransV1_0018588","p.persica_gdr_reftransV1_0018588")</f>
        <v>p.persica_gdr_reftransV1_0018588</v>
      </c>
      <c r="B18376" s="2">
        <v>2784</v>
      </c>
      <c r="C18376" s="4" t="str">
        <f>HYPERLINK("http://www.uniprot.org/uniprot/M5WBN7","M5WBN7")</f>
        <v>M5WBN7</v>
      </c>
      <c r="D18376" s="2" t="s">
        <v>14237</v>
      </c>
      <c r="E18376" s="3">
        <v>0</v>
      </c>
      <c r="F18376" s="2">
        <v>1588</v>
      </c>
      <c r="G18376" s="2">
        <v>86</v>
      </c>
      <c r="H18376" s="2">
        <v>393</v>
      </c>
      <c r="I18376" s="2">
        <v>453</v>
      </c>
      <c r="J18376" s="2">
        <v>1631</v>
      </c>
      <c r="K18376" s="2">
        <v>1</v>
      </c>
      <c r="L18376" s="2">
        <v>343</v>
      </c>
    </row>
    <row r="18377" spans="1:12" x14ac:dyDescent="0.25">
      <c r="A18377" s="4" t="str">
        <f>HYPERLINK("http://www.rosaceae.org/Prunus/Prunus_persica/p.persica_gdr_reftransV1_0020338","p.persica_gdr_reftransV1_0020338")</f>
        <v>p.persica_gdr_reftransV1_0020338</v>
      </c>
      <c r="B18377" s="2">
        <v>1827</v>
      </c>
      <c r="C18377" s="4" t="str">
        <f>HYPERLINK("http://www.uniprot.org/uniprot/M5XBQ3","M5XBQ3")</f>
        <v>M5XBQ3</v>
      </c>
      <c r="D18377" s="2" t="s">
        <v>14238</v>
      </c>
      <c r="E18377" s="3">
        <v>0</v>
      </c>
      <c r="F18377" s="2">
        <v>1758</v>
      </c>
      <c r="G18377" s="2">
        <v>100</v>
      </c>
      <c r="H18377" s="2">
        <v>342</v>
      </c>
      <c r="I18377" s="2">
        <v>527</v>
      </c>
      <c r="J18377" s="2">
        <v>1552</v>
      </c>
      <c r="K18377" s="2">
        <v>142</v>
      </c>
      <c r="L18377" s="2">
        <v>483</v>
      </c>
    </row>
    <row r="18378" spans="1:12" x14ac:dyDescent="0.25">
      <c r="A18378" s="4" t="str">
        <f>HYPERLINK("http://www.rosaceae.org/Prunus/Prunus_persica/p.persica_gdr_reftransV1_0021388","p.persica_gdr_reftransV1_0021388")</f>
        <v>p.persica_gdr_reftransV1_0021388</v>
      </c>
      <c r="B18378" s="2">
        <v>2385</v>
      </c>
      <c r="C18378" s="4" t="str">
        <f>HYPERLINK("http://www.uniprot.org/uniprot/M5XS96","M5XS96")</f>
        <v>M5XS96</v>
      </c>
      <c r="D18378" s="2" t="s">
        <v>14239</v>
      </c>
      <c r="E18378" s="3">
        <v>3.2000000000000001E-107</v>
      </c>
      <c r="F18378" s="2">
        <v>571</v>
      </c>
      <c r="G18378" s="2">
        <v>100</v>
      </c>
      <c r="H18378" s="2">
        <v>131</v>
      </c>
      <c r="I18378" s="2">
        <v>1562</v>
      </c>
      <c r="J18378" s="2">
        <v>1954</v>
      </c>
      <c r="K18378" s="2">
        <v>1</v>
      </c>
      <c r="L18378" s="2">
        <v>131</v>
      </c>
    </row>
    <row r="18379" spans="1:12" x14ac:dyDescent="0.25">
      <c r="A18379" s="4" t="str">
        <f>HYPERLINK("http://www.rosaceae.org/Prunus/Prunus_persica/p.persica_gdr_reftransV1_0022088","p.persica_gdr_reftransV1_0022088")</f>
        <v>p.persica_gdr_reftransV1_0022088</v>
      </c>
      <c r="B18379" s="2">
        <v>683</v>
      </c>
      <c r="C18379" s="4" t="str">
        <f>HYPERLINK("http://www.uniprot.org/uniprot/K4C167","K4C167")</f>
        <v>K4C167</v>
      </c>
      <c r="D18379" s="2" t="s">
        <v>14240</v>
      </c>
      <c r="E18379" s="3">
        <v>2.57E-14</v>
      </c>
      <c r="F18379" s="2">
        <v>200</v>
      </c>
      <c r="G18379" s="2">
        <v>35</v>
      </c>
      <c r="H18379" s="2">
        <v>151</v>
      </c>
      <c r="I18379" s="2">
        <v>238</v>
      </c>
      <c r="J18379" s="2">
        <v>654</v>
      </c>
      <c r="K18379" s="2">
        <v>101</v>
      </c>
      <c r="L18379" s="2">
        <v>246</v>
      </c>
    </row>
    <row r="18380" spans="1:12" x14ac:dyDescent="0.25">
      <c r="A18380" s="4" t="str">
        <f>HYPERLINK("http://www.rosaceae.org/Prunus/Prunus_persica/p.persica_gdr_reftransV1_0023838","p.persica_gdr_reftransV1_0023838")</f>
        <v>p.persica_gdr_reftransV1_0023838</v>
      </c>
      <c r="B18380" s="2">
        <v>1454</v>
      </c>
      <c r="C18380" s="4" t="str">
        <f>HYPERLINK("http://www.uniprot.org/uniprot/M5XMN9","M5XMN9")</f>
        <v>M5XMN9</v>
      </c>
      <c r="D18380" s="2" t="s">
        <v>14241</v>
      </c>
      <c r="E18380" s="3">
        <v>0</v>
      </c>
      <c r="F18380" s="2">
        <v>1369</v>
      </c>
      <c r="G18380" s="2">
        <v>100</v>
      </c>
      <c r="H18380" s="2">
        <v>257</v>
      </c>
      <c r="I18380" s="2">
        <v>376</v>
      </c>
      <c r="J18380" s="2">
        <v>1146</v>
      </c>
      <c r="K18380" s="2">
        <v>1</v>
      </c>
      <c r="L18380" s="2">
        <v>257</v>
      </c>
    </row>
    <row r="18381" spans="1:12" x14ac:dyDescent="0.25">
      <c r="A18381" s="4" t="str">
        <f>HYPERLINK("http://www.rosaceae.org/Prunus/Prunus_persica/p.persica_gdr_reftransV1_0024188","p.persica_gdr_reftransV1_0024188")</f>
        <v>p.persica_gdr_reftransV1_0024188</v>
      </c>
      <c r="B18381" s="2">
        <v>512</v>
      </c>
      <c r="C18381" s="4" t="str">
        <f>HYPERLINK("http://www.uniprot.org/uniprot/M5XCL3","M5XCL3")</f>
        <v>M5XCL3</v>
      </c>
      <c r="D18381" s="2" t="s">
        <v>6777</v>
      </c>
      <c r="E18381" s="3">
        <v>5.9399999999999996E-118</v>
      </c>
      <c r="F18381" s="2">
        <v>908</v>
      </c>
      <c r="G18381" s="2">
        <v>100</v>
      </c>
      <c r="H18381" s="2">
        <v>170</v>
      </c>
      <c r="I18381" s="2">
        <v>3</v>
      </c>
      <c r="J18381" s="2">
        <v>512</v>
      </c>
      <c r="K18381" s="2">
        <v>6</v>
      </c>
      <c r="L18381" s="2">
        <v>175</v>
      </c>
    </row>
    <row r="18382" spans="1:12" x14ac:dyDescent="0.25">
      <c r="A18382" s="4" t="str">
        <f>HYPERLINK("http://www.rosaceae.org/Prunus/Prunus_persica/p.persica_gdr_reftransV1_0024888","p.persica_gdr_reftransV1_0024888")</f>
        <v>p.persica_gdr_reftransV1_0024888</v>
      </c>
      <c r="B18382" s="2">
        <v>919</v>
      </c>
      <c r="C18382" s="4" t="str">
        <f>HYPERLINK("http://www.uniprot.org/uniprot/M5W1V7","M5W1V7")</f>
        <v>M5W1V7</v>
      </c>
      <c r="D18382" s="2" t="s">
        <v>1537</v>
      </c>
      <c r="E18382" s="3">
        <v>5.5500000000000004E-97</v>
      </c>
      <c r="F18382" s="2">
        <v>809</v>
      </c>
      <c r="G18382" s="2">
        <v>86</v>
      </c>
      <c r="H18382" s="2">
        <v>185</v>
      </c>
      <c r="I18382" s="2">
        <v>2</v>
      </c>
      <c r="J18382" s="2">
        <v>547</v>
      </c>
      <c r="K18382" s="2">
        <v>382</v>
      </c>
      <c r="L18382" s="2">
        <v>551</v>
      </c>
    </row>
    <row r="18383" spans="1:12" x14ac:dyDescent="0.25">
      <c r="A18383" s="4" t="str">
        <f>HYPERLINK("http://www.rosaceae.org/Prunus/Prunus_persica/p.persica_gdr_reftransV1_0025238","p.persica_gdr_reftransV1_0025238")</f>
        <v>p.persica_gdr_reftransV1_0025238</v>
      </c>
      <c r="B18383" s="2">
        <v>1481</v>
      </c>
      <c r="C18383" s="4" t="str">
        <f>HYPERLINK("http://www.uniprot.org/uniprot/M5W5W7","M5W5W7")</f>
        <v>M5W5W7</v>
      </c>
      <c r="D18383" s="2" t="s">
        <v>8629</v>
      </c>
      <c r="E18383" s="3">
        <v>0</v>
      </c>
      <c r="F18383" s="2">
        <v>2365</v>
      </c>
      <c r="G18383" s="2">
        <v>100</v>
      </c>
      <c r="H18383" s="2">
        <v>447</v>
      </c>
      <c r="I18383" s="2">
        <v>139</v>
      </c>
      <c r="J18383" s="2">
        <v>1479</v>
      </c>
      <c r="K18383" s="2">
        <v>607</v>
      </c>
      <c r="L18383" s="2">
        <v>1053</v>
      </c>
    </row>
    <row r="18384" spans="1:12" x14ac:dyDescent="0.25">
      <c r="A18384" s="4" t="str">
        <f>HYPERLINK("http://www.rosaceae.org/Prunus/Prunus_persica/p.persica_gdr_reftransV1_0027338","p.persica_gdr_reftransV1_0027338")</f>
        <v>p.persica_gdr_reftransV1_0027338</v>
      </c>
      <c r="B18384" s="2">
        <v>2192</v>
      </c>
      <c r="C18384" s="4" t="str">
        <f>HYPERLINK("http://www.uniprot.org/uniprot/M5VZK5","M5VZK5")</f>
        <v>M5VZK5</v>
      </c>
      <c r="D18384" s="2" t="s">
        <v>14242</v>
      </c>
      <c r="E18384" s="3">
        <v>1.1000000000000001E-74</v>
      </c>
      <c r="F18384" s="2">
        <v>648</v>
      </c>
      <c r="G18384" s="2">
        <v>95</v>
      </c>
      <c r="H18384" s="2">
        <v>136</v>
      </c>
      <c r="I18384" s="2">
        <v>1276</v>
      </c>
      <c r="J18384" s="2">
        <v>1683</v>
      </c>
      <c r="K18384" s="2">
        <v>136</v>
      </c>
      <c r="L18384" s="2">
        <v>271</v>
      </c>
    </row>
    <row r="18385" spans="1:12" x14ac:dyDescent="0.25">
      <c r="A18385" s="4" t="str">
        <f>HYPERLINK("http://www.rosaceae.org/Prunus/Prunus_persica/p.persica_gdr_reftransV1_0027688","p.persica_gdr_reftransV1_0027688")</f>
        <v>p.persica_gdr_reftransV1_0027688</v>
      </c>
      <c r="B18385" s="2">
        <v>1679</v>
      </c>
      <c r="C18385" s="4" t="str">
        <f>HYPERLINK("http://www.uniprot.org/uniprot/M5WIK4","M5WIK4")</f>
        <v>M5WIK4</v>
      </c>
      <c r="D18385" s="2" t="s">
        <v>7568</v>
      </c>
      <c r="E18385" s="3">
        <v>0</v>
      </c>
      <c r="F18385" s="2">
        <v>1715</v>
      </c>
      <c r="G18385" s="2">
        <v>97</v>
      </c>
      <c r="H18385" s="2">
        <v>354</v>
      </c>
      <c r="I18385" s="2">
        <v>263</v>
      </c>
      <c r="J18385" s="2">
        <v>1324</v>
      </c>
      <c r="K18385" s="2">
        <v>1</v>
      </c>
      <c r="L18385" s="2">
        <v>354</v>
      </c>
    </row>
    <row r="18386" spans="1:12" x14ac:dyDescent="0.25">
      <c r="A18386" s="4" t="str">
        <f>HYPERLINK("http://www.rosaceae.org/Prunus/Prunus_persica/p.persica_gdr_reftransV1_0028388","p.persica_gdr_reftransV1_0028388")</f>
        <v>p.persica_gdr_reftransV1_0028388</v>
      </c>
      <c r="B18386" s="2">
        <v>2084</v>
      </c>
      <c r="C18386" s="4" t="str">
        <f>HYPERLINK("http://www.uniprot.org/uniprot/M5XDZ8","M5XDZ8")</f>
        <v>M5XDZ8</v>
      </c>
      <c r="D18386" s="2" t="s">
        <v>14243</v>
      </c>
      <c r="E18386" s="3">
        <v>1.3500000000000001E-93</v>
      </c>
      <c r="F18386" s="2">
        <v>779</v>
      </c>
      <c r="G18386" s="2">
        <v>89</v>
      </c>
      <c r="H18386" s="2">
        <v>229</v>
      </c>
      <c r="I18386" s="2">
        <v>190</v>
      </c>
      <c r="J18386" s="2">
        <v>876</v>
      </c>
      <c r="K18386" s="2">
        <v>1</v>
      </c>
      <c r="L18386" s="2">
        <v>204</v>
      </c>
    </row>
    <row r="18387" spans="1:12" x14ac:dyDescent="0.25">
      <c r="A18387" s="4" t="str">
        <f>HYPERLINK("http://www.rosaceae.org/Prunus/Prunus_persica/p.persica_gdr_reftransV1_0029088","p.persica_gdr_reftransV1_0029088")</f>
        <v>p.persica_gdr_reftransV1_0029088</v>
      </c>
      <c r="B18387" s="2">
        <v>1623</v>
      </c>
      <c r="C18387" s="4" t="str">
        <f>HYPERLINK("http://www.uniprot.org/uniprot/M5W9T3","M5W9T3")</f>
        <v>M5W9T3</v>
      </c>
      <c r="D18387" s="2" t="s">
        <v>14244</v>
      </c>
      <c r="E18387" s="3">
        <v>1.4800000000000001E-53</v>
      </c>
      <c r="F18387" s="2">
        <v>340</v>
      </c>
      <c r="G18387" s="2">
        <v>70</v>
      </c>
      <c r="H18387" s="2">
        <v>134</v>
      </c>
      <c r="I18387" s="2">
        <v>1047</v>
      </c>
      <c r="J18387" s="2">
        <v>1439</v>
      </c>
      <c r="K18387" s="2">
        <v>405</v>
      </c>
      <c r="L18387" s="2">
        <v>537</v>
      </c>
    </row>
    <row r="18388" spans="1:12" x14ac:dyDescent="0.25">
      <c r="A18388" s="4" t="str">
        <f>HYPERLINK("http://www.rosaceae.org/Prunus/Prunus_persica/p.persica_gdr_reftransV1_0031538","p.persica_gdr_reftransV1_0031538")</f>
        <v>p.persica_gdr_reftransV1_0031538</v>
      </c>
      <c r="B18388" s="2">
        <v>3002</v>
      </c>
      <c r="C18388" s="4" t="str">
        <f>HYPERLINK("http://www.uniprot.org/uniprot/M5XS25","M5XS25")</f>
        <v>M5XS25</v>
      </c>
      <c r="D18388" s="2" t="s">
        <v>2006</v>
      </c>
      <c r="E18388" s="3">
        <v>0</v>
      </c>
      <c r="F18388" s="2">
        <v>1573</v>
      </c>
      <c r="G18388" s="2">
        <v>100</v>
      </c>
      <c r="H18388" s="2">
        <v>297</v>
      </c>
      <c r="I18388" s="2">
        <v>452</v>
      </c>
      <c r="J18388" s="2">
        <v>1342</v>
      </c>
      <c r="K18388" s="2">
        <v>1</v>
      </c>
      <c r="L18388" s="2">
        <v>297</v>
      </c>
    </row>
    <row r="18389" spans="1:12" x14ac:dyDescent="0.25">
      <c r="A18389" s="4" t="str">
        <f>HYPERLINK("http://www.rosaceae.org/Prunus/Prunus_persica/p.persica_gdr_reftransV1_0031888","p.persica_gdr_reftransV1_0031888")</f>
        <v>p.persica_gdr_reftransV1_0031888</v>
      </c>
      <c r="B18389" s="2">
        <v>7497</v>
      </c>
      <c r="C18389" s="4" t="str">
        <f>HYPERLINK("http://www.uniprot.org/uniprot/M5VT66","M5VT66")</f>
        <v>M5VT66</v>
      </c>
      <c r="D18389" s="2" t="s">
        <v>14245</v>
      </c>
      <c r="E18389" s="3">
        <v>0</v>
      </c>
      <c r="F18389" s="2">
        <v>6695</v>
      </c>
      <c r="G18389" s="2">
        <v>100</v>
      </c>
      <c r="H18389" s="2">
        <v>1292</v>
      </c>
      <c r="I18389" s="2">
        <v>1702</v>
      </c>
      <c r="J18389" s="2">
        <v>5577</v>
      </c>
      <c r="K18389" s="2">
        <v>552</v>
      </c>
      <c r="L18389" s="2">
        <v>1843</v>
      </c>
    </row>
    <row r="18390" spans="1:12" x14ac:dyDescent="0.25">
      <c r="A18390" s="4" t="str">
        <f>HYPERLINK("http://www.rosaceae.org/Prunus/Prunus_persica/p.persica_gdr_reftransV1_0035738","p.persica_gdr_reftransV1_0035738")</f>
        <v>p.persica_gdr_reftransV1_0035738</v>
      </c>
      <c r="B18390" s="2">
        <v>2393</v>
      </c>
      <c r="C18390" s="4" t="str">
        <f>HYPERLINK("http://www.uniprot.org/uniprot/M5Y597","M5Y597")</f>
        <v>M5Y597</v>
      </c>
      <c r="D18390" s="2" t="s">
        <v>14246</v>
      </c>
      <c r="E18390" s="3">
        <v>3.41E-137</v>
      </c>
      <c r="F18390" s="2">
        <v>1069</v>
      </c>
      <c r="G18390" s="2">
        <v>100</v>
      </c>
      <c r="H18390" s="2">
        <v>200</v>
      </c>
      <c r="I18390" s="2">
        <v>15</v>
      </c>
      <c r="J18390" s="2">
        <v>614</v>
      </c>
      <c r="K18390" s="2">
        <v>1</v>
      </c>
      <c r="L18390" s="2">
        <v>200</v>
      </c>
    </row>
    <row r="18391" spans="1:12" x14ac:dyDescent="0.25">
      <c r="A18391" s="4" t="str">
        <f>HYPERLINK("http://www.rosaceae.org/Prunus/Prunus_persica/p.persica_gdr_reftransV1_0037138","p.persica_gdr_reftransV1_0037138")</f>
        <v>p.persica_gdr_reftransV1_0037138</v>
      </c>
      <c r="B18391" s="2">
        <v>2025</v>
      </c>
      <c r="C18391" s="4" t="str">
        <f>HYPERLINK("http://www.uniprot.org/uniprot/M5VMU1","M5VMU1")</f>
        <v>M5VMU1</v>
      </c>
      <c r="D18391" s="2" t="s">
        <v>14247</v>
      </c>
      <c r="E18391" s="3">
        <v>0</v>
      </c>
      <c r="F18391" s="2">
        <v>1021</v>
      </c>
      <c r="G18391" s="2">
        <v>100</v>
      </c>
      <c r="H18391" s="2">
        <v>233</v>
      </c>
      <c r="I18391" s="2">
        <v>1062</v>
      </c>
      <c r="J18391" s="2">
        <v>1760</v>
      </c>
      <c r="K18391" s="2">
        <v>1</v>
      </c>
      <c r="L18391" s="2">
        <v>233</v>
      </c>
    </row>
    <row r="18392" spans="1:12" x14ac:dyDescent="0.25">
      <c r="A18392" s="4" t="str">
        <f>HYPERLINK("http://www.rosaceae.org/Prunus/Prunus_persica/p.persica_gdr_reftransV1_0037488","p.persica_gdr_reftransV1_0037488")</f>
        <v>p.persica_gdr_reftransV1_0037488</v>
      </c>
      <c r="B18392" s="2">
        <v>5094</v>
      </c>
      <c r="C18392" s="4" t="str">
        <f>HYPERLINK("http://www.uniprot.org/uniprot/M5Y417","M5Y417")</f>
        <v>M5Y417</v>
      </c>
      <c r="D18392" s="2" t="s">
        <v>8043</v>
      </c>
      <c r="E18392" s="3">
        <v>0</v>
      </c>
      <c r="F18392" s="2">
        <v>4152</v>
      </c>
      <c r="G18392" s="2">
        <v>100</v>
      </c>
      <c r="H18392" s="2">
        <v>806</v>
      </c>
      <c r="I18392" s="2">
        <v>2675</v>
      </c>
      <c r="J18392" s="2">
        <v>5092</v>
      </c>
      <c r="K18392" s="2">
        <v>106</v>
      </c>
      <c r="L18392" s="2">
        <v>911</v>
      </c>
    </row>
    <row r="18393" spans="1:12" x14ac:dyDescent="0.25">
      <c r="A18393" s="4" t="str">
        <f>HYPERLINK("http://www.rosaceae.org/Prunus/Prunus_persica/p.persica_gdr_reftransV1_0038538","p.persica_gdr_reftransV1_0038538")</f>
        <v>p.persica_gdr_reftransV1_0038538</v>
      </c>
      <c r="B18393" s="2">
        <v>1360</v>
      </c>
      <c r="C18393" s="4" t="str">
        <f>HYPERLINK("http://www.uniprot.org/uniprot/M5WBY7","M5WBY7")</f>
        <v>M5WBY7</v>
      </c>
      <c r="D18393" s="2" t="s">
        <v>14248</v>
      </c>
      <c r="E18393" s="3">
        <v>5.7899999999999999E-68</v>
      </c>
      <c r="F18393" s="2">
        <v>582</v>
      </c>
      <c r="G18393" s="2">
        <v>100</v>
      </c>
      <c r="H18393" s="2">
        <v>132</v>
      </c>
      <c r="I18393" s="2">
        <v>169</v>
      </c>
      <c r="J18393" s="2">
        <v>564</v>
      </c>
      <c r="K18393" s="2">
        <v>1</v>
      </c>
      <c r="L18393" s="2">
        <v>132</v>
      </c>
    </row>
    <row r="18394" spans="1:12" x14ac:dyDescent="0.25">
      <c r="A18394" s="4" t="str">
        <f>HYPERLINK("http://www.rosaceae.org/Prunus/Prunus_persica/p.persica_gdr_reftransV1_0040988","p.persica_gdr_reftransV1_0040988")</f>
        <v>p.persica_gdr_reftransV1_0040988</v>
      </c>
      <c r="B18394" s="2">
        <v>1969</v>
      </c>
      <c r="C18394" s="4" t="str">
        <f>HYPERLINK("http://www.uniprot.org/uniprot/M5WHV5","M5WHV5")</f>
        <v>M5WHV5</v>
      </c>
      <c r="D18394" s="2" t="s">
        <v>14171</v>
      </c>
      <c r="E18394" s="3">
        <v>9.1499999999999998E-42</v>
      </c>
      <c r="F18394" s="2">
        <v>400</v>
      </c>
      <c r="G18394" s="2">
        <v>100</v>
      </c>
      <c r="H18394" s="2">
        <v>76</v>
      </c>
      <c r="I18394" s="2">
        <v>299</v>
      </c>
      <c r="J18394" s="2">
        <v>526</v>
      </c>
      <c r="K18394" s="2">
        <v>78</v>
      </c>
      <c r="L18394" s="2">
        <v>153</v>
      </c>
    </row>
    <row r="18395" spans="1:12" x14ac:dyDescent="0.25">
      <c r="A18395" s="4" t="str">
        <f>HYPERLINK("http://www.rosaceae.org/Prunus/Prunus_persica/p.persica_gdr_reftransV1_0041688","p.persica_gdr_reftransV1_0041688")</f>
        <v>p.persica_gdr_reftransV1_0041688</v>
      </c>
      <c r="B18395" s="2">
        <v>1955</v>
      </c>
      <c r="C18395" s="4" t="str">
        <f>HYPERLINK("http://www.uniprot.org/uniprot/M5XK91","M5XK91")</f>
        <v>M5XK91</v>
      </c>
      <c r="D18395" s="2" t="s">
        <v>14249</v>
      </c>
      <c r="E18395" s="3">
        <v>3.1799999999999998E-118</v>
      </c>
      <c r="F18395" s="2">
        <v>945</v>
      </c>
      <c r="G18395" s="2">
        <v>100</v>
      </c>
      <c r="H18395" s="2">
        <v>179</v>
      </c>
      <c r="I18395" s="2">
        <v>881</v>
      </c>
      <c r="J18395" s="2">
        <v>1417</v>
      </c>
      <c r="K18395" s="2">
        <v>38</v>
      </c>
      <c r="L18395" s="2">
        <v>216</v>
      </c>
    </row>
    <row r="18396" spans="1:12" x14ac:dyDescent="0.25">
      <c r="A18396" s="4" t="str">
        <f>HYPERLINK("http://www.rosaceae.org/Prunus/Prunus_persica/p.persica_gdr_reftransV1_0042738","p.persica_gdr_reftransV1_0042738")</f>
        <v>p.persica_gdr_reftransV1_0042738</v>
      </c>
      <c r="B18396" s="2">
        <v>2194</v>
      </c>
      <c r="C18396" s="4" t="str">
        <f>HYPERLINK("http://www.uniprot.org/uniprot/M5W990","M5W990")</f>
        <v>M5W990</v>
      </c>
      <c r="D18396" s="2" t="s">
        <v>5464</v>
      </c>
      <c r="E18396" s="3">
        <v>0</v>
      </c>
      <c r="F18396" s="2">
        <v>1955</v>
      </c>
      <c r="G18396" s="2">
        <v>100</v>
      </c>
      <c r="H18396" s="2">
        <v>380</v>
      </c>
      <c r="I18396" s="2">
        <v>843</v>
      </c>
      <c r="J18396" s="2">
        <v>1982</v>
      </c>
      <c r="K18396" s="2">
        <v>30</v>
      </c>
      <c r="L18396" s="2">
        <v>409</v>
      </c>
    </row>
    <row r="18397" spans="1:12" x14ac:dyDescent="0.25">
      <c r="A18397" s="4" t="str">
        <f>HYPERLINK("http://www.rosaceae.org/Prunus/Prunus_persica/p.persica_gdr_reftransV1_0043088","p.persica_gdr_reftransV1_0043088")</f>
        <v>p.persica_gdr_reftransV1_0043088</v>
      </c>
      <c r="B18397" s="2">
        <v>422</v>
      </c>
      <c r="C18397" s="4" t="str">
        <f>HYPERLINK("http://www.uniprot.org/uniprot/M5X3V2","M5X3V2")</f>
        <v>M5X3V2</v>
      </c>
      <c r="D18397" s="2" t="s">
        <v>14210</v>
      </c>
      <c r="E18397" s="3">
        <v>5.7600000000000003E-94</v>
      </c>
      <c r="F18397" s="2">
        <v>740</v>
      </c>
      <c r="G18397" s="2">
        <v>100</v>
      </c>
      <c r="H18397" s="2">
        <v>140</v>
      </c>
      <c r="I18397" s="2">
        <v>2</v>
      </c>
      <c r="J18397" s="2">
        <v>421</v>
      </c>
      <c r="K18397" s="2">
        <v>267</v>
      </c>
      <c r="L18397" s="2">
        <v>406</v>
      </c>
    </row>
    <row r="18398" spans="1:12" x14ac:dyDescent="0.25">
      <c r="A18398" s="4" t="str">
        <f>HYPERLINK("http://www.rosaceae.org/Prunus/Prunus_persica/p.persica_gdr_reftransV1_0043438","p.persica_gdr_reftransV1_0043438")</f>
        <v>p.persica_gdr_reftransV1_0043438</v>
      </c>
      <c r="B18398" s="2">
        <v>340</v>
      </c>
      <c r="C18398" s="4" t="str">
        <f>HYPERLINK("http://www.uniprot.org/uniprot/M5XQ79","M5XQ79")</f>
        <v>M5XQ79</v>
      </c>
      <c r="D18398" s="2" t="s">
        <v>14250</v>
      </c>
      <c r="E18398" s="3">
        <v>2.6599999999999999E-68</v>
      </c>
      <c r="F18398" s="2">
        <v>545</v>
      </c>
      <c r="G18398" s="2">
        <v>100</v>
      </c>
      <c r="H18398" s="2">
        <v>106</v>
      </c>
      <c r="I18398" s="2">
        <v>22</v>
      </c>
      <c r="J18398" s="2">
        <v>339</v>
      </c>
      <c r="K18398" s="2">
        <v>1</v>
      </c>
      <c r="L18398" s="2">
        <v>106</v>
      </c>
    </row>
    <row r="18399" spans="1:12" x14ac:dyDescent="0.25">
      <c r="A18399" s="4" t="str">
        <f>HYPERLINK("http://www.rosaceae.org/Prunus/Prunus_persica/p.persica_gdr_reftransV1_0043788","p.persica_gdr_reftransV1_0043788")</f>
        <v>p.persica_gdr_reftransV1_0043788</v>
      </c>
      <c r="B18399" s="2">
        <v>1317</v>
      </c>
      <c r="C18399" s="4" t="str">
        <f>HYPERLINK("http://www.uniprot.org/uniprot/M5VP80","M5VP80")</f>
        <v>M5VP80</v>
      </c>
      <c r="D18399" s="2" t="s">
        <v>2109</v>
      </c>
      <c r="E18399" s="3">
        <v>0</v>
      </c>
      <c r="F18399" s="2">
        <v>1460</v>
      </c>
      <c r="G18399" s="2">
        <v>100</v>
      </c>
      <c r="H18399" s="2">
        <v>293</v>
      </c>
      <c r="I18399" s="2">
        <v>70</v>
      </c>
      <c r="J18399" s="2">
        <v>948</v>
      </c>
      <c r="K18399" s="2">
        <v>5</v>
      </c>
      <c r="L18399" s="2">
        <v>297</v>
      </c>
    </row>
    <row r="18400" spans="1:12" x14ac:dyDescent="0.25">
      <c r="A18400" s="4" t="str">
        <f>HYPERLINK("http://www.rosaceae.org/Prunus/Prunus_persica/p.persica_gdr_reftransV1_0044138","p.persica_gdr_reftransV1_0044138")</f>
        <v>p.persica_gdr_reftransV1_0044138</v>
      </c>
      <c r="B18400" s="2">
        <v>563</v>
      </c>
      <c r="C18400" s="4" t="str">
        <f>HYPERLINK("http://www.uniprot.org/uniprot/M5XNC6","M5XNC6")</f>
        <v>M5XNC6</v>
      </c>
      <c r="D18400" s="2" t="s">
        <v>14251</v>
      </c>
      <c r="E18400" s="3">
        <v>7.9499999999999995E-108</v>
      </c>
      <c r="F18400" s="2">
        <v>837</v>
      </c>
      <c r="G18400" s="2">
        <v>100</v>
      </c>
      <c r="H18400" s="2">
        <v>156</v>
      </c>
      <c r="I18400" s="2">
        <v>1</v>
      </c>
      <c r="J18400" s="2">
        <v>468</v>
      </c>
      <c r="K18400" s="2">
        <v>262</v>
      </c>
      <c r="L18400" s="2">
        <v>417</v>
      </c>
    </row>
    <row r="18401" spans="1:12" x14ac:dyDescent="0.25">
      <c r="A18401" s="4" t="str">
        <f>HYPERLINK("http://www.rosaceae.org/Prunus/Prunus_persica/p.persica_gdr_reftransV1_0044488","p.persica_gdr_reftransV1_0044488")</f>
        <v>p.persica_gdr_reftransV1_0044488</v>
      </c>
      <c r="B18401" s="2">
        <v>661</v>
      </c>
      <c r="C18401" s="4" t="str">
        <f>HYPERLINK("http://www.uniprot.org/uniprot/M5WFR1","M5WFR1")</f>
        <v>M5WFR1</v>
      </c>
      <c r="D18401" s="2" t="s">
        <v>14252</v>
      </c>
      <c r="E18401" s="3">
        <v>8.9899999999999994E-139</v>
      </c>
      <c r="F18401" s="2">
        <v>1075</v>
      </c>
      <c r="G18401" s="2">
        <v>94</v>
      </c>
      <c r="H18401" s="2">
        <v>220</v>
      </c>
      <c r="I18401" s="2">
        <v>1</v>
      </c>
      <c r="J18401" s="2">
        <v>660</v>
      </c>
      <c r="K18401" s="2">
        <v>444</v>
      </c>
      <c r="L18401" s="2">
        <v>651</v>
      </c>
    </row>
    <row r="18402" spans="1:12" x14ac:dyDescent="0.25">
      <c r="A18402" s="4" t="str">
        <f>HYPERLINK("http://www.rosaceae.org/Prunus/Prunus_persica/p.persica_gdr_reftransV1_0044838","p.persica_gdr_reftransV1_0044838")</f>
        <v>p.persica_gdr_reftransV1_0044838</v>
      </c>
      <c r="B18402" s="2">
        <v>438</v>
      </c>
      <c r="C18402" s="4" t="str">
        <f>HYPERLINK("http://www.uniprot.org/uniprot/M5X9N2","M5X9N2")</f>
        <v>M5X9N2</v>
      </c>
      <c r="D18402" s="2" t="s">
        <v>143</v>
      </c>
      <c r="E18402" s="3">
        <v>5.1100000000000002E-64</v>
      </c>
      <c r="F18402" s="2">
        <v>564</v>
      </c>
      <c r="G18402" s="2">
        <v>99</v>
      </c>
      <c r="H18402" s="2">
        <v>145</v>
      </c>
      <c r="I18402" s="2">
        <v>3</v>
      </c>
      <c r="J18402" s="2">
        <v>437</v>
      </c>
      <c r="K18402" s="2">
        <v>37</v>
      </c>
      <c r="L18402" s="2">
        <v>180</v>
      </c>
    </row>
    <row r="18403" spans="1:12" x14ac:dyDescent="0.25">
      <c r="A18403" s="4" t="str">
        <f>HYPERLINK("http://www.rosaceae.org/Prunus/Prunus_persica/p.persica_gdr_reftransV1_0045188","p.persica_gdr_reftransV1_0045188")</f>
        <v>p.persica_gdr_reftransV1_0045188</v>
      </c>
      <c r="B18403" s="2">
        <v>309</v>
      </c>
      <c r="C18403" s="4" t="str">
        <f>HYPERLINK("http://www.uniprot.org/uniprot/A0A078CAC7","A0A078CAC7")</f>
        <v>A0A078CAC7</v>
      </c>
      <c r="D18403" s="2" t="s">
        <v>14253</v>
      </c>
      <c r="E18403" s="3">
        <v>4.8000000000000002E-11</v>
      </c>
      <c r="F18403" s="2">
        <v>165</v>
      </c>
      <c r="G18403" s="2">
        <v>56</v>
      </c>
      <c r="H18403" s="2">
        <v>57</v>
      </c>
      <c r="I18403" s="2">
        <v>17</v>
      </c>
      <c r="J18403" s="2">
        <v>187</v>
      </c>
      <c r="K18403" s="2">
        <v>203</v>
      </c>
      <c r="L18403" s="2">
        <v>259</v>
      </c>
    </row>
    <row r="18404" spans="1:12" x14ac:dyDescent="0.25">
      <c r="A18404" s="4" t="str">
        <f>HYPERLINK("http://www.rosaceae.org/Prunus/Prunus_persica/p.persica_gdr_reftransV1_0045538","p.persica_gdr_reftransV1_0045538")</f>
        <v>p.persica_gdr_reftransV1_0045538</v>
      </c>
      <c r="B18404" s="2">
        <v>658</v>
      </c>
      <c r="C18404" s="4" t="str">
        <f>HYPERLINK("http://www.uniprot.org/uniprot/M5XFZ6","M5XFZ6")</f>
        <v>M5XFZ6</v>
      </c>
      <c r="D18404" s="2" t="s">
        <v>14254</v>
      </c>
      <c r="E18404" s="3">
        <v>2.7600000000000001E-99</v>
      </c>
      <c r="F18404" s="2">
        <v>760</v>
      </c>
      <c r="G18404" s="2">
        <v>100</v>
      </c>
      <c r="H18404" s="2">
        <v>144</v>
      </c>
      <c r="I18404" s="2">
        <v>204</v>
      </c>
      <c r="J18404" s="2">
        <v>635</v>
      </c>
      <c r="K18404" s="2">
        <v>16</v>
      </c>
      <c r="L18404" s="2">
        <v>159</v>
      </c>
    </row>
    <row r="18405" spans="1:12" x14ac:dyDescent="0.25">
      <c r="A18405" s="4" t="str">
        <f>HYPERLINK("http://www.rosaceae.org/Prunus/Prunus_persica/p.persica_gdr_reftransV1_0045888","p.persica_gdr_reftransV1_0045888")</f>
        <v>p.persica_gdr_reftransV1_0045888</v>
      </c>
      <c r="B18405" s="2">
        <v>1071</v>
      </c>
      <c r="C18405" s="4" t="str">
        <f>HYPERLINK("http://www.uniprot.org/uniprot/M5XCS1","M5XCS1")</f>
        <v>M5XCS1</v>
      </c>
      <c r="D18405" s="2" t="s">
        <v>3692</v>
      </c>
      <c r="E18405" s="3">
        <v>0</v>
      </c>
      <c r="F18405" s="2">
        <v>1358</v>
      </c>
      <c r="G18405" s="2">
        <v>100</v>
      </c>
      <c r="H18405" s="2">
        <v>317</v>
      </c>
      <c r="I18405" s="2">
        <v>10</v>
      </c>
      <c r="J18405" s="2">
        <v>960</v>
      </c>
      <c r="K18405" s="2">
        <v>1</v>
      </c>
      <c r="L18405" s="2">
        <v>317</v>
      </c>
    </row>
    <row r="18406" spans="1:12" x14ac:dyDescent="0.25">
      <c r="A18406" s="4" t="str">
        <f>HYPERLINK("http://www.rosaceae.org/Prunus/Prunus_persica/p.persica_gdr_reftransV1_0046238","p.persica_gdr_reftransV1_0046238")</f>
        <v>p.persica_gdr_reftransV1_0046238</v>
      </c>
      <c r="B18406" s="2">
        <v>359</v>
      </c>
      <c r="C18406" s="4" t="str">
        <f>HYPERLINK("http://www.uniprot.org/uniprot/M5WPB8","M5WPB8")</f>
        <v>M5WPB8</v>
      </c>
      <c r="D18406" s="2" t="s">
        <v>12372</v>
      </c>
      <c r="E18406" s="3">
        <v>5.7899999999999999E-68</v>
      </c>
      <c r="F18406" s="2">
        <v>595</v>
      </c>
      <c r="G18406" s="2">
        <v>92</v>
      </c>
      <c r="H18406" s="2">
        <v>119</v>
      </c>
      <c r="I18406" s="2">
        <v>1</v>
      </c>
      <c r="J18406" s="2">
        <v>351</v>
      </c>
      <c r="K18406" s="2">
        <v>966</v>
      </c>
      <c r="L18406" s="2">
        <v>1084</v>
      </c>
    </row>
    <row r="18407" spans="1:12" x14ac:dyDescent="0.25">
      <c r="A18407" s="4" t="str">
        <f>HYPERLINK("http://www.rosaceae.org/Prunus/Prunus_persica/p.persica_gdr_reftransV1_0046588","p.persica_gdr_reftransV1_0046588")</f>
        <v>p.persica_gdr_reftransV1_0046588</v>
      </c>
      <c r="B18407" s="2">
        <v>393</v>
      </c>
      <c r="C18407" s="4" t="str">
        <f>HYPERLINK("http://www.uniprot.org/uniprot/M5XLJ7","M5XLJ7")</f>
        <v>M5XLJ7</v>
      </c>
      <c r="D18407" s="2" t="s">
        <v>1624</v>
      </c>
      <c r="E18407" s="3">
        <v>1.5900000000000001E-23</v>
      </c>
      <c r="F18407" s="2">
        <v>264</v>
      </c>
      <c r="G18407" s="2">
        <v>100</v>
      </c>
      <c r="H18407" s="2">
        <v>63</v>
      </c>
      <c r="I18407" s="2">
        <v>204</v>
      </c>
      <c r="J18407" s="2">
        <v>392</v>
      </c>
      <c r="K18407" s="2">
        <v>1</v>
      </c>
      <c r="L18407" s="2">
        <v>63</v>
      </c>
    </row>
    <row r="18408" spans="1:12" x14ac:dyDescent="0.25">
      <c r="A18408" s="4" t="str">
        <f>HYPERLINK("http://www.rosaceae.org/Prunus/Prunus_persica/p.persica_gdr_reftransV1_0046938","p.persica_gdr_reftransV1_0046938")</f>
        <v>p.persica_gdr_reftransV1_0046938</v>
      </c>
      <c r="B18408" s="2">
        <v>533</v>
      </c>
      <c r="C18408" s="4" t="str">
        <f>HYPERLINK("http://www.uniprot.org/uniprot/M5X2J1","M5X2J1")</f>
        <v>M5X2J1</v>
      </c>
      <c r="D18408" s="2" t="s">
        <v>7751</v>
      </c>
      <c r="E18408" s="3">
        <v>1.42E-67</v>
      </c>
      <c r="F18408" s="2">
        <v>547</v>
      </c>
      <c r="G18408" s="2">
        <v>99</v>
      </c>
      <c r="H18408" s="2">
        <v>112</v>
      </c>
      <c r="I18408" s="2">
        <v>2</v>
      </c>
      <c r="J18408" s="2">
        <v>337</v>
      </c>
      <c r="K18408" s="2">
        <v>8</v>
      </c>
      <c r="L18408" s="2">
        <v>119</v>
      </c>
    </row>
    <row r="18409" spans="1:12" x14ac:dyDescent="0.25">
      <c r="A18409" s="4" t="str">
        <f>HYPERLINK("http://www.rosaceae.org/Prunus/Prunus_persica/p.persica_gdr_reftransV1_0047288","p.persica_gdr_reftransV1_0047288")</f>
        <v>p.persica_gdr_reftransV1_0047288</v>
      </c>
      <c r="B18409" s="2">
        <v>1580</v>
      </c>
      <c r="C18409" s="4" t="str">
        <f>HYPERLINK("http://www.uniprot.org/uniprot/M5WXP5","M5WXP5")</f>
        <v>M5WXP5</v>
      </c>
      <c r="D18409" s="2" t="s">
        <v>6949</v>
      </c>
      <c r="E18409" s="3">
        <v>0</v>
      </c>
      <c r="F18409" s="2">
        <v>2159</v>
      </c>
      <c r="G18409" s="2">
        <v>96</v>
      </c>
      <c r="H18409" s="2">
        <v>413</v>
      </c>
      <c r="I18409" s="2">
        <v>144</v>
      </c>
      <c r="J18409" s="2">
        <v>1382</v>
      </c>
      <c r="K18409" s="2">
        <v>2</v>
      </c>
      <c r="L18409" s="2">
        <v>414</v>
      </c>
    </row>
    <row r="18410" spans="1:12" x14ac:dyDescent="0.25">
      <c r="A18410" s="4" t="str">
        <f>HYPERLINK("http://www.rosaceae.org/Prunus/Prunus_persica/p.persica_gdr_reftransV1_0047988","p.persica_gdr_reftransV1_0047988")</f>
        <v>p.persica_gdr_reftransV1_0047988</v>
      </c>
      <c r="B18410" s="2">
        <v>1122</v>
      </c>
      <c r="C18410" s="4" t="str">
        <f>HYPERLINK("http://www.uniprot.org/uniprot/M5XQU3","M5XQU3")</f>
        <v>M5XQU3</v>
      </c>
      <c r="D18410" s="2" t="s">
        <v>14255</v>
      </c>
      <c r="E18410" s="3">
        <v>1.1000000000000001E-86</v>
      </c>
      <c r="F18410" s="2">
        <v>725</v>
      </c>
      <c r="G18410" s="2">
        <v>65</v>
      </c>
      <c r="H18410" s="2">
        <v>278</v>
      </c>
      <c r="I18410" s="2">
        <v>315</v>
      </c>
      <c r="J18410" s="2">
        <v>1121</v>
      </c>
      <c r="K18410" s="2">
        <v>253</v>
      </c>
      <c r="L18410" s="2">
        <v>514</v>
      </c>
    </row>
    <row r="18411" spans="1:12" x14ac:dyDescent="0.25">
      <c r="A18411" s="4" t="str">
        <f>HYPERLINK("http://www.rosaceae.org/Prunus/Prunus_persica/p.persica_gdr_reftransV1_0048338","p.persica_gdr_reftransV1_0048338")</f>
        <v>p.persica_gdr_reftransV1_0048338</v>
      </c>
      <c r="B18411" s="2">
        <v>938</v>
      </c>
      <c r="C18411" s="4" t="str">
        <f>HYPERLINK("http://www.uniprot.org/uniprot/M5W184","M5W184")</f>
        <v>M5W184</v>
      </c>
      <c r="D18411" s="2" t="s">
        <v>14256</v>
      </c>
      <c r="E18411" s="3">
        <v>3.5900000000000001E-119</v>
      </c>
      <c r="F18411" s="2">
        <v>904</v>
      </c>
      <c r="G18411" s="2">
        <v>100</v>
      </c>
      <c r="H18411" s="2">
        <v>193</v>
      </c>
      <c r="I18411" s="2">
        <v>214</v>
      </c>
      <c r="J18411" s="2">
        <v>792</v>
      </c>
      <c r="K18411" s="2">
        <v>1</v>
      </c>
      <c r="L18411" s="2">
        <v>193</v>
      </c>
    </row>
    <row r="18412" spans="1:12" x14ac:dyDescent="0.25">
      <c r="A18412" s="4" t="str">
        <f>HYPERLINK("http://www.rosaceae.org/Prunus/Prunus_persica/p.persica_gdr_reftransV1_0048688","p.persica_gdr_reftransV1_0048688")</f>
        <v>p.persica_gdr_reftransV1_0048688</v>
      </c>
      <c r="B18412" s="2">
        <v>2334</v>
      </c>
      <c r="C18412" s="4" t="str">
        <f>HYPERLINK("http://www.uniprot.org/uniprot/A0A067JX13","A0A067JX13")</f>
        <v>A0A067JX13</v>
      </c>
      <c r="D18412" s="2" t="s">
        <v>14257</v>
      </c>
      <c r="E18412" s="3">
        <v>0</v>
      </c>
      <c r="F18412" s="2">
        <v>1826</v>
      </c>
      <c r="G18412" s="2">
        <v>76</v>
      </c>
      <c r="H18412" s="2">
        <v>468</v>
      </c>
      <c r="I18412" s="2">
        <v>347</v>
      </c>
      <c r="J18412" s="2">
        <v>1750</v>
      </c>
      <c r="K18412" s="2">
        <v>4</v>
      </c>
      <c r="L18412" s="2">
        <v>469</v>
      </c>
    </row>
    <row r="18413" spans="1:12" x14ac:dyDescent="0.25">
      <c r="A18413" s="4" t="str">
        <f>HYPERLINK("http://www.rosaceae.org/Prunus/Prunus_persica/p.persica_gdr_reftransV1_0049038","p.persica_gdr_reftransV1_0049038")</f>
        <v>p.persica_gdr_reftransV1_0049038</v>
      </c>
      <c r="B18413" s="2">
        <v>1221</v>
      </c>
      <c r="C18413" s="4" t="str">
        <f>HYPERLINK("http://www.uniprot.org/uniprot/M5WUN0","M5WUN0")</f>
        <v>M5WUN0</v>
      </c>
      <c r="D18413" s="2" t="s">
        <v>4888</v>
      </c>
      <c r="E18413" s="3">
        <v>0</v>
      </c>
      <c r="F18413" s="2">
        <v>1607</v>
      </c>
      <c r="G18413" s="2">
        <v>100</v>
      </c>
      <c r="H18413" s="2">
        <v>296</v>
      </c>
      <c r="I18413" s="2">
        <v>274</v>
      </c>
      <c r="J18413" s="2">
        <v>1161</v>
      </c>
      <c r="K18413" s="2">
        <v>1</v>
      </c>
      <c r="L18413" s="2">
        <v>296</v>
      </c>
    </row>
    <row r="18414" spans="1:12" x14ac:dyDescent="0.25">
      <c r="A18414" s="4" t="str">
        <f>HYPERLINK("http://www.rosaceae.org/Prunus/Prunus_persica/p.persica_gdr_reftransV1_0000039","p.persica_gdr_reftransV1_0000039")</f>
        <v>p.persica_gdr_reftransV1_0000039</v>
      </c>
      <c r="B18414" s="2">
        <v>2175</v>
      </c>
      <c r="C18414" s="4" t="str">
        <f>HYPERLINK("http://www.uniprot.org/uniprot/M5VQP0","M5VQP0")</f>
        <v>M5VQP0</v>
      </c>
      <c r="D18414" s="2" t="s">
        <v>3033</v>
      </c>
      <c r="E18414" s="3">
        <v>0</v>
      </c>
      <c r="F18414" s="2">
        <v>1505</v>
      </c>
      <c r="G18414" s="2">
        <v>100</v>
      </c>
      <c r="H18414" s="2">
        <v>279</v>
      </c>
      <c r="I18414" s="2">
        <v>1058</v>
      </c>
      <c r="J18414" s="2">
        <v>1894</v>
      </c>
      <c r="K18414" s="2">
        <v>1</v>
      </c>
      <c r="L18414" s="2">
        <v>279</v>
      </c>
    </row>
    <row r="18415" spans="1:12" x14ac:dyDescent="0.25">
      <c r="A18415" s="4" t="str">
        <f>HYPERLINK("http://www.rosaceae.org/Prunus/Prunus_persica/p.persica_gdr_reftransV1_0000389","p.persica_gdr_reftransV1_0000389")</f>
        <v>p.persica_gdr_reftransV1_0000389</v>
      </c>
      <c r="B18415" s="2">
        <v>2217</v>
      </c>
      <c r="C18415" s="4" t="str">
        <f>HYPERLINK("http://www.uniprot.org/uniprot/M5XAS9","M5XAS9")</f>
        <v>M5XAS9</v>
      </c>
      <c r="D18415" s="2" t="s">
        <v>12761</v>
      </c>
      <c r="E18415" s="3">
        <v>0</v>
      </c>
      <c r="F18415" s="2">
        <v>3198</v>
      </c>
      <c r="G18415" s="2">
        <v>100</v>
      </c>
      <c r="H18415" s="2">
        <v>621</v>
      </c>
      <c r="I18415" s="2">
        <v>145</v>
      </c>
      <c r="J18415" s="2">
        <v>2007</v>
      </c>
      <c r="K18415" s="2">
        <v>1</v>
      </c>
      <c r="L18415" s="2">
        <v>621</v>
      </c>
    </row>
    <row r="18416" spans="1:12" x14ac:dyDescent="0.25">
      <c r="A18416" s="4" t="str">
        <f>HYPERLINK("http://www.rosaceae.org/Prunus/Prunus_persica/p.persica_gdr_reftransV1_0000739","p.persica_gdr_reftransV1_0000739")</f>
        <v>p.persica_gdr_reftransV1_0000739</v>
      </c>
      <c r="B18416" s="2">
        <v>2559</v>
      </c>
      <c r="C18416" s="4" t="str">
        <f>HYPERLINK("http://www.uniprot.org/uniprot/M5WH92","M5WH92")</f>
        <v>M5WH92</v>
      </c>
      <c r="D18416" s="2" t="s">
        <v>14258</v>
      </c>
      <c r="E18416" s="3">
        <v>0</v>
      </c>
      <c r="F18416" s="2">
        <v>2338</v>
      </c>
      <c r="G18416" s="2">
        <v>100</v>
      </c>
      <c r="H18416" s="2">
        <v>486</v>
      </c>
      <c r="I18416" s="2">
        <v>685</v>
      </c>
      <c r="J18416" s="2">
        <v>2142</v>
      </c>
      <c r="K18416" s="2">
        <v>1</v>
      </c>
      <c r="L18416" s="2">
        <v>486</v>
      </c>
    </row>
    <row r="18417" spans="1:12" x14ac:dyDescent="0.25">
      <c r="A18417" s="4" t="str">
        <f>HYPERLINK("http://www.rosaceae.org/Prunus/Prunus_persica/p.persica_gdr_reftransV1_0001439","p.persica_gdr_reftransV1_0001439")</f>
        <v>p.persica_gdr_reftransV1_0001439</v>
      </c>
      <c r="B18417" s="2">
        <v>1506</v>
      </c>
      <c r="C18417" s="4" t="str">
        <f>HYPERLINK("http://www.uniprot.org/uniprot/M5XCD0","M5XCD0")</f>
        <v>M5XCD0</v>
      </c>
      <c r="D18417" s="2" t="s">
        <v>2038</v>
      </c>
      <c r="E18417" s="3">
        <v>0</v>
      </c>
      <c r="F18417" s="2">
        <v>1535</v>
      </c>
      <c r="G18417" s="2">
        <v>100</v>
      </c>
      <c r="H18417" s="2">
        <v>354</v>
      </c>
      <c r="I18417" s="2">
        <v>158</v>
      </c>
      <c r="J18417" s="2">
        <v>1219</v>
      </c>
      <c r="K18417" s="2">
        <v>1</v>
      </c>
      <c r="L18417" s="2">
        <v>354</v>
      </c>
    </row>
    <row r="18418" spans="1:12" x14ac:dyDescent="0.25">
      <c r="A18418" s="4" t="str">
        <f>HYPERLINK("http://www.rosaceae.org/Prunus/Prunus_persica/p.persica_gdr_reftransV1_0001789","p.persica_gdr_reftransV1_0001789")</f>
        <v>p.persica_gdr_reftransV1_0001789</v>
      </c>
      <c r="B18418" s="2">
        <v>345</v>
      </c>
      <c r="C18418" s="4" t="str">
        <f>HYPERLINK("http://www.uniprot.org/uniprot/M5WN57","M5WN57")</f>
        <v>M5WN57</v>
      </c>
      <c r="D18418" s="2" t="s">
        <v>1334</v>
      </c>
      <c r="E18418" s="3">
        <v>7.5899999999999994E-67</v>
      </c>
      <c r="F18418" s="2">
        <v>577</v>
      </c>
      <c r="G18418" s="2">
        <v>100</v>
      </c>
      <c r="H18418" s="2">
        <v>114</v>
      </c>
      <c r="I18418" s="2">
        <v>3</v>
      </c>
      <c r="J18418" s="2">
        <v>344</v>
      </c>
      <c r="K18418" s="2">
        <v>235</v>
      </c>
      <c r="L18418" s="2">
        <v>348</v>
      </c>
    </row>
    <row r="18419" spans="1:12" x14ac:dyDescent="0.25">
      <c r="A18419" s="4" t="str">
        <f>HYPERLINK("http://www.rosaceae.org/Prunus/Prunus_persica/p.persica_gdr_reftransV1_0002139","p.persica_gdr_reftransV1_0002139")</f>
        <v>p.persica_gdr_reftransV1_0002139</v>
      </c>
      <c r="B18419" s="2">
        <v>1246</v>
      </c>
      <c r="C18419" s="4" t="str">
        <f>HYPERLINK("http://www.uniprot.org/uniprot/M5W3J3","M5W3J3")</f>
        <v>M5W3J3</v>
      </c>
      <c r="D18419" s="2" t="s">
        <v>1761</v>
      </c>
      <c r="E18419" s="3">
        <v>0</v>
      </c>
      <c r="F18419" s="2">
        <v>1851</v>
      </c>
      <c r="G18419" s="2">
        <v>93</v>
      </c>
      <c r="H18419" s="2">
        <v>415</v>
      </c>
      <c r="I18419" s="2">
        <v>1</v>
      </c>
      <c r="J18419" s="2">
        <v>1245</v>
      </c>
      <c r="K18419" s="2">
        <v>358</v>
      </c>
      <c r="L18419" s="2">
        <v>760</v>
      </c>
    </row>
    <row r="18420" spans="1:12" x14ac:dyDescent="0.25">
      <c r="A18420" s="4" t="str">
        <f>HYPERLINK("http://www.rosaceae.org/Prunus/Prunus_persica/p.persica_gdr_reftransV1_0002839","p.persica_gdr_reftransV1_0002839")</f>
        <v>p.persica_gdr_reftransV1_0002839</v>
      </c>
      <c r="B18420" s="2">
        <v>2214</v>
      </c>
      <c r="C18420" s="4" t="str">
        <f>HYPERLINK("http://www.uniprot.org/uniprot/M5WZT6","M5WZT6")</f>
        <v>M5WZT6</v>
      </c>
      <c r="D18420" s="2" t="s">
        <v>4484</v>
      </c>
      <c r="E18420" s="3">
        <v>0</v>
      </c>
      <c r="F18420" s="2">
        <v>2475</v>
      </c>
      <c r="G18420" s="2">
        <v>94</v>
      </c>
      <c r="H18420" s="2">
        <v>541</v>
      </c>
      <c r="I18420" s="2">
        <v>288</v>
      </c>
      <c r="J18420" s="2">
        <v>1910</v>
      </c>
      <c r="K18420" s="2">
        <v>1</v>
      </c>
      <c r="L18420" s="2">
        <v>515</v>
      </c>
    </row>
    <row r="18421" spans="1:12" x14ac:dyDescent="0.25">
      <c r="A18421" s="4" t="str">
        <f>HYPERLINK("http://www.rosaceae.org/Prunus/Prunus_persica/p.persica_gdr_reftransV1_0003539","p.persica_gdr_reftransV1_0003539")</f>
        <v>p.persica_gdr_reftransV1_0003539</v>
      </c>
      <c r="B18421" s="2">
        <v>851</v>
      </c>
      <c r="C18421" s="4" t="str">
        <f>HYPERLINK("http://www.uniprot.org/uniprot/A9PBF1","A9PBF1")</f>
        <v>A9PBF1</v>
      </c>
      <c r="D18421" s="2" t="s">
        <v>7569</v>
      </c>
      <c r="E18421" s="3">
        <v>7.19E-76</v>
      </c>
      <c r="F18421" s="2">
        <v>609</v>
      </c>
      <c r="G18421" s="2">
        <v>90</v>
      </c>
      <c r="H18421" s="2">
        <v>126</v>
      </c>
      <c r="I18421" s="2">
        <v>343</v>
      </c>
      <c r="J18421" s="2">
        <v>720</v>
      </c>
      <c r="K18421" s="2">
        <v>1</v>
      </c>
      <c r="L18421" s="2">
        <v>126</v>
      </c>
    </row>
    <row r="18422" spans="1:12" x14ac:dyDescent="0.25">
      <c r="A18422" s="4" t="str">
        <f>HYPERLINK("http://www.rosaceae.org/Prunus/Prunus_persica/p.persica_gdr_reftransV1_0003889","p.persica_gdr_reftransV1_0003889")</f>
        <v>p.persica_gdr_reftransV1_0003889</v>
      </c>
      <c r="B18422" s="2">
        <v>972</v>
      </c>
      <c r="C18422" s="4" t="str">
        <f>HYPERLINK("http://www.uniprot.org/uniprot/M5W0Y4","M5W0Y4")</f>
        <v>M5W0Y4</v>
      </c>
      <c r="D18422" s="2" t="s">
        <v>14259</v>
      </c>
      <c r="E18422" s="3">
        <v>5.9100000000000002E-109</v>
      </c>
      <c r="F18422" s="2">
        <v>838</v>
      </c>
      <c r="G18422" s="2">
        <v>100</v>
      </c>
      <c r="H18422" s="2">
        <v>174</v>
      </c>
      <c r="I18422" s="2">
        <v>261</v>
      </c>
      <c r="J18422" s="2">
        <v>782</v>
      </c>
      <c r="K18422" s="2">
        <v>1</v>
      </c>
      <c r="L18422" s="2">
        <v>174</v>
      </c>
    </row>
    <row r="18423" spans="1:12" x14ac:dyDescent="0.25">
      <c r="A18423" s="4" t="str">
        <f>HYPERLINK("http://www.rosaceae.org/Prunus/Prunus_persica/p.persica_gdr_reftransV1_0004239","p.persica_gdr_reftransV1_0004239")</f>
        <v>p.persica_gdr_reftransV1_0004239</v>
      </c>
      <c r="B18423" s="2">
        <v>2469</v>
      </c>
      <c r="C18423" s="4" t="str">
        <f>HYPERLINK("http://www.uniprot.org/uniprot/M5VVM3","M5VVM3")</f>
        <v>M5VVM3</v>
      </c>
      <c r="D18423" s="2" t="s">
        <v>14260</v>
      </c>
      <c r="E18423" s="3">
        <v>0</v>
      </c>
      <c r="F18423" s="2">
        <v>2892</v>
      </c>
      <c r="G18423" s="2">
        <v>100</v>
      </c>
      <c r="H18423" s="2">
        <v>682</v>
      </c>
      <c r="I18423" s="2">
        <v>63</v>
      </c>
      <c r="J18423" s="2">
        <v>2108</v>
      </c>
      <c r="K18423" s="2">
        <v>1</v>
      </c>
      <c r="L18423" s="2">
        <v>682</v>
      </c>
    </row>
    <row r="18424" spans="1:12" x14ac:dyDescent="0.25">
      <c r="A18424" s="4" t="str">
        <f>HYPERLINK("http://www.rosaceae.org/Prunus/Prunus_persica/p.persica_gdr_reftransV1_0004589","p.persica_gdr_reftransV1_0004589")</f>
        <v>p.persica_gdr_reftransV1_0004589</v>
      </c>
      <c r="B18424" s="2">
        <v>2887</v>
      </c>
      <c r="C18424" s="4" t="str">
        <f>HYPERLINK("http://www.uniprot.org/uniprot/M5WR72","M5WR72")</f>
        <v>M5WR72</v>
      </c>
      <c r="D18424" s="2" t="s">
        <v>14261</v>
      </c>
      <c r="E18424" s="3">
        <v>0</v>
      </c>
      <c r="F18424" s="2">
        <v>3815</v>
      </c>
      <c r="G18424" s="2">
        <v>98</v>
      </c>
      <c r="H18424" s="2">
        <v>766</v>
      </c>
      <c r="I18424" s="2">
        <v>254</v>
      </c>
      <c r="J18424" s="2">
        <v>2551</v>
      </c>
      <c r="K18424" s="2">
        <v>1</v>
      </c>
      <c r="L18424" s="2">
        <v>752</v>
      </c>
    </row>
    <row r="18425" spans="1:12" x14ac:dyDescent="0.25">
      <c r="A18425" s="4" t="str">
        <f>HYPERLINK("http://www.rosaceae.org/Prunus/Prunus_persica/p.persica_gdr_reftransV1_0005639","p.persica_gdr_reftransV1_0005639")</f>
        <v>p.persica_gdr_reftransV1_0005639</v>
      </c>
      <c r="B18425" s="2">
        <v>2334</v>
      </c>
      <c r="C18425" s="4" t="str">
        <f>HYPERLINK("http://www.uniprot.org/uniprot/M5XAU3","M5XAU3")</f>
        <v>M5XAU3</v>
      </c>
      <c r="D18425" s="2" t="s">
        <v>14262</v>
      </c>
      <c r="E18425" s="3">
        <v>0</v>
      </c>
      <c r="F18425" s="2">
        <v>3184</v>
      </c>
      <c r="G18425" s="2">
        <v>100</v>
      </c>
      <c r="H18425" s="2">
        <v>615</v>
      </c>
      <c r="I18425" s="2">
        <v>125</v>
      </c>
      <c r="J18425" s="2">
        <v>1969</v>
      </c>
      <c r="K18425" s="2">
        <v>1</v>
      </c>
      <c r="L18425" s="2">
        <v>615</v>
      </c>
    </row>
    <row r="18426" spans="1:12" x14ac:dyDescent="0.25">
      <c r="A18426" s="4" t="str">
        <f>HYPERLINK("http://www.rosaceae.org/Prunus/Prunus_persica/p.persica_gdr_reftransV1_0005989","p.persica_gdr_reftransV1_0005989")</f>
        <v>p.persica_gdr_reftransV1_0005989</v>
      </c>
      <c r="B18426" s="2">
        <v>1831</v>
      </c>
      <c r="C18426" s="4" t="str">
        <f>HYPERLINK("http://www.uniprot.org/uniprot/A0A097SRT6","A0A097SRT6")</f>
        <v>A0A097SRT6</v>
      </c>
      <c r="D18426" s="2" t="s">
        <v>14263</v>
      </c>
      <c r="E18426" s="3">
        <v>2.2399999999999999E-118</v>
      </c>
      <c r="F18426" s="2">
        <v>929</v>
      </c>
      <c r="G18426" s="2">
        <v>84</v>
      </c>
      <c r="H18426" s="2">
        <v>249</v>
      </c>
      <c r="I18426" s="2">
        <v>463</v>
      </c>
      <c r="J18426" s="2">
        <v>1209</v>
      </c>
      <c r="K18426" s="2">
        <v>1</v>
      </c>
      <c r="L18426" s="2">
        <v>213</v>
      </c>
    </row>
    <row r="18427" spans="1:12" x14ac:dyDescent="0.25">
      <c r="A18427" s="4" t="str">
        <f>HYPERLINK("http://www.rosaceae.org/Prunus/Prunus_persica/p.persica_gdr_reftransV1_0006339","p.persica_gdr_reftransV1_0006339")</f>
        <v>p.persica_gdr_reftransV1_0006339</v>
      </c>
      <c r="B18427" s="2">
        <v>506</v>
      </c>
      <c r="C18427" s="4" t="str">
        <f>HYPERLINK("http://www.uniprot.org/uniprot/M5WE12","M5WE12")</f>
        <v>M5WE12</v>
      </c>
      <c r="D18427" s="2" t="s">
        <v>79</v>
      </c>
      <c r="E18427" s="3">
        <v>1.7900000000000001E-51</v>
      </c>
      <c r="F18427" s="2">
        <v>464</v>
      </c>
      <c r="G18427" s="2">
        <v>100</v>
      </c>
      <c r="H18427" s="2">
        <v>86</v>
      </c>
      <c r="I18427" s="2">
        <v>248</v>
      </c>
      <c r="J18427" s="2">
        <v>505</v>
      </c>
      <c r="K18427" s="2">
        <v>1</v>
      </c>
      <c r="L18427" s="2">
        <v>86</v>
      </c>
    </row>
    <row r="18428" spans="1:12" x14ac:dyDescent="0.25">
      <c r="A18428" s="4" t="str">
        <f>HYPERLINK("http://www.rosaceae.org/Prunus/Prunus_persica/p.persica_gdr_reftransV1_0006689","p.persica_gdr_reftransV1_0006689")</f>
        <v>p.persica_gdr_reftransV1_0006689</v>
      </c>
      <c r="B18428" s="2">
        <v>2215</v>
      </c>
      <c r="C18428" s="4" t="str">
        <f>HYPERLINK("http://www.uniprot.org/uniprot/M5X708","M5X708")</f>
        <v>M5X708</v>
      </c>
      <c r="D18428" s="2" t="s">
        <v>14264</v>
      </c>
      <c r="E18428" s="3">
        <v>0</v>
      </c>
      <c r="F18428" s="2">
        <v>2070</v>
      </c>
      <c r="G18428" s="2">
        <v>98</v>
      </c>
      <c r="H18428" s="2">
        <v>390</v>
      </c>
      <c r="I18428" s="2">
        <v>843</v>
      </c>
      <c r="J18428" s="2">
        <v>2012</v>
      </c>
      <c r="K18428" s="2">
        <v>255</v>
      </c>
      <c r="L18428" s="2">
        <v>643</v>
      </c>
    </row>
    <row r="18429" spans="1:12" x14ac:dyDescent="0.25">
      <c r="A18429" s="4" t="str">
        <f>HYPERLINK("http://www.rosaceae.org/Prunus/Prunus_persica/p.persica_gdr_reftransV1_0007039","p.persica_gdr_reftransV1_0007039")</f>
        <v>p.persica_gdr_reftransV1_0007039</v>
      </c>
      <c r="B18429" s="2">
        <v>995</v>
      </c>
      <c r="C18429" s="4" t="str">
        <f>HYPERLINK("http://www.uniprot.org/uniprot/M5XTY1","M5XTY1")</f>
        <v>M5XTY1</v>
      </c>
      <c r="D18429" s="2" t="s">
        <v>14265</v>
      </c>
      <c r="E18429" s="3">
        <v>8.2600000000000006E-149</v>
      </c>
      <c r="F18429" s="2">
        <v>1106</v>
      </c>
      <c r="G18429" s="2">
        <v>89</v>
      </c>
      <c r="H18429" s="2">
        <v>264</v>
      </c>
      <c r="I18429" s="2">
        <v>125</v>
      </c>
      <c r="J18429" s="2">
        <v>916</v>
      </c>
      <c r="K18429" s="2">
        <v>1</v>
      </c>
      <c r="L18429" s="2">
        <v>234</v>
      </c>
    </row>
    <row r="18430" spans="1:12" x14ac:dyDescent="0.25">
      <c r="A18430" s="4" t="str">
        <f>HYPERLINK("http://www.rosaceae.org/Prunus/Prunus_persica/p.persica_gdr_reftransV1_0007389","p.persica_gdr_reftransV1_0007389")</f>
        <v>p.persica_gdr_reftransV1_0007389</v>
      </c>
      <c r="B18430" s="2">
        <v>469</v>
      </c>
      <c r="C18430" s="4" t="str">
        <f>HYPERLINK("http://www.uniprot.org/uniprot/A0A059CKV3","A0A059CKV3")</f>
        <v>A0A059CKV3</v>
      </c>
      <c r="D18430" s="2" t="s">
        <v>14266</v>
      </c>
      <c r="E18430" s="3">
        <v>1.29E-53</v>
      </c>
      <c r="F18430" s="2">
        <v>483</v>
      </c>
      <c r="G18430" s="2">
        <v>65</v>
      </c>
      <c r="H18430" s="2">
        <v>135</v>
      </c>
      <c r="I18430" s="2">
        <v>4</v>
      </c>
      <c r="J18430" s="2">
        <v>408</v>
      </c>
      <c r="K18430" s="2">
        <v>12</v>
      </c>
      <c r="L18430" s="2">
        <v>146</v>
      </c>
    </row>
    <row r="18431" spans="1:12" x14ac:dyDescent="0.25">
      <c r="A18431" s="4" t="str">
        <f>HYPERLINK("http://www.rosaceae.org/Prunus/Prunus_persica/p.persica_gdr_reftransV1_0008089","p.persica_gdr_reftransV1_0008089")</f>
        <v>p.persica_gdr_reftransV1_0008089</v>
      </c>
      <c r="B18431" s="2">
        <v>2138</v>
      </c>
      <c r="C18431" s="4" t="str">
        <f>HYPERLINK("http://www.uniprot.org/uniprot/M5WZH6","M5WZH6")</f>
        <v>M5WZH6</v>
      </c>
      <c r="D18431" s="2" t="s">
        <v>14267</v>
      </c>
      <c r="E18431" s="3">
        <v>0</v>
      </c>
      <c r="F18431" s="2">
        <v>2749</v>
      </c>
      <c r="G18431" s="2">
        <v>100</v>
      </c>
      <c r="H18431" s="2">
        <v>556</v>
      </c>
      <c r="I18431" s="2">
        <v>177</v>
      </c>
      <c r="J18431" s="2">
        <v>1844</v>
      </c>
      <c r="K18431" s="2">
        <v>1</v>
      </c>
      <c r="L18431" s="2">
        <v>556</v>
      </c>
    </row>
    <row r="18432" spans="1:12" x14ac:dyDescent="0.25">
      <c r="A18432" s="4" t="str">
        <f>HYPERLINK("http://www.rosaceae.org/Prunus/Prunus_persica/p.persica_gdr_reftransV1_0008789","p.persica_gdr_reftransV1_0008789")</f>
        <v>p.persica_gdr_reftransV1_0008789</v>
      </c>
      <c r="B18432" s="2">
        <v>2870</v>
      </c>
      <c r="C18432" s="4" t="str">
        <f>HYPERLINK("http://www.uniprot.org/uniprot/A9RY90","A9RY90")</f>
        <v>A9RY90</v>
      </c>
      <c r="D18432" s="2" t="s">
        <v>14268</v>
      </c>
      <c r="E18432" s="3">
        <v>4.28E-95</v>
      </c>
      <c r="F18432" s="2">
        <v>383</v>
      </c>
      <c r="G18432" s="2">
        <v>62</v>
      </c>
      <c r="H18432" s="2">
        <v>114</v>
      </c>
      <c r="I18432" s="2">
        <v>406</v>
      </c>
      <c r="J18432" s="2">
        <v>741</v>
      </c>
      <c r="K18432" s="2">
        <v>1</v>
      </c>
      <c r="L18432" s="2">
        <v>114</v>
      </c>
    </row>
    <row r="18433" spans="1:12" x14ac:dyDescent="0.25">
      <c r="A18433" s="4" t="str">
        <f>HYPERLINK("http://www.rosaceae.org/Prunus/Prunus_persica/p.persica_gdr_reftransV1_0009139","p.persica_gdr_reftransV1_0009139")</f>
        <v>p.persica_gdr_reftransV1_0009139</v>
      </c>
      <c r="B18433" s="2">
        <v>4478</v>
      </c>
      <c r="C18433" s="4" t="str">
        <f>HYPERLINK("http://www.uniprot.org/uniprot/M5W3G7","M5W3G7")</f>
        <v>M5W3G7</v>
      </c>
      <c r="D18433" s="2" t="s">
        <v>14269</v>
      </c>
      <c r="E18433" s="3">
        <v>0</v>
      </c>
      <c r="F18433" s="2">
        <v>3193</v>
      </c>
      <c r="G18433" s="2">
        <v>100</v>
      </c>
      <c r="H18433" s="2">
        <v>611</v>
      </c>
      <c r="I18433" s="2">
        <v>151</v>
      </c>
      <c r="J18433" s="2">
        <v>1983</v>
      </c>
      <c r="K18433" s="2">
        <v>1</v>
      </c>
      <c r="L18433" s="2">
        <v>611</v>
      </c>
    </row>
    <row r="18434" spans="1:12" x14ac:dyDescent="0.25">
      <c r="A18434" s="4" t="str">
        <f>HYPERLINK("http://www.rosaceae.org/Prunus/Prunus_persica/p.persica_gdr_reftransV1_0009489","p.persica_gdr_reftransV1_0009489")</f>
        <v>p.persica_gdr_reftransV1_0009489</v>
      </c>
      <c r="B18434" s="2">
        <v>1443</v>
      </c>
      <c r="C18434" s="4" t="str">
        <f>HYPERLINK("http://www.uniprot.org/uniprot/M5WUL1","M5WUL1")</f>
        <v>M5WUL1</v>
      </c>
      <c r="D18434" s="2" t="s">
        <v>14270</v>
      </c>
      <c r="E18434" s="3">
        <v>9.61E-110</v>
      </c>
      <c r="F18434" s="2">
        <v>866</v>
      </c>
      <c r="G18434" s="2">
        <v>100</v>
      </c>
      <c r="H18434" s="2">
        <v>214</v>
      </c>
      <c r="I18434" s="2">
        <v>302</v>
      </c>
      <c r="J18434" s="2">
        <v>943</v>
      </c>
      <c r="K18434" s="2">
        <v>55</v>
      </c>
      <c r="L18434" s="2">
        <v>268</v>
      </c>
    </row>
    <row r="18435" spans="1:12" x14ac:dyDescent="0.25">
      <c r="A18435" s="4" t="str">
        <f>HYPERLINK("http://www.rosaceae.org/Prunus/Prunus_persica/p.persica_gdr_reftransV1_0010189","p.persica_gdr_reftransV1_0010189")</f>
        <v>p.persica_gdr_reftransV1_0010189</v>
      </c>
      <c r="B18435" s="2">
        <v>1233</v>
      </c>
      <c r="C18435" s="4" t="str">
        <f>HYPERLINK("http://www.uniprot.org/uniprot/M5WQC7","M5WQC7")</f>
        <v>M5WQC7</v>
      </c>
      <c r="D18435" s="2" t="s">
        <v>14271</v>
      </c>
      <c r="E18435" s="3">
        <v>3.4900000000000002E-127</v>
      </c>
      <c r="F18435" s="2">
        <v>977</v>
      </c>
      <c r="G18435" s="2">
        <v>99</v>
      </c>
      <c r="H18435" s="2">
        <v>205</v>
      </c>
      <c r="I18435" s="2">
        <v>308</v>
      </c>
      <c r="J18435" s="2">
        <v>922</v>
      </c>
      <c r="K18435" s="2">
        <v>82</v>
      </c>
      <c r="L18435" s="2">
        <v>286</v>
      </c>
    </row>
    <row r="18436" spans="1:12" x14ac:dyDescent="0.25">
      <c r="A18436" s="4" t="str">
        <f>HYPERLINK("http://www.rosaceae.org/Prunus/Prunus_persica/p.persica_gdr_reftransV1_0011239","p.persica_gdr_reftransV1_0011239")</f>
        <v>p.persica_gdr_reftransV1_0011239</v>
      </c>
      <c r="B18436" s="2">
        <v>2331</v>
      </c>
      <c r="C18436" s="4" t="str">
        <f>HYPERLINK("http://www.uniprot.org/uniprot/M5W8W1","M5W8W1")</f>
        <v>M5W8W1</v>
      </c>
      <c r="D18436" s="2" t="s">
        <v>14272</v>
      </c>
      <c r="E18436" s="3">
        <v>0</v>
      </c>
      <c r="F18436" s="2">
        <v>2587</v>
      </c>
      <c r="G18436" s="2">
        <v>100</v>
      </c>
      <c r="H18436" s="2">
        <v>504</v>
      </c>
      <c r="I18436" s="2">
        <v>253</v>
      </c>
      <c r="J18436" s="2">
        <v>1764</v>
      </c>
      <c r="K18436" s="2">
        <v>1</v>
      </c>
      <c r="L18436" s="2">
        <v>504</v>
      </c>
    </row>
    <row r="18437" spans="1:12" x14ac:dyDescent="0.25">
      <c r="A18437" s="4" t="str">
        <f>HYPERLINK("http://www.rosaceae.org/Prunus/Prunus_persica/p.persica_gdr_reftransV1_0011939","p.persica_gdr_reftransV1_0011939")</f>
        <v>p.persica_gdr_reftransV1_0011939</v>
      </c>
      <c r="B18437" s="2">
        <v>970</v>
      </c>
      <c r="C18437" s="4" t="str">
        <f>HYPERLINK("http://www.uniprot.org/uniprot/M5W2F8","M5W2F8")</f>
        <v>M5W2F8</v>
      </c>
      <c r="D18437" s="2" t="s">
        <v>10099</v>
      </c>
      <c r="E18437" s="3">
        <v>0</v>
      </c>
      <c r="F18437" s="2">
        <v>1568</v>
      </c>
      <c r="G18437" s="2">
        <v>100</v>
      </c>
      <c r="H18437" s="2">
        <v>323</v>
      </c>
      <c r="I18437" s="2">
        <v>2</v>
      </c>
      <c r="J18437" s="2">
        <v>970</v>
      </c>
      <c r="K18437" s="2">
        <v>353</v>
      </c>
      <c r="L18437" s="2">
        <v>675</v>
      </c>
    </row>
    <row r="18438" spans="1:12" x14ac:dyDescent="0.25">
      <c r="A18438" s="4" t="str">
        <f>HYPERLINK("http://www.rosaceae.org/Prunus/Prunus_persica/p.persica_gdr_reftransV1_0012289","p.persica_gdr_reftransV1_0012289")</f>
        <v>p.persica_gdr_reftransV1_0012289</v>
      </c>
      <c r="B18438" s="2">
        <v>3196</v>
      </c>
      <c r="C18438" s="4" t="str">
        <f>HYPERLINK("http://www.uniprot.org/uniprot/M5VKQ5","M5VKQ5")</f>
        <v>M5VKQ5</v>
      </c>
      <c r="D18438" s="2" t="s">
        <v>14273</v>
      </c>
      <c r="E18438" s="3">
        <v>2.4400000000000002E-121</v>
      </c>
      <c r="F18438" s="2">
        <v>981</v>
      </c>
      <c r="G18438" s="2">
        <v>100</v>
      </c>
      <c r="H18438" s="2">
        <v>209</v>
      </c>
      <c r="I18438" s="2">
        <v>2019</v>
      </c>
      <c r="J18438" s="2">
        <v>2645</v>
      </c>
      <c r="K18438" s="2">
        <v>1</v>
      </c>
      <c r="L18438" s="2">
        <v>209</v>
      </c>
    </row>
    <row r="18439" spans="1:12" x14ac:dyDescent="0.25">
      <c r="A18439" s="4" t="str">
        <f>HYPERLINK("http://www.rosaceae.org/Prunus/Prunus_persica/p.persica_gdr_reftransV1_0012639","p.persica_gdr_reftransV1_0012639")</f>
        <v>p.persica_gdr_reftransV1_0012639</v>
      </c>
      <c r="B18439" s="2">
        <v>875</v>
      </c>
      <c r="C18439" s="4" t="str">
        <f>HYPERLINK("http://www.uniprot.org/uniprot/M5WVQ7","M5WVQ7")</f>
        <v>M5WVQ7</v>
      </c>
      <c r="D18439" s="2" t="s">
        <v>14274</v>
      </c>
      <c r="E18439" s="3">
        <v>6.3699999999999996E-85</v>
      </c>
      <c r="F18439" s="2">
        <v>669</v>
      </c>
      <c r="G18439" s="2">
        <v>100</v>
      </c>
      <c r="H18439" s="2">
        <v>127</v>
      </c>
      <c r="I18439" s="2">
        <v>243</v>
      </c>
      <c r="J18439" s="2">
        <v>623</v>
      </c>
      <c r="K18439" s="2">
        <v>1</v>
      </c>
      <c r="L18439" s="2">
        <v>127</v>
      </c>
    </row>
    <row r="18440" spans="1:12" x14ac:dyDescent="0.25">
      <c r="A18440" s="4" t="str">
        <f>HYPERLINK("http://www.rosaceae.org/Prunus/Prunus_persica/p.persica_gdr_reftransV1_0014039","p.persica_gdr_reftransV1_0014039")</f>
        <v>p.persica_gdr_reftransV1_0014039</v>
      </c>
      <c r="B18440" s="2">
        <v>4292</v>
      </c>
      <c r="C18440" s="4" t="str">
        <f>HYPERLINK("http://www.uniprot.org/uniprot/M5XKN3","M5XKN3")</f>
        <v>M5XKN3</v>
      </c>
      <c r="D18440" s="2" t="s">
        <v>14275</v>
      </c>
      <c r="E18440" s="3">
        <v>0</v>
      </c>
      <c r="F18440" s="2">
        <v>6041</v>
      </c>
      <c r="G18440" s="2">
        <v>100</v>
      </c>
      <c r="H18440" s="2">
        <v>1281</v>
      </c>
      <c r="I18440" s="2">
        <v>124</v>
      </c>
      <c r="J18440" s="2">
        <v>3966</v>
      </c>
      <c r="K18440" s="2">
        <v>1</v>
      </c>
      <c r="L18440" s="2">
        <v>1281</v>
      </c>
    </row>
    <row r="18441" spans="1:12" x14ac:dyDescent="0.25">
      <c r="A18441" s="4" t="str">
        <f>HYPERLINK("http://www.rosaceae.org/Prunus/Prunus_persica/p.persica_gdr_reftransV1_0015089","p.persica_gdr_reftransV1_0015089")</f>
        <v>p.persica_gdr_reftransV1_0015089</v>
      </c>
      <c r="B18441" s="2">
        <v>2112</v>
      </c>
      <c r="C18441" s="4" t="str">
        <f>HYPERLINK("http://www.uniprot.org/uniprot/M5WQI9","M5WQI9")</f>
        <v>M5WQI9</v>
      </c>
      <c r="D18441" s="2" t="s">
        <v>14276</v>
      </c>
      <c r="E18441" s="3">
        <v>0</v>
      </c>
      <c r="F18441" s="2">
        <v>3035</v>
      </c>
      <c r="G18441" s="2">
        <v>95</v>
      </c>
      <c r="H18441" s="2">
        <v>619</v>
      </c>
      <c r="I18441" s="2">
        <v>72</v>
      </c>
      <c r="J18441" s="2">
        <v>1928</v>
      </c>
      <c r="K18441" s="2">
        <v>1</v>
      </c>
      <c r="L18441" s="2">
        <v>590</v>
      </c>
    </row>
    <row r="18442" spans="1:12" x14ac:dyDescent="0.25">
      <c r="A18442" s="4" t="str">
        <f>HYPERLINK("http://www.rosaceae.org/Prunus/Prunus_persica/p.persica_gdr_reftransV1_0016489","p.persica_gdr_reftransV1_0016489")</f>
        <v>p.persica_gdr_reftransV1_0016489</v>
      </c>
      <c r="B18442" s="2">
        <v>1978</v>
      </c>
      <c r="C18442" s="4" t="str">
        <f>HYPERLINK("http://www.uniprot.org/uniprot/M5Y718","M5Y718")</f>
        <v>M5Y718</v>
      </c>
      <c r="D18442" s="2" t="s">
        <v>14277</v>
      </c>
      <c r="E18442" s="3">
        <v>0</v>
      </c>
      <c r="F18442" s="2">
        <v>1742</v>
      </c>
      <c r="G18442" s="2">
        <v>100</v>
      </c>
      <c r="H18442" s="2">
        <v>335</v>
      </c>
      <c r="I18442" s="2">
        <v>823</v>
      </c>
      <c r="J18442" s="2">
        <v>1827</v>
      </c>
      <c r="K18442" s="2">
        <v>1</v>
      </c>
      <c r="L18442" s="2">
        <v>335</v>
      </c>
    </row>
    <row r="18443" spans="1:12" x14ac:dyDescent="0.25">
      <c r="A18443" s="4" t="str">
        <f>HYPERLINK("http://www.rosaceae.org/Prunus/Prunus_persica/p.persica_gdr_reftransV1_0017189","p.persica_gdr_reftransV1_0017189")</f>
        <v>p.persica_gdr_reftransV1_0017189</v>
      </c>
      <c r="B18443" s="2">
        <v>2779</v>
      </c>
      <c r="C18443" s="4" t="str">
        <f>HYPERLINK("http://www.uniprot.org/uniprot/M5WPY5","M5WPY5")</f>
        <v>M5WPY5</v>
      </c>
      <c r="D18443" s="2" t="s">
        <v>14278</v>
      </c>
      <c r="E18443" s="3">
        <v>0</v>
      </c>
      <c r="F18443" s="2">
        <v>1809</v>
      </c>
      <c r="G18443" s="2">
        <v>99</v>
      </c>
      <c r="H18443" s="2">
        <v>353</v>
      </c>
      <c r="I18443" s="2">
        <v>1</v>
      </c>
      <c r="J18443" s="2">
        <v>1059</v>
      </c>
      <c r="K18443" s="2">
        <v>77</v>
      </c>
      <c r="L18443" s="2">
        <v>429</v>
      </c>
    </row>
    <row r="18444" spans="1:12" x14ac:dyDescent="0.25">
      <c r="A18444" s="4" t="str">
        <f>HYPERLINK("http://www.rosaceae.org/Prunus/Prunus_persica/p.persica_gdr_reftransV1_0017539","p.persica_gdr_reftransV1_0017539")</f>
        <v>p.persica_gdr_reftransV1_0017539</v>
      </c>
      <c r="B18444" s="2">
        <v>2714</v>
      </c>
      <c r="C18444" s="4" t="str">
        <f>HYPERLINK("http://www.uniprot.org/uniprot/M7Z4Q9","M7Z4Q9")</f>
        <v>M7Z4Q9</v>
      </c>
      <c r="D18444" s="2" t="s">
        <v>14279</v>
      </c>
      <c r="E18444" s="3">
        <v>0</v>
      </c>
      <c r="F18444" s="2">
        <v>2727</v>
      </c>
      <c r="G18444" s="2">
        <v>100</v>
      </c>
      <c r="H18444" s="2">
        <v>532</v>
      </c>
      <c r="I18444" s="2">
        <v>1051</v>
      </c>
      <c r="J18444" s="2">
        <v>2646</v>
      </c>
      <c r="K18444" s="2">
        <v>135</v>
      </c>
      <c r="L18444" s="2">
        <v>666</v>
      </c>
    </row>
    <row r="18445" spans="1:12" x14ac:dyDescent="0.25">
      <c r="A18445" s="4" t="str">
        <f>HYPERLINK("http://www.rosaceae.org/Prunus/Prunus_persica/p.persica_gdr_reftransV1_0018939","p.persica_gdr_reftransV1_0018939")</f>
        <v>p.persica_gdr_reftransV1_0018939</v>
      </c>
      <c r="B18445" s="2">
        <v>1038</v>
      </c>
      <c r="C18445" s="4" t="str">
        <f>HYPERLINK("http://www.uniprot.org/uniprot/M5W015","M5W015")</f>
        <v>M5W015</v>
      </c>
      <c r="D18445" s="2" t="s">
        <v>14280</v>
      </c>
      <c r="E18445" s="3">
        <v>3.97E-115</v>
      </c>
      <c r="F18445" s="2">
        <v>884</v>
      </c>
      <c r="G18445" s="2">
        <v>100</v>
      </c>
      <c r="H18445" s="2">
        <v>186</v>
      </c>
      <c r="I18445" s="2">
        <v>209</v>
      </c>
      <c r="J18445" s="2">
        <v>766</v>
      </c>
      <c r="K18445" s="2">
        <v>22</v>
      </c>
      <c r="L18445" s="2">
        <v>207</v>
      </c>
    </row>
    <row r="18446" spans="1:12" x14ac:dyDescent="0.25">
      <c r="A18446" s="4" t="str">
        <f>HYPERLINK("http://www.rosaceae.org/Prunus/Prunus_persica/p.persica_gdr_reftransV1_0020339","p.persica_gdr_reftransV1_0020339")</f>
        <v>p.persica_gdr_reftransV1_0020339</v>
      </c>
      <c r="B18446" s="2">
        <v>1418</v>
      </c>
      <c r="C18446" s="4" t="str">
        <f>HYPERLINK("http://www.uniprot.org/uniprot/M5XAU9","M5XAU9")</f>
        <v>M5XAU9</v>
      </c>
      <c r="D18446" s="2" t="s">
        <v>3356</v>
      </c>
      <c r="E18446" s="3">
        <v>0</v>
      </c>
      <c r="F18446" s="2">
        <v>1474</v>
      </c>
      <c r="G18446" s="2">
        <v>99</v>
      </c>
      <c r="H18446" s="2">
        <v>286</v>
      </c>
      <c r="I18446" s="2">
        <v>559</v>
      </c>
      <c r="J18446" s="2">
        <v>1416</v>
      </c>
      <c r="K18446" s="2">
        <v>668</v>
      </c>
      <c r="L18446" s="2">
        <v>953</v>
      </c>
    </row>
    <row r="18447" spans="1:12" x14ac:dyDescent="0.25">
      <c r="A18447" s="4" t="str">
        <f>HYPERLINK("http://www.rosaceae.org/Prunus/Prunus_persica/p.persica_gdr_reftransV1_0021039","p.persica_gdr_reftransV1_0021039")</f>
        <v>p.persica_gdr_reftransV1_0021039</v>
      </c>
      <c r="B18447" s="2">
        <v>970</v>
      </c>
      <c r="C18447" s="4" t="str">
        <f>HYPERLINK("http://www.uniprot.org/uniprot/M5W2N2","M5W2N2")</f>
        <v>M5W2N2</v>
      </c>
      <c r="D18447" s="2" t="s">
        <v>7160</v>
      </c>
      <c r="E18447" s="3">
        <v>5.1399999999999997E-77</v>
      </c>
      <c r="F18447" s="2">
        <v>644</v>
      </c>
      <c r="G18447" s="2">
        <v>100</v>
      </c>
      <c r="H18447" s="2">
        <v>224</v>
      </c>
      <c r="I18447" s="2">
        <v>280</v>
      </c>
      <c r="J18447" s="2">
        <v>951</v>
      </c>
      <c r="K18447" s="2">
        <v>167</v>
      </c>
      <c r="L18447" s="2">
        <v>390</v>
      </c>
    </row>
    <row r="18448" spans="1:12" x14ac:dyDescent="0.25">
      <c r="A18448" s="4" t="str">
        <f>HYPERLINK("http://www.rosaceae.org/Prunus/Prunus_persica/p.persica_gdr_reftransV1_0021389","p.persica_gdr_reftransV1_0021389")</f>
        <v>p.persica_gdr_reftransV1_0021389</v>
      </c>
      <c r="B18448" s="2">
        <v>3477</v>
      </c>
      <c r="C18448" s="4" t="str">
        <f>HYPERLINK("http://www.uniprot.org/uniprot/M5WPX6","M5WPX6")</f>
        <v>M5WPX6</v>
      </c>
      <c r="D18448" s="2" t="s">
        <v>14281</v>
      </c>
      <c r="E18448" s="3">
        <v>0</v>
      </c>
      <c r="F18448" s="2">
        <v>4039</v>
      </c>
      <c r="G18448" s="2">
        <v>100</v>
      </c>
      <c r="H18448" s="2">
        <v>828</v>
      </c>
      <c r="I18448" s="2">
        <v>451</v>
      </c>
      <c r="J18448" s="2">
        <v>2934</v>
      </c>
      <c r="K18448" s="2">
        <v>1</v>
      </c>
      <c r="L18448" s="2">
        <v>828</v>
      </c>
    </row>
    <row r="18449" spans="1:12" x14ac:dyDescent="0.25">
      <c r="A18449" s="4" t="str">
        <f>HYPERLINK("http://www.rosaceae.org/Prunus/Prunus_persica/p.persica_gdr_reftransV1_0021739","p.persica_gdr_reftransV1_0021739")</f>
        <v>p.persica_gdr_reftransV1_0021739</v>
      </c>
      <c r="B18449" s="2">
        <v>2392</v>
      </c>
      <c r="C18449" s="4" t="str">
        <f>HYPERLINK("http://www.uniprot.org/uniprot/M5XK45","M5XK45")</f>
        <v>M5XK45</v>
      </c>
      <c r="D18449" s="2" t="s">
        <v>14282</v>
      </c>
      <c r="E18449" s="3">
        <v>1.32E-97</v>
      </c>
      <c r="F18449" s="2">
        <v>806</v>
      </c>
      <c r="G18449" s="2">
        <v>99</v>
      </c>
      <c r="H18449" s="2">
        <v>153</v>
      </c>
      <c r="I18449" s="2">
        <v>162</v>
      </c>
      <c r="J18449" s="2">
        <v>620</v>
      </c>
      <c r="K18449" s="2">
        <v>1</v>
      </c>
      <c r="L18449" s="2">
        <v>153</v>
      </c>
    </row>
    <row r="18450" spans="1:12" x14ac:dyDescent="0.25">
      <c r="A18450" s="4" t="str">
        <f>HYPERLINK("http://www.rosaceae.org/Prunus/Prunus_persica/p.persica_gdr_reftransV1_0022439","p.persica_gdr_reftransV1_0022439")</f>
        <v>p.persica_gdr_reftransV1_0022439</v>
      </c>
      <c r="B18450" s="2">
        <v>2833</v>
      </c>
      <c r="C18450" s="4" t="str">
        <f>HYPERLINK("http://www.uniprot.org/uniprot/M5VWT1","M5VWT1")</f>
        <v>M5VWT1</v>
      </c>
      <c r="D18450" s="2" t="s">
        <v>14283</v>
      </c>
      <c r="E18450" s="3">
        <v>0</v>
      </c>
      <c r="F18450" s="2">
        <v>1467</v>
      </c>
      <c r="G18450" s="2">
        <v>90</v>
      </c>
      <c r="H18450" s="2">
        <v>356</v>
      </c>
      <c r="I18450" s="2">
        <v>1687</v>
      </c>
      <c r="J18450" s="2">
        <v>2754</v>
      </c>
      <c r="K18450" s="2">
        <v>1</v>
      </c>
      <c r="L18450" s="2">
        <v>325</v>
      </c>
    </row>
    <row r="18451" spans="1:12" x14ac:dyDescent="0.25">
      <c r="A18451" s="4" t="str">
        <f>HYPERLINK("http://www.rosaceae.org/Prunus/Prunus_persica/p.persica_gdr_reftransV1_0023839","p.persica_gdr_reftransV1_0023839")</f>
        <v>p.persica_gdr_reftransV1_0023839</v>
      </c>
      <c r="B18451" s="2">
        <v>1951</v>
      </c>
      <c r="C18451" s="4" t="str">
        <f>HYPERLINK("http://www.uniprot.org/uniprot/M5X0D6","M5X0D6")</f>
        <v>M5X0D6</v>
      </c>
      <c r="D18451" s="2" t="s">
        <v>14284</v>
      </c>
      <c r="E18451" s="3">
        <v>4.64E-148</v>
      </c>
      <c r="F18451" s="2">
        <v>1142</v>
      </c>
      <c r="G18451" s="2">
        <v>97</v>
      </c>
      <c r="H18451" s="2">
        <v>227</v>
      </c>
      <c r="I18451" s="2">
        <v>1145</v>
      </c>
      <c r="J18451" s="2">
        <v>1822</v>
      </c>
      <c r="K18451" s="2">
        <v>1</v>
      </c>
      <c r="L18451" s="2">
        <v>227</v>
      </c>
    </row>
    <row r="18452" spans="1:12" x14ac:dyDescent="0.25">
      <c r="A18452" s="4" t="str">
        <f>HYPERLINK("http://www.rosaceae.org/Prunus/Prunus_persica/p.persica_gdr_reftransV1_0024189","p.persica_gdr_reftransV1_0024189")</f>
        <v>p.persica_gdr_reftransV1_0024189</v>
      </c>
      <c r="B18452" s="2">
        <v>1701</v>
      </c>
      <c r="C18452" s="4" t="str">
        <f>HYPERLINK("http://www.uniprot.org/uniprot/M5XRU3","M5XRU3")</f>
        <v>M5XRU3</v>
      </c>
      <c r="D18452" s="2" t="s">
        <v>14285</v>
      </c>
      <c r="E18452" s="3">
        <v>5.7100000000000003E-68</v>
      </c>
      <c r="F18452" s="2">
        <v>580</v>
      </c>
      <c r="G18452" s="2">
        <v>64</v>
      </c>
      <c r="H18452" s="2">
        <v>197</v>
      </c>
      <c r="I18452" s="2">
        <v>538</v>
      </c>
      <c r="J18452" s="2">
        <v>1128</v>
      </c>
      <c r="K18452" s="2">
        <v>5</v>
      </c>
      <c r="L18452" s="2">
        <v>145</v>
      </c>
    </row>
    <row r="18453" spans="1:12" x14ac:dyDescent="0.25">
      <c r="A18453" s="4" t="str">
        <f>HYPERLINK("http://www.rosaceae.org/Prunus/Prunus_persica/p.persica_gdr_reftransV1_0024889","p.persica_gdr_reftransV1_0024889")</f>
        <v>p.persica_gdr_reftransV1_0024889</v>
      </c>
      <c r="B18453" s="2">
        <v>723</v>
      </c>
      <c r="C18453" s="4" t="str">
        <f>HYPERLINK("http://www.uniprot.org/uniprot/M5W5N8","M5W5N8")</f>
        <v>M5W5N8</v>
      </c>
      <c r="D18453" s="2" t="s">
        <v>13452</v>
      </c>
      <c r="E18453" s="3">
        <v>2.2400000000000001E-85</v>
      </c>
      <c r="F18453" s="2">
        <v>695</v>
      </c>
      <c r="G18453" s="2">
        <v>100</v>
      </c>
      <c r="H18453" s="2">
        <v>171</v>
      </c>
      <c r="I18453" s="2">
        <v>176</v>
      </c>
      <c r="J18453" s="2">
        <v>688</v>
      </c>
      <c r="K18453" s="2">
        <v>20</v>
      </c>
      <c r="L18453" s="2">
        <v>190</v>
      </c>
    </row>
    <row r="18454" spans="1:12" x14ac:dyDescent="0.25">
      <c r="A18454" s="4" t="str">
        <f>HYPERLINK("http://www.rosaceae.org/Prunus/Prunus_persica/p.persica_gdr_reftransV1_0025239","p.persica_gdr_reftransV1_0025239")</f>
        <v>p.persica_gdr_reftransV1_0025239</v>
      </c>
      <c r="B18454" s="2">
        <v>1873</v>
      </c>
      <c r="C18454" s="4" t="str">
        <f>HYPERLINK("http://www.uniprot.org/uniprot/M5XRZ6","M5XRZ6")</f>
        <v>M5XRZ6</v>
      </c>
      <c r="D18454" s="2" t="s">
        <v>14286</v>
      </c>
      <c r="E18454" s="3">
        <v>0</v>
      </c>
      <c r="F18454" s="2">
        <v>1924</v>
      </c>
      <c r="G18454" s="2">
        <v>100</v>
      </c>
      <c r="H18454" s="2">
        <v>380</v>
      </c>
      <c r="I18454" s="2">
        <v>141</v>
      </c>
      <c r="J18454" s="2">
        <v>1280</v>
      </c>
      <c r="K18454" s="2">
        <v>1</v>
      </c>
      <c r="L18454" s="2">
        <v>380</v>
      </c>
    </row>
    <row r="18455" spans="1:12" x14ac:dyDescent="0.25">
      <c r="A18455" s="4" t="str">
        <f>HYPERLINK("http://www.rosaceae.org/Prunus/Prunus_persica/p.persica_gdr_reftransV1_0025589","p.persica_gdr_reftransV1_0025589")</f>
        <v>p.persica_gdr_reftransV1_0025589</v>
      </c>
      <c r="B18455" s="2">
        <v>3366</v>
      </c>
      <c r="C18455" s="4" t="str">
        <f>HYPERLINK("http://www.uniprot.org/uniprot/M5WHC2","M5WHC2")</f>
        <v>M5WHC2</v>
      </c>
      <c r="D18455" s="2" t="s">
        <v>14287</v>
      </c>
      <c r="E18455" s="3">
        <v>1.6900000000000001E-159</v>
      </c>
      <c r="F18455" s="2">
        <v>1269</v>
      </c>
      <c r="G18455" s="2">
        <v>90</v>
      </c>
      <c r="H18455" s="2">
        <v>268</v>
      </c>
      <c r="I18455" s="2">
        <v>279</v>
      </c>
      <c r="J18455" s="2">
        <v>1052</v>
      </c>
      <c r="K18455" s="2">
        <v>34</v>
      </c>
      <c r="L18455" s="2">
        <v>301</v>
      </c>
    </row>
    <row r="18456" spans="1:12" x14ac:dyDescent="0.25">
      <c r="A18456" s="4" t="str">
        <f>HYPERLINK("http://www.rosaceae.org/Prunus/Prunus_persica/p.persica_gdr_reftransV1_0026289","p.persica_gdr_reftransV1_0026289")</f>
        <v>p.persica_gdr_reftransV1_0026289</v>
      </c>
      <c r="B18456" s="2">
        <v>1539</v>
      </c>
      <c r="C18456" s="4" t="str">
        <f>HYPERLINK("http://www.uniprot.org/uniprot/M5X9D6","M5X9D6")</f>
        <v>M5X9D6</v>
      </c>
      <c r="D18456" s="2" t="s">
        <v>14288</v>
      </c>
      <c r="E18456" s="3">
        <v>2.6499999999999999E-44</v>
      </c>
      <c r="F18456" s="2">
        <v>418</v>
      </c>
      <c r="G18456" s="2">
        <v>99</v>
      </c>
      <c r="H18456" s="2">
        <v>79</v>
      </c>
      <c r="I18456" s="2">
        <v>314</v>
      </c>
      <c r="J18456" s="2">
        <v>550</v>
      </c>
      <c r="K18456" s="2">
        <v>111</v>
      </c>
      <c r="L18456" s="2">
        <v>189</v>
      </c>
    </row>
    <row r="18457" spans="1:12" x14ac:dyDescent="0.25">
      <c r="A18457" s="4" t="str">
        <f>HYPERLINK("http://www.rosaceae.org/Prunus/Prunus_persica/p.persica_gdr_reftransV1_0026639","p.persica_gdr_reftransV1_0026639")</f>
        <v>p.persica_gdr_reftransV1_0026639</v>
      </c>
      <c r="B18457" s="2">
        <v>1571</v>
      </c>
      <c r="C18457" s="4" t="str">
        <f>HYPERLINK("http://www.uniprot.org/uniprot/M5WTT8","M5WTT8")</f>
        <v>M5WTT8</v>
      </c>
      <c r="D18457" s="2" t="s">
        <v>11973</v>
      </c>
      <c r="E18457" s="3">
        <v>0</v>
      </c>
      <c r="F18457" s="2">
        <v>1702</v>
      </c>
      <c r="G18457" s="2">
        <v>93</v>
      </c>
      <c r="H18457" s="2">
        <v>342</v>
      </c>
      <c r="I18457" s="2">
        <v>339</v>
      </c>
      <c r="J18457" s="2">
        <v>1364</v>
      </c>
      <c r="K18457" s="2">
        <v>1</v>
      </c>
      <c r="L18457" s="2">
        <v>342</v>
      </c>
    </row>
    <row r="18458" spans="1:12" x14ac:dyDescent="0.25">
      <c r="A18458" s="4" t="str">
        <f>HYPERLINK("http://www.rosaceae.org/Prunus/Prunus_persica/p.persica_gdr_reftransV1_0026989","p.persica_gdr_reftransV1_0026989")</f>
        <v>p.persica_gdr_reftransV1_0026989</v>
      </c>
      <c r="B18458" s="2">
        <v>2858</v>
      </c>
      <c r="C18458" s="4" t="str">
        <f>HYPERLINK("http://www.uniprot.org/uniprot/M5XDD9","M5XDD9")</f>
        <v>M5XDD9</v>
      </c>
      <c r="D18458" s="2" t="s">
        <v>14289</v>
      </c>
      <c r="E18458" s="3">
        <v>0</v>
      </c>
      <c r="F18458" s="2">
        <v>2186</v>
      </c>
      <c r="G18458" s="2">
        <v>100</v>
      </c>
      <c r="H18458" s="2">
        <v>448</v>
      </c>
      <c r="I18458" s="2">
        <v>929</v>
      </c>
      <c r="J18458" s="2">
        <v>2272</v>
      </c>
      <c r="K18458" s="2">
        <v>1</v>
      </c>
      <c r="L18458" s="2">
        <v>448</v>
      </c>
    </row>
    <row r="18459" spans="1:12" x14ac:dyDescent="0.25">
      <c r="A18459" s="4" t="str">
        <f>HYPERLINK("http://www.rosaceae.org/Prunus/Prunus_persica/p.persica_gdr_reftransV1_0028739","p.persica_gdr_reftransV1_0028739")</f>
        <v>p.persica_gdr_reftransV1_0028739</v>
      </c>
      <c r="B18459" s="2">
        <v>3570</v>
      </c>
      <c r="C18459" s="4" t="str">
        <f>HYPERLINK("http://www.uniprot.org/uniprot/M5WNP3","M5WNP3")</f>
        <v>M5WNP3</v>
      </c>
      <c r="D18459" s="2" t="s">
        <v>14290</v>
      </c>
      <c r="E18459" s="3">
        <v>0</v>
      </c>
      <c r="F18459" s="2">
        <v>2488</v>
      </c>
      <c r="G18459" s="2">
        <v>100</v>
      </c>
      <c r="H18459" s="2">
        <v>473</v>
      </c>
      <c r="I18459" s="2">
        <v>1556</v>
      </c>
      <c r="J18459" s="2">
        <v>2974</v>
      </c>
      <c r="K18459" s="2">
        <v>58</v>
      </c>
      <c r="L18459" s="2">
        <v>530</v>
      </c>
    </row>
    <row r="18460" spans="1:12" x14ac:dyDescent="0.25">
      <c r="A18460" s="4" t="str">
        <f>HYPERLINK("http://www.rosaceae.org/Prunus/Prunus_persica/p.persica_gdr_reftransV1_0030489","p.persica_gdr_reftransV1_0030489")</f>
        <v>p.persica_gdr_reftransV1_0030489</v>
      </c>
      <c r="B18460" s="2">
        <v>1969</v>
      </c>
      <c r="C18460" s="4" t="str">
        <f>HYPERLINK("http://www.uniprot.org/uniprot/M5XCR5","M5XCR5")</f>
        <v>M5XCR5</v>
      </c>
      <c r="D18460" s="2" t="s">
        <v>14291</v>
      </c>
      <c r="E18460" s="3">
        <v>0</v>
      </c>
      <c r="F18460" s="2">
        <v>1780</v>
      </c>
      <c r="G18460" s="2">
        <v>100</v>
      </c>
      <c r="H18460" s="2">
        <v>337</v>
      </c>
      <c r="I18460" s="2">
        <v>720</v>
      </c>
      <c r="J18460" s="2">
        <v>1730</v>
      </c>
      <c r="K18460" s="2">
        <v>1</v>
      </c>
      <c r="L18460" s="2">
        <v>337</v>
      </c>
    </row>
    <row r="18461" spans="1:12" x14ac:dyDescent="0.25">
      <c r="A18461" s="4" t="str">
        <f>HYPERLINK("http://www.rosaceae.org/Prunus/Prunus_persica/p.persica_gdr_reftransV1_0030839","p.persica_gdr_reftransV1_0030839")</f>
        <v>p.persica_gdr_reftransV1_0030839</v>
      </c>
      <c r="B18461" s="2">
        <v>1687</v>
      </c>
      <c r="C18461" s="4" t="str">
        <f>HYPERLINK("http://www.uniprot.org/uniprot/M5WEU3","M5WEU3")</f>
        <v>M5WEU3</v>
      </c>
      <c r="D18461" s="2" t="s">
        <v>14292</v>
      </c>
      <c r="E18461" s="3">
        <v>0</v>
      </c>
      <c r="F18461" s="2">
        <v>1478</v>
      </c>
      <c r="G18461" s="2">
        <v>100</v>
      </c>
      <c r="H18461" s="2">
        <v>302</v>
      </c>
      <c r="I18461" s="2">
        <v>564</v>
      </c>
      <c r="J18461" s="2">
        <v>1469</v>
      </c>
      <c r="K18461" s="2">
        <v>6</v>
      </c>
      <c r="L18461" s="2">
        <v>307</v>
      </c>
    </row>
    <row r="18462" spans="1:12" x14ac:dyDescent="0.25">
      <c r="A18462" s="4" t="str">
        <f>HYPERLINK("http://www.rosaceae.org/Prunus/Prunus_persica/p.persica_gdr_reftransV1_0031189","p.persica_gdr_reftransV1_0031189")</f>
        <v>p.persica_gdr_reftransV1_0031189</v>
      </c>
      <c r="B18462" s="2">
        <v>2122</v>
      </c>
      <c r="C18462" s="4" t="str">
        <f>HYPERLINK("http://www.uniprot.org/uniprot/M5W9J6","M5W9J6")</f>
        <v>M5W9J6</v>
      </c>
      <c r="D18462" s="2" t="s">
        <v>14293</v>
      </c>
      <c r="E18462" s="3">
        <v>3.0699999999999999E-102</v>
      </c>
      <c r="F18462" s="2">
        <v>829</v>
      </c>
      <c r="G18462" s="2">
        <v>99</v>
      </c>
      <c r="H18462" s="2">
        <v>156</v>
      </c>
      <c r="I18462" s="2">
        <v>1518</v>
      </c>
      <c r="J18462" s="2">
        <v>1985</v>
      </c>
      <c r="K18462" s="2">
        <v>1</v>
      </c>
      <c r="L18462" s="2">
        <v>156</v>
      </c>
    </row>
    <row r="18463" spans="1:12" x14ac:dyDescent="0.25">
      <c r="A18463" s="4" t="str">
        <f>HYPERLINK("http://www.rosaceae.org/Prunus/Prunus_persica/p.persica_gdr_reftransV1_0032239","p.persica_gdr_reftransV1_0032239")</f>
        <v>p.persica_gdr_reftransV1_0032239</v>
      </c>
      <c r="B18463" s="2">
        <v>1893</v>
      </c>
      <c r="C18463" s="4" t="str">
        <f>HYPERLINK("http://www.uniprot.org/uniprot/M5WTV9","M5WTV9")</f>
        <v>M5WTV9</v>
      </c>
      <c r="D18463" s="2" t="s">
        <v>14294</v>
      </c>
      <c r="E18463" s="3">
        <v>0</v>
      </c>
      <c r="F18463" s="2">
        <v>761</v>
      </c>
      <c r="G18463" s="2">
        <v>100</v>
      </c>
      <c r="H18463" s="2">
        <v>144</v>
      </c>
      <c r="I18463" s="2">
        <v>177</v>
      </c>
      <c r="J18463" s="2">
        <v>608</v>
      </c>
      <c r="K18463" s="2">
        <v>1</v>
      </c>
      <c r="L18463" s="2">
        <v>144</v>
      </c>
    </row>
    <row r="18464" spans="1:12" x14ac:dyDescent="0.25">
      <c r="A18464" s="4" t="str">
        <f>HYPERLINK("http://www.rosaceae.org/Prunus/Prunus_persica/p.persica_gdr_reftransV1_0033289","p.persica_gdr_reftransV1_0033289")</f>
        <v>p.persica_gdr_reftransV1_0033289</v>
      </c>
      <c r="B18464" s="2">
        <v>2630</v>
      </c>
      <c r="C18464" s="4" t="str">
        <f>HYPERLINK("http://www.uniprot.org/uniprot/A0A0D2UI56","A0A0D2UI56")</f>
        <v>A0A0D2UI56</v>
      </c>
      <c r="D18464" s="2" t="s">
        <v>14295</v>
      </c>
      <c r="E18464" s="3">
        <v>7.4499999999999997E-150</v>
      </c>
      <c r="F18464" s="2">
        <v>979</v>
      </c>
      <c r="G18464" s="2">
        <v>95</v>
      </c>
      <c r="H18464" s="2">
        <v>197</v>
      </c>
      <c r="I18464" s="2">
        <v>695</v>
      </c>
      <c r="J18464" s="2">
        <v>1285</v>
      </c>
      <c r="K18464" s="2">
        <v>50</v>
      </c>
      <c r="L18464" s="2">
        <v>246</v>
      </c>
    </row>
    <row r="18465" spans="1:12" x14ac:dyDescent="0.25">
      <c r="A18465" s="4" t="str">
        <f>HYPERLINK("http://www.rosaceae.org/Prunus/Prunus_persica/p.persica_gdr_reftransV1_0035739","p.persica_gdr_reftransV1_0035739")</f>
        <v>p.persica_gdr_reftransV1_0035739</v>
      </c>
      <c r="B18465" s="2">
        <v>3756</v>
      </c>
      <c r="C18465" s="4" t="str">
        <f>HYPERLINK("http://www.uniprot.org/uniprot/M5WAC9","M5WAC9")</f>
        <v>M5WAC9</v>
      </c>
      <c r="D18465" s="2" t="s">
        <v>14296</v>
      </c>
      <c r="E18465" s="3">
        <v>0</v>
      </c>
      <c r="F18465" s="2">
        <v>4874</v>
      </c>
      <c r="G18465" s="2">
        <v>99</v>
      </c>
      <c r="H18465" s="2">
        <v>996</v>
      </c>
      <c r="I18465" s="2">
        <v>230</v>
      </c>
      <c r="J18465" s="2">
        <v>3217</v>
      </c>
      <c r="K18465" s="2">
        <v>1</v>
      </c>
      <c r="L18465" s="2">
        <v>991</v>
      </c>
    </row>
    <row r="18466" spans="1:12" x14ac:dyDescent="0.25">
      <c r="A18466" s="4" t="str">
        <f>HYPERLINK("http://www.rosaceae.org/Prunus/Prunus_persica/p.persica_gdr_reftransV1_0036439","p.persica_gdr_reftransV1_0036439")</f>
        <v>p.persica_gdr_reftransV1_0036439</v>
      </c>
      <c r="B18466" s="2">
        <v>2029</v>
      </c>
      <c r="C18466" s="4" t="str">
        <f>HYPERLINK("http://www.uniprot.org/uniprot/M5XRE0","M5XRE0")</f>
        <v>M5XRE0</v>
      </c>
      <c r="D18466" s="2" t="s">
        <v>14297</v>
      </c>
      <c r="E18466" s="3">
        <v>0</v>
      </c>
      <c r="F18466" s="2">
        <v>2075</v>
      </c>
      <c r="G18466" s="2">
        <v>100</v>
      </c>
      <c r="H18466" s="2">
        <v>468</v>
      </c>
      <c r="I18466" s="2">
        <v>183</v>
      </c>
      <c r="J18466" s="2">
        <v>1586</v>
      </c>
      <c r="K18466" s="2">
        <v>1</v>
      </c>
      <c r="L18466" s="2">
        <v>468</v>
      </c>
    </row>
    <row r="18467" spans="1:12" x14ac:dyDescent="0.25">
      <c r="A18467" s="4" t="str">
        <f>HYPERLINK("http://www.rosaceae.org/Prunus/Prunus_persica/p.persica_gdr_reftransV1_0037489","p.persica_gdr_reftransV1_0037489")</f>
        <v>p.persica_gdr_reftransV1_0037489</v>
      </c>
      <c r="B18467" s="2">
        <v>1816</v>
      </c>
      <c r="C18467" s="4" t="str">
        <f>HYPERLINK("http://www.uniprot.org/uniprot/M5XLN1","M5XLN1")</f>
        <v>M5XLN1</v>
      </c>
      <c r="D18467" s="2" t="s">
        <v>14298</v>
      </c>
      <c r="E18467" s="3">
        <v>0</v>
      </c>
      <c r="F18467" s="2">
        <v>1437</v>
      </c>
      <c r="G18467" s="2">
        <v>100</v>
      </c>
      <c r="H18467" s="2">
        <v>315</v>
      </c>
      <c r="I18467" s="2">
        <v>53</v>
      </c>
      <c r="J18467" s="2">
        <v>997</v>
      </c>
      <c r="K18467" s="2">
        <v>1</v>
      </c>
      <c r="L18467" s="2">
        <v>315</v>
      </c>
    </row>
    <row r="18468" spans="1:12" x14ac:dyDescent="0.25">
      <c r="A18468" s="4" t="str">
        <f>HYPERLINK("http://www.rosaceae.org/Prunus/Prunus_persica/p.persica_gdr_reftransV1_0039589","p.persica_gdr_reftransV1_0039589")</f>
        <v>p.persica_gdr_reftransV1_0039589</v>
      </c>
      <c r="B18468" s="2">
        <v>1997</v>
      </c>
      <c r="C18468" s="4" t="str">
        <f>HYPERLINK("http://www.uniprot.org/uniprot/M5WZX2","M5WZX2")</f>
        <v>M5WZX2</v>
      </c>
      <c r="D18468" s="2" t="s">
        <v>14299</v>
      </c>
      <c r="E18468" s="3">
        <v>0</v>
      </c>
      <c r="F18468" s="2">
        <v>2268</v>
      </c>
      <c r="G18468" s="2">
        <v>100</v>
      </c>
      <c r="H18468" s="2">
        <v>441</v>
      </c>
      <c r="I18468" s="2">
        <v>273</v>
      </c>
      <c r="J18468" s="2">
        <v>1595</v>
      </c>
      <c r="K18468" s="2">
        <v>1</v>
      </c>
      <c r="L18468" s="2">
        <v>441</v>
      </c>
    </row>
    <row r="18469" spans="1:12" x14ac:dyDescent="0.25">
      <c r="A18469" s="4" t="str">
        <f>HYPERLINK("http://www.rosaceae.org/Prunus/Prunus_persica/p.persica_gdr_reftransV1_0039939","p.persica_gdr_reftransV1_0039939")</f>
        <v>p.persica_gdr_reftransV1_0039939</v>
      </c>
      <c r="B18469" s="2">
        <v>1603</v>
      </c>
      <c r="C18469" s="4" t="str">
        <f>HYPERLINK("http://www.uniprot.org/uniprot/V4SCA8","V4SCA8")</f>
        <v>V4SCA8</v>
      </c>
      <c r="D18469" s="2" t="s">
        <v>14300</v>
      </c>
      <c r="E18469" s="3">
        <v>2.9799999999999998E-83</v>
      </c>
      <c r="F18469" s="2">
        <v>695</v>
      </c>
      <c r="G18469" s="2">
        <v>75</v>
      </c>
      <c r="H18469" s="2">
        <v>224</v>
      </c>
      <c r="I18469" s="2">
        <v>491</v>
      </c>
      <c r="J18469" s="2">
        <v>1159</v>
      </c>
      <c r="K18469" s="2">
        <v>69</v>
      </c>
      <c r="L18469" s="2">
        <v>289</v>
      </c>
    </row>
    <row r="18470" spans="1:12" x14ac:dyDescent="0.25">
      <c r="A18470" s="4" t="str">
        <f>HYPERLINK("http://www.rosaceae.org/Prunus/Prunus_persica/p.persica_gdr_reftransV1_0043089","p.persica_gdr_reftransV1_0043089")</f>
        <v>p.persica_gdr_reftransV1_0043089</v>
      </c>
      <c r="B18470" s="2">
        <v>1078</v>
      </c>
      <c r="C18470" s="4" t="str">
        <f>HYPERLINK("http://www.uniprot.org/uniprot/M5XKK4","M5XKK4")</f>
        <v>M5XKK4</v>
      </c>
      <c r="D18470" s="2" t="s">
        <v>14301</v>
      </c>
      <c r="E18470" s="3">
        <v>1.9500000000000001E-112</v>
      </c>
      <c r="F18470" s="2">
        <v>868</v>
      </c>
      <c r="G18470" s="2">
        <v>99</v>
      </c>
      <c r="H18470" s="2">
        <v>221</v>
      </c>
      <c r="I18470" s="2">
        <v>206</v>
      </c>
      <c r="J18470" s="2">
        <v>868</v>
      </c>
      <c r="K18470" s="2">
        <v>1</v>
      </c>
      <c r="L18470" s="2">
        <v>221</v>
      </c>
    </row>
    <row r="18471" spans="1:12" x14ac:dyDescent="0.25">
      <c r="A18471" s="4" t="str">
        <f>HYPERLINK("http://www.rosaceae.org/Prunus/Prunus_persica/p.persica_gdr_reftransV1_0043439","p.persica_gdr_reftransV1_0043439")</f>
        <v>p.persica_gdr_reftransV1_0043439</v>
      </c>
      <c r="B18471" s="2">
        <v>313</v>
      </c>
      <c r="C18471" s="4" t="str">
        <f>HYPERLINK("http://www.uniprot.org/uniprot/M5W485","M5W485")</f>
        <v>M5W485</v>
      </c>
      <c r="D18471" s="2" t="s">
        <v>14302</v>
      </c>
      <c r="E18471" s="3">
        <v>1.3199999999999999E-56</v>
      </c>
      <c r="F18471" s="2">
        <v>507</v>
      </c>
      <c r="G18471" s="2">
        <v>100</v>
      </c>
      <c r="H18471" s="2">
        <v>104</v>
      </c>
      <c r="I18471" s="2">
        <v>2</v>
      </c>
      <c r="J18471" s="2">
        <v>313</v>
      </c>
      <c r="K18471" s="2">
        <v>1259</v>
      </c>
      <c r="L18471" s="2">
        <v>1362</v>
      </c>
    </row>
    <row r="18472" spans="1:12" x14ac:dyDescent="0.25">
      <c r="A18472" s="4" t="str">
        <f>HYPERLINK("http://www.rosaceae.org/Prunus/Prunus_persica/p.persica_gdr_reftransV1_0044139","p.persica_gdr_reftransV1_0044139")</f>
        <v>p.persica_gdr_reftransV1_0044139</v>
      </c>
      <c r="B18472" s="2">
        <v>698</v>
      </c>
      <c r="C18472" s="4" t="str">
        <f>HYPERLINK("http://www.uniprot.org/uniprot/M5VH45","M5VH45")</f>
        <v>M5VH45</v>
      </c>
      <c r="D18472" s="2" t="s">
        <v>14303</v>
      </c>
      <c r="E18472" s="3">
        <v>3.2000000000000001E-107</v>
      </c>
      <c r="F18472" s="2">
        <v>832</v>
      </c>
      <c r="G18472" s="2">
        <v>96</v>
      </c>
      <c r="H18472" s="2">
        <v>183</v>
      </c>
      <c r="I18472" s="2">
        <v>82</v>
      </c>
      <c r="J18472" s="2">
        <v>630</v>
      </c>
      <c r="K18472" s="2">
        <v>1</v>
      </c>
      <c r="L18472" s="2">
        <v>183</v>
      </c>
    </row>
    <row r="18473" spans="1:12" x14ac:dyDescent="0.25">
      <c r="A18473" s="4" t="str">
        <f>HYPERLINK("http://www.rosaceae.org/Prunus/Prunus_persica/p.persica_gdr_reftransV1_0044489","p.persica_gdr_reftransV1_0044489")</f>
        <v>p.persica_gdr_reftransV1_0044489</v>
      </c>
      <c r="B18473" s="2">
        <v>1073</v>
      </c>
      <c r="C18473" s="4" t="str">
        <f>HYPERLINK("http://www.uniprot.org/uniprot/M5XDC8","M5XDC8")</f>
        <v>M5XDC8</v>
      </c>
      <c r="D18473" s="2" t="s">
        <v>712</v>
      </c>
      <c r="E18473" s="3">
        <v>5.89E-151</v>
      </c>
      <c r="F18473" s="2">
        <v>1123</v>
      </c>
      <c r="G18473" s="2">
        <v>100</v>
      </c>
      <c r="H18473" s="2">
        <v>233</v>
      </c>
      <c r="I18473" s="2">
        <v>288</v>
      </c>
      <c r="J18473" s="2">
        <v>986</v>
      </c>
      <c r="K18473" s="2">
        <v>1</v>
      </c>
      <c r="L18473" s="2">
        <v>233</v>
      </c>
    </row>
    <row r="18474" spans="1:12" x14ac:dyDescent="0.25">
      <c r="A18474" s="4" t="str">
        <f>HYPERLINK("http://www.rosaceae.org/Prunus/Prunus_persica/p.persica_gdr_reftransV1_0044839","p.persica_gdr_reftransV1_0044839")</f>
        <v>p.persica_gdr_reftransV1_0044839</v>
      </c>
      <c r="B18474" s="2">
        <v>1760</v>
      </c>
      <c r="C18474" s="4" t="str">
        <f>HYPERLINK("http://www.uniprot.org/uniprot/M5XCK7","M5XCK7")</f>
        <v>M5XCK7</v>
      </c>
      <c r="D18474" s="2" t="s">
        <v>10091</v>
      </c>
      <c r="E18474" s="3">
        <v>0</v>
      </c>
      <c r="F18474" s="2">
        <v>1622</v>
      </c>
      <c r="G18474" s="2">
        <v>99</v>
      </c>
      <c r="H18474" s="2">
        <v>299</v>
      </c>
      <c r="I18474" s="2">
        <v>523</v>
      </c>
      <c r="J18474" s="2">
        <v>1419</v>
      </c>
      <c r="K18474" s="2">
        <v>1</v>
      </c>
      <c r="L18474" s="2">
        <v>299</v>
      </c>
    </row>
    <row r="18475" spans="1:12" x14ac:dyDescent="0.25">
      <c r="A18475" s="4" t="str">
        <f>HYPERLINK("http://www.rosaceae.org/Prunus/Prunus_persica/p.persica_gdr_reftransV1_0045189","p.persica_gdr_reftransV1_0045189")</f>
        <v>p.persica_gdr_reftransV1_0045189</v>
      </c>
      <c r="B18475" s="2">
        <v>1712</v>
      </c>
      <c r="C18475" s="4" t="str">
        <f>HYPERLINK("http://www.uniprot.org/uniprot/M5WKN4","M5WKN4")</f>
        <v>M5WKN4</v>
      </c>
      <c r="D18475" s="2" t="s">
        <v>1250</v>
      </c>
      <c r="E18475" s="3">
        <v>1.24E-144</v>
      </c>
      <c r="F18475" s="2">
        <v>1115</v>
      </c>
      <c r="G18475" s="2">
        <v>100</v>
      </c>
      <c r="H18475" s="2">
        <v>209</v>
      </c>
      <c r="I18475" s="2">
        <v>190</v>
      </c>
      <c r="J18475" s="2">
        <v>816</v>
      </c>
      <c r="K18475" s="2">
        <v>1</v>
      </c>
      <c r="L18475" s="2">
        <v>209</v>
      </c>
    </row>
    <row r="18476" spans="1:12" x14ac:dyDescent="0.25">
      <c r="A18476" s="4" t="str">
        <f>HYPERLINK("http://www.rosaceae.org/Prunus/Prunus_persica/p.persica_gdr_reftransV1_0045539","p.persica_gdr_reftransV1_0045539")</f>
        <v>p.persica_gdr_reftransV1_0045539</v>
      </c>
      <c r="B18476" s="2">
        <v>2255</v>
      </c>
      <c r="C18476" s="4" t="str">
        <f>HYPERLINK("http://www.uniprot.org/uniprot/M5WL18","M5WL18")</f>
        <v>M5WL18</v>
      </c>
      <c r="D18476" s="2" t="s">
        <v>14304</v>
      </c>
      <c r="E18476" s="3">
        <v>0</v>
      </c>
      <c r="F18476" s="2">
        <v>3211</v>
      </c>
      <c r="G18476" s="2">
        <v>97</v>
      </c>
      <c r="H18476" s="2">
        <v>647</v>
      </c>
      <c r="I18476" s="2">
        <v>138</v>
      </c>
      <c r="J18476" s="2">
        <v>2027</v>
      </c>
      <c r="K18476" s="2">
        <v>1</v>
      </c>
      <c r="L18476" s="2">
        <v>647</v>
      </c>
    </row>
    <row r="18477" spans="1:12" x14ac:dyDescent="0.25">
      <c r="A18477" s="4" t="str">
        <f>HYPERLINK("http://www.rosaceae.org/Prunus/Prunus_persica/p.persica_gdr_reftransV1_0046239","p.persica_gdr_reftransV1_0046239")</f>
        <v>p.persica_gdr_reftransV1_0046239</v>
      </c>
      <c r="B18477" s="2">
        <v>334</v>
      </c>
      <c r="C18477" s="4" t="str">
        <f>HYPERLINK("http://www.uniprot.org/uniprot/M5Y447","M5Y447")</f>
        <v>M5Y447</v>
      </c>
      <c r="D18477" s="2" t="s">
        <v>8600</v>
      </c>
      <c r="E18477" s="3">
        <v>8.2E-62</v>
      </c>
      <c r="F18477" s="2">
        <v>541</v>
      </c>
      <c r="G18477" s="2">
        <v>99</v>
      </c>
      <c r="H18477" s="2">
        <v>100</v>
      </c>
      <c r="I18477" s="2">
        <v>33</v>
      </c>
      <c r="J18477" s="2">
        <v>332</v>
      </c>
      <c r="K18477" s="2">
        <v>863</v>
      </c>
      <c r="L18477" s="2">
        <v>962</v>
      </c>
    </row>
    <row r="18478" spans="1:12" x14ac:dyDescent="0.25">
      <c r="A18478" s="4" t="str">
        <f>HYPERLINK("http://www.rosaceae.org/Prunus/Prunus_persica/p.persica_gdr_reftransV1_0046589","p.persica_gdr_reftransV1_0046589")</f>
        <v>p.persica_gdr_reftransV1_0046589</v>
      </c>
      <c r="B18478" s="2">
        <v>943</v>
      </c>
      <c r="C18478" s="4" t="str">
        <f>HYPERLINK("http://www.uniprot.org/uniprot/M5XRA9","M5XRA9")</f>
        <v>M5XRA9</v>
      </c>
      <c r="D18478" s="2" t="s">
        <v>2690</v>
      </c>
      <c r="E18478" s="3">
        <v>0</v>
      </c>
      <c r="F18478" s="2">
        <v>1620</v>
      </c>
      <c r="G18478" s="2">
        <v>100</v>
      </c>
      <c r="H18478" s="2">
        <v>303</v>
      </c>
      <c r="I18478" s="2">
        <v>3</v>
      </c>
      <c r="J18478" s="2">
        <v>911</v>
      </c>
      <c r="K18478" s="2">
        <v>1</v>
      </c>
      <c r="L18478" s="2">
        <v>303</v>
      </c>
    </row>
    <row r="18479" spans="1:12" x14ac:dyDescent="0.25">
      <c r="A18479" s="4" t="str">
        <f>HYPERLINK("http://www.rosaceae.org/Prunus/Prunus_persica/p.persica_gdr_reftransV1_0046939","p.persica_gdr_reftransV1_0046939")</f>
        <v>p.persica_gdr_reftransV1_0046939</v>
      </c>
      <c r="B18479" s="2">
        <v>561</v>
      </c>
      <c r="C18479" s="4" t="str">
        <f>HYPERLINK("http://www.uniprot.org/uniprot/M5VKN1","M5VKN1")</f>
        <v>M5VKN1</v>
      </c>
      <c r="D18479" s="2" t="s">
        <v>14305</v>
      </c>
      <c r="E18479" s="3">
        <v>1.21E-88</v>
      </c>
      <c r="F18479" s="2">
        <v>691</v>
      </c>
      <c r="G18479" s="2">
        <v>88</v>
      </c>
      <c r="H18479" s="2">
        <v>186</v>
      </c>
      <c r="I18479" s="2">
        <v>3</v>
      </c>
      <c r="J18479" s="2">
        <v>560</v>
      </c>
      <c r="K18479" s="2">
        <v>21</v>
      </c>
      <c r="L18479" s="2">
        <v>183</v>
      </c>
    </row>
    <row r="18480" spans="1:12" x14ac:dyDescent="0.25">
      <c r="A18480" s="4" t="str">
        <f>HYPERLINK("http://www.rosaceae.org/Prunus/Prunus_persica/p.persica_gdr_reftransV1_0047289","p.persica_gdr_reftransV1_0047289")</f>
        <v>p.persica_gdr_reftransV1_0047289</v>
      </c>
      <c r="B18480" s="2">
        <v>926</v>
      </c>
      <c r="C18480" s="4" t="str">
        <f>HYPERLINK("http://www.uniprot.org/uniprot/M5XYV2","M5XYV2")</f>
        <v>M5XYV2</v>
      </c>
      <c r="D18480" s="2" t="s">
        <v>9751</v>
      </c>
      <c r="E18480" s="3">
        <v>3.1900000000000001E-68</v>
      </c>
      <c r="F18480" s="2">
        <v>572</v>
      </c>
      <c r="G18480" s="2">
        <v>100</v>
      </c>
      <c r="H18480" s="2">
        <v>135</v>
      </c>
      <c r="I18480" s="2">
        <v>121</v>
      </c>
      <c r="J18480" s="2">
        <v>525</v>
      </c>
      <c r="K18480" s="2">
        <v>126</v>
      </c>
      <c r="L18480" s="2">
        <v>260</v>
      </c>
    </row>
    <row r="18481" spans="1:12" x14ac:dyDescent="0.25">
      <c r="A18481" s="4" t="str">
        <f>HYPERLINK("http://www.rosaceae.org/Prunus/Prunus_persica/p.persica_gdr_reftransV1_0047989","p.persica_gdr_reftransV1_0047989")</f>
        <v>p.persica_gdr_reftransV1_0047989</v>
      </c>
      <c r="B18481" s="2">
        <v>1040</v>
      </c>
      <c r="C18481" s="4" t="str">
        <f>HYPERLINK("http://www.uniprot.org/uniprot/M5VU37","M5VU37")</f>
        <v>M5VU37</v>
      </c>
      <c r="D18481" s="2" t="s">
        <v>7632</v>
      </c>
      <c r="E18481" s="3">
        <v>1.5099999999999999E-175</v>
      </c>
      <c r="F18481" s="2">
        <v>1316</v>
      </c>
      <c r="G18481" s="2">
        <v>100</v>
      </c>
      <c r="H18481" s="2">
        <v>268</v>
      </c>
      <c r="I18481" s="2">
        <v>188</v>
      </c>
      <c r="J18481" s="2">
        <v>991</v>
      </c>
      <c r="K18481" s="2">
        <v>288</v>
      </c>
      <c r="L18481" s="2">
        <v>555</v>
      </c>
    </row>
    <row r="18482" spans="1:12" x14ac:dyDescent="0.25">
      <c r="A18482" s="4" t="str">
        <f>HYPERLINK("http://www.rosaceae.org/Prunus/Prunus_persica/p.persica_gdr_reftransV1_0048339","p.persica_gdr_reftransV1_0048339")</f>
        <v>p.persica_gdr_reftransV1_0048339</v>
      </c>
      <c r="B18482" s="2">
        <v>1814</v>
      </c>
      <c r="C18482" s="4" t="str">
        <f>HYPERLINK("http://www.uniprot.org/uniprot/M5XCX2","M5XCX2")</f>
        <v>M5XCX2</v>
      </c>
      <c r="D18482" s="2" t="s">
        <v>14306</v>
      </c>
      <c r="E18482" s="3">
        <v>0</v>
      </c>
      <c r="F18482" s="2">
        <v>2268</v>
      </c>
      <c r="G18482" s="2">
        <v>100</v>
      </c>
      <c r="H18482" s="2">
        <v>432</v>
      </c>
      <c r="I18482" s="2">
        <v>139</v>
      </c>
      <c r="J18482" s="2">
        <v>1434</v>
      </c>
      <c r="K18482" s="2">
        <v>1</v>
      </c>
      <c r="L18482" s="2">
        <v>432</v>
      </c>
    </row>
    <row r="18483" spans="1:12" x14ac:dyDescent="0.25">
      <c r="A18483" s="4" t="str">
        <f>HYPERLINK("http://www.rosaceae.org/Prunus/Prunus_persica/p.persica_gdr_reftransV1_0048689","p.persica_gdr_reftransV1_0048689")</f>
        <v>p.persica_gdr_reftransV1_0048689</v>
      </c>
      <c r="B18483" s="2">
        <v>1461</v>
      </c>
      <c r="C18483" s="4" t="str">
        <f>HYPERLINK("http://www.uniprot.org/uniprot/M5W236","M5W236")</f>
        <v>M5W236</v>
      </c>
      <c r="D18483" s="2" t="s">
        <v>14307</v>
      </c>
      <c r="E18483" s="3">
        <v>0</v>
      </c>
      <c r="F18483" s="2">
        <v>1722</v>
      </c>
      <c r="G18483" s="2">
        <v>100</v>
      </c>
      <c r="H18483" s="2">
        <v>363</v>
      </c>
      <c r="I18483" s="2">
        <v>138</v>
      </c>
      <c r="J18483" s="2">
        <v>1226</v>
      </c>
      <c r="K18483" s="2">
        <v>1</v>
      </c>
      <c r="L18483" s="2">
        <v>363</v>
      </c>
    </row>
    <row r="18484" spans="1:12" x14ac:dyDescent="0.25">
      <c r="A18484" s="4" t="str">
        <f>HYPERLINK("http://www.rosaceae.org/Prunus/Prunus_persica/p.persica_gdr_reftransV1_0049039","p.persica_gdr_reftransV1_0049039")</f>
        <v>p.persica_gdr_reftransV1_0049039</v>
      </c>
      <c r="B18484" s="2">
        <v>1482</v>
      </c>
      <c r="C18484" s="4" t="str">
        <f>HYPERLINK("http://www.uniprot.org/uniprot/M5WBT6","M5WBT6")</f>
        <v>M5WBT6</v>
      </c>
      <c r="D18484" s="2" t="s">
        <v>9220</v>
      </c>
      <c r="E18484" s="3">
        <v>0</v>
      </c>
      <c r="F18484" s="2">
        <v>1371</v>
      </c>
      <c r="G18484" s="2">
        <v>100</v>
      </c>
      <c r="H18484" s="2">
        <v>328</v>
      </c>
      <c r="I18484" s="2">
        <v>236</v>
      </c>
      <c r="J18484" s="2">
        <v>1219</v>
      </c>
      <c r="K18484" s="2">
        <v>1</v>
      </c>
      <c r="L18484" s="2">
        <v>328</v>
      </c>
    </row>
    <row r="18485" spans="1:12" x14ac:dyDescent="0.25">
      <c r="A18485" s="4" t="str">
        <f>HYPERLINK("http://www.rosaceae.org/Prunus/Prunus_persica/p.persica_gdr_reftransV1_0000040","p.persica_gdr_reftransV1_0000040")</f>
        <v>p.persica_gdr_reftransV1_0000040</v>
      </c>
      <c r="B18485" s="2">
        <v>1535</v>
      </c>
      <c r="C18485" s="4" t="str">
        <f>HYPERLINK("http://www.uniprot.org/uniprot/M5WV35","M5WV35")</f>
        <v>M5WV35</v>
      </c>
      <c r="D18485" s="2" t="s">
        <v>7122</v>
      </c>
      <c r="E18485" s="3">
        <v>0</v>
      </c>
      <c r="F18485" s="2">
        <v>1509</v>
      </c>
      <c r="G18485" s="2">
        <v>100</v>
      </c>
      <c r="H18485" s="2">
        <v>281</v>
      </c>
      <c r="I18485" s="2">
        <v>322</v>
      </c>
      <c r="J18485" s="2">
        <v>1164</v>
      </c>
      <c r="K18485" s="2">
        <v>1</v>
      </c>
      <c r="L18485" s="2">
        <v>281</v>
      </c>
    </row>
    <row r="18486" spans="1:12" x14ac:dyDescent="0.25">
      <c r="A18486" s="4" t="str">
        <f>HYPERLINK("http://www.rosaceae.org/Prunus/Prunus_persica/p.persica_gdr_reftransV1_0000390","p.persica_gdr_reftransV1_0000390")</f>
        <v>p.persica_gdr_reftransV1_0000390</v>
      </c>
      <c r="B18486" s="2">
        <v>913</v>
      </c>
      <c r="C18486" s="4" t="str">
        <f>HYPERLINK("http://www.uniprot.org/uniprot/Q6YNS1","Q6YNS1")</f>
        <v>Q6YNS1</v>
      </c>
      <c r="D18486" s="2" t="s">
        <v>6530</v>
      </c>
      <c r="E18486" s="3">
        <v>8.7099999999999992E-53</v>
      </c>
      <c r="F18486" s="2">
        <v>461</v>
      </c>
      <c r="G18486" s="2">
        <v>100</v>
      </c>
      <c r="H18486" s="2">
        <v>85</v>
      </c>
      <c r="I18486" s="2">
        <v>141</v>
      </c>
      <c r="J18486" s="2">
        <v>395</v>
      </c>
      <c r="K18486" s="2">
        <v>1</v>
      </c>
      <c r="L18486" s="2">
        <v>85</v>
      </c>
    </row>
    <row r="18487" spans="1:12" x14ac:dyDescent="0.25">
      <c r="A18487" s="4" t="str">
        <f>HYPERLINK("http://www.rosaceae.org/Prunus/Prunus_persica/p.persica_gdr_reftransV1_0000740","p.persica_gdr_reftransV1_0000740")</f>
        <v>p.persica_gdr_reftransV1_0000740</v>
      </c>
      <c r="B18487" s="2">
        <v>494</v>
      </c>
      <c r="C18487" s="4" t="str">
        <f>HYPERLINK("http://www.uniprot.org/uniprot/M5XE12","M5XE12")</f>
        <v>M5XE12</v>
      </c>
      <c r="D18487" s="2" t="s">
        <v>14308</v>
      </c>
      <c r="E18487" s="3">
        <v>3.0899999999999998E-115</v>
      </c>
      <c r="F18487" s="2">
        <v>892</v>
      </c>
      <c r="G18487" s="2">
        <v>100</v>
      </c>
      <c r="H18487" s="2">
        <v>164</v>
      </c>
      <c r="I18487" s="2">
        <v>2</v>
      </c>
      <c r="J18487" s="2">
        <v>493</v>
      </c>
      <c r="K18487" s="2">
        <v>162</v>
      </c>
      <c r="L18487" s="2">
        <v>325</v>
      </c>
    </row>
    <row r="18488" spans="1:12" x14ac:dyDescent="0.25">
      <c r="A18488" s="4" t="str">
        <f>HYPERLINK("http://www.rosaceae.org/Prunus/Prunus_persica/p.persica_gdr_reftransV1_0001440","p.persica_gdr_reftransV1_0001440")</f>
        <v>p.persica_gdr_reftransV1_0001440</v>
      </c>
      <c r="B18488" s="2">
        <v>949</v>
      </c>
      <c r="C18488" s="4" t="str">
        <f>HYPERLINK("http://www.uniprot.org/uniprot/M5VNE7","M5VNE7")</f>
        <v>M5VNE7</v>
      </c>
      <c r="D18488" s="2" t="s">
        <v>14309</v>
      </c>
      <c r="E18488" s="3">
        <v>5.62E-151</v>
      </c>
      <c r="F18488" s="2">
        <v>1118</v>
      </c>
      <c r="G18488" s="2">
        <v>95</v>
      </c>
      <c r="H18488" s="2">
        <v>227</v>
      </c>
      <c r="I18488" s="2">
        <v>202</v>
      </c>
      <c r="J18488" s="2">
        <v>882</v>
      </c>
      <c r="K18488" s="2">
        <v>1</v>
      </c>
      <c r="L18488" s="2">
        <v>227</v>
      </c>
    </row>
    <row r="18489" spans="1:12" x14ac:dyDescent="0.25">
      <c r="A18489" s="4" t="str">
        <f>HYPERLINK("http://www.rosaceae.org/Prunus/Prunus_persica/p.persica_gdr_reftransV1_0001790","p.persica_gdr_reftransV1_0001790")</f>
        <v>p.persica_gdr_reftransV1_0001790</v>
      </c>
      <c r="B18489" s="2">
        <v>470</v>
      </c>
      <c r="C18489" s="4" t="str">
        <f>HYPERLINK("http://www.uniprot.org/uniprot/M5WHT1","M5WHT1")</f>
        <v>M5WHT1</v>
      </c>
      <c r="D18489" s="2" t="s">
        <v>6914</v>
      </c>
      <c r="E18489" s="3">
        <v>4.7200000000000002E-9</v>
      </c>
      <c r="F18489" s="2">
        <v>156</v>
      </c>
      <c r="G18489" s="2">
        <v>43</v>
      </c>
      <c r="H18489" s="2">
        <v>120</v>
      </c>
      <c r="I18489" s="2">
        <v>108</v>
      </c>
      <c r="J18489" s="2">
        <v>467</v>
      </c>
      <c r="K18489" s="2">
        <v>17</v>
      </c>
      <c r="L18489" s="2">
        <v>136</v>
      </c>
    </row>
    <row r="18490" spans="1:12" x14ac:dyDescent="0.25">
      <c r="A18490" s="4" t="str">
        <f>HYPERLINK("http://www.rosaceae.org/Prunus/Prunus_persica/p.persica_gdr_reftransV1_0002140","p.persica_gdr_reftransV1_0002140")</f>
        <v>p.persica_gdr_reftransV1_0002140</v>
      </c>
      <c r="B18490" s="2">
        <v>486</v>
      </c>
      <c r="C18490" s="4" t="str">
        <f>HYPERLINK("http://www.uniprot.org/uniprot/M5XRA6","M5XRA6")</f>
        <v>M5XRA6</v>
      </c>
      <c r="D18490" s="2" t="s">
        <v>13813</v>
      </c>
      <c r="E18490" s="3">
        <v>7.6699999999999998E-97</v>
      </c>
      <c r="F18490" s="2">
        <v>787</v>
      </c>
      <c r="G18490" s="2">
        <v>100</v>
      </c>
      <c r="H18490" s="2">
        <v>162</v>
      </c>
      <c r="I18490" s="2">
        <v>1</v>
      </c>
      <c r="J18490" s="2">
        <v>486</v>
      </c>
      <c r="K18490" s="2">
        <v>22</v>
      </c>
      <c r="L18490" s="2">
        <v>183</v>
      </c>
    </row>
    <row r="18491" spans="1:12" x14ac:dyDescent="0.25">
      <c r="A18491" s="4" t="str">
        <f>HYPERLINK("http://www.rosaceae.org/Prunus/Prunus_persica/p.persica_gdr_reftransV1_0002490","p.persica_gdr_reftransV1_0002490")</f>
        <v>p.persica_gdr_reftransV1_0002490</v>
      </c>
      <c r="B18491" s="2">
        <v>645</v>
      </c>
      <c r="C18491" s="4" t="str">
        <f>HYPERLINK("http://www.uniprot.org/uniprot/C7YHG9","C7YHG9")</f>
        <v>C7YHG9</v>
      </c>
      <c r="D18491" s="2" t="s">
        <v>14310</v>
      </c>
      <c r="E18491" s="3">
        <v>5.9199999999999999E-73</v>
      </c>
      <c r="F18491" s="2">
        <v>610</v>
      </c>
      <c r="G18491" s="2">
        <v>71</v>
      </c>
      <c r="H18491" s="2">
        <v>161</v>
      </c>
      <c r="I18491" s="2">
        <v>1</v>
      </c>
      <c r="J18491" s="2">
        <v>480</v>
      </c>
      <c r="K18491" s="2">
        <v>279</v>
      </c>
      <c r="L18491" s="2">
        <v>439</v>
      </c>
    </row>
    <row r="18492" spans="1:12" x14ac:dyDescent="0.25">
      <c r="A18492" s="4" t="str">
        <f>HYPERLINK("http://www.rosaceae.org/Prunus/Prunus_persica/p.persica_gdr_reftransV1_0003190","p.persica_gdr_reftransV1_0003190")</f>
        <v>p.persica_gdr_reftransV1_0003190</v>
      </c>
      <c r="B18492" s="2">
        <v>632</v>
      </c>
      <c r="C18492" s="4" t="str">
        <f>HYPERLINK("http://www.uniprot.org/uniprot/M5XBG9","M5XBG9")</f>
        <v>M5XBG9</v>
      </c>
      <c r="D18492" s="2" t="s">
        <v>14311</v>
      </c>
      <c r="E18492" s="3">
        <v>1.18E-136</v>
      </c>
      <c r="F18492" s="2">
        <v>1098</v>
      </c>
      <c r="G18492" s="2">
        <v>100</v>
      </c>
      <c r="H18492" s="2">
        <v>204</v>
      </c>
      <c r="I18492" s="2">
        <v>19</v>
      </c>
      <c r="J18492" s="2">
        <v>630</v>
      </c>
      <c r="K18492" s="2">
        <v>299</v>
      </c>
      <c r="L18492" s="2">
        <v>502</v>
      </c>
    </row>
    <row r="18493" spans="1:12" x14ac:dyDescent="0.25">
      <c r="A18493" s="4" t="str">
        <f>HYPERLINK("http://www.rosaceae.org/Prunus/Prunus_persica/p.persica_gdr_reftransV1_0003540","p.persica_gdr_reftransV1_0003540")</f>
        <v>p.persica_gdr_reftransV1_0003540</v>
      </c>
      <c r="B18493" s="2">
        <v>521</v>
      </c>
      <c r="C18493" s="4" t="str">
        <f>HYPERLINK("http://www.uniprot.org/uniprot/A0A0G4N8I2","A0A0G4N8I2")</f>
        <v>A0A0G4N8I2</v>
      </c>
      <c r="D18493" s="2" t="s">
        <v>14312</v>
      </c>
      <c r="E18493" s="3">
        <v>1.91E-107</v>
      </c>
      <c r="F18493" s="2">
        <v>831</v>
      </c>
      <c r="G18493" s="2">
        <v>87</v>
      </c>
      <c r="H18493" s="2">
        <v>173</v>
      </c>
      <c r="I18493" s="2">
        <v>1</v>
      </c>
      <c r="J18493" s="2">
        <v>519</v>
      </c>
      <c r="K18493" s="2">
        <v>180</v>
      </c>
      <c r="L18493" s="2">
        <v>352</v>
      </c>
    </row>
    <row r="18494" spans="1:12" x14ac:dyDescent="0.25">
      <c r="A18494" s="4" t="str">
        <f>HYPERLINK("http://www.rosaceae.org/Prunus/Prunus_persica/p.persica_gdr_reftransV1_0003890","p.persica_gdr_reftransV1_0003890")</f>
        <v>p.persica_gdr_reftransV1_0003890</v>
      </c>
      <c r="B18494" s="2">
        <v>1328</v>
      </c>
      <c r="C18494" s="4" t="str">
        <f>HYPERLINK("http://www.uniprot.org/uniprot/M5WTJ1","M5WTJ1")</f>
        <v>M5WTJ1</v>
      </c>
      <c r="D18494" s="2" t="s">
        <v>4688</v>
      </c>
      <c r="E18494" s="3">
        <v>3.2000000000000001E-179</v>
      </c>
      <c r="F18494" s="2">
        <v>1322</v>
      </c>
      <c r="G18494" s="2">
        <v>100</v>
      </c>
      <c r="H18494" s="2">
        <v>261</v>
      </c>
      <c r="I18494" s="2">
        <v>237</v>
      </c>
      <c r="J18494" s="2">
        <v>1019</v>
      </c>
      <c r="K18494" s="2">
        <v>1</v>
      </c>
      <c r="L18494" s="2">
        <v>261</v>
      </c>
    </row>
    <row r="18495" spans="1:12" x14ac:dyDescent="0.25">
      <c r="A18495" s="4" t="str">
        <f>HYPERLINK("http://www.rosaceae.org/Prunus/Prunus_persica/p.persica_gdr_reftransV1_0004240","p.persica_gdr_reftransV1_0004240")</f>
        <v>p.persica_gdr_reftransV1_0004240</v>
      </c>
      <c r="B18495" s="2">
        <v>3813</v>
      </c>
      <c r="C18495" s="4" t="str">
        <f>HYPERLINK("http://www.uniprot.org/uniprot/M5Y3E8","M5Y3E8")</f>
        <v>M5Y3E8</v>
      </c>
      <c r="D18495" s="2" t="s">
        <v>14313</v>
      </c>
      <c r="E18495" s="3">
        <v>0</v>
      </c>
      <c r="F18495" s="2">
        <v>4463</v>
      </c>
      <c r="G18495" s="2">
        <v>97</v>
      </c>
      <c r="H18495" s="2">
        <v>995</v>
      </c>
      <c r="I18495" s="2">
        <v>439</v>
      </c>
      <c r="J18495" s="2">
        <v>3423</v>
      </c>
      <c r="K18495" s="2">
        <v>1</v>
      </c>
      <c r="L18495" s="2">
        <v>973</v>
      </c>
    </row>
    <row r="18496" spans="1:12" x14ac:dyDescent="0.25">
      <c r="A18496" s="4" t="str">
        <f>HYPERLINK("http://www.rosaceae.org/Prunus/Prunus_persica/p.persica_gdr_reftransV1_0004590","p.persica_gdr_reftransV1_0004590")</f>
        <v>p.persica_gdr_reftransV1_0004590</v>
      </c>
      <c r="B18496" s="2">
        <v>3893</v>
      </c>
      <c r="C18496" s="4" t="str">
        <f>HYPERLINK("http://www.uniprot.org/uniprot/M5WQP2","M5WQP2")</f>
        <v>M5WQP2</v>
      </c>
      <c r="D18496" s="2" t="s">
        <v>14314</v>
      </c>
      <c r="E18496" s="3">
        <v>0</v>
      </c>
      <c r="F18496" s="2">
        <v>4474</v>
      </c>
      <c r="G18496" s="2">
        <v>92</v>
      </c>
      <c r="H18496" s="2">
        <v>955</v>
      </c>
      <c r="I18496" s="2">
        <v>875</v>
      </c>
      <c r="J18496" s="2">
        <v>3739</v>
      </c>
      <c r="K18496" s="2">
        <v>1</v>
      </c>
      <c r="L18496" s="2">
        <v>901</v>
      </c>
    </row>
    <row r="18497" spans="1:12" x14ac:dyDescent="0.25">
      <c r="A18497" s="4" t="str">
        <f>HYPERLINK("http://www.rosaceae.org/Prunus/Prunus_persica/p.persica_gdr_reftransV1_0004940","p.persica_gdr_reftransV1_0004940")</f>
        <v>p.persica_gdr_reftransV1_0004940</v>
      </c>
      <c r="B18497" s="2">
        <v>1003</v>
      </c>
      <c r="C18497" s="4" t="str">
        <f>HYPERLINK("http://www.uniprot.org/uniprot/M5XPV0","M5XPV0")</f>
        <v>M5XPV0</v>
      </c>
      <c r="D18497" s="2" t="s">
        <v>14315</v>
      </c>
      <c r="E18497" s="3">
        <v>5.0999999999999999E-104</v>
      </c>
      <c r="F18497" s="2">
        <v>590</v>
      </c>
      <c r="G18497" s="2">
        <v>84</v>
      </c>
      <c r="H18497" s="2">
        <v>195</v>
      </c>
      <c r="I18497" s="2">
        <v>418</v>
      </c>
      <c r="J18497" s="2">
        <v>1002</v>
      </c>
      <c r="K18497" s="2">
        <v>729</v>
      </c>
      <c r="L18497" s="2">
        <v>923</v>
      </c>
    </row>
    <row r="18498" spans="1:12" x14ac:dyDescent="0.25">
      <c r="A18498" s="4" t="str">
        <f>HYPERLINK("http://www.rosaceae.org/Prunus/Prunus_persica/p.persica_gdr_reftransV1_0005640","p.persica_gdr_reftransV1_0005640")</f>
        <v>p.persica_gdr_reftransV1_0005640</v>
      </c>
      <c r="B18498" s="2">
        <v>937</v>
      </c>
      <c r="C18498" s="4" t="str">
        <f>HYPERLINK("http://www.uniprot.org/uniprot/M4QC20","M4QC20")</f>
        <v>M4QC20</v>
      </c>
      <c r="D18498" s="2" t="s">
        <v>14316</v>
      </c>
      <c r="E18498" s="3">
        <v>0</v>
      </c>
      <c r="F18498" s="2">
        <v>1361</v>
      </c>
      <c r="G18498" s="2">
        <v>100</v>
      </c>
      <c r="H18498" s="2">
        <v>277</v>
      </c>
      <c r="I18498" s="2">
        <v>105</v>
      </c>
      <c r="J18498" s="2">
        <v>935</v>
      </c>
      <c r="K18498" s="2">
        <v>54</v>
      </c>
      <c r="L18498" s="2">
        <v>330</v>
      </c>
    </row>
    <row r="18499" spans="1:12" x14ac:dyDescent="0.25">
      <c r="A18499" s="4" t="str">
        <f>HYPERLINK("http://www.rosaceae.org/Prunus/Prunus_persica/p.persica_gdr_reftransV1_0006340","p.persica_gdr_reftransV1_0006340")</f>
        <v>p.persica_gdr_reftransV1_0006340</v>
      </c>
      <c r="B18499" s="2">
        <v>469</v>
      </c>
      <c r="C18499" s="4" t="str">
        <f>HYPERLINK("http://www.uniprot.org/uniprot/M5WSK1","M5WSK1")</f>
        <v>M5WSK1</v>
      </c>
      <c r="D18499" s="2" t="s">
        <v>513</v>
      </c>
      <c r="E18499" s="3">
        <v>6.6299999999999995E-50</v>
      </c>
      <c r="F18499" s="2">
        <v>450</v>
      </c>
      <c r="G18499" s="2">
        <v>100</v>
      </c>
      <c r="H18499" s="2">
        <v>123</v>
      </c>
      <c r="I18499" s="2">
        <v>100</v>
      </c>
      <c r="J18499" s="2">
        <v>468</v>
      </c>
      <c r="K18499" s="2">
        <v>1</v>
      </c>
      <c r="L18499" s="2">
        <v>123</v>
      </c>
    </row>
    <row r="18500" spans="1:12" x14ac:dyDescent="0.25">
      <c r="A18500" s="4" t="str">
        <f>HYPERLINK("http://www.rosaceae.org/Prunus/Prunus_persica/p.persica_gdr_reftransV1_0006690","p.persica_gdr_reftransV1_0006690")</f>
        <v>p.persica_gdr_reftransV1_0006690</v>
      </c>
      <c r="B18500" s="2">
        <v>558</v>
      </c>
      <c r="C18500" s="4" t="str">
        <f>HYPERLINK("http://www.uniprot.org/uniprot/M5XB68","M5XB68")</f>
        <v>M5XB68</v>
      </c>
      <c r="D18500" s="2" t="s">
        <v>14317</v>
      </c>
      <c r="E18500" s="3">
        <v>1.0099999999999999E-82</v>
      </c>
      <c r="F18500" s="2">
        <v>646</v>
      </c>
      <c r="G18500" s="2">
        <v>100</v>
      </c>
      <c r="H18500" s="2">
        <v>121</v>
      </c>
      <c r="I18500" s="2">
        <v>3</v>
      </c>
      <c r="J18500" s="2">
        <v>365</v>
      </c>
      <c r="K18500" s="2">
        <v>30</v>
      </c>
      <c r="L18500" s="2">
        <v>150</v>
      </c>
    </row>
    <row r="18501" spans="1:12" x14ac:dyDescent="0.25">
      <c r="A18501" s="4" t="str">
        <f>HYPERLINK("http://www.rosaceae.org/Prunus/Prunus_persica/p.persica_gdr_reftransV1_0007040","p.persica_gdr_reftransV1_0007040")</f>
        <v>p.persica_gdr_reftransV1_0007040</v>
      </c>
      <c r="B18501" s="2">
        <v>538</v>
      </c>
      <c r="C18501" s="4" t="str">
        <f>HYPERLINK("http://www.uniprot.org/uniprot/M5XGY7","M5XGY7")</f>
        <v>M5XGY7</v>
      </c>
      <c r="D18501" s="2" t="s">
        <v>11392</v>
      </c>
      <c r="E18501" s="3">
        <v>2.0100000000000001E-102</v>
      </c>
      <c r="F18501" s="2">
        <v>815</v>
      </c>
      <c r="G18501" s="2">
        <v>100</v>
      </c>
      <c r="H18501" s="2">
        <v>153</v>
      </c>
      <c r="I18501" s="2">
        <v>3</v>
      </c>
      <c r="J18501" s="2">
        <v>461</v>
      </c>
      <c r="K18501" s="2">
        <v>444</v>
      </c>
      <c r="L18501" s="2">
        <v>596</v>
      </c>
    </row>
    <row r="18502" spans="1:12" x14ac:dyDescent="0.25">
      <c r="A18502" s="4" t="str">
        <f>HYPERLINK("http://www.rosaceae.org/Prunus/Prunus_persica/p.persica_gdr_reftransV1_0007390","p.persica_gdr_reftransV1_0007390")</f>
        <v>p.persica_gdr_reftransV1_0007390</v>
      </c>
      <c r="B18502" s="2">
        <v>3010</v>
      </c>
      <c r="C18502" s="4" t="str">
        <f>HYPERLINK("http://www.uniprot.org/uniprot/M5X0C9","M5X0C9")</f>
        <v>M5X0C9</v>
      </c>
      <c r="D18502" s="2" t="s">
        <v>14318</v>
      </c>
      <c r="E18502" s="3">
        <v>0</v>
      </c>
      <c r="F18502" s="2">
        <v>3735</v>
      </c>
      <c r="G18502" s="2">
        <v>100</v>
      </c>
      <c r="H18502" s="2">
        <v>732</v>
      </c>
      <c r="I18502" s="2">
        <v>380</v>
      </c>
      <c r="J18502" s="2">
        <v>2575</v>
      </c>
      <c r="K18502" s="2">
        <v>1</v>
      </c>
      <c r="L18502" s="2">
        <v>732</v>
      </c>
    </row>
    <row r="18503" spans="1:12" x14ac:dyDescent="0.25">
      <c r="A18503" s="4" t="str">
        <f>HYPERLINK("http://www.rosaceae.org/Prunus/Prunus_persica/p.persica_gdr_reftransV1_0009490","p.persica_gdr_reftransV1_0009490")</f>
        <v>p.persica_gdr_reftransV1_0009490</v>
      </c>
      <c r="B18503" s="2">
        <v>3447</v>
      </c>
      <c r="C18503" s="4" t="str">
        <f>HYPERLINK("http://www.uniprot.org/uniprot/M5W7F6","M5W7F6")</f>
        <v>M5W7F6</v>
      </c>
      <c r="D18503" s="2" t="s">
        <v>14319</v>
      </c>
      <c r="E18503" s="3">
        <v>0</v>
      </c>
      <c r="F18503" s="2">
        <v>4714</v>
      </c>
      <c r="G18503" s="2">
        <v>100</v>
      </c>
      <c r="H18503" s="2">
        <v>956</v>
      </c>
      <c r="I18503" s="2">
        <v>507</v>
      </c>
      <c r="J18503" s="2">
        <v>3374</v>
      </c>
      <c r="K18503" s="2">
        <v>1</v>
      </c>
      <c r="L18503" s="2">
        <v>956</v>
      </c>
    </row>
    <row r="18504" spans="1:12" x14ac:dyDescent="0.25">
      <c r="A18504" s="4" t="str">
        <f>HYPERLINK("http://www.rosaceae.org/Prunus/Prunus_persica/p.persica_gdr_reftransV1_0009840","p.persica_gdr_reftransV1_0009840")</f>
        <v>p.persica_gdr_reftransV1_0009840</v>
      </c>
      <c r="B18504" s="2">
        <v>1554</v>
      </c>
      <c r="C18504" s="4" t="str">
        <f>HYPERLINK("http://www.uniprot.org/uniprot/M5WAG0","M5WAG0")</f>
        <v>M5WAG0</v>
      </c>
      <c r="D18504" s="2" t="s">
        <v>14320</v>
      </c>
      <c r="E18504" s="3">
        <v>2.6099999999999999E-160</v>
      </c>
      <c r="F18504" s="2">
        <v>1203</v>
      </c>
      <c r="G18504" s="2">
        <v>100</v>
      </c>
      <c r="H18504" s="2">
        <v>246</v>
      </c>
      <c r="I18504" s="2">
        <v>355</v>
      </c>
      <c r="J18504" s="2">
        <v>1092</v>
      </c>
      <c r="K18504" s="2">
        <v>1</v>
      </c>
      <c r="L18504" s="2">
        <v>246</v>
      </c>
    </row>
    <row r="18505" spans="1:12" x14ac:dyDescent="0.25">
      <c r="A18505" s="4" t="str">
        <f>HYPERLINK("http://www.rosaceae.org/Prunus/Prunus_persica/p.persica_gdr_reftransV1_0010190","p.persica_gdr_reftransV1_0010190")</f>
        <v>p.persica_gdr_reftransV1_0010190</v>
      </c>
      <c r="B18505" s="2">
        <v>3473</v>
      </c>
      <c r="C18505" s="4" t="str">
        <f>HYPERLINK("http://www.uniprot.org/uniprot/M5W525","M5W525")</f>
        <v>M5W525</v>
      </c>
      <c r="D18505" s="2" t="s">
        <v>14321</v>
      </c>
      <c r="E18505" s="3">
        <v>0</v>
      </c>
      <c r="F18505" s="2">
        <v>4562</v>
      </c>
      <c r="G18505" s="2">
        <v>94</v>
      </c>
      <c r="H18505" s="2">
        <v>975</v>
      </c>
      <c r="I18505" s="2">
        <v>337</v>
      </c>
      <c r="J18505" s="2">
        <v>3261</v>
      </c>
      <c r="K18505" s="2">
        <v>8</v>
      </c>
      <c r="L18505" s="2">
        <v>927</v>
      </c>
    </row>
    <row r="18506" spans="1:12" x14ac:dyDescent="0.25">
      <c r="A18506" s="4" t="str">
        <f>HYPERLINK("http://www.rosaceae.org/Prunus/Prunus_persica/p.persica_gdr_reftransV1_0010540","p.persica_gdr_reftransV1_0010540")</f>
        <v>p.persica_gdr_reftransV1_0010540</v>
      </c>
      <c r="B18506" s="2">
        <v>1545</v>
      </c>
      <c r="C18506" s="4" t="str">
        <f>HYPERLINK("http://www.uniprot.org/uniprot/M5Y5U8","M5Y5U8")</f>
        <v>M5Y5U8</v>
      </c>
      <c r="D18506" s="2" t="s">
        <v>14322</v>
      </c>
      <c r="E18506" s="3">
        <v>1.6800000000000001E-88</v>
      </c>
      <c r="F18506" s="2">
        <v>714</v>
      </c>
      <c r="G18506" s="2">
        <v>100</v>
      </c>
      <c r="H18506" s="2">
        <v>134</v>
      </c>
      <c r="I18506" s="2">
        <v>908</v>
      </c>
      <c r="J18506" s="2">
        <v>1309</v>
      </c>
      <c r="K18506" s="2">
        <v>1</v>
      </c>
      <c r="L18506" s="2">
        <v>134</v>
      </c>
    </row>
    <row r="18507" spans="1:12" x14ac:dyDescent="0.25">
      <c r="A18507" s="4" t="str">
        <f>HYPERLINK("http://www.rosaceae.org/Prunus/Prunus_persica/p.persica_gdr_reftransV1_0010890","p.persica_gdr_reftransV1_0010890")</f>
        <v>p.persica_gdr_reftransV1_0010890</v>
      </c>
      <c r="B18507" s="2">
        <v>800</v>
      </c>
      <c r="C18507" s="4" t="str">
        <f>HYPERLINK("http://www.uniprot.org/uniprot/A0A087PQ99","A0A087PQ99")</f>
        <v>A0A087PQ99</v>
      </c>
      <c r="D18507" s="2" t="s">
        <v>2781</v>
      </c>
      <c r="E18507" s="3">
        <v>7.0600000000000005E-66</v>
      </c>
      <c r="F18507" s="2">
        <v>594</v>
      </c>
      <c r="G18507" s="2">
        <v>66</v>
      </c>
      <c r="H18507" s="2">
        <v>160</v>
      </c>
      <c r="I18507" s="2">
        <v>3</v>
      </c>
      <c r="J18507" s="2">
        <v>482</v>
      </c>
      <c r="K18507" s="2">
        <v>1</v>
      </c>
      <c r="L18507" s="2">
        <v>160</v>
      </c>
    </row>
    <row r="18508" spans="1:12" x14ac:dyDescent="0.25">
      <c r="A18508" s="4" t="str">
        <f>HYPERLINK("http://www.rosaceae.org/Prunus/Prunus_persica/p.persica_gdr_reftransV1_0011240","p.persica_gdr_reftransV1_0011240")</f>
        <v>p.persica_gdr_reftransV1_0011240</v>
      </c>
      <c r="B18508" s="2">
        <v>1391</v>
      </c>
      <c r="C18508" s="4" t="str">
        <f>HYPERLINK("http://www.uniprot.org/uniprot/M5VRT4","M5VRT4")</f>
        <v>M5VRT4</v>
      </c>
      <c r="D18508" s="2" t="s">
        <v>14323</v>
      </c>
      <c r="E18508" s="3">
        <v>0</v>
      </c>
      <c r="F18508" s="2">
        <v>1708</v>
      </c>
      <c r="G18508" s="2">
        <v>100</v>
      </c>
      <c r="H18508" s="2">
        <v>315</v>
      </c>
      <c r="I18508" s="2">
        <v>328</v>
      </c>
      <c r="J18508" s="2">
        <v>1272</v>
      </c>
      <c r="K18508" s="2">
        <v>1</v>
      </c>
      <c r="L18508" s="2">
        <v>315</v>
      </c>
    </row>
    <row r="18509" spans="1:12" x14ac:dyDescent="0.25">
      <c r="A18509" s="4" t="str">
        <f>HYPERLINK("http://www.rosaceae.org/Prunus/Prunus_persica/p.persica_gdr_reftransV1_0011940","p.persica_gdr_reftransV1_0011940")</f>
        <v>p.persica_gdr_reftransV1_0011940</v>
      </c>
      <c r="B18509" s="2">
        <v>3043</v>
      </c>
      <c r="C18509" s="4" t="str">
        <f>HYPERLINK("http://www.uniprot.org/uniprot/F6HQN9","F6HQN9")</f>
        <v>F6HQN9</v>
      </c>
      <c r="D18509" s="2" t="s">
        <v>14324</v>
      </c>
      <c r="E18509" s="3">
        <v>0</v>
      </c>
      <c r="F18509" s="2">
        <v>3335</v>
      </c>
      <c r="G18509" s="2">
        <v>75</v>
      </c>
      <c r="H18509" s="2">
        <v>894</v>
      </c>
      <c r="I18509" s="2">
        <v>107</v>
      </c>
      <c r="J18509" s="2">
        <v>2779</v>
      </c>
      <c r="K18509" s="2">
        <v>1</v>
      </c>
      <c r="L18509" s="2">
        <v>884</v>
      </c>
    </row>
    <row r="18510" spans="1:12" x14ac:dyDescent="0.25">
      <c r="A18510" s="4" t="str">
        <f>HYPERLINK("http://www.rosaceae.org/Prunus/Prunus_persica/p.persica_gdr_reftransV1_0012290","p.persica_gdr_reftransV1_0012290")</f>
        <v>p.persica_gdr_reftransV1_0012290</v>
      </c>
      <c r="B18510" s="2">
        <v>2401</v>
      </c>
      <c r="C18510" s="4" t="str">
        <f>HYPERLINK("http://www.uniprot.org/uniprot/M5WD65","M5WD65")</f>
        <v>M5WD65</v>
      </c>
      <c r="D18510" s="2" t="s">
        <v>14325</v>
      </c>
      <c r="E18510" s="3">
        <v>0</v>
      </c>
      <c r="F18510" s="2">
        <v>3063</v>
      </c>
      <c r="G18510" s="2">
        <v>100</v>
      </c>
      <c r="H18510" s="2">
        <v>568</v>
      </c>
      <c r="I18510" s="2">
        <v>506</v>
      </c>
      <c r="J18510" s="2">
        <v>2209</v>
      </c>
      <c r="K18510" s="2">
        <v>1</v>
      </c>
      <c r="L18510" s="2">
        <v>568</v>
      </c>
    </row>
    <row r="18511" spans="1:12" x14ac:dyDescent="0.25">
      <c r="A18511" s="4" t="str">
        <f>HYPERLINK("http://www.rosaceae.org/Prunus/Prunus_persica/p.persica_gdr_reftransV1_0012640","p.persica_gdr_reftransV1_0012640")</f>
        <v>p.persica_gdr_reftransV1_0012640</v>
      </c>
      <c r="B18511" s="2">
        <v>1054</v>
      </c>
      <c r="C18511" s="4" t="str">
        <f>HYPERLINK("http://www.uniprot.org/uniprot/M5WAZ6","M5WAZ6")</f>
        <v>M5WAZ6</v>
      </c>
      <c r="D18511" s="2" t="s">
        <v>9412</v>
      </c>
      <c r="E18511" s="3">
        <v>2.8200000000000002E-84</v>
      </c>
      <c r="F18511" s="2">
        <v>673</v>
      </c>
      <c r="G18511" s="2">
        <v>100</v>
      </c>
      <c r="H18511" s="2">
        <v>152</v>
      </c>
      <c r="I18511" s="2">
        <v>79</v>
      </c>
      <c r="J18511" s="2">
        <v>534</v>
      </c>
      <c r="K18511" s="2">
        <v>1</v>
      </c>
      <c r="L18511" s="2">
        <v>152</v>
      </c>
    </row>
    <row r="18512" spans="1:12" x14ac:dyDescent="0.25">
      <c r="A18512" s="4" t="str">
        <f>HYPERLINK("http://www.rosaceae.org/Prunus/Prunus_persica/p.persica_gdr_reftransV1_0013340","p.persica_gdr_reftransV1_0013340")</f>
        <v>p.persica_gdr_reftransV1_0013340</v>
      </c>
      <c r="B18512" s="2">
        <v>2693</v>
      </c>
      <c r="C18512" s="4" t="str">
        <f>HYPERLINK("http://www.uniprot.org/uniprot/M5W6T6","M5W6T6")</f>
        <v>M5W6T6</v>
      </c>
      <c r="D18512" s="2" t="s">
        <v>14326</v>
      </c>
      <c r="E18512" s="3">
        <v>6.4900000000000004E-72</v>
      </c>
      <c r="F18512" s="2">
        <v>635</v>
      </c>
      <c r="G18512" s="2">
        <v>100</v>
      </c>
      <c r="H18512" s="2">
        <v>119</v>
      </c>
      <c r="I18512" s="2">
        <v>1346</v>
      </c>
      <c r="J18512" s="2">
        <v>1702</v>
      </c>
      <c r="K18512" s="2">
        <v>141</v>
      </c>
      <c r="L18512" s="2">
        <v>259</v>
      </c>
    </row>
    <row r="18513" spans="1:12" x14ac:dyDescent="0.25">
      <c r="A18513" s="4" t="str">
        <f>HYPERLINK("http://www.rosaceae.org/Prunus/Prunus_persica/p.persica_gdr_reftransV1_0013690","p.persica_gdr_reftransV1_0013690")</f>
        <v>p.persica_gdr_reftransV1_0013690</v>
      </c>
      <c r="B18513" s="2">
        <v>872</v>
      </c>
      <c r="C18513" s="4" t="str">
        <f>HYPERLINK("http://www.uniprot.org/uniprot/M5XYQ4","M5XYQ4")</f>
        <v>M5XYQ4</v>
      </c>
      <c r="D18513" s="2" t="s">
        <v>11977</v>
      </c>
      <c r="E18513" s="3">
        <v>8.3200000000000003E-64</v>
      </c>
      <c r="F18513" s="2">
        <v>544</v>
      </c>
      <c r="G18513" s="2">
        <v>100</v>
      </c>
      <c r="H18513" s="2">
        <v>137</v>
      </c>
      <c r="I18513" s="2">
        <v>332</v>
      </c>
      <c r="J18513" s="2">
        <v>742</v>
      </c>
      <c r="K18513" s="2">
        <v>160</v>
      </c>
      <c r="L18513" s="2">
        <v>296</v>
      </c>
    </row>
    <row r="18514" spans="1:12" x14ac:dyDescent="0.25">
      <c r="A18514" s="4" t="str">
        <f>HYPERLINK("http://www.rosaceae.org/Prunus/Prunus_persica/p.persica_gdr_reftransV1_0015790","p.persica_gdr_reftransV1_0015790")</f>
        <v>p.persica_gdr_reftransV1_0015790</v>
      </c>
      <c r="B18514" s="2">
        <v>3344</v>
      </c>
      <c r="C18514" s="4" t="str">
        <f>HYPERLINK("http://www.uniprot.org/uniprot/M5WY90","M5WY90")</f>
        <v>M5WY90</v>
      </c>
      <c r="D18514" s="2" t="s">
        <v>14327</v>
      </c>
      <c r="E18514" s="3">
        <v>0</v>
      </c>
      <c r="F18514" s="2">
        <v>4608</v>
      </c>
      <c r="G18514" s="2">
        <v>99</v>
      </c>
      <c r="H18514" s="2">
        <v>903</v>
      </c>
      <c r="I18514" s="2">
        <v>359</v>
      </c>
      <c r="J18514" s="2">
        <v>3067</v>
      </c>
      <c r="K18514" s="2">
        <v>1</v>
      </c>
      <c r="L18514" s="2">
        <v>903</v>
      </c>
    </row>
    <row r="18515" spans="1:12" x14ac:dyDescent="0.25">
      <c r="A18515" s="4" t="str">
        <f>HYPERLINK("http://www.rosaceae.org/Prunus/Prunus_persica/p.persica_gdr_reftransV1_0016140","p.persica_gdr_reftransV1_0016140")</f>
        <v>p.persica_gdr_reftransV1_0016140</v>
      </c>
      <c r="B18515" s="2">
        <v>4365</v>
      </c>
      <c r="C18515" s="4" t="str">
        <f>HYPERLINK("http://www.uniprot.org/uniprot/M5XQX5","M5XQX5")</f>
        <v>M5XQX5</v>
      </c>
      <c r="D18515" s="2" t="s">
        <v>14328</v>
      </c>
      <c r="E18515" s="3">
        <v>0</v>
      </c>
      <c r="F18515" s="2">
        <v>3640</v>
      </c>
      <c r="G18515" s="2">
        <v>100</v>
      </c>
      <c r="H18515" s="2">
        <v>732</v>
      </c>
      <c r="I18515" s="2">
        <v>115</v>
      </c>
      <c r="J18515" s="2">
        <v>2310</v>
      </c>
      <c r="K18515" s="2">
        <v>1</v>
      </c>
      <c r="L18515" s="2">
        <v>732</v>
      </c>
    </row>
    <row r="18516" spans="1:12" x14ac:dyDescent="0.25">
      <c r="A18516" s="4" t="str">
        <f>HYPERLINK("http://www.rosaceae.org/Prunus/Prunus_persica/p.persica_gdr_reftransV1_0018240","p.persica_gdr_reftransV1_0018240")</f>
        <v>p.persica_gdr_reftransV1_0018240</v>
      </c>
      <c r="B18516" s="2">
        <v>2635</v>
      </c>
      <c r="C18516" s="4" t="str">
        <f>HYPERLINK("http://www.uniprot.org/uniprot/M5Y3F8","M5Y3F8")</f>
        <v>M5Y3F8</v>
      </c>
      <c r="D18516" s="2" t="s">
        <v>14329</v>
      </c>
      <c r="E18516" s="3">
        <v>0</v>
      </c>
      <c r="F18516" s="2">
        <v>3318</v>
      </c>
      <c r="G18516" s="2">
        <v>99</v>
      </c>
      <c r="H18516" s="2">
        <v>652</v>
      </c>
      <c r="I18516" s="2">
        <v>176</v>
      </c>
      <c r="J18516" s="2">
        <v>2131</v>
      </c>
      <c r="K18516" s="2">
        <v>1</v>
      </c>
      <c r="L18516" s="2">
        <v>646</v>
      </c>
    </row>
    <row r="18517" spans="1:12" x14ac:dyDescent="0.25">
      <c r="A18517" s="4" t="str">
        <f>HYPERLINK("http://www.rosaceae.org/Prunus/Prunus_persica/p.persica_gdr_reftransV1_0018940","p.persica_gdr_reftransV1_0018940")</f>
        <v>p.persica_gdr_reftransV1_0018940</v>
      </c>
      <c r="B18517" s="2">
        <v>761</v>
      </c>
      <c r="C18517" s="4" t="str">
        <f>HYPERLINK("http://www.uniprot.org/uniprot/M5WYZ8","M5WYZ8")</f>
        <v>M5WYZ8</v>
      </c>
      <c r="D18517" s="2" t="s">
        <v>14330</v>
      </c>
      <c r="E18517" s="3">
        <v>6.6199999999999997E-170</v>
      </c>
      <c r="F18517" s="2">
        <v>1331</v>
      </c>
      <c r="G18517" s="2">
        <v>100</v>
      </c>
      <c r="H18517" s="2">
        <v>253</v>
      </c>
      <c r="I18517" s="2">
        <v>2</v>
      </c>
      <c r="J18517" s="2">
        <v>760</v>
      </c>
      <c r="K18517" s="2">
        <v>178</v>
      </c>
      <c r="L18517" s="2">
        <v>430</v>
      </c>
    </row>
    <row r="18518" spans="1:12" x14ac:dyDescent="0.25">
      <c r="A18518" s="4" t="str">
        <f>HYPERLINK("http://www.rosaceae.org/Prunus/Prunus_persica/p.persica_gdr_reftransV1_0019640","p.persica_gdr_reftransV1_0019640")</f>
        <v>p.persica_gdr_reftransV1_0019640</v>
      </c>
      <c r="B18518" s="2">
        <v>2267</v>
      </c>
      <c r="C18518" s="4" t="str">
        <f>HYPERLINK("http://www.uniprot.org/uniprot/M5WDM5","M5WDM5")</f>
        <v>M5WDM5</v>
      </c>
      <c r="D18518" s="2" t="s">
        <v>14331</v>
      </c>
      <c r="E18518" s="3">
        <v>1.24E-86</v>
      </c>
      <c r="F18518" s="2">
        <v>675</v>
      </c>
      <c r="G18518" s="2">
        <v>100</v>
      </c>
      <c r="H18518" s="2">
        <v>128</v>
      </c>
      <c r="I18518" s="2">
        <v>620</v>
      </c>
      <c r="J18518" s="2">
        <v>1003</v>
      </c>
      <c r="K18518" s="2">
        <v>43</v>
      </c>
      <c r="L18518" s="2">
        <v>170</v>
      </c>
    </row>
    <row r="18519" spans="1:12" x14ac:dyDescent="0.25">
      <c r="A18519" s="4" t="str">
        <f>HYPERLINK("http://www.rosaceae.org/Prunus/Prunus_persica/p.persica_gdr_reftransV1_0019990","p.persica_gdr_reftransV1_0019990")</f>
        <v>p.persica_gdr_reftransV1_0019990</v>
      </c>
      <c r="B18519" s="2">
        <v>1412</v>
      </c>
      <c r="C18519" s="4" t="str">
        <f>HYPERLINK("http://www.uniprot.org/uniprot/M5WSH6","M5WSH6")</f>
        <v>M5WSH6</v>
      </c>
      <c r="D18519" s="2" t="s">
        <v>14332</v>
      </c>
      <c r="E18519" s="3">
        <v>0</v>
      </c>
      <c r="F18519" s="2">
        <v>1044</v>
      </c>
      <c r="G18519" s="2">
        <v>100</v>
      </c>
      <c r="H18519" s="2">
        <v>215</v>
      </c>
      <c r="I18519" s="2">
        <v>766</v>
      </c>
      <c r="J18519" s="2">
        <v>1410</v>
      </c>
      <c r="K18519" s="2">
        <v>67</v>
      </c>
      <c r="L18519" s="2">
        <v>281</v>
      </c>
    </row>
    <row r="18520" spans="1:12" x14ac:dyDescent="0.25">
      <c r="A18520" s="4" t="str">
        <f>HYPERLINK("http://www.rosaceae.org/Prunus/Prunus_persica/p.persica_gdr_reftransV1_0020340","p.persica_gdr_reftransV1_0020340")</f>
        <v>p.persica_gdr_reftransV1_0020340</v>
      </c>
      <c r="B18520" s="2">
        <v>1902</v>
      </c>
      <c r="C18520" s="4" t="str">
        <f>HYPERLINK("http://www.uniprot.org/uniprot/M5WQE1","M5WQE1")</f>
        <v>M5WQE1</v>
      </c>
      <c r="D18520" s="2" t="s">
        <v>14333</v>
      </c>
      <c r="E18520" s="3">
        <v>0</v>
      </c>
      <c r="F18520" s="2">
        <v>1787</v>
      </c>
      <c r="G18520" s="2">
        <v>99</v>
      </c>
      <c r="H18520" s="2">
        <v>355</v>
      </c>
      <c r="I18520" s="2">
        <v>315</v>
      </c>
      <c r="J18520" s="2">
        <v>1379</v>
      </c>
      <c r="K18520" s="2">
        <v>1</v>
      </c>
      <c r="L18520" s="2">
        <v>355</v>
      </c>
    </row>
    <row r="18521" spans="1:12" x14ac:dyDescent="0.25">
      <c r="A18521" s="4" t="str">
        <f>HYPERLINK("http://www.rosaceae.org/Prunus/Prunus_persica/p.persica_gdr_reftransV1_0021390","p.persica_gdr_reftransV1_0021390")</f>
        <v>p.persica_gdr_reftransV1_0021390</v>
      </c>
      <c r="B18521" s="2">
        <v>4175</v>
      </c>
      <c r="C18521" s="4" t="str">
        <f>HYPERLINK("http://www.uniprot.org/uniprot/M5X009","M5X009")</f>
        <v>M5X009</v>
      </c>
      <c r="D18521" s="2" t="s">
        <v>14334</v>
      </c>
      <c r="E18521" s="3">
        <v>0</v>
      </c>
      <c r="F18521" s="2">
        <v>5467</v>
      </c>
      <c r="G18521" s="2">
        <v>100</v>
      </c>
      <c r="H18521" s="2">
        <v>1059</v>
      </c>
      <c r="I18521" s="2">
        <v>669</v>
      </c>
      <c r="J18521" s="2">
        <v>3845</v>
      </c>
      <c r="K18521" s="2">
        <v>1</v>
      </c>
      <c r="L18521" s="2">
        <v>1059</v>
      </c>
    </row>
    <row r="18522" spans="1:12" x14ac:dyDescent="0.25">
      <c r="A18522" s="4" t="str">
        <f>HYPERLINK("http://www.rosaceae.org/Prunus/Prunus_persica/p.persica_gdr_reftransV1_0022090","p.persica_gdr_reftransV1_0022090")</f>
        <v>p.persica_gdr_reftransV1_0022090</v>
      </c>
      <c r="B18522" s="2">
        <v>2207</v>
      </c>
      <c r="C18522" s="4" t="str">
        <f>HYPERLINK("http://www.uniprot.org/uniprot/M5X4U1","M5X4U1")</f>
        <v>M5X4U1</v>
      </c>
      <c r="D18522" s="2" t="s">
        <v>14335</v>
      </c>
      <c r="E18522" s="3">
        <v>0</v>
      </c>
      <c r="F18522" s="2">
        <v>1830</v>
      </c>
      <c r="G18522" s="2">
        <v>100</v>
      </c>
      <c r="H18522" s="2">
        <v>403</v>
      </c>
      <c r="I18522" s="2">
        <v>519</v>
      </c>
      <c r="J18522" s="2">
        <v>1727</v>
      </c>
      <c r="K18522" s="2">
        <v>65</v>
      </c>
      <c r="L18522" s="2">
        <v>467</v>
      </c>
    </row>
    <row r="18523" spans="1:12" x14ac:dyDescent="0.25">
      <c r="A18523" s="4" t="str">
        <f>HYPERLINK("http://www.rosaceae.org/Prunus/Prunus_persica/p.persica_gdr_reftransV1_0022790","p.persica_gdr_reftransV1_0022790")</f>
        <v>p.persica_gdr_reftransV1_0022790</v>
      </c>
      <c r="B18523" s="2">
        <v>2309</v>
      </c>
      <c r="C18523" s="4" t="str">
        <f>HYPERLINK("http://www.uniprot.org/uniprot/M5VJS6","M5VJS6")</f>
        <v>M5VJS6</v>
      </c>
      <c r="D18523" s="2" t="s">
        <v>4452</v>
      </c>
      <c r="E18523" s="3">
        <v>3.2299999999999998E-137</v>
      </c>
      <c r="F18523" s="2">
        <v>1089</v>
      </c>
      <c r="G18523" s="2">
        <v>91</v>
      </c>
      <c r="H18523" s="2">
        <v>234</v>
      </c>
      <c r="I18523" s="2">
        <v>1</v>
      </c>
      <c r="J18523" s="2">
        <v>702</v>
      </c>
      <c r="K18523" s="2">
        <v>15</v>
      </c>
      <c r="L18523" s="2">
        <v>242</v>
      </c>
    </row>
    <row r="18524" spans="1:12" x14ac:dyDescent="0.25">
      <c r="A18524" s="4" t="str">
        <f>HYPERLINK("http://www.rosaceae.org/Prunus/Prunus_persica/p.persica_gdr_reftransV1_0023140","p.persica_gdr_reftransV1_0023140")</f>
        <v>p.persica_gdr_reftransV1_0023140</v>
      </c>
      <c r="B18524" s="2">
        <v>2715</v>
      </c>
      <c r="C18524" s="4" t="str">
        <f>HYPERLINK("http://www.uniprot.org/uniprot/M5WM22","M5WM22")</f>
        <v>M5WM22</v>
      </c>
      <c r="D18524" s="2" t="s">
        <v>3841</v>
      </c>
      <c r="E18524" s="3">
        <v>0</v>
      </c>
      <c r="F18524" s="2">
        <v>2468</v>
      </c>
      <c r="G18524" s="2">
        <v>92</v>
      </c>
      <c r="H18524" s="2">
        <v>596</v>
      </c>
      <c r="I18524" s="2">
        <v>726</v>
      </c>
      <c r="J18524" s="2">
        <v>2513</v>
      </c>
      <c r="K18524" s="2">
        <v>199</v>
      </c>
      <c r="L18524" s="2">
        <v>790</v>
      </c>
    </row>
    <row r="18525" spans="1:12" x14ac:dyDescent="0.25">
      <c r="A18525" s="4" t="str">
        <f>HYPERLINK("http://www.rosaceae.org/Prunus/Prunus_persica/p.persica_gdr_reftransV1_0024890","p.persica_gdr_reftransV1_0024890")</f>
        <v>p.persica_gdr_reftransV1_0024890</v>
      </c>
      <c r="B18525" s="2">
        <v>2208</v>
      </c>
      <c r="C18525" s="4" t="str">
        <f>HYPERLINK("http://www.uniprot.org/uniprot/M5XCX8","M5XCX8")</f>
        <v>M5XCX8</v>
      </c>
      <c r="D18525" s="2" t="s">
        <v>14336</v>
      </c>
      <c r="E18525" s="3">
        <v>0</v>
      </c>
      <c r="F18525" s="2">
        <v>2734</v>
      </c>
      <c r="G18525" s="2">
        <v>100</v>
      </c>
      <c r="H18525" s="2">
        <v>526</v>
      </c>
      <c r="I18525" s="2">
        <v>253</v>
      </c>
      <c r="J18525" s="2">
        <v>1830</v>
      </c>
      <c r="K18525" s="2">
        <v>1</v>
      </c>
      <c r="L18525" s="2">
        <v>526</v>
      </c>
    </row>
    <row r="18526" spans="1:12" x14ac:dyDescent="0.25">
      <c r="A18526" s="4" t="str">
        <f>HYPERLINK("http://www.rosaceae.org/Prunus/Prunus_persica/p.persica_gdr_reftransV1_0025240","p.persica_gdr_reftransV1_0025240")</f>
        <v>p.persica_gdr_reftransV1_0025240</v>
      </c>
      <c r="B18526" s="2">
        <v>2017</v>
      </c>
      <c r="C18526" s="4" t="str">
        <f>HYPERLINK("http://www.uniprot.org/uniprot/M5X0J0","M5X0J0")</f>
        <v>M5X0J0</v>
      </c>
      <c r="D18526" s="2" t="s">
        <v>14337</v>
      </c>
      <c r="E18526" s="3">
        <v>0</v>
      </c>
      <c r="F18526" s="2">
        <v>1729</v>
      </c>
      <c r="G18526" s="2">
        <v>100</v>
      </c>
      <c r="H18526" s="2">
        <v>348</v>
      </c>
      <c r="I18526" s="2">
        <v>161</v>
      </c>
      <c r="J18526" s="2">
        <v>1204</v>
      </c>
      <c r="K18526" s="2">
        <v>1</v>
      </c>
      <c r="L18526" s="2">
        <v>348</v>
      </c>
    </row>
    <row r="18527" spans="1:12" x14ac:dyDescent="0.25">
      <c r="A18527" s="4" t="str">
        <f>HYPERLINK("http://www.rosaceae.org/Prunus/Prunus_persica/p.persica_gdr_reftransV1_0026990","p.persica_gdr_reftransV1_0026990")</f>
        <v>p.persica_gdr_reftransV1_0026990</v>
      </c>
      <c r="B18527" s="2">
        <v>1223</v>
      </c>
      <c r="C18527" s="4" t="str">
        <f>HYPERLINK("http://www.uniprot.org/uniprot/M5X5M2","M5X5M2")</f>
        <v>M5X5M2</v>
      </c>
      <c r="D18527" s="2" t="s">
        <v>14338</v>
      </c>
      <c r="E18527" s="3">
        <v>9.9200000000000001E-128</v>
      </c>
      <c r="F18527" s="2">
        <v>971</v>
      </c>
      <c r="G18527" s="2">
        <v>100</v>
      </c>
      <c r="H18527" s="2">
        <v>194</v>
      </c>
      <c r="I18527" s="2">
        <v>294</v>
      </c>
      <c r="J18527" s="2">
        <v>875</v>
      </c>
      <c r="K18527" s="2">
        <v>1</v>
      </c>
      <c r="L18527" s="2">
        <v>194</v>
      </c>
    </row>
    <row r="18528" spans="1:12" x14ac:dyDescent="0.25">
      <c r="A18528" s="4" t="str">
        <f>HYPERLINK("http://www.rosaceae.org/Prunus/Prunus_persica/p.persica_gdr_reftransV1_0028040","p.persica_gdr_reftransV1_0028040")</f>
        <v>p.persica_gdr_reftransV1_0028040</v>
      </c>
      <c r="B18528" s="2">
        <v>3047</v>
      </c>
      <c r="C18528" s="4" t="str">
        <f>HYPERLINK("http://www.uniprot.org/uniprot/M5XX78","M5XX78")</f>
        <v>M5XX78</v>
      </c>
      <c r="D18528" s="2" t="s">
        <v>10697</v>
      </c>
      <c r="E18528" s="3">
        <v>0</v>
      </c>
      <c r="F18528" s="2">
        <v>2861</v>
      </c>
      <c r="G18528" s="2">
        <v>92</v>
      </c>
      <c r="H18528" s="2">
        <v>595</v>
      </c>
      <c r="I18528" s="2">
        <v>216</v>
      </c>
      <c r="J18528" s="2">
        <v>2000</v>
      </c>
      <c r="K18528" s="2">
        <v>1</v>
      </c>
      <c r="L18528" s="2">
        <v>550</v>
      </c>
    </row>
    <row r="18529" spans="1:12" x14ac:dyDescent="0.25">
      <c r="A18529" s="4" t="str">
        <f>HYPERLINK("http://www.rosaceae.org/Prunus/Prunus_persica/p.persica_gdr_reftransV1_0028390","p.persica_gdr_reftransV1_0028390")</f>
        <v>p.persica_gdr_reftransV1_0028390</v>
      </c>
      <c r="B18529" s="2">
        <v>1143</v>
      </c>
      <c r="C18529" s="4" t="str">
        <f>HYPERLINK("http://www.uniprot.org/uniprot/M5WS80","M5WS80")</f>
        <v>M5WS80</v>
      </c>
      <c r="D18529" s="2" t="s">
        <v>14339</v>
      </c>
      <c r="E18529" s="3">
        <v>9.2399999999999993E-65</v>
      </c>
      <c r="F18529" s="2">
        <v>544</v>
      </c>
      <c r="G18529" s="2">
        <v>99</v>
      </c>
      <c r="H18529" s="2">
        <v>107</v>
      </c>
      <c r="I18529" s="2">
        <v>644</v>
      </c>
      <c r="J18529" s="2">
        <v>964</v>
      </c>
      <c r="K18529" s="2">
        <v>1</v>
      </c>
      <c r="L18529" s="2">
        <v>107</v>
      </c>
    </row>
    <row r="18530" spans="1:12" x14ac:dyDescent="0.25">
      <c r="A18530" s="4" t="str">
        <f>HYPERLINK("http://www.rosaceae.org/Prunus/Prunus_persica/p.persica_gdr_reftransV1_0030840","p.persica_gdr_reftransV1_0030840")</f>
        <v>p.persica_gdr_reftransV1_0030840</v>
      </c>
      <c r="B18530" s="2">
        <v>2209</v>
      </c>
      <c r="C18530" s="4" t="str">
        <f>HYPERLINK("http://www.uniprot.org/uniprot/M5Y9Z3","M5Y9Z3")</f>
        <v>M5Y9Z3</v>
      </c>
      <c r="D18530" s="2" t="s">
        <v>11236</v>
      </c>
      <c r="E18530" s="3">
        <v>0</v>
      </c>
      <c r="F18530" s="2">
        <v>1526</v>
      </c>
      <c r="G18530" s="2">
        <v>98</v>
      </c>
      <c r="H18530" s="2">
        <v>320</v>
      </c>
      <c r="I18530" s="2">
        <v>236</v>
      </c>
      <c r="J18530" s="2">
        <v>1195</v>
      </c>
      <c r="K18530" s="2">
        <v>81</v>
      </c>
      <c r="L18530" s="2">
        <v>400</v>
      </c>
    </row>
    <row r="18531" spans="1:12" x14ac:dyDescent="0.25">
      <c r="A18531" s="4" t="str">
        <f>HYPERLINK("http://www.rosaceae.org/Prunus/Prunus_persica/p.persica_gdr_reftransV1_0032590","p.persica_gdr_reftransV1_0032590")</f>
        <v>p.persica_gdr_reftransV1_0032590</v>
      </c>
      <c r="B18531" s="2">
        <v>2003</v>
      </c>
      <c r="C18531" s="4" t="str">
        <f>HYPERLINK("http://www.uniprot.org/uniprot/M5VVX1","M5VVX1")</f>
        <v>M5VVX1</v>
      </c>
      <c r="D18531" s="2" t="s">
        <v>14340</v>
      </c>
      <c r="E18531" s="3">
        <v>0</v>
      </c>
      <c r="F18531" s="2">
        <v>1261</v>
      </c>
      <c r="G18531" s="2">
        <v>99</v>
      </c>
      <c r="H18531" s="2">
        <v>308</v>
      </c>
      <c r="I18531" s="2">
        <v>617</v>
      </c>
      <c r="J18531" s="2">
        <v>1540</v>
      </c>
      <c r="K18531" s="2">
        <v>100</v>
      </c>
      <c r="L18531" s="2">
        <v>407</v>
      </c>
    </row>
    <row r="18532" spans="1:12" x14ac:dyDescent="0.25">
      <c r="A18532" s="4" t="str">
        <f>HYPERLINK("http://www.rosaceae.org/Prunus/Prunus_persica/p.persica_gdr_reftransV1_0032940","p.persica_gdr_reftransV1_0032940")</f>
        <v>p.persica_gdr_reftransV1_0032940</v>
      </c>
      <c r="B18532" s="2">
        <v>2943</v>
      </c>
      <c r="C18532" s="4" t="str">
        <f>HYPERLINK("http://www.uniprot.org/uniprot/M5WZ88","M5WZ88")</f>
        <v>M5WZ88</v>
      </c>
      <c r="D18532" s="2" t="s">
        <v>596</v>
      </c>
      <c r="E18532" s="3">
        <v>2.7200000000000002E-147</v>
      </c>
      <c r="F18532" s="2">
        <v>1180</v>
      </c>
      <c r="G18532" s="2">
        <v>81</v>
      </c>
      <c r="H18532" s="2">
        <v>290</v>
      </c>
      <c r="I18532" s="2">
        <v>1946</v>
      </c>
      <c r="J18532" s="2">
        <v>2782</v>
      </c>
      <c r="K18532" s="2">
        <v>29</v>
      </c>
      <c r="L18532" s="2">
        <v>318</v>
      </c>
    </row>
    <row r="18533" spans="1:12" x14ac:dyDescent="0.25">
      <c r="A18533" s="4" t="str">
        <f>HYPERLINK("http://www.rosaceae.org/Prunus/Prunus_persica/p.persica_gdr_reftransV1_0037840","p.persica_gdr_reftransV1_0037840")</f>
        <v>p.persica_gdr_reftransV1_0037840</v>
      </c>
      <c r="B18533" s="2">
        <v>4290</v>
      </c>
      <c r="C18533" s="4" t="str">
        <f>HYPERLINK("http://www.uniprot.org/uniprot/M5WL04","M5WL04")</f>
        <v>M5WL04</v>
      </c>
      <c r="D18533" s="2" t="s">
        <v>14341</v>
      </c>
      <c r="E18533" s="3">
        <v>0</v>
      </c>
      <c r="F18533" s="2">
        <v>3663</v>
      </c>
      <c r="G18533" s="2">
        <v>100</v>
      </c>
      <c r="H18533" s="2">
        <v>717</v>
      </c>
      <c r="I18533" s="2">
        <v>696</v>
      </c>
      <c r="J18533" s="2">
        <v>2846</v>
      </c>
      <c r="K18533" s="2">
        <v>343</v>
      </c>
      <c r="L18533" s="2">
        <v>1059</v>
      </c>
    </row>
    <row r="18534" spans="1:12" x14ac:dyDescent="0.25">
      <c r="A18534" s="4" t="str">
        <f>HYPERLINK("http://www.rosaceae.org/Prunus/Prunus_persica/p.persica_gdr_reftransV1_0038890","p.persica_gdr_reftransV1_0038890")</f>
        <v>p.persica_gdr_reftransV1_0038890</v>
      </c>
      <c r="B18534" s="2">
        <v>1679</v>
      </c>
      <c r="C18534" s="4" t="str">
        <f>HYPERLINK("http://www.uniprot.org/uniprot/M5XDQ6","M5XDQ6")</f>
        <v>M5XDQ6</v>
      </c>
      <c r="D18534" s="2" t="s">
        <v>1402</v>
      </c>
      <c r="E18534" s="3">
        <v>0</v>
      </c>
      <c r="F18534" s="2">
        <v>995</v>
      </c>
      <c r="G18534" s="2">
        <v>100</v>
      </c>
      <c r="H18534" s="2">
        <v>215</v>
      </c>
      <c r="I18534" s="2">
        <v>714</v>
      </c>
      <c r="J18534" s="2">
        <v>1358</v>
      </c>
      <c r="K18534" s="2">
        <v>175</v>
      </c>
      <c r="L18534" s="2">
        <v>389</v>
      </c>
    </row>
    <row r="18535" spans="1:12" x14ac:dyDescent="0.25">
      <c r="A18535" s="4" t="str">
        <f>HYPERLINK("http://www.rosaceae.org/Prunus/Prunus_persica/p.persica_gdr_reftransV1_0040290","p.persica_gdr_reftransV1_0040290")</f>
        <v>p.persica_gdr_reftransV1_0040290</v>
      </c>
      <c r="B18535" s="2">
        <v>542</v>
      </c>
      <c r="C18535" s="4" t="str">
        <f>HYPERLINK("http://www.uniprot.org/uniprot/M5XK73","M5XK73")</f>
        <v>M5XK73</v>
      </c>
      <c r="D18535" s="2" t="s">
        <v>14342</v>
      </c>
      <c r="E18535" s="3">
        <v>6.1900000000000002E-43</v>
      </c>
      <c r="F18535" s="2">
        <v>375</v>
      </c>
      <c r="G18535" s="2">
        <v>100</v>
      </c>
      <c r="H18535" s="2">
        <v>71</v>
      </c>
      <c r="I18535" s="2">
        <v>220</v>
      </c>
      <c r="J18535" s="2">
        <v>432</v>
      </c>
      <c r="K18535" s="2">
        <v>1</v>
      </c>
      <c r="L18535" s="2">
        <v>71</v>
      </c>
    </row>
    <row r="18536" spans="1:12" x14ac:dyDescent="0.25">
      <c r="A18536" s="4" t="str">
        <f>HYPERLINK("http://www.rosaceae.org/Prunus/Prunus_persica/p.persica_gdr_reftransV1_0040990","p.persica_gdr_reftransV1_0040990")</f>
        <v>p.persica_gdr_reftransV1_0040990</v>
      </c>
      <c r="B18536" s="2">
        <v>3376</v>
      </c>
      <c r="C18536" s="4" t="str">
        <f>HYPERLINK("http://www.uniprot.org/uniprot/M5X2K3","M5X2K3")</f>
        <v>M5X2K3</v>
      </c>
      <c r="D18536" s="2" t="s">
        <v>14343</v>
      </c>
      <c r="E18536" s="3">
        <v>0</v>
      </c>
      <c r="F18536" s="2">
        <v>1996</v>
      </c>
      <c r="G18536" s="2">
        <v>100</v>
      </c>
      <c r="H18536" s="2">
        <v>392</v>
      </c>
      <c r="I18536" s="2">
        <v>584</v>
      </c>
      <c r="J18536" s="2">
        <v>1759</v>
      </c>
      <c r="K18536" s="2">
        <v>1</v>
      </c>
      <c r="L18536" s="2">
        <v>392</v>
      </c>
    </row>
    <row r="18537" spans="1:12" x14ac:dyDescent="0.25">
      <c r="A18537" s="4" t="str">
        <f>HYPERLINK("http://www.rosaceae.org/Prunus/Prunus_persica/p.persica_gdr_reftransV1_0043090","p.persica_gdr_reftransV1_0043090")</f>
        <v>p.persica_gdr_reftransV1_0043090</v>
      </c>
      <c r="B18537" s="2">
        <v>580</v>
      </c>
      <c r="C18537" s="4" t="str">
        <f>HYPERLINK("http://www.uniprot.org/uniprot/M5WAC6","M5WAC6")</f>
        <v>M5WAC6</v>
      </c>
      <c r="D18537" s="2" t="s">
        <v>5462</v>
      </c>
      <c r="E18537" s="3">
        <v>5.24E-78</v>
      </c>
      <c r="F18537" s="2">
        <v>650</v>
      </c>
      <c r="G18537" s="2">
        <v>100</v>
      </c>
      <c r="H18537" s="2">
        <v>122</v>
      </c>
      <c r="I18537" s="2">
        <v>214</v>
      </c>
      <c r="J18537" s="2">
        <v>579</v>
      </c>
      <c r="K18537" s="2">
        <v>434</v>
      </c>
      <c r="L18537" s="2">
        <v>555</v>
      </c>
    </row>
    <row r="18538" spans="1:12" x14ac:dyDescent="0.25">
      <c r="A18538" s="4" t="str">
        <f>HYPERLINK("http://www.rosaceae.org/Prunus/Prunus_persica/p.persica_gdr_reftransV1_0043440","p.persica_gdr_reftransV1_0043440")</f>
        <v>p.persica_gdr_reftransV1_0043440</v>
      </c>
      <c r="B18538" s="2">
        <v>698</v>
      </c>
      <c r="C18538" s="4" t="str">
        <f>HYPERLINK("http://www.uniprot.org/uniprot/M5VTT3","M5VTT3")</f>
        <v>M5VTT3</v>
      </c>
      <c r="D18538" s="2" t="s">
        <v>3350</v>
      </c>
      <c r="E18538" s="3">
        <v>3.1800000000000002E-157</v>
      </c>
      <c r="F18538" s="2">
        <v>1194</v>
      </c>
      <c r="G18538" s="2">
        <v>100</v>
      </c>
      <c r="H18538" s="2">
        <v>221</v>
      </c>
      <c r="I18538" s="2">
        <v>1</v>
      </c>
      <c r="J18538" s="2">
        <v>663</v>
      </c>
      <c r="K18538" s="2">
        <v>1</v>
      </c>
      <c r="L18538" s="2">
        <v>221</v>
      </c>
    </row>
    <row r="18539" spans="1:12" x14ac:dyDescent="0.25">
      <c r="A18539" s="4" t="str">
        <f>HYPERLINK("http://www.rosaceae.org/Prunus/Prunus_persica/p.persica_gdr_reftransV1_0043790","p.persica_gdr_reftransV1_0043790")</f>
        <v>p.persica_gdr_reftransV1_0043790</v>
      </c>
      <c r="B18539" s="2">
        <v>1808</v>
      </c>
      <c r="C18539" s="4" t="str">
        <f>HYPERLINK("http://www.uniprot.org/uniprot/M5W160","M5W160")</f>
        <v>M5W160</v>
      </c>
      <c r="D18539" s="2" t="s">
        <v>5078</v>
      </c>
      <c r="E18539" s="3">
        <v>0</v>
      </c>
      <c r="F18539" s="2">
        <v>2334</v>
      </c>
      <c r="G18539" s="2">
        <v>100</v>
      </c>
      <c r="H18539" s="2">
        <v>471</v>
      </c>
      <c r="I18539" s="2">
        <v>1</v>
      </c>
      <c r="J18539" s="2">
        <v>1413</v>
      </c>
      <c r="K18539" s="2">
        <v>90</v>
      </c>
      <c r="L18539" s="2">
        <v>560</v>
      </c>
    </row>
    <row r="18540" spans="1:12" x14ac:dyDescent="0.25">
      <c r="A18540" s="4" t="str">
        <f>HYPERLINK("http://www.rosaceae.org/Prunus/Prunus_persica/p.persica_gdr_reftransV1_0044140","p.persica_gdr_reftransV1_0044140")</f>
        <v>p.persica_gdr_reftransV1_0044140</v>
      </c>
      <c r="B18540" s="2">
        <v>2385</v>
      </c>
      <c r="C18540" s="4" t="str">
        <f>HYPERLINK("http://www.uniprot.org/uniprot/M5W862","M5W862")</f>
        <v>M5W862</v>
      </c>
      <c r="D18540" s="2" t="s">
        <v>14344</v>
      </c>
      <c r="E18540" s="3">
        <v>0</v>
      </c>
      <c r="F18540" s="2">
        <v>2911</v>
      </c>
      <c r="G18540" s="2">
        <v>96</v>
      </c>
      <c r="H18540" s="2">
        <v>624</v>
      </c>
      <c r="I18540" s="2">
        <v>292</v>
      </c>
      <c r="J18540" s="2">
        <v>2163</v>
      </c>
      <c r="K18540" s="2">
        <v>1</v>
      </c>
      <c r="L18540" s="2">
        <v>600</v>
      </c>
    </row>
    <row r="18541" spans="1:12" x14ac:dyDescent="0.25">
      <c r="A18541" s="4" t="str">
        <f>HYPERLINK("http://www.rosaceae.org/Prunus/Prunus_persica/p.persica_gdr_reftransV1_0044490","p.persica_gdr_reftransV1_0044490")</f>
        <v>p.persica_gdr_reftransV1_0044490</v>
      </c>
      <c r="B18541" s="2">
        <v>410</v>
      </c>
      <c r="C18541" s="4" t="str">
        <f>HYPERLINK("http://www.uniprot.org/uniprot/M5W422","M5W422")</f>
        <v>M5W422</v>
      </c>
      <c r="D18541" s="2" t="s">
        <v>14345</v>
      </c>
      <c r="E18541" s="3">
        <v>1.9800000000000001E-49</v>
      </c>
      <c r="F18541" s="2">
        <v>414</v>
      </c>
      <c r="G18541" s="2">
        <v>100</v>
      </c>
      <c r="H18541" s="2">
        <v>81</v>
      </c>
      <c r="I18541" s="2">
        <v>113</v>
      </c>
      <c r="J18541" s="2">
        <v>355</v>
      </c>
      <c r="K18541" s="2">
        <v>1</v>
      </c>
      <c r="L18541" s="2">
        <v>81</v>
      </c>
    </row>
    <row r="18542" spans="1:12" x14ac:dyDescent="0.25">
      <c r="A18542" s="4" t="str">
        <f>HYPERLINK("http://www.rosaceae.org/Prunus/Prunus_persica/p.persica_gdr_reftransV1_0044840","p.persica_gdr_reftransV1_0044840")</f>
        <v>p.persica_gdr_reftransV1_0044840</v>
      </c>
      <c r="B18542" s="2">
        <v>958</v>
      </c>
      <c r="C18542" s="4" t="str">
        <f>HYPERLINK("http://www.uniprot.org/uniprot/M5XGT4","M5XGT4")</f>
        <v>M5XGT4</v>
      </c>
      <c r="D18542" s="2" t="s">
        <v>14346</v>
      </c>
      <c r="E18542" s="3">
        <v>3.4500000000000002E-76</v>
      </c>
      <c r="F18542" s="2">
        <v>621</v>
      </c>
      <c r="G18542" s="2">
        <v>100</v>
      </c>
      <c r="H18542" s="2">
        <v>190</v>
      </c>
      <c r="I18542" s="2">
        <v>234</v>
      </c>
      <c r="J18542" s="2">
        <v>803</v>
      </c>
      <c r="K18542" s="2">
        <v>10</v>
      </c>
      <c r="L18542" s="2">
        <v>199</v>
      </c>
    </row>
    <row r="18543" spans="1:12" x14ac:dyDescent="0.25">
      <c r="A18543" s="4" t="str">
        <f>HYPERLINK("http://www.rosaceae.org/Prunus/Prunus_persica/p.persica_gdr_reftransV1_0045190","p.persica_gdr_reftransV1_0045190")</f>
        <v>p.persica_gdr_reftransV1_0045190</v>
      </c>
      <c r="B18543" s="2">
        <v>1312</v>
      </c>
      <c r="C18543" s="4" t="str">
        <f>HYPERLINK("http://www.uniprot.org/uniprot/M5W676","M5W676")</f>
        <v>M5W676</v>
      </c>
      <c r="D18543" s="2" t="s">
        <v>14347</v>
      </c>
      <c r="E18543" s="3">
        <v>0</v>
      </c>
      <c r="F18543" s="2">
        <v>2049</v>
      </c>
      <c r="G18543" s="2">
        <v>100</v>
      </c>
      <c r="H18543" s="2">
        <v>378</v>
      </c>
      <c r="I18543" s="2">
        <v>178</v>
      </c>
      <c r="J18543" s="2">
        <v>1311</v>
      </c>
      <c r="K18543" s="2">
        <v>5</v>
      </c>
      <c r="L18543" s="2">
        <v>382</v>
      </c>
    </row>
    <row r="18544" spans="1:12" x14ac:dyDescent="0.25">
      <c r="A18544" s="4" t="str">
        <f>HYPERLINK("http://www.rosaceae.org/Prunus/Prunus_persica/p.persica_gdr_reftransV1_0045890","p.persica_gdr_reftransV1_0045890")</f>
        <v>p.persica_gdr_reftransV1_0045890</v>
      </c>
      <c r="B18544" s="2">
        <v>863</v>
      </c>
      <c r="C18544" s="4" t="str">
        <f>HYPERLINK("http://www.uniprot.org/uniprot/M5XWI4","M5XWI4")</f>
        <v>M5XWI4</v>
      </c>
      <c r="D18544" s="2" t="s">
        <v>14348</v>
      </c>
      <c r="E18544" s="3">
        <v>5.4699999999999997E-180</v>
      </c>
      <c r="F18544" s="2">
        <v>1333</v>
      </c>
      <c r="G18544" s="2">
        <v>100</v>
      </c>
      <c r="H18544" s="2">
        <v>255</v>
      </c>
      <c r="I18544" s="2">
        <v>99</v>
      </c>
      <c r="J18544" s="2">
        <v>863</v>
      </c>
      <c r="K18544" s="2">
        <v>232</v>
      </c>
      <c r="L18544" s="2">
        <v>486</v>
      </c>
    </row>
    <row r="18545" spans="1:12" x14ac:dyDescent="0.25">
      <c r="A18545" s="4" t="str">
        <f>HYPERLINK("http://www.rosaceae.org/Prunus/Prunus_persica/p.persica_gdr_reftransV1_0046240","p.persica_gdr_reftransV1_0046240")</f>
        <v>p.persica_gdr_reftransV1_0046240</v>
      </c>
      <c r="B18545" s="2">
        <v>1223</v>
      </c>
      <c r="C18545" s="4" t="str">
        <f>HYPERLINK("http://www.uniprot.org/uniprot/M5W5P6","M5W5P6")</f>
        <v>M5W5P6</v>
      </c>
      <c r="D18545" s="2" t="s">
        <v>14349</v>
      </c>
      <c r="E18545" s="3">
        <v>1.27E-113</v>
      </c>
      <c r="F18545" s="2">
        <v>889</v>
      </c>
      <c r="G18545" s="2">
        <v>100</v>
      </c>
      <c r="H18545" s="2">
        <v>278</v>
      </c>
      <c r="I18545" s="2">
        <v>17</v>
      </c>
      <c r="J18545" s="2">
        <v>850</v>
      </c>
      <c r="K18545" s="2">
        <v>1</v>
      </c>
      <c r="L18545" s="2">
        <v>278</v>
      </c>
    </row>
    <row r="18546" spans="1:12" x14ac:dyDescent="0.25">
      <c r="A18546" s="4" t="str">
        <f>HYPERLINK("http://www.rosaceae.org/Prunus/Prunus_persica/p.persica_gdr_reftransV1_0046590","p.persica_gdr_reftransV1_0046590")</f>
        <v>p.persica_gdr_reftransV1_0046590</v>
      </c>
      <c r="B18546" s="2">
        <v>1835</v>
      </c>
      <c r="C18546" s="4" t="str">
        <f>HYPERLINK("http://www.uniprot.org/uniprot/M5XFQ8","M5XFQ8")</f>
        <v>M5XFQ8</v>
      </c>
      <c r="D18546" s="2" t="s">
        <v>14350</v>
      </c>
      <c r="E18546" s="3">
        <v>0</v>
      </c>
      <c r="F18546" s="2">
        <v>1792</v>
      </c>
      <c r="G18546" s="2">
        <v>90</v>
      </c>
      <c r="H18546" s="2">
        <v>379</v>
      </c>
      <c r="I18546" s="2">
        <v>500</v>
      </c>
      <c r="J18546" s="2">
        <v>1636</v>
      </c>
      <c r="K18546" s="2">
        <v>21</v>
      </c>
      <c r="L18546" s="2">
        <v>399</v>
      </c>
    </row>
    <row r="18547" spans="1:12" x14ac:dyDescent="0.25">
      <c r="A18547" s="4" t="str">
        <f>HYPERLINK("http://www.rosaceae.org/Prunus/Prunus_persica/p.persica_gdr_reftransV1_0047290","p.persica_gdr_reftransV1_0047290")</f>
        <v>p.persica_gdr_reftransV1_0047290</v>
      </c>
      <c r="B18547" s="2">
        <v>421</v>
      </c>
      <c r="C18547" s="4" t="str">
        <f>HYPERLINK("http://www.uniprot.org/uniprot/M5VXD3","M5VXD3")</f>
        <v>M5VXD3</v>
      </c>
      <c r="D18547" s="2" t="s">
        <v>10558</v>
      </c>
      <c r="E18547" s="3">
        <v>3.2200000000000001E-43</v>
      </c>
      <c r="F18547" s="2">
        <v>380</v>
      </c>
      <c r="G18547" s="2">
        <v>98</v>
      </c>
      <c r="H18547" s="2">
        <v>93</v>
      </c>
      <c r="I18547" s="2">
        <v>53</v>
      </c>
      <c r="J18547" s="2">
        <v>331</v>
      </c>
      <c r="K18547" s="2">
        <v>1</v>
      </c>
      <c r="L18547" s="2">
        <v>93</v>
      </c>
    </row>
    <row r="18548" spans="1:12" x14ac:dyDescent="0.25">
      <c r="A18548" s="4" t="str">
        <f>HYPERLINK("http://www.rosaceae.org/Prunus/Prunus_persica/p.persica_gdr_reftransV1_0047640","p.persica_gdr_reftransV1_0047640")</f>
        <v>p.persica_gdr_reftransV1_0047640</v>
      </c>
      <c r="B18548" s="2">
        <v>1389</v>
      </c>
      <c r="C18548" s="4" t="str">
        <f>HYPERLINK("http://www.uniprot.org/uniprot/M5X553","M5X553")</f>
        <v>M5X553</v>
      </c>
      <c r="D18548" s="2" t="s">
        <v>14351</v>
      </c>
      <c r="E18548" s="3">
        <v>0</v>
      </c>
      <c r="F18548" s="2">
        <v>2013</v>
      </c>
      <c r="G18548" s="2">
        <v>100</v>
      </c>
      <c r="H18548" s="2">
        <v>411</v>
      </c>
      <c r="I18548" s="2">
        <v>155</v>
      </c>
      <c r="J18548" s="2">
        <v>1387</v>
      </c>
      <c r="K18548" s="2">
        <v>1</v>
      </c>
      <c r="L18548" s="2">
        <v>411</v>
      </c>
    </row>
    <row r="18549" spans="1:12" x14ac:dyDescent="0.25">
      <c r="A18549" s="4" t="str">
        <f>HYPERLINK("http://www.rosaceae.org/Prunus/Prunus_persica/p.persica_gdr_reftransV1_0047990","p.persica_gdr_reftransV1_0047990")</f>
        <v>p.persica_gdr_reftransV1_0047990</v>
      </c>
      <c r="B18549" s="2">
        <v>416</v>
      </c>
      <c r="C18549" s="4" t="str">
        <f>HYPERLINK("http://www.uniprot.org/uniprot/M5X4L2","M5X4L2")</f>
        <v>M5X4L2</v>
      </c>
      <c r="D18549" s="2" t="s">
        <v>14352</v>
      </c>
      <c r="E18549" s="3">
        <v>7.0500000000000002E-68</v>
      </c>
      <c r="F18549" s="2">
        <v>578</v>
      </c>
      <c r="G18549" s="2">
        <v>100</v>
      </c>
      <c r="H18549" s="2">
        <v>112</v>
      </c>
      <c r="I18549" s="2">
        <v>2</v>
      </c>
      <c r="J18549" s="2">
        <v>337</v>
      </c>
      <c r="K18549" s="2">
        <v>1</v>
      </c>
      <c r="L18549" s="2">
        <v>112</v>
      </c>
    </row>
    <row r="18550" spans="1:12" x14ac:dyDescent="0.25">
      <c r="A18550" s="4" t="str">
        <f>HYPERLINK("http://www.rosaceae.org/Prunus/Prunus_persica/p.persica_gdr_reftransV1_0048340","p.persica_gdr_reftransV1_0048340")</f>
        <v>p.persica_gdr_reftransV1_0048340</v>
      </c>
      <c r="B18550" s="2">
        <v>332</v>
      </c>
      <c r="C18550" s="4" t="str">
        <f>HYPERLINK("http://www.uniprot.org/uniprot/M5W2F8","M5W2F8")</f>
        <v>M5W2F8</v>
      </c>
      <c r="D18550" s="2" t="s">
        <v>10099</v>
      </c>
      <c r="E18550" s="3">
        <v>2.8200000000000002E-66</v>
      </c>
      <c r="F18550" s="2">
        <v>575</v>
      </c>
      <c r="G18550" s="2">
        <v>100</v>
      </c>
      <c r="H18550" s="2">
        <v>110</v>
      </c>
      <c r="I18550" s="2">
        <v>3</v>
      </c>
      <c r="J18550" s="2">
        <v>332</v>
      </c>
      <c r="K18550" s="2">
        <v>634</v>
      </c>
      <c r="L18550" s="2">
        <v>743</v>
      </c>
    </row>
    <row r="18551" spans="1:12" x14ac:dyDescent="0.25">
      <c r="A18551" s="4" t="str">
        <f>HYPERLINK("http://www.rosaceae.org/Prunus/Prunus_persica/p.persica_gdr_reftransV1_0048690","p.persica_gdr_reftransV1_0048690")</f>
        <v>p.persica_gdr_reftransV1_0048690</v>
      </c>
      <c r="B18551" s="2">
        <v>1261</v>
      </c>
      <c r="C18551" s="4" t="str">
        <f>HYPERLINK("http://www.uniprot.org/uniprot/M5WG39","M5WG39")</f>
        <v>M5WG39</v>
      </c>
      <c r="D18551" s="2" t="s">
        <v>14353</v>
      </c>
      <c r="E18551" s="3">
        <v>0</v>
      </c>
      <c r="F18551" s="2">
        <v>1689</v>
      </c>
      <c r="G18551" s="2">
        <v>100</v>
      </c>
      <c r="H18551" s="2">
        <v>323</v>
      </c>
      <c r="I18551" s="2">
        <v>186</v>
      </c>
      <c r="J18551" s="2">
        <v>1154</v>
      </c>
      <c r="K18551" s="2">
        <v>1</v>
      </c>
      <c r="L18551" s="2">
        <v>323</v>
      </c>
    </row>
    <row r="18552" spans="1:12" x14ac:dyDescent="0.25">
      <c r="A18552" s="4" t="str">
        <f>HYPERLINK("http://www.rosaceae.org/Prunus/Prunus_persica/p.persica_gdr_reftransV1_0049040","p.persica_gdr_reftransV1_0049040")</f>
        <v>p.persica_gdr_reftransV1_0049040</v>
      </c>
      <c r="B18552" s="2">
        <v>478</v>
      </c>
      <c r="C18552" s="4" t="str">
        <f>HYPERLINK("http://www.uniprot.org/uniprot/M5X6X3","M5X6X3")</f>
        <v>M5X6X3</v>
      </c>
      <c r="D18552" s="2" t="s">
        <v>12656</v>
      </c>
      <c r="E18552" s="3">
        <v>1.67E-103</v>
      </c>
      <c r="F18552" s="2">
        <v>834</v>
      </c>
      <c r="G18552" s="2">
        <v>100</v>
      </c>
      <c r="H18552" s="2">
        <v>159</v>
      </c>
      <c r="I18552" s="2">
        <v>2</v>
      </c>
      <c r="J18552" s="2">
        <v>478</v>
      </c>
      <c r="K18552" s="2">
        <v>224</v>
      </c>
      <c r="L18552" s="2">
        <v>382</v>
      </c>
    </row>
    <row r="18553" spans="1:12" x14ac:dyDescent="0.25">
      <c r="A18553" s="4" t="str">
        <f>HYPERLINK("http://www.rosaceae.org/Prunus/Prunus_persica/p.persica_gdr_reftransV1_0000004","p.persica_gdr_reftransV1_0000004")</f>
        <v>p.persica_gdr_reftransV1_0000004</v>
      </c>
      <c r="B18553" s="2">
        <v>696</v>
      </c>
      <c r="C18553" s="4" t="str">
        <f>HYPERLINK("http://www.uniprot.org/uniprot/M5WLT0","M5WLT0")</f>
        <v>M5WLT0</v>
      </c>
      <c r="D18553" s="2" t="s">
        <v>8360</v>
      </c>
      <c r="E18553" s="3">
        <v>2.7400000000000002E-106</v>
      </c>
      <c r="F18553" s="2">
        <v>846</v>
      </c>
      <c r="G18553" s="2">
        <v>100</v>
      </c>
      <c r="H18553" s="2">
        <v>171</v>
      </c>
      <c r="I18553" s="2">
        <v>184</v>
      </c>
      <c r="J18553" s="2">
        <v>696</v>
      </c>
      <c r="K18553" s="2">
        <v>417</v>
      </c>
      <c r="L18553" s="2">
        <v>587</v>
      </c>
    </row>
    <row r="18554" spans="1:12" x14ac:dyDescent="0.25">
      <c r="A18554" s="4" t="str">
        <f>HYPERLINK("http://www.rosaceae.org/Prunus/Prunus_persica/p.persica_gdr_reftransV1_0000354","p.persica_gdr_reftransV1_0000354")</f>
        <v>p.persica_gdr_reftransV1_0000354</v>
      </c>
      <c r="B18554" s="2">
        <v>355</v>
      </c>
      <c r="C18554" s="4" t="str">
        <f>HYPERLINK("http://www.uniprot.org/uniprot/X2FDD6","X2FDD6")</f>
        <v>X2FDD6</v>
      </c>
      <c r="D18554" s="2" t="s">
        <v>12783</v>
      </c>
      <c r="E18554" s="3">
        <v>3.9100000000000002E-75</v>
      </c>
      <c r="F18554" s="2">
        <v>617</v>
      </c>
      <c r="G18554" s="2">
        <v>95</v>
      </c>
      <c r="H18554" s="2">
        <v>118</v>
      </c>
      <c r="I18554" s="2">
        <v>2</v>
      </c>
      <c r="J18554" s="2">
        <v>355</v>
      </c>
      <c r="K18554" s="2">
        <v>6</v>
      </c>
      <c r="L18554" s="2">
        <v>123</v>
      </c>
    </row>
    <row r="18555" spans="1:12" x14ac:dyDescent="0.25">
      <c r="A18555" s="4" t="str">
        <f>HYPERLINK("http://www.rosaceae.org/Prunus/Prunus_persica/p.persica_gdr_reftransV1_0000704","p.persica_gdr_reftransV1_0000704")</f>
        <v>p.persica_gdr_reftransV1_0000704</v>
      </c>
      <c r="B18555" s="2">
        <v>1217</v>
      </c>
      <c r="C18555" s="4" t="str">
        <f>HYPERLINK("http://www.uniprot.org/uniprot/M5WJ54","M5WJ54")</f>
        <v>M5WJ54</v>
      </c>
      <c r="D18555" s="2" t="s">
        <v>4095</v>
      </c>
      <c r="E18555" s="3">
        <v>0</v>
      </c>
      <c r="F18555" s="2">
        <v>1528</v>
      </c>
      <c r="G18555" s="2">
        <v>100</v>
      </c>
      <c r="H18555" s="2">
        <v>285</v>
      </c>
      <c r="I18555" s="2">
        <v>128</v>
      </c>
      <c r="J18555" s="2">
        <v>982</v>
      </c>
      <c r="K18555" s="2">
        <v>15</v>
      </c>
      <c r="L18555" s="2">
        <v>299</v>
      </c>
    </row>
    <row r="18556" spans="1:12" x14ac:dyDescent="0.25">
      <c r="A18556" s="4" t="str">
        <f>HYPERLINK("http://www.rosaceae.org/Prunus/Prunus_persica/p.persica_gdr_reftransV1_0001054","p.persica_gdr_reftransV1_0001054")</f>
        <v>p.persica_gdr_reftransV1_0001054</v>
      </c>
      <c r="B18556" s="2">
        <v>3338</v>
      </c>
      <c r="C18556" s="4" t="str">
        <f>HYPERLINK("http://www.uniprot.org/uniprot/M5WEA8","M5WEA8")</f>
        <v>M5WEA8</v>
      </c>
      <c r="D18556" s="2" t="s">
        <v>7550</v>
      </c>
      <c r="E18556" s="3">
        <v>0</v>
      </c>
      <c r="F18556" s="2">
        <v>5254</v>
      </c>
      <c r="G18556" s="2">
        <v>100</v>
      </c>
      <c r="H18556" s="2">
        <v>1022</v>
      </c>
      <c r="I18556" s="2">
        <v>165</v>
      </c>
      <c r="J18556" s="2">
        <v>3230</v>
      </c>
      <c r="K18556" s="2">
        <v>1</v>
      </c>
      <c r="L18556" s="2">
        <v>1022</v>
      </c>
    </row>
    <row r="18557" spans="1:12" x14ac:dyDescent="0.25">
      <c r="A18557" s="4" t="str">
        <f>HYPERLINK("http://www.rosaceae.org/Prunus/Prunus_persica/p.persica_gdr_reftransV1_0001404","p.persica_gdr_reftransV1_0001404")</f>
        <v>p.persica_gdr_reftransV1_0001404</v>
      </c>
      <c r="B18557" s="2">
        <v>354</v>
      </c>
      <c r="C18557" s="4" t="str">
        <f>HYPERLINK("http://www.uniprot.org/uniprot/M5XPD3","M5XPD3")</f>
        <v>M5XPD3</v>
      </c>
      <c r="D18557" s="2" t="s">
        <v>8020</v>
      </c>
      <c r="E18557" s="3">
        <v>2.04E-61</v>
      </c>
      <c r="F18557" s="2">
        <v>521</v>
      </c>
      <c r="G18557" s="2">
        <v>85</v>
      </c>
      <c r="H18557" s="2">
        <v>126</v>
      </c>
      <c r="I18557" s="2">
        <v>3</v>
      </c>
      <c r="J18557" s="2">
        <v>353</v>
      </c>
      <c r="K18557" s="2">
        <v>46</v>
      </c>
      <c r="L18557" s="2">
        <v>171</v>
      </c>
    </row>
    <row r="18558" spans="1:12" x14ac:dyDescent="0.25">
      <c r="A18558" s="4" t="str">
        <f>HYPERLINK("http://www.rosaceae.org/Prunus/Prunus_persica/p.persica_gdr_reftransV1_0001754","p.persica_gdr_reftransV1_0001754")</f>
        <v>p.persica_gdr_reftransV1_0001754</v>
      </c>
      <c r="B18558" s="2">
        <v>2840</v>
      </c>
      <c r="C18558" s="4" t="str">
        <f>HYPERLINK("http://www.uniprot.org/uniprot/A0A061DNQ6","A0A061DNQ6")</f>
        <v>A0A061DNQ6</v>
      </c>
      <c r="D18558" s="2" t="s">
        <v>14354</v>
      </c>
      <c r="E18558" s="3">
        <v>0</v>
      </c>
      <c r="F18558" s="2">
        <v>3129</v>
      </c>
      <c r="G18558" s="2">
        <v>75</v>
      </c>
      <c r="H18558" s="2">
        <v>839</v>
      </c>
      <c r="I18558" s="2">
        <v>10</v>
      </c>
      <c r="J18558" s="2">
        <v>2523</v>
      </c>
      <c r="K18558" s="2">
        <v>1</v>
      </c>
      <c r="L18558" s="2">
        <v>834</v>
      </c>
    </row>
    <row r="18559" spans="1:12" x14ac:dyDescent="0.25">
      <c r="A18559" s="4" t="str">
        <f>HYPERLINK("http://www.rosaceae.org/Prunus/Prunus_persica/p.persica_gdr_reftransV1_0002104","p.persica_gdr_reftransV1_0002104")</f>
        <v>p.persica_gdr_reftransV1_0002104</v>
      </c>
      <c r="B18559" s="2">
        <v>632</v>
      </c>
      <c r="C18559" s="4" t="str">
        <f>HYPERLINK("http://www.uniprot.org/uniprot/M5VTK9","M5VTK9")</f>
        <v>M5VTK9</v>
      </c>
      <c r="D18559" s="2" t="s">
        <v>14355</v>
      </c>
      <c r="E18559" s="3">
        <v>8.0300000000000004E-97</v>
      </c>
      <c r="F18559" s="2">
        <v>743</v>
      </c>
      <c r="G18559" s="2">
        <v>88</v>
      </c>
      <c r="H18559" s="2">
        <v>183</v>
      </c>
      <c r="I18559" s="2">
        <v>69</v>
      </c>
      <c r="J18559" s="2">
        <v>617</v>
      </c>
      <c r="K18559" s="2">
        <v>1</v>
      </c>
      <c r="L18559" s="2">
        <v>161</v>
      </c>
    </row>
    <row r="18560" spans="1:12" x14ac:dyDescent="0.25">
      <c r="A18560" s="4" t="str">
        <f>HYPERLINK("http://www.rosaceae.org/Prunus/Prunus_persica/p.persica_gdr_reftransV1_0003154","p.persica_gdr_reftransV1_0003154")</f>
        <v>p.persica_gdr_reftransV1_0003154</v>
      </c>
      <c r="B18560" s="2">
        <v>1094</v>
      </c>
      <c r="C18560" s="4" t="str">
        <f>HYPERLINK("http://www.uniprot.org/uniprot/M5WU03","M5WU03")</f>
        <v>M5WU03</v>
      </c>
      <c r="D18560" s="2" t="s">
        <v>13245</v>
      </c>
      <c r="E18560" s="3">
        <v>1.29E-151</v>
      </c>
      <c r="F18560" s="2">
        <v>1126</v>
      </c>
      <c r="G18560" s="2">
        <v>100</v>
      </c>
      <c r="H18560" s="2">
        <v>210</v>
      </c>
      <c r="I18560" s="2">
        <v>185</v>
      </c>
      <c r="J18560" s="2">
        <v>814</v>
      </c>
      <c r="K18560" s="2">
        <v>1</v>
      </c>
      <c r="L18560" s="2">
        <v>210</v>
      </c>
    </row>
    <row r="18561" spans="1:12" x14ac:dyDescent="0.25">
      <c r="A18561" s="4" t="str">
        <f>HYPERLINK("http://www.rosaceae.org/Prunus/Prunus_persica/p.persica_gdr_reftransV1_0004204","p.persica_gdr_reftransV1_0004204")</f>
        <v>p.persica_gdr_reftransV1_0004204</v>
      </c>
      <c r="B18561" s="2">
        <v>1826</v>
      </c>
      <c r="C18561" s="4" t="str">
        <f>HYPERLINK("http://www.uniprot.org/uniprot/M5WTG6","M5WTG6")</f>
        <v>M5WTG6</v>
      </c>
      <c r="D18561" s="2" t="s">
        <v>14356</v>
      </c>
      <c r="E18561" s="3">
        <v>0</v>
      </c>
      <c r="F18561" s="2">
        <v>2391</v>
      </c>
      <c r="G18561" s="2">
        <v>100</v>
      </c>
      <c r="H18561" s="2">
        <v>470</v>
      </c>
      <c r="I18561" s="2">
        <v>331</v>
      </c>
      <c r="J18561" s="2">
        <v>1740</v>
      </c>
      <c r="K18561" s="2">
        <v>1</v>
      </c>
      <c r="L18561" s="2">
        <v>470</v>
      </c>
    </row>
    <row r="18562" spans="1:12" x14ac:dyDescent="0.25">
      <c r="A18562" s="4" t="str">
        <f>HYPERLINK("http://www.rosaceae.org/Prunus/Prunus_persica/p.persica_gdr_reftransV1_0004554","p.persica_gdr_reftransV1_0004554")</f>
        <v>p.persica_gdr_reftransV1_0004554</v>
      </c>
      <c r="B18562" s="2">
        <v>1392</v>
      </c>
      <c r="C18562" s="4" t="str">
        <f>HYPERLINK("http://www.uniprot.org/uniprot/V4UE18","V4UE18")</f>
        <v>V4UE18</v>
      </c>
      <c r="D18562" s="2" t="s">
        <v>14357</v>
      </c>
      <c r="E18562" s="3">
        <v>9.0800000000000002E-100</v>
      </c>
      <c r="F18562" s="2">
        <v>633</v>
      </c>
      <c r="G18562" s="2">
        <v>79</v>
      </c>
      <c r="H18562" s="2">
        <v>143</v>
      </c>
      <c r="I18562" s="2">
        <v>192</v>
      </c>
      <c r="J18562" s="2">
        <v>620</v>
      </c>
      <c r="K18562" s="2">
        <v>67</v>
      </c>
      <c r="L18562" s="2">
        <v>209</v>
      </c>
    </row>
    <row r="18563" spans="1:12" x14ac:dyDescent="0.25">
      <c r="A18563" s="4" t="str">
        <f>HYPERLINK("http://www.rosaceae.org/Prunus/Prunus_persica/p.persica_gdr_reftransV1_0004904","p.persica_gdr_reftransV1_0004904")</f>
        <v>p.persica_gdr_reftransV1_0004904</v>
      </c>
      <c r="B18563" s="2">
        <v>503</v>
      </c>
      <c r="C18563" s="4" t="str">
        <f>HYPERLINK("http://www.uniprot.org/uniprot/M5WMY1","M5WMY1")</f>
        <v>M5WMY1</v>
      </c>
      <c r="D18563" s="2" t="s">
        <v>14358</v>
      </c>
      <c r="E18563" s="3">
        <v>6.8100000000000003E-94</v>
      </c>
      <c r="F18563" s="2">
        <v>724</v>
      </c>
      <c r="G18563" s="2">
        <v>100</v>
      </c>
      <c r="H18563" s="2">
        <v>138</v>
      </c>
      <c r="I18563" s="2">
        <v>88</v>
      </c>
      <c r="J18563" s="2">
        <v>501</v>
      </c>
      <c r="K18563" s="2">
        <v>1</v>
      </c>
      <c r="L18563" s="2">
        <v>138</v>
      </c>
    </row>
    <row r="18564" spans="1:12" x14ac:dyDescent="0.25">
      <c r="A18564" s="4" t="str">
        <f>HYPERLINK("http://www.rosaceae.org/Prunus/Prunus_persica/p.persica_gdr_reftransV1_0005254","p.persica_gdr_reftransV1_0005254")</f>
        <v>p.persica_gdr_reftransV1_0005254</v>
      </c>
      <c r="B18564" s="2">
        <v>3271</v>
      </c>
      <c r="C18564" s="4" t="str">
        <f>HYPERLINK("http://www.uniprot.org/uniprot/M5WWD0","M5WWD0")</f>
        <v>M5WWD0</v>
      </c>
      <c r="D18564" s="2" t="s">
        <v>3441</v>
      </c>
      <c r="E18564" s="3">
        <v>0</v>
      </c>
      <c r="F18564" s="2">
        <v>4303</v>
      </c>
      <c r="G18564" s="2">
        <v>100</v>
      </c>
      <c r="H18564" s="2">
        <v>936</v>
      </c>
      <c r="I18564" s="2">
        <v>428</v>
      </c>
      <c r="J18564" s="2">
        <v>3235</v>
      </c>
      <c r="K18564" s="2">
        <v>1</v>
      </c>
      <c r="L18564" s="2">
        <v>936</v>
      </c>
    </row>
    <row r="18565" spans="1:12" x14ac:dyDescent="0.25">
      <c r="A18565" s="4" t="str">
        <f>HYPERLINK("http://www.rosaceae.org/Prunus/Prunus_persica/p.persica_gdr_reftransV1_0005954","p.persica_gdr_reftransV1_0005954")</f>
        <v>p.persica_gdr_reftransV1_0005954</v>
      </c>
      <c r="B18565" s="2">
        <v>1922</v>
      </c>
      <c r="C18565" s="4" t="str">
        <f>HYPERLINK("http://www.uniprot.org/uniprot/M5WVI2","M5WVI2")</f>
        <v>M5WVI2</v>
      </c>
      <c r="D18565" s="2" t="s">
        <v>4957</v>
      </c>
      <c r="E18565" s="3">
        <v>2.6200000000000001E-49</v>
      </c>
      <c r="F18565" s="2">
        <v>456</v>
      </c>
      <c r="G18565" s="2">
        <v>100</v>
      </c>
      <c r="H18565" s="2">
        <v>104</v>
      </c>
      <c r="I18565" s="2">
        <v>1538</v>
      </c>
      <c r="J18565" s="2">
        <v>1849</v>
      </c>
      <c r="K18565" s="2">
        <v>1</v>
      </c>
      <c r="L18565" s="2">
        <v>104</v>
      </c>
    </row>
    <row r="18566" spans="1:12" x14ac:dyDescent="0.25">
      <c r="A18566" s="4" t="str">
        <f>HYPERLINK("http://www.rosaceae.org/Prunus/Prunus_persica/p.persica_gdr_reftransV1_0006304","p.persica_gdr_reftransV1_0006304")</f>
        <v>p.persica_gdr_reftransV1_0006304</v>
      </c>
      <c r="B18566" s="2">
        <v>661</v>
      </c>
      <c r="C18566" s="4" t="str">
        <f>HYPERLINK("http://www.uniprot.org/uniprot/M5Y2Z4","M5Y2Z4")</f>
        <v>M5Y2Z4</v>
      </c>
      <c r="D18566" s="2" t="s">
        <v>14359</v>
      </c>
      <c r="E18566" s="3">
        <v>2.2199999999999998E-80</v>
      </c>
      <c r="F18566" s="2">
        <v>633</v>
      </c>
      <c r="G18566" s="2">
        <v>100</v>
      </c>
      <c r="H18566" s="2">
        <v>126</v>
      </c>
      <c r="I18566" s="2">
        <v>1</v>
      </c>
      <c r="J18566" s="2">
        <v>378</v>
      </c>
      <c r="K18566" s="2">
        <v>1</v>
      </c>
      <c r="L18566" s="2">
        <v>126</v>
      </c>
    </row>
    <row r="18567" spans="1:12" x14ac:dyDescent="0.25">
      <c r="A18567" s="4" t="str">
        <f>HYPERLINK("http://www.rosaceae.org/Prunus/Prunus_persica/p.persica_gdr_reftransV1_0006654","p.persica_gdr_reftransV1_0006654")</f>
        <v>p.persica_gdr_reftransV1_0006654</v>
      </c>
      <c r="B18567" s="2">
        <v>1249</v>
      </c>
      <c r="C18567" s="4" t="str">
        <f>HYPERLINK("http://www.uniprot.org/uniprot/M5VTN3","M5VTN3")</f>
        <v>M5VTN3</v>
      </c>
      <c r="D18567" s="2" t="s">
        <v>14360</v>
      </c>
      <c r="E18567" s="3">
        <v>2.12E-108</v>
      </c>
      <c r="F18567" s="2">
        <v>850</v>
      </c>
      <c r="G18567" s="2">
        <v>77</v>
      </c>
      <c r="H18567" s="2">
        <v>299</v>
      </c>
      <c r="I18567" s="2">
        <v>148</v>
      </c>
      <c r="J18567" s="2">
        <v>1044</v>
      </c>
      <c r="K18567" s="2">
        <v>30</v>
      </c>
      <c r="L18567" s="2">
        <v>263</v>
      </c>
    </row>
    <row r="18568" spans="1:12" x14ac:dyDescent="0.25">
      <c r="A18568" s="4" t="str">
        <f>HYPERLINK("http://www.rosaceae.org/Prunus/Prunus_persica/p.persica_gdr_reftransV1_0007004","p.persica_gdr_reftransV1_0007004")</f>
        <v>p.persica_gdr_reftransV1_0007004</v>
      </c>
      <c r="B18568" s="2">
        <v>1073</v>
      </c>
      <c r="C18568" s="4" t="str">
        <f>HYPERLINK("http://www.uniprot.org/uniprot/M5X5Q6","M5X5Q6")</f>
        <v>M5X5Q6</v>
      </c>
      <c r="D18568" s="2" t="s">
        <v>4873</v>
      </c>
      <c r="E18568" s="3">
        <v>2.16E-49</v>
      </c>
      <c r="F18568" s="2">
        <v>459</v>
      </c>
      <c r="G18568" s="2">
        <v>100</v>
      </c>
      <c r="H18568" s="2">
        <v>86</v>
      </c>
      <c r="I18568" s="2">
        <v>433</v>
      </c>
      <c r="J18568" s="2">
        <v>690</v>
      </c>
      <c r="K18568" s="2">
        <v>306</v>
      </c>
      <c r="L18568" s="2">
        <v>391</v>
      </c>
    </row>
    <row r="18569" spans="1:12" x14ac:dyDescent="0.25">
      <c r="A18569" s="4" t="str">
        <f>HYPERLINK("http://www.rosaceae.org/Prunus/Prunus_persica/p.persica_gdr_reftransV1_0007354","p.persica_gdr_reftransV1_0007354")</f>
        <v>p.persica_gdr_reftransV1_0007354</v>
      </c>
      <c r="B18569" s="2">
        <v>2072</v>
      </c>
      <c r="C18569" s="4" t="str">
        <f>HYPERLINK("http://www.uniprot.org/uniprot/M5XX40","M5XX40")</f>
        <v>M5XX40</v>
      </c>
      <c r="D18569" s="2" t="s">
        <v>14361</v>
      </c>
      <c r="E18569" s="3">
        <v>0</v>
      </c>
      <c r="F18569" s="2">
        <v>2611</v>
      </c>
      <c r="G18569" s="2">
        <v>100</v>
      </c>
      <c r="H18569" s="2">
        <v>526</v>
      </c>
      <c r="I18569" s="2">
        <v>220</v>
      </c>
      <c r="J18569" s="2">
        <v>1797</v>
      </c>
      <c r="K18569" s="2">
        <v>1</v>
      </c>
      <c r="L18569" s="2">
        <v>526</v>
      </c>
    </row>
    <row r="18570" spans="1:12" x14ac:dyDescent="0.25">
      <c r="A18570" s="4" t="str">
        <f>HYPERLINK("http://www.rosaceae.org/Prunus/Prunus_persica/p.persica_gdr_reftransV1_0007704","p.persica_gdr_reftransV1_0007704")</f>
        <v>p.persica_gdr_reftransV1_0007704</v>
      </c>
      <c r="B18570" s="2">
        <v>1988</v>
      </c>
      <c r="C18570" s="4" t="str">
        <f>HYPERLINK("http://www.uniprot.org/uniprot/M5WUV2","M5WUV2")</f>
        <v>M5WUV2</v>
      </c>
      <c r="D18570" s="2" t="s">
        <v>14362</v>
      </c>
      <c r="E18570" s="3">
        <v>3.1200000000000001E-106</v>
      </c>
      <c r="F18570" s="2">
        <v>858</v>
      </c>
      <c r="G18570" s="2">
        <v>100</v>
      </c>
      <c r="H18570" s="2">
        <v>261</v>
      </c>
      <c r="I18570" s="2">
        <v>64</v>
      </c>
      <c r="J18570" s="2">
        <v>846</v>
      </c>
      <c r="K18570" s="2">
        <v>11</v>
      </c>
      <c r="L18570" s="2">
        <v>271</v>
      </c>
    </row>
    <row r="18571" spans="1:12" x14ac:dyDescent="0.25">
      <c r="A18571" s="4" t="str">
        <f>HYPERLINK("http://www.rosaceae.org/Prunus/Prunus_persica/p.persica_gdr_reftransV1_0008054","p.persica_gdr_reftransV1_0008054")</f>
        <v>p.persica_gdr_reftransV1_0008054</v>
      </c>
      <c r="B18571" s="2">
        <v>3064</v>
      </c>
      <c r="C18571" s="4" t="str">
        <f>HYPERLINK("http://www.uniprot.org/uniprot/M5WFH5","M5WFH5")</f>
        <v>M5WFH5</v>
      </c>
      <c r="D18571" s="2" t="s">
        <v>14363</v>
      </c>
      <c r="E18571" s="3">
        <v>0</v>
      </c>
      <c r="F18571" s="2">
        <v>4193</v>
      </c>
      <c r="G18571" s="2">
        <v>100</v>
      </c>
      <c r="H18571" s="2">
        <v>846</v>
      </c>
      <c r="I18571" s="2">
        <v>157</v>
      </c>
      <c r="J18571" s="2">
        <v>2694</v>
      </c>
      <c r="K18571" s="2">
        <v>1</v>
      </c>
      <c r="L18571" s="2">
        <v>846</v>
      </c>
    </row>
    <row r="18572" spans="1:12" x14ac:dyDescent="0.25">
      <c r="A18572" s="4" t="str">
        <f>HYPERLINK("http://www.rosaceae.org/Prunus/Prunus_persica/p.persica_gdr_reftransV1_0008754","p.persica_gdr_reftransV1_0008754")</f>
        <v>p.persica_gdr_reftransV1_0008754</v>
      </c>
      <c r="B18572" s="2">
        <v>1862</v>
      </c>
      <c r="C18572" s="4" t="str">
        <f>HYPERLINK("http://www.uniprot.org/uniprot/M5XS47","M5XS47")</f>
        <v>M5XS47</v>
      </c>
      <c r="D18572" s="2" t="s">
        <v>14364</v>
      </c>
      <c r="E18572" s="3">
        <v>1.68E-164</v>
      </c>
      <c r="F18572" s="2">
        <v>1241</v>
      </c>
      <c r="G18572" s="2">
        <v>100</v>
      </c>
      <c r="H18572" s="2">
        <v>252</v>
      </c>
      <c r="I18572" s="2">
        <v>795</v>
      </c>
      <c r="J18572" s="2">
        <v>1550</v>
      </c>
      <c r="K18572" s="2">
        <v>1</v>
      </c>
      <c r="L18572" s="2">
        <v>252</v>
      </c>
    </row>
    <row r="18573" spans="1:12" x14ac:dyDescent="0.25">
      <c r="A18573" s="4" t="str">
        <f>HYPERLINK("http://www.rosaceae.org/Prunus/Prunus_persica/p.persica_gdr_reftransV1_0009454","p.persica_gdr_reftransV1_0009454")</f>
        <v>p.persica_gdr_reftransV1_0009454</v>
      </c>
      <c r="B18573" s="2">
        <v>353</v>
      </c>
      <c r="C18573" s="4" t="str">
        <f>HYPERLINK("http://www.uniprot.org/uniprot/M5VKE9","M5VKE9")</f>
        <v>M5VKE9</v>
      </c>
      <c r="D18573" s="2" t="s">
        <v>753</v>
      </c>
      <c r="E18573" s="3">
        <v>2.2800000000000001E-69</v>
      </c>
      <c r="F18573" s="2">
        <v>606</v>
      </c>
      <c r="G18573" s="2">
        <v>100</v>
      </c>
      <c r="H18573" s="2">
        <v>117</v>
      </c>
      <c r="I18573" s="2">
        <v>2</v>
      </c>
      <c r="J18573" s="2">
        <v>352</v>
      </c>
      <c r="K18573" s="2">
        <v>979</v>
      </c>
      <c r="L18573" s="2">
        <v>1095</v>
      </c>
    </row>
    <row r="18574" spans="1:12" x14ac:dyDescent="0.25">
      <c r="A18574" s="4" t="str">
        <f>HYPERLINK("http://www.rosaceae.org/Prunus/Prunus_persica/p.persica_gdr_reftransV1_0010154","p.persica_gdr_reftransV1_0010154")</f>
        <v>p.persica_gdr_reftransV1_0010154</v>
      </c>
      <c r="B18574" s="2">
        <v>1560</v>
      </c>
      <c r="C18574" s="4" t="str">
        <f>HYPERLINK("http://www.uniprot.org/uniprot/M5WJN6","M5WJN6")</f>
        <v>M5WJN6</v>
      </c>
      <c r="D18574" s="2" t="s">
        <v>1659</v>
      </c>
      <c r="E18574" s="3">
        <v>0</v>
      </c>
      <c r="F18574" s="2">
        <v>2521</v>
      </c>
      <c r="G18574" s="2">
        <v>100</v>
      </c>
      <c r="H18574" s="2">
        <v>468</v>
      </c>
      <c r="I18574" s="2">
        <v>3</v>
      </c>
      <c r="J18574" s="2">
        <v>1406</v>
      </c>
      <c r="K18574" s="2">
        <v>162</v>
      </c>
      <c r="L18574" s="2">
        <v>629</v>
      </c>
    </row>
    <row r="18575" spans="1:12" x14ac:dyDescent="0.25">
      <c r="A18575" s="4" t="str">
        <f>HYPERLINK("http://www.rosaceae.org/Prunus/Prunus_persica/p.persica_gdr_reftransV1_0010504","p.persica_gdr_reftransV1_0010504")</f>
        <v>p.persica_gdr_reftransV1_0010504</v>
      </c>
      <c r="B18575" s="2">
        <v>2525</v>
      </c>
      <c r="C18575" s="4" t="str">
        <f>HYPERLINK("http://www.uniprot.org/uniprot/M5W7Z6","M5W7Z6")</f>
        <v>M5W7Z6</v>
      </c>
      <c r="D18575" s="2" t="s">
        <v>14365</v>
      </c>
      <c r="E18575" s="3">
        <v>0</v>
      </c>
      <c r="F18575" s="2">
        <v>2184</v>
      </c>
      <c r="G18575" s="2">
        <v>100</v>
      </c>
      <c r="H18575" s="2">
        <v>422</v>
      </c>
      <c r="I18575" s="2">
        <v>370</v>
      </c>
      <c r="J18575" s="2">
        <v>1635</v>
      </c>
      <c r="K18575" s="2">
        <v>203</v>
      </c>
      <c r="L18575" s="2">
        <v>624</v>
      </c>
    </row>
    <row r="18576" spans="1:12" x14ac:dyDescent="0.25">
      <c r="A18576" s="4" t="str">
        <f>HYPERLINK("http://www.rosaceae.org/Prunus/Prunus_persica/p.persica_gdr_reftransV1_0010854","p.persica_gdr_reftransV1_0010854")</f>
        <v>p.persica_gdr_reftransV1_0010854</v>
      </c>
      <c r="B18576" s="2">
        <v>865</v>
      </c>
      <c r="C18576" s="4" t="str">
        <f>HYPERLINK("http://www.uniprot.org/uniprot/M5WXM1","M5WXM1")</f>
        <v>M5WXM1</v>
      </c>
      <c r="D18576" s="2" t="s">
        <v>10511</v>
      </c>
      <c r="E18576" s="3">
        <v>0</v>
      </c>
      <c r="F18576" s="2">
        <v>1535</v>
      </c>
      <c r="G18576" s="2">
        <v>100</v>
      </c>
      <c r="H18576" s="2">
        <v>288</v>
      </c>
      <c r="I18576" s="2">
        <v>1</v>
      </c>
      <c r="J18576" s="2">
        <v>864</v>
      </c>
      <c r="K18576" s="2">
        <v>505</v>
      </c>
      <c r="L18576" s="2">
        <v>792</v>
      </c>
    </row>
    <row r="18577" spans="1:12" x14ac:dyDescent="0.25">
      <c r="A18577" s="4" t="str">
        <f>HYPERLINK("http://www.rosaceae.org/Prunus/Prunus_persica/p.persica_gdr_reftransV1_0011204","p.persica_gdr_reftransV1_0011204")</f>
        <v>p.persica_gdr_reftransV1_0011204</v>
      </c>
      <c r="B18577" s="2">
        <v>523</v>
      </c>
      <c r="C18577" s="4" t="str">
        <f>HYPERLINK("http://www.uniprot.org/uniprot/M5XA13","M5XA13")</f>
        <v>M5XA13</v>
      </c>
      <c r="D18577" s="2" t="s">
        <v>14366</v>
      </c>
      <c r="E18577" s="3">
        <v>4.29E-48</v>
      </c>
      <c r="F18577" s="2">
        <v>411</v>
      </c>
      <c r="G18577" s="2">
        <v>84</v>
      </c>
      <c r="H18577" s="2">
        <v>99</v>
      </c>
      <c r="I18577" s="2">
        <v>190</v>
      </c>
      <c r="J18577" s="2">
        <v>474</v>
      </c>
      <c r="K18577" s="2">
        <v>1</v>
      </c>
      <c r="L18577" s="2">
        <v>98</v>
      </c>
    </row>
    <row r="18578" spans="1:12" x14ac:dyDescent="0.25">
      <c r="A18578" s="4" t="str">
        <f>HYPERLINK("http://www.rosaceae.org/Prunus/Prunus_persica/p.persica_gdr_reftransV1_0011554","p.persica_gdr_reftransV1_0011554")</f>
        <v>p.persica_gdr_reftransV1_0011554</v>
      </c>
      <c r="B18578" s="2">
        <v>2646</v>
      </c>
      <c r="C18578" s="4" t="str">
        <f>HYPERLINK("http://www.uniprot.org/uniprot/M5WEQ0","M5WEQ0")</f>
        <v>M5WEQ0</v>
      </c>
      <c r="D18578" s="2" t="s">
        <v>14367</v>
      </c>
      <c r="E18578" s="3">
        <v>0</v>
      </c>
      <c r="F18578" s="2">
        <v>2081</v>
      </c>
      <c r="G18578" s="2">
        <v>100</v>
      </c>
      <c r="H18578" s="2">
        <v>410</v>
      </c>
      <c r="I18578" s="2">
        <v>1231</v>
      </c>
      <c r="J18578" s="2">
        <v>2460</v>
      </c>
      <c r="K18578" s="2">
        <v>1</v>
      </c>
      <c r="L18578" s="2">
        <v>410</v>
      </c>
    </row>
    <row r="18579" spans="1:12" x14ac:dyDescent="0.25">
      <c r="A18579" s="4" t="str">
        <f>HYPERLINK("http://www.rosaceae.org/Prunus/Prunus_persica/p.persica_gdr_reftransV1_0012254","p.persica_gdr_reftransV1_0012254")</f>
        <v>p.persica_gdr_reftransV1_0012254</v>
      </c>
      <c r="B18579" s="2">
        <v>940</v>
      </c>
      <c r="C18579" s="4" t="str">
        <f>HYPERLINK("http://www.uniprot.org/uniprot/M5VK23","M5VK23")</f>
        <v>M5VK23</v>
      </c>
      <c r="D18579" s="2" t="s">
        <v>14368</v>
      </c>
      <c r="E18579" s="3">
        <v>1.97E-102</v>
      </c>
      <c r="F18579" s="2">
        <v>798</v>
      </c>
      <c r="G18579" s="2">
        <v>88</v>
      </c>
      <c r="H18579" s="2">
        <v>234</v>
      </c>
      <c r="I18579" s="2">
        <v>137</v>
      </c>
      <c r="J18579" s="2">
        <v>751</v>
      </c>
      <c r="K18579" s="2">
        <v>1</v>
      </c>
      <c r="L18579" s="2">
        <v>234</v>
      </c>
    </row>
    <row r="18580" spans="1:12" x14ac:dyDescent="0.25">
      <c r="A18580" s="4" t="str">
        <f>HYPERLINK("http://www.rosaceae.org/Prunus/Prunus_persica/p.persica_gdr_reftransV1_0015054","p.persica_gdr_reftransV1_0015054")</f>
        <v>p.persica_gdr_reftransV1_0015054</v>
      </c>
      <c r="B18580" s="2">
        <v>3315</v>
      </c>
      <c r="C18580" s="4" t="str">
        <f>HYPERLINK("http://www.uniprot.org/uniprot/M5XXH3","M5XXH3")</f>
        <v>M5XXH3</v>
      </c>
      <c r="D18580" s="2" t="s">
        <v>4613</v>
      </c>
      <c r="E18580" s="3">
        <v>1.6699999999999999E-142</v>
      </c>
      <c r="F18580" s="2">
        <v>1148</v>
      </c>
      <c r="G18580" s="2">
        <v>100</v>
      </c>
      <c r="H18580" s="2">
        <v>259</v>
      </c>
      <c r="I18580" s="2">
        <v>435</v>
      </c>
      <c r="J18580" s="2">
        <v>1211</v>
      </c>
      <c r="K18580" s="2">
        <v>1</v>
      </c>
      <c r="L18580" s="2">
        <v>259</v>
      </c>
    </row>
    <row r="18581" spans="1:12" x14ac:dyDescent="0.25">
      <c r="A18581" s="4" t="str">
        <f>HYPERLINK("http://www.rosaceae.org/Prunus/Prunus_persica/p.persica_gdr_reftransV1_0015754","p.persica_gdr_reftransV1_0015754")</f>
        <v>p.persica_gdr_reftransV1_0015754</v>
      </c>
      <c r="B18581" s="2">
        <v>1372</v>
      </c>
      <c r="C18581" s="4" t="str">
        <f>HYPERLINK("http://www.uniprot.org/uniprot/M5WA81","M5WA81")</f>
        <v>M5WA81</v>
      </c>
      <c r="D18581" s="2" t="s">
        <v>14369</v>
      </c>
      <c r="E18581" s="3">
        <v>0</v>
      </c>
      <c r="F18581" s="2">
        <v>1515</v>
      </c>
      <c r="G18581" s="2">
        <v>100</v>
      </c>
      <c r="H18581" s="2">
        <v>289</v>
      </c>
      <c r="I18581" s="2">
        <v>155</v>
      </c>
      <c r="J18581" s="2">
        <v>1021</v>
      </c>
      <c r="K18581" s="2">
        <v>1</v>
      </c>
      <c r="L18581" s="2">
        <v>289</v>
      </c>
    </row>
    <row r="18582" spans="1:12" x14ac:dyDescent="0.25">
      <c r="A18582" s="4" t="str">
        <f>HYPERLINK("http://www.rosaceae.org/Prunus/Prunus_persica/p.persica_gdr_reftransV1_0016104","p.persica_gdr_reftransV1_0016104")</f>
        <v>p.persica_gdr_reftransV1_0016104</v>
      </c>
      <c r="B18582" s="2">
        <v>953</v>
      </c>
      <c r="C18582" s="4" t="str">
        <f>HYPERLINK("http://www.uniprot.org/uniprot/M5W4L0","M5W4L0")</f>
        <v>M5W4L0</v>
      </c>
      <c r="D18582" s="2" t="s">
        <v>14370</v>
      </c>
      <c r="E18582" s="3">
        <v>5.7599999999999995E-85</v>
      </c>
      <c r="F18582" s="2">
        <v>673</v>
      </c>
      <c r="G18582" s="2">
        <v>99</v>
      </c>
      <c r="H18582" s="2">
        <v>130</v>
      </c>
      <c r="I18582" s="2">
        <v>129</v>
      </c>
      <c r="J18582" s="2">
        <v>518</v>
      </c>
      <c r="K18582" s="2">
        <v>1</v>
      </c>
      <c r="L18582" s="2">
        <v>130</v>
      </c>
    </row>
    <row r="18583" spans="1:12" x14ac:dyDescent="0.25">
      <c r="A18583" s="4" t="str">
        <f>HYPERLINK("http://www.rosaceae.org/Prunus/Prunus_persica/p.persica_gdr_reftransV1_0018554","p.persica_gdr_reftransV1_0018554")</f>
        <v>p.persica_gdr_reftransV1_0018554</v>
      </c>
      <c r="B18583" s="2">
        <v>1552</v>
      </c>
      <c r="C18583" s="4" t="str">
        <f>HYPERLINK("http://www.uniprot.org/uniprot/M5W5T3","M5W5T3")</f>
        <v>M5W5T3</v>
      </c>
      <c r="D18583" s="2" t="s">
        <v>10965</v>
      </c>
      <c r="E18583" s="3">
        <v>1.9900000000000001E-69</v>
      </c>
      <c r="F18583" s="2">
        <v>584</v>
      </c>
      <c r="G18583" s="2">
        <v>100</v>
      </c>
      <c r="H18583" s="2">
        <v>112</v>
      </c>
      <c r="I18583" s="2">
        <v>1173</v>
      </c>
      <c r="J18583" s="2">
        <v>1508</v>
      </c>
      <c r="K18583" s="2">
        <v>1</v>
      </c>
      <c r="L18583" s="2">
        <v>112</v>
      </c>
    </row>
    <row r="18584" spans="1:12" x14ac:dyDescent="0.25">
      <c r="A18584" s="4" t="str">
        <f>HYPERLINK("http://www.rosaceae.org/Prunus/Prunus_persica/p.persica_gdr_reftransV1_0019254","p.persica_gdr_reftransV1_0019254")</f>
        <v>p.persica_gdr_reftransV1_0019254</v>
      </c>
      <c r="B18584" s="2">
        <v>765</v>
      </c>
      <c r="C18584" s="4" t="str">
        <f>HYPERLINK("http://www.uniprot.org/uniprot/M5WSA6","M5WSA6")</f>
        <v>M5WSA6</v>
      </c>
      <c r="D18584" s="2" t="s">
        <v>345</v>
      </c>
      <c r="E18584" s="3">
        <v>7.2800000000000002E-142</v>
      </c>
      <c r="F18584" s="2">
        <v>1068</v>
      </c>
      <c r="G18584" s="2">
        <v>100</v>
      </c>
      <c r="H18584" s="2">
        <v>194</v>
      </c>
      <c r="I18584" s="2">
        <v>1</v>
      </c>
      <c r="J18584" s="2">
        <v>582</v>
      </c>
      <c r="K18584" s="2">
        <v>197</v>
      </c>
      <c r="L18584" s="2">
        <v>390</v>
      </c>
    </row>
    <row r="18585" spans="1:12" x14ac:dyDescent="0.25">
      <c r="A18585" s="4" t="str">
        <f>HYPERLINK("http://www.rosaceae.org/Prunus/Prunus_persica/p.persica_gdr_reftransV1_0020304","p.persica_gdr_reftransV1_0020304")</f>
        <v>p.persica_gdr_reftransV1_0020304</v>
      </c>
      <c r="B18585" s="2">
        <v>2423</v>
      </c>
      <c r="C18585" s="4" t="str">
        <f>HYPERLINK("http://www.uniprot.org/uniprot/M5WEZ2","M5WEZ2")</f>
        <v>M5WEZ2</v>
      </c>
      <c r="D18585" s="2" t="s">
        <v>14371</v>
      </c>
      <c r="E18585" s="3">
        <v>0</v>
      </c>
      <c r="F18585" s="2">
        <v>1427</v>
      </c>
      <c r="G18585" s="2">
        <v>90</v>
      </c>
      <c r="H18585" s="2">
        <v>363</v>
      </c>
      <c r="I18585" s="2">
        <v>934</v>
      </c>
      <c r="J18585" s="2">
        <v>1995</v>
      </c>
      <c r="K18585" s="2">
        <v>175</v>
      </c>
      <c r="L18585" s="2">
        <v>510</v>
      </c>
    </row>
    <row r="18586" spans="1:12" x14ac:dyDescent="0.25">
      <c r="A18586" s="4" t="str">
        <f>HYPERLINK("http://www.rosaceae.org/Prunus/Prunus_persica/p.persica_gdr_reftransV1_0020654","p.persica_gdr_reftransV1_0020654")</f>
        <v>p.persica_gdr_reftransV1_0020654</v>
      </c>
      <c r="B18586" s="2">
        <v>3267</v>
      </c>
      <c r="C18586" s="4" t="str">
        <f>HYPERLINK("http://www.uniprot.org/uniprot/M5W8J5","M5W8J5")</f>
        <v>M5W8J5</v>
      </c>
      <c r="D18586" s="2" t="s">
        <v>14372</v>
      </c>
      <c r="E18586" s="3">
        <v>0</v>
      </c>
      <c r="F18586" s="2">
        <v>3788</v>
      </c>
      <c r="G18586" s="2">
        <v>98</v>
      </c>
      <c r="H18586" s="2">
        <v>774</v>
      </c>
      <c r="I18586" s="2">
        <v>490</v>
      </c>
      <c r="J18586" s="2">
        <v>2811</v>
      </c>
      <c r="K18586" s="2">
        <v>1</v>
      </c>
      <c r="L18586" s="2">
        <v>756</v>
      </c>
    </row>
    <row r="18587" spans="1:12" x14ac:dyDescent="0.25">
      <c r="A18587" s="4" t="str">
        <f>HYPERLINK("http://www.rosaceae.org/Prunus/Prunus_persica/p.persica_gdr_reftransV1_0022754","p.persica_gdr_reftransV1_0022754")</f>
        <v>p.persica_gdr_reftransV1_0022754</v>
      </c>
      <c r="B18587" s="2">
        <v>1681</v>
      </c>
      <c r="C18587" s="4" t="str">
        <f>HYPERLINK("http://www.uniprot.org/uniprot/M5WGL4","M5WGL4")</f>
        <v>M5WGL4</v>
      </c>
      <c r="D18587" s="2" t="s">
        <v>14373</v>
      </c>
      <c r="E18587" s="3">
        <v>0</v>
      </c>
      <c r="F18587" s="2">
        <v>2157</v>
      </c>
      <c r="G18587" s="2">
        <v>100</v>
      </c>
      <c r="H18587" s="2">
        <v>421</v>
      </c>
      <c r="I18587" s="2">
        <v>65</v>
      </c>
      <c r="J18587" s="2">
        <v>1327</v>
      </c>
      <c r="K18587" s="2">
        <v>1</v>
      </c>
      <c r="L18587" s="2">
        <v>421</v>
      </c>
    </row>
    <row r="18588" spans="1:12" x14ac:dyDescent="0.25">
      <c r="A18588" s="4" t="str">
        <f>HYPERLINK("http://www.rosaceae.org/Prunus/Prunus_persica/p.persica_gdr_reftransV1_0023454","p.persica_gdr_reftransV1_0023454")</f>
        <v>p.persica_gdr_reftransV1_0023454</v>
      </c>
      <c r="B18588" s="2">
        <v>1765</v>
      </c>
      <c r="C18588" s="4" t="str">
        <f>HYPERLINK("http://www.uniprot.org/uniprot/M5XPN1","M5XPN1")</f>
        <v>M5XPN1</v>
      </c>
      <c r="D18588" s="2" t="s">
        <v>14374</v>
      </c>
      <c r="E18588" s="3">
        <v>0</v>
      </c>
      <c r="F18588" s="2">
        <v>1713</v>
      </c>
      <c r="G18588" s="2">
        <v>100</v>
      </c>
      <c r="H18588" s="2">
        <v>396</v>
      </c>
      <c r="I18588" s="2">
        <v>476</v>
      </c>
      <c r="J18588" s="2">
        <v>1663</v>
      </c>
      <c r="K18588" s="2">
        <v>1</v>
      </c>
      <c r="L18588" s="2">
        <v>396</v>
      </c>
    </row>
    <row r="18589" spans="1:12" x14ac:dyDescent="0.25">
      <c r="A18589" s="4" t="str">
        <f>HYPERLINK("http://www.rosaceae.org/Prunus/Prunus_persica/p.persica_gdr_reftransV1_0024154","p.persica_gdr_reftransV1_0024154")</f>
        <v>p.persica_gdr_reftransV1_0024154</v>
      </c>
      <c r="B18589" s="2">
        <v>990</v>
      </c>
      <c r="C18589" s="4" t="str">
        <f>HYPERLINK("http://www.uniprot.org/uniprot/M5XM26","M5XM26")</f>
        <v>M5XM26</v>
      </c>
      <c r="D18589" s="2" t="s">
        <v>9688</v>
      </c>
      <c r="E18589" s="3">
        <v>1.8000000000000001E-114</v>
      </c>
      <c r="F18589" s="2">
        <v>873</v>
      </c>
      <c r="G18589" s="2">
        <v>100</v>
      </c>
      <c r="H18589" s="2">
        <v>167</v>
      </c>
      <c r="I18589" s="2">
        <v>102</v>
      </c>
      <c r="J18589" s="2">
        <v>602</v>
      </c>
      <c r="K18589" s="2">
        <v>1</v>
      </c>
      <c r="L18589" s="2">
        <v>167</v>
      </c>
    </row>
    <row r="18590" spans="1:12" x14ac:dyDescent="0.25">
      <c r="A18590" s="4" t="str">
        <f>HYPERLINK("http://www.rosaceae.org/Prunus/Prunus_persica/p.persica_gdr_reftransV1_0026604","p.persica_gdr_reftransV1_0026604")</f>
        <v>p.persica_gdr_reftransV1_0026604</v>
      </c>
      <c r="B18590" s="2">
        <v>1658</v>
      </c>
      <c r="C18590" s="4" t="str">
        <f>HYPERLINK("http://www.uniprot.org/uniprot/M5X4L9","M5X4L9")</f>
        <v>M5X4L9</v>
      </c>
      <c r="D18590" s="2" t="s">
        <v>14375</v>
      </c>
      <c r="E18590" s="3">
        <v>7.6199999999999996E-81</v>
      </c>
      <c r="F18590" s="2">
        <v>667</v>
      </c>
      <c r="G18590" s="2">
        <v>100</v>
      </c>
      <c r="H18590" s="2">
        <v>140</v>
      </c>
      <c r="I18590" s="2">
        <v>803</v>
      </c>
      <c r="J18590" s="2">
        <v>1222</v>
      </c>
      <c r="K18590" s="2">
        <v>15</v>
      </c>
      <c r="L18590" s="2">
        <v>154</v>
      </c>
    </row>
    <row r="18591" spans="1:12" x14ac:dyDescent="0.25">
      <c r="A18591" s="4" t="str">
        <f>HYPERLINK("http://www.rosaceae.org/Prunus/Prunus_persica/p.persica_gdr_reftransV1_0026954","p.persica_gdr_reftransV1_0026954")</f>
        <v>p.persica_gdr_reftransV1_0026954</v>
      </c>
      <c r="B18591" s="2">
        <v>1118</v>
      </c>
      <c r="C18591" s="4" t="str">
        <f>HYPERLINK("http://www.uniprot.org/uniprot/M5WCD3","M5WCD3")</f>
        <v>M5WCD3</v>
      </c>
      <c r="D18591" s="2" t="s">
        <v>14376</v>
      </c>
      <c r="E18591" s="3">
        <v>0</v>
      </c>
      <c r="F18591" s="2">
        <v>1375</v>
      </c>
      <c r="G18591" s="2">
        <v>100</v>
      </c>
      <c r="H18591" s="2">
        <v>257</v>
      </c>
      <c r="I18591" s="2">
        <v>124</v>
      </c>
      <c r="J18591" s="2">
        <v>894</v>
      </c>
      <c r="K18591" s="2">
        <v>1</v>
      </c>
      <c r="L18591" s="2">
        <v>257</v>
      </c>
    </row>
    <row r="18592" spans="1:12" x14ac:dyDescent="0.25">
      <c r="A18592" s="4" t="str">
        <f>HYPERLINK("http://www.rosaceae.org/Prunus/Prunus_persica/p.persica_gdr_reftransV1_0027304","p.persica_gdr_reftransV1_0027304")</f>
        <v>p.persica_gdr_reftransV1_0027304</v>
      </c>
      <c r="B18592" s="2">
        <v>2905</v>
      </c>
      <c r="C18592" s="4" t="str">
        <f>HYPERLINK("http://www.uniprot.org/uniprot/M5XCV6","M5XCV6")</f>
        <v>M5XCV6</v>
      </c>
      <c r="D18592" s="2" t="s">
        <v>6790</v>
      </c>
      <c r="E18592" s="3">
        <v>6.4199999999999998E-180</v>
      </c>
      <c r="F18592" s="2">
        <v>1390</v>
      </c>
      <c r="G18592" s="2">
        <v>92</v>
      </c>
      <c r="H18592" s="2">
        <v>403</v>
      </c>
      <c r="I18592" s="2">
        <v>1536</v>
      </c>
      <c r="J18592" s="2">
        <v>2744</v>
      </c>
      <c r="K18592" s="2">
        <v>1</v>
      </c>
      <c r="L18592" s="2">
        <v>395</v>
      </c>
    </row>
    <row r="18593" spans="1:12" x14ac:dyDescent="0.25">
      <c r="A18593" s="4" t="str">
        <f>HYPERLINK("http://www.rosaceae.org/Prunus/Prunus_persica/p.persica_gdr_reftransV1_0028704","p.persica_gdr_reftransV1_0028704")</f>
        <v>p.persica_gdr_reftransV1_0028704</v>
      </c>
      <c r="B18593" s="2">
        <v>945</v>
      </c>
      <c r="C18593" s="4" t="str">
        <f>HYPERLINK("http://www.uniprot.org/uniprot/M5X2E0","M5X2E0")</f>
        <v>M5X2E0</v>
      </c>
      <c r="D18593" s="2" t="s">
        <v>9013</v>
      </c>
      <c r="E18593" s="3">
        <v>2.2099999999999999E-87</v>
      </c>
      <c r="F18593" s="2">
        <v>695</v>
      </c>
      <c r="G18593" s="2">
        <v>100</v>
      </c>
      <c r="H18593" s="2">
        <v>140</v>
      </c>
      <c r="I18593" s="2">
        <v>481</v>
      </c>
      <c r="J18593" s="2">
        <v>900</v>
      </c>
      <c r="K18593" s="2">
        <v>1</v>
      </c>
      <c r="L18593" s="2">
        <v>140</v>
      </c>
    </row>
    <row r="18594" spans="1:12" x14ac:dyDescent="0.25">
      <c r="A18594" s="4" t="str">
        <f>HYPERLINK("http://www.rosaceae.org/Prunus/Prunus_persica/p.persica_gdr_reftransV1_0029754","p.persica_gdr_reftransV1_0029754")</f>
        <v>p.persica_gdr_reftransV1_0029754</v>
      </c>
      <c r="B18594" s="2">
        <v>1602</v>
      </c>
      <c r="C18594" s="4" t="str">
        <f>HYPERLINK("http://www.uniprot.org/uniprot/M5WML6","M5WML6")</f>
        <v>M5WML6</v>
      </c>
      <c r="D18594" s="2" t="s">
        <v>14377</v>
      </c>
      <c r="E18594" s="3">
        <v>0</v>
      </c>
      <c r="F18594" s="2">
        <v>1559</v>
      </c>
      <c r="G18594" s="2">
        <v>100</v>
      </c>
      <c r="H18594" s="2">
        <v>294</v>
      </c>
      <c r="I18594" s="2">
        <v>632</v>
      </c>
      <c r="J18594" s="2">
        <v>1513</v>
      </c>
      <c r="K18594" s="2">
        <v>1</v>
      </c>
      <c r="L18594" s="2">
        <v>294</v>
      </c>
    </row>
    <row r="18595" spans="1:12" x14ac:dyDescent="0.25">
      <c r="A18595" s="4" t="str">
        <f>HYPERLINK("http://www.rosaceae.org/Prunus/Prunus_persica/p.persica_gdr_reftransV1_0030104","p.persica_gdr_reftransV1_0030104")</f>
        <v>p.persica_gdr_reftransV1_0030104</v>
      </c>
      <c r="B18595" s="2">
        <v>2008</v>
      </c>
      <c r="C18595" s="4" t="str">
        <f>HYPERLINK("http://www.uniprot.org/uniprot/M5X5H8","M5X5H8")</f>
        <v>M5X5H8</v>
      </c>
      <c r="D18595" s="2" t="s">
        <v>14378</v>
      </c>
      <c r="E18595" s="3">
        <v>0</v>
      </c>
      <c r="F18595" s="2">
        <v>1678</v>
      </c>
      <c r="G18595" s="2">
        <v>100</v>
      </c>
      <c r="H18595" s="2">
        <v>354</v>
      </c>
      <c r="I18595" s="2">
        <v>155</v>
      </c>
      <c r="J18595" s="2">
        <v>1216</v>
      </c>
      <c r="K18595" s="2">
        <v>1</v>
      </c>
      <c r="L18595" s="2">
        <v>354</v>
      </c>
    </row>
    <row r="18596" spans="1:12" x14ac:dyDescent="0.25">
      <c r="A18596" s="4" t="str">
        <f>HYPERLINK("http://www.rosaceae.org/Prunus/Prunus_persica/p.persica_gdr_reftransV1_0030454","p.persica_gdr_reftransV1_0030454")</f>
        <v>p.persica_gdr_reftransV1_0030454</v>
      </c>
      <c r="B18596" s="2">
        <v>1663</v>
      </c>
      <c r="C18596" s="4" t="str">
        <f>HYPERLINK("http://www.uniprot.org/uniprot/M5WSN7","M5WSN7")</f>
        <v>M5WSN7</v>
      </c>
      <c r="D18596" s="2" t="s">
        <v>14379</v>
      </c>
      <c r="E18596" s="3">
        <v>1.04E-176</v>
      </c>
      <c r="F18596" s="2">
        <v>856</v>
      </c>
      <c r="G18596" s="2">
        <v>99</v>
      </c>
      <c r="H18596" s="2">
        <v>160</v>
      </c>
      <c r="I18596" s="2">
        <v>718</v>
      </c>
      <c r="J18596" s="2">
        <v>1197</v>
      </c>
      <c r="K18596" s="2">
        <v>185</v>
      </c>
      <c r="L18596" s="2">
        <v>344</v>
      </c>
    </row>
    <row r="18597" spans="1:12" x14ac:dyDescent="0.25">
      <c r="A18597" s="4" t="str">
        <f>HYPERLINK("http://www.rosaceae.org/Prunus/Prunus_persica/p.persica_gdr_reftransV1_0035004","p.persica_gdr_reftransV1_0035004")</f>
        <v>p.persica_gdr_reftransV1_0035004</v>
      </c>
      <c r="B18597" s="2">
        <v>1558</v>
      </c>
      <c r="C18597" s="4" t="str">
        <f>HYPERLINK("http://www.uniprot.org/uniprot/M5WE85","M5WE85")</f>
        <v>M5WE85</v>
      </c>
      <c r="D18597" s="2" t="s">
        <v>1467</v>
      </c>
      <c r="E18597" s="3">
        <v>0</v>
      </c>
      <c r="F18597" s="2">
        <v>1755</v>
      </c>
      <c r="G18597" s="2">
        <v>87</v>
      </c>
      <c r="H18597" s="2">
        <v>403</v>
      </c>
      <c r="I18597" s="2">
        <v>446</v>
      </c>
      <c r="J18597" s="2">
        <v>1558</v>
      </c>
      <c r="K18597" s="2">
        <v>1</v>
      </c>
      <c r="L18597" s="2">
        <v>403</v>
      </c>
    </row>
    <row r="18598" spans="1:12" x14ac:dyDescent="0.25">
      <c r="A18598" s="4" t="str">
        <f>HYPERLINK("http://www.rosaceae.org/Prunus/Prunus_persica/p.persica_gdr_reftransV1_0038154","p.persica_gdr_reftransV1_0038154")</f>
        <v>p.persica_gdr_reftransV1_0038154</v>
      </c>
      <c r="B18598" s="2">
        <v>2889</v>
      </c>
      <c r="C18598" s="4" t="str">
        <f>HYPERLINK("http://www.uniprot.org/uniprot/M5XX51","M5XX51")</f>
        <v>M5XX51</v>
      </c>
      <c r="D18598" s="2" t="s">
        <v>14380</v>
      </c>
      <c r="E18598" s="3">
        <v>3.9100000000000002E-97</v>
      </c>
      <c r="F18598" s="2">
        <v>829</v>
      </c>
      <c r="G18598" s="2">
        <v>99</v>
      </c>
      <c r="H18598" s="2">
        <v>155</v>
      </c>
      <c r="I18598" s="2">
        <v>961</v>
      </c>
      <c r="J18598" s="2">
        <v>1425</v>
      </c>
      <c r="K18598" s="2">
        <v>118</v>
      </c>
      <c r="L18598" s="2">
        <v>272</v>
      </c>
    </row>
    <row r="18599" spans="1:12" x14ac:dyDescent="0.25">
      <c r="A18599" s="4" t="str">
        <f>HYPERLINK("http://www.rosaceae.org/Prunus/Prunus_persica/p.persica_gdr_reftransV1_0039554","p.persica_gdr_reftransV1_0039554")</f>
        <v>p.persica_gdr_reftransV1_0039554</v>
      </c>
      <c r="B18599" s="2">
        <v>799</v>
      </c>
      <c r="C18599" s="4" t="str">
        <f>HYPERLINK("http://www.uniprot.org/uniprot/M5X6I2","M5X6I2")</f>
        <v>M5X6I2</v>
      </c>
      <c r="D18599" s="2" t="s">
        <v>4303</v>
      </c>
      <c r="E18599" s="3">
        <v>0</v>
      </c>
      <c r="F18599" s="2">
        <v>1370</v>
      </c>
      <c r="G18599" s="2">
        <v>100</v>
      </c>
      <c r="H18599" s="2">
        <v>266</v>
      </c>
      <c r="I18599" s="2">
        <v>1</v>
      </c>
      <c r="J18599" s="2">
        <v>798</v>
      </c>
      <c r="K18599" s="2">
        <v>158</v>
      </c>
      <c r="L18599" s="2">
        <v>423</v>
      </c>
    </row>
    <row r="18600" spans="1:12" x14ac:dyDescent="0.25">
      <c r="A18600" s="4" t="str">
        <f>HYPERLINK("http://www.rosaceae.org/Prunus/Prunus_persica/p.persica_gdr_reftransV1_0040954","p.persica_gdr_reftransV1_0040954")</f>
        <v>p.persica_gdr_reftransV1_0040954</v>
      </c>
      <c r="B18600" s="2">
        <v>948</v>
      </c>
      <c r="C18600" s="4" t="str">
        <f>HYPERLINK("http://www.uniprot.org/uniprot/M5VMZ4","M5VMZ4")</f>
        <v>M5VMZ4</v>
      </c>
      <c r="D18600" s="2" t="s">
        <v>14381</v>
      </c>
      <c r="E18600" s="3">
        <v>1.1899999999999999E-118</v>
      </c>
      <c r="F18600" s="2">
        <v>900</v>
      </c>
      <c r="G18600" s="2">
        <v>99</v>
      </c>
      <c r="H18600" s="2">
        <v>170</v>
      </c>
      <c r="I18600" s="2">
        <v>39</v>
      </c>
      <c r="J18600" s="2">
        <v>548</v>
      </c>
      <c r="K18600" s="2">
        <v>11</v>
      </c>
      <c r="L18600" s="2">
        <v>180</v>
      </c>
    </row>
    <row r="18601" spans="1:12" x14ac:dyDescent="0.25">
      <c r="A18601" s="4" t="str">
        <f>HYPERLINK("http://www.rosaceae.org/Prunus/Prunus_persica/p.persica_gdr_reftransV1_0041304","p.persica_gdr_reftransV1_0041304")</f>
        <v>p.persica_gdr_reftransV1_0041304</v>
      </c>
      <c r="B18601" s="2">
        <v>974</v>
      </c>
      <c r="C18601" s="4" t="str">
        <f>HYPERLINK("http://www.uniprot.org/uniprot/M5XL02","M5XL02")</f>
        <v>M5XL02</v>
      </c>
      <c r="D18601" s="2" t="s">
        <v>14382</v>
      </c>
      <c r="E18601" s="3">
        <v>2.7899999999999998E-114</v>
      </c>
      <c r="F18601" s="2">
        <v>871</v>
      </c>
      <c r="G18601" s="2">
        <v>100</v>
      </c>
      <c r="H18601" s="2">
        <v>165</v>
      </c>
      <c r="I18601" s="2">
        <v>186</v>
      </c>
      <c r="J18601" s="2">
        <v>680</v>
      </c>
      <c r="K18601" s="2">
        <v>1</v>
      </c>
      <c r="L18601" s="2">
        <v>165</v>
      </c>
    </row>
    <row r="18602" spans="1:12" x14ac:dyDescent="0.25">
      <c r="A18602" s="4" t="str">
        <f>HYPERLINK("http://www.rosaceae.org/Prunus/Prunus_persica/p.persica_gdr_reftransV1_0041654","p.persica_gdr_reftransV1_0041654")</f>
        <v>p.persica_gdr_reftransV1_0041654</v>
      </c>
      <c r="B18602" s="2">
        <v>1446</v>
      </c>
      <c r="C18602" s="4" t="str">
        <f>HYPERLINK("http://www.uniprot.org/uniprot/M5WUH0","M5WUH0")</f>
        <v>M5WUH0</v>
      </c>
      <c r="D18602" s="2" t="s">
        <v>14383</v>
      </c>
      <c r="E18602" s="3">
        <v>0</v>
      </c>
      <c r="F18602" s="2">
        <v>1917</v>
      </c>
      <c r="G18602" s="2">
        <v>100</v>
      </c>
      <c r="H18602" s="2">
        <v>374</v>
      </c>
      <c r="I18602" s="2">
        <v>204</v>
      </c>
      <c r="J18602" s="2">
        <v>1325</v>
      </c>
      <c r="K18602" s="2">
        <v>16</v>
      </c>
      <c r="L18602" s="2">
        <v>389</v>
      </c>
    </row>
    <row r="18603" spans="1:12" x14ac:dyDescent="0.25">
      <c r="A18603" s="4" t="str">
        <f>HYPERLINK("http://www.rosaceae.org/Prunus/Prunus_persica/p.persica_gdr_reftransV1_0042004","p.persica_gdr_reftransV1_0042004")</f>
        <v>p.persica_gdr_reftransV1_0042004</v>
      </c>
      <c r="B18603" s="2">
        <v>2848</v>
      </c>
      <c r="C18603" s="4" t="str">
        <f>HYPERLINK("http://www.uniprot.org/uniprot/M5W6M5","M5W6M5")</f>
        <v>M5W6M5</v>
      </c>
      <c r="D18603" s="2" t="s">
        <v>13147</v>
      </c>
      <c r="E18603" s="3">
        <v>0</v>
      </c>
      <c r="F18603" s="2">
        <v>4165</v>
      </c>
      <c r="G18603" s="2">
        <v>100</v>
      </c>
      <c r="H18603" s="2">
        <v>813</v>
      </c>
      <c r="I18603" s="2">
        <v>170</v>
      </c>
      <c r="J18603" s="2">
        <v>2608</v>
      </c>
      <c r="K18603" s="2">
        <v>14</v>
      </c>
      <c r="L18603" s="2">
        <v>826</v>
      </c>
    </row>
    <row r="18604" spans="1:12" x14ac:dyDescent="0.25">
      <c r="A18604" s="4" t="str">
        <f>HYPERLINK("http://www.rosaceae.org/Prunus/Prunus_persica/p.persica_gdr_reftransV1_0042354","p.persica_gdr_reftransV1_0042354")</f>
        <v>p.persica_gdr_reftransV1_0042354</v>
      </c>
      <c r="B18604" s="2">
        <v>2483</v>
      </c>
      <c r="C18604" s="4" t="str">
        <f>HYPERLINK("http://www.uniprot.org/uniprot/M5XE88","M5XE88")</f>
        <v>M5XE88</v>
      </c>
      <c r="D18604" s="2" t="s">
        <v>14384</v>
      </c>
      <c r="E18604" s="3">
        <v>3.0800000000000001E-84</v>
      </c>
      <c r="F18604" s="2">
        <v>725</v>
      </c>
      <c r="G18604" s="2">
        <v>100</v>
      </c>
      <c r="H18604" s="2">
        <v>136</v>
      </c>
      <c r="I18604" s="2">
        <v>1756</v>
      </c>
      <c r="J18604" s="2">
        <v>2163</v>
      </c>
      <c r="K18604" s="2">
        <v>197</v>
      </c>
      <c r="L18604" s="2">
        <v>332</v>
      </c>
    </row>
    <row r="18605" spans="1:12" x14ac:dyDescent="0.25">
      <c r="A18605" s="4" t="str">
        <f>HYPERLINK("http://www.rosaceae.org/Prunus/Prunus_persica/p.persica_gdr_reftransV1_0042704","p.persica_gdr_reftransV1_0042704")</f>
        <v>p.persica_gdr_reftransV1_0042704</v>
      </c>
      <c r="B18605" s="2">
        <v>2043</v>
      </c>
      <c r="C18605" s="4" t="str">
        <f>HYPERLINK("http://www.uniprot.org/uniprot/M5W9V8","M5W9V8")</f>
        <v>M5W9V8</v>
      </c>
      <c r="D18605" s="2" t="s">
        <v>12485</v>
      </c>
      <c r="E18605" s="3">
        <v>1.6E-65</v>
      </c>
      <c r="F18605" s="2">
        <v>516</v>
      </c>
      <c r="G18605" s="2">
        <v>100</v>
      </c>
      <c r="H18605" s="2">
        <v>96</v>
      </c>
      <c r="I18605" s="2">
        <v>1669</v>
      </c>
      <c r="J18605" s="2">
        <v>1956</v>
      </c>
      <c r="K18605" s="2">
        <v>1</v>
      </c>
      <c r="L18605" s="2">
        <v>96</v>
      </c>
    </row>
    <row r="18606" spans="1:12" x14ac:dyDescent="0.25">
      <c r="A18606" s="4" t="str">
        <f>HYPERLINK("http://www.rosaceae.org/Prunus/Prunus_persica/p.persica_gdr_reftransV1_0043054","p.persica_gdr_reftransV1_0043054")</f>
        <v>p.persica_gdr_reftransV1_0043054</v>
      </c>
      <c r="B18606" s="2">
        <v>431</v>
      </c>
      <c r="C18606" s="4" t="str">
        <f>HYPERLINK("http://www.uniprot.org/uniprot/M5Y462","M5Y462")</f>
        <v>M5Y462</v>
      </c>
      <c r="D18606" s="2" t="s">
        <v>7429</v>
      </c>
      <c r="E18606" s="3">
        <v>8.0699999999999996E-72</v>
      </c>
      <c r="F18606" s="2">
        <v>618</v>
      </c>
      <c r="G18606" s="2">
        <v>99</v>
      </c>
      <c r="H18606" s="2">
        <v>144</v>
      </c>
      <c r="I18606" s="2">
        <v>1</v>
      </c>
      <c r="J18606" s="2">
        <v>429</v>
      </c>
      <c r="K18606" s="2">
        <v>5</v>
      </c>
      <c r="L18606" s="2">
        <v>148</v>
      </c>
    </row>
    <row r="18607" spans="1:12" x14ac:dyDescent="0.25">
      <c r="A18607" s="4" t="str">
        <f>HYPERLINK("http://www.rosaceae.org/Prunus/Prunus_persica/p.persica_gdr_reftransV1_0043404","p.persica_gdr_reftransV1_0043404")</f>
        <v>p.persica_gdr_reftransV1_0043404</v>
      </c>
      <c r="B18607" s="2">
        <v>1308</v>
      </c>
      <c r="C18607" s="4" t="str">
        <f>HYPERLINK("http://www.uniprot.org/uniprot/M5X2Y0","M5X2Y0")</f>
        <v>M5X2Y0</v>
      </c>
      <c r="D18607" s="2" t="s">
        <v>14385</v>
      </c>
      <c r="E18607" s="3">
        <v>1.6899999999999999E-142</v>
      </c>
      <c r="F18607" s="2">
        <v>1150</v>
      </c>
      <c r="G18607" s="2">
        <v>99</v>
      </c>
      <c r="H18607" s="2">
        <v>219</v>
      </c>
      <c r="I18607" s="2">
        <v>652</v>
      </c>
      <c r="J18607" s="2">
        <v>1308</v>
      </c>
      <c r="K18607" s="2">
        <v>892</v>
      </c>
      <c r="L18607" s="2">
        <v>1110</v>
      </c>
    </row>
    <row r="18608" spans="1:12" x14ac:dyDescent="0.25">
      <c r="A18608" s="4" t="str">
        <f>HYPERLINK("http://www.rosaceae.org/Prunus/Prunus_persica/p.persica_gdr_reftransV1_0043754","p.persica_gdr_reftransV1_0043754")</f>
        <v>p.persica_gdr_reftransV1_0043754</v>
      </c>
      <c r="B18608" s="2">
        <v>572</v>
      </c>
      <c r="C18608" s="4" t="str">
        <f>HYPERLINK("http://www.uniprot.org/uniprot/A0A067L3M5","A0A067L3M5")</f>
        <v>A0A067L3M5</v>
      </c>
      <c r="D18608" s="2" t="s">
        <v>14386</v>
      </c>
      <c r="E18608" s="3">
        <v>3.5900000000000002E-48</v>
      </c>
      <c r="F18608" s="2">
        <v>413</v>
      </c>
      <c r="G18608" s="2">
        <v>77</v>
      </c>
      <c r="H18608" s="2">
        <v>103</v>
      </c>
      <c r="I18608" s="2">
        <v>210</v>
      </c>
      <c r="J18608" s="2">
        <v>518</v>
      </c>
      <c r="K18608" s="2">
        <v>1</v>
      </c>
      <c r="L18608" s="2">
        <v>103</v>
      </c>
    </row>
    <row r="18609" spans="1:12" x14ac:dyDescent="0.25">
      <c r="A18609" s="4" t="str">
        <f>HYPERLINK("http://www.rosaceae.org/Prunus/Prunus_persica/p.persica_gdr_reftransV1_0044104","p.persica_gdr_reftransV1_0044104")</f>
        <v>p.persica_gdr_reftransV1_0044104</v>
      </c>
      <c r="B18609" s="2">
        <v>892</v>
      </c>
      <c r="C18609" s="4" t="str">
        <f>HYPERLINK("http://www.uniprot.org/uniprot/M5VGL2","M5VGL2")</f>
        <v>M5VGL2</v>
      </c>
      <c r="D18609" s="2" t="s">
        <v>14387</v>
      </c>
      <c r="E18609" s="3">
        <v>0</v>
      </c>
      <c r="F18609" s="2">
        <v>1581</v>
      </c>
      <c r="G18609" s="2">
        <v>100</v>
      </c>
      <c r="H18609" s="2">
        <v>297</v>
      </c>
      <c r="I18609" s="2">
        <v>2</v>
      </c>
      <c r="J18609" s="2">
        <v>892</v>
      </c>
      <c r="K18609" s="2">
        <v>88</v>
      </c>
      <c r="L18609" s="2">
        <v>384</v>
      </c>
    </row>
    <row r="18610" spans="1:12" x14ac:dyDescent="0.25">
      <c r="A18610" s="4" t="str">
        <f>HYPERLINK("http://www.rosaceae.org/Prunus/Prunus_persica/p.persica_gdr_reftransV1_0044454","p.persica_gdr_reftransV1_0044454")</f>
        <v>p.persica_gdr_reftransV1_0044454</v>
      </c>
      <c r="B18610" s="2">
        <v>395</v>
      </c>
      <c r="C18610" s="4" t="str">
        <f>HYPERLINK("http://www.uniprot.org/uniprot/M5X3Z7","M5X3Z7")</f>
        <v>M5X3Z7</v>
      </c>
      <c r="D18610" s="2" t="s">
        <v>10029</v>
      </c>
      <c r="E18610" s="3">
        <v>7.5300000000000004E-12</v>
      </c>
      <c r="F18610" s="2">
        <v>167</v>
      </c>
      <c r="G18610" s="2">
        <v>100</v>
      </c>
      <c r="H18610" s="2">
        <v>72</v>
      </c>
      <c r="I18610" s="2">
        <v>85</v>
      </c>
      <c r="J18610" s="2">
        <v>300</v>
      </c>
      <c r="K18610" s="2">
        <v>1</v>
      </c>
      <c r="L18610" s="2">
        <v>72</v>
      </c>
    </row>
    <row r="18611" spans="1:12" x14ac:dyDescent="0.25">
      <c r="A18611" s="4" t="str">
        <f>HYPERLINK("http://www.rosaceae.org/Prunus/Prunus_persica/p.persica_gdr_reftransV1_0045154","p.persica_gdr_reftransV1_0045154")</f>
        <v>p.persica_gdr_reftransV1_0045154</v>
      </c>
      <c r="B18611" s="2">
        <v>1138</v>
      </c>
      <c r="C18611" s="4" t="str">
        <f>HYPERLINK("http://www.uniprot.org/uniprot/M5W3N6","M5W3N6")</f>
        <v>M5W3N6</v>
      </c>
      <c r="D18611" s="2" t="s">
        <v>14388</v>
      </c>
      <c r="E18611" s="3">
        <v>3.2699999999999999E-85</v>
      </c>
      <c r="F18611" s="2">
        <v>684</v>
      </c>
      <c r="G18611" s="2">
        <v>94</v>
      </c>
      <c r="H18611" s="2">
        <v>143</v>
      </c>
      <c r="I18611" s="2">
        <v>245</v>
      </c>
      <c r="J18611" s="2">
        <v>670</v>
      </c>
      <c r="K18611" s="2">
        <v>27</v>
      </c>
      <c r="L18611" s="2">
        <v>169</v>
      </c>
    </row>
    <row r="18612" spans="1:12" x14ac:dyDescent="0.25">
      <c r="A18612" s="4" t="str">
        <f>HYPERLINK("http://www.rosaceae.org/Prunus/Prunus_persica/p.persica_gdr_reftransV1_0045504","p.persica_gdr_reftransV1_0045504")</f>
        <v>p.persica_gdr_reftransV1_0045504</v>
      </c>
      <c r="B18612" s="2">
        <v>2095</v>
      </c>
      <c r="C18612" s="4" t="str">
        <f>HYPERLINK("http://www.uniprot.org/uniprot/M5X3W4","M5X3W4")</f>
        <v>M5X3W4</v>
      </c>
      <c r="D18612" s="2" t="s">
        <v>14389</v>
      </c>
      <c r="E18612" s="3">
        <v>0</v>
      </c>
      <c r="F18612" s="2">
        <v>2269</v>
      </c>
      <c r="G18612" s="2">
        <v>100</v>
      </c>
      <c r="H18612" s="2">
        <v>531</v>
      </c>
      <c r="I18612" s="2">
        <v>334</v>
      </c>
      <c r="J18612" s="2">
        <v>1926</v>
      </c>
      <c r="K18612" s="2">
        <v>1</v>
      </c>
      <c r="L18612" s="2">
        <v>531</v>
      </c>
    </row>
    <row r="18613" spans="1:12" x14ac:dyDescent="0.25">
      <c r="A18613" s="4" t="str">
        <f>HYPERLINK("http://www.rosaceae.org/Prunus/Prunus_persica/p.persica_gdr_reftransV1_0045854","p.persica_gdr_reftransV1_0045854")</f>
        <v>p.persica_gdr_reftransV1_0045854</v>
      </c>
      <c r="B18613" s="2">
        <v>606</v>
      </c>
      <c r="C18613" s="4" t="str">
        <f>HYPERLINK("http://www.uniprot.org/uniprot/M5VLC3","M5VLC3")</f>
        <v>M5VLC3</v>
      </c>
      <c r="D18613" s="2" t="s">
        <v>1102</v>
      </c>
      <c r="E18613" s="3">
        <v>3.5100000000000001E-74</v>
      </c>
      <c r="F18613" s="2">
        <v>606</v>
      </c>
      <c r="G18613" s="2">
        <v>100</v>
      </c>
      <c r="H18613" s="2">
        <v>150</v>
      </c>
      <c r="I18613" s="2">
        <v>157</v>
      </c>
      <c r="J18613" s="2">
        <v>606</v>
      </c>
      <c r="K18613" s="2">
        <v>1</v>
      </c>
      <c r="L18613" s="2">
        <v>150</v>
      </c>
    </row>
    <row r="18614" spans="1:12" x14ac:dyDescent="0.25">
      <c r="A18614" s="4" t="str">
        <f>HYPERLINK("http://www.rosaceae.org/Prunus/Prunus_persica/p.persica_gdr_reftransV1_0046554","p.persica_gdr_reftransV1_0046554")</f>
        <v>p.persica_gdr_reftransV1_0046554</v>
      </c>
      <c r="B18614" s="2">
        <v>541</v>
      </c>
      <c r="C18614" s="4" t="str">
        <f>HYPERLINK("http://www.uniprot.org/uniprot/M5W6A8","M5W6A8")</f>
        <v>M5W6A8</v>
      </c>
      <c r="D18614" s="2" t="s">
        <v>3850</v>
      </c>
      <c r="E18614" s="3">
        <v>2.9800000000000001E-92</v>
      </c>
      <c r="F18614" s="2">
        <v>760</v>
      </c>
      <c r="G18614" s="2">
        <v>100</v>
      </c>
      <c r="H18614" s="2">
        <v>135</v>
      </c>
      <c r="I18614" s="2">
        <v>3</v>
      </c>
      <c r="J18614" s="2">
        <v>407</v>
      </c>
      <c r="K18614" s="2">
        <v>1</v>
      </c>
      <c r="L18614" s="2">
        <v>135</v>
      </c>
    </row>
    <row r="18615" spans="1:12" x14ac:dyDescent="0.25">
      <c r="A18615" s="4" t="str">
        <f>HYPERLINK("http://www.rosaceae.org/Prunus/Prunus_persica/p.persica_gdr_reftransV1_0046904","p.persica_gdr_reftransV1_0046904")</f>
        <v>p.persica_gdr_reftransV1_0046904</v>
      </c>
      <c r="B18615" s="2">
        <v>475</v>
      </c>
      <c r="C18615" s="4" t="str">
        <f>HYPERLINK("http://www.uniprot.org/uniprot/A0A067KMH3","A0A067KMH3")</f>
        <v>A0A067KMH3</v>
      </c>
      <c r="D18615" s="2" t="s">
        <v>14390</v>
      </c>
      <c r="E18615" s="3">
        <v>1.19E-31</v>
      </c>
      <c r="F18615" s="2">
        <v>319</v>
      </c>
      <c r="G18615" s="2">
        <v>50</v>
      </c>
      <c r="H18615" s="2">
        <v>136</v>
      </c>
      <c r="I18615" s="2">
        <v>11</v>
      </c>
      <c r="J18615" s="2">
        <v>418</v>
      </c>
      <c r="K18615" s="2">
        <v>327</v>
      </c>
      <c r="L18615" s="2">
        <v>461</v>
      </c>
    </row>
    <row r="18616" spans="1:12" x14ac:dyDescent="0.25">
      <c r="A18616" s="4" t="str">
        <f>HYPERLINK("http://www.rosaceae.org/Prunus/Prunus_persica/p.persica_gdr_reftransV1_0047604","p.persica_gdr_reftransV1_0047604")</f>
        <v>p.persica_gdr_reftransV1_0047604</v>
      </c>
      <c r="B18616" s="2">
        <v>2705</v>
      </c>
      <c r="C18616" s="4" t="str">
        <f>HYPERLINK("http://www.uniprot.org/uniprot/M5W134","M5W134")</f>
        <v>M5W134</v>
      </c>
      <c r="D18616" s="2" t="s">
        <v>14391</v>
      </c>
      <c r="E18616" s="3">
        <v>0</v>
      </c>
      <c r="F18616" s="2">
        <v>3023</v>
      </c>
      <c r="G18616" s="2">
        <v>100</v>
      </c>
      <c r="H18616" s="2">
        <v>672</v>
      </c>
      <c r="I18616" s="2">
        <v>466</v>
      </c>
      <c r="J18616" s="2">
        <v>2481</v>
      </c>
      <c r="K18616" s="2">
        <v>57</v>
      </c>
      <c r="L18616" s="2">
        <v>728</v>
      </c>
    </row>
    <row r="18617" spans="1:12" x14ac:dyDescent="0.25">
      <c r="A18617" s="4" t="str">
        <f>HYPERLINK("http://www.rosaceae.org/Prunus/Prunus_persica/p.persica_gdr_reftransV1_0047954","p.persica_gdr_reftransV1_0047954")</f>
        <v>p.persica_gdr_reftransV1_0047954</v>
      </c>
      <c r="B18617" s="2">
        <v>1207</v>
      </c>
      <c r="C18617" s="4" t="str">
        <f>HYPERLINK("http://www.uniprot.org/uniprot/M5XZF2","M5XZF2")</f>
        <v>M5XZF2</v>
      </c>
      <c r="D18617" s="2" t="s">
        <v>12546</v>
      </c>
      <c r="E18617" s="3">
        <v>9.9600000000000004E-129</v>
      </c>
      <c r="F18617" s="2">
        <v>978</v>
      </c>
      <c r="G18617" s="2">
        <v>100</v>
      </c>
      <c r="H18617" s="2">
        <v>201</v>
      </c>
      <c r="I18617" s="2">
        <v>336</v>
      </c>
      <c r="J18617" s="2">
        <v>938</v>
      </c>
      <c r="K18617" s="2">
        <v>1</v>
      </c>
      <c r="L18617" s="2">
        <v>201</v>
      </c>
    </row>
    <row r="18618" spans="1:12" x14ac:dyDescent="0.25">
      <c r="A18618" s="4" t="str">
        <f>HYPERLINK("http://www.rosaceae.org/Prunus/Prunus_persica/p.persica_gdr_reftransV1_0048304","p.persica_gdr_reftransV1_0048304")</f>
        <v>p.persica_gdr_reftransV1_0048304</v>
      </c>
      <c r="B18618" s="2">
        <v>1368</v>
      </c>
      <c r="C18618" s="4" t="str">
        <f>HYPERLINK("http://www.uniprot.org/uniprot/M5XD25","M5XD25")</f>
        <v>M5XD25</v>
      </c>
      <c r="D18618" s="2" t="s">
        <v>11343</v>
      </c>
      <c r="E18618" s="3">
        <v>0</v>
      </c>
      <c r="F18618" s="2">
        <v>1416</v>
      </c>
      <c r="G18618" s="2">
        <v>100</v>
      </c>
      <c r="H18618" s="2">
        <v>285</v>
      </c>
      <c r="I18618" s="2">
        <v>209</v>
      </c>
      <c r="J18618" s="2">
        <v>1063</v>
      </c>
      <c r="K18618" s="2">
        <v>1</v>
      </c>
      <c r="L18618" s="2">
        <v>285</v>
      </c>
    </row>
    <row r="18619" spans="1:12" x14ac:dyDescent="0.25">
      <c r="A18619" s="4" t="str">
        <f>HYPERLINK("http://www.rosaceae.org/Prunus/Prunus_persica/p.persica_gdr_reftransV1_0048654","p.persica_gdr_reftransV1_0048654")</f>
        <v>p.persica_gdr_reftransV1_0048654</v>
      </c>
      <c r="B18619" s="2">
        <v>831</v>
      </c>
      <c r="C18619" s="4" t="str">
        <f>HYPERLINK("http://www.uniprot.org/uniprot/M5WRA3","M5WRA3")</f>
        <v>M5WRA3</v>
      </c>
      <c r="D18619" s="2" t="s">
        <v>14392</v>
      </c>
      <c r="E18619" s="3">
        <v>5.9899999999999996E-94</v>
      </c>
      <c r="F18619" s="2">
        <v>729</v>
      </c>
      <c r="G18619" s="2">
        <v>100</v>
      </c>
      <c r="H18619" s="2">
        <v>140</v>
      </c>
      <c r="I18619" s="2">
        <v>135</v>
      </c>
      <c r="J18619" s="2">
        <v>554</v>
      </c>
      <c r="K18619" s="2">
        <v>1</v>
      </c>
      <c r="L18619" s="2">
        <v>140</v>
      </c>
    </row>
    <row r="18620" spans="1:12" x14ac:dyDescent="0.25">
      <c r="A18620" s="4" t="str">
        <f>HYPERLINK("http://www.rosaceae.org/Prunus/Prunus_persica/p.persica_gdr_reftransV1_0049004","p.persica_gdr_reftransV1_0049004")</f>
        <v>p.persica_gdr_reftransV1_0049004</v>
      </c>
      <c r="B18620" s="2">
        <v>847</v>
      </c>
      <c r="C18620" s="4" t="str">
        <f>HYPERLINK("http://www.uniprot.org/uniprot/M5Y0F4","M5Y0F4")</f>
        <v>M5Y0F4</v>
      </c>
      <c r="D18620" s="2" t="s">
        <v>13447</v>
      </c>
      <c r="E18620" s="3">
        <v>4.9699999999999998E-85</v>
      </c>
      <c r="F18620" s="2">
        <v>670</v>
      </c>
      <c r="G18620" s="2">
        <v>96</v>
      </c>
      <c r="H18620" s="2">
        <v>131</v>
      </c>
      <c r="I18620" s="2">
        <v>120</v>
      </c>
      <c r="J18620" s="2">
        <v>512</v>
      </c>
      <c r="K18620" s="2">
        <v>1</v>
      </c>
      <c r="L18620" s="2">
        <v>131</v>
      </c>
    </row>
    <row r="18621" spans="1:12" x14ac:dyDescent="0.25">
      <c r="A18621" s="4" t="str">
        <f>HYPERLINK("http://www.rosaceae.org/Prunus/Prunus_persica/p.persica_gdr_reftransV1_0000041","p.persica_gdr_reftransV1_0000041")</f>
        <v>p.persica_gdr_reftransV1_0000041</v>
      </c>
      <c r="B18621" s="2">
        <v>310</v>
      </c>
      <c r="C18621" s="4" t="str">
        <f>HYPERLINK("http://www.uniprot.org/uniprot/M5XJE3","M5XJE3")</f>
        <v>M5XJE3</v>
      </c>
      <c r="D18621" s="2" t="s">
        <v>14393</v>
      </c>
      <c r="E18621" s="3">
        <v>5.8100000000000003E-63</v>
      </c>
      <c r="F18621" s="2">
        <v>526</v>
      </c>
      <c r="G18621" s="2">
        <v>100</v>
      </c>
      <c r="H18621" s="2">
        <v>103</v>
      </c>
      <c r="I18621" s="2">
        <v>1</v>
      </c>
      <c r="J18621" s="2">
        <v>309</v>
      </c>
      <c r="K18621" s="2">
        <v>270</v>
      </c>
      <c r="L18621" s="2">
        <v>372</v>
      </c>
    </row>
    <row r="18622" spans="1:12" x14ac:dyDescent="0.25">
      <c r="A18622" s="4" t="str">
        <f>HYPERLINK("http://www.rosaceae.org/Prunus/Prunus_persica/p.persica_gdr_reftransV1_0000391","p.persica_gdr_reftransV1_0000391")</f>
        <v>p.persica_gdr_reftransV1_0000391</v>
      </c>
      <c r="B18622" s="2">
        <v>372</v>
      </c>
      <c r="C18622" s="4" t="str">
        <f>HYPERLINK("http://www.uniprot.org/uniprot/M5W471","M5W471")</f>
        <v>M5W471</v>
      </c>
      <c r="D18622" s="2" t="s">
        <v>2740</v>
      </c>
      <c r="E18622" s="3">
        <v>5.2200000000000001E-78</v>
      </c>
      <c r="F18622" s="2">
        <v>652</v>
      </c>
      <c r="G18622" s="2">
        <v>100</v>
      </c>
      <c r="H18622" s="2">
        <v>124</v>
      </c>
      <c r="I18622" s="2">
        <v>1</v>
      </c>
      <c r="J18622" s="2">
        <v>372</v>
      </c>
      <c r="K18622" s="2">
        <v>471</v>
      </c>
      <c r="L18622" s="2">
        <v>594</v>
      </c>
    </row>
    <row r="18623" spans="1:12" x14ac:dyDescent="0.25">
      <c r="A18623" s="4" t="str">
        <f>HYPERLINK("http://www.rosaceae.org/Prunus/Prunus_persica/p.persica_gdr_reftransV1_0001441","p.persica_gdr_reftransV1_0001441")</f>
        <v>p.persica_gdr_reftransV1_0001441</v>
      </c>
      <c r="B18623" s="2">
        <v>403</v>
      </c>
      <c r="C18623" s="4" t="str">
        <f>HYPERLINK("http://www.uniprot.org/uniprot/M5VP81","M5VP81")</f>
        <v>M5VP81</v>
      </c>
      <c r="D18623" s="2" t="s">
        <v>8112</v>
      </c>
      <c r="E18623" s="3">
        <v>4.21E-45</v>
      </c>
      <c r="F18623" s="2">
        <v>416</v>
      </c>
      <c r="G18623" s="2">
        <v>98</v>
      </c>
      <c r="H18623" s="2">
        <v>126</v>
      </c>
      <c r="I18623" s="2">
        <v>2</v>
      </c>
      <c r="J18623" s="2">
        <v>379</v>
      </c>
      <c r="K18623" s="2">
        <v>12</v>
      </c>
      <c r="L18623" s="2">
        <v>137</v>
      </c>
    </row>
    <row r="18624" spans="1:12" x14ac:dyDescent="0.25">
      <c r="A18624" s="4" t="str">
        <f>HYPERLINK("http://www.rosaceae.org/Prunus/Prunus_persica/p.persica_gdr_reftransV1_0001791","p.persica_gdr_reftransV1_0001791")</f>
        <v>p.persica_gdr_reftransV1_0001791</v>
      </c>
      <c r="B18624" s="2">
        <v>1109</v>
      </c>
      <c r="C18624" s="4" t="str">
        <f>HYPERLINK("http://www.uniprot.org/uniprot/M5VR49","M5VR49")</f>
        <v>M5VR49</v>
      </c>
      <c r="D18624" s="2" t="s">
        <v>14394</v>
      </c>
      <c r="E18624" s="3">
        <v>2.31E-122</v>
      </c>
      <c r="F18624" s="2">
        <v>931</v>
      </c>
      <c r="G18624" s="2">
        <v>100</v>
      </c>
      <c r="H18624" s="2">
        <v>192</v>
      </c>
      <c r="I18624" s="2">
        <v>430</v>
      </c>
      <c r="J18624" s="2">
        <v>1005</v>
      </c>
      <c r="K18624" s="2">
        <v>1</v>
      </c>
      <c r="L18624" s="2">
        <v>192</v>
      </c>
    </row>
    <row r="18625" spans="1:12" x14ac:dyDescent="0.25">
      <c r="A18625" s="4" t="str">
        <f>HYPERLINK("http://www.rosaceae.org/Prunus/Prunus_persica/p.persica_gdr_reftransV1_0002141","p.persica_gdr_reftransV1_0002141")</f>
        <v>p.persica_gdr_reftransV1_0002141</v>
      </c>
      <c r="B18625" s="2">
        <v>1665</v>
      </c>
      <c r="C18625" s="4" t="str">
        <f>HYPERLINK("http://www.uniprot.org/uniprot/M5X351","M5X351")</f>
        <v>M5X351</v>
      </c>
      <c r="D18625" s="2" t="s">
        <v>5043</v>
      </c>
      <c r="E18625" s="3">
        <v>1.4100000000000001E-63</v>
      </c>
      <c r="F18625" s="2">
        <v>572</v>
      </c>
      <c r="G18625" s="2">
        <v>100</v>
      </c>
      <c r="H18625" s="2">
        <v>140</v>
      </c>
      <c r="I18625" s="2">
        <v>277</v>
      </c>
      <c r="J18625" s="2">
        <v>696</v>
      </c>
      <c r="K18625" s="2">
        <v>73</v>
      </c>
      <c r="L18625" s="2">
        <v>212</v>
      </c>
    </row>
    <row r="18626" spans="1:12" x14ac:dyDescent="0.25">
      <c r="A18626" s="4" t="str">
        <f>HYPERLINK("http://www.rosaceae.org/Prunus/Prunus_persica/p.persica_gdr_reftransV1_0002491","p.persica_gdr_reftransV1_0002491")</f>
        <v>p.persica_gdr_reftransV1_0002491</v>
      </c>
      <c r="B18626" s="2">
        <v>1785</v>
      </c>
      <c r="C18626" s="4" t="str">
        <f>HYPERLINK("http://www.uniprot.org/uniprot/M5WHB6","M5WHB6")</f>
        <v>M5WHB6</v>
      </c>
      <c r="D18626" s="2" t="s">
        <v>1189</v>
      </c>
      <c r="E18626" s="3">
        <v>0</v>
      </c>
      <c r="F18626" s="2">
        <v>2485</v>
      </c>
      <c r="G18626" s="2">
        <v>100</v>
      </c>
      <c r="H18626" s="2">
        <v>462</v>
      </c>
      <c r="I18626" s="2">
        <v>349</v>
      </c>
      <c r="J18626" s="2">
        <v>1734</v>
      </c>
      <c r="K18626" s="2">
        <v>1</v>
      </c>
      <c r="L18626" s="2">
        <v>462</v>
      </c>
    </row>
    <row r="18627" spans="1:12" x14ac:dyDescent="0.25">
      <c r="A18627" s="4" t="str">
        <f>HYPERLINK("http://www.rosaceae.org/Prunus/Prunus_persica/p.persica_gdr_reftransV1_0002841","p.persica_gdr_reftransV1_0002841")</f>
        <v>p.persica_gdr_reftransV1_0002841</v>
      </c>
      <c r="B18627" s="2">
        <v>2795</v>
      </c>
      <c r="C18627" s="4" t="str">
        <f>HYPERLINK("http://www.uniprot.org/uniprot/M5WPL6","M5WPL6")</f>
        <v>M5WPL6</v>
      </c>
      <c r="D18627" s="2" t="s">
        <v>12779</v>
      </c>
      <c r="E18627" s="3">
        <v>0</v>
      </c>
      <c r="F18627" s="2">
        <v>2415</v>
      </c>
      <c r="G18627" s="2">
        <v>99</v>
      </c>
      <c r="H18627" s="2">
        <v>474</v>
      </c>
      <c r="I18627" s="2">
        <v>401</v>
      </c>
      <c r="J18627" s="2">
        <v>1822</v>
      </c>
      <c r="K18627" s="2">
        <v>1</v>
      </c>
      <c r="L18627" s="2">
        <v>474</v>
      </c>
    </row>
    <row r="18628" spans="1:12" x14ac:dyDescent="0.25">
      <c r="A18628" s="4" t="str">
        <f>HYPERLINK("http://www.rosaceae.org/Prunus/Prunus_persica/p.persica_gdr_reftransV1_0003191","p.persica_gdr_reftransV1_0003191")</f>
        <v>p.persica_gdr_reftransV1_0003191</v>
      </c>
      <c r="B18628" s="2">
        <v>3515</v>
      </c>
      <c r="C18628" s="4" t="str">
        <f>HYPERLINK("http://www.uniprot.org/uniprot/M4QEK2","M4QEK2")</f>
        <v>M4QEK2</v>
      </c>
      <c r="D18628" s="2" t="s">
        <v>5705</v>
      </c>
      <c r="E18628" s="3">
        <v>0</v>
      </c>
      <c r="F18628" s="2">
        <v>1691</v>
      </c>
      <c r="G18628" s="2">
        <v>100</v>
      </c>
      <c r="H18628" s="2">
        <v>320</v>
      </c>
      <c r="I18628" s="2">
        <v>2126</v>
      </c>
      <c r="J18628" s="2">
        <v>3085</v>
      </c>
      <c r="K18628" s="2">
        <v>1</v>
      </c>
      <c r="L18628" s="2">
        <v>320</v>
      </c>
    </row>
    <row r="18629" spans="1:12" x14ac:dyDescent="0.25">
      <c r="A18629" s="4" t="str">
        <f>HYPERLINK("http://www.rosaceae.org/Prunus/Prunus_persica/p.persica_gdr_reftransV1_0003541","p.persica_gdr_reftransV1_0003541")</f>
        <v>p.persica_gdr_reftransV1_0003541</v>
      </c>
      <c r="B18629" s="2">
        <v>841</v>
      </c>
      <c r="C18629" s="4" t="str">
        <f>HYPERLINK("http://www.uniprot.org/uniprot/M5X4M2","M5X4M2")</f>
        <v>M5X4M2</v>
      </c>
      <c r="D18629" s="2" t="s">
        <v>14395</v>
      </c>
      <c r="E18629" s="3">
        <v>3.17E-100</v>
      </c>
      <c r="F18629" s="2">
        <v>789</v>
      </c>
      <c r="G18629" s="2">
        <v>80</v>
      </c>
      <c r="H18629" s="2">
        <v>247</v>
      </c>
      <c r="I18629" s="2">
        <v>2</v>
      </c>
      <c r="J18629" s="2">
        <v>742</v>
      </c>
      <c r="K18629" s="2">
        <v>133</v>
      </c>
      <c r="L18629" s="2">
        <v>335</v>
      </c>
    </row>
    <row r="18630" spans="1:12" x14ac:dyDescent="0.25">
      <c r="A18630" s="4" t="str">
        <f>HYPERLINK("http://www.rosaceae.org/Prunus/Prunus_persica/p.persica_gdr_reftransV1_0003891","p.persica_gdr_reftransV1_0003891")</f>
        <v>p.persica_gdr_reftransV1_0003891</v>
      </c>
      <c r="B18630" s="2">
        <v>610</v>
      </c>
      <c r="C18630" s="4" t="str">
        <f>HYPERLINK("http://www.uniprot.org/uniprot/M5XKQ8","M5XKQ8")</f>
        <v>M5XKQ8</v>
      </c>
      <c r="D18630" s="2" t="s">
        <v>14396</v>
      </c>
      <c r="E18630" s="3">
        <v>9.3900000000000005E-131</v>
      </c>
      <c r="F18630" s="2">
        <v>981</v>
      </c>
      <c r="G18630" s="2">
        <v>98</v>
      </c>
      <c r="H18630" s="2">
        <v>204</v>
      </c>
      <c r="I18630" s="2">
        <v>3</v>
      </c>
      <c r="J18630" s="2">
        <v>608</v>
      </c>
      <c r="K18630" s="2">
        <v>31</v>
      </c>
      <c r="L18630" s="2">
        <v>234</v>
      </c>
    </row>
    <row r="18631" spans="1:12" x14ac:dyDescent="0.25">
      <c r="A18631" s="4" t="str">
        <f>HYPERLINK("http://www.rosaceae.org/Prunus/Prunus_persica/p.persica_gdr_reftransV1_0004241","p.persica_gdr_reftransV1_0004241")</f>
        <v>p.persica_gdr_reftransV1_0004241</v>
      </c>
      <c r="B18631" s="2">
        <v>1837</v>
      </c>
      <c r="C18631" s="4" t="str">
        <f>HYPERLINK("http://www.uniprot.org/uniprot/M5X5P4","M5X5P4")</f>
        <v>M5X5P4</v>
      </c>
      <c r="D18631" s="2" t="s">
        <v>6231</v>
      </c>
      <c r="E18631" s="3">
        <v>1.2499999999999999E-144</v>
      </c>
      <c r="F18631" s="2">
        <v>1111</v>
      </c>
      <c r="G18631" s="2">
        <v>98</v>
      </c>
      <c r="H18631" s="2">
        <v>268</v>
      </c>
      <c r="I18631" s="2">
        <v>1032</v>
      </c>
      <c r="J18631" s="2">
        <v>1835</v>
      </c>
      <c r="K18631" s="2">
        <v>14</v>
      </c>
      <c r="L18631" s="2">
        <v>281</v>
      </c>
    </row>
    <row r="18632" spans="1:12" x14ac:dyDescent="0.25">
      <c r="A18632" s="4" t="str">
        <f>HYPERLINK("http://www.rosaceae.org/Prunus/Prunus_persica/p.persica_gdr_reftransV1_0005641","p.persica_gdr_reftransV1_0005641")</f>
        <v>p.persica_gdr_reftransV1_0005641</v>
      </c>
      <c r="B18632" s="2">
        <v>750</v>
      </c>
      <c r="C18632" s="4" t="str">
        <f>HYPERLINK("http://www.uniprot.org/uniprot/M5X419","M5X419")</f>
        <v>M5X419</v>
      </c>
      <c r="D18632" s="2" t="s">
        <v>2386</v>
      </c>
      <c r="E18632" s="3">
        <v>1.3400000000000001E-97</v>
      </c>
      <c r="F18632" s="2">
        <v>753</v>
      </c>
      <c r="G18632" s="2">
        <v>100</v>
      </c>
      <c r="H18632" s="2">
        <v>147</v>
      </c>
      <c r="I18632" s="2">
        <v>1</v>
      </c>
      <c r="J18632" s="2">
        <v>441</v>
      </c>
      <c r="K18632" s="2">
        <v>1</v>
      </c>
      <c r="L18632" s="2">
        <v>147</v>
      </c>
    </row>
    <row r="18633" spans="1:12" x14ac:dyDescent="0.25">
      <c r="A18633" s="4" t="str">
        <f>HYPERLINK("http://www.rosaceae.org/Prunus/Prunus_persica/p.persica_gdr_reftransV1_0007041","p.persica_gdr_reftransV1_0007041")</f>
        <v>p.persica_gdr_reftransV1_0007041</v>
      </c>
      <c r="B18633" s="2">
        <v>916</v>
      </c>
      <c r="C18633" s="4" t="str">
        <f>HYPERLINK("http://www.uniprot.org/uniprot/M5XHT8","M5XHT8")</f>
        <v>M5XHT8</v>
      </c>
      <c r="D18633" s="2" t="s">
        <v>12224</v>
      </c>
      <c r="E18633" s="3">
        <v>7.2600000000000003E-158</v>
      </c>
      <c r="F18633" s="2">
        <v>1227</v>
      </c>
      <c r="G18633" s="2">
        <v>93</v>
      </c>
      <c r="H18633" s="2">
        <v>254</v>
      </c>
      <c r="I18633" s="2">
        <v>3</v>
      </c>
      <c r="J18633" s="2">
        <v>764</v>
      </c>
      <c r="K18633" s="2">
        <v>713</v>
      </c>
      <c r="L18633" s="2">
        <v>948</v>
      </c>
    </row>
    <row r="18634" spans="1:12" x14ac:dyDescent="0.25">
      <c r="A18634" s="4" t="str">
        <f>HYPERLINK("http://www.rosaceae.org/Prunus/Prunus_persica/p.persica_gdr_reftransV1_0008091","p.persica_gdr_reftransV1_0008091")</f>
        <v>p.persica_gdr_reftransV1_0008091</v>
      </c>
      <c r="B18634" s="2">
        <v>3454</v>
      </c>
      <c r="C18634" s="4" t="str">
        <f>HYPERLINK("http://www.uniprot.org/uniprot/M5Y4E3","M5Y4E3")</f>
        <v>M5Y4E3</v>
      </c>
      <c r="D18634" s="2" t="s">
        <v>14397</v>
      </c>
      <c r="E18634" s="3">
        <v>0</v>
      </c>
      <c r="F18634" s="2">
        <v>4452</v>
      </c>
      <c r="G18634" s="2">
        <v>100</v>
      </c>
      <c r="H18634" s="2">
        <v>863</v>
      </c>
      <c r="I18634" s="2">
        <v>483</v>
      </c>
      <c r="J18634" s="2">
        <v>3071</v>
      </c>
      <c r="K18634" s="2">
        <v>1</v>
      </c>
      <c r="L18634" s="2">
        <v>863</v>
      </c>
    </row>
    <row r="18635" spans="1:12" x14ac:dyDescent="0.25">
      <c r="A18635" s="4" t="str">
        <f>HYPERLINK("http://www.rosaceae.org/Prunus/Prunus_persica/p.persica_gdr_reftransV1_0008441","p.persica_gdr_reftransV1_0008441")</f>
        <v>p.persica_gdr_reftransV1_0008441</v>
      </c>
      <c r="B18635" s="2">
        <v>893</v>
      </c>
      <c r="C18635" s="4" t="str">
        <f>HYPERLINK("http://www.uniprot.org/uniprot/M5VRQ6","M5VRQ6")</f>
        <v>M5VRQ6</v>
      </c>
      <c r="D18635" s="2" t="s">
        <v>14398</v>
      </c>
      <c r="E18635" s="3">
        <v>6.0200000000000002E-156</v>
      </c>
      <c r="F18635" s="2">
        <v>1149</v>
      </c>
      <c r="G18635" s="2">
        <v>100</v>
      </c>
      <c r="H18635" s="2">
        <v>235</v>
      </c>
      <c r="I18635" s="2">
        <v>76</v>
      </c>
      <c r="J18635" s="2">
        <v>780</v>
      </c>
      <c r="K18635" s="2">
        <v>1</v>
      </c>
      <c r="L18635" s="2">
        <v>235</v>
      </c>
    </row>
    <row r="18636" spans="1:12" x14ac:dyDescent="0.25">
      <c r="A18636" s="4" t="str">
        <f>HYPERLINK("http://www.rosaceae.org/Prunus/Prunus_persica/p.persica_gdr_reftransV1_0009141","p.persica_gdr_reftransV1_0009141")</f>
        <v>p.persica_gdr_reftransV1_0009141</v>
      </c>
      <c r="B18636" s="2">
        <v>529</v>
      </c>
      <c r="C18636" s="4" t="str">
        <f>HYPERLINK("http://www.uniprot.org/uniprot/M5VXE1","M5VXE1")</f>
        <v>M5VXE1</v>
      </c>
      <c r="D18636" s="2" t="s">
        <v>14399</v>
      </c>
      <c r="E18636" s="3">
        <v>2.44E-35</v>
      </c>
      <c r="F18636" s="2">
        <v>341</v>
      </c>
      <c r="G18636" s="2">
        <v>100</v>
      </c>
      <c r="H18636" s="2">
        <v>82</v>
      </c>
      <c r="I18636" s="2">
        <v>263</v>
      </c>
      <c r="J18636" s="2">
        <v>508</v>
      </c>
      <c r="K18636" s="2">
        <v>1</v>
      </c>
      <c r="L18636" s="2">
        <v>82</v>
      </c>
    </row>
    <row r="18637" spans="1:12" x14ac:dyDescent="0.25">
      <c r="A18637" s="4" t="str">
        <f>HYPERLINK("http://www.rosaceae.org/Prunus/Prunus_persica/p.persica_gdr_reftransV1_0009491","p.persica_gdr_reftransV1_0009491")</f>
        <v>p.persica_gdr_reftransV1_0009491</v>
      </c>
      <c r="B18637" s="2">
        <v>1412</v>
      </c>
      <c r="C18637" s="4" t="str">
        <f>HYPERLINK("http://www.uniprot.org/uniprot/M5WU08","M5WU08")</f>
        <v>M5WU08</v>
      </c>
      <c r="D18637" s="2" t="s">
        <v>14400</v>
      </c>
      <c r="E18637" s="3">
        <v>1.2099999999999999E-104</v>
      </c>
      <c r="F18637" s="2">
        <v>825</v>
      </c>
      <c r="G18637" s="2">
        <v>96</v>
      </c>
      <c r="H18637" s="2">
        <v>182</v>
      </c>
      <c r="I18637" s="2">
        <v>658</v>
      </c>
      <c r="J18637" s="2">
        <v>1197</v>
      </c>
      <c r="K18637" s="2">
        <v>24</v>
      </c>
      <c r="L18637" s="2">
        <v>205</v>
      </c>
    </row>
    <row r="18638" spans="1:12" x14ac:dyDescent="0.25">
      <c r="A18638" s="4" t="str">
        <f>HYPERLINK("http://www.rosaceae.org/Prunus/Prunus_persica/p.persica_gdr_reftransV1_0010191","p.persica_gdr_reftransV1_0010191")</f>
        <v>p.persica_gdr_reftransV1_0010191</v>
      </c>
      <c r="B18638" s="2">
        <v>2127</v>
      </c>
      <c r="C18638" s="4" t="str">
        <f>HYPERLINK("http://www.uniprot.org/uniprot/M5WB99","M5WB99")</f>
        <v>M5WB99</v>
      </c>
      <c r="D18638" s="2" t="s">
        <v>14401</v>
      </c>
      <c r="E18638" s="3">
        <v>0</v>
      </c>
      <c r="F18638" s="2">
        <v>1939</v>
      </c>
      <c r="G18638" s="2">
        <v>99</v>
      </c>
      <c r="H18638" s="2">
        <v>371</v>
      </c>
      <c r="I18638" s="2">
        <v>499</v>
      </c>
      <c r="J18638" s="2">
        <v>1611</v>
      </c>
      <c r="K18638" s="2">
        <v>13</v>
      </c>
      <c r="L18638" s="2">
        <v>383</v>
      </c>
    </row>
    <row r="18639" spans="1:12" x14ac:dyDescent="0.25">
      <c r="A18639" s="4" t="str">
        <f>HYPERLINK("http://www.rosaceae.org/Prunus/Prunus_persica/p.persica_gdr_reftransV1_0010541","p.persica_gdr_reftransV1_0010541")</f>
        <v>p.persica_gdr_reftransV1_0010541</v>
      </c>
      <c r="B18639" s="2">
        <v>605</v>
      </c>
      <c r="C18639" s="4" t="str">
        <f>HYPERLINK("http://www.uniprot.org/uniprot/M5XI94","M5XI94")</f>
        <v>M5XI94</v>
      </c>
      <c r="D18639" s="2" t="s">
        <v>11936</v>
      </c>
      <c r="E18639" s="3">
        <v>8.0400000000000002E-114</v>
      </c>
      <c r="F18639" s="2">
        <v>914</v>
      </c>
      <c r="G18639" s="2">
        <v>100</v>
      </c>
      <c r="H18639" s="2">
        <v>173</v>
      </c>
      <c r="I18639" s="2">
        <v>85</v>
      </c>
      <c r="J18639" s="2">
        <v>603</v>
      </c>
      <c r="K18639" s="2">
        <v>168</v>
      </c>
      <c r="L18639" s="2">
        <v>340</v>
      </c>
    </row>
    <row r="18640" spans="1:12" x14ac:dyDescent="0.25">
      <c r="A18640" s="4" t="str">
        <f>HYPERLINK("http://www.rosaceae.org/Prunus/Prunus_persica/p.persica_gdr_reftransV1_0011591","p.persica_gdr_reftransV1_0011591")</f>
        <v>p.persica_gdr_reftransV1_0011591</v>
      </c>
      <c r="B18640" s="2">
        <v>487</v>
      </c>
      <c r="C18640" s="4" t="str">
        <f>HYPERLINK("http://www.uniprot.org/uniprot/M5Y0L8","M5Y0L8")</f>
        <v>M5Y0L8</v>
      </c>
      <c r="D18640" s="2" t="s">
        <v>10026</v>
      </c>
      <c r="E18640" s="3">
        <v>2.0400000000000002E-87</v>
      </c>
      <c r="F18640" s="2">
        <v>699</v>
      </c>
      <c r="G18640" s="2">
        <v>100</v>
      </c>
      <c r="H18640" s="2">
        <v>130</v>
      </c>
      <c r="I18640" s="2">
        <v>98</v>
      </c>
      <c r="J18640" s="2">
        <v>487</v>
      </c>
      <c r="K18640" s="2">
        <v>289</v>
      </c>
      <c r="L18640" s="2">
        <v>418</v>
      </c>
    </row>
    <row r="18641" spans="1:12" x14ac:dyDescent="0.25">
      <c r="A18641" s="4" t="str">
        <f>HYPERLINK("http://www.rosaceae.org/Prunus/Prunus_persica/p.persica_gdr_reftransV1_0011941","p.persica_gdr_reftransV1_0011941")</f>
        <v>p.persica_gdr_reftransV1_0011941</v>
      </c>
      <c r="B18641" s="2">
        <v>1173</v>
      </c>
      <c r="C18641" s="4" t="str">
        <f>HYPERLINK("http://www.uniprot.org/uniprot/M5WJH8","M5WJH8")</f>
        <v>M5WJH8</v>
      </c>
      <c r="D18641" s="2" t="s">
        <v>5490</v>
      </c>
      <c r="E18641" s="3">
        <v>0</v>
      </c>
      <c r="F18641" s="2">
        <v>1858</v>
      </c>
      <c r="G18641" s="2">
        <v>100</v>
      </c>
      <c r="H18641" s="2">
        <v>347</v>
      </c>
      <c r="I18641" s="2">
        <v>2</v>
      </c>
      <c r="J18641" s="2">
        <v>1042</v>
      </c>
      <c r="K18641" s="2">
        <v>252</v>
      </c>
      <c r="L18641" s="2">
        <v>598</v>
      </c>
    </row>
    <row r="18642" spans="1:12" x14ac:dyDescent="0.25">
      <c r="A18642" s="4" t="str">
        <f>HYPERLINK("http://www.rosaceae.org/Prunus/Prunus_persica/p.persica_gdr_reftransV1_0012291","p.persica_gdr_reftransV1_0012291")</f>
        <v>p.persica_gdr_reftransV1_0012291</v>
      </c>
      <c r="B18642" s="2">
        <v>700</v>
      </c>
      <c r="C18642" s="4" t="str">
        <f>HYPERLINK("http://www.uniprot.org/uniprot/A0A0D2NAB2","A0A0D2NAB2")</f>
        <v>A0A0D2NAB2</v>
      </c>
      <c r="D18642" s="2" t="s">
        <v>14402</v>
      </c>
      <c r="E18642" s="3">
        <v>1.21E-35</v>
      </c>
      <c r="F18642" s="2">
        <v>241</v>
      </c>
      <c r="G18642" s="2">
        <v>92</v>
      </c>
      <c r="H18642" s="2">
        <v>49</v>
      </c>
      <c r="I18642" s="2">
        <v>147</v>
      </c>
      <c r="J18642" s="2">
        <v>293</v>
      </c>
      <c r="K18642" s="2">
        <v>292</v>
      </c>
      <c r="L18642" s="2">
        <v>340</v>
      </c>
    </row>
    <row r="18643" spans="1:12" x14ac:dyDescent="0.25">
      <c r="A18643" s="4" t="str">
        <f>HYPERLINK("http://www.rosaceae.org/Prunus/Prunus_persica/p.persica_gdr_reftransV1_0012641","p.persica_gdr_reftransV1_0012641")</f>
        <v>p.persica_gdr_reftransV1_0012641</v>
      </c>
      <c r="B18643" s="2">
        <v>1558</v>
      </c>
      <c r="C18643" s="4" t="str">
        <f>HYPERLINK("http://www.uniprot.org/uniprot/M5XAI1","M5XAI1")</f>
        <v>M5XAI1</v>
      </c>
      <c r="D18643" s="2" t="s">
        <v>14403</v>
      </c>
      <c r="E18643" s="3">
        <v>2.1399999999999999E-140</v>
      </c>
      <c r="F18643" s="2">
        <v>1071</v>
      </c>
      <c r="G18643" s="2">
        <v>100</v>
      </c>
      <c r="H18643" s="2">
        <v>239</v>
      </c>
      <c r="I18643" s="2">
        <v>571</v>
      </c>
      <c r="J18643" s="2">
        <v>1287</v>
      </c>
      <c r="K18643" s="2">
        <v>6</v>
      </c>
      <c r="L18643" s="2">
        <v>244</v>
      </c>
    </row>
    <row r="18644" spans="1:12" x14ac:dyDescent="0.25">
      <c r="A18644" s="4" t="str">
        <f>HYPERLINK("http://www.rosaceae.org/Prunus/Prunus_persica/p.persica_gdr_reftransV1_0012991","p.persica_gdr_reftransV1_0012991")</f>
        <v>p.persica_gdr_reftransV1_0012991</v>
      </c>
      <c r="B18644" s="2">
        <v>4903</v>
      </c>
      <c r="C18644" s="4" t="str">
        <f>HYPERLINK("http://www.uniprot.org/uniprot/M5XMR2","M5XMR2")</f>
        <v>M5XMR2</v>
      </c>
      <c r="D18644" s="2" t="s">
        <v>14404</v>
      </c>
      <c r="E18644" s="3">
        <v>0</v>
      </c>
      <c r="F18644" s="2">
        <v>2854</v>
      </c>
      <c r="G18644" s="2">
        <v>96</v>
      </c>
      <c r="H18644" s="2">
        <v>558</v>
      </c>
      <c r="I18644" s="2">
        <v>219</v>
      </c>
      <c r="J18644" s="2">
        <v>1892</v>
      </c>
      <c r="K18644" s="2">
        <v>1</v>
      </c>
      <c r="L18644" s="2">
        <v>543</v>
      </c>
    </row>
    <row r="18645" spans="1:12" x14ac:dyDescent="0.25">
      <c r="A18645" s="4" t="str">
        <f>HYPERLINK("http://www.rosaceae.org/Prunus/Prunus_persica/p.persica_gdr_reftransV1_0013691","p.persica_gdr_reftransV1_0013691")</f>
        <v>p.persica_gdr_reftransV1_0013691</v>
      </c>
      <c r="B18645" s="2">
        <v>753</v>
      </c>
      <c r="C18645" s="4" t="str">
        <f>HYPERLINK("http://www.uniprot.org/uniprot/M5X041","M5X041")</f>
        <v>M5X041</v>
      </c>
      <c r="D18645" s="2" t="s">
        <v>14405</v>
      </c>
      <c r="E18645" s="3">
        <v>5.4599999999999995E-26</v>
      </c>
      <c r="F18645" s="2">
        <v>271</v>
      </c>
      <c r="G18645" s="2">
        <v>100</v>
      </c>
      <c r="H18645" s="2">
        <v>52</v>
      </c>
      <c r="I18645" s="2">
        <v>440</v>
      </c>
      <c r="J18645" s="2">
        <v>595</v>
      </c>
      <c r="K18645" s="2">
        <v>75</v>
      </c>
      <c r="L18645" s="2">
        <v>126</v>
      </c>
    </row>
    <row r="18646" spans="1:12" x14ac:dyDescent="0.25">
      <c r="A18646" s="4" t="str">
        <f>HYPERLINK("http://www.rosaceae.org/Prunus/Prunus_persica/p.persica_gdr_reftransV1_0014041","p.persica_gdr_reftransV1_0014041")</f>
        <v>p.persica_gdr_reftransV1_0014041</v>
      </c>
      <c r="B18646" s="2">
        <v>1438</v>
      </c>
      <c r="C18646" s="4" t="str">
        <f>HYPERLINK("http://www.uniprot.org/uniprot/M5X5P2","M5X5P2")</f>
        <v>M5X5P2</v>
      </c>
      <c r="D18646" s="2" t="s">
        <v>14406</v>
      </c>
      <c r="E18646" s="3">
        <v>9.0200000000000003E-169</v>
      </c>
      <c r="F18646" s="2">
        <v>1051</v>
      </c>
      <c r="G18646" s="2">
        <v>100</v>
      </c>
      <c r="H18646" s="2">
        <v>218</v>
      </c>
      <c r="I18646" s="2">
        <v>260</v>
      </c>
      <c r="J18646" s="2">
        <v>913</v>
      </c>
      <c r="K18646" s="2">
        <v>122</v>
      </c>
      <c r="L18646" s="2">
        <v>339</v>
      </c>
    </row>
    <row r="18647" spans="1:12" x14ac:dyDescent="0.25">
      <c r="A18647" s="4" t="str">
        <f>HYPERLINK("http://www.rosaceae.org/Prunus/Prunus_persica/p.persica_gdr_reftransV1_0015091","p.persica_gdr_reftransV1_0015091")</f>
        <v>p.persica_gdr_reftransV1_0015091</v>
      </c>
      <c r="B18647" s="2">
        <v>1340</v>
      </c>
      <c r="C18647" s="4" t="str">
        <f>HYPERLINK("http://www.uniprot.org/uniprot/M5XGA4","M5XGA4")</f>
        <v>M5XGA4</v>
      </c>
      <c r="D18647" s="2" t="s">
        <v>11532</v>
      </c>
      <c r="E18647" s="3">
        <v>0</v>
      </c>
      <c r="F18647" s="2">
        <v>1606</v>
      </c>
      <c r="G18647" s="2">
        <v>100</v>
      </c>
      <c r="H18647" s="2">
        <v>299</v>
      </c>
      <c r="I18647" s="2">
        <v>1</v>
      </c>
      <c r="J18647" s="2">
        <v>897</v>
      </c>
      <c r="K18647" s="2">
        <v>221</v>
      </c>
      <c r="L18647" s="2">
        <v>519</v>
      </c>
    </row>
    <row r="18648" spans="1:12" x14ac:dyDescent="0.25">
      <c r="A18648" s="4" t="str">
        <f>HYPERLINK("http://www.rosaceae.org/Prunus/Prunus_persica/p.persica_gdr_reftransV1_0016141","p.persica_gdr_reftransV1_0016141")</f>
        <v>p.persica_gdr_reftransV1_0016141</v>
      </c>
      <c r="B18648" s="2">
        <v>3712</v>
      </c>
      <c r="C18648" s="4" t="str">
        <f>HYPERLINK("http://www.uniprot.org/uniprot/M5WVI5","M5WVI5")</f>
        <v>M5WVI5</v>
      </c>
      <c r="D18648" s="2" t="s">
        <v>14407</v>
      </c>
      <c r="E18648" s="3">
        <v>2.2000000000000001E-171</v>
      </c>
      <c r="F18648" s="2">
        <v>1347</v>
      </c>
      <c r="G18648" s="2">
        <v>100</v>
      </c>
      <c r="H18648" s="2">
        <v>269</v>
      </c>
      <c r="I18648" s="2">
        <v>2724</v>
      </c>
      <c r="J18648" s="2">
        <v>3530</v>
      </c>
      <c r="K18648" s="2">
        <v>1</v>
      </c>
      <c r="L18648" s="2">
        <v>269</v>
      </c>
    </row>
    <row r="18649" spans="1:12" x14ac:dyDescent="0.25">
      <c r="A18649" s="4" t="str">
        <f>HYPERLINK("http://www.rosaceae.org/Prunus/Prunus_persica/p.persica_gdr_reftransV1_0018241","p.persica_gdr_reftransV1_0018241")</f>
        <v>p.persica_gdr_reftransV1_0018241</v>
      </c>
      <c r="B18649" s="2">
        <v>1448</v>
      </c>
      <c r="C18649" s="4" t="str">
        <f>HYPERLINK("http://www.uniprot.org/uniprot/M5WVB6","M5WVB6")</f>
        <v>M5WVB6</v>
      </c>
      <c r="D18649" s="2" t="s">
        <v>14408</v>
      </c>
      <c r="E18649" s="3">
        <v>5.7700000000000004E-133</v>
      </c>
      <c r="F18649" s="2">
        <v>1018</v>
      </c>
      <c r="G18649" s="2">
        <v>100</v>
      </c>
      <c r="H18649" s="2">
        <v>190</v>
      </c>
      <c r="I18649" s="2">
        <v>755</v>
      </c>
      <c r="J18649" s="2">
        <v>1324</v>
      </c>
      <c r="K18649" s="2">
        <v>1</v>
      </c>
      <c r="L18649" s="2">
        <v>190</v>
      </c>
    </row>
    <row r="18650" spans="1:12" x14ac:dyDescent="0.25">
      <c r="A18650" s="4" t="str">
        <f>HYPERLINK("http://www.rosaceae.org/Prunus/Prunus_persica/p.persica_gdr_reftransV1_0018941","p.persica_gdr_reftransV1_0018941")</f>
        <v>p.persica_gdr_reftransV1_0018941</v>
      </c>
      <c r="B18650" s="2">
        <v>1206</v>
      </c>
      <c r="C18650" s="4" t="str">
        <f>HYPERLINK("http://www.uniprot.org/uniprot/M5XKN8","M5XKN8")</f>
        <v>M5XKN8</v>
      </c>
      <c r="D18650" s="2" t="s">
        <v>8762</v>
      </c>
      <c r="E18650" s="3">
        <v>5.8299999999999998E-103</v>
      </c>
      <c r="F18650" s="2">
        <v>846</v>
      </c>
      <c r="G18650" s="2">
        <v>84</v>
      </c>
      <c r="H18650" s="2">
        <v>199</v>
      </c>
      <c r="I18650" s="2">
        <v>405</v>
      </c>
      <c r="J18650" s="2">
        <v>1001</v>
      </c>
      <c r="K18650" s="2">
        <v>1</v>
      </c>
      <c r="L18650" s="2">
        <v>168</v>
      </c>
    </row>
    <row r="18651" spans="1:12" x14ac:dyDescent="0.25">
      <c r="A18651" s="4" t="str">
        <f>HYPERLINK("http://www.rosaceae.org/Prunus/Prunus_persica/p.persica_gdr_reftransV1_0020341","p.persica_gdr_reftransV1_0020341")</f>
        <v>p.persica_gdr_reftransV1_0020341</v>
      </c>
      <c r="B18651" s="2">
        <v>1013</v>
      </c>
      <c r="C18651" s="4" t="str">
        <f>HYPERLINK("http://www.uniprot.org/uniprot/M5WG21","M5WG21")</f>
        <v>M5WG21</v>
      </c>
      <c r="D18651" s="2" t="s">
        <v>14409</v>
      </c>
      <c r="E18651" s="3">
        <v>0</v>
      </c>
      <c r="F18651" s="2">
        <v>1595</v>
      </c>
      <c r="G18651" s="2">
        <v>100</v>
      </c>
      <c r="H18651" s="2">
        <v>316</v>
      </c>
      <c r="I18651" s="2">
        <v>66</v>
      </c>
      <c r="J18651" s="2">
        <v>1013</v>
      </c>
      <c r="K18651" s="2">
        <v>52</v>
      </c>
      <c r="L18651" s="2">
        <v>367</v>
      </c>
    </row>
    <row r="18652" spans="1:12" x14ac:dyDescent="0.25">
      <c r="A18652" s="4" t="str">
        <f>HYPERLINK("http://www.rosaceae.org/Prunus/Prunus_persica/p.persica_gdr_reftransV1_0020691","p.persica_gdr_reftransV1_0020691")</f>
        <v>p.persica_gdr_reftransV1_0020691</v>
      </c>
      <c r="B18652" s="2">
        <v>3170</v>
      </c>
      <c r="C18652" s="4" t="str">
        <f>HYPERLINK("http://www.uniprot.org/uniprot/M5XDU5","M5XDU5")</f>
        <v>M5XDU5</v>
      </c>
      <c r="D18652" s="2" t="s">
        <v>14410</v>
      </c>
      <c r="E18652" s="3">
        <v>3.3700000000000001E-40</v>
      </c>
      <c r="F18652" s="2">
        <v>399</v>
      </c>
      <c r="G18652" s="2">
        <v>100</v>
      </c>
      <c r="H18652" s="2">
        <v>75</v>
      </c>
      <c r="I18652" s="2">
        <v>2638</v>
      </c>
      <c r="J18652" s="2">
        <v>2862</v>
      </c>
      <c r="K18652" s="2">
        <v>111</v>
      </c>
      <c r="L18652" s="2">
        <v>185</v>
      </c>
    </row>
    <row r="18653" spans="1:12" x14ac:dyDescent="0.25">
      <c r="A18653" s="4" t="str">
        <f>HYPERLINK("http://www.rosaceae.org/Prunus/Prunus_persica/p.persica_gdr_reftransV1_0021391","p.persica_gdr_reftransV1_0021391")</f>
        <v>p.persica_gdr_reftransV1_0021391</v>
      </c>
      <c r="B18653" s="2">
        <v>1736</v>
      </c>
      <c r="C18653" s="4" t="str">
        <f>HYPERLINK("http://www.uniprot.org/uniprot/A0A067L4K9","A0A067L4K9")</f>
        <v>A0A067L4K9</v>
      </c>
      <c r="D18653" s="2" t="s">
        <v>14411</v>
      </c>
      <c r="E18653" s="3">
        <v>0</v>
      </c>
      <c r="F18653" s="2">
        <v>1567</v>
      </c>
      <c r="G18653" s="2">
        <v>79</v>
      </c>
      <c r="H18653" s="2">
        <v>384</v>
      </c>
      <c r="I18653" s="2">
        <v>316</v>
      </c>
      <c r="J18653" s="2">
        <v>1440</v>
      </c>
      <c r="K18653" s="2">
        <v>1</v>
      </c>
      <c r="L18653" s="2">
        <v>383</v>
      </c>
    </row>
    <row r="18654" spans="1:12" x14ac:dyDescent="0.25">
      <c r="A18654" s="4" t="str">
        <f>HYPERLINK("http://www.rosaceae.org/Prunus/Prunus_persica/p.persica_gdr_reftransV1_0023841","p.persica_gdr_reftransV1_0023841")</f>
        <v>p.persica_gdr_reftransV1_0023841</v>
      </c>
      <c r="B18654" s="2">
        <v>2326</v>
      </c>
      <c r="C18654" s="4" t="str">
        <f>HYPERLINK("http://www.uniprot.org/uniprot/M5VJ38","M5VJ38")</f>
        <v>M5VJ38</v>
      </c>
      <c r="D18654" s="2" t="s">
        <v>8545</v>
      </c>
      <c r="E18654" s="3">
        <v>5.8900000000000002E-113</v>
      </c>
      <c r="F18654" s="2">
        <v>924</v>
      </c>
      <c r="G18654" s="2">
        <v>99</v>
      </c>
      <c r="H18654" s="2">
        <v>176</v>
      </c>
      <c r="I18654" s="2">
        <v>1285</v>
      </c>
      <c r="J18654" s="2">
        <v>1812</v>
      </c>
      <c r="K18654" s="2">
        <v>225</v>
      </c>
      <c r="L18654" s="2">
        <v>400</v>
      </c>
    </row>
    <row r="18655" spans="1:12" x14ac:dyDescent="0.25">
      <c r="A18655" s="4" t="str">
        <f>HYPERLINK("http://www.rosaceae.org/Prunus/Prunus_persica/p.persica_gdr_reftransV1_0024191","p.persica_gdr_reftransV1_0024191")</f>
        <v>p.persica_gdr_reftransV1_0024191</v>
      </c>
      <c r="B18655" s="2">
        <v>843</v>
      </c>
      <c r="C18655" s="4" t="str">
        <f>HYPERLINK("http://www.uniprot.org/uniprot/M5Y553","M5Y553")</f>
        <v>M5Y553</v>
      </c>
      <c r="D18655" s="2" t="s">
        <v>14412</v>
      </c>
      <c r="E18655" s="3">
        <v>1.99E-85</v>
      </c>
      <c r="F18655" s="2">
        <v>672</v>
      </c>
      <c r="G18655" s="2">
        <v>99</v>
      </c>
      <c r="H18655" s="2">
        <v>128</v>
      </c>
      <c r="I18655" s="2">
        <v>299</v>
      </c>
      <c r="J18655" s="2">
        <v>682</v>
      </c>
      <c r="K18655" s="2">
        <v>1</v>
      </c>
      <c r="L18655" s="2">
        <v>128</v>
      </c>
    </row>
    <row r="18656" spans="1:12" x14ac:dyDescent="0.25">
      <c r="A18656" s="4" t="str">
        <f>HYPERLINK("http://www.rosaceae.org/Prunus/Prunus_persica/p.persica_gdr_reftransV1_0024541","p.persica_gdr_reftransV1_0024541")</f>
        <v>p.persica_gdr_reftransV1_0024541</v>
      </c>
      <c r="B18656" s="2">
        <v>974</v>
      </c>
      <c r="C18656" s="4" t="str">
        <f>HYPERLINK("http://www.uniprot.org/uniprot/M5Y5A0","M5Y5A0")</f>
        <v>M5Y5A0</v>
      </c>
      <c r="D18656" s="2" t="s">
        <v>4915</v>
      </c>
      <c r="E18656" s="3">
        <v>8.4700000000000005E-79</v>
      </c>
      <c r="F18656" s="2">
        <v>631</v>
      </c>
      <c r="G18656" s="2">
        <v>100</v>
      </c>
      <c r="H18656" s="2">
        <v>119</v>
      </c>
      <c r="I18656" s="2">
        <v>344</v>
      </c>
      <c r="J18656" s="2">
        <v>700</v>
      </c>
      <c r="K18656" s="2">
        <v>1</v>
      </c>
      <c r="L18656" s="2">
        <v>119</v>
      </c>
    </row>
    <row r="18657" spans="1:12" x14ac:dyDescent="0.25">
      <c r="A18657" s="4" t="str">
        <f>HYPERLINK("http://www.rosaceae.org/Prunus/Prunus_persica/p.persica_gdr_reftransV1_0024891","p.persica_gdr_reftransV1_0024891")</f>
        <v>p.persica_gdr_reftransV1_0024891</v>
      </c>
      <c r="B18657" s="2">
        <v>1749</v>
      </c>
      <c r="C18657" s="4" t="str">
        <f>HYPERLINK("http://www.uniprot.org/uniprot/M5VYN5","M5VYN5")</f>
        <v>M5VYN5</v>
      </c>
      <c r="D18657" s="2" t="s">
        <v>14413</v>
      </c>
      <c r="E18657" s="3">
        <v>0</v>
      </c>
      <c r="F18657" s="2">
        <v>1901</v>
      </c>
      <c r="G18657" s="2">
        <v>94</v>
      </c>
      <c r="H18657" s="2">
        <v>389</v>
      </c>
      <c r="I18657" s="2">
        <v>561</v>
      </c>
      <c r="J18657" s="2">
        <v>1727</v>
      </c>
      <c r="K18657" s="2">
        <v>1</v>
      </c>
      <c r="L18657" s="2">
        <v>378</v>
      </c>
    </row>
    <row r="18658" spans="1:12" x14ac:dyDescent="0.25">
      <c r="A18658" s="4" t="str">
        <f>HYPERLINK("http://www.rosaceae.org/Prunus/Prunus_persica/p.persica_gdr_reftransV1_0025241","p.persica_gdr_reftransV1_0025241")</f>
        <v>p.persica_gdr_reftransV1_0025241</v>
      </c>
      <c r="B18658" s="2">
        <v>2341</v>
      </c>
      <c r="C18658" s="4" t="str">
        <f>HYPERLINK("http://www.uniprot.org/uniprot/M5W9J7","M5W9J7")</f>
        <v>M5W9J7</v>
      </c>
      <c r="D18658" s="2" t="s">
        <v>14414</v>
      </c>
      <c r="E18658" s="3">
        <v>0</v>
      </c>
      <c r="F18658" s="2">
        <v>1522</v>
      </c>
      <c r="G18658" s="2">
        <v>100</v>
      </c>
      <c r="H18658" s="2">
        <v>313</v>
      </c>
      <c r="I18658" s="2">
        <v>326</v>
      </c>
      <c r="J18658" s="2">
        <v>1264</v>
      </c>
      <c r="K18658" s="2">
        <v>1</v>
      </c>
      <c r="L18658" s="2">
        <v>313</v>
      </c>
    </row>
    <row r="18659" spans="1:12" x14ac:dyDescent="0.25">
      <c r="A18659" s="4" t="str">
        <f>HYPERLINK("http://www.rosaceae.org/Prunus/Prunus_persica/p.persica_gdr_reftransV1_0027341","p.persica_gdr_reftransV1_0027341")</f>
        <v>p.persica_gdr_reftransV1_0027341</v>
      </c>
      <c r="B18659" s="2">
        <v>2620</v>
      </c>
      <c r="C18659" s="4" t="str">
        <f>HYPERLINK("http://www.uniprot.org/uniprot/M5WS68","M5WS68")</f>
        <v>M5WS68</v>
      </c>
      <c r="D18659" s="2" t="s">
        <v>6435</v>
      </c>
      <c r="E18659" s="3">
        <v>0</v>
      </c>
      <c r="F18659" s="2">
        <v>2612</v>
      </c>
      <c r="G18659" s="2">
        <v>100</v>
      </c>
      <c r="H18659" s="2">
        <v>525</v>
      </c>
      <c r="I18659" s="2">
        <v>232</v>
      </c>
      <c r="J18659" s="2">
        <v>1806</v>
      </c>
      <c r="K18659" s="2">
        <v>1</v>
      </c>
      <c r="L18659" s="2">
        <v>525</v>
      </c>
    </row>
    <row r="18660" spans="1:12" x14ac:dyDescent="0.25">
      <c r="A18660" s="4" t="str">
        <f>HYPERLINK("http://www.rosaceae.org/Prunus/Prunus_persica/p.persica_gdr_reftransV1_0028391","p.persica_gdr_reftransV1_0028391")</f>
        <v>p.persica_gdr_reftransV1_0028391</v>
      </c>
      <c r="B18660" s="2">
        <v>3060</v>
      </c>
      <c r="C18660" s="4" t="str">
        <f>HYPERLINK("http://www.uniprot.org/uniprot/M5XLG5","M5XLG5")</f>
        <v>M5XLG5</v>
      </c>
      <c r="D18660" s="2" t="s">
        <v>14415</v>
      </c>
      <c r="E18660" s="3">
        <v>0</v>
      </c>
      <c r="F18660" s="2">
        <v>3542</v>
      </c>
      <c r="G18660" s="2">
        <v>100</v>
      </c>
      <c r="H18660" s="2">
        <v>673</v>
      </c>
      <c r="I18660" s="2">
        <v>87</v>
      </c>
      <c r="J18660" s="2">
        <v>2105</v>
      </c>
      <c r="K18660" s="2">
        <v>1</v>
      </c>
      <c r="L18660" s="2">
        <v>673</v>
      </c>
    </row>
    <row r="18661" spans="1:12" x14ac:dyDescent="0.25">
      <c r="A18661" s="4" t="str">
        <f>HYPERLINK("http://www.rosaceae.org/Prunus/Prunus_persica/p.persica_gdr_reftransV1_0029441","p.persica_gdr_reftransV1_0029441")</f>
        <v>p.persica_gdr_reftransV1_0029441</v>
      </c>
      <c r="B18661" s="2">
        <v>3997</v>
      </c>
      <c r="C18661" s="4" t="str">
        <f>HYPERLINK("http://www.uniprot.org/uniprot/M5XXU5","M5XXU5")</f>
        <v>M5XXU5</v>
      </c>
      <c r="D18661" s="2" t="s">
        <v>14416</v>
      </c>
      <c r="E18661" s="3">
        <v>0</v>
      </c>
      <c r="F18661" s="2">
        <v>5143</v>
      </c>
      <c r="G18661" s="2">
        <v>99</v>
      </c>
      <c r="H18661" s="2">
        <v>1014</v>
      </c>
      <c r="I18661" s="2">
        <v>258</v>
      </c>
      <c r="J18661" s="2">
        <v>3299</v>
      </c>
      <c r="K18661" s="2">
        <v>1</v>
      </c>
      <c r="L18661" s="2">
        <v>1002</v>
      </c>
    </row>
    <row r="18662" spans="1:12" x14ac:dyDescent="0.25">
      <c r="A18662" s="4" t="str">
        <f>HYPERLINK("http://www.rosaceae.org/Prunus/Prunus_persica/p.persica_gdr_reftransV1_0030141","p.persica_gdr_reftransV1_0030141")</f>
        <v>p.persica_gdr_reftransV1_0030141</v>
      </c>
      <c r="B18662" s="2">
        <v>3385</v>
      </c>
      <c r="C18662" s="4" t="str">
        <f>HYPERLINK("http://www.uniprot.org/uniprot/M5W902","M5W902")</f>
        <v>M5W902</v>
      </c>
      <c r="D18662" s="2" t="s">
        <v>11631</v>
      </c>
      <c r="E18662" s="3">
        <v>0</v>
      </c>
      <c r="F18662" s="2">
        <v>1430</v>
      </c>
      <c r="G18662" s="2">
        <v>100</v>
      </c>
      <c r="H18662" s="2">
        <v>283</v>
      </c>
      <c r="I18662" s="2">
        <v>1217</v>
      </c>
      <c r="J18662" s="2">
        <v>2065</v>
      </c>
      <c r="K18662" s="2">
        <v>86</v>
      </c>
      <c r="L18662" s="2">
        <v>368</v>
      </c>
    </row>
    <row r="18663" spans="1:12" x14ac:dyDescent="0.25">
      <c r="A18663" s="4" t="str">
        <f>HYPERLINK("http://www.rosaceae.org/Prunus/Prunus_persica/p.persica_gdr_reftransV1_0035041","p.persica_gdr_reftransV1_0035041")</f>
        <v>p.persica_gdr_reftransV1_0035041</v>
      </c>
      <c r="B18663" s="2">
        <v>2446</v>
      </c>
      <c r="C18663" s="4" t="str">
        <f>HYPERLINK("http://www.uniprot.org/uniprot/M5WI99","M5WI99")</f>
        <v>M5WI99</v>
      </c>
      <c r="D18663" s="2" t="s">
        <v>14417</v>
      </c>
      <c r="E18663" s="3">
        <v>2.1699999999999998E-152</v>
      </c>
      <c r="F18663" s="2">
        <v>1180</v>
      </c>
      <c r="G18663" s="2">
        <v>93</v>
      </c>
      <c r="H18663" s="2">
        <v>292</v>
      </c>
      <c r="I18663" s="2">
        <v>1308</v>
      </c>
      <c r="J18663" s="2">
        <v>2183</v>
      </c>
      <c r="K18663" s="2">
        <v>1</v>
      </c>
      <c r="L18663" s="2">
        <v>274</v>
      </c>
    </row>
    <row r="18664" spans="1:12" x14ac:dyDescent="0.25">
      <c r="A18664" s="4" t="str">
        <f>HYPERLINK("http://www.rosaceae.org/Prunus/Prunus_persica/p.persica_gdr_reftransV1_0036791","p.persica_gdr_reftransV1_0036791")</f>
        <v>p.persica_gdr_reftransV1_0036791</v>
      </c>
      <c r="B18664" s="2">
        <v>1045</v>
      </c>
      <c r="C18664" s="4" t="str">
        <f>HYPERLINK("http://www.uniprot.org/uniprot/M5W804","M5W804")</f>
        <v>M5W804</v>
      </c>
      <c r="D18664" s="2" t="s">
        <v>14418</v>
      </c>
      <c r="E18664" s="3">
        <v>5.1799999999999999E-92</v>
      </c>
      <c r="F18664" s="2">
        <v>723</v>
      </c>
      <c r="G18664" s="2">
        <v>100</v>
      </c>
      <c r="H18664" s="2">
        <v>138</v>
      </c>
      <c r="I18664" s="2">
        <v>300</v>
      </c>
      <c r="J18664" s="2">
        <v>713</v>
      </c>
      <c r="K18664" s="2">
        <v>1</v>
      </c>
      <c r="L18664" s="2">
        <v>138</v>
      </c>
    </row>
    <row r="18665" spans="1:12" x14ac:dyDescent="0.25">
      <c r="A18665" s="4" t="str">
        <f>HYPERLINK("http://www.rosaceae.org/Prunus/Prunus_persica/p.persica_gdr_reftransV1_0037141","p.persica_gdr_reftransV1_0037141")</f>
        <v>p.persica_gdr_reftransV1_0037141</v>
      </c>
      <c r="B18665" s="2">
        <v>2048</v>
      </c>
      <c r="C18665" s="4" t="str">
        <f>HYPERLINK("http://www.uniprot.org/uniprot/M5X2C9","M5X2C9")</f>
        <v>M5X2C9</v>
      </c>
      <c r="D18665" s="2" t="s">
        <v>14419</v>
      </c>
      <c r="E18665" s="3">
        <v>0</v>
      </c>
      <c r="F18665" s="2">
        <v>2346</v>
      </c>
      <c r="G18665" s="2">
        <v>100</v>
      </c>
      <c r="H18665" s="2">
        <v>471</v>
      </c>
      <c r="I18665" s="2">
        <v>217</v>
      </c>
      <c r="J18665" s="2">
        <v>1629</v>
      </c>
      <c r="K18665" s="2">
        <v>16</v>
      </c>
      <c r="L18665" s="2">
        <v>486</v>
      </c>
    </row>
    <row r="18666" spans="1:12" x14ac:dyDescent="0.25">
      <c r="A18666" s="4" t="str">
        <f>HYPERLINK("http://www.rosaceae.org/Prunus/Prunus_persica/p.persica_gdr_reftransV1_0039941","p.persica_gdr_reftransV1_0039941")</f>
        <v>p.persica_gdr_reftransV1_0039941</v>
      </c>
      <c r="B18666" s="2">
        <v>2594</v>
      </c>
      <c r="C18666" s="4" t="str">
        <f>HYPERLINK("http://www.uniprot.org/uniprot/M5WVB0","M5WVB0")</f>
        <v>M5WVB0</v>
      </c>
      <c r="D18666" s="2" t="s">
        <v>9513</v>
      </c>
      <c r="E18666" s="3">
        <v>9.7000000000000006E-140</v>
      </c>
      <c r="F18666" s="2">
        <v>1096</v>
      </c>
      <c r="G18666" s="2">
        <v>96</v>
      </c>
      <c r="H18666" s="2">
        <v>214</v>
      </c>
      <c r="I18666" s="2">
        <v>1188</v>
      </c>
      <c r="J18666" s="2">
        <v>1829</v>
      </c>
      <c r="K18666" s="2">
        <v>37</v>
      </c>
      <c r="L18666" s="2">
        <v>243</v>
      </c>
    </row>
    <row r="18667" spans="1:12" x14ac:dyDescent="0.25">
      <c r="A18667" s="4" t="str">
        <f>HYPERLINK("http://www.rosaceae.org/Prunus/Prunus_persica/p.persica_gdr_reftransV1_0041341","p.persica_gdr_reftransV1_0041341")</f>
        <v>p.persica_gdr_reftransV1_0041341</v>
      </c>
      <c r="B18667" s="2">
        <v>3272</v>
      </c>
      <c r="C18667" s="4" t="str">
        <f>HYPERLINK("http://www.uniprot.org/uniprot/M5W129","M5W129")</f>
        <v>M5W129</v>
      </c>
      <c r="D18667" s="2" t="s">
        <v>14220</v>
      </c>
      <c r="E18667" s="3">
        <v>0</v>
      </c>
      <c r="F18667" s="2">
        <v>2308</v>
      </c>
      <c r="G18667" s="2">
        <v>100</v>
      </c>
      <c r="H18667" s="2">
        <v>458</v>
      </c>
      <c r="I18667" s="2">
        <v>583</v>
      </c>
      <c r="J18667" s="2">
        <v>1956</v>
      </c>
      <c r="K18667" s="2">
        <v>1</v>
      </c>
      <c r="L18667" s="2">
        <v>458</v>
      </c>
    </row>
    <row r="18668" spans="1:12" x14ac:dyDescent="0.25">
      <c r="A18668" s="4" t="str">
        <f>HYPERLINK("http://www.rosaceae.org/Prunus/Prunus_persica/p.persica_gdr_reftransV1_0043441","p.persica_gdr_reftransV1_0043441")</f>
        <v>p.persica_gdr_reftransV1_0043441</v>
      </c>
      <c r="B18668" s="2">
        <v>596</v>
      </c>
      <c r="C18668" s="4" t="str">
        <f>HYPERLINK("http://www.uniprot.org/uniprot/M5X452","M5X452")</f>
        <v>M5X452</v>
      </c>
      <c r="D18668" s="2" t="s">
        <v>8259</v>
      </c>
      <c r="E18668" s="3">
        <v>4.63E-97</v>
      </c>
      <c r="F18668" s="2">
        <v>764</v>
      </c>
      <c r="G18668" s="2">
        <v>100</v>
      </c>
      <c r="H18668" s="2">
        <v>188</v>
      </c>
      <c r="I18668" s="2">
        <v>32</v>
      </c>
      <c r="J18668" s="2">
        <v>595</v>
      </c>
      <c r="K18668" s="2">
        <v>55</v>
      </c>
      <c r="L18668" s="2">
        <v>242</v>
      </c>
    </row>
    <row r="18669" spans="1:12" x14ac:dyDescent="0.25">
      <c r="A18669" s="4" t="str">
        <f>HYPERLINK("http://www.rosaceae.org/Prunus/Prunus_persica/p.persica_gdr_reftransV1_0043791","p.persica_gdr_reftransV1_0043791")</f>
        <v>p.persica_gdr_reftransV1_0043791</v>
      </c>
      <c r="B18669" s="2">
        <v>469</v>
      </c>
      <c r="C18669" s="4" t="str">
        <f>HYPERLINK("http://www.uniprot.org/uniprot/M5VIM7","M5VIM7")</f>
        <v>M5VIM7</v>
      </c>
      <c r="D18669" s="2" t="s">
        <v>5007</v>
      </c>
      <c r="E18669" s="3">
        <v>3.6899999999999999E-54</v>
      </c>
      <c r="F18669" s="2">
        <v>456</v>
      </c>
      <c r="G18669" s="2">
        <v>99</v>
      </c>
      <c r="H18669" s="2">
        <v>90</v>
      </c>
      <c r="I18669" s="2">
        <v>197</v>
      </c>
      <c r="J18669" s="2">
        <v>466</v>
      </c>
      <c r="K18669" s="2">
        <v>1</v>
      </c>
      <c r="L18669" s="2">
        <v>90</v>
      </c>
    </row>
    <row r="18670" spans="1:12" x14ac:dyDescent="0.25">
      <c r="A18670" s="4" t="str">
        <f>HYPERLINK("http://www.rosaceae.org/Prunus/Prunus_persica/p.persica_gdr_reftransV1_0044491","p.persica_gdr_reftransV1_0044491")</f>
        <v>p.persica_gdr_reftransV1_0044491</v>
      </c>
      <c r="B18670" s="2">
        <v>826</v>
      </c>
      <c r="C18670" s="4" t="str">
        <f>HYPERLINK("http://www.uniprot.org/uniprot/M5X4U5","M5X4U5")</f>
        <v>M5X4U5</v>
      </c>
      <c r="D18670" s="2" t="s">
        <v>14420</v>
      </c>
      <c r="E18670" s="3">
        <v>2.7199999999999999E-155</v>
      </c>
      <c r="F18670" s="2">
        <v>1157</v>
      </c>
      <c r="G18670" s="2">
        <v>100</v>
      </c>
      <c r="H18670" s="2">
        <v>216</v>
      </c>
      <c r="I18670" s="2">
        <v>178</v>
      </c>
      <c r="J18670" s="2">
        <v>825</v>
      </c>
      <c r="K18670" s="2">
        <v>166</v>
      </c>
      <c r="L18670" s="2">
        <v>381</v>
      </c>
    </row>
    <row r="18671" spans="1:12" x14ac:dyDescent="0.25">
      <c r="A18671" s="4" t="str">
        <f>HYPERLINK("http://www.rosaceae.org/Prunus/Prunus_persica/p.persica_gdr_reftransV1_0044841","p.persica_gdr_reftransV1_0044841")</f>
        <v>p.persica_gdr_reftransV1_0044841</v>
      </c>
      <c r="B18671" s="2">
        <v>1732</v>
      </c>
      <c r="C18671" s="4" t="str">
        <f>HYPERLINK("http://www.uniprot.org/uniprot/M5WH74","M5WH74")</f>
        <v>M5WH74</v>
      </c>
      <c r="D18671" s="2" t="s">
        <v>14421</v>
      </c>
      <c r="E18671" s="3">
        <v>0</v>
      </c>
      <c r="F18671" s="2">
        <v>2048</v>
      </c>
      <c r="G18671" s="2">
        <v>100</v>
      </c>
      <c r="H18671" s="2">
        <v>380</v>
      </c>
      <c r="I18671" s="2">
        <v>269</v>
      </c>
      <c r="J18671" s="2">
        <v>1408</v>
      </c>
      <c r="K18671" s="2">
        <v>1</v>
      </c>
      <c r="L18671" s="2">
        <v>380</v>
      </c>
    </row>
    <row r="18672" spans="1:12" x14ac:dyDescent="0.25">
      <c r="A18672" s="4" t="str">
        <f>HYPERLINK("http://www.rosaceae.org/Prunus/Prunus_persica/p.persica_gdr_reftransV1_0045541","p.persica_gdr_reftransV1_0045541")</f>
        <v>p.persica_gdr_reftransV1_0045541</v>
      </c>
      <c r="B18672" s="2">
        <v>1063</v>
      </c>
      <c r="C18672" s="4" t="str">
        <f>HYPERLINK("http://www.uniprot.org/uniprot/M5VM23","M5VM23")</f>
        <v>M5VM23</v>
      </c>
      <c r="D18672" s="2" t="s">
        <v>6490</v>
      </c>
      <c r="E18672" s="3">
        <v>2.52E-126</v>
      </c>
      <c r="F18672" s="2">
        <v>982</v>
      </c>
      <c r="G18672" s="2">
        <v>94</v>
      </c>
      <c r="H18672" s="2">
        <v>308</v>
      </c>
      <c r="I18672" s="2">
        <v>138</v>
      </c>
      <c r="J18672" s="2">
        <v>1061</v>
      </c>
      <c r="K18672" s="2">
        <v>48</v>
      </c>
      <c r="L18672" s="2">
        <v>355</v>
      </c>
    </row>
    <row r="18673" spans="1:12" x14ac:dyDescent="0.25">
      <c r="A18673" s="4" t="str">
        <f>HYPERLINK("http://www.rosaceae.org/Prunus/Prunus_persica/p.persica_gdr_reftransV1_0046241","p.persica_gdr_reftransV1_0046241")</f>
        <v>p.persica_gdr_reftransV1_0046241</v>
      </c>
      <c r="B18673" s="2">
        <v>334</v>
      </c>
      <c r="C18673" s="4" t="str">
        <f>HYPERLINK("http://www.uniprot.org/uniprot/M5WFU4","M5WFU4")</f>
        <v>M5WFU4</v>
      </c>
      <c r="D18673" s="2" t="s">
        <v>2280</v>
      </c>
      <c r="E18673" s="3">
        <v>5.5499999999999999E-33</v>
      </c>
      <c r="F18673" s="2">
        <v>321</v>
      </c>
      <c r="G18673" s="2">
        <v>90</v>
      </c>
      <c r="H18673" s="2">
        <v>110</v>
      </c>
      <c r="I18673" s="2">
        <v>5</v>
      </c>
      <c r="J18673" s="2">
        <v>334</v>
      </c>
      <c r="K18673" s="2">
        <v>256</v>
      </c>
      <c r="L18673" s="2">
        <v>365</v>
      </c>
    </row>
    <row r="18674" spans="1:12" x14ac:dyDescent="0.25">
      <c r="A18674" s="4" t="str">
        <f>HYPERLINK("http://www.rosaceae.org/Prunus/Prunus_persica/p.persica_gdr_reftransV1_0046591","p.persica_gdr_reftransV1_0046591")</f>
        <v>p.persica_gdr_reftransV1_0046591</v>
      </c>
      <c r="B18674" s="2">
        <v>419</v>
      </c>
      <c r="C18674" s="4" t="str">
        <f>HYPERLINK("http://www.uniprot.org/uniprot/M5X2V6","M5X2V6")</f>
        <v>M5X2V6</v>
      </c>
      <c r="D18674" s="2" t="s">
        <v>1722</v>
      </c>
      <c r="E18674" s="3">
        <v>2.9900000000000003E-73</v>
      </c>
      <c r="F18674" s="2">
        <v>599</v>
      </c>
      <c r="G18674" s="2">
        <v>93</v>
      </c>
      <c r="H18674" s="2">
        <v>122</v>
      </c>
      <c r="I18674" s="2">
        <v>2</v>
      </c>
      <c r="J18674" s="2">
        <v>367</v>
      </c>
      <c r="K18674" s="2">
        <v>275</v>
      </c>
      <c r="L18674" s="2">
        <v>388</v>
      </c>
    </row>
    <row r="18675" spans="1:12" x14ac:dyDescent="0.25">
      <c r="A18675" s="4" t="str">
        <f>HYPERLINK("http://www.rosaceae.org/Prunus/Prunus_persica/p.persica_gdr_reftransV1_0046941","p.persica_gdr_reftransV1_0046941")</f>
        <v>p.persica_gdr_reftransV1_0046941</v>
      </c>
      <c r="B18675" s="2">
        <v>2107</v>
      </c>
      <c r="C18675" s="4" t="str">
        <f>HYPERLINK("http://www.uniprot.org/uniprot/M5XTT3","M5XTT3")</f>
        <v>M5XTT3</v>
      </c>
      <c r="D18675" s="2" t="s">
        <v>3638</v>
      </c>
      <c r="E18675" s="3">
        <v>0</v>
      </c>
      <c r="F18675" s="2">
        <v>2370</v>
      </c>
      <c r="G18675" s="2">
        <v>69</v>
      </c>
      <c r="H18675" s="2">
        <v>689</v>
      </c>
      <c r="I18675" s="2">
        <v>42</v>
      </c>
      <c r="J18675" s="2">
        <v>2096</v>
      </c>
      <c r="K18675" s="2">
        <v>1</v>
      </c>
      <c r="L18675" s="2">
        <v>648</v>
      </c>
    </row>
    <row r="18676" spans="1:12" x14ac:dyDescent="0.25">
      <c r="A18676" s="4" t="str">
        <f>HYPERLINK("http://www.rosaceae.org/Prunus/Prunus_persica/p.persica_gdr_reftransV1_0047641","p.persica_gdr_reftransV1_0047641")</f>
        <v>p.persica_gdr_reftransV1_0047641</v>
      </c>
      <c r="B18676" s="2">
        <v>968</v>
      </c>
      <c r="C18676" s="4" t="str">
        <f>HYPERLINK("http://www.uniprot.org/uniprot/M5Y3I1","M5Y3I1")</f>
        <v>M5Y3I1</v>
      </c>
      <c r="D18676" s="2" t="s">
        <v>11811</v>
      </c>
      <c r="E18676" s="3">
        <v>0</v>
      </c>
      <c r="F18676" s="2">
        <v>1735</v>
      </c>
      <c r="G18676" s="2">
        <v>100</v>
      </c>
      <c r="H18676" s="2">
        <v>322</v>
      </c>
      <c r="I18676" s="2">
        <v>1</v>
      </c>
      <c r="J18676" s="2">
        <v>966</v>
      </c>
      <c r="K18676" s="2">
        <v>281</v>
      </c>
      <c r="L18676" s="2">
        <v>602</v>
      </c>
    </row>
    <row r="18677" spans="1:12" x14ac:dyDescent="0.25">
      <c r="A18677" s="4" t="str">
        <f>HYPERLINK("http://www.rosaceae.org/Prunus/Prunus_persica/p.persica_gdr_reftransV1_0047991","p.persica_gdr_reftransV1_0047991")</f>
        <v>p.persica_gdr_reftransV1_0047991</v>
      </c>
      <c r="B18677" s="2">
        <v>394</v>
      </c>
      <c r="C18677" s="4" t="str">
        <f>HYPERLINK("http://www.uniprot.org/uniprot/M5VQC5","M5VQC5")</f>
        <v>M5VQC5</v>
      </c>
      <c r="D18677" s="2" t="s">
        <v>11352</v>
      </c>
      <c r="E18677" s="3">
        <v>2.24E-51</v>
      </c>
      <c r="F18677" s="2">
        <v>446</v>
      </c>
      <c r="G18677" s="2">
        <v>100</v>
      </c>
      <c r="H18677" s="2">
        <v>84</v>
      </c>
      <c r="I18677" s="2">
        <v>103</v>
      </c>
      <c r="J18677" s="2">
        <v>354</v>
      </c>
      <c r="K18677" s="2">
        <v>1</v>
      </c>
      <c r="L18677" s="2">
        <v>84</v>
      </c>
    </row>
    <row r="18678" spans="1:12" x14ac:dyDescent="0.25">
      <c r="A18678" s="4" t="str">
        <f>HYPERLINK("http://www.rosaceae.org/Prunus/Prunus_persica/p.persica_gdr_reftransV1_0048341","p.persica_gdr_reftransV1_0048341")</f>
        <v>p.persica_gdr_reftransV1_0048341</v>
      </c>
      <c r="B18678" s="2">
        <v>2004</v>
      </c>
      <c r="C18678" s="4" t="str">
        <f>HYPERLINK("http://www.uniprot.org/uniprot/M5VUS0","M5VUS0")</f>
        <v>M5VUS0</v>
      </c>
      <c r="D18678" s="2" t="s">
        <v>11628</v>
      </c>
      <c r="E18678" s="3">
        <v>0</v>
      </c>
      <c r="F18678" s="2">
        <v>1903</v>
      </c>
      <c r="G18678" s="2">
        <v>100</v>
      </c>
      <c r="H18678" s="2">
        <v>354</v>
      </c>
      <c r="I18678" s="2">
        <v>544</v>
      </c>
      <c r="J18678" s="2">
        <v>1605</v>
      </c>
      <c r="K18678" s="2">
        <v>186</v>
      </c>
      <c r="L18678" s="2">
        <v>539</v>
      </c>
    </row>
    <row r="18679" spans="1:12" x14ac:dyDescent="0.25">
      <c r="A18679" s="4" t="str">
        <f>HYPERLINK("http://www.rosaceae.org/Prunus/Prunus_persica/p.persica_gdr_reftransV1_0048691","p.persica_gdr_reftransV1_0048691")</f>
        <v>p.persica_gdr_reftransV1_0048691</v>
      </c>
      <c r="B18679" s="2">
        <v>1375</v>
      </c>
      <c r="C18679" s="4" t="str">
        <f>HYPERLINK("http://www.uniprot.org/uniprot/M5XD02","M5XD02")</f>
        <v>M5XD02</v>
      </c>
      <c r="D18679" s="2" t="s">
        <v>14422</v>
      </c>
      <c r="E18679" s="3">
        <v>0</v>
      </c>
      <c r="F18679" s="2">
        <v>1923</v>
      </c>
      <c r="G18679" s="2">
        <v>100</v>
      </c>
      <c r="H18679" s="2">
        <v>358</v>
      </c>
      <c r="I18679" s="2">
        <v>186</v>
      </c>
      <c r="J18679" s="2">
        <v>1259</v>
      </c>
      <c r="K18679" s="2">
        <v>1</v>
      </c>
      <c r="L18679" s="2">
        <v>358</v>
      </c>
    </row>
    <row r="18680" spans="1:12" x14ac:dyDescent="0.25">
      <c r="A18680" s="4" t="str">
        <f>HYPERLINK("http://www.rosaceae.org/Prunus/Prunus_persica/p.persica_gdr_reftransV1_0049041","p.persica_gdr_reftransV1_0049041")</f>
        <v>p.persica_gdr_reftransV1_0049041</v>
      </c>
      <c r="B18680" s="2">
        <v>3969</v>
      </c>
      <c r="C18680" s="4" t="str">
        <f>HYPERLINK("http://www.uniprot.org/uniprot/M5X020","M5X020")</f>
        <v>M5X020</v>
      </c>
      <c r="D18680" s="2" t="s">
        <v>13055</v>
      </c>
      <c r="E18680" s="3">
        <v>0</v>
      </c>
      <c r="F18680" s="2">
        <v>5746</v>
      </c>
      <c r="G18680" s="2">
        <v>100</v>
      </c>
      <c r="H18680" s="2">
        <v>1135</v>
      </c>
      <c r="I18680" s="2">
        <v>29</v>
      </c>
      <c r="J18680" s="2">
        <v>3433</v>
      </c>
      <c r="K18680" s="2">
        <v>1</v>
      </c>
      <c r="L18680" s="2">
        <v>1135</v>
      </c>
    </row>
    <row r="18681" spans="1:12" x14ac:dyDescent="0.25">
      <c r="A18681" s="4" t="str">
        <f>HYPERLINK("http://www.rosaceae.org/Prunus/Prunus_persica/p.persica_gdr_reftransV1_0000042","p.persica_gdr_reftransV1_0000042")</f>
        <v>p.persica_gdr_reftransV1_0000042</v>
      </c>
      <c r="B18681" s="2">
        <v>1556</v>
      </c>
      <c r="C18681" s="4" t="str">
        <f>HYPERLINK("http://www.uniprot.org/uniprot/M5XCS4","M5XCS4")</f>
        <v>M5XCS4</v>
      </c>
      <c r="D18681" s="2" t="s">
        <v>14423</v>
      </c>
      <c r="E18681" s="3">
        <v>0</v>
      </c>
      <c r="F18681" s="2">
        <v>1455</v>
      </c>
      <c r="G18681" s="2">
        <v>100</v>
      </c>
      <c r="H18681" s="2">
        <v>373</v>
      </c>
      <c r="I18681" s="2">
        <v>210</v>
      </c>
      <c r="J18681" s="2">
        <v>1328</v>
      </c>
      <c r="K18681" s="2">
        <v>1</v>
      </c>
      <c r="L18681" s="2">
        <v>373</v>
      </c>
    </row>
    <row r="18682" spans="1:12" x14ac:dyDescent="0.25">
      <c r="A18682" s="4" t="str">
        <f>HYPERLINK("http://www.rosaceae.org/Prunus/Prunus_persica/p.persica_gdr_reftransV1_0000392","p.persica_gdr_reftransV1_0000392")</f>
        <v>p.persica_gdr_reftransV1_0000392</v>
      </c>
      <c r="B18682" s="2">
        <v>310</v>
      </c>
      <c r="C18682" s="4" t="str">
        <f>HYPERLINK("http://www.uniprot.org/uniprot/M5WX17","M5WX17")</f>
        <v>M5WX17</v>
      </c>
      <c r="D18682" s="2" t="s">
        <v>531</v>
      </c>
      <c r="E18682" s="3">
        <v>1.6099999999999999E-63</v>
      </c>
      <c r="F18682" s="2">
        <v>546</v>
      </c>
      <c r="G18682" s="2">
        <v>100</v>
      </c>
      <c r="H18682" s="2">
        <v>102</v>
      </c>
      <c r="I18682" s="2">
        <v>3</v>
      </c>
      <c r="J18682" s="2">
        <v>308</v>
      </c>
      <c r="K18682" s="2">
        <v>108</v>
      </c>
      <c r="L18682" s="2">
        <v>209</v>
      </c>
    </row>
    <row r="18683" spans="1:12" x14ac:dyDescent="0.25">
      <c r="A18683" s="4" t="str">
        <f>HYPERLINK("http://www.rosaceae.org/Prunus/Prunus_persica/p.persica_gdr_reftransV1_0000742","p.persica_gdr_reftransV1_0000742")</f>
        <v>p.persica_gdr_reftransV1_0000742</v>
      </c>
      <c r="B18683" s="2">
        <v>2111</v>
      </c>
      <c r="C18683" s="4" t="str">
        <f>HYPERLINK("http://www.uniprot.org/uniprot/M5WFI0","M5WFI0")</f>
        <v>M5WFI0</v>
      </c>
      <c r="D18683" s="2" t="s">
        <v>1103</v>
      </c>
      <c r="E18683" s="3">
        <v>0</v>
      </c>
      <c r="F18683" s="2">
        <v>2080</v>
      </c>
      <c r="G18683" s="2">
        <v>100</v>
      </c>
      <c r="H18683" s="2">
        <v>387</v>
      </c>
      <c r="I18683" s="2">
        <v>343</v>
      </c>
      <c r="J18683" s="2">
        <v>1503</v>
      </c>
      <c r="K18683" s="2">
        <v>14</v>
      </c>
      <c r="L18683" s="2">
        <v>400</v>
      </c>
    </row>
    <row r="18684" spans="1:12" x14ac:dyDescent="0.25">
      <c r="A18684" s="4" t="str">
        <f>HYPERLINK("http://www.rosaceae.org/Prunus/Prunus_persica/p.persica_gdr_reftransV1_0001442","p.persica_gdr_reftransV1_0001442")</f>
        <v>p.persica_gdr_reftransV1_0001442</v>
      </c>
      <c r="B18684" s="2">
        <v>1165</v>
      </c>
      <c r="C18684" s="4" t="str">
        <f>HYPERLINK("http://www.uniprot.org/uniprot/M5WAG5","M5WAG5")</f>
        <v>M5WAG5</v>
      </c>
      <c r="D18684" s="2" t="s">
        <v>14424</v>
      </c>
      <c r="E18684" s="3">
        <v>2.12E-178</v>
      </c>
      <c r="F18684" s="2">
        <v>1309</v>
      </c>
      <c r="G18684" s="2">
        <v>100</v>
      </c>
      <c r="H18684" s="2">
        <v>249</v>
      </c>
      <c r="I18684" s="2">
        <v>333</v>
      </c>
      <c r="J18684" s="2">
        <v>1079</v>
      </c>
      <c r="K18684" s="2">
        <v>1</v>
      </c>
      <c r="L18684" s="2">
        <v>249</v>
      </c>
    </row>
    <row r="18685" spans="1:12" x14ac:dyDescent="0.25">
      <c r="A18685" s="4" t="str">
        <f>HYPERLINK("http://www.rosaceae.org/Prunus/Prunus_persica/p.persica_gdr_reftransV1_0001792","p.persica_gdr_reftransV1_0001792")</f>
        <v>p.persica_gdr_reftransV1_0001792</v>
      </c>
      <c r="B18685" s="2">
        <v>547</v>
      </c>
      <c r="C18685" s="4" t="str">
        <f>HYPERLINK("http://www.uniprot.org/uniprot/M5X679","M5X679")</f>
        <v>M5X679</v>
      </c>
      <c r="D18685" s="2" t="s">
        <v>14053</v>
      </c>
      <c r="E18685" s="3">
        <v>1.2100000000000001E-121</v>
      </c>
      <c r="F18685" s="2">
        <v>931</v>
      </c>
      <c r="G18685" s="2">
        <v>100</v>
      </c>
      <c r="H18685" s="2">
        <v>182</v>
      </c>
      <c r="I18685" s="2">
        <v>2</v>
      </c>
      <c r="J18685" s="2">
        <v>547</v>
      </c>
      <c r="K18685" s="2">
        <v>24</v>
      </c>
      <c r="L18685" s="2">
        <v>205</v>
      </c>
    </row>
    <row r="18686" spans="1:12" x14ac:dyDescent="0.25">
      <c r="A18686" s="4" t="str">
        <f>HYPERLINK("http://www.rosaceae.org/Prunus/Prunus_persica/p.persica_gdr_reftransV1_0002142","p.persica_gdr_reftransV1_0002142")</f>
        <v>p.persica_gdr_reftransV1_0002142</v>
      </c>
      <c r="B18686" s="2">
        <v>1577</v>
      </c>
      <c r="C18686" s="4" t="str">
        <f>HYPERLINK("http://www.uniprot.org/uniprot/M5XWQ1","M5XWQ1")</f>
        <v>M5XWQ1</v>
      </c>
      <c r="D18686" s="2" t="s">
        <v>14425</v>
      </c>
      <c r="E18686" s="3">
        <v>0</v>
      </c>
      <c r="F18686" s="2">
        <v>2123</v>
      </c>
      <c r="G18686" s="2">
        <v>97</v>
      </c>
      <c r="H18686" s="2">
        <v>439</v>
      </c>
      <c r="I18686" s="2">
        <v>62</v>
      </c>
      <c r="J18686" s="2">
        <v>1378</v>
      </c>
      <c r="K18686" s="2">
        <v>1</v>
      </c>
      <c r="L18686" s="2">
        <v>429</v>
      </c>
    </row>
    <row r="18687" spans="1:12" x14ac:dyDescent="0.25">
      <c r="A18687" s="4" t="str">
        <f>HYPERLINK("http://www.rosaceae.org/Prunus/Prunus_persica/p.persica_gdr_reftransV1_0002492","p.persica_gdr_reftransV1_0002492")</f>
        <v>p.persica_gdr_reftransV1_0002492</v>
      </c>
      <c r="B18687" s="2">
        <v>2174</v>
      </c>
      <c r="C18687" s="4" t="str">
        <f>HYPERLINK("http://www.uniprot.org/uniprot/M5WTH7","M5WTH7")</f>
        <v>M5WTH7</v>
      </c>
      <c r="D18687" s="2" t="s">
        <v>14426</v>
      </c>
      <c r="E18687" s="3">
        <v>0</v>
      </c>
      <c r="F18687" s="2">
        <v>2456</v>
      </c>
      <c r="G18687" s="2">
        <v>100</v>
      </c>
      <c r="H18687" s="2">
        <v>472</v>
      </c>
      <c r="I18687" s="2">
        <v>645</v>
      </c>
      <c r="J18687" s="2">
        <v>2060</v>
      </c>
      <c r="K18687" s="2">
        <v>1</v>
      </c>
      <c r="L18687" s="2">
        <v>472</v>
      </c>
    </row>
    <row r="18688" spans="1:12" x14ac:dyDescent="0.25">
      <c r="A18688" s="4" t="str">
        <f>HYPERLINK("http://www.rosaceae.org/Prunus/Prunus_persica/p.persica_gdr_reftransV1_0003192","p.persica_gdr_reftransV1_0003192")</f>
        <v>p.persica_gdr_reftransV1_0003192</v>
      </c>
      <c r="B18688" s="2">
        <v>1155</v>
      </c>
      <c r="C18688" s="4" t="str">
        <f>HYPERLINK("http://www.uniprot.org/uniprot/I1ICU3","I1ICU3")</f>
        <v>I1ICU3</v>
      </c>
      <c r="D18688" s="2" t="s">
        <v>14427</v>
      </c>
      <c r="E18688" s="3">
        <v>3.6100000000000001E-133</v>
      </c>
      <c r="F18688" s="2">
        <v>1009</v>
      </c>
      <c r="G18688" s="2">
        <v>100</v>
      </c>
      <c r="H18688" s="2">
        <v>196</v>
      </c>
      <c r="I18688" s="2">
        <v>568</v>
      </c>
      <c r="J18688" s="2">
        <v>1155</v>
      </c>
      <c r="K18688" s="2">
        <v>34</v>
      </c>
      <c r="L18688" s="2">
        <v>229</v>
      </c>
    </row>
    <row r="18689" spans="1:12" x14ac:dyDescent="0.25">
      <c r="A18689" s="4" t="str">
        <f>HYPERLINK("http://www.rosaceae.org/Prunus/Prunus_persica/p.persica_gdr_reftransV1_0003542","p.persica_gdr_reftransV1_0003542")</f>
        <v>p.persica_gdr_reftransV1_0003542</v>
      </c>
      <c r="B18689" s="2">
        <v>837</v>
      </c>
      <c r="C18689" s="4" t="str">
        <f>HYPERLINK("http://www.uniprot.org/uniprot/M5VZ73","M5VZ73")</f>
        <v>M5VZ73</v>
      </c>
      <c r="D18689" s="2" t="s">
        <v>14428</v>
      </c>
      <c r="E18689" s="3">
        <v>2.0600000000000002E-65</v>
      </c>
      <c r="F18689" s="2">
        <v>556</v>
      </c>
      <c r="G18689" s="2">
        <v>99</v>
      </c>
      <c r="H18689" s="2">
        <v>122</v>
      </c>
      <c r="I18689" s="2">
        <v>156</v>
      </c>
      <c r="J18689" s="2">
        <v>521</v>
      </c>
      <c r="K18689" s="2">
        <v>197</v>
      </c>
      <c r="L18689" s="2">
        <v>318</v>
      </c>
    </row>
    <row r="18690" spans="1:12" x14ac:dyDescent="0.25">
      <c r="A18690" s="4" t="str">
        <f>HYPERLINK("http://www.rosaceae.org/Prunus/Prunus_persica/p.persica_gdr_reftransV1_0003892","p.persica_gdr_reftransV1_0003892")</f>
        <v>p.persica_gdr_reftransV1_0003892</v>
      </c>
      <c r="B18690" s="2">
        <v>1695</v>
      </c>
      <c r="C18690" s="4" t="str">
        <f>HYPERLINK("http://www.uniprot.org/uniprot/M5X116","M5X116")</f>
        <v>M5X116</v>
      </c>
      <c r="D18690" s="2" t="s">
        <v>3968</v>
      </c>
      <c r="E18690" s="3">
        <v>1.56E-133</v>
      </c>
      <c r="F18690" s="2">
        <v>1051</v>
      </c>
      <c r="G18690" s="2">
        <v>97</v>
      </c>
      <c r="H18690" s="2">
        <v>246</v>
      </c>
      <c r="I18690" s="2">
        <v>3</v>
      </c>
      <c r="J18690" s="2">
        <v>740</v>
      </c>
      <c r="K18690" s="2">
        <v>81</v>
      </c>
      <c r="L18690" s="2">
        <v>319</v>
      </c>
    </row>
    <row r="18691" spans="1:12" x14ac:dyDescent="0.25">
      <c r="A18691" s="4" t="str">
        <f>HYPERLINK("http://www.rosaceae.org/Prunus/Prunus_persica/p.persica_gdr_reftransV1_0004242","p.persica_gdr_reftransV1_0004242")</f>
        <v>p.persica_gdr_reftransV1_0004242</v>
      </c>
      <c r="B18691" s="2">
        <v>1658</v>
      </c>
      <c r="C18691" s="4" t="str">
        <f>HYPERLINK("http://www.uniprot.org/uniprot/M5WPX6","M5WPX6")</f>
        <v>M5WPX6</v>
      </c>
      <c r="D18691" s="2" t="s">
        <v>14281</v>
      </c>
      <c r="E18691" s="3">
        <v>0</v>
      </c>
      <c r="F18691" s="2">
        <v>2137</v>
      </c>
      <c r="G18691" s="2">
        <v>100</v>
      </c>
      <c r="H18691" s="2">
        <v>469</v>
      </c>
      <c r="I18691" s="2">
        <v>244</v>
      </c>
      <c r="J18691" s="2">
        <v>1650</v>
      </c>
      <c r="K18691" s="2">
        <v>1</v>
      </c>
      <c r="L18691" s="2">
        <v>469</v>
      </c>
    </row>
    <row r="18692" spans="1:12" x14ac:dyDescent="0.25">
      <c r="A18692" s="4" t="str">
        <f>HYPERLINK("http://www.rosaceae.org/Prunus/Prunus_persica/p.persica_gdr_reftransV1_0005642","p.persica_gdr_reftransV1_0005642")</f>
        <v>p.persica_gdr_reftransV1_0005642</v>
      </c>
      <c r="B18692" s="2">
        <v>472</v>
      </c>
      <c r="C18692" s="4" t="str">
        <f>HYPERLINK("http://www.uniprot.org/uniprot/M5X8U8","M5X8U8")</f>
        <v>M5X8U8</v>
      </c>
      <c r="D18692" s="2" t="s">
        <v>14429</v>
      </c>
      <c r="E18692" s="3">
        <v>2.2299999999999999E-43</v>
      </c>
      <c r="F18692" s="2">
        <v>389</v>
      </c>
      <c r="G18692" s="2">
        <v>100</v>
      </c>
      <c r="H18692" s="2">
        <v>130</v>
      </c>
      <c r="I18692" s="2">
        <v>2</v>
      </c>
      <c r="J18692" s="2">
        <v>391</v>
      </c>
      <c r="K18692" s="2">
        <v>99</v>
      </c>
      <c r="L18692" s="2">
        <v>228</v>
      </c>
    </row>
    <row r="18693" spans="1:12" x14ac:dyDescent="0.25">
      <c r="A18693" s="4" t="str">
        <f>HYPERLINK("http://www.rosaceae.org/Prunus/Prunus_persica/p.persica_gdr_reftransV1_0005992","p.persica_gdr_reftransV1_0005992")</f>
        <v>p.persica_gdr_reftransV1_0005992</v>
      </c>
      <c r="B18693" s="2">
        <v>1932</v>
      </c>
      <c r="C18693" s="4" t="str">
        <f>HYPERLINK("http://www.uniprot.org/uniprot/Q7XJE8","Q7XJE8")</f>
        <v>Q7XJE8</v>
      </c>
      <c r="D18693" s="2" t="s">
        <v>13850</v>
      </c>
      <c r="E18693" s="3">
        <v>0</v>
      </c>
      <c r="F18693" s="2">
        <v>2688</v>
      </c>
      <c r="G18693" s="2">
        <v>98</v>
      </c>
      <c r="H18693" s="2">
        <v>558</v>
      </c>
      <c r="I18693" s="2">
        <v>171</v>
      </c>
      <c r="J18693" s="2">
        <v>1844</v>
      </c>
      <c r="K18693" s="2">
        <v>1</v>
      </c>
      <c r="L18693" s="2">
        <v>558</v>
      </c>
    </row>
    <row r="18694" spans="1:12" x14ac:dyDescent="0.25">
      <c r="A18694" s="4" t="str">
        <f>HYPERLINK("http://www.rosaceae.org/Prunus/Prunus_persica/p.persica_gdr_reftransV1_0006692","p.persica_gdr_reftransV1_0006692")</f>
        <v>p.persica_gdr_reftransV1_0006692</v>
      </c>
      <c r="B18694" s="2">
        <v>691</v>
      </c>
      <c r="C18694" s="4" t="str">
        <f>HYPERLINK("http://www.uniprot.org/uniprot/M5VSA3","M5VSA3")</f>
        <v>M5VSA3</v>
      </c>
      <c r="D18694" s="2" t="s">
        <v>14430</v>
      </c>
      <c r="E18694" s="3">
        <v>2.4699999999999997E-122</v>
      </c>
      <c r="F18694" s="2">
        <v>932</v>
      </c>
      <c r="G18694" s="2">
        <v>100</v>
      </c>
      <c r="H18694" s="2">
        <v>176</v>
      </c>
      <c r="I18694" s="2">
        <v>162</v>
      </c>
      <c r="J18694" s="2">
        <v>689</v>
      </c>
      <c r="K18694" s="2">
        <v>183</v>
      </c>
      <c r="L18694" s="2">
        <v>358</v>
      </c>
    </row>
    <row r="18695" spans="1:12" x14ac:dyDescent="0.25">
      <c r="A18695" s="4" t="str">
        <f>HYPERLINK("http://www.rosaceae.org/Prunus/Prunus_persica/p.persica_gdr_reftransV1_0007042","p.persica_gdr_reftransV1_0007042")</f>
        <v>p.persica_gdr_reftransV1_0007042</v>
      </c>
      <c r="B18695" s="2">
        <v>595</v>
      </c>
      <c r="C18695" s="4" t="str">
        <f>HYPERLINK("http://www.uniprot.org/uniprot/M5VY42","M5VY42")</f>
        <v>M5VY42</v>
      </c>
      <c r="D18695" s="2" t="s">
        <v>14431</v>
      </c>
      <c r="E18695" s="3">
        <v>3.2699999999999997E-104</v>
      </c>
      <c r="F18695" s="2">
        <v>804</v>
      </c>
      <c r="G18695" s="2">
        <v>83</v>
      </c>
      <c r="H18695" s="2">
        <v>198</v>
      </c>
      <c r="I18695" s="2">
        <v>2</v>
      </c>
      <c r="J18695" s="2">
        <v>595</v>
      </c>
      <c r="K18695" s="2">
        <v>99</v>
      </c>
      <c r="L18695" s="2">
        <v>262</v>
      </c>
    </row>
    <row r="18696" spans="1:12" x14ac:dyDescent="0.25">
      <c r="A18696" s="4" t="str">
        <f>HYPERLINK("http://www.rosaceae.org/Prunus/Prunus_persica/p.persica_gdr_reftransV1_0008092","p.persica_gdr_reftransV1_0008092")</f>
        <v>p.persica_gdr_reftransV1_0008092</v>
      </c>
      <c r="B18696" s="2">
        <v>1468</v>
      </c>
      <c r="C18696" s="4" t="str">
        <f>HYPERLINK("http://www.uniprot.org/uniprot/M5VYS3","M5VYS3")</f>
        <v>M5VYS3</v>
      </c>
      <c r="D18696" s="2" t="s">
        <v>14432</v>
      </c>
      <c r="E18696" s="3">
        <v>1.1499999999999999E-171</v>
      </c>
      <c r="F18696" s="2">
        <v>1287</v>
      </c>
      <c r="G18696" s="2">
        <v>100</v>
      </c>
      <c r="H18696" s="2">
        <v>364</v>
      </c>
      <c r="I18696" s="2">
        <v>41</v>
      </c>
      <c r="J18696" s="2">
        <v>1132</v>
      </c>
      <c r="K18696" s="2">
        <v>1</v>
      </c>
      <c r="L18696" s="2">
        <v>364</v>
      </c>
    </row>
    <row r="18697" spans="1:12" x14ac:dyDescent="0.25">
      <c r="A18697" s="4" t="str">
        <f>HYPERLINK("http://www.rosaceae.org/Prunus/Prunus_persica/p.persica_gdr_reftransV1_0009142","p.persica_gdr_reftransV1_0009142")</f>
        <v>p.persica_gdr_reftransV1_0009142</v>
      </c>
      <c r="B18697" s="2">
        <v>860</v>
      </c>
      <c r="C18697" s="4" t="str">
        <f>HYPERLINK("http://www.uniprot.org/uniprot/M5WAP3","M5WAP3")</f>
        <v>M5WAP3</v>
      </c>
      <c r="D18697" s="2" t="s">
        <v>14433</v>
      </c>
      <c r="E18697" s="3">
        <v>4.8200000000000005E-125</v>
      </c>
      <c r="F18697" s="2">
        <v>941</v>
      </c>
      <c r="G18697" s="2">
        <v>100</v>
      </c>
      <c r="H18697" s="2">
        <v>179</v>
      </c>
      <c r="I18697" s="2">
        <v>48</v>
      </c>
      <c r="J18697" s="2">
        <v>584</v>
      </c>
      <c r="K18697" s="2">
        <v>1</v>
      </c>
      <c r="L18697" s="2">
        <v>179</v>
      </c>
    </row>
    <row r="18698" spans="1:12" x14ac:dyDescent="0.25">
      <c r="A18698" s="4" t="str">
        <f>HYPERLINK("http://www.rosaceae.org/Prunus/Prunus_persica/p.persica_gdr_reftransV1_0009492","p.persica_gdr_reftransV1_0009492")</f>
        <v>p.persica_gdr_reftransV1_0009492</v>
      </c>
      <c r="B18698" s="2">
        <v>1345</v>
      </c>
      <c r="C18698" s="4" t="str">
        <f>HYPERLINK("http://www.uniprot.org/uniprot/M5XHC5","M5XHC5")</f>
        <v>M5XHC5</v>
      </c>
      <c r="D18698" s="2" t="s">
        <v>1145</v>
      </c>
      <c r="E18698" s="3">
        <v>8.1500000000000003E-131</v>
      </c>
      <c r="F18698" s="2">
        <v>844</v>
      </c>
      <c r="G18698" s="2">
        <v>99</v>
      </c>
      <c r="H18698" s="2">
        <v>187</v>
      </c>
      <c r="I18698" s="2">
        <v>235</v>
      </c>
      <c r="J18698" s="2">
        <v>795</v>
      </c>
      <c r="K18698" s="2">
        <v>1</v>
      </c>
      <c r="L18698" s="2">
        <v>187</v>
      </c>
    </row>
    <row r="18699" spans="1:12" x14ac:dyDescent="0.25">
      <c r="A18699" s="4" t="str">
        <f>HYPERLINK("http://www.rosaceae.org/Prunus/Prunus_persica/p.persica_gdr_reftransV1_0010192","p.persica_gdr_reftransV1_0010192")</f>
        <v>p.persica_gdr_reftransV1_0010192</v>
      </c>
      <c r="B18699" s="2">
        <v>3293</v>
      </c>
      <c r="C18699" s="4" t="str">
        <f>HYPERLINK("http://www.uniprot.org/uniprot/M5WM17","M5WM17")</f>
        <v>M5WM17</v>
      </c>
      <c r="D18699" s="2" t="s">
        <v>14434</v>
      </c>
      <c r="E18699" s="3">
        <v>0</v>
      </c>
      <c r="F18699" s="2">
        <v>3655</v>
      </c>
      <c r="G18699" s="2">
        <v>100</v>
      </c>
      <c r="H18699" s="2">
        <v>775</v>
      </c>
      <c r="I18699" s="2">
        <v>490</v>
      </c>
      <c r="J18699" s="2">
        <v>2814</v>
      </c>
      <c r="K18699" s="2">
        <v>1</v>
      </c>
      <c r="L18699" s="2">
        <v>775</v>
      </c>
    </row>
    <row r="18700" spans="1:12" x14ac:dyDescent="0.25">
      <c r="A18700" s="4" t="str">
        <f>HYPERLINK("http://www.rosaceae.org/Prunus/Prunus_persica/p.persica_gdr_reftransV1_0010542","p.persica_gdr_reftransV1_0010542")</f>
        <v>p.persica_gdr_reftransV1_0010542</v>
      </c>
      <c r="B18700" s="2">
        <v>3431</v>
      </c>
      <c r="C18700" s="4" t="str">
        <f>HYPERLINK("http://www.uniprot.org/uniprot/M5WMF3","M5WMF3")</f>
        <v>M5WMF3</v>
      </c>
      <c r="D18700" s="2" t="s">
        <v>14435</v>
      </c>
      <c r="E18700" s="3">
        <v>0</v>
      </c>
      <c r="F18700" s="2">
        <v>4500</v>
      </c>
      <c r="G18700" s="2">
        <v>98</v>
      </c>
      <c r="H18700" s="2">
        <v>1005</v>
      </c>
      <c r="I18700" s="2">
        <v>281</v>
      </c>
      <c r="J18700" s="2">
        <v>3295</v>
      </c>
      <c r="K18700" s="2">
        <v>1</v>
      </c>
      <c r="L18700" s="2">
        <v>980</v>
      </c>
    </row>
    <row r="18701" spans="1:12" x14ac:dyDescent="0.25">
      <c r="A18701" s="4" t="str">
        <f>HYPERLINK("http://www.rosaceae.org/Prunus/Prunus_persica/p.persica_gdr_reftransV1_0010892","p.persica_gdr_reftransV1_0010892")</f>
        <v>p.persica_gdr_reftransV1_0010892</v>
      </c>
      <c r="B18701" s="2">
        <v>803</v>
      </c>
      <c r="C18701" s="4" t="str">
        <f>HYPERLINK("http://www.uniprot.org/uniprot/M5VQV0","M5VQV0")</f>
        <v>M5VQV0</v>
      </c>
      <c r="D18701" s="2" t="s">
        <v>9586</v>
      </c>
      <c r="E18701" s="3">
        <v>1.35E-96</v>
      </c>
      <c r="F18701" s="2">
        <v>771</v>
      </c>
      <c r="G18701" s="2">
        <v>100</v>
      </c>
      <c r="H18701" s="2">
        <v>171</v>
      </c>
      <c r="I18701" s="2">
        <v>289</v>
      </c>
      <c r="J18701" s="2">
        <v>801</v>
      </c>
      <c r="K18701" s="2">
        <v>1</v>
      </c>
      <c r="L18701" s="2">
        <v>171</v>
      </c>
    </row>
    <row r="18702" spans="1:12" x14ac:dyDescent="0.25">
      <c r="A18702" s="4" t="str">
        <f>HYPERLINK("http://www.rosaceae.org/Prunus/Prunus_persica/p.persica_gdr_reftransV1_0011242","p.persica_gdr_reftransV1_0011242")</f>
        <v>p.persica_gdr_reftransV1_0011242</v>
      </c>
      <c r="B18702" s="2">
        <v>2677</v>
      </c>
      <c r="C18702" s="4" t="str">
        <f>HYPERLINK("http://www.uniprot.org/uniprot/M5XDI2","M5XDI2")</f>
        <v>M5XDI2</v>
      </c>
      <c r="D18702" s="2" t="s">
        <v>13977</v>
      </c>
      <c r="E18702" s="3">
        <v>0</v>
      </c>
      <c r="F18702" s="2">
        <v>2552</v>
      </c>
      <c r="G18702" s="2">
        <v>97</v>
      </c>
      <c r="H18702" s="2">
        <v>488</v>
      </c>
      <c r="I18702" s="2">
        <v>710</v>
      </c>
      <c r="J18702" s="2">
        <v>2173</v>
      </c>
      <c r="K18702" s="2">
        <v>29</v>
      </c>
      <c r="L18702" s="2">
        <v>516</v>
      </c>
    </row>
    <row r="18703" spans="1:12" x14ac:dyDescent="0.25">
      <c r="A18703" s="4" t="str">
        <f>HYPERLINK("http://www.rosaceae.org/Prunus/Prunus_persica/p.persica_gdr_reftransV1_0011592","p.persica_gdr_reftransV1_0011592")</f>
        <v>p.persica_gdr_reftransV1_0011592</v>
      </c>
      <c r="B18703" s="2">
        <v>688</v>
      </c>
      <c r="C18703" s="4" t="str">
        <f>HYPERLINK("http://www.uniprot.org/uniprot/M5WQW2","M5WQW2")</f>
        <v>M5WQW2</v>
      </c>
      <c r="D18703" s="2" t="s">
        <v>14436</v>
      </c>
      <c r="E18703" s="3">
        <v>2.42E-111</v>
      </c>
      <c r="F18703" s="2">
        <v>843</v>
      </c>
      <c r="G18703" s="2">
        <v>92</v>
      </c>
      <c r="H18703" s="2">
        <v>194</v>
      </c>
      <c r="I18703" s="2">
        <v>55</v>
      </c>
      <c r="J18703" s="2">
        <v>636</v>
      </c>
      <c r="K18703" s="2">
        <v>11</v>
      </c>
      <c r="L18703" s="2">
        <v>189</v>
      </c>
    </row>
    <row r="18704" spans="1:12" x14ac:dyDescent="0.25">
      <c r="A18704" s="4" t="str">
        <f>HYPERLINK("http://www.rosaceae.org/Prunus/Prunus_persica/p.persica_gdr_reftransV1_0011942","p.persica_gdr_reftransV1_0011942")</f>
        <v>p.persica_gdr_reftransV1_0011942</v>
      </c>
      <c r="B18704" s="2">
        <v>1285</v>
      </c>
      <c r="C18704" s="4" t="str">
        <f>HYPERLINK("http://www.uniprot.org/uniprot/M5VVQ9","M5VVQ9")</f>
        <v>M5VVQ9</v>
      </c>
      <c r="D18704" s="2" t="s">
        <v>1770</v>
      </c>
      <c r="E18704" s="3">
        <v>0</v>
      </c>
      <c r="F18704" s="2">
        <v>2106</v>
      </c>
      <c r="G18704" s="2">
        <v>100</v>
      </c>
      <c r="H18704" s="2">
        <v>428</v>
      </c>
      <c r="I18704" s="2">
        <v>1</v>
      </c>
      <c r="J18704" s="2">
        <v>1284</v>
      </c>
      <c r="K18704" s="2">
        <v>855</v>
      </c>
      <c r="L18704" s="2">
        <v>1282</v>
      </c>
    </row>
    <row r="18705" spans="1:12" x14ac:dyDescent="0.25">
      <c r="A18705" s="4" t="str">
        <f>HYPERLINK("http://www.rosaceae.org/Prunus/Prunus_persica/p.persica_gdr_reftransV1_0012992","p.persica_gdr_reftransV1_0012992")</f>
        <v>p.persica_gdr_reftransV1_0012992</v>
      </c>
      <c r="B18705" s="2">
        <v>1003</v>
      </c>
      <c r="C18705" s="4" t="str">
        <f>HYPERLINK("http://www.uniprot.org/uniprot/M5XEU3","M5XEU3")</f>
        <v>M5XEU3</v>
      </c>
      <c r="D18705" s="2" t="s">
        <v>14437</v>
      </c>
      <c r="E18705" s="3">
        <v>2.43E-110</v>
      </c>
      <c r="F18705" s="2">
        <v>850</v>
      </c>
      <c r="G18705" s="2">
        <v>99</v>
      </c>
      <c r="H18705" s="2">
        <v>165</v>
      </c>
      <c r="I18705" s="2">
        <v>170</v>
      </c>
      <c r="J18705" s="2">
        <v>664</v>
      </c>
      <c r="K18705" s="2">
        <v>38</v>
      </c>
      <c r="L18705" s="2">
        <v>202</v>
      </c>
    </row>
    <row r="18706" spans="1:12" x14ac:dyDescent="0.25">
      <c r="A18706" s="4" t="str">
        <f>HYPERLINK("http://www.rosaceae.org/Prunus/Prunus_persica/p.persica_gdr_reftransV1_0013692","p.persica_gdr_reftransV1_0013692")</f>
        <v>p.persica_gdr_reftransV1_0013692</v>
      </c>
      <c r="B18706" s="2">
        <v>2336</v>
      </c>
      <c r="C18706" s="4" t="str">
        <f>HYPERLINK("http://www.uniprot.org/uniprot/M5WET7","M5WET7")</f>
        <v>M5WET7</v>
      </c>
      <c r="D18706" s="2" t="s">
        <v>14438</v>
      </c>
      <c r="E18706" s="3">
        <v>0</v>
      </c>
      <c r="F18706" s="2">
        <v>1623</v>
      </c>
      <c r="G18706" s="2">
        <v>82</v>
      </c>
      <c r="H18706" s="2">
        <v>404</v>
      </c>
      <c r="I18706" s="2">
        <v>971</v>
      </c>
      <c r="J18706" s="2">
        <v>2119</v>
      </c>
      <c r="K18706" s="2">
        <v>28</v>
      </c>
      <c r="L18706" s="2">
        <v>402</v>
      </c>
    </row>
    <row r="18707" spans="1:12" x14ac:dyDescent="0.25">
      <c r="A18707" s="4" t="str">
        <f>HYPERLINK("http://www.rosaceae.org/Prunus/Prunus_persica/p.persica_gdr_reftransV1_0014042","p.persica_gdr_reftransV1_0014042")</f>
        <v>p.persica_gdr_reftransV1_0014042</v>
      </c>
      <c r="B18707" s="2">
        <v>1712</v>
      </c>
      <c r="C18707" s="4" t="str">
        <f>HYPERLINK("http://www.uniprot.org/uniprot/M5WBS0","M5WBS0")</f>
        <v>M5WBS0</v>
      </c>
      <c r="D18707" s="2" t="s">
        <v>14439</v>
      </c>
      <c r="E18707" s="3">
        <v>0</v>
      </c>
      <c r="F18707" s="2">
        <v>2565</v>
      </c>
      <c r="G18707" s="2">
        <v>100</v>
      </c>
      <c r="H18707" s="2">
        <v>480</v>
      </c>
      <c r="I18707" s="2">
        <v>62</v>
      </c>
      <c r="J18707" s="2">
        <v>1501</v>
      </c>
      <c r="K18707" s="2">
        <v>1</v>
      </c>
      <c r="L18707" s="2">
        <v>480</v>
      </c>
    </row>
    <row r="18708" spans="1:12" x14ac:dyDescent="0.25">
      <c r="A18708" s="4" t="str">
        <f>HYPERLINK("http://www.rosaceae.org/Prunus/Prunus_persica/p.persica_gdr_reftransV1_0015092","p.persica_gdr_reftransV1_0015092")</f>
        <v>p.persica_gdr_reftransV1_0015092</v>
      </c>
      <c r="B18708" s="2">
        <v>2109</v>
      </c>
      <c r="C18708" s="4" t="str">
        <f>HYPERLINK("http://www.uniprot.org/uniprot/W9QLS2","W9QLS2")</f>
        <v>W9QLS2</v>
      </c>
      <c r="D18708" s="2" t="s">
        <v>14440</v>
      </c>
      <c r="E18708" s="3">
        <v>0</v>
      </c>
      <c r="F18708" s="2">
        <v>1780</v>
      </c>
      <c r="G18708" s="2">
        <v>57</v>
      </c>
      <c r="H18708" s="2">
        <v>637</v>
      </c>
      <c r="I18708" s="2">
        <v>220</v>
      </c>
      <c r="J18708" s="2">
        <v>2109</v>
      </c>
      <c r="K18708" s="2">
        <v>484</v>
      </c>
      <c r="L18708" s="2">
        <v>1117</v>
      </c>
    </row>
    <row r="18709" spans="1:12" x14ac:dyDescent="0.25">
      <c r="A18709" s="4" t="str">
        <f>HYPERLINK("http://www.rosaceae.org/Prunus/Prunus_persica/p.persica_gdr_reftransV1_0015442","p.persica_gdr_reftransV1_0015442")</f>
        <v>p.persica_gdr_reftransV1_0015442</v>
      </c>
      <c r="B18709" s="2">
        <v>1802</v>
      </c>
      <c r="C18709" s="4" t="str">
        <f>HYPERLINK("http://www.uniprot.org/uniprot/M5XVI3","M5XVI3")</f>
        <v>M5XVI3</v>
      </c>
      <c r="D18709" s="2" t="s">
        <v>14441</v>
      </c>
      <c r="E18709" s="3">
        <v>0</v>
      </c>
      <c r="F18709" s="2">
        <v>1877</v>
      </c>
      <c r="G18709" s="2">
        <v>92</v>
      </c>
      <c r="H18709" s="2">
        <v>386</v>
      </c>
      <c r="I18709" s="2">
        <v>688</v>
      </c>
      <c r="J18709" s="2">
        <v>1764</v>
      </c>
      <c r="K18709" s="2">
        <v>1</v>
      </c>
      <c r="L18709" s="2">
        <v>386</v>
      </c>
    </row>
    <row r="18710" spans="1:12" x14ac:dyDescent="0.25">
      <c r="A18710" s="4" t="str">
        <f>HYPERLINK("http://www.rosaceae.org/Prunus/Prunus_persica/p.persica_gdr_reftransV1_0015792","p.persica_gdr_reftransV1_0015792")</f>
        <v>p.persica_gdr_reftransV1_0015792</v>
      </c>
      <c r="B18710" s="2">
        <v>3562</v>
      </c>
      <c r="C18710" s="4" t="str">
        <f>HYPERLINK("http://www.uniprot.org/uniprot/M5W817","M5W817")</f>
        <v>M5W817</v>
      </c>
      <c r="D18710" s="2" t="s">
        <v>14442</v>
      </c>
      <c r="E18710" s="3">
        <v>0</v>
      </c>
      <c r="F18710" s="2">
        <v>3287</v>
      </c>
      <c r="G18710" s="2">
        <v>99</v>
      </c>
      <c r="H18710" s="2">
        <v>679</v>
      </c>
      <c r="I18710" s="2">
        <v>868</v>
      </c>
      <c r="J18710" s="2">
        <v>2904</v>
      </c>
      <c r="K18710" s="2">
        <v>215</v>
      </c>
      <c r="L18710" s="2">
        <v>887</v>
      </c>
    </row>
    <row r="18711" spans="1:12" x14ac:dyDescent="0.25">
      <c r="A18711" s="4" t="str">
        <f>HYPERLINK("http://www.rosaceae.org/Prunus/Prunus_persica/p.persica_gdr_reftransV1_0016842","p.persica_gdr_reftransV1_0016842")</f>
        <v>p.persica_gdr_reftransV1_0016842</v>
      </c>
      <c r="B18711" s="2">
        <v>3492</v>
      </c>
      <c r="C18711" s="4" t="str">
        <f>HYPERLINK("http://www.uniprot.org/uniprot/M5VKG9","M5VKG9")</f>
        <v>M5VKG9</v>
      </c>
      <c r="D18711" s="2" t="s">
        <v>11632</v>
      </c>
      <c r="E18711" s="3">
        <v>1.14E-145</v>
      </c>
      <c r="F18711" s="2">
        <v>1165</v>
      </c>
      <c r="G18711" s="2">
        <v>100</v>
      </c>
      <c r="H18711" s="2">
        <v>234</v>
      </c>
      <c r="I18711" s="2">
        <v>74</v>
      </c>
      <c r="J18711" s="2">
        <v>775</v>
      </c>
      <c r="K18711" s="2">
        <v>50</v>
      </c>
      <c r="L18711" s="2">
        <v>283</v>
      </c>
    </row>
    <row r="18712" spans="1:12" x14ac:dyDescent="0.25">
      <c r="A18712" s="4" t="str">
        <f>HYPERLINK("http://www.rosaceae.org/Prunus/Prunus_persica/p.persica_gdr_reftransV1_0018242","p.persica_gdr_reftransV1_0018242")</f>
        <v>p.persica_gdr_reftransV1_0018242</v>
      </c>
      <c r="B18712" s="2">
        <v>1614</v>
      </c>
      <c r="C18712" s="4" t="str">
        <f>HYPERLINK("http://www.uniprot.org/uniprot/M5WWQ8","M5WWQ8")</f>
        <v>M5WWQ8</v>
      </c>
      <c r="D18712" s="2" t="s">
        <v>14443</v>
      </c>
      <c r="E18712" s="3">
        <v>0</v>
      </c>
      <c r="F18712" s="2">
        <v>1960</v>
      </c>
      <c r="G18712" s="2">
        <v>100</v>
      </c>
      <c r="H18712" s="2">
        <v>390</v>
      </c>
      <c r="I18712" s="2">
        <v>396</v>
      </c>
      <c r="J18712" s="2">
        <v>1565</v>
      </c>
      <c r="K18712" s="2">
        <v>1</v>
      </c>
      <c r="L18712" s="2">
        <v>390</v>
      </c>
    </row>
    <row r="18713" spans="1:12" x14ac:dyDescent="0.25">
      <c r="A18713" s="4" t="str">
        <f>HYPERLINK("http://www.rosaceae.org/Prunus/Prunus_persica/p.persica_gdr_reftransV1_0018942","p.persica_gdr_reftransV1_0018942")</f>
        <v>p.persica_gdr_reftransV1_0018942</v>
      </c>
      <c r="B18713" s="2">
        <v>1788</v>
      </c>
      <c r="C18713" s="4" t="str">
        <f>HYPERLINK("http://www.uniprot.org/uniprot/M5WA53","M5WA53")</f>
        <v>M5WA53</v>
      </c>
      <c r="D18713" s="2" t="s">
        <v>14444</v>
      </c>
      <c r="E18713" s="3">
        <v>0</v>
      </c>
      <c r="F18713" s="2">
        <v>1585</v>
      </c>
      <c r="G18713" s="2">
        <v>100</v>
      </c>
      <c r="H18713" s="2">
        <v>302</v>
      </c>
      <c r="I18713" s="2">
        <v>543</v>
      </c>
      <c r="J18713" s="2">
        <v>1448</v>
      </c>
      <c r="K18713" s="2">
        <v>1</v>
      </c>
      <c r="L18713" s="2">
        <v>302</v>
      </c>
    </row>
    <row r="18714" spans="1:12" x14ac:dyDescent="0.25">
      <c r="A18714" s="4" t="str">
        <f>HYPERLINK("http://www.rosaceae.org/Prunus/Prunus_persica/p.persica_gdr_reftransV1_0020342","p.persica_gdr_reftransV1_0020342")</f>
        <v>p.persica_gdr_reftransV1_0020342</v>
      </c>
      <c r="B18714" s="2">
        <v>1166</v>
      </c>
      <c r="C18714" s="4" t="str">
        <f>HYPERLINK("http://www.uniprot.org/uniprot/M5XFG5","M5XFG5")</f>
        <v>M5XFG5</v>
      </c>
      <c r="D18714" s="2" t="s">
        <v>6295</v>
      </c>
      <c r="E18714" s="3">
        <v>3.1800000000000002E-141</v>
      </c>
      <c r="F18714" s="2">
        <v>1059</v>
      </c>
      <c r="G18714" s="2">
        <v>100</v>
      </c>
      <c r="H18714" s="2">
        <v>202</v>
      </c>
      <c r="I18714" s="2">
        <v>199</v>
      </c>
      <c r="J18714" s="2">
        <v>804</v>
      </c>
      <c r="K18714" s="2">
        <v>1</v>
      </c>
      <c r="L18714" s="2">
        <v>202</v>
      </c>
    </row>
    <row r="18715" spans="1:12" x14ac:dyDescent="0.25">
      <c r="A18715" s="4" t="str">
        <f>HYPERLINK("http://www.rosaceae.org/Prunus/Prunus_persica/p.persica_gdr_reftransV1_0022092","p.persica_gdr_reftransV1_0022092")</f>
        <v>p.persica_gdr_reftransV1_0022092</v>
      </c>
      <c r="B18715" s="2">
        <v>950</v>
      </c>
      <c r="C18715" s="4" t="str">
        <f>HYPERLINK("http://www.uniprot.org/uniprot/M5W8Z9","M5W8Z9")</f>
        <v>M5W8Z9</v>
      </c>
      <c r="D18715" s="2" t="s">
        <v>14445</v>
      </c>
      <c r="E18715" s="3">
        <v>4.5800000000000001E-158</v>
      </c>
      <c r="F18715" s="2">
        <v>1164</v>
      </c>
      <c r="G18715" s="2">
        <v>100</v>
      </c>
      <c r="H18715" s="2">
        <v>222</v>
      </c>
      <c r="I18715" s="2">
        <v>81</v>
      </c>
      <c r="J18715" s="2">
        <v>746</v>
      </c>
      <c r="K18715" s="2">
        <v>1</v>
      </c>
      <c r="L18715" s="2">
        <v>222</v>
      </c>
    </row>
    <row r="18716" spans="1:12" x14ac:dyDescent="0.25">
      <c r="A18716" s="4" t="str">
        <f>HYPERLINK("http://www.rosaceae.org/Prunus/Prunus_persica/p.persica_gdr_reftransV1_0024192","p.persica_gdr_reftransV1_0024192")</f>
        <v>p.persica_gdr_reftransV1_0024192</v>
      </c>
      <c r="B18716" s="2">
        <v>3659</v>
      </c>
      <c r="C18716" s="4" t="str">
        <f>HYPERLINK("http://www.uniprot.org/uniprot/M5WCY0","M5WCY0")</f>
        <v>M5WCY0</v>
      </c>
      <c r="D18716" s="2" t="s">
        <v>14446</v>
      </c>
      <c r="E18716" s="3">
        <v>0</v>
      </c>
      <c r="F18716" s="2">
        <v>4348</v>
      </c>
      <c r="G18716" s="2">
        <v>100</v>
      </c>
      <c r="H18716" s="2">
        <v>921</v>
      </c>
      <c r="I18716" s="2">
        <v>414</v>
      </c>
      <c r="J18716" s="2">
        <v>3176</v>
      </c>
      <c r="K18716" s="2">
        <v>1</v>
      </c>
      <c r="L18716" s="2">
        <v>921</v>
      </c>
    </row>
    <row r="18717" spans="1:12" x14ac:dyDescent="0.25">
      <c r="A18717" s="4" t="str">
        <f>HYPERLINK("http://www.rosaceae.org/Prunus/Prunus_persica/p.persica_gdr_reftransV1_0024542","p.persica_gdr_reftransV1_0024542")</f>
        <v>p.persica_gdr_reftransV1_0024542</v>
      </c>
      <c r="B18717" s="2">
        <v>4602</v>
      </c>
      <c r="C18717" s="4" t="str">
        <f>HYPERLINK("http://www.uniprot.org/uniprot/M5W7N7","M5W7N7")</f>
        <v>M5W7N7</v>
      </c>
      <c r="D18717" s="2" t="s">
        <v>14447</v>
      </c>
      <c r="E18717" s="3">
        <v>0</v>
      </c>
      <c r="F18717" s="2">
        <v>5467</v>
      </c>
      <c r="G18717" s="2">
        <v>100</v>
      </c>
      <c r="H18717" s="2">
        <v>1213</v>
      </c>
      <c r="I18717" s="2">
        <v>127</v>
      </c>
      <c r="J18717" s="2">
        <v>3765</v>
      </c>
      <c r="K18717" s="2">
        <v>1</v>
      </c>
      <c r="L18717" s="2">
        <v>1213</v>
      </c>
    </row>
    <row r="18718" spans="1:12" x14ac:dyDescent="0.25">
      <c r="A18718" s="4" t="str">
        <f>HYPERLINK("http://www.rosaceae.org/Prunus/Prunus_persica/p.persica_gdr_reftransV1_0026642","p.persica_gdr_reftransV1_0026642")</f>
        <v>p.persica_gdr_reftransV1_0026642</v>
      </c>
      <c r="B18718" s="2">
        <v>2063</v>
      </c>
      <c r="C18718" s="4" t="str">
        <f>HYPERLINK("http://www.uniprot.org/uniprot/M5WTD7","M5WTD7")</f>
        <v>M5WTD7</v>
      </c>
      <c r="D18718" s="2" t="s">
        <v>14448</v>
      </c>
      <c r="E18718" s="3">
        <v>6.7699999999999999E-90</v>
      </c>
      <c r="F18718" s="2">
        <v>746</v>
      </c>
      <c r="G18718" s="2">
        <v>99</v>
      </c>
      <c r="H18718" s="2">
        <v>172</v>
      </c>
      <c r="I18718" s="2">
        <v>879</v>
      </c>
      <c r="J18718" s="2">
        <v>1394</v>
      </c>
      <c r="K18718" s="2">
        <v>66</v>
      </c>
      <c r="L18718" s="2">
        <v>237</v>
      </c>
    </row>
    <row r="18719" spans="1:12" x14ac:dyDescent="0.25">
      <c r="A18719" s="4" t="str">
        <f>HYPERLINK("http://www.rosaceae.org/Prunus/Prunus_persica/p.persica_gdr_reftransV1_0029092","p.persica_gdr_reftransV1_0029092")</f>
        <v>p.persica_gdr_reftransV1_0029092</v>
      </c>
      <c r="B18719" s="2">
        <v>1171</v>
      </c>
      <c r="C18719" s="4" t="str">
        <f>HYPERLINK("http://www.uniprot.org/uniprot/M5WD20","M5WD20")</f>
        <v>M5WD20</v>
      </c>
      <c r="D18719" s="2" t="s">
        <v>14449</v>
      </c>
      <c r="E18719" s="3">
        <v>1.33E-91</v>
      </c>
      <c r="F18719" s="2">
        <v>729</v>
      </c>
      <c r="G18719" s="2">
        <v>100</v>
      </c>
      <c r="H18719" s="2">
        <v>181</v>
      </c>
      <c r="I18719" s="2">
        <v>517</v>
      </c>
      <c r="J18719" s="2">
        <v>1059</v>
      </c>
      <c r="K18719" s="2">
        <v>1</v>
      </c>
      <c r="L18719" s="2">
        <v>181</v>
      </c>
    </row>
    <row r="18720" spans="1:12" x14ac:dyDescent="0.25">
      <c r="A18720" s="4" t="str">
        <f>HYPERLINK("http://www.rosaceae.org/Prunus/Prunus_persica/p.persica_gdr_reftransV1_0029442","p.persica_gdr_reftransV1_0029442")</f>
        <v>p.persica_gdr_reftransV1_0029442</v>
      </c>
      <c r="B18720" s="2">
        <v>2060</v>
      </c>
      <c r="C18720" s="4" t="str">
        <f>HYPERLINK("http://www.uniprot.org/uniprot/W9SWM1","W9SWM1")</f>
        <v>W9SWM1</v>
      </c>
      <c r="D18720" s="2" t="s">
        <v>14450</v>
      </c>
      <c r="E18720" s="3">
        <v>0</v>
      </c>
      <c r="F18720" s="2">
        <v>2706</v>
      </c>
      <c r="G18720" s="2">
        <v>81</v>
      </c>
      <c r="H18720" s="2">
        <v>602</v>
      </c>
      <c r="I18720" s="2">
        <v>70</v>
      </c>
      <c r="J18720" s="2">
        <v>1875</v>
      </c>
      <c r="K18720" s="2">
        <v>24</v>
      </c>
      <c r="L18720" s="2">
        <v>625</v>
      </c>
    </row>
    <row r="18721" spans="1:12" x14ac:dyDescent="0.25">
      <c r="A18721" s="4" t="str">
        <f>HYPERLINK("http://www.rosaceae.org/Prunus/Prunus_persica/p.persica_gdr_reftransV1_0030842","p.persica_gdr_reftransV1_0030842")</f>
        <v>p.persica_gdr_reftransV1_0030842</v>
      </c>
      <c r="B18721" s="2">
        <v>1237</v>
      </c>
      <c r="C18721" s="4" t="str">
        <f>HYPERLINK("http://www.uniprot.org/uniprot/M5WKP5","M5WKP5")</f>
        <v>M5WKP5</v>
      </c>
      <c r="D18721" s="2" t="s">
        <v>369</v>
      </c>
      <c r="E18721" s="3">
        <v>3.4999999999999998E-60</v>
      </c>
      <c r="F18721" s="2">
        <v>515</v>
      </c>
      <c r="G18721" s="2">
        <v>100</v>
      </c>
      <c r="H18721" s="2">
        <v>119</v>
      </c>
      <c r="I18721" s="2">
        <v>880</v>
      </c>
      <c r="J18721" s="2">
        <v>1236</v>
      </c>
      <c r="K18721" s="2">
        <v>3</v>
      </c>
      <c r="L18721" s="2">
        <v>121</v>
      </c>
    </row>
    <row r="18722" spans="1:12" x14ac:dyDescent="0.25">
      <c r="A18722" s="4" t="str">
        <f>HYPERLINK("http://www.rosaceae.org/Prunus/Prunus_persica/p.persica_gdr_reftransV1_0032942","p.persica_gdr_reftransV1_0032942")</f>
        <v>p.persica_gdr_reftransV1_0032942</v>
      </c>
      <c r="B18722" s="2">
        <v>1075</v>
      </c>
      <c r="C18722" s="4" t="str">
        <f>HYPERLINK("http://www.uniprot.org/uniprot/M5WA93","M5WA93")</f>
        <v>M5WA93</v>
      </c>
      <c r="D18722" s="2" t="s">
        <v>4470</v>
      </c>
      <c r="E18722" s="3">
        <v>1.5899999999999999E-123</v>
      </c>
      <c r="F18722" s="2">
        <v>983</v>
      </c>
      <c r="G18722" s="2">
        <v>100</v>
      </c>
      <c r="H18722" s="2">
        <v>189</v>
      </c>
      <c r="I18722" s="2">
        <v>508</v>
      </c>
      <c r="J18722" s="2">
        <v>1074</v>
      </c>
      <c r="K18722" s="2">
        <v>1</v>
      </c>
      <c r="L18722" s="2">
        <v>189</v>
      </c>
    </row>
    <row r="18723" spans="1:12" x14ac:dyDescent="0.25">
      <c r="A18723" s="4" t="str">
        <f>HYPERLINK("http://www.rosaceae.org/Prunus/Prunus_persica/p.persica_gdr_reftransV1_0033292","p.persica_gdr_reftransV1_0033292")</f>
        <v>p.persica_gdr_reftransV1_0033292</v>
      </c>
      <c r="B18723" s="2">
        <v>3320</v>
      </c>
      <c r="C18723" s="4" t="str">
        <f>HYPERLINK("http://www.uniprot.org/uniprot/M5Y512","M5Y512")</f>
        <v>M5Y512</v>
      </c>
      <c r="D18723" s="2" t="s">
        <v>14451</v>
      </c>
      <c r="E18723" s="3">
        <v>0</v>
      </c>
      <c r="F18723" s="2">
        <v>2054</v>
      </c>
      <c r="G18723" s="2">
        <v>99</v>
      </c>
      <c r="H18723" s="2">
        <v>417</v>
      </c>
      <c r="I18723" s="2">
        <v>1739</v>
      </c>
      <c r="J18723" s="2">
        <v>2989</v>
      </c>
      <c r="K18723" s="2">
        <v>1</v>
      </c>
      <c r="L18723" s="2">
        <v>416</v>
      </c>
    </row>
    <row r="18724" spans="1:12" x14ac:dyDescent="0.25">
      <c r="A18724" s="4" t="str">
        <f>HYPERLINK("http://www.rosaceae.org/Prunus/Prunus_persica/p.persica_gdr_reftransV1_0033642","p.persica_gdr_reftransV1_0033642")</f>
        <v>p.persica_gdr_reftransV1_0033642</v>
      </c>
      <c r="B18724" s="2">
        <v>4813</v>
      </c>
      <c r="C18724" s="4" t="str">
        <f>HYPERLINK("http://www.uniprot.org/uniprot/M5W968","M5W968")</f>
        <v>M5W968</v>
      </c>
      <c r="D18724" s="2" t="s">
        <v>14452</v>
      </c>
      <c r="E18724" s="3">
        <v>0</v>
      </c>
      <c r="F18724" s="2">
        <v>1659</v>
      </c>
      <c r="G18724" s="2">
        <v>97</v>
      </c>
      <c r="H18724" s="2">
        <v>349</v>
      </c>
      <c r="I18724" s="2">
        <v>3594</v>
      </c>
      <c r="J18724" s="2">
        <v>4640</v>
      </c>
      <c r="K18724" s="2">
        <v>1</v>
      </c>
      <c r="L18724" s="2">
        <v>340</v>
      </c>
    </row>
    <row r="18725" spans="1:12" x14ac:dyDescent="0.25">
      <c r="A18725" s="4" t="str">
        <f>HYPERLINK("http://www.rosaceae.org/Prunus/Prunus_persica/p.persica_gdr_reftransV1_0035742","p.persica_gdr_reftransV1_0035742")</f>
        <v>p.persica_gdr_reftransV1_0035742</v>
      </c>
      <c r="B18725" s="2">
        <v>1896</v>
      </c>
      <c r="C18725" s="4" t="str">
        <f>HYPERLINK("http://www.uniprot.org/uniprot/M5WHN0","M5WHN0")</f>
        <v>M5WHN0</v>
      </c>
      <c r="D18725" s="2" t="s">
        <v>14453</v>
      </c>
      <c r="E18725" s="3">
        <v>0</v>
      </c>
      <c r="F18725" s="2">
        <v>2737</v>
      </c>
      <c r="G18725" s="2">
        <v>100</v>
      </c>
      <c r="H18725" s="2">
        <v>525</v>
      </c>
      <c r="I18725" s="2">
        <v>229</v>
      </c>
      <c r="J18725" s="2">
        <v>1803</v>
      </c>
      <c r="K18725" s="2">
        <v>1</v>
      </c>
      <c r="L18725" s="2">
        <v>525</v>
      </c>
    </row>
    <row r="18726" spans="1:12" x14ac:dyDescent="0.25">
      <c r="A18726" s="4" t="str">
        <f>HYPERLINK("http://www.rosaceae.org/Prunus/Prunus_persica/p.persica_gdr_reftransV1_0036442","p.persica_gdr_reftransV1_0036442")</f>
        <v>p.persica_gdr_reftransV1_0036442</v>
      </c>
      <c r="B18726" s="2">
        <v>2458</v>
      </c>
      <c r="C18726" s="4" t="str">
        <f>HYPERLINK("http://www.uniprot.org/uniprot/G9CM55","G9CM55")</f>
        <v>G9CM55</v>
      </c>
      <c r="D18726" s="2" t="s">
        <v>10822</v>
      </c>
      <c r="E18726" s="3">
        <v>1.5099999999999999E-160</v>
      </c>
      <c r="F18726" s="2">
        <v>1240</v>
      </c>
      <c r="G18726" s="2">
        <v>100</v>
      </c>
      <c r="H18726" s="2">
        <v>234</v>
      </c>
      <c r="I18726" s="2">
        <v>196</v>
      </c>
      <c r="J18726" s="2">
        <v>897</v>
      </c>
      <c r="K18726" s="2">
        <v>18</v>
      </c>
      <c r="L18726" s="2">
        <v>251</v>
      </c>
    </row>
    <row r="18727" spans="1:12" x14ac:dyDescent="0.25">
      <c r="A18727" s="4" t="str">
        <f>HYPERLINK("http://www.rosaceae.org/Prunus/Prunus_persica/p.persica_gdr_reftransV1_0037842","p.persica_gdr_reftransV1_0037842")</f>
        <v>p.persica_gdr_reftransV1_0037842</v>
      </c>
      <c r="B18727" s="2">
        <v>3110</v>
      </c>
      <c r="C18727" s="4" t="str">
        <f>HYPERLINK("http://www.uniprot.org/uniprot/M5Y3Q6","M5Y3Q6")</f>
        <v>M5Y3Q6</v>
      </c>
      <c r="D18727" s="2" t="s">
        <v>13364</v>
      </c>
      <c r="E18727" s="3">
        <v>0</v>
      </c>
      <c r="F18727" s="2">
        <v>1589</v>
      </c>
      <c r="G18727" s="2">
        <v>100</v>
      </c>
      <c r="H18727" s="2">
        <v>305</v>
      </c>
      <c r="I18727" s="2">
        <v>2111</v>
      </c>
      <c r="J18727" s="2">
        <v>3025</v>
      </c>
      <c r="K18727" s="2">
        <v>36</v>
      </c>
      <c r="L18727" s="2">
        <v>340</v>
      </c>
    </row>
    <row r="18728" spans="1:12" x14ac:dyDescent="0.25">
      <c r="A18728" s="4" t="str">
        <f>HYPERLINK("http://www.rosaceae.org/Prunus/Prunus_persica/p.persica_gdr_reftransV1_0039592","p.persica_gdr_reftransV1_0039592")</f>
        <v>p.persica_gdr_reftransV1_0039592</v>
      </c>
      <c r="B18728" s="2">
        <v>1863</v>
      </c>
      <c r="C18728" s="4" t="str">
        <f>HYPERLINK("http://www.uniprot.org/uniprot/M5W0C8","M5W0C8")</f>
        <v>M5W0C8</v>
      </c>
      <c r="D18728" s="2" t="s">
        <v>10823</v>
      </c>
      <c r="E18728" s="3">
        <v>9.9500000000000008E-115</v>
      </c>
      <c r="F18728" s="2">
        <v>915</v>
      </c>
      <c r="G18728" s="2">
        <v>78</v>
      </c>
      <c r="H18728" s="2">
        <v>236</v>
      </c>
      <c r="I18728" s="2">
        <v>335</v>
      </c>
      <c r="J18728" s="2">
        <v>1036</v>
      </c>
      <c r="K18728" s="2">
        <v>75</v>
      </c>
      <c r="L18728" s="2">
        <v>306</v>
      </c>
    </row>
    <row r="18729" spans="1:12" x14ac:dyDescent="0.25">
      <c r="A18729" s="4" t="str">
        <f>HYPERLINK("http://www.rosaceae.org/Prunus/Prunus_persica/p.persica_gdr_reftransV1_0043092","p.persica_gdr_reftransV1_0043092")</f>
        <v>p.persica_gdr_reftransV1_0043092</v>
      </c>
      <c r="B18729" s="2">
        <v>1266</v>
      </c>
      <c r="C18729" s="4" t="str">
        <f>HYPERLINK("http://www.uniprot.org/uniprot/M5W4F7","M5W4F7")</f>
        <v>M5W4F7</v>
      </c>
      <c r="D18729" s="2" t="s">
        <v>14454</v>
      </c>
      <c r="E18729" s="3">
        <v>0</v>
      </c>
      <c r="F18729" s="2">
        <v>1848</v>
      </c>
      <c r="G18729" s="2">
        <v>100</v>
      </c>
      <c r="H18729" s="2">
        <v>343</v>
      </c>
      <c r="I18729" s="2">
        <v>104</v>
      </c>
      <c r="J18729" s="2">
        <v>1132</v>
      </c>
      <c r="K18729" s="2">
        <v>1</v>
      </c>
      <c r="L18729" s="2">
        <v>343</v>
      </c>
    </row>
    <row r="18730" spans="1:12" x14ac:dyDescent="0.25">
      <c r="A18730" s="4" t="str">
        <f>HYPERLINK("http://www.rosaceae.org/Prunus/Prunus_persica/p.persica_gdr_reftransV1_0043442","p.persica_gdr_reftransV1_0043442")</f>
        <v>p.persica_gdr_reftransV1_0043442</v>
      </c>
      <c r="B18730" s="2">
        <v>1743</v>
      </c>
      <c r="C18730" s="4" t="str">
        <f>HYPERLINK("http://www.uniprot.org/uniprot/W9RLL0","W9RLL0")</f>
        <v>W9RLL0</v>
      </c>
      <c r="D18730" s="2" t="s">
        <v>12804</v>
      </c>
      <c r="E18730" s="3">
        <v>1.4699999999999999E-174</v>
      </c>
      <c r="F18730" s="2">
        <v>1324</v>
      </c>
      <c r="G18730" s="2">
        <v>75</v>
      </c>
      <c r="H18730" s="2">
        <v>364</v>
      </c>
      <c r="I18730" s="2">
        <v>481</v>
      </c>
      <c r="J18730" s="2">
        <v>1572</v>
      </c>
      <c r="K18730" s="2">
        <v>70</v>
      </c>
      <c r="L18730" s="2">
        <v>431</v>
      </c>
    </row>
    <row r="18731" spans="1:12" x14ac:dyDescent="0.25">
      <c r="A18731" s="4" t="str">
        <f>HYPERLINK("http://www.rosaceae.org/Prunus/Prunus_persica/p.persica_gdr_reftransV1_0043792","p.persica_gdr_reftransV1_0043792")</f>
        <v>p.persica_gdr_reftransV1_0043792</v>
      </c>
      <c r="B18731" s="2">
        <v>347</v>
      </c>
      <c r="C18731" s="4" t="str">
        <f>HYPERLINK("http://www.uniprot.org/uniprot/M5VT51","M5VT51")</f>
        <v>M5VT51</v>
      </c>
      <c r="D18731" s="2" t="s">
        <v>14455</v>
      </c>
      <c r="E18731" s="3">
        <v>2.4800000000000002E-66</v>
      </c>
      <c r="F18731" s="2">
        <v>580</v>
      </c>
      <c r="G18731" s="2">
        <v>95</v>
      </c>
      <c r="H18731" s="2">
        <v>115</v>
      </c>
      <c r="I18731" s="2">
        <v>1</v>
      </c>
      <c r="J18731" s="2">
        <v>345</v>
      </c>
      <c r="K18731" s="2">
        <v>110</v>
      </c>
      <c r="L18731" s="2">
        <v>224</v>
      </c>
    </row>
    <row r="18732" spans="1:12" x14ac:dyDescent="0.25">
      <c r="A18732" s="4" t="str">
        <f>HYPERLINK("http://www.rosaceae.org/Prunus/Prunus_persica/p.persica_gdr_reftransV1_0044492","p.persica_gdr_reftransV1_0044492")</f>
        <v>p.persica_gdr_reftransV1_0044492</v>
      </c>
      <c r="B18732" s="2">
        <v>781</v>
      </c>
      <c r="C18732" s="4" t="str">
        <f>HYPERLINK("http://www.uniprot.org/uniprot/M5WAU5","M5WAU5")</f>
        <v>M5WAU5</v>
      </c>
      <c r="D18732" s="2" t="s">
        <v>14456</v>
      </c>
      <c r="E18732" s="3">
        <v>6.5700000000000001E-136</v>
      </c>
      <c r="F18732" s="2">
        <v>1009</v>
      </c>
      <c r="G18732" s="2">
        <v>100</v>
      </c>
      <c r="H18732" s="2">
        <v>190</v>
      </c>
      <c r="I18732" s="2">
        <v>8</v>
      </c>
      <c r="J18732" s="2">
        <v>577</v>
      </c>
      <c r="K18732" s="2">
        <v>1</v>
      </c>
      <c r="L18732" s="2">
        <v>190</v>
      </c>
    </row>
    <row r="18733" spans="1:12" x14ac:dyDescent="0.25">
      <c r="A18733" s="4" t="str">
        <f>HYPERLINK("http://www.rosaceae.org/Prunus/Prunus_persica/p.persica_gdr_reftransV1_0044842","p.persica_gdr_reftransV1_0044842")</f>
        <v>p.persica_gdr_reftransV1_0044842</v>
      </c>
      <c r="B18733" s="2">
        <v>2157</v>
      </c>
      <c r="C18733" s="4" t="str">
        <f>HYPERLINK("http://www.uniprot.org/uniprot/M5WN24","M5WN24")</f>
        <v>M5WN24</v>
      </c>
      <c r="D18733" s="2" t="s">
        <v>14457</v>
      </c>
      <c r="E18733" s="3">
        <v>0</v>
      </c>
      <c r="F18733" s="2">
        <v>2807</v>
      </c>
      <c r="G18733" s="2">
        <v>100</v>
      </c>
      <c r="H18733" s="2">
        <v>543</v>
      </c>
      <c r="I18733" s="2">
        <v>286</v>
      </c>
      <c r="J18733" s="2">
        <v>1914</v>
      </c>
      <c r="K18733" s="2">
        <v>1</v>
      </c>
      <c r="L18733" s="2">
        <v>543</v>
      </c>
    </row>
    <row r="18734" spans="1:12" x14ac:dyDescent="0.25">
      <c r="A18734" s="4" t="str">
        <f>HYPERLINK("http://www.rosaceae.org/Prunus/Prunus_persica/p.persica_gdr_reftransV1_0045542","p.persica_gdr_reftransV1_0045542")</f>
        <v>p.persica_gdr_reftransV1_0045542</v>
      </c>
      <c r="B18734" s="2">
        <v>480</v>
      </c>
      <c r="C18734" s="4" t="str">
        <f>HYPERLINK("http://www.uniprot.org/uniprot/M5W0Q6","M5W0Q6")</f>
        <v>M5W0Q6</v>
      </c>
      <c r="D18734" s="2" t="s">
        <v>14458</v>
      </c>
      <c r="E18734" s="3">
        <v>8.4499999999999997E-70</v>
      </c>
      <c r="F18734" s="2">
        <v>557</v>
      </c>
      <c r="G18734" s="2">
        <v>100</v>
      </c>
      <c r="H18734" s="2">
        <v>106</v>
      </c>
      <c r="I18734" s="2">
        <v>161</v>
      </c>
      <c r="J18734" s="2">
        <v>478</v>
      </c>
      <c r="K18734" s="2">
        <v>1</v>
      </c>
      <c r="L18734" s="2">
        <v>106</v>
      </c>
    </row>
    <row r="18735" spans="1:12" x14ac:dyDescent="0.25">
      <c r="A18735" s="4" t="str">
        <f>HYPERLINK("http://www.rosaceae.org/Prunus/Prunus_persica/p.persica_gdr_reftransV1_0045892","p.persica_gdr_reftransV1_0045892")</f>
        <v>p.persica_gdr_reftransV1_0045892</v>
      </c>
      <c r="B18735" s="2">
        <v>383</v>
      </c>
      <c r="C18735" s="4" t="str">
        <f>HYPERLINK("http://www.uniprot.org/uniprot/M5VPJ2","M5VPJ2")</f>
        <v>M5VPJ2</v>
      </c>
      <c r="D18735" s="2" t="s">
        <v>14459</v>
      </c>
      <c r="E18735" s="3">
        <v>4.3300000000000001E-27</v>
      </c>
      <c r="F18735" s="2">
        <v>266</v>
      </c>
      <c r="G18735" s="2">
        <v>98</v>
      </c>
      <c r="H18735" s="2">
        <v>53</v>
      </c>
      <c r="I18735" s="2">
        <v>53</v>
      </c>
      <c r="J18735" s="2">
        <v>211</v>
      </c>
      <c r="K18735" s="2">
        <v>1</v>
      </c>
      <c r="L18735" s="2">
        <v>53</v>
      </c>
    </row>
    <row r="18736" spans="1:12" x14ac:dyDescent="0.25">
      <c r="A18736" s="4" t="str">
        <f>HYPERLINK("http://www.rosaceae.org/Prunus/Prunus_persica/p.persica_gdr_reftransV1_0046242","p.persica_gdr_reftransV1_0046242")</f>
        <v>p.persica_gdr_reftransV1_0046242</v>
      </c>
      <c r="B18736" s="2">
        <v>303</v>
      </c>
      <c r="C18736" s="4" t="str">
        <f>HYPERLINK("http://www.uniprot.org/uniprot/M5XEI6","M5XEI6")</f>
        <v>M5XEI6</v>
      </c>
      <c r="D18736" s="2" t="s">
        <v>13483</v>
      </c>
      <c r="E18736" s="3">
        <v>1.5100000000000001E-53</v>
      </c>
      <c r="F18736" s="2">
        <v>469</v>
      </c>
      <c r="G18736" s="2">
        <v>100</v>
      </c>
      <c r="H18736" s="2">
        <v>87</v>
      </c>
      <c r="I18736" s="2">
        <v>2</v>
      </c>
      <c r="J18736" s="2">
        <v>262</v>
      </c>
      <c r="K18736" s="2">
        <v>297</v>
      </c>
      <c r="L18736" s="2">
        <v>383</v>
      </c>
    </row>
    <row r="18737" spans="1:12" x14ac:dyDescent="0.25">
      <c r="A18737" s="4" t="str">
        <f>HYPERLINK("http://www.rosaceae.org/Prunus/Prunus_persica/p.persica_gdr_reftransV1_0046592","p.persica_gdr_reftransV1_0046592")</f>
        <v>p.persica_gdr_reftransV1_0046592</v>
      </c>
      <c r="B18737" s="2">
        <v>2224</v>
      </c>
      <c r="C18737" s="4" t="str">
        <f>HYPERLINK("http://www.uniprot.org/uniprot/M5Y2Q5","M5Y2Q5")</f>
        <v>M5Y2Q5</v>
      </c>
      <c r="D18737" s="2" t="s">
        <v>2334</v>
      </c>
      <c r="E18737" s="3">
        <v>0</v>
      </c>
      <c r="F18737" s="2">
        <v>1757</v>
      </c>
      <c r="G18737" s="2">
        <v>100</v>
      </c>
      <c r="H18737" s="2">
        <v>407</v>
      </c>
      <c r="I18737" s="2">
        <v>546</v>
      </c>
      <c r="J18737" s="2">
        <v>1766</v>
      </c>
      <c r="K18737" s="2">
        <v>178</v>
      </c>
      <c r="L18737" s="2">
        <v>584</v>
      </c>
    </row>
    <row r="18738" spans="1:12" x14ac:dyDescent="0.25">
      <c r="A18738" s="4" t="str">
        <f>HYPERLINK("http://www.rosaceae.org/Prunus/Prunus_persica/p.persica_gdr_reftransV1_0046942","p.persica_gdr_reftransV1_0046942")</f>
        <v>p.persica_gdr_reftransV1_0046942</v>
      </c>
      <c r="B18738" s="2">
        <v>895</v>
      </c>
      <c r="C18738" s="4" t="str">
        <f>HYPERLINK("http://www.uniprot.org/uniprot/M5VZ14","M5VZ14")</f>
        <v>M5VZ14</v>
      </c>
      <c r="D18738" s="2" t="s">
        <v>7374</v>
      </c>
      <c r="E18738" s="3">
        <v>4.1499999999999998E-146</v>
      </c>
      <c r="F18738" s="2">
        <v>1104</v>
      </c>
      <c r="G18738" s="2">
        <v>81</v>
      </c>
      <c r="H18738" s="2">
        <v>264</v>
      </c>
      <c r="I18738" s="2">
        <v>1</v>
      </c>
      <c r="J18738" s="2">
        <v>792</v>
      </c>
      <c r="K18738" s="2">
        <v>213</v>
      </c>
      <c r="L18738" s="2">
        <v>427</v>
      </c>
    </row>
    <row r="18739" spans="1:12" x14ac:dyDescent="0.25">
      <c r="A18739" s="4" t="str">
        <f>HYPERLINK("http://www.rosaceae.org/Prunus/Prunus_persica/p.persica_gdr_reftransV1_0047642","p.persica_gdr_reftransV1_0047642")</f>
        <v>p.persica_gdr_reftransV1_0047642</v>
      </c>
      <c r="B18739" s="2">
        <v>4106</v>
      </c>
      <c r="C18739" s="4" t="str">
        <f>HYPERLINK("http://www.uniprot.org/uniprot/M5X1Z6","M5X1Z6")</f>
        <v>M5X1Z6</v>
      </c>
      <c r="D18739" s="2" t="s">
        <v>14460</v>
      </c>
      <c r="E18739" s="3">
        <v>0</v>
      </c>
      <c r="F18739" s="2">
        <v>5381</v>
      </c>
      <c r="G18739" s="2">
        <v>100</v>
      </c>
      <c r="H18739" s="2">
        <v>1063</v>
      </c>
      <c r="I18739" s="2">
        <v>378</v>
      </c>
      <c r="J18739" s="2">
        <v>3566</v>
      </c>
      <c r="K18739" s="2">
        <v>1</v>
      </c>
      <c r="L18739" s="2">
        <v>1063</v>
      </c>
    </row>
    <row r="18740" spans="1:12" x14ac:dyDescent="0.25">
      <c r="A18740" s="4" t="str">
        <f>HYPERLINK("http://www.rosaceae.org/Prunus/Prunus_persica/p.persica_gdr_reftransV1_0047992","p.persica_gdr_reftransV1_0047992")</f>
        <v>p.persica_gdr_reftransV1_0047992</v>
      </c>
      <c r="B18740" s="2">
        <v>1384</v>
      </c>
      <c r="C18740" s="4" t="str">
        <f>HYPERLINK("http://www.uniprot.org/uniprot/M5W355","M5W355")</f>
        <v>M5W355</v>
      </c>
      <c r="D18740" s="2" t="s">
        <v>14461</v>
      </c>
      <c r="E18740" s="3">
        <v>2.72E-146</v>
      </c>
      <c r="F18740" s="2">
        <v>1104</v>
      </c>
      <c r="G18740" s="2">
        <v>100</v>
      </c>
      <c r="H18740" s="2">
        <v>242</v>
      </c>
      <c r="I18740" s="2">
        <v>95</v>
      </c>
      <c r="J18740" s="2">
        <v>820</v>
      </c>
      <c r="K18740" s="2">
        <v>1</v>
      </c>
      <c r="L18740" s="2">
        <v>242</v>
      </c>
    </row>
    <row r="18741" spans="1:12" x14ac:dyDescent="0.25">
      <c r="A18741" s="4" t="str">
        <f>HYPERLINK("http://www.rosaceae.org/Prunus/Prunus_persica/p.persica_gdr_reftransV1_0048692","p.persica_gdr_reftransV1_0048692")</f>
        <v>p.persica_gdr_reftransV1_0048692</v>
      </c>
      <c r="B18741" s="2">
        <v>623</v>
      </c>
      <c r="C18741" s="4" t="str">
        <f>HYPERLINK("http://www.uniprot.org/uniprot/M5WW25","M5WW25")</f>
        <v>M5WW25</v>
      </c>
      <c r="D18741" s="2" t="s">
        <v>170</v>
      </c>
      <c r="E18741" s="3">
        <v>2.0799999999999999E-99</v>
      </c>
      <c r="F18741" s="2">
        <v>801</v>
      </c>
      <c r="G18741" s="2">
        <v>100</v>
      </c>
      <c r="H18741" s="2">
        <v>207</v>
      </c>
      <c r="I18741" s="2">
        <v>1</v>
      </c>
      <c r="J18741" s="2">
        <v>621</v>
      </c>
      <c r="K18741" s="2">
        <v>64</v>
      </c>
      <c r="L18741" s="2">
        <v>270</v>
      </c>
    </row>
    <row r="18742" spans="1:12" x14ac:dyDescent="0.25">
      <c r="A18742" s="4" t="str">
        <f>HYPERLINK("http://www.rosaceae.org/Prunus/Prunus_persica/p.persica_gdr_reftransV1_0049042","p.persica_gdr_reftransV1_0049042")</f>
        <v>p.persica_gdr_reftransV1_0049042</v>
      </c>
      <c r="B18742" s="2">
        <v>613</v>
      </c>
      <c r="C18742" s="4" t="str">
        <f>HYPERLINK("http://www.uniprot.org/uniprot/M5XTA7","M5XTA7")</f>
        <v>M5XTA7</v>
      </c>
      <c r="D18742" s="2" t="s">
        <v>14462</v>
      </c>
      <c r="E18742" s="3">
        <v>7.8699999999999998E-116</v>
      </c>
      <c r="F18742" s="2">
        <v>868</v>
      </c>
      <c r="G18742" s="2">
        <v>100</v>
      </c>
      <c r="H18742" s="2">
        <v>164</v>
      </c>
      <c r="I18742" s="2">
        <v>45</v>
      </c>
      <c r="J18742" s="2">
        <v>536</v>
      </c>
      <c r="K18742" s="2">
        <v>1</v>
      </c>
      <c r="L18742" s="2">
        <v>164</v>
      </c>
    </row>
    <row r="18743" spans="1:12" x14ac:dyDescent="0.25">
      <c r="A18743" s="4" t="str">
        <f>HYPERLINK("http://www.rosaceae.org/Prunus/Prunus_persica/p.persica_gdr_reftransV1_0000043","p.persica_gdr_reftransV1_0000043")</f>
        <v>p.persica_gdr_reftransV1_0000043</v>
      </c>
      <c r="B18743" s="2">
        <v>2264</v>
      </c>
      <c r="C18743" s="4" t="str">
        <f>HYPERLINK("http://www.uniprot.org/uniprot/M5VMF2","M5VMF2")</f>
        <v>M5VMF2</v>
      </c>
      <c r="D18743" s="2" t="s">
        <v>14463</v>
      </c>
      <c r="E18743" s="3">
        <v>0</v>
      </c>
      <c r="F18743" s="2">
        <v>2654</v>
      </c>
      <c r="G18743" s="2">
        <v>100</v>
      </c>
      <c r="H18743" s="2">
        <v>542</v>
      </c>
      <c r="I18743" s="2">
        <v>322</v>
      </c>
      <c r="J18743" s="2">
        <v>1947</v>
      </c>
      <c r="K18743" s="2">
        <v>1</v>
      </c>
      <c r="L18743" s="2">
        <v>542</v>
      </c>
    </row>
    <row r="18744" spans="1:12" x14ac:dyDescent="0.25">
      <c r="A18744" s="4" t="str">
        <f>HYPERLINK("http://www.rosaceae.org/Prunus/Prunus_persica/p.persica_gdr_reftransV1_0000393","p.persica_gdr_reftransV1_0000393")</f>
        <v>p.persica_gdr_reftransV1_0000393</v>
      </c>
      <c r="B18744" s="2">
        <v>2333</v>
      </c>
      <c r="C18744" s="4" t="str">
        <f>HYPERLINK("http://www.uniprot.org/uniprot/M5W7C8","M5W7C8")</f>
        <v>M5W7C8</v>
      </c>
      <c r="D18744" s="2" t="s">
        <v>5258</v>
      </c>
      <c r="E18744" s="3">
        <v>0</v>
      </c>
      <c r="F18744" s="2">
        <v>2535</v>
      </c>
      <c r="G18744" s="2">
        <v>100</v>
      </c>
      <c r="H18744" s="2">
        <v>560</v>
      </c>
      <c r="I18744" s="2">
        <v>119</v>
      </c>
      <c r="J18744" s="2">
        <v>1798</v>
      </c>
      <c r="K18744" s="2">
        <v>1</v>
      </c>
      <c r="L18744" s="2">
        <v>560</v>
      </c>
    </row>
    <row r="18745" spans="1:12" x14ac:dyDescent="0.25">
      <c r="A18745" s="4" t="str">
        <f>HYPERLINK("http://www.rosaceae.org/Prunus/Prunus_persica/p.persica_gdr_reftransV1_0000743","p.persica_gdr_reftransV1_0000743")</f>
        <v>p.persica_gdr_reftransV1_0000743</v>
      </c>
      <c r="B18745" s="2">
        <v>439</v>
      </c>
      <c r="C18745" s="4" t="str">
        <f>HYPERLINK("http://www.uniprot.org/uniprot/M5XAQ3","M5XAQ3")</f>
        <v>M5XAQ3</v>
      </c>
      <c r="D18745" s="2" t="s">
        <v>2433</v>
      </c>
      <c r="E18745" s="3">
        <v>5.34E-51</v>
      </c>
      <c r="F18745" s="2">
        <v>458</v>
      </c>
      <c r="G18745" s="2">
        <v>98</v>
      </c>
      <c r="H18745" s="2">
        <v>130</v>
      </c>
      <c r="I18745" s="2">
        <v>55</v>
      </c>
      <c r="J18745" s="2">
        <v>438</v>
      </c>
      <c r="K18745" s="2">
        <v>1</v>
      </c>
      <c r="L18745" s="2">
        <v>130</v>
      </c>
    </row>
    <row r="18746" spans="1:12" x14ac:dyDescent="0.25">
      <c r="A18746" s="4" t="str">
        <f>HYPERLINK("http://www.rosaceae.org/Prunus/Prunus_persica/p.persica_gdr_reftransV1_0001443","p.persica_gdr_reftransV1_0001443")</f>
        <v>p.persica_gdr_reftransV1_0001443</v>
      </c>
      <c r="B18746" s="2">
        <v>1186</v>
      </c>
      <c r="C18746" s="4" t="str">
        <f>HYPERLINK("http://www.uniprot.org/uniprot/M5W585","M5W585")</f>
        <v>M5W585</v>
      </c>
      <c r="D18746" s="2" t="s">
        <v>13039</v>
      </c>
      <c r="E18746" s="3">
        <v>0</v>
      </c>
      <c r="F18746" s="2">
        <v>1795</v>
      </c>
      <c r="G18746" s="2">
        <v>100</v>
      </c>
      <c r="H18746" s="2">
        <v>332</v>
      </c>
      <c r="I18746" s="2">
        <v>115</v>
      </c>
      <c r="J18746" s="2">
        <v>1110</v>
      </c>
      <c r="K18746" s="2">
        <v>1</v>
      </c>
      <c r="L18746" s="2">
        <v>332</v>
      </c>
    </row>
    <row r="18747" spans="1:12" x14ac:dyDescent="0.25">
      <c r="A18747" s="4" t="str">
        <f>HYPERLINK("http://www.rosaceae.org/Prunus/Prunus_persica/p.persica_gdr_reftransV1_0001793","p.persica_gdr_reftransV1_0001793")</f>
        <v>p.persica_gdr_reftransV1_0001793</v>
      </c>
      <c r="B18747" s="2">
        <v>534</v>
      </c>
      <c r="C18747" s="4" t="str">
        <f>HYPERLINK("http://www.uniprot.org/uniprot/M5XPJ1","M5XPJ1")</f>
        <v>M5XPJ1</v>
      </c>
      <c r="D18747" s="2" t="s">
        <v>13151</v>
      </c>
      <c r="E18747" s="3">
        <v>8.7199999999999994E-114</v>
      </c>
      <c r="F18747" s="2">
        <v>865</v>
      </c>
      <c r="G18747" s="2">
        <v>98</v>
      </c>
      <c r="H18747" s="2">
        <v>174</v>
      </c>
      <c r="I18747" s="2">
        <v>3</v>
      </c>
      <c r="J18747" s="2">
        <v>524</v>
      </c>
      <c r="K18747" s="2">
        <v>8</v>
      </c>
      <c r="L18747" s="2">
        <v>181</v>
      </c>
    </row>
    <row r="18748" spans="1:12" x14ac:dyDescent="0.25">
      <c r="A18748" s="4" t="str">
        <f>HYPERLINK("http://www.rosaceae.org/Prunus/Prunus_persica/p.persica_gdr_reftransV1_0002143","p.persica_gdr_reftransV1_0002143")</f>
        <v>p.persica_gdr_reftransV1_0002143</v>
      </c>
      <c r="B18748" s="2">
        <v>310</v>
      </c>
      <c r="C18748" s="4" t="str">
        <f>HYPERLINK("http://www.uniprot.org/uniprot/M5X243","M5X243")</f>
        <v>M5X243</v>
      </c>
      <c r="D18748" s="2" t="s">
        <v>8566</v>
      </c>
      <c r="E18748" s="3">
        <v>6.0600000000000001E-46</v>
      </c>
      <c r="F18748" s="2">
        <v>417</v>
      </c>
      <c r="G18748" s="2">
        <v>100</v>
      </c>
      <c r="H18748" s="2">
        <v>101</v>
      </c>
      <c r="I18748" s="2">
        <v>6</v>
      </c>
      <c r="J18748" s="2">
        <v>308</v>
      </c>
      <c r="K18748" s="2">
        <v>1</v>
      </c>
      <c r="L18748" s="2">
        <v>101</v>
      </c>
    </row>
    <row r="18749" spans="1:12" x14ac:dyDescent="0.25">
      <c r="A18749" s="4" t="str">
        <f>HYPERLINK("http://www.rosaceae.org/Prunus/Prunus_persica/p.persica_gdr_reftransV1_0002493","p.persica_gdr_reftransV1_0002493")</f>
        <v>p.persica_gdr_reftransV1_0002493</v>
      </c>
      <c r="B18749" s="2">
        <v>704</v>
      </c>
      <c r="C18749" s="4" t="str">
        <f>HYPERLINK("http://www.uniprot.org/uniprot/M5XLA8","M5XLA8")</f>
        <v>M5XLA8</v>
      </c>
      <c r="D18749" s="2" t="s">
        <v>13373</v>
      </c>
      <c r="E18749" s="3">
        <v>5.4000000000000002E-48</v>
      </c>
      <c r="F18749" s="2">
        <v>417</v>
      </c>
      <c r="G18749" s="2">
        <v>97</v>
      </c>
      <c r="H18749" s="2">
        <v>109</v>
      </c>
      <c r="I18749" s="2">
        <v>160</v>
      </c>
      <c r="J18749" s="2">
        <v>486</v>
      </c>
      <c r="K18749" s="2">
        <v>1</v>
      </c>
      <c r="L18749" s="2">
        <v>109</v>
      </c>
    </row>
    <row r="18750" spans="1:12" x14ac:dyDescent="0.25">
      <c r="A18750" s="4" t="str">
        <f>HYPERLINK("http://www.rosaceae.org/Prunus/Prunus_persica/p.persica_gdr_reftransV1_0002843","p.persica_gdr_reftransV1_0002843")</f>
        <v>p.persica_gdr_reftransV1_0002843</v>
      </c>
      <c r="B18750" s="2">
        <v>2744</v>
      </c>
      <c r="C18750" s="4" t="str">
        <f>HYPERLINK("http://www.uniprot.org/uniprot/A0MQ94","A0MQ94")</f>
        <v>A0MQ94</v>
      </c>
      <c r="D18750" s="2" t="s">
        <v>14464</v>
      </c>
      <c r="E18750" s="3">
        <v>0</v>
      </c>
      <c r="F18750" s="2">
        <v>2680</v>
      </c>
      <c r="G18750" s="2">
        <v>83</v>
      </c>
      <c r="H18750" s="2">
        <v>618</v>
      </c>
      <c r="I18750" s="2">
        <v>536</v>
      </c>
      <c r="J18750" s="2">
        <v>2389</v>
      </c>
      <c r="K18750" s="2">
        <v>1</v>
      </c>
      <c r="L18750" s="2">
        <v>601</v>
      </c>
    </row>
    <row r="18751" spans="1:12" x14ac:dyDescent="0.25">
      <c r="A18751" s="4" t="str">
        <f>HYPERLINK("http://www.rosaceae.org/Prunus/Prunus_persica/p.persica_gdr_reftransV1_0003543","p.persica_gdr_reftransV1_0003543")</f>
        <v>p.persica_gdr_reftransV1_0003543</v>
      </c>
      <c r="B18751" s="2">
        <v>483</v>
      </c>
      <c r="C18751" s="4" t="str">
        <f>HYPERLINK("http://www.uniprot.org/uniprot/M5VTK3","M5VTK3")</f>
        <v>M5VTK3</v>
      </c>
      <c r="D18751" s="2" t="s">
        <v>14465</v>
      </c>
      <c r="E18751" s="3">
        <v>4.5000000000000001E-112</v>
      </c>
      <c r="F18751" s="2">
        <v>864</v>
      </c>
      <c r="G18751" s="2">
        <v>100</v>
      </c>
      <c r="H18751" s="2">
        <v>160</v>
      </c>
      <c r="I18751" s="2">
        <v>2</v>
      </c>
      <c r="J18751" s="2">
        <v>481</v>
      </c>
      <c r="K18751" s="2">
        <v>36</v>
      </c>
      <c r="L18751" s="2">
        <v>195</v>
      </c>
    </row>
    <row r="18752" spans="1:12" x14ac:dyDescent="0.25">
      <c r="A18752" s="4" t="str">
        <f>HYPERLINK("http://www.rosaceae.org/Prunus/Prunus_persica/p.persica_gdr_reftransV1_0003893","p.persica_gdr_reftransV1_0003893")</f>
        <v>p.persica_gdr_reftransV1_0003893</v>
      </c>
      <c r="B18752" s="2">
        <v>895</v>
      </c>
      <c r="C18752" s="4" t="str">
        <f>HYPERLINK("http://www.uniprot.org/uniprot/M5XL52","M5XL52")</f>
        <v>M5XL52</v>
      </c>
      <c r="D18752" s="2" t="s">
        <v>14466</v>
      </c>
      <c r="E18752" s="3">
        <v>2.3099999999999999E-69</v>
      </c>
      <c r="F18752" s="2">
        <v>567</v>
      </c>
      <c r="G18752" s="2">
        <v>100</v>
      </c>
      <c r="H18752" s="2">
        <v>107</v>
      </c>
      <c r="I18752" s="2">
        <v>108</v>
      </c>
      <c r="J18752" s="2">
        <v>428</v>
      </c>
      <c r="K18752" s="2">
        <v>1</v>
      </c>
      <c r="L18752" s="2">
        <v>107</v>
      </c>
    </row>
    <row r="18753" spans="1:12" x14ac:dyDescent="0.25">
      <c r="A18753" s="4" t="str">
        <f>HYPERLINK("http://www.rosaceae.org/Prunus/Prunus_persica/p.persica_gdr_reftransV1_0004243","p.persica_gdr_reftransV1_0004243")</f>
        <v>p.persica_gdr_reftransV1_0004243</v>
      </c>
      <c r="B18753" s="2">
        <v>1209</v>
      </c>
      <c r="C18753" s="4" t="str">
        <f>HYPERLINK("http://www.uniprot.org/uniprot/M5VQ93","M5VQ93")</f>
        <v>M5VQ93</v>
      </c>
      <c r="D18753" s="2" t="s">
        <v>14467</v>
      </c>
      <c r="E18753" s="3">
        <v>0</v>
      </c>
      <c r="F18753" s="2">
        <v>1724</v>
      </c>
      <c r="G18753" s="2">
        <v>100</v>
      </c>
      <c r="H18753" s="2">
        <v>324</v>
      </c>
      <c r="I18753" s="2">
        <v>50</v>
      </c>
      <c r="J18753" s="2">
        <v>1021</v>
      </c>
      <c r="K18753" s="2">
        <v>1</v>
      </c>
      <c r="L18753" s="2">
        <v>324</v>
      </c>
    </row>
    <row r="18754" spans="1:12" x14ac:dyDescent="0.25">
      <c r="A18754" s="4" t="str">
        <f>HYPERLINK("http://www.rosaceae.org/Prunus/Prunus_persica/p.persica_gdr_reftransV1_0005293","p.persica_gdr_reftransV1_0005293")</f>
        <v>p.persica_gdr_reftransV1_0005293</v>
      </c>
      <c r="B18754" s="2">
        <v>1416</v>
      </c>
      <c r="C18754" s="4" t="str">
        <f>HYPERLINK("http://www.uniprot.org/uniprot/M5WJ94","M5WJ94")</f>
        <v>M5WJ94</v>
      </c>
      <c r="D18754" s="2" t="s">
        <v>5924</v>
      </c>
      <c r="E18754" s="3">
        <v>2.4000000000000001E-117</v>
      </c>
      <c r="F18754" s="2">
        <v>889</v>
      </c>
      <c r="G18754" s="2">
        <v>100</v>
      </c>
      <c r="H18754" s="2">
        <v>166</v>
      </c>
      <c r="I18754" s="2">
        <v>470</v>
      </c>
      <c r="J18754" s="2">
        <v>967</v>
      </c>
      <c r="K18754" s="2">
        <v>119</v>
      </c>
      <c r="L18754" s="2">
        <v>284</v>
      </c>
    </row>
    <row r="18755" spans="1:12" x14ac:dyDescent="0.25">
      <c r="A18755" s="4" t="str">
        <f>HYPERLINK("http://www.rosaceae.org/Prunus/Prunus_persica/p.persica_gdr_reftransV1_0005643","p.persica_gdr_reftransV1_0005643")</f>
        <v>p.persica_gdr_reftransV1_0005643</v>
      </c>
      <c r="B18755" s="2">
        <v>461</v>
      </c>
      <c r="C18755" s="4" t="str">
        <f>HYPERLINK("http://www.uniprot.org/uniprot/M5W6I8","M5W6I8")</f>
        <v>M5W6I8</v>
      </c>
      <c r="D18755" s="2" t="s">
        <v>12060</v>
      </c>
      <c r="E18755" s="3">
        <v>3.7500000000000001E-100</v>
      </c>
      <c r="F18755" s="2">
        <v>807</v>
      </c>
      <c r="G18755" s="2">
        <v>100</v>
      </c>
      <c r="H18755" s="2">
        <v>153</v>
      </c>
      <c r="I18755" s="2">
        <v>1</v>
      </c>
      <c r="J18755" s="2">
        <v>459</v>
      </c>
      <c r="K18755" s="2">
        <v>347</v>
      </c>
      <c r="L18755" s="2">
        <v>499</v>
      </c>
    </row>
    <row r="18756" spans="1:12" x14ac:dyDescent="0.25">
      <c r="A18756" s="4" t="str">
        <f>HYPERLINK("http://www.rosaceae.org/Prunus/Prunus_persica/p.persica_gdr_reftransV1_0006343","p.persica_gdr_reftransV1_0006343")</f>
        <v>p.persica_gdr_reftransV1_0006343</v>
      </c>
      <c r="B18756" s="2">
        <v>311</v>
      </c>
      <c r="C18756" s="4" t="str">
        <f>HYPERLINK("http://www.uniprot.org/uniprot/M5X9M5","M5X9M5")</f>
        <v>M5X9M5</v>
      </c>
      <c r="D18756" s="2" t="s">
        <v>14468</v>
      </c>
      <c r="E18756" s="3">
        <v>1.3699999999999999E-53</v>
      </c>
      <c r="F18756" s="2">
        <v>457</v>
      </c>
      <c r="G18756" s="2">
        <v>86</v>
      </c>
      <c r="H18756" s="2">
        <v>103</v>
      </c>
      <c r="I18756" s="2">
        <v>2</v>
      </c>
      <c r="J18756" s="2">
        <v>310</v>
      </c>
      <c r="K18756" s="2">
        <v>186</v>
      </c>
      <c r="L18756" s="2">
        <v>288</v>
      </c>
    </row>
    <row r="18757" spans="1:12" x14ac:dyDescent="0.25">
      <c r="A18757" s="4" t="str">
        <f>HYPERLINK("http://www.rosaceae.org/Prunus/Prunus_persica/p.persica_gdr_reftransV1_0006693","p.persica_gdr_reftransV1_0006693")</f>
        <v>p.persica_gdr_reftransV1_0006693</v>
      </c>
      <c r="B18757" s="2">
        <v>2263</v>
      </c>
      <c r="C18757" s="4" t="str">
        <f>HYPERLINK("http://www.uniprot.org/uniprot/M5XVS3","M5XVS3")</f>
        <v>M5XVS3</v>
      </c>
      <c r="D18757" s="2" t="s">
        <v>14469</v>
      </c>
      <c r="E18757" s="3">
        <v>0</v>
      </c>
      <c r="F18757" s="2">
        <v>3070</v>
      </c>
      <c r="G18757" s="2">
        <v>100</v>
      </c>
      <c r="H18757" s="2">
        <v>593</v>
      </c>
      <c r="I18757" s="2">
        <v>110</v>
      </c>
      <c r="J18757" s="2">
        <v>1888</v>
      </c>
      <c r="K18757" s="2">
        <v>1</v>
      </c>
      <c r="L18757" s="2">
        <v>593</v>
      </c>
    </row>
    <row r="18758" spans="1:12" x14ac:dyDescent="0.25">
      <c r="A18758" s="4" t="str">
        <f>HYPERLINK("http://www.rosaceae.org/Prunus/Prunus_persica/p.persica_gdr_reftransV1_0007043","p.persica_gdr_reftransV1_0007043")</f>
        <v>p.persica_gdr_reftransV1_0007043</v>
      </c>
      <c r="B18758" s="2">
        <v>785</v>
      </c>
      <c r="C18758" s="4" t="str">
        <f>HYPERLINK("http://www.uniprot.org/uniprot/M5VS16","M5VS16")</f>
        <v>M5VS16</v>
      </c>
      <c r="D18758" s="2" t="s">
        <v>11209</v>
      </c>
      <c r="E18758" s="3">
        <v>3.8599999999999999E-163</v>
      </c>
      <c r="F18758" s="2">
        <v>1224</v>
      </c>
      <c r="G18758" s="2">
        <v>100</v>
      </c>
      <c r="H18758" s="2">
        <v>261</v>
      </c>
      <c r="I18758" s="2">
        <v>3</v>
      </c>
      <c r="J18758" s="2">
        <v>785</v>
      </c>
      <c r="K18758" s="2">
        <v>2</v>
      </c>
      <c r="L18758" s="2">
        <v>262</v>
      </c>
    </row>
    <row r="18759" spans="1:12" x14ac:dyDescent="0.25">
      <c r="A18759" s="4" t="str">
        <f>HYPERLINK("http://www.rosaceae.org/Prunus/Prunus_persica/p.persica_gdr_reftransV1_0008093","p.persica_gdr_reftransV1_0008093")</f>
        <v>p.persica_gdr_reftransV1_0008093</v>
      </c>
      <c r="B18759" s="2">
        <v>1870</v>
      </c>
      <c r="C18759" s="4" t="str">
        <f>HYPERLINK("http://www.uniprot.org/uniprot/M5WL19","M5WL19")</f>
        <v>M5WL19</v>
      </c>
      <c r="D18759" s="2" t="s">
        <v>14470</v>
      </c>
      <c r="E18759" s="3">
        <v>0</v>
      </c>
      <c r="F18759" s="2">
        <v>2604</v>
      </c>
      <c r="G18759" s="2">
        <v>100</v>
      </c>
      <c r="H18759" s="2">
        <v>519</v>
      </c>
      <c r="I18759" s="2">
        <v>112</v>
      </c>
      <c r="J18759" s="2">
        <v>1668</v>
      </c>
      <c r="K18759" s="2">
        <v>21</v>
      </c>
      <c r="L18759" s="2">
        <v>539</v>
      </c>
    </row>
    <row r="18760" spans="1:12" x14ac:dyDescent="0.25">
      <c r="A18760" s="4" t="str">
        <f>HYPERLINK("http://www.rosaceae.org/Prunus/Prunus_persica/p.persica_gdr_reftransV1_0008443","p.persica_gdr_reftransV1_0008443")</f>
        <v>p.persica_gdr_reftransV1_0008443</v>
      </c>
      <c r="B18760" s="2">
        <v>1885</v>
      </c>
      <c r="C18760" s="4" t="str">
        <f>HYPERLINK("http://www.uniprot.org/uniprot/M5XF70","M5XF70")</f>
        <v>M5XF70</v>
      </c>
      <c r="D18760" s="2" t="s">
        <v>5820</v>
      </c>
      <c r="E18760" s="3">
        <v>0</v>
      </c>
      <c r="F18760" s="2">
        <v>2232</v>
      </c>
      <c r="G18760" s="2">
        <v>100</v>
      </c>
      <c r="H18760" s="2">
        <v>432</v>
      </c>
      <c r="I18760" s="2">
        <v>118</v>
      </c>
      <c r="J18760" s="2">
        <v>1413</v>
      </c>
      <c r="K18760" s="2">
        <v>1</v>
      </c>
      <c r="L18760" s="2">
        <v>432</v>
      </c>
    </row>
    <row r="18761" spans="1:12" x14ac:dyDescent="0.25">
      <c r="A18761" s="4" t="str">
        <f>HYPERLINK("http://www.rosaceae.org/Prunus/Prunus_persica/p.persica_gdr_reftransV1_0009143","p.persica_gdr_reftransV1_0009143")</f>
        <v>p.persica_gdr_reftransV1_0009143</v>
      </c>
      <c r="B18761" s="2">
        <v>1783</v>
      </c>
      <c r="C18761" s="4" t="str">
        <f>HYPERLINK("http://www.uniprot.org/uniprot/M5XKS4","M5XKS4")</f>
        <v>M5XKS4</v>
      </c>
      <c r="D18761" s="2" t="s">
        <v>3203</v>
      </c>
      <c r="E18761" s="3">
        <v>0</v>
      </c>
      <c r="F18761" s="2">
        <v>2564</v>
      </c>
      <c r="G18761" s="2">
        <v>100</v>
      </c>
      <c r="H18761" s="2">
        <v>530</v>
      </c>
      <c r="I18761" s="2">
        <v>2</v>
      </c>
      <c r="J18761" s="2">
        <v>1591</v>
      </c>
      <c r="K18761" s="2">
        <v>1</v>
      </c>
      <c r="L18761" s="2">
        <v>530</v>
      </c>
    </row>
    <row r="18762" spans="1:12" x14ac:dyDescent="0.25">
      <c r="A18762" s="4" t="str">
        <f>HYPERLINK("http://www.rosaceae.org/Prunus/Prunus_persica/p.persica_gdr_reftransV1_0009493","p.persica_gdr_reftransV1_0009493")</f>
        <v>p.persica_gdr_reftransV1_0009493</v>
      </c>
      <c r="B18762" s="2">
        <v>506</v>
      </c>
      <c r="C18762" s="4" t="str">
        <f>HYPERLINK("http://www.uniprot.org/uniprot/M5X4F6","M5X4F6")</f>
        <v>M5X4F6</v>
      </c>
      <c r="D18762" s="2" t="s">
        <v>14471</v>
      </c>
      <c r="E18762" s="3">
        <v>9.6600000000000006E-68</v>
      </c>
      <c r="F18762" s="2">
        <v>549</v>
      </c>
      <c r="G18762" s="2">
        <v>100</v>
      </c>
      <c r="H18762" s="2">
        <v>103</v>
      </c>
      <c r="I18762" s="2">
        <v>103</v>
      </c>
      <c r="J18762" s="2">
        <v>411</v>
      </c>
      <c r="K18762" s="2">
        <v>18</v>
      </c>
      <c r="L18762" s="2">
        <v>120</v>
      </c>
    </row>
    <row r="18763" spans="1:12" x14ac:dyDescent="0.25">
      <c r="A18763" s="4" t="str">
        <f>HYPERLINK("http://www.rosaceae.org/Prunus/Prunus_persica/p.persica_gdr_reftransV1_0010193","p.persica_gdr_reftransV1_0010193")</f>
        <v>p.persica_gdr_reftransV1_0010193</v>
      </c>
      <c r="B18763" s="2">
        <v>2270</v>
      </c>
      <c r="C18763" s="4" t="str">
        <f>HYPERLINK("http://www.uniprot.org/uniprot/M5WCN9","M5WCN9")</f>
        <v>M5WCN9</v>
      </c>
      <c r="D18763" s="2" t="s">
        <v>14472</v>
      </c>
      <c r="E18763" s="3">
        <v>0</v>
      </c>
      <c r="F18763" s="2">
        <v>1551</v>
      </c>
      <c r="G18763" s="2">
        <v>99</v>
      </c>
      <c r="H18763" s="2">
        <v>286</v>
      </c>
      <c r="I18763" s="2">
        <v>1286</v>
      </c>
      <c r="J18763" s="2">
        <v>2143</v>
      </c>
      <c r="K18763" s="2">
        <v>1</v>
      </c>
      <c r="L18763" s="2">
        <v>286</v>
      </c>
    </row>
    <row r="18764" spans="1:12" x14ac:dyDescent="0.25">
      <c r="A18764" s="4" t="str">
        <f>HYPERLINK("http://www.rosaceae.org/Prunus/Prunus_persica/p.persica_gdr_reftransV1_0010543","p.persica_gdr_reftransV1_0010543")</f>
        <v>p.persica_gdr_reftransV1_0010543</v>
      </c>
      <c r="B18764" s="2">
        <v>4292</v>
      </c>
      <c r="C18764" s="4" t="str">
        <f>HYPERLINK("http://www.uniprot.org/uniprot/M5WMB4","M5WMB4")</f>
        <v>M5WMB4</v>
      </c>
      <c r="D18764" s="2" t="s">
        <v>14473</v>
      </c>
      <c r="E18764" s="3">
        <v>0</v>
      </c>
      <c r="F18764" s="2">
        <v>5073</v>
      </c>
      <c r="G18764" s="2">
        <v>100</v>
      </c>
      <c r="H18764" s="2">
        <v>1013</v>
      </c>
      <c r="I18764" s="2">
        <v>273</v>
      </c>
      <c r="J18764" s="2">
        <v>3311</v>
      </c>
      <c r="K18764" s="2">
        <v>1</v>
      </c>
      <c r="L18764" s="2">
        <v>1013</v>
      </c>
    </row>
    <row r="18765" spans="1:12" x14ac:dyDescent="0.25">
      <c r="A18765" s="4" t="str">
        <f>HYPERLINK("http://www.rosaceae.org/Prunus/Prunus_persica/p.persica_gdr_reftransV1_0010893","p.persica_gdr_reftransV1_0010893")</f>
        <v>p.persica_gdr_reftransV1_0010893</v>
      </c>
      <c r="B18765" s="2">
        <v>1756</v>
      </c>
      <c r="C18765" s="4" t="str">
        <f>HYPERLINK("http://www.uniprot.org/uniprot/M5W0M8","M5W0M8")</f>
        <v>M5W0M8</v>
      </c>
      <c r="D18765" s="2" t="s">
        <v>14474</v>
      </c>
      <c r="E18765" s="3">
        <v>3.0599999999999999E-128</v>
      </c>
      <c r="F18765" s="2">
        <v>990</v>
      </c>
      <c r="G18765" s="2">
        <v>100</v>
      </c>
      <c r="H18765" s="2">
        <v>186</v>
      </c>
      <c r="I18765" s="2">
        <v>728</v>
      </c>
      <c r="J18765" s="2">
        <v>1285</v>
      </c>
      <c r="K18765" s="2">
        <v>1</v>
      </c>
      <c r="L18765" s="2">
        <v>186</v>
      </c>
    </row>
    <row r="18766" spans="1:12" x14ac:dyDescent="0.25">
      <c r="A18766" s="4" t="str">
        <f>HYPERLINK("http://www.rosaceae.org/Prunus/Prunus_persica/p.persica_gdr_reftransV1_0011593","p.persica_gdr_reftransV1_0011593")</f>
        <v>p.persica_gdr_reftransV1_0011593</v>
      </c>
      <c r="B18766" s="2">
        <v>1620</v>
      </c>
      <c r="C18766" s="4" t="str">
        <f>HYPERLINK("http://www.uniprot.org/uniprot/I1J9F1","I1J9F1")</f>
        <v>I1J9F1</v>
      </c>
      <c r="D18766" s="2" t="s">
        <v>575</v>
      </c>
      <c r="E18766" s="3">
        <v>3.9599999999999998E-56</v>
      </c>
      <c r="F18766" s="2">
        <v>496</v>
      </c>
      <c r="G18766" s="2">
        <v>93</v>
      </c>
      <c r="H18766" s="2">
        <v>103</v>
      </c>
      <c r="I18766" s="2">
        <v>91</v>
      </c>
      <c r="J18766" s="2">
        <v>396</v>
      </c>
      <c r="K18766" s="2">
        <v>1</v>
      </c>
      <c r="L18766" s="2">
        <v>103</v>
      </c>
    </row>
    <row r="18767" spans="1:12" x14ac:dyDescent="0.25">
      <c r="A18767" s="4" t="str">
        <f>HYPERLINK("http://www.rosaceae.org/Prunus/Prunus_persica/p.persica_gdr_reftransV1_0011943","p.persica_gdr_reftransV1_0011943")</f>
        <v>p.persica_gdr_reftransV1_0011943</v>
      </c>
      <c r="B18767" s="2">
        <v>1124</v>
      </c>
      <c r="C18767" s="4" t="str">
        <f>HYPERLINK("http://www.uniprot.org/uniprot/M5W6B1","M5W6B1")</f>
        <v>M5W6B1</v>
      </c>
      <c r="D18767" s="2" t="s">
        <v>1680</v>
      </c>
      <c r="E18767" s="3">
        <v>0</v>
      </c>
      <c r="F18767" s="2">
        <v>1388</v>
      </c>
      <c r="G18767" s="2">
        <v>100</v>
      </c>
      <c r="H18767" s="2">
        <v>257</v>
      </c>
      <c r="I18767" s="2">
        <v>353</v>
      </c>
      <c r="J18767" s="2">
        <v>1123</v>
      </c>
      <c r="K18767" s="2">
        <v>1</v>
      </c>
      <c r="L18767" s="2">
        <v>257</v>
      </c>
    </row>
    <row r="18768" spans="1:12" x14ac:dyDescent="0.25">
      <c r="A18768" s="4" t="str">
        <f>HYPERLINK("http://www.rosaceae.org/Prunus/Prunus_persica/p.persica_gdr_reftransV1_0012293","p.persica_gdr_reftransV1_0012293")</f>
        <v>p.persica_gdr_reftransV1_0012293</v>
      </c>
      <c r="B18768" s="2">
        <v>4475</v>
      </c>
      <c r="C18768" s="4" t="str">
        <f>HYPERLINK("http://www.uniprot.org/uniprot/M5WZE9","M5WZE9")</f>
        <v>M5WZE9</v>
      </c>
      <c r="D18768" s="2" t="s">
        <v>14475</v>
      </c>
      <c r="E18768" s="3">
        <v>0</v>
      </c>
      <c r="F18768" s="2">
        <v>6568</v>
      </c>
      <c r="G18768" s="2">
        <v>100</v>
      </c>
      <c r="H18768" s="2">
        <v>1291</v>
      </c>
      <c r="I18768" s="2">
        <v>260</v>
      </c>
      <c r="J18768" s="2">
        <v>4132</v>
      </c>
      <c r="K18768" s="2">
        <v>1</v>
      </c>
      <c r="L18768" s="2">
        <v>1291</v>
      </c>
    </row>
    <row r="18769" spans="1:12" x14ac:dyDescent="0.25">
      <c r="A18769" s="4" t="str">
        <f>HYPERLINK("http://www.rosaceae.org/Prunus/Prunus_persica/p.persica_gdr_reftransV1_0012643","p.persica_gdr_reftransV1_0012643")</f>
        <v>p.persica_gdr_reftransV1_0012643</v>
      </c>
      <c r="B18769" s="2">
        <v>1662</v>
      </c>
      <c r="C18769" s="4" t="str">
        <f>HYPERLINK("http://www.uniprot.org/uniprot/M5Y8E8","M5Y8E8")</f>
        <v>M5Y8E8</v>
      </c>
      <c r="D18769" s="2" t="s">
        <v>14476</v>
      </c>
      <c r="E18769" s="3">
        <v>0</v>
      </c>
      <c r="F18769" s="2">
        <v>1549</v>
      </c>
      <c r="G18769" s="2">
        <v>96</v>
      </c>
      <c r="H18769" s="2">
        <v>335</v>
      </c>
      <c r="I18769" s="2">
        <v>184</v>
      </c>
      <c r="J18769" s="2">
        <v>1188</v>
      </c>
      <c r="K18769" s="2">
        <v>1</v>
      </c>
      <c r="L18769" s="2">
        <v>335</v>
      </c>
    </row>
    <row r="18770" spans="1:12" x14ac:dyDescent="0.25">
      <c r="A18770" s="4" t="str">
        <f>HYPERLINK("http://www.rosaceae.org/Prunus/Prunus_persica/p.persica_gdr_reftransV1_0018243","p.persica_gdr_reftransV1_0018243")</f>
        <v>p.persica_gdr_reftransV1_0018243</v>
      </c>
      <c r="B18770" s="2">
        <v>2146</v>
      </c>
      <c r="C18770" s="4" t="str">
        <f>HYPERLINK("http://www.uniprot.org/uniprot/M5WVV4","M5WVV4")</f>
        <v>M5WVV4</v>
      </c>
      <c r="D18770" s="2" t="s">
        <v>14477</v>
      </c>
      <c r="E18770" s="3">
        <v>0</v>
      </c>
      <c r="F18770" s="2">
        <v>1714</v>
      </c>
      <c r="G18770" s="2">
        <v>100</v>
      </c>
      <c r="H18770" s="2">
        <v>321</v>
      </c>
      <c r="I18770" s="2">
        <v>386</v>
      </c>
      <c r="J18770" s="2">
        <v>1348</v>
      </c>
      <c r="K18770" s="2">
        <v>1</v>
      </c>
      <c r="L18770" s="2">
        <v>321</v>
      </c>
    </row>
    <row r="18771" spans="1:12" x14ac:dyDescent="0.25">
      <c r="A18771" s="4" t="str">
        <f>HYPERLINK("http://www.rosaceae.org/Prunus/Prunus_persica/p.persica_gdr_reftransV1_0018943","p.persica_gdr_reftransV1_0018943")</f>
        <v>p.persica_gdr_reftransV1_0018943</v>
      </c>
      <c r="B18771" s="2">
        <v>1261</v>
      </c>
      <c r="C18771" s="4" t="str">
        <f>HYPERLINK("http://www.uniprot.org/uniprot/M5X6V6","M5X6V6")</f>
        <v>M5X6V6</v>
      </c>
      <c r="D18771" s="2" t="s">
        <v>4877</v>
      </c>
      <c r="E18771" s="3">
        <v>1.6899999999999999E-117</v>
      </c>
      <c r="F18771" s="2">
        <v>904</v>
      </c>
      <c r="G18771" s="2">
        <v>100</v>
      </c>
      <c r="H18771" s="2">
        <v>183</v>
      </c>
      <c r="I18771" s="2">
        <v>239</v>
      </c>
      <c r="J18771" s="2">
        <v>787</v>
      </c>
      <c r="K18771" s="2">
        <v>12</v>
      </c>
      <c r="L18771" s="2">
        <v>194</v>
      </c>
    </row>
    <row r="18772" spans="1:12" x14ac:dyDescent="0.25">
      <c r="A18772" s="4" t="str">
        <f>HYPERLINK("http://www.rosaceae.org/Prunus/Prunus_persica/p.persica_gdr_reftransV1_0019293","p.persica_gdr_reftransV1_0019293")</f>
        <v>p.persica_gdr_reftransV1_0019293</v>
      </c>
      <c r="B18772" s="2">
        <v>1778</v>
      </c>
      <c r="C18772" s="4" t="str">
        <f>HYPERLINK("http://www.uniprot.org/uniprot/M5X075","M5X075")</f>
        <v>M5X075</v>
      </c>
      <c r="D18772" s="2" t="s">
        <v>14478</v>
      </c>
      <c r="E18772" s="3">
        <v>0</v>
      </c>
      <c r="F18772" s="2">
        <v>1945</v>
      </c>
      <c r="G18772" s="2">
        <v>100</v>
      </c>
      <c r="H18772" s="2">
        <v>384</v>
      </c>
      <c r="I18772" s="2">
        <v>109</v>
      </c>
      <c r="J18772" s="2">
        <v>1260</v>
      </c>
      <c r="K18772" s="2">
        <v>1</v>
      </c>
      <c r="L18772" s="2">
        <v>384</v>
      </c>
    </row>
    <row r="18773" spans="1:12" x14ac:dyDescent="0.25">
      <c r="A18773" s="4" t="str">
        <f>HYPERLINK("http://www.rosaceae.org/Prunus/Prunus_persica/p.persica_gdr_reftransV1_0019993","p.persica_gdr_reftransV1_0019993")</f>
        <v>p.persica_gdr_reftransV1_0019993</v>
      </c>
      <c r="B18773" s="2">
        <v>6072</v>
      </c>
      <c r="C18773" s="4" t="str">
        <f>HYPERLINK("http://www.uniprot.org/uniprot/M5WXT5","M5WXT5")</f>
        <v>M5WXT5</v>
      </c>
      <c r="D18773" s="2" t="s">
        <v>14479</v>
      </c>
      <c r="E18773" s="3">
        <v>0</v>
      </c>
      <c r="F18773" s="2">
        <v>8118</v>
      </c>
      <c r="G18773" s="2">
        <v>100</v>
      </c>
      <c r="H18773" s="2">
        <v>1655</v>
      </c>
      <c r="I18773" s="2">
        <v>803</v>
      </c>
      <c r="J18773" s="2">
        <v>5767</v>
      </c>
      <c r="K18773" s="2">
        <v>1</v>
      </c>
      <c r="L18773" s="2">
        <v>1649</v>
      </c>
    </row>
    <row r="18774" spans="1:12" x14ac:dyDescent="0.25">
      <c r="A18774" s="4" t="str">
        <f>HYPERLINK("http://www.rosaceae.org/Prunus/Prunus_persica/p.persica_gdr_reftransV1_0020343","p.persica_gdr_reftransV1_0020343")</f>
        <v>p.persica_gdr_reftransV1_0020343</v>
      </c>
      <c r="B18774" s="2">
        <v>2827</v>
      </c>
      <c r="C18774" s="4" t="str">
        <f>HYPERLINK("http://www.uniprot.org/uniprot/M5WXL3","M5WXL3")</f>
        <v>M5WXL3</v>
      </c>
      <c r="D18774" s="2" t="s">
        <v>3660</v>
      </c>
      <c r="E18774" s="3">
        <v>0</v>
      </c>
      <c r="F18774" s="2">
        <v>3776</v>
      </c>
      <c r="G18774" s="2">
        <v>100</v>
      </c>
      <c r="H18774" s="2">
        <v>781</v>
      </c>
      <c r="I18774" s="2">
        <v>296</v>
      </c>
      <c r="J18774" s="2">
        <v>2638</v>
      </c>
      <c r="K18774" s="2">
        <v>1</v>
      </c>
      <c r="L18774" s="2">
        <v>781</v>
      </c>
    </row>
    <row r="18775" spans="1:12" x14ac:dyDescent="0.25">
      <c r="A18775" s="4" t="str">
        <f>HYPERLINK("http://www.rosaceae.org/Prunus/Prunus_persica/p.persica_gdr_reftransV1_0021043","p.persica_gdr_reftransV1_0021043")</f>
        <v>p.persica_gdr_reftransV1_0021043</v>
      </c>
      <c r="B18775" s="2">
        <v>2135</v>
      </c>
      <c r="C18775" s="4" t="str">
        <f>HYPERLINK("http://www.uniprot.org/uniprot/M5WWX2","M5WWX2")</f>
        <v>M5WWX2</v>
      </c>
      <c r="D18775" s="2" t="s">
        <v>319</v>
      </c>
      <c r="E18775" s="3">
        <v>0</v>
      </c>
      <c r="F18775" s="2">
        <v>1446</v>
      </c>
      <c r="G18775" s="2">
        <v>89</v>
      </c>
      <c r="H18775" s="2">
        <v>351</v>
      </c>
      <c r="I18775" s="2">
        <v>1</v>
      </c>
      <c r="J18775" s="2">
        <v>1053</v>
      </c>
      <c r="K18775" s="2">
        <v>333</v>
      </c>
      <c r="L18775" s="2">
        <v>652</v>
      </c>
    </row>
    <row r="18776" spans="1:12" x14ac:dyDescent="0.25">
      <c r="A18776" s="4" t="str">
        <f>HYPERLINK("http://www.rosaceae.org/Prunus/Prunus_persica/p.persica_gdr_reftransV1_0023143","p.persica_gdr_reftransV1_0023143")</f>
        <v>p.persica_gdr_reftransV1_0023143</v>
      </c>
      <c r="B18776" s="2">
        <v>1545</v>
      </c>
      <c r="C18776" s="4" t="str">
        <f>HYPERLINK("http://www.uniprot.org/uniprot/M5VP97","M5VP97")</f>
        <v>M5VP97</v>
      </c>
      <c r="D18776" s="2" t="s">
        <v>14480</v>
      </c>
      <c r="E18776" s="3">
        <v>0</v>
      </c>
      <c r="F18776" s="2">
        <v>1485</v>
      </c>
      <c r="G18776" s="2">
        <v>100</v>
      </c>
      <c r="H18776" s="2">
        <v>281</v>
      </c>
      <c r="I18776" s="2">
        <v>67</v>
      </c>
      <c r="J18776" s="2">
        <v>909</v>
      </c>
      <c r="K18776" s="2">
        <v>1</v>
      </c>
      <c r="L18776" s="2">
        <v>281</v>
      </c>
    </row>
    <row r="18777" spans="1:12" x14ac:dyDescent="0.25">
      <c r="A18777" s="4" t="str">
        <f>HYPERLINK("http://www.rosaceae.org/Prunus/Prunus_persica/p.persica_gdr_reftransV1_0024193","p.persica_gdr_reftransV1_0024193")</f>
        <v>p.persica_gdr_reftransV1_0024193</v>
      </c>
      <c r="B18777" s="2">
        <v>1627</v>
      </c>
      <c r="C18777" s="4" t="str">
        <f>HYPERLINK("http://www.uniprot.org/uniprot/M5VZH6","M5VZH6")</f>
        <v>M5VZH6</v>
      </c>
      <c r="D18777" s="2" t="s">
        <v>14481</v>
      </c>
      <c r="E18777" s="3">
        <v>0</v>
      </c>
      <c r="F18777" s="2">
        <v>2118</v>
      </c>
      <c r="G18777" s="2">
        <v>100</v>
      </c>
      <c r="H18777" s="2">
        <v>395</v>
      </c>
      <c r="I18777" s="2">
        <v>232</v>
      </c>
      <c r="J18777" s="2">
        <v>1416</v>
      </c>
      <c r="K18777" s="2">
        <v>1</v>
      </c>
      <c r="L18777" s="2">
        <v>395</v>
      </c>
    </row>
    <row r="18778" spans="1:12" x14ac:dyDescent="0.25">
      <c r="A18778" s="4" t="str">
        <f>HYPERLINK("http://www.rosaceae.org/Prunus/Prunus_persica/p.persica_gdr_reftransV1_0026643","p.persica_gdr_reftransV1_0026643")</f>
        <v>p.persica_gdr_reftransV1_0026643</v>
      </c>
      <c r="B18778" s="2">
        <v>1786</v>
      </c>
      <c r="C18778" s="4" t="str">
        <f>HYPERLINK("http://www.uniprot.org/uniprot/M5VU44","M5VU44")</f>
        <v>M5VU44</v>
      </c>
      <c r="D18778" s="2" t="s">
        <v>14482</v>
      </c>
      <c r="E18778" s="3">
        <v>0</v>
      </c>
      <c r="F18778" s="2">
        <v>1751</v>
      </c>
      <c r="G18778" s="2">
        <v>100</v>
      </c>
      <c r="H18778" s="2">
        <v>363</v>
      </c>
      <c r="I18778" s="2">
        <v>170</v>
      </c>
      <c r="J18778" s="2">
        <v>1258</v>
      </c>
      <c r="K18778" s="2">
        <v>115</v>
      </c>
      <c r="L18778" s="2">
        <v>477</v>
      </c>
    </row>
    <row r="18779" spans="1:12" x14ac:dyDescent="0.25">
      <c r="A18779" s="4" t="str">
        <f>HYPERLINK("http://www.rosaceae.org/Prunus/Prunus_persica/p.persica_gdr_reftransV1_0026993","p.persica_gdr_reftransV1_0026993")</f>
        <v>p.persica_gdr_reftransV1_0026993</v>
      </c>
      <c r="B18779" s="2">
        <v>1309</v>
      </c>
      <c r="C18779" s="4" t="str">
        <f>HYPERLINK("http://www.uniprot.org/uniprot/M5XE34","M5XE34")</f>
        <v>M5XE34</v>
      </c>
      <c r="D18779" s="2" t="s">
        <v>14483</v>
      </c>
      <c r="E18779" s="3">
        <v>1.04E-165</v>
      </c>
      <c r="F18779" s="2">
        <v>1236</v>
      </c>
      <c r="G18779" s="2">
        <v>100</v>
      </c>
      <c r="H18779" s="2">
        <v>305</v>
      </c>
      <c r="I18779" s="2">
        <v>305</v>
      </c>
      <c r="J18779" s="2">
        <v>1219</v>
      </c>
      <c r="K18779" s="2">
        <v>1</v>
      </c>
      <c r="L18779" s="2">
        <v>305</v>
      </c>
    </row>
    <row r="18780" spans="1:12" x14ac:dyDescent="0.25">
      <c r="A18780" s="4" t="str">
        <f>HYPERLINK("http://www.rosaceae.org/Prunus/Prunus_persica/p.persica_gdr_reftransV1_0029443","p.persica_gdr_reftransV1_0029443")</f>
        <v>p.persica_gdr_reftransV1_0029443</v>
      </c>
      <c r="B18780" s="2">
        <v>1785</v>
      </c>
      <c r="C18780" s="4" t="str">
        <f>HYPERLINK("http://www.uniprot.org/uniprot/M5XJZ6","M5XJZ6")</f>
        <v>M5XJZ6</v>
      </c>
      <c r="D18780" s="2" t="s">
        <v>14484</v>
      </c>
      <c r="E18780" s="3">
        <v>0</v>
      </c>
      <c r="F18780" s="2">
        <v>2418</v>
      </c>
      <c r="G18780" s="2">
        <v>99</v>
      </c>
      <c r="H18780" s="2">
        <v>450</v>
      </c>
      <c r="I18780" s="2">
        <v>2</v>
      </c>
      <c r="J18780" s="2">
        <v>1351</v>
      </c>
      <c r="K18780" s="2">
        <v>109</v>
      </c>
      <c r="L18780" s="2">
        <v>558</v>
      </c>
    </row>
    <row r="18781" spans="1:12" x14ac:dyDescent="0.25">
      <c r="A18781" s="4" t="str">
        <f>HYPERLINK("http://www.rosaceae.org/Prunus/Prunus_persica/p.persica_gdr_reftransV1_0030493","p.persica_gdr_reftransV1_0030493")</f>
        <v>p.persica_gdr_reftransV1_0030493</v>
      </c>
      <c r="B18781" s="2">
        <v>760</v>
      </c>
      <c r="C18781" s="4" t="str">
        <f>HYPERLINK("http://www.uniprot.org/uniprot/M5VU20","M5VU20")</f>
        <v>M5VU20</v>
      </c>
      <c r="D18781" s="2" t="s">
        <v>3700</v>
      </c>
      <c r="E18781" s="3">
        <v>2.3400000000000002E-112</v>
      </c>
      <c r="F18781" s="2">
        <v>862</v>
      </c>
      <c r="G18781" s="2">
        <v>100</v>
      </c>
      <c r="H18781" s="2">
        <v>169</v>
      </c>
      <c r="I18781" s="2">
        <v>3</v>
      </c>
      <c r="J18781" s="2">
        <v>509</v>
      </c>
      <c r="K18781" s="2">
        <v>113</v>
      </c>
      <c r="L18781" s="2">
        <v>281</v>
      </c>
    </row>
    <row r="18782" spans="1:12" x14ac:dyDescent="0.25">
      <c r="A18782" s="4" t="str">
        <f>HYPERLINK("http://www.rosaceae.org/Prunus/Prunus_persica/p.persica_gdr_reftransV1_0034343","p.persica_gdr_reftransV1_0034343")</f>
        <v>p.persica_gdr_reftransV1_0034343</v>
      </c>
      <c r="B18782" s="2">
        <v>1878</v>
      </c>
      <c r="C18782" s="4" t="str">
        <f>HYPERLINK("http://www.uniprot.org/uniprot/M5VL47","M5VL47")</f>
        <v>M5VL47</v>
      </c>
      <c r="D18782" s="2" t="s">
        <v>14485</v>
      </c>
      <c r="E18782" s="3">
        <v>3.64E-99</v>
      </c>
      <c r="F18782" s="2">
        <v>805</v>
      </c>
      <c r="G18782" s="2">
        <v>89</v>
      </c>
      <c r="H18782" s="2">
        <v>172</v>
      </c>
      <c r="I18782" s="2">
        <v>927</v>
      </c>
      <c r="J18782" s="2">
        <v>1442</v>
      </c>
      <c r="K18782" s="2">
        <v>74</v>
      </c>
      <c r="L18782" s="2">
        <v>244</v>
      </c>
    </row>
    <row r="18783" spans="1:12" x14ac:dyDescent="0.25">
      <c r="A18783" s="4" t="str">
        <f>HYPERLINK("http://www.rosaceae.org/Prunus/Prunus_persica/p.persica_gdr_reftransV1_0035043","p.persica_gdr_reftransV1_0035043")</f>
        <v>p.persica_gdr_reftransV1_0035043</v>
      </c>
      <c r="B18783" s="2">
        <v>522</v>
      </c>
      <c r="C18783" s="4" t="str">
        <f>HYPERLINK("http://www.uniprot.org/uniprot/M5W811","M5W811")</f>
        <v>M5W811</v>
      </c>
      <c r="D18783" s="2" t="s">
        <v>14486</v>
      </c>
      <c r="E18783" s="3">
        <v>1.61E-112</v>
      </c>
      <c r="F18783" s="2">
        <v>870</v>
      </c>
      <c r="G18783" s="2">
        <v>100</v>
      </c>
      <c r="H18783" s="2">
        <v>173</v>
      </c>
      <c r="I18783" s="2">
        <v>3</v>
      </c>
      <c r="J18783" s="2">
        <v>521</v>
      </c>
      <c r="K18783" s="2">
        <v>177</v>
      </c>
      <c r="L18783" s="2">
        <v>349</v>
      </c>
    </row>
    <row r="18784" spans="1:12" x14ac:dyDescent="0.25">
      <c r="A18784" s="4" t="str">
        <f>HYPERLINK("http://www.rosaceae.org/Prunus/Prunus_persica/p.persica_gdr_reftransV1_0037143","p.persica_gdr_reftransV1_0037143")</f>
        <v>p.persica_gdr_reftransV1_0037143</v>
      </c>
      <c r="B18784" s="2">
        <v>2483</v>
      </c>
      <c r="C18784" s="4" t="str">
        <f>HYPERLINK("http://www.uniprot.org/uniprot/M5XLB7","M5XLB7")</f>
        <v>M5XLB7</v>
      </c>
      <c r="D18784" s="2" t="s">
        <v>14487</v>
      </c>
      <c r="E18784" s="3">
        <v>0</v>
      </c>
      <c r="F18784" s="2">
        <v>2697</v>
      </c>
      <c r="G18784" s="2">
        <v>99</v>
      </c>
      <c r="H18784" s="2">
        <v>547</v>
      </c>
      <c r="I18784" s="2">
        <v>425</v>
      </c>
      <c r="J18784" s="2">
        <v>2050</v>
      </c>
      <c r="K18784" s="2">
        <v>69</v>
      </c>
      <c r="L18784" s="2">
        <v>615</v>
      </c>
    </row>
    <row r="18785" spans="1:12" x14ac:dyDescent="0.25">
      <c r="A18785" s="4" t="str">
        <f>HYPERLINK("http://www.rosaceae.org/Prunus/Prunus_persica/p.persica_gdr_reftransV1_0039593","p.persica_gdr_reftransV1_0039593")</f>
        <v>p.persica_gdr_reftransV1_0039593</v>
      </c>
      <c r="B18785" s="2">
        <v>1194</v>
      </c>
      <c r="C18785" s="4" t="str">
        <f>HYPERLINK("http://www.uniprot.org/uniprot/M5XL67","M5XL67")</f>
        <v>M5XL67</v>
      </c>
      <c r="D18785" s="2" t="s">
        <v>14488</v>
      </c>
      <c r="E18785" s="3">
        <v>1.06E-153</v>
      </c>
      <c r="F18785" s="2">
        <v>1176</v>
      </c>
      <c r="G18785" s="2">
        <v>100</v>
      </c>
      <c r="H18785" s="2">
        <v>263</v>
      </c>
      <c r="I18785" s="2">
        <v>80</v>
      </c>
      <c r="J18785" s="2">
        <v>868</v>
      </c>
      <c r="K18785" s="2">
        <v>1</v>
      </c>
      <c r="L18785" s="2">
        <v>263</v>
      </c>
    </row>
    <row r="18786" spans="1:12" x14ac:dyDescent="0.25">
      <c r="A18786" s="4" t="str">
        <f>HYPERLINK("http://www.rosaceae.org/Prunus/Prunus_persica/p.persica_gdr_reftransV1_0040993","p.persica_gdr_reftransV1_0040993")</f>
        <v>p.persica_gdr_reftransV1_0040993</v>
      </c>
      <c r="B18786" s="2">
        <v>1924</v>
      </c>
      <c r="C18786" s="4" t="str">
        <f>HYPERLINK("http://www.uniprot.org/uniprot/M5VQU1","M5VQU1")</f>
        <v>M5VQU1</v>
      </c>
      <c r="D18786" s="2" t="s">
        <v>14489</v>
      </c>
      <c r="E18786" s="3">
        <v>0</v>
      </c>
      <c r="F18786" s="2">
        <v>2065</v>
      </c>
      <c r="G18786" s="2">
        <v>99</v>
      </c>
      <c r="H18786" s="2">
        <v>422</v>
      </c>
      <c r="I18786" s="2">
        <v>152</v>
      </c>
      <c r="J18786" s="2">
        <v>1417</v>
      </c>
      <c r="K18786" s="2">
        <v>1</v>
      </c>
      <c r="L18786" s="2">
        <v>417</v>
      </c>
    </row>
    <row r="18787" spans="1:12" x14ac:dyDescent="0.25">
      <c r="A18787" s="4" t="str">
        <f>HYPERLINK("http://www.rosaceae.org/Prunus/Prunus_persica/p.persica_gdr_reftransV1_0043093","p.persica_gdr_reftransV1_0043093")</f>
        <v>p.persica_gdr_reftransV1_0043093</v>
      </c>
      <c r="B18787" s="2">
        <v>1198</v>
      </c>
      <c r="C18787" s="4" t="str">
        <f>HYPERLINK("http://www.uniprot.org/uniprot/M5W4R7","M5W4R7")</f>
        <v>M5W4R7</v>
      </c>
      <c r="D18787" s="2" t="s">
        <v>14490</v>
      </c>
      <c r="E18787" s="3">
        <v>0</v>
      </c>
      <c r="F18787" s="2">
        <v>1604</v>
      </c>
      <c r="G18787" s="2">
        <v>100</v>
      </c>
      <c r="H18787" s="2">
        <v>319</v>
      </c>
      <c r="I18787" s="2">
        <v>101</v>
      </c>
      <c r="J18787" s="2">
        <v>1057</v>
      </c>
      <c r="K18787" s="2">
        <v>1</v>
      </c>
      <c r="L18787" s="2">
        <v>319</v>
      </c>
    </row>
    <row r="18788" spans="1:12" x14ac:dyDescent="0.25">
      <c r="A18788" s="4" t="str">
        <f>HYPERLINK("http://www.rosaceae.org/Prunus/Prunus_persica/p.persica_gdr_reftransV1_0043443","p.persica_gdr_reftransV1_0043443")</f>
        <v>p.persica_gdr_reftransV1_0043443</v>
      </c>
      <c r="B18788" s="2">
        <v>687</v>
      </c>
      <c r="C18788" s="4" t="str">
        <f>HYPERLINK("http://www.uniprot.org/uniprot/M5X5Z4","M5X5Z4")</f>
        <v>M5X5Z4</v>
      </c>
      <c r="D18788" s="2" t="s">
        <v>12988</v>
      </c>
      <c r="E18788" s="3">
        <v>1.12E-112</v>
      </c>
      <c r="F18788" s="2">
        <v>900</v>
      </c>
      <c r="G18788" s="2">
        <v>99</v>
      </c>
      <c r="H18788" s="2">
        <v>168</v>
      </c>
      <c r="I18788" s="2">
        <v>183</v>
      </c>
      <c r="J18788" s="2">
        <v>686</v>
      </c>
      <c r="K18788" s="2">
        <v>5</v>
      </c>
      <c r="L18788" s="2">
        <v>172</v>
      </c>
    </row>
    <row r="18789" spans="1:12" x14ac:dyDescent="0.25">
      <c r="A18789" s="4" t="str">
        <f>HYPERLINK("http://www.rosaceae.org/Prunus/Prunus_persica/p.persica_gdr_reftransV1_0043793","p.persica_gdr_reftransV1_0043793")</f>
        <v>p.persica_gdr_reftransV1_0043793</v>
      </c>
      <c r="B18789" s="2">
        <v>1674</v>
      </c>
      <c r="C18789" s="4" t="str">
        <f>HYPERLINK("http://www.uniprot.org/uniprot/M5XZ34","M5XZ34")</f>
        <v>M5XZ34</v>
      </c>
      <c r="D18789" s="2" t="s">
        <v>14491</v>
      </c>
      <c r="E18789" s="3">
        <v>4.54E-32</v>
      </c>
      <c r="F18789" s="2">
        <v>323</v>
      </c>
      <c r="G18789" s="2">
        <v>96</v>
      </c>
      <c r="H18789" s="2">
        <v>96</v>
      </c>
      <c r="I18789" s="2">
        <v>1114</v>
      </c>
      <c r="J18789" s="2">
        <v>1401</v>
      </c>
      <c r="K18789" s="2">
        <v>8</v>
      </c>
      <c r="L18789" s="2">
        <v>103</v>
      </c>
    </row>
    <row r="18790" spans="1:12" x14ac:dyDescent="0.25">
      <c r="A18790" s="4" t="str">
        <f>HYPERLINK("http://www.rosaceae.org/Prunus/Prunus_persica/p.persica_gdr_reftransV1_0044143","p.persica_gdr_reftransV1_0044143")</f>
        <v>p.persica_gdr_reftransV1_0044143</v>
      </c>
      <c r="B18790" s="2">
        <v>414</v>
      </c>
      <c r="C18790" s="4" t="str">
        <f>HYPERLINK("http://www.uniprot.org/uniprot/M5WUV9","M5WUV9")</f>
        <v>M5WUV9</v>
      </c>
      <c r="D18790" s="2" t="s">
        <v>12957</v>
      </c>
      <c r="E18790" s="3">
        <v>8.5799999999999996E-47</v>
      </c>
      <c r="F18790" s="2">
        <v>403</v>
      </c>
      <c r="G18790" s="2">
        <v>100</v>
      </c>
      <c r="H18790" s="2">
        <v>87</v>
      </c>
      <c r="I18790" s="2">
        <v>69</v>
      </c>
      <c r="J18790" s="2">
        <v>329</v>
      </c>
      <c r="K18790" s="2">
        <v>1</v>
      </c>
      <c r="L18790" s="2">
        <v>87</v>
      </c>
    </row>
    <row r="18791" spans="1:12" x14ac:dyDescent="0.25">
      <c r="A18791" s="4" t="str">
        <f>HYPERLINK("http://www.rosaceae.org/Prunus/Prunus_persica/p.persica_gdr_reftransV1_0044493","p.persica_gdr_reftransV1_0044493")</f>
        <v>p.persica_gdr_reftransV1_0044493</v>
      </c>
      <c r="B18791" s="2">
        <v>542</v>
      </c>
      <c r="C18791" s="4" t="str">
        <f>HYPERLINK("http://www.uniprot.org/uniprot/M5X0T9","M5X0T9")</f>
        <v>M5X0T9</v>
      </c>
      <c r="D18791" s="2" t="s">
        <v>8845</v>
      </c>
      <c r="E18791" s="3">
        <v>2.22E-91</v>
      </c>
      <c r="F18791" s="2">
        <v>705</v>
      </c>
      <c r="G18791" s="2">
        <v>99</v>
      </c>
      <c r="H18791" s="2">
        <v>135</v>
      </c>
      <c r="I18791" s="2">
        <v>95</v>
      </c>
      <c r="J18791" s="2">
        <v>499</v>
      </c>
      <c r="K18791" s="2">
        <v>36</v>
      </c>
      <c r="L18791" s="2">
        <v>170</v>
      </c>
    </row>
    <row r="18792" spans="1:12" x14ac:dyDescent="0.25">
      <c r="A18792" s="4" t="str">
        <f>HYPERLINK("http://www.rosaceae.org/Prunus/Prunus_persica/p.persica_gdr_reftransV1_0044843","p.persica_gdr_reftransV1_0044843")</f>
        <v>p.persica_gdr_reftransV1_0044843</v>
      </c>
      <c r="B18792" s="2">
        <v>603</v>
      </c>
      <c r="C18792" s="4" t="str">
        <f>HYPERLINK("http://www.uniprot.org/uniprot/M5XCM5","M5XCM5")</f>
        <v>M5XCM5</v>
      </c>
      <c r="D18792" s="2" t="s">
        <v>14492</v>
      </c>
      <c r="E18792" s="3">
        <v>1.18E-63</v>
      </c>
      <c r="F18792" s="2">
        <v>552</v>
      </c>
      <c r="G18792" s="2">
        <v>100</v>
      </c>
      <c r="H18792" s="2">
        <v>103</v>
      </c>
      <c r="I18792" s="2">
        <v>295</v>
      </c>
      <c r="J18792" s="2">
        <v>603</v>
      </c>
      <c r="K18792" s="2">
        <v>1</v>
      </c>
      <c r="L18792" s="2">
        <v>103</v>
      </c>
    </row>
    <row r="18793" spans="1:12" x14ac:dyDescent="0.25">
      <c r="A18793" s="4" t="str">
        <f>HYPERLINK("http://www.rosaceae.org/Prunus/Prunus_persica/p.persica_gdr_reftransV1_0045193","p.persica_gdr_reftransV1_0045193")</f>
        <v>p.persica_gdr_reftransV1_0045193</v>
      </c>
      <c r="B18793" s="2">
        <v>883</v>
      </c>
      <c r="C18793" s="4" t="str">
        <f>HYPERLINK("http://www.uniprot.org/uniprot/M5VRH4","M5VRH4")</f>
        <v>M5VRH4</v>
      </c>
      <c r="D18793" s="2" t="s">
        <v>4142</v>
      </c>
      <c r="E18793" s="3">
        <v>9.8000000000000006E-73</v>
      </c>
      <c r="F18793" s="2">
        <v>589</v>
      </c>
      <c r="G18793" s="2">
        <v>100</v>
      </c>
      <c r="H18793" s="2">
        <v>128</v>
      </c>
      <c r="I18793" s="2">
        <v>165</v>
      </c>
      <c r="J18793" s="2">
        <v>548</v>
      </c>
      <c r="K18793" s="2">
        <v>1</v>
      </c>
      <c r="L18793" s="2">
        <v>128</v>
      </c>
    </row>
    <row r="18794" spans="1:12" x14ac:dyDescent="0.25">
      <c r="A18794" s="4" t="str">
        <f>HYPERLINK("http://www.rosaceae.org/Prunus/Prunus_persica/p.persica_gdr_reftransV1_0045543","p.persica_gdr_reftransV1_0045543")</f>
        <v>p.persica_gdr_reftransV1_0045543</v>
      </c>
      <c r="B18794" s="2">
        <v>1017</v>
      </c>
      <c r="C18794" s="4" t="str">
        <f>HYPERLINK("http://www.uniprot.org/uniprot/M5W9T7","M5W9T7")</f>
        <v>M5W9T7</v>
      </c>
      <c r="D18794" s="2" t="s">
        <v>1336</v>
      </c>
      <c r="E18794" s="3">
        <v>0</v>
      </c>
      <c r="F18794" s="2">
        <v>1355</v>
      </c>
      <c r="G18794" s="2">
        <v>100</v>
      </c>
      <c r="H18794" s="2">
        <v>252</v>
      </c>
      <c r="I18794" s="2">
        <v>260</v>
      </c>
      <c r="J18794" s="2">
        <v>1015</v>
      </c>
      <c r="K18794" s="2">
        <v>30</v>
      </c>
      <c r="L18794" s="2">
        <v>281</v>
      </c>
    </row>
    <row r="18795" spans="1:12" x14ac:dyDescent="0.25">
      <c r="A18795" s="4" t="str">
        <f>HYPERLINK("http://www.rosaceae.org/Prunus/Prunus_persica/p.persica_gdr_reftransV1_0045893","p.persica_gdr_reftransV1_0045893")</f>
        <v>p.persica_gdr_reftransV1_0045893</v>
      </c>
      <c r="B18795" s="2">
        <v>1998</v>
      </c>
      <c r="C18795" s="4" t="str">
        <f>HYPERLINK("http://www.uniprot.org/uniprot/M5W751","M5W751")</f>
        <v>M5W751</v>
      </c>
      <c r="D18795" s="2" t="s">
        <v>3289</v>
      </c>
      <c r="E18795" s="3">
        <v>0</v>
      </c>
      <c r="F18795" s="2">
        <v>2324</v>
      </c>
      <c r="G18795" s="2">
        <v>99</v>
      </c>
      <c r="H18795" s="2">
        <v>497</v>
      </c>
      <c r="I18795" s="2">
        <v>247</v>
      </c>
      <c r="J18795" s="2">
        <v>1737</v>
      </c>
      <c r="K18795" s="2">
        <v>159</v>
      </c>
      <c r="L18795" s="2">
        <v>652</v>
      </c>
    </row>
    <row r="18796" spans="1:12" x14ac:dyDescent="0.25">
      <c r="A18796" s="4" t="str">
        <f>HYPERLINK("http://www.rosaceae.org/Prunus/Prunus_persica/p.persica_gdr_reftransV1_0046243","p.persica_gdr_reftransV1_0046243")</f>
        <v>p.persica_gdr_reftransV1_0046243</v>
      </c>
      <c r="B18796" s="2">
        <v>383</v>
      </c>
      <c r="C18796" s="4" t="str">
        <f>HYPERLINK("http://www.uniprot.org/uniprot/M5W3U5","M5W3U5")</f>
        <v>M5W3U5</v>
      </c>
      <c r="D18796" s="2" t="s">
        <v>2233</v>
      </c>
      <c r="E18796" s="3">
        <v>8.1700000000000003E-72</v>
      </c>
      <c r="F18796" s="2">
        <v>615</v>
      </c>
      <c r="G18796" s="2">
        <v>100</v>
      </c>
      <c r="H18796" s="2">
        <v>111</v>
      </c>
      <c r="I18796" s="2">
        <v>49</v>
      </c>
      <c r="J18796" s="2">
        <v>381</v>
      </c>
      <c r="K18796" s="2">
        <v>725</v>
      </c>
      <c r="L18796" s="2">
        <v>835</v>
      </c>
    </row>
    <row r="18797" spans="1:12" x14ac:dyDescent="0.25">
      <c r="A18797" s="4" t="str">
        <f>HYPERLINK("http://www.rosaceae.org/Prunus/Prunus_persica/p.persica_gdr_reftransV1_0046593","p.persica_gdr_reftransV1_0046593")</f>
        <v>p.persica_gdr_reftransV1_0046593</v>
      </c>
      <c r="B18797" s="2">
        <v>1382</v>
      </c>
      <c r="C18797" s="4" t="str">
        <f>HYPERLINK("http://www.uniprot.org/uniprot/M5W7B9","M5W7B9")</f>
        <v>M5W7B9</v>
      </c>
      <c r="D18797" s="2" t="s">
        <v>14493</v>
      </c>
      <c r="E18797" s="3">
        <v>0</v>
      </c>
      <c r="F18797" s="2">
        <v>1874</v>
      </c>
      <c r="G18797" s="2">
        <v>99</v>
      </c>
      <c r="H18797" s="2">
        <v>355</v>
      </c>
      <c r="I18797" s="2">
        <v>231</v>
      </c>
      <c r="J18797" s="2">
        <v>1295</v>
      </c>
      <c r="K18797" s="2">
        <v>23</v>
      </c>
      <c r="L18797" s="2">
        <v>377</v>
      </c>
    </row>
    <row r="18798" spans="1:12" x14ac:dyDescent="0.25">
      <c r="A18798" s="4" t="str">
        <f>HYPERLINK("http://www.rosaceae.org/Prunus/Prunus_persica/p.persica_gdr_reftransV1_0046943","p.persica_gdr_reftransV1_0046943")</f>
        <v>p.persica_gdr_reftransV1_0046943</v>
      </c>
      <c r="B18798" s="2">
        <v>1222</v>
      </c>
      <c r="C18798" s="4" t="str">
        <f>HYPERLINK("http://www.uniprot.org/uniprot/M5VLS0","M5VLS0")</f>
        <v>M5VLS0</v>
      </c>
      <c r="D18798" s="2" t="s">
        <v>14494</v>
      </c>
      <c r="E18798" s="3">
        <v>0</v>
      </c>
      <c r="F18798" s="2">
        <v>1572</v>
      </c>
      <c r="G18798" s="2">
        <v>96</v>
      </c>
      <c r="H18798" s="2">
        <v>310</v>
      </c>
      <c r="I18798" s="2">
        <v>243</v>
      </c>
      <c r="J18798" s="2">
        <v>1136</v>
      </c>
      <c r="K18798" s="2">
        <v>1</v>
      </c>
      <c r="L18798" s="2">
        <v>310</v>
      </c>
    </row>
    <row r="18799" spans="1:12" x14ac:dyDescent="0.25">
      <c r="A18799" s="4" t="str">
        <f>HYPERLINK("http://www.rosaceae.org/Prunus/Prunus_persica/p.persica_gdr_reftransV1_0047293","p.persica_gdr_reftransV1_0047293")</f>
        <v>p.persica_gdr_reftransV1_0047293</v>
      </c>
      <c r="B18799" s="2">
        <v>1461</v>
      </c>
      <c r="C18799" s="4" t="str">
        <f>HYPERLINK("http://www.uniprot.org/uniprot/M5VH66","M5VH66")</f>
        <v>M5VH66</v>
      </c>
      <c r="D18799" s="2" t="s">
        <v>14495</v>
      </c>
      <c r="E18799" s="3">
        <v>0</v>
      </c>
      <c r="F18799" s="2">
        <v>1626</v>
      </c>
      <c r="G18799" s="2">
        <v>97</v>
      </c>
      <c r="H18799" s="2">
        <v>316</v>
      </c>
      <c r="I18799" s="2">
        <v>139</v>
      </c>
      <c r="J18799" s="2">
        <v>1086</v>
      </c>
      <c r="K18799" s="2">
        <v>1</v>
      </c>
      <c r="L18799" s="2">
        <v>316</v>
      </c>
    </row>
    <row r="18800" spans="1:12" x14ac:dyDescent="0.25">
      <c r="A18800" s="4" t="str">
        <f>HYPERLINK("http://www.rosaceae.org/Prunus/Prunus_persica/p.persica_gdr_reftransV1_0047643","p.persica_gdr_reftransV1_0047643")</f>
        <v>p.persica_gdr_reftransV1_0047643</v>
      </c>
      <c r="B18800" s="2">
        <v>449</v>
      </c>
      <c r="C18800" s="4" t="str">
        <f>HYPERLINK("http://www.uniprot.org/uniprot/M5XJA8","M5XJA8")</f>
        <v>M5XJA8</v>
      </c>
      <c r="D18800" s="2" t="s">
        <v>1489</v>
      </c>
      <c r="E18800" s="3">
        <v>2.8599999999999999E-57</v>
      </c>
      <c r="F18800" s="2">
        <v>498</v>
      </c>
      <c r="G18800" s="2">
        <v>100</v>
      </c>
      <c r="H18800" s="2">
        <v>88</v>
      </c>
      <c r="I18800" s="2">
        <v>184</v>
      </c>
      <c r="J18800" s="2">
        <v>447</v>
      </c>
      <c r="K18800" s="2">
        <v>377</v>
      </c>
      <c r="L18800" s="2">
        <v>464</v>
      </c>
    </row>
    <row r="18801" spans="1:12" x14ac:dyDescent="0.25">
      <c r="A18801" s="4" t="str">
        <f>HYPERLINK("http://www.rosaceae.org/Prunus/Prunus_persica/p.persica_gdr_reftransV1_0047993","p.persica_gdr_reftransV1_0047993")</f>
        <v>p.persica_gdr_reftransV1_0047993</v>
      </c>
      <c r="B18801" s="2">
        <v>1798</v>
      </c>
      <c r="C18801" s="4" t="str">
        <f>HYPERLINK("http://www.uniprot.org/uniprot/M5WMI9","M5WMI9")</f>
        <v>M5WMI9</v>
      </c>
      <c r="D18801" s="2" t="s">
        <v>4748</v>
      </c>
      <c r="E18801" s="3">
        <v>1.9599999999999999E-93</v>
      </c>
      <c r="F18801" s="2">
        <v>775</v>
      </c>
      <c r="G18801" s="2">
        <v>100</v>
      </c>
      <c r="H18801" s="2">
        <v>360</v>
      </c>
      <c r="I18801" s="2">
        <v>424</v>
      </c>
      <c r="J18801" s="2">
        <v>1503</v>
      </c>
      <c r="K18801" s="2">
        <v>1</v>
      </c>
      <c r="L18801" s="2">
        <v>360</v>
      </c>
    </row>
    <row r="18802" spans="1:12" x14ac:dyDescent="0.25">
      <c r="A18802" s="4" t="str">
        <f>HYPERLINK("http://www.rosaceae.org/Prunus/Prunus_persica/p.persica_gdr_reftransV1_0048343","p.persica_gdr_reftransV1_0048343")</f>
        <v>p.persica_gdr_reftransV1_0048343</v>
      </c>
      <c r="B18802" s="2">
        <v>2019</v>
      </c>
      <c r="C18802" s="4" t="str">
        <f>HYPERLINK("http://www.uniprot.org/uniprot/M5W4E2","M5W4E2")</f>
        <v>M5W4E2</v>
      </c>
      <c r="D18802" s="2" t="s">
        <v>14496</v>
      </c>
      <c r="E18802" s="3">
        <v>0</v>
      </c>
      <c r="F18802" s="2">
        <v>2602</v>
      </c>
      <c r="G18802" s="2">
        <v>100</v>
      </c>
      <c r="H18802" s="2">
        <v>484</v>
      </c>
      <c r="I18802" s="2">
        <v>352</v>
      </c>
      <c r="J18802" s="2">
        <v>1803</v>
      </c>
      <c r="K18802" s="2">
        <v>1</v>
      </c>
      <c r="L18802" s="2">
        <v>484</v>
      </c>
    </row>
    <row r="18803" spans="1:12" x14ac:dyDescent="0.25">
      <c r="A18803" s="4" t="str">
        <f>HYPERLINK("http://www.rosaceae.org/Prunus/Prunus_persica/p.persica_gdr_reftransV1_0048693","p.persica_gdr_reftransV1_0048693")</f>
        <v>p.persica_gdr_reftransV1_0048693</v>
      </c>
      <c r="B18803" s="2">
        <v>4041</v>
      </c>
      <c r="C18803" s="4" t="str">
        <f>HYPERLINK("http://www.uniprot.org/uniprot/M5W8G1","M5W8G1")</f>
        <v>M5W8G1</v>
      </c>
      <c r="D18803" s="2" t="s">
        <v>13327</v>
      </c>
      <c r="E18803" s="3">
        <v>0</v>
      </c>
      <c r="F18803" s="2">
        <v>5135</v>
      </c>
      <c r="G18803" s="2">
        <v>100</v>
      </c>
      <c r="H18803" s="2">
        <v>1046</v>
      </c>
      <c r="I18803" s="2">
        <v>805</v>
      </c>
      <c r="J18803" s="2">
        <v>3933</v>
      </c>
      <c r="K18803" s="2">
        <v>1</v>
      </c>
      <c r="L18803" s="2">
        <v>1046</v>
      </c>
    </row>
    <row r="18804" spans="1:12" x14ac:dyDescent="0.25">
      <c r="A18804" s="4" t="str">
        <f>HYPERLINK("http://www.rosaceae.org/Prunus/Prunus_persica/p.persica_gdr_reftransV1_0049043","p.persica_gdr_reftransV1_0049043")</f>
        <v>p.persica_gdr_reftransV1_0049043</v>
      </c>
      <c r="B18804" s="2">
        <v>781</v>
      </c>
      <c r="C18804" s="4" t="str">
        <f>HYPERLINK("http://www.uniprot.org/uniprot/M5W0Q9","M5W0Q9")</f>
        <v>M5W0Q9</v>
      </c>
      <c r="D18804" s="2" t="s">
        <v>14497</v>
      </c>
      <c r="E18804" s="3">
        <v>2.8799999999999998E-89</v>
      </c>
      <c r="F18804" s="2">
        <v>697</v>
      </c>
      <c r="G18804" s="2">
        <v>100</v>
      </c>
      <c r="H18804" s="2">
        <v>146</v>
      </c>
      <c r="I18804" s="2">
        <v>88</v>
      </c>
      <c r="J18804" s="2">
        <v>525</v>
      </c>
      <c r="K18804" s="2">
        <v>1</v>
      </c>
      <c r="L18804" s="2">
        <v>146</v>
      </c>
    </row>
    <row r="18805" spans="1:12" x14ac:dyDescent="0.25">
      <c r="A18805" s="4" t="str">
        <f>HYPERLINK("http://www.rosaceae.org/Prunus/Prunus_persica/p.persica_gdr_reftransV1_0000744","p.persica_gdr_reftransV1_0000744")</f>
        <v>p.persica_gdr_reftransV1_0000744</v>
      </c>
      <c r="B18805" s="2">
        <v>720</v>
      </c>
      <c r="C18805" s="4" t="str">
        <f>HYPERLINK("http://www.uniprot.org/uniprot/M5WUW3","M5WUW3")</f>
        <v>M5WUW3</v>
      </c>
      <c r="D18805" s="2" t="s">
        <v>7202</v>
      </c>
      <c r="E18805" s="3">
        <v>2.1299999999999999E-129</v>
      </c>
      <c r="F18805" s="2">
        <v>969</v>
      </c>
      <c r="G18805" s="2">
        <v>100</v>
      </c>
      <c r="H18805" s="2">
        <v>209</v>
      </c>
      <c r="I18805" s="2">
        <v>2</v>
      </c>
      <c r="J18805" s="2">
        <v>628</v>
      </c>
      <c r="K18805" s="2">
        <v>1</v>
      </c>
      <c r="L18805" s="2">
        <v>209</v>
      </c>
    </row>
    <row r="18806" spans="1:12" x14ac:dyDescent="0.25">
      <c r="A18806" s="4" t="str">
        <f>HYPERLINK("http://www.rosaceae.org/Prunus/Prunus_persica/p.persica_gdr_reftransV1_0001444","p.persica_gdr_reftransV1_0001444")</f>
        <v>p.persica_gdr_reftransV1_0001444</v>
      </c>
      <c r="B18806" s="2">
        <v>1334</v>
      </c>
      <c r="C18806" s="4" t="str">
        <f>HYPERLINK("http://www.uniprot.org/uniprot/M5XY16","M5XY16")</f>
        <v>M5XY16</v>
      </c>
      <c r="D18806" s="2" t="s">
        <v>2076</v>
      </c>
      <c r="E18806" s="3">
        <v>0</v>
      </c>
      <c r="F18806" s="2">
        <v>2277</v>
      </c>
      <c r="G18806" s="2">
        <v>100</v>
      </c>
      <c r="H18806" s="2">
        <v>444</v>
      </c>
      <c r="I18806" s="2">
        <v>3</v>
      </c>
      <c r="J18806" s="2">
        <v>1334</v>
      </c>
      <c r="K18806" s="2">
        <v>525</v>
      </c>
      <c r="L18806" s="2">
        <v>968</v>
      </c>
    </row>
    <row r="18807" spans="1:12" x14ac:dyDescent="0.25">
      <c r="A18807" s="4" t="str">
        <f>HYPERLINK("http://www.rosaceae.org/Prunus/Prunus_persica/p.persica_gdr_reftransV1_0001794","p.persica_gdr_reftransV1_0001794")</f>
        <v>p.persica_gdr_reftransV1_0001794</v>
      </c>
      <c r="B18807" s="2">
        <v>534</v>
      </c>
      <c r="C18807" s="4" t="str">
        <f>HYPERLINK("http://www.uniprot.org/uniprot/A0A0G4N7X5","A0A0G4N7X5")</f>
        <v>A0A0G4N7X5</v>
      </c>
      <c r="D18807" s="2" t="s">
        <v>14498</v>
      </c>
      <c r="E18807" s="3">
        <v>1.0900000000000001E-49</v>
      </c>
      <c r="F18807" s="2">
        <v>423</v>
      </c>
      <c r="G18807" s="2">
        <v>93</v>
      </c>
      <c r="H18807" s="2">
        <v>114</v>
      </c>
      <c r="I18807" s="2">
        <v>173</v>
      </c>
      <c r="J18807" s="2">
        <v>514</v>
      </c>
      <c r="K18807" s="2">
        <v>3</v>
      </c>
      <c r="L18807" s="2">
        <v>116</v>
      </c>
    </row>
    <row r="18808" spans="1:12" x14ac:dyDescent="0.25">
      <c r="A18808" s="4" t="str">
        <f>HYPERLINK("http://www.rosaceae.org/Prunus/Prunus_persica/p.persica_gdr_reftransV1_0002144","p.persica_gdr_reftransV1_0002144")</f>
        <v>p.persica_gdr_reftransV1_0002144</v>
      </c>
      <c r="B18808" s="2">
        <v>1523</v>
      </c>
      <c r="C18808" s="4" t="str">
        <f>HYPERLINK("http://www.uniprot.org/uniprot/M5WGF1","M5WGF1")</f>
        <v>M5WGF1</v>
      </c>
      <c r="D18808" s="2" t="s">
        <v>9615</v>
      </c>
      <c r="E18808" s="3">
        <v>0</v>
      </c>
      <c r="F18808" s="2">
        <v>1459</v>
      </c>
      <c r="G18808" s="2">
        <v>100</v>
      </c>
      <c r="H18808" s="2">
        <v>306</v>
      </c>
      <c r="I18808" s="2">
        <v>361</v>
      </c>
      <c r="J18808" s="2">
        <v>1278</v>
      </c>
      <c r="K18808" s="2">
        <v>1</v>
      </c>
      <c r="L18808" s="2">
        <v>306</v>
      </c>
    </row>
    <row r="18809" spans="1:12" x14ac:dyDescent="0.25">
      <c r="A18809" s="4" t="str">
        <f>HYPERLINK("http://www.rosaceae.org/Prunus/Prunus_persica/p.persica_gdr_reftransV1_0002494","p.persica_gdr_reftransV1_0002494")</f>
        <v>p.persica_gdr_reftransV1_0002494</v>
      </c>
      <c r="B18809" s="2">
        <v>2035</v>
      </c>
      <c r="C18809" s="4" t="str">
        <f>HYPERLINK("http://www.uniprot.org/uniprot/M5WWZ0","M5WWZ0")</f>
        <v>M5WWZ0</v>
      </c>
      <c r="D18809" s="2" t="s">
        <v>8651</v>
      </c>
      <c r="E18809" s="3">
        <v>0</v>
      </c>
      <c r="F18809" s="2">
        <v>2857</v>
      </c>
      <c r="G18809" s="2">
        <v>99</v>
      </c>
      <c r="H18809" s="2">
        <v>541</v>
      </c>
      <c r="I18809" s="2">
        <v>413</v>
      </c>
      <c r="J18809" s="2">
        <v>2035</v>
      </c>
      <c r="K18809" s="2">
        <v>65</v>
      </c>
      <c r="L18809" s="2">
        <v>605</v>
      </c>
    </row>
    <row r="18810" spans="1:12" x14ac:dyDescent="0.25">
      <c r="A18810" s="4" t="str">
        <f>HYPERLINK("http://www.rosaceae.org/Prunus/Prunus_persica/p.persica_gdr_reftransV1_0002844","p.persica_gdr_reftransV1_0002844")</f>
        <v>p.persica_gdr_reftransV1_0002844</v>
      </c>
      <c r="B18810" s="2">
        <v>344</v>
      </c>
      <c r="C18810" s="4" t="str">
        <f>HYPERLINK("http://www.uniprot.org/uniprot/M5WFV3","M5WFV3")</f>
        <v>M5WFV3</v>
      </c>
      <c r="D18810" s="2" t="s">
        <v>14499</v>
      </c>
      <c r="E18810" s="3">
        <v>3.3600000000000002E-71</v>
      </c>
      <c r="F18810" s="2">
        <v>588</v>
      </c>
      <c r="G18810" s="2">
        <v>100</v>
      </c>
      <c r="H18810" s="2">
        <v>109</v>
      </c>
      <c r="I18810" s="2">
        <v>3</v>
      </c>
      <c r="J18810" s="2">
        <v>329</v>
      </c>
      <c r="K18810" s="2">
        <v>354</v>
      </c>
      <c r="L18810" s="2">
        <v>462</v>
      </c>
    </row>
    <row r="18811" spans="1:12" x14ac:dyDescent="0.25">
      <c r="A18811" s="4" t="str">
        <f>HYPERLINK("http://www.rosaceae.org/Prunus/Prunus_persica/p.persica_gdr_reftransV1_0003194","p.persica_gdr_reftransV1_0003194")</f>
        <v>p.persica_gdr_reftransV1_0003194</v>
      </c>
      <c r="B18811" s="2">
        <v>404</v>
      </c>
      <c r="C18811" s="4" t="str">
        <f>HYPERLINK("http://www.uniprot.org/uniprot/W9RKU6","W9RKU6")</f>
        <v>W9RKU6</v>
      </c>
      <c r="D18811" s="2" t="s">
        <v>14500</v>
      </c>
      <c r="E18811" s="3">
        <v>1.39E-45</v>
      </c>
      <c r="F18811" s="2">
        <v>419</v>
      </c>
      <c r="G18811" s="2">
        <v>71</v>
      </c>
      <c r="H18811" s="2">
        <v>112</v>
      </c>
      <c r="I18811" s="2">
        <v>2</v>
      </c>
      <c r="J18811" s="2">
        <v>337</v>
      </c>
      <c r="K18811" s="2">
        <v>27</v>
      </c>
      <c r="L18811" s="2">
        <v>137</v>
      </c>
    </row>
    <row r="18812" spans="1:12" x14ac:dyDescent="0.25">
      <c r="A18812" s="4" t="str">
        <f>HYPERLINK("http://www.rosaceae.org/Prunus/Prunus_persica/p.persica_gdr_reftransV1_0003544","p.persica_gdr_reftransV1_0003544")</f>
        <v>p.persica_gdr_reftransV1_0003544</v>
      </c>
      <c r="B18812" s="2">
        <v>724</v>
      </c>
      <c r="C18812" s="4" t="str">
        <f>HYPERLINK("http://www.uniprot.org/uniprot/M5WH02","M5WH02")</f>
        <v>M5WH02</v>
      </c>
      <c r="D18812" s="2" t="s">
        <v>380</v>
      </c>
      <c r="E18812" s="3">
        <v>4.0299999999999998E-138</v>
      </c>
      <c r="F18812" s="2">
        <v>1031</v>
      </c>
      <c r="G18812" s="2">
        <v>100</v>
      </c>
      <c r="H18812" s="2">
        <v>189</v>
      </c>
      <c r="I18812" s="2">
        <v>157</v>
      </c>
      <c r="J18812" s="2">
        <v>723</v>
      </c>
      <c r="K18812" s="2">
        <v>94</v>
      </c>
      <c r="L18812" s="2">
        <v>282</v>
      </c>
    </row>
    <row r="18813" spans="1:12" x14ac:dyDescent="0.25">
      <c r="A18813" s="4" t="str">
        <f>HYPERLINK("http://www.rosaceae.org/Prunus/Prunus_persica/p.persica_gdr_reftransV1_0003894","p.persica_gdr_reftransV1_0003894")</f>
        <v>p.persica_gdr_reftransV1_0003894</v>
      </c>
      <c r="B18813" s="2">
        <v>535</v>
      </c>
      <c r="C18813" s="4" t="str">
        <f>HYPERLINK("http://www.uniprot.org/uniprot/M5WFQ0","M5WFQ0")</f>
        <v>M5WFQ0</v>
      </c>
      <c r="D18813" s="2" t="s">
        <v>5059</v>
      </c>
      <c r="E18813" s="3">
        <v>2.3E-116</v>
      </c>
      <c r="F18813" s="2">
        <v>955</v>
      </c>
      <c r="G18813" s="2">
        <v>100</v>
      </c>
      <c r="H18813" s="2">
        <v>178</v>
      </c>
      <c r="I18813" s="2">
        <v>1</v>
      </c>
      <c r="J18813" s="2">
        <v>534</v>
      </c>
      <c r="K18813" s="2">
        <v>1274</v>
      </c>
      <c r="L18813" s="2">
        <v>1451</v>
      </c>
    </row>
    <row r="18814" spans="1:12" x14ac:dyDescent="0.25">
      <c r="A18814" s="4" t="str">
        <f>HYPERLINK("http://www.rosaceae.org/Prunus/Prunus_persica/p.persica_gdr_reftransV1_0004244","p.persica_gdr_reftransV1_0004244")</f>
        <v>p.persica_gdr_reftransV1_0004244</v>
      </c>
      <c r="B18814" s="2">
        <v>539</v>
      </c>
      <c r="C18814" s="4" t="str">
        <f>HYPERLINK("http://www.uniprot.org/uniprot/M5VV60","M5VV60")</f>
        <v>M5VV60</v>
      </c>
      <c r="D18814" s="2" t="s">
        <v>14501</v>
      </c>
      <c r="E18814" s="3">
        <v>4.9000000000000002E-49</v>
      </c>
      <c r="F18814" s="2">
        <v>428</v>
      </c>
      <c r="G18814" s="2">
        <v>88</v>
      </c>
      <c r="H18814" s="2">
        <v>98</v>
      </c>
      <c r="I18814" s="2">
        <v>38</v>
      </c>
      <c r="J18814" s="2">
        <v>331</v>
      </c>
      <c r="K18814" s="2">
        <v>119</v>
      </c>
      <c r="L18814" s="2">
        <v>216</v>
      </c>
    </row>
    <row r="18815" spans="1:12" x14ac:dyDescent="0.25">
      <c r="A18815" s="4" t="str">
        <f>HYPERLINK("http://www.rosaceae.org/Prunus/Prunus_persica/p.persica_gdr_reftransV1_0004944","p.persica_gdr_reftransV1_0004944")</f>
        <v>p.persica_gdr_reftransV1_0004944</v>
      </c>
      <c r="B18815" s="2">
        <v>872</v>
      </c>
      <c r="C18815" s="4" t="str">
        <f>HYPERLINK("http://www.uniprot.org/uniprot/M5XZ20","M5XZ20")</f>
        <v>M5XZ20</v>
      </c>
      <c r="D18815" s="2" t="s">
        <v>1631</v>
      </c>
      <c r="E18815" s="3">
        <v>7.3099999999999996E-94</v>
      </c>
      <c r="F18815" s="2">
        <v>733</v>
      </c>
      <c r="G18815" s="2">
        <v>100</v>
      </c>
      <c r="H18815" s="2">
        <v>137</v>
      </c>
      <c r="I18815" s="2">
        <v>445</v>
      </c>
      <c r="J18815" s="2">
        <v>855</v>
      </c>
      <c r="K18815" s="2">
        <v>37</v>
      </c>
      <c r="L18815" s="2">
        <v>173</v>
      </c>
    </row>
    <row r="18816" spans="1:12" x14ac:dyDescent="0.25">
      <c r="A18816" s="4" t="str">
        <f>HYPERLINK("http://www.rosaceae.org/Prunus/Prunus_persica/p.persica_gdr_reftransV1_0005294","p.persica_gdr_reftransV1_0005294")</f>
        <v>p.persica_gdr_reftransV1_0005294</v>
      </c>
      <c r="B18816" s="2">
        <v>711</v>
      </c>
      <c r="C18816" s="4" t="str">
        <f>HYPERLINK("http://www.uniprot.org/uniprot/M5XW42","M5XW42")</f>
        <v>M5XW42</v>
      </c>
      <c r="D18816" s="2" t="s">
        <v>14502</v>
      </c>
      <c r="E18816" s="3">
        <v>3.81E-104</v>
      </c>
      <c r="F18816" s="2">
        <v>806</v>
      </c>
      <c r="G18816" s="2">
        <v>100</v>
      </c>
      <c r="H18816" s="2">
        <v>210</v>
      </c>
      <c r="I18816" s="2">
        <v>2</v>
      </c>
      <c r="J18816" s="2">
        <v>631</v>
      </c>
      <c r="K18816" s="2">
        <v>1</v>
      </c>
      <c r="L18816" s="2">
        <v>210</v>
      </c>
    </row>
    <row r="18817" spans="1:12" x14ac:dyDescent="0.25">
      <c r="A18817" s="4" t="str">
        <f>HYPERLINK("http://www.rosaceae.org/Prunus/Prunus_persica/p.persica_gdr_reftransV1_0005644","p.persica_gdr_reftransV1_0005644")</f>
        <v>p.persica_gdr_reftransV1_0005644</v>
      </c>
      <c r="B18817" s="2">
        <v>313</v>
      </c>
      <c r="C18817" s="4" t="str">
        <f>HYPERLINK("http://www.uniprot.org/uniprot/M5XTF7","M5XTF7")</f>
        <v>M5XTF7</v>
      </c>
      <c r="D18817" s="2" t="s">
        <v>9115</v>
      </c>
      <c r="E18817" s="3">
        <v>4.84E-64</v>
      </c>
      <c r="F18817" s="2">
        <v>540</v>
      </c>
      <c r="G18817" s="2">
        <v>100</v>
      </c>
      <c r="H18817" s="2">
        <v>103</v>
      </c>
      <c r="I18817" s="2">
        <v>3</v>
      </c>
      <c r="J18817" s="2">
        <v>311</v>
      </c>
      <c r="K18817" s="2">
        <v>191</v>
      </c>
      <c r="L18817" s="2">
        <v>293</v>
      </c>
    </row>
    <row r="18818" spans="1:12" x14ac:dyDescent="0.25">
      <c r="A18818" s="4" t="str">
        <f>HYPERLINK("http://www.rosaceae.org/Prunus/Prunus_persica/p.persica_gdr_reftransV1_0006344","p.persica_gdr_reftransV1_0006344")</f>
        <v>p.persica_gdr_reftransV1_0006344</v>
      </c>
      <c r="B18818" s="2">
        <v>342</v>
      </c>
      <c r="C18818" s="4" t="str">
        <f>HYPERLINK("http://www.uniprot.org/uniprot/Q2L361","Q2L361")</f>
        <v>Q2L361</v>
      </c>
      <c r="D18818" s="2" t="s">
        <v>3475</v>
      </c>
      <c r="E18818" s="3">
        <v>9.3900000000000001E-18</v>
      </c>
      <c r="F18818" s="2">
        <v>218</v>
      </c>
      <c r="G18818" s="2">
        <v>50</v>
      </c>
      <c r="H18818" s="2">
        <v>115</v>
      </c>
      <c r="I18818" s="2">
        <v>1</v>
      </c>
      <c r="J18818" s="2">
        <v>342</v>
      </c>
      <c r="K18818" s="2">
        <v>658</v>
      </c>
      <c r="L18818" s="2">
        <v>766</v>
      </c>
    </row>
    <row r="18819" spans="1:12" x14ac:dyDescent="0.25">
      <c r="A18819" s="4" t="str">
        <f>HYPERLINK("http://www.rosaceae.org/Prunus/Prunus_persica/p.persica_gdr_reftransV1_0006694","p.persica_gdr_reftransV1_0006694")</f>
        <v>p.persica_gdr_reftransV1_0006694</v>
      </c>
      <c r="B18819" s="2">
        <v>1206</v>
      </c>
      <c r="C18819" s="4" t="str">
        <f>HYPERLINK("http://www.uniprot.org/uniprot/M5W9W5","M5W9W5")</f>
        <v>M5W9W5</v>
      </c>
      <c r="D18819" s="2" t="s">
        <v>14503</v>
      </c>
      <c r="E18819" s="3">
        <v>5.8700000000000002E-11</v>
      </c>
      <c r="F18819" s="2">
        <v>171</v>
      </c>
      <c r="G18819" s="2">
        <v>32</v>
      </c>
      <c r="H18819" s="2">
        <v>145</v>
      </c>
      <c r="I18819" s="2">
        <v>142</v>
      </c>
      <c r="J18819" s="2">
        <v>576</v>
      </c>
      <c r="K18819" s="2">
        <v>17</v>
      </c>
      <c r="L18819" s="2">
        <v>159</v>
      </c>
    </row>
    <row r="18820" spans="1:12" x14ac:dyDescent="0.25">
      <c r="A18820" s="4" t="str">
        <f>HYPERLINK("http://www.rosaceae.org/Prunus/Prunus_persica/p.persica_gdr_reftransV1_0007044","p.persica_gdr_reftransV1_0007044")</f>
        <v>p.persica_gdr_reftransV1_0007044</v>
      </c>
      <c r="B18820" s="2">
        <v>655</v>
      </c>
      <c r="C18820" s="4" t="str">
        <f>HYPERLINK("http://www.uniprot.org/uniprot/M5WMM3","M5WMM3")</f>
        <v>M5WMM3</v>
      </c>
      <c r="D18820" s="2" t="s">
        <v>14504</v>
      </c>
      <c r="E18820" s="3">
        <v>2.85E-96</v>
      </c>
      <c r="F18820" s="2">
        <v>756</v>
      </c>
      <c r="G18820" s="2">
        <v>99</v>
      </c>
      <c r="H18820" s="2">
        <v>148</v>
      </c>
      <c r="I18820" s="2">
        <v>211</v>
      </c>
      <c r="J18820" s="2">
        <v>654</v>
      </c>
      <c r="K18820" s="2">
        <v>185</v>
      </c>
      <c r="L18820" s="2">
        <v>332</v>
      </c>
    </row>
    <row r="18821" spans="1:12" x14ac:dyDescent="0.25">
      <c r="A18821" s="4" t="str">
        <f>HYPERLINK("http://www.rosaceae.org/Prunus/Prunus_persica/p.persica_gdr_reftransV1_0007394","p.persica_gdr_reftransV1_0007394")</f>
        <v>p.persica_gdr_reftransV1_0007394</v>
      </c>
      <c r="B18821" s="2">
        <v>1249</v>
      </c>
      <c r="C18821" s="4" t="str">
        <f>HYPERLINK("http://www.uniprot.org/uniprot/M5XLM4","M5XLM4")</f>
        <v>M5XLM4</v>
      </c>
      <c r="D18821" s="2" t="s">
        <v>14505</v>
      </c>
      <c r="E18821" s="3">
        <v>1.1300000000000001E-172</v>
      </c>
      <c r="F18821" s="2">
        <v>1279</v>
      </c>
      <c r="G18821" s="2">
        <v>100</v>
      </c>
      <c r="H18821" s="2">
        <v>294</v>
      </c>
      <c r="I18821" s="2">
        <v>287</v>
      </c>
      <c r="J18821" s="2">
        <v>1168</v>
      </c>
      <c r="K18821" s="2">
        <v>1</v>
      </c>
      <c r="L18821" s="2">
        <v>294</v>
      </c>
    </row>
    <row r="18822" spans="1:12" x14ac:dyDescent="0.25">
      <c r="A18822" s="4" t="str">
        <f>HYPERLINK("http://www.rosaceae.org/Prunus/Prunus_persica/p.persica_gdr_reftransV1_0008094","p.persica_gdr_reftransV1_0008094")</f>
        <v>p.persica_gdr_reftransV1_0008094</v>
      </c>
      <c r="B18822" s="2">
        <v>1468</v>
      </c>
      <c r="C18822" s="4" t="str">
        <f>HYPERLINK("http://www.uniprot.org/uniprot/M5WWF6","M5WWF6")</f>
        <v>M5WWF6</v>
      </c>
      <c r="D18822" s="2" t="s">
        <v>9456</v>
      </c>
      <c r="E18822" s="3">
        <v>0</v>
      </c>
      <c r="F18822" s="2">
        <v>1776</v>
      </c>
      <c r="G18822" s="2">
        <v>100</v>
      </c>
      <c r="H18822" s="2">
        <v>330</v>
      </c>
      <c r="I18822" s="2">
        <v>3</v>
      </c>
      <c r="J18822" s="2">
        <v>992</v>
      </c>
      <c r="K18822" s="2">
        <v>176</v>
      </c>
      <c r="L18822" s="2">
        <v>505</v>
      </c>
    </row>
    <row r="18823" spans="1:12" x14ac:dyDescent="0.25">
      <c r="A18823" s="4" t="str">
        <f>HYPERLINK("http://www.rosaceae.org/Prunus/Prunus_persica/p.persica_gdr_reftransV1_0008444","p.persica_gdr_reftransV1_0008444")</f>
        <v>p.persica_gdr_reftransV1_0008444</v>
      </c>
      <c r="B18823" s="2">
        <v>2388</v>
      </c>
      <c r="C18823" s="4" t="str">
        <f>HYPERLINK("http://www.uniprot.org/uniprot/M5W7F8","M5W7F8")</f>
        <v>M5W7F8</v>
      </c>
      <c r="D18823" s="2" t="s">
        <v>14506</v>
      </c>
      <c r="E18823" s="3">
        <v>0</v>
      </c>
      <c r="F18823" s="2">
        <v>3636</v>
      </c>
      <c r="G18823" s="2">
        <v>100</v>
      </c>
      <c r="H18823" s="2">
        <v>692</v>
      </c>
      <c r="I18823" s="2">
        <v>158</v>
      </c>
      <c r="J18823" s="2">
        <v>2233</v>
      </c>
      <c r="K18823" s="2">
        <v>1</v>
      </c>
      <c r="L18823" s="2">
        <v>692</v>
      </c>
    </row>
    <row r="18824" spans="1:12" x14ac:dyDescent="0.25">
      <c r="A18824" s="4" t="str">
        <f>HYPERLINK("http://www.rosaceae.org/Prunus/Prunus_persica/p.persica_gdr_reftransV1_0009144","p.persica_gdr_reftransV1_0009144")</f>
        <v>p.persica_gdr_reftransV1_0009144</v>
      </c>
      <c r="B18824" s="2">
        <v>2120</v>
      </c>
      <c r="C18824" s="4" t="str">
        <f>HYPERLINK("http://www.uniprot.org/uniprot/M5XA92","M5XA92")</f>
        <v>M5XA92</v>
      </c>
      <c r="D18824" s="2" t="s">
        <v>14507</v>
      </c>
      <c r="E18824" s="3">
        <v>0</v>
      </c>
      <c r="F18824" s="2">
        <v>2992</v>
      </c>
      <c r="G18824" s="2">
        <v>100</v>
      </c>
      <c r="H18824" s="2">
        <v>570</v>
      </c>
      <c r="I18824" s="2">
        <v>3</v>
      </c>
      <c r="J18824" s="2">
        <v>1712</v>
      </c>
      <c r="K18824" s="2">
        <v>4</v>
      </c>
      <c r="L18824" s="2">
        <v>573</v>
      </c>
    </row>
    <row r="18825" spans="1:12" x14ac:dyDescent="0.25">
      <c r="A18825" s="4" t="str">
        <f>HYPERLINK("http://www.rosaceae.org/Prunus/Prunus_persica/p.persica_gdr_reftransV1_0009494","p.persica_gdr_reftransV1_0009494")</f>
        <v>p.persica_gdr_reftransV1_0009494</v>
      </c>
      <c r="B18825" s="2">
        <v>1179</v>
      </c>
      <c r="C18825" s="4" t="str">
        <f>HYPERLINK("http://www.uniprot.org/uniprot/M5W993","M5W993")</f>
        <v>M5W993</v>
      </c>
      <c r="D18825" s="2" t="s">
        <v>5335</v>
      </c>
      <c r="E18825" s="3">
        <v>1.85E-178</v>
      </c>
      <c r="F18825" s="2">
        <v>1341</v>
      </c>
      <c r="G18825" s="2">
        <v>100</v>
      </c>
      <c r="H18825" s="2">
        <v>267</v>
      </c>
      <c r="I18825" s="2">
        <v>377</v>
      </c>
      <c r="J18825" s="2">
        <v>1177</v>
      </c>
      <c r="K18825" s="2">
        <v>293</v>
      </c>
      <c r="L18825" s="2">
        <v>559</v>
      </c>
    </row>
    <row r="18826" spans="1:12" x14ac:dyDescent="0.25">
      <c r="A18826" s="4" t="str">
        <f>HYPERLINK("http://www.rosaceae.org/Prunus/Prunus_persica/p.persica_gdr_reftransV1_0009844","p.persica_gdr_reftransV1_0009844")</f>
        <v>p.persica_gdr_reftransV1_0009844</v>
      </c>
      <c r="B18826" s="2">
        <v>3295</v>
      </c>
      <c r="C18826" s="4" t="str">
        <f>HYPERLINK("http://www.uniprot.org/uniprot/M5XVI1","M5XVI1")</f>
        <v>M5XVI1</v>
      </c>
      <c r="D18826" s="2" t="s">
        <v>14508</v>
      </c>
      <c r="E18826" s="3">
        <v>0</v>
      </c>
      <c r="F18826" s="2">
        <v>3774</v>
      </c>
      <c r="G18826" s="2">
        <v>100</v>
      </c>
      <c r="H18826" s="2">
        <v>775</v>
      </c>
      <c r="I18826" s="2">
        <v>517</v>
      </c>
      <c r="J18826" s="2">
        <v>2841</v>
      </c>
      <c r="K18826" s="2">
        <v>1</v>
      </c>
      <c r="L18826" s="2">
        <v>775</v>
      </c>
    </row>
    <row r="18827" spans="1:12" x14ac:dyDescent="0.25">
      <c r="A18827" s="4" t="str">
        <f>HYPERLINK("http://www.rosaceae.org/Prunus/Prunus_persica/p.persica_gdr_reftransV1_0010894","p.persica_gdr_reftransV1_0010894")</f>
        <v>p.persica_gdr_reftransV1_0010894</v>
      </c>
      <c r="B18827" s="2">
        <v>2209</v>
      </c>
      <c r="C18827" s="4" t="str">
        <f>HYPERLINK("http://www.uniprot.org/uniprot/M5W4J5","M5W4J5")</f>
        <v>M5W4J5</v>
      </c>
      <c r="D18827" s="2" t="s">
        <v>14509</v>
      </c>
      <c r="E18827" s="3">
        <v>0</v>
      </c>
      <c r="F18827" s="2">
        <v>2027</v>
      </c>
      <c r="G18827" s="2">
        <v>100</v>
      </c>
      <c r="H18827" s="2">
        <v>421</v>
      </c>
      <c r="I18827" s="2">
        <v>347</v>
      </c>
      <c r="J18827" s="2">
        <v>1609</v>
      </c>
      <c r="K18827" s="2">
        <v>1</v>
      </c>
      <c r="L18827" s="2">
        <v>421</v>
      </c>
    </row>
    <row r="18828" spans="1:12" x14ac:dyDescent="0.25">
      <c r="A18828" s="4" t="str">
        <f>HYPERLINK("http://www.rosaceae.org/Prunus/Prunus_persica/p.persica_gdr_reftransV1_0012644","p.persica_gdr_reftransV1_0012644")</f>
        <v>p.persica_gdr_reftransV1_0012644</v>
      </c>
      <c r="B18828" s="2">
        <v>715</v>
      </c>
      <c r="C18828" s="4" t="str">
        <f>HYPERLINK("http://www.uniprot.org/uniprot/M5WVD0","M5WVD0")</f>
        <v>M5WVD0</v>
      </c>
      <c r="D18828" s="2" t="s">
        <v>13887</v>
      </c>
      <c r="E18828" s="3">
        <v>1.42E-63</v>
      </c>
      <c r="F18828" s="2">
        <v>527</v>
      </c>
      <c r="G18828" s="2">
        <v>100</v>
      </c>
      <c r="H18828" s="2">
        <v>100</v>
      </c>
      <c r="I18828" s="2">
        <v>1</v>
      </c>
      <c r="J18828" s="2">
        <v>300</v>
      </c>
      <c r="K18828" s="2">
        <v>71</v>
      </c>
      <c r="L18828" s="2">
        <v>170</v>
      </c>
    </row>
    <row r="18829" spans="1:12" x14ac:dyDescent="0.25">
      <c r="A18829" s="4" t="str">
        <f>HYPERLINK("http://www.rosaceae.org/Prunus/Prunus_persica/p.persica_gdr_reftransV1_0015094","p.persica_gdr_reftransV1_0015094")</f>
        <v>p.persica_gdr_reftransV1_0015094</v>
      </c>
      <c r="B18829" s="2">
        <v>2925</v>
      </c>
      <c r="C18829" s="4" t="str">
        <f>HYPERLINK("http://www.uniprot.org/uniprot/A0A0D2PLN4","A0A0D2PLN4")</f>
        <v>A0A0D2PLN4</v>
      </c>
      <c r="D18829" s="2" t="s">
        <v>14510</v>
      </c>
      <c r="E18829" s="3">
        <v>0</v>
      </c>
      <c r="F18829" s="2">
        <v>975</v>
      </c>
      <c r="G18829" s="2">
        <v>88</v>
      </c>
      <c r="H18829" s="2">
        <v>221</v>
      </c>
      <c r="I18829" s="2">
        <v>1451</v>
      </c>
      <c r="J18829" s="2">
        <v>2113</v>
      </c>
      <c r="K18829" s="2">
        <v>256</v>
      </c>
      <c r="L18829" s="2">
        <v>476</v>
      </c>
    </row>
    <row r="18830" spans="1:12" x14ac:dyDescent="0.25">
      <c r="A18830" s="4" t="str">
        <f>HYPERLINK("http://www.rosaceae.org/Prunus/Prunus_persica/p.persica_gdr_reftransV1_0015444","p.persica_gdr_reftransV1_0015444")</f>
        <v>p.persica_gdr_reftransV1_0015444</v>
      </c>
      <c r="B18830" s="2">
        <v>2747</v>
      </c>
      <c r="C18830" s="4" t="str">
        <f>HYPERLINK("http://www.uniprot.org/uniprot/M5W703","M5W703")</f>
        <v>M5W703</v>
      </c>
      <c r="D18830" s="2" t="s">
        <v>14511</v>
      </c>
      <c r="E18830" s="3">
        <v>0</v>
      </c>
      <c r="F18830" s="2">
        <v>2801</v>
      </c>
      <c r="G18830" s="2">
        <v>100</v>
      </c>
      <c r="H18830" s="2">
        <v>634</v>
      </c>
      <c r="I18830" s="2">
        <v>540</v>
      </c>
      <c r="J18830" s="2">
        <v>2441</v>
      </c>
      <c r="K18830" s="2">
        <v>1</v>
      </c>
      <c r="L18830" s="2">
        <v>634</v>
      </c>
    </row>
    <row r="18831" spans="1:12" x14ac:dyDescent="0.25">
      <c r="A18831" s="4" t="str">
        <f>HYPERLINK("http://www.rosaceae.org/Prunus/Prunus_persica/p.persica_gdr_reftransV1_0015794","p.persica_gdr_reftransV1_0015794")</f>
        <v>p.persica_gdr_reftransV1_0015794</v>
      </c>
      <c r="B18831" s="2">
        <v>1069</v>
      </c>
      <c r="C18831" s="4" t="str">
        <f>HYPERLINK("http://www.uniprot.org/uniprot/M5X6G8","M5X6G8")</f>
        <v>M5X6G8</v>
      </c>
      <c r="D18831" s="2" t="s">
        <v>14512</v>
      </c>
      <c r="E18831" s="3">
        <v>1.8799999999999999E-133</v>
      </c>
      <c r="F18831" s="2">
        <v>1006</v>
      </c>
      <c r="G18831" s="2">
        <v>100</v>
      </c>
      <c r="H18831" s="2">
        <v>221</v>
      </c>
      <c r="I18831" s="2">
        <v>194</v>
      </c>
      <c r="J18831" s="2">
        <v>856</v>
      </c>
      <c r="K18831" s="2">
        <v>1</v>
      </c>
      <c r="L18831" s="2">
        <v>221</v>
      </c>
    </row>
    <row r="18832" spans="1:12" x14ac:dyDescent="0.25">
      <c r="A18832" s="4" t="str">
        <f>HYPERLINK("http://www.rosaceae.org/Prunus/Prunus_persica/p.persica_gdr_reftransV1_0019644","p.persica_gdr_reftransV1_0019644")</f>
        <v>p.persica_gdr_reftransV1_0019644</v>
      </c>
      <c r="B18832" s="2">
        <v>540</v>
      </c>
      <c r="C18832" s="4" t="str">
        <f>HYPERLINK("http://www.uniprot.org/uniprot/M5W5J6","M5W5J6")</f>
        <v>M5W5J6</v>
      </c>
      <c r="D18832" s="2" t="s">
        <v>3576</v>
      </c>
      <c r="E18832" s="3">
        <v>1.9799999999999999E-10</v>
      </c>
      <c r="F18832" s="2">
        <v>165</v>
      </c>
      <c r="G18832" s="2">
        <v>65</v>
      </c>
      <c r="H18832" s="2">
        <v>51</v>
      </c>
      <c r="I18832" s="2">
        <v>289</v>
      </c>
      <c r="J18832" s="2">
        <v>441</v>
      </c>
      <c r="K18832" s="2">
        <v>213</v>
      </c>
      <c r="L18832" s="2">
        <v>263</v>
      </c>
    </row>
    <row r="18833" spans="1:12" x14ac:dyDescent="0.25">
      <c r="A18833" s="4" t="str">
        <f>HYPERLINK("http://www.rosaceae.org/Prunus/Prunus_persica/p.persica_gdr_reftransV1_0020344","p.persica_gdr_reftransV1_0020344")</f>
        <v>p.persica_gdr_reftransV1_0020344</v>
      </c>
      <c r="B18833" s="2">
        <v>2098</v>
      </c>
      <c r="C18833" s="4" t="str">
        <f>HYPERLINK("http://www.uniprot.org/uniprot/W9RFC2","W9RFC2")</f>
        <v>W9RFC2</v>
      </c>
      <c r="D18833" s="2" t="s">
        <v>14513</v>
      </c>
      <c r="E18833" s="3">
        <v>0</v>
      </c>
      <c r="F18833" s="2">
        <v>1815</v>
      </c>
      <c r="G18833" s="2">
        <v>90</v>
      </c>
      <c r="H18833" s="2">
        <v>387</v>
      </c>
      <c r="I18833" s="2">
        <v>385</v>
      </c>
      <c r="J18833" s="2">
        <v>1542</v>
      </c>
      <c r="K18833" s="2">
        <v>1</v>
      </c>
      <c r="L18833" s="2">
        <v>387</v>
      </c>
    </row>
    <row r="18834" spans="1:12" x14ac:dyDescent="0.25">
      <c r="A18834" s="4" t="str">
        <f>HYPERLINK("http://www.rosaceae.org/Prunus/Prunus_persica/p.persica_gdr_reftransV1_0020694","p.persica_gdr_reftransV1_0020694")</f>
        <v>p.persica_gdr_reftransV1_0020694</v>
      </c>
      <c r="B18834" s="2">
        <v>2195</v>
      </c>
      <c r="C18834" s="4" t="str">
        <f>HYPERLINK("http://www.uniprot.org/uniprot/M5XRE5","M5XRE5")</f>
        <v>M5XRE5</v>
      </c>
      <c r="D18834" s="2" t="s">
        <v>14514</v>
      </c>
      <c r="E18834" s="3">
        <v>0</v>
      </c>
      <c r="F18834" s="2">
        <v>3017</v>
      </c>
      <c r="G18834" s="2">
        <v>100</v>
      </c>
      <c r="H18834" s="2">
        <v>615</v>
      </c>
      <c r="I18834" s="2">
        <v>349</v>
      </c>
      <c r="J18834" s="2">
        <v>2193</v>
      </c>
      <c r="K18834" s="2">
        <v>125</v>
      </c>
      <c r="L18834" s="2">
        <v>739</v>
      </c>
    </row>
    <row r="18835" spans="1:12" x14ac:dyDescent="0.25">
      <c r="A18835" s="4" t="str">
        <f>HYPERLINK("http://www.rosaceae.org/Prunus/Prunus_persica/p.persica_gdr_reftransV1_0021744","p.persica_gdr_reftransV1_0021744")</f>
        <v>p.persica_gdr_reftransV1_0021744</v>
      </c>
      <c r="B18835" s="2">
        <v>2162</v>
      </c>
      <c r="C18835" s="4" t="str">
        <f>HYPERLINK("http://www.uniprot.org/uniprot/E3TB07","E3TB07")</f>
        <v>E3TB07</v>
      </c>
      <c r="D18835" s="2" t="s">
        <v>14515</v>
      </c>
      <c r="E18835" s="3">
        <v>0</v>
      </c>
      <c r="F18835" s="2">
        <v>803</v>
      </c>
      <c r="G18835" s="2">
        <v>100</v>
      </c>
      <c r="H18835" s="2">
        <v>147</v>
      </c>
      <c r="I18835" s="2">
        <v>451</v>
      </c>
      <c r="J18835" s="2">
        <v>891</v>
      </c>
      <c r="K18835" s="2">
        <v>233</v>
      </c>
      <c r="L18835" s="2">
        <v>379</v>
      </c>
    </row>
    <row r="18836" spans="1:12" x14ac:dyDescent="0.25">
      <c r="A18836" s="4" t="str">
        <f>HYPERLINK("http://www.rosaceae.org/Prunus/Prunus_persica/p.persica_gdr_reftransV1_0022094","p.persica_gdr_reftransV1_0022094")</f>
        <v>p.persica_gdr_reftransV1_0022094</v>
      </c>
      <c r="B18836" s="2">
        <v>2387</v>
      </c>
      <c r="C18836" s="4" t="str">
        <f>HYPERLINK("http://www.uniprot.org/uniprot/M5WUQ5","M5WUQ5")</f>
        <v>M5WUQ5</v>
      </c>
      <c r="D18836" s="2" t="s">
        <v>14516</v>
      </c>
      <c r="E18836" s="3">
        <v>1.5599999999999999E-112</v>
      </c>
      <c r="F18836" s="2">
        <v>918</v>
      </c>
      <c r="G18836" s="2">
        <v>99</v>
      </c>
      <c r="H18836" s="2">
        <v>177</v>
      </c>
      <c r="I18836" s="2">
        <v>434</v>
      </c>
      <c r="J18836" s="2">
        <v>961</v>
      </c>
      <c r="K18836" s="2">
        <v>177</v>
      </c>
      <c r="L18836" s="2">
        <v>353</v>
      </c>
    </row>
    <row r="18837" spans="1:12" x14ac:dyDescent="0.25">
      <c r="A18837" s="4" t="str">
        <f>HYPERLINK("http://www.rosaceae.org/Prunus/Prunus_persica/p.persica_gdr_reftransV1_0022444","p.persica_gdr_reftransV1_0022444")</f>
        <v>p.persica_gdr_reftransV1_0022444</v>
      </c>
      <c r="B18837" s="2">
        <v>3663</v>
      </c>
      <c r="C18837" s="4" t="str">
        <f>HYPERLINK("http://www.uniprot.org/uniprot/M5XKD0","M5XKD0")</f>
        <v>M5XKD0</v>
      </c>
      <c r="D18837" s="2" t="s">
        <v>14517</v>
      </c>
      <c r="E18837" s="3">
        <v>0</v>
      </c>
      <c r="F18837" s="2">
        <v>2381</v>
      </c>
      <c r="G18837" s="2">
        <v>100</v>
      </c>
      <c r="H18837" s="2">
        <v>441</v>
      </c>
      <c r="I18837" s="2">
        <v>208</v>
      </c>
      <c r="J18837" s="2">
        <v>1530</v>
      </c>
      <c r="K18837" s="2">
        <v>1</v>
      </c>
      <c r="L18837" s="2">
        <v>441</v>
      </c>
    </row>
    <row r="18838" spans="1:12" x14ac:dyDescent="0.25">
      <c r="A18838" s="4" t="str">
        <f>HYPERLINK("http://www.rosaceae.org/Prunus/Prunus_persica/p.persica_gdr_reftransV1_0024194","p.persica_gdr_reftransV1_0024194")</f>
        <v>p.persica_gdr_reftransV1_0024194</v>
      </c>
      <c r="B18838" s="2">
        <v>5155</v>
      </c>
      <c r="C18838" s="4" t="str">
        <f>HYPERLINK("http://www.uniprot.org/uniprot/M5XKL9","M5XKL9")</f>
        <v>M5XKL9</v>
      </c>
      <c r="D18838" s="2" t="s">
        <v>14518</v>
      </c>
      <c r="E18838" s="3">
        <v>0</v>
      </c>
      <c r="F18838" s="2">
        <v>5574</v>
      </c>
      <c r="G18838" s="2">
        <v>100</v>
      </c>
      <c r="H18838" s="2">
        <v>1192</v>
      </c>
      <c r="I18838" s="2">
        <v>1134</v>
      </c>
      <c r="J18838" s="2">
        <v>4709</v>
      </c>
      <c r="K18838" s="2">
        <v>1</v>
      </c>
      <c r="L18838" s="2">
        <v>1192</v>
      </c>
    </row>
    <row r="18839" spans="1:12" x14ac:dyDescent="0.25">
      <c r="A18839" s="4" t="str">
        <f>HYPERLINK("http://www.rosaceae.org/Prunus/Prunus_persica/p.persica_gdr_reftransV1_0025944","p.persica_gdr_reftransV1_0025944")</f>
        <v>p.persica_gdr_reftransV1_0025944</v>
      </c>
      <c r="B18839" s="2">
        <v>2979</v>
      </c>
      <c r="C18839" s="4" t="str">
        <f>HYPERLINK("http://www.uniprot.org/uniprot/M5XXT6","M5XXT6")</f>
        <v>M5XXT6</v>
      </c>
      <c r="D18839" s="2" t="s">
        <v>14519</v>
      </c>
      <c r="E18839" s="3">
        <v>0</v>
      </c>
      <c r="F18839" s="2">
        <v>2280</v>
      </c>
      <c r="G18839" s="2">
        <v>100</v>
      </c>
      <c r="H18839" s="2">
        <v>476</v>
      </c>
      <c r="I18839" s="2">
        <v>1383</v>
      </c>
      <c r="J18839" s="2">
        <v>2810</v>
      </c>
      <c r="K18839" s="2">
        <v>1</v>
      </c>
      <c r="L18839" s="2">
        <v>476</v>
      </c>
    </row>
    <row r="18840" spans="1:12" x14ac:dyDescent="0.25">
      <c r="A18840" s="4" t="str">
        <f>HYPERLINK("http://www.rosaceae.org/Prunus/Prunus_persica/p.persica_gdr_reftransV1_0026294","p.persica_gdr_reftransV1_0026294")</f>
        <v>p.persica_gdr_reftransV1_0026294</v>
      </c>
      <c r="B18840" s="2">
        <v>2954</v>
      </c>
      <c r="C18840" s="4" t="str">
        <f>HYPERLINK("http://www.uniprot.org/uniprot/M5W271","M5W271")</f>
        <v>M5W271</v>
      </c>
      <c r="D18840" s="2" t="s">
        <v>9267</v>
      </c>
      <c r="E18840" s="3">
        <v>0</v>
      </c>
      <c r="F18840" s="2">
        <v>1455</v>
      </c>
      <c r="G18840" s="2">
        <v>99</v>
      </c>
      <c r="H18840" s="2">
        <v>295</v>
      </c>
      <c r="I18840" s="2">
        <v>242</v>
      </c>
      <c r="J18840" s="2">
        <v>1126</v>
      </c>
      <c r="K18840" s="2">
        <v>128</v>
      </c>
      <c r="L18840" s="2">
        <v>422</v>
      </c>
    </row>
    <row r="18841" spans="1:12" x14ac:dyDescent="0.25">
      <c r="A18841" s="4" t="str">
        <f>HYPERLINK("http://www.rosaceae.org/Prunus/Prunus_persica/p.persica_gdr_reftransV1_0028394","p.persica_gdr_reftransV1_0028394")</f>
        <v>p.persica_gdr_reftransV1_0028394</v>
      </c>
      <c r="B18841" s="2">
        <v>1320</v>
      </c>
      <c r="C18841" s="4" t="str">
        <f>HYPERLINK("http://www.uniprot.org/uniprot/M5XQ32","M5XQ32")</f>
        <v>M5XQ32</v>
      </c>
      <c r="D18841" s="2" t="s">
        <v>12872</v>
      </c>
      <c r="E18841" s="3">
        <v>6.4499999999999994E-179</v>
      </c>
      <c r="F18841" s="2">
        <v>1336</v>
      </c>
      <c r="G18841" s="2">
        <v>100</v>
      </c>
      <c r="H18841" s="2">
        <v>339</v>
      </c>
      <c r="I18841" s="2">
        <v>1</v>
      </c>
      <c r="J18841" s="2">
        <v>1017</v>
      </c>
      <c r="K18841" s="2">
        <v>86</v>
      </c>
      <c r="L18841" s="2">
        <v>424</v>
      </c>
    </row>
    <row r="18842" spans="1:12" x14ac:dyDescent="0.25">
      <c r="A18842" s="4" t="str">
        <f>HYPERLINK("http://www.rosaceae.org/Prunus/Prunus_persica/p.persica_gdr_reftransV1_0028744","p.persica_gdr_reftransV1_0028744")</f>
        <v>p.persica_gdr_reftransV1_0028744</v>
      </c>
      <c r="B18842" s="2">
        <v>4749</v>
      </c>
      <c r="C18842" s="4" t="str">
        <f>HYPERLINK("http://www.uniprot.org/uniprot/M5XM23","M5XM23")</f>
        <v>M5XM23</v>
      </c>
      <c r="D18842" s="2" t="s">
        <v>14520</v>
      </c>
      <c r="E18842" s="3">
        <v>0</v>
      </c>
      <c r="F18842" s="2">
        <v>2706</v>
      </c>
      <c r="G18842" s="2">
        <v>100</v>
      </c>
      <c r="H18842" s="2">
        <v>779</v>
      </c>
      <c r="I18842" s="2">
        <v>373</v>
      </c>
      <c r="J18842" s="2">
        <v>2709</v>
      </c>
      <c r="K18842" s="2">
        <v>168</v>
      </c>
      <c r="L18842" s="2">
        <v>946</v>
      </c>
    </row>
    <row r="18843" spans="1:12" x14ac:dyDescent="0.25">
      <c r="A18843" s="4" t="str">
        <f>HYPERLINK("http://www.rosaceae.org/Prunus/Prunus_persica/p.persica_gdr_reftransV1_0029444","p.persica_gdr_reftransV1_0029444")</f>
        <v>p.persica_gdr_reftransV1_0029444</v>
      </c>
      <c r="B18843" s="2">
        <v>2789</v>
      </c>
      <c r="C18843" s="4" t="str">
        <f>HYPERLINK("http://www.uniprot.org/uniprot/M5XLJ4","M5XLJ4")</f>
        <v>M5XLJ4</v>
      </c>
      <c r="D18843" s="2" t="s">
        <v>14521</v>
      </c>
      <c r="E18843" s="3">
        <v>0</v>
      </c>
      <c r="F18843" s="2">
        <v>3668</v>
      </c>
      <c r="G18843" s="2">
        <v>96</v>
      </c>
      <c r="H18843" s="2">
        <v>716</v>
      </c>
      <c r="I18843" s="2">
        <v>195</v>
      </c>
      <c r="J18843" s="2">
        <v>2342</v>
      </c>
      <c r="K18843" s="2">
        <v>16</v>
      </c>
      <c r="L18843" s="2">
        <v>702</v>
      </c>
    </row>
    <row r="18844" spans="1:12" x14ac:dyDescent="0.25">
      <c r="A18844" s="4" t="str">
        <f>HYPERLINK("http://www.rosaceae.org/Prunus/Prunus_persica/p.persica_gdr_reftransV1_0031194","p.persica_gdr_reftransV1_0031194")</f>
        <v>p.persica_gdr_reftransV1_0031194</v>
      </c>
      <c r="B18844" s="2">
        <v>1677</v>
      </c>
      <c r="C18844" s="4" t="str">
        <f>HYPERLINK("http://www.uniprot.org/uniprot/M5X1Q5","M5X1Q5")</f>
        <v>M5X1Q5</v>
      </c>
      <c r="D18844" s="2" t="s">
        <v>14522</v>
      </c>
      <c r="E18844" s="3">
        <v>0</v>
      </c>
      <c r="F18844" s="2">
        <v>1709</v>
      </c>
      <c r="G18844" s="2">
        <v>96</v>
      </c>
      <c r="H18844" s="2">
        <v>363</v>
      </c>
      <c r="I18844" s="2">
        <v>160</v>
      </c>
      <c r="J18844" s="2">
        <v>1248</v>
      </c>
      <c r="K18844" s="2">
        <v>1</v>
      </c>
      <c r="L18844" s="2">
        <v>350</v>
      </c>
    </row>
    <row r="18845" spans="1:12" x14ac:dyDescent="0.25">
      <c r="A18845" s="4" t="str">
        <f>HYPERLINK("http://www.rosaceae.org/Prunus/Prunus_persica/p.persica_gdr_reftransV1_0032244","p.persica_gdr_reftransV1_0032244")</f>
        <v>p.persica_gdr_reftransV1_0032244</v>
      </c>
      <c r="B18845" s="2">
        <v>2510</v>
      </c>
      <c r="C18845" s="4" t="str">
        <f>HYPERLINK("http://www.uniprot.org/uniprot/M5WS73","M5WS73")</f>
        <v>M5WS73</v>
      </c>
      <c r="D18845" s="2" t="s">
        <v>14523</v>
      </c>
      <c r="E18845" s="3">
        <v>0</v>
      </c>
      <c r="F18845" s="2">
        <v>2068</v>
      </c>
      <c r="G18845" s="2">
        <v>96</v>
      </c>
      <c r="H18845" s="2">
        <v>476</v>
      </c>
      <c r="I18845" s="2">
        <v>641</v>
      </c>
      <c r="J18845" s="2">
        <v>2068</v>
      </c>
      <c r="K18845" s="2">
        <v>1</v>
      </c>
      <c r="L18845" s="2">
        <v>476</v>
      </c>
    </row>
    <row r="18846" spans="1:12" x14ac:dyDescent="0.25">
      <c r="A18846" s="4" t="str">
        <f>HYPERLINK("http://www.rosaceae.org/Prunus/Prunus_persica/p.persica_gdr_reftransV1_0033294","p.persica_gdr_reftransV1_0033294")</f>
        <v>p.persica_gdr_reftransV1_0033294</v>
      </c>
      <c r="B18846" s="2">
        <v>2409</v>
      </c>
      <c r="C18846" s="4" t="str">
        <f>HYPERLINK("http://www.uniprot.org/uniprot/M5VVG9","M5VVG9")</f>
        <v>M5VVG9</v>
      </c>
      <c r="D18846" s="2" t="s">
        <v>12236</v>
      </c>
      <c r="E18846" s="3">
        <v>0</v>
      </c>
      <c r="F18846" s="2">
        <v>1757</v>
      </c>
      <c r="G18846" s="2">
        <v>90</v>
      </c>
      <c r="H18846" s="2">
        <v>366</v>
      </c>
      <c r="I18846" s="2">
        <v>282</v>
      </c>
      <c r="J18846" s="2">
        <v>1379</v>
      </c>
      <c r="K18846" s="2">
        <v>179</v>
      </c>
      <c r="L18846" s="2">
        <v>513</v>
      </c>
    </row>
    <row r="18847" spans="1:12" x14ac:dyDescent="0.25">
      <c r="A18847" s="4" t="str">
        <f>HYPERLINK("http://www.rosaceae.org/Prunus/Prunus_persica/p.persica_gdr_reftransV1_0035394","p.persica_gdr_reftransV1_0035394")</f>
        <v>p.persica_gdr_reftransV1_0035394</v>
      </c>
      <c r="B18847" s="2">
        <v>1725</v>
      </c>
      <c r="C18847" s="4" t="str">
        <f>HYPERLINK("http://www.uniprot.org/uniprot/M5WTF6","M5WTF6")</f>
        <v>M5WTF6</v>
      </c>
      <c r="D18847" s="2" t="s">
        <v>14524</v>
      </c>
      <c r="E18847" s="3">
        <v>7.5399999999999999E-116</v>
      </c>
      <c r="F18847" s="2">
        <v>911</v>
      </c>
      <c r="G18847" s="2">
        <v>94</v>
      </c>
      <c r="H18847" s="2">
        <v>185</v>
      </c>
      <c r="I18847" s="2">
        <v>187</v>
      </c>
      <c r="J18847" s="2">
        <v>729</v>
      </c>
      <c r="K18847" s="2">
        <v>10</v>
      </c>
      <c r="L18847" s="2">
        <v>194</v>
      </c>
    </row>
    <row r="18848" spans="1:12" x14ac:dyDescent="0.25">
      <c r="A18848" s="4" t="str">
        <f>HYPERLINK("http://www.rosaceae.org/Prunus/Prunus_persica/p.persica_gdr_reftransV1_0039594","p.persica_gdr_reftransV1_0039594")</f>
        <v>p.persica_gdr_reftransV1_0039594</v>
      </c>
      <c r="B18848" s="2">
        <v>1715</v>
      </c>
      <c r="C18848" s="4" t="str">
        <f>HYPERLINK("http://www.uniprot.org/uniprot/M5XER7","M5XER7")</f>
        <v>M5XER7</v>
      </c>
      <c r="D18848" s="2" t="s">
        <v>14525</v>
      </c>
      <c r="E18848" s="3">
        <v>9.1900000000000002E-81</v>
      </c>
      <c r="F18848" s="2">
        <v>665</v>
      </c>
      <c r="G18848" s="2">
        <v>100</v>
      </c>
      <c r="H18848" s="2">
        <v>125</v>
      </c>
      <c r="I18848" s="2">
        <v>1004</v>
      </c>
      <c r="J18848" s="2">
        <v>1378</v>
      </c>
      <c r="K18848" s="2">
        <v>1</v>
      </c>
      <c r="L18848" s="2">
        <v>125</v>
      </c>
    </row>
    <row r="18849" spans="1:12" x14ac:dyDescent="0.25">
      <c r="A18849" s="4" t="str">
        <f>HYPERLINK("http://www.rosaceae.org/Prunus/Prunus_persica/p.persica_gdr_reftransV1_0041694","p.persica_gdr_reftransV1_0041694")</f>
        <v>p.persica_gdr_reftransV1_0041694</v>
      </c>
      <c r="B18849" s="2">
        <v>1319</v>
      </c>
      <c r="C18849" s="4" t="str">
        <f>HYPERLINK("http://www.uniprot.org/uniprot/M5W8A5","M5W8A5")</f>
        <v>M5W8A5</v>
      </c>
      <c r="D18849" s="2" t="s">
        <v>14526</v>
      </c>
      <c r="E18849" s="3">
        <v>0</v>
      </c>
      <c r="F18849" s="2">
        <v>1438</v>
      </c>
      <c r="G18849" s="2">
        <v>100</v>
      </c>
      <c r="H18849" s="2">
        <v>294</v>
      </c>
      <c r="I18849" s="2">
        <v>117</v>
      </c>
      <c r="J18849" s="2">
        <v>998</v>
      </c>
      <c r="K18849" s="2">
        <v>1</v>
      </c>
      <c r="L18849" s="2">
        <v>294</v>
      </c>
    </row>
    <row r="18850" spans="1:12" x14ac:dyDescent="0.25">
      <c r="A18850" s="4" t="str">
        <f>HYPERLINK("http://www.rosaceae.org/Prunus/Prunus_persica/p.persica_gdr_reftransV1_0042044","p.persica_gdr_reftransV1_0042044")</f>
        <v>p.persica_gdr_reftransV1_0042044</v>
      </c>
      <c r="B18850" s="2">
        <v>2052</v>
      </c>
      <c r="C18850" s="4" t="str">
        <f>HYPERLINK("http://www.uniprot.org/uniprot/M5XC62","M5XC62")</f>
        <v>M5XC62</v>
      </c>
      <c r="D18850" s="2" t="s">
        <v>14527</v>
      </c>
      <c r="E18850" s="3">
        <v>1.2900000000000001E-159</v>
      </c>
      <c r="F18850" s="2">
        <v>1230</v>
      </c>
      <c r="G18850" s="2">
        <v>79</v>
      </c>
      <c r="H18850" s="2">
        <v>308</v>
      </c>
      <c r="I18850" s="2">
        <v>1046</v>
      </c>
      <c r="J18850" s="2">
        <v>1963</v>
      </c>
      <c r="K18850" s="2">
        <v>1</v>
      </c>
      <c r="L18850" s="2">
        <v>264</v>
      </c>
    </row>
    <row r="18851" spans="1:12" x14ac:dyDescent="0.25">
      <c r="A18851" s="4" t="str">
        <f>HYPERLINK("http://www.rosaceae.org/Prunus/Prunus_persica/p.persica_gdr_reftransV1_0042744","p.persica_gdr_reftransV1_0042744")</f>
        <v>p.persica_gdr_reftransV1_0042744</v>
      </c>
      <c r="B18851" s="2">
        <v>2930</v>
      </c>
      <c r="C18851" s="4" t="str">
        <f>HYPERLINK("http://www.uniprot.org/uniprot/M5WRX4","M5WRX4")</f>
        <v>M5WRX4</v>
      </c>
      <c r="D18851" s="2" t="s">
        <v>14528</v>
      </c>
      <c r="E18851" s="3">
        <v>0</v>
      </c>
      <c r="F18851" s="2">
        <v>1718</v>
      </c>
      <c r="G18851" s="2">
        <v>100</v>
      </c>
      <c r="H18851" s="2">
        <v>337</v>
      </c>
      <c r="I18851" s="2">
        <v>1498</v>
      </c>
      <c r="J18851" s="2">
        <v>2508</v>
      </c>
      <c r="K18851" s="2">
        <v>123</v>
      </c>
      <c r="L18851" s="2">
        <v>459</v>
      </c>
    </row>
    <row r="18852" spans="1:12" x14ac:dyDescent="0.25">
      <c r="A18852" s="4" t="str">
        <f>HYPERLINK("http://www.rosaceae.org/Prunus/Prunus_persica/p.persica_gdr_reftransV1_0043094","p.persica_gdr_reftransV1_0043094")</f>
        <v>p.persica_gdr_reftransV1_0043094</v>
      </c>
      <c r="B18852" s="2">
        <v>1468</v>
      </c>
      <c r="C18852" s="4" t="str">
        <f>HYPERLINK("http://www.uniprot.org/uniprot/M5WWR1","M5WWR1")</f>
        <v>M5WWR1</v>
      </c>
      <c r="D18852" s="2" t="s">
        <v>14529</v>
      </c>
      <c r="E18852" s="3">
        <v>0</v>
      </c>
      <c r="F18852" s="2">
        <v>2456</v>
      </c>
      <c r="G18852" s="2">
        <v>100</v>
      </c>
      <c r="H18852" s="2">
        <v>456</v>
      </c>
      <c r="I18852" s="2">
        <v>19</v>
      </c>
      <c r="J18852" s="2">
        <v>1386</v>
      </c>
      <c r="K18852" s="2">
        <v>1</v>
      </c>
      <c r="L18852" s="2">
        <v>456</v>
      </c>
    </row>
    <row r="18853" spans="1:12" x14ac:dyDescent="0.25">
      <c r="A18853" s="4" t="str">
        <f>HYPERLINK("http://www.rosaceae.org/Prunus/Prunus_persica/p.persica_gdr_reftransV1_0043444","p.persica_gdr_reftransV1_0043444")</f>
        <v>p.persica_gdr_reftransV1_0043444</v>
      </c>
      <c r="B18853" s="2">
        <v>552</v>
      </c>
      <c r="C18853" s="4" t="str">
        <f>HYPERLINK("http://www.uniprot.org/uniprot/M5XWR4","M5XWR4")</f>
        <v>M5XWR4</v>
      </c>
      <c r="D18853" s="2" t="s">
        <v>14530</v>
      </c>
      <c r="E18853" s="3">
        <v>1.5800000000000001E-55</v>
      </c>
      <c r="F18853" s="2">
        <v>462</v>
      </c>
      <c r="G18853" s="2">
        <v>91</v>
      </c>
      <c r="H18853" s="2">
        <v>99</v>
      </c>
      <c r="I18853" s="2">
        <v>254</v>
      </c>
      <c r="J18853" s="2">
        <v>550</v>
      </c>
      <c r="K18853" s="2">
        <v>7</v>
      </c>
      <c r="L18853" s="2">
        <v>104</v>
      </c>
    </row>
    <row r="18854" spans="1:12" x14ac:dyDescent="0.25">
      <c r="A18854" s="4" t="str">
        <f>HYPERLINK("http://www.rosaceae.org/Prunus/Prunus_persica/p.persica_gdr_reftransV1_0043794","p.persica_gdr_reftransV1_0043794")</f>
        <v>p.persica_gdr_reftransV1_0043794</v>
      </c>
      <c r="B18854" s="2">
        <v>2803</v>
      </c>
      <c r="C18854" s="4" t="str">
        <f>HYPERLINK("http://www.uniprot.org/uniprot/M5W6D4","M5W6D4")</f>
        <v>M5W6D4</v>
      </c>
      <c r="D18854" s="2" t="s">
        <v>14531</v>
      </c>
      <c r="E18854" s="3">
        <v>0</v>
      </c>
      <c r="F18854" s="2">
        <v>3862</v>
      </c>
      <c r="G18854" s="2">
        <v>100</v>
      </c>
      <c r="H18854" s="2">
        <v>777</v>
      </c>
      <c r="I18854" s="2">
        <v>146</v>
      </c>
      <c r="J18854" s="2">
        <v>2476</v>
      </c>
      <c r="K18854" s="2">
        <v>1</v>
      </c>
      <c r="L18854" s="2">
        <v>777</v>
      </c>
    </row>
    <row r="18855" spans="1:12" x14ac:dyDescent="0.25">
      <c r="A18855" s="4" t="str">
        <f>HYPERLINK("http://www.rosaceae.org/Prunus/Prunus_persica/p.persica_gdr_reftransV1_0044144","p.persica_gdr_reftransV1_0044144")</f>
        <v>p.persica_gdr_reftransV1_0044144</v>
      </c>
      <c r="B18855" s="2">
        <v>353</v>
      </c>
      <c r="C18855" s="4" t="str">
        <f>HYPERLINK("http://www.uniprot.org/uniprot/M5W543","M5W543")</f>
        <v>M5W543</v>
      </c>
      <c r="D18855" s="2" t="s">
        <v>10341</v>
      </c>
      <c r="E18855" s="3">
        <v>9.2700000000000006E-62</v>
      </c>
      <c r="F18855" s="2">
        <v>525</v>
      </c>
      <c r="G18855" s="2">
        <v>100</v>
      </c>
      <c r="H18855" s="2">
        <v>117</v>
      </c>
      <c r="I18855" s="2">
        <v>2</v>
      </c>
      <c r="J18855" s="2">
        <v>352</v>
      </c>
      <c r="K18855" s="2">
        <v>102</v>
      </c>
      <c r="L18855" s="2">
        <v>218</v>
      </c>
    </row>
    <row r="18856" spans="1:12" x14ac:dyDescent="0.25">
      <c r="A18856" s="4" t="str">
        <f>HYPERLINK("http://www.rosaceae.org/Prunus/Prunus_persica/p.persica_gdr_reftransV1_0044494","p.persica_gdr_reftransV1_0044494")</f>
        <v>p.persica_gdr_reftransV1_0044494</v>
      </c>
      <c r="B18856" s="2">
        <v>1108</v>
      </c>
      <c r="C18856" s="4" t="str">
        <f>HYPERLINK("http://www.uniprot.org/uniprot/M5W0F5","M5W0F5")</f>
        <v>M5W0F5</v>
      </c>
      <c r="D18856" s="2" t="s">
        <v>14532</v>
      </c>
      <c r="E18856" s="3">
        <v>2.46E-118</v>
      </c>
      <c r="F18856" s="2">
        <v>902</v>
      </c>
      <c r="G18856" s="2">
        <v>100</v>
      </c>
      <c r="H18856" s="2">
        <v>170</v>
      </c>
      <c r="I18856" s="2">
        <v>292</v>
      </c>
      <c r="J18856" s="2">
        <v>801</v>
      </c>
      <c r="K18856" s="2">
        <v>1</v>
      </c>
      <c r="L18856" s="2">
        <v>170</v>
      </c>
    </row>
    <row r="18857" spans="1:12" x14ac:dyDescent="0.25">
      <c r="A18857" s="4" t="str">
        <f>HYPERLINK("http://www.rosaceae.org/Prunus/Prunus_persica/p.persica_gdr_reftransV1_0044844","p.persica_gdr_reftransV1_0044844")</f>
        <v>p.persica_gdr_reftransV1_0044844</v>
      </c>
      <c r="B18857" s="2">
        <v>1348</v>
      </c>
      <c r="C18857" s="4" t="str">
        <f>HYPERLINK("http://www.uniprot.org/uniprot/M5XCM5","M5XCM5")</f>
        <v>M5XCM5</v>
      </c>
      <c r="D18857" s="2" t="s">
        <v>14492</v>
      </c>
      <c r="E18857" s="3">
        <v>0</v>
      </c>
      <c r="F18857" s="2">
        <v>1647</v>
      </c>
      <c r="G18857" s="2">
        <v>100</v>
      </c>
      <c r="H18857" s="2">
        <v>329</v>
      </c>
      <c r="I18857" s="2">
        <v>360</v>
      </c>
      <c r="J18857" s="2">
        <v>1346</v>
      </c>
      <c r="K18857" s="2">
        <v>214</v>
      </c>
      <c r="L18857" s="2">
        <v>542</v>
      </c>
    </row>
    <row r="18858" spans="1:12" x14ac:dyDescent="0.25">
      <c r="A18858" s="4" t="str">
        <f>HYPERLINK("http://www.rosaceae.org/Prunus/Prunus_persica/p.persica_gdr_reftransV1_0045194","p.persica_gdr_reftransV1_0045194")</f>
        <v>p.persica_gdr_reftransV1_0045194</v>
      </c>
      <c r="B18858" s="2">
        <v>1635</v>
      </c>
      <c r="C18858" s="4" t="str">
        <f>HYPERLINK("http://www.uniprot.org/uniprot/M5W9P4","M5W9P4")</f>
        <v>M5W9P4</v>
      </c>
      <c r="D18858" s="2" t="s">
        <v>3478</v>
      </c>
      <c r="E18858" s="3">
        <v>0</v>
      </c>
      <c r="F18858" s="2">
        <v>2068</v>
      </c>
      <c r="G18858" s="2">
        <v>99</v>
      </c>
      <c r="H18858" s="2">
        <v>392</v>
      </c>
      <c r="I18858" s="2">
        <v>460</v>
      </c>
      <c r="J18858" s="2">
        <v>1635</v>
      </c>
      <c r="K18858" s="2">
        <v>119</v>
      </c>
      <c r="L18858" s="2">
        <v>508</v>
      </c>
    </row>
    <row r="18859" spans="1:12" x14ac:dyDescent="0.25">
      <c r="A18859" s="4" t="str">
        <f>HYPERLINK("http://www.rosaceae.org/Prunus/Prunus_persica/p.persica_gdr_reftransV1_0045544","p.persica_gdr_reftransV1_0045544")</f>
        <v>p.persica_gdr_reftransV1_0045544</v>
      </c>
      <c r="B18859" s="2">
        <v>1719</v>
      </c>
      <c r="C18859" s="4" t="str">
        <f>HYPERLINK("http://www.uniprot.org/uniprot/M5W5H0","M5W5H0")</f>
        <v>M5W5H0</v>
      </c>
      <c r="D18859" s="2" t="s">
        <v>14533</v>
      </c>
      <c r="E18859" s="3">
        <v>0</v>
      </c>
      <c r="F18859" s="2">
        <v>2322</v>
      </c>
      <c r="G18859" s="2">
        <v>100</v>
      </c>
      <c r="H18859" s="2">
        <v>480</v>
      </c>
      <c r="I18859" s="2">
        <v>42</v>
      </c>
      <c r="J18859" s="2">
        <v>1481</v>
      </c>
      <c r="K18859" s="2">
        <v>1</v>
      </c>
      <c r="L18859" s="2">
        <v>480</v>
      </c>
    </row>
    <row r="18860" spans="1:12" x14ac:dyDescent="0.25">
      <c r="A18860" s="4" t="str">
        <f>HYPERLINK("http://www.rosaceae.org/Prunus/Prunus_persica/p.persica_gdr_reftransV1_0045894","p.persica_gdr_reftransV1_0045894")</f>
        <v>p.persica_gdr_reftransV1_0045894</v>
      </c>
      <c r="B18860" s="2">
        <v>1264</v>
      </c>
      <c r="C18860" s="4" t="str">
        <f>HYPERLINK("http://www.uniprot.org/uniprot/M5VZP0","M5VZP0")</f>
        <v>M5VZP0</v>
      </c>
      <c r="D18860" s="2" t="s">
        <v>14534</v>
      </c>
      <c r="E18860" s="3">
        <v>0</v>
      </c>
      <c r="F18860" s="2">
        <v>1380</v>
      </c>
      <c r="G18860" s="2">
        <v>100</v>
      </c>
      <c r="H18860" s="2">
        <v>258</v>
      </c>
      <c r="I18860" s="2">
        <v>417</v>
      </c>
      <c r="J18860" s="2">
        <v>1190</v>
      </c>
      <c r="K18860" s="2">
        <v>1</v>
      </c>
      <c r="L18860" s="2">
        <v>258</v>
      </c>
    </row>
    <row r="18861" spans="1:12" x14ac:dyDescent="0.25">
      <c r="A18861" s="4" t="str">
        <f>HYPERLINK("http://www.rosaceae.org/Prunus/Prunus_persica/p.persica_gdr_reftransV1_0046244","p.persica_gdr_reftransV1_0046244")</f>
        <v>p.persica_gdr_reftransV1_0046244</v>
      </c>
      <c r="B18861" s="2">
        <v>573</v>
      </c>
      <c r="C18861" s="4" t="str">
        <f>HYPERLINK("http://www.uniprot.org/uniprot/M5X0D5","M5X0D5")</f>
        <v>M5X0D5</v>
      </c>
      <c r="D18861" s="2" t="s">
        <v>2136</v>
      </c>
      <c r="E18861" s="3">
        <v>2.3800000000000002E-97</v>
      </c>
      <c r="F18861" s="2">
        <v>750</v>
      </c>
      <c r="G18861" s="2">
        <v>99</v>
      </c>
      <c r="H18861" s="2">
        <v>150</v>
      </c>
      <c r="I18861" s="2">
        <v>113</v>
      </c>
      <c r="J18861" s="2">
        <v>562</v>
      </c>
      <c r="K18861" s="2">
        <v>77</v>
      </c>
      <c r="L18861" s="2">
        <v>226</v>
      </c>
    </row>
    <row r="18862" spans="1:12" x14ac:dyDescent="0.25">
      <c r="A18862" s="4" t="str">
        <f>HYPERLINK("http://www.rosaceae.org/Prunus/Prunus_persica/p.persica_gdr_reftransV1_0046944","p.persica_gdr_reftransV1_0046944")</f>
        <v>p.persica_gdr_reftransV1_0046944</v>
      </c>
      <c r="B18862" s="2">
        <v>1633</v>
      </c>
      <c r="C18862" s="4" t="str">
        <f>HYPERLINK("http://www.uniprot.org/uniprot/M5XJF9","M5XJF9")</f>
        <v>M5XJF9</v>
      </c>
      <c r="D18862" s="2" t="s">
        <v>5242</v>
      </c>
      <c r="E18862" s="3">
        <v>0</v>
      </c>
      <c r="F18862" s="2">
        <v>2258</v>
      </c>
      <c r="G18862" s="2">
        <v>98</v>
      </c>
      <c r="H18862" s="2">
        <v>442</v>
      </c>
      <c r="I18862" s="2">
        <v>172</v>
      </c>
      <c r="J18862" s="2">
        <v>1497</v>
      </c>
      <c r="K18862" s="2">
        <v>19</v>
      </c>
      <c r="L18862" s="2">
        <v>460</v>
      </c>
    </row>
    <row r="18863" spans="1:12" x14ac:dyDescent="0.25">
      <c r="A18863" s="4" t="str">
        <f>HYPERLINK("http://www.rosaceae.org/Prunus/Prunus_persica/p.persica_gdr_reftransV1_0047294","p.persica_gdr_reftransV1_0047294")</f>
        <v>p.persica_gdr_reftransV1_0047294</v>
      </c>
      <c r="B18863" s="2">
        <v>1059</v>
      </c>
      <c r="C18863" s="4" t="str">
        <f>HYPERLINK("http://www.uniprot.org/uniprot/M5XPA0","M5XPA0")</f>
        <v>M5XPA0</v>
      </c>
      <c r="D18863" s="2" t="s">
        <v>14535</v>
      </c>
      <c r="E18863" s="3">
        <v>3.8999999999999998E-147</v>
      </c>
      <c r="F18863" s="2">
        <v>1095</v>
      </c>
      <c r="G18863" s="2">
        <v>100</v>
      </c>
      <c r="H18863" s="2">
        <v>207</v>
      </c>
      <c r="I18863" s="2">
        <v>159</v>
      </c>
      <c r="J18863" s="2">
        <v>779</v>
      </c>
      <c r="K18863" s="2">
        <v>1</v>
      </c>
      <c r="L18863" s="2">
        <v>207</v>
      </c>
    </row>
    <row r="18864" spans="1:12" x14ac:dyDescent="0.25">
      <c r="A18864" s="4" t="str">
        <f>HYPERLINK("http://www.rosaceae.org/Prunus/Prunus_persica/p.persica_gdr_reftransV1_0047644","p.persica_gdr_reftransV1_0047644")</f>
        <v>p.persica_gdr_reftransV1_0047644</v>
      </c>
      <c r="B18864" s="2">
        <v>1093</v>
      </c>
      <c r="C18864" s="4" t="str">
        <f>HYPERLINK("http://www.uniprot.org/uniprot/M5XN66","M5XN66")</f>
        <v>M5XN66</v>
      </c>
      <c r="D18864" s="2" t="s">
        <v>14536</v>
      </c>
      <c r="E18864" s="3">
        <v>0</v>
      </c>
      <c r="F18864" s="2">
        <v>1500</v>
      </c>
      <c r="G18864" s="2">
        <v>100</v>
      </c>
      <c r="H18864" s="2">
        <v>298</v>
      </c>
      <c r="I18864" s="2">
        <v>199</v>
      </c>
      <c r="J18864" s="2">
        <v>1092</v>
      </c>
      <c r="K18864" s="2">
        <v>1</v>
      </c>
      <c r="L18864" s="2">
        <v>298</v>
      </c>
    </row>
    <row r="18865" spans="1:12" x14ac:dyDescent="0.25">
      <c r="A18865" s="4" t="str">
        <f>HYPERLINK("http://www.rosaceae.org/Prunus/Prunus_persica/p.persica_gdr_reftransV1_0048694","p.persica_gdr_reftransV1_0048694")</f>
        <v>p.persica_gdr_reftransV1_0048694</v>
      </c>
      <c r="B18865" s="2">
        <v>3254</v>
      </c>
      <c r="C18865" s="4" t="str">
        <f>HYPERLINK("http://www.uniprot.org/uniprot/M5WAH9","M5WAH9")</f>
        <v>M5WAH9</v>
      </c>
      <c r="D18865" s="2" t="s">
        <v>14537</v>
      </c>
      <c r="E18865" s="3">
        <v>0</v>
      </c>
      <c r="F18865" s="2">
        <v>2147</v>
      </c>
      <c r="G18865" s="2">
        <v>100</v>
      </c>
      <c r="H18865" s="2">
        <v>508</v>
      </c>
      <c r="I18865" s="2">
        <v>1510</v>
      </c>
      <c r="J18865" s="2">
        <v>3033</v>
      </c>
      <c r="K18865" s="2">
        <v>1</v>
      </c>
      <c r="L18865" s="2">
        <v>508</v>
      </c>
    </row>
    <row r="18866" spans="1:12" x14ac:dyDescent="0.25">
      <c r="A18866" s="4" t="str">
        <f>HYPERLINK("http://www.rosaceae.org/Prunus/Prunus_persica/p.persica_gdr_reftransV1_0049044","p.persica_gdr_reftransV1_0049044")</f>
        <v>p.persica_gdr_reftransV1_0049044</v>
      </c>
      <c r="B18866" s="2">
        <v>1450</v>
      </c>
      <c r="C18866" s="4" t="str">
        <f>HYPERLINK("http://www.uniprot.org/uniprot/M5WA62","M5WA62")</f>
        <v>M5WA62</v>
      </c>
      <c r="D18866" s="2" t="s">
        <v>1177</v>
      </c>
      <c r="E18866" s="3">
        <v>1.9500000000000001E-178</v>
      </c>
      <c r="F18866" s="2">
        <v>1324</v>
      </c>
      <c r="G18866" s="2">
        <v>100</v>
      </c>
      <c r="H18866" s="2">
        <v>298</v>
      </c>
      <c r="I18866" s="2">
        <v>453</v>
      </c>
      <c r="J18866" s="2">
        <v>1346</v>
      </c>
      <c r="K18866" s="2">
        <v>1</v>
      </c>
      <c r="L18866" s="2">
        <v>298</v>
      </c>
    </row>
    <row r="18867" spans="1:12" x14ac:dyDescent="0.25">
      <c r="A18867" s="4" t="str">
        <f>HYPERLINK("http://www.rosaceae.org/Prunus/Prunus_persica/p.persica_gdr_reftransV1_0000045","p.persica_gdr_reftransV1_0000045")</f>
        <v>p.persica_gdr_reftransV1_0000045</v>
      </c>
      <c r="B18867" s="2">
        <v>1431</v>
      </c>
      <c r="C18867" s="4" t="str">
        <f>HYPERLINK("http://www.uniprot.org/uniprot/A4K7S2","A4K7S2")</f>
        <v>A4K7S2</v>
      </c>
      <c r="D18867" s="2" t="s">
        <v>14538</v>
      </c>
      <c r="E18867" s="3">
        <v>1.13E-152</v>
      </c>
      <c r="F18867" s="2">
        <v>1164</v>
      </c>
      <c r="G18867" s="2">
        <v>61</v>
      </c>
      <c r="H18867" s="2">
        <v>390</v>
      </c>
      <c r="I18867" s="2">
        <v>235</v>
      </c>
      <c r="J18867" s="2">
        <v>1383</v>
      </c>
      <c r="K18867" s="2">
        <v>7</v>
      </c>
      <c r="L18867" s="2">
        <v>395</v>
      </c>
    </row>
    <row r="18868" spans="1:12" x14ac:dyDescent="0.25">
      <c r="A18868" s="4" t="str">
        <f>HYPERLINK("http://www.rosaceae.org/Prunus/Prunus_persica/p.persica_gdr_reftransV1_0000395","p.persica_gdr_reftransV1_0000395")</f>
        <v>p.persica_gdr_reftransV1_0000395</v>
      </c>
      <c r="B18868" s="2">
        <v>1868</v>
      </c>
      <c r="C18868" s="4" t="str">
        <f>HYPERLINK("http://www.uniprot.org/uniprot/M5XIK5","M5XIK5")</f>
        <v>M5XIK5</v>
      </c>
      <c r="D18868" s="2" t="s">
        <v>14539</v>
      </c>
      <c r="E18868" s="3">
        <v>2.3599999999999998E-36</v>
      </c>
      <c r="F18868" s="2">
        <v>356</v>
      </c>
      <c r="G18868" s="2">
        <v>100</v>
      </c>
      <c r="H18868" s="2">
        <v>86</v>
      </c>
      <c r="I18868" s="2">
        <v>1493</v>
      </c>
      <c r="J18868" s="2">
        <v>1750</v>
      </c>
      <c r="K18868" s="2">
        <v>1</v>
      </c>
      <c r="L18868" s="2">
        <v>86</v>
      </c>
    </row>
    <row r="18869" spans="1:12" x14ac:dyDescent="0.25">
      <c r="A18869" s="4" t="str">
        <f>HYPERLINK("http://www.rosaceae.org/Prunus/Prunus_persica/p.persica_gdr_reftransV1_0000745","p.persica_gdr_reftransV1_0000745")</f>
        <v>p.persica_gdr_reftransV1_0000745</v>
      </c>
      <c r="B18869" s="2">
        <v>3828</v>
      </c>
      <c r="C18869" s="4" t="str">
        <f>HYPERLINK("http://www.uniprot.org/uniprot/M5WMD8","M5WMD8")</f>
        <v>M5WMD8</v>
      </c>
      <c r="D18869" s="2" t="s">
        <v>2582</v>
      </c>
      <c r="E18869" s="3">
        <v>0</v>
      </c>
      <c r="F18869" s="2">
        <v>4605</v>
      </c>
      <c r="G18869" s="2">
        <v>100</v>
      </c>
      <c r="H18869" s="2">
        <v>928</v>
      </c>
      <c r="I18869" s="2">
        <v>799</v>
      </c>
      <c r="J18869" s="2">
        <v>3582</v>
      </c>
      <c r="K18869" s="2">
        <v>1</v>
      </c>
      <c r="L18869" s="2">
        <v>928</v>
      </c>
    </row>
    <row r="18870" spans="1:12" x14ac:dyDescent="0.25">
      <c r="A18870" s="4" t="str">
        <f>HYPERLINK("http://www.rosaceae.org/Prunus/Prunus_persica/p.persica_gdr_reftransV1_0001445","p.persica_gdr_reftransV1_0001445")</f>
        <v>p.persica_gdr_reftransV1_0001445</v>
      </c>
      <c r="B18870" s="2">
        <v>350</v>
      </c>
      <c r="C18870" s="4" t="str">
        <f>HYPERLINK("http://www.uniprot.org/uniprot/M5XNA3","M5XNA3")</f>
        <v>M5XNA3</v>
      </c>
      <c r="D18870" s="2" t="s">
        <v>14540</v>
      </c>
      <c r="E18870" s="3">
        <v>9.9999999999999992E-72</v>
      </c>
      <c r="F18870" s="2">
        <v>578</v>
      </c>
      <c r="G18870" s="2">
        <v>97</v>
      </c>
      <c r="H18870" s="2">
        <v>116</v>
      </c>
      <c r="I18870" s="2">
        <v>3</v>
      </c>
      <c r="J18870" s="2">
        <v>350</v>
      </c>
      <c r="K18870" s="2">
        <v>158</v>
      </c>
      <c r="L18870" s="2">
        <v>273</v>
      </c>
    </row>
    <row r="18871" spans="1:12" x14ac:dyDescent="0.25">
      <c r="A18871" s="4" t="str">
        <f>HYPERLINK("http://www.rosaceae.org/Prunus/Prunus_persica/p.persica_gdr_reftransV1_0001795","p.persica_gdr_reftransV1_0001795")</f>
        <v>p.persica_gdr_reftransV1_0001795</v>
      </c>
      <c r="B18871" s="2">
        <v>1880</v>
      </c>
      <c r="C18871" s="4" t="str">
        <f>HYPERLINK("http://www.uniprot.org/uniprot/M1AJ31","M1AJ31")</f>
        <v>M1AJ31</v>
      </c>
      <c r="D18871" s="2" t="s">
        <v>14541</v>
      </c>
      <c r="E18871" s="3">
        <v>7.0400000000000001E-98</v>
      </c>
      <c r="F18871" s="2">
        <v>554</v>
      </c>
      <c r="G18871" s="2">
        <v>71</v>
      </c>
      <c r="H18871" s="2">
        <v>187</v>
      </c>
      <c r="I18871" s="2">
        <v>197</v>
      </c>
      <c r="J18871" s="2">
        <v>757</v>
      </c>
      <c r="K18871" s="2">
        <v>3</v>
      </c>
      <c r="L18871" s="2">
        <v>189</v>
      </c>
    </row>
    <row r="18872" spans="1:12" x14ac:dyDescent="0.25">
      <c r="A18872" s="4" t="str">
        <f>HYPERLINK("http://www.rosaceae.org/Prunus/Prunus_persica/p.persica_gdr_reftransV1_0002145","p.persica_gdr_reftransV1_0002145")</f>
        <v>p.persica_gdr_reftransV1_0002145</v>
      </c>
      <c r="B18872" s="2">
        <v>2455</v>
      </c>
      <c r="C18872" s="4" t="str">
        <f>HYPERLINK("http://www.uniprot.org/uniprot/M5WM12","M5WM12")</f>
        <v>M5WM12</v>
      </c>
      <c r="D18872" s="2" t="s">
        <v>11286</v>
      </c>
      <c r="E18872" s="3">
        <v>0</v>
      </c>
      <c r="F18872" s="2">
        <v>2282</v>
      </c>
      <c r="G18872" s="2">
        <v>100</v>
      </c>
      <c r="H18872" s="2">
        <v>476</v>
      </c>
      <c r="I18872" s="2">
        <v>155</v>
      </c>
      <c r="J18872" s="2">
        <v>1582</v>
      </c>
      <c r="K18872" s="2">
        <v>280</v>
      </c>
      <c r="L18872" s="2">
        <v>755</v>
      </c>
    </row>
    <row r="18873" spans="1:12" x14ac:dyDescent="0.25">
      <c r="A18873" s="4" t="str">
        <f>HYPERLINK("http://www.rosaceae.org/Prunus/Prunus_persica/p.persica_gdr_reftransV1_0002495","p.persica_gdr_reftransV1_0002495")</f>
        <v>p.persica_gdr_reftransV1_0002495</v>
      </c>
      <c r="B18873" s="2">
        <v>2360</v>
      </c>
      <c r="C18873" s="4" t="str">
        <f>HYPERLINK("http://www.uniprot.org/uniprot/M5W653","M5W653")</f>
        <v>M5W653</v>
      </c>
      <c r="D18873" s="2" t="s">
        <v>14542</v>
      </c>
      <c r="E18873" s="3">
        <v>0</v>
      </c>
      <c r="F18873" s="2">
        <v>2632</v>
      </c>
      <c r="G18873" s="2">
        <v>100</v>
      </c>
      <c r="H18873" s="2">
        <v>606</v>
      </c>
      <c r="I18873" s="2">
        <v>241</v>
      </c>
      <c r="J18873" s="2">
        <v>2058</v>
      </c>
      <c r="K18873" s="2">
        <v>1</v>
      </c>
      <c r="L18873" s="2">
        <v>606</v>
      </c>
    </row>
    <row r="18874" spans="1:12" x14ac:dyDescent="0.25">
      <c r="A18874" s="4" t="str">
        <f>HYPERLINK("http://www.rosaceae.org/Prunus/Prunus_persica/p.persica_gdr_reftransV1_0002845","p.persica_gdr_reftransV1_0002845")</f>
        <v>p.persica_gdr_reftransV1_0002845</v>
      </c>
      <c r="B18874" s="2">
        <v>732</v>
      </c>
      <c r="C18874" s="4" t="str">
        <f>HYPERLINK("http://www.uniprot.org/uniprot/M5XRZ0","M5XRZ0")</f>
        <v>M5XRZ0</v>
      </c>
      <c r="D18874" s="2" t="s">
        <v>14543</v>
      </c>
      <c r="E18874" s="3">
        <v>8.0399999999999995E-107</v>
      </c>
      <c r="F18874" s="2">
        <v>883</v>
      </c>
      <c r="G18874" s="2">
        <v>75</v>
      </c>
      <c r="H18874" s="2">
        <v>241</v>
      </c>
      <c r="I18874" s="2">
        <v>11</v>
      </c>
      <c r="J18874" s="2">
        <v>730</v>
      </c>
      <c r="K18874" s="2">
        <v>898</v>
      </c>
      <c r="L18874" s="2">
        <v>1111</v>
      </c>
    </row>
    <row r="18875" spans="1:12" x14ac:dyDescent="0.25">
      <c r="A18875" s="4" t="str">
        <f>HYPERLINK("http://www.rosaceae.org/Prunus/Prunus_persica/p.persica_gdr_reftransV1_0003545","p.persica_gdr_reftransV1_0003545")</f>
        <v>p.persica_gdr_reftransV1_0003545</v>
      </c>
      <c r="B18875" s="2">
        <v>1829</v>
      </c>
      <c r="C18875" s="4" t="str">
        <f>HYPERLINK("http://www.uniprot.org/uniprot/M5VLC3","M5VLC3")</f>
        <v>M5VLC3</v>
      </c>
      <c r="D18875" s="2" t="s">
        <v>1102</v>
      </c>
      <c r="E18875" s="3">
        <v>1.0700000000000001E-31</v>
      </c>
      <c r="F18875" s="2">
        <v>338</v>
      </c>
      <c r="G18875" s="2">
        <v>100</v>
      </c>
      <c r="H18875" s="2">
        <v>63</v>
      </c>
      <c r="I18875" s="2">
        <v>1641</v>
      </c>
      <c r="J18875" s="2">
        <v>1829</v>
      </c>
      <c r="K18875" s="2">
        <v>127</v>
      </c>
      <c r="L18875" s="2">
        <v>189</v>
      </c>
    </row>
    <row r="18876" spans="1:12" x14ac:dyDescent="0.25">
      <c r="A18876" s="4" t="str">
        <f>HYPERLINK("http://www.rosaceae.org/Prunus/Prunus_persica/p.persica_gdr_reftransV1_0003895","p.persica_gdr_reftransV1_0003895")</f>
        <v>p.persica_gdr_reftransV1_0003895</v>
      </c>
      <c r="B18876" s="2">
        <v>1234</v>
      </c>
      <c r="C18876" s="4" t="str">
        <f>HYPERLINK("http://www.uniprot.org/uniprot/M5W894","M5W894")</f>
        <v>M5W894</v>
      </c>
      <c r="D18876" s="2" t="s">
        <v>3631</v>
      </c>
      <c r="E18876" s="3">
        <v>0</v>
      </c>
      <c r="F18876" s="2">
        <v>1457</v>
      </c>
      <c r="G18876" s="2">
        <v>99</v>
      </c>
      <c r="H18876" s="2">
        <v>311</v>
      </c>
      <c r="I18876" s="2">
        <v>3</v>
      </c>
      <c r="J18876" s="2">
        <v>935</v>
      </c>
      <c r="K18876" s="2">
        <v>317</v>
      </c>
      <c r="L18876" s="2">
        <v>627</v>
      </c>
    </row>
    <row r="18877" spans="1:12" x14ac:dyDescent="0.25">
      <c r="A18877" s="4" t="str">
        <f>HYPERLINK("http://www.rosaceae.org/Prunus/Prunus_persica/p.persica_gdr_reftransV1_0004245","p.persica_gdr_reftransV1_0004245")</f>
        <v>p.persica_gdr_reftransV1_0004245</v>
      </c>
      <c r="B18877" s="2">
        <v>919</v>
      </c>
      <c r="C18877" s="4" t="str">
        <f>HYPERLINK("http://www.uniprot.org/uniprot/M5WHG3","M5WHG3")</f>
        <v>M5WHG3</v>
      </c>
      <c r="D18877" s="2" t="s">
        <v>13097</v>
      </c>
      <c r="E18877" s="3">
        <v>0</v>
      </c>
      <c r="F18877" s="2">
        <v>1591</v>
      </c>
      <c r="G18877" s="2">
        <v>99</v>
      </c>
      <c r="H18877" s="2">
        <v>305</v>
      </c>
      <c r="I18877" s="2">
        <v>3</v>
      </c>
      <c r="J18877" s="2">
        <v>917</v>
      </c>
      <c r="K18877" s="2">
        <v>33</v>
      </c>
      <c r="L18877" s="2">
        <v>335</v>
      </c>
    </row>
    <row r="18878" spans="1:12" x14ac:dyDescent="0.25">
      <c r="A18878" s="4" t="str">
        <f>HYPERLINK("http://www.rosaceae.org/Prunus/Prunus_persica/p.persica_gdr_reftransV1_0004595","p.persica_gdr_reftransV1_0004595")</f>
        <v>p.persica_gdr_reftransV1_0004595</v>
      </c>
      <c r="B18878" s="2">
        <v>2138</v>
      </c>
      <c r="C18878" s="4" t="str">
        <f>HYPERLINK("http://www.uniprot.org/uniprot/M5WAB3","M5WAB3")</f>
        <v>M5WAB3</v>
      </c>
      <c r="D18878" s="2" t="s">
        <v>14544</v>
      </c>
      <c r="E18878" s="3">
        <v>0</v>
      </c>
      <c r="F18878" s="2">
        <v>3054</v>
      </c>
      <c r="G18878" s="2">
        <v>100</v>
      </c>
      <c r="H18878" s="2">
        <v>571</v>
      </c>
      <c r="I18878" s="2">
        <v>340</v>
      </c>
      <c r="J18878" s="2">
        <v>2052</v>
      </c>
      <c r="K18878" s="2">
        <v>1</v>
      </c>
      <c r="L18878" s="2">
        <v>571</v>
      </c>
    </row>
    <row r="18879" spans="1:12" x14ac:dyDescent="0.25">
      <c r="A18879" s="4" t="str">
        <f>HYPERLINK("http://www.rosaceae.org/Prunus/Prunus_persica/p.persica_gdr_reftransV1_0004945","p.persica_gdr_reftransV1_0004945")</f>
        <v>p.persica_gdr_reftransV1_0004945</v>
      </c>
      <c r="B18879" s="2">
        <v>3679</v>
      </c>
      <c r="C18879" s="4" t="str">
        <f>HYPERLINK("http://www.uniprot.org/uniprot/M5W762","M5W762")</f>
        <v>M5W762</v>
      </c>
      <c r="D18879" s="2" t="s">
        <v>14545</v>
      </c>
      <c r="E18879" s="3">
        <v>0</v>
      </c>
      <c r="F18879" s="2">
        <v>5185</v>
      </c>
      <c r="G18879" s="2">
        <v>100</v>
      </c>
      <c r="H18879" s="2">
        <v>1007</v>
      </c>
      <c r="I18879" s="2">
        <v>269</v>
      </c>
      <c r="J18879" s="2">
        <v>3289</v>
      </c>
      <c r="K18879" s="2">
        <v>1</v>
      </c>
      <c r="L18879" s="2">
        <v>1007</v>
      </c>
    </row>
    <row r="18880" spans="1:12" x14ac:dyDescent="0.25">
      <c r="A18880" s="4" t="str">
        <f>HYPERLINK("http://www.rosaceae.org/Prunus/Prunus_persica/p.persica_gdr_reftransV1_0005295","p.persica_gdr_reftransV1_0005295")</f>
        <v>p.persica_gdr_reftransV1_0005295</v>
      </c>
      <c r="B18880" s="2">
        <v>498</v>
      </c>
      <c r="C18880" s="4" t="str">
        <f>HYPERLINK("http://www.uniprot.org/uniprot/M5W471","M5W471")</f>
        <v>M5W471</v>
      </c>
      <c r="D18880" s="2" t="s">
        <v>2740</v>
      </c>
      <c r="E18880" s="3">
        <v>1.7700000000000001E-112</v>
      </c>
      <c r="F18880" s="2">
        <v>892</v>
      </c>
      <c r="G18880" s="2">
        <v>100</v>
      </c>
      <c r="H18880" s="2">
        <v>165</v>
      </c>
      <c r="I18880" s="2">
        <v>2</v>
      </c>
      <c r="J18880" s="2">
        <v>496</v>
      </c>
      <c r="K18880" s="2">
        <v>584</v>
      </c>
      <c r="L18880" s="2">
        <v>748</v>
      </c>
    </row>
    <row r="18881" spans="1:12" x14ac:dyDescent="0.25">
      <c r="A18881" s="4" t="str">
        <f>HYPERLINK("http://www.rosaceae.org/Prunus/Prunus_persica/p.persica_gdr_reftransV1_0005645","p.persica_gdr_reftransV1_0005645")</f>
        <v>p.persica_gdr_reftransV1_0005645</v>
      </c>
      <c r="B18881" s="2">
        <v>377</v>
      </c>
      <c r="C18881" s="4" t="str">
        <f>HYPERLINK("http://www.uniprot.org/uniprot/M5WNG9","M5WNG9")</f>
        <v>M5WNG9</v>
      </c>
      <c r="D18881" s="2" t="s">
        <v>8713</v>
      </c>
      <c r="E18881" s="3">
        <v>6.3700000000000002E-50</v>
      </c>
      <c r="F18881" s="2">
        <v>430</v>
      </c>
      <c r="G18881" s="2">
        <v>100</v>
      </c>
      <c r="H18881" s="2">
        <v>125</v>
      </c>
      <c r="I18881" s="2">
        <v>2</v>
      </c>
      <c r="J18881" s="2">
        <v>376</v>
      </c>
      <c r="K18881" s="2">
        <v>112</v>
      </c>
      <c r="L18881" s="2">
        <v>236</v>
      </c>
    </row>
    <row r="18882" spans="1:12" x14ac:dyDescent="0.25">
      <c r="A18882" s="4" t="str">
        <f>HYPERLINK("http://www.rosaceae.org/Prunus/Prunus_persica/p.persica_gdr_reftransV1_0007395","p.persica_gdr_reftransV1_0007395")</f>
        <v>p.persica_gdr_reftransV1_0007395</v>
      </c>
      <c r="B18882" s="2">
        <v>1772</v>
      </c>
      <c r="C18882" s="4" t="str">
        <f>HYPERLINK("http://www.uniprot.org/uniprot/M5XYM5","M5XYM5")</f>
        <v>M5XYM5</v>
      </c>
      <c r="D18882" s="2" t="s">
        <v>14546</v>
      </c>
      <c r="E18882" s="3">
        <v>0</v>
      </c>
      <c r="F18882" s="2">
        <v>1828</v>
      </c>
      <c r="G18882" s="2">
        <v>100</v>
      </c>
      <c r="H18882" s="2">
        <v>340</v>
      </c>
      <c r="I18882" s="2">
        <v>204</v>
      </c>
      <c r="J18882" s="2">
        <v>1223</v>
      </c>
      <c r="K18882" s="2">
        <v>34</v>
      </c>
      <c r="L18882" s="2">
        <v>373</v>
      </c>
    </row>
    <row r="18883" spans="1:12" x14ac:dyDescent="0.25">
      <c r="A18883" s="4" t="str">
        <f>HYPERLINK("http://www.rosaceae.org/Prunus/Prunus_persica/p.persica_gdr_reftransV1_0008095","p.persica_gdr_reftransV1_0008095")</f>
        <v>p.persica_gdr_reftransV1_0008095</v>
      </c>
      <c r="B18883" s="2">
        <v>2107</v>
      </c>
      <c r="C18883" s="4" t="str">
        <f>HYPERLINK("http://www.uniprot.org/uniprot/M5XCB7","M5XCB7")</f>
        <v>M5XCB7</v>
      </c>
      <c r="D18883" s="2" t="s">
        <v>14547</v>
      </c>
      <c r="E18883" s="3">
        <v>0</v>
      </c>
      <c r="F18883" s="2">
        <v>2516</v>
      </c>
      <c r="G18883" s="2">
        <v>100</v>
      </c>
      <c r="H18883" s="2">
        <v>471</v>
      </c>
      <c r="I18883" s="2">
        <v>353</v>
      </c>
      <c r="J18883" s="2">
        <v>1765</v>
      </c>
      <c r="K18883" s="2">
        <v>1</v>
      </c>
      <c r="L18883" s="2">
        <v>471</v>
      </c>
    </row>
    <row r="18884" spans="1:12" x14ac:dyDescent="0.25">
      <c r="A18884" s="4" t="str">
        <f>HYPERLINK("http://www.rosaceae.org/Prunus/Prunus_persica/p.persica_gdr_reftransV1_0008445","p.persica_gdr_reftransV1_0008445")</f>
        <v>p.persica_gdr_reftransV1_0008445</v>
      </c>
      <c r="B18884" s="2">
        <v>2033</v>
      </c>
      <c r="C18884" s="4" t="str">
        <f>HYPERLINK("http://www.uniprot.org/uniprot/M5VYR5","M5VYR5")</f>
        <v>M5VYR5</v>
      </c>
      <c r="D18884" s="2" t="s">
        <v>14548</v>
      </c>
      <c r="E18884" s="3">
        <v>0</v>
      </c>
      <c r="F18884" s="2">
        <v>2314</v>
      </c>
      <c r="G18884" s="2">
        <v>100</v>
      </c>
      <c r="H18884" s="2">
        <v>517</v>
      </c>
      <c r="I18884" s="2">
        <v>95</v>
      </c>
      <c r="J18884" s="2">
        <v>1645</v>
      </c>
      <c r="K18884" s="2">
        <v>1</v>
      </c>
      <c r="L18884" s="2">
        <v>517</v>
      </c>
    </row>
    <row r="18885" spans="1:12" x14ac:dyDescent="0.25">
      <c r="A18885" s="4" t="str">
        <f>HYPERLINK("http://www.rosaceae.org/Prunus/Prunus_persica/p.persica_gdr_reftransV1_0009145","p.persica_gdr_reftransV1_0009145")</f>
        <v>p.persica_gdr_reftransV1_0009145</v>
      </c>
      <c r="B18885" s="2">
        <v>1893</v>
      </c>
      <c r="C18885" s="4" t="str">
        <f>HYPERLINK("http://www.uniprot.org/uniprot/M5WM15","M5WM15")</f>
        <v>M5WM15</v>
      </c>
      <c r="D18885" s="2" t="s">
        <v>14549</v>
      </c>
      <c r="E18885" s="3">
        <v>0</v>
      </c>
      <c r="F18885" s="2">
        <v>2365</v>
      </c>
      <c r="G18885" s="2">
        <v>100</v>
      </c>
      <c r="H18885" s="2">
        <v>467</v>
      </c>
      <c r="I18885" s="2">
        <v>60</v>
      </c>
      <c r="J18885" s="2">
        <v>1460</v>
      </c>
      <c r="K18885" s="2">
        <v>1</v>
      </c>
      <c r="L18885" s="2">
        <v>467</v>
      </c>
    </row>
    <row r="18886" spans="1:12" x14ac:dyDescent="0.25">
      <c r="A18886" s="4" t="str">
        <f>HYPERLINK("http://www.rosaceae.org/Prunus/Prunus_persica/p.persica_gdr_reftransV1_0011595","p.persica_gdr_reftransV1_0011595")</f>
        <v>p.persica_gdr_reftransV1_0011595</v>
      </c>
      <c r="B18886" s="2">
        <v>1556</v>
      </c>
      <c r="C18886" s="4" t="str">
        <f>HYPERLINK("http://www.uniprot.org/uniprot/M5WMU0","M5WMU0")</f>
        <v>M5WMU0</v>
      </c>
      <c r="D18886" s="2" t="s">
        <v>14550</v>
      </c>
      <c r="E18886" s="3">
        <v>0</v>
      </c>
      <c r="F18886" s="2">
        <v>1654</v>
      </c>
      <c r="G18886" s="2">
        <v>100</v>
      </c>
      <c r="H18886" s="2">
        <v>339</v>
      </c>
      <c r="I18886" s="2">
        <v>428</v>
      </c>
      <c r="J18886" s="2">
        <v>1444</v>
      </c>
      <c r="K18886" s="2">
        <v>1</v>
      </c>
      <c r="L18886" s="2">
        <v>339</v>
      </c>
    </row>
    <row r="18887" spans="1:12" x14ac:dyDescent="0.25">
      <c r="A18887" s="4" t="str">
        <f>HYPERLINK("http://www.rosaceae.org/Prunus/Prunus_persica/p.persica_gdr_reftransV1_0012295","p.persica_gdr_reftransV1_0012295")</f>
        <v>p.persica_gdr_reftransV1_0012295</v>
      </c>
      <c r="B18887" s="2">
        <v>2141</v>
      </c>
      <c r="C18887" s="4" t="str">
        <f>HYPERLINK("http://www.uniprot.org/uniprot/M5WF48","M5WF48")</f>
        <v>M5WF48</v>
      </c>
      <c r="D18887" s="2" t="s">
        <v>14551</v>
      </c>
      <c r="E18887" s="3">
        <v>5.4299999999999998E-51</v>
      </c>
      <c r="F18887" s="2">
        <v>467</v>
      </c>
      <c r="G18887" s="2">
        <v>98</v>
      </c>
      <c r="H18887" s="2">
        <v>88</v>
      </c>
      <c r="I18887" s="2">
        <v>1271</v>
      </c>
      <c r="J18887" s="2">
        <v>1534</v>
      </c>
      <c r="K18887" s="2">
        <v>22</v>
      </c>
      <c r="L18887" s="2">
        <v>109</v>
      </c>
    </row>
    <row r="18888" spans="1:12" x14ac:dyDescent="0.25">
      <c r="A18888" s="4" t="str">
        <f>HYPERLINK("http://www.rosaceae.org/Prunus/Prunus_persica/p.persica_gdr_reftransV1_0012645","p.persica_gdr_reftransV1_0012645")</f>
        <v>p.persica_gdr_reftransV1_0012645</v>
      </c>
      <c r="B18888" s="2">
        <v>1097</v>
      </c>
      <c r="C18888" s="4" t="str">
        <f>HYPERLINK("http://www.uniprot.org/uniprot/M5W400","M5W400")</f>
        <v>M5W400</v>
      </c>
      <c r="D18888" s="2" t="s">
        <v>12431</v>
      </c>
      <c r="E18888" s="3">
        <v>3.1899999999999998E-98</v>
      </c>
      <c r="F18888" s="2">
        <v>769</v>
      </c>
      <c r="G18888" s="2">
        <v>100</v>
      </c>
      <c r="H18888" s="2">
        <v>168</v>
      </c>
      <c r="I18888" s="2">
        <v>265</v>
      </c>
      <c r="J18888" s="2">
        <v>768</v>
      </c>
      <c r="K18888" s="2">
        <v>1</v>
      </c>
      <c r="L18888" s="2">
        <v>168</v>
      </c>
    </row>
    <row r="18889" spans="1:12" x14ac:dyDescent="0.25">
      <c r="A18889" s="4" t="str">
        <f>HYPERLINK("http://www.rosaceae.org/Prunus/Prunus_persica/p.persica_gdr_reftransV1_0012995","p.persica_gdr_reftransV1_0012995")</f>
        <v>p.persica_gdr_reftransV1_0012995</v>
      </c>
      <c r="B18889" s="2">
        <v>2332</v>
      </c>
      <c r="C18889" s="4" t="str">
        <f>HYPERLINK("http://www.uniprot.org/uniprot/M5XJP4","M5XJP4")</f>
        <v>M5XJP4</v>
      </c>
      <c r="D18889" s="2" t="s">
        <v>14552</v>
      </c>
      <c r="E18889" s="3">
        <v>2.9700000000000002E-165</v>
      </c>
      <c r="F18889" s="2">
        <v>804</v>
      </c>
      <c r="G18889" s="2">
        <v>100</v>
      </c>
      <c r="H18889" s="2">
        <v>158</v>
      </c>
      <c r="I18889" s="2">
        <v>1043</v>
      </c>
      <c r="J18889" s="2">
        <v>1516</v>
      </c>
      <c r="K18889" s="2">
        <v>177</v>
      </c>
      <c r="L18889" s="2">
        <v>334</v>
      </c>
    </row>
    <row r="18890" spans="1:12" x14ac:dyDescent="0.25">
      <c r="A18890" s="4" t="str">
        <f>HYPERLINK("http://www.rosaceae.org/Prunus/Prunus_persica/p.persica_gdr_reftransV1_0013695","p.persica_gdr_reftransV1_0013695")</f>
        <v>p.persica_gdr_reftransV1_0013695</v>
      </c>
      <c r="B18890" s="2">
        <v>1360</v>
      </c>
      <c r="C18890" s="4" t="str">
        <f>HYPERLINK("http://www.uniprot.org/uniprot/M5X0I4","M5X0I4")</f>
        <v>M5X0I4</v>
      </c>
      <c r="D18890" s="2" t="s">
        <v>4671</v>
      </c>
      <c r="E18890" s="3">
        <v>9.3000000000000007E-115</v>
      </c>
      <c r="F18890" s="2">
        <v>905</v>
      </c>
      <c r="G18890" s="2">
        <v>77</v>
      </c>
      <c r="H18890" s="2">
        <v>289</v>
      </c>
      <c r="I18890" s="2">
        <v>4</v>
      </c>
      <c r="J18890" s="2">
        <v>870</v>
      </c>
      <c r="K18890" s="2">
        <v>1</v>
      </c>
      <c r="L18890" s="2">
        <v>223</v>
      </c>
    </row>
    <row r="18891" spans="1:12" x14ac:dyDescent="0.25">
      <c r="A18891" s="4" t="str">
        <f>HYPERLINK("http://www.rosaceae.org/Prunus/Prunus_persica/p.persica_gdr_reftransV1_0014395","p.persica_gdr_reftransV1_0014395")</f>
        <v>p.persica_gdr_reftransV1_0014395</v>
      </c>
      <c r="B18891" s="2">
        <v>2235</v>
      </c>
      <c r="C18891" s="4" t="str">
        <f>HYPERLINK("http://www.uniprot.org/uniprot/M5XDA2","M5XDA2")</f>
        <v>M5XDA2</v>
      </c>
      <c r="D18891" s="2" t="s">
        <v>10820</v>
      </c>
      <c r="E18891" s="3">
        <v>0</v>
      </c>
      <c r="F18891" s="2">
        <v>1534</v>
      </c>
      <c r="G18891" s="2">
        <v>99</v>
      </c>
      <c r="H18891" s="2">
        <v>289</v>
      </c>
      <c r="I18891" s="2">
        <v>279</v>
      </c>
      <c r="J18891" s="2">
        <v>1145</v>
      </c>
      <c r="K18891" s="2">
        <v>275</v>
      </c>
      <c r="L18891" s="2">
        <v>563</v>
      </c>
    </row>
    <row r="18892" spans="1:12" x14ac:dyDescent="0.25">
      <c r="A18892" s="4" t="str">
        <f>HYPERLINK("http://www.rosaceae.org/Prunus/Prunus_persica/p.persica_gdr_reftransV1_0015445","p.persica_gdr_reftransV1_0015445")</f>
        <v>p.persica_gdr_reftransV1_0015445</v>
      </c>
      <c r="B18892" s="2">
        <v>2613</v>
      </c>
      <c r="C18892" s="4" t="str">
        <f>HYPERLINK("http://www.uniprot.org/uniprot/M5W7B8","M5W7B8")</f>
        <v>M5W7B8</v>
      </c>
      <c r="D18892" s="2" t="s">
        <v>14553</v>
      </c>
      <c r="E18892" s="3">
        <v>0</v>
      </c>
      <c r="F18892" s="2">
        <v>2754</v>
      </c>
      <c r="G18892" s="2">
        <v>89</v>
      </c>
      <c r="H18892" s="2">
        <v>626</v>
      </c>
      <c r="I18892" s="2">
        <v>483</v>
      </c>
      <c r="J18892" s="2">
        <v>2360</v>
      </c>
      <c r="K18892" s="2">
        <v>6</v>
      </c>
      <c r="L18892" s="2">
        <v>574</v>
      </c>
    </row>
    <row r="18893" spans="1:12" x14ac:dyDescent="0.25">
      <c r="A18893" s="4" t="str">
        <f>HYPERLINK("http://www.rosaceae.org/Prunus/Prunus_persica/p.persica_gdr_reftransV1_0015795","p.persica_gdr_reftransV1_0015795")</f>
        <v>p.persica_gdr_reftransV1_0015795</v>
      </c>
      <c r="B18893" s="2">
        <v>1457</v>
      </c>
      <c r="C18893" s="4" t="str">
        <f>HYPERLINK("http://www.uniprot.org/uniprot/M5WCH6","M5WCH6")</f>
        <v>M5WCH6</v>
      </c>
      <c r="D18893" s="2" t="s">
        <v>14135</v>
      </c>
      <c r="E18893" s="3">
        <v>4.8399999999999998E-133</v>
      </c>
      <c r="F18893" s="2">
        <v>1019</v>
      </c>
      <c r="G18893" s="2">
        <v>98</v>
      </c>
      <c r="H18893" s="2">
        <v>225</v>
      </c>
      <c r="I18893" s="2">
        <v>268</v>
      </c>
      <c r="J18893" s="2">
        <v>942</v>
      </c>
      <c r="K18893" s="2">
        <v>24</v>
      </c>
      <c r="L18893" s="2">
        <v>248</v>
      </c>
    </row>
    <row r="18894" spans="1:12" x14ac:dyDescent="0.25">
      <c r="A18894" s="4" t="str">
        <f>HYPERLINK("http://www.rosaceae.org/Prunus/Prunus_persica/p.persica_gdr_reftransV1_0017895","p.persica_gdr_reftransV1_0017895")</f>
        <v>p.persica_gdr_reftransV1_0017895</v>
      </c>
      <c r="B18894" s="2">
        <v>1975</v>
      </c>
      <c r="C18894" s="4" t="str">
        <f>HYPERLINK("http://www.uniprot.org/uniprot/M5XU38","M5XU38")</f>
        <v>M5XU38</v>
      </c>
      <c r="D18894" s="2" t="s">
        <v>14554</v>
      </c>
      <c r="E18894" s="3">
        <v>8.4399999999999995E-79</v>
      </c>
      <c r="F18894" s="2">
        <v>667</v>
      </c>
      <c r="G18894" s="2">
        <v>89</v>
      </c>
      <c r="H18894" s="2">
        <v>197</v>
      </c>
      <c r="I18894" s="2">
        <v>1007</v>
      </c>
      <c r="J18894" s="2">
        <v>1597</v>
      </c>
      <c r="K18894" s="2">
        <v>50</v>
      </c>
      <c r="L18894" s="2">
        <v>224</v>
      </c>
    </row>
    <row r="18895" spans="1:12" x14ac:dyDescent="0.25">
      <c r="A18895" s="4" t="str">
        <f>HYPERLINK("http://www.rosaceae.org/Prunus/Prunus_persica/p.persica_gdr_reftransV1_0018245","p.persica_gdr_reftransV1_0018245")</f>
        <v>p.persica_gdr_reftransV1_0018245</v>
      </c>
      <c r="B18895" s="2">
        <v>1558</v>
      </c>
      <c r="C18895" s="4" t="str">
        <f>HYPERLINK("http://www.uniprot.org/uniprot/M5WB39","M5WB39")</f>
        <v>M5WB39</v>
      </c>
      <c r="D18895" s="2" t="s">
        <v>14555</v>
      </c>
      <c r="E18895" s="3">
        <v>0</v>
      </c>
      <c r="F18895" s="2">
        <v>1870</v>
      </c>
      <c r="G18895" s="2">
        <v>100</v>
      </c>
      <c r="H18895" s="2">
        <v>349</v>
      </c>
      <c r="I18895" s="2">
        <v>228</v>
      </c>
      <c r="J18895" s="2">
        <v>1274</v>
      </c>
      <c r="K18895" s="2">
        <v>1</v>
      </c>
      <c r="L18895" s="2">
        <v>349</v>
      </c>
    </row>
    <row r="18896" spans="1:12" x14ac:dyDescent="0.25">
      <c r="A18896" s="4" t="str">
        <f>HYPERLINK("http://www.rosaceae.org/Prunus/Prunus_persica/p.persica_gdr_reftransV1_0018595","p.persica_gdr_reftransV1_0018595")</f>
        <v>p.persica_gdr_reftransV1_0018595</v>
      </c>
      <c r="B18896" s="2">
        <v>3426</v>
      </c>
      <c r="C18896" s="4" t="str">
        <f>HYPERLINK("http://www.uniprot.org/uniprot/M5WUV4","M5WUV4")</f>
        <v>M5WUV4</v>
      </c>
      <c r="D18896" s="2" t="s">
        <v>14556</v>
      </c>
      <c r="E18896" s="3">
        <v>8.0299999999999993E-71</v>
      </c>
      <c r="F18896" s="2">
        <v>629</v>
      </c>
      <c r="G18896" s="2">
        <v>100</v>
      </c>
      <c r="H18896" s="2">
        <v>121</v>
      </c>
      <c r="I18896" s="2">
        <v>181</v>
      </c>
      <c r="J18896" s="2">
        <v>543</v>
      </c>
      <c r="K18896" s="2">
        <v>1</v>
      </c>
      <c r="L18896" s="2">
        <v>121</v>
      </c>
    </row>
    <row r="18897" spans="1:12" x14ac:dyDescent="0.25">
      <c r="A18897" s="4" t="str">
        <f>HYPERLINK("http://www.rosaceae.org/Prunus/Prunus_persica/p.persica_gdr_reftransV1_0018945","p.persica_gdr_reftransV1_0018945")</f>
        <v>p.persica_gdr_reftransV1_0018945</v>
      </c>
      <c r="B18897" s="2">
        <v>1941</v>
      </c>
      <c r="C18897" s="4" t="str">
        <f>HYPERLINK("http://www.uniprot.org/uniprot/M5VI36","M5VI36")</f>
        <v>M5VI36</v>
      </c>
      <c r="D18897" s="2" t="s">
        <v>14557</v>
      </c>
      <c r="E18897" s="3">
        <v>2.4900000000000001E-93</v>
      </c>
      <c r="F18897" s="2">
        <v>472</v>
      </c>
      <c r="G18897" s="2">
        <v>74</v>
      </c>
      <c r="H18897" s="2">
        <v>150</v>
      </c>
      <c r="I18897" s="2">
        <v>244</v>
      </c>
      <c r="J18897" s="2">
        <v>693</v>
      </c>
      <c r="K18897" s="2">
        <v>302</v>
      </c>
      <c r="L18897" s="2">
        <v>413</v>
      </c>
    </row>
    <row r="18898" spans="1:12" x14ac:dyDescent="0.25">
      <c r="A18898" s="4" t="str">
        <f>HYPERLINK("http://www.rosaceae.org/Prunus/Prunus_persica/p.persica_gdr_reftransV1_0019995","p.persica_gdr_reftransV1_0019995")</f>
        <v>p.persica_gdr_reftransV1_0019995</v>
      </c>
      <c r="B18898" s="2">
        <v>1032</v>
      </c>
      <c r="C18898" s="4" t="str">
        <f>HYPERLINK("http://www.uniprot.org/uniprot/M5XNN7","M5XNN7")</f>
        <v>M5XNN7</v>
      </c>
      <c r="D18898" s="2" t="s">
        <v>14558</v>
      </c>
      <c r="E18898" s="3">
        <v>1.1700000000000001E-99</v>
      </c>
      <c r="F18898" s="2">
        <v>774</v>
      </c>
      <c r="G18898" s="2">
        <v>100</v>
      </c>
      <c r="H18898" s="2">
        <v>146</v>
      </c>
      <c r="I18898" s="2">
        <v>268</v>
      </c>
      <c r="J18898" s="2">
        <v>705</v>
      </c>
      <c r="K18898" s="2">
        <v>1</v>
      </c>
      <c r="L18898" s="2">
        <v>146</v>
      </c>
    </row>
    <row r="18899" spans="1:12" x14ac:dyDescent="0.25">
      <c r="A18899" s="4" t="str">
        <f>HYPERLINK("http://www.rosaceae.org/Prunus/Prunus_persica/p.persica_gdr_reftransV1_0020695","p.persica_gdr_reftransV1_0020695")</f>
        <v>p.persica_gdr_reftransV1_0020695</v>
      </c>
      <c r="B18899" s="2">
        <v>1270</v>
      </c>
      <c r="C18899" s="4" t="str">
        <f>HYPERLINK("http://www.uniprot.org/uniprot/M5Y5A4","M5Y5A4")</f>
        <v>M5Y5A4</v>
      </c>
      <c r="D18899" s="2" t="s">
        <v>14559</v>
      </c>
      <c r="E18899" s="3">
        <v>4.6500000000000003E-114</v>
      </c>
      <c r="F18899" s="2">
        <v>882</v>
      </c>
      <c r="G18899" s="2">
        <v>100</v>
      </c>
      <c r="H18899" s="2">
        <v>199</v>
      </c>
      <c r="I18899" s="2">
        <v>350</v>
      </c>
      <c r="J18899" s="2">
        <v>946</v>
      </c>
      <c r="K18899" s="2">
        <v>1</v>
      </c>
      <c r="L18899" s="2">
        <v>199</v>
      </c>
    </row>
    <row r="18900" spans="1:12" x14ac:dyDescent="0.25">
      <c r="A18900" s="4" t="str">
        <f>HYPERLINK("http://www.rosaceae.org/Prunus/Prunus_persica/p.persica_gdr_reftransV1_0022095","p.persica_gdr_reftransV1_0022095")</f>
        <v>p.persica_gdr_reftransV1_0022095</v>
      </c>
      <c r="B18900" s="2">
        <v>1534</v>
      </c>
      <c r="C18900" s="4" t="str">
        <f>HYPERLINK("http://www.uniprot.org/uniprot/M5XS39","M5XS39")</f>
        <v>M5XS39</v>
      </c>
      <c r="D18900" s="2" t="s">
        <v>14560</v>
      </c>
      <c r="E18900" s="3">
        <v>1.9299999999999999E-134</v>
      </c>
      <c r="F18900" s="2">
        <v>1037</v>
      </c>
      <c r="G18900" s="2">
        <v>100</v>
      </c>
      <c r="H18900" s="2">
        <v>199</v>
      </c>
      <c r="I18900" s="2">
        <v>167</v>
      </c>
      <c r="J18900" s="2">
        <v>763</v>
      </c>
      <c r="K18900" s="2">
        <v>1</v>
      </c>
      <c r="L18900" s="2">
        <v>199</v>
      </c>
    </row>
    <row r="18901" spans="1:12" x14ac:dyDescent="0.25">
      <c r="A18901" s="4" t="str">
        <f>HYPERLINK("http://www.rosaceae.org/Prunus/Prunus_persica/p.persica_gdr_reftransV1_0023145","p.persica_gdr_reftransV1_0023145")</f>
        <v>p.persica_gdr_reftransV1_0023145</v>
      </c>
      <c r="B18901" s="2">
        <v>1504</v>
      </c>
      <c r="C18901" s="4" t="str">
        <f>HYPERLINK("http://www.uniprot.org/uniprot/M5WT31","M5WT31")</f>
        <v>M5WT31</v>
      </c>
      <c r="D18901" s="2" t="s">
        <v>14561</v>
      </c>
      <c r="E18901" s="3">
        <v>2.75E-162</v>
      </c>
      <c r="F18901" s="2">
        <v>1223</v>
      </c>
      <c r="G18901" s="2">
        <v>100</v>
      </c>
      <c r="H18901" s="2">
        <v>337</v>
      </c>
      <c r="I18901" s="2">
        <v>330</v>
      </c>
      <c r="J18901" s="2">
        <v>1340</v>
      </c>
      <c r="K18901" s="2">
        <v>1</v>
      </c>
      <c r="L18901" s="2">
        <v>337</v>
      </c>
    </row>
    <row r="18902" spans="1:12" x14ac:dyDescent="0.25">
      <c r="A18902" s="4" t="str">
        <f>HYPERLINK("http://www.rosaceae.org/Prunus/Prunus_persica/p.persica_gdr_reftransV1_0024195","p.persica_gdr_reftransV1_0024195")</f>
        <v>p.persica_gdr_reftransV1_0024195</v>
      </c>
      <c r="B18902" s="2">
        <v>2283</v>
      </c>
      <c r="C18902" s="4" t="str">
        <f>HYPERLINK("http://www.uniprot.org/uniprot/M5WLT1","M5WLT1")</f>
        <v>M5WLT1</v>
      </c>
      <c r="D18902" s="2" t="s">
        <v>14562</v>
      </c>
      <c r="E18902" s="3">
        <v>0</v>
      </c>
      <c r="F18902" s="2">
        <v>2317</v>
      </c>
      <c r="G18902" s="2">
        <v>100</v>
      </c>
      <c r="H18902" s="2">
        <v>450</v>
      </c>
      <c r="I18902" s="2">
        <v>658</v>
      </c>
      <c r="J18902" s="2">
        <v>2007</v>
      </c>
      <c r="K18902" s="2">
        <v>1</v>
      </c>
      <c r="L18902" s="2">
        <v>450</v>
      </c>
    </row>
    <row r="18903" spans="1:12" x14ac:dyDescent="0.25">
      <c r="A18903" s="4" t="str">
        <f>HYPERLINK("http://www.rosaceae.org/Prunus/Prunus_persica/p.persica_gdr_reftransV1_0024545","p.persica_gdr_reftransV1_0024545")</f>
        <v>p.persica_gdr_reftransV1_0024545</v>
      </c>
      <c r="B18903" s="2">
        <v>980</v>
      </c>
      <c r="C18903" s="4" t="str">
        <f>HYPERLINK("http://www.uniprot.org/uniprot/M5X125","M5X125")</f>
        <v>M5X125</v>
      </c>
      <c r="D18903" s="2" t="s">
        <v>14563</v>
      </c>
      <c r="E18903" s="3">
        <v>7.4399999999999998E-74</v>
      </c>
      <c r="F18903" s="2">
        <v>600</v>
      </c>
      <c r="G18903" s="2">
        <v>100</v>
      </c>
      <c r="H18903" s="2">
        <v>134</v>
      </c>
      <c r="I18903" s="2">
        <v>270</v>
      </c>
      <c r="J18903" s="2">
        <v>671</v>
      </c>
      <c r="K18903" s="2">
        <v>1</v>
      </c>
      <c r="L18903" s="2">
        <v>134</v>
      </c>
    </row>
    <row r="18904" spans="1:12" x14ac:dyDescent="0.25">
      <c r="A18904" s="4" t="str">
        <f>HYPERLINK("http://www.rosaceae.org/Prunus/Prunus_persica/p.persica_gdr_reftransV1_0024895","p.persica_gdr_reftransV1_0024895")</f>
        <v>p.persica_gdr_reftransV1_0024895</v>
      </c>
      <c r="B18904" s="2">
        <v>7636</v>
      </c>
      <c r="C18904" s="4" t="str">
        <f>HYPERLINK("http://www.uniprot.org/uniprot/M5WPU7","M5WPU7")</f>
        <v>M5WPU7</v>
      </c>
      <c r="D18904" s="2" t="s">
        <v>7432</v>
      </c>
      <c r="E18904" s="3">
        <v>0</v>
      </c>
      <c r="F18904" s="2">
        <v>1848</v>
      </c>
      <c r="G18904" s="2">
        <v>100</v>
      </c>
      <c r="H18904" s="2">
        <v>364</v>
      </c>
      <c r="I18904" s="2">
        <v>1696</v>
      </c>
      <c r="J18904" s="2">
        <v>2787</v>
      </c>
      <c r="K18904" s="2">
        <v>213</v>
      </c>
      <c r="L18904" s="2">
        <v>576</v>
      </c>
    </row>
    <row r="18905" spans="1:12" x14ac:dyDescent="0.25">
      <c r="A18905" s="4" t="str">
        <f>HYPERLINK("http://www.rosaceae.org/Prunus/Prunus_persica/p.persica_gdr_reftransV1_0026645","p.persica_gdr_reftransV1_0026645")</f>
        <v>p.persica_gdr_reftransV1_0026645</v>
      </c>
      <c r="B18905" s="2">
        <v>2673</v>
      </c>
      <c r="C18905" s="4" t="str">
        <f>HYPERLINK("http://www.uniprot.org/uniprot/M5Y5X3","M5Y5X3")</f>
        <v>M5Y5X3</v>
      </c>
      <c r="D18905" s="2" t="s">
        <v>14564</v>
      </c>
      <c r="E18905" s="3">
        <v>3.7300000000000002E-67</v>
      </c>
      <c r="F18905" s="2">
        <v>597</v>
      </c>
      <c r="G18905" s="2">
        <v>100</v>
      </c>
      <c r="H18905" s="2">
        <v>207</v>
      </c>
      <c r="I18905" s="2">
        <v>1720</v>
      </c>
      <c r="J18905" s="2">
        <v>2340</v>
      </c>
      <c r="K18905" s="2">
        <v>1</v>
      </c>
      <c r="L18905" s="2">
        <v>207</v>
      </c>
    </row>
    <row r="18906" spans="1:12" x14ac:dyDescent="0.25">
      <c r="A18906" s="4" t="str">
        <f>HYPERLINK("http://www.rosaceae.org/Prunus/Prunus_persica/p.persica_gdr_reftransV1_0032245","p.persica_gdr_reftransV1_0032245")</f>
        <v>p.persica_gdr_reftransV1_0032245</v>
      </c>
      <c r="B18906" s="2">
        <v>5471</v>
      </c>
      <c r="C18906" s="4" t="str">
        <f>HYPERLINK("http://www.uniprot.org/uniprot/A0A061DZD8","A0A061DZD8")</f>
        <v>A0A061DZD8</v>
      </c>
      <c r="D18906" s="2" t="s">
        <v>14565</v>
      </c>
      <c r="E18906" s="3">
        <v>0</v>
      </c>
      <c r="F18906" s="2">
        <v>4448</v>
      </c>
      <c r="G18906" s="2">
        <v>75</v>
      </c>
      <c r="H18906" s="2">
        <v>1121</v>
      </c>
      <c r="I18906" s="2">
        <v>166</v>
      </c>
      <c r="J18906" s="2">
        <v>3477</v>
      </c>
      <c r="K18906" s="2">
        <v>1</v>
      </c>
      <c r="L18906" s="2">
        <v>1120</v>
      </c>
    </row>
    <row r="18907" spans="1:12" x14ac:dyDescent="0.25">
      <c r="A18907" s="4" t="str">
        <f>HYPERLINK("http://www.rosaceae.org/Prunus/Prunus_persica/p.persica_gdr_reftransV1_0035045","p.persica_gdr_reftransV1_0035045")</f>
        <v>p.persica_gdr_reftransV1_0035045</v>
      </c>
      <c r="B18907" s="2">
        <v>2058</v>
      </c>
      <c r="C18907" s="4" t="str">
        <f>HYPERLINK("http://www.uniprot.org/uniprot/A0A0D2TCZ0","A0A0D2TCZ0")</f>
        <v>A0A0D2TCZ0</v>
      </c>
      <c r="D18907" s="2" t="s">
        <v>14566</v>
      </c>
      <c r="E18907" s="3">
        <v>1.2999999999999999E-128</v>
      </c>
      <c r="F18907" s="2">
        <v>1015</v>
      </c>
      <c r="G18907" s="2">
        <v>92</v>
      </c>
      <c r="H18907" s="2">
        <v>203</v>
      </c>
      <c r="I18907" s="2">
        <v>1160</v>
      </c>
      <c r="J18907" s="2">
        <v>1768</v>
      </c>
      <c r="K18907" s="2">
        <v>1</v>
      </c>
      <c r="L18907" s="2">
        <v>203</v>
      </c>
    </row>
    <row r="18908" spans="1:12" x14ac:dyDescent="0.25">
      <c r="A18908" s="4" t="str">
        <f>HYPERLINK("http://www.rosaceae.org/Prunus/Prunus_persica/p.persica_gdr_reftransV1_0035745","p.persica_gdr_reftransV1_0035745")</f>
        <v>p.persica_gdr_reftransV1_0035745</v>
      </c>
      <c r="B18908" s="2">
        <v>2510</v>
      </c>
      <c r="C18908" s="4" t="str">
        <f>HYPERLINK("http://www.uniprot.org/uniprot/M5WEE4","M5WEE4")</f>
        <v>M5WEE4</v>
      </c>
      <c r="D18908" s="2" t="s">
        <v>6664</v>
      </c>
      <c r="E18908" s="3">
        <v>0</v>
      </c>
      <c r="F18908" s="2">
        <v>2633</v>
      </c>
      <c r="G18908" s="2">
        <v>83</v>
      </c>
      <c r="H18908" s="2">
        <v>665</v>
      </c>
      <c r="I18908" s="2">
        <v>479</v>
      </c>
      <c r="J18908" s="2">
        <v>2473</v>
      </c>
      <c r="K18908" s="2">
        <v>1</v>
      </c>
      <c r="L18908" s="2">
        <v>609</v>
      </c>
    </row>
    <row r="18909" spans="1:12" x14ac:dyDescent="0.25">
      <c r="A18909" s="4" t="str">
        <f>HYPERLINK("http://www.rosaceae.org/Prunus/Prunus_persica/p.persica_gdr_reftransV1_0037495","p.persica_gdr_reftransV1_0037495")</f>
        <v>p.persica_gdr_reftransV1_0037495</v>
      </c>
      <c r="B18909" s="2">
        <v>1962</v>
      </c>
      <c r="C18909" s="4" t="str">
        <f>HYPERLINK("http://www.uniprot.org/uniprot/M5XGE6","M5XGE6")</f>
        <v>M5XGE6</v>
      </c>
      <c r="D18909" s="2" t="s">
        <v>14567</v>
      </c>
      <c r="E18909" s="3">
        <v>7.0699999999999999E-155</v>
      </c>
      <c r="F18909" s="2">
        <v>765</v>
      </c>
      <c r="G18909" s="2">
        <v>96</v>
      </c>
      <c r="H18909" s="2">
        <v>150</v>
      </c>
      <c r="I18909" s="2">
        <v>1119</v>
      </c>
      <c r="J18909" s="2">
        <v>1568</v>
      </c>
      <c r="K18909" s="2">
        <v>51</v>
      </c>
      <c r="L18909" s="2">
        <v>200</v>
      </c>
    </row>
    <row r="18910" spans="1:12" x14ac:dyDescent="0.25">
      <c r="A18910" s="4" t="str">
        <f>HYPERLINK("http://www.rosaceae.org/Prunus/Prunus_persica/p.persica_gdr_reftransV1_0038195","p.persica_gdr_reftransV1_0038195")</f>
        <v>p.persica_gdr_reftransV1_0038195</v>
      </c>
      <c r="B18910" s="2">
        <v>2467</v>
      </c>
      <c r="C18910" s="4" t="str">
        <f>HYPERLINK("http://www.uniprot.org/uniprot/M5W3R9","M5W3R9")</f>
        <v>M5W3R9</v>
      </c>
      <c r="D18910" s="2" t="s">
        <v>14568</v>
      </c>
      <c r="E18910" s="3">
        <v>0</v>
      </c>
      <c r="F18910" s="2">
        <v>2993</v>
      </c>
      <c r="G18910" s="2">
        <v>100</v>
      </c>
      <c r="H18910" s="2">
        <v>640</v>
      </c>
      <c r="I18910" s="2">
        <v>442</v>
      </c>
      <c r="J18910" s="2">
        <v>2361</v>
      </c>
      <c r="K18910" s="2">
        <v>1</v>
      </c>
      <c r="L18910" s="2">
        <v>640</v>
      </c>
    </row>
    <row r="18911" spans="1:12" x14ac:dyDescent="0.25">
      <c r="A18911" s="4" t="str">
        <f>HYPERLINK("http://www.rosaceae.org/Prunus/Prunus_persica/p.persica_gdr_reftransV1_0040295","p.persica_gdr_reftransV1_0040295")</f>
        <v>p.persica_gdr_reftransV1_0040295</v>
      </c>
      <c r="B18911" s="2">
        <v>1607</v>
      </c>
      <c r="C18911" s="4" t="str">
        <f>HYPERLINK("http://www.uniprot.org/uniprot/M5WRC2","M5WRC2")</f>
        <v>M5WRC2</v>
      </c>
      <c r="D18911" s="2" t="s">
        <v>6581</v>
      </c>
      <c r="E18911" s="3">
        <v>7.1400000000000006E-51</v>
      </c>
      <c r="F18911" s="2">
        <v>459</v>
      </c>
      <c r="G18911" s="2">
        <v>100</v>
      </c>
      <c r="H18911" s="2">
        <v>125</v>
      </c>
      <c r="I18911" s="2">
        <v>1037</v>
      </c>
      <c r="J18911" s="2">
        <v>1411</v>
      </c>
      <c r="K18911" s="2">
        <v>1</v>
      </c>
      <c r="L18911" s="2">
        <v>125</v>
      </c>
    </row>
    <row r="18912" spans="1:12" x14ac:dyDescent="0.25">
      <c r="A18912" s="4" t="str">
        <f>HYPERLINK("http://www.rosaceae.org/Prunus/Prunus_persica/p.persica_gdr_reftransV1_0040645","p.persica_gdr_reftransV1_0040645")</f>
        <v>p.persica_gdr_reftransV1_0040645</v>
      </c>
      <c r="B18912" s="2">
        <v>1402</v>
      </c>
      <c r="C18912" s="4" t="str">
        <f>HYPERLINK("http://www.uniprot.org/uniprot/M5W153","M5W153")</f>
        <v>M5W153</v>
      </c>
      <c r="D18912" s="2" t="s">
        <v>12177</v>
      </c>
      <c r="E18912" s="3">
        <v>5.9199999999999999E-83</v>
      </c>
      <c r="F18912" s="2">
        <v>680</v>
      </c>
      <c r="G18912" s="2">
        <v>100</v>
      </c>
      <c r="H18912" s="2">
        <v>130</v>
      </c>
      <c r="I18912" s="2">
        <v>60</v>
      </c>
      <c r="J18912" s="2">
        <v>449</v>
      </c>
      <c r="K18912" s="2">
        <v>1</v>
      </c>
      <c r="L18912" s="2">
        <v>130</v>
      </c>
    </row>
    <row r="18913" spans="1:12" x14ac:dyDescent="0.25">
      <c r="A18913" s="4" t="str">
        <f>HYPERLINK("http://www.rosaceae.org/Prunus/Prunus_persica/p.persica_gdr_reftransV1_0043095","p.persica_gdr_reftransV1_0043095")</f>
        <v>p.persica_gdr_reftransV1_0043095</v>
      </c>
      <c r="B18913" s="2">
        <v>990</v>
      </c>
      <c r="C18913" s="4" t="str">
        <f>HYPERLINK("http://www.uniprot.org/uniprot/M5WKP5","M5WKP5")</f>
        <v>M5WKP5</v>
      </c>
      <c r="D18913" s="2" t="s">
        <v>369</v>
      </c>
      <c r="E18913" s="3">
        <v>6.9099999999999997E-56</v>
      </c>
      <c r="F18913" s="2">
        <v>479</v>
      </c>
      <c r="G18913" s="2">
        <v>100</v>
      </c>
      <c r="H18913" s="2">
        <v>103</v>
      </c>
      <c r="I18913" s="2">
        <v>277</v>
      </c>
      <c r="J18913" s="2">
        <v>585</v>
      </c>
      <c r="K18913" s="2">
        <v>19</v>
      </c>
      <c r="L18913" s="2">
        <v>121</v>
      </c>
    </row>
    <row r="18914" spans="1:12" x14ac:dyDescent="0.25">
      <c r="A18914" s="4" t="str">
        <f>HYPERLINK("http://www.rosaceae.org/Prunus/Prunus_persica/p.persica_gdr_reftransV1_0043445","p.persica_gdr_reftransV1_0043445")</f>
        <v>p.persica_gdr_reftransV1_0043445</v>
      </c>
      <c r="B18914" s="2">
        <v>533</v>
      </c>
      <c r="C18914" s="4" t="str">
        <f>HYPERLINK("http://www.uniprot.org/uniprot/M5WZA9","M5WZA9")</f>
        <v>M5WZA9</v>
      </c>
      <c r="D18914" s="2" t="s">
        <v>14569</v>
      </c>
      <c r="E18914" s="3">
        <v>6.0799999999999998E-80</v>
      </c>
      <c r="F18914" s="2">
        <v>624</v>
      </c>
      <c r="G18914" s="2">
        <v>100</v>
      </c>
      <c r="H18914" s="2">
        <v>121</v>
      </c>
      <c r="I18914" s="2">
        <v>100</v>
      </c>
      <c r="J18914" s="2">
        <v>462</v>
      </c>
      <c r="K18914" s="2">
        <v>1</v>
      </c>
      <c r="L18914" s="2">
        <v>121</v>
      </c>
    </row>
    <row r="18915" spans="1:12" x14ac:dyDescent="0.25">
      <c r="A18915" s="4" t="str">
        <f>HYPERLINK("http://www.rosaceae.org/Prunus/Prunus_persica/p.persica_gdr_reftransV1_0043795","p.persica_gdr_reftransV1_0043795")</f>
        <v>p.persica_gdr_reftransV1_0043795</v>
      </c>
      <c r="B18915" s="2">
        <v>1188</v>
      </c>
      <c r="C18915" s="4" t="str">
        <f>HYPERLINK("http://www.uniprot.org/uniprot/M5XF54","M5XF54")</f>
        <v>M5XF54</v>
      </c>
      <c r="D18915" s="2" t="s">
        <v>14570</v>
      </c>
      <c r="E18915" s="3">
        <v>0</v>
      </c>
      <c r="F18915" s="2">
        <v>1908</v>
      </c>
      <c r="G18915" s="2">
        <v>100</v>
      </c>
      <c r="H18915" s="2">
        <v>373</v>
      </c>
      <c r="I18915" s="2">
        <v>69</v>
      </c>
      <c r="J18915" s="2">
        <v>1187</v>
      </c>
      <c r="K18915" s="2">
        <v>191</v>
      </c>
      <c r="L18915" s="2">
        <v>563</v>
      </c>
    </row>
    <row r="18916" spans="1:12" x14ac:dyDescent="0.25">
      <c r="A18916" s="4" t="str">
        <f>HYPERLINK("http://www.rosaceae.org/Prunus/Prunus_persica/p.persica_gdr_reftransV1_0044495","p.persica_gdr_reftransV1_0044495")</f>
        <v>p.persica_gdr_reftransV1_0044495</v>
      </c>
      <c r="B18916" s="2">
        <v>626</v>
      </c>
      <c r="C18916" s="4" t="str">
        <f>HYPERLINK("http://www.uniprot.org/uniprot/M5VMV3","M5VMV3")</f>
        <v>M5VMV3</v>
      </c>
      <c r="D18916" s="2" t="s">
        <v>14571</v>
      </c>
      <c r="E18916" s="3">
        <v>2.2000000000000001E-136</v>
      </c>
      <c r="F18916" s="2">
        <v>1013</v>
      </c>
      <c r="G18916" s="2">
        <v>100</v>
      </c>
      <c r="H18916" s="2">
        <v>190</v>
      </c>
      <c r="I18916" s="2">
        <v>2</v>
      </c>
      <c r="J18916" s="2">
        <v>571</v>
      </c>
      <c r="K18916" s="2">
        <v>73</v>
      </c>
      <c r="L18916" s="2">
        <v>262</v>
      </c>
    </row>
    <row r="18917" spans="1:12" x14ac:dyDescent="0.25">
      <c r="A18917" s="4" t="str">
        <f>HYPERLINK("http://www.rosaceae.org/Prunus/Prunus_persica/p.persica_gdr_reftransV1_0044845","p.persica_gdr_reftransV1_0044845")</f>
        <v>p.persica_gdr_reftransV1_0044845</v>
      </c>
      <c r="B18917" s="2">
        <v>1447</v>
      </c>
      <c r="C18917" s="4" t="str">
        <f>HYPERLINK("http://www.uniprot.org/uniprot/M5W0F0","M5W0F0")</f>
        <v>M5W0F0</v>
      </c>
      <c r="D18917" s="2" t="s">
        <v>4796</v>
      </c>
      <c r="E18917" s="3">
        <v>1.07E-91</v>
      </c>
      <c r="F18917" s="2">
        <v>747</v>
      </c>
      <c r="G18917" s="2">
        <v>91</v>
      </c>
      <c r="H18917" s="2">
        <v>265</v>
      </c>
      <c r="I18917" s="2">
        <v>295</v>
      </c>
      <c r="J18917" s="2">
        <v>1089</v>
      </c>
      <c r="K18917" s="2">
        <v>1</v>
      </c>
      <c r="L18917" s="2">
        <v>249</v>
      </c>
    </row>
    <row r="18918" spans="1:12" x14ac:dyDescent="0.25">
      <c r="A18918" s="4" t="str">
        <f>HYPERLINK("http://www.rosaceae.org/Prunus/Prunus_persica/p.persica_gdr_reftransV1_0045195","p.persica_gdr_reftransV1_0045195")</f>
        <v>p.persica_gdr_reftransV1_0045195</v>
      </c>
      <c r="B18918" s="2">
        <v>1638</v>
      </c>
      <c r="C18918" s="4" t="str">
        <f>HYPERLINK("http://www.uniprot.org/uniprot/M5VYU2","M5VYU2")</f>
        <v>M5VYU2</v>
      </c>
      <c r="D18918" s="2" t="s">
        <v>1649</v>
      </c>
      <c r="E18918" s="3">
        <v>0</v>
      </c>
      <c r="F18918" s="2">
        <v>1881</v>
      </c>
      <c r="G18918" s="2">
        <v>100</v>
      </c>
      <c r="H18918" s="2">
        <v>359</v>
      </c>
      <c r="I18918" s="2">
        <v>296</v>
      </c>
      <c r="J18918" s="2">
        <v>1372</v>
      </c>
      <c r="K18918" s="2">
        <v>1</v>
      </c>
      <c r="L18918" s="2">
        <v>359</v>
      </c>
    </row>
    <row r="18919" spans="1:12" x14ac:dyDescent="0.25">
      <c r="A18919" s="4" t="str">
        <f>HYPERLINK("http://www.rosaceae.org/Prunus/Prunus_persica/p.persica_gdr_reftransV1_0045545","p.persica_gdr_reftransV1_0045545")</f>
        <v>p.persica_gdr_reftransV1_0045545</v>
      </c>
      <c r="B18919" s="2">
        <v>2438</v>
      </c>
      <c r="C18919" s="4" t="str">
        <f>HYPERLINK("http://www.uniprot.org/uniprot/M5XKG2","M5XKG2")</f>
        <v>M5XKG2</v>
      </c>
      <c r="D18919" s="2" t="s">
        <v>14572</v>
      </c>
      <c r="E18919" s="3">
        <v>0</v>
      </c>
      <c r="F18919" s="2">
        <v>2741</v>
      </c>
      <c r="G18919" s="2">
        <v>86</v>
      </c>
      <c r="H18919" s="2">
        <v>712</v>
      </c>
      <c r="I18919" s="2">
        <v>298</v>
      </c>
      <c r="J18919" s="2">
        <v>2433</v>
      </c>
      <c r="K18919" s="2">
        <v>51</v>
      </c>
      <c r="L18919" s="2">
        <v>720</v>
      </c>
    </row>
    <row r="18920" spans="1:12" x14ac:dyDescent="0.25">
      <c r="A18920" s="4" t="str">
        <f>HYPERLINK("http://www.rosaceae.org/Prunus/Prunus_persica/p.persica_gdr_reftransV1_0045895","p.persica_gdr_reftransV1_0045895")</f>
        <v>p.persica_gdr_reftransV1_0045895</v>
      </c>
      <c r="B18920" s="2">
        <v>2193</v>
      </c>
      <c r="C18920" s="4" t="str">
        <f>HYPERLINK("http://www.uniprot.org/uniprot/M5VJT4","M5VJT4")</f>
        <v>M5VJT4</v>
      </c>
      <c r="D18920" s="2" t="s">
        <v>14573</v>
      </c>
      <c r="E18920" s="3">
        <v>9.2600000000000006E-171</v>
      </c>
      <c r="F18920" s="2">
        <v>1311</v>
      </c>
      <c r="G18920" s="2">
        <v>100</v>
      </c>
      <c r="H18920" s="2">
        <v>306</v>
      </c>
      <c r="I18920" s="2">
        <v>1177</v>
      </c>
      <c r="J18920" s="2">
        <v>2094</v>
      </c>
      <c r="K18920" s="2">
        <v>1</v>
      </c>
      <c r="L18920" s="2">
        <v>306</v>
      </c>
    </row>
    <row r="18921" spans="1:12" x14ac:dyDescent="0.25">
      <c r="A18921" s="4" t="str">
        <f>HYPERLINK("http://www.rosaceae.org/Prunus/Prunus_persica/p.persica_gdr_reftransV1_0046245","p.persica_gdr_reftransV1_0046245")</f>
        <v>p.persica_gdr_reftransV1_0046245</v>
      </c>
      <c r="B18921" s="2">
        <v>354</v>
      </c>
      <c r="C18921" s="4" t="str">
        <f>HYPERLINK("http://www.uniprot.org/uniprot/M5WSN1","M5WSN1")</f>
        <v>M5WSN1</v>
      </c>
      <c r="D18921" s="2" t="s">
        <v>14574</v>
      </c>
      <c r="E18921" s="3">
        <v>5.4200000000000003E-67</v>
      </c>
      <c r="F18921" s="2">
        <v>567</v>
      </c>
      <c r="G18921" s="2">
        <v>100</v>
      </c>
      <c r="H18921" s="2">
        <v>105</v>
      </c>
      <c r="I18921" s="2">
        <v>39</v>
      </c>
      <c r="J18921" s="2">
        <v>353</v>
      </c>
      <c r="K18921" s="2">
        <v>448</v>
      </c>
      <c r="L18921" s="2">
        <v>552</v>
      </c>
    </row>
    <row r="18922" spans="1:12" x14ac:dyDescent="0.25">
      <c r="A18922" s="4" t="str">
        <f>HYPERLINK("http://www.rosaceae.org/Prunus/Prunus_persica/p.persica_gdr_reftransV1_0046945","p.persica_gdr_reftransV1_0046945")</f>
        <v>p.persica_gdr_reftransV1_0046945</v>
      </c>
      <c r="B18922" s="2">
        <v>671</v>
      </c>
      <c r="C18922" s="4" t="str">
        <f>HYPERLINK("http://www.uniprot.org/uniprot/M5X464","M5X464")</f>
        <v>M5X464</v>
      </c>
      <c r="D18922" s="2" t="s">
        <v>14575</v>
      </c>
      <c r="E18922" s="3">
        <v>1.2E-57</v>
      </c>
      <c r="F18922" s="2">
        <v>452</v>
      </c>
      <c r="G18922" s="2">
        <v>100</v>
      </c>
      <c r="H18922" s="2">
        <v>85</v>
      </c>
      <c r="I18922" s="2">
        <v>337</v>
      </c>
      <c r="J18922" s="2">
        <v>591</v>
      </c>
      <c r="K18922" s="2">
        <v>1</v>
      </c>
      <c r="L18922" s="2">
        <v>85</v>
      </c>
    </row>
    <row r="18923" spans="1:12" x14ac:dyDescent="0.25">
      <c r="A18923" s="4" t="str">
        <f>HYPERLINK("http://www.rosaceae.org/Prunus/Prunus_persica/p.persica_gdr_reftransV1_0047295","p.persica_gdr_reftransV1_0047295")</f>
        <v>p.persica_gdr_reftransV1_0047295</v>
      </c>
      <c r="B18923" s="2">
        <v>733</v>
      </c>
      <c r="C18923" s="4" t="str">
        <f>HYPERLINK("http://www.uniprot.org/uniprot/M5WKQ9","M5WKQ9")</f>
        <v>M5WKQ9</v>
      </c>
      <c r="D18923" s="2" t="s">
        <v>3613</v>
      </c>
      <c r="E18923" s="3">
        <v>5.8699999999999995E-97</v>
      </c>
      <c r="F18923" s="2">
        <v>755</v>
      </c>
      <c r="G18923" s="2">
        <v>100</v>
      </c>
      <c r="H18923" s="2">
        <v>165</v>
      </c>
      <c r="I18923" s="2">
        <v>237</v>
      </c>
      <c r="J18923" s="2">
        <v>731</v>
      </c>
      <c r="K18923" s="2">
        <v>73</v>
      </c>
      <c r="L18923" s="2">
        <v>237</v>
      </c>
    </row>
    <row r="18924" spans="1:12" x14ac:dyDescent="0.25">
      <c r="A18924" s="4" t="str">
        <f>HYPERLINK("http://www.rosaceae.org/Prunus/Prunus_persica/p.persica_gdr_reftransV1_0047645","p.persica_gdr_reftransV1_0047645")</f>
        <v>p.persica_gdr_reftransV1_0047645</v>
      </c>
      <c r="B18924" s="2">
        <v>1940</v>
      </c>
      <c r="C18924" s="4" t="str">
        <f>HYPERLINK("http://www.uniprot.org/uniprot/M5VIW6","M5VIW6")</f>
        <v>M5VIW6</v>
      </c>
      <c r="D18924" s="2" t="s">
        <v>14576</v>
      </c>
      <c r="E18924" s="3">
        <v>0</v>
      </c>
      <c r="F18924" s="2">
        <v>2395</v>
      </c>
      <c r="G18924" s="2">
        <v>100</v>
      </c>
      <c r="H18924" s="2">
        <v>472</v>
      </c>
      <c r="I18924" s="2">
        <v>465</v>
      </c>
      <c r="J18924" s="2">
        <v>1880</v>
      </c>
      <c r="K18924" s="2">
        <v>1</v>
      </c>
      <c r="L18924" s="2">
        <v>472</v>
      </c>
    </row>
    <row r="18925" spans="1:12" x14ac:dyDescent="0.25">
      <c r="A18925" s="4" t="str">
        <f>HYPERLINK("http://www.rosaceae.org/Prunus/Prunus_persica/p.persica_gdr_reftransV1_0047995","p.persica_gdr_reftransV1_0047995")</f>
        <v>p.persica_gdr_reftransV1_0047995</v>
      </c>
      <c r="B18925" s="2">
        <v>2395</v>
      </c>
      <c r="C18925" s="4" t="str">
        <f>HYPERLINK("http://www.uniprot.org/uniprot/M5W2D8","M5W2D8")</f>
        <v>M5W2D8</v>
      </c>
      <c r="D18925" s="2" t="s">
        <v>14577</v>
      </c>
      <c r="E18925" s="3">
        <v>0</v>
      </c>
      <c r="F18925" s="2">
        <v>3434</v>
      </c>
      <c r="G18925" s="2">
        <v>100</v>
      </c>
      <c r="H18925" s="2">
        <v>638</v>
      </c>
      <c r="I18925" s="2">
        <v>315</v>
      </c>
      <c r="J18925" s="2">
        <v>2228</v>
      </c>
      <c r="K18925" s="2">
        <v>5</v>
      </c>
      <c r="L18925" s="2">
        <v>642</v>
      </c>
    </row>
    <row r="18926" spans="1:12" x14ac:dyDescent="0.25">
      <c r="A18926" s="4" t="str">
        <f>HYPERLINK("http://www.rosaceae.org/Prunus/Prunus_persica/p.persica_gdr_reftransV1_0048345","p.persica_gdr_reftransV1_0048345")</f>
        <v>p.persica_gdr_reftransV1_0048345</v>
      </c>
      <c r="B18926" s="2">
        <v>474</v>
      </c>
      <c r="C18926" s="4" t="str">
        <f>HYPERLINK("http://www.uniprot.org/uniprot/M5XPR1","M5XPR1")</f>
        <v>M5XPR1</v>
      </c>
      <c r="D18926" s="2" t="s">
        <v>8936</v>
      </c>
      <c r="E18926" s="3">
        <v>5.8799999999999997E-87</v>
      </c>
      <c r="F18926" s="2">
        <v>707</v>
      </c>
      <c r="G18926" s="2">
        <v>99</v>
      </c>
      <c r="H18926" s="2">
        <v>157</v>
      </c>
      <c r="I18926" s="2">
        <v>2</v>
      </c>
      <c r="J18926" s="2">
        <v>472</v>
      </c>
      <c r="K18926" s="2">
        <v>203</v>
      </c>
      <c r="L18926" s="2">
        <v>359</v>
      </c>
    </row>
    <row r="18927" spans="1:12" x14ac:dyDescent="0.25">
      <c r="A18927" s="4" t="str">
        <f>HYPERLINK("http://www.rosaceae.org/Prunus/Prunus_persica/p.persica_gdr_reftransV1_0048695","p.persica_gdr_reftransV1_0048695")</f>
        <v>p.persica_gdr_reftransV1_0048695</v>
      </c>
      <c r="B18927" s="2">
        <v>961</v>
      </c>
      <c r="C18927" s="4" t="str">
        <f>HYPERLINK("http://www.uniprot.org/uniprot/M5VLN5","M5VLN5")</f>
        <v>M5VLN5</v>
      </c>
      <c r="D18927" s="2" t="s">
        <v>14578</v>
      </c>
      <c r="E18927" s="3">
        <v>0</v>
      </c>
      <c r="F18927" s="2">
        <v>1525</v>
      </c>
      <c r="G18927" s="2">
        <v>96</v>
      </c>
      <c r="H18927" s="2">
        <v>312</v>
      </c>
      <c r="I18927" s="2">
        <v>2</v>
      </c>
      <c r="J18927" s="2">
        <v>937</v>
      </c>
      <c r="K18927" s="2">
        <v>1</v>
      </c>
      <c r="L18927" s="2">
        <v>312</v>
      </c>
    </row>
    <row r="18928" spans="1:12" x14ac:dyDescent="0.25">
      <c r="A18928" s="4" t="str">
        <f>HYPERLINK("http://www.rosaceae.org/Prunus/Prunus_persica/p.persica_gdr_reftransV1_0049045","p.persica_gdr_reftransV1_0049045")</f>
        <v>p.persica_gdr_reftransV1_0049045</v>
      </c>
      <c r="B18928" s="2">
        <v>395</v>
      </c>
      <c r="C18928" s="4" t="str">
        <f>HYPERLINK("http://www.uniprot.org/uniprot/M5WDF3","M5WDF3")</f>
        <v>M5WDF3</v>
      </c>
      <c r="D18928" s="2" t="s">
        <v>117</v>
      </c>
      <c r="E18928" s="3">
        <v>1.3799999999999999E-63</v>
      </c>
      <c r="F18928" s="2">
        <v>533</v>
      </c>
      <c r="G18928" s="2">
        <v>100</v>
      </c>
      <c r="H18928" s="2">
        <v>108</v>
      </c>
      <c r="I18928" s="2">
        <v>71</v>
      </c>
      <c r="J18928" s="2">
        <v>394</v>
      </c>
      <c r="K18928" s="2">
        <v>281</v>
      </c>
      <c r="L18928" s="2">
        <v>388</v>
      </c>
    </row>
    <row r="18929" spans="1:12" x14ac:dyDescent="0.25">
      <c r="A18929" s="4" t="str">
        <f>HYPERLINK("http://www.rosaceae.org/Prunus/Prunus_persica/p.persica_gdr_reftransV1_0000396","p.persica_gdr_reftransV1_0000396")</f>
        <v>p.persica_gdr_reftransV1_0000396</v>
      </c>
      <c r="B18929" s="2">
        <v>1956</v>
      </c>
      <c r="C18929" s="4" t="str">
        <f>HYPERLINK("http://www.uniprot.org/uniprot/M5WFI3","M5WFI3")</f>
        <v>M5WFI3</v>
      </c>
      <c r="D18929" s="2" t="s">
        <v>14579</v>
      </c>
      <c r="E18929" s="3">
        <v>0</v>
      </c>
      <c r="F18929" s="2">
        <v>2836</v>
      </c>
      <c r="G18929" s="2">
        <v>100</v>
      </c>
      <c r="H18929" s="2">
        <v>582</v>
      </c>
      <c r="I18929" s="2">
        <v>127</v>
      </c>
      <c r="J18929" s="2">
        <v>1872</v>
      </c>
      <c r="K18929" s="2">
        <v>1</v>
      </c>
      <c r="L18929" s="2">
        <v>582</v>
      </c>
    </row>
    <row r="18930" spans="1:12" x14ac:dyDescent="0.25">
      <c r="A18930" s="4" t="str">
        <f>HYPERLINK("http://www.rosaceae.org/Prunus/Prunus_persica/p.persica_gdr_reftransV1_0000746","p.persica_gdr_reftransV1_0000746")</f>
        <v>p.persica_gdr_reftransV1_0000746</v>
      </c>
      <c r="B18930" s="2">
        <v>1788</v>
      </c>
      <c r="C18930" s="4" t="str">
        <f>HYPERLINK("http://www.uniprot.org/uniprot/M5XCX9","M5XCX9")</f>
        <v>M5XCX9</v>
      </c>
      <c r="D18930" s="2" t="s">
        <v>13078</v>
      </c>
      <c r="E18930" s="3">
        <v>0</v>
      </c>
      <c r="F18930" s="2">
        <v>1382</v>
      </c>
      <c r="G18930" s="2">
        <v>100</v>
      </c>
      <c r="H18930" s="2">
        <v>285</v>
      </c>
      <c r="I18930" s="2">
        <v>728</v>
      </c>
      <c r="J18930" s="2">
        <v>1582</v>
      </c>
      <c r="K18930" s="2">
        <v>1</v>
      </c>
      <c r="L18930" s="2">
        <v>285</v>
      </c>
    </row>
    <row r="18931" spans="1:12" x14ac:dyDescent="0.25">
      <c r="A18931" s="4" t="str">
        <f>HYPERLINK("http://www.rosaceae.org/Prunus/Prunus_persica/p.persica_gdr_reftransV1_0001446","p.persica_gdr_reftransV1_0001446")</f>
        <v>p.persica_gdr_reftransV1_0001446</v>
      </c>
      <c r="B18931" s="2">
        <v>1062</v>
      </c>
      <c r="C18931" s="4" t="str">
        <f>HYPERLINK("http://www.uniprot.org/uniprot/M5VS25","M5VS25")</f>
        <v>M5VS25</v>
      </c>
      <c r="D18931" s="2" t="s">
        <v>1814</v>
      </c>
      <c r="E18931" s="3">
        <v>3.0999999999999998E-94</v>
      </c>
      <c r="F18931" s="2">
        <v>743</v>
      </c>
      <c r="G18931" s="2">
        <v>99</v>
      </c>
      <c r="H18931" s="2">
        <v>140</v>
      </c>
      <c r="I18931" s="2">
        <v>481</v>
      </c>
      <c r="J18931" s="2">
        <v>900</v>
      </c>
      <c r="K18931" s="2">
        <v>49</v>
      </c>
      <c r="L18931" s="2">
        <v>188</v>
      </c>
    </row>
    <row r="18932" spans="1:12" x14ac:dyDescent="0.25">
      <c r="A18932" s="4" t="str">
        <f>HYPERLINK("http://www.rosaceae.org/Prunus/Prunus_persica/p.persica_gdr_reftransV1_0001796","p.persica_gdr_reftransV1_0001796")</f>
        <v>p.persica_gdr_reftransV1_0001796</v>
      </c>
      <c r="B18932" s="2">
        <v>2006</v>
      </c>
      <c r="C18932" s="4" t="str">
        <f>HYPERLINK("http://www.uniprot.org/uniprot/M5XCG0","M5XCG0")</f>
        <v>M5XCG0</v>
      </c>
      <c r="D18932" s="2" t="s">
        <v>6065</v>
      </c>
      <c r="E18932" s="3">
        <v>0</v>
      </c>
      <c r="F18932" s="2">
        <v>2204</v>
      </c>
      <c r="G18932" s="2">
        <v>85</v>
      </c>
      <c r="H18932" s="2">
        <v>560</v>
      </c>
      <c r="I18932" s="2">
        <v>2</v>
      </c>
      <c r="J18932" s="2">
        <v>1681</v>
      </c>
      <c r="K18932" s="2">
        <v>1</v>
      </c>
      <c r="L18932" s="2">
        <v>497</v>
      </c>
    </row>
    <row r="18933" spans="1:12" x14ac:dyDescent="0.25">
      <c r="A18933" s="4" t="str">
        <f>HYPERLINK("http://www.rosaceae.org/Prunus/Prunus_persica/p.persica_gdr_reftransV1_0002146","p.persica_gdr_reftransV1_0002146")</f>
        <v>p.persica_gdr_reftransV1_0002146</v>
      </c>
      <c r="B18933" s="2">
        <v>418</v>
      </c>
      <c r="C18933" s="4" t="str">
        <f>HYPERLINK("http://www.uniprot.org/uniprot/M5X2R7","M5X2R7")</f>
        <v>M5X2R7</v>
      </c>
      <c r="D18933" s="2" t="s">
        <v>3246</v>
      </c>
      <c r="E18933" s="3">
        <v>7.5499999999999998E-74</v>
      </c>
      <c r="F18933" s="2">
        <v>581</v>
      </c>
      <c r="G18933" s="2">
        <v>99</v>
      </c>
      <c r="H18933" s="2">
        <v>111</v>
      </c>
      <c r="I18933" s="2">
        <v>1</v>
      </c>
      <c r="J18933" s="2">
        <v>333</v>
      </c>
      <c r="K18933" s="2">
        <v>1</v>
      </c>
      <c r="L18933" s="2">
        <v>111</v>
      </c>
    </row>
    <row r="18934" spans="1:12" x14ac:dyDescent="0.25">
      <c r="A18934" s="4" t="str">
        <f>HYPERLINK("http://www.rosaceae.org/Prunus/Prunus_persica/p.persica_gdr_reftransV1_0002496","p.persica_gdr_reftransV1_0002496")</f>
        <v>p.persica_gdr_reftransV1_0002496</v>
      </c>
      <c r="B18934" s="2">
        <v>759</v>
      </c>
      <c r="C18934" s="4" t="str">
        <f>HYPERLINK("http://www.uniprot.org/uniprot/M5VVB4","M5VVB4")</f>
        <v>M5VVB4</v>
      </c>
      <c r="D18934" s="2" t="s">
        <v>2130</v>
      </c>
      <c r="E18934" s="3">
        <v>5.4800000000000003E-91</v>
      </c>
      <c r="F18934" s="2">
        <v>714</v>
      </c>
      <c r="G18934" s="2">
        <v>99</v>
      </c>
      <c r="H18934" s="2">
        <v>138</v>
      </c>
      <c r="I18934" s="2">
        <v>1</v>
      </c>
      <c r="J18934" s="2">
        <v>414</v>
      </c>
      <c r="K18934" s="2">
        <v>81</v>
      </c>
      <c r="L18934" s="2">
        <v>218</v>
      </c>
    </row>
    <row r="18935" spans="1:12" x14ac:dyDescent="0.25">
      <c r="A18935" s="4" t="str">
        <f>HYPERLINK("http://www.rosaceae.org/Prunus/Prunus_persica/p.persica_gdr_reftransV1_0003546","p.persica_gdr_reftransV1_0003546")</f>
        <v>p.persica_gdr_reftransV1_0003546</v>
      </c>
      <c r="B18935" s="2">
        <v>543</v>
      </c>
      <c r="C18935" s="4" t="str">
        <f>HYPERLINK("http://www.uniprot.org/uniprot/M5WLN9","M5WLN9")</f>
        <v>M5WLN9</v>
      </c>
      <c r="D18935" s="2" t="s">
        <v>13590</v>
      </c>
      <c r="E18935" s="3">
        <v>2.66E-115</v>
      </c>
      <c r="F18935" s="2">
        <v>895</v>
      </c>
      <c r="G18935" s="2">
        <v>100</v>
      </c>
      <c r="H18935" s="2">
        <v>162</v>
      </c>
      <c r="I18935" s="2">
        <v>3</v>
      </c>
      <c r="J18935" s="2">
        <v>488</v>
      </c>
      <c r="K18935" s="2">
        <v>277</v>
      </c>
      <c r="L18935" s="2">
        <v>438</v>
      </c>
    </row>
    <row r="18936" spans="1:12" x14ac:dyDescent="0.25">
      <c r="A18936" s="4" t="str">
        <f>HYPERLINK("http://www.rosaceae.org/Prunus/Prunus_persica/p.persica_gdr_reftransV1_0004246","p.persica_gdr_reftransV1_0004246")</f>
        <v>p.persica_gdr_reftransV1_0004246</v>
      </c>
      <c r="B18936" s="2">
        <v>834</v>
      </c>
      <c r="C18936" s="4" t="str">
        <f>HYPERLINK("http://www.uniprot.org/uniprot/M5XP09","M5XP09")</f>
        <v>M5XP09</v>
      </c>
      <c r="D18936" s="2" t="s">
        <v>4290</v>
      </c>
      <c r="E18936" s="3">
        <v>4.4999999999999998E-178</v>
      </c>
      <c r="F18936" s="2">
        <v>1340</v>
      </c>
      <c r="G18936" s="2">
        <v>100</v>
      </c>
      <c r="H18936" s="2">
        <v>255</v>
      </c>
      <c r="I18936" s="2">
        <v>26</v>
      </c>
      <c r="J18936" s="2">
        <v>790</v>
      </c>
      <c r="K18936" s="2">
        <v>465</v>
      </c>
      <c r="L18936" s="2">
        <v>719</v>
      </c>
    </row>
    <row r="18937" spans="1:12" x14ac:dyDescent="0.25">
      <c r="A18937" s="4" t="str">
        <f>HYPERLINK("http://www.rosaceae.org/Prunus/Prunus_persica/p.persica_gdr_reftransV1_0004596","p.persica_gdr_reftransV1_0004596")</f>
        <v>p.persica_gdr_reftransV1_0004596</v>
      </c>
      <c r="B18937" s="2">
        <v>3207</v>
      </c>
      <c r="C18937" s="4" t="str">
        <f>HYPERLINK("http://www.uniprot.org/uniprot/M5XXV7","M5XXV7")</f>
        <v>M5XXV7</v>
      </c>
      <c r="D18937" s="2" t="s">
        <v>7947</v>
      </c>
      <c r="E18937" s="3">
        <v>0</v>
      </c>
      <c r="F18937" s="2">
        <v>3490</v>
      </c>
      <c r="G18937" s="2">
        <v>98</v>
      </c>
      <c r="H18937" s="2">
        <v>740</v>
      </c>
      <c r="I18937" s="2">
        <v>55</v>
      </c>
      <c r="J18937" s="2">
        <v>2274</v>
      </c>
      <c r="K18937" s="2">
        <v>31</v>
      </c>
      <c r="L18937" s="2">
        <v>757</v>
      </c>
    </row>
    <row r="18938" spans="1:12" x14ac:dyDescent="0.25">
      <c r="A18938" s="4" t="str">
        <f>HYPERLINK("http://www.rosaceae.org/Prunus/Prunus_persica/p.persica_gdr_reftransV1_0004946","p.persica_gdr_reftransV1_0004946")</f>
        <v>p.persica_gdr_reftransV1_0004946</v>
      </c>
      <c r="B18938" s="2">
        <v>719</v>
      </c>
      <c r="C18938" s="4" t="str">
        <f>HYPERLINK("http://www.uniprot.org/uniprot/M5WKH6","M5WKH6")</f>
        <v>M5WKH6</v>
      </c>
      <c r="D18938" s="2" t="s">
        <v>14580</v>
      </c>
      <c r="E18938" s="3">
        <v>2.1000000000000002E-77</v>
      </c>
      <c r="F18938" s="2">
        <v>616</v>
      </c>
      <c r="G18938" s="2">
        <v>100</v>
      </c>
      <c r="H18938" s="2">
        <v>142</v>
      </c>
      <c r="I18938" s="2">
        <v>79</v>
      </c>
      <c r="J18938" s="2">
        <v>504</v>
      </c>
      <c r="K18938" s="2">
        <v>1</v>
      </c>
      <c r="L18938" s="2">
        <v>142</v>
      </c>
    </row>
    <row r="18939" spans="1:12" x14ac:dyDescent="0.25">
      <c r="A18939" s="4" t="str">
        <f>HYPERLINK("http://www.rosaceae.org/Prunus/Prunus_persica/p.persica_gdr_reftransV1_0005296","p.persica_gdr_reftransV1_0005296")</f>
        <v>p.persica_gdr_reftransV1_0005296</v>
      </c>
      <c r="B18939" s="2">
        <v>642</v>
      </c>
      <c r="C18939" s="4" t="str">
        <f>HYPERLINK("http://www.uniprot.org/uniprot/A7Y7I2","A7Y7I2")</f>
        <v>A7Y7I2</v>
      </c>
      <c r="D18939" s="2" t="s">
        <v>10022</v>
      </c>
      <c r="E18939" s="3">
        <v>5.1600000000000002E-15</v>
      </c>
      <c r="F18939" s="2">
        <v>191</v>
      </c>
      <c r="G18939" s="2">
        <v>96</v>
      </c>
      <c r="H18939" s="2">
        <v>56</v>
      </c>
      <c r="I18939" s="2">
        <v>2</v>
      </c>
      <c r="J18939" s="2">
        <v>169</v>
      </c>
      <c r="K18939" s="2">
        <v>2</v>
      </c>
      <c r="L18939" s="2">
        <v>57</v>
      </c>
    </row>
    <row r="18940" spans="1:12" x14ac:dyDescent="0.25">
      <c r="A18940" s="4" t="str">
        <f>HYPERLINK("http://www.rosaceae.org/Prunus/Prunus_persica/p.persica_gdr_reftransV1_0005646","p.persica_gdr_reftransV1_0005646")</f>
        <v>p.persica_gdr_reftransV1_0005646</v>
      </c>
      <c r="B18940" s="2">
        <v>344</v>
      </c>
      <c r="C18940" s="4" t="str">
        <f>HYPERLINK("http://www.uniprot.org/uniprot/M5XF67","M5XF67")</f>
        <v>M5XF67</v>
      </c>
      <c r="D18940" s="2" t="s">
        <v>14581</v>
      </c>
      <c r="E18940" s="3">
        <v>1.4400000000000001E-73</v>
      </c>
      <c r="F18940" s="2">
        <v>605</v>
      </c>
      <c r="G18940" s="2">
        <v>100</v>
      </c>
      <c r="H18940" s="2">
        <v>114</v>
      </c>
      <c r="I18940" s="2">
        <v>3</v>
      </c>
      <c r="J18940" s="2">
        <v>344</v>
      </c>
      <c r="K18940" s="2">
        <v>209</v>
      </c>
      <c r="L18940" s="2">
        <v>322</v>
      </c>
    </row>
    <row r="18941" spans="1:12" x14ac:dyDescent="0.25">
      <c r="A18941" s="4" t="str">
        <f>HYPERLINK("http://www.rosaceae.org/Prunus/Prunus_persica/p.persica_gdr_reftransV1_0005996","p.persica_gdr_reftransV1_0005996")</f>
        <v>p.persica_gdr_reftransV1_0005996</v>
      </c>
      <c r="B18941" s="2">
        <v>1714</v>
      </c>
      <c r="C18941" s="4" t="str">
        <f>HYPERLINK("http://www.uniprot.org/uniprot/M5WG03","M5WG03")</f>
        <v>M5WG03</v>
      </c>
      <c r="D18941" s="2" t="s">
        <v>14582</v>
      </c>
      <c r="E18941" s="3">
        <v>3.13E-109</v>
      </c>
      <c r="F18941" s="2">
        <v>864</v>
      </c>
      <c r="G18941" s="2">
        <v>100</v>
      </c>
      <c r="H18941" s="2">
        <v>165</v>
      </c>
      <c r="I18941" s="2">
        <v>391</v>
      </c>
      <c r="J18941" s="2">
        <v>885</v>
      </c>
      <c r="K18941" s="2">
        <v>1</v>
      </c>
      <c r="L18941" s="2">
        <v>165</v>
      </c>
    </row>
    <row r="18942" spans="1:12" x14ac:dyDescent="0.25">
      <c r="A18942" s="4" t="str">
        <f>HYPERLINK("http://www.rosaceae.org/Prunus/Prunus_persica/p.persica_gdr_reftransV1_0008096","p.persica_gdr_reftransV1_0008096")</f>
        <v>p.persica_gdr_reftransV1_0008096</v>
      </c>
      <c r="B18942" s="2">
        <v>1554</v>
      </c>
      <c r="C18942" s="4" t="str">
        <f>HYPERLINK("http://www.uniprot.org/uniprot/M5X1X1","M5X1X1")</f>
        <v>M5X1X1</v>
      </c>
      <c r="D18942" s="2" t="s">
        <v>14583</v>
      </c>
      <c r="E18942" s="3">
        <v>1E-175</v>
      </c>
      <c r="F18942" s="2">
        <v>1311</v>
      </c>
      <c r="G18942" s="2">
        <v>100</v>
      </c>
      <c r="H18942" s="2">
        <v>306</v>
      </c>
      <c r="I18942" s="2">
        <v>214</v>
      </c>
      <c r="J18942" s="2">
        <v>1131</v>
      </c>
      <c r="K18942" s="2">
        <v>1</v>
      </c>
      <c r="L18942" s="2">
        <v>306</v>
      </c>
    </row>
    <row r="18943" spans="1:12" x14ac:dyDescent="0.25">
      <c r="A18943" s="4" t="str">
        <f>HYPERLINK("http://www.rosaceae.org/Prunus/Prunus_persica/p.persica_gdr_reftransV1_0008446","p.persica_gdr_reftransV1_0008446")</f>
        <v>p.persica_gdr_reftransV1_0008446</v>
      </c>
      <c r="B18943" s="2">
        <v>1035</v>
      </c>
      <c r="C18943" s="4" t="str">
        <f>HYPERLINK("http://www.uniprot.org/uniprot/M5VKH2","M5VKH2")</f>
        <v>M5VKH2</v>
      </c>
      <c r="D18943" s="2" t="s">
        <v>14584</v>
      </c>
      <c r="E18943" s="3">
        <v>8.4500000000000003E-75</v>
      </c>
      <c r="F18943" s="2">
        <v>610</v>
      </c>
      <c r="G18943" s="2">
        <v>100</v>
      </c>
      <c r="H18943" s="2">
        <v>143</v>
      </c>
      <c r="I18943" s="2">
        <v>372</v>
      </c>
      <c r="J18943" s="2">
        <v>800</v>
      </c>
      <c r="K18943" s="2">
        <v>1</v>
      </c>
      <c r="L18943" s="2">
        <v>143</v>
      </c>
    </row>
    <row r="18944" spans="1:12" x14ac:dyDescent="0.25">
      <c r="A18944" s="4" t="str">
        <f>HYPERLINK("http://www.rosaceae.org/Prunus/Prunus_persica/p.persica_gdr_reftransV1_0009846","p.persica_gdr_reftransV1_0009846")</f>
        <v>p.persica_gdr_reftransV1_0009846</v>
      </c>
      <c r="B18944" s="2">
        <v>938</v>
      </c>
      <c r="C18944" s="4" t="str">
        <f>HYPERLINK("http://www.uniprot.org/uniprot/M5X9Z1","M5X9Z1")</f>
        <v>M5X9Z1</v>
      </c>
      <c r="D18944" s="2" t="s">
        <v>6192</v>
      </c>
      <c r="E18944" s="3">
        <v>4.2200000000000001E-149</v>
      </c>
      <c r="F18944" s="2">
        <v>1224</v>
      </c>
      <c r="G18944" s="2">
        <v>96</v>
      </c>
      <c r="H18944" s="2">
        <v>282</v>
      </c>
      <c r="I18944" s="2">
        <v>93</v>
      </c>
      <c r="J18944" s="2">
        <v>938</v>
      </c>
      <c r="K18944" s="2">
        <v>2340</v>
      </c>
      <c r="L18944" s="2">
        <v>2621</v>
      </c>
    </row>
    <row r="18945" spans="1:12" x14ac:dyDescent="0.25">
      <c r="A18945" s="4" t="str">
        <f>HYPERLINK("http://www.rosaceae.org/Prunus/Prunus_persica/p.persica_gdr_reftransV1_0010196","p.persica_gdr_reftransV1_0010196")</f>
        <v>p.persica_gdr_reftransV1_0010196</v>
      </c>
      <c r="B18945" s="2">
        <v>426</v>
      </c>
      <c r="C18945" s="4" t="str">
        <f>HYPERLINK("http://www.uniprot.org/uniprot/M5W1Y6","M5W1Y6")</f>
        <v>M5W1Y6</v>
      </c>
      <c r="D18945" s="2" t="s">
        <v>14585</v>
      </c>
      <c r="E18945" s="3">
        <v>7.9100000000000006E-67</v>
      </c>
      <c r="F18945" s="2">
        <v>556</v>
      </c>
      <c r="G18945" s="2">
        <v>100</v>
      </c>
      <c r="H18945" s="2">
        <v>117</v>
      </c>
      <c r="I18945" s="2">
        <v>3</v>
      </c>
      <c r="J18945" s="2">
        <v>353</v>
      </c>
      <c r="K18945" s="2">
        <v>1</v>
      </c>
      <c r="L18945" s="2">
        <v>117</v>
      </c>
    </row>
    <row r="18946" spans="1:12" x14ac:dyDescent="0.25">
      <c r="A18946" s="4" t="str">
        <f>HYPERLINK("http://www.rosaceae.org/Prunus/Prunus_persica/p.persica_gdr_reftransV1_0010546","p.persica_gdr_reftransV1_0010546")</f>
        <v>p.persica_gdr_reftransV1_0010546</v>
      </c>
      <c r="B18946" s="2">
        <v>1058</v>
      </c>
      <c r="C18946" s="4" t="str">
        <f>HYPERLINK("http://www.uniprot.org/uniprot/M5WYN8","M5WYN8")</f>
        <v>M5WYN8</v>
      </c>
      <c r="D18946" s="2" t="s">
        <v>13677</v>
      </c>
      <c r="E18946" s="3">
        <v>1.47E-106</v>
      </c>
      <c r="F18946" s="2">
        <v>893</v>
      </c>
      <c r="G18946" s="2">
        <v>100</v>
      </c>
      <c r="H18946" s="2">
        <v>184</v>
      </c>
      <c r="I18946" s="2">
        <v>1</v>
      </c>
      <c r="J18946" s="2">
        <v>552</v>
      </c>
      <c r="K18946" s="2">
        <v>1</v>
      </c>
      <c r="L18946" s="2">
        <v>184</v>
      </c>
    </row>
    <row r="18947" spans="1:12" x14ac:dyDescent="0.25">
      <c r="A18947" s="4" t="str">
        <f>HYPERLINK("http://www.rosaceae.org/Prunus/Prunus_persica/p.persica_gdr_reftransV1_0010896","p.persica_gdr_reftransV1_0010896")</f>
        <v>p.persica_gdr_reftransV1_0010896</v>
      </c>
      <c r="B18947" s="2">
        <v>2637</v>
      </c>
      <c r="C18947" s="4" t="str">
        <f>HYPERLINK("http://www.uniprot.org/uniprot/M5W9H0","M5W9H0")</f>
        <v>M5W9H0</v>
      </c>
      <c r="D18947" s="2" t="s">
        <v>14586</v>
      </c>
      <c r="E18947" s="3">
        <v>3.7499999999999999E-126</v>
      </c>
      <c r="F18947" s="2">
        <v>1013</v>
      </c>
      <c r="G18947" s="2">
        <v>98</v>
      </c>
      <c r="H18947" s="2">
        <v>298</v>
      </c>
      <c r="I18947" s="2">
        <v>1395</v>
      </c>
      <c r="J18947" s="2">
        <v>2288</v>
      </c>
      <c r="K18947" s="2">
        <v>26</v>
      </c>
      <c r="L18947" s="2">
        <v>319</v>
      </c>
    </row>
    <row r="18948" spans="1:12" x14ac:dyDescent="0.25">
      <c r="A18948" s="4" t="str">
        <f>HYPERLINK("http://www.rosaceae.org/Prunus/Prunus_persica/p.persica_gdr_reftransV1_0011596","p.persica_gdr_reftransV1_0011596")</f>
        <v>p.persica_gdr_reftransV1_0011596</v>
      </c>
      <c r="B18948" s="2">
        <v>3611</v>
      </c>
      <c r="C18948" s="4" t="str">
        <f>HYPERLINK("http://www.uniprot.org/uniprot/M5XKK3","M5XKK3")</f>
        <v>M5XKK3</v>
      </c>
      <c r="D18948" s="2" t="s">
        <v>14587</v>
      </c>
      <c r="E18948" s="3">
        <v>0</v>
      </c>
      <c r="F18948" s="2">
        <v>5744</v>
      </c>
      <c r="G18948" s="2">
        <v>100</v>
      </c>
      <c r="H18948" s="2">
        <v>1104</v>
      </c>
      <c r="I18948" s="2">
        <v>242</v>
      </c>
      <c r="J18948" s="2">
        <v>3553</v>
      </c>
      <c r="K18948" s="2">
        <v>1</v>
      </c>
      <c r="L18948" s="2">
        <v>1104</v>
      </c>
    </row>
    <row r="18949" spans="1:12" x14ac:dyDescent="0.25">
      <c r="A18949" s="4" t="str">
        <f>HYPERLINK("http://www.rosaceae.org/Prunus/Prunus_persica/p.persica_gdr_reftransV1_0011946","p.persica_gdr_reftransV1_0011946")</f>
        <v>p.persica_gdr_reftransV1_0011946</v>
      </c>
      <c r="B18949" s="2">
        <v>1149</v>
      </c>
      <c r="C18949" s="4" t="str">
        <f>HYPERLINK("http://www.uniprot.org/uniprot/M5XYW9","M5XYW9")</f>
        <v>M5XYW9</v>
      </c>
      <c r="D18949" s="2" t="s">
        <v>14588</v>
      </c>
      <c r="E18949" s="3">
        <v>1.3099999999999999E-113</v>
      </c>
      <c r="F18949" s="2">
        <v>875</v>
      </c>
      <c r="G18949" s="2">
        <v>100</v>
      </c>
      <c r="H18949" s="2">
        <v>197</v>
      </c>
      <c r="I18949" s="2">
        <v>281</v>
      </c>
      <c r="J18949" s="2">
        <v>871</v>
      </c>
      <c r="K18949" s="2">
        <v>1</v>
      </c>
      <c r="L18949" s="2">
        <v>197</v>
      </c>
    </row>
    <row r="18950" spans="1:12" x14ac:dyDescent="0.25">
      <c r="A18950" s="4" t="str">
        <f>HYPERLINK("http://www.rosaceae.org/Prunus/Prunus_persica/p.persica_gdr_reftransV1_0014746","p.persica_gdr_reftransV1_0014746")</f>
        <v>p.persica_gdr_reftransV1_0014746</v>
      </c>
      <c r="B18950" s="2">
        <v>1570</v>
      </c>
      <c r="C18950" s="4" t="str">
        <f>HYPERLINK("http://www.uniprot.org/uniprot/M5WI27","M5WI27")</f>
        <v>M5WI27</v>
      </c>
      <c r="D18950" s="2" t="s">
        <v>14589</v>
      </c>
      <c r="E18950" s="3">
        <v>0</v>
      </c>
      <c r="F18950" s="2">
        <v>1891</v>
      </c>
      <c r="G18950" s="2">
        <v>100</v>
      </c>
      <c r="H18950" s="2">
        <v>410</v>
      </c>
      <c r="I18950" s="2">
        <v>2</v>
      </c>
      <c r="J18950" s="2">
        <v>1231</v>
      </c>
      <c r="K18950" s="2">
        <v>18</v>
      </c>
      <c r="L18950" s="2">
        <v>427</v>
      </c>
    </row>
    <row r="18951" spans="1:12" x14ac:dyDescent="0.25">
      <c r="A18951" s="4" t="str">
        <f>HYPERLINK("http://www.rosaceae.org/Prunus/Prunus_persica/p.persica_gdr_reftransV1_0017196","p.persica_gdr_reftransV1_0017196")</f>
        <v>p.persica_gdr_reftransV1_0017196</v>
      </c>
      <c r="B18951" s="2">
        <v>393</v>
      </c>
      <c r="C18951" s="4" t="str">
        <f>HYPERLINK("http://www.uniprot.org/uniprot/M5WG64","M5WG64")</f>
        <v>M5WG64</v>
      </c>
      <c r="D18951" s="2" t="s">
        <v>8887</v>
      </c>
      <c r="E18951" s="3">
        <v>1.4299999999999999E-48</v>
      </c>
      <c r="F18951" s="2">
        <v>440</v>
      </c>
      <c r="G18951" s="2">
        <v>100</v>
      </c>
      <c r="H18951" s="2">
        <v>76</v>
      </c>
      <c r="I18951" s="2">
        <v>164</v>
      </c>
      <c r="J18951" s="2">
        <v>391</v>
      </c>
      <c r="K18951" s="2">
        <v>1</v>
      </c>
      <c r="L18951" s="2">
        <v>76</v>
      </c>
    </row>
    <row r="18952" spans="1:12" x14ac:dyDescent="0.25">
      <c r="A18952" s="4" t="str">
        <f>HYPERLINK("http://www.rosaceae.org/Prunus/Prunus_persica/p.persica_gdr_reftransV1_0017546","p.persica_gdr_reftransV1_0017546")</f>
        <v>p.persica_gdr_reftransV1_0017546</v>
      </c>
      <c r="B18952" s="2">
        <v>2081</v>
      </c>
      <c r="C18952" s="4" t="str">
        <f>HYPERLINK("http://www.uniprot.org/uniprot/M5WWA9","M5WWA9")</f>
        <v>M5WWA9</v>
      </c>
      <c r="D18952" s="2" t="s">
        <v>2196</v>
      </c>
      <c r="E18952" s="3">
        <v>0</v>
      </c>
      <c r="F18952" s="2">
        <v>2247</v>
      </c>
      <c r="G18952" s="2">
        <v>97</v>
      </c>
      <c r="H18952" s="2">
        <v>484</v>
      </c>
      <c r="I18952" s="2">
        <v>337</v>
      </c>
      <c r="J18952" s="2">
        <v>1788</v>
      </c>
      <c r="K18952" s="2">
        <v>35</v>
      </c>
      <c r="L18952" s="2">
        <v>504</v>
      </c>
    </row>
    <row r="18953" spans="1:12" x14ac:dyDescent="0.25">
      <c r="A18953" s="4" t="str">
        <f>HYPERLINK("http://www.rosaceae.org/Prunus/Prunus_persica/p.persica_gdr_reftransV1_0017896","p.persica_gdr_reftransV1_0017896")</f>
        <v>p.persica_gdr_reftransV1_0017896</v>
      </c>
      <c r="B18953" s="2">
        <v>2933</v>
      </c>
      <c r="C18953" s="4" t="str">
        <f>HYPERLINK("http://www.uniprot.org/uniprot/M5XBC5","M5XBC5")</f>
        <v>M5XBC5</v>
      </c>
      <c r="D18953" s="2" t="s">
        <v>14590</v>
      </c>
      <c r="E18953" s="3">
        <v>0</v>
      </c>
      <c r="F18953" s="2">
        <v>2988</v>
      </c>
      <c r="G18953" s="2">
        <v>100</v>
      </c>
      <c r="H18953" s="2">
        <v>578</v>
      </c>
      <c r="I18953" s="2">
        <v>1184</v>
      </c>
      <c r="J18953" s="2">
        <v>2917</v>
      </c>
      <c r="K18953" s="2">
        <v>1</v>
      </c>
      <c r="L18953" s="2">
        <v>578</v>
      </c>
    </row>
    <row r="18954" spans="1:12" x14ac:dyDescent="0.25">
      <c r="A18954" s="4" t="str">
        <f>HYPERLINK("http://www.rosaceae.org/Prunus/Prunus_persica/p.persica_gdr_reftransV1_0018246","p.persica_gdr_reftransV1_0018246")</f>
        <v>p.persica_gdr_reftransV1_0018246</v>
      </c>
      <c r="B18954" s="2">
        <v>1918</v>
      </c>
      <c r="C18954" s="4" t="str">
        <f>HYPERLINK("http://www.uniprot.org/uniprot/M5WW44","M5WW44")</f>
        <v>M5WW44</v>
      </c>
      <c r="D18954" s="2" t="s">
        <v>760</v>
      </c>
      <c r="E18954" s="3">
        <v>0</v>
      </c>
      <c r="F18954" s="2">
        <v>2413</v>
      </c>
      <c r="G18954" s="2">
        <v>92</v>
      </c>
      <c r="H18954" s="2">
        <v>548</v>
      </c>
      <c r="I18954" s="2">
        <v>3</v>
      </c>
      <c r="J18954" s="2">
        <v>1532</v>
      </c>
      <c r="K18954" s="2">
        <v>170</v>
      </c>
      <c r="L18954" s="2">
        <v>717</v>
      </c>
    </row>
    <row r="18955" spans="1:12" x14ac:dyDescent="0.25">
      <c r="A18955" s="4" t="str">
        <f>HYPERLINK("http://www.rosaceae.org/Prunus/Prunus_persica/p.persica_gdr_reftransV1_0019296","p.persica_gdr_reftransV1_0019296")</f>
        <v>p.persica_gdr_reftransV1_0019296</v>
      </c>
      <c r="B18955" s="2">
        <v>425</v>
      </c>
      <c r="C18955" s="4" t="str">
        <f>HYPERLINK("http://www.uniprot.org/uniprot/M5X2J0","M5X2J0")</f>
        <v>M5X2J0</v>
      </c>
      <c r="D18955" s="2" t="s">
        <v>5295</v>
      </c>
      <c r="E18955" s="3">
        <v>1.6799999999999999E-90</v>
      </c>
      <c r="F18955" s="2">
        <v>749</v>
      </c>
      <c r="G18955" s="2">
        <v>100</v>
      </c>
      <c r="H18955" s="2">
        <v>141</v>
      </c>
      <c r="I18955" s="2">
        <v>3</v>
      </c>
      <c r="J18955" s="2">
        <v>425</v>
      </c>
      <c r="K18955" s="2">
        <v>632</v>
      </c>
      <c r="L18955" s="2">
        <v>772</v>
      </c>
    </row>
    <row r="18956" spans="1:12" x14ac:dyDescent="0.25">
      <c r="A18956" s="4" t="str">
        <f>HYPERLINK("http://www.rosaceae.org/Prunus/Prunus_persica/p.persica_gdr_reftransV1_0019996","p.persica_gdr_reftransV1_0019996")</f>
        <v>p.persica_gdr_reftransV1_0019996</v>
      </c>
      <c r="B18956" s="2">
        <v>575</v>
      </c>
      <c r="C18956" s="4" t="str">
        <f>HYPERLINK("http://www.uniprot.org/uniprot/M5WK29","M5WK29")</f>
        <v>M5WK29</v>
      </c>
      <c r="D18956" s="2" t="s">
        <v>14591</v>
      </c>
      <c r="E18956" s="3">
        <v>7.9899999999999995E-80</v>
      </c>
      <c r="F18956" s="2">
        <v>644</v>
      </c>
      <c r="G18956" s="2">
        <v>98</v>
      </c>
      <c r="H18956" s="2">
        <v>123</v>
      </c>
      <c r="I18956" s="2">
        <v>1</v>
      </c>
      <c r="J18956" s="2">
        <v>369</v>
      </c>
      <c r="K18956" s="2">
        <v>207</v>
      </c>
      <c r="L18956" s="2">
        <v>329</v>
      </c>
    </row>
    <row r="18957" spans="1:12" x14ac:dyDescent="0.25">
      <c r="A18957" s="4" t="str">
        <f>HYPERLINK("http://www.rosaceae.org/Prunus/Prunus_persica/p.persica_gdr_reftransV1_0020346","p.persica_gdr_reftransV1_0020346")</f>
        <v>p.persica_gdr_reftransV1_0020346</v>
      </c>
      <c r="B18957" s="2">
        <v>2406</v>
      </c>
      <c r="C18957" s="4" t="str">
        <f>HYPERLINK("http://www.uniprot.org/uniprot/M5VVJ2","M5VVJ2")</f>
        <v>M5VVJ2</v>
      </c>
      <c r="D18957" s="2" t="s">
        <v>14592</v>
      </c>
      <c r="E18957" s="3">
        <v>0</v>
      </c>
      <c r="F18957" s="2">
        <v>3273</v>
      </c>
      <c r="G18957" s="2">
        <v>100</v>
      </c>
      <c r="H18957" s="2">
        <v>622</v>
      </c>
      <c r="I18957" s="2">
        <v>365</v>
      </c>
      <c r="J18957" s="2">
        <v>2230</v>
      </c>
      <c r="K18957" s="2">
        <v>1</v>
      </c>
      <c r="L18957" s="2">
        <v>622</v>
      </c>
    </row>
    <row r="18958" spans="1:12" x14ac:dyDescent="0.25">
      <c r="A18958" s="4" t="str">
        <f>HYPERLINK("http://www.rosaceae.org/Prunus/Prunus_persica/p.persica_gdr_reftransV1_0020696","p.persica_gdr_reftransV1_0020696")</f>
        <v>p.persica_gdr_reftransV1_0020696</v>
      </c>
      <c r="B18958" s="2">
        <v>4996</v>
      </c>
      <c r="C18958" s="4" t="str">
        <f>HYPERLINK("http://www.uniprot.org/uniprot/M5WD01","M5WD01")</f>
        <v>M5WD01</v>
      </c>
      <c r="D18958" s="2" t="s">
        <v>3830</v>
      </c>
      <c r="E18958" s="3">
        <v>0</v>
      </c>
      <c r="F18958" s="2">
        <v>7131</v>
      </c>
      <c r="G18958" s="2">
        <v>90</v>
      </c>
      <c r="H18958" s="2">
        <v>1532</v>
      </c>
      <c r="I18958" s="2">
        <v>419</v>
      </c>
      <c r="J18958" s="2">
        <v>4996</v>
      </c>
      <c r="K18958" s="2">
        <v>318</v>
      </c>
      <c r="L18958" s="2">
        <v>1722</v>
      </c>
    </row>
    <row r="18959" spans="1:12" x14ac:dyDescent="0.25">
      <c r="A18959" s="4" t="str">
        <f>HYPERLINK("http://www.rosaceae.org/Prunus/Prunus_persica/p.persica_gdr_reftransV1_0023146","p.persica_gdr_reftransV1_0023146")</f>
        <v>p.persica_gdr_reftransV1_0023146</v>
      </c>
      <c r="B18959" s="2">
        <v>1063</v>
      </c>
      <c r="C18959" s="4" t="str">
        <f>HYPERLINK("http://www.uniprot.org/uniprot/M5X2F2","M5X2F2")</f>
        <v>M5X2F2</v>
      </c>
      <c r="D18959" s="2" t="s">
        <v>14593</v>
      </c>
      <c r="E18959" s="3">
        <v>4.8099999999999997E-149</v>
      </c>
      <c r="F18959" s="2">
        <v>1108</v>
      </c>
      <c r="G18959" s="2">
        <v>98</v>
      </c>
      <c r="H18959" s="2">
        <v>213</v>
      </c>
      <c r="I18959" s="2">
        <v>238</v>
      </c>
      <c r="J18959" s="2">
        <v>876</v>
      </c>
      <c r="K18959" s="2">
        <v>1</v>
      </c>
      <c r="L18959" s="2">
        <v>213</v>
      </c>
    </row>
    <row r="18960" spans="1:12" x14ac:dyDescent="0.25">
      <c r="A18960" s="4" t="str">
        <f>HYPERLINK("http://www.rosaceae.org/Prunus/Prunus_persica/p.persica_gdr_reftransV1_0023496","p.persica_gdr_reftransV1_0023496")</f>
        <v>p.persica_gdr_reftransV1_0023496</v>
      </c>
      <c r="B18960" s="2">
        <v>2338</v>
      </c>
      <c r="C18960" s="4" t="str">
        <f>HYPERLINK("http://www.uniprot.org/uniprot/M5X6U6","M5X6U6")</f>
        <v>M5X6U6</v>
      </c>
      <c r="D18960" s="2" t="s">
        <v>14594</v>
      </c>
      <c r="E18960" s="3">
        <v>0</v>
      </c>
      <c r="F18960" s="2">
        <v>1943</v>
      </c>
      <c r="G18960" s="2">
        <v>97</v>
      </c>
      <c r="H18960" s="2">
        <v>431</v>
      </c>
      <c r="I18960" s="2">
        <v>335</v>
      </c>
      <c r="J18960" s="2">
        <v>1621</v>
      </c>
      <c r="K18960" s="2">
        <v>1</v>
      </c>
      <c r="L18960" s="2">
        <v>431</v>
      </c>
    </row>
    <row r="18961" spans="1:12" x14ac:dyDescent="0.25">
      <c r="A18961" s="4" t="str">
        <f>HYPERLINK("http://www.rosaceae.org/Prunus/Prunus_persica/p.persica_gdr_reftransV1_0023846","p.persica_gdr_reftransV1_0023846")</f>
        <v>p.persica_gdr_reftransV1_0023846</v>
      </c>
      <c r="B18961" s="2">
        <v>1632</v>
      </c>
      <c r="C18961" s="4" t="str">
        <f>HYPERLINK("http://www.uniprot.org/uniprot/M5WCU5","M5WCU5")</f>
        <v>M5WCU5</v>
      </c>
      <c r="D18961" s="2" t="s">
        <v>14595</v>
      </c>
      <c r="E18961" s="3">
        <v>0</v>
      </c>
      <c r="F18961" s="2">
        <v>2056</v>
      </c>
      <c r="G18961" s="2">
        <v>100</v>
      </c>
      <c r="H18961" s="2">
        <v>448</v>
      </c>
      <c r="I18961" s="2">
        <v>287</v>
      </c>
      <c r="J18961" s="2">
        <v>1630</v>
      </c>
      <c r="K18961" s="2">
        <v>55</v>
      </c>
      <c r="L18961" s="2">
        <v>502</v>
      </c>
    </row>
    <row r="18962" spans="1:12" x14ac:dyDescent="0.25">
      <c r="A18962" s="4" t="str">
        <f>HYPERLINK("http://www.rosaceae.org/Prunus/Prunus_persica/p.persica_gdr_reftransV1_0025946","p.persica_gdr_reftransV1_0025946")</f>
        <v>p.persica_gdr_reftransV1_0025946</v>
      </c>
      <c r="B18962" s="2">
        <v>1169</v>
      </c>
      <c r="C18962" s="4" t="str">
        <f>HYPERLINK("http://www.uniprot.org/uniprot/M5VKT5","M5VKT5")</f>
        <v>M5VKT5</v>
      </c>
      <c r="D18962" s="2" t="s">
        <v>14596</v>
      </c>
      <c r="E18962" s="3">
        <v>0</v>
      </c>
      <c r="F18962" s="2">
        <v>1397</v>
      </c>
      <c r="G18962" s="2">
        <v>90</v>
      </c>
      <c r="H18962" s="2">
        <v>310</v>
      </c>
      <c r="I18962" s="2">
        <v>136</v>
      </c>
      <c r="J18962" s="2">
        <v>1065</v>
      </c>
      <c r="K18962" s="2">
        <v>1</v>
      </c>
      <c r="L18962" s="2">
        <v>279</v>
      </c>
    </row>
    <row r="18963" spans="1:12" x14ac:dyDescent="0.25">
      <c r="A18963" s="4" t="str">
        <f>HYPERLINK("http://www.rosaceae.org/Prunus/Prunus_persica/p.persica_gdr_reftransV1_0027696","p.persica_gdr_reftransV1_0027696")</f>
        <v>p.persica_gdr_reftransV1_0027696</v>
      </c>
      <c r="B18963" s="2">
        <v>4183</v>
      </c>
      <c r="C18963" s="4" t="str">
        <f>HYPERLINK("http://www.uniprot.org/uniprot/M5XU25","M5XU25")</f>
        <v>M5XU25</v>
      </c>
      <c r="D18963" s="2" t="s">
        <v>10648</v>
      </c>
      <c r="E18963" s="3">
        <v>1.9100000000000001E-119</v>
      </c>
      <c r="F18963" s="2">
        <v>984</v>
      </c>
      <c r="G18963" s="2">
        <v>100</v>
      </c>
      <c r="H18963" s="2">
        <v>186</v>
      </c>
      <c r="I18963" s="2">
        <v>554</v>
      </c>
      <c r="J18963" s="2">
        <v>1111</v>
      </c>
      <c r="K18963" s="2">
        <v>1</v>
      </c>
      <c r="L18963" s="2">
        <v>186</v>
      </c>
    </row>
    <row r="18964" spans="1:12" x14ac:dyDescent="0.25">
      <c r="A18964" s="4" t="str">
        <f>HYPERLINK("http://www.rosaceae.org/Prunus/Prunus_persica/p.persica_gdr_reftransV1_0028046","p.persica_gdr_reftransV1_0028046")</f>
        <v>p.persica_gdr_reftransV1_0028046</v>
      </c>
      <c r="B18964" s="2">
        <v>2338</v>
      </c>
      <c r="C18964" s="4" t="str">
        <f>HYPERLINK("http://www.uniprot.org/uniprot/M5WS69","M5WS69")</f>
        <v>M5WS69</v>
      </c>
      <c r="D18964" s="2" t="s">
        <v>14597</v>
      </c>
      <c r="E18964" s="3">
        <v>0</v>
      </c>
      <c r="F18964" s="2">
        <v>2738</v>
      </c>
      <c r="G18964" s="2">
        <v>100</v>
      </c>
      <c r="H18964" s="2">
        <v>566</v>
      </c>
      <c r="I18964" s="2">
        <v>518</v>
      </c>
      <c r="J18964" s="2">
        <v>2215</v>
      </c>
      <c r="K18964" s="2">
        <v>1</v>
      </c>
      <c r="L18964" s="2">
        <v>566</v>
      </c>
    </row>
    <row r="18965" spans="1:12" x14ac:dyDescent="0.25">
      <c r="A18965" s="4" t="str">
        <f>HYPERLINK("http://www.rosaceae.org/Prunus/Prunus_persica/p.persica_gdr_reftransV1_0028746","p.persica_gdr_reftransV1_0028746")</f>
        <v>p.persica_gdr_reftransV1_0028746</v>
      </c>
      <c r="B18965" s="2">
        <v>3327</v>
      </c>
      <c r="C18965" s="4" t="str">
        <f>HYPERLINK("http://www.uniprot.org/uniprot/M5XKT3","M5XKT3")</f>
        <v>M5XKT3</v>
      </c>
      <c r="D18965" s="2" t="s">
        <v>14598</v>
      </c>
      <c r="E18965" s="3">
        <v>0</v>
      </c>
      <c r="F18965" s="2">
        <v>4767</v>
      </c>
      <c r="G18965" s="2">
        <v>100</v>
      </c>
      <c r="H18965" s="2">
        <v>912</v>
      </c>
      <c r="I18965" s="2">
        <v>198</v>
      </c>
      <c r="J18965" s="2">
        <v>2933</v>
      </c>
      <c r="K18965" s="2">
        <v>1</v>
      </c>
      <c r="L18965" s="2">
        <v>912</v>
      </c>
    </row>
    <row r="18966" spans="1:12" x14ac:dyDescent="0.25">
      <c r="A18966" s="4" t="str">
        <f>HYPERLINK("http://www.rosaceae.org/Prunus/Prunus_persica/p.persica_gdr_reftransV1_0029446","p.persica_gdr_reftransV1_0029446")</f>
        <v>p.persica_gdr_reftransV1_0029446</v>
      </c>
      <c r="B18966" s="2">
        <v>1684</v>
      </c>
      <c r="C18966" s="4" t="str">
        <f>HYPERLINK("http://www.uniprot.org/uniprot/M5X064","M5X064")</f>
        <v>M5X064</v>
      </c>
      <c r="D18966" s="2" t="s">
        <v>14599</v>
      </c>
      <c r="E18966" s="3">
        <v>0</v>
      </c>
      <c r="F18966" s="2">
        <v>2104</v>
      </c>
      <c r="G18966" s="2">
        <v>100</v>
      </c>
      <c r="H18966" s="2">
        <v>396</v>
      </c>
      <c r="I18966" s="2">
        <v>183</v>
      </c>
      <c r="J18966" s="2">
        <v>1370</v>
      </c>
      <c r="K18966" s="2">
        <v>1</v>
      </c>
      <c r="L18966" s="2">
        <v>396</v>
      </c>
    </row>
    <row r="18967" spans="1:12" x14ac:dyDescent="0.25">
      <c r="A18967" s="4" t="str">
        <f>HYPERLINK("http://www.rosaceae.org/Prunus/Prunus_persica/p.persica_gdr_reftransV1_0031896","p.persica_gdr_reftransV1_0031896")</f>
        <v>p.persica_gdr_reftransV1_0031896</v>
      </c>
      <c r="B18967" s="2">
        <v>2219</v>
      </c>
      <c r="C18967" s="4" t="str">
        <f>HYPERLINK("http://www.uniprot.org/uniprot/M5X9W9","M5X9W9")</f>
        <v>M5X9W9</v>
      </c>
      <c r="D18967" s="2" t="s">
        <v>13004</v>
      </c>
      <c r="E18967" s="3">
        <v>2.4000000000000001E-92</v>
      </c>
      <c r="F18967" s="2">
        <v>808</v>
      </c>
      <c r="G18967" s="2">
        <v>99</v>
      </c>
      <c r="H18967" s="2">
        <v>174</v>
      </c>
      <c r="I18967" s="2">
        <v>586</v>
      </c>
      <c r="J18967" s="2">
        <v>1107</v>
      </c>
      <c r="K18967" s="2">
        <v>393</v>
      </c>
      <c r="L18967" s="2">
        <v>566</v>
      </c>
    </row>
    <row r="18968" spans="1:12" x14ac:dyDescent="0.25">
      <c r="A18968" s="4" t="str">
        <f>HYPERLINK("http://www.rosaceae.org/Prunus/Prunus_persica/p.persica_gdr_reftransV1_0033296","p.persica_gdr_reftransV1_0033296")</f>
        <v>p.persica_gdr_reftransV1_0033296</v>
      </c>
      <c r="B18968" s="2">
        <v>4400</v>
      </c>
      <c r="C18968" s="4" t="str">
        <f>HYPERLINK("http://www.uniprot.org/uniprot/M5X1Y2","M5X1Y2")</f>
        <v>M5X1Y2</v>
      </c>
      <c r="D18968" s="2" t="s">
        <v>14600</v>
      </c>
      <c r="E18968" s="3">
        <v>0</v>
      </c>
      <c r="F18968" s="2">
        <v>6408</v>
      </c>
      <c r="G18968" s="2">
        <v>100</v>
      </c>
      <c r="H18968" s="2">
        <v>1212</v>
      </c>
      <c r="I18968" s="2">
        <v>145</v>
      </c>
      <c r="J18968" s="2">
        <v>3780</v>
      </c>
      <c r="K18968" s="2">
        <v>1</v>
      </c>
      <c r="L18968" s="2">
        <v>1212</v>
      </c>
    </row>
    <row r="18969" spans="1:12" x14ac:dyDescent="0.25">
      <c r="A18969" s="4" t="str">
        <f>HYPERLINK("http://www.rosaceae.org/Prunus/Prunus_persica/p.persica_gdr_reftransV1_0034346","p.persica_gdr_reftransV1_0034346")</f>
        <v>p.persica_gdr_reftransV1_0034346</v>
      </c>
      <c r="B18969" s="2">
        <v>573</v>
      </c>
      <c r="C18969" s="4" t="str">
        <f>HYPERLINK("http://www.uniprot.org/uniprot/M5XCM6","M5XCM6")</f>
        <v>M5XCM6</v>
      </c>
      <c r="D18969" s="2" t="s">
        <v>5402</v>
      </c>
      <c r="E18969" s="3">
        <v>1.7300000000000001E-86</v>
      </c>
      <c r="F18969" s="2">
        <v>693</v>
      </c>
      <c r="G18969" s="2">
        <v>100</v>
      </c>
      <c r="H18969" s="2">
        <v>133</v>
      </c>
      <c r="I18969" s="2">
        <v>174</v>
      </c>
      <c r="J18969" s="2">
        <v>572</v>
      </c>
      <c r="K18969" s="2">
        <v>261</v>
      </c>
      <c r="L18969" s="2">
        <v>393</v>
      </c>
    </row>
    <row r="18970" spans="1:12" x14ac:dyDescent="0.25">
      <c r="A18970" s="4" t="str">
        <f>HYPERLINK("http://www.rosaceae.org/Prunus/Prunus_persica/p.persica_gdr_reftransV1_0037146","p.persica_gdr_reftransV1_0037146")</f>
        <v>p.persica_gdr_reftransV1_0037146</v>
      </c>
      <c r="B18970" s="2">
        <v>1371</v>
      </c>
      <c r="C18970" s="4" t="str">
        <f>HYPERLINK("http://www.uniprot.org/uniprot/M5WQZ3","M5WQZ3")</f>
        <v>M5WQZ3</v>
      </c>
      <c r="D18970" s="2" t="s">
        <v>14601</v>
      </c>
      <c r="E18970" s="3">
        <v>3.9800000000000001E-120</v>
      </c>
      <c r="F18970" s="2">
        <v>927</v>
      </c>
      <c r="G18970" s="2">
        <v>96</v>
      </c>
      <c r="H18970" s="2">
        <v>190</v>
      </c>
      <c r="I18970" s="2">
        <v>509</v>
      </c>
      <c r="J18970" s="2">
        <v>1078</v>
      </c>
      <c r="K18970" s="2">
        <v>19</v>
      </c>
      <c r="L18970" s="2">
        <v>208</v>
      </c>
    </row>
    <row r="18971" spans="1:12" x14ac:dyDescent="0.25">
      <c r="A18971" s="4" t="str">
        <f>HYPERLINK("http://www.rosaceae.org/Prunus/Prunus_persica/p.persica_gdr_reftransV1_0037846","p.persica_gdr_reftransV1_0037846")</f>
        <v>p.persica_gdr_reftransV1_0037846</v>
      </c>
      <c r="B18971" s="2">
        <v>494</v>
      </c>
      <c r="C18971" s="4" t="str">
        <f>HYPERLINK("http://www.uniprot.org/uniprot/M5W4E6","M5W4E6")</f>
        <v>M5W4E6</v>
      </c>
      <c r="D18971" s="2" t="s">
        <v>8838</v>
      </c>
      <c r="E18971" s="3">
        <v>4.5899999999999997E-98</v>
      </c>
      <c r="F18971" s="2">
        <v>775</v>
      </c>
      <c r="G18971" s="2">
        <v>100</v>
      </c>
      <c r="H18971" s="2">
        <v>150</v>
      </c>
      <c r="I18971" s="2">
        <v>45</v>
      </c>
      <c r="J18971" s="2">
        <v>494</v>
      </c>
      <c r="K18971" s="2">
        <v>1</v>
      </c>
      <c r="L18971" s="2">
        <v>150</v>
      </c>
    </row>
    <row r="18972" spans="1:12" x14ac:dyDescent="0.25">
      <c r="A18972" s="4" t="str">
        <f>HYPERLINK("http://www.rosaceae.org/Prunus/Prunus_persica/p.persica_gdr_reftransV1_0038546","p.persica_gdr_reftransV1_0038546")</f>
        <v>p.persica_gdr_reftransV1_0038546</v>
      </c>
      <c r="B18972" s="2">
        <v>7191</v>
      </c>
      <c r="C18972" s="4" t="str">
        <f>HYPERLINK("http://www.uniprot.org/uniprot/M5VSR2","M5VSR2")</f>
        <v>M5VSR2</v>
      </c>
      <c r="D18972" s="2" t="s">
        <v>14602</v>
      </c>
      <c r="E18972" s="3">
        <v>0</v>
      </c>
      <c r="F18972" s="2">
        <v>4844</v>
      </c>
      <c r="G18972" s="2">
        <v>100</v>
      </c>
      <c r="H18972" s="2">
        <v>939</v>
      </c>
      <c r="I18972" s="2">
        <v>1246</v>
      </c>
      <c r="J18972" s="2">
        <v>4062</v>
      </c>
      <c r="K18972" s="2">
        <v>141</v>
      </c>
      <c r="L18972" s="2">
        <v>1079</v>
      </c>
    </row>
    <row r="18973" spans="1:12" x14ac:dyDescent="0.25">
      <c r="A18973" s="4" t="str">
        <f>HYPERLINK("http://www.rosaceae.org/Prunus/Prunus_persica/p.persica_gdr_reftransV1_0039596","p.persica_gdr_reftransV1_0039596")</f>
        <v>p.persica_gdr_reftransV1_0039596</v>
      </c>
      <c r="B18973" s="2">
        <v>827</v>
      </c>
      <c r="C18973" s="4" t="str">
        <f>HYPERLINK("http://www.uniprot.org/uniprot/M5WB06","M5WB06")</f>
        <v>M5WB06</v>
      </c>
      <c r="D18973" s="2" t="s">
        <v>14603</v>
      </c>
      <c r="E18973" s="3">
        <v>3.1000000000000001E-117</v>
      </c>
      <c r="F18973" s="2">
        <v>885</v>
      </c>
      <c r="G18973" s="2">
        <v>100</v>
      </c>
      <c r="H18973" s="2">
        <v>167</v>
      </c>
      <c r="I18973" s="2">
        <v>96</v>
      </c>
      <c r="J18973" s="2">
        <v>596</v>
      </c>
      <c r="K18973" s="2">
        <v>1</v>
      </c>
      <c r="L18973" s="2">
        <v>167</v>
      </c>
    </row>
    <row r="18974" spans="1:12" x14ac:dyDescent="0.25">
      <c r="A18974" s="4" t="str">
        <f>HYPERLINK("http://www.rosaceae.org/Prunus/Prunus_persica/p.persica_gdr_reftransV1_0041346","p.persica_gdr_reftransV1_0041346")</f>
        <v>p.persica_gdr_reftransV1_0041346</v>
      </c>
      <c r="B18974" s="2">
        <v>3695</v>
      </c>
      <c r="C18974" s="4" t="str">
        <f>HYPERLINK("http://www.uniprot.org/uniprot/M5XL27","M5XL27")</f>
        <v>M5XL27</v>
      </c>
      <c r="D18974" s="2" t="s">
        <v>14604</v>
      </c>
      <c r="E18974" s="3">
        <v>0</v>
      </c>
      <c r="F18974" s="2">
        <v>5267</v>
      </c>
      <c r="G18974" s="2">
        <v>100</v>
      </c>
      <c r="H18974" s="2">
        <v>1053</v>
      </c>
      <c r="I18974" s="2">
        <v>205</v>
      </c>
      <c r="J18974" s="2">
        <v>3363</v>
      </c>
      <c r="K18974" s="2">
        <v>1</v>
      </c>
      <c r="L18974" s="2">
        <v>1053</v>
      </c>
    </row>
    <row r="18975" spans="1:12" x14ac:dyDescent="0.25">
      <c r="A18975" s="4" t="str">
        <f>HYPERLINK("http://www.rosaceae.org/Prunus/Prunus_persica/p.persica_gdr_reftransV1_0043096","p.persica_gdr_reftransV1_0043096")</f>
        <v>p.persica_gdr_reftransV1_0043096</v>
      </c>
      <c r="B18975" s="2">
        <v>645</v>
      </c>
      <c r="C18975" s="4" t="str">
        <f>HYPERLINK("http://www.uniprot.org/uniprot/A5C845","A5C845")</f>
        <v>A5C845</v>
      </c>
      <c r="D18975" s="2" t="s">
        <v>14605</v>
      </c>
      <c r="E18975" s="3">
        <v>9.9400000000000009E-22</v>
      </c>
      <c r="F18975" s="2">
        <v>166</v>
      </c>
      <c r="G18975" s="2">
        <v>31</v>
      </c>
      <c r="H18975" s="2">
        <v>128</v>
      </c>
      <c r="I18975" s="2">
        <v>13</v>
      </c>
      <c r="J18975" s="2">
        <v>372</v>
      </c>
      <c r="K18975" s="2">
        <v>249</v>
      </c>
      <c r="L18975" s="2">
        <v>376</v>
      </c>
    </row>
    <row r="18976" spans="1:12" x14ac:dyDescent="0.25">
      <c r="A18976" s="4" t="str">
        <f>HYPERLINK("http://www.rosaceae.org/Prunus/Prunus_persica/p.persica_gdr_reftransV1_0043446","p.persica_gdr_reftransV1_0043446")</f>
        <v>p.persica_gdr_reftransV1_0043446</v>
      </c>
      <c r="B18976" s="2">
        <v>625</v>
      </c>
      <c r="C18976" s="4" t="str">
        <f>HYPERLINK("http://www.uniprot.org/uniprot/E0CNX1","E0CNX1")</f>
        <v>E0CNX1</v>
      </c>
      <c r="D18976" s="2" t="s">
        <v>14606</v>
      </c>
      <c r="E18976" s="3">
        <v>1.1099999999999999E-21</v>
      </c>
      <c r="F18976" s="2">
        <v>245</v>
      </c>
      <c r="G18976" s="2">
        <v>53</v>
      </c>
      <c r="H18976" s="2">
        <v>127</v>
      </c>
      <c r="I18976" s="2">
        <v>164</v>
      </c>
      <c r="J18976" s="2">
        <v>541</v>
      </c>
      <c r="K18976" s="2">
        <v>21</v>
      </c>
      <c r="L18976" s="2">
        <v>141</v>
      </c>
    </row>
    <row r="18977" spans="1:12" x14ac:dyDescent="0.25">
      <c r="A18977" s="4" t="str">
        <f>HYPERLINK("http://www.rosaceae.org/Prunus/Prunus_persica/p.persica_gdr_reftransV1_0043796","p.persica_gdr_reftransV1_0043796")</f>
        <v>p.persica_gdr_reftransV1_0043796</v>
      </c>
      <c r="B18977" s="2">
        <v>633</v>
      </c>
      <c r="C18977" s="4" t="str">
        <f>HYPERLINK("http://www.uniprot.org/uniprot/M5WH26","M5WH26")</f>
        <v>M5WH26</v>
      </c>
      <c r="D18977" s="2" t="s">
        <v>14607</v>
      </c>
      <c r="E18977" s="3">
        <v>5.95E-69</v>
      </c>
      <c r="F18977" s="2">
        <v>553</v>
      </c>
      <c r="G18977" s="2">
        <v>100</v>
      </c>
      <c r="H18977" s="2">
        <v>104</v>
      </c>
      <c r="I18977" s="2">
        <v>41</v>
      </c>
      <c r="J18977" s="2">
        <v>352</v>
      </c>
      <c r="K18977" s="2">
        <v>1</v>
      </c>
      <c r="L18977" s="2">
        <v>104</v>
      </c>
    </row>
    <row r="18978" spans="1:12" x14ac:dyDescent="0.25">
      <c r="A18978" s="4" t="str">
        <f>HYPERLINK("http://www.rosaceae.org/Prunus/Prunus_persica/p.persica_gdr_reftransV1_0044146","p.persica_gdr_reftransV1_0044146")</f>
        <v>p.persica_gdr_reftransV1_0044146</v>
      </c>
      <c r="B18978" s="2">
        <v>700</v>
      </c>
      <c r="C18978" s="4" t="str">
        <f>HYPERLINK("http://www.uniprot.org/uniprot/M5Y0A5","M5Y0A5")</f>
        <v>M5Y0A5</v>
      </c>
      <c r="D18978" s="2" t="s">
        <v>13960</v>
      </c>
      <c r="E18978" s="3">
        <v>1.2100000000000001E-140</v>
      </c>
      <c r="F18978" s="2">
        <v>1059</v>
      </c>
      <c r="G18978" s="2">
        <v>87</v>
      </c>
      <c r="H18978" s="2">
        <v>230</v>
      </c>
      <c r="I18978" s="2">
        <v>6</v>
      </c>
      <c r="J18978" s="2">
        <v>692</v>
      </c>
      <c r="K18978" s="2">
        <v>45</v>
      </c>
      <c r="L18978" s="2">
        <v>274</v>
      </c>
    </row>
    <row r="18979" spans="1:12" x14ac:dyDescent="0.25">
      <c r="A18979" s="4" t="str">
        <f>HYPERLINK("http://www.rosaceae.org/Prunus/Prunus_persica/p.persica_gdr_reftransV1_0044496","p.persica_gdr_reftransV1_0044496")</f>
        <v>p.persica_gdr_reftransV1_0044496</v>
      </c>
      <c r="B18979" s="2">
        <v>920</v>
      </c>
      <c r="C18979" s="4" t="str">
        <f>HYPERLINK("http://www.uniprot.org/uniprot/M5X8C8","M5X8C8")</f>
        <v>M5X8C8</v>
      </c>
      <c r="D18979" s="2" t="s">
        <v>7100</v>
      </c>
      <c r="E18979" s="3">
        <v>8.7899999999999993E-161</v>
      </c>
      <c r="F18979" s="2">
        <v>1225</v>
      </c>
      <c r="G18979" s="2">
        <v>91</v>
      </c>
      <c r="H18979" s="2">
        <v>270</v>
      </c>
      <c r="I18979" s="2">
        <v>2</v>
      </c>
      <c r="J18979" s="2">
        <v>811</v>
      </c>
      <c r="K18979" s="2">
        <v>430</v>
      </c>
      <c r="L18979" s="2">
        <v>675</v>
      </c>
    </row>
    <row r="18980" spans="1:12" x14ac:dyDescent="0.25">
      <c r="A18980" s="4" t="str">
        <f>HYPERLINK("http://www.rosaceae.org/Prunus/Prunus_persica/p.persica_gdr_reftransV1_0044846","p.persica_gdr_reftransV1_0044846")</f>
        <v>p.persica_gdr_reftransV1_0044846</v>
      </c>
      <c r="B18980" s="2">
        <v>1036</v>
      </c>
      <c r="C18980" s="4" t="str">
        <f>HYPERLINK("http://www.uniprot.org/uniprot/M5XEI5","M5XEI5")</f>
        <v>M5XEI5</v>
      </c>
      <c r="D18980" s="2" t="s">
        <v>8925</v>
      </c>
      <c r="E18980" s="3">
        <v>8.6999999999999993E-112</v>
      </c>
      <c r="F18980" s="2">
        <v>870</v>
      </c>
      <c r="G18980" s="2">
        <v>100</v>
      </c>
      <c r="H18980" s="2">
        <v>271</v>
      </c>
      <c r="I18980" s="2">
        <v>160</v>
      </c>
      <c r="J18980" s="2">
        <v>972</v>
      </c>
      <c r="K18980" s="2">
        <v>1</v>
      </c>
      <c r="L18980" s="2">
        <v>271</v>
      </c>
    </row>
    <row r="18981" spans="1:12" x14ac:dyDescent="0.25">
      <c r="A18981" s="4" t="str">
        <f>HYPERLINK("http://www.rosaceae.org/Prunus/Prunus_persica/p.persica_gdr_reftransV1_0045196","p.persica_gdr_reftransV1_0045196")</f>
        <v>p.persica_gdr_reftransV1_0045196</v>
      </c>
      <c r="B18981" s="2">
        <v>773</v>
      </c>
      <c r="C18981" s="4" t="str">
        <f>HYPERLINK("http://www.uniprot.org/uniprot/I1JIW3","I1JIW3")</f>
        <v>I1JIW3</v>
      </c>
      <c r="D18981" s="2" t="s">
        <v>575</v>
      </c>
      <c r="E18981" s="3">
        <v>7.8999999999999998E-73</v>
      </c>
      <c r="F18981" s="2">
        <v>586</v>
      </c>
      <c r="G18981" s="2">
        <v>98</v>
      </c>
      <c r="H18981" s="2">
        <v>124</v>
      </c>
      <c r="I18981" s="2">
        <v>287</v>
      </c>
      <c r="J18981" s="2">
        <v>658</v>
      </c>
      <c r="K18981" s="2">
        <v>1</v>
      </c>
      <c r="L18981" s="2">
        <v>124</v>
      </c>
    </row>
    <row r="18982" spans="1:12" x14ac:dyDescent="0.25">
      <c r="A18982" s="4" t="str">
        <f>HYPERLINK("http://www.rosaceae.org/Prunus/Prunus_persica/p.persica_gdr_reftransV1_0045546","p.persica_gdr_reftransV1_0045546")</f>
        <v>p.persica_gdr_reftransV1_0045546</v>
      </c>
      <c r="B18982" s="2">
        <v>495</v>
      </c>
      <c r="C18982" s="4" t="str">
        <f>HYPERLINK("http://www.uniprot.org/uniprot/M5W813","M5W813")</f>
        <v>M5W813</v>
      </c>
      <c r="D18982" s="2" t="s">
        <v>9838</v>
      </c>
      <c r="E18982" s="3">
        <v>1.35E-114</v>
      </c>
      <c r="F18982" s="2">
        <v>892</v>
      </c>
      <c r="G18982" s="2">
        <v>100</v>
      </c>
      <c r="H18982" s="2">
        <v>165</v>
      </c>
      <c r="I18982" s="2">
        <v>1</v>
      </c>
      <c r="J18982" s="2">
        <v>495</v>
      </c>
      <c r="K18982" s="2">
        <v>237</v>
      </c>
      <c r="L18982" s="2">
        <v>401</v>
      </c>
    </row>
    <row r="18983" spans="1:12" x14ac:dyDescent="0.25">
      <c r="A18983" s="4" t="str">
        <f>HYPERLINK("http://www.rosaceae.org/Prunus/Prunus_persica/p.persica_gdr_reftransV1_0045896","p.persica_gdr_reftransV1_0045896")</f>
        <v>p.persica_gdr_reftransV1_0045896</v>
      </c>
      <c r="B18983" s="2">
        <v>848</v>
      </c>
      <c r="C18983" s="4" t="str">
        <f>HYPERLINK("http://www.uniprot.org/uniprot/G7JQD3","G7JQD3")</f>
        <v>G7JQD3</v>
      </c>
      <c r="D18983" s="2" t="s">
        <v>14608</v>
      </c>
      <c r="E18983" s="3">
        <v>4.36E-47</v>
      </c>
      <c r="F18983" s="2">
        <v>416</v>
      </c>
      <c r="G18983" s="2">
        <v>68</v>
      </c>
      <c r="H18983" s="2">
        <v>115</v>
      </c>
      <c r="I18983" s="2">
        <v>323</v>
      </c>
      <c r="J18983" s="2">
        <v>667</v>
      </c>
      <c r="K18983" s="2">
        <v>2</v>
      </c>
      <c r="L18983" s="2">
        <v>115</v>
      </c>
    </row>
    <row r="18984" spans="1:12" x14ac:dyDescent="0.25">
      <c r="A18984" s="4" t="str">
        <f>HYPERLINK("http://www.rosaceae.org/Prunus/Prunus_persica/p.persica_gdr_reftransV1_0046246","p.persica_gdr_reftransV1_0046246")</f>
        <v>p.persica_gdr_reftransV1_0046246</v>
      </c>
      <c r="B18984" s="2">
        <v>412</v>
      </c>
      <c r="C18984" s="4" t="str">
        <f>HYPERLINK("http://www.uniprot.org/uniprot/M5XMC4","M5XMC4")</f>
        <v>M5XMC4</v>
      </c>
      <c r="D18984" s="2" t="s">
        <v>4370</v>
      </c>
      <c r="E18984" s="3">
        <v>3.41E-74</v>
      </c>
      <c r="F18984" s="2">
        <v>639</v>
      </c>
      <c r="G18984" s="2">
        <v>100</v>
      </c>
      <c r="H18984" s="2">
        <v>117</v>
      </c>
      <c r="I18984" s="2">
        <v>61</v>
      </c>
      <c r="J18984" s="2">
        <v>411</v>
      </c>
      <c r="K18984" s="2">
        <v>1172</v>
      </c>
      <c r="L18984" s="2">
        <v>1288</v>
      </c>
    </row>
    <row r="18985" spans="1:12" x14ac:dyDescent="0.25">
      <c r="A18985" s="4" t="str">
        <f>HYPERLINK("http://www.rosaceae.org/Prunus/Prunus_persica/p.persica_gdr_reftransV1_0046596","p.persica_gdr_reftransV1_0046596")</f>
        <v>p.persica_gdr_reftransV1_0046596</v>
      </c>
      <c r="B18985" s="2">
        <v>1303</v>
      </c>
      <c r="C18985" s="4" t="str">
        <f>HYPERLINK("http://www.uniprot.org/uniprot/M5WAC1","M5WAC1")</f>
        <v>M5WAC1</v>
      </c>
      <c r="D18985" s="2" t="s">
        <v>7445</v>
      </c>
      <c r="E18985" s="3">
        <v>0</v>
      </c>
      <c r="F18985" s="2">
        <v>1387</v>
      </c>
      <c r="G18985" s="2">
        <v>99</v>
      </c>
      <c r="H18985" s="2">
        <v>270</v>
      </c>
      <c r="I18985" s="2">
        <v>184</v>
      </c>
      <c r="J18985" s="2">
        <v>993</v>
      </c>
      <c r="K18985" s="2">
        <v>1</v>
      </c>
      <c r="L18985" s="2">
        <v>270</v>
      </c>
    </row>
    <row r="18986" spans="1:12" x14ac:dyDescent="0.25">
      <c r="A18986" s="4" t="str">
        <f>HYPERLINK("http://www.rosaceae.org/Prunus/Prunus_persica/p.persica_gdr_reftransV1_0046946","p.persica_gdr_reftransV1_0046946")</f>
        <v>p.persica_gdr_reftransV1_0046946</v>
      </c>
      <c r="B18986" s="2">
        <v>1471</v>
      </c>
      <c r="C18986" s="4" t="str">
        <f>HYPERLINK("http://www.uniprot.org/uniprot/M5W3D7","M5W3D7")</f>
        <v>M5W3D7</v>
      </c>
      <c r="D18986" s="2" t="s">
        <v>14609</v>
      </c>
      <c r="E18986" s="3">
        <v>0</v>
      </c>
      <c r="F18986" s="2">
        <v>1488</v>
      </c>
      <c r="G18986" s="2">
        <v>100</v>
      </c>
      <c r="H18986" s="2">
        <v>310</v>
      </c>
      <c r="I18986" s="2">
        <v>170</v>
      </c>
      <c r="J18986" s="2">
        <v>1099</v>
      </c>
      <c r="K18986" s="2">
        <v>41</v>
      </c>
      <c r="L18986" s="2">
        <v>350</v>
      </c>
    </row>
    <row r="18987" spans="1:12" x14ac:dyDescent="0.25">
      <c r="A18987" s="4" t="str">
        <f>HYPERLINK("http://www.rosaceae.org/Prunus/Prunus_persica/p.persica_gdr_reftransV1_0047296","p.persica_gdr_reftransV1_0047296")</f>
        <v>p.persica_gdr_reftransV1_0047296</v>
      </c>
      <c r="B18987" s="2">
        <v>439</v>
      </c>
      <c r="C18987" s="4" t="str">
        <f>HYPERLINK("http://www.uniprot.org/uniprot/M5W9S9","M5W9S9")</f>
        <v>M5W9S9</v>
      </c>
      <c r="D18987" s="2" t="s">
        <v>2932</v>
      </c>
      <c r="E18987" s="3">
        <v>7.9299999999999997E-75</v>
      </c>
      <c r="F18987" s="2">
        <v>614</v>
      </c>
      <c r="G18987" s="2">
        <v>100</v>
      </c>
      <c r="H18987" s="2">
        <v>145</v>
      </c>
      <c r="I18987" s="2">
        <v>3</v>
      </c>
      <c r="J18987" s="2">
        <v>437</v>
      </c>
      <c r="K18987" s="2">
        <v>104</v>
      </c>
      <c r="L18987" s="2">
        <v>248</v>
      </c>
    </row>
    <row r="18988" spans="1:12" x14ac:dyDescent="0.25">
      <c r="A18988" s="4" t="str">
        <f>HYPERLINK("http://www.rosaceae.org/Prunus/Prunus_persica/p.persica_gdr_reftransV1_0047996","p.persica_gdr_reftransV1_0047996")</f>
        <v>p.persica_gdr_reftransV1_0047996</v>
      </c>
      <c r="B18988" s="2">
        <v>1695</v>
      </c>
      <c r="C18988" s="4" t="str">
        <f>HYPERLINK("http://www.uniprot.org/uniprot/M5WRE8","M5WRE8")</f>
        <v>M5WRE8</v>
      </c>
      <c r="D18988" s="2" t="s">
        <v>14610</v>
      </c>
      <c r="E18988" s="3">
        <v>0</v>
      </c>
      <c r="F18988" s="2">
        <v>2582</v>
      </c>
      <c r="G18988" s="2">
        <v>100</v>
      </c>
      <c r="H18988" s="2">
        <v>512</v>
      </c>
      <c r="I18988" s="2">
        <v>1</v>
      </c>
      <c r="J18988" s="2">
        <v>1536</v>
      </c>
      <c r="K18988" s="2">
        <v>18</v>
      </c>
      <c r="L18988" s="2">
        <v>529</v>
      </c>
    </row>
    <row r="18989" spans="1:12" x14ac:dyDescent="0.25">
      <c r="A18989" s="4" t="str">
        <f>HYPERLINK("http://www.rosaceae.org/Prunus/Prunus_persica/p.persica_gdr_reftransV1_0048346","p.persica_gdr_reftransV1_0048346")</f>
        <v>p.persica_gdr_reftransV1_0048346</v>
      </c>
      <c r="B18989" s="2">
        <v>3060</v>
      </c>
      <c r="C18989" s="4" t="str">
        <f>HYPERLINK("http://www.uniprot.org/uniprot/M5W2X1","M5W2X1")</f>
        <v>M5W2X1</v>
      </c>
      <c r="D18989" s="2" t="s">
        <v>14611</v>
      </c>
      <c r="E18989" s="3">
        <v>0</v>
      </c>
      <c r="F18989" s="2">
        <v>1813</v>
      </c>
      <c r="G18989" s="2">
        <v>100</v>
      </c>
      <c r="H18989" s="2">
        <v>385</v>
      </c>
      <c r="I18989" s="2">
        <v>1005</v>
      </c>
      <c r="J18989" s="2">
        <v>2159</v>
      </c>
      <c r="K18989" s="2">
        <v>1</v>
      </c>
      <c r="L18989" s="2">
        <v>385</v>
      </c>
    </row>
    <row r="18990" spans="1:12" x14ac:dyDescent="0.25">
      <c r="A18990" s="4" t="str">
        <f>HYPERLINK("http://www.rosaceae.org/Prunus/Prunus_persica/p.persica_gdr_reftransV1_0049046","p.persica_gdr_reftransV1_0049046")</f>
        <v>p.persica_gdr_reftransV1_0049046</v>
      </c>
      <c r="B18990" s="2">
        <v>622</v>
      </c>
      <c r="C18990" s="4" t="str">
        <f>HYPERLINK("http://www.uniprot.org/uniprot/M5Y436","M5Y436")</f>
        <v>M5Y436</v>
      </c>
      <c r="D18990" s="2" t="s">
        <v>2370</v>
      </c>
      <c r="E18990" s="3">
        <v>1.2699999999999999E-56</v>
      </c>
      <c r="F18990" s="2">
        <v>514</v>
      </c>
      <c r="G18990" s="2">
        <v>98</v>
      </c>
      <c r="H18990" s="2">
        <v>98</v>
      </c>
      <c r="I18990" s="2">
        <v>328</v>
      </c>
      <c r="J18990" s="2">
        <v>621</v>
      </c>
      <c r="K18990" s="2">
        <v>14</v>
      </c>
      <c r="L18990" s="2">
        <v>111</v>
      </c>
    </row>
    <row r="18991" spans="1:12" x14ac:dyDescent="0.25">
      <c r="A18991" s="4" t="str">
        <f>HYPERLINK("http://www.rosaceae.org/Prunus/Prunus_persica/p.persica_gdr_reftransV1_0000047","p.persica_gdr_reftransV1_0000047")</f>
        <v>p.persica_gdr_reftransV1_0000047</v>
      </c>
      <c r="B18991" s="2">
        <v>564</v>
      </c>
      <c r="C18991" s="4" t="str">
        <f>HYPERLINK("http://www.uniprot.org/uniprot/F6GWI7","F6GWI7")</f>
        <v>F6GWI7</v>
      </c>
      <c r="D18991" s="2" t="s">
        <v>14612</v>
      </c>
      <c r="E18991" s="3">
        <v>4.3200000000000002E-70</v>
      </c>
      <c r="F18991" s="2">
        <v>603</v>
      </c>
      <c r="G18991" s="2">
        <v>63</v>
      </c>
      <c r="H18991" s="2">
        <v>187</v>
      </c>
      <c r="I18991" s="2">
        <v>1</v>
      </c>
      <c r="J18991" s="2">
        <v>561</v>
      </c>
      <c r="K18991" s="2">
        <v>164</v>
      </c>
      <c r="L18991" s="2">
        <v>348</v>
      </c>
    </row>
    <row r="18992" spans="1:12" x14ac:dyDescent="0.25">
      <c r="A18992" s="4" t="str">
        <f>HYPERLINK("http://www.rosaceae.org/Prunus/Prunus_persica/p.persica_gdr_reftransV1_0000397","p.persica_gdr_reftransV1_0000397")</f>
        <v>p.persica_gdr_reftransV1_0000397</v>
      </c>
      <c r="B18992" s="2">
        <v>873</v>
      </c>
      <c r="C18992" s="4" t="str">
        <f>HYPERLINK("http://www.uniprot.org/uniprot/Q2LME5","Q2LME5")</f>
        <v>Q2LME5</v>
      </c>
      <c r="D18992" s="2" t="s">
        <v>14613</v>
      </c>
      <c r="E18992" s="3">
        <v>4.57E-114</v>
      </c>
      <c r="F18992" s="2">
        <v>874</v>
      </c>
      <c r="G18992" s="2">
        <v>73</v>
      </c>
      <c r="H18992" s="2">
        <v>252</v>
      </c>
      <c r="I18992" s="2">
        <v>32</v>
      </c>
      <c r="J18992" s="2">
        <v>754</v>
      </c>
      <c r="K18992" s="2">
        <v>1</v>
      </c>
      <c r="L18992" s="2">
        <v>251</v>
      </c>
    </row>
    <row r="18993" spans="1:12" x14ac:dyDescent="0.25">
      <c r="A18993" s="4" t="str">
        <f>HYPERLINK("http://www.rosaceae.org/Prunus/Prunus_persica/p.persica_gdr_reftransV1_0000747","p.persica_gdr_reftransV1_0000747")</f>
        <v>p.persica_gdr_reftransV1_0000747</v>
      </c>
      <c r="B18993" s="2">
        <v>2390</v>
      </c>
      <c r="C18993" s="4" t="str">
        <f>HYPERLINK("http://www.uniprot.org/uniprot/M5XLQ7","M5XLQ7")</f>
        <v>M5XLQ7</v>
      </c>
      <c r="D18993" s="2" t="s">
        <v>14614</v>
      </c>
      <c r="E18993" s="3">
        <v>0</v>
      </c>
      <c r="F18993" s="2">
        <v>2503</v>
      </c>
      <c r="G18993" s="2">
        <v>100</v>
      </c>
      <c r="H18993" s="2">
        <v>484</v>
      </c>
      <c r="I18993" s="2">
        <v>48</v>
      </c>
      <c r="J18993" s="2">
        <v>1499</v>
      </c>
      <c r="K18993" s="2">
        <v>298</v>
      </c>
      <c r="L18993" s="2">
        <v>781</v>
      </c>
    </row>
    <row r="18994" spans="1:12" x14ac:dyDescent="0.25">
      <c r="A18994" s="4" t="str">
        <f>HYPERLINK("http://www.rosaceae.org/Prunus/Prunus_persica/p.persica_gdr_reftransV1_0001447","p.persica_gdr_reftransV1_0001447")</f>
        <v>p.persica_gdr_reftransV1_0001447</v>
      </c>
      <c r="B18994" s="2">
        <v>634</v>
      </c>
      <c r="C18994" s="4" t="str">
        <f>HYPERLINK("http://www.uniprot.org/uniprot/M5XAT7","M5XAT7")</f>
        <v>M5XAT7</v>
      </c>
      <c r="D18994" s="2" t="s">
        <v>14615</v>
      </c>
      <c r="E18994" s="3">
        <v>7.7600000000000003E-72</v>
      </c>
      <c r="F18994" s="2">
        <v>613</v>
      </c>
      <c r="G18994" s="2">
        <v>100</v>
      </c>
      <c r="H18994" s="2">
        <v>133</v>
      </c>
      <c r="I18994" s="2">
        <v>15</v>
      </c>
      <c r="J18994" s="2">
        <v>413</v>
      </c>
      <c r="K18994" s="2">
        <v>1</v>
      </c>
      <c r="L18994" s="2">
        <v>133</v>
      </c>
    </row>
    <row r="18995" spans="1:12" x14ac:dyDescent="0.25">
      <c r="A18995" s="4" t="str">
        <f>HYPERLINK("http://www.rosaceae.org/Prunus/Prunus_persica/p.persica_gdr_reftransV1_0001797","p.persica_gdr_reftransV1_0001797")</f>
        <v>p.persica_gdr_reftransV1_0001797</v>
      </c>
      <c r="B18995" s="2">
        <v>2290</v>
      </c>
      <c r="C18995" s="4" t="str">
        <f>HYPERLINK("http://www.uniprot.org/uniprot/M5W2E9","M5W2E9")</f>
        <v>M5W2E9</v>
      </c>
      <c r="D18995" s="2" t="s">
        <v>13670</v>
      </c>
      <c r="E18995" s="3">
        <v>0</v>
      </c>
      <c r="F18995" s="2">
        <v>3563</v>
      </c>
      <c r="G18995" s="2">
        <v>100</v>
      </c>
      <c r="H18995" s="2">
        <v>672</v>
      </c>
      <c r="I18995" s="2">
        <v>78</v>
      </c>
      <c r="J18995" s="2">
        <v>2093</v>
      </c>
      <c r="K18995" s="2">
        <v>1</v>
      </c>
      <c r="L18995" s="2">
        <v>670</v>
      </c>
    </row>
    <row r="18996" spans="1:12" x14ac:dyDescent="0.25">
      <c r="A18996" s="4" t="str">
        <f>HYPERLINK("http://www.rosaceae.org/Prunus/Prunus_persica/p.persica_gdr_reftransV1_0002147","p.persica_gdr_reftransV1_0002147")</f>
        <v>p.persica_gdr_reftransV1_0002147</v>
      </c>
      <c r="B18996" s="2">
        <v>1818</v>
      </c>
      <c r="C18996" s="4" t="str">
        <f>HYPERLINK("http://www.uniprot.org/uniprot/M5W0G5","M5W0G5")</f>
        <v>M5W0G5</v>
      </c>
      <c r="D18996" s="2" t="s">
        <v>8603</v>
      </c>
      <c r="E18996" s="3">
        <v>0</v>
      </c>
      <c r="F18996" s="2">
        <v>1667</v>
      </c>
      <c r="G18996" s="2">
        <v>79</v>
      </c>
      <c r="H18996" s="2">
        <v>428</v>
      </c>
      <c r="I18996" s="2">
        <v>515</v>
      </c>
      <c r="J18996" s="2">
        <v>1798</v>
      </c>
      <c r="K18996" s="2">
        <v>42</v>
      </c>
      <c r="L18996" s="2">
        <v>382</v>
      </c>
    </row>
    <row r="18997" spans="1:12" x14ac:dyDescent="0.25">
      <c r="A18997" s="4" t="str">
        <f>HYPERLINK("http://www.rosaceae.org/Prunus/Prunus_persica/p.persica_gdr_reftransV1_0002497","p.persica_gdr_reftransV1_0002497")</f>
        <v>p.persica_gdr_reftransV1_0002497</v>
      </c>
      <c r="B18997" s="2">
        <v>370</v>
      </c>
      <c r="C18997" s="4" t="str">
        <f>HYPERLINK("http://www.uniprot.org/uniprot/A5AXT5","A5AXT5")</f>
        <v>A5AXT5</v>
      </c>
      <c r="D18997" s="2" t="s">
        <v>14616</v>
      </c>
      <c r="E18997" s="3">
        <v>5.0699999999999999E-27</v>
      </c>
      <c r="F18997" s="2">
        <v>289</v>
      </c>
      <c r="G18997" s="2">
        <v>51</v>
      </c>
      <c r="H18997" s="2">
        <v>123</v>
      </c>
      <c r="I18997" s="2">
        <v>1</v>
      </c>
      <c r="J18997" s="2">
        <v>369</v>
      </c>
      <c r="K18997" s="2">
        <v>575</v>
      </c>
      <c r="L18997" s="2">
        <v>697</v>
      </c>
    </row>
    <row r="18998" spans="1:12" x14ac:dyDescent="0.25">
      <c r="A18998" s="4" t="str">
        <f>HYPERLINK("http://www.rosaceae.org/Prunus/Prunus_persica/p.persica_gdr_reftransV1_0002847","p.persica_gdr_reftransV1_0002847")</f>
        <v>p.persica_gdr_reftransV1_0002847</v>
      </c>
      <c r="B18998" s="2">
        <v>1299</v>
      </c>
      <c r="C18998" s="4" t="str">
        <f>HYPERLINK("http://www.uniprot.org/uniprot/M5WG61","M5WG61")</f>
        <v>M5WG61</v>
      </c>
      <c r="D18998" s="2" t="s">
        <v>14617</v>
      </c>
      <c r="E18998" s="3">
        <v>5.4900000000000002E-129</v>
      </c>
      <c r="F18998" s="2">
        <v>987</v>
      </c>
      <c r="G18998" s="2">
        <v>100</v>
      </c>
      <c r="H18998" s="2">
        <v>205</v>
      </c>
      <c r="I18998" s="2">
        <v>579</v>
      </c>
      <c r="J18998" s="2">
        <v>1193</v>
      </c>
      <c r="K18998" s="2">
        <v>1</v>
      </c>
      <c r="L18998" s="2">
        <v>205</v>
      </c>
    </row>
    <row r="18999" spans="1:12" x14ac:dyDescent="0.25">
      <c r="A18999" s="4" t="str">
        <f>HYPERLINK("http://www.rosaceae.org/Prunus/Prunus_persica/p.persica_gdr_reftransV1_0003197","p.persica_gdr_reftransV1_0003197")</f>
        <v>p.persica_gdr_reftransV1_0003197</v>
      </c>
      <c r="B18999" s="2">
        <v>3443</v>
      </c>
      <c r="C18999" s="4" t="str">
        <f>HYPERLINK("http://www.uniprot.org/uniprot/M5WKN3","M5WKN3")</f>
        <v>M5WKN3</v>
      </c>
      <c r="D18999" s="2" t="s">
        <v>2265</v>
      </c>
      <c r="E18999" s="3">
        <v>0</v>
      </c>
      <c r="F18999" s="2">
        <v>3420</v>
      </c>
      <c r="G18999" s="2">
        <v>89</v>
      </c>
      <c r="H18999" s="2">
        <v>776</v>
      </c>
      <c r="I18999" s="2">
        <v>794</v>
      </c>
      <c r="J18999" s="2">
        <v>3121</v>
      </c>
      <c r="K18999" s="2">
        <v>1</v>
      </c>
      <c r="L18999" s="2">
        <v>693</v>
      </c>
    </row>
    <row r="19000" spans="1:12" x14ac:dyDescent="0.25">
      <c r="A19000" s="4" t="str">
        <f>HYPERLINK("http://www.rosaceae.org/Prunus/Prunus_persica/p.persica_gdr_reftransV1_0003547","p.persica_gdr_reftransV1_0003547")</f>
        <v>p.persica_gdr_reftransV1_0003547</v>
      </c>
      <c r="B19000" s="2">
        <v>506</v>
      </c>
      <c r="C19000" s="4" t="str">
        <f>HYPERLINK("http://www.uniprot.org/uniprot/V4SVR8","V4SVR8")</f>
        <v>V4SVR8</v>
      </c>
      <c r="D19000" s="2" t="s">
        <v>14618</v>
      </c>
      <c r="E19000" s="3">
        <v>7.1500000000000001E-50</v>
      </c>
      <c r="F19000" s="2">
        <v>439</v>
      </c>
      <c r="G19000" s="2">
        <v>79</v>
      </c>
      <c r="H19000" s="2">
        <v>121</v>
      </c>
      <c r="I19000" s="2">
        <v>26</v>
      </c>
      <c r="J19000" s="2">
        <v>388</v>
      </c>
      <c r="K19000" s="2">
        <v>181</v>
      </c>
      <c r="L19000" s="2">
        <v>301</v>
      </c>
    </row>
    <row r="19001" spans="1:12" x14ac:dyDescent="0.25">
      <c r="A19001" s="4" t="str">
        <f>HYPERLINK("http://www.rosaceae.org/Prunus/Prunus_persica/p.persica_gdr_reftransV1_0003897","p.persica_gdr_reftransV1_0003897")</f>
        <v>p.persica_gdr_reftransV1_0003897</v>
      </c>
      <c r="B19001" s="2">
        <v>1608</v>
      </c>
      <c r="C19001" s="4" t="str">
        <f>HYPERLINK("http://www.uniprot.org/uniprot/M5VYP8","M5VYP8")</f>
        <v>M5VYP8</v>
      </c>
      <c r="D19001" s="2" t="s">
        <v>12000</v>
      </c>
      <c r="E19001" s="3">
        <v>0</v>
      </c>
      <c r="F19001" s="2">
        <v>1952</v>
      </c>
      <c r="G19001" s="2">
        <v>100</v>
      </c>
      <c r="H19001" s="2">
        <v>379</v>
      </c>
      <c r="I19001" s="2">
        <v>394</v>
      </c>
      <c r="J19001" s="2">
        <v>1530</v>
      </c>
      <c r="K19001" s="2">
        <v>1</v>
      </c>
      <c r="L19001" s="2">
        <v>379</v>
      </c>
    </row>
    <row r="19002" spans="1:12" x14ac:dyDescent="0.25">
      <c r="A19002" s="4" t="str">
        <f>HYPERLINK("http://www.rosaceae.org/Prunus/Prunus_persica/p.persica_gdr_reftransV1_0004947","p.persica_gdr_reftransV1_0004947")</f>
        <v>p.persica_gdr_reftransV1_0004947</v>
      </c>
      <c r="B19002" s="2">
        <v>1443</v>
      </c>
      <c r="C19002" s="4" t="str">
        <f>HYPERLINK("http://www.uniprot.org/uniprot/M5VH45","M5VH45")</f>
        <v>M5VH45</v>
      </c>
      <c r="D19002" s="2" t="s">
        <v>14303</v>
      </c>
      <c r="E19002" s="3">
        <v>0</v>
      </c>
      <c r="F19002" s="2">
        <v>1535</v>
      </c>
      <c r="G19002" s="2">
        <v>100</v>
      </c>
      <c r="H19002" s="2">
        <v>350</v>
      </c>
      <c r="I19002" s="2">
        <v>111</v>
      </c>
      <c r="J19002" s="2">
        <v>1160</v>
      </c>
      <c r="K19002" s="2">
        <v>1</v>
      </c>
      <c r="L19002" s="2">
        <v>350</v>
      </c>
    </row>
    <row r="19003" spans="1:12" x14ac:dyDescent="0.25">
      <c r="A19003" s="4" t="str">
        <f>HYPERLINK("http://www.rosaceae.org/Prunus/Prunus_persica/p.persica_gdr_reftransV1_0005997","p.persica_gdr_reftransV1_0005997")</f>
        <v>p.persica_gdr_reftransV1_0005997</v>
      </c>
      <c r="B19003" s="2">
        <v>7548</v>
      </c>
      <c r="C19003" s="4" t="str">
        <f>HYPERLINK("http://www.uniprot.org/uniprot/A0A024CJL7","A0A024CJL7")</f>
        <v>A0A024CJL7</v>
      </c>
      <c r="D19003" s="2" t="s">
        <v>13976</v>
      </c>
      <c r="E19003" s="3">
        <v>0</v>
      </c>
      <c r="F19003" s="2">
        <v>9021</v>
      </c>
      <c r="G19003" s="2">
        <v>88</v>
      </c>
      <c r="H19003" s="2">
        <v>1883</v>
      </c>
      <c r="I19003" s="2">
        <v>1764</v>
      </c>
      <c r="J19003" s="2">
        <v>7412</v>
      </c>
      <c r="K19003" s="2">
        <v>1</v>
      </c>
      <c r="L19003" s="2">
        <v>1883</v>
      </c>
    </row>
    <row r="19004" spans="1:12" x14ac:dyDescent="0.25">
      <c r="A19004" s="4" t="str">
        <f>HYPERLINK("http://www.rosaceae.org/Prunus/Prunus_persica/p.persica_gdr_reftransV1_0006697","p.persica_gdr_reftransV1_0006697")</f>
        <v>p.persica_gdr_reftransV1_0006697</v>
      </c>
      <c r="B19004" s="2">
        <v>493</v>
      </c>
      <c r="C19004" s="4" t="str">
        <f>HYPERLINK("http://www.uniprot.org/uniprot/M5W6X2","M5W6X2")</f>
        <v>M5W6X2</v>
      </c>
      <c r="D19004" s="2" t="s">
        <v>14619</v>
      </c>
      <c r="E19004" s="3">
        <v>2.4400000000000001E-88</v>
      </c>
      <c r="F19004" s="2">
        <v>721</v>
      </c>
      <c r="G19004" s="2">
        <v>100</v>
      </c>
      <c r="H19004" s="2">
        <v>145</v>
      </c>
      <c r="I19004" s="2">
        <v>1</v>
      </c>
      <c r="J19004" s="2">
        <v>435</v>
      </c>
      <c r="K19004" s="2">
        <v>471</v>
      </c>
      <c r="L19004" s="2">
        <v>615</v>
      </c>
    </row>
    <row r="19005" spans="1:12" x14ac:dyDescent="0.25">
      <c r="A19005" s="4" t="str">
        <f>HYPERLINK("http://www.rosaceae.org/Prunus/Prunus_persica/p.persica_gdr_reftransV1_0007047","p.persica_gdr_reftransV1_0007047")</f>
        <v>p.persica_gdr_reftransV1_0007047</v>
      </c>
      <c r="B19005" s="2">
        <v>2916</v>
      </c>
      <c r="C19005" s="4" t="str">
        <f>HYPERLINK("http://www.uniprot.org/uniprot/M5X2U2","M5X2U2")</f>
        <v>M5X2U2</v>
      </c>
      <c r="D19005" s="2" t="s">
        <v>8228</v>
      </c>
      <c r="E19005" s="3">
        <v>0</v>
      </c>
      <c r="F19005" s="2">
        <v>2163</v>
      </c>
      <c r="G19005" s="2">
        <v>100</v>
      </c>
      <c r="H19005" s="2">
        <v>399</v>
      </c>
      <c r="I19005" s="2">
        <v>1637</v>
      </c>
      <c r="J19005" s="2">
        <v>2833</v>
      </c>
      <c r="K19005" s="2">
        <v>9</v>
      </c>
      <c r="L19005" s="2">
        <v>407</v>
      </c>
    </row>
    <row r="19006" spans="1:12" x14ac:dyDescent="0.25">
      <c r="A19006" s="4" t="str">
        <f>HYPERLINK("http://www.rosaceae.org/Prunus/Prunus_persica/p.persica_gdr_reftransV1_0008097","p.persica_gdr_reftransV1_0008097")</f>
        <v>p.persica_gdr_reftransV1_0008097</v>
      </c>
      <c r="B19006" s="2">
        <v>1012</v>
      </c>
      <c r="C19006" s="4" t="str">
        <f>HYPERLINK("http://www.uniprot.org/uniprot/M5XT14","M5XT14")</f>
        <v>M5XT14</v>
      </c>
      <c r="D19006" s="2" t="s">
        <v>6437</v>
      </c>
      <c r="E19006" s="3">
        <v>0</v>
      </c>
      <c r="F19006" s="2">
        <v>1539</v>
      </c>
      <c r="G19006" s="2">
        <v>100</v>
      </c>
      <c r="H19006" s="2">
        <v>336</v>
      </c>
      <c r="I19006" s="2">
        <v>3</v>
      </c>
      <c r="J19006" s="2">
        <v>1010</v>
      </c>
      <c r="K19006" s="2">
        <v>181</v>
      </c>
      <c r="L19006" s="2">
        <v>516</v>
      </c>
    </row>
    <row r="19007" spans="1:12" x14ac:dyDescent="0.25">
      <c r="A19007" s="4" t="str">
        <f>HYPERLINK("http://www.rosaceae.org/Prunus/Prunus_persica/p.persica_gdr_reftransV1_0008447","p.persica_gdr_reftransV1_0008447")</f>
        <v>p.persica_gdr_reftransV1_0008447</v>
      </c>
      <c r="B19007" s="2">
        <v>1726</v>
      </c>
      <c r="C19007" s="4" t="str">
        <f>HYPERLINK("http://www.uniprot.org/uniprot/M5W9K4","M5W9K4")</f>
        <v>M5W9K4</v>
      </c>
      <c r="D19007" s="2" t="s">
        <v>14620</v>
      </c>
      <c r="E19007" s="3">
        <v>0</v>
      </c>
      <c r="F19007" s="2">
        <v>1741</v>
      </c>
      <c r="G19007" s="2">
        <v>100</v>
      </c>
      <c r="H19007" s="2">
        <v>355</v>
      </c>
      <c r="I19007" s="2">
        <v>363</v>
      </c>
      <c r="J19007" s="2">
        <v>1427</v>
      </c>
      <c r="K19007" s="2">
        <v>1</v>
      </c>
      <c r="L19007" s="2">
        <v>355</v>
      </c>
    </row>
    <row r="19008" spans="1:12" x14ac:dyDescent="0.25">
      <c r="A19008" s="4" t="str">
        <f>HYPERLINK("http://www.rosaceae.org/Prunus/Prunus_persica/p.persica_gdr_reftransV1_0009147","p.persica_gdr_reftransV1_0009147")</f>
        <v>p.persica_gdr_reftransV1_0009147</v>
      </c>
      <c r="B19008" s="2">
        <v>556</v>
      </c>
      <c r="C19008" s="4" t="str">
        <f>HYPERLINK("http://www.uniprot.org/uniprot/M5WPV2","M5WPV2")</f>
        <v>M5WPV2</v>
      </c>
      <c r="D19008" s="2" t="s">
        <v>11656</v>
      </c>
      <c r="E19008" s="3">
        <v>1.4700000000000001E-112</v>
      </c>
      <c r="F19008" s="2">
        <v>913</v>
      </c>
      <c r="G19008" s="2">
        <v>100</v>
      </c>
      <c r="H19008" s="2">
        <v>185</v>
      </c>
      <c r="I19008" s="2">
        <v>2</v>
      </c>
      <c r="J19008" s="2">
        <v>556</v>
      </c>
      <c r="K19008" s="2">
        <v>170</v>
      </c>
      <c r="L19008" s="2">
        <v>354</v>
      </c>
    </row>
    <row r="19009" spans="1:12" x14ac:dyDescent="0.25">
      <c r="A19009" s="4" t="str">
        <f>HYPERLINK("http://www.rosaceae.org/Prunus/Prunus_persica/p.persica_gdr_reftransV1_0009497","p.persica_gdr_reftransV1_0009497")</f>
        <v>p.persica_gdr_reftransV1_0009497</v>
      </c>
      <c r="B19009" s="2">
        <v>1834</v>
      </c>
      <c r="C19009" s="4" t="str">
        <f>HYPERLINK("http://www.uniprot.org/uniprot/M5VGJ8","M5VGJ8")</f>
        <v>M5VGJ8</v>
      </c>
      <c r="D19009" s="2" t="s">
        <v>14621</v>
      </c>
      <c r="E19009" s="3">
        <v>7.6200000000000006E-142</v>
      </c>
      <c r="F19009" s="2">
        <v>1023</v>
      </c>
      <c r="G19009" s="2">
        <v>88</v>
      </c>
      <c r="H19009" s="2">
        <v>252</v>
      </c>
      <c r="I19009" s="2">
        <v>796</v>
      </c>
      <c r="J19009" s="2">
        <v>1515</v>
      </c>
      <c r="K19009" s="2">
        <v>257</v>
      </c>
      <c r="L19009" s="2">
        <v>508</v>
      </c>
    </row>
    <row r="19010" spans="1:12" x14ac:dyDescent="0.25">
      <c r="A19010" s="4" t="str">
        <f>HYPERLINK("http://www.rosaceae.org/Prunus/Prunus_persica/p.persica_gdr_reftransV1_0009847","p.persica_gdr_reftransV1_0009847")</f>
        <v>p.persica_gdr_reftransV1_0009847</v>
      </c>
      <c r="B19010" s="2">
        <v>552</v>
      </c>
      <c r="C19010" s="4" t="str">
        <f>HYPERLINK("http://www.uniprot.org/uniprot/M5WCB1","M5WCB1")</f>
        <v>M5WCB1</v>
      </c>
      <c r="D19010" s="2" t="s">
        <v>14622</v>
      </c>
      <c r="E19010" s="3">
        <v>1.6299999999999998E-98</v>
      </c>
      <c r="F19010" s="2">
        <v>788</v>
      </c>
      <c r="G19010" s="2">
        <v>100</v>
      </c>
      <c r="H19010" s="2">
        <v>146</v>
      </c>
      <c r="I19010" s="2">
        <v>1</v>
      </c>
      <c r="J19010" s="2">
        <v>438</v>
      </c>
      <c r="K19010" s="2">
        <v>1</v>
      </c>
      <c r="L19010" s="2">
        <v>146</v>
      </c>
    </row>
    <row r="19011" spans="1:12" x14ac:dyDescent="0.25">
      <c r="A19011" s="4" t="str">
        <f>HYPERLINK("http://www.rosaceae.org/Prunus/Prunus_persica/p.persica_gdr_reftransV1_0010197","p.persica_gdr_reftransV1_0010197")</f>
        <v>p.persica_gdr_reftransV1_0010197</v>
      </c>
      <c r="B19011" s="2">
        <v>2755</v>
      </c>
      <c r="C19011" s="4" t="str">
        <f>HYPERLINK("http://www.uniprot.org/uniprot/M5VXC9","M5VXC9")</f>
        <v>M5VXC9</v>
      </c>
      <c r="D19011" s="2" t="s">
        <v>14623</v>
      </c>
      <c r="E19011" s="3">
        <v>0</v>
      </c>
      <c r="F19011" s="2">
        <v>1702</v>
      </c>
      <c r="G19011" s="2">
        <v>99</v>
      </c>
      <c r="H19011" s="2">
        <v>391</v>
      </c>
      <c r="I19011" s="2">
        <v>1471</v>
      </c>
      <c r="J19011" s="2">
        <v>2643</v>
      </c>
      <c r="K19011" s="2">
        <v>30</v>
      </c>
      <c r="L19011" s="2">
        <v>420</v>
      </c>
    </row>
    <row r="19012" spans="1:12" x14ac:dyDescent="0.25">
      <c r="A19012" s="4" t="str">
        <f>HYPERLINK("http://www.rosaceae.org/Prunus/Prunus_persica/p.persica_gdr_reftransV1_0010547","p.persica_gdr_reftransV1_0010547")</f>
        <v>p.persica_gdr_reftransV1_0010547</v>
      </c>
      <c r="B19012" s="2">
        <v>807</v>
      </c>
      <c r="C19012" s="4" t="str">
        <f>HYPERLINK("http://www.uniprot.org/uniprot/M5VX74","M5VX74")</f>
        <v>M5VX74</v>
      </c>
      <c r="D19012" s="2" t="s">
        <v>14624</v>
      </c>
      <c r="E19012" s="3">
        <v>8.3900000000000004E-108</v>
      </c>
      <c r="F19012" s="2">
        <v>823</v>
      </c>
      <c r="G19012" s="2">
        <v>100</v>
      </c>
      <c r="H19012" s="2">
        <v>174</v>
      </c>
      <c r="I19012" s="2">
        <v>238</v>
      </c>
      <c r="J19012" s="2">
        <v>759</v>
      </c>
      <c r="K19012" s="2">
        <v>1</v>
      </c>
      <c r="L19012" s="2">
        <v>174</v>
      </c>
    </row>
    <row r="19013" spans="1:12" x14ac:dyDescent="0.25">
      <c r="A19013" s="4" t="str">
        <f>HYPERLINK("http://www.rosaceae.org/Prunus/Prunus_persica/p.persica_gdr_reftransV1_0013697","p.persica_gdr_reftransV1_0013697")</f>
        <v>p.persica_gdr_reftransV1_0013697</v>
      </c>
      <c r="B19013" s="2">
        <v>1595</v>
      </c>
      <c r="C19013" s="4" t="str">
        <f>HYPERLINK("http://www.uniprot.org/uniprot/M5VY01","M5VY01")</f>
        <v>M5VY01</v>
      </c>
      <c r="D19013" s="2" t="s">
        <v>14625</v>
      </c>
      <c r="E19013" s="3">
        <v>0</v>
      </c>
      <c r="F19013" s="2">
        <v>1714</v>
      </c>
      <c r="G19013" s="2">
        <v>100</v>
      </c>
      <c r="H19013" s="2">
        <v>421</v>
      </c>
      <c r="I19013" s="2">
        <v>110</v>
      </c>
      <c r="J19013" s="2">
        <v>1372</v>
      </c>
      <c r="K19013" s="2">
        <v>76</v>
      </c>
      <c r="L19013" s="2">
        <v>496</v>
      </c>
    </row>
    <row r="19014" spans="1:12" x14ac:dyDescent="0.25">
      <c r="A19014" s="4" t="str">
        <f>HYPERLINK("http://www.rosaceae.org/Prunus/Prunus_persica/p.persica_gdr_reftransV1_0014047","p.persica_gdr_reftransV1_0014047")</f>
        <v>p.persica_gdr_reftransV1_0014047</v>
      </c>
      <c r="B19014" s="2">
        <v>3176</v>
      </c>
      <c r="C19014" s="4" t="str">
        <f>HYPERLINK("http://www.uniprot.org/uniprot/M5W7E2","M5W7E2")</f>
        <v>M5W7E2</v>
      </c>
      <c r="D19014" s="2" t="s">
        <v>14626</v>
      </c>
      <c r="E19014" s="3">
        <v>0</v>
      </c>
      <c r="F19014" s="2">
        <v>2035</v>
      </c>
      <c r="G19014" s="2">
        <v>98</v>
      </c>
      <c r="H19014" s="2">
        <v>415</v>
      </c>
      <c r="I19014" s="2">
        <v>664</v>
      </c>
      <c r="J19014" s="2">
        <v>1899</v>
      </c>
      <c r="K19014" s="2">
        <v>1</v>
      </c>
      <c r="L19014" s="2">
        <v>415</v>
      </c>
    </row>
    <row r="19015" spans="1:12" x14ac:dyDescent="0.25">
      <c r="A19015" s="4" t="str">
        <f>HYPERLINK("http://www.rosaceae.org/Prunus/Prunus_persica/p.persica_gdr_reftransV1_0014397","p.persica_gdr_reftransV1_0014397")</f>
        <v>p.persica_gdr_reftransV1_0014397</v>
      </c>
      <c r="B19015" s="2">
        <v>1581</v>
      </c>
      <c r="C19015" s="4" t="str">
        <f>HYPERLINK("http://www.uniprot.org/uniprot/M5WT26","M5WT26")</f>
        <v>M5WT26</v>
      </c>
      <c r="D19015" s="2" t="s">
        <v>14627</v>
      </c>
      <c r="E19015" s="3">
        <v>0</v>
      </c>
      <c r="F19015" s="2">
        <v>1479</v>
      </c>
      <c r="G19015" s="2">
        <v>100</v>
      </c>
      <c r="H19015" s="2">
        <v>336</v>
      </c>
      <c r="I19015" s="2">
        <v>573</v>
      </c>
      <c r="J19015" s="2">
        <v>1580</v>
      </c>
      <c r="K19015" s="2">
        <v>362</v>
      </c>
      <c r="L19015" s="2">
        <v>697</v>
      </c>
    </row>
    <row r="19016" spans="1:12" x14ac:dyDescent="0.25">
      <c r="A19016" s="4" t="str">
        <f>HYPERLINK("http://www.rosaceae.org/Prunus/Prunus_persica/p.persica_gdr_reftransV1_0016497","p.persica_gdr_reftransV1_0016497")</f>
        <v>p.persica_gdr_reftransV1_0016497</v>
      </c>
      <c r="B19016" s="2">
        <v>1852</v>
      </c>
      <c r="C19016" s="4" t="str">
        <f>HYPERLINK("http://www.uniprot.org/uniprot/M5X1G5","M5X1G5")</f>
        <v>M5X1G5</v>
      </c>
      <c r="D19016" s="2" t="s">
        <v>13693</v>
      </c>
      <c r="E19016" s="3">
        <v>9.7999999999999994E-86</v>
      </c>
      <c r="F19016" s="2">
        <v>719</v>
      </c>
      <c r="G19016" s="2">
        <v>90</v>
      </c>
      <c r="H19016" s="2">
        <v>154</v>
      </c>
      <c r="I19016" s="2">
        <v>638</v>
      </c>
      <c r="J19016" s="2">
        <v>1099</v>
      </c>
      <c r="K19016" s="2">
        <v>138</v>
      </c>
      <c r="L19016" s="2">
        <v>291</v>
      </c>
    </row>
    <row r="19017" spans="1:12" x14ac:dyDescent="0.25">
      <c r="A19017" s="4" t="str">
        <f>HYPERLINK("http://www.rosaceae.org/Prunus/Prunus_persica/p.persica_gdr_reftransV1_0018247","p.persica_gdr_reftransV1_0018247")</f>
        <v>p.persica_gdr_reftransV1_0018247</v>
      </c>
      <c r="B19017" s="2">
        <v>2706</v>
      </c>
      <c r="C19017" s="4" t="str">
        <f>HYPERLINK("http://www.uniprot.org/uniprot/A0A061F4Q7","A0A061F4Q7")</f>
        <v>A0A061F4Q7</v>
      </c>
      <c r="D19017" s="2" t="s">
        <v>14628</v>
      </c>
      <c r="E19017" s="3">
        <v>0</v>
      </c>
      <c r="F19017" s="2">
        <v>1947</v>
      </c>
      <c r="G19017" s="2">
        <v>81</v>
      </c>
      <c r="H19017" s="2">
        <v>451</v>
      </c>
      <c r="I19017" s="2">
        <v>1376</v>
      </c>
      <c r="J19017" s="2">
        <v>2704</v>
      </c>
      <c r="K19017" s="2">
        <v>228</v>
      </c>
      <c r="L19017" s="2">
        <v>678</v>
      </c>
    </row>
    <row r="19018" spans="1:12" x14ac:dyDescent="0.25">
      <c r="A19018" s="4" t="str">
        <f>HYPERLINK("http://www.rosaceae.org/Prunus/Prunus_persica/p.persica_gdr_reftransV1_0018597","p.persica_gdr_reftransV1_0018597")</f>
        <v>p.persica_gdr_reftransV1_0018597</v>
      </c>
      <c r="B19018" s="2">
        <v>2171</v>
      </c>
      <c r="C19018" s="4" t="str">
        <f>HYPERLINK("http://www.uniprot.org/uniprot/M5VQZ9","M5VQZ9")</f>
        <v>M5VQZ9</v>
      </c>
      <c r="D19018" s="2" t="s">
        <v>14629</v>
      </c>
      <c r="E19018" s="3">
        <v>0</v>
      </c>
      <c r="F19018" s="2">
        <v>1563</v>
      </c>
      <c r="G19018" s="2">
        <v>100</v>
      </c>
      <c r="H19018" s="2">
        <v>330</v>
      </c>
      <c r="I19018" s="2">
        <v>188</v>
      </c>
      <c r="J19018" s="2">
        <v>1177</v>
      </c>
      <c r="K19018" s="2">
        <v>1</v>
      </c>
      <c r="L19018" s="2">
        <v>330</v>
      </c>
    </row>
    <row r="19019" spans="1:12" x14ac:dyDescent="0.25">
      <c r="A19019" s="4" t="str">
        <f>HYPERLINK("http://www.rosaceae.org/Prunus/Prunus_persica/p.persica_gdr_reftransV1_0018947","p.persica_gdr_reftransV1_0018947")</f>
        <v>p.persica_gdr_reftransV1_0018947</v>
      </c>
      <c r="B19019" s="2">
        <v>1502</v>
      </c>
      <c r="C19019" s="4" t="str">
        <f>HYPERLINK("http://www.uniprot.org/uniprot/M5WGN8","M5WGN8")</f>
        <v>M5WGN8</v>
      </c>
      <c r="D19019" s="2" t="s">
        <v>14630</v>
      </c>
      <c r="E19019" s="3">
        <v>2.1299999999999999E-150</v>
      </c>
      <c r="F19019" s="2">
        <v>991</v>
      </c>
      <c r="G19019" s="2">
        <v>79</v>
      </c>
      <c r="H19019" s="2">
        <v>251</v>
      </c>
      <c r="I19019" s="2">
        <v>467</v>
      </c>
      <c r="J19019" s="2">
        <v>1219</v>
      </c>
      <c r="K19019" s="2">
        <v>1</v>
      </c>
      <c r="L19019" s="2">
        <v>207</v>
      </c>
    </row>
    <row r="19020" spans="1:12" x14ac:dyDescent="0.25">
      <c r="A19020" s="4" t="str">
        <f>HYPERLINK("http://www.rosaceae.org/Prunus/Prunus_persica/p.persica_gdr_reftransV1_0019297","p.persica_gdr_reftransV1_0019297")</f>
        <v>p.persica_gdr_reftransV1_0019297</v>
      </c>
      <c r="B19020" s="2">
        <v>521</v>
      </c>
      <c r="C19020" s="4" t="str">
        <f>HYPERLINK("http://www.uniprot.org/uniprot/M5VRU0","M5VRU0")</f>
        <v>M5VRU0</v>
      </c>
      <c r="D19020" s="2" t="s">
        <v>14631</v>
      </c>
      <c r="E19020" s="3">
        <v>4.27E-35</v>
      </c>
      <c r="F19020" s="2">
        <v>323</v>
      </c>
      <c r="G19020" s="2">
        <v>100</v>
      </c>
      <c r="H19020" s="2">
        <v>62</v>
      </c>
      <c r="I19020" s="2">
        <v>168</v>
      </c>
      <c r="J19020" s="2">
        <v>353</v>
      </c>
      <c r="K19020" s="2">
        <v>20</v>
      </c>
      <c r="L19020" s="2">
        <v>81</v>
      </c>
    </row>
    <row r="19021" spans="1:12" x14ac:dyDescent="0.25">
      <c r="A19021" s="4" t="str">
        <f>HYPERLINK("http://www.rosaceae.org/Prunus/Prunus_persica/p.persica_gdr_reftransV1_0019647","p.persica_gdr_reftransV1_0019647")</f>
        <v>p.persica_gdr_reftransV1_0019647</v>
      </c>
      <c r="B19021" s="2">
        <v>1798</v>
      </c>
      <c r="C19021" s="4" t="str">
        <f>HYPERLINK("http://www.uniprot.org/uniprot/M5VJS9","M5VJS9")</f>
        <v>M5VJS9</v>
      </c>
      <c r="D19021" s="2" t="s">
        <v>14632</v>
      </c>
      <c r="E19021" s="3">
        <v>0</v>
      </c>
      <c r="F19021" s="2">
        <v>1683</v>
      </c>
      <c r="G19021" s="2">
        <v>98</v>
      </c>
      <c r="H19021" s="2">
        <v>333</v>
      </c>
      <c r="I19021" s="2">
        <v>635</v>
      </c>
      <c r="J19021" s="2">
        <v>1633</v>
      </c>
      <c r="K19021" s="2">
        <v>116</v>
      </c>
      <c r="L19021" s="2">
        <v>444</v>
      </c>
    </row>
    <row r="19022" spans="1:12" x14ac:dyDescent="0.25">
      <c r="A19022" s="4" t="str">
        <f>HYPERLINK("http://www.rosaceae.org/Prunus/Prunus_persica/p.persica_gdr_reftransV1_0019997","p.persica_gdr_reftransV1_0019997")</f>
        <v>p.persica_gdr_reftransV1_0019997</v>
      </c>
      <c r="B19022" s="2">
        <v>1418</v>
      </c>
      <c r="C19022" s="4" t="str">
        <f>HYPERLINK("http://www.uniprot.org/uniprot/M5VR17","M5VR17")</f>
        <v>M5VR17</v>
      </c>
      <c r="D19022" s="2" t="s">
        <v>14633</v>
      </c>
      <c r="E19022" s="3">
        <v>1.41E-142</v>
      </c>
      <c r="F19022" s="2">
        <v>1079</v>
      </c>
      <c r="G19022" s="2">
        <v>99</v>
      </c>
      <c r="H19022" s="2">
        <v>226</v>
      </c>
      <c r="I19022" s="2">
        <v>348</v>
      </c>
      <c r="J19022" s="2">
        <v>1025</v>
      </c>
      <c r="K19022" s="2">
        <v>1</v>
      </c>
      <c r="L19022" s="2">
        <v>226</v>
      </c>
    </row>
    <row r="19023" spans="1:12" x14ac:dyDescent="0.25">
      <c r="A19023" s="4" t="str">
        <f>HYPERLINK("http://www.rosaceae.org/Prunus/Prunus_persica/p.persica_gdr_reftransV1_0021397","p.persica_gdr_reftransV1_0021397")</f>
        <v>p.persica_gdr_reftransV1_0021397</v>
      </c>
      <c r="B19023" s="2">
        <v>2121</v>
      </c>
      <c r="C19023" s="4" t="str">
        <f>HYPERLINK("http://www.uniprot.org/uniprot/M5WYS3","M5WYS3")</f>
        <v>M5WYS3</v>
      </c>
      <c r="D19023" s="2" t="s">
        <v>14634</v>
      </c>
      <c r="E19023" s="3">
        <v>5.5999999999999996E-59</v>
      </c>
      <c r="F19023" s="2">
        <v>522</v>
      </c>
      <c r="G19023" s="2">
        <v>96</v>
      </c>
      <c r="H19023" s="2">
        <v>104</v>
      </c>
      <c r="I19023" s="2">
        <v>989</v>
      </c>
      <c r="J19023" s="2">
        <v>1300</v>
      </c>
      <c r="K19023" s="2">
        <v>1</v>
      </c>
      <c r="L19023" s="2">
        <v>104</v>
      </c>
    </row>
    <row r="19024" spans="1:12" x14ac:dyDescent="0.25">
      <c r="A19024" s="4" t="str">
        <f>HYPERLINK("http://www.rosaceae.org/Prunus/Prunus_persica/p.persica_gdr_reftransV1_0024197","p.persica_gdr_reftransV1_0024197")</f>
        <v>p.persica_gdr_reftransV1_0024197</v>
      </c>
      <c r="B19024" s="2">
        <v>1777</v>
      </c>
      <c r="C19024" s="4" t="str">
        <f>HYPERLINK("http://www.uniprot.org/uniprot/M5W479","M5W479")</f>
        <v>M5W479</v>
      </c>
      <c r="D19024" s="2" t="s">
        <v>11160</v>
      </c>
      <c r="E19024" s="3">
        <v>5.6599999999999997E-77</v>
      </c>
      <c r="F19024" s="2">
        <v>645</v>
      </c>
      <c r="G19024" s="2">
        <v>100</v>
      </c>
      <c r="H19024" s="2">
        <v>135</v>
      </c>
      <c r="I19024" s="2">
        <v>1097</v>
      </c>
      <c r="J19024" s="2">
        <v>1501</v>
      </c>
      <c r="K19024" s="2">
        <v>18</v>
      </c>
      <c r="L19024" s="2">
        <v>152</v>
      </c>
    </row>
    <row r="19025" spans="1:12" x14ac:dyDescent="0.25">
      <c r="A19025" s="4" t="str">
        <f>HYPERLINK("http://www.rosaceae.org/Prunus/Prunus_persica/p.persica_gdr_reftransV1_0024547","p.persica_gdr_reftransV1_0024547")</f>
        <v>p.persica_gdr_reftransV1_0024547</v>
      </c>
      <c r="B19025" s="2">
        <v>590</v>
      </c>
      <c r="C19025" s="4" t="str">
        <f>HYPERLINK("http://www.uniprot.org/uniprot/M5XBE3","M5XBE3")</f>
        <v>M5XBE3</v>
      </c>
      <c r="D19025" s="2" t="s">
        <v>11411</v>
      </c>
      <c r="E19025" s="3">
        <v>6.8500000000000001E-59</v>
      </c>
      <c r="F19025" s="2">
        <v>514</v>
      </c>
      <c r="G19025" s="2">
        <v>100</v>
      </c>
      <c r="H19025" s="2">
        <v>100</v>
      </c>
      <c r="I19025" s="2">
        <v>1</v>
      </c>
      <c r="J19025" s="2">
        <v>300</v>
      </c>
      <c r="K19025" s="2">
        <v>367</v>
      </c>
      <c r="L19025" s="2">
        <v>466</v>
      </c>
    </row>
    <row r="19026" spans="1:12" x14ac:dyDescent="0.25">
      <c r="A19026" s="4" t="str">
        <f>HYPERLINK("http://www.rosaceae.org/Prunus/Prunus_persica/p.persica_gdr_reftransV1_0027347","p.persica_gdr_reftransV1_0027347")</f>
        <v>p.persica_gdr_reftransV1_0027347</v>
      </c>
      <c r="B19026" s="2">
        <v>2216</v>
      </c>
      <c r="C19026" s="4" t="str">
        <f>HYPERLINK("http://www.uniprot.org/uniprot/M5XN21","M5XN21")</f>
        <v>M5XN21</v>
      </c>
      <c r="D19026" s="2" t="s">
        <v>139</v>
      </c>
      <c r="E19026" s="3">
        <v>5.8400000000000004E-97</v>
      </c>
      <c r="F19026" s="2">
        <v>806</v>
      </c>
      <c r="G19026" s="2">
        <v>100</v>
      </c>
      <c r="H19026" s="2">
        <v>169</v>
      </c>
      <c r="I19026" s="2">
        <v>1649</v>
      </c>
      <c r="J19026" s="2">
        <v>2155</v>
      </c>
      <c r="K19026" s="2">
        <v>1</v>
      </c>
      <c r="L19026" s="2">
        <v>169</v>
      </c>
    </row>
    <row r="19027" spans="1:12" x14ac:dyDescent="0.25">
      <c r="A19027" s="4" t="str">
        <f>HYPERLINK("http://www.rosaceae.org/Prunus/Prunus_persica/p.persica_gdr_reftransV1_0028047","p.persica_gdr_reftransV1_0028047")</f>
        <v>p.persica_gdr_reftransV1_0028047</v>
      </c>
      <c r="B19027" s="2">
        <v>1634</v>
      </c>
      <c r="C19027" s="4" t="str">
        <f>HYPERLINK("http://www.uniprot.org/uniprot/M5XQZ1","M5XQZ1")</f>
        <v>M5XQZ1</v>
      </c>
      <c r="D19027" s="2" t="s">
        <v>14635</v>
      </c>
      <c r="E19027" s="3">
        <v>0</v>
      </c>
      <c r="F19027" s="2">
        <v>1939</v>
      </c>
      <c r="G19027" s="2">
        <v>100</v>
      </c>
      <c r="H19027" s="2">
        <v>408</v>
      </c>
      <c r="I19027" s="2">
        <v>138</v>
      </c>
      <c r="J19027" s="2">
        <v>1361</v>
      </c>
      <c r="K19027" s="2">
        <v>1</v>
      </c>
      <c r="L19027" s="2">
        <v>408</v>
      </c>
    </row>
    <row r="19028" spans="1:12" x14ac:dyDescent="0.25">
      <c r="A19028" s="4" t="str">
        <f>HYPERLINK("http://www.rosaceae.org/Prunus/Prunus_persica/p.persica_gdr_reftransV1_0028397","p.persica_gdr_reftransV1_0028397")</f>
        <v>p.persica_gdr_reftransV1_0028397</v>
      </c>
      <c r="B19028" s="2">
        <v>1989</v>
      </c>
      <c r="C19028" s="4" t="str">
        <f>HYPERLINK("http://www.uniprot.org/uniprot/M5W0Z1","M5W0Z1")</f>
        <v>M5W0Z1</v>
      </c>
      <c r="D19028" s="2" t="s">
        <v>14636</v>
      </c>
      <c r="E19028" s="3">
        <v>4.6300000000000001E-92</v>
      </c>
      <c r="F19028" s="2">
        <v>759</v>
      </c>
      <c r="G19028" s="2">
        <v>100</v>
      </c>
      <c r="H19028" s="2">
        <v>196</v>
      </c>
      <c r="I19028" s="2">
        <v>308</v>
      </c>
      <c r="J19028" s="2">
        <v>895</v>
      </c>
      <c r="K19028" s="2">
        <v>1</v>
      </c>
      <c r="L19028" s="2">
        <v>196</v>
      </c>
    </row>
    <row r="19029" spans="1:12" x14ac:dyDescent="0.25">
      <c r="A19029" s="4" t="str">
        <f>HYPERLINK("http://www.rosaceae.org/Prunus/Prunus_persica/p.persica_gdr_reftransV1_0028747","p.persica_gdr_reftransV1_0028747")</f>
        <v>p.persica_gdr_reftransV1_0028747</v>
      </c>
      <c r="B19029" s="2">
        <v>1662</v>
      </c>
      <c r="C19029" s="4" t="str">
        <f>HYPERLINK("http://www.uniprot.org/uniprot/M5WZ55","M5WZ55")</f>
        <v>M5WZ55</v>
      </c>
      <c r="D19029" s="2" t="s">
        <v>14637</v>
      </c>
      <c r="E19029" s="3">
        <v>1.32E-151</v>
      </c>
      <c r="F19029" s="2">
        <v>1146</v>
      </c>
      <c r="G19029" s="2">
        <v>100</v>
      </c>
      <c r="H19029" s="2">
        <v>227</v>
      </c>
      <c r="I19029" s="2">
        <v>302</v>
      </c>
      <c r="J19029" s="2">
        <v>982</v>
      </c>
      <c r="K19029" s="2">
        <v>1</v>
      </c>
      <c r="L19029" s="2">
        <v>227</v>
      </c>
    </row>
    <row r="19030" spans="1:12" x14ac:dyDescent="0.25">
      <c r="A19030" s="4" t="str">
        <f>HYPERLINK("http://www.rosaceae.org/Prunus/Prunus_persica/p.persica_gdr_reftransV1_0032597","p.persica_gdr_reftransV1_0032597")</f>
        <v>p.persica_gdr_reftransV1_0032597</v>
      </c>
      <c r="B19030" s="2">
        <v>944</v>
      </c>
      <c r="C19030" s="4" t="str">
        <f>HYPERLINK("http://www.uniprot.org/uniprot/M5X3X4","M5X3X4")</f>
        <v>M5X3X4</v>
      </c>
      <c r="D19030" s="2" t="s">
        <v>14638</v>
      </c>
      <c r="E19030" s="3">
        <v>3.57E-87</v>
      </c>
      <c r="F19030" s="2">
        <v>691</v>
      </c>
      <c r="G19030" s="2">
        <v>100</v>
      </c>
      <c r="H19030" s="2">
        <v>170</v>
      </c>
      <c r="I19030" s="2">
        <v>158</v>
      </c>
      <c r="J19030" s="2">
        <v>667</v>
      </c>
      <c r="K19030" s="2">
        <v>1</v>
      </c>
      <c r="L19030" s="2">
        <v>170</v>
      </c>
    </row>
    <row r="19031" spans="1:12" x14ac:dyDescent="0.25">
      <c r="A19031" s="4" t="str">
        <f>HYPERLINK("http://www.rosaceae.org/Prunus/Prunus_persica/p.persica_gdr_reftransV1_0032947","p.persica_gdr_reftransV1_0032947")</f>
        <v>p.persica_gdr_reftransV1_0032947</v>
      </c>
      <c r="B19031" s="2">
        <v>2011</v>
      </c>
      <c r="C19031" s="4" t="str">
        <f>HYPERLINK("http://www.uniprot.org/uniprot/M5XSJ7","M5XSJ7")</f>
        <v>M5XSJ7</v>
      </c>
      <c r="D19031" s="2" t="s">
        <v>14639</v>
      </c>
      <c r="E19031" s="3">
        <v>0</v>
      </c>
      <c r="F19031" s="2">
        <v>1823</v>
      </c>
      <c r="G19031" s="2">
        <v>90</v>
      </c>
      <c r="H19031" s="2">
        <v>411</v>
      </c>
      <c r="I19031" s="2">
        <v>414</v>
      </c>
      <c r="J19031" s="2">
        <v>1646</v>
      </c>
      <c r="K19031" s="2">
        <v>1</v>
      </c>
      <c r="L19031" s="2">
        <v>369</v>
      </c>
    </row>
    <row r="19032" spans="1:12" x14ac:dyDescent="0.25">
      <c r="A19032" s="4" t="str">
        <f>HYPERLINK("http://www.rosaceae.org/Prunus/Prunus_persica/p.persica_gdr_reftransV1_0033297","p.persica_gdr_reftransV1_0033297")</f>
        <v>p.persica_gdr_reftransV1_0033297</v>
      </c>
      <c r="B19032" s="2">
        <v>3251</v>
      </c>
      <c r="C19032" s="4" t="str">
        <f>HYPERLINK("http://www.uniprot.org/uniprot/M5W8M3","M5W8M3")</f>
        <v>M5W8M3</v>
      </c>
      <c r="D19032" s="2" t="s">
        <v>5185</v>
      </c>
      <c r="E19032" s="3">
        <v>0</v>
      </c>
      <c r="F19032" s="2">
        <v>1995</v>
      </c>
      <c r="G19032" s="2">
        <v>100</v>
      </c>
      <c r="H19032" s="2">
        <v>382</v>
      </c>
      <c r="I19032" s="2">
        <v>2105</v>
      </c>
      <c r="J19032" s="2">
        <v>3250</v>
      </c>
      <c r="K19032" s="2">
        <v>166</v>
      </c>
      <c r="L19032" s="2">
        <v>547</v>
      </c>
    </row>
    <row r="19033" spans="1:12" x14ac:dyDescent="0.25">
      <c r="A19033" s="4" t="str">
        <f>HYPERLINK("http://www.rosaceae.org/Prunus/Prunus_persica/p.persica_gdr_reftransV1_0035047","p.persica_gdr_reftransV1_0035047")</f>
        <v>p.persica_gdr_reftransV1_0035047</v>
      </c>
      <c r="B19033" s="2">
        <v>2384</v>
      </c>
      <c r="C19033" s="4" t="str">
        <f>HYPERLINK("http://www.uniprot.org/uniprot/M5X2D0","M5X2D0")</f>
        <v>M5X2D0</v>
      </c>
      <c r="D19033" s="2" t="s">
        <v>14640</v>
      </c>
      <c r="E19033" s="3">
        <v>1.9299999999999999E-67</v>
      </c>
      <c r="F19033" s="2">
        <v>593</v>
      </c>
      <c r="G19033" s="2">
        <v>92</v>
      </c>
      <c r="H19033" s="2">
        <v>125</v>
      </c>
      <c r="I19033" s="2">
        <v>318</v>
      </c>
      <c r="J19033" s="2">
        <v>692</v>
      </c>
      <c r="K19033" s="2">
        <v>76</v>
      </c>
      <c r="L19033" s="2">
        <v>200</v>
      </c>
    </row>
    <row r="19034" spans="1:12" x14ac:dyDescent="0.25">
      <c r="A19034" s="4" t="str">
        <f>HYPERLINK("http://www.rosaceae.org/Prunus/Prunus_persica/p.persica_gdr_reftransV1_0036097","p.persica_gdr_reftransV1_0036097")</f>
        <v>p.persica_gdr_reftransV1_0036097</v>
      </c>
      <c r="B19034" s="2">
        <v>3089</v>
      </c>
      <c r="C19034" s="4" t="str">
        <f>HYPERLINK("http://www.uniprot.org/uniprot/M5XJY9","M5XJY9")</f>
        <v>M5XJY9</v>
      </c>
      <c r="D19034" s="2" t="s">
        <v>10170</v>
      </c>
      <c r="E19034" s="3">
        <v>6.3699999999999996E-162</v>
      </c>
      <c r="F19034" s="2">
        <v>1303</v>
      </c>
      <c r="G19034" s="2">
        <v>95</v>
      </c>
      <c r="H19034" s="2">
        <v>293</v>
      </c>
      <c r="I19034" s="2">
        <v>372</v>
      </c>
      <c r="J19034" s="2">
        <v>1244</v>
      </c>
      <c r="K19034" s="2">
        <v>424</v>
      </c>
      <c r="L19034" s="2">
        <v>710</v>
      </c>
    </row>
    <row r="19035" spans="1:12" x14ac:dyDescent="0.25">
      <c r="A19035" s="4" t="str">
        <f>HYPERLINK("http://www.rosaceae.org/Prunus/Prunus_persica/p.persica_gdr_reftransV1_0038197","p.persica_gdr_reftransV1_0038197")</f>
        <v>p.persica_gdr_reftransV1_0038197</v>
      </c>
      <c r="B19035" s="2">
        <v>817</v>
      </c>
      <c r="C19035" s="4" t="str">
        <f>HYPERLINK("http://www.uniprot.org/uniprot/M5XDK9","M5XDK9")</f>
        <v>M5XDK9</v>
      </c>
      <c r="D19035" s="2" t="s">
        <v>6523</v>
      </c>
      <c r="E19035" s="3">
        <v>2.53E-99</v>
      </c>
      <c r="F19035" s="2">
        <v>795</v>
      </c>
      <c r="G19035" s="2">
        <v>99</v>
      </c>
      <c r="H19035" s="2">
        <v>155</v>
      </c>
      <c r="I19035" s="2">
        <v>141</v>
      </c>
      <c r="J19035" s="2">
        <v>605</v>
      </c>
      <c r="K19035" s="2">
        <v>1</v>
      </c>
      <c r="L19035" s="2">
        <v>155</v>
      </c>
    </row>
    <row r="19036" spans="1:12" x14ac:dyDescent="0.25">
      <c r="A19036" s="4" t="str">
        <f>HYPERLINK("http://www.rosaceae.org/Prunus/Prunus_persica/p.persica_gdr_reftransV1_0040647","p.persica_gdr_reftransV1_0040647")</f>
        <v>p.persica_gdr_reftransV1_0040647</v>
      </c>
      <c r="B19036" s="2">
        <v>2464</v>
      </c>
      <c r="C19036" s="4" t="str">
        <f>HYPERLINK("http://www.uniprot.org/uniprot/M5X646","M5X646")</f>
        <v>M5X646</v>
      </c>
      <c r="D19036" s="2" t="s">
        <v>14641</v>
      </c>
      <c r="E19036" s="3">
        <v>4.9899999999999996E-124</v>
      </c>
      <c r="F19036" s="2">
        <v>990</v>
      </c>
      <c r="G19036" s="2">
        <v>100</v>
      </c>
      <c r="H19036" s="2">
        <v>199</v>
      </c>
      <c r="I19036" s="2">
        <v>1501</v>
      </c>
      <c r="J19036" s="2">
        <v>2097</v>
      </c>
      <c r="K19036" s="2">
        <v>74</v>
      </c>
      <c r="L19036" s="2">
        <v>272</v>
      </c>
    </row>
    <row r="19037" spans="1:12" x14ac:dyDescent="0.25">
      <c r="A19037" s="4" t="str">
        <f>HYPERLINK("http://www.rosaceae.org/Prunus/Prunus_persica/p.persica_gdr_reftransV1_0040997","p.persica_gdr_reftransV1_0040997")</f>
        <v>p.persica_gdr_reftransV1_0040997</v>
      </c>
      <c r="B19037" s="2">
        <v>2253</v>
      </c>
      <c r="C19037" s="4" t="str">
        <f>HYPERLINK("http://www.uniprot.org/uniprot/R4HC38","R4HC38")</f>
        <v>R4HC38</v>
      </c>
      <c r="D19037" s="2" t="s">
        <v>14642</v>
      </c>
      <c r="E19037" s="3">
        <v>6.4099999999999996E-93</v>
      </c>
      <c r="F19037" s="2">
        <v>770</v>
      </c>
      <c r="G19037" s="2">
        <v>88</v>
      </c>
      <c r="H19037" s="2">
        <v>165</v>
      </c>
      <c r="I19037" s="2">
        <v>1515</v>
      </c>
      <c r="J19037" s="2">
        <v>2009</v>
      </c>
      <c r="K19037" s="2">
        <v>14</v>
      </c>
      <c r="L19037" s="2">
        <v>177</v>
      </c>
    </row>
    <row r="19038" spans="1:12" x14ac:dyDescent="0.25">
      <c r="A19038" s="4" t="str">
        <f>HYPERLINK("http://www.rosaceae.org/Prunus/Prunus_persica/p.persica_gdr_reftransV1_0041347","p.persica_gdr_reftransV1_0041347")</f>
        <v>p.persica_gdr_reftransV1_0041347</v>
      </c>
      <c r="B19038" s="2">
        <v>2568</v>
      </c>
      <c r="C19038" s="4" t="str">
        <f>HYPERLINK("http://www.uniprot.org/uniprot/M5XAM5","M5XAM5")</f>
        <v>M5XAM5</v>
      </c>
      <c r="D19038" s="2" t="s">
        <v>14643</v>
      </c>
      <c r="E19038" s="3">
        <v>0</v>
      </c>
      <c r="F19038" s="2">
        <v>2410</v>
      </c>
      <c r="G19038" s="2">
        <v>99</v>
      </c>
      <c r="H19038" s="2">
        <v>474</v>
      </c>
      <c r="I19038" s="2">
        <v>257</v>
      </c>
      <c r="J19038" s="2">
        <v>1678</v>
      </c>
      <c r="K19038" s="2">
        <v>44</v>
      </c>
      <c r="L19038" s="2">
        <v>517</v>
      </c>
    </row>
    <row r="19039" spans="1:12" x14ac:dyDescent="0.25">
      <c r="A19039" s="4" t="str">
        <f>HYPERLINK("http://www.rosaceae.org/Prunus/Prunus_persica/p.persica_gdr_reftransV1_0043097","p.persica_gdr_reftransV1_0043097")</f>
        <v>p.persica_gdr_reftransV1_0043097</v>
      </c>
      <c r="B19039" s="2">
        <v>1905</v>
      </c>
      <c r="C19039" s="4" t="str">
        <f>HYPERLINK("http://www.uniprot.org/uniprot/I1W1T7","I1W1T7")</f>
        <v>I1W1T7</v>
      </c>
      <c r="D19039" s="2" t="s">
        <v>14644</v>
      </c>
      <c r="E19039" s="3">
        <v>0</v>
      </c>
      <c r="F19039" s="2">
        <v>3074</v>
      </c>
      <c r="G19039" s="2">
        <v>100</v>
      </c>
      <c r="H19039" s="2">
        <v>576</v>
      </c>
      <c r="I19039" s="2">
        <v>176</v>
      </c>
      <c r="J19039" s="2">
        <v>1903</v>
      </c>
      <c r="K19039" s="2">
        <v>2</v>
      </c>
      <c r="L19039" s="2">
        <v>577</v>
      </c>
    </row>
    <row r="19040" spans="1:12" x14ac:dyDescent="0.25">
      <c r="A19040" s="4" t="str">
        <f>HYPERLINK("http://www.rosaceae.org/Prunus/Prunus_persica/p.persica_gdr_reftransV1_0043447","p.persica_gdr_reftransV1_0043447")</f>
        <v>p.persica_gdr_reftransV1_0043447</v>
      </c>
      <c r="B19040" s="2">
        <v>1401</v>
      </c>
      <c r="C19040" s="4" t="str">
        <f>HYPERLINK("http://www.uniprot.org/uniprot/M5VKH7","M5VKH7")</f>
        <v>M5VKH7</v>
      </c>
      <c r="D19040" s="2" t="s">
        <v>10752</v>
      </c>
      <c r="E19040" s="3">
        <v>0</v>
      </c>
      <c r="F19040" s="2">
        <v>1600</v>
      </c>
      <c r="G19040" s="2">
        <v>100</v>
      </c>
      <c r="H19040" s="2">
        <v>322</v>
      </c>
      <c r="I19040" s="2">
        <v>243</v>
      </c>
      <c r="J19040" s="2">
        <v>1208</v>
      </c>
      <c r="K19040" s="2">
        <v>1</v>
      </c>
      <c r="L19040" s="2">
        <v>322</v>
      </c>
    </row>
    <row r="19041" spans="1:12" x14ac:dyDescent="0.25">
      <c r="A19041" s="4" t="str">
        <f>HYPERLINK("http://www.rosaceae.org/Prunus/Prunus_persica/p.persica_gdr_reftransV1_0043797","p.persica_gdr_reftransV1_0043797")</f>
        <v>p.persica_gdr_reftransV1_0043797</v>
      </c>
      <c r="B19041" s="2">
        <v>434</v>
      </c>
      <c r="C19041" s="4" t="str">
        <f>HYPERLINK("http://www.uniprot.org/uniprot/M5WW92","M5WW92")</f>
        <v>M5WW92</v>
      </c>
      <c r="D19041" s="2" t="s">
        <v>6208</v>
      </c>
      <c r="E19041" s="3">
        <v>1.21E-62</v>
      </c>
      <c r="F19041" s="2">
        <v>549</v>
      </c>
      <c r="G19041" s="2">
        <v>100</v>
      </c>
      <c r="H19041" s="2">
        <v>123</v>
      </c>
      <c r="I19041" s="2">
        <v>65</v>
      </c>
      <c r="J19041" s="2">
        <v>433</v>
      </c>
      <c r="K19041" s="2">
        <v>1</v>
      </c>
      <c r="L19041" s="2">
        <v>123</v>
      </c>
    </row>
    <row r="19042" spans="1:12" x14ac:dyDescent="0.25">
      <c r="A19042" s="4" t="str">
        <f>HYPERLINK("http://www.rosaceae.org/Prunus/Prunus_persica/p.persica_gdr_reftransV1_0044147","p.persica_gdr_reftransV1_0044147")</f>
        <v>p.persica_gdr_reftransV1_0044147</v>
      </c>
      <c r="B19042" s="2">
        <v>2502</v>
      </c>
      <c r="C19042" s="4" t="str">
        <f>HYPERLINK("http://www.uniprot.org/uniprot/M5VLA0","M5VLA0")</f>
        <v>M5VLA0</v>
      </c>
      <c r="D19042" s="2" t="s">
        <v>14645</v>
      </c>
      <c r="E19042" s="3">
        <v>0</v>
      </c>
      <c r="F19042" s="2">
        <v>2607</v>
      </c>
      <c r="G19042" s="2">
        <v>100</v>
      </c>
      <c r="H19042" s="2">
        <v>579</v>
      </c>
      <c r="I19042" s="2">
        <v>694</v>
      </c>
      <c r="J19042" s="2">
        <v>2430</v>
      </c>
      <c r="K19042" s="2">
        <v>1</v>
      </c>
      <c r="L19042" s="2">
        <v>579</v>
      </c>
    </row>
    <row r="19043" spans="1:12" x14ac:dyDescent="0.25">
      <c r="A19043" s="4" t="str">
        <f>HYPERLINK("http://www.rosaceae.org/Prunus/Prunus_persica/p.persica_gdr_reftransV1_0044497","p.persica_gdr_reftransV1_0044497")</f>
        <v>p.persica_gdr_reftransV1_0044497</v>
      </c>
      <c r="B19043" s="2">
        <v>334</v>
      </c>
      <c r="C19043" s="4" t="str">
        <f>HYPERLINK("http://www.uniprot.org/uniprot/M5WKP0","M5WKP0")</f>
        <v>M5WKP0</v>
      </c>
      <c r="D19043" s="2" t="s">
        <v>9849</v>
      </c>
      <c r="E19043" s="3">
        <v>1.45E-46</v>
      </c>
      <c r="F19043" s="2">
        <v>433</v>
      </c>
      <c r="G19043" s="2">
        <v>100</v>
      </c>
      <c r="H19043" s="2">
        <v>93</v>
      </c>
      <c r="I19043" s="2">
        <v>55</v>
      </c>
      <c r="J19043" s="2">
        <v>333</v>
      </c>
      <c r="K19043" s="2">
        <v>3</v>
      </c>
      <c r="L19043" s="2">
        <v>95</v>
      </c>
    </row>
    <row r="19044" spans="1:12" x14ac:dyDescent="0.25">
      <c r="A19044" s="4" t="str">
        <f>HYPERLINK("http://www.rosaceae.org/Prunus/Prunus_persica/p.persica_gdr_reftransV1_0045197","p.persica_gdr_reftransV1_0045197")</f>
        <v>p.persica_gdr_reftransV1_0045197</v>
      </c>
      <c r="B19044" s="2">
        <v>1805</v>
      </c>
      <c r="C19044" s="4" t="str">
        <f>HYPERLINK("http://www.uniprot.org/uniprot/M5X0A0","M5X0A0")</f>
        <v>M5X0A0</v>
      </c>
      <c r="D19044" s="2" t="s">
        <v>7341</v>
      </c>
      <c r="E19044" s="3">
        <v>5.1499999999999998E-132</v>
      </c>
      <c r="F19044" s="2">
        <v>1035</v>
      </c>
      <c r="G19044" s="2">
        <v>100</v>
      </c>
      <c r="H19044" s="2">
        <v>369</v>
      </c>
      <c r="I19044" s="2">
        <v>306</v>
      </c>
      <c r="J19044" s="2">
        <v>1412</v>
      </c>
      <c r="K19044" s="2">
        <v>1</v>
      </c>
      <c r="L19044" s="2">
        <v>369</v>
      </c>
    </row>
    <row r="19045" spans="1:12" x14ac:dyDescent="0.25">
      <c r="A19045" s="4" t="str">
        <f>HYPERLINK("http://www.rosaceae.org/Prunus/Prunus_persica/p.persica_gdr_reftransV1_0045547","p.persica_gdr_reftransV1_0045547")</f>
        <v>p.persica_gdr_reftransV1_0045547</v>
      </c>
      <c r="B19045" s="2">
        <v>2430</v>
      </c>
      <c r="C19045" s="4" t="str">
        <f>HYPERLINK("http://www.uniprot.org/uniprot/M5X7C7","M5X7C7")</f>
        <v>M5X7C7</v>
      </c>
      <c r="D19045" s="2" t="s">
        <v>14646</v>
      </c>
      <c r="E19045" s="3">
        <v>0</v>
      </c>
      <c r="F19045" s="2">
        <v>2413</v>
      </c>
      <c r="G19045" s="2">
        <v>100</v>
      </c>
      <c r="H19045" s="2">
        <v>474</v>
      </c>
      <c r="I19045" s="2">
        <v>526</v>
      </c>
      <c r="J19045" s="2">
        <v>1947</v>
      </c>
      <c r="K19045" s="2">
        <v>26</v>
      </c>
      <c r="L19045" s="2">
        <v>499</v>
      </c>
    </row>
    <row r="19046" spans="1:12" x14ac:dyDescent="0.25">
      <c r="A19046" s="4" t="str">
        <f>HYPERLINK("http://www.rosaceae.org/Prunus/Prunus_persica/p.persica_gdr_reftransV1_0045897","p.persica_gdr_reftransV1_0045897")</f>
        <v>p.persica_gdr_reftransV1_0045897</v>
      </c>
      <c r="B19046" s="2">
        <v>2066</v>
      </c>
      <c r="C19046" s="4" t="str">
        <f>HYPERLINK("http://www.uniprot.org/uniprot/M5WWL3","M5WWL3")</f>
        <v>M5WWL3</v>
      </c>
      <c r="D19046" s="2" t="s">
        <v>14647</v>
      </c>
      <c r="E19046" s="3">
        <v>0</v>
      </c>
      <c r="F19046" s="2">
        <v>1899</v>
      </c>
      <c r="G19046" s="2">
        <v>100</v>
      </c>
      <c r="H19046" s="2">
        <v>475</v>
      </c>
      <c r="I19046" s="2">
        <v>320</v>
      </c>
      <c r="J19046" s="2">
        <v>1744</v>
      </c>
      <c r="K19046" s="2">
        <v>1</v>
      </c>
      <c r="L19046" s="2">
        <v>475</v>
      </c>
    </row>
    <row r="19047" spans="1:12" x14ac:dyDescent="0.25">
      <c r="A19047" s="4" t="str">
        <f>HYPERLINK("http://www.rosaceae.org/Prunus/Prunus_persica/p.persica_gdr_reftransV1_0046247","p.persica_gdr_reftransV1_0046247")</f>
        <v>p.persica_gdr_reftransV1_0046247</v>
      </c>
      <c r="B19047" s="2">
        <v>476</v>
      </c>
      <c r="C19047" s="4" t="str">
        <f>HYPERLINK("http://www.uniprot.org/uniprot/M5W8D5","M5W8D5")</f>
        <v>M5W8D5</v>
      </c>
      <c r="D19047" s="2" t="s">
        <v>11134</v>
      </c>
      <c r="E19047" s="3">
        <v>3.58E-93</v>
      </c>
      <c r="F19047" s="2">
        <v>768</v>
      </c>
      <c r="G19047" s="2">
        <v>100</v>
      </c>
      <c r="H19047" s="2">
        <v>145</v>
      </c>
      <c r="I19047" s="2">
        <v>3</v>
      </c>
      <c r="J19047" s="2">
        <v>437</v>
      </c>
      <c r="K19047" s="2">
        <v>385</v>
      </c>
      <c r="L19047" s="2">
        <v>529</v>
      </c>
    </row>
    <row r="19048" spans="1:12" x14ac:dyDescent="0.25">
      <c r="A19048" s="4" t="str">
        <f>HYPERLINK("http://www.rosaceae.org/Prunus/Prunus_persica/p.persica_gdr_reftransV1_0046597","p.persica_gdr_reftransV1_0046597")</f>
        <v>p.persica_gdr_reftransV1_0046597</v>
      </c>
      <c r="B19048" s="2">
        <v>1088</v>
      </c>
      <c r="C19048" s="4" t="str">
        <f>HYPERLINK("http://www.uniprot.org/uniprot/M5WC72","M5WC72")</f>
        <v>M5WC72</v>
      </c>
      <c r="D19048" s="2" t="s">
        <v>11678</v>
      </c>
      <c r="E19048" s="3">
        <v>1.7399999999999999E-100</v>
      </c>
      <c r="F19048" s="2">
        <v>784</v>
      </c>
      <c r="G19048" s="2">
        <v>100</v>
      </c>
      <c r="H19048" s="2">
        <v>170</v>
      </c>
      <c r="I19048" s="2">
        <v>190</v>
      </c>
      <c r="J19048" s="2">
        <v>699</v>
      </c>
      <c r="K19048" s="2">
        <v>1</v>
      </c>
      <c r="L19048" s="2">
        <v>170</v>
      </c>
    </row>
    <row r="19049" spans="1:12" x14ac:dyDescent="0.25">
      <c r="A19049" s="4" t="str">
        <f>HYPERLINK("http://www.rosaceae.org/Prunus/Prunus_persica/p.persica_gdr_reftransV1_0046947","p.persica_gdr_reftransV1_0046947")</f>
        <v>p.persica_gdr_reftransV1_0046947</v>
      </c>
      <c r="B19049" s="2">
        <v>1456</v>
      </c>
      <c r="C19049" s="4" t="str">
        <f>HYPERLINK("http://www.uniprot.org/uniprot/M5VJZ6","M5VJZ6")</f>
        <v>M5VJZ6</v>
      </c>
      <c r="D19049" s="2" t="s">
        <v>14648</v>
      </c>
      <c r="E19049" s="3">
        <v>0</v>
      </c>
      <c r="F19049" s="2">
        <v>1916</v>
      </c>
      <c r="G19049" s="2">
        <v>100</v>
      </c>
      <c r="H19049" s="2">
        <v>365</v>
      </c>
      <c r="I19049" s="2">
        <v>247</v>
      </c>
      <c r="J19049" s="2">
        <v>1341</v>
      </c>
      <c r="K19049" s="2">
        <v>3</v>
      </c>
      <c r="L19049" s="2">
        <v>367</v>
      </c>
    </row>
    <row r="19050" spans="1:12" x14ac:dyDescent="0.25">
      <c r="A19050" s="4" t="str">
        <f>HYPERLINK("http://www.rosaceae.org/Prunus/Prunus_persica/p.persica_gdr_reftransV1_0047297","p.persica_gdr_reftransV1_0047297")</f>
        <v>p.persica_gdr_reftransV1_0047297</v>
      </c>
      <c r="B19050" s="2">
        <v>1972</v>
      </c>
      <c r="C19050" s="4" t="str">
        <f>HYPERLINK("http://www.uniprot.org/uniprot/M5Y4S2","M5Y4S2")</f>
        <v>M5Y4S2</v>
      </c>
      <c r="D19050" s="2" t="s">
        <v>14649</v>
      </c>
      <c r="E19050" s="3">
        <v>0</v>
      </c>
      <c r="F19050" s="2">
        <v>2464</v>
      </c>
      <c r="G19050" s="2">
        <v>93</v>
      </c>
      <c r="H19050" s="2">
        <v>490</v>
      </c>
      <c r="I19050" s="2">
        <v>416</v>
      </c>
      <c r="J19050" s="2">
        <v>1885</v>
      </c>
      <c r="K19050" s="2">
        <v>1</v>
      </c>
      <c r="L19050" s="2">
        <v>490</v>
      </c>
    </row>
    <row r="19051" spans="1:12" x14ac:dyDescent="0.25">
      <c r="A19051" s="4" t="str">
        <f>HYPERLINK("http://www.rosaceae.org/Prunus/Prunus_persica/p.persica_gdr_reftransV1_0047647","p.persica_gdr_reftransV1_0047647")</f>
        <v>p.persica_gdr_reftransV1_0047647</v>
      </c>
      <c r="B19051" s="2">
        <v>383</v>
      </c>
      <c r="C19051" s="4" t="str">
        <f>HYPERLINK("http://www.uniprot.org/uniprot/M5XSC0","M5XSC0")</f>
        <v>M5XSC0</v>
      </c>
      <c r="D19051" s="2" t="s">
        <v>2474</v>
      </c>
      <c r="E19051" s="3">
        <v>8.0599999999999999E-82</v>
      </c>
      <c r="F19051" s="2">
        <v>673</v>
      </c>
      <c r="G19051" s="2">
        <v>100</v>
      </c>
      <c r="H19051" s="2">
        <v>127</v>
      </c>
      <c r="I19051" s="2">
        <v>2</v>
      </c>
      <c r="J19051" s="2">
        <v>382</v>
      </c>
      <c r="K19051" s="2">
        <v>23</v>
      </c>
      <c r="L19051" s="2">
        <v>149</v>
      </c>
    </row>
    <row r="19052" spans="1:12" x14ac:dyDescent="0.25">
      <c r="A19052" s="4" t="str">
        <f>HYPERLINK("http://www.rosaceae.org/Prunus/Prunus_persica/p.persica_gdr_reftransV1_0047997","p.persica_gdr_reftransV1_0047997")</f>
        <v>p.persica_gdr_reftransV1_0047997</v>
      </c>
      <c r="B19052" s="2">
        <v>986</v>
      </c>
      <c r="C19052" s="4" t="str">
        <f>HYPERLINK("http://www.uniprot.org/uniprot/M5XK41","M5XK41")</f>
        <v>M5XK41</v>
      </c>
      <c r="D19052" s="2" t="s">
        <v>462</v>
      </c>
      <c r="E19052" s="3">
        <v>4.4900000000000002E-136</v>
      </c>
      <c r="F19052" s="2">
        <v>1023</v>
      </c>
      <c r="G19052" s="2">
        <v>100</v>
      </c>
      <c r="H19052" s="2">
        <v>192</v>
      </c>
      <c r="I19052" s="2">
        <v>2</v>
      </c>
      <c r="J19052" s="2">
        <v>577</v>
      </c>
      <c r="K19052" s="2">
        <v>12</v>
      </c>
      <c r="L19052" s="2">
        <v>203</v>
      </c>
    </row>
    <row r="19053" spans="1:12" x14ac:dyDescent="0.25">
      <c r="A19053" s="4" t="str">
        <f>HYPERLINK("http://www.rosaceae.org/Prunus/Prunus_persica/p.persica_gdr_reftransV1_0048347","p.persica_gdr_reftransV1_0048347")</f>
        <v>p.persica_gdr_reftransV1_0048347</v>
      </c>
      <c r="B19053" s="2">
        <v>868</v>
      </c>
      <c r="C19053" s="4" t="str">
        <f>HYPERLINK("http://www.uniprot.org/uniprot/M5XM90","M5XM90")</f>
        <v>M5XM90</v>
      </c>
      <c r="D19053" s="2" t="s">
        <v>12642</v>
      </c>
      <c r="E19053" s="3">
        <v>1.7200000000000001E-76</v>
      </c>
      <c r="F19053" s="2">
        <v>615</v>
      </c>
      <c r="G19053" s="2">
        <v>100</v>
      </c>
      <c r="H19053" s="2">
        <v>117</v>
      </c>
      <c r="I19053" s="2">
        <v>274</v>
      </c>
      <c r="J19053" s="2">
        <v>624</v>
      </c>
      <c r="K19053" s="2">
        <v>25</v>
      </c>
      <c r="L19053" s="2">
        <v>141</v>
      </c>
    </row>
    <row r="19054" spans="1:12" x14ac:dyDescent="0.25">
      <c r="A19054" s="4" t="str">
        <f>HYPERLINK("http://www.rosaceae.org/Prunus/Prunus_persica/p.persica_gdr_reftransV1_0048697","p.persica_gdr_reftransV1_0048697")</f>
        <v>p.persica_gdr_reftransV1_0048697</v>
      </c>
      <c r="B19054" s="2">
        <v>1651</v>
      </c>
      <c r="C19054" s="4" t="str">
        <f>HYPERLINK("http://www.uniprot.org/uniprot/M5VKU4","M5VKU4")</f>
        <v>M5VKU4</v>
      </c>
      <c r="D19054" s="2" t="s">
        <v>7545</v>
      </c>
      <c r="E19054" s="3">
        <v>0</v>
      </c>
      <c r="F19054" s="2">
        <v>1447</v>
      </c>
      <c r="G19054" s="2">
        <v>100</v>
      </c>
      <c r="H19054" s="2">
        <v>275</v>
      </c>
      <c r="I19054" s="2">
        <v>576</v>
      </c>
      <c r="J19054" s="2">
        <v>1400</v>
      </c>
      <c r="K19054" s="2">
        <v>1</v>
      </c>
      <c r="L19054" s="2">
        <v>275</v>
      </c>
    </row>
    <row r="19055" spans="1:12" x14ac:dyDescent="0.25">
      <c r="A19055" s="4" t="str">
        <f>HYPERLINK("http://www.rosaceae.org/Prunus/Prunus_persica/p.persica_gdr_reftransV1_0049047","p.persica_gdr_reftransV1_0049047")</f>
        <v>p.persica_gdr_reftransV1_0049047</v>
      </c>
      <c r="B19055" s="2">
        <v>1217</v>
      </c>
      <c r="C19055" s="4" t="str">
        <f>HYPERLINK("http://www.uniprot.org/uniprot/M5WRI0","M5WRI0")</f>
        <v>M5WRI0</v>
      </c>
      <c r="D19055" s="2" t="s">
        <v>11709</v>
      </c>
      <c r="E19055" s="3">
        <v>2.5300000000000001E-105</v>
      </c>
      <c r="F19055" s="2">
        <v>819</v>
      </c>
      <c r="G19055" s="2">
        <v>92</v>
      </c>
      <c r="H19055" s="2">
        <v>173</v>
      </c>
      <c r="I19055" s="2">
        <v>337</v>
      </c>
      <c r="J19055" s="2">
        <v>855</v>
      </c>
      <c r="K19055" s="2">
        <v>1</v>
      </c>
      <c r="L19055" s="2">
        <v>159</v>
      </c>
    </row>
    <row r="19056" spans="1:12" x14ac:dyDescent="0.25">
      <c r="A19056" s="4" t="str">
        <f>HYPERLINK("http://www.rosaceae.org/Prunus/Prunus_persica/p.persica_gdr_reftransV1_0000048","p.persica_gdr_reftransV1_0000048")</f>
        <v>p.persica_gdr_reftransV1_0000048</v>
      </c>
      <c r="B19056" s="2">
        <v>1933</v>
      </c>
      <c r="C19056" s="4" t="str">
        <f>HYPERLINK("http://www.uniprot.org/uniprot/M5WVB1","M5WVB1")</f>
        <v>M5WVB1</v>
      </c>
      <c r="D19056" s="2" t="s">
        <v>14650</v>
      </c>
      <c r="E19056" s="3">
        <v>0</v>
      </c>
      <c r="F19056" s="2">
        <v>3304</v>
      </c>
      <c r="G19056" s="2">
        <v>99</v>
      </c>
      <c r="H19056" s="2">
        <v>632</v>
      </c>
      <c r="I19056" s="2">
        <v>41</v>
      </c>
      <c r="J19056" s="2">
        <v>1933</v>
      </c>
      <c r="K19056" s="2">
        <v>169</v>
      </c>
      <c r="L19056" s="2">
        <v>800</v>
      </c>
    </row>
    <row r="19057" spans="1:12" x14ac:dyDescent="0.25">
      <c r="A19057" s="4" t="str">
        <f>HYPERLINK("http://www.rosaceae.org/Prunus/Prunus_persica/p.persica_gdr_reftransV1_0000398","p.persica_gdr_reftransV1_0000398")</f>
        <v>p.persica_gdr_reftransV1_0000398</v>
      </c>
      <c r="B19057" s="2">
        <v>1263</v>
      </c>
      <c r="C19057" s="4" t="str">
        <f>HYPERLINK("http://www.uniprot.org/uniprot/M5VMR3","M5VMR3")</f>
        <v>M5VMR3</v>
      </c>
      <c r="D19057" s="2" t="s">
        <v>13041</v>
      </c>
      <c r="E19057" s="3">
        <v>0</v>
      </c>
      <c r="F19057" s="2">
        <v>1719</v>
      </c>
      <c r="G19057" s="2">
        <v>100</v>
      </c>
      <c r="H19057" s="2">
        <v>319</v>
      </c>
      <c r="I19057" s="2">
        <v>1</v>
      </c>
      <c r="J19057" s="2">
        <v>957</v>
      </c>
      <c r="K19057" s="2">
        <v>188</v>
      </c>
      <c r="L19057" s="2">
        <v>506</v>
      </c>
    </row>
    <row r="19058" spans="1:12" x14ac:dyDescent="0.25">
      <c r="A19058" s="4" t="str">
        <f>HYPERLINK("http://www.rosaceae.org/Prunus/Prunus_persica/p.persica_gdr_reftransV1_0000748","p.persica_gdr_reftransV1_0000748")</f>
        <v>p.persica_gdr_reftransV1_0000748</v>
      </c>
      <c r="B19058" s="2">
        <v>514</v>
      </c>
      <c r="C19058" s="4" t="str">
        <f>HYPERLINK("http://www.uniprot.org/uniprot/A0A022PXI4","A0A022PXI4")</f>
        <v>A0A022PXI4</v>
      </c>
      <c r="D19058" s="2" t="s">
        <v>8515</v>
      </c>
      <c r="E19058" s="3">
        <v>2.6599999999999998E-13</v>
      </c>
      <c r="F19058" s="2">
        <v>188</v>
      </c>
      <c r="G19058" s="2">
        <v>36</v>
      </c>
      <c r="H19058" s="2">
        <v>164</v>
      </c>
      <c r="I19058" s="2">
        <v>24</v>
      </c>
      <c r="J19058" s="2">
        <v>509</v>
      </c>
      <c r="K19058" s="2">
        <v>72</v>
      </c>
      <c r="L19058" s="2">
        <v>217</v>
      </c>
    </row>
    <row r="19059" spans="1:12" x14ac:dyDescent="0.25">
      <c r="A19059" s="4" t="str">
        <f>HYPERLINK("http://www.rosaceae.org/Prunus/Prunus_persica/p.persica_gdr_reftransV1_0001448","p.persica_gdr_reftransV1_0001448")</f>
        <v>p.persica_gdr_reftransV1_0001448</v>
      </c>
      <c r="B19059" s="2">
        <v>1217</v>
      </c>
      <c r="C19059" s="4" t="str">
        <f>HYPERLINK("http://www.uniprot.org/uniprot/M5WTJ4","M5WTJ4")</f>
        <v>M5WTJ4</v>
      </c>
      <c r="D19059" s="2" t="s">
        <v>14651</v>
      </c>
      <c r="E19059" s="3">
        <v>1.5700000000000001E-151</v>
      </c>
      <c r="F19059" s="2">
        <v>1130</v>
      </c>
      <c r="G19059" s="2">
        <v>100</v>
      </c>
      <c r="H19059" s="2">
        <v>211</v>
      </c>
      <c r="I19059" s="2">
        <v>427</v>
      </c>
      <c r="J19059" s="2">
        <v>1059</v>
      </c>
      <c r="K19059" s="2">
        <v>1</v>
      </c>
      <c r="L19059" s="2">
        <v>211</v>
      </c>
    </row>
    <row r="19060" spans="1:12" x14ac:dyDescent="0.25">
      <c r="A19060" s="4" t="str">
        <f>HYPERLINK("http://www.rosaceae.org/Prunus/Prunus_persica/p.persica_gdr_reftransV1_0001798","p.persica_gdr_reftransV1_0001798")</f>
        <v>p.persica_gdr_reftransV1_0001798</v>
      </c>
      <c r="B19060" s="2">
        <v>2239</v>
      </c>
      <c r="C19060" s="4" t="str">
        <f>HYPERLINK("http://www.uniprot.org/uniprot/M5XKT8","M5XKT8")</f>
        <v>M5XKT8</v>
      </c>
      <c r="D19060" s="2" t="s">
        <v>3550</v>
      </c>
      <c r="E19060" s="3">
        <v>0</v>
      </c>
      <c r="F19060" s="2">
        <v>3125</v>
      </c>
      <c r="G19060" s="2">
        <v>100</v>
      </c>
      <c r="H19060" s="2">
        <v>710</v>
      </c>
      <c r="I19060" s="2">
        <v>3</v>
      </c>
      <c r="J19060" s="2">
        <v>2132</v>
      </c>
      <c r="K19060" s="2">
        <v>17</v>
      </c>
      <c r="L19060" s="2">
        <v>726</v>
      </c>
    </row>
    <row r="19061" spans="1:12" x14ac:dyDescent="0.25">
      <c r="A19061" s="4" t="str">
        <f>HYPERLINK("http://www.rosaceae.org/Prunus/Prunus_persica/p.persica_gdr_reftransV1_0002498","p.persica_gdr_reftransV1_0002498")</f>
        <v>p.persica_gdr_reftransV1_0002498</v>
      </c>
      <c r="B19061" s="2">
        <v>1026</v>
      </c>
      <c r="C19061" s="4" t="str">
        <f>HYPERLINK("http://www.uniprot.org/uniprot/M5XBG4","M5XBG4")</f>
        <v>M5XBG4</v>
      </c>
      <c r="D19061" s="2" t="s">
        <v>865</v>
      </c>
      <c r="E19061" s="3">
        <v>0</v>
      </c>
      <c r="F19061" s="2">
        <v>1459</v>
      </c>
      <c r="G19061" s="2">
        <v>100</v>
      </c>
      <c r="H19061" s="2">
        <v>300</v>
      </c>
      <c r="I19061" s="2">
        <v>126</v>
      </c>
      <c r="J19061" s="2">
        <v>1025</v>
      </c>
      <c r="K19061" s="2">
        <v>1</v>
      </c>
      <c r="L19061" s="2">
        <v>300</v>
      </c>
    </row>
    <row r="19062" spans="1:12" x14ac:dyDescent="0.25">
      <c r="A19062" s="4" t="str">
        <f>HYPERLINK("http://www.rosaceae.org/Prunus/Prunus_persica/p.persica_gdr_reftransV1_0002848","p.persica_gdr_reftransV1_0002848")</f>
        <v>p.persica_gdr_reftransV1_0002848</v>
      </c>
      <c r="B19062" s="2">
        <v>572</v>
      </c>
      <c r="C19062" s="4" t="str">
        <f>HYPERLINK("http://www.uniprot.org/uniprot/M5X4C9","M5X4C9")</f>
        <v>M5X4C9</v>
      </c>
      <c r="D19062" s="2" t="s">
        <v>11455</v>
      </c>
      <c r="E19062" s="3">
        <v>7.1399999999999997E-79</v>
      </c>
      <c r="F19062" s="2">
        <v>636</v>
      </c>
      <c r="G19062" s="2">
        <v>100</v>
      </c>
      <c r="H19062" s="2">
        <v>120</v>
      </c>
      <c r="I19062" s="2">
        <v>200</v>
      </c>
      <c r="J19062" s="2">
        <v>559</v>
      </c>
      <c r="K19062" s="2">
        <v>98</v>
      </c>
      <c r="L19062" s="2">
        <v>217</v>
      </c>
    </row>
    <row r="19063" spans="1:12" x14ac:dyDescent="0.25">
      <c r="A19063" s="4" t="str">
        <f>HYPERLINK("http://www.rosaceae.org/Prunus/Prunus_persica/p.persica_gdr_reftransV1_0003198","p.persica_gdr_reftransV1_0003198")</f>
        <v>p.persica_gdr_reftransV1_0003198</v>
      </c>
      <c r="B19063" s="2">
        <v>2389</v>
      </c>
      <c r="C19063" s="4" t="str">
        <f>HYPERLINK("http://www.uniprot.org/uniprot/M5WAD4","M5WAD4")</f>
        <v>M5WAD4</v>
      </c>
      <c r="D19063" s="2" t="s">
        <v>14652</v>
      </c>
      <c r="E19063" s="3">
        <v>0</v>
      </c>
      <c r="F19063" s="2">
        <v>3837</v>
      </c>
      <c r="G19063" s="2">
        <v>96</v>
      </c>
      <c r="H19063" s="2">
        <v>784</v>
      </c>
      <c r="I19063" s="2">
        <v>43</v>
      </c>
      <c r="J19063" s="2">
        <v>2388</v>
      </c>
      <c r="K19063" s="2">
        <v>26</v>
      </c>
      <c r="L19063" s="2">
        <v>781</v>
      </c>
    </row>
    <row r="19064" spans="1:12" x14ac:dyDescent="0.25">
      <c r="A19064" s="4" t="str">
        <f>HYPERLINK("http://www.rosaceae.org/Prunus/Prunus_persica/p.persica_gdr_reftransV1_0003548","p.persica_gdr_reftransV1_0003548")</f>
        <v>p.persica_gdr_reftransV1_0003548</v>
      </c>
      <c r="B19064" s="2">
        <v>822</v>
      </c>
      <c r="C19064" s="4" t="str">
        <f>HYPERLINK("http://www.uniprot.org/uniprot/M5WXZ6","M5WXZ6")</f>
        <v>M5WXZ6</v>
      </c>
      <c r="D19064" s="2" t="s">
        <v>14653</v>
      </c>
      <c r="E19064" s="3">
        <v>0</v>
      </c>
      <c r="F19064" s="2">
        <v>1344</v>
      </c>
      <c r="G19064" s="2">
        <v>99</v>
      </c>
      <c r="H19064" s="2">
        <v>260</v>
      </c>
      <c r="I19064" s="2">
        <v>43</v>
      </c>
      <c r="J19064" s="2">
        <v>822</v>
      </c>
      <c r="K19064" s="2">
        <v>1</v>
      </c>
      <c r="L19064" s="2">
        <v>260</v>
      </c>
    </row>
    <row r="19065" spans="1:12" x14ac:dyDescent="0.25">
      <c r="A19065" s="4" t="str">
        <f>HYPERLINK("http://www.rosaceae.org/Prunus/Prunus_persica/p.persica_gdr_reftransV1_0004248","p.persica_gdr_reftransV1_0004248")</f>
        <v>p.persica_gdr_reftransV1_0004248</v>
      </c>
      <c r="B19065" s="2">
        <v>2108</v>
      </c>
      <c r="C19065" s="4" t="str">
        <f>HYPERLINK("http://www.uniprot.org/uniprot/M5W4X1","M5W4X1")</f>
        <v>M5W4X1</v>
      </c>
      <c r="D19065" s="2" t="s">
        <v>1194</v>
      </c>
      <c r="E19065" s="3">
        <v>0</v>
      </c>
      <c r="F19065" s="2">
        <v>1636</v>
      </c>
      <c r="G19065" s="2">
        <v>94</v>
      </c>
      <c r="H19065" s="2">
        <v>328</v>
      </c>
      <c r="I19065" s="2">
        <v>342</v>
      </c>
      <c r="J19065" s="2">
        <v>1325</v>
      </c>
      <c r="K19065" s="2">
        <v>1</v>
      </c>
      <c r="L19065" s="2">
        <v>317</v>
      </c>
    </row>
    <row r="19066" spans="1:12" x14ac:dyDescent="0.25">
      <c r="A19066" s="4" t="str">
        <f>HYPERLINK("http://www.rosaceae.org/Prunus/Prunus_persica/p.persica_gdr_reftransV1_0004598","p.persica_gdr_reftransV1_0004598")</f>
        <v>p.persica_gdr_reftransV1_0004598</v>
      </c>
      <c r="B19066" s="2">
        <v>733</v>
      </c>
      <c r="C19066" s="4" t="str">
        <f>HYPERLINK("http://www.uniprot.org/uniprot/M5X5R0","M5X5R0")</f>
        <v>M5X5R0</v>
      </c>
      <c r="D19066" s="2" t="s">
        <v>5576</v>
      </c>
      <c r="E19066" s="3">
        <v>8.9299999999999998E-161</v>
      </c>
      <c r="F19066" s="2">
        <v>1203</v>
      </c>
      <c r="G19066" s="2">
        <v>98</v>
      </c>
      <c r="H19066" s="2">
        <v>226</v>
      </c>
      <c r="I19066" s="2">
        <v>54</v>
      </c>
      <c r="J19066" s="2">
        <v>731</v>
      </c>
      <c r="K19066" s="2">
        <v>294</v>
      </c>
      <c r="L19066" s="2">
        <v>519</v>
      </c>
    </row>
    <row r="19067" spans="1:12" x14ac:dyDescent="0.25">
      <c r="A19067" s="4" t="str">
        <f>HYPERLINK("http://www.rosaceae.org/Prunus/Prunus_persica/p.persica_gdr_reftransV1_0004948","p.persica_gdr_reftransV1_0004948")</f>
        <v>p.persica_gdr_reftransV1_0004948</v>
      </c>
      <c r="B19067" s="2">
        <v>1542</v>
      </c>
      <c r="C19067" s="4" t="str">
        <f>HYPERLINK("http://www.uniprot.org/uniprot/M5VU00","M5VU00")</f>
        <v>M5VU00</v>
      </c>
      <c r="D19067" s="2" t="s">
        <v>14654</v>
      </c>
      <c r="E19067" s="3">
        <v>0</v>
      </c>
      <c r="F19067" s="2">
        <v>1449</v>
      </c>
      <c r="G19067" s="2">
        <v>96</v>
      </c>
      <c r="H19067" s="2">
        <v>292</v>
      </c>
      <c r="I19067" s="2">
        <v>459</v>
      </c>
      <c r="J19067" s="2">
        <v>1334</v>
      </c>
      <c r="K19067" s="2">
        <v>36</v>
      </c>
      <c r="L19067" s="2">
        <v>327</v>
      </c>
    </row>
    <row r="19068" spans="1:12" x14ac:dyDescent="0.25">
      <c r="A19068" s="4" t="str">
        <f>HYPERLINK("http://www.rosaceae.org/Prunus/Prunus_persica/p.persica_gdr_reftransV1_0005998","p.persica_gdr_reftransV1_0005998")</f>
        <v>p.persica_gdr_reftransV1_0005998</v>
      </c>
      <c r="B19068" s="2">
        <v>811</v>
      </c>
      <c r="C19068" s="4" t="str">
        <f>HYPERLINK("http://www.uniprot.org/uniprot/M5W5J2","M5W5J2")</f>
        <v>M5W5J2</v>
      </c>
      <c r="D19068" s="2" t="s">
        <v>14655</v>
      </c>
      <c r="E19068" s="3">
        <v>5.2400000000000002E-177</v>
      </c>
      <c r="F19068" s="2">
        <v>1316</v>
      </c>
      <c r="G19068" s="2">
        <v>98</v>
      </c>
      <c r="H19068" s="2">
        <v>255</v>
      </c>
      <c r="I19068" s="2">
        <v>1</v>
      </c>
      <c r="J19068" s="2">
        <v>762</v>
      </c>
      <c r="K19068" s="2">
        <v>82</v>
      </c>
      <c r="L19068" s="2">
        <v>336</v>
      </c>
    </row>
    <row r="19069" spans="1:12" x14ac:dyDescent="0.25">
      <c r="A19069" s="4" t="str">
        <f>HYPERLINK("http://www.rosaceae.org/Prunus/Prunus_persica/p.persica_gdr_reftransV1_0006698","p.persica_gdr_reftransV1_0006698")</f>
        <v>p.persica_gdr_reftransV1_0006698</v>
      </c>
      <c r="B19069" s="2">
        <v>808</v>
      </c>
      <c r="C19069" s="4" t="str">
        <f>HYPERLINK("http://www.uniprot.org/uniprot/W9RK29","W9RK29")</f>
        <v>W9RK29</v>
      </c>
      <c r="D19069" s="2" t="s">
        <v>14656</v>
      </c>
      <c r="E19069" s="3">
        <v>1.09E-69</v>
      </c>
      <c r="F19069" s="2">
        <v>587</v>
      </c>
      <c r="G19069" s="2">
        <v>72</v>
      </c>
      <c r="H19069" s="2">
        <v>155</v>
      </c>
      <c r="I19069" s="2">
        <v>1</v>
      </c>
      <c r="J19069" s="2">
        <v>447</v>
      </c>
      <c r="K19069" s="2">
        <v>3</v>
      </c>
      <c r="L19069" s="2">
        <v>156</v>
      </c>
    </row>
    <row r="19070" spans="1:12" x14ac:dyDescent="0.25">
      <c r="A19070" s="4" t="str">
        <f>HYPERLINK("http://www.rosaceae.org/Prunus/Prunus_persica/p.persica_gdr_reftransV1_0007398","p.persica_gdr_reftransV1_0007398")</f>
        <v>p.persica_gdr_reftransV1_0007398</v>
      </c>
      <c r="B19070" s="2">
        <v>1359</v>
      </c>
      <c r="C19070" s="4" t="str">
        <f>HYPERLINK("http://www.uniprot.org/uniprot/M5XPV0","M5XPV0")</f>
        <v>M5XPV0</v>
      </c>
      <c r="D19070" s="2" t="s">
        <v>14315</v>
      </c>
      <c r="E19070" s="3">
        <v>1.5199999999999999E-180</v>
      </c>
      <c r="F19070" s="2">
        <v>1432</v>
      </c>
      <c r="G19070" s="2">
        <v>77</v>
      </c>
      <c r="H19070" s="2">
        <v>452</v>
      </c>
      <c r="I19070" s="2">
        <v>3</v>
      </c>
      <c r="J19070" s="2">
        <v>1352</v>
      </c>
      <c r="K19070" s="2">
        <v>700</v>
      </c>
      <c r="L19070" s="2">
        <v>1141</v>
      </c>
    </row>
    <row r="19071" spans="1:12" x14ac:dyDescent="0.25">
      <c r="A19071" s="4" t="str">
        <f>HYPERLINK("http://www.rosaceae.org/Prunus/Prunus_persica/p.persica_gdr_reftransV1_0008098","p.persica_gdr_reftransV1_0008098")</f>
        <v>p.persica_gdr_reftransV1_0008098</v>
      </c>
      <c r="B19071" s="2">
        <v>569</v>
      </c>
      <c r="C19071" s="4" t="str">
        <f>HYPERLINK("http://www.uniprot.org/uniprot/M5X0E5","M5X0E5")</f>
        <v>M5X0E5</v>
      </c>
      <c r="D19071" s="2" t="s">
        <v>1447</v>
      </c>
      <c r="E19071" s="3">
        <v>3.0800000000000002E-124</v>
      </c>
      <c r="F19071" s="2">
        <v>1011</v>
      </c>
      <c r="G19071" s="2">
        <v>100</v>
      </c>
      <c r="H19071" s="2">
        <v>189</v>
      </c>
      <c r="I19071" s="2">
        <v>3</v>
      </c>
      <c r="J19071" s="2">
        <v>569</v>
      </c>
      <c r="K19071" s="2">
        <v>1147</v>
      </c>
      <c r="L19071" s="2">
        <v>1335</v>
      </c>
    </row>
    <row r="19072" spans="1:12" x14ac:dyDescent="0.25">
      <c r="A19072" s="4" t="str">
        <f>HYPERLINK("http://www.rosaceae.org/Prunus/Prunus_persica/p.persica_gdr_reftransV1_0008448","p.persica_gdr_reftransV1_0008448")</f>
        <v>p.persica_gdr_reftransV1_0008448</v>
      </c>
      <c r="B19072" s="2">
        <v>810</v>
      </c>
      <c r="C19072" s="4" t="str">
        <f>HYPERLINK("http://www.uniprot.org/uniprot/M5WI61","M5WI61")</f>
        <v>M5WI61</v>
      </c>
      <c r="D19072" s="2" t="s">
        <v>14657</v>
      </c>
      <c r="E19072" s="3">
        <v>2.7900000000000001E-62</v>
      </c>
      <c r="F19072" s="2">
        <v>517</v>
      </c>
      <c r="G19072" s="2">
        <v>100</v>
      </c>
      <c r="H19072" s="2">
        <v>128</v>
      </c>
      <c r="I19072" s="2">
        <v>335</v>
      </c>
      <c r="J19072" s="2">
        <v>718</v>
      </c>
      <c r="K19072" s="2">
        <v>1</v>
      </c>
      <c r="L19072" s="2">
        <v>128</v>
      </c>
    </row>
    <row r="19073" spans="1:12" x14ac:dyDescent="0.25">
      <c r="A19073" s="4" t="str">
        <f>HYPERLINK("http://www.rosaceae.org/Prunus/Prunus_persica/p.persica_gdr_reftransV1_0009148","p.persica_gdr_reftransV1_0009148")</f>
        <v>p.persica_gdr_reftransV1_0009148</v>
      </c>
      <c r="B19073" s="2">
        <v>900</v>
      </c>
      <c r="C19073" s="4" t="str">
        <f>HYPERLINK("http://www.uniprot.org/uniprot/M5XG62","M5XG62")</f>
        <v>M5XG62</v>
      </c>
      <c r="D19073" s="2" t="s">
        <v>14658</v>
      </c>
      <c r="E19073" s="3">
        <v>3.1800000000000002E-80</v>
      </c>
      <c r="F19073" s="2">
        <v>640</v>
      </c>
      <c r="G19073" s="2">
        <v>100</v>
      </c>
      <c r="H19073" s="2">
        <v>140</v>
      </c>
      <c r="I19073" s="2">
        <v>275</v>
      </c>
      <c r="J19073" s="2">
        <v>694</v>
      </c>
      <c r="K19073" s="2">
        <v>1</v>
      </c>
      <c r="L19073" s="2">
        <v>140</v>
      </c>
    </row>
    <row r="19074" spans="1:12" x14ac:dyDescent="0.25">
      <c r="A19074" s="4" t="str">
        <f>HYPERLINK("http://www.rosaceae.org/Prunus/Prunus_persica/p.persica_gdr_reftransV1_0009848","p.persica_gdr_reftransV1_0009848")</f>
        <v>p.persica_gdr_reftransV1_0009848</v>
      </c>
      <c r="B19074" s="2">
        <v>1405</v>
      </c>
      <c r="C19074" s="4" t="str">
        <f>HYPERLINK("http://www.uniprot.org/uniprot/M5XHH4","M5XHH4")</f>
        <v>M5XHH4</v>
      </c>
      <c r="D19074" s="2" t="s">
        <v>14659</v>
      </c>
      <c r="E19074" s="3">
        <v>1.1899999999999999E-156</v>
      </c>
      <c r="F19074" s="2">
        <v>1173</v>
      </c>
      <c r="G19074" s="2">
        <v>100</v>
      </c>
      <c r="H19074" s="2">
        <v>247</v>
      </c>
      <c r="I19074" s="2">
        <v>154</v>
      </c>
      <c r="J19074" s="2">
        <v>894</v>
      </c>
      <c r="K19074" s="2">
        <v>1</v>
      </c>
      <c r="L19074" s="2">
        <v>247</v>
      </c>
    </row>
    <row r="19075" spans="1:12" x14ac:dyDescent="0.25">
      <c r="A19075" s="4" t="str">
        <f>HYPERLINK("http://www.rosaceae.org/Prunus/Prunus_persica/p.persica_gdr_reftransV1_0010548","p.persica_gdr_reftransV1_0010548")</f>
        <v>p.persica_gdr_reftransV1_0010548</v>
      </c>
      <c r="B19075" s="2">
        <v>3340</v>
      </c>
      <c r="C19075" s="4" t="str">
        <f>HYPERLINK("http://www.uniprot.org/uniprot/M5WR28","M5WR28")</f>
        <v>M5WR28</v>
      </c>
      <c r="D19075" s="2" t="s">
        <v>6420</v>
      </c>
      <c r="E19075" s="3">
        <v>0</v>
      </c>
      <c r="F19075" s="2">
        <v>4193</v>
      </c>
      <c r="G19075" s="2">
        <v>100</v>
      </c>
      <c r="H19075" s="2">
        <v>841</v>
      </c>
      <c r="I19075" s="2">
        <v>628</v>
      </c>
      <c r="J19075" s="2">
        <v>3150</v>
      </c>
      <c r="K19075" s="2">
        <v>1</v>
      </c>
      <c r="L19075" s="2">
        <v>841</v>
      </c>
    </row>
    <row r="19076" spans="1:12" x14ac:dyDescent="0.25">
      <c r="A19076" s="4" t="str">
        <f>HYPERLINK("http://www.rosaceae.org/Prunus/Prunus_persica/p.persica_gdr_reftransV1_0011248","p.persica_gdr_reftransV1_0011248")</f>
        <v>p.persica_gdr_reftransV1_0011248</v>
      </c>
      <c r="B19076" s="2">
        <v>858</v>
      </c>
      <c r="C19076" s="4" t="str">
        <f>HYPERLINK("http://www.uniprot.org/uniprot/M5WNL8","M5WNL8")</f>
        <v>M5WNL8</v>
      </c>
      <c r="D19076" s="2" t="s">
        <v>14660</v>
      </c>
      <c r="E19076" s="3">
        <v>1.8300000000000001E-83</v>
      </c>
      <c r="F19076" s="2">
        <v>665</v>
      </c>
      <c r="G19076" s="2">
        <v>100</v>
      </c>
      <c r="H19076" s="2">
        <v>192</v>
      </c>
      <c r="I19076" s="2">
        <v>59</v>
      </c>
      <c r="J19076" s="2">
        <v>634</v>
      </c>
      <c r="K19076" s="2">
        <v>1</v>
      </c>
      <c r="L19076" s="2">
        <v>192</v>
      </c>
    </row>
    <row r="19077" spans="1:12" x14ac:dyDescent="0.25">
      <c r="A19077" s="4" t="str">
        <f>HYPERLINK("http://www.rosaceae.org/Prunus/Prunus_persica/p.persica_gdr_reftransV1_0012298","p.persica_gdr_reftransV1_0012298")</f>
        <v>p.persica_gdr_reftransV1_0012298</v>
      </c>
      <c r="B19077" s="2">
        <v>2837</v>
      </c>
      <c r="C19077" s="4" t="str">
        <f>HYPERLINK("http://www.uniprot.org/uniprot/M5WFF5","M5WFF5")</f>
        <v>M5WFF5</v>
      </c>
      <c r="D19077" s="2" t="s">
        <v>14661</v>
      </c>
      <c r="E19077" s="3">
        <v>0</v>
      </c>
      <c r="F19077" s="2">
        <v>3200</v>
      </c>
      <c r="G19077" s="2">
        <v>100</v>
      </c>
      <c r="H19077" s="2">
        <v>602</v>
      </c>
      <c r="I19077" s="2">
        <v>578</v>
      </c>
      <c r="J19077" s="2">
        <v>2383</v>
      </c>
      <c r="K19077" s="2">
        <v>1</v>
      </c>
      <c r="L19077" s="2">
        <v>602</v>
      </c>
    </row>
    <row r="19078" spans="1:12" x14ac:dyDescent="0.25">
      <c r="A19078" s="4" t="str">
        <f>HYPERLINK("http://www.rosaceae.org/Prunus/Prunus_persica/p.persica_gdr_reftransV1_0013698","p.persica_gdr_reftransV1_0013698")</f>
        <v>p.persica_gdr_reftransV1_0013698</v>
      </c>
      <c r="B19078" s="2">
        <v>916</v>
      </c>
      <c r="C19078" s="4" t="str">
        <f>HYPERLINK("http://www.uniprot.org/uniprot/M5XMK7","M5XMK7")</f>
        <v>M5XMK7</v>
      </c>
      <c r="D19078" s="2" t="s">
        <v>14662</v>
      </c>
      <c r="E19078" s="3">
        <v>2.3599999999999999E-132</v>
      </c>
      <c r="F19078" s="2">
        <v>1036</v>
      </c>
      <c r="G19078" s="2">
        <v>98</v>
      </c>
      <c r="H19078" s="2">
        <v>213</v>
      </c>
      <c r="I19078" s="2">
        <v>1</v>
      </c>
      <c r="J19078" s="2">
        <v>639</v>
      </c>
      <c r="K19078" s="2">
        <v>477</v>
      </c>
      <c r="L19078" s="2">
        <v>689</v>
      </c>
    </row>
    <row r="19079" spans="1:12" x14ac:dyDescent="0.25">
      <c r="A19079" s="4" t="str">
        <f>HYPERLINK("http://www.rosaceae.org/Prunus/Prunus_persica/p.persica_gdr_reftransV1_0014398","p.persica_gdr_reftransV1_0014398")</f>
        <v>p.persica_gdr_reftransV1_0014398</v>
      </c>
      <c r="B19079" s="2">
        <v>1163</v>
      </c>
      <c r="C19079" s="4" t="str">
        <f>HYPERLINK("http://www.uniprot.org/uniprot/M5W9L6","M5W9L6")</f>
        <v>M5W9L6</v>
      </c>
      <c r="D19079" s="2" t="s">
        <v>14663</v>
      </c>
      <c r="E19079" s="3">
        <v>2.65E-83</v>
      </c>
      <c r="F19079" s="2">
        <v>669</v>
      </c>
      <c r="G19079" s="2">
        <v>100</v>
      </c>
      <c r="H19079" s="2">
        <v>130</v>
      </c>
      <c r="I19079" s="2">
        <v>113</v>
      </c>
      <c r="J19079" s="2">
        <v>502</v>
      </c>
      <c r="K19079" s="2">
        <v>1</v>
      </c>
      <c r="L19079" s="2">
        <v>130</v>
      </c>
    </row>
    <row r="19080" spans="1:12" x14ac:dyDescent="0.25">
      <c r="A19080" s="4" t="str">
        <f>HYPERLINK("http://www.rosaceae.org/Prunus/Prunus_persica/p.persica_gdr_reftransV1_0014748","p.persica_gdr_reftransV1_0014748")</f>
        <v>p.persica_gdr_reftransV1_0014748</v>
      </c>
      <c r="B19080" s="2">
        <v>1530</v>
      </c>
      <c r="C19080" s="4" t="str">
        <f>HYPERLINK("http://www.uniprot.org/uniprot/M5XS52","M5XS52")</f>
        <v>M5XS52</v>
      </c>
      <c r="D19080" s="2" t="s">
        <v>14664</v>
      </c>
      <c r="E19080" s="3">
        <v>5.6499999999999997E-109</v>
      </c>
      <c r="F19080" s="2">
        <v>636</v>
      </c>
      <c r="G19080" s="2">
        <v>98</v>
      </c>
      <c r="H19080" s="2">
        <v>174</v>
      </c>
      <c r="I19080" s="2">
        <v>591</v>
      </c>
      <c r="J19080" s="2">
        <v>1112</v>
      </c>
      <c r="K19080" s="2">
        <v>76</v>
      </c>
      <c r="L19080" s="2">
        <v>249</v>
      </c>
    </row>
    <row r="19081" spans="1:12" x14ac:dyDescent="0.25">
      <c r="A19081" s="4" t="str">
        <f>HYPERLINK("http://www.rosaceae.org/Prunus/Prunus_persica/p.persica_gdr_reftransV1_0015448","p.persica_gdr_reftransV1_0015448")</f>
        <v>p.persica_gdr_reftransV1_0015448</v>
      </c>
      <c r="B19081" s="2">
        <v>664</v>
      </c>
      <c r="C19081" s="4" t="str">
        <f>HYPERLINK("http://www.uniprot.org/uniprot/M5VTK3","M5VTK3")</f>
        <v>M5VTK3</v>
      </c>
      <c r="D19081" s="2" t="s">
        <v>14465</v>
      </c>
      <c r="E19081" s="3">
        <v>2.2800000000000001E-70</v>
      </c>
      <c r="F19081" s="2">
        <v>593</v>
      </c>
      <c r="G19081" s="2">
        <v>100</v>
      </c>
      <c r="H19081" s="2">
        <v>118</v>
      </c>
      <c r="I19081" s="2">
        <v>3</v>
      </c>
      <c r="J19081" s="2">
        <v>356</v>
      </c>
      <c r="K19081" s="2">
        <v>316</v>
      </c>
      <c r="L19081" s="2">
        <v>433</v>
      </c>
    </row>
    <row r="19082" spans="1:12" x14ac:dyDescent="0.25">
      <c r="A19082" s="4" t="str">
        <f>HYPERLINK("http://www.rosaceae.org/Prunus/Prunus_persica/p.persica_gdr_reftransV1_0017898","p.persica_gdr_reftransV1_0017898")</f>
        <v>p.persica_gdr_reftransV1_0017898</v>
      </c>
      <c r="B19082" s="2">
        <v>2902</v>
      </c>
      <c r="C19082" s="4" t="str">
        <f>HYPERLINK("http://www.uniprot.org/uniprot/M5WHC0","M5WHC0")</f>
        <v>M5WHC0</v>
      </c>
      <c r="D19082" s="2" t="s">
        <v>4241</v>
      </c>
      <c r="E19082" s="3">
        <v>4.0700000000000001E-113</v>
      </c>
      <c r="F19082" s="2">
        <v>947</v>
      </c>
      <c r="G19082" s="2">
        <v>92</v>
      </c>
      <c r="H19082" s="2">
        <v>237</v>
      </c>
      <c r="I19082" s="2">
        <v>2</v>
      </c>
      <c r="J19082" s="2">
        <v>712</v>
      </c>
      <c r="K19082" s="2">
        <v>222</v>
      </c>
      <c r="L19082" s="2">
        <v>458</v>
      </c>
    </row>
    <row r="19083" spans="1:12" x14ac:dyDescent="0.25">
      <c r="A19083" s="4" t="str">
        <f>HYPERLINK("http://www.rosaceae.org/Prunus/Prunus_persica/p.persica_gdr_reftransV1_0018248","p.persica_gdr_reftransV1_0018248")</f>
        <v>p.persica_gdr_reftransV1_0018248</v>
      </c>
      <c r="B19083" s="2">
        <v>714</v>
      </c>
      <c r="C19083" s="4" t="str">
        <f>HYPERLINK("http://www.uniprot.org/uniprot/M5XBG6","M5XBG6")</f>
        <v>M5XBG6</v>
      </c>
      <c r="D19083" s="2" t="s">
        <v>14665</v>
      </c>
      <c r="E19083" s="3">
        <v>3.26E-107</v>
      </c>
      <c r="F19083" s="2">
        <v>881</v>
      </c>
      <c r="G19083" s="2">
        <v>100</v>
      </c>
      <c r="H19083" s="2">
        <v>163</v>
      </c>
      <c r="I19083" s="2">
        <v>224</v>
      </c>
      <c r="J19083" s="2">
        <v>712</v>
      </c>
      <c r="K19083" s="2">
        <v>879</v>
      </c>
      <c r="L19083" s="2">
        <v>1041</v>
      </c>
    </row>
    <row r="19084" spans="1:12" x14ac:dyDescent="0.25">
      <c r="A19084" s="4" t="str">
        <f>HYPERLINK("http://www.rosaceae.org/Prunus/Prunus_persica/p.persica_gdr_reftransV1_0018598","p.persica_gdr_reftransV1_0018598")</f>
        <v>p.persica_gdr_reftransV1_0018598</v>
      </c>
      <c r="B19084" s="2">
        <v>999</v>
      </c>
      <c r="C19084" s="4" t="str">
        <f>HYPERLINK("http://www.uniprot.org/uniprot/M5WV79","M5WV79")</f>
        <v>M5WV79</v>
      </c>
      <c r="D19084" s="2" t="s">
        <v>486</v>
      </c>
      <c r="E19084" s="3">
        <v>2.9599999999999999E-145</v>
      </c>
      <c r="F19084" s="2">
        <v>1081</v>
      </c>
      <c r="G19084" s="2">
        <v>100</v>
      </c>
      <c r="H19084" s="2">
        <v>206</v>
      </c>
      <c r="I19084" s="2">
        <v>303</v>
      </c>
      <c r="J19084" s="2">
        <v>920</v>
      </c>
      <c r="K19084" s="2">
        <v>10</v>
      </c>
      <c r="L19084" s="2">
        <v>215</v>
      </c>
    </row>
    <row r="19085" spans="1:12" x14ac:dyDescent="0.25">
      <c r="A19085" s="4" t="str">
        <f>HYPERLINK("http://www.rosaceae.org/Prunus/Prunus_persica/p.persica_gdr_reftransV1_0019298","p.persica_gdr_reftransV1_0019298")</f>
        <v>p.persica_gdr_reftransV1_0019298</v>
      </c>
      <c r="B19085" s="2">
        <v>2188</v>
      </c>
      <c r="C19085" s="4" t="str">
        <f>HYPERLINK("http://www.uniprot.org/uniprot/M5W218","M5W218")</f>
        <v>M5W218</v>
      </c>
      <c r="D19085" s="2" t="s">
        <v>14666</v>
      </c>
      <c r="E19085" s="3">
        <v>0</v>
      </c>
      <c r="F19085" s="2">
        <v>2123</v>
      </c>
      <c r="G19085" s="2">
        <v>100</v>
      </c>
      <c r="H19085" s="2">
        <v>426</v>
      </c>
      <c r="I19085" s="2">
        <v>807</v>
      </c>
      <c r="J19085" s="2">
        <v>2084</v>
      </c>
      <c r="K19085" s="2">
        <v>7</v>
      </c>
      <c r="L19085" s="2">
        <v>432</v>
      </c>
    </row>
    <row r="19086" spans="1:12" x14ac:dyDescent="0.25">
      <c r="A19086" s="4" t="str">
        <f>HYPERLINK("http://www.rosaceae.org/Prunus/Prunus_persica/p.persica_gdr_reftransV1_0023498","p.persica_gdr_reftransV1_0023498")</f>
        <v>p.persica_gdr_reftransV1_0023498</v>
      </c>
      <c r="B19086" s="2">
        <v>3540</v>
      </c>
      <c r="C19086" s="4" t="str">
        <f>HYPERLINK("http://www.uniprot.org/uniprot/M5X453","M5X453")</f>
        <v>M5X453</v>
      </c>
      <c r="D19086" s="2" t="s">
        <v>14667</v>
      </c>
      <c r="E19086" s="3">
        <v>0</v>
      </c>
      <c r="F19086" s="2">
        <v>1801</v>
      </c>
      <c r="G19086" s="2">
        <v>100</v>
      </c>
      <c r="H19086" s="2">
        <v>366</v>
      </c>
      <c r="I19086" s="2">
        <v>401</v>
      </c>
      <c r="J19086" s="2">
        <v>1498</v>
      </c>
      <c r="K19086" s="2">
        <v>210</v>
      </c>
      <c r="L19086" s="2">
        <v>575</v>
      </c>
    </row>
    <row r="19087" spans="1:12" x14ac:dyDescent="0.25">
      <c r="A19087" s="4" t="str">
        <f>HYPERLINK("http://www.rosaceae.org/Prunus/Prunus_persica/p.persica_gdr_reftransV1_0025598","p.persica_gdr_reftransV1_0025598")</f>
        <v>p.persica_gdr_reftransV1_0025598</v>
      </c>
      <c r="B19087" s="2">
        <v>736</v>
      </c>
      <c r="C19087" s="4" t="str">
        <f>HYPERLINK("http://www.uniprot.org/uniprot/M5WRA7","M5WRA7")</f>
        <v>M5WRA7</v>
      </c>
      <c r="D19087" s="2" t="s">
        <v>4339</v>
      </c>
      <c r="E19087" s="3">
        <v>5.8799999999999996E-78</v>
      </c>
      <c r="F19087" s="2">
        <v>619</v>
      </c>
      <c r="G19087" s="2">
        <v>100</v>
      </c>
      <c r="H19087" s="2">
        <v>135</v>
      </c>
      <c r="I19087" s="2">
        <v>278</v>
      </c>
      <c r="J19087" s="2">
        <v>682</v>
      </c>
      <c r="K19087" s="2">
        <v>1</v>
      </c>
      <c r="L19087" s="2">
        <v>135</v>
      </c>
    </row>
    <row r="19088" spans="1:12" x14ac:dyDescent="0.25">
      <c r="A19088" s="4" t="str">
        <f>HYPERLINK("http://www.rosaceae.org/Prunus/Prunus_persica/p.persica_gdr_reftransV1_0025948","p.persica_gdr_reftransV1_0025948")</f>
        <v>p.persica_gdr_reftransV1_0025948</v>
      </c>
      <c r="B19088" s="2">
        <v>2767</v>
      </c>
      <c r="C19088" s="4" t="str">
        <f>HYPERLINK("http://www.uniprot.org/uniprot/M5WFF4","M5WFF4")</f>
        <v>M5WFF4</v>
      </c>
      <c r="D19088" s="2" t="s">
        <v>14668</v>
      </c>
      <c r="E19088" s="3">
        <v>2.15E-166</v>
      </c>
      <c r="F19088" s="2">
        <v>1279</v>
      </c>
      <c r="G19088" s="2">
        <v>98</v>
      </c>
      <c r="H19088" s="2">
        <v>241</v>
      </c>
      <c r="I19088" s="2">
        <v>1648</v>
      </c>
      <c r="J19088" s="2">
        <v>2370</v>
      </c>
      <c r="K19088" s="2">
        <v>1</v>
      </c>
      <c r="L19088" s="2">
        <v>241</v>
      </c>
    </row>
    <row r="19089" spans="1:12" x14ac:dyDescent="0.25">
      <c r="A19089" s="4" t="str">
        <f>HYPERLINK("http://www.rosaceae.org/Prunus/Prunus_persica/p.persica_gdr_reftransV1_0028398","p.persica_gdr_reftransV1_0028398")</f>
        <v>p.persica_gdr_reftransV1_0028398</v>
      </c>
      <c r="B19089" s="2">
        <v>1749</v>
      </c>
      <c r="C19089" s="4" t="str">
        <f>HYPERLINK("http://www.uniprot.org/uniprot/M5WH69","M5WH69")</f>
        <v>M5WH69</v>
      </c>
      <c r="D19089" s="2" t="s">
        <v>14669</v>
      </c>
      <c r="E19089" s="3">
        <v>0</v>
      </c>
      <c r="F19089" s="2">
        <v>2027</v>
      </c>
      <c r="G19089" s="2">
        <v>100</v>
      </c>
      <c r="H19089" s="2">
        <v>382</v>
      </c>
      <c r="I19089" s="2">
        <v>385</v>
      </c>
      <c r="J19089" s="2">
        <v>1530</v>
      </c>
      <c r="K19089" s="2">
        <v>1</v>
      </c>
      <c r="L19089" s="2">
        <v>382</v>
      </c>
    </row>
    <row r="19090" spans="1:12" x14ac:dyDescent="0.25">
      <c r="A19090" s="4" t="str">
        <f>HYPERLINK("http://www.rosaceae.org/Prunus/Prunus_persica/p.persica_gdr_reftransV1_0029098","p.persica_gdr_reftransV1_0029098")</f>
        <v>p.persica_gdr_reftransV1_0029098</v>
      </c>
      <c r="B19090" s="2">
        <v>3389</v>
      </c>
      <c r="C19090" s="4" t="str">
        <f>HYPERLINK("http://www.uniprot.org/uniprot/M5WEI4","M5WEI4")</f>
        <v>M5WEI4</v>
      </c>
      <c r="D19090" s="2" t="s">
        <v>14670</v>
      </c>
      <c r="E19090" s="3">
        <v>1.7599999999999999E-164</v>
      </c>
      <c r="F19090" s="2">
        <v>1308</v>
      </c>
      <c r="G19090" s="2">
        <v>100</v>
      </c>
      <c r="H19090" s="2">
        <v>269</v>
      </c>
      <c r="I19090" s="2">
        <v>2028</v>
      </c>
      <c r="J19090" s="2">
        <v>2834</v>
      </c>
      <c r="K19090" s="2">
        <v>226</v>
      </c>
      <c r="L19090" s="2">
        <v>494</v>
      </c>
    </row>
    <row r="19091" spans="1:12" x14ac:dyDescent="0.25">
      <c r="A19091" s="4" t="str">
        <f>HYPERLINK("http://www.rosaceae.org/Prunus/Prunus_persica/p.persica_gdr_reftransV1_0030148","p.persica_gdr_reftransV1_0030148")</f>
        <v>p.persica_gdr_reftransV1_0030148</v>
      </c>
      <c r="B19091" s="2">
        <v>1505</v>
      </c>
      <c r="C19091" s="4" t="str">
        <f>HYPERLINK("http://www.uniprot.org/uniprot/M5XDH8","M5XDH8")</f>
        <v>M5XDH8</v>
      </c>
      <c r="D19091" s="2" t="s">
        <v>14671</v>
      </c>
      <c r="E19091" s="3">
        <v>7.9999999999999993E-145</v>
      </c>
      <c r="F19091" s="2">
        <v>1096</v>
      </c>
      <c r="G19091" s="2">
        <v>100</v>
      </c>
      <c r="H19091" s="2">
        <v>219</v>
      </c>
      <c r="I19091" s="2">
        <v>677</v>
      </c>
      <c r="J19091" s="2">
        <v>1333</v>
      </c>
      <c r="K19091" s="2">
        <v>1</v>
      </c>
      <c r="L19091" s="2">
        <v>219</v>
      </c>
    </row>
    <row r="19092" spans="1:12" x14ac:dyDescent="0.25">
      <c r="A19092" s="4" t="str">
        <f>HYPERLINK("http://www.rosaceae.org/Prunus/Prunus_persica/p.persica_gdr_reftransV1_0030848","p.persica_gdr_reftransV1_0030848")</f>
        <v>p.persica_gdr_reftransV1_0030848</v>
      </c>
      <c r="B19092" s="2">
        <v>3681</v>
      </c>
      <c r="C19092" s="4" t="str">
        <f>HYPERLINK("http://www.uniprot.org/uniprot/M5WIB8","M5WIB8")</f>
        <v>M5WIB8</v>
      </c>
      <c r="D19092" s="2" t="s">
        <v>10239</v>
      </c>
      <c r="E19092" s="3">
        <v>8.3499999999999998E-125</v>
      </c>
      <c r="F19092" s="2">
        <v>924</v>
      </c>
      <c r="G19092" s="2">
        <v>98</v>
      </c>
      <c r="H19092" s="2">
        <v>183</v>
      </c>
      <c r="I19092" s="2">
        <v>327</v>
      </c>
      <c r="J19092" s="2">
        <v>875</v>
      </c>
      <c r="K19092" s="2">
        <v>1</v>
      </c>
      <c r="L19092" s="2">
        <v>183</v>
      </c>
    </row>
    <row r="19093" spans="1:12" x14ac:dyDescent="0.25">
      <c r="A19093" s="4" t="str">
        <f>HYPERLINK("http://www.rosaceae.org/Prunus/Prunus_persica/p.persica_gdr_reftransV1_0031898","p.persica_gdr_reftransV1_0031898")</f>
        <v>p.persica_gdr_reftransV1_0031898</v>
      </c>
      <c r="B19093" s="2">
        <v>1173</v>
      </c>
      <c r="C19093" s="4" t="str">
        <f>HYPERLINK("http://www.uniprot.org/uniprot/M5WRU0","M5WRU0")</f>
        <v>M5WRU0</v>
      </c>
      <c r="D19093" s="2" t="s">
        <v>13001</v>
      </c>
      <c r="E19093" s="3">
        <v>4.7699999999999997E-170</v>
      </c>
      <c r="F19093" s="2">
        <v>1309</v>
      </c>
      <c r="G19093" s="2">
        <v>92</v>
      </c>
      <c r="H19093" s="2">
        <v>295</v>
      </c>
      <c r="I19093" s="2">
        <v>2</v>
      </c>
      <c r="J19093" s="2">
        <v>886</v>
      </c>
      <c r="K19093" s="2">
        <v>557</v>
      </c>
      <c r="L19093" s="2">
        <v>826</v>
      </c>
    </row>
    <row r="19094" spans="1:12" x14ac:dyDescent="0.25">
      <c r="A19094" s="4" t="str">
        <f>HYPERLINK("http://www.rosaceae.org/Prunus/Prunus_persica/p.persica_gdr_reftransV1_0032598","p.persica_gdr_reftransV1_0032598")</f>
        <v>p.persica_gdr_reftransV1_0032598</v>
      </c>
      <c r="B19094" s="2">
        <v>3060</v>
      </c>
      <c r="C19094" s="4" t="str">
        <f>HYPERLINK("http://www.uniprot.org/uniprot/M5X637","M5X637")</f>
        <v>M5X637</v>
      </c>
      <c r="D19094" s="2" t="s">
        <v>14672</v>
      </c>
      <c r="E19094" s="3">
        <v>0</v>
      </c>
      <c r="F19094" s="2">
        <v>2623</v>
      </c>
      <c r="G19094" s="2">
        <v>100</v>
      </c>
      <c r="H19094" s="2">
        <v>547</v>
      </c>
      <c r="I19094" s="2">
        <v>1031</v>
      </c>
      <c r="J19094" s="2">
        <v>2671</v>
      </c>
      <c r="K19094" s="2">
        <v>1</v>
      </c>
      <c r="L19094" s="2">
        <v>547</v>
      </c>
    </row>
    <row r="19095" spans="1:12" x14ac:dyDescent="0.25">
      <c r="A19095" s="4" t="str">
        <f>HYPERLINK("http://www.rosaceae.org/Prunus/Prunus_persica/p.persica_gdr_reftransV1_0040298","p.persica_gdr_reftransV1_0040298")</f>
        <v>p.persica_gdr_reftransV1_0040298</v>
      </c>
      <c r="B19095" s="2">
        <v>3114</v>
      </c>
      <c r="C19095" s="4" t="str">
        <f>HYPERLINK("http://www.uniprot.org/uniprot/M5WXB1","M5WXB1")</f>
        <v>M5WXB1</v>
      </c>
      <c r="D19095" s="2" t="s">
        <v>14673</v>
      </c>
      <c r="E19095" s="3">
        <v>0</v>
      </c>
      <c r="F19095" s="2">
        <v>2080</v>
      </c>
      <c r="G19095" s="2">
        <v>100</v>
      </c>
      <c r="H19095" s="2">
        <v>437</v>
      </c>
      <c r="I19095" s="2">
        <v>250</v>
      </c>
      <c r="J19095" s="2">
        <v>1560</v>
      </c>
      <c r="K19095" s="2">
        <v>24</v>
      </c>
      <c r="L19095" s="2">
        <v>460</v>
      </c>
    </row>
    <row r="19096" spans="1:12" x14ac:dyDescent="0.25">
      <c r="A19096" s="4" t="str">
        <f>HYPERLINK("http://www.rosaceae.org/Prunus/Prunus_persica/p.persica_gdr_reftransV1_0041698","p.persica_gdr_reftransV1_0041698")</f>
        <v>p.persica_gdr_reftransV1_0041698</v>
      </c>
      <c r="B19096" s="2">
        <v>3065</v>
      </c>
      <c r="C19096" s="4" t="str">
        <f>HYPERLINK("http://www.uniprot.org/uniprot/M5VGT5","M5VGT5")</f>
        <v>M5VGT5</v>
      </c>
      <c r="D19096" s="2" t="s">
        <v>14674</v>
      </c>
      <c r="E19096" s="3">
        <v>0</v>
      </c>
      <c r="F19096" s="2">
        <v>2153</v>
      </c>
      <c r="G19096" s="2">
        <v>84</v>
      </c>
      <c r="H19096" s="2">
        <v>495</v>
      </c>
      <c r="I19096" s="2">
        <v>1559</v>
      </c>
      <c r="J19096" s="2">
        <v>3043</v>
      </c>
      <c r="K19096" s="2">
        <v>1</v>
      </c>
      <c r="L19096" s="2">
        <v>420</v>
      </c>
    </row>
    <row r="19097" spans="1:12" x14ac:dyDescent="0.25">
      <c r="A19097" s="4" t="str">
        <f>HYPERLINK("http://www.rosaceae.org/Prunus/Prunus_persica/p.persica_gdr_reftransV1_0043098","p.persica_gdr_reftransV1_0043098")</f>
        <v>p.persica_gdr_reftransV1_0043098</v>
      </c>
      <c r="B19097" s="2">
        <v>1040</v>
      </c>
      <c r="C19097" s="4" t="str">
        <f>HYPERLINK("http://www.uniprot.org/uniprot/M4QC22","M4QC22")</f>
        <v>M4QC22</v>
      </c>
      <c r="D19097" s="2" t="s">
        <v>14675</v>
      </c>
      <c r="E19097" s="3">
        <v>0</v>
      </c>
      <c r="F19097" s="2">
        <v>1436</v>
      </c>
      <c r="G19097" s="2">
        <v>98</v>
      </c>
      <c r="H19097" s="2">
        <v>275</v>
      </c>
      <c r="I19097" s="2">
        <v>3</v>
      </c>
      <c r="J19097" s="2">
        <v>827</v>
      </c>
      <c r="K19097" s="2">
        <v>1</v>
      </c>
      <c r="L19097" s="2">
        <v>275</v>
      </c>
    </row>
    <row r="19098" spans="1:12" x14ac:dyDescent="0.25">
      <c r="A19098" s="4" t="str">
        <f>HYPERLINK("http://www.rosaceae.org/Prunus/Prunus_persica/p.persica_gdr_reftransV1_0043448","p.persica_gdr_reftransV1_0043448")</f>
        <v>p.persica_gdr_reftransV1_0043448</v>
      </c>
      <c r="B19098" s="2">
        <v>2290</v>
      </c>
      <c r="C19098" s="4" t="str">
        <f>HYPERLINK("http://www.uniprot.org/uniprot/M5X820","M5X820")</f>
        <v>M5X820</v>
      </c>
      <c r="D19098" s="2" t="s">
        <v>14676</v>
      </c>
      <c r="E19098" s="3">
        <v>0</v>
      </c>
      <c r="F19098" s="2">
        <v>2987</v>
      </c>
      <c r="G19098" s="2">
        <v>100</v>
      </c>
      <c r="H19098" s="2">
        <v>608</v>
      </c>
      <c r="I19098" s="2">
        <v>124</v>
      </c>
      <c r="J19098" s="2">
        <v>1947</v>
      </c>
      <c r="K19098" s="2">
        <v>1</v>
      </c>
      <c r="L19098" s="2">
        <v>608</v>
      </c>
    </row>
    <row r="19099" spans="1:12" x14ac:dyDescent="0.25">
      <c r="A19099" s="4" t="str">
        <f>HYPERLINK("http://www.rosaceae.org/Prunus/Prunus_persica/p.persica_gdr_reftransV1_0043798","p.persica_gdr_reftransV1_0043798")</f>
        <v>p.persica_gdr_reftransV1_0043798</v>
      </c>
      <c r="B19099" s="2">
        <v>681</v>
      </c>
      <c r="C19099" s="4" t="str">
        <f>HYPERLINK("http://www.uniprot.org/uniprot/M5XUJ6","M5XUJ6")</f>
        <v>M5XUJ6</v>
      </c>
      <c r="D19099" s="2" t="s">
        <v>4180</v>
      </c>
      <c r="E19099" s="3">
        <v>4.2199999999999997E-80</v>
      </c>
      <c r="F19099" s="2">
        <v>658</v>
      </c>
      <c r="G19099" s="2">
        <v>83</v>
      </c>
      <c r="H19099" s="2">
        <v>157</v>
      </c>
      <c r="I19099" s="2">
        <v>266</v>
      </c>
      <c r="J19099" s="2">
        <v>679</v>
      </c>
      <c r="K19099" s="2">
        <v>270</v>
      </c>
      <c r="L19099" s="2">
        <v>426</v>
      </c>
    </row>
    <row r="19100" spans="1:12" x14ac:dyDescent="0.25">
      <c r="A19100" s="4" t="str">
        <f>HYPERLINK("http://www.rosaceae.org/Prunus/Prunus_persica/p.persica_gdr_reftransV1_0044148","p.persica_gdr_reftransV1_0044148")</f>
        <v>p.persica_gdr_reftransV1_0044148</v>
      </c>
      <c r="B19100" s="2">
        <v>1138</v>
      </c>
      <c r="C19100" s="4" t="str">
        <f>HYPERLINK("http://www.uniprot.org/uniprot/M5WTP5","M5WTP5")</f>
        <v>M5WTP5</v>
      </c>
      <c r="D19100" s="2" t="s">
        <v>12273</v>
      </c>
      <c r="E19100" s="3">
        <v>3.7099999999999998E-157</v>
      </c>
      <c r="F19100" s="2">
        <v>1168</v>
      </c>
      <c r="G19100" s="2">
        <v>100</v>
      </c>
      <c r="H19100" s="2">
        <v>221</v>
      </c>
      <c r="I19100" s="2">
        <v>101</v>
      </c>
      <c r="J19100" s="2">
        <v>763</v>
      </c>
      <c r="K19100" s="2">
        <v>1</v>
      </c>
      <c r="L19100" s="2">
        <v>221</v>
      </c>
    </row>
    <row r="19101" spans="1:12" x14ac:dyDescent="0.25">
      <c r="A19101" s="4" t="str">
        <f>HYPERLINK("http://www.rosaceae.org/Prunus/Prunus_persica/p.persica_gdr_reftransV1_0044498","p.persica_gdr_reftransV1_0044498")</f>
        <v>p.persica_gdr_reftransV1_0044498</v>
      </c>
      <c r="B19101" s="2">
        <v>753</v>
      </c>
      <c r="C19101" s="4" t="str">
        <f>HYPERLINK("http://www.uniprot.org/uniprot/M5WEW3","M5WEW3")</f>
        <v>M5WEW3</v>
      </c>
      <c r="D19101" s="2" t="s">
        <v>14677</v>
      </c>
      <c r="E19101" s="3">
        <v>3.5999999999999998E-121</v>
      </c>
      <c r="F19101" s="2">
        <v>909</v>
      </c>
      <c r="G19101" s="2">
        <v>100</v>
      </c>
      <c r="H19101" s="2">
        <v>169</v>
      </c>
      <c r="I19101" s="2">
        <v>85</v>
      </c>
      <c r="J19101" s="2">
        <v>591</v>
      </c>
      <c r="K19101" s="2">
        <v>1</v>
      </c>
      <c r="L19101" s="2">
        <v>169</v>
      </c>
    </row>
    <row r="19102" spans="1:12" x14ac:dyDescent="0.25">
      <c r="A19102" s="4" t="str">
        <f>HYPERLINK("http://www.rosaceae.org/Prunus/Prunus_persica/p.persica_gdr_reftransV1_0044848","p.persica_gdr_reftransV1_0044848")</f>
        <v>p.persica_gdr_reftransV1_0044848</v>
      </c>
      <c r="B19102" s="2">
        <v>733</v>
      </c>
      <c r="C19102" s="4" t="str">
        <f>HYPERLINK("http://www.uniprot.org/uniprot/M5XIJ1","M5XIJ1")</f>
        <v>M5XIJ1</v>
      </c>
      <c r="D19102" s="2" t="s">
        <v>14678</v>
      </c>
      <c r="E19102" s="3">
        <v>1.08E-43</v>
      </c>
      <c r="F19102" s="2">
        <v>421</v>
      </c>
      <c r="G19102" s="2">
        <v>95</v>
      </c>
      <c r="H19102" s="2">
        <v>82</v>
      </c>
      <c r="I19102" s="2">
        <v>316</v>
      </c>
      <c r="J19102" s="2">
        <v>561</v>
      </c>
      <c r="K19102" s="2">
        <v>679</v>
      </c>
      <c r="L19102" s="2">
        <v>760</v>
      </c>
    </row>
    <row r="19103" spans="1:12" x14ac:dyDescent="0.25">
      <c r="A19103" s="4" t="str">
        <f>HYPERLINK("http://www.rosaceae.org/Prunus/Prunus_persica/p.persica_gdr_reftransV1_0045548","p.persica_gdr_reftransV1_0045548")</f>
        <v>p.persica_gdr_reftransV1_0045548</v>
      </c>
      <c r="B19103" s="2">
        <v>1694</v>
      </c>
      <c r="C19103" s="4" t="str">
        <f>HYPERLINK("http://www.uniprot.org/uniprot/M5XDX5","M5XDX5")</f>
        <v>M5XDX5</v>
      </c>
      <c r="D19103" s="2" t="s">
        <v>3827</v>
      </c>
      <c r="E19103" s="3">
        <v>0</v>
      </c>
      <c r="F19103" s="2">
        <v>1609</v>
      </c>
      <c r="G19103" s="2">
        <v>93</v>
      </c>
      <c r="H19103" s="2">
        <v>332</v>
      </c>
      <c r="I19103" s="2">
        <v>196</v>
      </c>
      <c r="J19103" s="2">
        <v>1191</v>
      </c>
      <c r="K19103" s="2">
        <v>239</v>
      </c>
      <c r="L19103" s="2">
        <v>550</v>
      </c>
    </row>
    <row r="19104" spans="1:12" x14ac:dyDescent="0.25">
      <c r="A19104" s="4" t="str">
        <f>HYPERLINK("http://www.rosaceae.org/Prunus/Prunus_persica/p.persica_gdr_reftransV1_0045898","p.persica_gdr_reftransV1_0045898")</f>
        <v>p.persica_gdr_reftransV1_0045898</v>
      </c>
      <c r="B19104" s="2">
        <v>1934</v>
      </c>
      <c r="C19104" s="4" t="str">
        <f>HYPERLINK("http://www.uniprot.org/uniprot/M5X835","M5X835")</f>
        <v>M5X835</v>
      </c>
      <c r="D19104" s="2" t="s">
        <v>10653</v>
      </c>
      <c r="E19104" s="3">
        <v>0</v>
      </c>
      <c r="F19104" s="2">
        <v>2032</v>
      </c>
      <c r="G19104" s="2">
        <v>100</v>
      </c>
      <c r="H19104" s="2">
        <v>489</v>
      </c>
      <c r="I19104" s="2">
        <v>394</v>
      </c>
      <c r="J19104" s="2">
        <v>1860</v>
      </c>
      <c r="K19104" s="2">
        <v>1</v>
      </c>
      <c r="L19104" s="2">
        <v>489</v>
      </c>
    </row>
    <row r="19105" spans="1:12" x14ac:dyDescent="0.25">
      <c r="A19105" s="4" t="str">
        <f>HYPERLINK("http://www.rosaceae.org/Prunus/Prunus_persica/p.persica_gdr_reftransV1_0046598","p.persica_gdr_reftransV1_0046598")</f>
        <v>p.persica_gdr_reftransV1_0046598</v>
      </c>
      <c r="B19105" s="2">
        <v>949</v>
      </c>
      <c r="C19105" s="4" t="str">
        <f>HYPERLINK("http://www.uniprot.org/uniprot/M5XBL1","M5XBL1")</f>
        <v>M5XBL1</v>
      </c>
      <c r="D19105" s="2" t="s">
        <v>1412</v>
      </c>
      <c r="E19105" s="3">
        <v>0</v>
      </c>
      <c r="F19105" s="2">
        <v>1440</v>
      </c>
      <c r="G19105" s="2">
        <v>100</v>
      </c>
      <c r="H19105" s="2">
        <v>274</v>
      </c>
      <c r="I19105" s="2">
        <v>128</v>
      </c>
      <c r="J19105" s="2">
        <v>949</v>
      </c>
      <c r="K19105" s="2">
        <v>1</v>
      </c>
      <c r="L19105" s="2">
        <v>274</v>
      </c>
    </row>
    <row r="19106" spans="1:12" x14ac:dyDescent="0.25">
      <c r="A19106" s="4" t="str">
        <f>HYPERLINK("http://www.rosaceae.org/Prunus/Prunus_persica/p.persica_gdr_reftransV1_0046948","p.persica_gdr_reftransV1_0046948")</f>
        <v>p.persica_gdr_reftransV1_0046948</v>
      </c>
      <c r="B19106" s="2">
        <v>2495</v>
      </c>
      <c r="C19106" s="4" t="str">
        <f>HYPERLINK("http://www.uniprot.org/uniprot/M5VXJ1","M5VXJ1")</f>
        <v>M5VXJ1</v>
      </c>
      <c r="D19106" s="2" t="s">
        <v>14679</v>
      </c>
      <c r="E19106" s="3">
        <v>0</v>
      </c>
      <c r="F19106" s="2">
        <v>3158</v>
      </c>
      <c r="G19106" s="2">
        <v>100</v>
      </c>
      <c r="H19106" s="2">
        <v>638</v>
      </c>
      <c r="I19106" s="2">
        <v>517</v>
      </c>
      <c r="J19106" s="2">
        <v>2430</v>
      </c>
      <c r="K19106" s="2">
        <v>1</v>
      </c>
      <c r="L19106" s="2">
        <v>638</v>
      </c>
    </row>
    <row r="19107" spans="1:12" x14ac:dyDescent="0.25">
      <c r="A19107" s="4" t="str">
        <f>HYPERLINK("http://www.rosaceae.org/Prunus/Prunus_persica/p.persica_gdr_reftransV1_0047298","p.persica_gdr_reftransV1_0047298")</f>
        <v>p.persica_gdr_reftransV1_0047298</v>
      </c>
      <c r="B19107" s="2">
        <v>784</v>
      </c>
      <c r="C19107" s="4" t="str">
        <f>HYPERLINK("http://www.uniprot.org/uniprot/M5WXV6","M5WXV6")</f>
        <v>M5WXV6</v>
      </c>
      <c r="D19107" s="2" t="s">
        <v>2307</v>
      </c>
      <c r="E19107" s="3">
        <v>0</v>
      </c>
      <c r="F19107" s="2">
        <v>1417</v>
      </c>
      <c r="G19107" s="2">
        <v>100</v>
      </c>
      <c r="H19107" s="2">
        <v>261</v>
      </c>
      <c r="I19107" s="2">
        <v>1</v>
      </c>
      <c r="J19107" s="2">
        <v>783</v>
      </c>
      <c r="K19107" s="2">
        <v>128</v>
      </c>
      <c r="L19107" s="2">
        <v>388</v>
      </c>
    </row>
    <row r="19108" spans="1:12" x14ac:dyDescent="0.25">
      <c r="A19108" s="4" t="str">
        <f>HYPERLINK("http://www.rosaceae.org/Prunus/Prunus_persica/p.persica_gdr_reftransV1_0047648","p.persica_gdr_reftransV1_0047648")</f>
        <v>p.persica_gdr_reftransV1_0047648</v>
      </c>
      <c r="B19108" s="2">
        <v>2304</v>
      </c>
      <c r="C19108" s="4" t="str">
        <f>HYPERLINK("http://www.uniprot.org/uniprot/M5X6T3","M5X6T3")</f>
        <v>M5X6T3</v>
      </c>
      <c r="D19108" s="2" t="s">
        <v>14680</v>
      </c>
      <c r="E19108" s="3">
        <v>0</v>
      </c>
      <c r="F19108" s="2">
        <v>2181</v>
      </c>
      <c r="G19108" s="2">
        <v>100</v>
      </c>
      <c r="H19108" s="2">
        <v>566</v>
      </c>
      <c r="I19108" s="2">
        <v>415</v>
      </c>
      <c r="J19108" s="2">
        <v>2112</v>
      </c>
      <c r="K19108" s="2">
        <v>1</v>
      </c>
      <c r="L19108" s="2">
        <v>566</v>
      </c>
    </row>
    <row r="19109" spans="1:12" x14ac:dyDescent="0.25">
      <c r="A19109" s="4" t="str">
        <f>HYPERLINK("http://www.rosaceae.org/Prunus/Prunus_persica/p.persica_gdr_reftransV1_0047998","p.persica_gdr_reftransV1_0047998")</f>
        <v>p.persica_gdr_reftransV1_0047998</v>
      </c>
      <c r="B19109" s="2">
        <v>882</v>
      </c>
      <c r="C19109" s="4" t="str">
        <f>HYPERLINK("http://www.uniprot.org/uniprot/M5VRD0","M5VRD0")</f>
        <v>M5VRD0</v>
      </c>
      <c r="D19109" s="2" t="s">
        <v>14681</v>
      </c>
      <c r="E19109" s="3">
        <v>5.7100000000000001E-116</v>
      </c>
      <c r="F19109" s="2">
        <v>879</v>
      </c>
      <c r="G19109" s="2">
        <v>100</v>
      </c>
      <c r="H19109" s="2">
        <v>169</v>
      </c>
      <c r="I19109" s="2">
        <v>277</v>
      </c>
      <c r="J19109" s="2">
        <v>783</v>
      </c>
      <c r="K19109" s="2">
        <v>1</v>
      </c>
      <c r="L19109" s="2">
        <v>169</v>
      </c>
    </row>
    <row r="19110" spans="1:12" x14ac:dyDescent="0.25">
      <c r="A19110" s="4" t="str">
        <f>HYPERLINK("http://www.rosaceae.org/Prunus/Prunus_persica/p.persica_gdr_reftransV1_0048348","p.persica_gdr_reftransV1_0048348")</f>
        <v>p.persica_gdr_reftransV1_0048348</v>
      </c>
      <c r="B19110" s="2">
        <v>623</v>
      </c>
      <c r="C19110" s="4" t="str">
        <f>HYPERLINK("http://www.uniprot.org/uniprot/M5WF00","M5WF00")</f>
        <v>M5WF00</v>
      </c>
      <c r="D19110" s="2" t="s">
        <v>14682</v>
      </c>
      <c r="E19110" s="3">
        <v>1.02E-84</v>
      </c>
      <c r="F19110" s="2">
        <v>659</v>
      </c>
      <c r="G19110" s="2">
        <v>100</v>
      </c>
      <c r="H19110" s="2">
        <v>124</v>
      </c>
      <c r="I19110" s="2">
        <v>207</v>
      </c>
      <c r="J19110" s="2">
        <v>578</v>
      </c>
      <c r="K19110" s="2">
        <v>1</v>
      </c>
      <c r="L19110" s="2">
        <v>124</v>
      </c>
    </row>
    <row r="19111" spans="1:12" x14ac:dyDescent="0.25">
      <c r="A19111" s="4" t="str">
        <f>HYPERLINK("http://www.rosaceae.org/Prunus/Prunus_persica/p.persica_gdr_reftransV1_0048698","p.persica_gdr_reftransV1_0048698")</f>
        <v>p.persica_gdr_reftransV1_0048698</v>
      </c>
      <c r="B19111" s="2">
        <v>1490</v>
      </c>
      <c r="C19111" s="4" t="str">
        <f>HYPERLINK("http://www.uniprot.org/uniprot/M1PYJ3","M1PYJ3")</f>
        <v>M1PYJ3</v>
      </c>
      <c r="D19111" s="2" t="s">
        <v>12403</v>
      </c>
      <c r="E19111" s="3">
        <v>0</v>
      </c>
      <c r="F19111" s="2">
        <v>1546</v>
      </c>
      <c r="G19111" s="2">
        <v>100</v>
      </c>
      <c r="H19111" s="2">
        <v>325</v>
      </c>
      <c r="I19111" s="2">
        <v>324</v>
      </c>
      <c r="J19111" s="2">
        <v>1298</v>
      </c>
      <c r="K19111" s="2">
        <v>1</v>
      </c>
      <c r="L19111" s="2">
        <v>325</v>
      </c>
    </row>
    <row r="19112" spans="1:12" x14ac:dyDescent="0.25">
      <c r="A19112" s="4" t="str">
        <f>HYPERLINK("http://www.rosaceae.org/Prunus/Prunus_persica/p.persica_gdr_reftransV1_0000049","p.persica_gdr_reftransV1_0000049")</f>
        <v>p.persica_gdr_reftransV1_0000049</v>
      </c>
      <c r="B19112" s="2">
        <v>1959</v>
      </c>
      <c r="C19112" s="4" t="str">
        <f>HYPERLINK("http://www.uniprot.org/uniprot/M5XC51","M5XC51")</f>
        <v>M5XC51</v>
      </c>
      <c r="D19112" s="2" t="s">
        <v>14683</v>
      </c>
      <c r="E19112" s="3">
        <v>0</v>
      </c>
      <c r="F19112" s="2">
        <v>1749</v>
      </c>
      <c r="G19112" s="2">
        <v>100</v>
      </c>
      <c r="H19112" s="2">
        <v>345</v>
      </c>
      <c r="I19112" s="2">
        <v>923</v>
      </c>
      <c r="J19112" s="2">
        <v>1957</v>
      </c>
      <c r="K19112" s="2">
        <v>1</v>
      </c>
      <c r="L19112" s="2">
        <v>345</v>
      </c>
    </row>
    <row r="19113" spans="1:12" x14ac:dyDescent="0.25">
      <c r="A19113" s="4" t="str">
        <f>HYPERLINK("http://www.rosaceae.org/Prunus/Prunus_persica/p.persica_gdr_reftransV1_0000399","p.persica_gdr_reftransV1_0000399")</f>
        <v>p.persica_gdr_reftransV1_0000399</v>
      </c>
      <c r="B19113" s="2">
        <v>2214</v>
      </c>
      <c r="C19113" s="4" t="str">
        <f>HYPERLINK("http://www.uniprot.org/uniprot/M5WEQ0","M5WEQ0")</f>
        <v>M5WEQ0</v>
      </c>
      <c r="D19113" s="2" t="s">
        <v>14367</v>
      </c>
      <c r="E19113" s="3">
        <v>0</v>
      </c>
      <c r="F19113" s="2">
        <v>2462</v>
      </c>
      <c r="G19113" s="2">
        <v>100</v>
      </c>
      <c r="H19113" s="2">
        <v>479</v>
      </c>
      <c r="I19113" s="2">
        <v>183</v>
      </c>
      <c r="J19113" s="2">
        <v>1619</v>
      </c>
      <c r="K19113" s="2">
        <v>1</v>
      </c>
      <c r="L19113" s="2">
        <v>479</v>
      </c>
    </row>
    <row r="19114" spans="1:12" x14ac:dyDescent="0.25">
      <c r="A19114" s="4" t="str">
        <f>HYPERLINK("http://www.rosaceae.org/Prunus/Prunus_persica/p.persica_gdr_reftransV1_0001799","p.persica_gdr_reftransV1_0001799")</f>
        <v>p.persica_gdr_reftransV1_0001799</v>
      </c>
      <c r="B19114" s="2">
        <v>384</v>
      </c>
      <c r="C19114" s="4" t="str">
        <f>HYPERLINK("http://www.uniprot.org/uniprot/E6YCZ8","E6YCZ8")</f>
        <v>E6YCZ8</v>
      </c>
      <c r="D19114" s="2" t="s">
        <v>13737</v>
      </c>
      <c r="E19114" s="3">
        <v>9.9100000000000003E-51</v>
      </c>
      <c r="F19114" s="2">
        <v>467</v>
      </c>
      <c r="G19114" s="2">
        <v>72</v>
      </c>
      <c r="H19114" s="2">
        <v>123</v>
      </c>
      <c r="I19114" s="2">
        <v>14</v>
      </c>
      <c r="J19114" s="2">
        <v>382</v>
      </c>
      <c r="K19114" s="2">
        <v>1164</v>
      </c>
      <c r="L19114" s="2">
        <v>1286</v>
      </c>
    </row>
    <row r="19115" spans="1:12" x14ac:dyDescent="0.25">
      <c r="A19115" s="4" t="str">
        <f>HYPERLINK("http://www.rosaceae.org/Prunus/Prunus_persica/p.persica_gdr_reftransV1_0002149","p.persica_gdr_reftransV1_0002149")</f>
        <v>p.persica_gdr_reftransV1_0002149</v>
      </c>
      <c r="B19115" s="2">
        <v>2235</v>
      </c>
      <c r="C19115" s="4" t="str">
        <f>HYPERLINK("http://www.uniprot.org/uniprot/M5WCD0","M5WCD0")</f>
        <v>M5WCD0</v>
      </c>
      <c r="D19115" s="2" t="s">
        <v>5390</v>
      </c>
      <c r="E19115" s="3">
        <v>0</v>
      </c>
      <c r="F19115" s="2">
        <v>2799</v>
      </c>
      <c r="G19115" s="2">
        <v>92</v>
      </c>
      <c r="H19115" s="2">
        <v>626</v>
      </c>
      <c r="I19115" s="2">
        <v>3</v>
      </c>
      <c r="J19115" s="2">
        <v>1880</v>
      </c>
      <c r="K19115" s="2">
        <v>443</v>
      </c>
      <c r="L19115" s="2">
        <v>1021</v>
      </c>
    </row>
    <row r="19116" spans="1:12" x14ac:dyDescent="0.25">
      <c r="A19116" s="4" t="str">
        <f>HYPERLINK("http://www.rosaceae.org/Prunus/Prunus_persica/p.persica_gdr_reftransV1_0002499","p.persica_gdr_reftransV1_0002499")</f>
        <v>p.persica_gdr_reftransV1_0002499</v>
      </c>
      <c r="B19116" s="2">
        <v>2740</v>
      </c>
      <c r="C19116" s="4" t="str">
        <f>HYPERLINK("http://www.uniprot.org/uniprot/M5WFJ5","M5WFJ5")</f>
        <v>M5WFJ5</v>
      </c>
      <c r="D19116" s="2" t="s">
        <v>14684</v>
      </c>
      <c r="E19116" s="3">
        <v>0</v>
      </c>
      <c r="F19116" s="2">
        <v>2432</v>
      </c>
      <c r="G19116" s="2">
        <v>98</v>
      </c>
      <c r="H19116" s="2">
        <v>683</v>
      </c>
      <c r="I19116" s="2">
        <v>121</v>
      </c>
      <c r="J19116" s="2">
        <v>2169</v>
      </c>
      <c r="K19116" s="2">
        <v>1</v>
      </c>
      <c r="L19116" s="2">
        <v>669</v>
      </c>
    </row>
    <row r="19117" spans="1:12" x14ac:dyDescent="0.25">
      <c r="A19117" s="4" t="str">
        <f>HYPERLINK("http://www.rosaceae.org/Prunus/Prunus_persica/p.persica_gdr_reftransV1_0002849","p.persica_gdr_reftransV1_0002849")</f>
        <v>p.persica_gdr_reftransV1_0002849</v>
      </c>
      <c r="B19117" s="2">
        <v>676</v>
      </c>
      <c r="C19117" s="4" t="str">
        <f>HYPERLINK("http://www.uniprot.org/uniprot/M5WS65","M5WS65")</f>
        <v>M5WS65</v>
      </c>
      <c r="D19117" s="2" t="s">
        <v>5253</v>
      </c>
      <c r="E19117" s="3">
        <v>3.02E-105</v>
      </c>
      <c r="F19117" s="2">
        <v>885</v>
      </c>
      <c r="G19117" s="2">
        <v>84</v>
      </c>
      <c r="H19117" s="2">
        <v>225</v>
      </c>
      <c r="I19117" s="2">
        <v>2</v>
      </c>
      <c r="J19117" s="2">
        <v>676</v>
      </c>
      <c r="K19117" s="2">
        <v>893</v>
      </c>
      <c r="L19117" s="2">
        <v>1082</v>
      </c>
    </row>
    <row r="19118" spans="1:12" x14ac:dyDescent="0.25">
      <c r="A19118" s="4" t="str">
        <f>HYPERLINK("http://www.rosaceae.org/Prunus/Prunus_persica/p.persica_gdr_reftransV1_0003899","p.persica_gdr_reftransV1_0003899")</f>
        <v>p.persica_gdr_reftransV1_0003899</v>
      </c>
      <c r="B19118" s="2">
        <v>1555</v>
      </c>
      <c r="C19118" s="4" t="str">
        <f>HYPERLINK("http://www.uniprot.org/uniprot/M5X6C0","M5X6C0")</f>
        <v>M5X6C0</v>
      </c>
      <c r="D19118" s="2" t="s">
        <v>4985</v>
      </c>
      <c r="E19118" s="3">
        <v>0</v>
      </c>
      <c r="F19118" s="2">
        <v>1436</v>
      </c>
      <c r="G19118" s="2">
        <v>92</v>
      </c>
      <c r="H19118" s="2">
        <v>389</v>
      </c>
      <c r="I19118" s="2">
        <v>332</v>
      </c>
      <c r="J19118" s="2">
        <v>1498</v>
      </c>
      <c r="K19118" s="2">
        <v>1</v>
      </c>
      <c r="L19118" s="2">
        <v>377</v>
      </c>
    </row>
    <row r="19119" spans="1:12" x14ac:dyDescent="0.25">
      <c r="A19119" s="4" t="str">
        <f>HYPERLINK("http://www.rosaceae.org/Prunus/Prunus_persica/p.persica_gdr_reftransV1_0004599","p.persica_gdr_reftransV1_0004599")</f>
        <v>p.persica_gdr_reftransV1_0004599</v>
      </c>
      <c r="B19119" s="2">
        <v>2229</v>
      </c>
      <c r="C19119" s="4" t="str">
        <f>HYPERLINK("http://www.uniprot.org/uniprot/M5WIB0","M5WIB0")</f>
        <v>M5WIB0</v>
      </c>
      <c r="D19119" s="2" t="s">
        <v>11583</v>
      </c>
      <c r="E19119" s="3">
        <v>4.3400000000000002E-144</v>
      </c>
      <c r="F19119" s="2">
        <v>1054</v>
      </c>
      <c r="G19119" s="2">
        <v>84</v>
      </c>
      <c r="H19119" s="2">
        <v>240</v>
      </c>
      <c r="I19119" s="2">
        <v>941</v>
      </c>
      <c r="J19119" s="2">
        <v>1660</v>
      </c>
      <c r="K19119" s="2">
        <v>1</v>
      </c>
      <c r="L19119" s="2">
        <v>203</v>
      </c>
    </row>
    <row r="19120" spans="1:12" x14ac:dyDescent="0.25">
      <c r="A19120" s="4" t="str">
        <f>HYPERLINK("http://www.rosaceae.org/Prunus/Prunus_persica/p.persica_gdr_reftransV1_0005299","p.persica_gdr_reftransV1_0005299")</f>
        <v>p.persica_gdr_reftransV1_0005299</v>
      </c>
      <c r="B19120" s="2">
        <v>610</v>
      </c>
      <c r="C19120" s="4" t="str">
        <f>HYPERLINK("http://www.uniprot.org/uniprot/M5VVF5","M5VVF5")</f>
        <v>M5VVF5</v>
      </c>
      <c r="D19120" s="2" t="s">
        <v>14685</v>
      </c>
      <c r="E19120" s="3">
        <v>1.3900000000000001E-51</v>
      </c>
      <c r="F19120" s="2">
        <v>465</v>
      </c>
      <c r="G19120" s="2">
        <v>97</v>
      </c>
      <c r="H19120" s="2">
        <v>112</v>
      </c>
      <c r="I19120" s="2">
        <v>274</v>
      </c>
      <c r="J19120" s="2">
        <v>609</v>
      </c>
      <c r="K19120" s="2">
        <v>343</v>
      </c>
      <c r="L19120" s="2">
        <v>454</v>
      </c>
    </row>
    <row r="19121" spans="1:12" x14ac:dyDescent="0.25">
      <c r="A19121" s="4" t="str">
        <f>HYPERLINK("http://www.rosaceae.org/Prunus/Prunus_persica/p.persica_gdr_reftransV1_0005649","p.persica_gdr_reftransV1_0005649")</f>
        <v>p.persica_gdr_reftransV1_0005649</v>
      </c>
      <c r="B19121" s="2">
        <v>726</v>
      </c>
      <c r="C19121" s="4" t="str">
        <f>HYPERLINK("http://www.uniprot.org/uniprot/F6HAL3","F6HAL3")</f>
        <v>F6HAL3</v>
      </c>
      <c r="D19121" s="2" t="s">
        <v>14686</v>
      </c>
      <c r="E19121" s="3">
        <v>6.3900000000000003E-55</v>
      </c>
      <c r="F19121" s="2">
        <v>496</v>
      </c>
      <c r="G19121" s="2">
        <v>72</v>
      </c>
      <c r="H19121" s="2">
        <v>127</v>
      </c>
      <c r="I19121" s="2">
        <v>344</v>
      </c>
      <c r="J19121" s="2">
        <v>724</v>
      </c>
      <c r="K19121" s="2">
        <v>415</v>
      </c>
      <c r="L19121" s="2">
        <v>540</v>
      </c>
    </row>
    <row r="19122" spans="1:12" x14ac:dyDescent="0.25">
      <c r="A19122" s="4" t="str">
        <f>HYPERLINK("http://www.rosaceae.org/Prunus/Prunus_persica/p.persica_gdr_reftransV1_0006699","p.persica_gdr_reftransV1_0006699")</f>
        <v>p.persica_gdr_reftransV1_0006699</v>
      </c>
      <c r="B19122" s="2">
        <v>674</v>
      </c>
      <c r="C19122" s="4" t="str">
        <f>HYPERLINK("http://www.uniprot.org/uniprot/M5VKE5","M5VKE5")</f>
        <v>M5VKE5</v>
      </c>
      <c r="D19122" s="2" t="s">
        <v>14687</v>
      </c>
      <c r="E19122" s="3">
        <v>1.2500000000000001E-157</v>
      </c>
      <c r="F19122" s="2">
        <v>1163</v>
      </c>
      <c r="G19122" s="2">
        <v>100</v>
      </c>
      <c r="H19122" s="2">
        <v>219</v>
      </c>
      <c r="I19122" s="2">
        <v>17</v>
      </c>
      <c r="J19122" s="2">
        <v>673</v>
      </c>
      <c r="K19122" s="2">
        <v>118</v>
      </c>
      <c r="L19122" s="2">
        <v>336</v>
      </c>
    </row>
    <row r="19123" spans="1:12" x14ac:dyDescent="0.25">
      <c r="A19123" s="4" t="str">
        <f>HYPERLINK("http://www.rosaceae.org/Prunus/Prunus_persica/p.persica_gdr_reftransV1_0007049","p.persica_gdr_reftransV1_0007049")</f>
        <v>p.persica_gdr_reftransV1_0007049</v>
      </c>
      <c r="B19123" s="2">
        <v>655</v>
      </c>
      <c r="C19123" s="4" t="str">
        <f>HYPERLINK("http://www.uniprot.org/uniprot/A0A0B2S6V7","A0A0B2S6V7")</f>
        <v>A0A0B2S6V7</v>
      </c>
      <c r="D19123" s="2" t="s">
        <v>14688</v>
      </c>
      <c r="E19123" s="3">
        <v>9.1899999999999999E-29</v>
      </c>
      <c r="F19123" s="2">
        <v>290</v>
      </c>
      <c r="G19123" s="2">
        <v>39</v>
      </c>
      <c r="H19123" s="2">
        <v>161</v>
      </c>
      <c r="I19123" s="2">
        <v>113</v>
      </c>
      <c r="J19123" s="2">
        <v>586</v>
      </c>
      <c r="K19123" s="2">
        <v>1</v>
      </c>
      <c r="L19123" s="2">
        <v>151</v>
      </c>
    </row>
    <row r="19124" spans="1:12" x14ac:dyDescent="0.25">
      <c r="A19124" s="4" t="str">
        <f>HYPERLINK("http://www.rosaceae.org/Prunus/Prunus_persica/p.persica_gdr_reftransV1_0007749","p.persica_gdr_reftransV1_0007749")</f>
        <v>p.persica_gdr_reftransV1_0007749</v>
      </c>
      <c r="B19124" s="2">
        <v>1071</v>
      </c>
      <c r="C19124" s="4" t="str">
        <f>HYPERLINK("http://www.uniprot.org/uniprot/M5VTH7","M5VTH7")</f>
        <v>M5VTH7</v>
      </c>
      <c r="D19124" s="2" t="s">
        <v>10078</v>
      </c>
      <c r="E19124" s="3">
        <v>9.9499999999999992E-37</v>
      </c>
      <c r="F19124" s="2">
        <v>369</v>
      </c>
      <c r="G19124" s="2">
        <v>78</v>
      </c>
      <c r="H19124" s="2">
        <v>98</v>
      </c>
      <c r="I19124" s="2">
        <v>609</v>
      </c>
      <c r="J19124" s="2">
        <v>902</v>
      </c>
      <c r="K19124" s="2">
        <v>267</v>
      </c>
      <c r="L19124" s="2">
        <v>360</v>
      </c>
    </row>
    <row r="19125" spans="1:12" x14ac:dyDescent="0.25">
      <c r="A19125" s="4" t="str">
        <f>HYPERLINK("http://www.rosaceae.org/Prunus/Prunus_persica/p.persica_gdr_reftransV1_0008449","p.persica_gdr_reftransV1_0008449")</f>
        <v>p.persica_gdr_reftransV1_0008449</v>
      </c>
      <c r="B19125" s="2">
        <v>1342</v>
      </c>
      <c r="C19125" s="4" t="str">
        <f>HYPERLINK("http://www.uniprot.org/uniprot/M5VWG7","M5VWG7")</f>
        <v>M5VWG7</v>
      </c>
      <c r="D19125" s="2" t="s">
        <v>10973</v>
      </c>
      <c r="E19125" s="3">
        <v>0</v>
      </c>
      <c r="F19125" s="2">
        <v>1629</v>
      </c>
      <c r="G19125" s="2">
        <v>100</v>
      </c>
      <c r="H19125" s="2">
        <v>351</v>
      </c>
      <c r="I19125" s="2">
        <v>1</v>
      </c>
      <c r="J19125" s="2">
        <v>1053</v>
      </c>
      <c r="K19125" s="2">
        <v>174</v>
      </c>
      <c r="L19125" s="2">
        <v>524</v>
      </c>
    </row>
    <row r="19126" spans="1:12" x14ac:dyDescent="0.25">
      <c r="A19126" s="4" t="str">
        <f>HYPERLINK("http://www.rosaceae.org/Prunus/Prunus_persica/p.persica_gdr_reftransV1_0009149","p.persica_gdr_reftransV1_0009149")</f>
        <v>p.persica_gdr_reftransV1_0009149</v>
      </c>
      <c r="B19126" s="2">
        <v>1433</v>
      </c>
      <c r="C19126" s="4" t="str">
        <f>HYPERLINK("http://www.uniprot.org/uniprot/M5XE77","M5XE77")</f>
        <v>M5XE77</v>
      </c>
      <c r="D19126" s="2" t="s">
        <v>14689</v>
      </c>
      <c r="E19126" s="3">
        <v>0</v>
      </c>
      <c r="F19126" s="2">
        <v>1465</v>
      </c>
      <c r="G19126" s="2">
        <v>100</v>
      </c>
      <c r="H19126" s="2">
        <v>327</v>
      </c>
      <c r="I19126" s="2">
        <v>44</v>
      </c>
      <c r="J19126" s="2">
        <v>1024</v>
      </c>
      <c r="K19126" s="2">
        <v>1</v>
      </c>
      <c r="L19126" s="2">
        <v>327</v>
      </c>
    </row>
    <row r="19127" spans="1:12" x14ac:dyDescent="0.25">
      <c r="A19127" s="4" t="str">
        <f>HYPERLINK("http://www.rosaceae.org/Prunus/Prunus_persica/p.persica_gdr_reftransV1_0009499","p.persica_gdr_reftransV1_0009499")</f>
        <v>p.persica_gdr_reftransV1_0009499</v>
      </c>
      <c r="B19127" s="2">
        <v>3036</v>
      </c>
      <c r="C19127" s="4" t="str">
        <f>HYPERLINK("http://www.uniprot.org/uniprot/M5XBJ5","M5XBJ5")</f>
        <v>M5XBJ5</v>
      </c>
      <c r="D19127" s="2" t="s">
        <v>14690</v>
      </c>
      <c r="E19127" s="3">
        <v>0</v>
      </c>
      <c r="F19127" s="2">
        <v>4181</v>
      </c>
      <c r="G19127" s="2">
        <v>100</v>
      </c>
      <c r="H19127" s="2">
        <v>830</v>
      </c>
      <c r="I19127" s="2">
        <v>285</v>
      </c>
      <c r="J19127" s="2">
        <v>2774</v>
      </c>
      <c r="K19127" s="2">
        <v>1</v>
      </c>
      <c r="L19127" s="2">
        <v>830</v>
      </c>
    </row>
    <row r="19128" spans="1:12" x14ac:dyDescent="0.25">
      <c r="A19128" s="4" t="str">
        <f>HYPERLINK("http://www.rosaceae.org/Prunus/Prunus_persica/p.persica_gdr_reftransV1_0009849","p.persica_gdr_reftransV1_0009849")</f>
        <v>p.persica_gdr_reftransV1_0009849</v>
      </c>
      <c r="B19128" s="2">
        <v>1915</v>
      </c>
      <c r="C19128" s="4" t="str">
        <f>HYPERLINK("http://www.uniprot.org/uniprot/M5W2L5","M5W2L5")</f>
        <v>M5W2L5</v>
      </c>
      <c r="D19128" s="2" t="s">
        <v>14691</v>
      </c>
      <c r="E19128" s="3">
        <v>0</v>
      </c>
      <c r="F19128" s="2">
        <v>2336</v>
      </c>
      <c r="G19128" s="2">
        <v>100</v>
      </c>
      <c r="H19128" s="2">
        <v>472</v>
      </c>
      <c r="I19128" s="2">
        <v>193</v>
      </c>
      <c r="J19128" s="2">
        <v>1608</v>
      </c>
      <c r="K19128" s="2">
        <v>1</v>
      </c>
      <c r="L19128" s="2">
        <v>472</v>
      </c>
    </row>
    <row r="19129" spans="1:12" x14ac:dyDescent="0.25">
      <c r="A19129" s="4" t="str">
        <f>HYPERLINK("http://www.rosaceae.org/Prunus/Prunus_persica/p.persica_gdr_reftransV1_0010899","p.persica_gdr_reftransV1_0010899")</f>
        <v>p.persica_gdr_reftransV1_0010899</v>
      </c>
      <c r="B19129" s="2">
        <v>1319</v>
      </c>
      <c r="C19129" s="4" t="str">
        <f>HYPERLINK("http://www.uniprot.org/uniprot/M5XIL8","M5XIL8")</f>
        <v>M5XIL8</v>
      </c>
      <c r="D19129" s="2" t="s">
        <v>14692</v>
      </c>
      <c r="E19129" s="3">
        <v>0</v>
      </c>
      <c r="F19129" s="2">
        <v>1652</v>
      </c>
      <c r="G19129" s="2">
        <v>100</v>
      </c>
      <c r="H19129" s="2">
        <v>328</v>
      </c>
      <c r="I19129" s="2">
        <v>196</v>
      </c>
      <c r="J19129" s="2">
        <v>1179</v>
      </c>
      <c r="K19129" s="2">
        <v>4</v>
      </c>
      <c r="L19129" s="2">
        <v>331</v>
      </c>
    </row>
    <row r="19130" spans="1:12" x14ac:dyDescent="0.25">
      <c r="A19130" s="4" t="str">
        <f>HYPERLINK("http://www.rosaceae.org/Prunus/Prunus_persica/p.persica_gdr_reftransV1_0011249","p.persica_gdr_reftransV1_0011249")</f>
        <v>p.persica_gdr_reftransV1_0011249</v>
      </c>
      <c r="B19130" s="2">
        <v>1835</v>
      </c>
      <c r="C19130" s="4" t="str">
        <f>HYPERLINK("http://www.uniprot.org/uniprot/M5XXZ8","M5XXZ8")</f>
        <v>M5XXZ8</v>
      </c>
      <c r="D19130" s="2" t="s">
        <v>6525</v>
      </c>
      <c r="E19130" s="3">
        <v>0</v>
      </c>
      <c r="F19130" s="2">
        <v>2458</v>
      </c>
      <c r="G19130" s="2">
        <v>92</v>
      </c>
      <c r="H19130" s="2">
        <v>497</v>
      </c>
      <c r="I19130" s="2">
        <v>155</v>
      </c>
      <c r="J19130" s="2">
        <v>1639</v>
      </c>
      <c r="K19130" s="2">
        <v>116</v>
      </c>
      <c r="L19130" s="2">
        <v>612</v>
      </c>
    </row>
    <row r="19131" spans="1:12" x14ac:dyDescent="0.25">
      <c r="A19131" s="4" t="str">
        <f>HYPERLINK("http://www.rosaceae.org/Prunus/Prunus_persica/p.persica_gdr_reftransV1_0011949","p.persica_gdr_reftransV1_0011949")</f>
        <v>p.persica_gdr_reftransV1_0011949</v>
      </c>
      <c r="B19131" s="2">
        <v>1735</v>
      </c>
      <c r="C19131" s="4" t="str">
        <f>HYPERLINK("http://www.uniprot.org/uniprot/M5WUH4","M5WUH4")</f>
        <v>M5WUH4</v>
      </c>
      <c r="D19131" s="2" t="s">
        <v>14693</v>
      </c>
      <c r="E19131" s="3">
        <v>0</v>
      </c>
      <c r="F19131" s="2">
        <v>1933</v>
      </c>
      <c r="G19131" s="2">
        <v>100</v>
      </c>
      <c r="H19131" s="2">
        <v>386</v>
      </c>
      <c r="I19131" s="2">
        <v>460</v>
      </c>
      <c r="J19131" s="2">
        <v>1617</v>
      </c>
      <c r="K19131" s="2">
        <v>1</v>
      </c>
      <c r="L19131" s="2">
        <v>386</v>
      </c>
    </row>
    <row r="19132" spans="1:12" x14ac:dyDescent="0.25">
      <c r="A19132" s="4" t="str">
        <f>HYPERLINK("http://www.rosaceae.org/Prunus/Prunus_persica/p.persica_gdr_reftransV1_0012649","p.persica_gdr_reftransV1_0012649")</f>
        <v>p.persica_gdr_reftransV1_0012649</v>
      </c>
      <c r="B19132" s="2">
        <v>1106</v>
      </c>
      <c r="C19132" s="4" t="str">
        <f>HYPERLINK("http://www.uniprot.org/uniprot/M5WI14","M5WI14")</f>
        <v>M5WI14</v>
      </c>
      <c r="D19132" s="2" t="s">
        <v>14694</v>
      </c>
      <c r="E19132" s="3">
        <v>4.8800000000000002E-88</v>
      </c>
      <c r="F19132" s="2">
        <v>702</v>
      </c>
      <c r="G19132" s="2">
        <v>99</v>
      </c>
      <c r="H19132" s="2">
        <v>143</v>
      </c>
      <c r="I19132" s="2">
        <v>599</v>
      </c>
      <c r="J19132" s="2">
        <v>1027</v>
      </c>
      <c r="K19132" s="2">
        <v>1</v>
      </c>
      <c r="L19132" s="2">
        <v>143</v>
      </c>
    </row>
    <row r="19133" spans="1:12" x14ac:dyDescent="0.25">
      <c r="A19133" s="4" t="str">
        <f>HYPERLINK("http://www.rosaceae.org/Prunus/Prunus_persica/p.persica_gdr_reftransV1_0014399","p.persica_gdr_reftransV1_0014399")</f>
        <v>p.persica_gdr_reftransV1_0014399</v>
      </c>
      <c r="B19133" s="2">
        <v>2475</v>
      </c>
      <c r="C19133" s="4" t="str">
        <f>HYPERLINK("http://www.uniprot.org/uniprot/M5XMG9","M5XMG9")</f>
        <v>M5XMG9</v>
      </c>
      <c r="D19133" s="2" t="s">
        <v>14695</v>
      </c>
      <c r="E19133" s="3">
        <v>0</v>
      </c>
      <c r="F19133" s="2">
        <v>2563</v>
      </c>
      <c r="G19133" s="2">
        <v>100</v>
      </c>
      <c r="H19133" s="2">
        <v>494</v>
      </c>
      <c r="I19133" s="2">
        <v>694</v>
      </c>
      <c r="J19133" s="2">
        <v>2175</v>
      </c>
      <c r="K19133" s="2">
        <v>1</v>
      </c>
      <c r="L19133" s="2">
        <v>494</v>
      </c>
    </row>
    <row r="19134" spans="1:12" x14ac:dyDescent="0.25">
      <c r="A19134" s="4" t="str">
        <f>HYPERLINK("http://www.rosaceae.org/Prunus/Prunus_persica/p.persica_gdr_reftransV1_0015099","p.persica_gdr_reftransV1_0015099")</f>
        <v>p.persica_gdr_reftransV1_0015099</v>
      </c>
      <c r="B19134" s="2">
        <v>2061</v>
      </c>
      <c r="C19134" s="4" t="str">
        <f>HYPERLINK("http://www.uniprot.org/uniprot/M5VVI9","M5VVI9")</f>
        <v>M5VVI9</v>
      </c>
      <c r="D19134" s="2" t="s">
        <v>863</v>
      </c>
      <c r="E19134" s="3">
        <v>4.4499999999999996E-115</v>
      </c>
      <c r="F19134" s="2">
        <v>898</v>
      </c>
      <c r="G19134" s="2">
        <v>100</v>
      </c>
      <c r="H19134" s="2">
        <v>195</v>
      </c>
      <c r="I19134" s="2">
        <v>1056</v>
      </c>
      <c r="J19134" s="2">
        <v>1640</v>
      </c>
      <c r="K19134" s="2">
        <v>1</v>
      </c>
      <c r="L19134" s="2">
        <v>195</v>
      </c>
    </row>
    <row r="19135" spans="1:12" x14ac:dyDescent="0.25">
      <c r="A19135" s="4" t="str">
        <f>HYPERLINK("http://www.rosaceae.org/Prunus/Prunus_persica/p.persica_gdr_reftransV1_0015799","p.persica_gdr_reftransV1_0015799")</f>
        <v>p.persica_gdr_reftransV1_0015799</v>
      </c>
      <c r="B19135" s="2">
        <v>1096</v>
      </c>
      <c r="C19135" s="4" t="str">
        <f>HYPERLINK("http://www.uniprot.org/uniprot/M5XFB5","M5XFB5")</f>
        <v>M5XFB5</v>
      </c>
      <c r="D19135" s="2" t="s">
        <v>8216</v>
      </c>
      <c r="E19135" s="3">
        <v>7.4000000000000002E-49</v>
      </c>
      <c r="F19135" s="2">
        <v>443</v>
      </c>
      <c r="G19135" s="2">
        <v>97</v>
      </c>
      <c r="H19135" s="2">
        <v>127</v>
      </c>
      <c r="I19135" s="2">
        <v>615</v>
      </c>
      <c r="J19135" s="2">
        <v>995</v>
      </c>
      <c r="K19135" s="2">
        <v>47</v>
      </c>
      <c r="L19135" s="2">
        <v>173</v>
      </c>
    </row>
    <row r="19136" spans="1:12" x14ac:dyDescent="0.25">
      <c r="A19136" s="4" t="str">
        <f>HYPERLINK("http://www.rosaceae.org/Prunus/Prunus_persica/p.persica_gdr_reftransV1_0018249","p.persica_gdr_reftransV1_0018249")</f>
        <v>p.persica_gdr_reftransV1_0018249</v>
      </c>
      <c r="B19136" s="2">
        <v>987</v>
      </c>
      <c r="C19136" s="4" t="str">
        <f>HYPERLINK("http://www.uniprot.org/uniprot/M5XL13","M5XL13")</f>
        <v>M5XL13</v>
      </c>
      <c r="D19136" s="2" t="s">
        <v>14696</v>
      </c>
      <c r="E19136" s="3">
        <v>2.7000000000000002E-68</v>
      </c>
      <c r="F19136" s="2">
        <v>566</v>
      </c>
      <c r="G19136" s="2">
        <v>100</v>
      </c>
      <c r="H19136" s="2">
        <v>160</v>
      </c>
      <c r="I19136" s="2">
        <v>344</v>
      </c>
      <c r="J19136" s="2">
        <v>823</v>
      </c>
      <c r="K19136" s="2">
        <v>1</v>
      </c>
      <c r="L19136" s="2">
        <v>160</v>
      </c>
    </row>
    <row r="19137" spans="1:12" x14ac:dyDescent="0.25">
      <c r="A19137" s="4" t="str">
        <f>HYPERLINK("http://www.rosaceae.org/Prunus/Prunus_persica/p.persica_gdr_reftransV1_0018599","p.persica_gdr_reftransV1_0018599")</f>
        <v>p.persica_gdr_reftransV1_0018599</v>
      </c>
      <c r="B19137" s="2">
        <v>637</v>
      </c>
      <c r="C19137" s="4" t="str">
        <f>HYPERLINK("http://www.uniprot.org/uniprot/M5WXE7","M5WXE7")</f>
        <v>M5WXE7</v>
      </c>
      <c r="D19137" s="2" t="s">
        <v>8738</v>
      </c>
      <c r="E19137" s="3">
        <v>9.1800000000000006E-140</v>
      </c>
      <c r="F19137" s="2">
        <v>1068</v>
      </c>
      <c r="G19137" s="2">
        <v>100</v>
      </c>
      <c r="H19137" s="2">
        <v>212</v>
      </c>
      <c r="I19137" s="2">
        <v>1</v>
      </c>
      <c r="J19137" s="2">
        <v>636</v>
      </c>
      <c r="K19137" s="2">
        <v>289</v>
      </c>
      <c r="L19137" s="2">
        <v>500</v>
      </c>
    </row>
    <row r="19138" spans="1:12" x14ac:dyDescent="0.25">
      <c r="A19138" s="4" t="str">
        <f>HYPERLINK("http://www.rosaceae.org/Prunus/Prunus_persica/p.persica_gdr_reftransV1_0019299","p.persica_gdr_reftransV1_0019299")</f>
        <v>p.persica_gdr_reftransV1_0019299</v>
      </c>
      <c r="B19138" s="2">
        <v>5784</v>
      </c>
      <c r="C19138" s="4" t="str">
        <f>HYPERLINK("http://www.uniprot.org/uniprot/M5VT70","M5VT70")</f>
        <v>M5VT70</v>
      </c>
      <c r="D19138" s="2" t="s">
        <v>14697</v>
      </c>
      <c r="E19138" s="3">
        <v>0</v>
      </c>
      <c r="F19138" s="2">
        <v>8612</v>
      </c>
      <c r="G19138" s="2">
        <v>100</v>
      </c>
      <c r="H19138" s="2">
        <v>1619</v>
      </c>
      <c r="I19138" s="2">
        <v>597</v>
      </c>
      <c r="J19138" s="2">
        <v>5453</v>
      </c>
      <c r="K19138" s="2">
        <v>7</v>
      </c>
      <c r="L19138" s="2">
        <v>1625</v>
      </c>
    </row>
    <row r="19139" spans="1:12" x14ac:dyDescent="0.25">
      <c r="A19139" s="4" t="str">
        <f>HYPERLINK("http://www.rosaceae.org/Prunus/Prunus_persica/p.persica_gdr_reftransV1_0019649","p.persica_gdr_reftransV1_0019649")</f>
        <v>p.persica_gdr_reftransV1_0019649</v>
      </c>
      <c r="B19139" s="2">
        <v>1037</v>
      </c>
      <c r="C19139" s="4" t="str">
        <f>HYPERLINK("http://www.uniprot.org/uniprot/M5WIK5","M5WIK5")</f>
        <v>M5WIK5</v>
      </c>
      <c r="D19139" s="2" t="s">
        <v>14698</v>
      </c>
      <c r="E19139" s="3">
        <v>2.8800000000000001E-67</v>
      </c>
      <c r="F19139" s="2">
        <v>572</v>
      </c>
      <c r="G19139" s="2">
        <v>99</v>
      </c>
      <c r="H19139" s="2">
        <v>105</v>
      </c>
      <c r="I19139" s="2">
        <v>722</v>
      </c>
      <c r="J19139" s="2">
        <v>1036</v>
      </c>
      <c r="K19139" s="2">
        <v>125</v>
      </c>
      <c r="L19139" s="2">
        <v>229</v>
      </c>
    </row>
    <row r="19140" spans="1:12" x14ac:dyDescent="0.25">
      <c r="A19140" s="4" t="str">
        <f>HYPERLINK("http://www.rosaceae.org/Prunus/Prunus_persica/p.persica_gdr_reftransV1_0021399","p.persica_gdr_reftransV1_0021399")</f>
        <v>p.persica_gdr_reftransV1_0021399</v>
      </c>
      <c r="B19140" s="2">
        <v>1639</v>
      </c>
      <c r="C19140" s="4" t="str">
        <f>HYPERLINK("http://www.uniprot.org/uniprot/M5W8R1","M5W8R1")</f>
        <v>M5W8R1</v>
      </c>
      <c r="D19140" s="2" t="s">
        <v>12702</v>
      </c>
      <c r="E19140" s="3">
        <v>0</v>
      </c>
      <c r="F19140" s="2">
        <v>1547</v>
      </c>
      <c r="G19140" s="2">
        <v>95</v>
      </c>
      <c r="H19140" s="2">
        <v>304</v>
      </c>
      <c r="I19140" s="2">
        <v>510</v>
      </c>
      <c r="J19140" s="2">
        <v>1400</v>
      </c>
      <c r="K19140" s="2">
        <v>164</v>
      </c>
      <c r="L19140" s="2">
        <v>467</v>
      </c>
    </row>
    <row r="19141" spans="1:12" x14ac:dyDescent="0.25">
      <c r="A19141" s="4" t="str">
        <f>HYPERLINK("http://www.rosaceae.org/Prunus/Prunus_persica/p.persica_gdr_reftransV1_0023849","p.persica_gdr_reftransV1_0023849")</f>
        <v>p.persica_gdr_reftransV1_0023849</v>
      </c>
      <c r="B19141" s="2">
        <v>1438</v>
      </c>
      <c r="C19141" s="4" t="str">
        <f>HYPERLINK("http://www.uniprot.org/uniprot/M5WDV6","M5WDV6")</f>
        <v>M5WDV6</v>
      </c>
      <c r="D19141" s="2" t="s">
        <v>8495</v>
      </c>
      <c r="E19141" s="3">
        <v>1.7500000000000001E-113</v>
      </c>
      <c r="F19141" s="2">
        <v>666</v>
      </c>
      <c r="G19141" s="2">
        <v>81</v>
      </c>
      <c r="H19141" s="2">
        <v>170</v>
      </c>
      <c r="I19141" s="2">
        <v>926</v>
      </c>
      <c r="J19141" s="2">
        <v>1435</v>
      </c>
      <c r="K19141" s="2">
        <v>269</v>
      </c>
      <c r="L19141" s="2">
        <v>424</v>
      </c>
    </row>
    <row r="19142" spans="1:12" x14ac:dyDescent="0.25">
      <c r="A19142" s="4" t="str">
        <f>HYPERLINK("http://www.rosaceae.org/Prunus/Prunus_persica/p.persica_gdr_reftransV1_0024549","p.persica_gdr_reftransV1_0024549")</f>
        <v>p.persica_gdr_reftransV1_0024549</v>
      </c>
      <c r="B19142" s="2">
        <v>3076</v>
      </c>
      <c r="C19142" s="4" t="str">
        <f>HYPERLINK("http://www.uniprot.org/uniprot/M5VWR8","M5VWR8")</f>
        <v>M5VWR8</v>
      </c>
      <c r="D19142" s="2" t="s">
        <v>14699</v>
      </c>
      <c r="E19142" s="3">
        <v>0</v>
      </c>
      <c r="F19142" s="2">
        <v>2938</v>
      </c>
      <c r="G19142" s="2">
        <v>98</v>
      </c>
      <c r="H19142" s="2">
        <v>616</v>
      </c>
      <c r="I19142" s="2">
        <v>1229</v>
      </c>
      <c r="J19142" s="2">
        <v>3076</v>
      </c>
      <c r="K19142" s="2">
        <v>399</v>
      </c>
      <c r="L19142" s="2">
        <v>1014</v>
      </c>
    </row>
    <row r="19143" spans="1:12" x14ac:dyDescent="0.25">
      <c r="A19143" s="4" t="str">
        <f>HYPERLINK("http://www.rosaceae.org/Prunus/Prunus_persica/p.persica_gdr_reftransV1_0025599","p.persica_gdr_reftransV1_0025599")</f>
        <v>p.persica_gdr_reftransV1_0025599</v>
      </c>
      <c r="B19143" s="2">
        <v>1345</v>
      </c>
      <c r="C19143" s="4" t="str">
        <f>HYPERLINK("http://www.uniprot.org/uniprot/M5VHQ2","M5VHQ2")</f>
        <v>M5VHQ2</v>
      </c>
      <c r="D19143" s="2" t="s">
        <v>14700</v>
      </c>
      <c r="E19143" s="3">
        <v>1.6900000000000001E-164</v>
      </c>
      <c r="F19143" s="2">
        <v>1232</v>
      </c>
      <c r="G19143" s="2">
        <v>97</v>
      </c>
      <c r="H19143" s="2">
        <v>267</v>
      </c>
      <c r="I19143" s="2">
        <v>37</v>
      </c>
      <c r="J19143" s="2">
        <v>837</v>
      </c>
      <c r="K19143" s="2">
        <v>71</v>
      </c>
      <c r="L19143" s="2">
        <v>336</v>
      </c>
    </row>
    <row r="19144" spans="1:12" x14ac:dyDescent="0.25">
      <c r="A19144" s="4" t="str">
        <f>HYPERLINK("http://www.rosaceae.org/Prunus/Prunus_persica/p.persica_gdr_reftransV1_0025949","p.persica_gdr_reftransV1_0025949")</f>
        <v>p.persica_gdr_reftransV1_0025949</v>
      </c>
      <c r="B19144" s="2">
        <v>2341</v>
      </c>
      <c r="C19144" s="4" t="str">
        <f>HYPERLINK("http://www.uniprot.org/uniprot/A0A061F8Q6","A0A061F8Q6")</f>
        <v>A0A061F8Q6</v>
      </c>
      <c r="D19144" s="2" t="s">
        <v>14701</v>
      </c>
      <c r="E19144" s="3">
        <v>2.89E-155</v>
      </c>
      <c r="F19144" s="2">
        <v>1217</v>
      </c>
      <c r="G19144" s="2">
        <v>86</v>
      </c>
      <c r="H19144" s="2">
        <v>264</v>
      </c>
      <c r="I19144" s="2">
        <v>184</v>
      </c>
      <c r="J19144" s="2">
        <v>975</v>
      </c>
      <c r="K19144" s="2">
        <v>1</v>
      </c>
      <c r="L19144" s="2">
        <v>263</v>
      </c>
    </row>
    <row r="19145" spans="1:12" x14ac:dyDescent="0.25">
      <c r="A19145" s="4" t="str">
        <f>HYPERLINK("http://www.rosaceae.org/Prunus/Prunus_persica/p.persica_gdr_reftransV1_0026649","p.persica_gdr_reftransV1_0026649")</f>
        <v>p.persica_gdr_reftransV1_0026649</v>
      </c>
      <c r="B19145" s="2">
        <v>4198</v>
      </c>
      <c r="C19145" s="4" t="str">
        <f>HYPERLINK("http://www.uniprot.org/uniprot/M5WCQ2","M5WCQ2")</f>
        <v>M5WCQ2</v>
      </c>
      <c r="D19145" s="2" t="s">
        <v>9212</v>
      </c>
      <c r="E19145" s="3">
        <v>0</v>
      </c>
      <c r="F19145" s="2">
        <v>1625</v>
      </c>
      <c r="G19145" s="2">
        <v>100</v>
      </c>
      <c r="H19145" s="2">
        <v>379</v>
      </c>
      <c r="I19145" s="2">
        <v>1354</v>
      </c>
      <c r="J19145" s="2">
        <v>2490</v>
      </c>
      <c r="K19145" s="2">
        <v>214</v>
      </c>
      <c r="L19145" s="2">
        <v>592</v>
      </c>
    </row>
    <row r="19146" spans="1:12" x14ac:dyDescent="0.25">
      <c r="A19146" s="4" t="str">
        <f>HYPERLINK("http://www.rosaceae.org/Prunus/Prunus_persica/p.persica_gdr_reftransV1_0026999","p.persica_gdr_reftransV1_0026999")</f>
        <v>p.persica_gdr_reftransV1_0026999</v>
      </c>
      <c r="B19146" s="2">
        <v>2860</v>
      </c>
      <c r="C19146" s="4" t="str">
        <f>HYPERLINK("http://www.uniprot.org/uniprot/M5XE57","M5XE57")</f>
        <v>M5XE57</v>
      </c>
      <c r="D19146" s="2" t="s">
        <v>14702</v>
      </c>
      <c r="E19146" s="3">
        <v>5.2299999999999997E-156</v>
      </c>
      <c r="F19146" s="2">
        <v>1054</v>
      </c>
      <c r="G19146" s="2">
        <v>100</v>
      </c>
      <c r="H19146" s="2">
        <v>231</v>
      </c>
      <c r="I19146" s="2">
        <v>1438</v>
      </c>
      <c r="J19146" s="2">
        <v>2130</v>
      </c>
      <c r="K19146" s="2">
        <v>1</v>
      </c>
      <c r="L19146" s="2">
        <v>231</v>
      </c>
    </row>
    <row r="19147" spans="1:12" x14ac:dyDescent="0.25">
      <c r="A19147" s="4" t="str">
        <f>HYPERLINK("http://www.rosaceae.org/Prunus/Prunus_persica/p.persica_gdr_reftransV1_0028749","p.persica_gdr_reftransV1_0028749")</f>
        <v>p.persica_gdr_reftransV1_0028749</v>
      </c>
      <c r="B19147" s="2">
        <v>4191</v>
      </c>
      <c r="C19147" s="4" t="str">
        <f>HYPERLINK("http://www.uniprot.org/uniprot/M5XFM1","M5XFM1")</f>
        <v>M5XFM1</v>
      </c>
      <c r="D19147" s="2" t="s">
        <v>14703</v>
      </c>
      <c r="E19147" s="3">
        <v>0</v>
      </c>
      <c r="F19147" s="2">
        <v>2226</v>
      </c>
      <c r="G19147" s="2">
        <v>92</v>
      </c>
      <c r="H19147" s="2">
        <v>482</v>
      </c>
      <c r="I19147" s="2">
        <v>2731</v>
      </c>
      <c r="J19147" s="2">
        <v>4137</v>
      </c>
      <c r="K19147" s="2">
        <v>1</v>
      </c>
      <c r="L19147" s="2">
        <v>468</v>
      </c>
    </row>
    <row r="19148" spans="1:12" x14ac:dyDescent="0.25">
      <c r="A19148" s="4" t="str">
        <f>HYPERLINK("http://www.rosaceae.org/Prunus/Prunus_persica/p.persica_gdr_reftransV1_0029099","p.persica_gdr_reftransV1_0029099")</f>
        <v>p.persica_gdr_reftransV1_0029099</v>
      </c>
      <c r="B19148" s="2">
        <v>1882</v>
      </c>
      <c r="C19148" s="4" t="str">
        <f>HYPERLINK("http://www.uniprot.org/uniprot/M5XL65","M5XL65")</f>
        <v>M5XL65</v>
      </c>
      <c r="D19148" s="2" t="s">
        <v>14704</v>
      </c>
      <c r="E19148" s="3">
        <v>6.0600000000000002E-177</v>
      </c>
      <c r="F19148" s="2">
        <v>1327</v>
      </c>
      <c r="G19148" s="2">
        <v>100</v>
      </c>
      <c r="H19148" s="2">
        <v>251</v>
      </c>
      <c r="I19148" s="2">
        <v>765</v>
      </c>
      <c r="J19148" s="2">
        <v>1517</v>
      </c>
      <c r="K19148" s="2">
        <v>1</v>
      </c>
      <c r="L19148" s="2">
        <v>251</v>
      </c>
    </row>
    <row r="19149" spans="1:12" x14ac:dyDescent="0.25">
      <c r="A19149" s="4" t="str">
        <f>HYPERLINK("http://www.rosaceae.org/Prunus/Prunus_persica/p.persica_gdr_reftransV1_0030149","p.persica_gdr_reftransV1_0030149")</f>
        <v>p.persica_gdr_reftransV1_0030149</v>
      </c>
      <c r="B19149" s="2">
        <v>2448</v>
      </c>
      <c r="C19149" s="4" t="str">
        <f>HYPERLINK("http://www.uniprot.org/uniprot/M5X4R8","M5X4R8")</f>
        <v>M5X4R8</v>
      </c>
      <c r="D19149" s="2" t="s">
        <v>14705</v>
      </c>
      <c r="E19149" s="3">
        <v>0</v>
      </c>
      <c r="F19149" s="2">
        <v>2923</v>
      </c>
      <c r="G19149" s="2">
        <v>100</v>
      </c>
      <c r="H19149" s="2">
        <v>553</v>
      </c>
      <c r="I19149" s="2">
        <v>327</v>
      </c>
      <c r="J19149" s="2">
        <v>1985</v>
      </c>
      <c r="K19149" s="2">
        <v>15</v>
      </c>
      <c r="L19149" s="2">
        <v>567</v>
      </c>
    </row>
    <row r="19150" spans="1:12" x14ac:dyDescent="0.25">
      <c r="A19150" s="4" t="str">
        <f>HYPERLINK("http://www.rosaceae.org/Prunus/Prunus_persica/p.persica_gdr_reftransV1_0031899","p.persica_gdr_reftransV1_0031899")</f>
        <v>p.persica_gdr_reftransV1_0031899</v>
      </c>
      <c r="B19150" s="2">
        <v>1334</v>
      </c>
      <c r="C19150" s="4" t="str">
        <f>HYPERLINK("http://www.uniprot.org/uniprot/M5X225","M5X225")</f>
        <v>M5X225</v>
      </c>
      <c r="D19150" s="2" t="s">
        <v>12623</v>
      </c>
      <c r="E19150" s="3">
        <v>0</v>
      </c>
      <c r="F19150" s="2">
        <v>1479</v>
      </c>
      <c r="G19150" s="2">
        <v>98</v>
      </c>
      <c r="H19150" s="2">
        <v>290</v>
      </c>
      <c r="I19150" s="2">
        <v>219</v>
      </c>
      <c r="J19150" s="2">
        <v>1088</v>
      </c>
      <c r="K19150" s="2">
        <v>40</v>
      </c>
      <c r="L19150" s="2">
        <v>329</v>
      </c>
    </row>
    <row r="19151" spans="1:12" x14ac:dyDescent="0.25">
      <c r="A19151" s="4" t="str">
        <f>HYPERLINK("http://www.rosaceae.org/Prunus/Prunus_persica/p.persica_gdr_reftransV1_0033299","p.persica_gdr_reftransV1_0033299")</f>
        <v>p.persica_gdr_reftransV1_0033299</v>
      </c>
      <c r="B19151" s="2">
        <v>1901</v>
      </c>
      <c r="C19151" s="4" t="str">
        <f>HYPERLINK("http://www.uniprot.org/uniprot/M5W8I2","M5W8I2")</f>
        <v>M5W8I2</v>
      </c>
      <c r="D19151" s="2" t="s">
        <v>14706</v>
      </c>
      <c r="E19151" s="3">
        <v>3.92E-166</v>
      </c>
      <c r="F19151" s="2">
        <v>1265</v>
      </c>
      <c r="G19151" s="2">
        <v>100</v>
      </c>
      <c r="H19151" s="2">
        <v>299</v>
      </c>
      <c r="I19151" s="2">
        <v>172</v>
      </c>
      <c r="J19151" s="2">
        <v>1068</v>
      </c>
      <c r="K19151" s="2">
        <v>1</v>
      </c>
      <c r="L19151" s="2">
        <v>299</v>
      </c>
    </row>
    <row r="19152" spans="1:12" x14ac:dyDescent="0.25">
      <c r="A19152" s="4" t="str">
        <f>HYPERLINK("http://www.rosaceae.org/Prunus/Prunus_persica/p.persica_gdr_reftransV1_0033999","p.persica_gdr_reftransV1_0033999")</f>
        <v>p.persica_gdr_reftransV1_0033999</v>
      </c>
      <c r="B19152" s="2">
        <v>3200</v>
      </c>
      <c r="C19152" s="4" t="str">
        <f>HYPERLINK("http://www.uniprot.org/uniprot/M5XDS8","M5XDS8")</f>
        <v>M5XDS8</v>
      </c>
      <c r="D19152" s="2" t="s">
        <v>14707</v>
      </c>
      <c r="E19152" s="3">
        <v>0</v>
      </c>
      <c r="F19152" s="2">
        <v>1597</v>
      </c>
      <c r="G19152" s="2">
        <v>100</v>
      </c>
      <c r="H19152" s="2">
        <v>311</v>
      </c>
      <c r="I19152" s="2">
        <v>1477</v>
      </c>
      <c r="J19152" s="2">
        <v>2409</v>
      </c>
      <c r="K19152" s="2">
        <v>26</v>
      </c>
      <c r="L19152" s="2">
        <v>336</v>
      </c>
    </row>
    <row r="19153" spans="1:12" x14ac:dyDescent="0.25">
      <c r="A19153" s="4" t="str">
        <f>HYPERLINK("http://www.rosaceae.org/Prunus/Prunus_persica/p.persica_gdr_reftransV1_0035049","p.persica_gdr_reftransV1_0035049")</f>
        <v>p.persica_gdr_reftransV1_0035049</v>
      </c>
      <c r="B19153" s="2">
        <v>1589</v>
      </c>
      <c r="C19153" s="4" t="str">
        <f>HYPERLINK("http://www.uniprot.org/uniprot/M5WSU0","M5WSU0")</f>
        <v>M5WSU0</v>
      </c>
      <c r="D19153" s="2" t="s">
        <v>5995</v>
      </c>
      <c r="E19153" s="3">
        <v>0</v>
      </c>
      <c r="F19153" s="2">
        <v>1478</v>
      </c>
      <c r="G19153" s="2">
        <v>100</v>
      </c>
      <c r="H19153" s="2">
        <v>369</v>
      </c>
      <c r="I19153" s="2">
        <v>457</v>
      </c>
      <c r="J19153" s="2">
        <v>1563</v>
      </c>
      <c r="K19153" s="2">
        <v>1</v>
      </c>
      <c r="L19153" s="2">
        <v>369</v>
      </c>
    </row>
    <row r="19154" spans="1:12" x14ac:dyDescent="0.25">
      <c r="A19154" s="4" t="str">
        <f>HYPERLINK("http://www.rosaceae.org/Prunus/Prunus_persica/p.persica_gdr_reftransV1_0035399","p.persica_gdr_reftransV1_0035399")</f>
        <v>p.persica_gdr_reftransV1_0035399</v>
      </c>
      <c r="B19154" s="2">
        <v>1263</v>
      </c>
      <c r="C19154" s="4" t="str">
        <f>HYPERLINK("http://www.uniprot.org/uniprot/M5XQ95","M5XQ95")</f>
        <v>M5XQ95</v>
      </c>
      <c r="D19154" s="2" t="s">
        <v>14708</v>
      </c>
      <c r="E19154" s="3">
        <v>2.9400000000000001E-127</v>
      </c>
      <c r="F19154" s="2">
        <v>977</v>
      </c>
      <c r="G19154" s="2">
        <v>88</v>
      </c>
      <c r="H19154" s="2">
        <v>311</v>
      </c>
      <c r="I19154" s="2">
        <v>294</v>
      </c>
      <c r="J19154" s="2">
        <v>1226</v>
      </c>
      <c r="K19154" s="2">
        <v>1</v>
      </c>
      <c r="L19154" s="2">
        <v>276</v>
      </c>
    </row>
    <row r="19155" spans="1:12" x14ac:dyDescent="0.25">
      <c r="A19155" s="4" t="str">
        <f>HYPERLINK("http://www.rosaceae.org/Prunus/Prunus_persica/p.persica_gdr_reftransV1_0037849","p.persica_gdr_reftransV1_0037849")</f>
        <v>p.persica_gdr_reftransV1_0037849</v>
      </c>
      <c r="B19155" s="2">
        <v>3213</v>
      </c>
      <c r="C19155" s="4" t="str">
        <f>HYPERLINK("http://www.uniprot.org/uniprot/M5WHC7","M5WHC7")</f>
        <v>M5WHC7</v>
      </c>
      <c r="D19155" s="2" t="s">
        <v>12232</v>
      </c>
      <c r="E19155" s="3">
        <v>5.0100000000000005E-150</v>
      </c>
      <c r="F19155" s="2">
        <v>1201</v>
      </c>
      <c r="G19155" s="2">
        <v>100</v>
      </c>
      <c r="H19155" s="2">
        <v>228</v>
      </c>
      <c r="I19155" s="2">
        <v>2457</v>
      </c>
      <c r="J19155" s="2">
        <v>3140</v>
      </c>
      <c r="K19155" s="2">
        <v>1</v>
      </c>
      <c r="L19155" s="2">
        <v>228</v>
      </c>
    </row>
    <row r="19156" spans="1:12" x14ac:dyDescent="0.25">
      <c r="A19156" s="4" t="str">
        <f>HYPERLINK("http://www.rosaceae.org/Prunus/Prunus_persica/p.persica_gdr_reftransV1_0038199","p.persica_gdr_reftransV1_0038199")</f>
        <v>p.persica_gdr_reftransV1_0038199</v>
      </c>
      <c r="B19156" s="2">
        <v>3396</v>
      </c>
      <c r="C19156" s="4" t="str">
        <f>HYPERLINK("http://www.uniprot.org/uniprot/M5W4G8","M5W4G8")</f>
        <v>M5W4G8</v>
      </c>
      <c r="D19156" s="2" t="s">
        <v>14709</v>
      </c>
      <c r="E19156" s="3">
        <v>8.0800000000000003E-81</v>
      </c>
      <c r="F19156" s="2">
        <v>699</v>
      </c>
      <c r="G19156" s="2">
        <v>100</v>
      </c>
      <c r="H19156" s="2">
        <v>134</v>
      </c>
      <c r="I19156" s="2">
        <v>205</v>
      </c>
      <c r="J19156" s="2">
        <v>606</v>
      </c>
      <c r="K19156" s="2">
        <v>1</v>
      </c>
      <c r="L19156" s="2">
        <v>134</v>
      </c>
    </row>
    <row r="19157" spans="1:12" x14ac:dyDescent="0.25">
      <c r="A19157" s="4" t="str">
        <f>HYPERLINK("http://www.rosaceae.org/Prunus/Prunus_persica/p.persica_gdr_reftransV1_0040999","p.persica_gdr_reftransV1_0040999")</f>
        <v>p.persica_gdr_reftransV1_0040999</v>
      </c>
      <c r="B19157" s="2">
        <v>553</v>
      </c>
      <c r="C19157" s="4" t="str">
        <f>HYPERLINK("http://www.uniprot.org/uniprot/W9QNP8","W9QNP8")</f>
        <v>W9QNP8</v>
      </c>
      <c r="D19157" s="2" t="s">
        <v>14710</v>
      </c>
      <c r="E19157" s="3">
        <v>1.91E-70</v>
      </c>
      <c r="F19157" s="2">
        <v>604</v>
      </c>
      <c r="G19157" s="2">
        <v>61</v>
      </c>
      <c r="H19157" s="2">
        <v>183</v>
      </c>
      <c r="I19157" s="2">
        <v>2</v>
      </c>
      <c r="J19157" s="2">
        <v>550</v>
      </c>
      <c r="K19157" s="2">
        <v>285</v>
      </c>
      <c r="L19157" s="2">
        <v>467</v>
      </c>
    </row>
    <row r="19158" spans="1:12" x14ac:dyDescent="0.25">
      <c r="A19158" s="4" t="str">
        <f>HYPERLINK("http://www.rosaceae.org/Prunus/Prunus_persica/p.persica_gdr_reftransV1_0043099","p.persica_gdr_reftransV1_0043099")</f>
        <v>p.persica_gdr_reftransV1_0043099</v>
      </c>
      <c r="B19158" s="2">
        <v>439</v>
      </c>
      <c r="C19158" s="4" t="str">
        <f>HYPERLINK("http://www.uniprot.org/uniprot/M5W8N3","M5W8N3")</f>
        <v>M5W8N3</v>
      </c>
      <c r="D19158" s="2" t="s">
        <v>3901</v>
      </c>
      <c r="E19158" s="3">
        <v>5.8899999999999999E-60</v>
      </c>
      <c r="F19158" s="2">
        <v>506</v>
      </c>
      <c r="G19158" s="2">
        <v>99</v>
      </c>
      <c r="H19158" s="2">
        <v>112</v>
      </c>
      <c r="I19158" s="2">
        <v>3</v>
      </c>
      <c r="J19158" s="2">
        <v>338</v>
      </c>
      <c r="K19158" s="2">
        <v>1</v>
      </c>
      <c r="L19158" s="2">
        <v>112</v>
      </c>
    </row>
    <row r="19159" spans="1:12" x14ac:dyDescent="0.25">
      <c r="A19159" s="4" t="str">
        <f>HYPERLINK("http://www.rosaceae.org/Prunus/Prunus_persica/p.persica_gdr_reftransV1_0043449","p.persica_gdr_reftransV1_0043449")</f>
        <v>p.persica_gdr_reftransV1_0043449</v>
      </c>
      <c r="B19159" s="2">
        <v>1333</v>
      </c>
      <c r="C19159" s="4" t="str">
        <f>HYPERLINK("http://www.uniprot.org/uniprot/M5WJ18","M5WJ18")</f>
        <v>M5WJ18</v>
      </c>
      <c r="D19159" s="2" t="s">
        <v>72</v>
      </c>
      <c r="E19159" s="3">
        <v>0</v>
      </c>
      <c r="F19159" s="2">
        <v>1526</v>
      </c>
      <c r="G19159" s="2">
        <v>97</v>
      </c>
      <c r="H19159" s="2">
        <v>304</v>
      </c>
      <c r="I19159" s="2">
        <v>8</v>
      </c>
      <c r="J19159" s="2">
        <v>907</v>
      </c>
      <c r="K19159" s="2">
        <v>67</v>
      </c>
      <c r="L19159" s="2">
        <v>370</v>
      </c>
    </row>
    <row r="19160" spans="1:12" x14ac:dyDescent="0.25">
      <c r="A19160" s="4" t="str">
        <f>HYPERLINK("http://www.rosaceae.org/Prunus/Prunus_persica/p.persica_gdr_reftransV1_0043799","p.persica_gdr_reftransV1_0043799")</f>
        <v>p.persica_gdr_reftransV1_0043799</v>
      </c>
      <c r="B19160" s="2">
        <v>797</v>
      </c>
      <c r="C19160" s="4" t="str">
        <f>HYPERLINK("http://www.uniprot.org/uniprot/M5W9L5","M5W9L5")</f>
        <v>M5W9L5</v>
      </c>
      <c r="D19160" s="2" t="s">
        <v>14711</v>
      </c>
      <c r="E19160" s="3">
        <v>3.5699999999999999E-180</v>
      </c>
      <c r="F19160" s="2">
        <v>1351</v>
      </c>
      <c r="G19160" s="2">
        <v>100</v>
      </c>
      <c r="H19160" s="2">
        <v>265</v>
      </c>
      <c r="I19160" s="2">
        <v>3</v>
      </c>
      <c r="J19160" s="2">
        <v>797</v>
      </c>
      <c r="K19160" s="2">
        <v>102</v>
      </c>
      <c r="L19160" s="2">
        <v>366</v>
      </c>
    </row>
    <row r="19161" spans="1:12" x14ac:dyDescent="0.25">
      <c r="A19161" s="4" t="str">
        <f>HYPERLINK("http://www.rosaceae.org/Prunus/Prunus_persica/p.persica_gdr_reftransV1_0044149","p.persica_gdr_reftransV1_0044149")</f>
        <v>p.persica_gdr_reftransV1_0044149</v>
      </c>
      <c r="B19161" s="2">
        <v>667</v>
      </c>
      <c r="C19161" s="4" t="str">
        <f>HYPERLINK("http://www.uniprot.org/uniprot/M5WVR3","M5WVR3")</f>
        <v>M5WVR3</v>
      </c>
      <c r="D19161" s="2" t="s">
        <v>9356</v>
      </c>
      <c r="E19161" s="3">
        <v>2.2900000000000001E-64</v>
      </c>
      <c r="F19161" s="2">
        <v>563</v>
      </c>
      <c r="G19161" s="2">
        <v>96</v>
      </c>
      <c r="H19161" s="2">
        <v>114</v>
      </c>
      <c r="I19161" s="2">
        <v>326</v>
      </c>
      <c r="J19161" s="2">
        <v>667</v>
      </c>
      <c r="K19161" s="2">
        <v>517</v>
      </c>
      <c r="L19161" s="2">
        <v>630</v>
      </c>
    </row>
    <row r="19162" spans="1:12" x14ac:dyDescent="0.25">
      <c r="A19162" s="4" t="str">
        <f>HYPERLINK("http://www.rosaceae.org/Prunus/Prunus_persica/p.persica_gdr_reftransV1_0044499","p.persica_gdr_reftransV1_0044499")</f>
        <v>p.persica_gdr_reftransV1_0044499</v>
      </c>
      <c r="B19162" s="2">
        <v>910</v>
      </c>
      <c r="C19162" s="4" t="str">
        <f>HYPERLINK("http://www.uniprot.org/uniprot/M5XAT4","M5XAT4")</f>
        <v>M5XAT4</v>
      </c>
      <c r="D19162" s="2" t="s">
        <v>14712</v>
      </c>
      <c r="E19162" s="3">
        <v>0</v>
      </c>
      <c r="F19162" s="2">
        <v>1331</v>
      </c>
      <c r="G19162" s="2">
        <v>100</v>
      </c>
      <c r="H19162" s="2">
        <v>258</v>
      </c>
      <c r="I19162" s="2">
        <v>102</v>
      </c>
      <c r="J19162" s="2">
        <v>875</v>
      </c>
      <c r="K19162" s="2">
        <v>51</v>
      </c>
      <c r="L19162" s="2">
        <v>308</v>
      </c>
    </row>
    <row r="19163" spans="1:12" x14ac:dyDescent="0.25">
      <c r="A19163" s="4" t="str">
        <f>HYPERLINK("http://www.rosaceae.org/Prunus/Prunus_persica/p.persica_gdr_reftransV1_0045549","p.persica_gdr_reftransV1_0045549")</f>
        <v>p.persica_gdr_reftransV1_0045549</v>
      </c>
      <c r="B19163" s="2">
        <v>1728</v>
      </c>
      <c r="C19163" s="4" t="str">
        <f>HYPERLINK("http://www.uniprot.org/uniprot/B9T2N5","B9T2N5")</f>
        <v>B9T2N5</v>
      </c>
      <c r="D19163" s="2" t="s">
        <v>9537</v>
      </c>
      <c r="E19163" s="3">
        <v>2.1200000000000002E-174</v>
      </c>
      <c r="F19163" s="2">
        <v>1316</v>
      </c>
      <c r="G19163" s="2">
        <v>69</v>
      </c>
      <c r="H19163" s="2">
        <v>388</v>
      </c>
      <c r="I19163" s="2">
        <v>434</v>
      </c>
      <c r="J19163" s="2">
        <v>1528</v>
      </c>
      <c r="K19163" s="2">
        <v>1</v>
      </c>
      <c r="L19163" s="2">
        <v>388</v>
      </c>
    </row>
    <row r="19164" spans="1:12" x14ac:dyDescent="0.25">
      <c r="A19164" s="4" t="str">
        <f>HYPERLINK("http://www.rosaceae.org/Prunus/Prunus_persica/p.persica_gdr_reftransV1_0045899","p.persica_gdr_reftransV1_0045899")</f>
        <v>p.persica_gdr_reftransV1_0045899</v>
      </c>
      <c r="B19164" s="2">
        <v>386</v>
      </c>
      <c r="C19164" s="4" t="str">
        <f>HYPERLINK("http://www.uniprot.org/uniprot/M5W5G7","M5W5G7")</f>
        <v>M5W5G7</v>
      </c>
      <c r="D19164" s="2" t="s">
        <v>14713</v>
      </c>
      <c r="E19164" s="3">
        <v>9.2099999999999993E-56</v>
      </c>
      <c r="F19164" s="2">
        <v>472</v>
      </c>
      <c r="G19164" s="2">
        <v>100</v>
      </c>
      <c r="H19164" s="2">
        <v>87</v>
      </c>
      <c r="I19164" s="2">
        <v>82</v>
      </c>
      <c r="J19164" s="2">
        <v>342</v>
      </c>
      <c r="K19164" s="2">
        <v>1</v>
      </c>
      <c r="L19164" s="2">
        <v>87</v>
      </c>
    </row>
    <row r="19165" spans="1:12" x14ac:dyDescent="0.25">
      <c r="A19165" s="4" t="str">
        <f>HYPERLINK("http://www.rosaceae.org/Prunus/Prunus_persica/p.persica_gdr_reftransV1_0046249","p.persica_gdr_reftransV1_0046249")</f>
        <v>p.persica_gdr_reftransV1_0046249</v>
      </c>
      <c r="B19165" s="2">
        <v>1251</v>
      </c>
      <c r="C19165" s="4" t="str">
        <f>HYPERLINK("http://www.uniprot.org/uniprot/M5XQY2","M5XQY2")</f>
        <v>M5XQY2</v>
      </c>
      <c r="D19165" s="2" t="s">
        <v>714</v>
      </c>
      <c r="E19165" s="3">
        <v>0</v>
      </c>
      <c r="F19165" s="2">
        <v>1943</v>
      </c>
      <c r="G19165" s="2">
        <v>100</v>
      </c>
      <c r="H19165" s="2">
        <v>358</v>
      </c>
      <c r="I19165" s="2">
        <v>40</v>
      </c>
      <c r="J19165" s="2">
        <v>1113</v>
      </c>
      <c r="K19165" s="2">
        <v>1</v>
      </c>
      <c r="L19165" s="2">
        <v>358</v>
      </c>
    </row>
    <row r="19166" spans="1:12" x14ac:dyDescent="0.25">
      <c r="A19166" s="4" t="str">
        <f>HYPERLINK("http://www.rosaceae.org/Prunus/Prunus_persica/p.persica_gdr_reftransV1_0046949","p.persica_gdr_reftransV1_0046949")</f>
        <v>p.persica_gdr_reftransV1_0046949</v>
      </c>
      <c r="B19166" s="2">
        <v>1652</v>
      </c>
      <c r="C19166" s="4" t="str">
        <f>HYPERLINK("http://www.uniprot.org/uniprot/M5XA66","M5XA66")</f>
        <v>M5XA66</v>
      </c>
      <c r="D19166" s="2" t="s">
        <v>1395</v>
      </c>
      <c r="E19166" s="3">
        <v>0</v>
      </c>
      <c r="F19166" s="2">
        <v>1531</v>
      </c>
      <c r="G19166" s="2">
        <v>98</v>
      </c>
      <c r="H19166" s="2">
        <v>309</v>
      </c>
      <c r="I19166" s="2">
        <v>293</v>
      </c>
      <c r="J19166" s="2">
        <v>1219</v>
      </c>
      <c r="K19166" s="2">
        <v>171</v>
      </c>
      <c r="L19166" s="2">
        <v>479</v>
      </c>
    </row>
    <row r="19167" spans="1:12" x14ac:dyDescent="0.25">
      <c r="A19167" s="4" t="str">
        <f>HYPERLINK("http://www.rosaceae.org/Prunus/Prunus_persica/p.persica_gdr_reftransV1_0047299","p.persica_gdr_reftransV1_0047299")</f>
        <v>p.persica_gdr_reftransV1_0047299</v>
      </c>
      <c r="B19167" s="2">
        <v>498</v>
      </c>
      <c r="C19167" s="4" t="str">
        <f>HYPERLINK("http://www.uniprot.org/uniprot/M5W5A5","M5W5A5")</f>
        <v>M5W5A5</v>
      </c>
      <c r="D19167" s="2" t="s">
        <v>4982</v>
      </c>
      <c r="E19167" s="3">
        <v>3.9500000000000001E-81</v>
      </c>
      <c r="F19167" s="2">
        <v>670</v>
      </c>
      <c r="G19167" s="2">
        <v>99</v>
      </c>
      <c r="H19167" s="2">
        <v>160</v>
      </c>
      <c r="I19167" s="2">
        <v>17</v>
      </c>
      <c r="J19167" s="2">
        <v>496</v>
      </c>
      <c r="K19167" s="2">
        <v>198</v>
      </c>
      <c r="L19167" s="2">
        <v>357</v>
      </c>
    </row>
    <row r="19168" spans="1:12" x14ac:dyDescent="0.25">
      <c r="A19168" s="4" t="str">
        <f>HYPERLINK("http://www.rosaceae.org/Prunus/Prunus_persica/p.persica_gdr_reftransV1_0047649","p.persica_gdr_reftransV1_0047649")</f>
        <v>p.persica_gdr_reftransV1_0047649</v>
      </c>
      <c r="B19168" s="2">
        <v>975</v>
      </c>
      <c r="C19168" s="4" t="str">
        <f>HYPERLINK("http://www.uniprot.org/uniprot/M5WMY9","M5WMY9")</f>
        <v>M5WMY9</v>
      </c>
      <c r="D19168" s="2" t="s">
        <v>14714</v>
      </c>
      <c r="E19168" s="3">
        <v>3.9899999999999998E-50</v>
      </c>
      <c r="F19168" s="2">
        <v>454</v>
      </c>
      <c r="G19168" s="2">
        <v>100</v>
      </c>
      <c r="H19168" s="2">
        <v>164</v>
      </c>
      <c r="I19168" s="2">
        <v>2</v>
      </c>
      <c r="J19168" s="2">
        <v>493</v>
      </c>
      <c r="K19168" s="2">
        <v>118</v>
      </c>
      <c r="L19168" s="2">
        <v>281</v>
      </c>
    </row>
    <row r="19169" spans="1:12" x14ac:dyDescent="0.25">
      <c r="A19169" s="4" t="str">
        <f>HYPERLINK("http://www.rosaceae.org/Prunus/Prunus_persica/p.persica_gdr_reftransV1_0047999","p.persica_gdr_reftransV1_0047999")</f>
        <v>p.persica_gdr_reftransV1_0047999</v>
      </c>
      <c r="B19169" s="2">
        <v>2369</v>
      </c>
      <c r="C19169" s="4" t="str">
        <f>HYPERLINK("http://www.uniprot.org/uniprot/M5W6C7","M5W6C7")</f>
        <v>M5W6C7</v>
      </c>
      <c r="D19169" s="2" t="s">
        <v>14715</v>
      </c>
      <c r="E19169" s="3">
        <v>0</v>
      </c>
      <c r="F19169" s="2">
        <v>3261</v>
      </c>
      <c r="G19169" s="2">
        <v>100</v>
      </c>
      <c r="H19169" s="2">
        <v>634</v>
      </c>
      <c r="I19169" s="2">
        <v>106</v>
      </c>
      <c r="J19169" s="2">
        <v>2007</v>
      </c>
      <c r="K19169" s="2">
        <v>1</v>
      </c>
      <c r="L19169" s="2">
        <v>634</v>
      </c>
    </row>
    <row r="19170" spans="1:12" x14ac:dyDescent="0.25">
      <c r="A19170" s="4" t="str">
        <f>HYPERLINK("http://www.rosaceae.org/Prunus/Prunus_persica/p.persica_gdr_reftransV1_0048349","p.persica_gdr_reftransV1_0048349")</f>
        <v>p.persica_gdr_reftransV1_0048349</v>
      </c>
      <c r="B19170" s="2">
        <v>333</v>
      </c>
      <c r="C19170" s="4" t="str">
        <f>HYPERLINK("http://www.uniprot.org/uniprot/A0A061E1F5","A0A061E1F5")</f>
        <v>A0A061E1F5</v>
      </c>
      <c r="D19170" s="2" t="s">
        <v>14716</v>
      </c>
      <c r="E19170" s="3">
        <v>1.7099999999999999E-44</v>
      </c>
      <c r="F19170" s="2">
        <v>411</v>
      </c>
      <c r="G19170" s="2">
        <v>68</v>
      </c>
      <c r="H19170" s="2">
        <v>110</v>
      </c>
      <c r="I19170" s="2">
        <v>3</v>
      </c>
      <c r="J19170" s="2">
        <v>332</v>
      </c>
      <c r="K19170" s="2">
        <v>381</v>
      </c>
      <c r="L19170" s="2">
        <v>487</v>
      </c>
    </row>
    <row r="19171" spans="1:12" x14ac:dyDescent="0.25">
      <c r="A19171" s="4" t="str">
        <f>HYPERLINK("http://www.rosaceae.org/Prunus/Prunus_persica/p.persica_gdr_reftransV1_0049049","p.persica_gdr_reftransV1_0049049")</f>
        <v>p.persica_gdr_reftransV1_0049049</v>
      </c>
      <c r="B19171" s="2">
        <v>1021</v>
      </c>
      <c r="C19171" s="4" t="str">
        <f>HYPERLINK("http://www.uniprot.org/uniprot/M5XG35","M5XG35")</f>
        <v>M5XG35</v>
      </c>
      <c r="D19171" s="2" t="s">
        <v>13594</v>
      </c>
      <c r="E19171" s="3">
        <v>0</v>
      </c>
      <c r="F19171" s="2">
        <v>1327</v>
      </c>
      <c r="G19171" s="2">
        <v>100</v>
      </c>
      <c r="H19171" s="2">
        <v>263</v>
      </c>
      <c r="I19171" s="2">
        <v>103</v>
      </c>
      <c r="J19171" s="2">
        <v>891</v>
      </c>
      <c r="K19171" s="2">
        <v>1</v>
      </c>
      <c r="L19171" s="2">
        <v>263</v>
      </c>
    </row>
    <row r="19172" spans="1:12" x14ac:dyDescent="0.25">
      <c r="A19172" s="4" t="str">
        <f>HYPERLINK("http://www.rosaceae.org/Prunus/Prunus_persica/p.persica_gdr_reftransV1_0000050","p.persica_gdr_reftransV1_0000050")</f>
        <v>p.persica_gdr_reftransV1_0000050</v>
      </c>
      <c r="B19172" s="2">
        <v>1202</v>
      </c>
      <c r="C19172" s="4" t="str">
        <f>HYPERLINK("http://www.uniprot.org/uniprot/M5XQ07","M5XQ07")</f>
        <v>M5XQ07</v>
      </c>
      <c r="D19172" s="2" t="s">
        <v>2956</v>
      </c>
      <c r="E19172" s="3">
        <v>0</v>
      </c>
      <c r="F19172" s="2">
        <v>2021</v>
      </c>
      <c r="G19172" s="2">
        <v>100</v>
      </c>
      <c r="H19172" s="2">
        <v>376</v>
      </c>
      <c r="I19172" s="2">
        <v>2</v>
      </c>
      <c r="J19172" s="2">
        <v>1129</v>
      </c>
      <c r="K19172" s="2">
        <v>1</v>
      </c>
      <c r="L19172" s="2">
        <v>376</v>
      </c>
    </row>
    <row r="19173" spans="1:12" x14ac:dyDescent="0.25">
      <c r="A19173" s="4" t="str">
        <f>HYPERLINK("http://www.rosaceae.org/Prunus/Prunus_persica/p.persica_gdr_reftransV1_0000400","p.persica_gdr_reftransV1_0000400")</f>
        <v>p.persica_gdr_reftransV1_0000400</v>
      </c>
      <c r="B19173" s="2">
        <v>2294</v>
      </c>
      <c r="C19173" s="4" t="str">
        <f>HYPERLINK("http://www.uniprot.org/uniprot/M5WHM4","M5WHM4")</f>
        <v>M5WHM4</v>
      </c>
      <c r="D19173" s="2" t="s">
        <v>2178</v>
      </c>
      <c r="E19173" s="3">
        <v>0</v>
      </c>
      <c r="F19173" s="2">
        <v>2251</v>
      </c>
      <c r="G19173" s="2">
        <v>100</v>
      </c>
      <c r="H19173" s="2">
        <v>476</v>
      </c>
      <c r="I19173" s="2">
        <v>269</v>
      </c>
      <c r="J19173" s="2">
        <v>1696</v>
      </c>
      <c r="K19173" s="2">
        <v>1</v>
      </c>
      <c r="L19173" s="2">
        <v>476</v>
      </c>
    </row>
    <row r="19174" spans="1:12" x14ac:dyDescent="0.25">
      <c r="A19174" s="4" t="str">
        <f>HYPERLINK("http://www.rosaceae.org/Prunus/Prunus_persica/p.persica_gdr_reftransV1_0000750","p.persica_gdr_reftransV1_0000750")</f>
        <v>p.persica_gdr_reftransV1_0000750</v>
      </c>
      <c r="B19174" s="2">
        <v>744</v>
      </c>
      <c r="C19174" s="4" t="str">
        <f>HYPERLINK("http://www.uniprot.org/uniprot/M5XIX4","M5XIX4")</f>
        <v>M5XIX4</v>
      </c>
      <c r="D19174" s="2" t="s">
        <v>14717</v>
      </c>
      <c r="E19174" s="3">
        <v>0</v>
      </c>
      <c r="F19174" s="2">
        <v>1336</v>
      </c>
      <c r="G19174" s="2">
        <v>100</v>
      </c>
      <c r="H19174" s="2">
        <v>247</v>
      </c>
      <c r="I19174" s="2">
        <v>2</v>
      </c>
      <c r="J19174" s="2">
        <v>742</v>
      </c>
      <c r="K19174" s="2">
        <v>63</v>
      </c>
      <c r="L19174" s="2">
        <v>309</v>
      </c>
    </row>
    <row r="19175" spans="1:12" x14ac:dyDescent="0.25">
      <c r="A19175" s="4" t="str">
        <f>HYPERLINK("http://www.rosaceae.org/Prunus/Prunus_persica/p.persica_gdr_reftransV1_0001450","p.persica_gdr_reftransV1_0001450")</f>
        <v>p.persica_gdr_reftransV1_0001450</v>
      </c>
      <c r="B19175" s="2">
        <v>609</v>
      </c>
      <c r="C19175" s="4" t="str">
        <f>HYPERLINK("http://www.uniprot.org/uniprot/M5WXQ3","M5WXQ3")</f>
        <v>M5WXQ3</v>
      </c>
      <c r="D19175" s="2" t="s">
        <v>14718</v>
      </c>
      <c r="E19175" s="3">
        <v>4.9899999999999998E-116</v>
      </c>
      <c r="F19175" s="2">
        <v>869</v>
      </c>
      <c r="G19175" s="2">
        <v>100</v>
      </c>
      <c r="H19175" s="2">
        <v>163</v>
      </c>
      <c r="I19175" s="2">
        <v>80</v>
      </c>
      <c r="J19175" s="2">
        <v>568</v>
      </c>
      <c r="K19175" s="2">
        <v>1</v>
      </c>
      <c r="L19175" s="2">
        <v>163</v>
      </c>
    </row>
    <row r="19176" spans="1:12" x14ac:dyDescent="0.25">
      <c r="A19176" s="4" t="str">
        <f>HYPERLINK("http://www.rosaceae.org/Prunus/Prunus_persica/p.persica_gdr_reftransV1_0002150","p.persica_gdr_reftransV1_0002150")</f>
        <v>p.persica_gdr_reftransV1_0002150</v>
      </c>
      <c r="B19176" s="2">
        <v>1459</v>
      </c>
      <c r="C19176" s="4" t="str">
        <f>HYPERLINK("http://www.uniprot.org/uniprot/W9RFA2","W9RFA2")</f>
        <v>W9RFA2</v>
      </c>
      <c r="D19176" s="2" t="s">
        <v>14719</v>
      </c>
      <c r="E19176" s="3">
        <v>0</v>
      </c>
      <c r="F19176" s="2">
        <v>1769</v>
      </c>
      <c r="G19176" s="2">
        <v>75</v>
      </c>
      <c r="H19176" s="2">
        <v>434</v>
      </c>
      <c r="I19176" s="2">
        <v>6</v>
      </c>
      <c r="J19176" s="2">
        <v>1301</v>
      </c>
      <c r="K19176" s="2">
        <v>1</v>
      </c>
      <c r="L19176" s="2">
        <v>429</v>
      </c>
    </row>
    <row r="19177" spans="1:12" x14ac:dyDescent="0.25">
      <c r="A19177" s="4" t="str">
        <f>HYPERLINK("http://www.rosaceae.org/Prunus/Prunus_persica/p.persica_gdr_reftransV1_0002500","p.persica_gdr_reftransV1_0002500")</f>
        <v>p.persica_gdr_reftransV1_0002500</v>
      </c>
      <c r="B19177" s="2">
        <v>2597</v>
      </c>
      <c r="C19177" s="4" t="str">
        <f>HYPERLINK("http://www.uniprot.org/uniprot/M5XJG0","M5XJG0")</f>
        <v>M5XJG0</v>
      </c>
      <c r="D19177" s="2" t="s">
        <v>14720</v>
      </c>
      <c r="E19177" s="3">
        <v>0</v>
      </c>
      <c r="F19177" s="2">
        <v>2479</v>
      </c>
      <c r="G19177" s="2">
        <v>100</v>
      </c>
      <c r="H19177" s="2">
        <v>465</v>
      </c>
      <c r="I19177" s="2">
        <v>210</v>
      </c>
      <c r="J19177" s="2">
        <v>1604</v>
      </c>
      <c r="K19177" s="2">
        <v>1</v>
      </c>
      <c r="L19177" s="2">
        <v>465</v>
      </c>
    </row>
    <row r="19178" spans="1:12" x14ac:dyDescent="0.25">
      <c r="A19178" s="4" t="str">
        <f>HYPERLINK("http://www.rosaceae.org/Prunus/Prunus_persica/p.persica_gdr_reftransV1_0002850","p.persica_gdr_reftransV1_0002850")</f>
        <v>p.persica_gdr_reftransV1_0002850</v>
      </c>
      <c r="B19178" s="2">
        <v>3385</v>
      </c>
      <c r="C19178" s="4" t="str">
        <f>HYPERLINK("http://www.uniprot.org/uniprot/M5WCV6","M5WCV6")</f>
        <v>M5WCV6</v>
      </c>
      <c r="D19178" s="2" t="s">
        <v>13389</v>
      </c>
      <c r="E19178" s="3">
        <v>0</v>
      </c>
      <c r="F19178" s="2">
        <v>4363</v>
      </c>
      <c r="G19178" s="2">
        <v>100</v>
      </c>
      <c r="H19178" s="2">
        <v>948</v>
      </c>
      <c r="I19178" s="2">
        <v>358</v>
      </c>
      <c r="J19178" s="2">
        <v>3201</v>
      </c>
      <c r="K19178" s="2">
        <v>1</v>
      </c>
      <c r="L19178" s="2">
        <v>948</v>
      </c>
    </row>
    <row r="19179" spans="1:12" x14ac:dyDescent="0.25">
      <c r="A19179" s="4" t="str">
        <f>HYPERLINK("http://www.rosaceae.org/Prunus/Prunus_persica/p.persica_gdr_reftransV1_0003200","p.persica_gdr_reftransV1_0003200")</f>
        <v>p.persica_gdr_reftransV1_0003200</v>
      </c>
      <c r="B19179" s="2">
        <v>2145</v>
      </c>
      <c r="C19179" s="4" t="str">
        <f>HYPERLINK("http://www.uniprot.org/uniprot/M5XM81","M5XM81")</f>
        <v>M5XM81</v>
      </c>
      <c r="D19179" s="2" t="s">
        <v>14721</v>
      </c>
      <c r="E19179" s="3">
        <v>0</v>
      </c>
      <c r="F19179" s="2">
        <v>2872</v>
      </c>
      <c r="G19179" s="2">
        <v>100</v>
      </c>
      <c r="H19179" s="2">
        <v>557</v>
      </c>
      <c r="I19179" s="2">
        <v>338</v>
      </c>
      <c r="J19179" s="2">
        <v>2008</v>
      </c>
      <c r="K19179" s="2">
        <v>1</v>
      </c>
      <c r="L19179" s="2">
        <v>557</v>
      </c>
    </row>
    <row r="19180" spans="1:12" x14ac:dyDescent="0.25">
      <c r="A19180" s="4" t="str">
        <f>HYPERLINK("http://www.rosaceae.org/Prunus/Prunus_persica/p.persica_gdr_reftransV1_0003900","p.persica_gdr_reftransV1_0003900")</f>
        <v>p.persica_gdr_reftransV1_0003900</v>
      </c>
      <c r="B19180" s="2">
        <v>659</v>
      </c>
      <c r="C19180" s="4" t="str">
        <f>HYPERLINK("http://www.uniprot.org/uniprot/M5XT07","M5XT07")</f>
        <v>M5XT07</v>
      </c>
      <c r="D19180" s="2" t="s">
        <v>14722</v>
      </c>
      <c r="E19180" s="3">
        <v>1.8600000000000001E-51</v>
      </c>
      <c r="F19180" s="2">
        <v>439</v>
      </c>
      <c r="G19180" s="2">
        <v>91</v>
      </c>
      <c r="H19180" s="2">
        <v>113</v>
      </c>
      <c r="I19180" s="2">
        <v>107</v>
      </c>
      <c r="J19180" s="2">
        <v>445</v>
      </c>
      <c r="K19180" s="2">
        <v>1</v>
      </c>
      <c r="L19180" s="2">
        <v>113</v>
      </c>
    </row>
    <row r="19181" spans="1:12" x14ac:dyDescent="0.25">
      <c r="A19181" s="4" t="str">
        <f>HYPERLINK("http://www.rosaceae.org/Prunus/Prunus_persica/p.persica_gdr_reftransV1_0005300","p.persica_gdr_reftransV1_0005300")</f>
        <v>p.persica_gdr_reftransV1_0005300</v>
      </c>
      <c r="B19181" s="2">
        <v>918</v>
      </c>
      <c r="C19181" s="4" t="str">
        <f>HYPERLINK("http://www.uniprot.org/uniprot/M5XQQ4","M5XQQ4")</f>
        <v>M5XQQ4</v>
      </c>
      <c r="D19181" s="2" t="s">
        <v>2399</v>
      </c>
      <c r="E19181" s="3">
        <v>2.2200000000000002E-53</v>
      </c>
      <c r="F19181" s="2">
        <v>490</v>
      </c>
      <c r="G19181" s="2">
        <v>100</v>
      </c>
      <c r="H19181" s="2">
        <v>171</v>
      </c>
      <c r="I19181" s="2">
        <v>404</v>
      </c>
      <c r="J19181" s="2">
        <v>916</v>
      </c>
      <c r="K19181" s="2">
        <v>1</v>
      </c>
      <c r="L19181" s="2">
        <v>171</v>
      </c>
    </row>
    <row r="19182" spans="1:12" x14ac:dyDescent="0.25">
      <c r="A19182" s="4" t="str">
        <f>HYPERLINK("http://www.rosaceae.org/Prunus/Prunus_persica/p.persica_gdr_reftransV1_0005650","p.persica_gdr_reftransV1_0005650")</f>
        <v>p.persica_gdr_reftransV1_0005650</v>
      </c>
      <c r="B19182" s="2">
        <v>782</v>
      </c>
      <c r="C19182" s="4" t="str">
        <f>HYPERLINK("http://www.uniprot.org/uniprot/M5WCK4","M5WCK4")</f>
        <v>M5WCK4</v>
      </c>
      <c r="D19182" s="2" t="s">
        <v>14723</v>
      </c>
      <c r="E19182" s="3">
        <v>2.0299999999999999E-94</v>
      </c>
      <c r="F19182" s="2">
        <v>732</v>
      </c>
      <c r="G19182" s="2">
        <v>100</v>
      </c>
      <c r="H19182" s="2">
        <v>156</v>
      </c>
      <c r="I19182" s="2">
        <v>269</v>
      </c>
      <c r="J19182" s="2">
        <v>736</v>
      </c>
      <c r="K19182" s="2">
        <v>1</v>
      </c>
      <c r="L19182" s="2">
        <v>156</v>
      </c>
    </row>
    <row r="19183" spans="1:12" x14ac:dyDescent="0.25">
      <c r="A19183" s="4" t="str">
        <f>HYPERLINK("http://www.rosaceae.org/Prunus/Prunus_persica/p.persica_gdr_reftransV1_0006000","p.persica_gdr_reftransV1_0006000")</f>
        <v>p.persica_gdr_reftransV1_0006000</v>
      </c>
      <c r="B19183" s="2">
        <v>1709</v>
      </c>
      <c r="C19183" s="4" t="str">
        <f>HYPERLINK("http://www.uniprot.org/uniprot/K7MJ70","K7MJ70")</f>
        <v>K7MJ70</v>
      </c>
      <c r="D19183" s="2" t="s">
        <v>575</v>
      </c>
      <c r="E19183" s="3">
        <v>1.2599999999999999E-134</v>
      </c>
      <c r="F19183" s="2">
        <v>1053</v>
      </c>
      <c r="G19183" s="2">
        <v>56</v>
      </c>
      <c r="H19183" s="2">
        <v>428</v>
      </c>
      <c r="I19183" s="2">
        <v>368</v>
      </c>
      <c r="J19183" s="2">
        <v>1630</v>
      </c>
      <c r="K19183" s="2">
        <v>45</v>
      </c>
      <c r="L19183" s="2">
        <v>399</v>
      </c>
    </row>
    <row r="19184" spans="1:12" x14ac:dyDescent="0.25">
      <c r="A19184" s="4" t="str">
        <f>HYPERLINK("http://www.rosaceae.org/Prunus/Prunus_persica/p.persica_gdr_reftransV1_0006700","p.persica_gdr_reftransV1_0006700")</f>
        <v>p.persica_gdr_reftransV1_0006700</v>
      </c>
      <c r="B19184" s="2">
        <v>734</v>
      </c>
      <c r="C19184" s="4" t="str">
        <f>HYPERLINK("http://www.uniprot.org/uniprot/A0A072VQC7","A0A072VQC7")</f>
        <v>A0A072VQC7</v>
      </c>
      <c r="D19184" s="2" t="s">
        <v>14724</v>
      </c>
      <c r="E19184" s="3">
        <v>1.8200000000000001E-8</v>
      </c>
      <c r="F19184" s="2">
        <v>152</v>
      </c>
      <c r="G19184" s="2">
        <v>66</v>
      </c>
      <c r="H19184" s="2">
        <v>44</v>
      </c>
      <c r="I19184" s="2">
        <v>319</v>
      </c>
      <c r="J19184" s="2">
        <v>450</v>
      </c>
      <c r="K19184" s="2">
        <v>22</v>
      </c>
      <c r="L19184" s="2">
        <v>65</v>
      </c>
    </row>
    <row r="19185" spans="1:12" x14ac:dyDescent="0.25">
      <c r="A19185" s="4" t="str">
        <f>HYPERLINK("http://www.rosaceae.org/Prunus/Prunus_persica/p.persica_gdr_reftransV1_0007750","p.persica_gdr_reftransV1_0007750")</f>
        <v>p.persica_gdr_reftransV1_0007750</v>
      </c>
      <c r="B19185" s="2">
        <v>2232</v>
      </c>
      <c r="C19185" s="4" t="str">
        <f>HYPERLINK("http://www.uniprot.org/uniprot/M5W750","M5W750")</f>
        <v>M5W750</v>
      </c>
      <c r="D19185" s="2" t="s">
        <v>14725</v>
      </c>
      <c r="E19185" s="3">
        <v>0</v>
      </c>
      <c r="F19185" s="2">
        <v>2168</v>
      </c>
      <c r="G19185" s="2">
        <v>92</v>
      </c>
      <c r="H19185" s="2">
        <v>453</v>
      </c>
      <c r="I19185" s="2">
        <v>293</v>
      </c>
      <c r="J19185" s="2">
        <v>1651</v>
      </c>
      <c r="K19185" s="2">
        <v>1</v>
      </c>
      <c r="L19185" s="2">
        <v>417</v>
      </c>
    </row>
    <row r="19186" spans="1:12" x14ac:dyDescent="0.25">
      <c r="A19186" s="4" t="str">
        <f>HYPERLINK("http://www.rosaceae.org/Prunus/Prunus_persica/p.persica_gdr_reftransV1_0008100","p.persica_gdr_reftransV1_0008100")</f>
        <v>p.persica_gdr_reftransV1_0008100</v>
      </c>
      <c r="B19186" s="2">
        <v>2975</v>
      </c>
      <c r="C19186" s="4" t="str">
        <f>HYPERLINK("http://www.uniprot.org/uniprot/M5WNK0","M5WNK0")</f>
        <v>M5WNK0</v>
      </c>
      <c r="D19186" s="2" t="s">
        <v>14726</v>
      </c>
      <c r="E19186" s="3">
        <v>0</v>
      </c>
      <c r="F19186" s="2">
        <v>3913</v>
      </c>
      <c r="G19186" s="2">
        <v>100</v>
      </c>
      <c r="H19186" s="2">
        <v>744</v>
      </c>
      <c r="I19186" s="2">
        <v>314</v>
      </c>
      <c r="J19186" s="2">
        <v>2542</v>
      </c>
      <c r="K19186" s="2">
        <v>1</v>
      </c>
      <c r="L19186" s="2">
        <v>744</v>
      </c>
    </row>
    <row r="19187" spans="1:12" x14ac:dyDescent="0.25">
      <c r="A19187" s="4" t="str">
        <f>HYPERLINK("http://www.rosaceae.org/Prunus/Prunus_persica/p.persica_gdr_reftransV1_0008450","p.persica_gdr_reftransV1_0008450")</f>
        <v>p.persica_gdr_reftransV1_0008450</v>
      </c>
      <c r="B19187" s="2">
        <v>1196</v>
      </c>
      <c r="C19187" s="4" t="str">
        <f>HYPERLINK("http://www.uniprot.org/uniprot/M5VKL5","M5VKL5")</f>
        <v>M5VKL5</v>
      </c>
      <c r="D19187" s="2" t="s">
        <v>14727</v>
      </c>
      <c r="E19187" s="3">
        <v>3.9199999999999996E-149</v>
      </c>
      <c r="F19187" s="2">
        <v>1113</v>
      </c>
      <c r="G19187" s="2">
        <v>100</v>
      </c>
      <c r="H19187" s="2">
        <v>212</v>
      </c>
      <c r="I19187" s="2">
        <v>103</v>
      </c>
      <c r="J19187" s="2">
        <v>738</v>
      </c>
      <c r="K19187" s="2">
        <v>5</v>
      </c>
      <c r="L19187" s="2">
        <v>216</v>
      </c>
    </row>
    <row r="19188" spans="1:12" x14ac:dyDescent="0.25">
      <c r="A19188" s="4" t="str">
        <f>HYPERLINK("http://www.rosaceae.org/Prunus/Prunus_persica/p.persica_gdr_reftransV1_0009150","p.persica_gdr_reftransV1_0009150")</f>
        <v>p.persica_gdr_reftransV1_0009150</v>
      </c>
      <c r="B19188" s="2">
        <v>2515</v>
      </c>
      <c r="C19188" s="4" t="str">
        <f>HYPERLINK("http://www.uniprot.org/uniprot/M5VJ93","M5VJ93")</f>
        <v>M5VJ93</v>
      </c>
      <c r="D19188" s="2" t="s">
        <v>14728</v>
      </c>
      <c r="E19188" s="3">
        <v>0</v>
      </c>
      <c r="F19188" s="2">
        <v>3667</v>
      </c>
      <c r="G19188" s="2">
        <v>100</v>
      </c>
      <c r="H19188" s="2">
        <v>679</v>
      </c>
      <c r="I19188" s="2">
        <v>2</v>
      </c>
      <c r="J19188" s="2">
        <v>2038</v>
      </c>
      <c r="K19188" s="2">
        <v>148</v>
      </c>
      <c r="L19188" s="2">
        <v>826</v>
      </c>
    </row>
    <row r="19189" spans="1:12" x14ac:dyDescent="0.25">
      <c r="A19189" s="4" t="str">
        <f>HYPERLINK("http://www.rosaceae.org/Prunus/Prunus_persica/p.persica_gdr_reftransV1_0009500","p.persica_gdr_reftransV1_0009500")</f>
        <v>p.persica_gdr_reftransV1_0009500</v>
      </c>
      <c r="B19189" s="2">
        <v>4373</v>
      </c>
      <c r="C19189" s="4" t="str">
        <f>HYPERLINK("http://www.uniprot.org/uniprot/A0A0A0L416","A0A0A0L416")</f>
        <v>A0A0A0L416</v>
      </c>
      <c r="D19189" s="2" t="s">
        <v>13570</v>
      </c>
      <c r="E19189" s="3">
        <v>0</v>
      </c>
      <c r="F19189" s="2">
        <v>5285</v>
      </c>
      <c r="G19189" s="2">
        <v>79</v>
      </c>
      <c r="H19189" s="2">
        <v>1316</v>
      </c>
      <c r="I19189" s="2">
        <v>153</v>
      </c>
      <c r="J19189" s="2">
        <v>4100</v>
      </c>
      <c r="K19189" s="2">
        <v>1</v>
      </c>
      <c r="L19189" s="2">
        <v>1316</v>
      </c>
    </row>
    <row r="19190" spans="1:12" x14ac:dyDescent="0.25">
      <c r="A19190" s="4" t="str">
        <f>HYPERLINK("http://www.rosaceae.org/Prunus/Prunus_persica/p.persica_gdr_reftransV1_0009850","p.persica_gdr_reftransV1_0009850")</f>
        <v>p.persica_gdr_reftransV1_0009850</v>
      </c>
      <c r="B19190" s="2">
        <v>1751</v>
      </c>
      <c r="C19190" s="4" t="str">
        <f>HYPERLINK("http://www.uniprot.org/uniprot/M5XDF7","M5XDF7")</f>
        <v>M5XDF7</v>
      </c>
      <c r="D19190" s="2" t="s">
        <v>14729</v>
      </c>
      <c r="E19190" s="3">
        <v>0</v>
      </c>
      <c r="F19190" s="2">
        <v>1696</v>
      </c>
      <c r="G19190" s="2">
        <v>100</v>
      </c>
      <c r="H19190" s="2">
        <v>320</v>
      </c>
      <c r="I19190" s="2">
        <v>352</v>
      </c>
      <c r="J19190" s="2">
        <v>1311</v>
      </c>
      <c r="K19190" s="2">
        <v>1</v>
      </c>
      <c r="L19190" s="2">
        <v>320</v>
      </c>
    </row>
    <row r="19191" spans="1:12" x14ac:dyDescent="0.25">
      <c r="A19191" s="4" t="str">
        <f>HYPERLINK("http://www.rosaceae.org/Prunus/Prunus_persica/p.persica_gdr_reftransV1_0010200","p.persica_gdr_reftransV1_0010200")</f>
        <v>p.persica_gdr_reftransV1_0010200</v>
      </c>
      <c r="B19191" s="2">
        <v>1712</v>
      </c>
      <c r="C19191" s="4" t="str">
        <f>HYPERLINK("http://www.uniprot.org/uniprot/M5XUR5","M5XUR5")</f>
        <v>M5XUR5</v>
      </c>
      <c r="D19191" s="2" t="s">
        <v>5514</v>
      </c>
      <c r="E19191" s="3">
        <v>0</v>
      </c>
      <c r="F19191" s="2">
        <v>2399</v>
      </c>
      <c r="G19191" s="2">
        <v>99</v>
      </c>
      <c r="H19191" s="2">
        <v>451</v>
      </c>
      <c r="I19191" s="2">
        <v>358</v>
      </c>
      <c r="J19191" s="2">
        <v>1710</v>
      </c>
      <c r="K19191" s="2">
        <v>16</v>
      </c>
      <c r="L19191" s="2">
        <v>463</v>
      </c>
    </row>
    <row r="19192" spans="1:12" x14ac:dyDescent="0.25">
      <c r="A19192" s="4" t="str">
        <f>HYPERLINK("http://www.rosaceae.org/Prunus/Prunus_persica/p.persica_gdr_reftransV1_0010900","p.persica_gdr_reftransV1_0010900")</f>
        <v>p.persica_gdr_reftransV1_0010900</v>
      </c>
      <c r="B19192" s="2">
        <v>4454</v>
      </c>
      <c r="C19192" s="4" t="str">
        <f>HYPERLINK("http://www.uniprot.org/uniprot/M5X771","M5X771")</f>
        <v>M5X771</v>
      </c>
      <c r="D19192" s="2" t="s">
        <v>14730</v>
      </c>
      <c r="E19192" s="3">
        <v>0</v>
      </c>
      <c r="F19192" s="2">
        <v>6378</v>
      </c>
      <c r="G19192" s="2">
        <v>100</v>
      </c>
      <c r="H19192" s="2">
        <v>1243</v>
      </c>
      <c r="I19192" s="2">
        <v>269</v>
      </c>
      <c r="J19192" s="2">
        <v>3997</v>
      </c>
      <c r="K19192" s="2">
        <v>1</v>
      </c>
      <c r="L19192" s="2">
        <v>1243</v>
      </c>
    </row>
    <row r="19193" spans="1:12" x14ac:dyDescent="0.25">
      <c r="A19193" s="4" t="str">
        <f>HYPERLINK("http://www.rosaceae.org/Prunus/Prunus_persica/p.persica_gdr_reftransV1_0012300","p.persica_gdr_reftransV1_0012300")</f>
        <v>p.persica_gdr_reftransV1_0012300</v>
      </c>
      <c r="B19193" s="2">
        <v>1756</v>
      </c>
      <c r="C19193" s="4" t="str">
        <f>HYPERLINK("http://www.uniprot.org/uniprot/M5VMT1","M5VMT1")</f>
        <v>M5VMT1</v>
      </c>
      <c r="D19193" s="2" t="s">
        <v>14731</v>
      </c>
      <c r="E19193" s="3">
        <v>0</v>
      </c>
      <c r="F19193" s="2">
        <v>1375</v>
      </c>
      <c r="G19193" s="2">
        <v>100</v>
      </c>
      <c r="H19193" s="2">
        <v>270</v>
      </c>
      <c r="I19193" s="2">
        <v>816</v>
      </c>
      <c r="J19193" s="2">
        <v>1625</v>
      </c>
      <c r="K19193" s="2">
        <v>217</v>
      </c>
      <c r="L19193" s="2">
        <v>486</v>
      </c>
    </row>
    <row r="19194" spans="1:12" x14ac:dyDescent="0.25">
      <c r="A19194" s="4" t="str">
        <f>HYPERLINK("http://www.rosaceae.org/Prunus/Prunus_persica/p.persica_gdr_reftransV1_0012650","p.persica_gdr_reftransV1_0012650")</f>
        <v>p.persica_gdr_reftransV1_0012650</v>
      </c>
      <c r="B19194" s="2">
        <v>3397</v>
      </c>
      <c r="C19194" s="4" t="str">
        <f>HYPERLINK("http://www.uniprot.org/uniprot/M5XD62","M5XD62")</f>
        <v>M5XD62</v>
      </c>
      <c r="D19194" s="2" t="s">
        <v>2638</v>
      </c>
      <c r="E19194" s="3">
        <v>6.7400000000000004E-145</v>
      </c>
      <c r="F19194" s="2">
        <v>1158</v>
      </c>
      <c r="G19194" s="2">
        <v>100</v>
      </c>
      <c r="H19194" s="2">
        <v>213</v>
      </c>
      <c r="I19194" s="2">
        <v>2468</v>
      </c>
      <c r="J19194" s="2">
        <v>3106</v>
      </c>
      <c r="K19194" s="2">
        <v>113</v>
      </c>
      <c r="L19194" s="2">
        <v>325</v>
      </c>
    </row>
    <row r="19195" spans="1:12" x14ac:dyDescent="0.25">
      <c r="A19195" s="4" t="str">
        <f>HYPERLINK("http://www.rosaceae.org/Prunus/Prunus_persica/p.persica_gdr_reftransV1_0013000","p.persica_gdr_reftransV1_0013000")</f>
        <v>p.persica_gdr_reftransV1_0013000</v>
      </c>
      <c r="B19195" s="2">
        <v>4420</v>
      </c>
      <c r="C19195" s="4" t="str">
        <f>HYPERLINK("http://www.uniprot.org/uniprot/M5WNN0","M5WNN0")</f>
        <v>M5WNN0</v>
      </c>
      <c r="D19195" s="2" t="s">
        <v>14732</v>
      </c>
      <c r="E19195" s="3">
        <v>0</v>
      </c>
      <c r="F19195" s="2">
        <v>4501</v>
      </c>
      <c r="G19195" s="2">
        <v>100</v>
      </c>
      <c r="H19195" s="2">
        <v>909</v>
      </c>
      <c r="I19195" s="2">
        <v>947</v>
      </c>
      <c r="J19195" s="2">
        <v>3673</v>
      </c>
      <c r="K19195" s="2">
        <v>1</v>
      </c>
      <c r="L19195" s="2">
        <v>909</v>
      </c>
    </row>
    <row r="19196" spans="1:12" x14ac:dyDescent="0.25">
      <c r="A19196" s="4" t="str">
        <f>HYPERLINK("http://www.rosaceae.org/Prunus/Prunus_persica/p.persica_gdr_reftransV1_0013700","p.persica_gdr_reftransV1_0013700")</f>
        <v>p.persica_gdr_reftransV1_0013700</v>
      </c>
      <c r="B19196" s="2">
        <v>2653</v>
      </c>
      <c r="C19196" s="4" t="str">
        <f>HYPERLINK("http://www.uniprot.org/uniprot/M5WUX3","M5WUX3")</f>
        <v>M5WUX3</v>
      </c>
      <c r="D19196" s="2" t="s">
        <v>14733</v>
      </c>
      <c r="E19196" s="3">
        <v>4.03E-124</v>
      </c>
      <c r="F19196" s="2">
        <v>998</v>
      </c>
      <c r="G19196" s="2">
        <v>100</v>
      </c>
      <c r="H19196" s="2">
        <v>183</v>
      </c>
      <c r="I19196" s="2">
        <v>302</v>
      </c>
      <c r="J19196" s="2">
        <v>850</v>
      </c>
      <c r="K19196" s="2">
        <v>124</v>
      </c>
      <c r="L19196" s="2">
        <v>306</v>
      </c>
    </row>
    <row r="19197" spans="1:12" x14ac:dyDescent="0.25">
      <c r="A19197" s="4" t="str">
        <f>HYPERLINK("http://www.rosaceae.org/Prunus/Prunus_persica/p.persica_gdr_reftransV1_0014400","p.persica_gdr_reftransV1_0014400")</f>
        <v>p.persica_gdr_reftransV1_0014400</v>
      </c>
      <c r="B19197" s="2">
        <v>833</v>
      </c>
      <c r="C19197" s="4" t="str">
        <f>HYPERLINK("http://www.uniprot.org/uniprot/A0A067H0G8","A0A067H0G8")</f>
        <v>A0A067H0G8</v>
      </c>
      <c r="D19197" s="2" t="s">
        <v>3768</v>
      </c>
      <c r="E19197" s="3">
        <v>6.9000000000000002E-36</v>
      </c>
      <c r="F19197" s="2">
        <v>357</v>
      </c>
      <c r="G19197" s="2">
        <v>70</v>
      </c>
      <c r="H19197" s="2">
        <v>102</v>
      </c>
      <c r="I19197" s="2">
        <v>2</v>
      </c>
      <c r="J19197" s="2">
        <v>307</v>
      </c>
      <c r="K19197" s="2">
        <v>1</v>
      </c>
      <c r="L19197" s="2">
        <v>102</v>
      </c>
    </row>
    <row r="19198" spans="1:12" x14ac:dyDescent="0.25">
      <c r="A19198" s="4" t="str">
        <f>HYPERLINK("http://www.rosaceae.org/Prunus/Prunus_persica/p.persica_gdr_reftransV1_0014750","p.persica_gdr_reftransV1_0014750")</f>
        <v>p.persica_gdr_reftransV1_0014750</v>
      </c>
      <c r="B19198" s="2">
        <v>892</v>
      </c>
      <c r="C19198" s="4" t="str">
        <f>HYPERLINK("http://www.uniprot.org/uniprot/M5W1D2","M5W1D2")</f>
        <v>M5W1D2</v>
      </c>
      <c r="D19198" s="2" t="s">
        <v>14734</v>
      </c>
      <c r="E19198" s="3">
        <v>9.4700000000000004E-92</v>
      </c>
      <c r="F19198" s="2">
        <v>721</v>
      </c>
      <c r="G19198" s="2">
        <v>100</v>
      </c>
      <c r="H19198" s="2">
        <v>182</v>
      </c>
      <c r="I19198" s="2">
        <v>43</v>
      </c>
      <c r="J19198" s="2">
        <v>588</v>
      </c>
      <c r="K19198" s="2">
        <v>1</v>
      </c>
      <c r="L19198" s="2">
        <v>182</v>
      </c>
    </row>
    <row r="19199" spans="1:12" x14ac:dyDescent="0.25">
      <c r="A19199" s="4" t="str">
        <f>HYPERLINK("http://www.rosaceae.org/Prunus/Prunus_persica/p.persica_gdr_reftransV1_0016500","p.persica_gdr_reftransV1_0016500")</f>
        <v>p.persica_gdr_reftransV1_0016500</v>
      </c>
      <c r="B19199" s="2">
        <v>580</v>
      </c>
      <c r="C19199" s="4" t="str">
        <f>HYPERLINK("http://www.uniprot.org/uniprot/M5Y6E5","M5Y6E5")</f>
        <v>M5Y6E5</v>
      </c>
      <c r="D19199" s="2" t="s">
        <v>6811</v>
      </c>
      <c r="E19199" s="3">
        <v>2.7099999999999999E-113</v>
      </c>
      <c r="F19199" s="2">
        <v>923</v>
      </c>
      <c r="G19199" s="2">
        <v>100</v>
      </c>
      <c r="H19199" s="2">
        <v>192</v>
      </c>
      <c r="I19199" s="2">
        <v>3</v>
      </c>
      <c r="J19199" s="2">
        <v>578</v>
      </c>
      <c r="K19199" s="2">
        <v>887</v>
      </c>
      <c r="L19199" s="2">
        <v>1078</v>
      </c>
    </row>
    <row r="19200" spans="1:12" x14ac:dyDescent="0.25">
      <c r="A19200" s="4" t="str">
        <f>HYPERLINK("http://www.rosaceae.org/Prunus/Prunus_persica/p.persica_gdr_reftransV1_0018250","p.persica_gdr_reftransV1_0018250")</f>
        <v>p.persica_gdr_reftransV1_0018250</v>
      </c>
      <c r="B19200" s="2">
        <v>970</v>
      </c>
      <c r="C19200" s="4" t="str">
        <f>HYPERLINK("http://www.uniprot.org/uniprot/B9HCB9","B9HCB9")</f>
        <v>B9HCB9</v>
      </c>
      <c r="D19200" s="2" t="s">
        <v>14735</v>
      </c>
      <c r="E19200" s="3">
        <v>9.5999999999999999E-64</v>
      </c>
      <c r="F19200" s="2">
        <v>535</v>
      </c>
      <c r="G19200" s="2">
        <v>61</v>
      </c>
      <c r="H19200" s="2">
        <v>164</v>
      </c>
      <c r="I19200" s="2">
        <v>382</v>
      </c>
      <c r="J19200" s="2">
        <v>864</v>
      </c>
      <c r="K19200" s="2">
        <v>1</v>
      </c>
      <c r="L19200" s="2">
        <v>164</v>
      </c>
    </row>
    <row r="19201" spans="1:12" x14ac:dyDescent="0.25">
      <c r="A19201" s="4" t="str">
        <f>HYPERLINK("http://www.rosaceae.org/Prunus/Prunus_persica/p.persica_gdr_reftransV1_0018600","p.persica_gdr_reftransV1_0018600")</f>
        <v>p.persica_gdr_reftransV1_0018600</v>
      </c>
      <c r="B19201" s="2">
        <v>2344</v>
      </c>
      <c r="C19201" s="4" t="str">
        <f>HYPERLINK("http://www.uniprot.org/uniprot/M5WBG2","M5WBG2")</f>
        <v>M5WBG2</v>
      </c>
      <c r="D19201" s="2" t="s">
        <v>14736</v>
      </c>
      <c r="E19201" s="3">
        <v>0</v>
      </c>
      <c r="F19201" s="2">
        <v>2815</v>
      </c>
      <c r="G19201" s="2">
        <v>95</v>
      </c>
      <c r="H19201" s="2">
        <v>573</v>
      </c>
      <c r="I19201" s="2">
        <v>160</v>
      </c>
      <c r="J19201" s="2">
        <v>1878</v>
      </c>
      <c r="K19201" s="2">
        <v>8</v>
      </c>
      <c r="L19201" s="2">
        <v>553</v>
      </c>
    </row>
    <row r="19202" spans="1:12" x14ac:dyDescent="0.25">
      <c r="A19202" s="4" t="str">
        <f>HYPERLINK("http://www.rosaceae.org/Prunus/Prunus_persica/p.persica_gdr_reftransV1_0019650","p.persica_gdr_reftransV1_0019650")</f>
        <v>p.persica_gdr_reftransV1_0019650</v>
      </c>
      <c r="B19202" s="2">
        <v>3730</v>
      </c>
      <c r="C19202" s="4" t="str">
        <f>HYPERLINK("http://www.uniprot.org/uniprot/M5XKZ3","M5XKZ3")</f>
        <v>M5XKZ3</v>
      </c>
      <c r="D19202" s="2" t="s">
        <v>14737</v>
      </c>
      <c r="E19202" s="3">
        <v>0</v>
      </c>
      <c r="F19202" s="2">
        <v>4997</v>
      </c>
      <c r="G19202" s="2">
        <v>100</v>
      </c>
      <c r="H19202" s="2">
        <v>1022</v>
      </c>
      <c r="I19202" s="2">
        <v>324</v>
      </c>
      <c r="J19202" s="2">
        <v>3389</v>
      </c>
      <c r="K19202" s="2">
        <v>1</v>
      </c>
      <c r="L19202" s="2">
        <v>1022</v>
      </c>
    </row>
    <row r="19203" spans="1:12" x14ac:dyDescent="0.25">
      <c r="A19203" s="4" t="str">
        <f>HYPERLINK("http://www.rosaceae.org/Prunus/Prunus_persica/p.persica_gdr_reftransV1_0023150","p.persica_gdr_reftransV1_0023150")</f>
        <v>p.persica_gdr_reftransV1_0023150</v>
      </c>
      <c r="B19203" s="2">
        <v>3775</v>
      </c>
      <c r="C19203" s="4" t="str">
        <f>HYPERLINK("http://www.uniprot.org/uniprot/M5X3W3","M5X3W3")</f>
        <v>M5X3W3</v>
      </c>
      <c r="D19203" s="2" t="s">
        <v>7047</v>
      </c>
      <c r="E19203" s="3">
        <v>0</v>
      </c>
      <c r="F19203" s="2">
        <v>2953</v>
      </c>
      <c r="G19203" s="2">
        <v>93</v>
      </c>
      <c r="H19203" s="2">
        <v>590</v>
      </c>
      <c r="I19203" s="2">
        <v>68</v>
      </c>
      <c r="J19203" s="2">
        <v>1837</v>
      </c>
      <c r="K19203" s="2">
        <v>113</v>
      </c>
      <c r="L19203" s="2">
        <v>663</v>
      </c>
    </row>
    <row r="19204" spans="1:12" x14ac:dyDescent="0.25">
      <c r="A19204" s="4" t="str">
        <f>HYPERLINK("http://www.rosaceae.org/Prunus/Prunus_persica/p.persica_gdr_reftransV1_0023500","p.persica_gdr_reftransV1_0023500")</f>
        <v>p.persica_gdr_reftransV1_0023500</v>
      </c>
      <c r="B19204" s="2">
        <v>3600</v>
      </c>
      <c r="C19204" s="4" t="str">
        <f>HYPERLINK("http://www.uniprot.org/uniprot/M5XL19","M5XL19")</f>
        <v>M5XL19</v>
      </c>
      <c r="D19204" s="2" t="s">
        <v>14222</v>
      </c>
      <c r="E19204" s="3">
        <v>0</v>
      </c>
      <c r="F19204" s="2">
        <v>4767</v>
      </c>
      <c r="G19204" s="2">
        <v>96</v>
      </c>
      <c r="H19204" s="2">
        <v>1025</v>
      </c>
      <c r="I19204" s="2">
        <v>335</v>
      </c>
      <c r="J19204" s="2">
        <v>3409</v>
      </c>
      <c r="K19204" s="2">
        <v>124</v>
      </c>
      <c r="L19204" s="2">
        <v>1116</v>
      </c>
    </row>
    <row r="19205" spans="1:12" x14ac:dyDescent="0.25">
      <c r="A19205" s="4" t="str">
        <f>HYPERLINK("http://www.rosaceae.org/Prunus/Prunus_persica/p.persica_gdr_reftransV1_0025600","p.persica_gdr_reftransV1_0025600")</f>
        <v>p.persica_gdr_reftransV1_0025600</v>
      </c>
      <c r="B19205" s="2">
        <v>1840</v>
      </c>
      <c r="C19205" s="4" t="str">
        <f>HYPERLINK("http://www.uniprot.org/uniprot/M5VTZ1","M5VTZ1")</f>
        <v>M5VTZ1</v>
      </c>
      <c r="D19205" s="2" t="s">
        <v>14738</v>
      </c>
      <c r="E19205" s="3">
        <v>0</v>
      </c>
      <c r="F19205" s="2">
        <v>1497</v>
      </c>
      <c r="G19205" s="2">
        <v>100</v>
      </c>
      <c r="H19205" s="2">
        <v>343</v>
      </c>
      <c r="I19205" s="2">
        <v>21</v>
      </c>
      <c r="J19205" s="2">
        <v>1049</v>
      </c>
      <c r="K19205" s="2">
        <v>1</v>
      </c>
      <c r="L19205" s="2">
        <v>343</v>
      </c>
    </row>
    <row r="19206" spans="1:12" x14ac:dyDescent="0.25">
      <c r="A19206" s="4" t="str">
        <f>HYPERLINK("http://www.rosaceae.org/Prunus/Prunus_persica/p.persica_gdr_reftransV1_0029450","p.persica_gdr_reftransV1_0029450")</f>
        <v>p.persica_gdr_reftransV1_0029450</v>
      </c>
      <c r="B19206" s="2">
        <v>1719</v>
      </c>
      <c r="C19206" s="4" t="str">
        <f>HYPERLINK("http://www.uniprot.org/uniprot/M5X2V3","M5X2V3")</f>
        <v>M5X2V3</v>
      </c>
      <c r="D19206" s="2" t="s">
        <v>14739</v>
      </c>
      <c r="E19206" s="3">
        <v>0</v>
      </c>
      <c r="F19206" s="2">
        <v>1830</v>
      </c>
      <c r="G19206" s="2">
        <v>98</v>
      </c>
      <c r="H19206" s="2">
        <v>361</v>
      </c>
      <c r="I19206" s="2">
        <v>182</v>
      </c>
      <c r="J19206" s="2">
        <v>1249</v>
      </c>
      <c r="K19206" s="2">
        <v>1</v>
      </c>
      <c r="L19206" s="2">
        <v>361</v>
      </c>
    </row>
    <row r="19207" spans="1:12" x14ac:dyDescent="0.25">
      <c r="A19207" s="4" t="str">
        <f>HYPERLINK("http://www.rosaceae.org/Prunus/Prunus_persica/p.persica_gdr_reftransV1_0029800","p.persica_gdr_reftransV1_0029800")</f>
        <v>p.persica_gdr_reftransV1_0029800</v>
      </c>
      <c r="B19207" s="2">
        <v>3116</v>
      </c>
      <c r="C19207" s="4" t="str">
        <f>HYPERLINK("http://www.uniprot.org/uniprot/M5WDA6","M5WDA6")</f>
        <v>M5WDA6</v>
      </c>
      <c r="D19207" s="2" t="s">
        <v>14740</v>
      </c>
      <c r="E19207" s="3">
        <v>2.8999999999999998E-82</v>
      </c>
      <c r="F19207" s="2">
        <v>723</v>
      </c>
      <c r="G19207" s="2">
        <v>100</v>
      </c>
      <c r="H19207" s="2">
        <v>139</v>
      </c>
      <c r="I19207" s="2">
        <v>202</v>
      </c>
      <c r="J19207" s="2">
        <v>618</v>
      </c>
      <c r="K19207" s="2">
        <v>229</v>
      </c>
      <c r="L19207" s="2">
        <v>367</v>
      </c>
    </row>
    <row r="19208" spans="1:12" x14ac:dyDescent="0.25">
      <c r="A19208" s="4" t="str">
        <f>HYPERLINK("http://www.rosaceae.org/Prunus/Prunus_persica/p.persica_gdr_reftransV1_0031200","p.persica_gdr_reftransV1_0031200")</f>
        <v>p.persica_gdr_reftransV1_0031200</v>
      </c>
      <c r="B19208" s="2">
        <v>3342</v>
      </c>
      <c r="C19208" s="4" t="str">
        <f>HYPERLINK("http://www.uniprot.org/uniprot/M5WYS0","M5WYS0")</f>
        <v>M5WYS0</v>
      </c>
      <c r="D19208" s="2" t="s">
        <v>10502</v>
      </c>
      <c r="E19208" s="3">
        <v>0</v>
      </c>
      <c r="F19208" s="2">
        <v>3363</v>
      </c>
      <c r="G19208" s="2">
        <v>100</v>
      </c>
      <c r="H19208" s="2">
        <v>635</v>
      </c>
      <c r="I19208" s="2">
        <v>971</v>
      </c>
      <c r="J19208" s="2">
        <v>2875</v>
      </c>
      <c r="K19208" s="2">
        <v>1</v>
      </c>
      <c r="L19208" s="2">
        <v>635</v>
      </c>
    </row>
    <row r="19209" spans="1:12" x14ac:dyDescent="0.25">
      <c r="A19209" s="4" t="str">
        <f>HYPERLINK("http://www.rosaceae.org/Prunus/Prunus_persica/p.persica_gdr_reftransV1_0031900","p.persica_gdr_reftransV1_0031900")</f>
        <v>p.persica_gdr_reftransV1_0031900</v>
      </c>
      <c r="B19209" s="2">
        <v>4150</v>
      </c>
      <c r="C19209" s="4" t="str">
        <f>HYPERLINK("http://www.uniprot.org/uniprot/M5X719","M5X719")</f>
        <v>M5X719</v>
      </c>
      <c r="D19209" s="2" t="s">
        <v>14741</v>
      </c>
      <c r="E19209" s="3">
        <v>0</v>
      </c>
      <c r="F19209" s="2">
        <v>3473</v>
      </c>
      <c r="G19209" s="2">
        <v>100</v>
      </c>
      <c r="H19209" s="2">
        <v>667</v>
      </c>
      <c r="I19209" s="2">
        <v>187</v>
      </c>
      <c r="J19209" s="2">
        <v>2187</v>
      </c>
      <c r="K19209" s="2">
        <v>1</v>
      </c>
      <c r="L19209" s="2">
        <v>667</v>
      </c>
    </row>
    <row r="19210" spans="1:12" x14ac:dyDescent="0.25">
      <c r="A19210" s="4" t="str">
        <f>HYPERLINK("http://www.rosaceae.org/Prunus/Prunus_persica/p.persica_gdr_reftransV1_0032600","p.persica_gdr_reftransV1_0032600")</f>
        <v>p.persica_gdr_reftransV1_0032600</v>
      </c>
      <c r="B19210" s="2">
        <v>739</v>
      </c>
      <c r="C19210" s="4" t="str">
        <f>HYPERLINK("http://www.uniprot.org/uniprot/M5WLZ5","M5WLZ5")</f>
        <v>M5WLZ5</v>
      </c>
      <c r="D19210" s="2" t="s">
        <v>2392</v>
      </c>
      <c r="E19210" s="3">
        <v>2.07E-89</v>
      </c>
      <c r="F19210" s="2">
        <v>724</v>
      </c>
      <c r="G19210" s="2">
        <v>97</v>
      </c>
      <c r="H19210" s="2">
        <v>174</v>
      </c>
      <c r="I19210" s="2">
        <v>139</v>
      </c>
      <c r="J19210" s="2">
        <v>660</v>
      </c>
      <c r="K19210" s="2">
        <v>14</v>
      </c>
      <c r="L19210" s="2">
        <v>187</v>
      </c>
    </row>
    <row r="19211" spans="1:12" x14ac:dyDescent="0.25">
      <c r="A19211" s="4" t="str">
        <f>HYPERLINK("http://www.rosaceae.org/Prunus/Prunus_persica/p.persica_gdr_reftransV1_0032950","p.persica_gdr_reftransV1_0032950")</f>
        <v>p.persica_gdr_reftransV1_0032950</v>
      </c>
      <c r="B19211" s="2">
        <v>2657</v>
      </c>
      <c r="C19211" s="4" t="str">
        <f>HYPERLINK("http://www.uniprot.org/uniprot/M5W5K5","M5W5K5")</f>
        <v>M5W5K5</v>
      </c>
      <c r="D19211" s="2" t="s">
        <v>14742</v>
      </c>
      <c r="E19211" s="3">
        <v>0</v>
      </c>
      <c r="F19211" s="2">
        <v>1563</v>
      </c>
      <c r="G19211" s="2">
        <v>100</v>
      </c>
      <c r="H19211" s="2">
        <v>294</v>
      </c>
      <c r="I19211" s="2">
        <v>356</v>
      </c>
      <c r="J19211" s="2">
        <v>1237</v>
      </c>
      <c r="K19211" s="2">
        <v>1</v>
      </c>
      <c r="L19211" s="2">
        <v>294</v>
      </c>
    </row>
    <row r="19212" spans="1:12" x14ac:dyDescent="0.25">
      <c r="A19212" s="4" t="str">
        <f>HYPERLINK("http://www.rosaceae.org/Prunus/Prunus_persica/p.persica_gdr_reftransV1_0033650","p.persica_gdr_reftransV1_0033650")</f>
        <v>p.persica_gdr_reftransV1_0033650</v>
      </c>
      <c r="B19212" s="2">
        <v>3169</v>
      </c>
      <c r="C19212" s="4" t="str">
        <f>HYPERLINK("http://www.uniprot.org/uniprot/M5X861","M5X861")</f>
        <v>M5X861</v>
      </c>
      <c r="D19212" s="2" t="s">
        <v>14743</v>
      </c>
      <c r="E19212" s="3">
        <v>1.4899999999999999E-94</v>
      </c>
      <c r="F19212" s="2">
        <v>789</v>
      </c>
      <c r="G19212" s="2">
        <v>100</v>
      </c>
      <c r="H19212" s="2">
        <v>149</v>
      </c>
      <c r="I19212" s="2">
        <v>314</v>
      </c>
      <c r="J19212" s="2">
        <v>760</v>
      </c>
      <c r="K19212" s="2">
        <v>1</v>
      </c>
      <c r="L19212" s="2">
        <v>149</v>
      </c>
    </row>
    <row r="19213" spans="1:12" x14ac:dyDescent="0.25">
      <c r="A19213" s="4" t="str">
        <f>HYPERLINK("http://www.rosaceae.org/Prunus/Prunus_persica/p.persica_gdr_reftransV1_0034000","p.persica_gdr_reftransV1_0034000")</f>
        <v>p.persica_gdr_reftransV1_0034000</v>
      </c>
      <c r="B19213" s="2">
        <v>1238</v>
      </c>
      <c r="C19213" s="4" t="str">
        <f>HYPERLINK("http://www.uniprot.org/uniprot/M5W3Z8","M5W3Z8")</f>
        <v>M5W3Z8</v>
      </c>
      <c r="D19213" s="2" t="s">
        <v>14744</v>
      </c>
      <c r="E19213" s="3">
        <v>3.7700000000000001E-66</v>
      </c>
      <c r="F19213" s="2">
        <v>553</v>
      </c>
      <c r="G19213" s="2">
        <v>99</v>
      </c>
      <c r="H19213" s="2">
        <v>107</v>
      </c>
      <c r="I19213" s="2">
        <v>353</v>
      </c>
      <c r="J19213" s="2">
        <v>673</v>
      </c>
      <c r="K19213" s="2">
        <v>1</v>
      </c>
      <c r="L19213" s="2">
        <v>107</v>
      </c>
    </row>
    <row r="19214" spans="1:12" x14ac:dyDescent="0.25">
      <c r="A19214" s="4" t="str">
        <f>HYPERLINK("http://www.rosaceae.org/Prunus/Prunus_persica/p.persica_gdr_reftransV1_0039600","p.persica_gdr_reftransV1_0039600")</f>
        <v>p.persica_gdr_reftransV1_0039600</v>
      </c>
      <c r="B19214" s="2">
        <v>1513</v>
      </c>
      <c r="C19214" s="4" t="str">
        <f>HYPERLINK("http://www.uniprot.org/uniprot/M5XCR7","M5XCR7")</f>
        <v>M5XCR7</v>
      </c>
      <c r="D19214" s="2" t="s">
        <v>14745</v>
      </c>
      <c r="E19214" s="3">
        <v>2.8499999999999998E-136</v>
      </c>
      <c r="F19214" s="2">
        <v>896</v>
      </c>
      <c r="G19214" s="2">
        <v>100</v>
      </c>
      <c r="H19214" s="2">
        <v>165</v>
      </c>
      <c r="I19214" s="2">
        <v>644</v>
      </c>
      <c r="J19214" s="2">
        <v>1138</v>
      </c>
      <c r="K19214" s="2">
        <v>86</v>
      </c>
      <c r="L19214" s="2">
        <v>250</v>
      </c>
    </row>
    <row r="19215" spans="1:12" x14ac:dyDescent="0.25">
      <c r="A19215" s="4" t="str">
        <f>HYPERLINK("http://www.rosaceae.org/Prunus/Prunus_persica/p.persica_gdr_reftransV1_0040650","p.persica_gdr_reftransV1_0040650")</f>
        <v>p.persica_gdr_reftransV1_0040650</v>
      </c>
      <c r="B19215" s="2">
        <v>2128</v>
      </c>
      <c r="C19215" s="4" t="str">
        <f>HYPERLINK("http://www.uniprot.org/uniprot/M5VW22","M5VW22")</f>
        <v>M5VW22</v>
      </c>
      <c r="D19215" s="2" t="s">
        <v>989</v>
      </c>
      <c r="E19215" s="3">
        <v>2.5800000000000002E-159</v>
      </c>
      <c r="F19215" s="2">
        <v>1234</v>
      </c>
      <c r="G19215" s="2">
        <v>94</v>
      </c>
      <c r="H19215" s="2">
        <v>260</v>
      </c>
      <c r="I19215" s="2">
        <v>349</v>
      </c>
      <c r="J19215" s="2">
        <v>1128</v>
      </c>
      <c r="K19215" s="2">
        <v>15</v>
      </c>
      <c r="L19215" s="2">
        <v>272</v>
      </c>
    </row>
    <row r="19216" spans="1:12" x14ac:dyDescent="0.25">
      <c r="A19216" s="4" t="str">
        <f>HYPERLINK("http://www.rosaceae.org/Prunus/Prunus_persica/p.persica_gdr_reftransV1_0041000","p.persica_gdr_reftransV1_0041000")</f>
        <v>p.persica_gdr_reftransV1_0041000</v>
      </c>
      <c r="B19216" s="2">
        <v>2935</v>
      </c>
      <c r="C19216" s="4" t="str">
        <f>HYPERLINK("http://www.uniprot.org/uniprot/M5X9P0","M5X9P0")</f>
        <v>M5X9P0</v>
      </c>
      <c r="D19216" s="2" t="s">
        <v>14746</v>
      </c>
      <c r="E19216" s="3">
        <v>0</v>
      </c>
      <c r="F19216" s="2">
        <v>2329</v>
      </c>
      <c r="G19216" s="2">
        <v>100</v>
      </c>
      <c r="H19216" s="2">
        <v>445</v>
      </c>
      <c r="I19216" s="2">
        <v>244</v>
      </c>
      <c r="J19216" s="2">
        <v>1578</v>
      </c>
      <c r="K19216" s="2">
        <v>1</v>
      </c>
      <c r="L19216" s="2">
        <v>445</v>
      </c>
    </row>
    <row r="19217" spans="1:12" x14ac:dyDescent="0.25">
      <c r="A19217" s="4" t="str">
        <f>HYPERLINK("http://www.rosaceae.org/Prunus/Prunus_persica/p.persica_gdr_reftransV1_0041350","p.persica_gdr_reftransV1_0041350")</f>
        <v>p.persica_gdr_reftransV1_0041350</v>
      </c>
      <c r="B19217" s="2">
        <v>1279</v>
      </c>
      <c r="C19217" s="4" t="str">
        <f>HYPERLINK("http://www.uniprot.org/uniprot/M5WGJ8","M5WGJ8")</f>
        <v>M5WGJ8</v>
      </c>
      <c r="D19217" s="2" t="s">
        <v>14747</v>
      </c>
      <c r="E19217" s="3">
        <v>0</v>
      </c>
      <c r="F19217" s="2">
        <v>1604</v>
      </c>
      <c r="G19217" s="2">
        <v>100</v>
      </c>
      <c r="H19217" s="2">
        <v>315</v>
      </c>
      <c r="I19217" s="2">
        <v>278</v>
      </c>
      <c r="J19217" s="2">
        <v>1222</v>
      </c>
      <c r="K19217" s="2">
        <v>1</v>
      </c>
      <c r="L19217" s="2">
        <v>315</v>
      </c>
    </row>
    <row r="19218" spans="1:12" x14ac:dyDescent="0.25">
      <c r="A19218" s="4" t="str">
        <f>HYPERLINK("http://www.rosaceae.org/Prunus/Prunus_persica/p.persica_gdr_reftransV1_0043100","p.persica_gdr_reftransV1_0043100")</f>
        <v>p.persica_gdr_reftransV1_0043100</v>
      </c>
      <c r="B19218" s="2">
        <v>1139</v>
      </c>
      <c r="C19218" s="4" t="str">
        <f>HYPERLINK("http://www.uniprot.org/uniprot/M5WGM4","M5WGM4")</f>
        <v>M5WGM4</v>
      </c>
      <c r="D19218" s="2" t="s">
        <v>6126</v>
      </c>
      <c r="E19218" s="3">
        <v>0</v>
      </c>
      <c r="F19218" s="2">
        <v>1381</v>
      </c>
      <c r="G19218" s="2">
        <v>99</v>
      </c>
      <c r="H19218" s="2">
        <v>305</v>
      </c>
      <c r="I19218" s="2">
        <v>150</v>
      </c>
      <c r="J19218" s="2">
        <v>1064</v>
      </c>
      <c r="K19218" s="2">
        <v>1</v>
      </c>
      <c r="L19218" s="2">
        <v>305</v>
      </c>
    </row>
    <row r="19219" spans="1:12" x14ac:dyDescent="0.25">
      <c r="A19219" s="4" t="str">
        <f>HYPERLINK("http://www.rosaceae.org/Prunus/Prunus_persica/p.persica_gdr_reftransV1_0043800","p.persica_gdr_reftransV1_0043800")</f>
        <v>p.persica_gdr_reftransV1_0043800</v>
      </c>
      <c r="B19219" s="2">
        <v>1412</v>
      </c>
      <c r="C19219" s="4" t="str">
        <f>HYPERLINK("http://www.uniprot.org/uniprot/M5XHT9","M5XHT9")</f>
        <v>M5XHT9</v>
      </c>
      <c r="D19219" s="2" t="s">
        <v>14748</v>
      </c>
      <c r="E19219" s="3">
        <v>0</v>
      </c>
      <c r="F19219" s="2">
        <v>1812</v>
      </c>
      <c r="G19219" s="2">
        <v>100</v>
      </c>
      <c r="H19219" s="2">
        <v>360</v>
      </c>
      <c r="I19219" s="2">
        <v>136</v>
      </c>
      <c r="J19219" s="2">
        <v>1215</v>
      </c>
      <c r="K19219" s="2">
        <v>1</v>
      </c>
      <c r="L19219" s="2">
        <v>360</v>
      </c>
    </row>
    <row r="19220" spans="1:12" x14ac:dyDescent="0.25">
      <c r="A19220" s="4" t="str">
        <f>HYPERLINK("http://www.rosaceae.org/Prunus/Prunus_persica/p.persica_gdr_reftransV1_0044150","p.persica_gdr_reftransV1_0044150")</f>
        <v>p.persica_gdr_reftransV1_0044150</v>
      </c>
      <c r="B19220" s="2">
        <v>1505</v>
      </c>
      <c r="C19220" s="4" t="str">
        <f>HYPERLINK("http://www.uniprot.org/uniprot/M5XJV4","M5XJV4")</f>
        <v>M5XJV4</v>
      </c>
      <c r="D19220" s="2" t="s">
        <v>2622</v>
      </c>
      <c r="E19220" s="3">
        <v>1.82E-115</v>
      </c>
      <c r="F19220" s="2">
        <v>955</v>
      </c>
      <c r="G19220" s="2">
        <v>58</v>
      </c>
      <c r="H19220" s="2">
        <v>356</v>
      </c>
      <c r="I19220" s="2">
        <v>68</v>
      </c>
      <c r="J19220" s="2">
        <v>1123</v>
      </c>
      <c r="K19220" s="2">
        <v>543</v>
      </c>
      <c r="L19220" s="2">
        <v>855</v>
      </c>
    </row>
    <row r="19221" spans="1:12" x14ac:dyDescent="0.25">
      <c r="A19221" s="4" t="str">
        <f>HYPERLINK("http://www.rosaceae.org/Prunus/Prunus_persica/p.persica_gdr_reftransV1_0044500","p.persica_gdr_reftransV1_0044500")</f>
        <v>p.persica_gdr_reftransV1_0044500</v>
      </c>
      <c r="B19221" s="2">
        <v>2215</v>
      </c>
      <c r="C19221" s="4" t="str">
        <f>HYPERLINK("http://www.uniprot.org/uniprot/M5W4Z5","M5W4Z5")</f>
        <v>M5W4Z5</v>
      </c>
      <c r="D19221" s="2" t="s">
        <v>2778</v>
      </c>
      <c r="E19221" s="3">
        <v>0</v>
      </c>
      <c r="F19221" s="2">
        <v>2776</v>
      </c>
      <c r="G19221" s="2">
        <v>93</v>
      </c>
      <c r="H19221" s="2">
        <v>641</v>
      </c>
      <c r="I19221" s="2">
        <v>196</v>
      </c>
      <c r="J19221" s="2">
        <v>2118</v>
      </c>
      <c r="K19221" s="2">
        <v>1</v>
      </c>
      <c r="L19221" s="2">
        <v>601</v>
      </c>
    </row>
    <row r="19222" spans="1:12" x14ac:dyDescent="0.25">
      <c r="A19222" s="4" t="str">
        <f>HYPERLINK("http://www.rosaceae.org/Prunus/Prunus_persica/p.persica_gdr_reftransV1_0044850","p.persica_gdr_reftransV1_0044850")</f>
        <v>p.persica_gdr_reftransV1_0044850</v>
      </c>
      <c r="B19222" s="2">
        <v>390</v>
      </c>
      <c r="C19222" s="4" t="str">
        <f>HYPERLINK("http://www.uniprot.org/uniprot/M5VNE8","M5VNE8")</f>
        <v>M5VNE8</v>
      </c>
      <c r="D19222" s="2" t="s">
        <v>14749</v>
      </c>
      <c r="E19222" s="3">
        <v>6.7299999999999997E-69</v>
      </c>
      <c r="F19222" s="2">
        <v>593</v>
      </c>
      <c r="G19222" s="2">
        <v>91</v>
      </c>
      <c r="H19222" s="2">
        <v>127</v>
      </c>
      <c r="I19222" s="2">
        <v>8</v>
      </c>
      <c r="J19222" s="2">
        <v>388</v>
      </c>
      <c r="K19222" s="2">
        <v>1</v>
      </c>
      <c r="L19222" s="2">
        <v>115</v>
      </c>
    </row>
    <row r="19223" spans="1:12" x14ac:dyDescent="0.25">
      <c r="A19223" s="4" t="str">
        <f>HYPERLINK("http://www.rosaceae.org/Prunus/Prunus_persica/p.persica_gdr_reftransV1_0045200","p.persica_gdr_reftransV1_0045200")</f>
        <v>p.persica_gdr_reftransV1_0045200</v>
      </c>
      <c r="B19223" s="2">
        <v>811</v>
      </c>
      <c r="C19223" s="4" t="str">
        <f>HYPERLINK("http://www.uniprot.org/uniprot/M5X277","M5X277")</f>
        <v>M5X277</v>
      </c>
      <c r="D19223" s="2" t="s">
        <v>14750</v>
      </c>
      <c r="E19223" s="3">
        <v>7.9500000000000004E-102</v>
      </c>
      <c r="F19223" s="2">
        <v>816</v>
      </c>
      <c r="G19223" s="2">
        <v>100</v>
      </c>
      <c r="H19223" s="2">
        <v>150</v>
      </c>
      <c r="I19223" s="2">
        <v>361</v>
      </c>
      <c r="J19223" s="2">
        <v>810</v>
      </c>
      <c r="K19223" s="2">
        <v>1</v>
      </c>
      <c r="L19223" s="2">
        <v>150</v>
      </c>
    </row>
    <row r="19224" spans="1:12" x14ac:dyDescent="0.25">
      <c r="A19224" s="4" t="str">
        <f>HYPERLINK("http://www.rosaceae.org/Prunus/Prunus_persica/p.persica_gdr_reftransV1_0045900","p.persica_gdr_reftransV1_0045900")</f>
        <v>p.persica_gdr_reftransV1_0045900</v>
      </c>
      <c r="B19224" s="2">
        <v>1351</v>
      </c>
      <c r="C19224" s="4" t="str">
        <f>HYPERLINK("http://www.uniprot.org/uniprot/M5W008","M5W008")</f>
        <v>M5W008</v>
      </c>
      <c r="D19224" s="2" t="s">
        <v>11642</v>
      </c>
      <c r="E19224" s="3">
        <v>9.7399999999999994E-126</v>
      </c>
      <c r="F19224" s="2">
        <v>965</v>
      </c>
      <c r="G19224" s="2">
        <v>100</v>
      </c>
      <c r="H19224" s="2">
        <v>223</v>
      </c>
      <c r="I19224" s="2">
        <v>467</v>
      </c>
      <c r="J19224" s="2">
        <v>1135</v>
      </c>
      <c r="K19224" s="2">
        <v>1</v>
      </c>
      <c r="L19224" s="2">
        <v>223</v>
      </c>
    </row>
    <row r="19225" spans="1:12" x14ac:dyDescent="0.25">
      <c r="A19225" s="4" t="str">
        <f>HYPERLINK("http://www.rosaceae.org/Prunus/Prunus_persica/p.persica_gdr_reftransV1_0046250","p.persica_gdr_reftransV1_0046250")</f>
        <v>p.persica_gdr_reftransV1_0046250</v>
      </c>
      <c r="B19225" s="2">
        <v>323</v>
      </c>
      <c r="C19225" s="4" t="str">
        <f>HYPERLINK("http://www.uniprot.org/uniprot/M5X143","M5X143")</f>
        <v>M5X143</v>
      </c>
      <c r="D19225" s="2" t="s">
        <v>14751</v>
      </c>
      <c r="E19225" s="3">
        <v>3.5999999999999999E-44</v>
      </c>
      <c r="F19225" s="2">
        <v>386</v>
      </c>
      <c r="G19225" s="2">
        <v>100</v>
      </c>
      <c r="H19225" s="2">
        <v>70</v>
      </c>
      <c r="I19225" s="2">
        <v>112</v>
      </c>
      <c r="J19225" s="2">
        <v>321</v>
      </c>
      <c r="K19225" s="2">
        <v>67</v>
      </c>
      <c r="L19225" s="2">
        <v>136</v>
      </c>
    </row>
    <row r="19226" spans="1:12" x14ac:dyDescent="0.25">
      <c r="A19226" s="4" t="str">
        <f>HYPERLINK("http://www.rosaceae.org/Prunus/Prunus_persica/p.persica_gdr_reftransV1_0047300","p.persica_gdr_reftransV1_0047300")</f>
        <v>p.persica_gdr_reftransV1_0047300</v>
      </c>
      <c r="B19226" s="2">
        <v>897</v>
      </c>
      <c r="C19226" s="4" t="str">
        <f>HYPERLINK("http://www.uniprot.org/uniprot/D7T4E4","D7T4E4")</f>
        <v>D7T4E4</v>
      </c>
      <c r="D19226" s="2" t="s">
        <v>14752</v>
      </c>
      <c r="E19226" s="3">
        <v>2.57E-37</v>
      </c>
      <c r="F19226" s="2">
        <v>354</v>
      </c>
      <c r="G19226" s="2">
        <v>93</v>
      </c>
      <c r="H19226" s="2">
        <v>88</v>
      </c>
      <c r="I19226" s="2">
        <v>564</v>
      </c>
      <c r="J19226" s="2">
        <v>827</v>
      </c>
      <c r="K19226" s="2">
        <v>21</v>
      </c>
      <c r="L19226" s="2">
        <v>108</v>
      </c>
    </row>
    <row r="19227" spans="1:12" x14ac:dyDescent="0.25">
      <c r="A19227" s="4" t="str">
        <f>HYPERLINK("http://www.rosaceae.org/Prunus/Prunus_persica/p.persica_gdr_reftransV1_0047650","p.persica_gdr_reftransV1_0047650")</f>
        <v>p.persica_gdr_reftransV1_0047650</v>
      </c>
      <c r="B19227" s="2">
        <v>309</v>
      </c>
      <c r="C19227" s="4" t="str">
        <f>HYPERLINK("http://www.uniprot.org/uniprot/M5VWQ5","M5VWQ5")</f>
        <v>M5VWQ5</v>
      </c>
      <c r="D19227" s="2" t="s">
        <v>14753</v>
      </c>
      <c r="E19227" s="3">
        <v>1.6399999999999999E-39</v>
      </c>
      <c r="F19227" s="2">
        <v>377</v>
      </c>
      <c r="G19227" s="2">
        <v>100</v>
      </c>
      <c r="H19227" s="2">
        <v>75</v>
      </c>
      <c r="I19227" s="2">
        <v>3</v>
      </c>
      <c r="J19227" s="2">
        <v>227</v>
      </c>
      <c r="K19227" s="2">
        <v>1</v>
      </c>
      <c r="L19227" s="2">
        <v>75</v>
      </c>
    </row>
    <row r="19228" spans="1:12" x14ac:dyDescent="0.25">
      <c r="A19228" s="4" t="str">
        <f>HYPERLINK("http://www.rosaceae.org/Prunus/Prunus_persica/p.persica_gdr_reftransV1_0048000","p.persica_gdr_reftransV1_0048000")</f>
        <v>p.persica_gdr_reftransV1_0048000</v>
      </c>
      <c r="B19228" s="2">
        <v>423</v>
      </c>
      <c r="C19228" s="4" t="str">
        <f>HYPERLINK("http://www.uniprot.org/uniprot/M5WJC6","M5WJC6")</f>
        <v>M5WJC6</v>
      </c>
      <c r="D19228" s="2" t="s">
        <v>8507</v>
      </c>
      <c r="E19228" s="3">
        <v>3.02E-40</v>
      </c>
      <c r="F19228" s="2">
        <v>369</v>
      </c>
      <c r="G19228" s="2">
        <v>100</v>
      </c>
      <c r="H19228" s="2">
        <v>69</v>
      </c>
      <c r="I19228" s="2">
        <v>142</v>
      </c>
      <c r="J19228" s="2">
        <v>348</v>
      </c>
      <c r="K19228" s="2">
        <v>7</v>
      </c>
      <c r="L19228" s="2">
        <v>75</v>
      </c>
    </row>
    <row r="19229" spans="1:12" x14ac:dyDescent="0.25">
      <c r="A19229" s="4" t="str">
        <f>HYPERLINK("http://www.rosaceae.org/Prunus/Prunus_persica/p.persica_gdr_reftransV1_0048350","p.persica_gdr_reftransV1_0048350")</f>
        <v>p.persica_gdr_reftransV1_0048350</v>
      </c>
      <c r="B19229" s="2">
        <v>2199</v>
      </c>
      <c r="C19229" s="4" t="str">
        <f>HYPERLINK("http://www.uniprot.org/uniprot/M5VK74","M5VK74")</f>
        <v>M5VK74</v>
      </c>
      <c r="D19229" s="2" t="s">
        <v>14754</v>
      </c>
      <c r="E19229" s="3">
        <v>0</v>
      </c>
      <c r="F19229" s="2">
        <v>2132</v>
      </c>
      <c r="G19229" s="2">
        <v>100</v>
      </c>
      <c r="H19229" s="2">
        <v>510</v>
      </c>
      <c r="I19229" s="2">
        <v>496</v>
      </c>
      <c r="J19229" s="2">
        <v>2025</v>
      </c>
      <c r="K19229" s="2">
        <v>1</v>
      </c>
      <c r="L19229" s="2">
        <v>510</v>
      </c>
    </row>
    <row r="19230" spans="1:12" x14ac:dyDescent="0.25">
      <c r="A19230" s="4" t="str">
        <f>HYPERLINK("http://www.rosaceae.org/Prunus/Prunus_persica/p.persica_gdr_reftransV1_0049050","p.persica_gdr_reftransV1_0049050")</f>
        <v>p.persica_gdr_reftransV1_0049050</v>
      </c>
      <c r="B19230" s="2">
        <v>3378</v>
      </c>
      <c r="C19230" s="4" t="str">
        <f>HYPERLINK("http://www.uniprot.org/uniprot/F4I448","F4I448")</f>
        <v>F4I448</v>
      </c>
      <c r="D19230" s="2" t="s">
        <v>14755</v>
      </c>
      <c r="E19230" s="3">
        <v>0</v>
      </c>
      <c r="F19230" s="2">
        <v>2297</v>
      </c>
      <c r="G19230" s="2">
        <v>60</v>
      </c>
      <c r="H19230" s="2">
        <v>770</v>
      </c>
      <c r="I19230" s="2">
        <v>560</v>
      </c>
      <c r="J19230" s="2">
        <v>2812</v>
      </c>
      <c r="K19230" s="2">
        <v>38</v>
      </c>
      <c r="L19230" s="2">
        <v>726</v>
      </c>
    </row>
    <row r="19231" spans="1:12" x14ac:dyDescent="0.25">
      <c r="A19231" s="4" t="str">
        <f>HYPERLINK("http://www.rosaceae.org/Prunus/Prunus_persica/p.persica_gdr_reftransV1_0000005","p.persica_gdr_reftransV1_0000005")</f>
        <v>p.persica_gdr_reftransV1_0000005</v>
      </c>
      <c r="B19231" s="2">
        <v>4057</v>
      </c>
      <c r="C19231" s="4" t="str">
        <f>HYPERLINK("http://www.uniprot.org/uniprot/M5WDT2","M5WDT2")</f>
        <v>M5WDT2</v>
      </c>
      <c r="D19231" s="2" t="s">
        <v>14756</v>
      </c>
      <c r="E19231" s="3">
        <v>0</v>
      </c>
      <c r="F19231" s="2">
        <v>4895</v>
      </c>
      <c r="G19231" s="2">
        <v>93</v>
      </c>
      <c r="H19231" s="2">
        <v>1064</v>
      </c>
      <c r="I19231" s="2">
        <v>383</v>
      </c>
      <c r="J19231" s="2">
        <v>3574</v>
      </c>
      <c r="K19231" s="2">
        <v>4</v>
      </c>
      <c r="L19231" s="2">
        <v>999</v>
      </c>
    </row>
    <row r="19232" spans="1:12" x14ac:dyDescent="0.25">
      <c r="A19232" s="4" t="str">
        <f>HYPERLINK("http://www.rosaceae.org/Prunus/Prunus_persica/p.persica_gdr_reftransV1_0000355","p.persica_gdr_reftransV1_0000355")</f>
        <v>p.persica_gdr_reftransV1_0000355</v>
      </c>
      <c r="B19232" s="2">
        <v>1174</v>
      </c>
      <c r="C19232" s="4" t="str">
        <f>HYPERLINK("http://www.uniprot.org/uniprot/M5W9V2","M5W9V2")</f>
        <v>M5W9V2</v>
      </c>
      <c r="D19232" s="2" t="s">
        <v>14205</v>
      </c>
      <c r="E19232" s="3">
        <v>0</v>
      </c>
      <c r="F19232" s="2">
        <v>1610</v>
      </c>
      <c r="G19232" s="2">
        <v>88</v>
      </c>
      <c r="H19232" s="2">
        <v>354</v>
      </c>
      <c r="I19232" s="2">
        <v>74</v>
      </c>
      <c r="J19232" s="2">
        <v>1009</v>
      </c>
      <c r="K19232" s="2">
        <v>1</v>
      </c>
      <c r="L19232" s="2">
        <v>354</v>
      </c>
    </row>
    <row r="19233" spans="1:12" x14ac:dyDescent="0.25">
      <c r="A19233" s="4" t="str">
        <f>HYPERLINK("http://www.rosaceae.org/Prunus/Prunus_persica/p.persica_gdr_reftransV1_0000705","p.persica_gdr_reftransV1_0000705")</f>
        <v>p.persica_gdr_reftransV1_0000705</v>
      </c>
      <c r="B19233" s="2">
        <v>1618</v>
      </c>
      <c r="C19233" s="4" t="str">
        <f>HYPERLINK("http://www.uniprot.org/uniprot/M5XYT4","M5XYT4")</f>
        <v>M5XYT4</v>
      </c>
      <c r="D19233" s="2" t="s">
        <v>7858</v>
      </c>
      <c r="E19233" s="3">
        <v>0</v>
      </c>
      <c r="F19233" s="2">
        <v>1761</v>
      </c>
      <c r="G19233" s="2">
        <v>100</v>
      </c>
      <c r="H19233" s="2">
        <v>328</v>
      </c>
      <c r="I19233" s="2">
        <v>64</v>
      </c>
      <c r="J19233" s="2">
        <v>1047</v>
      </c>
      <c r="K19233" s="2">
        <v>184</v>
      </c>
      <c r="L19233" s="2">
        <v>511</v>
      </c>
    </row>
    <row r="19234" spans="1:12" x14ac:dyDescent="0.25">
      <c r="A19234" s="4" t="str">
        <f>HYPERLINK("http://www.rosaceae.org/Prunus/Prunus_persica/p.persica_gdr_reftransV1_0001405","p.persica_gdr_reftransV1_0001405")</f>
        <v>p.persica_gdr_reftransV1_0001405</v>
      </c>
      <c r="B19234" s="2">
        <v>1545</v>
      </c>
      <c r="C19234" s="4" t="str">
        <f>HYPERLINK("http://www.uniprot.org/uniprot/M5VVU9","M5VVU9")</f>
        <v>M5VVU9</v>
      </c>
      <c r="D19234" s="2" t="s">
        <v>14757</v>
      </c>
      <c r="E19234" s="3">
        <v>0</v>
      </c>
      <c r="F19234" s="2">
        <v>2202</v>
      </c>
      <c r="G19234" s="2">
        <v>100</v>
      </c>
      <c r="H19234" s="2">
        <v>449</v>
      </c>
      <c r="I19234" s="2">
        <v>67</v>
      </c>
      <c r="J19234" s="2">
        <v>1413</v>
      </c>
      <c r="K19234" s="2">
        <v>1</v>
      </c>
      <c r="L19234" s="2">
        <v>449</v>
      </c>
    </row>
    <row r="19235" spans="1:12" x14ac:dyDescent="0.25">
      <c r="A19235" s="4" t="str">
        <f>HYPERLINK("http://www.rosaceae.org/Prunus/Prunus_persica/p.persica_gdr_reftransV1_0001755","p.persica_gdr_reftransV1_0001755")</f>
        <v>p.persica_gdr_reftransV1_0001755</v>
      </c>
      <c r="B19235" s="2">
        <v>486</v>
      </c>
      <c r="C19235" s="4" t="str">
        <f>HYPERLINK("http://www.uniprot.org/uniprot/M5XTC0","M5XTC0")</f>
        <v>M5XTC0</v>
      </c>
      <c r="D19235" s="2" t="s">
        <v>2197</v>
      </c>
      <c r="E19235" s="3">
        <v>2.23E-97</v>
      </c>
      <c r="F19235" s="2">
        <v>815</v>
      </c>
      <c r="G19235" s="2">
        <v>100</v>
      </c>
      <c r="H19235" s="2">
        <v>161</v>
      </c>
      <c r="I19235" s="2">
        <v>3</v>
      </c>
      <c r="J19235" s="2">
        <v>485</v>
      </c>
      <c r="K19235" s="2">
        <v>57</v>
      </c>
      <c r="L19235" s="2">
        <v>217</v>
      </c>
    </row>
    <row r="19236" spans="1:12" x14ac:dyDescent="0.25">
      <c r="A19236" s="4" t="str">
        <f>HYPERLINK("http://www.rosaceae.org/Prunus/Prunus_persica/p.persica_gdr_reftransV1_0002455","p.persica_gdr_reftransV1_0002455")</f>
        <v>p.persica_gdr_reftransV1_0002455</v>
      </c>
      <c r="B19236" s="2">
        <v>1519</v>
      </c>
      <c r="C19236" s="4" t="str">
        <f>HYPERLINK("http://www.uniprot.org/uniprot/M5XVC7","M5XVC7")</f>
        <v>M5XVC7</v>
      </c>
      <c r="D19236" s="2" t="s">
        <v>14758</v>
      </c>
      <c r="E19236" s="3">
        <v>2.74E-68</v>
      </c>
      <c r="F19236" s="2">
        <v>452</v>
      </c>
      <c r="G19236" s="2">
        <v>51</v>
      </c>
      <c r="H19236" s="2">
        <v>217</v>
      </c>
      <c r="I19236" s="2">
        <v>366</v>
      </c>
      <c r="J19236" s="2">
        <v>1016</v>
      </c>
      <c r="K19236" s="2">
        <v>1</v>
      </c>
      <c r="L19236" s="2">
        <v>120</v>
      </c>
    </row>
    <row r="19237" spans="1:12" x14ac:dyDescent="0.25">
      <c r="A19237" s="4" t="str">
        <f>HYPERLINK("http://www.rosaceae.org/Prunus/Prunus_persica/p.persica_gdr_reftransV1_0002805","p.persica_gdr_reftransV1_0002805")</f>
        <v>p.persica_gdr_reftransV1_0002805</v>
      </c>
      <c r="B19237" s="2">
        <v>523</v>
      </c>
      <c r="C19237" s="4" t="str">
        <f>HYPERLINK("http://www.uniprot.org/uniprot/M5W3T0","M5W3T0")</f>
        <v>M5W3T0</v>
      </c>
      <c r="D19237" s="2" t="s">
        <v>14759</v>
      </c>
      <c r="E19237" s="3">
        <v>1.44E-123</v>
      </c>
      <c r="F19237" s="2">
        <v>944</v>
      </c>
      <c r="G19237" s="2">
        <v>100</v>
      </c>
      <c r="H19237" s="2">
        <v>174</v>
      </c>
      <c r="I19237" s="2">
        <v>1</v>
      </c>
      <c r="J19237" s="2">
        <v>522</v>
      </c>
      <c r="K19237" s="2">
        <v>91</v>
      </c>
      <c r="L19237" s="2">
        <v>264</v>
      </c>
    </row>
    <row r="19238" spans="1:12" x14ac:dyDescent="0.25">
      <c r="A19238" s="4" t="str">
        <f>HYPERLINK("http://www.rosaceae.org/Prunus/Prunus_persica/p.persica_gdr_reftransV1_0003155","p.persica_gdr_reftransV1_0003155")</f>
        <v>p.persica_gdr_reftransV1_0003155</v>
      </c>
      <c r="B19238" s="2">
        <v>2052</v>
      </c>
      <c r="C19238" s="4" t="str">
        <f>HYPERLINK("http://www.uniprot.org/uniprot/M5XBY2","M5XBY2")</f>
        <v>M5XBY2</v>
      </c>
      <c r="D19238" s="2" t="s">
        <v>3752</v>
      </c>
      <c r="E19238" s="3">
        <v>0</v>
      </c>
      <c r="F19238" s="2">
        <v>2376</v>
      </c>
      <c r="G19238" s="2">
        <v>100</v>
      </c>
      <c r="H19238" s="2">
        <v>485</v>
      </c>
      <c r="I19238" s="2">
        <v>248</v>
      </c>
      <c r="J19238" s="2">
        <v>1702</v>
      </c>
      <c r="K19238" s="2">
        <v>3</v>
      </c>
      <c r="L19238" s="2">
        <v>487</v>
      </c>
    </row>
    <row r="19239" spans="1:12" x14ac:dyDescent="0.25">
      <c r="A19239" s="4" t="str">
        <f>HYPERLINK("http://www.rosaceae.org/Prunus/Prunus_persica/p.persica_gdr_reftransV1_0003505","p.persica_gdr_reftransV1_0003505")</f>
        <v>p.persica_gdr_reftransV1_0003505</v>
      </c>
      <c r="B19239" s="2">
        <v>1535</v>
      </c>
      <c r="C19239" s="4" t="str">
        <f>HYPERLINK("http://www.uniprot.org/uniprot/M5XSL6","M5XSL6")</f>
        <v>M5XSL6</v>
      </c>
      <c r="D19239" s="2" t="s">
        <v>10953</v>
      </c>
      <c r="E19239" s="3">
        <v>0</v>
      </c>
      <c r="F19239" s="2">
        <v>1916</v>
      </c>
      <c r="G19239" s="2">
        <v>100</v>
      </c>
      <c r="H19239" s="2">
        <v>367</v>
      </c>
      <c r="I19239" s="2">
        <v>89</v>
      </c>
      <c r="J19239" s="2">
        <v>1189</v>
      </c>
      <c r="K19239" s="2">
        <v>1</v>
      </c>
      <c r="L19239" s="2">
        <v>367</v>
      </c>
    </row>
    <row r="19240" spans="1:12" x14ac:dyDescent="0.25">
      <c r="A19240" s="4" t="str">
        <f>HYPERLINK("http://www.rosaceae.org/Prunus/Prunus_persica/p.persica_gdr_reftransV1_0004555","p.persica_gdr_reftransV1_0004555")</f>
        <v>p.persica_gdr_reftransV1_0004555</v>
      </c>
      <c r="B19240" s="2">
        <v>1003</v>
      </c>
      <c r="C19240" s="4" t="str">
        <f>HYPERLINK("http://www.uniprot.org/uniprot/M5W5R5","M5W5R5")</f>
        <v>M5W5R5</v>
      </c>
      <c r="D19240" s="2" t="s">
        <v>14760</v>
      </c>
      <c r="E19240" s="3">
        <v>6.58E-146</v>
      </c>
      <c r="F19240" s="2">
        <v>1084</v>
      </c>
      <c r="G19240" s="2">
        <v>100</v>
      </c>
      <c r="H19240" s="2">
        <v>205</v>
      </c>
      <c r="I19240" s="2">
        <v>85</v>
      </c>
      <c r="J19240" s="2">
        <v>699</v>
      </c>
      <c r="K19240" s="2">
        <v>1</v>
      </c>
      <c r="L19240" s="2">
        <v>205</v>
      </c>
    </row>
    <row r="19241" spans="1:12" x14ac:dyDescent="0.25">
      <c r="A19241" s="4" t="str">
        <f>HYPERLINK("http://www.rosaceae.org/Prunus/Prunus_persica/p.persica_gdr_reftransV1_0004905","p.persica_gdr_reftransV1_0004905")</f>
        <v>p.persica_gdr_reftransV1_0004905</v>
      </c>
      <c r="B19241" s="2">
        <v>571</v>
      </c>
      <c r="C19241" s="4" t="str">
        <f>HYPERLINK("http://www.uniprot.org/uniprot/M5WW60","M5WW60")</f>
        <v>M5WW60</v>
      </c>
      <c r="D19241" s="2" t="s">
        <v>13779</v>
      </c>
      <c r="E19241" s="3">
        <v>1.44E-81</v>
      </c>
      <c r="F19241" s="2">
        <v>651</v>
      </c>
      <c r="G19241" s="2">
        <v>100</v>
      </c>
      <c r="H19241" s="2">
        <v>158</v>
      </c>
      <c r="I19241" s="2">
        <v>1</v>
      </c>
      <c r="J19241" s="2">
        <v>474</v>
      </c>
      <c r="K19241" s="2">
        <v>119</v>
      </c>
      <c r="L19241" s="2">
        <v>276</v>
      </c>
    </row>
    <row r="19242" spans="1:12" x14ac:dyDescent="0.25">
      <c r="A19242" s="4" t="str">
        <f>HYPERLINK("http://www.rosaceae.org/Prunus/Prunus_persica/p.persica_gdr_reftransV1_0006305","p.persica_gdr_reftransV1_0006305")</f>
        <v>p.persica_gdr_reftransV1_0006305</v>
      </c>
      <c r="B19242" s="2">
        <v>962</v>
      </c>
      <c r="C19242" s="4" t="str">
        <f>HYPERLINK("http://www.uniprot.org/uniprot/M5XKK6","M5XKK6")</f>
        <v>M5XKK6</v>
      </c>
      <c r="D19242" s="2" t="s">
        <v>14761</v>
      </c>
      <c r="E19242" s="3">
        <v>2.2099999999999998E-167</v>
      </c>
      <c r="F19242" s="2">
        <v>1229</v>
      </c>
      <c r="G19242" s="2">
        <v>100</v>
      </c>
      <c r="H19242" s="2">
        <v>250</v>
      </c>
      <c r="I19242" s="2">
        <v>160</v>
      </c>
      <c r="J19242" s="2">
        <v>909</v>
      </c>
      <c r="K19242" s="2">
        <v>1</v>
      </c>
      <c r="L19242" s="2">
        <v>250</v>
      </c>
    </row>
    <row r="19243" spans="1:12" x14ac:dyDescent="0.25">
      <c r="A19243" s="4" t="str">
        <f>HYPERLINK("http://www.rosaceae.org/Prunus/Prunus_persica/p.persica_gdr_reftransV1_0007005","p.persica_gdr_reftransV1_0007005")</f>
        <v>p.persica_gdr_reftransV1_0007005</v>
      </c>
      <c r="B19243" s="2">
        <v>616</v>
      </c>
      <c r="C19243" s="4" t="str">
        <f>HYPERLINK("http://www.uniprot.org/uniprot/M5W397","M5W397")</f>
        <v>M5W397</v>
      </c>
      <c r="D19243" s="2" t="s">
        <v>14762</v>
      </c>
      <c r="E19243" s="3">
        <v>2.5200000000000002E-56</v>
      </c>
      <c r="F19243" s="2">
        <v>468</v>
      </c>
      <c r="G19243" s="2">
        <v>100</v>
      </c>
      <c r="H19243" s="2">
        <v>88</v>
      </c>
      <c r="I19243" s="2">
        <v>352</v>
      </c>
      <c r="J19243" s="2">
        <v>615</v>
      </c>
      <c r="K19243" s="2">
        <v>1</v>
      </c>
      <c r="L19243" s="2">
        <v>88</v>
      </c>
    </row>
    <row r="19244" spans="1:12" x14ac:dyDescent="0.25">
      <c r="A19244" s="4" t="str">
        <f>HYPERLINK("http://www.rosaceae.org/Prunus/Prunus_persica/p.persica_gdr_reftransV1_0007355","p.persica_gdr_reftransV1_0007355")</f>
        <v>p.persica_gdr_reftransV1_0007355</v>
      </c>
      <c r="B19244" s="2">
        <v>1396</v>
      </c>
      <c r="C19244" s="4" t="str">
        <f>HYPERLINK("http://www.uniprot.org/uniprot/M5XGM5","M5XGM5")</f>
        <v>M5XGM5</v>
      </c>
      <c r="D19244" s="2" t="s">
        <v>14763</v>
      </c>
      <c r="E19244" s="3">
        <v>1.6800000000000001E-139</v>
      </c>
      <c r="F19244" s="2">
        <v>1056</v>
      </c>
      <c r="G19244" s="2">
        <v>100</v>
      </c>
      <c r="H19244" s="2">
        <v>211</v>
      </c>
      <c r="I19244" s="2">
        <v>442</v>
      </c>
      <c r="J19244" s="2">
        <v>1074</v>
      </c>
      <c r="K19244" s="2">
        <v>1</v>
      </c>
      <c r="L19244" s="2">
        <v>211</v>
      </c>
    </row>
    <row r="19245" spans="1:12" x14ac:dyDescent="0.25">
      <c r="A19245" s="4" t="str">
        <f>HYPERLINK("http://www.rosaceae.org/Prunus/Prunus_persica/p.persica_gdr_reftransV1_0007705","p.persica_gdr_reftransV1_0007705")</f>
        <v>p.persica_gdr_reftransV1_0007705</v>
      </c>
      <c r="B19245" s="2">
        <v>1624</v>
      </c>
      <c r="C19245" s="4" t="str">
        <f>HYPERLINK("http://www.uniprot.org/uniprot/M5Y5G6","M5Y5G6")</f>
        <v>M5Y5G6</v>
      </c>
      <c r="D19245" s="2" t="s">
        <v>14764</v>
      </c>
      <c r="E19245" s="3">
        <v>5.1599999999999998E-111</v>
      </c>
      <c r="F19245" s="2">
        <v>871</v>
      </c>
      <c r="G19245" s="2">
        <v>100</v>
      </c>
      <c r="H19245" s="2">
        <v>181</v>
      </c>
      <c r="I19245" s="2">
        <v>37</v>
      </c>
      <c r="J19245" s="2">
        <v>579</v>
      </c>
      <c r="K19245" s="2">
        <v>1</v>
      </c>
      <c r="L19245" s="2">
        <v>181</v>
      </c>
    </row>
    <row r="19246" spans="1:12" x14ac:dyDescent="0.25">
      <c r="A19246" s="4" t="str">
        <f>HYPERLINK("http://www.rosaceae.org/Prunus/Prunus_persica/p.persica_gdr_reftransV1_0008755","p.persica_gdr_reftransV1_0008755")</f>
        <v>p.persica_gdr_reftransV1_0008755</v>
      </c>
      <c r="B19246" s="2">
        <v>1010</v>
      </c>
      <c r="C19246" s="4" t="str">
        <f>HYPERLINK("http://www.uniprot.org/uniprot/M5W0K2","M5W0K2")</f>
        <v>M5W0K2</v>
      </c>
      <c r="D19246" s="2" t="s">
        <v>14765</v>
      </c>
      <c r="E19246" s="3">
        <v>1.1399999999999999E-106</v>
      </c>
      <c r="F19246" s="2">
        <v>821</v>
      </c>
      <c r="G19246" s="2">
        <v>100</v>
      </c>
      <c r="H19246" s="2">
        <v>155</v>
      </c>
      <c r="I19246" s="2">
        <v>332</v>
      </c>
      <c r="J19246" s="2">
        <v>796</v>
      </c>
      <c r="K19246" s="2">
        <v>1</v>
      </c>
      <c r="L19246" s="2">
        <v>155</v>
      </c>
    </row>
    <row r="19247" spans="1:12" x14ac:dyDescent="0.25">
      <c r="A19247" s="4" t="str">
        <f>HYPERLINK("http://www.rosaceae.org/Prunus/Prunus_persica/p.persica_gdr_reftransV1_0009105","p.persica_gdr_reftransV1_0009105")</f>
        <v>p.persica_gdr_reftransV1_0009105</v>
      </c>
      <c r="B19247" s="2">
        <v>1864</v>
      </c>
      <c r="C19247" s="4" t="str">
        <f>HYPERLINK("http://www.uniprot.org/uniprot/M5W8Q1","M5W8Q1")</f>
        <v>M5W8Q1</v>
      </c>
      <c r="D19247" s="2" t="s">
        <v>14766</v>
      </c>
      <c r="E19247" s="3">
        <v>0</v>
      </c>
      <c r="F19247" s="2">
        <v>2818</v>
      </c>
      <c r="G19247" s="2">
        <v>100</v>
      </c>
      <c r="H19247" s="2">
        <v>549</v>
      </c>
      <c r="I19247" s="2">
        <v>135</v>
      </c>
      <c r="J19247" s="2">
        <v>1781</v>
      </c>
      <c r="K19247" s="2">
        <v>1</v>
      </c>
      <c r="L19247" s="2">
        <v>549</v>
      </c>
    </row>
    <row r="19248" spans="1:12" x14ac:dyDescent="0.25">
      <c r="A19248" s="4" t="str">
        <f>HYPERLINK("http://www.rosaceae.org/Prunus/Prunus_persica/p.persica_gdr_reftransV1_0009455","p.persica_gdr_reftransV1_0009455")</f>
        <v>p.persica_gdr_reftransV1_0009455</v>
      </c>
      <c r="B19248" s="2">
        <v>1359</v>
      </c>
      <c r="C19248" s="4" t="str">
        <f>HYPERLINK("http://www.uniprot.org/uniprot/M5WHG4","M5WHG4")</f>
        <v>M5WHG4</v>
      </c>
      <c r="D19248" s="2" t="s">
        <v>6047</v>
      </c>
      <c r="E19248" s="3">
        <v>0</v>
      </c>
      <c r="F19248" s="2">
        <v>1829</v>
      </c>
      <c r="G19248" s="2">
        <v>94</v>
      </c>
      <c r="H19248" s="2">
        <v>399</v>
      </c>
      <c r="I19248" s="2">
        <v>70</v>
      </c>
      <c r="J19248" s="2">
        <v>1242</v>
      </c>
      <c r="K19248" s="2">
        <v>1</v>
      </c>
      <c r="L19248" s="2">
        <v>399</v>
      </c>
    </row>
    <row r="19249" spans="1:12" x14ac:dyDescent="0.25">
      <c r="A19249" s="4" t="str">
        <f>HYPERLINK("http://www.rosaceae.org/Prunus/Prunus_persica/p.persica_gdr_reftransV1_0009805","p.persica_gdr_reftransV1_0009805")</f>
        <v>p.persica_gdr_reftransV1_0009805</v>
      </c>
      <c r="B19249" s="2">
        <v>1729</v>
      </c>
      <c r="C19249" s="4" t="str">
        <f>HYPERLINK("http://www.uniprot.org/uniprot/M5XQI4","M5XQI4")</f>
        <v>M5XQI4</v>
      </c>
      <c r="D19249" s="2" t="s">
        <v>14767</v>
      </c>
      <c r="E19249" s="3">
        <v>0</v>
      </c>
      <c r="F19249" s="2">
        <v>1843</v>
      </c>
      <c r="G19249" s="2">
        <v>100</v>
      </c>
      <c r="H19249" s="2">
        <v>408</v>
      </c>
      <c r="I19249" s="2">
        <v>506</v>
      </c>
      <c r="J19249" s="2">
        <v>1729</v>
      </c>
      <c r="K19249" s="2">
        <v>12</v>
      </c>
      <c r="L19249" s="2">
        <v>419</v>
      </c>
    </row>
    <row r="19250" spans="1:12" x14ac:dyDescent="0.25">
      <c r="A19250" s="4" t="str">
        <f>HYPERLINK("http://www.rosaceae.org/Prunus/Prunus_persica/p.persica_gdr_reftransV1_0010505","p.persica_gdr_reftransV1_0010505")</f>
        <v>p.persica_gdr_reftransV1_0010505</v>
      </c>
      <c r="B19250" s="2">
        <v>853</v>
      </c>
      <c r="C19250" s="4" t="str">
        <f>HYPERLINK("http://www.uniprot.org/uniprot/I3NMS5","I3NMS5")</f>
        <v>I3NMS5</v>
      </c>
      <c r="D19250" s="2" t="s">
        <v>14768</v>
      </c>
      <c r="E19250" s="3">
        <v>1.17E-78</v>
      </c>
      <c r="F19250" s="2">
        <v>629</v>
      </c>
      <c r="G19250" s="2">
        <v>80</v>
      </c>
      <c r="H19250" s="2">
        <v>147</v>
      </c>
      <c r="I19250" s="2">
        <v>92</v>
      </c>
      <c r="J19250" s="2">
        <v>532</v>
      </c>
      <c r="K19250" s="2">
        <v>1</v>
      </c>
      <c r="L19250" s="2">
        <v>145</v>
      </c>
    </row>
    <row r="19251" spans="1:12" x14ac:dyDescent="0.25">
      <c r="A19251" s="4" t="str">
        <f>HYPERLINK("http://www.rosaceae.org/Prunus/Prunus_persica/p.persica_gdr_reftransV1_0011205","p.persica_gdr_reftransV1_0011205")</f>
        <v>p.persica_gdr_reftransV1_0011205</v>
      </c>
      <c r="B19251" s="2">
        <v>533</v>
      </c>
      <c r="C19251" s="4" t="str">
        <f>HYPERLINK("http://www.uniprot.org/uniprot/M5XQY9","M5XQY9")</f>
        <v>M5XQY9</v>
      </c>
      <c r="D19251" s="2" t="s">
        <v>14769</v>
      </c>
      <c r="E19251" s="3">
        <v>1.6900000000000001E-88</v>
      </c>
      <c r="F19251" s="2">
        <v>717</v>
      </c>
      <c r="G19251" s="2">
        <v>100</v>
      </c>
      <c r="H19251" s="2">
        <v>134</v>
      </c>
      <c r="I19251" s="2">
        <v>3</v>
      </c>
      <c r="J19251" s="2">
        <v>404</v>
      </c>
      <c r="K19251" s="2">
        <v>411</v>
      </c>
      <c r="L19251" s="2">
        <v>544</v>
      </c>
    </row>
    <row r="19252" spans="1:12" x14ac:dyDescent="0.25">
      <c r="A19252" s="4" t="str">
        <f>HYPERLINK("http://www.rosaceae.org/Prunus/Prunus_persica/p.persica_gdr_reftransV1_0011555","p.persica_gdr_reftransV1_0011555")</f>
        <v>p.persica_gdr_reftransV1_0011555</v>
      </c>
      <c r="B19252" s="2">
        <v>2754</v>
      </c>
      <c r="C19252" s="4" t="str">
        <f>HYPERLINK("http://www.uniprot.org/uniprot/M5WQ49","M5WQ49")</f>
        <v>M5WQ49</v>
      </c>
      <c r="D19252" s="2" t="s">
        <v>14770</v>
      </c>
      <c r="E19252" s="3">
        <v>0</v>
      </c>
      <c r="F19252" s="2">
        <v>1960</v>
      </c>
      <c r="G19252" s="2">
        <v>100</v>
      </c>
      <c r="H19252" s="2">
        <v>383</v>
      </c>
      <c r="I19252" s="2">
        <v>1244</v>
      </c>
      <c r="J19252" s="2">
        <v>2392</v>
      </c>
      <c r="K19252" s="2">
        <v>40</v>
      </c>
      <c r="L19252" s="2">
        <v>422</v>
      </c>
    </row>
    <row r="19253" spans="1:12" x14ac:dyDescent="0.25">
      <c r="A19253" s="4" t="str">
        <f>HYPERLINK("http://www.rosaceae.org/Prunus/Prunus_persica/p.persica_gdr_reftransV1_0011905","p.persica_gdr_reftransV1_0011905")</f>
        <v>p.persica_gdr_reftransV1_0011905</v>
      </c>
      <c r="B19253" s="2">
        <v>2491</v>
      </c>
      <c r="C19253" s="4" t="str">
        <f>HYPERLINK("http://www.uniprot.org/uniprot/M5X718","M5X718")</f>
        <v>M5X718</v>
      </c>
      <c r="D19253" s="2" t="s">
        <v>14771</v>
      </c>
      <c r="E19253" s="3">
        <v>0</v>
      </c>
      <c r="F19253" s="2">
        <v>2760</v>
      </c>
      <c r="G19253" s="2">
        <v>100</v>
      </c>
      <c r="H19253" s="2">
        <v>517</v>
      </c>
      <c r="I19253" s="2">
        <v>782</v>
      </c>
      <c r="J19253" s="2">
        <v>2332</v>
      </c>
      <c r="K19253" s="2">
        <v>1</v>
      </c>
      <c r="L19253" s="2">
        <v>517</v>
      </c>
    </row>
    <row r="19254" spans="1:12" x14ac:dyDescent="0.25">
      <c r="A19254" s="4" t="str">
        <f>HYPERLINK("http://www.rosaceae.org/Prunus/Prunus_persica/p.persica_gdr_reftransV1_0013305","p.persica_gdr_reftransV1_0013305")</f>
        <v>p.persica_gdr_reftransV1_0013305</v>
      </c>
      <c r="B19254" s="2">
        <v>5907</v>
      </c>
      <c r="C19254" s="4" t="str">
        <f>HYPERLINK("http://www.uniprot.org/uniprot/M5XJP5","M5XJP5")</f>
        <v>M5XJP5</v>
      </c>
      <c r="D19254" s="2" t="s">
        <v>14772</v>
      </c>
      <c r="E19254" s="3">
        <v>0</v>
      </c>
      <c r="F19254" s="2">
        <v>2880</v>
      </c>
      <c r="G19254" s="2">
        <v>100</v>
      </c>
      <c r="H19254" s="2">
        <v>561</v>
      </c>
      <c r="I19254" s="2">
        <v>3975</v>
      </c>
      <c r="J19254" s="2">
        <v>5657</v>
      </c>
      <c r="K19254" s="2">
        <v>66</v>
      </c>
      <c r="L19254" s="2">
        <v>626</v>
      </c>
    </row>
    <row r="19255" spans="1:12" x14ac:dyDescent="0.25">
      <c r="A19255" s="4" t="str">
        <f>HYPERLINK("http://www.rosaceae.org/Prunus/Prunus_persica/p.persica_gdr_reftransV1_0013655","p.persica_gdr_reftransV1_0013655")</f>
        <v>p.persica_gdr_reftransV1_0013655</v>
      </c>
      <c r="B19255" s="2">
        <v>1991</v>
      </c>
      <c r="C19255" s="4" t="str">
        <f>HYPERLINK("http://www.uniprot.org/uniprot/M5WAL5","M5WAL5")</f>
        <v>M5WAL5</v>
      </c>
      <c r="D19255" s="2" t="s">
        <v>196</v>
      </c>
      <c r="E19255" s="3">
        <v>5.7800000000000002E-119</v>
      </c>
      <c r="F19255" s="2">
        <v>959</v>
      </c>
      <c r="G19255" s="2">
        <v>85</v>
      </c>
      <c r="H19255" s="2">
        <v>219</v>
      </c>
      <c r="I19255" s="2">
        <v>343</v>
      </c>
      <c r="J19255" s="2">
        <v>999</v>
      </c>
      <c r="K19255" s="2">
        <v>245</v>
      </c>
      <c r="L19255" s="2">
        <v>431</v>
      </c>
    </row>
    <row r="19256" spans="1:12" x14ac:dyDescent="0.25">
      <c r="A19256" s="4" t="str">
        <f>HYPERLINK("http://www.rosaceae.org/Prunus/Prunus_persica/p.persica_gdr_reftransV1_0014005","p.persica_gdr_reftransV1_0014005")</f>
        <v>p.persica_gdr_reftransV1_0014005</v>
      </c>
      <c r="B19256" s="2">
        <v>1872</v>
      </c>
      <c r="C19256" s="4" t="str">
        <f>HYPERLINK("http://www.uniprot.org/uniprot/M5WPE3","M5WPE3")</f>
        <v>M5WPE3</v>
      </c>
      <c r="D19256" s="2" t="s">
        <v>14773</v>
      </c>
      <c r="E19256" s="3">
        <v>0</v>
      </c>
      <c r="F19256" s="2">
        <v>1450</v>
      </c>
      <c r="G19256" s="2">
        <v>100</v>
      </c>
      <c r="H19256" s="2">
        <v>270</v>
      </c>
      <c r="I19256" s="2">
        <v>1024</v>
      </c>
      <c r="J19256" s="2">
        <v>1833</v>
      </c>
      <c r="K19256" s="2">
        <v>1</v>
      </c>
      <c r="L19256" s="2">
        <v>270</v>
      </c>
    </row>
    <row r="19257" spans="1:12" x14ac:dyDescent="0.25">
      <c r="A19257" s="4" t="str">
        <f>HYPERLINK("http://www.rosaceae.org/Prunus/Prunus_persica/p.persica_gdr_reftransV1_0014355","p.persica_gdr_reftransV1_0014355")</f>
        <v>p.persica_gdr_reftransV1_0014355</v>
      </c>
      <c r="B19257" s="2">
        <v>2676</v>
      </c>
      <c r="C19257" s="4" t="str">
        <f>HYPERLINK("http://www.uniprot.org/uniprot/M5WRR1","M5WRR1")</f>
        <v>M5WRR1</v>
      </c>
      <c r="D19257" s="2" t="s">
        <v>14774</v>
      </c>
      <c r="E19257" s="3">
        <v>0</v>
      </c>
      <c r="F19257" s="2">
        <v>2713</v>
      </c>
      <c r="G19257" s="2">
        <v>100</v>
      </c>
      <c r="H19257" s="2">
        <v>601</v>
      </c>
      <c r="I19257" s="2">
        <v>511</v>
      </c>
      <c r="J19257" s="2">
        <v>2313</v>
      </c>
      <c r="K19257" s="2">
        <v>1</v>
      </c>
      <c r="L19257" s="2">
        <v>601</v>
      </c>
    </row>
    <row r="19258" spans="1:12" x14ac:dyDescent="0.25">
      <c r="A19258" s="4" t="str">
        <f>HYPERLINK("http://www.rosaceae.org/Prunus/Prunus_persica/p.persica_gdr_reftransV1_0015755","p.persica_gdr_reftransV1_0015755")</f>
        <v>p.persica_gdr_reftransV1_0015755</v>
      </c>
      <c r="B19258" s="2">
        <v>2460</v>
      </c>
      <c r="C19258" s="4" t="str">
        <f>HYPERLINK("http://www.uniprot.org/uniprot/M5WQ99","M5WQ99")</f>
        <v>M5WQ99</v>
      </c>
      <c r="D19258" s="2" t="s">
        <v>13486</v>
      </c>
      <c r="E19258" s="3">
        <v>0</v>
      </c>
      <c r="F19258" s="2">
        <v>2902</v>
      </c>
      <c r="G19258" s="2">
        <v>100</v>
      </c>
      <c r="H19258" s="2">
        <v>598</v>
      </c>
      <c r="I19258" s="2">
        <v>289</v>
      </c>
      <c r="J19258" s="2">
        <v>2082</v>
      </c>
      <c r="K19258" s="2">
        <v>1</v>
      </c>
      <c r="L19258" s="2">
        <v>598</v>
      </c>
    </row>
    <row r="19259" spans="1:12" x14ac:dyDescent="0.25">
      <c r="A19259" s="4" t="str">
        <f>HYPERLINK("http://www.rosaceae.org/Prunus/Prunus_persica/p.persica_gdr_reftransV1_0016805","p.persica_gdr_reftransV1_0016805")</f>
        <v>p.persica_gdr_reftransV1_0016805</v>
      </c>
      <c r="B19259" s="2">
        <v>1431</v>
      </c>
      <c r="C19259" s="4" t="str">
        <f>HYPERLINK("http://www.uniprot.org/uniprot/M5X271","M5X271")</f>
        <v>M5X271</v>
      </c>
      <c r="D19259" s="2" t="s">
        <v>14775</v>
      </c>
      <c r="E19259" s="3">
        <v>6.4600000000000001E-108</v>
      </c>
      <c r="F19259" s="2">
        <v>853</v>
      </c>
      <c r="G19259" s="2">
        <v>99</v>
      </c>
      <c r="H19259" s="2">
        <v>177</v>
      </c>
      <c r="I19259" s="2">
        <v>441</v>
      </c>
      <c r="J19259" s="2">
        <v>971</v>
      </c>
      <c r="K19259" s="2">
        <v>59</v>
      </c>
      <c r="L19259" s="2">
        <v>235</v>
      </c>
    </row>
    <row r="19260" spans="1:12" x14ac:dyDescent="0.25">
      <c r="A19260" s="4" t="str">
        <f>HYPERLINK("http://www.rosaceae.org/Prunus/Prunus_persica/p.persica_gdr_reftransV1_0017155","p.persica_gdr_reftransV1_0017155")</f>
        <v>p.persica_gdr_reftransV1_0017155</v>
      </c>
      <c r="B19260" s="2">
        <v>971</v>
      </c>
      <c r="C19260" s="4" t="str">
        <f>HYPERLINK("http://www.uniprot.org/uniprot/M5WXZ8","M5WXZ8")</f>
        <v>M5WXZ8</v>
      </c>
      <c r="D19260" s="2" t="s">
        <v>14776</v>
      </c>
      <c r="E19260" s="3">
        <v>2.14E-82</v>
      </c>
      <c r="F19260" s="2">
        <v>656</v>
      </c>
      <c r="G19260" s="2">
        <v>100</v>
      </c>
      <c r="H19260" s="2">
        <v>130</v>
      </c>
      <c r="I19260" s="2">
        <v>144</v>
      </c>
      <c r="J19260" s="2">
        <v>533</v>
      </c>
      <c r="K19260" s="2">
        <v>1</v>
      </c>
      <c r="L19260" s="2">
        <v>130</v>
      </c>
    </row>
    <row r="19261" spans="1:12" x14ac:dyDescent="0.25">
      <c r="A19261" s="4" t="str">
        <f>HYPERLINK("http://www.rosaceae.org/Prunus/Prunus_persica/p.persica_gdr_reftransV1_0018555","p.persica_gdr_reftransV1_0018555")</f>
        <v>p.persica_gdr_reftransV1_0018555</v>
      </c>
      <c r="B19261" s="2">
        <v>2066</v>
      </c>
      <c r="C19261" s="4" t="str">
        <f>HYPERLINK("http://www.uniprot.org/uniprot/M5WL70","M5WL70")</f>
        <v>M5WL70</v>
      </c>
      <c r="D19261" s="2" t="s">
        <v>10076</v>
      </c>
      <c r="E19261" s="3">
        <v>1.08E-152</v>
      </c>
      <c r="F19261" s="2">
        <v>1183</v>
      </c>
      <c r="G19261" s="2">
        <v>100</v>
      </c>
      <c r="H19261" s="2">
        <v>221</v>
      </c>
      <c r="I19261" s="2">
        <v>1219</v>
      </c>
      <c r="J19261" s="2">
        <v>1881</v>
      </c>
      <c r="K19261" s="2">
        <v>168</v>
      </c>
      <c r="L19261" s="2">
        <v>388</v>
      </c>
    </row>
    <row r="19262" spans="1:12" x14ac:dyDescent="0.25">
      <c r="A19262" s="4" t="str">
        <f>HYPERLINK("http://www.rosaceae.org/Prunus/Prunus_persica/p.persica_gdr_reftransV1_0019255","p.persica_gdr_reftransV1_0019255")</f>
        <v>p.persica_gdr_reftransV1_0019255</v>
      </c>
      <c r="B19262" s="2">
        <v>3609</v>
      </c>
      <c r="C19262" s="4" t="str">
        <f>HYPERLINK("http://www.uniprot.org/uniprot/M5WZ56","M5WZ56")</f>
        <v>M5WZ56</v>
      </c>
      <c r="D19262" s="2" t="s">
        <v>14777</v>
      </c>
      <c r="E19262" s="3">
        <v>0</v>
      </c>
      <c r="F19262" s="2">
        <v>4256</v>
      </c>
      <c r="G19262" s="2">
        <v>100</v>
      </c>
      <c r="H19262" s="2">
        <v>839</v>
      </c>
      <c r="I19262" s="2">
        <v>613</v>
      </c>
      <c r="J19262" s="2">
        <v>3129</v>
      </c>
      <c r="K19262" s="2">
        <v>1</v>
      </c>
      <c r="L19262" s="2">
        <v>839</v>
      </c>
    </row>
    <row r="19263" spans="1:12" x14ac:dyDescent="0.25">
      <c r="A19263" s="4" t="str">
        <f>HYPERLINK("http://www.rosaceae.org/Prunus/Prunus_persica/p.persica_gdr_reftransV1_0020305","p.persica_gdr_reftransV1_0020305")</f>
        <v>p.persica_gdr_reftransV1_0020305</v>
      </c>
      <c r="B19263" s="2">
        <v>981</v>
      </c>
      <c r="C19263" s="4" t="str">
        <f>HYPERLINK("http://www.uniprot.org/uniprot/M5WGT6","M5WGT6")</f>
        <v>M5WGT6</v>
      </c>
      <c r="D19263" s="2" t="s">
        <v>2017</v>
      </c>
      <c r="E19263" s="3">
        <v>2.0500000000000001E-92</v>
      </c>
      <c r="F19263" s="2">
        <v>765</v>
      </c>
      <c r="G19263" s="2">
        <v>86</v>
      </c>
      <c r="H19263" s="2">
        <v>168</v>
      </c>
      <c r="I19263" s="2">
        <v>477</v>
      </c>
      <c r="J19263" s="2">
        <v>980</v>
      </c>
      <c r="K19263" s="2">
        <v>1</v>
      </c>
      <c r="L19263" s="2">
        <v>145</v>
      </c>
    </row>
    <row r="19264" spans="1:12" x14ac:dyDescent="0.25">
      <c r="A19264" s="4" t="str">
        <f>HYPERLINK("http://www.rosaceae.org/Prunus/Prunus_persica/p.persica_gdr_reftransV1_0022755","p.persica_gdr_reftransV1_0022755")</f>
        <v>p.persica_gdr_reftransV1_0022755</v>
      </c>
      <c r="B19264" s="2">
        <v>3065</v>
      </c>
      <c r="C19264" s="4" t="str">
        <f>HYPERLINK("http://www.uniprot.org/uniprot/M5VXD9","M5VXD9")</f>
        <v>M5VXD9</v>
      </c>
      <c r="D19264" s="2" t="s">
        <v>10294</v>
      </c>
      <c r="E19264" s="3">
        <v>0</v>
      </c>
      <c r="F19264" s="2">
        <v>1537</v>
      </c>
      <c r="G19264" s="2">
        <v>100</v>
      </c>
      <c r="H19264" s="2">
        <v>284</v>
      </c>
      <c r="I19264" s="2">
        <v>602</v>
      </c>
      <c r="J19264" s="2">
        <v>1453</v>
      </c>
      <c r="K19264" s="2">
        <v>48</v>
      </c>
      <c r="L19264" s="2">
        <v>331</v>
      </c>
    </row>
    <row r="19265" spans="1:12" x14ac:dyDescent="0.25">
      <c r="A19265" s="4" t="str">
        <f>HYPERLINK("http://www.rosaceae.org/Prunus/Prunus_persica/p.persica_gdr_reftransV1_0023105","p.persica_gdr_reftransV1_0023105")</f>
        <v>p.persica_gdr_reftransV1_0023105</v>
      </c>
      <c r="B19265" s="2">
        <v>3162</v>
      </c>
      <c r="C19265" s="4" t="str">
        <f>HYPERLINK("http://www.uniprot.org/uniprot/M5VJN1","M5VJN1")</f>
        <v>M5VJN1</v>
      </c>
      <c r="D19265" s="2" t="s">
        <v>14778</v>
      </c>
      <c r="E19265" s="3">
        <v>0</v>
      </c>
      <c r="F19265" s="2">
        <v>2273</v>
      </c>
      <c r="G19265" s="2">
        <v>100</v>
      </c>
      <c r="H19265" s="2">
        <v>420</v>
      </c>
      <c r="I19265" s="2">
        <v>502</v>
      </c>
      <c r="J19265" s="2">
        <v>1761</v>
      </c>
      <c r="K19265" s="2">
        <v>1</v>
      </c>
      <c r="L19265" s="2">
        <v>420</v>
      </c>
    </row>
    <row r="19266" spans="1:12" x14ac:dyDescent="0.25">
      <c r="A19266" s="4" t="str">
        <f>HYPERLINK("http://www.rosaceae.org/Prunus/Prunus_persica/p.persica_gdr_reftransV1_0024155","p.persica_gdr_reftransV1_0024155")</f>
        <v>p.persica_gdr_reftransV1_0024155</v>
      </c>
      <c r="B19266" s="2">
        <v>4333</v>
      </c>
      <c r="C19266" s="4" t="str">
        <f>HYPERLINK("http://www.uniprot.org/uniprot/M5WVB7","M5WVB7")</f>
        <v>M5WVB7</v>
      </c>
      <c r="D19266" s="2" t="s">
        <v>13233</v>
      </c>
      <c r="E19266" s="3">
        <v>0</v>
      </c>
      <c r="F19266" s="2">
        <v>4836</v>
      </c>
      <c r="G19266" s="2">
        <v>97</v>
      </c>
      <c r="H19266" s="2">
        <v>1009</v>
      </c>
      <c r="I19266" s="2">
        <v>282</v>
      </c>
      <c r="J19266" s="2">
        <v>3308</v>
      </c>
      <c r="K19266" s="2">
        <v>307</v>
      </c>
      <c r="L19266" s="2">
        <v>1297</v>
      </c>
    </row>
    <row r="19267" spans="1:12" x14ac:dyDescent="0.25">
      <c r="A19267" s="4" t="str">
        <f>HYPERLINK("http://www.rosaceae.org/Prunus/Prunus_persica/p.persica_gdr_reftransV1_0024505","p.persica_gdr_reftransV1_0024505")</f>
        <v>p.persica_gdr_reftransV1_0024505</v>
      </c>
      <c r="B19267" s="2">
        <v>3826</v>
      </c>
      <c r="C19267" s="4" t="str">
        <f>HYPERLINK("http://www.uniprot.org/uniprot/M5W6H0","M5W6H0")</f>
        <v>M5W6H0</v>
      </c>
      <c r="D19267" s="2" t="s">
        <v>10914</v>
      </c>
      <c r="E19267" s="3">
        <v>1.0899999999999999E-109</v>
      </c>
      <c r="F19267" s="2">
        <v>951</v>
      </c>
      <c r="G19267" s="2">
        <v>100</v>
      </c>
      <c r="H19267" s="2">
        <v>236</v>
      </c>
      <c r="I19267" s="2">
        <v>840</v>
      </c>
      <c r="J19267" s="2">
        <v>1547</v>
      </c>
      <c r="K19267" s="2">
        <v>256</v>
      </c>
      <c r="L19267" s="2">
        <v>491</v>
      </c>
    </row>
    <row r="19268" spans="1:12" x14ac:dyDescent="0.25">
      <c r="A19268" s="4" t="str">
        <f>HYPERLINK("http://www.rosaceae.org/Prunus/Prunus_persica/p.persica_gdr_reftransV1_0028705","p.persica_gdr_reftransV1_0028705")</f>
        <v>p.persica_gdr_reftransV1_0028705</v>
      </c>
      <c r="B19268" s="2">
        <v>2822</v>
      </c>
      <c r="C19268" s="4" t="str">
        <f>HYPERLINK("http://www.uniprot.org/uniprot/M5VIQ5","M5VIQ5")</f>
        <v>M5VIQ5</v>
      </c>
      <c r="D19268" s="2" t="s">
        <v>14779</v>
      </c>
      <c r="E19268" s="3">
        <v>0</v>
      </c>
      <c r="F19268" s="2">
        <v>3050</v>
      </c>
      <c r="G19268" s="2">
        <v>85</v>
      </c>
      <c r="H19268" s="2">
        <v>748</v>
      </c>
      <c r="I19268" s="2">
        <v>122</v>
      </c>
      <c r="J19268" s="2">
        <v>2365</v>
      </c>
      <c r="K19268" s="2">
        <v>25</v>
      </c>
      <c r="L19268" s="2">
        <v>664</v>
      </c>
    </row>
    <row r="19269" spans="1:12" x14ac:dyDescent="0.25">
      <c r="A19269" s="4" t="str">
        <f>HYPERLINK("http://www.rosaceae.org/Prunus/Prunus_persica/p.persica_gdr_reftransV1_0029755","p.persica_gdr_reftransV1_0029755")</f>
        <v>p.persica_gdr_reftransV1_0029755</v>
      </c>
      <c r="B19269" s="2">
        <v>944</v>
      </c>
      <c r="C19269" s="4" t="str">
        <f>HYPERLINK("http://www.uniprot.org/uniprot/M5VV60","M5VV60")</f>
        <v>M5VV60</v>
      </c>
      <c r="D19269" s="2" t="s">
        <v>14501</v>
      </c>
      <c r="E19269" s="3">
        <v>2.9499999999999999E-85</v>
      </c>
      <c r="F19269" s="2">
        <v>682</v>
      </c>
      <c r="G19269" s="2">
        <v>65</v>
      </c>
      <c r="H19269" s="2">
        <v>228</v>
      </c>
      <c r="I19269" s="2">
        <v>144</v>
      </c>
      <c r="J19269" s="2">
        <v>770</v>
      </c>
      <c r="K19269" s="2">
        <v>1</v>
      </c>
      <c r="L19269" s="2">
        <v>216</v>
      </c>
    </row>
    <row r="19270" spans="1:12" x14ac:dyDescent="0.25">
      <c r="A19270" s="4" t="str">
        <f>HYPERLINK("http://www.rosaceae.org/Prunus/Prunus_persica/p.persica_gdr_reftransV1_0030455","p.persica_gdr_reftransV1_0030455")</f>
        <v>p.persica_gdr_reftransV1_0030455</v>
      </c>
      <c r="B19270" s="2">
        <v>1471</v>
      </c>
      <c r="C19270" s="4" t="str">
        <f>HYPERLINK("http://www.uniprot.org/uniprot/M5VQL3","M5VQL3")</f>
        <v>M5VQL3</v>
      </c>
      <c r="D19270" s="2" t="s">
        <v>14780</v>
      </c>
      <c r="E19270" s="3">
        <v>6.7900000000000004E-175</v>
      </c>
      <c r="F19270" s="2">
        <v>1305</v>
      </c>
      <c r="G19270" s="2">
        <v>100</v>
      </c>
      <c r="H19270" s="2">
        <v>328</v>
      </c>
      <c r="I19270" s="2">
        <v>195</v>
      </c>
      <c r="J19270" s="2">
        <v>1178</v>
      </c>
      <c r="K19270" s="2">
        <v>1</v>
      </c>
      <c r="L19270" s="2">
        <v>328</v>
      </c>
    </row>
    <row r="19271" spans="1:12" x14ac:dyDescent="0.25">
      <c r="A19271" s="4" t="str">
        <f>HYPERLINK("http://www.rosaceae.org/Prunus/Prunus_persica/p.persica_gdr_reftransV1_0031155","p.persica_gdr_reftransV1_0031155")</f>
        <v>p.persica_gdr_reftransV1_0031155</v>
      </c>
      <c r="B19271" s="2">
        <v>1038</v>
      </c>
      <c r="C19271" s="4" t="str">
        <f>HYPERLINK("http://www.uniprot.org/uniprot/M5WKB1","M5WKB1")</f>
        <v>M5WKB1</v>
      </c>
      <c r="D19271" s="2" t="s">
        <v>14781</v>
      </c>
      <c r="E19271" s="3">
        <v>3.8900000000000002E-103</v>
      </c>
      <c r="F19271" s="2">
        <v>832</v>
      </c>
      <c r="G19271" s="2">
        <v>100</v>
      </c>
      <c r="H19271" s="2">
        <v>154</v>
      </c>
      <c r="I19271" s="2">
        <v>576</v>
      </c>
      <c r="J19271" s="2">
        <v>1037</v>
      </c>
      <c r="K19271" s="2">
        <v>374</v>
      </c>
      <c r="L19271" s="2">
        <v>527</v>
      </c>
    </row>
    <row r="19272" spans="1:12" x14ac:dyDescent="0.25">
      <c r="A19272" s="4" t="str">
        <f>HYPERLINK("http://www.rosaceae.org/Prunus/Prunus_persica/p.persica_gdr_reftransV1_0031855","p.persica_gdr_reftransV1_0031855")</f>
        <v>p.persica_gdr_reftransV1_0031855</v>
      </c>
      <c r="B19272" s="2">
        <v>1123</v>
      </c>
      <c r="C19272" s="4" t="str">
        <f>HYPERLINK("http://www.uniprot.org/uniprot/M5VLU9","M5VLU9")</f>
        <v>M5VLU9</v>
      </c>
      <c r="D19272" s="2" t="s">
        <v>2566</v>
      </c>
      <c r="E19272" s="3">
        <v>0</v>
      </c>
      <c r="F19272" s="2">
        <v>1553</v>
      </c>
      <c r="G19272" s="2">
        <v>100</v>
      </c>
      <c r="H19272" s="2">
        <v>325</v>
      </c>
      <c r="I19272" s="2">
        <v>149</v>
      </c>
      <c r="J19272" s="2">
        <v>1123</v>
      </c>
      <c r="K19272" s="2">
        <v>1</v>
      </c>
      <c r="L19272" s="2">
        <v>325</v>
      </c>
    </row>
    <row r="19273" spans="1:12" x14ac:dyDescent="0.25">
      <c r="A19273" s="4" t="str">
        <f>HYPERLINK("http://www.rosaceae.org/Prunus/Prunus_persica/p.persica_gdr_reftransV1_0033255","p.persica_gdr_reftransV1_0033255")</f>
        <v>p.persica_gdr_reftransV1_0033255</v>
      </c>
      <c r="B19273" s="2">
        <v>1836</v>
      </c>
      <c r="C19273" s="4" t="str">
        <f>HYPERLINK("http://www.uniprot.org/uniprot/M5WF72","M5WF72")</f>
        <v>M5WF72</v>
      </c>
      <c r="D19273" s="2" t="s">
        <v>14782</v>
      </c>
      <c r="E19273" s="3">
        <v>0</v>
      </c>
      <c r="F19273" s="2">
        <v>2349</v>
      </c>
      <c r="G19273" s="2">
        <v>100</v>
      </c>
      <c r="H19273" s="2">
        <v>475</v>
      </c>
      <c r="I19273" s="2">
        <v>349</v>
      </c>
      <c r="J19273" s="2">
        <v>1773</v>
      </c>
      <c r="K19273" s="2">
        <v>1</v>
      </c>
      <c r="L19273" s="2">
        <v>475</v>
      </c>
    </row>
    <row r="19274" spans="1:12" x14ac:dyDescent="0.25">
      <c r="A19274" s="4" t="str">
        <f>HYPERLINK("http://www.rosaceae.org/Prunus/Prunus_persica/p.persica_gdr_reftransV1_0034655","p.persica_gdr_reftransV1_0034655")</f>
        <v>p.persica_gdr_reftransV1_0034655</v>
      </c>
      <c r="B19274" s="2">
        <v>1143</v>
      </c>
      <c r="C19274" s="4" t="str">
        <f>HYPERLINK("http://www.uniprot.org/uniprot/M5WFJ4","M5WFJ4")</f>
        <v>M5WFJ4</v>
      </c>
      <c r="D19274" s="2" t="s">
        <v>14783</v>
      </c>
      <c r="E19274" s="3">
        <v>0</v>
      </c>
      <c r="F19274" s="2">
        <v>1700</v>
      </c>
      <c r="G19274" s="2">
        <v>98</v>
      </c>
      <c r="H19274" s="2">
        <v>325</v>
      </c>
      <c r="I19274" s="2">
        <v>169</v>
      </c>
      <c r="J19274" s="2">
        <v>1143</v>
      </c>
      <c r="K19274" s="2">
        <v>121</v>
      </c>
      <c r="L19274" s="2">
        <v>445</v>
      </c>
    </row>
    <row r="19275" spans="1:12" x14ac:dyDescent="0.25">
      <c r="A19275" s="4" t="str">
        <f>HYPERLINK("http://www.rosaceae.org/Prunus/Prunus_persica/p.persica_gdr_reftransV1_0035005","p.persica_gdr_reftransV1_0035005")</f>
        <v>p.persica_gdr_reftransV1_0035005</v>
      </c>
      <c r="B19275" s="2">
        <v>396</v>
      </c>
      <c r="C19275" s="4" t="str">
        <f>HYPERLINK("http://www.uniprot.org/uniprot/M5X0W1","M5X0W1")</f>
        <v>M5X0W1</v>
      </c>
      <c r="D19275" s="2" t="s">
        <v>14784</v>
      </c>
      <c r="E19275" s="3">
        <v>3.8099999999999998E-81</v>
      </c>
      <c r="F19275" s="2">
        <v>653</v>
      </c>
      <c r="G19275" s="2">
        <v>95</v>
      </c>
      <c r="H19275" s="2">
        <v>131</v>
      </c>
      <c r="I19275" s="2">
        <v>2</v>
      </c>
      <c r="J19275" s="2">
        <v>394</v>
      </c>
      <c r="K19275" s="2">
        <v>68</v>
      </c>
      <c r="L19275" s="2">
        <v>198</v>
      </c>
    </row>
    <row r="19276" spans="1:12" x14ac:dyDescent="0.25">
      <c r="A19276" s="4" t="str">
        <f>HYPERLINK("http://www.rosaceae.org/Prunus/Prunus_persica/p.persica_gdr_reftransV1_0035705","p.persica_gdr_reftransV1_0035705")</f>
        <v>p.persica_gdr_reftransV1_0035705</v>
      </c>
      <c r="B19276" s="2">
        <v>1863</v>
      </c>
      <c r="C19276" s="4" t="str">
        <f>HYPERLINK("http://www.uniprot.org/uniprot/A0A061FCQ2","A0A061FCQ2")</f>
        <v>A0A061FCQ2</v>
      </c>
      <c r="D19276" s="2" t="s">
        <v>14785</v>
      </c>
      <c r="E19276" s="3">
        <v>1.5700000000000001E-135</v>
      </c>
      <c r="F19276" s="2">
        <v>1088</v>
      </c>
      <c r="G19276" s="2">
        <v>59</v>
      </c>
      <c r="H19276" s="2">
        <v>358</v>
      </c>
      <c r="I19276" s="2">
        <v>1</v>
      </c>
      <c r="J19276" s="2">
        <v>1065</v>
      </c>
      <c r="K19276" s="2">
        <v>244</v>
      </c>
      <c r="L19276" s="2">
        <v>600</v>
      </c>
    </row>
    <row r="19277" spans="1:12" x14ac:dyDescent="0.25">
      <c r="A19277" s="4" t="str">
        <f>HYPERLINK("http://www.rosaceae.org/Prunus/Prunus_persica/p.persica_gdr_reftransV1_0037455","p.persica_gdr_reftransV1_0037455")</f>
        <v>p.persica_gdr_reftransV1_0037455</v>
      </c>
      <c r="B19277" s="2">
        <v>2233</v>
      </c>
      <c r="C19277" s="4" t="str">
        <f>HYPERLINK("http://www.uniprot.org/uniprot/M5W8V5","M5W8V5")</f>
        <v>M5W8V5</v>
      </c>
      <c r="D19277" s="2" t="s">
        <v>259</v>
      </c>
      <c r="E19277" s="3">
        <v>5.5199999999999997E-157</v>
      </c>
      <c r="F19277" s="2">
        <v>1224</v>
      </c>
      <c r="G19277" s="2">
        <v>100</v>
      </c>
      <c r="H19277" s="2">
        <v>226</v>
      </c>
      <c r="I19277" s="2">
        <v>1059</v>
      </c>
      <c r="J19277" s="2">
        <v>1736</v>
      </c>
      <c r="K19277" s="2">
        <v>179</v>
      </c>
      <c r="L19277" s="2">
        <v>404</v>
      </c>
    </row>
    <row r="19278" spans="1:12" x14ac:dyDescent="0.25">
      <c r="A19278" s="4" t="str">
        <f>HYPERLINK("http://www.rosaceae.org/Prunus/Prunus_persica/p.persica_gdr_reftransV1_0037805","p.persica_gdr_reftransV1_0037805")</f>
        <v>p.persica_gdr_reftransV1_0037805</v>
      </c>
      <c r="B19278" s="2">
        <v>4163</v>
      </c>
      <c r="C19278" s="4" t="str">
        <f>HYPERLINK("http://www.uniprot.org/uniprot/M5XM32","M5XM32")</f>
        <v>M5XM32</v>
      </c>
      <c r="D19278" s="2" t="s">
        <v>14786</v>
      </c>
      <c r="E19278" s="3">
        <v>0</v>
      </c>
      <c r="F19278" s="2">
        <v>2414</v>
      </c>
      <c r="G19278" s="2">
        <v>100</v>
      </c>
      <c r="H19278" s="2">
        <v>456</v>
      </c>
      <c r="I19278" s="2">
        <v>1524</v>
      </c>
      <c r="J19278" s="2">
        <v>2891</v>
      </c>
      <c r="K19278" s="2">
        <v>370</v>
      </c>
      <c r="L19278" s="2">
        <v>825</v>
      </c>
    </row>
    <row r="19279" spans="1:12" x14ac:dyDescent="0.25">
      <c r="A19279" s="4" t="str">
        <f>HYPERLINK("http://www.rosaceae.org/Prunus/Prunus_persica/p.persica_gdr_reftransV1_0038505","p.persica_gdr_reftransV1_0038505")</f>
        <v>p.persica_gdr_reftransV1_0038505</v>
      </c>
      <c r="B19279" s="2">
        <v>3773</v>
      </c>
      <c r="C19279" s="4" t="str">
        <f>HYPERLINK("http://www.uniprot.org/uniprot/A0A061FI40","A0A061FI40")</f>
        <v>A0A061FI40</v>
      </c>
      <c r="D19279" s="2" t="s">
        <v>14787</v>
      </c>
      <c r="E19279" s="3">
        <v>0</v>
      </c>
      <c r="F19279" s="2">
        <v>4236</v>
      </c>
      <c r="G19279" s="2">
        <v>77</v>
      </c>
      <c r="H19279" s="2">
        <v>1100</v>
      </c>
      <c r="I19279" s="2">
        <v>258</v>
      </c>
      <c r="J19279" s="2">
        <v>3542</v>
      </c>
      <c r="K19279" s="2">
        <v>13</v>
      </c>
      <c r="L19279" s="2">
        <v>1088</v>
      </c>
    </row>
    <row r="19280" spans="1:12" x14ac:dyDescent="0.25">
      <c r="A19280" s="4" t="str">
        <f>HYPERLINK("http://www.rosaceae.org/Prunus/Prunus_persica/p.persica_gdr_reftransV1_0039205","p.persica_gdr_reftransV1_0039205")</f>
        <v>p.persica_gdr_reftransV1_0039205</v>
      </c>
      <c r="B19280" s="2">
        <v>2067</v>
      </c>
      <c r="C19280" s="4" t="str">
        <f>HYPERLINK("http://www.uniprot.org/uniprot/M5X8X7","M5X8X7")</f>
        <v>M5X8X7</v>
      </c>
      <c r="D19280" s="2" t="s">
        <v>14788</v>
      </c>
      <c r="E19280" s="3">
        <v>3.4300000000000002E-52</v>
      </c>
      <c r="F19280" s="2">
        <v>457</v>
      </c>
      <c r="G19280" s="2">
        <v>98</v>
      </c>
      <c r="H19280" s="2">
        <v>135</v>
      </c>
      <c r="I19280" s="2">
        <v>1449</v>
      </c>
      <c r="J19280" s="2">
        <v>1853</v>
      </c>
      <c r="K19280" s="2">
        <v>23</v>
      </c>
      <c r="L19280" s="2">
        <v>157</v>
      </c>
    </row>
    <row r="19281" spans="1:12" x14ac:dyDescent="0.25">
      <c r="A19281" s="4" t="str">
        <f>HYPERLINK("http://www.rosaceae.org/Prunus/Prunus_persica/p.persica_gdr_reftransV1_0039555","p.persica_gdr_reftransV1_0039555")</f>
        <v>p.persica_gdr_reftransV1_0039555</v>
      </c>
      <c r="B19281" s="2">
        <v>1324</v>
      </c>
      <c r="C19281" s="4" t="str">
        <f>HYPERLINK("http://www.uniprot.org/uniprot/M5XCQ0","M5XCQ0")</f>
        <v>M5XCQ0</v>
      </c>
      <c r="D19281" s="2" t="s">
        <v>14789</v>
      </c>
      <c r="E19281" s="3">
        <v>0</v>
      </c>
      <c r="F19281" s="2">
        <v>1432</v>
      </c>
      <c r="G19281" s="2">
        <v>100</v>
      </c>
      <c r="H19281" s="2">
        <v>276</v>
      </c>
      <c r="I19281" s="2">
        <v>158</v>
      </c>
      <c r="J19281" s="2">
        <v>985</v>
      </c>
      <c r="K19281" s="2">
        <v>1</v>
      </c>
      <c r="L19281" s="2">
        <v>276</v>
      </c>
    </row>
    <row r="19282" spans="1:12" x14ac:dyDescent="0.25">
      <c r="A19282" s="4" t="str">
        <f>HYPERLINK("http://www.rosaceae.org/Prunus/Prunus_persica/p.persica_gdr_reftransV1_0041305","p.persica_gdr_reftransV1_0041305")</f>
        <v>p.persica_gdr_reftransV1_0041305</v>
      </c>
      <c r="B19282" s="2">
        <v>1158</v>
      </c>
      <c r="C19282" s="4" t="str">
        <f>HYPERLINK("http://www.uniprot.org/uniprot/M5W0C7","M5W0C7")</f>
        <v>M5W0C7</v>
      </c>
      <c r="D19282" s="2" t="s">
        <v>14790</v>
      </c>
      <c r="E19282" s="3">
        <v>1.3699999999999999E-113</v>
      </c>
      <c r="F19282" s="2">
        <v>874</v>
      </c>
      <c r="G19282" s="2">
        <v>100</v>
      </c>
      <c r="H19282" s="2">
        <v>179</v>
      </c>
      <c r="I19282" s="2">
        <v>89</v>
      </c>
      <c r="J19282" s="2">
        <v>625</v>
      </c>
      <c r="K19282" s="2">
        <v>1</v>
      </c>
      <c r="L19282" s="2">
        <v>179</v>
      </c>
    </row>
    <row r="19283" spans="1:12" x14ac:dyDescent="0.25">
      <c r="A19283" s="4" t="str">
        <f>HYPERLINK("http://www.rosaceae.org/Prunus/Prunus_persica/p.persica_gdr_reftransV1_0043055","p.persica_gdr_reftransV1_0043055")</f>
        <v>p.persica_gdr_reftransV1_0043055</v>
      </c>
      <c r="B19283" s="2">
        <v>533</v>
      </c>
      <c r="C19283" s="4" t="str">
        <f>HYPERLINK("http://www.uniprot.org/uniprot/M5WK06","M5WK06")</f>
        <v>M5WK06</v>
      </c>
      <c r="D19283" s="2" t="s">
        <v>2618</v>
      </c>
      <c r="E19283" s="3">
        <v>6.9800000000000004E-84</v>
      </c>
      <c r="F19283" s="2">
        <v>682</v>
      </c>
      <c r="G19283" s="2">
        <v>100</v>
      </c>
      <c r="H19283" s="2">
        <v>127</v>
      </c>
      <c r="I19283" s="2">
        <v>151</v>
      </c>
      <c r="J19283" s="2">
        <v>531</v>
      </c>
      <c r="K19283" s="2">
        <v>357</v>
      </c>
      <c r="L19283" s="2">
        <v>483</v>
      </c>
    </row>
    <row r="19284" spans="1:12" x14ac:dyDescent="0.25">
      <c r="A19284" s="4" t="str">
        <f>HYPERLINK("http://www.rosaceae.org/Prunus/Prunus_persica/p.persica_gdr_reftransV1_0043755","p.persica_gdr_reftransV1_0043755")</f>
        <v>p.persica_gdr_reftransV1_0043755</v>
      </c>
      <c r="B19284" s="2">
        <v>1010</v>
      </c>
      <c r="C19284" s="4" t="str">
        <f>HYPERLINK("http://www.uniprot.org/uniprot/M5W8F9","M5W8F9")</f>
        <v>M5W8F9</v>
      </c>
      <c r="D19284" s="2" t="s">
        <v>3457</v>
      </c>
      <c r="E19284" s="3">
        <v>0</v>
      </c>
      <c r="F19284" s="2">
        <v>1474</v>
      </c>
      <c r="G19284" s="2">
        <v>100</v>
      </c>
      <c r="H19284" s="2">
        <v>292</v>
      </c>
      <c r="I19284" s="2">
        <v>133</v>
      </c>
      <c r="J19284" s="2">
        <v>1008</v>
      </c>
      <c r="K19284" s="2">
        <v>391</v>
      </c>
      <c r="L19284" s="2">
        <v>682</v>
      </c>
    </row>
    <row r="19285" spans="1:12" x14ac:dyDescent="0.25">
      <c r="A19285" s="4" t="str">
        <f>HYPERLINK("http://www.rosaceae.org/Prunus/Prunus_persica/p.persica_gdr_reftransV1_0044105","p.persica_gdr_reftransV1_0044105")</f>
        <v>p.persica_gdr_reftransV1_0044105</v>
      </c>
      <c r="B19285" s="2">
        <v>1167</v>
      </c>
      <c r="C19285" s="4" t="str">
        <f>HYPERLINK("http://www.uniprot.org/uniprot/M5X2H7","M5X2H7")</f>
        <v>M5X2H7</v>
      </c>
      <c r="D19285" s="2" t="s">
        <v>14791</v>
      </c>
      <c r="E19285" s="3">
        <v>7.5499999999999999E-114</v>
      </c>
      <c r="F19285" s="2">
        <v>876</v>
      </c>
      <c r="G19285" s="2">
        <v>100</v>
      </c>
      <c r="H19285" s="2">
        <v>181</v>
      </c>
      <c r="I19285" s="2">
        <v>309</v>
      </c>
      <c r="J19285" s="2">
        <v>851</v>
      </c>
      <c r="K19285" s="2">
        <v>1</v>
      </c>
      <c r="L19285" s="2">
        <v>181</v>
      </c>
    </row>
    <row r="19286" spans="1:12" x14ac:dyDescent="0.25">
      <c r="A19286" s="4" t="str">
        <f>HYPERLINK("http://www.rosaceae.org/Prunus/Prunus_persica/p.persica_gdr_reftransV1_0044455","p.persica_gdr_reftransV1_0044455")</f>
        <v>p.persica_gdr_reftransV1_0044455</v>
      </c>
      <c r="B19286" s="2">
        <v>1614</v>
      </c>
      <c r="C19286" s="4" t="str">
        <f>HYPERLINK("http://www.uniprot.org/uniprot/M5VXP3","M5VXP3")</f>
        <v>M5VXP3</v>
      </c>
      <c r="D19286" s="2" t="s">
        <v>4778</v>
      </c>
      <c r="E19286" s="3">
        <v>0</v>
      </c>
      <c r="F19286" s="2">
        <v>2163</v>
      </c>
      <c r="G19286" s="2">
        <v>100</v>
      </c>
      <c r="H19286" s="2">
        <v>402</v>
      </c>
      <c r="I19286" s="2">
        <v>407</v>
      </c>
      <c r="J19286" s="2">
        <v>1612</v>
      </c>
      <c r="K19286" s="2">
        <v>600</v>
      </c>
      <c r="L19286" s="2">
        <v>1001</v>
      </c>
    </row>
    <row r="19287" spans="1:12" x14ac:dyDescent="0.25">
      <c r="A19287" s="4" t="str">
        <f>HYPERLINK("http://www.rosaceae.org/Prunus/Prunus_persica/p.persica_gdr_reftransV1_0044805","p.persica_gdr_reftransV1_0044805")</f>
        <v>p.persica_gdr_reftransV1_0044805</v>
      </c>
      <c r="B19287" s="2">
        <v>374</v>
      </c>
      <c r="C19287" s="4" t="str">
        <f>HYPERLINK("http://www.uniprot.org/uniprot/M5W9L5","M5W9L5")</f>
        <v>M5W9L5</v>
      </c>
      <c r="D19287" s="2" t="s">
        <v>14711</v>
      </c>
      <c r="E19287" s="3">
        <v>7.7800000000000002E-56</v>
      </c>
      <c r="F19287" s="2">
        <v>495</v>
      </c>
      <c r="G19287" s="2">
        <v>88</v>
      </c>
      <c r="H19287" s="2">
        <v>123</v>
      </c>
      <c r="I19287" s="2">
        <v>3</v>
      </c>
      <c r="J19287" s="2">
        <v>371</v>
      </c>
      <c r="K19287" s="2">
        <v>244</v>
      </c>
      <c r="L19287" s="2">
        <v>366</v>
      </c>
    </row>
    <row r="19288" spans="1:12" x14ac:dyDescent="0.25">
      <c r="A19288" s="4" t="str">
        <f>HYPERLINK("http://www.rosaceae.org/Prunus/Prunus_persica/p.persica_gdr_reftransV1_0045155","p.persica_gdr_reftransV1_0045155")</f>
        <v>p.persica_gdr_reftransV1_0045155</v>
      </c>
      <c r="B19288" s="2">
        <v>1171</v>
      </c>
      <c r="C19288" s="4" t="str">
        <f>HYPERLINK("http://www.uniprot.org/uniprot/M5XU08","M5XU08")</f>
        <v>M5XU08</v>
      </c>
      <c r="D19288" s="2" t="s">
        <v>14792</v>
      </c>
      <c r="E19288" s="3">
        <v>1.9899999999999999E-159</v>
      </c>
      <c r="F19288" s="2">
        <v>1182</v>
      </c>
      <c r="G19288" s="2">
        <v>100</v>
      </c>
      <c r="H19288" s="2">
        <v>224</v>
      </c>
      <c r="I19288" s="2">
        <v>375</v>
      </c>
      <c r="J19288" s="2">
        <v>1046</v>
      </c>
      <c r="K19288" s="2">
        <v>6</v>
      </c>
      <c r="L19288" s="2">
        <v>229</v>
      </c>
    </row>
    <row r="19289" spans="1:12" x14ac:dyDescent="0.25">
      <c r="A19289" s="4" t="str">
        <f>HYPERLINK("http://www.rosaceae.org/Prunus/Prunus_persica/p.persica_gdr_reftransV1_0045855","p.persica_gdr_reftransV1_0045855")</f>
        <v>p.persica_gdr_reftransV1_0045855</v>
      </c>
      <c r="B19289" s="2">
        <v>2160</v>
      </c>
      <c r="C19289" s="4" t="str">
        <f>HYPERLINK("http://www.uniprot.org/uniprot/M5VJG8","M5VJG8")</f>
        <v>M5VJG8</v>
      </c>
      <c r="D19289" s="2" t="s">
        <v>14793</v>
      </c>
      <c r="E19289" s="3">
        <v>0</v>
      </c>
      <c r="F19289" s="2">
        <v>2401</v>
      </c>
      <c r="G19289" s="2">
        <v>100</v>
      </c>
      <c r="H19289" s="2">
        <v>537</v>
      </c>
      <c r="I19289" s="2">
        <v>307</v>
      </c>
      <c r="J19289" s="2">
        <v>1917</v>
      </c>
      <c r="K19289" s="2">
        <v>27</v>
      </c>
      <c r="L19289" s="2">
        <v>563</v>
      </c>
    </row>
    <row r="19290" spans="1:12" x14ac:dyDescent="0.25">
      <c r="A19290" s="4" t="str">
        <f>HYPERLINK("http://www.rosaceae.org/Prunus/Prunus_persica/p.persica_gdr_reftransV1_0046205","p.persica_gdr_reftransV1_0046205")</f>
        <v>p.persica_gdr_reftransV1_0046205</v>
      </c>
      <c r="B19290" s="2">
        <v>636</v>
      </c>
      <c r="C19290" s="4" t="str">
        <f>HYPERLINK("http://www.uniprot.org/uniprot/M5XK33","M5XK33")</f>
        <v>M5XK33</v>
      </c>
      <c r="D19290" s="2" t="s">
        <v>12448</v>
      </c>
      <c r="E19290" s="3">
        <v>1.35E-102</v>
      </c>
      <c r="F19290" s="2">
        <v>830</v>
      </c>
      <c r="G19290" s="2">
        <v>100</v>
      </c>
      <c r="H19290" s="2">
        <v>165</v>
      </c>
      <c r="I19290" s="2">
        <v>43</v>
      </c>
      <c r="J19290" s="2">
        <v>537</v>
      </c>
      <c r="K19290" s="2">
        <v>1</v>
      </c>
      <c r="L19290" s="2">
        <v>165</v>
      </c>
    </row>
    <row r="19291" spans="1:12" x14ac:dyDescent="0.25">
      <c r="A19291" s="4" t="str">
        <f>HYPERLINK("http://www.rosaceae.org/Prunus/Prunus_persica/p.persica_gdr_reftransV1_0046555","p.persica_gdr_reftransV1_0046555")</f>
        <v>p.persica_gdr_reftransV1_0046555</v>
      </c>
      <c r="B19291" s="2">
        <v>1276</v>
      </c>
      <c r="C19291" s="4" t="str">
        <f>HYPERLINK("http://www.uniprot.org/uniprot/M5Y028","M5Y028")</f>
        <v>M5Y028</v>
      </c>
      <c r="D19291" s="2" t="s">
        <v>9186</v>
      </c>
      <c r="E19291" s="3">
        <v>6.7799999999999994E-169</v>
      </c>
      <c r="F19291" s="2">
        <v>1250</v>
      </c>
      <c r="G19291" s="2">
        <v>100</v>
      </c>
      <c r="H19291" s="2">
        <v>239</v>
      </c>
      <c r="I19291" s="2">
        <v>190</v>
      </c>
      <c r="J19291" s="2">
        <v>906</v>
      </c>
      <c r="K19291" s="2">
        <v>1</v>
      </c>
      <c r="L19291" s="2">
        <v>239</v>
      </c>
    </row>
    <row r="19292" spans="1:12" x14ac:dyDescent="0.25">
      <c r="A19292" s="4" t="str">
        <f>HYPERLINK("http://www.rosaceae.org/Prunus/Prunus_persica/p.persica_gdr_reftransV1_0046905","p.persica_gdr_reftransV1_0046905")</f>
        <v>p.persica_gdr_reftransV1_0046905</v>
      </c>
      <c r="B19292" s="2">
        <v>973</v>
      </c>
      <c r="C19292" s="4" t="str">
        <f>HYPERLINK("http://www.uniprot.org/uniprot/M5XFP8","M5XFP8")</f>
        <v>M5XFP8</v>
      </c>
      <c r="D19292" s="2" t="s">
        <v>14794</v>
      </c>
      <c r="E19292" s="3">
        <v>1.08E-128</v>
      </c>
      <c r="F19292" s="2">
        <v>967</v>
      </c>
      <c r="G19292" s="2">
        <v>100</v>
      </c>
      <c r="H19292" s="2">
        <v>179</v>
      </c>
      <c r="I19292" s="2">
        <v>240</v>
      </c>
      <c r="J19292" s="2">
        <v>776</v>
      </c>
      <c r="K19292" s="2">
        <v>1</v>
      </c>
      <c r="L19292" s="2">
        <v>179</v>
      </c>
    </row>
    <row r="19293" spans="1:12" x14ac:dyDescent="0.25">
      <c r="A19293" s="4" t="str">
        <f>HYPERLINK("http://www.rosaceae.org/Prunus/Prunus_persica/p.persica_gdr_reftransV1_0047255","p.persica_gdr_reftransV1_0047255")</f>
        <v>p.persica_gdr_reftransV1_0047255</v>
      </c>
      <c r="B19293" s="2">
        <v>315</v>
      </c>
      <c r="C19293" s="4" t="str">
        <f>HYPERLINK("http://www.uniprot.org/uniprot/M5Y1C7","M5Y1C7")</f>
        <v>M5Y1C7</v>
      </c>
      <c r="D19293" s="2" t="s">
        <v>9523</v>
      </c>
      <c r="E19293" s="3">
        <v>2.15E-48</v>
      </c>
      <c r="F19293" s="2">
        <v>419</v>
      </c>
      <c r="G19293" s="2">
        <v>99</v>
      </c>
      <c r="H19293" s="2">
        <v>80</v>
      </c>
      <c r="I19293" s="2">
        <v>3</v>
      </c>
      <c r="J19293" s="2">
        <v>242</v>
      </c>
      <c r="K19293" s="2">
        <v>144</v>
      </c>
      <c r="L19293" s="2">
        <v>223</v>
      </c>
    </row>
    <row r="19294" spans="1:12" x14ac:dyDescent="0.25">
      <c r="A19294" s="4" t="str">
        <f>HYPERLINK("http://www.rosaceae.org/Prunus/Prunus_persica/p.persica_gdr_reftransV1_0047605","p.persica_gdr_reftransV1_0047605")</f>
        <v>p.persica_gdr_reftransV1_0047605</v>
      </c>
      <c r="B19294" s="2">
        <v>417</v>
      </c>
      <c r="C19294" s="4" t="str">
        <f>HYPERLINK("http://www.uniprot.org/uniprot/M5WLN0","M5WLN0")</f>
        <v>M5WLN0</v>
      </c>
      <c r="D19294" s="2" t="s">
        <v>14795</v>
      </c>
      <c r="E19294" s="3">
        <v>4.1199999999999996E-93</v>
      </c>
      <c r="F19294" s="2">
        <v>747</v>
      </c>
      <c r="G19294" s="2">
        <v>100</v>
      </c>
      <c r="H19294" s="2">
        <v>138</v>
      </c>
      <c r="I19294" s="2">
        <v>2</v>
      </c>
      <c r="J19294" s="2">
        <v>415</v>
      </c>
      <c r="K19294" s="2">
        <v>247</v>
      </c>
      <c r="L19294" s="2">
        <v>384</v>
      </c>
    </row>
    <row r="19295" spans="1:12" x14ac:dyDescent="0.25">
      <c r="A19295" s="4" t="str">
        <f>HYPERLINK("http://www.rosaceae.org/Prunus/Prunus_persica/p.persica_gdr_reftransV1_0047955","p.persica_gdr_reftransV1_0047955")</f>
        <v>p.persica_gdr_reftransV1_0047955</v>
      </c>
      <c r="B19295" s="2">
        <v>1074</v>
      </c>
      <c r="C19295" s="4" t="str">
        <f>HYPERLINK("http://www.uniprot.org/uniprot/M5X2U9","M5X2U9")</f>
        <v>M5X2U9</v>
      </c>
      <c r="D19295" s="2" t="s">
        <v>14796</v>
      </c>
      <c r="E19295" s="3">
        <v>1.3E-83</v>
      </c>
      <c r="F19295" s="2">
        <v>669</v>
      </c>
      <c r="G19295" s="2">
        <v>99</v>
      </c>
      <c r="H19295" s="2">
        <v>152</v>
      </c>
      <c r="I19295" s="2">
        <v>284</v>
      </c>
      <c r="J19295" s="2">
        <v>739</v>
      </c>
      <c r="K19295" s="2">
        <v>1</v>
      </c>
      <c r="L19295" s="2">
        <v>152</v>
      </c>
    </row>
    <row r="19296" spans="1:12" x14ac:dyDescent="0.25">
      <c r="A19296" s="4" t="str">
        <f>HYPERLINK("http://www.rosaceae.org/Prunus/Prunus_persica/p.persica_gdr_reftransV1_0048305","p.persica_gdr_reftransV1_0048305")</f>
        <v>p.persica_gdr_reftransV1_0048305</v>
      </c>
      <c r="B19296" s="2">
        <v>777</v>
      </c>
      <c r="C19296" s="4" t="str">
        <f>HYPERLINK("http://www.uniprot.org/uniprot/B4YF15","B4YF15")</f>
        <v>B4YF15</v>
      </c>
      <c r="D19296" s="2" t="s">
        <v>14797</v>
      </c>
      <c r="E19296" s="3">
        <v>2.2400000000000001E-66</v>
      </c>
      <c r="F19296" s="2">
        <v>591</v>
      </c>
      <c r="G19296" s="2">
        <v>61</v>
      </c>
      <c r="H19296" s="2">
        <v>177</v>
      </c>
      <c r="I19296" s="2">
        <v>206</v>
      </c>
      <c r="J19296" s="2">
        <v>736</v>
      </c>
      <c r="K19296" s="2">
        <v>273</v>
      </c>
      <c r="L19296" s="2">
        <v>449</v>
      </c>
    </row>
    <row r="19297" spans="1:12" x14ac:dyDescent="0.25">
      <c r="A19297" s="4" t="str">
        <f>HYPERLINK("http://www.rosaceae.org/Prunus/Prunus_persica/p.persica_gdr_reftransV1_0048655","p.persica_gdr_reftransV1_0048655")</f>
        <v>p.persica_gdr_reftransV1_0048655</v>
      </c>
      <c r="B19297" s="2">
        <v>553</v>
      </c>
      <c r="C19297" s="4" t="str">
        <f>HYPERLINK("http://www.uniprot.org/uniprot/M5WKL7","M5WKL7")</f>
        <v>M5WKL7</v>
      </c>
      <c r="D19297" s="2" t="s">
        <v>14798</v>
      </c>
      <c r="E19297" s="3">
        <v>9.3800000000000001E-61</v>
      </c>
      <c r="F19297" s="2">
        <v>498</v>
      </c>
      <c r="G19297" s="2">
        <v>99</v>
      </c>
      <c r="H19297" s="2">
        <v>96</v>
      </c>
      <c r="I19297" s="2">
        <v>128</v>
      </c>
      <c r="J19297" s="2">
        <v>415</v>
      </c>
      <c r="K19297" s="2">
        <v>21</v>
      </c>
      <c r="L19297" s="2">
        <v>116</v>
      </c>
    </row>
    <row r="19298" spans="1:12" x14ac:dyDescent="0.25">
      <c r="A19298" s="4" t="str">
        <f>HYPERLINK("http://www.rosaceae.org/Prunus/Prunus_persica/p.persica_gdr_reftransV1_0049005","p.persica_gdr_reftransV1_0049005")</f>
        <v>p.persica_gdr_reftransV1_0049005</v>
      </c>
      <c r="B19298" s="2">
        <v>627</v>
      </c>
      <c r="C19298" s="4" t="str">
        <f>HYPERLINK("http://www.uniprot.org/uniprot/M5XZX4","M5XZX4")</f>
        <v>M5XZX4</v>
      </c>
      <c r="D19298" s="2" t="s">
        <v>14799</v>
      </c>
      <c r="E19298" s="3">
        <v>2.1299999999999999E-60</v>
      </c>
      <c r="F19298" s="2">
        <v>510</v>
      </c>
      <c r="G19298" s="2">
        <v>98</v>
      </c>
      <c r="H19298" s="2">
        <v>99</v>
      </c>
      <c r="I19298" s="2">
        <v>15</v>
      </c>
      <c r="J19298" s="2">
        <v>311</v>
      </c>
      <c r="K19298" s="2">
        <v>23</v>
      </c>
      <c r="L19298" s="2">
        <v>121</v>
      </c>
    </row>
    <row r="19299" spans="1:12" x14ac:dyDescent="0.25">
      <c r="A19299" s="4" t="str">
        <f>HYPERLINK("http://www.rosaceae.org/Prunus/Prunus_persica/p.persica_gdr_reftransV1_0000051","p.persica_gdr_reftransV1_0000051")</f>
        <v>p.persica_gdr_reftransV1_0000051</v>
      </c>
      <c r="B19299" s="2">
        <v>608</v>
      </c>
      <c r="C19299" s="4" t="str">
        <f>HYPERLINK("http://www.uniprot.org/uniprot/M5X2P1","M5X2P1")</f>
        <v>M5X2P1</v>
      </c>
      <c r="D19299" s="2" t="s">
        <v>13169</v>
      </c>
      <c r="E19299" s="3">
        <v>1.2899999999999999E-83</v>
      </c>
      <c r="F19299" s="2">
        <v>663</v>
      </c>
      <c r="G19299" s="2">
        <v>98</v>
      </c>
      <c r="H19299" s="2">
        <v>133</v>
      </c>
      <c r="I19299" s="2">
        <v>207</v>
      </c>
      <c r="J19299" s="2">
        <v>605</v>
      </c>
      <c r="K19299" s="2">
        <v>1</v>
      </c>
      <c r="L19299" s="2">
        <v>133</v>
      </c>
    </row>
    <row r="19300" spans="1:12" x14ac:dyDescent="0.25">
      <c r="A19300" s="4" t="str">
        <f>HYPERLINK("http://www.rosaceae.org/Prunus/Prunus_persica/p.persica_gdr_reftransV1_0000751","p.persica_gdr_reftransV1_0000751")</f>
        <v>p.persica_gdr_reftransV1_0000751</v>
      </c>
      <c r="B19300" s="2">
        <v>1219</v>
      </c>
      <c r="C19300" s="4" t="str">
        <f>HYPERLINK("http://www.uniprot.org/uniprot/A0A067EH17","A0A067EH17")</f>
        <v>A0A067EH17</v>
      </c>
      <c r="D19300" s="2" t="s">
        <v>14800</v>
      </c>
      <c r="E19300" s="3">
        <v>1.32E-150</v>
      </c>
      <c r="F19300" s="2">
        <v>1152</v>
      </c>
      <c r="G19300" s="2">
        <v>64</v>
      </c>
      <c r="H19300" s="2">
        <v>410</v>
      </c>
      <c r="I19300" s="2">
        <v>2</v>
      </c>
      <c r="J19300" s="2">
        <v>1219</v>
      </c>
      <c r="K19300" s="2">
        <v>40</v>
      </c>
      <c r="L19300" s="2">
        <v>434</v>
      </c>
    </row>
    <row r="19301" spans="1:12" x14ac:dyDescent="0.25">
      <c r="A19301" s="4" t="str">
        <f>HYPERLINK("http://www.rosaceae.org/Prunus/Prunus_persica/p.persica_gdr_reftransV1_0001451","p.persica_gdr_reftransV1_0001451")</f>
        <v>p.persica_gdr_reftransV1_0001451</v>
      </c>
      <c r="B19301" s="2">
        <v>1113</v>
      </c>
      <c r="C19301" s="4" t="str">
        <f>HYPERLINK("http://www.uniprot.org/uniprot/M5Y2P8","M5Y2P8")</f>
        <v>M5Y2P8</v>
      </c>
      <c r="D19301" s="2" t="s">
        <v>3323</v>
      </c>
      <c r="E19301" s="3">
        <v>5.3299999999999997E-120</v>
      </c>
      <c r="F19301" s="2">
        <v>932</v>
      </c>
      <c r="G19301" s="2">
        <v>100</v>
      </c>
      <c r="H19301" s="2">
        <v>172</v>
      </c>
      <c r="I19301" s="2">
        <v>553</v>
      </c>
      <c r="J19301" s="2">
        <v>1068</v>
      </c>
      <c r="K19301" s="2">
        <v>1</v>
      </c>
      <c r="L19301" s="2">
        <v>172</v>
      </c>
    </row>
    <row r="19302" spans="1:12" x14ac:dyDescent="0.25">
      <c r="A19302" s="4" t="str">
        <f>HYPERLINK("http://www.rosaceae.org/Prunus/Prunus_persica/p.persica_gdr_reftransV1_0001801","p.persica_gdr_reftransV1_0001801")</f>
        <v>p.persica_gdr_reftransV1_0001801</v>
      </c>
      <c r="B19302" s="2">
        <v>2777</v>
      </c>
      <c r="C19302" s="4" t="str">
        <f>HYPERLINK("http://www.uniprot.org/uniprot/M5VV72","M5VV72")</f>
        <v>M5VV72</v>
      </c>
      <c r="D19302" s="2" t="s">
        <v>312</v>
      </c>
      <c r="E19302" s="3">
        <v>0</v>
      </c>
      <c r="F19302" s="2">
        <v>2150</v>
      </c>
      <c r="G19302" s="2">
        <v>99</v>
      </c>
      <c r="H19302" s="2">
        <v>431</v>
      </c>
      <c r="I19302" s="2">
        <v>1223</v>
      </c>
      <c r="J19302" s="2">
        <v>2515</v>
      </c>
      <c r="K19302" s="2">
        <v>1</v>
      </c>
      <c r="L19302" s="2">
        <v>431</v>
      </c>
    </row>
    <row r="19303" spans="1:12" x14ac:dyDescent="0.25">
      <c r="A19303" s="4" t="str">
        <f>HYPERLINK("http://www.rosaceae.org/Prunus/Prunus_persica/p.persica_gdr_reftransV1_0002851","p.persica_gdr_reftransV1_0002851")</f>
        <v>p.persica_gdr_reftransV1_0002851</v>
      </c>
      <c r="B19303" s="2">
        <v>2252</v>
      </c>
      <c r="C19303" s="4" t="str">
        <f>HYPERLINK("http://www.uniprot.org/uniprot/M5X7M0","M5X7M0")</f>
        <v>M5X7M0</v>
      </c>
      <c r="D19303" s="2" t="s">
        <v>5432</v>
      </c>
      <c r="E19303" s="3">
        <v>0</v>
      </c>
      <c r="F19303" s="2">
        <v>2079</v>
      </c>
      <c r="G19303" s="2">
        <v>100</v>
      </c>
      <c r="H19303" s="2">
        <v>385</v>
      </c>
      <c r="I19303" s="2">
        <v>866</v>
      </c>
      <c r="J19303" s="2">
        <v>2020</v>
      </c>
      <c r="K19303" s="2">
        <v>8</v>
      </c>
      <c r="L19303" s="2">
        <v>392</v>
      </c>
    </row>
    <row r="19304" spans="1:12" x14ac:dyDescent="0.25">
      <c r="A19304" s="4" t="str">
        <f>HYPERLINK("http://www.rosaceae.org/Prunus/Prunus_persica/p.persica_gdr_reftransV1_0003201","p.persica_gdr_reftransV1_0003201")</f>
        <v>p.persica_gdr_reftransV1_0003201</v>
      </c>
      <c r="B19304" s="2">
        <v>1918</v>
      </c>
      <c r="C19304" s="4" t="str">
        <f>HYPERLINK("http://www.uniprot.org/uniprot/M5XHR6","M5XHR6")</f>
        <v>M5XHR6</v>
      </c>
      <c r="D19304" s="2" t="s">
        <v>14801</v>
      </c>
      <c r="E19304" s="3">
        <v>0</v>
      </c>
      <c r="F19304" s="2">
        <v>1794</v>
      </c>
      <c r="G19304" s="2">
        <v>100</v>
      </c>
      <c r="H19304" s="2">
        <v>425</v>
      </c>
      <c r="I19304" s="2">
        <v>410</v>
      </c>
      <c r="J19304" s="2">
        <v>1684</v>
      </c>
      <c r="K19304" s="2">
        <v>1</v>
      </c>
      <c r="L19304" s="2">
        <v>425</v>
      </c>
    </row>
    <row r="19305" spans="1:12" x14ac:dyDescent="0.25">
      <c r="A19305" s="4" t="str">
        <f>HYPERLINK("http://www.rosaceae.org/Prunus/Prunus_persica/p.persica_gdr_reftransV1_0003551","p.persica_gdr_reftransV1_0003551")</f>
        <v>p.persica_gdr_reftransV1_0003551</v>
      </c>
      <c r="B19305" s="2">
        <v>3505</v>
      </c>
      <c r="C19305" s="4" t="str">
        <f>HYPERLINK("http://www.uniprot.org/uniprot/M5XQP2","M5XQP2")</f>
        <v>M5XQP2</v>
      </c>
      <c r="D19305" s="2" t="s">
        <v>9404</v>
      </c>
      <c r="E19305" s="3">
        <v>0</v>
      </c>
      <c r="F19305" s="2">
        <v>3942</v>
      </c>
      <c r="G19305" s="2">
        <v>100</v>
      </c>
      <c r="H19305" s="2">
        <v>1013</v>
      </c>
      <c r="I19305" s="2">
        <v>151</v>
      </c>
      <c r="J19305" s="2">
        <v>3189</v>
      </c>
      <c r="K19305" s="2">
        <v>1</v>
      </c>
      <c r="L19305" s="2">
        <v>1013</v>
      </c>
    </row>
    <row r="19306" spans="1:12" x14ac:dyDescent="0.25">
      <c r="A19306" s="4" t="str">
        <f>HYPERLINK("http://www.rosaceae.org/Prunus/Prunus_persica/p.persica_gdr_reftransV1_0004251","p.persica_gdr_reftransV1_0004251")</f>
        <v>p.persica_gdr_reftransV1_0004251</v>
      </c>
      <c r="B19306" s="2">
        <v>1785</v>
      </c>
      <c r="C19306" s="4" t="str">
        <f>HYPERLINK("http://www.uniprot.org/uniprot/M5XQU1","M5XQU1")</f>
        <v>M5XQU1</v>
      </c>
      <c r="D19306" s="2" t="s">
        <v>14802</v>
      </c>
      <c r="E19306" s="3">
        <v>0</v>
      </c>
      <c r="F19306" s="2">
        <v>1856</v>
      </c>
      <c r="G19306" s="2">
        <v>100</v>
      </c>
      <c r="H19306" s="2">
        <v>381</v>
      </c>
      <c r="I19306" s="2">
        <v>380</v>
      </c>
      <c r="J19306" s="2">
        <v>1522</v>
      </c>
      <c r="K19306" s="2">
        <v>1</v>
      </c>
      <c r="L19306" s="2">
        <v>381</v>
      </c>
    </row>
    <row r="19307" spans="1:12" x14ac:dyDescent="0.25">
      <c r="A19307" s="4" t="str">
        <f>HYPERLINK("http://www.rosaceae.org/Prunus/Prunus_persica/p.persica_gdr_reftransV1_0004951","p.persica_gdr_reftransV1_0004951")</f>
        <v>p.persica_gdr_reftransV1_0004951</v>
      </c>
      <c r="B19307" s="2">
        <v>2650</v>
      </c>
      <c r="C19307" s="4" t="str">
        <f>HYPERLINK("http://www.uniprot.org/uniprot/M5XYE5","M5XYE5")</f>
        <v>M5XYE5</v>
      </c>
      <c r="D19307" s="2" t="s">
        <v>9761</v>
      </c>
      <c r="E19307" s="3">
        <v>0</v>
      </c>
      <c r="F19307" s="2">
        <v>2673</v>
      </c>
      <c r="G19307" s="2">
        <v>93</v>
      </c>
      <c r="H19307" s="2">
        <v>590</v>
      </c>
      <c r="I19307" s="2">
        <v>651</v>
      </c>
      <c r="J19307" s="2">
        <v>2420</v>
      </c>
      <c r="K19307" s="2">
        <v>1</v>
      </c>
      <c r="L19307" s="2">
        <v>551</v>
      </c>
    </row>
    <row r="19308" spans="1:12" x14ac:dyDescent="0.25">
      <c r="A19308" s="4" t="str">
        <f>HYPERLINK("http://www.rosaceae.org/Prunus/Prunus_persica/p.persica_gdr_reftransV1_0005301","p.persica_gdr_reftransV1_0005301")</f>
        <v>p.persica_gdr_reftransV1_0005301</v>
      </c>
      <c r="B19308" s="2">
        <v>1679</v>
      </c>
      <c r="C19308" s="4" t="str">
        <f>HYPERLINK("http://www.uniprot.org/uniprot/M5XC05","M5XC05")</f>
        <v>M5XC05</v>
      </c>
      <c r="D19308" s="2" t="s">
        <v>9387</v>
      </c>
      <c r="E19308" s="3">
        <v>5.9299999999999995E-162</v>
      </c>
      <c r="F19308" s="2">
        <v>1229</v>
      </c>
      <c r="G19308" s="2">
        <v>100</v>
      </c>
      <c r="H19308" s="2">
        <v>244</v>
      </c>
      <c r="I19308" s="2">
        <v>865</v>
      </c>
      <c r="J19308" s="2">
        <v>1596</v>
      </c>
      <c r="K19308" s="2">
        <v>1</v>
      </c>
      <c r="L19308" s="2">
        <v>244</v>
      </c>
    </row>
    <row r="19309" spans="1:12" x14ac:dyDescent="0.25">
      <c r="A19309" s="4" t="str">
        <f>HYPERLINK("http://www.rosaceae.org/Prunus/Prunus_persica/p.persica_gdr_reftransV1_0006001","p.persica_gdr_reftransV1_0006001")</f>
        <v>p.persica_gdr_reftransV1_0006001</v>
      </c>
      <c r="B19309" s="2">
        <v>3819</v>
      </c>
      <c r="C19309" s="4" t="str">
        <f>HYPERLINK("http://www.uniprot.org/uniprot/M5XM94","M5XM94")</f>
        <v>M5XM94</v>
      </c>
      <c r="D19309" s="2" t="s">
        <v>14803</v>
      </c>
      <c r="E19309" s="3">
        <v>0</v>
      </c>
      <c r="F19309" s="2">
        <v>5403</v>
      </c>
      <c r="G19309" s="2">
        <v>100</v>
      </c>
      <c r="H19309" s="2">
        <v>1127</v>
      </c>
      <c r="I19309" s="2">
        <v>278</v>
      </c>
      <c r="J19309" s="2">
        <v>3658</v>
      </c>
      <c r="K19309" s="2">
        <v>1</v>
      </c>
      <c r="L19309" s="2">
        <v>1127</v>
      </c>
    </row>
    <row r="19310" spans="1:12" x14ac:dyDescent="0.25">
      <c r="A19310" s="4" t="str">
        <f>HYPERLINK("http://www.rosaceae.org/Prunus/Prunus_persica/p.persica_gdr_reftransV1_0006351","p.persica_gdr_reftransV1_0006351")</f>
        <v>p.persica_gdr_reftransV1_0006351</v>
      </c>
      <c r="B19310" s="2">
        <v>465</v>
      </c>
      <c r="C19310" s="4" t="str">
        <f>HYPERLINK("http://www.uniprot.org/uniprot/M5WSK8","M5WSK8")</f>
        <v>M5WSK8</v>
      </c>
      <c r="D19310" s="2" t="s">
        <v>4386</v>
      </c>
      <c r="E19310" s="3">
        <v>1.7400000000000001E-107</v>
      </c>
      <c r="F19310" s="2">
        <v>830</v>
      </c>
      <c r="G19310" s="2">
        <v>99</v>
      </c>
      <c r="H19310" s="2">
        <v>154</v>
      </c>
      <c r="I19310" s="2">
        <v>3</v>
      </c>
      <c r="J19310" s="2">
        <v>464</v>
      </c>
      <c r="K19310" s="2">
        <v>187</v>
      </c>
      <c r="L19310" s="2">
        <v>340</v>
      </c>
    </row>
    <row r="19311" spans="1:12" x14ac:dyDescent="0.25">
      <c r="A19311" s="4" t="str">
        <f>HYPERLINK("http://www.rosaceae.org/Prunus/Prunus_persica/p.persica_gdr_reftransV1_0006701","p.persica_gdr_reftransV1_0006701")</f>
        <v>p.persica_gdr_reftransV1_0006701</v>
      </c>
      <c r="B19311" s="2">
        <v>480</v>
      </c>
      <c r="C19311" s="4" t="str">
        <f>HYPERLINK("http://www.uniprot.org/uniprot/M5W7E8","M5W7E8")</f>
        <v>M5W7E8</v>
      </c>
      <c r="D19311" s="2" t="s">
        <v>13789</v>
      </c>
      <c r="E19311" s="3">
        <v>7.3000000000000003E-99</v>
      </c>
      <c r="F19311" s="2">
        <v>792</v>
      </c>
      <c r="G19311" s="2">
        <v>100</v>
      </c>
      <c r="H19311" s="2">
        <v>160</v>
      </c>
      <c r="I19311" s="2">
        <v>1</v>
      </c>
      <c r="J19311" s="2">
        <v>480</v>
      </c>
      <c r="K19311" s="2">
        <v>193</v>
      </c>
      <c r="L19311" s="2">
        <v>352</v>
      </c>
    </row>
    <row r="19312" spans="1:12" x14ac:dyDescent="0.25">
      <c r="A19312" s="4" t="str">
        <f>HYPERLINK("http://www.rosaceae.org/Prunus/Prunus_persica/p.persica_gdr_reftransV1_0007751","p.persica_gdr_reftransV1_0007751")</f>
        <v>p.persica_gdr_reftransV1_0007751</v>
      </c>
      <c r="B19312" s="2">
        <v>1344</v>
      </c>
      <c r="C19312" s="4" t="str">
        <f>HYPERLINK("http://www.uniprot.org/uniprot/M5XDQ0","M5XDQ0")</f>
        <v>M5XDQ0</v>
      </c>
      <c r="D19312" s="2" t="s">
        <v>14804</v>
      </c>
      <c r="E19312" s="3">
        <v>9.5100000000000002E-143</v>
      </c>
      <c r="F19312" s="2">
        <v>1075</v>
      </c>
      <c r="G19312" s="2">
        <v>100</v>
      </c>
      <c r="H19312" s="2">
        <v>200</v>
      </c>
      <c r="I19312" s="2">
        <v>60</v>
      </c>
      <c r="J19312" s="2">
        <v>659</v>
      </c>
      <c r="K19312" s="2">
        <v>1</v>
      </c>
      <c r="L19312" s="2">
        <v>200</v>
      </c>
    </row>
    <row r="19313" spans="1:12" x14ac:dyDescent="0.25">
      <c r="A19313" s="4" t="str">
        <f>HYPERLINK("http://www.rosaceae.org/Prunus/Prunus_persica/p.persica_gdr_reftransV1_0008451","p.persica_gdr_reftransV1_0008451")</f>
        <v>p.persica_gdr_reftransV1_0008451</v>
      </c>
      <c r="B19313" s="2">
        <v>1928</v>
      </c>
      <c r="C19313" s="4" t="str">
        <f>HYPERLINK("http://www.uniprot.org/uniprot/M5VQR2","M5VQR2")</f>
        <v>M5VQR2</v>
      </c>
      <c r="D19313" s="2" t="s">
        <v>14805</v>
      </c>
      <c r="E19313" s="3">
        <v>0</v>
      </c>
      <c r="F19313" s="2">
        <v>2322</v>
      </c>
      <c r="G19313" s="2">
        <v>100</v>
      </c>
      <c r="H19313" s="2">
        <v>430</v>
      </c>
      <c r="I19313" s="2">
        <v>170</v>
      </c>
      <c r="J19313" s="2">
        <v>1459</v>
      </c>
      <c r="K19313" s="2">
        <v>1</v>
      </c>
      <c r="L19313" s="2">
        <v>430</v>
      </c>
    </row>
    <row r="19314" spans="1:12" x14ac:dyDescent="0.25">
      <c r="A19314" s="4" t="str">
        <f>HYPERLINK("http://www.rosaceae.org/Prunus/Prunus_persica/p.persica_gdr_reftransV1_0009151","p.persica_gdr_reftransV1_0009151")</f>
        <v>p.persica_gdr_reftransV1_0009151</v>
      </c>
      <c r="B19314" s="2">
        <v>1680</v>
      </c>
      <c r="C19314" s="4" t="str">
        <f>HYPERLINK("http://www.uniprot.org/uniprot/M5WJJ1","M5WJJ1")</f>
        <v>M5WJJ1</v>
      </c>
      <c r="D19314" s="2" t="s">
        <v>10283</v>
      </c>
      <c r="E19314" s="3">
        <v>0</v>
      </c>
      <c r="F19314" s="2">
        <v>1533</v>
      </c>
      <c r="G19314" s="2">
        <v>79</v>
      </c>
      <c r="H19314" s="2">
        <v>404</v>
      </c>
      <c r="I19314" s="2">
        <v>468</v>
      </c>
      <c r="J19314" s="2">
        <v>1679</v>
      </c>
      <c r="K19314" s="2">
        <v>136</v>
      </c>
      <c r="L19314" s="2">
        <v>456</v>
      </c>
    </row>
    <row r="19315" spans="1:12" x14ac:dyDescent="0.25">
      <c r="A19315" s="4" t="str">
        <f>HYPERLINK("http://www.rosaceae.org/Prunus/Prunus_persica/p.persica_gdr_reftransV1_0009851","p.persica_gdr_reftransV1_0009851")</f>
        <v>p.persica_gdr_reftransV1_0009851</v>
      </c>
      <c r="B19315" s="2">
        <v>2004</v>
      </c>
      <c r="C19315" s="4" t="str">
        <f>HYPERLINK("http://www.uniprot.org/uniprot/M5WTJ7","M5WTJ7")</f>
        <v>M5WTJ7</v>
      </c>
      <c r="D19315" s="2" t="s">
        <v>14806</v>
      </c>
      <c r="E19315" s="3">
        <v>0</v>
      </c>
      <c r="F19315" s="2">
        <v>2430</v>
      </c>
      <c r="G19315" s="2">
        <v>100</v>
      </c>
      <c r="H19315" s="2">
        <v>463</v>
      </c>
      <c r="I19315" s="2">
        <v>236</v>
      </c>
      <c r="J19315" s="2">
        <v>1624</v>
      </c>
      <c r="K19315" s="2">
        <v>1</v>
      </c>
      <c r="L19315" s="2">
        <v>463</v>
      </c>
    </row>
    <row r="19316" spans="1:12" x14ac:dyDescent="0.25">
      <c r="A19316" s="4" t="str">
        <f>HYPERLINK("http://www.rosaceae.org/Prunus/Prunus_persica/p.persica_gdr_reftransV1_0010201","p.persica_gdr_reftransV1_0010201")</f>
        <v>p.persica_gdr_reftransV1_0010201</v>
      </c>
      <c r="B19316" s="2">
        <v>2156</v>
      </c>
      <c r="C19316" s="4" t="str">
        <f>HYPERLINK("http://www.uniprot.org/uniprot/M5X179","M5X179")</f>
        <v>M5X179</v>
      </c>
      <c r="D19316" s="2" t="s">
        <v>14807</v>
      </c>
      <c r="E19316" s="3">
        <v>0</v>
      </c>
      <c r="F19316" s="2">
        <v>2352</v>
      </c>
      <c r="G19316" s="2">
        <v>100</v>
      </c>
      <c r="H19316" s="2">
        <v>456</v>
      </c>
      <c r="I19316" s="2">
        <v>208</v>
      </c>
      <c r="J19316" s="2">
        <v>1575</v>
      </c>
      <c r="K19316" s="2">
        <v>1</v>
      </c>
      <c r="L19316" s="2">
        <v>456</v>
      </c>
    </row>
    <row r="19317" spans="1:12" x14ac:dyDescent="0.25">
      <c r="A19317" s="4" t="str">
        <f>HYPERLINK("http://www.rosaceae.org/Prunus/Prunus_persica/p.persica_gdr_reftransV1_0010901","p.persica_gdr_reftransV1_0010901")</f>
        <v>p.persica_gdr_reftransV1_0010901</v>
      </c>
      <c r="B19317" s="2">
        <v>974</v>
      </c>
      <c r="C19317" s="4" t="str">
        <f>HYPERLINK("http://www.uniprot.org/uniprot/M5VGY7","M5VGY7")</f>
        <v>M5VGY7</v>
      </c>
      <c r="D19317" s="2" t="s">
        <v>14808</v>
      </c>
      <c r="E19317" s="3">
        <v>7.86E-66</v>
      </c>
      <c r="F19317" s="2">
        <v>546</v>
      </c>
      <c r="G19317" s="2">
        <v>100</v>
      </c>
      <c r="H19317" s="2">
        <v>117</v>
      </c>
      <c r="I19317" s="2">
        <v>271</v>
      </c>
      <c r="J19317" s="2">
        <v>621</v>
      </c>
      <c r="K19317" s="2">
        <v>12</v>
      </c>
      <c r="L19317" s="2">
        <v>128</v>
      </c>
    </row>
    <row r="19318" spans="1:12" x14ac:dyDescent="0.25">
      <c r="A19318" s="4" t="str">
        <f>HYPERLINK("http://www.rosaceae.org/Prunus/Prunus_persica/p.persica_gdr_reftransV1_0011601","p.persica_gdr_reftransV1_0011601")</f>
        <v>p.persica_gdr_reftransV1_0011601</v>
      </c>
      <c r="B19318" s="2">
        <v>1247</v>
      </c>
      <c r="C19318" s="4" t="str">
        <f>HYPERLINK("http://www.uniprot.org/uniprot/M5VTL4","M5VTL4")</f>
        <v>M5VTL4</v>
      </c>
      <c r="D19318" s="2" t="s">
        <v>14809</v>
      </c>
      <c r="E19318" s="3">
        <v>3.1500000000000001E-170</v>
      </c>
      <c r="F19318" s="2">
        <v>1257</v>
      </c>
      <c r="G19318" s="2">
        <v>100</v>
      </c>
      <c r="H19318" s="2">
        <v>238</v>
      </c>
      <c r="I19318" s="2">
        <v>490</v>
      </c>
      <c r="J19318" s="2">
        <v>1203</v>
      </c>
      <c r="K19318" s="2">
        <v>1</v>
      </c>
      <c r="L19318" s="2">
        <v>238</v>
      </c>
    </row>
    <row r="19319" spans="1:12" x14ac:dyDescent="0.25">
      <c r="A19319" s="4" t="str">
        <f>HYPERLINK("http://www.rosaceae.org/Prunus/Prunus_persica/p.persica_gdr_reftransV1_0011951","p.persica_gdr_reftransV1_0011951")</f>
        <v>p.persica_gdr_reftransV1_0011951</v>
      </c>
      <c r="B19319" s="2">
        <v>1430</v>
      </c>
      <c r="C19319" s="4" t="str">
        <f>HYPERLINK("http://www.uniprot.org/uniprot/M5WV00","M5WV00")</f>
        <v>M5WV00</v>
      </c>
      <c r="D19319" s="2" t="s">
        <v>14810</v>
      </c>
      <c r="E19319" s="3">
        <v>0</v>
      </c>
      <c r="F19319" s="2">
        <v>1589</v>
      </c>
      <c r="G19319" s="2">
        <v>100</v>
      </c>
      <c r="H19319" s="2">
        <v>298</v>
      </c>
      <c r="I19319" s="2">
        <v>359</v>
      </c>
      <c r="J19319" s="2">
        <v>1252</v>
      </c>
      <c r="K19319" s="2">
        <v>1</v>
      </c>
      <c r="L19319" s="2">
        <v>298</v>
      </c>
    </row>
    <row r="19320" spans="1:12" x14ac:dyDescent="0.25">
      <c r="A19320" s="4" t="str">
        <f>HYPERLINK("http://www.rosaceae.org/Prunus/Prunus_persica/p.persica_gdr_reftransV1_0013001","p.persica_gdr_reftransV1_0013001")</f>
        <v>p.persica_gdr_reftransV1_0013001</v>
      </c>
      <c r="B19320" s="2">
        <v>1233</v>
      </c>
      <c r="C19320" s="4" t="str">
        <f>HYPERLINK("http://www.uniprot.org/uniprot/M5VMR3","M5VMR3")</f>
        <v>M5VMR3</v>
      </c>
      <c r="D19320" s="2" t="s">
        <v>13041</v>
      </c>
      <c r="E19320" s="3">
        <v>0</v>
      </c>
      <c r="F19320" s="2">
        <v>1521</v>
      </c>
      <c r="G19320" s="2">
        <v>100</v>
      </c>
      <c r="H19320" s="2">
        <v>281</v>
      </c>
      <c r="I19320" s="2">
        <v>2</v>
      </c>
      <c r="J19320" s="2">
        <v>844</v>
      </c>
      <c r="K19320" s="2">
        <v>226</v>
      </c>
      <c r="L19320" s="2">
        <v>506</v>
      </c>
    </row>
    <row r="19321" spans="1:12" x14ac:dyDescent="0.25">
      <c r="A19321" s="4" t="str">
        <f>HYPERLINK("http://www.rosaceae.org/Prunus/Prunus_persica/p.persica_gdr_reftransV1_0014401","p.persica_gdr_reftransV1_0014401")</f>
        <v>p.persica_gdr_reftransV1_0014401</v>
      </c>
      <c r="B19321" s="2">
        <v>1563</v>
      </c>
      <c r="C19321" s="4" t="str">
        <f>HYPERLINK("http://www.uniprot.org/uniprot/M5WUB4","M5WUB4")</f>
        <v>M5WUB4</v>
      </c>
      <c r="D19321" s="2" t="s">
        <v>14811</v>
      </c>
      <c r="E19321" s="3">
        <v>0</v>
      </c>
      <c r="F19321" s="2">
        <v>1706</v>
      </c>
      <c r="G19321" s="2">
        <v>97</v>
      </c>
      <c r="H19321" s="2">
        <v>346</v>
      </c>
      <c r="I19321" s="2">
        <v>296</v>
      </c>
      <c r="J19321" s="2">
        <v>1333</v>
      </c>
      <c r="K19321" s="2">
        <v>1</v>
      </c>
      <c r="L19321" s="2">
        <v>346</v>
      </c>
    </row>
    <row r="19322" spans="1:12" x14ac:dyDescent="0.25">
      <c r="A19322" s="4" t="str">
        <f>HYPERLINK("http://www.rosaceae.org/Prunus/Prunus_persica/p.persica_gdr_reftransV1_0014751","p.persica_gdr_reftransV1_0014751")</f>
        <v>p.persica_gdr_reftransV1_0014751</v>
      </c>
      <c r="B19322" s="2">
        <v>3636</v>
      </c>
      <c r="C19322" s="4" t="str">
        <f>HYPERLINK("http://www.uniprot.org/uniprot/M5X1W8","M5X1W8")</f>
        <v>M5X1W8</v>
      </c>
      <c r="D19322" s="2" t="s">
        <v>14812</v>
      </c>
      <c r="E19322" s="3">
        <v>0</v>
      </c>
      <c r="F19322" s="2">
        <v>4328</v>
      </c>
      <c r="G19322" s="2">
        <v>100</v>
      </c>
      <c r="H19322" s="2">
        <v>876</v>
      </c>
      <c r="I19322" s="2">
        <v>627</v>
      </c>
      <c r="J19322" s="2">
        <v>3254</v>
      </c>
      <c r="K19322" s="2">
        <v>1</v>
      </c>
      <c r="L19322" s="2">
        <v>876</v>
      </c>
    </row>
    <row r="19323" spans="1:12" x14ac:dyDescent="0.25">
      <c r="A19323" s="4" t="str">
        <f>HYPERLINK("http://www.rosaceae.org/Prunus/Prunus_persica/p.persica_gdr_reftransV1_0015801","p.persica_gdr_reftransV1_0015801")</f>
        <v>p.persica_gdr_reftransV1_0015801</v>
      </c>
      <c r="B19323" s="2">
        <v>3101</v>
      </c>
      <c r="C19323" s="4" t="str">
        <f>HYPERLINK("http://www.uniprot.org/uniprot/M5WLN5","M5WLN5")</f>
        <v>M5WLN5</v>
      </c>
      <c r="D19323" s="2" t="s">
        <v>14813</v>
      </c>
      <c r="E19323" s="3">
        <v>0</v>
      </c>
      <c r="F19323" s="2">
        <v>2642</v>
      </c>
      <c r="G19323" s="2">
        <v>100</v>
      </c>
      <c r="H19323" s="2">
        <v>493</v>
      </c>
      <c r="I19323" s="2">
        <v>1532</v>
      </c>
      <c r="J19323" s="2">
        <v>3010</v>
      </c>
      <c r="K19323" s="2">
        <v>1</v>
      </c>
      <c r="L19323" s="2">
        <v>493</v>
      </c>
    </row>
    <row r="19324" spans="1:12" x14ac:dyDescent="0.25">
      <c r="A19324" s="4" t="str">
        <f>HYPERLINK("http://www.rosaceae.org/Prunus/Prunus_persica/p.persica_gdr_reftransV1_0016501","p.persica_gdr_reftransV1_0016501")</f>
        <v>p.persica_gdr_reftransV1_0016501</v>
      </c>
      <c r="B19324" s="2">
        <v>1331</v>
      </c>
      <c r="C19324" s="4" t="str">
        <f>HYPERLINK("http://www.uniprot.org/uniprot/M5VKI6","M5VKI6")</f>
        <v>M5VKI6</v>
      </c>
      <c r="D19324" s="2" t="s">
        <v>14814</v>
      </c>
      <c r="E19324" s="3">
        <v>0</v>
      </c>
      <c r="F19324" s="2">
        <v>1493</v>
      </c>
      <c r="G19324" s="2">
        <v>100</v>
      </c>
      <c r="H19324" s="2">
        <v>305</v>
      </c>
      <c r="I19324" s="2">
        <v>158</v>
      </c>
      <c r="J19324" s="2">
        <v>1072</v>
      </c>
      <c r="K19324" s="2">
        <v>1</v>
      </c>
      <c r="L19324" s="2">
        <v>305</v>
      </c>
    </row>
    <row r="19325" spans="1:12" x14ac:dyDescent="0.25">
      <c r="A19325" s="4" t="str">
        <f>HYPERLINK("http://www.rosaceae.org/Prunus/Prunus_persica/p.persica_gdr_reftransV1_0016851","p.persica_gdr_reftransV1_0016851")</f>
        <v>p.persica_gdr_reftransV1_0016851</v>
      </c>
      <c r="B19325" s="2">
        <v>4008</v>
      </c>
      <c r="C19325" s="4" t="str">
        <f>HYPERLINK("http://www.uniprot.org/uniprot/M5XR86","M5XR86")</f>
        <v>M5XR86</v>
      </c>
      <c r="D19325" s="2" t="s">
        <v>14815</v>
      </c>
      <c r="E19325" s="3">
        <v>0</v>
      </c>
      <c r="F19325" s="2">
        <v>2461</v>
      </c>
      <c r="G19325" s="2">
        <v>100</v>
      </c>
      <c r="H19325" s="2">
        <v>485</v>
      </c>
      <c r="I19325" s="2">
        <v>2085</v>
      </c>
      <c r="J19325" s="2">
        <v>3539</v>
      </c>
      <c r="K19325" s="2">
        <v>1</v>
      </c>
      <c r="L19325" s="2">
        <v>485</v>
      </c>
    </row>
    <row r="19326" spans="1:12" x14ac:dyDescent="0.25">
      <c r="A19326" s="4" t="str">
        <f>HYPERLINK("http://www.rosaceae.org/Prunus/Prunus_persica/p.persica_gdr_reftransV1_0017551","p.persica_gdr_reftransV1_0017551")</f>
        <v>p.persica_gdr_reftransV1_0017551</v>
      </c>
      <c r="B19326" s="2">
        <v>1957</v>
      </c>
      <c r="C19326" s="4" t="str">
        <f>HYPERLINK("http://www.uniprot.org/uniprot/M5XEP8","M5XEP8")</f>
        <v>M5XEP8</v>
      </c>
      <c r="D19326" s="2" t="s">
        <v>14816</v>
      </c>
      <c r="E19326" s="3">
        <v>8.8599999999999997E-116</v>
      </c>
      <c r="F19326" s="2">
        <v>923</v>
      </c>
      <c r="G19326" s="2">
        <v>100</v>
      </c>
      <c r="H19326" s="2">
        <v>174</v>
      </c>
      <c r="I19326" s="2">
        <v>899</v>
      </c>
      <c r="J19326" s="2">
        <v>1420</v>
      </c>
      <c r="K19326" s="2">
        <v>90</v>
      </c>
      <c r="L19326" s="2">
        <v>263</v>
      </c>
    </row>
    <row r="19327" spans="1:12" x14ac:dyDescent="0.25">
      <c r="A19327" s="4" t="str">
        <f>HYPERLINK("http://www.rosaceae.org/Prunus/Prunus_persica/p.persica_gdr_reftransV1_0018951","p.persica_gdr_reftransV1_0018951")</f>
        <v>p.persica_gdr_reftransV1_0018951</v>
      </c>
      <c r="B19327" s="2">
        <v>2667</v>
      </c>
      <c r="C19327" s="4" t="str">
        <f>HYPERLINK("http://www.uniprot.org/uniprot/M5W5B5","M5W5B5")</f>
        <v>M5W5B5</v>
      </c>
      <c r="D19327" s="2" t="s">
        <v>14817</v>
      </c>
      <c r="E19327" s="3">
        <v>0</v>
      </c>
      <c r="F19327" s="2">
        <v>1620</v>
      </c>
      <c r="G19327" s="2">
        <v>99</v>
      </c>
      <c r="H19327" s="2">
        <v>330</v>
      </c>
      <c r="I19327" s="2">
        <v>901</v>
      </c>
      <c r="J19327" s="2">
        <v>1890</v>
      </c>
      <c r="K19327" s="2">
        <v>213</v>
      </c>
      <c r="L19327" s="2">
        <v>542</v>
      </c>
    </row>
    <row r="19328" spans="1:12" x14ac:dyDescent="0.25">
      <c r="A19328" s="4" t="str">
        <f>HYPERLINK("http://www.rosaceae.org/Prunus/Prunus_persica/p.persica_gdr_reftransV1_0019651","p.persica_gdr_reftransV1_0019651")</f>
        <v>p.persica_gdr_reftransV1_0019651</v>
      </c>
      <c r="B19328" s="2">
        <v>1713</v>
      </c>
      <c r="C19328" s="4" t="str">
        <f>HYPERLINK("http://www.uniprot.org/uniprot/Q5GIS9","Q5GIS9")</f>
        <v>Q5GIS9</v>
      </c>
      <c r="D19328" s="2" t="s">
        <v>13221</v>
      </c>
      <c r="E19328" s="3">
        <v>6.1999999999999997E-17</v>
      </c>
      <c r="F19328" s="2">
        <v>229</v>
      </c>
      <c r="G19328" s="2">
        <v>30</v>
      </c>
      <c r="H19328" s="2">
        <v>202</v>
      </c>
      <c r="I19328" s="2">
        <v>769</v>
      </c>
      <c r="J19328" s="2">
        <v>1371</v>
      </c>
      <c r="K19328" s="2">
        <v>228</v>
      </c>
      <c r="L19328" s="2">
        <v>412</v>
      </c>
    </row>
    <row r="19329" spans="1:12" x14ac:dyDescent="0.25">
      <c r="A19329" s="4" t="str">
        <f>HYPERLINK("http://www.rosaceae.org/Prunus/Prunus_persica/p.persica_gdr_reftransV1_0020001","p.persica_gdr_reftransV1_0020001")</f>
        <v>p.persica_gdr_reftransV1_0020001</v>
      </c>
      <c r="B19329" s="2">
        <v>611</v>
      </c>
      <c r="C19329" s="4" t="str">
        <f>HYPERLINK("http://www.uniprot.org/uniprot/M5XKP5","M5XKP5")</f>
        <v>M5XKP5</v>
      </c>
      <c r="D19329" s="2" t="s">
        <v>1876</v>
      </c>
      <c r="E19329" s="3">
        <v>4.69E-73</v>
      </c>
      <c r="F19329" s="2">
        <v>630</v>
      </c>
      <c r="G19329" s="2">
        <v>100</v>
      </c>
      <c r="H19329" s="2">
        <v>149</v>
      </c>
      <c r="I19329" s="2">
        <v>3</v>
      </c>
      <c r="J19329" s="2">
        <v>449</v>
      </c>
      <c r="K19329" s="2">
        <v>1</v>
      </c>
      <c r="L19329" s="2">
        <v>149</v>
      </c>
    </row>
    <row r="19330" spans="1:12" x14ac:dyDescent="0.25">
      <c r="A19330" s="4" t="str">
        <f>HYPERLINK("http://www.rosaceae.org/Prunus/Prunus_persica/p.persica_gdr_reftransV1_0020701","p.persica_gdr_reftransV1_0020701")</f>
        <v>p.persica_gdr_reftransV1_0020701</v>
      </c>
      <c r="B19330" s="2">
        <v>2064</v>
      </c>
      <c r="C19330" s="4" t="str">
        <f>HYPERLINK("http://www.uniprot.org/uniprot/M5WJF2","M5WJF2")</f>
        <v>M5WJF2</v>
      </c>
      <c r="D19330" s="2" t="s">
        <v>14818</v>
      </c>
      <c r="E19330" s="3">
        <v>5.1799999999999998E-70</v>
      </c>
      <c r="F19330" s="2">
        <v>613</v>
      </c>
      <c r="G19330" s="2">
        <v>100</v>
      </c>
      <c r="H19330" s="2">
        <v>117</v>
      </c>
      <c r="I19330" s="2">
        <v>298</v>
      </c>
      <c r="J19330" s="2">
        <v>648</v>
      </c>
      <c r="K19330" s="2">
        <v>141</v>
      </c>
      <c r="L19330" s="2">
        <v>257</v>
      </c>
    </row>
    <row r="19331" spans="1:12" x14ac:dyDescent="0.25">
      <c r="A19331" s="4" t="str">
        <f>HYPERLINK("http://www.rosaceae.org/Prunus/Prunus_persica/p.persica_gdr_reftransV1_0021051","p.persica_gdr_reftransV1_0021051")</f>
        <v>p.persica_gdr_reftransV1_0021051</v>
      </c>
      <c r="B19331" s="2">
        <v>5384</v>
      </c>
      <c r="C19331" s="4" t="str">
        <f>HYPERLINK("http://www.uniprot.org/uniprot/M5X1Z6","M5X1Z6")</f>
        <v>M5X1Z6</v>
      </c>
      <c r="D19331" s="2" t="s">
        <v>14460</v>
      </c>
      <c r="E19331" s="3">
        <v>0</v>
      </c>
      <c r="F19331" s="2">
        <v>4173</v>
      </c>
      <c r="G19331" s="2">
        <v>100</v>
      </c>
      <c r="H19331" s="2">
        <v>839</v>
      </c>
      <c r="I19331" s="2">
        <v>535</v>
      </c>
      <c r="J19331" s="2">
        <v>3051</v>
      </c>
      <c r="K19331" s="2">
        <v>1</v>
      </c>
      <c r="L19331" s="2">
        <v>839</v>
      </c>
    </row>
    <row r="19332" spans="1:12" x14ac:dyDescent="0.25">
      <c r="A19332" s="4" t="str">
        <f>HYPERLINK("http://www.rosaceae.org/Prunus/Prunus_persica/p.persica_gdr_reftransV1_0021751","p.persica_gdr_reftransV1_0021751")</f>
        <v>p.persica_gdr_reftransV1_0021751</v>
      </c>
      <c r="B19332" s="2">
        <v>2691</v>
      </c>
      <c r="C19332" s="4" t="str">
        <f>HYPERLINK("http://www.uniprot.org/uniprot/M5WCN8","M5WCN8")</f>
        <v>M5WCN8</v>
      </c>
      <c r="D19332" s="2" t="s">
        <v>14819</v>
      </c>
      <c r="E19332" s="3">
        <v>0</v>
      </c>
      <c r="F19332" s="2">
        <v>2912</v>
      </c>
      <c r="G19332" s="2">
        <v>100</v>
      </c>
      <c r="H19332" s="2">
        <v>601</v>
      </c>
      <c r="I19332" s="2">
        <v>606</v>
      </c>
      <c r="J19332" s="2">
        <v>2408</v>
      </c>
      <c r="K19332" s="2">
        <v>109</v>
      </c>
      <c r="L19332" s="2">
        <v>709</v>
      </c>
    </row>
    <row r="19333" spans="1:12" x14ac:dyDescent="0.25">
      <c r="A19333" s="4" t="str">
        <f>HYPERLINK("http://www.rosaceae.org/Prunus/Prunus_persica/p.persica_gdr_reftransV1_0023851","p.persica_gdr_reftransV1_0023851")</f>
        <v>p.persica_gdr_reftransV1_0023851</v>
      </c>
      <c r="B19333" s="2">
        <v>953</v>
      </c>
      <c r="C19333" s="4" t="str">
        <f>HYPERLINK("http://www.uniprot.org/uniprot/M5VW62","M5VW62")</f>
        <v>M5VW62</v>
      </c>
      <c r="D19333" s="2" t="s">
        <v>14820</v>
      </c>
      <c r="E19333" s="3">
        <v>8.1400000000000004E-63</v>
      </c>
      <c r="F19333" s="2">
        <v>524</v>
      </c>
      <c r="G19333" s="2">
        <v>100</v>
      </c>
      <c r="H19333" s="2">
        <v>99</v>
      </c>
      <c r="I19333" s="2">
        <v>312</v>
      </c>
      <c r="J19333" s="2">
        <v>608</v>
      </c>
      <c r="K19333" s="2">
        <v>1</v>
      </c>
      <c r="L19333" s="2">
        <v>99</v>
      </c>
    </row>
    <row r="19334" spans="1:12" x14ac:dyDescent="0.25">
      <c r="A19334" s="4" t="str">
        <f>HYPERLINK("http://www.rosaceae.org/Prunus/Prunus_persica/p.persica_gdr_reftransV1_0024901","p.persica_gdr_reftransV1_0024901")</f>
        <v>p.persica_gdr_reftransV1_0024901</v>
      </c>
      <c r="B19334" s="2">
        <v>1639</v>
      </c>
      <c r="C19334" s="4" t="str">
        <f>HYPERLINK("http://www.uniprot.org/uniprot/M5WBB1","M5WBB1")</f>
        <v>M5WBB1</v>
      </c>
      <c r="D19334" s="2" t="s">
        <v>14821</v>
      </c>
      <c r="E19334" s="3">
        <v>0</v>
      </c>
      <c r="F19334" s="2">
        <v>1503</v>
      </c>
      <c r="G19334" s="2">
        <v>100</v>
      </c>
      <c r="H19334" s="2">
        <v>282</v>
      </c>
      <c r="I19334" s="2">
        <v>94</v>
      </c>
      <c r="J19334" s="2">
        <v>939</v>
      </c>
      <c r="K19334" s="2">
        <v>1</v>
      </c>
      <c r="L19334" s="2">
        <v>282</v>
      </c>
    </row>
    <row r="19335" spans="1:12" x14ac:dyDescent="0.25">
      <c r="A19335" s="4" t="str">
        <f>HYPERLINK("http://www.rosaceae.org/Prunus/Prunus_persica/p.persica_gdr_reftransV1_0025951","p.persica_gdr_reftransV1_0025951")</f>
        <v>p.persica_gdr_reftransV1_0025951</v>
      </c>
      <c r="B19335" s="2">
        <v>961</v>
      </c>
      <c r="C19335" s="4" t="str">
        <f>HYPERLINK("http://www.uniprot.org/uniprot/M5WRX3","M5WRX3")</f>
        <v>M5WRX3</v>
      </c>
      <c r="D19335" s="2" t="s">
        <v>9277</v>
      </c>
      <c r="E19335" s="3">
        <v>6.3099999999999996E-53</v>
      </c>
      <c r="F19335" s="2">
        <v>491</v>
      </c>
      <c r="G19335" s="2">
        <v>89</v>
      </c>
      <c r="H19335" s="2">
        <v>117</v>
      </c>
      <c r="I19335" s="2">
        <v>276</v>
      </c>
      <c r="J19335" s="2">
        <v>626</v>
      </c>
      <c r="K19335" s="2">
        <v>1</v>
      </c>
      <c r="L19335" s="2">
        <v>117</v>
      </c>
    </row>
    <row r="19336" spans="1:12" x14ac:dyDescent="0.25">
      <c r="A19336" s="4" t="str">
        <f>HYPERLINK("http://www.rosaceae.org/Prunus/Prunus_persica/p.persica_gdr_reftransV1_0030151","p.persica_gdr_reftransV1_0030151")</f>
        <v>p.persica_gdr_reftransV1_0030151</v>
      </c>
      <c r="B19336" s="2">
        <v>1932</v>
      </c>
      <c r="C19336" s="4" t="str">
        <f>HYPERLINK("http://www.uniprot.org/uniprot/M5XDH5","M5XDH5")</f>
        <v>M5XDH5</v>
      </c>
      <c r="D19336" s="2" t="s">
        <v>14822</v>
      </c>
      <c r="E19336" s="3">
        <v>7.7800000000000002E-41</v>
      </c>
      <c r="F19336" s="2">
        <v>398</v>
      </c>
      <c r="G19336" s="2">
        <v>100</v>
      </c>
      <c r="H19336" s="2">
        <v>72</v>
      </c>
      <c r="I19336" s="2">
        <v>1603</v>
      </c>
      <c r="J19336" s="2">
        <v>1818</v>
      </c>
      <c r="K19336" s="2">
        <v>1</v>
      </c>
      <c r="L19336" s="2">
        <v>72</v>
      </c>
    </row>
    <row r="19337" spans="1:12" x14ac:dyDescent="0.25">
      <c r="A19337" s="4" t="str">
        <f>HYPERLINK("http://www.rosaceae.org/Prunus/Prunus_persica/p.persica_gdr_reftransV1_0030501","p.persica_gdr_reftransV1_0030501")</f>
        <v>p.persica_gdr_reftransV1_0030501</v>
      </c>
      <c r="B19337" s="2">
        <v>3462</v>
      </c>
      <c r="C19337" s="4" t="str">
        <f>HYPERLINK("http://www.uniprot.org/uniprot/M5VXH5","M5VXH5")</f>
        <v>M5VXH5</v>
      </c>
      <c r="D19337" s="2" t="s">
        <v>14823</v>
      </c>
      <c r="E19337" s="3">
        <v>0</v>
      </c>
      <c r="F19337" s="2">
        <v>1475</v>
      </c>
      <c r="G19337" s="2">
        <v>100</v>
      </c>
      <c r="H19337" s="2">
        <v>312</v>
      </c>
      <c r="I19337" s="2">
        <v>583</v>
      </c>
      <c r="J19337" s="2">
        <v>1518</v>
      </c>
      <c r="K19337" s="2">
        <v>1</v>
      </c>
      <c r="L19337" s="2">
        <v>312</v>
      </c>
    </row>
    <row r="19338" spans="1:12" x14ac:dyDescent="0.25">
      <c r="A19338" s="4" t="str">
        <f>HYPERLINK("http://www.rosaceae.org/Prunus/Prunus_persica/p.persica_gdr_reftransV1_0030851","p.persica_gdr_reftransV1_0030851")</f>
        <v>p.persica_gdr_reftransV1_0030851</v>
      </c>
      <c r="B19338" s="2">
        <v>5309</v>
      </c>
      <c r="C19338" s="4" t="str">
        <f>HYPERLINK("http://www.uniprot.org/uniprot/M5X9Z6","M5X9Z6")</f>
        <v>M5X9Z6</v>
      </c>
      <c r="D19338" s="2" t="s">
        <v>14824</v>
      </c>
      <c r="E19338" s="3">
        <v>0</v>
      </c>
      <c r="F19338" s="2">
        <v>4164</v>
      </c>
      <c r="G19338" s="2">
        <v>95</v>
      </c>
      <c r="H19338" s="2">
        <v>888</v>
      </c>
      <c r="I19338" s="2">
        <v>251</v>
      </c>
      <c r="J19338" s="2">
        <v>2785</v>
      </c>
      <c r="K19338" s="2">
        <v>1</v>
      </c>
      <c r="L19338" s="2">
        <v>887</v>
      </c>
    </row>
    <row r="19339" spans="1:12" x14ac:dyDescent="0.25">
      <c r="A19339" s="4" t="str">
        <f>HYPERLINK("http://www.rosaceae.org/Prunus/Prunus_persica/p.persica_gdr_reftransV1_0032601","p.persica_gdr_reftransV1_0032601")</f>
        <v>p.persica_gdr_reftransV1_0032601</v>
      </c>
      <c r="B19339" s="2">
        <v>2626</v>
      </c>
      <c r="C19339" s="4" t="str">
        <f>HYPERLINK("http://www.uniprot.org/uniprot/M5VYS1","M5VYS1")</f>
        <v>M5VYS1</v>
      </c>
      <c r="D19339" s="2" t="s">
        <v>14825</v>
      </c>
      <c r="E19339" s="3">
        <v>0</v>
      </c>
      <c r="F19339" s="2">
        <v>1645</v>
      </c>
      <c r="G19339" s="2">
        <v>100</v>
      </c>
      <c r="H19339" s="2">
        <v>313</v>
      </c>
      <c r="I19339" s="2">
        <v>360</v>
      </c>
      <c r="J19339" s="2">
        <v>1298</v>
      </c>
      <c r="K19339" s="2">
        <v>61</v>
      </c>
      <c r="L19339" s="2">
        <v>373</v>
      </c>
    </row>
    <row r="19340" spans="1:12" x14ac:dyDescent="0.25">
      <c r="A19340" s="4" t="str">
        <f>HYPERLINK("http://www.rosaceae.org/Prunus/Prunus_persica/p.persica_gdr_reftransV1_0034701","p.persica_gdr_reftransV1_0034701")</f>
        <v>p.persica_gdr_reftransV1_0034701</v>
      </c>
      <c r="B19340" s="2">
        <v>2840</v>
      </c>
      <c r="C19340" s="4" t="str">
        <f>HYPERLINK("http://www.uniprot.org/uniprot/M5VNT9","M5VNT9")</f>
        <v>M5VNT9</v>
      </c>
      <c r="D19340" s="2" t="s">
        <v>14098</v>
      </c>
      <c r="E19340" s="3">
        <v>2.1400000000000001E-55</v>
      </c>
      <c r="F19340" s="2">
        <v>459</v>
      </c>
      <c r="G19340" s="2">
        <v>99</v>
      </c>
      <c r="H19340" s="2">
        <v>85</v>
      </c>
      <c r="I19340" s="2">
        <v>370</v>
      </c>
      <c r="J19340" s="2">
        <v>624</v>
      </c>
      <c r="K19340" s="2">
        <v>99</v>
      </c>
      <c r="L19340" s="2">
        <v>183</v>
      </c>
    </row>
    <row r="19341" spans="1:12" x14ac:dyDescent="0.25">
      <c r="A19341" s="4" t="str">
        <f>HYPERLINK("http://www.rosaceae.org/Prunus/Prunus_persica/p.persica_gdr_reftransV1_0035401","p.persica_gdr_reftransV1_0035401")</f>
        <v>p.persica_gdr_reftransV1_0035401</v>
      </c>
      <c r="B19341" s="2">
        <v>2394</v>
      </c>
      <c r="C19341" s="4" t="str">
        <f>HYPERLINK("http://www.uniprot.org/uniprot/M5WM55","M5WM55")</f>
        <v>M5WM55</v>
      </c>
      <c r="D19341" s="2" t="s">
        <v>7176</v>
      </c>
      <c r="E19341" s="3">
        <v>4.05E-162</v>
      </c>
      <c r="F19341" s="2">
        <v>1306</v>
      </c>
      <c r="G19341" s="2">
        <v>100</v>
      </c>
      <c r="H19341" s="2">
        <v>245</v>
      </c>
      <c r="I19341" s="2">
        <v>1659</v>
      </c>
      <c r="J19341" s="2">
        <v>2393</v>
      </c>
      <c r="K19341" s="2">
        <v>277</v>
      </c>
      <c r="L19341" s="2">
        <v>521</v>
      </c>
    </row>
    <row r="19342" spans="1:12" x14ac:dyDescent="0.25">
      <c r="A19342" s="4" t="str">
        <f>HYPERLINK("http://www.rosaceae.org/Prunus/Prunus_persica/p.persica_gdr_reftransV1_0036801","p.persica_gdr_reftransV1_0036801")</f>
        <v>p.persica_gdr_reftransV1_0036801</v>
      </c>
      <c r="B19342" s="2">
        <v>2246</v>
      </c>
      <c r="C19342" s="4" t="str">
        <f>HYPERLINK("http://www.uniprot.org/uniprot/M5W036","M5W036")</f>
        <v>M5W036</v>
      </c>
      <c r="D19342" s="2" t="s">
        <v>1823</v>
      </c>
      <c r="E19342" s="3">
        <v>1.7800000000000001E-174</v>
      </c>
      <c r="F19342" s="2">
        <v>1327</v>
      </c>
      <c r="G19342" s="2">
        <v>99</v>
      </c>
      <c r="H19342" s="2">
        <v>290</v>
      </c>
      <c r="I19342" s="2">
        <v>1138</v>
      </c>
      <c r="J19342" s="2">
        <v>2007</v>
      </c>
      <c r="K19342" s="2">
        <v>1</v>
      </c>
      <c r="L19342" s="2">
        <v>289</v>
      </c>
    </row>
    <row r="19343" spans="1:12" x14ac:dyDescent="0.25">
      <c r="A19343" s="4" t="str">
        <f>HYPERLINK("http://www.rosaceae.org/Prunus/Prunus_persica/p.persica_gdr_reftransV1_0037151","p.persica_gdr_reftransV1_0037151")</f>
        <v>p.persica_gdr_reftransV1_0037151</v>
      </c>
      <c r="B19343" s="2">
        <v>1675</v>
      </c>
      <c r="C19343" s="4" t="str">
        <f>HYPERLINK("http://www.uniprot.org/uniprot/M5XCT3","M5XCT3")</f>
        <v>M5XCT3</v>
      </c>
      <c r="D19343" s="2" t="s">
        <v>7203</v>
      </c>
      <c r="E19343" s="3">
        <v>0</v>
      </c>
      <c r="F19343" s="2">
        <v>1931</v>
      </c>
      <c r="G19343" s="2">
        <v>99</v>
      </c>
      <c r="H19343" s="2">
        <v>386</v>
      </c>
      <c r="I19343" s="2">
        <v>393</v>
      </c>
      <c r="J19343" s="2">
        <v>1550</v>
      </c>
      <c r="K19343" s="2">
        <v>1</v>
      </c>
      <c r="L19343" s="2">
        <v>386</v>
      </c>
    </row>
    <row r="19344" spans="1:12" x14ac:dyDescent="0.25">
      <c r="A19344" s="4" t="str">
        <f>HYPERLINK("http://www.rosaceae.org/Prunus/Prunus_persica/p.persica_gdr_reftransV1_0039251","p.persica_gdr_reftransV1_0039251")</f>
        <v>p.persica_gdr_reftransV1_0039251</v>
      </c>
      <c r="B19344" s="2">
        <v>2580</v>
      </c>
      <c r="C19344" s="4" t="str">
        <f>HYPERLINK("http://www.uniprot.org/uniprot/M5VJW0","M5VJW0")</f>
        <v>M5VJW0</v>
      </c>
      <c r="D19344" s="2" t="s">
        <v>14826</v>
      </c>
      <c r="E19344" s="3">
        <v>8.1400000000000007E-65</v>
      </c>
      <c r="F19344" s="2">
        <v>508</v>
      </c>
      <c r="G19344" s="2">
        <v>100</v>
      </c>
      <c r="H19344" s="2">
        <v>93</v>
      </c>
      <c r="I19344" s="2">
        <v>404</v>
      </c>
      <c r="J19344" s="2">
        <v>682</v>
      </c>
      <c r="K19344" s="2">
        <v>310</v>
      </c>
      <c r="L19344" s="2">
        <v>402</v>
      </c>
    </row>
    <row r="19345" spans="1:12" x14ac:dyDescent="0.25">
      <c r="A19345" s="4" t="str">
        <f>HYPERLINK("http://www.rosaceae.org/Prunus/Prunus_persica/p.persica_gdr_reftransV1_0039601","p.persica_gdr_reftransV1_0039601")</f>
        <v>p.persica_gdr_reftransV1_0039601</v>
      </c>
      <c r="B19345" s="2">
        <v>1823</v>
      </c>
      <c r="C19345" s="4" t="str">
        <f>HYPERLINK("http://www.uniprot.org/uniprot/M5X2W7","M5X2W7")</f>
        <v>M5X2W7</v>
      </c>
      <c r="D19345" s="2" t="s">
        <v>14827</v>
      </c>
      <c r="E19345" s="3">
        <v>0</v>
      </c>
      <c r="F19345" s="2">
        <v>2123</v>
      </c>
      <c r="G19345" s="2">
        <v>93</v>
      </c>
      <c r="H19345" s="2">
        <v>442</v>
      </c>
      <c r="I19345" s="2">
        <v>412</v>
      </c>
      <c r="J19345" s="2">
        <v>1737</v>
      </c>
      <c r="K19345" s="2">
        <v>1</v>
      </c>
      <c r="L19345" s="2">
        <v>410</v>
      </c>
    </row>
    <row r="19346" spans="1:12" x14ac:dyDescent="0.25">
      <c r="A19346" s="4" t="str">
        <f>HYPERLINK("http://www.rosaceae.org/Prunus/Prunus_persica/p.persica_gdr_reftransV1_0041351","p.persica_gdr_reftransV1_0041351")</f>
        <v>p.persica_gdr_reftransV1_0041351</v>
      </c>
      <c r="B19346" s="2">
        <v>840</v>
      </c>
      <c r="C19346" s="4" t="str">
        <f>HYPERLINK("http://www.uniprot.org/uniprot/M5XZ04","M5XZ04")</f>
        <v>M5XZ04</v>
      </c>
      <c r="D19346" s="2" t="s">
        <v>14828</v>
      </c>
      <c r="E19346" s="3">
        <v>4.0900000000000001E-30</v>
      </c>
      <c r="F19346" s="2">
        <v>306</v>
      </c>
      <c r="G19346" s="2">
        <v>98</v>
      </c>
      <c r="H19346" s="2">
        <v>61</v>
      </c>
      <c r="I19346" s="2">
        <v>65</v>
      </c>
      <c r="J19346" s="2">
        <v>247</v>
      </c>
      <c r="K19346" s="2">
        <v>1</v>
      </c>
      <c r="L19346" s="2">
        <v>61</v>
      </c>
    </row>
    <row r="19347" spans="1:12" x14ac:dyDescent="0.25">
      <c r="A19347" s="4" t="str">
        <f>HYPERLINK("http://www.rosaceae.org/Prunus/Prunus_persica/p.persica_gdr_reftransV1_0042051","p.persica_gdr_reftransV1_0042051")</f>
        <v>p.persica_gdr_reftransV1_0042051</v>
      </c>
      <c r="B19347" s="2">
        <v>1036</v>
      </c>
      <c r="C19347" s="4" t="str">
        <f>HYPERLINK("http://www.uniprot.org/uniprot/M5VTK2","M5VTK2")</f>
        <v>M5VTK2</v>
      </c>
      <c r="D19347" s="2" t="s">
        <v>2377</v>
      </c>
      <c r="E19347" s="3">
        <v>5.4799999999999998E-142</v>
      </c>
      <c r="F19347" s="2">
        <v>1135</v>
      </c>
      <c r="G19347" s="2">
        <v>87</v>
      </c>
      <c r="H19347" s="2">
        <v>260</v>
      </c>
      <c r="I19347" s="2">
        <v>3</v>
      </c>
      <c r="J19347" s="2">
        <v>782</v>
      </c>
      <c r="K19347" s="2">
        <v>536</v>
      </c>
      <c r="L19347" s="2">
        <v>795</v>
      </c>
    </row>
    <row r="19348" spans="1:12" x14ac:dyDescent="0.25">
      <c r="A19348" s="4" t="str">
        <f>HYPERLINK("http://www.rosaceae.org/Prunus/Prunus_persica/p.persica_gdr_reftransV1_0043101","p.persica_gdr_reftransV1_0043101")</f>
        <v>p.persica_gdr_reftransV1_0043101</v>
      </c>
      <c r="B19348" s="2">
        <v>1232</v>
      </c>
      <c r="C19348" s="4" t="str">
        <f>HYPERLINK("http://www.uniprot.org/uniprot/M5WPY2","M5WPY2")</f>
        <v>M5WPY2</v>
      </c>
      <c r="D19348" s="2" t="s">
        <v>12700</v>
      </c>
      <c r="E19348" s="3">
        <v>0</v>
      </c>
      <c r="F19348" s="2">
        <v>1484</v>
      </c>
      <c r="G19348" s="2">
        <v>93</v>
      </c>
      <c r="H19348" s="2">
        <v>343</v>
      </c>
      <c r="I19348" s="2">
        <v>183</v>
      </c>
      <c r="J19348" s="2">
        <v>1211</v>
      </c>
      <c r="K19348" s="2">
        <v>291</v>
      </c>
      <c r="L19348" s="2">
        <v>621</v>
      </c>
    </row>
    <row r="19349" spans="1:12" x14ac:dyDescent="0.25">
      <c r="A19349" s="4" t="str">
        <f>HYPERLINK("http://www.rosaceae.org/Prunus/Prunus_persica/p.persica_gdr_reftransV1_0043451","p.persica_gdr_reftransV1_0043451")</f>
        <v>p.persica_gdr_reftransV1_0043451</v>
      </c>
      <c r="B19349" s="2">
        <v>472</v>
      </c>
      <c r="C19349" s="4" t="str">
        <f>HYPERLINK("http://www.uniprot.org/uniprot/M5VRW8","M5VRW8")</f>
        <v>M5VRW8</v>
      </c>
      <c r="D19349" s="2" t="s">
        <v>14829</v>
      </c>
      <c r="E19349" s="3">
        <v>1.9500000000000001E-84</v>
      </c>
      <c r="F19349" s="2">
        <v>673</v>
      </c>
      <c r="G19349" s="2">
        <v>100</v>
      </c>
      <c r="H19349" s="2">
        <v>156</v>
      </c>
      <c r="I19349" s="2">
        <v>3</v>
      </c>
      <c r="J19349" s="2">
        <v>470</v>
      </c>
      <c r="K19349" s="2">
        <v>149</v>
      </c>
      <c r="L19349" s="2">
        <v>304</v>
      </c>
    </row>
    <row r="19350" spans="1:12" x14ac:dyDescent="0.25">
      <c r="A19350" s="4" t="str">
        <f>HYPERLINK("http://www.rosaceae.org/Prunus/Prunus_persica/p.persica_gdr_reftransV1_0043801","p.persica_gdr_reftransV1_0043801")</f>
        <v>p.persica_gdr_reftransV1_0043801</v>
      </c>
      <c r="B19350" s="2">
        <v>1817</v>
      </c>
      <c r="C19350" s="4" t="str">
        <f>HYPERLINK("http://www.uniprot.org/uniprot/M5WS86","M5WS86")</f>
        <v>M5WS86</v>
      </c>
      <c r="D19350" s="2" t="s">
        <v>8086</v>
      </c>
      <c r="E19350" s="3">
        <v>1.8500000000000001E-28</v>
      </c>
      <c r="F19350" s="2">
        <v>328</v>
      </c>
      <c r="G19350" s="2">
        <v>87</v>
      </c>
      <c r="H19350" s="2">
        <v>70</v>
      </c>
      <c r="I19350" s="2">
        <v>893</v>
      </c>
      <c r="J19350" s="2">
        <v>1102</v>
      </c>
      <c r="K19350" s="2">
        <v>551</v>
      </c>
      <c r="L19350" s="2">
        <v>620</v>
      </c>
    </row>
    <row r="19351" spans="1:12" x14ac:dyDescent="0.25">
      <c r="A19351" s="4" t="str">
        <f>HYPERLINK("http://www.rosaceae.org/Prunus/Prunus_persica/p.persica_gdr_reftransV1_0044151","p.persica_gdr_reftransV1_0044151")</f>
        <v>p.persica_gdr_reftransV1_0044151</v>
      </c>
      <c r="B19351" s="2">
        <v>578</v>
      </c>
      <c r="C19351" s="4" t="str">
        <f>HYPERLINK("http://www.uniprot.org/uniprot/M5WRU0","M5WRU0")</f>
        <v>M5WRU0</v>
      </c>
      <c r="D19351" s="2" t="s">
        <v>13001</v>
      </c>
      <c r="E19351" s="3">
        <v>1.2999999999999999E-81</v>
      </c>
      <c r="F19351" s="2">
        <v>689</v>
      </c>
      <c r="G19351" s="2">
        <v>75</v>
      </c>
      <c r="H19351" s="2">
        <v>192</v>
      </c>
      <c r="I19351" s="2">
        <v>3</v>
      </c>
      <c r="J19351" s="2">
        <v>578</v>
      </c>
      <c r="K19351" s="2">
        <v>529</v>
      </c>
      <c r="L19351" s="2">
        <v>672</v>
      </c>
    </row>
    <row r="19352" spans="1:12" x14ac:dyDescent="0.25">
      <c r="A19352" s="4" t="str">
        <f>HYPERLINK("http://www.rosaceae.org/Prunus/Prunus_persica/p.persica_gdr_reftransV1_0044501","p.persica_gdr_reftransV1_0044501")</f>
        <v>p.persica_gdr_reftransV1_0044501</v>
      </c>
      <c r="B19352" s="2">
        <v>1129</v>
      </c>
      <c r="C19352" s="4" t="str">
        <f>HYPERLINK("http://www.uniprot.org/uniprot/M5VNH2","M5VNH2")</f>
        <v>M5VNH2</v>
      </c>
      <c r="D19352" s="2" t="s">
        <v>14830</v>
      </c>
      <c r="E19352" s="3">
        <v>9.3400000000000003E-180</v>
      </c>
      <c r="F19352" s="2">
        <v>1316</v>
      </c>
      <c r="G19352" s="2">
        <v>100</v>
      </c>
      <c r="H19352" s="2">
        <v>247</v>
      </c>
      <c r="I19352" s="2">
        <v>256</v>
      </c>
      <c r="J19352" s="2">
        <v>996</v>
      </c>
      <c r="K19352" s="2">
        <v>1</v>
      </c>
      <c r="L19352" s="2">
        <v>247</v>
      </c>
    </row>
    <row r="19353" spans="1:12" x14ac:dyDescent="0.25">
      <c r="A19353" s="4" t="str">
        <f>HYPERLINK("http://www.rosaceae.org/Prunus/Prunus_persica/p.persica_gdr_reftransV1_0044851","p.persica_gdr_reftransV1_0044851")</f>
        <v>p.persica_gdr_reftransV1_0044851</v>
      </c>
      <c r="B19353" s="2">
        <v>1927</v>
      </c>
      <c r="C19353" s="4" t="str">
        <f>HYPERLINK("http://www.uniprot.org/uniprot/M5XI52","M5XI52")</f>
        <v>M5XI52</v>
      </c>
      <c r="D19353" s="2" t="s">
        <v>6438</v>
      </c>
      <c r="E19353" s="3">
        <v>0</v>
      </c>
      <c r="F19353" s="2">
        <v>1738</v>
      </c>
      <c r="G19353" s="2">
        <v>99</v>
      </c>
      <c r="H19353" s="2">
        <v>430</v>
      </c>
      <c r="I19353" s="2">
        <v>354</v>
      </c>
      <c r="J19353" s="2">
        <v>1634</v>
      </c>
      <c r="K19353" s="2">
        <v>1</v>
      </c>
      <c r="L19353" s="2">
        <v>430</v>
      </c>
    </row>
    <row r="19354" spans="1:12" x14ac:dyDescent="0.25">
      <c r="A19354" s="4" t="str">
        <f>HYPERLINK("http://www.rosaceae.org/Prunus/Prunus_persica/p.persica_gdr_reftransV1_0045201","p.persica_gdr_reftransV1_0045201")</f>
        <v>p.persica_gdr_reftransV1_0045201</v>
      </c>
      <c r="B19354" s="2">
        <v>1273</v>
      </c>
      <c r="C19354" s="4" t="str">
        <f>HYPERLINK("http://www.uniprot.org/uniprot/A0A067JE78","A0A067JE78")</f>
        <v>A0A067JE78</v>
      </c>
      <c r="D19354" s="2" t="s">
        <v>14831</v>
      </c>
      <c r="E19354" s="3">
        <v>0</v>
      </c>
      <c r="F19354" s="2">
        <v>1434</v>
      </c>
      <c r="G19354" s="2">
        <v>80</v>
      </c>
      <c r="H19354" s="2">
        <v>338</v>
      </c>
      <c r="I19354" s="2">
        <v>135</v>
      </c>
      <c r="J19354" s="2">
        <v>1148</v>
      </c>
      <c r="K19354" s="2">
        <v>24</v>
      </c>
      <c r="L19354" s="2">
        <v>360</v>
      </c>
    </row>
    <row r="19355" spans="1:12" x14ac:dyDescent="0.25">
      <c r="A19355" s="4" t="str">
        <f>HYPERLINK("http://www.rosaceae.org/Prunus/Prunus_persica/p.persica_gdr_reftransV1_0045551","p.persica_gdr_reftransV1_0045551")</f>
        <v>p.persica_gdr_reftransV1_0045551</v>
      </c>
      <c r="B19355" s="2">
        <v>1490</v>
      </c>
      <c r="C19355" s="4" t="str">
        <f>HYPERLINK("http://www.uniprot.org/uniprot/M5X299","M5X299")</f>
        <v>M5X299</v>
      </c>
      <c r="D19355" s="2" t="s">
        <v>14832</v>
      </c>
      <c r="E19355" s="3">
        <v>1.5999999999999999E-161</v>
      </c>
      <c r="F19355" s="2">
        <v>1206</v>
      </c>
      <c r="G19355" s="2">
        <v>100</v>
      </c>
      <c r="H19355" s="2">
        <v>226</v>
      </c>
      <c r="I19355" s="2">
        <v>506</v>
      </c>
      <c r="J19355" s="2">
        <v>1183</v>
      </c>
      <c r="K19355" s="2">
        <v>1</v>
      </c>
      <c r="L19355" s="2">
        <v>226</v>
      </c>
    </row>
    <row r="19356" spans="1:12" x14ac:dyDescent="0.25">
      <c r="A19356" s="4" t="str">
        <f>HYPERLINK("http://www.rosaceae.org/Prunus/Prunus_persica/p.persica_gdr_reftransV1_0045901","p.persica_gdr_reftransV1_0045901")</f>
        <v>p.persica_gdr_reftransV1_0045901</v>
      </c>
      <c r="B19356" s="2">
        <v>866</v>
      </c>
      <c r="C19356" s="4" t="str">
        <f>HYPERLINK("http://www.uniprot.org/uniprot/M5XGQ0","M5XGQ0")</f>
        <v>M5XGQ0</v>
      </c>
      <c r="D19356" s="2" t="s">
        <v>14833</v>
      </c>
      <c r="E19356" s="3">
        <v>1.63E-154</v>
      </c>
      <c r="F19356" s="2">
        <v>1138</v>
      </c>
      <c r="G19356" s="2">
        <v>100</v>
      </c>
      <c r="H19356" s="2">
        <v>217</v>
      </c>
      <c r="I19356" s="2">
        <v>149</v>
      </c>
      <c r="J19356" s="2">
        <v>799</v>
      </c>
      <c r="K19356" s="2">
        <v>1</v>
      </c>
      <c r="L19356" s="2">
        <v>217</v>
      </c>
    </row>
    <row r="19357" spans="1:12" x14ac:dyDescent="0.25">
      <c r="A19357" s="4" t="str">
        <f>HYPERLINK("http://www.rosaceae.org/Prunus/Prunus_persica/p.persica_gdr_reftransV1_0046251","p.persica_gdr_reftransV1_0046251")</f>
        <v>p.persica_gdr_reftransV1_0046251</v>
      </c>
      <c r="B19357" s="2">
        <v>451</v>
      </c>
      <c r="C19357" s="4" t="str">
        <f>HYPERLINK("http://www.uniprot.org/uniprot/M5XWS5","M5XWS5")</f>
        <v>M5XWS5</v>
      </c>
      <c r="D19357" s="2" t="s">
        <v>6568</v>
      </c>
      <c r="E19357" s="3">
        <v>1.5700000000000001E-79</v>
      </c>
      <c r="F19357" s="2">
        <v>645</v>
      </c>
      <c r="G19357" s="2">
        <v>98</v>
      </c>
      <c r="H19357" s="2">
        <v>119</v>
      </c>
      <c r="I19357" s="2">
        <v>45</v>
      </c>
      <c r="J19357" s="2">
        <v>401</v>
      </c>
      <c r="K19357" s="2">
        <v>34</v>
      </c>
      <c r="L19357" s="2">
        <v>152</v>
      </c>
    </row>
    <row r="19358" spans="1:12" x14ac:dyDescent="0.25">
      <c r="A19358" s="4" t="str">
        <f>HYPERLINK("http://www.rosaceae.org/Prunus/Prunus_persica/p.persica_gdr_reftransV1_0046601","p.persica_gdr_reftransV1_0046601")</f>
        <v>p.persica_gdr_reftransV1_0046601</v>
      </c>
      <c r="B19358" s="2">
        <v>891</v>
      </c>
      <c r="C19358" s="4" t="str">
        <f>HYPERLINK("http://www.uniprot.org/uniprot/M5X3C3","M5X3C3")</f>
        <v>M5X3C3</v>
      </c>
      <c r="D19358" s="2" t="s">
        <v>2115</v>
      </c>
      <c r="E19358" s="3">
        <v>0</v>
      </c>
      <c r="F19358" s="2">
        <v>1464</v>
      </c>
      <c r="G19358" s="2">
        <v>98</v>
      </c>
      <c r="H19358" s="2">
        <v>297</v>
      </c>
      <c r="I19358" s="2">
        <v>1</v>
      </c>
      <c r="J19358" s="2">
        <v>891</v>
      </c>
      <c r="K19358" s="2">
        <v>413</v>
      </c>
      <c r="L19358" s="2">
        <v>709</v>
      </c>
    </row>
    <row r="19359" spans="1:12" x14ac:dyDescent="0.25">
      <c r="A19359" s="4" t="str">
        <f>HYPERLINK("http://www.rosaceae.org/Prunus/Prunus_persica/p.persica_gdr_reftransV1_0046951","p.persica_gdr_reftransV1_0046951")</f>
        <v>p.persica_gdr_reftransV1_0046951</v>
      </c>
      <c r="B19359" s="2">
        <v>1035</v>
      </c>
      <c r="C19359" s="4" t="str">
        <f>HYPERLINK("http://www.uniprot.org/uniprot/M5VKK1","M5VKK1")</f>
        <v>M5VKK1</v>
      </c>
      <c r="D19359" s="2" t="s">
        <v>3372</v>
      </c>
      <c r="E19359" s="3">
        <v>1.2499999999999999E-164</v>
      </c>
      <c r="F19359" s="2">
        <v>872</v>
      </c>
      <c r="G19359" s="2">
        <v>99</v>
      </c>
      <c r="H19359" s="2">
        <v>164</v>
      </c>
      <c r="I19359" s="2">
        <v>158</v>
      </c>
      <c r="J19359" s="2">
        <v>649</v>
      </c>
      <c r="K19359" s="2">
        <v>1</v>
      </c>
      <c r="L19359" s="2">
        <v>164</v>
      </c>
    </row>
    <row r="19360" spans="1:12" x14ac:dyDescent="0.25">
      <c r="A19360" s="4" t="str">
        <f>HYPERLINK("http://www.rosaceae.org/Prunus/Prunus_persica/p.persica_gdr_reftransV1_0047651","p.persica_gdr_reftransV1_0047651")</f>
        <v>p.persica_gdr_reftransV1_0047651</v>
      </c>
      <c r="B19360" s="2">
        <v>2960</v>
      </c>
      <c r="C19360" s="4" t="str">
        <f>HYPERLINK("http://www.uniprot.org/uniprot/M5XNH5","M5XNH5")</f>
        <v>M5XNH5</v>
      </c>
      <c r="D19360" s="2" t="s">
        <v>10791</v>
      </c>
      <c r="E19360" s="3">
        <v>0</v>
      </c>
      <c r="F19360" s="2">
        <v>4763</v>
      </c>
      <c r="G19360" s="2">
        <v>100</v>
      </c>
      <c r="H19360" s="2">
        <v>942</v>
      </c>
      <c r="I19360" s="2">
        <v>84</v>
      </c>
      <c r="J19360" s="2">
        <v>2909</v>
      </c>
      <c r="K19360" s="2">
        <v>1</v>
      </c>
      <c r="L19360" s="2">
        <v>942</v>
      </c>
    </row>
    <row r="19361" spans="1:12" x14ac:dyDescent="0.25">
      <c r="A19361" s="4" t="str">
        <f>HYPERLINK("http://www.rosaceae.org/Prunus/Prunus_persica/p.persica_gdr_reftransV1_0048001","p.persica_gdr_reftransV1_0048001")</f>
        <v>p.persica_gdr_reftransV1_0048001</v>
      </c>
      <c r="B19361" s="2">
        <v>2849</v>
      </c>
      <c r="C19361" s="4" t="str">
        <f>HYPERLINK("http://www.uniprot.org/uniprot/M5VK98","M5VK98")</f>
        <v>M5VK98</v>
      </c>
      <c r="D19361" s="2" t="s">
        <v>4910</v>
      </c>
      <c r="E19361" s="3">
        <v>0</v>
      </c>
      <c r="F19361" s="2">
        <v>4248</v>
      </c>
      <c r="G19361" s="2">
        <v>98</v>
      </c>
      <c r="H19361" s="2">
        <v>883</v>
      </c>
      <c r="I19361" s="2">
        <v>196</v>
      </c>
      <c r="J19361" s="2">
        <v>2844</v>
      </c>
      <c r="K19361" s="2">
        <v>1</v>
      </c>
      <c r="L19361" s="2">
        <v>867</v>
      </c>
    </row>
    <row r="19362" spans="1:12" x14ac:dyDescent="0.25">
      <c r="A19362" s="4" t="str">
        <f>HYPERLINK("http://www.rosaceae.org/Prunus/Prunus_persica/p.persica_gdr_reftransV1_0048351","p.persica_gdr_reftransV1_0048351")</f>
        <v>p.persica_gdr_reftransV1_0048351</v>
      </c>
      <c r="B19362" s="2">
        <v>1352</v>
      </c>
      <c r="C19362" s="4" t="str">
        <f>HYPERLINK("http://www.uniprot.org/uniprot/M5VMV6","M5VMV6")</f>
        <v>M5VMV6</v>
      </c>
      <c r="D19362" s="2" t="s">
        <v>14834</v>
      </c>
      <c r="E19362" s="3">
        <v>0</v>
      </c>
      <c r="F19362" s="2">
        <v>1804</v>
      </c>
      <c r="G19362" s="2">
        <v>100</v>
      </c>
      <c r="H19362" s="2">
        <v>360</v>
      </c>
      <c r="I19362" s="2">
        <v>223</v>
      </c>
      <c r="J19362" s="2">
        <v>1302</v>
      </c>
      <c r="K19362" s="2">
        <v>1</v>
      </c>
      <c r="L19362" s="2">
        <v>360</v>
      </c>
    </row>
    <row r="19363" spans="1:12" x14ac:dyDescent="0.25">
      <c r="A19363" s="4" t="str">
        <f>HYPERLINK("http://www.rosaceae.org/Prunus/Prunus_persica/p.persica_gdr_reftransV1_0048701","p.persica_gdr_reftransV1_0048701")</f>
        <v>p.persica_gdr_reftransV1_0048701</v>
      </c>
      <c r="B19363" s="2">
        <v>457</v>
      </c>
      <c r="C19363" s="4" t="str">
        <f>HYPERLINK("http://www.uniprot.org/uniprot/M5VHP9","M5VHP9")</f>
        <v>M5VHP9</v>
      </c>
      <c r="D19363" s="2" t="s">
        <v>14835</v>
      </c>
      <c r="E19363" s="3">
        <v>2.2300000000000001E-18</v>
      </c>
      <c r="F19363" s="2">
        <v>211</v>
      </c>
      <c r="G19363" s="2">
        <v>99</v>
      </c>
      <c r="H19363" s="2">
        <v>98</v>
      </c>
      <c r="I19363" s="2">
        <v>53</v>
      </c>
      <c r="J19363" s="2">
        <v>346</v>
      </c>
      <c r="K19363" s="2">
        <v>1</v>
      </c>
      <c r="L19363" s="2">
        <v>98</v>
      </c>
    </row>
    <row r="19364" spans="1:12" x14ac:dyDescent="0.25">
      <c r="A19364" s="4" t="str">
        <f>HYPERLINK("http://www.rosaceae.org/Prunus/Prunus_persica/p.persica_gdr_reftransV1_0000052","p.persica_gdr_reftransV1_0000052")</f>
        <v>p.persica_gdr_reftransV1_0000052</v>
      </c>
      <c r="B19364" s="2">
        <v>765</v>
      </c>
      <c r="C19364" s="4" t="str">
        <f>HYPERLINK("http://www.uniprot.org/uniprot/M5WJX4","M5WJX4")</f>
        <v>M5WJX4</v>
      </c>
      <c r="D19364" s="2" t="s">
        <v>14836</v>
      </c>
      <c r="E19364" s="3">
        <v>1.9200000000000001E-75</v>
      </c>
      <c r="F19364" s="2">
        <v>610</v>
      </c>
      <c r="G19364" s="2">
        <v>99</v>
      </c>
      <c r="H19364" s="2">
        <v>115</v>
      </c>
      <c r="I19364" s="2">
        <v>215</v>
      </c>
      <c r="J19364" s="2">
        <v>559</v>
      </c>
      <c r="K19364" s="2">
        <v>92</v>
      </c>
      <c r="L19364" s="2">
        <v>206</v>
      </c>
    </row>
    <row r="19365" spans="1:12" x14ac:dyDescent="0.25">
      <c r="A19365" s="4" t="str">
        <f>HYPERLINK("http://www.rosaceae.org/Prunus/Prunus_persica/p.persica_gdr_reftransV1_0000402","p.persica_gdr_reftransV1_0000402")</f>
        <v>p.persica_gdr_reftransV1_0000402</v>
      </c>
      <c r="B19365" s="2">
        <v>1649</v>
      </c>
      <c r="C19365" s="4" t="str">
        <f>HYPERLINK("http://www.uniprot.org/uniprot/M5XCE4","M5XCE4")</f>
        <v>M5XCE4</v>
      </c>
      <c r="D19365" s="2" t="s">
        <v>9424</v>
      </c>
      <c r="E19365" s="3">
        <v>0</v>
      </c>
      <c r="F19365" s="2">
        <v>1668</v>
      </c>
      <c r="G19365" s="2">
        <v>100</v>
      </c>
      <c r="H19365" s="2">
        <v>418</v>
      </c>
      <c r="I19365" s="2">
        <v>242</v>
      </c>
      <c r="J19365" s="2">
        <v>1495</v>
      </c>
      <c r="K19365" s="2">
        <v>1</v>
      </c>
      <c r="L19365" s="2">
        <v>418</v>
      </c>
    </row>
    <row r="19366" spans="1:12" x14ac:dyDescent="0.25">
      <c r="A19366" s="4" t="str">
        <f>HYPERLINK("http://www.rosaceae.org/Prunus/Prunus_persica/p.persica_gdr_reftransV1_0000752","p.persica_gdr_reftransV1_0000752")</f>
        <v>p.persica_gdr_reftransV1_0000752</v>
      </c>
      <c r="B19366" s="2">
        <v>1760</v>
      </c>
      <c r="C19366" s="4" t="str">
        <f>HYPERLINK("http://www.uniprot.org/uniprot/M5WM67","M5WM67")</f>
        <v>M5WM67</v>
      </c>
      <c r="D19366" s="2" t="s">
        <v>12705</v>
      </c>
      <c r="E19366" s="3">
        <v>0</v>
      </c>
      <c r="F19366" s="2">
        <v>1887</v>
      </c>
      <c r="G19366" s="2">
        <v>100</v>
      </c>
      <c r="H19366" s="2">
        <v>353</v>
      </c>
      <c r="I19366" s="2">
        <v>435</v>
      </c>
      <c r="J19366" s="2">
        <v>1493</v>
      </c>
      <c r="K19366" s="2">
        <v>75</v>
      </c>
      <c r="L19366" s="2">
        <v>427</v>
      </c>
    </row>
    <row r="19367" spans="1:12" x14ac:dyDescent="0.25">
      <c r="A19367" s="4" t="str">
        <f>HYPERLINK("http://www.rosaceae.org/Prunus/Prunus_persica/p.persica_gdr_reftransV1_0001452","p.persica_gdr_reftransV1_0001452")</f>
        <v>p.persica_gdr_reftransV1_0001452</v>
      </c>
      <c r="B19367" s="2">
        <v>1800</v>
      </c>
      <c r="C19367" s="4" t="str">
        <f>HYPERLINK("http://www.uniprot.org/uniprot/M5X8S5","M5X8S5")</f>
        <v>M5X8S5</v>
      </c>
      <c r="D19367" s="2" t="s">
        <v>14837</v>
      </c>
      <c r="E19367" s="3">
        <v>0</v>
      </c>
      <c r="F19367" s="2">
        <v>2256</v>
      </c>
      <c r="G19367" s="2">
        <v>96</v>
      </c>
      <c r="H19367" s="2">
        <v>460</v>
      </c>
      <c r="I19367" s="2">
        <v>371</v>
      </c>
      <c r="J19367" s="2">
        <v>1750</v>
      </c>
      <c r="K19367" s="2">
        <v>67</v>
      </c>
      <c r="L19367" s="2">
        <v>512</v>
      </c>
    </row>
    <row r="19368" spans="1:12" x14ac:dyDescent="0.25">
      <c r="A19368" s="4" t="str">
        <f>HYPERLINK("http://www.rosaceae.org/Prunus/Prunus_persica/p.persica_gdr_reftransV1_0002852","p.persica_gdr_reftransV1_0002852")</f>
        <v>p.persica_gdr_reftransV1_0002852</v>
      </c>
      <c r="B19368" s="2">
        <v>2430</v>
      </c>
      <c r="C19368" s="4" t="str">
        <f>HYPERLINK("http://www.uniprot.org/uniprot/V4STT9","V4STT9")</f>
        <v>V4STT9</v>
      </c>
      <c r="D19368" s="2" t="s">
        <v>14838</v>
      </c>
      <c r="E19368" s="3">
        <v>0</v>
      </c>
      <c r="F19368" s="2">
        <v>2330</v>
      </c>
      <c r="G19368" s="2">
        <v>87</v>
      </c>
      <c r="H19368" s="2">
        <v>536</v>
      </c>
      <c r="I19368" s="2">
        <v>341</v>
      </c>
      <c r="J19368" s="2">
        <v>1948</v>
      </c>
      <c r="K19368" s="2">
        <v>24</v>
      </c>
      <c r="L19368" s="2">
        <v>559</v>
      </c>
    </row>
    <row r="19369" spans="1:12" x14ac:dyDescent="0.25">
      <c r="A19369" s="4" t="str">
        <f>HYPERLINK("http://www.rosaceae.org/Prunus/Prunus_persica/p.persica_gdr_reftransV1_0003202","p.persica_gdr_reftransV1_0003202")</f>
        <v>p.persica_gdr_reftransV1_0003202</v>
      </c>
      <c r="B19369" s="2">
        <v>1736</v>
      </c>
      <c r="C19369" s="4" t="str">
        <f>HYPERLINK("http://www.uniprot.org/uniprot/M5VVV5","M5VVV5")</f>
        <v>M5VVV5</v>
      </c>
      <c r="D19369" s="2" t="s">
        <v>14839</v>
      </c>
      <c r="E19369" s="3">
        <v>0</v>
      </c>
      <c r="F19369" s="2">
        <v>2423</v>
      </c>
      <c r="G19369" s="2">
        <v>100</v>
      </c>
      <c r="H19369" s="2">
        <v>453</v>
      </c>
      <c r="I19369" s="2">
        <v>296</v>
      </c>
      <c r="J19369" s="2">
        <v>1654</v>
      </c>
      <c r="K19369" s="2">
        <v>1</v>
      </c>
      <c r="L19369" s="2">
        <v>453</v>
      </c>
    </row>
    <row r="19370" spans="1:12" x14ac:dyDescent="0.25">
      <c r="A19370" s="4" t="str">
        <f>HYPERLINK("http://www.rosaceae.org/Prunus/Prunus_persica/p.persica_gdr_reftransV1_0003552","p.persica_gdr_reftransV1_0003552")</f>
        <v>p.persica_gdr_reftransV1_0003552</v>
      </c>
      <c r="B19370" s="2">
        <v>654</v>
      </c>
      <c r="C19370" s="4" t="str">
        <f>HYPERLINK("http://www.uniprot.org/uniprot/M5W3Y3","M5W3Y3")</f>
        <v>M5W3Y3</v>
      </c>
      <c r="D19370" s="2" t="s">
        <v>14840</v>
      </c>
      <c r="E19370" s="3">
        <v>7.7000000000000004E-63</v>
      </c>
      <c r="F19370" s="2">
        <v>515</v>
      </c>
      <c r="G19370" s="2">
        <v>100</v>
      </c>
      <c r="H19370" s="2">
        <v>120</v>
      </c>
      <c r="I19370" s="2">
        <v>182</v>
      </c>
      <c r="J19370" s="2">
        <v>541</v>
      </c>
      <c r="K19370" s="2">
        <v>1</v>
      </c>
      <c r="L19370" s="2">
        <v>120</v>
      </c>
    </row>
    <row r="19371" spans="1:12" x14ac:dyDescent="0.25">
      <c r="A19371" s="4" t="str">
        <f>HYPERLINK("http://www.rosaceae.org/Prunus/Prunus_persica/p.persica_gdr_reftransV1_0003902","p.persica_gdr_reftransV1_0003902")</f>
        <v>p.persica_gdr_reftransV1_0003902</v>
      </c>
      <c r="B19371" s="2">
        <v>661</v>
      </c>
      <c r="C19371" s="4" t="str">
        <f>HYPERLINK("http://www.uniprot.org/uniprot/M5W7A0","M5W7A0")</f>
        <v>M5W7A0</v>
      </c>
      <c r="D19371" s="2" t="s">
        <v>567</v>
      </c>
      <c r="E19371" s="3">
        <v>1.9600000000000001E-137</v>
      </c>
      <c r="F19371" s="2">
        <v>1097</v>
      </c>
      <c r="G19371" s="2">
        <v>100</v>
      </c>
      <c r="H19371" s="2">
        <v>220</v>
      </c>
      <c r="I19371" s="2">
        <v>1</v>
      </c>
      <c r="J19371" s="2">
        <v>660</v>
      </c>
      <c r="K19371" s="2">
        <v>30</v>
      </c>
      <c r="L19371" s="2">
        <v>249</v>
      </c>
    </row>
    <row r="19372" spans="1:12" x14ac:dyDescent="0.25">
      <c r="A19372" s="4" t="str">
        <f>HYPERLINK("http://www.rosaceae.org/Prunus/Prunus_persica/p.persica_gdr_reftransV1_0004252","p.persica_gdr_reftransV1_0004252")</f>
        <v>p.persica_gdr_reftransV1_0004252</v>
      </c>
      <c r="B19372" s="2">
        <v>2710</v>
      </c>
      <c r="C19372" s="4" t="str">
        <f>HYPERLINK("http://www.uniprot.org/uniprot/M5W9B8","M5W9B8")</f>
        <v>M5W9B8</v>
      </c>
      <c r="D19372" s="2" t="s">
        <v>6829</v>
      </c>
      <c r="E19372" s="3">
        <v>0</v>
      </c>
      <c r="F19372" s="2">
        <v>3824</v>
      </c>
      <c r="G19372" s="2">
        <v>99</v>
      </c>
      <c r="H19372" s="2">
        <v>771</v>
      </c>
      <c r="I19372" s="2">
        <v>363</v>
      </c>
      <c r="J19372" s="2">
        <v>2675</v>
      </c>
      <c r="K19372" s="2">
        <v>43</v>
      </c>
      <c r="L19372" s="2">
        <v>807</v>
      </c>
    </row>
    <row r="19373" spans="1:12" x14ac:dyDescent="0.25">
      <c r="A19373" s="4" t="str">
        <f>HYPERLINK("http://www.rosaceae.org/Prunus/Prunus_persica/p.persica_gdr_reftransV1_0004602","p.persica_gdr_reftransV1_0004602")</f>
        <v>p.persica_gdr_reftransV1_0004602</v>
      </c>
      <c r="B19373" s="2">
        <v>1062</v>
      </c>
      <c r="C19373" s="4" t="str">
        <f>HYPERLINK("http://www.uniprot.org/uniprot/M5WK38","M5WK38")</f>
        <v>M5WK38</v>
      </c>
      <c r="D19373" s="2" t="s">
        <v>767</v>
      </c>
      <c r="E19373" s="3">
        <v>0</v>
      </c>
      <c r="F19373" s="2">
        <v>1519</v>
      </c>
      <c r="G19373" s="2">
        <v>97</v>
      </c>
      <c r="H19373" s="2">
        <v>288</v>
      </c>
      <c r="I19373" s="2">
        <v>191</v>
      </c>
      <c r="J19373" s="2">
        <v>1054</v>
      </c>
      <c r="K19373" s="2">
        <v>31</v>
      </c>
      <c r="L19373" s="2">
        <v>318</v>
      </c>
    </row>
    <row r="19374" spans="1:12" x14ac:dyDescent="0.25">
      <c r="A19374" s="4" t="str">
        <f>HYPERLINK("http://www.rosaceae.org/Prunus/Prunus_persica/p.persica_gdr_reftransV1_0005652","p.persica_gdr_reftransV1_0005652")</f>
        <v>p.persica_gdr_reftransV1_0005652</v>
      </c>
      <c r="B19374" s="2">
        <v>438</v>
      </c>
      <c r="C19374" s="4" t="str">
        <f>HYPERLINK("http://www.uniprot.org/uniprot/M5XPC6","M5XPC6")</f>
        <v>M5XPC6</v>
      </c>
      <c r="D19374" s="2" t="s">
        <v>11841</v>
      </c>
      <c r="E19374" s="3">
        <v>5.4200000000000005E-57</v>
      </c>
      <c r="F19374" s="2">
        <v>487</v>
      </c>
      <c r="G19374" s="2">
        <v>100</v>
      </c>
      <c r="H19374" s="2">
        <v>91</v>
      </c>
      <c r="I19374" s="2">
        <v>35</v>
      </c>
      <c r="J19374" s="2">
        <v>307</v>
      </c>
      <c r="K19374" s="2">
        <v>242</v>
      </c>
      <c r="L19374" s="2">
        <v>332</v>
      </c>
    </row>
    <row r="19375" spans="1:12" x14ac:dyDescent="0.25">
      <c r="A19375" s="4" t="str">
        <f>HYPERLINK("http://www.rosaceae.org/Prunus/Prunus_persica/p.persica_gdr_reftransV1_0006002","p.persica_gdr_reftransV1_0006002")</f>
        <v>p.persica_gdr_reftransV1_0006002</v>
      </c>
      <c r="B19375" s="2">
        <v>1062</v>
      </c>
      <c r="C19375" s="4" t="str">
        <f>HYPERLINK("http://www.uniprot.org/uniprot/M5X3L6","M5X3L6")</f>
        <v>M5X3L6</v>
      </c>
      <c r="D19375" s="2" t="s">
        <v>14841</v>
      </c>
      <c r="E19375" s="3">
        <v>3.82E-87</v>
      </c>
      <c r="F19375" s="2">
        <v>757</v>
      </c>
      <c r="G19375" s="2">
        <v>88</v>
      </c>
      <c r="H19375" s="2">
        <v>169</v>
      </c>
      <c r="I19375" s="2">
        <v>557</v>
      </c>
      <c r="J19375" s="2">
        <v>1060</v>
      </c>
      <c r="K19375" s="2">
        <v>4</v>
      </c>
      <c r="L19375" s="2">
        <v>172</v>
      </c>
    </row>
    <row r="19376" spans="1:12" x14ac:dyDescent="0.25">
      <c r="A19376" s="4" t="str">
        <f>HYPERLINK("http://www.rosaceae.org/Prunus/Prunus_persica/p.persica_gdr_reftransV1_0007752","p.persica_gdr_reftransV1_0007752")</f>
        <v>p.persica_gdr_reftransV1_0007752</v>
      </c>
      <c r="B19376" s="2">
        <v>623</v>
      </c>
      <c r="C19376" s="4" t="str">
        <f>HYPERLINK("http://www.uniprot.org/uniprot/M5VT43","M5VT43")</f>
        <v>M5VT43</v>
      </c>
      <c r="D19376" s="2" t="s">
        <v>14842</v>
      </c>
      <c r="E19376" s="3">
        <v>3.5199999999999998E-99</v>
      </c>
      <c r="F19376" s="2">
        <v>758</v>
      </c>
      <c r="G19376" s="2">
        <v>100</v>
      </c>
      <c r="H19376" s="2">
        <v>160</v>
      </c>
      <c r="I19376" s="2">
        <v>22</v>
      </c>
      <c r="J19376" s="2">
        <v>501</v>
      </c>
      <c r="K19376" s="2">
        <v>1</v>
      </c>
      <c r="L19376" s="2">
        <v>160</v>
      </c>
    </row>
    <row r="19377" spans="1:12" x14ac:dyDescent="0.25">
      <c r="A19377" s="4" t="str">
        <f>HYPERLINK("http://www.rosaceae.org/Prunus/Prunus_persica/p.persica_gdr_reftransV1_0008102","p.persica_gdr_reftransV1_0008102")</f>
        <v>p.persica_gdr_reftransV1_0008102</v>
      </c>
      <c r="B19377" s="2">
        <v>1574</v>
      </c>
      <c r="C19377" s="4" t="str">
        <f>HYPERLINK("http://www.uniprot.org/uniprot/M5WES9","M5WES9")</f>
        <v>M5WES9</v>
      </c>
      <c r="D19377" s="2" t="s">
        <v>14843</v>
      </c>
      <c r="E19377" s="3">
        <v>0</v>
      </c>
      <c r="F19377" s="2">
        <v>1789</v>
      </c>
      <c r="G19377" s="2">
        <v>82</v>
      </c>
      <c r="H19377" s="2">
        <v>451</v>
      </c>
      <c r="I19377" s="2">
        <v>127</v>
      </c>
      <c r="J19377" s="2">
        <v>1452</v>
      </c>
      <c r="K19377" s="2">
        <v>1</v>
      </c>
      <c r="L19377" s="2">
        <v>442</v>
      </c>
    </row>
    <row r="19378" spans="1:12" x14ac:dyDescent="0.25">
      <c r="A19378" s="4" t="str">
        <f>HYPERLINK("http://www.rosaceae.org/Prunus/Prunus_persica/p.persica_gdr_reftransV1_0008452","p.persica_gdr_reftransV1_0008452")</f>
        <v>p.persica_gdr_reftransV1_0008452</v>
      </c>
      <c r="B19378" s="2">
        <v>2813</v>
      </c>
      <c r="C19378" s="4" t="str">
        <f>HYPERLINK("http://www.uniprot.org/uniprot/M5X677","M5X677")</f>
        <v>M5X677</v>
      </c>
      <c r="D19378" s="2" t="s">
        <v>14844</v>
      </c>
      <c r="E19378" s="3">
        <v>0</v>
      </c>
      <c r="F19378" s="2">
        <v>4409</v>
      </c>
      <c r="G19378" s="2">
        <v>100</v>
      </c>
      <c r="H19378" s="2">
        <v>827</v>
      </c>
      <c r="I19378" s="2">
        <v>54</v>
      </c>
      <c r="J19378" s="2">
        <v>2534</v>
      </c>
      <c r="K19378" s="2">
        <v>1</v>
      </c>
      <c r="L19378" s="2">
        <v>827</v>
      </c>
    </row>
    <row r="19379" spans="1:12" x14ac:dyDescent="0.25">
      <c r="A19379" s="4" t="str">
        <f>HYPERLINK("http://www.rosaceae.org/Prunus/Prunus_persica/p.persica_gdr_reftransV1_0009152","p.persica_gdr_reftransV1_0009152")</f>
        <v>p.persica_gdr_reftransV1_0009152</v>
      </c>
      <c r="B19379" s="2">
        <v>6315</v>
      </c>
      <c r="C19379" s="4" t="str">
        <f>HYPERLINK("http://www.uniprot.org/uniprot/M5W7P8","M5W7P8")</f>
        <v>M5W7P8</v>
      </c>
      <c r="D19379" s="2" t="s">
        <v>14845</v>
      </c>
      <c r="E19379" s="3">
        <v>0</v>
      </c>
      <c r="F19379" s="2">
        <v>6865</v>
      </c>
      <c r="G19379" s="2">
        <v>100</v>
      </c>
      <c r="H19379" s="2">
        <v>1322</v>
      </c>
      <c r="I19379" s="2">
        <v>122</v>
      </c>
      <c r="J19379" s="2">
        <v>4087</v>
      </c>
      <c r="K19379" s="2">
        <v>1</v>
      </c>
      <c r="L19379" s="2">
        <v>1322</v>
      </c>
    </row>
    <row r="19380" spans="1:12" x14ac:dyDescent="0.25">
      <c r="A19380" s="4" t="str">
        <f>HYPERLINK("http://www.rosaceae.org/Prunus/Prunus_persica/p.persica_gdr_reftransV1_0010202","p.persica_gdr_reftransV1_0010202")</f>
        <v>p.persica_gdr_reftransV1_0010202</v>
      </c>
      <c r="B19380" s="2">
        <v>1318</v>
      </c>
      <c r="C19380" s="4" t="str">
        <f>HYPERLINK("http://www.uniprot.org/uniprot/M5WZV5","M5WZV5")</f>
        <v>M5WZV5</v>
      </c>
      <c r="D19380" s="2" t="s">
        <v>3835</v>
      </c>
      <c r="E19380" s="3">
        <v>0</v>
      </c>
      <c r="F19380" s="2">
        <v>2369</v>
      </c>
      <c r="G19380" s="2">
        <v>100</v>
      </c>
      <c r="H19380" s="2">
        <v>439</v>
      </c>
      <c r="I19380" s="2">
        <v>1</v>
      </c>
      <c r="J19380" s="2">
        <v>1317</v>
      </c>
      <c r="K19380" s="2">
        <v>283</v>
      </c>
      <c r="L19380" s="2">
        <v>721</v>
      </c>
    </row>
    <row r="19381" spans="1:12" x14ac:dyDescent="0.25">
      <c r="A19381" s="4" t="str">
        <f>HYPERLINK("http://www.rosaceae.org/Prunus/Prunus_persica/p.persica_gdr_reftransV1_0010552","p.persica_gdr_reftransV1_0010552")</f>
        <v>p.persica_gdr_reftransV1_0010552</v>
      </c>
      <c r="B19381" s="2">
        <v>1275</v>
      </c>
      <c r="C19381" s="4" t="str">
        <f>HYPERLINK("http://www.uniprot.org/uniprot/M5X2F7","M5X2F7")</f>
        <v>M5X2F7</v>
      </c>
      <c r="D19381" s="2" t="s">
        <v>11290</v>
      </c>
      <c r="E19381" s="3">
        <v>1.2199999999999999E-100</v>
      </c>
      <c r="F19381" s="2">
        <v>795</v>
      </c>
      <c r="G19381" s="2">
        <v>96</v>
      </c>
      <c r="H19381" s="2">
        <v>201</v>
      </c>
      <c r="I19381" s="2">
        <v>143</v>
      </c>
      <c r="J19381" s="2">
        <v>745</v>
      </c>
      <c r="K19381" s="2">
        <v>1</v>
      </c>
      <c r="L19381" s="2">
        <v>201</v>
      </c>
    </row>
    <row r="19382" spans="1:12" x14ac:dyDescent="0.25">
      <c r="A19382" s="4" t="str">
        <f>HYPERLINK("http://www.rosaceae.org/Prunus/Prunus_persica/p.persica_gdr_reftransV1_0011602","p.persica_gdr_reftransV1_0011602")</f>
        <v>p.persica_gdr_reftransV1_0011602</v>
      </c>
      <c r="B19382" s="2">
        <v>2567</v>
      </c>
      <c r="C19382" s="4" t="str">
        <f>HYPERLINK("http://www.uniprot.org/uniprot/M5WBL3","M5WBL3")</f>
        <v>M5WBL3</v>
      </c>
      <c r="D19382" s="2" t="s">
        <v>14846</v>
      </c>
      <c r="E19382" s="3">
        <v>0</v>
      </c>
      <c r="F19382" s="2">
        <v>2635</v>
      </c>
      <c r="G19382" s="2">
        <v>100</v>
      </c>
      <c r="H19382" s="2">
        <v>512</v>
      </c>
      <c r="I19382" s="2">
        <v>209</v>
      </c>
      <c r="J19382" s="2">
        <v>1744</v>
      </c>
      <c r="K19382" s="2">
        <v>1</v>
      </c>
      <c r="L19382" s="2">
        <v>512</v>
      </c>
    </row>
    <row r="19383" spans="1:12" x14ac:dyDescent="0.25">
      <c r="A19383" s="4" t="str">
        <f>HYPERLINK("http://www.rosaceae.org/Prunus/Prunus_persica/p.persica_gdr_reftransV1_0012302","p.persica_gdr_reftransV1_0012302")</f>
        <v>p.persica_gdr_reftransV1_0012302</v>
      </c>
      <c r="B19383" s="2">
        <v>1653</v>
      </c>
      <c r="C19383" s="4" t="str">
        <f>HYPERLINK("http://www.uniprot.org/uniprot/M5WVV0","M5WVV0")</f>
        <v>M5WVV0</v>
      </c>
      <c r="D19383" s="2" t="s">
        <v>14847</v>
      </c>
      <c r="E19383" s="3">
        <v>0</v>
      </c>
      <c r="F19383" s="2">
        <v>2136</v>
      </c>
      <c r="G19383" s="2">
        <v>100</v>
      </c>
      <c r="H19383" s="2">
        <v>401</v>
      </c>
      <c r="I19383" s="2">
        <v>232</v>
      </c>
      <c r="J19383" s="2">
        <v>1434</v>
      </c>
      <c r="K19383" s="2">
        <v>1</v>
      </c>
      <c r="L19383" s="2">
        <v>401</v>
      </c>
    </row>
    <row r="19384" spans="1:12" x14ac:dyDescent="0.25">
      <c r="A19384" s="4" t="str">
        <f>HYPERLINK("http://www.rosaceae.org/Prunus/Prunus_persica/p.persica_gdr_reftransV1_0012652","p.persica_gdr_reftransV1_0012652")</f>
        <v>p.persica_gdr_reftransV1_0012652</v>
      </c>
      <c r="B19384" s="2">
        <v>806</v>
      </c>
      <c r="C19384" s="4" t="str">
        <f>HYPERLINK("http://www.uniprot.org/uniprot/M5WYM3","M5WYM3")</f>
        <v>M5WYM3</v>
      </c>
      <c r="D19384" s="2" t="s">
        <v>13362</v>
      </c>
      <c r="E19384" s="3">
        <v>1.26E-180</v>
      </c>
      <c r="F19384" s="2">
        <v>1348</v>
      </c>
      <c r="G19384" s="2">
        <v>100</v>
      </c>
      <c r="H19384" s="2">
        <v>249</v>
      </c>
      <c r="I19384" s="2">
        <v>1</v>
      </c>
      <c r="J19384" s="2">
        <v>747</v>
      </c>
      <c r="K19384" s="2">
        <v>385</v>
      </c>
      <c r="L19384" s="2">
        <v>633</v>
      </c>
    </row>
    <row r="19385" spans="1:12" x14ac:dyDescent="0.25">
      <c r="A19385" s="4" t="str">
        <f>HYPERLINK("http://www.rosaceae.org/Prunus/Prunus_persica/p.persica_gdr_reftransV1_0013002","p.persica_gdr_reftransV1_0013002")</f>
        <v>p.persica_gdr_reftransV1_0013002</v>
      </c>
      <c r="B19385" s="2">
        <v>782</v>
      </c>
      <c r="C19385" s="4" t="str">
        <f>HYPERLINK("http://www.uniprot.org/uniprot/M5VRD6","M5VRD6")</f>
        <v>M5VRD6</v>
      </c>
      <c r="D19385" s="2" t="s">
        <v>14848</v>
      </c>
      <c r="E19385" s="3">
        <v>1.27E-105</v>
      </c>
      <c r="F19385" s="2">
        <v>807</v>
      </c>
      <c r="G19385" s="2">
        <v>100</v>
      </c>
      <c r="H19385" s="2">
        <v>150</v>
      </c>
      <c r="I19385" s="2">
        <v>225</v>
      </c>
      <c r="J19385" s="2">
        <v>674</v>
      </c>
      <c r="K19385" s="2">
        <v>1</v>
      </c>
      <c r="L19385" s="2">
        <v>150</v>
      </c>
    </row>
    <row r="19386" spans="1:12" x14ac:dyDescent="0.25">
      <c r="A19386" s="4" t="str">
        <f>HYPERLINK("http://www.rosaceae.org/Prunus/Prunus_persica/p.persica_gdr_reftransV1_0014752","p.persica_gdr_reftransV1_0014752")</f>
        <v>p.persica_gdr_reftransV1_0014752</v>
      </c>
      <c r="B19386" s="2">
        <v>3691</v>
      </c>
      <c r="C19386" s="4" t="str">
        <f>HYPERLINK("http://www.uniprot.org/uniprot/M5XMM8","M5XMM8")</f>
        <v>M5XMM8</v>
      </c>
      <c r="D19386" s="2" t="s">
        <v>14849</v>
      </c>
      <c r="E19386" s="3">
        <v>0</v>
      </c>
      <c r="F19386" s="2">
        <v>2327</v>
      </c>
      <c r="G19386" s="2">
        <v>100</v>
      </c>
      <c r="H19386" s="2">
        <v>571</v>
      </c>
      <c r="I19386" s="2">
        <v>703</v>
      </c>
      <c r="J19386" s="2">
        <v>2415</v>
      </c>
      <c r="K19386" s="2">
        <v>1</v>
      </c>
      <c r="L19386" s="2">
        <v>571</v>
      </c>
    </row>
    <row r="19387" spans="1:12" x14ac:dyDescent="0.25">
      <c r="A19387" s="4" t="str">
        <f>HYPERLINK("http://www.rosaceae.org/Prunus/Prunus_persica/p.persica_gdr_reftransV1_0015802","p.persica_gdr_reftransV1_0015802")</f>
        <v>p.persica_gdr_reftransV1_0015802</v>
      </c>
      <c r="B19387" s="2">
        <v>1513</v>
      </c>
      <c r="C19387" s="4" t="str">
        <f>HYPERLINK("http://www.uniprot.org/uniprot/M5W5I1","M5W5I1")</f>
        <v>M5W5I1</v>
      </c>
      <c r="D19387" s="2" t="s">
        <v>14850</v>
      </c>
      <c r="E19387" s="3">
        <v>7.7800000000000007E-127</v>
      </c>
      <c r="F19387" s="2">
        <v>976</v>
      </c>
      <c r="G19387" s="2">
        <v>100</v>
      </c>
      <c r="H19387" s="2">
        <v>208</v>
      </c>
      <c r="I19387" s="2">
        <v>445</v>
      </c>
      <c r="J19387" s="2">
        <v>1068</v>
      </c>
      <c r="K19387" s="2">
        <v>1</v>
      </c>
      <c r="L19387" s="2">
        <v>208</v>
      </c>
    </row>
    <row r="19388" spans="1:12" x14ac:dyDescent="0.25">
      <c r="A19388" s="4" t="str">
        <f>HYPERLINK("http://www.rosaceae.org/Prunus/Prunus_persica/p.persica_gdr_reftransV1_0017902","p.persica_gdr_reftransV1_0017902")</f>
        <v>p.persica_gdr_reftransV1_0017902</v>
      </c>
      <c r="B19388" s="2">
        <v>4080</v>
      </c>
      <c r="C19388" s="4" t="str">
        <f>HYPERLINK("http://www.uniprot.org/uniprot/C4PKQ3","C4PKQ3")</f>
        <v>C4PKQ3</v>
      </c>
      <c r="D19388" s="2" t="s">
        <v>14142</v>
      </c>
      <c r="E19388" s="3">
        <v>0</v>
      </c>
      <c r="F19388" s="2">
        <v>3979</v>
      </c>
      <c r="G19388" s="2">
        <v>100</v>
      </c>
      <c r="H19388" s="2">
        <v>843</v>
      </c>
      <c r="I19388" s="2">
        <v>1373</v>
      </c>
      <c r="J19388" s="2">
        <v>3901</v>
      </c>
      <c r="K19388" s="2">
        <v>1</v>
      </c>
      <c r="L19388" s="2">
        <v>843</v>
      </c>
    </row>
    <row r="19389" spans="1:12" x14ac:dyDescent="0.25">
      <c r="A19389" s="4" t="str">
        <f>HYPERLINK("http://www.rosaceae.org/Prunus/Prunus_persica/p.persica_gdr_reftransV1_0018602","p.persica_gdr_reftransV1_0018602")</f>
        <v>p.persica_gdr_reftransV1_0018602</v>
      </c>
      <c r="B19389" s="2">
        <v>1265</v>
      </c>
      <c r="C19389" s="4" t="str">
        <f>HYPERLINK("http://www.uniprot.org/uniprot/M5XDA7","M5XDA7")</f>
        <v>M5XDA7</v>
      </c>
      <c r="D19389" s="2" t="s">
        <v>14851</v>
      </c>
      <c r="E19389" s="3">
        <v>9.8099999999999996E-169</v>
      </c>
      <c r="F19389" s="2">
        <v>1251</v>
      </c>
      <c r="G19389" s="2">
        <v>100</v>
      </c>
      <c r="H19389" s="2">
        <v>269</v>
      </c>
      <c r="I19389" s="2">
        <v>334</v>
      </c>
      <c r="J19389" s="2">
        <v>1140</v>
      </c>
      <c r="K19389" s="2">
        <v>1</v>
      </c>
      <c r="L19389" s="2">
        <v>269</v>
      </c>
    </row>
    <row r="19390" spans="1:12" x14ac:dyDescent="0.25">
      <c r="A19390" s="4" t="str">
        <f>HYPERLINK("http://www.rosaceae.org/Prunus/Prunus_persica/p.persica_gdr_reftransV1_0020352","p.persica_gdr_reftransV1_0020352")</f>
        <v>p.persica_gdr_reftransV1_0020352</v>
      </c>
      <c r="B19390" s="2">
        <v>3773</v>
      </c>
      <c r="C19390" s="4" t="str">
        <f>HYPERLINK("http://www.uniprot.org/uniprot/M5WU71","M5WU71")</f>
        <v>M5WU71</v>
      </c>
      <c r="D19390" s="2" t="s">
        <v>7938</v>
      </c>
      <c r="E19390" s="3">
        <v>0</v>
      </c>
      <c r="F19390" s="2">
        <v>2213</v>
      </c>
      <c r="G19390" s="2">
        <v>99</v>
      </c>
      <c r="H19390" s="2">
        <v>424</v>
      </c>
      <c r="I19390" s="2">
        <v>1840</v>
      </c>
      <c r="J19390" s="2">
        <v>3111</v>
      </c>
      <c r="K19390" s="2">
        <v>1</v>
      </c>
      <c r="L19390" s="2">
        <v>424</v>
      </c>
    </row>
    <row r="19391" spans="1:12" x14ac:dyDescent="0.25">
      <c r="A19391" s="4" t="str">
        <f>HYPERLINK("http://www.rosaceae.org/Prunus/Prunus_persica/p.persica_gdr_reftransV1_0020702","p.persica_gdr_reftransV1_0020702")</f>
        <v>p.persica_gdr_reftransV1_0020702</v>
      </c>
      <c r="B19391" s="2">
        <v>575</v>
      </c>
      <c r="C19391" s="4" t="str">
        <f>HYPERLINK("http://www.uniprot.org/uniprot/M5XT50","M5XT50")</f>
        <v>M5XT50</v>
      </c>
      <c r="D19391" s="2" t="s">
        <v>14852</v>
      </c>
      <c r="E19391" s="3">
        <v>6.6000000000000003E-18</v>
      </c>
      <c r="F19391" s="2">
        <v>207</v>
      </c>
      <c r="G19391" s="2">
        <v>100</v>
      </c>
      <c r="H19391" s="2">
        <v>43</v>
      </c>
      <c r="I19391" s="2">
        <v>285</v>
      </c>
      <c r="J19391" s="2">
        <v>413</v>
      </c>
      <c r="K19391" s="2">
        <v>1</v>
      </c>
      <c r="L19391" s="2">
        <v>43</v>
      </c>
    </row>
    <row r="19392" spans="1:12" x14ac:dyDescent="0.25">
      <c r="A19392" s="4" t="str">
        <f>HYPERLINK("http://www.rosaceae.org/Prunus/Prunus_persica/p.persica_gdr_reftransV1_0021052","p.persica_gdr_reftransV1_0021052")</f>
        <v>p.persica_gdr_reftransV1_0021052</v>
      </c>
      <c r="B19392" s="2">
        <v>2495</v>
      </c>
      <c r="C19392" s="4" t="str">
        <f>HYPERLINK("http://www.uniprot.org/uniprot/M5XLI1","M5XLI1")</f>
        <v>M5XLI1</v>
      </c>
      <c r="D19392" s="2" t="s">
        <v>14853</v>
      </c>
      <c r="E19392" s="3">
        <v>0</v>
      </c>
      <c r="F19392" s="2">
        <v>1693</v>
      </c>
      <c r="G19392" s="2">
        <v>100</v>
      </c>
      <c r="H19392" s="2">
        <v>345</v>
      </c>
      <c r="I19392" s="2">
        <v>1261</v>
      </c>
      <c r="J19392" s="2">
        <v>2295</v>
      </c>
      <c r="K19392" s="2">
        <v>205</v>
      </c>
      <c r="L19392" s="2">
        <v>549</v>
      </c>
    </row>
    <row r="19393" spans="1:12" x14ac:dyDescent="0.25">
      <c r="A19393" s="4" t="str">
        <f>HYPERLINK("http://www.rosaceae.org/Prunus/Prunus_persica/p.persica_gdr_reftransV1_0022802","p.persica_gdr_reftransV1_0022802")</f>
        <v>p.persica_gdr_reftransV1_0022802</v>
      </c>
      <c r="B19393" s="2">
        <v>2513</v>
      </c>
      <c r="C19393" s="4" t="str">
        <f>HYPERLINK("http://www.uniprot.org/uniprot/M5WPC4","M5WPC4")</f>
        <v>M5WPC4</v>
      </c>
      <c r="D19393" s="2" t="s">
        <v>14854</v>
      </c>
      <c r="E19393" s="3">
        <v>0</v>
      </c>
      <c r="F19393" s="2">
        <v>1700</v>
      </c>
      <c r="G19393" s="2">
        <v>97</v>
      </c>
      <c r="H19393" s="2">
        <v>417</v>
      </c>
      <c r="I19393" s="2">
        <v>888</v>
      </c>
      <c r="J19393" s="2">
        <v>2138</v>
      </c>
      <c r="K19393" s="2">
        <v>88</v>
      </c>
      <c r="L19393" s="2">
        <v>491</v>
      </c>
    </row>
    <row r="19394" spans="1:12" x14ac:dyDescent="0.25">
      <c r="A19394" s="4" t="str">
        <f>HYPERLINK("http://www.rosaceae.org/Prunus/Prunus_persica/p.persica_gdr_reftransV1_0023152","p.persica_gdr_reftransV1_0023152")</f>
        <v>p.persica_gdr_reftransV1_0023152</v>
      </c>
      <c r="B19394" s="2">
        <v>3325</v>
      </c>
      <c r="C19394" s="4" t="str">
        <f>HYPERLINK("http://www.uniprot.org/uniprot/M5VVI8","M5VVI8")</f>
        <v>M5VVI8</v>
      </c>
      <c r="D19394" s="2" t="s">
        <v>11893</v>
      </c>
      <c r="E19394" s="3">
        <v>0</v>
      </c>
      <c r="F19394" s="2">
        <v>1442</v>
      </c>
      <c r="G19394" s="2">
        <v>99</v>
      </c>
      <c r="H19394" s="2">
        <v>305</v>
      </c>
      <c r="I19394" s="2">
        <v>323</v>
      </c>
      <c r="J19394" s="2">
        <v>1237</v>
      </c>
      <c r="K19394" s="2">
        <v>1</v>
      </c>
      <c r="L19394" s="2">
        <v>305</v>
      </c>
    </row>
    <row r="19395" spans="1:12" x14ac:dyDescent="0.25">
      <c r="A19395" s="4" t="str">
        <f>HYPERLINK("http://www.rosaceae.org/Prunus/Prunus_persica/p.persica_gdr_reftransV1_0024202","p.persica_gdr_reftransV1_0024202")</f>
        <v>p.persica_gdr_reftransV1_0024202</v>
      </c>
      <c r="B19395" s="2">
        <v>1727</v>
      </c>
      <c r="C19395" s="4" t="str">
        <f>HYPERLINK("http://www.uniprot.org/uniprot/M5W2X5","M5W2X5")</f>
        <v>M5W2X5</v>
      </c>
      <c r="D19395" s="2" t="s">
        <v>14855</v>
      </c>
      <c r="E19395" s="3">
        <v>1.11E-97</v>
      </c>
      <c r="F19395" s="2">
        <v>795</v>
      </c>
      <c r="G19395" s="2">
        <v>99</v>
      </c>
      <c r="H19395" s="2">
        <v>149</v>
      </c>
      <c r="I19395" s="2">
        <v>940</v>
      </c>
      <c r="J19395" s="2">
        <v>1386</v>
      </c>
      <c r="K19395" s="2">
        <v>136</v>
      </c>
      <c r="L19395" s="2">
        <v>284</v>
      </c>
    </row>
    <row r="19396" spans="1:12" x14ac:dyDescent="0.25">
      <c r="A19396" s="4" t="str">
        <f>HYPERLINK("http://www.rosaceae.org/Prunus/Prunus_persica/p.persica_gdr_reftransV1_0024552","p.persica_gdr_reftransV1_0024552")</f>
        <v>p.persica_gdr_reftransV1_0024552</v>
      </c>
      <c r="B19396" s="2">
        <v>1162</v>
      </c>
      <c r="C19396" s="4" t="str">
        <f>HYPERLINK("http://www.uniprot.org/uniprot/M5WS65","M5WS65")</f>
        <v>M5WS65</v>
      </c>
      <c r="D19396" s="2" t="s">
        <v>5253</v>
      </c>
      <c r="E19396" s="3">
        <v>0</v>
      </c>
      <c r="F19396" s="2">
        <v>1733</v>
      </c>
      <c r="G19396" s="2">
        <v>91</v>
      </c>
      <c r="H19396" s="2">
        <v>387</v>
      </c>
      <c r="I19396" s="2">
        <v>1</v>
      </c>
      <c r="J19396" s="2">
        <v>1161</v>
      </c>
      <c r="K19396" s="2">
        <v>913</v>
      </c>
      <c r="L19396" s="2">
        <v>1264</v>
      </c>
    </row>
    <row r="19397" spans="1:12" x14ac:dyDescent="0.25">
      <c r="A19397" s="4" t="str">
        <f>HYPERLINK("http://www.rosaceae.org/Prunus/Prunus_persica/p.persica_gdr_reftransV1_0025952","p.persica_gdr_reftransV1_0025952")</f>
        <v>p.persica_gdr_reftransV1_0025952</v>
      </c>
      <c r="B19397" s="2">
        <v>1634</v>
      </c>
      <c r="C19397" s="4" t="str">
        <f>HYPERLINK("http://www.uniprot.org/uniprot/M5WUI3","M5WUI3")</f>
        <v>M5WUI3</v>
      </c>
      <c r="D19397" s="2" t="s">
        <v>14856</v>
      </c>
      <c r="E19397" s="3">
        <v>0</v>
      </c>
      <c r="F19397" s="2">
        <v>1607</v>
      </c>
      <c r="G19397" s="2">
        <v>100</v>
      </c>
      <c r="H19397" s="2">
        <v>378</v>
      </c>
      <c r="I19397" s="2">
        <v>249</v>
      </c>
      <c r="J19397" s="2">
        <v>1382</v>
      </c>
      <c r="K19397" s="2">
        <v>1</v>
      </c>
      <c r="L19397" s="2">
        <v>378</v>
      </c>
    </row>
    <row r="19398" spans="1:12" x14ac:dyDescent="0.25">
      <c r="A19398" s="4" t="str">
        <f>HYPERLINK("http://www.rosaceae.org/Prunus/Prunus_persica/p.persica_gdr_reftransV1_0029102","p.persica_gdr_reftransV1_0029102")</f>
        <v>p.persica_gdr_reftransV1_0029102</v>
      </c>
      <c r="B19398" s="2">
        <v>2238</v>
      </c>
      <c r="C19398" s="4" t="str">
        <f>HYPERLINK("http://www.uniprot.org/uniprot/W9RP13","W9RP13")</f>
        <v>W9RP13</v>
      </c>
      <c r="D19398" s="2" t="s">
        <v>14857</v>
      </c>
      <c r="E19398" s="3">
        <v>0</v>
      </c>
      <c r="F19398" s="2">
        <v>1992</v>
      </c>
      <c r="G19398" s="2">
        <v>78</v>
      </c>
      <c r="H19398" s="2">
        <v>458</v>
      </c>
      <c r="I19398" s="2">
        <v>793</v>
      </c>
      <c r="J19398" s="2">
        <v>2166</v>
      </c>
      <c r="K19398" s="2">
        <v>214</v>
      </c>
      <c r="L19398" s="2">
        <v>671</v>
      </c>
    </row>
    <row r="19399" spans="1:12" x14ac:dyDescent="0.25">
      <c r="A19399" s="4" t="str">
        <f>HYPERLINK("http://www.rosaceae.org/Prunus/Prunus_persica/p.persica_gdr_reftransV1_0029452","p.persica_gdr_reftransV1_0029452")</f>
        <v>p.persica_gdr_reftransV1_0029452</v>
      </c>
      <c r="B19399" s="2">
        <v>2304</v>
      </c>
      <c r="C19399" s="4" t="str">
        <f>HYPERLINK("http://www.uniprot.org/uniprot/B9SLF1","B9SLF1")</f>
        <v>B9SLF1</v>
      </c>
      <c r="D19399" s="2" t="s">
        <v>14858</v>
      </c>
      <c r="E19399" s="3">
        <v>0</v>
      </c>
      <c r="F19399" s="2">
        <v>1502</v>
      </c>
      <c r="G19399" s="2">
        <v>73</v>
      </c>
      <c r="H19399" s="2">
        <v>477</v>
      </c>
      <c r="I19399" s="2">
        <v>229</v>
      </c>
      <c r="J19399" s="2">
        <v>1638</v>
      </c>
      <c r="K19399" s="2">
        <v>107</v>
      </c>
      <c r="L19399" s="2">
        <v>582</v>
      </c>
    </row>
    <row r="19400" spans="1:12" x14ac:dyDescent="0.25">
      <c r="A19400" s="4" t="str">
        <f>HYPERLINK("http://www.rosaceae.org/Prunus/Prunus_persica/p.persica_gdr_reftransV1_0031202","p.persica_gdr_reftransV1_0031202")</f>
        <v>p.persica_gdr_reftransV1_0031202</v>
      </c>
      <c r="B19400" s="2">
        <v>1753</v>
      </c>
      <c r="C19400" s="4" t="str">
        <f>HYPERLINK("http://www.uniprot.org/uniprot/M5WUM8","M5WUM8")</f>
        <v>M5WUM8</v>
      </c>
      <c r="D19400" s="2" t="s">
        <v>14859</v>
      </c>
      <c r="E19400" s="3">
        <v>0</v>
      </c>
      <c r="F19400" s="2">
        <v>1363</v>
      </c>
      <c r="G19400" s="2">
        <v>98</v>
      </c>
      <c r="H19400" s="2">
        <v>309</v>
      </c>
      <c r="I19400" s="2">
        <v>602</v>
      </c>
      <c r="J19400" s="2">
        <v>1528</v>
      </c>
      <c r="K19400" s="2">
        <v>1</v>
      </c>
      <c r="L19400" s="2">
        <v>309</v>
      </c>
    </row>
    <row r="19401" spans="1:12" x14ac:dyDescent="0.25">
      <c r="A19401" s="4" t="str">
        <f>HYPERLINK("http://www.rosaceae.org/Prunus/Prunus_persica/p.persica_gdr_reftransV1_0031552","p.persica_gdr_reftransV1_0031552")</f>
        <v>p.persica_gdr_reftransV1_0031552</v>
      </c>
      <c r="B19401" s="2">
        <v>3780</v>
      </c>
      <c r="C19401" s="4" t="str">
        <f>HYPERLINK("http://www.uniprot.org/uniprot/M5XMA0","M5XMA0")</f>
        <v>M5XMA0</v>
      </c>
      <c r="D19401" s="2" t="s">
        <v>2430</v>
      </c>
      <c r="E19401" s="3">
        <v>0</v>
      </c>
      <c r="F19401" s="2">
        <v>1699</v>
      </c>
      <c r="G19401" s="2">
        <v>98</v>
      </c>
      <c r="H19401" s="2">
        <v>345</v>
      </c>
      <c r="I19401" s="2">
        <v>2550</v>
      </c>
      <c r="J19401" s="2">
        <v>3584</v>
      </c>
      <c r="K19401" s="2">
        <v>1</v>
      </c>
      <c r="L19401" s="2">
        <v>345</v>
      </c>
    </row>
    <row r="19402" spans="1:12" x14ac:dyDescent="0.25">
      <c r="A19402" s="4" t="str">
        <f>HYPERLINK("http://www.rosaceae.org/Prunus/Prunus_persica/p.persica_gdr_reftransV1_0032252","p.persica_gdr_reftransV1_0032252")</f>
        <v>p.persica_gdr_reftransV1_0032252</v>
      </c>
      <c r="B19402" s="2">
        <v>3184</v>
      </c>
      <c r="C19402" s="4" t="str">
        <f>HYPERLINK("http://www.uniprot.org/uniprot/M5VMW7","M5VMW7")</f>
        <v>M5VMW7</v>
      </c>
      <c r="D19402" s="2" t="s">
        <v>14860</v>
      </c>
      <c r="E19402" s="3">
        <v>0</v>
      </c>
      <c r="F19402" s="2">
        <v>1721</v>
      </c>
      <c r="G19402" s="2">
        <v>99</v>
      </c>
      <c r="H19402" s="2">
        <v>324</v>
      </c>
      <c r="I19402" s="2">
        <v>1813</v>
      </c>
      <c r="J19402" s="2">
        <v>2784</v>
      </c>
      <c r="K19402" s="2">
        <v>1</v>
      </c>
      <c r="L19402" s="2">
        <v>324</v>
      </c>
    </row>
    <row r="19403" spans="1:12" x14ac:dyDescent="0.25">
      <c r="A19403" s="4" t="str">
        <f>HYPERLINK("http://www.rosaceae.org/Prunus/Prunus_persica/p.persica_gdr_reftransV1_0032602","p.persica_gdr_reftransV1_0032602")</f>
        <v>p.persica_gdr_reftransV1_0032602</v>
      </c>
      <c r="B19403" s="2">
        <v>2187</v>
      </c>
      <c r="C19403" s="4" t="str">
        <f>HYPERLINK("http://www.uniprot.org/uniprot/M5XXY4","M5XXY4")</f>
        <v>M5XXY4</v>
      </c>
      <c r="D19403" s="2" t="s">
        <v>14861</v>
      </c>
      <c r="E19403" s="3">
        <v>0</v>
      </c>
      <c r="F19403" s="2">
        <v>1909</v>
      </c>
      <c r="G19403" s="2">
        <v>99</v>
      </c>
      <c r="H19403" s="2">
        <v>454</v>
      </c>
      <c r="I19403" s="2">
        <v>824</v>
      </c>
      <c r="J19403" s="2">
        <v>2185</v>
      </c>
      <c r="K19403" s="2">
        <v>3</v>
      </c>
      <c r="L19403" s="2">
        <v>456</v>
      </c>
    </row>
    <row r="19404" spans="1:12" x14ac:dyDescent="0.25">
      <c r="A19404" s="4" t="str">
        <f>HYPERLINK("http://www.rosaceae.org/Prunus/Prunus_persica/p.persica_gdr_reftransV1_0032952","p.persica_gdr_reftransV1_0032952")</f>
        <v>p.persica_gdr_reftransV1_0032952</v>
      </c>
      <c r="B19404" s="2">
        <v>1604</v>
      </c>
      <c r="C19404" s="4" t="str">
        <f>HYPERLINK("http://www.uniprot.org/uniprot/M5WGV8","M5WGV8")</f>
        <v>M5WGV8</v>
      </c>
      <c r="D19404" s="2" t="s">
        <v>14862</v>
      </c>
      <c r="E19404" s="3">
        <v>0</v>
      </c>
      <c r="F19404" s="2">
        <v>2534</v>
      </c>
      <c r="G19404" s="2">
        <v>100</v>
      </c>
      <c r="H19404" s="2">
        <v>494</v>
      </c>
      <c r="I19404" s="2">
        <v>86</v>
      </c>
      <c r="J19404" s="2">
        <v>1567</v>
      </c>
      <c r="K19404" s="2">
        <v>1</v>
      </c>
      <c r="L19404" s="2">
        <v>494</v>
      </c>
    </row>
    <row r="19405" spans="1:12" x14ac:dyDescent="0.25">
      <c r="A19405" s="4" t="str">
        <f>HYPERLINK("http://www.rosaceae.org/Prunus/Prunus_persica/p.persica_gdr_reftransV1_0033652","p.persica_gdr_reftransV1_0033652")</f>
        <v>p.persica_gdr_reftransV1_0033652</v>
      </c>
      <c r="B19405" s="2">
        <v>1140</v>
      </c>
      <c r="C19405" s="4" t="str">
        <f>HYPERLINK("http://www.uniprot.org/uniprot/M5WTC2","M5WTC2")</f>
        <v>M5WTC2</v>
      </c>
      <c r="D19405" s="2" t="s">
        <v>14863</v>
      </c>
      <c r="E19405" s="3">
        <v>2.3300000000000001E-176</v>
      </c>
      <c r="F19405" s="2">
        <v>1299</v>
      </c>
      <c r="G19405" s="2">
        <v>100</v>
      </c>
      <c r="H19405" s="2">
        <v>297</v>
      </c>
      <c r="I19405" s="2">
        <v>108</v>
      </c>
      <c r="J19405" s="2">
        <v>998</v>
      </c>
      <c r="K19405" s="2">
        <v>1</v>
      </c>
      <c r="L19405" s="2">
        <v>297</v>
      </c>
    </row>
    <row r="19406" spans="1:12" x14ac:dyDescent="0.25">
      <c r="A19406" s="4" t="str">
        <f>HYPERLINK("http://www.rosaceae.org/Prunus/Prunus_persica/p.persica_gdr_reftransV1_0035052","p.persica_gdr_reftransV1_0035052")</f>
        <v>p.persica_gdr_reftransV1_0035052</v>
      </c>
      <c r="B19406" s="2">
        <v>1190</v>
      </c>
      <c r="C19406" s="4" t="str">
        <f>HYPERLINK("http://www.uniprot.org/uniprot/M5WV54","M5WV54")</f>
        <v>M5WV54</v>
      </c>
      <c r="D19406" s="2" t="s">
        <v>14864</v>
      </c>
      <c r="E19406" s="3">
        <v>0</v>
      </c>
      <c r="F19406" s="2">
        <v>1446</v>
      </c>
      <c r="G19406" s="2">
        <v>100</v>
      </c>
      <c r="H19406" s="2">
        <v>268</v>
      </c>
      <c r="I19406" s="2">
        <v>140</v>
      </c>
      <c r="J19406" s="2">
        <v>943</v>
      </c>
      <c r="K19406" s="2">
        <v>1</v>
      </c>
      <c r="L19406" s="2">
        <v>268</v>
      </c>
    </row>
    <row r="19407" spans="1:12" x14ac:dyDescent="0.25">
      <c r="A19407" s="4" t="str">
        <f>HYPERLINK("http://www.rosaceae.org/Prunus/Prunus_persica/p.persica_gdr_reftransV1_0035752","p.persica_gdr_reftransV1_0035752")</f>
        <v>p.persica_gdr_reftransV1_0035752</v>
      </c>
      <c r="B19407" s="2">
        <v>2518</v>
      </c>
      <c r="C19407" s="4" t="str">
        <f>HYPERLINK("http://www.uniprot.org/uniprot/H2BDK2","H2BDK2")</f>
        <v>H2BDK2</v>
      </c>
      <c r="D19407" s="2" t="s">
        <v>14865</v>
      </c>
      <c r="E19407" s="3">
        <v>2.3999999999999999E-49</v>
      </c>
      <c r="F19407" s="2">
        <v>460</v>
      </c>
      <c r="G19407" s="2">
        <v>100</v>
      </c>
      <c r="H19407" s="2">
        <v>106</v>
      </c>
      <c r="I19407" s="2">
        <v>842</v>
      </c>
      <c r="J19407" s="2">
        <v>1159</v>
      </c>
      <c r="K19407" s="2">
        <v>119</v>
      </c>
      <c r="L19407" s="2">
        <v>224</v>
      </c>
    </row>
    <row r="19408" spans="1:12" x14ac:dyDescent="0.25">
      <c r="A19408" s="4" t="str">
        <f>HYPERLINK("http://www.rosaceae.org/Prunus/Prunus_persica/p.persica_gdr_reftransV1_0038202","p.persica_gdr_reftransV1_0038202")</f>
        <v>p.persica_gdr_reftransV1_0038202</v>
      </c>
      <c r="B19408" s="2">
        <v>3347</v>
      </c>
      <c r="C19408" s="4" t="str">
        <f>HYPERLINK("http://www.uniprot.org/uniprot/M5X2C2","M5X2C2")</f>
        <v>M5X2C2</v>
      </c>
      <c r="D19408" s="2" t="s">
        <v>14866</v>
      </c>
      <c r="E19408" s="3">
        <v>0</v>
      </c>
      <c r="F19408" s="2">
        <v>1833</v>
      </c>
      <c r="G19408" s="2">
        <v>100</v>
      </c>
      <c r="H19408" s="2">
        <v>427</v>
      </c>
      <c r="I19408" s="2">
        <v>268</v>
      </c>
      <c r="J19408" s="2">
        <v>1548</v>
      </c>
      <c r="K19408" s="2">
        <v>1</v>
      </c>
      <c r="L19408" s="2">
        <v>427</v>
      </c>
    </row>
    <row r="19409" spans="1:12" x14ac:dyDescent="0.25">
      <c r="A19409" s="4" t="str">
        <f>HYPERLINK("http://www.rosaceae.org/Prunus/Prunus_persica/p.persica_gdr_reftransV1_0041002","p.persica_gdr_reftransV1_0041002")</f>
        <v>p.persica_gdr_reftransV1_0041002</v>
      </c>
      <c r="B19409" s="2">
        <v>3061</v>
      </c>
      <c r="C19409" s="4" t="str">
        <f>HYPERLINK("http://www.uniprot.org/uniprot/M5XUD3","M5XUD3")</f>
        <v>M5XUD3</v>
      </c>
      <c r="D19409" s="2" t="s">
        <v>14867</v>
      </c>
      <c r="E19409" s="3">
        <v>0</v>
      </c>
      <c r="F19409" s="2">
        <v>4124</v>
      </c>
      <c r="G19409" s="2">
        <v>97</v>
      </c>
      <c r="H19409" s="2">
        <v>828</v>
      </c>
      <c r="I19409" s="2">
        <v>300</v>
      </c>
      <c r="J19409" s="2">
        <v>2783</v>
      </c>
      <c r="K19409" s="2">
        <v>1</v>
      </c>
      <c r="L19409" s="2">
        <v>808</v>
      </c>
    </row>
    <row r="19410" spans="1:12" x14ac:dyDescent="0.25">
      <c r="A19410" s="4" t="str">
        <f>HYPERLINK("http://www.rosaceae.org/Prunus/Prunus_persica/p.persica_gdr_reftransV1_0043102","p.persica_gdr_reftransV1_0043102")</f>
        <v>p.persica_gdr_reftransV1_0043102</v>
      </c>
      <c r="B19410" s="2">
        <v>655</v>
      </c>
      <c r="C19410" s="4" t="str">
        <f>HYPERLINK("http://www.uniprot.org/uniprot/M5Y3A1","M5Y3A1")</f>
        <v>M5Y3A1</v>
      </c>
      <c r="D19410" s="2" t="s">
        <v>12723</v>
      </c>
      <c r="E19410" s="3">
        <v>5.3799999999999999E-79</v>
      </c>
      <c r="F19410" s="2">
        <v>623</v>
      </c>
      <c r="G19410" s="2">
        <v>100</v>
      </c>
      <c r="H19410" s="2">
        <v>122</v>
      </c>
      <c r="I19410" s="2">
        <v>54</v>
      </c>
      <c r="J19410" s="2">
        <v>419</v>
      </c>
      <c r="K19410" s="2">
        <v>11</v>
      </c>
      <c r="L19410" s="2">
        <v>132</v>
      </c>
    </row>
    <row r="19411" spans="1:12" x14ac:dyDescent="0.25">
      <c r="A19411" s="4" t="str">
        <f>HYPERLINK("http://www.rosaceae.org/Prunus/Prunus_persica/p.persica_gdr_reftransV1_0043452","p.persica_gdr_reftransV1_0043452")</f>
        <v>p.persica_gdr_reftransV1_0043452</v>
      </c>
      <c r="B19411" s="2">
        <v>1378</v>
      </c>
      <c r="C19411" s="4" t="str">
        <f>HYPERLINK("http://www.uniprot.org/uniprot/M5VH22","M5VH22")</f>
        <v>M5VH22</v>
      </c>
      <c r="D19411" s="2" t="s">
        <v>5427</v>
      </c>
      <c r="E19411" s="3">
        <v>0</v>
      </c>
      <c r="F19411" s="2">
        <v>1778</v>
      </c>
      <c r="G19411" s="2">
        <v>93</v>
      </c>
      <c r="H19411" s="2">
        <v>364</v>
      </c>
      <c r="I19411" s="2">
        <v>79</v>
      </c>
      <c r="J19411" s="2">
        <v>1089</v>
      </c>
      <c r="K19411" s="2">
        <v>1</v>
      </c>
      <c r="L19411" s="2">
        <v>364</v>
      </c>
    </row>
    <row r="19412" spans="1:12" x14ac:dyDescent="0.25">
      <c r="A19412" s="4" t="str">
        <f>HYPERLINK("http://www.rosaceae.org/Prunus/Prunus_persica/p.persica_gdr_reftransV1_0043802","p.persica_gdr_reftransV1_0043802")</f>
        <v>p.persica_gdr_reftransV1_0043802</v>
      </c>
      <c r="B19412" s="2">
        <v>1392</v>
      </c>
      <c r="C19412" s="4" t="str">
        <f>HYPERLINK("http://www.uniprot.org/uniprot/M5W9L0","M5W9L0")</f>
        <v>M5W9L0</v>
      </c>
      <c r="D19412" s="2" t="s">
        <v>14868</v>
      </c>
      <c r="E19412" s="3">
        <v>0</v>
      </c>
      <c r="F19412" s="2">
        <v>1788</v>
      </c>
      <c r="G19412" s="2">
        <v>100</v>
      </c>
      <c r="H19412" s="2">
        <v>356</v>
      </c>
      <c r="I19412" s="2">
        <v>324</v>
      </c>
      <c r="J19412" s="2">
        <v>1391</v>
      </c>
      <c r="K19412" s="2">
        <v>177</v>
      </c>
      <c r="L19412" s="2">
        <v>532</v>
      </c>
    </row>
    <row r="19413" spans="1:12" x14ac:dyDescent="0.25">
      <c r="A19413" s="4" t="str">
        <f>HYPERLINK("http://www.rosaceae.org/Prunus/Prunus_persica/p.persica_gdr_reftransV1_0044152","p.persica_gdr_reftransV1_0044152")</f>
        <v>p.persica_gdr_reftransV1_0044152</v>
      </c>
      <c r="B19413" s="2">
        <v>1558</v>
      </c>
      <c r="C19413" s="4" t="str">
        <f>HYPERLINK("http://www.uniprot.org/uniprot/M5X9A3","M5X9A3")</f>
        <v>M5X9A3</v>
      </c>
      <c r="D19413" s="2" t="s">
        <v>10745</v>
      </c>
      <c r="E19413" s="3">
        <v>8.2800000000000002E-81</v>
      </c>
      <c r="F19413" s="2">
        <v>671</v>
      </c>
      <c r="G19413" s="2">
        <v>100</v>
      </c>
      <c r="H19413" s="2">
        <v>216</v>
      </c>
      <c r="I19413" s="2">
        <v>857</v>
      </c>
      <c r="J19413" s="2">
        <v>1504</v>
      </c>
      <c r="K19413" s="2">
        <v>1</v>
      </c>
      <c r="L19413" s="2">
        <v>216</v>
      </c>
    </row>
    <row r="19414" spans="1:12" x14ac:dyDescent="0.25">
      <c r="A19414" s="4" t="str">
        <f>HYPERLINK("http://www.rosaceae.org/Prunus/Prunus_persica/p.persica_gdr_reftransV1_0044502","p.persica_gdr_reftransV1_0044502")</f>
        <v>p.persica_gdr_reftransV1_0044502</v>
      </c>
      <c r="B19414" s="2">
        <v>916</v>
      </c>
      <c r="C19414" s="4" t="str">
        <f>HYPERLINK("http://www.uniprot.org/uniprot/M5WQ90","M5WQ90")</f>
        <v>M5WQ90</v>
      </c>
      <c r="D19414" s="2" t="s">
        <v>14118</v>
      </c>
      <c r="E19414" s="3">
        <v>3.2100000000000001E-153</v>
      </c>
      <c r="F19414" s="2">
        <v>1141</v>
      </c>
      <c r="G19414" s="2">
        <v>100</v>
      </c>
      <c r="H19414" s="2">
        <v>224</v>
      </c>
      <c r="I19414" s="2">
        <v>218</v>
      </c>
      <c r="J19414" s="2">
        <v>889</v>
      </c>
      <c r="K19414" s="2">
        <v>1</v>
      </c>
      <c r="L19414" s="2">
        <v>224</v>
      </c>
    </row>
    <row r="19415" spans="1:12" x14ac:dyDescent="0.25">
      <c r="A19415" s="4" t="str">
        <f>HYPERLINK("http://www.rosaceae.org/Prunus/Prunus_persica/p.persica_gdr_reftransV1_0044852","p.persica_gdr_reftransV1_0044852")</f>
        <v>p.persica_gdr_reftransV1_0044852</v>
      </c>
      <c r="B19415" s="2">
        <v>1473</v>
      </c>
      <c r="C19415" s="4" t="str">
        <f>HYPERLINK("http://www.uniprot.org/uniprot/H6SV49","H6SV49")</f>
        <v>H6SV49</v>
      </c>
      <c r="D19415" s="2" t="s">
        <v>14869</v>
      </c>
      <c r="E19415" s="3">
        <v>0</v>
      </c>
      <c r="F19415" s="2">
        <v>1865</v>
      </c>
      <c r="G19415" s="2">
        <v>100</v>
      </c>
      <c r="H19415" s="2">
        <v>346</v>
      </c>
      <c r="I19415" s="2">
        <v>365</v>
      </c>
      <c r="J19415" s="2">
        <v>1402</v>
      </c>
      <c r="K19415" s="2">
        <v>1</v>
      </c>
      <c r="L19415" s="2">
        <v>346</v>
      </c>
    </row>
    <row r="19416" spans="1:12" x14ac:dyDescent="0.25">
      <c r="A19416" s="4" t="str">
        <f>HYPERLINK("http://www.rosaceae.org/Prunus/Prunus_persica/p.persica_gdr_reftransV1_0045202","p.persica_gdr_reftransV1_0045202")</f>
        <v>p.persica_gdr_reftransV1_0045202</v>
      </c>
      <c r="B19416" s="2">
        <v>1351</v>
      </c>
      <c r="C19416" s="4" t="str">
        <f>HYPERLINK("http://www.uniprot.org/uniprot/M5XHC7","M5XHC7")</f>
        <v>M5XHC7</v>
      </c>
      <c r="D19416" s="2" t="s">
        <v>11711</v>
      </c>
      <c r="E19416" s="3">
        <v>0</v>
      </c>
      <c r="F19416" s="2">
        <v>1854</v>
      </c>
      <c r="G19416" s="2">
        <v>100</v>
      </c>
      <c r="H19416" s="2">
        <v>343</v>
      </c>
      <c r="I19416" s="2">
        <v>3</v>
      </c>
      <c r="J19416" s="2">
        <v>1031</v>
      </c>
      <c r="K19416" s="2">
        <v>292</v>
      </c>
      <c r="L19416" s="2">
        <v>634</v>
      </c>
    </row>
    <row r="19417" spans="1:12" x14ac:dyDescent="0.25">
      <c r="A19417" s="4" t="str">
        <f>HYPERLINK("http://www.rosaceae.org/Prunus/Prunus_persica/p.persica_gdr_reftransV1_0045902","p.persica_gdr_reftransV1_0045902")</f>
        <v>p.persica_gdr_reftransV1_0045902</v>
      </c>
      <c r="B19417" s="2">
        <v>650</v>
      </c>
      <c r="C19417" s="4" t="str">
        <f>HYPERLINK("http://www.uniprot.org/uniprot/M5X315","M5X315")</f>
        <v>M5X315</v>
      </c>
      <c r="D19417" s="2" t="s">
        <v>10326</v>
      </c>
      <c r="E19417" s="3">
        <v>1.0899999999999999E-50</v>
      </c>
      <c r="F19417" s="2">
        <v>451</v>
      </c>
      <c r="G19417" s="2">
        <v>100</v>
      </c>
      <c r="H19417" s="2">
        <v>112</v>
      </c>
      <c r="I19417" s="2">
        <v>99</v>
      </c>
      <c r="J19417" s="2">
        <v>434</v>
      </c>
      <c r="K19417" s="2">
        <v>25</v>
      </c>
      <c r="L19417" s="2">
        <v>136</v>
      </c>
    </row>
    <row r="19418" spans="1:12" x14ac:dyDescent="0.25">
      <c r="A19418" s="4" t="str">
        <f>HYPERLINK("http://www.rosaceae.org/Prunus/Prunus_persica/p.persica_gdr_reftransV1_0046252","p.persica_gdr_reftransV1_0046252")</f>
        <v>p.persica_gdr_reftransV1_0046252</v>
      </c>
      <c r="B19418" s="2">
        <v>323</v>
      </c>
      <c r="C19418" s="4" t="str">
        <f>HYPERLINK("http://www.uniprot.org/uniprot/M5VRQ3","M5VRQ3")</f>
        <v>M5VRQ3</v>
      </c>
      <c r="D19418" s="2" t="s">
        <v>8948</v>
      </c>
      <c r="E19418" s="3">
        <v>5.9899999999999999E-62</v>
      </c>
      <c r="F19418" s="2">
        <v>497</v>
      </c>
      <c r="G19418" s="2">
        <v>97</v>
      </c>
      <c r="H19418" s="2">
        <v>98</v>
      </c>
      <c r="I19418" s="2">
        <v>28</v>
      </c>
      <c r="J19418" s="2">
        <v>321</v>
      </c>
      <c r="K19418" s="2">
        <v>9</v>
      </c>
      <c r="L19418" s="2">
        <v>106</v>
      </c>
    </row>
    <row r="19419" spans="1:12" x14ac:dyDescent="0.25">
      <c r="A19419" s="4" t="str">
        <f>HYPERLINK("http://www.rosaceae.org/Prunus/Prunus_persica/p.persica_gdr_reftransV1_0046952","p.persica_gdr_reftransV1_0046952")</f>
        <v>p.persica_gdr_reftransV1_0046952</v>
      </c>
      <c r="B19419" s="2">
        <v>2128</v>
      </c>
      <c r="C19419" s="4" t="str">
        <f>HYPERLINK("http://www.uniprot.org/uniprot/M5W4E3","M5W4E3")</f>
        <v>M5W4E3</v>
      </c>
      <c r="D19419" s="2" t="s">
        <v>2072</v>
      </c>
      <c r="E19419" s="3">
        <v>0</v>
      </c>
      <c r="F19419" s="2">
        <v>2586</v>
      </c>
      <c r="G19419" s="2">
        <v>100</v>
      </c>
      <c r="H19419" s="2">
        <v>505</v>
      </c>
      <c r="I19419" s="2">
        <v>188</v>
      </c>
      <c r="J19419" s="2">
        <v>1702</v>
      </c>
      <c r="K19419" s="2">
        <v>1</v>
      </c>
      <c r="L19419" s="2">
        <v>505</v>
      </c>
    </row>
    <row r="19420" spans="1:12" x14ac:dyDescent="0.25">
      <c r="A19420" s="4" t="str">
        <f>HYPERLINK("http://www.rosaceae.org/Prunus/Prunus_persica/p.persica_gdr_reftransV1_0047652","p.persica_gdr_reftransV1_0047652")</f>
        <v>p.persica_gdr_reftransV1_0047652</v>
      </c>
      <c r="B19420" s="2">
        <v>362</v>
      </c>
      <c r="C19420" s="4" t="str">
        <f>HYPERLINK("http://www.uniprot.org/uniprot/M5WGU9","M5WGU9")</f>
        <v>M5WGU9</v>
      </c>
      <c r="D19420" s="2" t="s">
        <v>14870</v>
      </c>
      <c r="E19420" s="3">
        <v>1.6700000000000001E-76</v>
      </c>
      <c r="F19420" s="2">
        <v>627</v>
      </c>
      <c r="G19420" s="2">
        <v>100</v>
      </c>
      <c r="H19420" s="2">
        <v>120</v>
      </c>
      <c r="I19420" s="2">
        <v>2</v>
      </c>
      <c r="J19420" s="2">
        <v>361</v>
      </c>
      <c r="K19420" s="2">
        <v>249</v>
      </c>
      <c r="L19420" s="2">
        <v>368</v>
      </c>
    </row>
    <row r="19421" spans="1:12" x14ac:dyDescent="0.25">
      <c r="A19421" s="4" t="str">
        <f>HYPERLINK("http://www.rosaceae.org/Prunus/Prunus_persica/p.persica_gdr_reftransV1_0048002","p.persica_gdr_reftransV1_0048002")</f>
        <v>p.persica_gdr_reftransV1_0048002</v>
      </c>
      <c r="B19421" s="2">
        <v>480</v>
      </c>
      <c r="C19421" s="4" t="str">
        <f>HYPERLINK("http://www.uniprot.org/uniprot/M5W6C8","M5W6C8")</f>
        <v>M5W6C8</v>
      </c>
      <c r="D19421" s="2" t="s">
        <v>4488</v>
      </c>
      <c r="E19421" s="3">
        <v>5.1999999999999997E-57</v>
      </c>
      <c r="F19421" s="2">
        <v>511</v>
      </c>
      <c r="G19421" s="2">
        <v>100</v>
      </c>
      <c r="H19421" s="2">
        <v>122</v>
      </c>
      <c r="I19421" s="2">
        <v>1</v>
      </c>
      <c r="J19421" s="2">
        <v>366</v>
      </c>
      <c r="K19421" s="2">
        <v>714</v>
      </c>
      <c r="L19421" s="2">
        <v>835</v>
      </c>
    </row>
    <row r="19422" spans="1:12" x14ac:dyDescent="0.25">
      <c r="A19422" s="4" t="str">
        <f>HYPERLINK("http://www.rosaceae.org/Prunus/Prunus_persica/p.persica_gdr_reftransV1_0048352","p.persica_gdr_reftransV1_0048352")</f>
        <v>p.persica_gdr_reftransV1_0048352</v>
      </c>
      <c r="B19422" s="2">
        <v>560</v>
      </c>
      <c r="C19422" s="4" t="str">
        <f>HYPERLINK("http://www.uniprot.org/uniprot/M5X383","M5X383")</f>
        <v>M5X383</v>
      </c>
      <c r="D19422" s="2" t="s">
        <v>14871</v>
      </c>
      <c r="E19422" s="3">
        <v>1.6499999999999999E-81</v>
      </c>
      <c r="F19422" s="2">
        <v>693</v>
      </c>
      <c r="G19422" s="2">
        <v>77</v>
      </c>
      <c r="H19422" s="2">
        <v>184</v>
      </c>
      <c r="I19422" s="2">
        <v>1</v>
      </c>
      <c r="J19422" s="2">
        <v>552</v>
      </c>
      <c r="K19422" s="2">
        <v>674</v>
      </c>
      <c r="L19422" s="2">
        <v>830</v>
      </c>
    </row>
    <row r="19423" spans="1:12" x14ac:dyDescent="0.25">
      <c r="A19423" s="4" t="str">
        <f>HYPERLINK("http://www.rosaceae.org/Prunus/Prunus_persica/p.persica_gdr_reftransV1_0048702","p.persica_gdr_reftransV1_0048702")</f>
        <v>p.persica_gdr_reftransV1_0048702</v>
      </c>
      <c r="B19423" s="2">
        <v>756</v>
      </c>
      <c r="C19423" s="4" t="str">
        <f>HYPERLINK("http://www.uniprot.org/uniprot/M5XBF8","M5XBF8")</f>
        <v>M5XBF8</v>
      </c>
      <c r="D19423" s="2" t="s">
        <v>14872</v>
      </c>
      <c r="E19423" s="3">
        <v>5.5000000000000004E-87</v>
      </c>
      <c r="F19423" s="2">
        <v>715</v>
      </c>
      <c r="G19423" s="2">
        <v>99</v>
      </c>
      <c r="H19423" s="2">
        <v>131</v>
      </c>
      <c r="I19423" s="2">
        <v>144</v>
      </c>
      <c r="J19423" s="2">
        <v>536</v>
      </c>
      <c r="K19423" s="2">
        <v>413</v>
      </c>
      <c r="L19423" s="2">
        <v>543</v>
      </c>
    </row>
    <row r="19424" spans="1:12" x14ac:dyDescent="0.25">
      <c r="A19424" s="4" t="str">
        <f>HYPERLINK("http://www.rosaceae.org/Prunus/Prunus_persica/p.persica_gdr_reftransV1_0000053","p.persica_gdr_reftransV1_0000053")</f>
        <v>p.persica_gdr_reftransV1_0000053</v>
      </c>
      <c r="B19424" s="2">
        <v>1267</v>
      </c>
      <c r="C19424" s="4" t="str">
        <f>HYPERLINK("http://www.uniprot.org/uniprot/M5XJB9","M5XJB9")</f>
        <v>M5XJB9</v>
      </c>
      <c r="D19424" s="2" t="s">
        <v>11098</v>
      </c>
      <c r="E19424" s="3">
        <v>1.6900000000000001E-133</v>
      </c>
      <c r="F19424" s="2">
        <v>1012</v>
      </c>
      <c r="G19424" s="2">
        <v>100</v>
      </c>
      <c r="H19424" s="2">
        <v>194</v>
      </c>
      <c r="I19424" s="2">
        <v>291</v>
      </c>
      <c r="J19424" s="2">
        <v>872</v>
      </c>
      <c r="K19424" s="2">
        <v>1</v>
      </c>
      <c r="L19424" s="2">
        <v>194</v>
      </c>
    </row>
    <row r="19425" spans="1:12" x14ac:dyDescent="0.25">
      <c r="A19425" s="4" t="str">
        <f>HYPERLINK("http://www.rosaceae.org/Prunus/Prunus_persica/p.persica_gdr_reftransV1_0000403","p.persica_gdr_reftransV1_0000403")</f>
        <v>p.persica_gdr_reftransV1_0000403</v>
      </c>
      <c r="B19425" s="2">
        <v>439</v>
      </c>
      <c r="C19425" s="4" t="str">
        <f>HYPERLINK("http://www.uniprot.org/uniprot/M5VQA2","M5VQA2")</f>
        <v>M5VQA2</v>
      </c>
      <c r="D19425" s="2" t="s">
        <v>5234</v>
      </c>
      <c r="E19425" s="3">
        <v>3.21E-58</v>
      </c>
      <c r="F19425" s="2">
        <v>494</v>
      </c>
      <c r="G19425" s="2">
        <v>100</v>
      </c>
      <c r="H19425" s="2">
        <v>146</v>
      </c>
      <c r="I19425" s="2">
        <v>2</v>
      </c>
      <c r="J19425" s="2">
        <v>439</v>
      </c>
      <c r="K19425" s="2">
        <v>92</v>
      </c>
      <c r="L19425" s="2">
        <v>237</v>
      </c>
    </row>
    <row r="19426" spans="1:12" x14ac:dyDescent="0.25">
      <c r="A19426" s="4" t="str">
        <f>HYPERLINK("http://www.rosaceae.org/Prunus/Prunus_persica/p.persica_gdr_reftransV1_0000753","p.persica_gdr_reftransV1_0000753")</f>
        <v>p.persica_gdr_reftransV1_0000753</v>
      </c>
      <c r="B19426" s="2">
        <v>3907</v>
      </c>
      <c r="C19426" s="4" t="str">
        <f>HYPERLINK("http://www.uniprot.org/uniprot/M5X632","M5X632")</f>
        <v>M5X632</v>
      </c>
      <c r="D19426" s="2" t="s">
        <v>3013</v>
      </c>
      <c r="E19426" s="3">
        <v>0</v>
      </c>
      <c r="F19426" s="2">
        <v>3972</v>
      </c>
      <c r="G19426" s="2">
        <v>93</v>
      </c>
      <c r="H19426" s="2">
        <v>830</v>
      </c>
      <c r="I19426" s="2">
        <v>1417</v>
      </c>
      <c r="J19426" s="2">
        <v>3906</v>
      </c>
      <c r="K19426" s="2">
        <v>117</v>
      </c>
      <c r="L19426" s="2">
        <v>889</v>
      </c>
    </row>
    <row r="19427" spans="1:12" x14ac:dyDescent="0.25">
      <c r="A19427" s="4" t="str">
        <f>HYPERLINK("http://www.rosaceae.org/Prunus/Prunus_persica/p.persica_gdr_reftransV1_0001453","p.persica_gdr_reftransV1_0001453")</f>
        <v>p.persica_gdr_reftransV1_0001453</v>
      </c>
      <c r="B19427" s="2">
        <v>1151</v>
      </c>
      <c r="C19427" s="4" t="str">
        <f>HYPERLINK("http://www.uniprot.org/uniprot/M5WUS0","M5WUS0")</f>
        <v>M5WUS0</v>
      </c>
      <c r="D19427" s="2" t="s">
        <v>14873</v>
      </c>
      <c r="E19427" s="3">
        <v>0</v>
      </c>
      <c r="F19427" s="2">
        <v>1349</v>
      </c>
      <c r="G19427" s="2">
        <v>100</v>
      </c>
      <c r="H19427" s="2">
        <v>256</v>
      </c>
      <c r="I19427" s="2">
        <v>120</v>
      </c>
      <c r="J19427" s="2">
        <v>887</v>
      </c>
      <c r="K19427" s="2">
        <v>1</v>
      </c>
      <c r="L19427" s="2">
        <v>256</v>
      </c>
    </row>
    <row r="19428" spans="1:12" x14ac:dyDescent="0.25">
      <c r="A19428" s="4" t="str">
        <f>HYPERLINK("http://www.rosaceae.org/Prunus/Prunus_persica/p.persica_gdr_reftransV1_0002853","p.persica_gdr_reftransV1_0002853")</f>
        <v>p.persica_gdr_reftransV1_0002853</v>
      </c>
      <c r="B19428" s="2">
        <v>1496</v>
      </c>
      <c r="C19428" s="4" t="str">
        <f>HYPERLINK("http://www.uniprot.org/uniprot/M5XDM9","M5XDM9")</f>
        <v>M5XDM9</v>
      </c>
      <c r="D19428" s="2" t="s">
        <v>14874</v>
      </c>
      <c r="E19428" s="3">
        <v>0</v>
      </c>
      <c r="F19428" s="2">
        <v>2085</v>
      </c>
      <c r="G19428" s="2">
        <v>100</v>
      </c>
      <c r="H19428" s="2">
        <v>391</v>
      </c>
      <c r="I19428" s="2">
        <v>81</v>
      </c>
      <c r="J19428" s="2">
        <v>1253</v>
      </c>
      <c r="K19428" s="2">
        <v>1</v>
      </c>
      <c r="L19428" s="2">
        <v>391</v>
      </c>
    </row>
    <row r="19429" spans="1:12" x14ac:dyDescent="0.25">
      <c r="A19429" s="4" t="str">
        <f>HYPERLINK("http://www.rosaceae.org/Prunus/Prunus_persica/p.persica_gdr_reftransV1_0003203","p.persica_gdr_reftransV1_0003203")</f>
        <v>p.persica_gdr_reftransV1_0003203</v>
      </c>
      <c r="B19429" s="2">
        <v>701</v>
      </c>
      <c r="C19429" s="4" t="str">
        <f>HYPERLINK("http://www.uniprot.org/uniprot/M5W510","M5W510")</f>
        <v>M5W510</v>
      </c>
      <c r="D19429" s="2" t="s">
        <v>14875</v>
      </c>
      <c r="E19429" s="3">
        <v>4.91E-143</v>
      </c>
      <c r="F19429" s="2">
        <v>1067</v>
      </c>
      <c r="G19429" s="2">
        <v>96</v>
      </c>
      <c r="H19429" s="2">
        <v>207</v>
      </c>
      <c r="I19429" s="2">
        <v>2</v>
      </c>
      <c r="J19429" s="2">
        <v>622</v>
      </c>
      <c r="K19429" s="2">
        <v>128</v>
      </c>
      <c r="L19429" s="2">
        <v>326</v>
      </c>
    </row>
    <row r="19430" spans="1:12" x14ac:dyDescent="0.25">
      <c r="A19430" s="4" t="str">
        <f>HYPERLINK("http://www.rosaceae.org/Prunus/Prunus_persica/p.persica_gdr_reftransV1_0003903","p.persica_gdr_reftransV1_0003903")</f>
        <v>p.persica_gdr_reftransV1_0003903</v>
      </c>
      <c r="B19430" s="2">
        <v>4852</v>
      </c>
      <c r="C19430" s="4" t="str">
        <f>HYPERLINK("http://www.uniprot.org/uniprot/W9T2P6","W9T2P6")</f>
        <v>W9T2P6</v>
      </c>
      <c r="D19430" s="2" t="s">
        <v>14876</v>
      </c>
      <c r="E19430" s="3">
        <v>0</v>
      </c>
      <c r="F19430" s="2">
        <v>3785</v>
      </c>
      <c r="G19430" s="2">
        <v>59</v>
      </c>
      <c r="H19430" s="2">
        <v>1442</v>
      </c>
      <c r="I19430" s="2">
        <v>372</v>
      </c>
      <c r="J19430" s="2">
        <v>4493</v>
      </c>
      <c r="K19430" s="2">
        <v>27</v>
      </c>
      <c r="L19430" s="2">
        <v>1420</v>
      </c>
    </row>
    <row r="19431" spans="1:12" x14ac:dyDescent="0.25">
      <c r="A19431" s="4" t="str">
        <f>HYPERLINK("http://www.rosaceae.org/Prunus/Prunus_persica/p.persica_gdr_reftransV1_0004253","p.persica_gdr_reftransV1_0004253")</f>
        <v>p.persica_gdr_reftransV1_0004253</v>
      </c>
      <c r="B19431" s="2">
        <v>3304</v>
      </c>
      <c r="C19431" s="4" t="str">
        <f>HYPERLINK("http://www.uniprot.org/uniprot/M5X746","M5X746")</f>
        <v>M5X746</v>
      </c>
      <c r="D19431" s="2" t="s">
        <v>7604</v>
      </c>
      <c r="E19431" s="3">
        <v>0</v>
      </c>
      <c r="F19431" s="2">
        <v>5108</v>
      </c>
      <c r="G19431" s="2">
        <v>100</v>
      </c>
      <c r="H19431" s="2">
        <v>1003</v>
      </c>
      <c r="I19431" s="2">
        <v>14</v>
      </c>
      <c r="J19431" s="2">
        <v>3022</v>
      </c>
      <c r="K19431" s="2">
        <v>1</v>
      </c>
      <c r="L19431" s="2">
        <v>1003</v>
      </c>
    </row>
    <row r="19432" spans="1:12" x14ac:dyDescent="0.25">
      <c r="A19432" s="4" t="str">
        <f>HYPERLINK("http://www.rosaceae.org/Prunus/Prunus_persica/p.persica_gdr_reftransV1_0004603","p.persica_gdr_reftransV1_0004603")</f>
        <v>p.persica_gdr_reftransV1_0004603</v>
      </c>
      <c r="B19432" s="2">
        <v>1788</v>
      </c>
      <c r="C19432" s="4" t="str">
        <f>HYPERLINK("http://www.uniprot.org/uniprot/M5X0F0","M5X0F0")</f>
        <v>M5X0F0</v>
      </c>
      <c r="D19432" s="2" t="s">
        <v>7334</v>
      </c>
      <c r="E19432" s="3">
        <v>0</v>
      </c>
      <c r="F19432" s="2">
        <v>2099</v>
      </c>
      <c r="G19432" s="2">
        <v>100</v>
      </c>
      <c r="H19432" s="2">
        <v>396</v>
      </c>
      <c r="I19432" s="2">
        <v>289</v>
      </c>
      <c r="J19432" s="2">
        <v>1476</v>
      </c>
      <c r="K19432" s="2">
        <v>14</v>
      </c>
      <c r="L19432" s="2">
        <v>409</v>
      </c>
    </row>
    <row r="19433" spans="1:12" x14ac:dyDescent="0.25">
      <c r="A19433" s="4" t="str">
        <f>HYPERLINK("http://www.rosaceae.org/Prunus/Prunus_persica/p.persica_gdr_reftransV1_0006003","p.persica_gdr_reftransV1_0006003")</f>
        <v>p.persica_gdr_reftransV1_0006003</v>
      </c>
      <c r="B19433" s="2">
        <v>839</v>
      </c>
      <c r="C19433" s="4" t="str">
        <f>HYPERLINK("http://www.uniprot.org/uniprot/M5VYU8","M5VYU8")</f>
        <v>M5VYU8</v>
      </c>
      <c r="D19433" s="2" t="s">
        <v>14877</v>
      </c>
      <c r="E19433" s="3">
        <v>0</v>
      </c>
      <c r="F19433" s="2">
        <v>1346</v>
      </c>
      <c r="G19433" s="2">
        <v>93</v>
      </c>
      <c r="H19433" s="2">
        <v>276</v>
      </c>
      <c r="I19433" s="2">
        <v>1</v>
      </c>
      <c r="J19433" s="2">
        <v>774</v>
      </c>
      <c r="K19433" s="2">
        <v>87</v>
      </c>
      <c r="L19433" s="2">
        <v>362</v>
      </c>
    </row>
    <row r="19434" spans="1:12" x14ac:dyDescent="0.25">
      <c r="A19434" s="4" t="str">
        <f>HYPERLINK("http://www.rosaceae.org/Prunus/Prunus_persica/p.persica_gdr_reftransV1_0006703","p.persica_gdr_reftransV1_0006703")</f>
        <v>p.persica_gdr_reftransV1_0006703</v>
      </c>
      <c r="B19434" s="2">
        <v>929</v>
      </c>
      <c r="C19434" s="4" t="str">
        <f>HYPERLINK("http://www.uniprot.org/uniprot/M5WY13","M5WY13")</f>
        <v>M5WY13</v>
      </c>
      <c r="D19434" s="2" t="s">
        <v>14878</v>
      </c>
      <c r="E19434" s="3">
        <v>8.0599999999999999E-148</v>
      </c>
      <c r="F19434" s="2">
        <v>1095</v>
      </c>
      <c r="G19434" s="2">
        <v>98</v>
      </c>
      <c r="H19434" s="2">
        <v>215</v>
      </c>
      <c r="I19434" s="2">
        <v>176</v>
      </c>
      <c r="J19434" s="2">
        <v>811</v>
      </c>
      <c r="K19434" s="2">
        <v>1</v>
      </c>
      <c r="L19434" s="2">
        <v>215</v>
      </c>
    </row>
    <row r="19435" spans="1:12" x14ac:dyDescent="0.25">
      <c r="A19435" s="4" t="str">
        <f>HYPERLINK("http://www.rosaceae.org/Prunus/Prunus_persica/p.persica_gdr_reftransV1_0007053","p.persica_gdr_reftransV1_0007053")</f>
        <v>p.persica_gdr_reftransV1_0007053</v>
      </c>
      <c r="B19435" s="2">
        <v>2581</v>
      </c>
      <c r="C19435" s="4" t="str">
        <f>HYPERLINK("http://www.uniprot.org/uniprot/M5XRA0","M5XRA0")</f>
        <v>M5XRA0</v>
      </c>
      <c r="D19435" s="2" t="s">
        <v>14879</v>
      </c>
      <c r="E19435" s="3">
        <v>1.0799999999999999E-109</v>
      </c>
      <c r="F19435" s="2">
        <v>903</v>
      </c>
      <c r="G19435" s="2">
        <v>99</v>
      </c>
      <c r="H19435" s="2">
        <v>187</v>
      </c>
      <c r="I19435" s="2">
        <v>1078</v>
      </c>
      <c r="J19435" s="2">
        <v>1638</v>
      </c>
      <c r="K19435" s="2">
        <v>159</v>
      </c>
      <c r="L19435" s="2">
        <v>344</v>
      </c>
    </row>
    <row r="19436" spans="1:12" x14ac:dyDescent="0.25">
      <c r="A19436" s="4" t="str">
        <f>HYPERLINK("http://www.rosaceae.org/Prunus/Prunus_persica/p.persica_gdr_reftransV1_0007753","p.persica_gdr_reftransV1_0007753")</f>
        <v>p.persica_gdr_reftransV1_0007753</v>
      </c>
      <c r="B19436" s="2">
        <v>2427</v>
      </c>
      <c r="C19436" s="4" t="str">
        <f>HYPERLINK("http://www.uniprot.org/uniprot/M5WLY7","M5WLY7")</f>
        <v>M5WLY7</v>
      </c>
      <c r="D19436" s="2" t="s">
        <v>14880</v>
      </c>
      <c r="E19436" s="3">
        <v>0</v>
      </c>
      <c r="F19436" s="2">
        <v>3885</v>
      </c>
      <c r="G19436" s="2">
        <v>100</v>
      </c>
      <c r="H19436" s="2">
        <v>744</v>
      </c>
      <c r="I19436" s="2">
        <v>1</v>
      </c>
      <c r="J19436" s="2">
        <v>2232</v>
      </c>
      <c r="K19436" s="2">
        <v>257</v>
      </c>
      <c r="L19436" s="2">
        <v>1000</v>
      </c>
    </row>
    <row r="19437" spans="1:12" x14ac:dyDescent="0.25">
      <c r="A19437" s="4" t="str">
        <f>HYPERLINK("http://www.rosaceae.org/Prunus/Prunus_persica/p.persica_gdr_reftransV1_0008103","p.persica_gdr_reftransV1_0008103")</f>
        <v>p.persica_gdr_reftransV1_0008103</v>
      </c>
      <c r="B19437" s="2">
        <v>1626</v>
      </c>
      <c r="C19437" s="4" t="str">
        <f>HYPERLINK("http://www.uniprot.org/uniprot/M5XPW9","M5XPW9")</f>
        <v>M5XPW9</v>
      </c>
      <c r="D19437" s="2" t="s">
        <v>3721</v>
      </c>
      <c r="E19437" s="3">
        <v>0</v>
      </c>
      <c r="F19437" s="2">
        <v>1946</v>
      </c>
      <c r="G19437" s="2">
        <v>98</v>
      </c>
      <c r="H19437" s="2">
        <v>373</v>
      </c>
      <c r="I19437" s="2">
        <v>138</v>
      </c>
      <c r="J19437" s="2">
        <v>1256</v>
      </c>
      <c r="K19437" s="2">
        <v>61</v>
      </c>
      <c r="L19437" s="2">
        <v>433</v>
      </c>
    </row>
    <row r="19438" spans="1:12" x14ac:dyDescent="0.25">
      <c r="A19438" s="4" t="str">
        <f>HYPERLINK("http://www.rosaceae.org/Prunus/Prunus_persica/p.persica_gdr_reftransV1_0009853","p.persica_gdr_reftransV1_0009853")</f>
        <v>p.persica_gdr_reftransV1_0009853</v>
      </c>
      <c r="B19438" s="2">
        <v>1463</v>
      </c>
      <c r="C19438" s="4" t="str">
        <f>HYPERLINK("http://www.uniprot.org/uniprot/M5XLI5","M5XLI5")</f>
        <v>M5XLI5</v>
      </c>
      <c r="D19438" s="2" t="s">
        <v>7963</v>
      </c>
      <c r="E19438" s="3">
        <v>0</v>
      </c>
      <c r="F19438" s="2">
        <v>1757</v>
      </c>
      <c r="G19438" s="2">
        <v>100</v>
      </c>
      <c r="H19438" s="2">
        <v>347</v>
      </c>
      <c r="I19438" s="2">
        <v>421</v>
      </c>
      <c r="J19438" s="2">
        <v>1461</v>
      </c>
      <c r="K19438" s="2">
        <v>1</v>
      </c>
      <c r="L19438" s="2">
        <v>347</v>
      </c>
    </row>
    <row r="19439" spans="1:12" x14ac:dyDescent="0.25">
      <c r="A19439" s="4" t="str">
        <f>HYPERLINK("http://www.rosaceae.org/Prunus/Prunus_persica/p.persica_gdr_reftransV1_0010553","p.persica_gdr_reftransV1_0010553")</f>
        <v>p.persica_gdr_reftransV1_0010553</v>
      </c>
      <c r="B19439" s="2">
        <v>2867</v>
      </c>
      <c r="C19439" s="4" t="str">
        <f>HYPERLINK("http://www.uniprot.org/uniprot/M5WGM1","M5WGM1")</f>
        <v>M5WGM1</v>
      </c>
      <c r="D19439" s="2" t="s">
        <v>14881</v>
      </c>
      <c r="E19439" s="3">
        <v>0</v>
      </c>
      <c r="F19439" s="2">
        <v>3642</v>
      </c>
      <c r="G19439" s="2">
        <v>100</v>
      </c>
      <c r="H19439" s="2">
        <v>715</v>
      </c>
      <c r="I19439" s="2">
        <v>247</v>
      </c>
      <c r="J19439" s="2">
        <v>2391</v>
      </c>
      <c r="K19439" s="2">
        <v>1</v>
      </c>
      <c r="L19439" s="2">
        <v>715</v>
      </c>
    </row>
    <row r="19440" spans="1:12" x14ac:dyDescent="0.25">
      <c r="A19440" s="4" t="str">
        <f>HYPERLINK("http://www.rosaceae.org/Prunus/Prunus_persica/p.persica_gdr_reftransV1_0010903","p.persica_gdr_reftransV1_0010903")</f>
        <v>p.persica_gdr_reftransV1_0010903</v>
      </c>
      <c r="B19440" s="2">
        <v>1664</v>
      </c>
      <c r="C19440" s="4" t="str">
        <f>HYPERLINK("http://www.uniprot.org/uniprot/M5VZR3","M5VZR3")</f>
        <v>M5VZR3</v>
      </c>
      <c r="D19440" s="2" t="s">
        <v>14882</v>
      </c>
      <c r="E19440" s="3">
        <v>0</v>
      </c>
      <c r="F19440" s="2">
        <v>1765</v>
      </c>
      <c r="G19440" s="2">
        <v>100</v>
      </c>
      <c r="H19440" s="2">
        <v>361</v>
      </c>
      <c r="I19440" s="2">
        <v>188</v>
      </c>
      <c r="J19440" s="2">
        <v>1270</v>
      </c>
      <c r="K19440" s="2">
        <v>1</v>
      </c>
      <c r="L19440" s="2">
        <v>361</v>
      </c>
    </row>
    <row r="19441" spans="1:12" x14ac:dyDescent="0.25">
      <c r="A19441" s="4" t="str">
        <f>HYPERLINK("http://www.rosaceae.org/Prunus/Prunus_persica/p.persica_gdr_reftransV1_0011253","p.persica_gdr_reftransV1_0011253")</f>
        <v>p.persica_gdr_reftransV1_0011253</v>
      </c>
      <c r="B19441" s="2">
        <v>914</v>
      </c>
      <c r="C19441" s="4" t="str">
        <f>HYPERLINK("http://www.uniprot.org/uniprot/M5WAX3","M5WAX3")</f>
        <v>M5WAX3</v>
      </c>
      <c r="D19441" s="2" t="s">
        <v>14883</v>
      </c>
      <c r="E19441" s="3">
        <v>2.8099999999999999E-92</v>
      </c>
      <c r="F19441" s="2">
        <v>720</v>
      </c>
      <c r="G19441" s="2">
        <v>100</v>
      </c>
      <c r="H19441" s="2">
        <v>135</v>
      </c>
      <c r="I19441" s="2">
        <v>120</v>
      </c>
      <c r="J19441" s="2">
        <v>524</v>
      </c>
      <c r="K19441" s="2">
        <v>1</v>
      </c>
      <c r="L19441" s="2">
        <v>135</v>
      </c>
    </row>
    <row r="19442" spans="1:12" x14ac:dyDescent="0.25">
      <c r="A19442" s="4" t="str">
        <f>HYPERLINK("http://www.rosaceae.org/Prunus/Prunus_persica/p.persica_gdr_reftransV1_0011603","p.persica_gdr_reftransV1_0011603")</f>
        <v>p.persica_gdr_reftransV1_0011603</v>
      </c>
      <c r="B19442" s="2">
        <v>963</v>
      </c>
      <c r="C19442" s="4" t="str">
        <f>HYPERLINK("http://www.uniprot.org/uniprot/M5XT64","M5XT64")</f>
        <v>M5XT64</v>
      </c>
      <c r="D19442" s="2" t="s">
        <v>14884</v>
      </c>
      <c r="E19442" s="3">
        <v>6.4000000000000003E-100</v>
      </c>
      <c r="F19442" s="2">
        <v>774</v>
      </c>
      <c r="G19442" s="2">
        <v>100</v>
      </c>
      <c r="H19442" s="2">
        <v>149</v>
      </c>
      <c r="I19442" s="2">
        <v>420</v>
      </c>
      <c r="J19442" s="2">
        <v>866</v>
      </c>
      <c r="K19442" s="2">
        <v>1</v>
      </c>
      <c r="L19442" s="2">
        <v>149</v>
      </c>
    </row>
    <row r="19443" spans="1:12" x14ac:dyDescent="0.25">
      <c r="A19443" s="4" t="str">
        <f>HYPERLINK("http://www.rosaceae.org/Prunus/Prunus_persica/p.persica_gdr_reftransV1_0011953","p.persica_gdr_reftransV1_0011953")</f>
        <v>p.persica_gdr_reftransV1_0011953</v>
      </c>
      <c r="B19443" s="2">
        <v>2310</v>
      </c>
      <c r="C19443" s="4" t="str">
        <f>HYPERLINK("http://www.uniprot.org/uniprot/M5WTP4","M5WTP4")</f>
        <v>M5WTP4</v>
      </c>
      <c r="D19443" s="2" t="s">
        <v>14885</v>
      </c>
      <c r="E19443" s="3">
        <v>0</v>
      </c>
      <c r="F19443" s="2">
        <v>2279</v>
      </c>
      <c r="G19443" s="2">
        <v>100</v>
      </c>
      <c r="H19443" s="2">
        <v>439</v>
      </c>
      <c r="I19443" s="2">
        <v>490</v>
      </c>
      <c r="J19443" s="2">
        <v>1806</v>
      </c>
      <c r="K19443" s="2">
        <v>1</v>
      </c>
      <c r="L19443" s="2">
        <v>439</v>
      </c>
    </row>
    <row r="19444" spans="1:12" x14ac:dyDescent="0.25">
      <c r="A19444" s="4" t="str">
        <f>HYPERLINK("http://www.rosaceae.org/Prunus/Prunus_persica/p.persica_gdr_reftransV1_0012303","p.persica_gdr_reftransV1_0012303")</f>
        <v>p.persica_gdr_reftransV1_0012303</v>
      </c>
      <c r="B19444" s="2">
        <v>349</v>
      </c>
      <c r="C19444" s="4" t="str">
        <f>HYPERLINK("http://www.uniprot.org/uniprot/M5WPV2","M5WPV2")</f>
        <v>M5WPV2</v>
      </c>
      <c r="D19444" s="2" t="s">
        <v>11656</v>
      </c>
      <c r="E19444" s="3">
        <v>6.5099999999999998E-56</v>
      </c>
      <c r="F19444" s="2">
        <v>501</v>
      </c>
      <c r="G19444" s="2">
        <v>100</v>
      </c>
      <c r="H19444" s="2">
        <v>115</v>
      </c>
      <c r="I19444" s="2">
        <v>3</v>
      </c>
      <c r="J19444" s="2">
        <v>347</v>
      </c>
      <c r="K19444" s="2">
        <v>82</v>
      </c>
      <c r="L19444" s="2">
        <v>196</v>
      </c>
    </row>
    <row r="19445" spans="1:12" x14ac:dyDescent="0.25">
      <c r="A19445" s="4" t="str">
        <f>HYPERLINK("http://www.rosaceae.org/Prunus/Prunus_persica/p.persica_gdr_reftransV1_0012653","p.persica_gdr_reftransV1_0012653")</f>
        <v>p.persica_gdr_reftransV1_0012653</v>
      </c>
      <c r="B19445" s="2">
        <v>2932</v>
      </c>
      <c r="C19445" s="4" t="str">
        <f>HYPERLINK("http://www.uniprot.org/uniprot/Q25B23","Q25B23")</f>
        <v>Q25B23</v>
      </c>
      <c r="D19445" s="2" t="s">
        <v>14886</v>
      </c>
      <c r="E19445" s="3">
        <v>0</v>
      </c>
      <c r="F19445" s="2">
        <v>2967</v>
      </c>
      <c r="G19445" s="2">
        <v>100</v>
      </c>
      <c r="H19445" s="2">
        <v>605</v>
      </c>
      <c r="I19445" s="2">
        <v>495</v>
      </c>
      <c r="J19445" s="2">
        <v>2309</v>
      </c>
      <c r="K19445" s="2">
        <v>1</v>
      </c>
      <c r="L19445" s="2">
        <v>605</v>
      </c>
    </row>
    <row r="19446" spans="1:12" x14ac:dyDescent="0.25">
      <c r="A19446" s="4" t="str">
        <f>HYPERLINK("http://www.rosaceae.org/Prunus/Prunus_persica/p.persica_gdr_reftransV1_0013003","p.persica_gdr_reftransV1_0013003")</f>
        <v>p.persica_gdr_reftransV1_0013003</v>
      </c>
      <c r="B19446" s="2">
        <v>1865</v>
      </c>
      <c r="C19446" s="4" t="str">
        <f>HYPERLINK("http://www.uniprot.org/uniprot/M5VS21","M5VS21")</f>
        <v>M5VS21</v>
      </c>
      <c r="D19446" s="2" t="s">
        <v>14887</v>
      </c>
      <c r="E19446" s="3">
        <v>0</v>
      </c>
      <c r="F19446" s="2">
        <v>2521</v>
      </c>
      <c r="G19446" s="2">
        <v>96</v>
      </c>
      <c r="H19446" s="2">
        <v>517</v>
      </c>
      <c r="I19446" s="2">
        <v>145</v>
      </c>
      <c r="J19446" s="2">
        <v>1695</v>
      </c>
      <c r="K19446" s="2">
        <v>1</v>
      </c>
      <c r="L19446" s="2">
        <v>498</v>
      </c>
    </row>
    <row r="19447" spans="1:12" x14ac:dyDescent="0.25">
      <c r="A19447" s="4" t="str">
        <f>HYPERLINK("http://www.rosaceae.org/Prunus/Prunus_persica/p.persica_gdr_reftransV1_0014753","p.persica_gdr_reftransV1_0014753")</f>
        <v>p.persica_gdr_reftransV1_0014753</v>
      </c>
      <c r="B19447" s="2">
        <v>1919</v>
      </c>
      <c r="C19447" s="4" t="str">
        <f>HYPERLINK("http://www.uniprot.org/uniprot/M5XT11","M5XT11")</f>
        <v>M5XT11</v>
      </c>
      <c r="D19447" s="2" t="s">
        <v>14888</v>
      </c>
      <c r="E19447" s="3">
        <v>0</v>
      </c>
      <c r="F19447" s="2">
        <v>2005</v>
      </c>
      <c r="G19447" s="2">
        <v>100</v>
      </c>
      <c r="H19447" s="2">
        <v>386</v>
      </c>
      <c r="I19447" s="2">
        <v>354</v>
      </c>
      <c r="J19447" s="2">
        <v>1511</v>
      </c>
      <c r="K19447" s="2">
        <v>1</v>
      </c>
      <c r="L19447" s="2">
        <v>386</v>
      </c>
    </row>
    <row r="19448" spans="1:12" x14ac:dyDescent="0.25">
      <c r="A19448" s="4" t="str">
        <f>HYPERLINK("http://www.rosaceae.org/Prunus/Prunus_persica/p.persica_gdr_reftransV1_0016153","p.persica_gdr_reftransV1_0016153")</f>
        <v>p.persica_gdr_reftransV1_0016153</v>
      </c>
      <c r="B19448" s="2">
        <v>3856</v>
      </c>
      <c r="C19448" s="4" t="str">
        <f>HYPERLINK("http://www.uniprot.org/uniprot/M5VIQ2","M5VIQ2")</f>
        <v>M5VIQ2</v>
      </c>
      <c r="D19448" s="2" t="s">
        <v>14889</v>
      </c>
      <c r="E19448" s="3">
        <v>0</v>
      </c>
      <c r="F19448" s="2">
        <v>2886</v>
      </c>
      <c r="G19448" s="2">
        <v>89</v>
      </c>
      <c r="H19448" s="2">
        <v>612</v>
      </c>
      <c r="I19448" s="2">
        <v>1521</v>
      </c>
      <c r="J19448" s="2">
        <v>3353</v>
      </c>
      <c r="K19448" s="2">
        <v>8</v>
      </c>
      <c r="L19448" s="2">
        <v>616</v>
      </c>
    </row>
    <row r="19449" spans="1:12" x14ac:dyDescent="0.25">
      <c r="A19449" s="4" t="str">
        <f>HYPERLINK("http://www.rosaceae.org/Prunus/Prunus_persica/p.persica_gdr_reftransV1_0017203","p.persica_gdr_reftransV1_0017203")</f>
        <v>p.persica_gdr_reftransV1_0017203</v>
      </c>
      <c r="B19449" s="2">
        <v>1865</v>
      </c>
      <c r="C19449" s="4" t="str">
        <f>HYPERLINK("http://www.uniprot.org/uniprot/M5WNV0","M5WNV0")</f>
        <v>M5WNV0</v>
      </c>
      <c r="D19449" s="2" t="s">
        <v>14890</v>
      </c>
      <c r="E19449" s="3">
        <v>5.2400000000000002E-47</v>
      </c>
      <c r="F19449" s="2">
        <v>442</v>
      </c>
      <c r="G19449" s="2">
        <v>100</v>
      </c>
      <c r="H19449" s="2">
        <v>81</v>
      </c>
      <c r="I19449" s="2">
        <v>304</v>
      </c>
      <c r="J19449" s="2">
        <v>546</v>
      </c>
      <c r="K19449" s="2">
        <v>121</v>
      </c>
      <c r="L19449" s="2">
        <v>201</v>
      </c>
    </row>
    <row r="19450" spans="1:12" x14ac:dyDescent="0.25">
      <c r="A19450" s="4" t="str">
        <f>HYPERLINK("http://www.rosaceae.org/Prunus/Prunus_persica/p.persica_gdr_reftransV1_0018253","p.persica_gdr_reftransV1_0018253")</f>
        <v>p.persica_gdr_reftransV1_0018253</v>
      </c>
      <c r="B19450" s="2">
        <v>1055</v>
      </c>
      <c r="C19450" s="4" t="str">
        <f>HYPERLINK("http://www.uniprot.org/uniprot/M5WUX1","M5WUX1")</f>
        <v>M5WUX1</v>
      </c>
      <c r="D19450" s="2" t="s">
        <v>14891</v>
      </c>
      <c r="E19450" s="3">
        <v>7.3399999999999996E-87</v>
      </c>
      <c r="F19450" s="2">
        <v>691</v>
      </c>
      <c r="G19450" s="2">
        <v>100</v>
      </c>
      <c r="H19450" s="2">
        <v>145</v>
      </c>
      <c r="I19450" s="2">
        <v>438</v>
      </c>
      <c r="J19450" s="2">
        <v>872</v>
      </c>
      <c r="K19450" s="2">
        <v>18</v>
      </c>
      <c r="L19450" s="2">
        <v>162</v>
      </c>
    </row>
    <row r="19451" spans="1:12" x14ac:dyDescent="0.25">
      <c r="A19451" s="4" t="str">
        <f>HYPERLINK("http://www.rosaceae.org/Prunus/Prunus_persica/p.persica_gdr_reftransV1_0018603","p.persica_gdr_reftransV1_0018603")</f>
        <v>p.persica_gdr_reftransV1_0018603</v>
      </c>
      <c r="B19451" s="2">
        <v>874</v>
      </c>
      <c r="C19451" s="4" t="str">
        <f>HYPERLINK("http://www.uniprot.org/uniprot/M5XU73","M5XU73")</f>
        <v>M5XU73</v>
      </c>
      <c r="D19451" s="2" t="s">
        <v>14892</v>
      </c>
      <c r="E19451" s="3">
        <v>3.2899999999999999E-93</v>
      </c>
      <c r="F19451" s="2">
        <v>734</v>
      </c>
      <c r="G19451" s="2">
        <v>98</v>
      </c>
      <c r="H19451" s="2">
        <v>221</v>
      </c>
      <c r="I19451" s="2">
        <v>39</v>
      </c>
      <c r="J19451" s="2">
        <v>701</v>
      </c>
      <c r="K19451" s="2">
        <v>14</v>
      </c>
      <c r="L19451" s="2">
        <v>234</v>
      </c>
    </row>
    <row r="19452" spans="1:12" x14ac:dyDescent="0.25">
      <c r="A19452" s="4" t="str">
        <f>HYPERLINK("http://www.rosaceae.org/Prunus/Prunus_persica/p.persica_gdr_reftransV1_0020003","p.persica_gdr_reftransV1_0020003")</f>
        <v>p.persica_gdr_reftransV1_0020003</v>
      </c>
      <c r="B19452" s="2">
        <v>3289</v>
      </c>
      <c r="C19452" s="4" t="str">
        <f>HYPERLINK("http://www.uniprot.org/uniprot/M5VWJ9","M5VWJ9")</f>
        <v>M5VWJ9</v>
      </c>
      <c r="D19452" s="2" t="s">
        <v>14893</v>
      </c>
      <c r="E19452" s="3">
        <v>0</v>
      </c>
      <c r="F19452" s="2">
        <v>2127</v>
      </c>
      <c r="G19452" s="2">
        <v>100</v>
      </c>
      <c r="H19452" s="2">
        <v>395</v>
      </c>
      <c r="I19452" s="2">
        <v>1119</v>
      </c>
      <c r="J19452" s="2">
        <v>2303</v>
      </c>
      <c r="K19452" s="2">
        <v>202</v>
      </c>
      <c r="L19452" s="2">
        <v>596</v>
      </c>
    </row>
    <row r="19453" spans="1:12" x14ac:dyDescent="0.25">
      <c r="A19453" s="4" t="str">
        <f>HYPERLINK("http://www.rosaceae.org/Prunus/Prunus_persica/p.persica_gdr_reftransV1_0020703","p.persica_gdr_reftransV1_0020703")</f>
        <v>p.persica_gdr_reftransV1_0020703</v>
      </c>
      <c r="B19453" s="2">
        <v>6441</v>
      </c>
      <c r="C19453" s="4" t="str">
        <f>HYPERLINK("http://www.uniprot.org/uniprot/M5WQQ2","M5WQQ2")</f>
        <v>M5WQQ2</v>
      </c>
      <c r="D19453" s="2" t="s">
        <v>14894</v>
      </c>
      <c r="E19453" s="3">
        <v>0</v>
      </c>
      <c r="F19453" s="2">
        <v>4596</v>
      </c>
      <c r="G19453" s="2">
        <v>100</v>
      </c>
      <c r="H19453" s="2">
        <v>880</v>
      </c>
      <c r="I19453" s="2">
        <v>198</v>
      </c>
      <c r="J19453" s="2">
        <v>2837</v>
      </c>
      <c r="K19453" s="2">
        <v>1</v>
      </c>
      <c r="L19453" s="2">
        <v>880</v>
      </c>
    </row>
    <row r="19454" spans="1:12" x14ac:dyDescent="0.25">
      <c r="A19454" s="4" t="str">
        <f>HYPERLINK("http://www.rosaceae.org/Prunus/Prunus_persica/p.persica_gdr_reftransV1_0021753","p.persica_gdr_reftransV1_0021753")</f>
        <v>p.persica_gdr_reftransV1_0021753</v>
      </c>
      <c r="B19454" s="2">
        <v>2858</v>
      </c>
      <c r="C19454" s="4" t="str">
        <f>HYPERLINK("http://www.uniprot.org/uniprot/M5WE22","M5WE22")</f>
        <v>M5WE22</v>
      </c>
      <c r="D19454" s="2" t="s">
        <v>14895</v>
      </c>
      <c r="E19454" s="3">
        <v>0</v>
      </c>
      <c r="F19454" s="2">
        <v>3875</v>
      </c>
      <c r="G19454" s="2">
        <v>100</v>
      </c>
      <c r="H19454" s="2">
        <v>779</v>
      </c>
      <c r="I19454" s="2">
        <v>250</v>
      </c>
      <c r="J19454" s="2">
        <v>2586</v>
      </c>
      <c r="K19454" s="2">
        <v>1</v>
      </c>
      <c r="L19454" s="2">
        <v>779</v>
      </c>
    </row>
    <row r="19455" spans="1:12" x14ac:dyDescent="0.25">
      <c r="A19455" s="4" t="str">
        <f>HYPERLINK("http://www.rosaceae.org/Prunus/Prunus_persica/p.persica_gdr_reftransV1_0022103","p.persica_gdr_reftransV1_0022103")</f>
        <v>p.persica_gdr_reftransV1_0022103</v>
      </c>
      <c r="B19455" s="2">
        <v>3212</v>
      </c>
      <c r="C19455" s="4" t="str">
        <f>HYPERLINK("http://www.uniprot.org/uniprot/M5VQZ0","M5VQZ0")</f>
        <v>M5VQZ0</v>
      </c>
      <c r="D19455" s="2" t="s">
        <v>6788</v>
      </c>
      <c r="E19455" s="3">
        <v>5.8799999999999995E-45</v>
      </c>
      <c r="F19455" s="2">
        <v>439</v>
      </c>
      <c r="G19455" s="2">
        <v>100</v>
      </c>
      <c r="H19455" s="2">
        <v>82</v>
      </c>
      <c r="I19455" s="2">
        <v>1779</v>
      </c>
      <c r="J19455" s="2">
        <v>2024</v>
      </c>
      <c r="K19455" s="2">
        <v>61</v>
      </c>
      <c r="L19455" s="2">
        <v>142</v>
      </c>
    </row>
    <row r="19456" spans="1:12" x14ac:dyDescent="0.25">
      <c r="A19456" s="4" t="str">
        <f>HYPERLINK("http://www.rosaceae.org/Prunus/Prunus_persica/p.persica_gdr_reftransV1_0022803","p.persica_gdr_reftransV1_0022803")</f>
        <v>p.persica_gdr_reftransV1_0022803</v>
      </c>
      <c r="B19456" s="2">
        <v>2554</v>
      </c>
      <c r="C19456" s="4" t="str">
        <f>HYPERLINK("http://www.uniprot.org/uniprot/M5W737","M5W737")</f>
        <v>M5W737</v>
      </c>
      <c r="D19456" s="2" t="s">
        <v>14896</v>
      </c>
      <c r="E19456" s="3">
        <v>0</v>
      </c>
      <c r="F19456" s="2">
        <v>1605</v>
      </c>
      <c r="G19456" s="2">
        <v>98</v>
      </c>
      <c r="H19456" s="2">
        <v>331</v>
      </c>
      <c r="I19456" s="2">
        <v>1134</v>
      </c>
      <c r="J19456" s="2">
        <v>2120</v>
      </c>
      <c r="K19456" s="2">
        <v>275</v>
      </c>
      <c r="L19456" s="2">
        <v>605</v>
      </c>
    </row>
    <row r="19457" spans="1:12" x14ac:dyDescent="0.25">
      <c r="A19457" s="4" t="str">
        <f>HYPERLINK("http://www.rosaceae.org/Prunus/Prunus_persica/p.persica_gdr_reftransV1_0026303","p.persica_gdr_reftransV1_0026303")</f>
        <v>p.persica_gdr_reftransV1_0026303</v>
      </c>
      <c r="B19457" s="2">
        <v>690</v>
      </c>
      <c r="C19457" s="4" t="str">
        <f>HYPERLINK("http://www.uniprot.org/uniprot/M5W3Y7","M5W3Y7")</f>
        <v>M5W3Y7</v>
      </c>
      <c r="D19457" s="2" t="s">
        <v>14897</v>
      </c>
      <c r="E19457" s="3">
        <v>1.02E-64</v>
      </c>
      <c r="F19457" s="2">
        <v>529</v>
      </c>
      <c r="G19457" s="2">
        <v>100</v>
      </c>
      <c r="H19457" s="2">
        <v>98</v>
      </c>
      <c r="I19457" s="2">
        <v>214</v>
      </c>
      <c r="J19457" s="2">
        <v>507</v>
      </c>
      <c r="K19457" s="2">
        <v>21</v>
      </c>
      <c r="L19457" s="2">
        <v>118</v>
      </c>
    </row>
    <row r="19458" spans="1:12" x14ac:dyDescent="0.25">
      <c r="A19458" s="4" t="str">
        <f>HYPERLINK("http://www.rosaceae.org/Prunus/Prunus_persica/p.persica_gdr_reftransV1_0029103","p.persica_gdr_reftransV1_0029103")</f>
        <v>p.persica_gdr_reftransV1_0029103</v>
      </c>
      <c r="B19458" s="2">
        <v>5481</v>
      </c>
      <c r="C19458" s="4" t="str">
        <f>HYPERLINK("http://www.uniprot.org/uniprot/M5W7B6","M5W7B6")</f>
        <v>M5W7B6</v>
      </c>
      <c r="D19458" s="2" t="s">
        <v>14898</v>
      </c>
      <c r="E19458" s="3">
        <v>0</v>
      </c>
      <c r="F19458" s="2">
        <v>8053</v>
      </c>
      <c r="G19458" s="2">
        <v>100</v>
      </c>
      <c r="H19458" s="2">
        <v>1541</v>
      </c>
      <c r="I19458" s="2">
        <v>620</v>
      </c>
      <c r="J19458" s="2">
        <v>5242</v>
      </c>
      <c r="K19458" s="2">
        <v>1</v>
      </c>
      <c r="L19458" s="2">
        <v>1541</v>
      </c>
    </row>
    <row r="19459" spans="1:12" x14ac:dyDescent="0.25">
      <c r="A19459" s="4" t="str">
        <f>HYPERLINK("http://www.rosaceae.org/Prunus/Prunus_persica/p.persica_gdr_reftransV1_0032603","p.persica_gdr_reftransV1_0032603")</f>
        <v>p.persica_gdr_reftransV1_0032603</v>
      </c>
      <c r="B19459" s="2">
        <v>1012</v>
      </c>
      <c r="C19459" s="4" t="str">
        <f>HYPERLINK("http://www.uniprot.org/uniprot/M5XPD9","M5XPD9")</f>
        <v>M5XPD9</v>
      </c>
      <c r="D19459" s="2" t="s">
        <v>9743</v>
      </c>
      <c r="E19459" s="3">
        <v>0</v>
      </c>
      <c r="F19459" s="2">
        <v>1487</v>
      </c>
      <c r="G19459" s="2">
        <v>100</v>
      </c>
      <c r="H19459" s="2">
        <v>283</v>
      </c>
      <c r="I19459" s="2">
        <v>132</v>
      </c>
      <c r="J19459" s="2">
        <v>980</v>
      </c>
      <c r="K19459" s="2">
        <v>1</v>
      </c>
      <c r="L19459" s="2">
        <v>283</v>
      </c>
    </row>
    <row r="19460" spans="1:12" x14ac:dyDescent="0.25">
      <c r="A19460" s="4" t="str">
        <f>HYPERLINK("http://www.rosaceae.org/Prunus/Prunus_persica/p.persica_gdr_reftransV1_0032953","p.persica_gdr_reftransV1_0032953")</f>
        <v>p.persica_gdr_reftransV1_0032953</v>
      </c>
      <c r="B19460" s="2">
        <v>5870</v>
      </c>
      <c r="C19460" s="4" t="str">
        <f>HYPERLINK("http://www.uniprot.org/uniprot/M5WPR0","M5WPR0")</f>
        <v>M5WPR0</v>
      </c>
      <c r="D19460" s="2" t="s">
        <v>2774</v>
      </c>
      <c r="E19460" s="3">
        <v>0</v>
      </c>
      <c r="F19460" s="2">
        <v>7686</v>
      </c>
      <c r="G19460" s="2">
        <v>100</v>
      </c>
      <c r="H19460" s="2">
        <v>1550</v>
      </c>
      <c r="I19460" s="2">
        <v>728</v>
      </c>
      <c r="J19460" s="2">
        <v>5377</v>
      </c>
      <c r="K19460" s="2">
        <v>1</v>
      </c>
      <c r="L19460" s="2">
        <v>1545</v>
      </c>
    </row>
    <row r="19461" spans="1:12" x14ac:dyDescent="0.25">
      <c r="A19461" s="4" t="str">
        <f>HYPERLINK("http://www.rosaceae.org/Prunus/Prunus_persica/p.persica_gdr_reftransV1_0033653","p.persica_gdr_reftransV1_0033653")</f>
        <v>p.persica_gdr_reftransV1_0033653</v>
      </c>
      <c r="B19461" s="2">
        <v>1483</v>
      </c>
      <c r="C19461" s="4" t="str">
        <f>HYPERLINK("http://www.uniprot.org/uniprot/M5XE94","M5XE94")</f>
        <v>M5XE94</v>
      </c>
      <c r="D19461" s="2" t="s">
        <v>14899</v>
      </c>
      <c r="E19461" s="3">
        <v>0</v>
      </c>
      <c r="F19461" s="2">
        <v>1630</v>
      </c>
      <c r="G19461" s="2">
        <v>100</v>
      </c>
      <c r="H19461" s="2">
        <v>307</v>
      </c>
      <c r="I19461" s="2">
        <v>167</v>
      </c>
      <c r="J19461" s="2">
        <v>1087</v>
      </c>
      <c r="K19461" s="2">
        <v>83</v>
      </c>
      <c r="L19461" s="2">
        <v>389</v>
      </c>
    </row>
    <row r="19462" spans="1:12" x14ac:dyDescent="0.25">
      <c r="A19462" s="4" t="str">
        <f>HYPERLINK("http://www.rosaceae.org/Prunus/Prunus_persica/p.persica_gdr_reftransV1_0034703","p.persica_gdr_reftransV1_0034703")</f>
        <v>p.persica_gdr_reftransV1_0034703</v>
      </c>
      <c r="B19462" s="2">
        <v>1466</v>
      </c>
      <c r="C19462" s="4" t="str">
        <f>HYPERLINK("http://www.uniprot.org/uniprot/M5XCN4","M5XCN4")</f>
        <v>M5XCN4</v>
      </c>
      <c r="D19462" s="2" t="s">
        <v>9464</v>
      </c>
      <c r="E19462" s="3">
        <v>0</v>
      </c>
      <c r="F19462" s="2">
        <v>1576</v>
      </c>
      <c r="G19462" s="2">
        <v>100</v>
      </c>
      <c r="H19462" s="2">
        <v>323</v>
      </c>
      <c r="I19462" s="2">
        <v>374</v>
      </c>
      <c r="J19462" s="2">
        <v>1342</v>
      </c>
      <c r="K19462" s="2">
        <v>3</v>
      </c>
      <c r="L19462" s="2">
        <v>325</v>
      </c>
    </row>
    <row r="19463" spans="1:12" x14ac:dyDescent="0.25">
      <c r="A19463" s="4" t="str">
        <f>HYPERLINK("http://www.rosaceae.org/Prunus/Prunus_persica/p.persica_gdr_reftransV1_0035053","p.persica_gdr_reftransV1_0035053")</f>
        <v>p.persica_gdr_reftransV1_0035053</v>
      </c>
      <c r="B19463" s="2">
        <v>2575</v>
      </c>
      <c r="C19463" s="4" t="str">
        <f>HYPERLINK("http://www.uniprot.org/uniprot/M5XTH2","M5XTH2")</f>
        <v>M5XTH2</v>
      </c>
      <c r="D19463" s="2" t="s">
        <v>5566</v>
      </c>
      <c r="E19463" s="3">
        <v>9.1999999999999992E-74</v>
      </c>
      <c r="F19463" s="2">
        <v>646</v>
      </c>
      <c r="G19463" s="2">
        <v>100</v>
      </c>
      <c r="H19463" s="2">
        <v>122</v>
      </c>
      <c r="I19463" s="2">
        <v>2108</v>
      </c>
      <c r="J19463" s="2">
        <v>2473</v>
      </c>
      <c r="K19463" s="2">
        <v>135</v>
      </c>
      <c r="L19463" s="2">
        <v>256</v>
      </c>
    </row>
    <row r="19464" spans="1:12" x14ac:dyDescent="0.25">
      <c r="A19464" s="4" t="str">
        <f>HYPERLINK("http://www.rosaceae.org/Prunus/Prunus_persica/p.persica_gdr_reftransV1_0036453","p.persica_gdr_reftransV1_0036453")</f>
        <v>p.persica_gdr_reftransV1_0036453</v>
      </c>
      <c r="B19464" s="2">
        <v>3016</v>
      </c>
      <c r="C19464" s="4" t="str">
        <f>HYPERLINK("http://www.uniprot.org/uniprot/M5VPP4","M5VPP4")</f>
        <v>M5VPP4</v>
      </c>
      <c r="D19464" s="2" t="s">
        <v>14900</v>
      </c>
      <c r="E19464" s="3">
        <v>0</v>
      </c>
      <c r="F19464" s="2">
        <v>1777</v>
      </c>
      <c r="G19464" s="2">
        <v>100</v>
      </c>
      <c r="H19464" s="2">
        <v>350</v>
      </c>
      <c r="I19464" s="2">
        <v>431</v>
      </c>
      <c r="J19464" s="2">
        <v>1480</v>
      </c>
      <c r="K19464" s="2">
        <v>1</v>
      </c>
      <c r="L19464" s="2">
        <v>350</v>
      </c>
    </row>
    <row r="19465" spans="1:12" x14ac:dyDescent="0.25">
      <c r="A19465" s="4" t="str">
        <f>HYPERLINK("http://www.rosaceae.org/Prunus/Prunus_persica/p.persica_gdr_reftransV1_0036803","p.persica_gdr_reftransV1_0036803")</f>
        <v>p.persica_gdr_reftransV1_0036803</v>
      </c>
      <c r="B19465" s="2">
        <v>2158</v>
      </c>
      <c r="C19465" s="4" t="str">
        <f>HYPERLINK("http://www.uniprot.org/uniprot/M5VH82","M5VH82")</f>
        <v>M5VH82</v>
      </c>
      <c r="D19465" s="2" t="s">
        <v>14901</v>
      </c>
      <c r="E19465" s="3">
        <v>0</v>
      </c>
      <c r="F19465" s="2">
        <v>2435</v>
      </c>
      <c r="G19465" s="2">
        <v>98</v>
      </c>
      <c r="H19465" s="2">
        <v>467</v>
      </c>
      <c r="I19465" s="2">
        <v>708</v>
      </c>
      <c r="J19465" s="2">
        <v>2108</v>
      </c>
      <c r="K19465" s="2">
        <v>1</v>
      </c>
      <c r="L19465" s="2">
        <v>467</v>
      </c>
    </row>
    <row r="19466" spans="1:12" x14ac:dyDescent="0.25">
      <c r="A19466" s="4" t="str">
        <f>HYPERLINK("http://www.rosaceae.org/Prunus/Prunus_persica/p.persica_gdr_reftransV1_0041003","p.persica_gdr_reftransV1_0041003")</f>
        <v>p.persica_gdr_reftransV1_0041003</v>
      </c>
      <c r="B19466" s="2">
        <v>1421</v>
      </c>
      <c r="C19466" s="4" t="str">
        <f>HYPERLINK("http://www.uniprot.org/uniprot/M5WGY9","M5WGY9")</f>
        <v>M5WGY9</v>
      </c>
      <c r="D19466" s="2" t="s">
        <v>14902</v>
      </c>
      <c r="E19466" s="3">
        <v>0</v>
      </c>
      <c r="F19466" s="2">
        <v>1465</v>
      </c>
      <c r="G19466" s="2">
        <v>100</v>
      </c>
      <c r="H19466" s="2">
        <v>285</v>
      </c>
      <c r="I19466" s="2">
        <v>277</v>
      </c>
      <c r="J19466" s="2">
        <v>1131</v>
      </c>
      <c r="K19466" s="2">
        <v>1</v>
      </c>
      <c r="L19466" s="2">
        <v>285</v>
      </c>
    </row>
    <row r="19467" spans="1:12" x14ac:dyDescent="0.25">
      <c r="A19467" s="4" t="str">
        <f>HYPERLINK("http://www.rosaceae.org/Prunus/Prunus_persica/p.persica_gdr_reftransV1_0043103","p.persica_gdr_reftransV1_0043103")</f>
        <v>p.persica_gdr_reftransV1_0043103</v>
      </c>
      <c r="B19467" s="2">
        <v>468</v>
      </c>
      <c r="C19467" s="4" t="str">
        <f>HYPERLINK("http://www.uniprot.org/uniprot/M5WZG8","M5WZG8")</f>
        <v>M5WZG8</v>
      </c>
      <c r="D19467" s="2" t="s">
        <v>1284</v>
      </c>
      <c r="E19467" s="3">
        <v>4.14E-90</v>
      </c>
      <c r="F19467" s="2">
        <v>720</v>
      </c>
      <c r="G19467" s="2">
        <v>100</v>
      </c>
      <c r="H19467" s="2">
        <v>137</v>
      </c>
      <c r="I19467" s="2">
        <v>57</v>
      </c>
      <c r="J19467" s="2">
        <v>467</v>
      </c>
      <c r="K19467" s="2">
        <v>1</v>
      </c>
      <c r="L19467" s="2">
        <v>137</v>
      </c>
    </row>
    <row r="19468" spans="1:12" x14ac:dyDescent="0.25">
      <c r="A19468" s="4" t="str">
        <f>HYPERLINK("http://www.rosaceae.org/Prunus/Prunus_persica/p.persica_gdr_reftransV1_0043453","p.persica_gdr_reftransV1_0043453")</f>
        <v>p.persica_gdr_reftransV1_0043453</v>
      </c>
      <c r="B19468" s="2">
        <v>979</v>
      </c>
      <c r="C19468" s="4" t="str">
        <f>HYPERLINK("http://www.uniprot.org/uniprot/M5XTS4","M5XTS4")</f>
        <v>M5XTS4</v>
      </c>
      <c r="D19468" s="2" t="s">
        <v>12221</v>
      </c>
      <c r="E19468" s="3">
        <v>3.3600000000000002E-88</v>
      </c>
      <c r="F19468" s="2">
        <v>706</v>
      </c>
      <c r="G19468" s="2">
        <v>100</v>
      </c>
      <c r="H19468" s="2">
        <v>132</v>
      </c>
      <c r="I19468" s="2">
        <v>61</v>
      </c>
      <c r="J19468" s="2">
        <v>456</v>
      </c>
      <c r="K19468" s="2">
        <v>112</v>
      </c>
      <c r="L19468" s="2">
        <v>243</v>
      </c>
    </row>
    <row r="19469" spans="1:12" x14ac:dyDescent="0.25">
      <c r="A19469" s="4" t="str">
        <f>HYPERLINK("http://www.rosaceae.org/Prunus/Prunus_persica/p.persica_gdr_reftransV1_0043803","p.persica_gdr_reftransV1_0043803")</f>
        <v>p.persica_gdr_reftransV1_0043803</v>
      </c>
      <c r="B19469" s="2">
        <v>575</v>
      </c>
      <c r="C19469" s="4" t="str">
        <f>HYPERLINK("http://www.uniprot.org/uniprot/M5XB13","M5XB13")</f>
        <v>M5XB13</v>
      </c>
      <c r="D19469" s="2" t="s">
        <v>3061</v>
      </c>
      <c r="E19469" s="3">
        <v>7.3000000000000001E-119</v>
      </c>
      <c r="F19469" s="2">
        <v>983</v>
      </c>
      <c r="G19469" s="2">
        <v>95</v>
      </c>
      <c r="H19469" s="2">
        <v>197</v>
      </c>
      <c r="I19469" s="2">
        <v>1</v>
      </c>
      <c r="J19469" s="2">
        <v>573</v>
      </c>
      <c r="K19469" s="2">
        <v>2040</v>
      </c>
      <c r="L19469" s="2">
        <v>2236</v>
      </c>
    </row>
    <row r="19470" spans="1:12" x14ac:dyDescent="0.25">
      <c r="A19470" s="4" t="str">
        <f>HYPERLINK("http://www.rosaceae.org/Prunus/Prunus_persica/p.persica_gdr_reftransV1_0044153","p.persica_gdr_reftransV1_0044153")</f>
        <v>p.persica_gdr_reftransV1_0044153</v>
      </c>
      <c r="B19470" s="2">
        <v>2482</v>
      </c>
      <c r="C19470" s="4" t="str">
        <f>HYPERLINK("http://www.uniprot.org/uniprot/M5XLQ7","M5XLQ7")</f>
        <v>M5XLQ7</v>
      </c>
      <c r="D19470" s="2" t="s">
        <v>14614</v>
      </c>
      <c r="E19470" s="3">
        <v>0</v>
      </c>
      <c r="F19470" s="2">
        <v>2843</v>
      </c>
      <c r="G19470" s="2">
        <v>99</v>
      </c>
      <c r="H19470" s="2">
        <v>567</v>
      </c>
      <c r="I19470" s="2">
        <v>18</v>
      </c>
      <c r="J19470" s="2">
        <v>1718</v>
      </c>
      <c r="K19470" s="2">
        <v>1</v>
      </c>
      <c r="L19470" s="2">
        <v>562</v>
      </c>
    </row>
    <row r="19471" spans="1:12" x14ac:dyDescent="0.25">
      <c r="A19471" s="4" t="str">
        <f>HYPERLINK("http://www.rosaceae.org/Prunus/Prunus_persica/p.persica_gdr_reftransV1_0044503","p.persica_gdr_reftransV1_0044503")</f>
        <v>p.persica_gdr_reftransV1_0044503</v>
      </c>
      <c r="B19471" s="2">
        <v>460</v>
      </c>
      <c r="C19471" s="4" t="str">
        <f>HYPERLINK("http://www.uniprot.org/uniprot/M5Y219","M5Y219")</f>
        <v>M5Y219</v>
      </c>
      <c r="D19471" s="2" t="s">
        <v>14903</v>
      </c>
      <c r="E19471" s="3">
        <v>3.1900000000000001E-35</v>
      </c>
      <c r="F19471" s="2">
        <v>323</v>
      </c>
      <c r="G19471" s="2">
        <v>100</v>
      </c>
      <c r="H19471" s="2">
        <v>62</v>
      </c>
      <c r="I19471" s="2">
        <v>85</v>
      </c>
      <c r="J19471" s="2">
        <v>270</v>
      </c>
      <c r="K19471" s="2">
        <v>31</v>
      </c>
      <c r="L19471" s="2">
        <v>92</v>
      </c>
    </row>
    <row r="19472" spans="1:12" x14ac:dyDescent="0.25">
      <c r="A19472" s="4" t="str">
        <f>HYPERLINK("http://www.rosaceae.org/Prunus/Prunus_persica/p.persica_gdr_reftransV1_0044853","p.persica_gdr_reftransV1_0044853")</f>
        <v>p.persica_gdr_reftransV1_0044853</v>
      </c>
      <c r="B19472" s="2">
        <v>1130</v>
      </c>
      <c r="C19472" s="4" t="str">
        <f>HYPERLINK("http://www.uniprot.org/uniprot/M5XMY7","M5XMY7")</f>
        <v>M5XMY7</v>
      </c>
      <c r="D19472" s="2" t="s">
        <v>14904</v>
      </c>
      <c r="E19472" s="3">
        <v>1.0199999999999999E-155</v>
      </c>
      <c r="F19472" s="2">
        <v>1156</v>
      </c>
      <c r="G19472" s="2">
        <v>100</v>
      </c>
      <c r="H19472" s="2">
        <v>232</v>
      </c>
      <c r="I19472" s="2">
        <v>242</v>
      </c>
      <c r="J19472" s="2">
        <v>937</v>
      </c>
      <c r="K19472" s="2">
        <v>1</v>
      </c>
      <c r="L19472" s="2">
        <v>232</v>
      </c>
    </row>
    <row r="19473" spans="1:12" x14ac:dyDescent="0.25">
      <c r="A19473" s="4" t="str">
        <f>HYPERLINK("http://www.rosaceae.org/Prunus/Prunus_persica/p.persica_gdr_reftransV1_0045203","p.persica_gdr_reftransV1_0045203")</f>
        <v>p.persica_gdr_reftransV1_0045203</v>
      </c>
      <c r="B19473" s="2">
        <v>444</v>
      </c>
      <c r="C19473" s="4" t="str">
        <f>HYPERLINK("http://www.uniprot.org/uniprot/M5WKN8","M5WKN8")</f>
        <v>M5WKN8</v>
      </c>
      <c r="D19473" s="2" t="s">
        <v>3284</v>
      </c>
      <c r="E19473" s="3">
        <v>3.8200000000000001E-72</v>
      </c>
      <c r="F19473" s="2">
        <v>617</v>
      </c>
      <c r="G19473" s="2">
        <v>100</v>
      </c>
      <c r="H19473" s="2">
        <v>117</v>
      </c>
      <c r="I19473" s="2">
        <v>46</v>
      </c>
      <c r="J19473" s="2">
        <v>396</v>
      </c>
      <c r="K19473" s="2">
        <v>701</v>
      </c>
      <c r="L19473" s="2">
        <v>817</v>
      </c>
    </row>
    <row r="19474" spans="1:12" x14ac:dyDescent="0.25">
      <c r="A19474" s="4" t="str">
        <f>HYPERLINK("http://www.rosaceae.org/Prunus/Prunus_persica/p.persica_gdr_reftransV1_0045903","p.persica_gdr_reftransV1_0045903")</f>
        <v>p.persica_gdr_reftransV1_0045903</v>
      </c>
      <c r="B19474" s="2">
        <v>524</v>
      </c>
      <c r="C19474" s="4" t="str">
        <f>HYPERLINK("http://www.uniprot.org/uniprot/M5XFB1","M5XFB1")</f>
        <v>M5XFB1</v>
      </c>
      <c r="D19474" s="2" t="s">
        <v>14905</v>
      </c>
      <c r="E19474" s="3">
        <v>3.0199999999999999E-62</v>
      </c>
      <c r="F19474" s="2">
        <v>510</v>
      </c>
      <c r="G19474" s="2">
        <v>99</v>
      </c>
      <c r="H19474" s="2">
        <v>138</v>
      </c>
      <c r="I19474" s="2">
        <v>20</v>
      </c>
      <c r="J19474" s="2">
        <v>433</v>
      </c>
      <c r="K19474" s="2">
        <v>17</v>
      </c>
      <c r="L19474" s="2">
        <v>154</v>
      </c>
    </row>
    <row r="19475" spans="1:12" x14ac:dyDescent="0.25">
      <c r="A19475" s="4" t="str">
        <f>HYPERLINK("http://www.rosaceae.org/Prunus/Prunus_persica/p.persica_gdr_reftransV1_0046253","p.persica_gdr_reftransV1_0046253")</f>
        <v>p.persica_gdr_reftransV1_0046253</v>
      </c>
      <c r="B19475" s="2">
        <v>617</v>
      </c>
      <c r="C19475" s="4" t="str">
        <f>HYPERLINK("http://www.uniprot.org/uniprot/M5WDL8","M5WDL8")</f>
        <v>M5WDL8</v>
      </c>
      <c r="D19475" s="2" t="s">
        <v>14906</v>
      </c>
      <c r="E19475" s="3">
        <v>9.4199999999999997E-27</v>
      </c>
      <c r="F19475" s="2">
        <v>271</v>
      </c>
      <c r="G19475" s="2">
        <v>100</v>
      </c>
      <c r="H19475" s="2">
        <v>100</v>
      </c>
      <c r="I19475" s="2">
        <v>45</v>
      </c>
      <c r="J19475" s="2">
        <v>344</v>
      </c>
      <c r="K19475" s="2">
        <v>1</v>
      </c>
      <c r="L19475" s="2">
        <v>100</v>
      </c>
    </row>
    <row r="19476" spans="1:12" x14ac:dyDescent="0.25">
      <c r="A19476" s="4" t="str">
        <f>HYPERLINK("http://www.rosaceae.org/Prunus/Prunus_persica/p.persica_gdr_reftransV1_0046603","p.persica_gdr_reftransV1_0046603")</f>
        <v>p.persica_gdr_reftransV1_0046603</v>
      </c>
      <c r="B19476" s="2">
        <v>719</v>
      </c>
      <c r="C19476" s="4" t="str">
        <f>HYPERLINK("http://www.uniprot.org/uniprot/A5BCQ9","A5BCQ9")</f>
        <v>A5BCQ9</v>
      </c>
      <c r="D19476" s="2" t="s">
        <v>5030</v>
      </c>
      <c r="E19476" s="3">
        <v>6.0200000000000004E-41</v>
      </c>
      <c r="F19476" s="2">
        <v>406</v>
      </c>
      <c r="G19476" s="2">
        <v>40</v>
      </c>
      <c r="H19476" s="2">
        <v>212</v>
      </c>
      <c r="I19476" s="2">
        <v>105</v>
      </c>
      <c r="J19476" s="2">
        <v>719</v>
      </c>
      <c r="K19476" s="2">
        <v>190</v>
      </c>
      <c r="L19476" s="2">
        <v>394</v>
      </c>
    </row>
    <row r="19477" spans="1:12" x14ac:dyDescent="0.25">
      <c r="A19477" s="4" t="str">
        <f>HYPERLINK("http://www.rosaceae.org/Prunus/Prunus_persica/p.persica_gdr_reftransV1_0046953","p.persica_gdr_reftransV1_0046953")</f>
        <v>p.persica_gdr_reftransV1_0046953</v>
      </c>
      <c r="B19477" s="2">
        <v>343</v>
      </c>
      <c r="C19477" s="4" t="str">
        <f>HYPERLINK("http://www.uniprot.org/uniprot/M5W777","M5W777")</f>
        <v>M5W777</v>
      </c>
      <c r="D19477" s="2" t="s">
        <v>10909</v>
      </c>
      <c r="E19477" s="3">
        <v>3.5100000000000003E-63</v>
      </c>
      <c r="F19477" s="2">
        <v>540</v>
      </c>
      <c r="G19477" s="2">
        <v>100</v>
      </c>
      <c r="H19477" s="2">
        <v>114</v>
      </c>
      <c r="I19477" s="2">
        <v>1</v>
      </c>
      <c r="J19477" s="2">
        <v>342</v>
      </c>
      <c r="K19477" s="2">
        <v>259</v>
      </c>
      <c r="L19477" s="2">
        <v>372</v>
      </c>
    </row>
    <row r="19478" spans="1:12" x14ac:dyDescent="0.25">
      <c r="A19478" s="4" t="str">
        <f>HYPERLINK("http://www.rosaceae.org/Prunus/Prunus_persica/p.persica_gdr_reftransV1_0047303","p.persica_gdr_reftransV1_0047303")</f>
        <v>p.persica_gdr_reftransV1_0047303</v>
      </c>
      <c r="B19478" s="2">
        <v>1294</v>
      </c>
      <c r="C19478" s="4" t="str">
        <f>HYPERLINK("http://www.uniprot.org/uniprot/M5XZ67","M5XZ67")</f>
        <v>M5XZ67</v>
      </c>
      <c r="D19478" s="2" t="s">
        <v>14907</v>
      </c>
      <c r="E19478" s="3">
        <v>0</v>
      </c>
      <c r="F19478" s="2">
        <v>1794</v>
      </c>
      <c r="G19478" s="2">
        <v>100</v>
      </c>
      <c r="H19478" s="2">
        <v>333</v>
      </c>
      <c r="I19478" s="2">
        <v>2</v>
      </c>
      <c r="J19478" s="2">
        <v>1000</v>
      </c>
      <c r="K19478" s="2">
        <v>34</v>
      </c>
      <c r="L19478" s="2">
        <v>366</v>
      </c>
    </row>
    <row r="19479" spans="1:12" x14ac:dyDescent="0.25">
      <c r="A19479" s="4" t="str">
        <f>HYPERLINK("http://www.rosaceae.org/Prunus/Prunus_persica/p.persica_gdr_reftransV1_0047653","p.persica_gdr_reftransV1_0047653")</f>
        <v>p.persica_gdr_reftransV1_0047653</v>
      </c>
      <c r="B19479" s="2">
        <v>1544</v>
      </c>
      <c r="C19479" s="4" t="str">
        <f>HYPERLINK("http://www.uniprot.org/uniprot/M5X5K6","M5X5K6")</f>
        <v>M5X5K6</v>
      </c>
      <c r="D19479" s="2" t="s">
        <v>14908</v>
      </c>
      <c r="E19479" s="3">
        <v>0</v>
      </c>
      <c r="F19479" s="2">
        <v>2090</v>
      </c>
      <c r="G19479" s="2">
        <v>100</v>
      </c>
      <c r="H19479" s="2">
        <v>432</v>
      </c>
      <c r="I19479" s="2">
        <v>109</v>
      </c>
      <c r="J19479" s="2">
        <v>1404</v>
      </c>
      <c r="K19479" s="2">
        <v>1</v>
      </c>
      <c r="L19479" s="2">
        <v>432</v>
      </c>
    </row>
    <row r="19480" spans="1:12" x14ac:dyDescent="0.25">
      <c r="A19480" s="4" t="str">
        <f>HYPERLINK("http://www.rosaceae.org/Prunus/Prunus_persica/p.persica_gdr_reftransV1_0048003","p.persica_gdr_reftransV1_0048003")</f>
        <v>p.persica_gdr_reftransV1_0048003</v>
      </c>
      <c r="B19480" s="2">
        <v>3346</v>
      </c>
      <c r="C19480" s="4" t="str">
        <f>HYPERLINK("http://www.uniprot.org/uniprot/M5XRT3","M5XRT3")</f>
        <v>M5XRT3</v>
      </c>
      <c r="D19480" s="2" t="s">
        <v>14909</v>
      </c>
      <c r="E19480" s="3">
        <v>0</v>
      </c>
      <c r="F19480" s="2">
        <v>5042</v>
      </c>
      <c r="G19480" s="2">
        <v>100</v>
      </c>
      <c r="H19480" s="2">
        <v>983</v>
      </c>
      <c r="I19480" s="2">
        <v>242</v>
      </c>
      <c r="J19480" s="2">
        <v>3190</v>
      </c>
      <c r="K19480" s="2">
        <v>1</v>
      </c>
      <c r="L19480" s="2">
        <v>983</v>
      </c>
    </row>
    <row r="19481" spans="1:12" x14ac:dyDescent="0.25">
      <c r="A19481" s="4" t="str">
        <f>HYPERLINK("http://www.rosaceae.org/Prunus/Prunus_persica/p.persica_gdr_reftransV1_0049053","p.persica_gdr_reftransV1_0049053")</f>
        <v>p.persica_gdr_reftransV1_0049053</v>
      </c>
      <c r="B19481" s="2">
        <v>717</v>
      </c>
      <c r="C19481" s="4" t="str">
        <f>HYPERLINK("http://www.uniprot.org/uniprot/M5WJH7","M5WJH7")</f>
        <v>M5WJH7</v>
      </c>
      <c r="D19481" s="2" t="s">
        <v>14910</v>
      </c>
      <c r="E19481" s="3">
        <v>6.7200000000000005E-66</v>
      </c>
      <c r="F19481" s="2">
        <v>538</v>
      </c>
      <c r="G19481" s="2">
        <v>100</v>
      </c>
      <c r="H19481" s="2">
        <v>124</v>
      </c>
      <c r="I19481" s="2">
        <v>50</v>
      </c>
      <c r="J19481" s="2">
        <v>421</v>
      </c>
      <c r="K19481" s="2">
        <v>1</v>
      </c>
      <c r="L19481" s="2">
        <v>124</v>
      </c>
    </row>
    <row r="19482" spans="1:12" x14ac:dyDescent="0.25">
      <c r="A19482" s="4" t="str">
        <f>HYPERLINK("http://www.rosaceae.org/Prunus/Prunus_persica/p.persica_gdr_reftransV1_0000054","p.persica_gdr_reftransV1_0000054")</f>
        <v>p.persica_gdr_reftransV1_0000054</v>
      </c>
      <c r="B19482" s="2">
        <v>2073</v>
      </c>
      <c r="C19482" s="4" t="str">
        <f>HYPERLINK("http://www.uniprot.org/uniprot/M5X275","M5X275")</f>
        <v>M5X275</v>
      </c>
      <c r="D19482" s="2" t="s">
        <v>9826</v>
      </c>
      <c r="E19482" s="3">
        <v>0</v>
      </c>
      <c r="F19482" s="2">
        <v>2252</v>
      </c>
      <c r="G19482" s="2">
        <v>100</v>
      </c>
      <c r="H19482" s="2">
        <v>419</v>
      </c>
      <c r="I19482" s="2">
        <v>492</v>
      </c>
      <c r="J19482" s="2">
        <v>1745</v>
      </c>
      <c r="K19482" s="2">
        <v>1</v>
      </c>
      <c r="L19482" s="2">
        <v>419</v>
      </c>
    </row>
    <row r="19483" spans="1:12" x14ac:dyDescent="0.25">
      <c r="A19483" s="4" t="str">
        <f>HYPERLINK("http://www.rosaceae.org/Prunus/Prunus_persica/p.persica_gdr_reftransV1_0000404","p.persica_gdr_reftransV1_0000404")</f>
        <v>p.persica_gdr_reftransV1_0000404</v>
      </c>
      <c r="B19483" s="2">
        <v>1090</v>
      </c>
      <c r="C19483" s="4" t="str">
        <f>HYPERLINK("http://www.uniprot.org/uniprot/M5WV39","M5WV39")</f>
        <v>M5WV39</v>
      </c>
      <c r="D19483" s="2" t="s">
        <v>3091</v>
      </c>
      <c r="E19483" s="3">
        <v>5.8199999999999999E-173</v>
      </c>
      <c r="F19483" s="2">
        <v>1299</v>
      </c>
      <c r="G19483" s="2">
        <v>100</v>
      </c>
      <c r="H19483" s="2">
        <v>249</v>
      </c>
      <c r="I19483" s="2">
        <v>1</v>
      </c>
      <c r="J19483" s="2">
        <v>747</v>
      </c>
      <c r="K19483" s="2">
        <v>6</v>
      </c>
      <c r="L19483" s="2">
        <v>254</v>
      </c>
    </row>
    <row r="19484" spans="1:12" x14ac:dyDescent="0.25">
      <c r="A19484" s="4" t="str">
        <f>HYPERLINK("http://www.rosaceae.org/Prunus/Prunus_persica/p.persica_gdr_reftransV1_0001104","p.persica_gdr_reftransV1_0001104")</f>
        <v>p.persica_gdr_reftransV1_0001104</v>
      </c>
      <c r="B19484" s="2">
        <v>610</v>
      </c>
      <c r="C19484" s="4" t="str">
        <f>HYPERLINK("http://www.uniprot.org/uniprot/M5VIL8","M5VIL8")</f>
        <v>M5VIL8</v>
      </c>
      <c r="D19484" s="2" t="s">
        <v>12726</v>
      </c>
      <c r="E19484" s="3">
        <v>1.1900000000000001E-61</v>
      </c>
      <c r="F19484" s="2">
        <v>555</v>
      </c>
      <c r="G19484" s="2">
        <v>100</v>
      </c>
      <c r="H19484" s="2">
        <v>109</v>
      </c>
      <c r="I19484" s="2">
        <v>1</v>
      </c>
      <c r="J19484" s="2">
        <v>327</v>
      </c>
      <c r="K19484" s="2">
        <v>1</v>
      </c>
      <c r="L19484" s="2">
        <v>109</v>
      </c>
    </row>
    <row r="19485" spans="1:12" x14ac:dyDescent="0.25">
      <c r="A19485" s="4" t="str">
        <f>HYPERLINK("http://www.rosaceae.org/Prunus/Prunus_persica/p.persica_gdr_reftransV1_0001454","p.persica_gdr_reftransV1_0001454")</f>
        <v>p.persica_gdr_reftransV1_0001454</v>
      </c>
      <c r="B19485" s="2">
        <v>749</v>
      </c>
      <c r="C19485" s="4" t="str">
        <f>HYPERLINK("http://www.uniprot.org/uniprot/M5WPW4","M5WPW4")</f>
        <v>M5WPW4</v>
      </c>
      <c r="D19485" s="2" t="s">
        <v>11849</v>
      </c>
      <c r="E19485" s="3">
        <v>1.5699999999999999E-127</v>
      </c>
      <c r="F19485" s="2">
        <v>969</v>
      </c>
      <c r="G19485" s="2">
        <v>100</v>
      </c>
      <c r="H19485" s="2">
        <v>231</v>
      </c>
      <c r="I19485" s="2">
        <v>56</v>
      </c>
      <c r="J19485" s="2">
        <v>748</v>
      </c>
      <c r="K19485" s="2">
        <v>1</v>
      </c>
      <c r="L19485" s="2">
        <v>231</v>
      </c>
    </row>
    <row r="19486" spans="1:12" x14ac:dyDescent="0.25">
      <c r="A19486" s="4" t="str">
        <f>HYPERLINK("http://www.rosaceae.org/Prunus/Prunus_persica/p.persica_gdr_reftransV1_0001804","p.persica_gdr_reftransV1_0001804")</f>
        <v>p.persica_gdr_reftransV1_0001804</v>
      </c>
      <c r="B19486" s="2">
        <v>830</v>
      </c>
      <c r="C19486" s="4" t="str">
        <f>HYPERLINK("http://www.uniprot.org/uniprot/M5VS59","M5VS59")</f>
        <v>M5VS59</v>
      </c>
      <c r="D19486" s="2" t="s">
        <v>14911</v>
      </c>
      <c r="E19486" s="3">
        <v>0</v>
      </c>
      <c r="F19486" s="2">
        <v>1424</v>
      </c>
      <c r="G19486" s="2">
        <v>99</v>
      </c>
      <c r="H19486" s="2">
        <v>275</v>
      </c>
      <c r="I19486" s="2">
        <v>3</v>
      </c>
      <c r="J19486" s="2">
        <v>827</v>
      </c>
      <c r="K19486" s="2">
        <v>688</v>
      </c>
      <c r="L19486" s="2">
        <v>962</v>
      </c>
    </row>
    <row r="19487" spans="1:12" x14ac:dyDescent="0.25">
      <c r="A19487" s="4" t="str">
        <f>HYPERLINK("http://www.rosaceae.org/Prunus/Prunus_persica/p.persica_gdr_reftransV1_0002154","p.persica_gdr_reftransV1_0002154")</f>
        <v>p.persica_gdr_reftransV1_0002154</v>
      </c>
      <c r="B19487" s="2">
        <v>495</v>
      </c>
      <c r="C19487" s="4" t="str">
        <f>HYPERLINK("http://www.uniprot.org/uniprot/M5WPU6","M5WPU6")</f>
        <v>M5WPU6</v>
      </c>
      <c r="D19487" s="2" t="s">
        <v>7009</v>
      </c>
      <c r="E19487" s="3">
        <v>1.6500000000000001E-108</v>
      </c>
      <c r="F19487" s="2">
        <v>845</v>
      </c>
      <c r="G19487" s="2">
        <v>100</v>
      </c>
      <c r="H19487" s="2">
        <v>164</v>
      </c>
      <c r="I19487" s="2">
        <v>2</v>
      </c>
      <c r="J19487" s="2">
        <v>493</v>
      </c>
      <c r="K19487" s="2">
        <v>150</v>
      </c>
      <c r="L19487" s="2">
        <v>313</v>
      </c>
    </row>
    <row r="19488" spans="1:12" x14ac:dyDescent="0.25">
      <c r="A19488" s="4" t="str">
        <f>HYPERLINK("http://www.rosaceae.org/Prunus/Prunus_persica/p.persica_gdr_reftransV1_0002504","p.persica_gdr_reftransV1_0002504")</f>
        <v>p.persica_gdr_reftransV1_0002504</v>
      </c>
      <c r="B19488" s="2">
        <v>1693</v>
      </c>
      <c r="C19488" s="4" t="str">
        <f>HYPERLINK("http://www.uniprot.org/uniprot/M5XFV0","M5XFV0")</f>
        <v>M5XFV0</v>
      </c>
      <c r="D19488" s="2" t="s">
        <v>8061</v>
      </c>
      <c r="E19488" s="3">
        <v>9.9300000000000004E-113</v>
      </c>
      <c r="F19488" s="2">
        <v>701</v>
      </c>
      <c r="G19488" s="2">
        <v>100</v>
      </c>
      <c r="H19488" s="2">
        <v>149</v>
      </c>
      <c r="I19488" s="2">
        <v>1117</v>
      </c>
      <c r="J19488" s="2">
        <v>1563</v>
      </c>
      <c r="K19488" s="2">
        <v>1</v>
      </c>
      <c r="L19488" s="2">
        <v>149</v>
      </c>
    </row>
    <row r="19489" spans="1:12" x14ac:dyDescent="0.25">
      <c r="A19489" s="4" t="str">
        <f>HYPERLINK("http://www.rosaceae.org/Prunus/Prunus_persica/p.persica_gdr_reftransV1_0002854","p.persica_gdr_reftransV1_0002854")</f>
        <v>p.persica_gdr_reftransV1_0002854</v>
      </c>
      <c r="B19489" s="2">
        <v>381</v>
      </c>
      <c r="C19489" s="4" t="str">
        <f>HYPERLINK("http://www.uniprot.org/uniprot/M5VWB2","M5VWB2")</f>
        <v>M5VWB2</v>
      </c>
      <c r="D19489" s="2" t="s">
        <v>12065</v>
      </c>
      <c r="E19489" s="3">
        <v>1.0299999999999999E-80</v>
      </c>
      <c r="F19489" s="2">
        <v>677</v>
      </c>
      <c r="G19489" s="2">
        <v>100</v>
      </c>
      <c r="H19489" s="2">
        <v>126</v>
      </c>
      <c r="I19489" s="2">
        <v>3</v>
      </c>
      <c r="J19489" s="2">
        <v>380</v>
      </c>
      <c r="K19489" s="2">
        <v>370</v>
      </c>
      <c r="L19489" s="2">
        <v>495</v>
      </c>
    </row>
    <row r="19490" spans="1:12" x14ac:dyDescent="0.25">
      <c r="A19490" s="4" t="str">
        <f>HYPERLINK("http://www.rosaceae.org/Prunus/Prunus_persica/p.persica_gdr_reftransV1_0003554","p.persica_gdr_reftransV1_0003554")</f>
        <v>p.persica_gdr_reftransV1_0003554</v>
      </c>
      <c r="B19490" s="2">
        <v>2370</v>
      </c>
      <c r="C19490" s="4" t="str">
        <f>HYPERLINK("http://www.uniprot.org/uniprot/M5VXI9","M5VXI9")</f>
        <v>M5VXI9</v>
      </c>
      <c r="D19490" s="2" t="s">
        <v>8072</v>
      </c>
      <c r="E19490" s="3">
        <v>1.8500000000000001E-153</v>
      </c>
      <c r="F19490" s="2">
        <v>1188</v>
      </c>
      <c r="G19490" s="2">
        <v>100</v>
      </c>
      <c r="H19490" s="2">
        <v>236</v>
      </c>
      <c r="I19490" s="2">
        <v>1115</v>
      </c>
      <c r="J19490" s="2">
        <v>1822</v>
      </c>
      <c r="K19490" s="2">
        <v>1</v>
      </c>
      <c r="L19490" s="2">
        <v>236</v>
      </c>
    </row>
    <row r="19491" spans="1:12" x14ac:dyDescent="0.25">
      <c r="A19491" s="4" t="str">
        <f>HYPERLINK("http://www.rosaceae.org/Prunus/Prunus_persica/p.persica_gdr_reftransV1_0003904","p.persica_gdr_reftransV1_0003904")</f>
        <v>p.persica_gdr_reftransV1_0003904</v>
      </c>
      <c r="B19491" s="2">
        <v>2242</v>
      </c>
      <c r="C19491" s="4" t="str">
        <f>HYPERLINK("http://www.uniprot.org/uniprot/M5X271","M5X271")</f>
        <v>M5X271</v>
      </c>
      <c r="D19491" s="2" t="s">
        <v>14775</v>
      </c>
      <c r="E19491" s="3">
        <v>7.4799999999999997E-179</v>
      </c>
      <c r="F19491" s="2">
        <v>1349</v>
      </c>
      <c r="G19491" s="2">
        <v>100</v>
      </c>
      <c r="H19491" s="2">
        <v>265</v>
      </c>
      <c r="I19491" s="2">
        <v>196</v>
      </c>
      <c r="J19491" s="2">
        <v>990</v>
      </c>
      <c r="K19491" s="2">
        <v>1</v>
      </c>
      <c r="L19491" s="2">
        <v>265</v>
      </c>
    </row>
    <row r="19492" spans="1:12" x14ac:dyDescent="0.25">
      <c r="A19492" s="4" t="str">
        <f>HYPERLINK("http://www.rosaceae.org/Prunus/Prunus_persica/p.persica_gdr_reftransV1_0004254","p.persica_gdr_reftransV1_0004254")</f>
        <v>p.persica_gdr_reftransV1_0004254</v>
      </c>
      <c r="B19492" s="2">
        <v>2023</v>
      </c>
      <c r="C19492" s="4" t="str">
        <f>HYPERLINK("http://www.uniprot.org/uniprot/M5VY17","M5VY17")</f>
        <v>M5VY17</v>
      </c>
      <c r="D19492" s="2" t="s">
        <v>10841</v>
      </c>
      <c r="E19492" s="3">
        <v>0</v>
      </c>
      <c r="F19492" s="2">
        <v>2376</v>
      </c>
      <c r="G19492" s="2">
        <v>97</v>
      </c>
      <c r="H19492" s="2">
        <v>495</v>
      </c>
      <c r="I19492" s="2">
        <v>425</v>
      </c>
      <c r="J19492" s="2">
        <v>1909</v>
      </c>
      <c r="K19492" s="2">
        <v>1</v>
      </c>
      <c r="L19492" s="2">
        <v>484</v>
      </c>
    </row>
    <row r="19493" spans="1:12" x14ac:dyDescent="0.25">
      <c r="A19493" s="4" t="str">
        <f>HYPERLINK("http://www.rosaceae.org/Prunus/Prunus_persica/p.persica_gdr_reftransV1_0004604","p.persica_gdr_reftransV1_0004604")</f>
        <v>p.persica_gdr_reftransV1_0004604</v>
      </c>
      <c r="B19493" s="2">
        <v>1073</v>
      </c>
      <c r="C19493" s="4" t="str">
        <f>HYPERLINK("http://www.uniprot.org/uniprot/M5XN27","M5XN27")</f>
        <v>M5XN27</v>
      </c>
      <c r="D19493" s="2" t="s">
        <v>4461</v>
      </c>
      <c r="E19493" s="3">
        <v>7.6200000000000002E-69</v>
      </c>
      <c r="F19493" s="2">
        <v>585</v>
      </c>
      <c r="G19493" s="2">
        <v>100</v>
      </c>
      <c r="H19493" s="2">
        <v>133</v>
      </c>
      <c r="I19493" s="2">
        <v>464</v>
      </c>
      <c r="J19493" s="2">
        <v>862</v>
      </c>
      <c r="K19493" s="2">
        <v>178</v>
      </c>
      <c r="L19493" s="2">
        <v>310</v>
      </c>
    </row>
    <row r="19494" spans="1:12" x14ac:dyDescent="0.25">
      <c r="A19494" s="4" t="str">
        <f>HYPERLINK("http://www.rosaceae.org/Prunus/Prunus_persica/p.persica_gdr_reftransV1_0004954","p.persica_gdr_reftransV1_0004954")</f>
        <v>p.persica_gdr_reftransV1_0004954</v>
      </c>
      <c r="B19494" s="2">
        <v>1556</v>
      </c>
      <c r="C19494" s="4" t="str">
        <f>HYPERLINK("http://www.uniprot.org/uniprot/M5Y9C6","M5Y9C6")</f>
        <v>M5Y9C6</v>
      </c>
      <c r="D19494" s="2" t="s">
        <v>13426</v>
      </c>
      <c r="E19494" s="3">
        <v>0</v>
      </c>
      <c r="F19494" s="2">
        <v>1584</v>
      </c>
      <c r="G19494" s="2">
        <v>100</v>
      </c>
      <c r="H19494" s="2">
        <v>357</v>
      </c>
      <c r="I19494" s="2">
        <v>331</v>
      </c>
      <c r="J19494" s="2">
        <v>1401</v>
      </c>
      <c r="K19494" s="2">
        <v>1</v>
      </c>
      <c r="L19494" s="2">
        <v>357</v>
      </c>
    </row>
    <row r="19495" spans="1:12" x14ac:dyDescent="0.25">
      <c r="A19495" s="4" t="str">
        <f>HYPERLINK("http://www.rosaceae.org/Prunus/Prunus_persica/p.persica_gdr_reftransV1_0005304","p.persica_gdr_reftransV1_0005304")</f>
        <v>p.persica_gdr_reftransV1_0005304</v>
      </c>
      <c r="B19495" s="2">
        <v>1748</v>
      </c>
      <c r="C19495" s="4" t="str">
        <f>HYPERLINK("http://www.uniprot.org/uniprot/M5WMT5","M5WMT5")</f>
        <v>M5WMT5</v>
      </c>
      <c r="D19495" s="2" t="s">
        <v>14912</v>
      </c>
      <c r="E19495" s="3">
        <v>0</v>
      </c>
      <c r="F19495" s="2">
        <v>1770</v>
      </c>
      <c r="G19495" s="2">
        <v>100</v>
      </c>
      <c r="H19495" s="2">
        <v>337</v>
      </c>
      <c r="I19495" s="2">
        <v>380</v>
      </c>
      <c r="J19495" s="2">
        <v>1390</v>
      </c>
      <c r="K19495" s="2">
        <v>9</v>
      </c>
      <c r="L19495" s="2">
        <v>345</v>
      </c>
    </row>
    <row r="19496" spans="1:12" x14ac:dyDescent="0.25">
      <c r="A19496" s="4" t="str">
        <f>HYPERLINK("http://www.rosaceae.org/Prunus/Prunus_persica/p.persica_gdr_reftransV1_0005654","p.persica_gdr_reftransV1_0005654")</f>
        <v>p.persica_gdr_reftransV1_0005654</v>
      </c>
      <c r="B19496" s="2">
        <v>468</v>
      </c>
      <c r="C19496" s="4" t="str">
        <f>HYPERLINK("http://www.uniprot.org/uniprot/M5WGK2","M5WGK2")</f>
        <v>M5WGK2</v>
      </c>
      <c r="D19496" s="2" t="s">
        <v>6682</v>
      </c>
      <c r="E19496" s="3">
        <v>3.65E-106</v>
      </c>
      <c r="F19496" s="2">
        <v>828</v>
      </c>
      <c r="G19496" s="2">
        <v>100</v>
      </c>
      <c r="H19496" s="2">
        <v>155</v>
      </c>
      <c r="I19496" s="2">
        <v>2</v>
      </c>
      <c r="J19496" s="2">
        <v>466</v>
      </c>
      <c r="K19496" s="2">
        <v>61</v>
      </c>
      <c r="L19496" s="2">
        <v>215</v>
      </c>
    </row>
    <row r="19497" spans="1:12" x14ac:dyDescent="0.25">
      <c r="A19497" s="4" t="str">
        <f>HYPERLINK("http://www.rosaceae.org/Prunus/Prunus_persica/p.persica_gdr_reftransV1_0006354","p.persica_gdr_reftransV1_0006354")</f>
        <v>p.persica_gdr_reftransV1_0006354</v>
      </c>
      <c r="B19497" s="2">
        <v>3385</v>
      </c>
      <c r="C19497" s="4" t="str">
        <f>HYPERLINK("http://www.uniprot.org/uniprot/M5X741","M5X741")</f>
        <v>M5X741</v>
      </c>
      <c r="D19497" s="2" t="s">
        <v>14913</v>
      </c>
      <c r="E19497" s="3">
        <v>0</v>
      </c>
      <c r="F19497" s="2">
        <v>5265</v>
      </c>
      <c r="G19497" s="2">
        <v>100</v>
      </c>
      <c r="H19497" s="2">
        <v>993</v>
      </c>
      <c r="I19497" s="2">
        <v>247</v>
      </c>
      <c r="J19497" s="2">
        <v>3225</v>
      </c>
      <c r="K19497" s="2">
        <v>1</v>
      </c>
      <c r="L19497" s="2">
        <v>993</v>
      </c>
    </row>
    <row r="19498" spans="1:12" x14ac:dyDescent="0.25">
      <c r="A19498" s="4" t="str">
        <f>HYPERLINK("http://www.rosaceae.org/Prunus/Prunus_persica/p.persica_gdr_reftransV1_0006704","p.persica_gdr_reftransV1_0006704")</f>
        <v>p.persica_gdr_reftransV1_0006704</v>
      </c>
      <c r="B19498" s="2">
        <v>1428</v>
      </c>
      <c r="C19498" s="4" t="str">
        <f>HYPERLINK("http://www.uniprot.org/uniprot/A5ALJ4","A5ALJ4")</f>
        <v>A5ALJ4</v>
      </c>
      <c r="D19498" s="2" t="s">
        <v>8908</v>
      </c>
      <c r="E19498" s="3">
        <v>7.9399999999999998E-150</v>
      </c>
      <c r="F19498" s="2">
        <v>1195</v>
      </c>
      <c r="G19498" s="2">
        <v>53</v>
      </c>
      <c r="H19498" s="2">
        <v>488</v>
      </c>
      <c r="I19498" s="2">
        <v>1</v>
      </c>
      <c r="J19498" s="2">
        <v>1428</v>
      </c>
      <c r="K19498" s="2">
        <v>365</v>
      </c>
      <c r="L19498" s="2">
        <v>848</v>
      </c>
    </row>
    <row r="19499" spans="1:12" x14ac:dyDescent="0.25">
      <c r="A19499" s="4" t="str">
        <f>HYPERLINK("http://www.rosaceae.org/Prunus/Prunus_persica/p.persica_gdr_reftransV1_0007054","p.persica_gdr_reftransV1_0007054")</f>
        <v>p.persica_gdr_reftransV1_0007054</v>
      </c>
      <c r="B19499" s="2">
        <v>574</v>
      </c>
      <c r="C19499" s="4" t="str">
        <f>HYPERLINK("http://www.uniprot.org/uniprot/M5XPI5","M5XPI5")</f>
        <v>M5XPI5</v>
      </c>
      <c r="D19499" s="2" t="s">
        <v>10718</v>
      </c>
      <c r="E19499" s="3">
        <v>6.5599999999999998E-68</v>
      </c>
      <c r="F19499" s="2">
        <v>574</v>
      </c>
      <c r="G19499" s="2">
        <v>98</v>
      </c>
      <c r="H19499" s="2">
        <v>112</v>
      </c>
      <c r="I19499" s="2">
        <v>18</v>
      </c>
      <c r="J19499" s="2">
        <v>353</v>
      </c>
      <c r="K19499" s="2">
        <v>171</v>
      </c>
      <c r="L19499" s="2">
        <v>282</v>
      </c>
    </row>
    <row r="19500" spans="1:12" x14ac:dyDescent="0.25">
      <c r="A19500" s="4" t="str">
        <f>HYPERLINK("http://www.rosaceae.org/Prunus/Prunus_persica/p.persica_gdr_reftransV1_0008104","p.persica_gdr_reftransV1_0008104")</f>
        <v>p.persica_gdr_reftransV1_0008104</v>
      </c>
      <c r="B19500" s="2">
        <v>900</v>
      </c>
      <c r="C19500" s="4" t="str">
        <f>HYPERLINK("http://www.uniprot.org/uniprot/M5XNI8","M5XNI8")</f>
        <v>M5XNI8</v>
      </c>
      <c r="D19500" s="2" t="s">
        <v>14914</v>
      </c>
      <c r="E19500" s="3">
        <v>0</v>
      </c>
      <c r="F19500" s="2">
        <v>1531</v>
      </c>
      <c r="G19500" s="2">
        <v>100</v>
      </c>
      <c r="H19500" s="2">
        <v>285</v>
      </c>
      <c r="I19500" s="2">
        <v>44</v>
      </c>
      <c r="J19500" s="2">
        <v>898</v>
      </c>
      <c r="K19500" s="2">
        <v>42</v>
      </c>
      <c r="L19500" s="2">
        <v>326</v>
      </c>
    </row>
    <row r="19501" spans="1:12" x14ac:dyDescent="0.25">
      <c r="A19501" s="4" t="str">
        <f>HYPERLINK("http://www.rosaceae.org/Prunus/Prunus_persica/p.persica_gdr_reftransV1_0008454","p.persica_gdr_reftransV1_0008454")</f>
        <v>p.persica_gdr_reftransV1_0008454</v>
      </c>
      <c r="B19501" s="2">
        <v>2132</v>
      </c>
      <c r="C19501" s="4" t="str">
        <f>HYPERLINK("http://www.uniprot.org/uniprot/M5VRW7","M5VRW7")</f>
        <v>M5VRW7</v>
      </c>
      <c r="D19501" s="2" t="s">
        <v>14915</v>
      </c>
      <c r="E19501" s="3">
        <v>0</v>
      </c>
      <c r="F19501" s="2">
        <v>1839</v>
      </c>
      <c r="G19501" s="2">
        <v>100</v>
      </c>
      <c r="H19501" s="2">
        <v>348</v>
      </c>
      <c r="I19501" s="2">
        <v>594</v>
      </c>
      <c r="J19501" s="2">
        <v>1637</v>
      </c>
      <c r="K19501" s="2">
        <v>154</v>
      </c>
      <c r="L19501" s="2">
        <v>501</v>
      </c>
    </row>
    <row r="19502" spans="1:12" x14ac:dyDescent="0.25">
      <c r="A19502" s="4" t="str">
        <f>HYPERLINK("http://www.rosaceae.org/Prunus/Prunus_persica/p.persica_gdr_reftransV1_0009154","p.persica_gdr_reftransV1_0009154")</f>
        <v>p.persica_gdr_reftransV1_0009154</v>
      </c>
      <c r="B19502" s="2">
        <v>3312</v>
      </c>
      <c r="C19502" s="4" t="str">
        <f>HYPERLINK("http://www.uniprot.org/uniprot/M5W6W2","M5W6W2")</f>
        <v>M5W6W2</v>
      </c>
      <c r="D19502" s="2" t="s">
        <v>14916</v>
      </c>
      <c r="E19502" s="3">
        <v>0</v>
      </c>
      <c r="F19502" s="2">
        <v>3006</v>
      </c>
      <c r="G19502" s="2">
        <v>100</v>
      </c>
      <c r="H19502" s="2">
        <v>556</v>
      </c>
      <c r="I19502" s="2">
        <v>1</v>
      </c>
      <c r="J19502" s="2">
        <v>1668</v>
      </c>
      <c r="K19502" s="2">
        <v>34</v>
      </c>
      <c r="L19502" s="2">
        <v>589</v>
      </c>
    </row>
    <row r="19503" spans="1:12" x14ac:dyDescent="0.25">
      <c r="A19503" s="4" t="str">
        <f>HYPERLINK("http://www.rosaceae.org/Prunus/Prunus_persica/p.persica_gdr_reftransV1_0009854","p.persica_gdr_reftransV1_0009854")</f>
        <v>p.persica_gdr_reftransV1_0009854</v>
      </c>
      <c r="B19503" s="2">
        <v>1774</v>
      </c>
      <c r="C19503" s="4" t="str">
        <f>HYPERLINK("http://www.uniprot.org/uniprot/M5VZ75","M5VZ75")</f>
        <v>M5VZ75</v>
      </c>
      <c r="D19503" s="2" t="s">
        <v>14917</v>
      </c>
      <c r="E19503" s="3">
        <v>0</v>
      </c>
      <c r="F19503" s="2">
        <v>1576</v>
      </c>
      <c r="G19503" s="2">
        <v>100</v>
      </c>
      <c r="H19503" s="2">
        <v>370</v>
      </c>
      <c r="I19503" s="2">
        <v>391</v>
      </c>
      <c r="J19503" s="2">
        <v>1500</v>
      </c>
      <c r="K19503" s="2">
        <v>1</v>
      </c>
      <c r="L19503" s="2">
        <v>370</v>
      </c>
    </row>
    <row r="19504" spans="1:12" x14ac:dyDescent="0.25">
      <c r="A19504" s="4" t="str">
        <f>HYPERLINK("http://www.rosaceae.org/Prunus/Prunus_persica/p.persica_gdr_reftransV1_0010554","p.persica_gdr_reftransV1_0010554")</f>
        <v>p.persica_gdr_reftransV1_0010554</v>
      </c>
      <c r="B19504" s="2">
        <v>1334</v>
      </c>
      <c r="C19504" s="4" t="str">
        <f>HYPERLINK("http://www.uniprot.org/uniprot/M5VKR8","M5VKR8")</f>
        <v>M5VKR8</v>
      </c>
      <c r="D19504" s="2" t="s">
        <v>14918</v>
      </c>
      <c r="E19504" s="3">
        <v>0</v>
      </c>
      <c r="F19504" s="2">
        <v>1453</v>
      </c>
      <c r="G19504" s="2">
        <v>100</v>
      </c>
      <c r="H19504" s="2">
        <v>293</v>
      </c>
      <c r="I19504" s="2">
        <v>65</v>
      </c>
      <c r="J19504" s="2">
        <v>943</v>
      </c>
      <c r="K19504" s="2">
        <v>1</v>
      </c>
      <c r="L19504" s="2">
        <v>293</v>
      </c>
    </row>
    <row r="19505" spans="1:12" x14ac:dyDescent="0.25">
      <c r="A19505" s="4" t="str">
        <f>HYPERLINK("http://www.rosaceae.org/Prunus/Prunus_persica/p.persica_gdr_reftransV1_0010904","p.persica_gdr_reftransV1_0010904")</f>
        <v>p.persica_gdr_reftransV1_0010904</v>
      </c>
      <c r="B19505" s="2">
        <v>755</v>
      </c>
      <c r="C19505" s="4" t="str">
        <f>HYPERLINK("http://www.uniprot.org/uniprot/M5VYT8","M5VYT8")</f>
        <v>M5VYT8</v>
      </c>
      <c r="D19505" s="2" t="s">
        <v>3538</v>
      </c>
      <c r="E19505" s="3">
        <v>4.0399999999999998E-29</v>
      </c>
      <c r="F19505" s="2">
        <v>307</v>
      </c>
      <c r="G19505" s="2">
        <v>87</v>
      </c>
      <c r="H19505" s="2">
        <v>104</v>
      </c>
      <c r="I19505" s="2">
        <v>2</v>
      </c>
      <c r="J19505" s="2">
        <v>313</v>
      </c>
      <c r="K19505" s="2">
        <v>260</v>
      </c>
      <c r="L19505" s="2">
        <v>350</v>
      </c>
    </row>
    <row r="19506" spans="1:12" x14ac:dyDescent="0.25">
      <c r="A19506" s="4" t="str">
        <f>HYPERLINK("http://www.rosaceae.org/Prunus/Prunus_persica/p.persica_gdr_reftransV1_0011254","p.persica_gdr_reftransV1_0011254")</f>
        <v>p.persica_gdr_reftransV1_0011254</v>
      </c>
      <c r="B19506" s="2">
        <v>1155</v>
      </c>
      <c r="C19506" s="4" t="str">
        <f>HYPERLINK("http://www.uniprot.org/uniprot/M5WU78","M5WU78")</f>
        <v>M5WU78</v>
      </c>
      <c r="D19506" s="2" t="s">
        <v>2700</v>
      </c>
      <c r="E19506" s="3">
        <v>1.07E-113</v>
      </c>
      <c r="F19506" s="2">
        <v>892</v>
      </c>
      <c r="G19506" s="2">
        <v>84</v>
      </c>
      <c r="H19506" s="2">
        <v>216</v>
      </c>
      <c r="I19506" s="2">
        <v>336</v>
      </c>
      <c r="J19506" s="2">
        <v>983</v>
      </c>
      <c r="K19506" s="2">
        <v>173</v>
      </c>
      <c r="L19506" s="2">
        <v>353</v>
      </c>
    </row>
    <row r="19507" spans="1:12" x14ac:dyDescent="0.25">
      <c r="A19507" s="4" t="str">
        <f>HYPERLINK("http://www.rosaceae.org/Prunus/Prunus_persica/p.persica_gdr_reftransV1_0011954","p.persica_gdr_reftransV1_0011954")</f>
        <v>p.persica_gdr_reftransV1_0011954</v>
      </c>
      <c r="B19507" s="2">
        <v>2365</v>
      </c>
      <c r="C19507" s="4" t="str">
        <f>HYPERLINK("http://www.uniprot.org/uniprot/M5X8F0","M5X8F0")</f>
        <v>M5X8F0</v>
      </c>
      <c r="D19507" s="2" t="s">
        <v>14919</v>
      </c>
      <c r="E19507" s="3">
        <v>0</v>
      </c>
      <c r="F19507" s="2">
        <v>2826</v>
      </c>
      <c r="G19507" s="2">
        <v>96</v>
      </c>
      <c r="H19507" s="2">
        <v>611</v>
      </c>
      <c r="I19507" s="2">
        <v>262</v>
      </c>
      <c r="J19507" s="2">
        <v>2094</v>
      </c>
      <c r="K19507" s="2">
        <v>1</v>
      </c>
      <c r="L19507" s="2">
        <v>598</v>
      </c>
    </row>
    <row r="19508" spans="1:12" x14ac:dyDescent="0.25">
      <c r="A19508" s="4" t="str">
        <f>HYPERLINK("http://www.rosaceae.org/Prunus/Prunus_persica/p.persica_gdr_reftransV1_0012654","p.persica_gdr_reftransV1_0012654")</f>
        <v>p.persica_gdr_reftransV1_0012654</v>
      </c>
      <c r="B19508" s="2">
        <v>846</v>
      </c>
      <c r="C19508" s="4" t="str">
        <f>HYPERLINK("http://www.uniprot.org/uniprot/M5WM45","M5WM45")</f>
        <v>M5WM45</v>
      </c>
      <c r="D19508" s="2" t="s">
        <v>14920</v>
      </c>
      <c r="E19508" s="3">
        <v>3.36E-130</v>
      </c>
      <c r="F19508" s="2">
        <v>973</v>
      </c>
      <c r="G19508" s="2">
        <v>100</v>
      </c>
      <c r="H19508" s="2">
        <v>184</v>
      </c>
      <c r="I19508" s="2">
        <v>222</v>
      </c>
      <c r="J19508" s="2">
        <v>773</v>
      </c>
      <c r="K19508" s="2">
        <v>1</v>
      </c>
      <c r="L19508" s="2">
        <v>184</v>
      </c>
    </row>
    <row r="19509" spans="1:12" x14ac:dyDescent="0.25">
      <c r="A19509" s="4" t="str">
        <f>HYPERLINK("http://www.rosaceae.org/Prunus/Prunus_persica/p.persica_gdr_reftransV1_0013354","p.persica_gdr_reftransV1_0013354")</f>
        <v>p.persica_gdr_reftransV1_0013354</v>
      </c>
      <c r="B19509" s="2">
        <v>1070</v>
      </c>
      <c r="C19509" s="4" t="str">
        <f>HYPERLINK("http://www.uniprot.org/uniprot/M5X2S5","M5X2S5")</f>
        <v>M5X2S5</v>
      </c>
      <c r="D19509" s="2" t="s">
        <v>14921</v>
      </c>
      <c r="E19509" s="3">
        <v>1.6300000000000001E-87</v>
      </c>
      <c r="F19509" s="2">
        <v>659</v>
      </c>
      <c r="G19509" s="2">
        <v>100</v>
      </c>
      <c r="H19509" s="2">
        <v>123</v>
      </c>
      <c r="I19509" s="2">
        <v>309</v>
      </c>
      <c r="J19509" s="2">
        <v>677</v>
      </c>
      <c r="K19509" s="2">
        <v>44</v>
      </c>
      <c r="L19509" s="2">
        <v>166</v>
      </c>
    </row>
    <row r="19510" spans="1:12" x14ac:dyDescent="0.25">
      <c r="A19510" s="4" t="str">
        <f>HYPERLINK("http://www.rosaceae.org/Prunus/Prunus_persica/p.persica_gdr_reftransV1_0013704","p.persica_gdr_reftransV1_0013704")</f>
        <v>p.persica_gdr_reftransV1_0013704</v>
      </c>
      <c r="B19510" s="2">
        <v>1017</v>
      </c>
      <c r="C19510" s="4" t="str">
        <f>HYPERLINK("http://www.uniprot.org/uniprot/M5XKK0","M5XKK0")</f>
        <v>M5XKK0</v>
      </c>
      <c r="D19510" s="2" t="s">
        <v>14922</v>
      </c>
      <c r="E19510" s="3">
        <v>5.67E-129</v>
      </c>
      <c r="F19510" s="2">
        <v>975</v>
      </c>
      <c r="G19510" s="2">
        <v>100</v>
      </c>
      <c r="H19510" s="2">
        <v>223</v>
      </c>
      <c r="I19510" s="2">
        <v>59</v>
      </c>
      <c r="J19510" s="2">
        <v>727</v>
      </c>
      <c r="K19510" s="2">
        <v>1</v>
      </c>
      <c r="L19510" s="2">
        <v>223</v>
      </c>
    </row>
    <row r="19511" spans="1:12" x14ac:dyDescent="0.25">
      <c r="A19511" s="4" t="str">
        <f>HYPERLINK("http://www.rosaceae.org/Prunus/Prunus_persica/p.persica_gdr_reftransV1_0014754","p.persica_gdr_reftransV1_0014754")</f>
        <v>p.persica_gdr_reftransV1_0014754</v>
      </c>
      <c r="B19511" s="2">
        <v>949</v>
      </c>
      <c r="C19511" s="4" t="str">
        <f>HYPERLINK("http://www.uniprot.org/uniprot/M5VNP9","M5VNP9")</f>
        <v>M5VNP9</v>
      </c>
      <c r="D19511" s="2" t="s">
        <v>14923</v>
      </c>
      <c r="E19511" s="3">
        <v>3.54E-124</v>
      </c>
      <c r="F19511" s="2">
        <v>938</v>
      </c>
      <c r="G19511" s="2">
        <v>100</v>
      </c>
      <c r="H19511" s="2">
        <v>193</v>
      </c>
      <c r="I19511" s="2">
        <v>251</v>
      </c>
      <c r="J19511" s="2">
        <v>829</v>
      </c>
      <c r="K19511" s="2">
        <v>1</v>
      </c>
      <c r="L19511" s="2">
        <v>193</v>
      </c>
    </row>
    <row r="19512" spans="1:12" x14ac:dyDescent="0.25">
      <c r="A19512" s="4" t="str">
        <f>HYPERLINK("http://www.rosaceae.org/Prunus/Prunus_persica/p.persica_gdr_reftransV1_0015804","p.persica_gdr_reftransV1_0015804")</f>
        <v>p.persica_gdr_reftransV1_0015804</v>
      </c>
      <c r="B19512" s="2">
        <v>3184</v>
      </c>
      <c r="C19512" s="4" t="str">
        <f>HYPERLINK("http://www.uniprot.org/uniprot/M5VV83","M5VV83")</f>
        <v>M5VV83</v>
      </c>
      <c r="D19512" s="2" t="s">
        <v>14924</v>
      </c>
      <c r="E19512" s="3">
        <v>0</v>
      </c>
      <c r="F19512" s="2">
        <v>2793</v>
      </c>
      <c r="G19512" s="2">
        <v>100</v>
      </c>
      <c r="H19512" s="2">
        <v>522</v>
      </c>
      <c r="I19512" s="2">
        <v>1019</v>
      </c>
      <c r="J19512" s="2">
        <v>2584</v>
      </c>
      <c r="K19512" s="2">
        <v>1</v>
      </c>
      <c r="L19512" s="2">
        <v>522</v>
      </c>
    </row>
    <row r="19513" spans="1:12" x14ac:dyDescent="0.25">
      <c r="A19513" s="4" t="str">
        <f>HYPERLINK("http://www.rosaceae.org/Prunus/Prunus_persica/p.persica_gdr_reftransV1_0018954","p.persica_gdr_reftransV1_0018954")</f>
        <v>p.persica_gdr_reftransV1_0018954</v>
      </c>
      <c r="B19513" s="2">
        <v>709</v>
      </c>
      <c r="C19513" s="4" t="str">
        <f>HYPERLINK("http://www.uniprot.org/uniprot/M5WHH9","M5WHH9")</f>
        <v>M5WHH9</v>
      </c>
      <c r="D19513" s="2" t="s">
        <v>10226</v>
      </c>
      <c r="E19513" s="3">
        <v>3.7600000000000001E-116</v>
      </c>
      <c r="F19513" s="2">
        <v>896</v>
      </c>
      <c r="G19513" s="2">
        <v>100</v>
      </c>
      <c r="H19513" s="2">
        <v>166</v>
      </c>
      <c r="I19513" s="2">
        <v>3</v>
      </c>
      <c r="J19513" s="2">
        <v>500</v>
      </c>
      <c r="K19513" s="2">
        <v>1</v>
      </c>
      <c r="L19513" s="2">
        <v>166</v>
      </c>
    </row>
    <row r="19514" spans="1:12" x14ac:dyDescent="0.25">
      <c r="A19514" s="4" t="str">
        <f>HYPERLINK("http://www.rosaceae.org/Prunus/Prunus_persica/p.persica_gdr_reftransV1_0019654","p.persica_gdr_reftransV1_0019654")</f>
        <v>p.persica_gdr_reftransV1_0019654</v>
      </c>
      <c r="B19514" s="2">
        <v>3425</v>
      </c>
      <c r="C19514" s="4" t="str">
        <f>HYPERLINK("http://www.uniprot.org/uniprot/M5WGN6","M5WGN6")</f>
        <v>M5WGN6</v>
      </c>
      <c r="D19514" s="2" t="s">
        <v>11237</v>
      </c>
      <c r="E19514" s="3">
        <v>0</v>
      </c>
      <c r="F19514" s="2">
        <v>3902</v>
      </c>
      <c r="G19514" s="2">
        <v>100</v>
      </c>
      <c r="H19514" s="2">
        <v>780</v>
      </c>
      <c r="I19514" s="2">
        <v>180</v>
      </c>
      <c r="J19514" s="2">
        <v>2519</v>
      </c>
      <c r="K19514" s="2">
        <v>1</v>
      </c>
      <c r="L19514" s="2">
        <v>780</v>
      </c>
    </row>
    <row r="19515" spans="1:12" x14ac:dyDescent="0.25">
      <c r="A19515" s="4" t="str">
        <f>HYPERLINK("http://www.rosaceae.org/Prunus/Prunus_persica/p.persica_gdr_reftransV1_0022454","p.persica_gdr_reftransV1_0022454")</f>
        <v>p.persica_gdr_reftransV1_0022454</v>
      </c>
      <c r="B19515" s="2">
        <v>3574</v>
      </c>
      <c r="C19515" s="4" t="str">
        <f>HYPERLINK("http://www.uniprot.org/uniprot/M5WDQ3","M5WDQ3")</f>
        <v>M5WDQ3</v>
      </c>
      <c r="D19515" s="2" t="s">
        <v>6775</v>
      </c>
      <c r="E19515" s="3">
        <v>0</v>
      </c>
      <c r="F19515" s="2">
        <v>3374</v>
      </c>
      <c r="G19515" s="2">
        <v>98</v>
      </c>
      <c r="H19515" s="2">
        <v>749</v>
      </c>
      <c r="I19515" s="2">
        <v>940</v>
      </c>
      <c r="J19515" s="2">
        <v>3186</v>
      </c>
      <c r="K19515" s="2">
        <v>1</v>
      </c>
      <c r="L19515" s="2">
        <v>744</v>
      </c>
    </row>
    <row r="19516" spans="1:12" x14ac:dyDescent="0.25">
      <c r="A19516" s="4" t="str">
        <f>HYPERLINK("http://www.rosaceae.org/Prunus/Prunus_persica/p.persica_gdr_reftransV1_0022804","p.persica_gdr_reftransV1_0022804")</f>
        <v>p.persica_gdr_reftransV1_0022804</v>
      </c>
      <c r="B19516" s="2">
        <v>1968</v>
      </c>
      <c r="C19516" s="4" t="str">
        <f>HYPERLINK("http://www.uniprot.org/uniprot/M5X286","M5X286")</f>
        <v>M5X286</v>
      </c>
      <c r="D19516" s="2" t="s">
        <v>14925</v>
      </c>
      <c r="E19516" s="3">
        <v>3.9800000000000002E-144</v>
      </c>
      <c r="F19516" s="2">
        <v>1110</v>
      </c>
      <c r="G19516" s="2">
        <v>100</v>
      </c>
      <c r="H19516" s="2">
        <v>250</v>
      </c>
      <c r="I19516" s="2">
        <v>508</v>
      </c>
      <c r="J19516" s="2">
        <v>1257</v>
      </c>
      <c r="K19516" s="2">
        <v>1</v>
      </c>
      <c r="L19516" s="2">
        <v>250</v>
      </c>
    </row>
    <row r="19517" spans="1:12" x14ac:dyDescent="0.25">
      <c r="A19517" s="4" t="str">
        <f>HYPERLINK("http://www.rosaceae.org/Prunus/Prunus_persica/p.persica_gdr_reftransV1_0023504","p.persica_gdr_reftransV1_0023504")</f>
        <v>p.persica_gdr_reftransV1_0023504</v>
      </c>
      <c r="B19517" s="2">
        <v>4620</v>
      </c>
      <c r="C19517" s="4" t="str">
        <f>HYPERLINK("http://www.uniprot.org/uniprot/M5XAV9","M5XAV9")</f>
        <v>M5XAV9</v>
      </c>
      <c r="D19517" s="2" t="s">
        <v>14926</v>
      </c>
      <c r="E19517" s="3">
        <v>0</v>
      </c>
      <c r="F19517" s="2">
        <v>4995</v>
      </c>
      <c r="G19517" s="2">
        <v>100</v>
      </c>
      <c r="H19517" s="2">
        <v>939</v>
      </c>
      <c r="I19517" s="2">
        <v>1509</v>
      </c>
      <c r="J19517" s="2">
        <v>4325</v>
      </c>
      <c r="K19517" s="2">
        <v>1</v>
      </c>
      <c r="L19517" s="2">
        <v>939</v>
      </c>
    </row>
    <row r="19518" spans="1:12" x14ac:dyDescent="0.25">
      <c r="A19518" s="4" t="str">
        <f>HYPERLINK("http://www.rosaceae.org/Prunus/Prunus_persica/p.persica_gdr_reftransV1_0024204","p.persica_gdr_reftransV1_0024204")</f>
        <v>p.persica_gdr_reftransV1_0024204</v>
      </c>
      <c r="B19518" s="2">
        <v>3420</v>
      </c>
      <c r="C19518" s="4" t="str">
        <f>HYPERLINK("http://www.uniprot.org/uniprot/M5XFG3","M5XFG3")</f>
        <v>M5XFG3</v>
      </c>
      <c r="D19518" s="2" t="s">
        <v>4600</v>
      </c>
      <c r="E19518" s="3">
        <v>0</v>
      </c>
      <c r="F19518" s="2">
        <v>1849</v>
      </c>
      <c r="G19518" s="2">
        <v>95</v>
      </c>
      <c r="H19518" s="2">
        <v>361</v>
      </c>
      <c r="I19518" s="2">
        <v>1683</v>
      </c>
      <c r="J19518" s="2">
        <v>2765</v>
      </c>
      <c r="K19518" s="2">
        <v>35</v>
      </c>
      <c r="L19518" s="2">
        <v>395</v>
      </c>
    </row>
    <row r="19519" spans="1:12" x14ac:dyDescent="0.25">
      <c r="A19519" s="4" t="str">
        <f>HYPERLINK("http://www.rosaceae.org/Prunus/Prunus_persica/p.persica_gdr_reftransV1_0024904","p.persica_gdr_reftransV1_0024904")</f>
        <v>p.persica_gdr_reftransV1_0024904</v>
      </c>
      <c r="B19519" s="2">
        <v>2500</v>
      </c>
      <c r="C19519" s="4" t="str">
        <f>HYPERLINK("http://www.uniprot.org/uniprot/M5X614","M5X614")</f>
        <v>M5X614</v>
      </c>
      <c r="D19519" s="2" t="s">
        <v>5775</v>
      </c>
      <c r="E19519" s="3">
        <v>0</v>
      </c>
      <c r="F19519" s="2">
        <v>2060</v>
      </c>
      <c r="G19519" s="2">
        <v>100</v>
      </c>
      <c r="H19519" s="2">
        <v>402</v>
      </c>
      <c r="I19519" s="2">
        <v>2</v>
      </c>
      <c r="J19519" s="2">
        <v>1207</v>
      </c>
      <c r="K19519" s="2">
        <v>74</v>
      </c>
      <c r="L19519" s="2">
        <v>475</v>
      </c>
    </row>
    <row r="19520" spans="1:12" x14ac:dyDescent="0.25">
      <c r="A19520" s="4" t="str">
        <f>HYPERLINK("http://www.rosaceae.org/Prunus/Prunus_persica/p.persica_gdr_reftransV1_0025604","p.persica_gdr_reftransV1_0025604")</f>
        <v>p.persica_gdr_reftransV1_0025604</v>
      </c>
      <c r="B19520" s="2">
        <v>3396</v>
      </c>
      <c r="C19520" s="4" t="str">
        <f>HYPERLINK("http://www.uniprot.org/uniprot/M5WIA6","M5WIA6")</f>
        <v>M5WIA6</v>
      </c>
      <c r="D19520" s="2" t="s">
        <v>14927</v>
      </c>
      <c r="E19520" s="3">
        <v>6.4399999999999995E-123</v>
      </c>
      <c r="F19520" s="2">
        <v>637</v>
      </c>
      <c r="G19520" s="2">
        <v>100</v>
      </c>
      <c r="H19520" s="2">
        <v>114</v>
      </c>
      <c r="I19520" s="2">
        <v>2786</v>
      </c>
      <c r="J19520" s="2">
        <v>3127</v>
      </c>
      <c r="K19520" s="2">
        <v>289</v>
      </c>
      <c r="L19520" s="2">
        <v>402</v>
      </c>
    </row>
    <row r="19521" spans="1:12" x14ac:dyDescent="0.25">
      <c r="A19521" s="4" t="str">
        <f>HYPERLINK("http://www.rosaceae.org/Prunus/Prunus_persica/p.persica_gdr_reftransV1_0025954","p.persica_gdr_reftransV1_0025954")</f>
        <v>p.persica_gdr_reftransV1_0025954</v>
      </c>
      <c r="B19521" s="2">
        <v>3742</v>
      </c>
      <c r="C19521" s="4" t="str">
        <f>HYPERLINK("http://www.uniprot.org/uniprot/M5XB06","M5XB06")</f>
        <v>M5XB06</v>
      </c>
      <c r="D19521" s="2" t="s">
        <v>14928</v>
      </c>
      <c r="E19521" s="3">
        <v>0</v>
      </c>
      <c r="F19521" s="2">
        <v>1424</v>
      </c>
      <c r="G19521" s="2">
        <v>100</v>
      </c>
      <c r="H19521" s="2">
        <v>331</v>
      </c>
      <c r="I19521" s="2">
        <v>2370</v>
      </c>
      <c r="J19521" s="2">
        <v>3362</v>
      </c>
      <c r="K19521" s="2">
        <v>1</v>
      </c>
      <c r="L19521" s="2">
        <v>331</v>
      </c>
    </row>
    <row r="19522" spans="1:12" x14ac:dyDescent="0.25">
      <c r="A19522" s="4" t="str">
        <f>HYPERLINK("http://www.rosaceae.org/Prunus/Prunus_persica/p.persica_gdr_reftransV1_0026304","p.persica_gdr_reftransV1_0026304")</f>
        <v>p.persica_gdr_reftransV1_0026304</v>
      </c>
      <c r="B19522" s="2">
        <v>2018</v>
      </c>
      <c r="C19522" s="4" t="str">
        <f>HYPERLINK("http://www.uniprot.org/uniprot/M5WWW7","M5WWW7")</f>
        <v>M5WWW7</v>
      </c>
      <c r="D19522" s="2" t="s">
        <v>14929</v>
      </c>
      <c r="E19522" s="3">
        <v>0</v>
      </c>
      <c r="F19522" s="2">
        <v>1731</v>
      </c>
      <c r="G19522" s="2">
        <v>100</v>
      </c>
      <c r="H19522" s="2">
        <v>321</v>
      </c>
      <c r="I19522" s="2">
        <v>245</v>
      </c>
      <c r="J19522" s="2">
        <v>1207</v>
      </c>
      <c r="K19522" s="2">
        <v>128</v>
      </c>
      <c r="L19522" s="2">
        <v>448</v>
      </c>
    </row>
    <row r="19523" spans="1:12" x14ac:dyDescent="0.25">
      <c r="A19523" s="4" t="str">
        <f>HYPERLINK("http://www.rosaceae.org/Prunus/Prunus_persica/p.persica_gdr_reftransV1_0026654","p.persica_gdr_reftransV1_0026654")</f>
        <v>p.persica_gdr_reftransV1_0026654</v>
      </c>
      <c r="B19523" s="2">
        <v>1266</v>
      </c>
      <c r="C19523" s="4" t="str">
        <f>HYPERLINK("http://www.uniprot.org/uniprot/M5XZI4","M5XZI4")</f>
        <v>M5XZI4</v>
      </c>
      <c r="D19523" s="2" t="s">
        <v>999</v>
      </c>
      <c r="E19523" s="3">
        <v>2.4099999999999999E-90</v>
      </c>
      <c r="F19523" s="2">
        <v>724</v>
      </c>
      <c r="G19523" s="2">
        <v>100</v>
      </c>
      <c r="H19523" s="2">
        <v>191</v>
      </c>
      <c r="I19523" s="2">
        <v>322</v>
      </c>
      <c r="J19523" s="2">
        <v>894</v>
      </c>
      <c r="K19523" s="2">
        <v>1</v>
      </c>
      <c r="L19523" s="2">
        <v>191</v>
      </c>
    </row>
    <row r="19524" spans="1:12" x14ac:dyDescent="0.25">
      <c r="A19524" s="4" t="str">
        <f>HYPERLINK("http://www.rosaceae.org/Prunus/Prunus_persica/p.persica_gdr_reftransV1_0027004","p.persica_gdr_reftransV1_0027004")</f>
        <v>p.persica_gdr_reftransV1_0027004</v>
      </c>
      <c r="B19524" s="2">
        <v>4961</v>
      </c>
      <c r="C19524" s="4" t="str">
        <f>HYPERLINK("http://www.uniprot.org/uniprot/W9S6J6","W9S6J6")</f>
        <v>W9S6J6</v>
      </c>
      <c r="D19524" s="2" t="s">
        <v>14930</v>
      </c>
      <c r="E19524" s="3">
        <v>0</v>
      </c>
      <c r="F19524" s="2">
        <v>2651</v>
      </c>
      <c r="G19524" s="2">
        <v>77</v>
      </c>
      <c r="H19524" s="2">
        <v>643</v>
      </c>
      <c r="I19524" s="2">
        <v>3036</v>
      </c>
      <c r="J19524" s="2">
        <v>4961</v>
      </c>
      <c r="K19524" s="2">
        <v>151</v>
      </c>
      <c r="L19524" s="2">
        <v>786</v>
      </c>
    </row>
    <row r="19525" spans="1:12" x14ac:dyDescent="0.25">
      <c r="A19525" s="4" t="str">
        <f>HYPERLINK("http://www.rosaceae.org/Prunus/Prunus_persica/p.persica_gdr_reftransV1_0028754","p.persica_gdr_reftransV1_0028754")</f>
        <v>p.persica_gdr_reftransV1_0028754</v>
      </c>
      <c r="B19525" s="2">
        <v>2965</v>
      </c>
      <c r="C19525" s="4" t="str">
        <f>HYPERLINK("http://www.uniprot.org/uniprot/M5XDT3","M5XDT3")</f>
        <v>M5XDT3</v>
      </c>
      <c r="D19525" s="2" t="s">
        <v>14931</v>
      </c>
      <c r="E19525" s="3">
        <v>0</v>
      </c>
      <c r="F19525" s="2">
        <v>1704</v>
      </c>
      <c r="G19525" s="2">
        <v>94</v>
      </c>
      <c r="H19525" s="2">
        <v>366</v>
      </c>
      <c r="I19525" s="2">
        <v>100</v>
      </c>
      <c r="J19525" s="2">
        <v>1197</v>
      </c>
      <c r="K19525" s="2">
        <v>1</v>
      </c>
      <c r="L19525" s="2">
        <v>343</v>
      </c>
    </row>
    <row r="19526" spans="1:12" x14ac:dyDescent="0.25">
      <c r="A19526" s="4" t="str">
        <f>HYPERLINK("http://www.rosaceae.org/Prunus/Prunus_persica/p.persica_gdr_reftransV1_0029804","p.persica_gdr_reftransV1_0029804")</f>
        <v>p.persica_gdr_reftransV1_0029804</v>
      </c>
      <c r="B19526" s="2">
        <v>2451</v>
      </c>
      <c r="C19526" s="4" t="str">
        <f>HYPERLINK("http://www.uniprot.org/uniprot/M5XCM7","M5XCM7")</f>
        <v>M5XCM7</v>
      </c>
      <c r="D19526" s="2" t="s">
        <v>14932</v>
      </c>
      <c r="E19526" s="3">
        <v>0</v>
      </c>
      <c r="F19526" s="2">
        <v>2295</v>
      </c>
      <c r="G19526" s="2">
        <v>100</v>
      </c>
      <c r="H19526" s="2">
        <v>458</v>
      </c>
      <c r="I19526" s="2">
        <v>234</v>
      </c>
      <c r="J19526" s="2">
        <v>1607</v>
      </c>
      <c r="K19526" s="2">
        <v>1</v>
      </c>
      <c r="L19526" s="2">
        <v>458</v>
      </c>
    </row>
    <row r="19527" spans="1:12" x14ac:dyDescent="0.25">
      <c r="A19527" s="4" t="str">
        <f>HYPERLINK("http://www.rosaceae.org/Prunus/Prunus_persica/p.persica_gdr_reftransV1_0030504","p.persica_gdr_reftransV1_0030504")</f>
        <v>p.persica_gdr_reftransV1_0030504</v>
      </c>
      <c r="B19527" s="2">
        <v>939</v>
      </c>
      <c r="C19527" s="4" t="str">
        <f>HYPERLINK("http://www.uniprot.org/uniprot/M5W0J6","M5W0J6")</f>
        <v>M5W0J6</v>
      </c>
      <c r="D19527" s="2" t="s">
        <v>10236</v>
      </c>
      <c r="E19527" s="3">
        <v>6.1599999999999996E-105</v>
      </c>
      <c r="F19527" s="2">
        <v>808</v>
      </c>
      <c r="G19527" s="2">
        <v>80</v>
      </c>
      <c r="H19527" s="2">
        <v>206</v>
      </c>
      <c r="I19527" s="2">
        <v>265</v>
      </c>
      <c r="J19527" s="2">
        <v>882</v>
      </c>
      <c r="K19527" s="2">
        <v>1</v>
      </c>
      <c r="L19527" s="2">
        <v>164</v>
      </c>
    </row>
    <row r="19528" spans="1:12" x14ac:dyDescent="0.25">
      <c r="A19528" s="4" t="str">
        <f>HYPERLINK("http://www.rosaceae.org/Prunus/Prunus_persica/p.persica_gdr_reftransV1_0031904","p.persica_gdr_reftransV1_0031904")</f>
        <v>p.persica_gdr_reftransV1_0031904</v>
      </c>
      <c r="B19528" s="2">
        <v>2883</v>
      </c>
      <c r="C19528" s="4" t="str">
        <f>HYPERLINK("http://www.uniprot.org/uniprot/M5XKN1","M5XKN1")</f>
        <v>M5XKN1</v>
      </c>
      <c r="D19528" s="2" t="s">
        <v>14933</v>
      </c>
      <c r="E19528" s="3">
        <v>0</v>
      </c>
      <c r="F19528" s="2">
        <v>2904</v>
      </c>
      <c r="G19528" s="2">
        <v>100</v>
      </c>
      <c r="H19528" s="2">
        <v>558</v>
      </c>
      <c r="I19528" s="2">
        <v>306</v>
      </c>
      <c r="J19528" s="2">
        <v>1979</v>
      </c>
      <c r="K19528" s="2">
        <v>254</v>
      </c>
      <c r="L19528" s="2">
        <v>811</v>
      </c>
    </row>
    <row r="19529" spans="1:12" x14ac:dyDescent="0.25">
      <c r="A19529" s="4" t="str">
        <f>HYPERLINK("http://www.rosaceae.org/Prunus/Prunus_persica/p.persica_gdr_reftransV1_0033304","p.persica_gdr_reftransV1_0033304")</f>
        <v>p.persica_gdr_reftransV1_0033304</v>
      </c>
      <c r="B19529" s="2">
        <v>2289</v>
      </c>
      <c r="C19529" s="4" t="str">
        <f>HYPERLINK("http://www.uniprot.org/uniprot/M5VNI3","M5VNI3")</f>
        <v>M5VNI3</v>
      </c>
      <c r="D19529" s="2" t="s">
        <v>14934</v>
      </c>
      <c r="E19529" s="3">
        <v>0</v>
      </c>
      <c r="F19529" s="2">
        <v>1894</v>
      </c>
      <c r="G19529" s="2">
        <v>96</v>
      </c>
      <c r="H19529" s="2">
        <v>402</v>
      </c>
      <c r="I19529" s="2">
        <v>779</v>
      </c>
      <c r="J19529" s="2">
        <v>1984</v>
      </c>
      <c r="K19529" s="2">
        <v>1</v>
      </c>
      <c r="L19529" s="2">
        <v>386</v>
      </c>
    </row>
    <row r="19530" spans="1:12" x14ac:dyDescent="0.25">
      <c r="A19530" s="4" t="str">
        <f>HYPERLINK("http://www.rosaceae.org/Prunus/Prunus_persica/p.persica_gdr_reftransV1_0034004","p.persica_gdr_reftransV1_0034004")</f>
        <v>p.persica_gdr_reftransV1_0034004</v>
      </c>
      <c r="B19530" s="2">
        <v>1258</v>
      </c>
      <c r="C19530" s="4" t="str">
        <f>HYPERLINK("http://www.uniprot.org/uniprot/M5XFP0","M5XFP0")</f>
        <v>M5XFP0</v>
      </c>
      <c r="D19530" s="2" t="s">
        <v>7382</v>
      </c>
      <c r="E19530" s="3">
        <v>6.6300000000000003E-55</v>
      </c>
      <c r="F19530" s="2">
        <v>478</v>
      </c>
      <c r="G19530" s="2">
        <v>100</v>
      </c>
      <c r="H19530" s="2">
        <v>107</v>
      </c>
      <c r="I19530" s="2">
        <v>864</v>
      </c>
      <c r="J19530" s="2">
        <v>1184</v>
      </c>
      <c r="K19530" s="2">
        <v>1</v>
      </c>
      <c r="L19530" s="2">
        <v>107</v>
      </c>
    </row>
    <row r="19531" spans="1:12" x14ac:dyDescent="0.25">
      <c r="A19531" s="4" t="str">
        <f>HYPERLINK("http://www.rosaceae.org/Prunus/Prunus_persica/p.persica_gdr_reftransV1_0035054","p.persica_gdr_reftransV1_0035054")</f>
        <v>p.persica_gdr_reftransV1_0035054</v>
      </c>
      <c r="B19531" s="2">
        <v>2763</v>
      </c>
      <c r="C19531" s="4" t="str">
        <f>HYPERLINK("http://www.uniprot.org/uniprot/M5WU11","M5WU11")</f>
        <v>M5WU11</v>
      </c>
      <c r="D19531" s="2" t="s">
        <v>14935</v>
      </c>
      <c r="E19531" s="3">
        <v>0</v>
      </c>
      <c r="F19531" s="2">
        <v>2616</v>
      </c>
      <c r="G19531" s="2">
        <v>100</v>
      </c>
      <c r="H19531" s="2">
        <v>550</v>
      </c>
      <c r="I19531" s="2">
        <v>446</v>
      </c>
      <c r="J19531" s="2">
        <v>2095</v>
      </c>
      <c r="K19531" s="2">
        <v>1</v>
      </c>
      <c r="L19531" s="2">
        <v>550</v>
      </c>
    </row>
    <row r="19532" spans="1:12" x14ac:dyDescent="0.25">
      <c r="A19532" s="4" t="str">
        <f>HYPERLINK("http://www.rosaceae.org/Prunus/Prunus_persica/p.persica_gdr_reftransV1_0036804","p.persica_gdr_reftransV1_0036804")</f>
        <v>p.persica_gdr_reftransV1_0036804</v>
      </c>
      <c r="B19532" s="2">
        <v>1940</v>
      </c>
      <c r="C19532" s="4" t="str">
        <f>HYPERLINK("http://www.uniprot.org/uniprot/M5VNT8","M5VNT8")</f>
        <v>M5VNT8</v>
      </c>
      <c r="D19532" s="2" t="s">
        <v>14936</v>
      </c>
      <c r="E19532" s="3">
        <v>0</v>
      </c>
      <c r="F19532" s="2">
        <v>2539</v>
      </c>
      <c r="G19532" s="2">
        <v>99</v>
      </c>
      <c r="H19532" s="2">
        <v>517</v>
      </c>
      <c r="I19532" s="2">
        <v>214</v>
      </c>
      <c r="J19532" s="2">
        <v>1764</v>
      </c>
      <c r="K19532" s="2">
        <v>1</v>
      </c>
      <c r="L19532" s="2">
        <v>517</v>
      </c>
    </row>
    <row r="19533" spans="1:12" x14ac:dyDescent="0.25">
      <c r="A19533" s="4" t="str">
        <f>HYPERLINK("http://www.rosaceae.org/Prunus/Prunus_persica/p.persica_gdr_reftransV1_0040654","p.persica_gdr_reftransV1_0040654")</f>
        <v>p.persica_gdr_reftransV1_0040654</v>
      </c>
      <c r="B19533" s="2">
        <v>3732</v>
      </c>
      <c r="C19533" s="4" t="str">
        <f>HYPERLINK("http://www.uniprot.org/uniprot/W9RP72","W9RP72")</f>
        <v>W9RP72</v>
      </c>
      <c r="D19533" s="2" t="s">
        <v>14937</v>
      </c>
      <c r="E19533" s="3">
        <v>0</v>
      </c>
      <c r="F19533" s="2">
        <v>2403</v>
      </c>
      <c r="G19533" s="2">
        <v>86</v>
      </c>
      <c r="H19533" s="2">
        <v>570</v>
      </c>
      <c r="I19533" s="2">
        <v>1485</v>
      </c>
      <c r="J19533" s="2">
        <v>3194</v>
      </c>
      <c r="K19533" s="2">
        <v>36</v>
      </c>
      <c r="L19533" s="2">
        <v>580</v>
      </c>
    </row>
    <row r="19534" spans="1:12" x14ac:dyDescent="0.25">
      <c r="A19534" s="4" t="str">
        <f>HYPERLINK("http://www.rosaceae.org/Prunus/Prunus_persica/p.persica_gdr_reftransV1_0042404","p.persica_gdr_reftransV1_0042404")</f>
        <v>p.persica_gdr_reftransV1_0042404</v>
      </c>
      <c r="B19534" s="2">
        <v>3411</v>
      </c>
      <c r="C19534" s="4" t="str">
        <f>HYPERLINK("http://www.uniprot.org/uniprot/M5VK49","M5VK49")</f>
        <v>M5VK49</v>
      </c>
      <c r="D19534" s="2" t="s">
        <v>2482</v>
      </c>
      <c r="E19534" s="3">
        <v>0</v>
      </c>
      <c r="F19534" s="2">
        <v>1063</v>
      </c>
      <c r="G19534" s="2">
        <v>75</v>
      </c>
      <c r="H19534" s="2">
        <v>287</v>
      </c>
      <c r="I19534" s="2">
        <v>312</v>
      </c>
      <c r="J19534" s="2">
        <v>1172</v>
      </c>
      <c r="K19534" s="2">
        <v>308</v>
      </c>
      <c r="L19534" s="2">
        <v>521</v>
      </c>
    </row>
    <row r="19535" spans="1:12" x14ac:dyDescent="0.25">
      <c r="A19535" s="4" t="str">
        <f>HYPERLINK("http://www.rosaceae.org/Prunus/Prunus_persica/p.persica_gdr_reftransV1_0043104","p.persica_gdr_reftransV1_0043104")</f>
        <v>p.persica_gdr_reftransV1_0043104</v>
      </c>
      <c r="B19535" s="2">
        <v>457</v>
      </c>
      <c r="C19535" s="4" t="str">
        <f>HYPERLINK("http://www.uniprot.org/uniprot/M5WPK6","M5WPK6")</f>
        <v>M5WPK6</v>
      </c>
      <c r="D19535" s="2" t="s">
        <v>14938</v>
      </c>
      <c r="E19535" s="3">
        <v>2.59E-79</v>
      </c>
      <c r="F19535" s="2">
        <v>662</v>
      </c>
      <c r="G19535" s="2">
        <v>100</v>
      </c>
      <c r="H19535" s="2">
        <v>123</v>
      </c>
      <c r="I19535" s="2">
        <v>88</v>
      </c>
      <c r="J19535" s="2">
        <v>456</v>
      </c>
      <c r="K19535" s="2">
        <v>1</v>
      </c>
      <c r="L19535" s="2">
        <v>123</v>
      </c>
    </row>
    <row r="19536" spans="1:12" x14ac:dyDescent="0.25">
      <c r="A19536" s="4" t="str">
        <f>HYPERLINK("http://www.rosaceae.org/Prunus/Prunus_persica/p.persica_gdr_reftransV1_0043454","p.persica_gdr_reftransV1_0043454")</f>
        <v>p.persica_gdr_reftransV1_0043454</v>
      </c>
      <c r="B19536" s="2">
        <v>500</v>
      </c>
      <c r="C19536" s="4" t="str">
        <f>HYPERLINK("http://www.uniprot.org/uniprot/M5VPX7","M5VPX7")</f>
        <v>M5VPX7</v>
      </c>
      <c r="D19536" s="2" t="s">
        <v>5107</v>
      </c>
      <c r="E19536" s="3">
        <v>4.1900000000000002E-102</v>
      </c>
      <c r="F19536" s="2">
        <v>801</v>
      </c>
      <c r="G19536" s="2">
        <v>100</v>
      </c>
      <c r="H19536" s="2">
        <v>166</v>
      </c>
      <c r="I19536" s="2">
        <v>3</v>
      </c>
      <c r="J19536" s="2">
        <v>500</v>
      </c>
      <c r="K19536" s="2">
        <v>37</v>
      </c>
      <c r="L19536" s="2">
        <v>202</v>
      </c>
    </row>
    <row r="19537" spans="1:12" x14ac:dyDescent="0.25">
      <c r="A19537" s="4" t="str">
        <f>HYPERLINK("http://www.rosaceae.org/Prunus/Prunus_persica/p.persica_gdr_reftransV1_0043804","p.persica_gdr_reftransV1_0043804")</f>
        <v>p.persica_gdr_reftransV1_0043804</v>
      </c>
      <c r="B19537" s="2">
        <v>1227</v>
      </c>
      <c r="C19537" s="4" t="str">
        <f>HYPERLINK("http://www.uniprot.org/uniprot/M5XI15","M5XI15")</f>
        <v>M5XI15</v>
      </c>
      <c r="D19537" s="2" t="s">
        <v>12484</v>
      </c>
      <c r="E19537" s="3">
        <v>5.9200000000000003E-99</v>
      </c>
      <c r="F19537" s="2">
        <v>777</v>
      </c>
      <c r="G19537" s="2">
        <v>100</v>
      </c>
      <c r="H19537" s="2">
        <v>151</v>
      </c>
      <c r="I19537" s="2">
        <v>404</v>
      </c>
      <c r="J19537" s="2">
        <v>856</v>
      </c>
      <c r="K19537" s="2">
        <v>10</v>
      </c>
      <c r="L19537" s="2">
        <v>160</v>
      </c>
    </row>
    <row r="19538" spans="1:12" x14ac:dyDescent="0.25">
      <c r="A19538" s="4" t="str">
        <f>HYPERLINK("http://www.rosaceae.org/Prunus/Prunus_persica/p.persica_gdr_reftransV1_0044154","p.persica_gdr_reftransV1_0044154")</f>
        <v>p.persica_gdr_reftransV1_0044154</v>
      </c>
      <c r="B19538" s="2">
        <v>1929</v>
      </c>
      <c r="C19538" s="4" t="str">
        <f>HYPERLINK("http://www.uniprot.org/uniprot/M5VYY6","M5VYY6")</f>
        <v>M5VYY6</v>
      </c>
      <c r="D19538" s="2" t="s">
        <v>10041</v>
      </c>
      <c r="E19538" s="3">
        <v>0</v>
      </c>
      <c r="F19538" s="2">
        <v>2277</v>
      </c>
      <c r="G19538" s="2">
        <v>100</v>
      </c>
      <c r="H19538" s="2">
        <v>435</v>
      </c>
      <c r="I19538" s="2">
        <v>280</v>
      </c>
      <c r="J19538" s="2">
        <v>1584</v>
      </c>
      <c r="K19538" s="2">
        <v>53</v>
      </c>
      <c r="L19538" s="2">
        <v>487</v>
      </c>
    </row>
    <row r="19539" spans="1:12" x14ac:dyDescent="0.25">
      <c r="A19539" s="4" t="str">
        <f>HYPERLINK("http://www.rosaceae.org/Prunus/Prunus_persica/p.persica_gdr_reftransV1_0044854","p.persica_gdr_reftransV1_0044854")</f>
        <v>p.persica_gdr_reftransV1_0044854</v>
      </c>
      <c r="B19539" s="2">
        <v>2107</v>
      </c>
      <c r="C19539" s="4" t="str">
        <f>HYPERLINK("http://www.uniprot.org/uniprot/M5WHA2","M5WHA2")</f>
        <v>M5WHA2</v>
      </c>
      <c r="D19539" s="2" t="s">
        <v>9111</v>
      </c>
      <c r="E19539" s="3">
        <v>0</v>
      </c>
      <c r="F19539" s="2">
        <v>2014</v>
      </c>
      <c r="G19539" s="2">
        <v>97</v>
      </c>
      <c r="H19539" s="2">
        <v>401</v>
      </c>
      <c r="I19539" s="2">
        <v>403</v>
      </c>
      <c r="J19539" s="2">
        <v>1605</v>
      </c>
      <c r="K19539" s="2">
        <v>80</v>
      </c>
      <c r="L19539" s="2">
        <v>480</v>
      </c>
    </row>
    <row r="19540" spans="1:12" x14ac:dyDescent="0.25">
      <c r="A19540" s="4" t="str">
        <f>HYPERLINK("http://www.rosaceae.org/Prunus/Prunus_persica/p.persica_gdr_reftransV1_0045204","p.persica_gdr_reftransV1_0045204")</f>
        <v>p.persica_gdr_reftransV1_0045204</v>
      </c>
      <c r="B19540" s="2">
        <v>2479</v>
      </c>
      <c r="C19540" s="4" t="str">
        <f>HYPERLINK("http://www.uniprot.org/uniprot/A0A067JM01","A0A067JM01")</f>
        <v>A0A067JM01</v>
      </c>
      <c r="D19540" s="2" t="s">
        <v>14939</v>
      </c>
      <c r="E19540" s="3">
        <v>0</v>
      </c>
      <c r="F19540" s="2">
        <v>2101</v>
      </c>
      <c r="G19540" s="2">
        <v>73</v>
      </c>
      <c r="H19540" s="2">
        <v>620</v>
      </c>
      <c r="I19540" s="2">
        <v>405</v>
      </c>
      <c r="J19540" s="2">
        <v>2261</v>
      </c>
      <c r="K19540" s="2">
        <v>1</v>
      </c>
      <c r="L19540" s="2">
        <v>616</v>
      </c>
    </row>
    <row r="19541" spans="1:12" x14ac:dyDescent="0.25">
      <c r="A19541" s="4" t="str">
        <f>HYPERLINK("http://www.rosaceae.org/Prunus/Prunus_persica/p.persica_gdr_reftransV1_0045904","p.persica_gdr_reftransV1_0045904")</f>
        <v>p.persica_gdr_reftransV1_0045904</v>
      </c>
      <c r="B19541" s="2">
        <v>1179</v>
      </c>
      <c r="C19541" s="4" t="str">
        <f>HYPERLINK("http://www.uniprot.org/uniprot/M5VIW6","M5VIW6")</f>
        <v>M5VIW6</v>
      </c>
      <c r="D19541" s="2" t="s">
        <v>14576</v>
      </c>
      <c r="E19541" s="3">
        <v>0</v>
      </c>
      <c r="F19541" s="2">
        <v>1650</v>
      </c>
      <c r="G19541" s="2">
        <v>96</v>
      </c>
      <c r="H19541" s="2">
        <v>344</v>
      </c>
      <c r="I19541" s="2">
        <v>59</v>
      </c>
      <c r="J19541" s="2">
        <v>1084</v>
      </c>
      <c r="K19541" s="2">
        <v>1</v>
      </c>
      <c r="L19541" s="2">
        <v>343</v>
      </c>
    </row>
    <row r="19542" spans="1:12" x14ac:dyDescent="0.25">
      <c r="A19542" s="4" t="str">
        <f>HYPERLINK("http://www.rosaceae.org/Prunus/Prunus_persica/p.persica_gdr_reftransV1_0046254","p.persica_gdr_reftransV1_0046254")</f>
        <v>p.persica_gdr_reftransV1_0046254</v>
      </c>
      <c r="B19542" s="2">
        <v>1047</v>
      </c>
      <c r="C19542" s="4" t="str">
        <f>HYPERLINK("http://www.uniprot.org/uniprot/M5WUX4","M5WUX4")</f>
        <v>M5WUX4</v>
      </c>
      <c r="D19542" s="2" t="s">
        <v>14940</v>
      </c>
      <c r="E19542" s="3">
        <v>4.0900000000000001E-162</v>
      </c>
      <c r="F19542" s="2">
        <v>1199</v>
      </c>
      <c r="G19542" s="2">
        <v>100</v>
      </c>
      <c r="H19542" s="2">
        <v>252</v>
      </c>
      <c r="I19542" s="2">
        <v>165</v>
      </c>
      <c r="J19542" s="2">
        <v>920</v>
      </c>
      <c r="K19542" s="2">
        <v>1</v>
      </c>
      <c r="L19542" s="2">
        <v>252</v>
      </c>
    </row>
    <row r="19543" spans="1:12" x14ac:dyDescent="0.25">
      <c r="A19543" s="4" t="str">
        <f>HYPERLINK("http://www.rosaceae.org/Prunus/Prunus_persica/p.persica_gdr_reftransV1_0046604","p.persica_gdr_reftransV1_0046604")</f>
        <v>p.persica_gdr_reftransV1_0046604</v>
      </c>
      <c r="B19543" s="2">
        <v>618</v>
      </c>
      <c r="C19543" s="4" t="str">
        <f>HYPERLINK("http://www.uniprot.org/uniprot/M5WYZ5","M5WYZ5")</f>
        <v>M5WYZ5</v>
      </c>
      <c r="D19543" s="2" t="s">
        <v>14941</v>
      </c>
      <c r="E19543" s="3">
        <v>6.5699999999999996E-61</v>
      </c>
      <c r="F19543" s="2">
        <v>499</v>
      </c>
      <c r="G19543" s="2">
        <v>100</v>
      </c>
      <c r="H19543" s="2">
        <v>94</v>
      </c>
      <c r="I19543" s="2">
        <v>234</v>
      </c>
      <c r="J19543" s="2">
        <v>515</v>
      </c>
      <c r="K19543" s="2">
        <v>1</v>
      </c>
      <c r="L19543" s="2">
        <v>94</v>
      </c>
    </row>
    <row r="19544" spans="1:12" x14ac:dyDescent="0.25">
      <c r="A19544" s="4" t="str">
        <f>HYPERLINK("http://www.rosaceae.org/Prunus/Prunus_persica/p.persica_gdr_reftransV1_0046954","p.persica_gdr_reftransV1_0046954")</f>
        <v>p.persica_gdr_reftransV1_0046954</v>
      </c>
      <c r="B19544" s="2">
        <v>1950</v>
      </c>
      <c r="C19544" s="4" t="str">
        <f>HYPERLINK("http://www.uniprot.org/uniprot/M5W6Y7","M5W6Y7")</f>
        <v>M5W6Y7</v>
      </c>
      <c r="D19544" s="2" t="s">
        <v>14942</v>
      </c>
      <c r="E19544" s="3">
        <v>0</v>
      </c>
      <c r="F19544" s="2">
        <v>2820</v>
      </c>
      <c r="G19544" s="2">
        <v>91</v>
      </c>
      <c r="H19544" s="2">
        <v>596</v>
      </c>
      <c r="I19544" s="2">
        <v>1</v>
      </c>
      <c r="J19544" s="2">
        <v>1788</v>
      </c>
      <c r="K19544" s="2">
        <v>50</v>
      </c>
      <c r="L19544" s="2">
        <v>591</v>
      </c>
    </row>
    <row r="19545" spans="1:12" x14ac:dyDescent="0.25">
      <c r="A19545" s="4" t="str">
        <f>HYPERLINK("http://www.rosaceae.org/Prunus/Prunus_persica/p.persica_gdr_reftransV1_0048004","p.persica_gdr_reftransV1_0048004")</f>
        <v>p.persica_gdr_reftransV1_0048004</v>
      </c>
      <c r="B19545" s="2">
        <v>1089</v>
      </c>
      <c r="C19545" s="4" t="str">
        <f>HYPERLINK("http://www.uniprot.org/uniprot/M5Y152","M5Y152")</f>
        <v>M5Y152</v>
      </c>
      <c r="D19545" s="2" t="s">
        <v>14943</v>
      </c>
      <c r="E19545" s="3">
        <v>5.4800000000000001E-169</v>
      </c>
      <c r="F19545" s="2">
        <v>1243</v>
      </c>
      <c r="G19545" s="2">
        <v>100</v>
      </c>
      <c r="H19545" s="2">
        <v>236</v>
      </c>
      <c r="I19545" s="2">
        <v>307</v>
      </c>
      <c r="J19545" s="2">
        <v>1014</v>
      </c>
      <c r="K19545" s="2">
        <v>1</v>
      </c>
      <c r="L19545" s="2">
        <v>236</v>
      </c>
    </row>
    <row r="19546" spans="1:12" x14ac:dyDescent="0.25">
      <c r="A19546" s="4" t="str">
        <f>HYPERLINK("http://www.rosaceae.org/Prunus/Prunus_persica/p.persica_gdr_reftransV1_0048354","p.persica_gdr_reftransV1_0048354")</f>
        <v>p.persica_gdr_reftransV1_0048354</v>
      </c>
      <c r="B19546" s="2">
        <v>801</v>
      </c>
      <c r="C19546" s="4" t="str">
        <f>HYPERLINK("http://www.uniprot.org/uniprot/M5XM87","M5XM87")</f>
        <v>M5XM87</v>
      </c>
      <c r="D19546" s="2" t="s">
        <v>11805</v>
      </c>
      <c r="E19546" s="3">
        <v>2.2800000000000001E-64</v>
      </c>
      <c r="F19546" s="2">
        <v>530</v>
      </c>
      <c r="G19546" s="2">
        <v>100</v>
      </c>
      <c r="H19546" s="2">
        <v>122</v>
      </c>
      <c r="I19546" s="2">
        <v>73</v>
      </c>
      <c r="J19546" s="2">
        <v>438</v>
      </c>
      <c r="K19546" s="2">
        <v>1</v>
      </c>
      <c r="L19546" s="2">
        <v>122</v>
      </c>
    </row>
    <row r="19547" spans="1:12" x14ac:dyDescent="0.25">
      <c r="A19547" s="4" t="str">
        <f>HYPERLINK("http://www.rosaceae.org/Prunus/Prunus_persica/p.persica_gdr_reftransV1_0048704","p.persica_gdr_reftransV1_0048704")</f>
        <v>p.persica_gdr_reftransV1_0048704</v>
      </c>
      <c r="B19547" s="2">
        <v>2305</v>
      </c>
      <c r="C19547" s="4" t="str">
        <f>HYPERLINK("http://www.uniprot.org/uniprot/M5XCB6","M5XCB6")</f>
        <v>M5XCB6</v>
      </c>
      <c r="D19547" s="2" t="s">
        <v>14944</v>
      </c>
      <c r="E19547" s="3">
        <v>0</v>
      </c>
      <c r="F19547" s="2">
        <v>2473</v>
      </c>
      <c r="G19547" s="2">
        <v>100</v>
      </c>
      <c r="H19547" s="2">
        <v>523</v>
      </c>
      <c r="I19547" s="2">
        <v>209</v>
      </c>
      <c r="J19547" s="2">
        <v>1777</v>
      </c>
      <c r="K19547" s="2">
        <v>1</v>
      </c>
      <c r="L19547" s="2">
        <v>523</v>
      </c>
    </row>
    <row r="19548" spans="1:12" x14ac:dyDescent="0.25">
      <c r="A19548" s="4" t="str">
        <f>HYPERLINK("http://www.rosaceae.org/Prunus/Prunus_persica/p.persica_gdr_reftransV1_0049054","p.persica_gdr_reftransV1_0049054")</f>
        <v>p.persica_gdr_reftransV1_0049054</v>
      </c>
      <c r="B19548" s="2">
        <v>3028</v>
      </c>
      <c r="C19548" s="4" t="str">
        <f>HYPERLINK("http://www.uniprot.org/uniprot/M5Y3X8","M5Y3X8")</f>
        <v>M5Y3X8</v>
      </c>
      <c r="D19548" s="2" t="s">
        <v>14945</v>
      </c>
      <c r="E19548" s="3">
        <v>0</v>
      </c>
      <c r="F19548" s="2">
        <v>4184</v>
      </c>
      <c r="G19548" s="2">
        <v>95</v>
      </c>
      <c r="H19548" s="2">
        <v>870</v>
      </c>
      <c r="I19548" s="2">
        <v>142</v>
      </c>
      <c r="J19548" s="2">
        <v>2751</v>
      </c>
      <c r="K19548" s="2">
        <v>1</v>
      </c>
      <c r="L19548" s="2">
        <v>823</v>
      </c>
    </row>
    <row r="19549" spans="1:12" x14ac:dyDescent="0.25">
      <c r="A19549" s="4" t="str">
        <f>HYPERLINK("http://www.rosaceae.org/Prunus/Prunus_persica/p.persica_gdr_reftransV1_0000055","p.persica_gdr_reftransV1_0000055")</f>
        <v>p.persica_gdr_reftransV1_0000055</v>
      </c>
      <c r="B19549" s="2">
        <v>807</v>
      </c>
      <c r="C19549" s="4" t="str">
        <f>HYPERLINK("http://www.uniprot.org/uniprot/M5VZ92","M5VZ92")</f>
        <v>M5VZ92</v>
      </c>
      <c r="D19549" s="2" t="s">
        <v>12185</v>
      </c>
      <c r="E19549" s="3">
        <v>6.52E-149</v>
      </c>
      <c r="F19549" s="2">
        <v>1109</v>
      </c>
      <c r="G19549" s="2">
        <v>100</v>
      </c>
      <c r="H19549" s="2">
        <v>229</v>
      </c>
      <c r="I19549" s="2">
        <v>2</v>
      </c>
      <c r="J19549" s="2">
        <v>688</v>
      </c>
      <c r="K19549" s="2">
        <v>1</v>
      </c>
      <c r="L19549" s="2">
        <v>229</v>
      </c>
    </row>
    <row r="19550" spans="1:12" x14ac:dyDescent="0.25">
      <c r="A19550" s="4" t="str">
        <f>HYPERLINK("http://www.rosaceae.org/Prunus/Prunus_persica/p.persica_gdr_reftransV1_0000405","p.persica_gdr_reftransV1_0000405")</f>
        <v>p.persica_gdr_reftransV1_0000405</v>
      </c>
      <c r="B19550" s="2">
        <v>1914</v>
      </c>
      <c r="C19550" s="4" t="str">
        <f>HYPERLINK("http://www.uniprot.org/uniprot/M5XDL7","M5XDL7")</f>
        <v>M5XDL7</v>
      </c>
      <c r="D19550" s="2" t="s">
        <v>3329</v>
      </c>
      <c r="E19550" s="3">
        <v>0</v>
      </c>
      <c r="F19550" s="2">
        <v>2284</v>
      </c>
      <c r="G19550" s="2">
        <v>100</v>
      </c>
      <c r="H19550" s="2">
        <v>493</v>
      </c>
      <c r="I19550" s="2">
        <v>289</v>
      </c>
      <c r="J19550" s="2">
        <v>1767</v>
      </c>
      <c r="K19550" s="2">
        <v>1</v>
      </c>
      <c r="L19550" s="2">
        <v>493</v>
      </c>
    </row>
    <row r="19551" spans="1:12" x14ac:dyDescent="0.25">
      <c r="A19551" s="4" t="str">
        <f>HYPERLINK("http://www.rosaceae.org/Prunus/Prunus_persica/p.persica_gdr_reftransV1_0001105","p.persica_gdr_reftransV1_0001105")</f>
        <v>p.persica_gdr_reftransV1_0001105</v>
      </c>
      <c r="B19551" s="2">
        <v>3050</v>
      </c>
      <c r="C19551" s="4" t="str">
        <f>HYPERLINK("http://www.uniprot.org/uniprot/M5WTF5","M5WTF5")</f>
        <v>M5WTF5</v>
      </c>
      <c r="D19551" s="2" t="s">
        <v>12260</v>
      </c>
      <c r="E19551" s="3">
        <v>0</v>
      </c>
      <c r="F19551" s="2">
        <v>2346</v>
      </c>
      <c r="G19551" s="2">
        <v>100</v>
      </c>
      <c r="H19551" s="2">
        <v>442</v>
      </c>
      <c r="I19551" s="2">
        <v>3</v>
      </c>
      <c r="J19551" s="2">
        <v>1328</v>
      </c>
      <c r="K19551" s="2">
        <v>37</v>
      </c>
      <c r="L19551" s="2">
        <v>478</v>
      </c>
    </row>
    <row r="19552" spans="1:12" x14ac:dyDescent="0.25">
      <c r="A19552" s="4" t="str">
        <f>HYPERLINK("http://www.rosaceae.org/Prunus/Prunus_persica/p.persica_gdr_reftransV1_0001455","p.persica_gdr_reftransV1_0001455")</f>
        <v>p.persica_gdr_reftransV1_0001455</v>
      </c>
      <c r="B19552" s="2">
        <v>2114</v>
      </c>
      <c r="C19552" s="4" t="str">
        <f>HYPERLINK("http://www.uniprot.org/uniprot/M5XXD6","M5XXD6")</f>
        <v>M5XXD6</v>
      </c>
      <c r="D19552" s="2" t="s">
        <v>3219</v>
      </c>
      <c r="E19552" s="3">
        <v>5.9399999999999997E-90</v>
      </c>
      <c r="F19552" s="2">
        <v>781</v>
      </c>
      <c r="G19552" s="2">
        <v>77</v>
      </c>
      <c r="H19552" s="2">
        <v>184</v>
      </c>
      <c r="I19552" s="2">
        <v>1</v>
      </c>
      <c r="J19552" s="2">
        <v>552</v>
      </c>
      <c r="K19552" s="2">
        <v>366</v>
      </c>
      <c r="L19552" s="2">
        <v>506</v>
      </c>
    </row>
    <row r="19553" spans="1:12" x14ac:dyDescent="0.25">
      <c r="A19553" s="4" t="str">
        <f>HYPERLINK("http://www.rosaceae.org/Prunus/Prunus_persica/p.persica_gdr_reftransV1_0001805","p.persica_gdr_reftransV1_0001805")</f>
        <v>p.persica_gdr_reftransV1_0001805</v>
      </c>
      <c r="B19553" s="2">
        <v>1199</v>
      </c>
      <c r="C19553" s="4" t="str">
        <f>HYPERLINK("http://www.uniprot.org/uniprot/W9RZ22","W9RZ22")</f>
        <v>W9RZ22</v>
      </c>
      <c r="D19553" s="2" t="s">
        <v>14946</v>
      </c>
      <c r="E19553" s="3">
        <v>0</v>
      </c>
      <c r="F19553" s="2">
        <v>1353</v>
      </c>
      <c r="G19553" s="2">
        <v>71</v>
      </c>
      <c r="H19553" s="2">
        <v>349</v>
      </c>
      <c r="I19553" s="2">
        <v>21</v>
      </c>
      <c r="J19553" s="2">
        <v>1067</v>
      </c>
      <c r="K19553" s="2">
        <v>22</v>
      </c>
      <c r="L19553" s="2">
        <v>366</v>
      </c>
    </row>
    <row r="19554" spans="1:12" x14ac:dyDescent="0.25">
      <c r="A19554" s="4" t="str">
        <f>HYPERLINK("http://www.rosaceae.org/Prunus/Prunus_persica/p.persica_gdr_reftransV1_0002155","p.persica_gdr_reftransV1_0002155")</f>
        <v>p.persica_gdr_reftransV1_0002155</v>
      </c>
      <c r="B19554" s="2">
        <v>2824</v>
      </c>
      <c r="C19554" s="4" t="str">
        <f>HYPERLINK("http://www.uniprot.org/uniprot/M5WFB9","M5WFB9")</f>
        <v>M5WFB9</v>
      </c>
      <c r="D19554" s="2" t="s">
        <v>14947</v>
      </c>
      <c r="E19554" s="3">
        <v>0</v>
      </c>
      <c r="F19554" s="2">
        <v>4004</v>
      </c>
      <c r="G19554" s="2">
        <v>100</v>
      </c>
      <c r="H19554" s="2">
        <v>765</v>
      </c>
      <c r="I19554" s="2">
        <v>197</v>
      </c>
      <c r="J19554" s="2">
        <v>2491</v>
      </c>
      <c r="K19554" s="2">
        <v>1</v>
      </c>
      <c r="L19554" s="2">
        <v>765</v>
      </c>
    </row>
    <row r="19555" spans="1:12" x14ac:dyDescent="0.25">
      <c r="A19555" s="4" t="str">
        <f>HYPERLINK("http://www.rosaceae.org/Prunus/Prunus_persica/p.persica_gdr_reftransV1_0002505","p.persica_gdr_reftransV1_0002505")</f>
        <v>p.persica_gdr_reftransV1_0002505</v>
      </c>
      <c r="B19555" s="2">
        <v>1845</v>
      </c>
      <c r="C19555" s="4" t="str">
        <f>HYPERLINK("http://www.uniprot.org/uniprot/M5WZV2","M5WZV2")</f>
        <v>M5WZV2</v>
      </c>
      <c r="D19555" s="2" t="s">
        <v>14948</v>
      </c>
      <c r="E19555" s="3">
        <v>0</v>
      </c>
      <c r="F19555" s="2">
        <v>2299</v>
      </c>
      <c r="G19555" s="2">
        <v>100</v>
      </c>
      <c r="H19555" s="2">
        <v>449</v>
      </c>
      <c r="I19555" s="2">
        <v>242</v>
      </c>
      <c r="J19555" s="2">
        <v>1588</v>
      </c>
      <c r="K19555" s="2">
        <v>1</v>
      </c>
      <c r="L19555" s="2">
        <v>449</v>
      </c>
    </row>
    <row r="19556" spans="1:12" x14ac:dyDescent="0.25">
      <c r="A19556" s="4" t="str">
        <f>HYPERLINK("http://www.rosaceae.org/Prunus/Prunus_persica/p.persica_gdr_reftransV1_0002855","p.persica_gdr_reftransV1_0002855")</f>
        <v>p.persica_gdr_reftransV1_0002855</v>
      </c>
      <c r="B19556" s="2">
        <v>3022</v>
      </c>
      <c r="C19556" s="4" t="str">
        <f>HYPERLINK("http://www.uniprot.org/uniprot/M5WML5","M5WML5")</f>
        <v>M5WML5</v>
      </c>
      <c r="D19556" s="2" t="s">
        <v>1084</v>
      </c>
      <c r="E19556" s="3">
        <v>0</v>
      </c>
      <c r="F19556" s="2">
        <v>5053</v>
      </c>
      <c r="G19556" s="2">
        <v>100</v>
      </c>
      <c r="H19556" s="2">
        <v>942</v>
      </c>
      <c r="I19556" s="2">
        <v>3</v>
      </c>
      <c r="J19556" s="2">
        <v>2828</v>
      </c>
      <c r="K19556" s="2">
        <v>1013</v>
      </c>
      <c r="L19556" s="2">
        <v>1954</v>
      </c>
    </row>
    <row r="19557" spans="1:12" x14ac:dyDescent="0.25">
      <c r="A19557" s="4" t="str">
        <f>HYPERLINK("http://www.rosaceae.org/Prunus/Prunus_persica/p.persica_gdr_reftransV1_0003205","p.persica_gdr_reftransV1_0003205")</f>
        <v>p.persica_gdr_reftransV1_0003205</v>
      </c>
      <c r="B19557" s="2">
        <v>1321</v>
      </c>
      <c r="C19557" s="4" t="str">
        <f>HYPERLINK("http://www.uniprot.org/uniprot/M5WY57","M5WY57")</f>
        <v>M5WY57</v>
      </c>
      <c r="D19557" s="2" t="s">
        <v>6950</v>
      </c>
      <c r="E19557" s="3">
        <v>0</v>
      </c>
      <c r="F19557" s="2">
        <v>2062</v>
      </c>
      <c r="G19557" s="2">
        <v>100</v>
      </c>
      <c r="H19557" s="2">
        <v>384</v>
      </c>
      <c r="I19557" s="2">
        <v>168</v>
      </c>
      <c r="J19557" s="2">
        <v>1319</v>
      </c>
      <c r="K19557" s="2">
        <v>1</v>
      </c>
      <c r="L19557" s="2">
        <v>384</v>
      </c>
    </row>
    <row r="19558" spans="1:12" x14ac:dyDescent="0.25">
      <c r="A19558" s="4" t="str">
        <f>HYPERLINK("http://www.rosaceae.org/Prunus/Prunus_persica/p.persica_gdr_reftransV1_0003905","p.persica_gdr_reftransV1_0003905")</f>
        <v>p.persica_gdr_reftransV1_0003905</v>
      </c>
      <c r="B19558" s="2">
        <v>3348</v>
      </c>
      <c r="C19558" s="4" t="str">
        <f>HYPERLINK("http://www.uniprot.org/uniprot/M5WNR1","M5WNR1")</f>
        <v>M5WNR1</v>
      </c>
      <c r="D19558" s="2" t="s">
        <v>14949</v>
      </c>
      <c r="E19558" s="3">
        <v>0</v>
      </c>
      <c r="F19558" s="2">
        <v>4544</v>
      </c>
      <c r="G19558" s="2">
        <v>100</v>
      </c>
      <c r="H19558" s="2">
        <v>942</v>
      </c>
      <c r="I19558" s="2">
        <v>354</v>
      </c>
      <c r="J19558" s="2">
        <v>3179</v>
      </c>
      <c r="K19558" s="2">
        <v>1</v>
      </c>
      <c r="L19558" s="2">
        <v>942</v>
      </c>
    </row>
    <row r="19559" spans="1:12" x14ac:dyDescent="0.25">
      <c r="A19559" s="4" t="str">
        <f>HYPERLINK("http://www.rosaceae.org/Prunus/Prunus_persica/p.persica_gdr_reftransV1_0004255","p.persica_gdr_reftransV1_0004255")</f>
        <v>p.persica_gdr_reftransV1_0004255</v>
      </c>
      <c r="B19559" s="2">
        <v>1799</v>
      </c>
      <c r="C19559" s="4" t="str">
        <f>HYPERLINK("http://www.uniprot.org/uniprot/M5XYG0","M5XYG0")</f>
        <v>M5XYG0</v>
      </c>
      <c r="D19559" s="2" t="s">
        <v>14950</v>
      </c>
      <c r="E19559" s="3">
        <v>7.4100000000000007E-114</v>
      </c>
      <c r="F19559" s="2">
        <v>915</v>
      </c>
      <c r="G19559" s="2">
        <v>100</v>
      </c>
      <c r="H19559" s="2">
        <v>195</v>
      </c>
      <c r="I19559" s="2">
        <v>229</v>
      </c>
      <c r="J19559" s="2">
        <v>813</v>
      </c>
      <c r="K19559" s="2">
        <v>1</v>
      </c>
      <c r="L19559" s="2">
        <v>195</v>
      </c>
    </row>
    <row r="19560" spans="1:12" x14ac:dyDescent="0.25">
      <c r="A19560" s="4" t="str">
        <f>HYPERLINK("http://www.rosaceae.org/Prunus/Prunus_persica/p.persica_gdr_reftransV1_0004955","p.persica_gdr_reftransV1_0004955")</f>
        <v>p.persica_gdr_reftransV1_0004955</v>
      </c>
      <c r="B19560" s="2">
        <v>647</v>
      </c>
      <c r="C19560" s="4" t="str">
        <f>HYPERLINK("http://www.uniprot.org/uniprot/M5XDD5","M5XDD5")</f>
        <v>M5XDD5</v>
      </c>
      <c r="D19560" s="2" t="s">
        <v>3314</v>
      </c>
      <c r="E19560" s="3">
        <v>2.9400000000000001E-130</v>
      </c>
      <c r="F19560" s="2">
        <v>994</v>
      </c>
      <c r="G19560" s="2">
        <v>100</v>
      </c>
      <c r="H19560" s="2">
        <v>215</v>
      </c>
      <c r="I19560" s="2">
        <v>1</v>
      </c>
      <c r="J19560" s="2">
        <v>645</v>
      </c>
      <c r="K19560" s="2">
        <v>90</v>
      </c>
      <c r="L19560" s="2">
        <v>304</v>
      </c>
    </row>
    <row r="19561" spans="1:12" x14ac:dyDescent="0.25">
      <c r="A19561" s="4" t="str">
        <f>HYPERLINK("http://www.rosaceae.org/Prunus/Prunus_persica/p.persica_gdr_reftransV1_0005305","p.persica_gdr_reftransV1_0005305")</f>
        <v>p.persica_gdr_reftransV1_0005305</v>
      </c>
      <c r="B19561" s="2">
        <v>1481</v>
      </c>
      <c r="C19561" s="4" t="str">
        <f>HYPERLINK("http://www.uniprot.org/uniprot/A0A061EZL5","A0A061EZL5")</f>
        <v>A0A061EZL5</v>
      </c>
      <c r="D19561" s="2" t="s">
        <v>14951</v>
      </c>
      <c r="E19561" s="3">
        <v>4.9299999999999997E-140</v>
      </c>
      <c r="F19561" s="2">
        <v>1083</v>
      </c>
      <c r="G19561" s="2">
        <v>56</v>
      </c>
      <c r="H19561" s="2">
        <v>428</v>
      </c>
      <c r="I19561" s="2">
        <v>40</v>
      </c>
      <c r="J19561" s="2">
        <v>1278</v>
      </c>
      <c r="K19561" s="2">
        <v>13</v>
      </c>
      <c r="L19561" s="2">
        <v>416</v>
      </c>
    </row>
    <row r="19562" spans="1:12" x14ac:dyDescent="0.25">
      <c r="A19562" s="4" t="str">
        <f>HYPERLINK("http://www.rosaceae.org/Prunus/Prunus_persica/p.persica_gdr_reftransV1_0006705","p.persica_gdr_reftransV1_0006705")</f>
        <v>p.persica_gdr_reftransV1_0006705</v>
      </c>
      <c r="B19562" s="2">
        <v>1270</v>
      </c>
      <c r="C19562" s="4" t="str">
        <f>HYPERLINK("http://www.uniprot.org/uniprot/M5W1K4","M5W1K4")</f>
        <v>M5W1K4</v>
      </c>
      <c r="D19562" s="2" t="s">
        <v>7652</v>
      </c>
      <c r="E19562" s="3">
        <v>2.88E-76</v>
      </c>
      <c r="F19562" s="2">
        <v>627</v>
      </c>
      <c r="G19562" s="2">
        <v>96</v>
      </c>
      <c r="H19562" s="2">
        <v>158</v>
      </c>
      <c r="I19562" s="2">
        <v>304</v>
      </c>
      <c r="J19562" s="2">
        <v>777</v>
      </c>
      <c r="K19562" s="2">
        <v>1</v>
      </c>
      <c r="L19562" s="2">
        <v>157</v>
      </c>
    </row>
    <row r="19563" spans="1:12" x14ac:dyDescent="0.25">
      <c r="A19563" s="4" t="str">
        <f>HYPERLINK("http://www.rosaceae.org/Prunus/Prunus_persica/p.persica_gdr_reftransV1_0007755","p.persica_gdr_reftransV1_0007755")</f>
        <v>p.persica_gdr_reftransV1_0007755</v>
      </c>
      <c r="B19563" s="2">
        <v>1627</v>
      </c>
      <c r="C19563" s="4" t="str">
        <f>HYPERLINK("http://www.uniprot.org/uniprot/M5WGJ9","M5WGJ9")</f>
        <v>M5WGJ9</v>
      </c>
      <c r="D19563" s="2" t="s">
        <v>14952</v>
      </c>
      <c r="E19563" s="3">
        <v>0</v>
      </c>
      <c r="F19563" s="2">
        <v>1446</v>
      </c>
      <c r="G19563" s="2">
        <v>100</v>
      </c>
      <c r="H19563" s="2">
        <v>271</v>
      </c>
      <c r="I19563" s="2">
        <v>558</v>
      </c>
      <c r="J19563" s="2">
        <v>1370</v>
      </c>
      <c r="K19563" s="2">
        <v>1</v>
      </c>
      <c r="L19563" s="2">
        <v>271</v>
      </c>
    </row>
    <row r="19564" spans="1:12" x14ac:dyDescent="0.25">
      <c r="A19564" s="4" t="str">
        <f>HYPERLINK("http://www.rosaceae.org/Prunus/Prunus_persica/p.persica_gdr_reftransV1_0008105","p.persica_gdr_reftransV1_0008105")</f>
        <v>p.persica_gdr_reftransV1_0008105</v>
      </c>
      <c r="B19564" s="2">
        <v>5389</v>
      </c>
      <c r="C19564" s="4" t="str">
        <f>HYPERLINK("http://www.uniprot.org/uniprot/M5XRY3","M5XRY3")</f>
        <v>M5XRY3</v>
      </c>
      <c r="D19564" s="2" t="s">
        <v>14953</v>
      </c>
      <c r="E19564" s="3">
        <v>0</v>
      </c>
      <c r="F19564" s="2">
        <v>8168</v>
      </c>
      <c r="G19564" s="2">
        <v>100</v>
      </c>
      <c r="H19564" s="2">
        <v>1550</v>
      </c>
      <c r="I19564" s="2">
        <v>184</v>
      </c>
      <c r="J19564" s="2">
        <v>4833</v>
      </c>
      <c r="K19564" s="2">
        <v>1</v>
      </c>
      <c r="L19564" s="2">
        <v>1550</v>
      </c>
    </row>
    <row r="19565" spans="1:12" x14ac:dyDescent="0.25">
      <c r="A19565" s="4" t="str">
        <f>HYPERLINK("http://www.rosaceae.org/Prunus/Prunus_persica/p.persica_gdr_reftransV1_0009855","p.persica_gdr_reftransV1_0009855")</f>
        <v>p.persica_gdr_reftransV1_0009855</v>
      </c>
      <c r="B19565" s="2">
        <v>1828</v>
      </c>
      <c r="C19565" s="4" t="str">
        <f>HYPERLINK("http://www.uniprot.org/uniprot/M5WK58","M5WK58")</f>
        <v>M5WK58</v>
      </c>
      <c r="D19565" s="2" t="s">
        <v>14954</v>
      </c>
      <c r="E19565" s="3">
        <v>3.3099999999999999E-107</v>
      </c>
      <c r="F19565" s="2">
        <v>860</v>
      </c>
      <c r="G19565" s="2">
        <v>90</v>
      </c>
      <c r="H19565" s="2">
        <v>290</v>
      </c>
      <c r="I19565" s="2">
        <v>798</v>
      </c>
      <c r="J19565" s="2">
        <v>1667</v>
      </c>
      <c r="K19565" s="2">
        <v>1</v>
      </c>
      <c r="L19565" s="2">
        <v>265</v>
      </c>
    </row>
    <row r="19566" spans="1:12" x14ac:dyDescent="0.25">
      <c r="A19566" s="4" t="str">
        <f>HYPERLINK("http://www.rosaceae.org/Prunus/Prunus_persica/p.persica_gdr_reftransV1_0010205","p.persica_gdr_reftransV1_0010205")</f>
        <v>p.persica_gdr_reftransV1_0010205</v>
      </c>
      <c r="B19566" s="2">
        <v>857</v>
      </c>
      <c r="C19566" s="4" t="str">
        <f>HYPERLINK("http://www.uniprot.org/uniprot/M5XJ26","M5XJ26")</f>
        <v>M5XJ26</v>
      </c>
      <c r="D19566" s="2" t="s">
        <v>2409</v>
      </c>
      <c r="E19566" s="3">
        <v>4.1500000000000002E-68</v>
      </c>
      <c r="F19566" s="2">
        <v>589</v>
      </c>
      <c r="G19566" s="2">
        <v>96</v>
      </c>
      <c r="H19566" s="2">
        <v>116</v>
      </c>
      <c r="I19566" s="2">
        <v>1</v>
      </c>
      <c r="J19566" s="2">
        <v>348</v>
      </c>
      <c r="K19566" s="2">
        <v>16</v>
      </c>
      <c r="L19566" s="2">
        <v>131</v>
      </c>
    </row>
    <row r="19567" spans="1:12" x14ac:dyDescent="0.25">
      <c r="A19567" s="4" t="str">
        <f>HYPERLINK("http://www.rosaceae.org/Prunus/Prunus_persica/p.persica_gdr_reftransV1_0010555","p.persica_gdr_reftransV1_0010555")</f>
        <v>p.persica_gdr_reftransV1_0010555</v>
      </c>
      <c r="B19567" s="2">
        <v>1465</v>
      </c>
      <c r="C19567" s="4" t="str">
        <f>HYPERLINK("http://www.uniprot.org/uniprot/M5X653","M5X653")</f>
        <v>M5X653</v>
      </c>
      <c r="D19567" s="2" t="s">
        <v>14955</v>
      </c>
      <c r="E19567" s="3">
        <v>1.03E-131</v>
      </c>
      <c r="F19567" s="2">
        <v>1013</v>
      </c>
      <c r="G19567" s="2">
        <v>100</v>
      </c>
      <c r="H19567" s="2">
        <v>268</v>
      </c>
      <c r="I19567" s="2">
        <v>320</v>
      </c>
      <c r="J19567" s="2">
        <v>1123</v>
      </c>
      <c r="K19567" s="2">
        <v>1</v>
      </c>
      <c r="L19567" s="2">
        <v>268</v>
      </c>
    </row>
    <row r="19568" spans="1:12" x14ac:dyDescent="0.25">
      <c r="A19568" s="4" t="str">
        <f>HYPERLINK("http://www.rosaceae.org/Prunus/Prunus_persica/p.persica_gdr_reftransV1_0010905","p.persica_gdr_reftransV1_0010905")</f>
        <v>p.persica_gdr_reftransV1_0010905</v>
      </c>
      <c r="B19568" s="2">
        <v>4613</v>
      </c>
      <c r="C19568" s="4" t="str">
        <f>HYPERLINK("http://www.uniprot.org/uniprot/M5WX41","M5WX41")</f>
        <v>M5WX41</v>
      </c>
      <c r="D19568" s="2" t="s">
        <v>7520</v>
      </c>
      <c r="E19568" s="3">
        <v>0</v>
      </c>
      <c r="F19568" s="2">
        <v>3715</v>
      </c>
      <c r="G19568" s="2">
        <v>100</v>
      </c>
      <c r="H19568" s="2">
        <v>750</v>
      </c>
      <c r="I19568" s="2">
        <v>2126</v>
      </c>
      <c r="J19568" s="2">
        <v>4375</v>
      </c>
      <c r="K19568" s="2">
        <v>35</v>
      </c>
      <c r="L19568" s="2">
        <v>784</v>
      </c>
    </row>
    <row r="19569" spans="1:12" x14ac:dyDescent="0.25">
      <c r="A19569" s="4" t="str">
        <f>HYPERLINK("http://www.rosaceae.org/Prunus/Prunus_persica/p.persica_gdr_reftransV1_0011605","p.persica_gdr_reftransV1_0011605")</f>
        <v>p.persica_gdr_reftransV1_0011605</v>
      </c>
      <c r="B19569" s="2">
        <v>1616</v>
      </c>
      <c r="C19569" s="4" t="str">
        <f>HYPERLINK("http://www.uniprot.org/uniprot/M5WMT5","M5WMT5")</f>
        <v>M5WMT5</v>
      </c>
      <c r="D19569" s="2" t="s">
        <v>14912</v>
      </c>
      <c r="E19569" s="3">
        <v>0</v>
      </c>
      <c r="F19569" s="2">
        <v>1732</v>
      </c>
      <c r="G19569" s="2">
        <v>100</v>
      </c>
      <c r="H19569" s="2">
        <v>330</v>
      </c>
      <c r="I19569" s="2">
        <v>524</v>
      </c>
      <c r="J19569" s="2">
        <v>1513</v>
      </c>
      <c r="K19569" s="2">
        <v>16</v>
      </c>
      <c r="L19569" s="2">
        <v>345</v>
      </c>
    </row>
    <row r="19570" spans="1:12" x14ac:dyDescent="0.25">
      <c r="A19570" s="4" t="str">
        <f>HYPERLINK("http://www.rosaceae.org/Prunus/Prunus_persica/p.persica_gdr_reftransV1_0013705","p.persica_gdr_reftransV1_0013705")</f>
        <v>p.persica_gdr_reftransV1_0013705</v>
      </c>
      <c r="B19570" s="2">
        <v>850</v>
      </c>
      <c r="C19570" s="4" t="str">
        <f>HYPERLINK("http://www.uniprot.org/uniprot/M5VKV1","M5VKV1")</f>
        <v>M5VKV1</v>
      </c>
      <c r="D19570" s="2" t="s">
        <v>14956</v>
      </c>
      <c r="E19570" s="3">
        <v>2.8300000000000002E-57</v>
      </c>
      <c r="F19570" s="2">
        <v>486</v>
      </c>
      <c r="G19570" s="2">
        <v>100</v>
      </c>
      <c r="H19570" s="2">
        <v>141</v>
      </c>
      <c r="I19570" s="2">
        <v>307</v>
      </c>
      <c r="J19570" s="2">
        <v>729</v>
      </c>
      <c r="K19570" s="2">
        <v>1</v>
      </c>
      <c r="L19570" s="2">
        <v>141</v>
      </c>
    </row>
    <row r="19571" spans="1:12" x14ac:dyDescent="0.25">
      <c r="A19571" s="4" t="str">
        <f>HYPERLINK("http://www.rosaceae.org/Prunus/Prunus_persica/p.persica_gdr_reftransV1_0014755","p.persica_gdr_reftransV1_0014755")</f>
        <v>p.persica_gdr_reftransV1_0014755</v>
      </c>
      <c r="B19571" s="2">
        <v>1217</v>
      </c>
      <c r="C19571" s="4" t="str">
        <f>HYPERLINK("http://www.uniprot.org/uniprot/M5WHJ3","M5WHJ3")</f>
        <v>M5WHJ3</v>
      </c>
      <c r="D19571" s="2" t="s">
        <v>14957</v>
      </c>
      <c r="E19571" s="3">
        <v>8.7900000000000005E-151</v>
      </c>
      <c r="F19571" s="2">
        <v>1126</v>
      </c>
      <c r="G19571" s="2">
        <v>100</v>
      </c>
      <c r="H19571" s="2">
        <v>229</v>
      </c>
      <c r="I19571" s="2">
        <v>257</v>
      </c>
      <c r="J19571" s="2">
        <v>943</v>
      </c>
      <c r="K19571" s="2">
        <v>1</v>
      </c>
      <c r="L19571" s="2">
        <v>229</v>
      </c>
    </row>
    <row r="19572" spans="1:12" x14ac:dyDescent="0.25">
      <c r="A19572" s="4" t="str">
        <f>HYPERLINK("http://www.rosaceae.org/Prunus/Prunus_persica/p.persica_gdr_reftransV1_0016505","p.persica_gdr_reftransV1_0016505")</f>
        <v>p.persica_gdr_reftransV1_0016505</v>
      </c>
      <c r="B19572" s="2">
        <v>2510</v>
      </c>
      <c r="C19572" s="4" t="str">
        <f>HYPERLINK("http://www.uniprot.org/uniprot/M5XE78","M5XE78")</f>
        <v>M5XE78</v>
      </c>
      <c r="D19572" s="2" t="s">
        <v>13451</v>
      </c>
      <c r="E19572" s="3">
        <v>1.3100000000000001E-131</v>
      </c>
      <c r="F19572" s="2">
        <v>1054</v>
      </c>
      <c r="G19572" s="2">
        <v>78</v>
      </c>
      <c r="H19572" s="2">
        <v>273</v>
      </c>
      <c r="I19572" s="2">
        <v>875</v>
      </c>
      <c r="J19572" s="2">
        <v>1684</v>
      </c>
      <c r="K19572" s="2">
        <v>79</v>
      </c>
      <c r="L19572" s="2">
        <v>306</v>
      </c>
    </row>
    <row r="19573" spans="1:12" x14ac:dyDescent="0.25">
      <c r="A19573" s="4" t="str">
        <f>HYPERLINK("http://www.rosaceae.org/Prunus/Prunus_persica/p.persica_gdr_reftransV1_0017555","p.persica_gdr_reftransV1_0017555")</f>
        <v>p.persica_gdr_reftransV1_0017555</v>
      </c>
      <c r="B19573" s="2">
        <v>1978</v>
      </c>
      <c r="C19573" s="4" t="str">
        <f>HYPERLINK("http://www.uniprot.org/uniprot/M5VM36","M5VM36")</f>
        <v>M5VM36</v>
      </c>
      <c r="D19573" s="2" t="s">
        <v>14958</v>
      </c>
      <c r="E19573" s="3">
        <v>0</v>
      </c>
      <c r="F19573" s="2">
        <v>2052</v>
      </c>
      <c r="G19573" s="2">
        <v>100</v>
      </c>
      <c r="H19573" s="2">
        <v>400</v>
      </c>
      <c r="I19573" s="2">
        <v>480</v>
      </c>
      <c r="J19573" s="2">
        <v>1679</v>
      </c>
      <c r="K19573" s="2">
        <v>1</v>
      </c>
      <c r="L19573" s="2">
        <v>400</v>
      </c>
    </row>
    <row r="19574" spans="1:12" x14ac:dyDescent="0.25">
      <c r="A19574" s="4" t="str">
        <f>HYPERLINK("http://www.rosaceae.org/Prunus/Prunus_persica/p.persica_gdr_reftransV1_0017905","p.persica_gdr_reftransV1_0017905")</f>
        <v>p.persica_gdr_reftransV1_0017905</v>
      </c>
      <c r="B19574" s="2">
        <v>1008</v>
      </c>
      <c r="C19574" s="4" t="str">
        <f>HYPERLINK("http://www.uniprot.org/uniprot/M5XMZ1","M5XMZ1")</f>
        <v>M5XMZ1</v>
      </c>
      <c r="D19574" s="2" t="s">
        <v>14959</v>
      </c>
      <c r="E19574" s="3">
        <v>1.2600000000000001E-149</v>
      </c>
      <c r="F19574" s="2">
        <v>1111</v>
      </c>
      <c r="G19574" s="2">
        <v>100</v>
      </c>
      <c r="H19574" s="2">
        <v>225</v>
      </c>
      <c r="I19574" s="2">
        <v>48</v>
      </c>
      <c r="J19574" s="2">
        <v>722</v>
      </c>
      <c r="K19574" s="2">
        <v>1</v>
      </c>
      <c r="L19574" s="2">
        <v>225</v>
      </c>
    </row>
    <row r="19575" spans="1:12" x14ac:dyDescent="0.25">
      <c r="A19575" s="4" t="str">
        <f>HYPERLINK("http://www.rosaceae.org/Prunus/Prunus_persica/p.persica_gdr_reftransV1_0018955","p.persica_gdr_reftransV1_0018955")</f>
        <v>p.persica_gdr_reftransV1_0018955</v>
      </c>
      <c r="B19575" s="2">
        <v>725</v>
      </c>
      <c r="C19575" s="4" t="str">
        <f>HYPERLINK("http://www.uniprot.org/uniprot/M5XSA9","M5XSA9")</f>
        <v>M5XSA9</v>
      </c>
      <c r="D19575" s="2" t="s">
        <v>14960</v>
      </c>
      <c r="E19575" s="3">
        <v>1.6399999999999999E-144</v>
      </c>
      <c r="F19575" s="2">
        <v>1137</v>
      </c>
      <c r="G19575" s="2">
        <v>98</v>
      </c>
      <c r="H19575" s="2">
        <v>222</v>
      </c>
      <c r="I19575" s="2">
        <v>60</v>
      </c>
      <c r="J19575" s="2">
        <v>725</v>
      </c>
      <c r="K19575" s="2">
        <v>667</v>
      </c>
      <c r="L19575" s="2">
        <v>888</v>
      </c>
    </row>
    <row r="19576" spans="1:12" x14ac:dyDescent="0.25">
      <c r="A19576" s="4" t="str">
        <f>HYPERLINK("http://www.rosaceae.org/Prunus/Prunus_persica/p.persica_gdr_reftransV1_0019655","p.persica_gdr_reftransV1_0019655")</f>
        <v>p.persica_gdr_reftransV1_0019655</v>
      </c>
      <c r="B19576" s="2">
        <v>1663</v>
      </c>
      <c r="C19576" s="4" t="str">
        <f>HYPERLINK("http://www.uniprot.org/uniprot/M5WC28","M5WC28")</f>
        <v>M5WC28</v>
      </c>
      <c r="D19576" s="2" t="s">
        <v>14961</v>
      </c>
      <c r="E19576" s="3">
        <v>0</v>
      </c>
      <c r="F19576" s="2">
        <v>2285</v>
      </c>
      <c r="G19576" s="2">
        <v>100</v>
      </c>
      <c r="H19576" s="2">
        <v>490</v>
      </c>
      <c r="I19576" s="2">
        <v>193</v>
      </c>
      <c r="J19576" s="2">
        <v>1662</v>
      </c>
      <c r="K19576" s="2">
        <v>1</v>
      </c>
      <c r="L19576" s="2">
        <v>490</v>
      </c>
    </row>
    <row r="19577" spans="1:12" x14ac:dyDescent="0.25">
      <c r="A19577" s="4" t="str">
        <f>HYPERLINK("http://www.rosaceae.org/Prunus/Prunus_persica/p.persica_gdr_reftransV1_0021405","p.persica_gdr_reftransV1_0021405")</f>
        <v>p.persica_gdr_reftransV1_0021405</v>
      </c>
      <c r="B19577" s="2">
        <v>2797</v>
      </c>
      <c r="C19577" s="4" t="str">
        <f>HYPERLINK("http://www.uniprot.org/uniprot/M5W0P8","M5W0P8")</f>
        <v>M5W0P8</v>
      </c>
      <c r="D19577" s="2" t="s">
        <v>4471</v>
      </c>
      <c r="E19577" s="3">
        <v>7.2500000000000003E-163</v>
      </c>
      <c r="F19577" s="2">
        <v>1267</v>
      </c>
      <c r="G19577" s="2">
        <v>100</v>
      </c>
      <c r="H19577" s="2">
        <v>251</v>
      </c>
      <c r="I19577" s="2">
        <v>2044</v>
      </c>
      <c r="J19577" s="2">
        <v>2796</v>
      </c>
      <c r="K19577" s="2">
        <v>95</v>
      </c>
      <c r="L19577" s="2">
        <v>345</v>
      </c>
    </row>
    <row r="19578" spans="1:12" x14ac:dyDescent="0.25">
      <c r="A19578" s="4" t="str">
        <f>HYPERLINK("http://www.rosaceae.org/Prunus/Prunus_persica/p.persica_gdr_reftransV1_0021755","p.persica_gdr_reftransV1_0021755")</f>
        <v>p.persica_gdr_reftransV1_0021755</v>
      </c>
      <c r="B19578" s="2">
        <v>3590</v>
      </c>
      <c r="C19578" s="4" t="str">
        <f>HYPERLINK("http://www.uniprot.org/uniprot/M5Y9T9","M5Y9T9")</f>
        <v>M5Y9T9</v>
      </c>
      <c r="D19578" s="2" t="s">
        <v>14962</v>
      </c>
      <c r="E19578" s="3">
        <v>0</v>
      </c>
      <c r="F19578" s="2">
        <v>5174</v>
      </c>
      <c r="G19578" s="2">
        <v>100</v>
      </c>
      <c r="H19578" s="2">
        <v>1002</v>
      </c>
      <c r="I19578" s="2">
        <v>467</v>
      </c>
      <c r="J19578" s="2">
        <v>3472</v>
      </c>
      <c r="K19578" s="2">
        <v>1</v>
      </c>
      <c r="L19578" s="2">
        <v>999</v>
      </c>
    </row>
    <row r="19579" spans="1:12" x14ac:dyDescent="0.25">
      <c r="A19579" s="4" t="str">
        <f>HYPERLINK("http://www.rosaceae.org/Prunus/Prunus_persica/p.persica_gdr_reftransV1_0028405","p.persica_gdr_reftransV1_0028405")</f>
        <v>p.persica_gdr_reftransV1_0028405</v>
      </c>
      <c r="B19579" s="2">
        <v>2065</v>
      </c>
      <c r="C19579" s="4" t="str">
        <f>HYPERLINK("http://www.uniprot.org/uniprot/M5XC14","M5XC14")</f>
        <v>M5XC14</v>
      </c>
      <c r="D19579" s="2" t="s">
        <v>14963</v>
      </c>
      <c r="E19579" s="3">
        <v>0</v>
      </c>
      <c r="F19579" s="2">
        <v>1596</v>
      </c>
      <c r="G19579" s="2">
        <v>100</v>
      </c>
      <c r="H19579" s="2">
        <v>296</v>
      </c>
      <c r="I19579" s="2">
        <v>635</v>
      </c>
      <c r="J19579" s="2">
        <v>1522</v>
      </c>
      <c r="K19579" s="2">
        <v>163</v>
      </c>
      <c r="L19579" s="2">
        <v>458</v>
      </c>
    </row>
    <row r="19580" spans="1:12" x14ac:dyDescent="0.25">
      <c r="A19580" s="4" t="str">
        <f>HYPERLINK("http://www.rosaceae.org/Prunus/Prunus_persica/p.persica_gdr_reftransV1_0028755","p.persica_gdr_reftransV1_0028755")</f>
        <v>p.persica_gdr_reftransV1_0028755</v>
      </c>
      <c r="B19580" s="2">
        <v>1024</v>
      </c>
      <c r="C19580" s="4" t="str">
        <f>HYPERLINK("http://www.uniprot.org/uniprot/M5Y2X6","M5Y2X6")</f>
        <v>M5Y2X6</v>
      </c>
      <c r="D19580" s="2" t="s">
        <v>2303</v>
      </c>
      <c r="E19580" s="3">
        <v>2.2500000000000001E-168</v>
      </c>
      <c r="F19580" s="2">
        <v>1247</v>
      </c>
      <c r="G19580" s="2">
        <v>100</v>
      </c>
      <c r="H19580" s="2">
        <v>273</v>
      </c>
      <c r="I19580" s="2">
        <v>115</v>
      </c>
      <c r="J19580" s="2">
        <v>933</v>
      </c>
      <c r="K19580" s="2">
        <v>68</v>
      </c>
      <c r="L19580" s="2">
        <v>340</v>
      </c>
    </row>
    <row r="19581" spans="1:12" x14ac:dyDescent="0.25">
      <c r="A19581" s="4" t="str">
        <f>HYPERLINK("http://www.rosaceae.org/Prunus/Prunus_persica/p.persica_gdr_reftransV1_0029805","p.persica_gdr_reftransV1_0029805")</f>
        <v>p.persica_gdr_reftransV1_0029805</v>
      </c>
      <c r="B19581" s="2">
        <v>639</v>
      </c>
      <c r="C19581" s="4" t="str">
        <f>HYPERLINK("http://www.uniprot.org/uniprot/M5XI52","M5XI52")</f>
        <v>M5XI52</v>
      </c>
      <c r="D19581" s="2" t="s">
        <v>6438</v>
      </c>
      <c r="E19581" s="3">
        <v>6.46E-66</v>
      </c>
      <c r="F19581" s="2">
        <v>561</v>
      </c>
      <c r="G19581" s="2">
        <v>99</v>
      </c>
      <c r="H19581" s="2">
        <v>152</v>
      </c>
      <c r="I19581" s="2">
        <v>3</v>
      </c>
      <c r="J19581" s="2">
        <v>458</v>
      </c>
      <c r="K19581" s="2">
        <v>126</v>
      </c>
      <c r="L19581" s="2">
        <v>277</v>
      </c>
    </row>
    <row r="19582" spans="1:12" x14ac:dyDescent="0.25">
      <c r="A19582" s="4" t="str">
        <f>HYPERLINK("http://www.rosaceae.org/Prunus/Prunus_persica/p.persica_gdr_reftransV1_0032955","p.persica_gdr_reftransV1_0032955")</f>
        <v>p.persica_gdr_reftransV1_0032955</v>
      </c>
      <c r="B19582" s="2">
        <v>7718</v>
      </c>
      <c r="C19582" s="4" t="str">
        <f>HYPERLINK("http://www.uniprot.org/uniprot/M5W979","M5W979")</f>
        <v>M5W979</v>
      </c>
      <c r="D19582" s="2" t="s">
        <v>14964</v>
      </c>
      <c r="E19582" s="3">
        <v>0</v>
      </c>
      <c r="F19582" s="2">
        <v>6272</v>
      </c>
      <c r="G19582" s="2">
        <v>96</v>
      </c>
      <c r="H19582" s="2">
        <v>1255</v>
      </c>
      <c r="I19582" s="2">
        <v>319</v>
      </c>
      <c r="J19582" s="2">
        <v>4083</v>
      </c>
      <c r="K19582" s="2">
        <v>1</v>
      </c>
      <c r="L19582" s="2">
        <v>1207</v>
      </c>
    </row>
    <row r="19583" spans="1:12" x14ac:dyDescent="0.25">
      <c r="A19583" s="4" t="str">
        <f>HYPERLINK("http://www.rosaceae.org/Prunus/Prunus_persica/p.persica_gdr_reftransV1_0034005","p.persica_gdr_reftransV1_0034005")</f>
        <v>p.persica_gdr_reftransV1_0034005</v>
      </c>
      <c r="B19583" s="2">
        <v>1255</v>
      </c>
      <c r="C19583" s="4" t="str">
        <f>HYPERLINK("http://www.uniprot.org/uniprot/M5VXY0","M5VXY0")</f>
        <v>M5VXY0</v>
      </c>
      <c r="D19583" s="2" t="s">
        <v>14965</v>
      </c>
      <c r="E19583" s="3">
        <v>7.1000000000000001E-90</v>
      </c>
      <c r="F19583" s="2">
        <v>716</v>
      </c>
      <c r="G19583" s="2">
        <v>99</v>
      </c>
      <c r="H19583" s="2">
        <v>137</v>
      </c>
      <c r="I19583" s="2">
        <v>311</v>
      </c>
      <c r="J19583" s="2">
        <v>721</v>
      </c>
      <c r="K19583" s="2">
        <v>6</v>
      </c>
      <c r="L19583" s="2">
        <v>142</v>
      </c>
    </row>
    <row r="19584" spans="1:12" x14ac:dyDescent="0.25">
      <c r="A19584" s="4" t="str">
        <f>HYPERLINK("http://www.rosaceae.org/Prunus/Prunus_persica/p.persica_gdr_reftransV1_0036805","p.persica_gdr_reftransV1_0036805")</f>
        <v>p.persica_gdr_reftransV1_0036805</v>
      </c>
      <c r="B19584" s="2">
        <v>1622</v>
      </c>
      <c r="C19584" s="4" t="str">
        <f>HYPERLINK("http://www.uniprot.org/uniprot/M5XF15","M5XF15")</f>
        <v>M5XF15</v>
      </c>
      <c r="D19584" s="2" t="s">
        <v>14966</v>
      </c>
      <c r="E19584" s="3">
        <v>4.2899999999999999E-39</v>
      </c>
      <c r="F19584" s="2">
        <v>382</v>
      </c>
      <c r="G19584" s="2">
        <v>100</v>
      </c>
      <c r="H19584" s="2">
        <v>88</v>
      </c>
      <c r="I19584" s="2">
        <v>1071</v>
      </c>
      <c r="J19584" s="2">
        <v>1334</v>
      </c>
      <c r="K19584" s="2">
        <v>104</v>
      </c>
      <c r="L19584" s="2">
        <v>191</v>
      </c>
    </row>
    <row r="19585" spans="1:12" x14ac:dyDescent="0.25">
      <c r="A19585" s="4" t="str">
        <f>HYPERLINK("http://www.rosaceae.org/Prunus/Prunus_persica/p.persica_gdr_reftransV1_0038555","p.persica_gdr_reftransV1_0038555")</f>
        <v>p.persica_gdr_reftransV1_0038555</v>
      </c>
      <c r="B19585" s="2">
        <v>3714</v>
      </c>
      <c r="C19585" s="4" t="str">
        <f>HYPERLINK("http://www.uniprot.org/uniprot/M5WHV2","M5WHV2")</f>
        <v>M5WHV2</v>
      </c>
      <c r="D19585" s="2" t="s">
        <v>14967</v>
      </c>
      <c r="E19585" s="3">
        <v>2.2800000000000001E-109</v>
      </c>
      <c r="F19585" s="2">
        <v>917</v>
      </c>
      <c r="G19585" s="2">
        <v>97</v>
      </c>
      <c r="H19585" s="2">
        <v>212</v>
      </c>
      <c r="I19585" s="2">
        <v>308</v>
      </c>
      <c r="J19585" s="2">
        <v>943</v>
      </c>
      <c r="K19585" s="2">
        <v>1</v>
      </c>
      <c r="L19585" s="2">
        <v>208</v>
      </c>
    </row>
    <row r="19586" spans="1:12" x14ac:dyDescent="0.25">
      <c r="A19586" s="4" t="str">
        <f>HYPERLINK("http://www.rosaceae.org/Prunus/Prunus_persica/p.persica_gdr_reftransV1_0041005","p.persica_gdr_reftransV1_0041005")</f>
        <v>p.persica_gdr_reftransV1_0041005</v>
      </c>
      <c r="B19586" s="2">
        <v>2258</v>
      </c>
      <c r="C19586" s="4" t="str">
        <f>HYPERLINK("http://www.uniprot.org/uniprot/M5XVJ8","M5XVJ8")</f>
        <v>M5XVJ8</v>
      </c>
      <c r="D19586" s="2" t="s">
        <v>1699</v>
      </c>
      <c r="E19586" s="3">
        <v>0</v>
      </c>
      <c r="F19586" s="2">
        <v>2404</v>
      </c>
      <c r="G19586" s="2">
        <v>100</v>
      </c>
      <c r="H19586" s="2">
        <v>545</v>
      </c>
      <c r="I19586" s="2">
        <v>624</v>
      </c>
      <c r="J19586" s="2">
        <v>2258</v>
      </c>
      <c r="K19586" s="2">
        <v>94</v>
      </c>
      <c r="L19586" s="2">
        <v>638</v>
      </c>
    </row>
    <row r="19587" spans="1:12" x14ac:dyDescent="0.25">
      <c r="A19587" s="4" t="str">
        <f>HYPERLINK("http://www.rosaceae.org/Prunus/Prunus_persica/p.persica_gdr_reftransV1_0043105","p.persica_gdr_reftransV1_0043105")</f>
        <v>p.persica_gdr_reftransV1_0043105</v>
      </c>
      <c r="B19587" s="2">
        <v>1030</v>
      </c>
      <c r="C19587" s="4" t="str">
        <f>HYPERLINK("http://www.uniprot.org/uniprot/M5XH34","M5XH34")</f>
        <v>M5XH34</v>
      </c>
      <c r="D19587" s="2" t="s">
        <v>14968</v>
      </c>
      <c r="E19587" s="3">
        <v>6.0899999999999997E-109</v>
      </c>
      <c r="F19587" s="2">
        <v>837</v>
      </c>
      <c r="G19587" s="2">
        <v>78</v>
      </c>
      <c r="H19587" s="2">
        <v>214</v>
      </c>
      <c r="I19587" s="2">
        <v>162</v>
      </c>
      <c r="J19587" s="2">
        <v>803</v>
      </c>
      <c r="K19587" s="2">
        <v>1</v>
      </c>
      <c r="L19587" s="2">
        <v>167</v>
      </c>
    </row>
    <row r="19588" spans="1:12" x14ac:dyDescent="0.25">
      <c r="A19588" s="4" t="str">
        <f>HYPERLINK("http://www.rosaceae.org/Prunus/Prunus_persica/p.persica_gdr_reftransV1_0043455","p.persica_gdr_reftransV1_0043455")</f>
        <v>p.persica_gdr_reftransV1_0043455</v>
      </c>
      <c r="B19588" s="2">
        <v>3276</v>
      </c>
      <c r="C19588" s="4" t="str">
        <f>HYPERLINK("http://www.uniprot.org/uniprot/M5WEB3","M5WEB3")</f>
        <v>M5WEB3</v>
      </c>
      <c r="D19588" s="2" t="s">
        <v>14969</v>
      </c>
      <c r="E19588" s="3">
        <v>0</v>
      </c>
      <c r="F19588" s="2">
        <v>5311</v>
      </c>
      <c r="G19588" s="2">
        <v>100</v>
      </c>
      <c r="H19588" s="2">
        <v>990</v>
      </c>
      <c r="I19588" s="2">
        <v>1</v>
      </c>
      <c r="J19588" s="2">
        <v>2970</v>
      </c>
      <c r="K19588" s="2">
        <v>3137</v>
      </c>
      <c r="L19588" s="2">
        <v>4126</v>
      </c>
    </row>
    <row r="19589" spans="1:12" x14ac:dyDescent="0.25">
      <c r="A19589" s="4" t="str">
        <f>HYPERLINK("http://www.rosaceae.org/Prunus/Prunus_persica/p.persica_gdr_reftransV1_0043805","p.persica_gdr_reftransV1_0043805")</f>
        <v>p.persica_gdr_reftransV1_0043805</v>
      </c>
      <c r="B19589" s="2">
        <v>300</v>
      </c>
      <c r="C19589" s="4" t="str">
        <f>HYPERLINK("http://www.uniprot.org/uniprot/M5XKM3","M5XKM3")</f>
        <v>M5XKM3</v>
      </c>
      <c r="D19589" s="2" t="s">
        <v>5865</v>
      </c>
      <c r="E19589" s="3">
        <v>6.57E-49</v>
      </c>
      <c r="F19589" s="2">
        <v>414</v>
      </c>
      <c r="G19589" s="2">
        <v>100</v>
      </c>
      <c r="H19589" s="2">
        <v>99</v>
      </c>
      <c r="I19589" s="2">
        <v>3</v>
      </c>
      <c r="J19589" s="2">
        <v>299</v>
      </c>
      <c r="K19589" s="2">
        <v>39</v>
      </c>
      <c r="L19589" s="2">
        <v>137</v>
      </c>
    </row>
    <row r="19590" spans="1:12" x14ac:dyDescent="0.25">
      <c r="A19590" s="4" t="str">
        <f>HYPERLINK("http://www.rosaceae.org/Prunus/Prunus_persica/p.persica_gdr_reftransV1_0044155","p.persica_gdr_reftransV1_0044155")</f>
        <v>p.persica_gdr_reftransV1_0044155</v>
      </c>
      <c r="B19590" s="2">
        <v>2775</v>
      </c>
      <c r="C19590" s="4" t="str">
        <f>HYPERLINK("http://www.uniprot.org/uniprot/M5XKH5","M5XKH5")</f>
        <v>M5XKH5</v>
      </c>
      <c r="D19590" s="2" t="s">
        <v>14970</v>
      </c>
      <c r="E19590" s="3">
        <v>0</v>
      </c>
      <c r="F19590" s="2">
        <v>4089</v>
      </c>
      <c r="G19590" s="2">
        <v>100</v>
      </c>
      <c r="H19590" s="2">
        <v>757</v>
      </c>
      <c r="I19590" s="2">
        <v>197</v>
      </c>
      <c r="J19590" s="2">
        <v>2467</v>
      </c>
      <c r="K19590" s="2">
        <v>1</v>
      </c>
      <c r="L19590" s="2">
        <v>757</v>
      </c>
    </row>
    <row r="19591" spans="1:12" x14ac:dyDescent="0.25">
      <c r="A19591" s="4" t="str">
        <f>HYPERLINK("http://www.rosaceae.org/Prunus/Prunus_persica/p.persica_gdr_reftransV1_0044505","p.persica_gdr_reftransV1_0044505")</f>
        <v>p.persica_gdr_reftransV1_0044505</v>
      </c>
      <c r="B19591" s="2">
        <v>990</v>
      </c>
      <c r="C19591" s="4" t="str">
        <f>HYPERLINK("http://www.uniprot.org/uniprot/M5WNK4","M5WNK4")</f>
        <v>M5WNK4</v>
      </c>
      <c r="D19591" s="2" t="s">
        <v>14971</v>
      </c>
      <c r="E19591" s="3">
        <v>1.01E-49</v>
      </c>
      <c r="F19591" s="2">
        <v>439</v>
      </c>
      <c r="G19591" s="2">
        <v>100</v>
      </c>
      <c r="H19591" s="2">
        <v>82</v>
      </c>
      <c r="I19591" s="2">
        <v>151</v>
      </c>
      <c r="J19591" s="2">
        <v>396</v>
      </c>
      <c r="K19591" s="2">
        <v>51</v>
      </c>
      <c r="L19591" s="2">
        <v>132</v>
      </c>
    </row>
    <row r="19592" spans="1:12" x14ac:dyDescent="0.25">
      <c r="A19592" s="4" t="str">
        <f>HYPERLINK("http://www.rosaceae.org/Prunus/Prunus_persica/p.persica_gdr_reftransV1_0044855","p.persica_gdr_reftransV1_0044855")</f>
        <v>p.persica_gdr_reftransV1_0044855</v>
      </c>
      <c r="B19592" s="2">
        <v>1499</v>
      </c>
      <c r="C19592" s="4" t="str">
        <f>HYPERLINK("http://www.uniprot.org/uniprot/M5VWJ4","M5VWJ4")</f>
        <v>M5VWJ4</v>
      </c>
      <c r="D19592" s="2" t="s">
        <v>5008</v>
      </c>
      <c r="E19592" s="3">
        <v>0</v>
      </c>
      <c r="F19592" s="2">
        <v>2011</v>
      </c>
      <c r="G19592" s="2">
        <v>100</v>
      </c>
      <c r="H19592" s="2">
        <v>397</v>
      </c>
      <c r="I19592" s="2">
        <v>3</v>
      </c>
      <c r="J19592" s="2">
        <v>1193</v>
      </c>
      <c r="K19592" s="2">
        <v>173</v>
      </c>
      <c r="L19592" s="2">
        <v>569</v>
      </c>
    </row>
    <row r="19593" spans="1:12" x14ac:dyDescent="0.25">
      <c r="A19593" s="4" t="str">
        <f>HYPERLINK("http://www.rosaceae.org/Prunus/Prunus_persica/p.persica_gdr_reftransV1_0045205","p.persica_gdr_reftransV1_0045205")</f>
        <v>p.persica_gdr_reftransV1_0045205</v>
      </c>
      <c r="B19593" s="2">
        <v>2135</v>
      </c>
      <c r="C19593" s="4" t="str">
        <f>HYPERLINK("http://www.uniprot.org/uniprot/M5XA26","M5XA26")</f>
        <v>M5XA26</v>
      </c>
      <c r="D19593" s="2" t="s">
        <v>14972</v>
      </c>
      <c r="E19593" s="3">
        <v>0</v>
      </c>
      <c r="F19593" s="2">
        <v>2859</v>
      </c>
      <c r="G19593" s="2">
        <v>100</v>
      </c>
      <c r="H19593" s="2">
        <v>587</v>
      </c>
      <c r="I19593" s="2">
        <v>173</v>
      </c>
      <c r="J19593" s="2">
        <v>1933</v>
      </c>
      <c r="K19593" s="2">
        <v>1</v>
      </c>
      <c r="L19593" s="2">
        <v>587</v>
      </c>
    </row>
    <row r="19594" spans="1:12" x14ac:dyDescent="0.25">
      <c r="A19594" s="4" t="str">
        <f>HYPERLINK("http://www.rosaceae.org/Prunus/Prunus_persica/p.persica_gdr_reftransV1_0045905","p.persica_gdr_reftransV1_0045905")</f>
        <v>p.persica_gdr_reftransV1_0045905</v>
      </c>
      <c r="B19594" s="2">
        <v>2184</v>
      </c>
      <c r="C19594" s="4" t="str">
        <f>HYPERLINK("http://www.uniprot.org/uniprot/M5X6Q4","M5X6Q4")</f>
        <v>M5X6Q4</v>
      </c>
      <c r="D19594" s="2" t="s">
        <v>10256</v>
      </c>
      <c r="E19594" s="3">
        <v>0</v>
      </c>
      <c r="F19594" s="2">
        <v>3077</v>
      </c>
      <c r="G19594" s="2">
        <v>100</v>
      </c>
      <c r="H19594" s="2">
        <v>628</v>
      </c>
      <c r="I19594" s="2">
        <v>218</v>
      </c>
      <c r="J19594" s="2">
        <v>2101</v>
      </c>
      <c r="K19594" s="2">
        <v>1</v>
      </c>
      <c r="L19594" s="2">
        <v>628</v>
      </c>
    </row>
    <row r="19595" spans="1:12" x14ac:dyDescent="0.25">
      <c r="A19595" s="4" t="str">
        <f>HYPERLINK("http://www.rosaceae.org/Prunus/Prunus_persica/p.persica_gdr_reftransV1_0046605","p.persica_gdr_reftransV1_0046605")</f>
        <v>p.persica_gdr_reftransV1_0046605</v>
      </c>
      <c r="B19595" s="2">
        <v>1018</v>
      </c>
      <c r="C19595" s="4" t="str">
        <f>HYPERLINK("http://www.uniprot.org/uniprot/M5X774","M5X774")</f>
        <v>M5X774</v>
      </c>
      <c r="D19595" s="2" t="s">
        <v>6659</v>
      </c>
      <c r="E19595" s="3">
        <v>3.41E-35</v>
      </c>
      <c r="F19595" s="2">
        <v>348</v>
      </c>
      <c r="G19595" s="2">
        <v>92</v>
      </c>
      <c r="H19595" s="2">
        <v>92</v>
      </c>
      <c r="I19595" s="2">
        <v>146</v>
      </c>
      <c r="J19595" s="2">
        <v>421</v>
      </c>
      <c r="K19595" s="2">
        <v>28</v>
      </c>
      <c r="L19595" s="2">
        <v>119</v>
      </c>
    </row>
    <row r="19596" spans="1:12" x14ac:dyDescent="0.25">
      <c r="A19596" s="4" t="str">
        <f>HYPERLINK("http://www.rosaceae.org/Prunus/Prunus_persica/p.persica_gdr_reftransV1_0046955","p.persica_gdr_reftransV1_0046955")</f>
        <v>p.persica_gdr_reftransV1_0046955</v>
      </c>
      <c r="B19596" s="2">
        <v>1186</v>
      </c>
      <c r="C19596" s="4" t="str">
        <f>HYPERLINK("http://www.uniprot.org/uniprot/M5XGC8","M5XGC8")</f>
        <v>M5XGC8</v>
      </c>
      <c r="D19596" s="2" t="s">
        <v>14973</v>
      </c>
      <c r="E19596" s="3">
        <v>0</v>
      </c>
      <c r="F19596" s="2">
        <v>1547</v>
      </c>
      <c r="G19596" s="2">
        <v>100</v>
      </c>
      <c r="H19596" s="2">
        <v>324</v>
      </c>
      <c r="I19596" s="2">
        <v>165</v>
      </c>
      <c r="J19596" s="2">
        <v>1136</v>
      </c>
      <c r="K19596" s="2">
        <v>1</v>
      </c>
      <c r="L19596" s="2">
        <v>324</v>
      </c>
    </row>
    <row r="19597" spans="1:12" x14ac:dyDescent="0.25">
      <c r="A19597" s="4" t="str">
        <f>HYPERLINK("http://www.rosaceae.org/Prunus/Prunus_persica/p.persica_gdr_reftransV1_0047305","p.persica_gdr_reftransV1_0047305")</f>
        <v>p.persica_gdr_reftransV1_0047305</v>
      </c>
      <c r="B19597" s="2">
        <v>925</v>
      </c>
      <c r="C19597" s="4" t="str">
        <f>HYPERLINK("http://www.uniprot.org/uniprot/M5XMT4","M5XMT4")</f>
        <v>M5XMT4</v>
      </c>
      <c r="D19597" s="2" t="s">
        <v>7531</v>
      </c>
      <c r="E19597" s="3">
        <v>9.3300000000000006E-124</v>
      </c>
      <c r="F19597" s="2">
        <v>942</v>
      </c>
      <c r="G19597" s="2">
        <v>100</v>
      </c>
      <c r="H19597" s="2">
        <v>174</v>
      </c>
      <c r="I19597" s="2">
        <v>153</v>
      </c>
      <c r="J19597" s="2">
        <v>674</v>
      </c>
      <c r="K19597" s="2">
        <v>94</v>
      </c>
      <c r="L19597" s="2">
        <v>267</v>
      </c>
    </row>
    <row r="19598" spans="1:12" x14ac:dyDescent="0.25">
      <c r="A19598" s="4" t="str">
        <f>HYPERLINK("http://www.rosaceae.org/Prunus/Prunus_persica/p.persica_gdr_reftransV1_0047655","p.persica_gdr_reftransV1_0047655")</f>
        <v>p.persica_gdr_reftransV1_0047655</v>
      </c>
      <c r="B19598" s="2">
        <v>424</v>
      </c>
      <c r="C19598" s="4" t="str">
        <f>HYPERLINK("http://www.uniprot.org/uniprot/M5X1C6","M5X1C6")</f>
        <v>M5X1C6</v>
      </c>
      <c r="D19598" s="2" t="s">
        <v>7724</v>
      </c>
      <c r="E19598" s="3">
        <v>1.28E-39</v>
      </c>
      <c r="F19598" s="2">
        <v>357</v>
      </c>
      <c r="G19598" s="2">
        <v>100</v>
      </c>
      <c r="H19598" s="2">
        <v>72</v>
      </c>
      <c r="I19598" s="2">
        <v>1</v>
      </c>
      <c r="J19598" s="2">
        <v>216</v>
      </c>
      <c r="K19598" s="2">
        <v>94</v>
      </c>
      <c r="L19598" s="2">
        <v>165</v>
      </c>
    </row>
    <row r="19599" spans="1:12" x14ac:dyDescent="0.25">
      <c r="A19599" s="4" t="str">
        <f>HYPERLINK("http://www.rosaceae.org/Prunus/Prunus_persica/p.persica_gdr_reftransV1_0048005","p.persica_gdr_reftransV1_0048005")</f>
        <v>p.persica_gdr_reftransV1_0048005</v>
      </c>
      <c r="B19599" s="2">
        <v>1446</v>
      </c>
      <c r="C19599" s="4" t="str">
        <f>HYPERLINK("http://www.uniprot.org/uniprot/M5W822","M5W822")</f>
        <v>M5W822</v>
      </c>
      <c r="D19599" s="2" t="s">
        <v>2484</v>
      </c>
      <c r="E19599" s="3">
        <v>0</v>
      </c>
      <c r="F19599" s="2">
        <v>2360</v>
      </c>
      <c r="G19599" s="2">
        <v>100</v>
      </c>
      <c r="H19599" s="2">
        <v>481</v>
      </c>
      <c r="I19599" s="2">
        <v>2</v>
      </c>
      <c r="J19599" s="2">
        <v>1444</v>
      </c>
      <c r="K19599" s="2">
        <v>144</v>
      </c>
      <c r="L19599" s="2">
        <v>624</v>
      </c>
    </row>
    <row r="19600" spans="1:12" x14ac:dyDescent="0.25">
      <c r="A19600" s="4" t="str">
        <f>HYPERLINK("http://www.rosaceae.org/Prunus/Prunus_persica/p.persica_gdr_reftransV1_0048705","p.persica_gdr_reftransV1_0048705")</f>
        <v>p.persica_gdr_reftransV1_0048705</v>
      </c>
      <c r="B19600" s="2">
        <v>573</v>
      </c>
      <c r="C19600" s="4" t="str">
        <f>HYPERLINK("http://www.uniprot.org/uniprot/M5WSJ0","M5WSJ0")</f>
        <v>M5WSJ0</v>
      </c>
      <c r="D19600" s="2" t="s">
        <v>13394</v>
      </c>
      <c r="E19600" s="3">
        <v>1.15E-132</v>
      </c>
      <c r="F19600" s="2">
        <v>1006</v>
      </c>
      <c r="G19600" s="2">
        <v>99</v>
      </c>
      <c r="H19600" s="2">
        <v>191</v>
      </c>
      <c r="I19600" s="2">
        <v>1</v>
      </c>
      <c r="J19600" s="2">
        <v>573</v>
      </c>
      <c r="K19600" s="2">
        <v>83</v>
      </c>
      <c r="L19600" s="2">
        <v>273</v>
      </c>
    </row>
    <row r="19601" spans="1:12" x14ac:dyDescent="0.25">
      <c r="A19601" s="4" t="str">
        <f>HYPERLINK("http://www.rosaceae.org/Prunus/Prunus_persica/p.persica_gdr_reftransV1_0049055","p.persica_gdr_reftransV1_0049055")</f>
        <v>p.persica_gdr_reftransV1_0049055</v>
      </c>
      <c r="B19601" s="2">
        <v>2297</v>
      </c>
      <c r="C19601" s="4" t="str">
        <f>HYPERLINK("http://www.uniprot.org/uniprot/M5WSF0","M5WSF0")</f>
        <v>M5WSF0</v>
      </c>
      <c r="D19601" s="2" t="s">
        <v>10138</v>
      </c>
      <c r="E19601" s="3">
        <v>0</v>
      </c>
      <c r="F19601" s="2">
        <v>2462</v>
      </c>
      <c r="G19601" s="2">
        <v>100</v>
      </c>
      <c r="H19601" s="2">
        <v>545</v>
      </c>
      <c r="I19601" s="2">
        <v>419</v>
      </c>
      <c r="J19601" s="2">
        <v>2053</v>
      </c>
      <c r="K19601" s="2">
        <v>1</v>
      </c>
      <c r="L19601" s="2">
        <v>545</v>
      </c>
    </row>
    <row r="19602" spans="1:12" x14ac:dyDescent="0.25">
      <c r="A19602" s="4" t="str">
        <f>HYPERLINK("http://www.rosaceae.org/Prunus/Prunus_persica/p.persica_gdr_reftransV1_0000056","p.persica_gdr_reftransV1_0000056")</f>
        <v>p.persica_gdr_reftransV1_0000056</v>
      </c>
      <c r="B19602" s="2">
        <v>540</v>
      </c>
      <c r="C19602" s="4" t="str">
        <f>HYPERLINK("http://www.uniprot.org/uniprot/M5Y125","M5Y125")</f>
        <v>M5Y125</v>
      </c>
      <c r="D19602" s="2" t="s">
        <v>889</v>
      </c>
      <c r="E19602" s="3">
        <v>2.5399999999999998E-124</v>
      </c>
      <c r="F19602" s="2">
        <v>978</v>
      </c>
      <c r="G19602" s="2">
        <v>100</v>
      </c>
      <c r="H19602" s="2">
        <v>179</v>
      </c>
      <c r="I19602" s="2">
        <v>2</v>
      </c>
      <c r="J19602" s="2">
        <v>538</v>
      </c>
      <c r="K19602" s="2">
        <v>548</v>
      </c>
      <c r="L19602" s="2">
        <v>726</v>
      </c>
    </row>
    <row r="19603" spans="1:12" x14ac:dyDescent="0.25">
      <c r="A19603" s="4" t="str">
        <f>HYPERLINK("http://www.rosaceae.org/Prunus/Prunus_persica/p.persica_gdr_reftransV1_0000406","p.persica_gdr_reftransV1_0000406")</f>
        <v>p.persica_gdr_reftransV1_0000406</v>
      </c>
      <c r="B19603" s="2">
        <v>671</v>
      </c>
      <c r="C19603" s="4" t="str">
        <f>HYPERLINK("http://www.uniprot.org/uniprot/M5VVK8","M5VVK8")</f>
        <v>M5VVK8</v>
      </c>
      <c r="D19603" s="2" t="s">
        <v>14974</v>
      </c>
      <c r="E19603" s="3">
        <v>8.7699999999999994E-48</v>
      </c>
      <c r="F19603" s="2">
        <v>307</v>
      </c>
      <c r="G19603" s="2">
        <v>89</v>
      </c>
      <c r="H19603" s="2">
        <v>84</v>
      </c>
      <c r="I19603" s="2">
        <v>1</v>
      </c>
      <c r="J19603" s="2">
        <v>252</v>
      </c>
      <c r="K19603" s="2">
        <v>134</v>
      </c>
      <c r="L19603" s="2">
        <v>213</v>
      </c>
    </row>
    <row r="19604" spans="1:12" x14ac:dyDescent="0.25">
      <c r="A19604" s="4" t="str">
        <f>HYPERLINK("http://www.rosaceae.org/Prunus/Prunus_persica/p.persica_gdr_reftransV1_0000756","p.persica_gdr_reftransV1_0000756")</f>
        <v>p.persica_gdr_reftransV1_0000756</v>
      </c>
      <c r="B19604" s="2">
        <v>967</v>
      </c>
      <c r="C19604" s="4" t="str">
        <f>HYPERLINK("http://www.uniprot.org/uniprot/A0A059WQB8","A0A059WQB8")</f>
        <v>A0A059WQB8</v>
      </c>
      <c r="D19604" s="2" t="s">
        <v>14975</v>
      </c>
      <c r="E19604" s="3">
        <v>1.86E-107</v>
      </c>
      <c r="F19604" s="2">
        <v>825</v>
      </c>
      <c r="G19604" s="2">
        <v>97</v>
      </c>
      <c r="H19604" s="2">
        <v>159</v>
      </c>
      <c r="I19604" s="2">
        <v>400</v>
      </c>
      <c r="J19604" s="2">
        <v>876</v>
      </c>
      <c r="K19604" s="2">
        <v>1</v>
      </c>
      <c r="L19604" s="2">
        <v>159</v>
      </c>
    </row>
    <row r="19605" spans="1:12" x14ac:dyDescent="0.25">
      <c r="A19605" s="4" t="str">
        <f>HYPERLINK("http://www.rosaceae.org/Prunus/Prunus_persica/p.persica_gdr_reftransV1_0001106","p.persica_gdr_reftransV1_0001106")</f>
        <v>p.persica_gdr_reftransV1_0001106</v>
      </c>
      <c r="B19605" s="2">
        <v>2067</v>
      </c>
      <c r="C19605" s="4" t="str">
        <f>HYPERLINK("http://www.uniprot.org/uniprot/M5W5L0","M5W5L0")</f>
        <v>M5W5L0</v>
      </c>
      <c r="D19605" s="2" t="s">
        <v>9453</v>
      </c>
      <c r="E19605" s="3">
        <v>0</v>
      </c>
      <c r="F19605" s="2">
        <v>2108</v>
      </c>
      <c r="G19605" s="2">
        <v>100</v>
      </c>
      <c r="H19605" s="2">
        <v>485</v>
      </c>
      <c r="I19605" s="2">
        <v>292</v>
      </c>
      <c r="J19605" s="2">
        <v>1746</v>
      </c>
      <c r="K19605" s="2">
        <v>1</v>
      </c>
      <c r="L19605" s="2">
        <v>485</v>
      </c>
    </row>
    <row r="19606" spans="1:12" x14ac:dyDescent="0.25">
      <c r="A19606" s="4" t="str">
        <f>HYPERLINK("http://www.rosaceae.org/Prunus/Prunus_persica/p.persica_gdr_reftransV1_0001456","p.persica_gdr_reftransV1_0001456")</f>
        <v>p.persica_gdr_reftransV1_0001456</v>
      </c>
      <c r="B19606" s="2">
        <v>901</v>
      </c>
      <c r="C19606" s="4" t="str">
        <f>HYPERLINK("http://www.uniprot.org/uniprot/M5XL63","M5XL63")</f>
        <v>M5XL63</v>
      </c>
      <c r="D19606" s="2" t="s">
        <v>8496</v>
      </c>
      <c r="E19606" s="3">
        <v>6.9900000000000005E-88</v>
      </c>
      <c r="F19606" s="2">
        <v>690</v>
      </c>
      <c r="G19606" s="2">
        <v>100</v>
      </c>
      <c r="H19606" s="2">
        <v>132</v>
      </c>
      <c r="I19606" s="2">
        <v>322</v>
      </c>
      <c r="J19606" s="2">
        <v>717</v>
      </c>
      <c r="K19606" s="2">
        <v>1</v>
      </c>
      <c r="L19606" s="2">
        <v>132</v>
      </c>
    </row>
    <row r="19607" spans="1:12" x14ac:dyDescent="0.25">
      <c r="A19607" s="4" t="str">
        <f>HYPERLINK("http://www.rosaceae.org/Prunus/Prunus_persica/p.persica_gdr_reftransV1_0001806","p.persica_gdr_reftransV1_0001806")</f>
        <v>p.persica_gdr_reftransV1_0001806</v>
      </c>
      <c r="B19607" s="2">
        <v>364</v>
      </c>
      <c r="C19607" s="4" t="str">
        <f>HYPERLINK("http://www.uniprot.org/uniprot/M5WNU7","M5WNU7")</f>
        <v>M5WNU7</v>
      </c>
      <c r="D19607" s="2" t="s">
        <v>3179</v>
      </c>
      <c r="E19607" s="3">
        <v>7.3300000000000003E-37</v>
      </c>
      <c r="F19607" s="2">
        <v>363</v>
      </c>
      <c r="G19607" s="2">
        <v>54</v>
      </c>
      <c r="H19607" s="2">
        <v>157</v>
      </c>
      <c r="I19607" s="2">
        <v>8</v>
      </c>
      <c r="J19607" s="2">
        <v>364</v>
      </c>
      <c r="K19607" s="2">
        <v>871</v>
      </c>
      <c r="L19607" s="2">
        <v>1027</v>
      </c>
    </row>
    <row r="19608" spans="1:12" x14ac:dyDescent="0.25">
      <c r="A19608" s="4" t="str">
        <f>HYPERLINK("http://www.rosaceae.org/Prunus/Prunus_persica/p.persica_gdr_reftransV1_0002156","p.persica_gdr_reftransV1_0002156")</f>
        <v>p.persica_gdr_reftransV1_0002156</v>
      </c>
      <c r="B19608" s="2">
        <v>499</v>
      </c>
      <c r="C19608" s="4" t="str">
        <f>HYPERLINK("http://www.uniprot.org/uniprot/M5WCJ8","M5WCJ8")</f>
        <v>M5WCJ8</v>
      </c>
      <c r="D19608" s="2" t="s">
        <v>2432</v>
      </c>
      <c r="E19608" s="3">
        <v>2.7000000000000002E-100</v>
      </c>
      <c r="F19608" s="2">
        <v>800</v>
      </c>
      <c r="G19608" s="2">
        <v>100</v>
      </c>
      <c r="H19608" s="2">
        <v>166</v>
      </c>
      <c r="I19608" s="2">
        <v>2</v>
      </c>
      <c r="J19608" s="2">
        <v>499</v>
      </c>
      <c r="K19608" s="2">
        <v>122</v>
      </c>
      <c r="L19608" s="2">
        <v>287</v>
      </c>
    </row>
    <row r="19609" spans="1:12" x14ac:dyDescent="0.25">
      <c r="A19609" s="4" t="str">
        <f>HYPERLINK("http://www.rosaceae.org/Prunus/Prunus_persica/p.persica_gdr_reftransV1_0002506","p.persica_gdr_reftransV1_0002506")</f>
        <v>p.persica_gdr_reftransV1_0002506</v>
      </c>
      <c r="B19609" s="2">
        <v>672</v>
      </c>
      <c r="C19609" s="4" t="str">
        <f>HYPERLINK("http://www.uniprot.org/uniprot/M5XM20","M5XM20")</f>
        <v>M5XM20</v>
      </c>
      <c r="D19609" s="2" t="s">
        <v>6075</v>
      </c>
      <c r="E19609" s="3">
        <v>2.62E-78</v>
      </c>
      <c r="F19609" s="2">
        <v>676</v>
      </c>
      <c r="G19609" s="2">
        <v>100</v>
      </c>
      <c r="H19609" s="2">
        <v>218</v>
      </c>
      <c r="I19609" s="2">
        <v>1</v>
      </c>
      <c r="J19609" s="2">
        <v>654</v>
      </c>
      <c r="K19609" s="2">
        <v>1</v>
      </c>
      <c r="L19609" s="2">
        <v>218</v>
      </c>
    </row>
    <row r="19610" spans="1:12" x14ac:dyDescent="0.25">
      <c r="A19610" s="4" t="str">
        <f>HYPERLINK("http://www.rosaceae.org/Prunus/Prunus_persica/p.persica_gdr_reftransV1_0004956","p.persica_gdr_reftransV1_0004956")</f>
        <v>p.persica_gdr_reftransV1_0004956</v>
      </c>
      <c r="B19610" s="2">
        <v>1834</v>
      </c>
      <c r="C19610" s="4" t="str">
        <f>HYPERLINK("http://www.uniprot.org/uniprot/M5VVT6","M5VVT6")</f>
        <v>M5VVT6</v>
      </c>
      <c r="D19610" s="2" t="s">
        <v>7895</v>
      </c>
      <c r="E19610" s="3">
        <v>0</v>
      </c>
      <c r="F19610" s="2">
        <v>2325</v>
      </c>
      <c r="G19610" s="2">
        <v>100</v>
      </c>
      <c r="H19610" s="2">
        <v>456</v>
      </c>
      <c r="I19610" s="2">
        <v>167</v>
      </c>
      <c r="J19610" s="2">
        <v>1534</v>
      </c>
      <c r="K19610" s="2">
        <v>1</v>
      </c>
      <c r="L19610" s="2">
        <v>456</v>
      </c>
    </row>
    <row r="19611" spans="1:12" x14ac:dyDescent="0.25">
      <c r="A19611" s="4" t="str">
        <f>HYPERLINK("http://www.rosaceae.org/Prunus/Prunus_persica/p.persica_gdr_reftransV1_0005656","p.persica_gdr_reftransV1_0005656")</f>
        <v>p.persica_gdr_reftransV1_0005656</v>
      </c>
      <c r="B19611" s="2">
        <v>439</v>
      </c>
      <c r="C19611" s="4" t="str">
        <f>HYPERLINK("http://www.uniprot.org/uniprot/M5W0N3","M5W0N3")</f>
        <v>M5W0N3</v>
      </c>
      <c r="D19611" s="2" t="s">
        <v>13932</v>
      </c>
      <c r="E19611" s="3">
        <v>5.9899999999999999E-57</v>
      </c>
      <c r="F19611" s="2">
        <v>470</v>
      </c>
      <c r="G19611" s="2">
        <v>100</v>
      </c>
      <c r="H19611" s="2">
        <v>105</v>
      </c>
      <c r="I19611" s="2">
        <v>125</v>
      </c>
      <c r="J19611" s="2">
        <v>439</v>
      </c>
      <c r="K19611" s="2">
        <v>1</v>
      </c>
      <c r="L19611" s="2">
        <v>105</v>
      </c>
    </row>
    <row r="19612" spans="1:12" x14ac:dyDescent="0.25">
      <c r="A19612" s="4" t="str">
        <f>HYPERLINK("http://www.rosaceae.org/Prunus/Prunus_persica/p.persica_gdr_reftransV1_0007056","p.persica_gdr_reftransV1_0007056")</f>
        <v>p.persica_gdr_reftransV1_0007056</v>
      </c>
      <c r="B19612" s="2">
        <v>1827</v>
      </c>
      <c r="C19612" s="4" t="str">
        <f>HYPERLINK("http://www.uniprot.org/uniprot/M5WAG4","M5WAG4")</f>
        <v>M5WAG4</v>
      </c>
      <c r="D19612" s="2" t="s">
        <v>14976</v>
      </c>
      <c r="E19612" s="3">
        <v>0</v>
      </c>
      <c r="F19612" s="2">
        <v>2289</v>
      </c>
      <c r="G19612" s="2">
        <v>100</v>
      </c>
      <c r="H19612" s="2">
        <v>504</v>
      </c>
      <c r="I19612" s="2">
        <v>115</v>
      </c>
      <c r="J19612" s="2">
        <v>1626</v>
      </c>
      <c r="K19612" s="2">
        <v>1</v>
      </c>
      <c r="L19612" s="2">
        <v>504</v>
      </c>
    </row>
    <row r="19613" spans="1:12" x14ac:dyDescent="0.25">
      <c r="A19613" s="4" t="str">
        <f>HYPERLINK("http://www.rosaceae.org/Prunus/Prunus_persica/p.persica_gdr_reftransV1_0007406","p.persica_gdr_reftransV1_0007406")</f>
        <v>p.persica_gdr_reftransV1_0007406</v>
      </c>
      <c r="B19613" s="2">
        <v>2100</v>
      </c>
      <c r="C19613" s="4" t="str">
        <f>HYPERLINK("http://www.uniprot.org/uniprot/M5WGK0","M5WGK0")</f>
        <v>M5WGK0</v>
      </c>
      <c r="D19613" s="2" t="s">
        <v>14977</v>
      </c>
      <c r="E19613" s="3">
        <v>0</v>
      </c>
      <c r="F19613" s="2">
        <v>2293</v>
      </c>
      <c r="G19613" s="2">
        <v>100</v>
      </c>
      <c r="H19613" s="2">
        <v>432</v>
      </c>
      <c r="I19613" s="2">
        <v>417</v>
      </c>
      <c r="J19613" s="2">
        <v>1712</v>
      </c>
      <c r="K19613" s="2">
        <v>1</v>
      </c>
      <c r="L19613" s="2">
        <v>432</v>
      </c>
    </row>
    <row r="19614" spans="1:12" x14ac:dyDescent="0.25">
      <c r="A19614" s="4" t="str">
        <f>HYPERLINK("http://www.rosaceae.org/Prunus/Prunus_persica/p.persica_gdr_reftransV1_0007756","p.persica_gdr_reftransV1_0007756")</f>
        <v>p.persica_gdr_reftransV1_0007756</v>
      </c>
      <c r="B19614" s="2">
        <v>850</v>
      </c>
      <c r="C19614" s="4" t="str">
        <f>HYPERLINK("http://www.uniprot.org/uniprot/M5W2Z6","M5W2Z6")</f>
        <v>M5W2Z6</v>
      </c>
      <c r="D19614" s="2" t="s">
        <v>14978</v>
      </c>
      <c r="E19614" s="3">
        <v>7.6700000000000001E-65</v>
      </c>
      <c r="F19614" s="2">
        <v>539</v>
      </c>
      <c r="G19614" s="2">
        <v>100</v>
      </c>
      <c r="H19614" s="2">
        <v>120</v>
      </c>
      <c r="I19614" s="2">
        <v>117</v>
      </c>
      <c r="J19614" s="2">
        <v>476</v>
      </c>
      <c r="K19614" s="2">
        <v>45</v>
      </c>
      <c r="L19614" s="2">
        <v>164</v>
      </c>
    </row>
    <row r="19615" spans="1:12" x14ac:dyDescent="0.25">
      <c r="A19615" s="4" t="str">
        <f>HYPERLINK("http://www.rosaceae.org/Prunus/Prunus_persica/p.persica_gdr_reftransV1_0008106","p.persica_gdr_reftransV1_0008106")</f>
        <v>p.persica_gdr_reftransV1_0008106</v>
      </c>
      <c r="B19615" s="2">
        <v>2200</v>
      </c>
      <c r="C19615" s="4" t="str">
        <f>HYPERLINK("http://www.uniprot.org/uniprot/M5XM96","M5XM96")</f>
        <v>M5XM96</v>
      </c>
      <c r="D19615" s="2" t="s">
        <v>14979</v>
      </c>
      <c r="E19615" s="3">
        <v>0</v>
      </c>
      <c r="F19615" s="2">
        <v>2887</v>
      </c>
      <c r="G19615" s="2">
        <v>100</v>
      </c>
      <c r="H19615" s="2">
        <v>537</v>
      </c>
      <c r="I19615" s="2">
        <v>317</v>
      </c>
      <c r="J19615" s="2">
        <v>1927</v>
      </c>
      <c r="K19615" s="2">
        <v>1</v>
      </c>
      <c r="L19615" s="2">
        <v>537</v>
      </c>
    </row>
    <row r="19616" spans="1:12" x14ac:dyDescent="0.25">
      <c r="A19616" s="4" t="str">
        <f>HYPERLINK("http://www.rosaceae.org/Prunus/Prunus_persica/p.persica_gdr_reftransV1_0008456","p.persica_gdr_reftransV1_0008456")</f>
        <v>p.persica_gdr_reftransV1_0008456</v>
      </c>
      <c r="B19616" s="2">
        <v>1277</v>
      </c>
      <c r="C19616" s="4" t="str">
        <f>HYPERLINK("http://www.uniprot.org/uniprot/M5XHN9","M5XHN9")</f>
        <v>M5XHN9</v>
      </c>
      <c r="D19616" s="2" t="s">
        <v>14980</v>
      </c>
      <c r="E19616" s="3">
        <v>2.8400000000000001E-126</v>
      </c>
      <c r="F19616" s="2">
        <v>654</v>
      </c>
      <c r="G19616" s="2">
        <v>100</v>
      </c>
      <c r="H19616" s="2">
        <v>126</v>
      </c>
      <c r="I19616" s="2">
        <v>321</v>
      </c>
      <c r="J19616" s="2">
        <v>698</v>
      </c>
      <c r="K19616" s="2">
        <v>116</v>
      </c>
      <c r="L19616" s="2">
        <v>241</v>
      </c>
    </row>
    <row r="19617" spans="1:12" x14ac:dyDescent="0.25">
      <c r="A19617" s="4" t="str">
        <f>HYPERLINK("http://www.rosaceae.org/Prunus/Prunus_persica/p.persica_gdr_reftransV1_0008806","p.persica_gdr_reftransV1_0008806")</f>
        <v>p.persica_gdr_reftransV1_0008806</v>
      </c>
      <c r="B19617" s="2">
        <v>2026</v>
      </c>
      <c r="C19617" s="4" t="str">
        <f>HYPERLINK("http://www.uniprot.org/uniprot/M5WDW4","M5WDW4")</f>
        <v>M5WDW4</v>
      </c>
      <c r="D19617" s="2" t="s">
        <v>14981</v>
      </c>
      <c r="E19617" s="3">
        <v>0</v>
      </c>
      <c r="F19617" s="2">
        <v>2284</v>
      </c>
      <c r="G19617" s="2">
        <v>96</v>
      </c>
      <c r="H19617" s="2">
        <v>584</v>
      </c>
      <c r="I19617" s="2">
        <v>128</v>
      </c>
      <c r="J19617" s="2">
        <v>1879</v>
      </c>
      <c r="K19617" s="2">
        <v>1</v>
      </c>
      <c r="L19617" s="2">
        <v>558</v>
      </c>
    </row>
    <row r="19618" spans="1:12" x14ac:dyDescent="0.25">
      <c r="A19618" s="4" t="str">
        <f>HYPERLINK("http://www.rosaceae.org/Prunus/Prunus_persica/p.persica_gdr_reftransV1_0009156","p.persica_gdr_reftransV1_0009156")</f>
        <v>p.persica_gdr_reftransV1_0009156</v>
      </c>
      <c r="B19618" s="2">
        <v>1063</v>
      </c>
      <c r="C19618" s="4" t="str">
        <f>HYPERLINK("http://www.uniprot.org/uniprot/M5XTW3","M5XTW3")</f>
        <v>M5XTW3</v>
      </c>
      <c r="D19618" s="2" t="s">
        <v>14982</v>
      </c>
      <c r="E19618" s="3">
        <v>1.2000000000000001E-52</v>
      </c>
      <c r="F19618" s="2">
        <v>456</v>
      </c>
      <c r="G19618" s="2">
        <v>100</v>
      </c>
      <c r="H19618" s="2">
        <v>87</v>
      </c>
      <c r="I19618" s="2">
        <v>554</v>
      </c>
      <c r="J19618" s="2">
        <v>814</v>
      </c>
      <c r="K19618" s="2">
        <v>1</v>
      </c>
      <c r="L19618" s="2">
        <v>87</v>
      </c>
    </row>
    <row r="19619" spans="1:12" x14ac:dyDescent="0.25">
      <c r="A19619" s="4" t="str">
        <f>HYPERLINK("http://www.rosaceae.org/Prunus/Prunus_persica/p.persica_gdr_reftransV1_0009506","p.persica_gdr_reftransV1_0009506")</f>
        <v>p.persica_gdr_reftransV1_0009506</v>
      </c>
      <c r="B19619" s="2">
        <v>1207</v>
      </c>
      <c r="C19619" s="4" t="str">
        <f>HYPERLINK("http://www.uniprot.org/uniprot/M5W986","M5W986")</f>
        <v>M5W986</v>
      </c>
      <c r="D19619" s="2" t="s">
        <v>14983</v>
      </c>
      <c r="E19619" s="3">
        <v>1.47E-131</v>
      </c>
      <c r="F19619" s="2">
        <v>997</v>
      </c>
      <c r="G19619" s="2">
        <v>100</v>
      </c>
      <c r="H19619" s="2">
        <v>209</v>
      </c>
      <c r="I19619" s="2">
        <v>133</v>
      </c>
      <c r="J19619" s="2">
        <v>759</v>
      </c>
      <c r="K19619" s="2">
        <v>1</v>
      </c>
      <c r="L19619" s="2">
        <v>209</v>
      </c>
    </row>
    <row r="19620" spans="1:12" x14ac:dyDescent="0.25">
      <c r="A19620" s="4" t="str">
        <f>HYPERLINK("http://www.rosaceae.org/Prunus/Prunus_persica/p.persica_gdr_reftransV1_0009856","p.persica_gdr_reftransV1_0009856")</f>
        <v>p.persica_gdr_reftransV1_0009856</v>
      </c>
      <c r="B19620" s="2">
        <v>1298</v>
      </c>
      <c r="C19620" s="4" t="str">
        <f>HYPERLINK("http://www.uniprot.org/uniprot/M5VZM6","M5VZM6")</f>
        <v>M5VZM6</v>
      </c>
      <c r="D19620" s="2" t="s">
        <v>14984</v>
      </c>
      <c r="E19620" s="3">
        <v>6.1199999999999998E-176</v>
      </c>
      <c r="F19620" s="2">
        <v>1299</v>
      </c>
      <c r="G19620" s="2">
        <v>100</v>
      </c>
      <c r="H19620" s="2">
        <v>264</v>
      </c>
      <c r="I19620" s="2">
        <v>278</v>
      </c>
      <c r="J19620" s="2">
        <v>1069</v>
      </c>
      <c r="K19620" s="2">
        <v>1</v>
      </c>
      <c r="L19620" s="2">
        <v>264</v>
      </c>
    </row>
    <row r="19621" spans="1:12" x14ac:dyDescent="0.25">
      <c r="A19621" s="4" t="str">
        <f>HYPERLINK("http://www.rosaceae.org/Prunus/Prunus_persica/p.persica_gdr_reftransV1_0010556","p.persica_gdr_reftransV1_0010556")</f>
        <v>p.persica_gdr_reftransV1_0010556</v>
      </c>
      <c r="B19621" s="2">
        <v>785</v>
      </c>
      <c r="C19621" s="4" t="str">
        <f>HYPERLINK("http://www.uniprot.org/uniprot/M5XLT0","M5XLT0")</f>
        <v>M5XLT0</v>
      </c>
      <c r="D19621" s="2" t="s">
        <v>11446</v>
      </c>
      <c r="E19621" s="3">
        <v>1.0500000000000001E-150</v>
      </c>
      <c r="F19621" s="2">
        <v>1115</v>
      </c>
      <c r="G19621" s="2">
        <v>89</v>
      </c>
      <c r="H19621" s="2">
        <v>240</v>
      </c>
      <c r="I19621" s="2">
        <v>1</v>
      </c>
      <c r="J19621" s="2">
        <v>720</v>
      </c>
      <c r="K19621" s="2">
        <v>37</v>
      </c>
      <c r="L19621" s="2">
        <v>250</v>
      </c>
    </row>
    <row r="19622" spans="1:12" x14ac:dyDescent="0.25">
      <c r="A19622" s="4" t="str">
        <f>HYPERLINK("http://www.rosaceae.org/Prunus/Prunus_persica/p.persica_gdr_reftransV1_0010906","p.persica_gdr_reftransV1_0010906")</f>
        <v>p.persica_gdr_reftransV1_0010906</v>
      </c>
      <c r="B19622" s="2">
        <v>705</v>
      </c>
      <c r="C19622" s="4" t="str">
        <f>HYPERLINK("http://www.uniprot.org/uniprot/W9R3N5","W9R3N5")</f>
        <v>W9R3N5</v>
      </c>
      <c r="D19622" s="2" t="s">
        <v>9987</v>
      </c>
      <c r="E19622" s="3">
        <v>7.6000000000000004E-56</v>
      </c>
      <c r="F19622" s="2">
        <v>495</v>
      </c>
      <c r="G19622" s="2">
        <v>61</v>
      </c>
      <c r="H19622" s="2">
        <v>161</v>
      </c>
      <c r="I19622" s="2">
        <v>2</v>
      </c>
      <c r="J19622" s="2">
        <v>451</v>
      </c>
      <c r="K19622" s="2">
        <v>265</v>
      </c>
      <c r="L19622" s="2">
        <v>425</v>
      </c>
    </row>
    <row r="19623" spans="1:12" x14ac:dyDescent="0.25">
      <c r="A19623" s="4" t="str">
        <f>HYPERLINK("http://www.rosaceae.org/Prunus/Prunus_persica/p.persica_gdr_reftransV1_0012306","p.persica_gdr_reftransV1_0012306")</f>
        <v>p.persica_gdr_reftransV1_0012306</v>
      </c>
      <c r="B19623" s="2">
        <v>2477</v>
      </c>
      <c r="C19623" s="4" t="str">
        <f>HYPERLINK("http://www.uniprot.org/uniprot/M5VUJ9","M5VUJ9")</f>
        <v>M5VUJ9</v>
      </c>
      <c r="D19623" s="2" t="s">
        <v>14985</v>
      </c>
      <c r="E19623" s="3">
        <v>0</v>
      </c>
      <c r="F19623" s="2">
        <v>1336</v>
      </c>
      <c r="G19623" s="2">
        <v>99</v>
      </c>
      <c r="H19623" s="2">
        <v>252</v>
      </c>
      <c r="I19623" s="2">
        <v>265</v>
      </c>
      <c r="J19623" s="2">
        <v>1020</v>
      </c>
      <c r="K19623" s="2">
        <v>37</v>
      </c>
      <c r="L19623" s="2">
        <v>288</v>
      </c>
    </row>
    <row r="19624" spans="1:12" x14ac:dyDescent="0.25">
      <c r="A19624" s="4" t="str">
        <f>HYPERLINK("http://www.rosaceae.org/Prunus/Prunus_persica/p.persica_gdr_reftransV1_0012656","p.persica_gdr_reftransV1_0012656")</f>
        <v>p.persica_gdr_reftransV1_0012656</v>
      </c>
      <c r="B19624" s="2">
        <v>2209</v>
      </c>
      <c r="C19624" s="4" t="str">
        <f>HYPERLINK("http://www.uniprot.org/uniprot/M5X834","M5X834")</f>
        <v>M5X834</v>
      </c>
      <c r="D19624" s="2" t="s">
        <v>14986</v>
      </c>
      <c r="E19624" s="3">
        <v>8.9399999999999996E-144</v>
      </c>
      <c r="F19624" s="2">
        <v>1131</v>
      </c>
      <c r="G19624" s="2">
        <v>100</v>
      </c>
      <c r="H19624" s="2">
        <v>231</v>
      </c>
      <c r="I19624" s="2">
        <v>1304</v>
      </c>
      <c r="J19624" s="2">
        <v>1996</v>
      </c>
      <c r="K19624" s="2">
        <v>1</v>
      </c>
      <c r="L19624" s="2">
        <v>231</v>
      </c>
    </row>
    <row r="19625" spans="1:12" x14ac:dyDescent="0.25">
      <c r="A19625" s="4" t="str">
        <f>HYPERLINK("http://www.rosaceae.org/Prunus/Prunus_persica/p.persica_gdr_reftransV1_0013006","p.persica_gdr_reftransV1_0013006")</f>
        <v>p.persica_gdr_reftransV1_0013006</v>
      </c>
      <c r="B19625" s="2">
        <v>1074</v>
      </c>
      <c r="C19625" s="4" t="str">
        <f>HYPERLINK("http://www.uniprot.org/uniprot/M5XFZ2","M5XFZ2")</f>
        <v>M5XFZ2</v>
      </c>
      <c r="D19625" s="2" t="s">
        <v>14987</v>
      </c>
      <c r="E19625" s="3">
        <v>4.5700000000000001E-103</v>
      </c>
      <c r="F19625" s="2">
        <v>799</v>
      </c>
      <c r="G19625" s="2">
        <v>100</v>
      </c>
      <c r="H19625" s="2">
        <v>152</v>
      </c>
      <c r="I19625" s="2">
        <v>372</v>
      </c>
      <c r="J19625" s="2">
        <v>827</v>
      </c>
      <c r="K19625" s="2">
        <v>1</v>
      </c>
      <c r="L19625" s="2">
        <v>152</v>
      </c>
    </row>
    <row r="19626" spans="1:12" x14ac:dyDescent="0.25">
      <c r="A19626" s="4" t="str">
        <f>HYPERLINK("http://www.rosaceae.org/Prunus/Prunus_persica/p.persica_gdr_reftransV1_0013356","p.persica_gdr_reftransV1_0013356")</f>
        <v>p.persica_gdr_reftransV1_0013356</v>
      </c>
      <c r="B19626" s="2">
        <v>1753</v>
      </c>
      <c r="C19626" s="4" t="str">
        <f>HYPERLINK("http://www.uniprot.org/uniprot/M5VU00","M5VU00")</f>
        <v>M5VU00</v>
      </c>
      <c r="D19626" s="2" t="s">
        <v>14654</v>
      </c>
      <c r="E19626" s="3">
        <v>0</v>
      </c>
      <c r="F19626" s="2">
        <v>1406</v>
      </c>
      <c r="G19626" s="2">
        <v>82</v>
      </c>
      <c r="H19626" s="2">
        <v>350</v>
      </c>
      <c r="I19626" s="2">
        <v>589</v>
      </c>
      <c r="J19626" s="2">
        <v>1623</v>
      </c>
      <c r="K19626" s="2">
        <v>15</v>
      </c>
      <c r="L19626" s="2">
        <v>327</v>
      </c>
    </row>
    <row r="19627" spans="1:12" x14ac:dyDescent="0.25">
      <c r="A19627" s="4" t="str">
        <f>HYPERLINK("http://www.rosaceae.org/Prunus/Prunus_persica/p.persica_gdr_reftransV1_0013706","p.persica_gdr_reftransV1_0013706")</f>
        <v>p.persica_gdr_reftransV1_0013706</v>
      </c>
      <c r="B19627" s="2">
        <v>926</v>
      </c>
      <c r="C19627" s="4" t="str">
        <f>HYPERLINK("http://www.uniprot.org/uniprot/M5XFS3","M5XFS3")</f>
        <v>M5XFS3</v>
      </c>
      <c r="D19627" s="2" t="s">
        <v>14988</v>
      </c>
      <c r="E19627" s="3">
        <v>4.5199999999999998E-74</v>
      </c>
      <c r="F19627" s="2">
        <v>605</v>
      </c>
      <c r="G19627" s="2">
        <v>100</v>
      </c>
      <c r="H19627" s="2">
        <v>189</v>
      </c>
      <c r="I19627" s="2">
        <v>258</v>
      </c>
      <c r="J19627" s="2">
        <v>824</v>
      </c>
      <c r="K19627" s="2">
        <v>1</v>
      </c>
      <c r="L19627" s="2">
        <v>189</v>
      </c>
    </row>
    <row r="19628" spans="1:12" x14ac:dyDescent="0.25">
      <c r="A19628" s="4" t="str">
        <f>HYPERLINK("http://www.rosaceae.org/Prunus/Prunus_persica/p.persica_gdr_reftransV1_0014406","p.persica_gdr_reftransV1_0014406")</f>
        <v>p.persica_gdr_reftransV1_0014406</v>
      </c>
      <c r="B19628" s="2">
        <v>4241</v>
      </c>
      <c r="C19628" s="4" t="str">
        <f>HYPERLINK("http://www.uniprot.org/uniprot/M5XA51","M5XA51")</f>
        <v>M5XA51</v>
      </c>
      <c r="D19628" s="2" t="s">
        <v>2550</v>
      </c>
      <c r="E19628" s="3">
        <v>0</v>
      </c>
      <c r="F19628" s="2">
        <v>2137</v>
      </c>
      <c r="G19628" s="2">
        <v>98</v>
      </c>
      <c r="H19628" s="2">
        <v>421</v>
      </c>
      <c r="I19628" s="2">
        <v>109</v>
      </c>
      <c r="J19628" s="2">
        <v>1371</v>
      </c>
      <c r="K19628" s="2">
        <v>1</v>
      </c>
      <c r="L19628" s="2">
        <v>421</v>
      </c>
    </row>
    <row r="19629" spans="1:12" x14ac:dyDescent="0.25">
      <c r="A19629" s="4" t="str">
        <f>HYPERLINK("http://www.rosaceae.org/Prunus/Prunus_persica/p.persica_gdr_reftransV1_0014756","p.persica_gdr_reftransV1_0014756")</f>
        <v>p.persica_gdr_reftransV1_0014756</v>
      </c>
      <c r="B19629" s="2">
        <v>531</v>
      </c>
      <c r="C19629" s="4" t="str">
        <f>HYPERLINK("http://www.uniprot.org/uniprot/M5WY95","M5WY95")</f>
        <v>M5WY95</v>
      </c>
      <c r="D19629" s="2" t="s">
        <v>14989</v>
      </c>
      <c r="E19629" s="3">
        <v>1.5300000000000001E-79</v>
      </c>
      <c r="F19629" s="2">
        <v>553</v>
      </c>
      <c r="G19629" s="2">
        <v>100</v>
      </c>
      <c r="H19629" s="2">
        <v>105</v>
      </c>
      <c r="I19629" s="2">
        <v>216</v>
      </c>
      <c r="J19629" s="2">
        <v>530</v>
      </c>
      <c r="K19629" s="2">
        <v>310</v>
      </c>
      <c r="L19629" s="2">
        <v>414</v>
      </c>
    </row>
    <row r="19630" spans="1:12" x14ac:dyDescent="0.25">
      <c r="A19630" s="4" t="str">
        <f>HYPERLINK("http://www.rosaceae.org/Prunus/Prunus_persica/p.persica_gdr_reftransV1_0015456","p.persica_gdr_reftransV1_0015456")</f>
        <v>p.persica_gdr_reftransV1_0015456</v>
      </c>
      <c r="B19630" s="2">
        <v>2269</v>
      </c>
      <c r="C19630" s="4" t="str">
        <f>HYPERLINK("http://www.uniprot.org/uniprot/M5XKC7","M5XKC7")</f>
        <v>M5XKC7</v>
      </c>
      <c r="D19630" s="2" t="s">
        <v>14990</v>
      </c>
      <c r="E19630" s="3">
        <v>4.1999999999999997E-154</v>
      </c>
      <c r="F19630" s="2">
        <v>1191</v>
      </c>
      <c r="G19630" s="2">
        <v>98</v>
      </c>
      <c r="H19630" s="2">
        <v>233</v>
      </c>
      <c r="I19630" s="2">
        <v>239</v>
      </c>
      <c r="J19630" s="2">
        <v>937</v>
      </c>
      <c r="K19630" s="2">
        <v>92</v>
      </c>
      <c r="L19630" s="2">
        <v>324</v>
      </c>
    </row>
    <row r="19631" spans="1:12" x14ac:dyDescent="0.25">
      <c r="A19631" s="4" t="str">
        <f>HYPERLINK("http://www.rosaceae.org/Prunus/Prunus_persica/p.persica_gdr_reftransV1_0015806","p.persica_gdr_reftransV1_0015806")</f>
        <v>p.persica_gdr_reftransV1_0015806</v>
      </c>
      <c r="B19631" s="2">
        <v>2529</v>
      </c>
      <c r="C19631" s="4" t="str">
        <f>HYPERLINK("http://www.uniprot.org/uniprot/M5W727","M5W727")</f>
        <v>M5W727</v>
      </c>
      <c r="D19631" s="2" t="s">
        <v>14991</v>
      </c>
      <c r="E19631" s="3">
        <v>0</v>
      </c>
      <c r="F19631" s="2">
        <v>2943</v>
      </c>
      <c r="G19631" s="2">
        <v>99</v>
      </c>
      <c r="H19631" s="2">
        <v>589</v>
      </c>
      <c r="I19631" s="2">
        <v>291</v>
      </c>
      <c r="J19631" s="2">
        <v>2057</v>
      </c>
      <c r="K19631" s="2">
        <v>1</v>
      </c>
      <c r="L19631" s="2">
        <v>589</v>
      </c>
    </row>
    <row r="19632" spans="1:12" x14ac:dyDescent="0.25">
      <c r="A19632" s="4" t="str">
        <f>HYPERLINK("http://www.rosaceae.org/Prunus/Prunus_persica/p.persica_gdr_reftransV1_0017556","p.persica_gdr_reftransV1_0017556")</f>
        <v>p.persica_gdr_reftransV1_0017556</v>
      </c>
      <c r="B19632" s="2">
        <v>2252</v>
      </c>
      <c r="C19632" s="4" t="str">
        <f>HYPERLINK("http://www.uniprot.org/uniprot/M5X6W2","M5X6W2")</f>
        <v>M5X6W2</v>
      </c>
      <c r="D19632" s="2" t="s">
        <v>437</v>
      </c>
      <c r="E19632" s="3">
        <v>0</v>
      </c>
      <c r="F19632" s="2">
        <v>2969</v>
      </c>
      <c r="G19632" s="2">
        <v>100</v>
      </c>
      <c r="H19632" s="2">
        <v>597</v>
      </c>
      <c r="I19632" s="2">
        <v>1</v>
      </c>
      <c r="J19632" s="2">
        <v>1791</v>
      </c>
      <c r="K19632" s="2">
        <v>85</v>
      </c>
      <c r="L19632" s="2">
        <v>681</v>
      </c>
    </row>
    <row r="19633" spans="1:12" x14ac:dyDescent="0.25">
      <c r="A19633" s="4" t="str">
        <f>HYPERLINK("http://www.rosaceae.org/Prunus/Prunus_persica/p.persica_gdr_reftransV1_0018956","p.persica_gdr_reftransV1_0018956")</f>
        <v>p.persica_gdr_reftransV1_0018956</v>
      </c>
      <c r="B19633" s="2">
        <v>1422</v>
      </c>
      <c r="C19633" s="4" t="str">
        <f>HYPERLINK("http://www.uniprot.org/uniprot/M5WU50","M5WU50")</f>
        <v>M5WU50</v>
      </c>
      <c r="D19633" s="2" t="s">
        <v>10603</v>
      </c>
      <c r="E19633" s="3">
        <v>1.24E-143</v>
      </c>
      <c r="F19633" s="2">
        <v>1095</v>
      </c>
      <c r="G19633" s="2">
        <v>100</v>
      </c>
      <c r="H19633" s="2">
        <v>206</v>
      </c>
      <c r="I19633" s="2">
        <v>558</v>
      </c>
      <c r="J19633" s="2">
        <v>1175</v>
      </c>
      <c r="K19633" s="2">
        <v>113</v>
      </c>
      <c r="L19633" s="2">
        <v>318</v>
      </c>
    </row>
    <row r="19634" spans="1:12" x14ac:dyDescent="0.25">
      <c r="A19634" s="4" t="str">
        <f>HYPERLINK("http://www.rosaceae.org/Prunus/Prunus_persica/p.persica_gdr_reftransV1_0021756","p.persica_gdr_reftransV1_0021756")</f>
        <v>p.persica_gdr_reftransV1_0021756</v>
      </c>
      <c r="B19634" s="2">
        <v>2372</v>
      </c>
      <c r="C19634" s="4" t="str">
        <f>HYPERLINK("http://www.uniprot.org/uniprot/M5WIH8","M5WIH8")</f>
        <v>M5WIH8</v>
      </c>
      <c r="D19634" s="2" t="s">
        <v>14992</v>
      </c>
      <c r="E19634" s="3">
        <v>0</v>
      </c>
      <c r="F19634" s="2">
        <v>2443</v>
      </c>
      <c r="G19634" s="2">
        <v>100</v>
      </c>
      <c r="H19634" s="2">
        <v>547</v>
      </c>
      <c r="I19634" s="2">
        <v>272</v>
      </c>
      <c r="J19634" s="2">
        <v>1912</v>
      </c>
      <c r="K19634" s="2">
        <v>20</v>
      </c>
      <c r="L19634" s="2">
        <v>566</v>
      </c>
    </row>
    <row r="19635" spans="1:12" x14ac:dyDescent="0.25">
      <c r="A19635" s="4" t="str">
        <f>HYPERLINK("http://www.rosaceae.org/Prunus/Prunus_persica/p.persica_gdr_reftransV1_0022806","p.persica_gdr_reftransV1_0022806")</f>
        <v>p.persica_gdr_reftransV1_0022806</v>
      </c>
      <c r="B19635" s="2">
        <v>1957</v>
      </c>
      <c r="C19635" s="4" t="str">
        <f>HYPERLINK("http://www.uniprot.org/uniprot/M5XE98","M5XE98")</f>
        <v>M5XE98</v>
      </c>
      <c r="D19635" s="2" t="s">
        <v>9891</v>
      </c>
      <c r="E19635" s="3">
        <v>0</v>
      </c>
      <c r="F19635" s="2">
        <v>2208</v>
      </c>
      <c r="G19635" s="2">
        <v>100</v>
      </c>
      <c r="H19635" s="2">
        <v>450</v>
      </c>
      <c r="I19635" s="2">
        <v>305</v>
      </c>
      <c r="J19635" s="2">
        <v>1654</v>
      </c>
      <c r="K19635" s="2">
        <v>36</v>
      </c>
      <c r="L19635" s="2">
        <v>485</v>
      </c>
    </row>
    <row r="19636" spans="1:12" x14ac:dyDescent="0.25">
      <c r="A19636" s="4" t="str">
        <f>HYPERLINK("http://www.rosaceae.org/Prunus/Prunus_persica/p.persica_gdr_reftransV1_0023856","p.persica_gdr_reftransV1_0023856")</f>
        <v>p.persica_gdr_reftransV1_0023856</v>
      </c>
      <c r="B19636" s="2">
        <v>1207</v>
      </c>
      <c r="C19636" s="4" t="str">
        <f>HYPERLINK("http://www.uniprot.org/uniprot/M5XSW2","M5XSW2")</f>
        <v>M5XSW2</v>
      </c>
      <c r="D19636" s="2" t="s">
        <v>14993</v>
      </c>
      <c r="E19636" s="3">
        <v>1.7E-111</v>
      </c>
      <c r="F19636" s="2">
        <v>864</v>
      </c>
      <c r="G19636" s="2">
        <v>96</v>
      </c>
      <c r="H19636" s="2">
        <v>169</v>
      </c>
      <c r="I19636" s="2">
        <v>332</v>
      </c>
      <c r="J19636" s="2">
        <v>838</v>
      </c>
      <c r="K19636" s="2">
        <v>1</v>
      </c>
      <c r="L19636" s="2">
        <v>169</v>
      </c>
    </row>
    <row r="19637" spans="1:12" x14ac:dyDescent="0.25">
      <c r="A19637" s="4" t="str">
        <f>HYPERLINK("http://www.rosaceae.org/Prunus/Prunus_persica/p.persica_gdr_reftransV1_0025606","p.persica_gdr_reftransV1_0025606")</f>
        <v>p.persica_gdr_reftransV1_0025606</v>
      </c>
      <c r="B19637" s="2">
        <v>2693</v>
      </c>
      <c r="C19637" s="4" t="str">
        <f>HYPERLINK("http://www.uniprot.org/uniprot/M5WV02","M5WV02")</f>
        <v>M5WV02</v>
      </c>
      <c r="D19637" s="2" t="s">
        <v>4251</v>
      </c>
      <c r="E19637" s="3">
        <v>0</v>
      </c>
      <c r="F19637" s="2">
        <v>2140</v>
      </c>
      <c r="G19637" s="2">
        <v>100</v>
      </c>
      <c r="H19637" s="2">
        <v>388</v>
      </c>
      <c r="I19637" s="2">
        <v>1</v>
      </c>
      <c r="J19637" s="2">
        <v>1164</v>
      </c>
      <c r="K19637" s="2">
        <v>194</v>
      </c>
      <c r="L19637" s="2">
        <v>581</v>
      </c>
    </row>
    <row r="19638" spans="1:12" x14ac:dyDescent="0.25">
      <c r="A19638" s="4" t="str">
        <f>HYPERLINK("http://www.rosaceae.org/Prunus/Prunus_persica/p.persica_gdr_reftransV1_0026656","p.persica_gdr_reftransV1_0026656")</f>
        <v>p.persica_gdr_reftransV1_0026656</v>
      </c>
      <c r="B19638" s="2">
        <v>2513</v>
      </c>
      <c r="C19638" s="4" t="str">
        <f>HYPERLINK("http://www.uniprot.org/uniprot/M5WUD1","M5WUD1")</f>
        <v>M5WUD1</v>
      </c>
      <c r="D19638" s="2" t="s">
        <v>5117</v>
      </c>
      <c r="E19638" s="3">
        <v>0</v>
      </c>
      <c r="F19638" s="2">
        <v>1747</v>
      </c>
      <c r="G19638" s="2">
        <v>99</v>
      </c>
      <c r="H19638" s="2">
        <v>432</v>
      </c>
      <c r="I19638" s="2">
        <v>452</v>
      </c>
      <c r="J19638" s="2">
        <v>1747</v>
      </c>
      <c r="K19638" s="2">
        <v>1</v>
      </c>
      <c r="L19638" s="2">
        <v>432</v>
      </c>
    </row>
    <row r="19639" spans="1:12" x14ac:dyDescent="0.25">
      <c r="A19639" s="4" t="str">
        <f>HYPERLINK("http://www.rosaceae.org/Prunus/Prunus_persica/p.persica_gdr_reftransV1_0027356","p.persica_gdr_reftransV1_0027356")</f>
        <v>p.persica_gdr_reftransV1_0027356</v>
      </c>
      <c r="B19639" s="2">
        <v>2246</v>
      </c>
      <c r="C19639" s="4" t="str">
        <f>HYPERLINK("http://www.uniprot.org/uniprot/M5Y462","M5Y462")</f>
        <v>M5Y462</v>
      </c>
      <c r="D19639" s="2" t="s">
        <v>7429</v>
      </c>
      <c r="E19639" s="3">
        <v>0</v>
      </c>
      <c r="F19639" s="2">
        <v>3684</v>
      </c>
      <c r="G19639" s="2">
        <v>100</v>
      </c>
      <c r="H19639" s="2">
        <v>682</v>
      </c>
      <c r="I19639" s="2">
        <v>3</v>
      </c>
      <c r="J19639" s="2">
        <v>2048</v>
      </c>
      <c r="K19639" s="2">
        <v>332</v>
      </c>
      <c r="L19639" s="2">
        <v>1013</v>
      </c>
    </row>
    <row r="19640" spans="1:12" x14ac:dyDescent="0.25">
      <c r="A19640" s="4" t="str">
        <f>HYPERLINK("http://www.rosaceae.org/Prunus/Prunus_persica/p.persica_gdr_reftransV1_0027706","p.persica_gdr_reftransV1_0027706")</f>
        <v>p.persica_gdr_reftransV1_0027706</v>
      </c>
      <c r="B19640" s="2">
        <v>1127</v>
      </c>
      <c r="C19640" s="4" t="str">
        <f>HYPERLINK("http://www.uniprot.org/uniprot/M5VV70","M5VV70")</f>
        <v>M5VV70</v>
      </c>
      <c r="D19640" s="2" t="s">
        <v>7925</v>
      </c>
      <c r="E19640" s="3">
        <v>0</v>
      </c>
      <c r="F19640" s="2">
        <v>2046</v>
      </c>
      <c r="G19640" s="2">
        <v>100</v>
      </c>
      <c r="H19640" s="2">
        <v>375</v>
      </c>
      <c r="I19640" s="2">
        <v>3</v>
      </c>
      <c r="J19640" s="2">
        <v>1127</v>
      </c>
      <c r="K19640" s="2">
        <v>126</v>
      </c>
      <c r="L19640" s="2">
        <v>500</v>
      </c>
    </row>
    <row r="19641" spans="1:12" x14ac:dyDescent="0.25">
      <c r="A19641" s="4" t="str">
        <f>HYPERLINK("http://www.rosaceae.org/Prunus/Prunus_persica/p.persica_gdr_reftransV1_0028056","p.persica_gdr_reftransV1_0028056")</f>
        <v>p.persica_gdr_reftransV1_0028056</v>
      </c>
      <c r="B19641" s="2">
        <v>612</v>
      </c>
      <c r="C19641" s="4" t="str">
        <f>HYPERLINK("http://www.uniprot.org/uniprot/M5W1M0","M5W1M0")</f>
        <v>M5W1M0</v>
      </c>
      <c r="D19641" s="2" t="s">
        <v>14994</v>
      </c>
      <c r="E19641" s="3">
        <v>7.9499999999999998E-109</v>
      </c>
      <c r="F19641" s="2">
        <v>820</v>
      </c>
      <c r="G19641" s="2">
        <v>100</v>
      </c>
      <c r="H19641" s="2">
        <v>153</v>
      </c>
      <c r="I19641" s="2">
        <v>56</v>
      </c>
      <c r="J19641" s="2">
        <v>514</v>
      </c>
      <c r="K19641" s="2">
        <v>1</v>
      </c>
      <c r="L19641" s="2">
        <v>153</v>
      </c>
    </row>
    <row r="19642" spans="1:12" x14ac:dyDescent="0.25">
      <c r="A19642" s="4" t="str">
        <f>HYPERLINK("http://www.rosaceae.org/Prunus/Prunus_persica/p.persica_gdr_reftransV1_0028406","p.persica_gdr_reftransV1_0028406")</f>
        <v>p.persica_gdr_reftransV1_0028406</v>
      </c>
      <c r="B19642" s="2">
        <v>1482</v>
      </c>
      <c r="C19642" s="4" t="str">
        <f>HYPERLINK("http://www.uniprot.org/uniprot/M5WBF0","M5WBF0")</f>
        <v>M5WBF0</v>
      </c>
      <c r="D19642" s="2" t="s">
        <v>9527</v>
      </c>
      <c r="E19642" s="3">
        <v>1.3899999999999999E-166</v>
      </c>
      <c r="F19642" s="2">
        <v>1254</v>
      </c>
      <c r="G19642" s="2">
        <v>100</v>
      </c>
      <c r="H19642" s="2">
        <v>235</v>
      </c>
      <c r="I19642" s="2">
        <v>408</v>
      </c>
      <c r="J19642" s="2">
        <v>1112</v>
      </c>
      <c r="K19642" s="2">
        <v>134</v>
      </c>
      <c r="L19642" s="2">
        <v>368</v>
      </c>
    </row>
    <row r="19643" spans="1:12" x14ac:dyDescent="0.25">
      <c r="A19643" s="4" t="str">
        <f>HYPERLINK("http://www.rosaceae.org/Prunus/Prunus_persica/p.persica_gdr_reftransV1_0029456","p.persica_gdr_reftransV1_0029456")</f>
        <v>p.persica_gdr_reftransV1_0029456</v>
      </c>
      <c r="B19643" s="2">
        <v>2658</v>
      </c>
      <c r="C19643" s="4" t="str">
        <f>HYPERLINK("http://www.uniprot.org/uniprot/M5VPK4","M5VPK4")</f>
        <v>M5VPK4</v>
      </c>
      <c r="D19643" s="2" t="s">
        <v>14995</v>
      </c>
      <c r="E19643" s="3">
        <v>0</v>
      </c>
      <c r="F19643" s="2">
        <v>1568</v>
      </c>
      <c r="G19643" s="2">
        <v>99</v>
      </c>
      <c r="H19643" s="2">
        <v>294</v>
      </c>
      <c r="I19643" s="2">
        <v>502</v>
      </c>
      <c r="J19643" s="2">
        <v>1383</v>
      </c>
      <c r="K19643" s="2">
        <v>1</v>
      </c>
      <c r="L19643" s="2">
        <v>294</v>
      </c>
    </row>
    <row r="19644" spans="1:12" x14ac:dyDescent="0.25">
      <c r="A19644" s="4" t="str">
        <f>HYPERLINK("http://www.rosaceae.org/Prunus/Prunus_persica/p.persica_gdr_reftransV1_0029806","p.persica_gdr_reftransV1_0029806")</f>
        <v>p.persica_gdr_reftransV1_0029806</v>
      </c>
      <c r="B19644" s="2">
        <v>4679</v>
      </c>
      <c r="C19644" s="4" t="str">
        <f>HYPERLINK("http://www.uniprot.org/uniprot/M5XHB4","M5XHB4")</f>
        <v>M5XHB4</v>
      </c>
      <c r="D19644" s="2" t="s">
        <v>14996</v>
      </c>
      <c r="E19644" s="3">
        <v>7.3500000000000004E-144</v>
      </c>
      <c r="F19644" s="2">
        <v>1194</v>
      </c>
      <c r="G19644" s="2">
        <v>97</v>
      </c>
      <c r="H19644" s="2">
        <v>261</v>
      </c>
      <c r="I19644" s="2">
        <v>1838</v>
      </c>
      <c r="J19644" s="2">
        <v>2620</v>
      </c>
      <c r="K19644" s="2">
        <v>85</v>
      </c>
      <c r="L19644" s="2">
        <v>343</v>
      </c>
    </row>
    <row r="19645" spans="1:12" x14ac:dyDescent="0.25">
      <c r="A19645" s="4" t="str">
        <f>HYPERLINK("http://www.rosaceae.org/Prunus/Prunus_persica/p.persica_gdr_reftransV1_0030856","p.persica_gdr_reftransV1_0030856")</f>
        <v>p.persica_gdr_reftransV1_0030856</v>
      </c>
      <c r="B19645" s="2">
        <v>2254</v>
      </c>
      <c r="C19645" s="4" t="str">
        <f>HYPERLINK("http://www.uniprot.org/uniprot/W9SBH8","W9SBH8")</f>
        <v>W9SBH8</v>
      </c>
      <c r="D19645" s="2" t="s">
        <v>14997</v>
      </c>
      <c r="E19645" s="3">
        <v>7.9600000000000005E-107</v>
      </c>
      <c r="F19645" s="2">
        <v>879</v>
      </c>
      <c r="G19645" s="2">
        <v>78</v>
      </c>
      <c r="H19645" s="2">
        <v>223</v>
      </c>
      <c r="I19645" s="2">
        <v>93</v>
      </c>
      <c r="J19645" s="2">
        <v>755</v>
      </c>
      <c r="K19645" s="2">
        <v>1</v>
      </c>
      <c r="L19645" s="2">
        <v>223</v>
      </c>
    </row>
    <row r="19646" spans="1:12" x14ac:dyDescent="0.25">
      <c r="A19646" s="4" t="str">
        <f>HYPERLINK("http://www.rosaceae.org/Prunus/Prunus_persica/p.persica_gdr_reftransV1_0032256","p.persica_gdr_reftransV1_0032256")</f>
        <v>p.persica_gdr_reftransV1_0032256</v>
      </c>
      <c r="B19646" s="2">
        <v>2666</v>
      </c>
      <c r="C19646" s="4" t="str">
        <f>HYPERLINK("http://www.uniprot.org/uniprot/M5WS63","M5WS63")</f>
        <v>M5WS63</v>
      </c>
      <c r="D19646" s="2" t="s">
        <v>14998</v>
      </c>
      <c r="E19646" s="3">
        <v>0</v>
      </c>
      <c r="F19646" s="2">
        <v>1677</v>
      </c>
      <c r="G19646" s="2">
        <v>98</v>
      </c>
      <c r="H19646" s="2">
        <v>340</v>
      </c>
      <c r="I19646" s="2">
        <v>1294</v>
      </c>
      <c r="J19646" s="2">
        <v>2313</v>
      </c>
      <c r="K19646" s="2">
        <v>1</v>
      </c>
      <c r="L19646" s="2">
        <v>339</v>
      </c>
    </row>
    <row r="19647" spans="1:12" x14ac:dyDescent="0.25">
      <c r="A19647" s="4" t="str">
        <f>HYPERLINK("http://www.rosaceae.org/Prunus/Prunus_persica/p.persica_gdr_reftransV1_0032606","p.persica_gdr_reftransV1_0032606")</f>
        <v>p.persica_gdr_reftransV1_0032606</v>
      </c>
      <c r="B19647" s="2">
        <v>4661</v>
      </c>
      <c r="C19647" s="4" t="str">
        <f>HYPERLINK("http://www.uniprot.org/uniprot/I7K8K8","I7K8K8")</f>
        <v>I7K8K8</v>
      </c>
      <c r="D19647" s="2" t="s">
        <v>1613</v>
      </c>
      <c r="E19647" s="3">
        <v>0</v>
      </c>
      <c r="F19647" s="2">
        <v>1659</v>
      </c>
      <c r="G19647" s="2">
        <v>63</v>
      </c>
      <c r="H19647" s="2">
        <v>504</v>
      </c>
      <c r="I19647" s="2">
        <v>384</v>
      </c>
      <c r="J19647" s="2">
        <v>1895</v>
      </c>
      <c r="K19647" s="2">
        <v>1109</v>
      </c>
      <c r="L19647" s="2">
        <v>1610</v>
      </c>
    </row>
    <row r="19648" spans="1:12" x14ac:dyDescent="0.25">
      <c r="A19648" s="4" t="str">
        <f>HYPERLINK("http://www.rosaceae.org/Prunus/Prunus_persica/p.persica_gdr_reftransV1_0033306","p.persica_gdr_reftransV1_0033306")</f>
        <v>p.persica_gdr_reftransV1_0033306</v>
      </c>
      <c r="B19648" s="2">
        <v>3001</v>
      </c>
      <c r="C19648" s="4" t="str">
        <f>HYPERLINK("http://www.uniprot.org/uniprot/A0A067JQA1","A0A067JQA1")</f>
        <v>A0A067JQA1</v>
      </c>
      <c r="D19648" s="2" t="s">
        <v>14999</v>
      </c>
      <c r="E19648" s="3">
        <v>0</v>
      </c>
      <c r="F19648" s="2">
        <v>3107</v>
      </c>
      <c r="G19648" s="2">
        <v>84</v>
      </c>
      <c r="H19648" s="2">
        <v>757</v>
      </c>
      <c r="I19648" s="2">
        <v>431</v>
      </c>
      <c r="J19648" s="2">
        <v>2686</v>
      </c>
      <c r="K19648" s="2">
        <v>64</v>
      </c>
      <c r="L19648" s="2">
        <v>805</v>
      </c>
    </row>
    <row r="19649" spans="1:12" x14ac:dyDescent="0.25">
      <c r="A19649" s="4" t="str">
        <f>HYPERLINK("http://www.rosaceae.org/Prunus/Prunus_persica/p.persica_gdr_reftransV1_0039606","p.persica_gdr_reftransV1_0039606")</f>
        <v>p.persica_gdr_reftransV1_0039606</v>
      </c>
      <c r="B19649" s="2">
        <v>2474</v>
      </c>
      <c r="C19649" s="4" t="str">
        <f>HYPERLINK("http://www.uniprot.org/uniprot/A0A0D2R635","A0A0D2R635")</f>
        <v>A0A0D2R635</v>
      </c>
      <c r="D19649" s="2" t="s">
        <v>15000</v>
      </c>
      <c r="E19649" s="3">
        <v>0</v>
      </c>
      <c r="F19649" s="2">
        <v>1436</v>
      </c>
      <c r="G19649" s="2">
        <v>71</v>
      </c>
      <c r="H19649" s="2">
        <v>445</v>
      </c>
      <c r="I19649" s="2">
        <v>1124</v>
      </c>
      <c r="J19649" s="2">
        <v>2458</v>
      </c>
      <c r="K19649" s="2">
        <v>15</v>
      </c>
      <c r="L19649" s="2">
        <v>434</v>
      </c>
    </row>
    <row r="19650" spans="1:12" x14ac:dyDescent="0.25">
      <c r="A19650" s="4" t="str">
        <f>HYPERLINK("http://www.rosaceae.org/Prunus/Prunus_persica/p.persica_gdr_reftransV1_0040306","p.persica_gdr_reftransV1_0040306")</f>
        <v>p.persica_gdr_reftransV1_0040306</v>
      </c>
      <c r="B19650" s="2">
        <v>2180</v>
      </c>
      <c r="C19650" s="4" t="str">
        <f>HYPERLINK("http://www.uniprot.org/uniprot/M5W4P1","M5W4P1")</f>
        <v>M5W4P1</v>
      </c>
      <c r="D19650" s="2" t="s">
        <v>15001</v>
      </c>
      <c r="E19650" s="3">
        <v>1.79E-153</v>
      </c>
      <c r="F19650" s="2">
        <v>1196</v>
      </c>
      <c r="G19650" s="2">
        <v>100</v>
      </c>
      <c r="H19650" s="2">
        <v>226</v>
      </c>
      <c r="I19650" s="2">
        <v>285</v>
      </c>
      <c r="J19650" s="2">
        <v>962</v>
      </c>
      <c r="K19650" s="2">
        <v>208</v>
      </c>
      <c r="L19650" s="2">
        <v>433</v>
      </c>
    </row>
    <row r="19651" spans="1:12" x14ac:dyDescent="0.25">
      <c r="A19651" s="4" t="str">
        <f>HYPERLINK("http://www.rosaceae.org/Prunus/Prunus_persica/p.persica_gdr_reftransV1_0043106","p.persica_gdr_reftransV1_0043106")</f>
        <v>p.persica_gdr_reftransV1_0043106</v>
      </c>
      <c r="B19651" s="2">
        <v>547</v>
      </c>
      <c r="C19651" s="4" t="str">
        <f>HYPERLINK("http://www.uniprot.org/uniprot/M5WTB1","M5WTB1")</f>
        <v>M5WTB1</v>
      </c>
      <c r="D19651" s="2" t="s">
        <v>11272</v>
      </c>
      <c r="E19651" s="3">
        <v>2.3E-95</v>
      </c>
      <c r="F19651" s="2">
        <v>786</v>
      </c>
      <c r="G19651" s="2">
        <v>99</v>
      </c>
      <c r="H19651" s="2">
        <v>152</v>
      </c>
      <c r="I19651" s="2">
        <v>3</v>
      </c>
      <c r="J19651" s="2">
        <v>458</v>
      </c>
      <c r="K19651" s="2">
        <v>1</v>
      </c>
      <c r="L19651" s="2">
        <v>152</v>
      </c>
    </row>
    <row r="19652" spans="1:12" x14ac:dyDescent="0.25">
      <c r="A19652" s="4" t="str">
        <f>HYPERLINK("http://www.rosaceae.org/Prunus/Prunus_persica/p.persica_gdr_reftransV1_0043456","p.persica_gdr_reftransV1_0043456")</f>
        <v>p.persica_gdr_reftransV1_0043456</v>
      </c>
      <c r="B19652" s="2">
        <v>664</v>
      </c>
      <c r="C19652" s="4" t="str">
        <f>HYPERLINK("http://www.uniprot.org/uniprot/M5X6R2","M5X6R2")</f>
        <v>M5X6R2</v>
      </c>
      <c r="D19652" s="2" t="s">
        <v>7336</v>
      </c>
      <c r="E19652" s="3">
        <v>8.3000000000000004E-122</v>
      </c>
      <c r="F19652" s="2">
        <v>953</v>
      </c>
      <c r="G19652" s="2">
        <v>100</v>
      </c>
      <c r="H19652" s="2">
        <v>205</v>
      </c>
      <c r="I19652" s="2">
        <v>3</v>
      </c>
      <c r="J19652" s="2">
        <v>617</v>
      </c>
      <c r="K19652" s="2">
        <v>1</v>
      </c>
      <c r="L19652" s="2">
        <v>205</v>
      </c>
    </row>
    <row r="19653" spans="1:12" x14ac:dyDescent="0.25">
      <c r="A19653" s="4" t="str">
        <f>HYPERLINK("http://www.rosaceae.org/Prunus/Prunus_persica/p.persica_gdr_reftransV1_0043806","p.persica_gdr_reftransV1_0043806")</f>
        <v>p.persica_gdr_reftransV1_0043806</v>
      </c>
      <c r="B19653" s="2">
        <v>3579</v>
      </c>
      <c r="C19653" s="4" t="str">
        <f>HYPERLINK("http://www.uniprot.org/uniprot/M5W6H8","M5W6H8")</f>
        <v>M5W6H8</v>
      </c>
      <c r="D19653" s="2" t="s">
        <v>4667</v>
      </c>
      <c r="E19653" s="3">
        <v>0</v>
      </c>
      <c r="F19653" s="2">
        <v>5174</v>
      </c>
      <c r="G19653" s="2">
        <v>100</v>
      </c>
      <c r="H19653" s="2">
        <v>1035</v>
      </c>
      <c r="I19653" s="2">
        <v>218</v>
      </c>
      <c r="J19653" s="2">
        <v>3322</v>
      </c>
      <c r="K19653" s="2">
        <v>1</v>
      </c>
      <c r="L19653" s="2">
        <v>1035</v>
      </c>
    </row>
    <row r="19654" spans="1:12" x14ac:dyDescent="0.25">
      <c r="A19654" s="4" t="str">
        <f>HYPERLINK("http://www.rosaceae.org/Prunus/Prunus_persica/p.persica_gdr_reftransV1_0044156","p.persica_gdr_reftransV1_0044156")</f>
        <v>p.persica_gdr_reftransV1_0044156</v>
      </c>
      <c r="B19654" s="2">
        <v>1311</v>
      </c>
      <c r="C19654" s="4" t="str">
        <f>HYPERLINK("http://www.uniprot.org/uniprot/M5XAU4","M5XAU4")</f>
        <v>M5XAU4</v>
      </c>
      <c r="D19654" s="2" t="s">
        <v>1304</v>
      </c>
      <c r="E19654" s="3">
        <v>0</v>
      </c>
      <c r="F19654" s="2">
        <v>2190</v>
      </c>
      <c r="G19654" s="2">
        <v>100</v>
      </c>
      <c r="H19654" s="2">
        <v>419</v>
      </c>
      <c r="I19654" s="2">
        <v>54</v>
      </c>
      <c r="J19654" s="2">
        <v>1310</v>
      </c>
      <c r="K19654" s="2">
        <v>1</v>
      </c>
      <c r="L19654" s="2">
        <v>419</v>
      </c>
    </row>
    <row r="19655" spans="1:12" x14ac:dyDescent="0.25">
      <c r="A19655" s="4" t="str">
        <f>HYPERLINK("http://www.rosaceae.org/Prunus/Prunus_persica/p.persica_gdr_reftransV1_0044856","p.persica_gdr_reftransV1_0044856")</f>
        <v>p.persica_gdr_reftransV1_0044856</v>
      </c>
      <c r="B19655" s="2">
        <v>814</v>
      </c>
      <c r="C19655" s="4" t="str">
        <f>HYPERLINK("http://www.uniprot.org/uniprot/M5VPA5","M5VPA5")</f>
        <v>M5VPA5</v>
      </c>
      <c r="D19655" s="2" t="s">
        <v>8163</v>
      </c>
      <c r="E19655" s="3">
        <v>4.2799999999999997E-97</v>
      </c>
      <c r="F19655" s="2">
        <v>750</v>
      </c>
      <c r="G19655" s="2">
        <v>100</v>
      </c>
      <c r="H19655" s="2">
        <v>145</v>
      </c>
      <c r="I19655" s="2">
        <v>65</v>
      </c>
      <c r="J19655" s="2">
        <v>499</v>
      </c>
      <c r="K19655" s="2">
        <v>1</v>
      </c>
      <c r="L19655" s="2">
        <v>145</v>
      </c>
    </row>
    <row r="19656" spans="1:12" x14ac:dyDescent="0.25">
      <c r="A19656" s="4" t="str">
        <f>HYPERLINK("http://www.rosaceae.org/Prunus/Prunus_persica/p.persica_gdr_reftransV1_0045206","p.persica_gdr_reftransV1_0045206")</f>
        <v>p.persica_gdr_reftransV1_0045206</v>
      </c>
      <c r="B19656" s="2">
        <v>487</v>
      </c>
      <c r="C19656" s="4" t="str">
        <f>HYPERLINK("http://www.uniprot.org/uniprot/M5VXE5","M5VXE5")</f>
        <v>M5VXE5</v>
      </c>
      <c r="D19656" s="2" t="s">
        <v>5762</v>
      </c>
      <c r="E19656" s="3">
        <v>6.3299999999999998E-85</v>
      </c>
      <c r="F19656" s="2">
        <v>691</v>
      </c>
      <c r="G19656" s="2">
        <v>100</v>
      </c>
      <c r="H19656" s="2">
        <v>131</v>
      </c>
      <c r="I19656" s="2">
        <v>95</v>
      </c>
      <c r="J19656" s="2">
        <v>487</v>
      </c>
      <c r="K19656" s="2">
        <v>1</v>
      </c>
      <c r="L19656" s="2">
        <v>131</v>
      </c>
    </row>
    <row r="19657" spans="1:12" x14ac:dyDescent="0.25">
      <c r="A19657" s="4" t="str">
        <f>HYPERLINK("http://www.rosaceae.org/Prunus/Prunus_persica/p.persica_gdr_reftransV1_0045556","p.persica_gdr_reftransV1_0045556")</f>
        <v>p.persica_gdr_reftransV1_0045556</v>
      </c>
      <c r="B19657" s="2">
        <v>1988</v>
      </c>
      <c r="C19657" s="4" t="str">
        <f>HYPERLINK("http://www.uniprot.org/uniprot/M5WI63","M5WI63")</f>
        <v>M5WI63</v>
      </c>
      <c r="D19657" s="2" t="s">
        <v>15002</v>
      </c>
      <c r="E19657" s="3">
        <v>0</v>
      </c>
      <c r="F19657" s="2">
        <v>2202</v>
      </c>
      <c r="G19657" s="2">
        <v>100</v>
      </c>
      <c r="H19657" s="2">
        <v>410</v>
      </c>
      <c r="I19657" s="2">
        <v>359</v>
      </c>
      <c r="J19657" s="2">
        <v>1588</v>
      </c>
      <c r="K19657" s="2">
        <v>1</v>
      </c>
      <c r="L19657" s="2">
        <v>410</v>
      </c>
    </row>
    <row r="19658" spans="1:12" x14ac:dyDescent="0.25">
      <c r="A19658" s="4" t="str">
        <f>HYPERLINK("http://www.rosaceae.org/Prunus/Prunus_persica/p.persica_gdr_reftransV1_0046256","p.persica_gdr_reftransV1_0046256")</f>
        <v>p.persica_gdr_reftransV1_0046256</v>
      </c>
      <c r="B19658" s="2">
        <v>1800</v>
      </c>
      <c r="C19658" s="4" t="str">
        <f>HYPERLINK("http://www.uniprot.org/uniprot/V4U7G6","V4U7G6")</f>
        <v>V4U7G6</v>
      </c>
      <c r="D19658" s="2" t="s">
        <v>15003</v>
      </c>
      <c r="E19658" s="3">
        <v>0</v>
      </c>
      <c r="F19658" s="2">
        <v>2243</v>
      </c>
      <c r="G19658" s="2">
        <v>98</v>
      </c>
      <c r="H19658" s="2">
        <v>431</v>
      </c>
      <c r="I19658" s="2">
        <v>385</v>
      </c>
      <c r="J19658" s="2">
        <v>1677</v>
      </c>
      <c r="K19658" s="2">
        <v>68</v>
      </c>
      <c r="L19658" s="2">
        <v>498</v>
      </c>
    </row>
    <row r="19659" spans="1:12" x14ac:dyDescent="0.25">
      <c r="A19659" s="4" t="str">
        <f>HYPERLINK("http://www.rosaceae.org/Prunus/Prunus_persica/p.persica_gdr_reftransV1_0046606","p.persica_gdr_reftransV1_0046606")</f>
        <v>p.persica_gdr_reftransV1_0046606</v>
      </c>
      <c r="B19659" s="2">
        <v>312</v>
      </c>
      <c r="C19659" s="4" t="str">
        <f>HYPERLINK("http://www.uniprot.org/uniprot/M5W0A4","M5W0A4")</f>
        <v>M5W0A4</v>
      </c>
      <c r="D19659" s="2" t="s">
        <v>8974</v>
      </c>
      <c r="E19659" s="3">
        <v>3.8800000000000001E-46</v>
      </c>
      <c r="F19659" s="2">
        <v>408</v>
      </c>
      <c r="G19659" s="2">
        <v>100</v>
      </c>
      <c r="H19659" s="2">
        <v>80</v>
      </c>
      <c r="I19659" s="2">
        <v>59</v>
      </c>
      <c r="J19659" s="2">
        <v>298</v>
      </c>
      <c r="K19659" s="2">
        <v>13</v>
      </c>
      <c r="L19659" s="2">
        <v>92</v>
      </c>
    </row>
    <row r="19660" spans="1:12" x14ac:dyDescent="0.25">
      <c r="A19660" s="4" t="str">
        <f>HYPERLINK("http://www.rosaceae.org/Prunus/Prunus_persica/p.persica_gdr_reftransV1_0046956","p.persica_gdr_reftransV1_0046956")</f>
        <v>p.persica_gdr_reftransV1_0046956</v>
      </c>
      <c r="B19660" s="2">
        <v>1026</v>
      </c>
      <c r="C19660" s="4" t="str">
        <f>HYPERLINK("http://www.uniprot.org/uniprot/M5X4J0","M5X4J0")</f>
        <v>M5X4J0</v>
      </c>
      <c r="D19660" s="2" t="s">
        <v>15004</v>
      </c>
      <c r="E19660" s="3">
        <v>4.5699999999999997E-162</v>
      </c>
      <c r="F19660" s="2">
        <v>1204</v>
      </c>
      <c r="G19660" s="2">
        <v>96</v>
      </c>
      <c r="H19660" s="2">
        <v>269</v>
      </c>
      <c r="I19660" s="2">
        <v>2</v>
      </c>
      <c r="J19660" s="2">
        <v>808</v>
      </c>
      <c r="K19660" s="2">
        <v>13</v>
      </c>
      <c r="L19660" s="2">
        <v>281</v>
      </c>
    </row>
    <row r="19661" spans="1:12" x14ac:dyDescent="0.25">
      <c r="A19661" s="4" t="str">
        <f>HYPERLINK("http://www.rosaceae.org/Prunus/Prunus_persica/p.persica_gdr_reftransV1_0047306","p.persica_gdr_reftransV1_0047306")</f>
        <v>p.persica_gdr_reftransV1_0047306</v>
      </c>
      <c r="B19661" s="2">
        <v>730</v>
      </c>
      <c r="C19661" s="4" t="str">
        <f>HYPERLINK("http://www.uniprot.org/uniprot/M5XHZ8","M5XHZ8")</f>
        <v>M5XHZ8</v>
      </c>
      <c r="D19661" s="2" t="s">
        <v>10498</v>
      </c>
      <c r="E19661" s="3">
        <v>9.9999999999999995E-45</v>
      </c>
      <c r="F19661" s="2">
        <v>413</v>
      </c>
      <c r="G19661" s="2">
        <v>50</v>
      </c>
      <c r="H19661" s="2">
        <v>171</v>
      </c>
      <c r="I19661" s="2">
        <v>73</v>
      </c>
      <c r="J19661" s="2">
        <v>579</v>
      </c>
      <c r="K19661" s="2">
        <v>12</v>
      </c>
      <c r="L19661" s="2">
        <v>182</v>
      </c>
    </row>
    <row r="19662" spans="1:12" x14ac:dyDescent="0.25">
      <c r="A19662" s="4" t="str">
        <f>HYPERLINK("http://www.rosaceae.org/Prunus/Prunus_persica/p.persica_gdr_reftransV1_0047656","p.persica_gdr_reftransV1_0047656")</f>
        <v>p.persica_gdr_reftransV1_0047656</v>
      </c>
      <c r="B19662" s="2">
        <v>654</v>
      </c>
      <c r="C19662" s="4" t="str">
        <f>HYPERLINK("http://www.uniprot.org/uniprot/M5X1C6","M5X1C6")</f>
        <v>M5X1C6</v>
      </c>
      <c r="D19662" s="2" t="s">
        <v>7724</v>
      </c>
      <c r="E19662" s="3">
        <v>1.6600000000000001E-68</v>
      </c>
      <c r="F19662" s="2">
        <v>557</v>
      </c>
      <c r="G19662" s="2">
        <v>100</v>
      </c>
      <c r="H19662" s="2">
        <v>119</v>
      </c>
      <c r="I19662" s="2">
        <v>1</v>
      </c>
      <c r="J19662" s="2">
        <v>357</v>
      </c>
      <c r="K19662" s="2">
        <v>1</v>
      </c>
      <c r="L19662" s="2">
        <v>119</v>
      </c>
    </row>
    <row r="19663" spans="1:12" x14ac:dyDescent="0.25">
      <c r="A19663" s="4" t="str">
        <f>HYPERLINK("http://www.rosaceae.org/Prunus/Prunus_persica/p.persica_gdr_reftransV1_0048006","p.persica_gdr_reftransV1_0048006")</f>
        <v>p.persica_gdr_reftransV1_0048006</v>
      </c>
      <c r="B19663" s="2">
        <v>1358</v>
      </c>
      <c r="C19663" s="4" t="str">
        <f>HYPERLINK("http://www.uniprot.org/uniprot/M5WB87","M5WB87")</f>
        <v>M5WB87</v>
      </c>
      <c r="D19663" s="2" t="s">
        <v>2856</v>
      </c>
      <c r="E19663" s="3">
        <v>1.3699999999999999E-164</v>
      </c>
      <c r="F19663" s="2">
        <v>839</v>
      </c>
      <c r="G19663" s="2">
        <v>99</v>
      </c>
      <c r="H19663" s="2">
        <v>157</v>
      </c>
      <c r="I19663" s="2">
        <v>271</v>
      </c>
      <c r="J19663" s="2">
        <v>741</v>
      </c>
      <c r="K19663" s="2">
        <v>159</v>
      </c>
      <c r="L19663" s="2">
        <v>315</v>
      </c>
    </row>
    <row r="19664" spans="1:12" x14ac:dyDescent="0.25">
      <c r="A19664" s="4" t="str">
        <f>HYPERLINK("http://www.rosaceae.org/Prunus/Prunus_persica/p.persica_gdr_reftransV1_0048356","p.persica_gdr_reftransV1_0048356")</f>
        <v>p.persica_gdr_reftransV1_0048356</v>
      </c>
      <c r="B19664" s="2">
        <v>1185</v>
      </c>
      <c r="C19664" s="4" t="str">
        <f>HYPERLINK("http://www.uniprot.org/uniprot/M5W7Z9","M5W7Z9")</f>
        <v>M5W7Z9</v>
      </c>
      <c r="D19664" s="2" t="s">
        <v>15005</v>
      </c>
      <c r="E19664" s="3">
        <v>2.51E-161</v>
      </c>
      <c r="F19664" s="2">
        <v>1196</v>
      </c>
      <c r="G19664" s="2">
        <v>100</v>
      </c>
      <c r="H19664" s="2">
        <v>243</v>
      </c>
      <c r="I19664" s="2">
        <v>352</v>
      </c>
      <c r="J19664" s="2">
        <v>1080</v>
      </c>
      <c r="K19664" s="2">
        <v>1</v>
      </c>
      <c r="L19664" s="2">
        <v>243</v>
      </c>
    </row>
    <row r="19665" spans="1:12" x14ac:dyDescent="0.25">
      <c r="A19665" s="4" t="str">
        <f>HYPERLINK("http://www.rosaceae.org/Prunus/Prunus_persica/p.persica_gdr_reftransV1_0048706","p.persica_gdr_reftransV1_0048706")</f>
        <v>p.persica_gdr_reftransV1_0048706</v>
      </c>
      <c r="B19665" s="2">
        <v>502</v>
      </c>
      <c r="C19665" s="4" t="str">
        <f>HYPERLINK("http://www.uniprot.org/uniprot/M5VX49","M5VX49")</f>
        <v>M5VX49</v>
      </c>
      <c r="D19665" s="2" t="s">
        <v>15006</v>
      </c>
      <c r="E19665" s="3">
        <v>2.71E-111</v>
      </c>
      <c r="F19665" s="2">
        <v>863</v>
      </c>
      <c r="G19665" s="2">
        <v>99</v>
      </c>
      <c r="H19665" s="2">
        <v>160</v>
      </c>
      <c r="I19665" s="2">
        <v>2</v>
      </c>
      <c r="J19665" s="2">
        <v>481</v>
      </c>
      <c r="K19665" s="2">
        <v>36</v>
      </c>
      <c r="L19665" s="2">
        <v>195</v>
      </c>
    </row>
    <row r="19666" spans="1:12" x14ac:dyDescent="0.25">
      <c r="A19666" s="4" t="str">
        <f>HYPERLINK("http://www.rosaceae.org/Prunus/Prunus_persica/p.persica_gdr_reftransV1_0000057","p.persica_gdr_reftransV1_0000057")</f>
        <v>p.persica_gdr_reftransV1_0000057</v>
      </c>
      <c r="B19666" s="2">
        <v>550</v>
      </c>
      <c r="C19666" s="4" t="str">
        <f>HYPERLINK("http://www.uniprot.org/uniprot/M5VJN5","M5VJN5")</f>
        <v>M5VJN5</v>
      </c>
      <c r="D19666" s="2" t="s">
        <v>5260</v>
      </c>
      <c r="E19666" s="3">
        <v>1.2000000000000001E-90</v>
      </c>
      <c r="F19666" s="2">
        <v>754</v>
      </c>
      <c r="G19666" s="2">
        <v>100</v>
      </c>
      <c r="H19666" s="2">
        <v>178</v>
      </c>
      <c r="I19666" s="2">
        <v>17</v>
      </c>
      <c r="J19666" s="2">
        <v>550</v>
      </c>
      <c r="K19666" s="2">
        <v>11</v>
      </c>
      <c r="L19666" s="2">
        <v>188</v>
      </c>
    </row>
    <row r="19667" spans="1:12" x14ac:dyDescent="0.25">
      <c r="A19667" s="4" t="str">
        <f>HYPERLINK("http://www.rosaceae.org/Prunus/Prunus_persica/p.persica_gdr_reftransV1_0000407","p.persica_gdr_reftransV1_0000407")</f>
        <v>p.persica_gdr_reftransV1_0000407</v>
      </c>
      <c r="B19667" s="2">
        <v>794</v>
      </c>
      <c r="C19667" s="4" t="str">
        <f>HYPERLINK("http://www.uniprot.org/uniprot/M5XC73","M5XC73")</f>
        <v>M5XC73</v>
      </c>
      <c r="D19667" s="2" t="s">
        <v>15007</v>
      </c>
      <c r="E19667" s="3">
        <v>6.51E-156</v>
      </c>
      <c r="F19667" s="2">
        <v>1148</v>
      </c>
      <c r="G19667" s="2">
        <v>96</v>
      </c>
      <c r="H19667" s="2">
        <v>242</v>
      </c>
      <c r="I19667" s="2">
        <v>68</v>
      </c>
      <c r="J19667" s="2">
        <v>793</v>
      </c>
      <c r="K19667" s="2">
        <v>1</v>
      </c>
      <c r="L19667" s="2">
        <v>242</v>
      </c>
    </row>
    <row r="19668" spans="1:12" x14ac:dyDescent="0.25">
      <c r="A19668" s="4" t="str">
        <f>HYPERLINK("http://www.rosaceae.org/Prunus/Prunus_persica/p.persica_gdr_reftransV1_0000757","p.persica_gdr_reftransV1_0000757")</f>
        <v>p.persica_gdr_reftransV1_0000757</v>
      </c>
      <c r="B19668" s="2">
        <v>1607</v>
      </c>
      <c r="C19668" s="4" t="str">
        <f>HYPERLINK("http://www.uniprot.org/uniprot/M5WXP5","M5WXP5")</f>
        <v>M5WXP5</v>
      </c>
      <c r="D19668" s="2" t="s">
        <v>6949</v>
      </c>
      <c r="E19668" s="3">
        <v>0</v>
      </c>
      <c r="F19668" s="2">
        <v>2224</v>
      </c>
      <c r="G19668" s="2">
        <v>100</v>
      </c>
      <c r="H19668" s="2">
        <v>414</v>
      </c>
      <c r="I19668" s="2">
        <v>48</v>
      </c>
      <c r="J19668" s="2">
        <v>1289</v>
      </c>
      <c r="K19668" s="2">
        <v>2</v>
      </c>
      <c r="L19668" s="2">
        <v>415</v>
      </c>
    </row>
    <row r="19669" spans="1:12" x14ac:dyDescent="0.25">
      <c r="A19669" s="4" t="str">
        <f>HYPERLINK("http://www.rosaceae.org/Prunus/Prunus_persica/p.persica_gdr_reftransV1_0001107","p.persica_gdr_reftransV1_0001107")</f>
        <v>p.persica_gdr_reftransV1_0001107</v>
      </c>
      <c r="B19669" s="2">
        <v>651</v>
      </c>
      <c r="C19669" s="4" t="str">
        <f>HYPERLINK("http://www.uniprot.org/uniprot/M5XK22","M5XK22")</f>
        <v>M5XK22</v>
      </c>
      <c r="D19669" s="2" t="s">
        <v>15008</v>
      </c>
      <c r="E19669" s="3">
        <v>7.5900000000000002E-59</v>
      </c>
      <c r="F19669" s="2">
        <v>489</v>
      </c>
      <c r="G19669" s="2">
        <v>100</v>
      </c>
      <c r="H19669" s="2">
        <v>125</v>
      </c>
      <c r="I19669" s="2">
        <v>11</v>
      </c>
      <c r="J19669" s="2">
        <v>385</v>
      </c>
      <c r="K19669" s="2">
        <v>1</v>
      </c>
      <c r="L19669" s="2">
        <v>125</v>
      </c>
    </row>
    <row r="19670" spans="1:12" x14ac:dyDescent="0.25">
      <c r="A19670" s="4" t="str">
        <f>HYPERLINK("http://www.rosaceae.org/Prunus/Prunus_persica/p.persica_gdr_reftransV1_0001457","p.persica_gdr_reftransV1_0001457")</f>
        <v>p.persica_gdr_reftransV1_0001457</v>
      </c>
      <c r="B19670" s="2">
        <v>710</v>
      </c>
      <c r="C19670" s="4" t="str">
        <f>HYPERLINK("http://www.uniprot.org/uniprot/M5X399","M5X399")</f>
        <v>M5X399</v>
      </c>
      <c r="D19670" s="2" t="s">
        <v>15009</v>
      </c>
      <c r="E19670" s="3">
        <v>1.0600000000000001E-100</v>
      </c>
      <c r="F19670" s="2">
        <v>770</v>
      </c>
      <c r="G19670" s="2">
        <v>100</v>
      </c>
      <c r="H19670" s="2">
        <v>143</v>
      </c>
      <c r="I19670" s="2">
        <v>165</v>
      </c>
      <c r="J19670" s="2">
        <v>593</v>
      </c>
      <c r="K19670" s="2">
        <v>1</v>
      </c>
      <c r="L19670" s="2">
        <v>143</v>
      </c>
    </row>
    <row r="19671" spans="1:12" x14ac:dyDescent="0.25">
      <c r="A19671" s="4" t="str">
        <f>HYPERLINK("http://www.rosaceae.org/Prunus/Prunus_persica/p.persica_gdr_reftransV1_0001807","p.persica_gdr_reftransV1_0001807")</f>
        <v>p.persica_gdr_reftransV1_0001807</v>
      </c>
      <c r="B19671" s="2">
        <v>433</v>
      </c>
      <c r="C19671" s="4" t="str">
        <f>HYPERLINK("http://www.uniprot.org/uniprot/M5WL42","M5WL42")</f>
        <v>M5WL42</v>
      </c>
      <c r="D19671" s="2" t="s">
        <v>3451</v>
      </c>
      <c r="E19671" s="3">
        <v>2.5899999999999999E-32</v>
      </c>
      <c r="F19671" s="2">
        <v>331</v>
      </c>
      <c r="G19671" s="2">
        <v>55</v>
      </c>
      <c r="H19671" s="2">
        <v>135</v>
      </c>
      <c r="I19671" s="2">
        <v>37</v>
      </c>
      <c r="J19671" s="2">
        <v>408</v>
      </c>
      <c r="K19671" s="2">
        <v>426</v>
      </c>
      <c r="L19671" s="2">
        <v>558</v>
      </c>
    </row>
    <row r="19672" spans="1:12" x14ac:dyDescent="0.25">
      <c r="A19672" s="4" t="str">
        <f>HYPERLINK("http://www.rosaceae.org/Prunus/Prunus_persica/p.persica_gdr_reftransV1_0002157","p.persica_gdr_reftransV1_0002157")</f>
        <v>p.persica_gdr_reftransV1_0002157</v>
      </c>
      <c r="B19672" s="2">
        <v>1631</v>
      </c>
      <c r="C19672" s="4" t="str">
        <f>HYPERLINK("http://www.uniprot.org/uniprot/M5VZY3","M5VZY3")</f>
        <v>M5VZY3</v>
      </c>
      <c r="D19672" s="2" t="s">
        <v>13213</v>
      </c>
      <c r="E19672" s="3">
        <v>0</v>
      </c>
      <c r="F19672" s="2">
        <v>2638</v>
      </c>
      <c r="G19672" s="2">
        <v>100</v>
      </c>
      <c r="H19672" s="2">
        <v>514</v>
      </c>
      <c r="I19672" s="2">
        <v>88</v>
      </c>
      <c r="J19672" s="2">
        <v>1629</v>
      </c>
      <c r="K19672" s="2">
        <v>1</v>
      </c>
      <c r="L19672" s="2">
        <v>514</v>
      </c>
    </row>
    <row r="19673" spans="1:12" x14ac:dyDescent="0.25">
      <c r="A19673" s="4" t="str">
        <f>HYPERLINK("http://www.rosaceae.org/Prunus/Prunus_persica/p.persica_gdr_reftransV1_0003207","p.persica_gdr_reftransV1_0003207")</f>
        <v>p.persica_gdr_reftransV1_0003207</v>
      </c>
      <c r="B19673" s="2">
        <v>952</v>
      </c>
      <c r="C19673" s="4" t="str">
        <f>HYPERLINK("http://www.uniprot.org/uniprot/M5VJC3","M5VJC3")</f>
        <v>M5VJC3</v>
      </c>
      <c r="D19673" s="2" t="s">
        <v>15010</v>
      </c>
      <c r="E19673" s="3">
        <v>5.0999999999999998E-64</v>
      </c>
      <c r="F19673" s="2">
        <v>541</v>
      </c>
      <c r="G19673" s="2">
        <v>100</v>
      </c>
      <c r="H19673" s="2">
        <v>191</v>
      </c>
      <c r="I19673" s="2">
        <v>146</v>
      </c>
      <c r="J19673" s="2">
        <v>718</v>
      </c>
      <c r="K19673" s="2">
        <v>1</v>
      </c>
      <c r="L19673" s="2">
        <v>191</v>
      </c>
    </row>
    <row r="19674" spans="1:12" x14ac:dyDescent="0.25">
      <c r="A19674" s="4" t="str">
        <f>HYPERLINK("http://www.rosaceae.org/Prunus/Prunus_persica/p.persica_gdr_reftransV1_0003907","p.persica_gdr_reftransV1_0003907")</f>
        <v>p.persica_gdr_reftransV1_0003907</v>
      </c>
      <c r="B19674" s="2">
        <v>1282</v>
      </c>
      <c r="C19674" s="4" t="str">
        <f>HYPERLINK("http://www.uniprot.org/uniprot/M5WA27","M5WA27")</f>
        <v>M5WA27</v>
      </c>
      <c r="D19674" s="2" t="s">
        <v>15011</v>
      </c>
      <c r="E19674" s="3">
        <v>0</v>
      </c>
      <c r="F19674" s="2">
        <v>1607</v>
      </c>
      <c r="G19674" s="2">
        <v>100</v>
      </c>
      <c r="H19674" s="2">
        <v>297</v>
      </c>
      <c r="I19674" s="2">
        <v>285</v>
      </c>
      <c r="J19674" s="2">
        <v>1175</v>
      </c>
      <c r="K19674" s="2">
        <v>20</v>
      </c>
      <c r="L19674" s="2">
        <v>316</v>
      </c>
    </row>
    <row r="19675" spans="1:12" x14ac:dyDescent="0.25">
      <c r="A19675" s="4" t="str">
        <f>HYPERLINK("http://www.rosaceae.org/Prunus/Prunus_persica/p.persica_gdr_reftransV1_0004607","p.persica_gdr_reftransV1_0004607")</f>
        <v>p.persica_gdr_reftransV1_0004607</v>
      </c>
      <c r="B19675" s="2">
        <v>2744</v>
      </c>
      <c r="C19675" s="4" t="str">
        <f>HYPERLINK("http://www.uniprot.org/uniprot/M5XLV5","M5XLV5")</f>
        <v>M5XLV5</v>
      </c>
      <c r="D19675" s="2" t="s">
        <v>2535</v>
      </c>
      <c r="E19675" s="3">
        <v>0</v>
      </c>
      <c r="F19675" s="2">
        <v>2329</v>
      </c>
      <c r="G19675" s="2">
        <v>98</v>
      </c>
      <c r="H19675" s="2">
        <v>458</v>
      </c>
      <c r="I19675" s="2">
        <v>75</v>
      </c>
      <c r="J19675" s="2">
        <v>1430</v>
      </c>
      <c r="K19675" s="2">
        <v>1</v>
      </c>
      <c r="L19675" s="2">
        <v>458</v>
      </c>
    </row>
    <row r="19676" spans="1:12" x14ac:dyDescent="0.25">
      <c r="A19676" s="4" t="str">
        <f>HYPERLINK("http://www.rosaceae.org/Prunus/Prunus_persica/p.persica_gdr_reftransV1_0006707","p.persica_gdr_reftransV1_0006707")</f>
        <v>p.persica_gdr_reftransV1_0006707</v>
      </c>
      <c r="B19676" s="2">
        <v>1112</v>
      </c>
      <c r="C19676" s="4" t="str">
        <f>HYPERLINK("http://www.uniprot.org/uniprot/M5Y4H0","M5Y4H0")</f>
        <v>M5Y4H0</v>
      </c>
      <c r="D19676" s="2" t="s">
        <v>5408</v>
      </c>
      <c r="E19676" s="3">
        <v>3.8900000000000001E-138</v>
      </c>
      <c r="F19676" s="2">
        <v>1050</v>
      </c>
      <c r="G19676" s="2">
        <v>99</v>
      </c>
      <c r="H19676" s="2">
        <v>215</v>
      </c>
      <c r="I19676" s="2">
        <v>282</v>
      </c>
      <c r="J19676" s="2">
        <v>926</v>
      </c>
      <c r="K19676" s="2">
        <v>117</v>
      </c>
      <c r="L19676" s="2">
        <v>331</v>
      </c>
    </row>
    <row r="19677" spans="1:12" x14ac:dyDescent="0.25">
      <c r="A19677" s="4" t="str">
        <f>HYPERLINK("http://www.rosaceae.org/Prunus/Prunus_persica/p.persica_gdr_reftransV1_0007057","p.persica_gdr_reftransV1_0007057")</f>
        <v>p.persica_gdr_reftransV1_0007057</v>
      </c>
      <c r="B19677" s="2">
        <v>614</v>
      </c>
      <c r="C19677" s="4" t="str">
        <f>HYPERLINK("http://www.uniprot.org/uniprot/M5VNE8","M5VNE8")</f>
        <v>M5VNE8</v>
      </c>
      <c r="D19677" s="2" t="s">
        <v>14749</v>
      </c>
      <c r="E19677" s="3">
        <v>1.76E-92</v>
      </c>
      <c r="F19677" s="2">
        <v>767</v>
      </c>
      <c r="G19677" s="2">
        <v>89</v>
      </c>
      <c r="H19677" s="2">
        <v>168</v>
      </c>
      <c r="I19677" s="2">
        <v>110</v>
      </c>
      <c r="J19677" s="2">
        <v>613</v>
      </c>
      <c r="K19677" s="2">
        <v>40</v>
      </c>
      <c r="L19677" s="2">
        <v>191</v>
      </c>
    </row>
    <row r="19678" spans="1:12" x14ac:dyDescent="0.25">
      <c r="A19678" s="4" t="str">
        <f>HYPERLINK("http://www.rosaceae.org/Prunus/Prunus_persica/p.persica_gdr_reftransV1_0007407","p.persica_gdr_reftransV1_0007407")</f>
        <v>p.persica_gdr_reftransV1_0007407</v>
      </c>
      <c r="B19678" s="2">
        <v>970</v>
      </c>
      <c r="C19678" s="4" t="str">
        <f>HYPERLINK("http://www.uniprot.org/uniprot/M5WF49","M5WF49")</f>
        <v>M5WF49</v>
      </c>
      <c r="D19678" s="2" t="s">
        <v>15012</v>
      </c>
      <c r="E19678" s="3">
        <v>8.6300000000000005E-139</v>
      </c>
      <c r="F19678" s="2">
        <v>1036</v>
      </c>
      <c r="G19678" s="2">
        <v>100</v>
      </c>
      <c r="H19678" s="2">
        <v>199</v>
      </c>
      <c r="I19678" s="2">
        <v>237</v>
      </c>
      <c r="J19678" s="2">
        <v>833</v>
      </c>
      <c r="K19678" s="2">
        <v>10</v>
      </c>
      <c r="L19678" s="2">
        <v>208</v>
      </c>
    </row>
    <row r="19679" spans="1:12" x14ac:dyDescent="0.25">
      <c r="A19679" s="4" t="str">
        <f>HYPERLINK("http://www.rosaceae.org/Prunus/Prunus_persica/p.persica_gdr_reftransV1_0010207","p.persica_gdr_reftransV1_0010207")</f>
        <v>p.persica_gdr_reftransV1_0010207</v>
      </c>
      <c r="B19679" s="2">
        <v>696</v>
      </c>
      <c r="C19679" s="4" t="str">
        <f>HYPERLINK("http://www.uniprot.org/uniprot/M5XZK1","M5XZK1")</f>
        <v>M5XZK1</v>
      </c>
      <c r="D19679" s="2" t="s">
        <v>15013</v>
      </c>
      <c r="E19679" s="3">
        <v>7.3200000000000001E-59</v>
      </c>
      <c r="F19679" s="2">
        <v>496</v>
      </c>
      <c r="G19679" s="2">
        <v>100</v>
      </c>
      <c r="H19679" s="2">
        <v>109</v>
      </c>
      <c r="I19679" s="2">
        <v>369</v>
      </c>
      <c r="J19679" s="2">
        <v>695</v>
      </c>
      <c r="K19679" s="2">
        <v>1</v>
      </c>
      <c r="L19679" s="2">
        <v>109</v>
      </c>
    </row>
    <row r="19680" spans="1:12" x14ac:dyDescent="0.25">
      <c r="A19680" s="4" t="str">
        <f>HYPERLINK("http://www.rosaceae.org/Prunus/Prunus_persica/p.persica_gdr_reftransV1_0010557","p.persica_gdr_reftransV1_0010557")</f>
        <v>p.persica_gdr_reftransV1_0010557</v>
      </c>
      <c r="B19680" s="2">
        <v>496</v>
      </c>
      <c r="C19680" s="4" t="str">
        <f>HYPERLINK("http://www.uniprot.org/uniprot/M5VHL1","M5VHL1")</f>
        <v>M5VHL1</v>
      </c>
      <c r="D19680" s="2" t="s">
        <v>1670</v>
      </c>
      <c r="E19680" s="3">
        <v>1.8500000000000001E-108</v>
      </c>
      <c r="F19680" s="2">
        <v>841</v>
      </c>
      <c r="G19680" s="2">
        <v>100</v>
      </c>
      <c r="H19680" s="2">
        <v>165</v>
      </c>
      <c r="I19680" s="2">
        <v>1</v>
      </c>
      <c r="J19680" s="2">
        <v>495</v>
      </c>
      <c r="K19680" s="2">
        <v>41</v>
      </c>
      <c r="L19680" s="2">
        <v>205</v>
      </c>
    </row>
    <row r="19681" spans="1:12" x14ac:dyDescent="0.25">
      <c r="A19681" s="4" t="str">
        <f>HYPERLINK("http://www.rosaceae.org/Prunus/Prunus_persica/p.persica_gdr_reftransV1_0010907","p.persica_gdr_reftransV1_0010907")</f>
        <v>p.persica_gdr_reftransV1_0010907</v>
      </c>
      <c r="B19681" s="2">
        <v>1704</v>
      </c>
      <c r="C19681" s="4" t="str">
        <f>HYPERLINK("http://www.uniprot.org/uniprot/M5W9K9","M5W9K9")</f>
        <v>M5W9K9</v>
      </c>
      <c r="D19681" s="2" t="s">
        <v>15014</v>
      </c>
      <c r="E19681" s="3">
        <v>0</v>
      </c>
      <c r="F19681" s="2">
        <v>2049</v>
      </c>
      <c r="G19681" s="2">
        <v>100</v>
      </c>
      <c r="H19681" s="2">
        <v>394</v>
      </c>
      <c r="I19681" s="2">
        <v>302</v>
      </c>
      <c r="J19681" s="2">
        <v>1483</v>
      </c>
      <c r="K19681" s="2">
        <v>1</v>
      </c>
      <c r="L19681" s="2">
        <v>394</v>
      </c>
    </row>
    <row r="19682" spans="1:12" x14ac:dyDescent="0.25">
      <c r="A19682" s="4" t="str">
        <f>HYPERLINK("http://www.rosaceae.org/Prunus/Prunus_persica/p.persica_gdr_reftransV1_0011257","p.persica_gdr_reftransV1_0011257")</f>
        <v>p.persica_gdr_reftransV1_0011257</v>
      </c>
      <c r="B19682" s="2">
        <v>2497</v>
      </c>
      <c r="C19682" s="4" t="str">
        <f>HYPERLINK("http://www.uniprot.org/uniprot/M5WTY3","M5WTY3")</f>
        <v>M5WTY3</v>
      </c>
      <c r="D19682" s="2" t="s">
        <v>9376</v>
      </c>
      <c r="E19682" s="3">
        <v>0</v>
      </c>
      <c r="F19682" s="2">
        <v>1600</v>
      </c>
      <c r="G19682" s="2">
        <v>100</v>
      </c>
      <c r="H19682" s="2">
        <v>318</v>
      </c>
      <c r="I19682" s="2">
        <v>698</v>
      </c>
      <c r="J19682" s="2">
        <v>1651</v>
      </c>
      <c r="K19682" s="2">
        <v>4</v>
      </c>
      <c r="L19682" s="2">
        <v>321</v>
      </c>
    </row>
    <row r="19683" spans="1:12" x14ac:dyDescent="0.25">
      <c r="A19683" s="4" t="str">
        <f>HYPERLINK("http://www.rosaceae.org/Prunus/Prunus_persica/p.persica_gdr_reftransV1_0011607","p.persica_gdr_reftransV1_0011607")</f>
        <v>p.persica_gdr_reftransV1_0011607</v>
      </c>
      <c r="B19683" s="2">
        <v>2740</v>
      </c>
      <c r="C19683" s="4" t="str">
        <f>HYPERLINK("http://www.uniprot.org/uniprot/M5XBC0","M5XBC0")</f>
        <v>M5XBC0</v>
      </c>
      <c r="D19683" s="2" t="s">
        <v>15015</v>
      </c>
      <c r="E19683" s="3">
        <v>0</v>
      </c>
      <c r="F19683" s="2">
        <v>1590</v>
      </c>
      <c r="G19683" s="2">
        <v>100</v>
      </c>
      <c r="H19683" s="2">
        <v>298</v>
      </c>
      <c r="I19683" s="2">
        <v>1415</v>
      </c>
      <c r="J19683" s="2">
        <v>2308</v>
      </c>
      <c r="K19683" s="2">
        <v>311</v>
      </c>
      <c r="L19683" s="2">
        <v>608</v>
      </c>
    </row>
    <row r="19684" spans="1:12" x14ac:dyDescent="0.25">
      <c r="A19684" s="4" t="str">
        <f>HYPERLINK("http://www.rosaceae.org/Prunus/Prunus_persica/p.persica_gdr_reftransV1_0013007","p.persica_gdr_reftransV1_0013007")</f>
        <v>p.persica_gdr_reftransV1_0013007</v>
      </c>
      <c r="B19684" s="2">
        <v>1101</v>
      </c>
      <c r="C19684" s="4" t="str">
        <f>HYPERLINK("http://www.uniprot.org/uniprot/M5XAI5","M5XAI5")</f>
        <v>M5XAI5</v>
      </c>
      <c r="D19684" s="2" t="s">
        <v>15016</v>
      </c>
      <c r="E19684" s="3">
        <v>9.1699999999999998E-147</v>
      </c>
      <c r="F19684" s="2">
        <v>1095</v>
      </c>
      <c r="G19684" s="2">
        <v>99</v>
      </c>
      <c r="H19684" s="2">
        <v>222</v>
      </c>
      <c r="I19684" s="2">
        <v>102</v>
      </c>
      <c r="J19684" s="2">
        <v>767</v>
      </c>
      <c r="K19684" s="2">
        <v>1</v>
      </c>
      <c r="L19684" s="2">
        <v>222</v>
      </c>
    </row>
    <row r="19685" spans="1:12" x14ac:dyDescent="0.25">
      <c r="A19685" s="4" t="str">
        <f>HYPERLINK("http://www.rosaceae.org/Prunus/Prunus_persica/p.persica_gdr_reftransV1_0013707","p.persica_gdr_reftransV1_0013707")</f>
        <v>p.persica_gdr_reftransV1_0013707</v>
      </c>
      <c r="B19685" s="2">
        <v>1575</v>
      </c>
      <c r="C19685" s="4" t="str">
        <f>HYPERLINK("http://www.uniprot.org/uniprot/M5WHZ6","M5WHZ6")</f>
        <v>M5WHZ6</v>
      </c>
      <c r="D19685" s="2" t="s">
        <v>15017</v>
      </c>
      <c r="E19685" s="3">
        <v>1.16E-122</v>
      </c>
      <c r="F19685" s="2">
        <v>959</v>
      </c>
      <c r="G19685" s="2">
        <v>100</v>
      </c>
      <c r="H19685" s="2">
        <v>298</v>
      </c>
      <c r="I19685" s="2">
        <v>441</v>
      </c>
      <c r="J19685" s="2">
        <v>1334</v>
      </c>
      <c r="K19685" s="2">
        <v>1</v>
      </c>
      <c r="L19685" s="2">
        <v>298</v>
      </c>
    </row>
    <row r="19686" spans="1:12" x14ac:dyDescent="0.25">
      <c r="A19686" s="4" t="str">
        <f>HYPERLINK("http://www.rosaceae.org/Prunus/Prunus_persica/p.persica_gdr_reftransV1_0014757","p.persica_gdr_reftransV1_0014757")</f>
        <v>p.persica_gdr_reftransV1_0014757</v>
      </c>
      <c r="B19686" s="2">
        <v>2952</v>
      </c>
      <c r="C19686" s="4" t="str">
        <f>HYPERLINK("http://www.uniprot.org/uniprot/M5XEN7","M5XEN7")</f>
        <v>M5XEN7</v>
      </c>
      <c r="D19686" s="2" t="s">
        <v>993</v>
      </c>
      <c r="E19686" s="3">
        <v>0</v>
      </c>
      <c r="F19686" s="2">
        <v>2544</v>
      </c>
      <c r="G19686" s="2">
        <v>100</v>
      </c>
      <c r="H19686" s="2">
        <v>495</v>
      </c>
      <c r="I19686" s="2">
        <v>450</v>
      </c>
      <c r="J19686" s="2">
        <v>1934</v>
      </c>
      <c r="K19686" s="2">
        <v>1</v>
      </c>
      <c r="L19686" s="2">
        <v>495</v>
      </c>
    </row>
    <row r="19687" spans="1:12" x14ac:dyDescent="0.25">
      <c r="A19687" s="4" t="str">
        <f>HYPERLINK("http://www.rosaceae.org/Prunus/Prunus_persica/p.persica_gdr_reftransV1_0015107","p.persica_gdr_reftransV1_0015107")</f>
        <v>p.persica_gdr_reftransV1_0015107</v>
      </c>
      <c r="B19687" s="2">
        <v>2420</v>
      </c>
      <c r="C19687" s="4" t="str">
        <f>HYPERLINK("http://www.uniprot.org/uniprot/M5WY70","M5WY70")</f>
        <v>M5WY70</v>
      </c>
      <c r="D19687" s="2" t="s">
        <v>15018</v>
      </c>
      <c r="E19687" s="3">
        <v>0</v>
      </c>
      <c r="F19687" s="2">
        <v>1999</v>
      </c>
      <c r="G19687" s="2">
        <v>99</v>
      </c>
      <c r="H19687" s="2">
        <v>479</v>
      </c>
      <c r="I19687" s="2">
        <v>198</v>
      </c>
      <c r="J19687" s="2">
        <v>1628</v>
      </c>
      <c r="K19687" s="2">
        <v>1</v>
      </c>
      <c r="L19687" s="2">
        <v>479</v>
      </c>
    </row>
    <row r="19688" spans="1:12" x14ac:dyDescent="0.25">
      <c r="A19688" s="4" t="str">
        <f>HYPERLINK("http://www.rosaceae.org/Prunus/Prunus_persica/p.persica_gdr_reftransV1_0016157","p.persica_gdr_reftransV1_0016157")</f>
        <v>p.persica_gdr_reftransV1_0016157</v>
      </c>
      <c r="B19688" s="2">
        <v>3018</v>
      </c>
      <c r="C19688" s="4" t="str">
        <f>HYPERLINK("http://www.uniprot.org/uniprot/M5XVM2","M5XVM2")</f>
        <v>M5XVM2</v>
      </c>
      <c r="D19688" s="2" t="s">
        <v>15019</v>
      </c>
      <c r="E19688" s="3">
        <v>0</v>
      </c>
      <c r="F19688" s="2">
        <v>3054</v>
      </c>
      <c r="G19688" s="2">
        <v>100</v>
      </c>
      <c r="H19688" s="2">
        <v>625</v>
      </c>
      <c r="I19688" s="2">
        <v>829</v>
      </c>
      <c r="J19688" s="2">
        <v>2703</v>
      </c>
      <c r="K19688" s="2">
        <v>1</v>
      </c>
      <c r="L19688" s="2">
        <v>625</v>
      </c>
    </row>
    <row r="19689" spans="1:12" x14ac:dyDescent="0.25">
      <c r="A19689" s="4" t="str">
        <f>HYPERLINK("http://www.rosaceae.org/Prunus/Prunus_persica/p.persica_gdr_reftransV1_0017557","p.persica_gdr_reftransV1_0017557")</f>
        <v>p.persica_gdr_reftransV1_0017557</v>
      </c>
      <c r="B19689" s="2">
        <v>3575</v>
      </c>
      <c r="C19689" s="4" t="str">
        <f>HYPERLINK("http://www.uniprot.org/uniprot/M5X3A5","M5X3A5")</f>
        <v>M5X3A5</v>
      </c>
      <c r="D19689" s="2" t="s">
        <v>15020</v>
      </c>
      <c r="E19689" s="3">
        <v>9.0200000000000003E-119</v>
      </c>
      <c r="F19689" s="2">
        <v>978</v>
      </c>
      <c r="G19689" s="2">
        <v>100</v>
      </c>
      <c r="H19689" s="2">
        <v>202</v>
      </c>
      <c r="I19689" s="2">
        <v>141</v>
      </c>
      <c r="J19689" s="2">
        <v>746</v>
      </c>
      <c r="K19689" s="2">
        <v>1</v>
      </c>
      <c r="L19689" s="2">
        <v>202</v>
      </c>
    </row>
    <row r="19690" spans="1:12" x14ac:dyDescent="0.25">
      <c r="A19690" s="4" t="str">
        <f>HYPERLINK("http://www.rosaceae.org/Prunus/Prunus_persica/p.persica_gdr_reftransV1_0018957","p.persica_gdr_reftransV1_0018957")</f>
        <v>p.persica_gdr_reftransV1_0018957</v>
      </c>
      <c r="B19690" s="2">
        <v>2591</v>
      </c>
      <c r="C19690" s="4" t="str">
        <f>HYPERLINK("http://www.uniprot.org/uniprot/M5WP30","M5WP30")</f>
        <v>M5WP30</v>
      </c>
      <c r="D19690" s="2" t="s">
        <v>15021</v>
      </c>
      <c r="E19690" s="3">
        <v>0</v>
      </c>
      <c r="F19690" s="2">
        <v>2626</v>
      </c>
      <c r="G19690" s="2">
        <v>100</v>
      </c>
      <c r="H19690" s="2">
        <v>515</v>
      </c>
      <c r="I19690" s="2">
        <v>114</v>
      </c>
      <c r="J19690" s="2">
        <v>1658</v>
      </c>
      <c r="K19690" s="2">
        <v>1</v>
      </c>
      <c r="L19690" s="2">
        <v>515</v>
      </c>
    </row>
    <row r="19691" spans="1:12" x14ac:dyDescent="0.25">
      <c r="A19691" s="4" t="str">
        <f>HYPERLINK("http://www.rosaceae.org/Prunus/Prunus_persica/p.persica_gdr_reftransV1_0020357","p.persica_gdr_reftransV1_0020357")</f>
        <v>p.persica_gdr_reftransV1_0020357</v>
      </c>
      <c r="B19691" s="2">
        <v>2617</v>
      </c>
      <c r="C19691" s="4" t="str">
        <f>HYPERLINK("http://www.uniprot.org/uniprot/M5VT04","M5VT04")</f>
        <v>M5VT04</v>
      </c>
      <c r="D19691" s="2" t="s">
        <v>15022</v>
      </c>
      <c r="E19691" s="3">
        <v>0</v>
      </c>
      <c r="F19691" s="2">
        <v>4047</v>
      </c>
      <c r="G19691" s="2">
        <v>100</v>
      </c>
      <c r="H19691" s="2">
        <v>778</v>
      </c>
      <c r="I19691" s="2">
        <v>85</v>
      </c>
      <c r="J19691" s="2">
        <v>2418</v>
      </c>
      <c r="K19691" s="2">
        <v>1</v>
      </c>
      <c r="L19691" s="2">
        <v>778</v>
      </c>
    </row>
    <row r="19692" spans="1:12" x14ac:dyDescent="0.25">
      <c r="A19692" s="4" t="str">
        <f>HYPERLINK("http://www.rosaceae.org/Prunus/Prunus_persica/p.persica_gdr_reftransV1_0020707","p.persica_gdr_reftransV1_0020707")</f>
        <v>p.persica_gdr_reftransV1_0020707</v>
      </c>
      <c r="B19692" s="2">
        <v>1707</v>
      </c>
      <c r="C19692" s="4" t="str">
        <f>HYPERLINK("http://www.uniprot.org/uniprot/M5W9G0","M5W9G0")</f>
        <v>M5W9G0</v>
      </c>
      <c r="D19692" s="2" t="s">
        <v>11598</v>
      </c>
      <c r="E19692" s="3">
        <v>4.7899999999999998E-140</v>
      </c>
      <c r="F19692" s="2">
        <v>1083</v>
      </c>
      <c r="G19692" s="2">
        <v>94</v>
      </c>
      <c r="H19692" s="2">
        <v>217</v>
      </c>
      <c r="I19692" s="2">
        <v>166</v>
      </c>
      <c r="J19692" s="2">
        <v>816</v>
      </c>
      <c r="K19692" s="2">
        <v>1</v>
      </c>
      <c r="L19692" s="2">
        <v>217</v>
      </c>
    </row>
    <row r="19693" spans="1:12" x14ac:dyDescent="0.25">
      <c r="A19693" s="4" t="str">
        <f>HYPERLINK("http://www.rosaceae.org/Prunus/Prunus_persica/p.persica_gdr_reftransV1_0021407","p.persica_gdr_reftransV1_0021407")</f>
        <v>p.persica_gdr_reftransV1_0021407</v>
      </c>
      <c r="B19693" s="2">
        <v>2622</v>
      </c>
      <c r="C19693" s="4" t="str">
        <f>HYPERLINK("http://www.uniprot.org/uniprot/M5W7D2","M5W7D2")</f>
        <v>M5W7D2</v>
      </c>
      <c r="D19693" s="2" t="s">
        <v>15023</v>
      </c>
      <c r="E19693" s="3">
        <v>0</v>
      </c>
      <c r="F19693" s="2">
        <v>2909</v>
      </c>
      <c r="G19693" s="2">
        <v>100</v>
      </c>
      <c r="H19693" s="2">
        <v>606</v>
      </c>
      <c r="I19693" s="2">
        <v>345</v>
      </c>
      <c r="J19693" s="2">
        <v>2162</v>
      </c>
      <c r="K19693" s="2">
        <v>1</v>
      </c>
      <c r="L19693" s="2">
        <v>606</v>
      </c>
    </row>
    <row r="19694" spans="1:12" x14ac:dyDescent="0.25">
      <c r="A19694" s="4" t="str">
        <f>HYPERLINK("http://www.rosaceae.org/Prunus/Prunus_persica/p.persica_gdr_reftransV1_0021757","p.persica_gdr_reftransV1_0021757")</f>
        <v>p.persica_gdr_reftransV1_0021757</v>
      </c>
      <c r="B19694" s="2">
        <v>1782</v>
      </c>
      <c r="C19694" s="4" t="str">
        <f>HYPERLINK("http://www.uniprot.org/uniprot/M5X161","M5X161")</f>
        <v>M5X161</v>
      </c>
      <c r="D19694" s="2" t="s">
        <v>8124</v>
      </c>
      <c r="E19694" s="3">
        <v>0</v>
      </c>
      <c r="F19694" s="2">
        <v>1934</v>
      </c>
      <c r="G19694" s="2">
        <v>100</v>
      </c>
      <c r="H19694" s="2">
        <v>382</v>
      </c>
      <c r="I19694" s="2">
        <v>596</v>
      </c>
      <c r="J19694" s="2">
        <v>1741</v>
      </c>
      <c r="K19694" s="2">
        <v>1</v>
      </c>
      <c r="L19694" s="2">
        <v>382</v>
      </c>
    </row>
    <row r="19695" spans="1:12" x14ac:dyDescent="0.25">
      <c r="A19695" s="4" t="str">
        <f>HYPERLINK("http://www.rosaceae.org/Prunus/Prunus_persica/p.persica_gdr_reftransV1_0022457","p.persica_gdr_reftransV1_0022457")</f>
        <v>p.persica_gdr_reftransV1_0022457</v>
      </c>
      <c r="B19695" s="2">
        <v>2924</v>
      </c>
      <c r="C19695" s="4" t="str">
        <f>HYPERLINK("http://www.uniprot.org/uniprot/M5VJL5","M5VJL5")</f>
        <v>M5VJL5</v>
      </c>
      <c r="D19695" s="2" t="s">
        <v>15024</v>
      </c>
      <c r="E19695" s="3">
        <v>0</v>
      </c>
      <c r="F19695" s="2">
        <v>1918</v>
      </c>
      <c r="G19695" s="2">
        <v>100</v>
      </c>
      <c r="H19695" s="2">
        <v>466</v>
      </c>
      <c r="I19695" s="2">
        <v>443</v>
      </c>
      <c r="J19695" s="2">
        <v>1840</v>
      </c>
      <c r="K19695" s="2">
        <v>1</v>
      </c>
      <c r="L19695" s="2">
        <v>466</v>
      </c>
    </row>
    <row r="19696" spans="1:12" x14ac:dyDescent="0.25">
      <c r="A19696" s="4" t="str">
        <f>HYPERLINK("http://www.rosaceae.org/Prunus/Prunus_persica/p.persica_gdr_reftransV1_0022807","p.persica_gdr_reftransV1_0022807")</f>
        <v>p.persica_gdr_reftransV1_0022807</v>
      </c>
      <c r="B19696" s="2">
        <v>2028</v>
      </c>
      <c r="C19696" s="4" t="str">
        <f>HYPERLINK("http://www.uniprot.org/uniprot/M5XGK4","M5XGK4")</f>
        <v>M5XGK4</v>
      </c>
      <c r="D19696" s="2" t="s">
        <v>1528</v>
      </c>
      <c r="E19696" s="3">
        <v>0</v>
      </c>
      <c r="F19696" s="2">
        <v>2784</v>
      </c>
      <c r="G19696" s="2">
        <v>97</v>
      </c>
      <c r="H19696" s="2">
        <v>584</v>
      </c>
      <c r="I19696" s="2">
        <v>138</v>
      </c>
      <c r="J19696" s="2">
        <v>1889</v>
      </c>
      <c r="K19696" s="2">
        <v>1</v>
      </c>
      <c r="L19696" s="2">
        <v>584</v>
      </c>
    </row>
    <row r="19697" spans="1:12" x14ac:dyDescent="0.25">
      <c r="A19697" s="4" t="str">
        <f>HYPERLINK("http://www.rosaceae.org/Prunus/Prunus_persica/p.persica_gdr_reftransV1_0024207","p.persica_gdr_reftransV1_0024207")</f>
        <v>p.persica_gdr_reftransV1_0024207</v>
      </c>
      <c r="B19697" s="2">
        <v>1243</v>
      </c>
      <c r="C19697" s="4" t="str">
        <f>HYPERLINK("http://www.uniprot.org/uniprot/M5W1G4","M5W1G4")</f>
        <v>M5W1G4</v>
      </c>
      <c r="D19697" s="2" t="s">
        <v>15025</v>
      </c>
      <c r="E19697" s="3">
        <v>0</v>
      </c>
      <c r="F19697" s="2">
        <v>1454</v>
      </c>
      <c r="G19697" s="2">
        <v>100</v>
      </c>
      <c r="H19697" s="2">
        <v>284</v>
      </c>
      <c r="I19697" s="2">
        <v>239</v>
      </c>
      <c r="J19697" s="2">
        <v>1090</v>
      </c>
      <c r="K19697" s="2">
        <v>1</v>
      </c>
      <c r="L19697" s="2">
        <v>284</v>
      </c>
    </row>
    <row r="19698" spans="1:12" x14ac:dyDescent="0.25">
      <c r="A19698" s="4" t="str">
        <f>HYPERLINK("http://www.rosaceae.org/Prunus/Prunus_persica/p.persica_gdr_reftransV1_0025957","p.persica_gdr_reftransV1_0025957")</f>
        <v>p.persica_gdr_reftransV1_0025957</v>
      </c>
      <c r="B19698" s="2">
        <v>912</v>
      </c>
      <c r="C19698" s="4" t="str">
        <f>HYPERLINK("http://www.uniprot.org/uniprot/B9REZ8","B9REZ8")</f>
        <v>B9REZ8</v>
      </c>
      <c r="D19698" s="2" t="s">
        <v>15026</v>
      </c>
      <c r="E19698" s="3">
        <v>2.8000000000000001E-102</v>
      </c>
      <c r="F19698" s="2">
        <v>815</v>
      </c>
      <c r="G19698" s="2">
        <v>79</v>
      </c>
      <c r="H19698" s="2">
        <v>184</v>
      </c>
      <c r="I19698" s="2">
        <v>361</v>
      </c>
      <c r="J19698" s="2">
        <v>912</v>
      </c>
      <c r="K19698" s="2">
        <v>252</v>
      </c>
      <c r="L19698" s="2">
        <v>435</v>
      </c>
    </row>
    <row r="19699" spans="1:12" x14ac:dyDescent="0.25">
      <c r="A19699" s="4" t="str">
        <f>HYPERLINK("http://www.rosaceae.org/Prunus/Prunus_persica/p.persica_gdr_reftransV1_0026307","p.persica_gdr_reftransV1_0026307")</f>
        <v>p.persica_gdr_reftransV1_0026307</v>
      </c>
      <c r="B19699" s="2">
        <v>2448</v>
      </c>
      <c r="C19699" s="4" t="str">
        <f>HYPERLINK("http://www.uniprot.org/uniprot/M5WGC6","M5WGC6")</f>
        <v>M5WGC6</v>
      </c>
      <c r="D19699" s="2" t="s">
        <v>15027</v>
      </c>
      <c r="E19699" s="3">
        <v>0</v>
      </c>
      <c r="F19699" s="2">
        <v>3856</v>
      </c>
      <c r="G19699" s="2">
        <v>100</v>
      </c>
      <c r="H19699" s="2">
        <v>734</v>
      </c>
      <c r="I19699" s="2">
        <v>51</v>
      </c>
      <c r="J19699" s="2">
        <v>2252</v>
      </c>
      <c r="K19699" s="2">
        <v>1</v>
      </c>
      <c r="L19699" s="2">
        <v>734</v>
      </c>
    </row>
    <row r="19700" spans="1:12" x14ac:dyDescent="0.25">
      <c r="A19700" s="4" t="str">
        <f>HYPERLINK("http://www.rosaceae.org/Prunus/Prunus_persica/p.persica_gdr_reftransV1_0027357","p.persica_gdr_reftransV1_0027357")</f>
        <v>p.persica_gdr_reftransV1_0027357</v>
      </c>
      <c r="B19700" s="2">
        <v>1336</v>
      </c>
      <c r="C19700" s="4" t="str">
        <f>HYPERLINK("http://www.uniprot.org/uniprot/M5XXA9","M5XXA9")</f>
        <v>M5XXA9</v>
      </c>
      <c r="D19700" s="2" t="s">
        <v>8235</v>
      </c>
      <c r="E19700" s="3">
        <v>0</v>
      </c>
      <c r="F19700" s="2">
        <v>1614</v>
      </c>
      <c r="G19700" s="2">
        <v>100</v>
      </c>
      <c r="H19700" s="2">
        <v>309</v>
      </c>
      <c r="I19700" s="2">
        <v>410</v>
      </c>
      <c r="J19700" s="2">
        <v>1336</v>
      </c>
      <c r="K19700" s="2">
        <v>384</v>
      </c>
      <c r="L19700" s="2">
        <v>692</v>
      </c>
    </row>
    <row r="19701" spans="1:12" x14ac:dyDescent="0.25">
      <c r="A19701" s="4" t="str">
        <f>HYPERLINK("http://www.rosaceae.org/Prunus/Prunus_persica/p.persica_gdr_reftransV1_0030507","p.persica_gdr_reftransV1_0030507")</f>
        <v>p.persica_gdr_reftransV1_0030507</v>
      </c>
      <c r="B19701" s="2">
        <v>1714</v>
      </c>
      <c r="C19701" s="4" t="str">
        <f>HYPERLINK("http://www.uniprot.org/uniprot/M5WV15","M5WV15")</f>
        <v>M5WV15</v>
      </c>
      <c r="D19701" s="2" t="s">
        <v>12876</v>
      </c>
      <c r="E19701" s="3">
        <v>0</v>
      </c>
      <c r="F19701" s="2">
        <v>2712</v>
      </c>
      <c r="G19701" s="2">
        <v>100</v>
      </c>
      <c r="H19701" s="2">
        <v>523</v>
      </c>
      <c r="I19701" s="2">
        <v>2</v>
      </c>
      <c r="J19701" s="2">
        <v>1570</v>
      </c>
      <c r="K19701" s="2">
        <v>148</v>
      </c>
      <c r="L19701" s="2">
        <v>670</v>
      </c>
    </row>
    <row r="19702" spans="1:12" x14ac:dyDescent="0.25">
      <c r="A19702" s="4" t="str">
        <f>HYPERLINK("http://www.rosaceae.org/Prunus/Prunus_persica/p.persica_gdr_reftransV1_0031207","p.persica_gdr_reftransV1_0031207")</f>
        <v>p.persica_gdr_reftransV1_0031207</v>
      </c>
      <c r="B19702" s="2">
        <v>1119</v>
      </c>
      <c r="C19702" s="4" t="str">
        <f>HYPERLINK("http://www.uniprot.org/uniprot/M5XN27","M5XN27")</f>
        <v>M5XN27</v>
      </c>
      <c r="D19702" s="2" t="s">
        <v>4461</v>
      </c>
      <c r="E19702" s="3">
        <v>1.3800000000000001E-67</v>
      </c>
      <c r="F19702" s="2">
        <v>578</v>
      </c>
      <c r="G19702" s="2">
        <v>99</v>
      </c>
      <c r="H19702" s="2">
        <v>133</v>
      </c>
      <c r="I19702" s="2">
        <v>108</v>
      </c>
      <c r="J19702" s="2">
        <v>506</v>
      </c>
      <c r="K19702" s="2">
        <v>178</v>
      </c>
      <c r="L19702" s="2">
        <v>310</v>
      </c>
    </row>
    <row r="19703" spans="1:12" x14ac:dyDescent="0.25">
      <c r="A19703" s="4" t="str">
        <f>HYPERLINK("http://www.rosaceae.org/Prunus/Prunus_persica/p.persica_gdr_reftransV1_0032607","p.persica_gdr_reftransV1_0032607")</f>
        <v>p.persica_gdr_reftransV1_0032607</v>
      </c>
      <c r="B19703" s="2">
        <v>3232</v>
      </c>
      <c r="C19703" s="4" t="str">
        <f>HYPERLINK("http://www.uniprot.org/uniprot/M5WYA1","M5WYA1")</f>
        <v>M5WYA1</v>
      </c>
      <c r="D19703" s="2" t="s">
        <v>15028</v>
      </c>
      <c r="E19703" s="3">
        <v>0</v>
      </c>
      <c r="F19703" s="2">
        <v>3296</v>
      </c>
      <c r="G19703" s="2">
        <v>98</v>
      </c>
      <c r="H19703" s="2">
        <v>657</v>
      </c>
      <c r="I19703" s="2">
        <v>390</v>
      </c>
      <c r="J19703" s="2">
        <v>2360</v>
      </c>
      <c r="K19703" s="2">
        <v>1</v>
      </c>
      <c r="L19703" s="2">
        <v>656</v>
      </c>
    </row>
    <row r="19704" spans="1:12" x14ac:dyDescent="0.25">
      <c r="A19704" s="4" t="str">
        <f>HYPERLINK("http://www.rosaceae.org/Prunus/Prunus_persica/p.persica_gdr_reftransV1_0034707","p.persica_gdr_reftransV1_0034707")</f>
        <v>p.persica_gdr_reftransV1_0034707</v>
      </c>
      <c r="B19704" s="2">
        <v>3614</v>
      </c>
      <c r="C19704" s="4" t="str">
        <f>HYPERLINK("http://www.uniprot.org/uniprot/M5XK26","M5XK26")</f>
        <v>M5XK26</v>
      </c>
      <c r="D19704" s="2" t="s">
        <v>15029</v>
      </c>
      <c r="E19704" s="3">
        <v>0</v>
      </c>
      <c r="F19704" s="2">
        <v>1859</v>
      </c>
      <c r="G19704" s="2">
        <v>100</v>
      </c>
      <c r="H19704" s="2">
        <v>359</v>
      </c>
      <c r="I19704" s="2">
        <v>1712</v>
      </c>
      <c r="J19704" s="2">
        <v>2788</v>
      </c>
      <c r="K19704" s="2">
        <v>1</v>
      </c>
      <c r="L19704" s="2">
        <v>359</v>
      </c>
    </row>
    <row r="19705" spans="1:12" x14ac:dyDescent="0.25">
      <c r="A19705" s="4" t="str">
        <f>HYPERLINK("http://www.rosaceae.org/Prunus/Prunus_persica/p.persica_gdr_reftransV1_0036457","p.persica_gdr_reftransV1_0036457")</f>
        <v>p.persica_gdr_reftransV1_0036457</v>
      </c>
      <c r="B19705" s="2">
        <v>1384</v>
      </c>
      <c r="C19705" s="4" t="str">
        <f>HYPERLINK("http://www.uniprot.org/uniprot/M5X1B9","M5X1B9")</f>
        <v>M5X1B9</v>
      </c>
      <c r="D19705" s="2" t="s">
        <v>6102</v>
      </c>
      <c r="E19705" s="3">
        <v>1.15E-114</v>
      </c>
      <c r="F19705" s="2">
        <v>909</v>
      </c>
      <c r="G19705" s="2">
        <v>99</v>
      </c>
      <c r="H19705" s="2">
        <v>173</v>
      </c>
      <c r="I19705" s="2">
        <v>584</v>
      </c>
      <c r="J19705" s="2">
        <v>1102</v>
      </c>
      <c r="K19705" s="2">
        <v>220</v>
      </c>
      <c r="L19705" s="2">
        <v>392</v>
      </c>
    </row>
    <row r="19706" spans="1:12" x14ac:dyDescent="0.25">
      <c r="A19706" s="4" t="str">
        <f>HYPERLINK("http://www.rosaceae.org/Prunus/Prunus_persica/p.persica_gdr_reftransV1_0036807","p.persica_gdr_reftransV1_0036807")</f>
        <v>p.persica_gdr_reftransV1_0036807</v>
      </c>
      <c r="B19706" s="2">
        <v>835</v>
      </c>
      <c r="C19706" s="4" t="str">
        <f>HYPERLINK("http://www.uniprot.org/uniprot/M5WCG9","M5WCG9")</f>
        <v>M5WCG9</v>
      </c>
      <c r="D19706" s="2" t="s">
        <v>15030</v>
      </c>
      <c r="E19706" s="3">
        <v>3.6499999999999998E-87</v>
      </c>
      <c r="F19706" s="2">
        <v>709</v>
      </c>
      <c r="G19706" s="2">
        <v>92</v>
      </c>
      <c r="H19706" s="2">
        <v>198</v>
      </c>
      <c r="I19706" s="2">
        <v>1</v>
      </c>
      <c r="J19706" s="2">
        <v>594</v>
      </c>
      <c r="K19706" s="2">
        <v>224</v>
      </c>
      <c r="L19706" s="2">
        <v>408</v>
      </c>
    </row>
    <row r="19707" spans="1:12" x14ac:dyDescent="0.25">
      <c r="A19707" s="4" t="str">
        <f>HYPERLINK("http://www.rosaceae.org/Prunus/Prunus_persica/p.persica_gdr_reftransV1_0038557","p.persica_gdr_reftransV1_0038557")</f>
        <v>p.persica_gdr_reftransV1_0038557</v>
      </c>
      <c r="B19707" s="2">
        <v>726</v>
      </c>
      <c r="C19707" s="4" t="str">
        <f>HYPERLINK("http://www.uniprot.org/uniprot/M5WXI2","M5WXI2")</f>
        <v>M5WXI2</v>
      </c>
      <c r="D19707" s="2" t="s">
        <v>15031</v>
      </c>
      <c r="E19707" s="3">
        <v>1.46E-70</v>
      </c>
      <c r="F19707" s="2">
        <v>571</v>
      </c>
      <c r="G19707" s="2">
        <v>100</v>
      </c>
      <c r="H19707" s="2">
        <v>123</v>
      </c>
      <c r="I19707" s="2">
        <v>356</v>
      </c>
      <c r="J19707" s="2">
        <v>724</v>
      </c>
      <c r="K19707" s="2">
        <v>25</v>
      </c>
      <c r="L19707" s="2">
        <v>147</v>
      </c>
    </row>
    <row r="19708" spans="1:12" x14ac:dyDescent="0.25">
      <c r="A19708" s="4" t="str">
        <f>HYPERLINK("http://www.rosaceae.org/Prunus/Prunus_persica/p.persica_gdr_reftransV1_0038907","p.persica_gdr_reftransV1_0038907")</f>
        <v>p.persica_gdr_reftransV1_0038907</v>
      </c>
      <c r="B19708" s="2">
        <v>1719</v>
      </c>
      <c r="C19708" s="4" t="str">
        <f>HYPERLINK("http://www.uniprot.org/uniprot/M5XKF0","M5XKF0")</f>
        <v>M5XKF0</v>
      </c>
      <c r="D19708" s="2" t="s">
        <v>15032</v>
      </c>
      <c r="E19708" s="3">
        <v>1.9500000000000001E-59</v>
      </c>
      <c r="F19708" s="2">
        <v>530</v>
      </c>
      <c r="G19708" s="2">
        <v>99</v>
      </c>
      <c r="H19708" s="2">
        <v>122</v>
      </c>
      <c r="I19708" s="2">
        <v>1159</v>
      </c>
      <c r="J19708" s="2">
        <v>1524</v>
      </c>
      <c r="K19708" s="2">
        <v>1</v>
      </c>
      <c r="L19708" s="2">
        <v>122</v>
      </c>
    </row>
    <row r="19709" spans="1:12" x14ac:dyDescent="0.25">
      <c r="A19709" s="4" t="str">
        <f>HYPERLINK("http://www.rosaceae.org/Prunus/Prunus_persica/p.persica_gdr_reftransV1_0040307","p.persica_gdr_reftransV1_0040307")</f>
        <v>p.persica_gdr_reftransV1_0040307</v>
      </c>
      <c r="B19709" s="2">
        <v>1275</v>
      </c>
      <c r="C19709" s="4" t="str">
        <f>HYPERLINK("http://www.uniprot.org/uniprot/M5XDN6","M5XDN6")</f>
        <v>M5XDN6</v>
      </c>
      <c r="D19709" s="2" t="s">
        <v>12270</v>
      </c>
      <c r="E19709" s="3">
        <v>2.1599999999999999E-175</v>
      </c>
      <c r="F19709" s="2">
        <v>1296</v>
      </c>
      <c r="G19709" s="2">
        <v>100</v>
      </c>
      <c r="H19709" s="2">
        <v>278</v>
      </c>
      <c r="I19709" s="2">
        <v>361</v>
      </c>
      <c r="J19709" s="2">
        <v>1194</v>
      </c>
      <c r="K19709" s="2">
        <v>1</v>
      </c>
      <c r="L19709" s="2">
        <v>278</v>
      </c>
    </row>
    <row r="19710" spans="1:12" x14ac:dyDescent="0.25">
      <c r="A19710" s="4" t="str">
        <f>HYPERLINK("http://www.rosaceae.org/Prunus/Prunus_persica/p.persica_gdr_reftransV1_0041707","p.persica_gdr_reftransV1_0041707")</f>
        <v>p.persica_gdr_reftransV1_0041707</v>
      </c>
      <c r="B19710" s="2">
        <v>2443</v>
      </c>
      <c r="C19710" s="4" t="str">
        <f>HYPERLINK("http://www.uniprot.org/uniprot/J7KBI6","J7KBI6")</f>
        <v>J7KBI6</v>
      </c>
      <c r="D19710" s="2" t="s">
        <v>4012</v>
      </c>
      <c r="E19710" s="3">
        <v>0</v>
      </c>
      <c r="F19710" s="2">
        <v>3499</v>
      </c>
      <c r="G19710" s="2">
        <v>100</v>
      </c>
      <c r="H19710" s="2">
        <v>672</v>
      </c>
      <c r="I19710" s="2">
        <v>229</v>
      </c>
      <c r="J19710" s="2">
        <v>2244</v>
      </c>
      <c r="K19710" s="2">
        <v>1</v>
      </c>
      <c r="L19710" s="2">
        <v>672</v>
      </c>
    </row>
    <row r="19711" spans="1:12" x14ac:dyDescent="0.25">
      <c r="A19711" s="4" t="str">
        <f>HYPERLINK("http://www.rosaceae.org/Prunus/Prunus_persica/p.persica_gdr_reftransV1_0043107","p.persica_gdr_reftransV1_0043107")</f>
        <v>p.persica_gdr_reftransV1_0043107</v>
      </c>
      <c r="B19711" s="2">
        <v>1457</v>
      </c>
      <c r="C19711" s="4" t="str">
        <f>HYPERLINK("http://www.uniprot.org/uniprot/M5X042","M5X042")</f>
        <v>M5X042</v>
      </c>
      <c r="D19711" s="2" t="s">
        <v>15033</v>
      </c>
      <c r="E19711" s="3">
        <v>0</v>
      </c>
      <c r="F19711" s="2">
        <v>1568</v>
      </c>
      <c r="G19711" s="2">
        <v>99</v>
      </c>
      <c r="H19711" s="2">
        <v>308</v>
      </c>
      <c r="I19711" s="2">
        <v>404</v>
      </c>
      <c r="J19711" s="2">
        <v>1327</v>
      </c>
      <c r="K19711" s="2">
        <v>690</v>
      </c>
      <c r="L19711" s="2">
        <v>997</v>
      </c>
    </row>
    <row r="19712" spans="1:12" x14ac:dyDescent="0.25">
      <c r="A19712" s="4" t="str">
        <f>HYPERLINK("http://www.rosaceae.org/Prunus/Prunus_persica/p.persica_gdr_reftransV1_0043457","p.persica_gdr_reftransV1_0043457")</f>
        <v>p.persica_gdr_reftransV1_0043457</v>
      </c>
      <c r="B19712" s="2">
        <v>1437</v>
      </c>
      <c r="C19712" s="4" t="str">
        <f>HYPERLINK("http://www.uniprot.org/uniprot/M5VYS5","M5VYS5")</f>
        <v>M5VYS5</v>
      </c>
      <c r="D19712" s="2" t="s">
        <v>15034</v>
      </c>
      <c r="E19712" s="3">
        <v>0</v>
      </c>
      <c r="F19712" s="2">
        <v>1977</v>
      </c>
      <c r="G19712" s="2">
        <v>100</v>
      </c>
      <c r="H19712" s="2">
        <v>371</v>
      </c>
      <c r="I19712" s="2">
        <v>243</v>
      </c>
      <c r="J19712" s="2">
        <v>1355</v>
      </c>
      <c r="K19712" s="2">
        <v>1</v>
      </c>
      <c r="L19712" s="2">
        <v>371</v>
      </c>
    </row>
    <row r="19713" spans="1:12" x14ac:dyDescent="0.25">
      <c r="A19713" s="4" t="str">
        <f>HYPERLINK("http://www.rosaceae.org/Prunus/Prunus_persica/p.persica_gdr_reftransV1_0043807","p.persica_gdr_reftransV1_0043807")</f>
        <v>p.persica_gdr_reftransV1_0043807</v>
      </c>
      <c r="B19713" s="2">
        <v>2021</v>
      </c>
      <c r="C19713" s="4" t="str">
        <f>HYPERLINK("http://www.uniprot.org/uniprot/M5W1N3","M5W1N3")</f>
        <v>M5W1N3</v>
      </c>
      <c r="D19713" s="2" t="s">
        <v>15035</v>
      </c>
      <c r="E19713" s="3">
        <v>0</v>
      </c>
      <c r="F19713" s="2">
        <v>2905</v>
      </c>
      <c r="G19713" s="2">
        <v>100</v>
      </c>
      <c r="H19713" s="2">
        <v>579</v>
      </c>
      <c r="I19713" s="2">
        <v>111</v>
      </c>
      <c r="J19713" s="2">
        <v>1847</v>
      </c>
      <c r="K19713" s="2">
        <v>5</v>
      </c>
      <c r="L19713" s="2">
        <v>583</v>
      </c>
    </row>
    <row r="19714" spans="1:12" x14ac:dyDescent="0.25">
      <c r="A19714" s="4" t="str">
        <f>HYPERLINK("http://www.rosaceae.org/Prunus/Prunus_persica/p.persica_gdr_reftransV1_0044157","p.persica_gdr_reftransV1_0044157")</f>
        <v>p.persica_gdr_reftransV1_0044157</v>
      </c>
      <c r="B19714" s="2">
        <v>3873</v>
      </c>
      <c r="C19714" s="4" t="str">
        <f>HYPERLINK("http://www.uniprot.org/uniprot/M5XKF7","M5XKF7")</f>
        <v>M5XKF7</v>
      </c>
      <c r="D19714" s="2" t="s">
        <v>15036</v>
      </c>
      <c r="E19714" s="3">
        <v>0</v>
      </c>
      <c r="F19714" s="2">
        <v>4857</v>
      </c>
      <c r="G19714" s="2">
        <v>100</v>
      </c>
      <c r="H19714" s="2">
        <v>983</v>
      </c>
      <c r="I19714" s="2">
        <v>496</v>
      </c>
      <c r="J19714" s="2">
        <v>3444</v>
      </c>
      <c r="K19714" s="2">
        <v>1</v>
      </c>
      <c r="L19714" s="2">
        <v>983</v>
      </c>
    </row>
    <row r="19715" spans="1:12" x14ac:dyDescent="0.25">
      <c r="A19715" s="4" t="str">
        <f>HYPERLINK("http://www.rosaceae.org/Prunus/Prunus_persica/p.persica_gdr_reftransV1_0044507","p.persica_gdr_reftransV1_0044507")</f>
        <v>p.persica_gdr_reftransV1_0044507</v>
      </c>
      <c r="B19715" s="2">
        <v>1030</v>
      </c>
      <c r="C19715" s="4" t="str">
        <f>HYPERLINK("http://www.uniprot.org/uniprot/M5WR74","M5WR74")</f>
        <v>M5WR74</v>
      </c>
      <c r="D19715" s="2" t="s">
        <v>15037</v>
      </c>
      <c r="E19715" s="3">
        <v>1.21E-85</v>
      </c>
      <c r="F19715" s="2">
        <v>682</v>
      </c>
      <c r="G19715" s="2">
        <v>100</v>
      </c>
      <c r="H19715" s="2">
        <v>156</v>
      </c>
      <c r="I19715" s="2">
        <v>451</v>
      </c>
      <c r="J19715" s="2">
        <v>918</v>
      </c>
      <c r="K19715" s="2">
        <v>1</v>
      </c>
      <c r="L19715" s="2">
        <v>156</v>
      </c>
    </row>
    <row r="19716" spans="1:12" x14ac:dyDescent="0.25">
      <c r="A19716" s="4" t="str">
        <f>HYPERLINK("http://www.rosaceae.org/Prunus/Prunus_persica/p.persica_gdr_reftransV1_0044857","p.persica_gdr_reftransV1_0044857")</f>
        <v>p.persica_gdr_reftransV1_0044857</v>
      </c>
      <c r="B19716" s="2">
        <v>878</v>
      </c>
      <c r="C19716" s="4" t="str">
        <f>HYPERLINK("http://www.uniprot.org/uniprot/M5XH40","M5XH40")</f>
        <v>M5XH40</v>
      </c>
      <c r="D19716" s="2" t="s">
        <v>13544</v>
      </c>
      <c r="E19716" s="3">
        <v>5.09E-92</v>
      </c>
      <c r="F19716" s="2">
        <v>718</v>
      </c>
      <c r="G19716" s="2">
        <v>100</v>
      </c>
      <c r="H19716" s="2">
        <v>141</v>
      </c>
      <c r="I19716" s="2">
        <v>241</v>
      </c>
      <c r="J19716" s="2">
        <v>663</v>
      </c>
      <c r="K19716" s="2">
        <v>1</v>
      </c>
      <c r="L19716" s="2">
        <v>141</v>
      </c>
    </row>
    <row r="19717" spans="1:12" x14ac:dyDescent="0.25">
      <c r="A19717" s="4" t="str">
        <f>HYPERLINK("http://www.rosaceae.org/Prunus/Prunus_persica/p.persica_gdr_reftransV1_0045207","p.persica_gdr_reftransV1_0045207")</f>
        <v>p.persica_gdr_reftransV1_0045207</v>
      </c>
      <c r="B19717" s="2">
        <v>1417</v>
      </c>
      <c r="C19717" s="4" t="str">
        <f>HYPERLINK("http://www.uniprot.org/uniprot/M5X3C7","M5X3C7")</f>
        <v>M5X3C7</v>
      </c>
      <c r="D19717" s="2" t="s">
        <v>15038</v>
      </c>
      <c r="E19717" s="3">
        <v>0</v>
      </c>
      <c r="F19717" s="2">
        <v>2023</v>
      </c>
      <c r="G19717" s="2">
        <v>91</v>
      </c>
      <c r="H19717" s="2">
        <v>426</v>
      </c>
      <c r="I19717" s="2">
        <v>3</v>
      </c>
      <c r="J19717" s="2">
        <v>1280</v>
      </c>
      <c r="K19717" s="2">
        <v>90</v>
      </c>
      <c r="L19717" s="2">
        <v>475</v>
      </c>
    </row>
    <row r="19718" spans="1:12" x14ac:dyDescent="0.25">
      <c r="A19718" s="4" t="str">
        <f>HYPERLINK("http://www.rosaceae.org/Prunus/Prunus_persica/p.persica_gdr_reftransV1_0045557","p.persica_gdr_reftransV1_0045557")</f>
        <v>p.persica_gdr_reftransV1_0045557</v>
      </c>
      <c r="B19718" s="2">
        <v>1327</v>
      </c>
      <c r="C19718" s="4" t="str">
        <f>HYPERLINK("http://www.uniprot.org/uniprot/M5VJX6","M5VJX6")</f>
        <v>M5VJX6</v>
      </c>
      <c r="D19718" s="2" t="s">
        <v>2868</v>
      </c>
      <c r="E19718" s="3">
        <v>0</v>
      </c>
      <c r="F19718" s="2">
        <v>1382</v>
      </c>
      <c r="G19718" s="2">
        <v>99</v>
      </c>
      <c r="H19718" s="2">
        <v>341</v>
      </c>
      <c r="I19718" s="2">
        <v>3</v>
      </c>
      <c r="J19718" s="2">
        <v>1022</v>
      </c>
      <c r="K19718" s="2">
        <v>24</v>
      </c>
      <c r="L19718" s="2">
        <v>364</v>
      </c>
    </row>
    <row r="19719" spans="1:12" x14ac:dyDescent="0.25">
      <c r="A19719" s="4" t="str">
        <f>HYPERLINK("http://www.rosaceae.org/Prunus/Prunus_persica/p.persica_gdr_reftransV1_0045907","p.persica_gdr_reftransV1_0045907")</f>
        <v>p.persica_gdr_reftransV1_0045907</v>
      </c>
      <c r="B19719" s="2">
        <v>1661</v>
      </c>
      <c r="C19719" s="4" t="str">
        <f>HYPERLINK("http://www.uniprot.org/uniprot/A0A078FV94","A0A078FV94")</f>
        <v>A0A078FV94</v>
      </c>
      <c r="D19719" s="2" t="s">
        <v>15039</v>
      </c>
      <c r="E19719" s="3">
        <v>4.94E-125</v>
      </c>
      <c r="F19719" s="2">
        <v>819</v>
      </c>
      <c r="G19719" s="2">
        <v>90</v>
      </c>
      <c r="H19719" s="2">
        <v>164</v>
      </c>
      <c r="I19719" s="2">
        <v>465</v>
      </c>
      <c r="J19719" s="2">
        <v>956</v>
      </c>
      <c r="K19719" s="2">
        <v>632</v>
      </c>
      <c r="L19719" s="2">
        <v>795</v>
      </c>
    </row>
    <row r="19720" spans="1:12" x14ac:dyDescent="0.25">
      <c r="A19720" s="4" t="str">
        <f>HYPERLINK("http://www.rosaceae.org/Prunus/Prunus_persica/p.persica_gdr_reftransV1_0046607","p.persica_gdr_reftransV1_0046607")</f>
        <v>p.persica_gdr_reftransV1_0046607</v>
      </c>
      <c r="B19720" s="2">
        <v>1018</v>
      </c>
      <c r="C19720" s="4" t="str">
        <f>HYPERLINK("http://www.uniprot.org/uniprot/M5X0Y0","M5X0Y0")</f>
        <v>M5X0Y0</v>
      </c>
      <c r="D19720" s="2" t="s">
        <v>1598</v>
      </c>
      <c r="E19720" s="3">
        <v>4.4399999999999998E-130</v>
      </c>
      <c r="F19720" s="2">
        <v>982</v>
      </c>
      <c r="G19720" s="2">
        <v>100</v>
      </c>
      <c r="H19720" s="2">
        <v>223</v>
      </c>
      <c r="I19720" s="2">
        <v>205</v>
      </c>
      <c r="J19720" s="2">
        <v>873</v>
      </c>
      <c r="K19720" s="2">
        <v>1</v>
      </c>
      <c r="L19720" s="2">
        <v>223</v>
      </c>
    </row>
    <row r="19721" spans="1:12" x14ac:dyDescent="0.25">
      <c r="A19721" s="4" t="str">
        <f>HYPERLINK("http://www.rosaceae.org/Prunus/Prunus_persica/p.persica_gdr_reftransV1_0046957","p.persica_gdr_reftransV1_0046957")</f>
        <v>p.persica_gdr_reftransV1_0046957</v>
      </c>
      <c r="B19721" s="2">
        <v>1894</v>
      </c>
      <c r="C19721" s="4" t="str">
        <f>HYPERLINK("http://www.uniprot.org/uniprot/M5XHE2","M5XHE2")</f>
        <v>M5XHE2</v>
      </c>
      <c r="D19721" s="2" t="s">
        <v>13227</v>
      </c>
      <c r="E19721" s="3">
        <v>0</v>
      </c>
      <c r="F19721" s="2">
        <v>1838</v>
      </c>
      <c r="G19721" s="2">
        <v>100</v>
      </c>
      <c r="H19721" s="2">
        <v>363</v>
      </c>
      <c r="I19721" s="2">
        <v>695</v>
      </c>
      <c r="J19721" s="2">
        <v>1783</v>
      </c>
      <c r="K19721" s="2">
        <v>1</v>
      </c>
      <c r="L19721" s="2">
        <v>363</v>
      </c>
    </row>
    <row r="19722" spans="1:12" x14ac:dyDescent="0.25">
      <c r="A19722" s="4" t="str">
        <f>HYPERLINK("http://www.rosaceae.org/Prunus/Prunus_persica/p.persica_gdr_reftransV1_0047657","p.persica_gdr_reftransV1_0047657")</f>
        <v>p.persica_gdr_reftransV1_0047657</v>
      </c>
      <c r="B19722" s="2">
        <v>1970</v>
      </c>
      <c r="C19722" s="4" t="str">
        <f>HYPERLINK("http://www.uniprot.org/uniprot/M5XIJ1","M5XIJ1")</f>
        <v>M5XIJ1</v>
      </c>
      <c r="D19722" s="2" t="s">
        <v>14678</v>
      </c>
      <c r="E19722" s="3">
        <v>1.25E-42</v>
      </c>
      <c r="F19722" s="2">
        <v>439</v>
      </c>
      <c r="G19722" s="2">
        <v>96</v>
      </c>
      <c r="H19722" s="2">
        <v>103</v>
      </c>
      <c r="I19722" s="2">
        <v>1297</v>
      </c>
      <c r="J19722" s="2">
        <v>1605</v>
      </c>
      <c r="K19722" s="2">
        <v>577</v>
      </c>
      <c r="L19722" s="2">
        <v>679</v>
      </c>
    </row>
    <row r="19723" spans="1:12" x14ac:dyDescent="0.25">
      <c r="A19723" s="4" t="str">
        <f>HYPERLINK("http://www.rosaceae.org/Prunus/Prunus_persica/p.persica_gdr_reftransV1_0048007","p.persica_gdr_reftransV1_0048007")</f>
        <v>p.persica_gdr_reftransV1_0048007</v>
      </c>
      <c r="B19723" s="2">
        <v>1259</v>
      </c>
      <c r="C19723" s="4" t="str">
        <f>HYPERLINK("http://www.uniprot.org/uniprot/M5XWF8","M5XWF8")</f>
        <v>M5XWF8</v>
      </c>
      <c r="D19723" s="2" t="s">
        <v>15040</v>
      </c>
      <c r="E19723" s="3">
        <v>0</v>
      </c>
      <c r="F19723" s="2">
        <v>1620</v>
      </c>
      <c r="G19723" s="2">
        <v>100</v>
      </c>
      <c r="H19723" s="2">
        <v>348</v>
      </c>
      <c r="I19723" s="2">
        <v>63</v>
      </c>
      <c r="J19723" s="2">
        <v>1106</v>
      </c>
      <c r="K19723" s="2">
        <v>1</v>
      </c>
      <c r="L19723" s="2">
        <v>348</v>
      </c>
    </row>
    <row r="19724" spans="1:12" x14ac:dyDescent="0.25">
      <c r="A19724" s="4" t="str">
        <f>HYPERLINK("http://www.rosaceae.org/Prunus/Prunus_persica/p.persica_gdr_reftransV1_0048357","p.persica_gdr_reftransV1_0048357")</f>
        <v>p.persica_gdr_reftransV1_0048357</v>
      </c>
      <c r="B19724" s="2">
        <v>982</v>
      </c>
      <c r="C19724" s="4" t="str">
        <f>HYPERLINK("http://www.uniprot.org/uniprot/M5XBB7","M5XBB7")</f>
        <v>M5XBB7</v>
      </c>
      <c r="D19724" s="2" t="s">
        <v>227</v>
      </c>
      <c r="E19724" s="3">
        <v>6.8199999999999996E-131</v>
      </c>
      <c r="F19724" s="2">
        <v>1031</v>
      </c>
      <c r="G19724" s="2">
        <v>100</v>
      </c>
      <c r="H19724" s="2">
        <v>208</v>
      </c>
      <c r="I19724" s="2">
        <v>3</v>
      </c>
      <c r="J19724" s="2">
        <v>626</v>
      </c>
      <c r="K19724" s="2">
        <v>1</v>
      </c>
      <c r="L19724" s="2">
        <v>208</v>
      </c>
    </row>
    <row r="19725" spans="1:12" x14ac:dyDescent="0.25">
      <c r="A19725" s="4" t="str">
        <f>HYPERLINK("http://www.rosaceae.org/Prunus/Prunus_persica/p.persica_gdr_reftransV1_0048707","p.persica_gdr_reftransV1_0048707")</f>
        <v>p.persica_gdr_reftransV1_0048707</v>
      </c>
      <c r="B19725" s="2">
        <v>418</v>
      </c>
      <c r="C19725" s="4" t="str">
        <f>HYPERLINK("http://www.uniprot.org/uniprot/M5W6N8","M5W6N8")</f>
        <v>M5W6N8</v>
      </c>
      <c r="D19725" s="2" t="s">
        <v>15041</v>
      </c>
      <c r="E19725" s="3">
        <v>8.91E-31</v>
      </c>
      <c r="F19725" s="2">
        <v>291</v>
      </c>
      <c r="G19725" s="2">
        <v>94</v>
      </c>
      <c r="H19725" s="2">
        <v>89</v>
      </c>
      <c r="I19725" s="2">
        <v>74</v>
      </c>
      <c r="J19725" s="2">
        <v>340</v>
      </c>
      <c r="K19725" s="2">
        <v>1</v>
      </c>
      <c r="L19725" s="2">
        <v>88</v>
      </c>
    </row>
    <row r="19726" spans="1:12" x14ac:dyDescent="0.25">
      <c r="A19726" s="4" t="str">
        <f>HYPERLINK("http://www.rosaceae.org/Prunus/Prunus_persica/p.persica_gdr_reftransV1_0049057","p.persica_gdr_reftransV1_0049057")</f>
        <v>p.persica_gdr_reftransV1_0049057</v>
      </c>
      <c r="B19726" s="2">
        <v>693</v>
      </c>
      <c r="C19726" s="4" t="str">
        <f>HYPERLINK("http://www.uniprot.org/uniprot/M5WA41","M5WA41")</f>
        <v>M5WA41</v>
      </c>
      <c r="D19726" s="2" t="s">
        <v>10732</v>
      </c>
      <c r="E19726" s="3">
        <v>2.14E-91</v>
      </c>
      <c r="F19726" s="2">
        <v>719</v>
      </c>
      <c r="G19726" s="2">
        <v>79</v>
      </c>
      <c r="H19726" s="2">
        <v>209</v>
      </c>
      <c r="I19726" s="2">
        <v>3</v>
      </c>
      <c r="J19726" s="2">
        <v>629</v>
      </c>
      <c r="K19726" s="2">
        <v>1</v>
      </c>
      <c r="L19726" s="2">
        <v>165</v>
      </c>
    </row>
    <row r="19727" spans="1:12" x14ac:dyDescent="0.25">
      <c r="A19727" s="4" t="str">
        <f>HYPERLINK("http://www.rosaceae.org/Prunus/Prunus_persica/p.persica_gdr_reftransV1_0000058","p.persica_gdr_reftransV1_0000058")</f>
        <v>p.persica_gdr_reftransV1_0000058</v>
      </c>
      <c r="B19727" s="2">
        <v>1242</v>
      </c>
      <c r="C19727" s="4" t="str">
        <f>HYPERLINK("http://www.uniprot.org/uniprot/M5WJ79","M5WJ79")</f>
        <v>M5WJ79</v>
      </c>
      <c r="D19727" s="2" t="s">
        <v>147</v>
      </c>
      <c r="E19727" s="3">
        <v>0</v>
      </c>
      <c r="F19727" s="2">
        <v>1579</v>
      </c>
      <c r="G19727" s="2">
        <v>100</v>
      </c>
      <c r="H19727" s="2">
        <v>291</v>
      </c>
      <c r="I19727" s="2">
        <v>300</v>
      </c>
      <c r="J19727" s="2">
        <v>1172</v>
      </c>
      <c r="K19727" s="2">
        <v>1</v>
      </c>
      <c r="L19727" s="2">
        <v>291</v>
      </c>
    </row>
    <row r="19728" spans="1:12" x14ac:dyDescent="0.25">
      <c r="A19728" s="4" t="str">
        <f>HYPERLINK("http://www.rosaceae.org/Prunus/Prunus_persica/p.persica_gdr_reftransV1_0000758","p.persica_gdr_reftransV1_0000758")</f>
        <v>p.persica_gdr_reftransV1_0000758</v>
      </c>
      <c r="B19728" s="2">
        <v>454</v>
      </c>
      <c r="C19728" s="4" t="str">
        <f>HYPERLINK("http://www.uniprot.org/uniprot/M5VLU3","M5VLU3")</f>
        <v>M5VLU3</v>
      </c>
      <c r="D19728" s="2" t="s">
        <v>1589</v>
      </c>
      <c r="E19728" s="3">
        <v>2.9399999999999998E-79</v>
      </c>
      <c r="F19728" s="2">
        <v>684</v>
      </c>
      <c r="G19728" s="2">
        <v>90</v>
      </c>
      <c r="H19728" s="2">
        <v>151</v>
      </c>
      <c r="I19728" s="2">
        <v>1</v>
      </c>
      <c r="J19728" s="2">
        <v>453</v>
      </c>
      <c r="K19728" s="2">
        <v>720</v>
      </c>
      <c r="L19728" s="2">
        <v>855</v>
      </c>
    </row>
    <row r="19729" spans="1:12" x14ac:dyDescent="0.25">
      <c r="A19729" s="4" t="str">
        <f>HYPERLINK("http://www.rosaceae.org/Prunus/Prunus_persica/p.persica_gdr_reftransV1_0001458","p.persica_gdr_reftransV1_0001458")</f>
        <v>p.persica_gdr_reftransV1_0001458</v>
      </c>
      <c r="B19729" s="2">
        <v>399</v>
      </c>
      <c r="C19729" s="4" t="str">
        <f>HYPERLINK("http://www.uniprot.org/uniprot/M5XIM8","M5XIM8")</f>
        <v>M5XIM8</v>
      </c>
      <c r="D19729" s="2" t="s">
        <v>15042</v>
      </c>
      <c r="E19729" s="3">
        <v>3.8800000000000003E-49</v>
      </c>
      <c r="F19729" s="2">
        <v>427</v>
      </c>
      <c r="G19729" s="2">
        <v>98</v>
      </c>
      <c r="H19729" s="2">
        <v>85</v>
      </c>
      <c r="I19729" s="2">
        <v>143</v>
      </c>
      <c r="J19729" s="2">
        <v>397</v>
      </c>
      <c r="K19729" s="2">
        <v>168</v>
      </c>
      <c r="L19729" s="2">
        <v>252</v>
      </c>
    </row>
    <row r="19730" spans="1:12" x14ac:dyDescent="0.25">
      <c r="A19730" s="4" t="str">
        <f>HYPERLINK("http://www.rosaceae.org/Prunus/Prunus_persica/p.persica_gdr_reftransV1_0001808","p.persica_gdr_reftransV1_0001808")</f>
        <v>p.persica_gdr_reftransV1_0001808</v>
      </c>
      <c r="B19730" s="2">
        <v>1578</v>
      </c>
      <c r="C19730" s="4" t="str">
        <f>HYPERLINK("http://www.uniprot.org/uniprot/M5VNC0","M5VNC0")</f>
        <v>M5VNC0</v>
      </c>
      <c r="D19730" s="2" t="s">
        <v>4316</v>
      </c>
      <c r="E19730" s="3">
        <v>0</v>
      </c>
      <c r="F19730" s="2">
        <v>1814</v>
      </c>
      <c r="G19730" s="2">
        <v>100</v>
      </c>
      <c r="H19730" s="2">
        <v>397</v>
      </c>
      <c r="I19730" s="2">
        <v>2</v>
      </c>
      <c r="J19730" s="2">
        <v>1192</v>
      </c>
      <c r="K19730" s="2">
        <v>1</v>
      </c>
      <c r="L19730" s="2">
        <v>397</v>
      </c>
    </row>
    <row r="19731" spans="1:12" x14ac:dyDescent="0.25">
      <c r="A19731" s="4" t="str">
        <f>HYPERLINK("http://www.rosaceae.org/Prunus/Prunus_persica/p.persica_gdr_reftransV1_0002158","p.persica_gdr_reftransV1_0002158")</f>
        <v>p.persica_gdr_reftransV1_0002158</v>
      </c>
      <c r="B19731" s="2">
        <v>351</v>
      </c>
      <c r="C19731" s="4" t="str">
        <f>HYPERLINK("http://www.uniprot.org/uniprot/C7ZJJ1","C7ZJJ1")</f>
        <v>C7ZJJ1</v>
      </c>
      <c r="D19731" s="2" t="s">
        <v>15043</v>
      </c>
      <c r="E19731" s="3">
        <v>1.4100000000000001E-45</v>
      </c>
      <c r="F19731" s="2">
        <v>406</v>
      </c>
      <c r="G19731" s="2">
        <v>85</v>
      </c>
      <c r="H19731" s="2">
        <v>116</v>
      </c>
      <c r="I19731" s="2">
        <v>3</v>
      </c>
      <c r="J19731" s="2">
        <v>350</v>
      </c>
      <c r="K19731" s="2">
        <v>58</v>
      </c>
      <c r="L19731" s="2">
        <v>173</v>
      </c>
    </row>
    <row r="19732" spans="1:12" x14ac:dyDescent="0.25">
      <c r="A19732" s="4" t="str">
        <f>HYPERLINK("http://www.rosaceae.org/Prunus/Prunus_persica/p.persica_gdr_reftransV1_0002508","p.persica_gdr_reftransV1_0002508")</f>
        <v>p.persica_gdr_reftransV1_0002508</v>
      </c>
      <c r="B19732" s="2">
        <v>913</v>
      </c>
      <c r="C19732" s="4" t="str">
        <f>HYPERLINK("http://www.uniprot.org/uniprot/M5WZR8","M5WZR8")</f>
        <v>M5WZR8</v>
      </c>
      <c r="D19732" s="2" t="s">
        <v>8665</v>
      </c>
      <c r="E19732" s="3">
        <v>8.1400000000000006E-176</v>
      </c>
      <c r="F19732" s="2">
        <v>1327</v>
      </c>
      <c r="G19732" s="2">
        <v>100</v>
      </c>
      <c r="H19732" s="2">
        <v>247</v>
      </c>
      <c r="I19732" s="2">
        <v>173</v>
      </c>
      <c r="J19732" s="2">
        <v>913</v>
      </c>
      <c r="K19732" s="2">
        <v>1</v>
      </c>
      <c r="L19732" s="2">
        <v>247</v>
      </c>
    </row>
    <row r="19733" spans="1:12" x14ac:dyDescent="0.25">
      <c r="A19733" s="4" t="str">
        <f>HYPERLINK("http://www.rosaceae.org/Prunus/Prunus_persica/p.persica_gdr_reftransV1_0002858","p.persica_gdr_reftransV1_0002858")</f>
        <v>p.persica_gdr_reftransV1_0002858</v>
      </c>
      <c r="B19733" s="2">
        <v>1058</v>
      </c>
      <c r="C19733" s="4" t="str">
        <f>HYPERLINK("http://www.uniprot.org/uniprot/F6I4I1","F6I4I1")</f>
        <v>F6I4I1</v>
      </c>
      <c r="D19733" s="2" t="s">
        <v>15044</v>
      </c>
      <c r="E19733" s="3">
        <v>2.4200000000000001E-96</v>
      </c>
      <c r="F19733" s="2">
        <v>645</v>
      </c>
      <c r="G19733" s="2">
        <v>66</v>
      </c>
      <c r="H19733" s="2">
        <v>197</v>
      </c>
      <c r="I19733" s="2">
        <v>368</v>
      </c>
      <c r="J19733" s="2">
        <v>946</v>
      </c>
      <c r="K19733" s="2">
        <v>6</v>
      </c>
      <c r="L19733" s="2">
        <v>166</v>
      </c>
    </row>
    <row r="19734" spans="1:12" x14ac:dyDescent="0.25">
      <c r="A19734" s="4" t="str">
        <f>HYPERLINK("http://www.rosaceae.org/Prunus/Prunus_persica/p.persica_gdr_reftransV1_0003208","p.persica_gdr_reftransV1_0003208")</f>
        <v>p.persica_gdr_reftransV1_0003208</v>
      </c>
      <c r="B19734" s="2">
        <v>436</v>
      </c>
      <c r="C19734" s="4" t="str">
        <f>HYPERLINK("http://www.uniprot.org/uniprot/M5XNQ0","M5XNQ0")</f>
        <v>M5XNQ0</v>
      </c>
      <c r="D19734" s="2" t="s">
        <v>1926</v>
      </c>
      <c r="E19734" s="3">
        <v>2.1999999999999999E-79</v>
      </c>
      <c r="F19734" s="2">
        <v>660</v>
      </c>
      <c r="G19734" s="2">
        <v>90</v>
      </c>
      <c r="H19734" s="2">
        <v>144</v>
      </c>
      <c r="I19734" s="2">
        <v>3</v>
      </c>
      <c r="J19734" s="2">
        <v>434</v>
      </c>
      <c r="K19734" s="2">
        <v>166</v>
      </c>
      <c r="L19734" s="2">
        <v>299</v>
      </c>
    </row>
    <row r="19735" spans="1:12" x14ac:dyDescent="0.25">
      <c r="A19735" s="4" t="str">
        <f>HYPERLINK("http://www.rosaceae.org/Prunus/Prunus_persica/p.persica_gdr_reftransV1_0003558","p.persica_gdr_reftransV1_0003558")</f>
        <v>p.persica_gdr_reftransV1_0003558</v>
      </c>
      <c r="B19735" s="2">
        <v>465</v>
      </c>
      <c r="C19735" s="4" t="str">
        <f>HYPERLINK("http://www.uniprot.org/uniprot/W9M8Q1","W9M8Q1")</f>
        <v>W9M8Q1</v>
      </c>
      <c r="D19735" s="2" t="s">
        <v>15045</v>
      </c>
      <c r="E19735" s="3">
        <v>1.21E-82</v>
      </c>
      <c r="F19735" s="2">
        <v>649</v>
      </c>
      <c r="G19735" s="2">
        <v>92</v>
      </c>
      <c r="H19735" s="2">
        <v>129</v>
      </c>
      <c r="I19735" s="2">
        <v>1</v>
      </c>
      <c r="J19735" s="2">
        <v>387</v>
      </c>
      <c r="K19735" s="2">
        <v>1</v>
      </c>
      <c r="L19735" s="2">
        <v>129</v>
      </c>
    </row>
    <row r="19736" spans="1:12" x14ac:dyDescent="0.25">
      <c r="A19736" s="4" t="str">
        <f>HYPERLINK("http://www.rosaceae.org/Prunus/Prunus_persica/p.persica_gdr_reftransV1_0004258","p.persica_gdr_reftransV1_0004258")</f>
        <v>p.persica_gdr_reftransV1_0004258</v>
      </c>
      <c r="B19736" s="2">
        <v>2455</v>
      </c>
      <c r="C19736" s="4" t="str">
        <f>HYPERLINK("http://www.uniprot.org/uniprot/M5XAX1","M5XAX1")</f>
        <v>M5XAX1</v>
      </c>
      <c r="D19736" s="2" t="s">
        <v>9075</v>
      </c>
      <c r="E19736" s="3">
        <v>0</v>
      </c>
      <c r="F19736" s="2">
        <v>3226</v>
      </c>
      <c r="G19736" s="2">
        <v>90</v>
      </c>
      <c r="H19736" s="2">
        <v>669</v>
      </c>
      <c r="I19736" s="2">
        <v>347</v>
      </c>
      <c r="J19736" s="2">
        <v>2353</v>
      </c>
      <c r="K19736" s="2">
        <v>1</v>
      </c>
      <c r="L19736" s="2">
        <v>643</v>
      </c>
    </row>
    <row r="19737" spans="1:12" x14ac:dyDescent="0.25">
      <c r="A19737" s="4" t="str">
        <f>HYPERLINK("http://www.rosaceae.org/Prunus/Prunus_persica/p.persica_gdr_reftransV1_0004608","p.persica_gdr_reftransV1_0004608")</f>
        <v>p.persica_gdr_reftransV1_0004608</v>
      </c>
      <c r="B19737" s="2">
        <v>301</v>
      </c>
      <c r="C19737" s="4" t="str">
        <f>HYPERLINK("http://www.uniprot.org/uniprot/M5WXP0","M5WXP0")</f>
        <v>M5WXP0</v>
      </c>
      <c r="D19737" s="2" t="s">
        <v>15046</v>
      </c>
      <c r="E19737" s="3">
        <v>9.0699999999999995E-55</v>
      </c>
      <c r="F19737" s="2">
        <v>463</v>
      </c>
      <c r="G19737" s="2">
        <v>100</v>
      </c>
      <c r="H19737" s="2">
        <v>88</v>
      </c>
      <c r="I19737" s="2">
        <v>2</v>
      </c>
      <c r="J19737" s="2">
        <v>265</v>
      </c>
      <c r="K19737" s="2">
        <v>1</v>
      </c>
      <c r="L19737" s="2">
        <v>88</v>
      </c>
    </row>
    <row r="19738" spans="1:12" x14ac:dyDescent="0.25">
      <c r="A19738" s="4" t="str">
        <f>HYPERLINK("http://www.rosaceae.org/Prunus/Prunus_persica/p.persica_gdr_reftransV1_0004958","p.persica_gdr_reftransV1_0004958")</f>
        <v>p.persica_gdr_reftransV1_0004958</v>
      </c>
      <c r="B19738" s="2">
        <v>1685</v>
      </c>
      <c r="C19738" s="4" t="str">
        <f>HYPERLINK("http://www.uniprot.org/uniprot/M5WK62","M5WK62")</f>
        <v>M5WK62</v>
      </c>
      <c r="D19738" s="2" t="s">
        <v>9028</v>
      </c>
      <c r="E19738" s="3">
        <v>8.3700000000000002E-100</v>
      </c>
      <c r="F19738" s="2">
        <v>510</v>
      </c>
      <c r="G19738" s="2">
        <v>100</v>
      </c>
      <c r="H19738" s="2">
        <v>112</v>
      </c>
      <c r="I19738" s="2">
        <v>172</v>
      </c>
      <c r="J19738" s="2">
        <v>507</v>
      </c>
      <c r="K19738" s="2">
        <v>1</v>
      </c>
      <c r="L19738" s="2">
        <v>112</v>
      </c>
    </row>
    <row r="19739" spans="1:12" x14ac:dyDescent="0.25">
      <c r="A19739" s="4" t="str">
        <f>HYPERLINK("http://www.rosaceae.org/Prunus/Prunus_persica/p.persica_gdr_reftransV1_0005308","p.persica_gdr_reftransV1_0005308")</f>
        <v>p.persica_gdr_reftransV1_0005308</v>
      </c>
      <c r="B19739" s="2">
        <v>3519</v>
      </c>
      <c r="C19739" s="4" t="str">
        <f>HYPERLINK("http://www.uniprot.org/uniprot/M5XIR5","M5XIR5")</f>
        <v>M5XIR5</v>
      </c>
      <c r="D19739" s="2" t="s">
        <v>8331</v>
      </c>
      <c r="E19739" s="3">
        <v>0</v>
      </c>
      <c r="F19739" s="2">
        <v>3756</v>
      </c>
      <c r="G19739" s="2">
        <v>99</v>
      </c>
      <c r="H19739" s="2">
        <v>836</v>
      </c>
      <c r="I19739" s="2">
        <v>708</v>
      </c>
      <c r="J19739" s="2">
        <v>3215</v>
      </c>
      <c r="K19739" s="2">
        <v>116</v>
      </c>
      <c r="L19739" s="2">
        <v>946</v>
      </c>
    </row>
    <row r="19740" spans="1:12" x14ac:dyDescent="0.25">
      <c r="A19740" s="4" t="str">
        <f>HYPERLINK("http://www.rosaceae.org/Prunus/Prunus_persica/p.persica_gdr_reftransV1_0005658","p.persica_gdr_reftransV1_0005658")</f>
        <v>p.persica_gdr_reftransV1_0005658</v>
      </c>
      <c r="B19740" s="2">
        <v>3126</v>
      </c>
      <c r="C19740" s="4" t="str">
        <f>HYPERLINK("http://www.uniprot.org/uniprot/M5X3P6","M5X3P6")</f>
        <v>M5X3P6</v>
      </c>
      <c r="D19740" s="2" t="s">
        <v>12841</v>
      </c>
      <c r="E19740" s="3">
        <v>0</v>
      </c>
      <c r="F19740" s="2">
        <v>3149</v>
      </c>
      <c r="G19740" s="2">
        <v>86</v>
      </c>
      <c r="H19740" s="2">
        <v>756</v>
      </c>
      <c r="I19740" s="2">
        <v>857</v>
      </c>
      <c r="J19740" s="2">
        <v>3124</v>
      </c>
      <c r="K19740" s="2">
        <v>210</v>
      </c>
      <c r="L19740" s="2">
        <v>866</v>
      </c>
    </row>
    <row r="19741" spans="1:12" x14ac:dyDescent="0.25">
      <c r="A19741" s="4" t="str">
        <f>HYPERLINK("http://www.rosaceae.org/Prunus/Prunus_persica/p.persica_gdr_reftransV1_0006708","p.persica_gdr_reftransV1_0006708")</f>
        <v>p.persica_gdr_reftransV1_0006708</v>
      </c>
      <c r="B19741" s="2">
        <v>556</v>
      </c>
      <c r="C19741" s="4" t="str">
        <f>HYPERLINK("http://www.uniprot.org/uniprot/M5VV34","M5VV34")</f>
        <v>M5VV34</v>
      </c>
      <c r="D19741" s="2" t="s">
        <v>15047</v>
      </c>
      <c r="E19741" s="3">
        <v>3.2699999999999999E-16</v>
      </c>
      <c r="F19741" s="2">
        <v>204</v>
      </c>
      <c r="G19741" s="2">
        <v>60</v>
      </c>
      <c r="H19741" s="2">
        <v>67</v>
      </c>
      <c r="I19741" s="2">
        <v>24</v>
      </c>
      <c r="J19741" s="2">
        <v>224</v>
      </c>
      <c r="K19741" s="2">
        <v>157</v>
      </c>
      <c r="L19741" s="2">
        <v>223</v>
      </c>
    </row>
    <row r="19742" spans="1:12" x14ac:dyDescent="0.25">
      <c r="A19742" s="4" t="str">
        <f>HYPERLINK("http://www.rosaceae.org/Prunus/Prunus_persica/p.persica_gdr_reftransV1_0007408","p.persica_gdr_reftransV1_0007408")</f>
        <v>p.persica_gdr_reftransV1_0007408</v>
      </c>
      <c r="B19742" s="2">
        <v>1459</v>
      </c>
      <c r="C19742" s="4" t="str">
        <f>HYPERLINK("http://www.uniprot.org/uniprot/M5W468","M5W468")</f>
        <v>M5W468</v>
      </c>
      <c r="D19742" s="2" t="s">
        <v>3975</v>
      </c>
      <c r="E19742" s="3">
        <v>1.4200000000000001E-64</v>
      </c>
      <c r="F19742" s="2">
        <v>598</v>
      </c>
      <c r="G19742" s="2">
        <v>99</v>
      </c>
      <c r="H19742" s="2">
        <v>112</v>
      </c>
      <c r="I19742" s="2">
        <v>13</v>
      </c>
      <c r="J19742" s="2">
        <v>348</v>
      </c>
      <c r="K19742" s="2">
        <v>740</v>
      </c>
      <c r="L19742" s="2">
        <v>851</v>
      </c>
    </row>
    <row r="19743" spans="1:12" x14ac:dyDescent="0.25">
      <c r="A19743" s="4" t="str">
        <f>HYPERLINK("http://www.rosaceae.org/Prunus/Prunus_persica/p.persica_gdr_reftransV1_0008108","p.persica_gdr_reftransV1_0008108")</f>
        <v>p.persica_gdr_reftransV1_0008108</v>
      </c>
      <c r="B19743" s="2">
        <v>1027</v>
      </c>
      <c r="C19743" s="4" t="str">
        <f>HYPERLINK("http://www.uniprot.org/uniprot/M5XGT5","M5XGT5")</f>
        <v>M5XGT5</v>
      </c>
      <c r="D19743" s="2" t="s">
        <v>15048</v>
      </c>
      <c r="E19743" s="3">
        <v>3.2000000000000002E-132</v>
      </c>
      <c r="F19743" s="2">
        <v>996</v>
      </c>
      <c r="G19743" s="2">
        <v>100</v>
      </c>
      <c r="H19743" s="2">
        <v>185</v>
      </c>
      <c r="I19743" s="2">
        <v>418</v>
      </c>
      <c r="J19743" s="2">
        <v>972</v>
      </c>
      <c r="K19743" s="2">
        <v>36</v>
      </c>
      <c r="L19743" s="2">
        <v>220</v>
      </c>
    </row>
    <row r="19744" spans="1:12" x14ac:dyDescent="0.25">
      <c r="A19744" s="4" t="str">
        <f>HYPERLINK("http://www.rosaceae.org/Prunus/Prunus_persica/p.persica_gdr_reftransV1_0008808","p.persica_gdr_reftransV1_0008808")</f>
        <v>p.persica_gdr_reftransV1_0008808</v>
      </c>
      <c r="B19744" s="2">
        <v>3836</v>
      </c>
      <c r="C19744" s="4" t="str">
        <f>HYPERLINK("http://www.uniprot.org/uniprot/M5W7W3","M5W7W3")</f>
        <v>M5W7W3</v>
      </c>
      <c r="D19744" s="2" t="s">
        <v>15049</v>
      </c>
      <c r="E19744" s="3">
        <v>0</v>
      </c>
      <c r="F19744" s="2">
        <v>3917</v>
      </c>
      <c r="G19744" s="2">
        <v>97</v>
      </c>
      <c r="H19744" s="2">
        <v>804</v>
      </c>
      <c r="I19744" s="2">
        <v>170</v>
      </c>
      <c r="J19744" s="2">
        <v>2581</v>
      </c>
      <c r="K19744" s="2">
        <v>1</v>
      </c>
      <c r="L19744" s="2">
        <v>781</v>
      </c>
    </row>
    <row r="19745" spans="1:12" x14ac:dyDescent="0.25">
      <c r="A19745" s="4" t="str">
        <f>HYPERLINK("http://www.rosaceae.org/Prunus/Prunus_persica/p.persica_gdr_reftransV1_0009158","p.persica_gdr_reftransV1_0009158")</f>
        <v>p.persica_gdr_reftransV1_0009158</v>
      </c>
      <c r="B19745" s="2">
        <v>1680</v>
      </c>
      <c r="C19745" s="4" t="str">
        <f>HYPERLINK("http://www.uniprot.org/uniprot/M5XTY3","M5XTY3")</f>
        <v>M5XTY3</v>
      </c>
      <c r="D19745" s="2" t="s">
        <v>15050</v>
      </c>
      <c r="E19745" s="3">
        <v>1.04E-123</v>
      </c>
      <c r="F19745" s="2">
        <v>963</v>
      </c>
      <c r="G19745" s="2">
        <v>90</v>
      </c>
      <c r="H19745" s="2">
        <v>249</v>
      </c>
      <c r="I19745" s="2">
        <v>480</v>
      </c>
      <c r="J19745" s="2">
        <v>1226</v>
      </c>
      <c r="K19745" s="2">
        <v>1</v>
      </c>
      <c r="L19745" s="2">
        <v>234</v>
      </c>
    </row>
    <row r="19746" spans="1:12" x14ac:dyDescent="0.25">
      <c r="A19746" s="4" t="str">
        <f>HYPERLINK("http://www.rosaceae.org/Prunus/Prunus_persica/p.persica_gdr_reftransV1_0009508","p.persica_gdr_reftransV1_0009508")</f>
        <v>p.persica_gdr_reftransV1_0009508</v>
      </c>
      <c r="B19746" s="2">
        <v>2172</v>
      </c>
      <c r="C19746" s="4" t="str">
        <f>HYPERLINK("http://www.uniprot.org/uniprot/M5XXM3","M5XXM3")</f>
        <v>M5XXM3</v>
      </c>
      <c r="D19746" s="2" t="s">
        <v>15051</v>
      </c>
      <c r="E19746" s="3">
        <v>0</v>
      </c>
      <c r="F19746" s="2">
        <v>3515</v>
      </c>
      <c r="G19746" s="2">
        <v>99</v>
      </c>
      <c r="H19746" s="2">
        <v>674</v>
      </c>
      <c r="I19746" s="2">
        <v>2</v>
      </c>
      <c r="J19746" s="2">
        <v>2023</v>
      </c>
      <c r="K19746" s="2">
        <v>164</v>
      </c>
      <c r="L19746" s="2">
        <v>837</v>
      </c>
    </row>
    <row r="19747" spans="1:12" x14ac:dyDescent="0.25">
      <c r="A19747" s="4" t="str">
        <f>HYPERLINK("http://www.rosaceae.org/Prunus/Prunus_persica/p.persica_gdr_reftransV1_0009858","p.persica_gdr_reftransV1_0009858")</f>
        <v>p.persica_gdr_reftransV1_0009858</v>
      </c>
      <c r="B19747" s="2">
        <v>1357</v>
      </c>
      <c r="C19747" s="4" t="str">
        <f>HYPERLINK("http://www.uniprot.org/uniprot/K7TXB0","K7TXB0")</f>
        <v>K7TXB0</v>
      </c>
      <c r="D19747" s="2" t="s">
        <v>15052</v>
      </c>
      <c r="E19747" s="3">
        <v>3.5499999999999998E-131</v>
      </c>
      <c r="F19747" s="2">
        <v>1011</v>
      </c>
      <c r="G19747" s="2">
        <v>93</v>
      </c>
      <c r="H19747" s="2">
        <v>219</v>
      </c>
      <c r="I19747" s="2">
        <v>699</v>
      </c>
      <c r="J19747" s="2">
        <v>1355</v>
      </c>
      <c r="K19747" s="2">
        <v>7</v>
      </c>
      <c r="L19747" s="2">
        <v>225</v>
      </c>
    </row>
    <row r="19748" spans="1:12" x14ac:dyDescent="0.25">
      <c r="A19748" s="4" t="str">
        <f>HYPERLINK("http://www.rosaceae.org/Prunus/Prunus_persica/p.persica_gdr_reftransV1_0010208","p.persica_gdr_reftransV1_0010208")</f>
        <v>p.persica_gdr_reftransV1_0010208</v>
      </c>
      <c r="B19748" s="2">
        <v>1804</v>
      </c>
      <c r="C19748" s="4" t="str">
        <f>HYPERLINK("http://www.uniprot.org/uniprot/M5W8T2","M5W8T2")</f>
        <v>M5W8T2</v>
      </c>
      <c r="D19748" s="2" t="s">
        <v>15053</v>
      </c>
      <c r="E19748" s="3">
        <v>2.2499999999999999E-108</v>
      </c>
      <c r="F19748" s="2">
        <v>857</v>
      </c>
      <c r="G19748" s="2">
        <v>100</v>
      </c>
      <c r="H19748" s="2">
        <v>164</v>
      </c>
      <c r="I19748" s="2">
        <v>1130</v>
      </c>
      <c r="J19748" s="2">
        <v>1621</v>
      </c>
      <c r="K19748" s="2">
        <v>1</v>
      </c>
      <c r="L19748" s="2">
        <v>164</v>
      </c>
    </row>
    <row r="19749" spans="1:12" x14ac:dyDescent="0.25">
      <c r="A19749" s="4" t="str">
        <f>HYPERLINK("http://www.rosaceae.org/Prunus/Prunus_persica/p.persica_gdr_reftransV1_0010558","p.persica_gdr_reftransV1_0010558")</f>
        <v>p.persica_gdr_reftransV1_0010558</v>
      </c>
      <c r="B19749" s="2">
        <v>1882</v>
      </c>
      <c r="C19749" s="4" t="str">
        <f>HYPERLINK("http://www.uniprot.org/uniprot/M5WFN3","M5WFN3")</f>
        <v>M5WFN3</v>
      </c>
      <c r="D19749" s="2" t="s">
        <v>15054</v>
      </c>
      <c r="E19749" s="3">
        <v>1.9600000000000001E-129</v>
      </c>
      <c r="F19749" s="2">
        <v>1022</v>
      </c>
      <c r="G19749" s="2">
        <v>100</v>
      </c>
      <c r="H19749" s="2">
        <v>234</v>
      </c>
      <c r="I19749" s="2">
        <v>1180</v>
      </c>
      <c r="J19749" s="2">
        <v>1881</v>
      </c>
      <c r="K19749" s="2">
        <v>42</v>
      </c>
      <c r="L19749" s="2">
        <v>275</v>
      </c>
    </row>
    <row r="19750" spans="1:12" x14ac:dyDescent="0.25">
      <c r="A19750" s="4" t="str">
        <f>HYPERLINK("http://www.rosaceae.org/Prunus/Prunus_persica/p.persica_gdr_reftransV1_0010908","p.persica_gdr_reftransV1_0010908")</f>
        <v>p.persica_gdr_reftransV1_0010908</v>
      </c>
      <c r="B19750" s="2">
        <v>834</v>
      </c>
      <c r="C19750" s="4" t="str">
        <f>HYPERLINK("http://www.uniprot.org/uniprot/M5VQQ9","M5VQQ9")</f>
        <v>M5VQQ9</v>
      </c>
      <c r="D19750" s="2" t="s">
        <v>3938</v>
      </c>
      <c r="E19750" s="3">
        <v>2.34E-100</v>
      </c>
      <c r="F19750" s="2">
        <v>784</v>
      </c>
      <c r="G19750" s="2">
        <v>90</v>
      </c>
      <c r="H19750" s="2">
        <v>176</v>
      </c>
      <c r="I19750" s="2">
        <v>217</v>
      </c>
      <c r="J19750" s="2">
        <v>690</v>
      </c>
      <c r="K19750" s="2">
        <v>1</v>
      </c>
      <c r="L19750" s="2">
        <v>176</v>
      </c>
    </row>
    <row r="19751" spans="1:12" x14ac:dyDescent="0.25">
      <c r="A19751" s="4" t="str">
        <f>HYPERLINK("http://www.rosaceae.org/Prunus/Prunus_persica/p.persica_gdr_reftransV1_0011608","p.persica_gdr_reftransV1_0011608")</f>
        <v>p.persica_gdr_reftransV1_0011608</v>
      </c>
      <c r="B19751" s="2">
        <v>527</v>
      </c>
      <c r="C19751" s="4" t="str">
        <f>HYPERLINK("http://www.uniprot.org/uniprot/M5WEW2","M5WEW2")</f>
        <v>M5WEW2</v>
      </c>
      <c r="D19751" s="2" t="s">
        <v>15055</v>
      </c>
      <c r="E19751" s="3">
        <v>1.5199999999999999E-57</v>
      </c>
      <c r="F19751" s="2">
        <v>475</v>
      </c>
      <c r="G19751" s="2">
        <v>95</v>
      </c>
      <c r="H19751" s="2">
        <v>110</v>
      </c>
      <c r="I19751" s="2">
        <v>93</v>
      </c>
      <c r="J19751" s="2">
        <v>422</v>
      </c>
      <c r="K19751" s="2">
        <v>1</v>
      </c>
      <c r="L19751" s="2">
        <v>110</v>
      </c>
    </row>
    <row r="19752" spans="1:12" x14ac:dyDescent="0.25">
      <c r="A19752" s="4" t="str">
        <f>HYPERLINK("http://www.rosaceae.org/Prunus/Prunus_persica/p.persica_gdr_reftransV1_0011958","p.persica_gdr_reftransV1_0011958")</f>
        <v>p.persica_gdr_reftransV1_0011958</v>
      </c>
      <c r="B19752" s="2">
        <v>2601</v>
      </c>
      <c r="C19752" s="4" t="str">
        <f>HYPERLINK("http://www.uniprot.org/uniprot/M5X6S0","M5X6S0")</f>
        <v>M5X6S0</v>
      </c>
      <c r="D19752" s="2" t="s">
        <v>15056</v>
      </c>
      <c r="E19752" s="3">
        <v>0</v>
      </c>
      <c r="F19752" s="2">
        <v>2998</v>
      </c>
      <c r="G19752" s="2">
        <v>100</v>
      </c>
      <c r="H19752" s="2">
        <v>585</v>
      </c>
      <c r="I19752" s="2">
        <v>783</v>
      </c>
      <c r="J19752" s="2">
        <v>2537</v>
      </c>
      <c r="K19752" s="2">
        <v>1</v>
      </c>
      <c r="L19752" s="2">
        <v>585</v>
      </c>
    </row>
    <row r="19753" spans="1:12" x14ac:dyDescent="0.25">
      <c r="A19753" s="4" t="str">
        <f>HYPERLINK("http://www.rosaceae.org/Prunus/Prunus_persica/p.persica_gdr_reftransV1_0012658","p.persica_gdr_reftransV1_0012658")</f>
        <v>p.persica_gdr_reftransV1_0012658</v>
      </c>
      <c r="B19753" s="2">
        <v>2561</v>
      </c>
      <c r="C19753" s="4" t="str">
        <f>HYPERLINK("http://www.uniprot.org/uniprot/M5W7S8","M5W7S8")</f>
        <v>M5W7S8</v>
      </c>
      <c r="D19753" s="2" t="s">
        <v>15057</v>
      </c>
      <c r="E19753" s="3">
        <v>0</v>
      </c>
      <c r="F19753" s="2">
        <v>2318</v>
      </c>
      <c r="G19753" s="2">
        <v>100</v>
      </c>
      <c r="H19753" s="2">
        <v>501</v>
      </c>
      <c r="I19753" s="2">
        <v>340</v>
      </c>
      <c r="J19753" s="2">
        <v>1842</v>
      </c>
      <c r="K19753" s="2">
        <v>178</v>
      </c>
      <c r="L19753" s="2">
        <v>678</v>
      </c>
    </row>
    <row r="19754" spans="1:12" x14ac:dyDescent="0.25">
      <c r="A19754" s="4" t="str">
        <f>HYPERLINK("http://www.rosaceae.org/Prunus/Prunus_persica/p.persica_gdr_reftransV1_0013008","p.persica_gdr_reftransV1_0013008")</f>
        <v>p.persica_gdr_reftransV1_0013008</v>
      </c>
      <c r="B19754" s="2">
        <v>1191</v>
      </c>
      <c r="C19754" s="4" t="str">
        <f>HYPERLINK("http://www.uniprot.org/uniprot/M5WHY8","M5WHY8")</f>
        <v>M5WHY8</v>
      </c>
      <c r="D19754" s="2" t="s">
        <v>15058</v>
      </c>
      <c r="E19754" s="3">
        <v>0</v>
      </c>
      <c r="F19754" s="2">
        <v>1508</v>
      </c>
      <c r="G19754" s="2">
        <v>99</v>
      </c>
      <c r="H19754" s="2">
        <v>295</v>
      </c>
      <c r="I19754" s="2">
        <v>305</v>
      </c>
      <c r="J19754" s="2">
        <v>1189</v>
      </c>
      <c r="K19754" s="2">
        <v>153</v>
      </c>
      <c r="L19754" s="2">
        <v>447</v>
      </c>
    </row>
    <row r="19755" spans="1:12" x14ac:dyDescent="0.25">
      <c r="A19755" s="4" t="str">
        <f>HYPERLINK("http://www.rosaceae.org/Prunus/Prunus_persica/p.persica_gdr_reftransV1_0013358","p.persica_gdr_reftransV1_0013358")</f>
        <v>p.persica_gdr_reftransV1_0013358</v>
      </c>
      <c r="B19755" s="2">
        <v>2362</v>
      </c>
      <c r="C19755" s="4" t="str">
        <f>HYPERLINK("http://www.uniprot.org/uniprot/M5W846","M5W846")</f>
        <v>M5W846</v>
      </c>
      <c r="D19755" s="2" t="s">
        <v>15059</v>
      </c>
      <c r="E19755" s="3">
        <v>0</v>
      </c>
      <c r="F19755" s="2">
        <v>2812</v>
      </c>
      <c r="G19755" s="2">
        <v>95</v>
      </c>
      <c r="H19755" s="2">
        <v>578</v>
      </c>
      <c r="I19755" s="2">
        <v>271</v>
      </c>
      <c r="J19755" s="2">
        <v>2004</v>
      </c>
      <c r="K19755" s="2">
        <v>1</v>
      </c>
      <c r="L19755" s="2">
        <v>550</v>
      </c>
    </row>
    <row r="19756" spans="1:12" x14ac:dyDescent="0.25">
      <c r="A19756" s="4" t="str">
        <f>HYPERLINK("http://www.rosaceae.org/Prunus/Prunus_persica/p.persica_gdr_reftransV1_0014758","p.persica_gdr_reftransV1_0014758")</f>
        <v>p.persica_gdr_reftransV1_0014758</v>
      </c>
      <c r="B19756" s="2">
        <v>560</v>
      </c>
      <c r="C19756" s="4" t="str">
        <f>HYPERLINK("http://www.uniprot.org/uniprot/M5XEG6","M5XEG6")</f>
        <v>M5XEG6</v>
      </c>
      <c r="D19756" s="2" t="s">
        <v>12375</v>
      </c>
      <c r="E19756" s="3">
        <v>4.8100000000000003E-46</v>
      </c>
      <c r="F19756" s="2">
        <v>424</v>
      </c>
      <c r="G19756" s="2">
        <v>100</v>
      </c>
      <c r="H19756" s="2">
        <v>122</v>
      </c>
      <c r="I19756" s="2">
        <v>2</v>
      </c>
      <c r="J19756" s="2">
        <v>367</v>
      </c>
      <c r="K19756" s="2">
        <v>10</v>
      </c>
      <c r="L19756" s="2">
        <v>131</v>
      </c>
    </row>
    <row r="19757" spans="1:12" x14ac:dyDescent="0.25">
      <c r="A19757" s="4" t="str">
        <f>HYPERLINK("http://www.rosaceae.org/Prunus/Prunus_persica/p.persica_gdr_reftransV1_0015458","p.persica_gdr_reftransV1_0015458")</f>
        <v>p.persica_gdr_reftransV1_0015458</v>
      </c>
      <c r="B19757" s="2">
        <v>2655</v>
      </c>
      <c r="C19757" s="4" t="str">
        <f>HYPERLINK("http://www.uniprot.org/uniprot/M5VV75","M5VV75")</f>
        <v>M5VV75</v>
      </c>
      <c r="D19757" s="2" t="s">
        <v>15060</v>
      </c>
      <c r="E19757" s="3">
        <v>0</v>
      </c>
      <c r="F19757" s="2">
        <v>3594</v>
      </c>
      <c r="G19757" s="2">
        <v>100</v>
      </c>
      <c r="H19757" s="2">
        <v>713</v>
      </c>
      <c r="I19757" s="2">
        <v>182</v>
      </c>
      <c r="J19757" s="2">
        <v>2320</v>
      </c>
      <c r="K19757" s="2">
        <v>1</v>
      </c>
      <c r="L19757" s="2">
        <v>713</v>
      </c>
    </row>
    <row r="19758" spans="1:12" x14ac:dyDescent="0.25">
      <c r="A19758" s="4" t="str">
        <f>HYPERLINK("http://www.rosaceae.org/Prunus/Prunus_persica/p.persica_gdr_reftransV1_0017208","p.persica_gdr_reftransV1_0017208")</f>
        <v>p.persica_gdr_reftransV1_0017208</v>
      </c>
      <c r="B19758" s="2">
        <v>1379</v>
      </c>
      <c r="C19758" s="4" t="str">
        <f>HYPERLINK("http://www.uniprot.org/uniprot/M5VMX5","M5VMX5")</f>
        <v>M5VMX5</v>
      </c>
      <c r="D19758" s="2" t="s">
        <v>10473</v>
      </c>
      <c r="E19758" s="3">
        <v>0</v>
      </c>
      <c r="F19758" s="2">
        <v>1890</v>
      </c>
      <c r="G19758" s="2">
        <v>100</v>
      </c>
      <c r="H19758" s="2">
        <v>356</v>
      </c>
      <c r="I19758" s="2">
        <v>210</v>
      </c>
      <c r="J19758" s="2">
        <v>1277</v>
      </c>
      <c r="K19758" s="2">
        <v>1</v>
      </c>
      <c r="L19758" s="2">
        <v>356</v>
      </c>
    </row>
    <row r="19759" spans="1:12" x14ac:dyDescent="0.25">
      <c r="A19759" s="4" t="str">
        <f>HYPERLINK("http://www.rosaceae.org/Prunus/Prunus_persica/p.persica_gdr_reftransV1_0020358","p.persica_gdr_reftransV1_0020358")</f>
        <v>p.persica_gdr_reftransV1_0020358</v>
      </c>
      <c r="B19759" s="2">
        <v>1197</v>
      </c>
      <c r="C19759" s="4" t="str">
        <f>HYPERLINK("http://www.uniprot.org/uniprot/M5VYB3","M5VYB3")</f>
        <v>M5VYB3</v>
      </c>
      <c r="D19759" s="2" t="s">
        <v>5764</v>
      </c>
      <c r="E19759" s="3">
        <v>3.6900000000000002E-137</v>
      </c>
      <c r="F19759" s="2">
        <v>1039</v>
      </c>
      <c r="G19759" s="2">
        <v>99</v>
      </c>
      <c r="H19759" s="2">
        <v>249</v>
      </c>
      <c r="I19759" s="2">
        <v>27</v>
      </c>
      <c r="J19759" s="2">
        <v>770</v>
      </c>
      <c r="K19759" s="2">
        <v>1</v>
      </c>
      <c r="L19759" s="2">
        <v>249</v>
      </c>
    </row>
    <row r="19760" spans="1:12" x14ac:dyDescent="0.25">
      <c r="A19760" s="4" t="str">
        <f>HYPERLINK("http://www.rosaceae.org/Prunus/Prunus_persica/p.persica_gdr_reftransV1_0022108","p.persica_gdr_reftransV1_0022108")</f>
        <v>p.persica_gdr_reftransV1_0022108</v>
      </c>
      <c r="B19760" s="2">
        <v>1667</v>
      </c>
      <c r="C19760" s="4" t="str">
        <f>HYPERLINK("http://www.uniprot.org/uniprot/M5WTI7","M5WTI7")</f>
        <v>M5WTI7</v>
      </c>
      <c r="D19760" s="2" t="s">
        <v>13691</v>
      </c>
      <c r="E19760" s="3">
        <v>0</v>
      </c>
      <c r="F19760" s="2">
        <v>2419</v>
      </c>
      <c r="G19760" s="2">
        <v>100</v>
      </c>
      <c r="H19760" s="2">
        <v>467</v>
      </c>
      <c r="I19760" s="2">
        <v>116</v>
      </c>
      <c r="J19760" s="2">
        <v>1513</v>
      </c>
      <c r="K19760" s="2">
        <v>1</v>
      </c>
      <c r="L19760" s="2">
        <v>467</v>
      </c>
    </row>
    <row r="19761" spans="1:12" x14ac:dyDescent="0.25">
      <c r="A19761" s="4" t="str">
        <f>HYPERLINK("http://www.rosaceae.org/Prunus/Prunus_persica/p.persica_gdr_reftransV1_0022808","p.persica_gdr_reftransV1_0022808")</f>
        <v>p.persica_gdr_reftransV1_0022808</v>
      </c>
      <c r="B19761" s="2">
        <v>827</v>
      </c>
      <c r="C19761" s="4" t="str">
        <f>HYPERLINK("http://www.uniprot.org/uniprot/A0A0B2SCQ2","A0A0B2SCQ2")</f>
        <v>A0A0B2SCQ2</v>
      </c>
      <c r="D19761" s="2" t="s">
        <v>4512</v>
      </c>
      <c r="E19761" s="3">
        <v>1.79E-43</v>
      </c>
      <c r="F19761" s="2">
        <v>412</v>
      </c>
      <c r="G19761" s="2">
        <v>37</v>
      </c>
      <c r="H19761" s="2">
        <v>273</v>
      </c>
      <c r="I19761" s="2">
        <v>16</v>
      </c>
      <c r="J19761" s="2">
        <v>825</v>
      </c>
      <c r="K19761" s="2">
        <v>156</v>
      </c>
      <c r="L19761" s="2">
        <v>402</v>
      </c>
    </row>
    <row r="19762" spans="1:12" x14ac:dyDescent="0.25">
      <c r="A19762" s="4" t="str">
        <f>HYPERLINK("http://www.rosaceae.org/Prunus/Prunus_persica/p.persica_gdr_reftransV1_0024208","p.persica_gdr_reftransV1_0024208")</f>
        <v>p.persica_gdr_reftransV1_0024208</v>
      </c>
      <c r="B19762" s="2">
        <v>2786</v>
      </c>
      <c r="C19762" s="4" t="str">
        <f>HYPERLINK("http://www.uniprot.org/uniprot/M5XKG0","M5XKG0")</f>
        <v>M5XKG0</v>
      </c>
      <c r="D19762" s="2" t="s">
        <v>12874</v>
      </c>
      <c r="E19762" s="3">
        <v>0</v>
      </c>
      <c r="F19762" s="2">
        <v>2150</v>
      </c>
      <c r="G19762" s="2">
        <v>100</v>
      </c>
      <c r="H19762" s="2">
        <v>416</v>
      </c>
      <c r="I19762" s="2">
        <v>1201</v>
      </c>
      <c r="J19762" s="2">
        <v>2448</v>
      </c>
      <c r="K19762" s="2">
        <v>583</v>
      </c>
      <c r="L19762" s="2">
        <v>998</v>
      </c>
    </row>
    <row r="19763" spans="1:12" x14ac:dyDescent="0.25">
      <c r="A19763" s="4" t="str">
        <f>HYPERLINK("http://www.rosaceae.org/Prunus/Prunus_persica/p.persica_gdr_reftransV1_0024558","p.persica_gdr_reftransV1_0024558")</f>
        <v>p.persica_gdr_reftransV1_0024558</v>
      </c>
      <c r="B19763" s="2">
        <v>3761</v>
      </c>
      <c r="C19763" s="4" t="str">
        <f>HYPERLINK("http://www.uniprot.org/uniprot/M5VXF3","M5VXF3")</f>
        <v>M5VXF3</v>
      </c>
      <c r="D19763" s="2" t="s">
        <v>15061</v>
      </c>
      <c r="E19763" s="3">
        <v>1.4699999999999999E-145</v>
      </c>
      <c r="F19763" s="2">
        <v>1193</v>
      </c>
      <c r="G19763" s="2">
        <v>100</v>
      </c>
      <c r="H19763" s="2">
        <v>241</v>
      </c>
      <c r="I19763" s="2">
        <v>2681</v>
      </c>
      <c r="J19763" s="2">
        <v>3403</v>
      </c>
      <c r="K19763" s="2">
        <v>1</v>
      </c>
      <c r="L19763" s="2">
        <v>241</v>
      </c>
    </row>
    <row r="19764" spans="1:12" x14ac:dyDescent="0.25">
      <c r="A19764" s="4" t="str">
        <f>HYPERLINK("http://www.rosaceae.org/Prunus/Prunus_persica/p.persica_gdr_reftransV1_0025958","p.persica_gdr_reftransV1_0025958")</f>
        <v>p.persica_gdr_reftransV1_0025958</v>
      </c>
      <c r="B19764" s="2">
        <v>2420</v>
      </c>
      <c r="C19764" s="4" t="str">
        <f>HYPERLINK("http://www.uniprot.org/uniprot/M5VXN7","M5VXN7")</f>
        <v>M5VXN7</v>
      </c>
      <c r="D19764" s="2" t="s">
        <v>9063</v>
      </c>
      <c r="E19764" s="3">
        <v>0</v>
      </c>
      <c r="F19764" s="2">
        <v>2090</v>
      </c>
      <c r="G19764" s="2">
        <v>95</v>
      </c>
      <c r="H19764" s="2">
        <v>405</v>
      </c>
      <c r="I19764" s="2">
        <v>962</v>
      </c>
      <c r="J19764" s="2">
        <v>2173</v>
      </c>
      <c r="K19764" s="2">
        <v>175</v>
      </c>
      <c r="L19764" s="2">
        <v>579</v>
      </c>
    </row>
    <row r="19765" spans="1:12" x14ac:dyDescent="0.25">
      <c r="A19765" s="4" t="str">
        <f>HYPERLINK("http://www.rosaceae.org/Prunus/Prunus_persica/p.persica_gdr_reftransV1_0027708","p.persica_gdr_reftransV1_0027708")</f>
        <v>p.persica_gdr_reftransV1_0027708</v>
      </c>
      <c r="B19765" s="2">
        <v>1684</v>
      </c>
      <c r="C19765" s="4" t="str">
        <f>HYPERLINK("http://www.uniprot.org/uniprot/M5XZ56","M5XZ56")</f>
        <v>M5XZ56</v>
      </c>
      <c r="D19765" s="2" t="s">
        <v>15062</v>
      </c>
      <c r="E19765" s="3">
        <v>4.3799999999999997E-43</v>
      </c>
      <c r="F19765" s="2">
        <v>407</v>
      </c>
      <c r="G19765" s="2">
        <v>77</v>
      </c>
      <c r="H19765" s="2">
        <v>102</v>
      </c>
      <c r="I19765" s="2">
        <v>366</v>
      </c>
      <c r="J19765" s="2">
        <v>671</v>
      </c>
      <c r="K19765" s="2">
        <v>51</v>
      </c>
      <c r="L19765" s="2">
        <v>152</v>
      </c>
    </row>
    <row r="19766" spans="1:12" x14ac:dyDescent="0.25">
      <c r="A19766" s="4" t="str">
        <f>HYPERLINK("http://www.rosaceae.org/Prunus/Prunus_persica/p.persica_gdr_reftransV1_0028058","p.persica_gdr_reftransV1_0028058")</f>
        <v>p.persica_gdr_reftransV1_0028058</v>
      </c>
      <c r="B19766" s="2">
        <v>2616</v>
      </c>
      <c r="C19766" s="4" t="str">
        <f>HYPERLINK("http://www.uniprot.org/uniprot/M5WNQ2","M5WNQ2")</f>
        <v>M5WNQ2</v>
      </c>
      <c r="D19766" s="2" t="s">
        <v>15063</v>
      </c>
      <c r="E19766" s="3">
        <v>7.1600000000000003E-72</v>
      </c>
      <c r="F19766" s="2">
        <v>624</v>
      </c>
      <c r="G19766" s="2">
        <v>99</v>
      </c>
      <c r="H19766" s="2">
        <v>117</v>
      </c>
      <c r="I19766" s="2">
        <v>1806</v>
      </c>
      <c r="J19766" s="2">
        <v>2156</v>
      </c>
      <c r="K19766" s="2">
        <v>37</v>
      </c>
      <c r="L19766" s="2">
        <v>153</v>
      </c>
    </row>
    <row r="19767" spans="1:12" x14ac:dyDescent="0.25">
      <c r="A19767" s="4" t="str">
        <f>HYPERLINK("http://www.rosaceae.org/Prunus/Prunus_persica/p.persica_gdr_reftransV1_0028408","p.persica_gdr_reftransV1_0028408")</f>
        <v>p.persica_gdr_reftransV1_0028408</v>
      </c>
      <c r="B19767" s="2">
        <v>1486</v>
      </c>
      <c r="C19767" s="4" t="str">
        <f>HYPERLINK("http://www.uniprot.org/uniprot/M5VYU2","M5VYU2")</f>
        <v>M5VYU2</v>
      </c>
      <c r="D19767" s="2" t="s">
        <v>1649</v>
      </c>
      <c r="E19767" s="3">
        <v>0</v>
      </c>
      <c r="F19767" s="2">
        <v>1672</v>
      </c>
      <c r="G19767" s="2">
        <v>98</v>
      </c>
      <c r="H19767" s="2">
        <v>335</v>
      </c>
      <c r="I19767" s="2">
        <v>222</v>
      </c>
      <c r="J19767" s="2">
        <v>1226</v>
      </c>
      <c r="K19767" s="2">
        <v>1</v>
      </c>
      <c r="L19767" s="2">
        <v>334</v>
      </c>
    </row>
    <row r="19768" spans="1:12" x14ac:dyDescent="0.25">
      <c r="A19768" s="4" t="str">
        <f>HYPERLINK("http://www.rosaceae.org/Prunus/Prunus_persica/p.persica_gdr_reftransV1_0028758","p.persica_gdr_reftransV1_0028758")</f>
        <v>p.persica_gdr_reftransV1_0028758</v>
      </c>
      <c r="B19768" s="2">
        <v>2886</v>
      </c>
      <c r="C19768" s="4" t="str">
        <f>HYPERLINK("http://www.uniprot.org/uniprot/M5XEN0","M5XEN0")</f>
        <v>M5XEN0</v>
      </c>
      <c r="D19768" s="2" t="s">
        <v>15064</v>
      </c>
      <c r="E19768" s="3">
        <v>6.9100000000000001E-137</v>
      </c>
      <c r="F19768" s="2">
        <v>696</v>
      </c>
      <c r="G19768" s="2">
        <v>98</v>
      </c>
      <c r="H19768" s="2">
        <v>136</v>
      </c>
      <c r="I19768" s="2">
        <v>142</v>
      </c>
      <c r="J19768" s="2">
        <v>549</v>
      </c>
      <c r="K19768" s="2">
        <v>1</v>
      </c>
      <c r="L19768" s="2">
        <v>136</v>
      </c>
    </row>
    <row r="19769" spans="1:12" x14ac:dyDescent="0.25">
      <c r="A19769" s="4" t="str">
        <f>HYPERLINK("http://www.rosaceae.org/Prunus/Prunus_persica/p.persica_gdr_reftransV1_0030508","p.persica_gdr_reftransV1_0030508")</f>
        <v>p.persica_gdr_reftransV1_0030508</v>
      </c>
      <c r="B19769" s="2">
        <v>1784</v>
      </c>
      <c r="C19769" s="4" t="str">
        <f>HYPERLINK("http://www.uniprot.org/uniprot/M5XJN3","M5XJN3")</f>
        <v>M5XJN3</v>
      </c>
      <c r="D19769" s="2" t="s">
        <v>15065</v>
      </c>
      <c r="E19769" s="3">
        <v>0</v>
      </c>
      <c r="F19769" s="2">
        <v>2293</v>
      </c>
      <c r="G19769" s="2">
        <v>91</v>
      </c>
      <c r="H19769" s="2">
        <v>480</v>
      </c>
      <c r="I19769" s="2">
        <v>63</v>
      </c>
      <c r="J19769" s="2">
        <v>1502</v>
      </c>
      <c r="K19769" s="2">
        <v>1</v>
      </c>
      <c r="L19769" s="2">
        <v>438</v>
      </c>
    </row>
    <row r="19770" spans="1:12" x14ac:dyDescent="0.25">
      <c r="A19770" s="4" t="str">
        <f>HYPERLINK("http://www.rosaceae.org/Prunus/Prunus_persica/p.persica_gdr_reftransV1_0031908","p.persica_gdr_reftransV1_0031908")</f>
        <v>p.persica_gdr_reftransV1_0031908</v>
      </c>
      <c r="B19770" s="2">
        <v>318</v>
      </c>
      <c r="C19770" s="4" t="str">
        <f>HYPERLINK("http://www.uniprot.org/uniprot/M5XFS5","M5XFS5")</f>
        <v>M5XFS5</v>
      </c>
      <c r="D19770" s="2" t="s">
        <v>954</v>
      </c>
      <c r="E19770" s="3">
        <v>2.2900000000000001E-63</v>
      </c>
      <c r="F19770" s="2">
        <v>546</v>
      </c>
      <c r="G19770" s="2">
        <v>100</v>
      </c>
      <c r="H19770" s="2">
        <v>105</v>
      </c>
      <c r="I19770" s="2">
        <v>3</v>
      </c>
      <c r="J19770" s="2">
        <v>317</v>
      </c>
      <c r="K19770" s="2">
        <v>198</v>
      </c>
      <c r="L19770" s="2">
        <v>302</v>
      </c>
    </row>
    <row r="19771" spans="1:12" x14ac:dyDescent="0.25">
      <c r="A19771" s="4" t="str">
        <f>HYPERLINK("http://www.rosaceae.org/Prunus/Prunus_persica/p.persica_gdr_reftransV1_0032958","p.persica_gdr_reftransV1_0032958")</f>
        <v>p.persica_gdr_reftransV1_0032958</v>
      </c>
      <c r="B19771" s="2">
        <v>2339</v>
      </c>
      <c r="C19771" s="4" t="str">
        <f>HYPERLINK("http://www.uniprot.org/uniprot/M5XBW8","M5XBW8")</f>
        <v>M5XBW8</v>
      </c>
      <c r="D19771" s="2" t="s">
        <v>15066</v>
      </c>
      <c r="E19771" s="3">
        <v>0</v>
      </c>
      <c r="F19771" s="2">
        <v>1759</v>
      </c>
      <c r="G19771" s="2">
        <v>100</v>
      </c>
      <c r="H19771" s="2">
        <v>331</v>
      </c>
      <c r="I19771" s="2">
        <v>77</v>
      </c>
      <c r="J19771" s="2">
        <v>1069</v>
      </c>
      <c r="K19771" s="2">
        <v>1</v>
      </c>
      <c r="L19771" s="2">
        <v>331</v>
      </c>
    </row>
    <row r="19772" spans="1:12" x14ac:dyDescent="0.25">
      <c r="A19772" s="4" t="str">
        <f>HYPERLINK("http://www.rosaceae.org/Prunus/Prunus_persica/p.persica_gdr_reftransV1_0033658","p.persica_gdr_reftransV1_0033658")</f>
        <v>p.persica_gdr_reftransV1_0033658</v>
      </c>
      <c r="B19772" s="2">
        <v>4804</v>
      </c>
      <c r="C19772" s="4" t="str">
        <f>HYPERLINK("http://www.uniprot.org/uniprot/M5WXE1","M5WXE1")</f>
        <v>M5WXE1</v>
      </c>
      <c r="D19772" s="2" t="s">
        <v>15067</v>
      </c>
      <c r="E19772" s="3">
        <v>0</v>
      </c>
      <c r="F19772" s="2">
        <v>3758</v>
      </c>
      <c r="G19772" s="2">
        <v>100</v>
      </c>
      <c r="H19772" s="2">
        <v>716</v>
      </c>
      <c r="I19772" s="2">
        <v>1915</v>
      </c>
      <c r="J19772" s="2">
        <v>4062</v>
      </c>
      <c r="K19772" s="2">
        <v>1</v>
      </c>
      <c r="L19772" s="2">
        <v>716</v>
      </c>
    </row>
    <row r="19773" spans="1:12" x14ac:dyDescent="0.25">
      <c r="A19773" s="4" t="str">
        <f>HYPERLINK("http://www.rosaceae.org/Prunus/Prunus_persica/p.persica_gdr_reftransV1_0035058","p.persica_gdr_reftransV1_0035058")</f>
        <v>p.persica_gdr_reftransV1_0035058</v>
      </c>
      <c r="B19773" s="2">
        <v>3840</v>
      </c>
      <c r="C19773" s="4" t="str">
        <f>HYPERLINK("http://www.uniprot.org/uniprot/M5XKR7","M5XKR7")</f>
        <v>M5XKR7</v>
      </c>
      <c r="D19773" s="2" t="s">
        <v>15068</v>
      </c>
      <c r="E19773" s="3">
        <v>0</v>
      </c>
      <c r="F19773" s="2">
        <v>4366</v>
      </c>
      <c r="G19773" s="2">
        <v>95</v>
      </c>
      <c r="H19773" s="2">
        <v>924</v>
      </c>
      <c r="I19773" s="2">
        <v>564</v>
      </c>
      <c r="J19773" s="2">
        <v>3335</v>
      </c>
      <c r="K19773" s="2">
        <v>1</v>
      </c>
      <c r="L19773" s="2">
        <v>880</v>
      </c>
    </row>
    <row r="19774" spans="1:12" x14ac:dyDescent="0.25">
      <c r="A19774" s="4" t="str">
        <f>HYPERLINK("http://www.rosaceae.org/Prunus/Prunus_persica/p.persica_gdr_reftransV1_0035758","p.persica_gdr_reftransV1_0035758")</f>
        <v>p.persica_gdr_reftransV1_0035758</v>
      </c>
      <c r="B19774" s="2">
        <v>1809</v>
      </c>
      <c r="C19774" s="4" t="str">
        <f>HYPERLINK("http://www.uniprot.org/uniprot/M5VVC1","M5VVC1")</f>
        <v>M5VVC1</v>
      </c>
      <c r="D19774" s="2" t="s">
        <v>15069</v>
      </c>
      <c r="E19774" s="3">
        <v>0</v>
      </c>
      <c r="F19774" s="2">
        <v>1805</v>
      </c>
      <c r="G19774" s="2">
        <v>100</v>
      </c>
      <c r="H19774" s="2">
        <v>343</v>
      </c>
      <c r="I19774" s="2">
        <v>639</v>
      </c>
      <c r="J19774" s="2">
        <v>1667</v>
      </c>
      <c r="K19774" s="2">
        <v>1</v>
      </c>
      <c r="L19774" s="2">
        <v>343</v>
      </c>
    </row>
    <row r="19775" spans="1:12" x14ac:dyDescent="0.25">
      <c r="A19775" s="4" t="str">
        <f>HYPERLINK("http://www.rosaceae.org/Prunus/Prunus_persica/p.persica_gdr_reftransV1_0036458","p.persica_gdr_reftransV1_0036458")</f>
        <v>p.persica_gdr_reftransV1_0036458</v>
      </c>
      <c r="B19775" s="2">
        <v>620</v>
      </c>
      <c r="C19775" s="4" t="str">
        <f>HYPERLINK("http://www.uniprot.org/uniprot/M5VYU5","M5VYU5")</f>
        <v>M5VYU5</v>
      </c>
      <c r="D19775" s="2" t="s">
        <v>15070</v>
      </c>
      <c r="E19775" s="3">
        <v>7.6299999999999993E-43</v>
      </c>
      <c r="F19775" s="2">
        <v>377</v>
      </c>
      <c r="G19775" s="2">
        <v>100</v>
      </c>
      <c r="H19775" s="2">
        <v>72</v>
      </c>
      <c r="I19775" s="2">
        <v>94</v>
      </c>
      <c r="J19775" s="2">
        <v>309</v>
      </c>
      <c r="K19775" s="2">
        <v>1</v>
      </c>
      <c r="L19775" s="2">
        <v>72</v>
      </c>
    </row>
    <row r="19776" spans="1:12" x14ac:dyDescent="0.25">
      <c r="A19776" s="4" t="str">
        <f>HYPERLINK("http://www.rosaceae.org/Prunus/Prunus_persica/p.persica_gdr_reftransV1_0036808","p.persica_gdr_reftransV1_0036808")</f>
        <v>p.persica_gdr_reftransV1_0036808</v>
      </c>
      <c r="B19776" s="2">
        <v>936</v>
      </c>
      <c r="C19776" s="4" t="str">
        <f>HYPERLINK("http://www.uniprot.org/uniprot/M5WRA0","M5WRA0")</f>
        <v>M5WRA0</v>
      </c>
      <c r="D19776" s="2" t="s">
        <v>2147</v>
      </c>
      <c r="E19776" s="3">
        <v>4.8399999999999999E-142</v>
      </c>
      <c r="F19776" s="2">
        <v>1104</v>
      </c>
      <c r="G19776" s="2">
        <v>100</v>
      </c>
      <c r="H19776" s="2">
        <v>203</v>
      </c>
      <c r="I19776" s="2">
        <v>1</v>
      </c>
      <c r="J19776" s="2">
        <v>609</v>
      </c>
      <c r="K19776" s="2">
        <v>518</v>
      </c>
      <c r="L19776" s="2">
        <v>720</v>
      </c>
    </row>
    <row r="19777" spans="1:12" x14ac:dyDescent="0.25">
      <c r="A19777" s="4" t="str">
        <f>HYPERLINK("http://www.rosaceae.org/Prunus/Prunus_persica/p.persica_gdr_reftransV1_0038208","p.persica_gdr_reftransV1_0038208")</f>
        <v>p.persica_gdr_reftransV1_0038208</v>
      </c>
      <c r="B19777" s="2">
        <v>2043</v>
      </c>
      <c r="C19777" s="4" t="str">
        <f>HYPERLINK("http://www.uniprot.org/uniprot/M5XIK5","M5XIK5")</f>
        <v>M5XIK5</v>
      </c>
      <c r="D19777" s="2" t="s">
        <v>14539</v>
      </c>
      <c r="E19777" s="3">
        <v>8.8099999999999995E-36</v>
      </c>
      <c r="F19777" s="2">
        <v>354</v>
      </c>
      <c r="G19777" s="2">
        <v>100</v>
      </c>
      <c r="H19777" s="2">
        <v>86</v>
      </c>
      <c r="I19777" s="2">
        <v>1607</v>
      </c>
      <c r="J19777" s="2">
        <v>1864</v>
      </c>
      <c r="K19777" s="2">
        <v>1</v>
      </c>
      <c r="L19777" s="2">
        <v>86</v>
      </c>
    </row>
    <row r="19778" spans="1:12" x14ac:dyDescent="0.25">
      <c r="A19778" s="4" t="str">
        <f>HYPERLINK("http://www.rosaceae.org/Prunus/Prunus_persica/p.persica_gdr_reftransV1_0038908","p.persica_gdr_reftransV1_0038908")</f>
        <v>p.persica_gdr_reftransV1_0038908</v>
      </c>
      <c r="B19778" s="2">
        <v>1924</v>
      </c>
      <c r="C19778" s="4" t="str">
        <f>HYPERLINK("http://www.uniprot.org/uniprot/Q98VS3","Q98VS3")</f>
        <v>Q98VS3</v>
      </c>
      <c r="D19778" s="2" t="s">
        <v>15071</v>
      </c>
      <c r="E19778" s="3">
        <v>0</v>
      </c>
      <c r="F19778" s="2">
        <v>1438</v>
      </c>
      <c r="G19778" s="2">
        <v>99</v>
      </c>
      <c r="H19778" s="2">
        <v>270</v>
      </c>
      <c r="I19778" s="2">
        <v>156</v>
      </c>
      <c r="J19778" s="2">
        <v>965</v>
      </c>
      <c r="K19778" s="2">
        <v>1</v>
      </c>
      <c r="L19778" s="2">
        <v>270</v>
      </c>
    </row>
    <row r="19779" spans="1:12" x14ac:dyDescent="0.25">
      <c r="A19779" s="4" t="str">
        <f>HYPERLINK("http://www.rosaceae.org/Prunus/Prunus_persica/p.persica_gdr_reftransV1_0040308","p.persica_gdr_reftransV1_0040308")</f>
        <v>p.persica_gdr_reftransV1_0040308</v>
      </c>
      <c r="B19779" s="2">
        <v>2820</v>
      </c>
      <c r="C19779" s="4" t="str">
        <f>HYPERLINK("http://www.uniprot.org/uniprot/M5XDA3","M5XDA3")</f>
        <v>M5XDA3</v>
      </c>
      <c r="D19779" s="2" t="s">
        <v>5356</v>
      </c>
      <c r="E19779" s="3">
        <v>9.5999999999999998E-170</v>
      </c>
      <c r="F19779" s="2">
        <v>1303</v>
      </c>
      <c r="G19779" s="2">
        <v>100</v>
      </c>
      <c r="H19779" s="2">
        <v>248</v>
      </c>
      <c r="I19779" s="2">
        <v>1481</v>
      </c>
      <c r="J19779" s="2">
        <v>2224</v>
      </c>
      <c r="K19779" s="2">
        <v>1</v>
      </c>
      <c r="L19779" s="2">
        <v>248</v>
      </c>
    </row>
    <row r="19780" spans="1:12" x14ac:dyDescent="0.25">
      <c r="A19780" s="4" t="str">
        <f>HYPERLINK("http://www.rosaceae.org/Prunus/Prunus_persica/p.persica_gdr_reftransV1_0041008","p.persica_gdr_reftransV1_0041008")</f>
        <v>p.persica_gdr_reftransV1_0041008</v>
      </c>
      <c r="B19780" s="2">
        <v>1838</v>
      </c>
      <c r="C19780" s="4" t="str">
        <f>HYPERLINK("http://www.uniprot.org/uniprot/M5WJ04","M5WJ04")</f>
        <v>M5WJ04</v>
      </c>
      <c r="D19780" s="2" t="s">
        <v>1464</v>
      </c>
      <c r="E19780" s="3">
        <v>2.6800000000000002E-140</v>
      </c>
      <c r="F19780" s="2">
        <v>1086</v>
      </c>
      <c r="G19780" s="2">
        <v>93</v>
      </c>
      <c r="H19780" s="2">
        <v>228</v>
      </c>
      <c r="I19780" s="2">
        <v>837</v>
      </c>
      <c r="J19780" s="2">
        <v>1508</v>
      </c>
      <c r="K19780" s="2">
        <v>89</v>
      </c>
      <c r="L19780" s="2">
        <v>316</v>
      </c>
    </row>
    <row r="19781" spans="1:12" x14ac:dyDescent="0.25">
      <c r="A19781" s="4" t="str">
        <f>HYPERLINK("http://www.rosaceae.org/Prunus/Prunus_persica/p.persica_gdr_reftransV1_0043108","p.persica_gdr_reftransV1_0043108")</f>
        <v>p.persica_gdr_reftransV1_0043108</v>
      </c>
      <c r="B19781" s="2">
        <v>2287</v>
      </c>
      <c r="C19781" s="4" t="str">
        <f>HYPERLINK("http://www.uniprot.org/uniprot/M5WTB1","M5WTB1")</f>
        <v>M5WTB1</v>
      </c>
      <c r="D19781" s="2" t="s">
        <v>11272</v>
      </c>
      <c r="E19781" s="3">
        <v>0</v>
      </c>
      <c r="F19781" s="2">
        <v>2881</v>
      </c>
      <c r="G19781" s="2">
        <v>91</v>
      </c>
      <c r="H19781" s="2">
        <v>668</v>
      </c>
      <c r="I19781" s="2">
        <v>265</v>
      </c>
      <c r="J19781" s="2">
        <v>2256</v>
      </c>
      <c r="K19781" s="2">
        <v>238</v>
      </c>
      <c r="L19781" s="2">
        <v>904</v>
      </c>
    </row>
    <row r="19782" spans="1:12" x14ac:dyDescent="0.25">
      <c r="A19782" s="4" t="str">
        <f>HYPERLINK("http://www.rosaceae.org/Prunus/Prunus_persica/p.persica_gdr_reftransV1_0043458","p.persica_gdr_reftransV1_0043458")</f>
        <v>p.persica_gdr_reftransV1_0043458</v>
      </c>
      <c r="B19782" s="2">
        <v>1594</v>
      </c>
      <c r="C19782" s="4" t="str">
        <f>HYPERLINK("http://www.uniprot.org/uniprot/M5W1P3","M5W1P3")</f>
        <v>M5W1P3</v>
      </c>
      <c r="D19782" s="2" t="s">
        <v>6449</v>
      </c>
      <c r="E19782" s="3">
        <v>0</v>
      </c>
      <c r="F19782" s="2">
        <v>1323</v>
      </c>
      <c r="G19782" s="2">
        <v>100</v>
      </c>
      <c r="H19782" s="2">
        <v>250</v>
      </c>
      <c r="I19782" s="2">
        <v>1</v>
      </c>
      <c r="J19782" s="2">
        <v>750</v>
      </c>
      <c r="K19782" s="2">
        <v>288</v>
      </c>
      <c r="L19782" s="2">
        <v>537</v>
      </c>
    </row>
    <row r="19783" spans="1:12" x14ac:dyDescent="0.25">
      <c r="A19783" s="4" t="str">
        <f>HYPERLINK("http://www.rosaceae.org/Prunus/Prunus_persica/p.persica_gdr_reftransV1_0043808","p.persica_gdr_reftransV1_0043808")</f>
        <v>p.persica_gdr_reftransV1_0043808</v>
      </c>
      <c r="B19783" s="2">
        <v>1404</v>
      </c>
      <c r="C19783" s="4" t="str">
        <f>HYPERLINK("http://www.uniprot.org/uniprot/M5W9X3","M5W9X3")</f>
        <v>M5W9X3</v>
      </c>
      <c r="D19783" s="2" t="s">
        <v>15072</v>
      </c>
      <c r="E19783" s="3">
        <v>0</v>
      </c>
      <c r="F19783" s="2">
        <v>1517</v>
      </c>
      <c r="G19783" s="2">
        <v>100</v>
      </c>
      <c r="H19783" s="2">
        <v>292</v>
      </c>
      <c r="I19783" s="2">
        <v>440</v>
      </c>
      <c r="J19783" s="2">
        <v>1315</v>
      </c>
      <c r="K19783" s="2">
        <v>1</v>
      </c>
      <c r="L19783" s="2">
        <v>292</v>
      </c>
    </row>
    <row r="19784" spans="1:12" x14ac:dyDescent="0.25">
      <c r="A19784" s="4" t="str">
        <f>HYPERLINK("http://www.rosaceae.org/Prunus/Prunus_persica/p.persica_gdr_reftransV1_0044158","p.persica_gdr_reftransV1_0044158")</f>
        <v>p.persica_gdr_reftransV1_0044158</v>
      </c>
      <c r="B19784" s="2">
        <v>1415</v>
      </c>
      <c r="C19784" s="4" t="str">
        <f>HYPERLINK("http://www.uniprot.org/uniprot/M5XRC8","M5XRC8")</f>
        <v>M5XRC8</v>
      </c>
      <c r="D19784" s="2" t="s">
        <v>1474</v>
      </c>
      <c r="E19784" s="3">
        <v>0</v>
      </c>
      <c r="F19784" s="2">
        <v>1618</v>
      </c>
      <c r="G19784" s="2">
        <v>100</v>
      </c>
      <c r="H19784" s="2">
        <v>369</v>
      </c>
      <c r="I19784" s="2">
        <v>146</v>
      </c>
      <c r="J19784" s="2">
        <v>1252</v>
      </c>
      <c r="K19784" s="2">
        <v>1</v>
      </c>
      <c r="L19784" s="2">
        <v>369</v>
      </c>
    </row>
    <row r="19785" spans="1:12" x14ac:dyDescent="0.25">
      <c r="A19785" s="4" t="str">
        <f>HYPERLINK("http://www.rosaceae.org/Prunus/Prunus_persica/p.persica_gdr_reftransV1_0044508","p.persica_gdr_reftransV1_0044508")</f>
        <v>p.persica_gdr_reftransV1_0044508</v>
      </c>
      <c r="B19785" s="2">
        <v>2341</v>
      </c>
      <c r="C19785" s="4" t="str">
        <f>HYPERLINK("http://www.uniprot.org/uniprot/M5WDM6","M5WDM6")</f>
        <v>M5WDM6</v>
      </c>
      <c r="D19785" s="2" t="s">
        <v>15073</v>
      </c>
      <c r="E19785" s="3">
        <v>0</v>
      </c>
      <c r="F19785" s="2">
        <v>2490</v>
      </c>
      <c r="G19785" s="2">
        <v>100</v>
      </c>
      <c r="H19785" s="2">
        <v>465</v>
      </c>
      <c r="I19785" s="2">
        <v>554</v>
      </c>
      <c r="J19785" s="2">
        <v>1948</v>
      </c>
      <c r="K19785" s="2">
        <v>7</v>
      </c>
      <c r="L19785" s="2">
        <v>471</v>
      </c>
    </row>
    <row r="19786" spans="1:12" x14ac:dyDescent="0.25">
      <c r="A19786" s="4" t="str">
        <f>HYPERLINK("http://www.rosaceae.org/Prunus/Prunus_persica/p.persica_gdr_reftransV1_0045208","p.persica_gdr_reftransV1_0045208")</f>
        <v>p.persica_gdr_reftransV1_0045208</v>
      </c>
      <c r="B19786" s="2">
        <v>653</v>
      </c>
      <c r="C19786" s="4" t="str">
        <f>HYPERLINK("http://www.uniprot.org/uniprot/M5W9Y4","M5W9Y4")</f>
        <v>M5W9Y4</v>
      </c>
      <c r="D19786" s="2" t="s">
        <v>2070</v>
      </c>
      <c r="E19786" s="3">
        <v>8.6199999999999999E-71</v>
      </c>
      <c r="F19786" s="2">
        <v>587</v>
      </c>
      <c r="G19786" s="2">
        <v>100</v>
      </c>
      <c r="H19786" s="2">
        <v>134</v>
      </c>
      <c r="I19786" s="2">
        <v>209</v>
      </c>
      <c r="J19786" s="2">
        <v>610</v>
      </c>
      <c r="K19786" s="2">
        <v>1</v>
      </c>
      <c r="L19786" s="2">
        <v>134</v>
      </c>
    </row>
    <row r="19787" spans="1:12" x14ac:dyDescent="0.25">
      <c r="A19787" s="4" t="str">
        <f>HYPERLINK("http://www.rosaceae.org/Prunus/Prunus_persica/p.persica_gdr_reftransV1_0045558","p.persica_gdr_reftransV1_0045558")</f>
        <v>p.persica_gdr_reftransV1_0045558</v>
      </c>
      <c r="B19787" s="2">
        <v>1572</v>
      </c>
      <c r="C19787" s="4" t="str">
        <f>HYPERLINK("http://www.uniprot.org/uniprot/M5XBB3","M5XBB3")</f>
        <v>M5XBB3</v>
      </c>
      <c r="D19787" s="2" t="s">
        <v>10178</v>
      </c>
      <c r="E19787" s="3">
        <v>0</v>
      </c>
      <c r="F19787" s="2">
        <v>1376</v>
      </c>
      <c r="G19787" s="2">
        <v>100</v>
      </c>
      <c r="H19787" s="2">
        <v>282</v>
      </c>
      <c r="I19787" s="2">
        <v>228</v>
      </c>
      <c r="J19787" s="2">
        <v>1073</v>
      </c>
      <c r="K19787" s="2">
        <v>1</v>
      </c>
      <c r="L19787" s="2">
        <v>282</v>
      </c>
    </row>
    <row r="19788" spans="1:12" x14ac:dyDescent="0.25">
      <c r="A19788" s="4" t="str">
        <f>HYPERLINK("http://www.rosaceae.org/Prunus/Prunus_persica/p.persica_gdr_reftransV1_0046608","p.persica_gdr_reftransV1_0046608")</f>
        <v>p.persica_gdr_reftransV1_0046608</v>
      </c>
      <c r="B19788" s="2">
        <v>300</v>
      </c>
      <c r="C19788" s="4" t="str">
        <f>HYPERLINK("http://www.uniprot.org/uniprot/M5X555","M5X555")</f>
        <v>M5X555</v>
      </c>
      <c r="D19788" s="2" t="s">
        <v>15074</v>
      </c>
      <c r="E19788" s="3">
        <v>2.42E-33</v>
      </c>
      <c r="F19788" s="2">
        <v>307</v>
      </c>
      <c r="G19788" s="2">
        <v>71</v>
      </c>
      <c r="H19788" s="2">
        <v>101</v>
      </c>
      <c r="I19788" s="2">
        <v>1</v>
      </c>
      <c r="J19788" s="2">
        <v>300</v>
      </c>
      <c r="K19788" s="2">
        <v>11</v>
      </c>
      <c r="L19788" s="2">
        <v>111</v>
      </c>
    </row>
    <row r="19789" spans="1:12" x14ac:dyDescent="0.25">
      <c r="A19789" s="4" t="str">
        <f>HYPERLINK("http://www.rosaceae.org/Prunus/Prunus_persica/p.persica_gdr_reftransV1_0046958","p.persica_gdr_reftransV1_0046958")</f>
        <v>p.persica_gdr_reftransV1_0046958</v>
      </c>
      <c r="B19789" s="2">
        <v>1089</v>
      </c>
      <c r="C19789" s="4" t="str">
        <f>HYPERLINK("http://www.uniprot.org/uniprot/M5VP08","M5VP08")</f>
        <v>M5VP08</v>
      </c>
      <c r="D19789" s="2" t="s">
        <v>1324</v>
      </c>
      <c r="E19789" s="3">
        <v>0</v>
      </c>
      <c r="F19789" s="2">
        <v>1845</v>
      </c>
      <c r="G19789" s="2">
        <v>100</v>
      </c>
      <c r="H19789" s="2">
        <v>347</v>
      </c>
      <c r="I19789" s="2">
        <v>49</v>
      </c>
      <c r="J19789" s="2">
        <v>1089</v>
      </c>
      <c r="K19789" s="2">
        <v>152</v>
      </c>
      <c r="L19789" s="2">
        <v>498</v>
      </c>
    </row>
    <row r="19790" spans="1:12" x14ac:dyDescent="0.25">
      <c r="A19790" s="4" t="str">
        <f>HYPERLINK("http://www.rosaceae.org/Prunus/Prunus_persica/p.persica_gdr_reftransV1_0047658","p.persica_gdr_reftransV1_0047658")</f>
        <v>p.persica_gdr_reftransV1_0047658</v>
      </c>
      <c r="B19790" s="2">
        <v>418</v>
      </c>
      <c r="C19790" s="4" t="str">
        <f>HYPERLINK("http://www.uniprot.org/uniprot/M5WLN7","M5WLN7")</f>
        <v>M5WLN7</v>
      </c>
      <c r="D19790" s="2" t="s">
        <v>10461</v>
      </c>
      <c r="E19790" s="3">
        <v>2.1000000000000001E-78</v>
      </c>
      <c r="F19790" s="2">
        <v>652</v>
      </c>
      <c r="G19790" s="2">
        <v>100</v>
      </c>
      <c r="H19790" s="2">
        <v>139</v>
      </c>
      <c r="I19790" s="2">
        <v>1</v>
      </c>
      <c r="J19790" s="2">
        <v>417</v>
      </c>
      <c r="K19790" s="2">
        <v>314</v>
      </c>
      <c r="L19790" s="2">
        <v>452</v>
      </c>
    </row>
    <row r="19791" spans="1:12" x14ac:dyDescent="0.25">
      <c r="A19791" s="4" t="str">
        <f>HYPERLINK("http://www.rosaceae.org/Prunus/Prunus_persica/p.persica_gdr_reftransV1_0048008","p.persica_gdr_reftransV1_0048008")</f>
        <v>p.persica_gdr_reftransV1_0048008</v>
      </c>
      <c r="B19791" s="2">
        <v>384</v>
      </c>
      <c r="C19791" s="4" t="str">
        <f>HYPERLINK("http://www.uniprot.org/uniprot/A0A067LH73","A0A067LH73")</f>
        <v>A0A067LH73</v>
      </c>
      <c r="D19791" s="2" t="s">
        <v>15075</v>
      </c>
      <c r="E19791" s="3">
        <v>4.24E-60</v>
      </c>
      <c r="F19791" s="2">
        <v>507</v>
      </c>
      <c r="G19791" s="2">
        <v>82</v>
      </c>
      <c r="H19791" s="2">
        <v>114</v>
      </c>
      <c r="I19791" s="2">
        <v>1</v>
      </c>
      <c r="J19791" s="2">
        <v>342</v>
      </c>
      <c r="K19791" s="2">
        <v>20</v>
      </c>
      <c r="L19791" s="2">
        <v>133</v>
      </c>
    </row>
    <row r="19792" spans="1:12" x14ac:dyDescent="0.25">
      <c r="A19792" s="4" t="str">
        <f>HYPERLINK("http://www.rosaceae.org/Prunus/Prunus_persica/p.persica_gdr_reftransV1_0048358","p.persica_gdr_reftransV1_0048358")</f>
        <v>p.persica_gdr_reftransV1_0048358</v>
      </c>
      <c r="B19792" s="2">
        <v>1287</v>
      </c>
      <c r="C19792" s="4" t="str">
        <f>HYPERLINK("http://www.uniprot.org/uniprot/M5WL55","M5WL55")</f>
        <v>M5WL55</v>
      </c>
      <c r="D19792" s="2" t="s">
        <v>15076</v>
      </c>
      <c r="E19792" s="3">
        <v>0</v>
      </c>
      <c r="F19792" s="2">
        <v>1412</v>
      </c>
      <c r="G19792" s="2">
        <v>99</v>
      </c>
      <c r="H19792" s="2">
        <v>344</v>
      </c>
      <c r="I19792" s="2">
        <v>140</v>
      </c>
      <c r="J19792" s="2">
        <v>1171</v>
      </c>
      <c r="K19792" s="2">
        <v>1</v>
      </c>
      <c r="L19792" s="2">
        <v>344</v>
      </c>
    </row>
    <row r="19793" spans="1:12" x14ac:dyDescent="0.25">
      <c r="A19793" s="4" t="str">
        <f>HYPERLINK("http://www.rosaceae.org/Prunus/Prunus_persica/p.persica_gdr_reftransV1_0048708","p.persica_gdr_reftransV1_0048708")</f>
        <v>p.persica_gdr_reftransV1_0048708</v>
      </c>
      <c r="B19793" s="2">
        <v>1017</v>
      </c>
      <c r="C19793" s="4" t="str">
        <f>HYPERLINK("http://www.uniprot.org/uniprot/M5XDG2","M5XDG2")</f>
        <v>M5XDG2</v>
      </c>
      <c r="D19793" s="2" t="s">
        <v>3622</v>
      </c>
      <c r="E19793" s="3">
        <v>2.4400000000000002E-146</v>
      </c>
      <c r="F19793" s="2">
        <v>1090</v>
      </c>
      <c r="G19793" s="2">
        <v>100</v>
      </c>
      <c r="H19793" s="2">
        <v>205</v>
      </c>
      <c r="I19793" s="2">
        <v>1</v>
      </c>
      <c r="J19793" s="2">
        <v>615</v>
      </c>
      <c r="K19793" s="2">
        <v>20</v>
      </c>
      <c r="L19793" s="2">
        <v>224</v>
      </c>
    </row>
    <row r="19794" spans="1:12" x14ac:dyDescent="0.25">
      <c r="A19794" s="4" t="str">
        <f>HYPERLINK("http://www.rosaceae.org/Prunus/Prunus_persica/p.persica_gdr_reftransV1_0049058","p.persica_gdr_reftransV1_0049058")</f>
        <v>p.persica_gdr_reftransV1_0049058</v>
      </c>
      <c r="B19794" s="2">
        <v>1068</v>
      </c>
      <c r="C19794" s="4" t="str">
        <f>HYPERLINK("http://www.uniprot.org/uniprot/M5VYX9","M5VYX9")</f>
        <v>M5VYX9</v>
      </c>
      <c r="D19794" s="2" t="s">
        <v>13563</v>
      </c>
      <c r="E19794" s="3">
        <v>0</v>
      </c>
      <c r="F19794" s="2">
        <v>1595</v>
      </c>
      <c r="G19794" s="2">
        <v>100</v>
      </c>
      <c r="H19794" s="2">
        <v>297</v>
      </c>
      <c r="I19794" s="2">
        <v>176</v>
      </c>
      <c r="J19794" s="2">
        <v>1066</v>
      </c>
      <c r="K19794" s="2">
        <v>55</v>
      </c>
      <c r="L19794" s="2">
        <v>351</v>
      </c>
    </row>
    <row r="19795" spans="1:12" x14ac:dyDescent="0.25">
      <c r="A19795" s="4" t="str">
        <f>HYPERLINK("http://www.rosaceae.org/Prunus/Prunus_persica/p.persica_gdr_reftransV1_0000059","p.persica_gdr_reftransV1_0000059")</f>
        <v>p.persica_gdr_reftransV1_0000059</v>
      </c>
      <c r="B19795" s="2">
        <v>700</v>
      </c>
      <c r="C19795" s="4" t="str">
        <f>HYPERLINK("http://www.uniprot.org/uniprot/M5WX62","M5WX62")</f>
        <v>M5WX62</v>
      </c>
      <c r="D19795" s="2" t="s">
        <v>15077</v>
      </c>
      <c r="E19795" s="3">
        <v>6.5799999999999996E-52</v>
      </c>
      <c r="F19795" s="2">
        <v>444</v>
      </c>
      <c r="G19795" s="2">
        <v>100</v>
      </c>
      <c r="H19795" s="2">
        <v>117</v>
      </c>
      <c r="I19795" s="2">
        <v>218</v>
      </c>
      <c r="J19795" s="2">
        <v>568</v>
      </c>
      <c r="K19795" s="2">
        <v>1</v>
      </c>
      <c r="L19795" s="2">
        <v>117</v>
      </c>
    </row>
    <row r="19796" spans="1:12" x14ac:dyDescent="0.25">
      <c r="A19796" s="4" t="str">
        <f>HYPERLINK("http://www.rosaceae.org/Prunus/Prunus_persica/p.persica_gdr_reftransV1_0000409","p.persica_gdr_reftransV1_0000409")</f>
        <v>p.persica_gdr_reftransV1_0000409</v>
      </c>
      <c r="B19796" s="2">
        <v>1855</v>
      </c>
      <c r="C19796" s="4" t="str">
        <f>HYPERLINK("http://www.uniprot.org/uniprot/M5WJ27","M5WJ27")</f>
        <v>M5WJ27</v>
      </c>
      <c r="D19796" s="2" t="s">
        <v>112</v>
      </c>
      <c r="E19796" s="3">
        <v>0</v>
      </c>
      <c r="F19796" s="2">
        <v>1677</v>
      </c>
      <c r="G19796" s="2">
        <v>99</v>
      </c>
      <c r="H19796" s="2">
        <v>330</v>
      </c>
      <c r="I19796" s="2">
        <v>817</v>
      </c>
      <c r="J19796" s="2">
        <v>1806</v>
      </c>
      <c r="K19796" s="2">
        <v>25</v>
      </c>
      <c r="L19796" s="2">
        <v>354</v>
      </c>
    </row>
    <row r="19797" spans="1:12" x14ac:dyDescent="0.25">
      <c r="A19797" s="4" t="str">
        <f>HYPERLINK("http://www.rosaceae.org/Prunus/Prunus_persica/p.persica_gdr_reftransV1_0000759","p.persica_gdr_reftransV1_0000759")</f>
        <v>p.persica_gdr_reftransV1_0000759</v>
      </c>
      <c r="B19797" s="2">
        <v>742</v>
      </c>
      <c r="C19797" s="4" t="str">
        <f>HYPERLINK("http://www.uniprot.org/uniprot/M5XDG6","M5XDG6")</f>
        <v>M5XDG6</v>
      </c>
      <c r="D19797" s="2" t="s">
        <v>15078</v>
      </c>
      <c r="E19797" s="3">
        <v>3.59E-129</v>
      </c>
      <c r="F19797" s="2">
        <v>976</v>
      </c>
      <c r="G19797" s="2">
        <v>100</v>
      </c>
      <c r="H19797" s="2">
        <v>227</v>
      </c>
      <c r="I19797" s="2">
        <v>2</v>
      </c>
      <c r="J19797" s="2">
        <v>682</v>
      </c>
      <c r="K19797" s="2">
        <v>1</v>
      </c>
      <c r="L19797" s="2">
        <v>227</v>
      </c>
    </row>
    <row r="19798" spans="1:12" x14ac:dyDescent="0.25">
      <c r="A19798" s="4" t="str">
        <f>HYPERLINK("http://www.rosaceae.org/Prunus/Prunus_persica/p.persica_gdr_reftransV1_0001459","p.persica_gdr_reftransV1_0001459")</f>
        <v>p.persica_gdr_reftransV1_0001459</v>
      </c>
      <c r="B19798" s="2">
        <v>1051</v>
      </c>
      <c r="C19798" s="4" t="str">
        <f>HYPERLINK("http://www.uniprot.org/uniprot/M5WRE2","M5WRE2")</f>
        <v>M5WRE2</v>
      </c>
      <c r="D19798" s="2" t="s">
        <v>9353</v>
      </c>
      <c r="E19798" s="3">
        <v>8.8599999999999993E-53</v>
      </c>
      <c r="F19798" s="2">
        <v>459</v>
      </c>
      <c r="G19798" s="2">
        <v>100</v>
      </c>
      <c r="H19798" s="2">
        <v>107</v>
      </c>
      <c r="I19798" s="2">
        <v>335</v>
      </c>
      <c r="J19798" s="2">
        <v>655</v>
      </c>
      <c r="K19798" s="2">
        <v>1</v>
      </c>
      <c r="L19798" s="2">
        <v>107</v>
      </c>
    </row>
    <row r="19799" spans="1:12" x14ac:dyDescent="0.25">
      <c r="A19799" s="4" t="str">
        <f>HYPERLINK("http://www.rosaceae.org/Prunus/Prunus_persica/p.persica_gdr_reftransV1_0001809","p.persica_gdr_reftransV1_0001809")</f>
        <v>p.persica_gdr_reftransV1_0001809</v>
      </c>
      <c r="B19799" s="2">
        <v>2158</v>
      </c>
      <c r="C19799" s="4" t="str">
        <f>HYPERLINK("http://www.uniprot.org/uniprot/M5XM15","M5XM15")</f>
        <v>M5XM15</v>
      </c>
      <c r="D19799" s="2" t="s">
        <v>15079</v>
      </c>
      <c r="E19799" s="3">
        <v>0</v>
      </c>
      <c r="F19799" s="2">
        <v>2470</v>
      </c>
      <c r="G19799" s="2">
        <v>100</v>
      </c>
      <c r="H19799" s="2">
        <v>455</v>
      </c>
      <c r="I19799" s="2">
        <v>323</v>
      </c>
      <c r="J19799" s="2">
        <v>1687</v>
      </c>
      <c r="K19799" s="2">
        <v>1</v>
      </c>
      <c r="L19799" s="2">
        <v>455</v>
      </c>
    </row>
    <row r="19800" spans="1:12" x14ac:dyDescent="0.25">
      <c r="A19800" s="4" t="str">
        <f>HYPERLINK("http://www.rosaceae.org/Prunus/Prunus_persica/p.persica_gdr_reftransV1_0002159","p.persica_gdr_reftransV1_0002159")</f>
        <v>p.persica_gdr_reftransV1_0002159</v>
      </c>
      <c r="B19800" s="2">
        <v>394</v>
      </c>
      <c r="C19800" s="4" t="str">
        <f>HYPERLINK("http://www.uniprot.org/uniprot/M5WBF9","M5WBF9")</f>
        <v>M5WBF9</v>
      </c>
      <c r="D19800" s="2" t="s">
        <v>15080</v>
      </c>
      <c r="E19800" s="3">
        <v>3.1700000000000001E-84</v>
      </c>
      <c r="F19800" s="2">
        <v>669</v>
      </c>
      <c r="G19800" s="2">
        <v>100</v>
      </c>
      <c r="H19800" s="2">
        <v>131</v>
      </c>
      <c r="I19800" s="2">
        <v>1</v>
      </c>
      <c r="J19800" s="2">
        <v>393</v>
      </c>
      <c r="K19800" s="2">
        <v>211</v>
      </c>
      <c r="L19800" s="2">
        <v>341</v>
      </c>
    </row>
    <row r="19801" spans="1:12" x14ac:dyDescent="0.25">
      <c r="A19801" s="4" t="str">
        <f>HYPERLINK("http://www.rosaceae.org/Prunus/Prunus_persica/p.persica_gdr_reftransV1_0002509","p.persica_gdr_reftransV1_0002509")</f>
        <v>p.persica_gdr_reftransV1_0002509</v>
      </c>
      <c r="B19801" s="2">
        <v>2271</v>
      </c>
      <c r="C19801" s="4" t="str">
        <f>HYPERLINK("http://www.uniprot.org/uniprot/M5XNK2","M5XNK2")</f>
        <v>M5XNK2</v>
      </c>
      <c r="D19801" s="2" t="s">
        <v>15081</v>
      </c>
      <c r="E19801" s="3">
        <v>0</v>
      </c>
      <c r="F19801" s="2">
        <v>2874</v>
      </c>
      <c r="G19801" s="2">
        <v>100</v>
      </c>
      <c r="H19801" s="2">
        <v>566</v>
      </c>
      <c r="I19801" s="2">
        <v>455</v>
      </c>
      <c r="J19801" s="2">
        <v>2152</v>
      </c>
      <c r="K19801" s="2">
        <v>7</v>
      </c>
      <c r="L19801" s="2">
        <v>572</v>
      </c>
    </row>
    <row r="19802" spans="1:12" x14ac:dyDescent="0.25">
      <c r="A19802" s="4" t="str">
        <f>HYPERLINK("http://www.rosaceae.org/Prunus/Prunus_persica/p.persica_gdr_reftransV1_0002859","p.persica_gdr_reftransV1_0002859")</f>
        <v>p.persica_gdr_reftransV1_0002859</v>
      </c>
      <c r="B19802" s="2">
        <v>1899</v>
      </c>
      <c r="C19802" s="4" t="str">
        <f>HYPERLINK("http://www.uniprot.org/uniprot/W9RF96","W9RF96")</f>
        <v>W9RF96</v>
      </c>
      <c r="D19802" s="2" t="s">
        <v>13630</v>
      </c>
      <c r="E19802" s="3">
        <v>3.6799999999999998E-167</v>
      </c>
      <c r="F19802" s="2">
        <v>1271</v>
      </c>
      <c r="G19802" s="2">
        <v>75</v>
      </c>
      <c r="H19802" s="2">
        <v>367</v>
      </c>
      <c r="I19802" s="2">
        <v>350</v>
      </c>
      <c r="J19802" s="2">
        <v>1441</v>
      </c>
      <c r="K19802" s="2">
        <v>1</v>
      </c>
      <c r="L19802" s="2">
        <v>363</v>
      </c>
    </row>
    <row r="19803" spans="1:12" x14ac:dyDescent="0.25">
      <c r="A19803" s="4" t="str">
        <f>HYPERLINK("http://www.rosaceae.org/Prunus/Prunus_persica/p.persica_gdr_reftransV1_0003209","p.persica_gdr_reftransV1_0003209")</f>
        <v>p.persica_gdr_reftransV1_0003209</v>
      </c>
      <c r="B19803" s="2">
        <v>1158</v>
      </c>
      <c r="C19803" s="4" t="str">
        <f>HYPERLINK("http://www.uniprot.org/uniprot/W7N7R4","W7N7R4")</f>
        <v>W7N7R4</v>
      </c>
      <c r="D19803" s="2" t="s">
        <v>15082</v>
      </c>
      <c r="E19803" s="3">
        <v>5.5200000000000002E-168</v>
      </c>
      <c r="F19803" s="2">
        <v>1265</v>
      </c>
      <c r="G19803" s="2">
        <v>79</v>
      </c>
      <c r="H19803" s="2">
        <v>332</v>
      </c>
      <c r="I19803" s="2">
        <v>161</v>
      </c>
      <c r="J19803" s="2">
        <v>1156</v>
      </c>
      <c r="K19803" s="2">
        <v>5</v>
      </c>
      <c r="L19803" s="2">
        <v>336</v>
      </c>
    </row>
    <row r="19804" spans="1:12" x14ac:dyDescent="0.25">
      <c r="A19804" s="4" t="str">
        <f>HYPERLINK("http://www.rosaceae.org/Prunus/Prunus_persica/p.persica_gdr_reftransV1_0003559","p.persica_gdr_reftransV1_0003559")</f>
        <v>p.persica_gdr_reftransV1_0003559</v>
      </c>
      <c r="B19804" s="2">
        <v>436</v>
      </c>
      <c r="C19804" s="4" t="str">
        <f>HYPERLINK("http://www.uniprot.org/uniprot/M5XHK0","M5XHK0")</f>
        <v>M5XHK0</v>
      </c>
      <c r="D19804" s="2" t="s">
        <v>13735</v>
      </c>
      <c r="E19804" s="3">
        <v>2.0699999999999999E-75</v>
      </c>
      <c r="F19804" s="2">
        <v>644</v>
      </c>
      <c r="G19804" s="2">
        <v>88</v>
      </c>
      <c r="H19804" s="2">
        <v>145</v>
      </c>
      <c r="I19804" s="2">
        <v>2</v>
      </c>
      <c r="J19804" s="2">
        <v>436</v>
      </c>
      <c r="K19804" s="2">
        <v>296</v>
      </c>
      <c r="L19804" s="2">
        <v>422</v>
      </c>
    </row>
    <row r="19805" spans="1:12" x14ac:dyDescent="0.25">
      <c r="A19805" s="4" t="str">
        <f>HYPERLINK("http://www.rosaceae.org/Prunus/Prunus_persica/p.persica_gdr_reftransV1_0004609","p.persica_gdr_reftransV1_0004609")</f>
        <v>p.persica_gdr_reftransV1_0004609</v>
      </c>
      <c r="B19805" s="2">
        <v>2546</v>
      </c>
      <c r="C19805" s="4" t="str">
        <f>HYPERLINK("http://www.uniprot.org/uniprot/M5VKT7","M5VKT7")</f>
        <v>M5VKT7</v>
      </c>
      <c r="D19805" s="2" t="s">
        <v>6714</v>
      </c>
      <c r="E19805" s="3">
        <v>3.2500000000000001E-136</v>
      </c>
      <c r="F19805" s="2">
        <v>1075</v>
      </c>
      <c r="G19805" s="2">
        <v>100</v>
      </c>
      <c r="H19805" s="2">
        <v>286</v>
      </c>
      <c r="I19805" s="2">
        <v>134</v>
      </c>
      <c r="J19805" s="2">
        <v>991</v>
      </c>
      <c r="K19805" s="2">
        <v>1</v>
      </c>
      <c r="L19805" s="2">
        <v>286</v>
      </c>
    </row>
    <row r="19806" spans="1:12" x14ac:dyDescent="0.25">
      <c r="A19806" s="4" t="str">
        <f>HYPERLINK("http://www.rosaceae.org/Prunus/Prunus_persica/p.persica_gdr_reftransV1_0005309","p.persica_gdr_reftransV1_0005309")</f>
        <v>p.persica_gdr_reftransV1_0005309</v>
      </c>
      <c r="B19806" s="2">
        <v>1967</v>
      </c>
      <c r="C19806" s="4" t="str">
        <f>HYPERLINK("http://www.uniprot.org/uniprot/M5XS96","M5XS96")</f>
        <v>M5XS96</v>
      </c>
      <c r="D19806" s="2" t="s">
        <v>14239</v>
      </c>
      <c r="E19806" s="3">
        <v>1.75E-149</v>
      </c>
      <c r="F19806" s="2">
        <v>858</v>
      </c>
      <c r="G19806" s="2">
        <v>100</v>
      </c>
      <c r="H19806" s="2">
        <v>246</v>
      </c>
      <c r="I19806" s="2">
        <v>324</v>
      </c>
      <c r="J19806" s="2">
        <v>1061</v>
      </c>
      <c r="K19806" s="2">
        <v>132</v>
      </c>
      <c r="L19806" s="2">
        <v>377</v>
      </c>
    </row>
    <row r="19807" spans="1:12" x14ac:dyDescent="0.25">
      <c r="A19807" s="4" t="str">
        <f>HYPERLINK("http://www.rosaceae.org/Prunus/Prunus_persica/p.persica_gdr_reftransV1_0006359","p.persica_gdr_reftransV1_0006359")</f>
        <v>p.persica_gdr_reftransV1_0006359</v>
      </c>
      <c r="B19807" s="2">
        <v>3416</v>
      </c>
      <c r="C19807" s="4" t="str">
        <f>HYPERLINK("http://www.uniprot.org/uniprot/M5W673","M5W673")</f>
        <v>M5W673</v>
      </c>
      <c r="D19807" s="2" t="s">
        <v>15083</v>
      </c>
      <c r="E19807" s="3">
        <v>0</v>
      </c>
      <c r="F19807" s="2">
        <v>3037</v>
      </c>
      <c r="G19807" s="2">
        <v>100</v>
      </c>
      <c r="H19807" s="2">
        <v>685</v>
      </c>
      <c r="I19807" s="2">
        <v>1269</v>
      </c>
      <c r="J19807" s="2">
        <v>3323</v>
      </c>
      <c r="K19807" s="2">
        <v>1</v>
      </c>
      <c r="L19807" s="2">
        <v>685</v>
      </c>
    </row>
    <row r="19808" spans="1:12" x14ac:dyDescent="0.25">
      <c r="A19808" s="4" t="str">
        <f>HYPERLINK("http://www.rosaceae.org/Prunus/Prunus_persica/p.persica_gdr_reftransV1_0006709","p.persica_gdr_reftransV1_0006709")</f>
        <v>p.persica_gdr_reftransV1_0006709</v>
      </c>
      <c r="B19808" s="2">
        <v>1376</v>
      </c>
      <c r="C19808" s="4" t="str">
        <f>HYPERLINK("http://www.uniprot.org/uniprot/M5WIH9","M5WIH9")</f>
        <v>M5WIH9</v>
      </c>
      <c r="D19808" s="2" t="s">
        <v>15084</v>
      </c>
      <c r="E19808" s="3">
        <v>0</v>
      </c>
      <c r="F19808" s="2">
        <v>1707</v>
      </c>
      <c r="G19808" s="2">
        <v>100</v>
      </c>
      <c r="H19808" s="2">
        <v>361</v>
      </c>
      <c r="I19808" s="2">
        <v>71</v>
      </c>
      <c r="J19808" s="2">
        <v>1153</v>
      </c>
      <c r="K19808" s="2">
        <v>1</v>
      </c>
      <c r="L19808" s="2">
        <v>361</v>
      </c>
    </row>
    <row r="19809" spans="1:12" x14ac:dyDescent="0.25">
      <c r="A19809" s="4" t="str">
        <f>HYPERLINK("http://www.rosaceae.org/Prunus/Prunus_persica/p.persica_gdr_reftransV1_0007059","p.persica_gdr_reftransV1_0007059")</f>
        <v>p.persica_gdr_reftransV1_0007059</v>
      </c>
      <c r="B19809" s="2">
        <v>589</v>
      </c>
      <c r="C19809" s="4" t="str">
        <f>HYPERLINK("http://www.uniprot.org/uniprot/M5W6J7","M5W6J7")</f>
        <v>M5W6J7</v>
      </c>
      <c r="D19809" s="2" t="s">
        <v>15085</v>
      </c>
      <c r="E19809" s="3">
        <v>2.2299999999999998E-87</v>
      </c>
      <c r="F19809" s="2">
        <v>679</v>
      </c>
      <c r="G19809" s="2">
        <v>100</v>
      </c>
      <c r="H19809" s="2">
        <v>132</v>
      </c>
      <c r="I19809" s="2">
        <v>3</v>
      </c>
      <c r="J19809" s="2">
        <v>398</v>
      </c>
      <c r="K19809" s="2">
        <v>26</v>
      </c>
      <c r="L19809" s="2">
        <v>157</v>
      </c>
    </row>
    <row r="19810" spans="1:12" x14ac:dyDescent="0.25">
      <c r="A19810" s="4" t="str">
        <f>HYPERLINK("http://www.rosaceae.org/Prunus/Prunus_persica/p.persica_gdr_reftransV1_0007409","p.persica_gdr_reftransV1_0007409")</f>
        <v>p.persica_gdr_reftransV1_0007409</v>
      </c>
      <c r="B19810" s="2">
        <v>1295</v>
      </c>
      <c r="C19810" s="4" t="str">
        <f>HYPERLINK("http://www.uniprot.org/uniprot/M5XVG6","M5XVG6")</f>
        <v>M5XVG6</v>
      </c>
      <c r="D19810" s="2" t="s">
        <v>752</v>
      </c>
      <c r="E19810" s="3">
        <v>0</v>
      </c>
      <c r="F19810" s="2">
        <v>1839</v>
      </c>
      <c r="G19810" s="2">
        <v>100</v>
      </c>
      <c r="H19810" s="2">
        <v>359</v>
      </c>
      <c r="I19810" s="2">
        <v>60</v>
      </c>
      <c r="J19810" s="2">
        <v>1136</v>
      </c>
      <c r="K19810" s="2">
        <v>1</v>
      </c>
      <c r="L19810" s="2">
        <v>359</v>
      </c>
    </row>
    <row r="19811" spans="1:12" x14ac:dyDescent="0.25">
      <c r="A19811" s="4" t="str">
        <f>HYPERLINK("http://www.rosaceae.org/Prunus/Prunus_persica/p.persica_gdr_reftransV1_0008109","p.persica_gdr_reftransV1_0008109")</f>
        <v>p.persica_gdr_reftransV1_0008109</v>
      </c>
      <c r="B19811" s="2">
        <v>1088</v>
      </c>
      <c r="C19811" s="4" t="str">
        <f>HYPERLINK("http://www.uniprot.org/uniprot/M5X3K1","M5X3K1")</f>
        <v>M5X3K1</v>
      </c>
      <c r="D19811" s="2" t="s">
        <v>13098</v>
      </c>
      <c r="E19811" s="3">
        <v>5.0299999999999999E-169</v>
      </c>
      <c r="F19811" s="2">
        <v>1277</v>
      </c>
      <c r="G19811" s="2">
        <v>95</v>
      </c>
      <c r="H19811" s="2">
        <v>327</v>
      </c>
      <c r="I19811" s="2">
        <v>70</v>
      </c>
      <c r="J19811" s="2">
        <v>1050</v>
      </c>
      <c r="K19811" s="2">
        <v>91</v>
      </c>
      <c r="L19811" s="2">
        <v>413</v>
      </c>
    </row>
    <row r="19812" spans="1:12" x14ac:dyDescent="0.25">
      <c r="A19812" s="4" t="str">
        <f>HYPERLINK("http://www.rosaceae.org/Prunus/Prunus_persica/p.persica_gdr_reftransV1_0009509","p.persica_gdr_reftransV1_0009509")</f>
        <v>p.persica_gdr_reftransV1_0009509</v>
      </c>
      <c r="B19812" s="2">
        <v>1977</v>
      </c>
      <c r="C19812" s="4" t="str">
        <f>HYPERLINK("http://www.uniprot.org/uniprot/M5WVN9","M5WVN9")</f>
        <v>M5WVN9</v>
      </c>
      <c r="D19812" s="2" t="s">
        <v>12130</v>
      </c>
      <c r="E19812" s="3">
        <v>5.4500000000000004E-93</v>
      </c>
      <c r="F19812" s="2">
        <v>760</v>
      </c>
      <c r="G19812" s="2">
        <v>98</v>
      </c>
      <c r="H19812" s="2">
        <v>144</v>
      </c>
      <c r="I19812" s="2">
        <v>329</v>
      </c>
      <c r="J19812" s="2">
        <v>760</v>
      </c>
      <c r="K19812" s="2">
        <v>44</v>
      </c>
      <c r="L19812" s="2">
        <v>187</v>
      </c>
    </row>
    <row r="19813" spans="1:12" x14ac:dyDescent="0.25">
      <c r="A19813" s="4" t="str">
        <f>HYPERLINK("http://www.rosaceae.org/Prunus/Prunus_persica/p.persica_gdr_reftransV1_0011609","p.persica_gdr_reftransV1_0011609")</f>
        <v>p.persica_gdr_reftransV1_0011609</v>
      </c>
      <c r="B19813" s="2">
        <v>584</v>
      </c>
      <c r="C19813" s="4" t="str">
        <f>HYPERLINK("http://www.uniprot.org/uniprot/M5XLE1","M5XLE1")</f>
        <v>M5XLE1</v>
      </c>
      <c r="D19813" s="2" t="s">
        <v>15086</v>
      </c>
      <c r="E19813" s="3">
        <v>1.09E-21</v>
      </c>
      <c r="F19813" s="2">
        <v>233</v>
      </c>
      <c r="G19813" s="2">
        <v>100</v>
      </c>
      <c r="H19813" s="2">
        <v>68</v>
      </c>
      <c r="I19813" s="2">
        <v>117</v>
      </c>
      <c r="J19813" s="2">
        <v>320</v>
      </c>
      <c r="K19813" s="2">
        <v>1</v>
      </c>
      <c r="L19813" s="2">
        <v>68</v>
      </c>
    </row>
    <row r="19814" spans="1:12" x14ac:dyDescent="0.25">
      <c r="A19814" s="4" t="str">
        <f>HYPERLINK("http://www.rosaceae.org/Prunus/Prunus_persica/p.persica_gdr_reftransV1_0011959","p.persica_gdr_reftransV1_0011959")</f>
        <v>p.persica_gdr_reftransV1_0011959</v>
      </c>
      <c r="B19814" s="2">
        <v>860</v>
      </c>
      <c r="C19814" s="4" t="str">
        <f>HYPERLINK("http://www.uniprot.org/uniprot/M5XB13","M5XB13")</f>
        <v>M5XB13</v>
      </c>
      <c r="D19814" s="2" t="s">
        <v>3061</v>
      </c>
      <c r="E19814" s="3">
        <v>0</v>
      </c>
      <c r="F19814" s="2">
        <v>1547</v>
      </c>
      <c r="G19814" s="2">
        <v>100</v>
      </c>
      <c r="H19814" s="2">
        <v>286</v>
      </c>
      <c r="I19814" s="2">
        <v>2</v>
      </c>
      <c r="J19814" s="2">
        <v>859</v>
      </c>
      <c r="K19814" s="2">
        <v>2187</v>
      </c>
      <c r="L19814" s="2">
        <v>2472</v>
      </c>
    </row>
    <row r="19815" spans="1:12" x14ac:dyDescent="0.25">
      <c r="A19815" s="4" t="str">
        <f>HYPERLINK("http://www.rosaceae.org/Prunus/Prunus_persica/p.persica_gdr_reftransV1_0012659","p.persica_gdr_reftransV1_0012659")</f>
        <v>p.persica_gdr_reftransV1_0012659</v>
      </c>
      <c r="B19815" s="2">
        <v>538</v>
      </c>
      <c r="C19815" s="4" t="str">
        <f>HYPERLINK("http://www.uniprot.org/uniprot/M5WT82","M5WT82")</f>
        <v>M5WT82</v>
      </c>
      <c r="D19815" s="2" t="s">
        <v>1187</v>
      </c>
      <c r="E19815" s="3">
        <v>1.7200000000000001E-16</v>
      </c>
      <c r="F19815" s="2">
        <v>214</v>
      </c>
      <c r="G19815" s="2">
        <v>83</v>
      </c>
      <c r="H19815" s="2">
        <v>151</v>
      </c>
      <c r="I19815" s="2">
        <v>86</v>
      </c>
      <c r="J19815" s="2">
        <v>538</v>
      </c>
      <c r="K19815" s="2">
        <v>185</v>
      </c>
      <c r="L19815" s="2">
        <v>334</v>
      </c>
    </row>
    <row r="19816" spans="1:12" x14ac:dyDescent="0.25">
      <c r="A19816" s="4" t="str">
        <f>HYPERLINK("http://www.rosaceae.org/Prunus/Prunus_persica/p.persica_gdr_reftransV1_0013009","p.persica_gdr_reftransV1_0013009")</f>
        <v>p.persica_gdr_reftransV1_0013009</v>
      </c>
      <c r="B19816" s="2">
        <v>1859</v>
      </c>
      <c r="C19816" s="4" t="str">
        <f>HYPERLINK("http://www.uniprot.org/uniprot/M5WNP5","M5WNP5")</f>
        <v>M5WNP5</v>
      </c>
      <c r="D19816" s="2" t="s">
        <v>7762</v>
      </c>
      <c r="E19816" s="3">
        <v>1.3E-168</v>
      </c>
      <c r="F19816" s="2">
        <v>1332</v>
      </c>
      <c r="G19816" s="2">
        <v>99</v>
      </c>
      <c r="H19816" s="2">
        <v>406</v>
      </c>
      <c r="I19816" s="2">
        <v>41</v>
      </c>
      <c r="J19816" s="2">
        <v>1246</v>
      </c>
      <c r="K19816" s="2">
        <v>1</v>
      </c>
      <c r="L19816" s="2">
        <v>406</v>
      </c>
    </row>
    <row r="19817" spans="1:12" x14ac:dyDescent="0.25">
      <c r="A19817" s="4" t="str">
        <f>HYPERLINK("http://www.rosaceae.org/Prunus/Prunus_persica/p.persica_gdr_reftransV1_0014059","p.persica_gdr_reftransV1_0014059")</f>
        <v>p.persica_gdr_reftransV1_0014059</v>
      </c>
      <c r="B19817" s="2">
        <v>1895</v>
      </c>
      <c r="C19817" s="4" t="str">
        <f>HYPERLINK("http://www.uniprot.org/uniprot/M5VMQ6","M5VMQ6")</f>
        <v>M5VMQ6</v>
      </c>
      <c r="D19817" s="2" t="s">
        <v>5395</v>
      </c>
      <c r="E19817" s="3">
        <v>0</v>
      </c>
      <c r="F19817" s="2">
        <v>1592</v>
      </c>
      <c r="G19817" s="2">
        <v>100</v>
      </c>
      <c r="H19817" s="2">
        <v>325</v>
      </c>
      <c r="I19817" s="2">
        <v>382</v>
      </c>
      <c r="J19817" s="2">
        <v>1356</v>
      </c>
      <c r="K19817" s="2">
        <v>1</v>
      </c>
      <c r="L19817" s="2">
        <v>325</v>
      </c>
    </row>
    <row r="19818" spans="1:12" x14ac:dyDescent="0.25">
      <c r="A19818" s="4" t="str">
        <f>HYPERLINK("http://www.rosaceae.org/Prunus/Prunus_persica/p.persica_gdr_reftransV1_0014409","p.persica_gdr_reftransV1_0014409")</f>
        <v>p.persica_gdr_reftransV1_0014409</v>
      </c>
      <c r="B19818" s="2">
        <v>1317</v>
      </c>
      <c r="C19818" s="4" t="str">
        <f>HYPERLINK("http://www.uniprot.org/uniprot/M5X043","M5X043")</f>
        <v>M5X043</v>
      </c>
      <c r="D19818" s="2" t="s">
        <v>15087</v>
      </c>
      <c r="E19818" s="3">
        <v>4.5900000000000001E-156</v>
      </c>
      <c r="F19818" s="2">
        <v>1166</v>
      </c>
      <c r="G19818" s="2">
        <v>100</v>
      </c>
      <c r="H19818" s="2">
        <v>220</v>
      </c>
      <c r="I19818" s="2">
        <v>429</v>
      </c>
      <c r="J19818" s="2">
        <v>1088</v>
      </c>
      <c r="K19818" s="2">
        <v>1</v>
      </c>
      <c r="L19818" s="2">
        <v>220</v>
      </c>
    </row>
    <row r="19819" spans="1:12" x14ac:dyDescent="0.25">
      <c r="A19819" s="4" t="str">
        <f>HYPERLINK("http://www.rosaceae.org/Prunus/Prunus_persica/p.persica_gdr_reftransV1_0014759","p.persica_gdr_reftransV1_0014759")</f>
        <v>p.persica_gdr_reftransV1_0014759</v>
      </c>
      <c r="B19819" s="2">
        <v>1038</v>
      </c>
      <c r="C19819" s="4" t="str">
        <f>HYPERLINK("http://www.uniprot.org/uniprot/M5X6N4","M5X6N4")</f>
        <v>M5X6N4</v>
      </c>
      <c r="D19819" s="2" t="s">
        <v>2728</v>
      </c>
      <c r="E19819" s="3">
        <v>1.03E-124</v>
      </c>
      <c r="F19819" s="2">
        <v>944</v>
      </c>
      <c r="G19819" s="2">
        <v>87</v>
      </c>
      <c r="H19819" s="2">
        <v>215</v>
      </c>
      <c r="I19819" s="2">
        <v>143</v>
      </c>
      <c r="J19819" s="2">
        <v>787</v>
      </c>
      <c r="K19819" s="2">
        <v>1</v>
      </c>
      <c r="L19819" s="2">
        <v>190</v>
      </c>
    </row>
    <row r="19820" spans="1:12" x14ac:dyDescent="0.25">
      <c r="A19820" s="4" t="str">
        <f>HYPERLINK("http://www.rosaceae.org/Prunus/Prunus_persica/p.persica_gdr_reftransV1_0016159","p.persica_gdr_reftransV1_0016159")</f>
        <v>p.persica_gdr_reftransV1_0016159</v>
      </c>
      <c r="B19820" s="2">
        <v>2703</v>
      </c>
      <c r="C19820" s="4" t="str">
        <f>HYPERLINK("http://www.uniprot.org/uniprot/M5XC81","M5XC81")</f>
        <v>M5XC81</v>
      </c>
      <c r="D19820" s="2" t="s">
        <v>12522</v>
      </c>
      <c r="E19820" s="3">
        <v>2.3200000000000001E-103</v>
      </c>
      <c r="F19820" s="2">
        <v>866</v>
      </c>
      <c r="G19820" s="2">
        <v>99</v>
      </c>
      <c r="H19820" s="2">
        <v>192</v>
      </c>
      <c r="I19820" s="2">
        <v>1029</v>
      </c>
      <c r="J19820" s="2">
        <v>1604</v>
      </c>
      <c r="K19820" s="2">
        <v>87</v>
      </c>
      <c r="L19820" s="2">
        <v>278</v>
      </c>
    </row>
    <row r="19821" spans="1:12" x14ac:dyDescent="0.25">
      <c r="A19821" s="4" t="str">
        <f>HYPERLINK("http://www.rosaceae.org/Prunus/Prunus_persica/p.persica_gdr_reftransV1_0017209","p.persica_gdr_reftransV1_0017209")</f>
        <v>p.persica_gdr_reftransV1_0017209</v>
      </c>
      <c r="B19821" s="2">
        <v>1496</v>
      </c>
      <c r="C19821" s="4" t="str">
        <f>HYPERLINK("http://www.uniprot.org/uniprot/M5W6X8","M5W6X8")</f>
        <v>M5W6X8</v>
      </c>
      <c r="D19821" s="2" t="s">
        <v>15088</v>
      </c>
      <c r="E19821" s="3">
        <v>0</v>
      </c>
      <c r="F19821" s="2">
        <v>1672</v>
      </c>
      <c r="G19821" s="2">
        <v>100</v>
      </c>
      <c r="H19821" s="2">
        <v>311</v>
      </c>
      <c r="I19821" s="2">
        <v>144</v>
      </c>
      <c r="J19821" s="2">
        <v>1076</v>
      </c>
      <c r="K19821" s="2">
        <v>30</v>
      </c>
      <c r="L19821" s="2">
        <v>340</v>
      </c>
    </row>
    <row r="19822" spans="1:12" x14ac:dyDescent="0.25">
      <c r="A19822" s="4" t="str">
        <f>HYPERLINK("http://www.rosaceae.org/Prunus/Prunus_persica/p.persica_gdr_reftransV1_0017559","p.persica_gdr_reftransV1_0017559")</f>
        <v>p.persica_gdr_reftransV1_0017559</v>
      </c>
      <c r="B19822" s="2">
        <v>1376</v>
      </c>
      <c r="C19822" s="4" t="str">
        <f>HYPERLINK("http://www.uniprot.org/uniprot/M5WQW7","M5WQW7")</f>
        <v>M5WQW7</v>
      </c>
      <c r="D19822" s="2" t="s">
        <v>15089</v>
      </c>
      <c r="E19822" s="3">
        <v>0</v>
      </c>
      <c r="F19822" s="2">
        <v>1839</v>
      </c>
      <c r="G19822" s="2">
        <v>98</v>
      </c>
      <c r="H19822" s="2">
        <v>360</v>
      </c>
      <c r="I19822" s="2">
        <v>295</v>
      </c>
      <c r="J19822" s="2">
        <v>1374</v>
      </c>
      <c r="K19822" s="2">
        <v>332</v>
      </c>
      <c r="L19822" s="2">
        <v>691</v>
      </c>
    </row>
    <row r="19823" spans="1:12" x14ac:dyDescent="0.25">
      <c r="A19823" s="4" t="str">
        <f>HYPERLINK("http://www.rosaceae.org/Prunus/Prunus_persica/p.persica_gdr_reftransV1_0018609","p.persica_gdr_reftransV1_0018609")</f>
        <v>p.persica_gdr_reftransV1_0018609</v>
      </c>
      <c r="B19823" s="2">
        <v>2644</v>
      </c>
      <c r="C19823" s="4" t="str">
        <f>HYPERLINK("http://www.uniprot.org/uniprot/M5VXG9","M5VXG9")</f>
        <v>M5VXG9</v>
      </c>
      <c r="D19823" s="2" t="s">
        <v>15090</v>
      </c>
      <c r="E19823" s="3">
        <v>0</v>
      </c>
      <c r="F19823" s="2">
        <v>3160</v>
      </c>
      <c r="G19823" s="2">
        <v>99</v>
      </c>
      <c r="H19823" s="2">
        <v>609</v>
      </c>
      <c r="I19823" s="2">
        <v>307</v>
      </c>
      <c r="J19823" s="2">
        <v>2133</v>
      </c>
      <c r="K19823" s="2">
        <v>1</v>
      </c>
      <c r="L19823" s="2">
        <v>604</v>
      </c>
    </row>
    <row r="19824" spans="1:12" x14ac:dyDescent="0.25">
      <c r="A19824" s="4" t="str">
        <f>HYPERLINK("http://www.rosaceae.org/Prunus/Prunus_persica/p.persica_gdr_reftransV1_0020359","p.persica_gdr_reftransV1_0020359")</f>
        <v>p.persica_gdr_reftransV1_0020359</v>
      </c>
      <c r="B19824" s="2">
        <v>1547</v>
      </c>
      <c r="C19824" s="4" t="str">
        <f>HYPERLINK("http://www.uniprot.org/uniprot/M5WUE5","M5WUE5")</f>
        <v>M5WUE5</v>
      </c>
      <c r="D19824" s="2" t="s">
        <v>15091</v>
      </c>
      <c r="E19824" s="3">
        <v>0</v>
      </c>
      <c r="F19824" s="2">
        <v>1644</v>
      </c>
      <c r="G19824" s="2">
        <v>100</v>
      </c>
      <c r="H19824" s="2">
        <v>330</v>
      </c>
      <c r="I19824" s="2">
        <v>329</v>
      </c>
      <c r="J19824" s="2">
        <v>1318</v>
      </c>
      <c r="K19824" s="2">
        <v>1</v>
      </c>
      <c r="L19824" s="2">
        <v>330</v>
      </c>
    </row>
    <row r="19825" spans="1:12" x14ac:dyDescent="0.25">
      <c r="A19825" s="4" t="str">
        <f>HYPERLINK("http://www.rosaceae.org/Prunus/Prunus_persica/p.persica_gdr_reftransV1_0021059","p.persica_gdr_reftransV1_0021059")</f>
        <v>p.persica_gdr_reftransV1_0021059</v>
      </c>
      <c r="B19825" s="2">
        <v>2532</v>
      </c>
      <c r="C19825" s="4" t="str">
        <f>HYPERLINK("http://www.uniprot.org/uniprot/M5XP72","M5XP72")</f>
        <v>M5XP72</v>
      </c>
      <c r="D19825" s="2" t="s">
        <v>15092</v>
      </c>
      <c r="E19825" s="3">
        <v>6.9200000000000004E-127</v>
      </c>
      <c r="F19825" s="2">
        <v>1031</v>
      </c>
      <c r="G19825" s="2">
        <v>92</v>
      </c>
      <c r="H19825" s="2">
        <v>286</v>
      </c>
      <c r="I19825" s="2">
        <v>71</v>
      </c>
      <c r="J19825" s="2">
        <v>928</v>
      </c>
      <c r="K19825" s="2">
        <v>1</v>
      </c>
      <c r="L19825" s="2">
        <v>276</v>
      </c>
    </row>
    <row r="19826" spans="1:12" x14ac:dyDescent="0.25">
      <c r="A19826" s="4" t="str">
        <f>HYPERLINK("http://www.rosaceae.org/Prunus/Prunus_persica/p.persica_gdr_reftransV1_0021409","p.persica_gdr_reftransV1_0021409")</f>
        <v>p.persica_gdr_reftransV1_0021409</v>
      </c>
      <c r="B19826" s="2">
        <v>1945</v>
      </c>
      <c r="C19826" s="4" t="str">
        <f>HYPERLINK("http://www.uniprot.org/uniprot/M5WIM8","M5WIM8")</f>
        <v>M5WIM8</v>
      </c>
      <c r="D19826" s="2" t="s">
        <v>15093</v>
      </c>
      <c r="E19826" s="3">
        <v>5.9199999999999997E-84</v>
      </c>
      <c r="F19826" s="2">
        <v>704</v>
      </c>
      <c r="G19826" s="2">
        <v>98</v>
      </c>
      <c r="H19826" s="2">
        <v>176</v>
      </c>
      <c r="I19826" s="2">
        <v>1270</v>
      </c>
      <c r="J19826" s="2">
        <v>1797</v>
      </c>
      <c r="K19826" s="2">
        <v>1</v>
      </c>
      <c r="L19826" s="2">
        <v>176</v>
      </c>
    </row>
    <row r="19827" spans="1:12" x14ac:dyDescent="0.25">
      <c r="A19827" s="4" t="str">
        <f>HYPERLINK("http://www.rosaceae.org/Prunus/Prunus_persica/p.persica_gdr_reftransV1_0021759","p.persica_gdr_reftransV1_0021759")</f>
        <v>p.persica_gdr_reftransV1_0021759</v>
      </c>
      <c r="B19827" s="2">
        <v>2801</v>
      </c>
      <c r="C19827" s="4" t="str">
        <f>HYPERLINK("http://www.uniprot.org/uniprot/M5XJZ4","M5XJZ4")</f>
        <v>M5XJZ4</v>
      </c>
      <c r="D19827" s="2" t="s">
        <v>15094</v>
      </c>
      <c r="E19827" s="3">
        <v>0</v>
      </c>
      <c r="F19827" s="2">
        <v>3417</v>
      </c>
      <c r="G19827" s="2">
        <v>100</v>
      </c>
      <c r="H19827" s="2">
        <v>649</v>
      </c>
      <c r="I19827" s="2">
        <v>1</v>
      </c>
      <c r="J19827" s="2">
        <v>1947</v>
      </c>
      <c r="K19827" s="2">
        <v>67</v>
      </c>
      <c r="L19827" s="2">
        <v>715</v>
      </c>
    </row>
    <row r="19828" spans="1:12" x14ac:dyDescent="0.25">
      <c r="A19828" s="4" t="str">
        <f>HYPERLINK("http://www.rosaceae.org/Prunus/Prunus_persica/p.persica_gdr_reftransV1_0022809","p.persica_gdr_reftransV1_0022809")</f>
        <v>p.persica_gdr_reftransV1_0022809</v>
      </c>
      <c r="B19828" s="2">
        <v>2615</v>
      </c>
      <c r="C19828" s="4" t="str">
        <f>HYPERLINK("http://www.uniprot.org/uniprot/M5W851","M5W851")</f>
        <v>M5W851</v>
      </c>
      <c r="D19828" s="2" t="s">
        <v>10154</v>
      </c>
      <c r="E19828" s="3">
        <v>5.6400000000000002E-118</v>
      </c>
      <c r="F19828" s="2">
        <v>991</v>
      </c>
      <c r="G19828" s="2">
        <v>100</v>
      </c>
      <c r="H19828" s="2">
        <v>287</v>
      </c>
      <c r="I19828" s="2">
        <v>1401</v>
      </c>
      <c r="J19828" s="2">
        <v>2261</v>
      </c>
      <c r="K19828" s="2">
        <v>400</v>
      </c>
      <c r="L19828" s="2">
        <v>686</v>
      </c>
    </row>
    <row r="19829" spans="1:12" x14ac:dyDescent="0.25">
      <c r="A19829" s="4" t="str">
        <f>HYPERLINK("http://www.rosaceae.org/Prunus/Prunus_persica/p.persica_gdr_reftransV1_0023509","p.persica_gdr_reftransV1_0023509")</f>
        <v>p.persica_gdr_reftransV1_0023509</v>
      </c>
      <c r="B19829" s="2">
        <v>677</v>
      </c>
      <c r="C19829" s="4" t="str">
        <f>HYPERLINK("http://www.uniprot.org/uniprot/M5X172","M5X172")</f>
        <v>M5X172</v>
      </c>
      <c r="D19829" s="2" t="s">
        <v>15095</v>
      </c>
      <c r="E19829" s="3">
        <v>3.33E-52</v>
      </c>
      <c r="F19829" s="2">
        <v>444</v>
      </c>
      <c r="G19829" s="2">
        <v>100</v>
      </c>
      <c r="H19829" s="2">
        <v>102</v>
      </c>
      <c r="I19829" s="2">
        <v>55</v>
      </c>
      <c r="J19829" s="2">
        <v>360</v>
      </c>
      <c r="K19829" s="2">
        <v>1</v>
      </c>
      <c r="L19829" s="2">
        <v>102</v>
      </c>
    </row>
    <row r="19830" spans="1:12" x14ac:dyDescent="0.25">
      <c r="A19830" s="4" t="str">
        <f>HYPERLINK("http://www.rosaceae.org/Prunus/Prunus_persica/p.persica_gdr_reftransV1_0026309","p.persica_gdr_reftransV1_0026309")</f>
        <v>p.persica_gdr_reftransV1_0026309</v>
      </c>
      <c r="B19830" s="2">
        <v>4244</v>
      </c>
      <c r="C19830" s="4" t="str">
        <f>HYPERLINK("http://www.uniprot.org/uniprot/M5X767","M5X767")</f>
        <v>M5X767</v>
      </c>
      <c r="D19830" s="2" t="s">
        <v>15096</v>
      </c>
      <c r="E19830" s="3">
        <v>0</v>
      </c>
      <c r="F19830" s="2">
        <v>3226</v>
      </c>
      <c r="G19830" s="2">
        <v>100</v>
      </c>
      <c r="H19830" s="2">
        <v>612</v>
      </c>
      <c r="I19830" s="2">
        <v>317</v>
      </c>
      <c r="J19830" s="2">
        <v>2152</v>
      </c>
      <c r="K19830" s="2">
        <v>453</v>
      </c>
      <c r="L19830" s="2">
        <v>1064</v>
      </c>
    </row>
    <row r="19831" spans="1:12" x14ac:dyDescent="0.25">
      <c r="A19831" s="4" t="str">
        <f>HYPERLINK("http://www.rosaceae.org/Prunus/Prunus_persica/p.persica_gdr_reftransV1_0026659","p.persica_gdr_reftransV1_0026659")</f>
        <v>p.persica_gdr_reftransV1_0026659</v>
      </c>
      <c r="B19831" s="2">
        <v>1336</v>
      </c>
      <c r="C19831" s="4" t="str">
        <f>HYPERLINK("http://www.uniprot.org/uniprot/M5WC23","M5WC23")</f>
        <v>M5WC23</v>
      </c>
      <c r="D19831" s="2" t="s">
        <v>15097</v>
      </c>
      <c r="E19831" s="3">
        <v>0</v>
      </c>
      <c r="F19831" s="2">
        <v>1538</v>
      </c>
      <c r="G19831" s="2">
        <v>99</v>
      </c>
      <c r="H19831" s="2">
        <v>328</v>
      </c>
      <c r="I19831" s="2">
        <v>124</v>
      </c>
      <c r="J19831" s="2">
        <v>1107</v>
      </c>
      <c r="K19831" s="2">
        <v>1</v>
      </c>
      <c r="L19831" s="2">
        <v>327</v>
      </c>
    </row>
    <row r="19832" spans="1:12" x14ac:dyDescent="0.25">
      <c r="A19832" s="4" t="str">
        <f>HYPERLINK("http://www.rosaceae.org/Prunus/Prunus_persica/p.persica_gdr_reftransV1_0027359","p.persica_gdr_reftransV1_0027359")</f>
        <v>p.persica_gdr_reftransV1_0027359</v>
      </c>
      <c r="B19832" s="2">
        <v>1409</v>
      </c>
      <c r="C19832" s="4" t="str">
        <f>HYPERLINK("http://www.uniprot.org/uniprot/M5WA75","M5WA75")</f>
        <v>M5WA75</v>
      </c>
      <c r="D19832" s="2" t="s">
        <v>15098</v>
      </c>
      <c r="E19832" s="3">
        <v>6.7800000000000004E-171</v>
      </c>
      <c r="F19832" s="2">
        <v>1267</v>
      </c>
      <c r="G19832" s="2">
        <v>100</v>
      </c>
      <c r="H19832" s="2">
        <v>239</v>
      </c>
      <c r="I19832" s="2">
        <v>624</v>
      </c>
      <c r="J19832" s="2">
        <v>1340</v>
      </c>
      <c r="K19832" s="2">
        <v>1</v>
      </c>
      <c r="L19832" s="2">
        <v>239</v>
      </c>
    </row>
    <row r="19833" spans="1:12" x14ac:dyDescent="0.25">
      <c r="A19833" s="4" t="str">
        <f>HYPERLINK("http://www.rosaceae.org/Prunus/Prunus_persica/p.persica_gdr_reftransV1_0028409","p.persica_gdr_reftransV1_0028409")</f>
        <v>p.persica_gdr_reftransV1_0028409</v>
      </c>
      <c r="B19833" s="2">
        <v>1178</v>
      </c>
      <c r="C19833" s="4" t="str">
        <f>HYPERLINK("http://www.uniprot.org/uniprot/M5XD82","M5XD82")</f>
        <v>M5XD82</v>
      </c>
      <c r="D19833" s="2" t="s">
        <v>15099</v>
      </c>
      <c r="E19833" s="3">
        <v>1.31E-169</v>
      </c>
      <c r="F19833" s="2">
        <v>1254</v>
      </c>
      <c r="G19833" s="2">
        <v>100</v>
      </c>
      <c r="H19833" s="2">
        <v>237</v>
      </c>
      <c r="I19833" s="2">
        <v>467</v>
      </c>
      <c r="J19833" s="2">
        <v>1177</v>
      </c>
      <c r="K19833" s="2">
        <v>25</v>
      </c>
      <c r="L19833" s="2">
        <v>261</v>
      </c>
    </row>
    <row r="19834" spans="1:12" x14ac:dyDescent="0.25">
      <c r="A19834" s="4" t="str">
        <f>HYPERLINK("http://www.rosaceae.org/Prunus/Prunus_persica/p.persica_gdr_reftransV1_0029109","p.persica_gdr_reftransV1_0029109")</f>
        <v>p.persica_gdr_reftransV1_0029109</v>
      </c>
      <c r="B19834" s="2">
        <v>1927</v>
      </c>
      <c r="C19834" s="4" t="str">
        <f>HYPERLINK("http://www.uniprot.org/uniprot/M5XZK5","M5XZK5")</f>
        <v>M5XZK5</v>
      </c>
      <c r="D19834" s="2" t="s">
        <v>69</v>
      </c>
      <c r="E19834" s="3">
        <v>2.5599999999999998E-63</v>
      </c>
      <c r="F19834" s="2">
        <v>549</v>
      </c>
      <c r="G19834" s="2">
        <v>95</v>
      </c>
      <c r="H19834" s="2">
        <v>105</v>
      </c>
      <c r="I19834" s="2">
        <v>472</v>
      </c>
      <c r="J19834" s="2">
        <v>786</v>
      </c>
      <c r="K19834" s="2">
        <v>3</v>
      </c>
      <c r="L19834" s="2">
        <v>107</v>
      </c>
    </row>
    <row r="19835" spans="1:12" x14ac:dyDescent="0.25">
      <c r="A19835" s="4" t="str">
        <f>HYPERLINK("http://www.rosaceae.org/Prunus/Prunus_persica/p.persica_gdr_reftransV1_0030859","p.persica_gdr_reftransV1_0030859")</f>
        <v>p.persica_gdr_reftransV1_0030859</v>
      </c>
      <c r="B19835" s="2">
        <v>1435</v>
      </c>
      <c r="C19835" s="4" t="str">
        <f>HYPERLINK("http://www.uniprot.org/uniprot/B9RC97","B9RC97")</f>
        <v>B9RC97</v>
      </c>
      <c r="D19835" s="2" t="s">
        <v>15100</v>
      </c>
      <c r="E19835" s="3">
        <v>7.8200000000000004E-103</v>
      </c>
      <c r="F19835" s="2">
        <v>826</v>
      </c>
      <c r="G19835" s="2">
        <v>85</v>
      </c>
      <c r="H19835" s="2">
        <v>191</v>
      </c>
      <c r="I19835" s="2">
        <v>71</v>
      </c>
      <c r="J19835" s="2">
        <v>643</v>
      </c>
      <c r="K19835" s="2">
        <v>1</v>
      </c>
      <c r="L19835" s="2">
        <v>190</v>
      </c>
    </row>
    <row r="19836" spans="1:12" x14ac:dyDescent="0.25">
      <c r="A19836" s="4" t="str">
        <f>HYPERLINK("http://www.rosaceae.org/Prunus/Prunus_persica/p.persica_gdr_reftransV1_0031909","p.persica_gdr_reftransV1_0031909")</f>
        <v>p.persica_gdr_reftransV1_0031909</v>
      </c>
      <c r="B19836" s="2">
        <v>511</v>
      </c>
      <c r="C19836" s="4" t="str">
        <f>HYPERLINK("http://www.uniprot.org/uniprot/M5WC22","M5WC22")</f>
        <v>M5WC22</v>
      </c>
      <c r="D19836" s="2" t="s">
        <v>12088</v>
      </c>
      <c r="E19836" s="3">
        <v>6.2299999999999998E-52</v>
      </c>
      <c r="F19836" s="2">
        <v>444</v>
      </c>
      <c r="G19836" s="2">
        <v>99</v>
      </c>
      <c r="H19836" s="2">
        <v>90</v>
      </c>
      <c r="I19836" s="2">
        <v>242</v>
      </c>
      <c r="J19836" s="2">
        <v>511</v>
      </c>
      <c r="K19836" s="2">
        <v>97</v>
      </c>
      <c r="L19836" s="2">
        <v>186</v>
      </c>
    </row>
    <row r="19837" spans="1:12" x14ac:dyDescent="0.25">
      <c r="A19837" s="4" t="str">
        <f>HYPERLINK("http://www.rosaceae.org/Prunus/Prunus_persica/p.persica_gdr_reftransV1_0033309","p.persica_gdr_reftransV1_0033309")</f>
        <v>p.persica_gdr_reftransV1_0033309</v>
      </c>
      <c r="B19837" s="2">
        <v>4131</v>
      </c>
      <c r="C19837" s="4" t="str">
        <f>HYPERLINK("http://www.uniprot.org/uniprot/M5XWT3","M5XWT3")</f>
        <v>M5XWT3</v>
      </c>
      <c r="D19837" s="2" t="s">
        <v>15101</v>
      </c>
      <c r="E19837" s="3">
        <v>0</v>
      </c>
      <c r="F19837" s="2">
        <v>2417</v>
      </c>
      <c r="G19837" s="2">
        <v>98</v>
      </c>
      <c r="H19837" s="2">
        <v>584</v>
      </c>
      <c r="I19837" s="2">
        <v>2197</v>
      </c>
      <c r="J19837" s="2">
        <v>3948</v>
      </c>
      <c r="K19837" s="2">
        <v>1</v>
      </c>
      <c r="L19837" s="2">
        <v>571</v>
      </c>
    </row>
    <row r="19838" spans="1:12" x14ac:dyDescent="0.25">
      <c r="A19838" s="4" t="str">
        <f>HYPERLINK("http://www.rosaceae.org/Prunus/Prunus_persica/p.persica_gdr_reftransV1_0034359","p.persica_gdr_reftransV1_0034359")</f>
        <v>p.persica_gdr_reftransV1_0034359</v>
      </c>
      <c r="B19838" s="2">
        <v>2139</v>
      </c>
      <c r="C19838" s="4" t="str">
        <f>HYPERLINK("http://www.uniprot.org/uniprot/M5W9A6","M5W9A6")</f>
        <v>M5W9A6</v>
      </c>
      <c r="D19838" s="2" t="s">
        <v>15102</v>
      </c>
      <c r="E19838" s="3">
        <v>6.1999999999999995E-163</v>
      </c>
      <c r="F19838" s="2">
        <v>1260</v>
      </c>
      <c r="G19838" s="2">
        <v>100</v>
      </c>
      <c r="H19838" s="2">
        <v>268</v>
      </c>
      <c r="I19838" s="2">
        <v>843</v>
      </c>
      <c r="J19838" s="2">
        <v>1646</v>
      </c>
      <c r="K19838" s="2">
        <v>1</v>
      </c>
      <c r="L19838" s="2">
        <v>268</v>
      </c>
    </row>
    <row r="19839" spans="1:12" x14ac:dyDescent="0.25">
      <c r="A19839" s="4" t="str">
        <f>HYPERLINK("http://www.rosaceae.org/Prunus/Prunus_persica/p.persica_gdr_reftransV1_0034709","p.persica_gdr_reftransV1_0034709")</f>
        <v>p.persica_gdr_reftransV1_0034709</v>
      </c>
      <c r="B19839" s="2">
        <v>939</v>
      </c>
      <c r="C19839" s="4" t="str">
        <f>HYPERLINK("http://www.uniprot.org/uniprot/M5X624","M5X624")</f>
        <v>M5X624</v>
      </c>
      <c r="D19839" s="2" t="s">
        <v>1422</v>
      </c>
      <c r="E19839" s="3">
        <v>1.01E-21</v>
      </c>
      <c r="F19839" s="2">
        <v>135</v>
      </c>
      <c r="G19839" s="2">
        <v>35</v>
      </c>
      <c r="H19839" s="2">
        <v>148</v>
      </c>
      <c r="I19839" s="2">
        <v>267</v>
      </c>
      <c r="J19839" s="2">
        <v>707</v>
      </c>
      <c r="K19839" s="2">
        <v>694</v>
      </c>
      <c r="L19839" s="2">
        <v>806</v>
      </c>
    </row>
    <row r="19840" spans="1:12" x14ac:dyDescent="0.25">
      <c r="A19840" s="4" t="str">
        <f>HYPERLINK("http://www.rosaceae.org/Prunus/Prunus_persica/p.persica_gdr_reftransV1_0036109","p.persica_gdr_reftransV1_0036109")</f>
        <v>p.persica_gdr_reftransV1_0036109</v>
      </c>
      <c r="B19840" s="2">
        <v>3353</v>
      </c>
      <c r="C19840" s="4" t="str">
        <f>HYPERLINK("http://www.uniprot.org/uniprot/V4SLC8","V4SLC8")</f>
        <v>V4SLC8</v>
      </c>
      <c r="D19840" s="2" t="s">
        <v>15103</v>
      </c>
      <c r="E19840" s="3">
        <v>2.0800000000000001E-60</v>
      </c>
      <c r="F19840" s="2">
        <v>560</v>
      </c>
      <c r="G19840" s="2">
        <v>99</v>
      </c>
      <c r="H19840" s="2">
        <v>109</v>
      </c>
      <c r="I19840" s="2">
        <v>1807</v>
      </c>
      <c r="J19840" s="2">
        <v>2133</v>
      </c>
      <c r="K19840" s="2">
        <v>195</v>
      </c>
      <c r="L19840" s="2">
        <v>303</v>
      </c>
    </row>
    <row r="19841" spans="1:12" x14ac:dyDescent="0.25">
      <c r="A19841" s="4" t="str">
        <f>HYPERLINK("http://www.rosaceae.org/Prunus/Prunus_persica/p.persica_gdr_reftransV1_0038559","p.persica_gdr_reftransV1_0038559")</f>
        <v>p.persica_gdr_reftransV1_0038559</v>
      </c>
      <c r="B19841" s="2">
        <v>1073</v>
      </c>
      <c r="C19841" s="4" t="str">
        <f>HYPERLINK("http://www.uniprot.org/uniprot/M5VS97","M5VS97")</f>
        <v>M5VS97</v>
      </c>
      <c r="D19841" s="2" t="s">
        <v>15104</v>
      </c>
      <c r="E19841" s="3">
        <v>2.0100000000000002E-80</v>
      </c>
      <c r="F19841" s="2">
        <v>649</v>
      </c>
      <c r="G19841" s="2">
        <v>77</v>
      </c>
      <c r="H19841" s="2">
        <v>202</v>
      </c>
      <c r="I19841" s="2">
        <v>150</v>
      </c>
      <c r="J19841" s="2">
        <v>755</v>
      </c>
      <c r="K19841" s="2">
        <v>1</v>
      </c>
      <c r="L19841" s="2">
        <v>157</v>
      </c>
    </row>
    <row r="19842" spans="1:12" x14ac:dyDescent="0.25">
      <c r="A19842" s="4" t="str">
        <f>HYPERLINK("http://www.rosaceae.org/Prunus/Prunus_persica/p.persica_gdr_reftransV1_0041709","p.persica_gdr_reftransV1_0041709")</f>
        <v>p.persica_gdr_reftransV1_0041709</v>
      </c>
      <c r="B19842" s="2">
        <v>1875</v>
      </c>
      <c r="C19842" s="4" t="str">
        <f>HYPERLINK("http://www.uniprot.org/uniprot/M5WN79","M5WN79")</f>
        <v>M5WN79</v>
      </c>
      <c r="D19842" s="2" t="s">
        <v>12348</v>
      </c>
      <c r="E19842" s="3">
        <v>1.2399999999999999E-72</v>
      </c>
      <c r="F19842" s="2">
        <v>624</v>
      </c>
      <c r="G19842" s="2">
        <v>100</v>
      </c>
      <c r="H19842" s="2">
        <v>118</v>
      </c>
      <c r="I19842" s="2">
        <v>117</v>
      </c>
      <c r="J19842" s="2">
        <v>470</v>
      </c>
      <c r="K19842" s="2">
        <v>120</v>
      </c>
      <c r="L19842" s="2">
        <v>237</v>
      </c>
    </row>
    <row r="19843" spans="1:12" x14ac:dyDescent="0.25">
      <c r="A19843" s="4" t="str">
        <f>HYPERLINK("http://www.rosaceae.org/Prunus/Prunus_persica/p.persica_gdr_reftransV1_0042759","p.persica_gdr_reftransV1_0042759")</f>
        <v>p.persica_gdr_reftransV1_0042759</v>
      </c>
      <c r="B19843" s="2">
        <v>6051</v>
      </c>
      <c r="C19843" s="4" t="str">
        <f>HYPERLINK("http://www.uniprot.org/uniprot/M5WME9","M5WME9")</f>
        <v>M5WME9</v>
      </c>
      <c r="D19843" s="2" t="s">
        <v>15105</v>
      </c>
      <c r="E19843" s="3">
        <v>0</v>
      </c>
      <c r="F19843" s="2">
        <v>1532</v>
      </c>
      <c r="G19843" s="2">
        <v>98</v>
      </c>
      <c r="H19843" s="2">
        <v>290</v>
      </c>
      <c r="I19843" s="2">
        <v>2031</v>
      </c>
      <c r="J19843" s="2">
        <v>2900</v>
      </c>
      <c r="K19843" s="2">
        <v>407</v>
      </c>
      <c r="L19843" s="2">
        <v>696</v>
      </c>
    </row>
    <row r="19844" spans="1:12" x14ac:dyDescent="0.25">
      <c r="A19844" s="4" t="str">
        <f>HYPERLINK("http://www.rosaceae.org/Prunus/Prunus_persica/p.persica_gdr_reftransV1_0043459","p.persica_gdr_reftransV1_0043459")</f>
        <v>p.persica_gdr_reftransV1_0043459</v>
      </c>
      <c r="B19844" s="2">
        <v>2071</v>
      </c>
      <c r="C19844" s="4" t="str">
        <f>HYPERLINK("http://www.uniprot.org/uniprot/M5WYP9","M5WYP9")</f>
        <v>M5WYP9</v>
      </c>
      <c r="D19844" s="2" t="s">
        <v>15106</v>
      </c>
      <c r="E19844" s="3">
        <v>0</v>
      </c>
      <c r="F19844" s="2">
        <v>2605</v>
      </c>
      <c r="G19844" s="2">
        <v>99</v>
      </c>
      <c r="H19844" s="2">
        <v>593</v>
      </c>
      <c r="I19844" s="2">
        <v>292</v>
      </c>
      <c r="J19844" s="2">
        <v>2070</v>
      </c>
      <c r="K19844" s="2">
        <v>243</v>
      </c>
      <c r="L19844" s="2">
        <v>835</v>
      </c>
    </row>
    <row r="19845" spans="1:12" x14ac:dyDescent="0.25">
      <c r="A19845" s="4" t="str">
        <f>HYPERLINK("http://www.rosaceae.org/Prunus/Prunus_persica/p.persica_gdr_reftransV1_0043809","p.persica_gdr_reftransV1_0043809")</f>
        <v>p.persica_gdr_reftransV1_0043809</v>
      </c>
      <c r="B19845" s="2">
        <v>1308</v>
      </c>
      <c r="C19845" s="4" t="str">
        <f>HYPERLINK("http://www.uniprot.org/uniprot/M5WGD4","M5WGD4")</f>
        <v>M5WGD4</v>
      </c>
      <c r="D19845" s="2" t="s">
        <v>15107</v>
      </c>
      <c r="E19845" s="3">
        <v>9.6899999999999995E-119</v>
      </c>
      <c r="F19845" s="2">
        <v>926</v>
      </c>
      <c r="G19845" s="2">
        <v>100</v>
      </c>
      <c r="H19845" s="2">
        <v>285</v>
      </c>
      <c r="I19845" s="2">
        <v>245</v>
      </c>
      <c r="J19845" s="2">
        <v>1099</v>
      </c>
      <c r="K19845" s="2">
        <v>28</v>
      </c>
      <c r="L19845" s="2">
        <v>312</v>
      </c>
    </row>
    <row r="19846" spans="1:12" x14ac:dyDescent="0.25">
      <c r="A19846" s="4" t="str">
        <f>HYPERLINK("http://www.rosaceae.org/Prunus/Prunus_persica/p.persica_gdr_reftransV1_0044159","p.persica_gdr_reftransV1_0044159")</f>
        <v>p.persica_gdr_reftransV1_0044159</v>
      </c>
      <c r="B19846" s="2">
        <v>320</v>
      </c>
      <c r="C19846" s="4" t="str">
        <f>HYPERLINK("http://www.uniprot.org/uniprot/M5WNJ6","M5WNJ6")</f>
        <v>M5WNJ6</v>
      </c>
      <c r="D19846" s="2" t="s">
        <v>1392</v>
      </c>
      <c r="E19846" s="3">
        <v>3.6800000000000001E-66</v>
      </c>
      <c r="F19846" s="2">
        <v>566</v>
      </c>
      <c r="G19846" s="2">
        <v>100</v>
      </c>
      <c r="H19846" s="2">
        <v>106</v>
      </c>
      <c r="I19846" s="2">
        <v>3</v>
      </c>
      <c r="J19846" s="2">
        <v>320</v>
      </c>
      <c r="K19846" s="2">
        <v>452</v>
      </c>
      <c r="L19846" s="2">
        <v>557</v>
      </c>
    </row>
    <row r="19847" spans="1:12" x14ac:dyDescent="0.25">
      <c r="A19847" s="4" t="str">
        <f>HYPERLINK("http://www.rosaceae.org/Prunus/Prunus_persica/p.persica_gdr_reftransV1_0044509","p.persica_gdr_reftransV1_0044509")</f>
        <v>p.persica_gdr_reftransV1_0044509</v>
      </c>
      <c r="B19847" s="2">
        <v>1008</v>
      </c>
      <c r="C19847" s="4" t="str">
        <f>HYPERLINK("http://www.uniprot.org/uniprot/F4SLL3","F4SLL3")</f>
        <v>F4SLL3</v>
      </c>
      <c r="D19847" s="2" t="s">
        <v>15108</v>
      </c>
      <c r="E19847" s="3">
        <v>0</v>
      </c>
      <c r="F19847" s="2">
        <v>1761</v>
      </c>
      <c r="G19847" s="2">
        <v>100</v>
      </c>
      <c r="H19847" s="2">
        <v>329</v>
      </c>
      <c r="I19847" s="2">
        <v>17</v>
      </c>
      <c r="J19847" s="2">
        <v>1003</v>
      </c>
      <c r="K19847" s="2">
        <v>16</v>
      </c>
      <c r="L19847" s="2">
        <v>344</v>
      </c>
    </row>
    <row r="19848" spans="1:12" x14ac:dyDescent="0.25">
      <c r="A19848" s="4" t="str">
        <f>HYPERLINK("http://www.rosaceae.org/Prunus/Prunus_persica/p.persica_gdr_reftransV1_0044859","p.persica_gdr_reftransV1_0044859")</f>
        <v>p.persica_gdr_reftransV1_0044859</v>
      </c>
      <c r="B19848" s="2">
        <v>1095</v>
      </c>
      <c r="C19848" s="4" t="str">
        <f>HYPERLINK("http://www.uniprot.org/uniprot/M5VWX1","M5VWX1")</f>
        <v>M5VWX1</v>
      </c>
      <c r="D19848" s="2" t="s">
        <v>15109</v>
      </c>
      <c r="E19848" s="3">
        <v>1.13E-169</v>
      </c>
      <c r="F19848" s="2">
        <v>1249</v>
      </c>
      <c r="G19848" s="2">
        <v>100</v>
      </c>
      <c r="H19848" s="2">
        <v>247</v>
      </c>
      <c r="I19848" s="2">
        <v>267</v>
      </c>
      <c r="J19848" s="2">
        <v>1007</v>
      </c>
      <c r="K19848" s="2">
        <v>1</v>
      </c>
      <c r="L19848" s="2">
        <v>247</v>
      </c>
    </row>
    <row r="19849" spans="1:12" x14ac:dyDescent="0.25">
      <c r="A19849" s="4" t="str">
        <f>HYPERLINK("http://www.rosaceae.org/Prunus/Prunus_persica/p.persica_gdr_reftransV1_0045209","p.persica_gdr_reftransV1_0045209")</f>
        <v>p.persica_gdr_reftransV1_0045209</v>
      </c>
      <c r="B19849" s="2">
        <v>485</v>
      </c>
      <c r="C19849" s="4" t="str">
        <f>HYPERLINK("http://www.uniprot.org/uniprot/M5VYH3","M5VYH3")</f>
        <v>M5VYH3</v>
      </c>
      <c r="D19849" s="2" t="s">
        <v>399</v>
      </c>
      <c r="E19849" s="3">
        <v>3.0300000000000001E-75</v>
      </c>
      <c r="F19849" s="2">
        <v>616</v>
      </c>
      <c r="G19849" s="2">
        <v>100</v>
      </c>
      <c r="H19849" s="2">
        <v>111</v>
      </c>
      <c r="I19849" s="2">
        <v>2</v>
      </c>
      <c r="J19849" s="2">
        <v>334</v>
      </c>
      <c r="K19849" s="2">
        <v>47</v>
      </c>
      <c r="L19849" s="2">
        <v>157</v>
      </c>
    </row>
    <row r="19850" spans="1:12" x14ac:dyDescent="0.25">
      <c r="A19850" s="4" t="str">
        <f>HYPERLINK("http://www.rosaceae.org/Prunus/Prunus_persica/p.persica_gdr_reftransV1_0045559","p.persica_gdr_reftransV1_0045559")</f>
        <v>p.persica_gdr_reftransV1_0045559</v>
      </c>
      <c r="B19850" s="2">
        <v>380</v>
      </c>
      <c r="C19850" s="4" t="str">
        <f>HYPERLINK("http://www.uniprot.org/uniprot/M5W659","M5W659")</f>
        <v>M5W659</v>
      </c>
      <c r="D19850" s="2" t="s">
        <v>15110</v>
      </c>
      <c r="E19850" s="3">
        <v>1.7300000000000001E-52</v>
      </c>
      <c r="F19850" s="2">
        <v>435</v>
      </c>
      <c r="G19850" s="2">
        <v>100</v>
      </c>
      <c r="H19850" s="2">
        <v>96</v>
      </c>
      <c r="I19850" s="2">
        <v>37</v>
      </c>
      <c r="J19850" s="2">
        <v>324</v>
      </c>
      <c r="K19850" s="2">
        <v>1</v>
      </c>
      <c r="L19850" s="2">
        <v>96</v>
      </c>
    </row>
    <row r="19851" spans="1:12" x14ac:dyDescent="0.25">
      <c r="A19851" s="4" t="str">
        <f>HYPERLINK("http://www.rosaceae.org/Prunus/Prunus_persica/p.persica_gdr_reftransV1_0046259","p.persica_gdr_reftransV1_0046259")</f>
        <v>p.persica_gdr_reftransV1_0046259</v>
      </c>
      <c r="B19851" s="2">
        <v>611</v>
      </c>
      <c r="C19851" s="4" t="str">
        <f>HYPERLINK("http://www.uniprot.org/uniprot/M5XCX2","M5XCX2")</f>
        <v>M5XCX2</v>
      </c>
      <c r="D19851" s="2" t="s">
        <v>14306</v>
      </c>
      <c r="E19851" s="3">
        <v>1.6500000000000001E-71</v>
      </c>
      <c r="F19851" s="2">
        <v>599</v>
      </c>
      <c r="G19851" s="2">
        <v>100</v>
      </c>
      <c r="H19851" s="2">
        <v>109</v>
      </c>
      <c r="I19851" s="2">
        <v>284</v>
      </c>
      <c r="J19851" s="2">
        <v>610</v>
      </c>
      <c r="K19851" s="2">
        <v>1</v>
      </c>
      <c r="L19851" s="2">
        <v>109</v>
      </c>
    </row>
    <row r="19852" spans="1:12" x14ac:dyDescent="0.25">
      <c r="A19852" s="4" t="str">
        <f>HYPERLINK("http://www.rosaceae.org/Prunus/Prunus_persica/p.persica_gdr_reftransV1_0046609","p.persica_gdr_reftransV1_0046609")</f>
        <v>p.persica_gdr_reftransV1_0046609</v>
      </c>
      <c r="B19852" s="2">
        <v>1135</v>
      </c>
      <c r="C19852" s="4" t="str">
        <f>HYPERLINK("http://www.uniprot.org/uniprot/M5XEV2","M5XEV2")</f>
        <v>M5XEV2</v>
      </c>
      <c r="D19852" s="2" t="s">
        <v>15111</v>
      </c>
      <c r="E19852" s="3">
        <v>2.2900000000000001E-143</v>
      </c>
      <c r="F19852" s="2">
        <v>1072</v>
      </c>
      <c r="G19852" s="2">
        <v>100</v>
      </c>
      <c r="H19852" s="2">
        <v>205</v>
      </c>
      <c r="I19852" s="2">
        <v>178</v>
      </c>
      <c r="J19852" s="2">
        <v>792</v>
      </c>
      <c r="K19852" s="2">
        <v>1</v>
      </c>
      <c r="L19852" s="2">
        <v>205</v>
      </c>
    </row>
    <row r="19853" spans="1:12" x14ac:dyDescent="0.25">
      <c r="A19853" s="4" t="str">
        <f>HYPERLINK("http://www.rosaceae.org/Prunus/Prunus_persica/p.persica_gdr_reftransV1_0047309","p.persica_gdr_reftransV1_0047309")</f>
        <v>p.persica_gdr_reftransV1_0047309</v>
      </c>
      <c r="B19853" s="2">
        <v>1094</v>
      </c>
      <c r="C19853" s="4" t="str">
        <f>HYPERLINK("http://www.uniprot.org/uniprot/M5W0B4","M5W0B4")</f>
        <v>M5W0B4</v>
      </c>
      <c r="D19853" s="2" t="s">
        <v>15112</v>
      </c>
      <c r="E19853" s="3">
        <v>4.13E-144</v>
      </c>
      <c r="F19853" s="2">
        <v>1086</v>
      </c>
      <c r="G19853" s="2">
        <v>94</v>
      </c>
      <c r="H19853" s="2">
        <v>235</v>
      </c>
      <c r="I19853" s="2">
        <v>101</v>
      </c>
      <c r="J19853" s="2">
        <v>805</v>
      </c>
      <c r="K19853" s="2">
        <v>74</v>
      </c>
      <c r="L19853" s="2">
        <v>308</v>
      </c>
    </row>
    <row r="19854" spans="1:12" x14ac:dyDescent="0.25">
      <c r="A19854" s="4" t="str">
        <f>HYPERLINK("http://www.rosaceae.org/Prunus/Prunus_persica/p.persica_gdr_reftransV1_0047659","p.persica_gdr_reftransV1_0047659")</f>
        <v>p.persica_gdr_reftransV1_0047659</v>
      </c>
      <c r="B19854" s="2">
        <v>5311</v>
      </c>
      <c r="C19854" s="4" t="str">
        <f>HYPERLINK("http://www.uniprot.org/uniprot/A0A061EHT3","A0A061EHT3")</f>
        <v>A0A061EHT3</v>
      </c>
      <c r="D19854" s="2" t="s">
        <v>13040</v>
      </c>
      <c r="E19854" s="3">
        <v>0</v>
      </c>
      <c r="F19854" s="2">
        <v>5207</v>
      </c>
      <c r="G19854" s="2">
        <v>81</v>
      </c>
      <c r="H19854" s="2">
        <v>1232</v>
      </c>
      <c r="I19854" s="2">
        <v>531</v>
      </c>
      <c r="J19854" s="2">
        <v>4181</v>
      </c>
      <c r="K19854" s="2">
        <v>76</v>
      </c>
      <c r="L19854" s="2">
        <v>1306</v>
      </c>
    </row>
    <row r="19855" spans="1:12" x14ac:dyDescent="0.25">
      <c r="A19855" s="4" t="str">
        <f>HYPERLINK("http://www.rosaceae.org/Prunus/Prunus_persica/p.persica_gdr_reftransV1_0048359","p.persica_gdr_reftransV1_0048359")</f>
        <v>p.persica_gdr_reftransV1_0048359</v>
      </c>
      <c r="B19855" s="2">
        <v>1155</v>
      </c>
      <c r="C19855" s="4" t="str">
        <f>HYPERLINK("http://www.uniprot.org/uniprot/M5WNJ6","M5WNJ6")</f>
        <v>M5WNJ6</v>
      </c>
      <c r="D19855" s="2" t="s">
        <v>1392</v>
      </c>
      <c r="E19855" s="3">
        <v>0</v>
      </c>
      <c r="F19855" s="2">
        <v>1849</v>
      </c>
      <c r="G19855" s="2">
        <v>92</v>
      </c>
      <c r="H19855" s="2">
        <v>384</v>
      </c>
      <c r="I19855" s="2">
        <v>2</v>
      </c>
      <c r="J19855" s="2">
        <v>1153</v>
      </c>
      <c r="K19855" s="2">
        <v>190</v>
      </c>
      <c r="L19855" s="2">
        <v>543</v>
      </c>
    </row>
    <row r="19856" spans="1:12" x14ac:dyDescent="0.25">
      <c r="A19856" s="4" t="str">
        <f>HYPERLINK("http://www.rosaceae.org/Prunus/Prunus_persica/p.persica_gdr_reftransV1_0048709","p.persica_gdr_reftransV1_0048709")</f>
        <v>p.persica_gdr_reftransV1_0048709</v>
      </c>
      <c r="B19856" s="2">
        <v>557</v>
      </c>
      <c r="C19856" s="4" t="str">
        <f>HYPERLINK("http://www.uniprot.org/uniprot/M5WGP0","M5WGP0")</f>
        <v>M5WGP0</v>
      </c>
      <c r="D19856" s="2" t="s">
        <v>3153</v>
      </c>
      <c r="E19856" s="3">
        <v>2.6399999999999999E-109</v>
      </c>
      <c r="F19856" s="2">
        <v>884</v>
      </c>
      <c r="G19856" s="2">
        <v>100</v>
      </c>
      <c r="H19856" s="2">
        <v>185</v>
      </c>
      <c r="I19856" s="2">
        <v>2</v>
      </c>
      <c r="J19856" s="2">
        <v>556</v>
      </c>
      <c r="K19856" s="2">
        <v>309</v>
      </c>
      <c r="L19856" s="2">
        <v>493</v>
      </c>
    </row>
    <row r="19857" spans="1:12" x14ac:dyDescent="0.25">
      <c r="A19857" s="4" t="str">
        <f>HYPERLINK("http://www.rosaceae.org/Prunus/Prunus_persica/p.persica_gdr_reftransV1_0049059","p.persica_gdr_reftransV1_0049059")</f>
        <v>p.persica_gdr_reftransV1_0049059</v>
      </c>
      <c r="B19857" s="2">
        <v>1332</v>
      </c>
      <c r="C19857" s="4" t="str">
        <f>HYPERLINK("http://www.uniprot.org/uniprot/M5W2S6","M5W2S6")</f>
        <v>M5W2S6</v>
      </c>
      <c r="D19857" s="2" t="s">
        <v>15113</v>
      </c>
      <c r="E19857" s="3">
        <v>0</v>
      </c>
      <c r="F19857" s="2">
        <v>1444</v>
      </c>
      <c r="G19857" s="2">
        <v>100</v>
      </c>
      <c r="H19857" s="2">
        <v>303</v>
      </c>
      <c r="I19857" s="2">
        <v>151</v>
      </c>
      <c r="J19857" s="2">
        <v>1059</v>
      </c>
      <c r="K19857" s="2">
        <v>1</v>
      </c>
      <c r="L19857" s="2">
        <v>303</v>
      </c>
    </row>
    <row r="19858" spans="1:12" x14ac:dyDescent="0.25">
      <c r="A19858" s="4" t="str">
        <f>HYPERLINK("http://www.rosaceae.org/Prunus/Prunus_persica/p.persica_gdr_reftransV1_0000060","p.persica_gdr_reftransV1_0000060")</f>
        <v>p.persica_gdr_reftransV1_0000060</v>
      </c>
      <c r="B19858" s="2">
        <v>1277</v>
      </c>
      <c r="C19858" s="4" t="str">
        <f>HYPERLINK("http://www.uniprot.org/uniprot/A0A068UMF4","A0A068UMF4")</f>
        <v>A0A068UMF4</v>
      </c>
      <c r="D19858" s="2" t="s">
        <v>15114</v>
      </c>
      <c r="E19858" s="3">
        <v>1.7699999999999999E-180</v>
      </c>
      <c r="F19858" s="2">
        <v>1386</v>
      </c>
      <c r="G19858" s="2">
        <v>65</v>
      </c>
      <c r="H19858" s="2">
        <v>427</v>
      </c>
      <c r="I19858" s="2">
        <v>2</v>
      </c>
      <c r="J19858" s="2">
        <v>1276</v>
      </c>
      <c r="K19858" s="2">
        <v>292</v>
      </c>
      <c r="L19858" s="2">
        <v>711</v>
      </c>
    </row>
    <row r="19859" spans="1:12" x14ac:dyDescent="0.25">
      <c r="A19859" s="4" t="str">
        <f>HYPERLINK("http://www.rosaceae.org/Prunus/Prunus_persica/p.persica_gdr_reftransV1_0000410","p.persica_gdr_reftransV1_0000410")</f>
        <v>p.persica_gdr_reftransV1_0000410</v>
      </c>
      <c r="B19859" s="2">
        <v>2047</v>
      </c>
      <c r="C19859" s="4" t="str">
        <f>HYPERLINK("http://www.uniprot.org/uniprot/M5XRF3","M5XRF3")</f>
        <v>M5XRF3</v>
      </c>
      <c r="D19859" s="2" t="s">
        <v>15115</v>
      </c>
      <c r="E19859" s="3">
        <v>0</v>
      </c>
      <c r="F19859" s="2">
        <v>2111</v>
      </c>
      <c r="G19859" s="2">
        <v>100</v>
      </c>
      <c r="H19859" s="2">
        <v>498</v>
      </c>
      <c r="I19859" s="2">
        <v>298</v>
      </c>
      <c r="J19859" s="2">
        <v>1791</v>
      </c>
      <c r="K19859" s="2">
        <v>1</v>
      </c>
      <c r="L19859" s="2">
        <v>498</v>
      </c>
    </row>
    <row r="19860" spans="1:12" x14ac:dyDescent="0.25">
      <c r="A19860" s="4" t="str">
        <f>HYPERLINK("http://www.rosaceae.org/Prunus/Prunus_persica/p.persica_gdr_reftransV1_0000760","p.persica_gdr_reftransV1_0000760")</f>
        <v>p.persica_gdr_reftransV1_0000760</v>
      </c>
      <c r="B19860" s="2">
        <v>848</v>
      </c>
      <c r="C19860" s="4" t="str">
        <f>HYPERLINK("http://www.uniprot.org/uniprot/M5XDL6","M5XDL6")</f>
        <v>M5XDL6</v>
      </c>
      <c r="D19860" s="2" t="s">
        <v>15116</v>
      </c>
      <c r="E19860" s="3">
        <v>1.57E-85</v>
      </c>
      <c r="F19860" s="2">
        <v>679</v>
      </c>
      <c r="G19860" s="2">
        <v>94</v>
      </c>
      <c r="H19860" s="2">
        <v>154</v>
      </c>
      <c r="I19860" s="2">
        <v>146</v>
      </c>
      <c r="J19860" s="2">
        <v>607</v>
      </c>
      <c r="K19860" s="2">
        <v>1</v>
      </c>
      <c r="L19860" s="2">
        <v>154</v>
      </c>
    </row>
    <row r="19861" spans="1:12" x14ac:dyDescent="0.25">
      <c r="A19861" s="4" t="str">
        <f>HYPERLINK("http://www.rosaceae.org/Prunus/Prunus_persica/p.persica_gdr_reftransV1_0001110","p.persica_gdr_reftransV1_0001110")</f>
        <v>p.persica_gdr_reftransV1_0001110</v>
      </c>
      <c r="B19861" s="2">
        <v>2502</v>
      </c>
      <c r="C19861" s="4" t="str">
        <f>HYPERLINK("http://www.uniprot.org/uniprot/A0A061DQG3","A0A061DQG3")</f>
        <v>A0A061DQG3</v>
      </c>
      <c r="D19861" s="2" t="s">
        <v>15117</v>
      </c>
      <c r="E19861" s="3">
        <v>1.8599999999999998E-130</v>
      </c>
      <c r="F19861" s="2">
        <v>925</v>
      </c>
      <c r="G19861" s="2">
        <v>75</v>
      </c>
      <c r="H19861" s="2">
        <v>261</v>
      </c>
      <c r="I19861" s="2">
        <v>270</v>
      </c>
      <c r="J19861" s="2">
        <v>1040</v>
      </c>
      <c r="K19861" s="2">
        <v>71</v>
      </c>
      <c r="L19861" s="2">
        <v>331</v>
      </c>
    </row>
    <row r="19862" spans="1:12" x14ac:dyDescent="0.25">
      <c r="A19862" s="4" t="str">
        <f>HYPERLINK("http://www.rosaceae.org/Prunus/Prunus_persica/p.persica_gdr_reftransV1_0001460","p.persica_gdr_reftransV1_0001460")</f>
        <v>p.persica_gdr_reftransV1_0001460</v>
      </c>
      <c r="B19862" s="2">
        <v>2590</v>
      </c>
      <c r="C19862" s="4" t="str">
        <f>HYPERLINK("http://www.uniprot.org/uniprot/M5WPW1","M5WPW1")</f>
        <v>M5WPW1</v>
      </c>
      <c r="D19862" s="2" t="s">
        <v>4431</v>
      </c>
      <c r="E19862" s="3">
        <v>0</v>
      </c>
      <c r="F19862" s="2">
        <v>2152</v>
      </c>
      <c r="G19862" s="2">
        <v>100</v>
      </c>
      <c r="H19862" s="2">
        <v>418</v>
      </c>
      <c r="I19862" s="2">
        <v>351</v>
      </c>
      <c r="J19862" s="2">
        <v>1604</v>
      </c>
      <c r="K19862" s="2">
        <v>338</v>
      </c>
      <c r="L19862" s="2">
        <v>755</v>
      </c>
    </row>
    <row r="19863" spans="1:12" x14ac:dyDescent="0.25">
      <c r="A19863" s="4" t="str">
        <f>HYPERLINK("http://www.rosaceae.org/Prunus/Prunus_persica/p.persica_gdr_reftransV1_0001810","p.persica_gdr_reftransV1_0001810")</f>
        <v>p.persica_gdr_reftransV1_0001810</v>
      </c>
      <c r="B19863" s="2">
        <v>443</v>
      </c>
      <c r="C19863" s="4" t="str">
        <f>HYPERLINK("http://www.uniprot.org/uniprot/C7Z087","C7Z087")</f>
        <v>C7Z087</v>
      </c>
      <c r="D19863" s="2" t="s">
        <v>15118</v>
      </c>
      <c r="E19863" s="3">
        <v>2.2499999999999999E-86</v>
      </c>
      <c r="F19863" s="2">
        <v>699</v>
      </c>
      <c r="G19863" s="2">
        <v>90</v>
      </c>
      <c r="H19863" s="2">
        <v>143</v>
      </c>
      <c r="I19863" s="2">
        <v>8</v>
      </c>
      <c r="J19863" s="2">
        <v>436</v>
      </c>
      <c r="K19863" s="2">
        <v>382</v>
      </c>
      <c r="L19863" s="2">
        <v>524</v>
      </c>
    </row>
    <row r="19864" spans="1:12" x14ac:dyDescent="0.25">
      <c r="A19864" s="4" t="str">
        <f>HYPERLINK("http://www.rosaceae.org/Prunus/Prunus_persica/p.persica_gdr_reftransV1_0002160","p.persica_gdr_reftransV1_0002160")</f>
        <v>p.persica_gdr_reftransV1_0002160</v>
      </c>
      <c r="B19864" s="2">
        <v>2216</v>
      </c>
      <c r="C19864" s="4" t="str">
        <f>HYPERLINK("http://www.uniprot.org/uniprot/M5WJU1","M5WJU1")</f>
        <v>M5WJU1</v>
      </c>
      <c r="D19864" s="2" t="s">
        <v>15119</v>
      </c>
      <c r="E19864" s="3">
        <v>0</v>
      </c>
      <c r="F19864" s="2">
        <v>2408</v>
      </c>
      <c r="G19864" s="2">
        <v>100</v>
      </c>
      <c r="H19864" s="2">
        <v>499</v>
      </c>
      <c r="I19864" s="2">
        <v>625</v>
      </c>
      <c r="J19864" s="2">
        <v>2121</v>
      </c>
      <c r="K19864" s="2">
        <v>93</v>
      </c>
      <c r="L19864" s="2">
        <v>591</v>
      </c>
    </row>
    <row r="19865" spans="1:12" x14ac:dyDescent="0.25">
      <c r="A19865" s="4" t="str">
        <f>HYPERLINK("http://www.rosaceae.org/Prunus/Prunus_persica/p.persica_gdr_reftransV1_0002510","p.persica_gdr_reftransV1_0002510")</f>
        <v>p.persica_gdr_reftransV1_0002510</v>
      </c>
      <c r="B19865" s="2">
        <v>2277</v>
      </c>
      <c r="C19865" s="4" t="str">
        <f>HYPERLINK("http://www.uniprot.org/uniprot/M5WQ51","M5WQ51")</f>
        <v>M5WQ51</v>
      </c>
      <c r="D19865" s="2" t="s">
        <v>10624</v>
      </c>
      <c r="E19865" s="3">
        <v>0</v>
      </c>
      <c r="F19865" s="2">
        <v>1602</v>
      </c>
      <c r="G19865" s="2">
        <v>99</v>
      </c>
      <c r="H19865" s="2">
        <v>389</v>
      </c>
      <c r="I19865" s="2">
        <v>750</v>
      </c>
      <c r="J19865" s="2">
        <v>1916</v>
      </c>
      <c r="K19865" s="2">
        <v>1</v>
      </c>
      <c r="L19865" s="2">
        <v>389</v>
      </c>
    </row>
    <row r="19866" spans="1:12" x14ac:dyDescent="0.25">
      <c r="A19866" s="4" t="str">
        <f>HYPERLINK("http://www.rosaceae.org/Prunus/Prunus_persica/p.persica_gdr_reftransV1_0003210","p.persica_gdr_reftransV1_0003210")</f>
        <v>p.persica_gdr_reftransV1_0003210</v>
      </c>
      <c r="B19866" s="2">
        <v>606</v>
      </c>
      <c r="C19866" s="4" t="str">
        <f>HYPERLINK("http://www.uniprot.org/uniprot/M5VIG0","M5VIG0")</f>
        <v>M5VIG0</v>
      </c>
      <c r="D19866" s="2" t="s">
        <v>5694</v>
      </c>
      <c r="E19866" s="3">
        <v>3.2500000000000002E-92</v>
      </c>
      <c r="F19866" s="2">
        <v>710</v>
      </c>
      <c r="G19866" s="2">
        <v>99</v>
      </c>
      <c r="H19866" s="2">
        <v>133</v>
      </c>
      <c r="I19866" s="2">
        <v>207</v>
      </c>
      <c r="J19866" s="2">
        <v>605</v>
      </c>
      <c r="K19866" s="2">
        <v>17</v>
      </c>
      <c r="L19866" s="2">
        <v>149</v>
      </c>
    </row>
    <row r="19867" spans="1:12" x14ac:dyDescent="0.25">
      <c r="A19867" s="4" t="str">
        <f>HYPERLINK("http://www.rosaceae.org/Prunus/Prunus_persica/p.persica_gdr_reftransV1_0003560","p.persica_gdr_reftransV1_0003560")</f>
        <v>p.persica_gdr_reftransV1_0003560</v>
      </c>
      <c r="B19867" s="2">
        <v>395</v>
      </c>
      <c r="C19867" s="4" t="str">
        <f>HYPERLINK("http://www.uniprot.org/uniprot/M5VU99","M5VU99")</f>
        <v>M5VU99</v>
      </c>
      <c r="D19867" s="2" t="s">
        <v>6242</v>
      </c>
      <c r="E19867" s="3">
        <v>2.7099999999999999E-89</v>
      </c>
      <c r="F19867" s="2">
        <v>712</v>
      </c>
      <c r="G19867" s="2">
        <v>100</v>
      </c>
      <c r="H19867" s="2">
        <v>131</v>
      </c>
      <c r="I19867" s="2">
        <v>1</v>
      </c>
      <c r="J19867" s="2">
        <v>393</v>
      </c>
      <c r="K19867" s="2">
        <v>292</v>
      </c>
      <c r="L19867" s="2">
        <v>422</v>
      </c>
    </row>
    <row r="19868" spans="1:12" x14ac:dyDescent="0.25">
      <c r="A19868" s="4" t="str">
        <f>HYPERLINK("http://www.rosaceae.org/Prunus/Prunus_persica/p.persica_gdr_reftransV1_0003910","p.persica_gdr_reftransV1_0003910")</f>
        <v>p.persica_gdr_reftransV1_0003910</v>
      </c>
      <c r="B19868" s="2">
        <v>2522</v>
      </c>
      <c r="C19868" s="4" t="str">
        <f>HYPERLINK("http://www.uniprot.org/uniprot/M5X8G0","M5X8G0")</f>
        <v>M5X8G0</v>
      </c>
      <c r="D19868" s="2" t="s">
        <v>6002</v>
      </c>
      <c r="E19868" s="3">
        <v>0</v>
      </c>
      <c r="F19868" s="2">
        <v>2723</v>
      </c>
      <c r="G19868" s="2">
        <v>88</v>
      </c>
      <c r="H19868" s="2">
        <v>607</v>
      </c>
      <c r="I19868" s="2">
        <v>131</v>
      </c>
      <c r="J19868" s="2">
        <v>1951</v>
      </c>
      <c r="K19868" s="2">
        <v>20</v>
      </c>
      <c r="L19868" s="2">
        <v>590</v>
      </c>
    </row>
    <row r="19869" spans="1:12" x14ac:dyDescent="0.25">
      <c r="A19869" s="4" t="str">
        <f>HYPERLINK("http://www.rosaceae.org/Prunus/Prunus_persica/p.persica_gdr_reftransV1_0005660","p.persica_gdr_reftransV1_0005660")</f>
        <v>p.persica_gdr_reftransV1_0005660</v>
      </c>
      <c r="B19869" s="2">
        <v>444</v>
      </c>
      <c r="C19869" s="4" t="str">
        <f>HYPERLINK("http://www.uniprot.org/uniprot/M5VY63","M5VY63")</f>
        <v>M5VY63</v>
      </c>
      <c r="D19869" s="2" t="s">
        <v>2703</v>
      </c>
      <c r="E19869" s="3">
        <v>6.8999999999999997E-64</v>
      </c>
      <c r="F19869" s="2">
        <v>532</v>
      </c>
      <c r="G19869" s="2">
        <v>99</v>
      </c>
      <c r="H19869" s="2">
        <v>147</v>
      </c>
      <c r="I19869" s="2">
        <v>2</v>
      </c>
      <c r="J19869" s="2">
        <v>442</v>
      </c>
      <c r="K19869" s="2">
        <v>23</v>
      </c>
      <c r="L19869" s="2">
        <v>169</v>
      </c>
    </row>
    <row r="19870" spans="1:12" x14ac:dyDescent="0.25">
      <c r="A19870" s="4" t="str">
        <f>HYPERLINK("http://www.rosaceae.org/Prunus/Prunus_persica/p.persica_gdr_reftransV1_0007410","p.persica_gdr_reftransV1_0007410")</f>
        <v>p.persica_gdr_reftransV1_0007410</v>
      </c>
      <c r="B19870" s="2">
        <v>784</v>
      </c>
      <c r="C19870" s="4" t="str">
        <f>HYPERLINK("http://www.uniprot.org/uniprot/M5X9K0","M5X9K0")</f>
        <v>M5X9K0</v>
      </c>
      <c r="D19870" s="2" t="s">
        <v>15120</v>
      </c>
      <c r="E19870" s="3">
        <v>3.1600000000000002E-159</v>
      </c>
      <c r="F19870" s="2">
        <v>1207</v>
      </c>
      <c r="G19870" s="2">
        <v>94</v>
      </c>
      <c r="H19870" s="2">
        <v>245</v>
      </c>
      <c r="I19870" s="2">
        <v>3</v>
      </c>
      <c r="J19870" s="2">
        <v>737</v>
      </c>
      <c r="K19870" s="2">
        <v>420</v>
      </c>
      <c r="L19870" s="2">
        <v>649</v>
      </c>
    </row>
    <row r="19871" spans="1:12" x14ac:dyDescent="0.25">
      <c r="A19871" s="4" t="str">
        <f>HYPERLINK("http://www.rosaceae.org/Prunus/Prunus_persica/p.persica_gdr_reftransV1_0007760","p.persica_gdr_reftransV1_0007760")</f>
        <v>p.persica_gdr_reftransV1_0007760</v>
      </c>
      <c r="B19871" s="2">
        <v>3394</v>
      </c>
      <c r="C19871" s="4" t="str">
        <f>HYPERLINK("http://www.uniprot.org/uniprot/M5W500","M5W500")</f>
        <v>M5W500</v>
      </c>
      <c r="D19871" s="2" t="s">
        <v>15121</v>
      </c>
      <c r="E19871" s="3">
        <v>0</v>
      </c>
      <c r="F19871" s="2">
        <v>1848</v>
      </c>
      <c r="G19871" s="2">
        <v>100</v>
      </c>
      <c r="H19871" s="2">
        <v>346</v>
      </c>
      <c r="I19871" s="2">
        <v>150</v>
      </c>
      <c r="J19871" s="2">
        <v>1187</v>
      </c>
      <c r="K19871" s="2">
        <v>93</v>
      </c>
      <c r="L19871" s="2">
        <v>438</v>
      </c>
    </row>
    <row r="19872" spans="1:12" x14ac:dyDescent="0.25">
      <c r="A19872" s="4" t="str">
        <f>HYPERLINK("http://www.rosaceae.org/Prunus/Prunus_persica/p.persica_gdr_reftransV1_0008110","p.persica_gdr_reftransV1_0008110")</f>
        <v>p.persica_gdr_reftransV1_0008110</v>
      </c>
      <c r="B19872" s="2">
        <v>434</v>
      </c>
      <c r="C19872" s="4" t="str">
        <f>HYPERLINK("http://www.uniprot.org/uniprot/M5Y1R2","M5Y1R2")</f>
        <v>M5Y1R2</v>
      </c>
      <c r="D19872" s="2" t="s">
        <v>15122</v>
      </c>
      <c r="E19872" s="3">
        <v>1.97E-84</v>
      </c>
      <c r="F19872" s="2">
        <v>656</v>
      </c>
      <c r="G19872" s="2">
        <v>100</v>
      </c>
      <c r="H19872" s="2">
        <v>125</v>
      </c>
      <c r="I19872" s="2">
        <v>3</v>
      </c>
      <c r="J19872" s="2">
        <v>377</v>
      </c>
      <c r="K19872" s="2">
        <v>1</v>
      </c>
      <c r="L19872" s="2">
        <v>125</v>
      </c>
    </row>
    <row r="19873" spans="1:12" x14ac:dyDescent="0.25">
      <c r="A19873" s="4" t="str">
        <f>HYPERLINK("http://www.rosaceae.org/Prunus/Prunus_persica/p.persica_gdr_reftransV1_0008810","p.persica_gdr_reftransV1_0008810")</f>
        <v>p.persica_gdr_reftransV1_0008810</v>
      </c>
      <c r="B19873" s="2">
        <v>1598</v>
      </c>
      <c r="C19873" s="4" t="str">
        <f>HYPERLINK("http://www.uniprot.org/uniprot/M5XCT2","M5XCT2")</f>
        <v>M5XCT2</v>
      </c>
      <c r="D19873" s="2" t="s">
        <v>2168</v>
      </c>
      <c r="E19873" s="3">
        <v>0</v>
      </c>
      <c r="F19873" s="2">
        <v>1684</v>
      </c>
      <c r="G19873" s="2">
        <v>99</v>
      </c>
      <c r="H19873" s="2">
        <v>358</v>
      </c>
      <c r="I19873" s="2">
        <v>2</v>
      </c>
      <c r="J19873" s="2">
        <v>1075</v>
      </c>
      <c r="K19873" s="2">
        <v>18</v>
      </c>
      <c r="L19873" s="2">
        <v>375</v>
      </c>
    </row>
    <row r="19874" spans="1:12" x14ac:dyDescent="0.25">
      <c r="A19874" s="4" t="str">
        <f>HYPERLINK("http://www.rosaceae.org/Prunus/Prunus_persica/p.persica_gdr_reftransV1_0010560","p.persica_gdr_reftransV1_0010560")</f>
        <v>p.persica_gdr_reftransV1_0010560</v>
      </c>
      <c r="B19874" s="2">
        <v>1742</v>
      </c>
      <c r="C19874" s="4" t="str">
        <f>HYPERLINK("http://www.uniprot.org/uniprot/M5WD38","M5WD38")</f>
        <v>M5WD38</v>
      </c>
      <c r="D19874" s="2" t="s">
        <v>15123</v>
      </c>
      <c r="E19874" s="3">
        <v>1.9200000000000001E-68</v>
      </c>
      <c r="F19874" s="2">
        <v>587</v>
      </c>
      <c r="G19874" s="2">
        <v>100</v>
      </c>
      <c r="H19874" s="2">
        <v>176</v>
      </c>
      <c r="I19874" s="2">
        <v>315</v>
      </c>
      <c r="J19874" s="2">
        <v>842</v>
      </c>
      <c r="K19874" s="2">
        <v>1</v>
      </c>
      <c r="L19874" s="2">
        <v>176</v>
      </c>
    </row>
    <row r="19875" spans="1:12" x14ac:dyDescent="0.25">
      <c r="A19875" s="4" t="str">
        <f>HYPERLINK("http://www.rosaceae.org/Prunus/Prunus_persica/p.persica_gdr_reftransV1_0011610","p.persica_gdr_reftransV1_0011610")</f>
        <v>p.persica_gdr_reftransV1_0011610</v>
      </c>
      <c r="B19875" s="2">
        <v>1590</v>
      </c>
      <c r="C19875" s="4" t="str">
        <f>HYPERLINK("http://www.uniprot.org/uniprot/M5XGL4","M5XGL4")</f>
        <v>M5XGL4</v>
      </c>
      <c r="D19875" s="2" t="s">
        <v>15124</v>
      </c>
      <c r="E19875" s="3">
        <v>0</v>
      </c>
      <c r="F19875" s="2">
        <v>2220</v>
      </c>
      <c r="G19875" s="2">
        <v>100</v>
      </c>
      <c r="H19875" s="2">
        <v>416</v>
      </c>
      <c r="I19875" s="2">
        <v>182</v>
      </c>
      <c r="J19875" s="2">
        <v>1429</v>
      </c>
      <c r="K19875" s="2">
        <v>6</v>
      </c>
      <c r="L19875" s="2">
        <v>421</v>
      </c>
    </row>
    <row r="19876" spans="1:12" x14ac:dyDescent="0.25">
      <c r="A19876" s="4" t="str">
        <f>HYPERLINK("http://www.rosaceae.org/Prunus/Prunus_persica/p.persica_gdr_reftransV1_0011960","p.persica_gdr_reftransV1_0011960")</f>
        <v>p.persica_gdr_reftransV1_0011960</v>
      </c>
      <c r="B19876" s="2">
        <v>920</v>
      </c>
      <c r="C19876" s="4" t="str">
        <f>HYPERLINK("http://www.uniprot.org/uniprot/M5XH55","M5XH55")</f>
        <v>M5XH55</v>
      </c>
      <c r="D19876" s="2" t="s">
        <v>15125</v>
      </c>
      <c r="E19876" s="3">
        <v>2.2199999999999999E-112</v>
      </c>
      <c r="F19876" s="2">
        <v>856</v>
      </c>
      <c r="G19876" s="2">
        <v>100</v>
      </c>
      <c r="H19876" s="2">
        <v>162</v>
      </c>
      <c r="I19876" s="2">
        <v>428</v>
      </c>
      <c r="J19876" s="2">
        <v>913</v>
      </c>
      <c r="K19876" s="2">
        <v>1</v>
      </c>
      <c r="L19876" s="2">
        <v>162</v>
      </c>
    </row>
    <row r="19877" spans="1:12" x14ac:dyDescent="0.25">
      <c r="A19877" s="4" t="str">
        <f>HYPERLINK("http://www.rosaceae.org/Prunus/Prunus_persica/p.persica_gdr_reftransV1_0012660","p.persica_gdr_reftransV1_0012660")</f>
        <v>p.persica_gdr_reftransV1_0012660</v>
      </c>
      <c r="B19877" s="2">
        <v>3579</v>
      </c>
      <c r="C19877" s="4" t="str">
        <f>HYPERLINK("http://www.uniprot.org/uniprot/M5XJD5","M5XJD5")</f>
        <v>M5XJD5</v>
      </c>
      <c r="D19877" s="2" t="s">
        <v>15126</v>
      </c>
      <c r="E19877" s="3">
        <v>0</v>
      </c>
      <c r="F19877" s="2">
        <v>2434</v>
      </c>
      <c r="G19877" s="2">
        <v>99</v>
      </c>
      <c r="H19877" s="2">
        <v>478</v>
      </c>
      <c r="I19877" s="2">
        <v>1449</v>
      </c>
      <c r="J19877" s="2">
        <v>2882</v>
      </c>
      <c r="K19877" s="2">
        <v>1</v>
      </c>
      <c r="L19877" s="2">
        <v>478</v>
      </c>
    </row>
    <row r="19878" spans="1:12" x14ac:dyDescent="0.25">
      <c r="A19878" s="4" t="str">
        <f>HYPERLINK("http://www.rosaceae.org/Prunus/Prunus_persica/p.persica_gdr_reftransV1_0013010","p.persica_gdr_reftransV1_0013010")</f>
        <v>p.persica_gdr_reftransV1_0013010</v>
      </c>
      <c r="B19878" s="2">
        <v>4349</v>
      </c>
      <c r="C19878" s="4" t="str">
        <f>HYPERLINK("http://www.uniprot.org/uniprot/M5Y3V5","M5Y3V5")</f>
        <v>M5Y3V5</v>
      </c>
      <c r="D19878" s="2" t="s">
        <v>15127</v>
      </c>
      <c r="E19878" s="3">
        <v>0</v>
      </c>
      <c r="F19878" s="2">
        <v>4359</v>
      </c>
      <c r="G19878" s="2">
        <v>100</v>
      </c>
      <c r="H19878" s="2">
        <v>808</v>
      </c>
      <c r="I19878" s="2">
        <v>1680</v>
      </c>
      <c r="J19878" s="2">
        <v>4103</v>
      </c>
      <c r="K19878" s="2">
        <v>1</v>
      </c>
      <c r="L19878" s="2">
        <v>808</v>
      </c>
    </row>
    <row r="19879" spans="1:12" x14ac:dyDescent="0.25">
      <c r="A19879" s="4" t="str">
        <f>HYPERLINK("http://www.rosaceae.org/Prunus/Prunus_persica/p.persica_gdr_reftransV1_0013360","p.persica_gdr_reftransV1_0013360")</f>
        <v>p.persica_gdr_reftransV1_0013360</v>
      </c>
      <c r="B19879" s="2">
        <v>1403</v>
      </c>
      <c r="C19879" s="4" t="str">
        <f>HYPERLINK("http://www.uniprot.org/uniprot/M5WYT0","M5WYT0")</f>
        <v>M5WYT0</v>
      </c>
      <c r="D19879" s="2" t="s">
        <v>15128</v>
      </c>
      <c r="E19879" s="3">
        <v>9.1800000000000001E-60</v>
      </c>
      <c r="F19879" s="2">
        <v>515</v>
      </c>
      <c r="G19879" s="2">
        <v>88</v>
      </c>
      <c r="H19879" s="2">
        <v>109</v>
      </c>
      <c r="I19879" s="2">
        <v>583</v>
      </c>
      <c r="J19879" s="2">
        <v>909</v>
      </c>
      <c r="K19879" s="2">
        <v>1</v>
      </c>
      <c r="L19879" s="2">
        <v>109</v>
      </c>
    </row>
    <row r="19880" spans="1:12" x14ac:dyDescent="0.25">
      <c r="A19880" s="4" t="str">
        <f>HYPERLINK("http://www.rosaceae.org/Prunus/Prunus_persica/p.persica_gdr_reftransV1_0014410","p.persica_gdr_reftransV1_0014410")</f>
        <v>p.persica_gdr_reftransV1_0014410</v>
      </c>
      <c r="B19880" s="2">
        <v>429</v>
      </c>
      <c r="C19880" s="4" t="str">
        <f>HYPERLINK("http://www.uniprot.org/uniprot/M5VVB4","M5VVB4")</f>
        <v>M5VVB4</v>
      </c>
      <c r="D19880" s="2" t="s">
        <v>2130</v>
      </c>
      <c r="E19880" s="3">
        <v>8.1300000000000005E-73</v>
      </c>
      <c r="F19880" s="2">
        <v>582</v>
      </c>
      <c r="G19880" s="2">
        <v>97</v>
      </c>
      <c r="H19880" s="2">
        <v>117</v>
      </c>
      <c r="I19880" s="2">
        <v>1</v>
      </c>
      <c r="J19880" s="2">
        <v>351</v>
      </c>
      <c r="K19880" s="2">
        <v>19</v>
      </c>
      <c r="L19880" s="2">
        <v>135</v>
      </c>
    </row>
    <row r="19881" spans="1:12" x14ac:dyDescent="0.25">
      <c r="A19881" s="4" t="str">
        <f>HYPERLINK("http://www.rosaceae.org/Prunus/Prunus_persica/p.persica_gdr_reftransV1_0015110","p.persica_gdr_reftransV1_0015110")</f>
        <v>p.persica_gdr_reftransV1_0015110</v>
      </c>
      <c r="B19881" s="2">
        <v>1829</v>
      </c>
      <c r="C19881" s="4" t="str">
        <f>HYPERLINK("http://www.uniprot.org/uniprot/Q2WFI1","Q2WFI1")</f>
        <v>Q2WFI1</v>
      </c>
      <c r="D19881" s="2" t="s">
        <v>15129</v>
      </c>
      <c r="E19881" s="3">
        <v>1.5E-175</v>
      </c>
      <c r="F19881" s="2">
        <v>853</v>
      </c>
      <c r="G19881" s="2">
        <v>80</v>
      </c>
      <c r="H19881" s="2">
        <v>197</v>
      </c>
      <c r="I19881" s="2">
        <v>85</v>
      </c>
      <c r="J19881" s="2">
        <v>675</v>
      </c>
      <c r="K19881" s="2">
        <v>1</v>
      </c>
      <c r="L19881" s="2">
        <v>197</v>
      </c>
    </row>
    <row r="19882" spans="1:12" x14ac:dyDescent="0.25">
      <c r="A19882" s="4" t="str">
        <f>HYPERLINK("http://www.rosaceae.org/Prunus/Prunus_persica/p.persica_gdr_reftransV1_0016160","p.persica_gdr_reftransV1_0016160")</f>
        <v>p.persica_gdr_reftransV1_0016160</v>
      </c>
      <c r="B19882" s="2">
        <v>3502</v>
      </c>
      <c r="C19882" s="4" t="str">
        <f>HYPERLINK("http://www.uniprot.org/uniprot/M5XM89","M5XM89")</f>
        <v>M5XM89</v>
      </c>
      <c r="D19882" s="2" t="s">
        <v>15130</v>
      </c>
      <c r="E19882" s="3">
        <v>0</v>
      </c>
      <c r="F19882" s="2">
        <v>2977</v>
      </c>
      <c r="G19882" s="2">
        <v>88</v>
      </c>
      <c r="H19882" s="2">
        <v>690</v>
      </c>
      <c r="I19882" s="2">
        <v>453</v>
      </c>
      <c r="J19882" s="2">
        <v>2522</v>
      </c>
      <c r="K19882" s="2">
        <v>500</v>
      </c>
      <c r="L19882" s="2">
        <v>1108</v>
      </c>
    </row>
    <row r="19883" spans="1:12" x14ac:dyDescent="0.25">
      <c r="A19883" s="4" t="str">
        <f>HYPERLINK("http://www.rosaceae.org/Prunus/Prunus_persica/p.persica_gdr_reftransV1_0016510","p.persica_gdr_reftransV1_0016510")</f>
        <v>p.persica_gdr_reftransV1_0016510</v>
      </c>
      <c r="B19883" s="2">
        <v>781</v>
      </c>
      <c r="C19883" s="4" t="str">
        <f>HYPERLINK("http://www.uniprot.org/uniprot/B9S2X9","B9S2X9")</f>
        <v>B9S2X9</v>
      </c>
      <c r="D19883" s="2" t="s">
        <v>15131</v>
      </c>
      <c r="E19883" s="3">
        <v>6.1799999999999999E-14</v>
      </c>
      <c r="F19883" s="2">
        <v>184</v>
      </c>
      <c r="G19883" s="2">
        <v>73</v>
      </c>
      <c r="H19883" s="2">
        <v>45</v>
      </c>
      <c r="I19883" s="2">
        <v>468</v>
      </c>
      <c r="J19883" s="2">
        <v>602</v>
      </c>
      <c r="K19883" s="2">
        <v>35</v>
      </c>
      <c r="L19883" s="2">
        <v>79</v>
      </c>
    </row>
    <row r="19884" spans="1:12" x14ac:dyDescent="0.25">
      <c r="A19884" s="4" t="str">
        <f>HYPERLINK("http://www.rosaceae.org/Prunus/Prunus_persica/p.persica_gdr_reftransV1_0017560","p.persica_gdr_reftransV1_0017560")</f>
        <v>p.persica_gdr_reftransV1_0017560</v>
      </c>
      <c r="B19884" s="2">
        <v>2423</v>
      </c>
      <c r="C19884" s="4" t="str">
        <f>HYPERLINK("http://www.uniprot.org/uniprot/M5VVI2","M5VVI2")</f>
        <v>M5VVI2</v>
      </c>
      <c r="D19884" s="2" t="s">
        <v>15132</v>
      </c>
      <c r="E19884" s="3">
        <v>0</v>
      </c>
      <c r="F19884" s="2">
        <v>3260</v>
      </c>
      <c r="G19884" s="2">
        <v>98</v>
      </c>
      <c r="H19884" s="2">
        <v>663</v>
      </c>
      <c r="I19884" s="2">
        <v>366</v>
      </c>
      <c r="J19884" s="2">
        <v>2348</v>
      </c>
      <c r="K19884" s="2">
        <v>1</v>
      </c>
      <c r="L19884" s="2">
        <v>663</v>
      </c>
    </row>
    <row r="19885" spans="1:12" x14ac:dyDescent="0.25">
      <c r="A19885" s="4" t="str">
        <f>HYPERLINK("http://www.rosaceae.org/Prunus/Prunus_persica/p.persica_gdr_reftransV1_0019310","p.persica_gdr_reftransV1_0019310")</f>
        <v>p.persica_gdr_reftransV1_0019310</v>
      </c>
      <c r="B19885" s="2">
        <v>3551</v>
      </c>
      <c r="C19885" s="4" t="str">
        <f>HYPERLINK("http://www.uniprot.org/uniprot/M5XDM1","M5XDM1")</f>
        <v>M5XDM1</v>
      </c>
      <c r="D19885" s="2" t="s">
        <v>8</v>
      </c>
      <c r="E19885" s="3">
        <v>2.15E-166</v>
      </c>
      <c r="F19885" s="2">
        <v>1324</v>
      </c>
      <c r="G19885" s="2">
        <v>89</v>
      </c>
      <c r="H19885" s="2">
        <v>311</v>
      </c>
      <c r="I19885" s="2">
        <v>2499</v>
      </c>
      <c r="J19885" s="2">
        <v>3431</v>
      </c>
      <c r="K19885" s="2">
        <v>1</v>
      </c>
      <c r="L19885" s="2">
        <v>276</v>
      </c>
    </row>
    <row r="19886" spans="1:12" x14ac:dyDescent="0.25">
      <c r="A19886" s="4" t="str">
        <f>HYPERLINK("http://www.rosaceae.org/Prunus/Prunus_persica/p.persica_gdr_reftransV1_0020010","p.persica_gdr_reftransV1_0020010")</f>
        <v>p.persica_gdr_reftransV1_0020010</v>
      </c>
      <c r="B19886" s="2">
        <v>1175</v>
      </c>
      <c r="C19886" s="4" t="str">
        <f>HYPERLINK("http://www.uniprot.org/uniprot/M5WHG0","M5WHG0")</f>
        <v>M5WHG0</v>
      </c>
      <c r="D19886" s="2" t="s">
        <v>15133</v>
      </c>
      <c r="E19886" s="3">
        <v>9.1599999999999998E-81</v>
      </c>
      <c r="F19886" s="2">
        <v>651</v>
      </c>
      <c r="G19886" s="2">
        <v>84</v>
      </c>
      <c r="H19886" s="2">
        <v>153</v>
      </c>
      <c r="I19886" s="2">
        <v>413</v>
      </c>
      <c r="J19886" s="2">
        <v>871</v>
      </c>
      <c r="K19886" s="2">
        <v>1</v>
      </c>
      <c r="L19886" s="2">
        <v>129</v>
      </c>
    </row>
    <row r="19887" spans="1:12" x14ac:dyDescent="0.25">
      <c r="A19887" s="4" t="str">
        <f>HYPERLINK("http://www.rosaceae.org/Prunus/Prunus_persica/p.persica_gdr_reftransV1_0021760","p.persica_gdr_reftransV1_0021760")</f>
        <v>p.persica_gdr_reftransV1_0021760</v>
      </c>
      <c r="B19887" s="2">
        <v>675</v>
      </c>
      <c r="C19887" s="4" t="str">
        <f>HYPERLINK("http://www.uniprot.org/uniprot/M5W9C0","M5W9C0")</f>
        <v>M5W9C0</v>
      </c>
      <c r="D19887" s="2" t="s">
        <v>10842</v>
      </c>
      <c r="E19887" s="3">
        <v>2.8300000000000002E-156</v>
      </c>
      <c r="F19887" s="2">
        <v>1183</v>
      </c>
      <c r="G19887" s="2">
        <v>100</v>
      </c>
      <c r="H19887" s="2">
        <v>224</v>
      </c>
      <c r="I19887" s="2">
        <v>2</v>
      </c>
      <c r="J19887" s="2">
        <v>673</v>
      </c>
      <c r="K19887" s="2">
        <v>250</v>
      </c>
      <c r="L19887" s="2">
        <v>473</v>
      </c>
    </row>
    <row r="19888" spans="1:12" x14ac:dyDescent="0.25">
      <c r="A19888" s="4" t="str">
        <f>HYPERLINK("http://www.rosaceae.org/Prunus/Prunus_persica/p.persica_gdr_reftransV1_0022460","p.persica_gdr_reftransV1_0022460")</f>
        <v>p.persica_gdr_reftransV1_0022460</v>
      </c>
      <c r="B19888" s="2">
        <v>726</v>
      </c>
      <c r="C19888" s="4" t="str">
        <f>HYPERLINK("http://www.uniprot.org/uniprot/M5XM46","M5XM46")</f>
        <v>M5XM46</v>
      </c>
      <c r="D19888" s="2" t="s">
        <v>15134</v>
      </c>
      <c r="E19888" s="3">
        <v>9.7699999999999993E-106</v>
      </c>
      <c r="F19888" s="2">
        <v>843</v>
      </c>
      <c r="G19888" s="2">
        <v>100</v>
      </c>
      <c r="H19888" s="2">
        <v>154</v>
      </c>
      <c r="I19888" s="2">
        <v>3</v>
      </c>
      <c r="J19888" s="2">
        <v>464</v>
      </c>
      <c r="K19888" s="2">
        <v>430</v>
      </c>
      <c r="L19888" s="2">
        <v>583</v>
      </c>
    </row>
    <row r="19889" spans="1:12" x14ac:dyDescent="0.25">
      <c r="A19889" s="4" t="str">
        <f>HYPERLINK("http://www.rosaceae.org/Prunus/Prunus_persica/p.persica_gdr_reftransV1_0024210","p.persica_gdr_reftransV1_0024210")</f>
        <v>p.persica_gdr_reftransV1_0024210</v>
      </c>
      <c r="B19889" s="2">
        <v>1117</v>
      </c>
      <c r="C19889" s="4" t="str">
        <f>HYPERLINK("http://www.uniprot.org/uniprot/M5VNR4","M5VNR4")</f>
        <v>M5VNR4</v>
      </c>
      <c r="D19889" s="2" t="s">
        <v>15135</v>
      </c>
      <c r="E19889" s="3">
        <v>2.45E-70</v>
      </c>
      <c r="F19889" s="2">
        <v>386</v>
      </c>
      <c r="G19889" s="2">
        <v>96</v>
      </c>
      <c r="H19889" s="2">
        <v>75</v>
      </c>
      <c r="I19889" s="2">
        <v>389</v>
      </c>
      <c r="J19889" s="2">
        <v>613</v>
      </c>
      <c r="K19889" s="2">
        <v>66</v>
      </c>
      <c r="L19889" s="2">
        <v>140</v>
      </c>
    </row>
    <row r="19890" spans="1:12" x14ac:dyDescent="0.25">
      <c r="A19890" s="4" t="str">
        <f>HYPERLINK("http://www.rosaceae.org/Prunus/Prunus_persica/p.persica_gdr_reftransV1_0025610","p.persica_gdr_reftransV1_0025610")</f>
        <v>p.persica_gdr_reftransV1_0025610</v>
      </c>
      <c r="B19890" s="2">
        <v>14279</v>
      </c>
      <c r="C19890" s="4" t="str">
        <f>HYPERLINK("http://www.uniprot.org/uniprot/A0A061G3I9","A0A061G3I9")</f>
        <v>A0A061G3I9</v>
      </c>
      <c r="D19890" s="2" t="s">
        <v>15136</v>
      </c>
      <c r="E19890" s="3">
        <v>0</v>
      </c>
      <c r="F19890" s="2">
        <v>15490</v>
      </c>
      <c r="G19890" s="2">
        <v>71</v>
      </c>
      <c r="H19890" s="2">
        <v>4225</v>
      </c>
      <c r="I19890" s="2">
        <v>1604</v>
      </c>
      <c r="J19890" s="2">
        <v>14170</v>
      </c>
      <c r="K19890" s="2">
        <v>1</v>
      </c>
      <c r="L19890" s="2">
        <v>4194</v>
      </c>
    </row>
    <row r="19891" spans="1:12" x14ac:dyDescent="0.25">
      <c r="A19891" s="4" t="str">
        <f>HYPERLINK("http://www.rosaceae.org/Prunus/Prunus_persica/p.persica_gdr_reftransV1_0025960","p.persica_gdr_reftransV1_0025960")</f>
        <v>p.persica_gdr_reftransV1_0025960</v>
      </c>
      <c r="B19891" s="2">
        <v>1680</v>
      </c>
      <c r="C19891" s="4" t="str">
        <f>HYPERLINK("http://www.uniprot.org/uniprot/M5XC07","M5XC07")</f>
        <v>M5XC07</v>
      </c>
      <c r="D19891" s="2" t="s">
        <v>15137</v>
      </c>
      <c r="E19891" s="3">
        <v>0</v>
      </c>
      <c r="F19891" s="2">
        <v>2150</v>
      </c>
      <c r="G19891" s="2">
        <v>100</v>
      </c>
      <c r="H19891" s="2">
        <v>408</v>
      </c>
      <c r="I19891" s="2">
        <v>148</v>
      </c>
      <c r="J19891" s="2">
        <v>1371</v>
      </c>
      <c r="K19891" s="2">
        <v>1</v>
      </c>
      <c r="L19891" s="2">
        <v>408</v>
      </c>
    </row>
    <row r="19892" spans="1:12" x14ac:dyDescent="0.25">
      <c r="A19892" s="4" t="str">
        <f>HYPERLINK("http://www.rosaceae.org/Prunus/Prunus_persica/p.persica_gdr_reftransV1_0026310","p.persica_gdr_reftransV1_0026310")</f>
        <v>p.persica_gdr_reftransV1_0026310</v>
      </c>
      <c r="B19892" s="2">
        <v>2503</v>
      </c>
      <c r="C19892" s="4" t="str">
        <f>HYPERLINK("http://www.uniprot.org/uniprot/M5WU91","M5WU91")</f>
        <v>M5WU91</v>
      </c>
      <c r="D19892" s="2" t="s">
        <v>15138</v>
      </c>
      <c r="E19892" s="3">
        <v>7.4499999999999995E-144</v>
      </c>
      <c r="F19892" s="2">
        <v>1141</v>
      </c>
      <c r="G19892" s="2">
        <v>82</v>
      </c>
      <c r="H19892" s="2">
        <v>290</v>
      </c>
      <c r="I19892" s="2">
        <v>1505</v>
      </c>
      <c r="J19892" s="2">
        <v>2374</v>
      </c>
      <c r="K19892" s="2">
        <v>1</v>
      </c>
      <c r="L19892" s="2">
        <v>265</v>
      </c>
    </row>
    <row r="19893" spans="1:12" x14ac:dyDescent="0.25">
      <c r="A19893" s="4" t="str">
        <f>HYPERLINK("http://www.rosaceae.org/Prunus/Prunus_persica/p.persica_gdr_reftransV1_0026660","p.persica_gdr_reftransV1_0026660")</f>
        <v>p.persica_gdr_reftransV1_0026660</v>
      </c>
      <c r="B19893" s="2">
        <v>2051</v>
      </c>
      <c r="C19893" s="4" t="str">
        <f>HYPERLINK("http://www.uniprot.org/uniprot/M5XB27","M5XB27")</f>
        <v>M5XB27</v>
      </c>
      <c r="D19893" s="2" t="s">
        <v>2490</v>
      </c>
      <c r="E19893" s="3">
        <v>0</v>
      </c>
      <c r="F19893" s="2">
        <v>1380</v>
      </c>
      <c r="G19893" s="2">
        <v>97</v>
      </c>
      <c r="H19893" s="2">
        <v>264</v>
      </c>
      <c r="I19893" s="2">
        <v>320</v>
      </c>
      <c r="J19893" s="2">
        <v>1111</v>
      </c>
      <c r="K19893" s="2">
        <v>1</v>
      </c>
      <c r="L19893" s="2">
        <v>264</v>
      </c>
    </row>
    <row r="19894" spans="1:12" x14ac:dyDescent="0.25">
      <c r="A19894" s="4" t="str">
        <f>HYPERLINK("http://www.rosaceae.org/Prunus/Prunus_persica/p.persica_gdr_reftransV1_0027010","p.persica_gdr_reftransV1_0027010")</f>
        <v>p.persica_gdr_reftransV1_0027010</v>
      </c>
      <c r="B19894" s="2">
        <v>4742</v>
      </c>
      <c r="C19894" s="4" t="str">
        <f>HYPERLINK("http://www.uniprot.org/uniprot/D7SVD3","D7SVD3")</f>
        <v>D7SVD3</v>
      </c>
      <c r="D19894" s="2" t="s">
        <v>15139</v>
      </c>
      <c r="E19894" s="3">
        <v>0</v>
      </c>
      <c r="F19894" s="2">
        <v>2662</v>
      </c>
      <c r="G19894" s="2">
        <v>81</v>
      </c>
      <c r="H19894" s="2">
        <v>621</v>
      </c>
      <c r="I19894" s="2">
        <v>724</v>
      </c>
      <c r="J19894" s="2">
        <v>2586</v>
      </c>
      <c r="K19894" s="2">
        <v>395</v>
      </c>
      <c r="L19894" s="2">
        <v>1015</v>
      </c>
    </row>
    <row r="19895" spans="1:12" x14ac:dyDescent="0.25">
      <c r="A19895" s="4" t="str">
        <f>HYPERLINK("http://www.rosaceae.org/Prunus/Prunus_persica/p.persica_gdr_reftransV1_0028060","p.persica_gdr_reftransV1_0028060")</f>
        <v>p.persica_gdr_reftransV1_0028060</v>
      </c>
      <c r="B19895" s="2">
        <v>2873</v>
      </c>
      <c r="C19895" s="4" t="str">
        <f>HYPERLINK("http://www.uniprot.org/uniprot/M5WGR6","M5WGR6")</f>
        <v>M5WGR6</v>
      </c>
      <c r="D19895" s="2" t="s">
        <v>15140</v>
      </c>
      <c r="E19895" s="3">
        <v>3.9099999999999998E-96</v>
      </c>
      <c r="F19895" s="2">
        <v>809</v>
      </c>
      <c r="G19895" s="2">
        <v>100</v>
      </c>
      <c r="H19895" s="2">
        <v>153</v>
      </c>
      <c r="I19895" s="2">
        <v>427</v>
      </c>
      <c r="J19895" s="2">
        <v>885</v>
      </c>
      <c r="K19895" s="2">
        <v>126</v>
      </c>
      <c r="L19895" s="2">
        <v>278</v>
      </c>
    </row>
    <row r="19896" spans="1:12" x14ac:dyDescent="0.25">
      <c r="A19896" s="4" t="str">
        <f>HYPERLINK("http://www.rosaceae.org/Prunus/Prunus_persica/p.persica_gdr_reftransV1_0031560","p.persica_gdr_reftransV1_0031560")</f>
        <v>p.persica_gdr_reftransV1_0031560</v>
      </c>
      <c r="B19896" s="2">
        <v>2560</v>
      </c>
      <c r="C19896" s="4" t="str">
        <f>HYPERLINK("http://www.uniprot.org/uniprot/M5VPF7","M5VPF7")</f>
        <v>M5VPF7</v>
      </c>
      <c r="D19896" s="2" t="s">
        <v>15141</v>
      </c>
      <c r="E19896" s="3">
        <v>0</v>
      </c>
      <c r="F19896" s="2">
        <v>2603</v>
      </c>
      <c r="G19896" s="2">
        <v>100</v>
      </c>
      <c r="H19896" s="2">
        <v>513</v>
      </c>
      <c r="I19896" s="2">
        <v>316</v>
      </c>
      <c r="J19896" s="2">
        <v>1854</v>
      </c>
      <c r="K19896" s="2">
        <v>186</v>
      </c>
      <c r="L19896" s="2">
        <v>698</v>
      </c>
    </row>
    <row r="19897" spans="1:12" x14ac:dyDescent="0.25">
      <c r="A19897" s="4" t="str">
        <f>HYPERLINK("http://www.rosaceae.org/Prunus/Prunus_persica/p.persica_gdr_reftransV1_0033660","p.persica_gdr_reftransV1_0033660")</f>
        <v>p.persica_gdr_reftransV1_0033660</v>
      </c>
      <c r="B19897" s="2">
        <v>1486</v>
      </c>
      <c r="C19897" s="4" t="str">
        <f>HYPERLINK("http://www.uniprot.org/uniprot/M5WT86","M5WT86")</f>
        <v>M5WT86</v>
      </c>
      <c r="D19897" s="2" t="s">
        <v>15142</v>
      </c>
      <c r="E19897" s="3">
        <v>6.6800000000000002E-84</v>
      </c>
      <c r="F19897" s="2">
        <v>699</v>
      </c>
      <c r="G19897" s="2">
        <v>100</v>
      </c>
      <c r="H19897" s="2">
        <v>147</v>
      </c>
      <c r="I19897" s="2">
        <v>1045</v>
      </c>
      <c r="J19897" s="2">
        <v>1485</v>
      </c>
      <c r="K19897" s="2">
        <v>167</v>
      </c>
      <c r="L19897" s="2">
        <v>313</v>
      </c>
    </row>
    <row r="19898" spans="1:12" x14ac:dyDescent="0.25">
      <c r="A19898" s="4" t="str">
        <f>HYPERLINK("http://www.rosaceae.org/Prunus/Prunus_persica/p.persica_gdr_reftransV1_0034710","p.persica_gdr_reftransV1_0034710")</f>
        <v>p.persica_gdr_reftransV1_0034710</v>
      </c>
      <c r="B19898" s="2">
        <v>1422</v>
      </c>
      <c r="C19898" s="4" t="str">
        <f>HYPERLINK("http://www.uniprot.org/uniprot/M5VQM4","M5VQM4")</f>
        <v>M5VQM4</v>
      </c>
      <c r="D19898" s="2" t="s">
        <v>15143</v>
      </c>
      <c r="E19898" s="3">
        <v>0</v>
      </c>
      <c r="F19898" s="2">
        <v>1452</v>
      </c>
      <c r="G19898" s="2">
        <v>98</v>
      </c>
      <c r="H19898" s="2">
        <v>332</v>
      </c>
      <c r="I19898" s="2">
        <v>324</v>
      </c>
      <c r="J19898" s="2">
        <v>1319</v>
      </c>
      <c r="K19898" s="2">
        <v>37</v>
      </c>
      <c r="L19898" s="2">
        <v>368</v>
      </c>
    </row>
    <row r="19899" spans="1:12" x14ac:dyDescent="0.25">
      <c r="A19899" s="4" t="str">
        <f>HYPERLINK("http://www.rosaceae.org/Prunus/Prunus_persica/p.persica_gdr_reftransV1_0035060","p.persica_gdr_reftransV1_0035060")</f>
        <v>p.persica_gdr_reftransV1_0035060</v>
      </c>
      <c r="B19899" s="2">
        <v>2802</v>
      </c>
      <c r="C19899" s="4" t="str">
        <f>HYPERLINK("http://www.uniprot.org/uniprot/M5XXG7","M5XXG7")</f>
        <v>M5XXG7</v>
      </c>
      <c r="D19899" s="2" t="s">
        <v>13730</v>
      </c>
      <c r="E19899" s="3">
        <v>0</v>
      </c>
      <c r="F19899" s="2">
        <v>3838</v>
      </c>
      <c r="G19899" s="2">
        <v>96</v>
      </c>
      <c r="H19899" s="2">
        <v>766</v>
      </c>
      <c r="I19899" s="2">
        <v>403</v>
      </c>
      <c r="J19899" s="2">
        <v>2700</v>
      </c>
      <c r="K19899" s="2">
        <v>1</v>
      </c>
      <c r="L19899" s="2">
        <v>735</v>
      </c>
    </row>
    <row r="19900" spans="1:12" x14ac:dyDescent="0.25">
      <c r="A19900" s="4" t="str">
        <f>HYPERLINK("http://www.rosaceae.org/Prunus/Prunus_persica/p.persica_gdr_reftransV1_0036810","p.persica_gdr_reftransV1_0036810")</f>
        <v>p.persica_gdr_reftransV1_0036810</v>
      </c>
      <c r="B19900" s="2">
        <v>1248</v>
      </c>
      <c r="C19900" s="4" t="str">
        <f>HYPERLINK("http://www.uniprot.org/uniprot/M5VPC1","M5VPC1")</f>
        <v>M5VPC1</v>
      </c>
      <c r="D19900" s="2" t="s">
        <v>15144</v>
      </c>
      <c r="E19900" s="3">
        <v>0</v>
      </c>
      <c r="F19900" s="2">
        <v>1336</v>
      </c>
      <c r="G19900" s="2">
        <v>100</v>
      </c>
      <c r="H19900" s="2">
        <v>272</v>
      </c>
      <c r="I19900" s="2">
        <v>146</v>
      </c>
      <c r="J19900" s="2">
        <v>961</v>
      </c>
      <c r="K19900" s="2">
        <v>1</v>
      </c>
      <c r="L19900" s="2">
        <v>272</v>
      </c>
    </row>
    <row r="19901" spans="1:12" x14ac:dyDescent="0.25">
      <c r="A19901" s="4" t="str">
        <f>HYPERLINK("http://www.rosaceae.org/Prunus/Prunus_persica/p.persica_gdr_reftransV1_0037510","p.persica_gdr_reftransV1_0037510")</f>
        <v>p.persica_gdr_reftransV1_0037510</v>
      </c>
      <c r="B19901" s="2">
        <v>2178</v>
      </c>
      <c r="C19901" s="4" t="str">
        <f>HYPERLINK("http://www.uniprot.org/uniprot/M5XAL4","M5XAL4")</f>
        <v>M5XAL4</v>
      </c>
      <c r="D19901" s="2" t="s">
        <v>15145</v>
      </c>
      <c r="E19901" s="3">
        <v>0</v>
      </c>
      <c r="F19901" s="2">
        <v>2173</v>
      </c>
      <c r="G19901" s="2">
        <v>100</v>
      </c>
      <c r="H19901" s="2">
        <v>493</v>
      </c>
      <c r="I19901" s="2">
        <v>556</v>
      </c>
      <c r="J19901" s="2">
        <v>2034</v>
      </c>
      <c r="K19901" s="2">
        <v>1</v>
      </c>
      <c r="L19901" s="2">
        <v>493</v>
      </c>
    </row>
    <row r="19902" spans="1:12" x14ac:dyDescent="0.25">
      <c r="A19902" s="4" t="str">
        <f>HYPERLINK("http://www.rosaceae.org/Prunus/Prunus_persica/p.persica_gdr_reftransV1_0039610","p.persica_gdr_reftransV1_0039610")</f>
        <v>p.persica_gdr_reftransV1_0039610</v>
      </c>
      <c r="B19902" s="2">
        <v>2092</v>
      </c>
      <c r="C19902" s="4" t="str">
        <f>HYPERLINK("http://www.uniprot.org/uniprot/M5VXD4","M5VXD4")</f>
        <v>M5VXD4</v>
      </c>
      <c r="D19902" s="2" t="s">
        <v>15146</v>
      </c>
      <c r="E19902" s="3">
        <v>4.6599999999999998E-120</v>
      </c>
      <c r="F19902" s="2">
        <v>970</v>
      </c>
      <c r="G19902" s="2">
        <v>92</v>
      </c>
      <c r="H19902" s="2">
        <v>299</v>
      </c>
      <c r="I19902" s="2">
        <v>851</v>
      </c>
      <c r="J19902" s="2">
        <v>1747</v>
      </c>
      <c r="K19902" s="2">
        <v>161</v>
      </c>
      <c r="L19902" s="2">
        <v>444</v>
      </c>
    </row>
    <row r="19903" spans="1:12" x14ac:dyDescent="0.25">
      <c r="A19903" s="4" t="str">
        <f>HYPERLINK("http://www.rosaceae.org/Prunus/Prunus_persica/p.persica_gdr_reftransV1_0041360","p.persica_gdr_reftransV1_0041360")</f>
        <v>p.persica_gdr_reftransV1_0041360</v>
      </c>
      <c r="B19903" s="2">
        <v>5057</v>
      </c>
      <c r="C19903" s="4" t="str">
        <f>HYPERLINK("http://www.uniprot.org/uniprot/M5WMR5","M5WMR5")</f>
        <v>M5WMR5</v>
      </c>
      <c r="D19903" s="2" t="s">
        <v>15147</v>
      </c>
      <c r="E19903" s="3">
        <v>0</v>
      </c>
      <c r="F19903" s="2">
        <v>2174</v>
      </c>
      <c r="G19903" s="2">
        <v>100</v>
      </c>
      <c r="H19903" s="2">
        <v>469</v>
      </c>
      <c r="I19903" s="2">
        <v>2042</v>
      </c>
      <c r="J19903" s="2">
        <v>3448</v>
      </c>
      <c r="K19903" s="2">
        <v>1</v>
      </c>
      <c r="L19903" s="2">
        <v>469</v>
      </c>
    </row>
    <row r="19904" spans="1:12" x14ac:dyDescent="0.25">
      <c r="A19904" s="4" t="str">
        <f>HYPERLINK("http://www.rosaceae.org/Prunus/Prunus_persica/p.persica_gdr_reftransV1_0043110","p.persica_gdr_reftransV1_0043110")</f>
        <v>p.persica_gdr_reftransV1_0043110</v>
      </c>
      <c r="B19904" s="2">
        <v>879</v>
      </c>
      <c r="C19904" s="4" t="str">
        <f>HYPERLINK("http://www.uniprot.org/uniprot/M5XFU0","M5XFU0")</f>
        <v>M5XFU0</v>
      </c>
      <c r="D19904" s="2" t="s">
        <v>15148</v>
      </c>
      <c r="E19904" s="3">
        <v>1.16E-112</v>
      </c>
      <c r="F19904" s="2">
        <v>856</v>
      </c>
      <c r="G19904" s="2">
        <v>100</v>
      </c>
      <c r="H19904" s="2">
        <v>164</v>
      </c>
      <c r="I19904" s="2">
        <v>50</v>
      </c>
      <c r="J19904" s="2">
        <v>541</v>
      </c>
      <c r="K19904" s="2">
        <v>1</v>
      </c>
      <c r="L19904" s="2">
        <v>164</v>
      </c>
    </row>
    <row r="19905" spans="1:12" x14ac:dyDescent="0.25">
      <c r="A19905" s="4" t="str">
        <f>HYPERLINK("http://www.rosaceae.org/Prunus/Prunus_persica/p.persica_gdr_reftransV1_0043460","p.persica_gdr_reftransV1_0043460")</f>
        <v>p.persica_gdr_reftransV1_0043460</v>
      </c>
      <c r="B19905" s="2">
        <v>2872</v>
      </c>
      <c r="C19905" s="4" t="str">
        <f>HYPERLINK("http://www.uniprot.org/uniprot/M5WWS6","M5WWS6")</f>
        <v>M5WWS6</v>
      </c>
      <c r="D19905" s="2" t="s">
        <v>5936</v>
      </c>
      <c r="E19905" s="3">
        <v>0</v>
      </c>
      <c r="F19905" s="2">
        <v>3852</v>
      </c>
      <c r="G19905" s="2">
        <v>95</v>
      </c>
      <c r="H19905" s="2">
        <v>882</v>
      </c>
      <c r="I19905" s="2">
        <v>103</v>
      </c>
      <c r="J19905" s="2">
        <v>2745</v>
      </c>
      <c r="K19905" s="2">
        <v>16</v>
      </c>
      <c r="L19905" s="2">
        <v>893</v>
      </c>
    </row>
    <row r="19906" spans="1:12" x14ac:dyDescent="0.25">
      <c r="A19906" s="4" t="str">
        <f>HYPERLINK("http://www.rosaceae.org/Prunus/Prunus_persica/p.persica_gdr_reftransV1_0043810","p.persica_gdr_reftransV1_0043810")</f>
        <v>p.persica_gdr_reftransV1_0043810</v>
      </c>
      <c r="B19906" s="2">
        <v>1708</v>
      </c>
      <c r="C19906" s="4" t="str">
        <f>HYPERLINK("http://www.uniprot.org/uniprot/M5XS36","M5XS36")</f>
        <v>M5XS36</v>
      </c>
      <c r="D19906" s="2" t="s">
        <v>116</v>
      </c>
      <c r="E19906" s="3">
        <v>0</v>
      </c>
      <c r="F19906" s="2">
        <v>2522</v>
      </c>
      <c r="G19906" s="2">
        <v>100</v>
      </c>
      <c r="H19906" s="2">
        <v>496</v>
      </c>
      <c r="I19906" s="2">
        <v>1</v>
      </c>
      <c r="J19906" s="2">
        <v>1488</v>
      </c>
      <c r="K19906" s="2">
        <v>453</v>
      </c>
      <c r="L19906" s="2">
        <v>948</v>
      </c>
    </row>
    <row r="19907" spans="1:12" x14ac:dyDescent="0.25">
      <c r="A19907" s="4" t="str">
        <f>HYPERLINK("http://www.rosaceae.org/Prunus/Prunus_persica/p.persica_gdr_reftransV1_0044160","p.persica_gdr_reftransV1_0044160")</f>
        <v>p.persica_gdr_reftransV1_0044160</v>
      </c>
      <c r="B19907" s="2">
        <v>687</v>
      </c>
      <c r="C19907" s="4" t="str">
        <f>HYPERLINK("http://www.uniprot.org/uniprot/M5WZ77","M5WZ77")</f>
        <v>M5WZ77</v>
      </c>
      <c r="D19907" s="2" t="s">
        <v>4995</v>
      </c>
      <c r="E19907" s="3">
        <v>1.04E-111</v>
      </c>
      <c r="F19907" s="2">
        <v>860</v>
      </c>
      <c r="G19907" s="2">
        <v>100</v>
      </c>
      <c r="H19907" s="2">
        <v>174</v>
      </c>
      <c r="I19907" s="2">
        <v>2</v>
      </c>
      <c r="J19907" s="2">
        <v>523</v>
      </c>
      <c r="K19907" s="2">
        <v>164</v>
      </c>
      <c r="L19907" s="2">
        <v>337</v>
      </c>
    </row>
    <row r="19908" spans="1:12" x14ac:dyDescent="0.25">
      <c r="A19908" s="4" t="str">
        <f>HYPERLINK("http://www.rosaceae.org/Prunus/Prunus_persica/p.persica_gdr_reftransV1_0044510","p.persica_gdr_reftransV1_0044510")</f>
        <v>p.persica_gdr_reftransV1_0044510</v>
      </c>
      <c r="B19908" s="2">
        <v>1175</v>
      </c>
      <c r="C19908" s="4" t="str">
        <f>HYPERLINK("http://www.uniprot.org/uniprot/M5XHC2","M5XHC2")</f>
        <v>M5XHC2</v>
      </c>
      <c r="D19908" s="2" t="s">
        <v>15149</v>
      </c>
      <c r="E19908" s="3">
        <v>8.4899999999999996E-66</v>
      </c>
      <c r="F19908" s="2">
        <v>555</v>
      </c>
      <c r="G19908" s="2">
        <v>100</v>
      </c>
      <c r="H19908" s="2">
        <v>140</v>
      </c>
      <c r="I19908" s="2">
        <v>339</v>
      </c>
      <c r="J19908" s="2">
        <v>758</v>
      </c>
      <c r="K19908" s="2">
        <v>32</v>
      </c>
      <c r="L19908" s="2">
        <v>171</v>
      </c>
    </row>
    <row r="19909" spans="1:12" x14ac:dyDescent="0.25">
      <c r="A19909" s="4" t="str">
        <f>HYPERLINK("http://www.rosaceae.org/Prunus/Prunus_persica/p.persica_gdr_reftransV1_0044860","p.persica_gdr_reftransV1_0044860")</f>
        <v>p.persica_gdr_reftransV1_0044860</v>
      </c>
      <c r="B19909" s="2">
        <v>1793</v>
      </c>
      <c r="C19909" s="4" t="str">
        <f>HYPERLINK("http://www.uniprot.org/uniprot/M5XCE5","M5XCE5")</f>
        <v>M5XCE5</v>
      </c>
      <c r="D19909" s="2" t="s">
        <v>15150</v>
      </c>
      <c r="E19909" s="3">
        <v>0</v>
      </c>
      <c r="F19909" s="2">
        <v>1887</v>
      </c>
      <c r="G19909" s="2">
        <v>96</v>
      </c>
      <c r="H19909" s="2">
        <v>447</v>
      </c>
      <c r="I19909" s="2">
        <v>234</v>
      </c>
      <c r="J19909" s="2">
        <v>1574</v>
      </c>
      <c r="K19909" s="2">
        <v>1</v>
      </c>
      <c r="L19909" s="2">
        <v>429</v>
      </c>
    </row>
    <row r="19910" spans="1:12" x14ac:dyDescent="0.25">
      <c r="A19910" s="4" t="str">
        <f>HYPERLINK("http://www.rosaceae.org/Prunus/Prunus_persica/p.persica_gdr_reftransV1_0045560","p.persica_gdr_reftransV1_0045560")</f>
        <v>p.persica_gdr_reftransV1_0045560</v>
      </c>
      <c r="B19910" s="2">
        <v>3710</v>
      </c>
      <c r="C19910" s="4" t="str">
        <f>HYPERLINK("http://www.uniprot.org/uniprot/M5XNI5","M5XNI5")</f>
        <v>M5XNI5</v>
      </c>
      <c r="D19910" s="2" t="s">
        <v>15151</v>
      </c>
      <c r="E19910" s="3">
        <v>0</v>
      </c>
      <c r="F19910" s="2">
        <v>3343</v>
      </c>
      <c r="G19910" s="2">
        <v>100</v>
      </c>
      <c r="H19910" s="2">
        <v>714</v>
      </c>
      <c r="I19910" s="2">
        <v>1280</v>
      </c>
      <c r="J19910" s="2">
        <v>3421</v>
      </c>
      <c r="K19910" s="2">
        <v>27</v>
      </c>
      <c r="L19910" s="2">
        <v>740</v>
      </c>
    </row>
    <row r="19911" spans="1:12" x14ac:dyDescent="0.25">
      <c r="A19911" s="4" t="str">
        <f>HYPERLINK("http://www.rosaceae.org/Prunus/Prunus_persica/p.persica_gdr_reftransV1_0045910","p.persica_gdr_reftransV1_0045910")</f>
        <v>p.persica_gdr_reftransV1_0045910</v>
      </c>
      <c r="B19911" s="2">
        <v>1908</v>
      </c>
      <c r="C19911" s="4" t="str">
        <f>HYPERLINK("http://www.uniprot.org/uniprot/M5WJ15","M5WJ15")</f>
        <v>M5WJ15</v>
      </c>
      <c r="D19911" s="2" t="s">
        <v>478</v>
      </c>
      <c r="E19911" s="3">
        <v>0</v>
      </c>
      <c r="F19911" s="2">
        <v>1491</v>
      </c>
      <c r="G19911" s="2">
        <v>100</v>
      </c>
      <c r="H19911" s="2">
        <v>339</v>
      </c>
      <c r="I19911" s="2">
        <v>191</v>
      </c>
      <c r="J19911" s="2">
        <v>1207</v>
      </c>
      <c r="K19911" s="2">
        <v>111</v>
      </c>
      <c r="L19911" s="2">
        <v>449</v>
      </c>
    </row>
    <row r="19912" spans="1:12" x14ac:dyDescent="0.25">
      <c r="A19912" s="4" t="str">
        <f>HYPERLINK("http://www.rosaceae.org/Prunus/Prunus_persica/p.persica_gdr_reftransV1_0046260","p.persica_gdr_reftransV1_0046260")</f>
        <v>p.persica_gdr_reftransV1_0046260</v>
      </c>
      <c r="B19912" s="2">
        <v>1943</v>
      </c>
      <c r="C19912" s="4" t="str">
        <f>HYPERLINK("http://www.uniprot.org/uniprot/M5WAK8","M5WAK8")</f>
        <v>M5WAK8</v>
      </c>
      <c r="D19912" s="2" t="s">
        <v>7417</v>
      </c>
      <c r="E19912" s="3">
        <v>1.9500000000000001E-150</v>
      </c>
      <c r="F19912" s="2">
        <v>1146</v>
      </c>
      <c r="G19912" s="2">
        <v>100</v>
      </c>
      <c r="H19912" s="2">
        <v>217</v>
      </c>
      <c r="I19912" s="2">
        <v>217</v>
      </c>
      <c r="J19912" s="2">
        <v>867</v>
      </c>
      <c r="K19912" s="2">
        <v>1</v>
      </c>
      <c r="L19912" s="2">
        <v>217</v>
      </c>
    </row>
    <row r="19913" spans="1:12" x14ac:dyDescent="0.25">
      <c r="A19913" s="4" t="str">
        <f>HYPERLINK("http://www.rosaceae.org/Prunus/Prunus_persica/p.persica_gdr_reftransV1_0046610","p.persica_gdr_reftransV1_0046610")</f>
        <v>p.persica_gdr_reftransV1_0046610</v>
      </c>
      <c r="B19913" s="2">
        <v>625</v>
      </c>
      <c r="C19913" s="4" t="str">
        <f>HYPERLINK("http://www.uniprot.org/uniprot/M5VUB3","M5VUB3")</f>
        <v>M5VUB3</v>
      </c>
      <c r="D19913" s="2" t="s">
        <v>4482</v>
      </c>
      <c r="E19913" s="3">
        <v>2.0800000000000001E-77</v>
      </c>
      <c r="F19913" s="2">
        <v>610</v>
      </c>
      <c r="G19913" s="2">
        <v>100</v>
      </c>
      <c r="H19913" s="2">
        <v>116</v>
      </c>
      <c r="I19913" s="2">
        <v>162</v>
      </c>
      <c r="J19913" s="2">
        <v>509</v>
      </c>
      <c r="K19913" s="2">
        <v>1</v>
      </c>
      <c r="L19913" s="2">
        <v>116</v>
      </c>
    </row>
    <row r="19914" spans="1:12" x14ac:dyDescent="0.25">
      <c r="A19914" s="4" t="str">
        <f>HYPERLINK("http://www.rosaceae.org/Prunus/Prunus_persica/p.persica_gdr_reftransV1_0046960","p.persica_gdr_reftransV1_0046960")</f>
        <v>p.persica_gdr_reftransV1_0046960</v>
      </c>
      <c r="B19914" s="2">
        <v>1457</v>
      </c>
      <c r="C19914" s="4" t="str">
        <f>HYPERLINK("http://www.uniprot.org/uniprot/M5VWR2","M5VWR2")</f>
        <v>M5VWR2</v>
      </c>
      <c r="D19914" s="2" t="s">
        <v>15152</v>
      </c>
      <c r="E19914" s="3">
        <v>0</v>
      </c>
      <c r="F19914" s="2">
        <v>1402</v>
      </c>
      <c r="G19914" s="2">
        <v>100</v>
      </c>
      <c r="H19914" s="2">
        <v>350</v>
      </c>
      <c r="I19914" s="2">
        <v>378</v>
      </c>
      <c r="J19914" s="2">
        <v>1427</v>
      </c>
      <c r="K19914" s="2">
        <v>4</v>
      </c>
      <c r="L19914" s="2">
        <v>353</v>
      </c>
    </row>
    <row r="19915" spans="1:12" x14ac:dyDescent="0.25">
      <c r="A19915" s="4" t="str">
        <f>HYPERLINK("http://www.rosaceae.org/Prunus/Prunus_persica/p.persica_gdr_reftransV1_0047660","p.persica_gdr_reftransV1_0047660")</f>
        <v>p.persica_gdr_reftransV1_0047660</v>
      </c>
      <c r="B19915" s="2">
        <v>519</v>
      </c>
      <c r="C19915" s="4" t="str">
        <f>HYPERLINK("http://www.uniprot.org/uniprot/M5XQQ8","M5XQQ8")</f>
        <v>M5XQQ8</v>
      </c>
      <c r="D19915" s="2" t="s">
        <v>2935</v>
      </c>
      <c r="E19915" s="3">
        <v>9.1599999999999996E-70</v>
      </c>
      <c r="F19915" s="2">
        <v>570</v>
      </c>
      <c r="G19915" s="2">
        <v>85</v>
      </c>
      <c r="H19915" s="2">
        <v>133</v>
      </c>
      <c r="I19915" s="2">
        <v>68</v>
      </c>
      <c r="J19915" s="2">
        <v>460</v>
      </c>
      <c r="K19915" s="2">
        <v>11</v>
      </c>
      <c r="L19915" s="2">
        <v>143</v>
      </c>
    </row>
    <row r="19916" spans="1:12" x14ac:dyDescent="0.25">
      <c r="A19916" s="4" t="str">
        <f>HYPERLINK("http://www.rosaceae.org/Prunus/Prunus_persica/p.persica_gdr_reftransV1_0048360","p.persica_gdr_reftransV1_0048360")</f>
        <v>p.persica_gdr_reftransV1_0048360</v>
      </c>
      <c r="B19916" s="2">
        <v>1672</v>
      </c>
      <c r="C19916" s="4" t="str">
        <f>HYPERLINK("http://www.uniprot.org/uniprot/A0A061G5I4","A0A061G5I4")</f>
        <v>A0A061G5I4</v>
      </c>
      <c r="D19916" s="2" t="s">
        <v>4530</v>
      </c>
      <c r="E19916" s="3">
        <v>0</v>
      </c>
      <c r="F19916" s="2">
        <v>2212</v>
      </c>
      <c r="G19916" s="2">
        <v>83</v>
      </c>
      <c r="H19916" s="2">
        <v>512</v>
      </c>
      <c r="I19916" s="2">
        <v>136</v>
      </c>
      <c r="J19916" s="2">
        <v>1671</v>
      </c>
      <c r="K19916" s="2">
        <v>158</v>
      </c>
      <c r="L19916" s="2">
        <v>668</v>
      </c>
    </row>
    <row r="19917" spans="1:12" x14ac:dyDescent="0.25">
      <c r="A19917" s="4" t="str">
        <f>HYPERLINK("http://www.rosaceae.org/Prunus/Prunus_persica/p.persica_gdr_reftransV1_0049060","p.persica_gdr_reftransV1_0049060")</f>
        <v>p.persica_gdr_reftransV1_0049060</v>
      </c>
      <c r="B19917" s="2">
        <v>4780</v>
      </c>
      <c r="C19917" s="4" t="str">
        <f>HYPERLINK("http://www.uniprot.org/uniprot/M5XL60","M5XL60")</f>
        <v>M5XL60</v>
      </c>
      <c r="D19917" s="2" t="s">
        <v>1690</v>
      </c>
      <c r="E19917" s="3">
        <v>0</v>
      </c>
      <c r="F19917" s="2">
        <v>7366</v>
      </c>
      <c r="G19917" s="2">
        <v>100</v>
      </c>
      <c r="H19917" s="2">
        <v>1439</v>
      </c>
      <c r="I19917" s="2">
        <v>366</v>
      </c>
      <c r="J19917" s="2">
        <v>4682</v>
      </c>
      <c r="K19917" s="2">
        <v>1</v>
      </c>
      <c r="L19917" s="2">
        <v>1432</v>
      </c>
    </row>
    <row r="19918" spans="1:12" x14ac:dyDescent="0.25">
      <c r="A19918" s="4" t="str">
        <f>HYPERLINK("http://www.rosaceae.org/Prunus/Prunus_persica/p.persica_gdr_reftransV1_0000006","p.persica_gdr_reftransV1_0000006")</f>
        <v>p.persica_gdr_reftransV1_0000006</v>
      </c>
      <c r="B19918" s="2">
        <v>1176</v>
      </c>
      <c r="C19918" s="4" t="str">
        <f>HYPERLINK("http://www.uniprot.org/uniprot/M5WHA9","M5WHA9")</f>
        <v>M5WHA9</v>
      </c>
      <c r="D19918" s="2" t="s">
        <v>11397</v>
      </c>
      <c r="E19918" s="3">
        <v>9.5699999999999999E-177</v>
      </c>
      <c r="F19918" s="2">
        <v>1299</v>
      </c>
      <c r="G19918" s="2">
        <v>100</v>
      </c>
      <c r="H19918" s="2">
        <v>255</v>
      </c>
      <c r="I19918" s="2">
        <v>177</v>
      </c>
      <c r="J19918" s="2">
        <v>941</v>
      </c>
      <c r="K19918" s="2">
        <v>1</v>
      </c>
      <c r="L19918" s="2">
        <v>255</v>
      </c>
    </row>
    <row r="19919" spans="1:12" x14ac:dyDescent="0.25">
      <c r="A19919" s="4" t="str">
        <f>HYPERLINK("http://www.rosaceae.org/Prunus/Prunus_persica/p.persica_gdr_reftransV1_0000356","p.persica_gdr_reftransV1_0000356")</f>
        <v>p.persica_gdr_reftransV1_0000356</v>
      </c>
      <c r="B19919" s="2">
        <v>1614</v>
      </c>
      <c r="C19919" s="4" t="str">
        <f>HYPERLINK("http://www.uniprot.org/uniprot/M5VW32","M5VW32")</f>
        <v>M5VW32</v>
      </c>
      <c r="D19919" s="2" t="s">
        <v>15153</v>
      </c>
      <c r="E19919" s="3">
        <v>0</v>
      </c>
      <c r="F19919" s="2">
        <v>2103</v>
      </c>
      <c r="G19919" s="2">
        <v>100</v>
      </c>
      <c r="H19919" s="2">
        <v>405</v>
      </c>
      <c r="I19919" s="2">
        <v>219</v>
      </c>
      <c r="J19919" s="2">
        <v>1433</v>
      </c>
      <c r="K19919" s="2">
        <v>1</v>
      </c>
      <c r="L19919" s="2">
        <v>405</v>
      </c>
    </row>
    <row r="19920" spans="1:12" x14ac:dyDescent="0.25">
      <c r="A19920" s="4" t="str">
        <f>HYPERLINK("http://www.rosaceae.org/Prunus/Prunus_persica/p.persica_gdr_reftransV1_0000706","p.persica_gdr_reftransV1_0000706")</f>
        <v>p.persica_gdr_reftransV1_0000706</v>
      </c>
      <c r="B19920" s="2">
        <v>501</v>
      </c>
      <c r="C19920" s="4" t="str">
        <f>HYPERLINK("http://www.uniprot.org/uniprot/M5XRH4","M5XRH4")</f>
        <v>M5XRH4</v>
      </c>
      <c r="D19920" s="2" t="s">
        <v>6786</v>
      </c>
      <c r="E19920" s="3">
        <v>2.9299999999999999E-100</v>
      </c>
      <c r="F19920" s="2">
        <v>776</v>
      </c>
      <c r="G19920" s="2">
        <v>100</v>
      </c>
      <c r="H19920" s="2">
        <v>161</v>
      </c>
      <c r="I19920" s="2">
        <v>19</v>
      </c>
      <c r="J19920" s="2">
        <v>501</v>
      </c>
      <c r="K19920" s="2">
        <v>167</v>
      </c>
      <c r="L19920" s="2">
        <v>327</v>
      </c>
    </row>
    <row r="19921" spans="1:12" x14ac:dyDescent="0.25">
      <c r="A19921" s="4" t="str">
        <f>HYPERLINK("http://www.rosaceae.org/Prunus/Prunus_persica/p.persica_gdr_reftransV1_0001056","p.persica_gdr_reftransV1_0001056")</f>
        <v>p.persica_gdr_reftransV1_0001056</v>
      </c>
      <c r="B19921" s="2">
        <v>1933</v>
      </c>
      <c r="C19921" s="4" t="str">
        <f>HYPERLINK("http://www.uniprot.org/uniprot/M5WIM7","M5WIM7")</f>
        <v>M5WIM7</v>
      </c>
      <c r="D19921" s="2" t="s">
        <v>13027</v>
      </c>
      <c r="E19921" s="3">
        <v>0</v>
      </c>
      <c r="F19921" s="2">
        <v>1870</v>
      </c>
      <c r="G19921" s="2">
        <v>100</v>
      </c>
      <c r="H19921" s="2">
        <v>351</v>
      </c>
      <c r="I19921" s="2">
        <v>689</v>
      </c>
      <c r="J19921" s="2">
        <v>1741</v>
      </c>
      <c r="K19921" s="2">
        <v>1</v>
      </c>
      <c r="L19921" s="2">
        <v>351</v>
      </c>
    </row>
    <row r="19922" spans="1:12" x14ac:dyDescent="0.25">
      <c r="A19922" s="4" t="str">
        <f>HYPERLINK("http://www.rosaceae.org/Prunus/Prunus_persica/p.persica_gdr_reftransV1_0002106","p.persica_gdr_reftransV1_0002106")</f>
        <v>p.persica_gdr_reftransV1_0002106</v>
      </c>
      <c r="B19922" s="2">
        <v>2450</v>
      </c>
      <c r="C19922" s="4" t="str">
        <f>HYPERLINK("http://www.uniprot.org/uniprot/M5XM74","M5XM74")</f>
        <v>M5XM74</v>
      </c>
      <c r="D19922" s="2" t="s">
        <v>15154</v>
      </c>
      <c r="E19922" s="3">
        <v>0</v>
      </c>
      <c r="F19922" s="2">
        <v>2482</v>
      </c>
      <c r="G19922" s="2">
        <v>100</v>
      </c>
      <c r="H19922" s="2">
        <v>558</v>
      </c>
      <c r="I19922" s="2">
        <v>365</v>
      </c>
      <c r="J19922" s="2">
        <v>2038</v>
      </c>
      <c r="K19922" s="2">
        <v>1</v>
      </c>
      <c r="L19922" s="2">
        <v>558</v>
      </c>
    </row>
    <row r="19923" spans="1:12" x14ac:dyDescent="0.25">
      <c r="A19923" s="4" t="str">
        <f>HYPERLINK("http://www.rosaceae.org/Prunus/Prunus_persica/p.persica_gdr_reftransV1_0002456","p.persica_gdr_reftransV1_0002456")</f>
        <v>p.persica_gdr_reftransV1_0002456</v>
      </c>
      <c r="B19923" s="2">
        <v>1702</v>
      </c>
      <c r="C19923" s="4" t="str">
        <f>HYPERLINK("http://www.uniprot.org/uniprot/M5W917","M5W917")</f>
        <v>M5W917</v>
      </c>
      <c r="D19923" s="2" t="s">
        <v>15155</v>
      </c>
      <c r="E19923" s="3">
        <v>0</v>
      </c>
      <c r="F19923" s="2">
        <v>1553</v>
      </c>
      <c r="G19923" s="2">
        <v>91</v>
      </c>
      <c r="H19923" s="2">
        <v>327</v>
      </c>
      <c r="I19923" s="2">
        <v>475</v>
      </c>
      <c r="J19923" s="2">
        <v>1362</v>
      </c>
      <c r="K19923" s="2">
        <v>1</v>
      </c>
      <c r="L19923" s="2">
        <v>327</v>
      </c>
    </row>
    <row r="19924" spans="1:12" x14ac:dyDescent="0.25">
      <c r="A19924" s="4" t="str">
        <f>HYPERLINK("http://www.rosaceae.org/Prunus/Prunus_persica/p.persica_gdr_reftransV1_0003156","p.persica_gdr_reftransV1_0003156")</f>
        <v>p.persica_gdr_reftransV1_0003156</v>
      </c>
      <c r="B19924" s="2">
        <v>483</v>
      </c>
      <c r="C19924" s="4" t="str">
        <f>HYPERLINK("http://www.uniprot.org/uniprot/M5WG06","M5WG06")</f>
        <v>M5WG06</v>
      </c>
      <c r="D19924" s="2" t="s">
        <v>189</v>
      </c>
      <c r="E19924" s="3">
        <v>1.27E-101</v>
      </c>
      <c r="F19924" s="2">
        <v>789</v>
      </c>
      <c r="G19924" s="2">
        <v>100</v>
      </c>
      <c r="H19924" s="2">
        <v>160</v>
      </c>
      <c r="I19924" s="2">
        <v>3</v>
      </c>
      <c r="J19924" s="2">
        <v>482</v>
      </c>
      <c r="K19924" s="2">
        <v>4</v>
      </c>
      <c r="L19924" s="2">
        <v>163</v>
      </c>
    </row>
    <row r="19925" spans="1:12" x14ac:dyDescent="0.25">
      <c r="A19925" s="4" t="str">
        <f>HYPERLINK("http://www.rosaceae.org/Prunus/Prunus_persica/p.persica_gdr_reftransV1_0003506","p.persica_gdr_reftransV1_0003506")</f>
        <v>p.persica_gdr_reftransV1_0003506</v>
      </c>
      <c r="B19925" s="2">
        <v>935</v>
      </c>
      <c r="C19925" s="4" t="str">
        <f>HYPERLINK("http://www.uniprot.org/uniprot/A0A067JV55","A0A067JV55")</f>
        <v>A0A067JV55</v>
      </c>
      <c r="D19925" s="2" t="s">
        <v>15156</v>
      </c>
      <c r="E19925" s="3">
        <v>5.1299999999999996E-90</v>
      </c>
      <c r="F19925" s="2">
        <v>713</v>
      </c>
      <c r="G19925" s="2">
        <v>94</v>
      </c>
      <c r="H19925" s="2">
        <v>197</v>
      </c>
      <c r="I19925" s="2">
        <v>287</v>
      </c>
      <c r="J19925" s="2">
        <v>877</v>
      </c>
      <c r="K19925" s="2">
        <v>1</v>
      </c>
      <c r="L19925" s="2">
        <v>197</v>
      </c>
    </row>
    <row r="19926" spans="1:12" x14ac:dyDescent="0.25">
      <c r="A19926" s="4" t="str">
        <f>HYPERLINK("http://www.rosaceae.org/Prunus/Prunus_persica/p.persica_gdr_reftransV1_0003856","p.persica_gdr_reftransV1_0003856")</f>
        <v>p.persica_gdr_reftransV1_0003856</v>
      </c>
      <c r="B19926" s="2">
        <v>2936</v>
      </c>
      <c r="C19926" s="4" t="str">
        <f>HYPERLINK("http://www.uniprot.org/uniprot/M5W055","M5W055")</f>
        <v>M5W055</v>
      </c>
      <c r="D19926" s="2" t="s">
        <v>15157</v>
      </c>
      <c r="E19926" s="3">
        <v>0</v>
      </c>
      <c r="F19926" s="2">
        <v>1467</v>
      </c>
      <c r="G19926" s="2">
        <v>100</v>
      </c>
      <c r="H19926" s="2">
        <v>277</v>
      </c>
      <c r="I19926" s="2">
        <v>2046</v>
      </c>
      <c r="J19926" s="2">
        <v>2876</v>
      </c>
      <c r="K19926" s="2">
        <v>1</v>
      </c>
      <c r="L19926" s="2">
        <v>277</v>
      </c>
    </row>
    <row r="19927" spans="1:12" x14ac:dyDescent="0.25">
      <c r="A19927" s="4" t="str">
        <f>HYPERLINK("http://www.rosaceae.org/Prunus/Prunus_persica/p.persica_gdr_reftransV1_0004556","p.persica_gdr_reftransV1_0004556")</f>
        <v>p.persica_gdr_reftransV1_0004556</v>
      </c>
      <c r="B19927" s="2">
        <v>2068</v>
      </c>
      <c r="C19927" s="4" t="str">
        <f>HYPERLINK("http://www.uniprot.org/uniprot/M5X0P8","M5X0P8")</f>
        <v>M5X0P8</v>
      </c>
      <c r="D19927" s="2" t="s">
        <v>9788</v>
      </c>
      <c r="E19927" s="3">
        <v>0</v>
      </c>
      <c r="F19927" s="2">
        <v>2573</v>
      </c>
      <c r="G19927" s="2">
        <v>95</v>
      </c>
      <c r="H19927" s="2">
        <v>592</v>
      </c>
      <c r="I19927" s="2">
        <v>124</v>
      </c>
      <c r="J19927" s="2">
        <v>1899</v>
      </c>
      <c r="K19927" s="2">
        <v>1</v>
      </c>
      <c r="L19927" s="2">
        <v>568</v>
      </c>
    </row>
    <row r="19928" spans="1:12" x14ac:dyDescent="0.25">
      <c r="A19928" s="4" t="str">
        <f>HYPERLINK("http://www.rosaceae.org/Prunus/Prunus_persica/p.persica_gdr_reftransV1_0004906","p.persica_gdr_reftransV1_0004906")</f>
        <v>p.persica_gdr_reftransV1_0004906</v>
      </c>
      <c r="B19928" s="2">
        <v>371</v>
      </c>
      <c r="C19928" s="4" t="str">
        <f>HYPERLINK("http://www.uniprot.org/uniprot/M5WNA5","M5WNA5")</f>
        <v>M5WNA5</v>
      </c>
      <c r="D19928" s="2" t="s">
        <v>10527</v>
      </c>
      <c r="E19928" s="3">
        <v>4.92E-49</v>
      </c>
      <c r="F19928" s="2">
        <v>435</v>
      </c>
      <c r="G19928" s="2">
        <v>100</v>
      </c>
      <c r="H19928" s="2">
        <v>102</v>
      </c>
      <c r="I19928" s="2">
        <v>2</v>
      </c>
      <c r="J19928" s="2">
        <v>307</v>
      </c>
      <c r="K19928" s="2">
        <v>77</v>
      </c>
      <c r="L19928" s="2">
        <v>178</v>
      </c>
    </row>
    <row r="19929" spans="1:12" x14ac:dyDescent="0.25">
      <c r="A19929" s="4" t="str">
        <f>HYPERLINK("http://www.rosaceae.org/Prunus/Prunus_persica/p.persica_gdr_reftransV1_0006306","p.persica_gdr_reftransV1_0006306")</f>
        <v>p.persica_gdr_reftransV1_0006306</v>
      </c>
      <c r="B19929" s="2">
        <v>847</v>
      </c>
      <c r="C19929" s="4" t="str">
        <f>HYPERLINK("http://www.uniprot.org/uniprot/G2Y5A0","G2Y5A0")</f>
        <v>G2Y5A0</v>
      </c>
      <c r="D19929" s="2" t="s">
        <v>15158</v>
      </c>
      <c r="E19929" s="3">
        <v>1.6200000000000001E-136</v>
      </c>
      <c r="F19929" s="2">
        <v>1042</v>
      </c>
      <c r="G19929" s="2">
        <v>99</v>
      </c>
      <c r="H19929" s="2">
        <v>198</v>
      </c>
      <c r="I19929" s="2">
        <v>253</v>
      </c>
      <c r="J19929" s="2">
        <v>846</v>
      </c>
      <c r="K19929" s="2">
        <v>247</v>
      </c>
      <c r="L19929" s="2">
        <v>444</v>
      </c>
    </row>
    <row r="19930" spans="1:12" x14ac:dyDescent="0.25">
      <c r="A19930" s="4" t="str">
        <f>HYPERLINK("http://www.rosaceae.org/Prunus/Prunus_persica/p.persica_gdr_reftransV1_0008756","p.persica_gdr_reftransV1_0008756")</f>
        <v>p.persica_gdr_reftransV1_0008756</v>
      </c>
      <c r="B19930" s="2">
        <v>538</v>
      </c>
      <c r="C19930" s="4" t="str">
        <f>HYPERLINK("http://www.uniprot.org/uniprot/M5WMP3","M5WMP3")</f>
        <v>M5WMP3</v>
      </c>
      <c r="D19930" s="2" t="s">
        <v>10235</v>
      </c>
      <c r="E19930" s="3">
        <v>4.8899999999999998E-108</v>
      </c>
      <c r="F19930" s="2">
        <v>870</v>
      </c>
      <c r="G19930" s="2">
        <v>100</v>
      </c>
      <c r="H19930" s="2">
        <v>178</v>
      </c>
      <c r="I19930" s="2">
        <v>3</v>
      </c>
      <c r="J19930" s="2">
        <v>536</v>
      </c>
      <c r="K19930" s="2">
        <v>432</v>
      </c>
      <c r="L19930" s="2">
        <v>609</v>
      </c>
    </row>
    <row r="19931" spans="1:12" x14ac:dyDescent="0.25">
      <c r="A19931" s="4" t="str">
        <f>HYPERLINK("http://www.rosaceae.org/Prunus/Prunus_persica/p.persica_gdr_reftransV1_0009106","p.persica_gdr_reftransV1_0009106")</f>
        <v>p.persica_gdr_reftransV1_0009106</v>
      </c>
      <c r="B19931" s="2">
        <v>2867</v>
      </c>
      <c r="C19931" s="4" t="str">
        <f>HYPERLINK("http://www.uniprot.org/uniprot/M5VIK1","M5VIK1")</f>
        <v>M5VIK1</v>
      </c>
      <c r="D19931" s="2" t="s">
        <v>15159</v>
      </c>
      <c r="E19931" s="3">
        <v>0</v>
      </c>
      <c r="F19931" s="2">
        <v>3547</v>
      </c>
      <c r="G19931" s="2">
        <v>100</v>
      </c>
      <c r="H19931" s="2">
        <v>773</v>
      </c>
      <c r="I19931" s="2">
        <v>515</v>
      </c>
      <c r="J19931" s="2">
        <v>2833</v>
      </c>
      <c r="K19931" s="2">
        <v>1</v>
      </c>
      <c r="L19931" s="2">
        <v>773</v>
      </c>
    </row>
    <row r="19932" spans="1:12" x14ac:dyDescent="0.25">
      <c r="A19932" s="4" t="str">
        <f>HYPERLINK("http://www.rosaceae.org/Prunus/Prunus_persica/p.persica_gdr_reftransV1_0009456","p.persica_gdr_reftransV1_0009456")</f>
        <v>p.persica_gdr_reftransV1_0009456</v>
      </c>
      <c r="B19932" s="2">
        <v>1461</v>
      </c>
      <c r="C19932" s="4" t="str">
        <f>HYPERLINK("http://www.uniprot.org/uniprot/M5VXW7","M5VXW7")</f>
        <v>M5VXW7</v>
      </c>
      <c r="D19932" s="2" t="s">
        <v>15160</v>
      </c>
      <c r="E19932" s="3">
        <v>0</v>
      </c>
      <c r="F19932" s="2">
        <v>1866</v>
      </c>
      <c r="G19932" s="2">
        <v>100</v>
      </c>
      <c r="H19932" s="2">
        <v>350</v>
      </c>
      <c r="I19932" s="2">
        <v>255</v>
      </c>
      <c r="J19932" s="2">
        <v>1304</v>
      </c>
      <c r="K19932" s="2">
        <v>1</v>
      </c>
      <c r="L19932" s="2">
        <v>350</v>
      </c>
    </row>
    <row r="19933" spans="1:12" x14ac:dyDescent="0.25">
      <c r="A19933" s="4" t="str">
        <f>HYPERLINK("http://www.rosaceae.org/Prunus/Prunus_persica/p.persica_gdr_reftransV1_0009806","p.persica_gdr_reftransV1_0009806")</f>
        <v>p.persica_gdr_reftransV1_0009806</v>
      </c>
      <c r="B19933" s="2">
        <v>1468</v>
      </c>
      <c r="C19933" s="4" t="str">
        <f>HYPERLINK("http://www.uniprot.org/uniprot/M5XNM1","M5XNM1")</f>
        <v>M5XNM1</v>
      </c>
      <c r="D19933" s="2" t="s">
        <v>15161</v>
      </c>
      <c r="E19933" s="3">
        <v>0</v>
      </c>
      <c r="F19933" s="2">
        <v>1635</v>
      </c>
      <c r="G19933" s="2">
        <v>100</v>
      </c>
      <c r="H19933" s="2">
        <v>309</v>
      </c>
      <c r="I19933" s="2">
        <v>541</v>
      </c>
      <c r="J19933" s="2">
        <v>1467</v>
      </c>
      <c r="K19933" s="2">
        <v>1</v>
      </c>
      <c r="L19933" s="2">
        <v>309</v>
      </c>
    </row>
    <row r="19934" spans="1:12" x14ac:dyDescent="0.25">
      <c r="A19934" s="4" t="str">
        <f>HYPERLINK("http://www.rosaceae.org/Prunus/Prunus_persica/p.persica_gdr_reftransV1_0010506","p.persica_gdr_reftransV1_0010506")</f>
        <v>p.persica_gdr_reftransV1_0010506</v>
      </c>
      <c r="B19934" s="2">
        <v>1470</v>
      </c>
      <c r="C19934" s="4" t="str">
        <f>HYPERLINK("http://www.uniprot.org/uniprot/M5WDP4","M5WDP4")</f>
        <v>M5WDP4</v>
      </c>
      <c r="D19934" s="2" t="s">
        <v>776</v>
      </c>
      <c r="E19934" s="3">
        <v>0</v>
      </c>
      <c r="F19934" s="2">
        <v>2388</v>
      </c>
      <c r="G19934" s="2">
        <v>93</v>
      </c>
      <c r="H19934" s="2">
        <v>490</v>
      </c>
      <c r="I19934" s="2">
        <v>1</v>
      </c>
      <c r="J19934" s="2">
        <v>1470</v>
      </c>
      <c r="K19934" s="2">
        <v>181</v>
      </c>
      <c r="L19934" s="2">
        <v>635</v>
      </c>
    </row>
    <row r="19935" spans="1:12" x14ac:dyDescent="0.25">
      <c r="A19935" s="4" t="str">
        <f>HYPERLINK("http://www.rosaceae.org/Prunus/Prunus_persica/p.persica_gdr_reftransV1_0010856","p.persica_gdr_reftransV1_0010856")</f>
        <v>p.persica_gdr_reftransV1_0010856</v>
      </c>
      <c r="B19935" s="2">
        <v>3339</v>
      </c>
      <c r="C19935" s="4" t="str">
        <f>HYPERLINK("http://www.uniprot.org/uniprot/M5XJL8","M5XJL8")</f>
        <v>M5XJL8</v>
      </c>
      <c r="D19935" s="2" t="s">
        <v>15162</v>
      </c>
      <c r="E19935" s="3">
        <v>1.1E-175</v>
      </c>
      <c r="F19935" s="2">
        <v>1376</v>
      </c>
      <c r="G19935" s="2">
        <v>99</v>
      </c>
      <c r="H19935" s="2">
        <v>308</v>
      </c>
      <c r="I19935" s="2">
        <v>1874</v>
      </c>
      <c r="J19935" s="2">
        <v>2797</v>
      </c>
      <c r="K19935" s="2">
        <v>106</v>
      </c>
      <c r="L19935" s="2">
        <v>413</v>
      </c>
    </row>
    <row r="19936" spans="1:12" x14ac:dyDescent="0.25">
      <c r="A19936" s="4" t="str">
        <f>HYPERLINK("http://www.rosaceae.org/Prunus/Prunus_persica/p.persica_gdr_reftransV1_0011206","p.persica_gdr_reftransV1_0011206")</f>
        <v>p.persica_gdr_reftransV1_0011206</v>
      </c>
      <c r="B19936" s="2">
        <v>1714</v>
      </c>
      <c r="C19936" s="4" t="str">
        <f>HYPERLINK("http://www.uniprot.org/uniprot/M5W3X1","M5W3X1")</f>
        <v>M5W3X1</v>
      </c>
      <c r="D19936" s="2" t="s">
        <v>15163</v>
      </c>
      <c r="E19936" s="3">
        <v>0</v>
      </c>
      <c r="F19936" s="2">
        <v>1972</v>
      </c>
      <c r="G19936" s="2">
        <v>100</v>
      </c>
      <c r="H19936" s="2">
        <v>372</v>
      </c>
      <c r="I19936" s="2">
        <v>510</v>
      </c>
      <c r="J19936" s="2">
        <v>1625</v>
      </c>
      <c r="K19936" s="2">
        <v>1</v>
      </c>
      <c r="L19936" s="2">
        <v>372</v>
      </c>
    </row>
    <row r="19937" spans="1:12" x14ac:dyDescent="0.25">
      <c r="A19937" s="4" t="str">
        <f>HYPERLINK("http://www.rosaceae.org/Prunus/Prunus_persica/p.persica_gdr_reftransV1_0011556","p.persica_gdr_reftransV1_0011556")</f>
        <v>p.persica_gdr_reftransV1_0011556</v>
      </c>
      <c r="B19937" s="2">
        <v>901</v>
      </c>
      <c r="C19937" s="4" t="str">
        <f>HYPERLINK("http://www.uniprot.org/uniprot/M5X313","M5X313")</f>
        <v>M5X313</v>
      </c>
      <c r="D19937" s="2" t="s">
        <v>15164</v>
      </c>
      <c r="E19937" s="3">
        <v>8.5699999999999997E-95</v>
      </c>
      <c r="F19937" s="2">
        <v>738</v>
      </c>
      <c r="G19937" s="2">
        <v>100</v>
      </c>
      <c r="H19937" s="2">
        <v>153</v>
      </c>
      <c r="I19937" s="2">
        <v>170</v>
      </c>
      <c r="J19937" s="2">
        <v>628</v>
      </c>
      <c r="K19937" s="2">
        <v>1</v>
      </c>
      <c r="L19937" s="2">
        <v>153</v>
      </c>
    </row>
    <row r="19938" spans="1:12" x14ac:dyDescent="0.25">
      <c r="A19938" s="4" t="str">
        <f>HYPERLINK("http://www.rosaceae.org/Prunus/Prunus_persica/p.persica_gdr_reftransV1_0011906","p.persica_gdr_reftransV1_0011906")</f>
        <v>p.persica_gdr_reftransV1_0011906</v>
      </c>
      <c r="B19938" s="2">
        <v>3506</v>
      </c>
      <c r="C19938" s="4" t="str">
        <f>HYPERLINK("http://www.uniprot.org/uniprot/M5WNY2","M5WNY2")</f>
        <v>M5WNY2</v>
      </c>
      <c r="D19938" s="2" t="s">
        <v>15165</v>
      </c>
      <c r="E19938" s="3">
        <v>0</v>
      </c>
      <c r="F19938" s="2">
        <v>3942</v>
      </c>
      <c r="G19938" s="2">
        <v>81</v>
      </c>
      <c r="H19938" s="2">
        <v>972</v>
      </c>
      <c r="I19938" s="2">
        <v>416</v>
      </c>
      <c r="J19938" s="2">
        <v>3331</v>
      </c>
      <c r="K19938" s="2">
        <v>50</v>
      </c>
      <c r="L19938" s="2">
        <v>938</v>
      </c>
    </row>
    <row r="19939" spans="1:12" x14ac:dyDescent="0.25">
      <c r="A19939" s="4" t="str">
        <f>HYPERLINK("http://www.rosaceae.org/Prunus/Prunus_persica/p.persica_gdr_reftransV1_0012256","p.persica_gdr_reftransV1_0012256")</f>
        <v>p.persica_gdr_reftransV1_0012256</v>
      </c>
      <c r="B19939" s="2">
        <v>4384</v>
      </c>
      <c r="C19939" s="4" t="str">
        <f>HYPERLINK("http://www.uniprot.org/uniprot/M5XAP9","M5XAP9")</f>
        <v>M5XAP9</v>
      </c>
      <c r="D19939" s="2" t="s">
        <v>15166</v>
      </c>
      <c r="E19939" s="3">
        <v>0</v>
      </c>
      <c r="F19939" s="2">
        <v>1724</v>
      </c>
      <c r="G19939" s="2">
        <v>94</v>
      </c>
      <c r="H19939" s="2">
        <v>348</v>
      </c>
      <c r="I19939" s="2">
        <v>2926</v>
      </c>
      <c r="J19939" s="2">
        <v>3969</v>
      </c>
      <c r="K19939" s="2">
        <v>287</v>
      </c>
      <c r="L19939" s="2">
        <v>631</v>
      </c>
    </row>
    <row r="19940" spans="1:12" x14ac:dyDescent="0.25">
      <c r="A19940" s="4" t="str">
        <f>HYPERLINK("http://www.rosaceae.org/Prunus/Prunus_persica/p.persica_gdr_reftransV1_0012956","p.persica_gdr_reftransV1_0012956")</f>
        <v>p.persica_gdr_reftransV1_0012956</v>
      </c>
      <c r="B19940" s="2">
        <v>1788</v>
      </c>
      <c r="C19940" s="4" t="str">
        <f>HYPERLINK("http://www.uniprot.org/uniprot/M5WHX6","M5WHX6")</f>
        <v>M5WHX6</v>
      </c>
      <c r="D19940" s="2" t="s">
        <v>5568</v>
      </c>
      <c r="E19940" s="3">
        <v>0</v>
      </c>
      <c r="F19940" s="2">
        <v>1937</v>
      </c>
      <c r="G19940" s="2">
        <v>100</v>
      </c>
      <c r="H19940" s="2">
        <v>416</v>
      </c>
      <c r="I19940" s="2">
        <v>325</v>
      </c>
      <c r="J19940" s="2">
        <v>1572</v>
      </c>
      <c r="K19940" s="2">
        <v>23</v>
      </c>
      <c r="L19940" s="2">
        <v>438</v>
      </c>
    </row>
    <row r="19941" spans="1:12" x14ac:dyDescent="0.25">
      <c r="A19941" s="4" t="str">
        <f>HYPERLINK("http://www.rosaceae.org/Prunus/Prunus_persica/p.persica_gdr_reftransV1_0014006","p.persica_gdr_reftransV1_0014006")</f>
        <v>p.persica_gdr_reftransV1_0014006</v>
      </c>
      <c r="B19941" s="2">
        <v>2335</v>
      </c>
      <c r="C19941" s="4" t="str">
        <f>HYPERLINK("http://www.uniprot.org/uniprot/M5WPZ3","M5WPZ3")</f>
        <v>M5WPZ3</v>
      </c>
      <c r="D19941" s="2" t="s">
        <v>5604</v>
      </c>
      <c r="E19941" s="3">
        <v>0</v>
      </c>
      <c r="F19941" s="2">
        <v>2860</v>
      </c>
      <c r="G19941" s="2">
        <v>100</v>
      </c>
      <c r="H19941" s="2">
        <v>560</v>
      </c>
      <c r="I19941" s="2">
        <v>3</v>
      </c>
      <c r="J19941" s="2">
        <v>1682</v>
      </c>
      <c r="K19941" s="2">
        <v>1</v>
      </c>
      <c r="L19941" s="2">
        <v>560</v>
      </c>
    </row>
    <row r="19942" spans="1:12" x14ac:dyDescent="0.25">
      <c r="A19942" s="4" t="str">
        <f>HYPERLINK("http://www.rosaceae.org/Prunus/Prunus_persica/p.persica_gdr_reftransV1_0014356","p.persica_gdr_reftransV1_0014356")</f>
        <v>p.persica_gdr_reftransV1_0014356</v>
      </c>
      <c r="B19942" s="2">
        <v>404</v>
      </c>
      <c r="C19942" s="4" t="str">
        <f>HYPERLINK("http://www.uniprot.org/uniprot/M5VVQ9","M5VVQ9")</f>
        <v>M5VVQ9</v>
      </c>
      <c r="D19942" s="2" t="s">
        <v>1770</v>
      </c>
      <c r="E19942" s="3">
        <v>1.1499999999999999E-84</v>
      </c>
      <c r="F19942" s="2">
        <v>717</v>
      </c>
      <c r="G19942" s="2">
        <v>100</v>
      </c>
      <c r="H19942" s="2">
        <v>134</v>
      </c>
      <c r="I19942" s="2">
        <v>2</v>
      </c>
      <c r="J19942" s="2">
        <v>403</v>
      </c>
      <c r="K19942" s="2">
        <v>1255</v>
      </c>
      <c r="L19942" s="2">
        <v>1388</v>
      </c>
    </row>
    <row r="19943" spans="1:12" x14ac:dyDescent="0.25">
      <c r="A19943" s="4" t="str">
        <f>HYPERLINK("http://www.rosaceae.org/Prunus/Prunus_persica/p.persica_gdr_reftransV1_0016106","p.persica_gdr_reftransV1_0016106")</f>
        <v>p.persica_gdr_reftransV1_0016106</v>
      </c>
      <c r="B19943" s="2">
        <v>1965</v>
      </c>
      <c r="C19943" s="4" t="str">
        <f>HYPERLINK("http://www.uniprot.org/uniprot/M5XEX8","M5XEX8")</f>
        <v>M5XEX8</v>
      </c>
      <c r="D19943" s="2" t="s">
        <v>15167</v>
      </c>
      <c r="E19943" s="3">
        <v>0</v>
      </c>
      <c r="F19943" s="2">
        <v>2609</v>
      </c>
      <c r="G19943" s="2">
        <v>100</v>
      </c>
      <c r="H19943" s="2">
        <v>522</v>
      </c>
      <c r="I19943" s="2">
        <v>137</v>
      </c>
      <c r="J19943" s="2">
        <v>1702</v>
      </c>
      <c r="K19943" s="2">
        <v>1</v>
      </c>
      <c r="L19943" s="2">
        <v>522</v>
      </c>
    </row>
    <row r="19944" spans="1:12" x14ac:dyDescent="0.25">
      <c r="A19944" s="4" t="str">
        <f>HYPERLINK("http://www.rosaceae.org/Prunus/Prunus_persica/p.persica_gdr_reftransV1_0016456","p.persica_gdr_reftransV1_0016456")</f>
        <v>p.persica_gdr_reftransV1_0016456</v>
      </c>
      <c r="B19944" s="2">
        <v>1780</v>
      </c>
      <c r="C19944" s="4" t="str">
        <f>HYPERLINK("http://www.uniprot.org/uniprot/M5WTJ4","M5WTJ4")</f>
        <v>M5WTJ4</v>
      </c>
      <c r="D19944" s="2" t="s">
        <v>14651</v>
      </c>
      <c r="E19944" s="3">
        <v>7.4000000000000003E-123</v>
      </c>
      <c r="F19944" s="2">
        <v>958</v>
      </c>
      <c r="G19944" s="2">
        <v>99</v>
      </c>
      <c r="H19944" s="2">
        <v>181</v>
      </c>
      <c r="I19944" s="2">
        <v>1087</v>
      </c>
      <c r="J19944" s="2">
        <v>1629</v>
      </c>
      <c r="K19944" s="2">
        <v>1</v>
      </c>
      <c r="L19944" s="2">
        <v>181</v>
      </c>
    </row>
    <row r="19945" spans="1:12" x14ac:dyDescent="0.25">
      <c r="A19945" s="4" t="str">
        <f>HYPERLINK("http://www.rosaceae.org/Prunus/Prunus_persica/p.persica_gdr_reftransV1_0017156","p.persica_gdr_reftransV1_0017156")</f>
        <v>p.persica_gdr_reftransV1_0017156</v>
      </c>
      <c r="B19945" s="2">
        <v>1682</v>
      </c>
      <c r="C19945" s="4" t="str">
        <f>HYPERLINK("http://www.uniprot.org/uniprot/M5WVN0","M5WVN0")</f>
        <v>M5WVN0</v>
      </c>
      <c r="D19945" s="2" t="s">
        <v>15168</v>
      </c>
      <c r="E19945" s="3">
        <v>8.2399999999999998E-89</v>
      </c>
      <c r="F19945" s="2">
        <v>721</v>
      </c>
      <c r="G19945" s="2">
        <v>100</v>
      </c>
      <c r="H19945" s="2">
        <v>138</v>
      </c>
      <c r="I19945" s="2">
        <v>149</v>
      </c>
      <c r="J19945" s="2">
        <v>562</v>
      </c>
      <c r="K19945" s="2">
        <v>10</v>
      </c>
      <c r="L19945" s="2">
        <v>147</v>
      </c>
    </row>
    <row r="19946" spans="1:12" x14ac:dyDescent="0.25">
      <c r="A19946" s="4" t="str">
        <f>HYPERLINK("http://www.rosaceae.org/Prunus/Prunus_persica/p.persica_gdr_reftransV1_0017506","p.persica_gdr_reftransV1_0017506")</f>
        <v>p.persica_gdr_reftransV1_0017506</v>
      </c>
      <c r="B19946" s="2">
        <v>2908</v>
      </c>
      <c r="C19946" s="4" t="str">
        <f>HYPERLINK("http://www.uniprot.org/uniprot/M5W944","M5W944")</f>
        <v>M5W944</v>
      </c>
      <c r="D19946" s="2" t="s">
        <v>15169</v>
      </c>
      <c r="E19946" s="3">
        <v>0</v>
      </c>
      <c r="F19946" s="2">
        <v>2400</v>
      </c>
      <c r="G19946" s="2">
        <v>99</v>
      </c>
      <c r="H19946" s="2">
        <v>571</v>
      </c>
      <c r="I19946" s="2">
        <v>264</v>
      </c>
      <c r="J19946" s="2">
        <v>1976</v>
      </c>
      <c r="K19946" s="2">
        <v>1</v>
      </c>
      <c r="L19946" s="2">
        <v>566</v>
      </c>
    </row>
    <row r="19947" spans="1:12" x14ac:dyDescent="0.25">
      <c r="A19947" s="4" t="str">
        <f>HYPERLINK("http://www.rosaceae.org/Prunus/Prunus_persica/p.persica_gdr_reftransV1_0019606","p.persica_gdr_reftransV1_0019606")</f>
        <v>p.persica_gdr_reftransV1_0019606</v>
      </c>
      <c r="B19947" s="2">
        <v>1195</v>
      </c>
      <c r="C19947" s="4" t="str">
        <f>HYPERLINK("http://www.uniprot.org/uniprot/M5WH01","M5WH01")</f>
        <v>M5WH01</v>
      </c>
      <c r="D19947" s="2" t="s">
        <v>11550</v>
      </c>
      <c r="E19947" s="3">
        <v>9.4999999999999994E-120</v>
      </c>
      <c r="F19947" s="2">
        <v>839</v>
      </c>
      <c r="G19947" s="2">
        <v>100</v>
      </c>
      <c r="H19947" s="2">
        <v>172</v>
      </c>
      <c r="I19947" s="2">
        <v>78</v>
      </c>
      <c r="J19947" s="2">
        <v>593</v>
      </c>
      <c r="K19947" s="2">
        <v>1</v>
      </c>
      <c r="L19947" s="2">
        <v>172</v>
      </c>
    </row>
    <row r="19948" spans="1:12" x14ac:dyDescent="0.25">
      <c r="A19948" s="4" t="str">
        <f>HYPERLINK("http://www.rosaceae.org/Prunus/Prunus_persica/p.persica_gdr_reftransV1_0019956","p.persica_gdr_reftransV1_0019956")</f>
        <v>p.persica_gdr_reftransV1_0019956</v>
      </c>
      <c r="B19948" s="2">
        <v>3329</v>
      </c>
      <c r="C19948" s="4" t="str">
        <f>HYPERLINK("http://www.uniprot.org/uniprot/M5XL26","M5XL26")</f>
        <v>M5XL26</v>
      </c>
      <c r="D19948" s="2" t="s">
        <v>15170</v>
      </c>
      <c r="E19948" s="3">
        <v>0</v>
      </c>
      <c r="F19948" s="2">
        <v>4195</v>
      </c>
      <c r="G19948" s="2">
        <v>100</v>
      </c>
      <c r="H19948" s="2">
        <v>885</v>
      </c>
      <c r="I19948" s="2">
        <v>573</v>
      </c>
      <c r="J19948" s="2">
        <v>3227</v>
      </c>
      <c r="K19948" s="2">
        <v>1</v>
      </c>
      <c r="L19948" s="2">
        <v>885</v>
      </c>
    </row>
    <row r="19949" spans="1:12" x14ac:dyDescent="0.25">
      <c r="A19949" s="4" t="str">
        <f>HYPERLINK("http://www.rosaceae.org/Prunus/Prunus_persica/p.persica_gdr_reftransV1_0020306","p.persica_gdr_reftransV1_0020306")</f>
        <v>p.persica_gdr_reftransV1_0020306</v>
      </c>
      <c r="B19949" s="2">
        <v>1649</v>
      </c>
      <c r="C19949" s="4" t="str">
        <f>HYPERLINK("http://www.uniprot.org/uniprot/M5WV40","M5WV40")</f>
        <v>M5WV40</v>
      </c>
      <c r="D19949" s="2" t="s">
        <v>6106</v>
      </c>
      <c r="E19949" s="3">
        <v>0</v>
      </c>
      <c r="F19949" s="2">
        <v>1357</v>
      </c>
      <c r="G19949" s="2">
        <v>95</v>
      </c>
      <c r="H19949" s="2">
        <v>279</v>
      </c>
      <c r="I19949" s="2">
        <v>542</v>
      </c>
      <c r="J19949" s="2">
        <v>1378</v>
      </c>
      <c r="K19949" s="2">
        <v>1</v>
      </c>
      <c r="L19949" s="2">
        <v>279</v>
      </c>
    </row>
    <row r="19950" spans="1:12" x14ac:dyDescent="0.25">
      <c r="A19950" s="4" t="str">
        <f>HYPERLINK("http://www.rosaceae.org/Prunus/Prunus_persica/p.persica_gdr_reftransV1_0023456","p.persica_gdr_reftransV1_0023456")</f>
        <v>p.persica_gdr_reftransV1_0023456</v>
      </c>
      <c r="B19950" s="2">
        <v>1753</v>
      </c>
      <c r="C19950" s="4" t="str">
        <f>HYPERLINK("http://www.uniprot.org/uniprot/M5XRQ0","M5XRQ0")</f>
        <v>M5XRQ0</v>
      </c>
      <c r="D19950" s="2" t="s">
        <v>11641</v>
      </c>
      <c r="E19950" s="3">
        <v>0</v>
      </c>
      <c r="F19950" s="2">
        <v>1536</v>
      </c>
      <c r="G19950" s="2">
        <v>100</v>
      </c>
      <c r="H19950" s="2">
        <v>287</v>
      </c>
      <c r="I19950" s="2">
        <v>639</v>
      </c>
      <c r="J19950" s="2">
        <v>1499</v>
      </c>
      <c r="K19950" s="2">
        <v>104</v>
      </c>
      <c r="L19950" s="2">
        <v>390</v>
      </c>
    </row>
    <row r="19951" spans="1:12" x14ac:dyDescent="0.25">
      <c r="A19951" s="4" t="str">
        <f>HYPERLINK("http://www.rosaceae.org/Prunus/Prunus_persica/p.persica_gdr_reftransV1_0024156","p.persica_gdr_reftransV1_0024156")</f>
        <v>p.persica_gdr_reftransV1_0024156</v>
      </c>
      <c r="B19951" s="2">
        <v>1445</v>
      </c>
      <c r="C19951" s="4" t="str">
        <f>HYPERLINK("http://www.uniprot.org/uniprot/M5XQ68","M5XQ68")</f>
        <v>M5XQ68</v>
      </c>
      <c r="D19951" s="2" t="s">
        <v>15171</v>
      </c>
      <c r="E19951" s="3">
        <v>0</v>
      </c>
      <c r="F19951" s="2">
        <v>1601</v>
      </c>
      <c r="G19951" s="2">
        <v>100</v>
      </c>
      <c r="H19951" s="2">
        <v>300</v>
      </c>
      <c r="I19951" s="2">
        <v>316</v>
      </c>
      <c r="J19951" s="2">
        <v>1215</v>
      </c>
      <c r="K19951" s="2">
        <v>1</v>
      </c>
      <c r="L19951" s="2">
        <v>300</v>
      </c>
    </row>
    <row r="19952" spans="1:12" x14ac:dyDescent="0.25">
      <c r="A19952" s="4" t="str">
        <f>HYPERLINK("http://www.rosaceae.org/Prunus/Prunus_persica/p.persica_gdr_reftransV1_0024856","p.persica_gdr_reftransV1_0024856")</f>
        <v>p.persica_gdr_reftransV1_0024856</v>
      </c>
      <c r="B19952" s="2">
        <v>1332</v>
      </c>
      <c r="C19952" s="4" t="str">
        <f>HYPERLINK("http://www.uniprot.org/uniprot/M5WH97","M5WH97")</f>
        <v>M5WH97</v>
      </c>
      <c r="D19952" s="2" t="s">
        <v>15172</v>
      </c>
      <c r="E19952" s="3">
        <v>0</v>
      </c>
      <c r="F19952" s="2">
        <v>1585</v>
      </c>
      <c r="G19952" s="2">
        <v>100</v>
      </c>
      <c r="H19952" s="2">
        <v>299</v>
      </c>
      <c r="I19952" s="2">
        <v>435</v>
      </c>
      <c r="J19952" s="2">
        <v>1331</v>
      </c>
      <c r="K19952" s="2">
        <v>130</v>
      </c>
      <c r="L19952" s="2">
        <v>428</v>
      </c>
    </row>
    <row r="19953" spans="1:12" x14ac:dyDescent="0.25">
      <c r="A19953" s="4" t="str">
        <f>HYPERLINK("http://www.rosaceae.org/Prunus/Prunus_persica/p.persica_gdr_reftransV1_0025906","p.persica_gdr_reftransV1_0025906")</f>
        <v>p.persica_gdr_reftransV1_0025906</v>
      </c>
      <c r="B19953" s="2">
        <v>2360</v>
      </c>
      <c r="C19953" s="4" t="str">
        <f>HYPERLINK("http://www.uniprot.org/uniprot/M5W2M3","M5W2M3")</f>
        <v>M5W2M3</v>
      </c>
      <c r="D19953" s="2" t="s">
        <v>15173</v>
      </c>
      <c r="E19953" s="3">
        <v>1.3099999999999999E-113</v>
      </c>
      <c r="F19953" s="2">
        <v>925</v>
      </c>
      <c r="G19953" s="2">
        <v>100</v>
      </c>
      <c r="H19953" s="2">
        <v>176</v>
      </c>
      <c r="I19953" s="2">
        <v>1394</v>
      </c>
      <c r="J19953" s="2">
        <v>1921</v>
      </c>
      <c r="K19953" s="2">
        <v>1</v>
      </c>
      <c r="L19953" s="2">
        <v>176</v>
      </c>
    </row>
    <row r="19954" spans="1:12" x14ac:dyDescent="0.25">
      <c r="A19954" s="4" t="str">
        <f>HYPERLINK("http://www.rosaceae.org/Prunus/Prunus_persica/p.persica_gdr_reftransV1_0026606","p.persica_gdr_reftransV1_0026606")</f>
        <v>p.persica_gdr_reftransV1_0026606</v>
      </c>
      <c r="B19954" s="2">
        <v>2479</v>
      </c>
      <c r="C19954" s="4" t="str">
        <f>HYPERLINK("http://www.uniprot.org/uniprot/M5WUH6","M5WUH6")</f>
        <v>M5WUH6</v>
      </c>
      <c r="D19954" s="2" t="s">
        <v>15174</v>
      </c>
      <c r="E19954" s="3">
        <v>6.5499999999999998E-90</v>
      </c>
      <c r="F19954" s="2">
        <v>759</v>
      </c>
      <c r="G19954" s="2">
        <v>84</v>
      </c>
      <c r="H19954" s="2">
        <v>180</v>
      </c>
      <c r="I19954" s="2">
        <v>657</v>
      </c>
      <c r="J19954" s="2">
        <v>1196</v>
      </c>
      <c r="K19954" s="2">
        <v>120</v>
      </c>
      <c r="L19954" s="2">
        <v>271</v>
      </c>
    </row>
    <row r="19955" spans="1:12" x14ac:dyDescent="0.25">
      <c r="A19955" s="4" t="str">
        <f>HYPERLINK("http://www.rosaceae.org/Prunus/Prunus_persica/p.persica_gdr_reftransV1_0027306","p.persica_gdr_reftransV1_0027306")</f>
        <v>p.persica_gdr_reftransV1_0027306</v>
      </c>
      <c r="B19955" s="2">
        <v>1246</v>
      </c>
      <c r="C19955" s="4" t="str">
        <f>HYPERLINK("http://www.uniprot.org/uniprot/M5X0E7","M5X0E7")</f>
        <v>M5X0E7</v>
      </c>
      <c r="D19955" s="2" t="s">
        <v>12095</v>
      </c>
      <c r="E19955" s="3">
        <v>9.3299999999999995E-126</v>
      </c>
      <c r="F19955" s="2">
        <v>964</v>
      </c>
      <c r="G19955" s="2">
        <v>100</v>
      </c>
      <c r="H19955" s="2">
        <v>199</v>
      </c>
      <c r="I19955" s="2">
        <v>650</v>
      </c>
      <c r="J19955" s="2">
        <v>1246</v>
      </c>
      <c r="K19955" s="2">
        <v>52</v>
      </c>
      <c r="L19955" s="2">
        <v>250</v>
      </c>
    </row>
    <row r="19956" spans="1:12" x14ac:dyDescent="0.25">
      <c r="A19956" s="4" t="str">
        <f>HYPERLINK("http://www.rosaceae.org/Prunus/Prunus_persica/p.persica_gdr_reftransV1_0029756","p.persica_gdr_reftransV1_0029756")</f>
        <v>p.persica_gdr_reftransV1_0029756</v>
      </c>
      <c r="B19956" s="2">
        <v>1770</v>
      </c>
      <c r="C19956" s="4" t="str">
        <f>HYPERLINK("http://www.uniprot.org/uniprot/M5VR39","M5VR39")</f>
        <v>M5VR39</v>
      </c>
      <c r="D19956" s="2" t="s">
        <v>15175</v>
      </c>
      <c r="E19956" s="3">
        <v>1.3499999999999999E-133</v>
      </c>
      <c r="F19956" s="2">
        <v>1029</v>
      </c>
      <c r="G19956" s="2">
        <v>100</v>
      </c>
      <c r="H19956" s="2">
        <v>210</v>
      </c>
      <c r="I19956" s="2">
        <v>1055</v>
      </c>
      <c r="J19956" s="2">
        <v>1684</v>
      </c>
      <c r="K19956" s="2">
        <v>1</v>
      </c>
      <c r="L19956" s="2">
        <v>210</v>
      </c>
    </row>
    <row r="19957" spans="1:12" x14ac:dyDescent="0.25">
      <c r="A19957" s="4" t="str">
        <f>HYPERLINK("http://www.rosaceae.org/Prunus/Prunus_persica/p.persica_gdr_reftransV1_0030106","p.persica_gdr_reftransV1_0030106")</f>
        <v>p.persica_gdr_reftransV1_0030106</v>
      </c>
      <c r="B19957" s="2">
        <v>901</v>
      </c>
      <c r="C19957" s="4" t="str">
        <f>HYPERLINK("http://www.uniprot.org/uniprot/M5VQ40","M5VQ40")</f>
        <v>M5VQ40</v>
      </c>
      <c r="D19957" s="2" t="s">
        <v>685</v>
      </c>
      <c r="E19957" s="3">
        <v>3.86E-94</v>
      </c>
      <c r="F19957" s="2">
        <v>746</v>
      </c>
      <c r="G19957" s="2">
        <v>99</v>
      </c>
      <c r="H19957" s="2">
        <v>147</v>
      </c>
      <c r="I19957" s="2">
        <v>461</v>
      </c>
      <c r="J19957" s="2">
        <v>901</v>
      </c>
      <c r="K19957" s="2">
        <v>139</v>
      </c>
      <c r="L19957" s="2">
        <v>285</v>
      </c>
    </row>
    <row r="19958" spans="1:12" x14ac:dyDescent="0.25">
      <c r="A19958" s="4" t="str">
        <f>HYPERLINK("http://www.rosaceae.org/Prunus/Prunus_persica/p.persica_gdr_reftransV1_0031856","p.persica_gdr_reftransV1_0031856")</f>
        <v>p.persica_gdr_reftransV1_0031856</v>
      </c>
      <c r="B19958" s="2">
        <v>1068</v>
      </c>
      <c r="C19958" s="4" t="str">
        <f>HYPERLINK("http://www.uniprot.org/uniprot/M5XG67","M5XG67")</f>
        <v>M5XG67</v>
      </c>
      <c r="D19958" s="2" t="s">
        <v>15176</v>
      </c>
      <c r="E19958" s="3">
        <v>6.4600000000000002E-46</v>
      </c>
      <c r="F19958" s="2">
        <v>416</v>
      </c>
      <c r="G19958" s="2">
        <v>94</v>
      </c>
      <c r="H19958" s="2">
        <v>80</v>
      </c>
      <c r="I19958" s="2">
        <v>545</v>
      </c>
      <c r="J19958" s="2">
        <v>784</v>
      </c>
      <c r="K19958" s="2">
        <v>10</v>
      </c>
      <c r="L19958" s="2">
        <v>89</v>
      </c>
    </row>
    <row r="19959" spans="1:12" x14ac:dyDescent="0.25">
      <c r="A19959" s="4" t="str">
        <f>HYPERLINK("http://www.rosaceae.org/Prunus/Prunus_persica/p.persica_gdr_reftransV1_0033256","p.persica_gdr_reftransV1_0033256")</f>
        <v>p.persica_gdr_reftransV1_0033256</v>
      </c>
      <c r="B19959" s="2">
        <v>3111</v>
      </c>
      <c r="C19959" s="4" t="str">
        <f>HYPERLINK("http://www.uniprot.org/uniprot/M5XQ18","M5XQ18")</f>
        <v>M5XQ18</v>
      </c>
      <c r="D19959" s="2" t="s">
        <v>15177</v>
      </c>
      <c r="E19959" s="3">
        <v>0</v>
      </c>
      <c r="F19959" s="2">
        <v>3631</v>
      </c>
      <c r="G19959" s="2">
        <v>100</v>
      </c>
      <c r="H19959" s="2">
        <v>714</v>
      </c>
      <c r="I19959" s="2">
        <v>829</v>
      </c>
      <c r="J19959" s="2">
        <v>2970</v>
      </c>
      <c r="K19959" s="2">
        <v>1</v>
      </c>
      <c r="L19959" s="2">
        <v>714</v>
      </c>
    </row>
    <row r="19960" spans="1:12" x14ac:dyDescent="0.25">
      <c r="A19960" s="4" t="str">
        <f>HYPERLINK("http://www.rosaceae.org/Prunus/Prunus_persica/p.persica_gdr_reftransV1_0035006","p.persica_gdr_reftransV1_0035006")</f>
        <v>p.persica_gdr_reftransV1_0035006</v>
      </c>
      <c r="B19960" s="2">
        <v>1168</v>
      </c>
      <c r="C19960" s="4" t="str">
        <f>HYPERLINK("http://www.uniprot.org/uniprot/M5WZF4","M5WZF4")</f>
        <v>M5WZF4</v>
      </c>
      <c r="D19960" s="2" t="s">
        <v>11279</v>
      </c>
      <c r="E19960" s="3">
        <v>1.3999999999999999E-84</v>
      </c>
      <c r="F19960" s="2">
        <v>706</v>
      </c>
      <c r="G19960" s="2">
        <v>100</v>
      </c>
      <c r="H19960" s="2">
        <v>135</v>
      </c>
      <c r="I19960" s="2">
        <v>1</v>
      </c>
      <c r="J19960" s="2">
        <v>405</v>
      </c>
      <c r="K19960" s="2">
        <v>77</v>
      </c>
      <c r="L19960" s="2">
        <v>211</v>
      </c>
    </row>
    <row r="19961" spans="1:12" x14ac:dyDescent="0.25">
      <c r="A19961" s="4" t="str">
        <f>HYPERLINK("http://www.rosaceae.org/Prunus/Prunus_persica/p.persica_gdr_reftransV1_0038506","p.persica_gdr_reftransV1_0038506")</f>
        <v>p.persica_gdr_reftransV1_0038506</v>
      </c>
      <c r="B19961" s="2">
        <v>711</v>
      </c>
      <c r="C19961" s="4" t="str">
        <f>HYPERLINK("http://www.uniprot.org/uniprot/M5XHC3","M5XHC3")</f>
        <v>M5XHC3</v>
      </c>
      <c r="D19961" s="2" t="s">
        <v>15178</v>
      </c>
      <c r="E19961" s="3">
        <v>1.31E-126</v>
      </c>
      <c r="F19961" s="2">
        <v>962</v>
      </c>
      <c r="G19961" s="2">
        <v>100</v>
      </c>
      <c r="H19961" s="2">
        <v>178</v>
      </c>
      <c r="I19961" s="2">
        <v>178</v>
      </c>
      <c r="J19961" s="2">
        <v>711</v>
      </c>
      <c r="K19961" s="2">
        <v>125</v>
      </c>
      <c r="L19961" s="2">
        <v>302</v>
      </c>
    </row>
    <row r="19962" spans="1:12" x14ac:dyDescent="0.25">
      <c r="A19962" s="4" t="str">
        <f>HYPERLINK("http://www.rosaceae.org/Prunus/Prunus_persica/p.persica_gdr_reftransV1_0040256","p.persica_gdr_reftransV1_0040256")</f>
        <v>p.persica_gdr_reftransV1_0040256</v>
      </c>
      <c r="B19962" s="2">
        <v>2549</v>
      </c>
      <c r="C19962" s="4" t="str">
        <f>HYPERLINK("http://www.uniprot.org/uniprot/M5X3D4","M5X3D4")</f>
        <v>M5X3D4</v>
      </c>
      <c r="D19962" s="2" t="s">
        <v>15179</v>
      </c>
      <c r="E19962" s="3">
        <v>2.2899999999999999E-56</v>
      </c>
      <c r="F19962" s="2">
        <v>521</v>
      </c>
      <c r="G19962" s="2">
        <v>100</v>
      </c>
      <c r="H19962" s="2">
        <v>138</v>
      </c>
      <c r="I19962" s="2">
        <v>222</v>
      </c>
      <c r="J19962" s="2">
        <v>635</v>
      </c>
      <c r="K19962" s="2">
        <v>1</v>
      </c>
      <c r="L19962" s="2">
        <v>138</v>
      </c>
    </row>
    <row r="19963" spans="1:12" x14ac:dyDescent="0.25">
      <c r="A19963" s="4" t="str">
        <f>HYPERLINK("http://www.rosaceae.org/Prunus/Prunus_persica/p.persica_gdr_reftransV1_0040956","p.persica_gdr_reftransV1_0040956")</f>
        <v>p.persica_gdr_reftransV1_0040956</v>
      </c>
      <c r="B19963" s="2">
        <v>3768</v>
      </c>
      <c r="C19963" s="4" t="str">
        <f>HYPERLINK("http://www.uniprot.org/uniprot/M5WE01","M5WE01")</f>
        <v>M5WE01</v>
      </c>
      <c r="D19963" s="2" t="s">
        <v>3001</v>
      </c>
      <c r="E19963" s="3">
        <v>0</v>
      </c>
      <c r="F19963" s="2">
        <v>3046</v>
      </c>
      <c r="G19963" s="2">
        <v>100</v>
      </c>
      <c r="H19963" s="2">
        <v>577</v>
      </c>
      <c r="I19963" s="2">
        <v>1820</v>
      </c>
      <c r="J19963" s="2">
        <v>3550</v>
      </c>
      <c r="K19963" s="2">
        <v>1</v>
      </c>
      <c r="L19963" s="2">
        <v>577</v>
      </c>
    </row>
    <row r="19964" spans="1:12" x14ac:dyDescent="0.25">
      <c r="A19964" s="4" t="str">
        <f>HYPERLINK("http://www.rosaceae.org/Prunus/Prunus_persica/p.persica_gdr_reftransV1_0043056","p.persica_gdr_reftransV1_0043056")</f>
        <v>p.persica_gdr_reftransV1_0043056</v>
      </c>
      <c r="B19964" s="2">
        <v>460</v>
      </c>
      <c r="C19964" s="4" t="str">
        <f>HYPERLINK("http://www.uniprot.org/uniprot/M5X878","M5X878")</f>
        <v>M5X878</v>
      </c>
      <c r="D19964" s="2" t="s">
        <v>15180</v>
      </c>
      <c r="E19964" s="3">
        <v>4.3999999999999997E-82</v>
      </c>
      <c r="F19964" s="2">
        <v>636</v>
      </c>
      <c r="G19964" s="2">
        <v>100</v>
      </c>
      <c r="H19964" s="2">
        <v>122</v>
      </c>
      <c r="I19964" s="2">
        <v>54</v>
      </c>
      <c r="J19964" s="2">
        <v>419</v>
      </c>
      <c r="K19964" s="2">
        <v>1</v>
      </c>
      <c r="L19964" s="2">
        <v>122</v>
      </c>
    </row>
    <row r="19965" spans="1:12" x14ac:dyDescent="0.25">
      <c r="A19965" s="4" t="str">
        <f>HYPERLINK("http://www.rosaceae.org/Prunus/Prunus_persica/p.persica_gdr_reftransV1_0043756","p.persica_gdr_reftransV1_0043756")</f>
        <v>p.persica_gdr_reftransV1_0043756</v>
      </c>
      <c r="B19965" s="2">
        <v>852</v>
      </c>
      <c r="C19965" s="4" t="str">
        <f>HYPERLINK("http://www.uniprot.org/uniprot/M5WZ10","M5WZ10")</f>
        <v>M5WZ10</v>
      </c>
      <c r="D19965" s="2" t="s">
        <v>111</v>
      </c>
      <c r="E19965" s="3">
        <v>0</v>
      </c>
      <c r="F19965" s="2">
        <v>1538</v>
      </c>
      <c r="G19965" s="2">
        <v>100</v>
      </c>
      <c r="H19965" s="2">
        <v>284</v>
      </c>
      <c r="I19965" s="2">
        <v>1</v>
      </c>
      <c r="J19965" s="2">
        <v>852</v>
      </c>
      <c r="K19965" s="2">
        <v>95</v>
      </c>
      <c r="L19965" s="2">
        <v>378</v>
      </c>
    </row>
    <row r="19966" spans="1:12" x14ac:dyDescent="0.25">
      <c r="A19966" s="4" t="str">
        <f>HYPERLINK("http://www.rosaceae.org/Prunus/Prunus_persica/p.persica_gdr_reftransV1_0044106","p.persica_gdr_reftransV1_0044106")</f>
        <v>p.persica_gdr_reftransV1_0044106</v>
      </c>
      <c r="B19966" s="2">
        <v>1134</v>
      </c>
      <c r="C19966" s="4" t="str">
        <f>HYPERLINK("http://www.uniprot.org/uniprot/M5WEU6","M5WEU6")</f>
        <v>M5WEU6</v>
      </c>
      <c r="D19966" s="2" t="s">
        <v>15181</v>
      </c>
      <c r="E19966" s="3">
        <v>3.3199999999999999E-157</v>
      </c>
      <c r="F19966" s="2">
        <v>1167</v>
      </c>
      <c r="G19966" s="2">
        <v>98</v>
      </c>
      <c r="H19966" s="2">
        <v>242</v>
      </c>
      <c r="I19966" s="2">
        <v>163</v>
      </c>
      <c r="J19966" s="2">
        <v>888</v>
      </c>
      <c r="K19966" s="2">
        <v>1</v>
      </c>
      <c r="L19966" s="2">
        <v>242</v>
      </c>
    </row>
    <row r="19967" spans="1:12" x14ac:dyDescent="0.25">
      <c r="A19967" s="4" t="str">
        <f>HYPERLINK("http://www.rosaceae.org/Prunus/Prunus_persica/p.persica_gdr_reftransV1_0044456","p.persica_gdr_reftransV1_0044456")</f>
        <v>p.persica_gdr_reftransV1_0044456</v>
      </c>
      <c r="B19967" s="2">
        <v>613</v>
      </c>
      <c r="C19967" s="4" t="str">
        <f>HYPERLINK("http://www.uniprot.org/uniprot/M5WIH6","M5WIH6")</f>
        <v>M5WIH6</v>
      </c>
      <c r="D19967" s="2" t="s">
        <v>15182</v>
      </c>
      <c r="E19967" s="3">
        <v>7.5799999999999997E-35</v>
      </c>
      <c r="F19967" s="2">
        <v>324</v>
      </c>
      <c r="G19967" s="2">
        <v>100</v>
      </c>
      <c r="H19967" s="2">
        <v>79</v>
      </c>
      <c r="I19967" s="2">
        <v>301</v>
      </c>
      <c r="J19967" s="2">
        <v>537</v>
      </c>
      <c r="K19967" s="2">
        <v>1</v>
      </c>
      <c r="L19967" s="2">
        <v>79</v>
      </c>
    </row>
    <row r="19968" spans="1:12" x14ac:dyDescent="0.25">
      <c r="A19968" s="4" t="str">
        <f>HYPERLINK("http://www.rosaceae.org/Prunus/Prunus_persica/p.persica_gdr_reftransV1_0044806","p.persica_gdr_reftransV1_0044806")</f>
        <v>p.persica_gdr_reftransV1_0044806</v>
      </c>
      <c r="B19968" s="2">
        <v>1417</v>
      </c>
      <c r="C19968" s="4" t="str">
        <f>HYPERLINK("http://www.uniprot.org/uniprot/M5XGE1","M5XGE1")</f>
        <v>M5XGE1</v>
      </c>
      <c r="D19968" s="2" t="s">
        <v>6965</v>
      </c>
      <c r="E19968" s="3">
        <v>4.1299999999999997E-121</v>
      </c>
      <c r="F19968" s="2">
        <v>938</v>
      </c>
      <c r="G19968" s="2">
        <v>99</v>
      </c>
      <c r="H19968" s="2">
        <v>190</v>
      </c>
      <c r="I19968" s="2">
        <v>129</v>
      </c>
      <c r="J19968" s="2">
        <v>698</v>
      </c>
      <c r="K19968" s="2">
        <v>1</v>
      </c>
      <c r="L19968" s="2">
        <v>190</v>
      </c>
    </row>
    <row r="19969" spans="1:12" x14ac:dyDescent="0.25">
      <c r="A19969" s="4" t="str">
        <f>HYPERLINK("http://www.rosaceae.org/Prunus/Prunus_persica/p.persica_gdr_reftransV1_0045156","p.persica_gdr_reftransV1_0045156")</f>
        <v>p.persica_gdr_reftransV1_0045156</v>
      </c>
      <c r="B19969" s="2">
        <v>499</v>
      </c>
      <c r="C19969" s="4" t="str">
        <f>HYPERLINK("http://www.uniprot.org/uniprot/M5XKL2","M5XKL2")</f>
        <v>M5XKL2</v>
      </c>
      <c r="D19969" s="2" t="s">
        <v>12944</v>
      </c>
      <c r="E19969" s="3">
        <v>3.8199999999999997E-39</v>
      </c>
      <c r="F19969" s="2">
        <v>384</v>
      </c>
      <c r="G19969" s="2">
        <v>100</v>
      </c>
      <c r="H19969" s="2">
        <v>145</v>
      </c>
      <c r="I19969" s="2">
        <v>2</v>
      </c>
      <c r="J19969" s="2">
        <v>436</v>
      </c>
      <c r="K19969" s="2">
        <v>1</v>
      </c>
      <c r="L19969" s="2">
        <v>145</v>
      </c>
    </row>
    <row r="19970" spans="1:12" x14ac:dyDescent="0.25">
      <c r="A19970" s="4" t="str">
        <f>HYPERLINK("http://www.rosaceae.org/Prunus/Prunus_persica/p.persica_gdr_reftransV1_0045506","p.persica_gdr_reftransV1_0045506")</f>
        <v>p.persica_gdr_reftransV1_0045506</v>
      </c>
      <c r="B19970" s="2">
        <v>734</v>
      </c>
      <c r="C19970" s="4" t="str">
        <f>HYPERLINK("http://www.uniprot.org/uniprot/M5WJM0","M5WJM0")</f>
        <v>M5WJM0</v>
      </c>
      <c r="D19970" s="2" t="s">
        <v>10632</v>
      </c>
      <c r="E19970" s="3">
        <v>4.9599999999999999E-42</v>
      </c>
      <c r="F19970" s="2">
        <v>378</v>
      </c>
      <c r="G19970" s="2">
        <v>100</v>
      </c>
      <c r="H19970" s="2">
        <v>72</v>
      </c>
      <c r="I19970" s="2">
        <v>206</v>
      </c>
      <c r="J19970" s="2">
        <v>421</v>
      </c>
      <c r="K19970" s="2">
        <v>37</v>
      </c>
      <c r="L19970" s="2">
        <v>108</v>
      </c>
    </row>
    <row r="19971" spans="1:12" x14ac:dyDescent="0.25">
      <c r="A19971" s="4" t="str">
        <f>HYPERLINK("http://www.rosaceae.org/Prunus/Prunus_persica/p.persica_gdr_reftransV1_0046206","p.persica_gdr_reftransV1_0046206")</f>
        <v>p.persica_gdr_reftransV1_0046206</v>
      </c>
      <c r="B19971" s="2">
        <v>864</v>
      </c>
      <c r="C19971" s="4" t="str">
        <f>HYPERLINK("http://www.uniprot.org/uniprot/M5WPI9","M5WPI9")</f>
        <v>M5WPI9</v>
      </c>
      <c r="D19971" s="2" t="s">
        <v>6765</v>
      </c>
      <c r="E19971" s="3">
        <v>1.4E-150</v>
      </c>
      <c r="F19971" s="2">
        <v>1137</v>
      </c>
      <c r="G19971" s="2">
        <v>100</v>
      </c>
      <c r="H19971" s="2">
        <v>237</v>
      </c>
      <c r="I19971" s="2">
        <v>111</v>
      </c>
      <c r="J19971" s="2">
        <v>821</v>
      </c>
      <c r="K19971" s="2">
        <v>1</v>
      </c>
      <c r="L19971" s="2">
        <v>237</v>
      </c>
    </row>
    <row r="19972" spans="1:12" x14ac:dyDescent="0.25">
      <c r="A19972" s="4" t="str">
        <f>HYPERLINK("http://www.rosaceae.org/Prunus/Prunus_persica/p.persica_gdr_reftransV1_0046556","p.persica_gdr_reftransV1_0046556")</f>
        <v>p.persica_gdr_reftransV1_0046556</v>
      </c>
      <c r="B19972" s="2">
        <v>996</v>
      </c>
      <c r="C19972" s="4" t="str">
        <f>HYPERLINK("http://www.uniprot.org/uniprot/M5X6B2","M5X6B2")</f>
        <v>M5X6B2</v>
      </c>
      <c r="D19972" s="2" t="s">
        <v>15183</v>
      </c>
      <c r="E19972" s="3">
        <v>7.6100000000000005E-117</v>
      </c>
      <c r="F19972" s="2">
        <v>893</v>
      </c>
      <c r="G19972" s="2">
        <v>100</v>
      </c>
      <c r="H19972" s="2">
        <v>217</v>
      </c>
      <c r="I19972" s="2">
        <v>116</v>
      </c>
      <c r="J19972" s="2">
        <v>766</v>
      </c>
      <c r="K19972" s="2">
        <v>1</v>
      </c>
      <c r="L19972" s="2">
        <v>217</v>
      </c>
    </row>
    <row r="19973" spans="1:12" x14ac:dyDescent="0.25">
      <c r="A19973" s="4" t="str">
        <f>HYPERLINK("http://www.rosaceae.org/Prunus/Prunus_persica/p.persica_gdr_reftransV1_0046906","p.persica_gdr_reftransV1_0046906")</f>
        <v>p.persica_gdr_reftransV1_0046906</v>
      </c>
      <c r="B19973" s="2">
        <v>797</v>
      </c>
      <c r="C19973" s="4" t="str">
        <f>HYPERLINK("http://www.uniprot.org/uniprot/M5XH76","M5XH76")</f>
        <v>M5XH76</v>
      </c>
      <c r="D19973" s="2" t="s">
        <v>3949</v>
      </c>
      <c r="E19973" s="3">
        <v>1.8899999999999998E-108</v>
      </c>
      <c r="F19973" s="2">
        <v>825</v>
      </c>
      <c r="G19973" s="2">
        <v>100</v>
      </c>
      <c r="H19973" s="2">
        <v>158</v>
      </c>
      <c r="I19973" s="2">
        <v>214</v>
      </c>
      <c r="J19973" s="2">
        <v>687</v>
      </c>
      <c r="K19973" s="2">
        <v>1</v>
      </c>
      <c r="L19973" s="2">
        <v>158</v>
      </c>
    </row>
    <row r="19974" spans="1:12" x14ac:dyDescent="0.25">
      <c r="A19974" s="4" t="str">
        <f>HYPERLINK("http://www.rosaceae.org/Prunus/Prunus_persica/p.persica_gdr_reftransV1_0047256","p.persica_gdr_reftransV1_0047256")</f>
        <v>p.persica_gdr_reftransV1_0047256</v>
      </c>
      <c r="B19974" s="2">
        <v>894</v>
      </c>
      <c r="C19974" s="4" t="str">
        <f>HYPERLINK("http://www.uniprot.org/uniprot/M5X0F5","M5X0F5")</f>
        <v>M5X0F5</v>
      </c>
      <c r="D19974" s="2" t="s">
        <v>15184</v>
      </c>
      <c r="E19974" s="3">
        <v>2.7599999999999998E-118</v>
      </c>
      <c r="F19974" s="2">
        <v>897</v>
      </c>
      <c r="G19974" s="2">
        <v>100</v>
      </c>
      <c r="H19974" s="2">
        <v>192</v>
      </c>
      <c r="I19974" s="2">
        <v>95</v>
      </c>
      <c r="J19974" s="2">
        <v>670</v>
      </c>
      <c r="K19974" s="2">
        <v>1</v>
      </c>
      <c r="L19974" s="2">
        <v>192</v>
      </c>
    </row>
    <row r="19975" spans="1:12" x14ac:dyDescent="0.25">
      <c r="A19975" s="4" t="str">
        <f>HYPERLINK("http://www.rosaceae.org/Prunus/Prunus_persica/p.persica_gdr_reftransV1_0047606","p.persica_gdr_reftransV1_0047606")</f>
        <v>p.persica_gdr_reftransV1_0047606</v>
      </c>
      <c r="B19975" s="2">
        <v>768</v>
      </c>
      <c r="C19975" s="4" t="str">
        <f>HYPERLINK("http://www.uniprot.org/uniprot/M5WRM2","M5WRM2")</f>
        <v>M5WRM2</v>
      </c>
      <c r="D19975" s="2" t="s">
        <v>13699</v>
      </c>
      <c r="E19975" s="3">
        <v>1.55E-150</v>
      </c>
      <c r="F19975" s="2">
        <v>1132</v>
      </c>
      <c r="G19975" s="2">
        <v>100</v>
      </c>
      <c r="H19975" s="2">
        <v>210</v>
      </c>
      <c r="I19975" s="2">
        <v>138</v>
      </c>
      <c r="J19975" s="2">
        <v>767</v>
      </c>
      <c r="K19975" s="2">
        <v>1</v>
      </c>
      <c r="L19975" s="2">
        <v>210</v>
      </c>
    </row>
    <row r="19976" spans="1:12" x14ac:dyDescent="0.25">
      <c r="A19976" s="4" t="str">
        <f>HYPERLINK("http://www.rosaceae.org/Prunus/Prunus_persica/p.persica_gdr_reftransV1_0047956","p.persica_gdr_reftransV1_0047956")</f>
        <v>p.persica_gdr_reftransV1_0047956</v>
      </c>
      <c r="B19976" s="2">
        <v>703</v>
      </c>
      <c r="C19976" s="4" t="str">
        <f>HYPERLINK("http://www.uniprot.org/uniprot/M5WU77","M5WU77")</f>
        <v>M5WU77</v>
      </c>
      <c r="D19976" s="2" t="s">
        <v>13110</v>
      </c>
      <c r="E19976" s="3">
        <v>2.9000000000000002E-144</v>
      </c>
      <c r="F19976" s="2">
        <v>1121</v>
      </c>
      <c r="G19976" s="2">
        <v>91</v>
      </c>
      <c r="H19976" s="2">
        <v>233</v>
      </c>
      <c r="I19976" s="2">
        <v>3</v>
      </c>
      <c r="J19976" s="2">
        <v>701</v>
      </c>
      <c r="K19976" s="2">
        <v>78</v>
      </c>
      <c r="L19976" s="2">
        <v>290</v>
      </c>
    </row>
    <row r="19977" spans="1:12" x14ac:dyDescent="0.25">
      <c r="A19977" s="4" t="str">
        <f>HYPERLINK("http://www.rosaceae.org/Prunus/Prunus_persica/p.persica_gdr_reftransV1_0048306","p.persica_gdr_reftransV1_0048306")</f>
        <v>p.persica_gdr_reftransV1_0048306</v>
      </c>
      <c r="B19977" s="2">
        <v>2540</v>
      </c>
      <c r="C19977" s="4" t="str">
        <f>HYPERLINK("http://www.uniprot.org/uniprot/M5X4Q7","M5X4Q7")</f>
        <v>M5X4Q7</v>
      </c>
      <c r="D19977" s="2" t="s">
        <v>7589</v>
      </c>
      <c r="E19977" s="3">
        <v>0</v>
      </c>
      <c r="F19977" s="2">
        <v>1672</v>
      </c>
      <c r="G19977" s="2">
        <v>83</v>
      </c>
      <c r="H19977" s="2">
        <v>447</v>
      </c>
      <c r="I19977" s="2">
        <v>109</v>
      </c>
      <c r="J19977" s="2">
        <v>1404</v>
      </c>
      <c r="K19977" s="2">
        <v>12</v>
      </c>
      <c r="L19977" s="2">
        <v>444</v>
      </c>
    </row>
    <row r="19978" spans="1:12" x14ac:dyDescent="0.25">
      <c r="A19978" s="4" t="str">
        <f>HYPERLINK("http://www.rosaceae.org/Prunus/Prunus_persica/p.persica_gdr_reftransV1_0048656","p.persica_gdr_reftransV1_0048656")</f>
        <v>p.persica_gdr_reftransV1_0048656</v>
      </c>
      <c r="B19978" s="2">
        <v>1436</v>
      </c>
      <c r="C19978" s="4" t="str">
        <f>HYPERLINK("http://www.uniprot.org/uniprot/M5VR71","M5VR71")</f>
        <v>M5VR71</v>
      </c>
      <c r="D19978" s="2" t="s">
        <v>12399</v>
      </c>
      <c r="E19978" s="3">
        <v>3.3099999999999999E-171</v>
      </c>
      <c r="F19978" s="2">
        <v>1278</v>
      </c>
      <c r="G19978" s="2">
        <v>100</v>
      </c>
      <c r="H19978" s="2">
        <v>316</v>
      </c>
      <c r="I19978" s="2">
        <v>214</v>
      </c>
      <c r="J19978" s="2">
        <v>1161</v>
      </c>
      <c r="K19978" s="2">
        <v>1</v>
      </c>
      <c r="L19978" s="2">
        <v>316</v>
      </c>
    </row>
    <row r="19979" spans="1:12" x14ac:dyDescent="0.25">
      <c r="A19979" s="4" t="str">
        <f>HYPERLINK("http://www.rosaceae.org/Prunus/Prunus_persica/p.persica_gdr_reftransV1_0049006","p.persica_gdr_reftransV1_0049006")</f>
        <v>p.persica_gdr_reftransV1_0049006</v>
      </c>
      <c r="B19979" s="2">
        <v>1093</v>
      </c>
      <c r="C19979" s="4" t="str">
        <f>HYPERLINK("http://www.uniprot.org/uniprot/M5XFN5","M5XFN5")</f>
        <v>M5XFN5</v>
      </c>
      <c r="D19979" s="2" t="s">
        <v>15185</v>
      </c>
      <c r="E19979" s="3">
        <v>1.1100000000000001E-70</v>
      </c>
      <c r="F19979" s="2">
        <v>587</v>
      </c>
      <c r="G19979" s="2">
        <v>100</v>
      </c>
      <c r="H19979" s="2">
        <v>149</v>
      </c>
      <c r="I19979" s="2">
        <v>405</v>
      </c>
      <c r="J19979" s="2">
        <v>851</v>
      </c>
      <c r="K19979" s="2">
        <v>1</v>
      </c>
      <c r="L19979" s="2">
        <v>149</v>
      </c>
    </row>
    <row r="19980" spans="1:12" x14ac:dyDescent="0.25">
      <c r="A19980" s="4" t="str">
        <f>HYPERLINK("http://www.rosaceae.org/Prunus/Prunus_persica/p.persica_gdr_reftransV1_0000061","p.persica_gdr_reftransV1_0000061")</f>
        <v>p.persica_gdr_reftransV1_0000061</v>
      </c>
      <c r="B19980" s="2">
        <v>1833</v>
      </c>
      <c r="C19980" s="4" t="str">
        <f>HYPERLINK("http://www.uniprot.org/uniprot/M5XMF3","M5XMF3")</f>
        <v>M5XMF3</v>
      </c>
      <c r="D19980" s="2" t="s">
        <v>15186</v>
      </c>
      <c r="E19980" s="3">
        <v>0</v>
      </c>
      <c r="F19980" s="2">
        <v>2402</v>
      </c>
      <c r="G19980" s="2">
        <v>100</v>
      </c>
      <c r="H19980" s="2">
        <v>502</v>
      </c>
      <c r="I19980" s="2">
        <v>204</v>
      </c>
      <c r="J19980" s="2">
        <v>1709</v>
      </c>
      <c r="K19980" s="2">
        <v>1</v>
      </c>
      <c r="L19980" s="2">
        <v>502</v>
      </c>
    </row>
    <row r="19981" spans="1:12" x14ac:dyDescent="0.25">
      <c r="A19981" s="4" t="str">
        <f>HYPERLINK("http://www.rosaceae.org/Prunus/Prunus_persica/p.persica_gdr_reftransV1_0000411","p.persica_gdr_reftransV1_0000411")</f>
        <v>p.persica_gdr_reftransV1_0000411</v>
      </c>
      <c r="B19981" s="2">
        <v>2668</v>
      </c>
      <c r="C19981" s="4" t="str">
        <f>HYPERLINK("http://www.uniprot.org/uniprot/M5WG98","M5WG98")</f>
        <v>M5WG98</v>
      </c>
      <c r="D19981" s="2" t="s">
        <v>15187</v>
      </c>
      <c r="E19981" s="3">
        <v>0</v>
      </c>
      <c r="F19981" s="2">
        <v>3189</v>
      </c>
      <c r="G19981" s="2">
        <v>100</v>
      </c>
      <c r="H19981" s="2">
        <v>647</v>
      </c>
      <c r="I19981" s="2">
        <v>303</v>
      </c>
      <c r="J19981" s="2">
        <v>2243</v>
      </c>
      <c r="K19981" s="2">
        <v>1</v>
      </c>
      <c r="L19981" s="2">
        <v>647</v>
      </c>
    </row>
    <row r="19982" spans="1:12" x14ac:dyDescent="0.25">
      <c r="A19982" s="4" t="str">
        <f>HYPERLINK("http://www.rosaceae.org/Prunus/Prunus_persica/p.persica_gdr_reftransV1_0000761","p.persica_gdr_reftransV1_0000761")</f>
        <v>p.persica_gdr_reftransV1_0000761</v>
      </c>
      <c r="B19982" s="2">
        <v>906</v>
      </c>
      <c r="C19982" s="4" t="str">
        <f>HYPERLINK("http://www.uniprot.org/uniprot/M5XD10","M5XD10")</f>
        <v>M5XD10</v>
      </c>
      <c r="D19982" s="2" t="s">
        <v>9924</v>
      </c>
      <c r="E19982" s="3">
        <v>1.28E-70</v>
      </c>
      <c r="F19982" s="2">
        <v>606</v>
      </c>
      <c r="G19982" s="2">
        <v>100</v>
      </c>
      <c r="H19982" s="2">
        <v>113</v>
      </c>
      <c r="I19982" s="2">
        <v>567</v>
      </c>
      <c r="J19982" s="2">
        <v>905</v>
      </c>
      <c r="K19982" s="2">
        <v>1</v>
      </c>
      <c r="L19982" s="2">
        <v>113</v>
      </c>
    </row>
    <row r="19983" spans="1:12" x14ac:dyDescent="0.25">
      <c r="A19983" s="4" t="str">
        <f>HYPERLINK("http://www.rosaceae.org/Prunus/Prunus_persica/p.persica_gdr_reftransV1_0001461","p.persica_gdr_reftransV1_0001461")</f>
        <v>p.persica_gdr_reftransV1_0001461</v>
      </c>
      <c r="B19983" s="2">
        <v>1163</v>
      </c>
      <c r="C19983" s="4" t="str">
        <f>HYPERLINK("http://www.uniprot.org/uniprot/M5W147","M5W147")</f>
        <v>M5W147</v>
      </c>
      <c r="D19983" s="2" t="s">
        <v>15188</v>
      </c>
      <c r="E19983" s="3">
        <v>0</v>
      </c>
      <c r="F19983" s="2">
        <v>1595</v>
      </c>
      <c r="G19983" s="2">
        <v>100</v>
      </c>
      <c r="H19983" s="2">
        <v>299</v>
      </c>
      <c r="I19983" s="2">
        <v>1</v>
      </c>
      <c r="J19983" s="2">
        <v>897</v>
      </c>
      <c r="K19983" s="2">
        <v>119</v>
      </c>
      <c r="L19983" s="2">
        <v>417</v>
      </c>
    </row>
    <row r="19984" spans="1:12" x14ac:dyDescent="0.25">
      <c r="A19984" s="4" t="str">
        <f>HYPERLINK("http://www.rosaceae.org/Prunus/Prunus_persica/p.persica_gdr_reftransV1_0001811","p.persica_gdr_reftransV1_0001811")</f>
        <v>p.persica_gdr_reftransV1_0001811</v>
      </c>
      <c r="B19984" s="2">
        <v>2011</v>
      </c>
      <c r="C19984" s="4" t="str">
        <f>HYPERLINK("http://www.uniprot.org/uniprot/M5WTD4","M5WTD4")</f>
        <v>M5WTD4</v>
      </c>
      <c r="D19984" s="2" t="s">
        <v>15189</v>
      </c>
      <c r="E19984" s="3">
        <v>0</v>
      </c>
      <c r="F19984" s="2">
        <v>2573</v>
      </c>
      <c r="G19984" s="2">
        <v>96</v>
      </c>
      <c r="H19984" s="2">
        <v>503</v>
      </c>
      <c r="I19984" s="2">
        <v>240</v>
      </c>
      <c r="J19984" s="2">
        <v>1748</v>
      </c>
      <c r="K19984" s="2">
        <v>1</v>
      </c>
      <c r="L19984" s="2">
        <v>491</v>
      </c>
    </row>
    <row r="19985" spans="1:12" x14ac:dyDescent="0.25">
      <c r="A19985" s="4" t="str">
        <f>HYPERLINK("http://www.rosaceae.org/Prunus/Prunus_persica/p.persica_gdr_reftransV1_0002161","p.persica_gdr_reftransV1_0002161")</f>
        <v>p.persica_gdr_reftransV1_0002161</v>
      </c>
      <c r="B19985" s="2">
        <v>730</v>
      </c>
      <c r="C19985" s="4" t="str">
        <f>HYPERLINK("http://www.uniprot.org/uniprot/M5WEL9","M5WEL9")</f>
        <v>M5WEL9</v>
      </c>
      <c r="D19985" s="2" t="s">
        <v>15190</v>
      </c>
      <c r="E19985" s="3">
        <v>3.6899999999999998E-126</v>
      </c>
      <c r="F19985" s="2">
        <v>943</v>
      </c>
      <c r="G19985" s="2">
        <v>93</v>
      </c>
      <c r="H19985" s="2">
        <v>192</v>
      </c>
      <c r="I19985" s="2">
        <v>107</v>
      </c>
      <c r="J19985" s="2">
        <v>682</v>
      </c>
      <c r="K19985" s="2">
        <v>1</v>
      </c>
      <c r="L19985" s="2">
        <v>192</v>
      </c>
    </row>
    <row r="19986" spans="1:12" x14ac:dyDescent="0.25">
      <c r="A19986" s="4" t="str">
        <f>HYPERLINK("http://www.rosaceae.org/Prunus/Prunus_persica/p.persica_gdr_reftransV1_0002861","p.persica_gdr_reftransV1_0002861")</f>
        <v>p.persica_gdr_reftransV1_0002861</v>
      </c>
      <c r="B19986" s="2">
        <v>2002</v>
      </c>
      <c r="C19986" s="4" t="str">
        <f>HYPERLINK("http://www.uniprot.org/uniprot/M5W4P1","M5W4P1")</f>
        <v>M5W4P1</v>
      </c>
      <c r="D19986" s="2" t="s">
        <v>15001</v>
      </c>
      <c r="E19986" s="3">
        <v>0</v>
      </c>
      <c r="F19986" s="2">
        <v>2246</v>
      </c>
      <c r="G19986" s="2">
        <v>100</v>
      </c>
      <c r="H19986" s="2">
        <v>433</v>
      </c>
      <c r="I19986" s="2">
        <v>497</v>
      </c>
      <c r="J19986" s="2">
        <v>1795</v>
      </c>
      <c r="K19986" s="2">
        <v>1</v>
      </c>
      <c r="L19986" s="2">
        <v>433</v>
      </c>
    </row>
    <row r="19987" spans="1:12" x14ac:dyDescent="0.25">
      <c r="A19987" s="4" t="str">
        <f>HYPERLINK("http://www.rosaceae.org/Prunus/Prunus_persica/p.persica_gdr_reftransV1_0003561","p.persica_gdr_reftransV1_0003561")</f>
        <v>p.persica_gdr_reftransV1_0003561</v>
      </c>
      <c r="B19987" s="2">
        <v>669</v>
      </c>
      <c r="C19987" s="4" t="str">
        <f>HYPERLINK("http://www.uniprot.org/uniprot/M5XIJ9","M5XIJ9")</f>
        <v>M5XIJ9</v>
      </c>
      <c r="D19987" s="2" t="s">
        <v>10818</v>
      </c>
      <c r="E19987" s="3">
        <v>5.1000000000000001E-142</v>
      </c>
      <c r="F19987" s="2">
        <v>1057</v>
      </c>
      <c r="G19987" s="2">
        <v>100</v>
      </c>
      <c r="H19987" s="2">
        <v>196</v>
      </c>
      <c r="I19987" s="2">
        <v>81</v>
      </c>
      <c r="J19987" s="2">
        <v>668</v>
      </c>
      <c r="K19987" s="2">
        <v>1</v>
      </c>
      <c r="L19987" s="2">
        <v>196</v>
      </c>
    </row>
    <row r="19988" spans="1:12" x14ac:dyDescent="0.25">
      <c r="A19988" s="4" t="str">
        <f>HYPERLINK("http://www.rosaceae.org/Prunus/Prunus_persica/p.persica_gdr_reftransV1_0004261","p.persica_gdr_reftransV1_0004261")</f>
        <v>p.persica_gdr_reftransV1_0004261</v>
      </c>
      <c r="B19988" s="2">
        <v>1341</v>
      </c>
      <c r="C19988" s="4" t="str">
        <f>HYPERLINK("http://www.uniprot.org/uniprot/M5XIR1","M5XIR1")</f>
        <v>M5XIR1</v>
      </c>
      <c r="D19988" s="2" t="s">
        <v>7164</v>
      </c>
      <c r="E19988" s="3">
        <v>1.11E-175</v>
      </c>
      <c r="F19988" s="2">
        <v>1333</v>
      </c>
      <c r="G19988" s="2">
        <v>96</v>
      </c>
      <c r="H19988" s="2">
        <v>267</v>
      </c>
      <c r="I19988" s="2">
        <v>541</v>
      </c>
      <c r="J19988" s="2">
        <v>1341</v>
      </c>
      <c r="K19988" s="2">
        <v>1</v>
      </c>
      <c r="L19988" s="2">
        <v>255</v>
      </c>
    </row>
    <row r="19989" spans="1:12" x14ac:dyDescent="0.25">
      <c r="A19989" s="4" t="str">
        <f>HYPERLINK("http://www.rosaceae.org/Prunus/Prunus_persica/p.persica_gdr_reftransV1_0004611","p.persica_gdr_reftransV1_0004611")</f>
        <v>p.persica_gdr_reftransV1_0004611</v>
      </c>
      <c r="B19989" s="2">
        <v>1419</v>
      </c>
      <c r="C19989" s="4" t="str">
        <f>HYPERLINK("http://www.uniprot.org/uniprot/M5XUL3","M5XUL3")</f>
        <v>M5XUL3</v>
      </c>
      <c r="D19989" s="2" t="s">
        <v>7717</v>
      </c>
      <c r="E19989" s="3">
        <v>1.6700000000000001E-169</v>
      </c>
      <c r="F19989" s="2">
        <v>1297</v>
      </c>
      <c r="G19989" s="2">
        <v>100</v>
      </c>
      <c r="H19989" s="2">
        <v>239</v>
      </c>
      <c r="I19989" s="2">
        <v>3</v>
      </c>
      <c r="J19989" s="2">
        <v>719</v>
      </c>
      <c r="K19989" s="2">
        <v>396</v>
      </c>
      <c r="L19989" s="2">
        <v>634</v>
      </c>
    </row>
    <row r="19990" spans="1:12" x14ac:dyDescent="0.25">
      <c r="A19990" s="4" t="str">
        <f>HYPERLINK("http://www.rosaceae.org/Prunus/Prunus_persica/p.persica_gdr_reftransV1_0005311","p.persica_gdr_reftransV1_0005311")</f>
        <v>p.persica_gdr_reftransV1_0005311</v>
      </c>
      <c r="B19990" s="2">
        <v>3172</v>
      </c>
      <c r="C19990" s="4" t="str">
        <f>HYPERLINK("http://www.uniprot.org/uniprot/M5WJ78","M5WJ78")</f>
        <v>M5WJ78</v>
      </c>
      <c r="D19990" s="2" t="s">
        <v>12472</v>
      </c>
      <c r="E19990" s="3">
        <v>0</v>
      </c>
      <c r="F19990" s="2">
        <v>4424</v>
      </c>
      <c r="G19990" s="2">
        <v>97</v>
      </c>
      <c r="H19990" s="2">
        <v>868</v>
      </c>
      <c r="I19990" s="2">
        <v>444</v>
      </c>
      <c r="J19990" s="2">
        <v>3047</v>
      </c>
      <c r="K19990" s="2">
        <v>1</v>
      </c>
      <c r="L19990" s="2">
        <v>842</v>
      </c>
    </row>
    <row r="19991" spans="1:12" x14ac:dyDescent="0.25">
      <c r="A19991" s="4" t="str">
        <f>HYPERLINK("http://www.rosaceae.org/Prunus/Prunus_persica/p.persica_gdr_reftransV1_0005661","p.persica_gdr_reftransV1_0005661")</f>
        <v>p.persica_gdr_reftransV1_0005661</v>
      </c>
      <c r="B19991" s="2">
        <v>614</v>
      </c>
      <c r="C19991" s="4" t="str">
        <f>HYPERLINK("http://www.uniprot.org/uniprot/M5X2J7","M5X2J7")</f>
        <v>M5X2J7</v>
      </c>
      <c r="D19991" s="2" t="s">
        <v>4191</v>
      </c>
      <c r="E19991" s="3">
        <v>1.4299999999999999E-68</v>
      </c>
      <c r="F19991" s="2">
        <v>589</v>
      </c>
      <c r="G19991" s="2">
        <v>100</v>
      </c>
      <c r="H19991" s="2">
        <v>113</v>
      </c>
      <c r="I19991" s="2">
        <v>276</v>
      </c>
      <c r="J19991" s="2">
        <v>614</v>
      </c>
      <c r="K19991" s="2">
        <v>1</v>
      </c>
      <c r="L19991" s="2">
        <v>113</v>
      </c>
    </row>
    <row r="19992" spans="1:12" x14ac:dyDescent="0.25">
      <c r="A19992" s="4" t="str">
        <f>HYPERLINK("http://www.rosaceae.org/Prunus/Prunus_persica/p.persica_gdr_reftransV1_0007061","p.persica_gdr_reftransV1_0007061")</f>
        <v>p.persica_gdr_reftransV1_0007061</v>
      </c>
      <c r="B19992" s="2">
        <v>3367</v>
      </c>
      <c r="C19992" s="4" t="str">
        <f>HYPERLINK("http://www.uniprot.org/uniprot/M5XSX1","M5XSX1")</f>
        <v>M5XSX1</v>
      </c>
      <c r="D19992" s="2" t="s">
        <v>15191</v>
      </c>
      <c r="E19992" s="3">
        <v>0</v>
      </c>
      <c r="F19992" s="2">
        <v>3262</v>
      </c>
      <c r="G19992" s="2">
        <v>99</v>
      </c>
      <c r="H19992" s="2">
        <v>657</v>
      </c>
      <c r="I19992" s="2">
        <v>103</v>
      </c>
      <c r="J19992" s="2">
        <v>2070</v>
      </c>
      <c r="K19992" s="2">
        <v>1</v>
      </c>
      <c r="L19992" s="2">
        <v>657</v>
      </c>
    </row>
    <row r="19993" spans="1:12" x14ac:dyDescent="0.25">
      <c r="A19993" s="4" t="str">
        <f>HYPERLINK("http://www.rosaceae.org/Prunus/Prunus_persica/p.persica_gdr_reftransV1_0008111","p.persica_gdr_reftransV1_0008111")</f>
        <v>p.persica_gdr_reftransV1_0008111</v>
      </c>
      <c r="B19993" s="2">
        <v>965</v>
      </c>
      <c r="C19993" s="4" t="str">
        <f>HYPERLINK("http://www.uniprot.org/uniprot/M5W756","M5W756")</f>
        <v>M5W756</v>
      </c>
      <c r="D19993" s="2" t="s">
        <v>10282</v>
      </c>
      <c r="E19993" s="3">
        <v>3.0300000000000001E-141</v>
      </c>
      <c r="F19993" s="2">
        <v>1096</v>
      </c>
      <c r="G19993" s="2">
        <v>100</v>
      </c>
      <c r="H19993" s="2">
        <v>219</v>
      </c>
      <c r="I19993" s="2">
        <v>1</v>
      </c>
      <c r="J19993" s="2">
        <v>657</v>
      </c>
      <c r="K19993" s="2">
        <v>459</v>
      </c>
      <c r="L19993" s="2">
        <v>677</v>
      </c>
    </row>
    <row r="19994" spans="1:12" x14ac:dyDescent="0.25">
      <c r="A19994" s="4" t="str">
        <f>HYPERLINK("http://www.rosaceae.org/Prunus/Prunus_persica/p.persica_gdr_reftransV1_0009511","p.persica_gdr_reftransV1_0009511")</f>
        <v>p.persica_gdr_reftransV1_0009511</v>
      </c>
      <c r="B19994" s="2">
        <v>1992</v>
      </c>
      <c r="C19994" s="4" t="str">
        <f>HYPERLINK("http://www.uniprot.org/uniprot/M5XYK5","M5XYK5")</f>
        <v>M5XYK5</v>
      </c>
      <c r="D19994" s="2" t="s">
        <v>7672</v>
      </c>
      <c r="E19994" s="3">
        <v>0</v>
      </c>
      <c r="F19994" s="2">
        <v>2467</v>
      </c>
      <c r="G19994" s="2">
        <v>100</v>
      </c>
      <c r="H19994" s="2">
        <v>479</v>
      </c>
      <c r="I19994" s="2">
        <v>390</v>
      </c>
      <c r="J19994" s="2">
        <v>1826</v>
      </c>
      <c r="K19994" s="2">
        <v>1</v>
      </c>
      <c r="L19994" s="2">
        <v>479</v>
      </c>
    </row>
    <row r="19995" spans="1:12" x14ac:dyDescent="0.25">
      <c r="A19995" s="4" t="str">
        <f>HYPERLINK("http://www.rosaceae.org/Prunus/Prunus_persica/p.persica_gdr_reftransV1_0010561","p.persica_gdr_reftransV1_0010561")</f>
        <v>p.persica_gdr_reftransV1_0010561</v>
      </c>
      <c r="B19995" s="2">
        <v>654</v>
      </c>
      <c r="C19995" s="4" t="str">
        <f>HYPERLINK("http://www.uniprot.org/uniprot/M5VKN5","M5VKN5")</f>
        <v>M5VKN5</v>
      </c>
      <c r="D19995" s="2" t="s">
        <v>15192</v>
      </c>
      <c r="E19995" s="3">
        <v>1.2E-16</v>
      </c>
      <c r="F19995" s="2">
        <v>205</v>
      </c>
      <c r="G19995" s="2">
        <v>100</v>
      </c>
      <c r="H19995" s="2">
        <v>41</v>
      </c>
      <c r="I19995" s="2">
        <v>261</v>
      </c>
      <c r="J19995" s="2">
        <v>383</v>
      </c>
      <c r="K19995" s="2">
        <v>95</v>
      </c>
      <c r="L19995" s="2">
        <v>135</v>
      </c>
    </row>
    <row r="19996" spans="1:12" x14ac:dyDescent="0.25">
      <c r="A19996" s="4" t="str">
        <f>HYPERLINK("http://www.rosaceae.org/Prunus/Prunus_persica/p.persica_gdr_reftransV1_0011261","p.persica_gdr_reftransV1_0011261")</f>
        <v>p.persica_gdr_reftransV1_0011261</v>
      </c>
      <c r="B19996" s="2">
        <v>1689</v>
      </c>
      <c r="C19996" s="4" t="str">
        <f>HYPERLINK("http://www.uniprot.org/uniprot/M5WBG9","M5WBG9")</f>
        <v>M5WBG9</v>
      </c>
      <c r="D19996" s="2" t="s">
        <v>15193</v>
      </c>
      <c r="E19996" s="3">
        <v>3.8999999999999999E-164</v>
      </c>
      <c r="F19996" s="2">
        <v>1236</v>
      </c>
      <c r="G19996" s="2">
        <v>100</v>
      </c>
      <c r="H19996" s="2">
        <v>253</v>
      </c>
      <c r="I19996" s="2">
        <v>434</v>
      </c>
      <c r="J19996" s="2">
        <v>1192</v>
      </c>
      <c r="K19996" s="2">
        <v>26</v>
      </c>
      <c r="L19996" s="2">
        <v>278</v>
      </c>
    </row>
    <row r="19997" spans="1:12" x14ac:dyDescent="0.25">
      <c r="A19997" s="4" t="str">
        <f>HYPERLINK("http://www.rosaceae.org/Prunus/Prunus_persica/p.persica_gdr_reftransV1_0011611","p.persica_gdr_reftransV1_0011611")</f>
        <v>p.persica_gdr_reftransV1_0011611</v>
      </c>
      <c r="B19997" s="2">
        <v>1726</v>
      </c>
      <c r="C19997" s="4" t="str">
        <f>HYPERLINK("http://www.uniprot.org/uniprot/M5XC03","M5XC03")</f>
        <v>M5XC03</v>
      </c>
      <c r="D19997" s="2" t="s">
        <v>15194</v>
      </c>
      <c r="E19997" s="3">
        <v>0</v>
      </c>
      <c r="F19997" s="2">
        <v>2273</v>
      </c>
      <c r="G19997" s="2">
        <v>100</v>
      </c>
      <c r="H19997" s="2">
        <v>429</v>
      </c>
      <c r="I19997" s="2">
        <v>307</v>
      </c>
      <c r="J19997" s="2">
        <v>1593</v>
      </c>
      <c r="K19997" s="2">
        <v>1</v>
      </c>
      <c r="L19997" s="2">
        <v>429</v>
      </c>
    </row>
    <row r="19998" spans="1:12" x14ac:dyDescent="0.25">
      <c r="A19998" s="4" t="str">
        <f>HYPERLINK("http://www.rosaceae.org/Prunus/Prunus_persica/p.persica_gdr_reftransV1_0011961","p.persica_gdr_reftransV1_0011961")</f>
        <v>p.persica_gdr_reftransV1_0011961</v>
      </c>
      <c r="B19998" s="2">
        <v>1182</v>
      </c>
      <c r="C19998" s="4" t="str">
        <f>HYPERLINK("http://www.uniprot.org/uniprot/M5VKF1","M5VKF1")</f>
        <v>M5VKF1</v>
      </c>
      <c r="D19998" s="2" t="s">
        <v>15195</v>
      </c>
      <c r="E19998" s="3">
        <v>6.6600000000000003E-105</v>
      </c>
      <c r="F19998" s="2">
        <v>822</v>
      </c>
      <c r="G19998" s="2">
        <v>100</v>
      </c>
      <c r="H19998" s="2">
        <v>229</v>
      </c>
      <c r="I19998" s="2">
        <v>105</v>
      </c>
      <c r="J19998" s="2">
        <v>791</v>
      </c>
      <c r="K19998" s="2">
        <v>1</v>
      </c>
      <c r="L19998" s="2">
        <v>229</v>
      </c>
    </row>
    <row r="19999" spans="1:12" x14ac:dyDescent="0.25">
      <c r="A19999" s="4" t="str">
        <f>HYPERLINK("http://www.rosaceae.org/Prunus/Prunus_persica/p.persica_gdr_reftransV1_0012311","p.persica_gdr_reftransV1_0012311")</f>
        <v>p.persica_gdr_reftransV1_0012311</v>
      </c>
      <c r="B19999" s="2">
        <v>946</v>
      </c>
      <c r="C19999" s="4" t="str">
        <f>HYPERLINK("http://www.uniprot.org/uniprot/M5XZ60","M5XZ60")</f>
        <v>M5XZ60</v>
      </c>
      <c r="D19999" s="2" t="s">
        <v>15196</v>
      </c>
      <c r="E19999" s="3">
        <v>1.05E-146</v>
      </c>
      <c r="F19999" s="2">
        <v>1093</v>
      </c>
      <c r="G19999" s="2">
        <v>100</v>
      </c>
      <c r="H19999" s="2">
        <v>253</v>
      </c>
      <c r="I19999" s="2">
        <v>59</v>
      </c>
      <c r="J19999" s="2">
        <v>817</v>
      </c>
      <c r="K19999" s="2">
        <v>5</v>
      </c>
      <c r="L19999" s="2">
        <v>257</v>
      </c>
    </row>
    <row r="20000" spans="1:12" x14ac:dyDescent="0.25">
      <c r="A20000" s="4" t="str">
        <f>HYPERLINK("http://www.rosaceae.org/Prunus/Prunus_persica/p.persica_gdr_reftransV1_0012661","p.persica_gdr_reftransV1_0012661")</f>
        <v>p.persica_gdr_reftransV1_0012661</v>
      </c>
      <c r="B20000" s="2">
        <v>2220</v>
      </c>
      <c r="C20000" s="4" t="str">
        <f>HYPERLINK("http://www.uniprot.org/uniprot/M5XMX5","M5XMX5")</f>
        <v>M5XMX5</v>
      </c>
      <c r="D20000" s="2" t="s">
        <v>15197</v>
      </c>
      <c r="E20000" s="3">
        <v>2.3699999999999999E-133</v>
      </c>
      <c r="F20000" s="2">
        <v>1063</v>
      </c>
      <c r="G20000" s="2">
        <v>93</v>
      </c>
      <c r="H20000" s="2">
        <v>303</v>
      </c>
      <c r="I20000" s="2">
        <v>104</v>
      </c>
      <c r="J20000" s="2">
        <v>1012</v>
      </c>
      <c r="K20000" s="2">
        <v>1</v>
      </c>
      <c r="L20000" s="2">
        <v>281</v>
      </c>
    </row>
    <row r="20001" spans="1:12" x14ac:dyDescent="0.25">
      <c r="A20001" s="4" t="str">
        <f>HYPERLINK("http://www.rosaceae.org/Prunus/Prunus_persica/p.persica_gdr_reftransV1_0013711","p.persica_gdr_reftransV1_0013711")</f>
        <v>p.persica_gdr_reftransV1_0013711</v>
      </c>
      <c r="B20001" s="2">
        <v>1912</v>
      </c>
      <c r="C20001" s="4" t="str">
        <f>HYPERLINK("http://www.uniprot.org/uniprot/M5VY27","M5VY27")</f>
        <v>M5VY27</v>
      </c>
      <c r="D20001" s="2" t="s">
        <v>4612</v>
      </c>
      <c r="E20001" s="3">
        <v>6.2199999999999999E-102</v>
      </c>
      <c r="F20001" s="2">
        <v>846</v>
      </c>
      <c r="G20001" s="2">
        <v>89</v>
      </c>
      <c r="H20001" s="2">
        <v>180</v>
      </c>
      <c r="I20001" s="2">
        <v>303</v>
      </c>
      <c r="J20001" s="2">
        <v>812</v>
      </c>
      <c r="K20001" s="2">
        <v>187</v>
      </c>
      <c r="L20001" s="2">
        <v>366</v>
      </c>
    </row>
    <row r="20002" spans="1:12" x14ac:dyDescent="0.25">
      <c r="A20002" s="4" t="str">
        <f>HYPERLINK("http://www.rosaceae.org/Prunus/Prunus_persica/p.persica_gdr_reftransV1_0014061","p.persica_gdr_reftransV1_0014061")</f>
        <v>p.persica_gdr_reftransV1_0014061</v>
      </c>
      <c r="B20002" s="2">
        <v>1167</v>
      </c>
      <c r="C20002" s="4" t="str">
        <f>HYPERLINK("http://www.uniprot.org/uniprot/M5XW26","M5XW26")</f>
        <v>M5XW26</v>
      </c>
      <c r="D20002" s="2" t="s">
        <v>15198</v>
      </c>
      <c r="E20002" s="3">
        <v>0</v>
      </c>
      <c r="F20002" s="2">
        <v>1388</v>
      </c>
      <c r="G20002" s="2">
        <v>100</v>
      </c>
      <c r="H20002" s="2">
        <v>283</v>
      </c>
      <c r="I20002" s="2">
        <v>44</v>
      </c>
      <c r="J20002" s="2">
        <v>892</v>
      </c>
      <c r="K20002" s="2">
        <v>1</v>
      </c>
      <c r="L20002" s="2">
        <v>283</v>
      </c>
    </row>
    <row r="20003" spans="1:12" x14ac:dyDescent="0.25">
      <c r="A20003" s="4" t="str">
        <f>HYPERLINK("http://www.rosaceae.org/Prunus/Prunus_persica/p.persica_gdr_reftransV1_0014411","p.persica_gdr_reftransV1_0014411")</f>
        <v>p.persica_gdr_reftransV1_0014411</v>
      </c>
      <c r="B20003" s="2">
        <v>1531</v>
      </c>
      <c r="C20003" s="4" t="str">
        <f>HYPERLINK("http://www.uniprot.org/uniprot/M5VXW9","M5VXW9")</f>
        <v>M5VXW9</v>
      </c>
      <c r="D20003" s="2" t="s">
        <v>9893</v>
      </c>
      <c r="E20003" s="3">
        <v>1.2899999999999999E-173</v>
      </c>
      <c r="F20003" s="2">
        <v>1315</v>
      </c>
      <c r="G20003" s="2">
        <v>99</v>
      </c>
      <c r="H20003" s="2">
        <v>276</v>
      </c>
      <c r="I20003" s="2">
        <v>3</v>
      </c>
      <c r="J20003" s="2">
        <v>830</v>
      </c>
      <c r="K20003" s="2">
        <v>166</v>
      </c>
      <c r="L20003" s="2">
        <v>441</v>
      </c>
    </row>
    <row r="20004" spans="1:12" x14ac:dyDescent="0.25">
      <c r="A20004" s="4" t="str">
        <f>HYPERLINK("http://www.rosaceae.org/Prunus/Prunus_persica/p.persica_gdr_reftransV1_0016161","p.persica_gdr_reftransV1_0016161")</f>
        <v>p.persica_gdr_reftransV1_0016161</v>
      </c>
      <c r="B20004" s="2">
        <v>2066</v>
      </c>
      <c r="C20004" s="4" t="str">
        <f>HYPERLINK("http://www.uniprot.org/uniprot/M5XNB4","M5XNB4")</f>
        <v>M5XNB4</v>
      </c>
      <c r="D20004" s="2" t="s">
        <v>15199</v>
      </c>
      <c r="E20004" s="3">
        <v>0</v>
      </c>
      <c r="F20004" s="2">
        <v>2358</v>
      </c>
      <c r="G20004" s="2">
        <v>94</v>
      </c>
      <c r="H20004" s="2">
        <v>524</v>
      </c>
      <c r="I20004" s="2">
        <v>265</v>
      </c>
      <c r="J20004" s="2">
        <v>1836</v>
      </c>
      <c r="K20004" s="2">
        <v>1</v>
      </c>
      <c r="L20004" s="2">
        <v>492</v>
      </c>
    </row>
    <row r="20005" spans="1:12" x14ac:dyDescent="0.25">
      <c r="A20005" s="4" t="str">
        <f>HYPERLINK("http://www.rosaceae.org/Prunus/Prunus_persica/p.persica_gdr_reftransV1_0017561","p.persica_gdr_reftransV1_0017561")</f>
        <v>p.persica_gdr_reftransV1_0017561</v>
      </c>
      <c r="B20005" s="2">
        <v>1189</v>
      </c>
      <c r="C20005" s="4" t="str">
        <f>HYPERLINK("http://www.uniprot.org/uniprot/M5W147","M5W147")</f>
        <v>M5W147</v>
      </c>
      <c r="D20005" s="2" t="s">
        <v>15188</v>
      </c>
      <c r="E20005" s="3">
        <v>0</v>
      </c>
      <c r="F20005" s="2">
        <v>1872</v>
      </c>
      <c r="G20005" s="2">
        <v>100</v>
      </c>
      <c r="H20005" s="2">
        <v>351</v>
      </c>
      <c r="I20005" s="2">
        <v>136</v>
      </c>
      <c r="J20005" s="2">
        <v>1188</v>
      </c>
      <c r="K20005" s="2">
        <v>1</v>
      </c>
      <c r="L20005" s="2">
        <v>351</v>
      </c>
    </row>
    <row r="20006" spans="1:12" x14ac:dyDescent="0.25">
      <c r="A20006" s="4" t="str">
        <f>HYPERLINK("http://www.rosaceae.org/Prunus/Prunus_persica/p.persica_gdr_reftransV1_0017911","p.persica_gdr_reftransV1_0017911")</f>
        <v>p.persica_gdr_reftransV1_0017911</v>
      </c>
      <c r="B20006" s="2">
        <v>3166</v>
      </c>
      <c r="C20006" s="4" t="str">
        <f>HYPERLINK("http://www.uniprot.org/uniprot/M5W997","M5W997")</f>
        <v>M5W997</v>
      </c>
      <c r="D20006" s="2" t="s">
        <v>15200</v>
      </c>
      <c r="E20006" s="3">
        <v>0</v>
      </c>
      <c r="F20006" s="2">
        <v>1754</v>
      </c>
      <c r="G20006" s="2">
        <v>100</v>
      </c>
      <c r="H20006" s="2">
        <v>345</v>
      </c>
      <c r="I20006" s="2">
        <v>1378</v>
      </c>
      <c r="J20006" s="2">
        <v>2412</v>
      </c>
      <c r="K20006" s="2">
        <v>1</v>
      </c>
      <c r="L20006" s="2">
        <v>345</v>
      </c>
    </row>
    <row r="20007" spans="1:12" x14ac:dyDescent="0.25">
      <c r="A20007" s="4" t="str">
        <f>HYPERLINK("http://www.rosaceae.org/Prunus/Prunus_persica/p.persica_gdr_reftransV1_0018961","p.persica_gdr_reftransV1_0018961")</f>
        <v>p.persica_gdr_reftransV1_0018961</v>
      </c>
      <c r="B20007" s="2">
        <v>1859</v>
      </c>
      <c r="C20007" s="4" t="str">
        <f>HYPERLINK("http://www.uniprot.org/uniprot/M5VJ05","M5VJ05")</f>
        <v>M5VJ05</v>
      </c>
      <c r="D20007" s="2" t="s">
        <v>15201</v>
      </c>
      <c r="E20007" s="3">
        <v>0</v>
      </c>
      <c r="F20007" s="2">
        <v>1574</v>
      </c>
      <c r="G20007" s="2">
        <v>100</v>
      </c>
      <c r="H20007" s="2">
        <v>309</v>
      </c>
      <c r="I20007" s="2">
        <v>270</v>
      </c>
      <c r="J20007" s="2">
        <v>1196</v>
      </c>
      <c r="K20007" s="2">
        <v>153</v>
      </c>
      <c r="L20007" s="2">
        <v>461</v>
      </c>
    </row>
    <row r="20008" spans="1:12" x14ac:dyDescent="0.25">
      <c r="A20008" s="4" t="str">
        <f>HYPERLINK("http://www.rosaceae.org/Prunus/Prunus_persica/p.persica_gdr_reftransV1_0019311","p.persica_gdr_reftransV1_0019311")</f>
        <v>p.persica_gdr_reftransV1_0019311</v>
      </c>
      <c r="B20008" s="2">
        <v>1721</v>
      </c>
      <c r="C20008" s="4" t="str">
        <f>HYPERLINK("http://www.uniprot.org/uniprot/M5W2K6","M5W2K6")</f>
        <v>M5W2K6</v>
      </c>
      <c r="D20008" s="2" t="s">
        <v>15202</v>
      </c>
      <c r="E20008" s="3">
        <v>0</v>
      </c>
      <c r="F20008" s="2">
        <v>2271</v>
      </c>
      <c r="G20008" s="2">
        <v>99</v>
      </c>
      <c r="H20008" s="2">
        <v>443</v>
      </c>
      <c r="I20008" s="2">
        <v>395</v>
      </c>
      <c r="J20008" s="2">
        <v>1720</v>
      </c>
      <c r="K20008" s="2">
        <v>9</v>
      </c>
      <c r="L20008" s="2">
        <v>451</v>
      </c>
    </row>
    <row r="20009" spans="1:12" x14ac:dyDescent="0.25">
      <c r="A20009" s="4" t="str">
        <f>HYPERLINK("http://www.rosaceae.org/Prunus/Prunus_persica/p.persica_gdr_reftransV1_0019661","p.persica_gdr_reftransV1_0019661")</f>
        <v>p.persica_gdr_reftransV1_0019661</v>
      </c>
      <c r="B20009" s="2">
        <v>2980</v>
      </c>
      <c r="C20009" s="4" t="str">
        <f>HYPERLINK("http://www.uniprot.org/uniprot/M5W301","M5W301")</f>
        <v>M5W301</v>
      </c>
      <c r="D20009" s="2" t="s">
        <v>15203</v>
      </c>
      <c r="E20009" s="3">
        <v>4.9500000000000003E-80</v>
      </c>
      <c r="F20009" s="2">
        <v>697</v>
      </c>
      <c r="G20009" s="2">
        <v>100</v>
      </c>
      <c r="H20009" s="2">
        <v>133</v>
      </c>
      <c r="I20009" s="2">
        <v>709</v>
      </c>
      <c r="J20009" s="2">
        <v>1107</v>
      </c>
      <c r="K20009" s="2">
        <v>115</v>
      </c>
      <c r="L20009" s="2">
        <v>247</v>
      </c>
    </row>
    <row r="20010" spans="1:12" x14ac:dyDescent="0.25">
      <c r="A20010" s="4" t="str">
        <f>HYPERLINK("http://www.rosaceae.org/Prunus/Prunus_persica/p.persica_gdr_reftransV1_0020711","p.persica_gdr_reftransV1_0020711")</f>
        <v>p.persica_gdr_reftransV1_0020711</v>
      </c>
      <c r="B20010" s="2">
        <v>1503</v>
      </c>
      <c r="C20010" s="4" t="str">
        <f>HYPERLINK("http://www.uniprot.org/uniprot/M5VQH1","M5VQH1")</f>
        <v>M5VQH1</v>
      </c>
      <c r="D20010" s="2" t="s">
        <v>15204</v>
      </c>
      <c r="E20010" s="3">
        <v>0</v>
      </c>
      <c r="F20010" s="2">
        <v>1519</v>
      </c>
      <c r="G20010" s="2">
        <v>100</v>
      </c>
      <c r="H20010" s="2">
        <v>352</v>
      </c>
      <c r="I20010" s="2">
        <v>207</v>
      </c>
      <c r="J20010" s="2">
        <v>1262</v>
      </c>
      <c r="K20010" s="2">
        <v>1</v>
      </c>
      <c r="L20010" s="2">
        <v>352</v>
      </c>
    </row>
    <row r="20011" spans="1:12" x14ac:dyDescent="0.25">
      <c r="A20011" s="4" t="str">
        <f>HYPERLINK("http://www.rosaceae.org/Prunus/Prunus_persica/p.persica_gdr_reftransV1_0021061","p.persica_gdr_reftransV1_0021061")</f>
        <v>p.persica_gdr_reftransV1_0021061</v>
      </c>
      <c r="B20011" s="2">
        <v>2772</v>
      </c>
      <c r="C20011" s="4" t="str">
        <f>HYPERLINK("http://www.uniprot.org/uniprot/M5X7E8","M5X7E8")</f>
        <v>M5X7E8</v>
      </c>
      <c r="D20011" s="2" t="s">
        <v>7144</v>
      </c>
      <c r="E20011" s="3">
        <v>0</v>
      </c>
      <c r="F20011" s="2">
        <v>3234</v>
      </c>
      <c r="G20011" s="2">
        <v>96</v>
      </c>
      <c r="H20011" s="2">
        <v>663</v>
      </c>
      <c r="I20011" s="2">
        <v>323</v>
      </c>
      <c r="J20011" s="2">
        <v>2311</v>
      </c>
      <c r="K20011" s="2">
        <v>8</v>
      </c>
      <c r="L20011" s="2">
        <v>669</v>
      </c>
    </row>
    <row r="20012" spans="1:12" x14ac:dyDescent="0.25">
      <c r="A20012" s="4" t="str">
        <f>HYPERLINK("http://www.rosaceae.org/Prunus/Prunus_persica/p.persica_gdr_reftransV1_0021411","p.persica_gdr_reftransV1_0021411")</f>
        <v>p.persica_gdr_reftransV1_0021411</v>
      </c>
      <c r="B20012" s="2">
        <v>1871</v>
      </c>
      <c r="C20012" s="4" t="str">
        <f>HYPERLINK("http://www.uniprot.org/uniprot/M5X0E3","M5X0E3")</f>
        <v>M5X0E3</v>
      </c>
      <c r="D20012" s="2" t="s">
        <v>15205</v>
      </c>
      <c r="E20012" s="3">
        <v>9.5900000000000006E-153</v>
      </c>
      <c r="F20012" s="2">
        <v>1174</v>
      </c>
      <c r="G20012" s="2">
        <v>92</v>
      </c>
      <c r="H20012" s="2">
        <v>330</v>
      </c>
      <c r="I20012" s="2">
        <v>758</v>
      </c>
      <c r="J20012" s="2">
        <v>1738</v>
      </c>
      <c r="K20012" s="2">
        <v>1</v>
      </c>
      <c r="L20012" s="2">
        <v>322</v>
      </c>
    </row>
    <row r="20013" spans="1:12" x14ac:dyDescent="0.25">
      <c r="A20013" s="4" t="str">
        <f>HYPERLINK("http://www.rosaceae.org/Prunus/Prunus_persica/p.persica_gdr_reftransV1_0021761","p.persica_gdr_reftransV1_0021761")</f>
        <v>p.persica_gdr_reftransV1_0021761</v>
      </c>
      <c r="B20013" s="2">
        <v>2052</v>
      </c>
      <c r="C20013" s="4" t="str">
        <f>HYPERLINK("http://www.uniprot.org/uniprot/M5XZM7","M5XZM7")</f>
        <v>M5XZM7</v>
      </c>
      <c r="D20013" s="2" t="s">
        <v>3876</v>
      </c>
      <c r="E20013" s="3">
        <v>1.2E-31</v>
      </c>
      <c r="F20013" s="2">
        <v>330</v>
      </c>
      <c r="G20013" s="2">
        <v>97</v>
      </c>
      <c r="H20013" s="2">
        <v>106</v>
      </c>
      <c r="I20013" s="2">
        <v>1232</v>
      </c>
      <c r="J20013" s="2">
        <v>1549</v>
      </c>
      <c r="K20013" s="2">
        <v>72</v>
      </c>
      <c r="L20013" s="2">
        <v>177</v>
      </c>
    </row>
    <row r="20014" spans="1:12" x14ac:dyDescent="0.25">
      <c r="A20014" s="4" t="str">
        <f>HYPERLINK("http://www.rosaceae.org/Prunus/Prunus_persica/p.persica_gdr_reftransV1_0022111","p.persica_gdr_reftransV1_0022111")</f>
        <v>p.persica_gdr_reftransV1_0022111</v>
      </c>
      <c r="B20014" s="2">
        <v>2548</v>
      </c>
      <c r="C20014" s="4" t="str">
        <f>HYPERLINK("http://www.uniprot.org/uniprot/M5VVZ8","M5VVZ8")</f>
        <v>M5VVZ8</v>
      </c>
      <c r="D20014" s="2" t="s">
        <v>15206</v>
      </c>
      <c r="E20014" s="3">
        <v>0</v>
      </c>
      <c r="F20014" s="2">
        <v>2600</v>
      </c>
      <c r="G20014" s="2">
        <v>100</v>
      </c>
      <c r="H20014" s="2">
        <v>502</v>
      </c>
      <c r="I20014" s="2">
        <v>512</v>
      </c>
      <c r="J20014" s="2">
        <v>2017</v>
      </c>
      <c r="K20014" s="2">
        <v>1</v>
      </c>
      <c r="L20014" s="2">
        <v>502</v>
      </c>
    </row>
    <row r="20015" spans="1:12" x14ac:dyDescent="0.25">
      <c r="A20015" s="4" t="str">
        <f>HYPERLINK("http://www.rosaceae.org/Prunus/Prunus_persica/p.persica_gdr_reftransV1_0022811","p.persica_gdr_reftransV1_0022811")</f>
        <v>p.persica_gdr_reftransV1_0022811</v>
      </c>
      <c r="B20015" s="2">
        <v>1783</v>
      </c>
      <c r="C20015" s="4" t="str">
        <f>HYPERLINK("http://www.uniprot.org/uniprot/M5XLS8","M5XLS8")</f>
        <v>M5XLS8</v>
      </c>
      <c r="D20015" s="2" t="s">
        <v>15207</v>
      </c>
      <c r="E20015" s="3">
        <v>6.3199999999999998E-37</v>
      </c>
      <c r="F20015" s="2">
        <v>360</v>
      </c>
      <c r="G20015" s="2">
        <v>100</v>
      </c>
      <c r="H20015" s="2">
        <v>70</v>
      </c>
      <c r="I20015" s="2">
        <v>1179</v>
      </c>
      <c r="J20015" s="2">
        <v>1388</v>
      </c>
      <c r="K20015" s="2">
        <v>45</v>
      </c>
      <c r="L20015" s="2">
        <v>114</v>
      </c>
    </row>
    <row r="20016" spans="1:12" x14ac:dyDescent="0.25">
      <c r="A20016" s="4" t="str">
        <f>HYPERLINK("http://www.rosaceae.org/Prunus/Prunus_persica/p.persica_gdr_reftransV1_0023511","p.persica_gdr_reftransV1_0023511")</f>
        <v>p.persica_gdr_reftransV1_0023511</v>
      </c>
      <c r="B20016" s="2">
        <v>3313</v>
      </c>
      <c r="C20016" s="4" t="str">
        <f>HYPERLINK("http://www.uniprot.org/uniprot/M5WYB1","M5WYB1")</f>
        <v>M5WYB1</v>
      </c>
      <c r="D20016" s="2" t="s">
        <v>6794</v>
      </c>
      <c r="E20016" s="3">
        <v>5.0200000000000001E-72</v>
      </c>
      <c r="F20016" s="2">
        <v>637</v>
      </c>
      <c r="G20016" s="2">
        <v>100</v>
      </c>
      <c r="H20016" s="2">
        <v>124</v>
      </c>
      <c r="I20016" s="2">
        <v>2810</v>
      </c>
      <c r="J20016" s="2">
        <v>3181</v>
      </c>
      <c r="K20016" s="2">
        <v>1</v>
      </c>
      <c r="L20016" s="2">
        <v>124</v>
      </c>
    </row>
    <row r="20017" spans="1:12" x14ac:dyDescent="0.25">
      <c r="A20017" s="4" t="str">
        <f>HYPERLINK("http://www.rosaceae.org/Prunus/Prunus_persica/p.persica_gdr_reftransV1_0025611","p.persica_gdr_reftransV1_0025611")</f>
        <v>p.persica_gdr_reftransV1_0025611</v>
      </c>
      <c r="B20017" s="2">
        <v>808</v>
      </c>
      <c r="C20017" s="4" t="str">
        <f>HYPERLINK("http://www.uniprot.org/uniprot/M5WMP3","M5WMP3")</f>
        <v>M5WMP3</v>
      </c>
      <c r="D20017" s="2" t="s">
        <v>10235</v>
      </c>
      <c r="E20017" s="3">
        <v>0</v>
      </c>
      <c r="F20017" s="2">
        <v>1441</v>
      </c>
      <c r="G20017" s="2">
        <v>100</v>
      </c>
      <c r="H20017" s="2">
        <v>269</v>
      </c>
      <c r="I20017" s="2">
        <v>1</v>
      </c>
      <c r="J20017" s="2">
        <v>807</v>
      </c>
      <c r="K20017" s="2">
        <v>191</v>
      </c>
      <c r="L20017" s="2">
        <v>459</v>
      </c>
    </row>
    <row r="20018" spans="1:12" x14ac:dyDescent="0.25">
      <c r="A20018" s="4" t="str">
        <f>HYPERLINK("http://www.rosaceae.org/Prunus/Prunus_persica/p.persica_gdr_reftransV1_0028761","p.persica_gdr_reftransV1_0028761")</f>
        <v>p.persica_gdr_reftransV1_0028761</v>
      </c>
      <c r="B20018" s="2">
        <v>664</v>
      </c>
      <c r="C20018" s="4" t="str">
        <f>HYPERLINK("http://www.uniprot.org/uniprot/M5VVB1","M5VVB1")</f>
        <v>M5VVB1</v>
      </c>
      <c r="D20018" s="2" t="s">
        <v>15208</v>
      </c>
      <c r="E20018" s="3">
        <v>1.75E-28</v>
      </c>
      <c r="F20018" s="2">
        <v>302</v>
      </c>
      <c r="G20018" s="2">
        <v>42</v>
      </c>
      <c r="H20018" s="2">
        <v>180</v>
      </c>
      <c r="I20018" s="2">
        <v>3</v>
      </c>
      <c r="J20018" s="2">
        <v>491</v>
      </c>
      <c r="K20018" s="2">
        <v>303</v>
      </c>
      <c r="L20018" s="2">
        <v>477</v>
      </c>
    </row>
    <row r="20019" spans="1:12" x14ac:dyDescent="0.25">
      <c r="A20019" s="4" t="str">
        <f>HYPERLINK("http://www.rosaceae.org/Prunus/Prunus_persica/p.persica_gdr_reftransV1_0031211","p.persica_gdr_reftransV1_0031211")</f>
        <v>p.persica_gdr_reftransV1_0031211</v>
      </c>
      <c r="B20019" s="2">
        <v>2409</v>
      </c>
      <c r="C20019" s="4" t="str">
        <f>HYPERLINK("http://www.uniprot.org/uniprot/M5XCP2","M5XCP2")</f>
        <v>M5XCP2</v>
      </c>
      <c r="D20019" s="2" t="s">
        <v>2683</v>
      </c>
      <c r="E20019" s="3">
        <v>7.3399999999999998E-128</v>
      </c>
      <c r="F20019" s="2">
        <v>1029</v>
      </c>
      <c r="G20019" s="2">
        <v>86</v>
      </c>
      <c r="H20019" s="2">
        <v>250</v>
      </c>
      <c r="I20019" s="2">
        <v>793</v>
      </c>
      <c r="J20019" s="2">
        <v>1542</v>
      </c>
      <c r="K20019" s="2">
        <v>68</v>
      </c>
      <c r="L20019" s="2">
        <v>310</v>
      </c>
    </row>
    <row r="20020" spans="1:12" x14ac:dyDescent="0.25">
      <c r="A20020" s="4" t="str">
        <f>HYPERLINK("http://www.rosaceae.org/Prunus/Prunus_persica/p.persica_gdr_reftransV1_0031561","p.persica_gdr_reftransV1_0031561")</f>
        <v>p.persica_gdr_reftransV1_0031561</v>
      </c>
      <c r="B20020" s="2">
        <v>3370</v>
      </c>
      <c r="C20020" s="4" t="str">
        <f>HYPERLINK("http://www.uniprot.org/uniprot/M5X379","M5X379")</f>
        <v>M5X379</v>
      </c>
      <c r="D20020" s="2" t="s">
        <v>15209</v>
      </c>
      <c r="E20020" s="3">
        <v>0</v>
      </c>
      <c r="F20020" s="2">
        <v>5090</v>
      </c>
      <c r="G20020" s="2">
        <v>100</v>
      </c>
      <c r="H20020" s="2">
        <v>1008</v>
      </c>
      <c r="I20020" s="2">
        <v>114</v>
      </c>
      <c r="J20020" s="2">
        <v>3137</v>
      </c>
      <c r="K20020" s="2">
        <v>1</v>
      </c>
      <c r="L20020" s="2">
        <v>1008</v>
      </c>
    </row>
    <row r="20021" spans="1:12" x14ac:dyDescent="0.25">
      <c r="A20021" s="4" t="str">
        <f>HYPERLINK("http://www.rosaceae.org/Prunus/Prunus_persica/p.persica_gdr_reftransV1_0032261","p.persica_gdr_reftransV1_0032261")</f>
        <v>p.persica_gdr_reftransV1_0032261</v>
      </c>
      <c r="B20021" s="2">
        <v>3521</v>
      </c>
      <c r="C20021" s="4" t="str">
        <f>HYPERLINK("http://www.uniprot.org/uniprot/M5X716","M5X716")</f>
        <v>M5X716</v>
      </c>
      <c r="D20021" s="2" t="s">
        <v>15210</v>
      </c>
      <c r="E20021" s="3">
        <v>0</v>
      </c>
      <c r="F20021" s="2">
        <v>2256</v>
      </c>
      <c r="G20021" s="2">
        <v>100</v>
      </c>
      <c r="H20021" s="2">
        <v>462</v>
      </c>
      <c r="I20021" s="2">
        <v>526</v>
      </c>
      <c r="J20021" s="2">
        <v>1911</v>
      </c>
      <c r="K20021" s="2">
        <v>1</v>
      </c>
      <c r="L20021" s="2">
        <v>462</v>
      </c>
    </row>
    <row r="20022" spans="1:12" x14ac:dyDescent="0.25">
      <c r="A20022" s="4" t="str">
        <f>HYPERLINK("http://www.rosaceae.org/Prunus/Prunus_persica/p.persica_gdr_reftransV1_0032611","p.persica_gdr_reftransV1_0032611")</f>
        <v>p.persica_gdr_reftransV1_0032611</v>
      </c>
      <c r="B20022" s="2">
        <v>4520</v>
      </c>
      <c r="C20022" s="4" t="str">
        <f>HYPERLINK("http://www.uniprot.org/uniprot/M5VNE3","M5VNE3")</f>
        <v>M5VNE3</v>
      </c>
      <c r="D20022" s="2" t="s">
        <v>15211</v>
      </c>
      <c r="E20022" s="3">
        <v>0</v>
      </c>
      <c r="F20022" s="2">
        <v>1698</v>
      </c>
      <c r="G20022" s="2">
        <v>100</v>
      </c>
      <c r="H20022" s="2">
        <v>335</v>
      </c>
      <c r="I20022" s="2">
        <v>3111</v>
      </c>
      <c r="J20022" s="2">
        <v>4115</v>
      </c>
      <c r="K20022" s="2">
        <v>441</v>
      </c>
      <c r="L20022" s="2">
        <v>775</v>
      </c>
    </row>
    <row r="20023" spans="1:12" x14ac:dyDescent="0.25">
      <c r="A20023" s="4" t="str">
        <f>HYPERLINK("http://www.rosaceae.org/Prunus/Prunus_persica/p.persica_gdr_reftransV1_0033661","p.persica_gdr_reftransV1_0033661")</f>
        <v>p.persica_gdr_reftransV1_0033661</v>
      </c>
      <c r="B20023" s="2">
        <v>3066</v>
      </c>
      <c r="C20023" s="4" t="str">
        <f>HYPERLINK("http://www.uniprot.org/uniprot/M5XFM4","M5XFM4")</f>
        <v>M5XFM4</v>
      </c>
      <c r="D20023" s="2" t="s">
        <v>15212</v>
      </c>
      <c r="E20023" s="3">
        <v>0</v>
      </c>
      <c r="F20023" s="2">
        <v>1627</v>
      </c>
      <c r="G20023" s="2">
        <v>98</v>
      </c>
      <c r="H20023" s="2">
        <v>306</v>
      </c>
      <c r="I20023" s="2">
        <v>1565</v>
      </c>
      <c r="J20023" s="2">
        <v>2482</v>
      </c>
      <c r="K20023" s="2">
        <v>248</v>
      </c>
      <c r="L20023" s="2">
        <v>553</v>
      </c>
    </row>
    <row r="20024" spans="1:12" x14ac:dyDescent="0.25">
      <c r="A20024" s="4" t="str">
        <f>HYPERLINK("http://www.rosaceae.org/Prunus/Prunus_persica/p.persica_gdr_reftransV1_0034361","p.persica_gdr_reftransV1_0034361")</f>
        <v>p.persica_gdr_reftransV1_0034361</v>
      </c>
      <c r="B20024" s="2">
        <v>909</v>
      </c>
      <c r="C20024" s="4" t="str">
        <f>HYPERLINK("http://www.uniprot.org/uniprot/A0A061GRL2","A0A061GRL2")</f>
        <v>A0A061GRL2</v>
      </c>
      <c r="D20024" s="2" t="s">
        <v>15213</v>
      </c>
      <c r="E20024" s="3">
        <v>2.52E-126</v>
      </c>
      <c r="F20024" s="2">
        <v>983</v>
      </c>
      <c r="G20024" s="2">
        <v>77</v>
      </c>
      <c r="H20024" s="2">
        <v>228</v>
      </c>
      <c r="I20024" s="2">
        <v>223</v>
      </c>
      <c r="J20024" s="2">
        <v>906</v>
      </c>
      <c r="K20024" s="2">
        <v>300</v>
      </c>
      <c r="L20024" s="2">
        <v>527</v>
      </c>
    </row>
    <row r="20025" spans="1:12" x14ac:dyDescent="0.25">
      <c r="A20025" s="4" t="str">
        <f>HYPERLINK("http://www.rosaceae.org/Prunus/Prunus_persica/p.persica_gdr_reftransV1_0035061","p.persica_gdr_reftransV1_0035061")</f>
        <v>p.persica_gdr_reftransV1_0035061</v>
      </c>
      <c r="B20025" s="2">
        <v>2112</v>
      </c>
      <c r="C20025" s="4" t="str">
        <f>HYPERLINK("http://www.uniprot.org/uniprot/M5XBK1","M5XBK1")</f>
        <v>M5XBK1</v>
      </c>
      <c r="D20025" s="2" t="s">
        <v>15214</v>
      </c>
      <c r="E20025" s="3">
        <v>0</v>
      </c>
      <c r="F20025" s="2">
        <v>2047</v>
      </c>
      <c r="G20025" s="2">
        <v>100</v>
      </c>
      <c r="H20025" s="2">
        <v>401</v>
      </c>
      <c r="I20025" s="2">
        <v>429</v>
      </c>
      <c r="J20025" s="2">
        <v>1631</v>
      </c>
      <c r="K20025" s="2">
        <v>1</v>
      </c>
      <c r="L20025" s="2">
        <v>401</v>
      </c>
    </row>
    <row r="20026" spans="1:12" x14ac:dyDescent="0.25">
      <c r="A20026" s="4" t="str">
        <f>HYPERLINK("http://www.rosaceae.org/Prunus/Prunus_persica/p.persica_gdr_reftransV1_0035411","p.persica_gdr_reftransV1_0035411")</f>
        <v>p.persica_gdr_reftransV1_0035411</v>
      </c>
      <c r="B20026" s="2">
        <v>1425</v>
      </c>
      <c r="C20026" s="4" t="str">
        <f>HYPERLINK("http://www.uniprot.org/uniprot/M5WKK2","M5WKK2")</f>
        <v>M5WKK2</v>
      </c>
      <c r="D20026" s="2" t="s">
        <v>15215</v>
      </c>
      <c r="E20026" s="3">
        <v>3.9800000000000002E-25</v>
      </c>
      <c r="F20026" s="2">
        <v>196</v>
      </c>
      <c r="G20026" s="2">
        <v>74</v>
      </c>
      <c r="H20026" s="2">
        <v>111</v>
      </c>
      <c r="I20026" s="2">
        <v>246</v>
      </c>
      <c r="J20026" s="2">
        <v>521</v>
      </c>
      <c r="K20026" s="2">
        <v>1</v>
      </c>
      <c r="L20026" s="2">
        <v>111</v>
      </c>
    </row>
    <row r="20027" spans="1:12" x14ac:dyDescent="0.25">
      <c r="A20027" s="4" t="str">
        <f>HYPERLINK("http://www.rosaceae.org/Prunus/Prunus_persica/p.persica_gdr_reftransV1_0036461","p.persica_gdr_reftransV1_0036461")</f>
        <v>p.persica_gdr_reftransV1_0036461</v>
      </c>
      <c r="B20027" s="2">
        <v>1656</v>
      </c>
      <c r="C20027" s="4" t="str">
        <f>HYPERLINK("http://www.uniprot.org/uniprot/M5WHU8","M5WHU8")</f>
        <v>M5WHU8</v>
      </c>
      <c r="D20027" s="2" t="s">
        <v>15216</v>
      </c>
      <c r="E20027" s="3">
        <v>6.2799999999999998E-170</v>
      </c>
      <c r="F20027" s="2">
        <v>950</v>
      </c>
      <c r="G20027" s="2">
        <v>97</v>
      </c>
      <c r="H20027" s="2">
        <v>200</v>
      </c>
      <c r="I20027" s="2">
        <v>909</v>
      </c>
      <c r="J20027" s="2">
        <v>1508</v>
      </c>
      <c r="K20027" s="2">
        <v>1</v>
      </c>
      <c r="L20027" s="2">
        <v>200</v>
      </c>
    </row>
    <row r="20028" spans="1:12" x14ac:dyDescent="0.25">
      <c r="A20028" s="4" t="str">
        <f>HYPERLINK("http://www.rosaceae.org/Prunus/Prunus_persica/p.persica_gdr_reftransV1_0036811","p.persica_gdr_reftransV1_0036811")</f>
        <v>p.persica_gdr_reftransV1_0036811</v>
      </c>
      <c r="B20028" s="2">
        <v>5334</v>
      </c>
      <c r="C20028" s="4" t="str">
        <f>HYPERLINK("http://www.uniprot.org/uniprot/M5XII6","M5XII6")</f>
        <v>M5XII6</v>
      </c>
      <c r="D20028" s="2" t="s">
        <v>4341</v>
      </c>
      <c r="E20028" s="3">
        <v>0</v>
      </c>
      <c r="F20028" s="2">
        <v>6639</v>
      </c>
      <c r="G20028" s="2">
        <v>98</v>
      </c>
      <c r="H20028" s="2">
        <v>1410</v>
      </c>
      <c r="I20028" s="2">
        <v>541</v>
      </c>
      <c r="J20028" s="2">
        <v>4770</v>
      </c>
      <c r="K20028" s="2">
        <v>1</v>
      </c>
      <c r="L20028" s="2">
        <v>1383</v>
      </c>
    </row>
    <row r="20029" spans="1:12" x14ac:dyDescent="0.25">
      <c r="A20029" s="4" t="str">
        <f>HYPERLINK("http://www.rosaceae.org/Prunus/Prunus_persica/p.persica_gdr_reftransV1_0039961","p.persica_gdr_reftransV1_0039961")</f>
        <v>p.persica_gdr_reftransV1_0039961</v>
      </c>
      <c r="B20029" s="2">
        <v>4319</v>
      </c>
      <c r="C20029" s="4" t="str">
        <f>HYPERLINK("http://www.uniprot.org/uniprot/M5WR72","M5WR72")</f>
        <v>M5WR72</v>
      </c>
      <c r="D20029" s="2" t="s">
        <v>14261</v>
      </c>
      <c r="E20029" s="3">
        <v>0</v>
      </c>
      <c r="F20029" s="2">
        <v>2649</v>
      </c>
      <c r="G20029" s="2">
        <v>97</v>
      </c>
      <c r="H20029" s="2">
        <v>533</v>
      </c>
      <c r="I20029" s="2">
        <v>1548</v>
      </c>
      <c r="J20029" s="2">
        <v>3146</v>
      </c>
      <c r="K20029" s="2">
        <v>183</v>
      </c>
      <c r="L20029" s="2">
        <v>715</v>
      </c>
    </row>
    <row r="20030" spans="1:12" x14ac:dyDescent="0.25">
      <c r="A20030" s="4" t="str">
        <f>HYPERLINK("http://www.rosaceae.org/Prunus/Prunus_persica/p.persica_gdr_reftransV1_0042061","p.persica_gdr_reftransV1_0042061")</f>
        <v>p.persica_gdr_reftransV1_0042061</v>
      </c>
      <c r="B20030" s="2">
        <v>3717</v>
      </c>
      <c r="C20030" s="4" t="str">
        <f>HYPERLINK("http://www.uniprot.org/uniprot/M5WPX9","M5WPX9")</f>
        <v>M5WPX9</v>
      </c>
      <c r="D20030" s="2" t="s">
        <v>15217</v>
      </c>
      <c r="E20030" s="3">
        <v>1.5000000000000001E-90</v>
      </c>
      <c r="F20030" s="2">
        <v>781</v>
      </c>
      <c r="G20030" s="2">
        <v>79</v>
      </c>
      <c r="H20030" s="2">
        <v>193</v>
      </c>
      <c r="I20030" s="2">
        <v>1794</v>
      </c>
      <c r="J20030" s="2">
        <v>2372</v>
      </c>
      <c r="K20030" s="2">
        <v>85</v>
      </c>
      <c r="L20030" s="2">
        <v>270</v>
      </c>
    </row>
    <row r="20031" spans="1:12" x14ac:dyDescent="0.25">
      <c r="A20031" s="4" t="str">
        <f>HYPERLINK("http://www.rosaceae.org/Prunus/Prunus_persica/p.persica_gdr_reftransV1_0042411","p.persica_gdr_reftransV1_0042411")</f>
        <v>p.persica_gdr_reftransV1_0042411</v>
      </c>
      <c r="B20031" s="2">
        <v>1913</v>
      </c>
      <c r="C20031" s="4" t="str">
        <f>HYPERLINK("http://www.uniprot.org/uniprot/M5VP84","M5VP84")</f>
        <v>M5VP84</v>
      </c>
      <c r="D20031" s="2" t="s">
        <v>15218</v>
      </c>
      <c r="E20031" s="3">
        <v>9.7600000000000007E-72</v>
      </c>
      <c r="F20031" s="2">
        <v>624</v>
      </c>
      <c r="G20031" s="2">
        <v>97</v>
      </c>
      <c r="H20031" s="2">
        <v>143</v>
      </c>
      <c r="I20031" s="2">
        <v>225</v>
      </c>
      <c r="J20031" s="2">
        <v>653</v>
      </c>
      <c r="K20031" s="2">
        <v>1</v>
      </c>
      <c r="L20031" s="2">
        <v>143</v>
      </c>
    </row>
    <row r="20032" spans="1:12" x14ac:dyDescent="0.25">
      <c r="A20032" s="4" t="str">
        <f>HYPERLINK("http://www.rosaceae.org/Prunus/Prunus_persica/p.persica_gdr_reftransV1_0043111","p.persica_gdr_reftransV1_0043111")</f>
        <v>p.persica_gdr_reftransV1_0043111</v>
      </c>
      <c r="B20032" s="2">
        <v>1821</v>
      </c>
      <c r="C20032" s="4" t="str">
        <f>HYPERLINK("http://www.uniprot.org/uniprot/M5WVZ1","M5WVZ1")</f>
        <v>M5WVZ1</v>
      </c>
      <c r="D20032" s="2" t="s">
        <v>15219</v>
      </c>
      <c r="E20032" s="3">
        <v>0</v>
      </c>
      <c r="F20032" s="2">
        <v>1975</v>
      </c>
      <c r="G20032" s="2">
        <v>91</v>
      </c>
      <c r="H20032" s="2">
        <v>433</v>
      </c>
      <c r="I20032" s="2">
        <v>225</v>
      </c>
      <c r="J20032" s="2">
        <v>1523</v>
      </c>
      <c r="K20032" s="2">
        <v>1</v>
      </c>
      <c r="L20032" s="2">
        <v>396</v>
      </c>
    </row>
    <row r="20033" spans="1:12" x14ac:dyDescent="0.25">
      <c r="A20033" s="4" t="str">
        <f>HYPERLINK("http://www.rosaceae.org/Prunus/Prunus_persica/p.persica_gdr_reftransV1_0043811","p.persica_gdr_reftransV1_0043811")</f>
        <v>p.persica_gdr_reftransV1_0043811</v>
      </c>
      <c r="B20033" s="2">
        <v>1370</v>
      </c>
      <c r="C20033" s="4" t="str">
        <f>HYPERLINK("http://www.uniprot.org/uniprot/M5WTM7","M5WTM7")</f>
        <v>M5WTM7</v>
      </c>
      <c r="D20033" s="2" t="s">
        <v>13898</v>
      </c>
      <c r="E20033" s="3">
        <v>0</v>
      </c>
      <c r="F20033" s="2">
        <v>1413</v>
      </c>
      <c r="G20033" s="2">
        <v>100</v>
      </c>
      <c r="H20033" s="2">
        <v>262</v>
      </c>
      <c r="I20033" s="2">
        <v>188</v>
      </c>
      <c r="J20033" s="2">
        <v>973</v>
      </c>
      <c r="K20033" s="2">
        <v>1</v>
      </c>
      <c r="L20033" s="2">
        <v>262</v>
      </c>
    </row>
    <row r="20034" spans="1:12" x14ac:dyDescent="0.25">
      <c r="A20034" s="4" t="str">
        <f>HYPERLINK("http://www.rosaceae.org/Prunus/Prunus_persica/p.persica_gdr_reftransV1_0044161","p.persica_gdr_reftransV1_0044161")</f>
        <v>p.persica_gdr_reftransV1_0044161</v>
      </c>
      <c r="B20034" s="2">
        <v>712</v>
      </c>
      <c r="C20034" s="4" t="str">
        <f>HYPERLINK("http://www.uniprot.org/uniprot/M5WAU2","M5WAU2")</f>
        <v>M5WAU2</v>
      </c>
      <c r="D20034" s="2" t="s">
        <v>15220</v>
      </c>
      <c r="E20034" s="3">
        <v>7.1200000000000005E-103</v>
      </c>
      <c r="F20034" s="2">
        <v>785</v>
      </c>
      <c r="G20034" s="2">
        <v>100</v>
      </c>
      <c r="H20034" s="2">
        <v>154</v>
      </c>
      <c r="I20034" s="2">
        <v>80</v>
      </c>
      <c r="J20034" s="2">
        <v>541</v>
      </c>
      <c r="K20034" s="2">
        <v>1</v>
      </c>
      <c r="L20034" s="2">
        <v>154</v>
      </c>
    </row>
    <row r="20035" spans="1:12" x14ac:dyDescent="0.25">
      <c r="A20035" s="4" t="str">
        <f>HYPERLINK("http://www.rosaceae.org/Prunus/Prunus_persica/p.persica_gdr_reftransV1_0044861","p.persica_gdr_reftransV1_0044861")</f>
        <v>p.persica_gdr_reftransV1_0044861</v>
      </c>
      <c r="B20035" s="2">
        <v>1503</v>
      </c>
      <c r="C20035" s="4" t="str">
        <f>HYPERLINK("http://www.uniprot.org/uniprot/M5WV93","M5WV93")</f>
        <v>M5WV93</v>
      </c>
      <c r="D20035" s="2" t="s">
        <v>15221</v>
      </c>
      <c r="E20035" s="3">
        <v>0</v>
      </c>
      <c r="F20035" s="2">
        <v>2097</v>
      </c>
      <c r="G20035" s="2">
        <v>99</v>
      </c>
      <c r="H20035" s="2">
        <v>413</v>
      </c>
      <c r="I20035" s="2">
        <v>116</v>
      </c>
      <c r="J20035" s="2">
        <v>1354</v>
      </c>
      <c r="K20035" s="2">
        <v>1</v>
      </c>
      <c r="L20035" s="2">
        <v>413</v>
      </c>
    </row>
    <row r="20036" spans="1:12" x14ac:dyDescent="0.25">
      <c r="A20036" s="4" t="str">
        <f>HYPERLINK("http://www.rosaceae.org/Prunus/Prunus_persica/p.persica_gdr_reftransV1_0045211","p.persica_gdr_reftransV1_0045211")</f>
        <v>p.persica_gdr_reftransV1_0045211</v>
      </c>
      <c r="B20036" s="2">
        <v>608</v>
      </c>
      <c r="C20036" s="4" t="str">
        <f>HYPERLINK("http://www.uniprot.org/uniprot/W9SMN6","W9SMN6")</f>
        <v>W9SMN6</v>
      </c>
      <c r="D20036" s="2" t="s">
        <v>11020</v>
      </c>
      <c r="E20036" s="3">
        <v>9.3800000000000005E-79</v>
      </c>
      <c r="F20036" s="2">
        <v>660</v>
      </c>
      <c r="G20036" s="2">
        <v>75</v>
      </c>
      <c r="H20036" s="2">
        <v>162</v>
      </c>
      <c r="I20036" s="2">
        <v>123</v>
      </c>
      <c r="J20036" s="2">
        <v>608</v>
      </c>
      <c r="K20036" s="2">
        <v>434</v>
      </c>
      <c r="L20036" s="2">
        <v>595</v>
      </c>
    </row>
    <row r="20037" spans="1:12" x14ac:dyDescent="0.25">
      <c r="A20037" s="4" t="str">
        <f>HYPERLINK("http://www.rosaceae.org/Prunus/Prunus_persica/p.persica_gdr_reftransV1_0045561","p.persica_gdr_reftransV1_0045561")</f>
        <v>p.persica_gdr_reftransV1_0045561</v>
      </c>
      <c r="B20037" s="2">
        <v>676</v>
      </c>
      <c r="C20037" s="4" t="str">
        <f>HYPERLINK("http://www.uniprot.org/uniprot/D9ZIP7","D9ZIP7")</f>
        <v>D9ZIP7</v>
      </c>
      <c r="D20037" s="2" t="s">
        <v>15222</v>
      </c>
      <c r="E20037" s="3">
        <v>1.67E-58</v>
      </c>
      <c r="F20037" s="2">
        <v>504</v>
      </c>
      <c r="G20037" s="2">
        <v>67</v>
      </c>
      <c r="H20037" s="2">
        <v>202</v>
      </c>
      <c r="I20037" s="2">
        <v>1</v>
      </c>
      <c r="J20037" s="2">
        <v>606</v>
      </c>
      <c r="K20037" s="2">
        <v>1</v>
      </c>
      <c r="L20037" s="2">
        <v>179</v>
      </c>
    </row>
    <row r="20038" spans="1:12" x14ac:dyDescent="0.25">
      <c r="A20038" s="4" t="str">
        <f>HYPERLINK("http://www.rosaceae.org/Prunus/Prunus_persica/p.persica_gdr_reftransV1_0045911","p.persica_gdr_reftransV1_0045911")</f>
        <v>p.persica_gdr_reftransV1_0045911</v>
      </c>
      <c r="B20038" s="2">
        <v>639</v>
      </c>
      <c r="C20038" s="4" t="str">
        <f>HYPERLINK("http://www.uniprot.org/uniprot/M5XJ04","M5XJ04")</f>
        <v>M5XJ04</v>
      </c>
      <c r="D20038" s="2" t="s">
        <v>2429</v>
      </c>
      <c r="E20038" s="3">
        <v>2.5400000000000001E-95</v>
      </c>
      <c r="F20038" s="2">
        <v>795</v>
      </c>
      <c r="G20038" s="2">
        <v>99</v>
      </c>
      <c r="H20038" s="2">
        <v>169</v>
      </c>
      <c r="I20038" s="2">
        <v>11</v>
      </c>
      <c r="J20038" s="2">
        <v>517</v>
      </c>
      <c r="K20038" s="2">
        <v>869</v>
      </c>
      <c r="L20038" s="2">
        <v>1037</v>
      </c>
    </row>
    <row r="20039" spans="1:12" x14ac:dyDescent="0.25">
      <c r="A20039" s="4" t="str">
        <f>HYPERLINK("http://www.rosaceae.org/Prunus/Prunus_persica/p.persica_gdr_reftransV1_0046611","p.persica_gdr_reftransV1_0046611")</f>
        <v>p.persica_gdr_reftransV1_0046611</v>
      </c>
      <c r="B20039" s="2">
        <v>2187</v>
      </c>
      <c r="C20039" s="4" t="str">
        <f>HYPERLINK("http://www.uniprot.org/uniprot/M5VJ54","M5VJ54")</f>
        <v>M5VJ54</v>
      </c>
      <c r="D20039" s="2" t="s">
        <v>15223</v>
      </c>
      <c r="E20039" s="3">
        <v>0</v>
      </c>
      <c r="F20039" s="2">
        <v>1899</v>
      </c>
      <c r="G20039" s="2">
        <v>100</v>
      </c>
      <c r="H20039" s="2">
        <v>389</v>
      </c>
      <c r="I20039" s="2">
        <v>109</v>
      </c>
      <c r="J20039" s="2">
        <v>1275</v>
      </c>
      <c r="K20039" s="2">
        <v>1</v>
      </c>
      <c r="L20039" s="2">
        <v>389</v>
      </c>
    </row>
    <row r="20040" spans="1:12" x14ac:dyDescent="0.25">
      <c r="A20040" s="4" t="str">
        <f>HYPERLINK("http://www.rosaceae.org/Prunus/Prunus_persica/p.persica_gdr_reftransV1_0046961","p.persica_gdr_reftransV1_0046961")</f>
        <v>p.persica_gdr_reftransV1_0046961</v>
      </c>
      <c r="B20040" s="2">
        <v>865</v>
      </c>
      <c r="C20040" s="4" t="str">
        <f>HYPERLINK("http://www.uniprot.org/uniprot/M5W1G2","M5W1G2")</f>
        <v>M5W1G2</v>
      </c>
      <c r="D20040" s="2" t="s">
        <v>15224</v>
      </c>
      <c r="E20040" s="3">
        <v>2.82E-99</v>
      </c>
      <c r="F20040" s="2">
        <v>768</v>
      </c>
      <c r="G20040" s="2">
        <v>100</v>
      </c>
      <c r="H20040" s="2">
        <v>162</v>
      </c>
      <c r="I20040" s="2">
        <v>97</v>
      </c>
      <c r="J20040" s="2">
        <v>582</v>
      </c>
      <c r="K20040" s="2">
        <v>10</v>
      </c>
      <c r="L20040" s="2">
        <v>171</v>
      </c>
    </row>
    <row r="20041" spans="1:12" x14ac:dyDescent="0.25">
      <c r="A20041" s="4" t="str">
        <f>HYPERLINK("http://www.rosaceae.org/Prunus/Prunus_persica/p.persica_gdr_reftransV1_0047661","p.persica_gdr_reftransV1_0047661")</f>
        <v>p.persica_gdr_reftransV1_0047661</v>
      </c>
      <c r="B20041" s="2">
        <v>547</v>
      </c>
      <c r="C20041" s="4" t="str">
        <f>HYPERLINK("http://www.uniprot.org/uniprot/M5WI97","M5WI97")</f>
        <v>M5WI97</v>
      </c>
      <c r="D20041" s="2" t="s">
        <v>6726</v>
      </c>
      <c r="E20041" s="3">
        <v>7.1200000000000003E-49</v>
      </c>
      <c r="F20041" s="2">
        <v>440</v>
      </c>
      <c r="G20041" s="2">
        <v>85</v>
      </c>
      <c r="H20041" s="2">
        <v>114</v>
      </c>
      <c r="I20041" s="2">
        <v>206</v>
      </c>
      <c r="J20041" s="2">
        <v>547</v>
      </c>
      <c r="K20041" s="2">
        <v>1</v>
      </c>
      <c r="L20041" s="2">
        <v>114</v>
      </c>
    </row>
    <row r="20042" spans="1:12" x14ac:dyDescent="0.25">
      <c r="A20042" s="4" t="str">
        <f>HYPERLINK("http://www.rosaceae.org/Prunus/Prunus_persica/p.persica_gdr_reftransV1_0048011","p.persica_gdr_reftransV1_0048011")</f>
        <v>p.persica_gdr_reftransV1_0048011</v>
      </c>
      <c r="B20042" s="2">
        <v>1965</v>
      </c>
      <c r="C20042" s="4" t="str">
        <f>HYPERLINK("http://www.uniprot.org/uniprot/M5XHP2","M5XHP2")</f>
        <v>M5XHP2</v>
      </c>
      <c r="D20042" s="2" t="s">
        <v>15225</v>
      </c>
      <c r="E20042" s="3">
        <v>0</v>
      </c>
      <c r="F20042" s="2">
        <v>2331</v>
      </c>
      <c r="G20042" s="2">
        <v>95</v>
      </c>
      <c r="H20042" s="2">
        <v>471</v>
      </c>
      <c r="I20042" s="2">
        <v>408</v>
      </c>
      <c r="J20042" s="2">
        <v>1820</v>
      </c>
      <c r="K20042" s="2">
        <v>1</v>
      </c>
      <c r="L20042" s="2">
        <v>471</v>
      </c>
    </row>
    <row r="20043" spans="1:12" x14ac:dyDescent="0.25">
      <c r="A20043" s="4" t="str">
        <f>HYPERLINK("http://www.rosaceae.org/Prunus/Prunus_persica/p.persica_gdr_reftransV1_0048361","p.persica_gdr_reftransV1_0048361")</f>
        <v>p.persica_gdr_reftransV1_0048361</v>
      </c>
      <c r="B20043" s="2">
        <v>2138</v>
      </c>
      <c r="C20043" s="4" t="str">
        <f>HYPERLINK("http://www.uniprot.org/uniprot/M5VWI9","M5VWI9")</f>
        <v>M5VWI9</v>
      </c>
      <c r="D20043" s="2" t="s">
        <v>15226</v>
      </c>
      <c r="E20043" s="3">
        <v>0</v>
      </c>
      <c r="F20043" s="2">
        <v>1613</v>
      </c>
      <c r="G20043" s="2">
        <v>100</v>
      </c>
      <c r="H20043" s="2">
        <v>320</v>
      </c>
      <c r="I20043" s="2">
        <v>142</v>
      </c>
      <c r="J20043" s="2">
        <v>1101</v>
      </c>
      <c r="K20043" s="2">
        <v>1</v>
      </c>
      <c r="L20043" s="2">
        <v>320</v>
      </c>
    </row>
    <row r="20044" spans="1:12" x14ac:dyDescent="0.25">
      <c r="A20044" s="4" t="str">
        <f>HYPERLINK("http://www.rosaceae.org/Prunus/Prunus_persica/p.persica_gdr_reftransV1_0048711","p.persica_gdr_reftransV1_0048711")</f>
        <v>p.persica_gdr_reftransV1_0048711</v>
      </c>
      <c r="B20044" s="2">
        <v>1818</v>
      </c>
      <c r="C20044" s="4" t="str">
        <f>HYPERLINK("http://www.uniprot.org/uniprot/M5X0C1","M5X0C1")</f>
        <v>M5X0C1</v>
      </c>
      <c r="D20044" s="2" t="s">
        <v>12973</v>
      </c>
      <c r="E20044" s="3">
        <v>0</v>
      </c>
      <c r="F20044" s="2">
        <v>1447</v>
      </c>
      <c r="G20044" s="2">
        <v>93</v>
      </c>
      <c r="H20044" s="2">
        <v>388</v>
      </c>
      <c r="I20044" s="2">
        <v>252</v>
      </c>
      <c r="J20044" s="2">
        <v>1415</v>
      </c>
      <c r="K20044" s="2">
        <v>1</v>
      </c>
      <c r="L20044" s="2">
        <v>362</v>
      </c>
    </row>
    <row r="20045" spans="1:12" x14ac:dyDescent="0.25">
      <c r="A20045" s="4" t="str">
        <f>HYPERLINK("http://www.rosaceae.org/Prunus/Prunus_persica/p.persica_gdr_reftransV1_0049061","p.persica_gdr_reftransV1_0049061")</f>
        <v>p.persica_gdr_reftransV1_0049061</v>
      </c>
      <c r="B20045" s="2">
        <v>1427</v>
      </c>
      <c r="C20045" s="4" t="str">
        <f>HYPERLINK("http://www.uniprot.org/uniprot/M5VVL4","M5VVL4")</f>
        <v>M5VVL4</v>
      </c>
      <c r="D20045" s="2" t="s">
        <v>12533</v>
      </c>
      <c r="E20045" s="3">
        <v>0</v>
      </c>
      <c r="F20045" s="2">
        <v>2027</v>
      </c>
      <c r="G20045" s="2">
        <v>100</v>
      </c>
      <c r="H20045" s="2">
        <v>411</v>
      </c>
      <c r="I20045" s="2">
        <v>1</v>
      </c>
      <c r="J20045" s="2">
        <v>1233</v>
      </c>
      <c r="K20045" s="2">
        <v>97</v>
      </c>
      <c r="L20045" s="2">
        <v>507</v>
      </c>
    </row>
    <row r="20046" spans="1:12" x14ac:dyDescent="0.25">
      <c r="A20046" s="4" t="str">
        <f>HYPERLINK("http://www.rosaceae.org/Prunus/Prunus_persica/p.persica_gdr_reftransV1_0000412","p.persica_gdr_reftransV1_0000412")</f>
        <v>p.persica_gdr_reftransV1_0000412</v>
      </c>
      <c r="B20046" s="2">
        <v>1772</v>
      </c>
      <c r="C20046" s="4" t="str">
        <f>HYPERLINK("http://www.uniprot.org/uniprot/M5WP36","M5WP36")</f>
        <v>M5WP36</v>
      </c>
      <c r="D20046" s="2" t="s">
        <v>3863</v>
      </c>
      <c r="E20046" s="3">
        <v>0</v>
      </c>
      <c r="F20046" s="2">
        <v>1811</v>
      </c>
      <c r="G20046" s="2">
        <v>100</v>
      </c>
      <c r="H20046" s="2">
        <v>338</v>
      </c>
      <c r="I20046" s="2">
        <v>11</v>
      </c>
      <c r="J20046" s="2">
        <v>1024</v>
      </c>
      <c r="K20046" s="2">
        <v>217</v>
      </c>
      <c r="L20046" s="2">
        <v>554</v>
      </c>
    </row>
    <row r="20047" spans="1:12" x14ac:dyDescent="0.25">
      <c r="A20047" s="4" t="str">
        <f>HYPERLINK("http://www.rosaceae.org/Prunus/Prunus_persica/p.persica_gdr_reftransV1_0000762","p.persica_gdr_reftransV1_0000762")</f>
        <v>p.persica_gdr_reftransV1_0000762</v>
      </c>
      <c r="B20047" s="2">
        <v>2171</v>
      </c>
      <c r="C20047" s="4" t="str">
        <f>HYPERLINK("http://www.uniprot.org/uniprot/M5XJV9","M5XJV9")</f>
        <v>M5XJV9</v>
      </c>
      <c r="D20047" s="2" t="s">
        <v>2594</v>
      </c>
      <c r="E20047" s="3">
        <v>0</v>
      </c>
      <c r="F20047" s="2">
        <v>2742</v>
      </c>
      <c r="G20047" s="2">
        <v>100</v>
      </c>
      <c r="H20047" s="2">
        <v>534</v>
      </c>
      <c r="I20047" s="2">
        <v>420</v>
      </c>
      <c r="J20047" s="2">
        <v>2018</v>
      </c>
      <c r="K20047" s="2">
        <v>312</v>
      </c>
      <c r="L20047" s="2">
        <v>845</v>
      </c>
    </row>
    <row r="20048" spans="1:12" x14ac:dyDescent="0.25">
      <c r="A20048" s="4" t="str">
        <f>HYPERLINK("http://www.rosaceae.org/Prunus/Prunus_persica/p.persica_gdr_reftransV1_0001462","p.persica_gdr_reftransV1_0001462")</f>
        <v>p.persica_gdr_reftransV1_0001462</v>
      </c>
      <c r="B20048" s="2">
        <v>629</v>
      </c>
      <c r="C20048" s="4" t="str">
        <f>HYPERLINK("http://www.uniprot.org/uniprot/A6BME9","A6BME9")</f>
        <v>A6BME9</v>
      </c>
      <c r="D20048" s="2" t="s">
        <v>13976</v>
      </c>
      <c r="E20048" s="3">
        <v>3.0799999999999999E-118</v>
      </c>
      <c r="F20048" s="2">
        <v>975</v>
      </c>
      <c r="G20048" s="2">
        <v>90</v>
      </c>
      <c r="H20048" s="2">
        <v>209</v>
      </c>
      <c r="I20048" s="2">
        <v>2</v>
      </c>
      <c r="J20048" s="2">
        <v>628</v>
      </c>
      <c r="K20048" s="2">
        <v>721</v>
      </c>
      <c r="L20048" s="2">
        <v>929</v>
      </c>
    </row>
    <row r="20049" spans="1:12" x14ac:dyDescent="0.25">
      <c r="A20049" s="4" t="str">
        <f>HYPERLINK("http://www.rosaceae.org/Prunus/Prunus_persica/p.persica_gdr_reftransV1_0001812","p.persica_gdr_reftransV1_0001812")</f>
        <v>p.persica_gdr_reftransV1_0001812</v>
      </c>
      <c r="B20049" s="2">
        <v>1483</v>
      </c>
      <c r="C20049" s="4" t="str">
        <f>HYPERLINK("http://www.uniprot.org/uniprot/M5VZ13","M5VZ13")</f>
        <v>M5VZ13</v>
      </c>
      <c r="D20049" s="2" t="s">
        <v>15227</v>
      </c>
      <c r="E20049" s="3">
        <v>0</v>
      </c>
      <c r="F20049" s="2">
        <v>1603</v>
      </c>
      <c r="G20049" s="2">
        <v>92</v>
      </c>
      <c r="H20049" s="2">
        <v>344</v>
      </c>
      <c r="I20049" s="2">
        <v>137</v>
      </c>
      <c r="J20049" s="2">
        <v>1168</v>
      </c>
      <c r="K20049" s="2">
        <v>1</v>
      </c>
      <c r="L20049" s="2">
        <v>344</v>
      </c>
    </row>
    <row r="20050" spans="1:12" x14ac:dyDescent="0.25">
      <c r="A20050" s="4" t="str">
        <f>HYPERLINK("http://www.rosaceae.org/Prunus/Prunus_persica/p.persica_gdr_reftransV1_0002162","p.persica_gdr_reftransV1_0002162")</f>
        <v>p.persica_gdr_reftransV1_0002162</v>
      </c>
      <c r="B20050" s="2">
        <v>1542</v>
      </c>
      <c r="C20050" s="4" t="str">
        <f>HYPERLINK("http://www.uniprot.org/uniprot/M5VWJ4","M5VWJ4")</f>
        <v>M5VWJ4</v>
      </c>
      <c r="D20050" s="2" t="s">
        <v>5008</v>
      </c>
      <c r="E20050" s="3">
        <v>0</v>
      </c>
      <c r="F20050" s="2">
        <v>2360</v>
      </c>
      <c r="G20050" s="2">
        <v>100</v>
      </c>
      <c r="H20050" s="2">
        <v>462</v>
      </c>
      <c r="I20050" s="2">
        <v>3</v>
      </c>
      <c r="J20050" s="2">
        <v>1388</v>
      </c>
      <c r="K20050" s="2">
        <v>108</v>
      </c>
      <c r="L20050" s="2">
        <v>569</v>
      </c>
    </row>
    <row r="20051" spans="1:12" x14ac:dyDescent="0.25">
      <c r="A20051" s="4" t="str">
        <f>HYPERLINK("http://www.rosaceae.org/Prunus/Prunus_persica/p.persica_gdr_reftransV1_0002512","p.persica_gdr_reftransV1_0002512")</f>
        <v>p.persica_gdr_reftransV1_0002512</v>
      </c>
      <c r="B20051" s="2">
        <v>349</v>
      </c>
      <c r="C20051" s="4" t="str">
        <f>HYPERLINK("http://www.uniprot.org/uniprot/F6I0I2","F6I0I2")</f>
        <v>F6I0I2</v>
      </c>
      <c r="D20051" s="2" t="s">
        <v>15228</v>
      </c>
      <c r="E20051" s="3">
        <v>2.0999999999999999E-57</v>
      </c>
      <c r="F20051" s="2">
        <v>483</v>
      </c>
      <c r="G20051" s="2">
        <v>85</v>
      </c>
      <c r="H20051" s="2">
        <v>116</v>
      </c>
      <c r="I20051" s="2">
        <v>1</v>
      </c>
      <c r="J20051" s="2">
        <v>348</v>
      </c>
      <c r="K20051" s="2">
        <v>101</v>
      </c>
      <c r="L20051" s="2">
        <v>216</v>
      </c>
    </row>
    <row r="20052" spans="1:12" x14ac:dyDescent="0.25">
      <c r="A20052" s="4" t="str">
        <f>HYPERLINK("http://www.rosaceae.org/Prunus/Prunus_persica/p.persica_gdr_reftransV1_0002862","p.persica_gdr_reftransV1_0002862")</f>
        <v>p.persica_gdr_reftransV1_0002862</v>
      </c>
      <c r="B20052" s="2">
        <v>2119</v>
      </c>
      <c r="C20052" s="4" t="str">
        <f>HYPERLINK("http://www.uniprot.org/uniprot/M5VWH2","M5VWH2")</f>
        <v>M5VWH2</v>
      </c>
      <c r="D20052" s="2" t="s">
        <v>7004</v>
      </c>
      <c r="E20052" s="3">
        <v>2.6100000000000001E-93</v>
      </c>
      <c r="F20052" s="2">
        <v>762</v>
      </c>
      <c r="G20052" s="2">
        <v>95</v>
      </c>
      <c r="H20052" s="2">
        <v>152</v>
      </c>
      <c r="I20052" s="2">
        <v>1435</v>
      </c>
      <c r="J20052" s="2">
        <v>1890</v>
      </c>
      <c r="K20052" s="2">
        <v>4</v>
      </c>
      <c r="L20052" s="2">
        <v>154</v>
      </c>
    </row>
    <row r="20053" spans="1:12" x14ac:dyDescent="0.25">
      <c r="A20053" s="4" t="str">
        <f>HYPERLINK("http://www.rosaceae.org/Prunus/Prunus_persica/p.persica_gdr_reftransV1_0003562","p.persica_gdr_reftransV1_0003562")</f>
        <v>p.persica_gdr_reftransV1_0003562</v>
      </c>
      <c r="B20053" s="2">
        <v>397</v>
      </c>
      <c r="C20053" s="4" t="str">
        <f>HYPERLINK("http://www.uniprot.org/uniprot/M5XXF7","M5XXF7")</f>
        <v>M5XXF7</v>
      </c>
      <c r="D20053" s="2" t="s">
        <v>7206</v>
      </c>
      <c r="E20053" s="3">
        <v>2.0200000000000001E-85</v>
      </c>
      <c r="F20053" s="2">
        <v>703</v>
      </c>
      <c r="G20053" s="2">
        <v>100</v>
      </c>
      <c r="H20053" s="2">
        <v>132</v>
      </c>
      <c r="I20053" s="2">
        <v>2</v>
      </c>
      <c r="J20053" s="2">
        <v>397</v>
      </c>
      <c r="K20053" s="2">
        <v>205</v>
      </c>
      <c r="L20053" s="2">
        <v>336</v>
      </c>
    </row>
    <row r="20054" spans="1:12" x14ac:dyDescent="0.25">
      <c r="A20054" s="4" t="str">
        <f>HYPERLINK("http://www.rosaceae.org/Prunus/Prunus_persica/p.persica_gdr_reftransV1_0004262","p.persica_gdr_reftransV1_0004262")</f>
        <v>p.persica_gdr_reftransV1_0004262</v>
      </c>
      <c r="B20054" s="2">
        <v>2242</v>
      </c>
      <c r="C20054" s="4" t="str">
        <f>HYPERLINK("http://www.uniprot.org/uniprot/M5VIR1","M5VIR1")</f>
        <v>M5VIR1</v>
      </c>
      <c r="D20054" s="2" t="s">
        <v>15229</v>
      </c>
      <c r="E20054" s="3">
        <v>0</v>
      </c>
      <c r="F20054" s="2">
        <v>3383</v>
      </c>
      <c r="G20054" s="2">
        <v>98</v>
      </c>
      <c r="H20054" s="2">
        <v>644</v>
      </c>
      <c r="I20054" s="2">
        <v>250</v>
      </c>
      <c r="J20054" s="2">
        <v>2181</v>
      </c>
      <c r="K20054" s="2">
        <v>1</v>
      </c>
      <c r="L20054" s="2">
        <v>644</v>
      </c>
    </row>
    <row r="20055" spans="1:12" x14ac:dyDescent="0.25">
      <c r="A20055" s="4" t="str">
        <f>HYPERLINK("http://www.rosaceae.org/Prunus/Prunus_persica/p.persica_gdr_reftransV1_0004612","p.persica_gdr_reftransV1_0004612")</f>
        <v>p.persica_gdr_reftransV1_0004612</v>
      </c>
      <c r="B20055" s="2">
        <v>1791</v>
      </c>
      <c r="C20055" s="4" t="str">
        <f>HYPERLINK("http://www.uniprot.org/uniprot/M5WMW6","M5WMW6")</f>
        <v>M5WMW6</v>
      </c>
      <c r="D20055" s="2" t="s">
        <v>6299</v>
      </c>
      <c r="E20055" s="3">
        <v>0</v>
      </c>
      <c r="F20055" s="2">
        <v>2701</v>
      </c>
      <c r="G20055" s="2">
        <v>100</v>
      </c>
      <c r="H20055" s="2">
        <v>524</v>
      </c>
      <c r="I20055" s="2">
        <v>219</v>
      </c>
      <c r="J20055" s="2">
        <v>1790</v>
      </c>
      <c r="K20055" s="2">
        <v>50</v>
      </c>
      <c r="L20055" s="2">
        <v>573</v>
      </c>
    </row>
    <row r="20056" spans="1:12" x14ac:dyDescent="0.25">
      <c r="A20056" s="4" t="str">
        <f>HYPERLINK("http://www.rosaceae.org/Prunus/Prunus_persica/p.persica_gdr_reftransV1_0005312","p.persica_gdr_reftransV1_0005312")</f>
        <v>p.persica_gdr_reftransV1_0005312</v>
      </c>
      <c r="B20056" s="2">
        <v>1558</v>
      </c>
      <c r="C20056" s="4" t="str">
        <f>HYPERLINK("http://www.uniprot.org/uniprot/M5XYQ9","M5XYQ9")</f>
        <v>M5XYQ9</v>
      </c>
      <c r="D20056" s="2" t="s">
        <v>15230</v>
      </c>
      <c r="E20056" s="3">
        <v>1.5900000000000001E-147</v>
      </c>
      <c r="F20056" s="2">
        <v>1131</v>
      </c>
      <c r="G20056" s="2">
        <v>100</v>
      </c>
      <c r="H20056" s="2">
        <v>278</v>
      </c>
      <c r="I20056" s="2">
        <v>325</v>
      </c>
      <c r="J20056" s="2">
        <v>1158</v>
      </c>
      <c r="K20056" s="2">
        <v>101</v>
      </c>
      <c r="L20056" s="2">
        <v>378</v>
      </c>
    </row>
    <row r="20057" spans="1:12" x14ac:dyDescent="0.25">
      <c r="A20057" s="4" t="str">
        <f>HYPERLINK("http://www.rosaceae.org/Prunus/Prunus_persica/p.persica_gdr_reftransV1_0005662","p.persica_gdr_reftransV1_0005662")</f>
        <v>p.persica_gdr_reftransV1_0005662</v>
      </c>
      <c r="B20057" s="2">
        <v>652</v>
      </c>
      <c r="C20057" s="4" t="str">
        <f>HYPERLINK("http://www.uniprot.org/uniprot/M5VPE8","M5VPE8")</f>
        <v>M5VPE8</v>
      </c>
      <c r="D20057" s="2" t="s">
        <v>15231</v>
      </c>
      <c r="E20057" s="3">
        <v>4.9800000000000004E-62</v>
      </c>
      <c r="F20057" s="2">
        <v>539</v>
      </c>
      <c r="G20057" s="2">
        <v>97</v>
      </c>
      <c r="H20057" s="2">
        <v>108</v>
      </c>
      <c r="I20057" s="2">
        <v>3</v>
      </c>
      <c r="J20057" s="2">
        <v>326</v>
      </c>
      <c r="K20057" s="2">
        <v>383</v>
      </c>
      <c r="L20057" s="2">
        <v>490</v>
      </c>
    </row>
    <row r="20058" spans="1:12" x14ac:dyDescent="0.25">
      <c r="A20058" s="4" t="str">
        <f>HYPERLINK("http://www.rosaceae.org/Prunus/Prunus_persica/p.persica_gdr_reftransV1_0006012","p.persica_gdr_reftransV1_0006012")</f>
        <v>p.persica_gdr_reftransV1_0006012</v>
      </c>
      <c r="B20058" s="2">
        <v>1423</v>
      </c>
      <c r="C20058" s="4" t="str">
        <f>HYPERLINK("http://www.uniprot.org/uniprot/M5WKT1","M5WKT1")</f>
        <v>M5WKT1</v>
      </c>
      <c r="D20058" s="2" t="s">
        <v>10864</v>
      </c>
      <c r="E20058" s="3">
        <v>0</v>
      </c>
      <c r="F20058" s="2">
        <v>1894</v>
      </c>
      <c r="G20058" s="2">
        <v>88</v>
      </c>
      <c r="H20058" s="2">
        <v>473</v>
      </c>
      <c r="I20058" s="2">
        <v>3</v>
      </c>
      <c r="J20058" s="2">
        <v>1421</v>
      </c>
      <c r="K20058" s="2">
        <v>97</v>
      </c>
      <c r="L20058" s="2">
        <v>550</v>
      </c>
    </row>
    <row r="20059" spans="1:12" x14ac:dyDescent="0.25">
      <c r="A20059" s="4" t="str">
        <f>HYPERLINK("http://www.rosaceae.org/Prunus/Prunus_persica/p.persica_gdr_reftransV1_0007062","p.persica_gdr_reftransV1_0007062")</f>
        <v>p.persica_gdr_reftransV1_0007062</v>
      </c>
      <c r="B20059" s="2">
        <v>680</v>
      </c>
      <c r="C20059" s="4" t="str">
        <f>HYPERLINK("http://www.uniprot.org/uniprot/M5VLA8","M5VLA8")</f>
        <v>M5VLA8</v>
      </c>
      <c r="D20059" s="2" t="s">
        <v>15232</v>
      </c>
      <c r="E20059" s="3">
        <v>3.6699999999999999E-150</v>
      </c>
      <c r="F20059" s="2">
        <v>1123</v>
      </c>
      <c r="G20059" s="2">
        <v>100</v>
      </c>
      <c r="H20059" s="2">
        <v>208</v>
      </c>
      <c r="I20059" s="2">
        <v>1</v>
      </c>
      <c r="J20059" s="2">
        <v>624</v>
      </c>
      <c r="K20059" s="2">
        <v>228</v>
      </c>
      <c r="L20059" s="2">
        <v>435</v>
      </c>
    </row>
    <row r="20060" spans="1:12" x14ac:dyDescent="0.25">
      <c r="A20060" s="4" t="str">
        <f>HYPERLINK("http://www.rosaceae.org/Prunus/Prunus_persica/p.persica_gdr_reftransV1_0008112","p.persica_gdr_reftransV1_0008112")</f>
        <v>p.persica_gdr_reftransV1_0008112</v>
      </c>
      <c r="B20060" s="2">
        <v>1788</v>
      </c>
      <c r="C20060" s="4" t="str">
        <f>HYPERLINK("http://www.uniprot.org/uniprot/M5X1A3","M5X1A3")</f>
        <v>M5X1A3</v>
      </c>
      <c r="D20060" s="2" t="s">
        <v>15233</v>
      </c>
      <c r="E20060" s="3">
        <v>0</v>
      </c>
      <c r="F20060" s="2">
        <v>1723</v>
      </c>
      <c r="G20060" s="2">
        <v>100</v>
      </c>
      <c r="H20060" s="2">
        <v>369</v>
      </c>
      <c r="I20060" s="2">
        <v>520</v>
      </c>
      <c r="J20060" s="2">
        <v>1626</v>
      </c>
      <c r="K20060" s="2">
        <v>25</v>
      </c>
      <c r="L20060" s="2">
        <v>393</v>
      </c>
    </row>
    <row r="20061" spans="1:12" x14ac:dyDescent="0.25">
      <c r="A20061" s="4" t="str">
        <f>HYPERLINK("http://www.rosaceae.org/Prunus/Prunus_persica/p.persica_gdr_reftransV1_0008462","p.persica_gdr_reftransV1_0008462")</f>
        <v>p.persica_gdr_reftransV1_0008462</v>
      </c>
      <c r="B20061" s="2">
        <v>4434</v>
      </c>
      <c r="C20061" s="4" t="str">
        <f>HYPERLINK("http://www.uniprot.org/uniprot/M5XKQ9","M5XKQ9")</f>
        <v>M5XKQ9</v>
      </c>
      <c r="D20061" s="2" t="s">
        <v>2103</v>
      </c>
      <c r="E20061" s="3">
        <v>0</v>
      </c>
      <c r="F20061" s="2">
        <v>5457</v>
      </c>
      <c r="G20061" s="2">
        <v>95</v>
      </c>
      <c r="H20061" s="2">
        <v>1107</v>
      </c>
      <c r="I20061" s="2">
        <v>2</v>
      </c>
      <c r="J20061" s="2">
        <v>3322</v>
      </c>
      <c r="K20061" s="2">
        <v>554</v>
      </c>
      <c r="L20061" s="2">
        <v>1607</v>
      </c>
    </row>
    <row r="20062" spans="1:12" x14ac:dyDescent="0.25">
      <c r="A20062" s="4" t="str">
        <f>HYPERLINK("http://www.rosaceae.org/Prunus/Prunus_persica/p.persica_gdr_reftransV1_0008812","p.persica_gdr_reftransV1_0008812")</f>
        <v>p.persica_gdr_reftransV1_0008812</v>
      </c>
      <c r="B20062" s="2">
        <v>1440</v>
      </c>
      <c r="C20062" s="4" t="str">
        <f>HYPERLINK("http://www.uniprot.org/uniprot/W9RA24","W9RA24")</f>
        <v>W9RA24</v>
      </c>
      <c r="D20062" s="2" t="s">
        <v>15234</v>
      </c>
      <c r="E20062" s="3">
        <v>5.2099999999999999E-27</v>
      </c>
      <c r="F20062" s="2">
        <v>307</v>
      </c>
      <c r="G20062" s="2">
        <v>73</v>
      </c>
      <c r="H20062" s="2">
        <v>73</v>
      </c>
      <c r="I20062" s="2">
        <v>185</v>
      </c>
      <c r="J20062" s="2">
        <v>403</v>
      </c>
      <c r="K20062" s="2">
        <v>1</v>
      </c>
      <c r="L20062" s="2">
        <v>73</v>
      </c>
    </row>
    <row r="20063" spans="1:12" x14ac:dyDescent="0.25">
      <c r="A20063" s="4" t="str">
        <f>HYPERLINK("http://www.rosaceae.org/Prunus/Prunus_persica/p.persica_gdr_reftransV1_0009512","p.persica_gdr_reftransV1_0009512")</f>
        <v>p.persica_gdr_reftransV1_0009512</v>
      </c>
      <c r="B20063" s="2">
        <v>572</v>
      </c>
      <c r="C20063" s="4" t="str">
        <f>HYPERLINK("http://www.uniprot.org/uniprot/M5XAY0","M5XAY0")</f>
        <v>M5XAY0</v>
      </c>
      <c r="D20063" s="2" t="s">
        <v>6632</v>
      </c>
      <c r="E20063" s="3">
        <v>1.48E-114</v>
      </c>
      <c r="F20063" s="2">
        <v>902</v>
      </c>
      <c r="G20063" s="2">
        <v>100</v>
      </c>
      <c r="H20063" s="2">
        <v>190</v>
      </c>
      <c r="I20063" s="2">
        <v>2</v>
      </c>
      <c r="J20063" s="2">
        <v>571</v>
      </c>
      <c r="K20063" s="2">
        <v>107</v>
      </c>
      <c r="L20063" s="2">
        <v>296</v>
      </c>
    </row>
    <row r="20064" spans="1:12" x14ac:dyDescent="0.25">
      <c r="A20064" s="4" t="str">
        <f>HYPERLINK("http://www.rosaceae.org/Prunus/Prunus_persica/p.persica_gdr_reftransV1_0010212","p.persica_gdr_reftransV1_0010212")</f>
        <v>p.persica_gdr_reftransV1_0010212</v>
      </c>
      <c r="B20064" s="2">
        <v>1525</v>
      </c>
      <c r="C20064" s="4" t="str">
        <f>HYPERLINK("http://www.uniprot.org/uniprot/M5X383","M5X383")</f>
        <v>M5X383</v>
      </c>
      <c r="D20064" s="2" t="s">
        <v>14871</v>
      </c>
      <c r="E20064" s="3">
        <v>0</v>
      </c>
      <c r="F20064" s="2">
        <v>1429</v>
      </c>
      <c r="G20064" s="2">
        <v>91</v>
      </c>
      <c r="H20064" s="2">
        <v>301</v>
      </c>
      <c r="I20064" s="2">
        <v>621</v>
      </c>
      <c r="J20064" s="2">
        <v>1523</v>
      </c>
      <c r="K20064" s="2">
        <v>694</v>
      </c>
      <c r="L20064" s="2">
        <v>967</v>
      </c>
    </row>
    <row r="20065" spans="1:12" x14ac:dyDescent="0.25">
      <c r="A20065" s="4" t="str">
        <f>HYPERLINK("http://www.rosaceae.org/Prunus/Prunus_persica/p.persica_gdr_reftransV1_0010562","p.persica_gdr_reftransV1_0010562")</f>
        <v>p.persica_gdr_reftransV1_0010562</v>
      </c>
      <c r="B20065" s="2">
        <v>1444</v>
      </c>
      <c r="C20065" s="4" t="str">
        <f>HYPERLINK("http://www.uniprot.org/uniprot/M5W8V7","M5W8V7")</f>
        <v>M5W8V7</v>
      </c>
      <c r="D20065" s="2" t="s">
        <v>15235</v>
      </c>
      <c r="E20065" s="3">
        <v>2.05E-82</v>
      </c>
      <c r="F20065" s="2">
        <v>592</v>
      </c>
      <c r="G20065" s="2">
        <v>95</v>
      </c>
      <c r="H20065" s="2">
        <v>131</v>
      </c>
      <c r="I20065" s="2">
        <v>272</v>
      </c>
      <c r="J20065" s="2">
        <v>664</v>
      </c>
      <c r="K20065" s="2">
        <v>8</v>
      </c>
      <c r="L20065" s="2">
        <v>138</v>
      </c>
    </row>
    <row r="20066" spans="1:12" x14ac:dyDescent="0.25">
      <c r="A20066" s="4" t="str">
        <f>HYPERLINK("http://www.rosaceae.org/Prunus/Prunus_persica/p.persica_gdr_reftransV1_0010912","p.persica_gdr_reftransV1_0010912")</f>
        <v>p.persica_gdr_reftransV1_0010912</v>
      </c>
      <c r="B20066" s="2">
        <v>1642</v>
      </c>
      <c r="C20066" s="4" t="str">
        <f>HYPERLINK("http://www.uniprot.org/uniprot/M5WDN1","M5WDN1")</f>
        <v>M5WDN1</v>
      </c>
      <c r="D20066" s="2" t="s">
        <v>15236</v>
      </c>
      <c r="E20066" s="3">
        <v>2.2600000000000001E-8</v>
      </c>
      <c r="F20066" s="2">
        <v>162</v>
      </c>
      <c r="G20066" s="2">
        <v>84</v>
      </c>
      <c r="H20066" s="2">
        <v>58</v>
      </c>
      <c r="I20066" s="2">
        <v>1238</v>
      </c>
      <c r="J20066" s="2">
        <v>1411</v>
      </c>
      <c r="K20066" s="2">
        <v>893</v>
      </c>
      <c r="L20066" s="2">
        <v>949</v>
      </c>
    </row>
    <row r="20067" spans="1:12" x14ac:dyDescent="0.25">
      <c r="A20067" s="4" t="str">
        <f>HYPERLINK("http://www.rosaceae.org/Prunus/Prunus_persica/p.persica_gdr_reftransV1_0011962","p.persica_gdr_reftransV1_0011962")</f>
        <v>p.persica_gdr_reftransV1_0011962</v>
      </c>
      <c r="B20067" s="2">
        <v>1442</v>
      </c>
      <c r="C20067" s="4" t="str">
        <f>HYPERLINK("http://www.uniprot.org/uniprot/M5XBU5","M5XBU5")</f>
        <v>M5XBU5</v>
      </c>
      <c r="D20067" s="2" t="s">
        <v>15237</v>
      </c>
      <c r="E20067" s="3">
        <v>0</v>
      </c>
      <c r="F20067" s="2">
        <v>1377</v>
      </c>
      <c r="G20067" s="2">
        <v>100</v>
      </c>
      <c r="H20067" s="2">
        <v>268</v>
      </c>
      <c r="I20067" s="2">
        <v>73</v>
      </c>
      <c r="J20067" s="2">
        <v>876</v>
      </c>
      <c r="K20067" s="2">
        <v>1</v>
      </c>
      <c r="L20067" s="2">
        <v>268</v>
      </c>
    </row>
    <row r="20068" spans="1:12" x14ac:dyDescent="0.25">
      <c r="A20068" s="4" t="str">
        <f>HYPERLINK("http://www.rosaceae.org/Prunus/Prunus_persica/p.persica_gdr_reftransV1_0012312","p.persica_gdr_reftransV1_0012312")</f>
        <v>p.persica_gdr_reftransV1_0012312</v>
      </c>
      <c r="B20068" s="2">
        <v>562</v>
      </c>
      <c r="C20068" s="4" t="str">
        <f>HYPERLINK("http://www.uniprot.org/uniprot/M5XI58","M5XI58")</f>
        <v>M5XI58</v>
      </c>
      <c r="D20068" s="2" t="s">
        <v>15238</v>
      </c>
      <c r="E20068" s="3">
        <v>3.8700000000000002E-111</v>
      </c>
      <c r="F20068" s="2">
        <v>883</v>
      </c>
      <c r="G20068" s="2">
        <v>100</v>
      </c>
      <c r="H20068" s="2">
        <v>187</v>
      </c>
      <c r="I20068" s="2">
        <v>1</v>
      </c>
      <c r="J20068" s="2">
        <v>561</v>
      </c>
      <c r="K20068" s="2">
        <v>195</v>
      </c>
      <c r="L20068" s="2">
        <v>381</v>
      </c>
    </row>
    <row r="20069" spans="1:12" x14ac:dyDescent="0.25">
      <c r="A20069" s="4" t="str">
        <f>HYPERLINK("http://www.rosaceae.org/Prunus/Prunus_persica/p.persica_gdr_reftransV1_0013012","p.persica_gdr_reftransV1_0013012")</f>
        <v>p.persica_gdr_reftransV1_0013012</v>
      </c>
      <c r="B20069" s="2">
        <v>3766</v>
      </c>
      <c r="C20069" s="4" t="str">
        <f>HYPERLINK("http://www.uniprot.org/uniprot/M5WEC0","M5WEC0")</f>
        <v>M5WEC0</v>
      </c>
      <c r="D20069" s="2" t="s">
        <v>15239</v>
      </c>
      <c r="E20069" s="3">
        <v>0</v>
      </c>
      <c r="F20069" s="2">
        <v>4955</v>
      </c>
      <c r="G20069" s="2">
        <v>100</v>
      </c>
      <c r="H20069" s="2">
        <v>998</v>
      </c>
      <c r="I20069" s="2">
        <v>242</v>
      </c>
      <c r="J20069" s="2">
        <v>3232</v>
      </c>
      <c r="K20069" s="2">
        <v>1</v>
      </c>
      <c r="L20069" s="2">
        <v>998</v>
      </c>
    </row>
    <row r="20070" spans="1:12" x14ac:dyDescent="0.25">
      <c r="A20070" s="4" t="str">
        <f>HYPERLINK("http://www.rosaceae.org/Prunus/Prunus_persica/p.persica_gdr_reftransV1_0013362","p.persica_gdr_reftransV1_0013362")</f>
        <v>p.persica_gdr_reftransV1_0013362</v>
      </c>
      <c r="B20070" s="2">
        <v>2448</v>
      </c>
      <c r="C20070" s="4" t="str">
        <f>HYPERLINK("http://www.uniprot.org/uniprot/M5WTW8","M5WTW8")</f>
        <v>M5WTW8</v>
      </c>
      <c r="D20070" s="2" t="s">
        <v>15240</v>
      </c>
      <c r="E20070" s="3">
        <v>2.07E-48</v>
      </c>
      <c r="F20070" s="2">
        <v>452</v>
      </c>
      <c r="G20070" s="2">
        <v>100</v>
      </c>
      <c r="H20070" s="2">
        <v>156</v>
      </c>
      <c r="I20070" s="2">
        <v>1280</v>
      </c>
      <c r="J20070" s="2">
        <v>1747</v>
      </c>
      <c r="K20070" s="2">
        <v>1</v>
      </c>
      <c r="L20070" s="2">
        <v>156</v>
      </c>
    </row>
    <row r="20071" spans="1:12" x14ac:dyDescent="0.25">
      <c r="A20071" s="4" t="str">
        <f>HYPERLINK("http://www.rosaceae.org/Prunus/Prunus_persica/p.persica_gdr_reftransV1_0014062","p.persica_gdr_reftransV1_0014062")</f>
        <v>p.persica_gdr_reftransV1_0014062</v>
      </c>
      <c r="B20071" s="2">
        <v>2279</v>
      </c>
      <c r="C20071" s="4" t="str">
        <f>HYPERLINK("http://www.uniprot.org/uniprot/M5X1W5","M5X1W5")</f>
        <v>M5X1W5</v>
      </c>
      <c r="D20071" s="2" t="s">
        <v>15241</v>
      </c>
      <c r="E20071" s="3">
        <v>0</v>
      </c>
      <c r="F20071" s="2">
        <v>2932</v>
      </c>
      <c r="G20071" s="2">
        <v>100</v>
      </c>
      <c r="H20071" s="2">
        <v>588</v>
      </c>
      <c r="I20071" s="2">
        <v>326</v>
      </c>
      <c r="J20071" s="2">
        <v>2089</v>
      </c>
      <c r="K20071" s="2">
        <v>1</v>
      </c>
      <c r="L20071" s="2">
        <v>588</v>
      </c>
    </row>
    <row r="20072" spans="1:12" x14ac:dyDescent="0.25">
      <c r="A20072" s="4" t="str">
        <f>HYPERLINK("http://www.rosaceae.org/Prunus/Prunus_persica/p.persica_gdr_reftransV1_0016162","p.persica_gdr_reftransV1_0016162")</f>
        <v>p.persica_gdr_reftransV1_0016162</v>
      </c>
      <c r="B20072" s="2">
        <v>3464</v>
      </c>
      <c r="C20072" s="4" t="str">
        <f>HYPERLINK("http://www.uniprot.org/uniprot/M5XLU2","M5XLU2")</f>
        <v>M5XLU2</v>
      </c>
      <c r="D20072" s="2" t="s">
        <v>15242</v>
      </c>
      <c r="E20072" s="3">
        <v>0</v>
      </c>
      <c r="F20072" s="2">
        <v>4211</v>
      </c>
      <c r="G20072" s="2">
        <v>100</v>
      </c>
      <c r="H20072" s="2">
        <v>814</v>
      </c>
      <c r="I20072" s="2">
        <v>498</v>
      </c>
      <c r="J20072" s="2">
        <v>2939</v>
      </c>
      <c r="K20072" s="2">
        <v>1</v>
      </c>
      <c r="L20072" s="2">
        <v>814</v>
      </c>
    </row>
    <row r="20073" spans="1:12" x14ac:dyDescent="0.25">
      <c r="A20073" s="4" t="str">
        <f>HYPERLINK("http://www.rosaceae.org/Prunus/Prunus_persica/p.persica_gdr_reftransV1_0016512","p.persica_gdr_reftransV1_0016512")</f>
        <v>p.persica_gdr_reftransV1_0016512</v>
      </c>
      <c r="B20073" s="2">
        <v>477</v>
      </c>
      <c r="C20073" s="4" t="str">
        <f>HYPERLINK("http://www.uniprot.org/uniprot/M5X907","M5X907")</f>
        <v>M5X907</v>
      </c>
      <c r="D20073" s="2" t="s">
        <v>898</v>
      </c>
      <c r="E20073" s="3">
        <v>6.4500000000000004E-87</v>
      </c>
      <c r="F20073" s="2">
        <v>740</v>
      </c>
      <c r="G20073" s="2">
        <v>100</v>
      </c>
      <c r="H20073" s="2">
        <v>158</v>
      </c>
      <c r="I20073" s="2">
        <v>3</v>
      </c>
      <c r="J20073" s="2">
        <v>476</v>
      </c>
      <c r="K20073" s="2">
        <v>983</v>
      </c>
      <c r="L20073" s="2">
        <v>1140</v>
      </c>
    </row>
    <row r="20074" spans="1:12" x14ac:dyDescent="0.25">
      <c r="A20074" s="4" t="str">
        <f>HYPERLINK("http://www.rosaceae.org/Prunus/Prunus_persica/p.persica_gdr_reftransV1_0017212","p.persica_gdr_reftransV1_0017212")</f>
        <v>p.persica_gdr_reftransV1_0017212</v>
      </c>
      <c r="B20074" s="2">
        <v>2210</v>
      </c>
      <c r="C20074" s="4" t="str">
        <f>HYPERLINK("http://www.uniprot.org/uniprot/M5XDL8","M5XDL8")</f>
        <v>M5XDL8</v>
      </c>
      <c r="D20074" s="2" t="s">
        <v>6727</v>
      </c>
      <c r="E20074" s="3">
        <v>2.1799999999999998E-180</v>
      </c>
      <c r="F20074" s="2">
        <v>1303</v>
      </c>
      <c r="G20074" s="2">
        <v>100</v>
      </c>
      <c r="H20074" s="2">
        <v>270</v>
      </c>
      <c r="I20074" s="2">
        <v>919</v>
      </c>
      <c r="J20074" s="2">
        <v>1728</v>
      </c>
      <c r="K20074" s="2">
        <v>93</v>
      </c>
      <c r="L20074" s="2">
        <v>362</v>
      </c>
    </row>
    <row r="20075" spans="1:12" x14ac:dyDescent="0.25">
      <c r="A20075" s="4" t="str">
        <f>HYPERLINK("http://www.rosaceae.org/Prunus/Prunus_persica/p.persica_gdr_reftransV1_0017562","p.persica_gdr_reftransV1_0017562")</f>
        <v>p.persica_gdr_reftransV1_0017562</v>
      </c>
      <c r="B20075" s="2">
        <v>2495</v>
      </c>
      <c r="C20075" s="4" t="str">
        <f>HYPERLINK("http://www.uniprot.org/uniprot/M5WYM6","M5WYM6")</f>
        <v>M5WYM6</v>
      </c>
      <c r="D20075" s="2" t="s">
        <v>15243</v>
      </c>
      <c r="E20075" s="3">
        <v>0</v>
      </c>
      <c r="F20075" s="2">
        <v>3288</v>
      </c>
      <c r="G20075" s="2">
        <v>100</v>
      </c>
      <c r="H20075" s="2">
        <v>667</v>
      </c>
      <c r="I20075" s="2">
        <v>332</v>
      </c>
      <c r="J20075" s="2">
        <v>2332</v>
      </c>
      <c r="K20075" s="2">
        <v>15</v>
      </c>
      <c r="L20075" s="2">
        <v>681</v>
      </c>
    </row>
    <row r="20076" spans="1:12" x14ac:dyDescent="0.25">
      <c r="A20076" s="4" t="str">
        <f>HYPERLINK("http://www.rosaceae.org/Prunus/Prunus_persica/p.persica_gdr_reftransV1_0018612","p.persica_gdr_reftransV1_0018612")</f>
        <v>p.persica_gdr_reftransV1_0018612</v>
      </c>
      <c r="B20076" s="2">
        <v>1483</v>
      </c>
      <c r="C20076" s="4" t="str">
        <f>HYPERLINK("http://www.uniprot.org/uniprot/M1CHB1","M1CHB1")</f>
        <v>M1CHB1</v>
      </c>
      <c r="D20076" s="2" t="s">
        <v>15244</v>
      </c>
      <c r="E20076" s="3">
        <v>1.17E-98</v>
      </c>
      <c r="F20076" s="2">
        <v>486</v>
      </c>
      <c r="G20076" s="2">
        <v>68</v>
      </c>
      <c r="H20076" s="2">
        <v>160</v>
      </c>
      <c r="I20076" s="2">
        <v>748</v>
      </c>
      <c r="J20076" s="2">
        <v>1218</v>
      </c>
      <c r="K20076" s="2">
        <v>17</v>
      </c>
      <c r="L20076" s="2">
        <v>175</v>
      </c>
    </row>
    <row r="20077" spans="1:12" x14ac:dyDescent="0.25">
      <c r="A20077" s="4" t="str">
        <f>HYPERLINK("http://www.rosaceae.org/Prunus/Prunus_persica/p.persica_gdr_reftransV1_0020712","p.persica_gdr_reftransV1_0020712")</f>
        <v>p.persica_gdr_reftransV1_0020712</v>
      </c>
      <c r="B20077" s="2">
        <v>732</v>
      </c>
      <c r="C20077" s="4" t="str">
        <f>HYPERLINK("http://www.uniprot.org/uniprot/M5VXB9","M5VXB9")</f>
        <v>M5VXB9</v>
      </c>
      <c r="D20077" s="2" t="s">
        <v>15245</v>
      </c>
      <c r="E20077" s="3">
        <v>1.6699999999999999E-154</v>
      </c>
      <c r="F20077" s="2">
        <v>1134</v>
      </c>
      <c r="G20077" s="2">
        <v>100</v>
      </c>
      <c r="H20077" s="2">
        <v>210</v>
      </c>
      <c r="I20077" s="2">
        <v>101</v>
      </c>
      <c r="J20077" s="2">
        <v>730</v>
      </c>
      <c r="K20077" s="2">
        <v>25</v>
      </c>
      <c r="L20077" s="2">
        <v>234</v>
      </c>
    </row>
    <row r="20078" spans="1:12" x14ac:dyDescent="0.25">
      <c r="A20078" s="4" t="str">
        <f>HYPERLINK("http://www.rosaceae.org/Prunus/Prunus_persica/p.persica_gdr_reftransV1_0021412","p.persica_gdr_reftransV1_0021412")</f>
        <v>p.persica_gdr_reftransV1_0021412</v>
      </c>
      <c r="B20078" s="2">
        <v>2433</v>
      </c>
      <c r="C20078" s="4" t="str">
        <f>HYPERLINK("http://www.uniprot.org/uniprot/M5VZG9","M5VZG9")</f>
        <v>M5VZG9</v>
      </c>
      <c r="D20078" s="2" t="s">
        <v>15246</v>
      </c>
      <c r="E20078" s="3">
        <v>0</v>
      </c>
      <c r="F20078" s="2">
        <v>2145</v>
      </c>
      <c r="G20078" s="2">
        <v>100</v>
      </c>
      <c r="H20078" s="2">
        <v>399</v>
      </c>
      <c r="I20078" s="2">
        <v>202</v>
      </c>
      <c r="J20078" s="2">
        <v>1398</v>
      </c>
      <c r="K20078" s="2">
        <v>1</v>
      </c>
      <c r="L20078" s="2">
        <v>399</v>
      </c>
    </row>
    <row r="20079" spans="1:12" x14ac:dyDescent="0.25">
      <c r="A20079" s="4" t="str">
        <f>HYPERLINK("http://www.rosaceae.org/Prunus/Prunus_persica/p.persica_gdr_reftransV1_0022462","p.persica_gdr_reftransV1_0022462")</f>
        <v>p.persica_gdr_reftransV1_0022462</v>
      </c>
      <c r="B20079" s="2">
        <v>1274</v>
      </c>
      <c r="C20079" s="4" t="str">
        <f>HYPERLINK("http://www.uniprot.org/uniprot/M5XXL1","M5XXL1")</f>
        <v>M5XXL1</v>
      </c>
      <c r="D20079" s="2" t="s">
        <v>15247</v>
      </c>
      <c r="E20079" s="3">
        <v>0</v>
      </c>
      <c r="F20079" s="2">
        <v>1612</v>
      </c>
      <c r="G20079" s="2">
        <v>100</v>
      </c>
      <c r="H20079" s="2">
        <v>320</v>
      </c>
      <c r="I20079" s="2">
        <v>63</v>
      </c>
      <c r="J20079" s="2">
        <v>1022</v>
      </c>
      <c r="K20079" s="2">
        <v>1</v>
      </c>
      <c r="L20079" s="2">
        <v>320</v>
      </c>
    </row>
    <row r="20080" spans="1:12" x14ac:dyDescent="0.25">
      <c r="A20080" s="4" t="str">
        <f>HYPERLINK("http://www.rosaceae.org/Prunus/Prunus_persica/p.persica_gdr_reftransV1_0023162","p.persica_gdr_reftransV1_0023162")</f>
        <v>p.persica_gdr_reftransV1_0023162</v>
      </c>
      <c r="B20080" s="2">
        <v>5369</v>
      </c>
      <c r="C20080" s="4" t="str">
        <f>HYPERLINK("http://www.uniprot.org/uniprot/M5XR57","M5XR57")</f>
        <v>M5XR57</v>
      </c>
      <c r="D20080" s="2" t="s">
        <v>15248</v>
      </c>
      <c r="E20080" s="3">
        <v>0</v>
      </c>
      <c r="F20080" s="2">
        <v>6006</v>
      </c>
      <c r="G20080" s="2">
        <v>100</v>
      </c>
      <c r="H20080" s="2">
        <v>1152</v>
      </c>
      <c r="I20080" s="2">
        <v>1361</v>
      </c>
      <c r="J20080" s="2">
        <v>4816</v>
      </c>
      <c r="K20080" s="2">
        <v>1</v>
      </c>
      <c r="L20080" s="2">
        <v>1152</v>
      </c>
    </row>
    <row r="20081" spans="1:12" x14ac:dyDescent="0.25">
      <c r="A20081" s="4" t="str">
        <f>HYPERLINK("http://www.rosaceae.org/Prunus/Prunus_persica/p.persica_gdr_reftransV1_0023862","p.persica_gdr_reftransV1_0023862")</f>
        <v>p.persica_gdr_reftransV1_0023862</v>
      </c>
      <c r="B20081" s="2">
        <v>914</v>
      </c>
      <c r="C20081" s="4" t="str">
        <f>HYPERLINK("http://www.uniprot.org/uniprot/M5VRF7","M5VRF7")</f>
        <v>M5VRF7</v>
      </c>
      <c r="D20081" s="2" t="s">
        <v>15249</v>
      </c>
      <c r="E20081" s="3">
        <v>1.09E-72</v>
      </c>
      <c r="F20081" s="2">
        <v>590</v>
      </c>
      <c r="G20081" s="2">
        <v>98</v>
      </c>
      <c r="H20081" s="2">
        <v>116</v>
      </c>
      <c r="I20081" s="2">
        <v>119</v>
      </c>
      <c r="J20081" s="2">
        <v>466</v>
      </c>
      <c r="K20081" s="2">
        <v>1</v>
      </c>
      <c r="L20081" s="2">
        <v>116</v>
      </c>
    </row>
    <row r="20082" spans="1:12" x14ac:dyDescent="0.25">
      <c r="A20082" s="4" t="str">
        <f>HYPERLINK("http://www.rosaceae.org/Prunus/Prunus_persica/p.persica_gdr_reftransV1_0025962","p.persica_gdr_reftransV1_0025962")</f>
        <v>p.persica_gdr_reftransV1_0025962</v>
      </c>
      <c r="B20082" s="2">
        <v>1618</v>
      </c>
      <c r="C20082" s="4" t="str">
        <f>HYPERLINK("http://www.uniprot.org/uniprot/M5W420","M5W420")</f>
        <v>M5W420</v>
      </c>
      <c r="D20082" s="2" t="s">
        <v>15250</v>
      </c>
      <c r="E20082" s="3">
        <v>1.4799999999999999E-159</v>
      </c>
      <c r="F20082" s="2">
        <v>1210</v>
      </c>
      <c r="G20082" s="2">
        <v>100</v>
      </c>
      <c r="H20082" s="2">
        <v>230</v>
      </c>
      <c r="I20082" s="2">
        <v>624</v>
      </c>
      <c r="J20082" s="2">
        <v>1313</v>
      </c>
      <c r="K20082" s="2">
        <v>36</v>
      </c>
      <c r="L20082" s="2">
        <v>265</v>
      </c>
    </row>
    <row r="20083" spans="1:12" x14ac:dyDescent="0.25">
      <c r="A20083" s="4" t="str">
        <f>HYPERLINK("http://www.rosaceae.org/Prunus/Prunus_persica/p.persica_gdr_reftransV1_0026662","p.persica_gdr_reftransV1_0026662")</f>
        <v>p.persica_gdr_reftransV1_0026662</v>
      </c>
      <c r="B20083" s="2">
        <v>2088</v>
      </c>
      <c r="C20083" s="4" t="str">
        <f>HYPERLINK("http://www.uniprot.org/uniprot/M5X0B0","M5X0B0")</f>
        <v>M5X0B0</v>
      </c>
      <c r="D20083" s="2" t="s">
        <v>15251</v>
      </c>
      <c r="E20083" s="3">
        <v>6.1900000000000004E-115</v>
      </c>
      <c r="F20083" s="2">
        <v>915</v>
      </c>
      <c r="G20083" s="2">
        <v>100</v>
      </c>
      <c r="H20083" s="2">
        <v>199</v>
      </c>
      <c r="I20083" s="2">
        <v>963</v>
      </c>
      <c r="J20083" s="2">
        <v>1559</v>
      </c>
      <c r="K20083" s="2">
        <v>37</v>
      </c>
      <c r="L20083" s="2">
        <v>235</v>
      </c>
    </row>
    <row r="20084" spans="1:12" x14ac:dyDescent="0.25">
      <c r="A20084" s="4" t="str">
        <f>HYPERLINK("http://www.rosaceae.org/Prunus/Prunus_persica/p.persica_gdr_reftransV1_0028062","p.persica_gdr_reftransV1_0028062")</f>
        <v>p.persica_gdr_reftransV1_0028062</v>
      </c>
      <c r="B20084" s="2">
        <v>970</v>
      </c>
      <c r="C20084" s="4" t="str">
        <f>HYPERLINK("http://www.uniprot.org/uniprot/M5WLA8","M5WLA8")</f>
        <v>M5WLA8</v>
      </c>
      <c r="D20084" s="2" t="s">
        <v>15252</v>
      </c>
      <c r="E20084" s="3">
        <v>3.16E-83</v>
      </c>
      <c r="F20084" s="2">
        <v>663</v>
      </c>
      <c r="G20084" s="2">
        <v>100</v>
      </c>
      <c r="H20084" s="2">
        <v>149</v>
      </c>
      <c r="I20084" s="2">
        <v>80</v>
      </c>
      <c r="J20084" s="2">
        <v>526</v>
      </c>
      <c r="K20084" s="2">
        <v>1</v>
      </c>
      <c r="L20084" s="2">
        <v>149</v>
      </c>
    </row>
    <row r="20085" spans="1:12" x14ac:dyDescent="0.25">
      <c r="A20085" s="4" t="str">
        <f>HYPERLINK("http://www.rosaceae.org/Prunus/Prunus_persica/p.persica_gdr_reftransV1_0028412","p.persica_gdr_reftransV1_0028412")</f>
        <v>p.persica_gdr_reftransV1_0028412</v>
      </c>
      <c r="B20085" s="2">
        <v>3263</v>
      </c>
      <c r="C20085" s="4" t="str">
        <f>HYPERLINK("http://www.uniprot.org/uniprot/M5W8I6","M5W8I6")</f>
        <v>M5W8I6</v>
      </c>
      <c r="D20085" s="2" t="s">
        <v>15253</v>
      </c>
      <c r="E20085" s="3">
        <v>2.42E-126</v>
      </c>
      <c r="F20085" s="2">
        <v>1050</v>
      </c>
      <c r="G20085" s="2">
        <v>100</v>
      </c>
      <c r="H20085" s="2">
        <v>254</v>
      </c>
      <c r="I20085" s="2">
        <v>2015</v>
      </c>
      <c r="J20085" s="2">
        <v>2776</v>
      </c>
      <c r="K20085" s="2">
        <v>292</v>
      </c>
      <c r="L20085" s="2">
        <v>545</v>
      </c>
    </row>
    <row r="20086" spans="1:12" x14ac:dyDescent="0.25">
      <c r="A20086" s="4" t="str">
        <f>HYPERLINK("http://www.rosaceae.org/Prunus/Prunus_persica/p.persica_gdr_reftransV1_0029812","p.persica_gdr_reftransV1_0029812")</f>
        <v>p.persica_gdr_reftransV1_0029812</v>
      </c>
      <c r="B20086" s="2">
        <v>2149</v>
      </c>
      <c r="C20086" s="4" t="str">
        <f>HYPERLINK("http://www.uniprot.org/uniprot/M5XDN2","M5XDN2")</f>
        <v>M5XDN2</v>
      </c>
      <c r="D20086" s="2" t="s">
        <v>15254</v>
      </c>
      <c r="E20086" s="3">
        <v>0</v>
      </c>
      <c r="F20086" s="2">
        <v>2192</v>
      </c>
      <c r="G20086" s="2">
        <v>100</v>
      </c>
      <c r="H20086" s="2">
        <v>447</v>
      </c>
      <c r="I20086" s="2">
        <v>274</v>
      </c>
      <c r="J20086" s="2">
        <v>1614</v>
      </c>
      <c r="K20086" s="2">
        <v>1</v>
      </c>
      <c r="L20086" s="2">
        <v>447</v>
      </c>
    </row>
    <row r="20087" spans="1:12" x14ac:dyDescent="0.25">
      <c r="A20087" s="4" t="str">
        <f>HYPERLINK("http://www.rosaceae.org/Prunus/Prunus_persica/p.persica_gdr_reftransV1_0031212","p.persica_gdr_reftransV1_0031212")</f>
        <v>p.persica_gdr_reftransV1_0031212</v>
      </c>
      <c r="B20087" s="2">
        <v>1689</v>
      </c>
      <c r="C20087" s="4" t="str">
        <f>HYPERLINK("http://www.uniprot.org/uniprot/M5X7L0","M5X7L0")</f>
        <v>M5X7L0</v>
      </c>
      <c r="D20087" s="2" t="s">
        <v>15255</v>
      </c>
      <c r="E20087" s="3">
        <v>0</v>
      </c>
      <c r="F20087" s="2">
        <v>2712</v>
      </c>
      <c r="G20087" s="2">
        <v>100</v>
      </c>
      <c r="H20087" s="2">
        <v>507</v>
      </c>
      <c r="I20087" s="2">
        <v>95</v>
      </c>
      <c r="J20087" s="2">
        <v>1615</v>
      </c>
      <c r="K20087" s="2">
        <v>1</v>
      </c>
      <c r="L20087" s="2">
        <v>507</v>
      </c>
    </row>
    <row r="20088" spans="1:12" x14ac:dyDescent="0.25">
      <c r="A20088" s="4" t="str">
        <f>HYPERLINK("http://www.rosaceae.org/Prunus/Prunus_persica/p.persica_gdr_reftransV1_0031562","p.persica_gdr_reftransV1_0031562")</f>
        <v>p.persica_gdr_reftransV1_0031562</v>
      </c>
      <c r="B20088" s="2">
        <v>4813</v>
      </c>
      <c r="C20088" s="4" t="str">
        <f>HYPERLINK("http://www.uniprot.org/uniprot/M5WWV5","M5WWV5")</f>
        <v>M5WWV5</v>
      </c>
      <c r="D20088" s="2" t="s">
        <v>15256</v>
      </c>
      <c r="E20088" s="3">
        <v>0</v>
      </c>
      <c r="F20088" s="2">
        <v>5196</v>
      </c>
      <c r="G20088" s="2">
        <v>100</v>
      </c>
      <c r="H20088" s="2">
        <v>997</v>
      </c>
      <c r="I20088" s="2">
        <v>1724</v>
      </c>
      <c r="J20088" s="2">
        <v>4714</v>
      </c>
      <c r="K20088" s="2">
        <v>1</v>
      </c>
      <c r="L20088" s="2">
        <v>997</v>
      </c>
    </row>
    <row r="20089" spans="1:12" x14ac:dyDescent="0.25">
      <c r="A20089" s="4" t="str">
        <f>HYPERLINK("http://www.rosaceae.org/Prunus/Prunus_persica/p.persica_gdr_reftransV1_0031912","p.persica_gdr_reftransV1_0031912")</f>
        <v>p.persica_gdr_reftransV1_0031912</v>
      </c>
      <c r="B20089" s="2">
        <v>1498</v>
      </c>
      <c r="C20089" s="4" t="str">
        <f>HYPERLINK("http://www.uniprot.org/uniprot/M5WJR7","M5WJR7")</f>
        <v>M5WJR7</v>
      </c>
      <c r="D20089" s="2" t="s">
        <v>15257</v>
      </c>
      <c r="E20089" s="3">
        <v>2.6099999999999999E-45</v>
      </c>
      <c r="F20089" s="2">
        <v>427</v>
      </c>
      <c r="G20089" s="2">
        <v>99</v>
      </c>
      <c r="H20089" s="2">
        <v>125</v>
      </c>
      <c r="I20089" s="2">
        <v>7</v>
      </c>
      <c r="J20089" s="2">
        <v>381</v>
      </c>
      <c r="K20089" s="2">
        <v>1</v>
      </c>
      <c r="L20089" s="2">
        <v>125</v>
      </c>
    </row>
    <row r="20090" spans="1:12" x14ac:dyDescent="0.25">
      <c r="A20090" s="4" t="str">
        <f>HYPERLINK("http://www.rosaceae.org/Prunus/Prunus_persica/p.persica_gdr_reftransV1_0032962","p.persica_gdr_reftransV1_0032962")</f>
        <v>p.persica_gdr_reftransV1_0032962</v>
      </c>
      <c r="B20090" s="2">
        <v>1705</v>
      </c>
      <c r="C20090" s="4" t="str">
        <f>HYPERLINK("http://www.uniprot.org/uniprot/M5W3H8","M5W3H8")</f>
        <v>M5W3H8</v>
      </c>
      <c r="D20090" s="2" t="s">
        <v>15258</v>
      </c>
      <c r="E20090" s="3">
        <v>8.4300000000000008E-127</v>
      </c>
      <c r="F20090" s="2">
        <v>980</v>
      </c>
      <c r="G20090" s="2">
        <v>86</v>
      </c>
      <c r="H20090" s="2">
        <v>223</v>
      </c>
      <c r="I20090" s="2">
        <v>621</v>
      </c>
      <c r="J20090" s="2">
        <v>1289</v>
      </c>
      <c r="K20090" s="2">
        <v>3</v>
      </c>
      <c r="L20090" s="2">
        <v>193</v>
      </c>
    </row>
    <row r="20091" spans="1:12" x14ac:dyDescent="0.25">
      <c r="A20091" s="4" t="str">
        <f>HYPERLINK("http://www.rosaceae.org/Prunus/Prunus_persica/p.persica_gdr_reftransV1_0034012","p.persica_gdr_reftransV1_0034012")</f>
        <v>p.persica_gdr_reftransV1_0034012</v>
      </c>
      <c r="B20091" s="2">
        <v>3692</v>
      </c>
      <c r="C20091" s="4" t="str">
        <f>HYPERLINK("http://www.uniprot.org/uniprot/M5XA94","M5XA94")</f>
        <v>M5XA94</v>
      </c>
      <c r="D20091" s="2" t="s">
        <v>6533</v>
      </c>
      <c r="E20091" s="3">
        <v>3.1199999999999998E-68</v>
      </c>
      <c r="F20091" s="2">
        <v>627</v>
      </c>
      <c r="G20091" s="2">
        <v>99</v>
      </c>
      <c r="H20091" s="2">
        <v>115</v>
      </c>
      <c r="I20091" s="2">
        <v>2600</v>
      </c>
      <c r="J20091" s="2">
        <v>2944</v>
      </c>
      <c r="K20091" s="2">
        <v>122</v>
      </c>
      <c r="L20091" s="2">
        <v>236</v>
      </c>
    </row>
    <row r="20092" spans="1:12" x14ac:dyDescent="0.25">
      <c r="A20092" s="4" t="str">
        <f>HYPERLINK("http://www.rosaceae.org/Prunus/Prunus_persica/p.persica_gdr_reftransV1_0034362","p.persica_gdr_reftransV1_0034362")</f>
        <v>p.persica_gdr_reftransV1_0034362</v>
      </c>
      <c r="B20092" s="2">
        <v>2360</v>
      </c>
      <c r="C20092" s="4" t="str">
        <f>HYPERLINK("http://www.uniprot.org/uniprot/Q5I190","Q5I190")</f>
        <v>Q5I190</v>
      </c>
      <c r="D20092" s="2" t="s">
        <v>3431</v>
      </c>
      <c r="E20092" s="3">
        <v>0</v>
      </c>
      <c r="F20092" s="2">
        <v>2852</v>
      </c>
      <c r="G20092" s="2">
        <v>99</v>
      </c>
      <c r="H20092" s="2">
        <v>536</v>
      </c>
      <c r="I20092" s="2">
        <v>240</v>
      </c>
      <c r="J20092" s="2">
        <v>1847</v>
      </c>
      <c r="K20092" s="2">
        <v>318</v>
      </c>
      <c r="L20092" s="2">
        <v>853</v>
      </c>
    </row>
    <row r="20093" spans="1:12" x14ac:dyDescent="0.25">
      <c r="A20093" s="4" t="str">
        <f>HYPERLINK("http://www.rosaceae.org/Prunus/Prunus_persica/p.persica_gdr_reftransV1_0034712","p.persica_gdr_reftransV1_0034712")</f>
        <v>p.persica_gdr_reftransV1_0034712</v>
      </c>
      <c r="B20093" s="2">
        <v>2770</v>
      </c>
      <c r="C20093" s="4" t="str">
        <f>HYPERLINK("http://www.uniprot.org/uniprot/M5WF88","M5WF88")</f>
        <v>M5WF88</v>
      </c>
      <c r="D20093" s="2" t="s">
        <v>15259</v>
      </c>
      <c r="E20093" s="3">
        <v>0</v>
      </c>
      <c r="F20093" s="2">
        <v>2239</v>
      </c>
      <c r="G20093" s="2">
        <v>100</v>
      </c>
      <c r="H20093" s="2">
        <v>444</v>
      </c>
      <c r="I20093" s="2">
        <v>117</v>
      </c>
      <c r="J20093" s="2">
        <v>1448</v>
      </c>
      <c r="K20093" s="2">
        <v>9</v>
      </c>
      <c r="L20093" s="2">
        <v>452</v>
      </c>
    </row>
    <row r="20094" spans="1:12" x14ac:dyDescent="0.25">
      <c r="A20094" s="4" t="str">
        <f>HYPERLINK("http://www.rosaceae.org/Prunus/Prunus_persica/p.persica_gdr_reftransV1_0035062","p.persica_gdr_reftransV1_0035062")</f>
        <v>p.persica_gdr_reftransV1_0035062</v>
      </c>
      <c r="B20094" s="2">
        <v>1341</v>
      </c>
      <c r="C20094" s="4" t="str">
        <f>HYPERLINK("http://www.uniprot.org/uniprot/M5XW46","M5XW46")</f>
        <v>M5XW46</v>
      </c>
      <c r="D20094" s="2" t="s">
        <v>15260</v>
      </c>
      <c r="E20094" s="3">
        <v>5.1699999999999999E-147</v>
      </c>
      <c r="F20094" s="2">
        <v>1111</v>
      </c>
      <c r="G20094" s="2">
        <v>100</v>
      </c>
      <c r="H20094" s="2">
        <v>279</v>
      </c>
      <c r="I20094" s="2">
        <v>192</v>
      </c>
      <c r="J20094" s="2">
        <v>1028</v>
      </c>
      <c r="K20094" s="2">
        <v>1</v>
      </c>
      <c r="L20094" s="2">
        <v>279</v>
      </c>
    </row>
    <row r="20095" spans="1:12" x14ac:dyDescent="0.25">
      <c r="A20095" s="4" t="str">
        <f>HYPERLINK("http://www.rosaceae.org/Prunus/Prunus_persica/p.persica_gdr_reftransV1_0038212","p.persica_gdr_reftransV1_0038212")</f>
        <v>p.persica_gdr_reftransV1_0038212</v>
      </c>
      <c r="B20095" s="2">
        <v>5449</v>
      </c>
      <c r="C20095" s="4" t="str">
        <f>HYPERLINK("http://www.uniprot.org/uniprot/M5X724","M5X724")</f>
        <v>M5X724</v>
      </c>
      <c r="D20095" s="2" t="s">
        <v>15261</v>
      </c>
      <c r="E20095" s="3">
        <v>0</v>
      </c>
      <c r="F20095" s="2">
        <v>2996</v>
      </c>
      <c r="G20095" s="2">
        <v>100</v>
      </c>
      <c r="H20095" s="2">
        <v>600</v>
      </c>
      <c r="I20095" s="2">
        <v>559</v>
      </c>
      <c r="J20095" s="2">
        <v>2358</v>
      </c>
      <c r="K20095" s="2">
        <v>343</v>
      </c>
      <c r="L20095" s="2">
        <v>942</v>
      </c>
    </row>
    <row r="20096" spans="1:12" x14ac:dyDescent="0.25">
      <c r="A20096" s="4" t="str">
        <f>HYPERLINK("http://www.rosaceae.org/Prunus/Prunus_persica/p.persica_gdr_reftransV1_0039612","p.persica_gdr_reftransV1_0039612")</f>
        <v>p.persica_gdr_reftransV1_0039612</v>
      </c>
      <c r="B20096" s="2">
        <v>2457</v>
      </c>
      <c r="C20096" s="4" t="str">
        <f>HYPERLINK("http://www.uniprot.org/uniprot/M5W0A3","M5W0A3")</f>
        <v>M5W0A3</v>
      </c>
      <c r="D20096" s="2" t="s">
        <v>2004</v>
      </c>
      <c r="E20096" s="3">
        <v>0</v>
      </c>
      <c r="F20096" s="2">
        <v>3331</v>
      </c>
      <c r="G20096" s="2">
        <v>100</v>
      </c>
      <c r="H20096" s="2">
        <v>641</v>
      </c>
      <c r="I20096" s="2">
        <v>3</v>
      </c>
      <c r="J20096" s="2">
        <v>1925</v>
      </c>
      <c r="K20096" s="2">
        <v>182</v>
      </c>
      <c r="L20096" s="2">
        <v>822</v>
      </c>
    </row>
    <row r="20097" spans="1:12" x14ac:dyDescent="0.25">
      <c r="A20097" s="4" t="str">
        <f>HYPERLINK("http://www.rosaceae.org/Prunus/Prunus_persica/p.persica_gdr_reftransV1_0040312","p.persica_gdr_reftransV1_0040312")</f>
        <v>p.persica_gdr_reftransV1_0040312</v>
      </c>
      <c r="B20097" s="2">
        <v>5142</v>
      </c>
      <c r="C20097" s="4" t="str">
        <f>HYPERLINK("http://www.uniprot.org/uniprot/M5XXQ6","M5XXQ6")</f>
        <v>M5XXQ6</v>
      </c>
      <c r="D20097" s="2" t="s">
        <v>3656</v>
      </c>
      <c r="E20097" s="3">
        <v>0</v>
      </c>
      <c r="F20097" s="2">
        <v>2769</v>
      </c>
      <c r="G20097" s="2">
        <v>99</v>
      </c>
      <c r="H20097" s="2">
        <v>556</v>
      </c>
      <c r="I20097" s="2">
        <v>2159</v>
      </c>
      <c r="J20097" s="2">
        <v>3826</v>
      </c>
      <c r="K20097" s="2">
        <v>309</v>
      </c>
      <c r="L20097" s="2">
        <v>858</v>
      </c>
    </row>
    <row r="20098" spans="1:12" x14ac:dyDescent="0.25">
      <c r="A20098" s="4" t="str">
        <f>HYPERLINK("http://www.rosaceae.org/Prunus/Prunus_persica/p.persica_gdr_reftransV1_0042412","p.persica_gdr_reftransV1_0042412")</f>
        <v>p.persica_gdr_reftransV1_0042412</v>
      </c>
      <c r="B20098" s="2">
        <v>5032</v>
      </c>
      <c r="C20098" s="4" t="str">
        <f>HYPERLINK("http://www.uniprot.org/uniprot/M5W9D8","M5W9D8")</f>
        <v>M5W9D8</v>
      </c>
      <c r="D20098" s="2" t="s">
        <v>1704</v>
      </c>
      <c r="E20098" s="3">
        <v>0</v>
      </c>
      <c r="F20098" s="2">
        <v>5474</v>
      </c>
      <c r="G20098" s="2">
        <v>100</v>
      </c>
      <c r="H20098" s="2">
        <v>1036</v>
      </c>
      <c r="I20098" s="2">
        <v>101</v>
      </c>
      <c r="J20098" s="2">
        <v>3208</v>
      </c>
      <c r="K20098" s="2">
        <v>1</v>
      </c>
      <c r="L20098" s="2">
        <v>1036</v>
      </c>
    </row>
    <row r="20099" spans="1:12" x14ac:dyDescent="0.25">
      <c r="A20099" s="4" t="str">
        <f>HYPERLINK("http://www.rosaceae.org/Prunus/Prunus_persica/p.persica_gdr_reftransV1_0043812","p.persica_gdr_reftransV1_0043812")</f>
        <v>p.persica_gdr_reftransV1_0043812</v>
      </c>
      <c r="B20099" s="2">
        <v>818</v>
      </c>
      <c r="C20099" s="4" t="str">
        <f>HYPERLINK("http://www.uniprot.org/uniprot/M5WA15","M5WA15")</f>
        <v>M5WA15</v>
      </c>
      <c r="D20099" s="2" t="s">
        <v>3572</v>
      </c>
      <c r="E20099" s="3">
        <v>4.2800000000000004E-127</v>
      </c>
      <c r="F20099" s="2">
        <v>989</v>
      </c>
      <c r="G20099" s="2">
        <v>100</v>
      </c>
      <c r="H20099" s="2">
        <v>183</v>
      </c>
      <c r="I20099" s="2">
        <v>269</v>
      </c>
      <c r="J20099" s="2">
        <v>817</v>
      </c>
      <c r="K20099" s="2">
        <v>392</v>
      </c>
      <c r="L20099" s="2">
        <v>574</v>
      </c>
    </row>
    <row r="20100" spans="1:12" x14ac:dyDescent="0.25">
      <c r="A20100" s="4" t="str">
        <f>HYPERLINK("http://www.rosaceae.org/Prunus/Prunus_persica/p.persica_gdr_reftransV1_0044162","p.persica_gdr_reftransV1_0044162")</f>
        <v>p.persica_gdr_reftransV1_0044162</v>
      </c>
      <c r="B20100" s="2">
        <v>688</v>
      </c>
      <c r="C20100" s="4" t="str">
        <f>HYPERLINK("http://www.uniprot.org/uniprot/M5XPS4","M5XPS4")</f>
        <v>M5XPS4</v>
      </c>
      <c r="D20100" s="2" t="s">
        <v>2906</v>
      </c>
      <c r="E20100" s="3">
        <v>1.58E-109</v>
      </c>
      <c r="F20100" s="2">
        <v>854</v>
      </c>
      <c r="G20100" s="2">
        <v>100</v>
      </c>
      <c r="H20100" s="2">
        <v>187</v>
      </c>
      <c r="I20100" s="2">
        <v>3</v>
      </c>
      <c r="J20100" s="2">
        <v>563</v>
      </c>
      <c r="K20100" s="2">
        <v>1</v>
      </c>
      <c r="L20100" s="2">
        <v>187</v>
      </c>
    </row>
    <row r="20101" spans="1:12" x14ac:dyDescent="0.25">
      <c r="A20101" s="4" t="str">
        <f>HYPERLINK("http://www.rosaceae.org/Prunus/Prunus_persica/p.persica_gdr_reftransV1_0044512","p.persica_gdr_reftransV1_0044512")</f>
        <v>p.persica_gdr_reftransV1_0044512</v>
      </c>
      <c r="B20101" s="2">
        <v>1002</v>
      </c>
      <c r="C20101" s="4" t="str">
        <f>HYPERLINK("http://www.uniprot.org/uniprot/A0A0G2YJ03","A0A0G2YJ03")</f>
        <v>A0A0G2YJ03</v>
      </c>
      <c r="D20101" s="2" t="s">
        <v>15262</v>
      </c>
      <c r="E20101" s="3">
        <v>4.29E-24</v>
      </c>
      <c r="F20101" s="2">
        <v>263</v>
      </c>
      <c r="G20101" s="2">
        <v>53</v>
      </c>
      <c r="H20101" s="2">
        <v>129</v>
      </c>
      <c r="I20101" s="2">
        <v>249</v>
      </c>
      <c r="J20101" s="2">
        <v>626</v>
      </c>
      <c r="K20101" s="2">
        <v>1</v>
      </c>
      <c r="L20101" s="2">
        <v>129</v>
      </c>
    </row>
    <row r="20102" spans="1:12" x14ac:dyDescent="0.25">
      <c r="A20102" s="4" t="str">
        <f>HYPERLINK("http://www.rosaceae.org/Prunus/Prunus_persica/p.persica_gdr_reftransV1_0044862","p.persica_gdr_reftransV1_0044862")</f>
        <v>p.persica_gdr_reftransV1_0044862</v>
      </c>
      <c r="B20102" s="2">
        <v>771</v>
      </c>
      <c r="C20102" s="4" t="str">
        <f>HYPERLINK("http://www.uniprot.org/uniprot/M5WXP0","M5WXP0")</f>
        <v>M5WXP0</v>
      </c>
      <c r="D20102" s="2" t="s">
        <v>15046</v>
      </c>
      <c r="E20102" s="3">
        <v>3.11E-180</v>
      </c>
      <c r="F20102" s="2">
        <v>1310</v>
      </c>
      <c r="G20102" s="2">
        <v>100</v>
      </c>
      <c r="H20102" s="2">
        <v>242</v>
      </c>
      <c r="I20102" s="2">
        <v>46</v>
      </c>
      <c r="J20102" s="2">
        <v>771</v>
      </c>
      <c r="K20102" s="2">
        <v>44</v>
      </c>
      <c r="L20102" s="2">
        <v>285</v>
      </c>
    </row>
    <row r="20103" spans="1:12" x14ac:dyDescent="0.25">
      <c r="A20103" s="4" t="str">
        <f>HYPERLINK("http://www.rosaceae.org/Prunus/Prunus_persica/p.persica_gdr_reftransV1_0045212","p.persica_gdr_reftransV1_0045212")</f>
        <v>p.persica_gdr_reftransV1_0045212</v>
      </c>
      <c r="B20103" s="2">
        <v>1075</v>
      </c>
      <c r="C20103" s="4" t="str">
        <f>HYPERLINK("http://www.uniprot.org/uniprot/M5VYM2","M5VYM2")</f>
        <v>M5VYM2</v>
      </c>
      <c r="D20103" s="2" t="s">
        <v>13933</v>
      </c>
      <c r="E20103" s="3">
        <v>0</v>
      </c>
      <c r="F20103" s="2">
        <v>1522</v>
      </c>
      <c r="G20103" s="2">
        <v>100</v>
      </c>
      <c r="H20103" s="2">
        <v>281</v>
      </c>
      <c r="I20103" s="2">
        <v>231</v>
      </c>
      <c r="J20103" s="2">
        <v>1073</v>
      </c>
      <c r="K20103" s="2">
        <v>108</v>
      </c>
      <c r="L20103" s="2">
        <v>388</v>
      </c>
    </row>
    <row r="20104" spans="1:12" x14ac:dyDescent="0.25">
      <c r="A20104" s="4" t="str">
        <f>HYPERLINK("http://www.rosaceae.org/Prunus/Prunus_persica/p.persica_gdr_reftransV1_0046262","p.persica_gdr_reftransV1_0046262")</f>
        <v>p.persica_gdr_reftransV1_0046262</v>
      </c>
      <c r="B20104" s="2">
        <v>1140</v>
      </c>
      <c r="C20104" s="4" t="str">
        <f>HYPERLINK("http://www.uniprot.org/uniprot/M5XU12","M5XU12")</f>
        <v>M5XU12</v>
      </c>
      <c r="D20104" s="2" t="s">
        <v>15263</v>
      </c>
      <c r="E20104" s="3">
        <v>4.6800000000000001E-166</v>
      </c>
      <c r="F20104" s="2">
        <v>1224</v>
      </c>
      <c r="G20104" s="2">
        <v>100</v>
      </c>
      <c r="H20104" s="2">
        <v>229</v>
      </c>
      <c r="I20104" s="2">
        <v>77</v>
      </c>
      <c r="J20104" s="2">
        <v>763</v>
      </c>
      <c r="K20104" s="2">
        <v>1</v>
      </c>
      <c r="L20104" s="2">
        <v>229</v>
      </c>
    </row>
    <row r="20105" spans="1:12" x14ac:dyDescent="0.25">
      <c r="A20105" s="4" t="str">
        <f>HYPERLINK("http://www.rosaceae.org/Prunus/Prunus_persica/p.persica_gdr_reftransV1_0046612","p.persica_gdr_reftransV1_0046612")</f>
        <v>p.persica_gdr_reftransV1_0046612</v>
      </c>
      <c r="B20105" s="2">
        <v>1452</v>
      </c>
      <c r="C20105" s="4" t="str">
        <f>HYPERLINK("http://www.uniprot.org/uniprot/M5VQH4","M5VQH4")</f>
        <v>M5VQH4</v>
      </c>
      <c r="D20105" s="2" t="s">
        <v>8718</v>
      </c>
      <c r="E20105" s="3">
        <v>0</v>
      </c>
      <c r="F20105" s="2">
        <v>2292</v>
      </c>
      <c r="G20105" s="2">
        <v>92</v>
      </c>
      <c r="H20105" s="2">
        <v>469</v>
      </c>
      <c r="I20105" s="2">
        <v>1</v>
      </c>
      <c r="J20105" s="2">
        <v>1407</v>
      </c>
      <c r="K20105" s="2">
        <v>6</v>
      </c>
      <c r="L20105" s="2">
        <v>474</v>
      </c>
    </row>
    <row r="20106" spans="1:12" x14ac:dyDescent="0.25">
      <c r="A20106" s="4" t="str">
        <f>HYPERLINK("http://www.rosaceae.org/Prunus/Prunus_persica/p.persica_gdr_reftransV1_0046962","p.persica_gdr_reftransV1_0046962")</f>
        <v>p.persica_gdr_reftransV1_0046962</v>
      </c>
      <c r="B20106" s="2">
        <v>591</v>
      </c>
      <c r="C20106" s="4" t="str">
        <f>HYPERLINK("http://www.uniprot.org/uniprot/B9SEZ1","B9SEZ1")</f>
        <v>B9SEZ1</v>
      </c>
      <c r="D20106" s="2" t="s">
        <v>15264</v>
      </c>
      <c r="E20106" s="3">
        <v>1.31E-69</v>
      </c>
      <c r="F20106" s="2">
        <v>607</v>
      </c>
      <c r="G20106" s="2">
        <v>80</v>
      </c>
      <c r="H20106" s="2">
        <v>139</v>
      </c>
      <c r="I20106" s="2">
        <v>174</v>
      </c>
      <c r="J20106" s="2">
        <v>590</v>
      </c>
      <c r="K20106" s="2">
        <v>49</v>
      </c>
      <c r="L20106" s="2">
        <v>187</v>
      </c>
    </row>
    <row r="20107" spans="1:12" x14ac:dyDescent="0.25">
      <c r="A20107" s="4" t="str">
        <f>HYPERLINK("http://www.rosaceae.org/Prunus/Prunus_persica/p.persica_gdr_reftransV1_0048012","p.persica_gdr_reftransV1_0048012")</f>
        <v>p.persica_gdr_reftransV1_0048012</v>
      </c>
      <c r="B20107" s="2">
        <v>2419</v>
      </c>
      <c r="C20107" s="4" t="str">
        <f>HYPERLINK("http://www.uniprot.org/uniprot/M5VUB7","M5VUB7")</f>
        <v>M5VUB7</v>
      </c>
      <c r="D20107" s="2" t="s">
        <v>15265</v>
      </c>
      <c r="E20107" s="3">
        <v>0</v>
      </c>
      <c r="F20107" s="2">
        <v>2846</v>
      </c>
      <c r="G20107" s="2">
        <v>98</v>
      </c>
      <c r="H20107" s="2">
        <v>649</v>
      </c>
      <c r="I20107" s="2">
        <v>262</v>
      </c>
      <c r="J20107" s="2">
        <v>2208</v>
      </c>
      <c r="K20107" s="2">
        <v>20</v>
      </c>
      <c r="L20107" s="2">
        <v>656</v>
      </c>
    </row>
    <row r="20108" spans="1:12" x14ac:dyDescent="0.25">
      <c r="A20108" s="4" t="str">
        <f>HYPERLINK("http://www.rosaceae.org/Prunus/Prunus_persica/p.persica_gdr_reftransV1_0048362","p.persica_gdr_reftransV1_0048362")</f>
        <v>p.persica_gdr_reftransV1_0048362</v>
      </c>
      <c r="B20108" s="2">
        <v>2585</v>
      </c>
      <c r="C20108" s="4" t="str">
        <f>HYPERLINK("http://www.uniprot.org/uniprot/M5WQZ1","M5WQZ1")</f>
        <v>M5WQZ1</v>
      </c>
      <c r="D20108" s="2" t="s">
        <v>15266</v>
      </c>
      <c r="E20108" s="3">
        <v>0</v>
      </c>
      <c r="F20108" s="2">
        <v>3309</v>
      </c>
      <c r="G20108" s="2">
        <v>97</v>
      </c>
      <c r="H20108" s="2">
        <v>715</v>
      </c>
      <c r="I20108" s="2">
        <v>336</v>
      </c>
      <c r="J20108" s="2">
        <v>2480</v>
      </c>
      <c r="K20108" s="2">
        <v>1</v>
      </c>
      <c r="L20108" s="2">
        <v>692</v>
      </c>
    </row>
    <row r="20109" spans="1:12" x14ac:dyDescent="0.25">
      <c r="A20109" s="4" t="str">
        <f>HYPERLINK("http://www.rosaceae.org/Prunus/Prunus_persica/p.persica_gdr_reftransV1_0048712","p.persica_gdr_reftransV1_0048712")</f>
        <v>p.persica_gdr_reftransV1_0048712</v>
      </c>
      <c r="B20109" s="2">
        <v>321</v>
      </c>
      <c r="C20109" s="4" t="str">
        <f>HYPERLINK("http://www.uniprot.org/uniprot/M5VSI9","M5VSI9")</f>
        <v>M5VSI9</v>
      </c>
      <c r="D20109" s="2" t="s">
        <v>15267</v>
      </c>
      <c r="E20109" s="3">
        <v>4.0900000000000001E-67</v>
      </c>
      <c r="F20109" s="2">
        <v>557</v>
      </c>
      <c r="G20109" s="2">
        <v>100</v>
      </c>
      <c r="H20109" s="2">
        <v>100</v>
      </c>
      <c r="I20109" s="2">
        <v>21</v>
      </c>
      <c r="J20109" s="2">
        <v>320</v>
      </c>
      <c r="K20109" s="2">
        <v>324</v>
      </c>
      <c r="L20109" s="2">
        <v>423</v>
      </c>
    </row>
    <row r="20110" spans="1:12" x14ac:dyDescent="0.25">
      <c r="A20110" s="4" t="str">
        <f>HYPERLINK("http://www.rosaceae.org/Prunus/Prunus_persica/p.persica_gdr_reftransV1_0049062","p.persica_gdr_reftransV1_0049062")</f>
        <v>p.persica_gdr_reftransV1_0049062</v>
      </c>
      <c r="B20110" s="2">
        <v>485</v>
      </c>
      <c r="C20110" s="4" t="str">
        <f>HYPERLINK("http://www.uniprot.org/uniprot/M5XDH7","M5XDH7")</f>
        <v>M5XDH7</v>
      </c>
      <c r="D20110" s="2" t="s">
        <v>4653</v>
      </c>
      <c r="E20110" s="3">
        <v>4.08E-57</v>
      </c>
      <c r="F20110" s="2">
        <v>488</v>
      </c>
      <c r="G20110" s="2">
        <v>100</v>
      </c>
      <c r="H20110" s="2">
        <v>90</v>
      </c>
      <c r="I20110" s="2">
        <v>215</v>
      </c>
      <c r="J20110" s="2">
        <v>484</v>
      </c>
      <c r="K20110" s="2">
        <v>18</v>
      </c>
      <c r="L20110" s="2">
        <v>107</v>
      </c>
    </row>
    <row r="20111" spans="1:12" x14ac:dyDescent="0.25">
      <c r="A20111" s="4" t="str">
        <f>HYPERLINK("http://www.rosaceae.org/Prunus/Prunus_persica/p.persica_gdr_reftransV1_0000063","p.persica_gdr_reftransV1_0000063")</f>
        <v>p.persica_gdr_reftransV1_0000063</v>
      </c>
      <c r="B20111" s="2">
        <v>381</v>
      </c>
      <c r="C20111" s="4" t="str">
        <f>HYPERLINK("http://www.uniprot.org/uniprot/Q2L360","Q2L360")</f>
        <v>Q2L360</v>
      </c>
      <c r="D20111" s="2" t="s">
        <v>6083</v>
      </c>
      <c r="E20111" s="3">
        <v>1.7200000000000001E-48</v>
      </c>
      <c r="F20111" s="2">
        <v>442</v>
      </c>
      <c r="G20111" s="2">
        <v>71</v>
      </c>
      <c r="H20111" s="2">
        <v>127</v>
      </c>
      <c r="I20111" s="2">
        <v>1</v>
      </c>
      <c r="J20111" s="2">
        <v>381</v>
      </c>
      <c r="K20111" s="2">
        <v>63</v>
      </c>
      <c r="L20111" s="2">
        <v>186</v>
      </c>
    </row>
    <row r="20112" spans="1:12" x14ac:dyDescent="0.25">
      <c r="A20112" s="4" t="str">
        <f>HYPERLINK("http://www.rosaceae.org/Prunus/Prunus_persica/p.persica_gdr_reftransV1_0000413","p.persica_gdr_reftransV1_0000413")</f>
        <v>p.persica_gdr_reftransV1_0000413</v>
      </c>
      <c r="B20112" s="2">
        <v>1871</v>
      </c>
      <c r="C20112" s="4" t="str">
        <f>HYPERLINK("http://www.uniprot.org/uniprot/M5WU42","M5WU42")</f>
        <v>M5WU42</v>
      </c>
      <c r="D20112" s="2" t="s">
        <v>11118</v>
      </c>
      <c r="E20112" s="3">
        <v>0</v>
      </c>
      <c r="F20112" s="2">
        <v>2554</v>
      </c>
      <c r="G20112" s="2">
        <v>100</v>
      </c>
      <c r="H20112" s="2">
        <v>496</v>
      </c>
      <c r="I20112" s="2">
        <v>149</v>
      </c>
      <c r="J20112" s="2">
        <v>1636</v>
      </c>
      <c r="K20112" s="2">
        <v>1</v>
      </c>
      <c r="L20112" s="2">
        <v>494</v>
      </c>
    </row>
    <row r="20113" spans="1:12" x14ac:dyDescent="0.25">
      <c r="A20113" s="4" t="str">
        <f>HYPERLINK("http://www.rosaceae.org/Prunus/Prunus_persica/p.persica_gdr_reftransV1_0000763","p.persica_gdr_reftransV1_0000763")</f>
        <v>p.persica_gdr_reftransV1_0000763</v>
      </c>
      <c r="B20113" s="2">
        <v>820</v>
      </c>
      <c r="C20113" s="4" t="str">
        <f>HYPERLINK("http://www.uniprot.org/uniprot/M5XSK2","M5XSK2")</f>
        <v>M5XSK2</v>
      </c>
      <c r="D20113" s="2" t="s">
        <v>682</v>
      </c>
      <c r="E20113" s="3">
        <v>1.39E-82</v>
      </c>
      <c r="F20113" s="2">
        <v>667</v>
      </c>
      <c r="G20113" s="2">
        <v>100</v>
      </c>
      <c r="H20113" s="2">
        <v>125</v>
      </c>
      <c r="I20113" s="2">
        <v>1</v>
      </c>
      <c r="J20113" s="2">
        <v>375</v>
      </c>
      <c r="K20113" s="2">
        <v>161</v>
      </c>
      <c r="L20113" s="2">
        <v>285</v>
      </c>
    </row>
    <row r="20114" spans="1:12" x14ac:dyDescent="0.25">
      <c r="A20114" s="4" t="str">
        <f>HYPERLINK("http://www.rosaceae.org/Prunus/Prunus_persica/p.persica_gdr_reftransV1_0001463","p.persica_gdr_reftransV1_0001463")</f>
        <v>p.persica_gdr_reftransV1_0001463</v>
      </c>
      <c r="B20114" s="2">
        <v>664</v>
      </c>
      <c r="C20114" s="4" t="str">
        <f>HYPERLINK("http://www.uniprot.org/uniprot/M5XJW0","M5XJW0")</f>
        <v>M5XJW0</v>
      </c>
      <c r="D20114" s="2" t="s">
        <v>10922</v>
      </c>
      <c r="E20114" s="3">
        <v>8.0099999999999997E-131</v>
      </c>
      <c r="F20114" s="2">
        <v>978</v>
      </c>
      <c r="G20114" s="2">
        <v>100</v>
      </c>
      <c r="H20114" s="2">
        <v>184</v>
      </c>
      <c r="I20114" s="2">
        <v>1</v>
      </c>
      <c r="J20114" s="2">
        <v>552</v>
      </c>
      <c r="K20114" s="2">
        <v>18</v>
      </c>
      <c r="L20114" s="2">
        <v>201</v>
      </c>
    </row>
    <row r="20115" spans="1:12" x14ac:dyDescent="0.25">
      <c r="A20115" s="4" t="str">
        <f>HYPERLINK("http://www.rosaceae.org/Prunus/Prunus_persica/p.persica_gdr_reftransV1_0002163","p.persica_gdr_reftransV1_0002163")</f>
        <v>p.persica_gdr_reftransV1_0002163</v>
      </c>
      <c r="B20115" s="2">
        <v>1401</v>
      </c>
      <c r="C20115" s="4" t="str">
        <f>HYPERLINK("http://www.uniprot.org/uniprot/M5WL42","M5WL42")</f>
        <v>M5WL42</v>
      </c>
      <c r="D20115" s="2" t="s">
        <v>3451</v>
      </c>
      <c r="E20115" s="3">
        <v>1.0800000000000001E-105</v>
      </c>
      <c r="F20115" s="2">
        <v>900</v>
      </c>
      <c r="G20115" s="2">
        <v>50</v>
      </c>
      <c r="H20115" s="2">
        <v>411</v>
      </c>
      <c r="I20115" s="2">
        <v>1</v>
      </c>
      <c r="J20115" s="2">
        <v>1161</v>
      </c>
      <c r="K20115" s="2">
        <v>749</v>
      </c>
      <c r="L20115" s="2">
        <v>1152</v>
      </c>
    </row>
    <row r="20116" spans="1:12" x14ac:dyDescent="0.25">
      <c r="A20116" s="4" t="str">
        <f>HYPERLINK("http://www.rosaceae.org/Prunus/Prunus_persica/p.persica_gdr_reftransV1_0002513","p.persica_gdr_reftransV1_0002513")</f>
        <v>p.persica_gdr_reftransV1_0002513</v>
      </c>
      <c r="B20116" s="2">
        <v>366</v>
      </c>
      <c r="C20116" s="4" t="str">
        <f>HYPERLINK("http://www.uniprot.org/uniprot/A0A0D2Y7J9","A0A0D2Y7J9")</f>
        <v>A0A0D2Y7J9</v>
      </c>
      <c r="D20116" s="2" t="s">
        <v>15268</v>
      </c>
      <c r="E20116" s="3">
        <v>8.2400000000000002E-69</v>
      </c>
      <c r="F20116" s="2">
        <v>548</v>
      </c>
      <c r="G20116" s="2">
        <v>100</v>
      </c>
      <c r="H20116" s="2">
        <v>104</v>
      </c>
      <c r="I20116" s="2">
        <v>2</v>
      </c>
      <c r="J20116" s="2">
        <v>313</v>
      </c>
      <c r="K20116" s="2">
        <v>1</v>
      </c>
      <c r="L20116" s="2">
        <v>104</v>
      </c>
    </row>
    <row r="20117" spans="1:12" x14ac:dyDescent="0.25">
      <c r="A20117" s="4" t="str">
        <f>HYPERLINK("http://www.rosaceae.org/Prunus/Prunus_persica/p.persica_gdr_reftransV1_0003213","p.persica_gdr_reftransV1_0003213")</f>
        <v>p.persica_gdr_reftransV1_0003213</v>
      </c>
      <c r="B20117" s="2">
        <v>3376</v>
      </c>
      <c r="C20117" s="4" t="str">
        <f>HYPERLINK("http://www.uniprot.org/uniprot/M5WTB1","M5WTB1")</f>
        <v>M5WTB1</v>
      </c>
      <c r="D20117" s="2" t="s">
        <v>11272</v>
      </c>
      <c r="E20117" s="3">
        <v>0</v>
      </c>
      <c r="F20117" s="2">
        <v>3965</v>
      </c>
      <c r="G20117" s="2">
        <v>83</v>
      </c>
      <c r="H20117" s="2">
        <v>925</v>
      </c>
      <c r="I20117" s="2">
        <v>382</v>
      </c>
      <c r="J20117" s="2">
        <v>3114</v>
      </c>
      <c r="K20117" s="2">
        <v>1</v>
      </c>
      <c r="L20117" s="2">
        <v>904</v>
      </c>
    </row>
    <row r="20118" spans="1:12" x14ac:dyDescent="0.25">
      <c r="A20118" s="4" t="str">
        <f>HYPERLINK("http://www.rosaceae.org/Prunus/Prunus_persica/p.persica_gdr_reftransV1_0003563","p.persica_gdr_reftransV1_0003563")</f>
        <v>p.persica_gdr_reftransV1_0003563</v>
      </c>
      <c r="B20118" s="2">
        <v>345</v>
      </c>
      <c r="C20118" s="4" t="str">
        <f>HYPERLINK("http://www.uniprot.org/uniprot/C7YZ91","C7YZ91")</f>
        <v>C7YZ91</v>
      </c>
      <c r="D20118" s="2" t="s">
        <v>15269</v>
      </c>
      <c r="E20118" s="3">
        <v>3.14E-51</v>
      </c>
      <c r="F20118" s="2">
        <v>459</v>
      </c>
      <c r="G20118" s="2">
        <v>80</v>
      </c>
      <c r="H20118" s="2">
        <v>114</v>
      </c>
      <c r="I20118" s="2">
        <v>2</v>
      </c>
      <c r="J20118" s="2">
        <v>343</v>
      </c>
      <c r="K20118" s="2">
        <v>365</v>
      </c>
      <c r="L20118" s="2">
        <v>478</v>
      </c>
    </row>
    <row r="20119" spans="1:12" x14ac:dyDescent="0.25">
      <c r="A20119" s="4" t="str">
        <f>HYPERLINK("http://www.rosaceae.org/Prunus/Prunus_persica/p.persica_gdr_reftransV1_0003913","p.persica_gdr_reftransV1_0003913")</f>
        <v>p.persica_gdr_reftransV1_0003913</v>
      </c>
      <c r="B20119" s="2">
        <v>2702</v>
      </c>
      <c r="C20119" s="4" t="str">
        <f>HYPERLINK("http://www.uniprot.org/uniprot/M5WA63","M5WA63")</f>
        <v>M5WA63</v>
      </c>
      <c r="D20119" s="2" t="s">
        <v>9315</v>
      </c>
      <c r="E20119" s="3">
        <v>0</v>
      </c>
      <c r="F20119" s="2">
        <v>1928</v>
      </c>
      <c r="G20119" s="2">
        <v>100</v>
      </c>
      <c r="H20119" s="2">
        <v>359</v>
      </c>
      <c r="I20119" s="2">
        <v>56</v>
      </c>
      <c r="J20119" s="2">
        <v>1132</v>
      </c>
      <c r="K20119" s="2">
        <v>247</v>
      </c>
      <c r="L20119" s="2">
        <v>605</v>
      </c>
    </row>
    <row r="20120" spans="1:12" x14ac:dyDescent="0.25">
      <c r="A20120" s="4" t="str">
        <f>HYPERLINK("http://www.rosaceae.org/Prunus/Prunus_persica/p.persica_gdr_reftransV1_0004263","p.persica_gdr_reftransV1_0004263")</f>
        <v>p.persica_gdr_reftransV1_0004263</v>
      </c>
      <c r="B20120" s="2">
        <v>1534</v>
      </c>
      <c r="C20120" s="4" t="str">
        <f>HYPERLINK("http://www.uniprot.org/uniprot/M5XBU0","M5XBU0")</f>
        <v>M5XBU0</v>
      </c>
      <c r="D20120" s="2" t="s">
        <v>11918</v>
      </c>
      <c r="E20120" s="3">
        <v>0</v>
      </c>
      <c r="F20120" s="2">
        <v>884</v>
      </c>
      <c r="G20120" s="2">
        <v>97</v>
      </c>
      <c r="H20120" s="2">
        <v>179</v>
      </c>
      <c r="I20120" s="2">
        <v>335</v>
      </c>
      <c r="J20120" s="2">
        <v>871</v>
      </c>
      <c r="K20120" s="2">
        <v>176</v>
      </c>
      <c r="L20120" s="2">
        <v>354</v>
      </c>
    </row>
    <row r="20121" spans="1:12" x14ac:dyDescent="0.25">
      <c r="A20121" s="4" t="str">
        <f>HYPERLINK("http://www.rosaceae.org/Prunus/Prunus_persica/p.persica_gdr_reftransV1_0005313","p.persica_gdr_reftransV1_0005313")</f>
        <v>p.persica_gdr_reftransV1_0005313</v>
      </c>
      <c r="B20121" s="2">
        <v>1250</v>
      </c>
      <c r="C20121" s="4" t="str">
        <f>HYPERLINK("http://www.uniprot.org/uniprot/I3SFZ1","I3SFZ1")</f>
        <v>I3SFZ1</v>
      </c>
      <c r="D20121" s="2" t="s">
        <v>3170</v>
      </c>
      <c r="E20121" s="3">
        <v>5.4200000000000005E-153</v>
      </c>
      <c r="F20121" s="2">
        <v>1152</v>
      </c>
      <c r="G20121" s="2">
        <v>75</v>
      </c>
      <c r="H20121" s="2">
        <v>303</v>
      </c>
      <c r="I20121" s="2">
        <v>190</v>
      </c>
      <c r="J20121" s="2">
        <v>1098</v>
      </c>
      <c r="K20121" s="2">
        <v>26</v>
      </c>
      <c r="L20121" s="2">
        <v>324</v>
      </c>
    </row>
    <row r="20122" spans="1:12" x14ac:dyDescent="0.25">
      <c r="A20122" s="4" t="str">
        <f>HYPERLINK("http://www.rosaceae.org/Prunus/Prunus_persica/p.persica_gdr_reftransV1_0006013","p.persica_gdr_reftransV1_0006013")</f>
        <v>p.persica_gdr_reftransV1_0006013</v>
      </c>
      <c r="B20122" s="2">
        <v>563</v>
      </c>
      <c r="C20122" s="4" t="str">
        <f>HYPERLINK("http://www.uniprot.org/uniprot/M5W5L1","M5W5L1")</f>
        <v>M5W5L1</v>
      </c>
      <c r="D20122" s="2" t="s">
        <v>5252</v>
      </c>
      <c r="E20122" s="3">
        <v>1.5499999999999999E-88</v>
      </c>
      <c r="F20122" s="2">
        <v>697</v>
      </c>
      <c r="G20122" s="2">
        <v>100</v>
      </c>
      <c r="H20122" s="2">
        <v>130</v>
      </c>
      <c r="I20122" s="2">
        <v>53</v>
      </c>
      <c r="J20122" s="2">
        <v>442</v>
      </c>
      <c r="K20122" s="2">
        <v>25</v>
      </c>
      <c r="L20122" s="2">
        <v>154</v>
      </c>
    </row>
    <row r="20123" spans="1:12" x14ac:dyDescent="0.25">
      <c r="A20123" s="4" t="str">
        <f>HYPERLINK("http://www.rosaceae.org/Prunus/Prunus_persica/p.persica_gdr_reftransV1_0006363","p.persica_gdr_reftransV1_0006363")</f>
        <v>p.persica_gdr_reftransV1_0006363</v>
      </c>
      <c r="B20123" s="2">
        <v>1936</v>
      </c>
      <c r="C20123" s="4" t="str">
        <f>HYPERLINK("http://www.uniprot.org/uniprot/M5X8R8","M5X8R8")</f>
        <v>M5X8R8</v>
      </c>
      <c r="D20123" s="2" t="s">
        <v>15270</v>
      </c>
      <c r="E20123" s="3">
        <v>4.24E-142</v>
      </c>
      <c r="F20123" s="2">
        <v>1070</v>
      </c>
      <c r="G20123" s="2">
        <v>100</v>
      </c>
      <c r="H20123" s="2">
        <v>254</v>
      </c>
      <c r="I20123" s="2">
        <v>903</v>
      </c>
      <c r="J20123" s="2">
        <v>1664</v>
      </c>
      <c r="K20123" s="2">
        <v>115</v>
      </c>
      <c r="L20123" s="2">
        <v>368</v>
      </c>
    </row>
    <row r="20124" spans="1:12" x14ac:dyDescent="0.25">
      <c r="A20124" s="4" t="str">
        <f>HYPERLINK("http://www.rosaceae.org/Prunus/Prunus_persica/p.persica_gdr_reftransV1_0006713","p.persica_gdr_reftransV1_0006713")</f>
        <v>p.persica_gdr_reftransV1_0006713</v>
      </c>
      <c r="B20124" s="2">
        <v>1341</v>
      </c>
      <c r="C20124" s="4" t="str">
        <f>HYPERLINK("http://www.uniprot.org/uniprot/M5XEH9","M5XEH9")</f>
        <v>M5XEH9</v>
      </c>
      <c r="D20124" s="2" t="s">
        <v>15271</v>
      </c>
      <c r="E20124" s="3">
        <v>0</v>
      </c>
      <c r="F20124" s="2">
        <v>1425</v>
      </c>
      <c r="G20124" s="2">
        <v>100</v>
      </c>
      <c r="H20124" s="2">
        <v>289</v>
      </c>
      <c r="I20124" s="2">
        <v>150</v>
      </c>
      <c r="J20124" s="2">
        <v>1016</v>
      </c>
      <c r="K20124" s="2">
        <v>1</v>
      </c>
      <c r="L20124" s="2">
        <v>289</v>
      </c>
    </row>
    <row r="20125" spans="1:12" x14ac:dyDescent="0.25">
      <c r="A20125" s="4" t="str">
        <f>HYPERLINK("http://www.rosaceae.org/Prunus/Prunus_persica/p.persica_gdr_reftransV1_0007063","p.persica_gdr_reftransV1_0007063")</f>
        <v>p.persica_gdr_reftransV1_0007063</v>
      </c>
      <c r="B20125" s="2">
        <v>882</v>
      </c>
      <c r="C20125" s="4" t="str">
        <f>HYPERLINK("http://www.uniprot.org/uniprot/A5BLV0","A5BLV0")</f>
        <v>A5BLV0</v>
      </c>
      <c r="D20125" s="2" t="s">
        <v>15272</v>
      </c>
      <c r="E20125" s="3">
        <v>1.0500000000000001E-72</v>
      </c>
      <c r="F20125" s="2">
        <v>646</v>
      </c>
      <c r="G20125" s="2">
        <v>54</v>
      </c>
      <c r="H20125" s="2">
        <v>250</v>
      </c>
      <c r="I20125" s="2">
        <v>6</v>
      </c>
      <c r="J20125" s="2">
        <v>728</v>
      </c>
      <c r="K20125" s="2">
        <v>1038</v>
      </c>
      <c r="L20125" s="2">
        <v>1279</v>
      </c>
    </row>
    <row r="20126" spans="1:12" x14ac:dyDescent="0.25">
      <c r="A20126" s="4" t="str">
        <f>HYPERLINK("http://www.rosaceae.org/Prunus/Prunus_persica/p.persica_gdr_reftransV1_0008463","p.persica_gdr_reftransV1_0008463")</f>
        <v>p.persica_gdr_reftransV1_0008463</v>
      </c>
      <c r="B20126" s="2">
        <v>1564</v>
      </c>
      <c r="C20126" s="4" t="str">
        <f>HYPERLINK("http://www.uniprot.org/uniprot/M5W8F1","M5W8F1")</f>
        <v>M5W8F1</v>
      </c>
      <c r="D20126" s="2" t="s">
        <v>15273</v>
      </c>
      <c r="E20126" s="3">
        <v>0</v>
      </c>
      <c r="F20126" s="2">
        <v>2402</v>
      </c>
      <c r="G20126" s="2">
        <v>100</v>
      </c>
      <c r="H20126" s="2">
        <v>457</v>
      </c>
      <c r="I20126" s="2">
        <v>98</v>
      </c>
      <c r="J20126" s="2">
        <v>1468</v>
      </c>
      <c r="K20126" s="2">
        <v>1</v>
      </c>
      <c r="L20126" s="2">
        <v>457</v>
      </c>
    </row>
    <row r="20127" spans="1:12" x14ac:dyDescent="0.25">
      <c r="A20127" s="4" t="str">
        <f>HYPERLINK("http://www.rosaceae.org/Prunus/Prunus_persica/p.persica_gdr_reftransV1_0008813","p.persica_gdr_reftransV1_0008813")</f>
        <v>p.persica_gdr_reftransV1_0008813</v>
      </c>
      <c r="B20127" s="2">
        <v>2504</v>
      </c>
      <c r="C20127" s="4" t="str">
        <f>HYPERLINK("http://www.uniprot.org/uniprot/M5XLL9","M5XLL9")</f>
        <v>M5XLL9</v>
      </c>
      <c r="D20127" s="2" t="s">
        <v>15274</v>
      </c>
      <c r="E20127" s="3">
        <v>0</v>
      </c>
      <c r="F20127" s="2">
        <v>3600</v>
      </c>
      <c r="G20127" s="2">
        <v>100</v>
      </c>
      <c r="H20127" s="2">
        <v>724</v>
      </c>
      <c r="I20127" s="2">
        <v>206</v>
      </c>
      <c r="J20127" s="2">
        <v>2377</v>
      </c>
      <c r="K20127" s="2">
        <v>1</v>
      </c>
      <c r="L20127" s="2">
        <v>724</v>
      </c>
    </row>
    <row r="20128" spans="1:12" x14ac:dyDescent="0.25">
      <c r="A20128" s="4" t="str">
        <f>HYPERLINK("http://www.rosaceae.org/Prunus/Prunus_persica/p.persica_gdr_reftransV1_0009513","p.persica_gdr_reftransV1_0009513")</f>
        <v>p.persica_gdr_reftransV1_0009513</v>
      </c>
      <c r="B20128" s="2">
        <v>968</v>
      </c>
      <c r="C20128" s="4" t="str">
        <f>HYPERLINK("http://www.uniprot.org/uniprot/M5WRG5","M5WRG5")</f>
        <v>M5WRG5</v>
      </c>
      <c r="D20128" s="2" t="s">
        <v>15275</v>
      </c>
      <c r="E20128" s="3">
        <v>8.64E-101</v>
      </c>
      <c r="F20128" s="2">
        <v>781</v>
      </c>
      <c r="G20128" s="2">
        <v>100</v>
      </c>
      <c r="H20128" s="2">
        <v>167</v>
      </c>
      <c r="I20128" s="2">
        <v>118</v>
      </c>
      <c r="J20128" s="2">
        <v>618</v>
      </c>
      <c r="K20128" s="2">
        <v>1</v>
      </c>
      <c r="L20128" s="2">
        <v>167</v>
      </c>
    </row>
    <row r="20129" spans="1:12" x14ac:dyDescent="0.25">
      <c r="A20129" s="4" t="str">
        <f>HYPERLINK("http://www.rosaceae.org/Prunus/Prunus_persica/p.persica_gdr_reftransV1_0009863","p.persica_gdr_reftransV1_0009863")</f>
        <v>p.persica_gdr_reftransV1_0009863</v>
      </c>
      <c r="B20129" s="2">
        <v>2717</v>
      </c>
      <c r="C20129" s="4" t="str">
        <f>HYPERLINK("http://www.uniprot.org/uniprot/M5VQI7","M5VQI7")</f>
        <v>M5VQI7</v>
      </c>
      <c r="D20129" s="2" t="s">
        <v>15276</v>
      </c>
      <c r="E20129" s="3">
        <v>0</v>
      </c>
      <c r="F20129" s="2">
        <v>1415</v>
      </c>
      <c r="G20129" s="2">
        <v>95</v>
      </c>
      <c r="H20129" s="2">
        <v>361</v>
      </c>
      <c r="I20129" s="2">
        <v>1370</v>
      </c>
      <c r="J20129" s="2">
        <v>2452</v>
      </c>
      <c r="K20129" s="2">
        <v>1</v>
      </c>
      <c r="L20129" s="2">
        <v>344</v>
      </c>
    </row>
    <row r="20130" spans="1:12" x14ac:dyDescent="0.25">
      <c r="A20130" s="4" t="str">
        <f>HYPERLINK("http://www.rosaceae.org/Prunus/Prunus_persica/p.persica_gdr_reftransV1_0010213","p.persica_gdr_reftransV1_0010213")</f>
        <v>p.persica_gdr_reftransV1_0010213</v>
      </c>
      <c r="B20130" s="2">
        <v>5294</v>
      </c>
      <c r="C20130" s="4" t="str">
        <f>HYPERLINK("http://www.uniprot.org/uniprot/M5VXK1","M5VXK1")</f>
        <v>M5VXK1</v>
      </c>
      <c r="D20130" s="2" t="s">
        <v>5122</v>
      </c>
      <c r="E20130" s="3">
        <v>0</v>
      </c>
      <c r="F20130" s="2">
        <v>8854</v>
      </c>
      <c r="G20130" s="2">
        <v>99</v>
      </c>
      <c r="H20130" s="2">
        <v>1687</v>
      </c>
      <c r="I20130" s="2">
        <v>232</v>
      </c>
      <c r="J20130" s="2">
        <v>5292</v>
      </c>
      <c r="K20130" s="2">
        <v>530</v>
      </c>
      <c r="L20130" s="2">
        <v>2197</v>
      </c>
    </row>
    <row r="20131" spans="1:12" x14ac:dyDescent="0.25">
      <c r="A20131" s="4" t="str">
        <f>HYPERLINK("http://www.rosaceae.org/Prunus/Prunus_persica/p.persica_gdr_reftransV1_0010563","p.persica_gdr_reftransV1_0010563")</f>
        <v>p.persica_gdr_reftransV1_0010563</v>
      </c>
      <c r="B20131" s="2">
        <v>786</v>
      </c>
      <c r="C20131" s="4" t="str">
        <f>HYPERLINK("http://www.uniprot.org/uniprot/M5WWK7","M5WWK7")</f>
        <v>M5WWK7</v>
      </c>
      <c r="D20131" s="2" t="s">
        <v>15277</v>
      </c>
      <c r="E20131" s="3">
        <v>7.8400000000000004E-134</v>
      </c>
      <c r="F20131" s="2">
        <v>1040</v>
      </c>
      <c r="G20131" s="2">
        <v>99</v>
      </c>
      <c r="H20131" s="2">
        <v>261</v>
      </c>
      <c r="I20131" s="2">
        <v>3</v>
      </c>
      <c r="J20131" s="2">
        <v>785</v>
      </c>
      <c r="K20131" s="2">
        <v>46</v>
      </c>
      <c r="L20131" s="2">
        <v>306</v>
      </c>
    </row>
    <row r="20132" spans="1:12" x14ac:dyDescent="0.25">
      <c r="A20132" s="4" t="str">
        <f>HYPERLINK("http://www.rosaceae.org/Prunus/Prunus_persica/p.persica_gdr_reftransV1_0011263","p.persica_gdr_reftransV1_0011263")</f>
        <v>p.persica_gdr_reftransV1_0011263</v>
      </c>
      <c r="B20132" s="2">
        <v>816</v>
      </c>
      <c r="C20132" s="4" t="str">
        <f>HYPERLINK("http://www.uniprot.org/uniprot/M5W403","M5W403")</f>
        <v>M5W403</v>
      </c>
      <c r="D20132" s="2" t="s">
        <v>9327</v>
      </c>
      <c r="E20132" s="3">
        <v>3.7299999999999997E-117</v>
      </c>
      <c r="F20132" s="2">
        <v>938</v>
      </c>
      <c r="G20132" s="2">
        <v>96</v>
      </c>
      <c r="H20132" s="2">
        <v>186</v>
      </c>
      <c r="I20132" s="2">
        <v>1</v>
      </c>
      <c r="J20132" s="2">
        <v>558</v>
      </c>
      <c r="K20132" s="2">
        <v>1</v>
      </c>
      <c r="L20132" s="2">
        <v>179</v>
      </c>
    </row>
    <row r="20133" spans="1:12" x14ac:dyDescent="0.25">
      <c r="A20133" s="4" t="str">
        <f>HYPERLINK("http://www.rosaceae.org/Prunus/Prunus_persica/p.persica_gdr_reftransV1_0011613","p.persica_gdr_reftransV1_0011613")</f>
        <v>p.persica_gdr_reftransV1_0011613</v>
      </c>
      <c r="B20133" s="2">
        <v>903</v>
      </c>
      <c r="C20133" s="4" t="str">
        <f>HYPERLINK("http://www.uniprot.org/uniprot/M5Y4S5","M5Y4S5")</f>
        <v>M5Y4S5</v>
      </c>
      <c r="D20133" s="2" t="s">
        <v>7548</v>
      </c>
      <c r="E20133" s="3">
        <v>3.9699999999999999E-117</v>
      </c>
      <c r="F20133" s="2">
        <v>912</v>
      </c>
      <c r="G20133" s="2">
        <v>99</v>
      </c>
      <c r="H20133" s="2">
        <v>262</v>
      </c>
      <c r="I20133" s="2">
        <v>18</v>
      </c>
      <c r="J20133" s="2">
        <v>803</v>
      </c>
      <c r="K20133" s="2">
        <v>6</v>
      </c>
      <c r="L20133" s="2">
        <v>267</v>
      </c>
    </row>
    <row r="20134" spans="1:12" x14ac:dyDescent="0.25">
      <c r="A20134" s="4" t="str">
        <f>HYPERLINK("http://www.rosaceae.org/Prunus/Prunus_persica/p.persica_gdr_reftransV1_0013363","p.persica_gdr_reftransV1_0013363")</f>
        <v>p.persica_gdr_reftransV1_0013363</v>
      </c>
      <c r="B20134" s="2">
        <v>3373</v>
      </c>
      <c r="C20134" s="4" t="str">
        <f>HYPERLINK("http://www.uniprot.org/uniprot/M5WQ47","M5WQ47")</f>
        <v>M5WQ47</v>
      </c>
      <c r="D20134" s="2" t="s">
        <v>15278</v>
      </c>
      <c r="E20134" s="3">
        <v>0</v>
      </c>
      <c r="F20134" s="2">
        <v>3784</v>
      </c>
      <c r="G20134" s="2">
        <v>97</v>
      </c>
      <c r="H20134" s="2">
        <v>876</v>
      </c>
      <c r="I20134" s="2">
        <v>466</v>
      </c>
      <c r="J20134" s="2">
        <v>3093</v>
      </c>
      <c r="K20134" s="2">
        <v>1</v>
      </c>
      <c r="L20134" s="2">
        <v>850</v>
      </c>
    </row>
    <row r="20135" spans="1:12" x14ac:dyDescent="0.25">
      <c r="A20135" s="4" t="str">
        <f>HYPERLINK("http://www.rosaceae.org/Prunus/Prunus_persica/p.persica_gdr_reftransV1_0013713","p.persica_gdr_reftransV1_0013713")</f>
        <v>p.persica_gdr_reftransV1_0013713</v>
      </c>
      <c r="B20135" s="2">
        <v>677</v>
      </c>
      <c r="C20135" s="4" t="str">
        <f>HYPERLINK("http://www.uniprot.org/uniprot/M5WWJ6","M5WWJ6")</f>
        <v>M5WWJ6</v>
      </c>
      <c r="D20135" s="2" t="s">
        <v>1657</v>
      </c>
      <c r="E20135" s="3">
        <v>4.2000000000000002E-100</v>
      </c>
      <c r="F20135" s="2">
        <v>806</v>
      </c>
      <c r="G20135" s="2">
        <v>100</v>
      </c>
      <c r="H20135" s="2">
        <v>164</v>
      </c>
      <c r="I20135" s="2">
        <v>1</v>
      </c>
      <c r="J20135" s="2">
        <v>492</v>
      </c>
      <c r="K20135" s="2">
        <v>412</v>
      </c>
      <c r="L20135" s="2">
        <v>575</v>
      </c>
    </row>
    <row r="20136" spans="1:12" x14ac:dyDescent="0.25">
      <c r="A20136" s="4" t="str">
        <f>HYPERLINK("http://www.rosaceae.org/Prunus/Prunus_persica/p.persica_gdr_reftransV1_0014063","p.persica_gdr_reftransV1_0014063")</f>
        <v>p.persica_gdr_reftransV1_0014063</v>
      </c>
      <c r="B20136" s="2">
        <v>1795</v>
      </c>
      <c r="C20136" s="4" t="str">
        <f>HYPERLINK("http://www.uniprot.org/uniprot/M5XWT8","M5XWT8")</f>
        <v>M5XWT8</v>
      </c>
      <c r="D20136" s="2" t="s">
        <v>1455</v>
      </c>
      <c r="E20136" s="3">
        <v>0</v>
      </c>
      <c r="F20136" s="2">
        <v>2230</v>
      </c>
      <c r="G20136" s="2">
        <v>100</v>
      </c>
      <c r="H20136" s="2">
        <v>429</v>
      </c>
      <c r="I20136" s="2">
        <v>507</v>
      </c>
      <c r="J20136" s="2">
        <v>1793</v>
      </c>
      <c r="K20136" s="2">
        <v>128</v>
      </c>
      <c r="L20136" s="2">
        <v>556</v>
      </c>
    </row>
    <row r="20137" spans="1:12" x14ac:dyDescent="0.25">
      <c r="A20137" s="4" t="str">
        <f>HYPERLINK("http://www.rosaceae.org/Prunus/Prunus_persica/p.persica_gdr_reftransV1_0014763","p.persica_gdr_reftransV1_0014763")</f>
        <v>p.persica_gdr_reftransV1_0014763</v>
      </c>
      <c r="B20137" s="2">
        <v>1830</v>
      </c>
      <c r="C20137" s="4" t="str">
        <f>HYPERLINK("http://www.uniprot.org/uniprot/M5WU72","M5WU72")</f>
        <v>M5WU72</v>
      </c>
      <c r="D20137" s="2" t="s">
        <v>15279</v>
      </c>
      <c r="E20137" s="3">
        <v>2.55E-119</v>
      </c>
      <c r="F20137" s="2">
        <v>950</v>
      </c>
      <c r="G20137" s="2">
        <v>99</v>
      </c>
      <c r="H20137" s="2">
        <v>174</v>
      </c>
      <c r="I20137" s="2">
        <v>967</v>
      </c>
      <c r="J20137" s="2">
        <v>1488</v>
      </c>
      <c r="K20137" s="2">
        <v>189</v>
      </c>
      <c r="L20137" s="2">
        <v>362</v>
      </c>
    </row>
    <row r="20138" spans="1:12" x14ac:dyDescent="0.25">
      <c r="A20138" s="4" t="str">
        <f>HYPERLINK("http://www.rosaceae.org/Prunus/Prunus_persica/p.persica_gdr_reftransV1_0019313","p.persica_gdr_reftransV1_0019313")</f>
        <v>p.persica_gdr_reftransV1_0019313</v>
      </c>
      <c r="B20138" s="2">
        <v>447</v>
      </c>
      <c r="C20138" s="4" t="str">
        <f>HYPERLINK("http://www.uniprot.org/uniprot/M5XPK4","M5XPK4")</f>
        <v>M5XPK4</v>
      </c>
      <c r="D20138" s="2" t="s">
        <v>15280</v>
      </c>
      <c r="E20138" s="3">
        <v>3.2800000000000002E-98</v>
      </c>
      <c r="F20138" s="2">
        <v>807</v>
      </c>
      <c r="G20138" s="2">
        <v>100</v>
      </c>
      <c r="H20138" s="2">
        <v>148</v>
      </c>
      <c r="I20138" s="2">
        <v>3</v>
      </c>
      <c r="J20138" s="2">
        <v>446</v>
      </c>
      <c r="K20138" s="2">
        <v>510</v>
      </c>
      <c r="L20138" s="2">
        <v>657</v>
      </c>
    </row>
    <row r="20139" spans="1:12" x14ac:dyDescent="0.25">
      <c r="A20139" s="4" t="str">
        <f>HYPERLINK("http://www.rosaceae.org/Prunus/Prunus_persica/p.persica_gdr_reftransV1_0020713","p.persica_gdr_reftransV1_0020713")</f>
        <v>p.persica_gdr_reftransV1_0020713</v>
      </c>
      <c r="B20139" s="2">
        <v>2551</v>
      </c>
      <c r="C20139" s="4" t="str">
        <f>HYPERLINK("http://www.uniprot.org/uniprot/M5VXR0","M5VXR0")</f>
        <v>M5VXR0</v>
      </c>
      <c r="D20139" s="2" t="s">
        <v>15281</v>
      </c>
      <c r="E20139" s="3">
        <v>0</v>
      </c>
      <c r="F20139" s="2">
        <v>2788</v>
      </c>
      <c r="G20139" s="2">
        <v>100</v>
      </c>
      <c r="H20139" s="2">
        <v>524</v>
      </c>
      <c r="I20139" s="2">
        <v>492</v>
      </c>
      <c r="J20139" s="2">
        <v>2063</v>
      </c>
      <c r="K20139" s="2">
        <v>1</v>
      </c>
      <c r="L20139" s="2">
        <v>524</v>
      </c>
    </row>
    <row r="20140" spans="1:12" x14ac:dyDescent="0.25">
      <c r="A20140" s="4" t="str">
        <f>HYPERLINK("http://www.rosaceae.org/Prunus/Prunus_persica/p.persica_gdr_reftransV1_0021413","p.persica_gdr_reftransV1_0021413")</f>
        <v>p.persica_gdr_reftransV1_0021413</v>
      </c>
      <c r="B20140" s="2">
        <v>2293</v>
      </c>
      <c r="C20140" s="4" t="str">
        <f>HYPERLINK("http://www.uniprot.org/uniprot/M5WH99","M5WH99")</f>
        <v>M5WH99</v>
      </c>
      <c r="D20140" s="2" t="s">
        <v>15282</v>
      </c>
      <c r="E20140" s="3">
        <v>0</v>
      </c>
      <c r="F20140" s="2">
        <v>2744</v>
      </c>
      <c r="G20140" s="2">
        <v>100</v>
      </c>
      <c r="H20140" s="2">
        <v>542</v>
      </c>
      <c r="I20140" s="2">
        <v>462</v>
      </c>
      <c r="J20140" s="2">
        <v>2087</v>
      </c>
      <c r="K20140" s="2">
        <v>18</v>
      </c>
      <c r="L20140" s="2">
        <v>559</v>
      </c>
    </row>
    <row r="20141" spans="1:12" x14ac:dyDescent="0.25">
      <c r="A20141" s="4" t="str">
        <f>HYPERLINK("http://www.rosaceae.org/Prunus/Prunus_persica/p.persica_gdr_reftransV1_0022113","p.persica_gdr_reftransV1_0022113")</f>
        <v>p.persica_gdr_reftransV1_0022113</v>
      </c>
      <c r="B20141" s="2">
        <v>3809</v>
      </c>
      <c r="C20141" s="4" t="str">
        <f>HYPERLINK("http://www.uniprot.org/uniprot/M5XXX9","M5XXX9")</f>
        <v>M5XXX9</v>
      </c>
      <c r="D20141" s="2" t="s">
        <v>15283</v>
      </c>
      <c r="E20141" s="3">
        <v>0</v>
      </c>
      <c r="F20141" s="2">
        <v>2988</v>
      </c>
      <c r="G20141" s="2">
        <v>96</v>
      </c>
      <c r="H20141" s="2">
        <v>589</v>
      </c>
      <c r="I20141" s="2">
        <v>1947</v>
      </c>
      <c r="J20141" s="2">
        <v>3713</v>
      </c>
      <c r="K20141" s="2">
        <v>1</v>
      </c>
      <c r="L20141" s="2">
        <v>564</v>
      </c>
    </row>
    <row r="20142" spans="1:12" x14ac:dyDescent="0.25">
      <c r="A20142" s="4" t="str">
        <f>HYPERLINK("http://www.rosaceae.org/Prunus/Prunus_persica/p.persica_gdr_reftransV1_0022463","p.persica_gdr_reftransV1_0022463")</f>
        <v>p.persica_gdr_reftransV1_0022463</v>
      </c>
      <c r="B20142" s="2">
        <v>1158</v>
      </c>
      <c r="C20142" s="4" t="str">
        <f>HYPERLINK("http://www.uniprot.org/uniprot/M5XTJ6","M5XTJ6")</f>
        <v>M5XTJ6</v>
      </c>
      <c r="D20142" s="2" t="s">
        <v>15284</v>
      </c>
      <c r="E20142" s="3">
        <v>3.32E-149</v>
      </c>
      <c r="F20142" s="2">
        <v>1117</v>
      </c>
      <c r="G20142" s="2">
        <v>100</v>
      </c>
      <c r="H20142" s="2">
        <v>218</v>
      </c>
      <c r="I20142" s="2">
        <v>348</v>
      </c>
      <c r="J20142" s="2">
        <v>1001</v>
      </c>
      <c r="K20142" s="2">
        <v>1</v>
      </c>
      <c r="L20142" s="2">
        <v>218</v>
      </c>
    </row>
    <row r="20143" spans="1:12" x14ac:dyDescent="0.25">
      <c r="A20143" s="4" t="str">
        <f>HYPERLINK("http://www.rosaceae.org/Prunus/Prunus_persica/p.persica_gdr_reftransV1_0022813","p.persica_gdr_reftransV1_0022813")</f>
        <v>p.persica_gdr_reftransV1_0022813</v>
      </c>
      <c r="B20143" s="2">
        <v>2251</v>
      </c>
      <c r="C20143" s="4" t="str">
        <f>HYPERLINK("http://www.uniprot.org/uniprot/M5VLW9","M5VLW9")</f>
        <v>M5VLW9</v>
      </c>
      <c r="D20143" s="2" t="s">
        <v>15285</v>
      </c>
      <c r="E20143" s="3">
        <v>0</v>
      </c>
      <c r="F20143" s="2">
        <v>2711</v>
      </c>
      <c r="G20143" s="2">
        <v>100</v>
      </c>
      <c r="H20143" s="2">
        <v>502</v>
      </c>
      <c r="I20143" s="2">
        <v>355</v>
      </c>
      <c r="J20143" s="2">
        <v>1860</v>
      </c>
      <c r="K20143" s="2">
        <v>1</v>
      </c>
      <c r="L20143" s="2">
        <v>502</v>
      </c>
    </row>
    <row r="20144" spans="1:12" x14ac:dyDescent="0.25">
      <c r="A20144" s="4" t="str">
        <f>HYPERLINK("http://www.rosaceae.org/Prunus/Prunus_persica/p.persica_gdr_reftransV1_0024563","p.persica_gdr_reftransV1_0024563")</f>
        <v>p.persica_gdr_reftransV1_0024563</v>
      </c>
      <c r="B20144" s="2">
        <v>2577</v>
      </c>
      <c r="C20144" s="4" t="str">
        <f>HYPERLINK("http://www.uniprot.org/uniprot/M5XMJ2","M5XMJ2")</f>
        <v>M5XMJ2</v>
      </c>
      <c r="D20144" s="2" t="s">
        <v>5014</v>
      </c>
      <c r="E20144" s="3">
        <v>3.5800000000000002E-54</v>
      </c>
      <c r="F20144" s="2">
        <v>412</v>
      </c>
      <c r="G20144" s="2">
        <v>98</v>
      </c>
      <c r="H20144" s="2">
        <v>80</v>
      </c>
      <c r="I20144" s="2">
        <v>507</v>
      </c>
      <c r="J20144" s="2">
        <v>746</v>
      </c>
      <c r="K20144" s="2">
        <v>28</v>
      </c>
      <c r="L20144" s="2">
        <v>107</v>
      </c>
    </row>
    <row r="20145" spans="1:12" x14ac:dyDescent="0.25">
      <c r="A20145" s="4" t="str">
        <f>HYPERLINK("http://www.rosaceae.org/Prunus/Prunus_persica/p.persica_gdr_reftransV1_0025263","p.persica_gdr_reftransV1_0025263")</f>
        <v>p.persica_gdr_reftransV1_0025263</v>
      </c>
      <c r="B20145" s="2">
        <v>2786</v>
      </c>
      <c r="C20145" s="4" t="str">
        <f>HYPERLINK("http://www.uniprot.org/uniprot/M5W4A9","M5W4A9")</f>
        <v>M5W4A9</v>
      </c>
      <c r="D20145" s="2" t="s">
        <v>15286</v>
      </c>
      <c r="E20145" s="3">
        <v>0</v>
      </c>
      <c r="F20145" s="2">
        <v>1509</v>
      </c>
      <c r="G20145" s="2">
        <v>100</v>
      </c>
      <c r="H20145" s="2">
        <v>301</v>
      </c>
      <c r="I20145" s="2">
        <v>1651</v>
      </c>
      <c r="J20145" s="2">
        <v>2553</v>
      </c>
      <c r="K20145" s="2">
        <v>1</v>
      </c>
      <c r="L20145" s="2">
        <v>301</v>
      </c>
    </row>
    <row r="20146" spans="1:12" x14ac:dyDescent="0.25">
      <c r="A20146" s="4" t="str">
        <f>HYPERLINK("http://www.rosaceae.org/Prunus/Prunus_persica/p.persica_gdr_reftransV1_0025613","p.persica_gdr_reftransV1_0025613")</f>
        <v>p.persica_gdr_reftransV1_0025613</v>
      </c>
      <c r="B20146" s="2">
        <v>2762</v>
      </c>
      <c r="C20146" s="4" t="str">
        <f>HYPERLINK("http://www.uniprot.org/uniprot/M5VMT5","M5VMT5")</f>
        <v>M5VMT5</v>
      </c>
      <c r="D20146" s="2" t="s">
        <v>15287</v>
      </c>
      <c r="E20146" s="3">
        <v>6.9100000000000002E-116</v>
      </c>
      <c r="F20146" s="2">
        <v>951</v>
      </c>
      <c r="G20146" s="2">
        <v>99</v>
      </c>
      <c r="H20146" s="2">
        <v>177</v>
      </c>
      <c r="I20146" s="2">
        <v>1637</v>
      </c>
      <c r="J20146" s="2">
        <v>2167</v>
      </c>
      <c r="K20146" s="2">
        <v>191</v>
      </c>
      <c r="L20146" s="2">
        <v>367</v>
      </c>
    </row>
    <row r="20147" spans="1:12" x14ac:dyDescent="0.25">
      <c r="A20147" s="4" t="str">
        <f>HYPERLINK("http://www.rosaceae.org/Prunus/Prunus_persica/p.persica_gdr_reftransV1_0027713","p.persica_gdr_reftransV1_0027713")</f>
        <v>p.persica_gdr_reftransV1_0027713</v>
      </c>
      <c r="B20147" s="2">
        <v>4293</v>
      </c>
      <c r="C20147" s="4" t="str">
        <f>HYPERLINK("http://www.uniprot.org/uniprot/M5WI97","M5WI97")</f>
        <v>M5WI97</v>
      </c>
      <c r="D20147" s="2" t="s">
        <v>6726</v>
      </c>
      <c r="E20147" s="3">
        <v>0</v>
      </c>
      <c r="F20147" s="2">
        <v>1885</v>
      </c>
      <c r="G20147" s="2">
        <v>95</v>
      </c>
      <c r="H20147" s="2">
        <v>365</v>
      </c>
      <c r="I20147" s="2">
        <v>2058</v>
      </c>
      <c r="J20147" s="2">
        <v>3152</v>
      </c>
      <c r="K20147" s="2">
        <v>29</v>
      </c>
      <c r="L20147" s="2">
        <v>393</v>
      </c>
    </row>
    <row r="20148" spans="1:12" x14ac:dyDescent="0.25">
      <c r="A20148" s="4" t="str">
        <f>HYPERLINK("http://www.rosaceae.org/Prunus/Prunus_persica/p.persica_gdr_reftransV1_0029813","p.persica_gdr_reftransV1_0029813")</f>
        <v>p.persica_gdr_reftransV1_0029813</v>
      </c>
      <c r="B20148" s="2">
        <v>792</v>
      </c>
      <c r="C20148" s="4" t="str">
        <f>HYPERLINK("http://www.uniprot.org/uniprot/M5WBI2","M5WBI2")</f>
        <v>M5WBI2</v>
      </c>
      <c r="D20148" s="2" t="s">
        <v>15288</v>
      </c>
      <c r="E20148" s="3">
        <v>1.0999999999999999E-78</v>
      </c>
      <c r="F20148" s="2">
        <v>628</v>
      </c>
      <c r="G20148" s="2">
        <v>99</v>
      </c>
      <c r="H20148" s="2">
        <v>143</v>
      </c>
      <c r="I20148" s="2">
        <v>322</v>
      </c>
      <c r="J20148" s="2">
        <v>750</v>
      </c>
      <c r="K20148" s="2">
        <v>12</v>
      </c>
      <c r="L20148" s="2">
        <v>154</v>
      </c>
    </row>
    <row r="20149" spans="1:12" x14ac:dyDescent="0.25">
      <c r="A20149" s="4" t="str">
        <f>HYPERLINK("http://www.rosaceae.org/Prunus/Prunus_persica/p.persica_gdr_reftransV1_0030163","p.persica_gdr_reftransV1_0030163")</f>
        <v>p.persica_gdr_reftransV1_0030163</v>
      </c>
      <c r="B20149" s="2">
        <v>1683</v>
      </c>
      <c r="C20149" s="4" t="str">
        <f>HYPERLINK("http://www.uniprot.org/uniprot/M5XC24","M5XC24")</f>
        <v>M5XC24</v>
      </c>
      <c r="D20149" s="2" t="s">
        <v>15289</v>
      </c>
      <c r="E20149" s="3">
        <v>5.1199999999999996E-161</v>
      </c>
      <c r="F20149" s="2">
        <v>1222</v>
      </c>
      <c r="G20149" s="2">
        <v>87</v>
      </c>
      <c r="H20149" s="2">
        <v>324</v>
      </c>
      <c r="I20149" s="2">
        <v>517</v>
      </c>
      <c r="J20149" s="2">
        <v>1488</v>
      </c>
      <c r="K20149" s="2">
        <v>1</v>
      </c>
      <c r="L20149" s="2">
        <v>284</v>
      </c>
    </row>
    <row r="20150" spans="1:12" x14ac:dyDescent="0.25">
      <c r="A20150" s="4" t="str">
        <f>HYPERLINK("http://www.rosaceae.org/Prunus/Prunus_persica/p.persica_gdr_reftransV1_0035763","p.persica_gdr_reftransV1_0035763")</f>
        <v>p.persica_gdr_reftransV1_0035763</v>
      </c>
      <c r="B20150" s="2">
        <v>2241</v>
      </c>
      <c r="C20150" s="4" t="str">
        <f>HYPERLINK("http://www.uniprot.org/uniprot/U5GL40","U5GL40")</f>
        <v>U5GL40</v>
      </c>
      <c r="D20150" s="2" t="s">
        <v>15290</v>
      </c>
      <c r="E20150" s="3">
        <v>0</v>
      </c>
      <c r="F20150" s="2">
        <v>1586</v>
      </c>
      <c r="G20150" s="2">
        <v>78</v>
      </c>
      <c r="H20150" s="2">
        <v>371</v>
      </c>
      <c r="I20150" s="2">
        <v>644</v>
      </c>
      <c r="J20150" s="2">
        <v>1750</v>
      </c>
      <c r="K20150" s="2">
        <v>8</v>
      </c>
      <c r="L20150" s="2">
        <v>378</v>
      </c>
    </row>
    <row r="20151" spans="1:12" x14ac:dyDescent="0.25">
      <c r="A20151" s="4" t="str">
        <f>HYPERLINK("http://www.rosaceae.org/Prunus/Prunus_persica/p.persica_gdr_reftransV1_0036463","p.persica_gdr_reftransV1_0036463")</f>
        <v>p.persica_gdr_reftransV1_0036463</v>
      </c>
      <c r="B20151" s="2">
        <v>3034</v>
      </c>
      <c r="C20151" s="4" t="str">
        <f>HYPERLINK("http://www.uniprot.org/uniprot/M5W8Z1","M5W8Z1")</f>
        <v>M5W8Z1</v>
      </c>
      <c r="D20151" s="2" t="s">
        <v>15291</v>
      </c>
      <c r="E20151" s="3">
        <v>3.3400000000000003E-163</v>
      </c>
      <c r="F20151" s="2">
        <v>1284</v>
      </c>
      <c r="G20151" s="2">
        <v>93</v>
      </c>
      <c r="H20151" s="2">
        <v>259</v>
      </c>
      <c r="I20151" s="2">
        <v>1393</v>
      </c>
      <c r="J20151" s="2">
        <v>2169</v>
      </c>
      <c r="K20151" s="2">
        <v>176</v>
      </c>
      <c r="L20151" s="2">
        <v>434</v>
      </c>
    </row>
    <row r="20152" spans="1:12" x14ac:dyDescent="0.25">
      <c r="A20152" s="4" t="str">
        <f>HYPERLINK("http://www.rosaceae.org/Prunus/Prunus_persica/p.persica_gdr_reftransV1_0036813","p.persica_gdr_reftransV1_0036813")</f>
        <v>p.persica_gdr_reftransV1_0036813</v>
      </c>
      <c r="B20152" s="2">
        <v>985</v>
      </c>
      <c r="C20152" s="4" t="str">
        <f>HYPERLINK("http://www.uniprot.org/uniprot/M5WU93","M5WU93")</f>
        <v>M5WU93</v>
      </c>
      <c r="D20152" s="2" t="s">
        <v>8684</v>
      </c>
      <c r="E20152" s="3">
        <v>2.35E-43</v>
      </c>
      <c r="F20152" s="2">
        <v>402</v>
      </c>
      <c r="G20152" s="2">
        <v>100</v>
      </c>
      <c r="H20152" s="2">
        <v>76</v>
      </c>
      <c r="I20152" s="2">
        <v>1</v>
      </c>
      <c r="J20152" s="2">
        <v>228</v>
      </c>
      <c r="K20152" s="2">
        <v>95</v>
      </c>
      <c r="L20152" s="2">
        <v>170</v>
      </c>
    </row>
    <row r="20153" spans="1:12" x14ac:dyDescent="0.25">
      <c r="A20153" s="4" t="str">
        <f>HYPERLINK("http://www.rosaceae.org/Prunus/Prunus_persica/p.persica_gdr_reftransV1_0043113","p.persica_gdr_reftransV1_0043113")</f>
        <v>p.persica_gdr_reftransV1_0043113</v>
      </c>
      <c r="B20153" s="2">
        <v>1019</v>
      </c>
      <c r="C20153" s="4" t="str">
        <f>HYPERLINK("http://www.uniprot.org/uniprot/M5VSL8","M5VSL8")</f>
        <v>M5VSL8</v>
      </c>
      <c r="D20153" s="2" t="s">
        <v>15292</v>
      </c>
      <c r="E20153" s="3">
        <v>2.7900000000000002E-103</v>
      </c>
      <c r="F20153" s="2">
        <v>800</v>
      </c>
      <c r="G20153" s="2">
        <v>100</v>
      </c>
      <c r="H20153" s="2">
        <v>174</v>
      </c>
      <c r="I20153" s="2">
        <v>249</v>
      </c>
      <c r="J20153" s="2">
        <v>770</v>
      </c>
      <c r="K20153" s="2">
        <v>1</v>
      </c>
      <c r="L20153" s="2">
        <v>174</v>
      </c>
    </row>
    <row r="20154" spans="1:12" x14ac:dyDescent="0.25">
      <c r="A20154" s="4" t="str">
        <f>HYPERLINK("http://www.rosaceae.org/Prunus/Prunus_persica/p.persica_gdr_reftransV1_0043463","p.persica_gdr_reftransV1_0043463")</f>
        <v>p.persica_gdr_reftransV1_0043463</v>
      </c>
      <c r="B20154" s="2">
        <v>660</v>
      </c>
      <c r="C20154" s="4" t="str">
        <f>HYPERLINK("http://www.uniprot.org/uniprot/M5XVS4","M5XVS4")</f>
        <v>M5XVS4</v>
      </c>
      <c r="D20154" s="2" t="s">
        <v>12445</v>
      </c>
      <c r="E20154" s="3">
        <v>2.7299999999999999E-117</v>
      </c>
      <c r="F20154" s="2">
        <v>898</v>
      </c>
      <c r="G20154" s="2">
        <v>100</v>
      </c>
      <c r="H20154" s="2">
        <v>204</v>
      </c>
      <c r="I20154" s="2">
        <v>48</v>
      </c>
      <c r="J20154" s="2">
        <v>659</v>
      </c>
      <c r="K20154" s="2">
        <v>152</v>
      </c>
      <c r="L20154" s="2">
        <v>355</v>
      </c>
    </row>
    <row r="20155" spans="1:12" x14ac:dyDescent="0.25">
      <c r="A20155" s="4" t="str">
        <f>HYPERLINK("http://www.rosaceae.org/Prunus/Prunus_persica/p.persica_gdr_reftransV1_0043813","p.persica_gdr_reftransV1_0043813")</f>
        <v>p.persica_gdr_reftransV1_0043813</v>
      </c>
      <c r="B20155" s="2">
        <v>940</v>
      </c>
      <c r="C20155" s="4" t="str">
        <f>HYPERLINK("http://www.uniprot.org/uniprot/M5WY89","M5WY89")</f>
        <v>M5WY89</v>
      </c>
      <c r="D20155" s="2" t="s">
        <v>8509</v>
      </c>
      <c r="E20155" s="3">
        <v>0</v>
      </c>
      <c r="F20155" s="2">
        <v>1340</v>
      </c>
      <c r="G20155" s="2">
        <v>100</v>
      </c>
      <c r="H20155" s="2">
        <v>254</v>
      </c>
      <c r="I20155" s="2">
        <v>177</v>
      </c>
      <c r="J20155" s="2">
        <v>938</v>
      </c>
      <c r="K20155" s="2">
        <v>227</v>
      </c>
      <c r="L20155" s="2">
        <v>480</v>
      </c>
    </row>
    <row r="20156" spans="1:12" x14ac:dyDescent="0.25">
      <c r="A20156" s="4" t="str">
        <f>HYPERLINK("http://www.rosaceae.org/Prunus/Prunus_persica/p.persica_gdr_reftransV1_0044163","p.persica_gdr_reftransV1_0044163")</f>
        <v>p.persica_gdr_reftransV1_0044163</v>
      </c>
      <c r="B20156" s="2">
        <v>1766</v>
      </c>
      <c r="C20156" s="4" t="str">
        <f>HYPERLINK("http://www.uniprot.org/uniprot/E0CUZ5","E0CUZ5")</f>
        <v>E0CUZ5</v>
      </c>
      <c r="D20156" s="2" t="s">
        <v>11518</v>
      </c>
      <c r="E20156" s="3">
        <v>2.0700000000000001E-158</v>
      </c>
      <c r="F20156" s="2">
        <v>1208</v>
      </c>
      <c r="G20156" s="2">
        <v>81</v>
      </c>
      <c r="H20156" s="2">
        <v>359</v>
      </c>
      <c r="I20156" s="2">
        <v>204</v>
      </c>
      <c r="J20156" s="2">
        <v>1274</v>
      </c>
      <c r="K20156" s="2">
        <v>1</v>
      </c>
      <c r="L20156" s="2">
        <v>358</v>
      </c>
    </row>
    <row r="20157" spans="1:12" x14ac:dyDescent="0.25">
      <c r="A20157" s="4" t="str">
        <f>HYPERLINK("http://www.rosaceae.org/Prunus/Prunus_persica/p.persica_gdr_reftransV1_0044513","p.persica_gdr_reftransV1_0044513")</f>
        <v>p.persica_gdr_reftransV1_0044513</v>
      </c>
      <c r="B20157" s="2">
        <v>1312</v>
      </c>
      <c r="C20157" s="4" t="str">
        <f>HYPERLINK("http://www.uniprot.org/uniprot/A0A061GWW6","A0A061GWW6")</f>
        <v>A0A061GWW6</v>
      </c>
      <c r="D20157" s="2" t="s">
        <v>15293</v>
      </c>
      <c r="E20157" s="3">
        <v>9.7200000000000007E-170</v>
      </c>
      <c r="F20157" s="2">
        <v>1266</v>
      </c>
      <c r="G20157" s="2">
        <v>82</v>
      </c>
      <c r="H20157" s="2">
        <v>311</v>
      </c>
      <c r="I20157" s="2">
        <v>174</v>
      </c>
      <c r="J20157" s="2">
        <v>1106</v>
      </c>
      <c r="K20157" s="2">
        <v>28</v>
      </c>
      <c r="L20157" s="2">
        <v>334</v>
      </c>
    </row>
    <row r="20158" spans="1:12" x14ac:dyDescent="0.25">
      <c r="A20158" s="4" t="str">
        <f>HYPERLINK("http://www.rosaceae.org/Prunus/Prunus_persica/p.persica_gdr_reftransV1_0044863","p.persica_gdr_reftransV1_0044863")</f>
        <v>p.persica_gdr_reftransV1_0044863</v>
      </c>
      <c r="B20158" s="2">
        <v>2111</v>
      </c>
      <c r="C20158" s="4" t="str">
        <f>HYPERLINK("http://www.uniprot.org/uniprot/M5VXP2","M5VXP2")</f>
        <v>M5VXP2</v>
      </c>
      <c r="D20158" s="2" t="s">
        <v>307</v>
      </c>
      <c r="E20158" s="3">
        <v>0</v>
      </c>
      <c r="F20158" s="2">
        <v>1758</v>
      </c>
      <c r="G20158" s="2">
        <v>100</v>
      </c>
      <c r="H20158" s="2">
        <v>409</v>
      </c>
      <c r="I20158" s="2">
        <v>566</v>
      </c>
      <c r="J20158" s="2">
        <v>1792</v>
      </c>
      <c r="K20158" s="2">
        <v>147</v>
      </c>
      <c r="L20158" s="2">
        <v>555</v>
      </c>
    </row>
    <row r="20159" spans="1:12" x14ac:dyDescent="0.25">
      <c r="A20159" s="4" t="str">
        <f>HYPERLINK("http://www.rosaceae.org/Prunus/Prunus_persica/p.persica_gdr_reftransV1_0045213","p.persica_gdr_reftransV1_0045213")</f>
        <v>p.persica_gdr_reftransV1_0045213</v>
      </c>
      <c r="B20159" s="2">
        <v>324</v>
      </c>
      <c r="C20159" s="4" t="str">
        <f>HYPERLINK("http://www.uniprot.org/uniprot/M5VHT6","M5VHT6")</f>
        <v>M5VHT6</v>
      </c>
      <c r="D20159" s="2" t="s">
        <v>4858</v>
      </c>
      <c r="E20159" s="3">
        <v>2.01E-35</v>
      </c>
      <c r="F20159" s="2">
        <v>349</v>
      </c>
      <c r="G20159" s="2">
        <v>100</v>
      </c>
      <c r="H20159" s="2">
        <v>106</v>
      </c>
      <c r="I20159" s="2">
        <v>2</v>
      </c>
      <c r="J20159" s="2">
        <v>319</v>
      </c>
      <c r="K20159" s="2">
        <v>128</v>
      </c>
      <c r="L20159" s="2">
        <v>233</v>
      </c>
    </row>
    <row r="20160" spans="1:12" x14ac:dyDescent="0.25">
      <c r="A20160" s="4" t="str">
        <f>HYPERLINK("http://www.rosaceae.org/Prunus/Prunus_persica/p.persica_gdr_reftransV1_0045913","p.persica_gdr_reftransV1_0045913")</f>
        <v>p.persica_gdr_reftransV1_0045913</v>
      </c>
      <c r="B20160" s="2">
        <v>1276</v>
      </c>
      <c r="C20160" s="4" t="str">
        <f>HYPERLINK("http://www.uniprot.org/uniprot/M5WS73","M5WS73")</f>
        <v>M5WS73</v>
      </c>
      <c r="D20160" s="2" t="s">
        <v>14523</v>
      </c>
      <c r="E20160" s="3">
        <v>2.1600000000000001E-121</v>
      </c>
      <c r="F20160" s="2">
        <v>958</v>
      </c>
      <c r="G20160" s="2">
        <v>100</v>
      </c>
      <c r="H20160" s="2">
        <v>261</v>
      </c>
      <c r="I20160" s="2">
        <v>474</v>
      </c>
      <c r="J20160" s="2">
        <v>1256</v>
      </c>
      <c r="K20160" s="2">
        <v>216</v>
      </c>
      <c r="L20160" s="2">
        <v>476</v>
      </c>
    </row>
    <row r="20161" spans="1:12" x14ac:dyDescent="0.25">
      <c r="A20161" s="4" t="str">
        <f>HYPERLINK("http://www.rosaceae.org/Prunus/Prunus_persica/p.persica_gdr_reftransV1_0046263","p.persica_gdr_reftransV1_0046263")</f>
        <v>p.persica_gdr_reftransV1_0046263</v>
      </c>
      <c r="B20161" s="2">
        <v>3605</v>
      </c>
      <c r="C20161" s="4" t="str">
        <f>HYPERLINK("http://www.uniprot.org/uniprot/M5X610","M5X610")</f>
        <v>M5X610</v>
      </c>
      <c r="D20161" s="2" t="s">
        <v>15294</v>
      </c>
      <c r="E20161" s="3">
        <v>0</v>
      </c>
      <c r="F20161" s="2">
        <v>5423</v>
      </c>
      <c r="G20161" s="2">
        <v>100</v>
      </c>
      <c r="H20161" s="2">
        <v>1042</v>
      </c>
      <c r="I20161" s="2">
        <v>398</v>
      </c>
      <c r="J20161" s="2">
        <v>3523</v>
      </c>
      <c r="K20161" s="2">
        <v>1</v>
      </c>
      <c r="L20161" s="2">
        <v>1042</v>
      </c>
    </row>
    <row r="20162" spans="1:12" x14ac:dyDescent="0.25">
      <c r="A20162" s="4" t="str">
        <f>HYPERLINK("http://www.rosaceae.org/Prunus/Prunus_persica/p.persica_gdr_reftransV1_0046613","p.persica_gdr_reftransV1_0046613")</f>
        <v>p.persica_gdr_reftransV1_0046613</v>
      </c>
      <c r="B20162" s="2">
        <v>1976</v>
      </c>
      <c r="C20162" s="4" t="str">
        <f>HYPERLINK("http://www.uniprot.org/uniprot/M5Y4V4","M5Y4V4")</f>
        <v>M5Y4V4</v>
      </c>
      <c r="D20162" s="2" t="s">
        <v>4313</v>
      </c>
      <c r="E20162" s="3">
        <v>0</v>
      </c>
      <c r="F20162" s="2">
        <v>2292</v>
      </c>
      <c r="G20162" s="2">
        <v>100</v>
      </c>
      <c r="H20162" s="2">
        <v>516</v>
      </c>
      <c r="I20162" s="2">
        <v>1</v>
      </c>
      <c r="J20162" s="2">
        <v>1548</v>
      </c>
      <c r="K20162" s="2">
        <v>111</v>
      </c>
      <c r="L20162" s="2">
        <v>626</v>
      </c>
    </row>
    <row r="20163" spans="1:12" x14ac:dyDescent="0.25">
      <c r="A20163" s="4" t="str">
        <f>HYPERLINK("http://www.rosaceae.org/Prunus/Prunus_persica/p.persica_gdr_reftransV1_0046963","p.persica_gdr_reftransV1_0046963")</f>
        <v>p.persica_gdr_reftransV1_0046963</v>
      </c>
      <c r="B20163" s="2">
        <v>646</v>
      </c>
      <c r="C20163" s="4" t="str">
        <f>HYPERLINK("http://www.uniprot.org/uniprot/M5WDI4","M5WDI4")</f>
        <v>M5WDI4</v>
      </c>
      <c r="D20163" s="2" t="s">
        <v>15295</v>
      </c>
      <c r="E20163" s="3">
        <v>1.17E-73</v>
      </c>
      <c r="F20163" s="2">
        <v>587</v>
      </c>
      <c r="G20163" s="2">
        <v>100</v>
      </c>
      <c r="H20163" s="2">
        <v>126</v>
      </c>
      <c r="I20163" s="2">
        <v>68</v>
      </c>
      <c r="J20163" s="2">
        <v>445</v>
      </c>
      <c r="K20163" s="2">
        <v>1</v>
      </c>
      <c r="L20163" s="2">
        <v>126</v>
      </c>
    </row>
    <row r="20164" spans="1:12" x14ac:dyDescent="0.25">
      <c r="A20164" s="4" t="str">
        <f>HYPERLINK("http://www.rosaceae.org/Prunus/Prunus_persica/p.persica_gdr_reftransV1_0047313","p.persica_gdr_reftransV1_0047313")</f>
        <v>p.persica_gdr_reftransV1_0047313</v>
      </c>
      <c r="B20164" s="2">
        <v>2891</v>
      </c>
      <c r="C20164" s="4" t="str">
        <f>HYPERLINK("http://www.uniprot.org/uniprot/M5XLN8","M5XLN8")</f>
        <v>M5XLN8</v>
      </c>
      <c r="D20164" s="2" t="s">
        <v>15296</v>
      </c>
      <c r="E20164" s="3">
        <v>0</v>
      </c>
      <c r="F20164" s="2">
        <v>4195</v>
      </c>
      <c r="G20164" s="2">
        <v>100</v>
      </c>
      <c r="H20164" s="2">
        <v>774</v>
      </c>
      <c r="I20164" s="2">
        <v>568</v>
      </c>
      <c r="J20164" s="2">
        <v>2889</v>
      </c>
      <c r="K20164" s="2">
        <v>1646</v>
      </c>
      <c r="L20164" s="2">
        <v>2419</v>
      </c>
    </row>
    <row r="20165" spans="1:12" x14ac:dyDescent="0.25">
      <c r="A20165" s="4" t="str">
        <f>HYPERLINK("http://www.rosaceae.org/Prunus/Prunus_persica/p.persica_gdr_reftransV1_0047663","p.persica_gdr_reftransV1_0047663")</f>
        <v>p.persica_gdr_reftransV1_0047663</v>
      </c>
      <c r="B20165" s="2">
        <v>2490</v>
      </c>
      <c r="C20165" s="4" t="str">
        <f>HYPERLINK("http://www.uniprot.org/uniprot/M5X2W7","M5X2W7")</f>
        <v>M5X2W7</v>
      </c>
      <c r="D20165" s="2" t="s">
        <v>14827</v>
      </c>
      <c r="E20165" s="3">
        <v>0</v>
      </c>
      <c r="F20165" s="2">
        <v>1520</v>
      </c>
      <c r="G20165" s="2">
        <v>98</v>
      </c>
      <c r="H20165" s="2">
        <v>291</v>
      </c>
      <c r="I20165" s="2">
        <v>1474</v>
      </c>
      <c r="J20165" s="2">
        <v>2346</v>
      </c>
      <c r="K20165" s="2">
        <v>120</v>
      </c>
      <c r="L20165" s="2">
        <v>410</v>
      </c>
    </row>
    <row r="20166" spans="1:12" x14ac:dyDescent="0.25">
      <c r="A20166" s="4" t="str">
        <f>HYPERLINK("http://www.rosaceae.org/Prunus/Prunus_persica/p.persica_gdr_reftransV1_0048013","p.persica_gdr_reftransV1_0048013")</f>
        <v>p.persica_gdr_reftransV1_0048013</v>
      </c>
      <c r="B20166" s="2">
        <v>379</v>
      </c>
      <c r="C20166" s="4" t="str">
        <f>HYPERLINK("http://www.uniprot.org/uniprot/M5XI95","M5XI95")</f>
        <v>M5XI95</v>
      </c>
      <c r="D20166" s="2" t="s">
        <v>10058</v>
      </c>
      <c r="E20166" s="3">
        <v>6.4100000000000005E-64</v>
      </c>
      <c r="F20166" s="2">
        <v>549</v>
      </c>
      <c r="G20166" s="2">
        <v>100</v>
      </c>
      <c r="H20166" s="2">
        <v>102</v>
      </c>
      <c r="I20166" s="2">
        <v>3</v>
      </c>
      <c r="J20166" s="2">
        <v>308</v>
      </c>
      <c r="K20166" s="2">
        <v>1</v>
      </c>
      <c r="L20166" s="2">
        <v>102</v>
      </c>
    </row>
    <row r="20167" spans="1:12" x14ac:dyDescent="0.25">
      <c r="A20167" s="4" t="str">
        <f>HYPERLINK("http://www.rosaceae.org/Prunus/Prunus_persica/p.persica_gdr_reftransV1_0048363","p.persica_gdr_reftransV1_0048363")</f>
        <v>p.persica_gdr_reftransV1_0048363</v>
      </c>
      <c r="B20167" s="2">
        <v>777</v>
      </c>
      <c r="C20167" s="4" t="str">
        <f>HYPERLINK("http://www.uniprot.org/uniprot/M5Y3G1","M5Y3G1")</f>
        <v>M5Y3G1</v>
      </c>
      <c r="D20167" s="2" t="s">
        <v>15297</v>
      </c>
      <c r="E20167" s="3">
        <v>2.6199999999999999E-102</v>
      </c>
      <c r="F20167" s="2">
        <v>783</v>
      </c>
      <c r="G20167" s="2">
        <v>100</v>
      </c>
      <c r="H20167" s="2">
        <v>148</v>
      </c>
      <c r="I20167" s="2">
        <v>192</v>
      </c>
      <c r="J20167" s="2">
        <v>635</v>
      </c>
      <c r="K20167" s="2">
        <v>1</v>
      </c>
      <c r="L20167" s="2">
        <v>148</v>
      </c>
    </row>
    <row r="20168" spans="1:12" x14ac:dyDescent="0.25">
      <c r="A20168" s="4" t="str">
        <f>HYPERLINK("http://www.rosaceae.org/Prunus/Prunus_persica/p.persica_gdr_reftransV1_0048713","p.persica_gdr_reftransV1_0048713")</f>
        <v>p.persica_gdr_reftransV1_0048713</v>
      </c>
      <c r="B20168" s="2">
        <v>374</v>
      </c>
      <c r="C20168" s="4" t="str">
        <f>HYPERLINK("http://www.uniprot.org/uniprot/M5WZU0","M5WZU0")</f>
        <v>M5WZU0</v>
      </c>
      <c r="D20168" s="2" t="s">
        <v>98</v>
      </c>
      <c r="E20168" s="3">
        <v>2.1399999999999999E-68</v>
      </c>
      <c r="F20168" s="2">
        <v>586</v>
      </c>
      <c r="G20168" s="2">
        <v>99</v>
      </c>
      <c r="H20168" s="2">
        <v>124</v>
      </c>
      <c r="I20168" s="2">
        <v>2</v>
      </c>
      <c r="J20168" s="2">
        <v>373</v>
      </c>
      <c r="K20168" s="2">
        <v>375</v>
      </c>
      <c r="L20168" s="2">
        <v>498</v>
      </c>
    </row>
    <row r="20169" spans="1:12" x14ac:dyDescent="0.25">
      <c r="A20169" s="4" t="str">
        <f>HYPERLINK("http://www.rosaceae.org/Prunus/Prunus_persica/p.persica_gdr_reftransV1_0049063","p.persica_gdr_reftransV1_0049063")</f>
        <v>p.persica_gdr_reftransV1_0049063</v>
      </c>
      <c r="B20169" s="2">
        <v>2905</v>
      </c>
      <c r="C20169" s="4" t="str">
        <f>HYPERLINK("http://www.uniprot.org/uniprot/M5Y4C6","M5Y4C6")</f>
        <v>M5Y4C6</v>
      </c>
      <c r="D20169" s="2" t="s">
        <v>8512</v>
      </c>
      <c r="E20169" s="3">
        <v>0</v>
      </c>
      <c r="F20169" s="2">
        <v>4420</v>
      </c>
      <c r="G20169" s="2">
        <v>100</v>
      </c>
      <c r="H20169" s="2">
        <v>957</v>
      </c>
      <c r="I20169" s="2">
        <v>35</v>
      </c>
      <c r="J20169" s="2">
        <v>2905</v>
      </c>
      <c r="K20169" s="2">
        <v>1</v>
      </c>
      <c r="L20169" s="2">
        <v>957</v>
      </c>
    </row>
    <row r="20170" spans="1:12" x14ac:dyDescent="0.25">
      <c r="A20170" s="4" t="str">
        <f>HYPERLINK("http://www.rosaceae.org/Prunus/Prunus_persica/p.persica_gdr_reftransV1_0000064","p.persica_gdr_reftransV1_0000064")</f>
        <v>p.persica_gdr_reftransV1_0000064</v>
      </c>
      <c r="B20170" s="2">
        <v>402</v>
      </c>
      <c r="C20170" s="4" t="str">
        <f>HYPERLINK("http://www.uniprot.org/uniprot/M5VKM9","M5VKM9")</f>
        <v>M5VKM9</v>
      </c>
      <c r="D20170" s="2" t="s">
        <v>14006</v>
      </c>
      <c r="E20170" s="3">
        <v>4.9900000000000002E-15</v>
      </c>
      <c r="F20170" s="2">
        <v>192</v>
      </c>
      <c r="G20170" s="2">
        <v>80</v>
      </c>
      <c r="H20170" s="2">
        <v>46</v>
      </c>
      <c r="I20170" s="2">
        <v>36</v>
      </c>
      <c r="J20170" s="2">
        <v>173</v>
      </c>
      <c r="K20170" s="2">
        <v>1</v>
      </c>
      <c r="L20170" s="2">
        <v>46</v>
      </c>
    </row>
    <row r="20171" spans="1:12" x14ac:dyDescent="0.25">
      <c r="A20171" s="4" t="str">
        <f>HYPERLINK("http://www.rosaceae.org/Prunus/Prunus_persica/p.persica_gdr_reftransV1_0000414","p.persica_gdr_reftransV1_0000414")</f>
        <v>p.persica_gdr_reftransV1_0000414</v>
      </c>
      <c r="B20171" s="2">
        <v>1799</v>
      </c>
      <c r="C20171" s="4" t="str">
        <f>HYPERLINK("http://www.uniprot.org/uniprot/M5X3U4","M5X3U4")</f>
        <v>M5X3U4</v>
      </c>
      <c r="D20171" s="2" t="s">
        <v>178</v>
      </c>
      <c r="E20171" s="3">
        <v>0</v>
      </c>
      <c r="F20171" s="2">
        <v>1884</v>
      </c>
      <c r="G20171" s="2">
        <v>97</v>
      </c>
      <c r="H20171" s="2">
        <v>359</v>
      </c>
      <c r="I20171" s="2">
        <v>221</v>
      </c>
      <c r="J20171" s="2">
        <v>1297</v>
      </c>
      <c r="K20171" s="2">
        <v>181</v>
      </c>
      <c r="L20171" s="2">
        <v>539</v>
      </c>
    </row>
    <row r="20172" spans="1:12" x14ac:dyDescent="0.25">
      <c r="A20172" s="4" t="str">
        <f>HYPERLINK("http://www.rosaceae.org/Prunus/Prunus_persica/p.persica_gdr_reftransV1_0000764","p.persica_gdr_reftransV1_0000764")</f>
        <v>p.persica_gdr_reftransV1_0000764</v>
      </c>
      <c r="B20172" s="2">
        <v>1828</v>
      </c>
      <c r="C20172" s="4" t="str">
        <f>HYPERLINK("http://www.uniprot.org/uniprot/M5VJN6","M5VJN6")</f>
        <v>M5VJN6</v>
      </c>
      <c r="D20172" s="2" t="s">
        <v>6247</v>
      </c>
      <c r="E20172" s="3">
        <v>0</v>
      </c>
      <c r="F20172" s="2">
        <v>2612</v>
      </c>
      <c r="G20172" s="2">
        <v>100</v>
      </c>
      <c r="H20172" s="2">
        <v>488</v>
      </c>
      <c r="I20172" s="2">
        <v>66</v>
      </c>
      <c r="J20172" s="2">
        <v>1529</v>
      </c>
      <c r="K20172" s="2">
        <v>1</v>
      </c>
      <c r="L20172" s="2">
        <v>488</v>
      </c>
    </row>
    <row r="20173" spans="1:12" x14ac:dyDescent="0.25">
      <c r="A20173" s="4" t="str">
        <f>HYPERLINK("http://www.rosaceae.org/Prunus/Prunus_persica/p.persica_gdr_reftransV1_0001114","p.persica_gdr_reftransV1_0001114")</f>
        <v>p.persica_gdr_reftransV1_0001114</v>
      </c>
      <c r="B20173" s="2">
        <v>1238</v>
      </c>
      <c r="C20173" s="4" t="str">
        <f>HYPERLINK("http://www.uniprot.org/uniprot/U5DHG2","U5DHG2")</f>
        <v>U5DHG2</v>
      </c>
      <c r="D20173" s="2" t="s">
        <v>15298</v>
      </c>
      <c r="E20173" s="3">
        <v>3.06E-159</v>
      </c>
      <c r="F20173" s="2">
        <v>875</v>
      </c>
      <c r="G20173" s="2">
        <v>91</v>
      </c>
      <c r="H20173" s="2">
        <v>196</v>
      </c>
      <c r="I20173" s="2">
        <v>651</v>
      </c>
      <c r="J20173" s="2">
        <v>1238</v>
      </c>
      <c r="K20173" s="2">
        <v>43</v>
      </c>
      <c r="L20173" s="2">
        <v>238</v>
      </c>
    </row>
    <row r="20174" spans="1:12" x14ac:dyDescent="0.25">
      <c r="A20174" s="4" t="str">
        <f>HYPERLINK("http://www.rosaceae.org/Prunus/Prunus_persica/p.persica_gdr_reftransV1_0002514","p.persica_gdr_reftransV1_0002514")</f>
        <v>p.persica_gdr_reftransV1_0002514</v>
      </c>
      <c r="B20174" s="2">
        <v>2076</v>
      </c>
      <c r="C20174" s="4" t="str">
        <f>HYPERLINK("http://www.uniprot.org/uniprot/M5XC98","M5XC98")</f>
        <v>M5XC98</v>
      </c>
      <c r="D20174" s="2" t="s">
        <v>1238</v>
      </c>
      <c r="E20174" s="3">
        <v>0</v>
      </c>
      <c r="F20174" s="2">
        <v>2702</v>
      </c>
      <c r="G20174" s="2">
        <v>100</v>
      </c>
      <c r="H20174" s="2">
        <v>544</v>
      </c>
      <c r="I20174" s="2">
        <v>116</v>
      </c>
      <c r="J20174" s="2">
        <v>1747</v>
      </c>
      <c r="K20174" s="2">
        <v>6</v>
      </c>
      <c r="L20174" s="2">
        <v>549</v>
      </c>
    </row>
    <row r="20175" spans="1:12" x14ac:dyDescent="0.25">
      <c r="A20175" s="4" t="str">
        <f>HYPERLINK("http://www.rosaceae.org/Prunus/Prunus_persica/p.persica_gdr_reftransV1_0002864","p.persica_gdr_reftransV1_0002864")</f>
        <v>p.persica_gdr_reftransV1_0002864</v>
      </c>
      <c r="B20175" s="2">
        <v>2185</v>
      </c>
      <c r="C20175" s="4" t="str">
        <f>HYPERLINK("http://www.uniprot.org/uniprot/M5X252","M5X252")</f>
        <v>M5X252</v>
      </c>
      <c r="D20175" s="2" t="s">
        <v>5729</v>
      </c>
      <c r="E20175" s="3">
        <v>0</v>
      </c>
      <c r="F20175" s="2">
        <v>2841</v>
      </c>
      <c r="G20175" s="2">
        <v>100</v>
      </c>
      <c r="H20175" s="2">
        <v>555</v>
      </c>
      <c r="I20175" s="2">
        <v>322</v>
      </c>
      <c r="J20175" s="2">
        <v>1986</v>
      </c>
      <c r="K20175" s="2">
        <v>1</v>
      </c>
      <c r="L20175" s="2">
        <v>555</v>
      </c>
    </row>
    <row r="20176" spans="1:12" x14ac:dyDescent="0.25">
      <c r="A20176" s="4" t="str">
        <f>HYPERLINK("http://www.rosaceae.org/Prunus/Prunus_persica/p.persica_gdr_reftransV1_0003564","p.persica_gdr_reftransV1_0003564")</f>
        <v>p.persica_gdr_reftransV1_0003564</v>
      </c>
      <c r="B20176" s="2">
        <v>4050</v>
      </c>
      <c r="C20176" s="4" t="str">
        <f>HYPERLINK("http://www.uniprot.org/uniprot/M5X3K8","M5X3K8")</f>
        <v>M5X3K8</v>
      </c>
      <c r="D20176" s="2" t="s">
        <v>5280</v>
      </c>
      <c r="E20176" s="3">
        <v>0</v>
      </c>
      <c r="F20176" s="2">
        <v>5512</v>
      </c>
      <c r="G20176" s="2">
        <v>99</v>
      </c>
      <c r="H20176" s="2">
        <v>1101</v>
      </c>
      <c r="I20176" s="2">
        <v>342</v>
      </c>
      <c r="J20176" s="2">
        <v>3644</v>
      </c>
      <c r="K20176" s="2">
        <v>1</v>
      </c>
      <c r="L20176" s="2">
        <v>1088</v>
      </c>
    </row>
    <row r="20177" spans="1:12" x14ac:dyDescent="0.25">
      <c r="A20177" s="4" t="str">
        <f>HYPERLINK("http://www.rosaceae.org/Prunus/Prunus_persica/p.persica_gdr_reftransV1_0004264","p.persica_gdr_reftransV1_0004264")</f>
        <v>p.persica_gdr_reftransV1_0004264</v>
      </c>
      <c r="B20177" s="2">
        <v>327</v>
      </c>
      <c r="C20177" s="4" t="str">
        <f>HYPERLINK("http://www.uniprot.org/uniprot/M5VVK6","M5VVK6")</f>
        <v>M5VVK6</v>
      </c>
      <c r="D20177" s="2" t="s">
        <v>2206</v>
      </c>
      <c r="E20177" s="3">
        <v>4.4299999999999999E-66</v>
      </c>
      <c r="F20177" s="2">
        <v>579</v>
      </c>
      <c r="G20177" s="2">
        <v>100</v>
      </c>
      <c r="H20177" s="2">
        <v>108</v>
      </c>
      <c r="I20177" s="2">
        <v>3</v>
      </c>
      <c r="J20177" s="2">
        <v>326</v>
      </c>
      <c r="K20177" s="2">
        <v>1081</v>
      </c>
      <c r="L20177" s="2">
        <v>1188</v>
      </c>
    </row>
    <row r="20178" spans="1:12" x14ac:dyDescent="0.25">
      <c r="A20178" s="4" t="str">
        <f>HYPERLINK("http://www.rosaceae.org/Prunus/Prunus_persica/p.persica_gdr_reftransV1_0004614","p.persica_gdr_reftransV1_0004614")</f>
        <v>p.persica_gdr_reftransV1_0004614</v>
      </c>
      <c r="B20178" s="2">
        <v>4034</v>
      </c>
      <c r="C20178" s="4" t="str">
        <f>HYPERLINK("http://www.uniprot.org/uniprot/M5Y4D1","M5Y4D1")</f>
        <v>M5Y4D1</v>
      </c>
      <c r="D20178" s="2" t="s">
        <v>5200</v>
      </c>
      <c r="E20178" s="3">
        <v>0</v>
      </c>
      <c r="F20178" s="2">
        <v>6072</v>
      </c>
      <c r="G20178" s="2">
        <v>95</v>
      </c>
      <c r="H20178" s="2">
        <v>1275</v>
      </c>
      <c r="I20178" s="2">
        <v>210</v>
      </c>
      <c r="J20178" s="2">
        <v>4034</v>
      </c>
      <c r="K20178" s="2">
        <v>318</v>
      </c>
      <c r="L20178" s="2">
        <v>1552</v>
      </c>
    </row>
    <row r="20179" spans="1:12" x14ac:dyDescent="0.25">
      <c r="A20179" s="4" t="str">
        <f>HYPERLINK("http://www.rosaceae.org/Prunus/Prunus_persica/p.persica_gdr_reftransV1_0005314","p.persica_gdr_reftransV1_0005314")</f>
        <v>p.persica_gdr_reftransV1_0005314</v>
      </c>
      <c r="B20179" s="2">
        <v>695</v>
      </c>
      <c r="C20179" s="4" t="str">
        <f>HYPERLINK("http://www.uniprot.org/uniprot/M5WRP6","M5WRP6")</f>
        <v>M5WRP6</v>
      </c>
      <c r="D20179" s="2" t="s">
        <v>15299</v>
      </c>
      <c r="E20179" s="3">
        <v>4.4100000000000002E-46</v>
      </c>
      <c r="F20179" s="2">
        <v>405</v>
      </c>
      <c r="G20179" s="2">
        <v>100</v>
      </c>
      <c r="H20179" s="2">
        <v>111</v>
      </c>
      <c r="I20179" s="2">
        <v>270</v>
      </c>
      <c r="J20179" s="2">
        <v>602</v>
      </c>
      <c r="K20179" s="2">
        <v>7</v>
      </c>
      <c r="L20179" s="2">
        <v>117</v>
      </c>
    </row>
    <row r="20180" spans="1:12" x14ac:dyDescent="0.25">
      <c r="A20180" s="4" t="str">
        <f>HYPERLINK("http://www.rosaceae.org/Prunus/Prunus_persica/p.persica_gdr_reftransV1_0006714","p.persica_gdr_reftransV1_0006714")</f>
        <v>p.persica_gdr_reftransV1_0006714</v>
      </c>
      <c r="B20180" s="2">
        <v>1087</v>
      </c>
      <c r="C20180" s="4" t="str">
        <f>HYPERLINK("http://www.uniprot.org/uniprot/M5WKT1","M5WKT1")</f>
        <v>M5WKT1</v>
      </c>
      <c r="D20180" s="2" t="s">
        <v>10864</v>
      </c>
      <c r="E20180" s="3">
        <v>1.6899999999999999E-170</v>
      </c>
      <c r="F20180" s="2">
        <v>1311</v>
      </c>
      <c r="G20180" s="2">
        <v>92</v>
      </c>
      <c r="H20180" s="2">
        <v>290</v>
      </c>
      <c r="I20180" s="2">
        <v>1</v>
      </c>
      <c r="J20180" s="2">
        <v>867</v>
      </c>
      <c r="K20180" s="2">
        <v>558</v>
      </c>
      <c r="L20180" s="2">
        <v>847</v>
      </c>
    </row>
    <row r="20181" spans="1:12" x14ac:dyDescent="0.25">
      <c r="A20181" s="4" t="str">
        <f>HYPERLINK("http://www.rosaceae.org/Prunus/Prunus_persica/p.persica_gdr_reftransV1_0007064","p.persica_gdr_reftransV1_0007064")</f>
        <v>p.persica_gdr_reftransV1_0007064</v>
      </c>
      <c r="B20181" s="2">
        <v>1801</v>
      </c>
      <c r="C20181" s="4" t="str">
        <f>HYPERLINK("http://www.uniprot.org/uniprot/M5WVT7","M5WVT7")</f>
        <v>M5WVT7</v>
      </c>
      <c r="D20181" s="2" t="s">
        <v>15300</v>
      </c>
      <c r="E20181" s="3">
        <v>0</v>
      </c>
      <c r="F20181" s="2">
        <v>2453</v>
      </c>
      <c r="G20181" s="2">
        <v>100</v>
      </c>
      <c r="H20181" s="2">
        <v>501</v>
      </c>
      <c r="I20181" s="2">
        <v>297</v>
      </c>
      <c r="J20181" s="2">
        <v>1799</v>
      </c>
      <c r="K20181" s="2">
        <v>38</v>
      </c>
      <c r="L20181" s="2">
        <v>538</v>
      </c>
    </row>
    <row r="20182" spans="1:12" x14ac:dyDescent="0.25">
      <c r="A20182" s="4" t="str">
        <f>HYPERLINK("http://www.rosaceae.org/Prunus/Prunus_persica/p.persica_gdr_reftransV1_0007414","p.persica_gdr_reftransV1_0007414")</f>
        <v>p.persica_gdr_reftransV1_0007414</v>
      </c>
      <c r="B20182" s="2">
        <v>5128</v>
      </c>
      <c r="C20182" s="4" t="str">
        <f>HYPERLINK("http://www.uniprot.org/uniprot/M5WZV8","M5WZV8")</f>
        <v>M5WZV8</v>
      </c>
      <c r="D20182" s="2" t="s">
        <v>15301</v>
      </c>
      <c r="E20182" s="3">
        <v>0</v>
      </c>
      <c r="F20182" s="2">
        <v>1948</v>
      </c>
      <c r="G20182" s="2">
        <v>100</v>
      </c>
      <c r="H20182" s="2">
        <v>374</v>
      </c>
      <c r="I20182" s="2">
        <v>1675</v>
      </c>
      <c r="J20182" s="2">
        <v>2796</v>
      </c>
      <c r="K20182" s="2">
        <v>1</v>
      </c>
      <c r="L20182" s="2">
        <v>374</v>
      </c>
    </row>
    <row r="20183" spans="1:12" x14ac:dyDescent="0.25">
      <c r="A20183" s="4" t="str">
        <f>HYPERLINK("http://www.rosaceae.org/Prunus/Prunus_persica/p.persica_gdr_reftransV1_0008114","p.persica_gdr_reftransV1_0008114")</f>
        <v>p.persica_gdr_reftransV1_0008114</v>
      </c>
      <c r="B20183" s="2">
        <v>4233</v>
      </c>
      <c r="C20183" s="4" t="str">
        <f>HYPERLINK("http://www.uniprot.org/uniprot/M5XIM6","M5XIM6")</f>
        <v>M5XIM6</v>
      </c>
      <c r="D20183" s="2" t="s">
        <v>4714</v>
      </c>
      <c r="E20183" s="3">
        <v>0</v>
      </c>
      <c r="F20183" s="2">
        <v>2644</v>
      </c>
      <c r="G20183" s="2">
        <v>99</v>
      </c>
      <c r="H20183" s="2">
        <v>530</v>
      </c>
      <c r="I20183" s="2">
        <v>207</v>
      </c>
      <c r="J20183" s="2">
        <v>1796</v>
      </c>
      <c r="K20183" s="2">
        <v>1</v>
      </c>
      <c r="L20183" s="2">
        <v>528</v>
      </c>
    </row>
    <row r="20184" spans="1:12" x14ac:dyDescent="0.25">
      <c r="A20184" s="4" t="str">
        <f>HYPERLINK("http://www.rosaceae.org/Prunus/Prunus_persica/p.persica_gdr_reftransV1_0008464","p.persica_gdr_reftransV1_0008464")</f>
        <v>p.persica_gdr_reftransV1_0008464</v>
      </c>
      <c r="B20184" s="2">
        <v>581</v>
      </c>
      <c r="C20184" s="4" t="str">
        <f>HYPERLINK("http://www.uniprot.org/uniprot/M5XH21","M5XH21")</f>
        <v>M5XH21</v>
      </c>
      <c r="D20184" s="2" t="s">
        <v>15302</v>
      </c>
      <c r="E20184" s="3">
        <v>1.4100000000000001E-101</v>
      </c>
      <c r="F20184" s="2">
        <v>821</v>
      </c>
      <c r="G20184" s="2">
        <v>100</v>
      </c>
      <c r="H20184" s="2">
        <v>155</v>
      </c>
      <c r="I20184" s="2">
        <v>3</v>
      </c>
      <c r="J20184" s="2">
        <v>467</v>
      </c>
      <c r="K20184" s="2">
        <v>597</v>
      </c>
      <c r="L20184" s="2">
        <v>751</v>
      </c>
    </row>
    <row r="20185" spans="1:12" x14ac:dyDescent="0.25">
      <c r="A20185" s="4" t="str">
        <f>HYPERLINK("http://www.rosaceae.org/Prunus/Prunus_persica/p.persica_gdr_reftransV1_0008814","p.persica_gdr_reftransV1_0008814")</f>
        <v>p.persica_gdr_reftransV1_0008814</v>
      </c>
      <c r="B20185" s="2">
        <v>3553</v>
      </c>
      <c r="C20185" s="4" t="str">
        <f>HYPERLINK("http://www.uniprot.org/uniprot/M5WP40","M5WP40")</f>
        <v>M5WP40</v>
      </c>
      <c r="D20185" s="2" t="s">
        <v>15303</v>
      </c>
      <c r="E20185" s="3">
        <v>0</v>
      </c>
      <c r="F20185" s="2">
        <v>2737</v>
      </c>
      <c r="G20185" s="2">
        <v>100</v>
      </c>
      <c r="H20185" s="2">
        <v>548</v>
      </c>
      <c r="I20185" s="2">
        <v>447</v>
      </c>
      <c r="J20185" s="2">
        <v>2090</v>
      </c>
      <c r="K20185" s="2">
        <v>1</v>
      </c>
      <c r="L20185" s="2">
        <v>548</v>
      </c>
    </row>
    <row r="20186" spans="1:12" x14ac:dyDescent="0.25">
      <c r="A20186" s="4" t="str">
        <f>HYPERLINK("http://www.rosaceae.org/Prunus/Prunus_persica/p.persica_gdr_reftransV1_0009514","p.persica_gdr_reftransV1_0009514")</f>
        <v>p.persica_gdr_reftransV1_0009514</v>
      </c>
      <c r="B20186" s="2">
        <v>552</v>
      </c>
      <c r="C20186" s="4" t="str">
        <f>HYPERLINK("http://www.uniprot.org/uniprot/M5WDL3","M5WDL3")</f>
        <v>M5WDL3</v>
      </c>
      <c r="D20186" s="2" t="s">
        <v>15304</v>
      </c>
      <c r="E20186" s="3">
        <v>3.2399999999999998E-97</v>
      </c>
      <c r="F20186" s="2">
        <v>768</v>
      </c>
      <c r="G20186" s="2">
        <v>100</v>
      </c>
      <c r="H20186" s="2">
        <v>142</v>
      </c>
      <c r="I20186" s="2">
        <v>3</v>
      </c>
      <c r="J20186" s="2">
        <v>428</v>
      </c>
      <c r="K20186" s="2">
        <v>1</v>
      </c>
      <c r="L20186" s="2">
        <v>142</v>
      </c>
    </row>
    <row r="20187" spans="1:12" x14ac:dyDescent="0.25">
      <c r="A20187" s="4" t="str">
        <f>HYPERLINK("http://www.rosaceae.org/Prunus/Prunus_persica/p.persica_gdr_reftransV1_0010214","p.persica_gdr_reftransV1_0010214")</f>
        <v>p.persica_gdr_reftransV1_0010214</v>
      </c>
      <c r="B20187" s="2">
        <v>406</v>
      </c>
      <c r="C20187" s="4" t="str">
        <f>HYPERLINK("http://www.uniprot.org/uniprot/B9RML4","B9RML4")</f>
        <v>B9RML4</v>
      </c>
      <c r="D20187" s="2" t="s">
        <v>15305</v>
      </c>
      <c r="E20187" s="3">
        <v>8.7599999999999996E-30</v>
      </c>
      <c r="F20187" s="2">
        <v>303</v>
      </c>
      <c r="G20187" s="2">
        <v>43</v>
      </c>
      <c r="H20187" s="2">
        <v>141</v>
      </c>
      <c r="I20187" s="2">
        <v>2</v>
      </c>
      <c r="J20187" s="2">
        <v>406</v>
      </c>
      <c r="K20187" s="2">
        <v>268</v>
      </c>
      <c r="L20187" s="2">
        <v>408</v>
      </c>
    </row>
    <row r="20188" spans="1:12" x14ac:dyDescent="0.25">
      <c r="A20188" s="4" t="str">
        <f>HYPERLINK("http://www.rosaceae.org/Prunus/Prunus_persica/p.persica_gdr_reftransV1_0011264","p.persica_gdr_reftransV1_0011264")</f>
        <v>p.persica_gdr_reftransV1_0011264</v>
      </c>
      <c r="B20188" s="2">
        <v>1281</v>
      </c>
      <c r="C20188" s="4" t="str">
        <f>HYPERLINK("http://www.uniprot.org/uniprot/M5VP74","M5VP74")</f>
        <v>M5VP74</v>
      </c>
      <c r="D20188" s="2" t="s">
        <v>6551</v>
      </c>
      <c r="E20188" s="3">
        <v>0</v>
      </c>
      <c r="F20188" s="2">
        <v>1475</v>
      </c>
      <c r="G20188" s="2">
        <v>100</v>
      </c>
      <c r="H20188" s="2">
        <v>306</v>
      </c>
      <c r="I20188" s="2">
        <v>363</v>
      </c>
      <c r="J20188" s="2">
        <v>1280</v>
      </c>
      <c r="K20188" s="2">
        <v>324</v>
      </c>
      <c r="L20188" s="2">
        <v>629</v>
      </c>
    </row>
    <row r="20189" spans="1:12" x14ac:dyDescent="0.25">
      <c r="A20189" s="4" t="str">
        <f>HYPERLINK("http://www.rosaceae.org/Prunus/Prunus_persica/p.persica_gdr_reftransV1_0011964","p.persica_gdr_reftransV1_0011964")</f>
        <v>p.persica_gdr_reftransV1_0011964</v>
      </c>
      <c r="B20189" s="2">
        <v>1328</v>
      </c>
      <c r="C20189" s="4" t="str">
        <f>HYPERLINK("http://www.uniprot.org/uniprot/M5XWP6","M5XWP6")</f>
        <v>M5XWP6</v>
      </c>
      <c r="D20189" s="2" t="s">
        <v>15306</v>
      </c>
      <c r="E20189" s="3">
        <v>1.6299999999999999E-73</v>
      </c>
      <c r="F20189" s="2">
        <v>622</v>
      </c>
      <c r="G20189" s="2">
        <v>100</v>
      </c>
      <c r="H20189" s="2">
        <v>201</v>
      </c>
      <c r="I20189" s="2">
        <v>242</v>
      </c>
      <c r="J20189" s="2">
        <v>844</v>
      </c>
      <c r="K20189" s="2">
        <v>86</v>
      </c>
      <c r="L20189" s="2">
        <v>286</v>
      </c>
    </row>
    <row r="20190" spans="1:12" x14ac:dyDescent="0.25">
      <c r="A20190" s="4" t="str">
        <f>HYPERLINK("http://www.rosaceae.org/Prunus/Prunus_persica/p.persica_gdr_reftransV1_0013014","p.persica_gdr_reftransV1_0013014")</f>
        <v>p.persica_gdr_reftransV1_0013014</v>
      </c>
      <c r="B20190" s="2">
        <v>2675</v>
      </c>
      <c r="C20190" s="4" t="str">
        <f>HYPERLINK("http://www.uniprot.org/uniprot/M5W742","M5W742")</f>
        <v>M5W742</v>
      </c>
      <c r="D20190" s="2" t="s">
        <v>15307</v>
      </c>
      <c r="E20190" s="3">
        <v>0</v>
      </c>
      <c r="F20190" s="2">
        <v>2807</v>
      </c>
      <c r="G20190" s="2">
        <v>100</v>
      </c>
      <c r="H20190" s="2">
        <v>549</v>
      </c>
      <c r="I20190" s="2">
        <v>603</v>
      </c>
      <c r="J20190" s="2">
        <v>2249</v>
      </c>
      <c r="K20190" s="2">
        <v>65</v>
      </c>
      <c r="L20190" s="2">
        <v>613</v>
      </c>
    </row>
    <row r="20191" spans="1:12" x14ac:dyDescent="0.25">
      <c r="A20191" s="4" t="str">
        <f>HYPERLINK("http://www.rosaceae.org/Prunus/Prunus_persica/p.persica_gdr_reftransV1_0013364","p.persica_gdr_reftransV1_0013364")</f>
        <v>p.persica_gdr_reftransV1_0013364</v>
      </c>
      <c r="B20191" s="2">
        <v>2721</v>
      </c>
      <c r="C20191" s="4" t="str">
        <f>HYPERLINK("http://www.uniprot.org/uniprot/M5WPB0","M5WPB0")</f>
        <v>M5WPB0</v>
      </c>
      <c r="D20191" s="2" t="s">
        <v>15308</v>
      </c>
      <c r="E20191" s="3">
        <v>0</v>
      </c>
      <c r="F20191" s="2">
        <v>2099</v>
      </c>
      <c r="G20191" s="2">
        <v>100</v>
      </c>
      <c r="H20191" s="2">
        <v>449</v>
      </c>
      <c r="I20191" s="2">
        <v>618</v>
      </c>
      <c r="J20191" s="2">
        <v>1964</v>
      </c>
      <c r="K20191" s="2">
        <v>1</v>
      </c>
      <c r="L20191" s="2">
        <v>449</v>
      </c>
    </row>
    <row r="20192" spans="1:12" x14ac:dyDescent="0.25">
      <c r="A20192" s="4" t="str">
        <f>HYPERLINK("http://www.rosaceae.org/Prunus/Prunus_persica/p.persica_gdr_reftransV1_0013714","p.persica_gdr_reftransV1_0013714")</f>
        <v>p.persica_gdr_reftransV1_0013714</v>
      </c>
      <c r="B20192" s="2">
        <v>949</v>
      </c>
      <c r="C20192" s="4" t="str">
        <f>HYPERLINK("http://www.uniprot.org/uniprot/M5Y2E6","M5Y2E6")</f>
        <v>M5Y2E6</v>
      </c>
      <c r="D20192" s="2" t="s">
        <v>15309</v>
      </c>
      <c r="E20192" s="3">
        <v>1.0099999999999999E-74</v>
      </c>
      <c r="F20192" s="2">
        <v>624</v>
      </c>
      <c r="G20192" s="2">
        <v>77</v>
      </c>
      <c r="H20192" s="2">
        <v>210</v>
      </c>
      <c r="I20192" s="2">
        <v>321</v>
      </c>
      <c r="J20192" s="2">
        <v>947</v>
      </c>
      <c r="K20192" s="2">
        <v>177</v>
      </c>
      <c r="L20192" s="2">
        <v>347</v>
      </c>
    </row>
    <row r="20193" spans="1:12" x14ac:dyDescent="0.25">
      <c r="A20193" s="4" t="str">
        <f>HYPERLINK("http://www.rosaceae.org/Prunus/Prunus_persica/p.persica_gdr_reftransV1_0015814","p.persica_gdr_reftransV1_0015814")</f>
        <v>p.persica_gdr_reftransV1_0015814</v>
      </c>
      <c r="B20193" s="2">
        <v>1916</v>
      </c>
      <c r="C20193" s="4" t="str">
        <f>HYPERLINK("http://www.uniprot.org/uniprot/M5W6U4","M5W6U4")</f>
        <v>M5W6U4</v>
      </c>
      <c r="D20193" s="2" t="s">
        <v>1781</v>
      </c>
      <c r="E20193" s="3">
        <v>7.5499999999999995E-60</v>
      </c>
      <c r="F20193" s="2">
        <v>560</v>
      </c>
      <c r="G20193" s="2">
        <v>100</v>
      </c>
      <c r="H20193" s="2">
        <v>104</v>
      </c>
      <c r="I20193" s="2">
        <v>3</v>
      </c>
      <c r="J20193" s="2">
        <v>314</v>
      </c>
      <c r="K20193" s="2">
        <v>429</v>
      </c>
      <c r="L20193" s="2">
        <v>532</v>
      </c>
    </row>
    <row r="20194" spans="1:12" x14ac:dyDescent="0.25">
      <c r="A20194" s="4" t="str">
        <f>HYPERLINK("http://www.rosaceae.org/Prunus/Prunus_persica/p.persica_gdr_reftransV1_0016164","p.persica_gdr_reftransV1_0016164")</f>
        <v>p.persica_gdr_reftransV1_0016164</v>
      </c>
      <c r="B20194" s="2">
        <v>5760</v>
      </c>
      <c r="C20194" s="4" t="str">
        <f>HYPERLINK("http://www.uniprot.org/uniprot/M5X3M3","M5X3M3")</f>
        <v>M5X3M3</v>
      </c>
      <c r="D20194" s="2" t="s">
        <v>11719</v>
      </c>
      <c r="E20194" s="3">
        <v>0</v>
      </c>
      <c r="F20194" s="2">
        <v>2432</v>
      </c>
      <c r="G20194" s="2">
        <v>100</v>
      </c>
      <c r="H20194" s="2">
        <v>461</v>
      </c>
      <c r="I20194" s="2">
        <v>241</v>
      </c>
      <c r="J20194" s="2">
        <v>1623</v>
      </c>
      <c r="K20194" s="2">
        <v>415</v>
      </c>
      <c r="L20194" s="2">
        <v>875</v>
      </c>
    </row>
    <row r="20195" spans="1:12" x14ac:dyDescent="0.25">
      <c r="A20195" s="4" t="str">
        <f>HYPERLINK("http://www.rosaceae.org/Prunus/Prunus_persica/p.persica_gdr_reftransV1_0016514","p.persica_gdr_reftransV1_0016514")</f>
        <v>p.persica_gdr_reftransV1_0016514</v>
      </c>
      <c r="B20195" s="2">
        <v>989</v>
      </c>
      <c r="C20195" s="4" t="str">
        <f>HYPERLINK("http://www.uniprot.org/uniprot/M5WP27","M5WP27")</f>
        <v>M5WP27</v>
      </c>
      <c r="D20195" s="2" t="s">
        <v>15310</v>
      </c>
      <c r="E20195" s="3">
        <v>1.4700000000000001E-129</v>
      </c>
      <c r="F20195" s="2">
        <v>976</v>
      </c>
      <c r="G20195" s="2">
        <v>96</v>
      </c>
      <c r="H20195" s="2">
        <v>206</v>
      </c>
      <c r="I20195" s="2">
        <v>200</v>
      </c>
      <c r="J20195" s="2">
        <v>817</v>
      </c>
      <c r="K20195" s="2">
        <v>1</v>
      </c>
      <c r="L20195" s="2">
        <v>206</v>
      </c>
    </row>
    <row r="20196" spans="1:12" x14ac:dyDescent="0.25">
      <c r="A20196" s="4" t="str">
        <f>HYPERLINK("http://www.rosaceae.org/Prunus/Prunus_persica/p.persica_gdr_reftransV1_0017214","p.persica_gdr_reftransV1_0017214")</f>
        <v>p.persica_gdr_reftransV1_0017214</v>
      </c>
      <c r="B20196" s="2">
        <v>1626</v>
      </c>
      <c r="C20196" s="4" t="str">
        <f>HYPERLINK("http://www.uniprot.org/uniprot/M5X0H7","M5X0H7")</f>
        <v>M5X0H7</v>
      </c>
      <c r="D20196" s="2" t="s">
        <v>15311</v>
      </c>
      <c r="E20196" s="3">
        <v>4.2099999999999997E-48</v>
      </c>
      <c r="F20196" s="2">
        <v>356</v>
      </c>
      <c r="G20196" s="2">
        <v>92</v>
      </c>
      <c r="H20196" s="2">
        <v>76</v>
      </c>
      <c r="I20196" s="2">
        <v>222</v>
      </c>
      <c r="J20196" s="2">
        <v>449</v>
      </c>
      <c r="K20196" s="2">
        <v>13</v>
      </c>
      <c r="L20196" s="2">
        <v>88</v>
      </c>
    </row>
    <row r="20197" spans="1:12" x14ac:dyDescent="0.25">
      <c r="A20197" s="4" t="str">
        <f>HYPERLINK("http://www.rosaceae.org/Prunus/Prunus_persica/p.persica_gdr_reftransV1_0020014","p.persica_gdr_reftransV1_0020014")</f>
        <v>p.persica_gdr_reftransV1_0020014</v>
      </c>
      <c r="B20197" s="2">
        <v>1912</v>
      </c>
      <c r="C20197" s="4" t="str">
        <f>HYPERLINK("http://www.uniprot.org/uniprot/M5XLJ2","M5XLJ2")</f>
        <v>M5XLJ2</v>
      </c>
      <c r="D20197" s="2" t="s">
        <v>15312</v>
      </c>
      <c r="E20197" s="3">
        <v>0</v>
      </c>
      <c r="F20197" s="2">
        <v>2555</v>
      </c>
      <c r="G20197" s="2">
        <v>100</v>
      </c>
      <c r="H20197" s="2">
        <v>502</v>
      </c>
      <c r="I20197" s="2">
        <v>45</v>
      </c>
      <c r="J20197" s="2">
        <v>1550</v>
      </c>
      <c r="K20197" s="2">
        <v>1</v>
      </c>
      <c r="L20197" s="2">
        <v>502</v>
      </c>
    </row>
    <row r="20198" spans="1:12" x14ac:dyDescent="0.25">
      <c r="A20198" s="4" t="str">
        <f>HYPERLINK("http://www.rosaceae.org/Prunus/Prunus_persica/p.persica_gdr_reftransV1_0021064","p.persica_gdr_reftransV1_0021064")</f>
        <v>p.persica_gdr_reftransV1_0021064</v>
      </c>
      <c r="B20198" s="2">
        <v>2155</v>
      </c>
      <c r="C20198" s="4" t="str">
        <f>HYPERLINK("http://www.uniprot.org/uniprot/M5VNG2","M5VNG2")</f>
        <v>M5VNG2</v>
      </c>
      <c r="D20198" s="2" t="s">
        <v>3826</v>
      </c>
      <c r="E20198" s="3">
        <v>4.6000000000000002E-106</v>
      </c>
      <c r="F20198" s="2">
        <v>859</v>
      </c>
      <c r="G20198" s="2">
        <v>100</v>
      </c>
      <c r="H20198" s="2">
        <v>177</v>
      </c>
      <c r="I20198" s="2">
        <v>774</v>
      </c>
      <c r="J20198" s="2">
        <v>1304</v>
      </c>
      <c r="K20198" s="2">
        <v>3</v>
      </c>
      <c r="L20198" s="2">
        <v>179</v>
      </c>
    </row>
    <row r="20199" spans="1:12" x14ac:dyDescent="0.25">
      <c r="A20199" s="4" t="str">
        <f>HYPERLINK("http://www.rosaceae.org/Prunus/Prunus_persica/p.persica_gdr_reftransV1_0021764","p.persica_gdr_reftransV1_0021764")</f>
        <v>p.persica_gdr_reftransV1_0021764</v>
      </c>
      <c r="B20199" s="2">
        <v>692</v>
      </c>
      <c r="C20199" s="4" t="str">
        <f>HYPERLINK("http://www.uniprot.org/uniprot/M5VMQ7","M5VMQ7")</f>
        <v>M5VMQ7</v>
      </c>
      <c r="D20199" s="2" t="s">
        <v>11165</v>
      </c>
      <c r="E20199" s="3">
        <v>1.61E-61</v>
      </c>
      <c r="F20199" s="2">
        <v>509</v>
      </c>
      <c r="G20199" s="2">
        <v>100</v>
      </c>
      <c r="H20199" s="2">
        <v>114</v>
      </c>
      <c r="I20199" s="2">
        <v>273</v>
      </c>
      <c r="J20199" s="2">
        <v>614</v>
      </c>
      <c r="K20199" s="2">
        <v>18</v>
      </c>
      <c r="L20199" s="2">
        <v>131</v>
      </c>
    </row>
    <row r="20200" spans="1:12" x14ac:dyDescent="0.25">
      <c r="A20200" s="4" t="str">
        <f>HYPERLINK("http://www.rosaceae.org/Prunus/Prunus_persica/p.persica_gdr_reftransV1_0023864","p.persica_gdr_reftransV1_0023864")</f>
        <v>p.persica_gdr_reftransV1_0023864</v>
      </c>
      <c r="B20200" s="2">
        <v>2160</v>
      </c>
      <c r="C20200" s="4" t="str">
        <f>HYPERLINK("http://www.uniprot.org/uniprot/M5W4E9","M5W4E9")</f>
        <v>M5W4E9</v>
      </c>
      <c r="D20200" s="2" t="s">
        <v>15313</v>
      </c>
      <c r="E20200" s="3">
        <v>1.2999999999999999E-110</v>
      </c>
      <c r="F20200" s="2">
        <v>896</v>
      </c>
      <c r="G20200" s="2">
        <v>93</v>
      </c>
      <c r="H20200" s="2">
        <v>217</v>
      </c>
      <c r="I20200" s="2">
        <v>1174</v>
      </c>
      <c r="J20200" s="2">
        <v>1824</v>
      </c>
      <c r="K20200" s="2">
        <v>43</v>
      </c>
      <c r="L20200" s="2">
        <v>247</v>
      </c>
    </row>
    <row r="20201" spans="1:12" x14ac:dyDescent="0.25">
      <c r="A20201" s="4" t="str">
        <f>HYPERLINK("http://www.rosaceae.org/Prunus/Prunus_persica/p.persica_gdr_reftransV1_0024914","p.persica_gdr_reftransV1_0024914")</f>
        <v>p.persica_gdr_reftransV1_0024914</v>
      </c>
      <c r="B20201" s="2">
        <v>2583</v>
      </c>
      <c r="C20201" s="4" t="str">
        <f>HYPERLINK("http://www.uniprot.org/uniprot/M5W2S2","M5W2S2")</f>
        <v>M5W2S2</v>
      </c>
      <c r="D20201" s="2" t="s">
        <v>15314</v>
      </c>
      <c r="E20201" s="3">
        <v>8.3700000000000001E-95</v>
      </c>
      <c r="F20201" s="2">
        <v>800</v>
      </c>
      <c r="G20201" s="2">
        <v>100</v>
      </c>
      <c r="H20201" s="2">
        <v>149</v>
      </c>
      <c r="I20201" s="2">
        <v>2003</v>
      </c>
      <c r="J20201" s="2">
        <v>2449</v>
      </c>
      <c r="K20201" s="2">
        <v>20</v>
      </c>
      <c r="L20201" s="2">
        <v>168</v>
      </c>
    </row>
    <row r="20202" spans="1:12" x14ac:dyDescent="0.25">
      <c r="A20202" s="4" t="str">
        <f>HYPERLINK("http://www.rosaceae.org/Prunus/Prunus_persica/p.persica_gdr_reftransV1_0025964","p.persica_gdr_reftransV1_0025964")</f>
        <v>p.persica_gdr_reftransV1_0025964</v>
      </c>
      <c r="B20202" s="2">
        <v>6651</v>
      </c>
      <c r="C20202" s="4" t="str">
        <f>HYPERLINK("http://www.uniprot.org/uniprot/M5XZX1","M5XZX1")</f>
        <v>M5XZX1</v>
      </c>
      <c r="D20202" s="2" t="s">
        <v>15315</v>
      </c>
      <c r="E20202" s="3">
        <v>0</v>
      </c>
      <c r="F20202" s="2">
        <v>6638</v>
      </c>
      <c r="G20202" s="2">
        <v>97</v>
      </c>
      <c r="H20202" s="2">
        <v>1529</v>
      </c>
      <c r="I20202" s="2">
        <v>294</v>
      </c>
      <c r="J20202" s="2">
        <v>4880</v>
      </c>
      <c r="K20202" s="2">
        <v>1</v>
      </c>
      <c r="L20202" s="2">
        <v>1484</v>
      </c>
    </row>
    <row r="20203" spans="1:12" x14ac:dyDescent="0.25">
      <c r="A20203" s="4" t="str">
        <f>HYPERLINK("http://www.rosaceae.org/Prunus/Prunus_persica/p.persica_gdr_reftransV1_0026664","p.persica_gdr_reftransV1_0026664")</f>
        <v>p.persica_gdr_reftransV1_0026664</v>
      </c>
      <c r="B20203" s="2">
        <v>2514</v>
      </c>
      <c r="C20203" s="4" t="str">
        <f>HYPERLINK("http://www.uniprot.org/uniprot/M5XJR7","M5XJR7")</f>
        <v>M5XJR7</v>
      </c>
      <c r="D20203" s="2" t="s">
        <v>15316</v>
      </c>
      <c r="E20203" s="3">
        <v>0</v>
      </c>
      <c r="F20203" s="2">
        <v>3397</v>
      </c>
      <c r="G20203" s="2">
        <v>100</v>
      </c>
      <c r="H20203" s="2">
        <v>649</v>
      </c>
      <c r="I20203" s="2">
        <v>217</v>
      </c>
      <c r="J20203" s="2">
        <v>2163</v>
      </c>
      <c r="K20203" s="2">
        <v>1</v>
      </c>
      <c r="L20203" s="2">
        <v>649</v>
      </c>
    </row>
    <row r="20204" spans="1:12" x14ac:dyDescent="0.25">
      <c r="A20204" s="4" t="str">
        <f>HYPERLINK("http://www.rosaceae.org/Prunus/Prunus_persica/p.persica_gdr_reftransV1_0027014","p.persica_gdr_reftransV1_0027014")</f>
        <v>p.persica_gdr_reftransV1_0027014</v>
      </c>
      <c r="B20204" s="2">
        <v>1376</v>
      </c>
      <c r="C20204" s="4" t="str">
        <f>HYPERLINK("http://www.uniprot.org/uniprot/M5WMY4","M5WMY4")</f>
        <v>M5WMY4</v>
      </c>
      <c r="D20204" s="2" t="s">
        <v>15317</v>
      </c>
      <c r="E20204" s="3">
        <v>3.1300000000000001E-139</v>
      </c>
      <c r="F20204" s="2">
        <v>1061</v>
      </c>
      <c r="G20204" s="2">
        <v>94</v>
      </c>
      <c r="H20204" s="2">
        <v>293</v>
      </c>
      <c r="I20204" s="2">
        <v>73</v>
      </c>
      <c r="J20204" s="2">
        <v>951</v>
      </c>
      <c r="K20204" s="2">
        <v>1</v>
      </c>
      <c r="L20204" s="2">
        <v>283</v>
      </c>
    </row>
    <row r="20205" spans="1:12" x14ac:dyDescent="0.25">
      <c r="A20205" s="4" t="str">
        <f>HYPERLINK("http://www.rosaceae.org/Prunus/Prunus_persica/p.persica_gdr_reftransV1_0029464","p.persica_gdr_reftransV1_0029464")</f>
        <v>p.persica_gdr_reftransV1_0029464</v>
      </c>
      <c r="B20205" s="2">
        <v>3317</v>
      </c>
      <c r="C20205" s="4" t="str">
        <f>HYPERLINK("http://www.uniprot.org/uniprot/M5Y002","M5Y002")</f>
        <v>M5Y002</v>
      </c>
      <c r="D20205" s="2" t="s">
        <v>15318</v>
      </c>
      <c r="E20205" s="3">
        <v>0</v>
      </c>
      <c r="F20205" s="2">
        <v>2497</v>
      </c>
      <c r="G20205" s="2">
        <v>92</v>
      </c>
      <c r="H20205" s="2">
        <v>514</v>
      </c>
      <c r="I20205" s="2">
        <v>1438</v>
      </c>
      <c r="J20205" s="2">
        <v>2979</v>
      </c>
      <c r="K20205" s="2">
        <v>12</v>
      </c>
      <c r="L20205" s="2">
        <v>485</v>
      </c>
    </row>
    <row r="20206" spans="1:12" x14ac:dyDescent="0.25">
      <c r="A20206" s="4" t="str">
        <f>HYPERLINK("http://www.rosaceae.org/Prunus/Prunus_persica/p.persica_gdr_reftransV1_0030514","p.persica_gdr_reftransV1_0030514")</f>
        <v>p.persica_gdr_reftransV1_0030514</v>
      </c>
      <c r="B20206" s="2">
        <v>2975</v>
      </c>
      <c r="C20206" s="4" t="str">
        <f>HYPERLINK("http://www.uniprot.org/uniprot/M5XMF3","M5XMF3")</f>
        <v>M5XMF3</v>
      </c>
      <c r="D20206" s="2" t="s">
        <v>15186</v>
      </c>
      <c r="E20206" s="3">
        <v>2.92E-137</v>
      </c>
      <c r="F20206" s="2">
        <v>1114</v>
      </c>
      <c r="G20206" s="2">
        <v>100</v>
      </c>
      <c r="H20206" s="2">
        <v>258</v>
      </c>
      <c r="I20206" s="2">
        <v>2086</v>
      </c>
      <c r="J20206" s="2">
        <v>2859</v>
      </c>
      <c r="K20206" s="2">
        <v>1</v>
      </c>
      <c r="L20206" s="2">
        <v>258</v>
      </c>
    </row>
    <row r="20207" spans="1:12" x14ac:dyDescent="0.25">
      <c r="A20207" s="4" t="str">
        <f>HYPERLINK("http://www.rosaceae.org/Prunus/Prunus_persica/p.persica_gdr_reftransV1_0031214","p.persica_gdr_reftransV1_0031214")</f>
        <v>p.persica_gdr_reftransV1_0031214</v>
      </c>
      <c r="B20207" s="2">
        <v>3126</v>
      </c>
      <c r="C20207" s="4" t="str">
        <f>HYPERLINK("http://www.uniprot.org/uniprot/M5W741","M5W741")</f>
        <v>M5W741</v>
      </c>
      <c r="D20207" s="2" t="s">
        <v>13139</v>
      </c>
      <c r="E20207" s="3">
        <v>0</v>
      </c>
      <c r="F20207" s="2">
        <v>3731</v>
      </c>
      <c r="G20207" s="2">
        <v>100</v>
      </c>
      <c r="H20207" s="2">
        <v>750</v>
      </c>
      <c r="I20207" s="2">
        <v>812</v>
      </c>
      <c r="J20207" s="2">
        <v>3061</v>
      </c>
      <c r="K20207" s="2">
        <v>1</v>
      </c>
      <c r="L20207" s="2">
        <v>750</v>
      </c>
    </row>
    <row r="20208" spans="1:12" x14ac:dyDescent="0.25">
      <c r="A20208" s="4" t="str">
        <f>HYPERLINK("http://www.rosaceae.org/Prunus/Prunus_persica/p.persica_gdr_reftransV1_0031564","p.persica_gdr_reftransV1_0031564")</f>
        <v>p.persica_gdr_reftransV1_0031564</v>
      </c>
      <c r="B20208" s="2">
        <v>447</v>
      </c>
      <c r="C20208" s="4" t="str">
        <f>HYPERLINK("http://www.uniprot.org/uniprot/M5W4J7","M5W4J7")</f>
        <v>M5W4J7</v>
      </c>
      <c r="D20208" s="2" t="s">
        <v>15319</v>
      </c>
      <c r="E20208" s="3">
        <v>1.6899999999999999E-87</v>
      </c>
      <c r="F20208" s="2">
        <v>707</v>
      </c>
      <c r="G20208" s="2">
        <v>100</v>
      </c>
      <c r="H20208" s="2">
        <v>148</v>
      </c>
      <c r="I20208" s="2">
        <v>2</v>
      </c>
      <c r="J20208" s="2">
        <v>445</v>
      </c>
      <c r="K20208" s="2">
        <v>306</v>
      </c>
      <c r="L20208" s="2">
        <v>453</v>
      </c>
    </row>
    <row r="20209" spans="1:12" x14ac:dyDescent="0.25">
      <c r="A20209" s="4" t="str">
        <f>HYPERLINK("http://www.rosaceae.org/Prunus/Prunus_persica/p.persica_gdr_reftransV1_0032264","p.persica_gdr_reftransV1_0032264")</f>
        <v>p.persica_gdr_reftransV1_0032264</v>
      </c>
      <c r="B20209" s="2">
        <v>917</v>
      </c>
      <c r="C20209" s="4" t="str">
        <f>HYPERLINK("http://www.uniprot.org/uniprot/M5VRF4","M5VRF4")</f>
        <v>M5VRF4</v>
      </c>
      <c r="D20209" s="2" t="s">
        <v>15320</v>
      </c>
      <c r="E20209" s="3">
        <v>2.06E-103</v>
      </c>
      <c r="F20209" s="2">
        <v>796</v>
      </c>
      <c r="G20209" s="2">
        <v>99</v>
      </c>
      <c r="H20209" s="2">
        <v>153</v>
      </c>
      <c r="I20209" s="2">
        <v>376</v>
      </c>
      <c r="J20209" s="2">
        <v>834</v>
      </c>
      <c r="K20209" s="2">
        <v>1</v>
      </c>
      <c r="L20209" s="2">
        <v>153</v>
      </c>
    </row>
    <row r="20210" spans="1:12" x14ac:dyDescent="0.25">
      <c r="A20210" s="4" t="str">
        <f>HYPERLINK("http://www.rosaceae.org/Prunus/Prunus_persica/p.persica_gdr_reftransV1_0032964","p.persica_gdr_reftransV1_0032964")</f>
        <v>p.persica_gdr_reftransV1_0032964</v>
      </c>
      <c r="B20210" s="2">
        <v>1041</v>
      </c>
      <c r="C20210" s="4" t="str">
        <f>HYPERLINK("http://www.uniprot.org/uniprot/G3GAW0","G3GAW0")</f>
        <v>G3GAW0</v>
      </c>
      <c r="D20210" s="2" t="s">
        <v>15321</v>
      </c>
      <c r="E20210" s="3">
        <v>1.33E-98</v>
      </c>
      <c r="F20210" s="2">
        <v>770</v>
      </c>
      <c r="G20210" s="2">
        <v>100</v>
      </c>
      <c r="H20210" s="2">
        <v>144</v>
      </c>
      <c r="I20210" s="2">
        <v>196</v>
      </c>
      <c r="J20210" s="2">
        <v>627</v>
      </c>
      <c r="K20210" s="2">
        <v>21</v>
      </c>
      <c r="L20210" s="2">
        <v>164</v>
      </c>
    </row>
    <row r="20211" spans="1:12" x14ac:dyDescent="0.25">
      <c r="A20211" s="4" t="str">
        <f>HYPERLINK("http://www.rosaceae.org/Prunus/Prunus_persica/p.persica_gdr_reftransV1_0033314","p.persica_gdr_reftransV1_0033314")</f>
        <v>p.persica_gdr_reftransV1_0033314</v>
      </c>
      <c r="B20211" s="2">
        <v>6857</v>
      </c>
      <c r="C20211" s="4" t="str">
        <f>HYPERLINK("http://www.uniprot.org/uniprot/M5W270","M5W270")</f>
        <v>M5W270</v>
      </c>
      <c r="D20211" s="2" t="s">
        <v>2238</v>
      </c>
      <c r="E20211" s="3">
        <v>0</v>
      </c>
      <c r="F20211" s="2">
        <v>10082</v>
      </c>
      <c r="G20211" s="2">
        <v>100</v>
      </c>
      <c r="H20211" s="2">
        <v>1983</v>
      </c>
      <c r="I20211" s="2">
        <v>302</v>
      </c>
      <c r="J20211" s="2">
        <v>6250</v>
      </c>
      <c r="K20211" s="2">
        <v>1</v>
      </c>
      <c r="L20211" s="2">
        <v>1983</v>
      </c>
    </row>
    <row r="20212" spans="1:12" x14ac:dyDescent="0.25">
      <c r="A20212" s="4" t="str">
        <f>HYPERLINK("http://www.rosaceae.org/Prunus/Prunus_persica/p.persica_gdr_reftransV1_0035764","p.persica_gdr_reftransV1_0035764")</f>
        <v>p.persica_gdr_reftransV1_0035764</v>
      </c>
      <c r="B20212" s="2">
        <v>1146</v>
      </c>
      <c r="C20212" s="4" t="str">
        <f>HYPERLINK("http://www.uniprot.org/uniprot/M5XCA0","M5XCA0")</f>
        <v>M5XCA0</v>
      </c>
      <c r="D20212" s="2" t="s">
        <v>6025</v>
      </c>
      <c r="E20212" s="3">
        <v>9.2099999999999995E-18</v>
      </c>
      <c r="F20212" s="2">
        <v>231</v>
      </c>
      <c r="G20212" s="2">
        <v>100</v>
      </c>
      <c r="H20212" s="2">
        <v>44</v>
      </c>
      <c r="I20212" s="2">
        <v>1015</v>
      </c>
      <c r="J20212" s="2">
        <v>1146</v>
      </c>
      <c r="K20212" s="2">
        <v>316</v>
      </c>
      <c r="L20212" s="2">
        <v>359</v>
      </c>
    </row>
    <row r="20213" spans="1:12" x14ac:dyDescent="0.25">
      <c r="A20213" s="4" t="str">
        <f>HYPERLINK("http://www.rosaceae.org/Prunus/Prunus_persica/p.persica_gdr_reftransV1_0039614","p.persica_gdr_reftransV1_0039614")</f>
        <v>p.persica_gdr_reftransV1_0039614</v>
      </c>
      <c r="B20213" s="2">
        <v>842</v>
      </c>
      <c r="C20213" s="4" t="str">
        <f>HYPERLINK("http://www.uniprot.org/uniprot/M5XS23","M5XS23")</f>
        <v>M5XS23</v>
      </c>
      <c r="D20213" s="2" t="s">
        <v>5223</v>
      </c>
      <c r="E20213" s="3">
        <v>7.1800000000000006E-27</v>
      </c>
      <c r="F20213" s="2">
        <v>274</v>
      </c>
      <c r="G20213" s="2">
        <v>100</v>
      </c>
      <c r="H20213" s="2">
        <v>49</v>
      </c>
      <c r="I20213" s="2">
        <v>99</v>
      </c>
      <c r="J20213" s="2">
        <v>245</v>
      </c>
      <c r="K20213" s="2">
        <v>9</v>
      </c>
      <c r="L20213" s="2">
        <v>57</v>
      </c>
    </row>
    <row r="20214" spans="1:12" x14ac:dyDescent="0.25">
      <c r="A20214" s="4" t="str">
        <f>HYPERLINK("http://www.rosaceae.org/Prunus/Prunus_persica/p.persica_gdr_reftransV1_0041014","p.persica_gdr_reftransV1_0041014")</f>
        <v>p.persica_gdr_reftransV1_0041014</v>
      </c>
      <c r="B20214" s="2">
        <v>3365</v>
      </c>
      <c r="C20214" s="4" t="str">
        <f>HYPERLINK("http://www.uniprot.org/uniprot/M5W6T5","M5W6T5")</f>
        <v>M5W6T5</v>
      </c>
      <c r="D20214" s="2" t="s">
        <v>10217</v>
      </c>
      <c r="E20214" s="3">
        <v>5.8600000000000001E-132</v>
      </c>
      <c r="F20214" s="2">
        <v>1078</v>
      </c>
      <c r="G20214" s="2">
        <v>99</v>
      </c>
      <c r="H20214" s="2">
        <v>249</v>
      </c>
      <c r="I20214" s="2">
        <v>231</v>
      </c>
      <c r="J20214" s="2">
        <v>977</v>
      </c>
      <c r="K20214" s="2">
        <v>170</v>
      </c>
      <c r="L20214" s="2">
        <v>418</v>
      </c>
    </row>
    <row r="20215" spans="1:12" x14ac:dyDescent="0.25">
      <c r="A20215" s="4" t="str">
        <f>HYPERLINK("http://www.rosaceae.org/Prunus/Prunus_persica/p.persica_gdr_reftransV1_0042414","p.persica_gdr_reftransV1_0042414")</f>
        <v>p.persica_gdr_reftransV1_0042414</v>
      </c>
      <c r="B20215" s="2">
        <v>710</v>
      </c>
      <c r="C20215" s="4" t="str">
        <f>HYPERLINK("http://www.uniprot.org/uniprot/M5WBT6","M5WBT6")</f>
        <v>M5WBT6</v>
      </c>
      <c r="D20215" s="2" t="s">
        <v>9220</v>
      </c>
      <c r="E20215" s="3">
        <v>2.7700000000000002E-69</v>
      </c>
      <c r="F20215" s="2">
        <v>578</v>
      </c>
      <c r="G20215" s="2">
        <v>100</v>
      </c>
      <c r="H20215" s="2">
        <v>124</v>
      </c>
      <c r="I20215" s="2">
        <v>337</v>
      </c>
      <c r="J20215" s="2">
        <v>708</v>
      </c>
      <c r="K20215" s="2">
        <v>205</v>
      </c>
      <c r="L20215" s="2">
        <v>328</v>
      </c>
    </row>
    <row r="20216" spans="1:12" x14ac:dyDescent="0.25">
      <c r="A20216" s="4" t="str">
        <f>HYPERLINK("http://www.rosaceae.org/Prunus/Prunus_persica/p.persica_gdr_reftransV1_0043114","p.persica_gdr_reftransV1_0043114")</f>
        <v>p.persica_gdr_reftransV1_0043114</v>
      </c>
      <c r="B20216" s="2">
        <v>965</v>
      </c>
      <c r="C20216" s="4" t="str">
        <f>HYPERLINK("http://www.uniprot.org/uniprot/M5WUJ3","M5WUJ3")</f>
        <v>M5WUJ3</v>
      </c>
      <c r="D20216" s="2" t="s">
        <v>15322</v>
      </c>
      <c r="E20216" s="3">
        <v>9.1799999999999998E-110</v>
      </c>
      <c r="F20216" s="2">
        <v>844</v>
      </c>
      <c r="G20216" s="2">
        <v>100</v>
      </c>
      <c r="H20216" s="2">
        <v>204</v>
      </c>
      <c r="I20216" s="2">
        <v>204</v>
      </c>
      <c r="J20216" s="2">
        <v>815</v>
      </c>
      <c r="K20216" s="2">
        <v>1</v>
      </c>
      <c r="L20216" s="2">
        <v>204</v>
      </c>
    </row>
    <row r="20217" spans="1:12" x14ac:dyDescent="0.25">
      <c r="A20217" s="4" t="str">
        <f>HYPERLINK("http://www.rosaceae.org/Prunus/Prunus_persica/p.persica_gdr_reftransV1_0043464","p.persica_gdr_reftransV1_0043464")</f>
        <v>p.persica_gdr_reftransV1_0043464</v>
      </c>
      <c r="B20217" s="2">
        <v>450</v>
      </c>
      <c r="C20217" s="4" t="str">
        <f>HYPERLINK("http://www.uniprot.org/uniprot/M5VW45","M5VW45")</f>
        <v>M5VW45</v>
      </c>
      <c r="D20217" s="2" t="s">
        <v>15323</v>
      </c>
      <c r="E20217" s="3">
        <v>1.3600000000000001E-9</v>
      </c>
      <c r="F20217" s="2">
        <v>150</v>
      </c>
      <c r="G20217" s="2">
        <v>60</v>
      </c>
      <c r="H20217" s="2">
        <v>43</v>
      </c>
      <c r="I20217" s="2">
        <v>223</v>
      </c>
      <c r="J20217" s="2">
        <v>351</v>
      </c>
      <c r="K20217" s="2">
        <v>90</v>
      </c>
      <c r="L20217" s="2">
        <v>132</v>
      </c>
    </row>
    <row r="20218" spans="1:12" x14ac:dyDescent="0.25">
      <c r="A20218" s="4" t="str">
        <f>HYPERLINK("http://www.rosaceae.org/Prunus/Prunus_persica/p.persica_gdr_reftransV1_0043814","p.persica_gdr_reftransV1_0043814")</f>
        <v>p.persica_gdr_reftransV1_0043814</v>
      </c>
      <c r="B20218" s="2">
        <v>1639</v>
      </c>
      <c r="C20218" s="4" t="str">
        <f>HYPERLINK("http://www.uniprot.org/uniprot/M5XCE1","M5XCE1")</f>
        <v>M5XCE1</v>
      </c>
      <c r="D20218" s="2" t="s">
        <v>15324</v>
      </c>
      <c r="E20218" s="3">
        <v>0</v>
      </c>
      <c r="F20218" s="2">
        <v>2368</v>
      </c>
      <c r="G20218" s="2">
        <v>95</v>
      </c>
      <c r="H20218" s="2">
        <v>485</v>
      </c>
      <c r="I20218" s="2">
        <v>73</v>
      </c>
      <c r="J20218" s="2">
        <v>1527</v>
      </c>
      <c r="K20218" s="2">
        <v>1</v>
      </c>
      <c r="L20218" s="2">
        <v>485</v>
      </c>
    </row>
    <row r="20219" spans="1:12" x14ac:dyDescent="0.25">
      <c r="A20219" s="4" t="str">
        <f>HYPERLINK("http://www.rosaceae.org/Prunus/Prunus_persica/p.persica_gdr_reftransV1_0044164","p.persica_gdr_reftransV1_0044164")</f>
        <v>p.persica_gdr_reftransV1_0044164</v>
      </c>
      <c r="B20219" s="2">
        <v>1017</v>
      </c>
      <c r="C20219" s="4" t="str">
        <f>HYPERLINK("http://www.uniprot.org/uniprot/M5X8V2","M5X8V2")</f>
        <v>M5X8V2</v>
      </c>
      <c r="D20219" s="2" t="s">
        <v>15325</v>
      </c>
      <c r="E20219" s="3">
        <v>2.27E-143</v>
      </c>
      <c r="F20219" s="2">
        <v>1071</v>
      </c>
      <c r="G20219" s="2">
        <v>100</v>
      </c>
      <c r="H20219" s="2">
        <v>217</v>
      </c>
      <c r="I20219" s="2">
        <v>172</v>
      </c>
      <c r="J20219" s="2">
        <v>822</v>
      </c>
      <c r="K20219" s="2">
        <v>14</v>
      </c>
      <c r="L20219" s="2">
        <v>230</v>
      </c>
    </row>
    <row r="20220" spans="1:12" x14ac:dyDescent="0.25">
      <c r="A20220" s="4" t="str">
        <f>HYPERLINK("http://www.rosaceae.org/Prunus/Prunus_persica/p.persica_gdr_reftransV1_0044514","p.persica_gdr_reftransV1_0044514")</f>
        <v>p.persica_gdr_reftransV1_0044514</v>
      </c>
      <c r="B20220" s="2">
        <v>1315</v>
      </c>
      <c r="C20220" s="4" t="str">
        <f>HYPERLINK("http://www.uniprot.org/uniprot/M5XMW6","M5XMW6")</f>
        <v>M5XMW6</v>
      </c>
      <c r="D20220" s="2" t="s">
        <v>15326</v>
      </c>
      <c r="E20220" s="3">
        <v>0</v>
      </c>
      <c r="F20220" s="2">
        <v>1354</v>
      </c>
      <c r="G20220" s="2">
        <v>100</v>
      </c>
      <c r="H20220" s="2">
        <v>330</v>
      </c>
      <c r="I20220" s="2">
        <v>267</v>
      </c>
      <c r="J20220" s="2">
        <v>1256</v>
      </c>
      <c r="K20220" s="2">
        <v>1</v>
      </c>
      <c r="L20220" s="2">
        <v>330</v>
      </c>
    </row>
    <row r="20221" spans="1:12" x14ac:dyDescent="0.25">
      <c r="A20221" s="4" t="str">
        <f>HYPERLINK("http://www.rosaceae.org/Prunus/Prunus_persica/p.persica_gdr_reftransV1_0044864","p.persica_gdr_reftransV1_0044864")</f>
        <v>p.persica_gdr_reftransV1_0044864</v>
      </c>
      <c r="B20221" s="2">
        <v>1338</v>
      </c>
      <c r="C20221" s="4" t="str">
        <f>HYPERLINK("http://www.uniprot.org/uniprot/M5W8Z6","M5W8Z6")</f>
        <v>M5W8Z6</v>
      </c>
      <c r="D20221" s="2" t="s">
        <v>15327</v>
      </c>
      <c r="E20221" s="3">
        <v>7.1599999999999998E-78</v>
      </c>
      <c r="F20221" s="2">
        <v>637</v>
      </c>
      <c r="G20221" s="2">
        <v>100</v>
      </c>
      <c r="H20221" s="2">
        <v>135</v>
      </c>
      <c r="I20221" s="2">
        <v>903</v>
      </c>
      <c r="J20221" s="2">
        <v>1307</v>
      </c>
      <c r="K20221" s="2">
        <v>1</v>
      </c>
      <c r="L20221" s="2">
        <v>135</v>
      </c>
    </row>
    <row r="20222" spans="1:12" x14ac:dyDescent="0.25">
      <c r="A20222" s="4" t="str">
        <f>HYPERLINK("http://www.rosaceae.org/Prunus/Prunus_persica/p.persica_gdr_reftransV1_0045214","p.persica_gdr_reftransV1_0045214")</f>
        <v>p.persica_gdr_reftransV1_0045214</v>
      </c>
      <c r="B20222" s="2">
        <v>779</v>
      </c>
      <c r="C20222" s="4" t="str">
        <f>HYPERLINK("http://www.uniprot.org/uniprot/M5X0G0","M5X0G0")</f>
        <v>M5X0G0</v>
      </c>
      <c r="D20222" s="2" t="s">
        <v>15328</v>
      </c>
      <c r="E20222" s="3">
        <v>5.5699999999999997E-64</v>
      </c>
      <c r="F20222" s="2">
        <v>536</v>
      </c>
      <c r="G20222" s="2">
        <v>100</v>
      </c>
      <c r="H20222" s="2">
        <v>156</v>
      </c>
      <c r="I20222" s="2">
        <v>3</v>
      </c>
      <c r="J20222" s="2">
        <v>470</v>
      </c>
      <c r="K20222" s="2">
        <v>53</v>
      </c>
      <c r="L20222" s="2">
        <v>208</v>
      </c>
    </row>
    <row r="20223" spans="1:12" x14ac:dyDescent="0.25">
      <c r="A20223" s="4" t="str">
        <f>HYPERLINK("http://www.rosaceae.org/Prunus/Prunus_persica/p.persica_gdr_reftransV1_0045564","p.persica_gdr_reftransV1_0045564")</f>
        <v>p.persica_gdr_reftransV1_0045564</v>
      </c>
      <c r="B20223" s="2">
        <v>2412</v>
      </c>
      <c r="C20223" s="4" t="str">
        <f>HYPERLINK("http://www.uniprot.org/uniprot/M5WFR3","M5WFR3")</f>
        <v>M5WFR3</v>
      </c>
      <c r="D20223" s="2" t="s">
        <v>15329</v>
      </c>
      <c r="E20223" s="3">
        <v>0</v>
      </c>
      <c r="F20223" s="2">
        <v>3065</v>
      </c>
      <c r="G20223" s="2">
        <v>99</v>
      </c>
      <c r="H20223" s="2">
        <v>616</v>
      </c>
      <c r="I20223" s="2">
        <v>434</v>
      </c>
      <c r="J20223" s="2">
        <v>2281</v>
      </c>
      <c r="K20223" s="2">
        <v>1</v>
      </c>
      <c r="L20223" s="2">
        <v>608</v>
      </c>
    </row>
    <row r="20224" spans="1:12" x14ac:dyDescent="0.25">
      <c r="A20224" s="4" t="str">
        <f>HYPERLINK("http://www.rosaceae.org/Prunus/Prunus_persica/p.persica_gdr_reftransV1_0045914","p.persica_gdr_reftransV1_0045914")</f>
        <v>p.persica_gdr_reftransV1_0045914</v>
      </c>
      <c r="B20224" s="2">
        <v>2813</v>
      </c>
      <c r="C20224" s="4" t="str">
        <f>HYPERLINK("http://www.uniprot.org/uniprot/M5Y1N5","M5Y1N5")</f>
        <v>M5Y1N5</v>
      </c>
      <c r="D20224" s="2" t="s">
        <v>9308</v>
      </c>
      <c r="E20224" s="3">
        <v>0</v>
      </c>
      <c r="F20224" s="2">
        <v>2981</v>
      </c>
      <c r="G20224" s="2">
        <v>90</v>
      </c>
      <c r="H20224" s="2">
        <v>648</v>
      </c>
      <c r="I20224" s="2">
        <v>672</v>
      </c>
      <c r="J20224" s="2">
        <v>2522</v>
      </c>
      <c r="K20224" s="2">
        <v>1</v>
      </c>
      <c r="L20224" s="2">
        <v>648</v>
      </c>
    </row>
    <row r="20225" spans="1:12" x14ac:dyDescent="0.25">
      <c r="A20225" s="4" t="str">
        <f>HYPERLINK("http://www.rosaceae.org/Prunus/Prunus_persica/p.persica_gdr_reftransV1_0046264","p.persica_gdr_reftransV1_0046264")</f>
        <v>p.persica_gdr_reftransV1_0046264</v>
      </c>
      <c r="B20225" s="2">
        <v>2317</v>
      </c>
      <c r="C20225" s="4" t="str">
        <f>HYPERLINK("http://www.uniprot.org/uniprot/M5VWI3","M5VWI3")</f>
        <v>M5VWI3</v>
      </c>
      <c r="D20225" s="2" t="s">
        <v>11217</v>
      </c>
      <c r="E20225" s="3">
        <v>0</v>
      </c>
      <c r="F20225" s="2">
        <v>2579</v>
      </c>
      <c r="G20225" s="2">
        <v>99</v>
      </c>
      <c r="H20225" s="2">
        <v>486</v>
      </c>
      <c r="I20225" s="2">
        <v>585</v>
      </c>
      <c r="J20225" s="2">
        <v>2042</v>
      </c>
      <c r="K20225" s="2">
        <v>211</v>
      </c>
      <c r="L20225" s="2">
        <v>696</v>
      </c>
    </row>
    <row r="20226" spans="1:12" x14ac:dyDescent="0.25">
      <c r="A20226" s="4" t="str">
        <f>HYPERLINK("http://www.rosaceae.org/Prunus/Prunus_persica/p.persica_gdr_reftransV1_0046614","p.persica_gdr_reftransV1_0046614")</f>
        <v>p.persica_gdr_reftransV1_0046614</v>
      </c>
      <c r="B20226" s="2">
        <v>703</v>
      </c>
      <c r="C20226" s="4" t="str">
        <f>HYPERLINK("http://www.uniprot.org/uniprot/W9RU97","W9RU97")</f>
        <v>W9RU97</v>
      </c>
      <c r="D20226" s="2" t="s">
        <v>15330</v>
      </c>
      <c r="E20226" s="3">
        <v>3.7199999999999998E-23</v>
      </c>
      <c r="F20226" s="2">
        <v>252</v>
      </c>
      <c r="G20226" s="2">
        <v>56</v>
      </c>
      <c r="H20226" s="2">
        <v>128</v>
      </c>
      <c r="I20226" s="2">
        <v>117</v>
      </c>
      <c r="J20226" s="2">
        <v>500</v>
      </c>
      <c r="K20226" s="2">
        <v>20</v>
      </c>
      <c r="L20226" s="2">
        <v>142</v>
      </c>
    </row>
    <row r="20227" spans="1:12" x14ac:dyDescent="0.25">
      <c r="A20227" s="4" t="str">
        <f>HYPERLINK("http://www.rosaceae.org/Prunus/Prunus_persica/p.persica_gdr_reftransV1_0046964","p.persica_gdr_reftransV1_0046964")</f>
        <v>p.persica_gdr_reftransV1_0046964</v>
      </c>
      <c r="B20227" s="2">
        <v>1417</v>
      </c>
      <c r="C20227" s="4" t="str">
        <f>HYPERLINK("http://www.uniprot.org/uniprot/M5W2Q3","M5W2Q3")</f>
        <v>M5W2Q3</v>
      </c>
      <c r="D20227" s="2" t="s">
        <v>6712</v>
      </c>
      <c r="E20227" s="3">
        <v>0</v>
      </c>
      <c r="F20227" s="2">
        <v>1712</v>
      </c>
      <c r="G20227" s="2">
        <v>100</v>
      </c>
      <c r="H20227" s="2">
        <v>343</v>
      </c>
      <c r="I20227" s="2">
        <v>33</v>
      </c>
      <c r="J20227" s="2">
        <v>1061</v>
      </c>
      <c r="K20227" s="2">
        <v>1</v>
      </c>
      <c r="L20227" s="2">
        <v>343</v>
      </c>
    </row>
    <row r="20228" spans="1:12" x14ac:dyDescent="0.25">
      <c r="A20228" s="4" t="str">
        <f>HYPERLINK("http://www.rosaceae.org/Prunus/Prunus_persica/p.persica_gdr_reftransV1_0047314","p.persica_gdr_reftransV1_0047314")</f>
        <v>p.persica_gdr_reftransV1_0047314</v>
      </c>
      <c r="B20228" s="2">
        <v>987</v>
      </c>
      <c r="C20228" s="4" t="str">
        <f>HYPERLINK("http://www.uniprot.org/uniprot/M5W221","M5W221")</f>
        <v>M5W221</v>
      </c>
      <c r="D20228" s="2" t="s">
        <v>1152</v>
      </c>
      <c r="E20228" s="3">
        <v>0</v>
      </c>
      <c r="F20228" s="2">
        <v>1507</v>
      </c>
      <c r="G20228" s="2">
        <v>98</v>
      </c>
      <c r="H20228" s="2">
        <v>298</v>
      </c>
      <c r="I20228" s="2">
        <v>94</v>
      </c>
      <c r="J20228" s="2">
        <v>987</v>
      </c>
      <c r="K20228" s="2">
        <v>15</v>
      </c>
      <c r="L20228" s="2">
        <v>312</v>
      </c>
    </row>
    <row r="20229" spans="1:12" x14ac:dyDescent="0.25">
      <c r="A20229" s="4" t="str">
        <f>HYPERLINK("http://www.rosaceae.org/Prunus/Prunus_persica/p.persica_gdr_reftransV1_0047664","p.persica_gdr_reftransV1_0047664")</f>
        <v>p.persica_gdr_reftransV1_0047664</v>
      </c>
      <c r="B20229" s="2">
        <v>1101</v>
      </c>
      <c r="C20229" s="4" t="str">
        <f>HYPERLINK("http://www.uniprot.org/uniprot/M5XIP9","M5XIP9")</f>
        <v>M5XIP9</v>
      </c>
      <c r="D20229" s="2" t="s">
        <v>3436</v>
      </c>
      <c r="E20229" s="3">
        <v>0</v>
      </c>
      <c r="F20229" s="2">
        <v>1753</v>
      </c>
      <c r="G20229" s="2">
        <v>100</v>
      </c>
      <c r="H20229" s="2">
        <v>344</v>
      </c>
      <c r="I20229" s="2">
        <v>69</v>
      </c>
      <c r="J20229" s="2">
        <v>1100</v>
      </c>
      <c r="K20229" s="2">
        <v>559</v>
      </c>
      <c r="L20229" s="2">
        <v>902</v>
      </c>
    </row>
    <row r="20230" spans="1:12" x14ac:dyDescent="0.25">
      <c r="A20230" s="4" t="str">
        <f>HYPERLINK("http://www.rosaceae.org/Prunus/Prunus_persica/p.persica_gdr_reftransV1_0048014","p.persica_gdr_reftransV1_0048014")</f>
        <v>p.persica_gdr_reftransV1_0048014</v>
      </c>
      <c r="B20230" s="2">
        <v>753</v>
      </c>
      <c r="C20230" s="4" t="str">
        <f>HYPERLINK("http://www.uniprot.org/uniprot/M5X5M5","M5X5M5")</f>
        <v>M5X5M5</v>
      </c>
      <c r="D20230" s="2" t="s">
        <v>5651</v>
      </c>
      <c r="E20230" s="3">
        <v>3.0300000000000001E-180</v>
      </c>
      <c r="F20230" s="2">
        <v>1341</v>
      </c>
      <c r="G20230" s="2">
        <v>100</v>
      </c>
      <c r="H20230" s="2">
        <v>250</v>
      </c>
      <c r="I20230" s="2">
        <v>3</v>
      </c>
      <c r="J20230" s="2">
        <v>752</v>
      </c>
      <c r="K20230" s="2">
        <v>17</v>
      </c>
      <c r="L20230" s="2">
        <v>266</v>
      </c>
    </row>
    <row r="20231" spans="1:12" x14ac:dyDescent="0.25">
      <c r="A20231" s="4" t="str">
        <f>HYPERLINK("http://www.rosaceae.org/Prunus/Prunus_persica/p.persica_gdr_reftransV1_0048364","p.persica_gdr_reftransV1_0048364")</f>
        <v>p.persica_gdr_reftransV1_0048364</v>
      </c>
      <c r="B20231" s="2">
        <v>1075</v>
      </c>
      <c r="C20231" s="4" t="str">
        <f>HYPERLINK("http://www.uniprot.org/uniprot/M5XHJ8","M5XHJ8")</f>
        <v>M5XHJ8</v>
      </c>
      <c r="D20231" s="2" t="s">
        <v>15331</v>
      </c>
      <c r="E20231" s="3">
        <v>2.3700000000000002E-165</v>
      </c>
      <c r="F20231" s="2">
        <v>1219</v>
      </c>
      <c r="G20231" s="2">
        <v>100</v>
      </c>
      <c r="H20231" s="2">
        <v>245</v>
      </c>
      <c r="I20231" s="2">
        <v>115</v>
      </c>
      <c r="J20231" s="2">
        <v>849</v>
      </c>
      <c r="K20231" s="2">
        <v>1</v>
      </c>
      <c r="L20231" s="2">
        <v>245</v>
      </c>
    </row>
    <row r="20232" spans="1:12" x14ac:dyDescent="0.25">
      <c r="A20232" s="4" t="str">
        <f>HYPERLINK("http://www.rosaceae.org/Prunus/Prunus_persica/p.persica_gdr_reftransV1_0048714","p.persica_gdr_reftransV1_0048714")</f>
        <v>p.persica_gdr_reftransV1_0048714</v>
      </c>
      <c r="B20232" s="2">
        <v>2969</v>
      </c>
      <c r="C20232" s="4" t="str">
        <f>HYPERLINK("http://www.uniprot.org/uniprot/M5WKX8","M5WKX8")</f>
        <v>M5WKX8</v>
      </c>
      <c r="D20232" s="2" t="s">
        <v>7180</v>
      </c>
      <c r="E20232" s="3">
        <v>0</v>
      </c>
      <c r="F20232" s="2">
        <v>2867</v>
      </c>
      <c r="G20232" s="2">
        <v>100</v>
      </c>
      <c r="H20232" s="2">
        <v>556</v>
      </c>
      <c r="I20232" s="2">
        <v>42</v>
      </c>
      <c r="J20232" s="2">
        <v>1709</v>
      </c>
      <c r="K20232" s="2">
        <v>40</v>
      </c>
      <c r="L20232" s="2">
        <v>595</v>
      </c>
    </row>
    <row r="20233" spans="1:12" x14ac:dyDescent="0.25">
      <c r="A20233" s="4" t="str">
        <f>HYPERLINK("http://www.rosaceae.org/Prunus/Prunus_persica/p.persica_gdr_reftransV1_0049064","p.persica_gdr_reftransV1_0049064")</f>
        <v>p.persica_gdr_reftransV1_0049064</v>
      </c>
      <c r="B20233" s="2">
        <v>2353</v>
      </c>
      <c r="C20233" s="4" t="str">
        <f>HYPERLINK("http://www.uniprot.org/uniprot/M5XMU3","M5XMU3")</f>
        <v>M5XMU3</v>
      </c>
      <c r="D20233" s="2" t="s">
        <v>3524</v>
      </c>
      <c r="E20233" s="3">
        <v>0</v>
      </c>
      <c r="F20233" s="2">
        <v>1913</v>
      </c>
      <c r="G20233" s="2">
        <v>100</v>
      </c>
      <c r="H20233" s="2">
        <v>387</v>
      </c>
      <c r="I20233" s="2">
        <v>1077</v>
      </c>
      <c r="J20233" s="2">
        <v>2237</v>
      </c>
      <c r="K20233" s="2">
        <v>1</v>
      </c>
      <c r="L20233" s="2">
        <v>387</v>
      </c>
    </row>
    <row r="20234" spans="1:12" x14ac:dyDescent="0.25">
      <c r="A20234" s="4" t="str">
        <f>HYPERLINK("http://www.rosaceae.org/Prunus/Prunus_persica/p.persica_gdr_reftransV1_0000065","p.persica_gdr_reftransV1_0000065")</f>
        <v>p.persica_gdr_reftransV1_0000065</v>
      </c>
      <c r="B20234" s="2">
        <v>1585</v>
      </c>
      <c r="C20234" s="4" t="str">
        <f>HYPERLINK("http://www.uniprot.org/uniprot/M5W7N2","M5W7N2")</f>
        <v>M5W7N2</v>
      </c>
      <c r="D20234" s="2" t="s">
        <v>2033</v>
      </c>
      <c r="E20234" s="3">
        <v>0</v>
      </c>
      <c r="F20234" s="2">
        <v>1827</v>
      </c>
      <c r="G20234" s="2">
        <v>87</v>
      </c>
      <c r="H20234" s="2">
        <v>527</v>
      </c>
      <c r="I20234" s="2">
        <v>3</v>
      </c>
      <c r="J20234" s="2">
        <v>1583</v>
      </c>
      <c r="K20234" s="2">
        <v>173</v>
      </c>
      <c r="L20234" s="2">
        <v>629</v>
      </c>
    </row>
    <row r="20235" spans="1:12" x14ac:dyDescent="0.25">
      <c r="A20235" s="4" t="str">
        <f>HYPERLINK("http://www.rosaceae.org/Prunus/Prunus_persica/p.persica_gdr_reftransV1_0000765","p.persica_gdr_reftransV1_0000765")</f>
        <v>p.persica_gdr_reftransV1_0000765</v>
      </c>
      <c r="B20235" s="2">
        <v>442</v>
      </c>
      <c r="C20235" s="4" t="str">
        <f>HYPERLINK("http://www.uniprot.org/uniprot/M5XAI5","M5XAI5")</f>
        <v>M5XAI5</v>
      </c>
      <c r="D20235" s="2" t="s">
        <v>15016</v>
      </c>
      <c r="E20235" s="3">
        <v>8.0100000000000006E-62</v>
      </c>
      <c r="F20235" s="2">
        <v>510</v>
      </c>
      <c r="G20235" s="2">
        <v>93</v>
      </c>
      <c r="H20235" s="2">
        <v>124</v>
      </c>
      <c r="I20235" s="2">
        <v>70</v>
      </c>
      <c r="J20235" s="2">
        <v>441</v>
      </c>
      <c r="K20235" s="2">
        <v>1</v>
      </c>
      <c r="L20235" s="2">
        <v>124</v>
      </c>
    </row>
    <row r="20236" spans="1:12" x14ac:dyDescent="0.25">
      <c r="A20236" s="4" t="str">
        <f>HYPERLINK("http://www.rosaceae.org/Prunus/Prunus_persica/p.persica_gdr_reftransV1_0001115","p.persica_gdr_reftransV1_0001115")</f>
        <v>p.persica_gdr_reftransV1_0001115</v>
      </c>
      <c r="B20236" s="2">
        <v>4069</v>
      </c>
      <c r="C20236" s="4" t="str">
        <f>HYPERLINK("http://www.uniprot.org/uniprot/M5XLP2","M5XLP2")</f>
        <v>M5XLP2</v>
      </c>
      <c r="D20236" s="2" t="s">
        <v>404</v>
      </c>
      <c r="E20236" s="3">
        <v>0</v>
      </c>
      <c r="F20236" s="2">
        <v>3006</v>
      </c>
      <c r="G20236" s="2">
        <v>100</v>
      </c>
      <c r="H20236" s="2">
        <v>650</v>
      </c>
      <c r="I20236" s="2">
        <v>460</v>
      </c>
      <c r="J20236" s="2">
        <v>2409</v>
      </c>
      <c r="K20236" s="2">
        <v>1</v>
      </c>
      <c r="L20236" s="2">
        <v>650</v>
      </c>
    </row>
    <row r="20237" spans="1:12" x14ac:dyDescent="0.25">
      <c r="A20237" s="4" t="str">
        <f>HYPERLINK("http://www.rosaceae.org/Prunus/Prunus_persica/p.persica_gdr_reftransV1_0001815","p.persica_gdr_reftransV1_0001815")</f>
        <v>p.persica_gdr_reftransV1_0001815</v>
      </c>
      <c r="B20237" s="2">
        <v>1620</v>
      </c>
      <c r="C20237" s="4" t="str">
        <f>HYPERLINK("http://www.uniprot.org/uniprot/M5XCR8","M5XCR8")</f>
        <v>M5XCR8</v>
      </c>
      <c r="D20237" s="2" t="s">
        <v>13301</v>
      </c>
      <c r="E20237" s="3">
        <v>0</v>
      </c>
      <c r="F20237" s="2">
        <v>1901</v>
      </c>
      <c r="G20237" s="2">
        <v>100</v>
      </c>
      <c r="H20237" s="2">
        <v>398</v>
      </c>
      <c r="I20237" s="2">
        <v>373</v>
      </c>
      <c r="J20237" s="2">
        <v>1566</v>
      </c>
      <c r="K20237" s="2">
        <v>1</v>
      </c>
      <c r="L20237" s="2">
        <v>398</v>
      </c>
    </row>
    <row r="20238" spans="1:12" x14ac:dyDescent="0.25">
      <c r="A20238" s="4" t="str">
        <f>HYPERLINK("http://www.rosaceae.org/Prunus/Prunus_persica/p.persica_gdr_reftransV1_0002165","p.persica_gdr_reftransV1_0002165")</f>
        <v>p.persica_gdr_reftransV1_0002165</v>
      </c>
      <c r="B20238" s="2">
        <v>1988</v>
      </c>
      <c r="C20238" s="4" t="str">
        <f>HYPERLINK("http://www.uniprot.org/uniprot/A0A096ZNR3","A0A096ZNR3")</f>
        <v>A0A096ZNR3</v>
      </c>
      <c r="D20238" s="2" t="s">
        <v>15332</v>
      </c>
      <c r="E20238" s="3">
        <v>0</v>
      </c>
      <c r="F20238" s="2">
        <v>3028</v>
      </c>
      <c r="G20238" s="2">
        <v>96</v>
      </c>
      <c r="H20238" s="2">
        <v>574</v>
      </c>
      <c r="I20238" s="2">
        <v>1</v>
      </c>
      <c r="J20238" s="2">
        <v>1722</v>
      </c>
      <c r="K20238" s="2">
        <v>213</v>
      </c>
      <c r="L20238" s="2">
        <v>786</v>
      </c>
    </row>
    <row r="20239" spans="1:12" x14ac:dyDescent="0.25">
      <c r="A20239" s="4" t="str">
        <f>HYPERLINK("http://www.rosaceae.org/Prunus/Prunus_persica/p.persica_gdr_reftransV1_0002515","p.persica_gdr_reftransV1_0002515")</f>
        <v>p.persica_gdr_reftransV1_0002515</v>
      </c>
      <c r="B20239" s="2">
        <v>1950</v>
      </c>
      <c r="C20239" s="4" t="str">
        <f>HYPERLINK("http://www.uniprot.org/uniprot/M5W3G4","M5W3G4")</f>
        <v>M5W3G4</v>
      </c>
      <c r="D20239" s="2" t="s">
        <v>15333</v>
      </c>
      <c r="E20239" s="3">
        <v>2.8499999999999999E-100</v>
      </c>
      <c r="F20239" s="2">
        <v>805</v>
      </c>
      <c r="G20239" s="2">
        <v>100</v>
      </c>
      <c r="H20239" s="2">
        <v>152</v>
      </c>
      <c r="I20239" s="2">
        <v>1123</v>
      </c>
      <c r="J20239" s="2">
        <v>1578</v>
      </c>
      <c r="K20239" s="2">
        <v>1</v>
      </c>
      <c r="L20239" s="2">
        <v>152</v>
      </c>
    </row>
    <row r="20240" spans="1:12" x14ac:dyDescent="0.25">
      <c r="A20240" s="4" t="str">
        <f>HYPERLINK("http://www.rosaceae.org/Prunus/Prunus_persica/p.persica_gdr_reftransV1_0002865","p.persica_gdr_reftransV1_0002865")</f>
        <v>p.persica_gdr_reftransV1_0002865</v>
      </c>
      <c r="B20240" s="2">
        <v>1373</v>
      </c>
      <c r="C20240" s="4" t="str">
        <f>HYPERLINK("http://www.uniprot.org/uniprot/M5WTE5","M5WTE5")</f>
        <v>M5WTE5</v>
      </c>
      <c r="D20240" s="2" t="s">
        <v>15334</v>
      </c>
      <c r="E20240" s="3">
        <v>3.25E-71</v>
      </c>
      <c r="F20240" s="2">
        <v>597</v>
      </c>
      <c r="G20240" s="2">
        <v>100</v>
      </c>
      <c r="H20240" s="2">
        <v>154</v>
      </c>
      <c r="I20240" s="2">
        <v>357</v>
      </c>
      <c r="J20240" s="2">
        <v>818</v>
      </c>
      <c r="K20240" s="2">
        <v>1</v>
      </c>
      <c r="L20240" s="2">
        <v>154</v>
      </c>
    </row>
    <row r="20241" spans="1:12" x14ac:dyDescent="0.25">
      <c r="A20241" s="4" t="str">
        <f>HYPERLINK("http://www.rosaceae.org/Prunus/Prunus_persica/p.persica_gdr_reftransV1_0003215","p.persica_gdr_reftransV1_0003215")</f>
        <v>p.persica_gdr_reftransV1_0003215</v>
      </c>
      <c r="B20241" s="2">
        <v>1540</v>
      </c>
      <c r="C20241" s="4" t="str">
        <f>HYPERLINK("http://www.uniprot.org/uniprot/M5WWJ1","M5WWJ1")</f>
        <v>M5WWJ1</v>
      </c>
      <c r="D20241" s="2" t="s">
        <v>15335</v>
      </c>
      <c r="E20241" s="3">
        <v>0</v>
      </c>
      <c r="F20241" s="2">
        <v>2339</v>
      </c>
      <c r="G20241" s="2">
        <v>100</v>
      </c>
      <c r="H20241" s="2">
        <v>487</v>
      </c>
      <c r="I20241" s="2">
        <v>14</v>
      </c>
      <c r="J20241" s="2">
        <v>1474</v>
      </c>
      <c r="K20241" s="2">
        <v>1</v>
      </c>
      <c r="L20241" s="2">
        <v>487</v>
      </c>
    </row>
    <row r="20242" spans="1:12" x14ac:dyDescent="0.25">
      <c r="A20242" s="4" t="str">
        <f>HYPERLINK("http://www.rosaceae.org/Prunus/Prunus_persica/p.persica_gdr_reftransV1_0003565","p.persica_gdr_reftransV1_0003565")</f>
        <v>p.persica_gdr_reftransV1_0003565</v>
      </c>
      <c r="B20242" s="2">
        <v>583</v>
      </c>
      <c r="C20242" s="4" t="str">
        <f>HYPERLINK("http://www.uniprot.org/uniprot/M5XR53","M5XR53")</f>
        <v>M5XR53</v>
      </c>
      <c r="D20242" s="2" t="s">
        <v>8157</v>
      </c>
      <c r="E20242" s="3">
        <v>1.23E-112</v>
      </c>
      <c r="F20242" s="2">
        <v>920</v>
      </c>
      <c r="G20242" s="2">
        <v>98</v>
      </c>
      <c r="H20242" s="2">
        <v>193</v>
      </c>
      <c r="I20242" s="2">
        <v>3</v>
      </c>
      <c r="J20242" s="2">
        <v>581</v>
      </c>
      <c r="K20242" s="2">
        <v>718</v>
      </c>
      <c r="L20242" s="2">
        <v>910</v>
      </c>
    </row>
    <row r="20243" spans="1:12" x14ac:dyDescent="0.25">
      <c r="A20243" s="4" t="str">
        <f>HYPERLINK("http://www.rosaceae.org/Prunus/Prunus_persica/p.persica_gdr_reftransV1_0003915","p.persica_gdr_reftransV1_0003915")</f>
        <v>p.persica_gdr_reftransV1_0003915</v>
      </c>
      <c r="B20243" s="2">
        <v>1784</v>
      </c>
      <c r="C20243" s="4" t="str">
        <f>HYPERLINK("http://www.uniprot.org/uniprot/M5W8N2","M5W8N2")</f>
        <v>M5W8N2</v>
      </c>
      <c r="D20243" s="2" t="s">
        <v>15336</v>
      </c>
      <c r="E20243" s="3">
        <v>0</v>
      </c>
      <c r="F20243" s="2">
        <v>2469</v>
      </c>
      <c r="G20243" s="2">
        <v>100</v>
      </c>
      <c r="H20243" s="2">
        <v>479</v>
      </c>
      <c r="I20243" s="2">
        <v>239</v>
      </c>
      <c r="J20243" s="2">
        <v>1675</v>
      </c>
      <c r="K20243" s="2">
        <v>13</v>
      </c>
      <c r="L20243" s="2">
        <v>491</v>
      </c>
    </row>
    <row r="20244" spans="1:12" x14ac:dyDescent="0.25">
      <c r="A20244" s="4" t="str">
        <f>HYPERLINK("http://www.rosaceae.org/Prunus/Prunus_persica/p.persica_gdr_reftransV1_0004265","p.persica_gdr_reftransV1_0004265")</f>
        <v>p.persica_gdr_reftransV1_0004265</v>
      </c>
      <c r="B20244" s="2">
        <v>875</v>
      </c>
      <c r="C20244" s="4" t="str">
        <f>HYPERLINK("http://www.uniprot.org/uniprot/M5X7V5","M5X7V5")</f>
        <v>M5X7V5</v>
      </c>
      <c r="D20244" s="2" t="s">
        <v>11702</v>
      </c>
      <c r="E20244" s="3">
        <v>7.7900000000000005E-32</v>
      </c>
      <c r="F20244" s="2">
        <v>240</v>
      </c>
      <c r="G20244" s="2">
        <v>100</v>
      </c>
      <c r="H20244" s="2">
        <v>60</v>
      </c>
      <c r="I20244" s="2">
        <v>337</v>
      </c>
      <c r="J20244" s="2">
        <v>516</v>
      </c>
      <c r="K20244" s="2">
        <v>78</v>
      </c>
      <c r="L20244" s="2">
        <v>137</v>
      </c>
    </row>
    <row r="20245" spans="1:12" x14ac:dyDescent="0.25">
      <c r="A20245" s="4" t="str">
        <f>HYPERLINK("http://www.rosaceae.org/Prunus/Prunus_persica/p.persica_gdr_reftransV1_0004615","p.persica_gdr_reftransV1_0004615")</f>
        <v>p.persica_gdr_reftransV1_0004615</v>
      </c>
      <c r="B20245" s="2">
        <v>1709</v>
      </c>
      <c r="C20245" s="4" t="str">
        <f>HYPERLINK("http://www.uniprot.org/uniprot/M5VGG3","M5VGG3")</f>
        <v>M5VGG3</v>
      </c>
      <c r="D20245" s="2" t="s">
        <v>1266</v>
      </c>
      <c r="E20245" s="3">
        <v>0</v>
      </c>
      <c r="F20245" s="2">
        <v>1556</v>
      </c>
      <c r="G20245" s="2">
        <v>98</v>
      </c>
      <c r="H20245" s="2">
        <v>444</v>
      </c>
      <c r="I20245" s="2">
        <v>207</v>
      </c>
      <c r="J20245" s="2">
        <v>1538</v>
      </c>
      <c r="K20245" s="2">
        <v>1</v>
      </c>
      <c r="L20245" s="2">
        <v>438</v>
      </c>
    </row>
    <row r="20246" spans="1:12" x14ac:dyDescent="0.25">
      <c r="A20246" s="4" t="str">
        <f>HYPERLINK("http://www.rosaceae.org/Prunus/Prunus_persica/p.persica_gdr_reftransV1_0004965","p.persica_gdr_reftransV1_0004965")</f>
        <v>p.persica_gdr_reftransV1_0004965</v>
      </c>
      <c r="B20246" s="2">
        <v>1996</v>
      </c>
      <c r="C20246" s="4" t="str">
        <f>HYPERLINK("http://www.uniprot.org/uniprot/M5WIF3","M5WIF3")</f>
        <v>M5WIF3</v>
      </c>
      <c r="D20246" s="2" t="s">
        <v>15337</v>
      </c>
      <c r="E20246" s="3">
        <v>0</v>
      </c>
      <c r="F20246" s="2">
        <v>2515</v>
      </c>
      <c r="G20246" s="2">
        <v>100</v>
      </c>
      <c r="H20246" s="2">
        <v>492</v>
      </c>
      <c r="I20246" s="2">
        <v>194</v>
      </c>
      <c r="J20246" s="2">
        <v>1669</v>
      </c>
      <c r="K20246" s="2">
        <v>1</v>
      </c>
      <c r="L20246" s="2">
        <v>492</v>
      </c>
    </row>
    <row r="20247" spans="1:12" x14ac:dyDescent="0.25">
      <c r="A20247" s="4" t="str">
        <f>HYPERLINK("http://www.rosaceae.org/Prunus/Prunus_persica/p.persica_gdr_reftransV1_0005665","p.persica_gdr_reftransV1_0005665")</f>
        <v>p.persica_gdr_reftransV1_0005665</v>
      </c>
      <c r="B20247" s="2">
        <v>1308</v>
      </c>
      <c r="C20247" s="4" t="str">
        <f>HYPERLINK("http://www.uniprot.org/uniprot/M5VTR9","M5VTR9")</f>
        <v>M5VTR9</v>
      </c>
      <c r="D20247" s="2" t="s">
        <v>15338</v>
      </c>
      <c r="E20247" s="3">
        <v>0</v>
      </c>
      <c r="F20247" s="2">
        <v>1585</v>
      </c>
      <c r="G20247" s="2">
        <v>100</v>
      </c>
      <c r="H20247" s="2">
        <v>330</v>
      </c>
      <c r="I20247" s="2">
        <v>317</v>
      </c>
      <c r="J20247" s="2">
        <v>1306</v>
      </c>
      <c r="K20247" s="2">
        <v>188</v>
      </c>
      <c r="L20247" s="2">
        <v>517</v>
      </c>
    </row>
    <row r="20248" spans="1:12" x14ac:dyDescent="0.25">
      <c r="A20248" s="4" t="str">
        <f>HYPERLINK("http://www.rosaceae.org/Prunus/Prunus_persica/p.persica_gdr_reftransV1_0006015","p.persica_gdr_reftransV1_0006015")</f>
        <v>p.persica_gdr_reftransV1_0006015</v>
      </c>
      <c r="B20248" s="2">
        <v>1917</v>
      </c>
      <c r="C20248" s="4" t="str">
        <f>HYPERLINK("http://www.uniprot.org/uniprot/M5WE16","M5WE16")</f>
        <v>M5WE16</v>
      </c>
      <c r="D20248" s="2" t="s">
        <v>15339</v>
      </c>
      <c r="E20248" s="3">
        <v>0</v>
      </c>
      <c r="F20248" s="2">
        <v>2264</v>
      </c>
      <c r="G20248" s="2">
        <v>97</v>
      </c>
      <c r="H20248" s="2">
        <v>454</v>
      </c>
      <c r="I20248" s="2">
        <v>65</v>
      </c>
      <c r="J20248" s="2">
        <v>1426</v>
      </c>
      <c r="K20248" s="2">
        <v>1</v>
      </c>
      <c r="L20248" s="2">
        <v>447</v>
      </c>
    </row>
    <row r="20249" spans="1:12" x14ac:dyDescent="0.25">
      <c r="A20249" s="4" t="str">
        <f>HYPERLINK("http://www.rosaceae.org/Prunus/Prunus_persica/p.persica_gdr_reftransV1_0006715","p.persica_gdr_reftransV1_0006715")</f>
        <v>p.persica_gdr_reftransV1_0006715</v>
      </c>
      <c r="B20249" s="2">
        <v>611</v>
      </c>
      <c r="C20249" s="4" t="str">
        <f>HYPERLINK("http://www.uniprot.org/uniprot/M5XEV0","M5XEV0")</f>
        <v>M5XEV0</v>
      </c>
      <c r="D20249" s="2" t="s">
        <v>5425</v>
      </c>
      <c r="E20249" s="3">
        <v>1.3499999999999999E-58</v>
      </c>
      <c r="F20249" s="2">
        <v>528</v>
      </c>
      <c r="G20249" s="2">
        <v>95</v>
      </c>
      <c r="H20249" s="2">
        <v>112</v>
      </c>
      <c r="I20249" s="2">
        <v>275</v>
      </c>
      <c r="J20249" s="2">
        <v>610</v>
      </c>
      <c r="K20249" s="2">
        <v>1</v>
      </c>
      <c r="L20249" s="2">
        <v>112</v>
      </c>
    </row>
    <row r="20250" spans="1:12" x14ac:dyDescent="0.25">
      <c r="A20250" s="4" t="str">
        <f>HYPERLINK("http://www.rosaceae.org/Prunus/Prunus_persica/p.persica_gdr_reftransV1_0007065","p.persica_gdr_reftransV1_0007065")</f>
        <v>p.persica_gdr_reftransV1_0007065</v>
      </c>
      <c r="B20250" s="2">
        <v>761</v>
      </c>
      <c r="C20250" s="4" t="str">
        <f>HYPERLINK("http://www.uniprot.org/uniprot/M5W6G4","M5W6G4")</f>
        <v>M5W6G4</v>
      </c>
      <c r="D20250" s="2" t="s">
        <v>13403</v>
      </c>
      <c r="E20250" s="3">
        <v>2.2300000000000002E-174</v>
      </c>
      <c r="F20250" s="2">
        <v>1362</v>
      </c>
      <c r="G20250" s="2">
        <v>99</v>
      </c>
      <c r="H20250" s="2">
        <v>253</v>
      </c>
      <c r="I20250" s="2">
        <v>1</v>
      </c>
      <c r="J20250" s="2">
        <v>759</v>
      </c>
      <c r="K20250" s="2">
        <v>229</v>
      </c>
      <c r="L20250" s="2">
        <v>481</v>
      </c>
    </row>
    <row r="20251" spans="1:12" x14ac:dyDescent="0.25">
      <c r="A20251" s="4" t="str">
        <f>HYPERLINK("http://www.rosaceae.org/Prunus/Prunus_persica/p.persica_gdr_reftransV1_0008115","p.persica_gdr_reftransV1_0008115")</f>
        <v>p.persica_gdr_reftransV1_0008115</v>
      </c>
      <c r="B20251" s="2">
        <v>760</v>
      </c>
      <c r="C20251" s="4" t="str">
        <f>HYPERLINK("http://www.uniprot.org/uniprot/M5W273","M5W273")</f>
        <v>M5W273</v>
      </c>
      <c r="D20251" s="2" t="s">
        <v>15340</v>
      </c>
      <c r="E20251" s="3">
        <v>7.2000000000000001E-76</v>
      </c>
      <c r="F20251" s="2">
        <v>611</v>
      </c>
      <c r="G20251" s="2">
        <v>100</v>
      </c>
      <c r="H20251" s="2">
        <v>149</v>
      </c>
      <c r="I20251" s="2">
        <v>1</v>
      </c>
      <c r="J20251" s="2">
        <v>447</v>
      </c>
      <c r="K20251" s="2">
        <v>26</v>
      </c>
      <c r="L20251" s="2">
        <v>174</v>
      </c>
    </row>
    <row r="20252" spans="1:12" x14ac:dyDescent="0.25">
      <c r="A20252" s="4" t="str">
        <f>HYPERLINK("http://www.rosaceae.org/Prunus/Prunus_persica/p.persica_gdr_reftransV1_0008465","p.persica_gdr_reftransV1_0008465")</f>
        <v>p.persica_gdr_reftransV1_0008465</v>
      </c>
      <c r="B20252" s="2">
        <v>3308</v>
      </c>
      <c r="C20252" s="4" t="str">
        <f>HYPERLINK("http://www.uniprot.org/uniprot/M5W786","M5W786")</f>
        <v>M5W786</v>
      </c>
      <c r="D20252" s="2" t="s">
        <v>15341</v>
      </c>
      <c r="E20252" s="3">
        <v>0</v>
      </c>
      <c r="F20252" s="2">
        <v>4333</v>
      </c>
      <c r="G20252" s="2">
        <v>100</v>
      </c>
      <c r="H20252" s="2">
        <v>879</v>
      </c>
      <c r="I20252" s="2">
        <v>321</v>
      </c>
      <c r="J20252" s="2">
        <v>2957</v>
      </c>
      <c r="K20252" s="2">
        <v>12</v>
      </c>
      <c r="L20252" s="2">
        <v>890</v>
      </c>
    </row>
    <row r="20253" spans="1:12" x14ac:dyDescent="0.25">
      <c r="A20253" s="4" t="str">
        <f>HYPERLINK("http://www.rosaceae.org/Prunus/Prunus_persica/p.persica_gdr_reftransV1_0008815","p.persica_gdr_reftransV1_0008815")</f>
        <v>p.persica_gdr_reftransV1_0008815</v>
      </c>
      <c r="B20253" s="2">
        <v>1085</v>
      </c>
      <c r="C20253" s="4" t="str">
        <f>HYPERLINK("http://www.uniprot.org/uniprot/M5X106","M5X106")</f>
        <v>M5X106</v>
      </c>
      <c r="D20253" s="2" t="s">
        <v>15342</v>
      </c>
      <c r="E20253" s="3">
        <v>2.26E-71</v>
      </c>
      <c r="F20253" s="2">
        <v>594</v>
      </c>
      <c r="G20253" s="2">
        <v>94</v>
      </c>
      <c r="H20253" s="2">
        <v>216</v>
      </c>
      <c r="I20253" s="2">
        <v>368</v>
      </c>
      <c r="J20253" s="2">
        <v>1015</v>
      </c>
      <c r="K20253" s="2">
        <v>1</v>
      </c>
      <c r="L20253" s="2">
        <v>214</v>
      </c>
    </row>
    <row r="20254" spans="1:12" x14ac:dyDescent="0.25">
      <c r="A20254" s="4" t="str">
        <f>HYPERLINK("http://www.rosaceae.org/Prunus/Prunus_persica/p.persica_gdr_reftransV1_0009515","p.persica_gdr_reftransV1_0009515")</f>
        <v>p.persica_gdr_reftransV1_0009515</v>
      </c>
      <c r="B20254" s="2">
        <v>1460</v>
      </c>
      <c r="C20254" s="4" t="str">
        <f>HYPERLINK("http://www.uniprot.org/uniprot/D9ZJ00","D9ZJ00")</f>
        <v>D9ZJ00</v>
      </c>
      <c r="D20254" s="2" t="s">
        <v>15343</v>
      </c>
      <c r="E20254" s="3">
        <v>2.7999999999999999E-133</v>
      </c>
      <c r="F20254" s="2">
        <v>1029</v>
      </c>
      <c r="G20254" s="2">
        <v>76</v>
      </c>
      <c r="H20254" s="2">
        <v>331</v>
      </c>
      <c r="I20254" s="2">
        <v>392</v>
      </c>
      <c r="J20254" s="2">
        <v>1384</v>
      </c>
      <c r="K20254" s="2">
        <v>6</v>
      </c>
      <c r="L20254" s="2">
        <v>326</v>
      </c>
    </row>
    <row r="20255" spans="1:12" x14ac:dyDescent="0.25">
      <c r="A20255" s="4" t="str">
        <f>HYPERLINK("http://www.rosaceae.org/Prunus/Prunus_persica/p.persica_gdr_reftransV1_0009865","p.persica_gdr_reftransV1_0009865")</f>
        <v>p.persica_gdr_reftransV1_0009865</v>
      </c>
      <c r="B20255" s="2">
        <v>932</v>
      </c>
      <c r="C20255" s="4" t="str">
        <f>HYPERLINK("http://www.uniprot.org/uniprot/M5W2J0","M5W2J0")</f>
        <v>M5W2J0</v>
      </c>
      <c r="D20255" s="2" t="s">
        <v>15344</v>
      </c>
      <c r="E20255" s="3">
        <v>1.6099999999999998E-129</v>
      </c>
      <c r="F20255" s="2">
        <v>989</v>
      </c>
      <c r="G20255" s="2">
        <v>100</v>
      </c>
      <c r="H20255" s="2">
        <v>186</v>
      </c>
      <c r="I20255" s="2">
        <v>2</v>
      </c>
      <c r="J20255" s="2">
        <v>559</v>
      </c>
      <c r="K20255" s="2">
        <v>173</v>
      </c>
      <c r="L20255" s="2">
        <v>358</v>
      </c>
    </row>
    <row r="20256" spans="1:12" x14ac:dyDescent="0.25">
      <c r="A20256" s="4" t="str">
        <f>HYPERLINK("http://www.rosaceae.org/Prunus/Prunus_persica/p.persica_gdr_reftransV1_0010215","p.persica_gdr_reftransV1_0010215")</f>
        <v>p.persica_gdr_reftransV1_0010215</v>
      </c>
      <c r="B20256" s="2">
        <v>2003</v>
      </c>
      <c r="C20256" s="4" t="str">
        <f>HYPERLINK("http://www.uniprot.org/uniprot/M5WWK6","M5WWK6")</f>
        <v>M5WWK6</v>
      </c>
      <c r="D20256" s="2" t="s">
        <v>8727</v>
      </c>
      <c r="E20256" s="3">
        <v>0</v>
      </c>
      <c r="F20256" s="2">
        <v>2195</v>
      </c>
      <c r="G20256" s="2">
        <v>100</v>
      </c>
      <c r="H20256" s="2">
        <v>528</v>
      </c>
      <c r="I20256" s="2">
        <v>3</v>
      </c>
      <c r="J20256" s="2">
        <v>1586</v>
      </c>
      <c r="K20256" s="2">
        <v>83</v>
      </c>
      <c r="L20256" s="2">
        <v>610</v>
      </c>
    </row>
    <row r="20257" spans="1:12" x14ac:dyDescent="0.25">
      <c r="A20257" s="4" t="str">
        <f>HYPERLINK("http://www.rosaceae.org/Prunus/Prunus_persica/p.persica_gdr_reftransV1_0010565","p.persica_gdr_reftransV1_0010565")</f>
        <v>p.persica_gdr_reftransV1_0010565</v>
      </c>
      <c r="B20257" s="2">
        <v>3544</v>
      </c>
      <c r="C20257" s="4" t="str">
        <f>HYPERLINK("http://www.uniprot.org/uniprot/M5VUD3","M5VUD3")</f>
        <v>M5VUD3</v>
      </c>
      <c r="D20257" s="2" t="s">
        <v>15345</v>
      </c>
      <c r="E20257" s="3">
        <v>0</v>
      </c>
      <c r="F20257" s="2">
        <v>3493</v>
      </c>
      <c r="G20257" s="2">
        <v>97</v>
      </c>
      <c r="H20257" s="2">
        <v>703</v>
      </c>
      <c r="I20257" s="2">
        <v>1120</v>
      </c>
      <c r="J20257" s="2">
        <v>3228</v>
      </c>
      <c r="K20257" s="2">
        <v>1</v>
      </c>
      <c r="L20257" s="2">
        <v>683</v>
      </c>
    </row>
    <row r="20258" spans="1:12" x14ac:dyDescent="0.25">
      <c r="A20258" s="4" t="str">
        <f>HYPERLINK("http://www.rosaceae.org/Prunus/Prunus_persica/p.persica_gdr_reftransV1_0010915","p.persica_gdr_reftransV1_0010915")</f>
        <v>p.persica_gdr_reftransV1_0010915</v>
      </c>
      <c r="B20258" s="2">
        <v>2212</v>
      </c>
      <c r="C20258" s="4" t="str">
        <f>HYPERLINK("http://www.uniprot.org/uniprot/M5VPQ0","M5VPQ0")</f>
        <v>M5VPQ0</v>
      </c>
      <c r="D20258" s="2" t="s">
        <v>67</v>
      </c>
      <c r="E20258" s="3">
        <v>0</v>
      </c>
      <c r="F20258" s="2">
        <v>2294</v>
      </c>
      <c r="G20258" s="2">
        <v>95</v>
      </c>
      <c r="H20258" s="2">
        <v>483</v>
      </c>
      <c r="I20258" s="2">
        <v>447</v>
      </c>
      <c r="J20258" s="2">
        <v>1895</v>
      </c>
      <c r="K20258" s="2">
        <v>1</v>
      </c>
      <c r="L20258" s="2">
        <v>457</v>
      </c>
    </row>
    <row r="20259" spans="1:12" x14ac:dyDescent="0.25">
      <c r="A20259" s="4" t="str">
        <f>HYPERLINK("http://www.rosaceae.org/Prunus/Prunus_persica/p.persica_gdr_reftransV1_0011265","p.persica_gdr_reftransV1_0011265")</f>
        <v>p.persica_gdr_reftransV1_0011265</v>
      </c>
      <c r="B20259" s="2">
        <v>845</v>
      </c>
      <c r="C20259" s="4" t="str">
        <f>HYPERLINK("http://www.uniprot.org/uniprot/M5X721","M5X721")</f>
        <v>M5X721</v>
      </c>
      <c r="D20259" s="2" t="s">
        <v>13889</v>
      </c>
      <c r="E20259" s="3">
        <v>4.0199999999999998E-73</v>
      </c>
      <c r="F20259" s="2">
        <v>629</v>
      </c>
      <c r="G20259" s="2">
        <v>100</v>
      </c>
      <c r="H20259" s="2">
        <v>120</v>
      </c>
      <c r="I20259" s="2">
        <v>486</v>
      </c>
      <c r="J20259" s="2">
        <v>845</v>
      </c>
      <c r="K20259" s="2">
        <v>497</v>
      </c>
      <c r="L20259" s="2">
        <v>616</v>
      </c>
    </row>
    <row r="20260" spans="1:12" x14ac:dyDescent="0.25">
      <c r="A20260" s="4" t="str">
        <f>HYPERLINK("http://www.rosaceae.org/Prunus/Prunus_persica/p.persica_gdr_reftransV1_0011615","p.persica_gdr_reftransV1_0011615")</f>
        <v>p.persica_gdr_reftransV1_0011615</v>
      </c>
      <c r="B20260" s="2">
        <v>2788</v>
      </c>
      <c r="C20260" s="4" t="str">
        <f>HYPERLINK("http://www.uniprot.org/uniprot/M5WSN8","M5WSN8")</f>
        <v>M5WSN8</v>
      </c>
      <c r="D20260" s="2" t="s">
        <v>15346</v>
      </c>
      <c r="E20260" s="3">
        <v>0</v>
      </c>
      <c r="F20260" s="2">
        <v>1416</v>
      </c>
      <c r="G20260" s="2">
        <v>97</v>
      </c>
      <c r="H20260" s="2">
        <v>279</v>
      </c>
      <c r="I20260" s="2">
        <v>1249</v>
      </c>
      <c r="J20260" s="2">
        <v>2085</v>
      </c>
      <c r="K20260" s="2">
        <v>1</v>
      </c>
      <c r="L20260" s="2">
        <v>279</v>
      </c>
    </row>
    <row r="20261" spans="1:12" x14ac:dyDescent="0.25">
      <c r="A20261" s="4" t="str">
        <f>HYPERLINK("http://www.rosaceae.org/Prunus/Prunus_persica/p.persica_gdr_reftransV1_0012665","p.persica_gdr_reftransV1_0012665")</f>
        <v>p.persica_gdr_reftransV1_0012665</v>
      </c>
      <c r="B20261" s="2">
        <v>2413</v>
      </c>
      <c r="C20261" s="4" t="str">
        <f>HYPERLINK("http://www.uniprot.org/uniprot/Q7Y141","Q7Y141")</f>
        <v>Q7Y141</v>
      </c>
      <c r="D20261" s="2" t="s">
        <v>15347</v>
      </c>
      <c r="E20261" s="3">
        <v>0</v>
      </c>
      <c r="F20261" s="2">
        <v>2053</v>
      </c>
      <c r="G20261" s="2">
        <v>51</v>
      </c>
      <c r="H20261" s="2">
        <v>758</v>
      </c>
      <c r="I20261" s="2">
        <v>188</v>
      </c>
      <c r="J20261" s="2">
        <v>2410</v>
      </c>
      <c r="K20261" s="2">
        <v>275</v>
      </c>
      <c r="L20261" s="2">
        <v>1026</v>
      </c>
    </row>
    <row r="20262" spans="1:12" x14ac:dyDescent="0.25">
      <c r="A20262" s="4" t="str">
        <f>HYPERLINK("http://www.rosaceae.org/Prunus/Prunus_persica/p.persica_gdr_reftransV1_0013365","p.persica_gdr_reftransV1_0013365")</f>
        <v>p.persica_gdr_reftransV1_0013365</v>
      </c>
      <c r="B20262" s="2">
        <v>852</v>
      </c>
      <c r="C20262" s="4" t="str">
        <f>HYPERLINK("http://www.uniprot.org/uniprot/M5WG76","M5WG76")</f>
        <v>M5WG76</v>
      </c>
      <c r="D20262" s="2" t="s">
        <v>12189</v>
      </c>
      <c r="E20262" s="3">
        <v>2.5500000000000002E-174</v>
      </c>
      <c r="F20262" s="2">
        <v>1291</v>
      </c>
      <c r="G20262" s="2">
        <v>100</v>
      </c>
      <c r="H20262" s="2">
        <v>283</v>
      </c>
      <c r="I20262" s="2">
        <v>2</v>
      </c>
      <c r="J20262" s="2">
        <v>850</v>
      </c>
      <c r="K20262" s="2">
        <v>88</v>
      </c>
      <c r="L20262" s="2">
        <v>370</v>
      </c>
    </row>
    <row r="20263" spans="1:12" x14ac:dyDescent="0.25">
      <c r="A20263" s="4" t="str">
        <f>HYPERLINK("http://www.rosaceae.org/Prunus/Prunus_persica/p.persica_gdr_reftransV1_0014065","p.persica_gdr_reftransV1_0014065")</f>
        <v>p.persica_gdr_reftransV1_0014065</v>
      </c>
      <c r="B20263" s="2">
        <v>3267</v>
      </c>
      <c r="C20263" s="4" t="str">
        <f>HYPERLINK("http://www.uniprot.org/uniprot/M5XFQ0","M5XFQ0")</f>
        <v>M5XFQ0</v>
      </c>
      <c r="D20263" s="2" t="s">
        <v>13358</v>
      </c>
      <c r="E20263" s="3">
        <v>0</v>
      </c>
      <c r="F20263" s="2">
        <v>2064</v>
      </c>
      <c r="G20263" s="2">
        <v>100</v>
      </c>
      <c r="H20263" s="2">
        <v>385</v>
      </c>
      <c r="I20263" s="2">
        <v>1735</v>
      </c>
      <c r="J20263" s="2">
        <v>2889</v>
      </c>
      <c r="K20263" s="2">
        <v>1</v>
      </c>
      <c r="L20263" s="2">
        <v>385</v>
      </c>
    </row>
    <row r="20264" spans="1:12" x14ac:dyDescent="0.25">
      <c r="A20264" s="4" t="str">
        <f>HYPERLINK("http://www.rosaceae.org/Prunus/Prunus_persica/p.persica_gdr_reftransV1_0014415","p.persica_gdr_reftransV1_0014415")</f>
        <v>p.persica_gdr_reftransV1_0014415</v>
      </c>
      <c r="B20264" s="2">
        <v>5279</v>
      </c>
      <c r="C20264" s="4" t="str">
        <f>HYPERLINK("http://www.uniprot.org/uniprot/M5X9N8","M5X9N8")</f>
        <v>M5X9N8</v>
      </c>
      <c r="D20264" s="2" t="s">
        <v>2431</v>
      </c>
      <c r="E20264" s="3">
        <v>0</v>
      </c>
      <c r="F20264" s="2">
        <v>3201</v>
      </c>
      <c r="G20264" s="2">
        <v>100</v>
      </c>
      <c r="H20264" s="2">
        <v>625</v>
      </c>
      <c r="I20264" s="2">
        <v>3228</v>
      </c>
      <c r="J20264" s="2">
        <v>5102</v>
      </c>
      <c r="K20264" s="2">
        <v>1</v>
      </c>
      <c r="L20264" s="2">
        <v>625</v>
      </c>
    </row>
    <row r="20265" spans="1:12" x14ac:dyDescent="0.25">
      <c r="A20265" s="4" t="str">
        <f>HYPERLINK("http://www.rosaceae.org/Prunus/Prunus_persica/p.persica_gdr_reftransV1_0015815","p.persica_gdr_reftransV1_0015815")</f>
        <v>p.persica_gdr_reftransV1_0015815</v>
      </c>
      <c r="B20265" s="2">
        <v>1386</v>
      </c>
      <c r="C20265" s="4" t="str">
        <f>HYPERLINK("http://www.uniprot.org/uniprot/M5XGM9","M5XGM9")</f>
        <v>M5XGM9</v>
      </c>
      <c r="D20265" s="2" t="s">
        <v>15348</v>
      </c>
      <c r="E20265" s="3">
        <v>7.7699999999999995E-89</v>
      </c>
      <c r="F20265" s="2">
        <v>719</v>
      </c>
      <c r="G20265" s="2">
        <v>100</v>
      </c>
      <c r="H20265" s="2">
        <v>138</v>
      </c>
      <c r="I20265" s="2">
        <v>116</v>
      </c>
      <c r="J20265" s="2">
        <v>529</v>
      </c>
      <c r="K20265" s="2">
        <v>1</v>
      </c>
      <c r="L20265" s="2">
        <v>138</v>
      </c>
    </row>
    <row r="20266" spans="1:12" x14ac:dyDescent="0.25">
      <c r="A20266" s="4" t="str">
        <f>HYPERLINK("http://www.rosaceae.org/Prunus/Prunus_persica/p.persica_gdr_reftransV1_0016515","p.persica_gdr_reftransV1_0016515")</f>
        <v>p.persica_gdr_reftransV1_0016515</v>
      </c>
      <c r="B20266" s="2">
        <v>508</v>
      </c>
      <c r="C20266" s="4" t="str">
        <f>HYPERLINK("http://www.uniprot.org/uniprot/M5W6C8","M5W6C8")</f>
        <v>M5W6C8</v>
      </c>
      <c r="D20266" s="2" t="s">
        <v>4488</v>
      </c>
      <c r="E20266" s="3">
        <v>2.76E-49</v>
      </c>
      <c r="F20266" s="2">
        <v>457</v>
      </c>
      <c r="G20266" s="2">
        <v>100</v>
      </c>
      <c r="H20266" s="2">
        <v>113</v>
      </c>
      <c r="I20266" s="2">
        <v>1</v>
      </c>
      <c r="J20266" s="2">
        <v>339</v>
      </c>
      <c r="K20266" s="2">
        <v>714</v>
      </c>
      <c r="L20266" s="2">
        <v>826</v>
      </c>
    </row>
    <row r="20267" spans="1:12" x14ac:dyDescent="0.25">
      <c r="A20267" s="4" t="str">
        <f>HYPERLINK("http://www.rosaceae.org/Prunus/Prunus_persica/p.persica_gdr_reftransV1_0017215","p.persica_gdr_reftransV1_0017215")</f>
        <v>p.persica_gdr_reftransV1_0017215</v>
      </c>
      <c r="B20267" s="2">
        <v>1975</v>
      </c>
      <c r="C20267" s="4" t="str">
        <f>HYPERLINK("http://www.uniprot.org/uniprot/M5WJL9","M5WJL9")</f>
        <v>M5WJL9</v>
      </c>
      <c r="D20267" s="2" t="s">
        <v>15349</v>
      </c>
      <c r="E20267" s="3">
        <v>0</v>
      </c>
      <c r="F20267" s="2">
        <v>1998</v>
      </c>
      <c r="G20267" s="2">
        <v>87</v>
      </c>
      <c r="H20267" s="2">
        <v>564</v>
      </c>
      <c r="I20267" s="2">
        <v>42</v>
      </c>
      <c r="J20267" s="2">
        <v>1733</v>
      </c>
      <c r="K20267" s="2">
        <v>1</v>
      </c>
      <c r="L20267" s="2">
        <v>531</v>
      </c>
    </row>
    <row r="20268" spans="1:12" x14ac:dyDescent="0.25">
      <c r="A20268" s="4" t="str">
        <f>HYPERLINK("http://www.rosaceae.org/Prunus/Prunus_persica/p.persica_gdr_reftransV1_0017565","p.persica_gdr_reftransV1_0017565")</f>
        <v>p.persica_gdr_reftransV1_0017565</v>
      </c>
      <c r="B20268" s="2">
        <v>3089</v>
      </c>
      <c r="C20268" s="4" t="str">
        <f>HYPERLINK("http://www.uniprot.org/uniprot/M5XF19","M5XF19")</f>
        <v>M5XF19</v>
      </c>
      <c r="D20268" s="2" t="s">
        <v>15350</v>
      </c>
      <c r="E20268" s="3">
        <v>0</v>
      </c>
      <c r="F20268" s="2">
        <v>2519</v>
      </c>
      <c r="G20268" s="2">
        <v>100</v>
      </c>
      <c r="H20268" s="2">
        <v>520</v>
      </c>
      <c r="I20268" s="2">
        <v>961</v>
      </c>
      <c r="J20268" s="2">
        <v>2520</v>
      </c>
      <c r="K20268" s="2">
        <v>1</v>
      </c>
      <c r="L20268" s="2">
        <v>520</v>
      </c>
    </row>
    <row r="20269" spans="1:12" x14ac:dyDescent="0.25">
      <c r="A20269" s="4" t="str">
        <f>HYPERLINK("http://www.rosaceae.org/Prunus/Prunus_persica/p.persica_gdr_reftransV1_0019315","p.persica_gdr_reftransV1_0019315")</f>
        <v>p.persica_gdr_reftransV1_0019315</v>
      </c>
      <c r="B20269" s="2">
        <v>3079</v>
      </c>
      <c r="C20269" s="4" t="str">
        <f>HYPERLINK("http://www.uniprot.org/uniprot/M5XAQ9","M5XAQ9")</f>
        <v>M5XAQ9</v>
      </c>
      <c r="D20269" s="2" t="s">
        <v>15351</v>
      </c>
      <c r="E20269" s="3">
        <v>0</v>
      </c>
      <c r="F20269" s="2">
        <v>2812</v>
      </c>
      <c r="G20269" s="2">
        <v>97</v>
      </c>
      <c r="H20269" s="2">
        <v>575</v>
      </c>
      <c r="I20269" s="2">
        <v>334</v>
      </c>
      <c r="J20269" s="2">
        <v>2058</v>
      </c>
      <c r="K20269" s="2">
        <v>52</v>
      </c>
      <c r="L20269" s="2">
        <v>626</v>
      </c>
    </row>
    <row r="20270" spans="1:12" x14ac:dyDescent="0.25">
      <c r="A20270" s="4" t="str">
        <f>HYPERLINK("http://www.rosaceae.org/Prunus/Prunus_persica/p.persica_gdr_reftransV1_0020715","p.persica_gdr_reftransV1_0020715")</f>
        <v>p.persica_gdr_reftransV1_0020715</v>
      </c>
      <c r="B20270" s="2">
        <v>2372</v>
      </c>
      <c r="C20270" s="4" t="str">
        <f>HYPERLINK("http://www.uniprot.org/uniprot/M5WTY7","M5WTY7")</f>
        <v>M5WTY7</v>
      </c>
      <c r="D20270" s="2" t="s">
        <v>15352</v>
      </c>
      <c r="E20270" s="3">
        <v>0</v>
      </c>
      <c r="F20270" s="2">
        <v>2974</v>
      </c>
      <c r="G20270" s="2">
        <v>100</v>
      </c>
      <c r="H20270" s="2">
        <v>633</v>
      </c>
      <c r="I20270" s="2">
        <v>64</v>
      </c>
      <c r="J20270" s="2">
        <v>1962</v>
      </c>
      <c r="K20270" s="2">
        <v>1</v>
      </c>
      <c r="L20270" s="2">
        <v>633</v>
      </c>
    </row>
    <row r="20271" spans="1:12" x14ac:dyDescent="0.25">
      <c r="A20271" s="4" t="str">
        <f>HYPERLINK("http://www.rosaceae.org/Prunus/Prunus_persica/p.persica_gdr_reftransV1_0021065","p.persica_gdr_reftransV1_0021065")</f>
        <v>p.persica_gdr_reftransV1_0021065</v>
      </c>
      <c r="B20271" s="2">
        <v>1063</v>
      </c>
      <c r="C20271" s="4" t="str">
        <f>HYPERLINK("http://www.uniprot.org/uniprot/M5W0A1","M5W0A1")</f>
        <v>M5W0A1</v>
      </c>
      <c r="D20271" s="2" t="s">
        <v>15353</v>
      </c>
      <c r="E20271" s="3">
        <v>3.1499999999999999E-97</v>
      </c>
      <c r="F20271" s="2">
        <v>763</v>
      </c>
      <c r="G20271" s="2">
        <v>100</v>
      </c>
      <c r="H20271" s="2">
        <v>187</v>
      </c>
      <c r="I20271" s="2">
        <v>332</v>
      </c>
      <c r="J20271" s="2">
        <v>892</v>
      </c>
      <c r="K20271" s="2">
        <v>1</v>
      </c>
      <c r="L20271" s="2">
        <v>187</v>
      </c>
    </row>
    <row r="20272" spans="1:12" x14ac:dyDescent="0.25">
      <c r="A20272" s="4" t="str">
        <f>HYPERLINK("http://www.rosaceae.org/Prunus/Prunus_persica/p.persica_gdr_reftransV1_0021765","p.persica_gdr_reftransV1_0021765")</f>
        <v>p.persica_gdr_reftransV1_0021765</v>
      </c>
      <c r="B20272" s="2">
        <v>732</v>
      </c>
      <c r="C20272" s="4" t="str">
        <f>HYPERLINK("http://www.uniprot.org/uniprot/M5VZG8","M5VZG8")</f>
        <v>M5VZG8</v>
      </c>
      <c r="D20272" s="2" t="s">
        <v>7223</v>
      </c>
      <c r="E20272" s="3">
        <v>1.92E-97</v>
      </c>
      <c r="F20272" s="2">
        <v>763</v>
      </c>
      <c r="G20272" s="2">
        <v>100</v>
      </c>
      <c r="H20272" s="2">
        <v>141</v>
      </c>
      <c r="I20272" s="2">
        <v>2</v>
      </c>
      <c r="J20272" s="2">
        <v>424</v>
      </c>
      <c r="K20272" s="2">
        <v>154</v>
      </c>
      <c r="L20272" s="2">
        <v>294</v>
      </c>
    </row>
    <row r="20273" spans="1:12" x14ac:dyDescent="0.25">
      <c r="A20273" s="4" t="str">
        <f>HYPERLINK("http://www.rosaceae.org/Prunus/Prunus_persica/p.persica_gdr_reftransV1_0022815","p.persica_gdr_reftransV1_0022815")</f>
        <v>p.persica_gdr_reftransV1_0022815</v>
      </c>
      <c r="B20273" s="2">
        <v>1913</v>
      </c>
      <c r="C20273" s="4" t="str">
        <f>HYPERLINK("http://www.uniprot.org/uniprot/M5XHC6","M5XHC6")</f>
        <v>M5XHC6</v>
      </c>
      <c r="D20273" s="2" t="s">
        <v>15354</v>
      </c>
      <c r="E20273" s="3">
        <v>0</v>
      </c>
      <c r="F20273" s="2">
        <v>2164</v>
      </c>
      <c r="G20273" s="2">
        <v>100</v>
      </c>
      <c r="H20273" s="2">
        <v>489</v>
      </c>
      <c r="I20273" s="2">
        <v>135</v>
      </c>
      <c r="J20273" s="2">
        <v>1601</v>
      </c>
      <c r="K20273" s="2">
        <v>1</v>
      </c>
      <c r="L20273" s="2">
        <v>489</v>
      </c>
    </row>
    <row r="20274" spans="1:12" x14ac:dyDescent="0.25">
      <c r="A20274" s="4" t="str">
        <f>HYPERLINK("http://www.rosaceae.org/Prunus/Prunus_persica/p.persica_gdr_reftransV1_0025615","p.persica_gdr_reftransV1_0025615")</f>
        <v>p.persica_gdr_reftransV1_0025615</v>
      </c>
      <c r="B20274" s="2">
        <v>2432</v>
      </c>
      <c r="C20274" s="4" t="str">
        <f>HYPERLINK("http://www.uniprot.org/uniprot/M5X9V5","M5X9V5")</f>
        <v>M5X9V5</v>
      </c>
      <c r="D20274" s="2" t="s">
        <v>15355</v>
      </c>
      <c r="E20274" s="3">
        <v>0</v>
      </c>
      <c r="F20274" s="2">
        <v>1890</v>
      </c>
      <c r="G20274" s="2">
        <v>100</v>
      </c>
      <c r="H20274" s="2">
        <v>347</v>
      </c>
      <c r="I20274" s="2">
        <v>691</v>
      </c>
      <c r="J20274" s="2">
        <v>1731</v>
      </c>
      <c r="K20274" s="2">
        <v>1</v>
      </c>
      <c r="L20274" s="2">
        <v>347</v>
      </c>
    </row>
    <row r="20275" spans="1:12" x14ac:dyDescent="0.25">
      <c r="A20275" s="4" t="str">
        <f>HYPERLINK("http://www.rosaceae.org/Prunus/Prunus_persica/p.persica_gdr_reftransV1_0027365","p.persica_gdr_reftransV1_0027365")</f>
        <v>p.persica_gdr_reftransV1_0027365</v>
      </c>
      <c r="B20275" s="2">
        <v>2970</v>
      </c>
      <c r="C20275" s="4" t="str">
        <f>HYPERLINK("http://www.uniprot.org/uniprot/M5VYY8","M5VYY8")</f>
        <v>M5VYY8</v>
      </c>
      <c r="D20275" s="2" t="s">
        <v>8765</v>
      </c>
      <c r="E20275" s="3">
        <v>1.3999999999999999E-109</v>
      </c>
      <c r="F20275" s="2">
        <v>910</v>
      </c>
      <c r="G20275" s="2">
        <v>71</v>
      </c>
      <c r="H20275" s="2">
        <v>270</v>
      </c>
      <c r="I20275" s="2">
        <v>1158</v>
      </c>
      <c r="J20275" s="2">
        <v>1967</v>
      </c>
      <c r="K20275" s="2">
        <v>80</v>
      </c>
      <c r="L20275" s="2">
        <v>280</v>
      </c>
    </row>
    <row r="20276" spans="1:12" x14ac:dyDescent="0.25">
      <c r="A20276" s="4" t="str">
        <f>HYPERLINK("http://www.rosaceae.org/Prunus/Prunus_persica/p.persica_gdr_reftransV1_0028765","p.persica_gdr_reftransV1_0028765")</f>
        <v>p.persica_gdr_reftransV1_0028765</v>
      </c>
      <c r="B20276" s="2">
        <v>3465</v>
      </c>
      <c r="C20276" s="4" t="str">
        <f>HYPERLINK("http://www.uniprot.org/uniprot/M5Y5I6","M5Y5I6")</f>
        <v>M5Y5I6</v>
      </c>
      <c r="D20276" s="2" t="s">
        <v>15356</v>
      </c>
      <c r="E20276" s="3">
        <v>9.0800000000000001E-103</v>
      </c>
      <c r="F20276" s="2">
        <v>852</v>
      </c>
      <c r="G20276" s="2">
        <v>99</v>
      </c>
      <c r="H20276" s="2">
        <v>161</v>
      </c>
      <c r="I20276" s="2">
        <v>2845</v>
      </c>
      <c r="J20276" s="2">
        <v>3327</v>
      </c>
      <c r="K20276" s="2">
        <v>1</v>
      </c>
      <c r="L20276" s="2">
        <v>161</v>
      </c>
    </row>
    <row r="20277" spans="1:12" x14ac:dyDescent="0.25">
      <c r="A20277" s="4" t="str">
        <f>HYPERLINK("http://www.rosaceae.org/Prunus/Prunus_persica/p.persica_gdr_reftransV1_0029465","p.persica_gdr_reftransV1_0029465")</f>
        <v>p.persica_gdr_reftransV1_0029465</v>
      </c>
      <c r="B20277" s="2">
        <v>988</v>
      </c>
      <c r="C20277" s="4" t="str">
        <f>HYPERLINK("http://www.uniprot.org/uniprot/V4T088","V4T088")</f>
        <v>V4T088</v>
      </c>
      <c r="D20277" s="2" t="s">
        <v>9686</v>
      </c>
      <c r="E20277" s="3">
        <v>9.6599999999999996E-57</v>
      </c>
      <c r="F20277" s="2">
        <v>502</v>
      </c>
      <c r="G20277" s="2">
        <v>57</v>
      </c>
      <c r="H20277" s="2">
        <v>195</v>
      </c>
      <c r="I20277" s="2">
        <v>15</v>
      </c>
      <c r="J20277" s="2">
        <v>575</v>
      </c>
      <c r="K20277" s="2">
        <v>136</v>
      </c>
      <c r="L20277" s="2">
        <v>317</v>
      </c>
    </row>
    <row r="20278" spans="1:12" x14ac:dyDescent="0.25">
      <c r="A20278" s="4" t="str">
        <f>HYPERLINK("http://www.rosaceae.org/Prunus/Prunus_persica/p.persica_gdr_reftransV1_0029815","p.persica_gdr_reftransV1_0029815")</f>
        <v>p.persica_gdr_reftransV1_0029815</v>
      </c>
      <c r="B20278" s="2">
        <v>936</v>
      </c>
      <c r="C20278" s="4" t="str">
        <f>HYPERLINK("http://www.uniprot.org/uniprot/M5XJT1","M5XJT1")</f>
        <v>M5XJT1</v>
      </c>
      <c r="D20278" s="2" t="s">
        <v>13292</v>
      </c>
      <c r="E20278" s="3">
        <v>2.6999999999999999E-170</v>
      </c>
      <c r="F20278" s="2">
        <v>1272</v>
      </c>
      <c r="G20278" s="2">
        <v>99</v>
      </c>
      <c r="H20278" s="2">
        <v>253</v>
      </c>
      <c r="I20278" s="2">
        <v>176</v>
      </c>
      <c r="J20278" s="2">
        <v>934</v>
      </c>
      <c r="K20278" s="2">
        <v>244</v>
      </c>
      <c r="L20278" s="2">
        <v>496</v>
      </c>
    </row>
    <row r="20279" spans="1:12" x14ac:dyDescent="0.25">
      <c r="A20279" s="4" t="str">
        <f>HYPERLINK("http://www.rosaceae.org/Prunus/Prunus_persica/p.persica_gdr_reftransV1_0030165","p.persica_gdr_reftransV1_0030165")</f>
        <v>p.persica_gdr_reftransV1_0030165</v>
      </c>
      <c r="B20279" s="2">
        <v>1636</v>
      </c>
      <c r="C20279" s="4" t="str">
        <f>HYPERLINK("http://www.uniprot.org/uniprot/M5XQE0","M5XQE0")</f>
        <v>M5XQE0</v>
      </c>
      <c r="D20279" s="2" t="s">
        <v>9880</v>
      </c>
      <c r="E20279" s="3">
        <v>0</v>
      </c>
      <c r="F20279" s="2">
        <v>1833</v>
      </c>
      <c r="G20279" s="2">
        <v>100</v>
      </c>
      <c r="H20279" s="2">
        <v>338</v>
      </c>
      <c r="I20279" s="2">
        <v>202</v>
      </c>
      <c r="J20279" s="2">
        <v>1215</v>
      </c>
      <c r="K20279" s="2">
        <v>84</v>
      </c>
      <c r="L20279" s="2">
        <v>421</v>
      </c>
    </row>
    <row r="20280" spans="1:12" x14ac:dyDescent="0.25">
      <c r="A20280" s="4" t="str">
        <f>HYPERLINK("http://www.rosaceae.org/Prunus/Prunus_persica/p.persica_gdr_reftransV1_0031215","p.persica_gdr_reftransV1_0031215")</f>
        <v>p.persica_gdr_reftransV1_0031215</v>
      </c>
      <c r="B20280" s="2">
        <v>2141</v>
      </c>
      <c r="C20280" s="4" t="str">
        <f>HYPERLINK("http://www.uniprot.org/uniprot/M5WTH1","M5WTH1")</f>
        <v>M5WTH1</v>
      </c>
      <c r="D20280" s="2" t="s">
        <v>15357</v>
      </c>
      <c r="E20280" s="3">
        <v>3.4300000000000002E-107</v>
      </c>
      <c r="F20280" s="2">
        <v>870</v>
      </c>
      <c r="G20280" s="2">
        <v>99</v>
      </c>
      <c r="H20280" s="2">
        <v>209</v>
      </c>
      <c r="I20280" s="2">
        <v>838</v>
      </c>
      <c r="J20280" s="2">
        <v>1464</v>
      </c>
      <c r="K20280" s="2">
        <v>76</v>
      </c>
      <c r="L20280" s="2">
        <v>284</v>
      </c>
    </row>
    <row r="20281" spans="1:12" x14ac:dyDescent="0.25">
      <c r="A20281" s="4" t="str">
        <f>HYPERLINK("http://www.rosaceae.org/Prunus/Prunus_persica/p.persica_gdr_reftransV1_0031565","p.persica_gdr_reftransV1_0031565")</f>
        <v>p.persica_gdr_reftransV1_0031565</v>
      </c>
      <c r="B20281" s="2">
        <v>1603</v>
      </c>
      <c r="C20281" s="4" t="str">
        <f>HYPERLINK("http://www.uniprot.org/uniprot/W9R598","W9R598")</f>
        <v>W9R598</v>
      </c>
      <c r="D20281" s="2" t="s">
        <v>15358</v>
      </c>
      <c r="E20281" s="3">
        <v>4.2499999999999997E-89</v>
      </c>
      <c r="F20281" s="2">
        <v>741</v>
      </c>
      <c r="G20281" s="2">
        <v>70</v>
      </c>
      <c r="H20281" s="2">
        <v>310</v>
      </c>
      <c r="I20281" s="2">
        <v>263</v>
      </c>
      <c r="J20281" s="2">
        <v>1177</v>
      </c>
      <c r="K20281" s="2">
        <v>71</v>
      </c>
      <c r="L20281" s="2">
        <v>361</v>
      </c>
    </row>
    <row r="20282" spans="1:12" x14ac:dyDescent="0.25">
      <c r="A20282" s="4" t="str">
        <f>HYPERLINK("http://www.rosaceae.org/Prunus/Prunus_persica/p.persica_gdr_reftransV1_0032265","p.persica_gdr_reftransV1_0032265")</f>
        <v>p.persica_gdr_reftransV1_0032265</v>
      </c>
      <c r="B20282" s="2">
        <v>1827</v>
      </c>
      <c r="C20282" s="4" t="str">
        <f>HYPERLINK("http://www.uniprot.org/uniprot/D7TS58","D7TS58")</f>
        <v>D7TS58</v>
      </c>
      <c r="D20282" s="2" t="s">
        <v>15359</v>
      </c>
      <c r="E20282" s="3">
        <v>4.8099999999999995E-72</v>
      </c>
      <c r="F20282" s="2">
        <v>619</v>
      </c>
      <c r="G20282" s="2">
        <v>54</v>
      </c>
      <c r="H20282" s="2">
        <v>267</v>
      </c>
      <c r="I20282" s="2">
        <v>894</v>
      </c>
      <c r="J20282" s="2">
        <v>1691</v>
      </c>
      <c r="K20282" s="2">
        <v>30</v>
      </c>
      <c r="L20282" s="2">
        <v>235</v>
      </c>
    </row>
    <row r="20283" spans="1:12" x14ac:dyDescent="0.25">
      <c r="A20283" s="4" t="str">
        <f>HYPERLINK("http://www.rosaceae.org/Prunus/Prunus_persica/p.persica_gdr_reftransV1_0033315","p.persica_gdr_reftransV1_0033315")</f>
        <v>p.persica_gdr_reftransV1_0033315</v>
      </c>
      <c r="B20283" s="2">
        <v>4836</v>
      </c>
      <c r="C20283" s="4" t="str">
        <f>HYPERLINK("http://www.uniprot.org/uniprot/M5WI67","M5WI67")</f>
        <v>M5WI67</v>
      </c>
      <c r="D20283" s="2" t="s">
        <v>15360</v>
      </c>
      <c r="E20283" s="3">
        <v>0</v>
      </c>
      <c r="F20283" s="2">
        <v>2140</v>
      </c>
      <c r="G20283" s="2">
        <v>100</v>
      </c>
      <c r="H20283" s="2">
        <v>409</v>
      </c>
      <c r="I20283" s="2">
        <v>2281</v>
      </c>
      <c r="J20283" s="2">
        <v>3507</v>
      </c>
      <c r="K20283" s="2">
        <v>1</v>
      </c>
      <c r="L20283" s="2">
        <v>409</v>
      </c>
    </row>
    <row r="20284" spans="1:12" x14ac:dyDescent="0.25">
      <c r="A20284" s="4" t="str">
        <f>HYPERLINK("http://www.rosaceae.org/Prunus/Prunus_persica/p.persica_gdr_reftransV1_0033665","p.persica_gdr_reftransV1_0033665")</f>
        <v>p.persica_gdr_reftransV1_0033665</v>
      </c>
      <c r="B20284" s="2">
        <v>3168</v>
      </c>
      <c r="C20284" s="4" t="str">
        <f>HYPERLINK("http://www.uniprot.org/uniprot/M5Y1S3","M5Y1S3")</f>
        <v>M5Y1S3</v>
      </c>
      <c r="D20284" s="2" t="s">
        <v>15361</v>
      </c>
      <c r="E20284" s="3">
        <v>0</v>
      </c>
      <c r="F20284" s="2">
        <v>4640</v>
      </c>
      <c r="G20284" s="2">
        <v>100</v>
      </c>
      <c r="H20284" s="2">
        <v>859</v>
      </c>
      <c r="I20284" s="2">
        <v>233</v>
      </c>
      <c r="J20284" s="2">
        <v>2809</v>
      </c>
      <c r="K20284" s="2">
        <v>1</v>
      </c>
      <c r="L20284" s="2">
        <v>859</v>
      </c>
    </row>
    <row r="20285" spans="1:12" x14ac:dyDescent="0.25">
      <c r="A20285" s="4" t="str">
        <f>HYPERLINK("http://www.rosaceae.org/Prunus/Prunus_persica/p.persica_gdr_reftransV1_0034015","p.persica_gdr_reftransV1_0034015")</f>
        <v>p.persica_gdr_reftransV1_0034015</v>
      </c>
      <c r="B20285" s="2">
        <v>965</v>
      </c>
      <c r="C20285" s="4" t="str">
        <f>HYPERLINK("http://www.uniprot.org/uniprot/M5VUE7","M5VUE7")</f>
        <v>M5VUE7</v>
      </c>
      <c r="D20285" s="2" t="s">
        <v>396</v>
      </c>
      <c r="E20285" s="3">
        <v>3.9900000000000001E-170</v>
      </c>
      <c r="F20285" s="2">
        <v>1280</v>
      </c>
      <c r="G20285" s="2">
        <v>77</v>
      </c>
      <c r="H20285" s="2">
        <v>334</v>
      </c>
      <c r="I20285" s="2">
        <v>3</v>
      </c>
      <c r="J20285" s="2">
        <v>965</v>
      </c>
      <c r="K20285" s="2">
        <v>229</v>
      </c>
      <c r="L20285" s="2">
        <v>540</v>
      </c>
    </row>
    <row r="20286" spans="1:12" x14ac:dyDescent="0.25">
      <c r="A20286" s="4" t="str">
        <f>HYPERLINK("http://www.rosaceae.org/Prunus/Prunus_persica/p.persica_gdr_reftransV1_0034365","p.persica_gdr_reftransV1_0034365")</f>
        <v>p.persica_gdr_reftransV1_0034365</v>
      </c>
      <c r="B20286" s="2">
        <v>1764</v>
      </c>
      <c r="C20286" s="4" t="str">
        <f>HYPERLINK("http://www.uniprot.org/uniprot/M5VLK1","M5VLK1")</f>
        <v>M5VLK1</v>
      </c>
      <c r="D20286" s="2" t="s">
        <v>15362</v>
      </c>
      <c r="E20286" s="3">
        <v>1.2499999999999999E-178</v>
      </c>
      <c r="F20286" s="2">
        <v>1334</v>
      </c>
      <c r="G20286" s="2">
        <v>100</v>
      </c>
      <c r="H20286" s="2">
        <v>278</v>
      </c>
      <c r="I20286" s="2">
        <v>455</v>
      </c>
      <c r="J20286" s="2">
        <v>1288</v>
      </c>
      <c r="K20286" s="2">
        <v>1</v>
      </c>
      <c r="L20286" s="2">
        <v>278</v>
      </c>
    </row>
    <row r="20287" spans="1:12" x14ac:dyDescent="0.25">
      <c r="A20287" s="4" t="str">
        <f>HYPERLINK("http://www.rosaceae.org/Prunus/Prunus_persica/p.persica_gdr_reftransV1_0034715","p.persica_gdr_reftransV1_0034715")</f>
        <v>p.persica_gdr_reftransV1_0034715</v>
      </c>
      <c r="B20287" s="2">
        <v>2935</v>
      </c>
      <c r="C20287" s="4" t="str">
        <f>HYPERLINK("http://www.uniprot.org/uniprot/M5VXK4","M5VXK4")</f>
        <v>M5VXK4</v>
      </c>
      <c r="D20287" s="2" t="s">
        <v>15363</v>
      </c>
      <c r="E20287" s="3">
        <v>0</v>
      </c>
      <c r="F20287" s="2">
        <v>2209</v>
      </c>
      <c r="G20287" s="2">
        <v>100</v>
      </c>
      <c r="H20287" s="2">
        <v>448</v>
      </c>
      <c r="I20287" s="2">
        <v>945</v>
      </c>
      <c r="J20287" s="2">
        <v>2288</v>
      </c>
      <c r="K20287" s="2">
        <v>156</v>
      </c>
      <c r="L20287" s="2">
        <v>603</v>
      </c>
    </row>
    <row r="20288" spans="1:12" x14ac:dyDescent="0.25">
      <c r="A20288" s="4" t="str">
        <f>HYPERLINK("http://www.rosaceae.org/Prunus/Prunus_persica/p.persica_gdr_reftransV1_0035415","p.persica_gdr_reftransV1_0035415")</f>
        <v>p.persica_gdr_reftransV1_0035415</v>
      </c>
      <c r="B20288" s="2">
        <v>347</v>
      </c>
      <c r="C20288" s="4" t="str">
        <f>HYPERLINK("http://www.uniprot.org/uniprot/M5VV17","M5VV17")</f>
        <v>M5VV17</v>
      </c>
      <c r="D20288" s="2" t="s">
        <v>3310</v>
      </c>
      <c r="E20288" s="3">
        <v>3.1300000000000001E-56</v>
      </c>
      <c r="F20288" s="2">
        <v>499</v>
      </c>
      <c r="G20288" s="2">
        <v>100</v>
      </c>
      <c r="H20288" s="2">
        <v>112</v>
      </c>
      <c r="I20288" s="2">
        <v>1</v>
      </c>
      <c r="J20288" s="2">
        <v>336</v>
      </c>
      <c r="K20288" s="2">
        <v>641</v>
      </c>
      <c r="L20288" s="2">
        <v>752</v>
      </c>
    </row>
    <row r="20289" spans="1:12" x14ac:dyDescent="0.25">
      <c r="A20289" s="4" t="str">
        <f>HYPERLINK("http://www.rosaceae.org/Prunus/Prunus_persica/p.persica_gdr_reftransV1_0039615","p.persica_gdr_reftransV1_0039615")</f>
        <v>p.persica_gdr_reftransV1_0039615</v>
      </c>
      <c r="B20289" s="2">
        <v>3507</v>
      </c>
      <c r="C20289" s="4" t="str">
        <f>HYPERLINK("http://www.uniprot.org/uniprot/F6K732","F6K732")</f>
        <v>F6K732</v>
      </c>
      <c r="D20289" s="2" t="s">
        <v>15364</v>
      </c>
      <c r="E20289" s="3">
        <v>0</v>
      </c>
      <c r="F20289" s="2">
        <v>2552</v>
      </c>
      <c r="G20289" s="2">
        <v>100</v>
      </c>
      <c r="H20289" s="2">
        <v>487</v>
      </c>
      <c r="I20289" s="2">
        <v>525</v>
      </c>
      <c r="J20289" s="2">
        <v>1985</v>
      </c>
      <c r="K20289" s="2">
        <v>1</v>
      </c>
      <c r="L20289" s="2">
        <v>487</v>
      </c>
    </row>
    <row r="20290" spans="1:12" x14ac:dyDescent="0.25">
      <c r="A20290" s="4" t="str">
        <f>HYPERLINK("http://www.rosaceae.org/Prunus/Prunus_persica/p.persica_gdr_reftransV1_0042415","p.persica_gdr_reftransV1_0042415")</f>
        <v>p.persica_gdr_reftransV1_0042415</v>
      </c>
      <c r="B20290" s="2">
        <v>1664</v>
      </c>
      <c r="C20290" s="4" t="str">
        <f>HYPERLINK("http://www.uniprot.org/uniprot/M5XKS0","M5XKS0")</f>
        <v>M5XKS0</v>
      </c>
      <c r="D20290" s="2" t="s">
        <v>15365</v>
      </c>
      <c r="E20290" s="3">
        <v>6.6699999999999999E-68</v>
      </c>
      <c r="F20290" s="2">
        <v>584</v>
      </c>
      <c r="G20290" s="2">
        <v>100</v>
      </c>
      <c r="H20290" s="2">
        <v>111</v>
      </c>
      <c r="I20290" s="2">
        <v>1244</v>
      </c>
      <c r="J20290" s="2">
        <v>1576</v>
      </c>
      <c r="K20290" s="2">
        <v>1</v>
      </c>
      <c r="L20290" s="2">
        <v>111</v>
      </c>
    </row>
    <row r="20291" spans="1:12" x14ac:dyDescent="0.25">
      <c r="A20291" s="4" t="str">
        <f>HYPERLINK("http://www.rosaceae.org/Prunus/Prunus_persica/p.persica_gdr_reftransV1_0043115","p.persica_gdr_reftransV1_0043115")</f>
        <v>p.persica_gdr_reftransV1_0043115</v>
      </c>
      <c r="B20291" s="2">
        <v>387</v>
      </c>
      <c r="C20291" s="4" t="str">
        <f>HYPERLINK("http://www.uniprot.org/uniprot/M5XN30","M5XN30")</f>
        <v>M5XN30</v>
      </c>
      <c r="D20291" s="2" t="s">
        <v>12499</v>
      </c>
      <c r="E20291" s="3">
        <v>2.2699999999999999E-83</v>
      </c>
      <c r="F20291" s="2">
        <v>678</v>
      </c>
      <c r="G20291" s="2">
        <v>99</v>
      </c>
      <c r="H20291" s="2">
        <v>128</v>
      </c>
      <c r="I20291" s="2">
        <v>3</v>
      </c>
      <c r="J20291" s="2">
        <v>386</v>
      </c>
      <c r="K20291" s="2">
        <v>246</v>
      </c>
      <c r="L20291" s="2">
        <v>373</v>
      </c>
    </row>
    <row r="20292" spans="1:12" x14ac:dyDescent="0.25">
      <c r="A20292" s="4" t="str">
        <f>HYPERLINK("http://www.rosaceae.org/Prunus/Prunus_persica/p.persica_gdr_reftransV1_0043465","p.persica_gdr_reftransV1_0043465")</f>
        <v>p.persica_gdr_reftransV1_0043465</v>
      </c>
      <c r="B20292" s="2">
        <v>685</v>
      </c>
      <c r="C20292" s="4" t="str">
        <f>HYPERLINK("http://www.uniprot.org/uniprot/M5VJ30","M5VJ30")</f>
        <v>M5VJ30</v>
      </c>
      <c r="D20292" s="2" t="s">
        <v>52</v>
      </c>
      <c r="E20292" s="3">
        <v>7.4600000000000001E-10</v>
      </c>
      <c r="F20292" s="2">
        <v>163</v>
      </c>
      <c r="G20292" s="2">
        <v>31</v>
      </c>
      <c r="H20292" s="2">
        <v>203</v>
      </c>
      <c r="I20292" s="2">
        <v>79</v>
      </c>
      <c r="J20292" s="2">
        <v>684</v>
      </c>
      <c r="K20292" s="2">
        <v>104</v>
      </c>
      <c r="L20292" s="2">
        <v>272</v>
      </c>
    </row>
    <row r="20293" spans="1:12" x14ac:dyDescent="0.25">
      <c r="A20293" s="4" t="str">
        <f>HYPERLINK("http://www.rosaceae.org/Prunus/Prunus_persica/p.persica_gdr_reftransV1_0043815","p.persica_gdr_reftransV1_0043815")</f>
        <v>p.persica_gdr_reftransV1_0043815</v>
      </c>
      <c r="B20293" s="2">
        <v>1677</v>
      </c>
      <c r="C20293" s="4" t="str">
        <f>HYPERLINK("http://www.uniprot.org/uniprot/M5Y927","M5Y927")</f>
        <v>M5Y927</v>
      </c>
      <c r="D20293" s="2" t="s">
        <v>15366</v>
      </c>
      <c r="E20293" s="3">
        <v>0</v>
      </c>
      <c r="F20293" s="2">
        <v>1764</v>
      </c>
      <c r="G20293" s="2">
        <v>100</v>
      </c>
      <c r="H20293" s="2">
        <v>360</v>
      </c>
      <c r="I20293" s="2">
        <v>383</v>
      </c>
      <c r="J20293" s="2">
        <v>1462</v>
      </c>
      <c r="K20293" s="2">
        <v>17</v>
      </c>
      <c r="L20293" s="2">
        <v>376</v>
      </c>
    </row>
    <row r="20294" spans="1:12" x14ac:dyDescent="0.25">
      <c r="A20294" s="4" t="str">
        <f>HYPERLINK("http://www.rosaceae.org/Prunus/Prunus_persica/p.persica_gdr_reftransV1_0044165","p.persica_gdr_reftransV1_0044165")</f>
        <v>p.persica_gdr_reftransV1_0044165</v>
      </c>
      <c r="B20294" s="2">
        <v>556</v>
      </c>
      <c r="C20294" s="4" t="str">
        <f>HYPERLINK("http://www.uniprot.org/uniprot/M5XCJ8","M5XCJ8")</f>
        <v>M5XCJ8</v>
      </c>
      <c r="D20294" s="2" t="s">
        <v>4439</v>
      </c>
      <c r="E20294" s="3">
        <v>2.1899999999999998E-96</v>
      </c>
      <c r="F20294" s="2">
        <v>782</v>
      </c>
      <c r="G20294" s="2">
        <v>83</v>
      </c>
      <c r="H20294" s="2">
        <v>208</v>
      </c>
      <c r="I20294" s="2">
        <v>1</v>
      </c>
      <c r="J20294" s="2">
        <v>555</v>
      </c>
      <c r="K20294" s="2">
        <v>323</v>
      </c>
      <c r="L20294" s="2">
        <v>530</v>
      </c>
    </row>
    <row r="20295" spans="1:12" x14ac:dyDescent="0.25">
      <c r="A20295" s="4" t="str">
        <f>HYPERLINK("http://www.rosaceae.org/Prunus/Prunus_persica/p.persica_gdr_reftransV1_0044515","p.persica_gdr_reftransV1_0044515")</f>
        <v>p.persica_gdr_reftransV1_0044515</v>
      </c>
      <c r="B20295" s="2">
        <v>1686</v>
      </c>
      <c r="C20295" s="4" t="str">
        <f>HYPERLINK("http://www.uniprot.org/uniprot/M5XCU1","M5XCU1")</f>
        <v>M5XCU1</v>
      </c>
      <c r="D20295" s="2" t="s">
        <v>10620</v>
      </c>
      <c r="E20295" s="3">
        <v>0</v>
      </c>
      <c r="F20295" s="2">
        <v>1938</v>
      </c>
      <c r="G20295" s="2">
        <v>100</v>
      </c>
      <c r="H20295" s="2">
        <v>422</v>
      </c>
      <c r="I20295" s="2">
        <v>185</v>
      </c>
      <c r="J20295" s="2">
        <v>1450</v>
      </c>
      <c r="K20295" s="2">
        <v>1</v>
      </c>
      <c r="L20295" s="2">
        <v>422</v>
      </c>
    </row>
    <row r="20296" spans="1:12" x14ac:dyDescent="0.25">
      <c r="A20296" s="4" t="str">
        <f>HYPERLINK("http://www.rosaceae.org/Prunus/Prunus_persica/p.persica_gdr_reftransV1_0044865","p.persica_gdr_reftransV1_0044865")</f>
        <v>p.persica_gdr_reftransV1_0044865</v>
      </c>
      <c r="B20296" s="2">
        <v>500</v>
      </c>
      <c r="C20296" s="4" t="str">
        <f>HYPERLINK("http://www.uniprot.org/uniprot/M5WKH6","M5WKH6")</f>
        <v>M5WKH6</v>
      </c>
      <c r="D20296" s="2" t="s">
        <v>14580</v>
      </c>
      <c r="E20296" s="3">
        <v>2.8100000000000002E-69</v>
      </c>
      <c r="F20296" s="2">
        <v>554</v>
      </c>
      <c r="G20296" s="2">
        <v>99</v>
      </c>
      <c r="H20296" s="2">
        <v>132</v>
      </c>
      <c r="I20296" s="2">
        <v>103</v>
      </c>
      <c r="J20296" s="2">
        <v>498</v>
      </c>
      <c r="K20296" s="2">
        <v>1</v>
      </c>
      <c r="L20296" s="2">
        <v>132</v>
      </c>
    </row>
    <row r="20297" spans="1:12" x14ac:dyDescent="0.25">
      <c r="A20297" s="4" t="str">
        <f>HYPERLINK("http://www.rosaceae.org/Prunus/Prunus_persica/p.persica_gdr_reftransV1_0045215","p.persica_gdr_reftransV1_0045215")</f>
        <v>p.persica_gdr_reftransV1_0045215</v>
      </c>
      <c r="B20297" s="2">
        <v>317</v>
      </c>
      <c r="C20297" s="4" t="str">
        <f>HYPERLINK("http://www.uniprot.org/uniprot/M5VZX5","M5VZX5")</f>
        <v>M5VZX5</v>
      </c>
      <c r="D20297" s="2" t="s">
        <v>5028</v>
      </c>
      <c r="E20297" s="3">
        <v>4.9200000000000002E-46</v>
      </c>
      <c r="F20297" s="2">
        <v>410</v>
      </c>
      <c r="G20297" s="2">
        <v>100</v>
      </c>
      <c r="H20297" s="2">
        <v>77</v>
      </c>
      <c r="I20297" s="2">
        <v>2</v>
      </c>
      <c r="J20297" s="2">
        <v>232</v>
      </c>
      <c r="K20297" s="2">
        <v>285</v>
      </c>
      <c r="L20297" s="2">
        <v>361</v>
      </c>
    </row>
    <row r="20298" spans="1:12" x14ac:dyDescent="0.25">
      <c r="A20298" s="4" t="str">
        <f>HYPERLINK("http://www.rosaceae.org/Prunus/Prunus_persica/p.persica_gdr_reftransV1_0045565","p.persica_gdr_reftransV1_0045565")</f>
        <v>p.persica_gdr_reftransV1_0045565</v>
      </c>
      <c r="B20298" s="2">
        <v>1742</v>
      </c>
      <c r="C20298" s="4" t="str">
        <f>HYPERLINK("http://www.uniprot.org/uniprot/M5X074","M5X074")</f>
        <v>M5X074</v>
      </c>
      <c r="D20298" s="2" t="s">
        <v>6860</v>
      </c>
      <c r="E20298" s="3">
        <v>0</v>
      </c>
      <c r="F20298" s="2">
        <v>2048</v>
      </c>
      <c r="G20298" s="2">
        <v>100</v>
      </c>
      <c r="H20298" s="2">
        <v>427</v>
      </c>
      <c r="I20298" s="2">
        <v>461</v>
      </c>
      <c r="J20298" s="2">
        <v>1741</v>
      </c>
      <c r="K20298" s="2">
        <v>526</v>
      </c>
      <c r="L20298" s="2">
        <v>952</v>
      </c>
    </row>
    <row r="20299" spans="1:12" x14ac:dyDescent="0.25">
      <c r="A20299" s="4" t="str">
        <f>HYPERLINK("http://www.rosaceae.org/Prunus/Prunus_persica/p.persica_gdr_reftransV1_0046265","p.persica_gdr_reftransV1_0046265")</f>
        <v>p.persica_gdr_reftransV1_0046265</v>
      </c>
      <c r="B20299" s="2">
        <v>1320</v>
      </c>
      <c r="C20299" s="4" t="str">
        <f>HYPERLINK("http://www.uniprot.org/uniprot/M5XHM8","M5XHM8")</f>
        <v>M5XHM8</v>
      </c>
      <c r="D20299" s="2" t="s">
        <v>7453</v>
      </c>
      <c r="E20299" s="3">
        <v>8.2600000000000002E-143</v>
      </c>
      <c r="F20299" s="2">
        <v>1090</v>
      </c>
      <c r="G20299" s="2">
        <v>100</v>
      </c>
      <c r="H20299" s="2">
        <v>301</v>
      </c>
      <c r="I20299" s="2">
        <v>51</v>
      </c>
      <c r="J20299" s="2">
        <v>953</v>
      </c>
      <c r="K20299" s="2">
        <v>50</v>
      </c>
      <c r="L20299" s="2">
        <v>350</v>
      </c>
    </row>
    <row r="20300" spans="1:12" x14ac:dyDescent="0.25">
      <c r="A20300" s="4" t="str">
        <f>HYPERLINK("http://www.rosaceae.org/Prunus/Prunus_persica/p.persica_gdr_reftransV1_0046615","p.persica_gdr_reftransV1_0046615")</f>
        <v>p.persica_gdr_reftransV1_0046615</v>
      </c>
      <c r="B20300" s="2">
        <v>2044</v>
      </c>
      <c r="C20300" s="4" t="str">
        <f>HYPERLINK("http://www.uniprot.org/uniprot/M5W6X6","M5W6X6")</f>
        <v>M5W6X6</v>
      </c>
      <c r="D20300" s="2" t="s">
        <v>15367</v>
      </c>
      <c r="E20300" s="3">
        <v>0</v>
      </c>
      <c r="F20300" s="2">
        <v>2798</v>
      </c>
      <c r="G20300" s="2">
        <v>100</v>
      </c>
      <c r="H20300" s="2">
        <v>550</v>
      </c>
      <c r="I20300" s="2">
        <v>270</v>
      </c>
      <c r="J20300" s="2">
        <v>1919</v>
      </c>
      <c r="K20300" s="2">
        <v>1</v>
      </c>
      <c r="L20300" s="2">
        <v>550</v>
      </c>
    </row>
    <row r="20301" spans="1:12" x14ac:dyDescent="0.25">
      <c r="A20301" s="4" t="str">
        <f>HYPERLINK("http://www.rosaceae.org/Prunus/Prunus_persica/p.persica_gdr_reftransV1_0046965","p.persica_gdr_reftransV1_0046965")</f>
        <v>p.persica_gdr_reftransV1_0046965</v>
      </c>
      <c r="B20301" s="2">
        <v>599</v>
      </c>
      <c r="C20301" s="4" t="str">
        <f>HYPERLINK("http://www.uniprot.org/uniprot/M5VMS2","M5VMS2")</f>
        <v>M5VMS2</v>
      </c>
      <c r="D20301" s="2" t="s">
        <v>2658</v>
      </c>
      <c r="E20301" s="3">
        <v>3.8200000000000002E-106</v>
      </c>
      <c r="F20301" s="2">
        <v>834</v>
      </c>
      <c r="G20301" s="2">
        <v>100</v>
      </c>
      <c r="H20301" s="2">
        <v>182</v>
      </c>
      <c r="I20301" s="2">
        <v>1</v>
      </c>
      <c r="J20301" s="2">
        <v>546</v>
      </c>
      <c r="K20301" s="2">
        <v>1</v>
      </c>
      <c r="L20301" s="2">
        <v>182</v>
      </c>
    </row>
    <row r="20302" spans="1:12" x14ac:dyDescent="0.25">
      <c r="A20302" s="4" t="str">
        <f>HYPERLINK("http://www.rosaceae.org/Prunus/Prunus_persica/p.persica_gdr_reftransV1_0047665","p.persica_gdr_reftransV1_0047665")</f>
        <v>p.persica_gdr_reftransV1_0047665</v>
      </c>
      <c r="B20302" s="2">
        <v>1371</v>
      </c>
      <c r="C20302" s="4" t="str">
        <f>HYPERLINK("http://www.uniprot.org/uniprot/M5WIX9","M5WIX9")</f>
        <v>M5WIX9</v>
      </c>
      <c r="D20302" s="2" t="s">
        <v>4483</v>
      </c>
      <c r="E20302" s="3">
        <v>4.7800000000000003E-156</v>
      </c>
      <c r="F20302" s="2">
        <v>1071</v>
      </c>
      <c r="G20302" s="2">
        <v>96</v>
      </c>
      <c r="H20302" s="2">
        <v>208</v>
      </c>
      <c r="I20302" s="2">
        <v>432</v>
      </c>
      <c r="J20302" s="2">
        <v>1055</v>
      </c>
      <c r="K20302" s="2">
        <v>101</v>
      </c>
      <c r="L20302" s="2">
        <v>308</v>
      </c>
    </row>
    <row r="20303" spans="1:12" x14ac:dyDescent="0.25">
      <c r="A20303" s="4" t="str">
        <f>HYPERLINK("http://www.rosaceae.org/Prunus/Prunus_persica/p.persica_gdr_reftransV1_0048365","p.persica_gdr_reftransV1_0048365")</f>
        <v>p.persica_gdr_reftransV1_0048365</v>
      </c>
      <c r="B20303" s="2">
        <v>543</v>
      </c>
      <c r="C20303" s="4" t="str">
        <f>HYPERLINK("http://www.uniprot.org/uniprot/M5VGN4","M5VGN4")</f>
        <v>M5VGN4</v>
      </c>
      <c r="D20303" s="2" t="s">
        <v>7780</v>
      </c>
      <c r="E20303" s="3">
        <v>7.4200000000000004E-101</v>
      </c>
      <c r="F20303" s="2">
        <v>810</v>
      </c>
      <c r="G20303" s="2">
        <v>100</v>
      </c>
      <c r="H20303" s="2">
        <v>156</v>
      </c>
      <c r="I20303" s="2">
        <v>74</v>
      </c>
      <c r="J20303" s="2">
        <v>541</v>
      </c>
      <c r="K20303" s="2">
        <v>519</v>
      </c>
      <c r="L20303" s="2">
        <v>674</v>
      </c>
    </row>
    <row r="20304" spans="1:12" x14ac:dyDescent="0.25">
      <c r="A20304" s="4" t="str">
        <f>HYPERLINK("http://www.rosaceae.org/Prunus/Prunus_persica/p.persica_gdr_reftransV1_0048715","p.persica_gdr_reftransV1_0048715")</f>
        <v>p.persica_gdr_reftransV1_0048715</v>
      </c>
      <c r="B20304" s="2">
        <v>1045</v>
      </c>
      <c r="C20304" s="4" t="str">
        <f>HYPERLINK("http://www.uniprot.org/uniprot/M5XG55","M5XG55")</f>
        <v>M5XG55</v>
      </c>
      <c r="D20304" s="2" t="s">
        <v>15368</v>
      </c>
      <c r="E20304" s="3">
        <v>2.6100000000000001E-133</v>
      </c>
      <c r="F20304" s="2">
        <v>1005</v>
      </c>
      <c r="G20304" s="2">
        <v>100</v>
      </c>
      <c r="H20304" s="2">
        <v>213</v>
      </c>
      <c r="I20304" s="2">
        <v>256</v>
      </c>
      <c r="J20304" s="2">
        <v>894</v>
      </c>
      <c r="K20304" s="2">
        <v>1</v>
      </c>
      <c r="L20304" s="2">
        <v>213</v>
      </c>
    </row>
    <row r="20305" spans="1:12" x14ac:dyDescent="0.25">
      <c r="A20305" s="4" t="str">
        <f>HYPERLINK("http://www.rosaceae.org/Prunus/Prunus_persica/p.persica_gdr_reftransV1_0049065","p.persica_gdr_reftransV1_0049065")</f>
        <v>p.persica_gdr_reftransV1_0049065</v>
      </c>
      <c r="B20305" s="2">
        <v>1203</v>
      </c>
      <c r="C20305" s="4" t="str">
        <f>HYPERLINK("http://www.uniprot.org/uniprot/M5XGC6","M5XGC6")</f>
        <v>M5XGC6</v>
      </c>
      <c r="D20305" s="2" t="s">
        <v>15369</v>
      </c>
      <c r="E20305" s="3">
        <v>2.29E-159</v>
      </c>
      <c r="F20305" s="2">
        <v>1184</v>
      </c>
      <c r="G20305" s="2">
        <v>100</v>
      </c>
      <c r="H20305" s="2">
        <v>241</v>
      </c>
      <c r="I20305" s="2">
        <v>385</v>
      </c>
      <c r="J20305" s="2">
        <v>1107</v>
      </c>
      <c r="K20305" s="2">
        <v>1</v>
      </c>
      <c r="L20305" s="2">
        <v>241</v>
      </c>
    </row>
    <row r="20306" spans="1:12" x14ac:dyDescent="0.25">
      <c r="A20306" s="4" t="str">
        <f>HYPERLINK("http://www.rosaceae.org/Prunus/Prunus_persica/p.persica_gdr_reftransV1_0000066","p.persica_gdr_reftransV1_0000066")</f>
        <v>p.persica_gdr_reftransV1_0000066</v>
      </c>
      <c r="B20306" s="2">
        <v>1705</v>
      </c>
      <c r="C20306" s="4" t="str">
        <f>HYPERLINK("http://www.uniprot.org/uniprot/K4ASW3","K4ASW3")</f>
        <v>K4ASW3</v>
      </c>
      <c r="D20306" s="2" t="s">
        <v>4554</v>
      </c>
      <c r="E20306" s="3">
        <v>8.2300000000000004E-120</v>
      </c>
      <c r="F20306" s="2">
        <v>949</v>
      </c>
      <c r="G20306" s="2">
        <v>87</v>
      </c>
      <c r="H20306" s="2">
        <v>233</v>
      </c>
      <c r="I20306" s="2">
        <v>897</v>
      </c>
      <c r="J20306" s="2">
        <v>1589</v>
      </c>
      <c r="K20306" s="2">
        <v>1</v>
      </c>
      <c r="L20306" s="2">
        <v>211</v>
      </c>
    </row>
    <row r="20307" spans="1:12" x14ac:dyDescent="0.25">
      <c r="A20307" s="4" t="str">
        <f>HYPERLINK("http://www.rosaceae.org/Prunus/Prunus_persica/p.persica_gdr_reftransV1_0000416","p.persica_gdr_reftransV1_0000416")</f>
        <v>p.persica_gdr_reftransV1_0000416</v>
      </c>
      <c r="B20307" s="2">
        <v>2970</v>
      </c>
      <c r="C20307" s="4" t="str">
        <f>HYPERLINK("http://www.uniprot.org/uniprot/M5WH04","M5WH04")</f>
        <v>M5WH04</v>
      </c>
      <c r="D20307" s="2" t="s">
        <v>15370</v>
      </c>
      <c r="E20307" s="3">
        <v>0</v>
      </c>
      <c r="F20307" s="2">
        <v>3235</v>
      </c>
      <c r="G20307" s="2">
        <v>98</v>
      </c>
      <c r="H20307" s="2">
        <v>691</v>
      </c>
      <c r="I20307" s="2">
        <v>449</v>
      </c>
      <c r="J20307" s="2">
        <v>2521</v>
      </c>
      <c r="K20307" s="2">
        <v>1</v>
      </c>
      <c r="L20307" s="2">
        <v>680</v>
      </c>
    </row>
    <row r="20308" spans="1:12" x14ac:dyDescent="0.25">
      <c r="A20308" s="4" t="str">
        <f>HYPERLINK("http://www.rosaceae.org/Prunus/Prunus_persica/p.persica_gdr_reftransV1_0000766","p.persica_gdr_reftransV1_0000766")</f>
        <v>p.persica_gdr_reftransV1_0000766</v>
      </c>
      <c r="B20308" s="2">
        <v>1072</v>
      </c>
      <c r="C20308" s="4" t="str">
        <f>HYPERLINK("http://www.uniprot.org/uniprot/M5W307","M5W307")</f>
        <v>M5W307</v>
      </c>
      <c r="D20308" s="2" t="s">
        <v>15371</v>
      </c>
      <c r="E20308" s="3">
        <v>4.1800000000000001E-168</v>
      </c>
      <c r="F20308" s="2">
        <v>1240</v>
      </c>
      <c r="G20308" s="2">
        <v>100</v>
      </c>
      <c r="H20308" s="2">
        <v>266</v>
      </c>
      <c r="I20308" s="2">
        <v>75</v>
      </c>
      <c r="J20308" s="2">
        <v>872</v>
      </c>
      <c r="K20308" s="2">
        <v>6</v>
      </c>
      <c r="L20308" s="2">
        <v>271</v>
      </c>
    </row>
    <row r="20309" spans="1:12" x14ac:dyDescent="0.25">
      <c r="A20309" s="4" t="str">
        <f>HYPERLINK("http://www.rosaceae.org/Prunus/Prunus_persica/p.persica_gdr_reftransV1_0001116","p.persica_gdr_reftransV1_0001116")</f>
        <v>p.persica_gdr_reftransV1_0001116</v>
      </c>
      <c r="B20309" s="2">
        <v>1731</v>
      </c>
      <c r="C20309" s="4" t="str">
        <f>HYPERLINK("http://www.uniprot.org/uniprot/M5XPI5","M5XPI5")</f>
        <v>M5XPI5</v>
      </c>
      <c r="D20309" s="2" t="s">
        <v>10718</v>
      </c>
      <c r="E20309" s="3">
        <v>0</v>
      </c>
      <c r="F20309" s="2">
        <v>2377</v>
      </c>
      <c r="G20309" s="2">
        <v>97</v>
      </c>
      <c r="H20309" s="2">
        <v>460</v>
      </c>
      <c r="I20309" s="2">
        <v>129</v>
      </c>
      <c r="J20309" s="2">
        <v>1472</v>
      </c>
      <c r="K20309" s="2">
        <v>1</v>
      </c>
      <c r="L20309" s="2">
        <v>460</v>
      </c>
    </row>
    <row r="20310" spans="1:12" x14ac:dyDescent="0.25">
      <c r="A20310" s="4" t="str">
        <f>HYPERLINK("http://www.rosaceae.org/Prunus/Prunus_persica/p.persica_gdr_reftransV1_0001466","p.persica_gdr_reftransV1_0001466")</f>
        <v>p.persica_gdr_reftransV1_0001466</v>
      </c>
      <c r="B20310" s="2">
        <v>3193</v>
      </c>
      <c r="C20310" s="4" t="str">
        <f>HYPERLINK("http://www.uniprot.org/uniprot/M5WMD0","M5WMD0")</f>
        <v>M5WMD0</v>
      </c>
      <c r="D20310" s="2" t="s">
        <v>15372</v>
      </c>
      <c r="E20310" s="3">
        <v>0</v>
      </c>
      <c r="F20310" s="2">
        <v>3658</v>
      </c>
      <c r="G20310" s="2">
        <v>100</v>
      </c>
      <c r="H20310" s="2">
        <v>720</v>
      </c>
      <c r="I20310" s="2">
        <v>864</v>
      </c>
      <c r="J20310" s="2">
        <v>3023</v>
      </c>
      <c r="K20310" s="2">
        <v>1</v>
      </c>
      <c r="L20310" s="2">
        <v>720</v>
      </c>
    </row>
    <row r="20311" spans="1:12" x14ac:dyDescent="0.25">
      <c r="A20311" s="4" t="str">
        <f>HYPERLINK("http://www.rosaceae.org/Prunus/Prunus_persica/p.persica_gdr_reftransV1_0001816","p.persica_gdr_reftransV1_0001816")</f>
        <v>p.persica_gdr_reftransV1_0001816</v>
      </c>
      <c r="B20311" s="2">
        <v>303</v>
      </c>
      <c r="C20311" s="4" t="str">
        <f>HYPERLINK("http://www.uniprot.org/uniprot/M5XA14","M5XA14")</f>
        <v>M5XA14</v>
      </c>
      <c r="D20311" s="2" t="s">
        <v>1399</v>
      </c>
      <c r="E20311" s="3">
        <v>2.0899999999999999E-30</v>
      </c>
      <c r="F20311" s="2">
        <v>310</v>
      </c>
      <c r="G20311" s="2">
        <v>100</v>
      </c>
      <c r="H20311" s="2">
        <v>76</v>
      </c>
      <c r="I20311" s="2">
        <v>75</v>
      </c>
      <c r="J20311" s="2">
        <v>302</v>
      </c>
      <c r="K20311" s="2">
        <v>1</v>
      </c>
      <c r="L20311" s="2">
        <v>76</v>
      </c>
    </row>
    <row r="20312" spans="1:12" x14ac:dyDescent="0.25">
      <c r="A20312" s="4" t="str">
        <f>HYPERLINK("http://www.rosaceae.org/Prunus/Prunus_persica/p.persica_gdr_reftransV1_0002166","p.persica_gdr_reftransV1_0002166")</f>
        <v>p.persica_gdr_reftransV1_0002166</v>
      </c>
      <c r="B20312" s="2">
        <v>3169</v>
      </c>
      <c r="C20312" s="4" t="str">
        <f>HYPERLINK("http://www.uniprot.org/uniprot/M5Y842","M5Y842")</f>
        <v>M5Y842</v>
      </c>
      <c r="D20312" s="2" t="s">
        <v>12380</v>
      </c>
      <c r="E20312" s="3">
        <v>0</v>
      </c>
      <c r="F20312" s="2">
        <v>2586</v>
      </c>
      <c r="G20312" s="2">
        <v>100</v>
      </c>
      <c r="H20312" s="2">
        <v>506</v>
      </c>
      <c r="I20312" s="2">
        <v>1150</v>
      </c>
      <c r="J20312" s="2">
        <v>2667</v>
      </c>
      <c r="K20312" s="2">
        <v>1</v>
      </c>
      <c r="L20312" s="2">
        <v>506</v>
      </c>
    </row>
    <row r="20313" spans="1:12" x14ac:dyDescent="0.25">
      <c r="A20313" s="4" t="str">
        <f>HYPERLINK("http://www.rosaceae.org/Prunus/Prunus_persica/p.persica_gdr_reftransV1_0002516","p.persica_gdr_reftransV1_0002516")</f>
        <v>p.persica_gdr_reftransV1_0002516</v>
      </c>
      <c r="B20313" s="2">
        <v>1860</v>
      </c>
      <c r="C20313" s="4" t="str">
        <f>HYPERLINK("http://www.uniprot.org/uniprot/M5WEW9","M5WEW9")</f>
        <v>M5WEW9</v>
      </c>
      <c r="D20313" s="2" t="s">
        <v>10750</v>
      </c>
      <c r="E20313" s="3">
        <v>0</v>
      </c>
      <c r="F20313" s="2">
        <v>2777</v>
      </c>
      <c r="G20313" s="2">
        <v>100</v>
      </c>
      <c r="H20313" s="2">
        <v>516</v>
      </c>
      <c r="I20313" s="2">
        <v>25</v>
      </c>
      <c r="J20313" s="2">
        <v>1572</v>
      </c>
      <c r="K20313" s="2">
        <v>7</v>
      </c>
      <c r="L20313" s="2">
        <v>522</v>
      </c>
    </row>
    <row r="20314" spans="1:12" x14ac:dyDescent="0.25">
      <c r="A20314" s="4" t="str">
        <f>HYPERLINK("http://www.rosaceae.org/Prunus/Prunus_persica/p.persica_gdr_reftransV1_0003216","p.persica_gdr_reftransV1_0003216")</f>
        <v>p.persica_gdr_reftransV1_0003216</v>
      </c>
      <c r="B20314" s="2">
        <v>1570</v>
      </c>
      <c r="C20314" s="4" t="str">
        <f>HYPERLINK("http://www.uniprot.org/uniprot/A5B2D5","A5B2D5")</f>
        <v>A5B2D5</v>
      </c>
      <c r="D20314" s="2" t="s">
        <v>15373</v>
      </c>
      <c r="E20314" s="3">
        <v>7.7499999999999998E-84</v>
      </c>
      <c r="F20314" s="2">
        <v>700</v>
      </c>
      <c r="G20314" s="2">
        <v>44</v>
      </c>
      <c r="H20314" s="2">
        <v>309</v>
      </c>
      <c r="I20314" s="2">
        <v>244</v>
      </c>
      <c r="J20314" s="2">
        <v>1146</v>
      </c>
      <c r="K20314" s="2">
        <v>5</v>
      </c>
      <c r="L20314" s="2">
        <v>303</v>
      </c>
    </row>
    <row r="20315" spans="1:12" x14ac:dyDescent="0.25">
      <c r="A20315" s="4" t="str">
        <f>HYPERLINK("http://www.rosaceae.org/Prunus/Prunus_persica/p.persica_gdr_reftransV1_0003566","p.persica_gdr_reftransV1_0003566")</f>
        <v>p.persica_gdr_reftransV1_0003566</v>
      </c>
      <c r="B20315" s="2">
        <v>2189</v>
      </c>
      <c r="C20315" s="4" t="str">
        <f>HYPERLINK("http://www.uniprot.org/uniprot/M5WNK7","M5WNK7")</f>
        <v>M5WNK7</v>
      </c>
      <c r="D20315" s="2" t="s">
        <v>7218</v>
      </c>
      <c r="E20315" s="3">
        <v>0</v>
      </c>
      <c r="F20315" s="2">
        <v>3159</v>
      </c>
      <c r="G20315" s="2">
        <v>91</v>
      </c>
      <c r="H20315" s="2">
        <v>663</v>
      </c>
      <c r="I20315" s="2">
        <v>88</v>
      </c>
      <c r="J20315" s="2">
        <v>2076</v>
      </c>
      <c r="K20315" s="2">
        <v>1</v>
      </c>
      <c r="L20315" s="2">
        <v>615</v>
      </c>
    </row>
    <row r="20316" spans="1:12" x14ac:dyDescent="0.25">
      <c r="A20316" s="4" t="str">
        <f>HYPERLINK("http://www.rosaceae.org/Prunus/Prunus_persica/p.persica_gdr_reftransV1_0003916","p.persica_gdr_reftransV1_0003916")</f>
        <v>p.persica_gdr_reftransV1_0003916</v>
      </c>
      <c r="B20316" s="2">
        <v>568</v>
      </c>
      <c r="C20316" s="4" t="str">
        <f>HYPERLINK("http://www.uniprot.org/uniprot/M5VTN5","M5VTN5")</f>
        <v>M5VTN5</v>
      </c>
      <c r="D20316" s="2" t="s">
        <v>2869</v>
      </c>
      <c r="E20316" s="3">
        <v>1.6399999999999999E-26</v>
      </c>
      <c r="F20316" s="2">
        <v>250</v>
      </c>
      <c r="G20316" s="2">
        <v>52</v>
      </c>
      <c r="H20316" s="2">
        <v>106</v>
      </c>
      <c r="I20316" s="2">
        <v>1</v>
      </c>
      <c r="J20316" s="2">
        <v>312</v>
      </c>
      <c r="K20316" s="2">
        <v>978</v>
      </c>
      <c r="L20316" s="2">
        <v>1078</v>
      </c>
    </row>
    <row r="20317" spans="1:12" x14ac:dyDescent="0.25">
      <c r="A20317" s="4" t="str">
        <f>HYPERLINK("http://www.rosaceae.org/Prunus/Prunus_persica/p.persica_gdr_reftransV1_0004616","p.persica_gdr_reftransV1_0004616")</f>
        <v>p.persica_gdr_reftransV1_0004616</v>
      </c>
      <c r="B20317" s="2">
        <v>975</v>
      </c>
      <c r="C20317" s="4" t="str">
        <f>HYPERLINK("http://www.uniprot.org/uniprot/M5VN26","M5VN26")</f>
        <v>M5VN26</v>
      </c>
      <c r="D20317" s="2" t="s">
        <v>3316</v>
      </c>
      <c r="E20317" s="3">
        <v>3.8899999999999998E-163</v>
      </c>
      <c r="F20317" s="2">
        <v>1258</v>
      </c>
      <c r="G20317" s="2">
        <v>100</v>
      </c>
      <c r="H20317" s="2">
        <v>238</v>
      </c>
      <c r="I20317" s="2">
        <v>260</v>
      </c>
      <c r="J20317" s="2">
        <v>973</v>
      </c>
      <c r="K20317" s="2">
        <v>1</v>
      </c>
      <c r="L20317" s="2">
        <v>238</v>
      </c>
    </row>
    <row r="20318" spans="1:12" x14ac:dyDescent="0.25">
      <c r="A20318" s="4" t="str">
        <f>HYPERLINK("http://www.rosaceae.org/Prunus/Prunus_persica/p.persica_gdr_reftransV1_0004966","p.persica_gdr_reftransV1_0004966")</f>
        <v>p.persica_gdr_reftransV1_0004966</v>
      </c>
      <c r="B20318" s="2">
        <v>914</v>
      </c>
      <c r="C20318" s="4" t="str">
        <f>HYPERLINK("http://www.uniprot.org/uniprot/M5XDE6","M5XDE6")</f>
        <v>M5XDE6</v>
      </c>
      <c r="D20318" s="2" t="s">
        <v>41</v>
      </c>
      <c r="E20318" s="3">
        <v>8.1199999999999995E-101</v>
      </c>
      <c r="F20318" s="2">
        <v>795</v>
      </c>
      <c r="G20318" s="2">
        <v>100</v>
      </c>
      <c r="H20318" s="2">
        <v>161</v>
      </c>
      <c r="I20318" s="2">
        <v>255</v>
      </c>
      <c r="J20318" s="2">
        <v>737</v>
      </c>
      <c r="K20318" s="2">
        <v>170</v>
      </c>
      <c r="L20318" s="2">
        <v>330</v>
      </c>
    </row>
    <row r="20319" spans="1:12" x14ac:dyDescent="0.25">
      <c r="A20319" s="4" t="str">
        <f>HYPERLINK("http://www.rosaceae.org/Prunus/Prunus_persica/p.persica_gdr_reftransV1_0005316","p.persica_gdr_reftransV1_0005316")</f>
        <v>p.persica_gdr_reftransV1_0005316</v>
      </c>
      <c r="B20319" s="2">
        <v>310</v>
      </c>
      <c r="C20319" s="4" t="str">
        <f>HYPERLINK("http://www.uniprot.org/uniprot/M5XAE4","M5XAE4")</f>
        <v>M5XAE4</v>
      </c>
      <c r="D20319" s="2" t="s">
        <v>10942</v>
      </c>
      <c r="E20319" s="3">
        <v>9.2199999999999998E-40</v>
      </c>
      <c r="F20319" s="2">
        <v>369</v>
      </c>
      <c r="G20319" s="2">
        <v>57</v>
      </c>
      <c r="H20319" s="2">
        <v>134</v>
      </c>
      <c r="I20319" s="2">
        <v>3</v>
      </c>
      <c r="J20319" s="2">
        <v>308</v>
      </c>
      <c r="K20319" s="2">
        <v>78</v>
      </c>
      <c r="L20319" s="2">
        <v>211</v>
      </c>
    </row>
    <row r="20320" spans="1:12" x14ac:dyDescent="0.25">
      <c r="A20320" s="4" t="str">
        <f>HYPERLINK("http://www.rosaceae.org/Prunus/Prunus_persica/p.persica_gdr_reftransV1_0006016","p.persica_gdr_reftransV1_0006016")</f>
        <v>p.persica_gdr_reftransV1_0006016</v>
      </c>
      <c r="B20320" s="2">
        <v>605</v>
      </c>
      <c r="C20320" s="4" t="str">
        <f>HYPERLINK("http://www.uniprot.org/uniprot/M5WCS0","M5WCS0")</f>
        <v>M5WCS0</v>
      </c>
      <c r="D20320" s="2" t="s">
        <v>10390</v>
      </c>
      <c r="E20320" s="3">
        <v>9.0699999999999998E-98</v>
      </c>
      <c r="F20320" s="2">
        <v>781</v>
      </c>
      <c r="G20320" s="2">
        <v>100</v>
      </c>
      <c r="H20320" s="2">
        <v>146</v>
      </c>
      <c r="I20320" s="2">
        <v>1</v>
      </c>
      <c r="J20320" s="2">
        <v>438</v>
      </c>
      <c r="K20320" s="2">
        <v>386</v>
      </c>
      <c r="L20320" s="2">
        <v>531</v>
      </c>
    </row>
    <row r="20321" spans="1:12" x14ac:dyDescent="0.25">
      <c r="A20321" s="4" t="str">
        <f>HYPERLINK("http://www.rosaceae.org/Prunus/Prunus_persica/p.persica_gdr_reftransV1_0006716","p.persica_gdr_reftransV1_0006716")</f>
        <v>p.persica_gdr_reftransV1_0006716</v>
      </c>
      <c r="B20321" s="2">
        <v>1671</v>
      </c>
      <c r="C20321" s="4" t="str">
        <f>HYPERLINK("http://www.uniprot.org/uniprot/M5WKU7","M5WKU7")</f>
        <v>M5WKU7</v>
      </c>
      <c r="D20321" s="2" t="s">
        <v>15374</v>
      </c>
      <c r="E20321" s="3">
        <v>1.4600000000000001E-63</v>
      </c>
      <c r="F20321" s="2">
        <v>579</v>
      </c>
      <c r="G20321" s="2">
        <v>97</v>
      </c>
      <c r="H20321" s="2">
        <v>112</v>
      </c>
      <c r="I20321" s="2">
        <v>37</v>
      </c>
      <c r="J20321" s="2">
        <v>372</v>
      </c>
      <c r="K20321" s="2">
        <v>385</v>
      </c>
      <c r="L20321" s="2">
        <v>496</v>
      </c>
    </row>
    <row r="20322" spans="1:12" x14ac:dyDescent="0.25">
      <c r="A20322" s="4" t="str">
        <f>HYPERLINK("http://www.rosaceae.org/Prunus/Prunus_persica/p.persica_gdr_reftransV1_0007066","p.persica_gdr_reftransV1_0007066")</f>
        <v>p.persica_gdr_reftransV1_0007066</v>
      </c>
      <c r="B20322" s="2">
        <v>758</v>
      </c>
      <c r="C20322" s="4" t="str">
        <f>HYPERLINK("http://www.uniprot.org/uniprot/M5X7N7","M5X7N7")</f>
        <v>M5X7N7</v>
      </c>
      <c r="D20322" s="2" t="s">
        <v>15375</v>
      </c>
      <c r="E20322" s="3">
        <v>2.3199999999999999E-89</v>
      </c>
      <c r="F20322" s="2">
        <v>698</v>
      </c>
      <c r="G20322" s="2">
        <v>100</v>
      </c>
      <c r="H20322" s="2">
        <v>128</v>
      </c>
      <c r="I20322" s="2">
        <v>296</v>
      </c>
      <c r="J20322" s="2">
        <v>679</v>
      </c>
      <c r="K20322" s="2">
        <v>1</v>
      </c>
      <c r="L20322" s="2">
        <v>128</v>
      </c>
    </row>
    <row r="20323" spans="1:12" x14ac:dyDescent="0.25">
      <c r="A20323" s="4" t="str">
        <f>HYPERLINK("http://www.rosaceae.org/Prunus/Prunus_persica/p.persica_gdr_reftransV1_0008116","p.persica_gdr_reftransV1_0008116")</f>
        <v>p.persica_gdr_reftransV1_0008116</v>
      </c>
      <c r="B20323" s="2">
        <v>1357</v>
      </c>
      <c r="C20323" s="4" t="str">
        <f>HYPERLINK("http://www.uniprot.org/uniprot/M5XGJ4","M5XGJ4")</f>
        <v>M5XGJ4</v>
      </c>
      <c r="D20323" s="2" t="s">
        <v>15376</v>
      </c>
      <c r="E20323" s="3">
        <v>5.6100000000000003E-47</v>
      </c>
      <c r="F20323" s="2">
        <v>298</v>
      </c>
      <c r="G20323" s="2">
        <v>96</v>
      </c>
      <c r="H20323" s="2">
        <v>82</v>
      </c>
      <c r="I20323" s="2">
        <v>853</v>
      </c>
      <c r="J20323" s="2">
        <v>1098</v>
      </c>
      <c r="K20323" s="2">
        <v>1</v>
      </c>
      <c r="L20323" s="2">
        <v>82</v>
      </c>
    </row>
    <row r="20324" spans="1:12" x14ac:dyDescent="0.25">
      <c r="A20324" s="4" t="str">
        <f>HYPERLINK("http://www.rosaceae.org/Prunus/Prunus_persica/p.persica_gdr_reftransV1_0008466","p.persica_gdr_reftransV1_0008466")</f>
        <v>p.persica_gdr_reftransV1_0008466</v>
      </c>
      <c r="B20324" s="2">
        <v>847</v>
      </c>
      <c r="C20324" s="4" t="str">
        <f>HYPERLINK("http://www.uniprot.org/uniprot/M5WLZ4","M5WLZ4")</f>
        <v>M5WLZ4</v>
      </c>
      <c r="D20324" s="2" t="s">
        <v>15377</v>
      </c>
      <c r="E20324" s="3">
        <v>4E-73</v>
      </c>
      <c r="F20324" s="2">
        <v>633</v>
      </c>
      <c r="G20324" s="2">
        <v>100</v>
      </c>
      <c r="H20324" s="2">
        <v>116</v>
      </c>
      <c r="I20324" s="2">
        <v>499</v>
      </c>
      <c r="J20324" s="2">
        <v>846</v>
      </c>
      <c r="K20324" s="2">
        <v>1</v>
      </c>
      <c r="L20324" s="2">
        <v>116</v>
      </c>
    </row>
    <row r="20325" spans="1:12" x14ac:dyDescent="0.25">
      <c r="A20325" s="4" t="str">
        <f>HYPERLINK("http://www.rosaceae.org/Prunus/Prunus_persica/p.persica_gdr_reftransV1_0008816","p.persica_gdr_reftransV1_0008816")</f>
        <v>p.persica_gdr_reftransV1_0008816</v>
      </c>
      <c r="B20325" s="2">
        <v>1740</v>
      </c>
      <c r="C20325" s="4" t="str">
        <f>HYPERLINK("http://www.uniprot.org/uniprot/M5X228","M5X228")</f>
        <v>M5X228</v>
      </c>
      <c r="D20325" s="2" t="s">
        <v>15378</v>
      </c>
      <c r="E20325" s="3">
        <v>0</v>
      </c>
      <c r="F20325" s="2">
        <v>1892</v>
      </c>
      <c r="G20325" s="2">
        <v>100</v>
      </c>
      <c r="H20325" s="2">
        <v>373</v>
      </c>
      <c r="I20325" s="2">
        <v>251</v>
      </c>
      <c r="J20325" s="2">
        <v>1369</v>
      </c>
      <c r="K20325" s="2">
        <v>1</v>
      </c>
      <c r="L20325" s="2">
        <v>373</v>
      </c>
    </row>
    <row r="20326" spans="1:12" x14ac:dyDescent="0.25">
      <c r="A20326" s="4" t="str">
        <f>HYPERLINK("http://www.rosaceae.org/Prunus/Prunus_persica/p.persica_gdr_reftransV1_0009166","p.persica_gdr_reftransV1_0009166")</f>
        <v>p.persica_gdr_reftransV1_0009166</v>
      </c>
      <c r="B20326" s="2">
        <v>3031</v>
      </c>
      <c r="C20326" s="4" t="str">
        <f>HYPERLINK("http://www.uniprot.org/uniprot/M5WPF9","M5WPF9")</f>
        <v>M5WPF9</v>
      </c>
      <c r="D20326" s="2" t="s">
        <v>7882</v>
      </c>
      <c r="E20326" s="3">
        <v>0</v>
      </c>
      <c r="F20326" s="2">
        <v>1694</v>
      </c>
      <c r="G20326" s="2">
        <v>100</v>
      </c>
      <c r="H20326" s="2">
        <v>312</v>
      </c>
      <c r="I20326" s="2">
        <v>1496</v>
      </c>
      <c r="J20326" s="2">
        <v>2431</v>
      </c>
      <c r="K20326" s="2">
        <v>1</v>
      </c>
      <c r="L20326" s="2">
        <v>312</v>
      </c>
    </row>
    <row r="20327" spans="1:12" x14ac:dyDescent="0.25">
      <c r="A20327" s="4" t="str">
        <f>HYPERLINK("http://www.rosaceae.org/Prunus/Prunus_persica/p.persica_gdr_reftransV1_0009516","p.persica_gdr_reftransV1_0009516")</f>
        <v>p.persica_gdr_reftransV1_0009516</v>
      </c>
      <c r="B20327" s="2">
        <v>1739</v>
      </c>
      <c r="C20327" s="4" t="str">
        <f>HYPERLINK("http://www.uniprot.org/uniprot/M5X2B7","M5X2B7")</f>
        <v>M5X2B7</v>
      </c>
      <c r="D20327" s="2" t="s">
        <v>15379</v>
      </c>
      <c r="E20327" s="3">
        <v>9.4600000000000008E-127</v>
      </c>
      <c r="F20327" s="2">
        <v>983</v>
      </c>
      <c r="G20327" s="2">
        <v>99</v>
      </c>
      <c r="H20327" s="2">
        <v>217</v>
      </c>
      <c r="I20327" s="2">
        <v>803</v>
      </c>
      <c r="J20327" s="2">
        <v>1453</v>
      </c>
      <c r="K20327" s="2">
        <v>4</v>
      </c>
      <c r="L20327" s="2">
        <v>220</v>
      </c>
    </row>
    <row r="20328" spans="1:12" x14ac:dyDescent="0.25">
      <c r="A20328" s="4" t="str">
        <f>HYPERLINK("http://www.rosaceae.org/Prunus/Prunus_persica/p.persica_gdr_reftransV1_0009866","p.persica_gdr_reftransV1_0009866")</f>
        <v>p.persica_gdr_reftransV1_0009866</v>
      </c>
      <c r="B20328" s="2">
        <v>559</v>
      </c>
      <c r="C20328" s="4" t="str">
        <f>HYPERLINK("http://www.uniprot.org/uniprot/M5Y3H7","M5Y3H7")</f>
        <v>M5Y3H7</v>
      </c>
      <c r="D20328" s="2" t="s">
        <v>6638</v>
      </c>
      <c r="E20328" s="3">
        <v>3.7899999999999998E-72</v>
      </c>
      <c r="F20328" s="2">
        <v>614</v>
      </c>
      <c r="G20328" s="2">
        <v>100</v>
      </c>
      <c r="H20328" s="2">
        <v>111</v>
      </c>
      <c r="I20328" s="2">
        <v>3</v>
      </c>
      <c r="J20328" s="2">
        <v>335</v>
      </c>
      <c r="K20328" s="2">
        <v>531</v>
      </c>
      <c r="L20328" s="2">
        <v>641</v>
      </c>
    </row>
    <row r="20329" spans="1:12" x14ac:dyDescent="0.25">
      <c r="A20329" s="4" t="str">
        <f>HYPERLINK("http://www.rosaceae.org/Prunus/Prunus_persica/p.persica_gdr_reftransV1_0011266","p.persica_gdr_reftransV1_0011266")</f>
        <v>p.persica_gdr_reftransV1_0011266</v>
      </c>
      <c r="B20329" s="2">
        <v>2022</v>
      </c>
      <c r="C20329" s="4" t="str">
        <f>HYPERLINK("http://www.uniprot.org/uniprot/M5WBN9","M5WBN9")</f>
        <v>M5WBN9</v>
      </c>
      <c r="D20329" s="2" t="s">
        <v>15380</v>
      </c>
      <c r="E20329" s="3">
        <v>0</v>
      </c>
      <c r="F20329" s="2">
        <v>1815</v>
      </c>
      <c r="G20329" s="2">
        <v>100</v>
      </c>
      <c r="H20329" s="2">
        <v>481</v>
      </c>
      <c r="I20329" s="2">
        <v>188</v>
      </c>
      <c r="J20329" s="2">
        <v>1630</v>
      </c>
      <c r="K20329" s="2">
        <v>1</v>
      </c>
      <c r="L20329" s="2">
        <v>481</v>
      </c>
    </row>
    <row r="20330" spans="1:12" x14ac:dyDescent="0.25">
      <c r="A20330" s="4" t="str">
        <f>HYPERLINK("http://www.rosaceae.org/Prunus/Prunus_persica/p.persica_gdr_reftransV1_0011616","p.persica_gdr_reftransV1_0011616")</f>
        <v>p.persica_gdr_reftransV1_0011616</v>
      </c>
      <c r="B20330" s="2">
        <v>1369</v>
      </c>
      <c r="C20330" s="4" t="str">
        <f>HYPERLINK("http://www.uniprot.org/uniprot/M5XY49","M5XY49")</f>
        <v>M5XY49</v>
      </c>
      <c r="D20330" s="2" t="s">
        <v>15381</v>
      </c>
      <c r="E20330" s="3">
        <v>0</v>
      </c>
      <c r="F20330" s="2">
        <v>1576</v>
      </c>
      <c r="G20330" s="2">
        <v>100</v>
      </c>
      <c r="H20330" s="2">
        <v>313</v>
      </c>
      <c r="I20330" s="2">
        <v>148</v>
      </c>
      <c r="J20330" s="2">
        <v>1086</v>
      </c>
      <c r="K20330" s="2">
        <v>1</v>
      </c>
      <c r="L20330" s="2">
        <v>313</v>
      </c>
    </row>
    <row r="20331" spans="1:12" x14ac:dyDescent="0.25">
      <c r="A20331" s="4" t="str">
        <f>HYPERLINK("http://www.rosaceae.org/Prunus/Prunus_persica/p.persica_gdr_reftransV1_0012666","p.persica_gdr_reftransV1_0012666")</f>
        <v>p.persica_gdr_reftransV1_0012666</v>
      </c>
      <c r="B20331" s="2">
        <v>3166</v>
      </c>
      <c r="C20331" s="4" t="str">
        <f>HYPERLINK("http://www.uniprot.org/uniprot/M5XLJ7","M5XLJ7")</f>
        <v>M5XLJ7</v>
      </c>
      <c r="D20331" s="2" t="s">
        <v>1624</v>
      </c>
      <c r="E20331" s="3">
        <v>0</v>
      </c>
      <c r="F20331" s="2">
        <v>4238</v>
      </c>
      <c r="G20331" s="2">
        <v>96</v>
      </c>
      <c r="H20331" s="2">
        <v>843</v>
      </c>
      <c r="I20331" s="2">
        <v>645</v>
      </c>
      <c r="J20331" s="2">
        <v>3164</v>
      </c>
      <c r="K20331" s="2">
        <v>292</v>
      </c>
      <c r="L20331" s="2">
        <v>1115</v>
      </c>
    </row>
    <row r="20332" spans="1:12" x14ac:dyDescent="0.25">
      <c r="A20332" s="4" t="str">
        <f>HYPERLINK("http://www.rosaceae.org/Prunus/Prunus_persica/p.persica_gdr_reftransV1_0013016","p.persica_gdr_reftransV1_0013016")</f>
        <v>p.persica_gdr_reftransV1_0013016</v>
      </c>
      <c r="B20332" s="2">
        <v>603</v>
      </c>
      <c r="C20332" s="4" t="str">
        <f>HYPERLINK("http://www.uniprot.org/uniprot/T2AY45","T2AY45")</f>
        <v>T2AY45</v>
      </c>
      <c r="D20332" s="2" t="s">
        <v>15382</v>
      </c>
      <c r="E20332" s="3">
        <v>8.5400000000000006E-77</v>
      </c>
      <c r="F20332" s="2">
        <v>623</v>
      </c>
      <c r="G20332" s="2">
        <v>92</v>
      </c>
      <c r="H20332" s="2">
        <v>128</v>
      </c>
      <c r="I20332" s="2">
        <v>220</v>
      </c>
      <c r="J20332" s="2">
        <v>603</v>
      </c>
      <c r="K20332" s="2">
        <v>182</v>
      </c>
      <c r="L20332" s="2">
        <v>309</v>
      </c>
    </row>
    <row r="20333" spans="1:12" x14ac:dyDescent="0.25">
      <c r="A20333" s="4" t="str">
        <f>HYPERLINK("http://www.rosaceae.org/Prunus/Prunus_persica/p.persica_gdr_reftransV1_0013716","p.persica_gdr_reftransV1_0013716")</f>
        <v>p.persica_gdr_reftransV1_0013716</v>
      </c>
      <c r="B20333" s="2">
        <v>3296</v>
      </c>
      <c r="C20333" s="4" t="str">
        <f>HYPERLINK("http://www.uniprot.org/uniprot/M5WMR9","M5WMR9")</f>
        <v>M5WMR9</v>
      </c>
      <c r="D20333" s="2" t="s">
        <v>10289</v>
      </c>
      <c r="E20333" s="3">
        <v>1.28E-82</v>
      </c>
      <c r="F20333" s="2">
        <v>717</v>
      </c>
      <c r="G20333" s="2">
        <v>99</v>
      </c>
      <c r="H20333" s="2">
        <v>139</v>
      </c>
      <c r="I20333" s="2">
        <v>604</v>
      </c>
      <c r="J20333" s="2">
        <v>1020</v>
      </c>
      <c r="K20333" s="2">
        <v>126</v>
      </c>
      <c r="L20333" s="2">
        <v>264</v>
      </c>
    </row>
    <row r="20334" spans="1:12" x14ac:dyDescent="0.25">
      <c r="A20334" s="4" t="str">
        <f>HYPERLINK("http://www.rosaceae.org/Prunus/Prunus_persica/p.persica_gdr_reftransV1_0016866","p.persica_gdr_reftransV1_0016866")</f>
        <v>p.persica_gdr_reftransV1_0016866</v>
      </c>
      <c r="B20334" s="2">
        <v>2759</v>
      </c>
      <c r="C20334" s="4" t="str">
        <f>HYPERLINK("http://www.uniprot.org/uniprot/M5XAQ4","M5XAQ4")</f>
        <v>M5XAQ4</v>
      </c>
      <c r="D20334" s="2" t="s">
        <v>15383</v>
      </c>
      <c r="E20334" s="3">
        <v>0</v>
      </c>
      <c r="F20334" s="2">
        <v>3078</v>
      </c>
      <c r="G20334" s="2">
        <v>100</v>
      </c>
      <c r="H20334" s="2">
        <v>575</v>
      </c>
      <c r="I20334" s="2">
        <v>728</v>
      </c>
      <c r="J20334" s="2">
        <v>2452</v>
      </c>
      <c r="K20334" s="2">
        <v>1</v>
      </c>
      <c r="L20334" s="2">
        <v>575</v>
      </c>
    </row>
    <row r="20335" spans="1:12" x14ac:dyDescent="0.25">
      <c r="A20335" s="4" t="str">
        <f>HYPERLINK("http://www.rosaceae.org/Prunus/Prunus_persica/p.persica_gdr_reftransV1_0017216","p.persica_gdr_reftransV1_0017216")</f>
        <v>p.persica_gdr_reftransV1_0017216</v>
      </c>
      <c r="B20335" s="2">
        <v>384</v>
      </c>
      <c r="C20335" s="4" t="str">
        <f>HYPERLINK("http://www.uniprot.org/uniprot/M5XW09","M5XW09")</f>
        <v>M5XW09</v>
      </c>
      <c r="D20335" s="2" t="s">
        <v>1509</v>
      </c>
      <c r="E20335" s="3">
        <v>9.4400000000000002E-27</v>
      </c>
      <c r="F20335" s="2">
        <v>280</v>
      </c>
      <c r="G20335" s="2">
        <v>100</v>
      </c>
      <c r="H20335" s="2">
        <v>93</v>
      </c>
      <c r="I20335" s="2">
        <v>18</v>
      </c>
      <c r="J20335" s="2">
        <v>296</v>
      </c>
      <c r="K20335" s="2">
        <v>1</v>
      </c>
      <c r="L20335" s="2">
        <v>93</v>
      </c>
    </row>
    <row r="20336" spans="1:12" x14ac:dyDescent="0.25">
      <c r="A20336" s="4" t="str">
        <f>HYPERLINK("http://www.rosaceae.org/Prunus/Prunus_persica/p.persica_gdr_reftransV1_0019316","p.persica_gdr_reftransV1_0019316")</f>
        <v>p.persica_gdr_reftransV1_0019316</v>
      </c>
      <c r="B20336" s="2">
        <v>788</v>
      </c>
      <c r="C20336" s="4" t="str">
        <f>HYPERLINK("http://www.uniprot.org/uniprot/M5WWT5","M5WWT5")</f>
        <v>M5WWT5</v>
      </c>
      <c r="D20336" s="2" t="s">
        <v>15384</v>
      </c>
      <c r="E20336" s="3">
        <v>1.0200000000000001E-105</v>
      </c>
      <c r="F20336" s="2">
        <v>807</v>
      </c>
      <c r="G20336" s="2">
        <v>100</v>
      </c>
      <c r="H20336" s="2">
        <v>152</v>
      </c>
      <c r="I20336" s="2">
        <v>193</v>
      </c>
      <c r="J20336" s="2">
        <v>648</v>
      </c>
      <c r="K20336" s="2">
        <v>6</v>
      </c>
      <c r="L20336" s="2">
        <v>157</v>
      </c>
    </row>
    <row r="20337" spans="1:12" x14ac:dyDescent="0.25">
      <c r="A20337" s="4" t="str">
        <f>HYPERLINK("http://www.rosaceae.org/Prunus/Prunus_persica/p.persica_gdr_reftransV1_0020716","p.persica_gdr_reftransV1_0020716")</f>
        <v>p.persica_gdr_reftransV1_0020716</v>
      </c>
      <c r="B20337" s="2">
        <v>883</v>
      </c>
      <c r="C20337" s="4" t="str">
        <f>HYPERLINK("http://www.uniprot.org/uniprot/A0A0A0LT67","A0A0A0LT67")</f>
        <v>A0A0A0LT67</v>
      </c>
      <c r="D20337" s="2" t="s">
        <v>15385</v>
      </c>
      <c r="E20337" s="3">
        <v>6.2599999999999998E-46</v>
      </c>
      <c r="F20337" s="2">
        <v>408</v>
      </c>
      <c r="G20337" s="2">
        <v>80</v>
      </c>
      <c r="H20337" s="2">
        <v>97</v>
      </c>
      <c r="I20337" s="2">
        <v>105</v>
      </c>
      <c r="J20337" s="2">
        <v>395</v>
      </c>
      <c r="K20337" s="2">
        <v>10</v>
      </c>
      <c r="L20337" s="2">
        <v>102</v>
      </c>
    </row>
    <row r="20338" spans="1:12" x14ac:dyDescent="0.25">
      <c r="A20338" s="4" t="str">
        <f>HYPERLINK("http://www.rosaceae.org/Prunus/Prunus_persica/p.persica_gdr_reftransV1_0021416","p.persica_gdr_reftransV1_0021416")</f>
        <v>p.persica_gdr_reftransV1_0021416</v>
      </c>
      <c r="B20338" s="2">
        <v>5401</v>
      </c>
      <c r="C20338" s="4" t="str">
        <f>HYPERLINK("http://www.uniprot.org/uniprot/M5W6X1","M5W6X1")</f>
        <v>M5W6X1</v>
      </c>
      <c r="D20338" s="2" t="s">
        <v>15386</v>
      </c>
      <c r="E20338" s="3">
        <v>0</v>
      </c>
      <c r="F20338" s="2">
        <v>6368</v>
      </c>
      <c r="G20338" s="2">
        <v>93</v>
      </c>
      <c r="H20338" s="2">
        <v>1338</v>
      </c>
      <c r="I20338" s="2">
        <v>140</v>
      </c>
      <c r="J20338" s="2">
        <v>4147</v>
      </c>
      <c r="K20338" s="2">
        <v>8</v>
      </c>
      <c r="L20338" s="2">
        <v>1277</v>
      </c>
    </row>
    <row r="20339" spans="1:12" x14ac:dyDescent="0.25">
      <c r="A20339" s="4" t="str">
        <f>HYPERLINK("http://www.rosaceae.org/Prunus/Prunus_persica/p.persica_gdr_reftransV1_0021766","p.persica_gdr_reftransV1_0021766")</f>
        <v>p.persica_gdr_reftransV1_0021766</v>
      </c>
      <c r="B20339" s="2">
        <v>1490</v>
      </c>
      <c r="C20339" s="4" t="str">
        <f>HYPERLINK("http://www.uniprot.org/uniprot/M5WUW1","M5WUW1")</f>
        <v>M5WUW1</v>
      </c>
      <c r="D20339" s="2" t="s">
        <v>15387</v>
      </c>
      <c r="E20339" s="3">
        <v>1.7599999999999998E-167</v>
      </c>
      <c r="F20339" s="2">
        <v>1250</v>
      </c>
      <c r="G20339" s="2">
        <v>100</v>
      </c>
      <c r="H20339" s="2">
        <v>267</v>
      </c>
      <c r="I20339" s="2">
        <v>346</v>
      </c>
      <c r="J20339" s="2">
        <v>1146</v>
      </c>
      <c r="K20339" s="2">
        <v>1</v>
      </c>
      <c r="L20339" s="2">
        <v>267</v>
      </c>
    </row>
    <row r="20340" spans="1:12" x14ac:dyDescent="0.25">
      <c r="A20340" s="4" t="str">
        <f>HYPERLINK("http://www.rosaceae.org/Prunus/Prunus_persica/p.persica_gdr_reftransV1_0022116","p.persica_gdr_reftransV1_0022116")</f>
        <v>p.persica_gdr_reftransV1_0022116</v>
      </c>
      <c r="B20340" s="2">
        <v>556</v>
      </c>
      <c r="C20340" s="4" t="str">
        <f>HYPERLINK("http://www.uniprot.org/uniprot/M5VW53","M5VW53")</f>
        <v>M5VW53</v>
      </c>
      <c r="D20340" s="2" t="s">
        <v>11048</v>
      </c>
      <c r="E20340" s="3">
        <v>2.7699999999999998E-59</v>
      </c>
      <c r="F20340" s="2">
        <v>519</v>
      </c>
      <c r="G20340" s="2">
        <v>100</v>
      </c>
      <c r="H20340" s="2">
        <v>98</v>
      </c>
      <c r="I20340" s="2">
        <v>95</v>
      </c>
      <c r="J20340" s="2">
        <v>388</v>
      </c>
      <c r="K20340" s="2">
        <v>424</v>
      </c>
      <c r="L20340" s="2">
        <v>521</v>
      </c>
    </row>
    <row r="20341" spans="1:12" x14ac:dyDescent="0.25">
      <c r="A20341" s="4" t="str">
        <f>HYPERLINK("http://www.rosaceae.org/Prunus/Prunus_persica/p.persica_gdr_reftransV1_0024216","p.persica_gdr_reftransV1_0024216")</f>
        <v>p.persica_gdr_reftransV1_0024216</v>
      </c>
      <c r="B20341" s="2">
        <v>841</v>
      </c>
      <c r="C20341" s="4" t="str">
        <f>HYPERLINK("http://www.uniprot.org/uniprot/M5VYA8","M5VYA8")</f>
        <v>M5VYA8</v>
      </c>
      <c r="D20341" s="2" t="s">
        <v>2914</v>
      </c>
      <c r="E20341" s="3">
        <v>2.4800000000000002E-106</v>
      </c>
      <c r="F20341" s="2">
        <v>838</v>
      </c>
      <c r="G20341" s="2">
        <v>99</v>
      </c>
      <c r="H20341" s="2">
        <v>155</v>
      </c>
      <c r="I20341" s="2">
        <v>3</v>
      </c>
      <c r="J20341" s="2">
        <v>467</v>
      </c>
      <c r="K20341" s="2">
        <v>241</v>
      </c>
      <c r="L20341" s="2">
        <v>395</v>
      </c>
    </row>
    <row r="20342" spans="1:12" x14ac:dyDescent="0.25">
      <c r="A20342" s="4" t="str">
        <f>HYPERLINK("http://www.rosaceae.org/Prunus/Prunus_persica/p.persica_gdr_reftransV1_0025616","p.persica_gdr_reftransV1_0025616")</f>
        <v>p.persica_gdr_reftransV1_0025616</v>
      </c>
      <c r="B20342" s="2">
        <v>1629</v>
      </c>
      <c r="C20342" s="4" t="str">
        <f>HYPERLINK("http://www.uniprot.org/uniprot/M5XQ99","M5XQ99")</f>
        <v>M5XQ99</v>
      </c>
      <c r="D20342" s="2" t="s">
        <v>193</v>
      </c>
      <c r="E20342" s="3">
        <v>0</v>
      </c>
      <c r="F20342" s="2">
        <v>1675</v>
      </c>
      <c r="G20342" s="2">
        <v>98</v>
      </c>
      <c r="H20342" s="2">
        <v>391</v>
      </c>
      <c r="I20342" s="2">
        <v>457</v>
      </c>
      <c r="J20342" s="2">
        <v>1629</v>
      </c>
      <c r="K20342" s="2">
        <v>292</v>
      </c>
      <c r="L20342" s="2">
        <v>682</v>
      </c>
    </row>
    <row r="20343" spans="1:12" x14ac:dyDescent="0.25">
      <c r="A20343" s="4" t="str">
        <f>HYPERLINK("http://www.rosaceae.org/Prunus/Prunus_persica/p.persica_gdr_reftransV1_0025966","p.persica_gdr_reftransV1_0025966")</f>
        <v>p.persica_gdr_reftransV1_0025966</v>
      </c>
      <c r="B20343" s="2">
        <v>1638</v>
      </c>
      <c r="C20343" s="4" t="str">
        <f>HYPERLINK("http://www.uniprot.org/uniprot/M5WSX5","M5WSX5")</f>
        <v>M5WSX5</v>
      </c>
      <c r="D20343" s="2" t="s">
        <v>15388</v>
      </c>
      <c r="E20343" s="3">
        <v>0</v>
      </c>
      <c r="F20343" s="2">
        <v>1506</v>
      </c>
      <c r="G20343" s="2">
        <v>100</v>
      </c>
      <c r="H20343" s="2">
        <v>321</v>
      </c>
      <c r="I20343" s="2">
        <v>403</v>
      </c>
      <c r="J20343" s="2">
        <v>1365</v>
      </c>
      <c r="K20343" s="2">
        <v>1</v>
      </c>
      <c r="L20343" s="2">
        <v>321</v>
      </c>
    </row>
    <row r="20344" spans="1:12" x14ac:dyDescent="0.25">
      <c r="A20344" s="4" t="str">
        <f>HYPERLINK("http://www.rosaceae.org/Prunus/Prunus_persica/p.persica_gdr_reftransV1_0026666","p.persica_gdr_reftransV1_0026666")</f>
        <v>p.persica_gdr_reftransV1_0026666</v>
      </c>
      <c r="B20344" s="2">
        <v>3467</v>
      </c>
      <c r="C20344" s="4" t="str">
        <f>HYPERLINK("http://www.uniprot.org/uniprot/M5X3Z6","M5X3Z6")</f>
        <v>M5X3Z6</v>
      </c>
      <c r="D20344" s="2" t="s">
        <v>15389</v>
      </c>
      <c r="E20344" s="3">
        <v>4.9099999999999999E-148</v>
      </c>
      <c r="F20344" s="2">
        <v>1199</v>
      </c>
      <c r="G20344" s="2">
        <v>100</v>
      </c>
      <c r="H20344" s="2">
        <v>238</v>
      </c>
      <c r="I20344" s="2">
        <v>449</v>
      </c>
      <c r="J20344" s="2">
        <v>1162</v>
      </c>
      <c r="K20344" s="2">
        <v>268</v>
      </c>
      <c r="L20344" s="2">
        <v>505</v>
      </c>
    </row>
    <row r="20345" spans="1:12" x14ac:dyDescent="0.25">
      <c r="A20345" s="4" t="str">
        <f>HYPERLINK("http://www.rosaceae.org/Prunus/Prunus_persica/p.persica_gdr_reftransV1_0031566","p.persica_gdr_reftransV1_0031566")</f>
        <v>p.persica_gdr_reftransV1_0031566</v>
      </c>
      <c r="B20345" s="2">
        <v>1287</v>
      </c>
      <c r="C20345" s="4" t="str">
        <f>HYPERLINK("http://www.uniprot.org/uniprot/M5XG10","M5XG10")</f>
        <v>M5XG10</v>
      </c>
      <c r="D20345" s="2" t="s">
        <v>614</v>
      </c>
      <c r="E20345" s="3">
        <v>1.1700000000000001E-93</v>
      </c>
      <c r="F20345" s="2">
        <v>751</v>
      </c>
      <c r="G20345" s="2">
        <v>100</v>
      </c>
      <c r="H20345" s="2">
        <v>143</v>
      </c>
      <c r="I20345" s="2">
        <v>750</v>
      </c>
      <c r="J20345" s="2">
        <v>1178</v>
      </c>
      <c r="K20345" s="2">
        <v>1</v>
      </c>
      <c r="L20345" s="2">
        <v>143</v>
      </c>
    </row>
    <row r="20346" spans="1:12" x14ac:dyDescent="0.25">
      <c r="A20346" s="4" t="str">
        <f>HYPERLINK("http://www.rosaceae.org/Prunus/Prunus_persica/p.persica_gdr_reftransV1_0033666","p.persica_gdr_reftransV1_0033666")</f>
        <v>p.persica_gdr_reftransV1_0033666</v>
      </c>
      <c r="B20346" s="2">
        <v>896</v>
      </c>
      <c r="C20346" s="4" t="str">
        <f>HYPERLINK("http://www.uniprot.org/uniprot/M5X8E2","M5X8E2")</f>
        <v>M5X8E2</v>
      </c>
      <c r="D20346" s="2" t="s">
        <v>15390</v>
      </c>
      <c r="E20346" s="3">
        <v>1.97E-83</v>
      </c>
      <c r="F20346" s="2">
        <v>529</v>
      </c>
      <c r="G20346" s="2">
        <v>100</v>
      </c>
      <c r="H20346" s="2">
        <v>99</v>
      </c>
      <c r="I20346" s="2">
        <v>90</v>
      </c>
      <c r="J20346" s="2">
        <v>386</v>
      </c>
      <c r="K20346" s="2">
        <v>1</v>
      </c>
      <c r="L20346" s="2">
        <v>99</v>
      </c>
    </row>
    <row r="20347" spans="1:12" x14ac:dyDescent="0.25">
      <c r="A20347" s="4" t="str">
        <f>HYPERLINK("http://www.rosaceae.org/Prunus/Prunus_persica/p.persica_gdr_reftransV1_0034016","p.persica_gdr_reftransV1_0034016")</f>
        <v>p.persica_gdr_reftransV1_0034016</v>
      </c>
      <c r="B20347" s="2">
        <v>1268</v>
      </c>
      <c r="C20347" s="4" t="str">
        <f>HYPERLINK("http://www.uniprot.org/uniprot/M5WFP7","M5WFP7")</f>
        <v>M5WFP7</v>
      </c>
      <c r="D20347" s="2" t="s">
        <v>15391</v>
      </c>
      <c r="E20347" s="3">
        <v>5.34E-51</v>
      </c>
      <c r="F20347" s="2">
        <v>480</v>
      </c>
      <c r="G20347" s="2">
        <v>100</v>
      </c>
      <c r="H20347" s="2">
        <v>123</v>
      </c>
      <c r="I20347" s="2">
        <v>832</v>
      </c>
      <c r="J20347" s="2">
        <v>1200</v>
      </c>
      <c r="K20347" s="2">
        <v>1</v>
      </c>
      <c r="L20347" s="2">
        <v>123</v>
      </c>
    </row>
    <row r="20348" spans="1:12" x14ac:dyDescent="0.25">
      <c r="A20348" s="4" t="str">
        <f>HYPERLINK("http://www.rosaceae.org/Prunus/Prunus_persica/p.persica_gdr_reftransV1_0034366","p.persica_gdr_reftransV1_0034366")</f>
        <v>p.persica_gdr_reftransV1_0034366</v>
      </c>
      <c r="B20348" s="2">
        <v>3757</v>
      </c>
      <c r="C20348" s="4" t="str">
        <f>HYPERLINK("http://www.uniprot.org/uniprot/M5WGV4","M5WGV4")</f>
        <v>M5WGV4</v>
      </c>
      <c r="D20348" s="2" t="s">
        <v>15392</v>
      </c>
      <c r="E20348" s="3">
        <v>0</v>
      </c>
      <c r="F20348" s="2">
        <v>4080</v>
      </c>
      <c r="G20348" s="2">
        <v>93</v>
      </c>
      <c r="H20348" s="2">
        <v>874</v>
      </c>
      <c r="I20348" s="2">
        <v>466</v>
      </c>
      <c r="J20348" s="2">
        <v>3066</v>
      </c>
      <c r="K20348" s="2">
        <v>1</v>
      </c>
      <c r="L20348" s="2">
        <v>822</v>
      </c>
    </row>
    <row r="20349" spans="1:12" x14ac:dyDescent="0.25">
      <c r="A20349" s="4" t="str">
        <f>HYPERLINK("http://www.rosaceae.org/Prunus/Prunus_persica/p.persica_gdr_reftransV1_0035066","p.persica_gdr_reftransV1_0035066")</f>
        <v>p.persica_gdr_reftransV1_0035066</v>
      </c>
      <c r="B20349" s="2">
        <v>5372</v>
      </c>
      <c r="C20349" s="4" t="str">
        <f>HYPERLINK("http://www.uniprot.org/uniprot/M5XRW4","M5XRW4")</f>
        <v>M5XRW4</v>
      </c>
      <c r="D20349" s="2" t="s">
        <v>15393</v>
      </c>
      <c r="E20349" s="3">
        <v>0</v>
      </c>
      <c r="F20349" s="2">
        <v>7266</v>
      </c>
      <c r="G20349" s="2">
        <v>100</v>
      </c>
      <c r="H20349" s="2">
        <v>1376</v>
      </c>
      <c r="I20349" s="2">
        <v>1037</v>
      </c>
      <c r="J20349" s="2">
        <v>5164</v>
      </c>
      <c r="K20349" s="2">
        <v>1</v>
      </c>
      <c r="L20349" s="2">
        <v>1376</v>
      </c>
    </row>
    <row r="20350" spans="1:12" x14ac:dyDescent="0.25">
      <c r="A20350" s="4" t="str">
        <f>HYPERLINK("http://www.rosaceae.org/Prunus/Prunus_persica/p.persica_gdr_reftransV1_0036116","p.persica_gdr_reftransV1_0036116")</f>
        <v>p.persica_gdr_reftransV1_0036116</v>
      </c>
      <c r="B20350" s="2">
        <v>1526</v>
      </c>
      <c r="C20350" s="4" t="str">
        <f>HYPERLINK("http://www.uniprot.org/uniprot/M5W2T0","M5W2T0")</f>
        <v>M5W2T0</v>
      </c>
      <c r="D20350" s="2" t="s">
        <v>2633</v>
      </c>
      <c r="E20350" s="3">
        <v>0</v>
      </c>
      <c r="F20350" s="2">
        <v>1788</v>
      </c>
      <c r="G20350" s="2">
        <v>99</v>
      </c>
      <c r="H20350" s="2">
        <v>365</v>
      </c>
      <c r="I20350" s="2">
        <v>247</v>
      </c>
      <c r="J20350" s="2">
        <v>1341</v>
      </c>
      <c r="K20350" s="2">
        <v>1</v>
      </c>
      <c r="L20350" s="2">
        <v>365</v>
      </c>
    </row>
    <row r="20351" spans="1:12" x14ac:dyDescent="0.25">
      <c r="A20351" s="4" t="str">
        <f>HYPERLINK("http://www.rosaceae.org/Prunus/Prunus_persica/p.persica_gdr_reftransV1_0037166","p.persica_gdr_reftransV1_0037166")</f>
        <v>p.persica_gdr_reftransV1_0037166</v>
      </c>
      <c r="B20351" s="2">
        <v>3764</v>
      </c>
      <c r="C20351" s="4" t="str">
        <f>HYPERLINK("http://www.uniprot.org/uniprot/M5WK92","M5WK92")</f>
        <v>M5WK92</v>
      </c>
      <c r="D20351" s="2" t="s">
        <v>15394</v>
      </c>
      <c r="E20351" s="3">
        <v>3.47E-162</v>
      </c>
      <c r="F20351" s="2">
        <v>1304</v>
      </c>
      <c r="G20351" s="2">
        <v>100</v>
      </c>
      <c r="H20351" s="2">
        <v>245</v>
      </c>
      <c r="I20351" s="2">
        <v>2543</v>
      </c>
      <c r="J20351" s="2">
        <v>3277</v>
      </c>
      <c r="K20351" s="2">
        <v>290</v>
      </c>
      <c r="L20351" s="2">
        <v>534</v>
      </c>
    </row>
    <row r="20352" spans="1:12" x14ac:dyDescent="0.25">
      <c r="A20352" s="4" t="str">
        <f>HYPERLINK("http://www.rosaceae.org/Prunus/Prunus_persica/p.persica_gdr_reftransV1_0037516","p.persica_gdr_reftransV1_0037516")</f>
        <v>p.persica_gdr_reftransV1_0037516</v>
      </c>
      <c r="B20352" s="2">
        <v>1417</v>
      </c>
      <c r="C20352" s="4" t="str">
        <f>HYPERLINK("http://www.uniprot.org/uniprot/M5W169","M5W169")</f>
        <v>M5W169</v>
      </c>
      <c r="D20352" s="2" t="s">
        <v>15395</v>
      </c>
      <c r="E20352" s="3">
        <v>2.9699999999999999E-95</v>
      </c>
      <c r="F20352" s="2">
        <v>762</v>
      </c>
      <c r="G20352" s="2">
        <v>99</v>
      </c>
      <c r="H20352" s="2">
        <v>147</v>
      </c>
      <c r="I20352" s="2">
        <v>777</v>
      </c>
      <c r="J20352" s="2">
        <v>1217</v>
      </c>
      <c r="K20352" s="2">
        <v>1</v>
      </c>
      <c r="L20352" s="2">
        <v>147</v>
      </c>
    </row>
    <row r="20353" spans="1:12" x14ac:dyDescent="0.25">
      <c r="A20353" s="4" t="str">
        <f>HYPERLINK("http://www.rosaceae.org/Prunus/Prunus_persica/p.persica_gdr_reftransV1_0039266","p.persica_gdr_reftransV1_0039266")</f>
        <v>p.persica_gdr_reftransV1_0039266</v>
      </c>
      <c r="B20353" s="2">
        <v>801</v>
      </c>
      <c r="C20353" s="4" t="str">
        <f>HYPERLINK("http://www.uniprot.org/uniprot/M5WPZ3","M5WPZ3")</f>
        <v>M5WPZ3</v>
      </c>
      <c r="D20353" s="2" t="s">
        <v>5604</v>
      </c>
      <c r="E20353" s="3">
        <v>2.5899999999999999E-107</v>
      </c>
      <c r="F20353" s="2">
        <v>866</v>
      </c>
      <c r="G20353" s="2">
        <v>100</v>
      </c>
      <c r="H20353" s="2">
        <v>190</v>
      </c>
      <c r="I20353" s="2">
        <v>230</v>
      </c>
      <c r="J20353" s="2">
        <v>799</v>
      </c>
      <c r="K20353" s="2">
        <v>534</v>
      </c>
      <c r="L20353" s="2">
        <v>723</v>
      </c>
    </row>
    <row r="20354" spans="1:12" x14ac:dyDescent="0.25">
      <c r="A20354" s="4" t="str">
        <f>HYPERLINK("http://www.rosaceae.org/Prunus/Prunus_persica/p.persica_gdr_reftransV1_0039966","p.persica_gdr_reftransV1_0039966")</f>
        <v>p.persica_gdr_reftransV1_0039966</v>
      </c>
      <c r="B20354" s="2">
        <v>385</v>
      </c>
      <c r="C20354" s="4" t="str">
        <f>HYPERLINK("http://www.uniprot.org/uniprot/M5XFW4","M5XFW4")</f>
        <v>M5XFW4</v>
      </c>
      <c r="D20354" s="2" t="s">
        <v>12392</v>
      </c>
      <c r="E20354" s="3">
        <v>1.28E-49</v>
      </c>
      <c r="F20354" s="2">
        <v>432</v>
      </c>
      <c r="G20354" s="2">
        <v>97</v>
      </c>
      <c r="H20354" s="2">
        <v>101</v>
      </c>
      <c r="I20354" s="2">
        <v>82</v>
      </c>
      <c r="J20354" s="2">
        <v>384</v>
      </c>
      <c r="K20354" s="2">
        <v>1</v>
      </c>
      <c r="L20354" s="2">
        <v>101</v>
      </c>
    </row>
    <row r="20355" spans="1:12" x14ac:dyDescent="0.25">
      <c r="A20355" s="4" t="str">
        <f>HYPERLINK("http://www.rosaceae.org/Prunus/Prunus_persica/p.persica_gdr_reftransV1_0041366","p.persica_gdr_reftransV1_0041366")</f>
        <v>p.persica_gdr_reftransV1_0041366</v>
      </c>
      <c r="B20355" s="2">
        <v>2420</v>
      </c>
      <c r="C20355" s="4" t="str">
        <f>HYPERLINK("http://www.uniprot.org/uniprot/M5VKS4","M5VKS4")</f>
        <v>M5VKS4</v>
      </c>
      <c r="D20355" s="2" t="s">
        <v>15396</v>
      </c>
      <c r="E20355" s="3">
        <v>1.8099999999999999E-81</v>
      </c>
      <c r="F20355" s="2">
        <v>687</v>
      </c>
      <c r="G20355" s="2">
        <v>96</v>
      </c>
      <c r="H20355" s="2">
        <v>142</v>
      </c>
      <c r="I20355" s="2">
        <v>1816</v>
      </c>
      <c r="J20355" s="2">
        <v>2223</v>
      </c>
      <c r="K20355" s="2">
        <v>6</v>
      </c>
      <c r="L20355" s="2">
        <v>147</v>
      </c>
    </row>
    <row r="20356" spans="1:12" x14ac:dyDescent="0.25">
      <c r="A20356" s="4" t="str">
        <f>HYPERLINK("http://www.rosaceae.org/Prunus/Prunus_persica/p.persica_gdr_reftransV1_0041716","p.persica_gdr_reftransV1_0041716")</f>
        <v>p.persica_gdr_reftransV1_0041716</v>
      </c>
      <c r="B20356" s="2">
        <v>927</v>
      </c>
      <c r="C20356" s="4" t="str">
        <f>HYPERLINK("http://www.uniprot.org/uniprot/M5X6J5","M5X6J5")</f>
        <v>M5X6J5</v>
      </c>
      <c r="D20356" s="2" t="s">
        <v>9753</v>
      </c>
      <c r="E20356" s="3">
        <v>4.7699999999999999E-53</v>
      </c>
      <c r="F20356" s="2">
        <v>457</v>
      </c>
      <c r="G20356" s="2">
        <v>100</v>
      </c>
      <c r="H20356" s="2">
        <v>104</v>
      </c>
      <c r="I20356" s="2">
        <v>470</v>
      </c>
      <c r="J20356" s="2">
        <v>781</v>
      </c>
      <c r="K20356" s="2">
        <v>1</v>
      </c>
      <c r="L20356" s="2">
        <v>104</v>
      </c>
    </row>
    <row r="20357" spans="1:12" x14ac:dyDescent="0.25">
      <c r="A20357" s="4" t="str">
        <f>HYPERLINK("http://www.rosaceae.org/Prunus/Prunus_persica/p.persica_gdr_reftransV1_0043116","p.persica_gdr_reftransV1_0043116")</f>
        <v>p.persica_gdr_reftransV1_0043116</v>
      </c>
      <c r="B20357" s="2">
        <v>841</v>
      </c>
      <c r="C20357" s="4" t="str">
        <f>HYPERLINK("http://www.uniprot.org/uniprot/M5WDV8","M5WDV8")</f>
        <v>M5WDV8</v>
      </c>
      <c r="D20357" s="2" t="s">
        <v>6157</v>
      </c>
      <c r="E20357" s="3">
        <v>7.2700000000000005E-95</v>
      </c>
      <c r="F20357" s="2">
        <v>738</v>
      </c>
      <c r="G20357" s="2">
        <v>100</v>
      </c>
      <c r="H20357" s="2">
        <v>164</v>
      </c>
      <c r="I20357" s="2">
        <v>279</v>
      </c>
      <c r="J20357" s="2">
        <v>770</v>
      </c>
      <c r="K20357" s="2">
        <v>1</v>
      </c>
      <c r="L20357" s="2">
        <v>164</v>
      </c>
    </row>
    <row r="20358" spans="1:12" x14ac:dyDescent="0.25">
      <c r="A20358" s="4" t="str">
        <f>HYPERLINK("http://www.rosaceae.org/Prunus/Prunus_persica/p.persica_gdr_reftransV1_0043466","p.persica_gdr_reftransV1_0043466")</f>
        <v>p.persica_gdr_reftransV1_0043466</v>
      </c>
      <c r="B20358" s="2">
        <v>1243</v>
      </c>
      <c r="C20358" s="4" t="str">
        <f>HYPERLINK("http://www.uniprot.org/uniprot/O24249","O24249")</f>
        <v>O24249</v>
      </c>
      <c r="D20358" s="2" t="s">
        <v>4393</v>
      </c>
      <c r="E20358" s="3">
        <v>0</v>
      </c>
      <c r="F20358" s="2">
        <v>1780</v>
      </c>
      <c r="G20358" s="2">
        <v>93</v>
      </c>
      <c r="H20358" s="2">
        <v>351</v>
      </c>
      <c r="I20358" s="2">
        <v>156</v>
      </c>
      <c r="J20358" s="2">
        <v>1208</v>
      </c>
      <c r="K20358" s="2">
        <v>4</v>
      </c>
      <c r="L20358" s="2">
        <v>354</v>
      </c>
    </row>
    <row r="20359" spans="1:12" x14ac:dyDescent="0.25">
      <c r="A20359" s="4" t="str">
        <f>HYPERLINK("http://www.rosaceae.org/Prunus/Prunus_persica/p.persica_gdr_reftransV1_0043816","p.persica_gdr_reftransV1_0043816")</f>
        <v>p.persica_gdr_reftransV1_0043816</v>
      </c>
      <c r="B20359" s="2">
        <v>841</v>
      </c>
      <c r="C20359" s="4" t="str">
        <f>HYPERLINK("http://www.uniprot.org/uniprot/M5W127","M5W127")</f>
        <v>M5W127</v>
      </c>
      <c r="D20359" s="2" t="s">
        <v>10143</v>
      </c>
      <c r="E20359" s="3">
        <v>1.2600000000000001E-115</v>
      </c>
      <c r="F20359" s="2">
        <v>892</v>
      </c>
      <c r="G20359" s="2">
        <v>100</v>
      </c>
      <c r="H20359" s="2">
        <v>165</v>
      </c>
      <c r="I20359" s="2">
        <v>2</v>
      </c>
      <c r="J20359" s="2">
        <v>496</v>
      </c>
      <c r="K20359" s="2">
        <v>180</v>
      </c>
      <c r="L20359" s="2">
        <v>344</v>
      </c>
    </row>
    <row r="20360" spans="1:12" x14ac:dyDescent="0.25">
      <c r="A20360" s="4" t="str">
        <f>HYPERLINK("http://www.rosaceae.org/Prunus/Prunus_persica/p.persica_gdr_reftransV1_0044166","p.persica_gdr_reftransV1_0044166")</f>
        <v>p.persica_gdr_reftransV1_0044166</v>
      </c>
      <c r="B20360" s="2">
        <v>1041</v>
      </c>
      <c r="C20360" s="4" t="str">
        <f>HYPERLINK("http://www.uniprot.org/uniprot/M5WHC8","M5WHC8")</f>
        <v>M5WHC8</v>
      </c>
      <c r="D20360" s="2" t="s">
        <v>5268</v>
      </c>
      <c r="E20360" s="3">
        <v>2.3499999999999998E-164</v>
      </c>
      <c r="F20360" s="2">
        <v>1211</v>
      </c>
      <c r="G20360" s="2">
        <v>100</v>
      </c>
      <c r="H20360" s="2">
        <v>227</v>
      </c>
      <c r="I20360" s="2">
        <v>241</v>
      </c>
      <c r="J20360" s="2">
        <v>921</v>
      </c>
      <c r="K20360" s="2">
        <v>15</v>
      </c>
      <c r="L20360" s="2">
        <v>241</v>
      </c>
    </row>
    <row r="20361" spans="1:12" x14ac:dyDescent="0.25">
      <c r="A20361" s="4" t="str">
        <f>HYPERLINK("http://www.rosaceae.org/Prunus/Prunus_persica/p.persica_gdr_reftransV1_0044516","p.persica_gdr_reftransV1_0044516")</f>
        <v>p.persica_gdr_reftransV1_0044516</v>
      </c>
      <c r="B20361" s="2">
        <v>881</v>
      </c>
      <c r="C20361" s="4" t="str">
        <f>HYPERLINK("http://www.uniprot.org/uniprot/M5W5A5","M5W5A5")</f>
        <v>M5W5A5</v>
      </c>
      <c r="D20361" s="2" t="s">
        <v>4982</v>
      </c>
      <c r="E20361" s="3">
        <v>7.9200000000000005E-130</v>
      </c>
      <c r="F20361" s="2">
        <v>1011</v>
      </c>
      <c r="G20361" s="2">
        <v>90</v>
      </c>
      <c r="H20361" s="2">
        <v>256</v>
      </c>
      <c r="I20361" s="2">
        <v>1</v>
      </c>
      <c r="J20361" s="2">
        <v>726</v>
      </c>
      <c r="K20361" s="2">
        <v>352</v>
      </c>
      <c r="L20361" s="2">
        <v>607</v>
      </c>
    </row>
    <row r="20362" spans="1:12" x14ac:dyDescent="0.25">
      <c r="A20362" s="4" t="str">
        <f>HYPERLINK("http://www.rosaceae.org/Prunus/Prunus_persica/p.persica_gdr_reftransV1_0044866","p.persica_gdr_reftransV1_0044866")</f>
        <v>p.persica_gdr_reftransV1_0044866</v>
      </c>
      <c r="B20362" s="2">
        <v>1805</v>
      </c>
      <c r="C20362" s="4" t="str">
        <f>HYPERLINK("http://www.uniprot.org/uniprot/M5WS29","M5WS29")</f>
        <v>M5WS29</v>
      </c>
      <c r="D20362" s="2" t="s">
        <v>11964</v>
      </c>
      <c r="E20362" s="3">
        <v>0</v>
      </c>
      <c r="F20362" s="2">
        <v>2461</v>
      </c>
      <c r="G20362" s="2">
        <v>100</v>
      </c>
      <c r="H20362" s="2">
        <v>497</v>
      </c>
      <c r="I20362" s="2">
        <v>276</v>
      </c>
      <c r="J20362" s="2">
        <v>1766</v>
      </c>
      <c r="K20362" s="2">
        <v>1</v>
      </c>
      <c r="L20362" s="2">
        <v>497</v>
      </c>
    </row>
    <row r="20363" spans="1:12" x14ac:dyDescent="0.25">
      <c r="A20363" s="4" t="str">
        <f>HYPERLINK("http://www.rosaceae.org/Prunus/Prunus_persica/p.persica_gdr_reftransV1_0045216","p.persica_gdr_reftransV1_0045216")</f>
        <v>p.persica_gdr_reftransV1_0045216</v>
      </c>
      <c r="B20363" s="2">
        <v>1651</v>
      </c>
      <c r="C20363" s="4" t="str">
        <f>HYPERLINK("http://www.uniprot.org/uniprot/M5VZ13","M5VZ13")</f>
        <v>M5VZ13</v>
      </c>
      <c r="D20363" s="2" t="s">
        <v>15227</v>
      </c>
      <c r="E20363" s="3">
        <v>0</v>
      </c>
      <c r="F20363" s="2">
        <v>1749</v>
      </c>
      <c r="G20363" s="2">
        <v>100</v>
      </c>
      <c r="H20363" s="2">
        <v>345</v>
      </c>
      <c r="I20363" s="2">
        <v>94</v>
      </c>
      <c r="J20363" s="2">
        <v>1128</v>
      </c>
      <c r="K20363" s="2">
        <v>1</v>
      </c>
      <c r="L20363" s="2">
        <v>345</v>
      </c>
    </row>
    <row r="20364" spans="1:12" x14ac:dyDescent="0.25">
      <c r="A20364" s="4" t="str">
        <f>HYPERLINK("http://www.rosaceae.org/Prunus/Prunus_persica/p.persica_gdr_reftransV1_0045916","p.persica_gdr_reftransV1_0045916")</f>
        <v>p.persica_gdr_reftransV1_0045916</v>
      </c>
      <c r="B20364" s="2">
        <v>2211</v>
      </c>
      <c r="C20364" s="4" t="str">
        <f>HYPERLINK("http://www.uniprot.org/uniprot/M5W7H6","M5W7H6")</f>
        <v>M5W7H6</v>
      </c>
      <c r="D20364" s="2" t="s">
        <v>5141</v>
      </c>
      <c r="E20364" s="3">
        <v>0</v>
      </c>
      <c r="F20364" s="2">
        <v>2712</v>
      </c>
      <c r="G20364" s="2">
        <v>100</v>
      </c>
      <c r="H20364" s="2">
        <v>535</v>
      </c>
      <c r="I20364" s="2">
        <v>365</v>
      </c>
      <c r="J20364" s="2">
        <v>1969</v>
      </c>
      <c r="K20364" s="2">
        <v>1</v>
      </c>
      <c r="L20364" s="2">
        <v>535</v>
      </c>
    </row>
    <row r="20365" spans="1:12" x14ac:dyDescent="0.25">
      <c r="A20365" s="4" t="str">
        <f>HYPERLINK("http://www.rosaceae.org/Prunus/Prunus_persica/p.persica_gdr_reftransV1_0046266","p.persica_gdr_reftransV1_0046266")</f>
        <v>p.persica_gdr_reftransV1_0046266</v>
      </c>
      <c r="B20365" s="2">
        <v>572</v>
      </c>
      <c r="C20365" s="4" t="str">
        <f>HYPERLINK("http://www.uniprot.org/uniprot/M5XPD7","M5XPD7")</f>
        <v>M5XPD7</v>
      </c>
      <c r="D20365" s="2" t="s">
        <v>9521</v>
      </c>
      <c r="E20365" s="3">
        <v>9.3400000000000004E-114</v>
      </c>
      <c r="F20365" s="2">
        <v>864</v>
      </c>
      <c r="G20365" s="2">
        <v>96</v>
      </c>
      <c r="H20365" s="2">
        <v>188</v>
      </c>
      <c r="I20365" s="2">
        <v>3</v>
      </c>
      <c r="J20365" s="2">
        <v>566</v>
      </c>
      <c r="K20365" s="2">
        <v>68</v>
      </c>
      <c r="L20365" s="2">
        <v>255</v>
      </c>
    </row>
    <row r="20366" spans="1:12" x14ac:dyDescent="0.25">
      <c r="A20366" s="4" t="str">
        <f>HYPERLINK("http://www.rosaceae.org/Prunus/Prunus_persica/p.persica_gdr_reftransV1_0046616","p.persica_gdr_reftransV1_0046616")</f>
        <v>p.persica_gdr_reftransV1_0046616</v>
      </c>
      <c r="B20366" s="2">
        <v>860</v>
      </c>
      <c r="C20366" s="4" t="str">
        <f>HYPERLINK("http://www.uniprot.org/uniprot/M5WBG8","M5WBG8")</f>
        <v>M5WBG8</v>
      </c>
      <c r="D20366" s="2" t="s">
        <v>14051</v>
      </c>
      <c r="E20366" s="3">
        <v>9.71E-137</v>
      </c>
      <c r="F20366" s="2">
        <v>1034</v>
      </c>
      <c r="G20366" s="2">
        <v>100</v>
      </c>
      <c r="H20366" s="2">
        <v>216</v>
      </c>
      <c r="I20366" s="2">
        <v>206</v>
      </c>
      <c r="J20366" s="2">
        <v>853</v>
      </c>
      <c r="K20366" s="2">
        <v>146</v>
      </c>
      <c r="L20366" s="2">
        <v>361</v>
      </c>
    </row>
    <row r="20367" spans="1:12" x14ac:dyDescent="0.25">
      <c r="A20367" s="4" t="str">
        <f>HYPERLINK("http://www.rosaceae.org/Prunus/Prunus_persica/p.persica_gdr_reftransV1_0046966","p.persica_gdr_reftransV1_0046966")</f>
        <v>p.persica_gdr_reftransV1_0046966</v>
      </c>
      <c r="B20367" s="2">
        <v>409</v>
      </c>
      <c r="C20367" s="4" t="str">
        <f>HYPERLINK("http://www.uniprot.org/uniprot/M5WT72","M5WT72")</f>
        <v>M5WT72</v>
      </c>
      <c r="D20367" s="2" t="s">
        <v>12801</v>
      </c>
      <c r="E20367" s="3">
        <v>1.1400000000000001E-87</v>
      </c>
      <c r="F20367" s="2">
        <v>710</v>
      </c>
      <c r="G20367" s="2">
        <v>100</v>
      </c>
      <c r="H20367" s="2">
        <v>135</v>
      </c>
      <c r="I20367" s="2">
        <v>3</v>
      </c>
      <c r="J20367" s="2">
        <v>407</v>
      </c>
      <c r="K20367" s="2">
        <v>7</v>
      </c>
      <c r="L20367" s="2">
        <v>141</v>
      </c>
    </row>
    <row r="20368" spans="1:12" x14ac:dyDescent="0.25">
      <c r="A20368" s="4" t="str">
        <f>HYPERLINK("http://www.rosaceae.org/Prunus/Prunus_persica/p.persica_gdr_reftransV1_0047316","p.persica_gdr_reftransV1_0047316")</f>
        <v>p.persica_gdr_reftransV1_0047316</v>
      </c>
      <c r="B20368" s="2">
        <v>1527</v>
      </c>
      <c r="C20368" s="4" t="str">
        <f>HYPERLINK("http://www.uniprot.org/uniprot/M5VZU6","M5VZU6")</f>
        <v>M5VZU6</v>
      </c>
      <c r="D20368" s="2" t="s">
        <v>15397</v>
      </c>
      <c r="E20368" s="3">
        <v>0</v>
      </c>
      <c r="F20368" s="2">
        <v>2468</v>
      </c>
      <c r="G20368" s="2">
        <v>100</v>
      </c>
      <c r="H20368" s="2">
        <v>463</v>
      </c>
      <c r="I20368" s="2">
        <v>3</v>
      </c>
      <c r="J20368" s="2">
        <v>1391</v>
      </c>
      <c r="K20368" s="2">
        <v>2</v>
      </c>
      <c r="L20368" s="2">
        <v>464</v>
      </c>
    </row>
    <row r="20369" spans="1:12" x14ac:dyDescent="0.25">
      <c r="A20369" s="4" t="str">
        <f>HYPERLINK("http://www.rosaceae.org/Prunus/Prunus_persica/p.persica_gdr_reftransV1_0047666","p.persica_gdr_reftransV1_0047666")</f>
        <v>p.persica_gdr_reftransV1_0047666</v>
      </c>
      <c r="B20369" s="2">
        <v>1027</v>
      </c>
      <c r="C20369" s="4" t="str">
        <f>HYPERLINK("http://www.uniprot.org/uniprot/M5XT32","M5XT32")</f>
        <v>M5XT32</v>
      </c>
      <c r="D20369" s="2" t="s">
        <v>15398</v>
      </c>
      <c r="E20369" s="3">
        <v>4.7700000000000001E-55</v>
      </c>
      <c r="F20369" s="2">
        <v>482</v>
      </c>
      <c r="G20369" s="2">
        <v>100</v>
      </c>
      <c r="H20369" s="2">
        <v>112</v>
      </c>
      <c r="I20369" s="2">
        <v>345</v>
      </c>
      <c r="J20369" s="2">
        <v>680</v>
      </c>
      <c r="K20369" s="2">
        <v>96</v>
      </c>
      <c r="L20369" s="2">
        <v>207</v>
      </c>
    </row>
    <row r="20370" spans="1:12" x14ac:dyDescent="0.25">
      <c r="A20370" s="4" t="str">
        <f>HYPERLINK("http://www.rosaceae.org/Prunus/Prunus_persica/p.persica_gdr_reftransV1_0048016","p.persica_gdr_reftransV1_0048016")</f>
        <v>p.persica_gdr_reftransV1_0048016</v>
      </c>
      <c r="B20370" s="2">
        <v>1980</v>
      </c>
      <c r="C20370" s="4" t="str">
        <f>HYPERLINK("http://www.uniprot.org/uniprot/M5XBY8","M5XBY8")</f>
        <v>M5XBY8</v>
      </c>
      <c r="D20370" s="2" t="s">
        <v>5055</v>
      </c>
      <c r="E20370" s="3">
        <v>0</v>
      </c>
      <c r="F20370" s="2">
        <v>2093</v>
      </c>
      <c r="G20370" s="2">
        <v>89</v>
      </c>
      <c r="H20370" s="2">
        <v>438</v>
      </c>
      <c r="I20370" s="2">
        <v>243</v>
      </c>
      <c r="J20370" s="2">
        <v>1550</v>
      </c>
      <c r="K20370" s="2">
        <v>1</v>
      </c>
      <c r="L20370" s="2">
        <v>438</v>
      </c>
    </row>
    <row r="20371" spans="1:12" x14ac:dyDescent="0.25">
      <c r="A20371" s="4" t="str">
        <f>HYPERLINK("http://www.rosaceae.org/Prunus/Prunus_persica/p.persica_gdr_reftransV1_0048716","p.persica_gdr_reftransV1_0048716")</f>
        <v>p.persica_gdr_reftransV1_0048716</v>
      </c>
      <c r="B20371" s="2">
        <v>307</v>
      </c>
      <c r="C20371" s="4" t="str">
        <f>HYPERLINK("http://www.uniprot.org/uniprot/M5WNE2","M5WNE2")</f>
        <v>M5WNE2</v>
      </c>
      <c r="D20371" s="2" t="s">
        <v>7996</v>
      </c>
      <c r="E20371" s="3">
        <v>5.1000000000000003E-24</v>
      </c>
      <c r="F20371" s="2">
        <v>264</v>
      </c>
      <c r="G20371" s="2">
        <v>63</v>
      </c>
      <c r="H20371" s="2">
        <v>102</v>
      </c>
      <c r="I20371" s="2">
        <v>1</v>
      </c>
      <c r="J20371" s="2">
        <v>306</v>
      </c>
      <c r="K20371" s="2">
        <v>331</v>
      </c>
      <c r="L20371" s="2">
        <v>425</v>
      </c>
    </row>
    <row r="20372" spans="1:12" x14ac:dyDescent="0.25">
      <c r="A20372" s="4" t="str">
        <f>HYPERLINK("http://www.rosaceae.org/Prunus/Prunus_persica/p.persica_gdr_reftransV1_0049066","p.persica_gdr_reftransV1_0049066")</f>
        <v>p.persica_gdr_reftransV1_0049066</v>
      </c>
      <c r="B20372" s="2">
        <v>330</v>
      </c>
      <c r="C20372" s="4" t="str">
        <f>HYPERLINK("http://www.uniprot.org/uniprot/M5WWE9","M5WWE9")</f>
        <v>M5WWE9</v>
      </c>
      <c r="D20372" s="2" t="s">
        <v>15399</v>
      </c>
      <c r="E20372" s="3">
        <v>1.3100000000000001E-51</v>
      </c>
      <c r="F20372" s="2">
        <v>462</v>
      </c>
      <c r="G20372" s="2">
        <v>81</v>
      </c>
      <c r="H20372" s="2">
        <v>109</v>
      </c>
      <c r="I20372" s="2">
        <v>2</v>
      </c>
      <c r="J20372" s="2">
        <v>328</v>
      </c>
      <c r="K20372" s="2">
        <v>17</v>
      </c>
      <c r="L20372" s="2">
        <v>124</v>
      </c>
    </row>
    <row r="20373" spans="1:12" x14ac:dyDescent="0.25">
      <c r="A20373" s="4" t="str">
        <f>HYPERLINK("http://www.rosaceae.org/Prunus/Prunus_persica/p.persica_gdr_reftransV1_0000067","p.persica_gdr_reftransV1_0000067")</f>
        <v>p.persica_gdr_reftransV1_0000067</v>
      </c>
      <c r="B20373" s="2">
        <v>1123</v>
      </c>
      <c r="C20373" s="4" t="str">
        <f>HYPERLINK("http://www.uniprot.org/uniprot/M5W0E7","M5W0E7")</f>
        <v>M5W0E7</v>
      </c>
      <c r="D20373" s="2" t="s">
        <v>15400</v>
      </c>
      <c r="E20373" s="3">
        <v>8.0700000000000001E-110</v>
      </c>
      <c r="F20373" s="2">
        <v>847</v>
      </c>
      <c r="G20373" s="2">
        <v>100</v>
      </c>
      <c r="H20373" s="2">
        <v>173</v>
      </c>
      <c r="I20373" s="2">
        <v>143</v>
      </c>
      <c r="J20373" s="2">
        <v>661</v>
      </c>
      <c r="K20373" s="2">
        <v>1</v>
      </c>
      <c r="L20373" s="2">
        <v>173</v>
      </c>
    </row>
    <row r="20374" spans="1:12" x14ac:dyDescent="0.25">
      <c r="A20374" s="4" t="str">
        <f>HYPERLINK("http://www.rosaceae.org/Prunus/Prunus_persica/p.persica_gdr_reftransV1_0000417","p.persica_gdr_reftransV1_0000417")</f>
        <v>p.persica_gdr_reftransV1_0000417</v>
      </c>
      <c r="B20374" s="2">
        <v>3178</v>
      </c>
      <c r="C20374" s="4" t="str">
        <f>HYPERLINK("http://www.uniprot.org/uniprot/A0A067H227","A0A067H227")</f>
        <v>A0A067H227</v>
      </c>
      <c r="D20374" s="2" t="s">
        <v>7972</v>
      </c>
      <c r="E20374" s="3">
        <v>0</v>
      </c>
      <c r="F20374" s="2">
        <v>1740</v>
      </c>
      <c r="G20374" s="2">
        <v>84</v>
      </c>
      <c r="H20374" s="2">
        <v>388</v>
      </c>
      <c r="I20374" s="2">
        <v>4</v>
      </c>
      <c r="J20374" s="2">
        <v>1155</v>
      </c>
      <c r="K20374" s="2">
        <v>140</v>
      </c>
      <c r="L20374" s="2">
        <v>527</v>
      </c>
    </row>
    <row r="20375" spans="1:12" x14ac:dyDescent="0.25">
      <c r="A20375" s="4" t="str">
        <f>HYPERLINK("http://www.rosaceae.org/Prunus/Prunus_persica/p.persica_gdr_reftransV1_0000767","p.persica_gdr_reftransV1_0000767")</f>
        <v>p.persica_gdr_reftransV1_0000767</v>
      </c>
      <c r="B20375" s="2">
        <v>362</v>
      </c>
      <c r="C20375" s="4" t="str">
        <f>HYPERLINK("http://www.uniprot.org/uniprot/M5VT51","M5VT51")</f>
        <v>M5VT51</v>
      </c>
      <c r="D20375" s="2" t="s">
        <v>14455</v>
      </c>
      <c r="E20375" s="3">
        <v>1.34E-71</v>
      </c>
      <c r="F20375" s="2">
        <v>619</v>
      </c>
      <c r="G20375" s="2">
        <v>96</v>
      </c>
      <c r="H20375" s="2">
        <v>120</v>
      </c>
      <c r="I20375" s="2">
        <v>2</v>
      </c>
      <c r="J20375" s="2">
        <v>361</v>
      </c>
      <c r="K20375" s="2">
        <v>61</v>
      </c>
      <c r="L20375" s="2">
        <v>180</v>
      </c>
    </row>
    <row r="20376" spans="1:12" x14ac:dyDescent="0.25">
      <c r="A20376" s="4" t="str">
        <f>HYPERLINK("http://www.rosaceae.org/Prunus/Prunus_persica/p.persica_gdr_reftransV1_0001467","p.persica_gdr_reftransV1_0001467")</f>
        <v>p.persica_gdr_reftransV1_0001467</v>
      </c>
      <c r="B20376" s="2">
        <v>1164</v>
      </c>
      <c r="C20376" s="4" t="str">
        <f>HYPERLINK("http://www.uniprot.org/uniprot/M5W2J4","M5W2J4")</f>
        <v>M5W2J4</v>
      </c>
      <c r="D20376" s="2" t="s">
        <v>5595</v>
      </c>
      <c r="E20376" s="3">
        <v>0</v>
      </c>
      <c r="F20376" s="2">
        <v>1584</v>
      </c>
      <c r="G20376" s="2">
        <v>100</v>
      </c>
      <c r="H20376" s="2">
        <v>317</v>
      </c>
      <c r="I20376" s="2">
        <v>213</v>
      </c>
      <c r="J20376" s="2">
        <v>1163</v>
      </c>
      <c r="K20376" s="2">
        <v>1</v>
      </c>
      <c r="L20376" s="2">
        <v>317</v>
      </c>
    </row>
    <row r="20377" spans="1:12" x14ac:dyDescent="0.25">
      <c r="A20377" s="4" t="str">
        <f>HYPERLINK("http://www.rosaceae.org/Prunus/Prunus_persica/p.persica_gdr_reftransV1_0001817","p.persica_gdr_reftransV1_0001817")</f>
        <v>p.persica_gdr_reftransV1_0001817</v>
      </c>
      <c r="B20377" s="2">
        <v>1711</v>
      </c>
      <c r="C20377" s="4" t="str">
        <f>HYPERLINK("http://www.uniprot.org/uniprot/M5XJ78","M5XJ78")</f>
        <v>M5XJ78</v>
      </c>
      <c r="D20377" s="2" t="s">
        <v>15401</v>
      </c>
      <c r="E20377" s="3">
        <v>0</v>
      </c>
      <c r="F20377" s="2">
        <v>2837</v>
      </c>
      <c r="G20377" s="2">
        <v>99</v>
      </c>
      <c r="H20377" s="2">
        <v>552</v>
      </c>
      <c r="I20377" s="2">
        <v>2</v>
      </c>
      <c r="J20377" s="2">
        <v>1657</v>
      </c>
      <c r="K20377" s="2">
        <v>176</v>
      </c>
      <c r="L20377" s="2">
        <v>727</v>
      </c>
    </row>
    <row r="20378" spans="1:12" x14ac:dyDescent="0.25">
      <c r="A20378" s="4" t="str">
        <f>HYPERLINK("http://www.rosaceae.org/Prunus/Prunus_persica/p.persica_gdr_reftransV1_0002517","p.persica_gdr_reftransV1_0002517")</f>
        <v>p.persica_gdr_reftransV1_0002517</v>
      </c>
      <c r="B20378" s="2">
        <v>6277</v>
      </c>
      <c r="C20378" s="4" t="str">
        <f>HYPERLINK("http://www.uniprot.org/uniprot/W9RH25","W9RH25")</f>
        <v>W9RH25</v>
      </c>
      <c r="D20378" s="2" t="s">
        <v>15402</v>
      </c>
      <c r="E20378" s="3">
        <v>0</v>
      </c>
      <c r="F20378" s="2">
        <v>8573</v>
      </c>
      <c r="G20378" s="2">
        <v>84</v>
      </c>
      <c r="H20378" s="2">
        <v>1953</v>
      </c>
      <c r="I20378" s="2">
        <v>379</v>
      </c>
      <c r="J20378" s="2">
        <v>6207</v>
      </c>
      <c r="K20378" s="2">
        <v>133</v>
      </c>
      <c r="L20378" s="2">
        <v>2059</v>
      </c>
    </row>
    <row r="20379" spans="1:12" x14ac:dyDescent="0.25">
      <c r="A20379" s="4" t="str">
        <f>HYPERLINK("http://www.rosaceae.org/Prunus/Prunus_persica/p.persica_gdr_reftransV1_0002867","p.persica_gdr_reftransV1_0002867")</f>
        <v>p.persica_gdr_reftransV1_0002867</v>
      </c>
      <c r="B20379" s="2">
        <v>386</v>
      </c>
      <c r="C20379" s="4" t="str">
        <f>HYPERLINK("http://www.uniprot.org/uniprot/A0A0D2XBZ0","A0A0D2XBZ0")</f>
        <v>A0A0D2XBZ0</v>
      </c>
      <c r="D20379" s="2" t="s">
        <v>15403</v>
      </c>
      <c r="E20379" s="3">
        <v>2.3599999999999998E-86</v>
      </c>
      <c r="F20379" s="2">
        <v>673</v>
      </c>
      <c r="G20379" s="2">
        <v>100</v>
      </c>
      <c r="H20379" s="2">
        <v>128</v>
      </c>
      <c r="I20379" s="2">
        <v>2</v>
      </c>
      <c r="J20379" s="2">
        <v>385</v>
      </c>
      <c r="K20379" s="2">
        <v>116</v>
      </c>
      <c r="L20379" s="2">
        <v>243</v>
      </c>
    </row>
    <row r="20380" spans="1:12" x14ac:dyDescent="0.25">
      <c r="A20380" s="4" t="str">
        <f>HYPERLINK("http://www.rosaceae.org/Prunus/Prunus_persica/p.persica_gdr_reftransV1_0003567","p.persica_gdr_reftransV1_0003567")</f>
        <v>p.persica_gdr_reftransV1_0003567</v>
      </c>
      <c r="B20380" s="2">
        <v>1057</v>
      </c>
      <c r="C20380" s="4" t="str">
        <f>HYPERLINK("http://www.uniprot.org/uniprot/M5X9S3","M5X9S3")</f>
        <v>M5X9S3</v>
      </c>
      <c r="D20380" s="2" t="s">
        <v>12931</v>
      </c>
      <c r="E20380" s="3">
        <v>9.0599999999999999E-136</v>
      </c>
      <c r="F20380" s="2">
        <v>1022</v>
      </c>
      <c r="G20380" s="2">
        <v>99</v>
      </c>
      <c r="H20380" s="2">
        <v>233</v>
      </c>
      <c r="I20380" s="2">
        <v>290</v>
      </c>
      <c r="J20380" s="2">
        <v>988</v>
      </c>
      <c r="K20380" s="2">
        <v>1</v>
      </c>
      <c r="L20380" s="2">
        <v>233</v>
      </c>
    </row>
    <row r="20381" spans="1:12" x14ac:dyDescent="0.25">
      <c r="A20381" s="4" t="str">
        <f>HYPERLINK("http://www.rosaceae.org/Prunus/Prunus_persica/p.persica_gdr_reftransV1_0003917","p.persica_gdr_reftransV1_0003917")</f>
        <v>p.persica_gdr_reftransV1_0003917</v>
      </c>
      <c r="B20381" s="2">
        <v>4270</v>
      </c>
      <c r="C20381" s="4" t="str">
        <f>HYPERLINK("http://www.uniprot.org/uniprot/M5WA74","M5WA74")</f>
        <v>M5WA74</v>
      </c>
      <c r="D20381" s="2" t="s">
        <v>5283</v>
      </c>
      <c r="E20381" s="3">
        <v>0</v>
      </c>
      <c r="F20381" s="2">
        <v>5353</v>
      </c>
      <c r="G20381" s="2">
        <v>100</v>
      </c>
      <c r="H20381" s="2">
        <v>1052</v>
      </c>
      <c r="I20381" s="2">
        <v>3</v>
      </c>
      <c r="J20381" s="2">
        <v>3158</v>
      </c>
      <c r="K20381" s="2">
        <v>31</v>
      </c>
      <c r="L20381" s="2">
        <v>1080</v>
      </c>
    </row>
    <row r="20382" spans="1:12" x14ac:dyDescent="0.25">
      <c r="A20382" s="4" t="str">
        <f>HYPERLINK("http://www.rosaceae.org/Prunus/Prunus_persica/p.persica_gdr_reftransV1_0004267","p.persica_gdr_reftransV1_0004267")</f>
        <v>p.persica_gdr_reftransV1_0004267</v>
      </c>
      <c r="B20382" s="2">
        <v>1058</v>
      </c>
      <c r="C20382" s="4" t="str">
        <f>HYPERLINK("http://www.uniprot.org/uniprot/M5WAF7","M5WAF7")</f>
        <v>M5WAF7</v>
      </c>
      <c r="D20382" s="2" t="s">
        <v>15404</v>
      </c>
      <c r="E20382" s="3">
        <v>2.9399999999999999E-124</v>
      </c>
      <c r="F20382" s="2">
        <v>941</v>
      </c>
      <c r="G20382" s="2">
        <v>100</v>
      </c>
      <c r="H20382" s="2">
        <v>176</v>
      </c>
      <c r="I20382" s="2">
        <v>406</v>
      </c>
      <c r="J20382" s="2">
        <v>933</v>
      </c>
      <c r="K20382" s="2">
        <v>1</v>
      </c>
      <c r="L20382" s="2">
        <v>176</v>
      </c>
    </row>
    <row r="20383" spans="1:12" x14ac:dyDescent="0.25">
      <c r="A20383" s="4" t="str">
        <f>HYPERLINK("http://www.rosaceae.org/Prunus/Prunus_persica/p.persica_gdr_reftransV1_0005317","p.persica_gdr_reftransV1_0005317")</f>
        <v>p.persica_gdr_reftransV1_0005317</v>
      </c>
      <c r="B20383" s="2">
        <v>395</v>
      </c>
      <c r="C20383" s="4" t="str">
        <f>HYPERLINK("http://www.uniprot.org/uniprot/M5WVV5","M5WVV5")</f>
        <v>M5WVV5</v>
      </c>
      <c r="D20383" s="2" t="s">
        <v>2964</v>
      </c>
      <c r="E20383" s="3">
        <v>2.03E-88</v>
      </c>
      <c r="F20383" s="2">
        <v>701</v>
      </c>
      <c r="G20383" s="2">
        <v>100</v>
      </c>
      <c r="H20383" s="2">
        <v>131</v>
      </c>
      <c r="I20383" s="2">
        <v>2</v>
      </c>
      <c r="J20383" s="2">
        <v>394</v>
      </c>
      <c r="K20383" s="2">
        <v>171</v>
      </c>
      <c r="L20383" s="2">
        <v>301</v>
      </c>
    </row>
    <row r="20384" spans="1:12" x14ac:dyDescent="0.25">
      <c r="A20384" s="4" t="str">
        <f>HYPERLINK("http://www.rosaceae.org/Prunus/Prunus_persica/p.persica_gdr_reftransV1_0005667","p.persica_gdr_reftransV1_0005667")</f>
        <v>p.persica_gdr_reftransV1_0005667</v>
      </c>
      <c r="B20384" s="2">
        <v>855</v>
      </c>
      <c r="C20384" s="4" t="str">
        <f>HYPERLINK("http://www.uniprot.org/uniprot/M5Xid7","M5Xid7")</f>
        <v>M5Xid7</v>
      </c>
      <c r="D20384" s="2" t="s">
        <v>7880</v>
      </c>
      <c r="E20384" s="3">
        <v>5.9799999999999999E-127</v>
      </c>
      <c r="F20384" s="2">
        <v>956</v>
      </c>
      <c r="G20384" s="2">
        <v>100</v>
      </c>
      <c r="H20384" s="2">
        <v>222</v>
      </c>
      <c r="I20384" s="2">
        <v>1</v>
      </c>
      <c r="J20384" s="2">
        <v>666</v>
      </c>
      <c r="K20384" s="2">
        <v>2</v>
      </c>
      <c r="L20384" s="2">
        <v>223</v>
      </c>
    </row>
    <row r="20385" spans="1:12" x14ac:dyDescent="0.25">
      <c r="A20385" s="4" t="str">
        <f>HYPERLINK("http://www.rosaceae.org/Prunus/Prunus_persica/p.persica_gdr_reftransV1_0006017","p.persica_gdr_reftransV1_0006017")</f>
        <v>p.persica_gdr_reftransV1_0006017</v>
      </c>
      <c r="B20385" s="2">
        <v>716</v>
      </c>
      <c r="C20385" s="4" t="str">
        <f>HYPERLINK("http://www.uniprot.org/uniprot/M5XJV4","M5XJV4")</f>
        <v>M5XJV4</v>
      </c>
      <c r="D20385" s="2" t="s">
        <v>2622</v>
      </c>
      <c r="E20385" s="3">
        <v>3.3699999999999999E-165</v>
      </c>
      <c r="F20385" s="2">
        <v>1261</v>
      </c>
      <c r="G20385" s="2">
        <v>100</v>
      </c>
      <c r="H20385" s="2">
        <v>238</v>
      </c>
      <c r="I20385" s="2">
        <v>3</v>
      </c>
      <c r="J20385" s="2">
        <v>716</v>
      </c>
      <c r="K20385" s="2">
        <v>326</v>
      </c>
      <c r="L20385" s="2">
        <v>563</v>
      </c>
    </row>
    <row r="20386" spans="1:12" x14ac:dyDescent="0.25">
      <c r="A20386" s="4" t="str">
        <f>HYPERLINK("http://www.rosaceae.org/Prunus/Prunus_persica/p.persica_gdr_reftransV1_0006717","p.persica_gdr_reftransV1_0006717")</f>
        <v>p.persica_gdr_reftransV1_0006717</v>
      </c>
      <c r="B20386" s="2">
        <v>535</v>
      </c>
      <c r="C20386" s="4" t="str">
        <f>HYPERLINK("http://www.uniprot.org/uniprot/M5WY85","M5WY85")</f>
        <v>M5WY85</v>
      </c>
      <c r="D20386" s="2" t="s">
        <v>15405</v>
      </c>
      <c r="E20386" s="3">
        <v>7.6000000000000002E-101</v>
      </c>
      <c r="F20386" s="2">
        <v>807</v>
      </c>
      <c r="G20386" s="2">
        <v>100</v>
      </c>
      <c r="H20386" s="2">
        <v>149</v>
      </c>
      <c r="I20386" s="2">
        <v>88</v>
      </c>
      <c r="J20386" s="2">
        <v>534</v>
      </c>
      <c r="K20386" s="2">
        <v>484</v>
      </c>
      <c r="L20386" s="2">
        <v>632</v>
      </c>
    </row>
    <row r="20387" spans="1:12" x14ac:dyDescent="0.25">
      <c r="A20387" s="4" t="str">
        <f>HYPERLINK("http://www.rosaceae.org/Prunus/Prunus_persica/p.persica_gdr_reftransV1_0007067","p.persica_gdr_reftransV1_0007067")</f>
        <v>p.persica_gdr_reftransV1_0007067</v>
      </c>
      <c r="B20387" s="2">
        <v>1093</v>
      </c>
      <c r="C20387" s="4" t="str">
        <f>HYPERLINK("http://www.uniprot.org/uniprot/M5XRI7","M5XRI7")</f>
        <v>M5XRI7</v>
      </c>
      <c r="D20387" s="2" t="s">
        <v>672</v>
      </c>
      <c r="E20387" s="3">
        <v>0</v>
      </c>
      <c r="F20387" s="2">
        <v>1944</v>
      </c>
      <c r="G20387" s="2">
        <v>100</v>
      </c>
      <c r="H20387" s="2">
        <v>364</v>
      </c>
      <c r="I20387" s="2">
        <v>1</v>
      </c>
      <c r="J20387" s="2">
        <v>1092</v>
      </c>
      <c r="K20387" s="2">
        <v>228</v>
      </c>
      <c r="L20387" s="2">
        <v>591</v>
      </c>
    </row>
    <row r="20388" spans="1:12" x14ac:dyDescent="0.25">
      <c r="A20388" s="4" t="str">
        <f>HYPERLINK("http://www.rosaceae.org/Prunus/Prunus_persica/p.persica_gdr_reftransV1_0008467","p.persica_gdr_reftransV1_0008467")</f>
        <v>p.persica_gdr_reftransV1_0008467</v>
      </c>
      <c r="B20388" s="2">
        <v>716</v>
      </c>
      <c r="C20388" s="4" t="str">
        <f>HYPERLINK("http://www.uniprot.org/uniprot/A0A061DJD7","A0A061DJD7")</f>
        <v>A0A061DJD7</v>
      </c>
      <c r="D20388" s="2" t="s">
        <v>15406</v>
      </c>
      <c r="E20388" s="3">
        <v>3.1000000000000001E-125</v>
      </c>
      <c r="F20388" s="2">
        <v>964</v>
      </c>
      <c r="G20388" s="2">
        <v>73</v>
      </c>
      <c r="H20388" s="2">
        <v>243</v>
      </c>
      <c r="I20388" s="2">
        <v>2</v>
      </c>
      <c r="J20388" s="2">
        <v>715</v>
      </c>
      <c r="K20388" s="2">
        <v>176</v>
      </c>
      <c r="L20388" s="2">
        <v>414</v>
      </c>
    </row>
    <row r="20389" spans="1:12" x14ac:dyDescent="0.25">
      <c r="A20389" s="4" t="str">
        <f>HYPERLINK("http://www.rosaceae.org/Prunus/Prunus_persica/p.persica_gdr_reftransV1_0008817","p.persica_gdr_reftransV1_0008817")</f>
        <v>p.persica_gdr_reftransV1_0008817</v>
      </c>
      <c r="B20389" s="2">
        <v>2596</v>
      </c>
      <c r="C20389" s="4" t="str">
        <f>HYPERLINK("http://www.uniprot.org/uniprot/M5W5J1","M5W5J1")</f>
        <v>M5W5J1</v>
      </c>
      <c r="D20389" s="2" t="s">
        <v>15407</v>
      </c>
      <c r="E20389" s="3">
        <v>0</v>
      </c>
      <c r="F20389" s="2">
        <v>1443</v>
      </c>
      <c r="G20389" s="2">
        <v>100</v>
      </c>
      <c r="H20389" s="2">
        <v>293</v>
      </c>
      <c r="I20389" s="2">
        <v>1375</v>
      </c>
      <c r="J20389" s="2">
        <v>2253</v>
      </c>
      <c r="K20389" s="2">
        <v>13</v>
      </c>
      <c r="L20389" s="2">
        <v>305</v>
      </c>
    </row>
    <row r="20390" spans="1:12" x14ac:dyDescent="0.25">
      <c r="A20390" s="4" t="str">
        <f>HYPERLINK("http://www.rosaceae.org/Prunus/Prunus_persica/p.persica_gdr_reftransV1_0009517","p.persica_gdr_reftransV1_0009517")</f>
        <v>p.persica_gdr_reftransV1_0009517</v>
      </c>
      <c r="B20390" s="2">
        <v>4073</v>
      </c>
      <c r="C20390" s="4" t="str">
        <f>HYPERLINK("http://www.uniprot.org/uniprot/M5Y1X5","M5Y1X5")</f>
        <v>M5Y1X5</v>
      </c>
      <c r="D20390" s="2" t="s">
        <v>15408</v>
      </c>
      <c r="E20390" s="3">
        <v>0</v>
      </c>
      <c r="F20390" s="2">
        <v>5860</v>
      </c>
      <c r="G20390" s="2">
        <v>100</v>
      </c>
      <c r="H20390" s="2">
        <v>1198</v>
      </c>
      <c r="I20390" s="2">
        <v>140</v>
      </c>
      <c r="J20390" s="2">
        <v>3733</v>
      </c>
      <c r="K20390" s="2">
        <v>1</v>
      </c>
      <c r="L20390" s="2">
        <v>1198</v>
      </c>
    </row>
    <row r="20391" spans="1:12" x14ac:dyDescent="0.25">
      <c r="A20391" s="4" t="str">
        <f>HYPERLINK("http://www.rosaceae.org/Prunus/Prunus_persica/p.persica_gdr_reftransV1_0010217","p.persica_gdr_reftransV1_0010217")</f>
        <v>p.persica_gdr_reftransV1_0010217</v>
      </c>
      <c r="B20391" s="2">
        <v>1568</v>
      </c>
      <c r="C20391" s="4" t="str">
        <f>HYPERLINK("http://www.uniprot.org/uniprot/M5X0M1","M5X0M1")</f>
        <v>M5X0M1</v>
      </c>
      <c r="D20391" s="2" t="s">
        <v>4014</v>
      </c>
      <c r="E20391" s="3">
        <v>2.8099999999999999E-63</v>
      </c>
      <c r="F20391" s="2">
        <v>551</v>
      </c>
      <c r="G20391" s="2">
        <v>96</v>
      </c>
      <c r="H20391" s="2">
        <v>108</v>
      </c>
      <c r="I20391" s="2">
        <v>857</v>
      </c>
      <c r="J20391" s="2">
        <v>1180</v>
      </c>
      <c r="K20391" s="2">
        <v>80</v>
      </c>
      <c r="L20391" s="2">
        <v>187</v>
      </c>
    </row>
    <row r="20392" spans="1:12" x14ac:dyDescent="0.25">
      <c r="A20392" s="4" t="str">
        <f>HYPERLINK("http://www.rosaceae.org/Prunus/Prunus_persica/p.persica_gdr_reftransV1_0010567","p.persica_gdr_reftransV1_0010567")</f>
        <v>p.persica_gdr_reftransV1_0010567</v>
      </c>
      <c r="B20392" s="2">
        <v>562</v>
      </c>
      <c r="C20392" s="4" t="str">
        <f>HYPERLINK("http://www.uniprot.org/uniprot/M5XAY0","M5XAY0")</f>
        <v>M5XAY0</v>
      </c>
      <c r="D20392" s="2" t="s">
        <v>6632</v>
      </c>
      <c r="E20392" s="3">
        <v>1.7299999999999999E-65</v>
      </c>
      <c r="F20392" s="2">
        <v>569</v>
      </c>
      <c r="G20392" s="2">
        <v>100</v>
      </c>
      <c r="H20392" s="2">
        <v>113</v>
      </c>
      <c r="I20392" s="2">
        <v>1</v>
      </c>
      <c r="J20392" s="2">
        <v>339</v>
      </c>
      <c r="K20392" s="2">
        <v>1</v>
      </c>
      <c r="L20392" s="2">
        <v>113</v>
      </c>
    </row>
    <row r="20393" spans="1:12" x14ac:dyDescent="0.25">
      <c r="A20393" s="4" t="str">
        <f>HYPERLINK("http://www.rosaceae.org/Prunus/Prunus_persica/p.persica_gdr_reftransV1_0010917","p.persica_gdr_reftransV1_0010917")</f>
        <v>p.persica_gdr_reftransV1_0010917</v>
      </c>
      <c r="B20393" s="2">
        <v>2931</v>
      </c>
      <c r="C20393" s="4" t="str">
        <f>HYPERLINK("http://www.uniprot.org/uniprot/M5VVB9","M5VVB9")</f>
        <v>M5VVB9</v>
      </c>
      <c r="D20393" s="2" t="s">
        <v>15409</v>
      </c>
      <c r="E20393" s="3">
        <v>0</v>
      </c>
      <c r="F20393" s="2">
        <v>4096</v>
      </c>
      <c r="G20393" s="2">
        <v>100</v>
      </c>
      <c r="H20393" s="2">
        <v>841</v>
      </c>
      <c r="I20393" s="2">
        <v>92</v>
      </c>
      <c r="J20393" s="2">
        <v>2614</v>
      </c>
      <c r="K20393" s="2">
        <v>1</v>
      </c>
      <c r="L20393" s="2">
        <v>841</v>
      </c>
    </row>
    <row r="20394" spans="1:12" x14ac:dyDescent="0.25">
      <c r="A20394" s="4" t="str">
        <f>HYPERLINK("http://www.rosaceae.org/Prunus/Prunus_persica/p.persica_gdr_reftransV1_0011267","p.persica_gdr_reftransV1_0011267")</f>
        <v>p.persica_gdr_reftransV1_0011267</v>
      </c>
      <c r="B20394" s="2">
        <v>435</v>
      </c>
      <c r="C20394" s="4" t="str">
        <f>HYPERLINK("http://www.uniprot.org/uniprot/M5VMW2","M5VMW2")</f>
        <v>M5VMW2</v>
      </c>
      <c r="D20394" s="2" t="s">
        <v>11412</v>
      </c>
      <c r="E20394" s="3">
        <v>3.7100000000000001E-79</v>
      </c>
      <c r="F20394" s="2">
        <v>645</v>
      </c>
      <c r="G20394" s="2">
        <v>100</v>
      </c>
      <c r="H20394" s="2">
        <v>131</v>
      </c>
      <c r="I20394" s="2">
        <v>2</v>
      </c>
      <c r="J20394" s="2">
        <v>394</v>
      </c>
      <c r="K20394" s="2">
        <v>1</v>
      </c>
      <c r="L20394" s="2">
        <v>131</v>
      </c>
    </row>
    <row r="20395" spans="1:12" x14ac:dyDescent="0.25">
      <c r="A20395" s="4" t="str">
        <f>HYPERLINK("http://www.rosaceae.org/Prunus/Prunus_persica/p.persica_gdr_reftransV1_0011617","p.persica_gdr_reftransV1_0011617")</f>
        <v>p.persica_gdr_reftransV1_0011617</v>
      </c>
      <c r="B20395" s="2">
        <v>1545</v>
      </c>
      <c r="C20395" s="4" t="str">
        <f>HYPERLINK("http://www.uniprot.org/uniprot/M5XRL0","M5XRL0")</f>
        <v>M5XRL0</v>
      </c>
      <c r="D20395" s="2" t="s">
        <v>15410</v>
      </c>
      <c r="E20395" s="3">
        <v>2.3E-111</v>
      </c>
      <c r="F20395" s="2">
        <v>873</v>
      </c>
      <c r="G20395" s="2">
        <v>78</v>
      </c>
      <c r="H20395" s="2">
        <v>235</v>
      </c>
      <c r="I20395" s="2">
        <v>723</v>
      </c>
      <c r="J20395" s="2">
        <v>1427</v>
      </c>
      <c r="K20395" s="2">
        <v>1</v>
      </c>
      <c r="L20395" s="2">
        <v>203</v>
      </c>
    </row>
    <row r="20396" spans="1:12" x14ac:dyDescent="0.25">
      <c r="A20396" s="4" t="str">
        <f>HYPERLINK("http://www.rosaceae.org/Prunus/Prunus_persica/p.persica_gdr_reftransV1_0011967","p.persica_gdr_reftransV1_0011967")</f>
        <v>p.persica_gdr_reftransV1_0011967</v>
      </c>
      <c r="B20396" s="2">
        <v>2485</v>
      </c>
      <c r="C20396" s="4" t="str">
        <f>HYPERLINK("http://www.uniprot.org/uniprot/M5WWL6","M5WWL6")</f>
        <v>M5WWL6</v>
      </c>
      <c r="D20396" s="2" t="s">
        <v>15411</v>
      </c>
      <c r="E20396" s="3">
        <v>0</v>
      </c>
      <c r="F20396" s="2">
        <v>2467</v>
      </c>
      <c r="G20396" s="2">
        <v>100</v>
      </c>
      <c r="H20396" s="2">
        <v>519</v>
      </c>
      <c r="I20396" s="2">
        <v>102</v>
      </c>
      <c r="J20396" s="2">
        <v>1658</v>
      </c>
      <c r="K20396" s="2">
        <v>13</v>
      </c>
      <c r="L20396" s="2">
        <v>531</v>
      </c>
    </row>
    <row r="20397" spans="1:12" x14ac:dyDescent="0.25">
      <c r="A20397" s="4" t="str">
        <f>HYPERLINK("http://www.rosaceae.org/Prunus/Prunus_persica/p.persica_gdr_reftransV1_0012317","p.persica_gdr_reftransV1_0012317")</f>
        <v>p.persica_gdr_reftransV1_0012317</v>
      </c>
      <c r="B20397" s="2">
        <v>1998</v>
      </c>
      <c r="C20397" s="4" t="str">
        <f>HYPERLINK("http://www.uniprot.org/uniprot/A0A067GAA2","A0A067GAA2")</f>
        <v>A0A067GAA2</v>
      </c>
      <c r="D20397" s="2" t="s">
        <v>15412</v>
      </c>
      <c r="E20397" s="3">
        <v>2.06E-167</v>
      </c>
      <c r="F20397" s="2">
        <v>1063</v>
      </c>
      <c r="G20397" s="2">
        <v>73</v>
      </c>
      <c r="H20397" s="2">
        <v>278</v>
      </c>
      <c r="I20397" s="2">
        <v>612</v>
      </c>
      <c r="J20397" s="2">
        <v>1442</v>
      </c>
      <c r="K20397" s="2">
        <v>177</v>
      </c>
      <c r="L20397" s="2">
        <v>454</v>
      </c>
    </row>
    <row r="20398" spans="1:12" x14ac:dyDescent="0.25">
      <c r="A20398" s="4" t="str">
        <f>HYPERLINK("http://www.rosaceae.org/Prunus/Prunus_persica/p.persica_gdr_reftransV1_0013367","p.persica_gdr_reftransV1_0013367")</f>
        <v>p.persica_gdr_reftransV1_0013367</v>
      </c>
      <c r="B20398" s="2">
        <v>337</v>
      </c>
      <c r="C20398" s="4" t="str">
        <f>HYPERLINK("http://www.uniprot.org/uniprot/M5W9E3","M5W9E3")</f>
        <v>M5W9E3</v>
      </c>
      <c r="D20398" s="2" t="s">
        <v>2967</v>
      </c>
      <c r="E20398" s="3">
        <v>1.0099999999999999E-48</v>
      </c>
      <c r="F20398" s="2">
        <v>449</v>
      </c>
      <c r="G20398" s="2">
        <v>86</v>
      </c>
      <c r="H20398" s="2">
        <v>111</v>
      </c>
      <c r="I20398" s="2">
        <v>3</v>
      </c>
      <c r="J20398" s="2">
        <v>335</v>
      </c>
      <c r="K20398" s="2">
        <v>1083</v>
      </c>
      <c r="L20398" s="2">
        <v>1192</v>
      </c>
    </row>
    <row r="20399" spans="1:12" x14ac:dyDescent="0.25">
      <c r="A20399" s="4" t="str">
        <f>HYPERLINK("http://www.rosaceae.org/Prunus/Prunus_persica/p.persica_gdr_reftransV1_0014417","p.persica_gdr_reftransV1_0014417")</f>
        <v>p.persica_gdr_reftransV1_0014417</v>
      </c>
      <c r="B20399" s="2">
        <v>579</v>
      </c>
      <c r="C20399" s="4" t="str">
        <f>HYPERLINK("http://www.uniprot.org/uniprot/M5VU76","M5VU76")</f>
        <v>M5VU76</v>
      </c>
      <c r="D20399" s="2" t="s">
        <v>15413</v>
      </c>
      <c r="E20399" s="3">
        <v>9.6399999999999992E-102</v>
      </c>
      <c r="F20399" s="2">
        <v>777</v>
      </c>
      <c r="G20399" s="2">
        <v>100</v>
      </c>
      <c r="H20399" s="2">
        <v>157</v>
      </c>
      <c r="I20399" s="2">
        <v>107</v>
      </c>
      <c r="J20399" s="2">
        <v>577</v>
      </c>
      <c r="K20399" s="2">
        <v>48</v>
      </c>
      <c r="L20399" s="2">
        <v>204</v>
      </c>
    </row>
    <row r="20400" spans="1:12" x14ac:dyDescent="0.25">
      <c r="A20400" s="4" t="str">
        <f>HYPERLINK("http://www.rosaceae.org/Prunus/Prunus_persica/p.persica_gdr_reftransV1_0014767","p.persica_gdr_reftransV1_0014767")</f>
        <v>p.persica_gdr_reftransV1_0014767</v>
      </c>
      <c r="B20400" s="2">
        <v>938</v>
      </c>
      <c r="C20400" s="4" t="str">
        <f>HYPERLINK("http://www.uniprot.org/uniprot/M5VXK7","M5VXK7")</f>
        <v>M5VXK7</v>
      </c>
      <c r="D20400" s="2" t="s">
        <v>15414</v>
      </c>
      <c r="E20400" s="3">
        <v>3.77E-57</v>
      </c>
      <c r="F20400" s="2">
        <v>489</v>
      </c>
      <c r="G20400" s="2">
        <v>100</v>
      </c>
      <c r="H20400" s="2">
        <v>88</v>
      </c>
      <c r="I20400" s="2">
        <v>211</v>
      </c>
      <c r="J20400" s="2">
        <v>474</v>
      </c>
      <c r="K20400" s="2">
        <v>1</v>
      </c>
      <c r="L20400" s="2">
        <v>88</v>
      </c>
    </row>
    <row r="20401" spans="1:12" x14ac:dyDescent="0.25">
      <c r="A20401" s="4" t="str">
        <f>HYPERLINK("http://www.rosaceae.org/Prunus/Prunus_persica/p.persica_gdr_reftransV1_0016517","p.persica_gdr_reftransV1_0016517")</f>
        <v>p.persica_gdr_reftransV1_0016517</v>
      </c>
      <c r="B20401" s="2">
        <v>2072</v>
      </c>
      <c r="C20401" s="4" t="str">
        <f>HYPERLINK("http://www.uniprot.org/uniprot/M5Y2Z3","M5Y2Z3")</f>
        <v>M5Y2Z3</v>
      </c>
      <c r="D20401" s="2" t="s">
        <v>15415</v>
      </c>
      <c r="E20401" s="3">
        <v>0</v>
      </c>
      <c r="F20401" s="2">
        <v>1621</v>
      </c>
      <c r="G20401" s="2">
        <v>100</v>
      </c>
      <c r="H20401" s="2">
        <v>320</v>
      </c>
      <c r="I20401" s="2">
        <v>202</v>
      </c>
      <c r="J20401" s="2">
        <v>1161</v>
      </c>
      <c r="K20401" s="2">
        <v>8</v>
      </c>
      <c r="L20401" s="2">
        <v>327</v>
      </c>
    </row>
    <row r="20402" spans="1:12" x14ac:dyDescent="0.25">
      <c r="A20402" s="4" t="str">
        <f>HYPERLINK("http://www.rosaceae.org/Prunus/Prunus_persica/p.persica_gdr_reftransV1_0016867","p.persica_gdr_reftransV1_0016867")</f>
        <v>p.persica_gdr_reftransV1_0016867</v>
      </c>
      <c r="B20402" s="2">
        <v>2718</v>
      </c>
      <c r="C20402" s="4" t="str">
        <f>HYPERLINK("http://www.uniprot.org/uniprot/M5WCR0","M5WCR0")</f>
        <v>M5WCR0</v>
      </c>
      <c r="D20402" s="2" t="s">
        <v>15416</v>
      </c>
      <c r="E20402" s="3">
        <v>0</v>
      </c>
      <c r="F20402" s="2">
        <v>2473</v>
      </c>
      <c r="G20402" s="2">
        <v>100</v>
      </c>
      <c r="H20402" s="2">
        <v>524</v>
      </c>
      <c r="I20402" s="2">
        <v>598</v>
      </c>
      <c r="J20402" s="2">
        <v>2169</v>
      </c>
      <c r="K20402" s="2">
        <v>1</v>
      </c>
      <c r="L20402" s="2">
        <v>524</v>
      </c>
    </row>
    <row r="20403" spans="1:12" x14ac:dyDescent="0.25">
      <c r="A20403" s="4" t="str">
        <f>HYPERLINK("http://www.rosaceae.org/Prunus/Prunus_persica/p.persica_gdr_reftransV1_0018617","p.persica_gdr_reftransV1_0018617")</f>
        <v>p.persica_gdr_reftransV1_0018617</v>
      </c>
      <c r="B20403" s="2">
        <v>1937</v>
      </c>
      <c r="C20403" s="4" t="str">
        <f>HYPERLINK("http://www.uniprot.org/uniprot/M5WCF1","M5WCF1")</f>
        <v>M5WCF1</v>
      </c>
      <c r="D20403" s="2" t="s">
        <v>15417</v>
      </c>
      <c r="E20403" s="3">
        <v>1.58E-110</v>
      </c>
      <c r="F20403" s="2">
        <v>884</v>
      </c>
      <c r="G20403" s="2">
        <v>100</v>
      </c>
      <c r="H20403" s="2">
        <v>178</v>
      </c>
      <c r="I20403" s="2">
        <v>1321</v>
      </c>
      <c r="J20403" s="2">
        <v>1854</v>
      </c>
      <c r="K20403" s="2">
        <v>1</v>
      </c>
      <c r="L20403" s="2">
        <v>178</v>
      </c>
    </row>
    <row r="20404" spans="1:12" x14ac:dyDescent="0.25">
      <c r="A20404" s="4" t="str">
        <f>HYPERLINK("http://www.rosaceae.org/Prunus/Prunus_persica/p.persica_gdr_reftransV1_0018967","p.persica_gdr_reftransV1_0018967")</f>
        <v>p.persica_gdr_reftransV1_0018967</v>
      </c>
      <c r="B20404" s="2">
        <v>1317</v>
      </c>
      <c r="C20404" s="4" t="str">
        <f>HYPERLINK("http://www.uniprot.org/uniprot/M5X2G2","M5X2G2")</f>
        <v>M5X2G2</v>
      </c>
      <c r="D20404" s="2" t="s">
        <v>1933</v>
      </c>
      <c r="E20404" s="3">
        <v>1.4900000000000001E-111</v>
      </c>
      <c r="F20404" s="2">
        <v>866</v>
      </c>
      <c r="G20404" s="2">
        <v>100</v>
      </c>
      <c r="H20404" s="2">
        <v>164</v>
      </c>
      <c r="I20404" s="2">
        <v>662</v>
      </c>
      <c r="J20404" s="2">
        <v>1153</v>
      </c>
      <c r="K20404" s="2">
        <v>1</v>
      </c>
      <c r="L20404" s="2">
        <v>164</v>
      </c>
    </row>
    <row r="20405" spans="1:12" x14ac:dyDescent="0.25">
      <c r="A20405" s="4" t="str">
        <f>HYPERLINK("http://www.rosaceae.org/Prunus/Prunus_persica/p.persica_gdr_reftransV1_0019317","p.persica_gdr_reftransV1_0019317")</f>
        <v>p.persica_gdr_reftransV1_0019317</v>
      </c>
      <c r="B20405" s="2">
        <v>2751</v>
      </c>
      <c r="C20405" s="4" t="str">
        <f>HYPERLINK("http://www.uniprot.org/uniprot/M5Y3N8","M5Y3N8")</f>
        <v>M5Y3N8</v>
      </c>
      <c r="D20405" s="2" t="s">
        <v>15418</v>
      </c>
      <c r="E20405" s="3">
        <v>0</v>
      </c>
      <c r="F20405" s="2">
        <v>3333</v>
      </c>
      <c r="G20405" s="2">
        <v>100</v>
      </c>
      <c r="H20405" s="2">
        <v>717</v>
      </c>
      <c r="I20405" s="2">
        <v>212</v>
      </c>
      <c r="J20405" s="2">
        <v>2362</v>
      </c>
      <c r="K20405" s="2">
        <v>1</v>
      </c>
      <c r="L20405" s="2">
        <v>717</v>
      </c>
    </row>
    <row r="20406" spans="1:12" x14ac:dyDescent="0.25">
      <c r="A20406" s="4" t="str">
        <f>HYPERLINK("http://www.rosaceae.org/Prunus/Prunus_persica/p.persica_gdr_reftransV1_0020017","p.persica_gdr_reftransV1_0020017")</f>
        <v>p.persica_gdr_reftransV1_0020017</v>
      </c>
      <c r="B20406" s="2">
        <v>1375</v>
      </c>
      <c r="C20406" s="4" t="str">
        <f>HYPERLINK("http://www.uniprot.org/uniprot/M5VTT3","M5VTT3")</f>
        <v>M5VTT3</v>
      </c>
      <c r="D20406" s="2" t="s">
        <v>3350</v>
      </c>
      <c r="E20406" s="3">
        <v>0</v>
      </c>
      <c r="F20406" s="2">
        <v>2000</v>
      </c>
      <c r="G20406" s="2">
        <v>91</v>
      </c>
      <c r="H20406" s="2">
        <v>442</v>
      </c>
      <c r="I20406" s="2">
        <v>8</v>
      </c>
      <c r="J20406" s="2">
        <v>1324</v>
      </c>
      <c r="K20406" s="2">
        <v>283</v>
      </c>
      <c r="L20406" s="2">
        <v>697</v>
      </c>
    </row>
    <row r="20407" spans="1:12" x14ac:dyDescent="0.25">
      <c r="A20407" s="4" t="str">
        <f>HYPERLINK("http://www.rosaceae.org/Prunus/Prunus_persica/p.persica_gdr_reftransV1_0022117","p.persica_gdr_reftransV1_0022117")</f>
        <v>p.persica_gdr_reftransV1_0022117</v>
      </c>
      <c r="B20407" s="2">
        <v>8949</v>
      </c>
      <c r="C20407" s="4" t="str">
        <f>HYPERLINK("http://www.uniprot.org/uniprot/M5XKR9","M5XKR9")</f>
        <v>M5XKR9</v>
      </c>
      <c r="D20407" s="2" t="s">
        <v>11640</v>
      </c>
      <c r="E20407" s="3">
        <v>0</v>
      </c>
      <c r="F20407" s="2">
        <v>7965</v>
      </c>
      <c r="G20407" s="2">
        <v>98</v>
      </c>
      <c r="H20407" s="2">
        <v>1755</v>
      </c>
      <c r="I20407" s="2">
        <v>1628</v>
      </c>
      <c r="J20407" s="2">
        <v>6865</v>
      </c>
      <c r="K20407" s="2">
        <v>1</v>
      </c>
      <c r="L20407" s="2">
        <v>1730</v>
      </c>
    </row>
    <row r="20408" spans="1:12" x14ac:dyDescent="0.25">
      <c r="A20408" s="4" t="str">
        <f>HYPERLINK("http://www.rosaceae.org/Prunus/Prunus_persica/p.persica_gdr_reftransV1_0022467","p.persica_gdr_reftransV1_0022467")</f>
        <v>p.persica_gdr_reftransV1_0022467</v>
      </c>
      <c r="B20408" s="2">
        <v>3533</v>
      </c>
      <c r="C20408" s="4" t="str">
        <f>HYPERLINK("http://www.uniprot.org/uniprot/M5WJ98","M5WJ98")</f>
        <v>M5WJ98</v>
      </c>
      <c r="D20408" s="2" t="s">
        <v>1572</v>
      </c>
      <c r="E20408" s="3">
        <v>0</v>
      </c>
      <c r="F20408" s="2">
        <v>2281</v>
      </c>
      <c r="G20408" s="2">
        <v>90</v>
      </c>
      <c r="H20408" s="2">
        <v>532</v>
      </c>
      <c r="I20408" s="2">
        <v>1938</v>
      </c>
      <c r="J20408" s="2">
        <v>3533</v>
      </c>
      <c r="K20408" s="2">
        <v>212</v>
      </c>
      <c r="L20408" s="2">
        <v>690</v>
      </c>
    </row>
    <row r="20409" spans="1:12" x14ac:dyDescent="0.25">
      <c r="A20409" s="4" t="str">
        <f>HYPERLINK("http://www.rosaceae.org/Prunus/Prunus_persica/p.persica_gdr_reftransV1_0022817","p.persica_gdr_reftransV1_0022817")</f>
        <v>p.persica_gdr_reftransV1_0022817</v>
      </c>
      <c r="B20409" s="2">
        <v>1490</v>
      </c>
      <c r="C20409" s="4" t="str">
        <f>HYPERLINK("http://www.uniprot.org/uniprot/M5WAB8","M5WAB8")</f>
        <v>M5WAB8</v>
      </c>
      <c r="D20409" s="2" t="s">
        <v>15419</v>
      </c>
      <c r="E20409" s="3">
        <v>1.5499999999999999E-100</v>
      </c>
      <c r="F20409" s="2">
        <v>805</v>
      </c>
      <c r="G20409" s="2">
        <v>100</v>
      </c>
      <c r="H20409" s="2">
        <v>151</v>
      </c>
      <c r="I20409" s="2">
        <v>191</v>
      </c>
      <c r="J20409" s="2">
        <v>643</v>
      </c>
      <c r="K20409" s="2">
        <v>105</v>
      </c>
      <c r="L20409" s="2">
        <v>255</v>
      </c>
    </row>
    <row r="20410" spans="1:12" x14ac:dyDescent="0.25">
      <c r="A20410" s="4" t="str">
        <f>HYPERLINK("http://www.rosaceae.org/Prunus/Prunus_persica/p.persica_gdr_reftransV1_0023867","p.persica_gdr_reftransV1_0023867")</f>
        <v>p.persica_gdr_reftransV1_0023867</v>
      </c>
      <c r="B20410" s="2">
        <v>1649</v>
      </c>
      <c r="C20410" s="4" t="str">
        <f>HYPERLINK("http://www.uniprot.org/uniprot/M5VZY4","M5VZY4")</f>
        <v>M5VZY4</v>
      </c>
      <c r="D20410" s="2" t="s">
        <v>15420</v>
      </c>
      <c r="E20410" s="3">
        <v>3.7700000000000002E-72</v>
      </c>
      <c r="F20410" s="2">
        <v>626</v>
      </c>
      <c r="G20410" s="2">
        <v>100</v>
      </c>
      <c r="H20410" s="2">
        <v>134</v>
      </c>
      <c r="I20410" s="2">
        <v>1051</v>
      </c>
      <c r="J20410" s="2">
        <v>1452</v>
      </c>
      <c r="K20410" s="2">
        <v>210</v>
      </c>
      <c r="L20410" s="2">
        <v>343</v>
      </c>
    </row>
    <row r="20411" spans="1:12" x14ac:dyDescent="0.25">
      <c r="A20411" s="4" t="str">
        <f>HYPERLINK("http://www.rosaceae.org/Prunus/Prunus_persica/p.persica_gdr_reftransV1_0026317","p.persica_gdr_reftransV1_0026317")</f>
        <v>p.persica_gdr_reftransV1_0026317</v>
      </c>
      <c r="B20411" s="2">
        <v>1804</v>
      </c>
      <c r="C20411" s="4" t="str">
        <f>HYPERLINK("http://www.uniprot.org/uniprot/M5VQZ6","M5VQZ6")</f>
        <v>M5VQZ6</v>
      </c>
      <c r="D20411" s="2" t="s">
        <v>12267</v>
      </c>
      <c r="E20411" s="3">
        <v>7.3600000000000007E-176</v>
      </c>
      <c r="F20411" s="2">
        <v>1322</v>
      </c>
      <c r="G20411" s="2">
        <v>92</v>
      </c>
      <c r="H20411" s="2">
        <v>278</v>
      </c>
      <c r="I20411" s="2">
        <v>764</v>
      </c>
      <c r="J20411" s="2">
        <v>1597</v>
      </c>
      <c r="K20411" s="2">
        <v>55</v>
      </c>
      <c r="L20411" s="2">
        <v>332</v>
      </c>
    </row>
    <row r="20412" spans="1:12" x14ac:dyDescent="0.25">
      <c r="A20412" s="4" t="str">
        <f>HYPERLINK("http://www.rosaceae.org/Prunus/Prunus_persica/p.persica_gdr_reftransV1_0027717","p.persica_gdr_reftransV1_0027717")</f>
        <v>p.persica_gdr_reftransV1_0027717</v>
      </c>
      <c r="B20412" s="2">
        <v>2643</v>
      </c>
      <c r="C20412" s="4" t="str">
        <f>HYPERLINK("http://www.uniprot.org/uniprot/M5XJS1","M5XJS1")</f>
        <v>M5XJS1</v>
      </c>
      <c r="D20412" s="2" t="s">
        <v>15421</v>
      </c>
      <c r="E20412" s="3">
        <v>0</v>
      </c>
      <c r="F20412" s="2">
        <v>2368</v>
      </c>
      <c r="G20412" s="2">
        <v>100</v>
      </c>
      <c r="H20412" s="2">
        <v>444</v>
      </c>
      <c r="I20412" s="2">
        <v>415</v>
      </c>
      <c r="J20412" s="2">
        <v>1746</v>
      </c>
      <c r="K20412" s="2">
        <v>1</v>
      </c>
      <c r="L20412" s="2">
        <v>444</v>
      </c>
    </row>
    <row r="20413" spans="1:12" x14ac:dyDescent="0.25">
      <c r="A20413" s="4" t="str">
        <f>HYPERLINK("http://www.rosaceae.org/Prunus/Prunus_persica/p.persica_gdr_reftransV1_0029117","p.persica_gdr_reftransV1_0029117")</f>
        <v>p.persica_gdr_reftransV1_0029117</v>
      </c>
      <c r="B20413" s="2">
        <v>1184</v>
      </c>
      <c r="C20413" s="4" t="str">
        <f>HYPERLINK("http://www.uniprot.org/uniprot/A0A072TTM0","A0A072TTM0")</f>
        <v>A0A072TTM0</v>
      </c>
      <c r="D20413" s="2" t="s">
        <v>15422</v>
      </c>
      <c r="E20413" s="3">
        <v>5.2999999999999999E-155</v>
      </c>
      <c r="F20413" s="2">
        <v>1211</v>
      </c>
      <c r="G20413" s="2">
        <v>72</v>
      </c>
      <c r="H20413" s="2">
        <v>360</v>
      </c>
      <c r="I20413" s="2">
        <v>91</v>
      </c>
      <c r="J20413" s="2">
        <v>1170</v>
      </c>
      <c r="K20413" s="2">
        <v>358</v>
      </c>
      <c r="L20413" s="2">
        <v>659</v>
      </c>
    </row>
    <row r="20414" spans="1:12" x14ac:dyDescent="0.25">
      <c r="A20414" s="4" t="str">
        <f>HYPERLINK("http://www.rosaceae.org/Prunus/Prunus_persica/p.persica_gdr_reftransV1_0030167","p.persica_gdr_reftransV1_0030167")</f>
        <v>p.persica_gdr_reftransV1_0030167</v>
      </c>
      <c r="B20414" s="2">
        <v>893</v>
      </c>
      <c r="C20414" s="4" t="str">
        <f>HYPERLINK("http://www.uniprot.org/uniprot/M5XFF7","M5XFF7")</f>
        <v>M5XFF7</v>
      </c>
      <c r="D20414" s="2" t="s">
        <v>15423</v>
      </c>
      <c r="E20414" s="3">
        <v>2.5199999999999998E-95</v>
      </c>
      <c r="F20414" s="2">
        <v>742</v>
      </c>
      <c r="G20414" s="2">
        <v>100</v>
      </c>
      <c r="H20414" s="2">
        <v>155</v>
      </c>
      <c r="I20414" s="2">
        <v>396</v>
      </c>
      <c r="J20414" s="2">
        <v>860</v>
      </c>
      <c r="K20414" s="2">
        <v>1</v>
      </c>
      <c r="L20414" s="2">
        <v>155</v>
      </c>
    </row>
    <row r="20415" spans="1:12" x14ac:dyDescent="0.25">
      <c r="A20415" s="4" t="str">
        <f>HYPERLINK("http://www.rosaceae.org/Prunus/Prunus_persica/p.persica_gdr_reftransV1_0031217","p.persica_gdr_reftransV1_0031217")</f>
        <v>p.persica_gdr_reftransV1_0031217</v>
      </c>
      <c r="B20415" s="2">
        <v>548</v>
      </c>
      <c r="C20415" s="4" t="str">
        <f>HYPERLINK("http://www.uniprot.org/uniprot/M5WN57","M5WN57")</f>
        <v>M5WN57</v>
      </c>
      <c r="D20415" s="2" t="s">
        <v>1334</v>
      </c>
      <c r="E20415" s="3">
        <v>2.39E-86</v>
      </c>
      <c r="F20415" s="2">
        <v>726</v>
      </c>
      <c r="G20415" s="2">
        <v>100</v>
      </c>
      <c r="H20415" s="2">
        <v>137</v>
      </c>
      <c r="I20415" s="2">
        <v>1</v>
      </c>
      <c r="J20415" s="2">
        <v>411</v>
      </c>
      <c r="K20415" s="2">
        <v>836</v>
      </c>
      <c r="L20415" s="2">
        <v>972</v>
      </c>
    </row>
    <row r="20416" spans="1:12" x14ac:dyDescent="0.25">
      <c r="A20416" s="4" t="str">
        <f>HYPERLINK("http://www.rosaceae.org/Prunus/Prunus_persica/p.persica_gdr_reftransV1_0032967","p.persica_gdr_reftransV1_0032967")</f>
        <v>p.persica_gdr_reftransV1_0032967</v>
      </c>
      <c r="B20416" s="2">
        <v>2826</v>
      </c>
      <c r="C20416" s="4" t="str">
        <f>HYPERLINK("http://www.uniprot.org/uniprot/M5WDI1","M5WDI1")</f>
        <v>M5WDI1</v>
      </c>
      <c r="D20416" s="2" t="s">
        <v>15424</v>
      </c>
      <c r="E20416" s="3">
        <v>0</v>
      </c>
      <c r="F20416" s="2">
        <v>1720</v>
      </c>
      <c r="G20416" s="2">
        <v>100</v>
      </c>
      <c r="H20416" s="2">
        <v>336</v>
      </c>
      <c r="I20416" s="2">
        <v>1779</v>
      </c>
      <c r="J20416" s="2">
        <v>2786</v>
      </c>
      <c r="K20416" s="2">
        <v>1</v>
      </c>
      <c r="L20416" s="2">
        <v>336</v>
      </c>
    </row>
    <row r="20417" spans="1:12" x14ac:dyDescent="0.25">
      <c r="A20417" s="4" t="str">
        <f>HYPERLINK("http://www.rosaceae.org/Prunus/Prunus_persica/p.persica_gdr_reftransV1_0034367","p.persica_gdr_reftransV1_0034367")</f>
        <v>p.persica_gdr_reftransV1_0034367</v>
      </c>
      <c r="B20417" s="2">
        <v>3358</v>
      </c>
      <c r="C20417" s="4" t="str">
        <f>HYPERLINK("http://www.uniprot.org/uniprot/M5VTF5","M5VTF5")</f>
        <v>M5VTF5</v>
      </c>
      <c r="D20417" s="2" t="s">
        <v>15425</v>
      </c>
      <c r="E20417" s="3">
        <v>0</v>
      </c>
      <c r="F20417" s="2">
        <v>5426</v>
      </c>
      <c r="G20417" s="2">
        <v>99</v>
      </c>
      <c r="H20417" s="2">
        <v>1012</v>
      </c>
      <c r="I20417" s="2">
        <v>187</v>
      </c>
      <c r="J20417" s="2">
        <v>3222</v>
      </c>
      <c r="K20417" s="2">
        <v>4</v>
      </c>
      <c r="L20417" s="2">
        <v>1015</v>
      </c>
    </row>
    <row r="20418" spans="1:12" x14ac:dyDescent="0.25">
      <c r="A20418" s="4" t="str">
        <f>HYPERLINK("http://www.rosaceae.org/Prunus/Prunus_persica/p.persica_gdr_reftransV1_0035417","p.persica_gdr_reftransV1_0035417")</f>
        <v>p.persica_gdr_reftransV1_0035417</v>
      </c>
      <c r="B20418" s="2">
        <v>2008</v>
      </c>
      <c r="C20418" s="4" t="str">
        <f>HYPERLINK("http://www.uniprot.org/uniprot/M5WHH8","M5WHH8")</f>
        <v>M5WHH8</v>
      </c>
      <c r="D20418" s="2" t="s">
        <v>15426</v>
      </c>
      <c r="E20418" s="3">
        <v>0</v>
      </c>
      <c r="F20418" s="2">
        <v>2503</v>
      </c>
      <c r="G20418" s="2">
        <v>100</v>
      </c>
      <c r="H20418" s="2">
        <v>526</v>
      </c>
      <c r="I20418" s="2">
        <v>134</v>
      </c>
      <c r="J20418" s="2">
        <v>1711</v>
      </c>
      <c r="K20418" s="2">
        <v>1</v>
      </c>
      <c r="L20418" s="2">
        <v>526</v>
      </c>
    </row>
    <row r="20419" spans="1:12" x14ac:dyDescent="0.25">
      <c r="A20419" s="4" t="str">
        <f>HYPERLINK("http://www.rosaceae.org/Prunus/Prunus_persica/p.persica_gdr_reftransV1_0036467","p.persica_gdr_reftransV1_0036467")</f>
        <v>p.persica_gdr_reftransV1_0036467</v>
      </c>
      <c r="B20419" s="2">
        <v>3047</v>
      </c>
      <c r="C20419" s="4" t="str">
        <f>HYPERLINK("http://www.uniprot.org/uniprot/M5X693","M5X693")</f>
        <v>M5X693</v>
      </c>
      <c r="D20419" s="2" t="s">
        <v>15427</v>
      </c>
      <c r="E20419" s="3">
        <v>0</v>
      </c>
      <c r="F20419" s="2">
        <v>3890</v>
      </c>
      <c r="G20419" s="2">
        <v>100</v>
      </c>
      <c r="H20419" s="2">
        <v>846</v>
      </c>
      <c r="I20419" s="2">
        <v>139</v>
      </c>
      <c r="J20419" s="2">
        <v>2676</v>
      </c>
      <c r="K20419" s="2">
        <v>20</v>
      </c>
      <c r="L20419" s="2">
        <v>865</v>
      </c>
    </row>
    <row r="20420" spans="1:12" x14ac:dyDescent="0.25">
      <c r="A20420" s="4" t="str">
        <f>HYPERLINK("http://www.rosaceae.org/Prunus/Prunus_persica/p.persica_gdr_reftransV1_0037517","p.persica_gdr_reftransV1_0037517")</f>
        <v>p.persica_gdr_reftransV1_0037517</v>
      </c>
      <c r="B20420" s="2">
        <v>1846</v>
      </c>
      <c r="C20420" s="4" t="str">
        <f>HYPERLINK("http://www.uniprot.org/uniprot/M5XF94","M5XF94")</f>
        <v>M5XF94</v>
      </c>
      <c r="D20420" s="2" t="s">
        <v>15428</v>
      </c>
      <c r="E20420" s="3">
        <v>0</v>
      </c>
      <c r="F20420" s="2">
        <v>2097</v>
      </c>
      <c r="G20420" s="2">
        <v>90</v>
      </c>
      <c r="H20420" s="2">
        <v>473</v>
      </c>
      <c r="I20420" s="2">
        <v>270</v>
      </c>
      <c r="J20420" s="2">
        <v>1640</v>
      </c>
      <c r="K20420" s="2">
        <v>1</v>
      </c>
      <c r="L20420" s="2">
        <v>470</v>
      </c>
    </row>
    <row r="20421" spans="1:12" x14ac:dyDescent="0.25">
      <c r="A20421" s="4" t="str">
        <f>HYPERLINK("http://www.rosaceae.org/Prunus/Prunus_persica/p.persica_gdr_reftransV1_0043117","p.persica_gdr_reftransV1_0043117")</f>
        <v>p.persica_gdr_reftransV1_0043117</v>
      </c>
      <c r="B20421" s="2">
        <v>574</v>
      </c>
      <c r="C20421" s="4" t="str">
        <f>HYPERLINK("http://www.uniprot.org/uniprot/M5X340","M5X340")</f>
        <v>M5X340</v>
      </c>
      <c r="D20421" s="2" t="s">
        <v>15429</v>
      </c>
      <c r="E20421" s="3">
        <v>3.9499999999999998E-34</v>
      </c>
      <c r="F20421" s="2">
        <v>243</v>
      </c>
      <c r="G20421" s="2">
        <v>100</v>
      </c>
      <c r="H20421" s="2">
        <v>51</v>
      </c>
      <c r="I20421" s="2">
        <v>293</v>
      </c>
      <c r="J20421" s="2">
        <v>445</v>
      </c>
      <c r="K20421" s="2">
        <v>48</v>
      </c>
      <c r="L20421" s="2">
        <v>98</v>
      </c>
    </row>
    <row r="20422" spans="1:12" x14ac:dyDescent="0.25">
      <c r="A20422" s="4" t="str">
        <f>HYPERLINK("http://www.rosaceae.org/Prunus/Prunus_persica/p.persica_gdr_reftransV1_0043467","p.persica_gdr_reftransV1_0043467")</f>
        <v>p.persica_gdr_reftransV1_0043467</v>
      </c>
      <c r="B20422" s="2">
        <v>537</v>
      </c>
      <c r="C20422" s="4" t="str">
        <f>HYPERLINK("http://www.uniprot.org/uniprot/M5WTZ6","M5WTZ6")</f>
        <v>M5WTZ6</v>
      </c>
      <c r="D20422" s="2" t="s">
        <v>1999</v>
      </c>
      <c r="E20422" s="3">
        <v>2.9200000000000001E-56</v>
      </c>
      <c r="F20422" s="2">
        <v>508</v>
      </c>
      <c r="G20422" s="2">
        <v>100</v>
      </c>
      <c r="H20422" s="2">
        <v>110</v>
      </c>
      <c r="I20422" s="2">
        <v>206</v>
      </c>
      <c r="J20422" s="2">
        <v>535</v>
      </c>
      <c r="K20422" s="2">
        <v>826</v>
      </c>
      <c r="L20422" s="2">
        <v>935</v>
      </c>
    </row>
    <row r="20423" spans="1:12" x14ac:dyDescent="0.25">
      <c r="A20423" s="4" t="str">
        <f>HYPERLINK("http://www.rosaceae.org/Prunus/Prunus_persica/p.persica_gdr_reftransV1_0043817","p.persica_gdr_reftransV1_0043817")</f>
        <v>p.persica_gdr_reftransV1_0043817</v>
      </c>
      <c r="B20423" s="2">
        <v>503</v>
      </c>
      <c r="C20423" s="4" t="str">
        <f>HYPERLINK("http://www.uniprot.org/uniprot/M5X7I5","M5X7I5")</f>
        <v>M5X7I5</v>
      </c>
      <c r="D20423" s="2" t="s">
        <v>15430</v>
      </c>
      <c r="E20423" s="3">
        <v>4.9399999999999998E-104</v>
      </c>
      <c r="F20423" s="2">
        <v>794</v>
      </c>
      <c r="G20423" s="2">
        <v>100</v>
      </c>
      <c r="H20423" s="2">
        <v>162</v>
      </c>
      <c r="I20423" s="2">
        <v>18</v>
      </c>
      <c r="J20423" s="2">
        <v>503</v>
      </c>
      <c r="K20423" s="2">
        <v>90</v>
      </c>
      <c r="L20423" s="2">
        <v>251</v>
      </c>
    </row>
    <row r="20424" spans="1:12" x14ac:dyDescent="0.25">
      <c r="A20424" s="4" t="str">
        <f>HYPERLINK("http://www.rosaceae.org/Prunus/Prunus_persica/p.persica_gdr_reftransV1_0044167","p.persica_gdr_reftransV1_0044167")</f>
        <v>p.persica_gdr_reftransV1_0044167</v>
      </c>
      <c r="B20424" s="2">
        <v>2474</v>
      </c>
      <c r="C20424" s="4" t="str">
        <f>HYPERLINK("http://www.uniprot.org/uniprot/M5XAX0","M5XAX0")</f>
        <v>M5XAX0</v>
      </c>
      <c r="D20424" s="2" t="s">
        <v>15431</v>
      </c>
      <c r="E20424" s="3">
        <v>0</v>
      </c>
      <c r="F20424" s="2">
        <v>3641</v>
      </c>
      <c r="G20424" s="2">
        <v>100</v>
      </c>
      <c r="H20424" s="2">
        <v>675</v>
      </c>
      <c r="I20424" s="2">
        <v>309</v>
      </c>
      <c r="J20424" s="2">
        <v>2333</v>
      </c>
      <c r="K20424" s="2">
        <v>1</v>
      </c>
      <c r="L20424" s="2">
        <v>675</v>
      </c>
    </row>
    <row r="20425" spans="1:12" x14ac:dyDescent="0.25">
      <c r="A20425" s="4" t="str">
        <f>HYPERLINK("http://www.rosaceae.org/Prunus/Prunus_persica/p.persica_gdr_reftransV1_0044517","p.persica_gdr_reftransV1_0044517")</f>
        <v>p.persica_gdr_reftransV1_0044517</v>
      </c>
      <c r="B20425" s="2">
        <v>381</v>
      </c>
      <c r="C20425" s="4" t="str">
        <f>HYPERLINK("http://www.uniprot.org/uniprot/M5WYC5","M5WYC5")</f>
        <v>M5WYC5</v>
      </c>
      <c r="D20425" s="2" t="s">
        <v>13643</v>
      </c>
      <c r="E20425" s="3">
        <v>1.61E-21</v>
      </c>
      <c r="F20425" s="2">
        <v>247</v>
      </c>
      <c r="G20425" s="2">
        <v>100</v>
      </c>
      <c r="H20425" s="2">
        <v>65</v>
      </c>
      <c r="I20425" s="2">
        <v>151</v>
      </c>
      <c r="J20425" s="2">
        <v>345</v>
      </c>
      <c r="K20425" s="2">
        <v>19</v>
      </c>
      <c r="L20425" s="2">
        <v>83</v>
      </c>
    </row>
    <row r="20426" spans="1:12" x14ac:dyDescent="0.25">
      <c r="A20426" s="4" t="str">
        <f>HYPERLINK("http://www.rosaceae.org/Prunus/Prunus_persica/p.persica_gdr_reftransV1_0044867","p.persica_gdr_reftransV1_0044867")</f>
        <v>p.persica_gdr_reftransV1_0044867</v>
      </c>
      <c r="B20426" s="2">
        <v>1718</v>
      </c>
      <c r="C20426" s="4" t="str">
        <f>HYPERLINK("http://www.uniprot.org/uniprot/M5W187","M5W187")</f>
        <v>M5W187</v>
      </c>
      <c r="D20426" s="2" t="s">
        <v>15432</v>
      </c>
      <c r="E20426" s="3">
        <v>0</v>
      </c>
      <c r="F20426" s="2">
        <v>2078</v>
      </c>
      <c r="G20426" s="2">
        <v>98</v>
      </c>
      <c r="H20426" s="2">
        <v>441</v>
      </c>
      <c r="I20426" s="2">
        <v>286</v>
      </c>
      <c r="J20426" s="2">
        <v>1608</v>
      </c>
      <c r="K20426" s="2">
        <v>81</v>
      </c>
      <c r="L20426" s="2">
        <v>521</v>
      </c>
    </row>
    <row r="20427" spans="1:12" x14ac:dyDescent="0.25">
      <c r="A20427" s="4" t="str">
        <f>HYPERLINK("http://www.rosaceae.org/Prunus/Prunus_persica/p.persica_gdr_reftransV1_0045217","p.persica_gdr_reftransV1_0045217")</f>
        <v>p.persica_gdr_reftransV1_0045217</v>
      </c>
      <c r="B20427" s="2">
        <v>465</v>
      </c>
      <c r="C20427" s="4" t="str">
        <f>HYPERLINK("http://www.uniprot.org/uniprot/M5WNM3","M5WNM3")</f>
        <v>M5WNM3</v>
      </c>
      <c r="D20427" s="2" t="s">
        <v>8221</v>
      </c>
      <c r="E20427" s="3">
        <v>3.94E-102</v>
      </c>
      <c r="F20427" s="2">
        <v>827</v>
      </c>
      <c r="G20427" s="2">
        <v>100</v>
      </c>
      <c r="H20427" s="2">
        <v>154</v>
      </c>
      <c r="I20427" s="2">
        <v>2</v>
      </c>
      <c r="J20427" s="2">
        <v>463</v>
      </c>
      <c r="K20427" s="2">
        <v>460</v>
      </c>
      <c r="L20427" s="2">
        <v>613</v>
      </c>
    </row>
    <row r="20428" spans="1:12" x14ac:dyDescent="0.25">
      <c r="A20428" s="4" t="str">
        <f>HYPERLINK("http://www.rosaceae.org/Prunus/Prunus_persica/p.persica_gdr_reftransV1_0045567","p.persica_gdr_reftransV1_0045567")</f>
        <v>p.persica_gdr_reftransV1_0045567</v>
      </c>
      <c r="B20428" s="2">
        <v>1503</v>
      </c>
      <c r="C20428" s="4" t="str">
        <f>HYPERLINK("http://www.uniprot.org/uniprot/M5X7Z5","M5X7Z5")</f>
        <v>M5X7Z5</v>
      </c>
      <c r="D20428" s="2" t="s">
        <v>11112</v>
      </c>
      <c r="E20428" s="3">
        <v>0</v>
      </c>
      <c r="F20428" s="2">
        <v>1882</v>
      </c>
      <c r="G20428" s="2">
        <v>100</v>
      </c>
      <c r="H20428" s="2">
        <v>398</v>
      </c>
      <c r="I20428" s="2">
        <v>1</v>
      </c>
      <c r="J20428" s="2">
        <v>1194</v>
      </c>
      <c r="K20428" s="2">
        <v>43</v>
      </c>
      <c r="L20428" s="2">
        <v>440</v>
      </c>
    </row>
    <row r="20429" spans="1:12" x14ac:dyDescent="0.25">
      <c r="A20429" s="4" t="str">
        <f>HYPERLINK("http://www.rosaceae.org/Prunus/Prunus_persica/p.persica_gdr_reftransV1_0045917","p.persica_gdr_reftransV1_0045917")</f>
        <v>p.persica_gdr_reftransV1_0045917</v>
      </c>
      <c r="B20429" s="2">
        <v>968</v>
      </c>
      <c r="C20429" s="4" t="str">
        <f>HYPERLINK("http://www.uniprot.org/uniprot/M5WUQ9","M5WUQ9")</f>
        <v>M5WUQ9</v>
      </c>
      <c r="D20429" s="2" t="s">
        <v>10816</v>
      </c>
      <c r="E20429" s="3">
        <v>2.4499999999999998E-145</v>
      </c>
      <c r="F20429" s="2">
        <v>1085</v>
      </c>
      <c r="G20429" s="2">
        <v>100</v>
      </c>
      <c r="H20429" s="2">
        <v>202</v>
      </c>
      <c r="I20429" s="2">
        <v>3</v>
      </c>
      <c r="J20429" s="2">
        <v>608</v>
      </c>
      <c r="K20429" s="2">
        <v>60</v>
      </c>
      <c r="L20429" s="2">
        <v>261</v>
      </c>
    </row>
    <row r="20430" spans="1:12" x14ac:dyDescent="0.25">
      <c r="A20430" s="4" t="str">
        <f>HYPERLINK("http://www.rosaceae.org/Prunus/Prunus_persica/p.persica_gdr_reftransV1_0046267","p.persica_gdr_reftransV1_0046267")</f>
        <v>p.persica_gdr_reftransV1_0046267</v>
      </c>
      <c r="B20430" s="2">
        <v>685</v>
      </c>
      <c r="C20430" s="4" t="str">
        <f>HYPERLINK("http://www.uniprot.org/uniprot/M5Y5N4","M5Y5N4")</f>
        <v>M5Y5N4</v>
      </c>
      <c r="D20430" s="2" t="s">
        <v>15433</v>
      </c>
      <c r="E20430" s="3">
        <v>1.11E-153</v>
      </c>
      <c r="F20430" s="2">
        <v>1130</v>
      </c>
      <c r="G20430" s="2">
        <v>100</v>
      </c>
      <c r="H20430" s="2">
        <v>211</v>
      </c>
      <c r="I20430" s="2">
        <v>53</v>
      </c>
      <c r="J20430" s="2">
        <v>685</v>
      </c>
      <c r="K20430" s="2">
        <v>1</v>
      </c>
      <c r="L20430" s="2">
        <v>211</v>
      </c>
    </row>
    <row r="20431" spans="1:12" x14ac:dyDescent="0.25">
      <c r="A20431" s="4" t="str">
        <f>HYPERLINK("http://www.rosaceae.org/Prunus/Prunus_persica/p.persica_gdr_reftransV1_0046617","p.persica_gdr_reftransV1_0046617")</f>
        <v>p.persica_gdr_reftransV1_0046617</v>
      </c>
      <c r="B20431" s="2">
        <v>1068</v>
      </c>
      <c r="C20431" s="4" t="str">
        <f>HYPERLINK("http://www.uniprot.org/uniprot/M5WN72","M5WN72")</f>
        <v>M5WN72</v>
      </c>
      <c r="D20431" s="2" t="s">
        <v>15434</v>
      </c>
      <c r="E20431" s="3">
        <v>5.8499999999999995E-131</v>
      </c>
      <c r="F20431" s="2">
        <v>989</v>
      </c>
      <c r="G20431" s="2">
        <v>100</v>
      </c>
      <c r="H20431" s="2">
        <v>214</v>
      </c>
      <c r="I20431" s="2">
        <v>202</v>
      </c>
      <c r="J20431" s="2">
        <v>843</v>
      </c>
      <c r="K20431" s="2">
        <v>1</v>
      </c>
      <c r="L20431" s="2">
        <v>214</v>
      </c>
    </row>
    <row r="20432" spans="1:12" x14ac:dyDescent="0.25">
      <c r="A20432" s="4" t="str">
        <f>HYPERLINK("http://www.rosaceae.org/Prunus/Prunus_persica/p.persica_gdr_reftransV1_0047317","p.persica_gdr_reftransV1_0047317")</f>
        <v>p.persica_gdr_reftransV1_0047317</v>
      </c>
      <c r="B20432" s="2">
        <v>1975</v>
      </c>
      <c r="C20432" s="4" t="str">
        <f>HYPERLINK("http://www.uniprot.org/uniprot/M5WRT5","M5WRT5")</f>
        <v>M5WRT5</v>
      </c>
      <c r="D20432" s="2" t="s">
        <v>15435</v>
      </c>
      <c r="E20432" s="3">
        <v>0</v>
      </c>
      <c r="F20432" s="2">
        <v>2916</v>
      </c>
      <c r="G20432" s="2">
        <v>100</v>
      </c>
      <c r="H20432" s="2">
        <v>574</v>
      </c>
      <c r="I20432" s="2">
        <v>195</v>
      </c>
      <c r="J20432" s="2">
        <v>1916</v>
      </c>
      <c r="K20432" s="2">
        <v>1</v>
      </c>
      <c r="L20432" s="2">
        <v>574</v>
      </c>
    </row>
    <row r="20433" spans="1:12" x14ac:dyDescent="0.25">
      <c r="A20433" s="4" t="str">
        <f>HYPERLINK("http://www.rosaceae.org/Prunus/Prunus_persica/p.persica_gdr_reftransV1_0047667","p.persica_gdr_reftransV1_0047667")</f>
        <v>p.persica_gdr_reftransV1_0047667</v>
      </c>
      <c r="B20433" s="2">
        <v>1474</v>
      </c>
      <c r="C20433" s="4" t="str">
        <f>HYPERLINK("http://www.uniprot.org/uniprot/M5WJE7","M5WJE7")</f>
        <v>M5WJE7</v>
      </c>
      <c r="D20433" s="2" t="s">
        <v>6041</v>
      </c>
      <c r="E20433" s="3">
        <v>1.2E-141</v>
      </c>
      <c r="F20433" s="2">
        <v>1078</v>
      </c>
      <c r="G20433" s="2">
        <v>100</v>
      </c>
      <c r="H20433" s="2">
        <v>265</v>
      </c>
      <c r="I20433" s="2">
        <v>356</v>
      </c>
      <c r="J20433" s="2">
        <v>1150</v>
      </c>
      <c r="K20433" s="2">
        <v>1</v>
      </c>
      <c r="L20433" s="2">
        <v>265</v>
      </c>
    </row>
    <row r="20434" spans="1:12" x14ac:dyDescent="0.25">
      <c r="A20434" s="4" t="str">
        <f>HYPERLINK("http://www.rosaceae.org/Prunus/Prunus_persica/p.persica_gdr_reftransV1_0048017","p.persica_gdr_reftransV1_0048017")</f>
        <v>p.persica_gdr_reftransV1_0048017</v>
      </c>
      <c r="B20434" s="2">
        <v>1298</v>
      </c>
      <c r="C20434" s="4" t="str">
        <f>HYPERLINK("http://www.uniprot.org/uniprot/M5XNU1","M5XNU1")</f>
        <v>M5XNU1</v>
      </c>
      <c r="D20434" s="2" t="s">
        <v>6734</v>
      </c>
      <c r="E20434" s="3">
        <v>4.44E-109</v>
      </c>
      <c r="F20434" s="2">
        <v>846</v>
      </c>
      <c r="G20434" s="2">
        <v>100</v>
      </c>
      <c r="H20434" s="2">
        <v>159</v>
      </c>
      <c r="I20434" s="2">
        <v>601</v>
      </c>
      <c r="J20434" s="2">
        <v>1077</v>
      </c>
      <c r="K20434" s="2">
        <v>1</v>
      </c>
      <c r="L20434" s="2">
        <v>159</v>
      </c>
    </row>
    <row r="20435" spans="1:12" x14ac:dyDescent="0.25">
      <c r="A20435" s="4" t="str">
        <f>HYPERLINK("http://www.rosaceae.org/Prunus/Prunus_persica/p.persica_gdr_reftransV1_0048367","p.persica_gdr_reftransV1_0048367")</f>
        <v>p.persica_gdr_reftransV1_0048367</v>
      </c>
      <c r="B20435" s="2">
        <v>2584</v>
      </c>
      <c r="C20435" s="4" t="str">
        <f>HYPERLINK("http://www.uniprot.org/uniprot/M5VWK2","M5VWK2")</f>
        <v>M5VWK2</v>
      </c>
      <c r="D20435" s="2" t="s">
        <v>12565</v>
      </c>
      <c r="E20435" s="3">
        <v>0</v>
      </c>
      <c r="F20435" s="2">
        <v>3265</v>
      </c>
      <c r="G20435" s="2">
        <v>100</v>
      </c>
      <c r="H20435" s="2">
        <v>607</v>
      </c>
      <c r="I20435" s="2">
        <v>518</v>
      </c>
      <c r="J20435" s="2">
        <v>2338</v>
      </c>
      <c r="K20435" s="2">
        <v>1</v>
      </c>
      <c r="L20435" s="2">
        <v>607</v>
      </c>
    </row>
    <row r="20436" spans="1:12" x14ac:dyDescent="0.25">
      <c r="A20436" s="4" t="str">
        <f>HYPERLINK("http://www.rosaceae.org/Prunus/Prunus_persica/p.persica_gdr_reftransV1_0048717","p.persica_gdr_reftransV1_0048717")</f>
        <v>p.persica_gdr_reftransV1_0048717</v>
      </c>
      <c r="B20436" s="2">
        <v>1288</v>
      </c>
      <c r="C20436" s="4" t="str">
        <f>HYPERLINK("http://www.uniprot.org/uniprot/Q3ZU97","Q3ZU97")</f>
        <v>Q3ZU97</v>
      </c>
      <c r="D20436" s="2" t="s">
        <v>15436</v>
      </c>
      <c r="E20436" s="3">
        <v>1.8E-171</v>
      </c>
      <c r="F20436" s="2">
        <v>1268</v>
      </c>
      <c r="G20436" s="2">
        <v>100</v>
      </c>
      <c r="H20436" s="2">
        <v>255</v>
      </c>
      <c r="I20436" s="2">
        <v>250</v>
      </c>
      <c r="J20436" s="2">
        <v>1014</v>
      </c>
      <c r="K20436" s="2">
        <v>1</v>
      </c>
      <c r="L20436" s="2">
        <v>255</v>
      </c>
    </row>
    <row r="20437" spans="1:12" x14ac:dyDescent="0.25">
      <c r="A20437" s="4" t="str">
        <f>HYPERLINK("http://www.rosaceae.org/Prunus/Prunus_persica/p.persica_gdr_reftransV1_0049067","p.persica_gdr_reftransV1_0049067")</f>
        <v>p.persica_gdr_reftransV1_0049067</v>
      </c>
      <c r="B20437" s="2">
        <v>782</v>
      </c>
      <c r="C20437" s="4" t="str">
        <f>HYPERLINK("http://www.uniprot.org/uniprot/M5WRL8","M5WRL8")</f>
        <v>M5WRL8</v>
      </c>
      <c r="D20437" s="2" t="s">
        <v>5094</v>
      </c>
      <c r="E20437" s="3">
        <v>1.61E-98</v>
      </c>
      <c r="F20437" s="2">
        <v>758</v>
      </c>
      <c r="G20437" s="2">
        <v>100</v>
      </c>
      <c r="H20437" s="2">
        <v>143</v>
      </c>
      <c r="I20437" s="2">
        <v>114</v>
      </c>
      <c r="J20437" s="2">
        <v>542</v>
      </c>
      <c r="K20437" s="2">
        <v>1</v>
      </c>
      <c r="L20437" s="2">
        <v>143</v>
      </c>
    </row>
    <row r="20438" spans="1:12" x14ac:dyDescent="0.25">
      <c r="A20438" s="4" t="str">
        <f>HYPERLINK("http://www.rosaceae.org/Prunus/Prunus_persica/p.persica_gdr_reftransV1_0000068","p.persica_gdr_reftransV1_0000068")</f>
        <v>p.persica_gdr_reftransV1_0000068</v>
      </c>
      <c r="B20438" s="2">
        <v>357</v>
      </c>
      <c r="C20438" s="4" t="str">
        <f>HYPERLINK("http://www.uniprot.org/uniprot/M5W590","M5W590")</f>
        <v>M5W590</v>
      </c>
      <c r="D20438" s="2" t="s">
        <v>4822</v>
      </c>
      <c r="E20438" s="3">
        <v>3.31E-75</v>
      </c>
      <c r="F20438" s="2">
        <v>618</v>
      </c>
      <c r="G20438" s="2">
        <v>100</v>
      </c>
      <c r="H20438" s="2">
        <v>119</v>
      </c>
      <c r="I20438" s="2">
        <v>1</v>
      </c>
      <c r="J20438" s="2">
        <v>357</v>
      </c>
      <c r="K20438" s="2">
        <v>57</v>
      </c>
      <c r="L20438" s="2">
        <v>175</v>
      </c>
    </row>
    <row r="20439" spans="1:12" x14ac:dyDescent="0.25">
      <c r="A20439" s="4" t="str">
        <f>HYPERLINK("http://www.rosaceae.org/Prunus/Prunus_persica/p.persica_gdr_reftransV1_0000768","p.persica_gdr_reftransV1_0000768")</f>
        <v>p.persica_gdr_reftransV1_0000768</v>
      </c>
      <c r="B20439" s="2">
        <v>747</v>
      </c>
      <c r="C20439" s="4" t="str">
        <f>HYPERLINK("http://www.uniprot.org/uniprot/M5VR86","M5VR86")</f>
        <v>M5VR86</v>
      </c>
      <c r="D20439" s="2" t="s">
        <v>15437</v>
      </c>
      <c r="E20439" s="3">
        <v>4.3400000000000003E-98</v>
      </c>
      <c r="F20439" s="2">
        <v>756</v>
      </c>
      <c r="G20439" s="2">
        <v>100</v>
      </c>
      <c r="H20439" s="2">
        <v>167</v>
      </c>
      <c r="I20439" s="2">
        <v>204</v>
      </c>
      <c r="J20439" s="2">
        <v>704</v>
      </c>
      <c r="K20439" s="2">
        <v>6</v>
      </c>
      <c r="L20439" s="2">
        <v>172</v>
      </c>
    </row>
    <row r="20440" spans="1:12" x14ac:dyDescent="0.25">
      <c r="A20440" s="4" t="str">
        <f>HYPERLINK("http://www.rosaceae.org/Prunus/Prunus_persica/p.persica_gdr_reftransV1_0001118","p.persica_gdr_reftransV1_0001118")</f>
        <v>p.persica_gdr_reftransV1_0001118</v>
      </c>
      <c r="B20440" s="2">
        <v>2567</v>
      </c>
      <c r="C20440" s="4" t="str">
        <f>HYPERLINK("http://www.uniprot.org/uniprot/M5XWD8","M5XWD8")</f>
        <v>M5XWD8</v>
      </c>
      <c r="D20440" s="2" t="s">
        <v>13380</v>
      </c>
      <c r="E20440" s="3">
        <v>0</v>
      </c>
      <c r="F20440" s="2">
        <v>1489</v>
      </c>
      <c r="G20440" s="2">
        <v>100</v>
      </c>
      <c r="H20440" s="2">
        <v>291</v>
      </c>
      <c r="I20440" s="2">
        <v>993</v>
      </c>
      <c r="J20440" s="2">
        <v>1865</v>
      </c>
      <c r="K20440" s="2">
        <v>94</v>
      </c>
      <c r="L20440" s="2">
        <v>384</v>
      </c>
    </row>
    <row r="20441" spans="1:12" x14ac:dyDescent="0.25">
      <c r="A20441" s="4" t="str">
        <f>HYPERLINK("http://www.rosaceae.org/Prunus/Prunus_persica/p.persica_gdr_reftransV1_0001468","p.persica_gdr_reftransV1_0001468")</f>
        <v>p.persica_gdr_reftransV1_0001468</v>
      </c>
      <c r="B20441" s="2">
        <v>1136</v>
      </c>
      <c r="C20441" s="4" t="str">
        <f>HYPERLINK("http://www.uniprot.org/uniprot/M5XBI6","M5XBI6")</f>
        <v>M5XBI6</v>
      </c>
      <c r="D20441" s="2" t="s">
        <v>15438</v>
      </c>
      <c r="E20441" s="3">
        <v>0</v>
      </c>
      <c r="F20441" s="2">
        <v>1521</v>
      </c>
      <c r="G20441" s="2">
        <v>93</v>
      </c>
      <c r="H20441" s="2">
        <v>332</v>
      </c>
      <c r="I20441" s="2">
        <v>139</v>
      </c>
      <c r="J20441" s="2">
        <v>1134</v>
      </c>
      <c r="K20441" s="2">
        <v>58</v>
      </c>
      <c r="L20441" s="2">
        <v>368</v>
      </c>
    </row>
    <row r="20442" spans="1:12" x14ac:dyDescent="0.25">
      <c r="A20442" s="4" t="str">
        <f>HYPERLINK("http://www.rosaceae.org/Prunus/Prunus_persica/p.persica_gdr_reftransV1_0001818","p.persica_gdr_reftransV1_0001818")</f>
        <v>p.persica_gdr_reftransV1_0001818</v>
      </c>
      <c r="B20442" s="2">
        <v>1965</v>
      </c>
      <c r="C20442" s="4" t="str">
        <f>HYPERLINK("http://www.uniprot.org/uniprot/M5WHT5","M5WHT5")</f>
        <v>M5WHT5</v>
      </c>
      <c r="D20442" s="2" t="s">
        <v>15439</v>
      </c>
      <c r="E20442" s="3">
        <v>0</v>
      </c>
      <c r="F20442" s="2">
        <v>2586</v>
      </c>
      <c r="G20442" s="2">
        <v>100</v>
      </c>
      <c r="H20442" s="2">
        <v>480</v>
      </c>
      <c r="I20442" s="2">
        <v>60</v>
      </c>
      <c r="J20442" s="2">
        <v>1499</v>
      </c>
      <c r="K20442" s="2">
        <v>1</v>
      </c>
      <c r="L20442" s="2">
        <v>480</v>
      </c>
    </row>
    <row r="20443" spans="1:12" x14ac:dyDescent="0.25">
      <c r="A20443" s="4" t="str">
        <f>HYPERLINK("http://www.rosaceae.org/Prunus/Prunus_persica/p.persica_gdr_reftransV1_0002168","p.persica_gdr_reftransV1_0002168")</f>
        <v>p.persica_gdr_reftransV1_0002168</v>
      </c>
      <c r="B20443" s="2">
        <v>308</v>
      </c>
      <c r="C20443" s="4" t="str">
        <f>HYPERLINK("http://www.uniprot.org/uniprot/H1VM06","H1VM06")</f>
        <v>H1VM06</v>
      </c>
      <c r="D20443" s="2" t="s">
        <v>15440</v>
      </c>
      <c r="E20443" s="3">
        <v>3.06E-63</v>
      </c>
      <c r="F20443" s="2">
        <v>532</v>
      </c>
      <c r="G20443" s="2">
        <v>92</v>
      </c>
      <c r="H20443" s="2">
        <v>102</v>
      </c>
      <c r="I20443" s="2">
        <v>2</v>
      </c>
      <c r="J20443" s="2">
        <v>307</v>
      </c>
      <c r="K20443" s="2">
        <v>227</v>
      </c>
      <c r="L20443" s="2">
        <v>328</v>
      </c>
    </row>
    <row r="20444" spans="1:12" x14ac:dyDescent="0.25">
      <c r="A20444" s="4" t="str">
        <f>HYPERLINK("http://www.rosaceae.org/Prunus/Prunus_persica/p.persica_gdr_reftransV1_0002518","p.persica_gdr_reftransV1_0002518")</f>
        <v>p.persica_gdr_reftransV1_0002518</v>
      </c>
      <c r="B20444" s="2">
        <v>3688</v>
      </c>
      <c r="C20444" s="4" t="str">
        <f>HYPERLINK("http://www.uniprot.org/uniprot/M5Y427","M5Y427")</f>
        <v>M5Y427</v>
      </c>
      <c r="D20444" s="2" t="s">
        <v>5005</v>
      </c>
      <c r="E20444" s="3">
        <v>0</v>
      </c>
      <c r="F20444" s="2">
        <v>4908</v>
      </c>
      <c r="G20444" s="2">
        <v>98</v>
      </c>
      <c r="H20444" s="2">
        <v>935</v>
      </c>
      <c r="I20444" s="2">
        <v>596</v>
      </c>
      <c r="J20444" s="2">
        <v>3400</v>
      </c>
      <c r="K20444" s="2">
        <v>1</v>
      </c>
      <c r="L20444" s="2">
        <v>935</v>
      </c>
    </row>
    <row r="20445" spans="1:12" x14ac:dyDescent="0.25">
      <c r="A20445" s="4" t="str">
        <f>HYPERLINK("http://www.rosaceae.org/Prunus/Prunus_persica/p.persica_gdr_reftransV1_0003218","p.persica_gdr_reftransV1_0003218")</f>
        <v>p.persica_gdr_reftransV1_0003218</v>
      </c>
      <c r="B20445" s="2">
        <v>3809</v>
      </c>
      <c r="C20445" s="4" t="str">
        <f>HYPERLINK("http://www.uniprot.org/uniprot/M5VIN0","M5VIN0")</f>
        <v>M5VIN0</v>
      </c>
      <c r="D20445" s="2" t="s">
        <v>4161</v>
      </c>
      <c r="E20445" s="3">
        <v>0</v>
      </c>
      <c r="F20445" s="2">
        <v>3825</v>
      </c>
      <c r="G20445" s="2">
        <v>99</v>
      </c>
      <c r="H20445" s="2">
        <v>786</v>
      </c>
      <c r="I20445" s="2">
        <v>382</v>
      </c>
      <c r="J20445" s="2">
        <v>2727</v>
      </c>
      <c r="K20445" s="2">
        <v>1</v>
      </c>
      <c r="L20445" s="2">
        <v>786</v>
      </c>
    </row>
    <row r="20446" spans="1:12" x14ac:dyDescent="0.25">
      <c r="A20446" s="4" t="str">
        <f>HYPERLINK("http://www.rosaceae.org/Prunus/Prunus_persica/p.persica_gdr_reftransV1_0003918","p.persica_gdr_reftransV1_0003918")</f>
        <v>p.persica_gdr_reftransV1_0003918</v>
      </c>
      <c r="B20446" s="2">
        <v>589</v>
      </c>
      <c r="C20446" s="4" t="str">
        <f>HYPERLINK("http://www.uniprot.org/uniprot/F4MKW3","F4MKW3")</f>
        <v>F4MKW3</v>
      </c>
      <c r="D20446" s="2" t="s">
        <v>15441</v>
      </c>
      <c r="E20446" s="3">
        <v>3.59E-80</v>
      </c>
      <c r="F20446" s="2">
        <v>659</v>
      </c>
      <c r="G20446" s="2">
        <v>99</v>
      </c>
      <c r="H20446" s="2">
        <v>128</v>
      </c>
      <c r="I20446" s="2">
        <v>2</v>
      </c>
      <c r="J20446" s="2">
        <v>385</v>
      </c>
      <c r="K20446" s="2">
        <v>66</v>
      </c>
      <c r="L20446" s="2">
        <v>193</v>
      </c>
    </row>
    <row r="20447" spans="1:12" x14ac:dyDescent="0.25">
      <c r="A20447" s="4" t="str">
        <f>HYPERLINK("http://www.rosaceae.org/Prunus/Prunus_persica/p.persica_gdr_reftransV1_0004618","p.persica_gdr_reftransV1_0004618")</f>
        <v>p.persica_gdr_reftransV1_0004618</v>
      </c>
      <c r="B20447" s="2">
        <v>691</v>
      </c>
      <c r="C20447" s="4" t="str">
        <f>HYPERLINK("http://www.uniprot.org/uniprot/W9R0R4","W9R0R4")</f>
        <v>W9R0R4</v>
      </c>
      <c r="D20447" s="2" t="s">
        <v>15442</v>
      </c>
      <c r="E20447" s="3">
        <v>6.2500000000000002E-29</v>
      </c>
      <c r="F20447" s="2">
        <v>301</v>
      </c>
      <c r="G20447" s="2">
        <v>37</v>
      </c>
      <c r="H20447" s="2">
        <v>255</v>
      </c>
      <c r="I20447" s="2">
        <v>2</v>
      </c>
      <c r="J20447" s="2">
        <v>613</v>
      </c>
      <c r="K20447" s="2">
        <v>45</v>
      </c>
      <c r="L20447" s="2">
        <v>292</v>
      </c>
    </row>
    <row r="20448" spans="1:12" x14ac:dyDescent="0.25">
      <c r="A20448" s="4" t="str">
        <f>HYPERLINK("http://www.rosaceae.org/Prunus/Prunus_persica/p.persica_gdr_reftransV1_0004968","p.persica_gdr_reftransV1_0004968")</f>
        <v>p.persica_gdr_reftransV1_0004968</v>
      </c>
      <c r="B20448" s="2">
        <v>602</v>
      </c>
      <c r="C20448" s="4" t="str">
        <f>HYPERLINK("http://www.uniprot.org/uniprot/M5WFT2","M5WFT2")</f>
        <v>M5WFT2</v>
      </c>
      <c r="D20448" s="2" t="s">
        <v>9856</v>
      </c>
      <c r="E20448" s="3">
        <v>5.4800000000000004E-72</v>
      </c>
      <c r="F20448" s="2">
        <v>596</v>
      </c>
      <c r="G20448" s="2">
        <v>97</v>
      </c>
      <c r="H20448" s="2">
        <v>159</v>
      </c>
      <c r="I20448" s="2">
        <v>44</v>
      </c>
      <c r="J20448" s="2">
        <v>511</v>
      </c>
      <c r="K20448" s="2">
        <v>215</v>
      </c>
      <c r="L20448" s="2">
        <v>373</v>
      </c>
    </row>
    <row r="20449" spans="1:12" x14ac:dyDescent="0.25">
      <c r="A20449" s="4" t="str">
        <f>HYPERLINK("http://www.rosaceae.org/Prunus/Prunus_persica/p.persica_gdr_reftransV1_0005318","p.persica_gdr_reftransV1_0005318")</f>
        <v>p.persica_gdr_reftransV1_0005318</v>
      </c>
      <c r="B20449" s="2">
        <v>2061</v>
      </c>
      <c r="C20449" s="4" t="str">
        <f>HYPERLINK("http://www.uniprot.org/uniprot/W9RBR3","W9RBR3")</f>
        <v>W9RBR3</v>
      </c>
      <c r="D20449" s="2" t="s">
        <v>15443</v>
      </c>
      <c r="E20449" s="3">
        <v>0</v>
      </c>
      <c r="F20449" s="2">
        <v>2190</v>
      </c>
      <c r="G20449" s="2">
        <v>72</v>
      </c>
      <c r="H20449" s="2">
        <v>589</v>
      </c>
      <c r="I20449" s="2">
        <v>221</v>
      </c>
      <c r="J20449" s="2">
        <v>1837</v>
      </c>
      <c r="K20449" s="2">
        <v>1</v>
      </c>
      <c r="L20449" s="2">
        <v>586</v>
      </c>
    </row>
    <row r="20450" spans="1:12" x14ac:dyDescent="0.25">
      <c r="A20450" s="4" t="str">
        <f>HYPERLINK("http://www.rosaceae.org/Prunus/Prunus_persica/p.persica_gdr_reftransV1_0005668","p.persica_gdr_reftransV1_0005668")</f>
        <v>p.persica_gdr_reftransV1_0005668</v>
      </c>
      <c r="B20450" s="2">
        <v>1176</v>
      </c>
      <c r="C20450" s="4" t="str">
        <f>HYPERLINK("http://www.uniprot.org/uniprot/M5X7U1","M5X7U1")</f>
        <v>M5X7U1</v>
      </c>
      <c r="D20450" s="2" t="s">
        <v>15444</v>
      </c>
      <c r="E20450" s="3">
        <v>0</v>
      </c>
      <c r="F20450" s="2">
        <v>1964</v>
      </c>
      <c r="G20450" s="2">
        <v>100</v>
      </c>
      <c r="H20450" s="2">
        <v>362</v>
      </c>
      <c r="I20450" s="2">
        <v>3</v>
      </c>
      <c r="J20450" s="2">
        <v>1088</v>
      </c>
      <c r="K20450" s="2">
        <v>3</v>
      </c>
      <c r="L20450" s="2">
        <v>364</v>
      </c>
    </row>
    <row r="20451" spans="1:12" x14ac:dyDescent="0.25">
      <c r="A20451" s="4" t="str">
        <f>HYPERLINK("http://www.rosaceae.org/Prunus/Prunus_persica/p.persica_gdr_reftransV1_0007068","p.persica_gdr_reftransV1_0007068")</f>
        <v>p.persica_gdr_reftransV1_0007068</v>
      </c>
      <c r="B20451" s="2">
        <v>708</v>
      </c>
      <c r="C20451" s="4" t="str">
        <f>HYPERLINK("http://www.uniprot.org/uniprot/M5VJK2","M5VJK2")</f>
        <v>M5VJK2</v>
      </c>
      <c r="D20451" s="2" t="s">
        <v>13814</v>
      </c>
      <c r="E20451" s="3">
        <v>7.1700000000000005E-110</v>
      </c>
      <c r="F20451" s="2">
        <v>862</v>
      </c>
      <c r="G20451" s="2">
        <v>100</v>
      </c>
      <c r="H20451" s="2">
        <v>175</v>
      </c>
      <c r="I20451" s="2">
        <v>184</v>
      </c>
      <c r="J20451" s="2">
        <v>708</v>
      </c>
      <c r="K20451" s="2">
        <v>309</v>
      </c>
      <c r="L20451" s="2">
        <v>483</v>
      </c>
    </row>
    <row r="20452" spans="1:12" x14ac:dyDescent="0.25">
      <c r="A20452" s="4" t="str">
        <f>HYPERLINK("http://www.rosaceae.org/Prunus/Prunus_persica/p.persica_gdr_reftransV1_0007418","p.persica_gdr_reftransV1_0007418")</f>
        <v>p.persica_gdr_reftransV1_0007418</v>
      </c>
      <c r="B20452" s="2">
        <v>2830</v>
      </c>
      <c r="C20452" s="4" t="str">
        <f>HYPERLINK("http://www.uniprot.org/uniprot/M5WYT6","M5WYT6")</f>
        <v>M5WYT6</v>
      </c>
      <c r="D20452" s="2" t="s">
        <v>15445</v>
      </c>
      <c r="E20452" s="3">
        <v>0</v>
      </c>
      <c r="F20452" s="2">
        <v>3565</v>
      </c>
      <c r="G20452" s="2">
        <v>100</v>
      </c>
      <c r="H20452" s="2">
        <v>663</v>
      </c>
      <c r="I20452" s="2">
        <v>183</v>
      </c>
      <c r="J20452" s="2">
        <v>2171</v>
      </c>
      <c r="K20452" s="2">
        <v>1</v>
      </c>
      <c r="L20452" s="2">
        <v>663</v>
      </c>
    </row>
    <row r="20453" spans="1:12" x14ac:dyDescent="0.25">
      <c r="A20453" s="4" t="str">
        <f>HYPERLINK("http://www.rosaceae.org/Prunus/Prunus_persica/p.persica_gdr_reftransV1_0008118","p.persica_gdr_reftransV1_0008118")</f>
        <v>p.persica_gdr_reftransV1_0008118</v>
      </c>
      <c r="B20453" s="2">
        <v>833</v>
      </c>
      <c r="C20453" s="4" t="str">
        <f>HYPERLINK("http://www.uniprot.org/uniprot/M5XHP1","M5XHP1")</f>
        <v>M5XHP1</v>
      </c>
      <c r="D20453" s="2" t="s">
        <v>6177</v>
      </c>
      <c r="E20453" s="3">
        <v>8.8599999999999997E-119</v>
      </c>
      <c r="F20453" s="2">
        <v>914</v>
      </c>
      <c r="G20453" s="2">
        <v>94</v>
      </c>
      <c r="H20453" s="2">
        <v>216</v>
      </c>
      <c r="I20453" s="2">
        <v>186</v>
      </c>
      <c r="J20453" s="2">
        <v>833</v>
      </c>
      <c r="K20453" s="2">
        <v>27</v>
      </c>
      <c r="L20453" s="2">
        <v>228</v>
      </c>
    </row>
    <row r="20454" spans="1:12" x14ac:dyDescent="0.25">
      <c r="A20454" s="4" t="str">
        <f>HYPERLINK("http://www.rosaceae.org/Prunus/Prunus_persica/p.persica_gdr_reftransV1_0009168","p.persica_gdr_reftransV1_0009168")</f>
        <v>p.persica_gdr_reftransV1_0009168</v>
      </c>
      <c r="B20454" s="2">
        <v>1087</v>
      </c>
      <c r="C20454" s="4" t="str">
        <f>HYPERLINK("http://www.uniprot.org/uniprot/W9QW98","W9QW98")</f>
        <v>W9QW98</v>
      </c>
      <c r="D20454" s="2" t="s">
        <v>15446</v>
      </c>
      <c r="E20454" s="3">
        <v>1.1500000000000001E-110</v>
      </c>
      <c r="F20454" s="2">
        <v>866</v>
      </c>
      <c r="G20454" s="2">
        <v>65</v>
      </c>
      <c r="H20454" s="2">
        <v>265</v>
      </c>
      <c r="I20454" s="2">
        <v>102</v>
      </c>
      <c r="J20454" s="2">
        <v>893</v>
      </c>
      <c r="K20454" s="2">
        <v>1</v>
      </c>
      <c r="L20454" s="2">
        <v>264</v>
      </c>
    </row>
    <row r="20455" spans="1:12" x14ac:dyDescent="0.25">
      <c r="A20455" s="4" t="str">
        <f>HYPERLINK("http://www.rosaceae.org/Prunus/Prunus_persica/p.persica_gdr_reftransV1_0009868","p.persica_gdr_reftransV1_0009868")</f>
        <v>p.persica_gdr_reftransV1_0009868</v>
      </c>
      <c r="B20455" s="2">
        <v>3314</v>
      </c>
      <c r="C20455" s="4" t="str">
        <f>HYPERLINK("http://www.uniprot.org/uniprot/M5XM83","M5XM83")</f>
        <v>M5XM83</v>
      </c>
      <c r="D20455" s="2" t="s">
        <v>15447</v>
      </c>
      <c r="E20455" s="3">
        <v>0</v>
      </c>
      <c r="F20455" s="2">
        <v>4176</v>
      </c>
      <c r="G20455" s="2">
        <v>100</v>
      </c>
      <c r="H20455" s="2">
        <v>832</v>
      </c>
      <c r="I20455" s="2">
        <v>358</v>
      </c>
      <c r="J20455" s="2">
        <v>2853</v>
      </c>
      <c r="K20455" s="2">
        <v>1</v>
      </c>
      <c r="L20455" s="2">
        <v>832</v>
      </c>
    </row>
    <row r="20456" spans="1:12" x14ac:dyDescent="0.25">
      <c r="A20456" s="4" t="str">
        <f>HYPERLINK("http://www.rosaceae.org/Prunus/Prunus_persica/p.persica_gdr_reftransV1_0010568","p.persica_gdr_reftransV1_0010568")</f>
        <v>p.persica_gdr_reftransV1_0010568</v>
      </c>
      <c r="B20456" s="2">
        <v>1031</v>
      </c>
      <c r="C20456" s="4" t="str">
        <f>HYPERLINK("http://www.uniprot.org/uniprot/M5XRL5","M5XRL5")</f>
        <v>M5XRL5</v>
      </c>
      <c r="D20456" s="2" t="s">
        <v>15448</v>
      </c>
      <c r="E20456" s="3">
        <v>3.8699999999999999E-105</v>
      </c>
      <c r="F20456" s="2">
        <v>816</v>
      </c>
      <c r="G20456" s="2">
        <v>100</v>
      </c>
      <c r="H20456" s="2">
        <v>201</v>
      </c>
      <c r="I20456" s="2">
        <v>110</v>
      </c>
      <c r="J20456" s="2">
        <v>712</v>
      </c>
      <c r="K20456" s="2">
        <v>1</v>
      </c>
      <c r="L20456" s="2">
        <v>201</v>
      </c>
    </row>
    <row r="20457" spans="1:12" x14ac:dyDescent="0.25">
      <c r="A20457" s="4" t="str">
        <f>HYPERLINK("http://www.rosaceae.org/Prunus/Prunus_persica/p.persica_gdr_reftransV1_0010918","p.persica_gdr_reftransV1_0010918")</f>
        <v>p.persica_gdr_reftransV1_0010918</v>
      </c>
      <c r="B20457" s="2">
        <v>1418</v>
      </c>
      <c r="C20457" s="4" t="str">
        <f>HYPERLINK("http://www.uniprot.org/uniprot/M5X264","M5X264")</f>
        <v>M5X264</v>
      </c>
      <c r="D20457" s="2" t="s">
        <v>15449</v>
      </c>
      <c r="E20457" s="3">
        <v>1.4E-153</v>
      </c>
      <c r="F20457" s="2">
        <v>1150</v>
      </c>
      <c r="G20457" s="2">
        <v>100</v>
      </c>
      <c r="H20457" s="2">
        <v>216</v>
      </c>
      <c r="I20457" s="2">
        <v>273</v>
      </c>
      <c r="J20457" s="2">
        <v>920</v>
      </c>
      <c r="K20457" s="2">
        <v>1</v>
      </c>
      <c r="L20457" s="2">
        <v>216</v>
      </c>
    </row>
    <row r="20458" spans="1:12" x14ac:dyDescent="0.25">
      <c r="A20458" s="4" t="str">
        <f>HYPERLINK("http://www.rosaceae.org/Prunus/Prunus_persica/p.persica_gdr_reftransV1_0012668","p.persica_gdr_reftransV1_0012668")</f>
        <v>p.persica_gdr_reftransV1_0012668</v>
      </c>
      <c r="B20458" s="2">
        <v>600</v>
      </c>
      <c r="C20458" s="4" t="str">
        <f>HYPERLINK("http://www.uniprot.org/uniprot/M5VSG6","M5VSG6")</f>
        <v>M5VSG6</v>
      </c>
      <c r="D20458" s="2" t="s">
        <v>1919</v>
      </c>
      <c r="E20458" s="3">
        <v>3.8600000000000002E-142</v>
      </c>
      <c r="F20458" s="2">
        <v>1082</v>
      </c>
      <c r="G20458" s="2">
        <v>100</v>
      </c>
      <c r="H20458" s="2">
        <v>200</v>
      </c>
      <c r="I20458" s="2">
        <v>1</v>
      </c>
      <c r="J20458" s="2">
        <v>600</v>
      </c>
      <c r="K20458" s="2">
        <v>394</v>
      </c>
      <c r="L20458" s="2">
        <v>593</v>
      </c>
    </row>
    <row r="20459" spans="1:12" x14ac:dyDescent="0.25">
      <c r="A20459" s="4" t="str">
        <f>HYPERLINK("http://www.rosaceae.org/Prunus/Prunus_persica/p.persica_gdr_reftransV1_0013368","p.persica_gdr_reftransV1_0013368")</f>
        <v>p.persica_gdr_reftransV1_0013368</v>
      </c>
      <c r="B20459" s="2">
        <v>1230</v>
      </c>
      <c r="C20459" s="4" t="str">
        <f>HYPERLINK("http://www.uniprot.org/uniprot/M5WEI7","M5WEI7")</f>
        <v>M5WEI7</v>
      </c>
      <c r="D20459" s="2" t="s">
        <v>4545</v>
      </c>
      <c r="E20459" s="3">
        <v>1.9499999999999999E-115</v>
      </c>
      <c r="F20459" s="2">
        <v>889</v>
      </c>
      <c r="G20459" s="2">
        <v>100</v>
      </c>
      <c r="H20459" s="2">
        <v>185</v>
      </c>
      <c r="I20459" s="2">
        <v>549</v>
      </c>
      <c r="J20459" s="2">
        <v>1103</v>
      </c>
      <c r="K20459" s="2">
        <v>1</v>
      </c>
      <c r="L20459" s="2">
        <v>185</v>
      </c>
    </row>
    <row r="20460" spans="1:12" x14ac:dyDescent="0.25">
      <c r="A20460" s="4" t="str">
        <f>HYPERLINK("http://www.rosaceae.org/Prunus/Prunus_persica/p.persica_gdr_reftransV1_0013718","p.persica_gdr_reftransV1_0013718")</f>
        <v>p.persica_gdr_reftransV1_0013718</v>
      </c>
      <c r="B20460" s="2">
        <v>1369</v>
      </c>
      <c r="C20460" s="4" t="str">
        <f>HYPERLINK("http://www.uniprot.org/uniprot/M5X0E6","M5X0E6")</f>
        <v>M5X0E6</v>
      </c>
      <c r="D20460" s="2" t="s">
        <v>15450</v>
      </c>
      <c r="E20460" s="3">
        <v>0</v>
      </c>
      <c r="F20460" s="2">
        <v>1375</v>
      </c>
      <c r="G20460" s="2">
        <v>100</v>
      </c>
      <c r="H20460" s="2">
        <v>252</v>
      </c>
      <c r="I20460" s="2">
        <v>374</v>
      </c>
      <c r="J20460" s="2">
        <v>1129</v>
      </c>
      <c r="K20460" s="2">
        <v>1</v>
      </c>
      <c r="L20460" s="2">
        <v>252</v>
      </c>
    </row>
    <row r="20461" spans="1:12" x14ac:dyDescent="0.25">
      <c r="A20461" s="4" t="str">
        <f>HYPERLINK("http://www.rosaceae.org/Prunus/Prunus_persica/p.persica_gdr_reftransV1_0014068","p.persica_gdr_reftransV1_0014068")</f>
        <v>p.persica_gdr_reftransV1_0014068</v>
      </c>
      <c r="B20461" s="2">
        <v>1222</v>
      </c>
      <c r="C20461" s="4" t="str">
        <f>HYPERLINK("http://www.uniprot.org/uniprot/M5XHE0","M5XHE0")</f>
        <v>M5XHE0</v>
      </c>
      <c r="D20461" s="2" t="s">
        <v>15451</v>
      </c>
      <c r="E20461" s="3">
        <v>3.6300000000000002E-106</v>
      </c>
      <c r="F20461" s="2">
        <v>829</v>
      </c>
      <c r="G20461" s="2">
        <v>100</v>
      </c>
      <c r="H20461" s="2">
        <v>205</v>
      </c>
      <c r="I20461" s="2">
        <v>520</v>
      </c>
      <c r="J20461" s="2">
        <v>1134</v>
      </c>
      <c r="K20461" s="2">
        <v>1</v>
      </c>
      <c r="L20461" s="2">
        <v>205</v>
      </c>
    </row>
    <row r="20462" spans="1:12" x14ac:dyDescent="0.25">
      <c r="A20462" s="4" t="str">
        <f>HYPERLINK("http://www.rosaceae.org/Prunus/Prunus_persica/p.persica_gdr_reftransV1_0014768","p.persica_gdr_reftransV1_0014768")</f>
        <v>p.persica_gdr_reftransV1_0014768</v>
      </c>
      <c r="B20462" s="2">
        <v>663</v>
      </c>
      <c r="C20462" s="4" t="str">
        <f>HYPERLINK("http://www.uniprot.org/uniprot/M5VMS9","M5VMS9")</f>
        <v>M5VMS9</v>
      </c>
      <c r="D20462" s="2" t="s">
        <v>15452</v>
      </c>
      <c r="E20462" s="3">
        <v>2.0400000000000001E-70</v>
      </c>
      <c r="F20462" s="2">
        <v>568</v>
      </c>
      <c r="G20462" s="2">
        <v>100</v>
      </c>
      <c r="H20462" s="2">
        <v>131</v>
      </c>
      <c r="I20462" s="2">
        <v>2</v>
      </c>
      <c r="J20462" s="2">
        <v>394</v>
      </c>
      <c r="K20462" s="2">
        <v>11</v>
      </c>
      <c r="L20462" s="2">
        <v>141</v>
      </c>
    </row>
    <row r="20463" spans="1:12" x14ac:dyDescent="0.25">
      <c r="A20463" s="4" t="str">
        <f>HYPERLINK("http://www.rosaceae.org/Prunus/Prunus_persica/p.persica_gdr_reftransV1_0015118","p.persica_gdr_reftransV1_0015118")</f>
        <v>p.persica_gdr_reftransV1_0015118</v>
      </c>
      <c r="B20463" s="2">
        <v>2071</v>
      </c>
      <c r="C20463" s="4" t="str">
        <f>HYPERLINK("http://www.uniprot.org/uniprot/M5WN19","M5WN19")</f>
        <v>M5WN19</v>
      </c>
      <c r="D20463" s="2" t="s">
        <v>15453</v>
      </c>
      <c r="E20463" s="3">
        <v>0</v>
      </c>
      <c r="F20463" s="2">
        <v>2755</v>
      </c>
      <c r="G20463" s="2">
        <v>100</v>
      </c>
      <c r="H20463" s="2">
        <v>545</v>
      </c>
      <c r="I20463" s="2">
        <v>88</v>
      </c>
      <c r="J20463" s="2">
        <v>1722</v>
      </c>
      <c r="K20463" s="2">
        <v>1</v>
      </c>
      <c r="L20463" s="2">
        <v>545</v>
      </c>
    </row>
    <row r="20464" spans="1:12" x14ac:dyDescent="0.25">
      <c r="A20464" s="4" t="str">
        <f>HYPERLINK("http://www.rosaceae.org/Prunus/Prunus_persica/p.persica_gdr_reftransV1_0017918","p.persica_gdr_reftransV1_0017918")</f>
        <v>p.persica_gdr_reftransV1_0017918</v>
      </c>
      <c r="B20464" s="2">
        <v>5528</v>
      </c>
      <c r="C20464" s="4" t="str">
        <f>HYPERLINK("http://www.uniprot.org/uniprot/M5XXS5","M5XXS5")</f>
        <v>M5XXS5</v>
      </c>
      <c r="D20464" s="2" t="s">
        <v>15454</v>
      </c>
      <c r="E20464" s="3">
        <v>0</v>
      </c>
      <c r="F20464" s="2">
        <v>2739</v>
      </c>
      <c r="G20464" s="2">
        <v>97</v>
      </c>
      <c r="H20464" s="2">
        <v>546</v>
      </c>
      <c r="I20464" s="2">
        <v>268</v>
      </c>
      <c r="J20464" s="2">
        <v>1884</v>
      </c>
      <c r="K20464" s="2">
        <v>1</v>
      </c>
      <c r="L20464" s="2">
        <v>546</v>
      </c>
    </row>
    <row r="20465" spans="1:12" x14ac:dyDescent="0.25">
      <c r="A20465" s="4" t="str">
        <f>HYPERLINK("http://www.rosaceae.org/Prunus/Prunus_persica/p.persica_gdr_reftransV1_0018268","p.persica_gdr_reftransV1_0018268")</f>
        <v>p.persica_gdr_reftransV1_0018268</v>
      </c>
      <c r="B20465" s="2">
        <v>2552</v>
      </c>
      <c r="C20465" s="4" t="str">
        <f>HYPERLINK("http://www.uniprot.org/uniprot/M5XEF2","M5XEF2")</f>
        <v>M5XEF2</v>
      </c>
      <c r="D20465" s="2" t="s">
        <v>15455</v>
      </c>
      <c r="E20465" s="3">
        <v>0</v>
      </c>
      <c r="F20465" s="2">
        <v>1796</v>
      </c>
      <c r="G20465" s="2">
        <v>95</v>
      </c>
      <c r="H20465" s="2">
        <v>364</v>
      </c>
      <c r="I20465" s="2">
        <v>988</v>
      </c>
      <c r="J20465" s="2">
        <v>2070</v>
      </c>
      <c r="K20465" s="2">
        <v>1</v>
      </c>
      <c r="L20465" s="2">
        <v>362</v>
      </c>
    </row>
    <row r="20466" spans="1:12" x14ac:dyDescent="0.25">
      <c r="A20466" s="4" t="str">
        <f>HYPERLINK("http://www.rosaceae.org/Prunus/Prunus_persica/p.persica_gdr_reftransV1_0019668","p.persica_gdr_reftransV1_0019668")</f>
        <v>p.persica_gdr_reftransV1_0019668</v>
      </c>
      <c r="B20466" s="2">
        <v>3406</v>
      </c>
      <c r="C20466" s="4" t="str">
        <f>HYPERLINK("http://www.uniprot.org/uniprot/M5X548","M5X548")</f>
        <v>M5X548</v>
      </c>
      <c r="D20466" s="2" t="s">
        <v>15456</v>
      </c>
      <c r="E20466" s="3">
        <v>0</v>
      </c>
      <c r="F20466" s="2">
        <v>2161</v>
      </c>
      <c r="G20466" s="2">
        <v>99</v>
      </c>
      <c r="H20466" s="2">
        <v>407</v>
      </c>
      <c r="I20466" s="2">
        <v>240</v>
      </c>
      <c r="J20466" s="2">
        <v>1460</v>
      </c>
      <c r="K20466" s="2">
        <v>7</v>
      </c>
      <c r="L20466" s="2">
        <v>413</v>
      </c>
    </row>
    <row r="20467" spans="1:12" x14ac:dyDescent="0.25">
      <c r="A20467" s="4" t="str">
        <f>HYPERLINK("http://www.rosaceae.org/Prunus/Prunus_persica/p.persica_gdr_reftransV1_0020718","p.persica_gdr_reftransV1_0020718")</f>
        <v>p.persica_gdr_reftransV1_0020718</v>
      </c>
      <c r="B20467" s="2">
        <v>1705</v>
      </c>
      <c r="C20467" s="4" t="str">
        <f>HYPERLINK("http://www.uniprot.org/uniprot/M5WG66","M5WG66")</f>
        <v>M5WG66</v>
      </c>
      <c r="D20467" s="2" t="s">
        <v>15457</v>
      </c>
      <c r="E20467" s="3">
        <v>8.3200000000000007E-173</v>
      </c>
      <c r="F20467" s="2">
        <v>1301</v>
      </c>
      <c r="G20467" s="2">
        <v>100</v>
      </c>
      <c r="H20467" s="2">
        <v>265</v>
      </c>
      <c r="I20467" s="2">
        <v>624</v>
      </c>
      <c r="J20467" s="2">
        <v>1418</v>
      </c>
      <c r="K20467" s="2">
        <v>84</v>
      </c>
      <c r="L20467" s="2">
        <v>348</v>
      </c>
    </row>
    <row r="20468" spans="1:12" x14ac:dyDescent="0.25">
      <c r="A20468" s="4" t="str">
        <f>HYPERLINK("http://www.rosaceae.org/Prunus/Prunus_persica/p.persica_gdr_reftransV1_0021068","p.persica_gdr_reftransV1_0021068")</f>
        <v>p.persica_gdr_reftransV1_0021068</v>
      </c>
      <c r="B20468" s="2">
        <v>2152</v>
      </c>
      <c r="C20468" s="4" t="str">
        <f>HYPERLINK("http://www.uniprot.org/uniprot/M5WWC2","M5WWC2")</f>
        <v>M5WWC2</v>
      </c>
      <c r="D20468" s="2" t="s">
        <v>15458</v>
      </c>
      <c r="E20468" s="3">
        <v>0</v>
      </c>
      <c r="F20468" s="2">
        <v>1452</v>
      </c>
      <c r="G20468" s="2">
        <v>100</v>
      </c>
      <c r="H20468" s="2">
        <v>266</v>
      </c>
      <c r="I20468" s="2">
        <v>1130</v>
      </c>
      <c r="J20468" s="2">
        <v>1927</v>
      </c>
      <c r="K20468" s="2">
        <v>270</v>
      </c>
      <c r="L20468" s="2">
        <v>535</v>
      </c>
    </row>
    <row r="20469" spans="1:12" x14ac:dyDescent="0.25">
      <c r="A20469" s="4" t="str">
        <f>HYPERLINK("http://www.rosaceae.org/Prunus/Prunus_persica/p.persica_gdr_reftransV1_0021418","p.persica_gdr_reftransV1_0021418")</f>
        <v>p.persica_gdr_reftransV1_0021418</v>
      </c>
      <c r="B20469" s="2">
        <v>1960</v>
      </c>
      <c r="C20469" s="4" t="str">
        <f>HYPERLINK("http://www.uniprot.org/uniprot/M5WAI2","M5WAI2")</f>
        <v>M5WAI2</v>
      </c>
      <c r="D20469" s="2" t="s">
        <v>15459</v>
      </c>
      <c r="E20469" s="3">
        <v>0</v>
      </c>
      <c r="F20469" s="2">
        <v>2063</v>
      </c>
      <c r="G20469" s="2">
        <v>100</v>
      </c>
      <c r="H20469" s="2">
        <v>460</v>
      </c>
      <c r="I20469" s="2">
        <v>443</v>
      </c>
      <c r="J20469" s="2">
        <v>1822</v>
      </c>
      <c r="K20469" s="2">
        <v>1</v>
      </c>
      <c r="L20469" s="2">
        <v>460</v>
      </c>
    </row>
    <row r="20470" spans="1:12" x14ac:dyDescent="0.25">
      <c r="A20470" s="4" t="str">
        <f>HYPERLINK("http://www.rosaceae.org/Prunus/Prunus_persica/p.persica_gdr_reftransV1_0021768","p.persica_gdr_reftransV1_0021768")</f>
        <v>p.persica_gdr_reftransV1_0021768</v>
      </c>
      <c r="B20470" s="2">
        <v>2651</v>
      </c>
      <c r="C20470" s="4" t="str">
        <f>HYPERLINK("http://www.uniprot.org/uniprot/M5W726","M5W726")</f>
        <v>M5W726</v>
      </c>
      <c r="D20470" s="2" t="s">
        <v>15460</v>
      </c>
      <c r="E20470" s="3">
        <v>0</v>
      </c>
      <c r="F20470" s="2">
        <v>3178</v>
      </c>
      <c r="G20470" s="2">
        <v>100</v>
      </c>
      <c r="H20470" s="2">
        <v>587</v>
      </c>
      <c r="I20470" s="2">
        <v>69</v>
      </c>
      <c r="J20470" s="2">
        <v>1829</v>
      </c>
      <c r="K20470" s="2">
        <v>1</v>
      </c>
      <c r="L20470" s="2">
        <v>587</v>
      </c>
    </row>
    <row r="20471" spans="1:12" x14ac:dyDescent="0.25">
      <c r="A20471" s="4" t="str">
        <f>HYPERLINK("http://www.rosaceae.org/Prunus/Prunus_persica/p.persica_gdr_reftransV1_0022818","p.persica_gdr_reftransV1_0022818")</f>
        <v>p.persica_gdr_reftransV1_0022818</v>
      </c>
      <c r="B20471" s="2">
        <v>846</v>
      </c>
      <c r="C20471" s="4" t="str">
        <f>HYPERLINK("http://www.uniprot.org/uniprot/M5WT67","M5WT67")</f>
        <v>M5WT67</v>
      </c>
      <c r="D20471" s="2" t="s">
        <v>4004</v>
      </c>
      <c r="E20471" s="3">
        <v>3.6199999999999999E-143</v>
      </c>
      <c r="F20471" s="2">
        <v>1091</v>
      </c>
      <c r="G20471" s="2">
        <v>85</v>
      </c>
      <c r="H20471" s="2">
        <v>281</v>
      </c>
      <c r="I20471" s="2">
        <v>2</v>
      </c>
      <c r="J20471" s="2">
        <v>844</v>
      </c>
      <c r="K20471" s="2">
        <v>91</v>
      </c>
      <c r="L20471" s="2">
        <v>331</v>
      </c>
    </row>
    <row r="20472" spans="1:12" x14ac:dyDescent="0.25">
      <c r="A20472" s="4" t="str">
        <f>HYPERLINK("http://www.rosaceae.org/Prunus/Prunus_persica/p.persica_gdr_reftransV1_0023518","p.persica_gdr_reftransV1_0023518")</f>
        <v>p.persica_gdr_reftransV1_0023518</v>
      </c>
      <c r="B20472" s="2">
        <v>1881</v>
      </c>
      <c r="C20472" s="4" t="str">
        <f>HYPERLINK("http://www.uniprot.org/uniprot/M5WB82","M5WB82")</f>
        <v>M5WB82</v>
      </c>
      <c r="D20472" s="2" t="s">
        <v>5406</v>
      </c>
      <c r="E20472" s="3">
        <v>3.44E-118</v>
      </c>
      <c r="F20472" s="2">
        <v>940</v>
      </c>
      <c r="G20472" s="2">
        <v>100</v>
      </c>
      <c r="H20472" s="2">
        <v>178</v>
      </c>
      <c r="I20472" s="2">
        <v>1235</v>
      </c>
      <c r="J20472" s="2">
        <v>1768</v>
      </c>
      <c r="K20472" s="2">
        <v>1</v>
      </c>
      <c r="L20472" s="2">
        <v>178</v>
      </c>
    </row>
    <row r="20473" spans="1:12" x14ac:dyDescent="0.25">
      <c r="A20473" s="4" t="str">
        <f>HYPERLINK("http://www.rosaceae.org/Prunus/Prunus_persica/p.persica_gdr_reftransV1_0023868","p.persica_gdr_reftransV1_0023868")</f>
        <v>p.persica_gdr_reftransV1_0023868</v>
      </c>
      <c r="B20473" s="2">
        <v>1373</v>
      </c>
      <c r="C20473" s="4" t="str">
        <f>HYPERLINK("http://www.uniprot.org/uniprot/M5WBC4","M5WBC4")</f>
        <v>M5WBC4</v>
      </c>
      <c r="D20473" s="2" t="s">
        <v>15461</v>
      </c>
      <c r="E20473" s="3">
        <v>0</v>
      </c>
      <c r="F20473" s="2">
        <v>1829</v>
      </c>
      <c r="G20473" s="2">
        <v>99</v>
      </c>
      <c r="H20473" s="2">
        <v>363</v>
      </c>
      <c r="I20473" s="2">
        <v>221</v>
      </c>
      <c r="J20473" s="2">
        <v>1309</v>
      </c>
      <c r="K20473" s="2">
        <v>1</v>
      </c>
      <c r="L20473" s="2">
        <v>363</v>
      </c>
    </row>
    <row r="20474" spans="1:12" x14ac:dyDescent="0.25">
      <c r="A20474" s="4" t="str">
        <f>HYPERLINK("http://www.rosaceae.org/Prunus/Prunus_persica/p.persica_gdr_reftransV1_0024918","p.persica_gdr_reftransV1_0024918")</f>
        <v>p.persica_gdr_reftransV1_0024918</v>
      </c>
      <c r="B20474" s="2">
        <v>2216</v>
      </c>
      <c r="C20474" s="4" t="str">
        <f>HYPERLINK("http://www.uniprot.org/uniprot/M5WT62","M5WT62")</f>
        <v>M5WT62</v>
      </c>
      <c r="D20474" s="2" t="s">
        <v>15462</v>
      </c>
      <c r="E20474" s="3">
        <v>0</v>
      </c>
      <c r="F20474" s="2">
        <v>2514</v>
      </c>
      <c r="G20474" s="2">
        <v>100</v>
      </c>
      <c r="H20474" s="2">
        <v>527</v>
      </c>
      <c r="I20474" s="2">
        <v>553</v>
      </c>
      <c r="J20474" s="2">
        <v>2133</v>
      </c>
      <c r="K20474" s="2">
        <v>1</v>
      </c>
      <c r="L20474" s="2">
        <v>527</v>
      </c>
    </row>
    <row r="20475" spans="1:12" x14ac:dyDescent="0.25">
      <c r="A20475" s="4" t="str">
        <f>HYPERLINK("http://www.rosaceae.org/Prunus/Prunus_persica/p.persica_gdr_reftransV1_0025268","p.persica_gdr_reftransV1_0025268")</f>
        <v>p.persica_gdr_reftransV1_0025268</v>
      </c>
      <c r="B20475" s="2">
        <v>3619</v>
      </c>
      <c r="C20475" s="4" t="str">
        <f>HYPERLINK("http://www.uniprot.org/uniprot/M5WTZ7","M5WTZ7")</f>
        <v>M5WTZ7</v>
      </c>
      <c r="D20475" s="2" t="s">
        <v>15463</v>
      </c>
      <c r="E20475" s="3">
        <v>0</v>
      </c>
      <c r="F20475" s="2">
        <v>1610</v>
      </c>
      <c r="G20475" s="2">
        <v>95</v>
      </c>
      <c r="H20475" s="2">
        <v>384</v>
      </c>
      <c r="I20475" s="2">
        <v>1214</v>
      </c>
      <c r="J20475" s="2">
        <v>2365</v>
      </c>
      <c r="K20475" s="2">
        <v>1</v>
      </c>
      <c r="L20475" s="2">
        <v>364</v>
      </c>
    </row>
    <row r="20476" spans="1:12" x14ac:dyDescent="0.25">
      <c r="A20476" s="4" t="str">
        <f>HYPERLINK("http://www.rosaceae.org/Prunus/Prunus_persica/p.persica_gdr_reftransV1_0025618","p.persica_gdr_reftransV1_0025618")</f>
        <v>p.persica_gdr_reftransV1_0025618</v>
      </c>
      <c r="B20476" s="2">
        <v>1910</v>
      </c>
      <c r="C20476" s="4" t="str">
        <f>HYPERLINK("http://www.uniprot.org/uniprot/M5W9V5","M5W9V5")</f>
        <v>M5W9V5</v>
      </c>
      <c r="D20476" s="2" t="s">
        <v>15464</v>
      </c>
      <c r="E20476" s="3">
        <v>0</v>
      </c>
      <c r="F20476" s="2">
        <v>2345</v>
      </c>
      <c r="G20476" s="2">
        <v>100</v>
      </c>
      <c r="H20476" s="2">
        <v>521</v>
      </c>
      <c r="I20476" s="2">
        <v>126</v>
      </c>
      <c r="J20476" s="2">
        <v>1688</v>
      </c>
      <c r="K20476" s="2">
        <v>1</v>
      </c>
      <c r="L20476" s="2">
        <v>521</v>
      </c>
    </row>
    <row r="20477" spans="1:12" x14ac:dyDescent="0.25">
      <c r="A20477" s="4" t="str">
        <f>HYPERLINK("http://www.rosaceae.org/Prunus/Prunus_persica/p.persica_gdr_reftransV1_0025968","p.persica_gdr_reftransV1_0025968")</f>
        <v>p.persica_gdr_reftransV1_0025968</v>
      </c>
      <c r="B20477" s="2">
        <v>1419</v>
      </c>
      <c r="C20477" s="4" t="str">
        <f>HYPERLINK("http://www.uniprot.org/uniprot/A0A0D2TYI8","A0A0D2TYI8")</f>
        <v>A0A0D2TYI8</v>
      </c>
      <c r="D20477" s="2" t="s">
        <v>15465</v>
      </c>
      <c r="E20477" s="3">
        <v>5.5400000000000005E-147</v>
      </c>
      <c r="F20477" s="2">
        <v>739</v>
      </c>
      <c r="G20477" s="2">
        <v>70</v>
      </c>
      <c r="H20477" s="2">
        <v>204</v>
      </c>
      <c r="I20477" s="2">
        <v>164</v>
      </c>
      <c r="J20477" s="2">
        <v>769</v>
      </c>
      <c r="K20477" s="2">
        <v>160</v>
      </c>
      <c r="L20477" s="2">
        <v>362</v>
      </c>
    </row>
    <row r="20478" spans="1:12" x14ac:dyDescent="0.25">
      <c r="A20478" s="4" t="str">
        <f>HYPERLINK("http://www.rosaceae.org/Prunus/Prunus_persica/p.persica_gdr_reftransV1_0028068","p.persica_gdr_reftransV1_0028068")</f>
        <v>p.persica_gdr_reftransV1_0028068</v>
      </c>
      <c r="B20478" s="2">
        <v>1622</v>
      </c>
      <c r="C20478" s="4" t="str">
        <f>HYPERLINK("http://www.uniprot.org/uniprot/M5W947","M5W947")</f>
        <v>M5W947</v>
      </c>
      <c r="D20478" s="2" t="s">
        <v>15466</v>
      </c>
      <c r="E20478" s="3">
        <v>0</v>
      </c>
      <c r="F20478" s="2">
        <v>2098</v>
      </c>
      <c r="G20478" s="2">
        <v>100</v>
      </c>
      <c r="H20478" s="2">
        <v>427</v>
      </c>
      <c r="I20478" s="2">
        <v>240</v>
      </c>
      <c r="J20478" s="2">
        <v>1520</v>
      </c>
      <c r="K20478" s="2">
        <v>1</v>
      </c>
      <c r="L20478" s="2">
        <v>427</v>
      </c>
    </row>
    <row r="20479" spans="1:12" x14ac:dyDescent="0.25">
      <c r="A20479" s="4" t="str">
        <f>HYPERLINK("http://www.rosaceae.org/Prunus/Prunus_persica/p.persica_gdr_reftransV1_0029468","p.persica_gdr_reftransV1_0029468")</f>
        <v>p.persica_gdr_reftransV1_0029468</v>
      </c>
      <c r="B20479" s="2">
        <v>2757</v>
      </c>
      <c r="C20479" s="4" t="str">
        <f>HYPERLINK("http://www.uniprot.org/uniprot/M5X3T5","M5X3T5")</f>
        <v>M5X3T5</v>
      </c>
      <c r="D20479" s="2" t="s">
        <v>15467</v>
      </c>
      <c r="E20479" s="3">
        <v>0</v>
      </c>
      <c r="F20479" s="2">
        <v>2726</v>
      </c>
      <c r="G20479" s="2">
        <v>99</v>
      </c>
      <c r="H20479" s="2">
        <v>554</v>
      </c>
      <c r="I20479" s="2">
        <v>665</v>
      </c>
      <c r="J20479" s="2">
        <v>2326</v>
      </c>
      <c r="K20479" s="2">
        <v>1</v>
      </c>
      <c r="L20479" s="2">
        <v>554</v>
      </c>
    </row>
    <row r="20480" spans="1:12" x14ac:dyDescent="0.25">
      <c r="A20480" s="4" t="str">
        <f>HYPERLINK("http://www.rosaceae.org/Prunus/Prunus_persica/p.persica_gdr_reftransV1_0029818","p.persica_gdr_reftransV1_0029818")</f>
        <v>p.persica_gdr_reftransV1_0029818</v>
      </c>
      <c r="B20480" s="2">
        <v>4464</v>
      </c>
      <c r="C20480" s="4" t="str">
        <f>HYPERLINK("http://www.uniprot.org/uniprot/M5WJ84","M5WJ84")</f>
        <v>M5WJ84</v>
      </c>
      <c r="D20480" s="2" t="s">
        <v>15468</v>
      </c>
      <c r="E20480" s="3">
        <v>0</v>
      </c>
      <c r="F20480" s="2">
        <v>4507</v>
      </c>
      <c r="G20480" s="2">
        <v>100</v>
      </c>
      <c r="H20480" s="2">
        <v>861</v>
      </c>
      <c r="I20480" s="2">
        <v>475</v>
      </c>
      <c r="J20480" s="2">
        <v>3057</v>
      </c>
      <c r="K20480" s="2">
        <v>1</v>
      </c>
      <c r="L20480" s="2">
        <v>861</v>
      </c>
    </row>
    <row r="20481" spans="1:12" x14ac:dyDescent="0.25">
      <c r="A20481" s="4" t="str">
        <f>HYPERLINK("http://www.rosaceae.org/Prunus/Prunus_persica/p.persica_gdr_reftransV1_0031568","p.persica_gdr_reftransV1_0031568")</f>
        <v>p.persica_gdr_reftransV1_0031568</v>
      </c>
      <c r="B20481" s="2">
        <v>2175</v>
      </c>
      <c r="C20481" s="4" t="str">
        <f>HYPERLINK("http://www.uniprot.org/uniprot/M5XUC1","M5XUC1")</f>
        <v>M5XUC1</v>
      </c>
      <c r="D20481" s="2" t="s">
        <v>11509</v>
      </c>
      <c r="E20481" s="3">
        <v>0</v>
      </c>
      <c r="F20481" s="2">
        <v>1483</v>
      </c>
      <c r="G20481" s="2">
        <v>99</v>
      </c>
      <c r="H20481" s="2">
        <v>319</v>
      </c>
      <c r="I20481" s="2">
        <v>637</v>
      </c>
      <c r="J20481" s="2">
        <v>1593</v>
      </c>
      <c r="K20481" s="2">
        <v>1</v>
      </c>
      <c r="L20481" s="2">
        <v>318</v>
      </c>
    </row>
    <row r="20482" spans="1:12" x14ac:dyDescent="0.25">
      <c r="A20482" s="4" t="str">
        <f>HYPERLINK("http://www.rosaceae.org/Prunus/Prunus_persica/p.persica_gdr_reftransV1_0032268","p.persica_gdr_reftransV1_0032268")</f>
        <v>p.persica_gdr_reftransV1_0032268</v>
      </c>
      <c r="B20482" s="2">
        <v>2239</v>
      </c>
      <c r="C20482" s="4" t="str">
        <f>HYPERLINK("http://www.uniprot.org/uniprot/M5XYS8","M5XYS8")</f>
        <v>M5XYS8</v>
      </c>
      <c r="D20482" s="2" t="s">
        <v>15469</v>
      </c>
      <c r="E20482" s="3">
        <v>0</v>
      </c>
      <c r="F20482" s="2">
        <v>2194</v>
      </c>
      <c r="G20482" s="2">
        <v>100</v>
      </c>
      <c r="H20482" s="2">
        <v>473</v>
      </c>
      <c r="I20482" s="2">
        <v>236</v>
      </c>
      <c r="J20482" s="2">
        <v>1654</v>
      </c>
      <c r="K20482" s="2">
        <v>1</v>
      </c>
      <c r="L20482" s="2">
        <v>473</v>
      </c>
    </row>
    <row r="20483" spans="1:12" x14ac:dyDescent="0.25">
      <c r="A20483" s="4" t="str">
        <f>HYPERLINK("http://www.rosaceae.org/Prunus/Prunus_persica/p.persica_gdr_reftransV1_0035068","p.persica_gdr_reftransV1_0035068")</f>
        <v>p.persica_gdr_reftransV1_0035068</v>
      </c>
      <c r="B20483" s="2">
        <v>3819</v>
      </c>
      <c r="C20483" s="4" t="str">
        <f>HYPERLINK("http://www.uniprot.org/uniprot/M5XM60","M5XM60")</f>
        <v>M5XM60</v>
      </c>
      <c r="D20483" s="2" t="s">
        <v>15470</v>
      </c>
      <c r="E20483" s="3">
        <v>0</v>
      </c>
      <c r="F20483" s="2">
        <v>5116</v>
      </c>
      <c r="G20483" s="2">
        <v>95</v>
      </c>
      <c r="H20483" s="2">
        <v>1048</v>
      </c>
      <c r="I20483" s="2">
        <v>441</v>
      </c>
      <c r="J20483" s="2">
        <v>3539</v>
      </c>
      <c r="K20483" s="2">
        <v>1</v>
      </c>
      <c r="L20483" s="2">
        <v>1016</v>
      </c>
    </row>
    <row r="20484" spans="1:12" x14ac:dyDescent="0.25">
      <c r="A20484" s="4" t="str">
        <f>HYPERLINK("http://www.rosaceae.org/Prunus/Prunus_persica/p.persica_gdr_reftransV1_0035418","p.persica_gdr_reftransV1_0035418")</f>
        <v>p.persica_gdr_reftransV1_0035418</v>
      </c>
      <c r="B20484" s="2">
        <v>938</v>
      </c>
      <c r="C20484" s="4" t="str">
        <f>HYPERLINK("http://www.uniprot.org/uniprot/M5WVM2","M5WVM2")</f>
        <v>M5WVM2</v>
      </c>
      <c r="D20484" s="2" t="s">
        <v>15471</v>
      </c>
      <c r="E20484" s="3">
        <v>2.64E-99</v>
      </c>
      <c r="F20484" s="2">
        <v>769</v>
      </c>
      <c r="G20484" s="2">
        <v>100</v>
      </c>
      <c r="H20484" s="2">
        <v>146</v>
      </c>
      <c r="I20484" s="2">
        <v>328</v>
      </c>
      <c r="J20484" s="2">
        <v>765</v>
      </c>
      <c r="K20484" s="2">
        <v>1</v>
      </c>
      <c r="L20484" s="2">
        <v>146</v>
      </c>
    </row>
    <row r="20485" spans="1:12" x14ac:dyDescent="0.25">
      <c r="A20485" s="4" t="str">
        <f>HYPERLINK("http://www.rosaceae.org/Prunus/Prunus_persica/p.persica_gdr_reftransV1_0035768","p.persica_gdr_reftransV1_0035768")</f>
        <v>p.persica_gdr_reftransV1_0035768</v>
      </c>
      <c r="B20485" s="2">
        <v>2932</v>
      </c>
      <c r="C20485" s="4" t="str">
        <f>HYPERLINK("http://www.uniprot.org/uniprot/M5WU20","M5WU20")</f>
        <v>M5WU20</v>
      </c>
      <c r="D20485" s="2" t="s">
        <v>15472</v>
      </c>
      <c r="E20485" s="3">
        <v>0</v>
      </c>
      <c r="F20485" s="2">
        <v>3098</v>
      </c>
      <c r="G20485" s="2">
        <v>99</v>
      </c>
      <c r="H20485" s="2">
        <v>632</v>
      </c>
      <c r="I20485" s="2">
        <v>525</v>
      </c>
      <c r="J20485" s="2">
        <v>2408</v>
      </c>
      <c r="K20485" s="2">
        <v>1</v>
      </c>
      <c r="L20485" s="2">
        <v>632</v>
      </c>
    </row>
    <row r="20486" spans="1:12" x14ac:dyDescent="0.25">
      <c r="A20486" s="4" t="str">
        <f>HYPERLINK("http://www.rosaceae.org/Prunus/Prunus_persica/p.persica_gdr_reftransV1_0037168","p.persica_gdr_reftransV1_0037168")</f>
        <v>p.persica_gdr_reftransV1_0037168</v>
      </c>
      <c r="B20486" s="2">
        <v>3584</v>
      </c>
      <c r="C20486" s="4" t="str">
        <f>HYPERLINK("http://www.uniprot.org/uniprot/M5WQ18","M5WQ18")</f>
        <v>M5WQ18</v>
      </c>
      <c r="D20486" s="2" t="s">
        <v>15473</v>
      </c>
      <c r="E20486" s="3">
        <v>0</v>
      </c>
      <c r="F20486" s="2">
        <v>1867</v>
      </c>
      <c r="G20486" s="2">
        <v>92</v>
      </c>
      <c r="H20486" s="2">
        <v>421</v>
      </c>
      <c r="I20486" s="2">
        <v>1931</v>
      </c>
      <c r="J20486" s="2">
        <v>3193</v>
      </c>
      <c r="K20486" s="2">
        <v>1</v>
      </c>
      <c r="L20486" s="2">
        <v>413</v>
      </c>
    </row>
    <row r="20487" spans="1:12" x14ac:dyDescent="0.25">
      <c r="A20487" s="4" t="str">
        <f>HYPERLINK("http://www.rosaceae.org/Prunus/Prunus_persica/p.persica_gdr_reftransV1_0038568","p.persica_gdr_reftransV1_0038568")</f>
        <v>p.persica_gdr_reftransV1_0038568</v>
      </c>
      <c r="B20487" s="2">
        <v>4454</v>
      </c>
      <c r="C20487" s="4" t="str">
        <f>HYPERLINK("http://www.uniprot.org/uniprot/M5Y4U7","M5Y4U7")</f>
        <v>M5Y4U7</v>
      </c>
      <c r="D20487" s="2" t="s">
        <v>1471</v>
      </c>
      <c r="E20487" s="3">
        <v>0</v>
      </c>
      <c r="F20487" s="2">
        <v>1938</v>
      </c>
      <c r="G20487" s="2">
        <v>100</v>
      </c>
      <c r="H20487" s="2">
        <v>360</v>
      </c>
      <c r="I20487" s="2">
        <v>2000</v>
      </c>
      <c r="J20487" s="2">
        <v>3079</v>
      </c>
      <c r="K20487" s="2">
        <v>348</v>
      </c>
      <c r="L20487" s="2">
        <v>707</v>
      </c>
    </row>
    <row r="20488" spans="1:12" x14ac:dyDescent="0.25">
      <c r="A20488" s="4" t="str">
        <f>HYPERLINK("http://www.rosaceae.org/Prunus/Prunus_persica/p.persica_gdr_reftransV1_0038918","p.persica_gdr_reftransV1_0038918")</f>
        <v>p.persica_gdr_reftransV1_0038918</v>
      </c>
      <c r="B20488" s="2">
        <v>2559</v>
      </c>
      <c r="C20488" s="4" t="str">
        <f>HYPERLINK("http://www.uniprot.org/uniprot/M5VK52","M5VK52")</f>
        <v>M5VK52</v>
      </c>
      <c r="D20488" s="2" t="s">
        <v>15474</v>
      </c>
      <c r="E20488" s="3">
        <v>3.5900000000000001E-161</v>
      </c>
      <c r="F20488" s="2">
        <v>1268</v>
      </c>
      <c r="G20488" s="2">
        <v>100</v>
      </c>
      <c r="H20488" s="2">
        <v>240</v>
      </c>
      <c r="I20488" s="2">
        <v>1075</v>
      </c>
      <c r="J20488" s="2">
        <v>1794</v>
      </c>
      <c r="K20488" s="2">
        <v>80</v>
      </c>
      <c r="L20488" s="2">
        <v>319</v>
      </c>
    </row>
    <row r="20489" spans="1:12" x14ac:dyDescent="0.25">
      <c r="A20489" s="4" t="str">
        <f>HYPERLINK("http://www.rosaceae.org/Prunus/Prunus_persica/p.persica_gdr_reftransV1_0039268","p.persica_gdr_reftransV1_0039268")</f>
        <v>p.persica_gdr_reftransV1_0039268</v>
      </c>
      <c r="B20489" s="2">
        <v>3191</v>
      </c>
      <c r="C20489" s="4" t="str">
        <f>HYPERLINK("http://www.uniprot.org/uniprot/M5VXB4","M5VXB4")</f>
        <v>M5VXB4</v>
      </c>
      <c r="D20489" s="2" t="s">
        <v>15475</v>
      </c>
      <c r="E20489" s="3">
        <v>0</v>
      </c>
      <c r="F20489" s="2">
        <v>2653</v>
      </c>
      <c r="G20489" s="2">
        <v>100</v>
      </c>
      <c r="H20489" s="2">
        <v>492</v>
      </c>
      <c r="I20489" s="2">
        <v>1330</v>
      </c>
      <c r="J20489" s="2">
        <v>2805</v>
      </c>
      <c r="K20489" s="2">
        <v>168</v>
      </c>
      <c r="L20489" s="2">
        <v>659</v>
      </c>
    </row>
    <row r="20490" spans="1:12" x14ac:dyDescent="0.25">
      <c r="A20490" s="4" t="str">
        <f>HYPERLINK("http://www.rosaceae.org/Prunus/Prunus_persica/p.persica_gdr_reftransV1_0043468","p.persica_gdr_reftransV1_0043468")</f>
        <v>p.persica_gdr_reftransV1_0043468</v>
      </c>
      <c r="B20490" s="2">
        <v>469</v>
      </c>
      <c r="C20490" s="4" t="str">
        <f>HYPERLINK("http://www.uniprot.org/uniprot/M5WTZ6","M5WTZ6")</f>
        <v>M5WTZ6</v>
      </c>
      <c r="D20490" s="2" t="s">
        <v>1999</v>
      </c>
      <c r="E20490" s="3">
        <v>1.5199999999999999E-98</v>
      </c>
      <c r="F20490" s="2">
        <v>806</v>
      </c>
      <c r="G20490" s="2">
        <v>100</v>
      </c>
      <c r="H20490" s="2">
        <v>155</v>
      </c>
      <c r="I20490" s="2">
        <v>3</v>
      </c>
      <c r="J20490" s="2">
        <v>467</v>
      </c>
      <c r="K20490" s="2">
        <v>609</v>
      </c>
      <c r="L20490" s="2">
        <v>763</v>
      </c>
    </row>
    <row r="20491" spans="1:12" x14ac:dyDescent="0.25">
      <c r="A20491" s="4" t="str">
        <f>HYPERLINK("http://www.rosaceae.org/Prunus/Prunus_persica/p.persica_gdr_reftransV1_0043818","p.persica_gdr_reftransV1_0043818")</f>
        <v>p.persica_gdr_reftransV1_0043818</v>
      </c>
      <c r="B20491" s="2">
        <v>853</v>
      </c>
      <c r="C20491" s="4" t="str">
        <f>HYPERLINK("http://www.uniprot.org/uniprot/M5WD52","M5WD52")</f>
        <v>M5WD52</v>
      </c>
      <c r="D20491" s="2" t="s">
        <v>15476</v>
      </c>
      <c r="E20491" s="3">
        <v>5.2599999999999998E-125</v>
      </c>
      <c r="F20491" s="2">
        <v>963</v>
      </c>
      <c r="G20491" s="2">
        <v>100</v>
      </c>
      <c r="H20491" s="2">
        <v>185</v>
      </c>
      <c r="I20491" s="2">
        <v>298</v>
      </c>
      <c r="J20491" s="2">
        <v>852</v>
      </c>
      <c r="K20491" s="2">
        <v>248</v>
      </c>
      <c r="L20491" s="2">
        <v>432</v>
      </c>
    </row>
    <row r="20492" spans="1:12" x14ac:dyDescent="0.25">
      <c r="A20492" s="4" t="str">
        <f>HYPERLINK("http://www.rosaceae.org/Prunus/Prunus_persica/p.persica_gdr_reftransV1_0044168","p.persica_gdr_reftransV1_0044168")</f>
        <v>p.persica_gdr_reftransV1_0044168</v>
      </c>
      <c r="B20492" s="2">
        <v>3038</v>
      </c>
      <c r="C20492" s="4" t="str">
        <f>HYPERLINK("http://www.uniprot.org/uniprot/M5VWQ0","M5VWQ0")</f>
        <v>M5VWQ0</v>
      </c>
      <c r="D20492" s="2" t="s">
        <v>175</v>
      </c>
      <c r="E20492" s="3">
        <v>0</v>
      </c>
      <c r="F20492" s="2">
        <v>4327</v>
      </c>
      <c r="G20492" s="2">
        <v>100</v>
      </c>
      <c r="H20492" s="2">
        <v>859</v>
      </c>
      <c r="I20492" s="2">
        <v>2</v>
      </c>
      <c r="J20492" s="2">
        <v>2578</v>
      </c>
      <c r="K20492" s="2">
        <v>272</v>
      </c>
      <c r="L20492" s="2">
        <v>1130</v>
      </c>
    </row>
    <row r="20493" spans="1:12" x14ac:dyDescent="0.25">
      <c r="A20493" s="4" t="str">
        <f>HYPERLINK("http://www.rosaceae.org/Prunus/Prunus_persica/p.persica_gdr_reftransV1_0044518","p.persica_gdr_reftransV1_0044518")</f>
        <v>p.persica_gdr_reftransV1_0044518</v>
      </c>
      <c r="B20493" s="2">
        <v>973</v>
      </c>
      <c r="C20493" s="4" t="str">
        <f>HYPERLINK("http://www.uniprot.org/uniprot/M5W6B1","M5W6B1")</f>
        <v>M5W6B1</v>
      </c>
      <c r="D20493" s="2" t="s">
        <v>1680</v>
      </c>
      <c r="E20493" s="3">
        <v>2.3599999999999999E-95</v>
      </c>
      <c r="F20493" s="2">
        <v>787</v>
      </c>
      <c r="G20493" s="2">
        <v>100</v>
      </c>
      <c r="H20493" s="2">
        <v>146</v>
      </c>
      <c r="I20493" s="2">
        <v>2</v>
      </c>
      <c r="J20493" s="2">
        <v>439</v>
      </c>
      <c r="K20493" s="2">
        <v>507</v>
      </c>
      <c r="L20493" s="2">
        <v>652</v>
      </c>
    </row>
    <row r="20494" spans="1:12" x14ac:dyDescent="0.25">
      <c r="A20494" s="4" t="str">
        <f>HYPERLINK("http://www.rosaceae.org/Prunus/Prunus_persica/p.persica_gdr_reftransV1_0044868","p.persica_gdr_reftransV1_0044868")</f>
        <v>p.persica_gdr_reftransV1_0044868</v>
      </c>
      <c r="B20494" s="2">
        <v>1419</v>
      </c>
      <c r="C20494" s="4" t="str">
        <f>HYPERLINK("http://www.uniprot.org/uniprot/M5WMN4","M5WMN4")</f>
        <v>M5WMN4</v>
      </c>
      <c r="D20494" s="2" t="s">
        <v>15477</v>
      </c>
      <c r="E20494" s="3">
        <v>0</v>
      </c>
      <c r="F20494" s="2">
        <v>1784</v>
      </c>
      <c r="G20494" s="2">
        <v>100</v>
      </c>
      <c r="H20494" s="2">
        <v>332</v>
      </c>
      <c r="I20494" s="2">
        <v>359</v>
      </c>
      <c r="J20494" s="2">
        <v>1354</v>
      </c>
      <c r="K20494" s="2">
        <v>1</v>
      </c>
      <c r="L20494" s="2">
        <v>332</v>
      </c>
    </row>
    <row r="20495" spans="1:12" x14ac:dyDescent="0.25">
      <c r="A20495" s="4" t="str">
        <f>HYPERLINK("http://www.rosaceae.org/Prunus/Prunus_persica/p.persica_gdr_reftransV1_0045218","p.persica_gdr_reftransV1_0045218")</f>
        <v>p.persica_gdr_reftransV1_0045218</v>
      </c>
      <c r="B20495" s="2">
        <v>1578</v>
      </c>
      <c r="C20495" s="4" t="str">
        <f>HYPERLINK("http://www.uniprot.org/uniprot/M5XGJ2","M5XGJ2")</f>
        <v>M5XGJ2</v>
      </c>
      <c r="D20495" s="2" t="s">
        <v>6916</v>
      </c>
      <c r="E20495" s="3">
        <v>2.2599999999999999E-142</v>
      </c>
      <c r="F20495" s="2">
        <v>1086</v>
      </c>
      <c r="G20495" s="2">
        <v>100</v>
      </c>
      <c r="H20495" s="2">
        <v>262</v>
      </c>
      <c r="I20495" s="2">
        <v>489</v>
      </c>
      <c r="J20495" s="2">
        <v>1274</v>
      </c>
      <c r="K20495" s="2">
        <v>1</v>
      </c>
      <c r="L20495" s="2">
        <v>262</v>
      </c>
    </row>
    <row r="20496" spans="1:12" x14ac:dyDescent="0.25">
      <c r="A20496" s="4" t="str">
        <f>HYPERLINK("http://www.rosaceae.org/Prunus/Prunus_persica/p.persica_gdr_reftransV1_0045918","p.persica_gdr_reftransV1_0045918")</f>
        <v>p.persica_gdr_reftransV1_0045918</v>
      </c>
      <c r="B20496" s="2">
        <v>1026</v>
      </c>
      <c r="C20496" s="4" t="str">
        <f>HYPERLINK("http://www.uniprot.org/uniprot/M5Y9I2","M5Y9I2")</f>
        <v>M5Y9I2</v>
      </c>
      <c r="D20496" s="2" t="s">
        <v>3952</v>
      </c>
      <c r="E20496" s="3">
        <v>4.7500000000000003E-158</v>
      </c>
      <c r="F20496" s="2">
        <v>1170</v>
      </c>
      <c r="G20496" s="2">
        <v>100</v>
      </c>
      <c r="H20496" s="2">
        <v>236</v>
      </c>
      <c r="I20496" s="2">
        <v>125</v>
      </c>
      <c r="J20496" s="2">
        <v>832</v>
      </c>
      <c r="K20496" s="2">
        <v>16</v>
      </c>
      <c r="L20496" s="2">
        <v>251</v>
      </c>
    </row>
    <row r="20497" spans="1:12" x14ac:dyDescent="0.25">
      <c r="A20497" s="4" t="str">
        <f>HYPERLINK("http://www.rosaceae.org/Prunus/Prunus_persica/p.persica_gdr_reftransV1_0046618","p.persica_gdr_reftransV1_0046618")</f>
        <v>p.persica_gdr_reftransV1_0046618</v>
      </c>
      <c r="B20497" s="2">
        <v>674</v>
      </c>
      <c r="C20497" s="4" t="str">
        <f>HYPERLINK("http://www.uniprot.org/uniprot/M5W3H3","M5W3H3")</f>
        <v>M5W3H3</v>
      </c>
      <c r="D20497" s="2" t="s">
        <v>15478</v>
      </c>
      <c r="E20497" s="3">
        <v>1.1200000000000001E-77</v>
      </c>
      <c r="F20497" s="2">
        <v>614</v>
      </c>
      <c r="G20497" s="2">
        <v>100</v>
      </c>
      <c r="H20497" s="2">
        <v>118</v>
      </c>
      <c r="I20497" s="2">
        <v>117</v>
      </c>
      <c r="J20497" s="2">
        <v>470</v>
      </c>
      <c r="K20497" s="2">
        <v>1</v>
      </c>
      <c r="L20497" s="2">
        <v>118</v>
      </c>
    </row>
    <row r="20498" spans="1:12" x14ac:dyDescent="0.25">
      <c r="A20498" s="4" t="str">
        <f>HYPERLINK("http://www.rosaceae.org/Prunus/Prunus_persica/p.persica_gdr_reftransV1_0047318","p.persica_gdr_reftransV1_0047318")</f>
        <v>p.persica_gdr_reftransV1_0047318</v>
      </c>
      <c r="B20498" s="2">
        <v>1329</v>
      </c>
      <c r="C20498" s="4" t="str">
        <f>HYPERLINK("http://www.uniprot.org/uniprot/M5XIX5","M5XIX5")</f>
        <v>M5XIX5</v>
      </c>
      <c r="D20498" s="2" t="s">
        <v>15479</v>
      </c>
      <c r="E20498" s="3">
        <v>0</v>
      </c>
      <c r="F20498" s="2">
        <v>2106</v>
      </c>
      <c r="G20498" s="2">
        <v>100</v>
      </c>
      <c r="H20498" s="2">
        <v>394</v>
      </c>
      <c r="I20498" s="2">
        <v>18</v>
      </c>
      <c r="J20498" s="2">
        <v>1199</v>
      </c>
      <c r="K20498" s="2">
        <v>1</v>
      </c>
      <c r="L20498" s="2">
        <v>394</v>
      </c>
    </row>
    <row r="20499" spans="1:12" x14ac:dyDescent="0.25">
      <c r="A20499" s="4" t="str">
        <f>HYPERLINK("http://www.rosaceae.org/Prunus/Prunus_persica/p.persica_gdr_reftransV1_0047668","p.persica_gdr_reftransV1_0047668")</f>
        <v>p.persica_gdr_reftransV1_0047668</v>
      </c>
      <c r="B20499" s="2">
        <v>1469</v>
      </c>
      <c r="C20499" s="4" t="str">
        <f>HYPERLINK("http://www.uniprot.org/uniprot/M5VKD3","M5VKD3")</f>
        <v>M5VKD3</v>
      </c>
      <c r="D20499" s="2" t="s">
        <v>15480</v>
      </c>
      <c r="E20499" s="3">
        <v>0</v>
      </c>
      <c r="F20499" s="2">
        <v>1454</v>
      </c>
      <c r="G20499" s="2">
        <v>100</v>
      </c>
      <c r="H20499" s="2">
        <v>332</v>
      </c>
      <c r="I20499" s="2">
        <v>101</v>
      </c>
      <c r="J20499" s="2">
        <v>1096</v>
      </c>
      <c r="K20499" s="2">
        <v>1</v>
      </c>
      <c r="L20499" s="2">
        <v>332</v>
      </c>
    </row>
    <row r="20500" spans="1:12" x14ac:dyDescent="0.25">
      <c r="A20500" s="4" t="str">
        <f>HYPERLINK("http://www.rosaceae.org/Prunus/Prunus_persica/p.persica_gdr_reftransV1_0048018","p.persica_gdr_reftransV1_0048018")</f>
        <v>p.persica_gdr_reftransV1_0048018</v>
      </c>
      <c r="B20500" s="2">
        <v>1715</v>
      </c>
      <c r="C20500" s="4" t="str">
        <f>HYPERLINK("http://www.uniprot.org/uniprot/M5XJS5","M5XJS5")</f>
        <v>M5XJS5</v>
      </c>
      <c r="D20500" s="2" t="s">
        <v>14145</v>
      </c>
      <c r="E20500" s="3">
        <v>0</v>
      </c>
      <c r="F20500" s="2">
        <v>2023</v>
      </c>
      <c r="G20500" s="2">
        <v>100</v>
      </c>
      <c r="H20500" s="2">
        <v>373</v>
      </c>
      <c r="I20500" s="2">
        <v>385</v>
      </c>
      <c r="J20500" s="2">
        <v>1503</v>
      </c>
      <c r="K20500" s="2">
        <v>1960</v>
      </c>
      <c r="L20500" s="2">
        <v>2332</v>
      </c>
    </row>
    <row r="20501" spans="1:12" x14ac:dyDescent="0.25">
      <c r="A20501" s="4" t="str">
        <f>HYPERLINK("http://www.rosaceae.org/Prunus/Prunus_persica/p.persica_gdr_reftransV1_0048718","p.persica_gdr_reftransV1_0048718")</f>
        <v>p.persica_gdr_reftransV1_0048718</v>
      </c>
      <c r="B20501" s="2">
        <v>1508</v>
      </c>
      <c r="C20501" s="4" t="str">
        <f>HYPERLINK("http://www.uniprot.org/uniprot/M5VYD7","M5VYD7")</f>
        <v>M5VYD7</v>
      </c>
      <c r="D20501" s="2" t="s">
        <v>7123</v>
      </c>
      <c r="E20501" s="3">
        <v>2.6699999999999999E-169</v>
      </c>
      <c r="F20501" s="2">
        <v>1264</v>
      </c>
      <c r="G20501" s="2">
        <v>99</v>
      </c>
      <c r="H20501" s="2">
        <v>276</v>
      </c>
      <c r="I20501" s="2">
        <v>622</v>
      </c>
      <c r="J20501" s="2">
        <v>1440</v>
      </c>
      <c r="K20501" s="2">
        <v>1</v>
      </c>
      <c r="L20501" s="2">
        <v>276</v>
      </c>
    </row>
    <row r="20502" spans="1:12" x14ac:dyDescent="0.25">
      <c r="A20502" s="4" t="str">
        <f>HYPERLINK("http://www.rosaceae.org/Prunus/Prunus_persica/p.persica_gdr_reftransV1_0049068","p.persica_gdr_reftransV1_0049068")</f>
        <v>p.persica_gdr_reftransV1_0049068</v>
      </c>
      <c r="B20502" s="2">
        <v>561</v>
      </c>
      <c r="C20502" s="4" t="str">
        <f>HYPERLINK("http://www.uniprot.org/uniprot/M5W242","M5W242")</f>
        <v>M5W242</v>
      </c>
      <c r="D20502" s="2" t="s">
        <v>12657</v>
      </c>
      <c r="E20502" s="3">
        <v>3.0900000000000001E-84</v>
      </c>
      <c r="F20502" s="2">
        <v>693</v>
      </c>
      <c r="G20502" s="2">
        <v>94</v>
      </c>
      <c r="H20502" s="2">
        <v>140</v>
      </c>
      <c r="I20502" s="2">
        <v>84</v>
      </c>
      <c r="J20502" s="2">
        <v>503</v>
      </c>
      <c r="K20502" s="2">
        <v>1</v>
      </c>
      <c r="L20502" s="2">
        <v>139</v>
      </c>
    </row>
    <row r="20503" spans="1:12" x14ac:dyDescent="0.25">
      <c r="A20503" s="4" t="str">
        <f>HYPERLINK("http://www.rosaceae.org/Prunus/Prunus_persica/p.persica_gdr_reftransV1_0000069","p.persica_gdr_reftransV1_0000069")</f>
        <v>p.persica_gdr_reftransV1_0000069</v>
      </c>
      <c r="B20503" s="2">
        <v>1783</v>
      </c>
      <c r="C20503" s="4" t="str">
        <f>HYPERLINK("http://www.uniprot.org/uniprot/M5WI20","M5WI20")</f>
        <v>M5WI20</v>
      </c>
      <c r="D20503" s="2" t="s">
        <v>15481</v>
      </c>
      <c r="E20503" s="3">
        <v>0</v>
      </c>
      <c r="F20503" s="2">
        <v>2095</v>
      </c>
      <c r="G20503" s="2">
        <v>100</v>
      </c>
      <c r="H20503" s="2">
        <v>429</v>
      </c>
      <c r="I20503" s="2">
        <v>259</v>
      </c>
      <c r="J20503" s="2">
        <v>1545</v>
      </c>
      <c r="K20503" s="2">
        <v>1</v>
      </c>
      <c r="L20503" s="2">
        <v>429</v>
      </c>
    </row>
    <row r="20504" spans="1:12" x14ac:dyDescent="0.25">
      <c r="A20504" s="4" t="str">
        <f>HYPERLINK("http://www.rosaceae.org/Prunus/Prunus_persica/p.persica_gdr_reftransV1_0000419","p.persica_gdr_reftransV1_0000419")</f>
        <v>p.persica_gdr_reftransV1_0000419</v>
      </c>
      <c r="B20504" s="2">
        <v>3209</v>
      </c>
      <c r="C20504" s="4" t="str">
        <f>HYPERLINK("http://www.uniprot.org/uniprot/M5VXS1","M5VXS1")</f>
        <v>M5VXS1</v>
      </c>
      <c r="D20504" s="2" t="s">
        <v>15482</v>
      </c>
      <c r="E20504" s="3">
        <v>0</v>
      </c>
      <c r="F20504" s="2">
        <v>2821</v>
      </c>
      <c r="G20504" s="2">
        <v>100</v>
      </c>
      <c r="H20504" s="2">
        <v>548</v>
      </c>
      <c r="I20504" s="2">
        <v>1320</v>
      </c>
      <c r="J20504" s="2">
        <v>2963</v>
      </c>
      <c r="K20504" s="2">
        <v>1</v>
      </c>
      <c r="L20504" s="2">
        <v>548</v>
      </c>
    </row>
    <row r="20505" spans="1:12" x14ac:dyDescent="0.25">
      <c r="A20505" s="4" t="str">
        <f>HYPERLINK("http://www.rosaceae.org/Prunus/Prunus_persica/p.persica_gdr_reftransV1_0000769","p.persica_gdr_reftransV1_0000769")</f>
        <v>p.persica_gdr_reftransV1_0000769</v>
      </c>
      <c r="B20505" s="2">
        <v>914</v>
      </c>
      <c r="C20505" s="4" t="str">
        <f>HYPERLINK("http://www.uniprot.org/uniprot/M5VUB4","M5VUB4")</f>
        <v>M5VUB4</v>
      </c>
      <c r="D20505" s="2" t="s">
        <v>15483</v>
      </c>
      <c r="E20505" s="3">
        <v>1.77E-130</v>
      </c>
      <c r="F20505" s="2">
        <v>1018</v>
      </c>
      <c r="G20505" s="2">
        <v>100</v>
      </c>
      <c r="H20505" s="2">
        <v>190</v>
      </c>
      <c r="I20505" s="2">
        <v>1</v>
      </c>
      <c r="J20505" s="2">
        <v>570</v>
      </c>
      <c r="K20505" s="2">
        <v>68</v>
      </c>
      <c r="L20505" s="2">
        <v>257</v>
      </c>
    </row>
    <row r="20506" spans="1:12" x14ac:dyDescent="0.25">
      <c r="A20506" s="4" t="str">
        <f>HYPERLINK("http://www.rosaceae.org/Prunus/Prunus_persica/p.persica_gdr_reftransV1_0001469","p.persica_gdr_reftransV1_0001469")</f>
        <v>p.persica_gdr_reftransV1_0001469</v>
      </c>
      <c r="B20506" s="2">
        <v>2184</v>
      </c>
      <c r="C20506" s="4" t="str">
        <f>HYPERLINK("http://www.uniprot.org/uniprot/M5XA70","M5XA70")</f>
        <v>M5XA70</v>
      </c>
      <c r="D20506" s="2" t="s">
        <v>15484</v>
      </c>
      <c r="E20506" s="3">
        <v>0</v>
      </c>
      <c r="F20506" s="2">
        <v>2096</v>
      </c>
      <c r="G20506" s="2">
        <v>89</v>
      </c>
      <c r="H20506" s="2">
        <v>575</v>
      </c>
      <c r="I20506" s="2">
        <v>292</v>
      </c>
      <c r="J20506" s="2">
        <v>2007</v>
      </c>
      <c r="K20506" s="2">
        <v>1</v>
      </c>
      <c r="L20506" s="2">
        <v>575</v>
      </c>
    </row>
    <row r="20507" spans="1:12" x14ac:dyDescent="0.25">
      <c r="A20507" s="4" t="str">
        <f>HYPERLINK("http://www.rosaceae.org/Prunus/Prunus_persica/p.persica_gdr_reftransV1_0002169","p.persica_gdr_reftransV1_0002169")</f>
        <v>p.persica_gdr_reftransV1_0002169</v>
      </c>
      <c r="B20507" s="2">
        <v>517</v>
      </c>
      <c r="C20507" s="4" t="str">
        <f>HYPERLINK("http://www.uniprot.org/uniprot/M5XLJ7","M5XLJ7")</f>
        <v>M5XLJ7</v>
      </c>
      <c r="D20507" s="2" t="s">
        <v>1624</v>
      </c>
      <c r="E20507" s="3">
        <v>1.9099999999999999E-104</v>
      </c>
      <c r="F20507" s="2">
        <v>860</v>
      </c>
      <c r="G20507" s="2">
        <v>99</v>
      </c>
      <c r="H20507" s="2">
        <v>158</v>
      </c>
      <c r="I20507" s="2">
        <v>42</v>
      </c>
      <c r="J20507" s="2">
        <v>515</v>
      </c>
      <c r="K20507" s="2">
        <v>229</v>
      </c>
      <c r="L20507" s="2">
        <v>386</v>
      </c>
    </row>
    <row r="20508" spans="1:12" x14ac:dyDescent="0.25">
      <c r="A20508" s="4" t="str">
        <f>HYPERLINK("http://www.rosaceae.org/Prunus/Prunus_persica/p.persica_gdr_reftransV1_0002869","p.persica_gdr_reftransV1_0002869")</f>
        <v>p.persica_gdr_reftransV1_0002869</v>
      </c>
      <c r="B20508" s="2">
        <v>1034</v>
      </c>
      <c r="C20508" s="4" t="str">
        <f>HYPERLINK("http://www.uniprot.org/uniprot/M5XC35","M5XC35")</f>
        <v>M5XC35</v>
      </c>
      <c r="D20508" s="2" t="s">
        <v>548</v>
      </c>
      <c r="E20508" s="3">
        <v>0</v>
      </c>
      <c r="F20508" s="2">
        <v>1477</v>
      </c>
      <c r="G20508" s="2">
        <v>100</v>
      </c>
      <c r="H20508" s="2">
        <v>282</v>
      </c>
      <c r="I20508" s="2">
        <v>1</v>
      </c>
      <c r="J20508" s="2">
        <v>846</v>
      </c>
      <c r="K20508" s="2">
        <v>1</v>
      </c>
      <c r="L20508" s="2">
        <v>282</v>
      </c>
    </row>
    <row r="20509" spans="1:12" x14ac:dyDescent="0.25">
      <c r="A20509" s="4" t="str">
        <f>HYPERLINK("http://www.rosaceae.org/Prunus/Prunus_persica/p.persica_gdr_reftransV1_0003569","p.persica_gdr_reftransV1_0003569")</f>
        <v>p.persica_gdr_reftransV1_0003569</v>
      </c>
      <c r="B20509" s="2">
        <v>1657</v>
      </c>
      <c r="C20509" s="4" t="str">
        <f>HYPERLINK("http://www.uniprot.org/uniprot/M5XR77","M5XR77")</f>
        <v>M5XR77</v>
      </c>
      <c r="D20509" s="2" t="s">
        <v>15485</v>
      </c>
      <c r="E20509" s="3">
        <v>0</v>
      </c>
      <c r="F20509" s="2">
        <v>2057</v>
      </c>
      <c r="G20509" s="2">
        <v>100</v>
      </c>
      <c r="H20509" s="2">
        <v>399</v>
      </c>
      <c r="I20509" s="2">
        <v>311</v>
      </c>
      <c r="J20509" s="2">
        <v>1507</v>
      </c>
      <c r="K20509" s="2">
        <v>1</v>
      </c>
      <c r="L20509" s="2">
        <v>399</v>
      </c>
    </row>
    <row r="20510" spans="1:12" x14ac:dyDescent="0.25">
      <c r="A20510" s="4" t="str">
        <f>HYPERLINK("http://www.rosaceae.org/Prunus/Prunus_persica/p.persica_gdr_reftransV1_0003919","p.persica_gdr_reftransV1_0003919")</f>
        <v>p.persica_gdr_reftransV1_0003919</v>
      </c>
      <c r="B20510" s="2">
        <v>1845</v>
      </c>
      <c r="C20510" s="4" t="str">
        <f>HYPERLINK("http://www.uniprot.org/uniprot/M5WSG8","M5WSG8")</f>
        <v>M5WSG8</v>
      </c>
      <c r="D20510" s="2" t="s">
        <v>14190</v>
      </c>
      <c r="E20510" s="3">
        <v>0</v>
      </c>
      <c r="F20510" s="2">
        <v>2253</v>
      </c>
      <c r="G20510" s="2">
        <v>100</v>
      </c>
      <c r="H20510" s="2">
        <v>425</v>
      </c>
      <c r="I20510" s="2">
        <v>375</v>
      </c>
      <c r="J20510" s="2">
        <v>1649</v>
      </c>
      <c r="K20510" s="2">
        <v>1</v>
      </c>
      <c r="L20510" s="2">
        <v>425</v>
      </c>
    </row>
    <row r="20511" spans="1:12" x14ac:dyDescent="0.25">
      <c r="A20511" s="4" t="str">
        <f>HYPERLINK("http://www.rosaceae.org/Prunus/Prunus_persica/p.persica_gdr_reftransV1_0004269","p.persica_gdr_reftransV1_0004269")</f>
        <v>p.persica_gdr_reftransV1_0004269</v>
      </c>
      <c r="B20511" s="2">
        <v>690</v>
      </c>
      <c r="C20511" s="4" t="str">
        <f>HYPERLINK("http://www.uniprot.org/uniprot/M5WM22","M5WM22")</f>
        <v>M5WM22</v>
      </c>
      <c r="D20511" s="2" t="s">
        <v>3841</v>
      </c>
      <c r="E20511" s="3">
        <v>3.4799999999999997E-77</v>
      </c>
      <c r="F20511" s="2">
        <v>660</v>
      </c>
      <c r="G20511" s="2">
        <v>100</v>
      </c>
      <c r="H20511" s="2">
        <v>122</v>
      </c>
      <c r="I20511" s="2">
        <v>323</v>
      </c>
      <c r="J20511" s="2">
        <v>688</v>
      </c>
      <c r="K20511" s="2">
        <v>6</v>
      </c>
      <c r="L20511" s="2">
        <v>127</v>
      </c>
    </row>
    <row r="20512" spans="1:12" x14ac:dyDescent="0.25">
      <c r="A20512" s="4" t="str">
        <f>HYPERLINK("http://www.rosaceae.org/Prunus/Prunus_persica/p.persica_gdr_reftransV1_0004619","p.persica_gdr_reftransV1_0004619")</f>
        <v>p.persica_gdr_reftransV1_0004619</v>
      </c>
      <c r="B20512" s="2">
        <v>612</v>
      </c>
      <c r="C20512" s="4" t="str">
        <f>HYPERLINK("http://www.uniprot.org/uniprot/M5XQ05","M5XQ05")</f>
        <v>M5XQ05</v>
      </c>
      <c r="D20512" s="2" t="s">
        <v>9142</v>
      </c>
      <c r="E20512" s="3">
        <v>1.1600000000000001E-121</v>
      </c>
      <c r="F20512" s="2">
        <v>938</v>
      </c>
      <c r="G20512" s="2">
        <v>94</v>
      </c>
      <c r="H20512" s="2">
        <v>204</v>
      </c>
      <c r="I20512" s="2">
        <v>1</v>
      </c>
      <c r="J20512" s="2">
        <v>612</v>
      </c>
      <c r="K20512" s="2">
        <v>135</v>
      </c>
      <c r="L20512" s="2">
        <v>338</v>
      </c>
    </row>
    <row r="20513" spans="1:12" x14ac:dyDescent="0.25">
      <c r="A20513" s="4" t="str">
        <f>HYPERLINK("http://www.rosaceae.org/Prunus/Prunus_persica/p.persica_gdr_reftransV1_0004969","p.persica_gdr_reftransV1_0004969")</f>
        <v>p.persica_gdr_reftransV1_0004969</v>
      </c>
      <c r="B20513" s="2">
        <v>2243</v>
      </c>
      <c r="C20513" s="4" t="str">
        <f>HYPERLINK("http://www.uniprot.org/uniprot/M5XNP7","M5XNP7")</f>
        <v>M5XNP7</v>
      </c>
      <c r="D20513" s="2" t="s">
        <v>4965</v>
      </c>
      <c r="E20513" s="3">
        <v>0</v>
      </c>
      <c r="F20513" s="2">
        <v>3741</v>
      </c>
      <c r="G20513" s="2">
        <v>100</v>
      </c>
      <c r="H20513" s="2">
        <v>747</v>
      </c>
      <c r="I20513" s="2">
        <v>2</v>
      </c>
      <c r="J20513" s="2">
        <v>2242</v>
      </c>
      <c r="K20513" s="2">
        <v>627</v>
      </c>
      <c r="L20513" s="2">
        <v>1373</v>
      </c>
    </row>
    <row r="20514" spans="1:12" x14ac:dyDescent="0.25">
      <c r="A20514" s="4" t="str">
        <f>HYPERLINK("http://www.rosaceae.org/Prunus/Prunus_persica/p.persica_gdr_reftransV1_0005669","p.persica_gdr_reftransV1_0005669")</f>
        <v>p.persica_gdr_reftransV1_0005669</v>
      </c>
      <c r="B20514" s="2">
        <v>735</v>
      </c>
      <c r="C20514" s="4" t="str">
        <f>HYPERLINK("http://www.uniprot.org/uniprot/M5X9K0","M5X9K0")</f>
        <v>M5X9K0</v>
      </c>
      <c r="D20514" s="2" t="s">
        <v>15120</v>
      </c>
      <c r="E20514" s="3">
        <v>9.1900000000000004E-175</v>
      </c>
      <c r="F20514" s="2">
        <v>1308</v>
      </c>
      <c r="G20514" s="2">
        <v>100</v>
      </c>
      <c r="H20514" s="2">
        <v>245</v>
      </c>
      <c r="I20514" s="2">
        <v>1</v>
      </c>
      <c r="J20514" s="2">
        <v>735</v>
      </c>
      <c r="K20514" s="2">
        <v>265</v>
      </c>
      <c r="L20514" s="2">
        <v>509</v>
      </c>
    </row>
    <row r="20515" spans="1:12" x14ac:dyDescent="0.25">
      <c r="A20515" s="4" t="str">
        <f>HYPERLINK("http://www.rosaceae.org/Prunus/Prunus_persica/p.persica_gdr_reftransV1_0006719","p.persica_gdr_reftransV1_0006719")</f>
        <v>p.persica_gdr_reftransV1_0006719</v>
      </c>
      <c r="B20515" s="2">
        <v>1596</v>
      </c>
      <c r="C20515" s="4" t="str">
        <f>HYPERLINK("http://www.uniprot.org/uniprot/M5XPD4","M5XPD4")</f>
        <v>M5XPD4</v>
      </c>
      <c r="D20515" s="2" t="s">
        <v>15486</v>
      </c>
      <c r="E20515" s="3">
        <v>0</v>
      </c>
      <c r="F20515" s="2">
        <v>1425</v>
      </c>
      <c r="G20515" s="2">
        <v>100</v>
      </c>
      <c r="H20515" s="2">
        <v>328</v>
      </c>
      <c r="I20515" s="2">
        <v>346</v>
      </c>
      <c r="J20515" s="2">
        <v>1329</v>
      </c>
      <c r="K20515" s="2">
        <v>1</v>
      </c>
      <c r="L20515" s="2">
        <v>328</v>
      </c>
    </row>
    <row r="20516" spans="1:12" x14ac:dyDescent="0.25">
      <c r="A20516" s="4" t="str">
        <f>HYPERLINK("http://www.rosaceae.org/Prunus/Prunus_persica/p.persica_gdr_reftransV1_0007069","p.persica_gdr_reftransV1_0007069")</f>
        <v>p.persica_gdr_reftransV1_0007069</v>
      </c>
      <c r="B20516" s="2">
        <v>1897</v>
      </c>
      <c r="C20516" s="4" t="str">
        <f>HYPERLINK("http://www.uniprot.org/uniprot/M5WJT1","M5WJT1")</f>
        <v>M5WJT1</v>
      </c>
      <c r="D20516" s="2" t="s">
        <v>596</v>
      </c>
      <c r="E20516" s="3">
        <v>0</v>
      </c>
      <c r="F20516" s="2">
        <v>2666</v>
      </c>
      <c r="G20516" s="2">
        <v>100</v>
      </c>
      <c r="H20516" s="2">
        <v>565</v>
      </c>
      <c r="I20516" s="2">
        <v>1</v>
      </c>
      <c r="J20516" s="2">
        <v>1695</v>
      </c>
      <c r="K20516" s="2">
        <v>4</v>
      </c>
      <c r="L20516" s="2">
        <v>568</v>
      </c>
    </row>
    <row r="20517" spans="1:12" x14ac:dyDescent="0.25">
      <c r="A20517" s="4" t="str">
        <f>HYPERLINK("http://www.rosaceae.org/Prunus/Prunus_persica/p.persica_gdr_reftransV1_0007419","p.persica_gdr_reftransV1_0007419")</f>
        <v>p.persica_gdr_reftransV1_0007419</v>
      </c>
      <c r="B20517" s="2">
        <v>809</v>
      </c>
      <c r="C20517" s="4" t="str">
        <f>HYPERLINK("http://www.uniprot.org/uniprot/M5X7W0","M5X7W0")</f>
        <v>M5X7W0</v>
      </c>
      <c r="D20517" s="2" t="s">
        <v>15487</v>
      </c>
      <c r="E20517" s="3">
        <v>1.49E-59</v>
      </c>
      <c r="F20517" s="2">
        <v>500</v>
      </c>
      <c r="G20517" s="2">
        <v>100</v>
      </c>
      <c r="H20517" s="2">
        <v>118</v>
      </c>
      <c r="I20517" s="2">
        <v>3</v>
      </c>
      <c r="J20517" s="2">
        <v>356</v>
      </c>
      <c r="K20517" s="2">
        <v>18</v>
      </c>
      <c r="L20517" s="2">
        <v>135</v>
      </c>
    </row>
    <row r="20518" spans="1:12" x14ac:dyDescent="0.25">
      <c r="A20518" s="4" t="str">
        <f>HYPERLINK("http://www.rosaceae.org/Prunus/Prunus_persica/p.persica_gdr_reftransV1_0008469","p.persica_gdr_reftransV1_0008469")</f>
        <v>p.persica_gdr_reftransV1_0008469</v>
      </c>
      <c r="B20518" s="2">
        <v>1185</v>
      </c>
      <c r="C20518" s="4" t="str">
        <f>HYPERLINK("http://www.uniprot.org/uniprot/M5XNV1","M5XNV1")</f>
        <v>M5XNV1</v>
      </c>
      <c r="D20518" s="2" t="s">
        <v>2269</v>
      </c>
      <c r="E20518" s="3">
        <v>1.24E-60</v>
      </c>
      <c r="F20518" s="2">
        <v>514</v>
      </c>
      <c r="G20518" s="2">
        <v>100</v>
      </c>
      <c r="H20518" s="2">
        <v>100</v>
      </c>
      <c r="I20518" s="2">
        <v>598</v>
      </c>
      <c r="J20518" s="2">
        <v>897</v>
      </c>
      <c r="K20518" s="2">
        <v>1</v>
      </c>
      <c r="L20518" s="2">
        <v>100</v>
      </c>
    </row>
    <row r="20519" spans="1:12" x14ac:dyDescent="0.25">
      <c r="A20519" s="4" t="str">
        <f>HYPERLINK("http://www.rosaceae.org/Prunus/Prunus_persica/p.persica_gdr_reftransV1_0008819","p.persica_gdr_reftransV1_0008819")</f>
        <v>p.persica_gdr_reftransV1_0008819</v>
      </c>
      <c r="B20519" s="2">
        <v>1062</v>
      </c>
      <c r="C20519" s="4" t="str">
        <f>HYPERLINK("http://www.uniprot.org/uniprot/M5VRP2","M5VRP2")</f>
        <v>M5VRP2</v>
      </c>
      <c r="D20519" s="2" t="s">
        <v>12782</v>
      </c>
      <c r="E20519" s="3">
        <v>9.5699999999999996E-179</v>
      </c>
      <c r="F20519" s="2">
        <v>1307</v>
      </c>
      <c r="G20519" s="2">
        <v>100</v>
      </c>
      <c r="H20519" s="2">
        <v>245</v>
      </c>
      <c r="I20519" s="2">
        <v>243</v>
      </c>
      <c r="J20519" s="2">
        <v>977</v>
      </c>
      <c r="K20519" s="2">
        <v>1</v>
      </c>
      <c r="L20519" s="2">
        <v>245</v>
      </c>
    </row>
    <row r="20520" spans="1:12" x14ac:dyDescent="0.25">
      <c r="A20520" s="4" t="str">
        <f>HYPERLINK("http://www.rosaceae.org/Prunus/Prunus_persica/p.persica_gdr_reftransV1_0009169","p.persica_gdr_reftransV1_0009169")</f>
        <v>p.persica_gdr_reftransV1_0009169</v>
      </c>
      <c r="B20520" s="2">
        <v>4022</v>
      </c>
      <c r="C20520" s="4" t="str">
        <f>HYPERLINK("http://www.uniprot.org/uniprot/M5VVE4","M5VVE4")</f>
        <v>M5VVE4</v>
      </c>
      <c r="D20520" s="2" t="s">
        <v>5711</v>
      </c>
      <c r="E20520" s="3">
        <v>0</v>
      </c>
      <c r="F20520" s="2">
        <v>5143</v>
      </c>
      <c r="G20520" s="2">
        <v>93</v>
      </c>
      <c r="H20520" s="2">
        <v>1098</v>
      </c>
      <c r="I20520" s="2">
        <v>447</v>
      </c>
      <c r="J20520" s="2">
        <v>3740</v>
      </c>
      <c r="K20520" s="2">
        <v>1</v>
      </c>
      <c r="L20520" s="2">
        <v>1096</v>
      </c>
    </row>
    <row r="20521" spans="1:12" x14ac:dyDescent="0.25">
      <c r="A20521" s="4" t="str">
        <f>HYPERLINK("http://www.rosaceae.org/Prunus/Prunus_persica/p.persica_gdr_reftransV1_0009869","p.persica_gdr_reftransV1_0009869")</f>
        <v>p.persica_gdr_reftransV1_0009869</v>
      </c>
      <c r="B20521" s="2">
        <v>1889</v>
      </c>
      <c r="C20521" s="4" t="str">
        <f>HYPERLINK("http://www.uniprot.org/uniprot/M5X851","M5X851")</f>
        <v>M5X851</v>
      </c>
      <c r="D20521" s="2" t="s">
        <v>15488</v>
      </c>
      <c r="E20521" s="3">
        <v>0</v>
      </c>
      <c r="F20521" s="2">
        <v>3024</v>
      </c>
      <c r="G20521" s="2">
        <v>100</v>
      </c>
      <c r="H20521" s="2">
        <v>564</v>
      </c>
      <c r="I20521" s="2">
        <v>117</v>
      </c>
      <c r="J20521" s="2">
        <v>1808</v>
      </c>
      <c r="K20521" s="2">
        <v>1</v>
      </c>
      <c r="L20521" s="2">
        <v>564</v>
      </c>
    </row>
    <row r="20522" spans="1:12" x14ac:dyDescent="0.25">
      <c r="A20522" s="4" t="str">
        <f>HYPERLINK("http://www.rosaceae.org/Prunus/Prunus_persica/p.persica_gdr_reftransV1_0010569","p.persica_gdr_reftransV1_0010569")</f>
        <v>p.persica_gdr_reftransV1_0010569</v>
      </c>
      <c r="B20522" s="2">
        <v>994</v>
      </c>
      <c r="C20522" s="4" t="str">
        <f>HYPERLINK("http://www.uniprot.org/uniprot/M5XNM9","M5XNM9")</f>
        <v>M5XNM9</v>
      </c>
      <c r="D20522" s="2" t="s">
        <v>15489</v>
      </c>
      <c r="E20522" s="3">
        <v>8.4600000000000001E-76</v>
      </c>
      <c r="F20522" s="2">
        <v>619</v>
      </c>
      <c r="G20522" s="2">
        <v>100</v>
      </c>
      <c r="H20522" s="2">
        <v>177</v>
      </c>
      <c r="I20522" s="2">
        <v>332</v>
      </c>
      <c r="J20522" s="2">
        <v>862</v>
      </c>
      <c r="K20522" s="2">
        <v>1</v>
      </c>
      <c r="L20522" s="2">
        <v>177</v>
      </c>
    </row>
    <row r="20523" spans="1:12" x14ac:dyDescent="0.25">
      <c r="A20523" s="4" t="str">
        <f>HYPERLINK("http://www.rosaceae.org/Prunus/Prunus_persica/p.persica_gdr_reftransV1_0011269","p.persica_gdr_reftransV1_0011269")</f>
        <v>p.persica_gdr_reftransV1_0011269</v>
      </c>
      <c r="B20523" s="2">
        <v>1963</v>
      </c>
      <c r="C20523" s="4" t="str">
        <f>HYPERLINK("http://www.uniprot.org/uniprot/M5XYP1","M5XYP1")</f>
        <v>M5XYP1</v>
      </c>
      <c r="D20523" s="2" t="s">
        <v>15490</v>
      </c>
      <c r="E20523" s="3">
        <v>0</v>
      </c>
      <c r="F20523" s="2">
        <v>2380</v>
      </c>
      <c r="G20523" s="2">
        <v>91</v>
      </c>
      <c r="H20523" s="2">
        <v>504</v>
      </c>
      <c r="I20523" s="2">
        <v>167</v>
      </c>
      <c r="J20523" s="2">
        <v>1678</v>
      </c>
      <c r="K20523" s="2">
        <v>1</v>
      </c>
      <c r="L20523" s="2">
        <v>457</v>
      </c>
    </row>
    <row r="20524" spans="1:12" x14ac:dyDescent="0.25">
      <c r="A20524" s="4" t="str">
        <f>HYPERLINK("http://www.rosaceae.org/Prunus/Prunus_persica/p.persica_gdr_reftransV1_0011969","p.persica_gdr_reftransV1_0011969")</f>
        <v>p.persica_gdr_reftransV1_0011969</v>
      </c>
      <c r="B20524" s="2">
        <v>2093</v>
      </c>
      <c r="C20524" s="4" t="str">
        <f>HYPERLINK("http://www.uniprot.org/uniprot/M5W2L9","M5W2L9")</f>
        <v>M5W2L9</v>
      </c>
      <c r="D20524" s="2" t="s">
        <v>15491</v>
      </c>
      <c r="E20524" s="3">
        <v>0</v>
      </c>
      <c r="F20524" s="2">
        <v>1641</v>
      </c>
      <c r="G20524" s="2">
        <v>100</v>
      </c>
      <c r="H20524" s="2">
        <v>351</v>
      </c>
      <c r="I20524" s="2">
        <v>402</v>
      </c>
      <c r="J20524" s="2">
        <v>1454</v>
      </c>
      <c r="K20524" s="2">
        <v>1</v>
      </c>
      <c r="L20524" s="2">
        <v>351</v>
      </c>
    </row>
    <row r="20525" spans="1:12" x14ac:dyDescent="0.25">
      <c r="A20525" s="4" t="str">
        <f>HYPERLINK("http://www.rosaceae.org/Prunus/Prunus_persica/p.persica_gdr_reftransV1_0012319","p.persica_gdr_reftransV1_0012319")</f>
        <v>p.persica_gdr_reftransV1_0012319</v>
      </c>
      <c r="B20525" s="2">
        <v>2949</v>
      </c>
      <c r="C20525" s="4" t="str">
        <f>HYPERLINK("http://www.uniprot.org/uniprot/M5XB82","M5XB82")</f>
        <v>M5XB82</v>
      </c>
      <c r="D20525" s="2" t="s">
        <v>2617</v>
      </c>
      <c r="E20525" s="3">
        <v>0</v>
      </c>
      <c r="F20525" s="2">
        <v>2581</v>
      </c>
      <c r="G20525" s="2">
        <v>100</v>
      </c>
      <c r="H20525" s="2">
        <v>512</v>
      </c>
      <c r="I20525" s="2">
        <v>3</v>
      </c>
      <c r="J20525" s="2">
        <v>1538</v>
      </c>
      <c r="K20525" s="2">
        <v>877</v>
      </c>
      <c r="L20525" s="2">
        <v>1388</v>
      </c>
    </row>
    <row r="20526" spans="1:12" x14ac:dyDescent="0.25">
      <c r="A20526" s="4" t="str">
        <f>HYPERLINK("http://www.rosaceae.org/Prunus/Prunus_persica/p.persica_gdr_reftransV1_0013019","p.persica_gdr_reftransV1_0013019")</f>
        <v>p.persica_gdr_reftransV1_0013019</v>
      </c>
      <c r="B20526" s="2">
        <v>2413</v>
      </c>
      <c r="C20526" s="4" t="str">
        <f>HYPERLINK("http://www.uniprot.org/uniprot/M5VP53","M5VP53")</f>
        <v>M5VP53</v>
      </c>
      <c r="D20526" s="2" t="s">
        <v>13937</v>
      </c>
      <c r="E20526" s="3">
        <v>5.9599999999999998E-114</v>
      </c>
      <c r="F20526" s="2">
        <v>927</v>
      </c>
      <c r="G20526" s="2">
        <v>99</v>
      </c>
      <c r="H20526" s="2">
        <v>230</v>
      </c>
      <c r="I20526" s="2">
        <v>714</v>
      </c>
      <c r="J20526" s="2">
        <v>1403</v>
      </c>
      <c r="K20526" s="2">
        <v>1</v>
      </c>
      <c r="L20526" s="2">
        <v>230</v>
      </c>
    </row>
    <row r="20527" spans="1:12" x14ac:dyDescent="0.25">
      <c r="A20527" s="4" t="str">
        <f>HYPERLINK("http://www.rosaceae.org/Prunus/Prunus_persica/p.persica_gdr_reftransV1_0014419","p.persica_gdr_reftransV1_0014419")</f>
        <v>p.persica_gdr_reftransV1_0014419</v>
      </c>
      <c r="B20527" s="2">
        <v>1671</v>
      </c>
      <c r="C20527" s="4" t="str">
        <f>HYPERLINK("http://www.uniprot.org/uniprot/A0A087PQ99","A0A087PQ99")</f>
        <v>A0A087PQ99</v>
      </c>
      <c r="D20527" s="2" t="s">
        <v>2781</v>
      </c>
      <c r="E20527" s="3">
        <v>8.7699999999999999E-71</v>
      </c>
      <c r="F20527" s="2">
        <v>567</v>
      </c>
      <c r="G20527" s="2">
        <v>36</v>
      </c>
      <c r="H20527" s="2">
        <v>414</v>
      </c>
      <c r="I20527" s="2">
        <v>1</v>
      </c>
      <c r="J20527" s="2">
        <v>1125</v>
      </c>
      <c r="K20527" s="2">
        <v>124</v>
      </c>
      <c r="L20527" s="2">
        <v>525</v>
      </c>
    </row>
    <row r="20528" spans="1:12" x14ac:dyDescent="0.25">
      <c r="A20528" s="4" t="str">
        <f>HYPERLINK("http://www.rosaceae.org/Prunus/Prunus_persica/p.persica_gdr_reftransV1_0014769","p.persica_gdr_reftransV1_0014769")</f>
        <v>p.persica_gdr_reftransV1_0014769</v>
      </c>
      <c r="B20528" s="2">
        <v>4332</v>
      </c>
      <c r="C20528" s="4" t="str">
        <f>HYPERLINK("http://www.uniprot.org/uniprot/M5WAP5","M5WAP5")</f>
        <v>M5WAP5</v>
      </c>
      <c r="D20528" s="2" t="s">
        <v>15492</v>
      </c>
      <c r="E20528" s="3">
        <v>0</v>
      </c>
      <c r="F20528" s="2">
        <v>1804</v>
      </c>
      <c r="G20528" s="2">
        <v>95</v>
      </c>
      <c r="H20528" s="2">
        <v>433</v>
      </c>
      <c r="I20528" s="2">
        <v>957</v>
      </c>
      <c r="J20528" s="2">
        <v>2255</v>
      </c>
      <c r="K20528" s="2">
        <v>1</v>
      </c>
      <c r="L20528" s="2">
        <v>413</v>
      </c>
    </row>
    <row r="20529" spans="1:12" x14ac:dyDescent="0.25">
      <c r="A20529" s="4" t="str">
        <f>HYPERLINK("http://www.rosaceae.org/Prunus/Prunus_persica/p.persica_gdr_reftransV1_0015819","p.persica_gdr_reftransV1_0015819")</f>
        <v>p.persica_gdr_reftransV1_0015819</v>
      </c>
      <c r="B20529" s="2">
        <v>765</v>
      </c>
      <c r="C20529" s="4" t="str">
        <f>HYPERLINK("http://www.uniprot.org/uniprot/A0A061GLX0","A0A061GLX0")</f>
        <v>A0A061GLX0</v>
      </c>
      <c r="D20529" s="2" t="s">
        <v>15493</v>
      </c>
      <c r="E20529" s="3">
        <v>2.5499999999999999E-60</v>
      </c>
      <c r="F20529" s="2">
        <v>517</v>
      </c>
      <c r="G20529" s="2">
        <v>74</v>
      </c>
      <c r="H20529" s="2">
        <v>130</v>
      </c>
      <c r="I20529" s="2">
        <v>238</v>
      </c>
      <c r="J20529" s="2">
        <v>627</v>
      </c>
      <c r="K20529" s="2">
        <v>2</v>
      </c>
      <c r="L20529" s="2">
        <v>129</v>
      </c>
    </row>
    <row r="20530" spans="1:12" x14ac:dyDescent="0.25">
      <c r="A20530" s="4" t="str">
        <f>HYPERLINK("http://www.rosaceae.org/Prunus/Prunus_persica/p.persica_gdr_reftransV1_0016519","p.persica_gdr_reftransV1_0016519")</f>
        <v>p.persica_gdr_reftransV1_0016519</v>
      </c>
      <c r="B20530" s="2">
        <v>2227</v>
      </c>
      <c r="C20530" s="4" t="str">
        <f>HYPERLINK("http://www.uniprot.org/uniprot/M5VLA7","M5VLA7")</f>
        <v>M5VLA7</v>
      </c>
      <c r="D20530" s="2" t="s">
        <v>13529</v>
      </c>
      <c r="E20530" s="3">
        <v>2.2599999999999999E-59</v>
      </c>
      <c r="F20530" s="2">
        <v>544</v>
      </c>
      <c r="G20530" s="2">
        <v>100</v>
      </c>
      <c r="H20530" s="2">
        <v>100</v>
      </c>
      <c r="I20530" s="2">
        <v>1381</v>
      </c>
      <c r="J20530" s="2">
        <v>1680</v>
      </c>
      <c r="K20530" s="2">
        <v>131</v>
      </c>
      <c r="L20530" s="2">
        <v>230</v>
      </c>
    </row>
    <row r="20531" spans="1:12" x14ac:dyDescent="0.25">
      <c r="A20531" s="4" t="str">
        <f>HYPERLINK("http://www.rosaceae.org/Prunus/Prunus_persica/p.persica_gdr_reftransV1_0017219","p.persica_gdr_reftransV1_0017219")</f>
        <v>p.persica_gdr_reftransV1_0017219</v>
      </c>
      <c r="B20531" s="2">
        <v>4134</v>
      </c>
      <c r="C20531" s="4" t="str">
        <f>HYPERLINK("http://www.uniprot.org/uniprot/M5WEJ3","M5WEJ3")</f>
        <v>M5WEJ3</v>
      </c>
      <c r="D20531" s="2" t="s">
        <v>11495</v>
      </c>
      <c r="E20531" s="3">
        <v>0</v>
      </c>
      <c r="F20531" s="2">
        <v>3301</v>
      </c>
      <c r="G20531" s="2">
        <v>96</v>
      </c>
      <c r="H20531" s="2">
        <v>774</v>
      </c>
      <c r="I20531" s="2">
        <v>1502</v>
      </c>
      <c r="J20531" s="2">
        <v>3823</v>
      </c>
      <c r="K20531" s="2">
        <v>4</v>
      </c>
      <c r="L20531" s="2">
        <v>746</v>
      </c>
    </row>
    <row r="20532" spans="1:12" x14ac:dyDescent="0.25">
      <c r="A20532" s="4" t="str">
        <f>HYPERLINK("http://www.rosaceae.org/Prunus/Prunus_persica/p.persica_gdr_reftransV1_0019319","p.persica_gdr_reftransV1_0019319")</f>
        <v>p.persica_gdr_reftransV1_0019319</v>
      </c>
      <c r="B20532" s="2">
        <v>2283</v>
      </c>
      <c r="C20532" s="4" t="str">
        <f>HYPERLINK("http://www.uniprot.org/uniprot/M5XDQ7","M5XDQ7")</f>
        <v>M5XDQ7</v>
      </c>
      <c r="D20532" s="2" t="s">
        <v>15494</v>
      </c>
      <c r="E20532" s="3">
        <v>9.6000000000000005E-125</v>
      </c>
      <c r="F20532" s="2">
        <v>992</v>
      </c>
      <c r="G20532" s="2">
        <v>100</v>
      </c>
      <c r="H20532" s="2">
        <v>185</v>
      </c>
      <c r="I20532" s="2">
        <v>342</v>
      </c>
      <c r="J20532" s="2">
        <v>896</v>
      </c>
      <c r="K20532" s="2">
        <v>110</v>
      </c>
      <c r="L20532" s="2">
        <v>294</v>
      </c>
    </row>
    <row r="20533" spans="1:12" x14ac:dyDescent="0.25">
      <c r="A20533" s="4" t="str">
        <f>HYPERLINK("http://www.rosaceae.org/Prunus/Prunus_persica/p.persica_gdr_reftransV1_0020019","p.persica_gdr_reftransV1_0020019")</f>
        <v>p.persica_gdr_reftransV1_0020019</v>
      </c>
      <c r="B20533" s="2">
        <v>2737</v>
      </c>
      <c r="C20533" s="4" t="str">
        <f>HYPERLINK("http://www.uniprot.org/uniprot/M5W927","M5W927")</f>
        <v>M5W927</v>
      </c>
      <c r="D20533" s="2" t="s">
        <v>15495</v>
      </c>
      <c r="E20533" s="3">
        <v>1.19E-163</v>
      </c>
      <c r="F20533" s="2">
        <v>1265</v>
      </c>
      <c r="G20533" s="2">
        <v>100</v>
      </c>
      <c r="H20533" s="2">
        <v>239</v>
      </c>
      <c r="I20533" s="2">
        <v>46</v>
      </c>
      <c r="J20533" s="2">
        <v>762</v>
      </c>
      <c r="K20533" s="2">
        <v>1</v>
      </c>
      <c r="L20533" s="2">
        <v>239</v>
      </c>
    </row>
    <row r="20534" spans="1:12" x14ac:dyDescent="0.25">
      <c r="A20534" s="4" t="str">
        <f>HYPERLINK("http://www.rosaceae.org/Prunus/Prunus_persica/p.persica_gdr_reftransV1_0020369","p.persica_gdr_reftransV1_0020369")</f>
        <v>p.persica_gdr_reftransV1_0020369</v>
      </c>
      <c r="B20534" s="2">
        <v>3023</v>
      </c>
      <c r="C20534" s="4" t="str">
        <f>HYPERLINK("http://www.uniprot.org/uniprot/M5VPZ9","M5VPZ9")</f>
        <v>M5VPZ9</v>
      </c>
      <c r="D20534" s="2" t="s">
        <v>4712</v>
      </c>
      <c r="E20534" s="3">
        <v>2.0199999999999998E-149</v>
      </c>
      <c r="F20534" s="2">
        <v>1187</v>
      </c>
      <c r="G20534" s="2">
        <v>100</v>
      </c>
      <c r="H20534" s="2">
        <v>253</v>
      </c>
      <c r="I20534" s="2">
        <v>1623</v>
      </c>
      <c r="J20534" s="2">
        <v>2381</v>
      </c>
      <c r="K20534" s="2">
        <v>1</v>
      </c>
      <c r="L20534" s="2">
        <v>253</v>
      </c>
    </row>
    <row r="20535" spans="1:12" x14ac:dyDescent="0.25">
      <c r="A20535" s="4" t="str">
        <f>HYPERLINK("http://www.rosaceae.org/Prunus/Prunus_persica/p.persica_gdr_reftransV1_0020719","p.persica_gdr_reftransV1_0020719")</f>
        <v>p.persica_gdr_reftransV1_0020719</v>
      </c>
      <c r="B20535" s="2">
        <v>1352</v>
      </c>
      <c r="C20535" s="4" t="str">
        <f>HYPERLINK("http://www.uniprot.org/uniprot/M5XKB2","M5XKB2")</f>
        <v>M5XKB2</v>
      </c>
      <c r="D20535" s="2" t="s">
        <v>15496</v>
      </c>
      <c r="E20535" s="3">
        <v>0</v>
      </c>
      <c r="F20535" s="2">
        <v>2135</v>
      </c>
      <c r="G20535" s="2">
        <v>98</v>
      </c>
      <c r="H20535" s="2">
        <v>406</v>
      </c>
      <c r="I20535" s="2">
        <v>2</v>
      </c>
      <c r="J20535" s="2">
        <v>1201</v>
      </c>
      <c r="K20535" s="2">
        <v>309</v>
      </c>
      <c r="L20535" s="2">
        <v>714</v>
      </c>
    </row>
    <row r="20536" spans="1:12" x14ac:dyDescent="0.25">
      <c r="A20536" s="4" t="str">
        <f>HYPERLINK("http://www.rosaceae.org/Prunus/Prunus_persica/p.persica_gdr_reftransV1_0021069","p.persica_gdr_reftransV1_0021069")</f>
        <v>p.persica_gdr_reftransV1_0021069</v>
      </c>
      <c r="B20536" s="2">
        <v>763</v>
      </c>
      <c r="C20536" s="4" t="str">
        <f>HYPERLINK("http://www.uniprot.org/uniprot/M5WAJ2","M5WAJ2")</f>
        <v>M5WAJ2</v>
      </c>
      <c r="D20536" s="2" t="s">
        <v>5273</v>
      </c>
      <c r="E20536" s="3">
        <v>5.7299999999999997E-88</v>
      </c>
      <c r="F20536" s="2">
        <v>715</v>
      </c>
      <c r="G20536" s="2">
        <v>100</v>
      </c>
      <c r="H20536" s="2">
        <v>173</v>
      </c>
      <c r="I20536" s="2">
        <v>2</v>
      </c>
      <c r="J20536" s="2">
        <v>520</v>
      </c>
      <c r="K20536" s="2">
        <v>277</v>
      </c>
      <c r="L20536" s="2">
        <v>449</v>
      </c>
    </row>
    <row r="20537" spans="1:12" x14ac:dyDescent="0.25">
      <c r="A20537" s="4" t="str">
        <f>HYPERLINK("http://www.rosaceae.org/Prunus/Prunus_persica/p.persica_gdr_reftransV1_0021419","p.persica_gdr_reftransV1_0021419")</f>
        <v>p.persica_gdr_reftransV1_0021419</v>
      </c>
      <c r="B20537" s="2">
        <v>1358</v>
      </c>
      <c r="C20537" s="4" t="str">
        <f>HYPERLINK("http://www.uniprot.org/uniprot/M5XXA1","M5XXA1")</f>
        <v>M5XXA1</v>
      </c>
      <c r="D20537" s="2" t="s">
        <v>11066</v>
      </c>
      <c r="E20537" s="3">
        <v>0</v>
      </c>
      <c r="F20537" s="2">
        <v>1672</v>
      </c>
      <c r="G20537" s="2">
        <v>100</v>
      </c>
      <c r="H20537" s="2">
        <v>327</v>
      </c>
      <c r="I20537" s="2">
        <v>281</v>
      </c>
      <c r="J20537" s="2">
        <v>1261</v>
      </c>
      <c r="K20537" s="2">
        <v>1</v>
      </c>
      <c r="L20537" s="2">
        <v>326</v>
      </c>
    </row>
    <row r="20538" spans="1:12" x14ac:dyDescent="0.25">
      <c r="A20538" s="4" t="str">
        <f>HYPERLINK("http://www.rosaceae.org/Prunus/Prunus_persica/p.persica_gdr_reftransV1_0023169","p.persica_gdr_reftransV1_0023169")</f>
        <v>p.persica_gdr_reftransV1_0023169</v>
      </c>
      <c r="B20538" s="2">
        <v>968</v>
      </c>
      <c r="C20538" s="4" t="str">
        <f>HYPERLINK("http://www.uniprot.org/uniprot/I3SVX1","I3SVX1")</f>
        <v>I3SVX1</v>
      </c>
      <c r="D20538" s="2" t="s">
        <v>3170</v>
      </c>
      <c r="E20538" s="3">
        <v>5.6600000000000002E-73</v>
      </c>
      <c r="F20538" s="2">
        <v>593</v>
      </c>
      <c r="G20538" s="2">
        <v>91</v>
      </c>
      <c r="H20538" s="2">
        <v>121</v>
      </c>
      <c r="I20538" s="2">
        <v>92</v>
      </c>
      <c r="J20538" s="2">
        <v>454</v>
      </c>
      <c r="K20538" s="2">
        <v>1</v>
      </c>
      <c r="L20538" s="2">
        <v>121</v>
      </c>
    </row>
    <row r="20539" spans="1:12" x14ac:dyDescent="0.25">
      <c r="A20539" s="4" t="str">
        <f>HYPERLINK("http://www.rosaceae.org/Prunus/Prunus_persica/p.persica_gdr_reftransV1_0023869","p.persica_gdr_reftransV1_0023869")</f>
        <v>p.persica_gdr_reftransV1_0023869</v>
      </c>
      <c r="B20539" s="2">
        <v>435</v>
      </c>
      <c r="C20539" s="4" t="str">
        <f>HYPERLINK("http://www.uniprot.org/uniprot/M5XG38","M5XG38")</f>
        <v>M5XG38</v>
      </c>
      <c r="D20539" s="2" t="s">
        <v>10693</v>
      </c>
      <c r="E20539" s="3">
        <v>8.8600000000000001E-33</v>
      </c>
      <c r="F20539" s="2">
        <v>327</v>
      </c>
      <c r="G20539" s="2">
        <v>100</v>
      </c>
      <c r="H20539" s="2">
        <v>107</v>
      </c>
      <c r="I20539" s="2">
        <v>95</v>
      </c>
      <c r="J20539" s="2">
        <v>415</v>
      </c>
      <c r="K20539" s="2">
        <v>169</v>
      </c>
      <c r="L20539" s="2">
        <v>275</v>
      </c>
    </row>
    <row r="20540" spans="1:12" x14ac:dyDescent="0.25">
      <c r="A20540" s="4" t="str">
        <f>HYPERLINK("http://www.rosaceae.org/Prunus/Prunus_persica/p.persica_gdr_reftransV1_0025619","p.persica_gdr_reftransV1_0025619")</f>
        <v>p.persica_gdr_reftransV1_0025619</v>
      </c>
      <c r="B20540" s="2">
        <v>2371</v>
      </c>
      <c r="C20540" s="4" t="str">
        <f>HYPERLINK("http://www.uniprot.org/uniprot/M5W9V6","M5W9V6")</f>
        <v>M5W9V6</v>
      </c>
      <c r="D20540" s="2" t="s">
        <v>15497</v>
      </c>
      <c r="E20540" s="3">
        <v>0</v>
      </c>
      <c r="F20540" s="2">
        <v>2433</v>
      </c>
      <c r="G20540" s="2">
        <v>93</v>
      </c>
      <c r="H20540" s="2">
        <v>527</v>
      </c>
      <c r="I20540" s="2">
        <v>257</v>
      </c>
      <c r="J20540" s="2">
        <v>1837</v>
      </c>
      <c r="K20540" s="2">
        <v>1</v>
      </c>
      <c r="L20540" s="2">
        <v>490</v>
      </c>
    </row>
    <row r="20541" spans="1:12" x14ac:dyDescent="0.25">
      <c r="A20541" s="4" t="str">
        <f>HYPERLINK("http://www.rosaceae.org/Prunus/Prunus_persica/p.persica_gdr_reftransV1_0026319","p.persica_gdr_reftransV1_0026319")</f>
        <v>p.persica_gdr_reftransV1_0026319</v>
      </c>
      <c r="B20541" s="2">
        <v>1388</v>
      </c>
      <c r="C20541" s="4" t="str">
        <f>HYPERLINK("http://www.uniprot.org/uniprot/M5XG89","M5XG89")</f>
        <v>M5XG89</v>
      </c>
      <c r="D20541" s="2" t="s">
        <v>15498</v>
      </c>
      <c r="E20541" s="3">
        <v>1.3800000000000001E-75</v>
      </c>
      <c r="F20541" s="2">
        <v>631</v>
      </c>
      <c r="G20541" s="2">
        <v>98</v>
      </c>
      <c r="H20541" s="2">
        <v>119</v>
      </c>
      <c r="I20541" s="2">
        <v>778</v>
      </c>
      <c r="J20541" s="2">
        <v>1134</v>
      </c>
      <c r="K20541" s="2">
        <v>82</v>
      </c>
      <c r="L20541" s="2">
        <v>200</v>
      </c>
    </row>
    <row r="20542" spans="1:12" x14ac:dyDescent="0.25">
      <c r="A20542" s="4" t="str">
        <f>HYPERLINK("http://www.rosaceae.org/Prunus/Prunus_persica/p.persica_gdr_reftransV1_0027369","p.persica_gdr_reftransV1_0027369")</f>
        <v>p.persica_gdr_reftransV1_0027369</v>
      </c>
      <c r="B20542" s="2">
        <v>2098</v>
      </c>
      <c r="C20542" s="4" t="str">
        <f>HYPERLINK("http://www.uniprot.org/uniprot/M5Wid9","M5Wid9")</f>
        <v>M5Wid9</v>
      </c>
      <c r="D20542" s="2" t="s">
        <v>15499</v>
      </c>
      <c r="E20542" s="3">
        <v>5.8900000000000006E-17</v>
      </c>
      <c r="F20542" s="2">
        <v>216</v>
      </c>
      <c r="G20542" s="2">
        <v>92</v>
      </c>
      <c r="H20542" s="2">
        <v>73</v>
      </c>
      <c r="I20542" s="2">
        <v>1774</v>
      </c>
      <c r="J20542" s="2">
        <v>1992</v>
      </c>
      <c r="K20542" s="2">
        <v>19</v>
      </c>
      <c r="L20542" s="2">
        <v>90</v>
      </c>
    </row>
    <row r="20543" spans="1:12" x14ac:dyDescent="0.25">
      <c r="A20543" s="4" t="str">
        <f>HYPERLINK("http://www.rosaceae.org/Prunus/Prunus_persica/p.persica_gdr_reftransV1_0027719","p.persica_gdr_reftransV1_0027719")</f>
        <v>p.persica_gdr_reftransV1_0027719</v>
      </c>
      <c r="B20543" s="2">
        <v>1338</v>
      </c>
      <c r="C20543" s="4" t="str">
        <f>HYPERLINK("http://www.uniprot.org/uniprot/M5VZN2","M5VZN2")</f>
        <v>M5VZN2</v>
      </c>
      <c r="D20543" s="2" t="s">
        <v>15500</v>
      </c>
      <c r="E20543" s="3">
        <v>6.0000000000000003E-150</v>
      </c>
      <c r="F20543" s="2">
        <v>1128</v>
      </c>
      <c r="G20543" s="2">
        <v>87</v>
      </c>
      <c r="H20543" s="2">
        <v>251</v>
      </c>
      <c r="I20543" s="2">
        <v>415</v>
      </c>
      <c r="J20543" s="2">
        <v>1167</v>
      </c>
      <c r="K20543" s="2">
        <v>28</v>
      </c>
      <c r="L20543" s="2">
        <v>245</v>
      </c>
    </row>
    <row r="20544" spans="1:12" x14ac:dyDescent="0.25">
      <c r="A20544" s="4" t="str">
        <f>HYPERLINK("http://www.rosaceae.org/Prunus/Prunus_persica/p.persica_gdr_reftransV1_0031919","p.persica_gdr_reftransV1_0031919")</f>
        <v>p.persica_gdr_reftransV1_0031919</v>
      </c>
      <c r="B20544" s="2">
        <v>2786</v>
      </c>
      <c r="C20544" s="4" t="str">
        <f>HYPERLINK("http://www.uniprot.org/uniprot/M5VZI7","M5VZI7")</f>
        <v>M5VZI7</v>
      </c>
      <c r="D20544" s="2" t="s">
        <v>15501</v>
      </c>
      <c r="E20544" s="3">
        <v>1.0999999999999999E-78</v>
      </c>
      <c r="F20544" s="2">
        <v>685</v>
      </c>
      <c r="G20544" s="2">
        <v>100</v>
      </c>
      <c r="H20544" s="2">
        <v>132</v>
      </c>
      <c r="I20544" s="2">
        <v>452</v>
      </c>
      <c r="J20544" s="2">
        <v>847</v>
      </c>
      <c r="K20544" s="2">
        <v>149</v>
      </c>
      <c r="L20544" s="2">
        <v>280</v>
      </c>
    </row>
    <row r="20545" spans="1:12" x14ac:dyDescent="0.25">
      <c r="A20545" s="4" t="str">
        <f>HYPERLINK("http://www.rosaceae.org/Prunus/Prunus_persica/p.persica_gdr_reftransV1_0032969","p.persica_gdr_reftransV1_0032969")</f>
        <v>p.persica_gdr_reftransV1_0032969</v>
      </c>
      <c r="B20545" s="2">
        <v>1073</v>
      </c>
      <c r="C20545" s="4" t="str">
        <f>HYPERLINK("http://www.uniprot.org/uniprot/M5XHM9","M5XHM9")</f>
        <v>M5XHM9</v>
      </c>
      <c r="D20545" s="2" t="s">
        <v>15502</v>
      </c>
      <c r="E20545" s="3">
        <v>2.45E-66</v>
      </c>
      <c r="F20545" s="2">
        <v>553</v>
      </c>
      <c r="G20545" s="2">
        <v>100</v>
      </c>
      <c r="H20545" s="2">
        <v>104</v>
      </c>
      <c r="I20545" s="2">
        <v>380</v>
      </c>
      <c r="J20545" s="2">
        <v>691</v>
      </c>
      <c r="K20545" s="2">
        <v>33</v>
      </c>
      <c r="L20545" s="2">
        <v>136</v>
      </c>
    </row>
    <row r="20546" spans="1:12" x14ac:dyDescent="0.25">
      <c r="A20546" s="4" t="str">
        <f>HYPERLINK("http://www.rosaceae.org/Prunus/Prunus_persica/p.persica_gdr_reftransV1_0035419","p.persica_gdr_reftransV1_0035419")</f>
        <v>p.persica_gdr_reftransV1_0035419</v>
      </c>
      <c r="B20546" s="2">
        <v>2191</v>
      </c>
      <c r="C20546" s="4" t="str">
        <f>HYPERLINK("http://www.uniprot.org/uniprot/M5WZB8","M5WZB8")</f>
        <v>M5WZB8</v>
      </c>
      <c r="D20546" s="2" t="s">
        <v>15503</v>
      </c>
      <c r="E20546" s="3">
        <v>0</v>
      </c>
      <c r="F20546" s="2">
        <v>2542</v>
      </c>
      <c r="G20546" s="2">
        <v>100</v>
      </c>
      <c r="H20546" s="2">
        <v>474</v>
      </c>
      <c r="I20546" s="2">
        <v>159</v>
      </c>
      <c r="J20546" s="2">
        <v>1580</v>
      </c>
      <c r="K20546" s="2">
        <v>1</v>
      </c>
      <c r="L20546" s="2">
        <v>474</v>
      </c>
    </row>
    <row r="20547" spans="1:12" x14ac:dyDescent="0.25">
      <c r="A20547" s="4" t="str">
        <f>HYPERLINK("http://www.rosaceae.org/Prunus/Prunus_persica/p.persica_gdr_reftransV1_0036119","p.persica_gdr_reftransV1_0036119")</f>
        <v>p.persica_gdr_reftransV1_0036119</v>
      </c>
      <c r="B20547" s="2">
        <v>5152</v>
      </c>
      <c r="C20547" s="4" t="str">
        <f>HYPERLINK("http://www.uniprot.org/uniprot/M5XNR6","M5XNR6")</f>
        <v>M5XNR6</v>
      </c>
      <c r="D20547" s="2" t="s">
        <v>12016</v>
      </c>
      <c r="E20547" s="3">
        <v>0</v>
      </c>
      <c r="F20547" s="2">
        <v>1663</v>
      </c>
      <c r="G20547" s="2">
        <v>73</v>
      </c>
      <c r="H20547" s="2">
        <v>608</v>
      </c>
      <c r="I20547" s="2">
        <v>3116</v>
      </c>
      <c r="J20547" s="2">
        <v>4900</v>
      </c>
      <c r="K20547" s="2">
        <v>208</v>
      </c>
      <c r="L20547" s="2">
        <v>772</v>
      </c>
    </row>
    <row r="20548" spans="1:12" x14ac:dyDescent="0.25">
      <c r="A20548" s="4" t="str">
        <f>HYPERLINK("http://www.rosaceae.org/Prunus/Prunus_persica/p.persica_gdr_reftransV1_0036819","p.persica_gdr_reftransV1_0036819")</f>
        <v>p.persica_gdr_reftransV1_0036819</v>
      </c>
      <c r="B20548" s="2">
        <v>3382</v>
      </c>
      <c r="C20548" s="4" t="str">
        <f>HYPERLINK("http://www.uniprot.org/uniprot/M5WL12","M5WL12")</f>
        <v>M5WL12</v>
      </c>
      <c r="D20548" s="2" t="s">
        <v>15504</v>
      </c>
      <c r="E20548" s="3">
        <v>4.4999999999999999E-132</v>
      </c>
      <c r="F20548" s="2">
        <v>1071</v>
      </c>
      <c r="G20548" s="2">
        <v>97</v>
      </c>
      <c r="H20548" s="2">
        <v>206</v>
      </c>
      <c r="I20548" s="2">
        <v>1077</v>
      </c>
      <c r="J20548" s="2">
        <v>1694</v>
      </c>
      <c r="K20548" s="2">
        <v>1</v>
      </c>
      <c r="L20548" s="2">
        <v>206</v>
      </c>
    </row>
    <row r="20549" spans="1:12" x14ac:dyDescent="0.25">
      <c r="A20549" s="4" t="str">
        <f>HYPERLINK("http://www.rosaceae.org/Prunus/Prunus_persica/p.persica_gdr_reftransV1_0037869","p.persica_gdr_reftransV1_0037869")</f>
        <v>p.persica_gdr_reftransV1_0037869</v>
      </c>
      <c r="B20549" s="2">
        <v>2061</v>
      </c>
      <c r="C20549" s="4" t="str">
        <f>HYPERLINK("http://www.uniprot.org/uniprot/M5XY39","M5XY39")</f>
        <v>M5XY39</v>
      </c>
      <c r="D20549" s="2" t="s">
        <v>4601</v>
      </c>
      <c r="E20549" s="3">
        <v>8.6000000000000004E-125</v>
      </c>
      <c r="F20549" s="2">
        <v>989</v>
      </c>
      <c r="G20549" s="2">
        <v>100</v>
      </c>
      <c r="H20549" s="2">
        <v>225</v>
      </c>
      <c r="I20549" s="2">
        <v>21</v>
      </c>
      <c r="J20549" s="2">
        <v>695</v>
      </c>
      <c r="K20549" s="2">
        <v>1</v>
      </c>
      <c r="L20549" s="2">
        <v>225</v>
      </c>
    </row>
    <row r="20550" spans="1:12" x14ac:dyDescent="0.25">
      <c r="A20550" s="4" t="str">
        <f>HYPERLINK("http://www.rosaceae.org/Prunus/Prunus_persica/p.persica_gdr_reftransV1_0040319","p.persica_gdr_reftransV1_0040319")</f>
        <v>p.persica_gdr_reftransV1_0040319</v>
      </c>
      <c r="B20550" s="2">
        <v>1842</v>
      </c>
      <c r="C20550" s="4" t="str">
        <f>HYPERLINK("http://www.uniprot.org/uniprot/M5XNV8","M5XNV8")</f>
        <v>M5XNV8</v>
      </c>
      <c r="D20550" s="2" t="s">
        <v>10633</v>
      </c>
      <c r="E20550" s="3">
        <v>2.0899999999999999E-33</v>
      </c>
      <c r="F20550" s="2">
        <v>347</v>
      </c>
      <c r="G20550" s="2">
        <v>100</v>
      </c>
      <c r="H20550" s="2">
        <v>102</v>
      </c>
      <c r="I20550" s="2">
        <v>89</v>
      </c>
      <c r="J20550" s="2">
        <v>394</v>
      </c>
      <c r="K20550" s="2">
        <v>1</v>
      </c>
      <c r="L20550" s="2">
        <v>102</v>
      </c>
    </row>
    <row r="20551" spans="1:12" x14ac:dyDescent="0.25">
      <c r="A20551" s="4" t="str">
        <f>HYPERLINK("http://www.rosaceae.org/Prunus/Prunus_persica/p.persica_gdr_reftransV1_0040669","p.persica_gdr_reftransV1_0040669")</f>
        <v>p.persica_gdr_reftransV1_0040669</v>
      </c>
      <c r="B20551" s="2">
        <v>2483</v>
      </c>
      <c r="C20551" s="4" t="str">
        <f>HYPERLINK("http://www.uniprot.org/uniprot/M5VYD3","M5VYD3")</f>
        <v>M5VYD3</v>
      </c>
      <c r="D20551" s="2" t="s">
        <v>15505</v>
      </c>
      <c r="E20551" s="3">
        <v>0</v>
      </c>
      <c r="F20551" s="2">
        <v>2068</v>
      </c>
      <c r="G20551" s="2">
        <v>98</v>
      </c>
      <c r="H20551" s="2">
        <v>422</v>
      </c>
      <c r="I20551" s="2">
        <v>435</v>
      </c>
      <c r="J20551" s="2">
        <v>1700</v>
      </c>
      <c r="K20551" s="2">
        <v>10</v>
      </c>
      <c r="L20551" s="2">
        <v>423</v>
      </c>
    </row>
    <row r="20552" spans="1:12" x14ac:dyDescent="0.25">
      <c r="A20552" s="4" t="str">
        <f>HYPERLINK("http://www.rosaceae.org/Prunus/Prunus_persica/p.persica_gdr_reftransV1_0042419","p.persica_gdr_reftransV1_0042419")</f>
        <v>p.persica_gdr_reftransV1_0042419</v>
      </c>
      <c r="B20552" s="2">
        <v>3399</v>
      </c>
      <c r="C20552" s="4" t="str">
        <f>HYPERLINK("http://www.uniprot.org/uniprot/M5WUF1","M5WUF1")</f>
        <v>M5WUF1</v>
      </c>
      <c r="D20552" s="2" t="s">
        <v>4248</v>
      </c>
      <c r="E20552" s="3">
        <v>1.5899999999999999E-87</v>
      </c>
      <c r="F20552" s="2">
        <v>768</v>
      </c>
      <c r="G20552" s="2">
        <v>100</v>
      </c>
      <c r="H20552" s="2">
        <v>157</v>
      </c>
      <c r="I20552" s="2">
        <v>2655</v>
      </c>
      <c r="J20552" s="2">
        <v>3125</v>
      </c>
      <c r="K20552" s="2">
        <v>1</v>
      </c>
      <c r="L20552" s="2">
        <v>157</v>
      </c>
    </row>
    <row r="20553" spans="1:12" x14ac:dyDescent="0.25">
      <c r="A20553" s="4" t="str">
        <f>HYPERLINK("http://www.rosaceae.org/Prunus/Prunus_persica/p.persica_gdr_reftransV1_0043469","p.persica_gdr_reftransV1_0043469")</f>
        <v>p.persica_gdr_reftransV1_0043469</v>
      </c>
      <c r="B20553" s="2">
        <v>705</v>
      </c>
      <c r="C20553" s="4" t="str">
        <f>HYPERLINK("http://www.uniprot.org/uniprot/M5X1C2","M5X1C2")</f>
        <v>M5X1C2</v>
      </c>
      <c r="D20553" s="2" t="s">
        <v>15506</v>
      </c>
      <c r="E20553" s="3">
        <v>4.2400000000000001E-130</v>
      </c>
      <c r="F20553" s="2">
        <v>970</v>
      </c>
      <c r="G20553" s="2">
        <v>96</v>
      </c>
      <c r="H20553" s="2">
        <v>197</v>
      </c>
      <c r="I20553" s="2">
        <v>5</v>
      </c>
      <c r="J20553" s="2">
        <v>595</v>
      </c>
      <c r="K20553" s="2">
        <v>19</v>
      </c>
      <c r="L20553" s="2">
        <v>215</v>
      </c>
    </row>
    <row r="20554" spans="1:12" x14ac:dyDescent="0.25">
      <c r="A20554" s="4" t="str">
        <f>HYPERLINK("http://www.rosaceae.org/Prunus/Prunus_persica/p.persica_gdr_reftransV1_0044169","p.persica_gdr_reftransV1_0044169")</f>
        <v>p.persica_gdr_reftransV1_0044169</v>
      </c>
      <c r="B20554" s="2">
        <v>968</v>
      </c>
      <c r="C20554" s="4" t="str">
        <f>HYPERLINK("http://www.uniprot.org/uniprot/M5VWY0","M5VWY0")</f>
        <v>M5VWY0</v>
      </c>
      <c r="D20554" s="2" t="s">
        <v>15507</v>
      </c>
      <c r="E20554" s="3">
        <v>2.06E-112</v>
      </c>
      <c r="F20554" s="2">
        <v>863</v>
      </c>
      <c r="G20554" s="2">
        <v>100</v>
      </c>
      <c r="H20554" s="2">
        <v>204</v>
      </c>
      <c r="I20554" s="2">
        <v>85</v>
      </c>
      <c r="J20554" s="2">
        <v>696</v>
      </c>
      <c r="K20554" s="2">
        <v>1</v>
      </c>
      <c r="L20554" s="2">
        <v>204</v>
      </c>
    </row>
    <row r="20555" spans="1:12" x14ac:dyDescent="0.25">
      <c r="A20555" s="4" t="str">
        <f>HYPERLINK("http://www.rosaceae.org/Prunus/Prunus_persica/p.persica_gdr_reftransV1_0044519","p.persica_gdr_reftransV1_0044519")</f>
        <v>p.persica_gdr_reftransV1_0044519</v>
      </c>
      <c r="B20555" s="2">
        <v>2496</v>
      </c>
      <c r="C20555" s="4" t="str">
        <f>HYPERLINK("http://www.uniprot.org/uniprot/M5XAX1","M5XAX1")</f>
        <v>M5XAX1</v>
      </c>
      <c r="D20555" s="2" t="s">
        <v>9075</v>
      </c>
      <c r="E20555" s="3">
        <v>0</v>
      </c>
      <c r="F20555" s="2">
        <v>3453</v>
      </c>
      <c r="G20555" s="2">
        <v>100</v>
      </c>
      <c r="H20555" s="2">
        <v>651</v>
      </c>
      <c r="I20555" s="2">
        <v>299</v>
      </c>
      <c r="J20555" s="2">
        <v>2251</v>
      </c>
      <c r="K20555" s="2">
        <v>1</v>
      </c>
      <c r="L20555" s="2">
        <v>651</v>
      </c>
    </row>
    <row r="20556" spans="1:12" x14ac:dyDescent="0.25">
      <c r="A20556" s="4" t="str">
        <f>HYPERLINK("http://www.rosaceae.org/Prunus/Prunus_persica/p.persica_gdr_reftransV1_0044869","p.persica_gdr_reftransV1_0044869")</f>
        <v>p.persica_gdr_reftransV1_0044869</v>
      </c>
      <c r="B20556" s="2">
        <v>858</v>
      </c>
      <c r="C20556" s="4" t="str">
        <f>HYPERLINK("http://www.uniprot.org/uniprot/M5W1T8","M5W1T8")</f>
        <v>M5W1T8</v>
      </c>
      <c r="D20556" s="2" t="s">
        <v>15508</v>
      </c>
      <c r="E20556" s="3">
        <v>1.4299999999999999E-73</v>
      </c>
      <c r="F20556" s="2">
        <v>594</v>
      </c>
      <c r="G20556" s="2">
        <v>100</v>
      </c>
      <c r="H20556" s="2">
        <v>133</v>
      </c>
      <c r="I20556" s="2">
        <v>137</v>
      </c>
      <c r="J20556" s="2">
        <v>535</v>
      </c>
      <c r="K20556" s="2">
        <v>1</v>
      </c>
      <c r="L20556" s="2">
        <v>133</v>
      </c>
    </row>
    <row r="20557" spans="1:12" x14ac:dyDescent="0.25">
      <c r="A20557" s="4" t="str">
        <f>HYPERLINK("http://www.rosaceae.org/Prunus/Prunus_persica/p.persica_gdr_reftransV1_0045219","p.persica_gdr_reftransV1_0045219")</f>
        <v>p.persica_gdr_reftransV1_0045219</v>
      </c>
      <c r="B20557" s="2">
        <v>2590</v>
      </c>
      <c r="C20557" s="4" t="str">
        <f>HYPERLINK("http://www.uniprot.org/uniprot/M5XX64","M5XX64")</f>
        <v>M5XX64</v>
      </c>
      <c r="D20557" s="2" t="s">
        <v>10853</v>
      </c>
      <c r="E20557" s="3">
        <v>0</v>
      </c>
      <c r="F20557" s="2">
        <v>3359</v>
      </c>
      <c r="G20557" s="2">
        <v>94</v>
      </c>
      <c r="H20557" s="2">
        <v>685</v>
      </c>
      <c r="I20557" s="2">
        <v>82</v>
      </c>
      <c r="J20557" s="2">
        <v>2127</v>
      </c>
      <c r="K20557" s="2">
        <v>1</v>
      </c>
      <c r="L20557" s="2">
        <v>650</v>
      </c>
    </row>
    <row r="20558" spans="1:12" x14ac:dyDescent="0.25">
      <c r="A20558" s="4" t="str">
        <f>HYPERLINK("http://www.rosaceae.org/Prunus/Prunus_persica/p.persica_gdr_reftransV1_0045569","p.persica_gdr_reftransV1_0045569")</f>
        <v>p.persica_gdr_reftransV1_0045569</v>
      </c>
      <c r="B20558" s="2">
        <v>776</v>
      </c>
      <c r="C20558" s="4" t="str">
        <f>HYPERLINK("http://www.uniprot.org/uniprot/M5W7C6","M5W7C6")</f>
        <v>M5W7C6</v>
      </c>
      <c r="D20558" s="2" t="s">
        <v>7539</v>
      </c>
      <c r="E20558" s="3">
        <v>1.5700000000000001E-17</v>
      </c>
      <c r="F20558" s="2">
        <v>227</v>
      </c>
      <c r="G20558" s="2">
        <v>100</v>
      </c>
      <c r="H20558" s="2">
        <v>42</v>
      </c>
      <c r="I20558" s="2">
        <v>389</v>
      </c>
      <c r="J20558" s="2">
        <v>514</v>
      </c>
      <c r="K20558" s="2">
        <v>805</v>
      </c>
      <c r="L20558" s="2">
        <v>846</v>
      </c>
    </row>
    <row r="20559" spans="1:12" x14ac:dyDescent="0.25">
      <c r="A20559" s="4" t="str">
        <f>HYPERLINK("http://www.rosaceae.org/Prunus/Prunus_persica/p.persica_gdr_reftransV1_0045919","p.persica_gdr_reftransV1_0045919")</f>
        <v>p.persica_gdr_reftransV1_0045919</v>
      </c>
      <c r="B20559" s="2">
        <v>1301</v>
      </c>
      <c r="C20559" s="4" t="str">
        <f>HYPERLINK("http://www.uniprot.org/uniprot/M5X277","M5X277")</f>
        <v>M5X277</v>
      </c>
      <c r="D20559" s="2" t="s">
        <v>14750</v>
      </c>
      <c r="E20559" s="3">
        <v>0</v>
      </c>
      <c r="F20559" s="2">
        <v>1644</v>
      </c>
      <c r="G20559" s="2">
        <v>100</v>
      </c>
      <c r="H20559" s="2">
        <v>325</v>
      </c>
      <c r="I20559" s="2">
        <v>3</v>
      </c>
      <c r="J20559" s="2">
        <v>977</v>
      </c>
      <c r="K20559" s="2">
        <v>208</v>
      </c>
      <c r="L20559" s="2">
        <v>532</v>
      </c>
    </row>
    <row r="20560" spans="1:12" x14ac:dyDescent="0.25">
      <c r="A20560" s="4" t="str">
        <f>HYPERLINK("http://www.rosaceae.org/Prunus/Prunus_persica/p.persica_gdr_reftransV1_0046619","p.persica_gdr_reftransV1_0046619")</f>
        <v>p.persica_gdr_reftransV1_0046619</v>
      </c>
      <c r="B20560" s="2">
        <v>665</v>
      </c>
      <c r="C20560" s="4" t="str">
        <f>HYPERLINK("http://www.uniprot.org/uniprot/M5W412","M5W412")</f>
        <v>M5W412</v>
      </c>
      <c r="D20560" s="2" t="s">
        <v>12105</v>
      </c>
      <c r="E20560" s="3">
        <v>4.35E-20</v>
      </c>
      <c r="F20560" s="2">
        <v>245</v>
      </c>
      <c r="G20560" s="2">
        <v>100</v>
      </c>
      <c r="H20560" s="2">
        <v>45</v>
      </c>
      <c r="I20560" s="2">
        <v>531</v>
      </c>
      <c r="J20560" s="2">
        <v>665</v>
      </c>
      <c r="K20560" s="2">
        <v>802</v>
      </c>
      <c r="L20560" s="2">
        <v>846</v>
      </c>
    </row>
    <row r="20561" spans="1:12" x14ac:dyDescent="0.25">
      <c r="A20561" s="4" t="str">
        <f>HYPERLINK("http://www.rosaceae.org/Prunus/Prunus_persica/p.persica_gdr_reftransV1_0047319","p.persica_gdr_reftransV1_0047319")</f>
        <v>p.persica_gdr_reftransV1_0047319</v>
      </c>
      <c r="B20561" s="2">
        <v>1908</v>
      </c>
      <c r="C20561" s="4" t="str">
        <f>HYPERLINK("http://www.uniprot.org/uniprot/M5VU02","M5VU02")</f>
        <v>M5VU02</v>
      </c>
      <c r="D20561" s="2" t="s">
        <v>4741</v>
      </c>
      <c r="E20561" s="3">
        <v>0</v>
      </c>
      <c r="F20561" s="2">
        <v>1471</v>
      </c>
      <c r="G20561" s="2">
        <v>100</v>
      </c>
      <c r="H20561" s="2">
        <v>287</v>
      </c>
      <c r="I20561" s="2">
        <v>843</v>
      </c>
      <c r="J20561" s="2">
        <v>1703</v>
      </c>
      <c r="K20561" s="2">
        <v>236</v>
      </c>
      <c r="L20561" s="2">
        <v>522</v>
      </c>
    </row>
    <row r="20562" spans="1:12" x14ac:dyDescent="0.25">
      <c r="A20562" s="4" t="str">
        <f>HYPERLINK("http://www.rosaceae.org/Prunus/Prunus_persica/p.persica_gdr_reftransV1_0047669","p.persica_gdr_reftransV1_0047669")</f>
        <v>p.persica_gdr_reftransV1_0047669</v>
      </c>
      <c r="B20562" s="2">
        <v>370</v>
      </c>
      <c r="C20562" s="4" t="str">
        <f>HYPERLINK("http://www.uniprot.org/uniprot/M5WZC4","M5WZC4")</f>
        <v>M5WZC4</v>
      </c>
      <c r="D20562" s="2" t="s">
        <v>6769</v>
      </c>
      <c r="E20562" s="3">
        <v>1.77E-53</v>
      </c>
      <c r="F20562" s="2">
        <v>478</v>
      </c>
      <c r="G20562" s="2">
        <v>80</v>
      </c>
      <c r="H20562" s="2">
        <v>122</v>
      </c>
      <c r="I20562" s="2">
        <v>3</v>
      </c>
      <c r="J20562" s="2">
        <v>368</v>
      </c>
      <c r="K20562" s="2">
        <v>49</v>
      </c>
      <c r="L20562" s="2">
        <v>145</v>
      </c>
    </row>
    <row r="20563" spans="1:12" x14ac:dyDescent="0.25">
      <c r="A20563" s="4" t="str">
        <f>HYPERLINK("http://www.rosaceae.org/Prunus/Prunus_persica/p.persica_gdr_reftransV1_0048019","p.persica_gdr_reftransV1_0048019")</f>
        <v>p.persica_gdr_reftransV1_0048019</v>
      </c>
      <c r="B20563" s="2">
        <v>5369</v>
      </c>
      <c r="C20563" s="4" t="str">
        <f>HYPERLINK("http://www.uniprot.org/uniprot/G8A2A1","G8A2A1")</f>
        <v>G8A2A1</v>
      </c>
      <c r="D20563" s="2" t="s">
        <v>14100</v>
      </c>
      <c r="E20563" s="3">
        <v>5.1300000000000003E-166</v>
      </c>
      <c r="F20563" s="2">
        <v>814</v>
      </c>
      <c r="G20563" s="2">
        <v>74</v>
      </c>
      <c r="H20563" s="2">
        <v>223</v>
      </c>
      <c r="I20563" s="2">
        <v>2843</v>
      </c>
      <c r="J20563" s="2">
        <v>3511</v>
      </c>
      <c r="K20563" s="2">
        <v>90</v>
      </c>
      <c r="L20563" s="2">
        <v>277</v>
      </c>
    </row>
    <row r="20564" spans="1:12" x14ac:dyDescent="0.25">
      <c r="A20564" s="4" t="str">
        <f>HYPERLINK("http://www.rosaceae.org/Prunus/Prunus_persica/p.persica_gdr_reftransV1_0049069","p.persica_gdr_reftransV1_0049069")</f>
        <v>p.persica_gdr_reftransV1_0049069</v>
      </c>
      <c r="B20564" s="2">
        <v>1609</v>
      </c>
      <c r="C20564" s="4" t="str">
        <f>HYPERLINK("http://www.uniprot.org/uniprot/M5XKP5","M5XKP5")</f>
        <v>M5XKP5</v>
      </c>
      <c r="D20564" s="2" t="s">
        <v>1876</v>
      </c>
      <c r="E20564" s="3">
        <v>0</v>
      </c>
      <c r="F20564" s="2">
        <v>2364</v>
      </c>
      <c r="G20564" s="2">
        <v>100</v>
      </c>
      <c r="H20564" s="2">
        <v>446</v>
      </c>
      <c r="I20564" s="2">
        <v>3</v>
      </c>
      <c r="J20564" s="2">
        <v>1340</v>
      </c>
      <c r="K20564" s="2">
        <v>386</v>
      </c>
      <c r="L20564" s="2">
        <v>831</v>
      </c>
    </row>
    <row r="20565" spans="1:12" x14ac:dyDescent="0.25">
      <c r="A20565" s="4" t="str">
        <f>HYPERLINK("http://www.rosaceae.org/Prunus/Prunus_persica/p.persica_gdr_reftransV1_0000070","p.persica_gdr_reftransV1_0000070")</f>
        <v>p.persica_gdr_reftransV1_0000070</v>
      </c>
      <c r="B20565" s="2">
        <v>2040</v>
      </c>
      <c r="C20565" s="4" t="str">
        <f>HYPERLINK("http://www.uniprot.org/uniprot/M5VY86","M5VY86")</f>
        <v>M5VY86</v>
      </c>
      <c r="D20565" s="2" t="s">
        <v>6421</v>
      </c>
      <c r="E20565" s="3">
        <v>0</v>
      </c>
      <c r="F20565" s="2">
        <v>2251</v>
      </c>
      <c r="G20565" s="2">
        <v>100</v>
      </c>
      <c r="H20565" s="2">
        <v>448</v>
      </c>
      <c r="I20565" s="2">
        <v>499</v>
      </c>
      <c r="J20565" s="2">
        <v>1842</v>
      </c>
      <c r="K20565" s="2">
        <v>1</v>
      </c>
      <c r="L20565" s="2">
        <v>448</v>
      </c>
    </row>
    <row r="20566" spans="1:12" x14ac:dyDescent="0.25">
      <c r="A20566" s="4" t="str">
        <f>HYPERLINK("http://www.rosaceae.org/Prunus/Prunus_persica/p.persica_gdr_reftransV1_0000420","p.persica_gdr_reftransV1_0000420")</f>
        <v>p.persica_gdr_reftransV1_0000420</v>
      </c>
      <c r="B20566" s="2">
        <v>738</v>
      </c>
      <c r="C20566" s="4" t="str">
        <f>HYPERLINK("http://www.uniprot.org/uniprot/M5XW09","M5XW09")</f>
        <v>M5XW09</v>
      </c>
      <c r="D20566" s="2" t="s">
        <v>1509</v>
      </c>
      <c r="E20566" s="3">
        <v>6.4399999999999997E-15</v>
      </c>
      <c r="F20566" s="2">
        <v>203</v>
      </c>
      <c r="G20566" s="2">
        <v>100</v>
      </c>
      <c r="H20566" s="2">
        <v>41</v>
      </c>
      <c r="I20566" s="2">
        <v>532</v>
      </c>
      <c r="J20566" s="2">
        <v>654</v>
      </c>
      <c r="K20566" s="2">
        <v>405</v>
      </c>
      <c r="L20566" s="2">
        <v>445</v>
      </c>
    </row>
    <row r="20567" spans="1:12" x14ac:dyDescent="0.25">
      <c r="A20567" s="4" t="str">
        <f>HYPERLINK("http://www.rosaceae.org/Prunus/Prunus_persica/p.persica_gdr_reftransV1_0000770","p.persica_gdr_reftransV1_0000770")</f>
        <v>p.persica_gdr_reftransV1_0000770</v>
      </c>
      <c r="B20567" s="2">
        <v>1619</v>
      </c>
      <c r="C20567" s="4" t="str">
        <f>HYPERLINK("http://www.uniprot.org/uniprot/M5Y9Z3","M5Y9Z3")</f>
        <v>M5Y9Z3</v>
      </c>
      <c r="D20567" s="2" t="s">
        <v>11236</v>
      </c>
      <c r="E20567" s="3">
        <v>0</v>
      </c>
      <c r="F20567" s="2">
        <v>1836</v>
      </c>
      <c r="G20567" s="2">
        <v>100</v>
      </c>
      <c r="H20567" s="2">
        <v>400</v>
      </c>
      <c r="I20567" s="2">
        <v>145</v>
      </c>
      <c r="J20567" s="2">
        <v>1344</v>
      </c>
      <c r="K20567" s="2">
        <v>1</v>
      </c>
      <c r="L20567" s="2">
        <v>400</v>
      </c>
    </row>
    <row r="20568" spans="1:12" x14ac:dyDescent="0.25">
      <c r="A20568" s="4" t="str">
        <f>HYPERLINK("http://www.rosaceae.org/Prunus/Prunus_persica/p.persica_gdr_reftransV1_0001820","p.persica_gdr_reftransV1_0001820")</f>
        <v>p.persica_gdr_reftransV1_0001820</v>
      </c>
      <c r="B20568" s="2">
        <v>3439</v>
      </c>
      <c r="C20568" s="4" t="str">
        <f>HYPERLINK("http://www.uniprot.org/uniprot/M5XCG0","M5XCG0")</f>
        <v>M5XCG0</v>
      </c>
      <c r="D20568" s="2" t="s">
        <v>6065</v>
      </c>
      <c r="E20568" s="3">
        <v>0</v>
      </c>
      <c r="F20568" s="2">
        <v>4218</v>
      </c>
      <c r="G20568" s="2">
        <v>100</v>
      </c>
      <c r="H20568" s="2">
        <v>830</v>
      </c>
      <c r="I20568" s="2">
        <v>706</v>
      </c>
      <c r="J20568" s="2">
        <v>3195</v>
      </c>
      <c r="K20568" s="2">
        <v>1263</v>
      </c>
      <c r="L20568" s="2">
        <v>2092</v>
      </c>
    </row>
    <row r="20569" spans="1:12" x14ac:dyDescent="0.25">
      <c r="A20569" s="4" t="str">
        <f>HYPERLINK("http://www.rosaceae.org/Prunus/Prunus_persica/p.persica_gdr_reftransV1_0003220","p.persica_gdr_reftransV1_0003220")</f>
        <v>p.persica_gdr_reftransV1_0003220</v>
      </c>
      <c r="B20569" s="2">
        <v>2607</v>
      </c>
      <c r="C20569" s="4" t="str">
        <f>HYPERLINK("http://www.uniprot.org/uniprot/M5W250","M5W250")</f>
        <v>M5W250</v>
      </c>
      <c r="D20569" s="2" t="s">
        <v>15509</v>
      </c>
      <c r="E20569" s="3">
        <v>0</v>
      </c>
      <c r="F20569" s="2">
        <v>1662</v>
      </c>
      <c r="G20569" s="2">
        <v>100</v>
      </c>
      <c r="H20569" s="2">
        <v>308</v>
      </c>
      <c r="I20569" s="2">
        <v>1189</v>
      </c>
      <c r="J20569" s="2">
        <v>2112</v>
      </c>
      <c r="K20569" s="2">
        <v>1</v>
      </c>
      <c r="L20569" s="2">
        <v>308</v>
      </c>
    </row>
    <row r="20570" spans="1:12" x14ac:dyDescent="0.25">
      <c r="A20570" s="4" t="str">
        <f>HYPERLINK("http://www.rosaceae.org/Prunus/Prunus_persica/p.persica_gdr_reftransV1_0003920","p.persica_gdr_reftransV1_0003920")</f>
        <v>p.persica_gdr_reftransV1_0003920</v>
      </c>
      <c r="B20570" s="2">
        <v>1748</v>
      </c>
      <c r="C20570" s="4" t="str">
        <f>HYPERLINK("http://www.uniprot.org/uniprot/M5WZG4","M5WZG4")</f>
        <v>M5WZG4</v>
      </c>
      <c r="D20570" s="2" t="s">
        <v>15510</v>
      </c>
      <c r="E20570" s="3">
        <v>0</v>
      </c>
      <c r="F20570" s="2">
        <v>1884</v>
      </c>
      <c r="G20570" s="2">
        <v>97</v>
      </c>
      <c r="H20570" s="2">
        <v>463</v>
      </c>
      <c r="I20570" s="2">
        <v>116</v>
      </c>
      <c r="J20570" s="2">
        <v>1504</v>
      </c>
      <c r="K20570" s="2">
        <v>1</v>
      </c>
      <c r="L20570" s="2">
        <v>448</v>
      </c>
    </row>
    <row r="20571" spans="1:12" x14ac:dyDescent="0.25">
      <c r="A20571" s="4" t="str">
        <f>HYPERLINK("http://www.rosaceae.org/Prunus/Prunus_persica/p.persica_gdr_reftransV1_0004620","p.persica_gdr_reftransV1_0004620")</f>
        <v>p.persica_gdr_reftransV1_0004620</v>
      </c>
      <c r="B20571" s="2">
        <v>913</v>
      </c>
      <c r="C20571" s="4" t="str">
        <f>HYPERLINK("http://www.uniprot.org/uniprot/M5WT70","M5WT70")</f>
        <v>M5WT70</v>
      </c>
      <c r="D20571" s="2" t="s">
        <v>8280</v>
      </c>
      <c r="E20571" s="3">
        <v>3.05E-180</v>
      </c>
      <c r="F20571" s="2">
        <v>1321</v>
      </c>
      <c r="G20571" s="2">
        <v>100</v>
      </c>
      <c r="H20571" s="2">
        <v>249</v>
      </c>
      <c r="I20571" s="2">
        <v>3</v>
      </c>
      <c r="J20571" s="2">
        <v>749</v>
      </c>
      <c r="K20571" s="2">
        <v>1</v>
      </c>
      <c r="L20571" s="2">
        <v>249</v>
      </c>
    </row>
    <row r="20572" spans="1:12" x14ac:dyDescent="0.25">
      <c r="A20572" s="4" t="str">
        <f>HYPERLINK("http://www.rosaceae.org/Prunus/Prunus_persica/p.persica_gdr_reftransV1_0004970","p.persica_gdr_reftransV1_0004970")</f>
        <v>p.persica_gdr_reftransV1_0004970</v>
      </c>
      <c r="B20572" s="2">
        <v>1574</v>
      </c>
      <c r="C20572" s="4" t="str">
        <f>HYPERLINK("http://www.uniprot.org/uniprot/M5VP21","M5VP21")</f>
        <v>M5VP21</v>
      </c>
      <c r="D20572" s="2" t="s">
        <v>15511</v>
      </c>
      <c r="E20572" s="3">
        <v>0</v>
      </c>
      <c r="F20572" s="2">
        <v>2094</v>
      </c>
      <c r="G20572" s="2">
        <v>100</v>
      </c>
      <c r="H20572" s="2">
        <v>397</v>
      </c>
      <c r="I20572" s="2">
        <v>95</v>
      </c>
      <c r="J20572" s="2">
        <v>1285</v>
      </c>
      <c r="K20572" s="2">
        <v>1</v>
      </c>
      <c r="L20572" s="2">
        <v>397</v>
      </c>
    </row>
    <row r="20573" spans="1:12" x14ac:dyDescent="0.25">
      <c r="A20573" s="4" t="str">
        <f>HYPERLINK("http://www.rosaceae.org/Prunus/Prunus_persica/p.persica_gdr_reftransV1_0005320","p.persica_gdr_reftransV1_0005320")</f>
        <v>p.persica_gdr_reftransV1_0005320</v>
      </c>
      <c r="B20573" s="2">
        <v>334</v>
      </c>
      <c r="C20573" s="4" t="str">
        <f>HYPERLINK("http://www.uniprot.org/uniprot/M5W3J3","M5W3J3")</f>
        <v>M5W3J3</v>
      </c>
      <c r="D20573" s="2" t="s">
        <v>1761</v>
      </c>
      <c r="E20573" s="3">
        <v>3.2900000000000001E-50</v>
      </c>
      <c r="F20573" s="2">
        <v>461</v>
      </c>
      <c r="G20573" s="2">
        <v>86</v>
      </c>
      <c r="H20573" s="2">
        <v>105</v>
      </c>
      <c r="I20573" s="2">
        <v>18</v>
      </c>
      <c r="J20573" s="2">
        <v>332</v>
      </c>
      <c r="K20573" s="2">
        <v>155</v>
      </c>
      <c r="L20573" s="2">
        <v>259</v>
      </c>
    </row>
    <row r="20574" spans="1:12" x14ac:dyDescent="0.25">
      <c r="A20574" s="4" t="str">
        <f>HYPERLINK("http://www.rosaceae.org/Prunus/Prunus_persica/p.persica_gdr_reftransV1_0005670","p.persica_gdr_reftransV1_0005670")</f>
        <v>p.persica_gdr_reftransV1_0005670</v>
      </c>
      <c r="B20574" s="2">
        <v>1109</v>
      </c>
      <c r="C20574" s="4" t="str">
        <f>HYPERLINK("http://www.uniprot.org/uniprot/A0A059CRG1","A0A059CRG1")</f>
        <v>A0A059CRG1</v>
      </c>
      <c r="D20574" s="2" t="s">
        <v>15512</v>
      </c>
      <c r="E20574" s="3">
        <v>1.5100000000000001E-19</v>
      </c>
      <c r="F20574" s="2">
        <v>248</v>
      </c>
      <c r="G20574" s="2">
        <v>48</v>
      </c>
      <c r="H20574" s="2">
        <v>107</v>
      </c>
      <c r="I20574" s="2">
        <v>429</v>
      </c>
      <c r="J20574" s="2">
        <v>749</v>
      </c>
      <c r="K20574" s="2">
        <v>727</v>
      </c>
      <c r="L20574" s="2">
        <v>833</v>
      </c>
    </row>
    <row r="20575" spans="1:12" x14ac:dyDescent="0.25">
      <c r="A20575" s="4" t="str">
        <f>HYPERLINK("http://www.rosaceae.org/Prunus/Prunus_persica/p.persica_gdr_reftransV1_0006370","p.persica_gdr_reftransV1_0006370")</f>
        <v>p.persica_gdr_reftransV1_0006370</v>
      </c>
      <c r="B20575" s="2">
        <v>367</v>
      </c>
      <c r="C20575" s="4" t="str">
        <f>HYPERLINK("http://www.uniprot.org/uniprot/M5X8L2","M5X8L2")</f>
        <v>M5X8L2</v>
      </c>
      <c r="D20575" s="2" t="s">
        <v>2007</v>
      </c>
      <c r="E20575" s="3">
        <v>1.16E-57</v>
      </c>
      <c r="F20575" s="2">
        <v>503</v>
      </c>
      <c r="G20575" s="2">
        <v>100</v>
      </c>
      <c r="H20575" s="2">
        <v>111</v>
      </c>
      <c r="I20575" s="2">
        <v>2</v>
      </c>
      <c r="J20575" s="2">
        <v>334</v>
      </c>
      <c r="K20575" s="2">
        <v>1</v>
      </c>
      <c r="L20575" s="2">
        <v>111</v>
      </c>
    </row>
    <row r="20576" spans="1:12" x14ac:dyDescent="0.25">
      <c r="A20576" s="4" t="str">
        <f>HYPERLINK("http://www.rosaceae.org/Prunus/Prunus_persica/p.persica_gdr_reftransV1_0006720","p.persica_gdr_reftransV1_0006720")</f>
        <v>p.persica_gdr_reftransV1_0006720</v>
      </c>
      <c r="B20576" s="2">
        <v>443</v>
      </c>
      <c r="C20576" s="4" t="str">
        <f>HYPERLINK("http://www.uniprot.org/uniprot/M5XD46","M5XD46")</f>
        <v>M5XD46</v>
      </c>
      <c r="D20576" s="2" t="s">
        <v>2201</v>
      </c>
      <c r="E20576" s="3">
        <v>5.5299999999999997E-72</v>
      </c>
      <c r="F20576" s="2">
        <v>598</v>
      </c>
      <c r="G20576" s="2">
        <v>100</v>
      </c>
      <c r="H20576" s="2">
        <v>130</v>
      </c>
      <c r="I20576" s="2">
        <v>53</v>
      </c>
      <c r="J20576" s="2">
        <v>442</v>
      </c>
      <c r="K20576" s="2">
        <v>1</v>
      </c>
      <c r="L20576" s="2">
        <v>130</v>
      </c>
    </row>
    <row r="20577" spans="1:12" x14ac:dyDescent="0.25">
      <c r="A20577" s="4" t="str">
        <f>HYPERLINK("http://www.rosaceae.org/Prunus/Prunus_persica/p.persica_gdr_reftransV1_0007070","p.persica_gdr_reftransV1_0007070")</f>
        <v>p.persica_gdr_reftransV1_0007070</v>
      </c>
      <c r="B20577" s="2">
        <v>682</v>
      </c>
      <c r="C20577" s="4" t="str">
        <f>HYPERLINK("http://www.uniprot.org/uniprot/M5VP47","M5VP47")</f>
        <v>M5VP47</v>
      </c>
      <c r="D20577" s="2" t="s">
        <v>9463</v>
      </c>
      <c r="E20577" s="3">
        <v>3.9800000000000002E-75</v>
      </c>
      <c r="F20577" s="2">
        <v>597</v>
      </c>
      <c r="G20577" s="2">
        <v>94</v>
      </c>
      <c r="H20577" s="2">
        <v>121</v>
      </c>
      <c r="I20577" s="2">
        <v>92</v>
      </c>
      <c r="J20577" s="2">
        <v>454</v>
      </c>
      <c r="K20577" s="2">
        <v>1</v>
      </c>
      <c r="L20577" s="2">
        <v>115</v>
      </c>
    </row>
    <row r="20578" spans="1:12" x14ac:dyDescent="0.25">
      <c r="A20578" s="4" t="str">
        <f>HYPERLINK("http://www.rosaceae.org/Prunus/Prunus_persica/p.persica_gdr_reftransV1_0007420","p.persica_gdr_reftransV1_0007420")</f>
        <v>p.persica_gdr_reftransV1_0007420</v>
      </c>
      <c r="B20578" s="2">
        <v>984</v>
      </c>
      <c r="C20578" s="4" t="str">
        <f>HYPERLINK("http://www.uniprot.org/uniprot/A0A0F6PYW0","A0A0F6PYW0")</f>
        <v>A0A0F6PYW0</v>
      </c>
      <c r="D20578" s="2" t="s">
        <v>15513</v>
      </c>
      <c r="E20578" s="3">
        <v>5.4600000000000001E-86</v>
      </c>
      <c r="F20578" s="2">
        <v>712</v>
      </c>
      <c r="G20578" s="2">
        <v>100</v>
      </c>
      <c r="H20578" s="2">
        <v>137</v>
      </c>
      <c r="I20578" s="2">
        <v>2</v>
      </c>
      <c r="J20578" s="2">
        <v>412</v>
      </c>
      <c r="K20578" s="2">
        <v>1</v>
      </c>
      <c r="L20578" s="2">
        <v>137</v>
      </c>
    </row>
    <row r="20579" spans="1:12" x14ac:dyDescent="0.25">
      <c r="A20579" s="4" t="str">
        <f>HYPERLINK("http://www.rosaceae.org/Prunus/Prunus_persica/p.persica_gdr_reftransV1_0007770","p.persica_gdr_reftransV1_0007770")</f>
        <v>p.persica_gdr_reftransV1_0007770</v>
      </c>
      <c r="B20579" s="2">
        <v>823</v>
      </c>
      <c r="C20579" s="4" t="str">
        <f>HYPERLINK("http://www.uniprot.org/uniprot/A0A061FF70","A0A061FF70")</f>
        <v>A0A061FF70</v>
      </c>
      <c r="D20579" s="2" t="s">
        <v>15514</v>
      </c>
      <c r="E20579" s="3">
        <v>9.8199999999999997E-63</v>
      </c>
      <c r="F20579" s="2">
        <v>538</v>
      </c>
      <c r="G20579" s="2">
        <v>66</v>
      </c>
      <c r="H20579" s="2">
        <v>216</v>
      </c>
      <c r="I20579" s="2">
        <v>174</v>
      </c>
      <c r="J20579" s="2">
        <v>821</v>
      </c>
      <c r="K20579" s="2">
        <v>16</v>
      </c>
      <c r="L20579" s="2">
        <v>208</v>
      </c>
    </row>
    <row r="20580" spans="1:12" x14ac:dyDescent="0.25">
      <c r="A20580" s="4" t="str">
        <f>HYPERLINK("http://www.rosaceae.org/Prunus/Prunus_persica/p.persica_gdr_reftransV1_0008120","p.persica_gdr_reftransV1_0008120")</f>
        <v>p.persica_gdr_reftransV1_0008120</v>
      </c>
      <c r="B20580" s="2">
        <v>3701</v>
      </c>
      <c r="C20580" s="4" t="str">
        <f>HYPERLINK("http://www.uniprot.org/uniprot/B9H3I2","B9H3I2")</f>
        <v>B9H3I2</v>
      </c>
      <c r="D20580" s="2" t="s">
        <v>15515</v>
      </c>
      <c r="E20580" s="3">
        <v>0</v>
      </c>
      <c r="F20580" s="2">
        <v>2533</v>
      </c>
      <c r="G20580" s="2">
        <v>81</v>
      </c>
      <c r="H20580" s="2">
        <v>629</v>
      </c>
      <c r="I20580" s="2">
        <v>914</v>
      </c>
      <c r="J20580" s="2">
        <v>2776</v>
      </c>
      <c r="K20580" s="2">
        <v>97</v>
      </c>
      <c r="L20580" s="2">
        <v>723</v>
      </c>
    </row>
    <row r="20581" spans="1:12" x14ac:dyDescent="0.25">
      <c r="A20581" s="4" t="str">
        <f>HYPERLINK("http://www.rosaceae.org/Prunus/Prunus_persica/p.persica_gdr_reftransV1_0009520","p.persica_gdr_reftransV1_0009520")</f>
        <v>p.persica_gdr_reftransV1_0009520</v>
      </c>
      <c r="B20581" s="2">
        <v>865</v>
      </c>
      <c r="C20581" s="4" t="str">
        <f>HYPERLINK("http://www.uniprot.org/uniprot/B9RC45","B9RC45")</f>
        <v>B9RC45</v>
      </c>
      <c r="D20581" s="2" t="s">
        <v>15516</v>
      </c>
      <c r="E20581" s="3">
        <v>2.9899999999999999E-72</v>
      </c>
      <c r="F20581" s="2">
        <v>588</v>
      </c>
      <c r="G20581" s="2">
        <v>98</v>
      </c>
      <c r="H20581" s="2">
        <v>113</v>
      </c>
      <c r="I20581" s="2">
        <v>56</v>
      </c>
      <c r="J20581" s="2">
        <v>394</v>
      </c>
      <c r="K20581" s="2">
        <v>1</v>
      </c>
      <c r="L20581" s="2">
        <v>113</v>
      </c>
    </row>
    <row r="20582" spans="1:12" x14ac:dyDescent="0.25">
      <c r="A20582" s="4" t="str">
        <f>HYPERLINK("http://www.rosaceae.org/Prunus/Prunus_persica/p.persica_gdr_reftransV1_0010570","p.persica_gdr_reftransV1_0010570")</f>
        <v>p.persica_gdr_reftransV1_0010570</v>
      </c>
      <c r="B20582" s="2">
        <v>999</v>
      </c>
      <c r="C20582" s="4" t="str">
        <f>HYPERLINK("http://www.uniprot.org/uniprot/M5WL77","M5WL77")</f>
        <v>M5WL77</v>
      </c>
      <c r="D20582" s="2" t="s">
        <v>208</v>
      </c>
      <c r="E20582" s="3">
        <v>2.6799999999999998E-68</v>
      </c>
      <c r="F20582" s="2">
        <v>599</v>
      </c>
      <c r="G20582" s="2">
        <v>100</v>
      </c>
      <c r="H20582" s="2">
        <v>113</v>
      </c>
      <c r="I20582" s="2">
        <v>2</v>
      </c>
      <c r="J20582" s="2">
        <v>340</v>
      </c>
      <c r="K20582" s="2">
        <v>476</v>
      </c>
      <c r="L20582" s="2">
        <v>588</v>
      </c>
    </row>
    <row r="20583" spans="1:12" x14ac:dyDescent="0.25">
      <c r="A20583" s="4" t="str">
        <f>HYPERLINK("http://www.rosaceae.org/Prunus/Prunus_persica/p.persica_gdr_reftransV1_0011970","p.persica_gdr_reftransV1_0011970")</f>
        <v>p.persica_gdr_reftransV1_0011970</v>
      </c>
      <c r="B20583" s="2">
        <v>782</v>
      </c>
      <c r="C20583" s="4" t="str">
        <f>HYPERLINK("http://www.uniprot.org/uniprot/M5XQZ2","M5XQZ2")</f>
        <v>M5XQZ2</v>
      </c>
      <c r="D20583" s="2" t="s">
        <v>2883</v>
      </c>
      <c r="E20583" s="3">
        <v>2.1699999999999999E-59</v>
      </c>
      <c r="F20583" s="2">
        <v>538</v>
      </c>
      <c r="G20583" s="2">
        <v>100</v>
      </c>
      <c r="H20583" s="2">
        <v>110</v>
      </c>
      <c r="I20583" s="2">
        <v>52</v>
      </c>
      <c r="J20583" s="2">
        <v>381</v>
      </c>
      <c r="K20583" s="2">
        <v>677</v>
      </c>
      <c r="L20583" s="2">
        <v>786</v>
      </c>
    </row>
    <row r="20584" spans="1:12" x14ac:dyDescent="0.25">
      <c r="A20584" s="4" t="str">
        <f>HYPERLINK("http://www.rosaceae.org/Prunus/Prunus_persica/p.persica_gdr_reftransV1_0012320","p.persica_gdr_reftransV1_0012320")</f>
        <v>p.persica_gdr_reftransV1_0012320</v>
      </c>
      <c r="B20584" s="2">
        <v>2594</v>
      </c>
      <c r="C20584" s="4" t="str">
        <f>HYPERLINK("http://www.uniprot.org/uniprot/M5WT77","M5WT77")</f>
        <v>M5WT77</v>
      </c>
      <c r="D20584" s="2" t="s">
        <v>12091</v>
      </c>
      <c r="E20584" s="3">
        <v>0</v>
      </c>
      <c r="F20584" s="2">
        <v>3073</v>
      </c>
      <c r="G20584" s="2">
        <v>100</v>
      </c>
      <c r="H20584" s="2">
        <v>612</v>
      </c>
      <c r="I20584" s="2">
        <v>388</v>
      </c>
      <c r="J20584" s="2">
        <v>2223</v>
      </c>
      <c r="K20584" s="2">
        <v>135</v>
      </c>
      <c r="L20584" s="2">
        <v>746</v>
      </c>
    </row>
    <row r="20585" spans="1:12" x14ac:dyDescent="0.25">
      <c r="A20585" s="4" t="str">
        <f>HYPERLINK("http://www.rosaceae.org/Prunus/Prunus_persica/p.persica_gdr_reftransV1_0013720","p.persica_gdr_reftransV1_0013720")</f>
        <v>p.persica_gdr_reftransV1_0013720</v>
      </c>
      <c r="B20585" s="2">
        <v>1550</v>
      </c>
      <c r="C20585" s="4" t="str">
        <f>HYPERLINK("http://www.uniprot.org/uniprot/M5XK14","M5XK14")</f>
        <v>M5XK14</v>
      </c>
      <c r="D20585" s="2" t="s">
        <v>15517</v>
      </c>
      <c r="E20585" s="3">
        <v>0</v>
      </c>
      <c r="F20585" s="2">
        <v>1486</v>
      </c>
      <c r="G20585" s="2">
        <v>100</v>
      </c>
      <c r="H20585" s="2">
        <v>348</v>
      </c>
      <c r="I20585" s="2">
        <v>364</v>
      </c>
      <c r="J20585" s="2">
        <v>1407</v>
      </c>
      <c r="K20585" s="2">
        <v>15</v>
      </c>
      <c r="L20585" s="2">
        <v>362</v>
      </c>
    </row>
    <row r="20586" spans="1:12" x14ac:dyDescent="0.25">
      <c r="A20586" s="4" t="str">
        <f>HYPERLINK("http://www.rosaceae.org/Prunus/Prunus_persica/p.persica_gdr_reftransV1_0017220","p.persica_gdr_reftransV1_0017220")</f>
        <v>p.persica_gdr_reftransV1_0017220</v>
      </c>
      <c r="B20586" s="2">
        <v>2460</v>
      </c>
      <c r="C20586" s="4" t="str">
        <f>HYPERLINK("http://www.uniprot.org/uniprot/M5XS35","M5XS35")</f>
        <v>M5XS35</v>
      </c>
      <c r="D20586" s="2" t="s">
        <v>6847</v>
      </c>
      <c r="E20586" s="3">
        <v>2.52E-160</v>
      </c>
      <c r="F20586" s="2">
        <v>1271</v>
      </c>
      <c r="G20586" s="2">
        <v>89</v>
      </c>
      <c r="H20586" s="2">
        <v>391</v>
      </c>
      <c r="I20586" s="2">
        <v>235</v>
      </c>
      <c r="J20586" s="2">
        <v>1407</v>
      </c>
      <c r="K20586" s="2">
        <v>292</v>
      </c>
      <c r="L20586" s="2">
        <v>660</v>
      </c>
    </row>
    <row r="20587" spans="1:12" x14ac:dyDescent="0.25">
      <c r="A20587" s="4" t="str">
        <f>HYPERLINK("http://www.rosaceae.org/Prunus/Prunus_persica/p.persica_gdr_reftransV1_0018620","p.persica_gdr_reftransV1_0018620")</f>
        <v>p.persica_gdr_reftransV1_0018620</v>
      </c>
      <c r="B20587" s="2">
        <v>3919</v>
      </c>
      <c r="C20587" s="4" t="str">
        <f>HYPERLINK("http://www.uniprot.org/uniprot/M5XMC8","M5XMC8")</f>
        <v>M5XMC8</v>
      </c>
      <c r="D20587" s="2" t="s">
        <v>15518</v>
      </c>
      <c r="E20587" s="3">
        <v>0</v>
      </c>
      <c r="F20587" s="2">
        <v>4458</v>
      </c>
      <c r="G20587" s="2">
        <v>100</v>
      </c>
      <c r="H20587" s="2">
        <v>908</v>
      </c>
      <c r="I20587" s="2">
        <v>306</v>
      </c>
      <c r="J20587" s="2">
        <v>3029</v>
      </c>
      <c r="K20587" s="2">
        <v>1</v>
      </c>
      <c r="L20587" s="2">
        <v>908</v>
      </c>
    </row>
    <row r="20588" spans="1:12" x14ac:dyDescent="0.25">
      <c r="A20588" s="4" t="str">
        <f>HYPERLINK("http://www.rosaceae.org/Prunus/Prunus_persica/p.persica_gdr_reftransV1_0020020","p.persica_gdr_reftransV1_0020020")</f>
        <v>p.persica_gdr_reftransV1_0020020</v>
      </c>
      <c r="B20588" s="2">
        <v>1020</v>
      </c>
      <c r="C20588" s="4" t="str">
        <f>HYPERLINK("http://www.uniprot.org/uniprot/M5XNH7","M5XNH7")</f>
        <v>M5XNH7</v>
      </c>
      <c r="D20588" s="2" t="s">
        <v>15519</v>
      </c>
      <c r="E20588" s="3">
        <v>9.9699999999999996E-141</v>
      </c>
      <c r="F20588" s="2">
        <v>1050</v>
      </c>
      <c r="G20588" s="2">
        <v>100</v>
      </c>
      <c r="H20588" s="2">
        <v>196</v>
      </c>
      <c r="I20588" s="2">
        <v>228</v>
      </c>
      <c r="J20588" s="2">
        <v>815</v>
      </c>
      <c r="K20588" s="2">
        <v>5</v>
      </c>
      <c r="L20588" s="2">
        <v>200</v>
      </c>
    </row>
    <row r="20589" spans="1:12" x14ac:dyDescent="0.25">
      <c r="A20589" s="4" t="str">
        <f>HYPERLINK("http://www.rosaceae.org/Prunus/Prunus_persica/p.persica_gdr_reftransV1_0020370","p.persica_gdr_reftransV1_0020370")</f>
        <v>p.persica_gdr_reftransV1_0020370</v>
      </c>
      <c r="B20589" s="2">
        <v>1102</v>
      </c>
      <c r="C20589" s="4" t="str">
        <f>HYPERLINK("http://www.uniprot.org/uniprot/M5W8Z0","M5W8Z0")</f>
        <v>M5W8Z0</v>
      </c>
      <c r="D20589" s="2" t="s">
        <v>15520</v>
      </c>
      <c r="E20589" s="3">
        <v>0</v>
      </c>
      <c r="F20589" s="2">
        <v>1539</v>
      </c>
      <c r="G20589" s="2">
        <v>96</v>
      </c>
      <c r="H20589" s="2">
        <v>306</v>
      </c>
      <c r="I20589" s="2">
        <v>183</v>
      </c>
      <c r="J20589" s="2">
        <v>1100</v>
      </c>
      <c r="K20589" s="2">
        <v>289</v>
      </c>
      <c r="L20589" s="2">
        <v>591</v>
      </c>
    </row>
    <row r="20590" spans="1:12" x14ac:dyDescent="0.25">
      <c r="A20590" s="4" t="str">
        <f>HYPERLINK("http://www.rosaceae.org/Prunus/Prunus_persica/p.persica_gdr_reftransV1_0020720","p.persica_gdr_reftransV1_0020720")</f>
        <v>p.persica_gdr_reftransV1_0020720</v>
      </c>
      <c r="B20590" s="2">
        <v>1625</v>
      </c>
      <c r="C20590" s="4" t="str">
        <f>HYPERLINK("http://www.uniprot.org/uniprot/M5XE86","M5XE86")</f>
        <v>M5XE86</v>
      </c>
      <c r="D20590" s="2" t="s">
        <v>941</v>
      </c>
      <c r="E20590" s="3">
        <v>0</v>
      </c>
      <c r="F20590" s="2">
        <v>1944</v>
      </c>
      <c r="G20590" s="2">
        <v>100</v>
      </c>
      <c r="H20590" s="2">
        <v>377</v>
      </c>
      <c r="I20590" s="2">
        <v>440</v>
      </c>
      <c r="J20590" s="2">
        <v>1570</v>
      </c>
      <c r="K20590" s="2">
        <v>1</v>
      </c>
      <c r="L20590" s="2">
        <v>377</v>
      </c>
    </row>
    <row r="20591" spans="1:12" x14ac:dyDescent="0.25">
      <c r="A20591" s="4" t="str">
        <f>HYPERLINK("http://www.rosaceae.org/Prunus/Prunus_persica/p.persica_gdr_reftransV1_0021070","p.persica_gdr_reftransV1_0021070")</f>
        <v>p.persica_gdr_reftransV1_0021070</v>
      </c>
      <c r="B20591" s="2">
        <v>2761</v>
      </c>
      <c r="C20591" s="4" t="str">
        <f>HYPERLINK("http://www.uniprot.org/uniprot/M5XEJ7","M5XEJ7")</f>
        <v>M5XEJ7</v>
      </c>
      <c r="D20591" s="2" t="s">
        <v>15521</v>
      </c>
      <c r="E20591" s="3">
        <v>0</v>
      </c>
      <c r="F20591" s="2">
        <v>1646</v>
      </c>
      <c r="G20591" s="2">
        <v>91</v>
      </c>
      <c r="H20591" s="2">
        <v>399</v>
      </c>
      <c r="I20591" s="2">
        <v>1422</v>
      </c>
      <c r="J20591" s="2">
        <v>2618</v>
      </c>
      <c r="K20591" s="2">
        <v>1</v>
      </c>
      <c r="L20591" s="2">
        <v>380</v>
      </c>
    </row>
    <row r="20592" spans="1:12" x14ac:dyDescent="0.25">
      <c r="A20592" s="4" t="str">
        <f>HYPERLINK("http://www.rosaceae.org/Prunus/Prunus_persica/p.persica_gdr_reftransV1_0021420","p.persica_gdr_reftransV1_0021420")</f>
        <v>p.persica_gdr_reftransV1_0021420</v>
      </c>
      <c r="B20592" s="2">
        <v>1822</v>
      </c>
      <c r="C20592" s="4" t="str">
        <f>HYPERLINK("http://www.uniprot.org/uniprot/M5XNM1","M5XNM1")</f>
        <v>M5XNM1</v>
      </c>
      <c r="D20592" s="2" t="s">
        <v>15161</v>
      </c>
      <c r="E20592" s="3">
        <v>0</v>
      </c>
      <c r="F20592" s="2">
        <v>2595</v>
      </c>
      <c r="G20592" s="2">
        <v>100</v>
      </c>
      <c r="H20592" s="2">
        <v>496</v>
      </c>
      <c r="I20592" s="2">
        <v>335</v>
      </c>
      <c r="J20592" s="2">
        <v>1822</v>
      </c>
      <c r="K20592" s="2">
        <v>279</v>
      </c>
      <c r="L20592" s="2">
        <v>774</v>
      </c>
    </row>
    <row r="20593" spans="1:12" x14ac:dyDescent="0.25">
      <c r="A20593" s="4" t="str">
        <f>HYPERLINK("http://www.rosaceae.org/Prunus/Prunus_persica/p.persica_gdr_reftransV1_0022120","p.persica_gdr_reftransV1_0022120")</f>
        <v>p.persica_gdr_reftransV1_0022120</v>
      </c>
      <c r="B20593" s="2">
        <v>976</v>
      </c>
      <c r="C20593" s="4" t="str">
        <f>HYPERLINK("http://www.uniprot.org/uniprot/M5X3H4","M5X3H4")</f>
        <v>M5X3H4</v>
      </c>
      <c r="D20593" s="2" t="s">
        <v>15522</v>
      </c>
      <c r="E20593" s="3">
        <v>2.7500000000000002E-172</v>
      </c>
      <c r="F20593" s="2">
        <v>1262</v>
      </c>
      <c r="G20593" s="2">
        <v>100</v>
      </c>
      <c r="H20593" s="2">
        <v>252</v>
      </c>
      <c r="I20593" s="2">
        <v>163</v>
      </c>
      <c r="J20593" s="2">
        <v>918</v>
      </c>
      <c r="K20593" s="2">
        <v>1</v>
      </c>
      <c r="L20593" s="2">
        <v>252</v>
      </c>
    </row>
    <row r="20594" spans="1:12" x14ac:dyDescent="0.25">
      <c r="A20594" s="4" t="str">
        <f>HYPERLINK("http://www.rosaceae.org/Prunus/Prunus_persica/p.persica_gdr_reftransV1_0022470","p.persica_gdr_reftransV1_0022470")</f>
        <v>p.persica_gdr_reftransV1_0022470</v>
      </c>
      <c r="B20594" s="2">
        <v>4350</v>
      </c>
      <c r="C20594" s="4" t="str">
        <f>HYPERLINK("http://www.uniprot.org/uniprot/M5VVA4","M5VVA4")</f>
        <v>M5VVA4</v>
      </c>
      <c r="D20594" s="2" t="s">
        <v>15523</v>
      </c>
      <c r="E20594" s="3">
        <v>0</v>
      </c>
      <c r="F20594" s="2">
        <v>3754</v>
      </c>
      <c r="G20594" s="2">
        <v>93</v>
      </c>
      <c r="H20594" s="2">
        <v>921</v>
      </c>
      <c r="I20594" s="2">
        <v>724</v>
      </c>
      <c r="J20594" s="2">
        <v>3486</v>
      </c>
      <c r="K20594" s="2">
        <v>1</v>
      </c>
      <c r="L20594" s="2">
        <v>866</v>
      </c>
    </row>
    <row r="20595" spans="1:12" x14ac:dyDescent="0.25">
      <c r="A20595" s="4" t="str">
        <f>HYPERLINK("http://www.rosaceae.org/Prunus/Prunus_persica/p.persica_gdr_reftransV1_0022820","p.persica_gdr_reftransV1_0022820")</f>
        <v>p.persica_gdr_reftransV1_0022820</v>
      </c>
      <c r="B20595" s="2">
        <v>1619</v>
      </c>
      <c r="C20595" s="4" t="str">
        <f>HYPERLINK("http://www.uniprot.org/uniprot/A0A0A0KNM3","A0A0A0KNM3")</f>
        <v>A0A0A0KNM3</v>
      </c>
      <c r="D20595" s="2" t="s">
        <v>15524</v>
      </c>
      <c r="E20595" s="3">
        <v>0</v>
      </c>
      <c r="F20595" s="2">
        <v>1371</v>
      </c>
      <c r="G20595" s="2">
        <v>78</v>
      </c>
      <c r="H20595" s="2">
        <v>380</v>
      </c>
      <c r="I20595" s="2">
        <v>322</v>
      </c>
      <c r="J20595" s="2">
        <v>1410</v>
      </c>
      <c r="K20595" s="2">
        <v>66</v>
      </c>
      <c r="L20595" s="2">
        <v>439</v>
      </c>
    </row>
    <row r="20596" spans="1:12" x14ac:dyDescent="0.25">
      <c r="A20596" s="4" t="str">
        <f>HYPERLINK("http://www.rosaceae.org/Prunus/Prunus_persica/p.persica_gdr_reftransV1_0024570","p.persica_gdr_reftransV1_0024570")</f>
        <v>p.persica_gdr_reftransV1_0024570</v>
      </c>
      <c r="B20596" s="2">
        <v>2701</v>
      </c>
      <c r="C20596" s="4" t="str">
        <f>HYPERLINK("http://www.uniprot.org/uniprot/M5VKA1","M5VKA1")</f>
        <v>M5VKA1</v>
      </c>
      <c r="D20596" s="2" t="s">
        <v>5112</v>
      </c>
      <c r="E20596" s="3">
        <v>0</v>
      </c>
      <c r="F20596" s="2">
        <v>1504</v>
      </c>
      <c r="G20596" s="2">
        <v>100</v>
      </c>
      <c r="H20596" s="2">
        <v>300</v>
      </c>
      <c r="I20596" s="2">
        <v>1433</v>
      </c>
      <c r="J20596" s="2">
        <v>2332</v>
      </c>
      <c r="K20596" s="2">
        <v>43</v>
      </c>
      <c r="L20596" s="2">
        <v>342</v>
      </c>
    </row>
    <row r="20597" spans="1:12" x14ac:dyDescent="0.25">
      <c r="A20597" s="4" t="str">
        <f>HYPERLINK("http://www.rosaceae.org/Prunus/Prunus_persica/p.persica_gdr_reftransV1_0024920","p.persica_gdr_reftransV1_0024920")</f>
        <v>p.persica_gdr_reftransV1_0024920</v>
      </c>
      <c r="B20597" s="2">
        <v>1802</v>
      </c>
      <c r="C20597" s="4" t="str">
        <f>HYPERLINK("http://www.uniprot.org/uniprot/M5WA90","M5WA90")</f>
        <v>M5WA90</v>
      </c>
      <c r="D20597" s="2" t="s">
        <v>15525</v>
      </c>
      <c r="E20597" s="3">
        <v>9.3200000000000005E-160</v>
      </c>
      <c r="F20597" s="2">
        <v>788</v>
      </c>
      <c r="G20597" s="2">
        <v>99</v>
      </c>
      <c r="H20597" s="2">
        <v>153</v>
      </c>
      <c r="I20597" s="2">
        <v>304</v>
      </c>
      <c r="J20597" s="2">
        <v>762</v>
      </c>
      <c r="K20597" s="2">
        <v>132</v>
      </c>
      <c r="L20597" s="2">
        <v>284</v>
      </c>
    </row>
    <row r="20598" spans="1:12" x14ac:dyDescent="0.25">
      <c r="A20598" s="4" t="str">
        <f>HYPERLINK("http://www.rosaceae.org/Prunus/Prunus_persica/p.persica_gdr_reftransV1_0025270","p.persica_gdr_reftransV1_0025270")</f>
        <v>p.persica_gdr_reftransV1_0025270</v>
      </c>
      <c r="B20598" s="2">
        <v>2232</v>
      </c>
      <c r="C20598" s="4" t="str">
        <f>HYPERLINK("http://www.uniprot.org/uniprot/M5X2G1","M5X2G1")</f>
        <v>M5X2G1</v>
      </c>
      <c r="D20598" s="2" t="s">
        <v>4525</v>
      </c>
      <c r="E20598" s="3">
        <v>0</v>
      </c>
      <c r="F20598" s="2">
        <v>3870</v>
      </c>
      <c r="G20598" s="2">
        <v>100</v>
      </c>
      <c r="H20598" s="2">
        <v>743</v>
      </c>
      <c r="I20598" s="2">
        <v>3</v>
      </c>
      <c r="J20598" s="2">
        <v>2231</v>
      </c>
      <c r="K20598" s="2">
        <v>60</v>
      </c>
      <c r="L20598" s="2">
        <v>802</v>
      </c>
    </row>
    <row r="20599" spans="1:12" x14ac:dyDescent="0.25">
      <c r="A20599" s="4" t="str">
        <f>HYPERLINK("http://www.rosaceae.org/Prunus/Prunus_persica/p.persica_gdr_reftransV1_0028070","p.persica_gdr_reftransV1_0028070")</f>
        <v>p.persica_gdr_reftransV1_0028070</v>
      </c>
      <c r="B20599" s="2">
        <v>1335</v>
      </c>
      <c r="C20599" s="4" t="str">
        <f>HYPERLINK("http://www.uniprot.org/uniprot/C6SWJ6","C6SWJ6")</f>
        <v>C6SWJ6</v>
      </c>
      <c r="D20599" s="2" t="s">
        <v>3890</v>
      </c>
      <c r="E20599" s="3">
        <v>6.31E-40</v>
      </c>
      <c r="F20599" s="2">
        <v>381</v>
      </c>
      <c r="G20599" s="2">
        <v>79</v>
      </c>
      <c r="H20599" s="2">
        <v>86</v>
      </c>
      <c r="I20599" s="2">
        <v>956</v>
      </c>
      <c r="J20599" s="2">
        <v>1213</v>
      </c>
      <c r="K20599" s="2">
        <v>1</v>
      </c>
      <c r="L20599" s="2">
        <v>86</v>
      </c>
    </row>
    <row r="20600" spans="1:12" x14ac:dyDescent="0.25">
      <c r="A20600" s="4" t="str">
        <f>HYPERLINK("http://www.rosaceae.org/Prunus/Prunus_persica/p.persica_gdr_reftransV1_0029120","p.persica_gdr_reftransV1_0029120")</f>
        <v>p.persica_gdr_reftransV1_0029120</v>
      </c>
      <c r="B20600" s="2">
        <v>2603</v>
      </c>
      <c r="C20600" s="4" t="str">
        <f>HYPERLINK("http://www.uniprot.org/uniprot/M5VSQ6","M5VSQ6")</f>
        <v>M5VSQ6</v>
      </c>
      <c r="D20600" s="2" t="s">
        <v>15526</v>
      </c>
      <c r="E20600" s="3">
        <v>0</v>
      </c>
      <c r="F20600" s="2">
        <v>2060</v>
      </c>
      <c r="G20600" s="2">
        <v>100</v>
      </c>
      <c r="H20600" s="2">
        <v>413</v>
      </c>
      <c r="I20600" s="2">
        <v>236</v>
      </c>
      <c r="J20600" s="2">
        <v>1474</v>
      </c>
      <c r="K20600" s="2">
        <v>178</v>
      </c>
      <c r="L20600" s="2">
        <v>590</v>
      </c>
    </row>
    <row r="20601" spans="1:12" x14ac:dyDescent="0.25">
      <c r="A20601" s="4" t="str">
        <f>HYPERLINK("http://www.rosaceae.org/Prunus/Prunus_persica/p.persica_gdr_reftransV1_0031570","p.persica_gdr_reftransV1_0031570")</f>
        <v>p.persica_gdr_reftransV1_0031570</v>
      </c>
      <c r="B20601" s="2">
        <v>2888</v>
      </c>
      <c r="C20601" s="4" t="str">
        <f>HYPERLINK("http://www.uniprot.org/uniprot/M5WXL6","M5WXL6")</f>
        <v>M5WXL6</v>
      </c>
      <c r="D20601" s="2" t="s">
        <v>15527</v>
      </c>
      <c r="E20601" s="3">
        <v>0</v>
      </c>
      <c r="F20601" s="2">
        <v>4018</v>
      </c>
      <c r="G20601" s="2">
        <v>100</v>
      </c>
      <c r="H20601" s="2">
        <v>786</v>
      </c>
      <c r="I20601" s="2">
        <v>159</v>
      </c>
      <c r="J20601" s="2">
        <v>2516</v>
      </c>
      <c r="K20601" s="2">
        <v>15</v>
      </c>
      <c r="L20601" s="2">
        <v>800</v>
      </c>
    </row>
    <row r="20602" spans="1:12" x14ac:dyDescent="0.25">
      <c r="A20602" s="4" t="str">
        <f>HYPERLINK("http://www.rosaceae.org/Prunus/Prunus_persica/p.persica_gdr_reftransV1_0034020","p.persica_gdr_reftransV1_0034020")</f>
        <v>p.persica_gdr_reftransV1_0034020</v>
      </c>
      <c r="B20602" s="2">
        <v>2240</v>
      </c>
      <c r="C20602" s="4" t="str">
        <f>HYPERLINK("http://www.uniprot.org/uniprot/M5XBA8","M5XBA8")</f>
        <v>M5XBA8</v>
      </c>
      <c r="D20602" s="2" t="s">
        <v>15528</v>
      </c>
      <c r="E20602" s="3">
        <v>0</v>
      </c>
      <c r="F20602" s="2">
        <v>1381</v>
      </c>
      <c r="G20602" s="2">
        <v>100</v>
      </c>
      <c r="H20602" s="2">
        <v>265</v>
      </c>
      <c r="I20602" s="2">
        <v>734</v>
      </c>
      <c r="J20602" s="2">
        <v>1528</v>
      </c>
      <c r="K20602" s="2">
        <v>1</v>
      </c>
      <c r="L20602" s="2">
        <v>265</v>
      </c>
    </row>
    <row r="20603" spans="1:12" x14ac:dyDescent="0.25">
      <c r="A20603" s="4" t="str">
        <f>HYPERLINK("http://www.rosaceae.org/Prunus/Prunus_persica/p.persica_gdr_reftransV1_0037170","p.persica_gdr_reftransV1_0037170")</f>
        <v>p.persica_gdr_reftransV1_0037170</v>
      </c>
      <c r="B20603" s="2">
        <v>600</v>
      </c>
      <c r="C20603" s="4" t="str">
        <f>HYPERLINK("http://www.uniprot.org/uniprot/M5W4I0","M5W4I0")</f>
        <v>M5W4I0</v>
      </c>
      <c r="D20603" s="2" t="s">
        <v>15529</v>
      </c>
      <c r="E20603" s="3">
        <v>4.4999999999999996E-50</v>
      </c>
      <c r="F20603" s="2">
        <v>453</v>
      </c>
      <c r="G20603" s="2">
        <v>100</v>
      </c>
      <c r="H20603" s="2">
        <v>85</v>
      </c>
      <c r="I20603" s="2">
        <v>168</v>
      </c>
      <c r="J20603" s="2">
        <v>422</v>
      </c>
      <c r="K20603" s="2">
        <v>1</v>
      </c>
      <c r="L20603" s="2">
        <v>85</v>
      </c>
    </row>
    <row r="20604" spans="1:12" x14ac:dyDescent="0.25">
      <c r="A20604" s="4" t="str">
        <f>HYPERLINK("http://www.rosaceae.org/Prunus/Prunus_persica/p.persica_gdr_reftransV1_0037520","p.persica_gdr_reftransV1_0037520")</f>
        <v>p.persica_gdr_reftransV1_0037520</v>
      </c>
      <c r="B20604" s="2">
        <v>2338</v>
      </c>
      <c r="C20604" s="4" t="str">
        <f>HYPERLINK("http://www.uniprot.org/uniprot/M5WI69","M5WI69")</f>
        <v>M5WI69</v>
      </c>
      <c r="D20604" s="2" t="s">
        <v>11721</v>
      </c>
      <c r="E20604" s="3">
        <v>6.3199999999999997E-137</v>
      </c>
      <c r="F20604" s="2">
        <v>1087</v>
      </c>
      <c r="G20604" s="2">
        <v>100</v>
      </c>
      <c r="H20604" s="2">
        <v>204</v>
      </c>
      <c r="I20604" s="2">
        <v>124</v>
      </c>
      <c r="J20604" s="2">
        <v>735</v>
      </c>
      <c r="K20604" s="2">
        <v>203</v>
      </c>
      <c r="L20604" s="2">
        <v>406</v>
      </c>
    </row>
    <row r="20605" spans="1:12" x14ac:dyDescent="0.25">
      <c r="A20605" s="4" t="str">
        <f>HYPERLINK("http://www.rosaceae.org/Prunus/Prunus_persica/p.persica_gdr_reftransV1_0037870","p.persica_gdr_reftransV1_0037870")</f>
        <v>p.persica_gdr_reftransV1_0037870</v>
      </c>
      <c r="B20605" s="2">
        <v>1621</v>
      </c>
      <c r="C20605" s="4" t="str">
        <f>HYPERLINK("http://www.uniprot.org/uniprot/M5W3D0","M5W3D0")</f>
        <v>M5W3D0</v>
      </c>
      <c r="D20605" s="2" t="s">
        <v>15530</v>
      </c>
      <c r="E20605" s="3">
        <v>3.8099999999999998E-137</v>
      </c>
      <c r="F20605" s="2">
        <v>1048</v>
      </c>
      <c r="G20605" s="2">
        <v>100</v>
      </c>
      <c r="H20605" s="2">
        <v>211</v>
      </c>
      <c r="I20605" s="2">
        <v>178</v>
      </c>
      <c r="J20605" s="2">
        <v>810</v>
      </c>
      <c r="K20605" s="2">
        <v>1</v>
      </c>
      <c r="L20605" s="2">
        <v>211</v>
      </c>
    </row>
    <row r="20606" spans="1:12" x14ac:dyDescent="0.25">
      <c r="A20606" s="4" t="str">
        <f>HYPERLINK("http://www.rosaceae.org/Prunus/Prunus_persica/p.persica_gdr_reftransV1_0039270","p.persica_gdr_reftransV1_0039270")</f>
        <v>p.persica_gdr_reftransV1_0039270</v>
      </c>
      <c r="B20606" s="2">
        <v>1502</v>
      </c>
      <c r="C20606" s="4" t="str">
        <f>HYPERLINK("http://www.uniprot.org/uniprot/M5VRU6","M5VRU6")</f>
        <v>M5VRU6</v>
      </c>
      <c r="D20606" s="2" t="s">
        <v>15531</v>
      </c>
      <c r="E20606" s="3">
        <v>1.5499999999999999E-63</v>
      </c>
      <c r="F20606" s="2">
        <v>553</v>
      </c>
      <c r="G20606" s="2">
        <v>100</v>
      </c>
      <c r="H20606" s="2">
        <v>105</v>
      </c>
      <c r="I20606" s="2">
        <v>398</v>
      </c>
      <c r="J20606" s="2">
        <v>712</v>
      </c>
      <c r="K20606" s="2">
        <v>119</v>
      </c>
      <c r="L20606" s="2">
        <v>223</v>
      </c>
    </row>
    <row r="20607" spans="1:12" x14ac:dyDescent="0.25">
      <c r="A20607" s="4" t="str">
        <f>HYPERLINK("http://www.rosaceae.org/Prunus/Prunus_persica/p.persica_gdr_reftransV1_0043120","p.persica_gdr_reftransV1_0043120")</f>
        <v>p.persica_gdr_reftransV1_0043120</v>
      </c>
      <c r="B20607" s="2">
        <v>1404</v>
      </c>
      <c r="C20607" s="4" t="str">
        <f>HYPERLINK("http://www.uniprot.org/uniprot/M5VZ35","M5VZ35")</f>
        <v>M5VZ35</v>
      </c>
      <c r="D20607" s="2" t="s">
        <v>15532</v>
      </c>
      <c r="E20607" s="3">
        <v>0</v>
      </c>
      <c r="F20607" s="2">
        <v>1724</v>
      </c>
      <c r="G20607" s="2">
        <v>100</v>
      </c>
      <c r="H20607" s="2">
        <v>331</v>
      </c>
      <c r="I20607" s="2">
        <v>279</v>
      </c>
      <c r="J20607" s="2">
        <v>1271</v>
      </c>
      <c r="K20607" s="2">
        <v>1</v>
      </c>
      <c r="L20607" s="2">
        <v>331</v>
      </c>
    </row>
    <row r="20608" spans="1:12" x14ac:dyDescent="0.25">
      <c r="A20608" s="4" t="str">
        <f>HYPERLINK("http://www.rosaceae.org/Prunus/Prunus_persica/p.persica_gdr_reftransV1_0043470","p.persica_gdr_reftransV1_0043470")</f>
        <v>p.persica_gdr_reftransV1_0043470</v>
      </c>
      <c r="B20608" s="2">
        <v>394</v>
      </c>
      <c r="C20608" s="4" t="str">
        <f>HYPERLINK("http://www.uniprot.org/uniprot/M5XIP9","M5XIP9")</f>
        <v>M5XIP9</v>
      </c>
      <c r="D20608" s="2" t="s">
        <v>3436</v>
      </c>
      <c r="E20608" s="3">
        <v>1.9200000000000001E-88</v>
      </c>
      <c r="F20608" s="2">
        <v>732</v>
      </c>
      <c r="G20608" s="2">
        <v>100</v>
      </c>
      <c r="H20608" s="2">
        <v>131</v>
      </c>
      <c r="I20608" s="2">
        <v>1</v>
      </c>
      <c r="J20608" s="2">
        <v>393</v>
      </c>
      <c r="K20608" s="2">
        <v>138</v>
      </c>
      <c r="L20608" s="2">
        <v>268</v>
      </c>
    </row>
    <row r="20609" spans="1:12" x14ac:dyDescent="0.25">
      <c r="A20609" s="4" t="str">
        <f>HYPERLINK("http://www.rosaceae.org/Prunus/Prunus_persica/p.persica_gdr_reftransV1_0043820","p.persica_gdr_reftransV1_0043820")</f>
        <v>p.persica_gdr_reftransV1_0043820</v>
      </c>
      <c r="B20609" s="2">
        <v>1145</v>
      </c>
      <c r="C20609" s="4" t="str">
        <f>HYPERLINK("http://www.uniprot.org/uniprot/M5XY66","M5XY66")</f>
        <v>M5XY66</v>
      </c>
      <c r="D20609" s="2" t="s">
        <v>15533</v>
      </c>
      <c r="E20609" s="3">
        <v>0</v>
      </c>
      <c r="F20609" s="2">
        <v>1643</v>
      </c>
      <c r="G20609" s="2">
        <v>100</v>
      </c>
      <c r="H20609" s="2">
        <v>311</v>
      </c>
      <c r="I20609" s="2">
        <v>186</v>
      </c>
      <c r="J20609" s="2">
        <v>1118</v>
      </c>
      <c r="K20609" s="2">
        <v>1</v>
      </c>
      <c r="L20609" s="2">
        <v>311</v>
      </c>
    </row>
    <row r="20610" spans="1:12" x14ac:dyDescent="0.25">
      <c r="A20610" s="4" t="str">
        <f>HYPERLINK("http://www.rosaceae.org/Prunus/Prunus_persica/p.persica_gdr_reftransV1_0044170","p.persica_gdr_reftransV1_0044170")</f>
        <v>p.persica_gdr_reftransV1_0044170</v>
      </c>
      <c r="B20610" s="2">
        <v>317</v>
      </c>
      <c r="C20610" s="4" t="str">
        <f>HYPERLINK("http://www.uniprot.org/uniprot/M5X4T3","M5X4T3")</f>
        <v>M5X4T3</v>
      </c>
      <c r="D20610" s="2" t="s">
        <v>15534</v>
      </c>
      <c r="E20610" s="3">
        <v>2.7299999999999999E-39</v>
      </c>
      <c r="F20610" s="2">
        <v>364</v>
      </c>
      <c r="G20610" s="2">
        <v>83</v>
      </c>
      <c r="H20610" s="2">
        <v>89</v>
      </c>
      <c r="I20610" s="2">
        <v>1</v>
      </c>
      <c r="J20610" s="2">
        <v>264</v>
      </c>
      <c r="K20610" s="2">
        <v>83</v>
      </c>
      <c r="L20610" s="2">
        <v>171</v>
      </c>
    </row>
    <row r="20611" spans="1:12" x14ac:dyDescent="0.25">
      <c r="A20611" s="4" t="str">
        <f>HYPERLINK("http://www.rosaceae.org/Prunus/Prunus_persica/p.persica_gdr_reftransV1_0044520","p.persica_gdr_reftransV1_0044520")</f>
        <v>p.persica_gdr_reftransV1_0044520</v>
      </c>
      <c r="B20611" s="2">
        <v>614</v>
      </c>
      <c r="C20611" s="4" t="str">
        <f>HYPERLINK("http://www.uniprot.org/uniprot/M5WJJ3","M5WJJ3")</f>
        <v>M5WJJ3</v>
      </c>
      <c r="D20611" s="2" t="s">
        <v>7567</v>
      </c>
      <c r="E20611" s="3">
        <v>3.11E-65</v>
      </c>
      <c r="F20611" s="2">
        <v>529</v>
      </c>
      <c r="G20611" s="2">
        <v>100</v>
      </c>
      <c r="H20611" s="2">
        <v>99</v>
      </c>
      <c r="I20611" s="2">
        <v>50</v>
      </c>
      <c r="J20611" s="2">
        <v>346</v>
      </c>
      <c r="K20611" s="2">
        <v>1</v>
      </c>
      <c r="L20611" s="2">
        <v>99</v>
      </c>
    </row>
    <row r="20612" spans="1:12" x14ac:dyDescent="0.25">
      <c r="A20612" s="4" t="str">
        <f>HYPERLINK("http://www.rosaceae.org/Prunus/Prunus_persica/p.persica_gdr_reftransV1_0044870","p.persica_gdr_reftransV1_0044870")</f>
        <v>p.persica_gdr_reftransV1_0044870</v>
      </c>
      <c r="B20612" s="2">
        <v>1898</v>
      </c>
      <c r="C20612" s="4" t="str">
        <f>HYPERLINK("http://www.uniprot.org/uniprot/M5Y9Y7","M5Y9Y7")</f>
        <v>M5Y9Y7</v>
      </c>
      <c r="D20612" s="2" t="s">
        <v>11848</v>
      </c>
      <c r="E20612" s="3">
        <v>0</v>
      </c>
      <c r="F20612" s="2">
        <v>2318</v>
      </c>
      <c r="G20612" s="2">
        <v>100</v>
      </c>
      <c r="H20612" s="2">
        <v>429</v>
      </c>
      <c r="I20612" s="2">
        <v>197</v>
      </c>
      <c r="J20612" s="2">
        <v>1483</v>
      </c>
      <c r="K20612" s="2">
        <v>3</v>
      </c>
      <c r="L20612" s="2">
        <v>431</v>
      </c>
    </row>
    <row r="20613" spans="1:12" x14ac:dyDescent="0.25">
      <c r="A20613" s="4" t="str">
        <f>HYPERLINK("http://www.rosaceae.org/Prunus/Prunus_persica/p.persica_gdr_reftransV1_0045220","p.persica_gdr_reftransV1_0045220")</f>
        <v>p.persica_gdr_reftransV1_0045220</v>
      </c>
      <c r="B20613" s="2">
        <v>379</v>
      </c>
      <c r="C20613" s="4" t="str">
        <f>HYPERLINK("http://www.uniprot.org/uniprot/M5WBX1","M5WBX1")</f>
        <v>M5WBX1</v>
      </c>
      <c r="D20613" s="2" t="s">
        <v>8125</v>
      </c>
      <c r="E20613" s="3">
        <v>6.6599999999999994E-36</v>
      </c>
      <c r="F20613" s="2">
        <v>353</v>
      </c>
      <c r="G20613" s="2">
        <v>71</v>
      </c>
      <c r="H20613" s="2">
        <v>126</v>
      </c>
      <c r="I20613" s="2">
        <v>1</v>
      </c>
      <c r="J20613" s="2">
        <v>378</v>
      </c>
      <c r="K20613" s="2">
        <v>152</v>
      </c>
      <c r="L20613" s="2">
        <v>271</v>
      </c>
    </row>
    <row r="20614" spans="1:12" x14ac:dyDescent="0.25">
      <c r="A20614" s="4" t="str">
        <f>HYPERLINK("http://www.rosaceae.org/Prunus/Prunus_persica/p.persica_gdr_reftransV1_0045920","p.persica_gdr_reftransV1_0045920")</f>
        <v>p.persica_gdr_reftransV1_0045920</v>
      </c>
      <c r="B20614" s="2">
        <v>1685</v>
      </c>
      <c r="C20614" s="4" t="str">
        <f>HYPERLINK("http://www.uniprot.org/uniprot/M5WNC7","M5WNC7")</f>
        <v>M5WNC7</v>
      </c>
      <c r="D20614" s="2" t="s">
        <v>15535</v>
      </c>
      <c r="E20614" s="3">
        <v>0</v>
      </c>
      <c r="F20614" s="2">
        <v>2004</v>
      </c>
      <c r="G20614" s="2">
        <v>100</v>
      </c>
      <c r="H20614" s="2">
        <v>488</v>
      </c>
      <c r="I20614" s="2">
        <v>160</v>
      </c>
      <c r="J20614" s="2">
        <v>1623</v>
      </c>
      <c r="K20614" s="2">
        <v>1</v>
      </c>
      <c r="L20614" s="2">
        <v>488</v>
      </c>
    </row>
    <row r="20615" spans="1:12" x14ac:dyDescent="0.25">
      <c r="A20615" s="4" t="str">
        <f>HYPERLINK("http://www.rosaceae.org/Prunus/Prunus_persica/p.persica_gdr_reftransV1_0046620","p.persica_gdr_reftransV1_0046620")</f>
        <v>p.persica_gdr_reftransV1_0046620</v>
      </c>
      <c r="B20615" s="2">
        <v>1220</v>
      </c>
      <c r="C20615" s="4" t="str">
        <f>HYPERLINK("http://www.uniprot.org/uniprot/M5VXS7","M5VXS7")</f>
        <v>M5VXS7</v>
      </c>
      <c r="D20615" s="2" t="s">
        <v>15536</v>
      </c>
      <c r="E20615" s="3">
        <v>2.5299999999999998E-117</v>
      </c>
      <c r="F20615" s="2">
        <v>902</v>
      </c>
      <c r="G20615" s="2">
        <v>99</v>
      </c>
      <c r="H20615" s="2">
        <v>193</v>
      </c>
      <c r="I20615" s="2">
        <v>299</v>
      </c>
      <c r="J20615" s="2">
        <v>877</v>
      </c>
      <c r="K20615" s="2">
        <v>1</v>
      </c>
      <c r="L20615" s="2">
        <v>193</v>
      </c>
    </row>
    <row r="20616" spans="1:12" x14ac:dyDescent="0.25">
      <c r="A20616" s="4" t="str">
        <f>HYPERLINK("http://www.rosaceae.org/Prunus/Prunus_persica/p.persica_gdr_reftransV1_0047670","p.persica_gdr_reftransV1_0047670")</f>
        <v>p.persica_gdr_reftransV1_0047670</v>
      </c>
      <c r="B20616" s="2">
        <v>391</v>
      </c>
      <c r="C20616" s="4" t="str">
        <f>HYPERLINK("http://www.uniprot.org/uniprot/M5VNN6","M5VNN6")</f>
        <v>M5VNN6</v>
      </c>
      <c r="D20616" s="2" t="s">
        <v>15537</v>
      </c>
      <c r="E20616" s="3">
        <v>1.5700000000000001E-79</v>
      </c>
      <c r="F20616" s="2">
        <v>674</v>
      </c>
      <c r="G20616" s="2">
        <v>100</v>
      </c>
      <c r="H20616" s="2">
        <v>129</v>
      </c>
      <c r="I20616" s="2">
        <v>3</v>
      </c>
      <c r="J20616" s="2">
        <v>389</v>
      </c>
      <c r="K20616" s="2">
        <v>540</v>
      </c>
      <c r="L20616" s="2">
        <v>668</v>
      </c>
    </row>
    <row r="20617" spans="1:12" x14ac:dyDescent="0.25">
      <c r="A20617" s="4" t="str">
        <f>HYPERLINK("http://www.rosaceae.org/Prunus/Prunus_persica/p.persica_gdr_reftransV1_0048020","p.persica_gdr_reftransV1_0048020")</f>
        <v>p.persica_gdr_reftransV1_0048020</v>
      </c>
      <c r="B20617" s="2">
        <v>2727</v>
      </c>
      <c r="C20617" s="4" t="str">
        <f>HYPERLINK("http://www.uniprot.org/uniprot/A0A0D2ZTA1","A0A0D2ZTA1")</f>
        <v>A0A0D2ZTA1</v>
      </c>
      <c r="D20617" s="2" t="s">
        <v>724</v>
      </c>
      <c r="E20617" s="3">
        <v>2.7099999999999999E-75</v>
      </c>
      <c r="F20617" s="2">
        <v>646</v>
      </c>
      <c r="G20617" s="2">
        <v>94</v>
      </c>
      <c r="H20617" s="2">
        <v>131</v>
      </c>
      <c r="I20617" s="2">
        <v>1924</v>
      </c>
      <c r="J20617" s="2">
        <v>2316</v>
      </c>
      <c r="K20617" s="2">
        <v>1</v>
      </c>
      <c r="L20617" s="2">
        <v>131</v>
      </c>
    </row>
    <row r="20618" spans="1:12" x14ac:dyDescent="0.25">
      <c r="A20618" s="4" t="str">
        <f>HYPERLINK("http://www.rosaceae.org/Prunus/Prunus_persica/p.persica_gdr_reftransV1_0048370","p.persica_gdr_reftransV1_0048370")</f>
        <v>p.persica_gdr_reftransV1_0048370</v>
      </c>
      <c r="B20618" s="2">
        <v>2461</v>
      </c>
      <c r="C20618" s="4" t="str">
        <f>HYPERLINK("http://www.uniprot.org/uniprot/M5XDY3","M5XDY3")</f>
        <v>M5XDY3</v>
      </c>
      <c r="D20618" s="2" t="s">
        <v>15538</v>
      </c>
      <c r="E20618" s="3">
        <v>0</v>
      </c>
      <c r="F20618" s="2">
        <v>2580</v>
      </c>
      <c r="G20618" s="2">
        <v>99</v>
      </c>
      <c r="H20618" s="2">
        <v>572</v>
      </c>
      <c r="I20618" s="2">
        <v>141</v>
      </c>
      <c r="J20618" s="2">
        <v>1856</v>
      </c>
      <c r="K20618" s="2">
        <v>1</v>
      </c>
      <c r="L20618" s="2">
        <v>570</v>
      </c>
    </row>
    <row r="20619" spans="1:12" x14ac:dyDescent="0.25">
      <c r="A20619" s="4" t="str">
        <f>HYPERLINK("http://www.rosaceae.org/Prunus/Prunus_persica/p.persica_gdr_reftransV1_0048720","p.persica_gdr_reftransV1_0048720")</f>
        <v>p.persica_gdr_reftransV1_0048720</v>
      </c>
      <c r="B20619" s="2">
        <v>710</v>
      </c>
      <c r="C20619" s="4" t="str">
        <f>HYPERLINK("http://www.uniprot.org/uniprot/M5XTJ2","M5XTJ2")</f>
        <v>M5XTJ2</v>
      </c>
      <c r="D20619" s="2" t="s">
        <v>15539</v>
      </c>
      <c r="E20619" s="3">
        <v>3.59E-98</v>
      </c>
      <c r="F20619" s="2">
        <v>753</v>
      </c>
      <c r="G20619" s="2">
        <v>99</v>
      </c>
      <c r="H20619" s="2">
        <v>146</v>
      </c>
      <c r="I20619" s="2">
        <v>237</v>
      </c>
      <c r="J20619" s="2">
        <v>674</v>
      </c>
      <c r="K20619" s="2">
        <v>1</v>
      </c>
      <c r="L20619" s="2">
        <v>146</v>
      </c>
    </row>
    <row r="20620" spans="1:12" x14ac:dyDescent="0.25">
      <c r="A20620" s="4" t="str">
        <f>HYPERLINK("http://www.rosaceae.org/Prunus/Prunus_persica/p.persica_gdr_reftransV1_0049070","p.persica_gdr_reftransV1_0049070")</f>
        <v>p.persica_gdr_reftransV1_0049070</v>
      </c>
      <c r="B20620" s="2">
        <v>588</v>
      </c>
      <c r="C20620" s="4" t="str">
        <f>HYPERLINK("http://www.uniprot.org/uniprot/M5W8B9","M5W8B9")</f>
        <v>M5W8B9</v>
      </c>
      <c r="D20620" s="2" t="s">
        <v>978</v>
      </c>
      <c r="E20620" s="3">
        <v>7.8699999999999998E-59</v>
      </c>
      <c r="F20620" s="2">
        <v>529</v>
      </c>
      <c r="G20620" s="2">
        <v>100</v>
      </c>
      <c r="H20620" s="2">
        <v>95</v>
      </c>
      <c r="I20620" s="2">
        <v>3</v>
      </c>
      <c r="J20620" s="2">
        <v>287</v>
      </c>
      <c r="K20620" s="2">
        <v>888</v>
      </c>
      <c r="L20620" s="2">
        <v>982</v>
      </c>
    </row>
    <row r="20621" spans="1:12" x14ac:dyDescent="0.25">
      <c r="A20621" s="4" t="str">
        <f>HYPERLINK("http://www.rosaceae.org/Prunus/Prunus_persica/p.persica_gdr_reftransV1_0000007","p.persica_gdr_reftransV1_0000007")</f>
        <v>p.persica_gdr_reftransV1_0000007</v>
      </c>
      <c r="B20621" s="2">
        <v>1519</v>
      </c>
      <c r="C20621" s="4" t="str">
        <f>HYPERLINK("http://www.uniprot.org/uniprot/M5X5S9","M5X5S9")</f>
        <v>M5X5S9</v>
      </c>
      <c r="D20621" s="2" t="s">
        <v>2040</v>
      </c>
      <c r="E20621" s="3">
        <v>0</v>
      </c>
      <c r="F20621" s="2">
        <v>1635</v>
      </c>
      <c r="G20621" s="2">
        <v>96</v>
      </c>
      <c r="H20621" s="2">
        <v>359</v>
      </c>
      <c r="I20621" s="2">
        <v>344</v>
      </c>
      <c r="J20621" s="2">
        <v>1420</v>
      </c>
      <c r="K20621" s="2">
        <v>1</v>
      </c>
      <c r="L20621" s="2">
        <v>348</v>
      </c>
    </row>
    <row r="20622" spans="1:12" x14ac:dyDescent="0.25">
      <c r="A20622" s="4" t="str">
        <f>HYPERLINK("http://www.rosaceae.org/Prunus/Prunus_persica/p.persica_gdr_reftransV1_0000707","p.persica_gdr_reftransV1_0000707")</f>
        <v>p.persica_gdr_reftransV1_0000707</v>
      </c>
      <c r="B20622" s="2">
        <v>2866</v>
      </c>
      <c r="C20622" s="4" t="str">
        <f>HYPERLINK("http://www.uniprot.org/uniprot/M5W722","M5W722")</f>
        <v>M5W722</v>
      </c>
      <c r="D20622" s="2" t="s">
        <v>8016</v>
      </c>
      <c r="E20622" s="3">
        <v>0</v>
      </c>
      <c r="F20622" s="2">
        <v>3601</v>
      </c>
      <c r="G20622" s="2">
        <v>98</v>
      </c>
      <c r="H20622" s="2">
        <v>738</v>
      </c>
      <c r="I20622" s="2">
        <v>289</v>
      </c>
      <c r="J20622" s="2">
        <v>2502</v>
      </c>
      <c r="K20622" s="2">
        <v>1</v>
      </c>
      <c r="L20622" s="2">
        <v>720</v>
      </c>
    </row>
    <row r="20623" spans="1:12" x14ac:dyDescent="0.25">
      <c r="A20623" s="4" t="str">
        <f>HYPERLINK("http://www.rosaceae.org/Prunus/Prunus_persica/p.persica_gdr_reftransV1_0001057","p.persica_gdr_reftransV1_0001057")</f>
        <v>p.persica_gdr_reftransV1_0001057</v>
      </c>
      <c r="B20623" s="2">
        <v>1651</v>
      </c>
      <c r="C20623" s="4" t="str">
        <f>HYPERLINK("http://www.uniprot.org/uniprot/M5X558","M5X558")</f>
        <v>M5X558</v>
      </c>
      <c r="D20623" s="2" t="s">
        <v>10157</v>
      </c>
      <c r="E20623" s="3">
        <v>0</v>
      </c>
      <c r="F20623" s="2">
        <v>2176</v>
      </c>
      <c r="G20623" s="2">
        <v>100</v>
      </c>
      <c r="H20623" s="2">
        <v>410</v>
      </c>
      <c r="I20623" s="2">
        <v>288</v>
      </c>
      <c r="J20623" s="2">
        <v>1517</v>
      </c>
      <c r="K20623" s="2">
        <v>1</v>
      </c>
      <c r="L20623" s="2">
        <v>410</v>
      </c>
    </row>
    <row r="20624" spans="1:12" x14ac:dyDescent="0.25">
      <c r="A20624" s="4" t="str">
        <f>HYPERLINK("http://www.rosaceae.org/Prunus/Prunus_persica/p.persica_gdr_reftransV1_0001407","p.persica_gdr_reftransV1_0001407")</f>
        <v>p.persica_gdr_reftransV1_0001407</v>
      </c>
      <c r="B20624" s="2">
        <v>2354</v>
      </c>
      <c r="C20624" s="4" t="str">
        <f>HYPERLINK("http://www.uniprot.org/uniprot/M5W7F4","M5W7F4")</f>
        <v>M5W7F4</v>
      </c>
      <c r="D20624" s="2" t="s">
        <v>15540</v>
      </c>
      <c r="E20624" s="3">
        <v>0</v>
      </c>
      <c r="F20624" s="2">
        <v>2966</v>
      </c>
      <c r="G20624" s="2">
        <v>99</v>
      </c>
      <c r="H20624" s="2">
        <v>569</v>
      </c>
      <c r="I20624" s="2">
        <v>2</v>
      </c>
      <c r="J20624" s="2">
        <v>1702</v>
      </c>
      <c r="K20624" s="2">
        <v>123</v>
      </c>
      <c r="L20624" s="2">
        <v>691</v>
      </c>
    </row>
    <row r="20625" spans="1:12" x14ac:dyDescent="0.25">
      <c r="A20625" s="4" t="str">
        <f>HYPERLINK("http://www.rosaceae.org/Prunus/Prunus_persica/p.persica_gdr_reftransV1_0001757","p.persica_gdr_reftransV1_0001757")</f>
        <v>p.persica_gdr_reftransV1_0001757</v>
      </c>
      <c r="B20625" s="2">
        <v>629</v>
      </c>
      <c r="C20625" s="4" t="str">
        <f>HYPERLINK("http://www.uniprot.org/uniprot/M5WB67","M5WB67")</f>
        <v>M5WB67</v>
      </c>
      <c r="D20625" s="2" t="s">
        <v>15541</v>
      </c>
      <c r="E20625" s="3">
        <v>7.6500000000000002E-52</v>
      </c>
      <c r="F20625" s="2">
        <v>439</v>
      </c>
      <c r="G20625" s="2">
        <v>99</v>
      </c>
      <c r="H20625" s="2">
        <v>86</v>
      </c>
      <c r="I20625" s="2">
        <v>119</v>
      </c>
      <c r="J20625" s="2">
        <v>376</v>
      </c>
      <c r="K20625" s="2">
        <v>13</v>
      </c>
      <c r="L20625" s="2">
        <v>98</v>
      </c>
    </row>
    <row r="20626" spans="1:12" x14ac:dyDescent="0.25">
      <c r="A20626" s="4" t="str">
        <f>HYPERLINK("http://www.rosaceae.org/Prunus/Prunus_persica/p.persica_gdr_reftransV1_0002107","p.persica_gdr_reftransV1_0002107")</f>
        <v>p.persica_gdr_reftransV1_0002107</v>
      </c>
      <c r="B20626" s="2">
        <v>1003</v>
      </c>
      <c r="C20626" s="4" t="str">
        <f>HYPERLINK("http://www.uniprot.org/uniprot/G0XZB1","G0XZB1")</f>
        <v>G0XZB1</v>
      </c>
      <c r="D20626" s="2" t="s">
        <v>15542</v>
      </c>
      <c r="E20626" s="3">
        <v>1.08E-85</v>
      </c>
      <c r="F20626" s="2">
        <v>718</v>
      </c>
      <c r="G20626" s="2">
        <v>53</v>
      </c>
      <c r="H20626" s="2">
        <v>344</v>
      </c>
      <c r="I20626" s="2">
        <v>45</v>
      </c>
      <c r="J20626" s="2">
        <v>902</v>
      </c>
      <c r="K20626" s="2">
        <v>1</v>
      </c>
      <c r="L20626" s="2">
        <v>343</v>
      </c>
    </row>
    <row r="20627" spans="1:12" x14ac:dyDescent="0.25">
      <c r="A20627" s="4" t="str">
        <f>HYPERLINK("http://www.rosaceae.org/Prunus/Prunus_persica/p.persica_gdr_reftransV1_0002457","p.persica_gdr_reftransV1_0002457")</f>
        <v>p.persica_gdr_reftransV1_0002457</v>
      </c>
      <c r="B20627" s="2">
        <v>622</v>
      </c>
      <c r="C20627" s="4" t="str">
        <f>HYPERLINK("http://www.uniprot.org/uniprot/W7N4L9","W7N4L9")</f>
        <v>W7N4L9</v>
      </c>
      <c r="D20627" s="2" t="s">
        <v>15543</v>
      </c>
      <c r="E20627" s="3">
        <v>9.4899999999999995E-74</v>
      </c>
      <c r="F20627" s="2">
        <v>629</v>
      </c>
      <c r="G20627" s="2">
        <v>83</v>
      </c>
      <c r="H20627" s="2">
        <v>144</v>
      </c>
      <c r="I20627" s="2">
        <v>3</v>
      </c>
      <c r="J20627" s="2">
        <v>434</v>
      </c>
      <c r="K20627" s="2">
        <v>534</v>
      </c>
      <c r="L20627" s="2">
        <v>677</v>
      </c>
    </row>
    <row r="20628" spans="1:12" x14ac:dyDescent="0.25">
      <c r="A20628" s="4" t="str">
        <f>HYPERLINK("http://www.rosaceae.org/Prunus/Prunus_persica/p.persica_gdr_reftransV1_0002807","p.persica_gdr_reftransV1_0002807")</f>
        <v>p.persica_gdr_reftransV1_0002807</v>
      </c>
      <c r="B20628" s="2">
        <v>1161</v>
      </c>
      <c r="C20628" s="4" t="str">
        <f>HYPERLINK("http://www.uniprot.org/uniprot/M5WT30","M5WT30")</f>
        <v>M5WT30</v>
      </c>
      <c r="D20628" s="2" t="s">
        <v>15544</v>
      </c>
      <c r="E20628" s="3">
        <v>0</v>
      </c>
      <c r="F20628" s="2">
        <v>1425</v>
      </c>
      <c r="G20628" s="2">
        <v>100</v>
      </c>
      <c r="H20628" s="2">
        <v>280</v>
      </c>
      <c r="I20628" s="2">
        <v>221</v>
      </c>
      <c r="J20628" s="2">
        <v>1060</v>
      </c>
      <c r="K20628" s="2">
        <v>1</v>
      </c>
      <c r="L20628" s="2">
        <v>280</v>
      </c>
    </row>
    <row r="20629" spans="1:12" x14ac:dyDescent="0.25">
      <c r="A20629" s="4" t="str">
        <f>HYPERLINK("http://www.rosaceae.org/Prunus/Prunus_persica/p.persica_gdr_reftransV1_0003507","p.persica_gdr_reftransV1_0003507")</f>
        <v>p.persica_gdr_reftransV1_0003507</v>
      </c>
      <c r="B20629" s="2">
        <v>330</v>
      </c>
      <c r="C20629" s="4" t="str">
        <f>HYPERLINK("http://www.uniprot.org/uniprot/M5WG95","M5WG95")</f>
        <v>M5WG95</v>
      </c>
      <c r="D20629" s="2" t="s">
        <v>489</v>
      </c>
      <c r="E20629" s="3">
        <v>3.8099999999999999E-70</v>
      </c>
      <c r="F20629" s="2">
        <v>580</v>
      </c>
      <c r="G20629" s="2">
        <v>100</v>
      </c>
      <c r="H20629" s="2">
        <v>110</v>
      </c>
      <c r="I20629" s="2">
        <v>1</v>
      </c>
      <c r="J20629" s="2">
        <v>330</v>
      </c>
      <c r="K20629" s="2">
        <v>56</v>
      </c>
      <c r="L20629" s="2">
        <v>165</v>
      </c>
    </row>
    <row r="20630" spans="1:12" x14ac:dyDescent="0.25">
      <c r="A20630" s="4" t="str">
        <f>HYPERLINK("http://www.rosaceae.org/Prunus/Prunus_persica/p.persica_gdr_reftransV1_0004207","p.persica_gdr_reftransV1_0004207")</f>
        <v>p.persica_gdr_reftransV1_0004207</v>
      </c>
      <c r="B20630" s="2">
        <v>2899</v>
      </c>
      <c r="C20630" s="4" t="str">
        <f>HYPERLINK("http://www.uniprot.org/uniprot/I1NKI2","I1NKI2")</f>
        <v>I1NKI2</v>
      </c>
      <c r="D20630" s="2" t="s">
        <v>15545</v>
      </c>
      <c r="E20630" s="3">
        <v>4.1599999999999997E-67</v>
      </c>
      <c r="F20630" s="2">
        <v>594</v>
      </c>
      <c r="G20630" s="2">
        <v>82</v>
      </c>
      <c r="H20630" s="2">
        <v>157</v>
      </c>
      <c r="I20630" s="2">
        <v>1033</v>
      </c>
      <c r="J20630" s="2">
        <v>1494</v>
      </c>
      <c r="K20630" s="2">
        <v>35</v>
      </c>
      <c r="L20630" s="2">
        <v>191</v>
      </c>
    </row>
    <row r="20631" spans="1:12" x14ac:dyDescent="0.25">
      <c r="A20631" s="4" t="str">
        <f>HYPERLINK("http://www.rosaceae.org/Prunus/Prunus_persica/p.persica_gdr_reftransV1_0004557","p.persica_gdr_reftransV1_0004557")</f>
        <v>p.persica_gdr_reftransV1_0004557</v>
      </c>
      <c r="B20631" s="2">
        <v>1048</v>
      </c>
      <c r="C20631" s="4" t="str">
        <f>HYPERLINK("http://www.uniprot.org/uniprot/M5X861","M5X861")</f>
        <v>M5X861</v>
      </c>
      <c r="D20631" s="2" t="s">
        <v>14743</v>
      </c>
      <c r="E20631" s="3">
        <v>5.1300000000000002E-102</v>
      </c>
      <c r="F20631" s="2">
        <v>790</v>
      </c>
      <c r="G20631" s="2">
        <v>100</v>
      </c>
      <c r="H20631" s="2">
        <v>149</v>
      </c>
      <c r="I20631" s="2">
        <v>257</v>
      </c>
      <c r="J20631" s="2">
        <v>703</v>
      </c>
      <c r="K20631" s="2">
        <v>1</v>
      </c>
      <c r="L20631" s="2">
        <v>149</v>
      </c>
    </row>
    <row r="20632" spans="1:12" x14ac:dyDescent="0.25">
      <c r="A20632" s="4" t="str">
        <f>HYPERLINK("http://www.rosaceae.org/Prunus/Prunus_persica/p.persica_gdr_reftransV1_0004907","p.persica_gdr_reftransV1_0004907")</f>
        <v>p.persica_gdr_reftransV1_0004907</v>
      </c>
      <c r="B20632" s="2">
        <v>460</v>
      </c>
      <c r="C20632" s="4" t="str">
        <f>HYPERLINK("http://www.uniprot.org/uniprot/M5VJ30","M5VJ30")</f>
        <v>M5VJ30</v>
      </c>
      <c r="D20632" s="2" t="s">
        <v>52</v>
      </c>
      <c r="E20632" s="3">
        <v>1.2900000000000001E-22</v>
      </c>
      <c r="F20632" s="2">
        <v>253</v>
      </c>
      <c r="G20632" s="2">
        <v>47</v>
      </c>
      <c r="H20632" s="2">
        <v>106</v>
      </c>
      <c r="I20632" s="2">
        <v>5</v>
      </c>
      <c r="J20632" s="2">
        <v>316</v>
      </c>
      <c r="K20632" s="2">
        <v>335</v>
      </c>
      <c r="L20632" s="2">
        <v>439</v>
      </c>
    </row>
    <row r="20633" spans="1:12" x14ac:dyDescent="0.25">
      <c r="A20633" s="4" t="str">
        <f>HYPERLINK("http://www.rosaceae.org/Prunus/Prunus_persica/p.persica_gdr_reftransV1_0005257","p.persica_gdr_reftransV1_0005257")</f>
        <v>p.persica_gdr_reftransV1_0005257</v>
      </c>
      <c r="B20633" s="2">
        <v>2155</v>
      </c>
      <c r="C20633" s="4" t="str">
        <f>HYPERLINK("http://www.uniprot.org/uniprot/M5W7F8","M5W7F8")</f>
        <v>M5W7F8</v>
      </c>
      <c r="D20633" s="2" t="s">
        <v>14506</v>
      </c>
      <c r="E20633" s="3">
        <v>0</v>
      </c>
      <c r="F20633" s="2">
        <v>2769</v>
      </c>
      <c r="G20633" s="2">
        <v>99</v>
      </c>
      <c r="H20633" s="2">
        <v>515</v>
      </c>
      <c r="I20633" s="2">
        <v>531</v>
      </c>
      <c r="J20633" s="2">
        <v>2075</v>
      </c>
      <c r="K20633" s="2">
        <v>178</v>
      </c>
      <c r="L20633" s="2">
        <v>692</v>
      </c>
    </row>
    <row r="20634" spans="1:12" x14ac:dyDescent="0.25">
      <c r="A20634" s="4" t="str">
        <f>HYPERLINK("http://www.rosaceae.org/Prunus/Prunus_persica/p.persica_gdr_reftransV1_0005607","p.persica_gdr_reftransV1_0005607")</f>
        <v>p.persica_gdr_reftransV1_0005607</v>
      </c>
      <c r="B20634" s="2">
        <v>949</v>
      </c>
      <c r="C20634" s="4" t="str">
        <f>HYPERLINK("http://www.uniprot.org/uniprot/M5VV93","M5VV93")</f>
        <v>M5VV93</v>
      </c>
      <c r="D20634" s="2" t="s">
        <v>9842</v>
      </c>
      <c r="E20634" s="3">
        <v>1.1899999999999999E-149</v>
      </c>
      <c r="F20634" s="2">
        <v>1190</v>
      </c>
      <c r="G20634" s="2">
        <v>100</v>
      </c>
      <c r="H20634" s="2">
        <v>256</v>
      </c>
      <c r="I20634" s="2">
        <v>180</v>
      </c>
      <c r="J20634" s="2">
        <v>947</v>
      </c>
      <c r="K20634" s="2">
        <v>950</v>
      </c>
      <c r="L20634" s="2">
        <v>1205</v>
      </c>
    </row>
    <row r="20635" spans="1:12" x14ac:dyDescent="0.25">
      <c r="A20635" s="4" t="str">
        <f>HYPERLINK("http://www.rosaceae.org/Prunus/Prunus_persica/p.persica_gdr_reftransV1_0007007","p.persica_gdr_reftransV1_0007007")</f>
        <v>p.persica_gdr_reftransV1_0007007</v>
      </c>
      <c r="B20635" s="2">
        <v>1619</v>
      </c>
      <c r="C20635" s="4" t="str">
        <f>HYPERLINK("http://www.uniprot.org/uniprot/M5XE83","M5XE83")</f>
        <v>M5XE83</v>
      </c>
      <c r="D20635" s="2" t="s">
        <v>15546</v>
      </c>
      <c r="E20635" s="3">
        <v>0</v>
      </c>
      <c r="F20635" s="2">
        <v>2321</v>
      </c>
      <c r="G20635" s="2">
        <v>100</v>
      </c>
      <c r="H20635" s="2">
        <v>445</v>
      </c>
      <c r="I20635" s="2">
        <v>57</v>
      </c>
      <c r="J20635" s="2">
        <v>1391</v>
      </c>
      <c r="K20635" s="2">
        <v>14</v>
      </c>
      <c r="L20635" s="2">
        <v>458</v>
      </c>
    </row>
    <row r="20636" spans="1:12" x14ac:dyDescent="0.25">
      <c r="A20636" s="4" t="str">
        <f>HYPERLINK("http://www.rosaceae.org/Prunus/Prunus_persica/p.persica_gdr_reftransV1_0007357","p.persica_gdr_reftransV1_0007357")</f>
        <v>p.persica_gdr_reftransV1_0007357</v>
      </c>
      <c r="B20636" s="2">
        <v>1891</v>
      </c>
      <c r="C20636" s="4" t="str">
        <f>HYPERLINK("http://www.uniprot.org/uniprot/M5WTW0","M5WTW0")</f>
        <v>M5WTW0</v>
      </c>
      <c r="D20636" s="2" t="s">
        <v>15547</v>
      </c>
      <c r="E20636" s="3">
        <v>4.73E-150</v>
      </c>
      <c r="F20636" s="2">
        <v>1144</v>
      </c>
      <c r="G20636" s="2">
        <v>100</v>
      </c>
      <c r="H20636" s="2">
        <v>231</v>
      </c>
      <c r="I20636" s="2">
        <v>826</v>
      </c>
      <c r="J20636" s="2">
        <v>1518</v>
      </c>
      <c r="K20636" s="2">
        <v>1</v>
      </c>
      <c r="L20636" s="2">
        <v>231</v>
      </c>
    </row>
    <row r="20637" spans="1:12" x14ac:dyDescent="0.25">
      <c r="A20637" s="4" t="str">
        <f>HYPERLINK("http://www.rosaceae.org/Prunus/Prunus_persica/p.persica_gdr_reftransV1_0008057","p.persica_gdr_reftransV1_0008057")</f>
        <v>p.persica_gdr_reftransV1_0008057</v>
      </c>
      <c r="B20637" s="2">
        <v>806</v>
      </c>
      <c r="C20637" s="4" t="str">
        <f>HYPERLINK("http://www.uniprot.org/uniprot/M5XJK4","M5XJK4")</f>
        <v>M5XJK4</v>
      </c>
      <c r="D20637" s="2" t="s">
        <v>15548</v>
      </c>
      <c r="E20637" s="3">
        <v>2.68E-108</v>
      </c>
      <c r="F20637" s="2">
        <v>824</v>
      </c>
      <c r="G20637" s="2">
        <v>100</v>
      </c>
      <c r="H20637" s="2">
        <v>155</v>
      </c>
      <c r="I20637" s="2">
        <v>150</v>
      </c>
      <c r="J20637" s="2">
        <v>614</v>
      </c>
      <c r="K20637" s="2">
        <v>1</v>
      </c>
      <c r="L20637" s="2">
        <v>155</v>
      </c>
    </row>
    <row r="20638" spans="1:12" x14ac:dyDescent="0.25">
      <c r="A20638" s="4" t="str">
        <f>HYPERLINK("http://www.rosaceae.org/Prunus/Prunus_persica/p.persica_gdr_reftransV1_0008407","p.persica_gdr_reftransV1_0008407")</f>
        <v>p.persica_gdr_reftransV1_0008407</v>
      </c>
      <c r="B20638" s="2">
        <v>607</v>
      </c>
      <c r="C20638" s="4" t="str">
        <f>HYPERLINK("http://www.uniprot.org/uniprot/M5VI63","M5VI63")</f>
        <v>M5VI63</v>
      </c>
      <c r="D20638" s="2" t="s">
        <v>2266</v>
      </c>
      <c r="E20638" s="3">
        <v>3.0500000000000001E-87</v>
      </c>
      <c r="F20638" s="2">
        <v>710</v>
      </c>
      <c r="G20638" s="2">
        <v>100</v>
      </c>
      <c r="H20638" s="2">
        <v>154</v>
      </c>
      <c r="I20638" s="2">
        <v>3</v>
      </c>
      <c r="J20638" s="2">
        <v>464</v>
      </c>
      <c r="K20638" s="2">
        <v>366</v>
      </c>
      <c r="L20638" s="2">
        <v>519</v>
      </c>
    </row>
    <row r="20639" spans="1:12" x14ac:dyDescent="0.25">
      <c r="A20639" s="4" t="str">
        <f>HYPERLINK("http://www.rosaceae.org/Prunus/Prunus_persica/p.persica_gdr_reftransV1_0008757","p.persica_gdr_reftransV1_0008757")</f>
        <v>p.persica_gdr_reftransV1_0008757</v>
      </c>
      <c r="B20639" s="2">
        <v>1062</v>
      </c>
      <c r="C20639" s="4" t="str">
        <f>HYPERLINK("http://www.uniprot.org/uniprot/M5W238","M5W238")</f>
        <v>M5W238</v>
      </c>
      <c r="D20639" s="2" t="s">
        <v>15549</v>
      </c>
      <c r="E20639" s="3">
        <v>0</v>
      </c>
      <c r="F20639" s="2">
        <v>1825</v>
      </c>
      <c r="G20639" s="2">
        <v>100</v>
      </c>
      <c r="H20639" s="2">
        <v>342</v>
      </c>
      <c r="I20639" s="2">
        <v>2</v>
      </c>
      <c r="J20639" s="2">
        <v>1027</v>
      </c>
      <c r="K20639" s="2">
        <v>302</v>
      </c>
      <c r="L20639" s="2">
        <v>643</v>
      </c>
    </row>
    <row r="20640" spans="1:12" x14ac:dyDescent="0.25">
      <c r="A20640" s="4" t="str">
        <f>HYPERLINK("http://www.rosaceae.org/Prunus/Prunus_persica/p.persica_gdr_reftransV1_0009107","p.persica_gdr_reftransV1_0009107")</f>
        <v>p.persica_gdr_reftransV1_0009107</v>
      </c>
      <c r="B20640" s="2">
        <v>981</v>
      </c>
      <c r="C20640" s="4" t="str">
        <f>HYPERLINK("http://www.uniprot.org/uniprot/M5XTI7","M5XTI7")</f>
        <v>M5XTI7</v>
      </c>
      <c r="D20640" s="2" t="s">
        <v>15550</v>
      </c>
      <c r="E20640" s="3">
        <v>1.8800000000000001E-102</v>
      </c>
      <c r="F20640" s="2">
        <v>791</v>
      </c>
      <c r="G20640" s="2">
        <v>100</v>
      </c>
      <c r="H20640" s="2">
        <v>147</v>
      </c>
      <c r="I20640" s="2">
        <v>196</v>
      </c>
      <c r="J20640" s="2">
        <v>636</v>
      </c>
      <c r="K20640" s="2">
        <v>1</v>
      </c>
      <c r="L20640" s="2">
        <v>147</v>
      </c>
    </row>
    <row r="20641" spans="1:12" x14ac:dyDescent="0.25">
      <c r="A20641" s="4" t="str">
        <f>HYPERLINK("http://www.rosaceae.org/Prunus/Prunus_persica/p.persica_gdr_reftransV1_0010507","p.persica_gdr_reftransV1_0010507")</f>
        <v>p.persica_gdr_reftransV1_0010507</v>
      </c>
      <c r="B20641" s="2">
        <v>3903</v>
      </c>
      <c r="C20641" s="4" t="str">
        <f>HYPERLINK("http://www.uniprot.org/uniprot/M5WZL4","M5WZL4")</f>
        <v>M5WZL4</v>
      </c>
      <c r="D20641" s="2" t="s">
        <v>13967</v>
      </c>
      <c r="E20641" s="3">
        <v>0</v>
      </c>
      <c r="F20641" s="2">
        <v>1718</v>
      </c>
      <c r="G20641" s="2">
        <v>100</v>
      </c>
      <c r="H20641" s="2">
        <v>341</v>
      </c>
      <c r="I20641" s="2">
        <v>1592</v>
      </c>
      <c r="J20641" s="2">
        <v>2614</v>
      </c>
      <c r="K20641" s="2">
        <v>24</v>
      </c>
      <c r="L20641" s="2">
        <v>364</v>
      </c>
    </row>
    <row r="20642" spans="1:12" x14ac:dyDescent="0.25">
      <c r="A20642" s="4" t="str">
        <f>HYPERLINK("http://www.rosaceae.org/Prunus/Prunus_persica/p.persica_gdr_reftransV1_0011557","p.persica_gdr_reftransV1_0011557")</f>
        <v>p.persica_gdr_reftransV1_0011557</v>
      </c>
      <c r="B20642" s="2">
        <v>837</v>
      </c>
      <c r="C20642" s="4" t="str">
        <f>HYPERLINK("http://www.uniprot.org/uniprot/M5WR52","M5WR52")</f>
        <v>M5WR52</v>
      </c>
      <c r="D20642" s="2" t="s">
        <v>15551</v>
      </c>
      <c r="E20642" s="3">
        <v>3.26E-111</v>
      </c>
      <c r="F20642" s="2">
        <v>846</v>
      </c>
      <c r="G20642" s="2">
        <v>100</v>
      </c>
      <c r="H20642" s="2">
        <v>164</v>
      </c>
      <c r="I20642" s="2">
        <v>298</v>
      </c>
      <c r="J20642" s="2">
        <v>789</v>
      </c>
      <c r="K20642" s="2">
        <v>1</v>
      </c>
      <c r="L20642" s="2">
        <v>164</v>
      </c>
    </row>
    <row r="20643" spans="1:12" x14ac:dyDescent="0.25">
      <c r="A20643" s="4" t="str">
        <f>HYPERLINK("http://www.rosaceae.org/Prunus/Prunus_persica/p.persica_gdr_reftransV1_0011907","p.persica_gdr_reftransV1_0011907")</f>
        <v>p.persica_gdr_reftransV1_0011907</v>
      </c>
      <c r="B20643" s="2">
        <v>1524</v>
      </c>
      <c r="C20643" s="4" t="str">
        <f>HYPERLINK("http://www.uniprot.org/uniprot/M5X8X0","M5X8X0")</f>
        <v>M5X8X0</v>
      </c>
      <c r="D20643" s="2" t="s">
        <v>15552</v>
      </c>
      <c r="E20643" s="3">
        <v>0</v>
      </c>
      <c r="F20643" s="2">
        <v>1627</v>
      </c>
      <c r="G20643" s="2">
        <v>100</v>
      </c>
      <c r="H20643" s="2">
        <v>358</v>
      </c>
      <c r="I20643" s="2">
        <v>260</v>
      </c>
      <c r="J20643" s="2">
        <v>1333</v>
      </c>
      <c r="K20643" s="2">
        <v>1</v>
      </c>
      <c r="L20643" s="2">
        <v>358</v>
      </c>
    </row>
    <row r="20644" spans="1:12" x14ac:dyDescent="0.25">
      <c r="A20644" s="4" t="str">
        <f>HYPERLINK("http://www.rosaceae.org/Prunus/Prunus_persica/p.persica_gdr_reftransV1_0012257","p.persica_gdr_reftransV1_0012257")</f>
        <v>p.persica_gdr_reftransV1_0012257</v>
      </c>
      <c r="B20644" s="2">
        <v>1128</v>
      </c>
      <c r="C20644" s="4" t="str">
        <f>HYPERLINK("http://www.uniprot.org/uniprot/M5XE25","M5XE25")</f>
        <v>M5XE25</v>
      </c>
      <c r="D20644" s="2" t="s">
        <v>15553</v>
      </c>
      <c r="E20644" s="3">
        <v>6.8300000000000001E-96</v>
      </c>
      <c r="F20644" s="2">
        <v>752</v>
      </c>
      <c r="G20644" s="2">
        <v>100</v>
      </c>
      <c r="H20644" s="2">
        <v>148</v>
      </c>
      <c r="I20644" s="2">
        <v>97</v>
      </c>
      <c r="J20644" s="2">
        <v>540</v>
      </c>
      <c r="K20644" s="2">
        <v>1</v>
      </c>
      <c r="L20644" s="2">
        <v>148</v>
      </c>
    </row>
    <row r="20645" spans="1:12" x14ac:dyDescent="0.25">
      <c r="A20645" s="4" t="str">
        <f>HYPERLINK("http://www.rosaceae.org/Prunus/Prunus_persica/p.persica_gdr_reftransV1_0012607","p.persica_gdr_reftransV1_0012607")</f>
        <v>p.persica_gdr_reftransV1_0012607</v>
      </c>
      <c r="B20645" s="2">
        <v>2607</v>
      </c>
      <c r="C20645" s="4" t="str">
        <f>HYPERLINK("http://www.uniprot.org/uniprot/M5XBX1","M5XBX1")</f>
        <v>M5XBX1</v>
      </c>
      <c r="D20645" s="2" t="s">
        <v>15554</v>
      </c>
      <c r="E20645" s="3">
        <v>0</v>
      </c>
      <c r="F20645" s="2">
        <v>1710</v>
      </c>
      <c r="G20645" s="2">
        <v>92</v>
      </c>
      <c r="H20645" s="2">
        <v>382</v>
      </c>
      <c r="I20645" s="2">
        <v>1215</v>
      </c>
      <c r="J20645" s="2">
        <v>2360</v>
      </c>
      <c r="K20645" s="2">
        <v>1</v>
      </c>
      <c r="L20645" s="2">
        <v>351</v>
      </c>
    </row>
    <row r="20646" spans="1:12" x14ac:dyDescent="0.25">
      <c r="A20646" s="4" t="str">
        <f>HYPERLINK("http://www.rosaceae.org/Prunus/Prunus_persica/p.persica_gdr_reftransV1_0014007","p.persica_gdr_reftransV1_0014007")</f>
        <v>p.persica_gdr_reftransV1_0014007</v>
      </c>
      <c r="B20646" s="2">
        <v>7168</v>
      </c>
      <c r="C20646" s="4" t="str">
        <f>HYPERLINK("http://www.uniprot.org/uniprot/E9KIP1","E9KIP1")</f>
        <v>E9KIP1</v>
      </c>
      <c r="D20646" s="2" t="s">
        <v>15555</v>
      </c>
      <c r="E20646" s="3">
        <v>0</v>
      </c>
      <c r="F20646" s="2">
        <v>3765</v>
      </c>
      <c r="G20646" s="2">
        <v>97</v>
      </c>
      <c r="H20646" s="2">
        <v>764</v>
      </c>
      <c r="I20646" s="2">
        <v>2855</v>
      </c>
      <c r="J20646" s="2">
        <v>5146</v>
      </c>
      <c r="K20646" s="2">
        <v>2</v>
      </c>
      <c r="L20646" s="2">
        <v>765</v>
      </c>
    </row>
    <row r="20647" spans="1:12" x14ac:dyDescent="0.25">
      <c r="A20647" s="4" t="str">
        <f>HYPERLINK("http://www.rosaceae.org/Prunus/Prunus_persica/p.persica_gdr_reftransV1_0014357","p.persica_gdr_reftransV1_0014357")</f>
        <v>p.persica_gdr_reftransV1_0014357</v>
      </c>
      <c r="B20647" s="2">
        <v>1245</v>
      </c>
      <c r="C20647" s="4" t="str">
        <f>HYPERLINK("http://www.uniprot.org/uniprot/M5WAI0","M5WAI0")</f>
        <v>M5WAI0</v>
      </c>
      <c r="D20647" s="2" t="s">
        <v>15556</v>
      </c>
      <c r="E20647" s="3">
        <v>5.1100000000000001E-111</v>
      </c>
      <c r="F20647" s="2">
        <v>861</v>
      </c>
      <c r="G20647" s="2">
        <v>100</v>
      </c>
      <c r="H20647" s="2">
        <v>160</v>
      </c>
      <c r="I20647" s="2">
        <v>586</v>
      </c>
      <c r="J20647" s="2">
        <v>1065</v>
      </c>
      <c r="K20647" s="2">
        <v>1</v>
      </c>
      <c r="L20647" s="2">
        <v>160</v>
      </c>
    </row>
    <row r="20648" spans="1:12" x14ac:dyDescent="0.25">
      <c r="A20648" s="4" t="str">
        <f>HYPERLINK("http://www.rosaceae.org/Prunus/Prunus_persica/p.persica_gdr_reftransV1_0014707","p.persica_gdr_reftransV1_0014707")</f>
        <v>p.persica_gdr_reftransV1_0014707</v>
      </c>
      <c r="B20648" s="2">
        <v>2357</v>
      </c>
      <c r="C20648" s="4" t="str">
        <f>HYPERLINK("http://www.uniprot.org/uniprot/M5XKA1","M5XKA1")</f>
        <v>M5XKA1</v>
      </c>
      <c r="D20648" s="2" t="s">
        <v>5656</v>
      </c>
      <c r="E20648" s="3">
        <v>2.6500000000000003E-175</v>
      </c>
      <c r="F20648" s="2">
        <v>1385</v>
      </c>
      <c r="G20648" s="2">
        <v>88</v>
      </c>
      <c r="H20648" s="2">
        <v>309</v>
      </c>
      <c r="I20648" s="2">
        <v>1239</v>
      </c>
      <c r="J20648" s="2">
        <v>2165</v>
      </c>
      <c r="K20648" s="2">
        <v>23</v>
      </c>
      <c r="L20648" s="2">
        <v>331</v>
      </c>
    </row>
    <row r="20649" spans="1:12" x14ac:dyDescent="0.25">
      <c r="A20649" s="4" t="str">
        <f>HYPERLINK("http://www.rosaceae.org/Prunus/Prunus_persica/p.persica_gdr_reftransV1_0015407","p.persica_gdr_reftransV1_0015407")</f>
        <v>p.persica_gdr_reftransV1_0015407</v>
      </c>
      <c r="B20649" s="2">
        <v>2937</v>
      </c>
      <c r="C20649" s="4" t="str">
        <f>HYPERLINK("http://www.uniprot.org/uniprot/M5VZX2","M5VZX2")</f>
        <v>M5VZX2</v>
      </c>
      <c r="D20649" s="2" t="s">
        <v>3546</v>
      </c>
      <c r="E20649" s="3">
        <v>0</v>
      </c>
      <c r="F20649" s="2">
        <v>2233</v>
      </c>
      <c r="G20649" s="2">
        <v>99</v>
      </c>
      <c r="H20649" s="2">
        <v>478</v>
      </c>
      <c r="I20649" s="2">
        <v>880</v>
      </c>
      <c r="J20649" s="2">
        <v>2313</v>
      </c>
      <c r="K20649" s="2">
        <v>1</v>
      </c>
      <c r="L20649" s="2">
        <v>478</v>
      </c>
    </row>
    <row r="20650" spans="1:12" x14ac:dyDescent="0.25">
      <c r="A20650" s="4" t="str">
        <f>HYPERLINK("http://www.rosaceae.org/Prunus/Prunus_persica/p.persica_gdr_reftransV1_0016107","p.persica_gdr_reftransV1_0016107")</f>
        <v>p.persica_gdr_reftransV1_0016107</v>
      </c>
      <c r="B20650" s="2">
        <v>3199</v>
      </c>
      <c r="C20650" s="4" t="str">
        <f>HYPERLINK("http://www.uniprot.org/uniprot/M5WA91","M5WA91")</f>
        <v>M5WA91</v>
      </c>
      <c r="D20650" s="2" t="s">
        <v>12341</v>
      </c>
      <c r="E20650" s="3">
        <v>7.6800000000000003E-82</v>
      </c>
      <c r="F20650" s="2">
        <v>707</v>
      </c>
      <c r="G20650" s="2">
        <v>100</v>
      </c>
      <c r="H20650" s="2">
        <v>149</v>
      </c>
      <c r="I20650" s="2">
        <v>2608</v>
      </c>
      <c r="J20650" s="2">
        <v>3054</v>
      </c>
      <c r="K20650" s="2">
        <v>1</v>
      </c>
      <c r="L20650" s="2">
        <v>149</v>
      </c>
    </row>
    <row r="20651" spans="1:12" x14ac:dyDescent="0.25">
      <c r="A20651" s="4" t="str">
        <f>HYPERLINK("http://www.rosaceae.org/Prunus/Prunus_persica/p.persica_gdr_reftransV1_0016457","p.persica_gdr_reftransV1_0016457")</f>
        <v>p.persica_gdr_reftransV1_0016457</v>
      </c>
      <c r="B20651" s="2">
        <v>2168</v>
      </c>
      <c r="C20651" s="4" t="str">
        <f>HYPERLINK("http://www.uniprot.org/uniprot/M5XXN1","M5XXN1")</f>
        <v>M5XXN1</v>
      </c>
      <c r="D20651" s="2" t="s">
        <v>12034</v>
      </c>
      <c r="E20651" s="3">
        <v>0</v>
      </c>
      <c r="F20651" s="2">
        <v>2725</v>
      </c>
      <c r="G20651" s="2">
        <v>92</v>
      </c>
      <c r="H20651" s="2">
        <v>644</v>
      </c>
      <c r="I20651" s="2">
        <v>95</v>
      </c>
      <c r="J20651" s="2">
        <v>2026</v>
      </c>
      <c r="K20651" s="2">
        <v>1</v>
      </c>
      <c r="L20651" s="2">
        <v>617</v>
      </c>
    </row>
    <row r="20652" spans="1:12" x14ac:dyDescent="0.25">
      <c r="A20652" s="4" t="str">
        <f>HYPERLINK("http://www.rosaceae.org/Prunus/Prunus_persica/p.persica_gdr_reftransV1_0019257","p.persica_gdr_reftransV1_0019257")</f>
        <v>p.persica_gdr_reftransV1_0019257</v>
      </c>
      <c r="B20652" s="2">
        <v>3135</v>
      </c>
      <c r="C20652" s="4" t="str">
        <f>HYPERLINK("http://www.uniprot.org/uniprot/M5X7R9","M5X7R9")</f>
        <v>M5X7R9</v>
      </c>
      <c r="D20652" s="2" t="s">
        <v>15557</v>
      </c>
      <c r="E20652" s="3">
        <v>0</v>
      </c>
      <c r="F20652" s="2">
        <v>5137</v>
      </c>
      <c r="G20652" s="2">
        <v>100</v>
      </c>
      <c r="H20652" s="2">
        <v>1016</v>
      </c>
      <c r="I20652" s="2">
        <v>86</v>
      </c>
      <c r="J20652" s="2">
        <v>3133</v>
      </c>
      <c r="K20652" s="2">
        <v>71</v>
      </c>
      <c r="L20652" s="2">
        <v>1086</v>
      </c>
    </row>
    <row r="20653" spans="1:12" x14ac:dyDescent="0.25">
      <c r="A20653" s="4" t="str">
        <f>HYPERLINK("http://www.rosaceae.org/Prunus/Prunus_persica/p.persica_gdr_reftransV1_0020657","p.persica_gdr_reftransV1_0020657")</f>
        <v>p.persica_gdr_reftransV1_0020657</v>
      </c>
      <c r="B20653" s="2">
        <v>1833</v>
      </c>
      <c r="C20653" s="4" t="str">
        <f>HYPERLINK("http://www.uniprot.org/uniprot/M5VQ52","M5VQ52")</f>
        <v>M5VQ52</v>
      </c>
      <c r="D20653" s="2" t="s">
        <v>15558</v>
      </c>
      <c r="E20653" s="3">
        <v>5.2199999999999997E-79</v>
      </c>
      <c r="F20653" s="2">
        <v>663</v>
      </c>
      <c r="G20653" s="2">
        <v>100</v>
      </c>
      <c r="H20653" s="2">
        <v>146</v>
      </c>
      <c r="I20653" s="2">
        <v>292</v>
      </c>
      <c r="J20653" s="2">
        <v>729</v>
      </c>
      <c r="K20653" s="2">
        <v>1</v>
      </c>
      <c r="L20653" s="2">
        <v>146</v>
      </c>
    </row>
    <row r="20654" spans="1:12" x14ac:dyDescent="0.25">
      <c r="A20654" s="4" t="str">
        <f>HYPERLINK("http://www.rosaceae.org/Prunus/Prunus_persica/p.persica_gdr_reftransV1_0021707","p.persica_gdr_reftransV1_0021707")</f>
        <v>p.persica_gdr_reftransV1_0021707</v>
      </c>
      <c r="B20654" s="2">
        <v>1951</v>
      </c>
      <c r="C20654" s="4" t="str">
        <f>HYPERLINK("http://www.uniprot.org/uniprot/M5X5U3","M5X5U3")</f>
        <v>M5X5U3</v>
      </c>
      <c r="D20654" s="2" t="s">
        <v>14061</v>
      </c>
      <c r="E20654" s="3">
        <v>3.7E-134</v>
      </c>
      <c r="F20654" s="2">
        <v>1079</v>
      </c>
      <c r="G20654" s="2">
        <v>95</v>
      </c>
      <c r="H20654" s="2">
        <v>211</v>
      </c>
      <c r="I20654" s="2">
        <v>1319</v>
      </c>
      <c r="J20654" s="2">
        <v>1951</v>
      </c>
      <c r="K20654" s="2">
        <v>290</v>
      </c>
      <c r="L20654" s="2">
        <v>500</v>
      </c>
    </row>
    <row r="20655" spans="1:12" x14ac:dyDescent="0.25">
      <c r="A20655" s="4" t="str">
        <f>HYPERLINK("http://www.rosaceae.org/Prunus/Prunus_persica/p.persica_gdr_reftransV1_0022057","p.persica_gdr_reftransV1_0022057")</f>
        <v>p.persica_gdr_reftransV1_0022057</v>
      </c>
      <c r="B20655" s="2">
        <v>2992</v>
      </c>
      <c r="C20655" s="4" t="str">
        <f>HYPERLINK("http://www.uniprot.org/uniprot/M5XWC7","M5XWC7")</f>
        <v>M5XWC7</v>
      </c>
      <c r="D20655" s="2" t="s">
        <v>15559</v>
      </c>
      <c r="E20655" s="3">
        <v>7.5300000000000002E-119</v>
      </c>
      <c r="F20655" s="2">
        <v>974</v>
      </c>
      <c r="G20655" s="2">
        <v>100</v>
      </c>
      <c r="H20655" s="2">
        <v>236</v>
      </c>
      <c r="I20655" s="2">
        <v>2051</v>
      </c>
      <c r="J20655" s="2">
        <v>2758</v>
      </c>
      <c r="K20655" s="2">
        <v>41</v>
      </c>
      <c r="L20655" s="2">
        <v>276</v>
      </c>
    </row>
    <row r="20656" spans="1:12" x14ac:dyDescent="0.25">
      <c r="A20656" s="4" t="str">
        <f>HYPERLINK("http://www.rosaceae.org/Prunus/Prunus_persica/p.persica_gdr_reftransV1_0022407","p.persica_gdr_reftransV1_0022407")</f>
        <v>p.persica_gdr_reftransV1_0022407</v>
      </c>
      <c r="B20656" s="2">
        <v>1598</v>
      </c>
      <c r="C20656" s="4" t="str">
        <f>HYPERLINK("http://www.uniprot.org/uniprot/K7LUS9","K7LUS9")</f>
        <v>K7LUS9</v>
      </c>
      <c r="D20656" s="2" t="s">
        <v>575</v>
      </c>
      <c r="E20656" s="3">
        <v>2.3100000000000001E-180</v>
      </c>
      <c r="F20656" s="2">
        <v>1038</v>
      </c>
      <c r="G20656" s="2">
        <v>84</v>
      </c>
      <c r="H20656" s="2">
        <v>231</v>
      </c>
      <c r="I20656" s="2">
        <v>772</v>
      </c>
      <c r="J20656" s="2">
        <v>1464</v>
      </c>
      <c r="K20656" s="2">
        <v>228</v>
      </c>
      <c r="L20656" s="2">
        <v>458</v>
      </c>
    </row>
    <row r="20657" spans="1:12" x14ac:dyDescent="0.25">
      <c r="A20657" s="4" t="str">
        <f>HYPERLINK("http://www.rosaceae.org/Prunus/Prunus_persica/p.persica_gdr_reftransV1_0023107","p.persica_gdr_reftransV1_0023107")</f>
        <v>p.persica_gdr_reftransV1_0023107</v>
      </c>
      <c r="B20657" s="2">
        <v>1626</v>
      </c>
      <c r="C20657" s="4" t="str">
        <f>HYPERLINK("http://www.uniprot.org/uniprot/M5XPJ5","M5XPJ5")</f>
        <v>M5XPJ5</v>
      </c>
      <c r="D20657" s="2" t="s">
        <v>15560</v>
      </c>
      <c r="E20657" s="3">
        <v>4.7199999999999998E-126</v>
      </c>
      <c r="F20657" s="2">
        <v>744</v>
      </c>
      <c r="G20657" s="2">
        <v>74</v>
      </c>
      <c r="H20657" s="2">
        <v>203</v>
      </c>
      <c r="I20657" s="2">
        <v>494</v>
      </c>
      <c r="J20657" s="2">
        <v>1102</v>
      </c>
      <c r="K20657" s="2">
        <v>121</v>
      </c>
      <c r="L20657" s="2">
        <v>323</v>
      </c>
    </row>
    <row r="20658" spans="1:12" x14ac:dyDescent="0.25">
      <c r="A20658" s="4" t="str">
        <f>HYPERLINK("http://www.rosaceae.org/Prunus/Prunus_persica/p.persica_gdr_reftransV1_0024507","p.persica_gdr_reftransV1_0024507")</f>
        <v>p.persica_gdr_reftransV1_0024507</v>
      </c>
      <c r="B20658" s="2">
        <v>2327</v>
      </c>
      <c r="C20658" s="4" t="str">
        <f>HYPERLINK("http://www.uniprot.org/uniprot/M5XJH0","M5XJH0")</f>
        <v>M5XJH0</v>
      </c>
      <c r="D20658" s="2" t="s">
        <v>15561</v>
      </c>
      <c r="E20658" s="3">
        <v>0</v>
      </c>
      <c r="F20658" s="2">
        <v>2209</v>
      </c>
      <c r="G20658" s="2">
        <v>100</v>
      </c>
      <c r="H20658" s="2">
        <v>461</v>
      </c>
      <c r="I20658" s="2">
        <v>266</v>
      </c>
      <c r="J20658" s="2">
        <v>1648</v>
      </c>
      <c r="K20658" s="2">
        <v>1</v>
      </c>
      <c r="L20658" s="2">
        <v>461</v>
      </c>
    </row>
    <row r="20659" spans="1:12" x14ac:dyDescent="0.25">
      <c r="A20659" s="4" t="str">
        <f>HYPERLINK("http://www.rosaceae.org/Prunus/Prunus_persica/p.persica_gdr_reftransV1_0025907","p.persica_gdr_reftransV1_0025907")</f>
        <v>p.persica_gdr_reftransV1_0025907</v>
      </c>
      <c r="B20659" s="2">
        <v>2051</v>
      </c>
      <c r="C20659" s="4" t="str">
        <f>HYPERLINK("http://www.uniprot.org/uniprot/A0A0A0KU61","A0A0A0KU61")</f>
        <v>A0A0A0KU61</v>
      </c>
      <c r="D20659" s="2" t="s">
        <v>15562</v>
      </c>
      <c r="E20659" s="3">
        <v>0</v>
      </c>
      <c r="F20659" s="2">
        <v>1894</v>
      </c>
      <c r="G20659" s="2">
        <v>68</v>
      </c>
      <c r="H20659" s="2">
        <v>531</v>
      </c>
      <c r="I20659" s="2">
        <v>124</v>
      </c>
      <c r="J20659" s="2">
        <v>1707</v>
      </c>
      <c r="K20659" s="2">
        <v>32</v>
      </c>
      <c r="L20659" s="2">
        <v>561</v>
      </c>
    </row>
    <row r="20660" spans="1:12" x14ac:dyDescent="0.25">
      <c r="A20660" s="4" t="str">
        <f>HYPERLINK("http://www.rosaceae.org/Prunus/Prunus_persica/p.persica_gdr_reftransV1_0026607","p.persica_gdr_reftransV1_0026607")</f>
        <v>p.persica_gdr_reftransV1_0026607</v>
      </c>
      <c r="B20660" s="2">
        <v>596</v>
      </c>
      <c r="C20660" s="4" t="str">
        <f>HYPERLINK("http://www.uniprot.org/uniprot/M5XAV4","M5XAV4")</f>
        <v>M5XAV4</v>
      </c>
      <c r="D20660" s="2" t="s">
        <v>8443</v>
      </c>
      <c r="E20660" s="3">
        <v>6.1399999999999997E-64</v>
      </c>
      <c r="F20660" s="2">
        <v>569</v>
      </c>
      <c r="G20660" s="2">
        <v>98</v>
      </c>
      <c r="H20660" s="2">
        <v>106</v>
      </c>
      <c r="I20660" s="2">
        <v>44</v>
      </c>
      <c r="J20660" s="2">
        <v>361</v>
      </c>
      <c r="K20660" s="2">
        <v>1</v>
      </c>
      <c r="L20660" s="2">
        <v>106</v>
      </c>
    </row>
    <row r="20661" spans="1:12" x14ac:dyDescent="0.25">
      <c r="A20661" s="4" t="str">
        <f>HYPERLINK("http://www.rosaceae.org/Prunus/Prunus_persica/p.persica_gdr_reftransV1_0027307","p.persica_gdr_reftransV1_0027307")</f>
        <v>p.persica_gdr_reftransV1_0027307</v>
      </c>
      <c r="B20661" s="2">
        <v>1020</v>
      </c>
      <c r="C20661" s="4" t="str">
        <f>HYPERLINK("http://www.uniprot.org/uniprot/M5WNJ2","M5WNJ2")</f>
        <v>M5WNJ2</v>
      </c>
      <c r="D20661" s="2" t="s">
        <v>15563</v>
      </c>
      <c r="E20661" s="3">
        <v>5.4299999999999999E-133</v>
      </c>
      <c r="F20661" s="2">
        <v>998</v>
      </c>
      <c r="G20661" s="2">
        <v>99</v>
      </c>
      <c r="H20661" s="2">
        <v>188</v>
      </c>
      <c r="I20661" s="2">
        <v>88</v>
      </c>
      <c r="J20661" s="2">
        <v>651</v>
      </c>
      <c r="K20661" s="2">
        <v>1</v>
      </c>
      <c r="L20661" s="2">
        <v>188</v>
      </c>
    </row>
    <row r="20662" spans="1:12" x14ac:dyDescent="0.25">
      <c r="A20662" s="4" t="str">
        <f>HYPERLINK("http://www.rosaceae.org/Prunus/Prunus_persica/p.persica_gdr_reftransV1_0028357","p.persica_gdr_reftransV1_0028357")</f>
        <v>p.persica_gdr_reftransV1_0028357</v>
      </c>
      <c r="B20662" s="2">
        <v>2486</v>
      </c>
      <c r="C20662" s="4" t="str">
        <f>HYPERLINK("http://www.uniprot.org/uniprot/M5W2Q8","M5W2Q8")</f>
        <v>M5W2Q8</v>
      </c>
      <c r="D20662" s="2" t="s">
        <v>15564</v>
      </c>
      <c r="E20662" s="3">
        <v>0</v>
      </c>
      <c r="F20662" s="2">
        <v>1712</v>
      </c>
      <c r="G20662" s="2">
        <v>100</v>
      </c>
      <c r="H20662" s="2">
        <v>335</v>
      </c>
      <c r="I20662" s="2">
        <v>252</v>
      </c>
      <c r="J20662" s="2">
        <v>1256</v>
      </c>
      <c r="K20662" s="2">
        <v>1</v>
      </c>
      <c r="L20662" s="2">
        <v>335</v>
      </c>
    </row>
    <row r="20663" spans="1:12" x14ac:dyDescent="0.25">
      <c r="A20663" s="4" t="str">
        <f>HYPERLINK("http://www.rosaceae.org/Prunus/Prunus_persica/p.persica_gdr_reftransV1_0029057","p.persica_gdr_reftransV1_0029057")</f>
        <v>p.persica_gdr_reftransV1_0029057</v>
      </c>
      <c r="B20663" s="2">
        <v>1544</v>
      </c>
      <c r="C20663" s="4" t="str">
        <f>HYPERLINK("http://www.uniprot.org/uniprot/M5WUR7","M5WUR7")</f>
        <v>M5WUR7</v>
      </c>
      <c r="D20663" s="2" t="s">
        <v>15565</v>
      </c>
      <c r="E20663" s="3">
        <v>0</v>
      </c>
      <c r="F20663" s="2">
        <v>1545</v>
      </c>
      <c r="G20663" s="2">
        <v>100</v>
      </c>
      <c r="H20663" s="2">
        <v>315</v>
      </c>
      <c r="I20663" s="2">
        <v>599</v>
      </c>
      <c r="J20663" s="2">
        <v>1543</v>
      </c>
      <c r="K20663" s="2">
        <v>1</v>
      </c>
      <c r="L20663" s="2">
        <v>315</v>
      </c>
    </row>
    <row r="20664" spans="1:12" x14ac:dyDescent="0.25">
      <c r="A20664" s="4" t="str">
        <f>HYPERLINK("http://www.rosaceae.org/Prunus/Prunus_persica/p.persica_gdr_reftransV1_0030807","p.persica_gdr_reftransV1_0030807")</f>
        <v>p.persica_gdr_reftransV1_0030807</v>
      </c>
      <c r="B20664" s="2">
        <v>3617</v>
      </c>
      <c r="C20664" s="4" t="str">
        <f>HYPERLINK("http://www.uniprot.org/uniprot/M5X1M0","M5X1M0")</f>
        <v>M5X1M0</v>
      </c>
      <c r="D20664" s="2" t="s">
        <v>15566</v>
      </c>
      <c r="E20664" s="3">
        <v>0</v>
      </c>
      <c r="F20664" s="2">
        <v>1941</v>
      </c>
      <c r="G20664" s="2">
        <v>100</v>
      </c>
      <c r="H20664" s="2">
        <v>359</v>
      </c>
      <c r="I20664" s="2">
        <v>2294</v>
      </c>
      <c r="J20664" s="2">
        <v>3370</v>
      </c>
      <c r="K20664" s="2">
        <v>1</v>
      </c>
      <c r="L20664" s="2">
        <v>359</v>
      </c>
    </row>
    <row r="20665" spans="1:12" x14ac:dyDescent="0.25">
      <c r="A20665" s="4" t="str">
        <f>HYPERLINK("http://www.rosaceae.org/Prunus/Prunus_persica/p.persica_gdr_reftransV1_0031157","p.persica_gdr_reftransV1_0031157")</f>
        <v>p.persica_gdr_reftransV1_0031157</v>
      </c>
      <c r="B20665" s="2">
        <v>2321</v>
      </c>
      <c r="C20665" s="4" t="str">
        <f>HYPERLINK("http://www.uniprot.org/uniprot/M5XLH5","M5XLH5")</f>
        <v>M5XLH5</v>
      </c>
      <c r="D20665" s="2" t="s">
        <v>15567</v>
      </c>
      <c r="E20665" s="3">
        <v>3.1300000000000002E-103</v>
      </c>
      <c r="F20665" s="2">
        <v>850</v>
      </c>
      <c r="G20665" s="2">
        <v>94</v>
      </c>
      <c r="H20665" s="2">
        <v>239</v>
      </c>
      <c r="I20665" s="2">
        <v>630</v>
      </c>
      <c r="J20665" s="2">
        <v>1343</v>
      </c>
      <c r="K20665" s="2">
        <v>68</v>
      </c>
      <c r="L20665" s="2">
        <v>306</v>
      </c>
    </row>
    <row r="20666" spans="1:12" x14ac:dyDescent="0.25">
      <c r="A20666" s="4" t="str">
        <f>HYPERLINK("http://www.rosaceae.org/Prunus/Prunus_persica/p.persica_gdr_reftransV1_0032557","p.persica_gdr_reftransV1_0032557")</f>
        <v>p.persica_gdr_reftransV1_0032557</v>
      </c>
      <c r="B20666" s="2">
        <v>2738</v>
      </c>
      <c r="C20666" s="4" t="str">
        <f>HYPERLINK("http://www.uniprot.org/uniprot/M5WAK2","M5WAK2")</f>
        <v>M5WAK2</v>
      </c>
      <c r="D20666" s="2" t="s">
        <v>11587</v>
      </c>
      <c r="E20666" s="3">
        <v>0</v>
      </c>
      <c r="F20666" s="2">
        <v>1768</v>
      </c>
      <c r="G20666" s="2">
        <v>95</v>
      </c>
      <c r="H20666" s="2">
        <v>369</v>
      </c>
      <c r="I20666" s="2">
        <v>1537</v>
      </c>
      <c r="J20666" s="2">
        <v>2643</v>
      </c>
      <c r="K20666" s="2">
        <v>1</v>
      </c>
      <c r="L20666" s="2">
        <v>369</v>
      </c>
    </row>
    <row r="20667" spans="1:12" x14ac:dyDescent="0.25">
      <c r="A20667" s="4" t="str">
        <f>HYPERLINK("http://www.rosaceae.org/Prunus/Prunus_persica/p.persica_gdr_reftransV1_0034657","p.persica_gdr_reftransV1_0034657")</f>
        <v>p.persica_gdr_reftransV1_0034657</v>
      </c>
      <c r="B20667" s="2">
        <v>6169</v>
      </c>
      <c r="C20667" s="4" t="str">
        <f>HYPERLINK("http://www.uniprot.org/uniprot/M5XE26","M5XE26")</f>
        <v>M5XE26</v>
      </c>
      <c r="D20667" s="2" t="s">
        <v>15568</v>
      </c>
      <c r="E20667" s="3">
        <v>0</v>
      </c>
      <c r="F20667" s="2">
        <v>2443</v>
      </c>
      <c r="G20667" s="2">
        <v>100</v>
      </c>
      <c r="H20667" s="2">
        <v>460</v>
      </c>
      <c r="I20667" s="2">
        <v>4407</v>
      </c>
      <c r="J20667" s="2">
        <v>5786</v>
      </c>
      <c r="K20667" s="2">
        <v>1</v>
      </c>
      <c r="L20667" s="2">
        <v>460</v>
      </c>
    </row>
    <row r="20668" spans="1:12" x14ac:dyDescent="0.25">
      <c r="A20668" s="4" t="str">
        <f>HYPERLINK("http://www.rosaceae.org/Prunus/Prunus_persica/p.persica_gdr_reftransV1_0039557","p.persica_gdr_reftransV1_0039557")</f>
        <v>p.persica_gdr_reftransV1_0039557</v>
      </c>
      <c r="B20668" s="2">
        <v>1228</v>
      </c>
      <c r="C20668" s="4" t="str">
        <f>HYPERLINK("http://www.uniprot.org/uniprot/A0A067GT29","A0A067GT29")</f>
        <v>A0A067GT29</v>
      </c>
      <c r="D20668" s="2" t="s">
        <v>15569</v>
      </c>
      <c r="E20668" s="3">
        <v>4.42E-122</v>
      </c>
      <c r="F20668" s="2">
        <v>942</v>
      </c>
      <c r="G20668" s="2">
        <v>79</v>
      </c>
      <c r="H20668" s="2">
        <v>219</v>
      </c>
      <c r="I20668" s="2">
        <v>276</v>
      </c>
      <c r="J20668" s="2">
        <v>929</v>
      </c>
      <c r="K20668" s="2">
        <v>61</v>
      </c>
      <c r="L20668" s="2">
        <v>279</v>
      </c>
    </row>
    <row r="20669" spans="1:12" x14ac:dyDescent="0.25">
      <c r="A20669" s="4" t="str">
        <f>HYPERLINK("http://www.rosaceae.org/Prunus/Prunus_persica/p.persica_gdr_reftransV1_0043057","p.persica_gdr_reftransV1_0043057")</f>
        <v>p.persica_gdr_reftransV1_0043057</v>
      </c>
      <c r="B20669" s="2">
        <v>413</v>
      </c>
      <c r="C20669" s="4" t="str">
        <f>HYPERLINK("http://www.uniprot.org/uniprot/M5X757","M5X757")</f>
        <v>M5X757</v>
      </c>
      <c r="D20669" s="2" t="s">
        <v>9830</v>
      </c>
      <c r="E20669" s="3">
        <v>3.6799999999999997E-58</v>
      </c>
      <c r="F20669" s="2">
        <v>522</v>
      </c>
      <c r="G20669" s="2">
        <v>87</v>
      </c>
      <c r="H20669" s="2">
        <v>119</v>
      </c>
      <c r="I20669" s="2">
        <v>1</v>
      </c>
      <c r="J20669" s="2">
        <v>354</v>
      </c>
      <c r="K20669" s="2">
        <v>1025</v>
      </c>
      <c r="L20669" s="2">
        <v>1143</v>
      </c>
    </row>
    <row r="20670" spans="1:12" x14ac:dyDescent="0.25">
      <c r="A20670" s="4" t="str">
        <f>HYPERLINK("http://www.rosaceae.org/Prunus/Prunus_persica/p.persica_gdr_reftransV1_0043407","p.persica_gdr_reftransV1_0043407")</f>
        <v>p.persica_gdr_reftransV1_0043407</v>
      </c>
      <c r="B20670" s="2">
        <v>1094</v>
      </c>
      <c r="C20670" s="4" t="str">
        <f>HYPERLINK("http://www.uniprot.org/uniprot/M5X6Q1","M5X6Q1")</f>
        <v>M5X6Q1</v>
      </c>
      <c r="D20670" s="2" t="s">
        <v>15570</v>
      </c>
      <c r="E20670" s="3">
        <v>1.7300000000000001E-140</v>
      </c>
      <c r="F20670" s="2">
        <v>1051</v>
      </c>
      <c r="G20670" s="2">
        <v>100</v>
      </c>
      <c r="H20670" s="2">
        <v>200</v>
      </c>
      <c r="I20670" s="2">
        <v>201</v>
      </c>
      <c r="J20670" s="2">
        <v>800</v>
      </c>
      <c r="K20670" s="2">
        <v>1</v>
      </c>
      <c r="L20670" s="2">
        <v>200</v>
      </c>
    </row>
    <row r="20671" spans="1:12" x14ac:dyDescent="0.25">
      <c r="A20671" s="4" t="str">
        <f>HYPERLINK("http://www.rosaceae.org/Prunus/Prunus_persica/p.persica_gdr_reftransV1_0043757","p.persica_gdr_reftransV1_0043757")</f>
        <v>p.persica_gdr_reftransV1_0043757</v>
      </c>
      <c r="B20671" s="2">
        <v>826</v>
      </c>
      <c r="C20671" s="4" t="str">
        <f>HYPERLINK("http://www.uniprot.org/uniprot/M5VRG6","M5VRG6")</f>
        <v>M5VRG6</v>
      </c>
      <c r="D20671" s="2" t="s">
        <v>15571</v>
      </c>
      <c r="E20671" s="3">
        <v>3.1600000000000001E-99</v>
      </c>
      <c r="F20671" s="2">
        <v>765</v>
      </c>
      <c r="G20671" s="2">
        <v>100</v>
      </c>
      <c r="H20671" s="2">
        <v>158</v>
      </c>
      <c r="I20671" s="2">
        <v>332</v>
      </c>
      <c r="J20671" s="2">
        <v>805</v>
      </c>
      <c r="K20671" s="2">
        <v>1</v>
      </c>
      <c r="L20671" s="2">
        <v>158</v>
      </c>
    </row>
    <row r="20672" spans="1:12" x14ac:dyDescent="0.25">
      <c r="A20672" s="4" t="str">
        <f>HYPERLINK("http://www.rosaceae.org/Prunus/Prunus_persica/p.persica_gdr_reftransV1_0044107","p.persica_gdr_reftransV1_0044107")</f>
        <v>p.persica_gdr_reftransV1_0044107</v>
      </c>
      <c r="B20672" s="2">
        <v>776</v>
      </c>
      <c r="C20672" s="4" t="str">
        <f>HYPERLINK("http://www.uniprot.org/uniprot/M5W820","M5W820")</f>
        <v>M5W820</v>
      </c>
      <c r="D20672" s="2" t="s">
        <v>15572</v>
      </c>
      <c r="E20672" s="3">
        <v>3.4500000000000002E-95</v>
      </c>
      <c r="F20672" s="2">
        <v>741</v>
      </c>
      <c r="G20672" s="2">
        <v>95</v>
      </c>
      <c r="H20672" s="2">
        <v>153</v>
      </c>
      <c r="I20672" s="2">
        <v>169</v>
      </c>
      <c r="J20672" s="2">
        <v>627</v>
      </c>
      <c r="K20672" s="2">
        <v>1</v>
      </c>
      <c r="L20672" s="2">
        <v>151</v>
      </c>
    </row>
    <row r="20673" spans="1:12" x14ac:dyDescent="0.25">
      <c r="A20673" s="4" t="str">
        <f>HYPERLINK("http://www.rosaceae.org/Prunus/Prunus_persica/p.persica_gdr_reftransV1_0044457","p.persica_gdr_reftransV1_0044457")</f>
        <v>p.persica_gdr_reftransV1_0044457</v>
      </c>
      <c r="B20673" s="2">
        <v>1735</v>
      </c>
      <c r="C20673" s="4" t="str">
        <f>HYPERLINK("http://www.uniprot.org/uniprot/M5VYW7","M5VYW7")</f>
        <v>M5VYW7</v>
      </c>
      <c r="D20673" s="2" t="s">
        <v>15573</v>
      </c>
      <c r="E20673" s="3">
        <v>0</v>
      </c>
      <c r="F20673" s="2">
        <v>1793</v>
      </c>
      <c r="G20673" s="2">
        <v>94</v>
      </c>
      <c r="H20673" s="2">
        <v>378</v>
      </c>
      <c r="I20673" s="2">
        <v>253</v>
      </c>
      <c r="J20673" s="2">
        <v>1386</v>
      </c>
      <c r="K20673" s="2">
        <v>1</v>
      </c>
      <c r="L20673" s="2">
        <v>356</v>
      </c>
    </row>
    <row r="20674" spans="1:12" x14ac:dyDescent="0.25">
      <c r="A20674" s="4" t="str">
        <f>HYPERLINK("http://www.rosaceae.org/Prunus/Prunus_persica/p.persica_gdr_reftransV1_0045157","p.persica_gdr_reftransV1_0045157")</f>
        <v>p.persica_gdr_reftransV1_0045157</v>
      </c>
      <c r="B20674" s="2">
        <v>335</v>
      </c>
      <c r="C20674" s="4" t="str">
        <f>HYPERLINK("http://www.uniprot.org/uniprot/M5W7H0","M5W7H0")</f>
        <v>M5W7H0</v>
      </c>
      <c r="D20674" s="2" t="s">
        <v>15574</v>
      </c>
      <c r="E20674" s="3">
        <v>1.15E-61</v>
      </c>
      <c r="F20674" s="2">
        <v>527</v>
      </c>
      <c r="G20674" s="2">
        <v>86</v>
      </c>
      <c r="H20674" s="2">
        <v>111</v>
      </c>
      <c r="I20674" s="2">
        <v>2</v>
      </c>
      <c r="J20674" s="2">
        <v>334</v>
      </c>
      <c r="K20674" s="2">
        <v>10</v>
      </c>
      <c r="L20674" s="2">
        <v>120</v>
      </c>
    </row>
    <row r="20675" spans="1:12" x14ac:dyDescent="0.25">
      <c r="A20675" s="4" t="str">
        <f>HYPERLINK("http://www.rosaceae.org/Prunus/Prunus_persica/p.persica_gdr_reftransV1_0046207","p.persica_gdr_reftransV1_0046207")</f>
        <v>p.persica_gdr_reftransV1_0046207</v>
      </c>
      <c r="B20675" s="2">
        <v>1423</v>
      </c>
      <c r="C20675" s="4" t="str">
        <f>HYPERLINK("http://www.uniprot.org/uniprot/M5WJW7","M5WJW7")</f>
        <v>M5WJW7</v>
      </c>
      <c r="D20675" s="2" t="s">
        <v>5879</v>
      </c>
      <c r="E20675" s="3">
        <v>0</v>
      </c>
      <c r="F20675" s="2">
        <v>1554</v>
      </c>
      <c r="G20675" s="2">
        <v>100</v>
      </c>
      <c r="H20675" s="2">
        <v>336</v>
      </c>
      <c r="I20675" s="2">
        <v>416</v>
      </c>
      <c r="J20675" s="2">
        <v>1423</v>
      </c>
      <c r="K20675" s="2">
        <v>542</v>
      </c>
      <c r="L20675" s="2">
        <v>877</v>
      </c>
    </row>
    <row r="20676" spans="1:12" x14ac:dyDescent="0.25">
      <c r="A20676" s="4" t="str">
        <f>HYPERLINK("http://www.rosaceae.org/Prunus/Prunus_persica/p.persica_gdr_reftransV1_0046557","p.persica_gdr_reftransV1_0046557")</f>
        <v>p.persica_gdr_reftransV1_0046557</v>
      </c>
      <c r="B20676" s="2">
        <v>2839</v>
      </c>
      <c r="C20676" s="4" t="str">
        <f>HYPERLINK("http://www.uniprot.org/uniprot/M5WCT3","M5WCT3")</f>
        <v>M5WCT3</v>
      </c>
      <c r="D20676" s="2" t="s">
        <v>11704</v>
      </c>
      <c r="E20676" s="3">
        <v>0</v>
      </c>
      <c r="F20676" s="2">
        <v>3588</v>
      </c>
      <c r="G20676" s="2">
        <v>98</v>
      </c>
      <c r="H20676" s="2">
        <v>729</v>
      </c>
      <c r="I20676" s="2">
        <v>526</v>
      </c>
      <c r="J20676" s="2">
        <v>2673</v>
      </c>
      <c r="K20676" s="2">
        <v>1</v>
      </c>
      <c r="L20676" s="2">
        <v>729</v>
      </c>
    </row>
    <row r="20677" spans="1:12" x14ac:dyDescent="0.25">
      <c r="A20677" s="4" t="str">
        <f>HYPERLINK("http://www.rosaceae.org/Prunus/Prunus_persica/p.persica_gdr_reftransV1_0046907","p.persica_gdr_reftransV1_0046907")</f>
        <v>p.persica_gdr_reftransV1_0046907</v>
      </c>
      <c r="B20677" s="2">
        <v>362</v>
      </c>
      <c r="C20677" s="4" t="str">
        <f>HYPERLINK("http://www.uniprot.org/uniprot/M5WLC7","M5WLC7")</f>
        <v>M5WLC7</v>
      </c>
      <c r="D20677" s="2" t="s">
        <v>15575</v>
      </c>
      <c r="E20677" s="3">
        <v>2.7600000000000001E-80</v>
      </c>
      <c r="F20677" s="2">
        <v>658</v>
      </c>
      <c r="G20677" s="2">
        <v>100</v>
      </c>
      <c r="H20677" s="2">
        <v>120</v>
      </c>
      <c r="I20677" s="2">
        <v>1</v>
      </c>
      <c r="J20677" s="2">
        <v>360</v>
      </c>
      <c r="K20677" s="2">
        <v>347</v>
      </c>
      <c r="L20677" s="2">
        <v>466</v>
      </c>
    </row>
    <row r="20678" spans="1:12" x14ac:dyDescent="0.25">
      <c r="A20678" s="4" t="str">
        <f>HYPERLINK("http://www.rosaceae.org/Prunus/Prunus_persica/p.persica_gdr_reftransV1_0047257","p.persica_gdr_reftransV1_0047257")</f>
        <v>p.persica_gdr_reftransV1_0047257</v>
      </c>
      <c r="B20678" s="2">
        <v>930</v>
      </c>
      <c r="C20678" s="4" t="str">
        <f>HYPERLINK("http://www.uniprot.org/uniprot/M5WAI0","M5WAI0")</f>
        <v>M5WAI0</v>
      </c>
      <c r="D20678" s="2" t="s">
        <v>15556</v>
      </c>
      <c r="E20678" s="3">
        <v>5.4600000000000003E-103</v>
      </c>
      <c r="F20678" s="2">
        <v>798</v>
      </c>
      <c r="G20678" s="2">
        <v>95</v>
      </c>
      <c r="H20678" s="2">
        <v>155</v>
      </c>
      <c r="I20678" s="2">
        <v>443</v>
      </c>
      <c r="J20678" s="2">
        <v>907</v>
      </c>
      <c r="K20678" s="2">
        <v>6</v>
      </c>
      <c r="L20678" s="2">
        <v>160</v>
      </c>
    </row>
    <row r="20679" spans="1:12" x14ac:dyDescent="0.25">
      <c r="A20679" s="4" t="str">
        <f>HYPERLINK("http://www.rosaceae.org/Prunus/Prunus_persica/p.persica_gdr_reftransV1_0047607","p.persica_gdr_reftransV1_0047607")</f>
        <v>p.persica_gdr_reftransV1_0047607</v>
      </c>
      <c r="B20679" s="2">
        <v>952</v>
      </c>
      <c r="C20679" s="4" t="str">
        <f>HYPERLINK("http://www.uniprot.org/uniprot/M5WR24","M5WR24")</f>
        <v>M5WR24</v>
      </c>
      <c r="D20679" s="2" t="s">
        <v>15576</v>
      </c>
      <c r="E20679" s="3">
        <v>1.3700000000000001E-110</v>
      </c>
      <c r="F20679" s="2">
        <v>847</v>
      </c>
      <c r="G20679" s="2">
        <v>100</v>
      </c>
      <c r="H20679" s="2">
        <v>160</v>
      </c>
      <c r="I20679" s="2">
        <v>372</v>
      </c>
      <c r="J20679" s="2">
        <v>851</v>
      </c>
      <c r="K20679" s="2">
        <v>24</v>
      </c>
      <c r="L20679" s="2">
        <v>183</v>
      </c>
    </row>
    <row r="20680" spans="1:12" x14ac:dyDescent="0.25">
      <c r="A20680" s="4" t="str">
        <f>HYPERLINK("http://www.rosaceae.org/Prunus/Prunus_persica/p.persica_gdr_reftransV1_0047957","p.persica_gdr_reftransV1_0047957")</f>
        <v>p.persica_gdr_reftransV1_0047957</v>
      </c>
      <c r="B20680" s="2">
        <v>1153</v>
      </c>
      <c r="C20680" s="4" t="str">
        <f>HYPERLINK("http://www.uniprot.org/uniprot/M5XRN2","M5XRN2")</f>
        <v>M5XRN2</v>
      </c>
      <c r="D20680" s="2" t="s">
        <v>9799</v>
      </c>
      <c r="E20680" s="3">
        <v>2.7100000000000002E-50</v>
      </c>
      <c r="F20680" s="2">
        <v>451</v>
      </c>
      <c r="G20680" s="2">
        <v>98</v>
      </c>
      <c r="H20680" s="2">
        <v>102</v>
      </c>
      <c r="I20680" s="2">
        <v>780</v>
      </c>
      <c r="J20680" s="2">
        <v>1085</v>
      </c>
      <c r="K20680" s="2">
        <v>1</v>
      </c>
      <c r="L20680" s="2">
        <v>102</v>
      </c>
    </row>
    <row r="20681" spans="1:12" x14ac:dyDescent="0.25">
      <c r="A20681" s="4" t="str">
        <f>HYPERLINK("http://www.rosaceae.org/Prunus/Prunus_persica/p.persica_gdr_reftransV1_0048657","p.persica_gdr_reftransV1_0048657")</f>
        <v>p.persica_gdr_reftransV1_0048657</v>
      </c>
      <c r="B20681" s="2">
        <v>1509</v>
      </c>
      <c r="C20681" s="4" t="str">
        <f>HYPERLINK("http://www.uniprot.org/uniprot/M5WYZ8","M5WYZ8")</f>
        <v>M5WYZ8</v>
      </c>
      <c r="D20681" s="2" t="s">
        <v>14330</v>
      </c>
      <c r="E20681" s="3">
        <v>0</v>
      </c>
      <c r="F20681" s="2">
        <v>2652</v>
      </c>
      <c r="G20681" s="2">
        <v>100</v>
      </c>
      <c r="H20681" s="2">
        <v>503</v>
      </c>
      <c r="I20681" s="2">
        <v>1</v>
      </c>
      <c r="J20681" s="2">
        <v>1509</v>
      </c>
      <c r="K20681" s="2">
        <v>306</v>
      </c>
      <c r="L20681" s="2">
        <v>808</v>
      </c>
    </row>
    <row r="20682" spans="1:12" x14ac:dyDescent="0.25">
      <c r="A20682" s="4" t="str">
        <f>HYPERLINK("http://www.rosaceae.org/Prunus/Prunus_persica/p.persica_gdr_reftransV1_0049007","p.persica_gdr_reftransV1_0049007")</f>
        <v>p.persica_gdr_reftransV1_0049007</v>
      </c>
      <c r="B20682" s="2">
        <v>486</v>
      </c>
      <c r="C20682" s="4" t="str">
        <f>HYPERLINK("http://www.uniprot.org/uniprot/M5VU43","M5VU43")</f>
        <v>M5VU43</v>
      </c>
      <c r="D20682" s="2" t="s">
        <v>2766</v>
      </c>
      <c r="E20682" s="3">
        <v>6.6099999999999996E-108</v>
      </c>
      <c r="F20682" s="2">
        <v>861</v>
      </c>
      <c r="G20682" s="2">
        <v>100</v>
      </c>
      <c r="H20682" s="2">
        <v>161</v>
      </c>
      <c r="I20682" s="2">
        <v>3</v>
      </c>
      <c r="J20682" s="2">
        <v>485</v>
      </c>
      <c r="K20682" s="2">
        <v>173</v>
      </c>
      <c r="L20682" s="2">
        <v>333</v>
      </c>
    </row>
    <row r="20683" spans="1:12" x14ac:dyDescent="0.25">
      <c r="A20683" s="4" t="str">
        <f>HYPERLINK("http://www.rosaceae.org/Prunus/Prunus_persica/p.persica_gdr_reftransV1_0000071","p.persica_gdr_reftransV1_0000071")</f>
        <v>p.persica_gdr_reftransV1_0000071</v>
      </c>
      <c r="B20683" s="2">
        <v>2316</v>
      </c>
      <c r="C20683" s="4" t="str">
        <f>HYPERLINK("http://www.uniprot.org/uniprot/M5VSI7","M5VSI7")</f>
        <v>M5VSI7</v>
      </c>
      <c r="D20683" s="2" t="s">
        <v>15577</v>
      </c>
      <c r="E20683" s="3">
        <v>0</v>
      </c>
      <c r="F20683" s="2">
        <v>3922</v>
      </c>
      <c r="G20683" s="2">
        <v>100</v>
      </c>
      <c r="H20683" s="2">
        <v>724</v>
      </c>
      <c r="I20683" s="2">
        <v>3</v>
      </c>
      <c r="J20683" s="2">
        <v>2174</v>
      </c>
      <c r="K20683" s="2">
        <v>182</v>
      </c>
      <c r="L20683" s="2">
        <v>905</v>
      </c>
    </row>
    <row r="20684" spans="1:12" x14ac:dyDescent="0.25">
      <c r="A20684" s="4" t="str">
        <f>HYPERLINK("http://www.rosaceae.org/Prunus/Prunus_persica/p.persica_gdr_reftransV1_0000421","p.persica_gdr_reftransV1_0000421")</f>
        <v>p.persica_gdr_reftransV1_0000421</v>
      </c>
      <c r="B20684" s="2">
        <v>816</v>
      </c>
      <c r="C20684" s="4" t="str">
        <f>HYPERLINK("http://www.uniprot.org/uniprot/A0A061GYI7","A0A061GYI7")</f>
        <v>A0A061GYI7</v>
      </c>
      <c r="D20684" s="2" t="s">
        <v>15578</v>
      </c>
      <c r="E20684" s="3">
        <v>7.7800000000000004E-76</v>
      </c>
      <c r="F20684" s="2">
        <v>618</v>
      </c>
      <c r="G20684" s="2">
        <v>74</v>
      </c>
      <c r="H20684" s="2">
        <v>180</v>
      </c>
      <c r="I20684" s="2">
        <v>62</v>
      </c>
      <c r="J20684" s="2">
        <v>601</v>
      </c>
      <c r="K20684" s="2">
        <v>1</v>
      </c>
      <c r="L20684" s="2">
        <v>179</v>
      </c>
    </row>
    <row r="20685" spans="1:12" x14ac:dyDescent="0.25">
      <c r="A20685" s="4" t="str">
        <f>HYPERLINK("http://www.rosaceae.org/Prunus/Prunus_persica/p.persica_gdr_reftransV1_0001121","p.persica_gdr_reftransV1_0001121")</f>
        <v>p.persica_gdr_reftransV1_0001121</v>
      </c>
      <c r="B20685" s="2">
        <v>2508</v>
      </c>
      <c r="C20685" s="4" t="str">
        <f>HYPERLINK("http://www.uniprot.org/uniprot/M5W714","M5W714")</f>
        <v>M5W714</v>
      </c>
      <c r="D20685" s="2" t="s">
        <v>7297</v>
      </c>
      <c r="E20685" s="3">
        <v>0</v>
      </c>
      <c r="F20685" s="2">
        <v>2461</v>
      </c>
      <c r="G20685" s="2">
        <v>94</v>
      </c>
      <c r="H20685" s="2">
        <v>515</v>
      </c>
      <c r="I20685" s="2">
        <v>769</v>
      </c>
      <c r="J20685" s="2">
        <v>2274</v>
      </c>
      <c r="K20685" s="2">
        <v>1</v>
      </c>
      <c r="L20685" s="2">
        <v>498</v>
      </c>
    </row>
    <row r="20686" spans="1:12" x14ac:dyDescent="0.25">
      <c r="A20686" s="4" t="str">
        <f>HYPERLINK("http://www.rosaceae.org/Prunus/Prunus_persica/p.persica_gdr_reftransV1_0002171","p.persica_gdr_reftransV1_0002171")</f>
        <v>p.persica_gdr_reftransV1_0002171</v>
      </c>
      <c r="B20686" s="2">
        <v>458</v>
      </c>
      <c r="C20686" s="4" t="str">
        <f>HYPERLINK("http://www.uniprot.org/uniprot/W9QRQ4","W9QRQ4")</f>
        <v>W9QRQ4</v>
      </c>
      <c r="D20686" s="2" t="s">
        <v>15579</v>
      </c>
      <c r="E20686" s="3">
        <v>2.04E-47</v>
      </c>
      <c r="F20686" s="2">
        <v>436</v>
      </c>
      <c r="G20686" s="2">
        <v>88</v>
      </c>
      <c r="H20686" s="2">
        <v>100</v>
      </c>
      <c r="I20686" s="2">
        <v>51</v>
      </c>
      <c r="J20686" s="2">
        <v>350</v>
      </c>
      <c r="K20686" s="2">
        <v>8</v>
      </c>
      <c r="L20686" s="2">
        <v>107</v>
      </c>
    </row>
    <row r="20687" spans="1:12" x14ac:dyDescent="0.25">
      <c r="A20687" s="4" t="str">
        <f>HYPERLINK("http://www.rosaceae.org/Prunus/Prunus_persica/p.persica_gdr_reftransV1_0002521","p.persica_gdr_reftransV1_0002521")</f>
        <v>p.persica_gdr_reftransV1_0002521</v>
      </c>
      <c r="B20687" s="2">
        <v>1694</v>
      </c>
      <c r="C20687" s="4" t="str">
        <f>HYPERLINK("http://www.uniprot.org/uniprot/M5WIB2","M5WIB2")</f>
        <v>M5WIB2</v>
      </c>
      <c r="D20687" s="2" t="s">
        <v>12517</v>
      </c>
      <c r="E20687" s="3">
        <v>0</v>
      </c>
      <c r="F20687" s="2">
        <v>1739</v>
      </c>
      <c r="G20687" s="2">
        <v>100</v>
      </c>
      <c r="H20687" s="2">
        <v>384</v>
      </c>
      <c r="I20687" s="2">
        <v>318</v>
      </c>
      <c r="J20687" s="2">
        <v>1469</v>
      </c>
      <c r="K20687" s="2">
        <v>1</v>
      </c>
      <c r="L20687" s="2">
        <v>384</v>
      </c>
    </row>
    <row r="20688" spans="1:12" x14ac:dyDescent="0.25">
      <c r="A20688" s="4" t="str">
        <f>HYPERLINK("http://www.rosaceae.org/Prunus/Prunus_persica/p.persica_gdr_reftransV1_0003221","p.persica_gdr_reftransV1_0003221")</f>
        <v>p.persica_gdr_reftransV1_0003221</v>
      </c>
      <c r="B20688" s="2">
        <v>2598</v>
      </c>
      <c r="C20688" s="4" t="str">
        <f>HYPERLINK("http://www.uniprot.org/uniprot/M5XMC4","M5XMC4")</f>
        <v>M5XMC4</v>
      </c>
      <c r="D20688" s="2" t="s">
        <v>4370</v>
      </c>
      <c r="E20688" s="3">
        <v>0</v>
      </c>
      <c r="F20688" s="2">
        <v>2789</v>
      </c>
      <c r="G20688" s="2">
        <v>99</v>
      </c>
      <c r="H20688" s="2">
        <v>587</v>
      </c>
      <c r="I20688" s="2">
        <v>460</v>
      </c>
      <c r="J20688" s="2">
        <v>2220</v>
      </c>
      <c r="K20688" s="2">
        <v>702</v>
      </c>
      <c r="L20688" s="2">
        <v>1288</v>
      </c>
    </row>
    <row r="20689" spans="1:12" x14ac:dyDescent="0.25">
      <c r="A20689" s="4" t="str">
        <f>HYPERLINK("http://www.rosaceae.org/Prunus/Prunus_persica/p.persica_gdr_reftransV1_0003921","p.persica_gdr_reftransV1_0003921")</f>
        <v>p.persica_gdr_reftransV1_0003921</v>
      </c>
      <c r="B20689" s="2">
        <v>413</v>
      </c>
      <c r="C20689" s="4" t="str">
        <f>HYPERLINK("http://www.uniprot.org/uniprot/M5W499","M5W499")</f>
        <v>M5W499</v>
      </c>
      <c r="D20689" s="2" t="s">
        <v>1085</v>
      </c>
      <c r="E20689" s="3">
        <v>1.8300000000000001E-90</v>
      </c>
      <c r="F20689" s="2">
        <v>711</v>
      </c>
      <c r="G20689" s="2">
        <v>100</v>
      </c>
      <c r="H20689" s="2">
        <v>133</v>
      </c>
      <c r="I20689" s="2">
        <v>2</v>
      </c>
      <c r="J20689" s="2">
        <v>400</v>
      </c>
      <c r="K20689" s="2">
        <v>150</v>
      </c>
      <c r="L20689" s="2">
        <v>282</v>
      </c>
    </row>
    <row r="20690" spans="1:12" x14ac:dyDescent="0.25">
      <c r="A20690" s="4" t="str">
        <f>HYPERLINK("http://www.rosaceae.org/Prunus/Prunus_persica/p.persica_gdr_reftransV1_0004271","p.persica_gdr_reftransV1_0004271")</f>
        <v>p.persica_gdr_reftransV1_0004271</v>
      </c>
      <c r="B20690" s="2">
        <v>5182</v>
      </c>
      <c r="C20690" s="4" t="str">
        <f>HYPERLINK("http://www.uniprot.org/uniprot/M5X7N9","M5X7N9")</f>
        <v>M5X7N9</v>
      </c>
      <c r="D20690" s="2" t="s">
        <v>673</v>
      </c>
      <c r="E20690" s="3">
        <v>0</v>
      </c>
      <c r="F20690" s="2">
        <v>5762</v>
      </c>
      <c r="G20690" s="2">
        <v>97</v>
      </c>
      <c r="H20690" s="2">
        <v>1243</v>
      </c>
      <c r="I20690" s="2">
        <v>1167</v>
      </c>
      <c r="J20690" s="2">
        <v>4880</v>
      </c>
      <c r="K20690" s="2">
        <v>1</v>
      </c>
      <c r="L20690" s="2">
        <v>1234</v>
      </c>
    </row>
    <row r="20691" spans="1:12" x14ac:dyDescent="0.25">
      <c r="A20691" s="4" t="str">
        <f>HYPERLINK("http://www.rosaceae.org/Prunus/Prunus_persica/p.persica_gdr_reftransV1_0004621","p.persica_gdr_reftransV1_0004621")</f>
        <v>p.persica_gdr_reftransV1_0004621</v>
      </c>
      <c r="B20691" s="2">
        <v>3074</v>
      </c>
      <c r="C20691" s="4" t="str">
        <f>HYPERLINK("http://www.uniprot.org/uniprot/M5WMA8","M5WMA8")</f>
        <v>M5WMA8</v>
      </c>
      <c r="D20691" s="2" t="s">
        <v>15580</v>
      </c>
      <c r="E20691" s="3">
        <v>0</v>
      </c>
      <c r="F20691" s="2">
        <v>3407</v>
      </c>
      <c r="G20691" s="2">
        <v>95</v>
      </c>
      <c r="H20691" s="2">
        <v>795</v>
      </c>
      <c r="I20691" s="2">
        <v>537</v>
      </c>
      <c r="J20691" s="2">
        <v>2921</v>
      </c>
      <c r="K20691" s="2">
        <v>1</v>
      </c>
      <c r="L20691" s="2">
        <v>759</v>
      </c>
    </row>
    <row r="20692" spans="1:12" x14ac:dyDescent="0.25">
      <c r="A20692" s="4" t="str">
        <f>HYPERLINK("http://www.rosaceae.org/Prunus/Prunus_persica/p.persica_gdr_reftransV1_0004971","p.persica_gdr_reftransV1_0004971")</f>
        <v>p.persica_gdr_reftransV1_0004971</v>
      </c>
      <c r="B20692" s="2">
        <v>1247</v>
      </c>
      <c r="C20692" s="4" t="str">
        <f>HYPERLINK("http://www.uniprot.org/uniprot/M5XK49","M5XK49")</f>
        <v>M5XK49</v>
      </c>
      <c r="D20692" s="2" t="s">
        <v>6838</v>
      </c>
      <c r="E20692" s="3">
        <v>0</v>
      </c>
      <c r="F20692" s="2">
        <v>1502</v>
      </c>
      <c r="G20692" s="2">
        <v>92</v>
      </c>
      <c r="H20692" s="2">
        <v>390</v>
      </c>
      <c r="I20692" s="2">
        <v>1</v>
      </c>
      <c r="J20692" s="2">
        <v>1074</v>
      </c>
      <c r="K20692" s="2">
        <v>49</v>
      </c>
      <c r="L20692" s="2">
        <v>438</v>
      </c>
    </row>
    <row r="20693" spans="1:12" x14ac:dyDescent="0.25">
      <c r="A20693" s="4" t="str">
        <f>HYPERLINK("http://www.rosaceae.org/Prunus/Prunus_persica/p.persica_gdr_reftransV1_0005321","p.persica_gdr_reftransV1_0005321")</f>
        <v>p.persica_gdr_reftransV1_0005321</v>
      </c>
      <c r="B20693" s="2">
        <v>2778</v>
      </c>
      <c r="C20693" s="4" t="str">
        <f>HYPERLINK("http://www.uniprot.org/uniprot/M5XVI9","M5XVI9")</f>
        <v>M5XVI9</v>
      </c>
      <c r="D20693" s="2" t="s">
        <v>800</v>
      </c>
      <c r="E20693" s="3">
        <v>0</v>
      </c>
      <c r="F20693" s="2">
        <v>3770</v>
      </c>
      <c r="G20693" s="2">
        <v>100</v>
      </c>
      <c r="H20693" s="2">
        <v>737</v>
      </c>
      <c r="I20693" s="2">
        <v>413</v>
      </c>
      <c r="J20693" s="2">
        <v>2623</v>
      </c>
      <c r="K20693" s="2">
        <v>1</v>
      </c>
      <c r="L20693" s="2">
        <v>737</v>
      </c>
    </row>
    <row r="20694" spans="1:12" x14ac:dyDescent="0.25">
      <c r="A20694" s="4" t="str">
        <f>HYPERLINK("http://www.rosaceae.org/Prunus/Prunus_persica/p.persica_gdr_reftransV1_0005671","p.persica_gdr_reftransV1_0005671")</f>
        <v>p.persica_gdr_reftransV1_0005671</v>
      </c>
      <c r="B20694" s="2">
        <v>691</v>
      </c>
      <c r="C20694" s="4" t="str">
        <f>HYPERLINK("http://www.uniprot.org/uniprot/M5WMJ4","M5WMJ4")</f>
        <v>M5WMJ4</v>
      </c>
      <c r="D20694" s="2" t="s">
        <v>15581</v>
      </c>
      <c r="E20694" s="3">
        <v>6.5099999999999997E-54</v>
      </c>
      <c r="F20694" s="2">
        <v>455</v>
      </c>
      <c r="G20694" s="2">
        <v>95</v>
      </c>
      <c r="H20694" s="2">
        <v>93</v>
      </c>
      <c r="I20694" s="2">
        <v>266</v>
      </c>
      <c r="J20694" s="2">
        <v>544</v>
      </c>
      <c r="K20694" s="2">
        <v>1</v>
      </c>
      <c r="L20694" s="2">
        <v>91</v>
      </c>
    </row>
    <row r="20695" spans="1:12" x14ac:dyDescent="0.25">
      <c r="A20695" s="4" t="str">
        <f>HYPERLINK("http://www.rosaceae.org/Prunus/Prunus_persica/p.persica_gdr_reftransV1_0007071","p.persica_gdr_reftransV1_0007071")</f>
        <v>p.persica_gdr_reftransV1_0007071</v>
      </c>
      <c r="B20695" s="2">
        <v>513</v>
      </c>
      <c r="C20695" s="4" t="str">
        <f>HYPERLINK("http://www.uniprot.org/uniprot/M5VQI8","M5VQI8")</f>
        <v>M5VQI8</v>
      </c>
      <c r="D20695" s="2" t="s">
        <v>15582</v>
      </c>
      <c r="E20695" s="3">
        <v>5.5500000000000006E-79</v>
      </c>
      <c r="F20695" s="2">
        <v>650</v>
      </c>
      <c r="G20695" s="2">
        <v>100</v>
      </c>
      <c r="H20695" s="2">
        <v>155</v>
      </c>
      <c r="I20695" s="2">
        <v>2</v>
      </c>
      <c r="J20695" s="2">
        <v>466</v>
      </c>
      <c r="K20695" s="2">
        <v>27</v>
      </c>
      <c r="L20695" s="2">
        <v>181</v>
      </c>
    </row>
    <row r="20696" spans="1:12" x14ac:dyDescent="0.25">
      <c r="A20696" s="4" t="str">
        <f>HYPERLINK("http://www.rosaceae.org/Prunus/Prunus_persica/p.persica_gdr_reftransV1_0007771","p.persica_gdr_reftransV1_0007771")</f>
        <v>p.persica_gdr_reftransV1_0007771</v>
      </c>
      <c r="B20696" s="2">
        <v>1205</v>
      </c>
      <c r="C20696" s="4" t="str">
        <f>HYPERLINK("http://www.uniprot.org/uniprot/M5WZ38","M5WZ38")</f>
        <v>M5WZ38</v>
      </c>
      <c r="D20696" s="2" t="s">
        <v>15583</v>
      </c>
      <c r="E20696" s="3">
        <v>0</v>
      </c>
      <c r="F20696" s="2">
        <v>1552</v>
      </c>
      <c r="G20696" s="2">
        <v>100</v>
      </c>
      <c r="H20696" s="2">
        <v>284</v>
      </c>
      <c r="I20696" s="2">
        <v>3</v>
      </c>
      <c r="J20696" s="2">
        <v>854</v>
      </c>
      <c r="K20696" s="2">
        <v>1</v>
      </c>
      <c r="L20696" s="2">
        <v>284</v>
      </c>
    </row>
    <row r="20697" spans="1:12" x14ac:dyDescent="0.25">
      <c r="A20697" s="4" t="str">
        <f>HYPERLINK("http://www.rosaceae.org/Prunus/Prunus_persica/p.persica_gdr_reftransV1_0008471","p.persica_gdr_reftransV1_0008471")</f>
        <v>p.persica_gdr_reftransV1_0008471</v>
      </c>
      <c r="B20697" s="2">
        <v>1336</v>
      </c>
      <c r="C20697" s="4" t="str">
        <f>HYPERLINK("http://www.uniprot.org/uniprot/M5Y2H7","M5Y2H7")</f>
        <v>M5Y2H7</v>
      </c>
      <c r="D20697" s="2" t="s">
        <v>547</v>
      </c>
      <c r="E20697" s="3">
        <v>2.0399999999999999E-66</v>
      </c>
      <c r="F20697" s="2">
        <v>559</v>
      </c>
      <c r="G20697" s="2">
        <v>97</v>
      </c>
      <c r="H20697" s="2">
        <v>111</v>
      </c>
      <c r="I20697" s="2">
        <v>115</v>
      </c>
      <c r="J20697" s="2">
        <v>447</v>
      </c>
      <c r="K20697" s="2">
        <v>1</v>
      </c>
      <c r="L20697" s="2">
        <v>111</v>
      </c>
    </row>
    <row r="20698" spans="1:12" x14ac:dyDescent="0.25">
      <c r="A20698" s="4" t="str">
        <f>HYPERLINK("http://www.rosaceae.org/Prunus/Prunus_persica/p.persica_gdr_reftransV1_0009171","p.persica_gdr_reftransV1_0009171")</f>
        <v>p.persica_gdr_reftransV1_0009171</v>
      </c>
      <c r="B20698" s="2">
        <v>1093</v>
      </c>
      <c r="C20698" s="4" t="str">
        <f>HYPERLINK("http://www.uniprot.org/uniprot/M5WNA6","M5WNA6")</f>
        <v>M5WNA6</v>
      </c>
      <c r="D20698" s="2" t="s">
        <v>15584</v>
      </c>
      <c r="E20698" s="3">
        <v>7.9500000000000001E-118</v>
      </c>
      <c r="F20698" s="2">
        <v>904</v>
      </c>
      <c r="G20698" s="2">
        <v>100</v>
      </c>
      <c r="H20698" s="2">
        <v>226</v>
      </c>
      <c r="I20698" s="2">
        <v>258</v>
      </c>
      <c r="J20698" s="2">
        <v>935</v>
      </c>
      <c r="K20698" s="2">
        <v>1</v>
      </c>
      <c r="L20698" s="2">
        <v>226</v>
      </c>
    </row>
    <row r="20699" spans="1:12" x14ac:dyDescent="0.25">
      <c r="A20699" s="4" t="str">
        <f>HYPERLINK("http://www.rosaceae.org/Prunus/Prunus_persica/p.persica_gdr_reftransV1_0009521","p.persica_gdr_reftransV1_0009521")</f>
        <v>p.persica_gdr_reftransV1_0009521</v>
      </c>
      <c r="B20699" s="2">
        <v>788</v>
      </c>
      <c r="C20699" s="4" t="str">
        <f>HYPERLINK("http://www.uniprot.org/uniprot/M5X0T8","M5X0T8")</f>
        <v>M5X0T8</v>
      </c>
      <c r="D20699" s="2" t="s">
        <v>15585</v>
      </c>
      <c r="E20699" s="3">
        <v>3.9500000000000003E-68</v>
      </c>
      <c r="F20699" s="2">
        <v>554</v>
      </c>
      <c r="G20699" s="2">
        <v>100</v>
      </c>
      <c r="H20699" s="2">
        <v>104</v>
      </c>
      <c r="I20699" s="2">
        <v>83</v>
      </c>
      <c r="J20699" s="2">
        <v>394</v>
      </c>
      <c r="K20699" s="2">
        <v>1</v>
      </c>
      <c r="L20699" s="2">
        <v>104</v>
      </c>
    </row>
    <row r="20700" spans="1:12" x14ac:dyDescent="0.25">
      <c r="A20700" s="4" t="str">
        <f>HYPERLINK("http://www.rosaceae.org/Prunus/Prunus_persica/p.persica_gdr_reftransV1_0009871","p.persica_gdr_reftransV1_0009871")</f>
        <v>p.persica_gdr_reftransV1_0009871</v>
      </c>
      <c r="B20700" s="2">
        <v>5195</v>
      </c>
      <c r="C20700" s="4" t="str">
        <f>HYPERLINK("http://www.uniprot.org/uniprot/M5VRH6","M5VRH6")</f>
        <v>M5VRH6</v>
      </c>
      <c r="D20700" s="2" t="s">
        <v>15586</v>
      </c>
      <c r="E20700" s="3">
        <v>5.7699999999999996E-74</v>
      </c>
      <c r="F20700" s="2">
        <v>665</v>
      </c>
      <c r="G20700" s="2">
        <v>100</v>
      </c>
      <c r="H20700" s="2">
        <v>127</v>
      </c>
      <c r="I20700" s="2">
        <v>4586</v>
      </c>
      <c r="J20700" s="2">
        <v>4966</v>
      </c>
      <c r="K20700" s="2">
        <v>163</v>
      </c>
      <c r="L20700" s="2">
        <v>289</v>
      </c>
    </row>
    <row r="20701" spans="1:12" x14ac:dyDescent="0.25">
      <c r="A20701" s="4" t="str">
        <f>HYPERLINK("http://www.rosaceae.org/Prunus/Prunus_persica/p.persica_gdr_reftransV1_0010221","p.persica_gdr_reftransV1_0010221")</f>
        <v>p.persica_gdr_reftransV1_0010221</v>
      </c>
      <c r="B20701" s="2">
        <v>3231</v>
      </c>
      <c r="C20701" s="4" t="str">
        <f>HYPERLINK("http://www.uniprot.org/uniprot/M5XFA4","M5XFA4")</f>
        <v>M5XFA4</v>
      </c>
      <c r="D20701" s="2" t="s">
        <v>15587</v>
      </c>
      <c r="E20701" s="3">
        <v>9.9900000000000008E-159</v>
      </c>
      <c r="F20701" s="2">
        <v>1262</v>
      </c>
      <c r="G20701" s="2">
        <v>100</v>
      </c>
      <c r="H20701" s="2">
        <v>435</v>
      </c>
      <c r="I20701" s="2">
        <v>1721</v>
      </c>
      <c r="J20701" s="2">
        <v>3025</v>
      </c>
      <c r="K20701" s="2">
        <v>1</v>
      </c>
      <c r="L20701" s="2">
        <v>435</v>
      </c>
    </row>
    <row r="20702" spans="1:12" x14ac:dyDescent="0.25">
      <c r="A20702" s="4" t="str">
        <f>HYPERLINK("http://www.rosaceae.org/Prunus/Prunus_persica/p.persica_gdr_reftransV1_0010571","p.persica_gdr_reftransV1_0010571")</f>
        <v>p.persica_gdr_reftransV1_0010571</v>
      </c>
      <c r="B20702" s="2">
        <v>1967</v>
      </c>
      <c r="C20702" s="4" t="str">
        <f>HYPERLINK("http://www.uniprot.org/uniprot/M5W2N4","M5W2N4")</f>
        <v>M5W2N4</v>
      </c>
      <c r="D20702" s="2" t="s">
        <v>13569</v>
      </c>
      <c r="E20702" s="3">
        <v>0</v>
      </c>
      <c r="F20702" s="2">
        <v>2374</v>
      </c>
      <c r="G20702" s="2">
        <v>100</v>
      </c>
      <c r="H20702" s="2">
        <v>533</v>
      </c>
      <c r="I20702" s="2">
        <v>1</v>
      </c>
      <c r="J20702" s="2">
        <v>1599</v>
      </c>
      <c r="K20702" s="2">
        <v>282</v>
      </c>
      <c r="L20702" s="2">
        <v>814</v>
      </c>
    </row>
    <row r="20703" spans="1:12" x14ac:dyDescent="0.25">
      <c r="A20703" s="4" t="str">
        <f>HYPERLINK("http://www.rosaceae.org/Prunus/Prunus_persica/p.persica_gdr_reftransV1_0011271","p.persica_gdr_reftransV1_0011271")</f>
        <v>p.persica_gdr_reftransV1_0011271</v>
      </c>
      <c r="B20703" s="2">
        <v>534</v>
      </c>
      <c r="C20703" s="4" t="str">
        <f>HYPERLINK("http://www.uniprot.org/uniprot/M5XQX2","M5XQX2")</f>
        <v>M5XQX2</v>
      </c>
      <c r="D20703" s="2" t="s">
        <v>174</v>
      </c>
      <c r="E20703" s="3">
        <v>9.0500000000000005E-73</v>
      </c>
      <c r="F20703" s="2">
        <v>600</v>
      </c>
      <c r="G20703" s="2">
        <v>98</v>
      </c>
      <c r="H20703" s="2">
        <v>117</v>
      </c>
      <c r="I20703" s="2">
        <v>80</v>
      </c>
      <c r="J20703" s="2">
        <v>430</v>
      </c>
      <c r="K20703" s="2">
        <v>272</v>
      </c>
      <c r="L20703" s="2">
        <v>388</v>
      </c>
    </row>
    <row r="20704" spans="1:12" x14ac:dyDescent="0.25">
      <c r="A20704" s="4" t="str">
        <f>HYPERLINK("http://www.rosaceae.org/Prunus/Prunus_persica/p.persica_gdr_reftransV1_0011971","p.persica_gdr_reftransV1_0011971")</f>
        <v>p.persica_gdr_reftransV1_0011971</v>
      </c>
      <c r="B20704" s="2">
        <v>1990</v>
      </c>
      <c r="C20704" s="4" t="str">
        <f>HYPERLINK("http://www.uniprot.org/uniprot/M5XMC7","M5XMC7")</f>
        <v>M5XMC7</v>
      </c>
      <c r="D20704" s="2" t="s">
        <v>15588</v>
      </c>
      <c r="E20704" s="3">
        <v>0</v>
      </c>
      <c r="F20704" s="2">
        <v>1904</v>
      </c>
      <c r="G20704" s="2">
        <v>99</v>
      </c>
      <c r="H20704" s="2">
        <v>355</v>
      </c>
      <c r="I20704" s="2">
        <v>92</v>
      </c>
      <c r="J20704" s="2">
        <v>1156</v>
      </c>
      <c r="K20704" s="2">
        <v>24</v>
      </c>
      <c r="L20704" s="2">
        <v>378</v>
      </c>
    </row>
    <row r="20705" spans="1:12" x14ac:dyDescent="0.25">
      <c r="A20705" s="4" t="str">
        <f>HYPERLINK("http://www.rosaceae.org/Prunus/Prunus_persica/p.persica_gdr_reftransV1_0013021","p.persica_gdr_reftransV1_0013021")</f>
        <v>p.persica_gdr_reftransV1_0013021</v>
      </c>
      <c r="B20705" s="2">
        <v>520</v>
      </c>
      <c r="C20705" s="4" t="str">
        <f>HYPERLINK("http://www.uniprot.org/uniprot/A5BPJ0","A5BPJ0")</f>
        <v>A5BPJ0</v>
      </c>
      <c r="D20705" s="2" t="s">
        <v>15589</v>
      </c>
      <c r="E20705" s="3">
        <v>2.7199999999999999E-10</v>
      </c>
      <c r="F20705" s="2">
        <v>141</v>
      </c>
      <c r="G20705" s="2">
        <v>32</v>
      </c>
      <c r="H20705" s="2">
        <v>94</v>
      </c>
      <c r="I20705" s="2">
        <v>233</v>
      </c>
      <c r="J20705" s="2">
        <v>478</v>
      </c>
      <c r="K20705" s="2">
        <v>383</v>
      </c>
      <c r="L20705" s="2">
        <v>476</v>
      </c>
    </row>
    <row r="20706" spans="1:12" x14ac:dyDescent="0.25">
      <c r="A20706" s="4" t="str">
        <f>HYPERLINK("http://www.rosaceae.org/Prunus/Prunus_persica/p.persica_gdr_reftransV1_0014771","p.persica_gdr_reftransV1_0014771")</f>
        <v>p.persica_gdr_reftransV1_0014771</v>
      </c>
      <c r="B20706" s="2">
        <v>2156</v>
      </c>
      <c r="C20706" s="4" t="str">
        <f>HYPERLINK("http://www.uniprot.org/uniprot/M5XRD8","M5XRD8")</f>
        <v>M5XRD8</v>
      </c>
      <c r="D20706" s="2" t="s">
        <v>15590</v>
      </c>
      <c r="E20706" s="3">
        <v>0</v>
      </c>
      <c r="F20706" s="2">
        <v>2884</v>
      </c>
      <c r="G20706" s="2">
        <v>100</v>
      </c>
      <c r="H20706" s="2">
        <v>558</v>
      </c>
      <c r="I20706" s="2">
        <v>428</v>
      </c>
      <c r="J20706" s="2">
        <v>2101</v>
      </c>
      <c r="K20706" s="2">
        <v>1</v>
      </c>
      <c r="L20706" s="2">
        <v>558</v>
      </c>
    </row>
    <row r="20707" spans="1:12" x14ac:dyDescent="0.25">
      <c r="A20707" s="4" t="str">
        <f>HYPERLINK("http://www.rosaceae.org/Prunus/Prunus_persica/p.persica_gdr_reftransV1_0015821","p.persica_gdr_reftransV1_0015821")</f>
        <v>p.persica_gdr_reftransV1_0015821</v>
      </c>
      <c r="B20707" s="2">
        <v>1512</v>
      </c>
      <c r="C20707" s="4" t="str">
        <f>HYPERLINK("http://www.uniprot.org/uniprot/M5VVA3","M5VVA3")</f>
        <v>M5VVA3</v>
      </c>
      <c r="D20707" s="2" t="s">
        <v>15591</v>
      </c>
      <c r="E20707" s="3">
        <v>0</v>
      </c>
      <c r="F20707" s="2">
        <v>1655</v>
      </c>
      <c r="G20707" s="2">
        <v>96</v>
      </c>
      <c r="H20707" s="2">
        <v>323</v>
      </c>
      <c r="I20707" s="2">
        <v>267</v>
      </c>
      <c r="J20707" s="2">
        <v>1226</v>
      </c>
      <c r="K20707" s="2">
        <v>66</v>
      </c>
      <c r="L20707" s="2">
        <v>388</v>
      </c>
    </row>
    <row r="20708" spans="1:12" x14ac:dyDescent="0.25">
      <c r="A20708" s="4" t="str">
        <f>HYPERLINK("http://www.rosaceae.org/Prunus/Prunus_persica/p.persica_gdr_reftransV1_0016521","p.persica_gdr_reftransV1_0016521")</f>
        <v>p.persica_gdr_reftransV1_0016521</v>
      </c>
      <c r="B20708" s="2">
        <v>1905</v>
      </c>
      <c r="C20708" s="4" t="str">
        <f>HYPERLINK("http://www.uniprot.org/uniprot/M5W4U5","M5W4U5")</f>
        <v>M5W4U5</v>
      </c>
      <c r="D20708" s="2" t="s">
        <v>15592</v>
      </c>
      <c r="E20708" s="3">
        <v>0</v>
      </c>
      <c r="F20708" s="2">
        <v>1731</v>
      </c>
      <c r="G20708" s="2">
        <v>100</v>
      </c>
      <c r="H20708" s="2">
        <v>350</v>
      </c>
      <c r="I20708" s="2">
        <v>315</v>
      </c>
      <c r="J20708" s="2">
        <v>1364</v>
      </c>
      <c r="K20708" s="2">
        <v>1</v>
      </c>
      <c r="L20708" s="2">
        <v>350</v>
      </c>
    </row>
    <row r="20709" spans="1:12" x14ac:dyDescent="0.25">
      <c r="A20709" s="4" t="str">
        <f>HYPERLINK("http://www.rosaceae.org/Prunus/Prunus_persica/p.persica_gdr_reftransV1_0016871","p.persica_gdr_reftransV1_0016871")</f>
        <v>p.persica_gdr_reftransV1_0016871</v>
      </c>
      <c r="B20709" s="2">
        <v>8582</v>
      </c>
      <c r="C20709" s="4" t="str">
        <f>HYPERLINK("http://www.uniprot.org/uniprot/M5XEZ2","M5XEZ2")</f>
        <v>M5XEZ2</v>
      </c>
      <c r="D20709" s="2" t="s">
        <v>15593</v>
      </c>
      <c r="E20709" s="3">
        <v>0</v>
      </c>
      <c r="F20709" s="2">
        <v>12991</v>
      </c>
      <c r="G20709" s="2">
        <v>99</v>
      </c>
      <c r="H20709" s="2">
        <v>2544</v>
      </c>
      <c r="I20709" s="2">
        <v>66</v>
      </c>
      <c r="J20709" s="2">
        <v>7697</v>
      </c>
      <c r="K20709" s="2">
        <v>1</v>
      </c>
      <c r="L20709" s="2">
        <v>2520</v>
      </c>
    </row>
    <row r="20710" spans="1:12" x14ac:dyDescent="0.25">
      <c r="A20710" s="4" t="str">
        <f>HYPERLINK("http://www.rosaceae.org/Prunus/Prunus_persica/p.persica_gdr_reftransV1_0018271","p.persica_gdr_reftransV1_0018271")</f>
        <v>p.persica_gdr_reftransV1_0018271</v>
      </c>
      <c r="B20710" s="2">
        <v>1549</v>
      </c>
      <c r="C20710" s="4" t="str">
        <f>HYPERLINK("http://www.uniprot.org/uniprot/M5XKW5","M5XKW5")</f>
        <v>M5XKW5</v>
      </c>
      <c r="D20710" s="2" t="s">
        <v>11327</v>
      </c>
      <c r="E20710" s="3">
        <v>0</v>
      </c>
      <c r="F20710" s="2">
        <v>1624</v>
      </c>
      <c r="G20710" s="2">
        <v>100</v>
      </c>
      <c r="H20710" s="2">
        <v>388</v>
      </c>
      <c r="I20710" s="2">
        <v>127</v>
      </c>
      <c r="J20710" s="2">
        <v>1290</v>
      </c>
      <c r="K20710" s="2">
        <v>1</v>
      </c>
      <c r="L20710" s="2">
        <v>388</v>
      </c>
    </row>
    <row r="20711" spans="1:12" x14ac:dyDescent="0.25">
      <c r="A20711" s="4" t="str">
        <f>HYPERLINK("http://www.rosaceae.org/Prunus/Prunus_persica/p.persica_gdr_reftransV1_0018971","p.persica_gdr_reftransV1_0018971")</f>
        <v>p.persica_gdr_reftransV1_0018971</v>
      </c>
      <c r="B20711" s="2">
        <v>1639</v>
      </c>
      <c r="C20711" s="4" t="str">
        <f>HYPERLINK("http://www.uniprot.org/uniprot/V4S7B4","V4S7B4")</f>
        <v>V4S7B4</v>
      </c>
      <c r="D20711" s="2" t="s">
        <v>15594</v>
      </c>
      <c r="E20711" s="3">
        <v>0</v>
      </c>
      <c r="F20711" s="2">
        <v>1708</v>
      </c>
      <c r="G20711" s="2">
        <v>78</v>
      </c>
      <c r="H20711" s="2">
        <v>406</v>
      </c>
      <c r="I20711" s="2">
        <v>173</v>
      </c>
      <c r="J20711" s="2">
        <v>1351</v>
      </c>
      <c r="K20711" s="2">
        <v>1</v>
      </c>
      <c r="L20711" s="2">
        <v>406</v>
      </c>
    </row>
    <row r="20712" spans="1:12" x14ac:dyDescent="0.25">
      <c r="A20712" s="4" t="str">
        <f>HYPERLINK("http://www.rosaceae.org/Prunus/Prunus_persica/p.persica_gdr_reftransV1_0019671","p.persica_gdr_reftransV1_0019671")</f>
        <v>p.persica_gdr_reftransV1_0019671</v>
      </c>
      <c r="B20712" s="2">
        <v>2823</v>
      </c>
      <c r="C20712" s="4" t="str">
        <f>HYPERLINK("http://www.uniprot.org/uniprot/M5WZ27","M5WZ27")</f>
        <v>M5WZ27</v>
      </c>
      <c r="D20712" s="2" t="s">
        <v>15595</v>
      </c>
      <c r="E20712" s="3">
        <v>1.5799999999999999E-130</v>
      </c>
      <c r="F20712" s="2">
        <v>1034</v>
      </c>
      <c r="G20712" s="2">
        <v>99</v>
      </c>
      <c r="H20712" s="2">
        <v>193</v>
      </c>
      <c r="I20712" s="2">
        <v>1902</v>
      </c>
      <c r="J20712" s="2">
        <v>2480</v>
      </c>
      <c r="K20712" s="2">
        <v>1</v>
      </c>
      <c r="L20712" s="2">
        <v>193</v>
      </c>
    </row>
    <row r="20713" spans="1:12" x14ac:dyDescent="0.25">
      <c r="A20713" s="4" t="str">
        <f>HYPERLINK("http://www.rosaceae.org/Prunus/Prunus_persica/p.persica_gdr_reftransV1_0020021","p.persica_gdr_reftransV1_0020021")</f>
        <v>p.persica_gdr_reftransV1_0020021</v>
      </c>
      <c r="B20713" s="2">
        <v>2084</v>
      </c>
      <c r="C20713" s="4" t="str">
        <f>HYPERLINK("http://www.uniprot.org/uniprot/M5WU30","M5WU30")</f>
        <v>M5WU30</v>
      </c>
      <c r="D20713" s="2" t="s">
        <v>15596</v>
      </c>
      <c r="E20713" s="3">
        <v>0</v>
      </c>
      <c r="F20713" s="2">
        <v>2412</v>
      </c>
      <c r="G20713" s="2">
        <v>100</v>
      </c>
      <c r="H20713" s="2">
        <v>452</v>
      </c>
      <c r="I20713" s="2">
        <v>589</v>
      </c>
      <c r="J20713" s="2">
        <v>1944</v>
      </c>
      <c r="K20713" s="2">
        <v>1</v>
      </c>
      <c r="L20713" s="2">
        <v>452</v>
      </c>
    </row>
    <row r="20714" spans="1:12" x14ac:dyDescent="0.25">
      <c r="A20714" s="4" t="str">
        <f>HYPERLINK("http://www.rosaceae.org/Prunus/Prunus_persica/p.persica_gdr_reftransV1_0020371","p.persica_gdr_reftransV1_0020371")</f>
        <v>p.persica_gdr_reftransV1_0020371</v>
      </c>
      <c r="B20714" s="2">
        <v>1844</v>
      </c>
      <c r="C20714" s="4" t="str">
        <f>HYPERLINK("http://www.uniprot.org/uniprot/M5XBP1","M5XBP1")</f>
        <v>M5XBP1</v>
      </c>
      <c r="D20714" s="2" t="s">
        <v>15597</v>
      </c>
      <c r="E20714" s="3">
        <v>0</v>
      </c>
      <c r="F20714" s="2">
        <v>1467</v>
      </c>
      <c r="G20714" s="2">
        <v>100</v>
      </c>
      <c r="H20714" s="2">
        <v>327</v>
      </c>
      <c r="I20714" s="2">
        <v>736</v>
      </c>
      <c r="J20714" s="2">
        <v>1716</v>
      </c>
      <c r="K20714" s="2">
        <v>1</v>
      </c>
      <c r="L20714" s="2">
        <v>327</v>
      </c>
    </row>
    <row r="20715" spans="1:12" x14ac:dyDescent="0.25">
      <c r="A20715" s="4" t="str">
        <f>HYPERLINK("http://www.rosaceae.org/Prunus/Prunus_persica/p.persica_gdr_reftransV1_0020721","p.persica_gdr_reftransV1_0020721")</f>
        <v>p.persica_gdr_reftransV1_0020721</v>
      </c>
      <c r="B20715" s="2">
        <v>4596</v>
      </c>
      <c r="C20715" s="4" t="str">
        <f>HYPERLINK("http://www.uniprot.org/uniprot/M5XSQ0","M5XSQ0")</f>
        <v>M5XSQ0</v>
      </c>
      <c r="D20715" s="2" t="s">
        <v>5057</v>
      </c>
      <c r="E20715" s="3">
        <v>0</v>
      </c>
      <c r="F20715" s="2">
        <v>4543</v>
      </c>
      <c r="G20715" s="2">
        <v>100</v>
      </c>
      <c r="H20715" s="2">
        <v>982</v>
      </c>
      <c r="I20715" s="2">
        <v>1408</v>
      </c>
      <c r="J20715" s="2">
        <v>4353</v>
      </c>
      <c r="K20715" s="2">
        <v>1</v>
      </c>
      <c r="L20715" s="2">
        <v>982</v>
      </c>
    </row>
    <row r="20716" spans="1:12" x14ac:dyDescent="0.25">
      <c r="A20716" s="4" t="str">
        <f>HYPERLINK("http://www.rosaceae.org/Prunus/Prunus_persica/p.persica_gdr_reftransV1_0021421","p.persica_gdr_reftransV1_0021421")</f>
        <v>p.persica_gdr_reftransV1_0021421</v>
      </c>
      <c r="B20716" s="2">
        <v>2590</v>
      </c>
      <c r="C20716" s="4" t="str">
        <f>HYPERLINK("http://www.uniprot.org/uniprot/M5WC86","M5WC86")</f>
        <v>M5WC86</v>
      </c>
      <c r="D20716" s="2" t="s">
        <v>15598</v>
      </c>
      <c r="E20716" s="3">
        <v>0</v>
      </c>
      <c r="F20716" s="2">
        <v>3116</v>
      </c>
      <c r="G20716" s="2">
        <v>94</v>
      </c>
      <c r="H20716" s="2">
        <v>671</v>
      </c>
      <c r="I20716" s="2">
        <v>147</v>
      </c>
      <c r="J20716" s="2">
        <v>2159</v>
      </c>
      <c r="K20716" s="2">
        <v>21</v>
      </c>
      <c r="L20716" s="2">
        <v>668</v>
      </c>
    </row>
    <row r="20717" spans="1:12" x14ac:dyDescent="0.25">
      <c r="A20717" s="4" t="str">
        <f>HYPERLINK("http://www.rosaceae.org/Prunus/Prunus_persica/p.persica_gdr_reftransV1_0021771","p.persica_gdr_reftransV1_0021771")</f>
        <v>p.persica_gdr_reftransV1_0021771</v>
      </c>
      <c r="B20717" s="2">
        <v>726</v>
      </c>
      <c r="C20717" s="4" t="str">
        <f>HYPERLINK("http://www.uniprot.org/uniprot/M5WZC4","M5WZC4")</f>
        <v>M5WZC4</v>
      </c>
      <c r="D20717" s="2" t="s">
        <v>6769</v>
      </c>
      <c r="E20717" s="3">
        <v>1.4699999999999999E-174</v>
      </c>
      <c r="F20717" s="2">
        <v>1312</v>
      </c>
      <c r="G20717" s="2">
        <v>100</v>
      </c>
      <c r="H20717" s="2">
        <v>241</v>
      </c>
      <c r="I20717" s="2">
        <v>3</v>
      </c>
      <c r="J20717" s="2">
        <v>725</v>
      </c>
      <c r="K20717" s="2">
        <v>360</v>
      </c>
      <c r="L20717" s="2">
        <v>600</v>
      </c>
    </row>
    <row r="20718" spans="1:12" x14ac:dyDescent="0.25">
      <c r="A20718" s="4" t="str">
        <f>HYPERLINK("http://www.rosaceae.org/Prunus/Prunus_persica/p.persica_gdr_reftransV1_0022121","p.persica_gdr_reftransV1_0022121")</f>
        <v>p.persica_gdr_reftransV1_0022121</v>
      </c>
      <c r="B20718" s="2">
        <v>1693</v>
      </c>
      <c r="C20718" s="4" t="str">
        <f>HYPERLINK("http://www.uniprot.org/uniprot/M5WHL7","M5WHL7")</f>
        <v>M5WHL7</v>
      </c>
      <c r="D20718" s="2" t="s">
        <v>2184</v>
      </c>
      <c r="E20718" s="3">
        <v>0</v>
      </c>
      <c r="F20718" s="2">
        <v>2103</v>
      </c>
      <c r="G20718" s="2">
        <v>97</v>
      </c>
      <c r="H20718" s="2">
        <v>420</v>
      </c>
      <c r="I20718" s="2">
        <v>148</v>
      </c>
      <c r="J20718" s="2">
        <v>1407</v>
      </c>
      <c r="K20718" s="2">
        <v>642</v>
      </c>
      <c r="L20718" s="2">
        <v>1061</v>
      </c>
    </row>
    <row r="20719" spans="1:12" x14ac:dyDescent="0.25">
      <c r="A20719" s="4" t="str">
        <f>HYPERLINK("http://www.rosaceae.org/Prunus/Prunus_persica/p.persica_gdr_reftransV1_0022821","p.persica_gdr_reftransV1_0022821")</f>
        <v>p.persica_gdr_reftransV1_0022821</v>
      </c>
      <c r="B20719" s="2">
        <v>904</v>
      </c>
      <c r="C20719" s="4" t="str">
        <f>HYPERLINK("http://www.uniprot.org/uniprot/M5X2X0","M5X2X0")</f>
        <v>M5X2X0</v>
      </c>
      <c r="D20719" s="2" t="s">
        <v>15599</v>
      </c>
      <c r="E20719" s="3">
        <v>8.3799999999999993E-74</v>
      </c>
      <c r="F20719" s="2">
        <v>598</v>
      </c>
      <c r="G20719" s="2">
        <v>100</v>
      </c>
      <c r="H20719" s="2">
        <v>115</v>
      </c>
      <c r="I20719" s="2">
        <v>465</v>
      </c>
      <c r="J20719" s="2">
        <v>809</v>
      </c>
      <c r="K20719" s="2">
        <v>1</v>
      </c>
      <c r="L20719" s="2">
        <v>115</v>
      </c>
    </row>
    <row r="20720" spans="1:12" x14ac:dyDescent="0.25">
      <c r="A20720" s="4" t="str">
        <f>HYPERLINK("http://www.rosaceae.org/Prunus/Prunus_persica/p.persica_gdr_reftransV1_0023171","p.persica_gdr_reftransV1_0023171")</f>
        <v>p.persica_gdr_reftransV1_0023171</v>
      </c>
      <c r="B20720" s="2">
        <v>655</v>
      </c>
      <c r="C20720" s="4" t="str">
        <f>HYPERLINK("http://www.uniprot.org/uniprot/M5WU55","M5WU55")</f>
        <v>M5WU55</v>
      </c>
      <c r="D20720" s="2" t="s">
        <v>7321</v>
      </c>
      <c r="E20720" s="3">
        <v>3.3200000000000003E-126</v>
      </c>
      <c r="F20720" s="2">
        <v>953</v>
      </c>
      <c r="G20720" s="2">
        <v>93</v>
      </c>
      <c r="H20720" s="2">
        <v>193</v>
      </c>
      <c r="I20720" s="2">
        <v>1</v>
      </c>
      <c r="J20720" s="2">
        <v>579</v>
      </c>
      <c r="K20720" s="2">
        <v>124</v>
      </c>
      <c r="L20720" s="2">
        <v>316</v>
      </c>
    </row>
    <row r="20721" spans="1:12" x14ac:dyDescent="0.25">
      <c r="A20721" s="4" t="str">
        <f>HYPERLINK("http://www.rosaceae.org/Prunus/Prunus_persica/p.persica_gdr_reftransV1_0025271","p.persica_gdr_reftransV1_0025271")</f>
        <v>p.persica_gdr_reftransV1_0025271</v>
      </c>
      <c r="B20721" s="2">
        <v>1178</v>
      </c>
      <c r="C20721" s="4" t="str">
        <f>HYPERLINK("http://www.uniprot.org/uniprot/M5WBL1","M5WBL1")</f>
        <v>M5WBL1</v>
      </c>
      <c r="D20721" s="2" t="s">
        <v>12127</v>
      </c>
      <c r="E20721" s="3">
        <v>0</v>
      </c>
      <c r="F20721" s="2">
        <v>1350</v>
      </c>
      <c r="G20721" s="2">
        <v>100</v>
      </c>
      <c r="H20721" s="2">
        <v>255</v>
      </c>
      <c r="I20721" s="2">
        <v>236</v>
      </c>
      <c r="J20721" s="2">
        <v>1000</v>
      </c>
      <c r="K20721" s="2">
        <v>1</v>
      </c>
      <c r="L20721" s="2">
        <v>255</v>
      </c>
    </row>
    <row r="20722" spans="1:12" x14ac:dyDescent="0.25">
      <c r="A20722" s="4" t="str">
        <f>HYPERLINK("http://www.rosaceae.org/Prunus/Prunus_persica/p.persica_gdr_reftransV1_0026671","p.persica_gdr_reftransV1_0026671")</f>
        <v>p.persica_gdr_reftransV1_0026671</v>
      </c>
      <c r="B20722" s="2">
        <v>1532</v>
      </c>
      <c r="C20722" s="4" t="str">
        <f>HYPERLINK("http://www.uniprot.org/uniprot/M5VME6","M5VME6")</f>
        <v>M5VME6</v>
      </c>
      <c r="D20722" s="2" t="s">
        <v>15600</v>
      </c>
      <c r="E20722" s="3">
        <v>0</v>
      </c>
      <c r="F20722" s="2">
        <v>1580</v>
      </c>
      <c r="G20722" s="2">
        <v>100</v>
      </c>
      <c r="H20722" s="2">
        <v>349</v>
      </c>
      <c r="I20722" s="2">
        <v>105</v>
      </c>
      <c r="J20722" s="2">
        <v>1151</v>
      </c>
      <c r="K20722" s="2">
        <v>1</v>
      </c>
      <c r="L20722" s="2">
        <v>349</v>
      </c>
    </row>
    <row r="20723" spans="1:12" x14ac:dyDescent="0.25">
      <c r="A20723" s="4" t="str">
        <f>HYPERLINK("http://www.rosaceae.org/Prunus/Prunus_persica/p.persica_gdr_reftransV1_0027021","p.persica_gdr_reftransV1_0027021")</f>
        <v>p.persica_gdr_reftransV1_0027021</v>
      </c>
      <c r="B20723" s="2">
        <v>1410</v>
      </c>
      <c r="C20723" s="4" t="str">
        <f>HYPERLINK("http://www.uniprot.org/uniprot/M5W431","M5W431")</f>
        <v>M5W431</v>
      </c>
      <c r="D20723" s="2" t="s">
        <v>1512</v>
      </c>
      <c r="E20723" s="3">
        <v>4.0500000000000002E-55</v>
      </c>
      <c r="F20723" s="2">
        <v>498</v>
      </c>
      <c r="G20723" s="2">
        <v>100</v>
      </c>
      <c r="H20723" s="2">
        <v>175</v>
      </c>
      <c r="I20723" s="2">
        <v>746</v>
      </c>
      <c r="J20723" s="2">
        <v>1270</v>
      </c>
      <c r="K20723" s="2">
        <v>1</v>
      </c>
      <c r="L20723" s="2">
        <v>175</v>
      </c>
    </row>
    <row r="20724" spans="1:12" x14ac:dyDescent="0.25">
      <c r="A20724" s="4" t="str">
        <f>HYPERLINK("http://www.rosaceae.org/Prunus/Prunus_persica/p.persica_gdr_reftransV1_0027371","p.persica_gdr_reftransV1_0027371")</f>
        <v>p.persica_gdr_reftransV1_0027371</v>
      </c>
      <c r="B20724" s="2">
        <v>1963</v>
      </c>
      <c r="C20724" s="4" t="str">
        <f>HYPERLINK("http://www.uniprot.org/uniprot/M5VLX7","M5VLX7")</f>
        <v>M5VLX7</v>
      </c>
      <c r="D20724" s="2" t="s">
        <v>15601</v>
      </c>
      <c r="E20724" s="3">
        <v>0</v>
      </c>
      <c r="F20724" s="2">
        <v>2645</v>
      </c>
      <c r="G20724" s="2">
        <v>100</v>
      </c>
      <c r="H20724" s="2">
        <v>493</v>
      </c>
      <c r="I20724" s="2">
        <v>173</v>
      </c>
      <c r="J20724" s="2">
        <v>1651</v>
      </c>
      <c r="K20724" s="2">
        <v>1</v>
      </c>
      <c r="L20724" s="2">
        <v>493</v>
      </c>
    </row>
    <row r="20725" spans="1:12" x14ac:dyDescent="0.25">
      <c r="A20725" s="4" t="str">
        <f>HYPERLINK("http://www.rosaceae.org/Prunus/Prunus_persica/p.persica_gdr_reftransV1_0030871","p.persica_gdr_reftransV1_0030871")</f>
        <v>p.persica_gdr_reftransV1_0030871</v>
      </c>
      <c r="B20725" s="2">
        <v>2743</v>
      </c>
      <c r="C20725" s="4" t="str">
        <f>HYPERLINK("http://www.uniprot.org/uniprot/M5VXE8","M5VXE8")</f>
        <v>M5VXE8</v>
      </c>
      <c r="D20725" s="2" t="s">
        <v>15602</v>
      </c>
      <c r="E20725" s="3">
        <v>0</v>
      </c>
      <c r="F20725" s="2">
        <v>2226</v>
      </c>
      <c r="G20725" s="2">
        <v>100</v>
      </c>
      <c r="H20725" s="2">
        <v>446</v>
      </c>
      <c r="I20725" s="2">
        <v>1049</v>
      </c>
      <c r="J20725" s="2">
        <v>2386</v>
      </c>
      <c r="K20725" s="2">
        <v>1</v>
      </c>
      <c r="L20725" s="2">
        <v>446</v>
      </c>
    </row>
    <row r="20726" spans="1:12" x14ac:dyDescent="0.25">
      <c r="A20726" s="4" t="str">
        <f>HYPERLINK("http://www.rosaceae.org/Prunus/Prunus_persica/p.persica_gdr_reftransV1_0031571","p.persica_gdr_reftransV1_0031571")</f>
        <v>p.persica_gdr_reftransV1_0031571</v>
      </c>
      <c r="B20726" s="2">
        <v>4864</v>
      </c>
      <c r="C20726" s="4" t="str">
        <f>HYPERLINK("http://www.uniprot.org/uniprot/M5VZH5","M5VZH5")</f>
        <v>M5VZH5</v>
      </c>
      <c r="D20726" s="2" t="s">
        <v>15603</v>
      </c>
      <c r="E20726" s="3">
        <v>0</v>
      </c>
      <c r="F20726" s="2">
        <v>1574</v>
      </c>
      <c r="G20726" s="2">
        <v>100</v>
      </c>
      <c r="H20726" s="2">
        <v>296</v>
      </c>
      <c r="I20726" s="2">
        <v>233</v>
      </c>
      <c r="J20726" s="2">
        <v>1120</v>
      </c>
      <c r="K20726" s="2">
        <v>1</v>
      </c>
      <c r="L20726" s="2">
        <v>296</v>
      </c>
    </row>
    <row r="20727" spans="1:12" x14ac:dyDescent="0.25">
      <c r="A20727" s="4" t="str">
        <f>HYPERLINK("http://www.rosaceae.org/Prunus/Prunus_persica/p.persica_gdr_reftransV1_0032621","p.persica_gdr_reftransV1_0032621")</f>
        <v>p.persica_gdr_reftransV1_0032621</v>
      </c>
      <c r="B20727" s="2">
        <v>8894</v>
      </c>
      <c r="C20727" s="4" t="str">
        <f>HYPERLINK("http://www.uniprot.org/uniprot/M5VXK5","M5VXK5")</f>
        <v>M5VXK5</v>
      </c>
      <c r="D20727" s="2" t="s">
        <v>6379</v>
      </c>
      <c r="E20727" s="3">
        <v>0</v>
      </c>
      <c r="F20727" s="2">
        <v>4353</v>
      </c>
      <c r="G20727" s="2">
        <v>96</v>
      </c>
      <c r="H20727" s="2">
        <v>1019</v>
      </c>
      <c r="I20727" s="2">
        <v>1267</v>
      </c>
      <c r="J20727" s="2">
        <v>4320</v>
      </c>
      <c r="K20727" s="2">
        <v>330</v>
      </c>
      <c r="L20727" s="2">
        <v>1334</v>
      </c>
    </row>
    <row r="20728" spans="1:12" x14ac:dyDescent="0.25">
      <c r="A20728" s="4" t="str">
        <f>HYPERLINK("http://www.rosaceae.org/Prunus/Prunus_persica/p.persica_gdr_reftransV1_0036471","p.persica_gdr_reftransV1_0036471")</f>
        <v>p.persica_gdr_reftransV1_0036471</v>
      </c>
      <c r="B20728" s="2">
        <v>1338</v>
      </c>
      <c r="C20728" s="4" t="str">
        <f>HYPERLINK("http://www.uniprot.org/uniprot/M5W3R2","M5W3R2")</f>
        <v>M5W3R2</v>
      </c>
      <c r="D20728" s="2" t="s">
        <v>15604</v>
      </c>
      <c r="E20728" s="3">
        <v>6.13E-56</v>
      </c>
      <c r="F20728" s="2">
        <v>492</v>
      </c>
      <c r="G20728" s="2">
        <v>100</v>
      </c>
      <c r="H20728" s="2">
        <v>122</v>
      </c>
      <c r="I20728" s="2">
        <v>132</v>
      </c>
      <c r="J20728" s="2">
        <v>497</v>
      </c>
      <c r="K20728" s="2">
        <v>38</v>
      </c>
      <c r="L20728" s="2">
        <v>159</v>
      </c>
    </row>
    <row r="20729" spans="1:12" x14ac:dyDescent="0.25">
      <c r="A20729" s="4" t="str">
        <f>HYPERLINK("http://www.rosaceae.org/Prunus/Prunus_persica/p.persica_gdr_reftransV1_0036821","p.persica_gdr_reftransV1_0036821")</f>
        <v>p.persica_gdr_reftransV1_0036821</v>
      </c>
      <c r="B20729" s="2">
        <v>4046</v>
      </c>
      <c r="C20729" s="4" t="str">
        <f>HYPERLINK("http://www.uniprot.org/uniprot/M5X042","M5X042")</f>
        <v>M5X042</v>
      </c>
      <c r="D20729" s="2" t="s">
        <v>15033</v>
      </c>
      <c r="E20729" s="3">
        <v>0</v>
      </c>
      <c r="F20729" s="2">
        <v>3604</v>
      </c>
      <c r="G20729" s="2">
        <v>98</v>
      </c>
      <c r="H20729" s="2">
        <v>734</v>
      </c>
      <c r="I20729" s="2">
        <v>1576</v>
      </c>
      <c r="J20729" s="2">
        <v>3777</v>
      </c>
      <c r="K20729" s="2">
        <v>270</v>
      </c>
      <c r="L20729" s="2">
        <v>997</v>
      </c>
    </row>
    <row r="20730" spans="1:12" x14ac:dyDescent="0.25">
      <c r="A20730" s="4" t="str">
        <f>HYPERLINK("http://www.rosaceae.org/Prunus/Prunus_persica/p.persica_gdr_reftransV1_0038221","p.persica_gdr_reftransV1_0038221")</f>
        <v>p.persica_gdr_reftransV1_0038221</v>
      </c>
      <c r="B20730" s="2">
        <v>2353</v>
      </c>
      <c r="C20730" s="4" t="str">
        <f>HYPERLINK("http://www.uniprot.org/uniprot/M5W4I9","M5W4I9")</f>
        <v>M5W4I9</v>
      </c>
      <c r="D20730" s="2" t="s">
        <v>15605</v>
      </c>
      <c r="E20730" s="3">
        <v>2.3099999999999998E-44</v>
      </c>
      <c r="F20730" s="2">
        <v>421</v>
      </c>
      <c r="G20730" s="2">
        <v>100</v>
      </c>
      <c r="H20730" s="2">
        <v>98</v>
      </c>
      <c r="I20730" s="2">
        <v>1561</v>
      </c>
      <c r="J20730" s="2">
        <v>1854</v>
      </c>
      <c r="K20730" s="2">
        <v>53</v>
      </c>
      <c r="L20730" s="2">
        <v>150</v>
      </c>
    </row>
    <row r="20731" spans="1:12" x14ac:dyDescent="0.25">
      <c r="A20731" s="4" t="str">
        <f>HYPERLINK("http://www.rosaceae.org/Prunus/Prunus_persica/p.persica_gdr_reftransV1_0038921","p.persica_gdr_reftransV1_0038921")</f>
        <v>p.persica_gdr_reftransV1_0038921</v>
      </c>
      <c r="B20731" s="2">
        <v>1768</v>
      </c>
      <c r="C20731" s="4" t="str">
        <f>HYPERLINK("http://www.uniprot.org/uniprot/M5WVA0","M5WVA0")</f>
        <v>M5WVA0</v>
      </c>
      <c r="D20731" s="2" t="s">
        <v>15606</v>
      </c>
      <c r="E20731" s="3">
        <v>1.16E-73</v>
      </c>
      <c r="F20731" s="2">
        <v>630</v>
      </c>
      <c r="G20731" s="2">
        <v>100</v>
      </c>
      <c r="H20731" s="2">
        <v>117</v>
      </c>
      <c r="I20731" s="2">
        <v>148</v>
      </c>
      <c r="J20731" s="2">
        <v>498</v>
      </c>
      <c r="K20731" s="2">
        <v>1</v>
      </c>
      <c r="L20731" s="2">
        <v>117</v>
      </c>
    </row>
    <row r="20732" spans="1:12" x14ac:dyDescent="0.25">
      <c r="A20732" s="4" t="str">
        <f>HYPERLINK("http://www.rosaceae.org/Prunus/Prunus_persica/p.persica_gdr_reftransV1_0039971","p.persica_gdr_reftransV1_0039971")</f>
        <v>p.persica_gdr_reftransV1_0039971</v>
      </c>
      <c r="B20732" s="2">
        <v>2052</v>
      </c>
      <c r="C20732" s="4" t="str">
        <f>HYPERLINK("http://www.uniprot.org/uniprot/M5VQN1","M5VQN1")</f>
        <v>M5VQN1</v>
      </c>
      <c r="D20732" s="2" t="s">
        <v>15607</v>
      </c>
      <c r="E20732" s="3">
        <v>2.63E-104</v>
      </c>
      <c r="F20732" s="2">
        <v>848</v>
      </c>
      <c r="G20732" s="2">
        <v>100</v>
      </c>
      <c r="H20732" s="2">
        <v>162</v>
      </c>
      <c r="I20732" s="2">
        <v>476</v>
      </c>
      <c r="J20732" s="2">
        <v>961</v>
      </c>
      <c r="K20732" s="2">
        <v>122</v>
      </c>
      <c r="L20732" s="2">
        <v>283</v>
      </c>
    </row>
    <row r="20733" spans="1:12" x14ac:dyDescent="0.25">
      <c r="A20733" s="4" t="str">
        <f>HYPERLINK("http://www.rosaceae.org/Prunus/Prunus_persica/p.persica_gdr_reftransV1_0041021","p.persica_gdr_reftransV1_0041021")</f>
        <v>p.persica_gdr_reftransV1_0041021</v>
      </c>
      <c r="B20733" s="2">
        <v>2441</v>
      </c>
      <c r="C20733" s="4" t="str">
        <f>HYPERLINK("http://www.uniprot.org/uniprot/M5VZ56","M5VZ56")</f>
        <v>M5VZ56</v>
      </c>
      <c r="D20733" s="2" t="s">
        <v>1696</v>
      </c>
      <c r="E20733" s="3">
        <v>4.6099999999999999E-80</v>
      </c>
      <c r="F20733" s="2">
        <v>695</v>
      </c>
      <c r="G20733" s="2">
        <v>99</v>
      </c>
      <c r="H20733" s="2">
        <v>148</v>
      </c>
      <c r="I20733" s="2">
        <v>1583</v>
      </c>
      <c r="J20733" s="2">
        <v>2026</v>
      </c>
      <c r="K20733" s="2">
        <v>182</v>
      </c>
      <c r="L20733" s="2">
        <v>329</v>
      </c>
    </row>
    <row r="20734" spans="1:12" x14ac:dyDescent="0.25">
      <c r="A20734" s="4" t="str">
        <f>HYPERLINK("http://www.rosaceae.org/Prunus/Prunus_persica/p.persica_gdr_reftransV1_0041371","p.persica_gdr_reftransV1_0041371")</f>
        <v>p.persica_gdr_reftransV1_0041371</v>
      </c>
      <c r="B20734" s="2">
        <v>1345</v>
      </c>
      <c r="C20734" s="4" t="str">
        <f>HYPERLINK("http://www.uniprot.org/uniprot/M5XX81","M5XX81")</f>
        <v>M5XX81</v>
      </c>
      <c r="D20734" s="2" t="s">
        <v>15608</v>
      </c>
      <c r="E20734" s="3">
        <v>0</v>
      </c>
      <c r="F20734" s="2">
        <v>1758</v>
      </c>
      <c r="G20734" s="2">
        <v>100</v>
      </c>
      <c r="H20734" s="2">
        <v>328</v>
      </c>
      <c r="I20734" s="2">
        <v>217</v>
      </c>
      <c r="J20734" s="2">
        <v>1200</v>
      </c>
      <c r="K20734" s="2">
        <v>1</v>
      </c>
      <c r="L20734" s="2">
        <v>328</v>
      </c>
    </row>
    <row r="20735" spans="1:12" x14ac:dyDescent="0.25">
      <c r="A20735" s="4" t="str">
        <f>HYPERLINK("http://www.rosaceae.org/Prunus/Prunus_persica/p.persica_gdr_reftransV1_0043121","p.persica_gdr_reftransV1_0043121")</f>
        <v>p.persica_gdr_reftransV1_0043121</v>
      </c>
      <c r="B20735" s="2">
        <v>1871</v>
      </c>
      <c r="C20735" s="4" t="str">
        <f>HYPERLINK("http://www.uniprot.org/uniprot/M5Y091","M5Y091")</f>
        <v>M5Y091</v>
      </c>
      <c r="D20735" s="2" t="s">
        <v>6384</v>
      </c>
      <c r="E20735" s="3">
        <v>0</v>
      </c>
      <c r="F20735" s="2">
        <v>3045</v>
      </c>
      <c r="G20735" s="2">
        <v>99</v>
      </c>
      <c r="H20735" s="2">
        <v>574</v>
      </c>
      <c r="I20735" s="2">
        <v>46</v>
      </c>
      <c r="J20735" s="2">
        <v>1767</v>
      </c>
      <c r="K20735" s="2">
        <v>1</v>
      </c>
      <c r="L20735" s="2">
        <v>574</v>
      </c>
    </row>
    <row r="20736" spans="1:12" x14ac:dyDescent="0.25">
      <c r="A20736" s="4" t="str">
        <f>HYPERLINK("http://www.rosaceae.org/Prunus/Prunus_persica/p.persica_gdr_reftransV1_0043471","p.persica_gdr_reftransV1_0043471")</f>
        <v>p.persica_gdr_reftransV1_0043471</v>
      </c>
      <c r="B20736" s="2">
        <v>534</v>
      </c>
      <c r="C20736" s="4" t="str">
        <f>HYPERLINK("http://www.uniprot.org/uniprot/J7G0P5","J7G0P5")</f>
        <v>J7G0P5</v>
      </c>
      <c r="D20736" s="2" t="s">
        <v>2394</v>
      </c>
      <c r="E20736" s="3">
        <v>2.5800000000000001E-74</v>
      </c>
      <c r="F20736" s="2">
        <v>646</v>
      </c>
      <c r="G20736" s="2">
        <v>71</v>
      </c>
      <c r="H20736" s="2">
        <v>175</v>
      </c>
      <c r="I20736" s="2">
        <v>3</v>
      </c>
      <c r="J20736" s="2">
        <v>527</v>
      </c>
      <c r="K20736" s="2">
        <v>1147</v>
      </c>
      <c r="L20736" s="2">
        <v>1311</v>
      </c>
    </row>
    <row r="20737" spans="1:12" x14ac:dyDescent="0.25">
      <c r="A20737" s="4" t="str">
        <f>HYPERLINK("http://www.rosaceae.org/Prunus/Prunus_persica/p.persica_gdr_reftransV1_0043821","p.persica_gdr_reftransV1_0043821")</f>
        <v>p.persica_gdr_reftransV1_0043821</v>
      </c>
      <c r="B20737" s="2">
        <v>800</v>
      </c>
      <c r="C20737" s="4" t="str">
        <f>HYPERLINK("http://www.uniprot.org/uniprot/M5XAY7","M5XAY7")</f>
        <v>M5XAY7</v>
      </c>
      <c r="D20737" s="2" t="s">
        <v>15609</v>
      </c>
      <c r="E20737" s="3">
        <v>4.6800000000000002E-165</v>
      </c>
      <c r="F20737" s="2">
        <v>1211</v>
      </c>
      <c r="G20737" s="2">
        <v>100</v>
      </c>
      <c r="H20737" s="2">
        <v>228</v>
      </c>
      <c r="I20737" s="2">
        <v>1</v>
      </c>
      <c r="J20737" s="2">
        <v>684</v>
      </c>
      <c r="K20737" s="2">
        <v>59</v>
      </c>
      <c r="L20737" s="2">
        <v>286</v>
      </c>
    </row>
    <row r="20738" spans="1:12" x14ac:dyDescent="0.25">
      <c r="A20738" s="4" t="str">
        <f>HYPERLINK("http://www.rosaceae.org/Prunus/Prunus_persica/p.persica_gdr_reftransV1_0044171","p.persica_gdr_reftransV1_0044171")</f>
        <v>p.persica_gdr_reftransV1_0044171</v>
      </c>
      <c r="B20738" s="2">
        <v>1421</v>
      </c>
      <c r="C20738" s="4" t="str">
        <f>HYPERLINK("http://www.uniprot.org/uniprot/M5XY62","M5XY62")</f>
        <v>M5XY62</v>
      </c>
      <c r="D20738" s="2" t="s">
        <v>5746</v>
      </c>
      <c r="E20738" s="3">
        <v>3.4199999999999999E-136</v>
      </c>
      <c r="F20738" s="2">
        <v>986</v>
      </c>
      <c r="G20738" s="2">
        <v>100</v>
      </c>
      <c r="H20738" s="2">
        <v>233</v>
      </c>
      <c r="I20738" s="2">
        <v>582</v>
      </c>
      <c r="J20738" s="2">
        <v>1280</v>
      </c>
      <c r="K20738" s="2">
        <v>80</v>
      </c>
      <c r="L20738" s="2">
        <v>312</v>
      </c>
    </row>
    <row r="20739" spans="1:12" x14ac:dyDescent="0.25">
      <c r="A20739" s="4" t="str">
        <f>HYPERLINK("http://www.rosaceae.org/Prunus/Prunus_persica/p.persica_gdr_reftransV1_0044521","p.persica_gdr_reftransV1_0044521")</f>
        <v>p.persica_gdr_reftransV1_0044521</v>
      </c>
      <c r="B20739" s="2">
        <v>1167</v>
      </c>
      <c r="C20739" s="4" t="str">
        <f>HYPERLINK("http://www.uniprot.org/uniprot/M5WUG1","M5WUG1")</f>
        <v>M5WUG1</v>
      </c>
      <c r="D20739" s="2" t="s">
        <v>5371</v>
      </c>
      <c r="E20739" s="3">
        <v>4.25E-104</v>
      </c>
      <c r="F20739" s="2">
        <v>815</v>
      </c>
      <c r="G20739" s="2">
        <v>100</v>
      </c>
      <c r="H20739" s="2">
        <v>189</v>
      </c>
      <c r="I20739" s="2">
        <v>482</v>
      </c>
      <c r="J20739" s="2">
        <v>1048</v>
      </c>
      <c r="K20739" s="2">
        <v>20</v>
      </c>
      <c r="L20739" s="2">
        <v>208</v>
      </c>
    </row>
    <row r="20740" spans="1:12" x14ac:dyDescent="0.25">
      <c r="A20740" s="4" t="str">
        <f>HYPERLINK("http://www.rosaceae.org/Prunus/Prunus_persica/p.persica_gdr_reftransV1_0044871","p.persica_gdr_reftransV1_0044871")</f>
        <v>p.persica_gdr_reftransV1_0044871</v>
      </c>
      <c r="B20740" s="2">
        <v>462</v>
      </c>
      <c r="C20740" s="4" t="str">
        <f>HYPERLINK("http://www.uniprot.org/uniprot/M5XQK4","M5XQK4")</f>
        <v>M5XQK4</v>
      </c>
      <c r="D20740" s="2" t="s">
        <v>3171</v>
      </c>
      <c r="E20740" s="3">
        <v>5.4000000000000003E-72</v>
      </c>
      <c r="F20740" s="2">
        <v>578</v>
      </c>
      <c r="G20740" s="2">
        <v>100</v>
      </c>
      <c r="H20740" s="2">
        <v>122</v>
      </c>
      <c r="I20740" s="2">
        <v>96</v>
      </c>
      <c r="J20740" s="2">
        <v>461</v>
      </c>
      <c r="K20740" s="2">
        <v>1</v>
      </c>
      <c r="L20740" s="2">
        <v>122</v>
      </c>
    </row>
    <row r="20741" spans="1:12" x14ac:dyDescent="0.25">
      <c r="A20741" s="4" t="str">
        <f>HYPERLINK("http://www.rosaceae.org/Prunus/Prunus_persica/p.persica_gdr_reftransV1_0045221","p.persica_gdr_reftransV1_0045221")</f>
        <v>p.persica_gdr_reftransV1_0045221</v>
      </c>
      <c r="B20741" s="2">
        <v>1636</v>
      </c>
      <c r="C20741" s="4" t="str">
        <f>HYPERLINK("http://www.uniprot.org/uniprot/M5XMH1","M5XMH1")</f>
        <v>M5XMH1</v>
      </c>
      <c r="D20741" s="2" t="s">
        <v>20</v>
      </c>
      <c r="E20741" s="3">
        <v>0</v>
      </c>
      <c r="F20741" s="2">
        <v>2157</v>
      </c>
      <c r="G20741" s="2">
        <v>100</v>
      </c>
      <c r="H20741" s="2">
        <v>398</v>
      </c>
      <c r="I20741" s="2">
        <v>3</v>
      </c>
      <c r="J20741" s="2">
        <v>1196</v>
      </c>
      <c r="K20741" s="2">
        <v>572</v>
      </c>
      <c r="L20741" s="2">
        <v>969</v>
      </c>
    </row>
    <row r="20742" spans="1:12" x14ac:dyDescent="0.25">
      <c r="A20742" s="4" t="str">
        <f>HYPERLINK("http://www.rosaceae.org/Prunus/Prunus_persica/p.persica_gdr_reftransV1_0045571","p.persica_gdr_reftransV1_0045571")</f>
        <v>p.persica_gdr_reftransV1_0045571</v>
      </c>
      <c r="B20742" s="2">
        <v>2352</v>
      </c>
      <c r="C20742" s="4" t="str">
        <f>HYPERLINK("http://www.uniprot.org/uniprot/M5XLH4","M5XLH4")</f>
        <v>M5XLH4</v>
      </c>
      <c r="D20742" s="2" t="s">
        <v>15610</v>
      </c>
      <c r="E20742" s="3">
        <v>0</v>
      </c>
      <c r="F20742" s="2">
        <v>2491</v>
      </c>
      <c r="G20742" s="2">
        <v>100</v>
      </c>
      <c r="H20742" s="2">
        <v>556</v>
      </c>
      <c r="I20742" s="2">
        <v>483</v>
      </c>
      <c r="J20742" s="2">
        <v>2150</v>
      </c>
      <c r="K20742" s="2">
        <v>1</v>
      </c>
      <c r="L20742" s="2">
        <v>556</v>
      </c>
    </row>
    <row r="20743" spans="1:12" x14ac:dyDescent="0.25">
      <c r="A20743" s="4" t="str">
        <f>HYPERLINK("http://www.rosaceae.org/Prunus/Prunus_persica/p.persica_gdr_reftransV1_0046271","p.persica_gdr_reftransV1_0046271")</f>
        <v>p.persica_gdr_reftransV1_0046271</v>
      </c>
      <c r="B20743" s="2">
        <v>3263</v>
      </c>
      <c r="C20743" s="4" t="str">
        <f>HYPERLINK("http://www.uniprot.org/uniprot/M5WRH3","M5WRH3")</f>
        <v>M5WRH3</v>
      </c>
      <c r="D20743" s="2" t="s">
        <v>9573</v>
      </c>
      <c r="E20743" s="3">
        <v>0</v>
      </c>
      <c r="F20743" s="2">
        <v>4310</v>
      </c>
      <c r="G20743" s="2">
        <v>100</v>
      </c>
      <c r="H20743" s="2">
        <v>849</v>
      </c>
      <c r="I20743" s="2">
        <v>423</v>
      </c>
      <c r="J20743" s="2">
        <v>2969</v>
      </c>
      <c r="K20743" s="2">
        <v>1</v>
      </c>
      <c r="L20743" s="2">
        <v>849</v>
      </c>
    </row>
    <row r="20744" spans="1:12" x14ac:dyDescent="0.25">
      <c r="A20744" s="4" t="str">
        <f>HYPERLINK("http://www.rosaceae.org/Prunus/Prunus_persica/p.persica_gdr_reftransV1_0046621","p.persica_gdr_reftransV1_0046621")</f>
        <v>p.persica_gdr_reftransV1_0046621</v>
      </c>
      <c r="B20744" s="2">
        <v>666</v>
      </c>
      <c r="C20744" s="4" t="str">
        <f>HYPERLINK("http://www.uniprot.org/uniprot/M5WJU8","M5WJU8")</f>
        <v>M5WJU8</v>
      </c>
      <c r="D20744" s="2" t="s">
        <v>7492</v>
      </c>
      <c r="E20744" s="3">
        <v>2.9599999999999999E-34</v>
      </c>
      <c r="F20744" s="2">
        <v>326</v>
      </c>
      <c r="G20744" s="2">
        <v>89</v>
      </c>
      <c r="H20744" s="2">
        <v>85</v>
      </c>
      <c r="I20744" s="2">
        <v>353</v>
      </c>
      <c r="J20744" s="2">
        <v>607</v>
      </c>
      <c r="K20744" s="2">
        <v>1</v>
      </c>
      <c r="L20744" s="2">
        <v>85</v>
      </c>
    </row>
    <row r="20745" spans="1:12" x14ac:dyDescent="0.25">
      <c r="A20745" s="4" t="str">
        <f>HYPERLINK("http://www.rosaceae.org/Prunus/Prunus_persica/p.persica_gdr_reftransV1_0046971","p.persica_gdr_reftransV1_0046971")</f>
        <v>p.persica_gdr_reftransV1_0046971</v>
      </c>
      <c r="B20745" s="2">
        <v>1595</v>
      </c>
      <c r="C20745" s="4" t="str">
        <f>HYPERLINK("http://www.uniprot.org/uniprot/M5WFI5","M5WFI5")</f>
        <v>M5WFI5</v>
      </c>
      <c r="D20745" s="2" t="s">
        <v>15611</v>
      </c>
      <c r="E20745" s="3">
        <v>0</v>
      </c>
      <c r="F20745" s="2">
        <v>1954</v>
      </c>
      <c r="G20745" s="2">
        <v>98</v>
      </c>
      <c r="H20745" s="2">
        <v>431</v>
      </c>
      <c r="I20745" s="2">
        <v>259</v>
      </c>
      <c r="J20745" s="2">
        <v>1551</v>
      </c>
      <c r="K20745" s="2">
        <v>1</v>
      </c>
      <c r="L20745" s="2">
        <v>431</v>
      </c>
    </row>
    <row r="20746" spans="1:12" x14ac:dyDescent="0.25">
      <c r="A20746" s="4" t="str">
        <f>HYPERLINK("http://www.rosaceae.org/Prunus/Prunus_persica/p.persica_gdr_reftransV1_0047321","p.persica_gdr_reftransV1_0047321")</f>
        <v>p.persica_gdr_reftransV1_0047321</v>
      </c>
      <c r="B20746" s="2">
        <v>1301</v>
      </c>
      <c r="C20746" s="4" t="str">
        <f>HYPERLINK("http://www.uniprot.org/uniprot/M5X0C5","M5X0C5")</f>
        <v>M5X0C5</v>
      </c>
      <c r="D20746" s="2" t="s">
        <v>10011</v>
      </c>
      <c r="E20746" s="3">
        <v>3.8799999999999999E-136</v>
      </c>
      <c r="F20746" s="2">
        <v>989</v>
      </c>
      <c r="G20746" s="2">
        <v>100</v>
      </c>
      <c r="H20746" s="2">
        <v>216</v>
      </c>
      <c r="I20746" s="2">
        <v>497</v>
      </c>
      <c r="J20746" s="2">
        <v>1144</v>
      </c>
      <c r="K20746" s="2">
        <v>25</v>
      </c>
      <c r="L20746" s="2">
        <v>240</v>
      </c>
    </row>
    <row r="20747" spans="1:12" x14ac:dyDescent="0.25">
      <c r="A20747" s="4" t="str">
        <f>HYPERLINK("http://www.rosaceae.org/Prunus/Prunus_persica/p.persica_gdr_reftransV1_0048021","p.persica_gdr_reftransV1_0048021")</f>
        <v>p.persica_gdr_reftransV1_0048021</v>
      </c>
      <c r="B20747" s="2">
        <v>1069</v>
      </c>
      <c r="C20747" s="4" t="str">
        <f>HYPERLINK("http://www.uniprot.org/uniprot/M5WVY6","M5WVY6")</f>
        <v>M5WVY6</v>
      </c>
      <c r="D20747" s="2" t="s">
        <v>1976</v>
      </c>
      <c r="E20747" s="3">
        <v>8.5300000000000005E-81</v>
      </c>
      <c r="F20747" s="2">
        <v>649</v>
      </c>
      <c r="G20747" s="2">
        <v>100</v>
      </c>
      <c r="H20747" s="2">
        <v>140</v>
      </c>
      <c r="I20747" s="2">
        <v>57</v>
      </c>
      <c r="J20747" s="2">
        <v>476</v>
      </c>
      <c r="K20747" s="2">
        <v>1</v>
      </c>
      <c r="L20747" s="2">
        <v>140</v>
      </c>
    </row>
    <row r="20748" spans="1:12" x14ac:dyDescent="0.25">
      <c r="A20748" s="4" t="str">
        <f>HYPERLINK("http://www.rosaceae.org/Prunus/Prunus_persica/p.persica_gdr_reftransV1_0048721","p.persica_gdr_reftransV1_0048721")</f>
        <v>p.persica_gdr_reftransV1_0048721</v>
      </c>
      <c r="B20748" s="2">
        <v>581</v>
      </c>
      <c r="C20748" s="4" t="str">
        <f>HYPERLINK("http://www.uniprot.org/uniprot/M5X5X5","M5X5X5")</f>
        <v>M5X5X5</v>
      </c>
      <c r="D20748" s="2" t="s">
        <v>15612</v>
      </c>
      <c r="E20748" s="3">
        <v>3.9000000000000002E-109</v>
      </c>
      <c r="F20748" s="2">
        <v>829</v>
      </c>
      <c r="G20748" s="2">
        <v>100</v>
      </c>
      <c r="H20748" s="2">
        <v>160</v>
      </c>
      <c r="I20748" s="2">
        <v>69</v>
      </c>
      <c r="J20748" s="2">
        <v>548</v>
      </c>
      <c r="K20748" s="2">
        <v>72</v>
      </c>
      <c r="L20748" s="2">
        <v>231</v>
      </c>
    </row>
    <row r="20749" spans="1:12" x14ac:dyDescent="0.25">
      <c r="A20749" s="4" t="str">
        <f>HYPERLINK("http://www.rosaceae.org/Prunus/Prunus_persica/p.persica_gdr_reftransV1_0049071","p.persica_gdr_reftransV1_0049071")</f>
        <v>p.persica_gdr_reftransV1_0049071</v>
      </c>
      <c r="B20749" s="2">
        <v>492</v>
      </c>
      <c r="C20749" s="4" t="str">
        <f>HYPERLINK("http://www.uniprot.org/uniprot/M5XP96","M5XP96")</f>
        <v>M5XP96</v>
      </c>
      <c r="D20749" s="2" t="s">
        <v>8670</v>
      </c>
      <c r="E20749" s="3">
        <v>4.3799999999999998E-95</v>
      </c>
      <c r="F20749" s="2">
        <v>775</v>
      </c>
      <c r="G20749" s="2">
        <v>100</v>
      </c>
      <c r="H20749" s="2">
        <v>163</v>
      </c>
      <c r="I20749" s="2">
        <v>3</v>
      </c>
      <c r="J20749" s="2">
        <v>491</v>
      </c>
      <c r="K20749" s="2">
        <v>234</v>
      </c>
      <c r="L20749" s="2">
        <v>396</v>
      </c>
    </row>
    <row r="20750" spans="1:12" x14ac:dyDescent="0.25">
      <c r="A20750" s="4" t="str">
        <f>HYPERLINK("http://www.rosaceae.org/Prunus/Prunus_persica/p.persica_gdr_reftransV1_0000072","p.persica_gdr_reftransV1_0000072")</f>
        <v>p.persica_gdr_reftransV1_0000072</v>
      </c>
      <c r="B20750" s="2">
        <v>3407</v>
      </c>
      <c r="C20750" s="4" t="str">
        <f>HYPERLINK("http://www.uniprot.org/uniprot/M5WYJ6","M5WYJ6")</f>
        <v>M5WYJ6</v>
      </c>
      <c r="D20750" s="2" t="s">
        <v>10227</v>
      </c>
      <c r="E20750" s="3">
        <v>0</v>
      </c>
      <c r="F20750" s="2">
        <v>4370</v>
      </c>
      <c r="G20750" s="2">
        <v>98</v>
      </c>
      <c r="H20750" s="2">
        <v>927</v>
      </c>
      <c r="I20750" s="2">
        <v>238</v>
      </c>
      <c r="J20750" s="2">
        <v>3018</v>
      </c>
      <c r="K20750" s="2">
        <v>8</v>
      </c>
      <c r="L20750" s="2">
        <v>921</v>
      </c>
    </row>
    <row r="20751" spans="1:12" x14ac:dyDescent="0.25">
      <c r="A20751" s="4" t="str">
        <f>HYPERLINK("http://www.rosaceae.org/Prunus/Prunus_persica/p.persica_gdr_reftransV1_0000422","p.persica_gdr_reftransV1_0000422")</f>
        <v>p.persica_gdr_reftransV1_0000422</v>
      </c>
      <c r="B20751" s="2">
        <v>445</v>
      </c>
      <c r="C20751" s="4" t="str">
        <f>HYPERLINK("http://www.uniprot.org/uniprot/M5W271","M5W271")</f>
        <v>M5W271</v>
      </c>
      <c r="D20751" s="2" t="s">
        <v>9267</v>
      </c>
      <c r="E20751" s="3">
        <v>1.5600000000000001E-73</v>
      </c>
      <c r="F20751" s="2">
        <v>605</v>
      </c>
      <c r="G20751" s="2">
        <v>93</v>
      </c>
      <c r="H20751" s="2">
        <v>122</v>
      </c>
      <c r="I20751" s="2">
        <v>55</v>
      </c>
      <c r="J20751" s="2">
        <v>420</v>
      </c>
      <c r="K20751" s="2">
        <v>1</v>
      </c>
      <c r="L20751" s="2">
        <v>122</v>
      </c>
    </row>
    <row r="20752" spans="1:12" x14ac:dyDescent="0.25">
      <c r="A20752" s="4" t="str">
        <f>HYPERLINK("http://www.rosaceae.org/Prunus/Prunus_persica/p.persica_gdr_reftransV1_0000772","p.persica_gdr_reftransV1_0000772")</f>
        <v>p.persica_gdr_reftransV1_0000772</v>
      </c>
      <c r="B20752" s="2">
        <v>1477</v>
      </c>
      <c r="C20752" s="4" t="str">
        <f>HYPERLINK("http://www.uniprot.org/uniprot/M5WUD8","M5WUD8")</f>
        <v>M5WUD8</v>
      </c>
      <c r="D20752" s="2" t="s">
        <v>5339</v>
      </c>
      <c r="E20752" s="3">
        <v>0</v>
      </c>
      <c r="F20752" s="2">
        <v>2213</v>
      </c>
      <c r="G20752" s="2">
        <v>96</v>
      </c>
      <c r="H20752" s="2">
        <v>432</v>
      </c>
      <c r="I20752" s="2">
        <v>236</v>
      </c>
      <c r="J20752" s="2">
        <v>1477</v>
      </c>
      <c r="K20752" s="2">
        <v>123</v>
      </c>
      <c r="L20752" s="2">
        <v>554</v>
      </c>
    </row>
    <row r="20753" spans="1:12" x14ac:dyDescent="0.25">
      <c r="A20753" s="4" t="str">
        <f>HYPERLINK("http://www.rosaceae.org/Prunus/Prunus_persica/p.persica_gdr_reftransV1_0001472","p.persica_gdr_reftransV1_0001472")</f>
        <v>p.persica_gdr_reftransV1_0001472</v>
      </c>
      <c r="B20753" s="2">
        <v>521</v>
      </c>
      <c r="C20753" s="4" t="str">
        <f>HYPERLINK("http://www.uniprot.org/uniprot/M5Y0I7","M5Y0I7")</f>
        <v>M5Y0I7</v>
      </c>
      <c r="D20753" s="2" t="s">
        <v>1730</v>
      </c>
      <c r="E20753" s="3">
        <v>7.8700000000000005E-85</v>
      </c>
      <c r="F20753" s="2">
        <v>665</v>
      </c>
      <c r="G20753" s="2">
        <v>100</v>
      </c>
      <c r="H20753" s="2">
        <v>151</v>
      </c>
      <c r="I20753" s="2">
        <v>18</v>
      </c>
      <c r="J20753" s="2">
        <v>470</v>
      </c>
      <c r="K20753" s="2">
        <v>1</v>
      </c>
      <c r="L20753" s="2">
        <v>151</v>
      </c>
    </row>
    <row r="20754" spans="1:12" x14ac:dyDescent="0.25">
      <c r="A20754" s="4" t="str">
        <f>HYPERLINK("http://www.rosaceae.org/Prunus/Prunus_persica/p.persica_gdr_reftransV1_0001822","p.persica_gdr_reftransV1_0001822")</f>
        <v>p.persica_gdr_reftransV1_0001822</v>
      </c>
      <c r="B20754" s="2">
        <v>1028</v>
      </c>
      <c r="C20754" s="4" t="str">
        <f>HYPERLINK("http://www.uniprot.org/uniprot/M5W2Z7","M5W2Z7")</f>
        <v>M5W2Z7</v>
      </c>
      <c r="D20754" s="2" t="s">
        <v>3253</v>
      </c>
      <c r="E20754" s="3">
        <v>2.8400000000000001E-134</v>
      </c>
      <c r="F20754" s="2">
        <v>710</v>
      </c>
      <c r="G20754" s="2">
        <v>98</v>
      </c>
      <c r="H20754" s="2">
        <v>143</v>
      </c>
      <c r="I20754" s="2">
        <v>185</v>
      </c>
      <c r="J20754" s="2">
        <v>613</v>
      </c>
      <c r="K20754" s="2">
        <v>134</v>
      </c>
      <c r="L20754" s="2">
        <v>276</v>
      </c>
    </row>
    <row r="20755" spans="1:12" x14ac:dyDescent="0.25">
      <c r="A20755" s="4" t="str">
        <f>HYPERLINK("http://www.rosaceae.org/Prunus/Prunus_persica/p.persica_gdr_reftransV1_0003222","p.persica_gdr_reftransV1_0003222")</f>
        <v>p.persica_gdr_reftransV1_0003222</v>
      </c>
      <c r="B20755" s="2">
        <v>329</v>
      </c>
      <c r="C20755" s="4" t="str">
        <f>HYPERLINK("http://www.uniprot.org/uniprot/M5VL96","M5VL96")</f>
        <v>M5VL96</v>
      </c>
      <c r="D20755" s="2" t="s">
        <v>12021</v>
      </c>
      <c r="E20755" s="3">
        <v>8.9500000000000004E-62</v>
      </c>
      <c r="F20755" s="2">
        <v>532</v>
      </c>
      <c r="G20755" s="2">
        <v>100</v>
      </c>
      <c r="H20755" s="2">
        <v>97</v>
      </c>
      <c r="I20755" s="2">
        <v>2</v>
      </c>
      <c r="J20755" s="2">
        <v>292</v>
      </c>
      <c r="K20755" s="2">
        <v>360</v>
      </c>
      <c r="L20755" s="2">
        <v>456</v>
      </c>
    </row>
    <row r="20756" spans="1:12" x14ac:dyDescent="0.25">
      <c r="A20756" s="4" t="str">
        <f>HYPERLINK("http://www.rosaceae.org/Prunus/Prunus_persica/p.persica_gdr_reftransV1_0003572","p.persica_gdr_reftransV1_0003572")</f>
        <v>p.persica_gdr_reftransV1_0003572</v>
      </c>
      <c r="B20756" s="2">
        <v>2287</v>
      </c>
      <c r="C20756" s="4" t="str">
        <f>HYPERLINK("http://www.uniprot.org/uniprot/M5XZ46","M5XZ46")</f>
        <v>M5XZ46</v>
      </c>
      <c r="D20756" s="2" t="s">
        <v>9910</v>
      </c>
      <c r="E20756" s="3">
        <v>1.4199999999999999E-83</v>
      </c>
      <c r="F20756" s="2">
        <v>712</v>
      </c>
      <c r="G20756" s="2">
        <v>100</v>
      </c>
      <c r="H20756" s="2">
        <v>157</v>
      </c>
      <c r="I20756" s="2">
        <v>137</v>
      </c>
      <c r="J20756" s="2">
        <v>607</v>
      </c>
      <c r="K20756" s="2">
        <v>1</v>
      </c>
      <c r="L20756" s="2">
        <v>157</v>
      </c>
    </row>
    <row r="20757" spans="1:12" x14ac:dyDescent="0.25">
      <c r="A20757" s="4" t="str">
        <f>HYPERLINK("http://www.rosaceae.org/Prunus/Prunus_persica/p.persica_gdr_reftransV1_0003922","p.persica_gdr_reftransV1_0003922")</f>
        <v>p.persica_gdr_reftransV1_0003922</v>
      </c>
      <c r="B20757" s="2">
        <v>3489</v>
      </c>
      <c r="C20757" s="4" t="str">
        <f>HYPERLINK("http://www.uniprot.org/uniprot/M5W1C5","M5W1C5")</f>
        <v>M5W1C5</v>
      </c>
      <c r="D20757" s="2" t="s">
        <v>5921</v>
      </c>
      <c r="E20757" s="3">
        <v>0</v>
      </c>
      <c r="F20757" s="2">
        <v>5680</v>
      </c>
      <c r="G20757" s="2">
        <v>100</v>
      </c>
      <c r="H20757" s="2">
        <v>1134</v>
      </c>
      <c r="I20757" s="2">
        <v>86</v>
      </c>
      <c r="J20757" s="2">
        <v>3487</v>
      </c>
      <c r="K20757" s="2">
        <v>183</v>
      </c>
      <c r="L20757" s="2">
        <v>1316</v>
      </c>
    </row>
    <row r="20758" spans="1:12" x14ac:dyDescent="0.25">
      <c r="A20758" s="4" t="str">
        <f>HYPERLINK("http://www.rosaceae.org/Prunus/Prunus_persica/p.persica_gdr_reftransV1_0004622","p.persica_gdr_reftransV1_0004622")</f>
        <v>p.persica_gdr_reftransV1_0004622</v>
      </c>
      <c r="B20758" s="2">
        <v>1883</v>
      </c>
      <c r="C20758" s="4" t="str">
        <f>HYPERLINK("http://www.uniprot.org/uniprot/M5XMD8","M5XMD8")</f>
        <v>M5XMD8</v>
      </c>
      <c r="D20758" s="2" t="s">
        <v>15613</v>
      </c>
      <c r="E20758" s="3">
        <v>0</v>
      </c>
      <c r="F20758" s="2">
        <v>2747</v>
      </c>
      <c r="G20758" s="2">
        <v>100</v>
      </c>
      <c r="H20758" s="2">
        <v>514</v>
      </c>
      <c r="I20758" s="2">
        <v>169</v>
      </c>
      <c r="J20758" s="2">
        <v>1710</v>
      </c>
      <c r="K20758" s="2">
        <v>1</v>
      </c>
      <c r="L20758" s="2">
        <v>514</v>
      </c>
    </row>
    <row r="20759" spans="1:12" x14ac:dyDescent="0.25">
      <c r="A20759" s="4" t="str">
        <f>HYPERLINK("http://www.rosaceae.org/Prunus/Prunus_persica/p.persica_gdr_reftransV1_0004972","p.persica_gdr_reftransV1_0004972")</f>
        <v>p.persica_gdr_reftransV1_0004972</v>
      </c>
      <c r="B20759" s="2">
        <v>1291</v>
      </c>
      <c r="C20759" s="4" t="str">
        <f>HYPERLINK("http://www.uniprot.org/uniprot/M5XB26","M5XB26")</f>
        <v>M5XB26</v>
      </c>
      <c r="D20759" s="2" t="s">
        <v>12862</v>
      </c>
      <c r="E20759" s="3">
        <v>0</v>
      </c>
      <c r="F20759" s="2">
        <v>1419</v>
      </c>
      <c r="G20759" s="2">
        <v>100</v>
      </c>
      <c r="H20759" s="2">
        <v>285</v>
      </c>
      <c r="I20759" s="2">
        <v>93</v>
      </c>
      <c r="J20759" s="2">
        <v>947</v>
      </c>
      <c r="K20759" s="2">
        <v>1</v>
      </c>
      <c r="L20759" s="2">
        <v>285</v>
      </c>
    </row>
    <row r="20760" spans="1:12" x14ac:dyDescent="0.25">
      <c r="A20760" s="4" t="str">
        <f>HYPERLINK("http://www.rosaceae.org/Prunus/Prunus_persica/p.persica_gdr_reftransV1_0006722","p.persica_gdr_reftransV1_0006722")</f>
        <v>p.persica_gdr_reftransV1_0006722</v>
      </c>
      <c r="B20760" s="2">
        <v>574</v>
      </c>
      <c r="C20760" s="4" t="str">
        <f>HYPERLINK("http://www.uniprot.org/uniprot/M5VZ47","M5VZ47")</f>
        <v>M5VZ47</v>
      </c>
      <c r="D20760" s="2" t="s">
        <v>12891</v>
      </c>
      <c r="E20760" s="3">
        <v>7.0699999999999995E-106</v>
      </c>
      <c r="F20760" s="2">
        <v>817</v>
      </c>
      <c r="G20760" s="2">
        <v>100</v>
      </c>
      <c r="H20760" s="2">
        <v>151</v>
      </c>
      <c r="I20760" s="2">
        <v>3</v>
      </c>
      <c r="J20760" s="2">
        <v>455</v>
      </c>
      <c r="K20760" s="2">
        <v>12</v>
      </c>
      <c r="L20760" s="2">
        <v>162</v>
      </c>
    </row>
    <row r="20761" spans="1:12" x14ac:dyDescent="0.25">
      <c r="A20761" s="4" t="str">
        <f>HYPERLINK("http://www.rosaceae.org/Prunus/Prunus_persica/p.persica_gdr_reftransV1_0007072","p.persica_gdr_reftransV1_0007072")</f>
        <v>p.persica_gdr_reftransV1_0007072</v>
      </c>
      <c r="B20761" s="2">
        <v>1447</v>
      </c>
      <c r="C20761" s="4" t="str">
        <f>HYPERLINK("http://www.uniprot.org/uniprot/M5WUJ2","M5WUJ2")</f>
        <v>M5WUJ2</v>
      </c>
      <c r="D20761" s="2" t="s">
        <v>15614</v>
      </c>
      <c r="E20761" s="3">
        <v>0</v>
      </c>
      <c r="F20761" s="2">
        <v>1960</v>
      </c>
      <c r="G20761" s="2">
        <v>100</v>
      </c>
      <c r="H20761" s="2">
        <v>369</v>
      </c>
      <c r="I20761" s="2">
        <v>129</v>
      </c>
      <c r="J20761" s="2">
        <v>1235</v>
      </c>
      <c r="K20761" s="2">
        <v>8</v>
      </c>
      <c r="L20761" s="2">
        <v>376</v>
      </c>
    </row>
    <row r="20762" spans="1:12" x14ac:dyDescent="0.25">
      <c r="A20762" s="4" t="str">
        <f>HYPERLINK("http://www.rosaceae.org/Prunus/Prunus_persica/p.persica_gdr_reftransV1_0007422","p.persica_gdr_reftransV1_0007422")</f>
        <v>p.persica_gdr_reftransV1_0007422</v>
      </c>
      <c r="B20762" s="2">
        <v>3511</v>
      </c>
      <c r="C20762" s="4" t="str">
        <f>HYPERLINK("http://www.uniprot.org/uniprot/M5X2J6","M5X2J6")</f>
        <v>M5X2J6</v>
      </c>
      <c r="D20762" s="2" t="s">
        <v>15615</v>
      </c>
      <c r="E20762" s="3">
        <v>0</v>
      </c>
      <c r="F20762" s="2">
        <v>5234</v>
      </c>
      <c r="G20762" s="2">
        <v>100</v>
      </c>
      <c r="H20762" s="2">
        <v>1030</v>
      </c>
      <c r="I20762" s="2">
        <v>346</v>
      </c>
      <c r="J20762" s="2">
        <v>3435</v>
      </c>
      <c r="K20762" s="2">
        <v>8</v>
      </c>
      <c r="L20762" s="2">
        <v>1037</v>
      </c>
    </row>
    <row r="20763" spans="1:12" x14ac:dyDescent="0.25">
      <c r="A20763" s="4" t="str">
        <f>HYPERLINK("http://www.rosaceae.org/Prunus/Prunus_persica/p.persica_gdr_reftransV1_0007772","p.persica_gdr_reftransV1_0007772")</f>
        <v>p.persica_gdr_reftransV1_0007772</v>
      </c>
      <c r="B20763" s="2">
        <v>475</v>
      </c>
      <c r="C20763" s="4" t="str">
        <f>HYPERLINK("http://www.uniprot.org/uniprot/M5XKM3","M5XKM3")</f>
        <v>M5XKM3</v>
      </c>
      <c r="D20763" s="2" t="s">
        <v>5865</v>
      </c>
      <c r="E20763" s="3">
        <v>2.78E-55</v>
      </c>
      <c r="F20763" s="2">
        <v>463</v>
      </c>
      <c r="G20763" s="2">
        <v>99</v>
      </c>
      <c r="H20763" s="2">
        <v>108</v>
      </c>
      <c r="I20763" s="2">
        <v>151</v>
      </c>
      <c r="J20763" s="2">
        <v>474</v>
      </c>
      <c r="K20763" s="2">
        <v>16</v>
      </c>
      <c r="L20763" s="2">
        <v>123</v>
      </c>
    </row>
    <row r="20764" spans="1:12" x14ac:dyDescent="0.25">
      <c r="A20764" s="4" t="str">
        <f>HYPERLINK("http://www.rosaceae.org/Prunus/Prunus_persica/p.persica_gdr_reftransV1_0008472","p.persica_gdr_reftransV1_0008472")</f>
        <v>p.persica_gdr_reftransV1_0008472</v>
      </c>
      <c r="B20764" s="2">
        <v>1608</v>
      </c>
      <c r="C20764" s="4" t="str">
        <f>HYPERLINK("http://www.uniprot.org/uniprot/M5WUX0","M5WUX0")</f>
        <v>M5WUX0</v>
      </c>
      <c r="D20764" s="2" t="s">
        <v>15616</v>
      </c>
      <c r="E20764" s="3">
        <v>2.4100000000000002E-165</v>
      </c>
      <c r="F20764" s="2">
        <v>1240</v>
      </c>
      <c r="G20764" s="2">
        <v>100</v>
      </c>
      <c r="H20764" s="2">
        <v>228</v>
      </c>
      <c r="I20764" s="2">
        <v>660</v>
      </c>
      <c r="J20764" s="2">
        <v>1343</v>
      </c>
      <c r="K20764" s="2">
        <v>38</v>
      </c>
      <c r="L20764" s="2">
        <v>265</v>
      </c>
    </row>
    <row r="20765" spans="1:12" x14ac:dyDescent="0.25">
      <c r="A20765" s="4" t="str">
        <f>HYPERLINK("http://www.rosaceae.org/Prunus/Prunus_persica/p.persica_gdr_reftransV1_0008822","p.persica_gdr_reftransV1_0008822")</f>
        <v>p.persica_gdr_reftransV1_0008822</v>
      </c>
      <c r="B20765" s="2">
        <v>727</v>
      </c>
      <c r="C20765" s="4" t="str">
        <f>HYPERLINK("http://www.uniprot.org/uniprot/M5VUS6","M5VUS6")</f>
        <v>M5VUS6</v>
      </c>
      <c r="D20765" s="2" t="s">
        <v>15617</v>
      </c>
      <c r="E20765" s="3">
        <v>3.2599999999999999E-38</v>
      </c>
      <c r="F20765" s="2">
        <v>354</v>
      </c>
      <c r="G20765" s="2">
        <v>96</v>
      </c>
      <c r="H20765" s="2">
        <v>110</v>
      </c>
      <c r="I20765" s="2">
        <v>326</v>
      </c>
      <c r="J20765" s="2">
        <v>655</v>
      </c>
      <c r="K20765" s="2">
        <v>1</v>
      </c>
      <c r="L20765" s="2">
        <v>108</v>
      </c>
    </row>
    <row r="20766" spans="1:12" x14ac:dyDescent="0.25">
      <c r="A20766" s="4" t="str">
        <f>HYPERLINK("http://www.rosaceae.org/Prunus/Prunus_persica/p.persica_gdr_reftransV1_0009172","p.persica_gdr_reftransV1_0009172")</f>
        <v>p.persica_gdr_reftransV1_0009172</v>
      </c>
      <c r="B20766" s="2">
        <v>1692</v>
      </c>
      <c r="C20766" s="4" t="str">
        <f>HYPERLINK("http://www.uniprot.org/uniprot/M5XQW8","M5XQW8")</f>
        <v>M5XQW8</v>
      </c>
      <c r="D20766" s="2" t="s">
        <v>15618</v>
      </c>
      <c r="E20766" s="3">
        <v>0</v>
      </c>
      <c r="F20766" s="2">
        <v>2128</v>
      </c>
      <c r="G20766" s="2">
        <v>100</v>
      </c>
      <c r="H20766" s="2">
        <v>409</v>
      </c>
      <c r="I20766" s="2">
        <v>133</v>
      </c>
      <c r="J20766" s="2">
        <v>1359</v>
      </c>
      <c r="K20766" s="2">
        <v>1</v>
      </c>
      <c r="L20766" s="2">
        <v>409</v>
      </c>
    </row>
    <row r="20767" spans="1:12" x14ac:dyDescent="0.25">
      <c r="A20767" s="4" t="str">
        <f>HYPERLINK("http://www.rosaceae.org/Prunus/Prunus_persica/p.persica_gdr_reftransV1_0010222","p.persica_gdr_reftransV1_0010222")</f>
        <v>p.persica_gdr_reftransV1_0010222</v>
      </c>
      <c r="B20767" s="2">
        <v>953</v>
      </c>
      <c r="C20767" s="4" t="str">
        <f>HYPERLINK("http://www.uniprot.org/uniprot/M5XU00","M5XU00")</f>
        <v>M5XU00</v>
      </c>
      <c r="D20767" s="2" t="s">
        <v>10506</v>
      </c>
      <c r="E20767" s="3">
        <v>8.6900000000000005E-126</v>
      </c>
      <c r="F20767" s="2">
        <v>953</v>
      </c>
      <c r="G20767" s="2">
        <v>98</v>
      </c>
      <c r="H20767" s="2">
        <v>183</v>
      </c>
      <c r="I20767" s="2">
        <v>58</v>
      </c>
      <c r="J20767" s="2">
        <v>606</v>
      </c>
      <c r="K20767" s="2">
        <v>50</v>
      </c>
      <c r="L20767" s="2">
        <v>232</v>
      </c>
    </row>
    <row r="20768" spans="1:12" x14ac:dyDescent="0.25">
      <c r="A20768" s="4" t="str">
        <f>HYPERLINK("http://www.rosaceae.org/Prunus/Prunus_persica/p.persica_gdr_reftransV1_0010572","p.persica_gdr_reftransV1_0010572")</f>
        <v>p.persica_gdr_reftransV1_0010572</v>
      </c>
      <c r="B20768" s="2">
        <v>473</v>
      </c>
      <c r="C20768" s="4" t="str">
        <f>HYPERLINK("http://www.uniprot.org/uniprot/A0A067GB57","A0A067GB57")</f>
        <v>A0A067GB57</v>
      </c>
      <c r="D20768" s="2" t="s">
        <v>15619</v>
      </c>
      <c r="E20768" s="3">
        <v>2.96E-11</v>
      </c>
      <c r="F20768" s="2">
        <v>173</v>
      </c>
      <c r="G20768" s="2">
        <v>44</v>
      </c>
      <c r="H20768" s="2">
        <v>111</v>
      </c>
      <c r="I20768" s="2">
        <v>144</v>
      </c>
      <c r="J20768" s="2">
        <v>464</v>
      </c>
      <c r="K20768" s="2">
        <v>14</v>
      </c>
      <c r="L20768" s="2">
        <v>119</v>
      </c>
    </row>
    <row r="20769" spans="1:12" x14ac:dyDescent="0.25">
      <c r="A20769" s="4" t="str">
        <f>HYPERLINK("http://www.rosaceae.org/Prunus/Prunus_persica/p.persica_gdr_reftransV1_0012322","p.persica_gdr_reftransV1_0012322")</f>
        <v>p.persica_gdr_reftransV1_0012322</v>
      </c>
      <c r="B20769" s="2">
        <v>1460</v>
      </c>
      <c r="C20769" s="4" t="str">
        <f>HYPERLINK("http://www.uniprot.org/uniprot/M5X0I2","M5X0I2")</f>
        <v>M5X0I2</v>
      </c>
      <c r="D20769" s="2" t="s">
        <v>15620</v>
      </c>
      <c r="E20769" s="3">
        <v>4.1800000000000002E-143</v>
      </c>
      <c r="F20769" s="2">
        <v>1082</v>
      </c>
      <c r="G20769" s="2">
        <v>89</v>
      </c>
      <c r="H20769" s="2">
        <v>240</v>
      </c>
      <c r="I20769" s="2">
        <v>498</v>
      </c>
      <c r="J20769" s="2">
        <v>1217</v>
      </c>
      <c r="K20769" s="2">
        <v>1</v>
      </c>
      <c r="L20769" s="2">
        <v>214</v>
      </c>
    </row>
    <row r="20770" spans="1:12" x14ac:dyDescent="0.25">
      <c r="A20770" s="4" t="str">
        <f>HYPERLINK("http://www.rosaceae.org/Prunus/Prunus_persica/p.persica_gdr_reftransV1_0013022","p.persica_gdr_reftransV1_0013022")</f>
        <v>p.persica_gdr_reftransV1_0013022</v>
      </c>
      <c r="B20770" s="2">
        <v>2138</v>
      </c>
      <c r="C20770" s="4" t="str">
        <f>HYPERLINK("http://www.uniprot.org/uniprot/M5WGI9","M5WGI9")</f>
        <v>M5WGI9</v>
      </c>
      <c r="D20770" s="2" t="s">
        <v>15621</v>
      </c>
      <c r="E20770" s="3">
        <v>0</v>
      </c>
      <c r="F20770" s="2">
        <v>1657</v>
      </c>
      <c r="G20770" s="2">
        <v>100</v>
      </c>
      <c r="H20770" s="2">
        <v>313</v>
      </c>
      <c r="I20770" s="2">
        <v>296</v>
      </c>
      <c r="J20770" s="2">
        <v>1234</v>
      </c>
      <c r="K20770" s="2">
        <v>1</v>
      </c>
      <c r="L20770" s="2">
        <v>313</v>
      </c>
    </row>
    <row r="20771" spans="1:12" x14ac:dyDescent="0.25">
      <c r="A20771" s="4" t="str">
        <f>HYPERLINK("http://www.rosaceae.org/Prunus/Prunus_persica/p.persica_gdr_reftransV1_0014072","p.persica_gdr_reftransV1_0014072")</f>
        <v>p.persica_gdr_reftransV1_0014072</v>
      </c>
      <c r="B20771" s="2">
        <v>2571</v>
      </c>
      <c r="C20771" s="4" t="str">
        <f>HYPERLINK("http://www.uniprot.org/uniprot/M5XVF1","M5XVF1")</f>
        <v>M5XVF1</v>
      </c>
      <c r="D20771" s="2" t="s">
        <v>15622</v>
      </c>
      <c r="E20771" s="3">
        <v>0</v>
      </c>
      <c r="F20771" s="2">
        <v>3948</v>
      </c>
      <c r="G20771" s="2">
        <v>100</v>
      </c>
      <c r="H20771" s="2">
        <v>735</v>
      </c>
      <c r="I20771" s="2">
        <v>287</v>
      </c>
      <c r="J20771" s="2">
        <v>2491</v>
      </c>
      <c r="K20771" s="2">
        <v>1</v>
      </c>
      <c r="L20771" s="2">
        <v>735</v>
      </c>
    </row>
    <row r="20772" spans="1:12" x14ac:dyDescent="0.25">
      <c r="A20772" s="4" t="str">
        <f>HYPERLINK("http://www.rosaceae.org/Prunus/Prunus_persica/p.persica_gdr_reftransV1_0014772","p.persica_gdr_reftransV1_0014772")</f>
        <v>p.persica_gdr_reftransV1_0014772</v>
      </c>
      <c r="B20772" s="2">
        <v>2848</v>
      </c>
      <c r="C20772" s="4" t="str">
        <f>HYPERLINK("http://www.uniprot.org/uniprot/M5XJR2","M5XJR2")</f>
        <v>M5XJR2</v>
      </c>
      <c r="D20772" s="2" t="s">
        <v>15623</v>
      </c>
      <c r="E20772" s="3">
        <v>0</v>
      </c>
      <c r="F20772" s="2">
        <v>3015</v>
      </c>
      <c r="G20772" s="2">
        <v>100</v>
      </c>
      <c r="H20772" s="2">
        <v>629</v>
      </c>
      <c r="I20772" s="2">
        <v>334</v>
      </c>
      <c r="J20772" s="2">
        <v>2220</v>
      </c>
      <c r="K20772" s="2">
        <v>1</v>
      </c>
      <c r="L20772" s="2">
        <v>629</v>
      </c>
    </row>
    <row r="20773" spans="1:12" x14ac:dyDescent="0.25">
      <c r="A20773" s="4" t="str">
        <f>HYPERLINK("http://www.rosaceae.org/Prunus/Prunus_persica/p.persica_gdr_reftransV1_0015122","p.persica_gdr_reftransV1_0015122")</f>
        <v>p.persica_gdr_reftransV1_0015122</v>
      </c>
      <c r="B20773" s="2">
        <v>3240</v>
      </c>
      <c r="C20773" s="4" t="str">
        <f>HYPERLINK("http://www.uniprot.org/uniprot/M5XP36","M5XP36")</f>
        <v>M5XP36</v>
      </c>
      <c r="D20773" s="2" t="s">
        <v>15624</v>
      </c>
      <c r="E20773" s="3">
        <v>0</v>
      </c>
      <c r="F20773" s="2">
        <v>1652</v>
      </c>
      <c r="G20773" s="2">
        <v>100</v>
      </c>
      <c r="H20773" s="2">
        <v>307</v>
      </c>
      <c r="I20773" s="2">
        <v>2086</v>
      </c>
      <c r="J20773" s="2">
        <v>3006</v>
      </c>
      <c r="K20773" s="2">
        <v>58</v>
      </c>
      <c r="L20773" s="2">
        <v>364</v>
      </c>
    </row>
    <row r="20774" spans="1:12" x14ac:dyDescent="0.25">
      <c r="A20774" s="4" t="str">
        <f>HYPERLINK("http://www.rosaceae.org/Prunus/Prunus_persica/p.persica_gdr_reftransV1_0016522","p.persica_gdr_reftransV1_0016522")</f>
        <v>p.persica_gdr_reftransV1_0016522</v>
      </c>
      <c r="B20774" s="2">
        <v>1016</v>
      </c>
      <c r="C20774" s="4" t="str">
        <f>HYPERLINK("http://www.uniprot.org/uniprot/M5XPF0","M5XPF0")</f>
        <v>M5XPF0</v>
      </c>
      <c r="D20774" s="2" t="s">
        <v>15625</v>
      </c>
      <c r="E20774" s="3">
        <v>7.7599999999999997E-87</v>
      </c>
      <c r="F20774" s="2">
        <v>749</v>
      </c>
      <c r="G20774" s="2">
        <v>97</v>
      </c>
      <c r="H20774" s="2">
        <v>142</v>
      </c>
      <c r="I20774" s="2">
        <v>71</v>
      </c>
      <c r="J20774" s="2">
        <v>496</v>
      </c>
      <c r="K20774" s="2">
        <v>1</v>
      </c>
      <c r="L20774" s="2">
        <v>142</v>
      </c>
    </row>
    <row r="20775" spans="1:12" x14ac:dyDescent="0.25">
      <c r="A20775" s="4" t="str">
        <f>HYPERLINK("http://www.rosaceae.org/Prunus/Prunus_persica/p.persica_gdr_reftransV1_0017572","p.persica_gdr_reftransV1_0017572")</f>
        <v>p.persica_gdr_reftransV1_0017572</v>
      </c>
      <c r="B20775" s="2">
        <v>5010</v>
      </c>
      <c r="C20775" s="4" t="str">
        <f>HYPERLINK("http://www.uniprot.org/uniprot/M5VPV9","M5VPV9")</f>
        <v>M5VPV9</v>
      </c>
      <c r="D20775" s="2" t="s">
        <v>15626</v>
      </c>
      <c r="E20775" s="3">
        <v>0</v>
      </c>
      <c r="F20775" s="2">
        <v>5278</v>
      </c>
      <c r="G20775" s="2">
        <v>99</v>
      </c>
      <c r="H20775" s="2">
        <v>1024</v>
      </c>
      <c r="I20775" s="2">
        <v>145</v>
      </c>
      <c r="J20775" s="2">
        <v>3216</v>
      </c>
      <c r="K20775" s="2">
        <v>1</v>
      </c>
      <c r="L20775" s="2">
        <v>1024</v>
      </c>
    </row>
    <row r="20776" spans="1:12" x14ac:dyDescent="0.25">
      <c r="A20776" s="4" t="str">
        <f>HYPERLINK("http://www.rosaceae.org/Prunus/Prunus_persica/p.persica_gdr_reftransV1_0018972","p.persica_gdr_reftransV1_0018972")</f>
        <v>p.persica_gdr_reftransV1_0018972</v>
      </c>
      <c r="B20776" s="2">
        <v>1289</v>
      </c>
      <c r="C20776" s="4" t="str">
        <f>HYPERLINK("http://www.uniprot.org/uniprot/M5X307","M5X307")</f>
        <v>M5X307</v>
      </c>
      <c r="D20776" s="2" t="s">
        <v>15627</v>
      </c>
      <c r="E20776" s="3">
        <v>0</v>
      </c>
      <c r="F20776" s="2">
        <v>1357</v>
      </c>
      <c r="G20776" s="2">
        <v>100</v>
      </c>
      <c r="H20776" s="2">
        <v>276</v>
      </c>
      <c r="I20776" s="2">
        <v>401</v>
      </c>
      <c r="J20776" s="2">
        <v>1228</v>
      </c>
      <c r="K20776" s="2">
        <v>1</v>
      </c>
      <c r="L20776" s="2">
        <v>276</v>
      </c>
    </row>
    <row r="20777" spans="1:12" x14ac:dyDescent="0.25">
      <c r="A20777" s="4" t="str">
        <f>HYPERLINK("http://www.rosaceae.org/Prunus/Prunus_persica/p.persica_gdr_reftransV1_0019322","p.persica_gdr_reftransV1_0019322")</f>
        <v>p.persica_gdr_reftransV1_0019322</v>
      </c>
      <c r="B20777" s="2">
        <v>2414</v>
      </c>
      <c r="C20777" s="4" t="str">
        <f>HYPERLINK("http://www.uniprot.org/uniprot/M5X888","M5X888")</f>
        <v>M5X888</v>
      </c>
      <c r="D20777" s="2" t="s">
        <v>15628</v>
      </c>
      <c r="E20777" s="3">
        <v>0</v>
      </c>
      <c r="F20777" s="2">
        <v>3783</v>
      </c>
      <c r="G20777" s="2">
        <v>100</v>
      </c>
      <c r="H20777" s="2">
        <v>741</v>
      </c>
      <c r="I20777" s="2">
        <v>3</v>
      </c>
      <c r="J20777" s="2">
        <v>2225</v>
      </c>
      <c r="K20777" s="2">
        <v>16</v>
      </c>
      <c r="L20777" s="2">
        <v>756</v>
      </c>
    </row>
    <row r="20778" spans="1:12" x14ac:dyDescent="0.25">
      <c r="A20778" s="4" t="str">
        <f>HYPERLINK("http://www.rosaceae.org/Prunus/Prunus_persica/p.persica_gdr_reftransV1_0020722","p.persica_gdr_reftransV1_0020722")</f>
        <v>p.persica_gdr_reftransV1_0020722</v>
      </c>
      <c r="B20778" s="2">
        <v>1034</v>
      </c>
      <c r="C20778" s="4" t="str">
        <f>HYPERLINK("http://www.uniprot.org/uniprot/M5Wid5","M5Wid5")</f>
        <v>M5Wid5</v>
      </c>
      <c r="D20778" s="2" t="s">
        <v>15629</v>
      </c>
      <c r="E20778" s="3">
        <v>5.7799999999999999E-58</v>
      </c>
      <c r="F20778" s="2">
        <v>493</v>
      </c>
      <c r="G20778" s="2">
        <v>100</v>
      </c>
      <c r="H20778" s="2">
        <v>95</v>
      </c>
      <c r="I20778" s="2">
        <v>515</v>
      </c>
      <c r="J20778" s="2">
        <v>799</v>
      </c>
      <c r="K20778" s="2">
        <v>1</v>
      </c>
      <c r="L20778" s="2">
        <v>95</v>
      </c>
    </row>
    <row r="20779" spans="1:12" x14ac:dyDescent="0.25">
      <c r="A20779" s="4" t="str">
        <f>HYPERLINK("http://www.rosaceae.org/Prunus/Prunus_persica/p.persica_gdr_reftransV1_0021072","p.persica_gdr_reftransV1_0021072")</f>
        <v>p.persica_gdr_reftransV1_0021072</v>
      </c>
      <c r="B20779" s="2">
        <v>1745</v>
      </c>
      <c r="C20779" s="4" t="str">
        <f>HYPERLINK("http://www.uniprot.org/uniprot/M5XY49","M5XY49")</f>
        <v>M5XY49</v>
      </c>
      <c r="D20779" s="2" t="s">
        <v>15381</v>
      </c>
      <c r="E20779" s="3">
        <v>5.7899999999999996E-138</v>
      </c>
      <c r="F20779" s="2">
        <v>1067</v>
      </c>
      <c r="G20779" s="2">
        <v>100</v>
      </c>
      <c r="H20779" s="2">
        <v>193</v>
      </c>
      <c r="I20779" s="2">
        <v>1029</v>
      </c>
      <c r="J20779" s="2">
        <v>1607</v>
      </c>
      <c r="K20779" s="2">
        <v>1</v>
      </c>
      <c r="L20779" s="2">
        <v>193</v>
      </c>
    </row>
    <row r="20780" spans="1:12" x14ac:dyDescent="0.25">
      <c r="A20780" s="4" t="str">
        <f>HYPERLINK("http://www.rosaceae.org/Prunus/Prunus_persica/p.persica_gdr_reftransV1_0021422","p.persica_gdr_reftransV1_0021422")</f>
        <v>p.persica_gdr_reftransV1_0021422</v>
      </c>
      <c r="B20780" s="2">
        <v>603</v>
      </c>
      <c r="C20780" s="4" t="str">
        <f>HYPERLINK("http://www.uniprot.org/uniprot/M5WH83","M5WH83")</f>
        <v>M5WH83</v>
      </c>
      <c r="D20780" s="2" t="s">
        <v>15630</v>
      </c>
      <c r="E20780" s="3">
        <v>4.0100000000000001E-25</v>
      </c>
      <c r="F20780" s="2">
        <v>271</v>
      </c>
      <c r="G20780" s="2">
        <v>100</v>
      </c>
      <c r="H20780" s="2">
        <v>101</v>
      </c>
      <c r="I20780" s="2">
        <v>1</v>
      </c>
      <c r="J20780" s="2">
        <v>303</v>
      </c>
      <c r="K20780" s="2">
        <v>85</v>
      </c>
      <c r="L20780" s="2">
        <v>185</v>
      </c>
    </row>
    <row r="20781" spans="1:12" x14ac:dyDescent="0.25">
      <c r="A20781" s="4" t="str">
        <f>HYPERLINK("http://www.rosaceae.org/Prunus/Prunus_persica/p.persica_gdr_reftransV1_0021772","p.persica_gdr_reftransV1_0021772")</f>
        <v>p.persica_gdr_reftransV1_0021772</v>
      </c>
      <c r="B20781" s="2">
        <v>3440</v>
      </c>
      <c r="C20781" s="4" t="str">
        <f>HYPERLINK("http://www.uniprot.org/uniprot/M5WP50","M5WP50")</f>
        <v>M5WP50</v>
      </c>
      <c r="D20781" s="2" t="s">
        <v>15631</v>
      </c>
      <c r="E20781" s="3">
        <v>5.9100000000000001E-175</v>
      </c>
      <c r="F20781" s="2">
        <v>1384</v>
      </c>
      <c r="G20781" s="2">
        <v>100</v>
      </c>
      <c r="H20781" s="2">
        <v>316</v>
      </c>
      <c r="I20781" s="2">
        <v>361</v>
      </c>
      <c r="J20781" s="2">
        <v>1308</v>
      </c>
      <c r="K20781" s="2">
        <v>1</v>
      </c>
      <c r="L20781" s="2">
        <v>316</v>
      </c>
    </row>
    <row r="20782" spans="1:12" x14ac:dyDescent="0.25">
      <c r="A20782" s="4" t="str">
        <f>HYPERLINK("http://www.rosaceae.org/Prunus/Prunus_persica/p.persica_gdr_reftransV1_0022122","p.persica_gdr_reftransV1_0022122")</f>
        <v>p.persica_gdr_reftransV1_0022122</v>
      </c>
      <c r="B20782" s="2">
        <v>430</v>
      </c>
      <c r="C20782" s="4" t="str">
        <f>HYPERLINK("http://www.uniprot.org/uniprot/M5WPW8","M5WPW8")</f>
        <v>M5WPW8</v>
      </c>
      <c r="D20782" s="2" t="s">
        <v>4891</v>
      </c>
      <c r="E20782" s="3">
        <v>1.6899999999999999E-93</v>
      </c>
      <c r="F20782" s="2">
        <v>766</v>
      </c>
      <c r="G20782" s="2">
        <v>100</v>
      </c>
      <c r="H20782" s="2">
        <v>143</v>
      </c>
      <c r="I20782" s="2">
        <v>2</v>
      </c>
      <c r="J20782" s="2">
        <v>430</v>
      </c>
      <c r="K20782" s="2">
        <v>424</v>
      </c>
      <c r="L20782" s="2">
        <v>566</v>
      </c>
    </row>
    <row r="20783" spans="1:12" x14ac:dyDescent="0.25">
      <c r="A20783" s="4" t="str">
        <f>HYPERLINK("http://www.rosaceae.org/Prunus/Prunus_persica/p.persica_gdr_reftransV1_0022472","p.persica_gdr_reftransV1_0022472")</f>
        <v>p.persica_gdr_reftransV1_0022472</v>
      </c>
      <c r="B20783" s="2">
        <v>1229</v>
      </c>
      <c r="C20783" s="4" t="str">
        <f>HYPERLINK("http://www.uniprot.org/uniprot/E4Z8N4","E4Z8N4")</f>
        <v>E4Z8N4</v>
      </c>
      <c r="D20783" s="2" t="s">
        <v>15632</v>
      </c>
      <c r="E20783" s="3">
        <v>4.28E-22</v>
      </c>
      <c r="F20783" s="2">
        <v>268</v>
      </c>
      <c r="G20783" s="2">
        <v>61</v>
      </c>
      <c r="H20783" s="2">
        <v>85</v>
      </c>
      <c r="I20783" s="2">
        <v>353</v>
      </c>
      <c r="J20783" s="2">
        <v>607</v>
      </c>
      <c r="K20783" s="2">
        <v>462</v>
      </c>
      <c r="L20783" s="2">
        <v>529</v>
      </c>
    </row>
    <row r="20784" spans="1:12" x14ac:dyDescent="0.25">
      <c r="A20784" s="4" t="str">
        <f>HYPERLINK("http://www.rosaceae.org/Prunus/Prunus_persica/p.persica_gdr_reftransV1_0022822","p.persica_gdr_reftransV1_0022822")</f>
        <v>p.persica_gdr_reftransV1_0022822</v>
      </c>
      <c r="B20784" s="2">
        <v>3652</v>
      </c>
      <c r="C20784" s="4" t="str">
        <f>HYPERLINK("http://www.uniprot.org/uniprot/M5WZZ5","M5WZZ5")</f>
        <v>M5WZZ5</v>
      </c>
      <c r="D20784" s="2" t="s">
        <v>15633</v>
      </c>
      <c r="E20784" s="3">
        <v>0</v>
      </c>
      <c r="F20784" s="2">
        <v>5136</v>
      </c>
      <c r="G20784" s="2">
        <v>100</v>
      </c>
      <c r="H20784" s="2">
        <v>975</v>
      </c>
      <c r="I20784" s="2">
        <v>558</v>
      </c>
      <c r="J20784" s="2">
        <v>3482</v>
      </c>
      <c r="K20784" s="2">
        <v>21</v>
      </c>
      <c r="L20784" s="2">
        <v>995</v>
      </c>
    </row>
    <row r="20785" spans="1:12" x14ac:dyDescent="0.25">
      <c r="A20785" s="4" t="str">
        <f>HYPERLINK("http://www.rosaceae.org/Prunus/Prunus_persica/p.persica_gdr_reftransV1_0023172","p.persica_gdr_reftransV1_0023172")</f>
        <v>p.persica_gdr_reftransV1_0023172</v>
      </c>
      <c r="B20785" s="2">
        <v>471</v>
      </c>
      <c r="C20785" s="4" t="str">
        <f>HYPERLINK("http://www.uniprot.org/uniprot/W9R2J7","W9R2J7")</f>
        <v>W9R2J7</v>
      </c>
      <c r="D20785" s="2" t="s">
        <v>15634</v>
      </c>
      <c r="E20785" s="3">
        <v>1.7999999999999999E-65</v>
      </c>
      <c r="F20785" s="2">
        <v>543</v>
      </c>
      <c r="G20785" s="2">
        <v>82</v>
      </c>
      <c r="H20785" s="2">
        <v>121</v>
      </c>
      <c r="I20785" s="2">
        <v>1</v>
      </c>
      <c r="J20785" s="2">
        <v>360</v>
      </c>
      <c r="K20785" s="2">
        <v>188</v>
      </c>
      <c r="L20785" s="2">
        <v>308</v>
      </c>
    </row>
    <row r="20786" spans="1:12" x14ac:dyDescent="0.25">
      <c r="A20786" s="4" t="str">
        <f>HYPERLINK("http://www.rosaceae.org/Prunus/Prunus_persica/p.persica_gdr_reftransV1_0025272","p.persica_gdr_reftransV1_0025272")</f>
        <v>p.persica_gdr_reftransV1_0025272</v>
      </c>
      <c r="B20786" s="2">
        <v>1658</v>
      </c>
      <c r="C20786" s="4" t="str">
        <f>HYPERLINK("http://www.uniprot.org/uniprot/A0A0D2QN20","A0A0D2QN20")</f>
        <v>A0A0D2QN20</v>
      </c>
      <c r="D20786" s="2" t="s">
        <v>9465</v>
      </c>
      <c r="E20786" s="3">
        <v>2.1300000000000001E-125</v>
      </c>
      <c r="F20786" s="2">
        <v>981</v>
      </c>
      <c r="G20786" s="2">
        <v>88</v>
      </c>
      <c r="H20786" s="2">
        <v>203</v>
      </c>
      <c r="I20786" s="2">
        <v>775</v>
      </c>
      <c r="J20786" s="2">
        <v>1383</v>
      </c>
      <c r="K20786" s="2">
        <v>60</v>
      </c>
      <c r="L20786" s="2">
        <v>261</v>
      </c>
    </row>
    <row r="20787" spans="1:12" x14ac:dyDescent="0.25">
      <c r="A20787" s="4" t="str">
        <f>HYPERLINK("http://www.rosaceae.org/Prunus/Prunus_persica/p.persica_gdr_reftransV1_0025622","p.persica_gdr_reftransV1_0025622")</f>
        <v>p.persica_gdr_reftransV1_0025622</v>
      </c>
      <c r="B20787" s="2">
        <v>966</v>
      </c>
      <c r="C20787" s="4" t="str">
        <f>HYPERLINK("http://www.uniprot.org/uniprot/M5WAX7","M5WAX7")</f>
        <v>M5WAX7</v>
      </c>
      <c r="D20787" s="2" t="s">
        <v>15635</v>
      </c>
      <c r="E20787" s="3">
        <v>5.1000000000000005E-75</v>
      </c>
      <c r="F20787" s="2">
        <v>607</v>
      </c>
      <c r="G20787" s="2">
        <v>100</v>
      </c>
      <c r="H20787" s="2">
        <v>129</v>
      </c>
      <c r="I20787" s="2">
        <v>184</v>
      </c>
      <c r="J20787" s="2">
        <v>570</v>
      </c>
      <c r="K20787" s="2">
        <v>3</v>
      </c>
      <c r="L20787" s="2">
        <v>131</v>
      </c>
    </row>
    <row r="20788" spans="1:12" x14ac:dyDescent="0.25">
      <c r="A20788" s="4" t="str">
        <f>HYPERLINK("http://www.rosaceae.org/Prunus/Prunus_persica/p.persica_gdr_reftransV1_0025972","p.persica_gdr_reftransV1_0025972")</f>
        <v>p.persica_gdr_reftransV1_0025972</v>
      </c>
      <c r="B20788" s="2">
        <v>1188</v>
      </c>
      <c r="C20788" s="4" t="str">
        <f>HYPERLINK("http://www.uniprot.org/uniprot/M5W0W5","M5W0W5")</f>
        <v>M5W0W5</v>
      </c>
      <c r="D20788" s="2" t="s">
        <v>15636</v>
      </c>
      <c r="E20788" s="3">
        <v>4.1099999999999997E-153</v>
      </c>
      <c r="F20788" s="2">
        <v>1142</v>
      </c>
      <c r="G20788" s="2">
        <v>82</v>
      </c>
      <c r="H20788" s="2">
        <v>296</v>
      </c>
      <c r="I20788" s="2">
        <v>207</v>
      </c>
      <c r="J20788" s="2">
        <v>1094</v>
      </c>
      <c r="K20788" s="2">
        <v>1</v>
      </c>
      <c r="L20788" s="2">
        <v>245</v>
      </c>
    </row>
    <row r="20789" spans="1:12" x14ac:dyDescent="0.25">
      <c r="A20789" s="4" t="str">
        <f>HYPERLINK("http://www.rosaceae.org/Prunus/Prunus_persica/p.persica_gdr_reftransV1_0027022","p.persica_gdr_reftransV1_0027022")</f>
        <v>p.persica_gdr_reftransV1_0027022</v>
      </c>
      <c r="B20789" s="2">
        <v>2223</v>
      </c>
      <c r="C20789" s="4" t="str">
        <f>HYPERLINK("http://www.uniprot.org/uniprot/M5VZ34","M5VZ34")</f>
        <v>M5VZ34</v>
      </c>
      <c r="D20789" s="2" t="s">
        <v>15637</v>
      </c>
      <c r="E20789" s="3">
        <v>0</v>
      </c>
      <c r="F20789" s="2">
        <v>1946</v>
      </c>
      <c r="G20789" s="2">
        <v>96</v>
      </c>
      <c r="H20789" s="2">
        <v>415</v>
      </c>
      <c r="I20789" s="2">
        <v>201</v>
      </c>
      <c r="J20789" s="2">
        <v>1445</v>
      </c>
      <c r="K20789" s="2">
        <v>24</v>
      </c>
      <c r="L20789" s="2">
        <v>434</v>
      </c>
    </row>
    <row r="20790" spans="1:12" x14ac:dyDescent="0.25">
      <c r="A20790" s="4" t="str">
        <f>HYPERLINK("http://www.rosaceae.org/Prunus/Prunus_persica/p.persica_gdr_reftransV1_0027372","p.persica_gdr_reftransV1_0027372")</f>
        <v>p.persica_gdr_reftransV1_0027372</v>
      </c>
      <c r="B20790" s="2">
        <v>2150</v>
      </c>
      <c r="C20790" s="4" t="str">
        <f>HYPERLINK("http://www.uniprot.org/uniprot/M5WBP8","M5WBP8")</f>
        <v>M5WBP8</v>
      </c>
      <c r="D20790" s="2" t="s">
        <v>3297</v>
      </c>
      <c r="E20790" s="3">
        <v>1.63E-111</v>
      </c>
      <c r="F20790" s="2">
        <v>895</v>
      </c>
      <c r="G20790" s="2">
        <v>100</v>
      </c>
      <c r="H20790" s="2">
        <v>186</v>
      </c>
      <c r="I20790" s="2">
        <v>1177</v>
      </c>
      <c r="J20790" s="2">
        <v>1734</v>
      </c>
      <c r="K20790" s="2">
        <v>55</v>
      </c>
      <c r="L20790" s="2">
        <v>240</v>
      </c>
    </row>
    <row r="20791" spans="1:12" x14ac:dyDescent="0.25">
      <c r="A20791" s="4" t="str">
        <f>HYPERLINK("http://www.rosaceae.org/Prunus/Prunus_persica/p.persica_gdr_reftransV1_0028072","p.persica_gdr_reftransV1_0028072")</f>
        <v>p.persica_gdr_reftransV1_0028072</v>
      </c>
      <c r="B20791" s="2">
        <v>2238</v>
      </c>
      <c r="C20791" s="4" t="str">
        <f>HYPERLINK("http://www.uniprot.org/uniprot/M5WAX9","M5WAX9")</f>
        <v>M5WAX9</v>
      </c>
      <c r="D20791" s="2" t="s">
        <v>15638</v>
      </c>
      <c r="E20791" s="3">
        <v>0</v>
      </c>
      <c r="F20791" s="2">
        <v>2185</v>
      </c>
      <c r="G20791" s="2">
        <v>100</v>
      </c>
      <c r="H20791" s="2">
        <v>438</v>
      </c>
      <c r="I20791" s="2">
        <v>700</v>
      </c>
      <c r="J20791" s="2">
        <v>2013</v>
      </c>
      <c r="K20791" s="2">
        <v>1</v>
      </c>
      <c r="L20791" s="2">
        <v>438</v>
      </c>
    </row>
    <row r="20792" spans="1:12" x14ac:dyDescent="0.25">
      <c r="A20792" s="4" t="str">
        <f>HYPERLINK("http://www.rosaceae.org/Prunus/Prunus_persica/p.persica_gdr_reftransV1_0029472","p.persica_gdr_reftransV1_0029472")</f>
        <v>p.persica_gdr_reftransV1_0029472</v>
      </c>
      <c r="B20792" s="2">
        <v>2259</v>
      </c>
      <c r="C20792" s="4" t="str">
        <f>HYPERLINK("http://www.uniprot.org/uniprot/M5XDX5","M5XDX5")</f>
        <v>M5XDX5</v>
      </c>
      <c r="D20792" s="2" t="s">
        <v>3827</v>
      </c>
      <c r="E20792" s="3">
        <v>0</v>
      </c>
      <c r="F20792" s="2">
        <v>1501</v>
      </c>
      <c r="G20792" s="2">
        <v>100</v>
      </c>
      <c r="H20792" s="2">
        <v>282</v>
      </c>
      <c r="I20792" s="2">
        <v>3</v>
      </c>
      <c r="J20792" s="2">
        <v>848</v>
      </c>
      <c r="K20792" s="2">
        <v>70</v>
      </c>
      <c r="L20792" s="2">
        <v>351</v>
      </c>
    </row>
    <row r="20793" spans="1:12" x14ac:dyDescent="0.25">
      <c r="A20793" s="4" t="str">
        <f>HYPERLINK("http://www.rosaceae.org/Prunus/Prunus_persica/p.persica_gdr_reftransV1_0034372","p.persica_gdr_reftransV1_0034372")</f>
        <v>p.persica_gdr_reftransV1_0034372</v>
      </c>
      <c r="B20793" s="2">
        <v>3252</v>
      </c>
      <c r="C20793" s="4" t="str">
        <f>HYPERLINK("http://www.uniprot.org/uniprot/M5VMY6","M5VMY6")</f>
        <v>M5VMY6</v>
      </c>
      <c r="D20793" s="2" t="s">
        <v>15639</v>
      </c>
      <c r="E20793" s="3">
        <v>7.1800000000000003E-64</v>
      </c>
      <c r="F20793" s="2">
        <v>579</v>
      </c>
      <c r="G20793" s="2">
        <v>100</v>
      </c>
      <c r="H20793" s="2">
        <v>124</v>
      </c>
      <c r="I20793" s="2">
        <v>164</v>
      </c>
      <c r="J20793" s="2">
        <v>535</v>
      </c>
      <c r="K20793" s="2">
        <v>1</v>
      </c>
      <c r="L20793" s="2">
        <v>124</v>
      </c>
    </row>
    <row r="20794" spans="1:12" x14ac:dyDescent="0.25">
      <c r="A20794" s="4" t="str">
        <f>HYPERLINK("http://www.rosaceae.org/Prunus/Prunus_persica/p.persica_gdr_reftransV1_0035772","p.persica_gdr_reftransV1_0035772")</f>
        <v>p.persica_gdr_reftransV1_0035772</v>
      </c>
      <c r="B20794" s="2">
        <v>2665</v>
      </c>
      <c r="C20794" s="4" t="str">
        <f>HYPERLINK("http://www.uniprot.org/uniprot/M5WZU8","M5WZU8")</f>
        <v>M5WZU8</v>
      </c>
      <c r="D20794" s="2" t="s">
        <v>15640</v>
      </c>
      <c r="E20794" s="3">
        <v>9.9900000000000005E-153</v>
      </c>
      <c r="F20794" s="2">
        <v>1206</v>
      </c>
      <c r="G20794" s="2">
        <v>99</v>
      </c>
      <c r="H20794" s="2">
        <v>229</v>
      </c>
      <c r="I20794" s="2">
        <v>200</v>
      </c>
      <c r="J20794" s="2">
        <v>886</v>
      </c>
      <c r="K20794" s="2">
        <v>1</v>
      </c>
      <c r="L20794" s="2">
        <v>229</v>
      </c>
    </row>
    <row r="20795" spans="1:12" x14ac:dyDescent="0.25">
      <c r="A20795" s="4" t="str">
        <f>HYPERLINK("http://www.rosaceae.org/Prunus/Prunus_persica/p.persica_gdr_reftransV1_0036472","p.persica_gdr_reftransV1_0036472")</f>
        <v>p.persica_gdr_reftransV1_0036472</v>
      </c>
      <c r="B20795" s="2">
        <v>3128</v>
      </c>
      <c r="C20795" s="4" t="str">
        <f>HYPERLINK("http://www.uniprot.org/uniprot/M5XYM2","M5XYM2")</f>
        <v>M5XYM2</v>
      </c>
      <c r="D20795" s="2" t="s">
        <v>15641</v>
      </c>
      <c r="E20795" s="3">
        <v>1.9200000000000001E-168</v>
      </c>
      <c r="F20795" s="2">
        <v>1325</v>
      </c>
      <c r="G20795" s="2">
        <v>82</v>
      </c>
      <c r="H20795" s="2">
        <v>335</v>
      </c>
      <c r="I20795" s="2">
        <v>555</v>
      </c>
      <c r="J20795" s="2">
        <v>1559</v>
      </c>
      <c r="K20795" s="2">
        <v>1</v>
      </c>
      <c r="L20795" s="2">
        <v>281</v>
      </c>
    </row>
    <row r="20796" spans="1:12" x14ac:dyDescent="0.25">
      <c r="A20796" s="4" t="str">
        <f>HYPERLINK("http://www.rosaceae.org/Prunus/Prunus_persica/p.persica_gdr_reftransV1_0038572","p.persica_gdr_reftransV1_0038572")</f>
        <v>p.persica_gdr_reftransV1_0038572</v>
      </c>
      <c r="B20796" s="2">
        <v>2008</v>
      </c>
      <c r="C20796" s="4" t="str">
        <f>HYPERLINK("http://www.uniprot.org/uniprot/V4TUH9","V4TUH9")</f>
        <v>V4TUH9</v>
      </c>
      <c r="D20796" s="2" t="s">
        <v>15642</v>
      </c>
      <c r="E20796" s="3">
        <v>0</v>
      </c>
      <c r="F20796" s="2">
        <v>2129</v>
      </c>
      <c r="G20796" s="2">
        <v>77</v>
      </c>
      <c r="H20796" s="2">
        <v>534</v>
      </c>
      <c r="I20796" s="2">
        <v>235</v>
      </c>
      <c r="J20796" s="2">
        <v>1827</v>
      </c>
      <c r="K20796" s="2">
        <v>7</v>
      </c>
      <c r="L20796" s="2">
        <v>540</v>
      </c>
    </row>
    <row r="20797" spans="1:12" x14ac:dyDescent="0.25">
      <c r="A20797" s="4" t="str">
        <f>HYPERLINK("http://www.rosaceae.org/Prunus/Prunus_persica/p.persica_gdr_reftransV1_0039622","p.persica_gdr_reftransV1_0039622")</f>
        <v>p.persica_gdr_reftransV1_0039622</v>
      </c>
      <c r="B20797" s="2">
        <v>2163</v>
      </c>
      <c r="C20797" s="4" t="str">
        <f>HYPERLINK("http://www.uniprot.org/uniprot/M5X5H7","M5X5H7")</f>
        <v>M5X5H7</v>
      </c>
      <c r="D20797" s="2" t="s">
        <v>6578</v>
      </c>
      <c r="E20797" s="3">
        <v>2.87E-142</v>
      </c>
      <c r="F20797" s="2">
        <v>1113</v>
      </c>
      <c r="G20797" s="2">
        <v>98</v>
      </c>
      <c r="H20797" s="2">
        <v>260</v>
      </c>
      <c r="I20797" s="2">
        <v>969</v>
      </c>
      <c r="J20797" s="2">
        <v>1748</v>
      </c>
      <c r="K20797" s="2">
        <v>104</v>
      </c>
      <c r="L20797" s="2">
        <v>363</v>
      </c>
    </row>
    <row r="20798" spans="1:12" x14ac:dyDescent="0.25">
      <c r="A20798" s="4" t="str">
        <f>HYPERLINK("http://www.rosaceae.org/Prunus/Prunus_persica/p.persica_gdr_reftransV1_0039972","p.persica_gdr_reftransV1_0039972")</f>
        <v>p.persica_gdr_reftransV1_0039972</v>
      </c>
      <c r="B20798" s="2">
        <v>1312</v>
      </c>
      <c r="C20798" s="4" t="str">
        <f>HYPERLINK("http://www.uniprot.org/uniprot/M5VWJ5","M5VWJ5")</f>
        <v>M5VWJ5</v>
      </c>
      <c r="D20798" s="2" t="s">
        <v>15643</v>
      </c>
      <c r="E20798" s="3">
        <v>0</v>
      </c>
      <c r="F20798" s="2">
        <v>2025</v>
      </c>
      <c r="G20798" s="2">
        <v>96</v>
      </c>
      <c r="H20798" s="2">
        <v>404</v>
      </c>
      <c r="I20798" s="2">
        <v>70</v>
      </c>
      <c r="J20798" s="2">
        <v>1281</v>
      </c>
      <c r="K20798" s="2">
        <v>1</v>
      </c>
      <c r="L20798" s="2">
        <v>387</v>
      </c>
    </row>
    <row r="20799" spans="1:12" x14ac:dyDescent="0.25">
      <c r="A20799" s="4" t="str">
        <f>HYPERLINK("http://www.rosaceae.org/Prunus/Prunus_persica/p.persica_gdr_reftransV1_0040672","p.persica_gdr_reftransV1_0040672")</f>
        <v>p.persica_gdr_reftransV1_0040672</v>
      </c>
      <c r="B20799" s="2">
        <v>6598</v>
      </c>
      <c r="C20799" s="4" t="str">
        <f>HYPERLINK("http://www.uniprot.org/uniprot/M5WHS4","M5WHS4")</f>
        <v>M5WHS4</v>
      </c>
      <c r="D20799" s="2" t="s">
        <v>15644</v>
      </c>
      <c r="E20799" s="3">
        <v>1.9099999999999999E-175</v>
      </c>
      <c r="F20799" s="2">
        <v>1152</v>
      </c>
      <c r="G20799" s="2">
        <v>100</v>
      </c>
      <c r="H20799" s="2">
        <v>324</v>
      </c>
      <c r="I20799" s="2">
        <v>189</v>
      </c>
      <c r="J20799" s="2">
        <v>1160</v>
      </c>
      <c r="K20799" s="2">
        <v>1</v>
      </c>
      <c r="L20799" s="2">
        <v>324</v>
      </c>
    </row>
    <row r="20800" spans="1:12" x14ac:dyDescent="0.25">
      <c r="A20800" s="4" t="str">
        <f>HYPERLINK("http://www.rosaceae.org/Prunus/Prunus_persica/p.persica_gdr_reftransV1_0043122","p.persica_gdr_reftransV1_0043122")</f>
        <v>p.persica_gdr_reftransV1_0043122</v>
      </c>
      <c r="B20800" s="2">
        <v>458</v>
      </c>
      <c r="C20800" s="4" t="str">
        <f>HYPERLINK("http://www.uniprot.org/uniprot/M5XTH1","M5XTH1")</f>
        <v>M5XTH1</v>
      </c>
      <c r="D20800" s="2" t="s">
        <v>596</v>
      </c>
      <c r="E20800" s="3">
        <v>1.63E-68</v>
      </c>
      <c r="F20800" s="2">
        <v>580</v>
      </c>
      <c r="G20800" s="2">
        <v>99</v>
      </c>
      <c r="H20800" s="2">
        <v>124</v>
      </c>
      <c r="I20800" s="2">
        <v>3</v>
      </c>
      <c r="J20800" s="2">
        <v>374</v>
      </c>
      <c r="K20800" s="2">
        <v>308</v>
      </c>
      <c r="L20800" s="2">
        <v>431</v>
      </c>
    </row>
    <row r="20801" spans="1:12" x14ac:dyDescent="0.25">
      <c r="A20801" s="4" t="str">
        <f>HYPERLINK("http://www.rosaceae.org/Prunus/Prunus_persica/p.persica_gdr_reftransV1_0043472","p.persica_gdr_reftransV1_0043472")</f>
        <v>p.persica_gdr_reftransV1_0043472</v>
      </c>
      <c r="B20801" s="2">
        <v>659</v>
      </c>
      <c r="C20801" s="4" t="str">
        <f>HYPERLINK("http://www.uniprot.org/uniprot/M5WIA5","M5WIA5")</f>
        <v>M5WIA5</v>
      </c>
      <c r="D20801" s="2" t="s">
        <v>15645</v>
      </c>
      <c r="E20801" s="3">
        <v>3.5499999999999997E-39</v>
      </c>
      <c r="F20801" s="2">
        <v>353</v>
      </c>
      <c r="G20801" s="2">
        <v>100</v>
      </c>
      <c r="H20801" s="2">
        <v>70</v>
      </c>
      <c r="I20801" s="2">
        <v>140</v>
      </c>
      <c r="J20801" s="2">
        <v>349</v>
      </c>
      <c r="K20801" s="2">
        <v>1</v>
      </c>
      <c r="L20801" s="2">
        <v>70</v>
      </c>
    </row>
    <row r="20802" spans="1:12" x14ac:dyDescent="0.25">
      <c r="A20802" s="4" t="str">
        <f>HYPERLINK("http://www.rosaceae.org/Prunus/Prunus_persica/p.persica_gdr_reftransV1_0043822","p.persica_gdr_reftransV1_0043822")</f>
        <v>p.persica_gdr_reftransV1_0043822</v>
      </c>
      <c r="B20802" s="2">
        <v>588</v>
      </c>
      <c r="C20802" s="4" t="str">
        <f>HYPERLINK("http://www.uniprot.org/uniprot/M5W5I3","M5W5I3")</f>
        <v>M5W5I3</v>
      </c>
      <c r="D20802" s="2" t="s">
        <v>15646</v>
      </c>
      <c r="E20802" s="3">
        <v>9.1900000000000003E-48</v>
      </c>
      <c r="F20802" s="2">
        <v>409</v>
      </c>
      <c r="G20802" s="2">
        <v>100</v>
      </c>
      <c r="H20802" s="2">
        <v>76</v>
      </c>
      <c r="I20802" s="2">
        <v>192</v>
      </c>
      <c r="J20802" s="2">
        <v>419</v>
      </c>
      <c r="K20802" s="2">
        <v>1</v>
      </c>
      <c r="L20802" s="2">
        <v>76</v>
      </c>
    </row>
    <row r="20803" spans="1:12" x14ac:dyDescent="0.25">
      <c r="A20803" s="4" t="str">
        <f>HYPERLINK("http://www.rosaceae.org/Prunus/Prunus_persica/p.persica_gdr_reftransV1_0044172","p.persica_gdr_reftransV1_0044172")</f>
        <v>p.persica_gdr_reftransV1_0044172</v>
      </c>
      <c r="B20803" s="2">
        <v>841</v>
      </c>
      <c r="C20803" s="4" t="str">
        <f>HYPERLINK("http://www.uniprot.org/uniprot/M5XJB2","M5XJB2")</f>
        <v>M5XJB2</v>
      </c>
      <c r="D20803" s="2" t="s">
        <v>15647</v>
      </c>
      <c r="E20803" s="3">
        <v>1.08E-178</v>
      </c>
      <c r="F20803" s="2">
        <v>1308</v>
      </c>
      <c r="G20803" s="2">
        <v>100</v>
      </c>
      <c r="H20803" s="2">
        <v>247</v>
      </c>
      <c r="I20803" s="2">
        <v>100</v>
      </c>
      <c r="J20803" s="2">
        <v>840</v>
      </c>
      <c r="K20803" s="2">
        <v>1</v>
      </c>
      <c r="L20803" s="2">
        <v>247</v>
      </c>
    </row>
    <row r="20804" spans="1:12" x14ac:dyDescent="0.25">
      <c r="A20804" s="4" t="str">
        <f>HYPERLINK("http://www.rosaceae.org/Prunus/Prunus_persica/p.persica_gdr_reftransV1_0044522","p.persica_gdr_reftransV1_0044522")</f>
        <v>p.persica_gdr_reftransV1_0044522</v>
      </c>
      <c r="B20804" s="2">
        <v>1134</v>
      </c>
      <c r="C20804" s="4" t="str">
        <f>HYPERLINK("http://www.uniprot.org/uniprot/M5XFU6","M5XFU6")</f>
        <v>M5XFU6</v>
      </c>
      <c r="D20804" s="2" t="s">
        <v>15648</v>
      </c>
      <c r="E20804" s="3">
        <v>2.42E-172</v>
      </c>
      <c r="F20804" s="2">
        <v>1267</v>
      </c>
      <c r="G20804" s="2">
        <v>96</v>
      </c>
      <c r="H20804" s="2">
        <v>254</v>
      </c>
      <c r="I20804" s="2">
        <v>195</v>
      </c>
      <c r="J20804" s="2">
        <v>956</v>
      </c>
      <c r="K20804" s="2">
        <v>1</v>
      </c>
      <c r="L20804" s="2">
        <v>244</v>
      </c>
    </row>
    <row r="20805" spans="1:12" x14ac:dyDescent="0.25">
      <c r="A20805" s="4" t="str">
        <f>HYPERLINK("http://www.rosaceae.org/Prunus/Prunus_persica/p.persica_gdr_reftransV1_0044872","p.persica_gdr_reftransV1_0044872")</f>
        <v>p.persica_gdr_reftransV1_0044872</v>
      </c>
      <c r="B20805" s="2">
        <v>374</v>
      </c>
      <c r="C20805" s="4" t="str">
        <f>HYPERLINK("http://www.uniprot.org/uniprot/M5VYY2","M5VYY2")</f>
        <v>M5VYY2</v>
      </c>
      <c r="D20805" s="2" t="s">
        <v>3815</v>
      </c>
      <c r="E20805" s="3">
        <v>5.1300000000000003E-50</v>
      </c>
      <c r="F20805" s="2">
        <v>446</v>
      </c>
      <c r="G20805" s="2">
        <v>100</v>
      </c>
      <c r="H20805" s="2">
        <v>84</v>
      </c>
      <c r="I20805" s="2">
        <v>123</v>
      </c>
      <c r="J20805" s="2">
        <v>374</v>
      </c>
      <c r="K20805" s="2">
        <v>4</v>
      </c>
      <c r="L20805" s="2">
        <v>87</v>
      </c>
    </row>
    <row r="20806" spans="1:12" x14ac:dyDescent="0.25">
      <c r="A20806" s="4" t="str">
        <f>HYPERLINK("http://www.rosaceae.org/Prunus/Prunus_persica/p.persica_gdr_reftransV1_0045572","p.persica_gdr_reftransV1_0045572")</f>
        <v>p.persica_gdr_reftransV1_0045572</v>
      </c>
      <c r="B20806" s="2">
        <v>1199</v>
      </c>
      <c r="C20806" s="4" t="str">
        <f>HYPERLINK("http://www.uniprot.org/uniprot/M5WSX1","M5WSX1")</f>
        <v>M5WSX1</v>
      </c>
      <c r="D20806" s="2" t="s">
        <v>15649</v>
      </c>
      <c r="E20806" s="3">
        <v>0</v>
      </c>
      <c r="F20806" s="2">
        <v>1479</v>
      </c>
      <c r="G20806" s="2">
        <v>91</v>
      </c>
      <c r="H20806" s="2">
        <v>313</v>
      </c>
      <c r="I20806" s="2">
        <v>252</v>
      </c>
      <c r="J20806" s="2">
        <v>1106</v>
      </c>
      <c r="K20806" s="2">
        <v>1</v>
      </c>
      <c r="L20806" s="2">
        <v>313</v>
      </c>
    </row>
    <row r="20807" spans="1:12" x14ac:dyDescent="0.25">
      <c r="A20807" s="4" t="str">
        <f>HYPERLINK("http://www.rosaceae.org/Prunus/Prunus_persica/p.persica_gdr_reftransV1_0045922","p.persica_gdr_reftransV1_0045922")</f>
        <v>p.persica_gdr_reftransV1_0045922</v>
      </c>
      <c r="B20807" s="2">
        <v>2990</v>
      </c>
      <c r="C20807" s="4" t="str">
        <f>HYPERLINK("http://www.uniprot.org/uniprot/A0A061GSW6","A0A061GSW6")</f>
        <v>A0A061GSW6</v>
      </c>
      <c r="D20807" s="2" t="s">
        <v>15650</v>
      </c>
      <c r="E20807" s="3">
        <v>0</v>
      </c>
      <c r="F20807" s="2">
        <v>2420</v>
      </c>
      <c r="G20807" s="2">
        <v>76</v>
      </c>
      <c r="H20807" s="2">
        <v>711</v>
      </c>
      <c r="I20807" s="2">
        <v>220</v>
      </c>
      <c r="J20807" s="2">
        <v>2328</v>
      </c>
      <c r="K20807" s="2">
        <v>3</v>
      </c>
      <c r="L20807" s="2">
        <v>710</v>
      </c>
    </row>
    <row r="20808" spans="1:12" x14ac:dyDescent="0.25">
      <c r="A20808" s="4" t="str">
        <f>HYPERLINK("http://www.rosaceae.org/Prunus/Prunus_persica/p.persica_gdr_reftransV1_0046272","p.persica_gdr_reftransV1_0046272")</f>
        <v>p.persica_gdr_reftransV1_0046272</v>
      </c>
      <c r="B20808" s="2">
        <v>1609</v>
      </c>
      <c r="C20808" s="4" t="str">
        <f>HYPERLINK("http://www.uniprot.org/uniprot/A0A0B0PTR8","A0A0B0PTR8")</f>
        <v>A0A0B0PTR8</v>
      </c>
      <c r="D20808" s="2" t="s">
        <v>15651</v>
      </c>
      <c r="E20808" s="3">
        <v>0</v>
      </c>
      <c r="F20808" s="2">
        <v>2409</v>
      </c>
      <c r="G20808" s="2">
        <v>91</v>
      </c>
      <c r="H20808" s="2">
        <v>523</v>
      </c>
      <c r="I20808" s="2">
        <v>39</v>
      </c>
      <c r="J20808" s="2">
        <v>1607</v>
      </c>
      <c r="K20808" s="2">
        <v>455</v>
      </c>
      <c r="L20808" s="2">
        <v>977</v>
      </c>
    </row>
    <row r="20809" spans="1:12" x14ac:dyDescent="0.25">
      <c r="A20809" s="4" t="str">
        <f>HYPERLINK("http://www.rosaceae.org/Prunus/Prunus_persica/p.persica_gdr_reftransV1_0046622","p.persica_gdr_reftransV1_0046622")</f>
        <v>p.persica_gdr_reftransV1_0046622</v>
      </c>
      <c r="B20809" s="2">
        <v>2126</v>
      </c>
      <c r="C20809" s="4" t="str">
        <f>HYPERLINK("http://www.uniprot.org/uniprot/M5WXP9","M5WXP9")</f>
        <v>M5WXP9</v>
      </c>
      <c r="D20809" s="2" t="s">
        <v>11122</v>
      </c>
      <c r="E20809" s="3">
        <v>0</v>
      </c>
      <c r="F20809" s="2">
        <v>2688</v>
      </c>
      <c r="G20809" s="2">
        <v>100</v>
      </c>
      <c r="H20809" s="2">
        <v>556</v>
      </c>
      <c r="I20809" s="2">
        <v>261</v>
      </c>
      <c r="J20809" s="2">
        <v>1928</v>
      </c>
      <c r="K20809" s="2">
        <v>1</v>
      </c>
      <c r="L20809" s="2">
        <v>556</v>
      </c>
    </row>
    <row r="20810" spans="1:12" x14ac:dyDescent="0.25">
      <c r="A20810" s="4" t="str">
        <f>HYPERLINK("http://www.rosaceae.org/Prunus/Prunus_persica/p.persica_gdr_reftransV1_0046972","p.persica_gdr_reftransV1_0046972")</f>
        <v>p.persica_gdr_reftransV1_0046972</v>
      </c>
      <c r="B20810" s="2">
        <v>2920</v>
      </c>
      <c r="C20810" s="4" t="str">
        <f>HYPERLINK("http://www.uniprot.org/uniprot/M5XPU8","M5XPU8")</f>
        <v>M5XPU8</v>
      </c>
      <c r="D20810" s="2" t="s">
        <v>15652</v>
      </c>
      <c r="E20810" s="3">
        <v>0</v>
      </c>
      <c r="F20810" s="2">
        <v>4098</v>
      </c>
      <c r="G20810" s="2">
        <v>100</v>
      </c>
      <c r="H20810" s="2">
        <v>780</v>
      </c>
      <c r="I20810" s="2">
        <v>241</v>
      </c>
      <c r="J20810" s="2">
        <v>2580</v>
      </c>
      <c r="K20810" s="2">
        <v>1</v>
      </c>
      <c r="L20810" s="2">
        <v>780</v>
      </c>
    </row>
    <row r="20811" spans="1:12" x14ac:dyDescent="0.25">
      <c r="A20811" s="4" t="str">
        <f>HYPERLINK("http://www.rosaceae.org/Prunus/Prunus_persica/p.persica_gdr_reftransV1_0048022","p.persica_gdr_reftransV1_0048022")</f>
        <v>p.persica_gdr_reftransV1_0048022</v>
      </c>
      <c r="B20811" s="2">
        <v>635</v>
      </c>
      <c r="C20811" s="4" t="str">
        <f>HYPERLINK("http://www.uniprot.org/uniprot/M5XJK0","M5XJK0")</f>
        <v>M5XJK0</v>
      </c>
      <c r="D20811" s="2" t="s">
        <v>4779</v>
      </c>
      <c r="E20811" s="3">
        <v>7.7900000000000003E-8</v>
      </c>
      <c r="F20811" s="2">
        <v>137</v>
      </c>
      <c r="G20811" s="2">
        <v>77</v>
      </c>
      <c r="H20811" s="2">
        <v>39</v>
      </c>
      <c r="I20811" s="2">
        <v>105</v>
      </c>
      <c r="J20811" s="2">
        <v>221</v>
      </c>
      <c r="K20811" s="2">
        <v>1</v>
      </c>
      <c r="L20811" s="2">
        <v>39</v>
      </c>
    </row>
    <row r="20812" spans="1:12" x14ac:dyDescent="0.25">
      <c r="A20812" s="4" t="str">
        <f>HYPERLINK("http://www.rosaceae.org/Prunus/Prunus_persica/p.persica_gdr_reftransV1_0048372","p.persica_gdr_reftransV1_0048372")</f>
        <v>p.persica_gdr_reftransV1_0048372</v>
      </c>
      <c r="B20812" s="2">
        <v>995</v>
      </c>
      <c r="C20812" s="4" t="str">
        <f>HYPERLINK("http://www.uniprot.org/uniprot/M5XFT7","M5XFT7")</f>
        <v>M5XFT7</v>
      </c>
      <c r="D20812" s="2" t="s">
        <v>15653</v>
      </c>
      <c r="E20812" s="3">
        <v>8.8699999999999996E-161</v>
      </c>
      <c r="F20812" s="2">
        <v>1200</v>
      </c>
      <c r="G20812" s="2">
        <v>100</v>
      </c>
      <c r="H20812" s="2">
        <v>225</v>
      </c>
      <c r="I20812" s="2">
        <v>2</v>
      </c>
      <c r="J20812" s="2">
        <v>676</v>
      </c>
      <c r="K20812" s="2">
        <v>160</v>
      </c>
      <c r="L20812" s="2">
        <v>384</v>
      </c>
    </row>
    <row r="20813" spans="1:12" x14ac:dyDescent="0.25">
      <c r="A20813" s="4" t="str">
        <f>HYPERLINK("http://www.rosaceae.org/Prunus/Prunus_persica/p.persica_gdr_reftransV1_0048722","p.persica_gdr_reftransV1_0048722")</f>
        <v>p.persica_gdr_reftransV1_0048722</v>
      </c>
      <c r="B20813" s="2">
        <v>3210</v>
      </c>
      <c r="C20813" s="4" t="str">
        <f>HYPERLINK("http://www.uniprot.org/uniprot/M5XXH6","M5XXH6")</f>
        <v>M5XXH6</v>
      </c>
      <c r="D20813" s="2" t="s">
        <v>15654</v>
      </c>
      <c r="E20813" s="3">
        <v>0</v>
      </c>
      <c r="F20813" s="2">
        <v>3491</v>
      </c>
      <c r="G20813" s="2">
        <v>98</v>
      </c>
      <c r="H20813" s="2">
        <v>761</v>
      </c>
      <c r="I20813" s="2">
        <v>670</v>
      </c>
      <c r="J20813" s="2">
        <v>2952</v>
      </c>
      <c r="K20813" s="2">
        <v>1</v>
      </c>
      <c r="L20813" s="2">
        <v>749</v>
      </c>
    </row>
    <row r="20814" spans="1:12" x14ac:dyDescent="0.25">
      <c r="A20814" s="4" t="str">
        <f>HYPERLINK("http://www.rosaceae.org/Prunus/Prunus_persica/p.persica_gdr_reftransV1_0049072","p.persica_gdr_reftransV1_0049072")</f>
        <v>p.persica_gdr_reftransV1_0049072</v>
      </c>
      <c r="B20814" s="2">
        <v>1929</v>
      </c>
      <c r="C20814" s="4" t="str">
        <f>HYPERLINK("http://www.uniprot.org/uniprot/M5WTU3","M5WTU3")</f>
        <v>M5WTU3</v>
      </c>
      <c r="D20814" s="2" t="s">
        <v>15655</v>
      </c>
      <c r="E20814" s="3">
        <v>0</v>
      </c>
      <c r="F20814" s="2">
        <v>1586</v>
      </c>
      <c r="G20814" s="2">
        <v>100</v>
      </c>
      <c r="H20814" s="2">
        <v>339</v>
      </c>
      <c r="I20814" s="2">
        <v>732</v>
      </c>
      <c r="J20814" s="2">
        <v>1748</v>
      </c>
      <c r="K20814" s="2">
        <v>1</v>
      </c>
      <c r="L20814" s="2">
        <v>339</v>
      </c>
    </row>
    <row r="20815" spans="1:12" x14ac:dyDescent="0.25">
      <c r="A20815" s="4" t="str">
        <f>HYPERLINK("http://www.rosaceae.org/Prunus/Prunus_persica/p.persica_gdr_reftransV1_0000073","p.persica_gdr_reftransV1_0000073")</f>
        <v>p.persica_gdr_reftransV1_0000073</v>
      </c>
      <c r="B20815" s="2">
        <v>970</v>
      </c>
      <c r="C20815" s="4" t="str">
        <f>HYPERLINK("http://www.uniprot.org/uniprot/M5XK67","M5XK67")</f>
        <v>M5XK67</v>
      </c>
      <c r="D20815" s="2" t="s">
        <v>15656</v>
      </c>
      <c r="E20815" s="3">
        <v>2.1800000000000001E-112</v>
      </c>
      <c r="F20815" s="2">
        <v>571</v>
      </c>
      <c r="G20815" s="2">
        <v>95</v>
      </c>
      <c r="H20815" s="2">
        <v>118</v>
      </c>
      <c r="I20815" s="2">
        <v>1</v>
      </c>
      <c r="J20815" s="2">
        <v>354</v>
      </c>
      <c r="K20815" s="2">
        <v>110</v>
      </c>
      <c r="L20815" s="2">
        <v>227</v>
      </c>
    </row>
    <row r="20816" spans="1:12" x14ac:dyDescent="0.25">
      <c r="A20816" s="4" t="str">
        <f>HYPERLINK("http://www.rosaceae.org/Prunus/Prunus_persica/p.persica_gdr_reftransV1_0000423","p.persica_gdr_reftransV1_0000423")</f>
        <v>p.persica_gdr_reftransV1_0000423</v>
      </c>
      <c r="B20816" s="2">
        <v>1830</v>
      </c>
      <c r="C20816" s="4" t="str">
        <f>HYPERLINK("http://www.uniprot.org/uniprot/M5X9U4","M5X9U4")</f>
        <v>M5X9U4</v>
      </c>
      <c r="D20816" s="2" t="s">
        <v>15657</v>
      </c>
      <c r="E20816" s="3">
        <v>0</v>
      </c>
      <c r="F20816" s="2">
        <v>2614</v>
      </c>
      <c r="G20816" s="2">
        <v>100</v>
      </c>
      <c r="H20816" s="2">
        <v>520</v>
      </c>
      <c r="I20816" s="2">
        <v>271</v>
      </c>
      <c r="J20816" s="2">
        <v>1830</v>
      </c>
      <c r="K20816" s="2">
        <v>102</v>
      </c>
      <c r="L20816" s="2">
        <v>621</v>
      </c>
    </row>
    <row r="20817" spans="1:12" x14ac:dyDescent="0.25">
      <c r="A20817" s="4" t="str">
        <f>HYPERLINK("http://www.rosaceae.org/Prunus/Prunus_persica/p.persica_gdr_reftransV1_0001123","p.persica_gdr_reftransV1_0001123")</f>
        <v>p.persica_gdr_reftransV1_0001123</v>
      </c>
      <c r="B20817" s="2">
        <v>2505</v>
      </c>
      <c r="C20817" s="4" t="str">
        <f>HYPERLINK("http://www.uniprot.org/uniprot/M5VWC5","M5VWC5")</f>
        <v>M5VWC5</v>
      </c>
      <c r="D20817" s="2" t="s">
        <v>5436</v>
      </c>
      <c r="E20817" s="3">
        <v>0</v>
      </c>
      <c r="F20817" s="2">
        <v>1648</v>
      </c>
      <c r="G20817" s="2">
        <v>99</v>
      </c>
      <c r="H20817" s="2">
        <v>399</v>
      </c>
      <c r="I20817" s="2">
        <v>1260</v>
      </c>
      <c r="J20817" s="2">
        <v>2456</v>
      </c>
      <c r="K20817" s="2">
        <v>1</v>
      </c>
      <c r="L20817" s="2">
        <v>397</v>
      </c>
    </row>
    <row r="20818" spans="1:12" x14ac:dyDescent="0.25">
      <c r="A20818" s="4" t="str">
        <f>HYPERLINK("http://www.rosaceae.org/Prunus/Prunus_persica/p.persica_gdr_reftransV1_0001473","p.persica_gdr_reftransV1_0001473")</f>
        <v>p.persica_gdr_reftransV1_0001473</v>
      </c>
      <c r="B20818" s="2">
        <v>358</v>
      </c>
      <c r="C20818" s="4" t="str">
        <f>HYPERLINK("http://www.uniprot.org/uniprot/M5WLY7","M5WLY7")</f>
        <v>M5WLY7</v>
      </c>
      <c r="D20818" s="2" t="s">
        <v>14880</v>
      </c>
      <c r="E20818" s="3">
        <v>1.8100000000000001E-74</v>
      </c>
      <c r="F20818" s="2">
        <v>634</v>
      </c>
      <c r="G20818" s="2">
        <v>100</v>
      </c>
      <c r="H20818" s="2">
        <v>119</v>
      </c>
      <c r="I20818" s="2">
        <v>1</v>
      </c>
      <c r="J20818" s="2">
        <v>357</v>
      </c>
      <c r="K20818" s="2">
        <v>94</v>
      </c>
      <c r="L20818" s="2">
        <v>212</v>
      </c>
    </row>
    <row r="20819" spans="1:12" x14ac:dyDescent="0.25">
      <c r="A20819" s="4" t="str">
        <f>HYPERLINK("http://www.rosaceae.org/Prunus/Prunus_persica/p.persica_gdr_reftransV1_0001823","p.persica_gdr_reftransV1_0001823")</f>
        <v>p.persica_gdr_reftransV1_0001823</v>
      </c>
      <c r="B20819" s="2">
        <v>499</v>
      </c>
      <c r="C20819" s="4" t="str">
        <f>HYPERLINK("http://www.uniprot.org/uniprot/A7WN49","A7WN49")</f>
        <v>A7WN49</v>
      </c>
      <c r="D20819" s="2" t="s">
        <v>15658</v>
      </c>
      <c r="E20819" s="3">
        <v>1.07E-85</v>
      </c>
      <c r="F20819" s="2">
        <v>665</v>
      </c>
      <c r="G20819" s="2">
        <v>100</v>
      </c>
      <c r="H20819" s="2">
        <v>164</v>
      </c>
      <c r="I20819" s="2">
        <v>7</v>
      </c>
      <c r="J20819" s="2">
        <v>498</v>
      </c>
      <c r="K20819" s="2">
        <v>1</v>
      </c>
      <c r="L20819" s="2">
        <v>164</v>
      </c>
    </row>
    <row r="20820" spans="1:12" x14ac:dyDescent="0.25">
      <c r="A20820" s="4" t="str">
        <f>HYPERLINK("http://www.rosaceae.org/Prunus/Prunus_persica/p.persica_gdr_reftransV1_0002173","p.persica_gdr_reftransV1_0002173")</f>
        <v>p.persica_gdr_reftransV1_0002173</v>
      </c>
      <c r="B20820" s="2">
        <v>1440</v>
      </c>
      <c r="C20820" s="4" t="str">
        <f>HYPERLINK("http://www.uniprot.org/uniprot/M5WJL5","M5WJL5")</f>
        <v>M5WJL5</v>
      </c>
      <c r="D20820" s="2" t="s">
        <v>15659</v>
      </c>
      <c r="E20820" s="3">
        <v>0</v>
      </c>
      <c r="F20820" s="2">
        <v>1783</v>
      </c>
      <c r="G20820" s="2">
        <v>91</v>
      </c>
      <c r="H20820" s="2">
        <v>367</v>
      </c>
      <c r="I20820" s="2">
        <v>356</v>
      </c>
      <c r="J20820" s="2">
        <v>1438</v>
      </c>
      <c r="K20820" s="2">
        <v>11</v>
      </c>
      <c r="L20820" s="2">
        <v>377</v>
      </c>
    </row>
    <row r="20821" spans="1:12" x14ac:dyDescent="0.25">
      <c r="A20821" s="4" t="str">
        <f>HYPERLINK("http://www.rosaceae.org/Prunus/Prunus_persica/p.persica_gdr_reftransV1_0002523","p.persica_gdr_reftransV1_0002523")</f>
        <v>p.persica_gdr_reftransV1_0002523</v>
      </c>
      <c r="B20821" s="2">
        <v>458</v>
      </c>
      <c r="C20821" s="4" t="str">
        <f>HYPERLINK("http://www.uniprot.org/uniprot/M5XNN8","M5XNN8")</f>
        <v>M5XNN8</v>
      </c>
      <c r="D20821" s="2" t="s">
        <v>15660</v>
      </c>
      <c r="E20821" s="3">
        <v>2.4200000000000001E-95</v>
      </c>
      <c r="F20821" s="2">
        <v>732</v>
      </c>
      <c r="G20821" s="2">
        <v>100</v>
      </c>
      <c r="H20821" s="2">
        <v>152</v>
      </c>
      <c r="I20821" s="2">
        <v>1</v>
      </c>
      <c r="J20821" s="2">
        <v>456</v>
      </c>
      <c r="K20821" s="2">
        <v>19</v>
      </c>
      <c r="L20821" s="2">
        <v>170</v>
      </c>
    </row>
    <row r="20822" spans="1:12" x14ac:dyDescent="0.25">
      <c r="A20822" s="4" t="str">
        <f>HYPERLINK("http://www.rosaceae.org/Prunus/Prunus_persica/p.persica_gdr_reftransV1_0003223","p.persica_gdr_reftransV1_0003223")</f>
        <v>p.persica_gdr_reftransV1_0003223</v>
      </c>
      <c r="B20822" s="2">
        <v>527</v>
      </c>
      <c r="C20822" s="4" t="str">
        <f>HYPERLINK("http://www.uniprot.org/uniprot/A0A090MKW8","A0A090MKW8")</f>
        <v>A0A090MKW8</v>
      </c>
      <c r="D20822" s="2" t="s">
        <v>15661</v>
      </c>
      <c r="E20822" s="3">
        <v>4.0500000000000003E-80</v>
      </c>
      <c r="F20822" s="2">
        <v>657</v>
      </c>
      <c r="G20822" s="2">
        <v>94</v>
      </c>
      <c r="H20822" s="2">
        <v>129</v>
      </c>
      <c r="I20822" s="2">
        <v>139</v>
      </c>
      <c r="J20822" s="2">
        <v>525</v>
      </c>
      <c r="K20822" s="2">
        <v>364</v>
      </c>
      <c r="L20822" s="2">
        <v>492</v>
      </c>
    </row>
    <row r="20823" spans="1:12" x14ac:dyDescent="0.25">
      <c r="A20823" s="4" t="str">
        <f>HYPERLINK("http://www.rosaceae.org/Prunus/Prunus_persica/p.persica_gdr_reftransV1_0003923","p.persica_gdr_reftransV1_0003923")</f>
        <v>p.persica_gdr_reftransV1_0003923</v>
      </c>
      <c r="B20823" s="2">
        <v>1370</v>
      </c>
      <c r="C20823" s="4" t="str">
        <f>HYPERLINK("http://www.uniprot.org/uniprot/M5VL17","M5VL17")</f>
        <v>M5VL17</v>
      </c>
      <c r="D20823" s="2" t="s">
        <v>15662</v>
      </c>
      <c r="E20823" s="3">
        <v>1.6200000000000001E-174</v>
      </c>
      <c r="F20823" s="2">
        <v>1291</v>
      </c>
      <c r="G20823" s="2">
        <v>100</v>
      </c>
      <c r="H20823" s="2">
        <v>251</v>
      </c>
      <c r="I20823" s="2">
        <v>172</v>
      </c>
      <c r="J20823" s="2">
        <v>924</v>
      </c>
      <c r="K20823" s="2">
        <v>1</v>
      </c>
      <c r="L20823" s="2">
        <v>251</v>
      </c>
    </row>
    <row r="20824" spans="1:12" x14ac:dyDescent="0.25">
      <c r="A20824" s="4" t="str">
        <f>HYPERLINK("http://www.rosaceae.org/Prunus/Prunus_persica/p.persica_gdr_reftransV1_0004973","p.persica_gdr_reftransV1_0004973")</f>
        <v>p.persica_gdr_reftransV1_0004973</v>
      </c>
      <c r="B20824" s="2">
        <v>709</v>
      </c>
      <c r="C20824" s="4" t="str">
        <f>HYPERLINK("http://www.uniprot.org/uniprot/M5XAX9","M5XAX9")</f>
        <v>M5XAX9</v>
      </c>
      <c r="D20824" s="2" t="s">
        <v>2255</v>
      </c>
      <c r="E20824" s="3">
        <v>4.2599999999999999E-110</v>
      </c>
      <c r="F20824" s="2">
        <v>878</v>
      </c>
      <c r="G20824" s="2">
        <v>100</v>
      </c>
      <c r="H20824" s="2">
        <v>160</v>
      </c>
      <c r="I20824" s="2">
        <v>3</v>
      </c>
      <c r="J20824" s="2">
        <v>482</v>
      </c>
      <c r="K20824" s="2">
        <v>512</v>
      </c>
      <c r="L20824" s="2">
        <v>671</v>
      </c>
    </row>
    <row r="20825" spans="1:12" x14ac:dyDescent="0.25">
      <c r="A20825" s="4" t="str">
        <f>HYPERLINK("http://www.rosaceae.org/Prunus/Prunus_persica/p.persica_gdr_reftransV1_0005673","p.persica_gdr_reftransV1_0005673")</f>
        <v>p.persica_gdr_reftransV1_0005673</v>
      </c>
      <c r="B20825" s="2">
        <v>515</v>
      </c>
      <c r="C20825" s="4" t="str">
        <f>HYPERLINK("http://www.uniprot.org/uniprot/M5VM93","M5VM93")</f>
        <v>M5VM93</v>
      </c>
      <c r="D20825" s="2" t="s">
        <v>10155</v>
      </c>
      <c r="E20825" s="3">
        <v>9.1700000000000003E-85</v>
      </c>
      <c r="F20825" s="2">
        <v>717</v>
      </c>
      <c r="G20825" s="2">
        <v>100</v>
      </c>
      <c r="H20825" s="2">
        <v>158</v>
      </c>
      <c r="I20825" s="2">
        <v>3</v>
      </c>
      <c r="J20825" s="2">
        <v>476</v>
      </c>
      <c r="K20825" s="2">
        <v>969</v>
      </c>
      <c r="L20825" s="2">
        <v>1126</v>
      </c>
    </row>
    <row r="20826" spans="1:12" x14ac:dyDescent="0.25">
      <c r="A20826" s="4" t="str">
        <f>HYPERLINK("http://www.rosaceae.org/Prunus/Prunus_persica/p.persica_gdr_reftransV1_0006373","p.persica_gdr_reftransV1_0006373")</f>
        <v>p.persica_gdr_reftransV1_0006373</v>
      </c>
      <c r="B20826" s="2">
        <v>407</v>
      </c>
      <c r="C20826" s="4" t="str">
        <f>HYPERLINK("http://www.uniprot.org/uniprot/M5XDP8","M5XDP8")</f>
        <v>M5XDP8</v>
      </c>
      <c r="D20826" s="2" t="s">
        <v>5303</v>
      </c>
      <c r="E20826" s="3">
        <v>3.1199999999999999E-90</v>
      </c>
      <c r="F20826" s="2">
        <v>725</v>
      </c>
      <c r="G20826" s="2">
        <v>100</v>
      </c>
      <c r="H20826" s="2">
        <v>135</v>
      </c>
      <c r="I20826" s="2">
        <v>1</v>
      </c>
      <c r="J20826" s="2">
        <v>405</v>
      </c>
      <c r="K20826" s="2">
        <v>239</v>
      </c>
      <c r="L20826" s="2">
        <v>373</v>
      </c>
    </row>
    <row r="20827" spans="1:12" x14ac:dyDescent="0.25">
      <c r="A20827" s="4" t="str">
        <f>HYPERLINK("http://www.rosaceae.org/Prunus/Prunus_persica/p.persica_gdr_reftransV1_0006723","p.persica_gdr_reftransV1_0006723")</f>
        <v>p.persica_gdr_reftransV1_0006723</v>
      </c>
      <c r="B20827" s="2">
        <v>1877</v>
      </c>
      <c r="C20827" s="4" t="str">
        <f>HYPERLINK("http://www.uniprot.org/uniprot/A0A068Q6L2","A0A068Q6L2")</f>
        <v>A0A068Q6L2</v>
      </c>
      <c r="D20827" s="2" t="s">
        <v>7991</v>
      </c>
      <c r="E20827" s="3">
        <v>0</v>
      </c>
      <c r="F20827" s="2">
        <v>2330</v>
      </c>
      <c r="G20827" s="2">
        <v>95</v>
      </c>
      <c r="H20827" s="2">
        <v>518</v>
      </c>
      <c r="I20827" s="2">
        <v>310</v>
      </c>
      <c r="J20827" s="2">
        <v>1863</v>
      </c>
      <c r="K20827" s="2">
        <v>1</v>
      </c>
      <c r="L20827" s="2">
        <v>518</v>
      </c>
    </row>
    <row r="20828" spans="1:12" x14ac:dyDescent="0.25">
      <c r="A20828" s="4" t="str">
        <f>HYPERLINK("http://www.rosaceae.org/Prunus/Prunus_persica/p.persica_gdr_reftransV1_0007423","p.persica_gdr_reftransV1_0007423")</f>
        <v>p.persica_gdr_reftransV1_0007423</v>
      </c>
      <c r="B20828" s="2">
        <v>1973</v>
      </c>
      <c r="C20828" s="4" t="str">
        <f>HYPERLINK("http://www.uniprot.org/uniprot/M5X4P2","M5X4P2")</f>
        <v>M5X4P2</v>
      </c>
      <c r="D20828" s="2" t="s">
        <v>15663</v>
      </c>
      <c r="E20828" s="3">
        <v>0</v>
      </c>
      <c r="F20828" s="2">
        <v>1570</v>
      </c>
      <c r="G20828" s="2">
        <v>100</v>
      </c>
      <c r="H20828" s="2">
        <v>290</v>
      </c>
      <c r="I20828" s="2">
        <v>789</v>
      </c>
      <c r="J20828" s="2">
        <v>1658</v>
      </c>
      <c r="K20828" s="2">
        <v>1</v>
      </c>
      <c r="L20828" s="2">
        <v>290</v>
      </c>
    </row>
    <row r="20829" spans="1:12" x14ac:dyDescent="0.25">
      <c r="A20829" s="4" t="str">
        <f>HYPERLINK("http://www.rosaceae.org/Prunus/Prunus_persica/p.persica_gdr_reftransV1_0007773","p.persica_gdr_reftransV1_0007773")</f>
        <v>p.persica_gdr_reftransV1_0007773</v>
      </c>
      <c r="B20829" s="2">
        <v>428</v>
      </c>
      <c r="C20829" s="4" t="str">
        <f>HYPERLINK("http://www.uniprot.org/uniprot/M5VK57","M5VK57")</f>
        <v>M5VK57</v>
      </c>
      <c r="D20829" s="2" t="s">
        <v>7064</v>
      </c>
      <c r="E20829" s="3">
        <v>1.0800000000000001E-73</v>
      </c>
      <c r="F20829" s="2">
        <v>618</v>
      </c>
      <c r="G20829" s="2">
        <v>100</v>
      </c>
      <c r="H20829" s="2">
        <v>131</v>
      </c>
      <c r="I20829" s="2">
        <v>1</v>
      </c>
      <c r="J20829" s="2">
        <v>393</v>
      </c>
      <c r="K20829" s="2">
        <v>1</v>
      </c>
      <c r="L20829" s="2">
        <v>131</v>
      </c>
    </row>
    <row r="20830" spans="1:12" x14ac:dyDescent="0.25">
      <c r="A20830" s="4" t="str">
        <f>HYPERLINK("http://www.rosaceae.org/Prunus/Prunus_persica/p.persica_gdr_reftransV1_0008823","p.persica_gdr_reftransV1_0008823")</f>
        <v>p.persica_gdr_reftransV1_0008823</v>
      </c>
      <c r="B20830" s="2">
        <v>1402</v>
      </c>
      <c r="C20830" s="4" t="str">
        <f>HYPERLINK("http://www.uniprot.org/uniprot/M5WS78","M5WS78")</f>
        <v>M5WS78</v>
      </c>
      <c r="D20830" s="2" t="s">
        <v>15664</v>
      </c>
      <c r="E20830" s="3">
        <v>0</v>
      </c>
      <c r="F20830" s="2">
        <v>1781</v>
      </c>
      <c r="G20830" s="2">
        <v>97</v>
      </c>
      <c r="H20830" s="2">
        <v>342</v>
      </c>
      <c r="I20830" s="2">
        <v>3</v>
      </c>
      <c r="J20830" s="2">
        <v>1028</v>
      </c>
      <c r="K20830" s="2">
        <v>81</v>
      </c>
      <c r="L20830" s="2">
        <v>422</v>
      </c>
    </row>
    <row r="20831" spans="1:12" x14ac:dyDescent="0.25">
      <c r="A20831" s="4" t="str">
        <f>HYPERLINK("http://www.rosaceae.org/Prunus/Prunus_persica/p.persica_gdr_reftransV1_0009173","p.persica_gdr_reftransV1_0009173")</f>
        <v>p.persica_gdr_reftransV1_0009173</v>
      </c>
      <c r="B20831" s="2">
        <v>2504</v>
      </c>
      <c r="C20831" s="4" t="str">
        <f>HYPERLINK("http://www.uniprot.org/uniprot/M5XIR6","M5XIR6")</f>
        <v>M5XIR6</v>
      </c>
      <c r="D20831" s="2" t="s">
        <v>10760</v>
      </c>
      <c r="E20831" s="3">
        <v>0</v>
      </c>
      <c r="F20831" s="2">
        <v>3170</v>
      </c>
      <c r="G20831" s="2">
        <v>100</v>
      </c>
      <c r="H20831" s="2">
        <v>615</v>
      </c>
      <c r="I20831" s="2">
        <v>286</v>
      </c>
      <c r="J20831" s="2">
        <v>2130</v>
      </c>
      <c r="K20831" s="2">
        <v>1</v>
      </c>
      <c r="L20831" s="2">
        <v>615</v>
      </c>
    </row>
    <row r="20832" spans="1:12" x14ac:dyDescent="0.25">
      <c r="A20832" s="4" t="str">
        <f>HYPERLINK("http://www.rosaceae.org/Prunus/Prunus_persica/p.persica_gdr_reftransV1_0009523","p.persica_gdr_reftransV1_0009523")</f>
        <v>p.persica_gdr_reftransV1_0009523</v>
      </c>
      <c r="B20832" s="2">
        <v>5026</v>
      </c>
      <c r="C20832" s="4" t="str">
        <f>HYPERLINK("http://www.uniprot.org/uniprot/M5W9T6","M5W9T6")</f>
        <v>M5W9T6</v>
      </c>
      <c r="D20832" s="2" t="s">
        <v>15665</v>
      </c>
      <c r="E20832" s="3">
        <v>4.7000000000000005E-156</v>
      </c>
      <c r="F20832" s="2">
        <v>1264</v>
      </c>
      <c r="G20832" s="2">
        <v>99</v>
      </c>
      <c r="H20832" s="2">
        <v>251</v>
      </c>
      <c r="I20832" s="2">
        <v>606</v>
      </c>
      <c r="J20832" s="2">
        <v>1358</v>
      </c>
      <c r="K20832" s="2">
        <v>1</v>
      </c>
      <c r="L20832" s="2">
        <v>251</v>
      </c>
    </row>
    <row r="20833" spans="1:12" x14ac:dyDescent="0.25">
      <c r="A20833" s="4" t="str">
        <f>HYPERLINK("http://www.rosaceae.org/Prunus/Prunus_persica/p.persica_gdr_reftransV1_0010223","p.persica_gdr_reftransV1_0010223")</f>
        <v>p.persica_gdr_reftransV1_0010223</v>
      </c>
      <c r="B20833" s="2">
        <v>1995</v>
      </c>
      <c r="C20833" s="4" t="str">
        <f>HYPERLINK("http://www.uniprot.org/uniprot/M5WTL8","M5WTL8")</f>
        <v>M5WTL8</v>
      </c>
      <c r="D20833" s="2" t="s">
        <v>2876</v>
      </c>
      <c r="E20833" s="3">
        <v>7.7200000000000007E-167</v>
      </c>
      <c r="F20833" s="2">
        <v>1273</v>
      </c>
      <c r="G20833" s="2">
        <v>100</v>
      </c>
      <c r="H20833" s="2">
        <v>251</v>
      </c>
      <c r="I20833" s="2">
        <v>402</v>
      </c>
      <c r="J20833" s="2">
        <v>1154</v>
      </c>
      <c r="K20833" s="2">
        <v>119</v>
      </c>
      <c r="L20833" s="2">
        <v>369</v>
      </c>
    </row>
    <row r="20834" spans="1:12" x14ac:dyDescent="0.25">
      <c r="A20834" s="4" t="str">
        <f>HYPERLINK("http://www.rosaceae.org/Prunus/Prunus_persica/p.persica_gdr_reftransV1_0010573","p.persica_gdr_reftransV1_0010573")</f>
        <v>p.persica_gdr_reftransV1_0010573</v>
      </c>
      <c r="B20834" s="2">
        <v>772</v>
      </c>
      <c r="C20834" s="4" t="str">
        <f>HYPERLINK("http://www.uniprot.org/uniprot/M5XPL7","M5XPL7")</f>
        <v>M5XPL7</v>
      </c>
      <c r="D20834" s="2" t="s">
        <v>12961</v>
      </c>
      <c r="E20834" s="3">
        <v>1.1899999999999999E-109</v>
      </c>
      <c r="F20834" s="2">
        <v>836</v>
      </c>
      <c r="G20834" s="2">
        <v>100</v>
      </c>
      <c r="H20834" s="2">
        <v>160</v>
      </c>
      <c r="I20834" s="2">
        <v>291</v>
      </c>
      <c r="J20834" s="2">
        <v>770</v>
      </c>
      <c r="K20834" s="2">
        <v>1</v>
      </c>
      <c r="L20834" s="2">
        <v>160</v>
      </c>
    </row>
    <row r="20835" spans="1:12" x14ac:dyDescent="0.25">
      <c r="A20835" s="4" t="str">
        <f>HYPERLINK("http://www.rosaceae.org/Prunus/Prunus_persica/p.persica_gdr_reftransV1_0010923","p.persica_gdr_reftransV1_0010923")</f>
        <v>p.persica_gdr_reftransV1_0010923</v>
      </c>
      <c r="B20835" s="2">
        <v>2494</v>
      </c>
      <c r="C20835" s="4" t="str">
        <f>HYPERLINK("http://www.uniprot.org/uniprot/M5VYB2","M5VYB2")</f>
        <v>M5VYB2</v>
      </c>
      <c r="D20835" s="2" t="s">
        <v>15666</v>
      </c>
      <c r="E20835" s="3">
        <v>0</v>
      </c>
      <c r="F20835" s="2">
        <v>1471</v>
      </c>
      <c r="G20835" s="2">
        <v>97</v>
      </c>
      <c r="H20835" s="2">
        <v>319</v>
      </c>
      <c r="I20835" s="2">
        <v>1442</v>
      </c>
      <c r="J20835" s="2">
        <v>2398</v>
      </c>
      <c r="K20835" s="2">
        <v>1</v>
      </c>
      <c r="L20835" s="2">
        <v>319</v>
      </c>
    </row>
    <row r="20836" spans="1:12" x14ac:dyDescent="0.25">
      <c r="A20836" s="4" t="str">
        <f>HYPERLINK("http://www.rosaceae.org/Prunus/Prunus_persica/p.persica_gdr_reftransV1_0011273","p.persica_gdr_reftransV1_0011273")</f>
        <v>p.persica_gdr_reftransV1_0011273</v>
      </c>
      <c r="B20836" s="2">
        <v>1232</v>
      </c>
      <c r="C20836" s="4" t="str">
        <f>HYPERLINK("http://www.uniprot.org/uniprot/M5WT89","M5WT89")</f>
        <v>M5WT89</v>
      </c>
      <c r="D20836" s="2" t="s">
        <v>754</v>
      </c>
      <c r="E20836" s="3">
        <v>0</v>
      </c>
      <c r="F20836" s="2">
        <v>1367</v>
      </c>
      <c r="G20836" s="2">
        <v>100</v>
      </c>
      <c r="H20836" s="2">
        <v>257</v>
      </c>
      <c r="I20836" s="2">
        <v>176</v>
      </c>
      <c r="J20836" s="2">
        <v>946</v>
      </c>
      <c r="K20836" s="2">
        <v>1</v>
      </c>
      <c r="L20836" s="2">
        <v>257</v>
      </c>
    </row>
    <row r="20837" spans="1:12" x14ac:dyDescent="0.25">
      <c r="A20837" s="4" t="str">
        <f>HYPERLINK("http://www.rosaceae.org/Prunus/Prunus_persica/p.persica_gdr_reftransV1_0011623","p.persica_gdr_reftransV1_0011623")</f>
        <v>p.persica_gdr_reftransV1_0011623</v>
      </c>
      <c r="B20837" s="2">
        <v>1792</v>
      </c>
      <c r="C20837" s="4" t="str">
        <f>HYPERLINK("http://www.uniprot.org/uniprot/M5WI55","M5WI55")</f>
        <v>M5WI55</v>
      </c>
      <c r="D20837" s="2" t="s">
        <v>15667</v>
      </c>
      <c r="E20837" s="3">
        <v>0</v>
      </c>
      <c r="F20837" s="2">
        <v>2096</v>
      </c>
      <c r="G20837" s="2">
        <v>100</v>
      </c>
      <c r="H20837" s="2">
        <v>418</v>
      </c>
      <c r="I20837" s="2">
        <v>276</v>
      </c>
      <c r="J20837" s="2">
        <v>1529</v>
      </c>
      <c r="K20837" s="2">
        <v>1</v>
      </c>
      <c r="L20837" s="2">
        <v>418</v>
      </c>
    </row>
    <row r="20838" spans="1:12" x14ac:dyDescent="0.25">
      <c r="A20838" s="4" t="str">
        <f>HYPERLINK("http://www.rosaceae.org/Prunus/Prunus_persica/p.persica_gdr_reftransV1_0011973","p.persica_gdr_reftransV1_0011973")</f>
        <v>p.persica_gdr_reftransV1_0011973</v>
      </c>
      <c r="B20838" s="2">
        <v>1010</v>
      </c>
      <c r="C20838" s="4" t="str">
        <f>HYPERLINK("http://www.uniprot.org/uniprot/A0A0D9WMW7","A0A0D9WMW7")</f>
        <v>A0A0D9WMW7</v>
      </c>
      <c r="D20838" s="2" t="s">
        <v>10690</v>
      </c>
      <c r="E20838" s="3">
        <v>1.23E-57</v>
      </c>
      <c r="F20838" s="2">
        <v>346</v>
      </c>
      <c r="G20838" s="2">
        <v>91</v>
      </c>
      <c r="H20838" s="2">
        <v>68</v>
      </c>
      <c r="I20838" s="2">
        <v>521</v>
      </c>
      <c r="J20838" s="2">
        <v>724</v>
      </c>
      <c r="K20838" s="2">
        <v>143</v>
      </c>
      <c r="L20838" s="2">
        <v>210</v>
      </c>
    </row>
    <row r="20839" spans="1:12" x14ac:dyDescent="0.25">
      <c r="A20839" s="4" t="str">
        <f>HYPERLINK("http://www.rosaceae.org/Prunus/Prunus_persica/p.persica_gdr_reftransV1_0013723","p.persica_gdr_reftransV1_0013723")</f>
        <v>p.persica_gdr_reftransV1_0013723</v>
      </c>
      <c r="B20839" s="2">
        <v>3079</v>
      </c>
      <c r="C20839" s="4" t="str">
        <f>HYPERLINK("http://www.uniprot.org/uniprot/M5XQF3","M5XQF3")</f>
        <v>M5XQF3</v>
      </c>
      <c r="D20839" s="2" t="s">
        <v>15668</v>
      </c>
      <c r="E20839" s="3">
        <v>0</v>
      </c>
      <c r="F20839" s="2">
        <v>1940</v>
      </c>
      <c r="G20839" s="2">
        <v>100</v>
      </c>
      <c r="H20839" s="2">
        <v>377</v>
      </c>
      <c r="I20839" s="2">
        <v>113</v>
      </c>
      <c r="J20839" s="2">
        <v>1243</v>
      </c>
      <c r="K20839" s="2">
        <v>22</v>
      </c>
      <c r="L20839" s="2">
        <v>398</v>
      </c>
    </row>
    <row r="20840" spans="1:12" x14ac:dyDescent="0.25">
      <c r="A20840" s="4" t="str">
        <f>HYPERLINK("http://www.rosaceae.org/Prunus/Prunus_persica/p.persica_gdr_reftransV1_0014073","p.persica_gdr_reftransV1_0014073")</f>
        <v>p.persica_gdr_reftransV1_0014073</v>
      </c>
      <c r="B20840" s="2">
        <v>1390</v>
      </c>
      <c r="C20840" s="4" t="str">
        <f>HYPERLINK("http://www.uniprot.org/uniprot/M5XE39","M5XE39")</f>
        <v>M5XE39</v>
      </c>
      <c r="D20840" s="2" t="s">
        <v>15669</v>
      </c>
      <c r="E20840" s="3">
        <v>4.5600000000000003E-151</v>
      </c>
      <c r="F20840" s="2">
        <v>1142</v>
      </c>
      <c r="G20840" s="2">
        <v>100</v>
      </c>
      <c r="H20840" s="2">
        <v>304</v>
      </c>
      <c r="I20840" s="2">
        <v>196</v>
      </c>
      <c r="J20840" s="2">
        <v>1107</v>
      </c>
      <c r="K20840" s="2">
        <v>1</v>
      </c>
      <c r="L20840" s="2">
        <v>304</v>
      </c>
    </row>
    <row r="20841" spans="1:12" x14ac:dyDescent="0.25">
      <c r="A20841" s="4" t="str">
        <f>HYPERLINK("http://www.rosaceae.org/Prunus/Prunus_persica/p.persica_gdr_reftransV1_0014773","p.persica_gdr_reftransV1_0014773")</f>
        <v>p.persica_gdr_reftransV1_0014773</v>
      </c>
      <c r="B20841" s="2">
        <v>2067</v>
      </c>
      <c r="C20841" s="4" t="str">
        <f>HYPERLINK("http://www.uniprot.org/uniprot/M5XAG7","M5XAG7")</f>
        <v>M5XAG7</v>
      </c>
      <c r="D20841" s="2" t="s">
        <v>15670</v>
      </c>
      <c r="E20841" s="3">
        <v>0</v>
      </c>
      <c r="F20841" s="2">
        <v>1953</v>
      </c>
      <c r="G20841" s="2">
        <v>100</v>
      </c>
      <c r="H20841" s="2">
        <v>393</v>
      </c>
      <c r="I20841" s="2">
        <v>647</v>
      </c>
      <c r="J20841" s="2">
        <v>1825</v>
      </c>
      <c r="K20841" s="2">
        <v>1</v>
      </c>
      <c r="L20841" s="2">
        <v>393</v>
      </c>
    </row>
    <row r="20842" spans="1:12" x14ac:dyDescent="0.25">
      <c r="A20842" s="4" t="str">
        <f>HYPERLINK("http://www.rosaceae.org/Prunus/Prunus_persica/p.persica_gdr_reftransV1_0015473","p.persica_gdr_reftransV1_0015473")</f>
        <v>p.persica_gdr_reftransV1_0015473</v>
      </c>
      <c r="B20842" s="2">
        <v>4636</v>
      </c>
      <c r="C20842" s="4" t="str">
        <f>HYPERLINK("http://www.uniprot.org/uniprot/M5Y8C9","M5Y8C9")</f>
        <v>M5Y8C9</v>
      </c>
      <c r="D20842" s="2" t="s">
        <v>15671</v>
      </c>
      <c r="E20842" s="3">
        <v>0</v>
      </c>
      <c r="F20842" s="2">
        <v>5308</v>
      </c>
      <c r="G20842" s="2">
        <v>93</v>
      </c>
      <c r="H20842" s="2">
        <v>1169</v>
      </c>
      <c r="I20842" s="2">
        <v>861</v>
      </c>
      <c r="J20842" s="2">
        <v>4367</v>
      </c>
      <c r="K20842" s="2">
        <v>1</v>
      </c>
      <c r="L20842" s="2">
        <v>1168</v>
      </c>
    </row>
    <row r="20843" spans="1:12" x14ac:dyDescent="0.25">
      <c r="A20843" s="4" t="str">
        <f>HYPERLINK("http://www.rosaceae.org/Prunus/Prunus_persica/p.persica_gdr_reftransV1_0015823","p.persica_gdr_reftransV1_0015823")</f>
        <v>p.persica_gdr_reftransV1_0015823</v>
      </c>
      <c r="B20843" s="2">
        <v>3396</v>
      </c>
      <c r="C20843" s="4" t="str">
        <f>HYPERLINK("http://www.uniprot.org/uniprot/M5W595","M5W595")</f>
        <v>M5W595</v>
      </c>
      <c r="D20843" s="2" t="s">
        <v>15672</v>
      </c>
      <c r="E20843" s="3">
        <v>0</v>
      </c>
      <c r="F20843" s="2">
        <v>4496</v>
      </c>
      <c r="G20843" s="2">
        <v>100</v>
      </c>
      <c r="H20843" s="2">
        <v>905</v>
      </c>
      <c r="I20843" s="2">
        <v>424</v>
      </c>
      <c r="J20843" s="2">
        <v>3138</v>
      </c>
      <c r="K20843" s="2">
        <v>1</v>
      </c>
      <c r="L20843" s="2">
        <v>905</v>
      </c>
    </row>
    <row r="20844" spans="1:12" x14ac:dyDescent="0.25">
      <c r="A20844" s="4" t="str">
        <f>HYPERLINK("http://www.rosaceae.org/Prunus/Prunus_persica/p.persica_gdr_reftransV1_0016873","p.persica_gdr_reftransV1_0016873")</f>
        <v>p.persica_gdr_reftransV1_0016873</v>
      </c>
      <c r="B20844" s="2">
        <v>1257</v>
      </c>
      <c r="C20844" s="4" t="str">
        <f>HYPERLINK("http://www.uniprot.org/uniprot/M5VKP6","M5VKP6")</f>
        <v>M5VKP6</v>
      </c>
      <c r="D20844" s="2" t="s">
        <v>15673</v>
      </c>
      <c r="E20844" s="3">
        <v>1.4500000000000001E-104</v>
      </c>
      <c r="F20844" s="2">
        <v>820</v>
      </c>
      <c r="G20844" s="2">
        <v>100</v>
      </c>
      <c r="H20844" s="2">
        <v>212</v>
      </c>
      <c r="I20844" s="2">
        <v>485</v>
      </c>
      <c r="J20844" s="2">
        <v>1120</v>
      </c>
      <c r="K20844" s="2">
        <v>1</v>
      </c>
      <c r="L20844" s="2">
        <v>212</v>
      </c>
    </row>
    <row r="20845" spans="1:12" x14ac:dyDescent="0.25">
      <c r="A20845" s="4" t="str">
        <f>HYPERLINK("http://www.rosaceae.org/Prunus/Prunus_persica/p.persica_gdr_reftransV1_0017223","p.persica_gdr_reftransV1_0017223")</f>
        <v>p.persica_gdr_reftransV1_0017223</v>
      </c>
      <c r="B20845" s="2">
        <v>2310</v>
      </c>
      <c r="C20845" s="4" t="str">
        <f>HYPERLINK("http://www.uniprot.org/uniprot/M5WT60","M5WT60")</f>
        <v>M5WT60</v>
      </c>
      <c r="D20845" s="2" t="s">
        <v>15674</v>
      </c>
      <c r="E20845" s="3">
        <v>0</v>
      </c>
      <c r="F20845" s="2">
        <v>3065</v>
      </c>
      <c r="G20845" s="2">
        <v>100</v>
      </c>
      <c r="H20845" s="2">
        <v>591</v>
      </c>
      <c r="I20845" s="2">
        <v>292</v>
      </c>
      <c r="J20845" s="2">
        <v>2064</v>
      </c>
      <c r="K20845" s="2">
        <v>1</v>
      </c>
      <c r="L20845" s="2">
        <v>591</v>
      </c>
    </row>
    <row r="20846" spans="1:12" x14ac:dyDescent="0.25">
      <c r="A20846" s="4" t="str">
        <f>HYPERLINK("http://www.rosaceae.org/Prunus/Prunus_persica/p.persica_gdr_reftransV1_0017923","p.persica_gdr_reftransV1_0017923")</f>
        <v>p.persica_gdr_reftransV1_0017923</v>
      </c>
      <c r="B20846" s="2">
        <v>2617</v>
      </c>
      <c r="C20846" s="4" t="str">
        <f>HYPERLINK("http://www.uniprot.org/uniprot/M5VZ66","M5VZ66")</f>
        <v>M5VZ66</v>
      </c>
      <c r="D20846" s="2" t="s">
        <v>5411</v>
      </c>
      <c r="E20846" s="3">
        <v>7.1700000000000002E-113</v>
      </c>
      <c r="F20846" s="2">
        <v>934</v>
      </c>
      <c r="G20846" s="2">
        <v>100</v>
      </c>
      <c r="H20846" s="2">
        <v>203</v>
      </c>
      <c r="I20846" s="2">
        <v>398</v>
      </c>
      <c r="J20846" s="2">
        <v>1006</v>
      </c>
      <c r="K20846" s="2">
        <v>240</v>
      </c>
      <c r="L20846" s="2">
        <v>442</v>
      </c>
    </row>
    <row r="20847" spans="1:12" x14ac:dyDescent="0.25">
      <c r="A20847" s="4" t="str">
        <f>HYPERLINK("http://www.rosaceae.org/Prunus/Prunus_persica/p.persica_gdr_reftransV1_0018273","p.persica_gdr_reftransV1_0018273")</f>
        <v>p.persica_gdr_reftransV1_0018273</v>
      </c>
      <c r="B20847" s="2">
        <v>4789</v>
      </c>
      <c r="C20847" s="4" t="str">
        <f>HYPERLINK("http://www.uniprot.org/uniprot/M5VXS1","M5VXS1")</f>
        <v>M5VXS1</v>
      </c>
      <c r="D20847" s="2" t="s">
        <v>15482</v>
      </c>
      <c r="E20847" s="3">
        <v>3.7100000000000001E-10</v>
      </c>
      <c r="F20847" s="2">
        <v>182</v>
      </c>
      <c r="G20847" s="2">
        <v>100</v>
      </c>
      <c r="H20847" s="2">
        <v>33</v>
      </c>
      <c r="I20847" s="2">
        <v>2</v>
      </c>
      <c r="J20847" s="2">
        <v>100</v>
      </c>
      <c r="K20847" s="2">
        <v>1</v>
      </c>
      <c r="L20847" s="2">
        <v>33</v>
      </c>
    </row>
    <row r="20848" spans="1:12" x14ac:dyDescent="0.25">
      <c r="A20848" s="4" t="str">
        <f>HYPERLINK("http://www.rosaceae.org/Prunus/Prunus_persica/p.persica_gdr_reftransV1_0018623","p.persica_gdr_reftransV1_0018623")</f>
        <v>p.persica_gdr_reftransV1_0018623</v>
      </c>
      <c r="B20848" s="2">
        <v>1651</v>
      </c>
      <c r="C20848" s="4" t="str">
        <f>HYPERLINK("http://www.uniprot.org/uniprot/M5WIT5","M5WIT5")</f>
        <v>M5WIT5</v>
      </c>
      <c r="D20848" s="2" t="s">
        <v>15675</v>
      </c>
      <c r="E20848" s="3">
        <v>2.0600000000000001E-157</v>
      </c>
      <c r="F20848" s="2">
        <v>1207</v>
      </c>
      <c r="G20848" s="2">
        <v>100</v>
      </c>
      <c r="H20848" s="2">
        <v>434</v>
      </c>
      <c r="I20848" s="2">
        <v>1</v>
      </c>
      <c r="J20848" s="2">
        <v>1302</v>
      </c>
      <c r="K20848" s="2">
        <v>16</v>
      </c>
      <c r="L20848" s="2">
        <v>449</v>
      </c>
    </row>
    <row r="20849" spans="1:12" x14ac:dyDescent="0.25">
      <c r="A20849" s="4" t="str">
        <f>HYPERLINK("http://www.rosaceae.org/Prunus/Prunus_persica/p.persica_gdr_reftransV1_0020023","p.persica_gdr_reftransV1_0020023")</f>
        <v>p.persica_gdr_reftransV1_0020023</v>
      </c>
      <c r="B20849" s="2">
        <v>1299</v>
      </c>
      <c r="C20849" s="4" t="str">
        <f>HYPERLINK("http://www.uniprot.org/uniprot/M5XB55","M5XB55")</f>
        <v>M5XB55</v>
      </c>
      <c r="D20849" s="2" t="s">
        <v>15676</v>
      </c>
      <c r="E20849" s="3">
        <v>4.9099999999999999E-166</v>
      </c>
      <c r="F20849" s="2">
        <v>1233</v>
      </c>
      <c r="G20849" s="2">
        <v>100</v>
      </c>
      <c r="H20849" s="2">
        <v>252</v>
      </c>
      <c r="I20849" s="2">
        <v>286</v>
      </c>
      <c r="J20849" s="2">
        <v>1041</v>
      </c>
      <c r="K20849" s="2">
        <v>3</v>
      </c>
      <c r="L20849" s="2">
        <v>254</v>
      </c>
    </row>
    <row r="20850" spans="1:12" x14ac:dyDescent="0.25">
      <c r="A20850" s="4" t="str">
        <f>HYPERLINK("http://www.rosaceae.org/Prunus/Prunus_persica/p.persica_gdr_reftransV1_0020373","p.persica_gdr_reftransV1_0020373")</f>
        <v>p.persica_gdr_reftransV1_0020373</v>
      </c>
      <c r="B20850" s="2">
        <v>1458</v>
      </c>
      <c r="C20850" s="4" t="str">
        <f>HYPERLINK("http://www.uniprot.org/uniprot/M5WAI5","M5WAI5")</f>
        <v>M5WAI5</v>
      </c>
      <c r="D20850" s="2" t="s">
        <v>8222</v>
      </c>
      <c r="E20850" s="3">
        <v>3.07E-67</v>
      </c>
      <c r="F20850" s="2">
        <v>575</v>
      </c>
      <c r="G20850" s="2">
        <v>98</v>
      </c>
      <c r="H20850" s="2">
        <v>109</v>
      </c>
      <c r="I20850" s="2">
        <v>1059</v>
      </c>
      <c r="J20850" s="2">
        <v>1385</v>
      </c>
      <c r="K20850" s="2">
        <v>1</v>
      </c>
      <c r="L20850" s="2">
        <v>109</v>
      </c>
    </row>
    <row r="20851" spans="1:12" x14ac:dyDescent="0.25">
      <c r="A20851" s="4" t="str">
        <f>HYPERLINK("http://www.rosaceae.org/Prunus/Prunus_persica/p.persica_gdr_reftransV1_0020723","p.persica_gdr_reftransV1_0020723")</f>
        <v>p.persica_gdr_reftransV1_0020723</v>
      </c>
      <c r="B20851" s="2">
        <v>2381</v>
      </c>
      <c r="C20851" s="4" t="str">
        <f>HYPERLINK("http://www.uniprot.org/uniprot/M5W6C7","M5W6C7")</f>
        <v>M5W6C7</v>
      </c>
      <c r="D20851" s="2" t="s">
        <v>14715</v>
      </c>
      <c r="E20851" s="3">
        <v>0</v>
      </c>
      <c r="F20851" s="2">
        <v>3261</v>
      </c>
      <c r="G20851" s="2">
        <v>100</v>
      </c>
      <c r="H20851" s="2">
        <v>634</v>
      </c>
      <c r="I20851" s="2">
        <v>199</v>
      </c>
      <c r="J20851" s="2">
        <v>2100</v>
      </c>
      <c r="K20851" s="2">
        <v>1</v>
      </c>
      <c r="L20851" s="2">
        <v>634</v>
      </c>
    </row>
    <row r="20852" spans="1:12" x14ac:dyDescent="0.25">
      <c r="A20852" s="4" t="str">
        <f>HYPERLINK("http://www.rosaceae.org/Prunus/Prunus_persica/p.persica_gdr_reftransV1_0021073","p.persica_gdr_reftransV1_0021073")</f>
        <v>p.persica_gdr_reftransV1_0021073</v>
      </c>
      <c r="B20852" s="2">
        <v>454</v>
      </c>
      <c r="C20852" s="4" t="str">
        <f>HYPERLINK("http://www.uniprot.org/uniprot/A0A067H4I8","A0A067H4I8")</f>
        <v>A0A067H4I8</v>
      </c>
      <c r="D20852" s="2" t="s">
        <v>15677</v>
      </c>
      <c r="E20852" s="3">
        <v>5.3200000000000002E-58</v>
      </c>
      <c r="F20852" s="2">
        <v>493</v>
      </c>
      <c r="G20852" s="2">
        <v>71</v>
      </c>
      <c r="H20852" s="2">
        <v>127</v>
      </c>
      <c r="I20852" s="2">
        <v>72</v>
      </c>
      <c r="J20852" s="2">
        <v>452</v>
      </c>
      <c r="K20852" s="2">
        <v>22</v>
      </c>
      <c r="L20852" s="2">
        <v>148</v>
      </c>
    </row>
    <row r="20853" spans="1:12" x14ac:dyDescent="0.25">
      <c r="A20853" s="4" t="str">
        <f>HYPERLINK("http://www.rosaceae.org/Prunus/Prunus_persica/p.persica_gdr_reftransV1_0022823","p.persica_gdr_reftransV1_0022823")</f>
        <v>p.persica_gdr_reftransV1_0022823</v>
      </c>
      <c r="B20853" s="2">
        <v>3588</v>
      </c>
      <c r="C20853" s="4" t="str">
        <f>HYPERLINK("http://www.uniprot.org/uniprot/M5X9S1","M5X9S1")</f>
        <v>M5X9S1</v>
      </c>
      <c r="D20853" s="2" t="s">
        <v>15678</v>
      </c>
      <c r="E20853" s="3">
        <v>0</v>
      </c>
      <c r="F20853" s="2">
        <v>4408</v>
      </c>
      <c r="G20853" s="2">
        <v>98</v>
      </c>
      <c r="H20853" s="2">
        <v>918</v>
      </c>
      <c r="I20853" s="2">
        <v>409</v>
      </c>
      <c r="J20853" s="2">
        <v>3162</v>
      </c>
      <c r="K20853" s="2">
        <v>1</v>
      </c>
      <c r="L20853" s="2">
        <v>906</v>
      </c>
    </row>
    <row r="20854" spans="1:12" x14ac:dyDescent="0.25">
      <c r="A20854" s="4" t="str">
        <f>HYPERLINK("http://www.rosaceae.org/Prunus/Prunus_persica/p.persica_gdr_reftransV1_0025623","p.persica_gdr_reftransV1_0025623")</f>
        <v>p.persica_gdr_reftransV1_0025623</v>
      </c>
      <c r="B20854" s="2">
        <v>3335</v>
      </c>
      <c r="C20854" s="4" t="str">
        <f>HYPERLINK("http://www.uniprot.org/uniprot/M5X6V9","M5X6V9")</f>
        <v>M5X6V9</v>
      </c>
      <c r="D20854" s="2" t="s">
        <v>15679</v>
      </c>
      <c r="E20854" s="3">
        <v>0</v>
      </c>
      <c r="F20854" s="2">
        <v>2105</v>
      </c>
      <c r="G20854" s="2">
        <v>99</v>
      </c>
      <c r="H20854" s="2">
        <v>411</v>
      </c>
      <c r="I20854" s="2">
        <v>1642</v>
      </c>
      <c r="J20854" s="2">
        <v>2874</v>
      </c>
      <c r="K20854" s="2">
        <v>1</v>
      </c>
      <c r="L20854" s="2">
        <v>411</v>
      </c>
    </row>
    <row r="20855" spans="1:12" x14ac:dyDescent="0.25">
      <c r="A20855" s="4" t="str">
        <f>HYPERLINK("http://www.rosaceae.org/Prunus/Prunus_persica/p.persica_gdr_reftransV1_0029123","p.persica_gdr_reftransV1_0029123")</f>
        <v>p.persica_gdr_reftransV1_0029123</v>
      </c>
      <c r="B20855" s="2">
        <v>3014</v>
      </c>
      <c r="C20855" s="4" t="str">
        <f>HYPERLINK("http://www.uniprot.org/uniprot/M5WEG4","M5WEG4")</f>
        <v>M5WEG4</v>
      </c>
      <c r="D20855" s="2" t="s">
        <v>15680</v>
      </c>
      <c r="E20855" s="3">
        <v>0</v>
      </c>
      <c r="F20855" s="2">
        <v>4880</v>
      </c>
      <c r="G20855" s="2">
        <v>97</v>
      </c>
      <c r="H20855" s="2">
        <v>991</v>
      </c>
      <c r="I20855" s="2">
        <v>42</v>
      </c>
      <c r="J20855" s="2">
        <v>3014</v>
      </c>
      <c r="K20855" s="2">
        <v>61</v>
      </c>
      <c r="L20855" s="2">
        <v>1019</v>
      </c>
    </row>
    <row r="20856" spans="1:12" x14ac:dyDescent="0.25">
      <c r="A20856" s="4" t="str">
        <f>HYPERLINK("http://www.rosaceae.org/Prunus/Prunus_persica/p.persica_gdr_reftransV1_0029473","p.persica_gdr_reftransV1_0029473")</f>
        <v>p.persica_gdr_reftransV1_0029473</v>
      </c>
      <c r="B20856" s="2">
        <v>636</v>
      </c>
      <c r="C20856" s="4" t="str">
        <f>HYPERLINK("http://www.uniprot.org/uniprot/M5WAD6","M5WAD6")</f>
        <v>M5WAD6</v>
      </c>
      <c r="D20856" s="2" t="s">
        <v>958</v>
      </c>
      <c r="E20856" s="3">
        <v>5.5400000000000003E-28</v>
      </c>
      <c r="F20856" s="2">
        <v>288</v>
      </c>
      <c r="G20856" s="2">
        <v>100</v>
      </c>
      <c r="H20856" s="2">
        <v>75</v>
      </c>
      <c r="I20856" s="2">
        <v>412</v>
      </c>
      <c r="J20856" s="2">
        <v>636</v>
      </c>
      <c r="K20856" s="2">
        <v>1</v>
      </c>
      <c r="L20856" s="2">
        <v>75</v>
      </c>
    </row>
    <row r="20857" spans="1:12" x14ac:dyDescent="0.25">
      <c r="A20857" s="4" t="str">
        <f>HYPERLINK("http://www.rosaceae.org/Prunus/Prunus_persica/p.persica_gdr_reftransV1_0032623","p.persica_gdr_reftransV1_0032623")</f>
        <v>p.persica_gdr_reftransV1_0032623</v>
      </c>
      <c r="B20857" s="2">
        <v>1825</v>
      </c>
      <c r="C20857" s="4" t="str">
        <f>HYPERLINK("http://www.uniprot.org/uniprot/M5VL95","M5VL95")</f>
        <v>M5VL95</v>
      </c>
      <c r="D20857" s="2" t="s">
        <v>15681</v>
      </c>
      <c r="E20857" s="3">
        <v>0</v>
      </c>
      <c r="F20857" s="2">
        <v>1442</v>
      </c>
      <c r="G20857" s="2">
        <v>100</v>
      </c>
      <c r="H20857" s="2">
        <v>317</v>
      </c>
      <c r="I20857" s="2">
        <v>317</v>
      </c>
      <c r="J20857" s="2">
        <v>1267</v>
      </c>
      <c r="K20857" s="2">
        <v>1</v>
      </c>
      <c r="L20857" s="2">
        <v>317</v>
      </c>
    </row>
    <row r="20858" spans="1:12" x14ac:dyDescent="0.25">
      <c r="A20858" s="4" t="str">
        <f>HYPERLINK("http://www.rosaceae.org/Prunus/Prunus_persica/p.persica_gdr_reftransV1_0033323","p.persica_gdr_reftransV1_0033323")</f>
        <v>p.persica_gdr_reftransV1_0033323</v>
      </c>
      <c r="B20858" s="2">
        <v>1996</v>
      </c>
      <c r="C20858" s="4" t="str">
        <f>HYPERLINK("http://www.uniprot.org/uniprot/M5VPP7","M5VPP7")</f>
        <v>M5VPP7</v>
      </c>
      <c r="D20858" s="2" t="s">
        <v>15682</v>
      </c>
      <c r="E20858" s="3">
        <v>0</v>
      </c>
      <c r="F20858" s="2">
        <v>2092</v>
      </c>
      <c r="G20858" s="2">
        <v>100</v>
      </c>
      <c r="H20858" s="2">
        <v>435</v>
      </c>
      <c r="I20858" s="2">
        <v>156</v>
      </c>
      <c r="J20858" s="2">
        <v>1460</v>
      </c>
      <c r="K20858" s="2">
        <v>1</v>
      </c>
      <c r="L20858" s="2">
        <v>435</v>
      </c>
    </row>
    <row r="20859" spans="1:12" x14ac:dyDescent="0.25">
      <c r="A20859" s="4" t="str">
        <f>HYPERLINK("http://www.rosaceae.org/Prunus/Prunus_persica/p.persica_gdr_reftransV1_0034023","p.persica_gdr_reftransV1_0034023")</f>
        <v>p.persica_gdr_reftransV1_0034023</v>
      </c>
      <c r="B20859" s="2">
        <v>2954</v>
      </c>
      <c r="C20859" s="4" t="str">
        <f>HYPERLINK("http://www.uniprot.org/uniprot/M5WBG6","M5WBG6")</f>
        <v>M5WBG6</v>
      </c>
      <c r="D20859" s="2" t="s">
        <v>15683</v>
      </c>
      <c r="E20859" s="3">
        <v>0</v>
      </c>
      <c r="F20859" s="2">
        <v>2766</v>
      </c>
      <c r="G20859" s="2">
        <v>100</v>
      </c>
      <c r="H20859" s="2">
        <v>517</v>
      </c>
      <c r="I20859" s="2">
        <v>340</v>
      </c>
      <c r="J20859" s="2">
        <v>1890</v>
      </c>
      <c r="K20859" s="2">
        <v>1</v>
      </c>
      <c r="L20859" s="2">
        <v>517</v>
      </c>
    </row>
    <row r="20860" spans="1:12" x14ac:dyDescent="0.25">
      <c r="A20860" s="4" t="str">
        <f>HYPERLINK("http://www.rosaceae.org/Prunus/Prunus_persica/p.persica_gdr_reftransV1_0037173","p.persica_gdr_reftransV1_0037173")</f>
        <v>p.persica_gdr_reftransV1_0037173</v>
      </c>
      <c r="B20860" s="2">
        <v>2323</v>
      </c>
      <c r="C20860" s="4" t="str">
        <f>HYPERLINK("http://www.uniprot.org/uniprot/M5VNR2","M5VNR2")</f>
        <v>M5VNR2</v>
      </c>
      <c r="D20860" s="2" t="s">
        <v>15684</v>
      </c>
      <c r="E20860" s="3">
        <v>4.5800000000000001E-174</v>
      </c>
      <c r="F20860" s="2">
        <v>1320</v>
      </c>
      <c r="G20860" s="2">
        <v>100</v>
      </c>
      <c r="H20860" s="2">
        <v>269</v>
      </c>
      <c r="I20860" s="2">
        <v>1097</v>
      </c>
      <c r="J20860" s="2">
        <v>1903</v>
      </c>
      <c r="K20860" s="2">
        <v>1</v>
      </c>
      <c r="L20860" s="2">
        <v>269</v>
      </c>
    </row>
    <row r="20861" spans="1:12" x14ac:dyDescent="0.25">
      <c r="A20861" s="4" t="str">
        <f>HYPERLINK("http://www.rosaceae.org/Prunus/Prunus_persica/p.persica_gdr_reftransV1_0039973","p.persica_gdr_reftransV1_0039973")</f>
        <v>p.persica_gdr_reftransV1_0039973</v>
      </c>
      <c r="B20861" s="2">
        <v>978</v>
      </c>
      <c r="C20861" s="4" t="str">
        <f>HYPERLINK("http://www.uniprot.org/uniprot/M5WC79","M5WC79")</f>
        <v>M5WC79</v>
      </c>
      <c r="D20861" s="2" t="s">
        <v>13947</v>
      </c>
      <c r="E20861" s="3">
        <v>4.1800000000000001E-113</v>
      </c>
      <c r="F20861" s="2">
        <v>909</v>
      </c>
      <c r="G20861" s="2">
        <v>100</v>
      </c>
      <c r="H20861" s="2">
        <v>219</v>
      </c>
      <c r="I20861" s="2">
        <v>72</v>
      </c>
      <c r="J20861" s="2">
        <v>728</v>
      </c>
      <c r="K20861" s="2">
        <v>463</v>
      </c>
      <c r="L20861" s="2">
        <v>681</v>
      </c>
    </row>
    <row r="20862" spans="1:12" x14ac:dyDescent="0.25">
      <c r="A20862" s="4" t="str">
        <f>HYPERLINK("http://www.rosaceae.org/Prunus/Prunus_persica/p.persica_gdr_reftransV1_0040323","p.persica_gdr_reftransV1_0040323")</f>
        <v>p.persica_gdr_reftransV1_0040323</v>
      </c>
      <c r="B20862" s="2">
        <v>4254</v>
      </c>
      <c r="C20862" s="4" t="str">
        <f>HYPERLINK("http://www.uniprot.org/uniprot/M5W691","M5W691")</f>
        <v>M5W691</v>
      </c>
      <c r="D20862" s="2" t="s">
        <v>4971</v>
      </c>
      <c r="E20862" s="3">
        <v>0</v>
      </c>
      <c r="F20862" s="2">
        <v>1876</v>
      </c>
      <c r="G20862" s="2">
        <v>99</v>
      </c>
      <c r="H20862" s="2">
        <v>352</v>
      </c>
      <c r="I20862" s="2">
        <v>1849</v>
      </c>
      <c r="J20862" s="2">
        <v>2904</v>
      </c>
      <c r="K20862" s="2">
        <v>153</v>
      </c>
      <c r="L20862" s="2">
        <v>504</v>
      </c>
    </row>
    <row r="20863" spans="1:12" x14ac:dyDescent="0.25">
      <c r="A20863" s="4" t="str">
        <f>HYPERLINK("http://www.rosaceae.org/Prunus/Prunus_persica/p.persica_gdr_reftransV1_0042423","p.persica_gdr_reftransV1_0042423")</f>
        <v>p.persica_gdr_reftransV1_0042423</v>
      </c>
      <c r="B20863" s="2">
        <v>2650</v>
      </c>
      <c r="C20863" s="4" t="str">
        <f>HYPERLINK("http://www.uniprot.org/uniprot/M5XD91","M5XD91")</f>
        <v>M5XD91</v>
      </c>
      <c r="D20863" s="2" t="s">
        <v>15685</v>
      </c>
      <c r="E20863" s="3">
        <v>1.0399999999999999E-108</v>
      </c>
      <c r="F20863" s="2">
        <v>779</v>
      </c>
      <c r="G20863" s="2">
        <v>97</v>
      </c>
      <c r="H20863" s="2">
        <v>165</v>
      </c>
      <c r="I20863" s="2">
        <v>1931</v>
      </c>
      <c r="J20863" s="2">
        <v>2425</v>
      </c>
      <c r="K20863" s="2">
        <v>17</v>
      </c>
      <c r="L20863" s="2">
        <v>181</v>
      </c>
    </row>
    <row r="20864" spans="1:12" x14ac:dyDescent="0.25">
      <c r="A20864" s="4" t="str">
        <f>HYPERLINK("http://www.rosaceae.org/Prunus/Prunus_persica/p.persica_gdr_reftransV1_0043123","p.persica_gdr_reftransV1_0043123")</f>
        <v>p.persica_gdr_reftransV1_0043123</v>
      </c>
      <c r="B20864" s="2">
        <v>759</v>
      </c>
      <c r="C20864" s="4" t="str">
        <f>HYPERLINK("http://www.uniprot.org/uniprot/M5W6N4","M5W6N4")</f>
        <v>M5W6N4</v>
      </c>
      <c r="D20864" s="2" t="s">
        <v>11377</v>
      </c>
      <c r="E20864" s="3">
        <v>1.5800000000000001E-150</v>
      </c>
      <c r="F20864" s="2">
        <v>1169</v>
      </c>
      <c r="G20864" s="2">
        <v>100</v>
      </c>
      <c r="H20864" s="2">
        <v>218</v>
      </c>
      <c r="I20864" s="2">
        <v>2</v>
      </c>
      <c r="J20864" s="2">
        <v>655</v>
      </c>
      <c r="K20864" s="2">
        <v>10</v>
      </c>
      <c r="L20864" s="2">
        <v>227</v>
      </c>
    </row>
    <row r="20865" spans="1:12" x14ac:dyDescent="0.25">
      <c r="A20865" s="4" t="str">
        <f>HYPERLINK("http://www.rosaceae.org/Prunus/Prunus_persica/p.persica_gdr_reftransV1_0043473","p.persica_gdr_reftransV1_0043473")</f>
        <v>p.persica_gdr_reftransV1_0043473</v>
      </c>
      <c r="B20865" s="2">
        <v>1080</v>
      </c>
      <c r="C20865" s="4" t="str">
        <f>HYPERLINK("http://www.uniprot.org/uniprot/M5XMQ0","M5XMQ0")</f>
        <v>M5XMQ0</v>
      </c>
      <c r="D20865" s="2" t="s">
        <v>3225</v>
      </c>
      <c r="E20865" s="3">
        <v>0</v>
      </c>
      <c r="F20865" s="2">
        <v>1593</v>
      </c>
      <c r="G20865" s="2">
        <v>100</v>
      </c>
      <c r="H20865" s="2">
        <v>296</v>
      </c>
      <c r="I20865" s="2">
        <v>192</v>
      </c>
      <c r="J20865" s="2">
        <v>1079</v>
      </c>
      <c r="K20865" s="2">
        <v>289</v>
      </c>
      <c r="L20865" s="2">
        <v>584</v>
      </c>
    </row>
    <row r="20866" spans="1:12" x14ac:dyDescent="0.25">
      <c r="A20866" s="4" t="str">
        <f>HYPERLINK("http://www.rosaceae.org/Prunus/Prunus_persica/p.persica_gdr_reftransV1_0043823","p.persica_gdr_reftransV1_0043823")</f>
        <v>p.persica_gdr_reftransV1_0043823</v>
      </c>
      <c r="B20866" s="2">
        <v>776</v>
      </c>
      <c r="C20866" s="4" t="str">
        <f>HYPERLINK("http://www.uniprot.org/uniprot/W9S872","W9S872")</f>
        <v>W9S872</v>
      </c>
      <c r="D20866" s="2" t="s">
        <v>1534</v>
      </c>
      <c r="E20866" s="3">
        <v>5.7899999999999999E-37</v>
      </c>
      <c r="F20866" s="2">
        <v>358</v>
      </c>
      <c r="G20866" s="2">
        <v>60</v>
      </c>
      <c r="H20866" s="2">
        <v>133</v>
      </c>
      <c r="I20866" s="2">
        <v>248</v>
      </c>
      <c r="J20866" s="2">
        <v>646</v>
      </c>
      <c r="K20866" s="2">
        <v>1</v>
      </c>
      <c r="L20866" s="2">
        <v>133</v>
      </c>
    </row>
    <row r="20867" spans="1:12" x14ac:dyDescent="0.25">
      <c r="A20867" s="4" t="str">
        <f>HYPERLINK("http://www.rosaceae.org/Prunus/Prunus_persica/p.persica_gdr_reftransV1_0044173","p.persica_gdr_reftransV1_0044173")</f>
        <v>p.persica_gdr_reftransV1_0044173</v>
      </c>
      <c r="B20867" s="2">
        <v>1024</v>
      </c>
      <c r="C20867" s="4" t="str">
        <f>HYPERLINK("http://www.uniprot.org/uniprot/M5XYV9","M5XYV9")</f>
        <v>M5XYV9</v>
      </c>
      <c r="D20867" s="2" t="s">
        <v>8079</v>
      </c>
      <c r="E20867" s="3">
        <v>1.07E-107</v>
      </c>
      <c r="F20867" s="2">
        <v>832</v>
      </c>
      <c r="G20867" s="2">
        <v>96</v>
      </c>
      <c r="H20867" s="2">
        <v>198</v>
      </c>
      <c r="I20867" s="2">
        <v>285</v>
      </c>
      <c r="J20867" s="2">
        <v>878</v>
      </c>
      <c r="K20867" s="2">
        <v>1</v>
      </c>
      <c r="L20867" s="2">
        <v>198</v>
      </c>
    </row>
    <row r="20868" spans="1:12" x14ac:dyDescent="0.25">
      <c r="A20868" s="4" t="str">
        <f>HYPERLINK("http://www.rosaceae.org/Prunus/Prunus_persica/p.persica_gdr_reftransV1_0044523","p.persica_gdr_reftransV1_0044523")</f>
        <v>p.persica_gdr_reftransV1_0044523</v>
      </c>
      <c r="B20868" s="2">
        <v>588</v>
      </c>
      <c r="C20868" s="4" t="str">
        <f>HYPERLINK("http://www.uniprot.org/uniprot/M5W6M6","M5W6M6")</f>
        <v>M5W6M6</v>
      </c>
      <c r="D20868" s="2" t="s">
        <v>15686</v>
      </c>
      <c r="E20868" s="3">
        <v>4.2800000000000002E-43</v>
      </c>
      <c r="F20868" s="2">
        <v>370</v>
      </c>
      <c r="G20868" s="2">
        <v>99</v>
      </c>
      <c r="H20868" s="2">
        <v>87</v>
      </c>
      <c r="I20868" s="2">
        <v>35</v>
      </c>
      <c r="J20868" s="2">
        <v>295</v>
      </c>
      <c r="K20868" s="2">
        <v>55</v>
      </c>
      <c r="L20868" s="2">
        <v>141</v>
      </c>
    </row>
    <row r="20869" spans="1:12" x14ac:dyDescent="0.25">
      <c r="A20869" s="4" t="str">
        <f>HYPERLINK("http://www.rosaceae.org/Prunus/Prunus_persica/p.persica_gdr_reftransV1_0044873","p.persica_gdr_reftransV1_0044873")</f>
        <v>p.persica_gdr_reftransV1_0044873</v>
      </c>
      <c r="B20869" s="2">
        <v>2557</v>
      </c>
      <c r="C20869" s="4" t="str">
        <f>HYPERLINK("http://www.uniprot.org/uniprot/M5XAR6","M5XAR6")</f>
        <v>M5XAR6</v>
      </c>
      <c r="D20869" s="2" t="s">
        <v>15687</v>
      </c>
      <c r="E20869" s="3">
        <v>0</v>
      </c>
      <c r="F20869" s="2">
        <v>2995</v>
      </c>
      <c r="G20869" s="2">
        <v>100</v>
      </c>
      <c r="H20869" s="2">
        <v>616</v>
      </c>
      <c r="I20869" s="2">
        <v>243</v>
      </c>
      <c r="J20869" s="2">
        <v>2090</v>
      </c>
      <c r="K20869" s="2">
        <v>1</v>
      </c>
      <c r="L20869" s="2">
        <v>616</v>
      </c>
    </row>
    <row r="20870" spans="1:12" x14ac:dyDescent="0.25">
      <c r="A20870" s="4" t="str">
        <f>HYPERLINK("http://www.rosaceae.org/Prunus/Prunus_persica/p.persica_gdr_reftransV1_0045573","p.persica_gdr_reftransV1_0045573")</f>
        <v>p.persica_gdr_reftransV1_0045573</v>
      </c>
      <c r="B20870" s="2">
        <v>323</v>
      </c>
      <c r="C20870" s="4" t="str">
        <f>HYPERLINK("http://www.uniprot.org/uniprot/M5XAI7","M5XAI7")</f>
        <v>M5XAI7</v>
      </c>
      <c r="D20870" s="2" t="s">
        <v>6999</v>
      </c>
      <c r="E20870" s="3">
        <v>3.5199999999999998E-59</v>
      </c>
      <c r="F20870" s="2">
        <v>505</v>
      </c>
      <c r="G20870" s="2">
        <v>100</v>
      </c>
      <c r="H20870" s="2">
        <v>94</v>
      </c>
      <c r="I20870" s="2">
        <v>2</v>
      </c>
      <c r="J20870" s="2">
        <v>283</v>
      </c>
      <c r="K20870" s="2">
        <v>6</v>
      </c>
      <c r="L20870" s="2">
        <v>99</v>
      </c>
    </row>
    <row r="20871" spans="1:12" x14ac:dyDescent="0.25">
      <c r="A20871" s="4" t="str">
        <f>HYPERLINK("http://www.rosaceae.org/Prunus/Prunus_persica/p.persica_gdr_reftransV1_0045923","p.persica_gdr_reftransV1_0045923")</f>
        <v>p.persica_gdr_reftransV1_0045923</v>
      </c>
      <c r="B20871" s="2">
        <v>1343</v>
      </c>
      <c r="C20871" s="4" t="str">
        <f>HYPERLINK("http://www.uniprot.org/uniprot/M5WAI6","M5WAI6")</f>
        <v>M5WAI6</v>
      </c>
      <c r="D20871" s="2" t="s">
        <v>15688</v>
      </c>
      <c r="E20871" s="3">
        <v>7.9900000000000002E-56</v>
      </c>
      <c r="F20871" s="2">
        <v>498</v>
      </c>
      <c r="G20871" s="2">
        <v>100</v>
      </c>
      <c r="H20871" s="2">
        <v>90</v>
      </c>
      <c r="I20871" s="2">
        <v>183</v>
      </c>
      <c r="J20871" s="2">
        <v>452</v>
      </c>
      <c r="K20871" s="2">
        <v>16</v>
      </c>
      <c r="L20871" s="2">
        <v>105</v>
      </c>
    </row>
    <row r="20872" spans="1:12" x14ac:dyDescent="0.25">
      <c r="A20872" s="4" t="str">
        <f>HYPERLINK("http://www.rosaceae.org/Prunus/Prunus_persica/p.persica_gdr_reftransV1_0046273","p.persica_gdr_reftransV1_0046273")</f>
        <v>p.persica_gdr_reftransV1_0046273</v>
      </c>
      <c r="B20872" s="2">
        <v>1493</v>
      </c>
      <c r="C20872" s="4" t="str">
        <f>HYPERLINK("http://www.uniprot.org/uniprot/M5X5C3","M5X5C3")</f>
        <v>M5X5C3</v>
      </c>
      <c r="D20872" s="2" t="s">
        <v>15689</v>
      </c>
      <c r="E20872" s="3">
        <v>0</v>
      </c>
      <c r="F20872" s="2">
        <v>2055</v>
      </c>
      <c r="G20872" s="2">
        <v>100</v>
      </c>
      <c r="H20872" s="2">
        <v>382</v>
      </c>
      <c r="I20872" s="2">
        <v>204</v>
      </c>
      <c r="J20872" s="2">
        <v>1349</v>
      </c>
      <c r="K20872" s="2">
        <v>1</v>
      </c>
      <c r="L20872" s="2">
        <v>382</v>
      </c>
    </row>
    <row r="20873" spans="1:12" x14ac:dyDescent="0.25">
      <c r="A20873" s="4" t="str">
        <f>HYPERLINK("http://www.rosaceae.org/Prunus/Prunus_persica/p.persica_gdr_reftransV1_0046623","p.persica_gdr_reftransV1_0046623")</f>
        <v>p.persica_gdr_reftransV1_0046623</v>
      </c>
      <c r="B20873" s="2">
        <v>1304</v>
      </c>
      <c r="C20873" s="4" t="str">
        <f>HYPERLINK("http://www.uniprot.org/uniprot/M5WAG0","M5WAG0")</f>
        <v>M5WAG0</v>
      </c>
      <c r="D20873" s="2" t="s">
        <v>14320</v>
      </c>
      <c r="E20873" s="3">
        <v>5.9000000000000003E-146</v>
      </c>
      <c r="F20873" s="2">
        <v>1100</v>
      </c>
      <c r="G20873" s="2">
        <v>100</v>
      </c>
      <c r="H20873" s="2">
        <v>228</v>
      </c>
      <c r="I20873" s="2">
        <v>163</v>
      </c>
      <c r="J20873" s="2">
        <v>846</v>
      </c>
      <c r="K20873" s="2">
        <v>19</v>
      </c>
      <c r="L20873" s="2">
        <v>246</v>
      </c>
    </row>
    <row r="20874" spans="1:12" x14ac:dyDescent="0.25">
      <c r="A20874" s="4" t="str">
        <f>HYPERLINK("http://www.rosaceae.org/Prunus/Prunus_persica/p.persica_gdr_reftransV1_0046973","p.persica_gdr_reftransV1_0046973")</f>
        <v>p.persica_gdr_reftransV1_0046973</v>
      </c>
      <c r="B20874" s="2">
        <v>694</v>
      </c>
      <c r="C20874" s="4" t="str">
        <f>HYPERLINK("http://www.uniprot.org/uniprot/M5WVR6","M5WVR6")</f>
        <v>M5WVR6</v>
      </c>
      <c r="D20874" s="2" t="s">
        <v>5090</v>
      </c>
      <c r="E20874" s="3">
        <v>2.6499999999999998E-82</v>
      </c>
      <c r="F20874" s="2">
        <v>646</v>
      </c>
      <c r="G20874" s="2">
        <v>100</v>
      </c>
      <c r="H20874" s="2">
        <v>123</v>
      </c>
      <c r="I20874" s="2">
        <v>44</v>
      </c>
      <c r="J20874" s="2">
        <v>412</v>
      </c>
      <c r="K20874" s="2">
        <v>1</v>
      </c>
      <c r="L20874" s="2">
        <v>123</v>
      </c>
    </row>
    <row r="20875" spans="1:12" x14ac:dyDescent="0.25">
      <c r="A20875" s="4" t="str">
        <f>HYPERLINK("http://www.rosaceae.org/Prunus/Prunus_persica/p.persica_gdr_reftransV1_0047323","p.persica_gdr_reftransV1_0047323")</f>
        <v>p.persica_gdr_reftransV1_0047323</v>
      </c>
      <c r="B20875" s="2">
        <v>1018</v>
      </c>
      <c r="C20875" s="4" t="str">
        <f>HYPERLINK("http://www.uniprot.org/uniprot/M5W0L8","M5W0L8")</f>
        <v>M5W0L8</v>
      </c>
      <c r="D20875" s="2" t="s">
        <v>4274</v>
      </c>
      <c r="E20875" s="3">
        <v>7.7299999999999999E-166</v>
      </c>
      <c r="F20875" s="2">
        <v>1223</v>
      </c>
      <c r="G20875" s="2">
        <v>100</v>
      </c>
      <c r="H20875" s="2">
        <v>255</v>
      </c>
      <c r="I20875" s="2">
        <v>194</v>
      </c>
      <c r="J20875" s="2">
        <v>958</v>
      </c>
      <c r="K20875" s="2">
        <v>18</v>
      </c>
      <c r="L20875" s="2">
        <v>272</v>
      </c>
    </row>
    <row r="20876" spans="1:12" x14ac:dyDescent="0.25">
      <c r="A20876" s="4" t="str">
        <f>HYPERLINK("http://www.rosaceae.org/Prunus/Prunus_persica/p.persica_gdr_reftransV1_0047673","p.persica_gdr_reftransV1_0047673")</f>
        <v>p.persica_gdr_reftransV1_0047673</v>
      </c>
      <c r="B20876" s="2">
        <v>6336</v>
      </c>
      <c r="C20876" s="4" t="str">
        <f>HYPERLINK("http://www.uniprot.org/uniprot/M5WBV4","M5WBV4")</f>
        <v>M5WBV4</v>
      </c>
      <c r="D20876" s="2" t="s">
        <v>15690</v>
      </c>
      <c r="E20876" s="3">
        <v>0</v>
      </c>
      <c r="F20876" s="2">
        <v>9408</v>
      </c>
      <c r="G20876" s="2">
        <v>99</v>
      </c>
      <c r="H20876" s="2">
        <v>1900</v>
      </c>
      <c r="I20876" s="2">
        <v>471</v>
      </c>
      <c r="J20876" s="2">
        <v>6170</v>
      </c>
      <c r="K20876" s="2">
        <v>1</v>
      </c>
      <c r="L20876" s="2">
        <v>1886</v>
      </c>
    </row>
    <row r="20877" spans="1:12" x14ac:dyDescent="0.25">
      <c r="A20877" s="4" t="str">
        <f>HYPERLINK("http://www.rosaceae.org/Prunus/Prunus_persica/p.persica_gdr_reftransV1_0048023","p.persica_gdr_reftransV1_0048023")</f>
        <v>p.persica_gdr_reftransV1_0048023</v>
      </c>
      <c r="B20877" s="2">
        <v>833</v>
      </c>
      <c r="C20877" s="4" t="str">
        <f>HYPERLINK("http://www.uniprot.org/uniprot/M5X2P2","M5X2P2")</f>
        <v>M5X2P2</v>
      </c>
      <c r="D20877" s="2" t="s">
        <v>15691</v>
      </c>
      <c r="E20877" s="3">
        <v>9.9600000000000002E-128</v>
      </c>
      <c r="F20877" s="2">
        <v>956</v>
      </c>
      <c r="G20877" s="2">
        <v>100</v>
      </c>
      <c r="H20877" s="2">
        <v>180</v>
      </c>
      <c r="I20877" s="2">
        <v>230</v>
      </c>
      <c r="J20877" s="2">
        <v>769</v>
      </c>
      <c r="K20877" s="2">
        <v>1</v>
      </c>
      <c r="L20877" s="2">
        <v>180</v>
      </c>
    </row>
    <row r="20878" spans="1:12" x14ac:dyDescent="0.25">
      <c r="A20878" s="4" t="str">
        <f>HYPERLINK("http://www.rosaceae.org/Prunus/Prunus_persica/p.persica_gdr_reftransV1_0048723","p.persica_gdr_reftransV1_0048723")</f>
        <v>p.persica_gdr_reftransV1_0048723</v>
      </c>
      <c r="B20878" s="2">
        <v>2692</v>
      </c>
      <c r="C20878" s="4" t="str">
        <f>HYPERLINK("http://www.uniprot.org/uniprot/M5WZS8","M5WZS8")</f>
        <v>M5WZS8</v>
      </c>
      <c r="D20878" s="2" t="s">
        <v>15692</v>
      </c>
      <c r="E20878" s="3">
        <v>0</v>
      </c>
      <c r="F20878" s="2">
        <v>3666</v>
      </c>
      <c r="G20878" s="2">
        <v>100</v>
      </c>
      <c r="H20878" s="2">
        <v>739</v>
      </c>
      <c r="I20878" s="2">
        <v>469</v>
      </c>
      <c r="J20878" s="2">
        <v>2685</v>
      </c>
      <c r="K20878" s="2">
        <v>11</v>
      </c>
      <c r="L20878" s="2">
        <v>749</v>
      </c>
    </row>
    <row r="20879" spans="1:12" x14ac:dyDescent="0.25">
      <c r="A20879" s="4" t="str">
        <f>HYPERLINK("http://www.rosaceae.org/Prunus/Prunus_persica/p.persica_gdr_reftransV1_0049073","p.persica_gdr_reftransV1_0049073")</f>
        <v>p.persica_gdr_reftransV1_0049073</v>
      </c>
      <c r="B20879" s="2">
        <v>1853</v>
      </c>
      <c r="C20879" s="4" t="str">
        <f>HYPERLINK("http://www.uniprot.org/uniprot/M5WFJ3","M5WFJ3")</f>
        <v>M5WFJ3</v>
      </c>
      <c r="D20879" s="2" t="s">
        <v>15693</v>
      </c>
      <c r="E20879" s="3">
        <v>0</v>
      </c>
      <c r="F20879" s="2">
        <v>2562</v>
      </c>
      <c r="G20879" s="2">
        <v>100</v>
      </c>
      <c r="H20879" s="2">
        <v>476</v>
      </c>
      <c r="I20879" s="2">
        <v>2</v>
      </c>
      <c r="J20879" s="2">
        <v>1429</v>
      </c>
      <c r="K20879" s="2">
        <v>168</v>
      </c>
      <c r="L20879" s="2">
        <v>643</v>
      </c>
    </row>
    <row r="20880" spans="1:12" x14ac:dyDescent="0.25">
      <c r="A20880" s="4" t="str">
        <f>HYPERLINK("http://www.rosaceae.org/Prunus/Prunus_persica/p.persica_gdr_reftransV1_0000074","p.persica_gdr_reftransV1_0000074")</f>
        <v>p.persica_gdr_reftransV1_0000074</v>
      </c>
      <c r="B20880" s="2">
        <v>2122</v>
      </c>
      <c r="C20880" s="4" t="str">
        <f>HYPERLINK("http://www.uniprot.org/uniprot/M5XBN4","M5XBN4")</f>
        <v>M5XBN4</v>
      </c>
      <c r="D20880" s="2" t="s">
        <v>10520</v>
      </c>
      <c r="E20880" s="3">
        <v>0</v>
      </c>
      <c r="F20880" s="2">
        <v>2543</v>
      </c>
      <c r="G20880" s="2">
        <v>86</v>
      </c>
      <c r="H20880" s="2">
        <v>588</v>
      </c>
      <c r="I20880" s="2">
        <v>260</v>
      </c>
      <c r="J20880" s="2">
        <v>1933</v>
      </c>
      <c r="K20880" s="2">
        <v>1</v>
      </c>
      <c r="L20880" s="2">
        <v>539</v>
      </c>
    </row>
    <row r="20881" spans="1:12" x14ac:dyDescent="0.25">
      <c r="A20881" s="4" t="str">
        <f>HYPERLINK("http://www.rosaceae.org/Prunus/Prunus_persica/p.persica_gdr_reftransV1_0000424","p.persica_gdr_reftransV1_0000424")</f>
        <v>p.persica_gdr_reftransV1_0000424</v>
      </c>
      <c r="B20881" s="2">
        <v>813</v>
      </c>
      <c r="C20881" s="4" t="str">
        <f>HYPERLINK("http://www.uniprot.org/uniprot/M5XRN5","M5XRN5")</f>
        <v>M5XRN5</v>
      </c>
      <c r="D20881" s="2" t="s">
        <v>15694</v>
      </c>
      <c r="E20881" s="3">
        <v>1.9799999999999999E-62</v>
      </c>
      <c r="F20881" s="2">
        <v>516</v>
      </c>
      <c r="G20881" s="2">
        <v>100</v>
      </c>
      <c r="H20881" s="2">
        <v>103</v>
      </c>
      <c r="I20881" s="2">
        <v>75</v>
      </c>
      <c r="J20881" s="2">
        <v>383</v>
      </c>
      <c r="K20881" s="2">
        <v>1</v>
      </c>
      <c r="L20881" s="2">
        <v>103</v>
      </c>
    </row>
    <row r="20882" spans="1:12" x14ac:dyDescent="0.25">
      <c r="A20882" s="4" t="str">
        <f>HYPERLINK("http://www.rosaceae.org/Prunus/Prunus_persica/p.persica_gdr_reftransV1_0001474","p.persica_gdr_reftransV1_0001474")</f>
        <v>p.persica_gdr_reftransV1_0001474</v>
      </c>
      <c r="B20882" s="2">
        <v>2331</v>
      </c>
      <c r="C20882" s="4" t="str">
        <f>HYPERLINK("http://www.uniprot.org/uniprot/M5VJB9","M5VJB9")</f>
        <v>M5VJB9</v>
      </c>
      <c r="D20882" s="2" t="s">
        <v>8114</v>
      </c>
      <c r="E20882" s="3">
        <v>0</v>
      </c>
      <c r="F20882" s="2">
        <v>1700</v>
      </c>
      <c r="G20882" s="2">
        <v>97</v>
      </c>
      <c r="H20882" s="2">
        <v>320</v>
      </c>
      <c r="I20882" s="2">
        <v>1179</v>
      </c>
      <c r="J20882" s="2">
        <v>2138</v>
      </c>
      <c r="K20882" s="2">
        <v>1</v>
      </c>
      <c r="L20882" s="2">
        <v>318</v>
      </c>
    </row>
    <row r="20883" spans="1:12" x14ac:dyDescent="0.25">
      <c r="A20883" s="4" t="str">
        <f>HYPERLINK("http://www.rosaceae.org/Prunus/Prunus_persica/p.persica_gdr_reftransV1_0002874","p.persica_gdr_reftransV1_0002874")</f>
        <v>p.persica_gdr_reftransV1_0002874</v>
      </c>
      <c r="B20883" s="2">
        <v>1902</v>
      </c>
      <c r="C20883" s="4" t="str">
        <f>HYPERLINK("http://www.uniprot.org/uniprot/M5WPC0","M5WPC0")</f>
        <v>M5WPC0</v>
      </c>
      <c r="D20883" s="2" t="s">
        <v>8481</v>
      </c>
      <c r="E20883" s="3">
        <v>0</v>
      </c>
      <c r="F20883" s="2">
        <v>2451</v>
      </c>
      <c r="G20883" s="2">
        <v>86</v>
      </c>
      <c r="H20883" s="2">
        <v>548</v>
      </c>
      <c r="I20883" s="2">
        <v>25</v>
      </c>
      <c r="J20883" s="2">
        <v>1665</v>
      </c>
      <c r="K20883" s="2">
        <v>1</v>
      </c>
      <c r="L20883" s="2">
        <v>548</v>
      </c>
    </row>
    <row r="20884" spans="1:12" x14ac:dyDescent="0.25">
      <c r="A20884" s="4" t="str">
        <f>HYPERLINK("http://www.rosaceae.org/Prunus/Prunus_persica/p.persica_gdr_reftransV1_0004274","p.persica_gdr_reftransV1_0004274")</f>
        <v>p.persica_gdr_reftransV1_0004274</v>
      </c>
      <c r="B20884" s="2">
        <v>301</v>
      </c>
      <c r="C20884" s="4" t="str">
        <f>HYPERLINK("http://www.uniprot.org/uniprot/M5WHD4","M5WHD4")</f>
        <v>M5WHD4</v>
      </c>
      <c r="D20884" s="2" t="s">
        <v>1873</v>
      </c>
      <c r="E20884" s="3">
        <v>1.7699999999999999E-66</v>
      </c>
      <c r="F20884" s="2">
        <v>561</v>
      </c>
      <c r="G20884" s="2">
        <v>100</v>
      </c>
      <c r="H20884" s="2">
        <v>100</v>
      </c>
      <c r="I20884" s="2">
        <v>2</v>
      </c>
      <c r="J20884" s="2">
        <v>301</v>
      </c>
      <c r="K20884" s="2">
        <v>295</v>
      </c>
      <c r="L20884" s="2">
        <v>394</v>
      </c>
    </row>
    <row r="20885" spans="1:12" x14ac:dyDescent="0.25">
      <c r="A20885" s="4" t="str">
        <f>HYPERLINK("http://www.rosaceae.org/Prunus/Prunus_persica/p.persica_gdr_reftransV1_0004974","p.persica_gdr_reftransV1_0004974")</f>
        <v>p.persica_gdr_reftransV1_0004974</v>
      </c>
      <c r="B20885" s="2">
        <v>2009</v>
      </c>
      <c r="C20885" s="4" t="str">
        <f>HYPERLINK("http://www.uniprot.org/uniprot/M5XLH7","M5XLH7")</f>
        <v>M5XLH7</v>
      </c>
      <c r="D20885" s="2" t="s">
        <v>15695</v>
      </c>
      <c r="E20885" s="3">
        <v>0</v>
      </c>
      <c r="F20885" s="2">
        <v>2478</v>
      </c>
      <c r="G20885" s="2">
        <v>100</v>
      </c>
      <c r="H20885" s="2">
        <v>541</v>
      </c>
      <c r="I20885" s="2">
        <v>101</v>
      </c>
      <c r="J20885" s="2">
        <v>1723</v>
      </c>
      <c r="K20885" s="2">
        <v>118</v>
      </c>
      <c r="L20885" s="2">
        <v>658</v>
      </c>
    </row>
    <row r="20886" spans="1:12" x14ac:dyDescent="0.25">
      <c r="A20886" s="4" t="str">
        <f>HYPERLINK("http://www.rosaceae.org/Prunus/Prunus_persica/p.persica_gdr_reftransV1_0005674","p.persica_gdr_reftransV1_0005674")</f>
        <v>p.persica_gdr_reftransV1_0005674</v>
      </c>
      <c r="B20886" s="2">
        <v>753</v>
      </c>
      <c r="C20886" s="4" t="str">
        <f>HYPERLINK("http://www.uniprot.org/uniprot/M5Y1C7","M5Y1C7")</f>
        <v>M5Y1C7</v>
      </c>
      <c r="D20886" s="2" t="s">
        <v>9523</v>
      </c>
      <c r="E20886" s="3">
        <v>9.9500000000000005E-161</v>
      </c>
      <c r="F20886" s="2">
        <v>1179</v>
      </c>
      <c r="G20886" s="2">
        <v>100</v>
      </c>
      <c r="H20886" s="2">
        <v>222</v>
      </c>
      <c r="I20886" s="2">
        <v>1</v>
      </c>
      <c r="J20886" s="2">
        <v>666</v>
      </c>
      <c r="K20886" s="2">
        <v>1</v>
      </c>
      <c r="L20886" s="2">
        <v>222</v>
      </c>
    </row>
    <row r="20887" spans="1:12" x14ac:dyDescent="0.25">
      <c r="A20887" s="4" t="str">
        <f>HYPERLINK("http://www.rosaceae.org/Prunus/Prunus_persica/p.persica_gdr_reftransV1_0006024","p.persica_gdr_reftransV1_0006024")</f>
        <v>p.persica_gdr_reftransV1_0006024</v>
      </c>
      <c r="B20887" s="2">
        <v>2067</v>
      </c>
      <c r="C20887" s="4" t="str">
        <f>HYPERLINK("http://www.uniprot.org/uniprot/M5WCT4","M5WCT4")</f>
        <v>M5WCT4</v>
      </c>
      <c r="D20887" s="2" t="s">
        <v>3778</v>
      </c>
      <c r="E20887" s="3">
        <v>0</v>
      </c>
      <c r="F20887" s="2">
        <v>1915</v>
      </c>
      <c r="G20887" s="2">
        <v>86</v>
      </c>
      <c r="H20887" s="2">
        <v>463</v>
      </c>
      <c r="I20887" s="2">
        <v>3</v>
      </c>
      <c r="J20887" s="2">
        <v>1391</v>
      </c>
      <c r="K20887" s="2">
        <v>591</v>
      </c>
      <c r="L20887" s="2">
        <v>1016</v>
      </c>
    </row>
    <row r="20888" spans="1:12" x14ac:dyDescent="0.25">
      <c r="A20888" s="4" t="str">
        <f>HYPERLINK("http://www.rosaceae.org/Prunus/Prunus_persica/p.persica_gdr_reftransV1_0007074","p.persica_gdr_reftransV1_0007074")</f>
        <v>p.persica_gdr_reftransV1_0007074</v>
      </c>
      <c r="B20888" s="2">
        <v>676</v>
      </c>
      <c r="C20888" s="4" t="str">
        <f>HYPERLINK("http://www.uniprot.org/uniprot/M5W1J0","M5W1J0")</f>
        <v>M5W1J0</v>
      </c>
      <c r="D20888" s="2" t="s">
        <v>15696</v>
      </c>
      <c r="E20888" s="3">
        <v>2.4800000000000001E-116</v>
      </c>
      <c r="F20888" s="2">
        <v>879</v>
      </c>
      <c r="G20888" s="2">
        <v>100</v>
      </c>
      <c r="H20888" s="2">
        <v>193</v>
      </c>
      <c r="I20888" s="2">
        <v>96</v>
      </c>
      <c r="J20888" s="2">
        <v>674</v>
      </c>
      <c r="K20888" s="2">
        <v>1</v>
      </c>
      <c r="L20888" s="2">
        <v>193</v>
      </c>
    </row>
    <row r="20889" spans="1:12" x14ac:dyDescent="0.25">
      <c r="A20889" s="4" t="str">
        <f>HYPERLINK("http://www.rosaceae.org/Prunus/Prunus_persica/p.persica_gdr_reftransV1_0007424","p.persica_gdr_reftransV1_0007424")</f>
        <v>p.persica_gdr_reftransV1_0007424</v>
      </c>
      <c r="B20889" s="2">
        <v>3129</v>
      </c>
      <c r="C20889" s="4" t="str">
        <f>HYPERLINK("http://www.uniprot.org/uniprot/M5WYQ1","M5WYQ1")</f>
        <v>M5WYQ1</v>
      </c>
      <c r="D20889" s="2" t="s">
        <v>15697</v>
      </c>
      <c r="E20889" s="3">
        <v>0</v>
      </c>
      <c r="F20889" s="2">
        <v>2268</v>
      </c>
      <c r="G20889" s="2">
        <v>100</v>
      </c>
      <c r="H20889" s="2">
        <v>435</v>
      </c>
      <c r="I20889" s="2">
        <v>1197</v>
      </c>
      <c r="J20889" s="2">
        <v>2501</v>
      </c>
      <c r="K20889" s="2">
        <v>1</v>
      </c>
      <c r="L20889" s="2">
        <v>435</v>
      </c>
    </row>
    <row r="20890" spans="1:12" x14ac:dyDescent="0.25">
      <c r="A20890" s="4" t="str">
        <f>HYPERLINK("http://www.rosaceae.org/Prunus/Prunus_persica/p.persica_gdr_reftransV1_0007774","p.persica_gdr_reftransV1_0007774")</f>
        <v>p.persica_gdr_reftransV1_0007774</v>
      </c>
      <c r="B20890" s="2">
        <v>396</v>
      </c>
      <c r="C20890" s="4" t="str">
        <f>HYPERLINK("http://www.uniprot.org/uniprot/M5WAN5","M5WAN5")</f>
        <v>M5WAN5</v>
      </c>
      <c r="D20890" s="2" t="s">
        <v>2145</v>
      </c>
      <c r="E20890" s="3">
        <v>3.3900000000000002E-56</v>
      </c>
      <c r="F20890" s="2">
        <v>486</v>
      </c>
      <c r="G20890" s="2">
        <v>97</v>
      </c>
      <c r="H20890" s="2">
        <v>97</v>
      </c>
      <c r="I20890" s="2">
        <v>1</v>
      </c>
      <c r="J20890" s="2">
        <v>291</v>
      </c>
      <c r="K20890" s="2">
        <v>12</v>
      </c>
      <c r="L20890" s="2">
        <v>108</v>
      </c>
    </row>
    <row r="20891" spans="1:12" x14ac:dyDescent="0.25">
      <c r="A20891" s="4" t="str">
        <f>HYPERLINK("http://www.rosaceae.org/Prunus/Prunus_persica/p.persica_gdr_reftransV1_0010574","p.persica_gdr_reftransV1_0010574")</f>
        <v>p.persica_gdr_reftransV1_0010574</v>
      </c>
      <c r="B20891" s="2">
        <v>717</v>
      </c>
      <c r="C20891" s="4" t="str">
        <f>HYPERLINK("http://www.uniprot.org/uniprot/M5VK87","M5VK87")</f>
        <v>M5VK87</v>
      </c>
      <c r="D20891" s="2" t="s">
        <v>15698</v>
      </c>
      <c r="E20891" s="3">
        <v>6.0199999999999996E-8</v>
      </c>
      <c r="F20891" s="2">
        <v>145</v>
      </c>
      <c r="G20891" s="2">
        <v>71</v>
      </c>
      <c r="H20891" s="2">
        <v>41</v>
      </c>
      <c r="I20891" s="2">
        <v>228</v>
      </c>
      <c r="J20891" s="2">
        <v>350</v>
      </c>
      <c r="K20891" s="2">
        <v>187</v>
      </c>
      <c r="L20891" s="2">
        <v>227</v>
      </c>
    </row>
    <row r="20892" spans="1:12" x14ac:dyDescent="0.25">
      <c r="A20892" s="4" t="str">
        <f>HYPERLINK("http://www.rosaceae.org/Prunus/Prunus_persica/p.persica_gdr_reftransV1_0010924","p.persica_gdr_reftransV1_0010924")</f>
        <v>p.persica_gdr_reftransV1_0010924</v>
      </c>
      <c r="B20892" s="2">
        <v>2264</v>
      </c>
      <c r="C20892" s="4" t="str">
        <f>HYPERLINK("http://www.uniprot.org/uniprot/M5XVM9","M5XVM9")</f>
        <v>M5XVM9</v>
      </c>
      <c r="D20892" s="2" t="s">
        <v>8497</v>
      </c>
      <c r="E20892" s="3">
        <v>1.5599999999999999E-172</v>
      </c>
      <c r="F20892" s="2">
        <v>1343</v>
      </c>
      <c r="G20892" s="2">
        <v>100</v>
      </c>
      <c r="H20892" s="2">
        <v>456</v>
      </c>
      <c r="I20892" s="2">
        <v>896</v>
      </c>
      <c r="J20892" s="2">
        <v>2263</v>
      </c>
      <c r="K20892" s="2">
        <v>153</v>
      </c>
      <c r="L20892" s="2">
        <v>608</v>
      </c>
    </row>
    <row r="20893" spans="1:12" x14ac:dyDescent="0.25">
      <c r="A20893" s="4" t="str">
        <f>HYPERLINK("http://www.rosaceae.org/Prunus/Prunus_persica/p.persica_gdr_reftransV1_0011274","p.persica_gdr_reftransV1_0011274")</f>
        <v>p.persica_gdr_reftransV1_0011274</v>
      </c>
      <c r="B20893" s="2">
        <v>1088</v>
      </c>
      <c r="C20893" s="4" t="str">
        <f>HYPERLINK("http://www.uniprot.org/uniprot/M5W8K9","M5W8K9")</f>
        <v>M5W8K9</v>
      </c>
      <c r="D20893" s="2" t="s">
        <v>15699</v>
      </c>
      <c r="E20893" s="3">
        <v>2.1E-109</v>
      </c>
      <c r="F20893" s="2">
        <v>842</v>
      </c>
      <c r="G20893" s="2">
        <v>100</v>
      </c>
      <c r="H20893" s="2">
        <v>158</v>
      </c>
      <c r="I20893" s="2">
        <v>291</v>
      </c>
      <c r="J20893" s="2">
        <v>764</v>
      </c>
      <c r="K20893" s="2">
        <v>1</v>
      </c>
      <c r="L20893" s="2">
        <v>158</v>
      </c>
    </row>
    <row r="20894" spans="1:12" x14ac:dyDescent="0.25">
      <c r="A20894" s="4" t="str">
        <f>HYPERLINK("http://www.rosaceae.org/Prunus/Prunus_persica/p.persica_gdr_reftransV1_0011624","p.persica_gdr_reftransV1_0011624")</f>
        <v>p.persica_gdr_reftransV1_0011624</v>
      </c>
      <c r="B20894" s="2">
        <v>1507</v>
      </c>
      <c r="C20894" s="4" t="str">
        <f>HYPERLINK("http://www.uniprot.org/uniprot/M5WTL0","M5WTL0")</f>
        <v>M5WTL0</v>
      </c>
      <c r="D20894" s="2" t="s">
        <v>15700</v>
      </c>
      <c r="E20894" s="3">
        <v>0</v>
      </c>
      <c r="F20894" s="2">
        <v>1696</v>
      </c>
      <c r="G20894" s="2">
        <v>100</v>
      </c>
      <c r="H20894" s="2">
        <v>364</v>
      </c>
      <c r="I20894" s="2">
        <v>322</v>
      </c>
      <c r="J20894" s="2">
        <v>1413</v>
      </c>
      <c r="K20894" s="2">
        <v>11</v>
      </c>
      <c r="L20894" s="2">
        <v>374</v>
      </c>
    </row>
    <row r="20895" spans="1:12" x14ac:dyDescent="0.25">
      <c r="A20895" s="4" t="str">
        <f>HYPERLINK("http://www.rosaceae.org/Prunus/Prunus_persica/p.persica_gdr_reftransV1_0013374","p.persica_gdr_reftransV1_0013374")</f>
        <v>p.persica_gdr_reftransV1_0013374</v>
      </c>
      <c r="B20895" s="2">
        <v>2633</v>
      </c>
      <c r="C20895" s="4" t="str">
        <f>HYPERLINK("http://www.uniprot.org/uniprot/A0A067JYS0","A0A067JYS0")</f>
        <v>A0A067JYS0</v>
      </c>
      <c r="D20895" s="2" t="s">
        <v>15701</v>
      </c>
      <c r="E20895" s="3">
        <v>0</v>
      </c>
      <c r="F20895" s="2">
        <v>1738</v>
      </c>
      <c r="G20895" s="2">
        <v>54</v>
      </c>
      <c r="H20895" s="2">
        <v>657</v>
      </c>
      <c r="I20895" s="2">
        <v>510</v>
      </c>
      <c r="J20895" s="2">
        <v>2441</v>
      </c>
      <c r="K20895" s="2">
        <v>147</v>
      </c>
      <c r="L20895" s="2">
        <v>797</v>
      </c>
    </row>
    <row r="20896" spans="1:12" x14ac:dyDescent="0.25">
      <c r="A20896" s="4" t="str">
        <f>HYPERLINK("http://www.rosaceae.org/Prunus/Prunus_persica/p.persica_gdr_reftransV1_0013724","p.persica_gdr_reftransV1_0013724")</f>
        <v>p.persica_gdr_reftransV1_0013724</v>
      </c>
      <c r="B20896" s="2">
        <v>1102</v>
      </c>
      <c r="C20896" s="4" t="str">
        <f>HYPERLINK("http://www.uniprot.org/uniprot/M5W386","M5W386")</f>
        <v>M5W386</v>
      </c>
      <c r="D20896" s="2" t="s">
        <v>15702</v>
      </c>
      <c r="E20896" s="3">
        <v>7.3900000000000005E-110</v>
      </c>
      <c r="F20896" s="2">
        <v>847</v>
      </c>
      <c r="G20896" s="2">
        <v>100</v>
      </c>
      <c r="H20896" s="2">
        <v>181</v>
      </c>
      <c r="I20896" s="2">
        <v>408</v>
      </c>
      <c r="J20896" s="2">
        <v>950</v>
      </c>
      <c r="K20896" s="2">
        <v>1</v>
      </c>
      <c r="L20896" s="2">
        <v>181</v>
      </c>
    </row>
    <row r="20897" spans="1:12" x14ac:dyDescent="0.25">
      <c r="A20897" s="4" t="str">
        <f>HYPERLINK("http://www.rosaceae.org/Prunus/Prunus_persica/p.persica_gdr_reftransV1_0014074","p.persica_gdr_reftransV1_0014074")</f>
        <v>p.persica_gdr_reftransV1_0014074</v>
      </c>
      <c r="B20897" s="2">
        <v>917</v>
      </c>
      <c r="C20897" s="4" t="str">
        <f>HYPERLINK("http://www.uniprot.org/uniprot/M5WGY4","M5WGY4")</f>
        <v>M5WGY4</v>
      </c>
      <c r="D20897" s="2" t="s">
        <v>1570</v>
      </c>
      <c r="E20897" s="3">
        <v>5.2199999999999998E-143</v>
      </c>
      <c r="F20897" s="2">
        <v>1121</v>
      </c>
      <c r="G20897" s="2">
        <v>100</v>
      </c>
      <c r="H20897" s="2">
        <v>247</v>
      </c>
      <c r="I20897" s="2">
        <v>3</v>
      </c>
      <c r="J20897" s="2">
        <v>743</v>
      </c>
      <c r="K20897" s="2">
        <v>1</v>
      </c>
      <c r="L20897" s="2">
        <v>247</v>
      </c>
    </row>
    <row r="20898" spans="1:12" x14ac:dyDescent="0.25">
      <c r="A20898" s="4" t="str">
        <f>HYPERLINK("http://www.rosaceae.org/Prunus/Prunus_persica/p.persica_gdr_reftransV1_0014774","p.persica_gdr_reftransV1_0014774")</f>
        <v>p.persica_gdr_reftransV1_0014774</v>
      </c>
      <c r="B20898" s="2">
        <v>740</v>
      </c>
      <c r="C20898" s="4" t="str">
        <f>HYPERLINK("http://www.uniprot.org/uniprot/D7T2W9","D7T2W9")</f>
        <v>D7T2W9</v>
      </c>
      <c r="D20898" s="2" t="s">
        <v>15703</v>
      </c>
      <c r="E20898" s="3">
        <v>3.2399999999999998E-60</v>
      </c>
      <c r="F20898" s="2">
        <v>527</v>
      </c>
      <c r="G20898" s="2">
        <v>59</v>
      </c>
      <c r="H20898" s="2">
        <v>186</v>
      </c>
      <c r="I20898" s="2">
        <v>215</v>
      </c>
      <c r="J20898" s="2">
        <v>736</v>
      </c>
      <c r="K20898" s="2">
        <v>1</v>
      </c>
      <c r="L20898" s="2">
        <v>186</v>
      </c>
    </row>
    <row r="20899" spans="1:12" x14ac:dyDescent="0.25">
      <c r="A20899" s="4" t="str">
        <f>HYPERLINK("http://www.rosaceae.org/Prunus/Prunus_persica/p.persica_gdr_reftransV1_0015124","p.persica_gdr_reftransV1_0015124")</f>
        <v>p.persica_gdr_reftransV1_0015124</v>
      </c>
      <c r="B20899" s="2">
        <v>1134</v>
      </c>
      <c r="C20899" s="4" t="str">
        <f>HYPERLINK("http://www.uniprot.org/uniprot/M5WIW3","M5WIW3")</f>
        <v>M5WIW3</v>
      </c>
      <c r="D20899" s="2" t="s">
        <v>15704</v>
      </c>
      <c r="E20899" s="3">
        <v>0</v>
      </c>
      <c r="F20899" s="2">
        <v>1689</v>
      </c>
      <c r="G20899" s="2">
        <v>100</v>
      </c>
      <c r="H20899" s="2">
        <v>339</v>
      </c>
      <c r="I20899" s="2">
        <v>3</v>
      </c>
      <c r="J20899" s="2">
        <v>1019</v>
      </c>
      <c r="K20899" s="2">
        <v>150</v>
      </c>
      <c r="L20899" s="2">
        <v>488</v>
      </c>
    </row>
    <row r="20900" spans="1:12" x14ac:dyDescent="0.25">
      <c r="A20900" s="4" t="str">
        <f>HYPERLINK("http://www.rosaceae.org/Prunus/Prunus_persica/p.persica_gdr_reftransV1_0015824","p.persica_gdr_reftransV1_0015824")</f>
        <v>p.persica_gdr_reftransV1_0015824</v>
      </c>
      <c r="B20900" s="2">
        <v>1029</v>
      </c>
      <c r="C20900" s="4" t="str">
        <f>HYPERLINK("http://www.uniprot.org/uniprot/M5XMC6","M5XMC6")</f>
        <v>M5XMC6</v>
      </c>
      <c r="D20900" s="2" t="s">
        <v>15705</v>
      </c>
      <c r="E20900" s="3">
        <v>9.6999999999999996E-46</v>
      </c>
      <c r="F20900" s="2">
        <v>412</v>
      </c>
      <c r="G20900" s="2">
        <v>100</v>
      </c>
      <c r="H20900" s="2">
        <v>115</v>
      </c>
      <c r="I20900" s="2">
        <v>259</v>
      </c>
      <c r="J20900" s="2">
        <v>603</v>
      </c>
      <c r="K20900" s="2">
        <v>1</v>
      </c>
      <c r="L20900" s="2">
        <v>115</v>
      </c>
    </row>
    <row r="20901" spans="1:12" x14ac:dyDescent="0.25">
      <c r="A20901" s="4" t="str">
        <f>HYPERLINK("http://www.rosaceae.org/Prunus/Prunus_persica/p.persica_gdr_reftransV1_0016874","p.persica_gdr_reftransV1_0016874")</f>
        <v>p.persica_gdr_reftransV1_0016874</v>
      </c>
      <c r="B20901" s="2">
        <v>1059</v>
      </c>
      <c r="C20901" s="4" t="str">
        <f>HYPERLINK("http://www.uniprot.org/uniprot/M5VUI7","M5VUI7")</f>
        <v>M5VUI7</v>
      </c>
      <c r="D20901" s="2" t="s">
        <v>32</v>
      </c>
      <c r="E20901" s="3">
        <v>0</v>
      </c>
      <c r="F20901" s="2">
        <v>1630</v>
      </c>
      <c r="G20901" s="2">
        <v>94</v>
      </c>
      <c r="H20901" s="2">
        <v>352</v>
      </c>
      <c r="I20901" s="2">
        <v>2</v>
      </c>
      <c r="J20901" s="2">
        <v>1057</v>
      </c>
      <c r="K20901" s="2">
        <v>108</v>
      </c>
      <c r="L20901" s="2">
        <v>438</v>
      </c>
    </row>
    <row r="20902" spans="1:12" x14ac:dyDescent="0.25">
      <c r="A20902" s="4" t="str">
        <f>HYPERLINK("http://www.rosaceae.org/Prunus/Prunus_persica/p.persica_gdr_reftransV1_0017574","p.persica_gdr_reftransV1_0017574")</f>
        <v>p.persica_gdr_reftransV1_0017574</v>
      </c>
      <c r="B20902" s="2">
        <v>2872</v>
      </c>
      <c r="C20902" s="4" t="str">
        <f>HYPERLINK("http://www.uniprot.org/uniprot/M5XM29","M5XM29")</f>
        <v>M5XM29</v>
      </c>
      <c r="D20902" s="2" t="s">
        <v>15706</v>
      </c>
      <c r="E20902" s="3">
        <v>0</v>
      </c>
      <c r="F20902" s="2">
        <v>4255</v>
      </c>
      <c r="G20902" s="2">
        <v>100</v>
      </c>
      <c r="H20902" s="2">
        <v>839</v>
      </c>
      <c r="I20902" s="2">
        <v>151</v>
      </c>
      <c r="J20902" s="2">
        <v>2667</v>
      </c>
      <c r="K20902" s="2">
        <v>1</v>
      </c>
      <c r="L20902" s="2">
        <v>839</v>
      </c>
    </row>
    <row r="20903" spans="1:12" x14ac:dyDescent="0.25">
      <c r="A20903" s="4" t="str">
        <f>HYPERLINK("http://www.rosaceae.org/Prunus/Prunus_persica/p.persica_gdr_reftransV1_0018624","p.persica_gdr_reftransV1_0018624")</f>
        <v>p.persica_gdr_reftransV1_0018624</v>
      </c>
      <c r="B20903" s="2">
        <v>2141</v>
      </c>
      <c r="C20903" s="4" t="str">
        <f>HYPERLINK("http://www.uniprot.org/uniprot/M5XBK5","M5XBK5")</f>
        <v>M5XBK5</v>
      </c>
      <c r="D20903" s="2" t="s">
        <v>15707</v>
      </c>
      <c r="E20903" s="3">
        <v>0</v>
      </c>
      <c r="F20903" s="2">
        <v>1775</v>
      </c>
      <c r="G20903" s="2">
        <v>100</v>
      </c>
      <c r="H20903" s="2">
        <v>350</v>
      </c>
      <c r="I20903" s="2">
        <v>643</v>
      </c>
      <c r="J20903" s="2">
        <v>1692</v>
      </c>
      <c r="K20903" s="2">
        <v>1</v>
      </c>
      <c r="L20903" s="2">
        <v>350</v>
      </c>
    </row>
    <row r="20904" spans="1:12" x14ac:dyDescent="0.25">
      <c r="A20904" s="4" t="str">
        <f>HYPERLINK("http://www.rosaceae.org/Prunus/Prunus_persica/p.persica_gdr_reftransV1_0020374","p.persica_gdr_reftransV1_0020374")</f>
        <v>p.persica_gdr_reftransV1_0020374</v>
      </c>
      <c r="B20904" s="2">
        <v>822</v>
      </c>
      <c r="C20904" s="4" t="str">
        <f>HYPERLINK("http://www.uniprot.org/uniprot/M5WFC9","M5WFC9")</f>
        <v>M5WFC9</v>
      </c>
      <c r="D20904" s="2" t="s">
        <v>12805</v>
      </c>
      <c r="E20904" s="3">
        <v>2.2899999999999998E-139</v>
      </c>
      <c r="F20904" s="2">
        <v>1088</v>
      </c>
      <c r="G20904" s="2">
        <v>100</v>
      </c>
      <c r="H20904" s="2">
        <v>212</v>
      </c>
      <c r="I20904" s="2">
        <v>187</v>
      </c>
      <c r="J20904" s="2">
        <v>822</v>
      </c>
      <c r="K20904" s="2">
        <v>584</v>
      </c>
      <c r="L20904" s="2">
        <v>795</v>
      </c>
    </row>
    <row r="20905" spans="1:12" x14ac:dyDescent="0.25">
      <c r="A20905" s="4" t="str">
        <f>HYPERLINK("http://www.rosaceae.org/Prunus/Prunus_persica/p.persica_gdr_reftransV1_0021774","p.persica_gdr_reftransV1_0021774")</f>
        <v>p.persica_gdr_reftransV1_0021774</v>
      </c>
      <c r="B20905" s="2">
        <v>1307</v>
      </c>
      <c r="C20905" s="4" t="str">
        <f>HYPERLINK("http://www.uniprot.org/uniprot/M5WH12","M5WH12")</f>
        <v>M5WH12</v>
      </c>
      <c r="D20905" s="2" t="s">
        <v>15708</v>
      </c>
      <c r="E20905" s="3">
        <v>2.5800000000000001E-84</v>
      </c>
      <c r="F20905" s="2">
        <v>691</v>
      </c>
      <c r="G20905" s="2">
        <v>79</v>
      </c>
      <c r="H20905" s="2">
        <v>200</v>
      </c>
      <c r="I20905" s="2">
        <v>3</v>
      </c>
      <c r="J20905" s="2">
        <v>575</v>
      </c>
      <c r="K20905" s="2">
        <v>12</v>
      </c>
      <c r="L20905" s="2">
        <v>210</v>
      </c>
    </row>
    <row r="20906" spans="1:12" x14ac:dyDescent="0.25">
      <c r="A20906" s="4" t="str">
        <f>HYPERLINK("http://www.rosaceae.org/Prunus/Prunus_persica/p.persica_gdr_reftransV1_0022124","p.persica_gdr_reftransV1_0022124")</f>
        <v>p.persica_gdr_reftransV1_0022124</v>
      </c>
      <c r="B20906" s="2">
        <v>1357</v>
      </c>
      <c r="C20906" s="4" t="str">
        <f>HYPERLINK("http://www.uniprot.org/uniprot/M5WNG1","M5WNG1")</f>
        <v>M5WNG1</v>
      </c>
      <c r="D20906" s="2" t="s">
        <v>11159</v>
      </c>
      <c r="E20906" s="3">
        <v>1.32E-46</v>
      </c>
      <c r="F20906" s="2">
        <v>432</v>
      </c>
      <c r="G20906" s="2">
        <v>98</v>
      </c>
      <c r="H20906" s="2">
        <v>87</v>
      </c>
      <c r="I20906" s="2">
        <v>1050</v>
      </c>
      <c r="J20906" s="2">
        <v>1310</v>
      </c>
      <c r="K20906" s="2">
        <v>77</v>
      </c>
      <c r="L20906" s="2">
        <v>163</v>
      </c>
    </row>
    <row r="20907" spans="1:12" x14ac:dyDescent="0.25">
      <c r="A20907" s="4" t="str">
        <f>HYPERLINK("http://www.rosaceae.org/Prunus/Prunus_persica/p.persica_gdr_reftransV1_0022474","p.persica_gdr_reftransV1_0022474")</f>
        <v>p.persica_gdr_reftransV1_0022474</v>
      </c>
      <c r="B20907" s="2">
        <v>2455</v>
      </c>
      <c r="C20907" s="4" t="str">
        <f>HYPERLINK("http://www.uniprot.org/uniprot/M5VPX1","M5VPX1")</f>
        <v>M5VPX1</v>
      </c>
      <c r="D20907" s="2" t="s">
        <v>15709</v>
      </c>
      <c r="E20907" s="3">
        <v>0</v>
      </c>
      <c r="F20907" s="2">
        <v>1946</v>
      </c>
      <c r="G20907" s="2">
        <v>100</v>
      </c>
      <c r="H20907" s="2">
        <v>384</v>
      </c>
      <c r="I20907" s="2">
        <v>758</v>
      </c>
      <c r="J20907" s="2">
        <v>1909</v>
      </c>
      <c r="K20907" s="2">
        <v>1</v>
      </c>
      <c r="L20907" s="2">
        <v>384</v>
      </c>
    </row>
    <row r="20908" spans="1:12" x14ac:dyDescent="0.25">
      <c r="A20908" s="4" t="str">
        <f>HYPERLINK("http://www.rosaceae.org/Prunus/Prunus_persica/p.persica_gdr_reftransV1_0023524","p.persica_gdr_reftransV1_0023524")</f>
        <v>p.persica_gdr_reftransV1_0023524</v>
      </c>
      <c r="B20908" s="2">
        <v>3122</v>
      </c>
      <c r="C20908" s="4" t="str">
        <f>HYPERLINK("http://www.uniprot.org/uniprot/M5VPF5","M5VPF5")</f>
        <v>M5VPF5</v>
      </c>
      <c r="D20908" s="2" t="s">
        <v>15710</v>
      </c>
      <c r="E20908" s="3">
        <v>0</v>
      </c>
      <c r="F20908" s="2">
        <v>3087</v>
      </c>
      <c r="G20908" s="2">
        <v>99</v>
      </c>
      <c r="H20908" s="2">
        <v>622</v>
      </c>
      <c r="I20908" s="2">
        <v>170</v>
      </c>
      <c r="J20908" s="2">
        <v>2035</v>
      </c>
      <c r="K20908" s="2">
        <v>1</v>
      </c>
      <c r="L20908" s="2">
        <v>622</v>
      </c>
    </row>
    <row r="20909" spans="1:12" x14ac:dyDescent="0.25">
      <c r="A20909" s="4" t="str">
        <f>HYPERLINK("http://www.rosaceae.org/Prunus/Prunus_persica/p.persica_gdr_reftransV1_0025974","p.persica_gdr_reftransV1_0025974")</f>
        <v>p.persica_gdr_reftransV1_0025974</v>
      </c>
      <c r="B20909" s="2">
        <v>2145</v>
      </c>
      <c r="C20909" s="4" t="str">
        <f>HYPERLINK("http://www.uniprot.org/uniprot/M5X8Q5","M5X8Q5")</f>
        <v>M5X8Q5</v>
      </c>
      <c r="D20909" s="2" t="s">
        <v>15711</v>
      </c>
      <c r="E20909" s="3">
        <v>5.2799999999999998E-108</v>
      </c>
      <c r="F20909" s="2">
        <v>904</v>
      </c>
      <c r="G20909" s="2">
        <v>64</v>
      </c>
      <c r="H20909" s="2">
        <v>317</v>
      </c>
      <c r="I20909" s="2">
        <v>148</v>
      </c>
      <c r="J20909" s="2">
        <v>1092</v>
      </c>
      <c r="K20909" s="2">
        <v>220</v>
      </c>
      <c r="L20909" s="2">
        <v>536</v>
      </c>
    </row>
    <row r="20910" spans="1:12" x14ac:dyDescent="0.25">
      <c r="A20910" s="4" t="str">
        <f>HYPERLINK("http://www.rosaceae.org/Prunus/Prunus_persica/p.persica_gdr_reftransV1_0027024","p.persica_gdr_reftransV1_0027024")</f>
        <v>p.persica_gdr_reftransV1_0027024</v>
      </c>
      <c r="B20910" s="2">
        <v>470</v>
      </c>
      <c r="C20910" s="4" t="str">
        <f>HYPERLINK("http://www.uniprot.org/uniprot/M5XPL0","M5XPL0")</f>
        <v>M5XPL0</v>
      </c>
      <c r="D20910" s="2" t="s">
        <v>15712</v>
      </c>
      <c r="E20910" s="3">
        <v>4.0100000000000002E-105</v>
      </c>
      <c r="F20910" s="2">
        <v>830</v>
      </c>
      <c r="G20910" s="2">
        <v>100</v>
      </c>
      <c r="H20910" s="2">
        <v>156</v>
      </c>
      <c r="I20910" s="2">
        <v>1</v>
      </c>
      <c r="J20910" s="2">
        <v>468</v>
      </c>
      <c r="K20910" s="2">
        <v>104</v>
      </c>
      <c r="L20910" s="2">
        <v>259</v>
      </c>
    </row>
    <row r="20911" spans="1:12" x14ac:dyDescent="0.25">
      <c r="A20911" s="4" t="str">
        <f>HYPERLINK("http://www.rosaceae.org/Prunus/Prunus_persica/p.persica_gdr_reftransV1_0027374","p.persica_gdr_reftransV1_0027374")</f>
        <v>p.persica_gdr_reftransV1_0027374</v>
      </c>
      <c r="B20911" s="2">
        <v>908</v>
      </c>
      <c r="C20911" s="4" t="str">
        <f>HYPERLINK("http://www.uniprot.org/uniprot/M5WIR1","M5WIR1")</f>
        <v>M5WIR1</v>
      </c>
      <c r="D20911" s="2" t="s">
        <v>15713</v>
      </c>
      <c r="E20911" s="3">
        <v>7.8600000000000001E-172</v>
      </c>
      <c r="F20911" s="2">
        <v>1295</v>
      </c>
      <c r="G20911" s="2">
        <v>100</v>
      </c>
      <c r="H20911" s="2">
        <v>248</v>
      </c>
      <c r="I20911" s="2">
        <v>3</v>
      </c>
      <c r="J20911" s="2">
        <v>746</v>
      </c>
      <c r="K20911" s="2">
        <v>21</v>
      </c>
      <c r="L20911" s="2">
        <v>268</v>
      </c>
    </row>
    <row r="20912" spans="1:12" x14ac:dyDescent="0.25">
      <c r="A20912" s="4" t="str">
        <f>HYPERLINK("http://www.rosaceae.org/Prunus/Prunus_persica/p.persica_gdr_reftransV1_0029474","p.persica_gdr_reftransV1_0029474")</f>
        <v>p.persica_gdr_reftransV1_0029474</v>
      </c>
      <c r="B20912" s="2">
        <v>1607</v>
      </c>
      <c r="C20912" s="4" t="str">
        <f>HYPERLINK("http://www.uniprot.org/uniprot/W9SGU8","W9SGU8")</f>
        <v>W9SGU8</v>
      </c>
      <c r="D20912" s="2" t="s">
        <v>15714</v>
      </c>
      <c r="E20912" s="3">
        <v>3.15E-145</v>
      </c>
      <c r="F20912" s="2">
        <v>1112</v>
      </c>
      <c r="G20912" s="2">
        <v>80</v>
      </c>
      <c r="H20912" s="2">
        <v>330</v>
      </c>
      <c r="I20912" s="2">
        <v>380</v>
      </c>
      <c r="J20912" s="2">
        <v>1369</v>
      </c>
      <c r="K20912" s="2">
        <v>1</v>
      </c>
      <c r="L20912" s="2">
        <v>323</v>
      </c>
    </row>
    <row r="20913" spans="1:12" x14ac:dyDescent="0.25">
      <c r="A20913" s="4" t="str">
        <f>HYPERLINK("http://www.rosaceae.org/Prunus/Prunus_persica/p.persica_gdr_reftransV1_0030524","p.persica_gdr_reftransV1_0030524")</f>
        <v>p.persica_gdr_reftransV1_0030524</v>
      </c>
      <c r="B20913" s="2">
        <v>1492</v>
      </c>
      <c r="C20913" s="4" t="str">
        <f>HYPERLINK("http://www.uniprot.org/uniprot/M5XHW9","M5XHW9")</f>
        <v>M5XHW9</v>
      </c>
      <c r="D20913" s="2" t="s">
        <v>15715</v>
      </c>
      <c r="E20913" s="3">
        <v>7.1999999999999995E-153</v>
      </c>
      <c r="F20913" s="2">
        <v>1150</v>
      </c>
      <c r="G20913" s="2">
        <v>100</v>
      </c>
      <c r="H20913" s="2">
        <v>232</v>
      </c>
      <c r="I20913" s="2">
        <v>485</v>
      </c>
      <c r="J20913" s="2">
        <v>1180</v>
      </c>
      <c r="K20913" s="2">
        <v>1</v>
      </c>
      <c r="L20913" s="2">
        <v>232</v>
      </c>
    </row>
    <row r="20914" spans="1:12" x14ac:dyDescent="0.25">
      <c r="A20914" s="4" t="str">
        <f>HYPERLINK("http://www.rosaceae.org/Prunus/Prunus_persica/p.persica_gdr_reftransV1_0035074","p.persica_gdr_reftransV1_0035074")</f>
        <v>p.persica_gdr_reftransV1_0035074</v>
      </c>
      <c r="B20914" s="2">
        <v>4776</v>
      </c>
      <c r="C20914" s="4" t="str">
        <f>HYPERLINK("http://www.uniprot.org/uniprot/M5XVU2","M5XVU2")</f>
        <v>M5XVU2</v>
      </c>
      <c r="D20914" s="2" t="s">
        <v>9070</v>
      </c>
      <c r="E20914" s="3">
        <v>1.39E-162</v>
      </c>
      <c r="F20914" s="2">
        <v>1309</v>
      </c>
      <c r="G20914" s="2">
        <v>100</v>
      </c>
      <c r="H20914" s="2">
        <v>242</v>
      </c>
      <c r="I20914" s="2">
        <v>3922</v>
      </c>
      <c r="J20914" s="2">
        <v>4647</v>
      </c>
      <c r="K20914" s="2">
        <v>64</v>
      </c>
      <c r="L20914" s="2">
        <v>305</v>
      </c>
    </row>
    <row r="20915" spans="1:12" x14ac:dyDescent="0.25">
      <c r="A20915" s="4" t="str">
        <f>HYPERLINK("http://www.rosaceae.org/Prunus/Prunus_persica/p.persica_gdr_reftransV1_0037874","p.persica_gdr_reftransV1_0037874")</f>
        <v>p.persica_gdr_reftransV1_0037874</v>
      </c>
      <c r="B20915" s="2">
        <v>3524</v>
      </c>
      <c r="C20915" s="4" t="str">
        <f>HYPERLINK("http://www.uniprot.org/uniprot/M5W907","M5W907")</f>
        <v>M5W907</v>
      </c>
      <c r="D20915" s="2" t="s">
        <v>15716</v>
      </c>
      <c r="E20915" s="3">
        <v>0</v>
      </c>
      <c r="F20915" s="2">
        <v>1787</v>
      </c>
      <c r="G20915" s="2">
        <v>97</v>
      </c>
      <c r="H20915" s="2">
        <v>376</v>
      </c>
      <c r="I20915" s="2">
        <v>976</v>
      </c>
      <c r="J20915" s="2">
        <v>2103</v>
      </c>
      <c r="K20915" s="2">
        <v>1</v>
      </c>
      <c r="L20915" s="2">
        <v>366</v>
      </c>
    </row>
    <row r="20916" spans="1:12" x14ac:dyDescent="0.25">
      <c r="A20916" s="4" t="str">
        <f>HYPERLINK("http://www.rosaceae.org/Prunus/Prunus_persica/p.persica_gdr_reftransV1_0038224","p.persica_gdr_reftransV1_0038224")</f>
        <v>p.persica_gdr_reftransV1_0038224</v>
      </c>
      <c r="B20916" s="2">
        <v>3730</v>
      </c>
      <c r="C20916" s="4" t="str">
        <f>HYPERLINK("http://www.uniprot.org/uniprot/M5WMD9","M5WMD9")</f>
        <v>M5WMD9</v>
      </c>
      <c r="D20916" s="2" t="s">
        <v>15717</v>
      </c>
      <c r="E20916" s="3">
        <v>0</v>
      </c>
      <c r="F20916" s="2">
        <v>1905</v>
      </c>
      <c r="G20916" s="2">
        <v>99</v>
      </c>
      <c r="H20916" s="2">
        <v>360</v>
      </c>
      <c r="I20916" s="2">
        <v>2348</v>
      </c>
      <c r="J20916" s="2">
        <v>3427</v>
      </c>
      <c r="K20916" s="2">
        <v>1</v>
      </c>
      <c r="L20916" s="2">
        <v>360</v>
      </c>
    </row>
    <row r="20917" spans="1:12" x14ac:dyDescent="0.25">
      <c r="A20917" s="4" t="str">
        <f>HYPERLINK("http://www.rosaceae.org/Prunus/Prunus_persica/p.persica_gdr_reftransV1_0038574","p.persica_gdr_reftransV1_0038574")</f>
        <v>p.persica_gdr_reftransV1_0038574</v>
      </c>
      <c r="B20917" s="2">
        <v>2607</v>
      </c>
      <c r="C20917" s="4" t="str">
        <f>HYPERLINK("http://www.uniprot.org/uniprot/M5WC12","M5WC12")</f>
        <v>M5WC12</v>
      </c>
      <c r="D20917" s="2" t="s">
        <v>15718</v>
      </c>
      <c r="E20917" s="3">
        <v>0</v>
      </c>
      <c r="F20917" s="2">
        <v>2258</v>
      </c>
      <c r="G20917" s="2">
        <v>100</v>
      </c>
      <c r="H20917" s="2">
        <v>455</v>
      </c>
      <c r="I20917" s="2">
        <v>145</v>
      </c>
      <c r="J20917" s="2">
        <v>1509</v>
      </c>
      <c r="K20917" s="2">
        <v>1</v>
      </c>
      <c r="L20917" s="2">
        <v>455</v>
      </c>
    </row>
    <row r="20918" spans="1:12" x14ac:dyDescent="0.25">
      <c r="A20918" s="4" t="str">
        <f>HYPERLINK("http://www.rosaceae.org/Prunus/Prunus_persica/p.persica_gdr_reftransV1_0039624","p.persica_gdr_reftransV1_0039624")</f>
        <v>p.persica_gdr_reftransV1_0039624</v>
      </c>
      <c r="B20918" s="2">
        <v>1510</v>
      </c>
      <c r="C20918" s="4" t="str">
        <f>HYPERLINK("http://www.uniprot.org/uniprot/M5XCB3","M5XCB3")</f>
        <v>M5XCB3</v>
      </c>
      <c r="D20918" s="2" t="s">
        <v>15719</v>
      </c>
      <c r="E20918" s="3">
        <v>0</v>
      </c>
      <c r="F20918" s="2">
        <v>1927</v>
      </c>
      <c r="G20918" s="2">
        <v>99</v>
      </c>
      <c r="H20918" s="2">
        <v>381</v>
      </c>
      <c r="I20918" s="2">
        <v>211</v>
      </c>
      <c r="J20918" s="2">
        <v>1353</v>
      </c>
      <c r="K20918" s="2">
        <v>1</v>
      </c>
      <c r="L20918" s="2">
        <v>381</v>
      </c>
    </row>
    <row r="20919" spans="1:12" x14ac:dyDescent="0.25">
      <c r="A20919" s="4" t="str">
        <f>HYPERLINK("http://www.rosaceae.org/Prunus/Prunus_persica/p.persica_gdr_reftransV1_0039974","p.persica_gdr_reftransV1_0039974")</f>
        <v>p.persica_gdr_reftransV1_0039974</v>
      </c>
      <c r="B20919" s="2">
        <v>5898</v>
      </c>
      <c r="C20919" s="4" t="str">
        <f>HYPERLINK("http://www.uniprot.org/uniprot/M5XB20","M5XB20")</f>
        <v>M5XB20</v>
      </c>
      <c r="D20919" s="2" t="s">
        <v>15720</v>
      </c>
      <c r="E20919" s="3">
        <v>0</v>
      </c>
      <c r="F20919" s="2">
        <v>5746</v>
      </c>
      <c r="G20919" s="2">
        <v>92</v>
      </c>
      <c r="H20919" s="2">
        <v>1216</v>
      </c>
      <c r="I20919" s="2">
        <v>1392</v>
      </c>
      <c r="J20919" s="2">
        <v>5039</v>
      </c>
      <c r="K20919" s="2">
        <v>23</v>
      </c>
      <c r="L20919" s="2">
        <v>1183</v>
      </c>
    </row>
    <row r="20920" spans="1:12" x14ac:dyDescent="0.25">
      <c r="A20920" s="4" t="str">
        <f>HYPERLINK("http://www.rosaceae.org/Prunus/Prunus_persica/p.persica_gdr_reftransV1_0042074","p.persica_gdr_reftransV1_0042074")</f>
        <v>p.persica_gdr_reftransV1_0042074</v>
      </c>
      <c r="B20920" s="2">
        <v>3049</v>
      </c>
      <c r="C20920" s="4" t="str">
        <f>HYPERLINK("http://www.uniprot.org/uniprot/A0A059B0I5","A0A059B0I5")</f>
        <v>A0A059B0I5</v>
      </c>
      <c r="D20920" s="2" t="s">
        <v>15721</v>
      </c>
      <c r="E20920" s="3">
        <v>1.3700000000000001E-28</v>
      </c>
      <c r="F20920" s="2">
        <v>215</v>
      </c>
      <c r="G20920" s="2">
        <v>78</v>
      </c>
      <c r="H20920" s="2">
        <v>54</v>
      </c>
      <c r="I20920" s="2">
        <v>1057</v>
      </c>
      <c r="J20920" s="2">
        <v>1218</v>
      </c>
      <c r="K20920" s="2">
        <v>152</v>
      </c>
      <c r="L20920" s="2">
        <v>205</v>
      </c>
    </row>
    <row r="20921" spans="1:12" x14ac:dyDescent="0.25">
      <c r="A20921" s="4" t="str">
        <f>HYPERLINK("http://www.rosaceae.org/Prunus/Prunus_persica/p.persica_gdr_reftransV1_0043124","p.persica_gdr_reftransV1_0043124")</f>
        <v>p.persica_gdr_reftransV1_0043124</v>
      </c>
      <c r="B20921" s="2">
        <v>548</v>
      </c>
      <c r="C20921" s="4" t="str">
        <f>HYPERLINK("http://www.uniprot.org/uniprot/M5X4Q7","M5X4Q7")</f>
        <v>M5X4Q7</v>
      </c>
      <c r="D20921" s="2" t="s">
        <v>7589</v>
      </c>
      <c r="E20921" s="3">
        <v>1.07E-17</v>
      </c>
      <c r="F20921" s="2">
        <v>191</v>
      </c>
      <c r="G20921" s="2">
        <v>47</v>
      </c>
      <c r="H20921" s="2">
        <v>118</v>
      </c>
      <c r="I20921" s="2">
        <v>100</v>
      </c>
      <c r="J20921" s="2">
        <v>369</v>
      </c>
      <c r="K20921" s="2">
        <v>288</v>
      </c>
      <c r="L20921" s="2">
        <v>405</v>
      </c>
    </row>
    <row r="20922" spans="1:12" x14ac:dyDescent="0.25">
      <c r="A20922" s="4" t="str">
        <f>HYPERLINK("http://www.rosaceae.org/Prunus/Prunus_persica/p.persica_gdr_reftransV1_0043474","p.persica_gdr_reftransV1_0043474")</f>
        <v>p.persica_gdr_reftransV1_0043474</v>
      </c>
      <c r="B20922" s="2">
        <v>1312</v>
      </c>
      <c r="C20922" s="4" t="str">
        <f>HYPERLINK("http://www.uniprot.org/uniprot/M5WZI4","M5WZI4")</f>
        <v>M5WZI4</v>
      </c>
      <c r="D20922" s="2" t="s">
        <v>542</v>
      </c>
      <c r="E20922" s="3">
        <v>0</v>
      </c>
      <c r="F20922" s="2">
        <v>1837</v>
      </c>
      <c r="G20922" s="2">
        <v>100</v>
      </c>
      <c r="H20922" s="2">
        <v>353</v>
      </c>
      <c r="I20922" s="2">
        <v>7</v>
      </c>
      <c r="J20922" s="2">
        <v>1065</v>
      </c>
      <c r="K20922" s="2">
        <v>88</v>
      </c>
      <c r="L20922" s="2">
        <v>440</v>
      </c>
    </row>
    <row r="20923" spans="1:12" x14ac:dyDescent="0.25">
      <c r="A20923" s="4" t="str">
        <f>HYPERLINK("http://www.rosaceae.org/Prunus/Prunus_persica/p.persica_gdr_reftransV1_0044174","p.persica_gdr_reftransV1_0044174")</f>
        <v>p.persica_gdr_reftransV1_0044174</v>
      </c>
      <c r="B20923" s="2">
        <v>421</v>
      </c>
      <c r="C20923" s="4" t="str">
        <f>HYPERLINK("http://www.uniprot.org/uniprot/M5XAX5","M5XAX5")</f>
        <v>M5XAX5</v>
      </c>
      <c r="D20923" s="2" t="s">
        <v>15722</v>
      </c>
      <c r="E20923" s="3">
        <v>2.1199999999999999E-16</v>
      </c>
      <c r="F20923" s="2">
        <v>205</v>
      </c>
      <c r="G20923" s="2">
        <v>100</v>
      </c>
      <c r="H20923" s="2">
        <v>66</v>
      </c>
      <c r="I20923" s="2">
        <v>2</v>
      </c>
      <c r="J20923" s="2">
        <v>199</v>
      </c>
      <c r="K20923" s="2">
        <v>78</v>
      </c>
      <c r="L20923" s="2">
        <v>143</v>
      </c>
    </row>
    <row r="20924" spans="1:12" x14ac:dyDescent="0.25">
      <c r="A20924" s="4" t="str">
        <f>HYPERLINK("http://www.rosaceae.org/Prunus/Prunus_persica/p.persica_gdr_reftransV1_0044524","p.persica_gdr_reftransV1_0044524")</f>
        <v>p.persica_gdr_reftransV1_0044524</v>
      </c>
      <c r="B20924" s="2">
        <v>673</v>
      </c>
      <c r="C20924" s="4" t="str">
        <f>HYPERLINK("http://www.uniprot.org/uniprot/M5XWL6","M5XWL6")</f>
        <v>M5XWL6</v>
      </c>
      <c r="D20924" s="2" t="s">
        <v>699</v>
      </c>
      <c r="E20924" s="3">
        <v>1.1699999999999999E-156</v>
      </c>
      <c r="F20924" s="2">
        <v>1207</v>
      </c>
      <c r="G20924" s="2">
        <v>100</v>
      </c>
      <c r="H20924" s="2">
        <v>224</v>
      </c>
      <c r="I20924" s="2">
        <v>1</v>
      </c>
      <c r="J20924" s="2">
        <v>672</v>
      </c>
      <c r="K20924" s="2">
        <v>249</v>
      </c>
      <c r="L20924" s="2">
        <v>472</v>
      </c>
    </row>
    <row r="20925" spans="1:12" x14ac:dyDescent="0.25">
      <c r="A20925" s="4" t="str">
        <f>HYPERLINK("http://www.rosaceae.org/Prunus/Prunus_persica/p.persica_gdr_reftransV1_0044874","p.persica_gdr_reftransV1_0044874")</f>
        <v>p.persica_gdr_reftransV1_0044874</v>
      </c>
      <c r="B20925" s="2">
        <v>943</v>
      </c>
      <c r="C20925" s="4" t="str">
        <f>HYPERLINK("http://www.uniprot.org/uniprot/M5X1H8","M5X1H8")</f>
        <v>M5X1H8</v>
      </c>
      <c r="D20925" s="2" t="s">
        <v>15723</v>
      </c>
      <c r="E20925" s="3">
        <v>2.6700000000000001E-89</v>
      </c>
      <c r="F20925" s="2">
        <v>702</v>
      </c>
      <c r="G20925" s="2">
        <v>100</v>
      </c>
      <c r="H20925" s="2">
        <v>138</v>
      </c>
      <c r="I20925" s="2">
        <v>297</v>
      </c>
      <c r="J20925" s="2">
        <v>710</v>
      </c>
      <c r="K20925" s="2">
        <v>1</v>
      </c>
      <c r="L20925" s="2">
        <v>138</v>
      </c>
    </row>
    <row r="20926" spans="1:12" x14ac:dyDescent="0.25">
      <c r="A20926" s="4" t="str">
        <f>HYPERLINK("http://www.rosaceae.org/Prunus/Prunus_persica/p.persica_gdr_reftransV1_0045224","p.persica_gdr_reftransV1_0045224")</f>
        <v>p.persica_gdr_reftransV1_0045224</v>
      </c>
      <c r="B20926" s="2">
        <v>1963</v>
      </c>
      <c r="C20926" s="4" t="str">
        <f>HYPERLINK("http://www.uniprot.org/uniprot/M5XFJ6","M5XFJ6")</f>
        <v>M5XFJ6</v>
      </c>
      <c r="D20926" s="2" t="s">
        <v>10474</v>
      </c>
      <c r="E20926" s="3">
        <v>0</v>
      </c>
      <c r="F20926" s="2">
        <v>1934</v>
      </c>
      <c r="G20926" s="2">
        <v>99</v>
      </c>
      <c r="H20926" s="2">
        <v>366</v>
      </c>
      <c r="I20926" s="2">
        <v>180</v>
      </c>
      <c r="J20926" s="2">
        <v>1277</v>
      </c>
      <c r="K20926" s="2">
        <v>1</v>
      </c>
      <c r="L20926" s="2">
        <v>366</v>
      </c>
    </row>
    <row r="20927" spans="1:12" x14ac:dyDescent="0.25">
      <c r="A20927" s="4" t="str">
        <f>HYPERLINK("http://www.rosaceae.org/Prunus/Prunus_persica/p.persica_gdr_reftransV1_0045574","p.persica_gdr_reftransV1_0045574")</f>
        <v>p.persica_gdr_reftransV1_0045574</v>
      </c>
      <c r="B20927" s="2">
        <v>515</v>
      </c>
      <c r="C20927" s="4" t="str">
        <f>HYPERLINK("http://www.uniprot.org/uniprot/M5W8R1","M5W8R1")</f>
        <v>M5W8R1</v>
      </c>
      <c r="D20927" s="2" t="s">
        <v>12702</v>
      </c>
      <c r="E20927" s="3">
        <v>1.8399999999999999E-98</v>
      </c>
      <c r="F20927" s="2">
        <v>777</v>
      </c>
      <c r="G20927" s="2">
        <v>100</v>
      </c>
      <c r="H20927" s="2">
        <v>142</v>
      </c>
      <c r="I20927" s="2">
        <v>89</v>
      </c>
      <c r="J20927" s="2">
        <v>514</v>
      </c>
      <c r="K20927" s="2">
        <v>312</v>
      </c>
      <c r="L20927" s="2">
        <v>453</v>
      </c>
    </row>
    <row r="20928" spans="1:12" x14ac:dyDescent="0.25">
      <c r="A20928" s="4" t="str">
        <f>HYPERLINK("http://www.rosaceae.org/Prunus/Prunus_persica/p.persica_gdr_reftransV1_0046274","p.persica_gdr_reftransV1_0046274")</f>
        <v>p.persica_gdr_reftransV1_0046274</v>
      </c>
      <c r="B20928" s="2">
        <v>1079</v>
      </c>
      <c r="C20928" s="4" t="str">
        <f>HYPERLINK("http://www.uniprot.org/uniprot/A0A061FG46","A0A061FG46")</f>
        <v>A0A061FG46</v>
      </c>
      <c r="D20928" s="2" t="s">
        <v>15724</v>
      </c>
      <c r="E20928" s="3">
        <v>4.9E-105</v>
      </c>
      <c r="F20928" s="2">
        <v>850</v>
      </c>
      <c r="G20928" s="2">
        <v>79</v>
      </c>
      <c r="H20928" s="2">
        <v>265</v>
      </c>
      <c r="I20928" s="2">
        <v>283</v>
      </c>
      <c r="J20928" s="2">
        <v>1077</v>
      </c>
      <c r="K20928" s="2">
        <v>4</v>
      </c>
      <c r="L20928" s="2">
        <v>268</v>
      </c>
    </row>
    <row r="20929" spans="1:12" x14ac:dyDescent="0.25">
      <c r="A20929" s="4" t="str">
        <f>HYPERLINK("http://www.rosaceae.org/Prunus/Prunus_persica/p.persica_gdr_reftransV1_0046624","p.persica_gdr_reftransV1_0046624")</f>
        <v>p.persica_gdr_reftransV1_0046624</v>
      </c>
      <c r="B20929" s="2">
        <v>310</v>
      </c>
      <c r="C20929" s="4" t="str">
        <f>HYPERLINK("http://www.uniprot.org/uniprot/M5WYA6","M5WYA6")</f>
        <v>M5WYA6</v>
      </c>
      <c r="D20929" s="2" t="s">
        <v>12330</v>
      </c>
      <c r="E20929" s="3">
        <v>5.0800000000000002E-62</v>
      </c>
      <c r="F20929" s="2">
        <v>540</v>
      </c>
      <c r="G20929" s="2">
        <v>100</v>
      </c>
      <c r="H20929" s="2">
        <v>103</v>
      </c>
      <c r="I20929" s="2">
        <v>1</v>
      </c>
      <c r="J20929" s="2">
        <v>309</v>
      </c>
      <c r="K20929" s="2">
        <v>152</v>
      </c>
      <c r="L20929" s="2">
        <v>254</v>
      </c>
    </row>
    <row r="20930" spans="1:12" x14ac:dyDescent="0.25">
      <c r="A20930" s="4" t="str">
        <f>HYPERLINK("http://www.rosaceae.org/Prunus/Prunus_persica/p.persica_gdr_reftransV1_0046974","p.persica_gdr_reftransV1_0046974")</f>
        <v>p.persica_gdr_reftransV1_0046974</v>
      </c>
      <c r="B20930" s="2">
        <v>1093</v>
      </c>
      <c r="C20930" s="4" t="str">
        <f>HYPERLINK("http://www.uniprot.org/uniprot/M5VMD5","M5VMD5")</f>
        <v>M5VMD5</v>
      </c>
      <c r="D20930" s="2" t="s">
        <v>5782</v>
      </c>
      <c r="E20930" s="3">
        <v>0</v>
      </c>
      <c r="F20930" s="2">
        <v>1610</v>
      </c>
      <c r="G20930" s="2">
        <v>100</v>
      </c>
      <c r="H20930" s="2">
        <v>293</v>
      </c>
      <c r="I20930" s="2">
        <v>3</v>
      </c>
      <c r="J20930" s="2">
        <v>881</v>
      </c>
      <c r="K20930" s="2">
        <v>240</v>
      </c>
      <c r="L20930" s="2">
        <v>532</v>
      </c>
    </row>
    <row r="20931" spans="1:12" x14ac:dyDescent="0.25">
      <c r="A20931" s="4" t="str">
        <f>HYPERLINK("http://www.rosaceae.org/Prunus/Prunus_persica/p.persica_gdr_reftransV1_0047324","p.persica_gdr_reftransV1_0047324")</f>
        <v>p.persica_gdr_reftransV1_0047324</v>
      </c>
      <c r="B20931" s="2">
        <v>659</v>
      </c>
      <c r="C20931" s="4" t="str">
        <f>HYPERLINK("http://www.uniprot.org/uniprot/M5X173","M5X173")</f>
        <v>M5X173</v>
      </c>
      <c r="D20931" s="2" t="s">
        <v>15725</v>
      </c>
      <c r="E20931" s="3">
        <v>1.6199999999999999E-109</v>
      </c>
      <c r="F20931" s="2">
        <v>846</v>
      </c>
      <c r="G20931" s="2">
        <v>100</v>
      </c>
      <c r="H20931" s="2">
        <v>178</v>
      </c>
      <c r="I20931" s="2">
        <v>2</v>
      </c>
      <c r="J20931" s="2">
        <v>535</v>
      </c>
      <c r="K20931" s="2">
        <v>176</v>
      </c>
      <c r="L20931" s="2">
        <v>353</v>
      </c>
    </row>
    <row r="20932" spans="1:12" x14ac:dyDescent="0.25">
      <c r="A20932" s="4" t="str">
        <f>HYPERLINK("http://www.rosaceae.org/Prunus/Prunus_persica/p.persica_gdr_reftransV1_0047674","p.persica_gdr_reftransV1_0047674")</f>
        <v>p.persica_gdr_reftransV1_0047674</v>
      </c>
      <c r="B20932" s="2">
        <v>1211</v>
      </c>
      <c r="C20932" s="4" t="str">
        <f>HYPERLINK("http://www.uniprot.org/uniprot/M5XHT8","M5XHT8")</f>
        <v>M5XHT8</v>
      </c>
      <c r="D20932" s="2" t="s">
        <v>12224</v>
      </c>
      <c r="E20932" s="3">
        <v>0</v>
      </c>
      <c r="F20932" s="2">
        <v>1908</v>
      </c>
      <c r="G20932" s="2">
        <v>97</v>
      </c>
      <c r="H20932" s="2">
        <v>403</v>
      </c>
      <c r="I20932" s="2">
        <v>2</v>
      </c>
      <c r="J20932" s="2">
        <v>1210</v>
      </c>
      <c r="K20932" s="2">
        <v>108</v>
      </c>
      <c r="L20932" s="2">
        <v>510</v>
      </c>
    </row>
    <row r="20933" spans="1:12" x14ac:dyDescent="0.25">
      <c r="A20933" s="4" t="str">
        <f>HYPERLINK("http://www.rosaceae.org/Prunus/Prunus_persica/p.persica_gdr_reftransV1_0048024","p.persica_gdr_reftransV1_0048024")</f>
        <v>p.persica_gdr_reftransV1_0048024</v>
      </c>
      <c r="B20933" s="2">
        <v>951</v>
      </c>
      <c r="C20933" s="4" t="str">
        <f>HYPERLINK("http://www.uniprot.org/uniprot/M5WD95","M5WD95")</f>
        <v>M5WD95</v>
      </c>
      <c r="D20933" s="2" t="s">
        <v>10082</v>
      </c>
      <c r="E20933" s="3">
        <v>1.55E-84</v>
      </c>
      <c r="F20933" s="2">
        <v>570</v>
      </c>
      <c r="G20933" s="2">
        <v>100</v>
      </c>
      <c r="H20933" s="2">
        <v>107</v>
      </c>
      <c r="I20933" s="2">
        <v>293</v>
      </c>
      <c r="J20933" s="2">
        <v>613</v>
      </c>
      <c r="K20933" s="2">
        <v>1</v>
      </c>
      <c r="L20933" s="2">
        <v>107</v>
      </c>
    </row>
    <row r="20934" spans="1:12" x14ac:dyDescent="0.25">
      <c r="A20934" s="4" t="str">
        <f>HYPERLINK("http://www.rosaceae.org/Prunus/Prunus_persica/p.persica_gdr_reftransV1_0048374","p.persica_gdr_reftransV1_0048374")</f>
        <v>p.persica_gdr_reftransV1_0048374</v>
      </c>
      <c r="B20934" s="2">
        <v>1373</v>
      </c>
      <c r="C20934" s="4" t="str">
        <f>HYPERLINK("http://www.uniprot.org/uniprot/M5WJF8","M5WJF8")</f>
        <v>M5WJF8</v>
      </c>
      <c r="D20934" s="2" t="s">
        <v>15726</v>
      </c>
      <c r="E20934" s="3">
        <v>7.0299999999999998E-154</v>
      </c>
      <c r="F20934" s="2">
        <v>1155</v>
      </c>
      <c r="G20934" s="2">
        <v>90</v>
      </c>
      <c r="H20934" s="2">
        <v>276</v>
      </c>
      <c r="I20934" s="2">
        <v>370</v>
      </c>
      <c r="J20934" s="2">
        <v>1197</v>
      </c>
      <c r="K20934" s="2">
        <v>1</v>
      </c>
      <c r="L20934" s="2">
        <v>251</v>
      </c>
    </row>
    <row r="20935" spans="1:12" x14ac:dyDescent="0.25">
      <c r="A20935" s="4" t="str">
        <f>HYPERLINK("http://www.rosaceae.org/Prunus/Prunus_persica/p.persica_gdr_reftransV1_0048724","p.persica_gdr_reftransV1_0048724")</f>
        <v>p.persica_gdr_reftransV1_0048724</v>
      </c>
      <c r="B20935" s="2">
        <v>1176</v>
      </c>
      <c r="C20935" s="4" t="str">
        <f>HYPERLINK("http://www.uniprot.org/uniprot/M5XG58","M5XG58")</f>
        <v>M5XG58</v>
      </c>
      <c r="D20935" s="2" t="s">
        <v>15727</v>
      </c>
      <c r="E20935" s="3">
        <v>0</v>
      </c>
      <c r="F20935" s="2">
        <v>1589</v>
      </c>
      <c r="G20935" s="2">
        <v>100</v>
      </c>
      <c r="H20935" s="2">
        <v>294</v>
      </c>
      <c r="I20935" s="2">
        <v>60</v>
      </c>
      <c r="J20935" s="2">
        <v>941</v>
      </c>
      <c r="K20935" s="2">
        <v>1</v>
      </c>
      <c r="L20935" s="2">
        <v>294</v>
      </c>
    </row>
    <row r="20936" spans="1:12" x14ac:dyDescent="0.25">
      <c r="A20936" s="4" t="str">
        <f>HYPERLINK("http://www.rosaceae.org/Prunus/Prunus_persica/p.persica_gdr_reftransV1_0049074","p.persica_gdr_reftransV1_0049074")</f>
        <v>p.persica_gdr_reftransV1_0049074</v>
      </c>
      <c r="B20936" s="2">
        <v>488</v>
      </c>
      <c r="C20936" s="4" t="str">
        <f>HYPERLINK("http://www.uniprot.org/uniprot/M5WWV3","M5WWV3")</f>
        <v>M5WWV3</v>
      </c>
      <c r="D20936" s="2" t="s">
        <v>15728</v>
      </c>
      <c r="E20936" s="3">
        <v>2.0399999999999999E-112</v>
      </c>
      <c r="F20936" s="2">
        <v>849</v>
      </c>
      <c r="G20936" s="2">
        <v>100</v>
      </c>
      <c r="H20936" s="2">
        <v>162</v>
      </c>
      <c r="I20936" s="2">
        <v>3</v>
      </c>
      <c r="J20936" s="2">
        <v>488</v>
      </c>
      <c r="K20936" s="2">
        <v>51</v>
      </c>
      <c r="L20936" s="2">
        <v>212</v>
      </c>
    </row>
    <row r="20937" spans="1:12" x14ac:dyDescent="0.25">
      <c r="A20937" s="4" t="str">
        <f>HYPERLINK("http://www.rosaceae.org/Prunus/Prunus_persica/p.persica_gdr_reftransV1_0000075","p.persica_gdr_reftransV1_0000075")</f>
        <v>p.persica_gdr_reftransV1_0000075</v>
      </c>
      <c r="B20937" s="2">
        <v>2011</v>
      </c>
      <c r="C20937" s="4" t="str">
        <f>HYPERLINK("http://www.uniprot.org/uniprot/M5WMX2","M5WMX2")</f>
        <v>M5WMX2</v>
      </c>
      <c r="D20937" s="2" t="s">
        <v>1366</v>
      </c>
      <c r="E20937" s="3">
        <v>0</v>
      </c>
      <c r="F20937" s="2">
        <v>1652</v>
      </c>
      <c r="G20937" s="2">
        <v>100</v>
      </c>
      <c r="H20937" s="2">
        <v>377</v>
      </c>
      <c r="I20937" s="2">
        <v>658</v>
      </c>
      <c r="J20937" s="2">
        <v>1788</v>
      </c>
      <c r="K20937" s="2">
        <v>192</v>
      </c>
      <c r="L20937" s="2">
        <v>568</v>
      </c>
    </row>
    <row r="20938" spans="1:12" x14ac:dyDescent="0.25">
      <c r="A20938" s="4" t="str">
        <f>HYPERLINK("http://www.rosaceae.org/Prunus/Prunus_persica/p.persica_gdr_reftransV1_0001125","p.persica_gdr_reftransV1_0001125")</f>
        <v>p.persica_gdr_reftransV1_0001125</v>
      </c>
      <c r="B20938" s="2">
        <v>1607</v>
      </c>
      <c r="C20938" s="4" t="str">
        <f>HYPERLINK("http://www.uniprot.org/uniprot/M5X0S6","M5X0S6")</f>
        <v>M5X0S6</v>
      </c>
      <c r="D20938" s="2" t="s">
        <v>1390</v>
      </c>
      <c r="E20938" s="3">
        <v>0</v>
      </c>
      <c r="F20938" s="2">
        <v>1241</v>
      </c>
      <c r="G20938" s="2">
        <v>100</v>
      </c>
      <c r="H20938" s="2">
        <v>243</v>
      </c>
      <c r="I20938" s="2">
        <v>534</v>
      </c>
      <c r="J20938" s="2">
        <v>1262</v>
      </c>
      <c r="K20938" s="2">
        <v>151</v>
      </c>
      <c r="L20938" s="2">
        <v>393</v>
      </c>
    </row>
    <row r="20939" spans="1:12" x14ac:dyDescent="0.25">
      <c r="A20939" s="4" t="str">
        <f>HYPERLINK("http://www.rosaceae.org/Prunus/Prunus_persica/p.persica_gdr_reftransV1_0001475","p.persica_gdr_reftransV1_0001475")</f>
        <v>p.persica_gdr_reftransV1_0001475</v>
      </c>
      <c r="B20939" s="2">
        <v>1270</v>
      </c>
      <c r="C20939" s="4" t="str">
        <f>HYPERLINK("http://www.uniprot.org/uniprot/M5VKI1","M5VKI1")</f>
        <v>M5VKI1</v>
      </c>
      <c r="D20939" s="2" t="s">
        <v>15729</v>
      </c>
      <c r="E20939" s="3">
        <v>0</v>
      </c>
      <c r="F20939" s="2">
        <v>1665</v>
      </c>
      <c r="G20939" s="2">
        <v>100</v>
      </c>
      <c r="H20939" s="2">
        <v>314</v>
      </c>
      <c r="I20939" s="2">
        <v>288</v>
      </c>
      <c r="J20939" s="2">
        <v>1229</v>
      </c>
      <c r="K20939" s="2">
        <v>1</v>
      </c>
      <c r="L20939" s="2">
        <v>314</v>
      </c>
    </row>
    <row r="20940" spans="1:12" x14ac:dyDescent="0.25">
      <c r="A20940" s="4" t="str">
        <f>HYPERLINK("http://www.rosaceae.org/Prunus/Prunus_persica/p.persica_gdr_reftransV1_0001825","p.persica_gdr_reftransV1_0001825")</f>
        <v>p.persica_gdr_reftransV1_0001825</v>
      </c>
      <c r="B20940" s="2">
        <v>2589</v>
      </c>
      <c r="C20940" s="4" t="str">
        <f>HYPERLINK("http://www.uniprot.org/uniprot/M5X2L4","M5X2L4")</f>
        <v>M5X2L4</v>
      </c>
      <c r="D20940" s="2" t="s">
        <v>15730</v>
      </c>
      <c r="E20940" s="3">
        <v>0</v>
      </c>
      <c r="F20940" s="2">
        <v>3571</v>
      </c>
      <c r="G20940" s="2">
        <v>100</v>
      </c>
      <c r="H20940" s="2">
        <v>693</v>
      </c>
      <c r="I20940" s="2">
        <v>388</v>
      </c>
      <c r="J20940" s="2">
        <v>2466</v>
      </c>
      <c r="K20940" s="2">
        <v>1</v>
      </c>
      <c r="L20940" s="2">
        <v>693</v>
      </c>
    </row>
    <row r="20941" spans="1:12" x14ac:dyDescent="0.25">
      <c r="A20941" s="4" t="str">
        <f>HYPERLINK("http://www.rosaceae.org/Prunus/Prunus_persica/p.persica_gdr_reftransV1_0002525","p.persica_gdr_reftransV1_0002525")</f>
        <v>p.persica_gdr_reftransV1_0002525</v>
      </c>
      <c r="B20941" s="2">
        <v>1436</v>
      </c>
      <c r="C20941" s="4" t="str">
        <f>HYPERLINK("http://www.uniprot.org/uniprot/M5W4R0","M5W4R0")</f>
        <v>M5W4R0</v>
      </c>
      <c r="D20941" s="2" t="s">
        <v>1977</v>
      </c>
      <c r="E20941" s="3">
        <v>3.9900000000000003E-95</v>
      </c>
      <c r="F20941" s="2">
        <v>757</v>
      </c>
      <c r="G20941" s="2">
        <v>99</v>
      </c>
      <c r="H20941" s="2">
        <v>142</v>
      </c>
      <c r="I20941" s="2">
        <v>717</v>
      </c>
      <c r="J20941" s="2">
        <v>1142</v>
      </c>
      <c r="K20941" s="2">
        <v>1</v>
      </c>
      <c r="L20941" s="2">
        <v>142</v>
      </c>
    </row>
    <row r="20942" spans="1:12" x14ac:dyDescent="0.25">
      <c r="A20942" s="4" t="str">
        <f>HYPERLINK("http://www.rosaceae.org/Prunus/Prunus_persica/p.persica_gdr_reftransV1_0003925","p.persica_gdr_reftransV1_0003925")</f>
        <v>p.persica_gdr_reftransV1_0003925</v>
      </c>
      <c r="B20942" s="2">
        <v>1090</v>
      </c>
      <c r="C20942" s="4" t="str">
        <f>HYPERLINK("http://www.uniprot.org/uniprot/M5WT82","M5WT82")</f>
        <v>M5WT82</v>
      </c>
      <c r="D20942" s="2" t="s">
        <v>1187</v>
      </c>
      <c r="E20942" s="3">
        <v>3.1200000000000002E-83</v>
      </c>
      <c r="F20942" s="2">
        <v>715</v>
      </c>
      <c r="G20942" s="2">
        <v>79</v>
      </c>
      <c r="H20942" s="2">
        <v>236</v>
      </c>
      <c r="I20942" s="2">
        <v>253</v>
      </c>
      <c r="J20942" s="2">
        <v>936</v>
      </c>
      <c r="K20942" s="2">
        <v>534</v>
      </c>
      <c r="L20942" s="2">
        <v>764</v>
      </c>
    </row>
    <row r="20943" spans="1:12" x14ac:dyDescent="0.25">
      <c r="A20943" s="4" t="str">
        <f>HYPERLINK("http://www.rosaceae.org/Prunus/Prunus_persica/p.persica_gdr_reftransV1_0004975","p.persica_gdr_reftransV1_0004975")</f>
        <v>p.persica_gdr_reftransV1_0004975</v>
      </c>
      <c r="B20943" s="2">
        <v>703</v>
      </c>
      <c r="C20943" s="4" t="str">
        <f>HYPERLINK("http://www.uniprot.org/uniprot/M5VXR4","M5VXR4")</f>
        <v>M5VXR4</v>
      </c>
      <c r="D20943" s="2" t="s">
        <v>12619</v>
      </c>
      <c r="E20943" s="3">
        <v>2.5200000000000001E-123</v>
      </c>
      <c r="F20943" s="2">
        <v>924</v>
      </c>
      <c r="G20943" s="2">
        <v>100</v>
      </c>
      <c r="H20943" s="2">
        <v>173</v>
      </c>
      <c r="I20943" s="2">
        <v>3</v>
      </c>
      <c r="J20943" s="2">
        <v>521</v>
      </c>
      <c r="K20943" s="2">
        <v>1</v>
      </c>
      <c r="L20943" s="2">
        <v>173</v>
      </c>
    </row>
    <row r="20944" spans="1:12" x14ac:dyDescent="0.25">
      <c r="A20944" s="4" t="str">
        <f>HYPERLINK("http://www.rosaceae.org/Prunus/Prunus_persica/p.persica_gdr_reftransV1_0005675","p.persica_gdr_reftransV1_0005675")</f>
        <v>p.persica_gdr_reftransV1_0005675</v>
      </c>
      <c r="B20944" s="2">
        <v>1973</v>
      </c>
      <c r="C20944" s="4" t="str">
        <f>HYPERLINK("http://www.uniprot.org/uniprot/M5WDF8","M5WDF8")</f>
        <v>M5WDF8</v>
      </c>
      <c r="D20944" s="2" t="s">
        <v>15731</v>
      </c>
      <c r="E20944" s="3">
        <v>0</v>
      </c>
      <c r="F20944" s="2">
        <v>2709</v>
      </c>
      <c r="G20944" s="2">
        <v>100</v>
      </c>
      <c r="H20944" s="2">
        <v>542</v>
      </c>
      <c r="I20944" s="2">
        <v>57</v>
      </c>
      <c r="J20944" s="2">
        <v>1682</v>
      </c>
      <c r="K20944" s="2">
        <v>1</v>
      </c>
      <c r="L20944" s="2">
        <v>542</v>
      </c>
    </row>
    <row r="20945" spans="1:12" x14ac:dyDescent="0.25">
      <c r="A20945" s="4" t="str">
        <f>HYPERLINK("http://www.rosaceae.org/Prunus/Prunus_persica/p.persica_gdr_reftransV1_0006725","p.persica_gdr_reftransV1_0006725")</f>
        <v>p.persica_gdr_reftransV1_0006725</v>
      </c>
      <c r="B20945" s="2">
        <v>1682</v>
      </c>
      <c r="C20945" s="4" t="str">
        <f>HYPERLINK("http://www.uniprot.org/uniprot/M5VKM2","M5VKM2")</f>
        <v>M5VKM2</v>
      </c>
      <c r="D20945" s="2" t="s">
        <v>15732</v>
      </c>
      <c r="E20945" s="3">
        <v>4.9800000000000002E-138</v>
      </c>
      <c r="F20945" s="2">
        <v>1056</v>
      </c>
      <c r="G20945" s="2">
        <v>100</v>
      </c>
      <c r="H20945" s="2">
        <v>213</v>
      </c>
      <c r="I20945" s="2">
        <v>1</v>
      </c>
      <c r="J20945" s="2">
        <v>639</v>
      </c>
      <c r="K20945" s="2">
        <v>2</v>
      </c>
      <c r="L20945" s="2">
        <v>214</v>
      </c>
    </row>
    <row r="20946" spans="1:12" x14ac:dyDescent="0.25">
      <c r="A20946" s="4" t="str">
        <f>HYPERLINK("http://www.rosaceae.org/Prunus/Prunus_persica/p.persica_gdr_reftransV1_0007075","p.persica_gdr_reftransV1_0007075")</f>
        <v>p.persica_gdr_reftransV1_0007075</v>
      </c>
      <c r="B20946" s="2">
        <v>986</v>
      </c>
      <c r="C20946" s="4" t="str">
        <f>HYPERLINK("http://www.uniprot.org/uniprot/M5WVF8","M5WVF8")</f>
        <v>M5WVF8</v>
      </c>
      <c r="D20946" s="2" t="s">
        <v>15733</v>
      </c>
      <c r="E20946" s="3">
        <v>2.6100000000000001E-118</v>
      </c>
      <c r="F20946" s="2">
        <v>903</v>
      </c>
      <c r="G20946" s="2">
        <v>99</v>
      </c>
      <c r="H20946" s="2">
        <v>169</v>
      </c>
      <c r="I20946" s="2">
        <v>479</v>
      </c>
      <c r="J20946" s="2">
        <v>985</v>
      </c>
      <c r="K20946" s="2">
        <v>3</v>
      </c>
      <c r="L20946" s="2">
        <v>171</v>
      </c>
    </row>
    <row r="20947" spans="1:12" x14ac:dyDescent="0.25">
      <c r="A20947" s="4" t="str">
        <f>HYPERLINK("http://www.rosaceae.org/Prunus/Prunus_persica/p.persica_gdr_reftransV1_0007425","p.persica_gdr_reftransV1_0007425")</f>
        <v>p.persica_gdr_reftransV1_0007425</v>
      </c>
      <c r="B20947" s="2">
        <v>684</v>
      </c>
      <c r="C20947" s="4" t="str">
        <f>HYPERLINK("http://www.uniprot.org/uniprot/A0A067GVM3","A0A067GVM3")</f>
        <v>A0A067GVM3</v>
      </c>
      <c r="D20947" s="2" t="s">
        <v>15734</v>
      </c>
      <c r="E20947" s="3">
        <v>5.2099999999999997E-7</v>
      </c>
      <c r="F20947" s="2">
        <v>142</v>
      </c>
      <c r="G20947" s="2">
        <v>31</v>
      </c>
      <c r="H20947" s="2">
        <v>242</v>
      </c>
      <c r="I20947" s="2">
        <v>31</v>
      </c>
      <c r="J20947" s="2">
        <v>681</v>
      </c>
      <c r="K20947" s="2">
        <v>241</v>
      </c>
      <c r="L20947" s="2">
        <v>463</v>
      </c>
    </row>
    <row r="20948" spans="1:12" x14ac:dyDescent="0.25">
      <c r="A20948" s="4" t="str">
        <f>HYPERLINK("http://www.rosaceae.org/Prunus/Prunus_persica/p.persica_gdr_reftransV1_0007775","p.persica_gdr_reftransV1_0007775")</f>
        <v>p.persica_gdr_reftransV1_0007775</v>
      </c>
      <c r="B20948" s="2">
        <v>1886</v>
      </c>
      <c r="C20948" s="4" t="str">
        <f>HYPERLINK("http://www.uniprot.org/uniprot/M5WCV0","M5WCV0")</f>
        <v>M5WCV0</v>
      </c>
      <c r="D20948" s="2" t="s">
        <v>15735</v>
      </c>
      <c r="E20948" s="3">
        <v>0</v>
      </c>
      <c r="F20948" s="2">
        <v>2282</v>
      </c>
      <c r="G20948" s="2">
        <v>94</v>
      </c>
      <c r="H20948" s="2">
        <v>502</v>
      </c>
      <c r="I20948" s="2">
        <v>229</v>
      </c>
      <c r="J20948" s="2">
        <v>1734</v>
      </c>
      <c r="K20948" s="2">
        <v>30</v>
      </c>
      <c r="L20948" s="2">
        <v>504</v>
      </c>
    </row>
    <row r="20949" spans="1:12" x14ac:dyDescent="0.25">
      <c r="A20949" s="4" t="str">
        <f>HYPERLINK("http://www.rosaceae.org/Prunus/Prunus_persica/p.persica_gdr_reftransV1_0008475","p.persica_gdr_reftransV1_0008475")</f>
        <v>p.persica_gdr_reftransV1_0008475</v>
      </c>
      <c r="B20949" s="2">
        <v>1028</v>
      </c>
      <c r="C20949" s="4" t="str">
        <f>HYPERLINK("http://www.uniprot.org/uniprot/M5Y873","M5Y873")</f>
        <v>M5Y873</v>
      </c>
      <c r="D20949" s="2" t="s">
        <v>9127</v>
      </c>
      <c r="E20949" s="3">
        <v>6.0199999999999998E-130</v>
      </c>
      <c r="F20949" s="2">
        <v>1035</v>
      </c>
      <c r="G20949" s="2">
        <v>98</v>
      </c>
      <c r="H20949" s="2">
        <v>199</v>
      </c>
      <c r="I20949" s="2">
        <v>184</v>
      </c>
      <c r="J20949" s="2">
        <v>780</v>
      </c>
      <c r="K20949" s="2">
        <v>637</v>
      </c>
      <c r="L20949" s="2">
        <v>832</v>
      </c>
    </row>
    <row r="20950" spans="1:12" x14ac:dyDescent="0.25">
      <c r="A20950" s="4" t="str">
        <f>HYPERLINK("http://www.rosaceae.org/Prunus/Prunus_persica/p.persica_gdr_reftransV1_0008825","p.persica_gdr_reftransV1_0008825")</f>
        <v>p.persica_gdr_reftransV1_0008825</v>
      </c>
      <c r="B20950" s="2">
        <v>1034</v>
      </c>
      <c r="C20950" s="4" t="str">
        <f>HYPERLINK("http://www.uniprot.org/uniprot/M5W3L1","M5W3L1")</f>
        <v>M5W3L1</v>
      </c>
      <c r="D20950" s="2" t="s">
        <v>15736</v>
      </c>
      <c r="E20950" s="3">
        <v>7.8300000000000003E-68</v>
      </c>
      <c r="F20950" s="2">
        <v>561</v>
      </c>
      <c r="G20950" s="2">
        <v>100</v>
      </c>
      <c r="H20950" s="2">
        <v>109</v>
      </c>
      <c r="I20950" s="2">
        <v>110</v>
      </c>
      <c r="J20950" s="2">
        <v>436</v>
      </c>
      <c r="K20950" s="2">
        <v>1</v>
      </c>
      <c r="L20950" s="2">
        <v>109</v>
      </c>
    </row>
    <row r="20951" spans="1:12" x14ac:dyDescent="0.25">
      <c r="A20951" s="4" t="str">
        <f>HYPERLINK("http://www.rosaceae.org/Prunus/Prunus_persica/p.persica_gdr_reftransV1_0010225","p.persica_gdr_reftransV1_0010225")</f>
        <v>p.persica_gdr_reftransV1_0010225</v>
      </c>
      <c r="B20951" s="2">
        <v>1341</v>
      </c>
      <c r="C20951" s="4" t="str">
        <f>HYPERLINK("http://www.uniprot.org/uniprot/M5W4X4","M5W4X4")</f>
        <v>M5W4X4</v>
      </c>
      <c r="D20951" s="2" t="s">
        <v>1018</v>
      </c>
      <c r="E20951" s="3">
        <v>0</v>
      </c>
      <c r="F20951" s="2">
        <v>1173</v>
      </c>
      <c r="G20951" s="2">
        <v>86</v>
      </c>
      <c r="H20951" s="2">
        <v>262</v>
      </c>
      <c r="I20951" s="2">
        <v>3</v>
      </c>
      <c r="J20951" s="2">
        <v>785</v>
      </c>
      <c r="K20951" s="2">
        <v>168</v>
      </c>
      <c r="L20951" s="2">
        <v>395</v>
      </c>
    </row>
    <row r="20952" spans="1:12" x14ac:dyDescent="0.25">
      <c r="A20952" s="4" t="str">
        <f>HYPERLINK("http://www.rosaceae.org/Prunus/Prunus_persica/p.persica_gdr_reftransV1_0010925","p.persica_gdr_reftransV1_0010925")</f>
        <v>p.persica_gdr_reftransV1_0010925</v>
      </c>
      <c r="B20952" s="2">
        <v>3015</v>
      </c>
      <c r="C20952" s="4" t="str">
        <f>HYPERLINK("http://www.uniprot.org/uniprot/M5WJU6","M5WJU6")</f>
        <v>M5WJU6</v>
      </c>
      <c r="D20952" s="2" t="s">
        <v>15737</v>
      </c>
      <c r="E20952" s="3">
        <v>0</v>
      </c>
      <c r="F20952" s="2">
        <v>2926</v>
      </c>
      <c r="G20952" s="2">
        <v>88</v>
      </c>
      <c r="H20952" s="2">
        <v>665</v>
      </c>
      <c r="I20952" s="2">
        <v>443</v>
      </c>
      <c r="J20952" s="2">
        <v>2437</v>
      </c>
      <c r="K20952" s="2">
        <v>1</v>
      </c>
      <c r="L20952" s="2">
        <v>598</v>
      </c>
    </row>
    <row r="20953" spans="1:12" x14ac:dyDescent="0.25">
      <c r="A20953" s="4" t="str">
        <f>HYPERLINK("http://www.rosaceae.org/Prunus/Prunus_persica/p.persica_gdr_reftransV1_0011625","p.persica_gdr_reftransV1_0011625")</f>
        <v>p.persica_gdr_reftransV1_0011625</v>
      </c>
      <c r="B20953" s="2">
        <v>1223</v>
      </c>
      <c r="C20953" s="4" t="str">
        <f>HYPERLINK("http://www.uniprot.org/uniprot/M5WBT0","M5WBT0")</f>
        <v>M5WBT0</v>
      </c>
      <c r="D20953" s="2" t="s">
        <v>15738</v>
      </c>
      <c r="E20953" s="3">
        <v>9.0500000000000003E-109</v>
      </c>
      <c r="F20953" s="2">
        <v>849</v>
      </c>
      <c r="G20953" s="2">
        <v>100</v>
      </c>
      <c r="H20953" s="2">
        <v>179</v>
      </c>
      <c r="I20953" s="2">
        <v>409</v>
      </c>
      <c r="J20953" s="2">
        <v>945</v>
      </c>
      <c r="K20953" s="2">
        <v>1</v>
      </c>
      <c r="L20953" s="2">
        <v>179</v>
      </c>
    </row>
    <row r="20954" spans="1:12" x14ac:dyDescent="0.25">
      <c r="A20954" s="4" t="str">
        <f>HYPERLINK("http://www.rosaceae.org/Prunus/Prunus_persica/p.persica_gdr_reftransV1_0012325","p.persica_gdr_reftransV1_0012325")</f>
        <v>p.persica_gdr_reftransV1_0012325</v>
      </c>
      <c r="B20954" s="2">
        <v>1537</v>
      </c>
      <c r="C20954" s="4" t="str">
        <f>HYPERLINK("http://www.uniprot.org/uniprot/M5WA95","M5WA95")</f>
        <v>M5WA95</v>
      </c>
      <c r="D20954" s="2" t="s">
        <v>15739</v>
      </c>
      <c r="E20954" s="3">
        <v>0</v>
      </c>
      <c r="F20954" s="2">
        <v>1500</v>
      </c>
      <c r="G20954" s="2">
        <v>100</v>
      </c>
      <c r="H20954" s="2">
        <v>282</v>
      </c>
      <c r="I20954" s="2">
        <v>416</v>
      </c>
      <c r="J20954" s="2">
        <v>1261</v>
      </c>
      <c r="K20954" s="2">
        <v>1</v>
      </c>
      <c r="L20954" s="2">
        <v>282</v>
      </c>
    </row>
    <row r="20955" spans="1:12" x14ac:dyDescent="0.25">
      <c r="A20955" s="4" t="str">
        <f>HYPERLINK("http://www.rosaceae.org/Prunus/Prunus_persica/p.persica_gdr_reftransV1_0014075","p.persica_gdr_reftransV1_0014075")</f>
        <v>p.persica_gdr_reftransV1_0014075</v>
      </c>
      <c r="B20955" s="2">
        <v>6434</v>
      </c>
      <c r="C20955" s="4" t="str">
        <f>HYPERLINK("http://www.uniprot.org/uniprot/M5VVR4","M5VVR4")</f>
        <v>M5VVR4</v>
      </c>
      <c r="D20955" s="2" t="s">
        <v>15740</v>
      </c>
      <c r="E20955" s="3">
        <v>0</v>
      </c>
      <c r="F20955" s="2">
        <v>5544</v>
      </c>
      <c r="G20955" s="2">
        <v>100</v>
      </c>
      <c r="H20955" s="2">
        <v>1050</v>
      </c>
      <c r="I20955" s="2">
        <v>683</v>
      </c>
      <c r="J20955" s="2">
        <v>3832</v>
      </c>
      <c r="K20955" s="2">
        <v>1</v>
      </c>
      <c r="L20955" s="2">
        <v>1050</v>
      </c>
    </row>
    <row r="20956" spans="1:12" x14ac:dyDescent="0.25">
      <c r="A20956" s="4" t="str">
        <f>HYPERLINK("http://www.rosaceae.org/Prunus/Prunus_persica/p.persica_gdr_reftransV1_0014775","p.persica_gdr_reftransV1_0014775")</f>
        <v>p.persica_gdr_reftransV1_0014775</v>
      </c>
      <c r="B20956" s="2">
        <v>2078</v>
      </c>
      <c r="C20956" s="4" t="str">
        <f>HYPERLINK("http://www.uniprot.org/uniprot/M5XBM3","M5XBM3")</f>
        <v>M5XBM3</v>
      </c>
      <c r="D20956" s="2" t="s">
        <v>15741</v>
      </c>
      <c r="E20956" s="3">
        <v>0</v>
      </c>
      <c r="F20956" s="2">
        <v>2599</v>
      </c>
      <c r="G20956" s="2">
        <v>100</v>
      </c>
      <c r="H20956" s="2">
        <v>485</v>
      </c>
      <c r="I20956" s="2">
        <v>512</v>
      </c>
      <c r="J20956" s="2">
        <v>1966</v>
      </c>
      <c r="K20956" s="2">
        <v>1</v>
      </c>
      <c r="L20956" s="2">
        <v>485</v>
      </c>
    </row>
    <row r="20957" spans="1:12" x14ac:dyDescent="0.25">
      <c r="A20957" s="4" t="str">
        <f>HYPERLINK("http://www.rosaceae.org/Prunus/Prunus_persica/p.persica_gdr_reftransV1_0015475","p.persica_gdr_reftransV1_0015475")</f>
        <v>p.persica_gdr_reftransV1_0015475</v>
      </c>
      <c r="B20957" s="2">
        <v>1155</v>
      </c>
      <c r="C20957" s="4" t="str">
        <f>HYPERLINK("http://www.uniprot.org/uniprot/M5X190","M5X190")</f>
        <v>M5X190</v>
      </c>
      <c r="D20957" s="2" t="s">
        <v>15742</v>
      </c>
      <c r="E20957" s="3">
        <v>4.3299999999999999E-111</v>
      </c>
      <c r="F20957" s="2">
        <v>858</v>
      </c>
      <c r="G20957" s="2">
        <v>96</v>
      </c>
      <c r="H20957" s="2">
        <v>194</v>
      </c>
      <c r="I20957" s="2">
        <v>568</v>
      </c>
      <c r="J20957" s="2">
        <v>1149</v>
      </c>
      <c r="K20957" s="2">
        <v>1</v>
      </c>
      <c r="L20957" s="2">
        <v>186</v>
      </c>
    </row>
    <row r="20958" spans="1:12" x14ac:dyDescent="0.25">
      <c r="A20958" s="4" t="str">
        <f>HYPERLINK("http://www.rosaceae.org/Prunus/Prunus_persica/p.persica_gdr_reftransV1_0015825","p.persica_gdr_reftransV1_0015825")</f>
        <v>p.persica_gdr_reftransV1_0015825</v>
      </c>
      <c r="B20958" s="2">
        <v>3307</v>
      </c>
      <c r="C20958" s="4" t="str">
        <f>HYPERLINK("http://www.uniprot.org/uniprot/M5XKI9","M5XKI9")</f>
        <v>M5XKI9</v>
      </c>
      <c r="D20958" s="2" t="s">
        <v>15743</v>
      </c>
      <c r="E20958" s="3">
        <v>0</v>
      </c>
      <c r="F20958" s="2">
        <v>3963</v>
      </c>
      <c r="G20958" s="2">
        <v>92</v>
      </c>
      <c r="H20958" s="2">
        <v>848</v>
      </c>
      <c r="I20958" s="2">
        <v>309</v>
      </c>
      <c r="J20958" s="2">
        <v>2852</v>
      </c>
      <c r="K20958" s="2">
        <v>1</v>
      </c>
      <c r="L20958" s="2">
        <v>780</v>
      </c>
    </row>
    <row r="20959" spans="1:12" x14ac:dyDescent="0.25">
      <c r="A20959" s="4" t="str">
        <f>HYPERLINK("http://www.rosaceae.org/Prunus/Prunus_persica/p.persica_gdr_reftransV1_0016875","p.persica_gdr_reftransV1_0016875")</f>
        <v>p.persica_gdr_reftransV1_0016875</v>
      </c>
      <c r="B20959" s="2">
        <v>1508</v>
      </c>
      <c r="C20959" s="4" t="str">
        <f>HYPERLINK("http://www.uniprot.org/uniprot/A0A061E719","A0A061E719")</f>
        <v>A0A061E719</v>
      </c>
      <c r="D20959" s="2" t="s">
        <v>15744</v>
      </c>
      <c r="E20959" s="3">
        <v>0</v>
      </c>
      <c r="F20959" s="2">
        <v>1522</v>
      </c>
      <c r="G20959" s="2">
        <v>63</v>
      </c>
      <c r="H20959" s="2">
        <v>435</v>
      </c>
      <c r="I20959" s="2">
        <v>176</v>
      </c>
      <c r="J20959" s="2">
        <v>1450</v>
      </c>
      <c r="K20959" s="2">
        <v>1</v>
      </c>
      <c r="L20959" s="2">
        <v>429</v>
      </c>
    </row>
    <row r="20960" spans="1:12" x14ac:dyDescent="0.25">
      <c r="A20960" s="4" t="str">
        <f>HYPERLINK("http://www.rosaceae.org/Prunus/Prunus_persica/p.persica_gdr_reftransV1_0018975","p.persica_gdr_reftransV1_0018975")</f>
        <v>p.persica_gdr_reftransV1_0018975</v>
      </c>
      <c r="B20960" s="2">
        <v>1844</v>
      </c>
      <c r="C20960" s="4" t="str">
        <f>HYPERLINK("http://www.uniprot.org/uniprot/M5WTU3","M5WTU3")</f>
        <v>M5WTU3</v>
      </c>
      <c r="D20960" s="2" t="s">
        <v>15655</v>
      </c>
      <c r="E20960" s="3">
        <v>0</v>
      </c>
      <c r="F20960" s="2">
        <v>1586</v>
      </c>
      <c r="G20960" s="2">
        <v>100</v>
      </c>
      <c r="H20960" s="2">
        <v>339</v>
      </c>
      <c r="I20960" s="2">
        <v>351</v>
      </c>
      <c r="J20960" s="2">
        <v>1367</v>
      </c>
      <c r="K20960" s="2">
        <v>1</v>
      </c>
      <c r="L20960" s="2">
        <v>339</v>
      </c>
    </row>
    <row r="20961" spans="1:12" x14ac:dyDescent="0.25">
      <c r="A20961" s="4" t="str">
        <f>HYPERLINK("http://www.rosaceae.org/Prunus/Prunus_persica/p.persica_gdr_reftransV1_0019675","p.persica_gdr_reftransV1_0019675")</f>
        <v>p.persica_gdr_reftransV1_0019675</v>
      </c>
      <c r="B20961" s="2">
        <v>3064</v>
      </c>
      <c r="C20961" s="4" t="str">
        <f>HYPERLINK("http://www.uniprot.org/uniprot/M5W887","M5W887")</f>
        <v>M5W887</v>
      </c>
      <c r="D20961" s="2" t="s">
        <v>12353</v>
      </c>
      <c r="E20961" s="3">
        <v>0</v>
      </c>
      <c r="F20961" s="2">
        <v>2556</v>
      </c>
      <c r="G20961" s="2">
        <v>95</v>
      </c>
      <c r="H20961" s="2">
        <v>612</v>
      </c>
      <c r="I20961" s="2">
        <v>373</v>
      </c>
      <c r="J20961" s="2">
        <v>2205</v>
      </c>
      <c r="K20961" s="2">
        <v>88</v>
      </c>
      <c r="L20961" s="2">
        <v>699</v>
      </c>
    </row>
    <row r="20962" spans="1:12" x14ac:dyDescent="0.25">
      <c r="A20962" s="4" t="str">
        <f>HYPERLINK("http://www.rosaceae.org/Prunus/Prunus_persica/p.persica_gdr_reftransV1_0020375","p.persica_gdr_reftransV1_0020375")</f>
        <v>p.persica_gdr_reftransV1_0020375</v>
      </c>
      <c r="B20962" s="2">
        <v>1315</v>
      </c>
      <c r="C20962" s="4" t="str">
        <f>HYPERLINK("http://www.uniprot.org/uniprot/M5WHW2","M5WHW2")</f>
        <v>M5WHW2</v>
      </c>
      <c r="D20962" s="2" t="s">
        <v>15745</v>
      </c>
      <c r="E20962" s="3">
        <v>1.42E-80</v>
      </c>
      <c r="F20962" s="2">
        <v>660</v>
      </c>
      <c r="G20962" s="2">
        <v>100</v>
      </c>
      <c r="H20962" s="2">
        <v>123</v>
      </c>
      <c r="I20962" s="2">
        <v>818</v>
      </c>
      <c r="J20962" s="2">
        <v>1186</v>
      </c>
      <c r="K20962" s="2">
        <v>1</v>
      </c>
      <c r="L20962" s="2">
        <v>123</v>
      </c>
    </row>
    <row r="20963" spans="1:12" x14ac:dyDescent="0.25">
      <c r="A20963" s="4" t="str">
        <f>HYPERLINK("http://www.rosaceae.org/Prunus/Prunus_persica/p.persica_gdr_reftransV1_0021425","p.persica_gdr_reftransV1_0021425")</f>
        <v>p.persica_gdr_reftransV1_0021425</v>
      </c>
      <c r="B20963" s="2">
        <v>3990</v>
      </c>
      <c r="C20963" s="4" t="str">
        <f>HYPERLINK("http://www.uniprot.org/uniprot/M5VXE3","M5VXE3")</f>
        <v>M5VXE3</v>
      </c>
      <c r="D20963" s="2" t="s">
        <v>7930</v>
      </c>
      <c r="E20963" s="3">
        <v>3.4800000000000001E-163</v>
      </c>
      <c r="F20963" s="2">
        <v>1317</v>
      </c>
      <c r="G20963" s="2">
        <v>99</v>
      </c>
      <c r="H20963" s="2">
        <v>245</v>
      </c>
      <c r="I20963" s="2">
        <v>211</v>
      </c>
      <c r="J20963" s="2">
        <v>945</v>
      </c>
      <c r="K20963" s="2">
        <v>6</v>
      </c>
      <c r="L20963" s="2">
        <v>250</v>
      </c>
    </row>
    <row r="20964" spans="1:12" x14ac:dyDescent="0.25">
      <c r="A20964" s="4" t="str">
        <f>HYPERLINK("http://www.rosaceae.org/Prunus/Prunus_persica/p.persica_gdr_reftransV1_0022125","p.persica_gdr_reftransV1_0022125")</f>
        <v>p.persica_gdr_reftransV1_0022125</v>
      </c>
      <c r="B20964" s="2">
        <v>1041</v>
      </c>
      <c r="C20964" s="4" t="str">
        <f>HYPERLINK("http://www.uniprot.org/uniprot/M5VR43","M5VR43")</f>
        <v>M5VR43</v>
      </c>
      <c r="D20964" s="2" t="s">
        <v>15746</v>
      </c>
      <c r="E20964" s="3">
        <v>1.6199999999999999E-91</v>
      </c>
      <c r="F20964" s="2">
        <v>725</v>
      </c>
      <c r="G20964" s="2">
        <v>99</v>
      </c>
      <c r="H20964" s="2">
        <v>171</v>
      </c>
      <c r="I20964" s="2">
        <v>115</v>
      </c>
      <c r="J20964" s="2">
        <v>627</v>
      </c>
      <c r="K20964" s="2">
        <v>1</v>
      </c>
      <c r="L20964" s="2">
        <v>171</v>
      </c>
    </row>
    <row r="20965" spans="1:12" x14ac:dyDescent="0.25">
      <c r="A20965" s="4" t="str">
        <f>HYPERLINK("http://www.rosaceae.org/Prunus/Prunus_persica/p.persica_gdr_reftransV1_0023175","p.persica_gdr_reftransV1_0023175")</f>
        <v>p.persica_gdr_reftransV1_0023175</v>
      </c>
      <c r="B20965" s="2">
        <v>3639</v>
      </c>
      <c r="C20965" s="4" t="str">
        <f>HYPERLINK("http://www.uniprot.org/uniprot/M5XS00","M5XS00")</f>
        <v>M5XS00</v>
      </c>
      <c r="D20965" s="2" t="s">
        <v>13368</v>
      </c>
      <c r="E20965" s="3">
        <v>0</v>
      </c>
      <c r="F20965" s="2">
        <v>4441</v>
      </c>
      <c r="G20965" s="2">
        <v>99</v>
      </c>
      <c r="H20965" s="2">
        <v>831</v>
      </c>
      <c r="I20965" s="2">
        <v>894</v>
      </c>
      <c r="J20965" s="2">
        <v>3386</v>
      </c>
      <c r="K20965" s="2">
        <v>1</v>
      </c>
      <c r="L20965" s="2">
        <v>831</v>
      </c>
    </row>
    <row r="20966" spans="1:12" x14ac:dyDescent="0.25">
      <c r="A20966" s="4" t="str">
        <f>HYPERLINK("http://www.rosaceae.org/Prunus/Prunus_persica/p.persica_gdr_reftransV1_0023525","p.persica_gdr_reftransV1_0023525")</f>
        <v>p.persica_gdr_reftransV1_0023525</v>
      </c>
      <c r="B20966" s="2">
        <v>2544</v>
      </c>
      <c r="C20966" s="4" t="str">
        <f>HYPERLINK("http://www.uniprot.org/uniprot/M5W717","M5W717")</f>
        <v>M5W717</v>
      </c>
      <c r="D20966" s="2" t="s">
        <v>15747</v>
      </c>
      <c r="E20966" s="3">
        <v>0</v>
      </c>
      <c r="F20966" s="2">
        <v>2131</v>
      </c>
      <c r="G20966" s="2">
        <v>100</v>
      </c>
      <c r="H20966" s="2">
        <v>437</v>
      </c>
      <c r="I20966" s="2">
        <v>1119</v>
      </c>
      <c r="J20966" s="2">
        <v>2429</v>
      </c>
      <c r="K20966" s="2">
        <v>9</v>
      </c>
      <c r="L20966" s="2">
        <v>445</v>
      </c>
    </row>
    <row r="20967" spans="1:12" x14ac:dyDescent="0.25">
      <c r="A20967" s="4" t="str">
        <f>HYPERLINK("http://www.rosaceae.org/Prunus/Prunus_persica/p.persica_gdr_reftransV1_0024925","p.persica_gdr_reftransV1_0024925")</f>
        <v>p.persica_gdr_reftransV1_0024925</v>
      </c>
      <c r="B20967" s="2">
        <v>4273</v>
      </c>
      <c r="C20967" s="4" t="str">
        <f>HYPERLINK("http://www.uniprot.org/uniprot/M5XRY6","M5XRY6")</f>
        <v>M5XRY6</v>
      </c>
      <c r="D20967" s="2" t="s">
        <v>15748</v>
      </c>
      <c r="E20967" s="3">
        <v>0</v>
      </c>
      <c r="F20967" s="2">
        <v>6128</v>
      </c>
      <c r="G20967" s="2">
        <v>100</v>
      </c>
      <c r="H20967" s="2">
        <v>1252</v>
      </c>
      <c r="I20967" s="2">
        <v>328</v>
      </c>
      <c r="J20967" s="2">
        <v>4083</v>
      </c>
      <c r="K20967" s="2">
        <v>1</v>
      </c>
      <c r="L20967" s="2">
        <v>1252</v>
      </c>
    </row>
    <row r="20968" spans="1:12" x14ac:dyDescent="0.25">
      <c r="A20968" s="4" t="str">
        <f>HYPERLINK("http://www.rosaceae.org/Prunus/Prunus_persica/p.persica_gdr_reftransV1_0025975","p.persica_gdr_reftransV1_0025975")</f>
        <v>p.persica_gdr_reftransV1_0025975</v>
      </c>
      <c r="B20968" s="2">
        <v>3879</v>
      </c>
      <c r="C20968" s="4" t="str">
        <f>HYPERLINK("http://www.uniprot.org/uniprot/M5WXL8","M5WXL8")</f>
        <v>M5WXL8</v>
      </c>
      <c r="D20968" s="2" t="s">
        <v>15749</v>
      </c>
      <c r="E20968" s="3">
        <v>0</v>
      </c>
      <c r="F20968" s="2">
        <v>2634</v>
      </c>
      <c r="G20968" s="2">
        <v>100</v>
      </c>
      <c r="H20968" s="2">
        <v>495</v>
      </c>
      <c r="I20968" s="2">
        <v>2321</v>
      </c>
      <c r="J20968" s="2">
        <v>3805</v>
      </c>
      <c r="K20968" s="2">
        <v>1</v>
      </c>
      <c r="L20968" s="2">
        <v>495</v>
      </c>
    </row>
    <row r="20969" spans="1:12" x14ac:dyDescent="0.25">
      <c r="A20969" s="4" t="str">
        <f>HYPERLINK("http://www.rosaceae.org/Prunus/Prunus_persica/p.persica_gdr_reftransV1_0026675","p.persica_gdr_reftransV1_0026675")</f>
        <v>p.persica_gdr_reftransV1_0026675</v>
      </c>
      <c r="B20969" s="2">
        <v>1326</v>
      </c>
      <c r="C20969" s="4" t="str">
        <f>HYPERLINK("http://www.uniprot.org/uniprot/M5WAZ1","M5WAZ1")</f>
        <v>M5WAZ1</v>
      </c>
      <c r="D20969" s="2" t="s">
        <v>6428</v>
      </c>
      <c r="E20969" s="3">
        <v>7.0299999999999998E-82</v>
      </c>
      <c r="F20969" s="2">
        <v>666</v>
      </c>
      <c r="G20969" s="2">
        <v>99</v>
      </c>
      <c r="H20969" s="2">
        <v>154</v>
      </c>
      <c r="I20969" s="2">
        <v>496</v>
      </c>
      <c r="J20969" s="2">
        <v>957</v>
      </c>
      <c r="K20969" s="2">
        <v>1</v>
      </c>
      <c r="L20969" s="2">
        <v>154</v>
      </c>
    </row>
    <row r="20970" spans="1:12" x14ac:dyDescent="0.25">
      <c r="A20970" s="4" t="str">
        <f>HYPERLINK("http://www.rosaceae.org/Prunus/Prunus_persica/p.persica_gdr_reftransV1_0027025","p.persica_gdr_reftransV1_0027025")</f>
        <v>p.persica_gdr_reftransV1_0027025</v>
      </c>
      <c r="B20970" s="2">
        <v>1682</v>
      </c>
      <c r="C20970" s="4" t="str">
        <f>HYPERLINK("http://www.uniprot.org/uniprot/M5X1U6","M5X1U6")</f>
        <v>M5X1U6</v>
      </c>
      <c r="D20970" s="2" t="s">
        <v>10428</v>
      </c>
      <c r="E20970" s="3">
        <v>7.0700000000000004E-103</v>
      </c>
      <c r="F20970" s="2">
        <v>831</v>
      </c>
      <c r="G20970" s="2">
        <v>100</v>
      </c>
      <c r="H20970" s="2">
        <v>154</v>
      </c>
      <c r="I20970" s="2">
        <v>708</v>
      </c>
      <c r="J20970" s="2">
        <v>1169</v>
      </c>
      <c r="K20970" s="2">
        <v>160</v>
      </c>
      <c r="L20970" s="2">
        <v>313</v>
      </c>
    </row>
    <row r="20971" spans="1:12" x14ac:dyDescent="0.25">
      <c r="A20971" s="4" t="str">
        <f>HYPERLINK("http://www.rosaceae.org/Prunus/Prunus_persica/p.persica_gdr_reftransV1_0027375","p.persica_gdr_reftransV1_0027375")</f>
        <v>p.persica_gdr_reftransV1_0027375</v>
      </c>
      <c r="B20971" s="2">
        <v>2545</v>
      </c>
      <c r="C20971" s="4" t="str">
        <f>HYPERLINK("http://www.uniprot.org/uniprot/M5VY43","M5VY43")</f>
        <v>M5VY43</v>
      </c>
      <c r="D20971" s="2" t="s">
        <v>1097</v>
      </c>
      <c r="E20971" s="3">
        <v>0</v>
      </c>
      <c r="F20971" s="2">
        <v>1965</v>
      </c>
      <c r="G20971" s="2">
        <v>100</v>
      </c>
      <c r="H20971" s="2">
        <v>458</v>
      </c>
      <c r="I20971" s="2">
        <v>1</v>
      </c>
      <c r="J20971" s="2">
        <v>1374</v>
      </c>
      <c r="K20971" s="2">
        <v>9</v>
      </c>
      <c r="L20971" s="2">
        <v>466</v>
      </c>
    </row>
    <row r="20972" spans="1:12" x14ac:dyDescent="0.25">
      <c r="A20972" s="4" t="str">
        <f>HYPERLINK("http://www.rosaceae.org/Prunus/Prunus_persica/p.persica_gdr_reftransV1_0027725","p.persica_gdr_reftransV1_0027725")</f>
        <v>p.persica_gdr_reftransV1_0027725</v>
      </c>
      <c r="B20972" s="2">
        <v>1834</v>
      </c>
      <c r="C20972" s="4" t="str">
        <f>HYPERLINK("http://www.uniprot.org/uniprot/M5VZQ6","M5VZQ6")</f>
        <v>M5VZQ6</v>
      </c>
      <c r="D20972" s="2" t="s">
        <v>15750</v>
      </c>
      <c r="E20972" s="3">
        <v>3.1700000000000001E-30</v>
      </c>
      <c r="F20972" s="2">
        <v>330</v>
      </c>
      <c r="G20972" s="2">
        <v>100</v>
      </c>
      <c r="H20972" s="2">
        <v>121</v>
      </c>
      <c r="I20972" s="2">
        <v>245</v>
      </c>
      <c r="J20972" s="2">
        <v>607</v>
      </c>
      <c r="K20972" s="2">
        <v>164</v>
      </c>
      <c r="L20972" s="2">
        <v>284</v>
      </c>
    </row>
    <row r="20973" spans="1:12" x14ac:dyDescent="0.25">
      <c r="A20973" s="4" t="str">
        <f>HYPERLINK("http://www.rosaceae.org/Prunus/Prunus_persica/p.persica_gdr_reftransV1_0028075","p.persica_gdr_reftransV1_0028075")</f>
        <v>p.persica_gdr_reftransV1_0028075</v>
      </c>
      <c r="B20973" s="2">
        <v>2810</v>
      </c>
      <c r="C20973" s="4" t="str">
        <f>HYPERLINK("http://www.uniprot.org/uniprot/M5WNI1","M5WNI1")</f>
        <v>M5WNI1</v>
      </c>
      <c r="D20973" s="2" t="s">
        <v>15751</v>
      </c>
      <c r="E20973" s="3">
        <v>0</v>
      </c>
      <c r="F20973" s="2">
        <v>3053</v>
      </c>
      <c r="G20973" s="2">
        <v>95</v>
      </c>
      <c r="H20973" s="2">
        <v>622</v>
      </c>
      <c r="I20973" s="2">
        <v>198</v>
      </c>
      <c r="J20973" s="2">
        <v>2063</v>
      </c>
      <c r="K20973" s="2">
        <v>1</v>
      </c>
      <c r="L20973" s="2">
        <v>590</v>
      </c>
    </row>
    <row r="20974" spans="1:12" x14ac:dyDescent="0.25">
      <c r="A20974" s="4" t="str">
        <f>HYPERLINK("http://www.rosaceae.org/Prunus/Prunus_persica/p.persica_gdr_reftransV1_0029825","p.persica_gdr_reftransV1_0029825")</f>
        <v>p.persica_gdr_reftransV1_0029825</v>
      </c>
      <c r="B20974" s="2">
        <v>2353</v>
      </c>
      <c r="C20974" s="4" t="str">
        <f>HYPERLINK("http://www.uniprot.org/uniprot/M5W9T8","M5W9T8")</f>
        <v>M5W9T8</v>
      </c>
      <c r="D20974" s="2" t="s">
        <v>15752</v>
      </c>
      <c r="E20974" s="3">
        <v>4.8300000000000001E-176</v>
      </c>
      <c r="F20974" s="2">
        <v>1346</v>
      </c>
      <c r="G20974" s="2">
        <v>96</v>
      </c>
      <c r="H20974" s="2">
        <v>269</v>
      </c>
      <c r="I20974" s="2">
        <v>955</v>
      </c>
      <c r="J20974" s="2">
        <v>1755</v>
      </c>
      <c r="K20974" s="2">
        <v>1</v>
      </c>
      <c r="L20974" s="2">
        <v>269</v>
      </c>
    </row>
    <row r="20975" spans="1:12" x14ac:dyDescent="0.25">
      <c r="A20975" s="4" t="str">
        <f>HYPERLINK("http://www.rosaceae.org/Prunus/Prunus_persica/p.persica_gdr_reftransV1_0030525","p.persica_gdr_reftransV1_0030525")</f>
        <v>p.persica_gdr_reftransV1_0030525</v>
      </c>
      <c r="B20975" s="2">
        <v>627</v>
      </c>
      <c r="C20975" s="4" t="str">
        <f>HYPERLINK("http://www.uniprot.org/uniprot/M5XUQ4","M5XUQ4")</f>
        <v>M5XUQ4</v>
      </c>
      <c r="D20975" s="2" t="s">
        <v>3224</v>
      </c>
      <c r="E20975" s="3">
        <v>5.7000000000000001E-147</v>
      </c>
      <c r="F20975" s="2">
        <v>1116</v>
      </c>
      <c r="G20975" s="2">
        <v>100</v>
      </c>
      <c r="H20975" s="2">
        <v>208</v>
      </c>
      <c r="I20975" s="2">
        <v>3</v>
      </c>
      <c r="J20975" s="2">
        <v>626</v>
      </c>
      <c r="K20975" s="2">
        <v>333</v>
      </c>
      <c r="L20975" s="2">
        <v>540</v>
      </c>
    </row>
    <row r="20976" spans="1:12" x14ac:dyDescent="0.25">
      <c r="A20976" s="4" t="str">
        <f>HYPERLINK("http://www.rosaceae.org/Prunus/Prunus_persica/p.persica_gdr_reftransV1_0033325","p.persica_gdr_reftransV1_0033325")</f>
        <v>p.persica_gdr_reftransV1_0033325</v>
      </c>
      <c r="B20976" s="2">
        <v>2802</v>
      </c>
      <c r="C20976" s="4" t="str">
        <f>HYPERLINK("http://www.uniprot.org/uniprot/M5XY84","M5XY84")</f>
        <v>M5XY84</v>
      </c>
      <c r="D20976" s="2" t="s">
        <v>7784</v>
      </c>
      <c r="E20976" s="3">
        <v>2.8399999999999999E-177</v>
      </c>
      <c r="F20976" s="2">
        <v>1385</v>
      </c>
      <c r="G20976" s="2">
        <v>100</v>
      </c>
      <c r="H20976" s="2">
        <v>316</v>
      </c>
      <c r="I20976" s="2">
        <v>1286</v>
      </c>
      <c r="J20976" s="2">
        <v>2233</v>
      </c>
      <c r="K20976" s="2">
        <v>1</v>
      </c>
      <c r="L20976" s="2">
        <v>316</v>
      </c>
    </row>
    <row r="20977" spans="1:12" x14ac:dyDescent="0.25">
      <c r="A20977" s="4" t="str">
        <f>HYPERLINK("http://www.rosaceae.org/Prunus/Prunus_persica/p.persica_gdr_reftransV1_0033675","p.persica_gdr_reftransV1_0033675")</f>
        <v>p.persica_gdr_reftransV1_0033675</v>
      </c>
      <c r="B20977" s="2">
        <v>4003</v>
      </c>
      <c r="C20977" s="4" t="str">
        <f>HYPERLINK("http://www.uniprot.org/uniprot/M5WF46","M5WF46")</f>
        <v>M5WF46</v>
      </c>
      <c r="D20977" s="2" t="s">
        <v>7976</v>
      </c>
      <c r="E20977" s="3">
        <v>2.3500000000000002E-128</v>
      </c>
      <c r="F20977" s="2">
        <v>1077</v>
      </c>
      <c r="G20977" s="2">
        <v>99</v>
      </c>
      <c r="H20977" s="2">
        <v>199</v>
      </c>
      <c r="I20977" s="2">
        <v>3365</v>
      </c>
      <c r="J20977" s="2">
        <v>3961</v>
      </c>
      <c r="K20977" s="2">
        <v>1</v>
      </c>
      <c r="L20977" s="2">
        <v>199</v>
      </c>
    </row>
    <row r="20978" spans="1:12" x14ac:dyDescent="0.25">
      <c r="A20978" s="4" t="str">
        <f>HYPERLINK("http://www.rosaceae.org/Prunus/Prunus_persica/p.persica_gdr_reftransV1_0034375","p.persica_gdr_reftransV1_0034375")</f>
        <v>p.persica_gdr_reftransV1_0034375</v>
      </c>
      <c r="B20978" s="2">
        <v>1051</v>
      </c>
      <c r="C20978" s="4" t="str">
        <f>HYPERLINK("http://www.uniprot.org/uniprot/M5WAR5","M5WAR5")</f>
        <v>M5WAR5</v>
      </c>
      <c r="D20978" s="2" t="s">
        <v>15753</v>
      </c>
      <c r="E20978" s="3">
        <v>3.17E-142</v>
      </c>
      <c r="F20978" s="2">
        <v>1062</v>
      </c>
      <c r="G20978" s="2">
        <v>100</v>
      </c>
      <c r="H20978" s="2">
        <v>203</v>
      </c>
      <c r="I20978" s="2">
        <v>229</v>
      </c>
      <c r="J20978" s="2">
        <v>837</v>
      </c>
      <c r="K20978" s="2">
        <v>1</v>
      </c>
      <c r="L20978" s="2">
        <v>203</v>
      </c>
    </row>
    <row r="20979" spans="1:12" x14ac:dyDescent="0.25">
      <c r="A20979" s="4" t="str">
        <f>HYPERLINK("http://www.rosaceae.org/Prunus/Prunus_persica/p.persica_gdr_reftransV1_0034725","p.persica_gdr_reftransV1_0034725")</f>
        <v>p.persica_gdr_reftransV1_0034725</v>
      </c>
      <c r="B20979" s="2">
        <v>4705</v>
      </c>
      <c r="C20979" s="4" t="str">
        <f>HYPERLINK("http://www.uniprot.org/uniprot/M5VWE8","M5VWE8")</f>
        <v>M5VWE8</v>
      </c>
      <c r="D20979" s="2" t="s">
        <v>15754</v>
      </c>
      <c r="E20979" s="3">
        <v>0</v>
      </c>
      <c r="F20979" s="2">
        <v>2983</v>
      </c>
      <c r="G20979" s="2">
        <v>100</v>
      </c>
      <c r="H20979" s="2">
        <v>592</v>
      </c>
      <c r="I20979" s="2">
        <v>2412</v>
      </c>
      <c r="J20979" s="2">
        <v>4187</v>
      </c>
      <c r="K20979" s="2">
        <v>1</v>
      </c>
      <c r="L20979" s="2">
        <v>592</v>
      </c>
    </row>
    <row r="20980" spans="1:12" x14ac:dyDescent="0.25">
      <c r="A20980" s="4" t="str">
        <f>HYPERLINK("http://www.rosaceae.org/Prunus/Prunus_persica/p.persica_gdr_reftransV1_0035775","p.persica_gdr_reftransV1_0035775")</f>
        <v>p.persica_gdr_reftransV1_0035775</v>
      </c>
      <c r="B20980" s="2">
        <v>2023</v>
      </c>
      <c r="C20980" s="4" t="str">
        <f>HYPERLINK("http://www.uniprot.org/uniprot/M5WB55","M5WB55")</f>
        <v>M5WB55</v>
      </c>
      <c r="D20980" s="2" t="s">
        <v>15755</v>
      </c>
      <c r="E20980" s="3">
        <v>2.1699999999999999E-170</v>
      </c>
      <c r="F20980" s="2">
        <v>1300</v>
      </c>
      <c r="G20980" s="2">
        <v>100</v>
      </c>
      <c r="H20980" s="2">
        <v>263</v>
      </c>
      <c r="I20980" s="2">
        <v>19</v>
      </c>
      <c r="J20980" s="2">
        <v>807</v>
      </c>
      <c r="K20980" s="2">
        <v>1</v>
      </c>
      <c r="L20980" s="2">
        <v>263</v>
      </c>
    </row>
    <row r="20981" spans="1:12" x14ac:dyDescent="0.25">
      <c r="A20981" s="4" t="str">
        <f>HYPERLINK("http://www.rosaceae.org/Prunus/Prunus_persica/p.persica_gdr_reftransV1_0037175","p.persica_gdr_reftransV1_0037175")</f>
        <v>p.persica_gdr_reftransV1_0037175</v>
      </c>
      <c r="B20981" s="2">
        <v>1510</v>
      </c>
      <c r="C20981" s="4" t="str">
        <f>HYPERLINK("http://www.uniprot.org/uniprot/M5WFM2","M5WFM2")</f>
        <v>M5WFM2</v>
      </c>
      <c r="D20981" s="2" t="s">
        <v>15756</v>
      </c>
      <c r="E20981" s="3">
        <v>0</v>
      </c>
      <c r="F20981" s="2">
        <v>2000</v>
      </c>
      <c r="G20981" s="2">
        <v>100</v>
      </c>
      <c r="H20981" s="2">
        <v>493</v>
      </c>
      <c r="I20981" s="2">
        <v>30</v>
      </c>
      <c r="J20981" s="2">
        <v>1508</v>
      </c>
      <c r="K20981" s="2">
        <v>245</v>
      </c>
      <c r="L20981" s="2">
        <v>737</v>
      </c>
    </row>
    <row r="20982" spans="1:12" x14ac:dyDescent="0.25">
      <c r="A20982" s="4" t="str">
        <f>HYPERLINK("http://www.rosaceae.org/Prunus/Prunus_persica/p.persica_gdr_reftransV1_0038925","p.persica_gdr_reftransV1_0038925")</f>
        <v>p.persica_gdr_reftransV1_0038925</v>
      </c>
      <c r="B20982" s="2">
        <v>2499</v>
      </c>
      <c r="C20982" s="4" t="str">
        <f>HYPERLINK("http://www.uniprot.org/uniprot/M5WFL4","M5WFL4")</f>
        <v>M5WFL4</v>
      </c>
      <c r="D20982" s="2" t="s">
        <v>1192</v>
      </c>
      <c r="E20982" s="3">
        <v>0</v>
      </c>
      <c r="F20982" s="2">
        <v>2885</v>
      </c>
      <c r="G20982" s="2">
        <v>99</v>
      </c>
      <c r="H20982" s="2">
        <v>546</v>
      </c>
      <c r="I20982" s="2">
        <v>385</v>
      </c>
      <c r="J20982" s="2">
        <v>2022</v>
      </c>
      <c r="K20982" s="2">
        <v>61</v>
      </c>
      <c r="L20982" s="2">
        <v>606</v>
      </c>
    </row>
    <row r="20983" spans="1:12" x14ac:dyDescent="0.25">
      <c r="A20983" s="4" t="str">
        <f>HYPERLINK("http://www.rosaceae.org/Prunus/Prunus_persica/p.persica_gdr_reftransV1_0039275","p.persica_gdr_reftransV1_0039275")</f>
        <v>p.persica_gdr_reftransV1_0039275</v>
      </c>
      <c r="B20983" s="2">
        <v>8974</v>
      </c>
      <c r="C20983" s="4" t="str">
        <f>HYPERLINK("http://www.uniprot.org/uniprot/M5VX46","M5VX46")</f>
        <v>M5VX46</v>
      </c>
      <c r="D20983" s="2" t="s">
        <v>7152</v>
      </c>
      <c r="E20983" s="3">
        <v>0</v>
      </c>
      <c r="F20983" s="2">
        <v>4569</v>
      </c>
      <c r="G20983" s="2">
        <v>97</v>
      </c>
      <c r="H20983" s="2">
        <v>898</v>
      </c>
      <c r="I20983" s="2">
        <v>3574</v>
      </c>
      <c r="J20983" s="2">
        <v>6267</v>
      </c>
      <c r="K20983" s="2">
        <v>1</v>
      </c>
      <c r="L20983" s="2">
        <v>872</v>
      </c>
    </row>
    <row r="20984" spans="1:12" x14ac:dyDescent="0.25">
      <c r="A20984" s="4" t="str">
        <f>HYPERLINK("http://www.rosaceae.org/Prunus/Prunus_persica/p.persica_gdr_reftransV1_0039625","p.persica_gdr_reftransV1_0039625")</f>
        <v>p.persica_gdr_reftransV1_0039625</v>
      </c>
      <c r="B20984" s="2">
        <v>1784</v>
      </c>
      <c r="C20984" s="4" t="str">
        <f>HYPERLINK("http://www.uniprot.org/uniprot/Q84UK4","Q84UK4")</f>
        <v>Q84UK4</v>
      </c>
      <c r="D20984" s="2" t="s">
        <v>7103</v>
      </c>
      <c r="E20984" s="3">
        <v>0</v>
      </c>
      <c r="F20984" s="2">
        <v>1371</v>
      </c>
      <c r="G20984" s="2">
        <v>100</v>
      </c>
      <c r="H20984" s="2">
        <v>260</v>
      </c>
      <c r="I20984" s="2">
        <v>454</v>
      </c>
      <c r="J20984" s="2">
        <v>1233</v>
      </c>
      <c r="K20984" s="2">
        <v>1</v>
      </c>
      <c r="L20984" s="2">
        <v>260</v>
      </c>
    </row>
    <row r="20985" spans="1:12" x14ac:dyDescent="0.25">
      <c r="A20985" s="4" t="str">
        <f>HYPERLINK("http://www.rosaceae.org/Prunus/Prunus_persica/p.persica_gdr_reftransV1_0042075","p.persica_gdr_reftransV1_0042075")</f>
        <v>p.persica_gdr_reftransV1_0042075</v>
      </c>
      <c r="B20985" s="2">
        <v>1735</v>
      </c>
      <c r="C20985" s="4" t="str">
        <f>HYPERLINK("http://www.uniprot.org/uniprot/M5WYM2","M5WYM2")</f>
        <v>M5WYM2</v>
      </c>
      <c r="D20985" s="2" t="s">
        <v>4087</v>
      </c>
      <c r="E20985" s="3">
        <v>0</v>
      </c>
      <c r="F20985" s="2">
        <v>2163</v>
      </c>
      <c r="G20985" s="2">
        <v>100</v>
      </c>
      <c r="H20985" s="2">
        <v>402</v>
      </c>
      <c r="I20985" s="2">
        <v>172</v>
      </c>
      <c r="J20985" s="2">
        <v>1377</v>
      </c>
      <c r="K20985" s="2">
        <v>588</v>
      </c>
      <c r="L20985" s="2">
        <v>989</v>
      </c>
    </row>
    <row r="20986" spans="1:12" x14ac:dyDescent="0.25">
      <c r="A20986" s="4" t="str">
        <f>HYPERLINK("http://www.rosaceae.org/Prunus/Prunus_persica/p.persica_gdr_reftransV1_0043125","p.persica_gdr_reftransV1_0043125")</f>
        <v>p.persica_gdr_reftransV1_0043125</v>
      </c>
      <c r="B20986" s="2">
        <v>776</v>
      </c>
      <c r="C20986" s="4" t="str">
        <f>HYPERLINK("http://www.uniprot.org/uniprot/A0A061DLF3","A0A061DLF3")</f>
        <v>A0A061DLF3</v>
      </c>
      <c r="D20986" s="2" t="s">
        <v>15757</v>
      </c>
      <c r="E20986" s="3">
        <v>4.5900000000000002E-19</v>
      </c>
      <c r="F20986" s="2">
        <v>230</v>
      </c>
      <c r="G20986" s="2">
        <v>36</v>
      </c>
      <c r="H20986" s="2">
        <v>181</v>
      </c>
      <c r="I20986" s="2">
        <v>269</v>
      </c>
      <c r="J20986" s="2">
        <v>766</v>
      </c>
      <c r="K20986" s="2">
        <v>62</v>
      </c>
      <c r="L20986" s="2">
        <v>240</v>
      </c>
    </row>
    <row r="20987" spans="1:12" x14ac:dyDescent="0.25">
      <c r="A20987" s="4" t="str">
        <f>HYPERLINK("http://www.rosaceae.org/Prunus/Prunus_persica/p.persica_gdr_reftransV1_0043475","p.persica_gdr_reftransV1_0043475")</f>
        <v>p.persica_gdr_reftransV1_0043475</v>
      </c>
      <c r="B20987" s="2">
        <v>2809</v>
      </c>
      <c r="C20987" s="4" t="str">
        <f>HYPERLINK("http://www.uniprot.org/uniprot/V4S2D0","V4S2D0")</f>
        <v>V4S2D0</v>
      </c>
      <c r="D20987" s="2" t="s">
        <v>15758</v>
      </c>
      <c r="E20987" s="3">
        <v>0</v>
      </c>
      <c r="F20987" s="2">
        <v>2824</v>
      </c>
      <c r="G20987" s="2">
        <v>78</v>
      </c>
      <c r="H20987" s="2">
        <v>718</v>
      </c>
      <c r="I20987" s="2">
        <v>492</v>
      </c>
      <c r="J20987" s="2">
        <v>2633</v>
      </c>
      <c r="K20987" s="2">
        <v>1</v>
      </c>
      <c r="L20987" s="2">
        <v>715</v>
      </c>
    </row>
    <row r="20988" spans="1:12" x14ac:dyDescent="0.25">
      <c r="A20988" s="4" t="str">
        <f>HYPERLINK("http://www.rosaceae.org/Prunus/Prunus_persica/p.persica_gdr_reftransV1_0044525","p.persica_gdr_reftransV1_0044525")</f>
        <v>p.persica_gdr_reftransV1_0044525</v>
      </c>
      <c r="B20988" s="2">
        <v>1881</v>
      </c>
      <c r="C20988" s="4" t="str">
        <f>HYPERLINK("http://www.uniprot.org/uniprot/M5W286","M5W286")</f>
        <v>M5W286</v>
      </c>
      <c r="D20988" s="2" t="s">
        <v>11163</v>
      </c>
      <c r="E20988" s="3">
        <v>0</v>
      </c>
      <c r="F20988" s="2">
        <v>2203</v>
      </c>
      <c r="G20988" s="2">
        <v>100</v>
      </c>
      <c r="H20988" s="2">
        <v>429</v>
      </c>
      <c r="I20988" s="2">
        <v>1</v>
      </c>
      <c r="J20988" s="2">
        <v>1287</v>
      </c>
      <c r="K20988" s="2">
        <v>340</v>
      </c>
      <c r="L20988" s="2">
        <v>768</v>
      </c>
    </row>
    <row r="20989" spans="1:12" x14ac:dyDescent="0.25">
      <c r="A20989" s="4" t="str">
        <f>HYPERLINK("http://www.rosaceae.org/Prunus/Prunus_persica/p.persica_gdr_reftransV1_0044875","p.persica_gdr_reftransV1_0044875")</f>
        <v>p.persica_gdr_reftransV1_0044875</v>
      </c>
      <c r="B20989" s="2">
        <v>1648</v>
      </c>
      <c r="C20989" s="4" t="str">
        <f>HYPERLINK("http://www.uniprot.org/uniprot/M5X4L2","M5X4L2")</f>
        <v>M5X4L2</v>
      </c>
      <c r="D20989" s="2" t="s">
        <v>14352</v>
      </c>
      <c r="E20989" s="3">
        <v>0</v>
      </c>
      <c r="F20989" s="2">
        <v>2003</v>
      </c>
      <c r="G20989" s="2">
        <v>100</v>
      </c>
      <c r="H20989" s="2">
        <v>429</v>
      </c>
      <c r="I20989" s="2">
        <v>22</v>
      </c>
      <c r="J20989" s="2">
        <v>1308</v>
      </c>
      <c r="K20989" s="2">
        <v>113</v>
      </c>
      <c r="L20989" s="2">
        <v>541</v>
      </c>
    </row>
    <row r="20990" spans="1:12" x14ac:dyDescent="0.25">
      <c r="A20990" s="4" t="str">
        <f>HYPERLINK("http://www.rosaceae.org/Prunus/Prunus_persica/p.persica_gdr_reftransV1_0045225","p.persica_gdr_reftransV1_0045225")</f>
        <v>p.persica_gdr_reftransV1_0045225</v>
      </c>
      <c r="B20990" s="2">
        <v>1767</v>
      </c>
      <c r="C20990" s="4" t="str">
        <f>HYPERLINK("http://www.uniprot.org/uniprot/M5WZF0","M5WZF0")</f>
        <v>M5WZF0</v>
      </c>
      <c r="D20990" s="2" t="s">
        <v>10455</v>
      </c>
      <c r="E20990" s="3">
        <v>0</v>
      </c>
      <c r="F20990" s="2">
        <v>1277</v>
      </c>
      <c r="G20990" s="2">
        <v>92</v>
      </c>
      <c r="H20990" s="2">
        <v>294</v>
      </c>
      <c r="I20990" s="2">
        <v>885</v>
      </c>
      <c r="J20990" s="2">
        <v>1766</v>
      </c>
      <c r="K20990" s="2">
        <v>536</v>
      </c>
      <c r="L20990" s="2">
        <v>808</v>
      </c>
    </row>
    <row r="20991" spans="1:12" x14ac:dyDescent="0.25">
      <c r="A20991" s="4" t="str">
        <f>HYPERLINK("http://www.rosaceae.org/Prunus/Prunus_persica/p.persica_gdr_reftransV1_0045925","p.persica_gdr_reftransV1_0045925")</f>
        <v>p.persica_gdr_reftransV1_0045925</v>
      </c>
      <c r="B20991" s="2">
        <v>1150</v>
      </c>
      <c r="C20991" s="4" t="str">
        <f>HYPERLINK("http://www.uniprot.org/uniprot/M5X861","M5X861")</f>
        <v>M5X861</v>
      </c>
      <c r="D20991" s="2" t="s">
        <v>14743</v>
      </c>
      <c r="E20991" s="3">
        <v>2.8700000000000001E-99</v>
      </c>
      <c r="F20991" s="2">
        <v>775</v>
      </c>
      <c r="G20991" s="2">
        <v>99</v>
      </c>
      <c r="H20991" s="2">
        <v>149</v>
      </c>
      <c r="I20991" s="2">
        <v>462</v>
      </c>
      <c r="J20991" s="2">
        <v>908</v>
      </c>
      <c r="K20991" s="2">
        <v>1</v>
      </c>
      <c r="L20991" s="2">
        <v>149</v>
      </c>
    </row>
    <row r="20992" spans="1:12" x14ac:dyDescent="0.25">
      <c r="A20992" s="4" t="str">
        <f>HYPERLINK("http://www.rosaceae.org/Prunus/Prunus_persica/p.persica_gdr_reftransV1_0046275","p.persica_gdr_reftransV1_0046275")</f>
        <v>p.persica_gdr_reftransV1_0046275</v>
      </c>
      <c r="B20992" s="2">
        <v>1667</v>
      </c>
      <c r="C20992" s="4" t="str">
        <f>HYPERLINK("http://www.uniprot.org/uniprot/M5XGT1","M5XGT1")</f>
        <v>M5XGT1</v>
      </c>
      <c r="D20992" s="2" t="s">
        <v>12567</v>
      </c>
      <c r="E20992" s="3">
        <v>0</v>
      </c>
      <c r="F20992" s="2">
        <v>1460</v>
      </c>
      <c r="G20992" s="2">
        <v>100</v>
      </c>
      <c r="H20992" s="2">
        <v>309</v>
      </c>
      <c r="I20992" s="2">
        <v>335</v>
      </c>
      <c r="J20992" s="2">
        <v>1261</v>
      </c>
      <c r="K20992" s="2">
        <v>21</v>
      </c>
      <c r="L20992" s="2">
        <v>329</v>
      </c>
    </row>
    <row r="20993" spans="1:12" x14ac:dyDescent="0.25">
      <c r="A20993" s="4" t="str">
        <f>HYPERLINK("http://www.rosaceae.org/Prunus/Prunus_persica/p.persica_gdr_reftransV1_0046625","p.persica_gdr_reftransV1_0046625")</f>
        <v>p.persica_gdr_reftransV1_0046625</v>
      </c>
      <c r="B20993" s="2">
        <v>458</v>
      </c>
      <c r="C20993" s="4" t="str">
        <f>HYPERLINK("http://www.uniprot.org/uniprot/M5XDE6","M5XDE6")</f>
        <v>M5XDE6</v>
      </c>
      <c r="D20993" s="2" t="s">
        <v>41</v>
      </c>
      <c r="E20993" s="3">
        <v>1.8299999999999999E-56</v>
      </c>
      <c r="F20993" s="2">
        <v>484</v>
      </c>
      <c r="G20993" s="2">
        <v>100</v>
      </c>
      <c r="H20993" s="2">
        <v>115</v>
      </c>
      <c r="I20993" s="2">
        <v>33</v>
      </c>
      <c r="J20993" s="2">
        <v>377</v>
      </c>
      <c r="K20993" s="2">
        <v>1</v>
      </c>
      <c r="L20993" s="2">
        <v>115</v>
      </c>
    </row>
    <row r="20994" spans="1:12" x14ac:dyDescent="0.25">
      <c r="A20994" s="4" t="str">
        <f>HYPERLINK("http://www.rosaceae.org/Prunus/Prunus_persica/p.persica_gdr_reftransV1_0046975","p.persica_gdr_reftransV1_0046975")</f>
        <v>p.persica_gdr_reftransV1_0046975</v>
      </c>
      <c r="B20994" s="2">
        <v>1158</v>
      </c>
      <c r="C20994" s="4" t="str">
        <f>HYPERLINK("http://www.uniprot.org/uniprot/M5XGN8","M5XGN8")</f>
        <v>M5XGN8</v>
      </c>
      <c r="D20994" s="2" t="s">
        <v>15759</v>
      </c>
      <c r="E20994" s="3">
        <v>0</v>
      </c>
      <c r="F20994" s="2">
        <v>1641</v>
      </c>
      <c r="G20994" s="2">
        <v>100</v>
      </c>
      <c r="H20994" s="2">
        <v>304</v>
      </c>
      <c r="I20994" s="2">
        <v>98</v>
      </c>
      <c r="J20994" s="2">
        <v>1009</v>
      </c>
      <c r="K20994" s="2">
        <v>1</v>
      </c>
      <c r="L20994" s="2">
        <v>304</v>
      </c>
    </row>
    <row r="20995" spans="1:12" x14ac:dyDescent="0.25">
      <c r="A20995" s="4" t="str">
        <f>HYPERLINK("http://www.rosaceae.org/Prunus/Prunus_persica/p.persica_gdr_reftransV1_0047325","p.persica_gdr_reftransV1_0047325")</f>
        <v>p.persica_gdr_reftransV1_0047325</v>
      </c>
      <c r="B20995" s="2">
        <v>464</v>
      </c>
      <c r="C20995" s="4" t="str">
        <f>HYPERLINK("http://www.uniprot.org/uniprot/M5WK50","M5WK50")</f>
        <v>M5WK50</v>
      </c>
      <c r="D20995" s="2" t="s">
        <v>3793</v>
      </c>
      <c r="E20995" s="3">
        <v>1.31E-87</v>
      </c>
      <c r="F20995" s="2">
        <v>737</v>
      </c>
      <c r="G20995" s="2">
        <v>100</v>
      </c>
      <c r="H20995" s="2">
        <v>154</v>
      </c>
      <c r="I20995" s="2">
        <v>3</v>
      </c>
      <c r="J20995" s="2">
        <v>464</v>
      </c>
      <c r="K20995" s="2">
        <v>2</v>
      </c>
      <c r="L20995" s="2">
        <v>155</v>
      </c>
    </row>
    <row r="20996" spans="1:12" x14ac:dyDescent="0.25">
      <c r="A20996" s="4" t="str">
        <f>HYPERLINK("http://www.rosaceae.org/Prunus/Prunus_persica/p.persica_gdr_reftransV1_0048025","p.persica_gdr_reftransV1_0048025")</f>
        <v>p.persica_gdr_reftransV1_0048025</v>
      </c>
      <c r="B20996" s="2">
        <v>408</v>
      </c>
      <c r="C20996" s="4" t="str">
        <f>HYPERLINK("http://www.uniprot.org/uniprot/M5X907","M5X907")</f>
        <v>M5X907</v>
      </c>
      <c r="D20996" s="2" t="s">
        <v>898</v>
      </c>
      <c r="E20996" s="3">
        <v>1.9599999999999999E-83</v>
      </c>
      <c r="F20996" s="2">
        <v>711</v>
      </c>
      <c r="G20996" s="2">
        <v>96</v>
      </c>
      <c r="H20996" s="2">
        <v>138</v>
      </c>
      <c r="I20996" s="2">
        <v>2</v>
      </c>
      <c r="J20996" s="2">
        <v>406</v>
      </c>
      <c r="K20996" s="2">
        <v>190</v>
      </c>
      <c r="L20996" s="2">
        <v>327</v>
      </c>
    </row>
    <row r="20997" spans="1:12" x14ac:dyDescent="0.25">
      <c r="A20997" s="4" t="str">
        <f>HYPERLINK("http://www.rosaceae.org/Prunus/Prunus_persica/p.persica_gdr_reftransV1_0048375","p.persica_gdr_reftransV1_0048375")</f>
        <v>p.persica_gdr_reftransV1_0048375</v>
      </c>
      <c r="B20997" s="2">
        <v>2268</v>
      </c>
      <c r="C20997" s="4" t="str">
        <f>HYPERLINK("http://www.uniprot.org/uniprot/M5W7Y7","M5W7Y7")</f>
        <v>M5W7Y7</v>
      </c>
      <c r="D20997" s="2" t="s">
        <v>10800</v>
      </c>
      <c r="E20997" s="3">
        <v>0</v>
      </c>
      <c r="F20997" s="2">
        <v>2756</v>
      </c>
      <c r="G20997" s="2">
        <v>100</v>
      </c>
      <c r="H20997" s="2">
        <v>582</v>
      </c>
      <c r="I20997" s="2">
        <v>306</v>
      </c>
      <c r="J20997" s="2">
        <v>2051</v>
      </c>
      <c r="K20997" s="2">
        <v>1</v>
      </c>
      <c r="L20997" s="2">
        <v>582</v>
      </c>
    </row>
    <row r="20998" spans="1:12" x14ac:dyDescent="0.25">
      <c r="A20998" s="4" t="str">
        <f>HYPERLINK("http://www.rosaceae.org/Prunus/Prunus_persica/p.persica_gdr_reftransV1_0048725","p.persica_gdr_reftransV1_0048725")</f>
        <v>p.persica_gdr_reftransV1_0048725</v>
      </c>
      <c r="B20998" s="2">
        <v>1685</v>
      </c>
      <c r="C20998" s="4" t="str">
        <f>HYPERLINK("http://www.uniprot.org/uniprot/M5WYR2","M5WYR2")</f>
        <v>M5WYR2</v>
      </c>
      <c r="D20998" s="2" t="s">
        <v>15760</v>
      </c>
      <c r="E20998" s="3">
        <v>0</v>
      </c>
      <c r="F20998" s="2">
        <v>1830</v>
      </c>
      <c r="G20998" s="2">
        <v>100</v>
      </c>
      <c r="H20998" s="2">
        <v>344</v>
      </c>
      <c r="I20998" s="2">
        <v>537</v>
      </c>
      <c r="J20998" s="2">
        <v>1568</v>
      </c>
      <c r="K20998" s="2">
        <v>1</v>
      </c>
      <c r="L20998" s="2">
        <v>344</v>
      </c>
    </row>
    <row r="20999" spans="1:12" x14ac:dyDescent="0.25">
      <c r="A20999" s="4" t="str">
        <f>HYPERLINK("http://www.rosaceae.org/Prunus/Prunus_persica/p.persica_gdr_reftransV1_0000076","p.persica_gdr_reftransV1_0000076")</f>
        <v>p.persica_gdr_reftransV1_0000076</v>
      </c>
      <c r="B20999" s="2">
        <v>1494</v>
      </c>
      <c r="C20999" s="4" t="str">
        <f>HYPERLINK("http://www.uniprot.org/uniprot/M5WUJ1","M5WUJ1")</f>
        <v>M5WUJ1</v>
      </c>
      <c r="D20999" s="2" t="s">
        <v>15761</v>
      </c>
      <c r="E20999" s="3">
        <v>0</v>
      </c>
      <c r="F20999" s="2">
        <v>1542</v>
      </c>
      <c r="G20999" s="2">
        <v>100</v>
      </c>
      <c r="H20999" s="2">
        <v>313</v>
      </c>
      <c r="I20999" s="2">
        <v>211</v>
      </c>
      <c r="J20999" s="2">
        <v>1149</v>
      </c>
      <c r="K20999" s="2">
        <v>1</v>
      </c>
      <c r="L20999" s="2">
        <v>313</v>
      </c>
    </row>
    <row r="21000" spans="1:12" x14ac:dyDescent="0.25">
      <c r="A21000" s="4" t="str">
        <f>HYPERLINK("http://www.rosaceae.org/Prunus/Prunus_persica/p.persica_gdr_reftransV1_0000426","p.persica_gdr_reftransV1_0000426")</f>
        <v>p.persica_gdr_reftransV1_0000426</v>
      </c>
      <c r="B21000" s="2">
        <v>981</v>
      </c>
      <c r="C21000" s="4" t="str">
        <f>HYPERLINK("http://www.uniprot.org/uniprot/M5VTH2","M5VTH2")</f>
        <v>M5VTH2</v>
      </c>
      <c r="D21000" s="2" t="s">
        <v>15762</v>
      </c>
      <c r="E21000" s="3">
        <v>1.9099999999999999E-130</v>
      </c>
      <c r="F21000" s="2">
        <v>985</v>
      </c>
      <c r="G21000" s="2">
        <v>100</v>
      </c>
      <c r="H21000" s="2">
        <v>221</v>
      </c>
      <c r="I21000" s="2">
        <v>51</v>
      </c>
      <c r="J21000" s="2">
        <v>713</v>
      </c>
      <c r="K21000" s="2">
        <v>24</v>
      </c>
      <c r="L21000" s="2">
        <v>244</v>
      </c>
    </row>
    <row r="21001" spans="1:12" x14ac:dyDescent="0.25">
      <c r="A21001" s="4" t="str">
        <f>HYPERLINK("http://www.rosaceae.org/Prunus/Prunus_persica/p.persica_gdr_reftransV1_0001476","p.persica_gdr_reftransV1_0001476")</f>
        <v>p.persica_gdr_reftransV1_0001476</v>
      </c>
      <c r="B21001" s="2">
        <v>4065</v>
      </c>
      <c r="C21001" s="4" t="str">
        <f>HYPERLINK("http://www.uniprot.org/uniprot/M5X2B9","M5X2B9")</f>
        <v>M5X2B9</v>
      </c>
      <c r="D21001" s="2" t="s">
        <v>7082</v>
      </c>
      <c r="E21001" s="3">
        <v>0</v>
      </c>
      <c r="F21001" s="2">
        <v>3142</v>
      </c>
      <c r="G21001" s="2">
        <v>100</v>
      </c>
      <c r="H21001" s="2">
        <v>629</v>
      </c>
      <c r="I21001" s="2">
        <v>1740</v>
      </c>
      <c r="J21001" s="2">
        <v>3626</v>
      </c>
      <c r="K21001" s="2">
        <v>3</v>
      </c>
      <c r="L21001" s="2">
        <v>631</v>
      </c>
    </row>
    <row r="21002" spans="1:12" x14ac:dyDescent="0.25">
      <c r="A21002" s="4" t="str">
        <f>HYPERLINK("http://www.rosaceae.org/Prunus/Prunus_persica/p.persica_gdr_reftransV1_0002176","p.persica_gdr_reftransV1_0002176")</f>
        <v>p.persica_gdr_reftransV1_0002176</v>
      </c>
      <c r="B21002" s="2">
        <v>1459</v>
      </c>
      <c r="C21002" s="4" t="str">
        <f>HYPERLINK("http://www.uniprot.org/uniprot/M5Y2Z8","M5Y2Z8")</f>
        <v>M5Y2Z8</v>
      </c>
      <c r="D21002" s="2" t="s">
        <v>15763</v>
      </c>
      <c r="E21002" s="3">
        <v>0</v>
      </c>
      <c r="F21002" s="2">
        <v>1639</v>
      </c>
      <c r="G21002" s="2">
        <v>100</v>
      </c>
      <c r="H21002" s="2">
        <v>303</v>
      </c>
      <c r="I21002" s="2">
        <v>144</v>
      </c>
      <c r="J21002" s="2">
        <v>1052</v>
      </c>
      <c r="K21002" s="2">
        <v>1</v>
      </c>
      <c r="L21002" s="2">
        <v>303</v>
      </c>
    </row>
    <row r="21003" spans="1:12" x14ac:dyDescent="0.25">
      <c r="A21003" s="4" t="str">
        <f>HYPERLINK("http://www.rosaceae.org/Prunus/Prunus_persica/p.persica_gdr_reftransV1_0002876","p.persica_gdr_reftransV1_0002876")</f>
        <v>p.persica_gdr_reftransV1_0002876</v>
      </c>
      <c r="B21003" s="2">
        <v>1158</v>
      </c>
      <c r="C21003" s="4" t="str">
        <f>HYPERLINK("http://www.uniprot.org/uniprot/M5XFP3","M5XFP3")</f>
        <v>M5XFP3</v>
      </c>
      <c r="D21003" s="2" t="s">
        <v>15764</v>
      </c>
      <c r="E21003" s="3">
        <v>1.75E-176</v>
      </c>
      <c r="F21003" s="2">
        <v>1295</v>
      </c>
      <c r="G21003" s="2">
        <v>100</v>
      </c>
      <c r="H21003" s="2">
        <v>243</v>
      </c>
      <c r="I21003" s="2">
        <v>282</v>
      </c>
      <c r="J21003" s="2">
        <v>1010</v>
      </c>
      <c r="K21003" s="2">
        <v>1</v>
      </c>
      <c r="L21003" s="2">
        <v>243</v>
      </c>
    </row>
    <row r="21004" spans="1:12" x14ac:dyDescent="0.25">
      <c r="A21004" s="4" t="str">
        <f>HYPERLINK("http://www.rosaceae.org/Prunus/Prunus_persica/p.persica_gdr_reftransV1_0003226","p.persica_gdr_reftransV1_0003226")</f>
        <v>p.persica_gdr_reftransV1_0003226</v>
      </c>
      <c r="B21004" s="2">
        <v>7562</v>
      </c>
      <c r="C21004" s="4" t="str">
        <f>HYPERLINK("http://www.uniprot.org/uniprot/M5XUM8","M5XUM8")</f>
        <v>M5XUM8</v>
      </c>
      <c r="D21004" s="2" t="s">
        <v>4317</v>
      </c>
      <c r="E21004" s="3">
        <v>0</v>
      </c>
      <c r="F21004" s="2">
        <v>3796</v>
      </c>
      <c r="G21004" s="2">
        <v>100</v>
      </c>
      <c r="H21004" s="2">
        <v>733</v>
      </c>
      <c r="I21004" s="2">
        <v>22</v>
      </c>
      <c r="J21004" s="2">
        <v>2220</v>
      </c>
      <c r="K21004" s="2">
        <v>1</v>
      </c>
      <c r="L21004" s="2">
        <v>733</v>
      </c>
    </row>
    <row r="21005" spans="1:12" x14ac:dyDescent="0.25">
      <c r="A21005" s="4" t="str">
        <f>HYPERLINK("http://www.rosaceae.org/Prunus/Prunus_persica/p.persica_gdr_reftransV1_0003576","p.persica_gdr_reftransV1_0003576")</f>
        <v>p.persica_gdr_reftransV1_0003576</v>
      </c>
      <c r="B21005" s="2">
        <v>1650</v>
      </c>
      <c r="C21005" s="4" t="str">
        <f>HYPERLINK("http://www.uniprot.org/uniprot/M5XE89","M5XE89")</f>
        <v>M5XE89</v>
      </c>
      <c r="D21005" s="2" t="s">
        <v>15765</v>
      </c>
      <c r="E21005" s="3">
        <v>0</v>
      </c>
      <c r="F21005" s="2">
        <v>2071</v>
      </c>
      <c r="G21005" s="2">
        <v>100</v>
      </c>
      <c r="H21005" s="2">
        <v>390</v>
      </c>
      <c r="I21005" s="2">
        <v>354</v>
      </c>
      <c r="J21005" s="2">
        <v>1523</v>
      </c>
      <c r="K21005" s="2">
        <v>1</v>
      </c>
      <c r="L21005" s="2">
        <v>390</v>
      </c>
    </row>
    <row r="21006" spans="1:12" x14ac:dyDescent="0.25">
      <c r="A21006" s="4" t="str">
        <f>HYPERLINK("http://www.rosaceae.org/Prunus/Prunus_persica/p.persica_gdr_reftransV1_0003926","p.persica_gdr_reftransV1_0003926")</f>
        <v>p.persica_gdr_reftransV1_0003926</v>
      </c>
      <c r="B21006" s="2">
        <v>683</v>
      </c>
      <c r="C21006" s="4" t="str">
        <f>HYPERLINK("http://www.uniprot.org/uniprot/W9LEL8","W9LEL8")</f>
        <v>W9LEL8</v>
      </c>
      <c r="D21006" s="2" t="s">
        <v>15766</v>
      </c>
      <c r="E21006" s="3">
        <v>4.6800000000000002E-119</v>
      </c>
      <c r="F21006" s="2">
        <v>896</v>
      </c>
      <c r="G21006" s="2">
        <v>92</v>
      </c>
      <c r="H21006" s="2">
        <v>200</v>
      </c>
      <c r="I21006" s="2">
        <v>1</v>
      </c>
      <c r="J21006" s="2">
        <v>600</v>
      </c>
      <c r="K21006" s="2">
        <v>7</v>
      </c>
      <c r="L21006" s="2">
        <v>206</v>
      </c>
    </row>
    <row r="21007" spans="1:12" x14ac:dyDescent="0.25">
      <c r="A21007" s="4" t="str">
        <f>HYPERLINK("http://www.rosaceae.org/Prunus/Prunus_persica/p.persica_gdr_reftransV1_0004976","p.persica_gdr_reftransV1_0004976")</f>
        <v>p.persica_gdr_reftransV1_0004976</v>
      </c>
      <c r="B21007" s="2">
        <v>1170</v>
      </c>
      <c r="C21007" s="4" t="str">
        <f>HYPERLINK("http://www.uniprot.org/uniprot/M5XC28","M5XC28")</f>
        <v>M5XC28</v>
      </c>
      <c r="D21007" s="2" t="s">
        <v>3539</v>
      </c>
      <c r="E21007" s="3">
        <v>4.1700000000000001E-151</v>
      </c>
      <c r="F21007" s="2">
        <v>1132</v>
      </c>
      <c r="G21007" s="2">
        <v>91</v>
      </c>
      <c r="H21007" s="2">
        <v>280</v>
      </c>
      <c r="I21007" s="2">
        <v>301</v>
      </c>
      <c r="J21007" s="2">
        <v>1140</v>
      </c>
      <c r="K21007" s="2">
        <v>1</v>
      </c>
      <c r="L21007" s="2">
        <v>278</v>
      </c>
    </row>
    <row r="21008" spans="1:12" x14ac:dyDescent="0.25">
      <c r="A21008" s="4" t="str">
        <f>HYPERLINK("http://www.rosaceae.org/Prunus/Prunus_persica/p.persica_gdr_reftransV1_0005326","p.persica_gdr_reftransV1_0005326")</f>
        <v>p.persica_gdr_reftransV1_0005326</v>
      </c>
      <c r="B21008" s="2">
        <v>4425</v>
      </c>
      <c r="C21008" s="4" t="str">
        <f>HYPERLINK("http://www.uniprot.org/uniprot/M5WJC4","M5WJC4")</f>
        <v>M5WJC4</v>
      </c>
      <c r="D21008" s="2" t="s">
        <v>9364</v>
      </c>
      <c r="E21008" s="3">
        <v>0</v>
      </c>
      <c r="F21008" s="2">
        <v>6389</v>
      </c>
      <c r="G21008" s="2">
        <v>100</v>
      </c>
      <c r="H21008" s="2">
        <v>1270</v>
      </c>
      <c r="I21008" s="2">
        <v>363</v>
      </c>
      <c r="J21008" s="2">
        <v>4172</v>
      </c>
      <c r="K21008" s="2">
        <v>1</v>
      </c>
      <c r="L21008" s="2">
        <v>1270</v>
      </c>
    </row>
    <row r="21009" spans="1:12" x14ac:dyDescent="0.25">
      <c r="A21009" s="4" t="str">
        <f>HYPERLINK("http://www.rosaceae.org/Prunus/Prunus_persica/p.persica_gdr_reftransV1_0007426","p.persica_gdr_reftransV1_0007426")</f>
        <v>p.persica_gdr_reftransV1_0007426</v>
      </c>
      <c r="B21009" s="2">
        <v>558</v>
      </c>
      <c r="C21009" s="4" t="str">
        <f>HYPERLINK("http://www.uniprot.org/uniprot/M5XSS2","M5XSS2")</f>
        <v>M5XSS2</v>
      </c>
      <c r="D21009" s="2" t="s">
        <v>15767</v>
      </c>
      <c r="E21009" s="3">
        <v>6.4399999999999996E-63</v>
      </c>
      <c r="F21009" s="2">
        <v>557</v>
      </c>
      <c r="G21009" s="2">
        <v>99</v>
      </c>
      <c r="H21009" s="2">
        <v>114</v>
      </c>
      <c r="I21009" s="2">
        <v>3</v>
      </c>
      <c r="J21009" s="2">
        <v>344</v>
      </c>
      <c r="K21009" s="2">
        <v>798</v>
      </c>
      <c r="L21009" s="2">
        <v>911</v>
      </c>
    </row>
    <row r="21010" spans="1:12" x14ac:dyDescent="0.25">
      <c r="A21010" s="4" t="str">
        <f>HYPERLINK("http://www.rosaceae.org/Prunus/Prunus_persica/p.persica_gdr_reftransV1_0007776","p.persica_gdr_reftransV1_0007776")</f>
        <v>p.persica_gdr_reftransV1_0007776</v>
      </c>
      <c r="B21010" s="2">
        <v>1779</v>
      </c>
      <c r="C21010" s="4" t="str">
        <f>HYPERLINK("http://www.uniprot.org/uniprot/M5VYJ7","M5VYJ7")</f>
        <v>M5VYJ7</v>
      </c>
      <c r="D21010" s="2" t="s">
        <v>15768</v>
      </c>
      <c r="E21010" s="3">
        <v>0</v>
      </c>
      <c r="F21010" s="2">
        <v>1615</v>
      </c>
      <c r="G21010" s="2">
        <v>100</v>
      </c>
      <c r="H21010" s="2">
        <v>389</v>
      </c>
      <c r="I21010" s="2">
        <v>278</v>
      </c>
      <c r="J21010" s="2">
        <v>1444</v>
      </c>
      <c r="K21010" s="2">
        <v>1</v>
      </c>
      <c r="L21010" s="2">
        <v>389</v>
      </c>
    </row>
    <row r="21011" spans="1:12" x14ac:dyDescent="0.25">
      <c r="A21011" s="4" t="str">
        <f>HYPERLINK("http://www.rosaceae.org/Prunus/Prunus_persica/p.persica_gdr_reftransV1_0008476","p.persica_gdr_reftransV1_0008476")</f>
        <v>p.persica_gdr_reftransV1_0008476</v>
      </c>
      <c r="B21011" s="2">
        <v>1276</v>
      </c>
      <c r="C21011" s="4" t="str">
        <f>HYPERLINK("http://www.uniprot.org/uniprot/M5WG09","M5WG09")</f>
        <v>M5WG09</v>
      </c>
      <c r="D21011" s="2" t="s">
        <v>15769</v>
      </c>
      <c r="E21011" s="3">
        <v>0</v>
      </c>
      <c r="F21011" s="2">
        <v>1997</v>
      </c>
      <c r="G21011" s="2">
        <v>99</v>
      </c>
      <c r="H21011" s="2">
        <v>376</v>
      </c>
      <c r="I21011" s="2">
        <v>129</v>
      </c>
      <c r="J21011" s="2">
        <v>1256</v>
      </c>
      <c r="K21011" s="2">
        <v>1</v>
      </c>
      <c r="L21011" s="2">
        <v>376</v>
      </c>
    </row>
    <row r="21012" spans="1:12" x14ac:dyDescent="0.25">
      <c r="A21012" s="4" t="str">
        <f>HYPERLINK("http://www.rosaceae.org/Prunus/Prunus_persica/p.persica_gdr_reftransV1_0008826","p.persica_gdr_reftransV1_0008826")</f>
        <v>p.persica_gdr_reftransV1_0008826</v>
      </c>
      <c r="B21012" s="2">
        <v>942</v>
      </c>
      <c r="C21012" s="4" t="str">
        <f>HYPERLINK("http://www.uniprot.org/uniprot/F6H9J8","F6H9J8")</f>
        <v>F6H9J8</v>
      </c>
      <c r="D21012" s="2" t="s">
        <v>15770</v>
      </c>
      <c r="E21012" s="3">
        <v>5.3400000000000003E-123</v>
      </c>
      <c r="F21012" s="2">
        <v>950</v>
      </c>
      <c r="G21012" s="2">
        <v>79</v>
      </c>
      <c r="H21012" s="2">
        <v>231</v>
      </c>
      <c r="I21012" s="2">
        <v>257</v>
      </c>
      <c r="J21012" s="2">
        <v>940</v>
      </c>
      <c r="K21012" s="2">
        <v>150</v>
      </c>
      <c r="L21012" s="2">
        <v>379</v>
      </c>
    </row>
    <row r="21013" spans="1:12" x14ac:dyDescent="0.25">
      <c r="A21013" s="4" t="str">
        <f>HYPERLINK("http://www.rosaceae.org/Prunus/Prunus_persica/p.persica_gdr_reftransV1_0009526","p.persica_gdr_reftransV1_0009526")</f>
        <v>p.persica_gdr_reftransV1_0009526</v>
      </c>
      <c r="B21013" s="2">
        <v>745</v>
      </c>
      <c r="C21013" s="4" t="str">
        <f>HYPERLINK("http://www.uniprot.org/uniprot/M5WGA7","M5WGA7")</f>
        <v>M5WGA7</v>
      </c>
      <c r="D21013" s="2" t="s">
        <v>1962</v>
      </c>
      <c r="E21013" s="3">
        <v>1.0899999999999999E-83</v>
      </c>
      <c r="F21013" s="2">
        <v>701</v>
      </c>
      <c r="G21013" s="2">
        <v>100</v>
      </c>
      <c r="H21013" s="2">
        <v>130</v>
      </c>
      <c r="I21013" s="2">
        <v>3</v>
      </c>
      <c r="J21013" s="2">
        <v>392</v>
      </c>
      <c r="K21013" s="2">
        <v>550</v>
      </c>
      <c r="L21013" s="2">
        <v>679</v>
      </c>
    </row>
    <row r="21014" spans="1:12" x14ac:dyDescent="0.25">
      <c r="A21014" s="4" t="str">
        <f>HYPERLINK("http://www.rosaceae.org/Prunus/Prunus_persica/p.persica_gdr_reftransV1_0010926","p.persica_gdr_reftransV1_0010926")</f>
        <v>p.persica_gdr_reftransV1_0010926</v>
      </c>
      <c r="B21014" s="2">
        <v>1664</v>
      </c>
      <c r="C21014" s="4" t="str">
        <f>HYPERLINK("http://www.uniprot.org/uniprot/M5VYD5","M5VYD5")</f>
        <v>M5VYD5</v>
      </c>
      <c r="D21014" s="2" t="s">
        <v>13184</v>
      </c>
      <c r="E21014" s="3">
        <v>0</v>
      </c>
      <c r="F21014" s="2">
        <v>2212</v>
      </c>
      <c r="G21014" s="2">
        <v>100</v>
      </c>
      <c r="H21014" s="2">
        <v>415</v>
      </c>
      <c r="I21014" s="2">
        <v>279</v>
      </c>
      <c r="J21014" s="2">
        <v>1523</v>
      </c>
      <c r="K21014" s="2">
        <v>1</v>
      </c>
      <c r="L21014" s="2">
        <v>415</v>
      </c>
    </row>
    <row r="21015" spans="1:12" x14ac:dyDescent="0.25">
      <c r="A21015" s="4" t="str">
        <f>HYPERLINK("http://www.rosaceae.org/Prunus/Prunus_persica/p.persica_gdr_reftransV1_0011276","p.persica_gdr_reftransV1_0011276")</f>
        <v>p.persica_gdr_reftransV1_0011276</v>
      </c>
      <c r="B21015" s="2">
        <v>1536</v>
      </c>
      <c r="C21015" s="4" t="str">
        <f>HYPERLINK("http://www.uniprot.org/uniprot/M5VZK4","M5VZK4")</f>
        <v>M5VZK4</v>
      </c>
      <c r="D21015" s="2" t="s">
        <v>13484</v>
      </c>
      <c r="E21015" s="3">
        <v>3.14E-154</v>
      </c>
      <c r="F21015" s="2">
        <v>1172</v>
      </c>
      <c r="G21015" s="2">
        <v>100</v>
      </c>
      <c r="H21015" s="2">
        <v>244</v>
      </c>
      <c r="I21015" s="2">
        <v>232</v>
      </c>
      <c r="J21015" s="2">
        <v>963</v>
      </c>
      <c r="K21015" s="2">
        <v>103</v>
      </c>
      <c r="L21015" s="2">
        <v>346</v>
      </c>
    </row>
    <row r="21016" spans="1:12" x14ac:dyDescent="0.25">
      <c r="A21016" s="4" t="str">
        <f>HYPERLINK("http://www.rosaceae.org/Prunus/Prunus_persica/p.persica_gdr_reftransV1_0011626","p.persica_gdr_reftransV1_0011626")</f>
        <v>p.persica_gdr_reftransV1_0011626</v>
      </c>
      <c r="B21016" s="2">
        <v>837</v>
      </c>
      <c r="C21016" s="4" t="str">
        <f>HYPERLINK("http://www.uniprot.org/uniprot/M5X2D2","M5X2D2")</f>
        <v>M5X2D2</v>
      </c>
      <c r="D21016" s="2" t="s">
        <v>12962</v>
      </c>
      <c r="E21016" s="3">
        <v>6.9799999999999999E-98</v>
      </c>
      <c r="F21016" s="2">
        <v>795</v>
      </c>
      <c r="G21016" s="2">
        <v>100</v>
      </c>
      <c r="H21016" s="2">
        <v>200</v>
      </c>
      <c r="I21016" s="2">
        <v>2</v>
      </c>
      <c r="J21016" s="2">
        <v>601</v>
      </c>
      <c r="K21016" s="2">
        <v>1</v>
      </c>
      <c r="L21016" s="2">
        <v>200</v>
      </c>
    </row>
    <row r="21017" spans="1:12" x14ac:dyDescent="0.25">
      <c r="A21017" s="4" t="str">
        <f>HYPERLINK("http://www.rosaceae.org/Prunus/Prunus_persica/p.persica_gdr_reftransV1_0012326","p.persica_gdr_reftransV1_0012326")</f>
        <v>p.persica_gdr_reftransV1_0012326</v>
      </c>
      <c r="B21017" s="2">
        <v>687</v>
      </c>
      <c r="C21017" s="4" t="str">
        <f>HYPERLINK("http://www.uniprot.org/uniprot/M5W776","M5W776")</f>
        <v>M5W776</v>
      </c>
      <c r="D21017" s="2" t="s">
        <v>456</v>
      </c>
      <c r="E21017" s="3">
        <v>6.4000000000000004E-62</v>
      </c>
      <c r="F21017" s="2">
        <v>561</v>
      </c>
      <c r="G21017" s="2">
        <v>100</v>
      </c>
      <c r="H21017" s="2">
        <v>121</v>
      </c>
      <c r="I21017" s="2">
        <v>324</v>
      </c>
      <c r="J21017" s="2">
        <v>686</v>
      </c>
      <c r="K21017" s="2">
        <v>1</v>
      </c>
      <c r="L21017" s="2">
        <v>121</v>
      </c>
    </row>
    <row r="21018" spans="1:12" x14ac:dyDescent="0.25">
      <c r="A21018" s="4" t="str">
        <f>HYPERLINK("http://www.rosaceae.org/Prunus/Prunus_persica/p.persica_gdr_reftransV1_0015126","p.persica_gdr_reftransV1_0015126")</f>
        <v>p.persica_gdr_reftransV1_0015126</v>
      </c>
      <c r="B21018" s="2">
        <v>2556</v>
      </c>
      <c r="C21018" s="4" t="str">
        <f>HYPERLINK("http://www.uniprot.org/uniprot/M5XLL3","M5XLL3")</f>
        <v>M5XLL3</v>
      </c>
      <c r="D21018" s="2" t="s">
        <v>15771</v>
      </c>
      <c r="E21018" s="3">
        <v>0</v>
      </c>
      <c r="F21018" s="2">
        <v>3794</v>
      </c>
      <c r="G21018" s="2">
        <v>96</v>
      </c>
      <c r="H21018" s="2">
        <v>747</v>
      </c>
      <c r="I21018" s="2">
        <v>264</v>
      </c>
      <c r="J21018" s="2">
        <v>2504</v>
      </c>
      <c r="K21018" s="2">
        <v>1</v>
      </c>
      <c r="L21018" s="2">
        <v>720</v>
      </c>
    </row>
    <row r="21019" spans="1:12" x14ac:dyDescent="0.25">
      <c r="A21019" s="4" t="str">
        <f>HYPERLINK("http://www.rosaceae.org/Prunus/Prunus_persica/p.persica_gdr_reftransV1_0015476","p.persica_gdr_reftransV1_0015476")</f>
        <v>p.persica_gdr_reftransV1_0015476</v>
      </c>
      <c r="B21019" s="2">
        <v>2263</v>
      </c>
      <c r="C21019" s="4" t="str">
        <f>HYPERLINK("http://www.uniprot.org/uniprot/M5VZ85","M5VZ85")</f>
        <v>M5VZ85</v>
      </c>
      <c r="D21019" s="2" t="s">
        <v>447</v>
      </c>
      <c r="E21019" s="3">
        <v>3.2700000000000002E-160</v>
      </c>
      <c r="F21019" s="2">
        <v>1243</v>
      </c>
      <c r="G21019" s="2">
        <v>100</v>
      </c>
      <c r="H21019" s="2">
        <v>249</v>
      </c>
      <c r="I21019" s="2">
        <v>1392</v>
      </c>
      <c r="J21019" s="2">
        <v>2138</v>
      </c>
      <c r="K21019" s="2">
        <v>1</v>
      </c>
      <c r="L21019" s="2">
        <v>249</v>
      </c>
    </row>
    <row r="21020" spans="1:12" x14ac:dyDescent="0.25">
      <c r="A21020" s="4" t="str">
        <f>HYPERLINK("http://www.rosaceae.org/Prunus/Prunus_persica/p.persica_gdr_reftransV1_0018276","p.persica_gdr_reftransV1_0018276")</f>
        <v>p.persica_gdr_reftransV1_0018276</v>
      </c>
      <c r="B21020" s="2">
        <v>1085</v>
      </c>
      <c r="C21020" s="4" t="str">
        <f>HYPERLINK("http://www.uniprot.org/uniprot/M5WLG9","M5WLG9")</f>
        <v>M5WLG9</v>
      </c>
      <c r="D21020" s="2" t="s">
        <v>15772</v>
      </c>
      <c r="E21020" s="3">
        <v>0</v>
      </c>
      <c r="F21020" s="2">
        <v>1500</v>
      </c>
      <c r="G21020" s="2">
        <v>100</v>
      </c>
      <c r="H21020" s="2">
        <v>301</v>
      </c>
      <c r="I21020" s="2">
        <v>152</v>
      </c>
      <c r="J21020" s="2">
        <v>1054</v>
      </c>
      <c r="K21020" s="2">
        <v>1</v>
      </c>
      <c r="L21020" s="2">
        <v>301</v>
      </c>
    </row>
    <row r="21021" spans="1:12" x14ac:dyDescent="0.25">
      <c r="A21021" s="4" t="str">
        <f>HYPERLINK("http://www.rosaceae.org/Prunus/Prunus_persica/p.persica_gdr_reftransV1_0018626","p.persica_gdr_reftransV1_0018626")</f>
        <v>p.persica_gdr_reftransV1_0018626</v>
      </c>
      <c r="B21021" s="2">
        <v>2802</v>
      </c>
      <c r="C21021" s="4" t="str">
        <f>HYPERLINK("http://www.uniprot.org/uniprot/M5WX28","M5WX28")</f>
        <v>M5WX28</v>
      </c>
      <c r="D21021" s="2" t="s">
        <v>15773</v>
      </c>
      <c r="E21021" s="3">
        <v>0</v>
      </c>
      <c r="F21021" s="2">
        <v>3662</v>
      </c>
      <c r="G21021" s="2">
        <v>100</v>
      </c>
      <c r="H21021" s="2">
        <v>719</v>
      </c>
      <c r="I21021" s="2">
        <v>318</v>
      </c>
      <c r="J21021" s="2">
        <v>2474</v>
      </c>
      <c r="K21021" s="2">
        <v>1</v>
      </c>
      <c r="L21021" s="2">
        <v>719</v>
      </c>
    </row>
    <row r="21022" spans="1:12" x14ac:dyDescent="0.25">
      <c r="A21022" s="4" t="str">
        <f>HYPERLINK("http://www.rosaceae.org/Prunus/Prunus_persica/p.persica_gdr_reftransV1_0020726","p.persica_gdr_reftransV1_0020726")</f>
        <v>p.persica_gdr_reftransV1_0020726</v>
      </c>
      <c r="B21022" s="2">
        <v>368</v>
      </c>
      <c r="C21022" s="4" t="str">
        <f>HYPERLINK("http://www.uniprot.org/uniprot/M5X007","M5X007")</f>
        <v>M5X007</v>
      </c>
      <c r="D21022" s="2" t="s">
        <v>11027</v>
      </c>
      <c r="E21022" s="3">
        <v>9.9500000000000001E-61</v>
      </c>
      <c r="F21022" s="2">
        <v>532</v>
      </c>
      <c r="G21022" s="2">
        <v>100</v>
      </c>
      <c r="H21022" s="2">
        <v>122</v>
      </c>
      <c r="I21022" s="2">
        <v>1</v>
      </c>
      <c r="J21022" s="2">
        <v>366</v>
      </c>
      <c r="K21022" s="2">
        <v>420</v>
      </c>
      <c r="L21022" s="2">
        <v>541</v>
      </c>
    </row>
    <row r="21023" spans="1:12" x14ac:dyDescent="0.25">
      <c r="A21023" s="4" t="str">
        <f>HYPERLINK("http://www.rosaceae.org/Prunus/Prunus_persica/p.persica_gdr_reftransV1_0021776","p.persica_gdr_reftransV1_0021776")</f>
        <v>p.persica_gdr_reftransV1_0021776</v>
      </c>
      <c r="B21023" s="2">
        <v>1575</v>
      </c>
      <c r="C21023" s="4" t="str">
        <f>HYPERLINK("http://www.uniprot.org/uniprot/M5VWY3","M5VWY3")</f>
        <v>M5VWY3</v>
      </c>
      <c r="D21023" s="2" t="s">
        <v>15774</v>
      </c>
      <c r="E21023" s="3">
        <v>0</v>
      </c>
      <c r="F21023" s="2">
        <v>1985</v>
      </c>
      <c r="G21023" s="2">
        <v>95</v>
      </c>
      <c r="H21023" s="2">
        <v>396</v>
      </c>
      <c r="I21023" s="2">
        <v>79</v>
      </c>
      <c r="J21023" s="2">
        <v>1266</v>
      </c>
      <c r="K21023" s="2">
        <v>7</v>
      </c>
      <c r="L21023" s="2">
        <v>382</v>
      </c>
    </row>
    <row r="21024" spans="1:12" x14ac:dyDescent="0.25">
      <c r="A21024" s="4" t="str">
        <f>HYPERLINK("http://www.rosaceae.org/Prunus/Prunus_persica/p.persica_gdr_reftransV1_0023176","p.persica_gdr_reftransV1_0023176")</f>
        <v>p.persica_gdr_reftransV1_0023176</v>
      </c>
      <c r="B21024" s="2">
        <v>2012</v>
      </c>
      <c r="C21024" s="4" t="str">
        <f>HYPERLINK("http://www.uniprot.org/uniprot/M5X5F2","M5X5F2")</f>
        <v>M5X5F2</v>
      </c>
      <c r="D21024" s="2" t="s">
        <v>15775</v>
      </c>
      <c r="E21024" s="3">
        <v>7.0199999999999995E-129</v>
      </c>
      <c r="F21024" s="2">
        <v>1020</v>
      </c>
      <c r="G21024" s="2">
        <v>100</v>
      </c>
      <c r="H21024" s="2">
        <v>206</v>
      </c>
      <c r="I21024" s="2">
        <v>406</v>
      </c>
      <c r="J21024" s="2">
        <v>1023</v>
      </c>
      <c r="K21024" s="2">
        <v>1</v>
      </c>
      <c r="L21024" s="2">
        <v>206</v>
      </c>
    </row>
    <row r="21025" spans="1:12" x14ac:dyDescent="0.25">
      <c r="A21025" s="4" t="str">
        <f>HYPERLINK("http://www.rosaceae.org/Prunus/Prunus_persica/p.persica_gdr_reftransV1_0023526","p.persica_gdr_reftransV1_0023526")</f>
        <v>p.persica_gdr_reftransV1_0023526</v>
      </c>
      <c r="B21025" s="2">
        <v>1750</v>
      </c>
      <c r="C21025" s="4" t="str">
        <f>HYPERLINK("http://www.uniprot.org/uniprot/M5WJB0","M5WJB0")</f>
        <v>M5WJB0</v>
      </c>
      <c r="D21025" s="2" t="s">
        <v>15776</v>
      </c>
      <c r="E21025" s="3">
        <v>1.8499999999999999E-146</v>
      </c>
      <c r="F21025" s="2">
        <v>1121</v>
      </c>
      <c r="G21025" s="2">
        <v>100</v>
      </c>
      <c r="H21025" s="2">
        <v>212</v>
      </c>
      <c r="I21025" s="2">
        <v>998</v>
      </c>
      <c r="J21025" s="2">
        <v>1633</v>
      </c>
      <c r="K21025" s="2">
        <v>1</v>
      </c>
      <c r="L21025" s="2">
        <v>212</v>
      </c>
    </row>
    <row r="21026" spans="1:12" x14ac:dyDescent="0.25">
      <c r="A21026" s="4" t="str">
        <f>HYPERLINK("http://www.rosaceae.org/Prunus/Prunus_persica/p.persica_gdr_reftransV1_0026676","p.persica_gdr_reftransV1_0026676")</f>
        <v>p.persica_gdr_reftransV1_0026676</v>
      </c>
      <c r="B21026" s="2">
        <v>1894</v>
      </c>
      <c r="C21026" s="4" t="str">
        <f>HYPERLINK("http://www.uniprot.org/uniprot/M5X2X1","M5X2X1")</f>
        <v>M5X2X1</v>
      </c>
      <c r="D21026" s="2" t="s">
        <v>15777</v>
      </c>
      <c r="E21026" s="3">
        <v>0</v>
      </c>
      <c r="F21026" s="2">
        <v>2005</v>
      </c>
      <c r="G21026" s="2">
        <v>100</v>
      </c>
      <c r="H21026" s="2">
        <v>377</v>
      </c>
      <c r="I21026" s="2">
        <v>448</v>
      </c>
      <c r="J21026" s="2">
        <v>1578</v>
      </c>
      <c r="K21026" s="2">
        <v>1</v>
      </c>
      <c r="L21026" s="2">
        <v>377</v>
      </c>
    </row>
    <row r="21027" spans="1:12" x14ac:dyDescent="0.25">
      <c r="A21027" s="4" t="str">
        <f>HYPERLINK("http://www.rosaceae.org/Prunus/Prunus_persica/p.persica_gdr_reftransV1_0027026","p.persica_gdr_reftransV1_0027026")</f>
        <v>p.persica_gdr_reftransV1_0027026</v>
      </c>
      <c r="B21027" s="2">
        <v>1683</v>
      </c>
      <c r="C21027" s="4" t="str">
        <f>HYPERLINK("http://www.uniprot.org/uniprot/M5XM13","M5XM13")</f>
        <v>M5XM13</v>
      </c>
      <c r="D21027" s="2" t="s">
        <v>1924</v>
      </c>
      <c r="E21027" s="3">
        <v>0</v>
      </c>
      <c r="F21027" s="2">
        <v>2294</v>
      </c>
      <c r="G21027" s="2">
        <v>100</v>
      </c>
      <c r="H21027" s="2">
        <v>427</v>
      </c>
      <c r="I21027" s="2">
        <v>402</v>
      </c>
      <c r="J21027" s="2">
        <v>1682</v>
      </c>
      <c r="K21027" s="2">
        <v>772</v>
      </c>
      <c r="L21027" s="2">
        <v>1198</v>
      </c>
    </row>
    <row r="21028" spans="1:12" x14ac:dyDescent="0.25">
      <c r="A21028" s="4" t="str">
        <f>HYPERLINK("http://www.rosaceae.org/Prunus/Prunus_persica/p.persica_gdr_reftransV1_0029126","p.persica_gdr_reftransV1_0029126")</f>
        <v>p.persica_gdr_reftransV1_0029126</v>
      </c>
      <c r="B21028" s="2">
        <v>4055</v>
      </c>
      <c r="C21028" s="4" t="str">
        <f>HYPERLINK("http://www.uniprot.org/uniprot/M5WD55","M5WD55")</f>
        <v>M5WD55</v>
      </c>
      <c r="D21028" s="2" t="s">
        <v>15778</v>
      </c>
      <c r="E21028" s="3">
        <v>0</v>
      </c>
      <c r="F21028" s="2">
        <v>2874</v>
      </c>
      <c r="G21028" s="2">
        <v>100</v>
      </c>
      <c r="H21028" s="2">
        <v>576</v>
      </c>
      <c r="I21028" s="2">
        <v>943</v>
      </c>
      <c r="J21028" s="2">
        <v>2670</v>
      </c>
      <c r="K21028" s="2">
        <v>384</v>
      </c>
      <c r="L21028" s="2">
        <v>959</v>
      </c>
    </row>
    <row r="21029" spans="1:12" x14ac:dyDescent="0.25">
      <c r="A21029" s="4" t="str">
        <f>HYPERLINK("http://www.rosaceae.org/Prunus/Prunus_persica/p.persica_gdr_reftransV1_0029826","p.persica_gdr_reftransV1_0029826")</f>
        <v>p.persica_gdr_reftransV1_0029826</v>
      </c>
      <c r="B21029" s="2">
        <v>833</v>
      </c>
      <c r="C21029" s="4" t="str">
        <f>HYPERLINK("http://www.uniprot.org/uniprot/M5VP50","M5VP50")</f>
        <v>M5VP50</v>
      </c>
      <c r="D21029" s="2" t="s">
        <v>3950</v>
      </c>
      <c r="E21029" s="3">
        <v>4.6699999999999998E-150</v>
      </c>
      <c r="F21029" s="2">
        <v>1167</v>
      </c>
      <c r="G21029" s="2">
        <v>100</v>
      </c>
      <c r="H21029" s="2">
        <v>240</v>
      </c>
      <c r="I21029" s="2">
        <v>3</v>
      </c>
      <c r="J21029" s="2">
        <v>722</v>
      </c>
      <c r="K21029" s="2">
        <v>1</v>
      </c>
      <c r="L21029" s="2">
        <v>240</v>
      </c>
    </row>
    <row r="21030" spans="1:12" x14ac:dyDescent="0.25">
      <c r="A21030" s="4" t="str">
        <f>HYPERLINK("http://www.rosaceae.org/Prunus/Prunus_persica/p.persica_gdr_reftransV1_0030176","p.persica_gdr_reftransV1_0030176")</f>
        <v>p.persica_gdr_reftransV1_0030176</v>
      </c>
      <c r="B21030" s="2">
        <v>3726</v>
      </c>
      <c r="C21030" s="4" t="str">
        <f>HYPERLINK("http://www.uniprot.org/uniprot/M5VIL9","M5VIL9")</f>
        <v>M5VIL9</v>
      </c>
      <c r="D21030" s="2" t="s">
        <v>7934</v>
      </c>
      <c r="E21030" s="3">
        <v>0</v>
      </c>
      <c r="F21030" s="2">
        <v>2250</v>
      </c>
      <c r="G21030" s="2">
        <v>100</v>
      </c>
      <c r="H21030" s="2">
        <v>470</v>
      </c>
      <c r="I21030" s="2">
        <v>2098</v>
      </c>
      <c r="J21030" s="2">
        <v>3507</v>
      </c>
      <c r="K21030" s="2">
        <v>120</v>
      </c>
      <c r="L21030" s="2">
        <v>589</v>
      </c>
    </row>
    <row r="21031" spans="1:12" x14ac:dyDescent="0.25">
      <c r="A21031" s="4" t="str">
        <f>HYPERLINK("http://www.rosaceae.org/Prunus/Prunus_persica/p.persica_gdr_reftransV1_0034026","p.persica_gdr_reftransV1_0034026")</f>
        <v>p.persica_gdr_reftransV1_0034026</v>
      </c>
      <c r="B21031" s="2">
        <v>2268</v>
      </c>
      <c r="C21031" s="4" t="str">
        <f>HYPERLINK("http://www.uniprot.org/uniprot/M5XRR4","M5XRR4")</f>
        <v>M5XRR4</v>
      </c>
      <c r="D21031" s="2" t="s">
        <v>4508</v>
      </c>
      <c r="E21031" s="3">
        <v>3.0499999999999999E-105</v>
      </c>
      <c r="F21031" s="2">
        <v>855</v>
      </c>
      <c r="G21031" s="2">
        <v>86</v>
      </c>
      <c r="H21031" s="2">
        <v>191</v>
      </c>
      <c r="I21031" s="2">
        <v>1424</v>
      </c>
      <c r="J21031" s="2">
        <v>1978</v>
      </c>
      <c r="K21031" s="2">
        <v>1</v>
      </c>
      <c r="L21031" s="2">
        <v>191</v>
      </c>
    </row>
    <row r="21032" spans="1:12" x14ac:dyDescent="0.25">
      <c r="A21032" s="4" t="str">
        <f>HYPERLINK("http://www.rosaceae.org/Prunus/Prunus_persica/p.persica_gdr_reftransV1_0037176","p.persica_gdr_reftransV1_0037176")</f>
        <v>p.persica_gdr_reftransV1_0037176</v>
      </c>
      <c r="B21032" s="2">
        <v>2696</v>
      </c>
      <c r="C21032" s="4" t="str">
        <f>HYPERLINK("http://www.uniprot.org/uniprot/M5WEP1","M5WEP1")</f>
        <v>M5WEP1</v>
      </c>
      <c r="D21032" s="2" t="s">
        <v>15779</v>
      </c>
      <c r="E21032" s="3">
        <v>0</v>
      </c>
      <c r="F21032" s="2">
        <v>1865</v>
      </c>
      <c r="G21032" s="2">
        <v>100</v>
      </c>
      <c r="H21032" s="2">
        <v>408</v>
      </c>
      <c r="I21032" s="2">
        <v>524</v>
      </c>
      <c r="J21032" s="2">
        <v>1747</v>
      </c>
      <c r="K21032" s="2">
        <v>21</v>
      </c>
      <c r="L21032" s="2">
        <v>428</v>
      </c>
    </row>
    <row r="21033" spans="1:12" x14ac:dyDescent="0.25">
      <c r="A21033" s="4" t="str">
        <f>HYPERLINK("http://www.rosaceae.org/Prunus/Prunus_persica/p.persica_gdr_reftransV1_0038576","p.persica_gdr_reftransV1_0038576")</f>
        <v>p.persica_gdr_reftransV1_0038576</v>
      </c>
      <c r="B21033" s="2">
        <v>2533</v>
      </c>
      <c r="C21033" s="4" t="str">
        <f>HYPERLINK("http://www.uniprot.org/uniprot/M5W935","M5W935")</f>
        <v>M5W935</v>
      </c>
      <c r="D21033" s="2" t="s">
        <v>15780</v>
      </c>
      <c r="E21033" s="3">
        <v>0</v>
      </c>
      <c r="F21033" s="2">
        <v>2795</v>
      </c>
      <c r="G21033" s="2">
        <v>100</v>
      </c>
      <c r="H21033" s="2">
        <v>551</v>
      </c>
      <c r="I21033" s="2">
        <v>535</v>
      </c>
      <c r="J21033" s="2">
        <v>2187</v>
      </c>
      <c r="K21033" s="2">
        <v>1</v>
      </c>
      <c r="L21033" s="2">
        <v>551</v>
      </c>
    </row>
    <row r="21034" spans="1:12" x14ac:dyDescent="0.25">
      <c r="A21034" s="4" t="str">
        <f>HYPERLINK("http://www.rosaceae.org/Prunus/Prunus_persica/p.persica_gdr_reftransV1_0040326","p.persica_gdr_reftransV1_0040326")</f>
        <v>p.persica_gdr_reftransV1_0040326</v>
      </c>
      <c r="B21034" s="2">
        <v>961</v>
      </c>
      <c r="C21034" s="4" t="str">
        <f>HYPERLINK("http://www.uniprot.org/uniprot/M5VVB2","M5VVB2")</f>
        <v>M5VVB2</v>
      </c>
      <c r="D21034" s="2" t="s">
        <v>15781</v>
      </c>
      <c r="E21034" s="3">
        <v>5.24E-71</v>
      </c>
      <c r="F21034" s="2">
        <v>580</v>
      </c>
      <c r="G21034" s="2">
        <v>100</v>
      </c>
      <c r="H21034" s="2">
        <v>110</v>
      </c>
      <c r="I21034" s="2">
        <v>172</v>
      </c>
      <c r="J21034" s="2">
        <v>501</v>
      </c>
      <c r="K21034" s="2">
        <v>23</v>
      </c>
      <c r="L21034" s="2">
        <v>132</v>
      </c>
    </row>
    <row r="21035" spans="1:12" x14ac:dyDescent="0.25">
      <c r="A21035" s="4" t="str">
        <f>HYPERLINK("http://www.rosaceae.org/Prunus/Prunus_persica/p.persica_gdr_reftransV1_0043126","p.persica_gdr_reftransV1_0043126")</f>
        <v>p.persica_gdr_reftransV1_0043126</v>
      </c>
      <c r="B21035" s="2">
        <v>300</v>
      </c>
      <c r="C21035" s="4" t="str">
        <f>HYPERLINK("http://www.uniprot.org/uniprot/M5XY18","M5XY18")</f>
        <v>M5XY18</v>
      </c>
      <c r="D21035" s="2" t="s">
        <v>15782</v>
      </c>
      <c r="E21035" s="3">
        <v>2.2299999999999999E-60</v>
      </c>
      <c r="F21035" s="2">
        <v>513</v>
      </c>
      <c r="G21035" s="2">
        <v>100</v>
      </c>
      <c r="H21035" s="2">
        <v>99</v>
      </c>
      <c r="I21035" s="2">
        <v>2</v>
      </c>
      <c r="J21035" s="2">
        <v>298</v>
      </c>
      <c r="K21035" s="2">
        <v>308</v>
      </c>
      <c r="L21035" s="2">
        <v>406</v>
      </c>
    </row>
    <row r="21036" spans="1:12" x14ac:dyDescent="0.25">
      <c r="A21036" s="4" t="str">
        <f>HYPERLINK("http://www.rosaceae.org/Prunus/Prunus_persica/p.persica_gdr_reftransV1_0043476","p.persica_gdr_reftransV1_0043476")</f>
        <v>p.persica_gdr_reftransV1_0043476</v>
      </c>
      <c r="B21036" s="2">
        <v>1060</v>
      </c>
      <c r="C21036" s="4" t="str">
        <f>HYPERLINK("http://www.uniprot.org/uniprot/M5VS82","M5VS82")</f>
        <v>M5VS82</v>
      </c>
      <c r="D21036" s="2" t="s">
        <v>15783</v>
      </c>
      <c r="E21036" s="3">
        <v>6.8700000000000002E-108</v>
      </c>
      <c r="F21036" s="2">
        <v>831</v>
      </c>
      <c r="G21036" s="2">
        <v>100</v>
      </c>
      <c r="H21036" s="2">
        <v>161</v>
      </c>
      <c r="I21036" s="2">
        <v>242</v>
      </c>
      <c r="J21036" s="2">
        <v>724</v>
      </c>
      <c r="K21036" s="2">
        <v>1</v>
      </c>
      <c r="L21036" s="2">
        <v>161</v>
      </c>
    </row>
    <row r="21037" spans="1:12" x14ac:dyDescent="0.25">
      <c r="A21037" s="4" t="str">
        <f>HYPERLINK("http://www.rosaceae.org/Prunus/Prunus_persica/p.persica_gdr_reftransV1_0043826","p.persica_gdr_reftransV1_0043826")</f>
        <v>p.persica_gdr_reftransV1_0043826</v>
      </c>
      <c r="B21037" s="2">
        <v>1085</v>
      </c>
      <c r="C21037" s="4" t="str">
        <f>HYPERLINK("http://www.uniprot.org/uniprot/M5W395","M5W395")</f>
        <v>M5W395</v>
      </c>
      <c r="D21037" s="2" t="s">
        <v>15784</v>
      </c>
      <c r="E21037" s="3">
        <v>6.4299999999999997E-157</v>
      </c>
      <c r="F21037" s="2">
        <v>1162</v>
      </c>
      <c r="G21037" s="2">
        <v>100</v>
      </c>
      <c r="H21037" s="2">
        <v>228</v>
      </c>
      <c r="I21037" s="2">
        <v>304</v>
      </c>
      <c r="J21037" s="2">
        <v>987</v>
      </c>
      <c r="K21037" s="2">
        <v>1</v>
      </c>
      <c r="L21037" s="2">
        <v>228</v>
      </c>
    </row>
    <row r="21038" spans="1:12" x14ac:dyDescent="0.25">
      <c r="A21038" s="4" t="str">
        <f>HYPERLINK("http://www.rosaceae.org/Prunus/Prunus_persica/p.persica_gdr_reftransV1_0044176","p.persica_gdr_reftransV1_0044176")</f>
        <v>p.persica_gdr_reftransV1_0044176</v>
      </c>
      <c r="B21038" s="2">
        <v>1670</v>
      </c>
      <c r="C21038" s="4" t="str">
        <f>HYPERLINK("http://www.uniprot.org/uniprot/M5XUE0","M5XUE0")</f>
        <v>M5XUE0</v>
      </c>
      <c r="D21038" s="2" t="s">
        <v>3515</v>
      </c>
      <c r="E21038" s="3">
        <v>7.4000000000000004E-56</v>
      </c>
      <c r="F21038" s="2">
        <v>443</v>
      </c>
      <c r="G21038" s="2">
        <v>100</v>
      </c>
      <c r="H21038" s="2">
        <v>84</v>
      </c>
      <c r="I21038" s="2">
        <v>254</v>
      </c>
      <c r="J21038" s="2">
        <v>505</v>
      </c>
      <c r="K21038" s="2">
        <v>1</v>
      </c>
      <c r="L21038" s="2">
        <v>84</v>
      </c>
    </row>
    <row r="21039" spans="1:12" x14ac:dyDescent="0.25">
      <c r="A21039" s="4" t="str">
        <f>HYPERLINK("http://www.rosaceae.org/Prunus/Prunus_persica/p.persica_gdr_reftransV1_0044526","p.persica_gdr_reftransV1_0044526")</f>
        <v>p.persica_gdr_reftransV1_0044526</v>
      </c>
      <c r="B21039" s="2">
        <v>662</v>
      </c>
      <c r="C21039" s="4" t="str">
        <f>HYPERLINK("http://www.uniprot.org/uniprot/M5W931","M5W931")</f>
        <v>M5W931</v>
      </c>
      <c r="D21039" s="2" t="s">
        <v>5747</v>
      </c>
      <c r="E21039" s="3">
        <v>3.7400000000000003E-151</v>
      </c>
      <c r="F21039" s="2">
        <v>1141</v>
      </c>
      <c r="G21039" s="2">
        <v>99</v>
      </c>
      <c r="H21039" s="2">
        <v>220</v>
      </c>
      <c r="I21039" s="2">
        <v>2</v>
      </c>
      <c r="J21039" s="2">
        <v>661</v>
      </c>
      <c r="K21039" s="2">
        <v>93</v>
      </c>
      <c r="L21039" s="2">
        <v>312</v>
      </c>
    </row>
    <row r="21040" spans="1:12" x14ac:dyDescent="0.25">
      <c r="A21040" s="4" t="str">
        <f>HYPERLINK("http://www.rosaceae.org/Prunus/Prunus_persica/p.persica_gdr_reftransV1_0044876","p.persica_gdr_reftransV1_0044876")</f>
        <v>p.persica_gdr_reftransV1_0044876</v>
      </c>
      <c r="B21040" s="2">
        <v>1934</v>
      </c>
      <c r="C21040" s="4" t="str">
        <f>HYPERLINK("http://www.uniprot.org/uniprot/M5X355","M5X355")</f>
        <v>M5X355</v>
      </c>
      <c r="D21040" s="2" t="s">
        <v>15785</v>
      </c>
      <c r="E21040" s="3">
        <v>0</v>
      </c>
      <c r="F21040" s="2">
        <v>1658</v>
      </c>
      <c r="G21040" s="2">
        <v>100</v>
      </c>
      <c r="H21040" s="2">
        <v>381</v>
      </c>
      <c r="I21040" s="2">
        <v>84</v>
      </c>
      <c r="J21040" s="2">
        <v>1226</v>
      </c>
      <c r="K21040" s="2">
        <v>1</v>
      </c>
      <c r="L21040" s="2">
        <v>381</v>
      </c>
    </row>
    <row r="21041" spans="1:12" x14ac:dyDescent="0.25">
      <c r="A21041" s="4" t="str">
        <f>HYPERLINK("http://www.rosaceae.org/Prunus/Prunus_persica/p.persica_gdr_reftransV1_0045226","p.persica_gdr_reftransV1_0045226")</f>
        <v>p.persica_gdr_reftransV1_0045226</v>
      </c>
      <c r="B21041" s="2">
        <v>1215</v>
      </c>
      <c r="C21041" s="4" t="str">
        <f>HYPERLINK("http://www.uniprot.org/uniprot/M5W0M9","M5W0M9")</f>
        <v>M5W0M9</v>
      </c>
      <c r="D21041" s="2" t="s">
        <v>15786</v>
      </c>
      <c r="E21041" s="3">
        <v>0</v>
      </c>
      <c r="F21041" s="2">
        <v>1434</v>
      </c>
      <c r="G21041" s="2">
        <v>100</v>
      </c>
      <c r="H21041" s="2">
        <v>270</v>
      </c>
      <c r="I21041" s="2">
        <v>328</v>
      </c>
      <c r="J21041" s="2">
        <v>1137</v>
      </c>
      <c r="K21041" s="2">
        <v>1</v>
      </c>
      <c r="L21041" s="2">
        <v>270</v>
      </c>
    </row>
    <row r="21042" spans="1:12" x14ac:dyDescent="0.25">
      <c r="A21042" s="4" t="str">
        <f>HYPERLINK("http://www.rosaceae.org/Prunus/Prunus_persica/p.persica_gdr_reftransV1_0045576","p.persica_gdr_reftransV1_0045576")</f>
        <v>p.persica_gdr_reftransV1_0045576</v>
      </c>
      <c r="B21042" s="2">
        <v>747</v>
      </c>
      <c r="C21042" s="4" t="str">
        <f>HYPERLINK("http://www.uniprot.org/uniprot/M5XLB1","M5XLB1")</f>
        <v>M5XLB1</v>
      </c>
      <c r="D21042" s="2" t="s">
        <v>15787</v>
      </c>
      <c r="E21042" s="3">
        <v>8.0999999999999997E-59</v>
      </c>
      <c r="F21042" s="2">
        <v>529</v>
      </c>
      <c r="G21042" s="2">
        <v>100</v>
      </c>
      <c r="H21042" s="2">
        <v>102</v>
      </c>
      <c r="I21042" s="2">
        <v>132</v>
      </c>
      <c r="J21042" s="2">
        <v>437</v>
      </c>
      <c r="K21042" s="2">
        <v>559</v>
      </c>
      <c r="L21042" s="2">
        <v>660</v>
      </c>
    </row>
    <row r="21043" spans="1:12" x14ac:dyDescent="0.25">
      <c r="A21043" s="4" t="str">
        <f>HYPERLINK("http://www.rosaceae.org/Prunus/Prunus_persica/p.persica_gdr_reftransV1_0046626","p.persica_gdr_reftransV1_0046626")</f>
        <v>p.persica_gdr_reftransV1_0046626</v>
      </c>
      <c r="B21043" s="2">
        <v>1527</v>
      </c>
      <c r="C21043" s="4" t="str">
        <f>HYPERLINK("http://www.uniprot.org/uniprot/M5WIR6","M5WIR6")</f>
        <v>M5WIR6</v>
      </c>
      <c r="D21043" s="2" t="s">
        <v>1451</v>
      </c>
      <c r="E21043" s="3">
        <v>0</v>
      </c>
      <c r="F21043" s="2">
        <v>1368</v>
      </c>
      <c r="G21043" s="2">
        <v>100</v>
      </c>
      <c r="H21043" s="2">
        <v>321</v>
      </c>
      <c r="I21043" s="2">
        <v>359</v>
      </c>
      <c r="J21043" s="2">
        <v>1321</v>
      </c>
      <c r="K21043" s="2">
        <v>19</v>
      </c>
      <c r="L21043" s="2">
        <v>339</v>
      </c>
    </row>
    <row r="21044" spans="1:12" x14ac:dyDescent="0.25">
      <c r="A21044" s="4" t="str">
        <f>HYPERLINK("http://www.rosaceae.org/Prunus/Prunus_persica/p.persica_gdr_reftransV1_0046976","p.persica_gdr_reftransV1_0046976")</f>
        <v>p.persica_gdr_reftransV1_0046976</v>
      </c>
      <c r="B21044" s="2">
        <v>2685</v>
      </c>
      <c r="C21044" s="4" t="str">
        <f>HYPERLINK("http://www.uniprot.org/uniprot/A0MQ94","A0MQ94")</f>
        <v>A0MQ94</v>
      </c>
      <c r="D21044" s="2" t="s">
        <v>14464</v>
      </c>
      <c r="E21044" s="3">
        <v>0</v>
      </c>
      <c r="F21044" s="2">
        <v>3175</v>
      </c>
      <c r="G21044" s="2">
        <v>100</v>
      </c>
      <c r="H21044" s="2">
        <v>601</v>
      </c>
      <c r="I21044" s="2">
        <v>543</v>
      </c>
      <c r="J21044" s="2">
        <v>2345</v>
      </c>
      <c r="K21044" s="2">
        <v>1</v>
      </c>
      <c r="L21044" s="2">
        <v>601</v>
      </c>
    </row>
    <row r="21045" spans="1:12" x14ac:dyDescent="0.25">
      <c r="A21045" s="4" t="str">
        <f>HYPERLINK("http://www.rosaceae.org/Prunus/Prunus_persica/p.persica_gdr_reftransV1_0047676","p.persica_gdr_reftransV1_0047676")</f>
        <v>p.persica_gdr_reftransV1_0047676</v>
      </c>
      <c r="B21045" s="2">
        <v>1063</v>
      </c>
      <c r="C21045" s="4" t="str">
        <f>HYPERLINK("http://www.uniprot.org/uniprot/B9SV86","B9SV86")</f>
        <v>B9SV86</v>
      </c>
      <c r="D21045" s="2" t="s">
        <v>15788</v>
      </c>
      <c r="E21045" s="3">
        <v>2.4900000000000001E-64</v>
      </c>
      <c r="F21045" s="2">
        <v>538</v>
      </c>
      <c r="G21045" s="2">
        <v>98</v>
      </c>
      <c r="H21045" s="2">
        <v>117</v>
      </c>
      <c r="I21045" s="2">
        <v>162</v>
      </c>
      <c r="J21045" s="2">
        <v>512</v>
      </c>
      <c r="K21045" s="2">
        <v>1</v>
      </c>
      <c r="L21045" s="2">
        <v>117</v>
      </c>
    </row>
    <row r="21046" spans="1:12" x14ac:dyDescent="0.25">
      <c r="A21046" s="4" t="str">
        <f>HYPERLINK("http://www.rosaceae.org/Prunus/Prunus_persica/p.persica_gdr_reftransV1_0048026","p.persica_gdr_reftransV1_0048026")</f>
        <v>p.persica_gdr_reftransV1_0048026</v>
      </c>
      <c r="B21046" s="2">
        <v>2037</v>
      </c>
      <c r="C21046" s="4" t="str">
        <f>HYPERLINK("http://www.uniprot.org/uniprot/M5XWQ3","M5XWQ3")</f>
        <v>M5XWQ3</v>
      </c>
      <c r="D21046" s="2" t="s">
        <v>12327</v>
      </c>
      <c r="E21046" s="3">
        <v>0</v>
      </c>
      <c r="F21046" s="2">
        <v>2368</v>
      </c>
      <c r="G21046" s="2">
        <v>100</v>
      </c>
      <c r="H21046" s="2">
        <v>465</v>
      </c>
      <c r="I21046" s="2">
        <v>189</v>
      </c>
      <c r="J21046" s="2">
        <v>1583</v>
      </c>
      <c r="K21046" s="2">
        <v>1</v>
      </c>
      <c r="L21046" s="2">
        <v>465</v>
      </c>
    </row>
    <row r="21047" spans="1:12" x14ac:dyDescent="0.25">
      <c r="A21047" s="4" t="str">
        <f>HYPERLINK("http://www.rosaceae.org/Prunus/Prunus_persica/p.persica_gdr_reftransV1_0048376","p.persica_gdr_reftransV1_0048376")</f>
        <v>p.persica_gdr_reftransV1_0048376</v>
      </c>
      <c r="B21047" s="2">
        <v>1283</v>
      </c>
      <c r="C21047" s="4" t="str">
        <f>HYPERLINK("http://www.uniprot.org/uniprot/M5WMK7","M5WMK7")</f>
        <v>M5WMK7</v>
      </c>
      <c r="D21047" s="2" t="s">
        <v>15789</v>
      </c>
      <c r="E21047" s="3">
        <v>0</v>
      </c>
      <c r="F21047" s="2">
        <v>1886</v>
      </c>
      <c r="G21047" s="2">
        <v>100</v>
      </c>
      <c r="H21047" s="2">
        <v>353</v>
      </c>
      <c r="I21047" s="2">
        <v>137</v>
      </c>
      <c r="J21047" s="2">
        <v>1195</v>
      </c>
      <c r="K21047" s="2">
        <v>1</v>
      </c>
      <c r="L21047" s="2">
        <v>353</v>
      </c>
    </row>
    <row r="21048" spans="1:12" x14ac:dyDescent="0.25">
      <c r="A21048" s="4" t="str">
        <f>HYPERLINK("http://www.rosaceae.org/Prunus/Prunus_persica/p.persica_gdr_reftransV1_0048726","p.persica_gdr_reftransV1_0048726")</f>
        <v>p.persica_gdr_reftransV1_0048726</v>
      </c>
      <c r="B21048" s="2">
        <v>726</v>
      </c>
      <c r="C21048" s="4" t="str">
        <f>HYPERLINK("http://www.uniprot.org/uniprot/M5XJT6","M5XJT6")</f>
        <v>M5XJT6</v>
      </c>
      <c r="D21048" s="2" t="s">
        <v>7240</v>
      </c>
      <c r="E21048" s="3">
        <v>5.9399999999999997E-89</v>
      </c>
      <c r="F21048" s="2">
        <v>707</v>
      </c>
      <c r="G21048" s="2">
        <v>88</v>
      </c>
      <c r="H21048" s="2">
        <v>160</v>
      </c>
      <c r="I21048" s="2">
        <v>7</v>
      </c>
      <c r="J21048" s="2">
        <v>486</v>
      </c>
      <c r="K21048" s="2">
        <v>119</v>
      </c>
      <c r="L21048" s="2">
        <v>278</v>
      </c>
    </row>
    <row r="21049" spans="1:12" x14ac:dyDescent="0.25">
      <c r="A21049" s="4" t="str">
        <f>HYPERLINK("http://www.rosaceae.org/Prunus/Prunus_persica/p.persica_gdr_reftransV1_0049076","p.persica_gdr_reftransV1_0049076")</f>
        <v>p.persica_gdr_reftransV1_0049076</v>
      </c>
      <c r="B21049" s="2">
        <v>2911</v>
      </c>
      <c r="C21049" s="4" t="str">
        <f>HYPERLINK("http://www.uniprot.org/uniprot/M5X623","M5X623")</f>
        <v>M5X623</v>
      </c>
      <c r="D21049" s="2" t="s">
        <v>15790</v>
      </c>
      <c r="E21049" s="3">
        <v>0</v>
      </c>
      <c r="F21049" s="2">
        <v>2815</v>
      </c>
      <c r="G21049" s="2">
        <v>99</v>
      </c>
      <c r="H21049" s="2">
        <v>632</v>
      </c>
      <c r="I21049" s="2">
        <v>213</v>
      </c>
      <c r="J21049" s="2">
        <v>2093</v>
      </c>
      <c r="K21049" s="2">
        <v>1</v>
      </c>
      <c r="L21049" s="2">
        <v>632</v>
      </c>
    </row>
    <row r="21050" spans="1:12" x14ac:dyDescent="0.25">
      <c r="A21050" s="4" t="str">
        <f>HYPERLINK("http://www.rosaceae.org/Prunus/Prunus_persica/p.persica_gdr_reftransV1_0000077","p.persica_gdr_reftransV1_0000077")</f>
        <v>p.persica_gdr_reftransV1_0000077</v>
      </c>
      <c r="B21050" s="2">
        <v>1512</v>
      </c>
      <c r="C21050" s="4" t="str">
        <f>HYPERLINK("http://www.uniprot.org/uniprot/M5VJX2","M5VJX2")</f>
        <v>M5VJX2</v>
      </c>
      <c r="D21050" s="2" t="s">
        <v>5697</v>
      </c>
      <c r="E21050" s="3">
        <v>0</v>
      </c>
      <c r="F21050" s="2">
        <v>2074</v>
      </c>
      <c r="G21050" s="2">
        <v>89</v>
      </c>
      <c r="H21050" s="2">
        <v>444</v>
      </c>
      <c r="I21050" s="2">
        <v>116</v>
      </c>
      <c r="J21050" s="2">
        <v>1447</v>
      </c>
      <c r="K21050" s="2">
        <v>1</v>
      </c>
      <c r="L21050" s="2">
        <v>394</v>
      </c>
    </row>
    <row r="21051" spans="1:12" x14ac:dyDescent="0.25">
      <c r="A21051" s="4" t="str">
        <f>HYPERLINK("http://www.rosaceae.org/Prunus/Prunus_persica/p.persica_gdr_reftransV1_0000427","p.persica_gdr_reftransV1_0000427")</f>
        <v>p.persica_gdr_reftransV1_0000427</v>
      </c>
      <c r="B21051" s="2">
        <v>1863</v>
      </c>
      <c r="C21051" s="4" t="str">
        <f>HYPERLINK("http://www.uniprot.org/uniprot/M5XW87","M5XW87")</f>
        <v>M5XW87</v>
      </c>
      <c r="D21051" s="2" t="s">
        <v>7409</v>
      </c>
      <c r="E21051" s="3">
        <v>0</v>
      </c>
      <c r="F21051" s="2">
        <v>2396</v>
      </c>
      <c r="G21051" s="2">
        <v>100</v>
      </c>
      <c r="H21051" s="2">
        <v>494</v>
      </c>
      <c r="I21051" s="2">
        <v>289</v>
      </c>
      <c r="J21051" s="2">
        <v>1770</v>
      </c>
      <c r="K21051" s="2">
        <v>1</v>
      </c>
      <c r="L21051" s="2">
        <v>494</v>
      </c>
    </row>
    <row r="21052" spans="1:12" x14ac:dyDescent="0.25">
      <c r="A21052" s="4" t="str">
        <f>HYPERLINK("http://www.rosaceae.org/Prunus/Prunus_persica/p.persica_gdr_reftransV1_0000777","p.persica_gdr_reftransV1_0000777")</f>
        <v>p.persica_gdr_reftransV1_0000777</v>
      </c>
      <c r="B21052" s="2">
        <v>2843</v>
      </c>
      <c r="C21052" s="4" t="str">
        <f>HYPERLINK("http://www.uniprot.org/uniprot/M5X3N3","M5X3N3")</f>
        <v>M5X3N3</v>
      </c>
      <c r="D21052" s="2" t="s">
        <v>15791</v>
      </c>
      <c r="E21052" s="3">
        <v>0</v>
      </c>
      <c r="F21052" s="2">
        <v>4004</v>
      </c>
      <c r="G21052" s="2">
        <v>100</v>
      </c>
      <c r="H21052" s="2">
        <v>843</v>
      </c>
      <c r="I21052" s="2">
        <v>265</v>
      </c>
      <c r="J21052" s="2">
        <v>2793</v>
      </c>
      <c r="K21052" s="2">
        <v>1</v>
      </c>
      <c r="L21052" s="2">
        <v>843</v>
      </c>
    </row>
    <row r="21053" spans="1:12" x14ac:dyDescent="0.25">
      <c r="A21053" s="4" t="str">
        <f>HYPERLINK("http://www.rosaceae.org/Prunus/Prunus_persica/p.persica_gdr_reftransV1_0001827","p.persica_gdr_reftransV1_0001827")</f>
        <v>p.persica_gdr_reftransV1_0001827</v>
      </c>
      <c r="B21053" s="2">
        <v>1908</v>
      </c>
      <c r="C21053" s="4" t="str">
        <f>HYPERLINK("http://www.uniprot.org/uniprot/M5WI59","M5WI59")</f>
        <v>M5WI59</v>
      </c>
      <c r="D21053" s="2" t="s">
        <v>15792</v>
      </c>
      <c r="E21053" s="3">
        <v>0</v>
      </c>
      <c r="F21053" s="2">
        <v>2042</v>
      </c>
      <c r="G21053" s="2">
        <v>100</v>
      </c>
      <c r="H21053" s="2">
        <v>412</v>
      </c>
      <c r="I21053" s="2">
        <v>301</v>
      </c>
      <c r="J21053" s="2">
        <v>1536</v>
      </c>
      <c r="K21053" s="2">
        <v>1</v>
      </c>
      <c r="L21053" s="2">
        <v>412</v>
      </c>
    </row>
    <row r="21054" spans="1:12" x14ac:dyDescent="0.25">
      <c r="A21054" s="4" t="str">
        <f>HYPERLINK("http://www.rosaceae.org/Prunus/Prunus_persica/p.persica_gdr_reftransV1_0002177","p.persica_gdr_reftransV1_0002177")</f>
        <v>p.persica_gdr_reftransV1_0002177</v>
      </c>
      <c r="B21054" s="2">
        <v>581</v>
      </c>
      <c r="C21054" s="4" t="str">
        <f>HYPERLINK("http://www.uniprot.org/uniprot/A0A0D2YKT2","A0A0D2YKT2")</f>
        <v>A0A0D2YKT2</v>
      </c>
      <c r="D21054" s="2" t="s">
        <v>15793</v>
      </c>
      <c r="E21054" s="3">
        <v>3.9300000000000002E-126</v>
      </c>
      <c r="F21054" s="2">
        <v>955</v>
      </c>
      <c r="G21054" s="2">
        <v>92</v>
      </c>
      <c r="H21054" s="2">
        <v>190</v>
      </c>
      <c r="I21054" s="2">
        <v>3</v>
      </c>
      <c r="J21054" s="2">
        <v>572</v>
      </c>
      <c r="K21054" s="2">
        <v>18</v>
      </c>
      <c r="L21054" s="2">
        <v>207</v>
      </c>
    </row>
    <row r="21055" spans="1:12" x14ac:dyDescent="0.25">
      <c r="A21055" s="4" t="str">
        <f>HYPERLINK("http://www.rosaceae.org/Prunus/Prunus_persica/p.persica_gdr_reftransV1_0002527","p.persica_gdr_reftransV1_0002527")</f>
        <v>p.persica_gdr_reftransV1_0002527</v>
      </c>
      <c r="B21055" s="2">
        <v>1878</v>
      </c>
      <c r="C21055" s="4" t="str">
        <f>HYPERLINK("http://www.uniprot.org/uniprot/M5VPY6","M5VPY6")</f>
        <v>M5VPY6</v>
      </c>
      <c r="D21055" s="2" t="s">
        <v>7619</v>
      </c>
      <c r="E21055" s="3">
        <v>0</v>
      </c>
      <c r="F21055" s="2">
        <v>2046</v>
      </c>
      <c r="G21055" s="2">
        <v>100</v>
      </c>
      <c r="H21055" s="2">
        <v>389</v>
      </c>
      <c r="I21055" s="2">
        <v>355</v>
      </c>
      <c r="J21055" s="2">
        <v>1521</v>
      </c>
      <c r="K21055" s="2">
        <v>1</v>
      </c>
      <c r="L21055" s="2">
        <v>389</v>
      </c>
    </row>
    <row r="21056" spans="1:12" x14ac:dyDescent="0.25">
      <c r="A21056" s="4" t="str">
        <f>HYPERLINK("http://www.rosaceae.org/Prunus/Prunus_persica/p.persica_gdr_reftransV1_0003577","p.persica_gdr_reftransV1_0003577")</f>
        <v>p.persica_gdr_reftransV1_0003577</v>
      </c>
      <c r="B21056" s="2">
        <v>2049</v>
      </c>
      <c r="C21056" s="4" t="str">
        <f>HYPERLINK("http://www.uniprot.org/uniprot/M5VYM9","M5VYM9")</f>
        <v>M5VYM9</v>
      </c>
      <c r="D21056" s="2" t="s">
        <v>15794</v>
      </c>
      <c r="E21056" s="3">
        <v>0</v>
      </c>
      <c r="F21056" s="2">
        <v>2886</v>
      </c>
      <c r="G21056" s="2">
        <v>100</v>
      </c>
      <c r="H21056" s="2">
        <v>555</v>
      </c>
      <c r="I21056" s="2">
        <v>203</v>
      </c>
      <c r="J21056" s="2">
        <v>1867</v>
      </c>
      <c r="K21056" s="2">
        <v>1</v>
      </c>
      <c r="L21056" s="2">
        <v>555</v>
      </c>
    </row>
    <row r="21057" spans="1:12" x14ac:dyDescent="0.25">
      <c r="A21057" s="4" t="str">
        <f>HYPERLINK("http://www.rosaceae.org/Prunus/Prunus_persica/p.persica_gdr_reftransV1_0003927","p.persica_gdr_reftransV1_0003927")</f>
        <v>p.persica_gdr_reftransV1_0003927</v>
      </c>
      <c r="B21057" s="2">
        <v>1791</v>
      </c>
      <c r="C21057" s="4" t="str">
        <f>HYPERLINK("http://www.uniprot.org/uniprot/M5XHJ1","M5XHJ1")</f>
        <v>M5XHJ1</v>
      </c>
      <c r="D21057" s="2" t="s">
        <v>426</v>
      </c>
      <c r="E21057" s="3">
        <v>0</v>
      </c>
      <c r="F21057" s="2">
        <v>1397</v>
      </c>
      <c r="G21057" s="2">
        <v>100</v>
      </c>
      <c r="H21057" s="2">
        <v>369</v>
      </c>
      <c r="I21057" s="2">
        <v>257</v>
      </c>
      <c r="J21057" s="2">
        <v>1363</v>
      </c>
      <c r="K21057" s="2">
        <v>43</v>
      </c>
      <c r="L21057" s="2">
        <v>411</v>
      </c>
    </row>
    <row r="21058" spans="1:12" x14ac:dyDescent="0.25">
      <c r="A21058" s="4" t="str">
        <f>HYPERLINK("http://www.rosaceae.org/Prunus/Prunus_persica/p.persica_gdr_reftransV1_0004277","p.persica_gdr_reftransV1_0004277")</f>
        <v>p.persica_gdr_reftransV1_0004277</v>
      </c>
      <c r="B21058" s="2">
        <v>1830</v>
      </c>
      <c r="C21058" s="4" t="str">
        <f>HYPERLINK("http://www.uniprot.org/uniprot/M5WIC3","M5WIC3")</f>
        <v>M5WIC3</v>
      </c>
      <c r="D21058" s="2" t="s">
        <v>3040</v>
      </c>
      <c r="E21058" s="3">
        <v>0</v>
      </c>
      <c r="F21058" s="2">
        <v>2504</v>
      </c>
      <c r="G21058" s="2">
        <v>99</v>
      </c>
      <c r="H21058" s="2">
        <v>486</v>
      </c>
      <c r="I21058" s="2">
        <v>224</v>
      </c>
      <c r="J21058" s="2">
        <v>1681</v>
      </c>
      <c r="K21058" s="2">
        <v>1</v>
      </c>
      <c r="L21058" s="2">
        <v>486</v>
      </c>
    </row>
    <row r="21059" spans="1:12" x14ac:dyDescent="0.25">
      <c r="A21059" s="4" t="str">
        <f>HYPERLINK("http://www.rosaceae.org/Prunus/Prunus_persica/p.persica_gdr_reftransV1_0005327","p.persica_gdr_reftransV1_0005327")</f>
        <v>p.persica_gdr_reftransV1_0005327</v>
      </c>
      <c r="B21059" s="2">
        <v>409</v>
      </c>
      <c r="C21059" s="4" t="str">
        <f>HYPERLINK("http://www.uniprot.org/uniprot/M5X0W1","M5X0W1")</f>
        <v>M5X0W1</v>
      </c>
      <c r="D21059" s="2" t="s">
        <v>14784</v>
      </c>
      <c r="E21059" s="3">
        <v>9.3699999999999999E-74</v>
      </c>
      <c r="F21059" s="2">
        <v>604</v>
      </c>
      <c r="G21059" s="2">
        <v>96</v>
      </c>
      <c r="H21059" s="2">
        <v>136</v>
      </c>
      <c r="I21059" s="2">
        <v>2</v>
      </c>
      <c r="J21059" s="2">
        <v>409</v>
      </c>
      <c r="K21059" s="2">
        <v>88</v>
      </c>
      <c r="L21059" s="2">
        <v>223</v>
      </c>
    </row>
    <row r="21060" spans="1:12" x14ac:dyDescent="0.25">
      <c r="A21060" s="4" t="str">
        <f>HYPERLINK("http://www.rosaceae.org/Prunus/Prunus_persica/p.persica_gdr_reftransV1_0005677","p.persica_gdr_reftransV1_0005677")</f>
        <v>p.persica_gdr_reftransV1_0005677</v>
      </c>
      <c r="B21060" s="2">
        <v>902</v>
      </c>
      <c r="C21060" s="4" t="str">
        <f>HYPERLINK("http://www.uniprot.org/uniprot/M5VZJ6","M5VZJ6")</f>
        <v>M5VZJ6</v>
      </c>
      <c r="D21060" s="2" t="s">
        <v>2756</v>
      </c>
      <c r="E21060" s="3">
        <v>5.4500000000000003E-171</v>
      </c>
      <c r="F21060" s="2">
        <v>1264</v>
      </c>
      <c r="G21060" s="2">
        <v>100</v>
      </c>
      <c r="H21060" s="2">
        <v>237</v>
      </c>
      <c r="I21060" s="2">
        <v>190</v>
      </c>
      <c r="J21060" s="2">
        <v>900</v>
      </c>
      <c r="K21060" s="2">
        <v>146</v>
      </c>
      <c r="L21060" s="2">
        <v>382</v>
      </c>
    </row>
    <row r="21061" spans="1:12" x14ac:dyDescent="0.25">
      <c r="A21061" s="4" t="str">
        <f>HYPERLINK("http://www.rosaceae.org/Prunus/Prunus_persica/p.persica_gdr_reftransV1_0006727","p.persica_gdr_reftransV1_0006727")</f>
        <v>p.persica_gdr_reftransV1_0006727</v>
      </c>
      <c r="B21061" s="2">
        <v>1207</v>
      </c>
      <c r="C21061" s="4" t="str">
        <f>HYPERLINK("http://www.uniprot.org/uniprot/M5WEA6","M5WEA6")</f>
        <v>M5WEA6</v>
      </c>
      <c r="D21061" s="2" t="s">
        <v>15795</v>
      </c>
      <c r="E21061" s="3">
        <v>2.8399999999999999E-36</v>
      </c>
      <c r="F21061" s="2">
        <v>282</v>
      </c>
      <c r="G21061" s="2">
        <v>64</v>
      </c>
      <c r="H21061" s="2">
        <v>84</v>
      </c>
      <c r="I21061" s="2">
        <v>683</v>
      </c>
      <c r="J21061" s="2">
        <v>934</v>
      </c>
      <c r="K21061" s="2">
        <v>85</v>
      </c>
      <c r="L21061" s="2">
        <v>167</v>
      </c>
    </row>
    <row r="21062" spans="1:12" x14ac:dyDescent="0.25">
      <c r="A21062" s="4" t="str">
        <f>HYPERLINK("http://www.rosaceae.org/Prunus/Prunus_persica/p.persica_gdr_reftransV1_0007077","p.persica_gdr_reftransV1_0007077")</f>
        <v>p.persica_gdr_reftransV1_0007077</v>
      </c>
      <c r="B21062" s="2">
        <v>584</v>
      </c>
      <c r="C21062" s="4" t="str">
        <f>HYPERLINK("http://www.uniprot.org/uniprot/M5WQS1","M5WQS1")</f>
        <v>M5WQS1</v>
      </c>
      <c r="D21062" s="2" t="s">
        <v>15796</v>
      </c>
      <c r="E21062" s="3">
        <v>1.4E-57</v>
      </c>
      <c r="F21062" s="2">
        <v>503</v>
      </c>
      <c r="G21062" s="2">
        <v>96</v>
      </c>
      <c r="H21062" s="2">
        <v>113</v>
      </c>
      <c r="I21062" s="2">
        <v>244</v>
      </c>
      <c r="J21062" s="2">
        <v>582</v>
      </c>
      <c r="K21062" s="2">
        <v>318</v>
      </c>
      <c r="L21062" s="2">
        <v>430</v>
      </c>
    </row>
    <row r="21063" spans="1:12" x14ac:dyDescent="0.25">
      <c r="A21063" s="4" t="str">
        <f>HYPERLINK("http://www.rosaceae.org/Prunus/Prunus_persica/p.persica_gdr_reftransV1_0007427","p.persica_gdr_reftransV1_0007427")</f>
        <v>p.persica_gdr_reftransV1_0007427</v>
      </c>
      <c r="B21063" s="2">
        <v>638</v>
      </c>
      <c r="C21063" s="4" t="str">
        <f>HYPERLINK("http://www.uniprot.org/uniprot/M5XBA0","M5XBA0")</f>
        <v>M5XBA0</v>
      </c>
      <c r="D21063" s="2" t="s">
        <v>15797</v>
      </c>
      <c r="E21063" s="3">
        <v>7.1100000000000001E-65</v>
      </c>
      <c r="F21063" s="2">
        <v>529</v>
      </c>
      <c r="G21063" s="2">
        <v>100</v>
      </c>
      <c r="H21063" s="2">
        <v>102</v>
      </c>
      <c r="I21063" s="2">
        <v>215</v>
      </c>
      <c r="J21063" s="2">
        <v>520</v>
      </c>
      <c r="K21063" s="2">
        <v>33</v>
      </c>
      <c r="L21063" s="2">
        <v>134</v>
      </c>
    </row>
    <row r="21064" spans="1:12" x14ac:dyDescent="0.25">
      <c r="A21064" s="4" t="str">
        <f>HYPERLINK("http://www.rosaceae.org/Prunus/Prunus_persica/p.persica_gdr_reftransV1_0007777","p.persica_gdr_reftransV1_0007777")</f>
        <v>p.persica_gdr_reftransV1_0007777</v>
      </c>
      <c r="B21064" s="2">
        <v>673</v>
      </c>
      <c r="C21064" s="4" t="str">
        <f>HYPERLINK("http://www.uniprot.org/uniprot/M5Y295","M5Y295")</f>
        <v>M5Y295</v>
      </c>
      <c r="D21064" s="2" t="s">
        <v>15798</v>
      </c>
      <c r="E21064" s="3">
        <v>2.2399999999999999E-89</v>
      </c>
      <c r="F21064" s="2">
        <v>692</v>
      </c>
      <c r="G21064" s="2">
        <v>100</v>
      </c>
      <c r="H21064" s="2">
        <v>131</v>
      </c>
      <c r="I21064" s="2">
        <v>216</v>
      </c>
      <c r="J21064" s="2">
        <v>608</v>
      </c>
      <c r="K21064" s="2">
        <v>1</v>
      </c>
      <c r="L21064" s="2">
        <v>131</v>
      </c>
    </row>
    <row r="21065" spans="1:12" x14ac:dyDescent="0.25">
      <c r="A21065" s="4" t="str">
        <f>HYPERLINK("http://www.rosaceae.org/Prunus/Prunus_persica/p.persica_gdr_reftransV1_0008127","p.persica_gdr_reftransV1_0008127")</f>
        <v>p.persica_gdr_reftransV1_0008127</v>
      </c>
      <c r="B21065" s="2">
        <v>709</v>
      </c>
      <c r="C21065" s="4" t="str">
        <f>HYPERLINK("http://www.uniprot.org/uniprot/M5WFS4","M5WFS4")</f>
        <v>M5WFS4</v>
      </c>
      <c r="D21065" s="2" t="s">
        <v>15799</v>
      </c>
      <c r="E21065" s="3">
        <v>5.5900000000000002E-158</v>
      </c>
      <c r="F21065" s="2">
        <v>1163</v>
      </c>
      <c r="G21065" s="2">
        <v>100</v>
      </c>
      <c r="H21065" s="2">
        <v>233</v>
      </c>
      <c r="I21065" s="2">
        <v>11</v>
      </c>
      <c r="J21065" s="2">
        <v>709</v>
      </c>
      <c r="K21065" s="2">
        <v>25</v>
      </c>
      <c r="L21065" s="2">
        <v>257</v>
      </c>
    </row>
    <row r="21066" spans="1:12" x14ac:dyDescent="0.25">
      <c r="A21066" s="4" t="str">
        <f>HYPERLINK("http://www.rosaceae.org/Prunus/Prunus_persica/p.persica_gdr_reftransV1_0008477","p.persica_gdr_reftransV1_0008477")</f>
        <v>p.persica_gdr_reftransV1_0008477</v>
      </c>
      <c r="B21066" s="2">
        <v>465</v>
      </c>
      <c r="C21066" s="4" t="str">
        <f>HYPERLINK("http://www.uniprot.org/uniprot/M5W626","M5W626")</f>
        <v>M5W626</v>
      </c>
      <c r="D21066" s="2" t="s">
        <v>10772</v>
      </c>
      <c r="E21066" s="3">
        <v>1.8300000000000001E-11</v>
      </c>
      <c r="F21066" s="2">
        <v>171</v>
      </c>
      <c r="G21066" s="2">
        <v>100</v>
      </c>
      <c r="H21066" s="2">
        <v>64</v>
      </c>
      <c r="I21066" s="2">
        <v>77</v>
      </c>
      <c r="J21066" s="2">
        <v>268</v>
      </c>
      <c r="K21066" s="2">
        <v>9</v>
      </c>
      <c r="L21066" s="2">
        <v>72</v>
      </c>
    </row>
    <row r="21067" spans="1:12" x14ac:dyDescent="0.25">
      <c r="A21067" s="4" t="str">
        <f>HYPERLINK("http://www.rosaceae.org/Prunus/Prunus_persica/p.persica_gdr_reftransV1_0009527","p.persica_gdr_reftransV1_0009527")</f>
        <v>p.persica_gdr_reftransV1_0009527</v>
      </c>
      <c r="B21067" s="2">
        <v>1265</v>
      </c>
      <c r="C21067" s="4" t="str">
        <f>HYPERLINK("http://www.uniprot.org/uniprot/U7DV49","U7DV49")</f>
        <v>U7DV49</v>
      </c>
      <c r="D21067" s="2" t="s">
        <v>15800</v>
      </c>
      <c r="E21067" s="3">
        <v>1.2900000000000001E-49</v>
      </c>
      <c r="F21067" s="2">
        <v>462</v>
      </c>
      <c r="G21067" s="2">
        <v>51</v>
      </c>
      <c r="H21067" s="2">
        <v>269</v>
      </c>
      <c r="I21067" s="2">
        <v>1</v>
      </c>
      <c r="J21067" s="2">
        <v>786</v>
      </c>
      <c r="K21067" s="2">
        <v>1</v>
      </c>
      <c r="L21067" s="2">
        <v>253</v>
      </c>
    </row>
    <row r="21068" spans="1:12" x14ac:dyDescent="0.25">
      <c r="A21068" s="4" t="str">
        <f>HYPERLINK("http://www.rosaceae.org/Prunus/Prunus_persica/p.persica_gdr_reftransV1_0010577","p.persica_gdr_reftransV1_0010577")</f>
        <v>p.persica_gdr_reftransV1_0010577</v>
      </c>
      <c r="B21068" s="2">
        <v>1887</v>
      </c>
      <c r="C21068" s="4" t="str">
        <f>HYPERLINK("http://www.uniprot.org/uniprot/M5VTV8","M5VTV8")</f>
        <v>M5VTV8</v>
      </c>
      <c r="D21068" s="2" t="s">
        <v>15801</v>
      </c>
      <c r="E21068" s="3">
        <v>0</v>
      </c>
      <c r="F21068" s="2">
        <v>1750</v>
      </c>
      <c r="G21068" s="2">
        <v>99</v>
      </c>
      <c r="H21068" s="2">
        <v>358</v>
      </c>
      <c r="I21068" s="2">
        <v>271</v>
      </c>
      <c r="J21068" s="2">
        <v>1344</v>
      </c>
      <c r="K21068" s="2">
        <v>2</v>
      </c>
      <c r="L21068" s="2">
        <v>359</v>
      </c>
    </row>
    <row r="21069" spans="1:12" x14ac:dyDescent="0.25">
      <c r="A21069" s="4" t="str">
        <f>HYPERLINK("http://www.rosaceae.org/Prunus/Prunus_persica/p.persica_gdr_reftransV1_0012327","p.persica_gdr_reftransV1_0012327")</f>
        <v>p.persica_gdr_reftransV1_0012327</v>
      </c>
      <c r="B21069" s="2">
        <v>1218</v>
      </c>
      <c r="C21069" s="4" t="str">
        <f>HYPERLINK("http://www.uniprot.org/uniprot/A0A067JYP7","A0A067JYP7")</f>
        <v>A0A067JYP7</v>
      </c>
      <c r="D21069" s="2" t="s">
        <v>3703</v>
      </c>
      <c r="E21069" s="3">
        <v>4.2999999999999999E-39</v>
      </c>
      <c r="F21069" s="2">
        <v>386</v>
      </c>
      <c r="G21069" s="2">
        <v>60</v>
      </c>
      <c r="H21069" s="2">
        <v>161</v>
      </c>
      <c r="I21069" s="2">
        <v>23</v>
      </c>
      <c r="J21069" s="2">
        <v>487</v>
      </c>
      <c r="K21069" s="2">
        <v>158</v>
      </c>
      <c r="L21069" s="2">
        <v>313</v>
      </c>
    </row>
    <row r="21070" spans="1:12" x14ac:dyDescent="0.25">
      <c r="A21070" s="4" t="str">
        <f>HYPERLINK("http://www.rosaceae.org/Prunus/Prunus_persica/p.persica_gdr_reftransV1_0013727","p.persica_gdr_reftransV1_0013727")</f>
        <v>p.persica_gdr_reftransV1_0013727</v>
      </c>
      <c r="B21070" s="2">
        <v>4882</v>
      </c>
      <c r="C21070" s="4" t="str">
        <f>HYPERLINK("http://www.uniprot.org/uniprot/M5VYG4","M5VYG4")</f>
        <v>M5VYG4</v>
      </c>
      <c r="D21070" s="2" t="s">
        <v>15802</v>
      </c>
      <c r="E21070" s="3">
        <v>0</v>
      </c>
      <c r="F21070" s="2">
        <v>5411</v>
      </c>
      <c r="G21070" s="2">
        <v>100</v>
      </c>
      <c r="H21070" s="2">
        <v>1136</v>
      </c>
      <c r="I21070" s="2">
        <v>387</v>
      </c>
      <c r="J21070" s="2">
        <v>3794</v>
      </c>
      <c r="K21070" s="2">
        <v>1</v>
      </c>
      <c r="L21070" s="2">
        <v>1136</v>
      </c>
    </row>
    <row r="21071" spans="1:12" x14ac:dyDescent="0.25">
      <c r="A21071" s="4" t="str">
        <f>HYPERLINK("http://www.rosaceae.org/Prunus/Prunus_persica/p.persica_gdr_reftransV1_0015127","p.persica_gdr_reftransV1_0015127")</f>
        <v>p.persica_gdr_reftransV1_0015127</v>
      </c>
      <c r="B21071" s="2">
        <v>3146</v>
      </c>
      <c r="C21071" s="4" t="str">
        <f>HYPERLINK("http://www.uniprot.org/uniprot/M5WFE0","M5WFE0")</f>
        <v>M5WFE0</v>
      </c>
      <c r="D21071" s="2" t="s">
        <v>15803</v>
      </c>
      <c r="E21071" s="3">
        <v>0</v>
      </c>
      <c r="F21071" s="2">
        <v>3492</v>
      </c>
      <c r="G21071" s="2">
        <v>98</v>
      </c>
      <c r="H21071" s="2">
        <v>777</v>
      </c>
      <c r="I21071" s="2">
        <v>663</v>
      </c>
      <c r="J21071" s="2">
        <v>2993</v>
      </c>
      <c r="K21071" s="2">
        <v>1</v>
      </c>
      <c r="L21071" s="2">
        <v>765</v>
      </c>
    </row>
    <row r="21072" spans="1:12" x14ac:dyDescent="0.25">
      <c r="A21072" s="4" t="str">
        <f>HYPERLINK("http://www.rosaceae.org/Prunus/Prunus_persica/p.persica_gdr_reftransV1_0015827","p.persica_gdr_reftransV1_0015827")</f>
        <v>p.persica_gdr_reftransV1_0015827</v>
      </c>
      <c r="B21072" s="2">
        <v>1132</v>
      </c>
      <c r="C21072" s="4" t="str">
        <f>HYPERLINK("http://www.uniprot.org/uniprot/M5VKM7","M5VKM7")</f>
        <v>M5VKM7</v>
      </c>
      <c r="D21072" s="2" t="s">
        <v>12951</v>
      </c>
      <c r="E21072" s="3">
        <v>8.6099999999999997E-8</v>
      </c>
      <c r="F21072" s="2">
        <v>148</v>
      </c>
      <c r="G21072" s="2">
        <v>100</v>
      </c>
      <c r="H21072" s="2">
        <v>30</v>
      </c>
      <c r="I21072" s="2">
        <v>465</v>
      </c>
      <c r="J21072" s="2">
        <v>554</v>
      </c>
      <c r="K21072" s="2">
        <v>186</v>
      </c>
      <c r="L21072" s="2">
        <v>215</v>
      </c>
    </row>
    <row r="21073" spans="1:12" x14ac:dyDescent="0.25">
      <c r="A21073" s="4" t="str">
        <f>HYPERLINK("http://www.rosaceae.org/Prunus/Prunus_persica/p.persica_gdr_reftransV1_0016527","p.persica_gdr_reftransV1_0016527")</f>
        <v>p.persica_gdr_reftransV1_0016527</v>
      </c>
      <c r="B21073" s="2">
        <v>3195</v>
      </c>
      <c r="C21073" s="4" t="str">
        <f>HYPERLINK("http://www.uniprot.org/uniprot/M5WWZ9","M5WWZ9")</f>
        <v>M5WWZ9</v>
      </c>
      <c r="D21073" s="2" t="s">
        <v>3556</v>
      </c>
      <c r="E21073" s="3">
        <v>0</v>
      </c>
      <c r="F21073" s="2">
        <v>1974</v>
      </c>
      <c r="G21073" s="2">
        <v>100</v>
      </c>
      <c r="H21073" s="2">
        <v>379</v>
      </c>
      <c r="I21073" s="2">
        <v>1946</v>
      </c>
      <c r="J21073" s="2">
        <v>3082</v>
      </c>
      <c r="K21073" s="2">
        <v>1</v>
      </c>
      <c r="L21073" s="2">
        <v>379</v>
      </c>
    </row>
    <row r="21074" spans="1:12" x14ac:dyDescent="0.25">
      <c r="A21074" s="4" t="str">
        <f>HYPERLINK("http://www.rosaceae.org/Prunus/Prunus_persica/p.persica_gdr_reftransV1_0016877","p.persica_gdr_reftransV1_0016877")</f>
        <v>p.persica_gdr_reftransV1_0016877</v>
      </c>
      <c r="B21074" s="2">
        <v>3778</v>
      </c>
      <c r="C21074" s="4" t="str">
        <f>HYPERLINK("http://www.uniprot.org/uniprot/M5WK14","M5WK14")</f>
        <v>M5WK14</v>
      </c>
      <c r="D21074" s="2" t="s">
        <v>15804</v>
      </c>
      <c r="E21074" s="3">
        <v>0</v>
      </c>
      <c r="F21074" s="2">
        <v>4980</v>
      </c>
      <c r="G21074" s="2">
        <v>100</v>
      </c>
      <c r="H21074" s="2">
        <v>1014</v>
      </c>
      <c r="I21074" s="2">
        <v>446</v>
      </c>
      <c r="J21074" s="2">
        <v>3487</v>
      </c>
      <c r="K21074" s="2">
        <v>1</v>
      </c>
      <c r="L21074" s="2">
        <v>1014</v>
      </c>
    </row>
    <row r="21075" spans="1:12" x14ac:dyDescent="0.25">
      <c r="A21075" s="4" t="str">
        <f>HYPERLINK("http://www.rosaceae.org/Prunus/Prunus_persica/p.persica_gdr_reftransV1_0017577","p.persica_gdr_reftransV1_0017577")</f>
        <v>p.persica_gdr_reftransV1_0017577</v>
      </c>
      <c r="B21075" s="2">
        <v>1774</v>
      </c>
      <c r="C21075" s="4" t="str">
        <f>HYPERLINK("http://www.uniprot.org/uniprot/M5XKH6","M5XKH6")</f>
        <v>M5XKH6</v>
      </c>
      <c r="D21075" s="2" t="s">
        <v>5495</v>
      </c>
      <c r="E21075" s="3">
        <v>7.8500000000000005E-92</v>
      </c>
      <c r="F21075" s="2">
        <v>546</v>
      </c>
      <c r="G21075" s="2">
        <v>99</v>
      </c>
      <c r="H21075" s="2">
        <v>103</v>
      </c>
      <c r="I21075" s="2">
        <v>324</v>
      </c>
      <c r="J21075" s="2">
        <v>632</v>
      </c>
      <c r="K21075" s="2">
        <v>836</v>
      </c>
      <c r="L21075" s="2">
        <v>938</v>
      </c>
    </row>
    <row r="21076" spans="1:12" x14ac:dyDescent="0.25">
      <c r="A21076" s="4" t="str">
        <f>HYPERLINK("http://www.rosaceae.org/Prunus/Prunus_persica/p.persica_gdr_reftransV1_0017927","p.persica_gdr_reftransV1_0017927")</f>
        <v>p.persica_gdr_reftransV1_0017927</v>
      </c>
      <c r="B21076" s="2">
        <v>2530</v>
      </c>
      <c r="C21076" s="4" t="str">
        <f>HYPERLINK("http://www.uniprot.org/uniprot/M5WJD1","M5WJD1")</f>
        <v>M5WJD1</v>
      </c>
      <c r="D21076" s="2" t="s">
        <v>15805</v>
      </c>
      <c r="E21076" s="3">
        <v>1.23E-67</v>
      </c>
      <c r="F21076" s="2">
        <v>603</v>
      </c>
      <c r="G21076" s="2">
        <v>99</v>
      </c>
      <c r="H21076" s="2">
        <v>117</v>
      </c>
      <c r="I21076" s="2">
        <v>255</v>
      </c>
      <c r="J21076" s="2">
        <v>605</v>
      </c>
      <c r="K21076" s="2">
        <v>1</v>
      </c>
      <c r="L21076" s="2">
        <v>117</v>
      </c>
    </row>
    <row r="21077" spans="1:12" x14ac:dyDescent="0.25">
      <c r="A21077" s="4" t="str">
        <f>HYPERLINK("http://www.rosaceae.org/Prunus/Prunus_persica/p.persica_gdr_reftransV1_0018277","p.persica_gdr_reftransV1_0018277")</f>
        <v>p.persica_gdr_reftransV1_0018277</v>
      </c>
      <c r="B21077" s="2">
        <v>2606</v>
      </c>
      <c r="C21077" s="4" t="str">
        <f>HYPERLINK("http://www.uniprot.org/uniprot/M5XLR1","M5XLR1")</f>
        <v>M5XLR1</v>
      </c>
      <c r="D21077" s="2" t="s">
        <v>15806</v>
      </c>
      <c r="E21077" s="3">
        <v>0</v>
      </c>
      <c r="F21077" s="2">
        <v>3234</v>
      </c>
      <c r="G21077" s="2">
        <v>100</v>
      </c>
      <c r="H21077" s="2">
        <v>623</v>
      </c>
      <c r="I21077" s="2">
        <v>281</v>
      </c>
      <c r="J21077" s="2">
        <v>2149</v>
      </c>
      <c r="K21077" s="2">
        <v>1</v>
      </c>
      <c r="L21077" s="2">
        <v>623</v>
      </c>
    </row>
    <row r="21078" spans="1:12" x14ac:dyDescent="0.25">
      <c r="A21078" s="4" t="str">
        <f>HYPERLINK("http://www.rosaceae.org/Prunus/Prunus_persica/p.persica_gdr_reftransV1_0018627","p.persica_gdr_reftransV1_0018627")</f>
        <v>p.persica_gdr_reftransV1_0018627</v>
      </c>
      <c r="B21078" s="2">
        <v>1279</v>
      </c>
      <c r="C21078" s="4" t="str">
        <f>HYPERLINK("http://www.uniprot.org/uniprot/M5W2Y0","M5W2Y0")</f>
        <v>M5W2Y0</v>
      </c>
      <c r="D21078" s="2" t="s">
        <v>15807</v>
      </c>
      <c r="E21078" s="3">
        <v>0</v>
      </c>
      <c r="F21078" s="2">
        <v>1500</v>
      </c>
      <c r="G21078" s="2">
        <v>100</v>
      </c>
      <c r="H21078" s="2">
        <v>283</v>
      </c>
      <c r="I21078" s="2">
        <v>208</v>
      </c>
      <c r="J21078" s="2">
        <v>1056</v>
      </c>
      <c r="K21078" s="2">
        <v>1</v>
      </c>
      <c r="L21078" s="2">
        <v>283</v>
      </c>
    </row>
    <row r="21079" spans="1:12" x14ac:dyDescent="0.25">
      <c r="A21079" s="4" t="str">
        <f>HYPERLINK("http://www.rosaceae.org/Prunus/Prunus_persica/p.persica_gdr_reftransV1_0018977","p.persica_gdr_reftransV1_0018977")</f>
        <v>p.persica_gdr_reftransV1_0018977</v>
      </c>
      <c r="B21079" s="2">
        <v>1681</v>
      </c>
      <c r="C21079" s="4" t="str">
        <f>HYPERLINK("http://www.uniprot.org/uniprot/M5XCR3","M5XCR3")</f>
        <v>M5XCR3</v>
      </c>
      <c r="D21079" s="2" t="s">
        <v>15808</v>
      </c>
      <c r="E21079" s="3">
        <v>0</v>
      </c>
      <c r="F21079" s="2">
        <v>2148</v>
      </c>
      <c r="G21079" s="2">
        <v>100</v>
      </c>
      <c r="H21079" s="2">
        <v>402</v>
      </c>
      <c r="I21079" s="2">
        <v>100</v>
      </c>
      <c r="J21079" s="2">
        <v>1305</v>
      </c>
      <c r="K21079" s="2">
        <v>1</v>
      </c>
      <c r="L21079" s="2">
        <v>402</v>
      </c>
    </row>
    <row r="21080" spans="1:12" x14ac:dyDescent="0.25">
      <c r="A21080" s="4" t="str">
        <f>HYPERLINK("http://www.rosaceae.org/Prunus/Prunus_persica/p.persica_gdr_reftransV1_0019327","p.persica_gdr_reftransV1_0019327")</f>
        <v>p.persica_gdr_reftransV1_0019327</v>
      </c>
      <c r="B21080" s="2">
        <v>1866</v>
      </c>
      <c r="C21080" s="4" t="str">
        <f>HYPERLINK("http://www.uniprot.org/uniprot/M5VXS6","M5VXS6")</f>
        <v>M5VXS6</v>
      </c>
      <c r="D21080" s="2" t="s">
        <v>15809</v>
      </c>
      <c r="E21080" s="3">
        <v>0</v>
      </c>
      <c r="F21080" s="2">
        <v>1492</v>
      </c>
      <c r="G21080" s="2">
        <v>100</v>
      </c>
      <c r="H21080" s="2">
        <v>287</v>
      </c>
      <c r="I21080" s="2">
        <v>695</v>
      </c>
      <c r="J21080" s="2">
        <v>1555</v>
      </c>
      <c r="K21080" s="2">
        <v>1</v>
      </c>
      <c r="L21080" s="2">
        <v>287</v>
      </c>
    </row>
    <row r="21081" spans="1:12" x14ac:dyDescent="0.25">
      <c r="A21081" s="4" t="str">
        <f>HYPERLINK("http://www.rosaceae.org/Prunus/Prunus_persica/p.persica_gdr_reftransV1_0019677","p.persica_gdr_reftransV1_0019677")</f>
        <v>p.persica_gdr_reftransV1_0019677</v>
      </c>
      <c r="B21081" s="2">
        <v>3384</v>
      </c>
      <c r="C21081" s="4" t="str">
        <f>HYPERLINK("http://www.uniprot.org/uniprot/M5WPX7","M5WPX7")</f>
        <v>M5WPX7</v>
      </c>
      <c r="D21081" s="2" t="s">
        <v>10293</v>
      </c>
      <c r="E21081" s="3">
        <v>0</v>
      </c>
      <c r="F21081" s="2">
        <v>5216</v>
      </c>
      <c r="G21081" s="2">
        <v>99</v>
      </c>
      <c r="H21081" s="2">
        <v>1064</v>
      </c>
      <c r="I21081" s="2">
        <v>194</v>
      </c>
      <c r="J21081" s="2">
        <v>3382</v>
      </c>
      <c r="K21081" s="2">
        <v>32</v>
      </c>
      <c r="L21081" s="2">
        <v>1086</v>
      </c>
    </row>
    <row r="21082" spans="1:12" x14ac:dyDescent="0.25">
      <c r="A21082" s="4" t="str">
        <f>HYPERLINK("http://www.rosaceae.org/Prunus/Prunus_persica/p.persica_gdr_reftransV1_0023877","p.persica_gdr_reftransV1_0023877")</f>
        <v>p.persica_gdr_reftransV1_0023877</v>
      </c>
      <c r="B21082" s="2">
        <v>4857</v>
      </c>
      <c r="C21082" s="4" t="str">
        <f>HYPERLINK("http://www.uniprot.org/uniprot/M5Y3X8","M5Y3X8")</f>
        <v>M5Y3X8</v>
      </c>
      <c r="D21082" s="2" t="s">
        <v>14945</v>
      </c>
      <c r="E21082" s="3">
        <v>0</v>
      </c>
      <c r="F21082" s="2">
        <v>2492</v>
      </c>
      <c r="G21082" s="2">
        <v>100</v>
      </c>
      <c r="H21082" s="2">
        <v>476</v>
      </c>
      <c r="I21082" s="2">
        <v>2834</v>
      </c>
      <c r="J21082" s="2">
        <v>4261</v>
      </c>
      <c r="K21082" s="2">
        <v>106</v>
      </c>
      <c r="L21082" s="2">
        <v>581</v>
      </c>
    </row>
    <row r="21083" spans="1:12" x14ac:dyDescent="0.25">
      <c r="A21083" s="4" t="str">
        <f>HYPERLINK("http://www.rosaceae.org/Prunus/Prunus_persica/p.persica_gdr_reftransV1_0027027","p.persica_gdr_reftransV1_0027027")</f>
        <v>p.persica_gdr_reftransV1_0027027</v>
      </c>
      <c r="B21083" s="2">
        <v>1468</v>
      </c>
      <c r="C21083" s="4" t="str">
        <f>HYPERLINK("http://www.uniprot.org/uniprot/M5VPT6","M5VPT6")</f>
        <v>M5VPT6</v>
      </c>
      <c r="D21083" s="2" t="s">
        <v>2813</v>
      </c>
      <c r="E21083" s="3">
        <v>0</v>
      </c>
      <c r="F21083" s="2">
        <v>2190</v>
      </c>
      <c r="G21083" s="2">
        <v>99</v>
      </c>
      <c r="H21083" s="2">
        <v>421</v>
      </c>
      <c r="I21083" s="2">
        <v>195</v>
      </c>
      <c r="J21083" s="2">
        <v>1457</v>
      </c>
      <c r="K21083" s="2">
        <v>14</v>
      </c>
      <c r="L21083" s="2">
        <v>434</v>
      </c>
    </row>
    <row r="21084" spans="1:12" x14ac:dyDescent="0.25">
      <c r="A21084" s="4" t="str">
        <f>HYPERLINK("http://www.rosaceae.org/Prunus/Prunus_persica/p.persica_gdr_reftransV1_0029127","p.persica_gdr_reftransV1_0029127")</f>
        <v>p.persica_gdr_reftransV1_0029127</v>
      </c>
      <c r="B21084" s="2">
        <v>1228</v>
      </c>
      <c r="C21084" s="4" t="str">
        <f>HYPERLINK("http://www.uniprot.org/uniprot/M5WI01","M5WI01")</f>
        <v>M5WI01</v>
      </c>
      <c r="D21084" s="2" t="s">
        <v>15810</v>
      </c>
      <c r="E21084" s="3">
        <v>2.1700000000000001E-172</v>
      </c>
      <c r="F21084" s="2">
        <v>1276</v>
      </c>
      <c r="G21084" s="2">
        <v>98</v>
      </c>
      <c r="H21084" s="2">
        <v>299</v>
      </c>
      <c r="I21084" s="2">
        <v>130</v>
      </c>
      <c r="J21084" s="2">
        <v>1026</v>
      </c>
      <c r="K21084" s="2">
        <v>1</v>
      </c>
      <c r="L21084" s="2">
        <v>297</v>
      </c>
    </row>
    <row r="21085" spans="1:12" x14ac:dyDescent="0.25">
      <c r="A21085" s="4" t="str">
        <f>HYPERLINK("http://www.rosaceae.org/Prunus/Prunus_persica/p.persica_gdr_reftransV1_0029477","p.persica_gdr_reftransV1_0029477")</f>
        <v>p.persica_gdr_reftransV1_0029477</v>
      </c>
      <c r="B21085" s="2">
        <v>2147</v>
      </c>
      <c r="C21085" s="4" t="str">
        <f>HYPERLINK("http://www.uniprot.org/uniprot/M5WRW9","M5WRW9")</f>
        <v>M5WRW9</v>
      </c>
      <c r="D21085" s="2" t="s">
        <v>5116</v>
      </c>
      <c r="E21085" s="3">
        <v>0</v>
      </c>
      <c r="F21085" s="2">
        <v>1626</v>
      </c>
      <c r="G21085" s="2">
        <v>89</v>
      </c>
      <c r="H21085" s="2">
        <v>367</v>
      </c>
      <c r="I21085" s="2">
        <v>578</v>
      </c>
      <c r="J21085" s="2">
        <v>1678</v>
      </c>
      <c r="K21085" s="2">
        <v>94</v>
      </c>
      <c r="L21085" s="2">
        <v>421</v>
      </c>
    </row>
    <row r="21086" spans="1:12" x14ac:dyDescent="0.25">
      <c r="A21086" s="4" t="str">
        <f>HYPERLINK("http://www.rosaceae.org/Prunus/Prunus_persica/p.persica_gdr_reftransV1_0029827","p.persica_gdr_reftransV1_0029827")</f>
        <v>p.persica_gdr_reftransV1_0029827</v>
      </c>
      <c r="B21086" s="2">
        <v>4859</v>
      </c>
      <c r="C21086" s="4" t="str">
        <f>HYPERLINK("http://www.uniprot.org/uniprot/M5WCJ9","M5WCJ9")</f>
        <v>M5WCJ9</v>
      </c>
      <c r="D21086" s="2" t="s">
        <v>15811</v>
      </c>
      <c r="E21086" s="3">
        <v>0</v>
      </c>
      <c r="F21086" s="2">
        <v>3032</v>
      </c>
      <c r="G21086" s="2">
        <v>98</v>
      </c>
      <c r="H21086" s="2">
        <v>589</v>
      </c>
      <c r="I21086" s="2">
        <v>3004</v>
      </c>
      <c r="J21086" s="2">
        <v>4770</v>
      </c>
      <c r="K21086" s="2">
        <v>1</v>
      </c>
      <c r="L21086" s="2">
        <v>588</v>
      </c>
    </row>
    <row r="21087" spans="1:12" x14ac:dyDescent="0.25">
      <c r="A21087" s="4" t="str">
        <f>HYPERLINK("http://www.rosaceae.org/Prunus/Prunus_persica/p.persica_gdr_reftransV1_0032977","p.persica_gdr_reftransV1_0032977")</f>
        <v>p.persica_gdr_reftransV1_0032977</v>
      </c>
      <c r="B21087" s="2">
        <v>2371</v>
      </c>
      <c r="C21087" s="4" t="str">
        <f>HYPERLINK("http://www.uniprot.org/uniprot/M5XMQ9","M5XMQ9")</f>
        <v>M5XMQ9</v>
      </c>
      <c r="D21087" s="2" t="s">
        <v>5994</v>
      </c>
      <c r="E21087" s="3">
        <v>9.2700000000000005E-83</v>
      </c>
      <c r="F21087" s="2">
        <v>706</v>
      </c>
      <c r="G21087" s="2">
        <v>94</v>
      </c>
      <c r="H21087" s="2">
        <v>140</v>
      </c>
      <c r="I21087" s="2">
        <v>1240</v>
      </c>
      <c r="J21087" s="2">
        <v>1659</v>
      </c>
      <c r="K21087" s="2">
        <v>124</v>
      </c>
      <c r="L21087" s="2">
        <v>263</v>
      </c>
    </row>
    <row r="21088" spans="1:12" x14ac:dyDescent="0.25">
      <c r="A21088" s="4" t="str">
        <f>HYPERLINK("http://www.rosaceae.org/Prunus/Prunus_persica/p.persica_gdr_reftransV1_0034027","p.persica_gdr_reftransV1_0034027")</f>
        <v>p.persica_gdr_reftransV1_0034027</v>
      </c>
      <c r="B21088" s="2">
        <v>3555</v>
      </c>
      <c r="C21088" s="4" t="str">
        <f>HYPERLINK("http://www.uniprot.org/uniprot/M5XQ36","M5XQ36")</f>
        <v>M5XQ36</v>
      </c>
      <c r="D21088" s="2" t="s">
        <v>13821</v>
      </c>
      <c r="E21088" s="3">
        <v>0</v>
      </c>
      <c r="F21088" s="2">
        <v>1650</v>
      </c>
      <c r="G21088" s="2">
        <v>92</v>
      </c>
      <c r="H21088" s="2">
        <v>442</v>
      </c>
      <c r="I21088" s="2">
        <v>612</v>
      </c>
      <c r="J21088" s="2">
        <v>1937</v>
      </c>
      <c r="K21088" s="2">
        <v>389</v>
      </c>
      <c r="L21088" s="2">
        <v>799</v>
      </c>
    </row>
    <row r="21089" spans="1:12" x14ac:dyDescent="0.25">
      <c r="A21089" s="4" t="str">
        <f>HYPERLINK("http://www.rosaceae.org/Prunus/Prunus_persica/p.persica_gdr_reftransV1_0036127","p.persica_gdr_reftransV1_0036127")</f>
        <v>p.persica_gdr_reftransV1_0036127</v>
      </c>
      <c r="B21089" s="2">
        <v>4354</v>
      </c>
      <c r="C21089" s="4" t="str">
        <f>HYPERLINK("http://www.uniprot.org/uniprot/M5VQ75","M5VQ75")</f>
        <v>M5VQ75</v>
      </c>
      <c r="D21089" s="2" t="s">
        <v>13438</v>
      </c>
      <c r="E21089" s="3">
        <v>0</v>
      </c>
      <c r="F21089" s="2">
        <v>2865</v>
      </c>
      <c r="G21089" s="2">
        <v>96</v>
      </c>
      <c r="H21089" s="2">
        <v>622</v>
      </c>
      <c r="I21089" s="2">
        <v>1279</v>
      </c>
      <c r="J21089" s="2">
        <v>3144</v>
      </c>
      <c r="K21089" s="2">
        <v>54</v>
      </c>
      <c r="L21089" s="2">
        <v>650</v>
      </c>
    </row>
    <row r="21090" spans="1:12" x14ac:dyDescent="0.25">
      <c r="A21090" s="4" t="str">
        <f>HYPERLINK("http://www.rosaceae.org/Prunus/Prunus_persica/p.persica_gdr_reftransV1_0038227","p.persica_gdr_reftransV1_0038227")</f>
        <v>p.persica_gdr_reftransV1_0038227</v>
      </c>
      <c r="B21090" s="2">
        <v>2192</v>
      </c>
      <c r="C21090" s="4" t="str">
        <f>HYPERLINK("http://www.uniprot.org/uniprot/M5XR11","M5XR11")</f>
        <v>M5XR11</v>
      </c>
      <c r="D21090" s="2" t="s">
        <v>10968</v>
      </c>
      <c r="E21090" s="3">
        <v>0</v>
      </c>
      <c r="F21090" s="2">
        <v>1953</v>
      </c>
      <c r="G21090" s="2">
        <v>99</v>
      </c>
      <c r="H21090" s="2">
        <v>406</v>
      </c>
      <c r="I21090" s="2">
        <v>609</v>
      </c>
      <c r="J21090" s="2">
        <v>1826</v>
      </c>
      <c r="K21090" s="2">
        <v>1</v>
      </c>
      <c r="L21090" s="2">
        <v>406</v>
      </c>
    </row>
    <row r="21091" spans="1:12" x14ac:dyDescent="0.25">
      <c r="A21091" s="4" t="str">
        <f>HYPERLINK("http://www.rosaceae.org/Prunus/Prunus_persica/p.persica_gdr_reftransV1_0038577","p.persica_gdr_reftransV1_0038577")</f>
        <v>p.persica_gdr_reftransV1_0038577</v>
      </c>
      <c r="B21091" s="2">
        <v>547</v>
      </c>
      <c r="C21091" s="4" t="str">
        <f>HYPERLINK("http://www.uniprot.org/uniprot/M5XE08","M5XE08")</f>
        <v>M5XE08</v>
      </c>
      <c r="D21091" s="2" t="s">
        <v>4956</v>
      </c>
      <c r="E21091" s="3">
        <v>3.1200000000000001E-92</v>
      </c>
      <c r="F21091" s="2">
        <v>720</v>
      </c>
      <c r="G21091" s="2">
        <v>100</v>
      </c>
      <c r="H21091" s="2">
        <v>181</v>
      </c>
      <c r="I21091" s="2">
        <v>3</v>
      </c>
      <c r="J21091" s="2">
        <v>545</v>
      </c>
      <c r="K21091" s="2">
        <v>10</v>
      </c>
      <c r="L21091" s="2">
        <v>190</v>
      </c>
    </row>
    <row r="21092" spans="1:12" x14ac:dyDescent="0.25">
      <c r="A21092" s="4" t="str">
        <f>HYPERLINK("http://www.rosaceae.org/Prunus/Prunus_persica/p.persica_gdr_reftransV1_0039627","p.persica_gdr_reftransV1_0039627")</f>
        <v>p.persica_gdr_reftransV1_0039627</v>
      </c>
      <c r="B21092" s="2">
        <v>2474</v>
      </c>
      <c r="C21092" s="4" t="str">
        <f>HYPERLINK("http://www.uniprot.org/uniprot/M5XGS0","M5XGS0")</f>
        <v>M5XGS0</v>
      </c>
      <c r="D21092" s="2" t="s">
        <v>9032</v>
      </c>
      <c r="E21092" s="3">
        <v>2.9999999999999999E-108</v>
      </c>
      <c r="F21092" s="2">
        <v>878</v>
      </c>
      <c r="G21092" s="2">
        <v>100</v>
      </c>
      <c r="H21092" s="2">
        <v>222</v>
      </c>
      <c r="I21092" s="2">
        <v>1499</v>
      </c>
      <c r="J21092" s="2">
        <v>2164</v>
      </c>
      <c r="K21092" s="2">
        <v>1</v>
      </c>
      <c r="L21092" s="2">
        <v>222</v>
      </c>
    </row>
    <row r="21093" spans="1:12" x14ac:dyDescent="0.25">
      <c r="A21093" s="4" t="str">
        <f>HYPERLINK("http://www.rosaceae.org/Prunus/Prunus_persica/p.persica_gdr_reftransV1_0041377","p.persica_gdr_reftransV1_0041377")</f>
        <v>p.persica_gdr_reftransV1_0041377</v>
      </c>
      <c r="B21093" s="2">
        <v>1788</v>
      </c>
      <c r="C21093" s="4" t="str">
        <f>HYPERLINK("http://www.uniprot.org/uniprot/M5XT78","M5XT78")</f>
        <v>M5XT78</v>
      </c>
      <c r="D21093" s="2" t="s">
        <v>15812</v>
      </c>
      <c r="E21093" s="3">
        <v>1.93E-136</v>
      </c>
      <c r="F21093" s="2">
        <v>1052</v>
      </c>
      <c r="G21093" s="2">
        <v>100</v>
      </c>
      <c r="H21093" s="2">
        <v>213</v>
      </c>
      <c r="I21093" s="2">
        <v>200</v>
      </c>
      <c r="J21093" s="2">
        <v>838</v>
      </c>
      <c r="K21093" s="2">
        <v>1</v>
      </c>
      <c r="L21093" s="2">
        <v>213</v>
      </c>
    </row>
    <row r="21094" spans="1:12" x14ac:dyDescent="0.25">
      <c r="A21094" s="4" t="str">
        <f>HYPERLINK("http://www.rosaceae.org/Prunus/Prunus_persica/p.persica_gdr_reftransV1_0043477","p.persica_gdr_reftransV1_0043477")</f>
        <v>p.persica_gdr_reftransV1_0043477</v>
      </c>
      <c r="B21094" s="2">
        <v>2023</v>
      </c>
      <c r="C21094" s="4" t="str">
        <f>HYPERLINK("http://www.uniprot.org/uniprot/M5XC18","M5XC18")</f>
        <v>M5XC18</v>
      </c>
      <c r="D21094" s="2" t="s">
        <v>15813</v>
      </c>
      <c r="E21094" s="3">
        <v>0</v>
      </c>
      <c r="F21094" s="2">
        <v>2659</v>
      </c>
      <c r="G21094" s="2">
        <v>100</v>
      </c>
      <c r="H21094" s="2">
        <v>568</v>
      </c>
      <c r="I21094" s="2">
        <v>74</v>
      </c>
      <c r="J21094" s="2">
        <v>1777</v>
      </c>
      <c r="K21094" s="2">
        <v>1</v>
      </c>
      <c r="L21094" s="2">
        <v>568</v>
      </c>
    </row>
    <row r="21095" spans="1:12" x14ac:dyDescent="0.25">
      <c r="A21095" s="4" t="str">
        <f>HYPERLINK("http://www.rosaceae.org/Prunus/Prunus_persica/p.persica_gdr_reftransV1_0044177","p.persica_gdr_reftransV1_0044177")</f>
        <v>p.persica_gdr_reftransV1_0044177</v>
      </c>
      <c r="B21095" s="2">
        <v>2104</v>
      </c>
      <c r="C21095" s="4" t="str">
        <f>HYPERLINK("http://www.uniprot.org/uniprot/M5VNC9","M5VNC9")</f>
        <v>M5VNC9</v>
      </c>
      <c r="D21095" s="2" t="s">
        <v>6058</v>
      </c>
      <c r="E21095" s="3">
        <v>0</v>
      </c>
      <c r="F21095" s="2">
        <v>2836</v>
      </c>
      <c r="G21095" s="2">
        <v>100</v>
      </c>
      <c r="H21095" s="2">
        <v>635</v>
      </c>
      <c r="I21095" s="2">
        <v>125</v>
      </c>
      <c r="J21095" s="2">
        <v>2029</v>
      </c>
      <c r="K21095" s="2">
        <v>1</v>
      </c>
      <c r="L21095" s="2">
        <v>635</v>
      </c>
    </row>
    <row r="21096" spans="1:12" x14ac:dyDescent="0.25">
      <c r="A21096" s="4" t="str">
        <f>HYPERLINK("http://www.rosaceae.org/Prunus/Prunus_persica/p.persica_gdr_reftransV1_0044527","p.persica_gdr_reftransV1_0044527")</f>
        <v>p.persica_gdr_reftransV1_0044527</v>
      </c>
      <c r="B21096" s="2">
        <v>1907</v>
      </c>
      <c r="C21096" s="4" t="str">
        <f>HYPERLINK("http://www.uniprot.org/uniprot/M5XBT5","M5XBT5")</f>
        <v>M5XBT5</v>
      </c>
      <c r="D21096" s="2" t="s">
        <v>13612</v>
      </c>
      <c r="E21096" s="3">
        <v>0</v>
      </c>
      <c r="F21096" s="2">
        <v>2319</v>
      </c>
      <c r="G21096" s="2">
        <v>100</v>
      </c>
      <c r="H21096" s="2">
        <v>468</v>
      </c>
      <c r="I21096" s="2">
        <v>166</v>
      </c>
      <c r="J21096" s="2">
        <v>1569</v>
      </c>
      <c r="K21096" s="2">
        <v>1</v>
      </c>
      <c r="L21096" s="2">
        <v>468</v>
      </c>
    </row>
    <row r="21097" spans="1:12" x14ac:dyDescent="0.25">
      <c r="A21097" s="4" t="str">
        <f>HYPERLINK("http://www.rosaceae.org/Prunus/Prunus_persica/p.persica_gdr_reftransV1_0044877","p.persica_gdr_reftransV1_0044877")</f>
        <v>p.persica_gdr_reftransV1_0044877</v>
      </c>
      <c r="B21097" s="2">
        <v>1237</v>
      </c>
      <c r="C21097" s="4" t="str">
        <f>HYPERLINK("http://www.uniprot.org/uniprot/M5XGN6","M5XGN6")</f>
        <v>M5XGN6</v>
      </c>
      <c r="D21097" s="2" t="s">
        <v>15814</v>
      </c>
      <c r="E21097" s="3">
        <v>2.8700000000000001E-151</v>
      </c>
      <c r="F21097" s="2">
        <v>1130</v>
      </c>
      <c r="G21097" s="2">
        <v>100</v>
      </c>
      <c r="H21097" s="2">
        <v>229</v>
      </c>
      <c r="I21097" s="2">
        <v>511</v>
      </c>
      <c r="J21097" s="2">
        <v>1197</v>
      </c>
      <c r="K21097" s="2">
        <v>1</v>
      </c>
      <c r="L21097" s="2">
        <v>229</v>
      </c>
    </row>
    <row r="21098" spans="1:12" x14ac:dyDescent="0.25">
      <c r="A21098" s="4" t="str">
        <f>HYPERLINK("http://www.rosaceae.org/Prunus/Prunus_persica/p.persica_gdr_reftransV1_0045227","p.persica_gdr_reftransV1_0045227")</f>
        <v>p.persica_gdr_reftransV1_0045227</v>
      </c>
      <c r="B21098" s="2">
        <v>1277</v>
      </c>
      <c r="C21098" s="4" t="str">
        <f>HYPERLINK("http://www.uniprot.org/uniprot/M5XDN5","M5XDN5")</f>
        <v>M5XDN5</v>
      </c>
      <c r="D21098" s="2" t="s">
        <v>15815</v>
      </c>
      <c r="E21098" s="3">
        <v>7.6899999999999998E-121</v>
      </c>
      <c r="F21098" s="2">
        <v>928</v>
      </c>
      <c r="G21098" s="2">
        <v>100</v>
      </c>
      <c r="H21098" s="2">
        <v>204</v>
      </c>
      <c r="I21098" s="2">
        <v>81</v>
      </c>
      <c r="J21098" s="2">
        <v>689</v>
      </c>
      <c r="K21098" s="2">
        <v>1</v>
      </c>
      <c r="L21098" s="2">
        <v>204</v>
      </c>
    </row>
    <row r="21099" spans="1:12" x14ac:dyDescent="0.25">
      <c r="A21099" s="4" t="str">
        <f>HYPERLINK("http://www.rosaceae.org/Prunus/Prunus_persica/p.persica_gdr_reftransV1_0045577","p.persica_gdr_reftransV1_0045577")</f>
        <v>p.persica_gdr_reftransV1_0045577</v>
      </c>
      <c r="B21099" s="2">
        <v>431</v>
      </c>
      <c r="C21099" s="4" t="str">
        <f>HYPERLINK("http://www.uniprot.org/uniprot/M5VIT1","M5VIT1")</f>
        <v>M5VIT1</v>
      </c>
      <c r="D21099" s="2" t="s">
        <v>15816</v>
      </c>
      <c r="E21099" s="3">
        <v>2.7099999999999999E-41</v>
      </c>
      <c r="F21099" s="2">
        <v>361</v>
      </c>
      <c r="G21099" s="2">
        <v>100</v>
      </c>
      <c r="H21099" s="2">
        <v>70</v>
      </c>
      <c r="I21099" s="2">
        <v>80</v>
      </c>
      <c r="J21099" s="2">
        <v>289</v>
      </c>
      <c r="K21099" s="2">
        <v>1</v>
      </c>
      <c r="L21099" s="2">
        <v>70</v>
      </c>
    </row>
    <row r="21100" spans="1:12" x14ac:dyDescent="0.25">
      <c r="A21100" s="4" t="str">
        <f>HYPERLINK("http://www.rosaceae.org/Prunus/Prunus_persica/p.persica_gdr_reftransV1_0045927","p.persica_gdr_reftransV1_0045927")</f>
        <v>p.persica_gdr_reftransV1_0045927</v>
      </c>
      <c r="B21100" s="2">
        <v>1791</v>
      </c>
      <c r="C21100" s="4" t="str">
        <f>HYPERLINK("http://www.uniprot.org/uniprot/M5XJR9","M5XJR9")</f>
        <v>M5XJR9</v>
      </c>
      <c r="D21100" s="2" t="s">
        <v>7466</v>
      </c>
      <c r="E21100" s="3">
        <v>0</v>
      </c>
      <c r="F21100" s="2">
        <v>1590</v>
      </c>
      <c r="G21100" s="2">
        <v>100</v>
      </c>
      <c r="H21100" s="2">
        <v>414</v>
      </c>
      <c r="I21100" s="2">
        <v>95</v>
      </c>
      <c r="J21100" s="2">
        <v>1336</v>
      </c>
      <c r="K21100" s="2">
        <v>1</v>
      </c>
      <c r="L21100" s="2">
        <v>414</v>
      </c>
    </row>
    <row r="21101" spans="1:12" x14ac:dyDescent="0.25">
      <c r="A21101" s="4" t="str">
        <f>HYPERLINK("http://www.rosaceae.org/Prunus/Prunus_persica/p.persica_gdr_reftransV1_0046277","p.persica_gdr_reftransV1_0046277")</f>
        <v>p.persica_gdr_reftransV1_0046277</v>
      </c>
      <c r="B21101" s="2">
        <v>1448</v>
      </c>
      <c r="C21101" s="4" t="str">
        <f>HYPERLINK("http://www.uniprot.org/uniprot/M5WIB2","M5WIB2")</f>
        <v>M5WIB2</v>
      </c>
      <c r="D21101" s="2" t="s">
        <v>12517</v>
      </c>
      <c r="E21101" s="3">
        <v>0</v>
      </c>
      <c r="F21101" s="2">
        <v>1681</v>
      </c>
      <c r="G21101" s="2">
        <v>97</v>
      </c>
      <c r="H21101" s="2">
        <v>356</v>
      </c>
      <c r="I21101" s="2">
        <v>119</v>
      </c>
      <c r="J21101" s="2">
        <v>1186</v>
      </c>
      <c r="K21101" s="2">
        <v>30</v>
      </c>
      <c r="L21101" s="2">
        <v>384</v>
      </c>
    </row>
    <row r="21102" spans="1:12" x14ac:dyDescent="0.25">
      <c r="A21102" s="4" t="str">
        <f>HYPERLINK("http://www.rosaceae.org/Prunus/Prunus_persica/p.persica_gdr_reftransV1_0046627","p.persica_gdr_reftransV1_0046627")</f>
        <v>p.persica_gdr_reftransV1_0046627</v>
      </c>
      <c r="B21102" s="2">
        <v>1385</v>
      </c>
      <c r="C21102" s="4" t="str">
        <f>HYPERLINK("http://www.uniprot.org/uniprot/M5XEF9","M5XEF9")</f>
        <v>M5XEF9</v>
      </c>
      <c r="D21102" s="2" t="s">
        <v>215</v>
      </c>
      <c r="E21102" s="3">
        <v>0</v>
      </c>
      <c r="F21102" s="2">
        <v>1597</v>
      </c>
      <c r="G21102" s="2">
        <v>82</v>
      </c>
      <c r="H21102" s="2">
        <v>405</v>
      </c>
      <c r="I21102" s="2">
        <v>65</v>
      </c>
      <c r="J21102" s="2">
        <v>1132</v>
      </c>
      <c r="K21102" s="2">
        <v>1</v>
      </c>
      <c r="L21102" s="2">
        <v>381</v>
      </c>
    </row>
    <row r="21103" spans="1:12" x14ac:dyDescent="0.25">
      <c r="A21103" s="4" t="str">
        <f>HYPERLINK("http://www.rosaceae.org/Prunus/Prunus_persica/p.persica_gdr_reftransV1_0046977","p.persica_gdr_reftransV1_0046977")</f>
        <v>p.persica_gdr_reftransV1_0046977</v>
      </c>
      <c r="B21103" s="2">
        <v>360</v>
      </c>
      <c r="C21103" s="4" t="str">
        <f>HYPERLINK("http://www.uniprot.org/uniprot/M5XY16","M5XY16")</f>
        <v>M5XY16</v>
      </c>
      <c r="D21103" s="2" t="s">
        <v>2076</v>
      </c>
      <c r="E21103" s="3">
        <v>1.66E-61</v>
      </c>
      <c r="F21103" s="2">
        <v>546</v>
      </c>
      <c r="G21103" s="2">
        <v>100</v>
      </c>
      <c r="H21103" s="2">
        <v>120</v>
      </c>
      <c r="I21103" s="2">
        <v>1</v>
      </c>
      <c r="J21103" s="2">
        <v>360</v>
      </c>
      <c r="K21103" s="2">
        <v>1168</v>
      </c>
      <c r="L21103" s="2">
        <v>1287</v>
      </c>
    </row>
    <row r="21104" spans="1:12" x14ac:dyDescent="0.25">
      <c r="A21104" s="4" t="str">
        <f>HYPERLINK("http://www.rosaceae.org/Prunus/Prunus_persica/p.persica_gdr_reftransV1_0047327","p.persica_gdr_reftransV1_0047327")</f>
        <v>p.persica_gdr_reftransV1_0047327</v>
      </c>
      <c r="B21104" s="2">
        <v>742</v>
      </c>
      <c r="C21104" s="4" t="str">
        <f>HYPERLINK("http://www.uniprot.org/uniprot/M5X3F1","M5X3F1")</f>
        <v>M5X3F1</v>
      </c>
      <c r="D21104" s="2" t="s">
        <v>15817</v>
      </c>
      <c r="E21104" s="3">
        <v>4.2099999999999997E-112</v>
      </c>
      <c r="F21104" s="2">
        <v>848</v>
      </c>
      <c r="G21104" s="2">
        <v>100</v>
      </c>
      <c r="H21104" s="2">
        <v>164</v>
      </c>
      <c r="I21104" s="2">
        <v>72</v>
      </c>
      <c r="J21104" s="2">
        <v>563</v>
      </c>
      <c r="K21104" s="2">
        <v>1</v>
      </c>
      <c r="L21104" s="2">
        <v>164</v>
      </c>
    </row>
    <row r="21105" spans="1:12" x14ac:dyDescent="0.25">
      <c r="A21105" s="4" t="str">
        <f>HYPERLINK("http://www.rosaceae.org/Prunus/Prunus_persica/p.persica_gdr_reftransV1_0047677","p.persica_gdr_reftransV1_0047677")</f>
        <v>p.persica_gdr_reftransV1_0047677</v>
      </c>
      <c r="B21105" s="2">
        <v>1255</v>
      </c>
      <c r="C21105" s="4" t="str">
        <f>HYPERLINK("http://www.uniprot.org/uniprot/M5XD99","M5XD99")</f>
        <v>M5XD99</v>
      </c>
      <c r="D21105" s="2" t="s">
        <v>12103</v>
      </c>
      <c r="E21105" s="3">
        <v>9.8700000000000004E-179</v>
      </c>
      <c r="F21105" s="2">
        <v>1317</v>
      </c>
      <c r="G21105" s="2">
        <v>100</v>
      </c>
      <c r="H21105" s="2">
        <v>251</v>
      </c>
      <c r="I21105" s="2">
        <v>145</v>
      </c>
      <c r="J21105" s="2">
        <v>897</v>
      </c>
      <c r="K21105" s="2">
        <v>22</v>
      </c>
      <c r="L21105" s="2">
        <v>272</v>
      </c>
    </row>
    <row r="21106" spans="1:12" x14ac:dyDescent="0.25">
      <c r="A21106" s="4" t="str">
        <f>HYPERLINK("http://www.rosaceae.org/Prunus/Prunus_persica/p.persica_gdr_reftransV1_0048027","p.persica_gdr_reftransV1_0048027")</f>
        <v>p.persica_gdr_reftransV1_0048027</v>
      </c>
      <c r="B21106" s="2">
        <v>2758</v>
      </c>
      <c r="C21106" s="4" t="str">
        <f>HYPERLINK("http://www.uniprot.org/uniprot/M5WSI7","M5WSI7")</f>
        <v>M5WSI7</v>
      </c>
      <c r="D21106" s="2" t="s">
        <v>10419</v>
      </c>
      <c r="E21106" s="3">
        <v>0</v>
      </c>
      <c r="F21106" s="2">
        <v>4135</v>
      </c>
      <c r="G21106" s="2">
        <v>100</v>
      </c>
      <c r="H21106" s="2">
        <v>761</v>
      </c>
      <c r="I21106" s="2">
        <v>219</v>
      </c>
      <c r="J21106" s="2">
        <v>2501</v>
      </c>
      <c r="K21106" s="2">
        <v>1</v>
      </c>
      <c r="L21106" s="2">
        <v>761</v>
      </c>
    </row>
    <row r="21107" spans="1:12" x14ac:dyDescent="0.25">
      <c r="A21107" s="4" t="str">
        <f>HYPERLINK("http://www.rosaceae.org/Prunus/Prunus_persica/p.persica_gdr_reftransV1_0048377","p.persica_gdr_reftransV1_0048377")</f>
        <v>p.persica_gdr_reftransV1_0048377</v>
      </c>
      <c r="B21107" s="2">
        <v>3883</v>
      </c>
      <c r="C21107" s="4" t="str">
        <f>HYPERLINK("http://www.uniprot.org/uniprot/M5XKX9","M5XKX9")</f>
        <v>M5XKX9</v>
      </c>
      <c r="D21107" s="2" t="s">
        <v>5316</v>
      </c>
      <c r="E21107" s="3">
        <v>0</v>
      </c>
      <c r="F21107" s="2">
        <v>5324</v>
      </c>
      <c r="G21107" s="2">
        <v>100</v>
      </c>
      <c r="H21107" s="2">
        <v>998</v>
      </c>
      <c r="I21107" s="2">
        <v>372</v>
      </c>
      <c r="J21107" s="2">
        <v>3365</v>
      </c>
      <c r="K21107" s="2">
        <v>1</v>
      </c>
      <c r="L21107" s="2">
        <v>998</v>
      </c>
    </row>
    <row r="21108" spans="1:12" x14ac:dyDescent="0.25">
      <c r="A21108" s="4" t="str">
        <f>HYPERLINK("http://www.rosaceae.org/Prunus/Prunus_persica/p.persica_gdr_reftransV1_0048727","p.persica_gdr_reftransV1_0048727")</f>
        <v>p.persica_gdr_reftransV1_0048727</v>
      </c>
      <c r="B21108" s="2">
        <v>3196</v>
      </c>
      <c r="C21108" s="4" t="str">
        <f>HYPERLINK("http://www.uniprot.org/uniprot/M5XKD0","M5XKD0")</f>
        <v>M5XKD0</v>
      </c>
      <c r="D21108" s="2" t="s">
        <v>14517</v>
      </c>
      <c r="E21108" s="3">
        <v>0</v>
      </c>
      <c r="F21108" s="2">
        <v>4661</v>
      </c>
      <c r="G21108" s="2">
        <v>100</v>
      </c>
      <c r="H21108" s="2">
        <v>929</v>
      </c>
      <c r="I21108" s="2">
        <v>301</v>
      </c>
      <c r="J21108" s="2">
        <v>3087</v>
      </c>
      <c r="K21108" s="2">
        <v>1</v>
      </c>
      <c r="L21108" s="2">
        <v>929</v>
      </c>
    </row>
    <row r="21109" spans="1:12" x14ac:dyDescent="0.25">
      <c r="A21109" s="4" t="str">
        <f>HYPERLINK("http://www.rosaceae.org/Prunus/Prunus_persica/p.persica_gdr_reftransV1_0049077","p.persica_gdr_reftransV1_0049077")</f>
        <v>p.persica_gdr_reftransV1_0049077</v>
      </c>
      <c r="B21109" s="2">
        <v>1694</v>
      </c>
      <c r="C21109" s="4" t="str">
        <f>HYPERLINK("http://www.uniprot.org/uniprot/M5WTY5","M5WTY5")</f>
        <v>M5WTY5</v>
      </c>
      <c r="D21109" s="2" t="s">
        <v>15818</v>
      </c>
      <c r="E21109" s="3">
        <v>0</v>
      </c>
      <c r="F21109" s="2">
        <v>1600</v>
      </c>
      <c r="G21109" s="2">
        <v>100</v>
      </c>
      <c r="H21109" s="2">
        <v>308</v>
      </c>
      <c r="I21109" s="2">
        <v>340</v>
      </c>
      <c r="J21109" s="2">
        <v>1263</v>
      </c>
      <c r="K21109" s="2">
        <v>22</v>
      </c>
      <c r="L21109" s="2">
        <v>329</v>
      </c>
    </row>
    <row r="21110" spans="1:12" x14ac:dyDescent="0.25">
      <c r="A21110" s="4" t="str">
        <f>HYPERLINK("http://www.rosaceae.org/Prunus/Prunus_persica/p.persica_gdr_reftransV1_0000078","p.persica_gdr_reftransV1_0000078")</f>
        <v>p.persica_gdr_reftransV1_0000078</v>
      </c>
      <c r="B21110" s="2">
        <v>1721</v>
      </c>
      <c r="C21110" s="4" t="str">
        <f>HYPERLINK("http://www.uniprot.org/uniprot/M5VND4","M5VND4")</f>
        <v>M5VND4</v>
      </c>
      <c r="D21110" s="2" t="s">
        <v>9038</v>
      </c>
      <c r="E21110" s="3">
        <v>0</v>
      </c>
      <c r="F21110" s="2">
        <v>2114</v>
      </c>
      <c r="G21110" s="2">
        <v>100</v>
      </c>
      <c r="H21110" s="2">
        <v>394</v>
      </c>
      <c r="I21110" s="2">
        <v>20</v>
      </c>
      <c r="J21110" s="2">
        <v>1201</v>
      </c>
      <c r="K21110" s="2">
        <v>29</v>
      </c>
      <c r="L21110" s="2">
        <v>422</v>
      </c>
    </row>
    <row r="21111" spans="1:12" x14ac:dyDescent="0.25">
      <c r="A21111" s="4" t="str">
        <f>HYPERLINK("http://www.rosaceae.org/Prunus/Prunus_persica/p.persica_gdr_reftransV1_0000428","p.persica_gdr_reftransV1_0000428")</f>
        <v>p.persica_gdr_reftransV1_0000428</v>
      </c>
      <c r="B21111" s="2">
        <v>678</v>
      </c>
      <c r="C21111" s="4" t="str">
        <f>HYPERLINK("http://www.uniprot.org/uniprot/M5W8H0","M5W8H0")</f>
        <v>M5W8H0</v>
      </c>
      <c r="D21111" s="2" t="s">
        <v>11584</v>
      </c>
      <c r="E21111" s="3">
        <v>3.7300000000000001E-51</v>
      </c>
      <c r="F21111" s="2">
        <v>472</v>
      </c>
      <c r="G21111" s="2">
        <v>100</v>
      </c>
      <c r="H21111" s="2">
        <v>93</v>
      </c>
      <c r="I21111" s="2">
        <v>2</v>
      </c>
      <c r="J21111" s="2">
        <v>280</v>
      </c>
      <c r="K21111" s="2">
        <v>1</v>
      </c>
      <c r="L21111" s="2">
        <v>93</v>
      </c>
    </row>
    <row r="21112" spans="1:12" x14ac:dyDescent="0.25">
      <c r="A21112" s="4" t="str">
        <f>HYPERLINK("http://www.rosaceae.org/Prunus/Prunus_persica/p.persica_gdr_reftransV1_0000778","p.persica_gdr_reftransV1_0000778")</f>
        <v>p.persica_gdr_reftransV1_0000778</v>
      </c>
      <c r="B21112" s="2">
        <v>1563</v>
      </c>
      <c r="C21112" s="4" t="str">
        <f>HYPERLINK("http://www.uniprot.org/uniprot/M5WV59","M5WV59")</f>
        <v>M5WV59</v>
      </c>
      <c r="D21112" s="2" t="s">
        <v>1272</v>
      </c>
      <c r="E21112" s="3">
        <v>4.7899999999999999E-142</v>
      </c>
      <c r="F21112" s="2">
        <v>1080</v>
      </c>
      <c r="G21112" s="2">
        <v>100</v>
      </c>
      <c r="H21112" s="2">
        <v>220</v>
      </c>
      <c r="I21112" s="2">
        <v>238</v>
      </c>
      <c r="J21112" s="2">
        <v>897</v>
      </c>
      <c r="K21112" s="2">
        <v>9</v>
      </c>
      <c r="L21112" s="2">
        <v>228</v>
      </c>
    </row>
    <row r="21113" spans="1:12" x14ac:dyDescent="0.25">
      <c r="A21113" s="4" t="str">
        <f>HYPERLINK("http://www.rosaceae.org/Prunus/Prunus_persica/p.persica_gdr_reftransV1_0001478","p.persica_gdr_reftransV1_0001478")</f>
        <v>p.persica_gdr_reftransV1_0001478</v>
      </c>
      <c r="B21113" s="2">
        <v>2243</v>
      </c>
      <c r="C21113" s="4" t="str">
        <f>HYPERLINK("http://www.uniprot.org/uniprot/M5XCK9","M5XCK9")</f>
        <v>M5XCK9</v>
      </c>
      <c r="D21113" s="2" t="s">
        <v>5926</v>
      </c>
      <c r="E21113" s="3">
        <v>0</v>
      </c>
      <c r="F21113" s="2">
        <v>2911</v>
      </c>
      <c r="G21113" s="2">
        <v>100</v>
      </c>
      <c r="H21113" s="2">
        <v>562</v>
      </c>
      <c r="I21113" s="2">
        <v>148</v>
      </c>
      <c r="J21113" s="2">
        <v>1833</v>
      </c>
      <c r="K21113" s="2">
        <v>1</v>
      </c>
      <c r="L21113" s="2">
        <v>562</v>
      </c>
    </row>
    <row r="21114" spans="1:12" x14ac:dyDescent="0.25">
      <c r="A21114" s="4" t="str">
        <f>HYPERLINK("http://www.rosaceae.org/Prunus/Prunus_persica/p.persica_gdr_reftransV1_0001828","p.persica_gdr_reftransV1_0001828")</f>
        <v>p.persica_gdr_reftransV1_0001828</v>
      </c>
      <c r="B21114" s="2">
        <v>1265</v>
      </c>
      <c r="C21114" s="4" t="str">
        <f>HYPERLINK("http://www.uniprot.org/uniprot/M5WIW4","M5WIW4")</f>
        <v>M5WIW4</v>
      </c>
      <c r="D21114" s="2" t="s">
        <v>15819</v>
      </c>
      <c r="E21114" s="3">
        <v>0</v>
      </c>
      <c r="F21114" s="2">
        <v>1720</v>
      </c>
      <c r="G21114" s="2">
        <v>100</v>
      </c>
      <c r="H21114" s="2">
        <v>325</v>
      </c>
      <c r="I21114" s="2">
        <v>83</v>
      </c>
      <c r="J21114" s="2">
        <v>1057</v>
      </c>
      <c r="K21114" s="2">
        <v>1</v>
      </c>
      <c r="L21114" s="2">
        <v>325</v>
      </c>
    </row>
    <row r="21115" spans="1:12" x14ac:dyDescent="0.25">
      <c r="A21115" s="4" t="str">
        <f>HYPERLINK("http://www.rosaceae.org/Prunus/Prunus_persica/p.persica_gdr_reftransV1_0002178","p.persica_gdr_reftransV1_0002178")</f>
        <v>p.persica_gdr_reftransV1_0002178</v>
      </c>
      <c r="B21115" s="2">
        <v>755</v>
      </c>
      <c r="C21115" s="4" t="str">
        <f>HYPERLINK("http://www.uniprot.org/uniprot/M5X2R0","M5X2R0")</f>
        <v>M5X2R0</v>
      </c>
      <c r="D21115" s="2" t="s">
        <v>5133</v>
      </c>
      <c r="E21115" s="3">
        <v>1.1400000000000001E-63</v>
      </c>
      <c r="F21115" s="2">
        <v>526</v>
      </c>
      <c r="G21115" s="2">
        <v>100</v>
      </c>
      <c r="H21115" s="2">
        <v>138</v>
      </c>
      <c r="I21115" s="2">
        <v>173</v>
      </c>
      <c r="J21115" s="2">
        <v>586</v>
      </c>
      <c r="K21115" s="2">
        <v>1</v>
      </c>
      <c r="L21115" s="2">
        <v>138</v>
      </c>
    </row>
    <row r="21116" spans="1:12" x14ac:dyDescent="0.25">
      <c r="A21116" s="4" t="str">
        <f>HYPERLINK("http://www.rosaceae.org/Prunus/Prunus_persica/p.persica_gdr_reftransV1_0002528","p.persica_gdr_reftransV1_0002528")</f>
        <v>p.persica_gdr_reftransV1_0002528</v>
      </c>
      <c r="B21116" s="2">
        <v>1376</v>
      </c>
      <c r="C21116" s="4" t="str">
        <f>HYPERLINK("http://www.uniprot.org/uniprot/Q5UFR1","Q5UFR1")</f>
        <v>Q5UFR1</v>
      </c>
      <c r="D21116" s="2" t="s">
        <v>15820</v>
      </c>
      <c r="E21116" s="3">
        <v>0</v>
      </c>
      <c r="F21116" s="2">
        <v>1354</v>
      </c>
      <c r="G21116" s="2">
        <v>99</v>
      </c>
      <c r="H21116" s="2">
        <v>262</v>
      </c>
      <c r="I21116" s="2">
        <v>422</v>
      </c>
      <c r="J21116" s="2">
        <v>1207</v>
      </c>
      <c r="K21116" s="2">
        <v>1</v>
      </c>
      <c r="L21116" s="2">
        <v>262</v>
      </c>
    </row>
    <row r="21117" spans="1:12" x14ac:dyDescent="0.25">
      <c r="A21117" s="4" t="str">
        <f>HYPERLINK("http://www.rosaceae.org/Prunus/Prunus_persica/p.persica_gdr_reftransV1_0002878","p.persica_gdr_reftransV1_0002878")</f>
        <v>p.persica_gdr_reftransV1_0002878</v>
      </c>
      <c r="B21117" s="2">
        <v>476</v>
      </c>
      <c r="C21117" s="4" t="str">
        <f>HYPERLINK("http://www.uniprot.org/uniprot/M5VW67","M5VW67")</f>
        <v>M5VW67</v>
      </c>
      <c r="D21117" s="2" t="s">
        <v>15821</v>
      </c>
      <c r="E21117" s="3">
        <v>2.2599999999999999E-69</v>
      </c>
      <c r="F21117" s="2">
        <v>571</v>
      </c>
      <c r="G21117" s="2">
        <v>97</v>
      </c>
      <c r="H21117" s="2">
        <v>105</v>
      </c>
      <c r="I21117" s="2">
        <v>1</v>
      </c>
      <c r="J21117" s="2">
        <v>315</v>
      </c>
      <c r="K21117" s="2">
        <v>1</v>
      </c>
      <c r="L21117" s="2">
        <v>105</v>
      </c>
    </row>
    <row r="21118" spans="1:12" x14ac:dyDescent="0.25">
      <c r="A21118" s="4" t="str">
        <f>HYPERLINK("http://www.rosaceae.org/Prunus/Prunus_persica/p.persica_gdr_reftransV1_0003578","p.persica_gdr_reftransV1_0003578")</f>
        <v>p.persica_gdr_reftransV1_0003578</v>
      </c>
      <c r="B21118" s="2">
        <v>747</v>
      </c>
      <c r="C21118" s="4" t="str">
        <f>HYPERLINK("http://www.uniprot.org/uniprot/M5WU84","M5WU84")</f>
        <v>M5WU84</v>
      </c>
      <c r="D21118" s="2" t="s">
        <v>15822</v>
      </c>
      <c r="E21118" s="3">
        <v>5.6300000000000001E-157</v>
      </c>
      <c r="F21118" s="2">
        <v>1163</v>
      </c>
      <c r="G21118" s="2">
        <v>99</v>
      </c>
      <c r="H21118" s="2">
        <v>216</v>
      </c>
      <c r="I21118" s="2">
        <v>100</v>
      </c>
      <c r="J21118" s="2">
        <v>747</v>
      </c>
      <c r="K21118" s="2">
        <v>141</v>
      </c>
      <c r="L21118" s="2">
        <v>356</v>
      </c>
    </row>
    <row r="21119" spans="1:12" x14ac:dyDescent="0.25">
      <c r="A21119" s="4" t="str">
        <f>HYPERLINK("http://www.rosaceae.org/Prunus/Prunus_persica/p.persica_gdr_reftransV1_0003928","p.persica_gdr_reftransV1_0003928")</f>
        <v>p.persica_gdr_reftransV1_0003928</v>
      </c>
      <c r="B21119" s="2">
        <v>1183</v>
      </c>
      <c r="C21119" s="4" t="str">
        <f>HYPERLINK("http://www.uniprot.org/uniprot/M5WXV6","M5WXV6")</f>
        <v>M5WXV6</v>
      </c>
      <c r="D21119" s="2" t="s">
        <v>2307</v>
      </c>
      <c r="E21119" s="3">
        <v>0</v>
      </c>
      <c r="F21119" s="2">
        <v>1789</v>
      </c>
      <c r="G21119" s="2">
        <v>100</v>
      </c>
      <c r="H21119" s="2">
        <v>352</v>
      </c>
      <c r="I21119" s="2">
        <v>126</v>
      </c>
      <c r="J21119" s="2">
        <v>1181</v>
      </c>
      <c r="K21119" s="2">
        <v>385</v>
      </c>
      <c r="L21119" s="2">
        <v>736</v>
      </c>
    </row>
    <row r="21120" spans="1:12" x14ac:dyDescent="0.25">
      <c r="A21120" s="4" t="str">
        <f>HYPERLINK("http://www.rosaceae.org/Prunus/Prunus_persica/p.persica_gdr_reftransV1_0004278","p.persica_gdr_reftransV1_0004278")</f>
        <v>p.persica_gdr_reftransV1_0004278</v>
      </c>
      <c r="B21120" s="2">
        <v>1463</v>
      </c>
      <c r="C21120" s="4" t="str">
        <f>HYPERLINK("http://www.uniprot.org/uniprot/M5XXH7","M5XXH7")</f>
        <v>M5XXH7</v>
      </c>
      <c r="D21120" s="2" t="s">
        <v>1700</v>
      </c>
      <c r="E21120" s="3">
        <v>0</v>
      </c>
      <c r="F21120" s="2">
        <v>1452</v>
      </c>
      <c r="G21120" s="2">
        <v>100</v>
      </c>
      <c r="H21120" s="2">
        <v>394</v>
      </c>
      <c r="I21120" s="2">
        <v>227</v>
      </c>
      <c r="J21120" s="2">
        <v>1408</v>
      </c>
      <c r="K21120" s="2">
        <v>1</v>
      </c>
      <c r="L21120" s="2">
        <v>394</v>
      </c>
    </row>
    <row r="21121" spans="1:12" x14ac:dyDescent="0.25">
      <c r="A21121" s="4" t="str">
        <f>HYPERLINK("http://www.rosaceae.org/Prunus/Prunus_persica/p.persica_gdr_reftransV1_0004978","p.persica_gdr_reftransV1_0004978")</f>
        <v>p.persica_gdr_reftransV1_0004978</v>
      </c>
      <c r="B21121" s="2">
        <v>1087</v>
      </c>
      <c r="C21121" s="4" t="str">
        <f>HYPERLINK("http://www.uniprot.org/uniprot/M5WGZ2","M5WGZ2")</f>
        <v>M5WGZ2</v>
      </c>
      <c r="D21121" s="2" t="s">
        <v>2459</v>
      </c>
      <c r="E21121" s="3">
        <v>9.9199999999999998E-61</v>
      </c>
      <c r="F21121" s="2">
        <v>529</v>
      </c>
      <c r="G21121" s="2">
        <v>100</v>
      </c>
      <c r="H21121" s="2">
        <v>150</v>
      </c>
      <c r="I21121" s="2">
        <v>127</v>
      </c>
      <c r="J21121" s="2">
        <v>576</v>
      </c>
      <c r="K21121" s="2">
        <v>1</v>
      </c>
      <c r="L21121" s="2">
        <v>150</v>
      </c>
    </row>
    <row r="21122" spans="1:12" x14ac:dyDescent="0.25">
      <c r="A21122" s="4" t="str">
        <f>HYPERLINK("http://www.rosaceae.org/Prunus/Prunus_persica/p.persica_gdr_reftransV1_0005678","p.persica_gdr_reftransV1_0005678")</f>
        <v>p.persica_gdr_reftransV1_0005678</v>
      </c>
      <c r="B21122" s="2">
        <v>547</v>
      </c>
      <c r="C21122" s="4" t="str">
        <f>HYPERLINK("http://www.uniprot.org/uniprot/A5ALJ4","A5ALJ4")</f>
        <v>A5ALJ4</v>
      </c>
      <c r="D21122" s="2" t="s">
        <v>8908</v>
      </c>
      <c r="E21122" s="3">
        <v>1.2299999999999999E-37</v>
      </c>
      <c r="F21122" s="2">
        <v>374</v>
      </c>
      <c r="G21122" s="2">
        <v>47</v>
      </c>
      <c r="H21122" s="2">
        <v>201</v>
      </c>
      <c r="I21122" s="2">
        <v>7</v>
      </c>
      <c r="J21122" s="2">
        <v>540</v>
      </c>
      <c r="K21122" s="2">
        <v>274</v>
      </c>
      <c r="L21122" s="2">
        <v>469</v>
      </c>
    </row>
    <row r="21123" spans="1:12" x14ac:dyDescent="0.25">
      <c r="A21123" s="4" t="str">
        <f>HYPERLINK("http://www.rosaceae.org/Prunus/Prunus_persica/p.persica_gdr_reftransV1_0006728","p.persica_gdr_reftransV1_0006728")</f>
        <v>p.persica_gdr_reftransV1_0006728</v>
      </c>
      <c r="B21123" s="2">
        <v>2238</v>
      </c>
      <c r="C21123" s="4" t="str">
        <f>HYPERLINK("http://www.uniprot.org/uniprot/M5WTF9","M5WTF9")</f>
        <v>M5WTF9</v>
      </c>
      <c r="D21123" s="2" t="s">
        <v>15823</v>
      </c>
      <c r="E21123" s="3">
        <v>0</v>
      </c>
      <c r="F21123" s="2">
        <v>3041</v>
      </c>
      <c r="G21123" s="2">
        <v>100</v>
      </c>
      <c r="H21123" s="2">
        <v>575</v>
      </c>
      <c r="I21123" s="2">
        <v>360</v>
      </c>
      <c r="J21123" s="2">
        <v>2084</v>
      </c>
      <c r="K21123" s="2">
        <v>1</v>
      </c>
      <c r="L21123" s="2">
        <v>575</v>
      </c>
    </row>
    <row r="21124" spans="1:12" x14ac:dyDescent="0.25">
      <c r="A21124" s="4" t="str">
        <f>HYPERLINK("http://www.rosaceae.org/Prunus/Prunus_persica/p.persica_gdr_reftransV1_0007428","p.persica_gdr_reftransV1_0007428")</f>
        <v>p.persica_gdr_reftransV1_0007428</v>
      </c>
      <c r="B21124" s="2">
        <v>578</v>
      </c>
      <c r="C21124" s="4" t="str">
        <f>HYPERLINK("http://www.uniprot.org/uniprot/M5WYI9","M5WYI9")</f>
        <v>M5WYI9</v>
      </c>
      <c r="D21124" s="2" t="s">
        <v>8764</v>
      </c>
      <c r="E21124" s="3">
        <v>8.1599999999999997E-63</v>
      </c>
      <c r="F21124" s="2">
        <v>541</v>
      </c>
      <c r="G21124" s="2">
        <v>100</v>
      </c>
      <c r="H21124" s="2">
        <v>103</v>
      </c>
      <c r="I21124" s="2">
        <v>1</v>
      </c>
      <c r="J21124" s="2">
        <v>309</v>
      </c>
      <c r="K21124" s="2">
        <v>371</v>
      </c>
      <c r="L21124" s="2">
        <v>473</v>
      </c>
    </row>
    <row r="21125" spans="1:12" x14ac:dyDescent="0.25">
      <c r="A21125" s="4" t="str">
        <f>HYPERLINK("http://www.rosaceae.org/Prunus/Prunus_persica/p.persica_gdr_reftransV1_0008128","p.persica_gdr_reftransV1_0008128")</f>
        <v>p.persica_gdr_reftransV1_0008128</v>
      </c>
      <c r="B21125" s="2">
        <v>575</v>
      </c>
      <c r="C21125" s="4" t="str">
        <f>HYPERLINK("http://www.uniprot.org/uniprot/M5VTN6","M5VTN6")</f>
        <v>M5VTN6</v>
      </c>
      <c r="D21125" s="2" t="s">
        <v>15824</v>
      </c>
      <c r="E21125" s="3">
        <v>1.9399999999999999E-9</v>
      </c>
      <c r="F21125" s="2">
        <v>151</v>
      </c>
      <c r="G21125" s="2">
        <v>53</v>
      </c>
      <c r="H21125" s="2">
        <v>59</v>
      </c>
      <c r="I21125" s="2">
        <v>227</v>
      </c>
      <c r="J21125" s="2">
        <v>403</v>
      </c>
      <c r="K21125" s="2">
        <v>88</v>
      </c>
      <c r="L21125" s="2">
        <v>146</v>
      </c>
    </row>
    <row r="21126" spans="1:12" x14ac:dyDescent="0.25">
      <c r="A21126" s="4" t="str">
        <f>HYPERLINK("http://www.rosaceae.org/Prunus/Prunus_persica/p.persica_gdr_reftransV1_0008478","p.persica_gdr_reftransV1_0008478")</f>
        <v>p.persica_gdr_reftransV1_0008478</v>
      </c>
      <c r="B21126" s="2">
        <v>834</v>
      </c>
      <c r="C21126" s="4" t="str">
        <f>HYPERLINK("http://www.uniprot.org/uniprot/M5WEU1","M5WEU1")</f>
        <v>M5WEU1</v>
      </c>
      <c r="D21126" s="2" t="s">
        <v>2990</v>
      </c>
      <c r="E21126" s="3">
        <v>3.7899999999999999E-136</v>
      </c>
      <c r="F21126" s="2">
        <v>1071</v>
      </c>
      <c r="G21126" s="2">
        <v>92</v>
      </c>
      <c r="H21126" s="2">
        <v>236</v>
      </c>
      <c r="I21126" s="2">
        <v>13</v>
      </c>
      <c r="J21126" s="2">
        <v>693</v>
      </c>
      <c r="K21126" s="2">
        <v>212</v>
      </c>
      <c r="L21126" s="2">
        <v>447</v>
      </c>
    </row>
    <row r="21127" spans="1:12" x14ac:dyDescent="0.25">
      <c r="A21127" s="4" t="str">
        <f>HYPERLINK("http://www.rosaceae.org/Prunus/Prunus_persica/p.persica_gdr_reftransV1_0009528","p.persica_gdr_reftransV1_0009528")</f>
        <v>p.persica_gdr_reftransV1_0009528</v>
      </c>
      <c r="B21127" s="2">
        <v>979</v>
      </c>
      <c r="C21127" s="4" t="str">
        <f>HYPERLINK("http://www.uniprot.org/uniprot/M5XTK6","M5XTK6")</f>
        <v>M5XTK6</v>
      </c>
      <c r="D21127" s="2" t="s">
        <v>15825</v>
      </c>
      <c r="E21127" s="3">
        <v>6.8399999999999997E-164</v>
      </c>
      <c r="F21127" s="2">
        <v>1208</v>
      </c>
      <c r="G21127" s="2">
        <v>100</v>
      </c>
      <c r="H21127" s="2">
        <v>263</v>
      </c>
      <c r="I21127" s="2">
        <v>111</v>
      </c>
      <c r="J21127" s="2">
        <v>899</v>
      </c>
      <c r="K21127" s="2">
        <v>1</v>
      </c>
      <c r="L21127" s="2">
        <v>263</v>
      </c>
    </row>
    <row r="21128" spans="1:12" x14ac:dyDescent="0.25">
      <c r="A21128" s="4" t="str">
        <f>HYPERLINK("http://www.rosaceae.org/Prunus/Prunus_persica/p.persica_gdr_reftransV1_0009878","p.persica_gdr_reftransV1_0009878")</f>
        <v>p.persica_gdr_reftransV1_0009878</v>
      </c>
      <c r="B21128" s="2">
        <v>1546</v>
      </c>
      <c r="C21128" s="4" t="str">
        <f>HYPERLINK("http://www.uniprot.org/uniprot/M5WPD0","M5WPD0")</f>
        <v>M5WPD0</v>
      </c>
      <c r="D21128" s="2" t="s">
        <v>15826</v>
      </c>
      <c r="E21128" s="3">
        <v>0</v>
      </c>
      <c r="F21128" s="2">
        <v>2037</v>
      </c>
      <c r="G21128" s="2">
        <v>97</v>
      </c>
      <c r="H21128" s="2">
        <v>390</v>
      </c>
      <c r="I21128" s="2">
        <v>303</v>
      </c>
      <c r="J21128" s="2">
        <v>1472</v>
      </c>
      <c r="K21128" s="2">
        <v>1</v>
      </c>
      <c r="L21128" s="2">
        <v>390</v>
      </c>
    </row>
    <row r="21129" spans="1:12" x14ac:dyDescent="0.25">
      <c r="A21129" s="4" t="str">
        <f>HYPERLINK("http://www.rosaceae.org/Prunus/Prunus_persica/p.persica_gdr_reftransV1_0010228","p.persica_gdr_reftransV1_0010228")</f>
        <v>p.persica_gdr_reftransV1_0010228</v>
      </c>
      <c r="B21129" s="2">
        <v>3238</v>
      </c>
      <c r="C21129" s="4" t="str">
        <f>HYPERLINK("http://www.uniprot.org/uniprot/M5VZ06","M5VZ06")</f>
        <v>M5VZ06</v>
      </c>
      <c r="D21129" s="2" t="s">
        <v>15827</v>
      </c>
      <c r="E21129" s="3">
        <v>0</v>
      </c>
      <c r="F21129" s="2">
        <v>2158</v>
      </c>
      <c r="G21129" s="2">
        <v>100</v>
      </c>
      <c r="H21129" s="2">
        <v>472</v>
      </c>
      <c r="I21129" s="2">
        <v>224</v>
      </c>
      <c r="J21129" s="2">
        <v>1639</v>
      </c>
      <c r="K21129" s="2">
        <v>1</v>
      </c>
      <c r="L21129" s="2">
        <v>472</v>
      </c>
    </row>
    <row r="21130" spans="1:12" x14ac:dyDescent="0.25">
      <c r="A21130" s="4" t="str">
        <f>HYPERLINK("http://www.rosaceae.org/Prunus/Prunus_persica/p.persica_gdr_reftransV1_0010578","p.persica_gdr_reftransV1_0010578")</f>
        <v>p.persica_gdr_reftransV1_0010578</v>
      </c>
      <c r="B21130" s="2">
        <v>452</v>
      </c>
      <c r="C21130" s="4" t="str">
        <f>HYPERLINK("http://www.uniprot.org/uniprot/W9QUY7","W9QUY7")</f>
        <v>W9QUY7</v>
      </c>
      <c r="D21130" s="2" t="s">
        <v>15828</v>
      </c>
      <c r="E21130" s="3">
        <v>2.3000000000000001E-48</v>
      </c>
      <c r="F21130" s="2">
        <v>436</v>
      </c>
      <c r="G21130" s="2">
        <v>81</v>
      </c>
      <c r="H21130" s="2">
        <v>113</v>
      </c>
      <c r="I21130" s="2">
        <v>114</v>
      </c>
      <c r="J21130" s="2">
        <v>449</v>
      </c>
      <c r="K21130" s="2">
        <v>1</v>
      </c>
      <c r="L21130" s="2">
        <v>113</v>
      </c>
    </row>
    <row r="21131" spans="1:12" x14ac:dyDescent="0.25">
      <c r="A21131" s="4" t="str">
        <f>HYPERLINK("http://www.rosaceae.org/Prunus/Prunus_persica/p.persica_gdr_reftransV1_0011278","p.persica_gdr_reftransV1_0011278")</f>
        <v>p.persica_gdr_reftransV1_0011278</v>
      </c>
      <c r="B21131" s="2">
        <v>1244</v>
      </c>
      <c r="C21131" s="4" t="str">
        <f>HYPERLINK("http://www.uniprot.org/uniprot/M5XHU5","M5XHU5")</f>
        <v>M5XHU5</v>
      </c>
      <c r="D21131" s="2" t="s">
        <v>15829</v>
      </c>
      <c r="E21131" s="3">
        <v>3.2000000000000001E-145</v>
      </c>
      <c r="F21131" s="2">
        <v>1091</v>
      </c>
      <c r="G21131" s="2">
        <v>100</v>
      </c>
      <c r="H21131" s="2">
        <v>233</v>
      </c>
      <c r="I21131" s="2">
        <v>394</v>
      </c>
      <c r="J21131" s="2">
        <v>1092</v>
      </c>
      <c r="K21131" s="2">
        <v>1</v>
      </c>
      <c r="L21131" s="2">
        <v>233</v>
      </c>
    </row>
    <row r="21132" spans="1:12" x14ac:dyDescent="0.25">
      <c r="A21132" s="4" t="str">
        <f>HYPERLINK("http://www.rosaceae.org/Prunus/Prunus_persica/p.persica_gdr_reftransV1_0011628","p.persica_gdr_reftransV1_0011628")</f>
        <v>p.persica_gdr_reftransV1_0011628</v>
      </c>
      <c r="B21132" s="2">
        <v>1810</v>
      </c>
      <c r="C21132" s="4" t="str">
        <f>HYPERLINK("http://www.uniprot.org/uniprot/M5XQ35","M5XQ35")</f>
        <v>M5XQ35</v>
      </c>
      <c r="D21132" s="2" t="s">
        <v>15830</v>
      </c>
      <c r="E21132" s="3">
        <v>0</v>
      </c>
      <c r="F21132" s="2">
        <v>2268</v>
      </c>
      <c r="G21132" s="2">
        <v>100</v>
      </c>
      <c r="H21132" s="2">
        <v>423</v>
      </c>
      <c r="I21132" s="2">
        <v>336</v>
      </c>
      <c r="J21132" s="2">
        <v>1604</v>
      </c>
      <c r="K21132" s="2">
        <v>1</v>
      </c>
      <c r="L21132" s="2">
        <v>423</v>
      </c>
    </row>
    <row r="21133" spans="1:12" x14ac:dyDescent="0.25">
      <c r="A21133" s="4" t="str">
        <f>HYPERLINK("http://www.rosaceae.org/Prunus/Prunus_persica/p.persica_gdr_reftransV1_0011978","p.persica_gdr_reftransV1_0011978")</f>
        <v>p.persica_gdr_reftransV1_0011978</v>
      </c>
      <c r="B21133" s="2">
        <v>2785</v>
      </c>
      <c r="C21133" s="4" t="str">
        <f>HYPERLINK("http://www.uniprot.org/uniprot/M5VZ73","M5VZ73")</f>
        <v>M5VZ73</v>
      </c>
      <c r="D21133" s="2" t="s">
        <v>14428</v>
      </c>
      <c r="E21133" s="3">
        <v>6.2299999999999997E-118</v>
      </c>
      <c r="F21133" s="2">
        <v>961</v>
      </c>
      <c r="G21133" s="2">
        <v>100</v>
      </c>
      <c r="H21133" s="2">
        <v>197</v>
      </c>
      <c r="I21133" s="2">
        <v>1214</v>
      </c>
      <c r="J21133" s="2">
        <v>1804</v>
      </c>
      <c r="K21133" s="2">
        <v>1</v>
      </c>
      <c r="L21133" s="2">
        <v>197</v>
      </c>
    </row>
    <row r="21134" spans="1:12" x14ac:dyDescent="0.25">
      <c r="A21134" s="4" t="str">
        <f>HYPERLINK("http://www.rosaceae.org/Prunus/Prunus_persica/p.persica_gdr_reftransV1_0012328","p.persica_gdr_reftransV1_0012328")</f>
        <v>p.persica_gdr_reftransV1_0012328</v>
      </c>
      <c r="B21134" s="2">
        <v>1827</v>
      </c>
      <c r="C21134" s="4" t="str">
        <f>HYPERLINK("http://www.uniprot.org/uniprot/M5VZJ5","M5VZJ5")</f>
        <v>M5VZJ5</v>
      </c>
      <c r="D21134" s="2" t="s">
        <v>15831</v>
      </c>
      <c r="E21134" s="3">
        <v>0</v>
      </c>
      <c r="F21134" s="2">
        <v>1350</v>
      </c>
      <c r="G21134" s="2">
        <v>100</v>
      </c>
      <c r="H21134" s="2">
        <v>275</v>
      </c>
      <c r="I21134" s="2">
        <v>457</v>
      </c>
      <c r="J21134" s="2">
        <v>1281</v>
      </c>
      <c r="K21134" s="2">
        <v>1</v>
      </c>
      <c r="L21134" s="2">
        <v>275</v>
      </c>
    </row>
    <row r="21135" spans="1:12" x14ac:dyDescent="0.25">
      <c r="A21135" s="4" t="str">
        <f>HYPERLINK("http://www.rosaceae.org/Prunus/Prunus_persica/p.persica_gdr_reftransV1_0013378","p.persica_gdr_reftransV1_0013378")</f>
        <v>p.persica_gdr_reftransV1_0013378</v>
      </c>
      <c r="B21135" s="2">
        <v>2033</v>
      </c>
      <c r="C21135" s="4" t="str">
        <f>HYPERLINK("http://www.uniprot.org/uniprot/M5XGC0","M5XGC0")</f>
        <v>M5XGC0</v>
      </c>
      <c r="D21135" s="2" t="s">
        <v>10233</v>
      </c>
      <c r="E21135" s="3">
        <v>0</v>
      </c>
      <c r="F21135" s="2">
        <v>1662</v>
      </c>
      <c r="G21135" s="2">
        <v>100</v>
      </c>
      <c r="H21135" s="2">
        <v>367</v>
      </c>
      <c r="I21135" s="2">
        <v>216</v>
      </c>
      <c r="J21135" s="2">
        <v>1316</v>
      </c>
      <c r="K21135" s="2">
        <v>1</v>
      </c>
      <c r="L21135" s="2">
        <v>367</v>
      </c>
    </row>
    <row r="21136" spans="1:12" x14ac:dyDescent="0.25">
      <c r="A21136" s="4" t="str">
        <f>HYPERLINK("http://www.rosaceae.org/Prunus/Prunus_persica/p.persica_gdr_reftransV1_0013728","p.persica_gdr_reftransV1_0013728")</f>
        <v>p.persica_gdr_reftransV1_0013728</v>
      </c>
      <c r="B21136" s="2">
        <v>1009</v>
      </c>
      <c r="C21136" s="4" t="str">
        <f>HYPERLINK("http://www.uniprot.org/uniprot/M5WMH8","M5WMH8")</f>
        <v>M5WMH8</v>
      </c>
      <c r="D21136" s="2" t="s">
        <v>15832</v>
      </c>
      <c r="E21136" s="3">
        <v>1.8300000000000001E-111</v>
      </c>
      <c r="F21136" s="2">
        <v>860</v>
      </c>
      <c r="G21136" s="2">
        <v>82</v>
      </c>
      <c r="H21136" s="2">
        <v>272</v>
      </c>
      <c r="I21136" s="2">
        <v>164</v>
      </c>
      <c r="J21136" s="2">
        <v>979</v>
      </c>
      <c r="K21136" s="2">
        <v>8</v>
      </c>
      <c r="L21136" s="2">
        <v>237</v>
      </c>
    </row>
    <row r="21137" spans="1:12" x14ac:dyDescent="0.25">
      <c r="A21137" s="4" t="str">
        <f>HYPERLINK("http://www.rosaceae.org/Prunus/Prunus_persica/p.persica_gdr_reftransV1_0014078","p.persica_gdr_reftransV1_0014078")</f>
        <v>p.persica_gdr_reftransV1_0014078</v>
      </c>
      <c r="B21137" s="2">
        <v>2369</v>
      </c>
      <c r="C21137" s="4" t="str">
        <f>HYPERLINK("http://www.uniprot.org/uniprot/M5WRH0","M5WRH0")</f>
        <v>M5WRH0</v>
      </c>
      <c r="D21137" s="2" t="s">
        <v>15833</v>
      </c>
      <c r="E21137" s="3">
        <v>2.7500000000000001E-84</v>
      </c>
      <c r="F21137" s="2">
        <v>707</v>
      </c>
      <c r="G21137" s="2">
        <v>100</v>
      </c>
      <c r="H21137" s="2">
        <v>161</v>
      </c>
      <c r="I21137" s="2">
        <v>1334</v>
      </c>
      <c r="J21137" s="2">
        <v>1816</v>
      </c>
      <c r="K21137" s="2">
        <v>1</v>
      </c>
      <c r="L21137" s="2">
        <v>161</v>
      </c>
    </row>
    <row r="21138" spans="1:12" x14ac:dyDescent="0.25">
      <c r="A21138" s="4" t="str">
        <f>HYPERLINK("http://www.rosaceae.org/Prunus/Prunus_persica/p.persica_gdr_reftransV1_0014428","p.persica_gdr_reftransV1_0014428")</f>
        <v>p.persica_gdr_reftransV1_0014428</v>
      </c>
      <c r="B21138" s="2">
        <v>8401</v>
      </c>
      <c r="C21138" s="4" t="str">
        <f>HYPERLINK("http://www.uniprot.org/uniprot/M5WQM8","M5WQM8")</f>
        <v>M5WQM8</v>
      </c>
      <c r="D21138" s="2" t="s">
        <v>15834</v>
      </c>
      <c r="E21138" s="3">
        <v>0</v>
      </c>
      <c r="F21138" s="2">
        <v>8261</v>
      </c>
      <c r="G21138" s="2">
        <v>100</v>
      </c>
      <c r="H21138" s="2">
        <v>1621</v>
      </c>
      <c r="I21138" s="2">
        <v>1790</v>
      </c>
      <c r="J21138" s="2">
        <v>6652</v>
      </c>
      <c r="K21138" s="2">
        <v>201</v>
      </c>
      <c r="L21138" s="2">
        <v>1821</v>
      </c>
    </row>
    <row r="21139" spans="1:12" x14ac:dyDescent="0.25">
      <c r="A21139" s="4" t="str">
        <f>HYPERLINK("http://www.rosaceae.org/Prunus/Prunus_persica/p.persica_gdr_reftransV1_0015128","p.persica_gdr_reftransV1_0015128")</f>
        <v>p.persica_gdr_reftransV1_0015128</v>
      </c>
      <c r="B21139" s="2">
        <v>1095</v>
      </c>
      <c r="C21139" s="4" t="str">
        <f>HYPERLINK("http://www.uniprot.org/uniprot/M5WCR6","M5WCR6")</f>
        <v>M5WCR6</v>
      </c>
      <c r="D21139" s="2" t="s">
        <v>15835</v>
      </c>
      <c r="E21139" s="3">
        <v>3.7200000000000002E-138</v>
      </c>
      <c r="F21139" s="2">
        <v>1038</v>
      </c>
      <c r="G21139" s="2">
        <v>100</v>
      </c>
      <c r="H21139" s="2">
        <v>202</v>
      </c>
      <c r="I21139" s="2">
        <v>208</v>
      </c>
      <c r="J21139" s="2">
        <v>813</v>
      </c>
      <c r="K21139" s="2">
        <v>16</v>
      </c>
      <c r="L21139" s="2">
        <v>217</v>
      </c>
    </row>
    <row r="21140" spans="1:12" x14ac:dyDescent="0.25">
      <c r="A21140" s="4" t="str">
        <f>HYPERLINK("http://www.rosaceae.org/Prunus/Prunus_persica/p.persica_gdr_reftransV1_0015478","p.persica_gdr_reftransV1_0015478")</f>
        <v>p.persica_gdr_reftransV1_0015478</v>
      </c>
      <c r="B21140" s="2">
        <v>2826</v>
      </c>
      <c r="C21140" s="4" t="str">
        <f>HYPERLINK("http://www.uniprot.org/uniprot/M5X0B3","M5X0B3")</f>
        <v>M5X0B3</v>
      </c>
      <c r="D21140" s="2" t="s">
        <v>15836</v>
      </c>
      <c r="E21140" s="3">
        <v>0</v>
      </c>
      <c r="F21140" s="2">
        <v>2857</v>
      </c>
      <c r="G21140" s="2">
        <v>95</v>
      </c>
      <c r="H21140" s="2">
        <v>626</v>
      </c>
      <c r="I21140" s="2">
        <v>546</v>
      </c>
      <c r="J21140" s="2">
        <v>2423</v>
      </c>
      <c r="K21140" s="2">
        <v>7</v>
      </c>
      <c r="L21140" s="2">
        <v>598</v>
      </c>
    </row>
    <row r="21141" spans="1:12" x14ac:dyDescent="0.25">
      <c r="A21141" s="4" t="str">
        <f>HYPERLINK("http://www.rosaceae.org/Prunus/Prunus_persica/p.persica_gdr_reftransV1_0016878","p.persica_gdr_reftransV1_0016878")</f>
        <v>p.persica_gdr_reftransV1_0016878</v>
      </c>
      <c r="B21141" s="2">
        <v>1072</v>
      </c>
      <c r="C21141" s="4" t="str">
        <f>HYPERLINK("http://www.uniprot.org/uniprot/M5VZK1","M5VZK1")</f>
        <v>M5VZK1</v>
      </c>
      <c r="D21141" s="2" t="s">
        <v>2084</v>
      </c>
      <c r="E21141" s="3">
        <v>6.06E-74</v>
      </c>
      <c r="F21141" s="2">
        <v>616</v>
      </c>
      <c r="G21141" s="2">
        <v>100</v>
      </c>
      <c r="H21141" s="2">
        <v>154</v>
      </c>
      <c r="I21141" s="2">
        <v>252</v>
      </c>
      <c r="J21141" s="2">
        <v>713</v>
      </c>
      <c r="K21141" s="2">
        <v>1</v>
      </c>
      <c r="L21141" s="2">
        <v>154</v>
      </c>
    </row>
    <row r="21142" spans="1:12" x14ac:dyDescent="0.25">
      <c r="A21142" s="4" t="str">
        <f>HYPERLINK("http://www.rosaceae.org/Prunus/Prunus_persica/p.persica_gdr_reftransV1_0017578","p.persica_gdr_reftransV1_0017578")</f>
        <v>p.persica_gdr_reftransV1_0017578</v>
      </c>
      <c r="B21142" s="2">
        <v>979</v>
      </c>
      <c r="C21142" s="4" t="str">
        <f>HYPERLINK("http://www.uniprot.org/uniprot/M5WN92","M5WN92")</f>
        <v>M5WN92</v>
      </c>
      <c r="D21142" s="2" t="s">
        <v>15837</v>
      </c>
      <c r="E21142" s="3">
        <v>4.5100000000000002E-88</v>
      </c>
      <c r="F21142" s="2">
        <v>694</v>
      </c>
      <c r="G21142" s="2">
        <v>100</v>
      </c>
      <c r="H21142" s="2">
        <v>135</v>
      </c>
      <c r="I21142" s="2">
        <v>420</v>
      </c>
      <c r="J21142" s="2">
        <v>824</v>
      </c>
      <c r="K21142" s="2">
        <v>1</v>
      </c>
      <c r="L21142" s="2">
        <v>135</v>
      </c>
    </row>
    <row r="21143" spans="1:12" x14ac:dyDescent="0.25">
      <c r="A21143" s="4" t="str">
        <f>HYPERLINK("http://www.rosaceae.org/Prunus/Prunus_persica/p.persica_gdr_reftransV1_0019678","p.persica_gdr_reftransV1_0019678")</f>
        <v>p.persica_gdr_reftransV1_0019678</v>
      </c>
      <c r="B21143" s="2">
        <v>846</v>
      </c>
      <c r="C21143" s="4" t="str">
        <f>HYPERLINK("http://www.uniprot.org/uniprot/M5VGT6","M5VGT6")</f>
        <v>M5VGT6</v>
      </c>
      <c r="D21143" s="2" t="s">
        <v>15838</v>
      </c>
      <c r="E21143" s="3">
        <v>8.1599999999999995E-73</v>
      </c>
      <c r="F21143" s="2">
        <v>589</v>
      </c>
      <c r="G21143" s="2">
        <v>81</v>
      </c>
      <c r="H21143" s="2">
        <v>131</v>
      </c>
      <c r="I21143" s="2">
        <v>301</v>
      </c>
      <c r="J21143" s="2">
        <v>693</v>
      </c>
      <c r="K21143" s="2">
        <v>1</v>
      </c>
      <c r="L21143" s="2">
        <v>131</v>
      </c>
    </row>
    <row r="21144" spans="1:12" x14ac:dyDescent="0.25">
      <c r="A21144" s="4" t="str">
        <f>HYPERLINK("http://www.rosaceae.org/Prunus/Prunus_persica/p.persica_gdr_reftransV1_0020378","p.persica_gdr_reftransV1_0020378")</f>
        <v>p.persica_gdr_reftransV1_0020378</v>
      </c>
      <c r="B21144" s="2">
        <v>2978</v>
      </c>
      <c r="C21144" s="4" t="str">
        <f>HYPERLINK("http://www.uniprot.org/uniprot/M5WN60","M5WN60")</f>
        <v>M5WN60</v>
      </c>
      <c r="D21144" s="2" t="s">
        <v>15839</v>
      </c>
      <c r="E21144" s="3">
        <v>3.7300000000000001E-149</v>
      </c>
      <c r="F21144" s="2">
        <v>1201</v>
      </c>
      <c r="G21144" s="2">
        <v>100</v>
      </c>
      <c r="H21144" s="2">
        <v>224</v>
      </c>
      <c r="I21144" s="2">
        <v>2009</v>
      </c>
      <c r="J21144" s="2">
        <v>2680</v>
      </c>
      <c r="K21144" s="2">
        <v>348</v>
      </c>
      <c r="L21144" s="2">
        <v>571</v>
      </c>
    </row>
    <row r="21145" spans="1:12" x14ac:dyDescent="0.25">
      <c r="A21145" s="4" t="str">
        <f>HYPERLINK("http://www.rosaceae.org/Prunus/Prunus_persica/p.persica_gdr_reftransV1_0020728","p.persica_gdr_reftransV1_0020728")</f>
        <v>p.persica_gdr_reftransV1_0020728</v>
      </c>
      <c r="B21145" s="2">
        <v>2062</v>
      </c>
      <c r="C21145" s="4" t="str">
        <f>HYPERLINK("http://www.uniprot.org/uniprot/M5X6E3","M5X6E3")</f>
        <v>M5X6E3</v>
      </c>
      <c r="D21145" s="2" t="s">
        <v>15840</v>
      </c>
      <c r="E21145" s="3">
        <v>7.4799999999999998E-121</v>
      </c>
      <c r="F21145" s="2">
        <v>954</v>
      </c>
      <c r="G21145" s="2">
        <v>99</v>
      </c>
      <c r="H21145" s="2">
        <v>206</v>
      </c>
      <c r="I21145" s="2">
        <v>306</v>
      </c>
      <c r="J21145" s="2">
        <v>923</v>
      </c>
      <c r="K21145" s="2">
        <v>28</v>
      </c>
      <c r="L21145" s="2">
        <v>233</v>
      </c>
    </row>
    <row r="21146" spans="1:12" x14ac:dyDescent="0.25">
      <c r="A21146" s="4" t="str">
        <f>HYPERLINK("http://www.rosaceae.org/Prunus/Prunus_persica/p.persica_gdr_reftransV1_0021778","p.persica_gdr_reftransV1_0021778")</f>
        <v>p.persica_gdr_reftransV1_0021778</v>
      </c>
      <c r="B21146" s="2">
        <v>1900</v>
      </c>
      <c r="C21146" s="4" t="str">
        <f>HYPERLINK("http://www.uniprot.org/uniprot/M5WUE8","M5WUE8")</f>
        <v>M5WUE8</v>
      </c>
      <c r="D21146" s="2" t="s">
        <v>15841</v>
      </c>
      <c r="E21146" s="3">
        <v>0</v>
      </c>
      <c r="F21146" s="2">
        <v>2003</v>
      </c>
      <c r="G21146" s="2">
        <v>99</v>
      </c>
      <c r="H21146" s="2">
        <v>374</v>
      </c>
      <c r="I21146" s="2">
        <v>725</v>
      </c>
      <c r="J21146" s="2">
        <v>1846</v>
      </c>
      <c r="K21146" s="2">
        <v>1</v>
      </c>
      <c r="L21146" s="2">
        <v>374</v>
      </c>
    </row>
    <row r="21147" spans="1:12" x14ac:dyDescent="0.25">
      <c r="A21147" s="4" t="str">
        <f>HYPERLINK("http://www.rosaceae.org/Prunus/Prunus_persica/p.persica_gdr_reftransV1_0022128","p.persica_gdr_reftransV1_0022128")</f>
        <v>p.persica_gdr_reftransV1_0022128</v>
      </c>
      <c r="B21147" s="2">
        <v>2437</v>
      </c>
      <c r="C21147" s="4" t="str">
        <f>HYPERLINK("http://www.uniprot.org/uniprot/M5XYS5","M5XYS5")</f>
        <v>M5XYS5</v>
      </c>
      <c r="D21147" s="2" t="s">
        <v>15842</v>
      </c>
      <c r="E21147" s="3">
        <v>3.28E-141</v>
      </c>
      <c r="F21147" s="2">
        <v>1098</v>
      </c>
      <c r="G21147" s="2">
        <v>100</v>
      </c>
      <c r="H21147" s="2">
        <v>204</v>
      </c>
      <c r="I21147" s="2">
        <v>743</v>
      </c>
      <c r="J21147" s="2">
        <v>1354</v>
      </c>
      <c r="K21147" s="2">
        <v>1</v>
      </c>
      <c r="L21147" s="2">
        <v>204</v>
      </c>
    </row>
    <row r="21148" spans="1:12" x14ac:dyDescent="0.25">
      <c r="A21148" s="4" t="str">
        <f>HYPERLINK("http://www.rosaceae.org/Prunus/Prunus_persica/p.persica_gdr_reftransV1_0023178","p.persica_gdr_reftransV1_0023178")</f>
        <v>p.persica_gdr_reftransV1_0023178</v>
      </c>
      <c r="B21148" s="2">
        <v>1066</v>
      </c>
      <c r="C21148" s="4" t="str">
        <f>HYPERLINK("http://www.uniprot.org/uniprot/M5WB44","M5WB44")</f>
        <v>M5WB44</v>
      </c>
      <c r="D21148" s="2" t="s">
        <v>2065</v>
      </c>
      <c r="E21148" s="3">
        <v>5.92E-67</v>
      </c>
      <c r="F21148" s="2">
        <v>555</v>
      </c>
      <c r="G21148" s="2">
        <v>100</v>
      </c>
      <c r="H21148" s="2">
        <v>122</v>
      </c>
      <c r="I21148" s="2">
        <v>337</v>
      </c>
      <c r="J21148" s="2">
        <v>702</v>
      </c>
      <c r="K21148" s="2">
        <v>1</v>
      </c>
      <c r="L21148" s="2">
        <v>122</v>
      </c>
    </row>
    <row r="21149" spans="1:12" x14ac:dyDescent="0.25">
      <c r="A21149" s="4" t="str">
        <f>HYPERLINK("http://www.rosaceae.org/Prunus/Prunus_persica/p.persica_gdr_reftransV1_0023528","p.persica_gdr_reftransV1_0023528")</f>
        <v>p.persica_gdr_reftransV1_0023528</v>
      </c>
      <c r="B21149" s="2">
        <v>787</v>
      </c>
      <c r="C21149" s="4" t="str">
        <f>HYPERLINK("http://www.uniprot.org/uniprot/M5VP21","M5VP21")</f>
        <v>M5VP21</v>
      </c>
      <c r="D21149" s="2" t="s">
        <v>15511</v>
      </c>
      <c r="E21149" s="3">
        <v>2.2099999999999999E-66</v>
      </c>
      <c r="F21149" s="2">
        <v>567</v>
      </c>
      <c r="G21149" s="2">
        <v>100</v>
      </c>
      <c r="H21149" s="2">
        <v>111</v>
      </c>
      <c r="I21149" s="2">
        <v>381</v>
      </c>
      <c r="J21149" s="2">
        <v>713</v>
      </c>
      <c r="K21149" s="2">
        <v>1</v>
      </c>
      <c r="L21149" s="2">
        <v>111</v>
      </c>
    </row>
    <row r="21150" spans="1:12" x14ac:dyDescent="0.25">
      <c r="A21150" s="4" t="str">
        <f>HYPERLINK("http://www.rosaceae.org/Prunus/Prunus_persica/p.persica_gdr_reftransV1_0024578","p.persica_gdr_reftransV1_0024578")</f>
        <v>p.persica_gdr_reftransV1_0024578</v>
      </c>
      <c r="B21150" s="2">
        <v>1667</v>
      </c>
      <c r="C21150" s="4" t="str">
        <f>HYPERLINK("http://www.uniprot.org/uniprot/M5WQ50","M5WQ50")</f>
        <v>M5WQ50</v>
      </c>
      <c r="D21150" s="2" t="s">
        <v>15843</v>
      </c>
      <c r="E21150" s="3">
        <v>3.9300000000000004E-40</v>
      </c>
      <c r="F21150" s="2">
        <v>387</v>
      </c>
      <c r="G21150" s="2">
        <v>95</v>
      </c>
      <c r="H21150" s="2">
        <v>76</v>
      </c>
      <c r="I21150" s="2">
        <v>217</v>
      </c>
      <c r="J21150" s="2">
        <v>444</v>
      </c>
      <c r="K21150" s="2">
        <v>1</v>
      </c>
      <c r="L21150" s="2">
        <v>76</v>
      </c>
    </row>
    <row r="21151" spans="1:12" x14ac:dyDescent="0.25">
      <c r="A21151" s="4" t="str">
        <f>HYPERLINK("http://www.rosaceae.org/Prunus/Prunus_persica/p.persica_gdr_reftransV1_0025978","p.persica_gdr_reftransV1_0025978")</f>
        <v>p.persica_gdr_reftransV1_0025978</v>
      </c>
      <c r="B21151" s="2">
        <v>2587</v>
      </c>
      <c r="C21151" s="4" t="str">
        <f>HYPERLINK("http://www.uniprot.org/uniprot/M5VU38","M5VU38")</f>
        <v>M5VU38</v>
      </c>
      <c r="D21151" s="2" t="s">
        <v>15844</v>
      </c>
      <c r="E21151" s="3">
        <v>8.0099999999999998E-49</v>
      </c>
      <c r="F21151" s="2">
        <v>457</v>
      </c>
      <c r="G21151" s="2">
        <v>100</v>
      </c>
      <c r="H21151" s="2">
        <v>85</v>
      </c>
      <c r="I21151" s="2">
        <v>591</v>
      </c>
      <c r="J21151" s="2">
        <v>845</v>
      </c>
      <c r="K21151" s="2">
        <v>83</v>
      </c>
      <c r="L21151" s="2">
        <v>167</v>
      </c>
    </row>
    <row r="21152" spans="1:12" x14ac:dyDescent="0.25">
      <c r="A21152" s="4" t="str">
        <f>HYPERLINK("http://www.rosaceae.org/Prunus/Prunus_persica/p.persica_gdr_reftransV1_0027378","p.persica_gdr_reftransV1_0027378")</f>
        <v>p.persica_gdr_reftransV1_0027378</v>
      </c>
      <c r="B21152" s="2">
        <v>1094</v>
      </c>
      <c r="C21152" s="4" t="str">
        <f>HYPERLINK("http://www.uniprot.org/uniprot/M5WD48","M5WD48")</f>
        <v>M5WD48</v>
      </c>
      <c r="D21152" s="2" t="s">
        <v>15845</v>
      </c>
      <c r="E21152" s="3">
        <v>1.8499999999999999E-81</v>
      </c>
      <c r="F21152" s="2">
        <v>658</v>
      </c>
      <c r="G21152" s="2">
        <v>93</v>
      </c>
      <c r="H21152" s="2">
        <v>133</v>
      </c>
      <c r="I21152" s="2">
        <v>433</v>
      </c>
      <c r="J21152" s="2">
        <v>831</v>
      </c>
      <c r="K21152" s="2">
        <v>41</v>
      </c>
      <c r="L21152" s="2">
        <v>173</v>
      </c>
    </row>
    <row r="21153" spans="1:12" x14ac:dyDescent="0.25">
      <c r="A21153" s="4" t="str">
        <f>HYPERLINK("http://www.rosaceae.org/Prunus/Prunus_persica/p.persica_gdr_reftransV1_0028428","p.persica_gdr_reftransV1_0028428")</f>
        <v>p.persica_gdr_reftransV1_0028428</v>
      </c>
      <c r="B21153" s="2">
        <v>2467</v>
      </c>
      <c r="C21153" s="4" t="str">
        <f>HYPERLINK("http://www.uniprot.org/uniprot/M5XWH9","M5XWH9")</f>
        <v>M5XWH9</v>
      </c>
      <c r="D21153" s="2" t="s">
        <v>15846</v>
      </c>
      <c r="E21153" s="3">
        <v>0</v>
      </c>
      <c r="F21153" s="2">
        <v>1933</v>
      </c>
      <c r="G21153" s="2">
        <v>97</v>
      </c>
      <c r="H21153" s="2">
        <v>465</v>
      </c>
      <c r="I21153" s="2">
        <v>924</v>
      </c>
      <c r="J21153" s="2">
        <v>2297</v>
      </c>
      <c r="K21153" s="2">
        <v>1</v>
      </c>
      <c r="L21153" s="2">
        <v>465</v>
      </c>
    </row>
    <row r="21154" spans="1:12" x14ac:dyDescent="0.25">
      <c r="A21154" s="4" t="str">
        <f>HYPERLINK("http://www.rosaceae.org/Prunus/Prunus_persica/p.persica_gdr_reftransV1_0030528","p.persica_gdr_reftransV1_0030528")</f>
        <v>p.persica_gdr_reftransV1_0030528</v>
      </c>
      <c r="B21154" s="2">
        <v>2516</v>
      </c>
      <c r="C21154" s="4" t="str">
        <f>HYPERLINK("http://www.uniprot.org/uniprot/M5VWJ7","M5VWJ7")</f>
        <v>M5VWJ7</v>
      </c>
      <c r="D21154" s="2" t="s">
        <v>5946</v>
      </c>
      <c r="E21154" s="3">
        <v>0</v>
      </c>
      <c r="F21154" s="2">
        <v>3049</v>
      </c>
      <c r="G21154" s="2">
        <v>100</v>
      </c>
      <c r="H21154" s="2">
        <v>595</v>
      </c>
      <c r="I21154" s="2">
        <v>666</v>
      </c>
      <c r="J21154" s="2">
        <v>2450</v>
      </c>
      <c r="K21154" s="2">
        <v>1</v>
      </c>
      <c r="L21154" s="2">
        <v>595</v>
      </c>
    </row>
    <row r="21155" spans="1:12" x14ac:dyDescent="0.25">
      <c r="A21155" s="4" t="str">
        <f>HYPERLINK("http://www.rosaceae.org/Prunus/Prunus_persica/p.persica_gdr_reftransV1_0034378","p.persica_gdr_reftransV1_0034378")</f>
        <v>p.persica_gdr_reftransV1_0034378</v>
      </c>
      <c r="B21155" s="2">
        <v>2215</v>
      </c>
      <c r="C21155" s="4" t="str">
        <f>HYPERLINK("http://www.uniprot.org/uniprot/M5W488","M5W488")</f>
        <v>M5W488</v>
      </c>
      <c r="D21155" s="2" t="s">
        <v>15847</v>
      </c>
      <c r="E21155" s="3">
        <v>0</v>
      </c>
      <c r="F21155" s="2">
        <v>1819</v>
      </c>
      <c r="G21155" s="2">
        <v>99</v>
      </c>
      <c r="H21155" s="2">
        <v>358</v>
      </c>
      <c r="I21155" s="2">
        <v>130</v>
      </c>
      <c r="J21155" s="2">
        <v>1203</v>
      </c>
      <c r="K21155" s="2">
        <v>1</v>
      </c>
      <c r="L21155" s="2">
        <v>358</v>
      </c>
    </row>
    <row r="21156" spans="1:12" x14ac:dyDescent="0.25">
      <c r="A21156" s="4" t="str">
        <f>HYPERLINK("http://www.rosaceae.org/Prunus/Prunus_persica/p.persica_gdr_reftransV1_0035078","p.persica_gdr_reftransV1_0035078")</f>
        <v>p.persica_gdr_reftransV1_0035078</v>
      </c>
      <c r="B21156" s="2">
        <v>3145</v>
      </c>
      <c r="C21156" s="4" t="str">
        <f>HYPERLINK("http://www.uniprot.org/uniprot/M5X703","M5X703")</f>
        <v>M5X703</v>
      </c>
      <c r="D21156" s="2" t="s">
        <v>15848</v>
      </c>
      <c r="E21156" s="3">
        <v>0</v>
      </c>
      <c r="F21156" s="2">
        <v>2415</v>
      </c>
      <c r="G21156" s="2">
        <v>100</v>
      </c>
      <c r="H21156" s="2">
        <v>451</v>
      </c>
      <c r="I21156" s="2">
        <v>287</v>
      </c>
      <c r="J21156" s="2">
        <v>1639</v>
      </c>
      <c r="K21156" s="2">
        <v>197</v>
      </c>
      <c r="L21156" s="2">
        <v>647</v>
      </c>
    </row>
    <row r="21157" spans="1:12" x14ac:dyDescent="0.25">
      <c r="A21157" s="4" t="str">
        <f>HYPERLINK("http://www.rosaceae.org/Prunus/Prunus_persica/p.persica_gdr_reftransV1_0037528","p.persica_gdr_reftransV1_0037528")</f>
        <v>p.persica_gdr_reftransV1_0037528</v>
      </c>
      <c r="B21157" s="2">
        <v>1506</v>
      </c>
      <c r="C21157" s="4" t="str">
        <f>HYPERLINK("http://www.uniprot.org/uniprot/M5Y4W5","M5Y4W5")</f>
        <v>M5Y4W5</v>
      </c>
      <c r="D21157" s="2" t="s">
        <v>15849</v>
      </c>
      <c r="E21157" s="3">
        <v>0</v>
      </c>
      <c r="F21157" s="2">
        <v>2172</v>
      </c>
      <c r="G21157" s="2">
        <v>100</v>
      </c>
      <c r="H21157" s="2">
        <v>416</v>
      </c>
      <c r="I21157" s="2">
        <v>196</v>
      </c>
      <c r="J21157" s="2">
        <v>1443</v>
      </c>
      <c r="K21157" s="2">
        <v>1</v>
      </c>
      <c r="L21157" s="2">
        <v>416</v>
      </c>
    </row>
    <row r="21158" spans="1:12" x14ac:dyDescent="0.25">
      <c r="A21158" s="4" t="str">
        <f>HYPERLINK("http://www.rosaceae.org/Prunus/Prunus_persica/p.persica_gdr_reftransV1_0037878","p.persica_gdr_reftransV1_0037878")</f>
        <v>p.persica_gdr_reftransV1_0037878</v>
      </c>
      <c r="B21158" s="2">
        <v>1860</v>
      </c>
      <c r="C21158" s="4" t="str">
        <f>HYPERLINK("http://www.uniprot.org/uniprot/M5WNM1","M5WNM1")</f>
        <v>M5WNM1</v>
      </c>
      <c r="D21158" s="2" t="s">
        <v>15850</v>
      </c>
      <c r="E21158" s="3">
        <v>6.1699999999999999E-126</v>
      </c>
      <c r="F21158" s="2">
        <v>979</v>
      </c>
      <c r="G21158" s="2">
        <v>100</v>
      </c>
      <c r="H21158" s="2">
        <v>183</v>
      </c>
      <c r="I21158" s="2">
        <v>1113</v>
      </c>
      <c r="J21158" s="2">
        <v>1661</v>
      </c>
      <c r="K21158" s="2">
        <v>10</v>
      </c>
      <c r="L21158" s="2">
        <v>192</v>
      </c>
    </row>
    <row r="21159" spans="1:12" x14ac:dyDescent="0.25">
      <c r="A21159" s="4" t="str">
        <f>HYPERLINK("http://www.rosaceae.org/Prunus/Prunus_persica/p.persica_gdr_reftransV1_0039628","p.persica_gdr_reftransV1_0039628")</f>
        <v>p.persica_gdr_reftransV1_0039628</v>
      </c>
      <c r="B21159" s="2">
        <v>3046</v>
      </c>
      <c r="C21159" s="4" t="str">
        <f>HYPERLINK("http://www.uniprot.org/uniprot/M5XJL3","M5XJL3")</f>
        <v>M5XJL3</v>
      </c>
      <c r="D21159" s="2" t="s">
        <v>1708</v>
      </c>
      <c r="E21159" s="3">
        <v>0</v>
      </c>
      <c r="F21159" s="2">
        <v>2152</v>
      </c>
      <c r="G21159" s="2">
        <v>100</v>
      </c>
      <c r="H21159" s="2">
        <v>434</v>
      </c>
      <c r="I21159" s="2">
        <v>1644</v>
      </c>
      <c r="J21159" s="2">
        <v>2945</v>
      </c>
      <c r="K21159" s="2">
        <v>1</v>
      </c>
      <c r="L21159" s="2">
        <v>434</v>
      </c>
    </row>
    <row r="21160" spans="1:12" x14ac:dyDescent="0.25">
      <c r="A21160" s="4" t="str">
        <f>HYPERLINK("http://www.rosaceae.org/Prunus/Prunus_persica/p.persica_gdr_reftransV1_0039978","p.persica_gdr_reftransV1_0039978")</f>
        <v>p.persica_gdr_reftransV1_0039978</v>
      </c>
      <c r="B21160" s="2">
        <v>1303</v>
      </c>
      <c r="C21160" s="4" t="str">
        <f>HYPERLINK("http://www.uniprot.org/uniprot/D7U8W8","D7U8W8")</f>
        <v>D7U8W8</v>
      </c>
      <c r="D21160" s="2" t="s">
        <v>15851</v>
      </c>
      <c r="E21160" s="3">
        <v>7.8000000000000005E-48</v>
      </c>
      <c r="F21160" s="2">
        <v>454</v>
      </c>
      <c r="G21160" s="2">
        <v>46</v>
      </c>
      <c r="H21160" s="2">
        <v>226</v>
      </c>
      <c r="I21160" s="2">
        <v>176</v>
      </c>
      <c r="J21160" s="2">
        <v>838</v>
      </c>
      <c r="K21160" s="2">
        <v>13</v>
      </c>
      <c r="L21160" s="2">
        <v>225</v>
      </c>
    </row>
    <row r="21161" spans="1:12" x14ac:dyDescent="0.25">
      <c r="A21161" s="4" t="str">
        <f>HYPERLINK("http://www.rosaceae.org/Prunus/Prunus_persica/p.persica_gdr_reftransV1_0040328","p.persica_gdr_reftransV1_0040328")</f>
        <v>p.persica_gdr_reftransV1_0040328</v>
      </c>
      <c r="B21161" s="2">
        <v>2952</v>
      </c>
      <c r="C21161" s="4" t="str">
        <f>HYPERLINK("http://www.uniprot.org/uniprot/M5WPZ7","M5WPZ7")</f>
        <v>M5WPZ7</v>
      </c>
      <c r="D21161" s="2" t="s">
        <v>15852</v>
      </c>
      <c r="E21161" s="3">
        <v>0</v>
      </c>
      <c r="F21161" s="2">
        <v>2389</v>
      </c>
      <c r="G21161" s="2">
        <v>100</v>
      </c>
      <c r="H21161" s="2">
        <v>618</v>
      </c>
      <c r="I21161" s="2">
        <v>513</v>
      </c>
      <c r="J21161" s="2">
        <v>2366</v>
      </c>
      <c r="K21161" s="2">
        <v>1</v>
      </c>
      <c r="L21161" s="2">
        <v>618</v>
      </c>
    </row>
    <row r="21162" spans="1:12" x14ac:dyDescent="0.25">
      <c r="A21162" s="4" t="str">
        <f>HYPERLINK("http://www.rosaceae.org/Prunus/Prunus_persica/p.persica_gdr_reftransV1_0040678","p.persica_gdr_reftransV1_0040678")</f>
        <v>p.persica_gdr_reftransV1_0040678</v>
      </c>
      <c r="B21162" s="2">
        <v>2226</v>
      </c>
      <c r="C21162" s="4" t="str">
        <f>HYPERLINK("http://www.uniprot.org/uniprot/U5FHF9","U5FHF9")</f>
        <v>U5FHF9</v>
      </c>
      <c r="D21162" s="2" t="s">
        <v>15853</v>
      </c>
      <c r="E21162" s="3">
        <v>0</v>
      </c>
      <c r="F21162" s="2">
        <v>2013</v>
      </c>
      <c r="G21162" s="2">
        <v>75</v>
      </c>
      <c r="H21162" s="2">
        <v>493</v>
      </c>
      <c r="I21162" s="2">
        <v>273</v>
      </c>
      <c r="J21162" s="2">
        <v>1751</v>
      </c>
      <c r="K21162" s="2">
        <v>1</v>
      </c>
      <c r="L21162" s="2">
        <v>493</v>
      </c>
    </row>
    <row r="21163" spans="1:12" x14ac:dyDescent="0.25">
      <c r="A21163" s="4" t="str">
        <f>HYPERLINK("http://www.rosaceae.org/Prunus/Prunus_persica/p.persica_gdr_reftransV1_0043128","p.persica_gdr_reftransV1_0043128")</f>
        <v>p.persica_gdr_reftransV1_0043128</v>
      </c>
      <c r="B21163" s="2">
        <v>500</v>
      </c>
      <c r="C21163" s="4" t="str">
        <f>HYPERLINK("http://www.uniprot.org/uniprot/M5VLE5","M5VLE5")</f>
        <v>M5VLE5</v>
      </c>
      <c r="D21163" s="2" t="s">
        <v>11191</v>
      </c>
      <c r="E21163" s="3">
        <v>5.5399999999999998E-102</v>
      </c>
      <c r="F21163" s="2">
        <v>788</v>
      </c>
      <c r="G21163" s="2">
        <v>99</v>
      </c>
      <c r="H21163" s="2">
        <v>162</v>
      </c>
      <c r="I21163" s="2">
        <v>1</v>
      </c>
      <c r="J21163" s="2">
        <v>486</v>
      </c>
      <c r="K21163" s="2">
        <v>1</v>
      </c>
      <c r="L21163" s="2">
        <v>162</v>
      </c>
    </row>
    <row r="21164" spans="1:12" x14ac:dyDescent="0.25">
      <c r="A21164" s="4" t="str">
        <f>HYPERLINK("http://www.rosaceae.org/Prunus/Prunus_persica/p.persica_gdr_reftransV1_0043478","p.persica_gdr_reftransV1_0043478")</f>
        <v>p.persica_gdr_reftransV1_0043478</v>
      </c>
      <c r="B21164" s="2">
        <v>1257</v>
      </c>
      <c r="C21164" s="4" t="str">
        <f>HYPERLINK("http://www.uniprot.org/uniprot/M5XVG6","M5XVG6")</f>
        <v>M5XVG6</v>
      </c>
      <c r="D21164" s="2" t="s">
        <v>752</v>
      </c>
      <c r="E21164" s="3">
        <v>0</v>
      </c>
      <c r="F21164" s="2">
        <v>2218</v>
      </c>
      <c r="G21164" s="2">
        <v>100</v>
      </c>
      <c r="H21164" s="2">
        <v>418</v>
      </c>
      <c r="I21164" s="2">
        <v>2</v>
      </c>
      <c r="J21164" s="2">
        <v>1255</v>
      </c>
      <c r="K21164" s="2">
        <v>822</v>
      </c>
      <c r="L21164" s="2">
        <v>1239</v>
      </c>
    </row>
    <row r="21165" spans="1:12" x14ac:dyDescent="0.25">
      <c r="A21165" s="4" t="str">
        <f>HYPERLINK("http://www.rosaceae.org/Prunus/Prunus_persica/p.persica_gdr_reftransV1_0043828","p.persica_gdr_reftransV1_0043828")</f>
        <v>p.persica_gdr_reftransV1_0043828</v>
      </c>
      <c r="B21165" s="2">
        <v>408</v>
      </c>
      <c r="C21165" s="4" t="str">
        <f>HYPERLINK("http://www.uniprot.org/uniprot/W9S7H6","W9S7H6")</f>
        <v>W9S7H6</v>
      </c>
      <c r="D21165" s="2" t="s">
        <v>15854</v>
      </c>
      <c r="E21165" s="3">
        <v>1.64E-79</v>
      </c>
      <c r="F21165" s="2">
        <v>642</v>
      </c>
      <c r="G21165" s="2">
        <v>100</v>
      </c>
      <c r="H21165" s="2">
        <v>111</v>
      </c>
      <c r="I21165" s="2">
        <v>2</v>
      </c>
      <c r="J21165" s="2">
        <v>334</v>
      </c>
      <c r="K21165" s="2">
        <v>1</v>
      </c>
      <c r="L21165" s="2">
        <v>111</v>
      </c>
    </row>
    <row r="21166" spans="1:12" x14ac:dyDescent="0.25">
      <c r="A21166" s="4" t="str">
        <f>HYPERLINK("http://www.rosaceae.org/Prunus/Prunus_persica/p.persica_gdr_reftransV1_0044178","p.persica_gdr_reftransV1_0044178")</f>
        <v>p.persica_gdr_reftransV1_0044178</v>
      </c>
      <c r="B21166" s="2">
        <v>952</v>
      </c>
      <c r="C21166" s="4" t="str">
        <f>HYPERLINK("http://www.uniprot.org/uniprot/M5W316","M5W316")</f>
        <v>M5W316</v>
      </c>
      <c r="D21166" s="2" t="s">
        <v>15855</v>
      </c>
      <c r="E21166" s="3">
        <v>1.7E-103</v>
      </c>
      <c r="F21166" s="2">
        <v>804</v>
      </c>
      <c r="G21166" s="2">
        <v>100</v>
      </c>
      <c r="H21166" s="2">
        <v>219</v>
      </c>
      <c r="I21166" s="2">
        <v>186</v>
      </c>
      <c r="J21166" s="2">
        <v>842</v>
      </c>
      <c r="K21166" s="2">
        <v>1</v>
      </c>
      <c r="L21166" s="2">
        <v>219</v>
      </c>
    </row>
    <row r="21167" spans="1:12" x14ac:dyDescent="0.25">
      <c r="A21167" s="4" t="str">
        <f>HYPERLINK("http://www.rosaceae.org/Prunus/Prunus_persica/p.persica_gdr_reftransV1_0044528","p.persica_gdr_reftransV1_0044528")</f>
        <v>p.persica_gdr_reftransV1_0044528</v>
      </c>
      <c r="B21167" s="2">
        <v>1376</v>
      </c>
      <c r="C21167" s="4" t="str">
        <f>HYPERLINK("http://www.uniprot.org/uniprot/M5X1I1","M5X1I1")</f>
        <v>M5X1I1</v>
      </c>
      <c r="D21167" s="2" t="s">
        <v>15856</v>
      </c>
      <c r="E21167" s="3">
        <v>0</v>
      </c>
      <c r="F21167" s="2">
        <v>1842</v>
      </c>
      <c r="G21167" s="2">
        <v>94</v>
      </c>
      <c r="H21167" s="2">
        <v>374</v>
      </c>
      <c r="I21167" s="2">
        <v>220</v>
      </c>
      <c r="J21167" s="2">
        <v>1269</v>
      </c>
      <c r="K21167" s="2">
        <v>1</v>
      </c>
      <c r="L21167" s="2">
        <v>374</v>
      </c>
    </row>
    <row r="21168" spans="1:12" x14ac:dyDescent="0.25">
      <c r="A21168" s="4" t="str">
        <f>HYPERLINK("http://www.rosaceae.org/Prunus/Prunus_persica/p.persica_gdr_reftransV1_0044878","p.persica_gdr_reftransV1_0044878")</f>
        <v>p.persica_gdr_reftransV1_0044878</v>
      </c>
      <c r="B21168" s="2">
        <v>1726</v>
      </c>
      <c r="C21168" s="4" t="str">
        <f>HYPERLINK("http://www.uniprot.org/uniprot/M5VN25","M5VN25")</f>
        <v>M5VN25</v>
      </c>
      <c r="D21168" s="2" t="s">
        <v>9896</v>
      </c>
      <c r="E21168" s="3">
        <v>0</v>
      </c>
      <c r="F21168" s="2">
        <v>1938</v>
      </c>
      <c r="G21168" s="2">
        <v>98</v>
      </c>
      <c r="H21168" s="2">
        <v>385</v>
      </c>
      <c r="I21168" s="2">
        <v>420</v>
      </c>
      <c r="J21168" s="2">
        <v>1574</v>
      </c>
      <c r="K21168" s="2">
        <v>1</v>
      </c>
      <c r="L21168" s="2">
        <v>385</v>
      </c>
    </row>
    <row r="21169" spans="1:12" x14ac:dyDescent="0.25">
      <c r="A21169" s="4" t="str">
        <f>HYPERLINK("http://www.rosaceae.org/Prunus/Prunus_persica/p.persica_gdr_reftransV1_0045228","p.persica_gdr_reftransV1_0045228")</f>
        <v>p.persica_gdr_reftransV1_0045228</v>
      </c>
      <c r="B21169" s="2">
        <v>645</v>
      </c>
      <c r="C21169" s="4" t="str">
        <f>HYPERLINK("http://www.uniprot.org/uniprot/M5XH93","M5XH93")</f>
        <v>M5XH93</v>
      </c>
      <c r="D21169" s="2" t="s">
        <v>15857</v>
      </c>
      <c r="E21169" s="3">
        <v>7.2700000000000001E-86</v>
      </c>
      <c r="F21169" s="2">
        <v>670</v>
      </c>
      <c r="G21169" s="2">
        <v>99</v>
      </c>
      <c r="H21169" s="2">
        <v>129</v>
      </c>
      <c r="I21169" s="2">
        <v>1</v>
      </c>
      <c r="J21169" s="2">
        <v>387</v>
      </c>
      <c r="K21169" s="2">
        <v>25</v>
      </c>
      <c r="L21169" s="2">
        <v>153</v>
      </c>
    </row>
    <row r="21170" spans="1:12" x14ac:dyDescent="0.25">
      <c r="A21170" s="4" t="str">
        <f>HYPERLINK("http://www.rosaceae.org/Prunus/Prunus_persica/p.persica_gdr_reftransV1_0045578","p.persica_gdr_reftransV1_0045578")</f>
        <v>p.persica_gdr_reftransV1_0045578</v>
      </c>
      <c r="B21170" s="2">
        <v>822</v>
      </c>
      <c r="C21170" s="4" t="str">
        <f>HYPERLINK("http://www.uniprot.org/uniprot/M5WSR9","M5WSR9")</f>
        <v>M5WSR9</v>
      </c>
      <c r="D21170" s="2" t="s">
        <v>15858</v>
      </c>
      <c r="E21170" s="3">
        <v>1.6499999999999999E-151</v>
      </c>
      <c r="F21170" s="2">
        <v>1117</v>
      </c>
      <c r="G21170" s="2">
        <v>100</v>
      </c>
      <c r="H21170" s="2">
        <v>233</v>
      </c>
      <c r="I21170" s="2">
        <v>71</v>
      </c>
      <c r="J21170" s="2">
        <v>769</v>
      </c>
      <c r="K21170" s="2">
        <v>1</v>
      </c>
      <c r="L21170" s="2">
        <v>233</v>
      </c>
    </row>
    <row r="21171" spans="1:12" x14ac:dyDescent="0.25">
      <c r="A21171" s="4" t="str">
        <f>HYPERLINK("http://www.rosaceae.org/Prunus/Prunus_persica/p.persica_gdr_reftransV1_0046278","p.persica_gdr_reftransV1_0046278")</f>
        <v>p.persica_gdr_reftransV1_0046278</v>
      </c>
      <c r="B21171" s="2">
        <v>2504</v>
      </c>
      <c r="C21171" s="4" t="str">
        <f>HYPERLINK("http://www.uniprot.org/uniprot/M5VTY9","M5VTY9")</f>
        <v>M5VTY9</v>
      </c>
      <c r="D21171" s="2" t="s">
        <v>15859</v>
      </c>
      <c r="E21171" s="3">
        <v>0</v>
      </c>
      <c r="F21171" s="2">
        <v>2862</v>
      </c>
      <c r="G21171" s="2">
        <v>100</v>
      </c>
      <c r="H21171" s="2">
        <v>534</v>
      </c>
      <c r="I21171" s="2">
        <v>450</v>
      </c>
      <c r="J21171" s="2">
        <v>2051</v>
      </c>
      <c r="K21171" s="2">
        <v>1</v>
      </c>
      <c r="L21171" s="2">
        <v>534</v>
      </c>
    </row>
    <row r="21172" spans="1:12" x14ac:dyDescent="0.25">
      <c r="A21172" s="4" t="str">
        <f>HYPERLINK("http://www.rosaceae.org/Prunus/Prunus_persica/p.persica_gdr_reftransV1_0046978","p.persica_gdr_reftransV1_0046978")</f>
        <v>p.persica_gdr_reftransV1_0046978</v>
      </c>
      <c r="B21172" s="2">
        <v>1093</v>
      </c>
      <c r="C21172" s="4" t="str">
        <f>HYPERLINK("http://www.uniprot.org/uniprot/K7KRJ2","K7KRJ2")</f>
        <v>K7KRJ2</v>
      </c>
      <c r="D21172" s="2" t="s">
        <v>575</v>
      </c>
      <c r="E21172" s="3">
        <v>7.5900000000000001E-145</v>
      </c>
      <c r="F21172" s="2">
        <v>1083</v>
      </c>
      <c r="G21172" s="2">
        <v>91</v>
      </c>
      <c r="H21172" s="2">
        <v>234</v>
      </c>
      <c r="I21172" s="2">
        <v>93</v>
      </c>
      <c r="J21172" s="2">
        <v>794</v>
      </c>
      <c r="K21172" s="2">
        <v>1</v>
      </c>
      <c r="L21172" s="2">
        <v>234</v>
      </c>
    </row>
    <row r="21173" spans="1:12" x14ac:dyDescent="0.25">
      <c r="A21173" s="4" t="str">
        <f>HYPERLINK("http://www.rosaceae.org/Prunus/Prunus_persica/p.persica_gdr_reftransV1_0047328","p.persica_gdr_reftransV1_0047328")</f>
        <v>p.persica_gdr_reftransV1_0047328</v>
      </c>
      <c r="B21173" s="2">
        <v>312</v>
      </c>
      <c r="C21173" s="4" t="str">
        <f>HYPERLINK("http://www.uniprot.org/uniprot/M5WYN7","M5WYN7")</f>
        <v>M5WYN7</v>
      </c>
      <c r="D21173" s="2" t="s">
        <v>6991</v>
      </c>
      <c r="E21173" s="3">
        <v>8.2699999999999995E-31</v>
      </c>
      <c r="F21173" s="2">
        <v>296</v>
      </c>
      <c r="G21173" s="2">
        <v>100</v>
      </c>
      <c r="H21173" s="2">
        <v>56</v>
      </c>
      <c r="I21173" s="2">
        <v>34</v>
      </c>
      <c r="J21173" s="2">
        <v>201</v>
      </c>
      <c r="K21173" s="2">
        <v>1</v>
      </c>
      <c r="L21173" s="2">
        <v>56</v>
      </c>
    </row>
    <row r="21174" spans="1:12" x14ac:dyDescent="0.25">
      <c r="A21174" s="4" t="str">
        <f>HYPERLINK("http://www.rosaceae.org/Prunus/Prunus_persica/p.persica_gdr_reftransV1_0047678","p.persica_gdr_reftransV1_0047678")</f>
        <v>p.persica_gdr_reftransV1_0047678</v>
      </c>
      <c r="B21174" s="2">
        <v>2302</v>
      </c>
      <c r="C21174" s="4" t="str">
        <f>HYPERLINK("http://www.uniprot.org/uniprot/M5W6M2","M5W6M2")</f>
        <v>M5W6M2</v>
      </c>
      <c r="D21174" s="2" t="s">
        <v>8485</v>
      </c>
      <c r="E21174" s="3">
        <v>0</v>
      </c>
      <c r="F21174" s="2">
        <v>3254</v>
      </c>
      <c r="G21174" s="2">
        <v>100</v>
      </c>
      <c r="H21174" s="2">
        <v>621</v>
      </c>
      <c r="I21174" s="2">
        <v>307</v>
      </c>
      <c r="J21174" s="2">
        <v>2169</v>
      </c>
      <c r="K21174" s="2">
        <v>1</v>
      </c>
      <c r="L21174" s="2">
        <v>621</v>
      </c>
    </row>
    <row r="21175" spans="1:12" x14ac:dyDescent="0.25">
      <c r="A21175" s="4" t="str">
        <f>HYPERLINK("http://www.rosaceae.org/Prunus/Prunus_persica/p.persica_gdr_reftransV1_0048028","p.persica_gdr_reftransV1_0048028")</f>
        <v>p.persica_gdr_reftransV1_0048028</v>
      </c>
      <c r="B21175" s="2">
        <v>714</v>
      </c>
      <c r="C21175" s="4" t="str">
        <f>HYPERLINK("http://www.uniprot.org/uniprot/M5Y0Z5","M5Y0Z5")</f>
        <v>M5Y0Z5</v>
      </c>
      <c r="D21175" s="2" t="s">
        <v>15860</v>
      </c>
      <c r="E21175" s="3">
        <v>9.7800000000000003E-130</v>
      </c>
      <c r="F21175" s="2">
        <v>967</v>
      </c>
      <c r="G21175" s="2">
        <v>100</v>
      </c>
      <c r="H21175" s="2">
        <v>184</v>
      </c>
      <c r="I21175" s="2">
        <v>2</v>
      </c>
      <c r="J21175" s="2">
        <v>553</v>
      </c>
      <c r="K21175" s="2">
        <v>1</v>
      </c>
      <c r="L21175" s="2">
        <v>184</v>
      </c>
    </row>
    <row r="21176" spans="1:12" x14ac:dyDescent="0.25">
      <c r="A21176" s="4" t="str">
        <f>HYPERLINK("http://www.rosaceae.org/Prunus/Prunus_persica/p.persica_gdr_reftransV1_0048378","p.persica_gdr_reftransV1_0048378")</f>
        <v>p.persica_gdr_reftransV1_0048378</v>
      </c>
      <c r="B21176" s="2">
        <v>2101</v>
      </c>
      <c r="C21176" s="4" t="str">
        <f>HYPERLINK("http://www.uniprot.org/uniprot/M5WVH3","M5WVH3")</f>
        <v>M5WVH3</v>
      </c>
      <c r="D21176" s="2" t="s">
        <v>13319</v>
      </c>
      <c r="E21176" s="3">
        <v>6.7400000000000003E-121</v>
      </c>
      <c r="F21176" s="2">
        <v>950</v>
      </c>
      <c r="G21176" s="2">
        <v>100</v>
      </c>
      <c r="H21176" s="2">
        <v>178</v>
      </c>
      <c r="I21176" s="2">
        <v>307</v>
      </c>
      <c r="J21176" s="2">
        <v>840</v>
      </c>
      <c r="K21176" s="2">
        <v>1</v>
      </c>
      <c r="L21176" s="2">
        <v>178</v>
      </c>
    </row>
    <row r="21177" spans="1:12" x14ac:dyDescent="0.25">
      <c r="A21177" s="4" t="str">
        <f>HYPERLINK("http://www.rosaceae.org/Prunus/Prunus_persica/p.persica_gdr_reftransV1_0048728","p.persica_gdr_reftransV1_0048728")</f>
        <v>p.persica_gdr_reftransV1_0048728</v>
      </c>
      <c r="B21177" s="2">
        <v>1807</v>
      </c>
      <c r="C21177" s="4" t="str">
        <f>HYPERLINK("http://www.uniprot.org/uniprot/M5WZC9","M5WZC9")</f>
        <v>M5WZC9</v>
      </c>
      <c r="D21177" s="2" t="s">
        <v>15861</v>
      </c>
      <c r="E21177" s="3">
        <v>0</v>
      </c>
      <c r="F21177" s="2">
        <v>2386</v>
      </c>
      <c r="G21177" s="2">
        <v>100</v>
      </c>
      <c r="H21177" s="2">
        <v>471</v>
      </c>
      <c r="I21177" s="2">
        <v>75</v>
      </c>
      <c r="J21177" s="2">
        <v>1487</v>
      </c>
      <c r="K21177" s="2">
        <v>1</v>
      </c>
      <c r="L21177" s="2">
        <v>471</v>
      </c>
    </row>
    <row r="21178" spans="1:12" x14ac:dyDescent="0.25">
      <c r="A21178" s="4" t="str">
        <f>HYPERLINK("http://www.rosaceae.org/Prunus/Prunus_persica/p.persica_gdr_reftransV1_0049078","p.persica_gdr_reftransV1_0049078")</f>
        <v>p.persica_gdr_reftransV1_0049078</v>
      </c>
      <c r="B21178" s="2">
        <v>5689</v>
      </c>
      <c r="C21178" s="4" t="str">
        <f>HYPERLINK("http://www.uniprot.org/uniprot/M5XM04","M5XM04")</f>
        <v>M5XM04</v>
      </c>
      <c r="D21178" s="2" t="s">
        <v>15862</v>
      </c>
      <c r="E21178" s="3">
        <v>0</v>
      </c>
      <c r="F21178" s="2">
        <v>4099</v>
      </c>
      <c r="G21178" s="2">
        <v>100</v>
      </c>
      <c r="H21178" s="2">
        <v>789</v>
      </c>
      <c r="I21178" s="2">
        <v>2934</v>
      </c>
      <c r="J21178" s="2">
        <v>5300</v>
      </c>
      <c r="K21178" s="2">
        <v>1</v>
      </c>
      <c r="L21178" s="2">
        <v>789</v>
      </c>
    </row>
    <row r="21179" spans="1:12" x14ac:dyDescent="0.25">
      <c r="A21179" s="4" t="str">
        <f>HYPERLINK("http://www.rosaceae.org/Prunus/Prunus_persica/p.persica_gdr_reftransV1_0000079","p.persica_gdr_reftransV1_0000079")</f>
        <v>p.persica_gdr_reftransV1_0000079</v>
      </c>
      <c r="B21179" s="2">
        <v>743</v>
      </c>
      <c r="C21179" s="4" t="str">
        <f>HYPERLINK("http://www.uniprot.org/uniprot/M5WKD1","M5WKD1")</f>
        <v>M5WKD1</v>
      </c>
      <c r="D21179" s="2" t="s">
        <v>4607</v>
      </c>
      <c r="E21179" s="3">
        <v>2.1300000000000001E-86</v>
      </c>
      <c r="F21179" s="2">
        <v>677</v>
      </c>
      <c r="G21179" s="2">
        <v>100</v>
      </c>
      <c r="H21179" s="2">
        <v>154</v>
      </c>
      <c r="I21179" s="2">
        <v>89</v>
      </c>
      <c r="J21179" s="2">
        <v>550</v>
      </c>
      <c r="K21179" s="2">
        <v>1</v>
      </c>
      <c r="L21179" s="2">
        <v>154</v>
      </c>
    </row>
    <row r="21180" spans="1:12" x14ac:dyDescent="0.25">
      <c r="A21180" s="4" t="str">
        <f>HYPERLINK("http://www.rosaceae.org/Prunus/Prunus_persica/p.persica_gdr_reftransV1_0000429","p.persica_gdr_reftransV1_0000429")</f>
        <v>p.persica_gdr_reftransV1_0000429</v>
      </c>
      <c r="B21180" s="2">
        <v>1525</v>
      </c>
      <c r="C21180" s="4" t="str">
        <f>HYPERLINK("http://www.uniprot.org/uniprot/M5XQM5","M5XQM5")</f>
        <v>M5XQM5</v>
      </c>
      <c r="D21180" s="2" t="s">
        <v>15863</v>
      </c>
      <c r="E21180" s="3">
        <v>0</v>
      </c>
      <c r="F21180" s="2">
        <v>2015</v>
      </c>
      <c r="G21180" s="2">
        <v>98</v>
      </c>
      <c r="H21180" s="2">
        <v>391</v>
      </c>
      <c r="I21180" s="2">
        <v>102</v>
      </c>
      <c r="J21180" s="2">
        <v>1274</v>
      </c>
      <c r="K21180" s="2">
        <v>1</v>
      </c>
      <c r="L21180" s="2">
        <v>383</v>
      </c>
    </row>
    <row r="21181" spans="1:12" x14ac:dyDescent="0.25">
      <c r="A21181" s="4" t="str">
        <f>HYPERLINK("http://www.rosaceae.org/Prunus/Prunus_persica/p.persica_gdr_reftransV1_0000779","p.persica_gdr_reftransV1_0000779")</f>
        <v>p.persica_gdr_reftransV1_0000779</v>
      </c>
      <c r="B21181" s="2">
        <v>1292</v>
      </c>
      <c r="C21181" s="4" t="str">
        <f>HYPERLINK("http://www.uniprot.org/uniprot/M5VZS1","M5VZS1")</f>
        <v>M5VZS1</v>
      </c>
      <c r="D21181" s="2" t="s">
        <v>5222</v>
      </c>
      <c r="E21181" s="3">
        <v>8.3200000000000001E-162</v>
      </c>
      <c r="F21181" s="2">
        <v>1204</v>
      </c>
      <c r="G21181" s="2">
        <v>100</v>
      </c>
      <c r="H21181" s="2">
        <v>225</v>
      </c>
      <c r="I21181" s="2">
        <v>451</v>
      </c>
      <c r="J21181" s="2">
        <v>1125</v>
      </c>
      <c r="K21181" s="2">
        <v>1</v>
      </c>
      <c r="L21181" s="2">
        <v>225</v>
      </c>
    </row>
    <row r="21182" spans="1:12" x14ac:dyDescent="0.25">
      <c r="A21182" s="4" t="str">
        <f>HYPERLINK("http://www.rosaceae.org/Prunus/Prunus_persica/p.persica_gdr_reftransV1_0001479","p.persica_gdr_reftransV1_0001479")</f>
        <v>p.persica_gdr_reftransV1_0001479</v>
      </c>
      <c r="B21182" s="2">
        <v>2165</v>
      </c>
      <c r="C21182" s="4" t="str">
        <f>HYPERLINK("http://www.uniprot.org/uniprot/M5W6N6","M5W6N6")</f>
        <v>M5W6N6</v>
      </c>
      <c r="D21182" s="2" t="s">
        <v>15864</v>
      </c>
      <c r="E21182" s="3">
        <v>0</v>
      </c>
      <c r="F21182" s="2">
        <v>2373</v>
      </c>
      <c r="G21182" s="2">
        <v>90</v>
      </c>
      <c r="H21182" s="2">
        <v>546</v>
      </c>
      <c r="I21182" s="2">
        <v>361</v>
      </c>
      <c r="J21182" s="2">
        <v>1932</v>
      </c>
      <c r="K21182" s="2">
        <v>1</v>
      </c>
      <c r="L21182" s="2">
        <v>543</v>
      </c>
    </row>
    <row r="21183" spans="1:12" x14ac:dyDescent="0.25">
      <c r="A21183" s="4" t="str">
        <f>HYPERLINK("http://www.rosaceae.org/Prunus/Prunus_persica/p.persica_gdr_reftransV1_0001829","p.persica_gdr_reftransV1_0001829")</f>
        <v>p.persica_gdr_reftransV1_0001829</v>
      </c>
      <c r="B21183" s="2">
        <v>454</v>
      </c>
      <c r="C21183" s="4" t="str">
        <f>HYPERLINK("http://www.uniprot.org/uniprot/M5WNX3","M5WNX3")</f>
        <v>M5WNX3</v>
      </c>
      <c r="D21183" s="2" t="s">
        <v>15865</v>
      </c>
      <c r="E21183" s="3">
        <v>1.28E-48</v>
      </c>
      <c r="F21183" s="2">
        <v>445</v>
      </c>
      <c r="G21183" s="2">
        <v>100</v>
      </c>
      <c r="H21183" s="2">
        <v>84</v>
      </c>
      <c r="I21183" s="2">
        <v>202</v>
      </c>
      <c r="J21183" s="2">
        <v>453</v>
      </c>
      <c r="K21183" s="2">
        <v>1</v>
      </c>
      <c r="L21183" s="2">
        <v>84</v>
      </c>
    </row>
    <row r="21184" spans="1:12" x14ac:dyDescent="0.25">
      <c r="A21184" s="4" t="str">
        <f>HYPERLINK("http://www.rosaceae.org/Prunus/Prunus_persica/p.persica_gdr_reftransV1_0002179","p.persica_gdr_reftransV1_0002179")</f>
        <v>p.persica_gdr_reftransV1_0002179</v>
      </c>
      <c r="B21184" s="2">
        <v>1403</v>
      </c>
      <c r="C21184" s="4" t="str">
        <f>HYPERLINK("http://www.uniprot.org/uniprot/M5XGG1","M5XGG1")</f>
        <v>M5XGG1</v>
      </c>
      <c r="D21184" s="2" t="s">
        <v>15866</v>
      </c>
      <c r="E21184" s="3">
        <v>0</v>
      </c>
      <c r="F21184" s="2">
        <v>1972</v>
      </c>
      <c r="G21184" s="2">
        <v>100</v>
      </c>
      <c r="H21184" s="2">
        <v>367</v>
      </c>
      <c r="I21184" s="2">
        <v>70</v>
      </c>
      <c r="J21184" s="2">
        <v>1170</v>
      </c>
      <c r="K21184" s="2">
        <v>1</v>
      </c>
      <c r="L21184" s="2">
        <v>367</v>
      </c>
    </row>
    <row r="21185" spans="1:12" x14ac:dyDescent="0.25">
      <c r="A21185" s="4" t="str">
        <f>HYPERLINK("http://www.rosaceae.org/Prunus/Prunus_persica/p.persica_gdr_reftransV1_0002529","p.persica_gdr_reftransV1_0002529")</f>
        <v>p.persica_gdr_reftransV1_0002529</v>
      </c>
      <c r="B21185" s="2">
        <v>1802</v>
      </c>
      <c r="C21185" s="4" t="str">
        <f>HYPERLINK("http://www.uniprot.org/uniprot/M5VZ25","M5VZ25")</f>
        <v>M5VZ25</v>
      </c>
      <c r="D21185" s="2" t="s">
        <v>15867</v>
      </c>
      <c r="E21185" s="3">
        <v>5.4400000000000003E-159</v>
      </c>
      <c r="F21185" s="2">
        <v>1212</v>
      </c>
      <c r="G21185" s="2">
        <v>94</v>
      </c>
      <c r="H21185" s="2">
        <v>352</v>
      </c>
      <c r="I21185" s="2">
        <v>612</v>
      </c>
      <c r="J21185" s="2">
        <v>1667</v>
      </c>
      <c r="K21185" s="2">
        <v>12</v>
      </c>
      <c r="L21185" s="2">
        <v>341</v>
      </c>
    </row>
    <row r="21186" spans="1:12" x14ac:dyDescent="0.25">
      <c r="A21186" s="4" t="str">
        <f>HYPERLINK("http://www.rosaceae.org/Prunus/Prunus_persica/p.persica_gdr_reftransV1_0002879","p.persica_gdr_reftransV1_0002879")</f>
        <v>p.persica_gdr_reftransV1_0002879</v>
      </c>
      <c r="B21186" s="2">
        <v>873</v>
      </c>
      <c r="C21186" s="4" t="str">
        <f>HYPERLINK("http://www.uniprot.org/uniprot/M5X3Q9","M5X3Q9")</f>
        <v>M5X3Q9</v>
      </c>
      <c r="D21186" s="2" t="s">
        <v>4722</v>
      </c>
      <c r="E21186" s="3">
        <v>1.34E-146</v>
      </c>
      <c r="F21186" s="2">
        <v>1142</v>
      </c>
      <c r="G21186" s="2">
        <v>100</v>
      </c>
      <c r="H21186" s="2">
        <v>212</v>
      </c>
      <c r="I21186" s="2">
        <v>1</v>
      </c>
      <c r="J21186" s="2">
        <v>636</v>
      </c>
      <c r="K21186" s="2">
        <v>1</v>
      </c>
      <c r="L21186" s="2">
        <v>212</v>
      </c>
    </row>
    <row r="21187" spans="1:12" x14ac:dyDescent="0.25">
      <c r="A21187" s="4" t="str">
        <f>HYPERLINK("http://www.rosaceae.org/Prunus/Prunus_persica/p.persica_gdr_reftransV1_0003579","p.persica_gdr_reftransV1_0003579")</f>
        <v>p.persica_gdr_reftransV1_0003579</v>
      </c>
      <c r="B21187" s="2">
        <v>589</v>
      </c>
      <c r="C21187" s="4" t="str">
        <f>HYPERLINK("http://www.uniprot.org/uniprot/M5VRM7","M5VRM7")</f>
        <v>M5VRM7</v>
      </c>
      <c r="D21187" s="2" t="s">
        <v>15868</v>
      </c>
      <c r="E21187" s="3">
        <v>7.13E-109</v>
      </c>
      <c r="F21187" s="2">
        <v>830</v>
      </c>
      <c r="G21187" s="2">
        <v>99</v>
      </c>
      <c r="H21187" s="2">
        <v>159</v>
      </c>
      <c r="I21187" s="2">
        <v>3</v>
      </c>
      <c r="J21187" s="2">
        <v>479</v>
      </c>
      <c r="K21187" s="2">
        <v>103</v>
      </c>
      <c r="L21187" s="2">
        <v>261</v>
      </c>
    </row>
    <row r="21188" spans="1:12" x14ac:dyDescent="0.25">
      <c r="A21188" s="4" t="str">
        <f>HYPERLINK("http://www.rosaceae.org/Prunus/Prunus_persica/p.persica_gdr_reftransV1_0003929","p.persica_gdr_reftransV1_0003929")</f>
        <v>p.persica_gdr_reftransV1_0003929</v>
      </c>
      <c r="B21188" s="2">
        <v>1949</v>
      </c>
      <c r="C21188" s="4" t="str">
        <f>HYPERLINK("http://www.uniprot.org/uniprot/M5XEP7","M5XEP7")</f>
        <v>M5XEP7</v>
      </c>
      <c r="D21188" s="2" t="s">
        <v>2291</v>
      </c>
      <c r="E21188" s="3">
        <v>0</v>
      </c>
      <c r="F21188" s="2">
        <v>2047</v>
      </c>
      <c r="G21188" s="2">
        <v>100</v>
      </c>
      <c r="H21188" s="2">
        <v>409</v>
      </c>
      <c r="I21188" s="2">
        <v>325</v>
      </c>
      <c r="J21188" s="2">
        <v>1551</v>
      </c>
      <c r="K21188" s="2">
        <v>1</v>
      </c>
      <c r="L21188" s="2">
        <v>409</v>
      </c>
    </row>
    <row r="21189" spans="1:12" x14ac:dyDescent="0.25">
      <c r="A21189" s="4" t="str">
        <f>HYPERLINK("http://www.rosaceae.org/Prunus/Prunus_persica/p.persica_gdr_reftransV1_0004279","p.persica_gdr_reftransV1_0004279")</f>
        <v>p.persica_gdr_reftransV1_0004279</v>
      </c>
      <c r="B21189" s="2">
        <v>3031</v>
      </c>
      <c r="C21189" s="4" t="str">
        <f>HYPERLINK("http://www.uniprot.org/uniprot/M5VMH7","M5VMH7")</f>
        <v>M5VMH7</v>
      </c>
      <c r="D21189" s="2" t="s">
        <v>10315</v>
      </c>
      <c r="E21189" s="3">
        <v>0</v>
      </c>
      <c r="F21189" s="2">
        <v>3297</v>
      </c>
      <c r="G21189" s="2">
        <v>97</v>
      </c>
      <c r="H21189" s="2">
        <v>782</v>
      </c>
      <c r="I21189" s="2">
        <v>124</v>
      </c>
      <c r="J21189" s="2">
        <v>2439</v>
      </c>
      <c r="K21189" s="2">
        <v>1</v>
      </c>
      <c r="L21189" s="2">
        <v>772</v>
      </c>
    </row>
    <row r="21190" spans="1:12" x14ac:dyDescent="0.25">
      <c r="A21190" s="4" t="str">
        <f>HYPERLINK("http://www.rosaceae.org/Prunus/Prunus_persica/p.persica_gdr_reftransV1_0005329","p.persica_gdr_reftransV1_0005329")</f>
        <v>p.persica_gdr_reftransV1_0005329</v>
      </c>
      <c r="B21190" s="2">
        <v>2175</v>
      </c>
      <c r="C21190" s="4" t="str">
        <f>HYPERLINK("http://www.uniprot.org/uniprot/M5VY16","M5VY16")</f>
        <v>M5VY16</v>
      </c>
      <c r="D21190" s="2" t="s">
        <v>15869</v>
      </c>
      <c r="E21190" s="3">
        <v>0</v>
      </c>
      <c r="F21190" s="2">
        <v>2022</v>
      </c>
      <c r="G21190" s="2">
        <v>84</v>
      </c>
      <c r="H21190" s="2">
        <v>479</v>
      </c>
      <c r="I21190" s="2">
        <v>109</v>
      </c>
      <c r="J21190" s="2">
        <v>1545</v>
      </c>
      <c r="K21190" s="2">
        <v>361</v>
      </c>
      <c r="L21190" s="2">
        <v>787</v>
      </c>
    </row>
    <row r="21191" spans="1:12" x14ac:dyDescent="0.25">
      <c r="A21191" s="4" t="str">
        <f>HYPERLINK("http://www.rosaceae.org/Prunus/Prunus_persica/p.persica_gdr_reftransV1_0005679","p.persica_gdr_reftransV1_0005679")</f>
        <v>p.persica_gdr_reftransV1_0005679</v>
      </c>
      <c r="B21191" s="2">
        <v>673</v>
      </c>
      <c r="C21191" s="4" t="str">
        <f>HYPERLINK("http://www.uniprot.org/uniprot/M5XDX7","M5XDX7")</f>
        <v>M5XDX7</v>
      </c>
      <c r="D21191" s="2" t="s">
        <v>424</v>
      </c>
      <c r="E21191" s="3">
        <v>1.8000000000000001E-130</v>
      </c>
      <c r="F21191" s="2">
        <v>996</v>
      </c>
      <c r="G21191" s="2">
        <v>100</v>
      </c>
      <c r="H21191" s="2">
        <v>206</v>
      </c>
      <c r="I21191" s="2">
        <v>2</v>
      </c>
      <c r="J21191" s="2">
        <v>619</v>
      </c>
      <c r="K21191" s="2">
        <v>1</v>
      </c>
      <c r="L21191" s="2">
        <v>206</v>
      </c>
    </row>
    <row r="21192" spans="1:12" x14ac:dyDescent="0.25">
      <c r="A21192" s="4" t="str">
        <f>HYPERLINK("http://www.rosaceae.org/Prunus/Prunus_persica/p.persica_gdr_reftransV1_0007779","p.persica_gdr_reftransV1_0007779")</f>
        <v>p.persica_gdr_reftransV1_0007779</v>
      </c>
      <c r="B21192" s="2">
        <v>745</v>
      </c>
      <c r="C21192" s="4" t="str">
        <f>HYPERLINK("http://www.uniprot.org/uniprot/M5XMC1","M5XMC1")</f>
        <v>M5XMC1</v>
      </c>
      <c r="D21192" s="2" t="s">
        <v>15870</v>
      </c>
      <c r="E21192" s="3">
        <v>7.6399999999999997E-62</v>
      </c>
      <c r="F21192" s="2">
        <v>509</v>
      </c>
      <c r="G21192" s="2">
        <v>100</v>
      </c>
      <c r="H21192" s="2">
        <v>95</v>
      </c>
      <c r="I21192" s="2">
        <v>316</v>
      </c>
      <c r="J21192" s="2">
        <v>600</v>
      </c>
      <c r="K21192" s="2">
        <v>1</v>
      </c>
      <c r="L21192" s="2">
        <v>95</v>
      </c>
    </row>
    <row r="21193" spans="1:12" x14ac:dyDescent="0.25">
      <c r="A21193" s="4" t="str">
        <f>HYPERLINK("http://www.rosaceae.org/Prunus/Prunus_persica/p.persica_gdr_reftransV1_0008129","p.persica_gdr_reftransV1_0008129")</f>
        <v>p.persica_gdr_reftransV1_0008129</v>
      </c>
      <c r="B21193" s="2">
        <v>693</v>
      </c>
      <c r="C21193" s="4" t="str">
        <f>HYPERLINK("http://www.uniprot.org/uniprot/M5W4M0","M5W4M0")</f>
        <v>M5W4M0</v>
      </c>
      <c r="D21193" s="2" t="s">
        <v>15871</v>
      </c>
      <c r="E21193" s="3">
        <v>3.8599999999999999E-59</v>
      </c>
      <c r="F21193" s="2">
        <v>491</v>
      </c>
      <c r="G21193" s="2">
        <v>100</v>
      </c>
      <c r="H21193" s="2">
        <v>114</v>
      </c>
      <c r="I21193" s="2">
        <v>279</v>
      </c>
      <c r="J21193" s="2">
        <v>620</v>
      </c>
      <c r="K21193" s="2">
        <v>1</v>
      </c>
      <c r="L21193" s="2">
        <v>114</v>
      </c>
    </row>
    <row r="21194" spans="1:12" x14ac:dyDescent="0.25">
      <c r="A21194" s="4" t="str">
        <f>HYPERLINK("http://www.rosaceae.org/Prunus/Prunus_persica/p.persica_gdr_reftransV1_0008479","p.persica_gdr_reftransV1_0008479")</f>
        <v>p.persica_gdr_reftransV1_0008479</v>
      </c>
      <c r="B21194" s="2">
        <v>2517</v>
      </c>
      <c r="C21194" s="4" t="str">
        <f>HYPERLINK("http://www.uniprot.org/uniprot/M5Y3K0","M5Y3K0")</f>
        <v>M5Y3K0</v>
      </c>
      <c r="D21194" s="2" t="s">
        <v>11929</v>
      </c>
      <c r="E21194" s="3">
        <v>0</v>
      </c>
      <c r="F21194" s="2">
        <v>3571</v>
      </c>
      <c r="G21194" s="2">
        <v>100</v>
      </c>
      <c r="H21194" s="2">
        <v>668</v>
      </c>
      <c r="I21194" s="2">
        <v>230</v>
      </c>
      <c r="J21194" s="2">
        <v>2233</v>
      </c>
      <c r="K21194" s="2">
        <v>1</v>
      </c>
      <c r="L21194" s="2">
        <v>668</v>
      </c>
    </row>
    <row r="21195" spans="1:12" x14ac:dyDescent="0.25">
      <c r="A21195" s="4" t="str">
        <f>HYPERLINK("http://www.rosaceae.org/Prunus/Prunus_persica/p.persica_gdr_reftransV1_0008829","p.persica_gdr_reftransV1_0008829")</f>
        <v>p.persica_gdr_reftransV1_0008829</v>
      </c>
      <c r="B21195" s="2">
        <v>1688</v>
      </c>
      <c r="C21195" s="4" t="str">
        <f>HYPERLINK("http://www.uniprot.org/uniprot/M5XNA0","M5XNA0")</f>
        <v>M5XNA0</v>
      </c>
      <c r="D21195" s="2" t="s">
        <v>15872</v>
      </c>
      <c r="E21195" s="3">
        <v>1.28E-57</v>
      </c>
      <c r="F21195" s="2">
        <v>507</v>
      </c>
      <c r="G21195" s="2">
        <v>100</v>
      </c>
      <c r="H21195" s="2">
        <v>94</v>
      </c>
      <c r="I21195" s="2">
        <v>164</v>
      </c>
      <c r="J21195" s="2">
        <v>445</v>
      </c>
      <c r="K21195" s="2">
        <v>1</v>
      </c>
      <c r="L21195" s="2">
        <v>94</v>
      </c>
    </row>
    <row r="21196" spans="1:12" x14ac:dyDescent="0.25">
      <c r="A21196" s="4" t="str">
        <f>HYPERLINK("http://www.rosaceae.org/Prunus/Prunus_persica/p.persica_gdr_reftransV1_0009879","p.persica_gdr_reftransV1_0009879")</f>
        <v>p.persica_gdr_reftransV1_0009879</v>
      </c>
      <c r="B21196" s="2">
        <v>439</v>
      </c>
      <c r="C21196" s="4" t="str">
        <f>HYPERLINK("http://www.uniprot.org/uniprot/M5WAD5","M5WAD5")</f>
        <v>M5WAD5</v>
      </c>
      <c r="D21196" s="2" t="s">
        <v>6693</v>
      </c>
      <c r="E21196" s="3">
        <v>3.4500000000000002E-94</v>
      </c>
      <c r="F21196" s="2">
        <v>753</v>
      </c>
      <c r="G21196" s="2">
        <v>100</v>
      </c>
      <c r="H21196" s="2">
        <v>140</v>
      </c>
      <c r="I21196" s="2">
        <v>1</v>
      </c>
      <c r="J21196" s="2">
        <v>420</v>
      </c>
      <c r="K21196" s="2">
        <v>1</v>
      </c>
      <c r="L21196" s="2">
        <v>140</v>
      </c>
    </row>
    <row r="21197" spans="1:12" x14ac:dyDescent="0.25">
      <c r="A21197" s="4" t="str">
        <f>HYPERLINK("http://www.rosaceae.org/Prunus/Prunus_persica/p.persica_gdr_reftransV1_0010579","p.persica_gdr_reftransV1_0010579")</f>
        <v>p.persica_gdr_reftransV1_0010579</v>
      </c>
      <c r="B21197" s="2">
        <v>2208</v>
      </c>
      <c r="C21197" s="4" t="str">
        <f>HYPERLINK("http://www.uniprot.org/uniprot/F6GVK1","F6GVK1")</f>
        <v>F6GVK1</v>
      </c>
      <c r="D21197" s="2" t="s">
        <v>15873</v>
      </c>
      <c r="E21197" s="3">
        <v>1.29E-24</v>
      </c>
      <c r="F21197" s="2">
        <v>301</v>
      </c>
      <c r="G21197" s="2">
        <v>36</v>
      </c>
      <c r="H21197" s="2">
        <v>433</v>
      </c>
      <c r="I21197" s="2">
        <v>853</v>
      </c>
      <c r="J21197" s="2">
        <v>2112</v>
      </c>
      <c r="K21197" s="2">
        <v>753</v>
      </c>
      <c r="L21197" s="2">
        <v>1171</v>
      </c>
    </row>
    <row r="21198" spans="1:12" x14ac:dyDescent="0.25">
      <c r="A21198" s="4" t="str">
        <f>HYPERLINK("http://www.rosaceae.org/Prunus/Prunus_persica/p.persica_gdr_reftransV1_0010929","p.persica_gdr_reftransV1_0010929")</f>
        <v>p.persica_gdr_reftransV1_0010929</v>
      </c>
      <c r="B21198" s="2">
        <v>3066</v>
      </c>
      <c r="C21198" s="4" t="str">
        <f>HYPERLINK("http://www.uniprot.org/uniprot/M5XMZ3","M5XMZ3")</f>
        <v>M5XMZ3</v>
      </c>
      <c r="D21198" s="2" t="s">
        <v>15874</v>
      </c>
      <c r="E21198" s="3">
        <v>0</v>
      </c>
      <c r="F21198" s="2">
        <v>2687</v>
      </c>
      <c r="G21198" s="2">
        <v>97</v>
      </c>
      <c r="H21198" s="2">
        <v>533</v>
      </c>
      <c r="I21198" s="2">
        <v>983</v>
      </c>
      <c r="J21198" s="2">
        <v>2581</v>
      </c>
      <c r="K21198" s="2">
        <v>261</v>
      </c>
      <c r="L21198" s="2">
        <v>789</v>
      </c>
    </row>
    <row r="21199" spans="1:12" x14ac:dyDescent="0.25">
      <c r="A21199" s="4" t="str">
        <f>HYPERLINK("http://www.rosaceae.org/Prunus/Prunus_persica/p.persica_gdr_reftransV1_0011629","p.persica_gdr_reftransV1_0011629")</f>
        <v>p.persica_gdr_reftransV1_0011629</v>
      </c>
      <c r="B21199" s="2">
        <v>615</v>
      </c>
      <c r="C21199" s="4" t="str">
        <f>HYPERLINK("http://www.uniprot.org/uniprot/M5WS19","M5WS19")</f>
        <v>M5WS19</v>
      </c>
      <c r="D21199" s="2" t="s">
        <v>8910</v>
      </c>
      <c r="E21199" s="3">
        <v>1.27E-8</v>
      </c>
      <c r="F21199" s="2">
        <v>145</v>
      </c>
      <c r="G21199" s="2">
        <v>100</v>
      </c>
      <c r="H21199" s="2">
        <v>27</v>
      </c>
      <c r="I21199" s="2">
        <v>2</v>
      </c>
      <c r="J21199" s="2">
        <v>82</v>
      </c>
      <c r="K21199" s="2">
        <v>1</v>
      </c>
      <c r="L21199" s="2">
        <v>27</v>
      </c>
    </row>
    <row r="21200" spans="1:12" x14ac:dyDescent="0.25">
      <c r="A21200" s="4" t="str">
        <f>HYPERLINK("http://www.rosaceae.org/Prunus/Prunus_persica/p.persica_gdr_reftransV1_0013029","p.persica_gdr_reftransV1_0013029")</f>
        <v>p.persica_gdr_reftransV1_0013029</v>
      </c>
      <c r="B21200" s="2">
        <v>2159</v>
      </c>
      <c r="C21200" s="4" t="str">
        <f>HYPERLINK("http://www.uniprot.org/uniprot/M5WB83","M5WB83")</f>
        <v>M5WB83</v>
      </c>
      <c r="D21200" s="2" t="s">
        <v>15875</v>
      </c>
      <c r="E21200" s="3">
        <v>0</v>
      </c>
      <c r="F21200" s="2">
        <v>2231</v>
      </c>
      <c r="G21200" s="2">
        <v>94</v>
      </c>
      <c r="H21200" s="2">
        <v>485</v>
      </c>
      <c r="I21200" s="2">
        <v>238</v>
      </c>
      <c r="J21200" s="2">
        <v>1692</v>
      </c>
      <c r="K21200" s="2">
        <v>1</v>
      </c>
      <c r="L21200" s="2">
        <v>485</v>
      </c>
    </row>
    <row r="21201" spans="1:12" x14ac:dyDescent="0.25">
      <c r="A21201" s="4" t="str">
        <f>HYPERLINK("http://www.rosaceae.org/Prunus/Prunus_persica/p.persica_gdr_reftransV1_0013729","p.persica_gdr_reftransV1_0013729")</f>
        <v>p.persica_gdr_reftransV1_0013729</v>
      </c>
      <c r="B21201" s="2">
        <v>605</v>
      </c>
      <c r="C21201" s="4" t="str">
        <f>HYPERLINK("http://www.uniprot.org/uniprot/M5WEQ5","M5WEQ5")</f>
        <v>M5WEQ5</v>
      </c>
      <c r="D21201" s="2" t="s">
        <v>15876</v>
      </c>
      <c r="E21201" s="3">
        <v>7.5100000000000004E-44</v>
      </c>
      <c r="F21201" s="2">
        <v>385</v>
      </c>
      <c r="G21201" s="2">
        <v>100</v>
      </c>
      <c r="H21201" s="2">
        <v>74</v>
      </c>
      <c r="I21201" s="2">
        <v>233</v>
      </c>
      <c r="J21201" s="2">
        <v>454</v>
      </c>
      <c r="K21201" s="2">
        <v>18</v>
      </c>
      <c r="L21201" s="2">
        <v>91</v>
      </c>
    </row>
    <row r="21202" spans="1:12" x14ac:dyDescent="0.25">
      <c r="A21202" s="4" t="str">
        <f>HYPERLINK("http://www.rosaceae.org/Prunus/Prunus_persica/p.persica_gdr_reftransV1_0015129","p.persica_gdr_reftransV1_0015129")</f>
        <v>p.persica_gdr_reftransV1_0015129</v>
      </c>
      <c r="B21202" s="2">
        <v>3659</v>
      </c>
      <c r="C21202" s="4" t="str">
        <f>HYPERLINK("http://www.uniprot.org/uniprot/M5Y1Q4","M5Y1Q4")</f>
        <v>M5Y1Q4</v>
      </c>
      <c r="D21202" s="2" t="s">
        <v>15877</v>
      </c>
      <c r="E21202" s="3">
        <v>0</v>
      </c>
      <c r="F21202" s="2">
        <v>3525</v>
      </c>
      <c r="G21202" s="2">
        <v>100</v>
      </c>
      <c r="H21202" s="2">
        <v>700</v>
      </c>
      <c r="I21202" s="2">
        <v>348</v>
      </c>
      <c r="J21202" s="2">
        <v>2447</v>
      </c>
      <c r="K21202" s="2">
        <v>1</v>
      </c>
      <c r="L21202" s="2">
        <v>700</v>
      </c>
    </row>
    <row r="21203" spans="1:12" x14ac:dyDescent="0.25">
      <c r="A21203" s="4" t="str">
        <f>HYPERLINK("http://www.rosaceae.org/Prunus/Prunus_persica/p.persica_gdr_reftransV1_0015479","p.persica_gdr_reftransV1_0015479")</f>
        <v>p.persica_gdr_reftransV1_0015479</v>
      </c>
      <c r="B21203" s="2">
        <v>5217</v>
      </c>
      <c r="C21203" s="4" t="str">
        <f>HYPERLINK("http://www.uniprot.org/uniprot/M5XJ25","M5XJ25")</f>
        <v>M5XJ25</v>
      </c>
      <c r="D21203" s="2" t="s">
        <v>15878</v>
      </c>
      <c r="E21203" s="3">
        <v>0</v>
      </c>
      <c r="F21203" s="2">
        <v>5427</v>
      </c>
      <c r="G21203" s="2">
        <v>100</v>
      </c>
      <c r="H21203" s="2">
        <v>1110</v>
      </c>
      <c r="I21203" s="2">
        <v>1288</v>
      </c>
      <c r="J21203" s="2">
        <v>4617</v>
      </c>
      <c r="K21203" s="2">
        <v>305</v>
      </c>
      <c r="L21203" s="2">
        <v>1414</v>
      </c>
    </row>
    <row r="21204" spans="1:12" x14ac:dyDescent="0.25">
      <c r="A21204" s="4" t="str">
        <f>HYPERLINK("http://www.rosaceae.org/Prunus/Prunus_persica/p.persica_gdr_reftransV1_0016529","p.persica_gdr_reftransV1_0016529")</f>
        <v>p.persica_gdr_reftransV1_0016529</v>
      </c>
      <c r="B21204" s="2">
        <v>2010</v>
      </c>
      <c r="C21204" s="4" t="str">
        <f>HYPERLINK("http://www.uniprot.org/uniprot/M5WPY2","M5WPY2")</f>
        <v>M5WPY2</v>
      </c>
      <c r="D21204" s="2" t="s">
        <v>12700</v>
      </c>
      <c r="E21204" s="3">
        <v>0</v>
      </c>
      <c r="F21204" s="2">
        <v>1544</v>
      </c>
      <c r="G21204" s="2">
        <v>93</v>
      </c>
      <c r="H21204" s="2">
        <v>366</v>
      </c>
      <c r="I21204" s="2">
        <v>1</v>
      </c>
      <c r="J21204" s="2">
        <v>1098</v>
      </c>
      <c r="K21204" s="2">
        <v>270</v>
      </c>
      <c r="L21204" s="2">
        <v>623</v>
      </c>
    </row>
    <row r="21205" spans="1:12" x14ac:dyDescent="0.25">
      <c r="A21205" s="4" t="str">
        <f>HYPERLINK("http://www.rosaceae.org/Prunus/Prunus_persica/p.persica_gdr_reftransV1_0016879","p.persica_gdr_reftransV1_0016879")</f>
        <v>p.persica_gdr_reftransV1_0016879</v>
      </c>
      <c r="B21205" s="2">
        <v>3076</v>
      </c>
      <c r="C21205" s="4" t="str">
        <f>HYPERLINK("http://www.uniprot.org/uniprot/M5WGE9","M5WGE9")</f>
        <v>M5WGE9</v>
      </c>
      <c r="D21205" s="2" t="s">
        <v>6145</v>
      </c>
      <c r="E21205" s="3">
        <v>0</v>
      </c>
      <c r="F21205" s="2">
        <v>4261</v>
      </c>
      <c r="G21205" s="2">
        <v>100</v>
      </c>
      <c r="H21205" s="2">
        <v>873</v>
      </c>
      <c r="I21205" s="2">
        <v>408</v>
      </c>
      <c r="J21205" s="2">
        <v>3026</v>
      </c>
      <c r="K21205" s="2">
        <v>16</v>
      </c>
      <c r="L21205" s="2">
        <v>888</v>
      </c>
    </row>
    <row r="21206" spans="1:12" x14ac:dyDescent="0.25">
      <c r="A21206" s="4" t="str">
        <f>HYPERLINK("http://www.rosaceae.org/Prunus/Prunus_persica/p.persica_gdr_reftransV1_0017229","p.persica_gdr_reftransV1_0017229")</f>
        <v>p.persica_gdr_reftransV1_0017229</v>
      </c>
      <c r="B21206" s="2">
        <v>2292</v>
      </c>
      <c r="C21206" s="4" t="str">
        <f>HYPERLINK("http://www.uniprot.org/uniprot/M5XG01","M5XG01")</f>
        <v>M5XG01</v>
      </c>
      <c r="D21206" s="2" t="s">
        <v>15879</v>
      </c>
      <c r="E21206" s="3">
        <v>1.48E-138</v>
      </c>
      <c r="F21206" s="2">
        <v>1081</v>
      </c>
      <c r="G21206" s="2">
        <v>100</v>
      </c>
      <c r="H21206" s="2">
        <v>229</v>
      </c>
      <c r="I21206" s="2">
        <v>895</v>
      </c>
      <c r="J21206" s="2">
        <v>1581</v>
      </c>
      <c r="K21206" s="2">
        <v>29</v>
      </c>
      <c r="L21206" s="2">
        <v>257</v>
      </c>
    </row>
    <row r="21207" spans="1:12" x14ac:dyDescent="0.25">
      <c r="A21207" s="4" t="str">
        <f>HYPERLINK("http://www.rosaceae.org/Prunus/Prunus_persica/p.persica_gdr_reftransV1_0017579","p.persica_gdr_reftransV1_0017579")</f>
        <v>p.persica_gdr_reftransV1_0017579</v>
      </c>
      <c r="B21207" s="2">
        <v>1812</v>
      </c>
      <c r="C21207" s="4" t="str">
        <f>HYPERLINK("http://www.uniprot.org/uniprot/M5VXR7","M5VXR7")</f>
        <v>M5VXR7</v>
      </c>
      <c r="D21207" s="2" t="s">
        <v>15880</v>
      </c>
      <c r="E21207" s="3">
        <v>0</v>
      </c>
      <c r="F21207" s="2">
        <v>1866</v>
      </c>
      <c r="G21207" s="2">
        <v>100</v>
      </c>
      <c r="H21207" s="2">
        <v>355</v>
      </c>
      <c r="I21207" s="2">
        <v>213</v>
      </c>
      <c r="J21207" s="2">
        <v>1277</v>
      </c>
      <c r="K21207" s="2">
        <v>1</v>
      </c>
      <c r="L21207" s="2">
        <v>355</v>
      </c>
    </row>
    <row r="21208" spans="1:12" x14ac:dyDescent="0.25">
      <c r="A21208" s="4" t="str">
        <f>HYPERLINK("http://www.rosaceae.org/Prunus/Prunus_persica/p.persica_gdr_reftransV1_0018629","p.persica_gdr_reftransV1_0018629")</f>
        <v>p.persica_gdr_reftransV1_0018629</v>
      </c>
      <c r="B21208" s="2">
        <v>2280</v>
      </c>
      <c r="C21208" s="4" t="str">
        <f>HYPERLINK("http://www.uniprot.org/uniprot/M5WCM9","M5WCM9")</f>
        <v>M5WCM9</v>
      </c>
      <c r="D21208" s="2" t="s">
        <v>15881</v>
      </c>
      <c r="E21208" s="3">
        <v>0</v>
      </c>
      <c r="F21208" s="2">
        <v>2806</v>
      </c>
      <c r="G21208" s="2">
        <v>88</v>
      </c>
      <c r="H21208" s="2">
        <v>611</v>
      </c>
      <c r="I21208" s="2">
        <v>139</v>
      </c>
      <c r="J21208" s="2">
        <v>1971</v>
      </c>
      <c r="K21208" s="2">
        <v>1</v>
      </c>
      <c r="L21208" s="2">
        <v>555</v>
      </c>
    </row>
    <row r="21209" spans="1:12" x14ac:dyDescent="0.25">
      <c r="A21209" s="4" t="str">
        <f>HYPERLINK("http://www.rosaceae.org/Prunus/Prunus_persica/p.persica_gdr_reftransV1_0018979","p.persica_gdr_reftransV1_0018979")</f>
        <v>p.persica_gdr_reftransV1_0018979</v>
      </c>
      <c r="B21209" s="2">
        <v>2103</v>
      </c>
      <c r="C21209" s="4" t="str">
        <f>HYPERLINK("http://www.uniprot.org/uniprot/M5VM45","M5VM45")</f>
        <v>M5VM45</v>
      </c>
      <c r="D21209" s="2" t="s">
        <v>15882</v>
      </c>
      <c r="E21209" s="3">
        <v>0</v>
      </c>
      <c r="F21209" s="2">
        <v>1815</v>
      </c>
      <c r="G21209" s="2">
        <v>100</v>
      </c>
      <c r="H21209" s="2">
        <v>406</v>
      </c>
      <c r="I21209" s="2">
        <v>775</v>
      </c>
      <c r="J21209" s="2">
        <v>1992</v>
      </c>
      <c r="K21209" s="2">
        <v>1</v>
      </c>
      <c r="L21209" s="2">
        <v>406</v>
      </c>
    </row>
    <row r="21210" spans="1:12" x14ac:dyDescent="0.25">
      <c r="A21210" s="4" t="str">
        <f>HYPERLINK("http://www.rosaceae.org/Prunus/Prunus_persica/p.persica_gdr_reftransV1_0019329","p.persica_gdr_reftransV1_0019329")</f>
        <v>p.persica_gdr_reftransV1_0019329</v>
      </c>
      <c r="B21210" s="2">
        <v>2176</v>
      </c>
      <c r="C21210" s="4" t="str">
        <f>HYPERLINK("http://www.uniprot.org/uniprot/M5XS04","M5XS04")</f>
        <v>M5XS04</v>
      </c>
      <c r="D21210" s="2" t="s">
        <v>10290</v>
      </c>
      <c r="E21210" s="3">
        <v>7.7799999999999995E-133</v>
      </c>
      <c r="F21210" s="2">
        <v>1051</v>
      </c>
      <c r="G21210" s="2">
        <v>95</v>
      </c>
      <c r="H21210" s="2">
        <v>391</v>
      </c>
      <c r="I21210" s="2">
        <v>765</v>
      </c>
      <c r="J21210" s="2">
        <v>1937</v>
      </c>
      <c r="K21210" s="2">
        <v>1</v>
      </c>
      <c r="L21210" s="2">
        <v>371</v>
      </c>
    </row>
    <row r="21211" spans="1:12" x14ac:dyDescent="0.25">
      <c r="A21211" s="4" t="str">
        <f>HYPERLINK("http://www.rosaceae.org/Prunus/Prunus_persica/p.persica_gdr_reftransV1_0020029","p.persica_gdr_reftransV1_0020029")</f>
        <v>p.persica_gdr_reftransV1_0020029</v>
      </c>
      <c r="B21211" s="2">
        <v>531</v>
      </c>
      <c r="C21211" s="4" t="str">
        <f>HYPERLINK("http://www.uniprot.org/uniprot/M5WT08","M5WT08")</f>
        <v>M5WT08</v>
      </c>
      <c r="D21211" s="2" t="s">
        <v>15883</v>
      </c>
      <c r="E21211" s="3">
        <v>7.4800000000000001E-98</v>
      </c>
      <c r="F21211" s="2">
        <v>758</v>
      </c>
      <c r="G21211" s="2">
        <v>100</v>
      </c>
      <c r="H21211" s="2">
        <v>176</v>
      </c>
      <c r="I21211" s="2">
        <v>3</v>
      </c>
      <c r="J21211" s="2">
        <v>530</v>
      </c>
      <c r="K21211" s="2">
        <v>106</v>
      </c>
      <c r="L21211" s="2">
        <v>281</v>
      </c>
    </row>
    <row r="21212" spans="1:12" x14ac:dyDescent="0.25">
      <c r="A21212" s="4" t="str">
        <f>HYPERLINK("http://www.rosaceae.org/Prunus/Prunus_persica/p.persica_gdr_reftransV1_0021779","p.persica_gdr_reftransV1_0021779")</f>
        <v>p.persica_gdr_reftransV1_0021779</v>
      </c>
      <c r="B21212" s="2">
        <v>2196</v>
      </c>
      <c r="C21212" s="4" t="str">
        <f>HYPERLINK("http://www.uniprot.org/uniprot/M5WYZ0","M5WYZ0")</f>
        <v>M5WYZ0</v>
      </c>
      <c r="D21212" s="2" t="s">
        <v>15884</v>
      </c>
      <c r="E21212" s="3">
        <v>5.9200000000000003E-109</v>
      </c>
      <c r="F21212" s="2">
        <v>889</v>
      </c>
      <c r="G21212" s="2">
        <v>100</v>
      </c>
      <c r="H21212" s="2">
        <v>182</v>
      </c>
      <c r="I21212" s="2">
        <v>161</v>
      </c>
      <c r="J21212" s="2">
        <v>706</v>
      </c>
      <c r="K21212" s="2">
        <v>1</v>
      </c>
      <c r="L21212" s="2">
        <v>182</v>
      </c>
    </row>
    <row r="21213" spans="1:12" x14ac:dyDescent="0.25">
      <c r="A21213" s="4" t="str">
        <f>HYPERLINK("http://www.rosaceae.org/Prunus/Prunus_persica/p.persica_gdr_reftransV1_0022829","p.persica_gdr_reftransV1_0022829")</f>
        <v>p.persica_gdr_reftransV1_0022829</v>
      </c>
      <c r="B21213" s="2">
        <v>5076</v>
      </c>
      <c r="C21213" s="4" t="str">
        <f>HYPERLINK("http://www.uniprot.org/uniprot/M5WS85","M5WS85")</f>
        <v>M5WS85</v>
      </c>
      <c r="D21213" s="2" t="s">
        <v>15885</v>
      </c>
      <c r="E21213" s="3">
        <v>0</v>
      </c>
      <c r="F21213" s="2">
        <v>2148</v>
      </c>
      <c r="G21213" s="2">
        <v>100</v>
      </c>
      <c r="H21213" s="2">
        <v>404</v>
      </c>
      <c r="I21213" s="2">
        <v>413</v>
      </c>
      <c r="J21213" s="2">
        <v>1624</v>
      </c>
      <c r="K21213" s="2">
        <v>1</v>
      </c>
      <c r="L21213" s="2">
        <v>404</v>
      </c>
    </row>
    <row r="21214" spans="1:12" x14ac:dyDescent="0.25">
      <c r="A21214" s="4" t="str">
        <f>HYPERLINK("http://www.rosaceae.org/Prunus/Prunus_persica/p.persica_gdr_reftransV1_0023179","p.persica_gdr_reftransV1_0023179")</f>
        <v>p.persica_gdr_reftransV1_0023179</v>
      </c>
      <c r="B21214" s="2">
        <v>1177</v>
      </c>
      <c r="C21214" s="4" t="str">
        <f>HYPERLINK("http://www.uniprot.org/uniprot/M5VRL6","M5VRL6")</f>
        <v>M5VRL6</v>
      </c>
      <c r="D21214" s="2" t="s">
        <v>15886</v>
      </c>
      <c r="E21214" s="3">
        <v>4.21E-144</v>
      </c>
      <c r="F21214" s="2">
        <v>1085</v>
      </c>
      <c r="G21214" s="2">
        <v>100</v>
      </c>
      <c r="H21214" s="2">
        <v>266</v>
      </c>
      <c r="I21214" s="2">
        <v>259</v>
      </c>
      <c r="J21214" s="2">
        <v>1056</v>
      </c>
      <c r="K21214" s="2">
        <v>1</v>
      </c>
      <c r="L21214" s="2">
        <v>266</v>
      </c>
    </row>
    <row r="21215" spans="1:12" x14ac:dyDescent="0.25">
      <c r="A21215" s="4" t="str">
        <f>HYPERLINK("http://www.rosaceae.org/Prunus/Prunus_persica/p.persica_gdr_reftransV1_0023529","p.persica_gdr_reftransV1_0023529")</f>
        <v>p.persica_gdr_reftransV1_0023529</v>
      </c>
      <c r="B21215" s="2">
        <v>2468</v>
      </c>
      <c r="C21215" s="4" t="str">
        <f>HYPERLINK("http://www.uniprot.org/uniprot/M5X2M0","M5X2M0")</f>
        <v>M5X2M0</v>
      </c>
      <c r="D21215" s="2" t="s">
        <v>15887</v>
      </c>
      <c r="E21215" s="3">
        <v>0</v>
      </c>
      <c r="F21215" s="2">
        <v>2013</v>
      </c>
      <c r="G21215" s="2">
        <v>100</v>
      </c>
      <c r="H21215" s="2">
        <v>440</v>
      </c>
      <c r="I21215" s="2">
        <v>313</v>
      </c>
      <c r="J21215" s="2">
        <v>1632</v>
      </c>
      <c r="K21215" s="2">
        <v>1</v>
      </c>
      <c r="L21215" s="2">
        <v>440</v>
      </c>
    </row>
    <row r="21216" spans="1:12" x14ac:dyDescent="0.25">
      <c r="A21216" s="4" t="str">
        <f>HYPERLINK("http://www.rosaceae.org/Prunus/Prunus_persica/p.persica_gdr_reftransV1_0024929","p.persica_gdr_reftransV1_0024929")</f>
        <v>p.persica_gdr_reftransV1_0024929</v>
      </c>
      <c r="B21216" s="2">
        <v>2385</v>
      </c>
      <c r="C21216" s="4" t="str">
        <f>HYPERLINK("http://www.uniprot.org/uniprot/M5WAW5","M5WAW5")</f>
        <v>M5WAW5</v>
      </c>
      <c r="D21216" s="2" t="s">
        <v>15888</v>
      </c>
      <c r="E21216" s="3">
        <v>1.05E-57</v>
      </c>
      <c r="F21216" s="2">
        <v>521</v>
      </c>
      <c r="G21216" s="2">
        <v>100</v>
      </c>
      <c r="H21216" s="2">
        <v>97</v>
      </c>
      <c r="I21216" s="2">
        <v>1391</v>
      </c>
      <c r="J21216" s="2">
        <v>1681</v>
      </c>
      <c r="K21216" s="2">
        <v>86</v>
      </c>
      <c r="L21216" s="2">
        <v>182</v>
      </c>
    </row>
    <row r="21217" spans="1:12" x14ac:dyDescent="0.25">
      <c r="A21217" s="4" t="str">
        <f>HYPERLINK("http://www.rosaceae.org/Prunus/Prunus_persica/p.persica_gdr_reftransV1_0025629","p.persica_gdr_reftransV1_0025629")</f>
        <v>p.persica_gdr_reftransV1_0025629</v>
      </c>
      <c r="B21217" s="2">
        <v>881</v>
      </c>
      <c r="C21217" s="4" t="str">
        <f>HYPERLINK("http://www.uniprot.org/uniprot/M5XK88","M5XK88")</f>
        <v>M5XK88</v>
      </c>
      <c r="D21217" s="2" t="s">
        <v>15889</v>
      </c>
      <c r="E21217" s="3">
        <v>1.95E-139</v>
      </c>
      <c r="F21217" s="2">
        <v>1082</v>
      </c>
      <c r="G21217" s="2">
        <v>100</v>
      </c>
      <c r="H21217" s="2">
        <v>207</v>
      </c>
      <c r="I21217" s="2">
        <v>1</v>
      </c>
      <c r="J21217" s="2">
        <v>621</v>
      </c>
      <c r="K21217" s="2">
        <v>1</v>
      </c>
      <c r="L21217" s="2">
        <v>207</v>
      </c>
    </row>
    <row r="21218" spans="1:12" x14ac:dyDescent="0.25">
      <c r="A21218" s="4" t="str">
        <f>HYPERLINK("http://www.rosaceae.org/Prunus/Prunus_persica/p.persica_gdr_reftransV1_0026679","p.persica_gdr_reftransV1_0026679")</f>
        <v>p.persica_gdr_reftransV1_0026679</v>
      </c>
      <c r="B21218" s="2">
        <v>2938</v>
      </c>
      <c r="C21218" s="4" t="str">
        <f>HYPERLINK("http://www.uniprot.org/uniprot/M5XF65","M5XF65")</f>
        <v>M5XF65</v>
      </c>
      <c r="D21218" s="2" t="s">
        <v>3359</v>
      </c>
      <c r="E21218" s="3">
        <v>2.3999999999999998E-128</v>
      </c>
      <c r="F21218" s="2">
        <v>1048</v>
      </c>
      <c r="G21218" s="2">
        <v>99</v>
      </c>
      <c r="H21218" s="2">
        <v>198</v>
      </c>
      <c r="I21218" s="2">
        <v>1611</v>
      </c>
      <c r="J21218" s="2">
        <v>2204</v>
      </c>
      <c r="K21218" s="2">
        <v>14</v>
      </c>
      <c r="L21218" s="2">
        <v>211</v>
      </c>
    </row>
    <row r="21219" spans="1:12" x14ac:dyDescent="0.25">
      <c r="A21219" s="4" t="str">
        <f>HYPERLINK("http://www.rosaceae.org/Prunus/Prunus_persica/p.persica_gdr_reftransV1_0029829","p.persica_gdr_reftransV1_0029829")</f>
        <v>p.persica_gdr_reftransV1_0029829</v>
      </c>
      <c r="B21219" s="2">
        <v>899</v>
      </c>
      <c r="C21219" s="4" t="str">
        <f>HYPERLINK("http://www.uniprot.org/uniprot/M5VNS5","M5VNS5")</f>
        <v>M5VNS5</v>
      </c>
      <c r="D21219" s="2" t="s">
        <v>15890</v>
      </c>
      <c r="E21219" s="3">
        <v>6.1600000000000004E-121</v>
      </c>
      <c r="F21219" s="2">
        <v>914</v>
      </c>
      <c r="G21219" s="2">
        <v>100</v>
      </c>
      <c r="H21219" s="2">
        <v>188</v>
      </c>
      <c r="I21219" s="2">
        <v>145</v>
      </c>
      <c r="J21219" s="2">
        <v>708</v>
      </c>
      <c r="K21219" s="2">
        <v>1</v>
      </c>
      <c r="L21219" s="2">
        <v>188</v>
      </c>
    </row>
    <row r="21220" spans="1:12" x14ac:dyDescent="0.25">
      <c r="A21220" s="4" t="str">
        <f>HYPERLINK("http://www.rosaceae.org/Prunus/Prunus_persica/p.persica_gdr_reftransV1_0030879","p.persica_gdr_reftransV1_0030879")</f>
        <v>p.persica_gdr_reftransV1_0030879</v>
      </c>
      <c r="B21220" s="2">
        <v>2818</v>
      </c>
      <c r="C21220" s="4" t="str">
        <f>HYPERLINK("http://www.uniprot.org/uniprot/M5WIY4","M5WIY4")</f>
        <v>M5WIY4</v>
      </c>
      <c r="D21220" s="2" t="s">
        <v>15891</v>
      </c>
      <c r="E21220" s="3">
        <v>3.2599999999999997E-163</v>
      </c>
      <c r="F21220" s="2">
        <v>1267</v>
      </c>
      <c r="G21220" s="2">
        <v>99</v>
      </c>
      <c r="H21220" s="2">
        <v>280</v>
      </c>
      <c r="I21220" s="2">
        <v>1655</v>
      </c>
      <c r="J21220" s="2">
        <v>2494</v>
      </c>
      <c r="K21220" s="2">
        <v>41</v>
      </c>
      <c r="L21220" s="2">
        <v>320</v>
      </c>
    </row>
    <row r="21221" spans="1:12" x14ac:dyDescent="0.25">
      <c r="A21221" s="4" t="str">
        <f>HYPERLINK("http://www.rosaceae.org/Prunus/Prunus_persica/p.persica_gdr_reftransV1_0031229","p.persica_gdr_reftransV1_0031229")</f>
        <v>p.persica_gdr_reftransV1_0031229</v>
      </c>
      <c r="B21221" s="2">
        <v>3393</v>
      </c>
      <c r="C21221" s="4" t="str">
        <f>HYPERLINK("http://www.uniprot.org/uniprot/M5VMY1","M5VMY1")</f>
        <v>M5VMY1</v>
      </c>
      <c r="D21221" s="2" t="s">
        <v>15892</v>
      </c>
      <c r="E21221" s="3">
        <v>2.86E-180</v>
      </c>
      <c r="F21221" s="2">
        <v>1409</v>
      </c>
      <c r="G21221" s="2">
        <v>99</v>
      </c>
      <c r="H21221" s="2">
        <v>267</v>
      </c>
      <c r="I21221" s="2">
        <v>1117</v>
      </c>
      <c r="J21221" s="2">
        <v>1917</v>
      </c>
      <c r="K21221" s="2">
        <v>1</v>
      </c>
      <c r="L21221" s="2">
        <v>267</v>
      </c>
    </row>
    <row r="21222" spans="1:12" x14ac:dyDescent="0.25">
      <c r="A21222" s="4" t="str">
        <f>HYPERLINK("http://www.rosaceae.org/Prunus/Prunus_persica/p.persica_gdr_reftransV1_0032979","p.persica_gdr_reftransV1_0032979")</f>
        <v>p.persica_gdr_reftransV1_0032979</v>
      </c>
      <c r="B21222" s="2">
        <v>931</v>
      </c>
      <c r="C21222" s="4" t="str">
        <f>HYPERLINK("http://www.uniprot.org/uniprot/M5XMA1","M5XMA1")</f>
        <v>M5XMA1</v>
      </c>
      <c r="D21222" s="2" t="s">
        <v>3885</v>
      </c>
      <c r="E21222" s="3">
        <v>8.1500000000000004E-36</v>
      </c>
      <c r="F21222" s="2">
        <v>342</v>
      </c>
      <c r="G21222" s="2">
        <v>100</v>
      </c>
      <c r="H21222" s="2">
        <v>120</v>
      </c>
      <c r="I21222" s="2">
        <v>544</v>
      </c>
      <c r="J21222" s="2">
        <v>903</v>
      </c>
      <c r="K21222" s="2">
        <v>1</v>
      </c>
      <c r="L21222" s="2">
        <v>120</v>
      </c>
    </row>
    <row r="21223" spans="1:12" x14ac:dyDescent="0.25">
      <c r="A21223" s="4" t="str">
        <f>HYPERLINK("http://www.rosaceae.org/Prunus/Prunus_persica/p.persica_gdr_reftransV1_0035429","p.persica_gdr_reftransV1_0035429")</f>
        <v>p.persica_gdr_reftransV1_0035429</v>
      </c>
      <c r="B21223" s="2">
        <v>2745</v>
      </c>
      <c r="C21223" s="4" t="str">
        <f>HYPERLINK("http://www.uniprot.org/uniprot/M5XB13","M5XB13")</f>
        <v>M5XB13</v>
      </c>
      <c r="D21223" s="2" t="s">
        <v>3061</v>
      </c>
      <c r="E21223" s="3">
        <v>5.5099999999999997E-81</v>
      </c>
      <c r="F21223" s="2">
        <v>766</v>
      </c>
      <c r="G21223" s="2">
        <v>96</v>
      </c>
      <c r="H21223" s="2">
        <v>157</v>
      </c>
      <c r="I21223" s="2">
        <v>1115</v>
      </c>
      <c r="J21223" s="2">
        <v>1585</v>
      </c>
      <c r="K21223" s="2">
        <v>221</v>
      </c>
      <c r="L21223" s="2">
        <v>375</v>
      </c>
    </row>
    <row r="21224" spans="1:12" x14ac:dyDescent="0.25">
      <c r="A21224" s="4" t="str">
        <f>HYPERLINK("http://www.rosaceae.org/Prunus/Prunus_persica/p.persica_gdr_reftransV1_0035779","p.persica_gdr_reftransV1_0035779")</f>
        <v>p.persica_gdr_reftransV1_0035779</v>
      </c>
      <c r="B21224" s="2">
        <v>3398</v>
      </c>
      <c r="C21224" s="4" t="str">
        <f>HYPERLINK("http://www.uniprot.org/uniprot/M5WX68","M5WX68")</f>
        <v>M5WX68</v>
      </c>
      <c r="D21224" s="2" t="s">
        <v>15893</v>
      </c>
      <c r="E21224" s="3">
        <v>0</v>
      </c>
      <c r="F21224" s="2">
        <v>3427</v>
      </c>
      <c r="G21224" s="2">
        <v>100</v>
      </c>
      <c r="H21224" s="2">
        <v>661</v>
      </c>
      <c r="I21224" s="2">
        <v>289</v>
      </c>
      <c r="J21224" s="2">
        <v>2271</v>
      </c>
      <c r="K21224" s="2">
        <v>1</v>
      </c>
      <c r="L21224" s="2">
        <v>661</v>
      </c>
    </row>
    <row r="21225" spans="1:12" x14ac:dyDescent="0.25">
      <c r="A21225" s="4" t="str">
        <f>HYPERLINK("http://www.rosaceae.org/Prunus/Prunus_persica/p.persica_gdr_reftransV1_0036829","p.persica_gdr_reftransV1_0036829")</f>
        <v>p.persica_gdr_reftransV1_0036829</v>
      </c>
      <c r="B21225" s="2">
        <v>852</v>
      </c>
      <c r="C21225" s="4" t="str">
        <f>HYPERLINK("http://www.uniprot.org/uniprot/M5VX02","M5VX02")</f>
        <v>M5VX02</v>
      </c>
      <c r="D21225" s="2" t="s">
        <v>9999</v>
      </c>
      <c r="E21225" s="3">
        <v>0</v>
      </c>
      <c r="F21225" s="2">
        <v>1530</v>
      </c>
      <c r="G21225" s="2">
        <v>99</v>
      </c>
      <c r="H21225" s="2">
        <v>283</v>
      </c>
      <c r="I21225" s="2">
        <v>2</v>
      </c>
      <c r="J21225" s="2">
        <v>850</v>
      </c>
      <c r="K21225" s="2">
        <v>164</v>
      </c>
      <c r="L21225" s="2">
        <v>446</v>
      </c>
    </row>
    <row r="21226" spans="1:12" x14ac:dyDescent="0.25">
      <c r="A21226" s="4" t="str">
        <f>HYPERLINK("http://www.rosaceae.org/Prunus/Prunus_persica/p.persica_gdr_reftransV1_0038229","p.persica_gdr_reftransV1_0038229")</f>
        <v>p.persica_gdr_reftransV1_0038229</v>
      </c>
      <c r="B21226" s="2">
        <v>1181</v>
      </c>
      <c r="C21226" s="4" t="str">
        <f>HYPERLINK("http://www.uniprot.org/uniprot/M5Y6A5","M5Y6A5")</f>
        <v>M5Y6A5</v>
      </c>
      <c r="D21226" s="2" t="s">
        <v>15894</v>
      </c>
      <c r="E21226" s="3">
        <v>3.1700000000000001E-109</v>
      </c>
      <c r="F21226" s="2">
        <v>853</v>
      </c>
      <c r="G21226" s="2">
        <v>99</v>
      </c>
      <c r="H21226" s="2">
        <v>255</v>
      </c>
      <c r="I21226" s="2">
        <v>223</v>
      </c>
      <c r="J21226" s="2">
        <v>987</v>
      </c>
      <c r="K21226" s="2">
        <v>1</v>
      </c>
      <c r="L21226" s="2">
        <v>254</v>
      </c>
    </row>
    <row r="21227" spans="1:12" x14ac:dyDescent="0.25">
      <c r="A21227" s="4" t="str">
        <f>HYPERLINK("http://www.rosaceae.org/Prunus/Prunus_persica/p.persica_gdr_reftransV1_0038579","p.persica_gdr_reftransV1_0038579")</f>
        <v>p.persica_gdr_reftransV1_0038579</v>
      </c>
      <c r="B21227" s="2">
        <v>1947</v>
      </c>
      <c r="C21227" s="4" t="str">
        <f>HYPERLINK("http://www.uniprot.org/uniprot/A0A059CIG2","A0A059CIG2")</f>
        <v>A0A059CIG2</v>
      </c>
      <c r="D21227" s="2" t="s">
        <v>15895</v>
      </c>
      <c r="E21227" s="3">
        <v>3.3499999999999997E-45</v>
      </c>
      <c r="F21227" s="2">
        <v>299</v>
      </c>
      <c r="G21227" s="2">
        <v>86</v>
      </c>
      <c r="H21227" s="2">
        <v>63</v>
      </c>
      <c r="I21227" s="2">
        <v>248</v>
      </c>
      <c r="J21227" s="2">
        <v>436</v>
      </c>
      <c r="K21227" s="2">
        <v>250</v>
      </c>
      <c r="L21227" s="2">
        <v>312</v>
      </c>
    </row>
    <row r="21228" spans="1:12" x14ac:dyDescent="0.25">
      <c r="A21228" s="4" t="str">
        <f>HYPERLINK("http://www.rosaceae.org/Prunus/Prunus_persica/p.persica_gdr_reftransV1_0039979","p.persica_gdr_reftransV1_0039979")</f>
        <v>p.persica_gdr_reftransV1_0039979</v>
      </c>
      <c r="B21228" s="2">
        <v>2662</v>
      </c>
      <c r="C21228" s="4" t="str">
        <f>HYPERLINK("http://www.uniprot.org/uniprot/M5X008","M5X008")</f>
        <v>M5X008</v>
      </c>
      <c r="D21228" s="2" t="s">
        <v>15896</v>
      </c>
      <c r="E21228" s="3">
        <v>0</v>
      </c>
      <c r="F21228" s="2">
        <v>1670</v>
      </c>
      <c r="G21228" s="2">
        <v>99</v>
      </c>
      <c r="H21228" s="2">
        <v>323</v>
      </c>
      <c r="I21228" s="2">
        <v>301</v>
      </c>
      <c r="J21228" s="2">
        <v>1269</v>
      </c>
      <c r="K21228" s="2">
        <v>27</v>
      </c>
      <c r="L21228" s="2">
        <v>349</v>
      </c>
    </row>
    <row r="21229" spans="1:12" x14ac:dyDescent="0.25">
      <c r="A21229" s="4" t="str">
        <f>HYPERLINK("http://www.rosaceae.org/Prunus/Prunus_persica/p.persica_gdr_reftransV1_0042429","p.persica_gdr_reftransV1_0042429")</f>
        <v>p.persica_gdr_reftransV1_0042429</v>
      </c>
      <c r="B21229" s="2">
        <v>1461</v>
      </c>
      <c r="C21229" s="4" t="str">
        <f>HYPERLINK("http://www.uniprot.org/uniprot/M5W0Q7","M5W0Q7")</f>
        <v>M5W0Q7</v>
      </c>
      <c r="D21229" s="2" t="s">
        <v>15897</v>
      </c>
      <c r="E21229" s="3">
        <v>1.6400000000000001E-138</v>
      </c>
      <c r="F21229" s="2">
        <v>1055</v>
      </c>
      <c r="G21229" s="2">
        <v>100</v>
      </c>
      <c r="H21229" s="2">
        <v>201</v>
      </c>
      <c r="I21229" s="2">
        <v>423</v>
      </c>
      <c r="J21229" s="2">
        <v>1025</v>
      </c>
      <c r="K21229" s="2">
        <v>42</v>
      </c>
      <c r="L21229" s="2">
        <v>242</v>
      </c>
    </row>
    <row r="21230" spans="1:12" x14ac:dyDescent="0.25">
      <c r="A21230" s="4" t="str">
        <f>HYPERLINK("http://www.rosaceae.org/Prunus/Prunus_persica/p.persica_gdr_reftransV1_0043129","p.persica_gdr_reftransV1_0043129")</f>
        <v>p.persica_gdr_reftransV1_0043129</v>
      </c>
      <c r="B21230" s="2">
        <v>798</v>
      </c>
      <c r="C21230" s="4" t="str">
        <f>HYPERLINK("http://www.uniprot.org/uniprot/M5XVG6","M5XVG6")</f>
        <v>M5XVG6</v>
      </c>
      <c r="D21230" s="2" t="s">
        <v>752</v>
      </c>
      <c r="E21230" s="3">
        <v>7.5500000000000002E-178</v>
      </c>
      <c r="F21230" s="2">
        <v>1434</v>
      </c>
      <c r="G21230" s="2">
        <v>100</v>
      </c>
      <c r="H21230" s="2">
        <v>266</v>
      </c>
      <c r="I21230" s="2">
        <v>1</v>
      </c>
      <c r="J21230" s="2">
        <v>798</v>
      </c>
      <c r="K21230" s="2">
        <v>1586</v>
      </c>
      <c r="L21230" s="2">
        <v>1851</v>
      </c>
    </row>
    <row r="21231" spans="1:12" x14ac:dyDescent="0.25">
      <c r="A21231" s="4" t="str">
        <f>HYPERLINK("http://www.rosaceae.org/Prunus/Prunus_persica/p.persica_gdr_reftransV1_0043829","p.persica_gdr_reftransV1_0043829")</f>
        <v>p.persica_gdr_reftransV1_0043829</v>
      </c>
      <c r="B21231" s="2">
        <v>1208</v>
      </c>
      <c r="C21231" s="4" t="str">
        <f>HYPERLINK("http://www.uniprot.org/uniprot/M5WDV2","M5WDV2")</f>
        <v>M5WDV2</v>
      </c>
      <c r="D21231" s="2" t="s">
        <v>15898</v>
      </c>
      <c r="E21231" s="3">
        <v>0</v>
      </c>
      <c r="F21231" s="2">
        <v>1949</v>
      </c>
      <c r="G21231" s="2">
        <v>100</v>
      </c>
      <c r="H21231" s="2">
        <v>386</v>
      </c>
      <c r="I21231" s="2">
        <v>51</v>
      </c>
      <c r="J21231" s="2">
        <v>1208</v>
      </c>
      <c r="K21231" s="2">
        <v>113</v>
      </c>
      <c r="L21231" s="2">
        <v>498</v>
      </c>
    </row>
    <row r="21232" spans="1:12" x14ac:dyDescent="0.25">
      <c r="A21232" s="4" t="str">
        <f>HYPERLINK("http://www.rosaceae.org/Prunus/Prunus_persica/p.persica_gdr_reftransV1_0044179","p.persica_gdr_reftransV1_0044179")</f>
        <v>p.persica_gdr_reftransV1_0044179</v>
      </c>
      <c r="B21232" s="2">
        <v>777</v>
      </c>
      <c r="C21232" s="4" t="str">
        <f>HYPERLINK("http://www.uniprot.org/uniprot/M5WHS4","M5WHS4")</f>
        <v>M5WHS4</v>
      </c>
      <c r="D21232" s="2" t="s">
        <v>15644</v>
      </c>
      <c r="E21232" s="3">
        <v>4.1899999999999998E-73</v>
      </c>
      <c r="F21232" s="2">
        <v>615</v>
      </c>
      <c r="G21232" s="2">
        <v>100</v>
      </c>
      <c r="H21232" s="2">
        <v>174</v>
      </c>
      <c r="I21232" s="2">
        <v>248</v>
      </c>
      <c r="J21232" s="2">
        <v>769</v>
      </c>
      <c r="K21232" s="2">
        <v>37</v>
      </c>
      <c r="L21232" s="2">
        <v>210</v>
      </c>
    </row>
    <row r="21233" spans="1:12" x14ac:dyDescent="0.25">
      <c r="A21233" s="4" t="str">
        <f>HYPERLINK("http://www.rosaceae.org/Prunus/Prunus_persica/p.persica_gdr_reftransV1_0044529","p.persica_gdr_reftransV1_0044529")</f>
        <v>p.persica_gdr_reftransV1_0044529</v>
      </c>
      <c r="B21233" s="2">
        <v>2324</v>
      </c>
      <c r="C21233" s="4" t="str">
        <f>HYPERLINK("http://www.uniprot.org/uniprot/M5WS31","M5WS31")</f>
        <v>M5WS31</v>
      </c>
      <c r="D21233" s="2" t="s">
        <v>15899</v>
      </c>
      <c r="E21233" s="3">
        <v>0</v>
      </c>
      <c r="F21233" s="2">
        <v>2027</v>
      </c>
      <c r="G21233" s="2">
        <v>93</v>
      </c>
      <c r="H21233" s="2">
        <v>423</v>
      </c>
      <c r="I21233" s="2">
        <v>900</v>
      </c>
      <c r="J21233" s="2">
        <v>2165</v>
      </c>
      <c r="K21233" s="2">
        <v>8</v>
      </c>
      <c r="L21233" s="2">
        <v>428</v>
      </c>
    </row>
    <row r="21234" spans="1:12" x14ac:dyDescent="0.25">
      <c r="A21234" s="4" t="str">
        <f>HYPERLINK("http://www.rosaceae.org/Prunus/Prunus_persica/p.persica_gdr_reftransV1_0044879","p.persica_gdr_reftransV1_0044879")</f>
        <v>p.persica_gdr_reftransV1_0044879</v>
      </c>
      <c r="B21234" s="2">
        <v>1728</v>
      </c>
      <c r="C21234" s="4" t="str">
        <f>HYPERLINK("http://www.uniprot.org/uniprot/A0A0F6PZ27","A0A0F6PZ27")</f>
        <v>A0A0F6PZ27</v>
      </c>
      <c r="D21234" s="2" t="s">
        <v>15900</v>
      </c>
      <c r="E21234" s="3">
        <v>1.02E-106</v>
      </c>
      <c r="F21234" s="2">
        <v>843</v>
      </c>
      <c r="G21234" s="2">
        <v>100</v>
      </c>
      <c r="H21234" s="2">
        <v>158</v>
      </c>
      <c r="I21234" s="2">
        <v>750</v>
      </c>
      <c r="J21234" s="2">
        <v>1223</v>
      </c>
      <c r="K21234" s="2">
        <v>1</v>
      </c>
      <c r="L21234" s="2">
        <v>158</v>
      </c>
    </row>
    <row r="21235" spans="1:12" x14ac:dyDescent="0.25">
      <c r="A21235" s="4" t="str">
        <f>HYPERLINK("http://www.rosaceae.org/Prunus/Prunus_persica/p.persica_gdr_reftransV1_0045579","p.persica_gdr_reftransV1_0045579")</f>
        <v>p.persica_gdr_reftransV1_0045579</v>
      </c>
      <c r="B21235" s="2">
        <v>764</v>
      </c>
      <c r="C21235" s="4" t="str">
        <f>HYPERLINK("http://www.uniprot.org/uniprot/M5WVW7","M5WVW7")</f>
        <v>M5WVW7</v>
      </c>
      <c r="D21235" s="2" t="s">
        <v>6853</v>
      </c>
      <c r="E21235" s="3">
        <v>6.5700000000000004E-35</v>
      </c>
      <c r="F21235" s="2">
        <v>331</v>
      </c>
      <c r="G21235" s="2">
        <v>100</v>
      </c>
      <c r="H21235" s="2">
        <v>107</v>
      </c>
      <c r="I21235" s="2">
        <v>148</v>
      </c>
      <c r="J21235" s="2">
        <v>468</v>
      </c>
      <c r="K21235" s="2">
        <v>1</v>
      </c>
      <c r="L21235" s="2">
        <v>107</v>
      </c>
    </row>
    <row r="21236" spans="1:12" x14ac:dyDescent="0.25">
      <c r="A21236" s="4" t="str">
        <f>HYPERLINK("http://www.rosaceae.org/Prunus/Prunus_persica/p.persica_gdr_reftransV1_0045929","p.persica_gdr_reftransV1_0045929")</f>
        <v>p.persica_gdr_reftransV1_0045929</v>
      </c>
      <c r="B21236" s="2">
        <v>1355</v>
      </c>
      <c r="C21236" s="4" t="str">
        <f>HYPERLINK("http://www.uniprot.org/uniprot/W9R6X3","W9R6X3")</f>
        <v>W9R6X3</v>
      </c>
      <c r="D21236" s="2" t="s">
        <v>15901</v>
      </c>
      <c r="E21236" s="3">
        <v>2.7499999999999998E-9</v>
      </c>
      <c r="F21236" s="2">
        <v>167</v>
      </c>
      <c r="G21236" s="2">
        <v>62</v>
      </c>
      <c r="H21236" s="2">
        <v>60</v>
      </c>
      <c r="I21236" s="2">
        <v>994</v>
      </c>
      <c r="J21236" s="2">
        <v>1164</v>
      </c>
      <c r="K21236" s="2">
        <v>1</v>
      </c>
      <c r="L21236" s="2">
        <v>58</v>
      </c>
    </row>
    <row r="21237" spans="1:12" x14ac:dyDescent="0.25">
      <c r="A21237" s="4" t="str">
        <f>HYPERLINK("http://www.rosaceae.org/Prunus/Prunus_persica/p.persica_gdr_reftransV1_0046279","p.persica_gdr_reftransV1_0046279")</f>
        <v>p.persica_gdr_reftransV1_0046279</v>
      </c>
      <c r="B21237" s="2">
        <v>822</v>
      </c>
      <c r="C21237" s="4" t="str">
        <f>HYPERLINK("http://www.uniprot.org/uniprot/M5X274","M5X274")</f>
        <v>M5X274</v>
      </c>
      <c r="D21237" s="2" t="s">
        <v>3775</v>
      </c>
      <c r="E21237" s="3">
        <v>1.2400000000000001E-147</v>
      </c>
      <c r="F21237" s="2">
        <v>1090</v>
      </c>
      <c r="G21237" s="2">
        <v>100</v>
      </c>
      <c r="H21237" s="2">
        <v>215</v>
      </c>
      <c r="I21237" s="2">
        <v>99</v>
      </c>
      <c r="J21237" s="2">
        <v>743</v>
      </c>
      <c r="K21237" s="2">
        <v>1</v>
      </c>
      <c r="L21237" s="2">
        <v>215</v>
      </c>
    </row>
    <row r="21238" spans="1:12" x14ac:dyDescent="0.25">
      <c r="A21238" s="4" t="str">
        <f>HYPERLINK("http://www.rosaceae.org/Prunus/Prunus_persica/p.persica_gdr_reftransV1_0046629","p.persica_gdr_reftransV1_0046629")</f>
        <v>p.persica_gdr_reftransV1_0046629</v>
      </c>
      <c r="B21238" s="2">
        <v>1545</v>
      </c>
      <c r="C21238" s="4" t="str">
        <f>HYPERLINK("http://www.uniprot.org/uniprot/M5VM78","M5VM78")</f>
        <v>M5VM78</v>
      </c>
      <c r="D21238" s="2" t="s">
        <v>9042</v>
      </c>
      <c r="E21238" s="3">
        <v>0</v>
      </c>
      <c r="F21238" s="2">
        <v>1768</v>
      </c>
      <c r="G21238" s="2">
        <v>100</v>
      </c>
      <c r="H21238" s="2">
        <v>330</v>
      </c>
      <c r="I21238" s="2">
        <v>368</v>
      </c>
      <c r="J21238" s="2">
        <v>1357</v>
      </c>
      <c r="K21238" s="2">
        <v>78</v>
      </c>
      <c r="L21238" s="2">
        <v>407</v>
      </c>
    </row>
    <row r="21239" spans="1:12" x14ac:dyDescent="0.25">
      <c r="A21239" s="4" t="str">
        <f>HYPERLINK("http://www.rosaceae.org/Prunus/Prunus_persica/p.persica_gdr_reftransV1_0046979","p.persica_gdr_reftransV1_0046979")</f>
        <v>p.persica_gdr_reftransV1_0046979</v>
      </c>
      <c r="B21239" s="2">
        <v>1424</v>
      </c>
      <c r="C21239" s="4" t="str">
        <f>HYPERLINK("http://www.uniprot.org/uniprot/M5WWD5","M5WWD5")</f>
        <v>M5WWD5</v>
      </c>
      <c r="D21239" s="2" t="s">
        <v>15902</v>
      </c>
      <c r="E21239" s="3">
        <v>0</v>
      </c>
      <c r="F21239" s="2">
        <v>1478</v>
      </c>
      <c r="G21239" s="2">
        <v>100</v>
      </c>
      <c r="H21239" s="2">
        <v>303</v>
      </c>
      <c r="I21239" s="2">
        <v>156</v>
      </c>
      <c r="J21239" s="2">
        <v>1064</v>
      </c>
      <c r="K21239" s="2">
        <v>1</v>
      </c>
      <c r="L21239" s="2">
        <v>303</v>
      </c>
    </row>
    <row r="21240" spans="1:12" x14ac:dyDescent="0.25">
      <c r="A21240" s="4" t="str">
        <f>HYPERLINK("http://www.rosaceae.org/Prunus/Prunus_persica/p.persica_gdr_reftransV1_0047679","p.persica_gdr_reftransV1_0047679")</f>
        <v>p.persica_gdr_reftransV1_0047679</v>
      </c>
      <c r="B21240" s="2">
        <v>582</v>
      </c>
      <c r="C21240" s="4" t="str">
        <f>HYPERLINK("http://www.uniprot.org/uniprot/M5W6L4","M5W6L4")</f>
        <v>M5W6L4</v>
      </c>
      <c r="D21240" s="2" t="s">
        <v>3321</v>
      </c>
      <c r="E21240" s="3">
        <v>1.3999999999999999E-133</v>
      </c>
      <c r="F21240" s="2">
        <v>1026</v>
      </c>
      <c r="G21240" s="2">
        <v>99</v>
      </c>
      <c r="H21240" s="2">
        <v>192</v>
      </c>
      <c r="I21240" s="2">
        <v>3</v>
      </c>
      <c r="J21240" s="2">
        <v>578</v>
      </c>
      <c r="K21240" s="2">
        <v>153</v>
      </c>
      <c r="L21240" s="2">
        <v>344</v>
      </c>
    </row>
    <row r="21241" spans="1:12" x14ac:dyDescent="0.25">
      <c r="A21241" s="4" t="str">
        <f>HYPERLINK("http://www.rosaceae.org/Prunus/Prunus_persica/p.persica_gdr_reftransV1_0048029","p.persica_gdr_reftransV1_0048029")</f>
        <v>p.persica_gdr_reftransV1_0048029</v>
      </c>
      <c r="B21241" s="2">
        <v>1311</v>
      </c>
      <c r="C21241" s="4" t="str">
        <f>HYPERLINK("http://www.uniprot.org/uniprot/M5W8K0","M5W8K0")</f>
        <v>M5W8K0</v>
      </c>
      <c r="D21241" s="2" t="s">
        <v>10575</v>
      </c>
      <c r="E21241" s="3">
        <v>2.81E-164</v>
      </c>
      <c r="F21241" s="2">
        <v>1247</v>
      </c>
      <c r="G21241" s="2">
        <v>100</v>
      </c>
      <c r="H21241" s="2">
        <v>238</v>
      </c>
      <c r="I21241" s="2">
        <v>598</v>
      </c>
      <c r="J21241" s="2">
        <v>1311</v>
      </c>
      <c r="K21241" s="2">
        <v>1</v>
      </c>
      <c r="L21241" s="2">
        <v>238</v>
      </c>
    </row>
    <row r="21242" spans="1:12" x14ac:dyDescent="0.25">
      <c r="A21242" s="4" t="str">
        <f>HYPERLINK("http://www.rosaceae.org/Prunus/Prunus_persica/p.persica_gdr_reftransV1_0048379","p.persica_gdr_reftransV1_0048379")</f>
        <v>p.persica_gdr_reftransV1_0048379</v>
      </c>
      <c r="B21242" s="2">
        <v>1322</v>
      </c>
      <c r="C21242" s="4" t="str">
        <f>HYPERLINK("http://www.uniprot.org/uniprot/M5XLL8","M5XLL8")</f>
        <v>M5XLL8</v>
      </c>
      <c r="D21242" s="2" t="s">
        <v>15903</v>
      </c>
      <c r="E21242" s="3">
        <v>0</v>
      </c>
      <c r="F21242" s="2">
        <v>1705</v>
      </c>
      <c r="G21242" s="2">
        <v>100</v>
      </c>
      <c r="H21242" s="2">
        <v>348</v>
      </c>
      <c r="I21242" s="2">
        <v>131</v>
      </c>
      <c r="J21242" s="2">
        <v>1174</v>
      </c>
      <c r="K21242" s="2">
        <v>1</v>
      </c>
      <c r="L21242" s="2">
        <v>348</v>
      </c>
    </row>
    <row r="21243" spans="1:12" x14ac:dyDescent="0.25">
      <c r="A21243" s="4" t="str">
        <f>HYPERLINK("http://www.rosaceae.org/Prunus/Prunus_persica/p.persica_gdr_reftransV1_0048729","p.persica_gdr_reftransV1_0048729")</f>
        <v>p.persica_gdr_reftransV1_0048729</v>
      </c>
      <c r="B21243" s="2">
        <v>1923</v>
      </c>
      <c r="C21243" s="4" t="str">
        <f>HYPERLINK("http://www.uniprot.org/uniprot/M5WSN3","M5WSN3")</f>
        <v>M5WSN3</v>
      </c>
      <c r="D21243" s="2" t="s">
        <v>7456</v>
      </c>
      <c r="E21243" s="3">
        <v>0</v>
      </c>
      <c r="F21243" s="2">
        <v>1587</v>
      </c>
      <c r="G21243" s="2">
        <v>100</v>
      </c>
      <c r="H21243" s="2">
        <v>348</v>
      </c>
      <c r="I21243" s="2">
        <v>571</v>
      </c>
      <c r="J21243" s="2">
        <v>1614</v>
      </c>
      <c r="K21243" s="2">
        <v>1</v>
      </c>
      <c r="L21243" s="2">
        <v>348</v>
      </c>
    </row>
    <row r="21244" spans="1:12" x14ac:dyDescent="0.25">
      <c r="A21244" s="4" t="str">
        <f>HYPERLINK("http://www.rosaceae.org/Prunus/Prunus_persica/p.persica_gdr_reftransV1_0000080","p.persica_gdr_reftransV1_0000080")</f>
        <v>p.persica_gdr_reftransV1_0000080</v>
      </c>
      <c r="B21244" s="2">
        <v>1720</v>
      </c>
      <c r="C21244" s="4" t="str">
        <f>HYPERLINK("http://www.uniprot.org/uniprot/M5XY20","M5XY20")</f>
        <v>M5XY20</v>
      </c>
      <c r="D21244" s="2" t="s">
        <v>834</v>
      </c>
      <c r="E21244" s="3">
        <v>0</v>
      </c>
      <c r="F21244" s="2">
        <v>2269</v>
      </c>
      <c r="G21244" s="2">
        <v>95</v>
      </c>
      <c r="H21244" s="2">
        <v>508</v>
      </c>
      <c r="I21244" s="2">
        <v>197</v>
      </c>
      <c r="J21244" s="2">
        <v>1720</v>
      </c>
      <c r="K21244" s="2">
        <v>13</v>
      </c>
      <c r="L21244" s="2">
        <v>493</v>
      </c>
    </row>
    <row r="21245" spans="1:12" x14ac:dyDescent="0.25">
      <c r="A21245" s="4" t="str">
        <f>HYPERLINK("http://www.rosaceae.org/Prunus/Prunus_persica/p.persica_gdr_reftransV1_0000430","p.persica_gdr_reftransV1_0000430")</f>
        <v>p.persica_gdr_reftransV1_0000430</v>
      </c>
      <c r="B21245" s="2">
        <v>842</v>
      </c>
      <c r="C21245" s="4" t="str">
        <f>HYPERLINK("http://www.uniprot.org/uniprot/M5WG24","M5WG24")</f>
        <v>M5WG24</v>
      </c>
      <c r="D21245" s="2" t="s">
        <v>15904</v>
      </c>
      <c r="E21245" s="3">
        <v>9.5799999999999995E-143</v>
      </c>
      <c r="F21245" s="2">
        <v>1070</v>
      </c>
      <c r="G21245" s="2">
        <v>95</v>
      </c>
      <c r="H21245" s="2">
        <v>241</v>
      </c>
      <c r="I21245" s="2">
        <v>45</v>
      </c>
      <c r="J21245" s="2">
        <v>767</v>
      </c>
      <c r="K21245" s="2">
        <v>96</v>
      </c>
      <c r="L21245" s="2">
        <v>332</v>
      </c>
    </row>
    <row r="21246" spans="1:12" x14ac:dyDescent="0.25">
      <c r="A21246" s="4" t="str">
        <f>HYPERLINK("http://www.rosaceae.org/Prunus/Prunus_persica/p.persica_gdr_reftransV1_0000780","p.persica_gdr_reftransV1_0000780")</f>
        <v>p.persica_gdr_reftransV1_0000780</v>
      </c>
      <c r="B21246" s="2">
        <v>1621</v>
      </c>
      <c r="C21246" s="4" t="str">
        <f>HYPERLINK("http://www.uniprot.org/uniprot/M5VY76","M5VY76")</f>
        <v>M5VY76</v>
      </c>
      <c r="D21246" s="2" t="s">
        <v>6715</v>
      </c>
      <c r="E21246" s="3">
        <v>0</v>
      </c>
      <c r="F21246" s="2">
        <v>1172</v>
      </c>
      <c r="G21246" s="2">
        <v>100</v>
      </c>
      <c r="H21246" s="2">
        <v>281</v>
      </c>
      <c r="I21246" s="2">
        <v>528</v>
      </c>
      <c r="J21246" s="2">
        <v>1370</v>
      </c>
      <c r="K21246" s="2">
        <v>171</v>
      </c>
      <c r="L21246" s="2">
        <v>451</v>
      </c>
    </row>
    <row r="21247" spans="1:12" x14ac:dyDescent="0.25">
      <c r="A21247" s="4" t="str">
        <f>HYPERLINK("http://www.rosaceae.org/Prunus/Prunus_persica/p.persica_gdr_reftransV1_0001830","p.persica_gdr_reftransV1_0001830")</f>
        <v>p.persica_gdr_reftransV1_0001830</v>
      </c>
      <c r="B21247" s="2">
        <v>1466</v>
      </c>
      <c r="C21247" s="4" t="str">
        <f>HYPERLINK("http://www.uniprot.org/uniprot/M5WS65","M5WS65")</f>
        <v>M5WS65</v>
      </c>
      <c r="D21247" s="2" t="s">
        <v>5253</v>
      </c>
      <c r="E21247" s="3">
        <v>0</v>
      </c>
      <c r="F21247" s="2">
        <v>2472</v>
      </c>
      <c r="G21247" s="2">
        <v>100</v>
      </c>
      <c r="H21247" s="2">
        <v>488</v>
      </c>
      <c r="I21247" s="2">
        <v>1</v>
      </c>
      <c r="J21247" s="2">
        <v>1464</v>
      </c>
      <c r="K21247" s="2">
        <v>250</v>
      </c>
      <c r="L21247" s="2">
        <v>737</v>
      </c>
    </row>
    <row r="21248" spans="1:12" x14ac:dyDescent="0.25">
      <c r="A21248" s="4" t="str">
        <f>HYPERLINK("http://www.rosaceae.org/Prunus/Prunus_persica/p.persica_gdr_reftransV1_0002180","p.persica_gdr_reftransV1_0002180")</f>
        <v>p.persica_gdr_reftransV1_0002180</v>
      </c>
      <c r="B21248" s="2">
        <v>1014</v>
      </c>
      <c r="C21248" s="4" t="str">
        <f>HYPERLINK("http://www.uniprot.org/uniprot/M5VXJ0","M5VXJ0")</f>
        <v>M5VXJ0</v>
      </c>
      <c r="D21248" s="2" t="s">
        <v>2995</v>
      </c>
      <c r="E21248" s="3">
        <v>7.2100000000000004E-168</v>
      </c>
      <c r="F21248" s="2">
        <v>1305</v>
      </c>
      <c r="G21248" s="2">
        <v>100</v>
      </c>
      <c r="H21248" s="2">
        <v>242</v>
      </c>
      <c r="I21248" s="2">
        <v>3</v>
      </c>
      <c r="J21248" s="2">
        <v>728</v>
      </c>
      <c r="K21248" s="2">
        <v>1</v>
      </c>
      <c r="L21248" s="2">
        <v>242</v>
      </c>
    </row>
    <row r="21249" spans="1:12" x14ac:dyDescent="0.25">
      <c r="A21249" s="4" t="str">
        <f>HYPERLINK("http://www.rosaceae.org/Prunus/Prunus_persica/p.persica_gdr_reftransV1_0002530","p.persica_gdr_reftransV1_0002530")</f>
        <v>p.persica_gdr_reftransV1_0002530</v>
      </c>
      <c r="B21249" s="2">
        <v>435</v>
      </c>
      <c r="C21249" s="4" t="str">
        <f>HYPERLINK("http://www.uniprot.org/uniprot/M5WL74","M5WL74")</f>
        <v>M5WL74</v>
      </c>
      <c r="D21249" s="2" t="s">
        <v>15905</v>
      </c>
      <c r="E21249" s="3">
        <v>2.29E-71</v>
      </c>
      <c r="F21249" s="2">
        <v>583</v>
      </c>
      <c r="G21249" s="2">
        <v>83</v>
      </c>
      <c r="H21249" s="2">
        <v>144</v>
      </c>
      <c r="I21249" s="2">
        <v>3</v>
      </c>
      <c r="J21249" s="2">
        <v>434</v>
      </c>
      <c r="K21249" s="2">
        <v>193</v>
      </c>
      <c r="L21249" s="2">
        <v>333</v>
      </c>
    </row>
    <row r="21250" spans="1:12" x14ac:dyDescent="0.25">
      <c r="A21250" s="4" t="str">
        <f>HYPERLINK("http://www.rosaceae.org/Prunus/Prunus_persica/p.persica_gdr_reftransV1_0002880","p.persica_gdr_reftransV1_0002880")</f>
        <v>p.persica_gdr_reftransV1_0002880</v>
      </c>
      <c r="B21250" s="2">
        <v>822</v>
      </c>
      <c r="C21250" s="4" t="str">
        <f>HYPERLINK("http://www.uniprot.org/uniprot/M5VH85","M5VH85")</f>
        <v>M5VH85</v>
      </c>
      <c r="D21250" s="2" t="s">
        <v>10243</v>
      </c>
      <c r="E21250" s="3">
        <v>2.46E-170</v>
      </c>
      <c r="F21250" s="2">
        <v>1266</v>
      </c>
      <c r="G21250" s="2">
        <v>92</v>
      </c>
      <c r="H21250" s="2">
        <v>274</v>
      </c>
      <c r="I21250" s="2">
        <v>1</v>
      </c>
      <c r="J21250" s="2">
        <v>822</v>
      </c>
      <c r="K21250" s="2">
        <v>13</v>
      </c>
      <c r="L21250" s="2">
        <v>265</v>
      </c>
    </row>
    <row r="21251" spans="1:12" x14ac:dyDescent="0.25">
      <c r="A21251" s="4" t="str">
        <f>HYPERLINK("http://www.rosaceae.org/Prunus/Prunus_persica/p.persica_gdr_reftransV1_0003230","p.persica_gdr_reftransV1_0003230")</f>
        <v>p.persica_gdr_reftransV1_0003230</v>
      </c>
      <c r="B21251" s="2">
        <v>3401</v>
      </c>
      <c r="C21251" s="4" t="str">
        <f>HYPERLINK("http://www.uniprot.org/uniprot/M5X034","M5X034")</f>
        <v>M5X034</v>
      </c>
      <c r="D21251" s="2" t="s">
        <v>15906</v>
      </c>
      <c r="E21251" s="3">
        <v>0</v>
      </c>
      <c r="F21251" s="2">
        <v>3983</v>
      </c>
      <c r="G21251" s="2">
        <v>99</v>
      </c>
      <c r="H21251" s="2">
        <v>890</v>
      </c>
      <c r="I21251" s="2">
        <v>225</v>
      </c>
      <c r="J21251" s="2">
        <v>2894</v>
      </c>
      <c r="K21251" s="2">
        <v>1</v>
      </c>
      <c r="L21251" s="2">
        <v>882</v>
      </c>
    </row>
    <row r="21252" spans="1:12" x14ac:dyDescent="0.25">
      <c r="A21252" s="4" t="str">
        <f>HYPERLINK("http://www.rosaceae.org/Prunus/Prunus_persica/p.persica_gdr_reftransV1_0003580","p.persica_gdr_reftransV1_0003580")</f>
        <v>p.persica_gdr_reftransV1_0003580</v>
      </c>
      <c r="B21252" s="2">
        <v>1270</v>
      </c>
      <c r="C21252" s="4" t="str">
        <f>HYPERLINK("http://www.uniprot.org/uniprot/M5WE18","M5WE18")</f>
        <v>M5WE18</v>
      </c>
      <c r="D21252" s="2" t="s">
        <v>2786</v>
      </c>
      <c r="E21252" s="3">
        <v>0</v>
      </c>
      <c r="F21252" s="2">
        <v>2139</v>
      </c>
      <c r="G21252" s="2">
        <v>100</v>
      </c>
      <c r="H21252" s="2">
        <v>423</v>
      </c>
      <c r="I21252" s="2">
        <v>2</v>
      </c>
      <c r="J21252" s="2">
        <v>1270</v>
      </c>
      <c r="K21252" s="2">
        <v>218</v>
      </c>
      <c r="L21252" s="2">
        <v>640</v>
      </c>
    </row>
    <row r="21253" spans="1:12" x14ac:dyDescent="0.25">
      <c r="A21253" s="4" t="str">
        <f>HYPERLINK("http://www.rosaceae.org/Prunus/Prunus_persica/p.persica_gdr_reftransV1_0003930","p.persica_gdr_reftransV1_0003930")</f>
        <v>p.persica_gdr_reftransV1_0003930</v>
      </c>
      <c r="B21253" s="2">
        <v>2638</v>
      </c>
      <c r="C21253" s="4" t="str">
        <f>HYPERLINK("http://www.uniprot.org/uniprot/M5WE10","M5WE10")</f>
        <v>M5WE10</v>
      </c>
      <c r="D21253" s="2" t="s">
        <v>12763</v>
      </c>
      <c r="E21253" s="3">
        <v>0</v>
      </c>
      <c r="F21253" s="2">
        <v>2075</v>
      </c>
      <c r="G21253" s="2">
        <v>99</v>
      </c>
      <c r="H21253" s="2">
        <v>490</v>
      </c>
      <c r="I21253" s="2">
        <v>1123</v>
      </c>
      <c r="J21253" s="2">
        <v>2592</v>
      </c>
      <c r="K21253" s="2">
        <v>12</v>
      </c>
      <c r="L21253" s="2">
        <v>501</v>
      </c>
    </row>
    <row r="21254" spans="1:12" x14ac:dyDescent="0.25">
      <c r="A21254" s="4" t="str">
        <f>HYPERLINK("http://www.rosaceae.org/Prunus/Prunus_persica/p.persica_gdr_reftransV1_0004630","p.persica_gdr_reftransV1_0004630")</f>
        <v>p.persica_gdr_reftransV1_0004630</v>
      </c>
      <c r="B21254" s="2">
        <v>1423</v>
      </c>
      <c r="C21254" s="4" t="str">
        <f>HYPERLINK("http://www.uniprot.org/uniprot/M5WA11","M5WA11")</f>
        <v>M5WA11</v>
      </c>
      <c r="D21254" s="2" t="s">
        <v>11390</v>
      </c>
      <c r="E21254" s="3">
        <v>2.12E-125</v>
      </c>
      <c r="F21254" s="2">
        <v>763</v>
      </c>
      <c r="G21254" s="2">
        <v>68</v>
      </c>
      <c r="H21254" s="2">
        <v>263</v>
      </c>
      <c r="I21254" s="2">
        <v>485</v>
      </c>
      <c r="J21254" s="2">
        <v>1273</v>
      </c>
      <c r="K21254" s="2">
        <v>95</v>
      </c>
      <c r="L21254" s="2">
        <v>273</v>
      </c>
    </row>
    <row r="21255" spans="1:12" x14ac:dyDescent="0.25">
      <c r="A21255" s="4" t="str">
        <f>HYPERLINK("http://www.rosaceae.org/Prunus/Prunus_persica/p.persica_gdr_reftransV1_0005330","p.persica_gdr_reftransV1_0005330")</f>
        <v>p.persica_gdr_reftransV1_0005330</v>
      </c>
      <c r="B21255" s="2">
        <v>1381</v>
      </c>
      <c r="C21255" s="4" t="str">
        <f>HYPERLINK("http://www.uniprot.org/uniprot/M5VNS8","M5VNS8")</f>
        <v>M5VNS8</v>
      </c>
      <c r="D21255" s="2" t="s">
        <v>5276</v>
      </c>
      <c r="E21255" s="3">
        <v>0</v>
      </c>
      <c r="F21255" s="2">
        <v>1747</v>
      </c>
      <c r="G21255" s="2">
        <v>100</v>
      </c>
      <c r="H21255" s="2">
        <v>343</v>
      </c>
      <c r="I21255" s="2">
        <v>180</v>
      </c>
      <c r="J21255" s="2">
        <v>1208</v>
      </c>
      <c r="K21255" s="2">
        <v>18</v>
      </c>
      <c r="L21255" s="2">
        <v>360</v>
      </c>
    </row>
    <row r="21256" spans="1:12" x14ac:dyDescent="0.25">
      <c r="A21256" s="4" t="str">
        <f>HYPERLINK("http://www.rosaceae.org/Prunus/Prunus_persica/p.persica_gdr_reftransV1_0005680","p.persica_gdr_reftransV1_0005680")</f>
        <v>p.persica_gdr_reftransV1_0005680</v>
      </c>
      <c r="B21256" s="2">
        <v>650</v>
      </c>
      <c r="C21256" s="4" t="str">
        <f>HYPERLINK("http://www.uniprot.org/uniprot/M5XKI2","M5XKI2")</f>
        <v>M5XKI2</v>
      </c>
      <c r="D21256" s="2" t="s">
        <v>773</v>
      </c>
      <c r="E21256" s="3">
        <v>9.4199999999999995E-96</v>
      </c>
      <c r="F21256" s="2">
        <v>786</v>
      </c>
      <c r="G21256" s="2">
        <v>100</v>
      </c>
      <c r="H21256" s="2">
        <v>151</v>
      </c>
      <c r="I21256" s="2">
        <v>100</v>
      </c>
      <c r="J21256" s="2">
        <v>552</v>
      </c>
      <c r="K21256" s="2">
        <v>1</v>
      </c>
      <c r="L21256" s="2">
        <v>151</v>
      </c>
    </row>
    <row r="21257" spans="1:12" x14ac:dyDescent="0.25">
      <c r="A21257" s="4" t="str">
        <f>HYPERLINK("http://www.rosaceae.org/Prunus/Prunus_persica/p.persica_gdr_reftransV1_0006730","p.persica_gdr_reftransV1_0006730")</f>
        <v>p.persica_gdr_reftransV1_0006730</v>
      </c>
      <c r="B21257" s="2">
        <v>1087</v>
      </c>
      <c r="C21257" s="4" t="str">
        <f>HYPERLINK("http://www.uniprot.org/uniprot/M5WE79","M5WE79")</f>
        <v>M5WE79</v>
      </c>
      <c r="D21257" s="2" t="s">
        <v>15907</v>
      </c>
      <c r="E21257" s="3">
        <v>4.8300000000000004E-159</v>
      </c>
      <c r="F21257" s="2">
        <v>1178</v>
      </c>
      <c r="G21257" s="2">
        <v>100</v>
      </c>
      <c r="H21257" s="2">
        <v>239</v>
      </c>
      <c r="I21257" s="2">
        <v>44</v>
      </c>
      <c r="J21257" s="2">
        <v>760</v>
      </c>
      <c r="K21257" s="2">
        <v>1</v>
      </c>
      <c r="L21257" s="2">
        <v>239</v>
      </c>
    </row>
    <row r="21258" spans="1:12" x14ac:dyDescent="0.25">
      <c r="A21258" s="4" t="str">
        <f>HYPERLINK("http://www.rosaceae.org/Prunus/Prunus_persica/p.persica_gdr_reftransV1_0007080","p.persica_gdr_reftransV1_0007080")</f>
        <v>p.persica_gdr_reftransV1_0007080</v>
      </c>
      <c r="B21258" s="2">
        <v>353</v>
      </c>
      <c r="C21258" s="4" t="str">
        <f>HYPERLINK("http://www.uniprot.org/uniprot/M5Y1G4","M5Y1G4")</f>
        <v>M5Y1G4</v>
      </c>
      <c r="D21258" s="2" t="s">
        <v>15908</v>
      </c>
      <c r="E21258" s="3">
        <v>1.1100000000000001E-63</v>
      </c>
      <c r="F21258" s="2">
        <v>555</v>
      </c>
      <c r="G21258" s="2">
        <v>95</v>
      </c>
      <c r="H21258" s="2">
        <v>116</v>
      </c>
      <c r="I21258" s="2">
        <v>4</v>
      </c>
      <c r="J21258" s="2">
        <v>351</v>
      </c>
      <c r="K21258" s="2">
        <v>622</v>
      </c>
      <c r="L21258" s="2">
        <v>737</v>
      </c>
    </row>
    <row r="21259" spans="1:12" x14ac:dyDescent="0.25">
      <c r="A21259" s="4" t="str">
        <f>HYPERLINK("http://www.rosaceae.org/Prunus/Prunus_persica/p.persica_gdr_reftransV1_0007430","p.persica_gdr_reftransV1_0007430")</f>
        <v>p.persica_gdr_reftransV1_0007430</v>
      </c>
      <c r="B21259" s="2">
        <v>1141</v>
      </c>
      <c r="C21259" s="4" t="str">
        <f>HYPERLINK("http://www.uniprot.org/uniprot/M5WU82","M5WU82")</f>
        <v>M5WU82</v>
      </c>
      <c r="D21259" s="2" t="s">
        <v>15909</v>
      </c>
      <c r="E21259" s="3">
        <v>0</v>
      </c>
      <c r="F21259" s="2">
        <v>1584</v>
      </c>
      <c r="G21259" s="2">
        <v>100</v>
      </c>
      <c r="H21259" s="2">
        <v>296</v>
      </c>
      <c r="I21259" s="2">
        <v>199</v>
      </c>
      <c r="J21259" s="2">
        <v>1086</v>
      </c>
      <c r="K21259" s="2">
        <v>1</v>
      </c>
      <c r="L21259" s="2">
        <v>296</v>
      </c>
    </row>
    <row r="21260" spans="1:12" x14ac:dyDescent="0.25">
      <c r="A21260" s="4" t="str">
        <f>HYPERLINK("http://www.rosaceae.org/Prunus/Prunus_persica/p.persica_gdr_reftransV1_0007780","p.persica_gdr_reftransV1_0007780")</f>
        <v>p.persica_gdr_reftransV1_0007780</v>
      </c>
      <c r="B21260" s="2">
        <v>1095</v>
      </c>
      <c r="C21260" s="4" t="str">
        <f>HYPERLINK("http://www.uniprot.org/uniprot/M5WHR7","M5WHR7")</f>
        <v>M5WHR7</v>
      </c>
      <c r="D21260" s="2" t="s">
        <v>7732</v>
      </c>
      <c r="E21260" s="3">
        <v>8.1300000000000002E-153</v>
      </c>
      <c r="F21260" s="2">
        <v>1161</v>
      </c>
      <c r="G21260" s="2">
        <v>100</v>
      </c>
      <c r="H21260" s="2">
        <v>220</v>
      </c>
      <c r="I21260" s="2">
        <v>1</v>
      </c>
      <c r="J21260" s="2">
        <v>660</v>
      </c>
      <c r="K21260" s="2">
        <v>251</v>
      </c>
      <c r="L21260" s="2">
        <v>470</v>
      </c>
    </row>
    <row r="21261" spans="1:12" x14ac:dyDescent="0.25">
      <c r="A21261" s="4" t="str">
        <f>HYPERLINK("http://www.rosaceae.org/Prunus/Prunus_persica/p.persica_gdr_reftransV1_0008130","p.persica_gdr_reftransV1_0008130")</f>
        <v>p.persica_gdr_reftransV1_0008130</v>
      </c>
      <c r="B21261" s="2">
        <v>1633</v>
      </c>
      <c r="C21261" s="4" t="str">
        <f>HYPERLINK("http://www.uniprot.org/uniprot/M5X147","M5X147")</f>
        <v>M5X147</v>
      </c>
      <c r="D21261" s="2" t="s">
        <v>15910</v>
      </c>
      <c r="E21261" s="3">
        <v>2.05E-132</v>
      </c>
      <c r="F21261" s="2">
        <v>1015</v>
      </c>
      <c r="G21261" s="2">
        <v>100</v>
      </c>
      <c r="H21261" s="2">
        <v>192</v>
      </c>
      <c r="I21261" s="2">
        <v>944</v>
      </c>
      <c r="J21261" s="2">
        <v>1519</v>
      </c>
      <c r="K21261" s="2">
        <v>1</v>
      </c>
      <c r="L21261" s="2">
        <v>192</v>
      </c>
    </row>
    <row r="21262" spans="1:12" x14ac:dyDescent="0.25">
      <c r="A21262" s="4" t="str">
        <f>HYPERLINK("http://www.rosaceae.org/Prunus/Prunus_persica/p.persica_gdr_reftransV1_0008480","p.persica_gdr_reftransV1_0008480")</f>
        <v>p.persica_gdr_reftransV1_0008480</v>
      </c>
      <c r="B21262" s="2">
        <v>2248</v>
      </c>
      <c r="C21262" s="4" t="str">
        <f>HYPERLINK("http://www.uniprot.org/uniprot/M5XEB6","M5XEB6")</f>
        <v>M5XEB6</v>
      </c>
      <c r="D21262" s="2" t="s">
        <v>15911</v>
      </c>
      <c r="E21262" s="3">
        <v>0</v>
      </c>
      <c r="F21262" s="2">
        <v>2895</v>
      </c>
      <c r="G21262" s="2">
        <v>100</v>
      </c>
      <c r="H21262" s="2">
        <v>567</v>
      </c>
      <c r="I21262" s="2">
        <v>245</v>
      </c>
      <c r="J21262" s="2">
        <v>1945</v>
      </c>
      <c r="K21262" s="2">
        <v>1</v>
      </c>
      <c r="L21262" s="2">
        <v>567</v>
      </c>
    </row>
    <row r="21263" spans="1:12" x14ac:dyDescent="0.25">
      <c r="A21263" s="4" t="str">
        <f>HYPERLINK("http://www.rosaceae.org/Prunus/Prunus_persica/p.persica_gdr_reftransV1_0009530","p.persica_gdr_reftransV1_0009530")</f>
        <v>p.persica_gdr_reftransV1_0009530</v>
      </c>
      <c r="B21263" s="2">
        <v>752</v>
      </c>
      <c r="C21263" s="4" t="str">
        <f>HYPERLINK("http://www.uniprot.org/uniprot/M5X8G3","M5X8G3")</f>
        <v>M5X8G3</v>
      </c>
      <c r="D21263" s="2" t="s">
        <v>15912</v>
      </c>
      <c r="E21263" s="3">
        <v>2.27E-135</v>
      </c>
      <c r="F21263" s="2">
        <v>1030</v>
      </c>
      <c r="G21263" s="2">
        <v>100</v>
      </c>
      <c r="H21263" s="2">
        <v>195</v>
      </c>
      <c r="I21263" s="2">
        <v>167</v>
      </c>
      <c r="J21263" s="2">
        <v>751</v>
      </c>
      <c r="K21263" s="2">
        <v>1</v>
      </c>
      <c r="L21263" s="2">
        <v>195</v>
      </c>
    </row>
    <row r="21264" spans="1:12" x14ac:dyDescent="0.25">
      <c r="A21264" s="4" t="str">
        <f>HYPERLINK("http://www.rosaceae.org/Prunus/Prunus_persica/p.persica_gdr_reftransV1_0009880","p.persica_gdr_reftransV1_0009880")</f>
        <v>p.persica_gdr_reftransV1_0009880</v>
      </c>
      <c r="B21264" s="2">
        <v>561</v>
      </c>
      <c r="C21264" s="4" t="str">
        <f>HYPERLINK("http://www.uniprot.org/uniprot/M5WSR8","M5WSR8")</f>
        <v>M5WSR8</v>
      </c>
      <c r="D21264" s="2" t="s">
        <v>1775</v>
      </c>
      <c r="E21264" s="3">
        <v>2.0000000000000001E-114</v>
      </c>
      <c r="F21264" s="2">
        <v>873</v>
      </c>
      <c r="G21264" s="2">
        <v>99</v>
      </c>
      <c r="H21264" s="2">
        <v>167</v>
      </c>
      <c r="I21264" s="2">
        <v>59</v>
      </c>
      <c r="J21264" s="2">
        <v>559</v>
      </c>
      <c r="K21264" s="2">
        <v>9</v>
      </c>
      <c r="L21264" s="2">
        <v>175</v>
      </c>
    </row>
    <row r="21265" spans="1:12" x14ac:dyDescent="0.25">
      <c r="A21265" s="4" t="str">
        <f>HYPERLINK("http://www.rosaceae.org/Prunus/Prunus_persica/p.persica_gdr_reftransV1_0010230","p.persica_gdr_reftransV1_0010230")</f>
        <v>p.persica_gdr_reftransV1_0010230</v>
      </c>
      <c r="B21265" s="2">
        <v>7086</v>
      </c>
      <c r="C21265" s="4" t="str">
        <f>HYPERLINK("http://www.uniprot.org/uniprot/M5W7D1","M5W7D1")</f>
        <v>M5W7D1</v>
      </c>
      <c r="D21265" s="2" t="s">
        <v>15913</v>
      </c>
      <c r="E21265" s="3">
        <v>0</v>
      </c>
      <c r="F21265" s="2">
        <v>11358</v>
      </c>
      <c r="G21265" s="2">
        <v>100</v>
      </c>
      <c r="H21265" s="2">
        <v>2180</v>
      </c>
      <c r="I21265" s="2">
        <v>181</v>
      </c>
      <c r="J21265" s="2">
        <v>6720</v>
      </c>
      <c r="K21265" s="2">
        <v>1</v>
      </c>
      <c r="L21265" s="2">
        <v>2180</v>
      </c>
    </row>
    <row r="21266" spans="1:12" x14ac:dyDescent="0.25">
      <c r="A21266" s="4" t="str">
        <f>HYPERLINK("http://www.rosaceae.org/Prunus/Prunus_persica/p.persica_gdr_reftransV1_0011280","p.persica_gdr_reftransV1_0011280")</f>
        <v>p.persica_gdr_reftransV1_0011280</v>
      </c>
      <c r="B21266" s="2">
        <v>2977</v>
      </c>
      <c r="C21266" s="4" t="str">
        <f>HYPERLINK("http://www.uniprot.org/uniprot/M5XM15","M5XM15")</f>
        <v>M5XM15</v>
      </c>
      <c r="D21266" s="2" t="s">
        <v>15079</v>
      </c>
      <c r="E21266" s="3">
        <v>0</v>
      </c>
      <c r="F21266" s="2">
        <v>1506</v>
      </c>
      <c r="G21266" s="2">
        <v>100</v>
      </c>
      <c r="H21266" s="2">
        <v>280</v>
      </c>
      <c r="I21266" s="2">
        <v>1518</v>
      </c>
      <c r="J21266" s="2">
        <v>2357</v>
      </c>
      <c r="K21266" s="2">
        <v>1</v>
      </c>
      <c r="L21266" s="2">
        <v>280</v>
      </c>
    </row>
    <row r="21267" spans="1:12" x14ac:dyDescent="0.25">
      <c r="A21267" s="4" t="str">
        <f>HYPERLINK("http://www.rosaceae.org/Prunus/Prunus_persica/p.persica_gdr_reftransV1_0011980","p.persica_gdr_reftransV1_0011980")</f>
        <v>p.persica_gdr_reftransV1_0011980</v>
      </c>
      <c r="B21267" s="2">
        <v>1698</v>
      </c>
      <c r="C21267" s="4" t="str">
        <f>HYPERLINK("http://www.uniprot.org/uniprot/M5XXV4","M5XXV4")</f>
        <v>M5XXV4</v>
      </c>
      <c r="D21267" s="2" t="s">
        <v>5066</v>
      </c>
      <c r="E21267" s="3">
        <v>3.0599999999999999E-133</v>
      </c>
      <c r="F21267" s="2">
        <v>1035</v>
      </c>
      <c r="G21267" s="2">
        <v>100</v>
      </c>
      <c r="H21267" s="2">
        <v>197</v>
      </c>
      <c r="I21267" s="2">
        <v>948</v>
      </c>
      <c r="J21267" s="2">
        <v>1538</v>
      </c>
      <c r="K21267" s="2">
        <v>122</v>
      </c>
      <c r="L21267" s="2">
        <v>318</v>
      </c>
    </row>
    <row r="21268" spans="1:12" x14ac:dyDescent="0.25">
      <c r="A21268" s="4" t="str">
        <f>HYPERLINK("http://www.rosaceae.org/Prunus/Prunus_persica/p.persica_gdr_reftransV1_0012330","p.persica_gdr_reftransV1_0012330")</f>
        <v>p.persica_gdr_reftransV1_0012330</v>
      </c>
      <c r="B21268" s="2">
        <v>2294</v>
      </c>
      <c r="C21268" s="4" t="str">
        <f>HYPERLINK("http://www.uniprot.org/uniprot/M5X2J9","M5X2J9")</f>
        <v>M5X2J9</v>
      </c>
      <c r="D21268" s="2" t="s">
        <v>15914</v>
      </c>
      <c r="E21268" s="3">
        <v>0</v>
      </c>
      <c r="F21268" s="2">
        <v>2515</v>
      </c>
      <c r="G21268" s="2">
        <v>100</v>
      </c>
      <c r="H21268" s="2">
        <v>479</v>
      </c>
      <c r="I21268" s="2">
        <v>549</v>
      </c>
      <c r="J21268" s="2">
        <v>1985</v>
      </c>
      <c r="K21268" s="2">
        <v>1</v>
      </c>
      <c r="L21268" s="2">
        <v>479</v>
      </c>
    </row>
    <row r="21269" spans="1:12" x14ac:dyDescent="0.25">
      <c r="A21269" s="4" t="str">
        <f>HYPERLINK("http://www.rosaceae.org/Prunus/Prunus_persica/p.persica_gdr_reftransV1_0012680","p.persica_gdr_reftransV1_0012680")</f>
        <v>p.persica_gdr_reftransV1_0012680</v>
      </c>
      <c r="B21269" s="2">
        <v>4305</v>
      </c>
      <c r="C21269" s="4" t="str">
        <f>HYPERLINK("http://www.uniprot.org/uniprot/M5WIX8","M5WIX8")</f>
        <v>M5WIX8</v>
      </c>
      <c r="D21269" s="2" t="s">
        <v>7142</v>
      </c>
      <c r="E21269" s="3">
        <v>4.6000000000000002E-79</v>
      </c>
      <c r="F21269" s="2">
        <v>692</v>
      </c>
      <c r="G21269" s="2">
        <v>100</v>
      </c>
      <c r="H21269" s="2">
        <v>145</v>
      </c>
      <c r="I21269" s="2">
        <v>3571</v>
      </c>
      <c r="J21269" s="2">
        <v>4005</v>
      </c>
      <c r="K21269" s="2">
        <v>74</v>
      </c>
      <c r="L21269" s="2">
        <v>218</v>
      </c>
    </row>
    <row r="21270" spans="1:12" x14ac:dyDescent="0.25">
      <c r="A21270" s="4" t="str">
        <f>HYPERLINK("http://www.rosaceae.org/Prunus/Prunus_persica/p.persica_gdr_reftransV1_0013730","p.persica_gdr_reftransV1_0013730")</f>
        <v>p.persica_gdr_reftransV1_0013730</v>
      </c>
      <c r="B21270" s="2">
        <v>2408</v>
      </c>
      <c r="C21270" s="4" t="str">
        <f>HYPERLINK("http://www.uniprot.org/uniprot/M5XHF3","M5XHF3")</f>
        <v>M5XHF3</v>
      </c>
      <c r="D21270" s="2" t="s">
        <v>6272</v>
      </c>
      <c r="E21270" s="3">
        <v>0</v>
      </c>
      <c r="F21270" s="2">
        <v>3574</v>
      </c>
      <c r="G21270" s="2">
        <v>100</v>
      </c>
      <c r="H21270" s="2">
        <v>662</v>
      </c>
      <c r="I21270" s="2">
        <v>423</v>
      </c>
      <c r="J21270" s="2">
        <v>2408</v>
      </c>
      <c r="K21270" s="2">
        <v>129</v>
      </c>
      <c r="L21270" s="2">
        <v>790</v>
      </c>
    </row>
    <row r="21271" spans="1:12" x14ac:dyDescent="0.25">
      <c r="A21271" s="4" t="str">
        <f>HYPERLINK("http://www.rosaceae.org/Prunus/Prunus_persica/p.persica_gdr_reftransV1_0014080","p.persica_gdr_reftransV1_0014080")</f>
        <v>p.persica_gdr_reftransV1_0014080</v>
      </c>
      <c r="B21271" s="2">
        <v>914</v>
      </c>
      <c r="C21271" s="4" t="str">
        <f>HYPERLINK("http://www.uniprot.org/uniprot/M5WT10","M5WT10")</f>
        <v>M5WT10</v>
      </c>
      <c r="D21271" s="2" t="s">
        <v>15915</v>
      </c>
      <c r="E21271" s="3">
        <v>1.8499999999999999E-52</v>
      </c>
      <c r="F21271" s="2">
        <v>454</v>
      </c>
      <c r="G21271" s="2">
        <v>100</v>
      </c>
      <c r="H21271" s="2">
        <v>115</v>
      </c>
      <c r="I21271" s="2">
        <v>311</v>
      </c>
      <c r="J21271" s="2">
        <v>655</v>
      </c>
      <c r="K21271" s="2">
        <v>1</v>
      </c>
      <c r="L21271" s="2">
        <v>115</v>
      </c>
    </row>
    <row r="21272" spans="1:12" x14ac:dyDescent="0.25">
      <c r="A21272" s="4" t="str">
        <f>HYPERLINK("http://www.rosaceae.org/Prunus/Prunus_persica/p.persica_gdr_reftransV1_0014430","p.persica_gdr_reftransV1_0014430")</f>
        <v>p.persica_gdr_reftransV1_0014430</v>
      </c>
      <c r="B21272" s="2">
        <v>3733</v>
      </c>
      <c r="C21272" s="4" t="str">
        <f>HYPERLINK("http://www.uniprot.org/uniprot/M5WM80","M5WM80")</f>
        <v>M5WM80</v>
      </c>
      <c r="D21272" s="2" t="s">
        <v>15916</v>
      </c>
      <c r="E21272" s="3">
        <v>0</v>
      </c>
      <c r="F21272" s="2">
        <v>4800</v>
      </c>
      <c r="G21272" s="2">
        <v>100</v>
      </c>
      <c r="H21272" s="2">
        <v>1014</v>
      </c>
      <c r="I21272" s="2">
        <v>485</v>
      </c>
      <c r="J21272" s="2">
        <v>3526</v>
      </c>
      <c r="K21272" s="2">
        <v>1</v>
      </c>
      <c r="L21272" s="2">
        <v>1014</v>
      </c>
    </row>
    <row r="21273" spans="1:12" x14ac:dyDescent="0.25">
      <c r="A21273" s="4" t="str">
        <f>HYPERLINK("http://www.rosaceae.org/Prunus/Prunus_persica/p.persica_gdr_reftransV1_0014780","p.persica_gdr_reftransV1_0014780")</f>
        <v>p.persica_gdr_reftransV1_0014780</v>
      </c>
      <c r="B21273" s="2">
        <v>1691</v>
      </c>
      <c r="C21273" s="4" t="str">
        <f>HYPERLINK("http://www.uniprot.org/uniprot/M5WNZ4","M5WNZ4")</f>
        <v>M5WNZ4</v>
      </c>
      <c r="D21273" s="2" t="s">
        <v>15917</v>
      </c>
      <c r="E21273" s="3">
        <v>0</v>
      </c>
      <c r="F21273" s="2">
        <v>1961</v>
      </c>
      <c r="G21273" s="2">
        <v>78</v>
      </c>
      <c r="H21273" s="2">
        <v>564</v>
      </c>
      <c r="I21273" s="2">
        <v>3</v>
      </c>
      <c r="J21273" s="2">
        <v>1691</v>
      </c>
      <c r="K21273" s="2">
        <v>464</v>
      </c>
      <c r="L21273" s="2">
        <v>1023</v>
      </c>
    </row>
    <row r="21274" spans="1:12" x14ac:dyDescent="0.25">
      <c r="A21274" s="4" t="str">
        <f>HYPERLINK("http://www.rosaceae.org/Prunus/Prunus_persica/p.persica_gdr_reftransV1_0015130","p.persica_gdr_reftransV1_0015130")</f>
        <v>p.persica_gdr_reftransV1_0015130</v>
      </c>
      <c r="B21274" s="2">
        <v>3397</v>
      </c>
      <c r="C21274" s="4" t="str">
        <f>HYPERLINK("http://www.uniprot.org/uniprot/M5XCW8","M5XCW8")</f>
        <v>M5XCW8</v>
      </c>
      <c r="D21274" s="2" t="s">
        <v>15918</v>
      </c>
      <c r="E21274" s="3">
        <v>6.2900000000000003E-143</v>
      </c>
      <c r="F21274" s="2">
        <v>1148</v>
      </c>
      <c r="G21274" s="2">
        <v>95</v>
      </c>
      <c r="H21274" s="2">
        <v>244</v>
      </c>
      <c r="I21274" s="2">
        <v>347</v>
      </c>
      <c r="J21274" s="2">
        <v>1078</v>
      </c>
      <c r="K21274" s="2">
        <v>121</v>
      </c>
      <c r="L21274" s="2">
        <v>362</v>
      </c>
    </row>
    <row r="21275" spans="1:12" x14ac:dyDescent="0.25">
      <c r="A21275" s="4" t="str">
        <f>HYPERLINK("http://www.rosaceae.org/Prunus/Prunus_persica/p.persica_gdr_reftransV1_0015480","p.persica_gdr_reftransV1_0015480")</f>
        <v>p.persica_gdr_reftransV1_0015480</v>
      </c>
      <c r="B21275" s="2">
        <v>1663</v>
      </c>
      <c r="C21275" s="4" t="str">
        <f>HYPERLINK("http://www.uniprot.org/uniprot/M5W8K3","M5W8K3")</f>
        <v>M5W8K3</v>
      </c>
      <c r="D21275" s="2" t="s">
        <v>15919</v>
      </c>
      <c r="E21275" s="3">
        <v>0</v>
      </c>
      <c r="F21275" s="2">
        <v>2340</v>
      </c>
      <c r="G21275" s="2">
        <v>100</v>
      </c>
      <c r="H21275" s="2">
        <v>438</v>
      </c>
      <c r="I21275" s="2">
        <v>295</v>
      </c>
      <c r="J21275" s="2">
        <v>1608</v>
      </c>
      <c r="K21275" s="2">
        <v>1</v>
      </c>
      <c r="L21275" s="2">
        <v>438</v>
      </c>
    </row>
    <row r="21276" spans="1:12" x14ac:dyDescent="0.25">
      <c r="A21276" s="4" t="str">
        <f>HYPERLINK("http://www.rosaceae.org/Prunus/Prunus_persica/p.persica_gdr_reftransV1_0016530","p.persica_gdr_reftransV1_0016530")</f>
        <v>p.persica_gdr_reftransV1_0016530</v>
      </c>
      <c r="B21276" s="2">
        <v>788</v>
      </c>
      <c r="C21276" s="4" t="str">
        <f>HYPERLINK("http://www.uniprot.org/uniprot/M5XRE5","M5XRE5")</f>
        <v>M5XRE5</v>
      </c>
      <c r="D21276" s="2" t="s">
        <v>14514</v>
      </c>
      <c r="E21276" s="3">
        <v>1.5500000000000001E-50</v>
      </c>
      <c r="F21276" s="2">
        <v>472</v>
      </c>
      <c r="G21276" s="2">
        <v>100</v>
      </c>
      <c r="H21276" s="2">
        <v>122</v>
      </c>
      <c r="I21276" s="2">
        <v>422</v>
      </c>
      <c r="J21276" s="2">
        <v>787</v>
      </c>
      <c r="K21276" s="2">
        <v>1</v>
      </c>
      <c r="L21276" s="2">
        <v>122</v>
      </c>
    </row>
    <row r="21277" spans="1:12" x14ac:dyDescent="0.25">
      <c r="A21277" s="4" t="str">
        <f>HYPERLINK("http://www.rosaceae.org/Prunus/Prunus_persica/p.persica_gdr_reftransV1_0017230","p.persica_gdr_reftransV1_0017230")</f>
        <v>p.persica_gdr_reftransV1_0017230</v>
      </c>
      <c r="B21277" s="2">
        <v>1598</v>
      </c>
      <c r="C21277" s="4" t="str">
        <f>HYPERLINK("http://www.uniprot.org/uniprot/M5Y702","M5Y702")</f>
        <v>M5Y702</v>
      </c>
      <c r="D21277" s="2" t="s">
        <v>8122</v>
      </c>
      <c r="E21277" s="3">
        <v>0</v>
      </c>
      <c r="F21277" s="2">
        <v>1873</v>
      </c>
      <c r="G21277" s="2">
        <v>100</v>
      </c>
      <c r="H21277" s="2">
        <v>380</v>
      </c>
      <c r="I21277" s="2">
        <v>2</v>
      </c>
      <c r="J21277" s="2">
        <v>1141</v>
      </c>
      <c r="K21277" s="2">
        <v>262</v>
      </c>
      <c r="L21277" s="2">
        <v>641</v>
      </c>
    </row>
    <row r="21278" spans="1:12" x14ac:dyDescent="0.25">
      <c r="A21278" s="4" t="str">
        <f>HYPERLINK("http://www.rosaceae.org/Prunus/Prunus_persica/p.persica_gdr_reftransV1_0017580","p.persica_gdr_reftransV1_0017580")</f>
        <v>p.persica_gdr_reftransV1_0017580</v>
      </c>
      <c r="B21278" s="2">
        <v>1145</v>
      </c>
      <c r="C21278" s="4" t="str">
        <f>HYPERLINK("http://www.uniprot.org/uniprot/M5WV30","M5WV30")</f>
        <v>M5WV30</v>
      </c>
      <c r="D21278" s="2" t="s">
        <v>15920</v>
      </c>
      <c r="E21278" s="3">
        <v>9.7699999999999999E-89</v>
      </c>
      <c r="F21278" s="2">
        <v>718</v>
      </c>
      <c r="G21278" s="2">
        <v>99</v>
      </c>
      <c r="H21278" s="2">
        <v>244</v>
      </c>
      <c r="I21278" s="2">
        <v>377</v>
      </c>
      <c r="J21278" s="2">
        <v>1108</v>
      </c>
      <c r="K21278" s="2">
        <v>38</v>
      </c>
      <c r="L21278" s="2">
        <v>281</v>
      </c>
    </row>
    <row r="21279" spans="1:12" x14ac:dyDescent="0.25">
      <c r="A21279" s="4" t="str">
        <f>HYPERLINK("http://www.rosaceae.org/Prunus/Prunus_persica/p.persica_gdr_reftransV1_0018630","p.persica_gdr_reftransV1_0018630")</f>
        <v>p.persica_gdr_reftransV1_0018630</v>
      </c>
      <c r="B21279" s="2">
        <v>725</v>
      </c>
      <c r="C21279" s="4" t="str">
        <f>HYPERLINK("http://www.uniprot.org/uniprot/M5VZE7","M5VZE7")</f>
        <v>M5VZE7</v>
      </c>
      <c r="D21279" s="2" t="s">
        <v>5630</v>
      </c>
      <c r="E21279" s="3">
        <v>2.4099999999999999E-126</v>
      </c>
      <c r="F21279" s="2">
        <v>954</v>
      </c>
      <c r="G21279" s="2">
        <v>100</v>
      </c>
      <c r="H21279" s="2">
        <v>193</v>
      </c>
      <c r="I21279" s="2">
        <v>3</v>
      </c>
      <c r="J21279" s="2">
        <v>581</v>
      </c>
      <c r="K21279" s="2">
        <v>1</v>
      </c>
      <c r="L21279" s="2">
        <v>193</v>
      </c>
    </row>
    <row r="21280" spans="1:12" x14ac:dyDescent="0.25">
      <c r="A21280" s="4" t="str">
        <f>HYPERLINK("http://www.rosaceae.org/Prunus/Prunus_persica/p.persica_gdr_reftransV1_0019330","p.persica_gdr_reftransV1_0019330")</f>
        <v>p.persica_gdr_reftransV1_0019330</v>
      </c>
      <c r="B21280" s="2">
        <v>2104</v>
      </c>
      <c r="C21280" s="4" t="str">
        <f>HYPERLINK("http://www.uniprot.org/uniprot/M5WJ82","M5WJ82")</f>
        <v>M5WJ82</v>
      </c>
      <c r="D21280" s="2" t="s">
        <v>12574</v>
      </c>
      <c r="E21280" s="3">
        <v>8.7100000000000005E-107</v>
      </c>
      <c r="F21280" s="2">
        <v>856</v>
      </c>
      <c r="G21280" s="2">
        <v>97</v>
      </c>
      <c r="H21280" s="2">
        <v>180</v>
      </c>
      <c r="I21280" s="2">
        <v>1217</v>
      </c>
      <c r="J21280" s="2">
        <v>1756</v>
      </c>
      <c r="K21280" s="2">
        <v>1</v>
      </c>
      <c r="L21280" s="2">
        <v>180</v>
      </c>
    </row>
    <row r="21281" spans="1:12" x14ac:dyDescent="0.25">
      <c r="A21281" s="4" t="str">
        <f>HYPERLINK("http://www.rosaceae.org/Prunus/Prunus_persica/p.persica_gdr_reftransV1_0019680","p.persica_gdr_reftransV1_0019680")</f>
        <v>p.persica_gdr_reftransV1_0019680</v>
      </c>
      <c r="B21281" s="2">
        <v>4177</v>
      </c>
      <c r="C21281" s="4" t="str">
        <f>HYPERLINK("http://www.uniprot.org/uniprot/A0A067F9B7","A0A067F9B7")</f>
        <v>A0A067F9B7</v>
      </c>
      <c r="D21281" s="2" t="s">
        <v>15921</v>
      </c>
      <c r="E21281" s="3">
        <v>0</v>
      </c>
      <c r="F21281" s="2">
        <v>4456</v>
      </c>
      <c r="G21281" s="2">
        <v>82</v>
      </c>
      <c r="H21281" s="2">
        <v>1102</v>
      </c>
      <c r="I21281" s="2">
        <v>505</v>
      </c>
      <c r="J21281" s="2">
        <v>3789</v>
      </c>
      <c r="K21281" s="2">
        <v>71</v>
      </c>
      <c r="L21281" s="2">
        <v>1115</v>
      </c>
    </row>
    <row r="21282" spans="1:12" x14ac:dyDescent="0.25">
      <c r="A21282" s="4" t="str">
        <f>HYPERLINK("http://www.rosaceae.org/Prunus/Prunus_persica/p.persica_gdr_reftransV1_0021430","p.persica_gdr_reftransV1_0021430")</f>
        <v>p.persica_gdr_reftransV1_0021430</v>
      </c>
      <c r="B21282" s="2">
        <v>962</v>
      </c>
      <c r="C21282" s="4" t="str">
        <f>HYPERLINK("http://www.uniprot.org/uniprot/M5WRI4","M5WRI4")</f>
        <v>M5WRI4</v>
      </c>
      <c r="D21282" s="2" t="s">
        <v>15922</v>
      </c>
      <c r="E21282" s="3">
        <v>5.93E-110</v>
      </c>
      <c r="F21282" s="2">
        <v>841</v>
      </c>
      <c r="G21282" s="2">
        <v>99</v>
      </c>
      <c r="H21282" s="2">
        <v>158</v>
      </c>
      <c r="I21282" s="2">
        <v>406</v>
      </c>
      <c r="J21282" s="2">
        <v>879</v>
      </c>
      <c r="K21282" s="2">
        <v>1</v>
      </c>
      <c r="L21282" s="2">
        <v>158</v>
      </c>
    </row>
    <row r="21283" spans="1:12" x14ac:dyDescent="0.25">
      <c r="A21283" s="4" t="str">
        <f>HYPERLINK("http://www.rosaceae.org/Prunus/Prunus_persica/p.persica_gdr_reftransV1_0022830","p.persica_gdr_reftransV1_0022830")</f>
        <v>p.persica_gdr_reftransV1_0022830</v>
      </c>
      <c r="B21283" s="2">
        <v>1663</v>
      </c>
      <c r="C21283" s="4" t="str">
        <f>HYPERLINK("http://www.uniprot.org/uniprot/M5VNK4","M5VNK4")</f>
        <v>M5VNK4</v>
      </c>
      <c r="D21283" s="2" t="s">
        <v>15923</v>
      </c>
      <c r="E21283" s="3">
        <v>0</v>
      </c>
      <c r="F21283" s="2">
        <v>1719</v>
      </c>
      <c r="G21283" s="2">
        <v>100</v>
      </c>
      <c r="H21283" s="2">
        <v>330</v>
      </c>
      <c r="I21283" s="2">
        <v>487</v>
      </c>
      <c r="J21283" s="2">
        <v>1476</v>
      </c>
      <c r="K21283" s="2">
        <v>1</v>
      </c>
      <c r="L21283" s="2">
        <v>330</v>
      </c>
    </row>
    <row r="21284" spans="1:12" x14ac:dyDescent="0.25">
      <c r="A21284" s="4" t="str">
        <f>HYPERLINK("http://www.rosaceae.org/Prunus/Prunus_persica/p.persica_gdr_reftransV1_0024230","p.persica_gdr_reftransV1_0024230")</f>
        <v>p.persica_gdr_reftransV1_0024230</v>
      </c>
      <c r="B21284" s="2">
        <v>2219</v>
      </c>
      <c r="C21284" s="4" t="str">
        <f>HYPERLINK("http://www.uniprot.org/uniprot/M5VVQ4","M5VVQ4")</f>
        <v>M5VVQ4</v>
      </c>
      <c r="D21284" s="2" t="s">
        <v>15924</v>
      </c>
      <c r="E21284" s="3">
        <v>0</v>
      </c>
      <c r="F21284" s="2">
        <v>1829</v>
      </c>
      <c r="G21284" s="2">
        <v>100</v>
      </c>
      <c r="H21284" s="2">
        <v>361</v>
      </c>
      <c r="I21284" s="2">
        <v>202</v>
      </c>
      <c r="J21284" s="2">
        <v>1284</v>
      </c>
      <c r="K21284" s="2">
        <v>1</v>
      </c>
      <c r="L21284" s="2">
        <v>361</v>
      </c>
    </row>
    <row r="21285" spans="1:12" x14ac:dyDescent="0.25">
      <c r="A21285" s="4" t="str">
        <f>HYPERLINK("http://www.rosaceae.org/Prunus/Prunus_persica/p.persica_gdr_reftransV1_0024580","p.persica_gdr_reftransV1_0024580")</f>
        <v>p.persica_gdr_reftransV1_0024580</v>
      </c>
      <c r="B21285" s="2">
        <v>1111</v>
      </c>
      <c r="C21285" s="4" t="str">
        <f>HYPERLINK("http://www.uniprot.org/uniprot/M5VNV1","M5VNV1")</f>
        <v>M5VNV1</v>
      </c>
      <c r="D21285" s="2" t="s">
        <v>15925</v>
      </c>
      <c r="E21285" s="3">
        <v>0</v>
      </c>
      <c r="F21285" s="2">
        <v>1359</v>
      </c>
      <c r="G21285" s="2">
        <v>100</v>
      </c>
      <c r="H21285" s="2">
        <v>256</v>
      </c>
      <c r="I21285" s="2">
        <v>42</v>
      </c>
      <c r="J21285" s="2">
        <v>809</v>
      </c>
      <c r="K21285" s="2">
        <v>1</v>
      </c>
      <c r="L21285" s="2">
        <v>256</v>
      </c>
    </row>
    <row r="21286" spans="1:12" x14ac:dyDescent="0.25">
      <c r="A21286" s="4" t="str">
        <f>HYPERLINK("http://www.rosaceae.org/Prunus/Prunus_persica/p.persica_gdr_reftransV1_0024930","p.persica_gdr_reftransV1_0024930")</f>
        <v>p.persica_gdr_reftransV1_0024930</v>
      </c>
      <c r="B21286" s="2">
        <v>2099</v>
      </c>
      <c r="C21286" s="4" t="str">
        <f>HYPERLINK("http://www.uniprot.org/uniprot/F6H2M3","F6H2M3")</f>
        <v>F6H2M3</v>
      </c>
      <c r="D21286" s="2" t="s">
        <v>15926</v>
      </c>
      <c r="E21286" s="3">
        <v>0</v>
      </c>
      <c r="F21286" s="2">
        <v>2593</v>
      </c>
      <c r="G21286" s="2">
        <v>88</v>
      </c>
      <c r="H21286" s="2">
        <v>543</v>
      </c>
      <c r="I21286" s="2">
        <v>107</v>
      </c>
      <c r="J21286" s="2">
        <v>1726</v>
      </c>
      <c r="K21286" s="2">
        <v>2</v>
      </c>
      <c r="L21286" s="2">
        <v>544</v>
      </c>
    </row>
    <row r="21287" spans="1:12" x14ac:dyDescent="0.25">
      <c r="A21287" s="4" t="str">
        <f>HYPERLINK("http://www.rosaceae.org/Prunus/Prunus_persica/p.persica_gdr_reftransV1_0026680","p.persica_gdr_reftransV1_0026680")</f>
        <v>p.persica_gdr_reftransV1_0026680</v>
      </c>
      <c r="B21287" s="2">
        <v>3029</v>
      </c>
      <c r="C21287" s="4" t="str">
        <f>HYPERLINK("http://www.uniprot.org/uniprot/M5X3R4","M5X3R4")</f>
        <v>M5X3R4</v>
      </c>
      <c r="D21287" s="2" t="s">
        <v>15927</v>
      </c>
      <c r="E21287" s="3">
        <v>0</v>
      </c>
      <c r="F21287" s="2">
        <v>4374</v>
      </c>
      <c r="G21287" s="2">
        <v>95</v>
      </c>
      <c r="H21287" s="2">
        <v>874</v>
      </c>
      <c r="I21287" s="2">
        <v>269</v>
      </c>
      <c r="J21287" s="2">
        <v>2890</v>
      </c>
      <c r="K21287" s="2">
        <v>1</v>
      </c>
      <c r="L21287" s="2">
        <v>826</v>
      </c>
    </row>
    <row r="21288" spans="1:12" x14ac:dyDescent="0.25">
      <c r="A21288" s="4" t="str">
        <f>HYPERLINK("http://www.rosaceae.org/Prunus/Prunus_persica/p.persica_gdr_reftransV1_0028780","p.persica_gdr_reftransV1_0028780")</f>
        <v>p.persica_gdr_reftransV1_0028780</v>
      </c>
      <c r="B21288" s="2">
        <v>1226</v>
      </c>
      <c r="C21288" s="4" t="str">
        <f>HYPERLINK("http://www.uniprot.org/uniprot/M5W0M3","M5W0M3")</f>
        <v>M5W0M3</v>
      </c>
      <c r="D21288" s="2" t="s">
        <v>15928</v>
      </c>
      <c r="E21288" s="3">
        <v>0</v>
      </c>
      <c r="F21288" s="2">
        <v>1354</v>
      </c>
      <c r="G21288" s="2">
        <v>100</v>
      </c>
      <c r="H21288" s="2">
        <v>271</v>
      </c>
      <c r="I21288" s="2">
        <v>284</v>
      </c>
      <c r="J21288" s="2">
        <v>1096</v>
      </c>
      <c r="K21288" s="2">
        <v>1</v>
      </c>
      <c r="L21288" s="2">
        <v>271</v>
      </c>
    </row>
    <row r="21289" spans="1:12" x14ac:dyDescent="0.25">
      <c r="A21289" s="4" t="str">
        <f>HYPERLINK("http://www.rosaceae.org/Prunus/Prunus_persica/p.persica_gdr_reftransV1_0030880","p.persica_gdr_reftransV1_0030880")</f>
        <v>p.persica_gdr_reftransV1_0030880</v>
      </c>
      <c r="B21289" s="2">
        <v>2173</v>
      </c>
      <c r="C21289" s="4" t="str">
        <f>HYPERLINK("http://www.uniprot.org/uniprot/M5WG84","M5WG84")</f>
        <v>M5WG84</v>
      </c>
      <c r="D21289" s="2" t="s">
        <v>15929</v>
      </c>
      <c r="E21289" s="3">
        <v>0</v>
      </c>
      <c r="F21289" s="2">
        <v>2872</v>
      </c>
      <c r="G21289" s="2">
        <v>100</v>
      </c>
      <c r="H21289" s="2">
        <v>596</v>
      </c>
      <c r="I21289" s="2">
        <v>132</v>
      </c>
      <c r="J21289" s="2">
        <v>1919</v>
      </c>
      <c r="K21289" s="2">
        <v>1</v>
      </c>
      <c r="L21289" s="2">
        <v>596</v>
      </c>
    </row>
    <row r="21290" spans="1:12" x14ac:dyDescent="0.25">
      <c r="A21290" s="4" t="str">
        <f>HYPERLINK("http://www.rosaceae.org/Prunus/Prunus_persica/p.persica_gdr_reftransV1_0032630","p.persica_gdr_reftransV1_0032630")</f>
        <v>p.persica_gdr_reftransV1_0032630</v>
      </c>
      <c r="B21290" s="2">
        <v>3283</v>
      </c>
      <c r="C21290" s="4" t="str">
        <f>HYPERLINK("http://www.uniprot.org/uniprot/M5WXK0","M5WXK0")</f>
        <v>M5WXK0</v>
      </c>
      <c r="D21290" s="2" t="s">
        <v>15930</v>
      </c>
      <c r="E21290" s="3">
        <v>0</v>
      </c>
      <c r="F21290" s="2">
        <v>1897</v>
      </c>
      <c r="G21290" s="2">
        <v>98</v>
      </c>
      <c r="H21290" s="2">
        <v>364</v>
      </c>
      <c r="I21290" s="2">
        <v>1486</v>
      </c>
      <c r="J21290" s="2">
        <v>2577</v>
      </c>
      <c r="K21290" s="2">
        <v>365</v>
      </c>
      <c r="L21290" s="2">
        <v>728</v>
      </c>
    </row>
    <row r="21291" spans="1:12" x14ac:dyDescent="0.25">
      <c r="A21291" s="4" t="str">
        <f>HYPERLINK("http://www.rosaceae.org/Prunus/Prunus_persica/p.persica_gdr_reftransV1_0034030","p.persica_gdr_reftransV1_0034030")</f>
        <v>p.persica_gdr_reftransV1_0034030</v>
      </c>
      <c r="B21291" s="2">
        <v>2935</v>
      </c>
      <c r="C21291" s="4" t="str">
        <f>HYPERLINK("http://www.uniprot.org/uniprot/M5WFM2","M5WFM2")</f>
        <v>M5WFM2</v>
      </c>
      <c r="D21291" s="2" t="s">
        <v>15756</v>
      </c>
      <c r="E21291" s="3">
        <v>0</v>
      </c>
      <c r="F21291" s="2">
        <v>2891</v>
      </c>
      <c r="G21291" s="2">
        <v>100</v>
      </c>
      <c r="H21291" s="2">
        <v>638</v>
      </c>
      <c r="I21291" s="2">
        <v>9</v>
      </c>
      <c r="J21291" s="2">
        <v>1922</v>
      </c>
      <c r="K21291" s="2">
        <v>753</v>
      </c>
      <c r="L21291" s="2">
        <v>1390</v>
      </c>
    </row>
    <row r="21292" spans="1:12" x14ac:dyDescent="0.25">
      <c r="A21292" s="4" t="str">
        <f>HYPERLINK("http://www.rosaceae.org/Prunus/Prunus_persica/p.persica_gdr_reftransV1_0036830","p.persica_gdr_reftransV1_0036830")</f>
        <v>p.persica_gdr_reftransV1_0036830</v>
      </c>
      <c r="B21292" s="2">
        <v>875</v>
      </c>
      <c r="C21292" s="4" t="str">
        <f>HYPERLINK("http://www.uniprot.org/uniprot/M5Y5L3","M5Y5L3")</f>
        <v>M5Y5L3</v>
      </c>
      <c r="D21292" s="2" t="s">
        <v>15931</v>
      </c>
      <c r="E21292" s="3">
        <v>1.5599999999999999E-96</v>
      </c>
      <c r="F21292" s="2">
        <v>749</v>
      </c>
      <c r="G21292" s="2">
        <v>100</v>
      </c>
      <c r="H21292" s="2">
        <v>142</v>
      </c>
      <c r="I21292" s="2">
        <v>68</v>
      </c>
      <c r="J21292" s="2">
        <v>493</v>
      </c>
      <c r="K21292" s="2">
        <v>1</v>
      </c>
      <c r="L21292" s="2">
        <v>142</v>
      </c>
    </row>
    <row r="21293" spans="1:12" x14ac:dyDescent="0.25">
      <c r="A21293" s="4" t="str">
        <f>HYPERLINK("http://www.rosaceae.org/Prunus/Prunus_persica/p.persica_gdr_reftransV1_0037180","p.persica_gdr_reftransV1_0037180")</f>
        <v>p.persica_gdr_reftransV1_0037180</v>
      </c>
      <c r="B21293" s="2">
        <v>544</v>
      </c>
      <c r="C21293" s="4" t="str">
        <f>HYPERLINK("http://www.uniprot.org/uniprot/M5VTY4","M5VTY4")</f>
        <v>M5VTY4</v>
      </c>
      <c r="D21293" s="2" t="s">
        <v>7892</v>
      </c>
      <c r="E21293" s="3">
        <v>1.2199999999999999E-63</v>
      </c>
      <c r="F21293" s="2">
        <v>551</v>
      </c>
      <c r="G21293" s="2">
        <v>100</v>
      </c>
      <c r="H21293" s="2">
        <v>131</v>
      </c>
      <c r="I21293" s="2">
        <v>1</v>
      </c>
      <c r="J21293" s="2">
        <v>393</v>
      </c>
      <c r="K21293" s="2">
        <v>1</v>
      </c>
      <c r="L21293" s="2">
        <v>131</v>
      </c>
    </row>
    <row r="21294" spans="1:12" x14ac:dyDescent="0.25">
      <c r="A21294" s="4" t="str">
        <f>HYPERLINK("http://www.rosaceae.org/Prunus/Prunus_persica/p.persica_gdr_reftransV1_0037530","p.persica_gdr_reftransV1_0037530")</f>
        <v>p.persica_gdr_reftransV1_0037530</v>
      </c>
      <c r="B21294" s="2">
        <v>1557</v>
      </c>
      <c r="C21294" s="4" t="str">
        <f>HYPERLINK("http://www.uniprot.org/uniprot/M5X1F6","M5X1F6")</f>
        <v>M5X1F6</v>
      </c>
      <c r="D21294" s="2" t="s">
        <v>15932</v>
      </c>
      <c r="E21294" s="3">
        <v>1.2299999999999999E-157</v>
      </c>
      <c r="F21294" s="2">
        <v>935</v>
      </c>
      <c r="G21294" s="2">
        <v>100</v>
      </c>
      <c r="H21294" s="2">
        <v>196</v>
      </c>
      <c r="I21294" s="2">
        <v>718</v>
      </c>
      <c r="J21294" s="2">
        <v>1305</v>
      </c>
      <c r="K21294" s="2">
        <v>116</v>
      </c>
      <c r="L21294" s="2">
        <v>311</v>
      </c>
    </row>
    <row r="21295" spans="1:12" x14ac:dyDescent="0.25">
      <c r="A21295" s="4" t="str">
        <f>HYPERLINK("http://www.rosaceae.org/Prunus/Prunus_persica/p.persica_gdr_reftransV1_0037880","p.persica_gdr_reftransV1_0037880")</f>
        <v>p.persica_gdr_reftransV1_0037880</v>
      </c>
      <c r="B21295" s="2">
        <v>1861</v>
      </c>
      <c r="C21295" s="4" t="str">
        <f>HYPERLINK("http://www.uniprot.org/uniprot/M5WNF6","M5WNF6")</f>
        <v>M5WNF6</v>
      </c>
      <c r="D21295" s="2" t="s">
        <v>15933</v>
      </c>
      <c r="E21295" s="3">
        <v>0</v>
      </c>
      <c r="F21295" s="2">
        <v>1994</v>
      </c>
      <c r="G21295" s="2">
        <v>100</v>
      </c>
      <c r="H21295" s="2">
        <v>467</v>
      </c>
      <c r="I21295" s="2">
        <v>177</v>
      </c>
      <c r="J21295" s="2">
        <v>1577</v>
      </c>
      <c r="K21295" s="2">
        <v>1</v>
      </c>
      <c r="L21295" s="2">
        <v>467</v>
      </c>
    </row>
    <row r="21296" spans="1:12" x14ac:dyDescent="0.25">
      <c r="A21296" s="4" t="str">
        <f>HYPERLINK("http://www.rosaceae.org/Prunus/Prunus_persica/p.persica_gdr_reftransV1_0039280","p.persica_gdr_reftransV1_0039280")</f>
        <v>p.persica_gdr_reftransV1_0039280</v>
      </c>
      <c r="B21296" s="2">
        <v>3559</v>
      </c>
      <c r="C21296" s="4" t="str">
        <f>HYPERLINK("http://www.uniprot.org/uniprot/M5VQQ7","M5VQQ7")</f>
        <v>M5VQQ7</v>
      </c>
      <c r="D21296" s="2" t="s">
        <v>11369</v>
      </c>
      <c r="E21296" s="3">
        <v>1.5100000000000001E-80</v>
      </c>
      <c r="F21296" s="2">
        <v>715</v>
      </c>
      <c r="G21296" s="2">
        <v>100</v>
      </c>
      <c r="H21296" s="2">
        <v>155</v>
      </c>
      <c r="I21296" s="2">
        <v>3031</v>
      </c>
      <c r="J21296" s="2">
        <v>3495</v>
      </c>
      <c r="K21296" s="2">
        <v>1</v>
      </c>
      <c r="L21296" s="2">
        <v>155</v>
      </c>
    </row>
    <row r="21297" spans="1:12" x14ac:dyDescent="0.25">
      <c r="A21297" s="4" t="str">
        <f>HYPERLINK("http://www.rosaceae.org/Prunus/Prunus_persica/p.persica_gdr_reftransV1_0040330","p.persica_gdr_reftransV1_0040330")</f>
        <v>p.persica_gdr_reftransV1_0040330</v>
      </c>
      <c r="B21297" s="2">
        <v>1182</v>
      </c>
      <c r="C21297" s="4" t="str">
        <f>HYPERLINK("http://www.uniprot.org/uniprot/M5W892","M5W892")</f>
        <v>M5W892</v>
      </c>
      <c r="D21297" s="2" t="s">
        <v>15934</v>
      </c>
      <c r="E21297" s="3">
        <v>1.4199999999999999E-83</v>
      </c>
      <c r="F21297" s="2">
        <v>673</v>
      </c>
      <c r="G21297" s="2">
        <v>100</v>
      </c>
      <c r="H21297" s="2">
        <v>128</v>
      </c>
      <c r="I21297" s="2">
        <v>491</v>
      </c>
      <c r="J21297" s="2">
        <v>874</v>
      </c>
      <c r="K21297" s="2">
        <v>27</v>
      </c>
      <c r="L21297" s="2">
        <v>154</v>
      </c>
    </row>
    <row r="21298" spans="1:12" x14ac:dyDescent="0.25">
      <c r="A21298" s="4" t="str">
        <f>HYPERLINK("http://www.rosaceae.org/Prunus/Prunus_persica/p.persica_gdr_reftransV1_0041730","p.persica_gdr_reftransV1_0041730")</f>
        <v>p.persica_gdr_reftransV1_0041730</v>
      </c>
      <c r="B21298" s="2">
        <v>819</v>
      </c>
      <c r="C21298" s="4" t="str">
        <f>HYPERLINK("http://www.uniprot.org/uniprot/M5VY84","M5VY84")</f>
        <v>M5VY84</v>
      </c>
      <c r="D21298" s="2" t="s">
        <v>390</v>
      </c>
      <c r="E21298" s="3">
        <v>1.7200000000000001E-173</v>
      </c>
      <c r="F21298" s="2">
        <v>1283</v>
      </c>
      <c r="G21298" s="2">
        <v>100</v>
      </c>
      <c r="H21298" s="2">
        <v>257</v>
      </c>
      <c r="I21298" s="2">
        <v>47</v>
      </c>
      <c r="J21298" s="2">
        <v>817</v>
      </c>
      <c r="K21298" s="2">
        <v>1</v>
      </c>
      <c r="L21298" s="2">
        <v>257</v>
      </c>
    </row>
    <row r="21299" spans="1:12" x14ac:dyDescent="0.25">
      <c r="A21299" s="4" t="str">
        <f>HYPERLINK("http://www.rosaceae.org/Prunus/Prunus_persica/p.persica_gdr_reftransV1_0043130","p.persica_gdr_reftransV1_0043130")</f>
        <v>p.persica_gdr_reftransV1_0043130</v>
      </c>
      <c r="B21299" s="2">
        <v>491</v>
      </c>
      <c r="C21299" s="4" t="str">
        <f>HYPERLINK("http://www.uniprot.org/uniprot/M5X0Z1","M5X0Z1")</f>
        <v>M5X0Z1</v>
      </c>
      <c r="D21299" s="2" t="s">
        <v>6316</v>
      </c>
      <c r="E21299" s="3">
        <v>2.1199999999999999E-113</v>
      </c>
      <c r="F21299" s="2">
        <v>877</v>
      </c>
      <c r="G21299" s="2">
        <v>100</v>
      </c>
      <c r="H21299" s="2">
        <v>163</v>
      </c>
      <c r="I21299" s="2">
        <v>1</v>
      </c>
      <c r="J21299" s="2">
        <v>489</v>
      </c>
      <c r="K21299" s="2">
        <v>42</v>
      </c>
      <c r="L21299" s="2">
        <v>204</v>
      </c>
    </row>
    <row r="21300" spans="1:12" x14ac:dyDescent="0.25">
      <c r="A21300" s="4" t="str">
        <f>HYPERLINK("http://www.rosaceae.org/Prunus/Prunus_persica/p.persica_gdr_reftransV1_0044180","p.persica_gdr_reftransV1_0044180")</f>
        <v>p.persica_gdr_reftransV1_0044180</v>
      </c>
      <c r="B21300" s="2">
        <v>814</v>
      </c>
      <c r="C21300" s="4" t="str">
        <f>HYPERLINK("http://www.uniprot.org/uniprot/M5W3H6","M5W3H6")</f>
        <v>M5W3H6</v>
      </c>
      <c r="D21300" s="2" t="s">
        <v>15935</v>
      </c>
      <c r="E21300" s="3">
        <v>3.4900000000000001E-14</v>
      </c>
      <c r="F21300" s="2">
        <v>190</v>
      </c>
      <c r="G21300" s="2">
        <v>100</v>
      </c>
      <c r="H21300" s="2">
        <v>37</v>
      </c>
      <c r="I21300" s="2">
        <v>703</v>
      </c>
      <c r="J21300" s="2">
        <v>813</v>
      </c>
      <c r="K21300" s="2">
        <v>126</v>
      </c>
      <c r="L21300" s="2">
        <v>162</v>
      </c>
    </row>
    <row r="21301" spans="1:12" x14ac:dyDescent="0.25">
      <c r="A21301" s="4" t="str">
        <f>HYPERLINK("http://www.rosaceae.org/Prunus/Prunus_persica/p.persica_gdr_reftransV1_0044530","p.persica_gdr_reftransV1_0044530")</f>
        <v>p.persica_gdr_reftransV1_0044530</v>
      </c>
      <c r="B21301" s="2">
        <v>898</v>
      </c>
      <c r="C21301" s="4" t="str">
        <f>HYPERLINK("http://www.uniprot.org/uniprot/M5WCZ7","M5WCZ7")</f>
        <v>M5WCZ7</v>
      </c>
      <c r="D21301" s="2" t="s">
        <v>15936</v>
      </c>
      <c r="E21301" s="3">
        <v>0</v>
      </c>
      <c r="F21301" s="2">
        <v>1538</v>
      </c>
      <c r="G21301" s="2">
        <v>100</v>
      </c>
      <c r="H21301" s="2">
        <v>286</v>
      </c>
      <c r="I21301" s="2">
        <v>1</v>
      </c>
      <c r="J21301" s="2">
        <v>858</v>
      </c>
      <c r="K21301" s="2">
        <v>70</v>
      </c>
      <c r="L21301" s="2">
        <v>355</v>
      </c>
    </row>
    <row r="21302" spans="1:12" x14ac:dyDescent="0.25">
      <c r="A21302" s="4" t="str">
        <f>HYPERLINK("http://www.rosaceae.org/Prunus/Prunus_persica/p.persica_gdr_reftransV1_0044880","p.persica_gdr_reftransV1_0044880")</f>
        <v>p.persica_gdr_reftransV1_0044880</v>
      </c>
      <c r="B21302" s="2">
        <v>3751</v>
      </c>
      <c r="C21302" s="4" t="str">
        <f>HYPERLINK("http://www.uniprot.org/uniprot/M5XJT5","M5XJT5")</f>
        <v>M5XJT5</v>
      </c>
      <c r="D21302" s="2" t="s">
        <v>13255</v>
      </c>
      <c r="E21302" s="3">
        <v>0</v>
      </c>
      <c r="F21302" s="2">
        <v>5442</v>
      </c>
      <c r="G21302" s="2">
        <v>96</v>
      </c>
      <c r="H21302" s="2">
        <v>1082</v>
      </c>
      <c r="I21302" s="2">
        <v>509</v>
      </c>
      <c r="J21302" s="2">
        <v>3751</v>
      </c>
      <c r="K21302" s="2">
        <v>393</v>
      </c>
      <c r="L21302" s="2">
        <v>1467</v>
      </c>
    </row>
    <row r="21303" spans="1:12" x14ac:dyDescent="0.25">
      <c r="A21303" s="4" t="str">
        <f>HYPERLINK("http://www.rosaceae.org/Prunus/Prunus_persica/p.persica_gdr_reftransV1_0045230","p.persica_gdr_reftransV1_0045230")</f>
        <v>p.persica_gdr_reftransV1_0045230</v>
      </c>
      <c r="B21303" s="2">
        <v>2705</v>
      </c>
      <c r="C21303" s="4" t="str">
        <f>HYPERLINK("http://www.uniprot.org/uniprot/M5WR68","M5WR68")</f>
        <v>M5WR68</v>
      </c>
      <c r="D21303" s="2" t="s">
        <v>15937</v>
      </c>
      <c r="E21303" s="3">
        <v>0</v>
      </c>
      <c r="F21303" s="2">
        <v>4005</v>
      </c>
      <c r="G21303" s="2">
        <v>96</v>
      </c>
      <c r="H21303" s="2">
        <v>763</v>
      </c>
      <c r="I21303" s="2">
        <v>257</v>
      </c>
      <c r="J21303" s="2">
        <v>2545</v>
      </c>
      <c r="K21303" s="2">
        <v>1</v>
      </c>
      <c r="L21303" s="2">
        <v>763</v>
      </c>
    </row>
    <row r="21304" spans="1:12" x14ac:dyDescent="0.25">
      <c r="A21304" s="4" t="str">
        <f>HYPERLINK("http://www.rosaceae.org/Prunus/Prunus_persica/p.persica_gdr_reftransV1_0045930","p.persica_gdr_reftransV1_0045930")</f>
        <v>p.persica_gdr_reftransV1_0045930</v>
      </c>
      <c r="B21304" s="2">
        <v>752</v>
      </c>
      <c r="C21304" s="4" t="str">
        <f>HYPERLINK("http://www.uniprot.org/uniprot/M5WK11","M5WK11")</f>
        <v>M5WK11</v>
      </c>
      <c r="D21304" s="2" t="s">
        <v>15938</v>
      </c>
      <c r="E21304" s="3">
        <v>8.2499999999999997E-100</v>
      </c>
      <c r="F21304" s="2">
        <v>767</v>
      </c>
      <c r="G21304" s="2">
        <v>100</v>
      </c>
      <c r="H21304" s="2">
        <v>158</v>
      </c>
      <c r="I21304" s="2">
        <v>48</v>
      </c>
      <c r="J21304" s="2">
        <v>521</v>
      </c>
      <c r="K21304" s="2">
        <v>1</v>
      </c>
      <c r="L21304" s="2">
        <v>158</v>
      </c>
    </row>
    <row r="21305" spans="1:12" x14ac:dyDescent="0.25">
      <c r="A21305" s="4" t="str">
        <f>HYPERLINK("http://www.rosaceae.org/Prunus/Prunus_persica/p.persica_gdr_reftransV1_0046280","p.persica_gdr_reftransV1_0046280")</f>
        <v>p.persica_gdr_reftransV1_0046280</v>
      </c>
      <c r="B21305" s="2">
        <v>2373</v>
      </c>
      <c r="C21305" s="4" t="str">
        <f>HYPERLINK("http://www.uniprot.org/uniprot/M5W7S8","M5W7S8")</f>
        <v>M5W7S8</v>
      </c>
      <c r="D21305" s="2" t="s">
        <v>15057</v>
      </c>
      <c r="E21305" s="3">
        <v>0</v>
      </c>
      <c r="F21305" s="2">
        <v>2597</v>
      </c>
      <c r="G21305" s="2">
        <v>99</v>
      </c>
      <c r="H21305" s="2">
        <v>578</v>
      </c>
      <c r="I21305" s="2">
        <v>294</v>
      </c>
      <c r="J21305" s="2">
        <v>2027</v>
      </c>
      <c r="K21305" s="2">
        <v>101</v>
      </c>
      <c r="L21305" s="2">
        <v>678</v>
      </c>
    </row>
    <row r="21306" spans="1:12" x14ac:dyDescent="0.25">
      <c r="A21306" s="4" t="str">
        <f>HYPERLINK("http://www.rosaceae.org/Prunus/Prunus_persica/p.persica_gdr_reftransV1_0046630","p.persica_gdr_reftransV1_0046630")</f>
        <v>p.persica_gdr_reftransV1_0046630</v>
      </c>
      <c r="B21306" s="2">
        <v>666</v>
      </c>
      <c r="C21306" s="4" t="str">
        <f>HYPERLINK("http://www.uniprot.org/uniprot/M5VJ38","M5VJ38")</f>
        <v>M5VJ38</v>
      </c>
      <c r="D21306" s="2" t="s">
        <v>8545</v>
      </c>
      <c r="E21306" s="3">
        <v>3.02E-103</v>
      </c>
      <c r="F21306" s="2">
        <v>809</v>
      </c>
      <c r="G21306" s="2">
        <v>100</v>
      </c>
      <c r="H21306" s="2">
        <v>148</v>
      </c>
      <c r="I21306" s="2">
        <v>53</v>
      </c>
      <c r="J21306" s="2">
        <v>496</v>
      </c>
      <c r="K21306" s="2">
        <v>31</v>
      </c>
      <c r="L21306" s="2">
        <v>178</v>
      </c>
    </row>
    <row r="21307" spans="1:12" x14ac:dyDescent="0.25">
      <c r="A21307" s="4" t="str">
        <f>HYPERLINK("http://www.rosaceae.org/Prunus/Prunus_persica/p.persica_gdr_reftransV1_0046980","p.persica_gdr_reftransV1_0046980")</f>
        <v>p.persica_gdr_reftransV1_0046980</v>
      </c>
      <c r="B21307" s="2">
        <v>1156</v>
      </c>
      <c r="C21307" s="4" t="str">
        <f>HYPERLINK("http://www.uniprot.org/uniprot/M5WA44","M5WA44")</f>
        <v>M5WA44</v>
      </c>
      <c r="D21307" s="2" t="s">
        <v>1291</v>
      </c>
      <c r="E21307" s="3">
        <v>6.57E-175</v>
      </c>
      <c r="F21307" s="2">
        <v>1287</v>
      </c>
      <c r="G21307" s="2">
        <v>99</v>
      </c>
      <c r="H21307" s="2">
        <v>241</v>
      </c>
      <c r="I21307" s="2">
        <v>355</v>
      </c>
      <c r="J21307" s="2">
        <v>1077</v>
      </c>
      <c r="K21307" s="2">
        <v>1</v>
      </c>
      <c r="L21307" s="2">
        <v>241</v>
      </c>
    </row>
    <row r="21308" spans="1:12" x14ac:dyDescent="0.25">
      <c r="A21308" s="4" t="str">
        <f>HYPERLINK("http://www.rosaceae.org/Prunus/Prunus_persica/p.persica_gdr_reftransV1_0047330","p.persica_gdr_reftransV1_0047330")</f>
        <v>p.persica_gdr_reftransV1_0047330</v>
      </c>
      <c r="B21308" s="2">
        <v>469</v>
      </c>
      <c r="C21308" s="4" t="str">
        <f>HYPERLINK("http://www.uniprot.org/uniprot/M5VI08","M5VI08")</f>
        <v>M5VI08</v>
      </c>
      <c r="D21308" s="2" t="s">
        <v>913</v>
      </c>
      <c r="E21308" s="3">
        <v>6.4100000000000005E-85</v>
      </c>
      <c r="F21308" s="2">
        <v>718</v>
      </c>
      <c r="G21308" s="2">
        <v>83</v>
      </c>
      <c r="H21308" s="2">
        <v>169</v>
      </c>
      <c r="I21308" s="2">
        <v>1</v>
      </c>
      <c r="J21308" s="2">
        <v>465</v>
      </c>
      <c r="K21308" s="2">
        <v>1043</v>
      </c>
      <c r="L21308" s="2">
        <v>1211</v>
      </c>
    </row>
    <row r="21309" spans="1:12" x14ac:dyDescent="0.25">
      <c r="A21309" s="4" t="str">
        <f>HYPERLINK("http://www.rosaceae.org/Prunus/Prunus_persica/p.persica_gdr_reftransV1_0047680","p.persica_gdr_reftransV1_0047680")</f>
        <v>p.persica_gdr_reftransV1_0047680</v>
      </c>
      <c r="B21309" s="2">
        <v>1144</v>
      </c>
      <c r="C21309" s="4" t="str">
        <f>HYPERLINK("http://www.uniprot.org/uniprot/M5XD82","M5XD82")</f>
        <v>M5XD82</v>
      </c>
      <c r="D21309" s="2" t="s">
        <v>15099</v>
      </c>
      <c r="E21309" s="3">
        <v>0</v>
      </c>
      <c r="F21309" s="2">
        <v>1440</v>
      </c>
      <c r="G21309" s="2">
        <v>100</v>
      </c>
      <c r="H21309" s="2">
        <v>272</v>
      </c>
      <c r="I21309" s="2">
        <v>75</v>
      </c>
      <c r="J21309" s="2">
        <v>890</v>
      </c>
      <c r="K21309" s="2">
        <v>1</v>
      </c>
      <c r="L21309" s="2">
        <v>272</v>
      </c>
    </row>
    <row r="21310" spans="1:12" x14ac:dyDescent="0.25">
      <c r="A21310" s="4" t="str">
        <f>HYPERLINK("http://www.rosaceae.org/Prunus/Prunus_persica/p.persica_gdr_reftransV1_0048030","p.persica_gdr_reftransV1_0048030")</f>
        <v>p.persica_gdr_reftransV1_0048030</v>
      </c>
      <c r="B21310" s="2">
        <v>2033</v>
      </c>
      <c r="C21310" s="4" t="str">
        <f>HYPERLINK("http://www.uniprot.org/uniprot/M5XJC0","M5XJC0")</f>
        <v>M5XJC0</v>
      </c>
      <c r="D21310" s="2" t="s">
        <v>5157</v>
      </c>
      <c r="E21310" s="3">
        <v>0</v>
      </c>
      <c r="F21310" s="2">
        <v>2070</v>
      </c>
      <c r="G21310" s="2">
        <v>100</v>
      </c>
      <c r="H21310" s="2">
        <v>485</v>
      </c>
      <c r="I21310" s="2">
        <v>194</v>
      </c>
      <c r="J21310" s="2">
        <v>1648</v>
      </c>
      <c r="K21310" s="2">
        <v>1</v>
      </c>
      <c r="L21310" s="2">
        <v>485</v>
      </c>
    </row>
    <row r="21311" spans="1:12" x14ac:dyDescent="0.25">
      <c r="A21311" s="4" t="str">
        <f>HYPERLINK("http://www.rosaceae.org/Prunus/Prunus_persica/p.persica_gdr_reftransV1_0048380","p.persica_gdr_reftransV1_0048380")</f>
        <v>p.persica_gdr_reftransV1_0048380</v>
      </c>
      <c r="B21311" s="2">
        <v>332</v>
      </c>
      <c r="C21311" s="4" t="str">
        <f>HYPERLINK("http://www.uniprot.org/uniprot/M5VWB2","M5VWB2")</f>
        <v>M5VWB2</v>
      </c>
      <c r="D21311" s="2" t="s">
        <v>12065</v>
      </c>
      <c r="E21311" s="3">
        <v>2.3399999999999999E-66</v>
      </c>
      <c r="F21311" s="2">
        <v>572</v>
      </c>
      <c r="G21311" s="2">
        <v>100</v>
      </c>
      <c r="H21311" s="2">
        <v>110</v>
      </c>
      <c r="I21311" s="2">
        <v>2</v>
      </c>
      <c r="J21311" s="2">
        <v>331</v>
      </c>
      <c r="K21311" s="2">
        <v>68</v>
      </c>
      <c r="L21311" s="2">
        <v>177</v>
      </c>
    </row>
    <row r="21312" spans="1:12" x14ac:dyDescent="0.25">
      <c r="A21312" s="4" t="str">
        <f>HYPERLINK("http://www.rosaceae.org/Prunus/Prunus_persica/p.persica_gdr_reftransV1_0048730","p.persica_gdr_reftransV1_0048730")</f>
        <v>p.persica_gdr_reftransV1_0048730</v>
      </c>
      <c r="B21312" s="2">
        <v>1068</v>
      </c>
      <c r="C21312" s="4" t="str">
        <f>HYPERLINK("http://www.uniprot.org/uniprot/M5X7M8","M5X7M8")</f>
        <v>M5X7M8</v>
      </c>
      <c r="D21312" s="2" t="s">
        <v>15939</v>
      </c>
      <c r="E21312" s="3">
        <v>8.3299999999999998E-53</v>
      </c>
      <c r="F21312" s="2">
        <v>470</v>
      </c>
      <c r="G21312" s="2">
        <v>97</v>
      </c>
      <c r="H21312" s="2">
        <v>156</v>
      </c>
      <c r="I21312" s="2">
        <v>270</v>
      </c>
      <c r="J21312" s="2">
        <v>737</v>
      </c>
      <c r="K21312" s="2">
        <v>1</v>
      </c>
      <c r="L21312" s="2">
        <v>156</v>
      </c>
    </row>
    <row r="21313" spans="1:12" x14ac:dyDescent="0.25">
      <c r="A21313" s="4" t="str">
        <f>HYPERLINK("http://www.rosaceae.org/Prunus/Prunus_persica/p.persica_gdr_reftransV1_0049080","p.persica_gdr_reftransV1_0049080")</f>
        <v>p.persica_gdr_reftransV1_0049080</v>
      </c>
      <c r="B21313" s="2">
        <v>6336</v>
      </c>
      <c r="C21313" s="4" t="str">
        <f>HYPERLINK("http://www.uniprot.org/uniprot/M5X6U0","M5X6U0")</f>
        <v>M5X6U0</v>
      </c>
      <c r="D21313" s="2" t="s">
        <v>10664</v>
      </c>
      <c r="E21313" s="3">
        <v>0</v>
      </c>
      <c r="F21313" s="2">
        <v>9747</v>
      </c>
      <c r="G21313" s="2">
        <v>100</v>
      </c>
      <c r="H21313" s="2">
        <v>1971</v>
      </c>
      <c r="I21313" s="2">
        <v>275</v>
      </c>
      <c r="J21313" s="2">
        <v>6187</v>
      </c>
      <c r="K21313" s="2">
        <v>1</v>
      </c>
      <c r="L21313" s="2">
        <v>1971</v>
      </c>
    </row>
    <row r="21314" spans="1:12" x14ac:dyDescent="0.25">
      <c r="A21314" s="4" t="str">
        <f>HYPERLINK("http://www.rosaceae.org/Prunus/Prunus_persica/p.persica_gdr_reftransV1_0000008","p.persica_gdr_reftransV1_0000008")</f>
        <v>p.persica_gdr_reftransV1_0000008</v>
      </c>
      <c r="B21314" s="2">
        <v>2021</v>
      </c>
      <c r="C21314" s="4" t="str">
        <f>HYPERLINK("http://www.uniprot.org/uniprot/M5XDM7","M5XDM7")</f>
        <v>M5XDM7</v>
      </c>
      <c r="D21314" s="2" t="s">
        <v>15940</v>
      </c>
      <c r="E21314" s="3">
        <v>0</v>
      </c>
      <c r="F21314" s="2">
        <v>2789</v>
      </c>
      <c r="G21314" s="2">
        <v>100</v>
      </c>
      <c r="H21314" s="2">
        <v>523</v>
      </c>
      <c r="I21314" s="2">
        <v>120</v>
      </c>
      <c r="J21314" s="2">
        <v>1688</v>
      </c>
      <c r="K21314" s="2">
        <v>1</v>
      </c>
      <c r="L21314" s="2">
        <v>523</v>
      </c>
    </row>
    <row r="21315" spans="1:12" x14ac:dyDescent="0.25">
      <c r="A21315" s="4" t="str">
        <f>HYPERLINK("http://www.rosaceae.org/Prunus/Prunus_persica/p.persica_gdr_reftransV1_0000708","p.persica_gdr_reftransV1_0000708")</f>
        <v>p.persica_gdr_reftransV1_0000708</v>
      </c>
      <c r="B21315" s="2">
        <v>5466</v>
      </c>
      <c r="C21315" s="4" t="str">
        <f>HYPERLINK("http://www.uniprot.org/uniprot/M5X2K5","M5X2K5")</f>
        <v>M5X2K5</v>
      </c>
      <c r="D21315" s="2" t="s">
        <v>8105</v>
      </c>
      <c r="E21315" s="3">
        <v>0</v>
      </c>
      <c r="F21315" s="2">
        <v>7861</v>
      </c>
      <c r="G21315" s="2">
        <v>100</v>
      </c>
      <c r="H21315" s="2">
        <v>1631</v>
      </c>
      <c r="I21315" s="2">
        <v>344</v>
      </c>
      <c r="J21315" s="2">
        <v>5236</v>
      </c>
      <c r="K21315" s="2">
        <v>1</v>
      </c>
      <c r="L21315" s="2">
        <v>1631</v>
      </c>
    </row>
    <row r="21316" spans="1:12" x14ac:dyDescent="0.25">
      <c r="A21316" s="4" t="str">
        <f>HYPERLINK("http://www.rosaceae.org/Prunus/Prunus_persica/p.persica_gdr_reftransV1_0001058","p.persica_gdr_reftransV1_0001058")</f>
        <v>p.persica_gdr_reftransV1_0001058</v>
      </c>
      <c r="B21316" s="2">
        <v>1930</v>
      </c>
      <c r="C21316" s="4" t="str">
        <f>HYPERLINK("http://www.uniprot.org/uniprot/M5VM59","M5VM59")</f>
        <v>M5VM59</v>
      </c>
      <c r="D21316" s="2" t="s">
        <v>15941</v>
      </c>
      <c r="E21316" s="3">
        <v>0</v>
      </c>
      <c r="F21316" s="2">
        <v>1895</v>
      </c>
      <c r="G21316" s="2">
        <v>100</v>
      </c>
      <c r="H21316" s="2">
        <v>375</v>
      </c>
      <c r="I21316" s="2">
        <v>303</v>
      </c>
      <c r="J21316" s="2">
        <v>1427</v>
      </c>
      <c r="K21316" s="2">
        <v>1</v>
      </c>
      <c r="L21316" s="2">
        <v>375</v>
      </c>
    </row>
    <row r="21317" spans="1:12" x14ac:dyDescent="0.25">
      <c r="A21317" s="4" t="str">
        <f>HYPERLINK("http://www.rosaceae.org/Prunus/Prunus_persica/p.persica_gdr_reftransV1_0001408","p.persica_gdr_reftransV1_0001408")</f>
        <v>p.persica_gdr_reftransV1_0001408</v>
      </c>
      <c r="B21317" s="2">
        <v>1865</v>
      </c>
      <c r="C21317" s="4" t="str">
        <f>HYPERLINK("http://www.uniprot.org/uniprot/B9SL65","B9SL65")</f>
        <v>B9SL65</v>
      </c>
      <c r="D21317" s="2" t="s">
        <v>15942</v>
      </c>
      <c r="E21317" s="3">
        <v>0</v>
      </c>
      <c r="F21317" s="2">
        <v>1943</v>
      </c>
      <c r="G21317" s="2">
        <v>63</v>
      </c>
      <c r="H21317" s="2">
        <v>609</v>
      </c>
      <c r="I21317" s="2">
        <v>119</v>
      </c>
      <c r="J21317" s="2">
        <v>1864</v>
      </c>
      <c r="K21317" s="2">
        <v>1</v>
      </c>
      <c r="L21317" s="2">
        <v>601</v>
      </c>
    </row>
    <row r="21318" spans="1:12" x14ac:dyDescent="0.25">
      <c r="A21318" s="4" t="str">
        <f>HYPERLINK("http://www.rosaceae.org/Prunus/Prunus_persica/p.persica_gdr_reftransV1_0001758","p.persica_gdr_reftransV1_0001758")</f>
        <v>p.persica_gdr_reftransV1_0001758</v>
      </c>
      <c r="B21318" s="2">
        <v>1262</v>
      </c>
      <c r="C21318" s="4" t="str">
        <f>HYPERLINK("http://www.uniprot.org/uniprot/M5WIC0","M5WIC0")</f>
        <v>M5WIC0</v>
      </c>
      <c r="D21318" s="2" t="s">
        <v>9659</v>
      </c>
      <c r="E21318" s="3">
        <v>0</v>
      </c>
      <c r="F21318" s="2">
        <v>1976</v>
      </c>
      <c r="G21318" s="2">
        <v>100</v>
      </c>
      <c r="H21318" s="2">
        <v>368</v>
      </c>
      <c r="I21318" s="2">
        <v>103</v>
      </c>
      <c r="J21318" s="2">
        <v>1206</v>
      </c>
      <c r="K21318" s="2">
        <v>1</v>
      </c>
      <c r="L21318" s="2">
        <v>368</v>
      </c>
    </row>
    <row r="21319" spans="1:12" x14ac:dyDescent="0.25">
      <c r="A21319" s="4" t="str">
        <f>HYPERLINK("http://www.rosaceae.org/Prunus/Prunus_persica/p.persica_gdr_reftransV1_0002108","p.persica_gdr_reftransV1_0002108")</f>
        <v>p.persica_gdr_reftransV1_0002108</v>
      </c>
      <c r="B21319" s="2">
        <v>2782</v>
      </c>
      <c r="C21319" s="4" t="str">
        <f>HYPERLINK("http://www.uniprot.org/uniprot/M5WVI0","M5WVI0")</f>
        <v>M5WVI0</v>
      </c>
      <c r="D21319" s="2" t="s">
        <v>9604</v>
      </c>
      <c r="E21319" s="3">
        <v>0</v>
      </c>
      <c r="F21319" s="2">
        <v>2944</v>
      </c>
      <c r="G21319" s="2">
        <v>100</v>
      </c>
      <c r="H21319" s="2">
        <v>570</v>
      </c>
      <c r="I21319" s="2">
        <v>207</v>
      </c>
      <c r="J21319" s="2">
        <v>1916</v>
      </c>
      <c r="K21319" s="2">
        <v>187</v>
      </c>
      <c r="L21319" s="2">
        <v>756</v>
      </c>
    </row>
    <row r="21320" spans="1:12" x14ac:dyDescent="0.25">
      <c r="A21320" s="4" t="str">
        <f>HYPERLINK("http://www.rosaceae.org/Prunus/Prunus_persica/p.persica_gdr_reftransV1_0002458","p.persica_gdr_reftransV1_0002458")</f>
        <v>p.persica_gdr_reftransV1_0002458</v>
      </c>
      <c r="B21320" s="2">
        <v>1244</v>
      </c>
      <c r="C21320" s="4" t="str">
        <f>HYPERLINK("http://www.uniprot.org/uniprot/M5WKI1","M5WKI1")</f>
        <v>M5WKI1</v>
      </c>
      <c r="D21320" s="2" t="s">
        <v>8630</v>
      </c>
      <c r="E21320" s="3">
        <v>4.1200000000000004E-84</v>
      </c>
      <c r="F21320" s="2">
        <v>677</v>
      </c>
      <c r="G21320" s="2">
        <v>100</v>
      </c>
      <c r="H21320" s="2">
        <v>130</v>
      </c>
      <c r="I21320" s="2">
        <v>15</v>
      </c>
      <c r="J21320" s="2">
        <v>404</v>
      </c>
      <c r="K21320" s="2">
        <v>1</v>
      </c>
      <c r="L21320" s="2">
        <v>130</v>
      </c>
    </row>
    <row r="21321" spans="1:12" x14ac:dyDescent="0.25">
      <c r="A21321" s="4" t="str">
        <f>HYPERLINK("http://www.rosaceae.org/Prunus/Prunus_persica/p.persica_gdr_reftransV1_0003158","p.persica_gdr_reftransV1_0003158")</f>
        <v>p.persica_gdr_reftransV1_0003158</v>
      </c>
      <c r="B21321" s="2">
        <v>2284</v>
      </c>
      <c r="C21321" s="4" t="str">
        <f>HYPERLINK("http://www.uniprot.org/uniprot/M5XNW9","M5XNW9")</f>
        <v>M5XNW9</v>
      </c>
      <c r="D21321" s="2" t="s">
        <v>10482</v>
      </c>
      <c r="E21321" s="3">
        <v>0</v>
      </c>
      <c r="F21321" s="2">
        <v>3051</v>
      </c>
      <c r="G21321" s="2">
        <v>93</v>
      </c>
      <c r="H21321" s="2">
        <v>623</v>
      </c>
      <c r="I21321" s="2">
        <v>251</v>
      </c>
      <c r="J21321" s="2">
        <v>2119</v>
      </c>
      <c r="K21321" s="2">
        <v>1</v>
      </c>
      <c r="L21321" s="2">
        <v>621</v>
      </c>
    </row>
    <row r="21322" spans="1:12" x14ac:dyDescent="0.25">
      <c r="A21322" s="4" t="str">
        <f>HYPERLINK("http://www.rosaceae.org/Prunus/Prunus_persica/p.persica_gdr_reftransV1_0004558","p.persica_gdr_reftransV1_0004558")</f>
        <v>p.persica_gdr_reftransV1_0004558</v>
      </c>
      <c r="B21322" s="2">
        <v>369</v>
      </c>
      <c r="C21322" s="4" t="str">
        <f>HYPERLINK("http://www.uniprot.org/uniprot/M5WJL7","M5WJL7")</f>
        <v>M5WJL7</v>
      </c>
      <c r="D21322" s="2" t="s">
        <v>10999</v>
      </c>
      <c r="E21322" s="3">
        <v>3.01E-84</v>
      </c>
      <c r="F21322" s="2">
        <v>671</v>
      </c>
      <c r="G21322" s="2">
        <v>100</v>
      </c>
      <c r="H21322" s="2">
        <v>122</v>
      </c>
      <c r="I21322" s="2">
        <v>2</v>
      </c>
      <c r="J21322" s="2">
        <v>367</v>
      </c>
      <c r="K21322" s="2">
        <v>171</v>
      </c>
      <c r="L21322" s="2">
        <v>292</v>
      </c>
    </row>
    <row r="21323" spans="1:12" x14ac:dyDescent="0.25">
      <c r="A21323" s="4" t="str">
        <f>HYPERLINK("http://www.rosaceae.org/Prunus/Prunus_persica/p.persica_gdr_reftransV1_0005258","p.persica_gdr_reftransV1_0005258")</f>
        <v>p.persica_gdr_reftransV1_0005258</v>
      </c>
      <c r="B21323" s="2">
        <v>780</v>
      </c>
      <c r="C21323" s="4" t="str">
        <f>HYPERLINK("http://www.uniprot.org/uniprot/M5VY35","M5VY35")</f>
        <v>M5VY35</v>
      </c>
      <c r="D21323" s="2" t="s">
        <v>11307</v>
      </c>
      <c r="E21323" s="3">
        <v>5.5500000000000003E-19</v>
      </c>
      <c r="F21323" s="2">
        <v>235</v>
      </c>
      <c r="G21323" s="2">
        <v>100</v>
      </c>
      <c r="H21323" s="2">
        <v>45</v>
      </c>
      <c r="I21323" s="2">
        <v>334</v>
      </c>
      <c r="J21323" s="2">
        <v>468</v>
      </c>
      <c r="K21323" s="2">
        <v>411</v>
      </c>
      <c r="L21323" s="2">
        <v>455</v>
      </c>
    </row>
    <row r="21324" spans="1:12" x14ac:dyDescent="0.25">
      <c r="A21324" s="4" t="str">
        <f>HYPERLINK("http://www.rosaceae.org/Prunus/Prunus_persica/p.persica_gdr_reftransV1_0005608","p.persica_gdr_reftransV1_0005608")</f>
        <v>p.persica_gdr_reftransV1_0005608</v>
      </c>
      <c r="B21324" s="2">
        <v>442</v>
      </c>
      <c r="C21324" s="4" t="str">
        <f>HYPERLINK("http://www.uniprot.org/uniprot/M5XJ35","M5XJ35")</f>
        <v>M5XJ35</v>
      </c>
      <c r="D21324" s="2" t="s">
        <v>15943</v>
      </c>
      <c r="E21324" s="3">
        <v>1.2899999999999999E-41</v>
      </c>
      <c r="F21324" s="2">
        <v>363</v>
      </c>
      <c r="G21324" s="2">
        <v>100</v>
      </c>
      <c r="H21324" s="2">
        <v>70</v>
      </c>
      <c r="I21324" s="2">
        <v>95</v>
      </c>
      <c r="J21324" s="2">
        <v>304</v>
      </c>
      <c r="K21324" s="2">
        <v>1</v>
      </c>
      <c r="L21324" s="2">
        <v>70</v>
      </c>
    </row>
    <row r="21325" spans="1:12" x14ac:dyDescent="0.25">
      <c r="A21325" s="4" t="str">
        <f>HYPERLINK("http://www.rosaceae.org/Prunus/Prunus_persica/p.persica_gdr_reftransV1_0006308","p.persica_gdr_reftransV1_0006308")</f>
        <v>p.persica_gdr_reftransV1_0006308</v>
      </c>
      <c r="B21325" s="2">
        <v>2905</v>
      </c>
      <c r="C21325" s="4" t="str">
        <f>HYPERLINK("http://www.uniprot.org/uniprot/M5XK48","M5XK48")</f>
        <v>M5XK48</v>
      </c>
      <c r="D21325" s="2" t="s">
        <v>15944</v>
      </c>
      <c r="E21325" s="3">
        <v>0</v>
      </c>
      <c r="F21325" s="2">
        <v>3457</v>
      </c>
      <c r="G21325" s="2">
        <v>100</v>
      </c>
      <c r="H21325" s="2">
        <v>781</v>
      </c>
      <c r="I21325" s="2">
        <v>289</v>
      </c>
      <c r="J21325" s="2">
        <v>2631</v>
      </c>
      <c r="K21325" s="2">
        <v>1</v>
      </c>
      <c r="L21325" s="2">
        <v>781</v>
      </c>
    </row>
    <row r="21326" spans="1:12" x14ac:dyDescent="0.25">
      <c r="A21326" s="4" t="str">
        <f>HYPERLINK("http://www.rosaceae.org/Prunus/Prunus_persica/p.persica_gdr_reftransV1_0007358","p.persica_gdr_reftransV1_0007358")</f>
        <v>p.persica_gdr_reftransV1_0007358</v>
      </c>
      <c r="B21326" s="2">
        <v>1926</v>
      </c>
      <c r="C21326" s="4" t="str">
        <f>HYPERLINK("http://www.uniprot.org/uniprot/M5WAE0","M5WAE0")</f>
        <v>M5WAE0</v>
      </c>
      <c r="D21326" s="2" t="s">
        <v>15945</v>
      </c>
      <c r="E21326" s="3">
        <v>0</v>
      </c>
      <c r="F21326" s="2">
        <v>2882</v>
      </c>
      <c r="G21326" s="2">
        <v>100</v>
      </c>
      <c r="H21326" s="2">
        <v>548</v>
      </c>
      <c r="I21326" s="2">
        <v>59</v>
      </c>
      <c r="J21326" s="2">
        <v>1702</v>
      </c>
      <c r="K21326" s="2">
        <v>1</v>
      </c>
      <c r="L21326" s="2">
        <v>548</v>
      </c>
    </row>
    <row r="21327" spans="1:12" x14ac:dyDescent="0.25">
      <c r="A21327" s="4" t="str">
        <f>HYPERLINK("http://www.rosaceae.org/Prunus/Prunus_persica/p.persica_gdr_reftransV1_0008058","p.persica_gdr_reftransV1_0008058")</f>
        <v>p.persica_gdr_reftransV1_0008058</v>
      </c>
      <c r="B21327" s="2">
        <v>742</v>
      </c>
      <c r="C21327" s="4" t="str">
        <f>HYPERLINK("http://www.uniprot.org/uniprot/M5WH93","M5WH93")</f>
        <v>M5WH93</v>
      </c>
      <c r="D21327" s="2" t="s">
        <v>310</v>
      </c>
      <c r="E21327" s="3">
        <v>4.1500000000000001E-102</v>
      </c>
      <c r="F21327" s="2">
        <v>854</v>
      </c>
      <c r="G21327" s="2">
        <v>100</v>
      </c>
      <c r="H21327" s="2">
        <v>173</v>
      </c>
      <c r="I21327" s="2">
        <v>169</v>
      </c>
      <c r="J21327" s="2">
        <v>687</v>
      </c>
      <c r="K21327" s="2">
        <v>1</v>
      </c>
      <c r="L21327" s="2">
        <v>173</v>
      </c>
    </row>
    <row r="21328" spans="1:12" x14ac:dyDescent="0.25">
      <c r="A21328" s="4" t="str">
        <f>HYPERLINK("http://www.rosaceae.org/Prunus/Prunus_persica/p.persica_gdr_reftransV1_0008408","p.persica_gdr_reftransV1_0008408")</f>
        <v>p.persica_gdr_reftransV1_0008408</v>
      </c>
      <c r="B21328" s="2">
        <v>842</v>
      </c>
      <c r="C21328" s="4" t="str">
        <f>HYPERLINK("http://www.uniprot.org/uniprot/M5Y0Z5","M5Y0Z5")</f>
        <v>M5Y0Z5</v>
      </c>
      <c r="D21328" s="2" t="s">
        <v>15860</v>
      </c>
      <c r="E21328" s="3">
        <v>1.08E-146</v>
      </c>
      <c r="F21328" s="2">
        <v>1084</v>
      </c>
      <c r="G21328" s="2">
        <v>100</v>
      </c>
      <c r="H21328" s="2">
        <v>204</v>
      </c>
      <c r="I21328" s="2">
        <v>52</v>
      </c>
      <c r="J21328" s="2">
        <v>663</v>
      </c>
      <c r="K21328" s="2">
        <v>1</v>
      </c>
      <c r="L21328" s="2">
        <v>204</v>
      </c>
    </row>
    <row r="21329" spans="1:12" x14ac:dyDescent="0.25">
      <c r="A21329" s="4" t="str">
        <f>HYPERLINK("http://www.rosaceae.org/Prunus/Prunus_persica/p.persica_gdr_reftransV1_0008758","p.persica_gdr_reftransV1_0008758")</f>
        <v>p.persica_gdr_reftransV1_0008758</v>
      </c>
      <c r="B21329" s="2">
        <v>722</v>
      </c>
      <c r="C21329" s="4" t="str">
        <f>HYPERLINK("http://www.uniprot.org/uniprot/M5WX31","M5WX31")</f>
        <v>M5WX31</v>
      </c>
      <c r="D21329" s="2" t="s">
        <v>15946</v>
      </c>
      <c r="E21329" s="3">
        <v>3.1100000000000001E-153</v>
      </c>
      <c r="F21329" s="2">
        <v>1175</v>
      </c>
      <c r="G21329" s="2">
        <v>99</v>
      </c>
      <c r="H21329" s="2">
        <v>220</v>
      </c>
      <c r="I21329" s="2">
        <v>1</v>
      </c>
      <c r="J21329" s="2">
        <v>660</v>
      </c>
      <c r="K21329" s="2">
        <v>504</v>
      </c>
      <c r="L21329" s="2">
        <v>723</v>
      </c>
    </row>
    <row r="21330" spans="1:12" x14ac:dyDescent="0.25">
      <c r="A21330" s="4" t="str">
        <f>HYPERLINK("http://www.rosaceae.org/Prunus/Prunus_persica/p.persica_gdr_reftransV1_0009108","p.persica_gdr_reftransV1_0009108")</f>
        <v>p.persica_gdr_reftransV1_0009108</v>
      </c>
      <c r="B21330" s="2">
        <v>1397</v>
      </c>
      <c r="C21330" s="4" t="str">
        <f>HYPERLINK("http://www.uniprot.org/uniprot/M5VVK9","M5VVK9")</f>
        <v>M5VVK9</v>
      </c>
      <c r="D21330" s="2" t="s">
        <v>7019</v>
      </c>
      <c r="E21330" s="3">
        <v>0</v>
      </c>
      <c r="F21330" s="2">
        <v>2029</v>
      </c>
      <c r="G21330" s="2">
        <v>100</v>
      </c>
      <c r="H21330" s="2">
        <v>422</v>
      </c>
      <c r="I21330" s="2">
        <v>132</v>
      </c>
      <c r="J21330" s="2">
        <v>1397</v>
      </c>
      <c r="K21330" s="2">
        <v>1</v>
      </c>
      <c r="L21330" s="2">
        <v>422</v>
      </c>
    </row>
    <row r="21331" spans="1:12" x14ac:dyDescent="0.25">
      <c r="A21331" s="4" t="str">
        <f>HYPERLINK("http://www.rosaceae.org/Prunus/Prunus_persica/p.persica_gdr_reftransV1_0009808","p.persica_gdr_reftransV1_0009808")</f>
        <v>p.persica_gdr_reftransV1_0009808</v>
      </c>
      <c r="B21331" s="2">
        <v>2221</v>
      </c>
      <c r="C21331" s="4" t="str">
        <f>HYPERLINK("http://www.uniprot.org/uniprot/M5XFF6","M5XFF6")</f>
        <v>M5XFF6</v>
      </c>
      <c r="D21331" s="2" t="s">
        <v>4331</v>
      </c>
      <c r="E21331" s="3">
        <v>0</v>
      </c>
      <c r="F21331" s="2">
        <v>1983</v>
      </c>
      <c r="G21331" s="2">
        <v>100</v>
      </c>
      <c r="H21331" s="2">
        <v>499</v>
      </c>
      <c r="I21331" s="2">
        <v>430</v>
      </c>
      <c r="J21331" s="2">
        <v>1926</v>
      </c>
      <c r="K21331" s="2">
        <v>1</v>
      </c>
      <c r="L21331" s="2">
        <v>499</v>
      </c>
    </row>
    <row r="21332" spans="1:12" x14ac:dyDescent="0.25">
      <c r="A21332" s="4" t="str">
        <f>HYPERLINK("http://www.rosaceae.org/Prunus/Prunus_persica/p.persica_gdr_reftransV1_0010158","p.persica_gdr_reftransV1_0010158")</f>
        <v>p.persica_gdr_reftransV1_0010158</v>
      </c>
      <c r="B21332" s="2">
        <v>1779</v>
      </c>
      <c r="C21332" s="4" t="str">
        <f>HYPERLINK("http://www.uniprot.org/uniprot/M5XCG8","M5XCG8")</f>
        <v>M5XCG8</v>
      </c>
      <c r="D21332" s="2" t="s">
        <v>15947</v>
      </c>
      <c r="E21332" s="3">
        <v>2.9399999999999999E-152</v>
      </c>
      <c r="F21332" s="2">
        <v>1158</v>
      </c>
      <c r="G21332" s="2">
        <v>100</v>
      </c>
      <c r="H21332" s="2">
        <v>263</v>
      </c>
      <c r="I21332" s="2">
        <v>929</v>
      </c>
      <c r="J21332" s="2">
        <v>1717</v>
      </c>
      <c r="K21332" s="2">
        <v>1</v>
      </c>
      <c r="L21332" s="2">
        <v>263</v>
      </c>
    </row>
    <row r="21333" spans="1:12" x14ac:dyDescent="0.25">
      <c r="A21333" s="4" t="str">
        <f>HYPERLINK("http://www.rosaceae.org/Prunus/Prunus_persica/p.persica_gdr_reftransV1_0010508","p.persica_gdr_reftransV1_0010508")</f>
        <v>p.persica_gdr_reftransV1_0010508</v>
      </c>
      <c r="B21333" s="2">
        <v>1278</v>
      </c>
      <c r="C21333" s="4" t="str">
        <f>HYPERLINK("http://www.uniprot.org/uniprot/M5XGV7","M5XGV7")</f>
        <v>M5XGV7</v>
      </c>
      <c r="D21333" s="2" t="s">
        <v>1943</v>
      </c>
      <c r="E21333" s="3">
        <v>0</v>
      </c>
      <c r="F21333" s="2">
        <v>2244</v>
      </c>
      <c r="G21333" s="2">
        <v>99</v>
      </c>
      <c r="H21333" s="2">
        <v>425</v>
      </c>
      <c r="I21333" s="2">
        <v>2</v>
      </c>
      <c r="J21333" s="2">
        <v>1276</v>
      </c>
      <c r="K21333" s="2">
        <v>1345</v>
      </c>
      <c r="L21333" s="2">
        <v>1767</v>
      </c>
    </row>
    <row r="21334" spans="1:12" x14ac:dyDescent="0.25">
      <c r="A21334" s="4" t="str">
        <f>HYPERLINK("http://www.rosaceae.org/Prunus/Prunus_persica/p.persica_gdr_reftransV1_0010858","p.persica_gdr_reftransV1_0010858")</f>
        <v>p.persica_gdr_reftransV1_0010858</v>
      </c>
      <c r="B21334" s="2">
        <v>1458</v>
      </c>
      <c r="C21334" s="4" t="str">
        <f>HYPERLINK("http://www.uniprot.org/uniprot/M5WV55","M5WV55")</f>
        <v>M5WV55</v>
      </c>
      <c r="D21334" s="2" t="s">
        <v>15948</v>
      </c>
      <c r="E21334" s="3">
        <v>9.8399999999999994E-145</v>
      </c>
      <c r="F21334" s="2">
        <v>1095</v>
      </c>
      <c r="G21334" s="2">
        <v>100</v>
      </c>
      <c r="H21334" s="2">
        <v>223</v>
      </c>
      <c r="I21334" s="2">
        <v>440</v>
      </c>
      <c r="J21334" s="2">
        <v>1108</v>
      </c>
      <c r="K21334" s="2">
        <v>1</v>
      </c>
      <c r="L21334" s="2">
        <v>223</v>
      </c>
    </row>
    <row r="21335" spans="1:12" x14ac:dyDescent="0.25">
      <c r="A21335" s="4" t="str">
        <f>HYPERLINK("http://www.rosaceae.org/Prunus/Prunus_persica/p.persica_gdr_reftransV1_0011208","p.persica_gdr_reftransV1_0011208")</f>
        <v>p.persica_gdr_reftransV1_0011208</v>
      </c>
      <c r="B21335" s="2">
        <v>2245</v>
      </c>
      <c r="C21335" s="4" t="str">
        <f>HYPERLINK("http://www.uniprot.org/uniprot/M5XQ45","M5XQ45")</f>
        <v>M5XQ45</v>
      </c>
      <c r="D21335" s="2" t="s">
        <v>15949</v>
      </c>
      <c r="E21335" s="3">
        <v>0</v>
      </c>
      <c r="F21335" s="2">
        <v>2985</v>
      </c>
      <c r="G21335" s="2">
        <v>100</v>
      </c>
      <c r="H21335" s="2">
        <v>573</v>
      </c>
      <c r="I21335" s="2">
        <v>388</v>
      </c>
      <c r="J21335" s="2">
        <v>2106</v>
      </c>
      <c r="K21335" s="2">
        <v>1</v>
      </c>
      <c r="L21335" s="2">
        <v>573</v>
      </c>
    </row>
    <row r="21336" spans="1:12" x14ac:dyDescent="0.25">
      <c r="A21336" s="4" t="str">
        <f>HYPERLINK("http://www.rosaceae.org/Prunus/Prunus_persica/p.persica_gdr_reftransV1_0011558","p.persica_gdr_reftransV1_0011558")</f>
        <v>p.persica_gdr_reftransV1_0011558</v>
      </c>
      <c r="B21336" s="2">
        <v>3842</v>
      </c>
      <c r="C21336" s="4" t="str">
        <f>HYPERLINK("http://www.uniprot.org/uniprot/M5XI47","M5XI47")</f>
        <v>M5XI47</v>
      </c>
      <c r="D21336" s="2" t="s">
        <v>15950</v>
      </c>
      <c r="E21336" s="3">
        <v>0</v>
      </c>
      <c r="F21336" s="2">
        <v>2378</v>
      </c>
      <c r="G21336" s="2">
        <v>100</v>
      </c>
      <c r="H21336" s="2">
        <v>475</v>
      </c>
      <c r="I21336" s="2">
        <v>214</v>
      </c>
      <c r="J21336" s="2">
        <v>1638</v>
      </c>
      <c r="K21336" s="2">
        <v>1</v>
      </c>
      <c r="L21336" s="2">
        <v>475</v>
      </c>
    </row>
    <row r="21337" spans="1:12" x14ac:dyDescent="0.25">
      <c r="A21337" s="4" t="str">
        <f>HYPERLINK("http://www.rosaceae.org/Prunus/Prunus_persica/p.persica_gdr_reftransV1_0011908","p.persica_gdr_reftransV1_0011908")</f>
        <v>p.persica_gdr_reftransV1_0011908</v>
      </c>
      <c r="B21337" s="2">
        <v>2264</v>
      </c>
      <c r="C21337" s="4" t="str">
        <f>HYPERLINK("http://www.uniprot.org/uniprot/M5Y032","M5Y032")</f>
        <v>M5Y032</v>
      </c>
      <c r="D21337" s="2" t="s">
        <v>15951</v>
      </c>
      <c r="E21337" s="3">
        <v>0</v>
      </c>
      <c r="F21337" s="2">
        <v>2202</v>
      </c>
      <c r="G21337" s="2">
        <v>96</v>
      </c>
      <c r="H21337" s="2">
        <v>446</v>
      </c>
      <c r="I21337" s="2">
        <v>98</v>
      </c>
      <c r="J21337" s="2">
        <v>1435</v>
      </c>
      <c r="K21337" s="2">
        <v>1</v>
      </c>
      <c r="L21337" s="2">
        <v>428</v>
      </c>
    </row>
    <row r="21338" spans="1:12" x14ac:dyDescent="0.25">
      <c r="A21338" s="4" t="str">
        <f>HYPERLINK("http://www.rosaceae.org/Prunus/Prunus_persica/p.persica_gdr_reftransV1_0014008","p.persica_gdr_reftransV1_0014008")</f>
        <v>p.persica_gdr_reftransV1_0014008</v>
      </c>
      <c r="B21338" s="2">
        <v>1044</v>
      </c>
      <c r="C21338" s="4" t="str">
        <f>HYPERLINK("http://www.uniprot.org/uniprot/M5X0Q9","M5X0Q9")</f>
        <v>M5X0Q9</v>
      </c>
      <c r="D21338" s="2" t="s">
        <v>12288</v>
      </c>
      <c r="E21338" s="3">
        <v>4.8800000000000002E-176</v>
      </c>
      <c r="F21338" s="2">
        <v>1288</v>
      </c>
      <c r="G21338" s="2">
        <v>100</v>
      </c>
      <c r="H21338" s="2">
        <v>240</v>
      </c>
      <c r="I21338" s="2">
        <v>221</v>
      </c>
      <c r="J21338" s="2">
        <v>940</v>
      </c>
      <c r="K21338" s="2">
        <v>1</v>
      </c>
      <c r="L21338" s="2">
        <v>240</v>
      </c>
    </row>
    <row r="21339" spans="1:12" x14ac:dyDescent="0.25">
      <c r="A21339" s="4" t="str">
        <f>HYPERLINK("http://www.rosaceae.org/Prunus/Prunus_persica/p.persica_gdr_reftransV1_0014708","p.persica_gdr_reftransV1_0014708")</f>
        <v>p.persica_gdr_reftransV1_0014708</v>
      </c>
      <c r="B21339" s="2">
        <v>1556</v>
      </c>
      <c r="C21339" s="4" t="str">
        <f>HYPERLINK("http://www.uniprot.org/uniprot/M5XE93","M5XE93")</f>
        <v>M5XE93</v>
      </c>
      <c r="D21339" s="2" t="s">
        <v>15952</v>
      </c>
      <c r="E21339" s="3">
        <v>0</v>
      </c>
      <c r="F21339" s="2">
        <v>1633</v>
      </c>
      <c r="G21339" s="2">
        <v>100</v>
      </c>
      <c r="H21339" s="2">
        <v>328</v>
      </c>
      <c r="I21339" s="2">
        <v>269</v>
      </c>
      <c r="J21339" s="2">
        <v>1252</v>
      </c>
      <c r="K21339" s="2">
        <v>1</v>
      </c>
      <c r="L21339" s="2">
        <v>328</v>
      </c>
    </row>
    <row r="21340" spans="1:12" x14ac:dyDescent="0.25">
      <c r="A21340" s="4" t="str">
        <f>HYPERLINK("http://www.rosaceae.org/Prunus/Prunus_persica/p.persica_gdr_reftransV1_0016108","p.persica_gdr_reftransV1_0016108")</f>
        <v>p.persica_gdr_reftransV1_0016108</v>
      </c>
      <c r="B21340" s="2">
        <v>1801</v>
      </c>
      <c r="C21340" s="4" t="str">
        <f>HYPERLINK("http://www.uniprot.org/uniprot/M5XL67","M5XL67")</f>
        <v>M5XL67</v>
      </c>
      <c r="D21340" s="2" t="s">
        <v>14488</v>
      </c>
      <c r="E21340" s="3">
        <v>2.4999999999999999E-82</v>
      </c>
      <c r="F21340" s="2">
        <v>715</v>
      </c>
      <c r="G21340" s="2">
        <v>100</v>
      </c>
      <c r="H21340" s="2">
        <v>253</v>
      </c>
      <c r="I21340" s="2">
        <v>456</v>
      </c>
      <c r="J21340" s="2">
        <v>1214</v>
      </c>
      <c r="K21340" s="2">
        <v>292</v>
      </c>
      <c r="L21340" s="2">
        <v>544</v>
      </c>
    </row>
    <row r="21341" spans="1:12" x14ac:dyDescent="0.25">
      <c r="A21341" s="4" t="str">
        <f>HYPERLINK("http://www.rosaceae.org/Prunus/Prunus_persica/p.persica_gdr_reftransV1_0017158","p.persica_gdr_reftransV1_0017158")</f>
        <v>p.persica_gdr_reftransV1_0017158</v>
      </c>
      <c r="B21341" s="2">
        <v>534</v>
      </c>
      <c r="C21341" s="4" t="str">
        <f>HYPERLINK("http://www.uniprot.org/uniprot/E0CNR9","E0CNR9")</f>
        <v>E0CNR9</v>
      </c>
      <c r="D21341" s="2" t="s">
        <v>15953</v>
      </c>
      <c r="E21341" s="3">
        <v>2.48E-23</v>
      </c>
      <c r="F21341" s="2">
        <v>245</v>
      </c>
      <c r="G21341" s="2">
        <v>70</v>
      </c>
      <c r="H21341" s="2">
        <v>67</v>
      </c>
      <c r="I21341" s="2">
        <v>214</v>
      </c>
      <c r="J21341" s="2">
        <v>414</v>
      </c>
      <c r="K21341" s="2">
        <v>20</v>
      </c>
      <c r="L21341" s="2">
        <v>86</v>
      </c>
    </row>
    <row r="21342" spans="1:12" x14ac:dyDescent="0.25">
      <c r="A21342" s="4" t="str">
        <f>HYPERLINK("http://www.rosaceae.org/Prunus/Prunus_persica/p.persica_gdr_reftransV1_0017508","p.persica_gdr_reftransV1_0017508")</f>
        <v>p.persica_gdr_reftransV1_0017508</v>
      </c>
      <c r="B21342" s="2">
        <v>1162</v>
      </c>
      <c r="C21342" s="4" t="str">
        <f>HYPERLINK("http://www.uniprot.org/uniprot/M5Y6S4","M5Y6S4")</f>
        <v>M5Y6S4</v>
      </c>
      <c r="D21342" s="2" t="s">
        <v>13946</v>
      </c>
      <c r="E21342" s="3">
        <v>1.5499999999999999E-137</v>
      </c>
      <c r="F21342" s="2">
        <v>1054</v>
      </c>
      <c r="G21342" s="2">
        <v>84</v>
      </c>
      <c r="H21342" s="2">
        <v>257</v>
      </c>
      <c r="I21342" s="2">
        <v>348</v>
      </c>
      <c r="J21342" s="2">
        <v>1109</v>
      </c>
      <c r="K21342" s="2">
        <v>47</v>
      </c>
      <c r="L21342" s="2">
        <v>301</v>
      </c>
    </row>
    <row r="21343" spans="1:12" x14ac:dyDescent="0.25">
      <c r="A21343" s="4" t="str">
        <f>HYPERLINK("http://www.rosaceae.org/Prunus/Prunus_persica/p.persica_gdr_reftransV1_0018558","p.persica_gdr_reftransV1_0018558")</f>
        <v>p.persica_gdr_reftransV1_0018558</v>
      </c>
      <c r="B21343" s="2">
        <v>2073</v>
      </c>
      <c r="C21343" s="4" t="str">
        <f>HYPERLINK("http://www.uniprot.org/uniprot/M5W656","M5W656")</f>
        <v>M5W656</v>
      </c>
      <c r="D21343" s="2" t="s">
        <v>15954</v>
      </c>
      <c r="E21343" s="3">
        <v>5.8599999999999998E-122</v>
      </c>
      <c r="F21343" s="2">
        <v>978</v>
      </c>
      <c r="G21343" s="2">
        <v>96</v>
      </c>
      <c r="H21343" s="2">
        <v>243</v>
      </c>
      <c r="I21343" s="2">
        <v>468</v>
      </c>
      <c r="J21343" s="2">
        <v>1196</v>
      </c>
      <c r="K21343" s="2">
        <v>151</v>
      </c>
      <c r="L21343" s="2">
        <v>393</v>
      </c>
    </row>
    <row r="21344" spans="1:12" x14ac:dyDescent="0.25">
      <c r="A21344" s="4" t="str">
        <f>HYPERLINK("http://www.rosaceae.org/Prunus/Prunus_persica/p.persica_gdr_reftransV1_0018908","p.persica_gdr_reftransV1_0018908")</f>
        <v>p.persica_gdr_reftransV1_0018908</v>
      </c>
      <c r="B21344" s="2">
        <v>739</v>
      </c>
      <c r="C21344" s="4" t="str">
        <f>HYPERLINK("http://www.uniprot.org/uniprot/A0A0D2U6C0","A0A0D2U6C0")</f>
        <v>A0A0D2U6C0</v>
      </c>
      <c r="D21344" s="2" t="s">
        <v>15955</v>
      </c>
      <c r="E21344" s="3">
        <v>9.4300000000000007E-9</v>
      </c>
      <c r="F21344" s="2">
        <v>99</v>
      </c>
      <c r="G21344" s="2">
        <v>60</v>
      </c>
      <c r="H21344" s="2">
        <v>35</v>
      </c>
      <c r="I21344" s="2">
        <v>46</v>
      </c>
      <c r="J21344" s="2">
        <v>147</v>
      </c>
      <c r="K21344" s="2">
        <v>306</v>
      </c>
      <c r="L21344" s="2">
        <v>340</v>
      </c>
    </row>
    <row r="21345" spans="1:12" x14ac:dyDescent="0.25">
      <c r="A21345" s="4" t="str">
        <f>HYPERLINK("http://www.rosaceae.org/Prunus/Prunus_persica/p.persica_gdr_reftransV1_0019258","p.persica_gdr_reftransV1_0019258")</f>
        <v>p.persica_gdr_reftransV1_0019258</v>
      </c>
      <c r="B21345" s="2">
        <v>908</v>
      </c>
      <c r="C21345" s="4" t="str">
        <f>HYPERLINK("http://www.uniprot.org/uniprot/M5WZV2","M5WZV2")</f>
        <v>M5WZV2</v>
      </c>
      <c r="D21345" s="2" t="s">
        <v>14948</v>
      </c>
      <c r="E21345" s="3">
        <v>7.9900000000000002E-87</v>
      </c>
      <c r="F21345" s="2">
        <v>712</v>
      </c>
      <c r="G21345" s="2">
        <v>100</v>
      </c>
      <c r="H21345" s="2">
        <v>135</v>
      </c>
      <c r="I21345" s="2">
        <v>504</v>
      </c>
      <c r="J21345" s="2">
        <v>908</v>
      </c>
      <c r="K21345" s="2">
        <v>315</v>
      </c>
      <c r="L21345" s="2">
        <v>449</v>
      </c>
    </row>
    <row r="21346" spans="1:12" x14ac:dyDescent="0.25">
      <c r="A21346" s="4" t="str">
        <f>HYPERLINK("http://www.rosaceae.org/Prunus/Prunus_persica/p.persica_gdr_reftransV1_0019608","p.persica_gdr_reftransV1_0019608")</f>
        <v>p.persica_gdr_reftransV1_0019608</v>
      </c>
      <c r="B21346" s="2">
        <v>3901</v>
      </c>
      <c r="C21346" s="4" t="str">
        <f>HYPERLINK("http://www.uniprot.org/uniprot/M5WJF1","M5WJF1")</f>
        <v>M5WJF1</v>
      </c>
      <c r="D21346" s="2" t="s">
        <v>15956</v>
      </c>
      <c r="E21346" s="3">
        <v>0</v>
      </c>
      <c r="F21346" s="2">
        <v>2992</v>
      </c>
      <c r="G21346" s="2">
        <v>100</v>
      </c>
      <c r="H21346" s="2">
        <v>576</v>
      </c>
      <c r="I21346" s="2">
        <v>92</v>
      </c>
      <c r="J21346" s="2">
        <v>1819</v>
      </c>
      <c r="K21346" s="2">
        <v>9</v>
      </c>
      <c r="L21346" s="2">
        <v>584</v>
      </c>
    </row>
    <row r="21347" spans="1:12" x14ac:dyDescent="0.25">
      <c r="A21347" s="4" t="str">
        <f>HYPERLINK("http://www.rosaceae.org/Prunus/Prunus_persica/p.persica_gdr_reftransV1_0020308","p.persica_gdr_reftransV1_0020308")</f>
        <v>p.persica_gdr_reftransV1_0020308</v>
      </c>
      <c r="B21347" s="2">
        <v>1864</v>
      </c>
      <c r="C21347" s="4" t="str">
        <f>HYPERLINK("http://www.uniprot.org/uniprot/M5WBB4","M5WBB4")</f>
        <v>M5WBB4</v>
      </c>
      <c r="D21347" s="2" t="s">
        <v>15957</v>
      </c>
      <c r="E21347" s="3">
        <v>0</v>
      </c>
      <c r="F21347" s="2">
        <v>1601</v>
      </c>
      <c r="G21347" s="2">
        <v>100</v>
      </c>
      <c r="H21347" s="2">
        <v>381</v>
      </c>
      <c r="I21347" s="2">
        <v>399</v>
      </c>
      <c r="J21347" s="2">
        <v>1541</v>
      </c>
      <c r="K21347" s="2">
        <v>1</v>
      </c>
      <c r="L21347" s="2">
        <v>381</v>
      </c>
    </row>
    <row r="21348" spans="1:12" x14ac:dyDescent="0.25">
      <c r="A21348" s="4" t="str">
        <f>HYPERLINK("http://www.rosaceae.org/Prunus/Prunus_persica/p.persica_gdr_reftransV1_0020658","p.persica_gdr_reftransV1_0020658")</f>
        <v>p.persica_gdr_reftransV1_0020658</v>
      </c>
      <c r="B21348" s="2">
        <v>2426</v>
      </c>
      <c r="C21348" s="4" t="str">
        <f>HYPERLINK("http://www.uniprot.org/uniprot/W9QLY3","W9QLY3")</f>
        <v>W9QLY3</v>
      </c>
      <c r="D21348" s="2" t="s">
        <v>15958</v>
      </c>
      <c r="E21348" s="3">
        <v>4.0399999999999999E-103</v>
      </c>
      <c r="F21348" s="2">
        <v>853</v>
      </c>
      <c r="G21348" s="2">
        <v>84</v>
      </c>
      <c r="H21348" s="2">
        <v>186</v>
      </c>
      <c r="I21348" s="2">
        <v>1490</v>
      </c>
      <c r="J21348" s="2">
        <v>2047</v>
      </c>
      <c r="K21348" s="2">
        <v>145</v>
      </c>
      <c r="L21348" s="2">
        <v>330</v>
      </c>
    </row>
    <row r="21349" spans="1:12" x14ac:dyDescent="0.25">
      <c r="A21349" s="4" t="str">
        <f>HYPERLINK("http://www.rosaceae.org/Prunus/Prunus_persica/p.persica_gdr_reftransV1_0023108","p.persica_gdr_reftransV1_0023108")</f>
        <v>p.persica_gdr_reftransV1_0023108</v>
      </c>
      <c r="B21349" s="2">
        <v>1577</v>
      </c>
      <c r="C21349" s="4" t="str">
        <f>HYPERLINK("http://www.uniprot.org/uniprot/M5WBN8","M5WBN8")</f>
        <v>M5WBN8</v>
      </c>
      <c r="D21349" s="2" t="s">
        <v>15959</v>
      </c>
      <c r="E21349" s="3">
        <v>3.3099999999999999E-72</v>
      </c>
      <c r="F21349" s="2">
        <v>616</v>
      </c>
      <c r="G21349" s="2">
        <v>100</v>
      </c>
      <c r="H21349" s="2">
        <v>118</v>
      </c>
      <c r="I21349" s="2">
        <v>926</v>
      </c>
      <c r="J21349" s="2">
        <v>1279</v>
      </c>
      <c r="K21349" s="2">
        <v>127</v>
      </c>
      <c r="L21349" s="2">
        <v>244</v>
      </c>
    </row>
    <row r="21350" spans="1:12" x14ac:dyDescent="0.25">
      <c r="A21350" s="4" t="str">
        <f>HYPERLINK("http://www.rosaceae.org/Prunus/Prunus_persica/p.persica_gdr_reftransV1_0025208","p.persica_gdr_reftransV1_0025208")</f>
        <v>p.persica_gdr_reftransV1_0025208</v>
      </c>
      <c r="B21350" s="2">
        <v>2732</v>
      </c>
      <c r="C21350" s="4" t="str">
        <f>HYPERLINK("http://www.uniprot.org/uniprot/M5VQR5","M5VQR5")</f>
        <v>M5VQR5</v>
      </c>
      <c r="D21350" s="2" t="s">
        <v>15960</v>
      </c>
      <c r="E21350" s="3">
        <v>2.0400000000000002E-87</v>
      </c>
      <c r="F21350" s="2">
        <v>746</v>
      </c>
      <c r="G21350" s="2">
        <v>100</v>
      </c>
      <c r="H21350" s="2">
        <v>143</v>
      </c>
      <c r="I21350" s="2">
        <v>534</v>
      </c>
      <c r="J21350" s="2">
        <v>962</v>
      </c>
      <c r="K21350" s="2">
        <v>1</v>
      </c>
      <c r="L21350" s="2">
        <v>143</v>
      </c>
    </row>
    <row r="21351" spans="1:12" x14ac:dyDescent="0.25">
      <c r="A21351" s="4" t="str">
        <f>HYPERLINK("http://www.rosaceae.org/Prunus/Prunus_persica/p.persica_gdr_reftransV1_0026958","p.persica_gdr_reftransV1_0026958")</f>
        <v>p.persica_gdr_reftransV1_0026958</v>
      </c>
      <c r="B21351" s="2">
        <v>4584</v>
      </c>
      <c r="C21351" s="4" t="str">
        <f>HYPERLINK("http://www.uniprot.org/uniprot/M5WTM7","M5WTM7")</f>
        <v>M5WTM7</v>
      </c>
      <c r="D21351" s="2" t="s">
        <v>13898</v>
      </c>
      <c r="E21351" s="3">
        <v>6.3499999999999996E-94</v>
      </c>
      <c r="F21351" s="2">
        <v>806</v>
      </c>
      <c r="G21351" s="2">
        <v>75</v>
      </c>
      <c r="H21351" s="2">
        <v>208</v>
      </c>
      <c r="I21351" s="2">
        <v>3150</v>
      </c>
      <c r="J21351" s="2">
        <v>3773</v>
      </c>
      <c r="K21351" s="2">
        <v>81</v>
      </c>
      <c r="L21351" s="2">
        <v>241</v>
      </c>
    </row>
    <row r="21352" spans="1:12" x14ac:dyDescent="0.25">
      <c r="A21352" s="4" t="str">
        <f>HYPERLINK("http://www.rosaceae.org/Prunus/Prunus_persica/p.persica_gdr_reftransV1_0027308","p.persica_gdr_reftransV1_0027308")</f>
        <v>p.persica_gdr_reftransV1_0027308</v>
      </c>
      <c r="B21352" s="2">
        <v>1920</v>
      </c>
      <c r="C21352" s="4" t="str">
        <f>HYPERLINK("http://www.uniprot.org/uniprot/M5XCM0","M5XCM0")</f>
        <v>M5XCM0</v>
      </c>
      <c r="D21352" s="2" t="s">
        <v>15961</v>
      </c>
      <c r="E21352" s="3">
        <v>0</v>
      </c>
      <c r="F21352" s="2">
        <v>2546</v>
      </c>
      <c r="G21352" s="2">
        <v>100</v>
      </c>
      <c r="H21352" s="2">
        <v>543</v>
      </c>
      <c r="I21352" s="2">
        <v>172</v>
      </c>
      <c r="J21352" s="2">
        <v>1800</v>
      </c>
      <c r="K21352" s="2">
        <v>1</v>
      </c>
      <c r="L21352" s="2">
        <v>543</v>
      </c>
    </row>
    <row r="21353" spans="1:12" x14ac:dyDescent="0.25">
      <c r="A21353" s="4" t="str">
        <f>HYPERLINK("http://www.rosaceae.org/Prunus/Prunus_persica/p.persica_gdr_reftransV1_0028708","p.persica_gdr_reftransV1_0028708")</f>
        <v>p.persica_gdr_reftransV1_0028708</v>
      </c>
      <c r="B21353" s="2">
        <v>2110</v>
      </c>
      <c r="C21353" s="4" t="str">
        <f>HYPERLINK("http://www.uniprot.org/uniprot/M5W3X4","M5W3X4")</f>
        <v>M5W3X4</v>
      </c>
      <c r="D21353" s="2" t="s">
        <v>15962</v>
      </c>
      <c r="E21353" s="3">
        <v>0</v>
      </c>
      <c r="F21353" s="2">
        <v>3074</v>
      </c>
      <c r="G21353" s="2">
        <v>100</v>
      </c>
      <c r="H21353" s="2">
        <v>590</v>
      </c>
      <c r="I21353" s="2">
        <v>339</v>
      </c>
      <c r="J21353" s="2">
        <v>2108</v>
      </c>
      <c r="K21353" s="2">
        <v>40</v>
      </c>
      <c r="L21353" s="2">
        <v>629</v>
      </c>
    </row>
    <row r="21354" spans="1:12" x14ac:dyDescent="0.25">
      <c r="A21354" s="4" t="str">
        <f>HYPERLINK("http://www.rosaceae.org/Prunus/Prunus_persica/p.persica_gdr_reftransV1_0029058","p.persica_gdr_reftransV1_0029058")</f>
        <v>p.persica_gdr_reftransV1_0029058</v>
      </c>
      <c r="B21354" s="2">
        <v>1860</v>
      </c>
      <c r="C21354" s="4" t="str">
        <f>HYPERLINK("http://www.uniprot.org/uniprot/M5XWX3","M5XWX3")</f>
        <v>M5XWX3</v>
      </c>
      <c r="D21354" s="2" t="s">
        <v>12579</v>
      </c>
      <c r="E21354" s="3">
        <v>2.5499999999999998E-155</v>
      </c>
      <c r="F21354" s="2">
        <v>1189</v>
      </c>
      <c r="G21354" s="2">
        <v>100</v>
      </c>
      <c r="H21354" s="2">
        <v>222</v>
      </c>
      <c r="I21354" s="2">
        <v>298</v>
      </c>
      <c r="J21354" s="2">
        <v>963</v>
      </c>
      <c r="K21354" s="2">
        <v>116</v>
      </c>
      <c r="L21354" s="2">
        <v>337</v>
      </c>
    </row>
    <row r="21355" spans="1:12" x14ac:dyDescent="0.25">
      <c r="A21355" s="4" t="str">
        <f>HYPERLINK("http://www.rosaceae.org/Prunus/Prunus_persica/p.persica_gdr_reftransV1_0029408","p.persica_gdr_reftransV1_0029408")</f>
        <v>p.persica_gdr_reftransV1_0029408</v>
      </c>
      <c r="B21355" s="2">
        <v>1991</v>
      </c>
      <c r="C21355" s="4" t="str">
        <f>HYPERLINK("http://www.uniprot.org/uniprot/M5XKA1","M5XKA1")</f>
        <v>M5XKA1</v>
      </c>
      <c r="D21355" s="2" t="s">
        <v>5656</v>
      </c>
      <c r="E21355" s="3">
        <v>0</v>
      </c>
      <c r="F21355" s="2">
        <v>2307</v>
      </c>
      <c r="G21355" s="2">
        <v>100</v>
      </c>
      <c r="H21355" s="2">
        <v>439</v>
      </c>
      <c r="I21355" s="2">
        <v>434</v>
      </c>
      <c r="J21355" s="2">
        <v>1750</v>
      </c>
      <c r="K21355" s="2">
        <v>407</v>
      </c>
      <c r="L21355" s="2">
        <v>845</v>
      </c>
    </row>
    <row r="21356" spans="1:12" x14ac:dyDescent="0.25">
      <c r="A21356" s="4" t="str">
        <f>HYPERLINK("http://www.rosaceae.org/Prunus/Prunus_persica/p.persica_gdr_reftransV1_0038508","p.persica_gdr_reftransV1_0038508")</f>
        <v>p.persica_gdr_reftransV1_0038508</v>
      </c>
      <c r="B21356" s="2">
        <v>3119</v>
      </c>
      <c r="C21356" s="4" t="str">
        <f>HYPERLINK("http://www.uniprot.org/uniprot/M5XQJ8","M5XQJ8")</f>
        <v>M5XQJ8</v>
      </c>
      <c r="D21356" s="2" t="s">
        <v>8562</v>
      </c>
      <c r="E21356" s="3">
        <v>0</v>
      </c>
      <c r="F21356" s="2">
        <v>2529</v>
      </c>
      <c r="G21356" s="2">
        <v>99</v>
      </c>
      <c r="H21356" s="2">
        <v>500</v>
      </c>
      <c r="I21356" s="2">
        <v>297</v>
      </c>
      <c r="J21356" s="2">
        <v>1796</v>
      </c>
      <c r="K21356" s="2">
        <v>1</v>
      </c>
      <c r="L21356" s="2">
        <v>500</v>
      </c>
    </row>
    <row r="21357" spans="1:12" x14ac:dyDescent="0.25">
      <c r="A21357" s="4" t="str">
        <f>HYPERLINK("http://www.rosaceae.org/Prunus/Prunus_persica/p.persica_gdr_reftransV1_0038858","p.persica_gdr_reftransV1_0038858")</f>
        <v>p.persica_gdr_reftransV1_0038858</v>
      </c>
      <c r="B21357" s="2">
        <v>3138</v>
      </c>
      <c r="C21357" s="4" t="str">
        <f>HYPERLINK("http://www.uniprot.org/uniprot/A0A0D2NB09","A0A0D2NB09")</f>
        <v>A0A0D2NB09</v>
      </c>
      <c r="D21357" s="2" t="s">
        <v>15963</v>
      </c>
      <c r="E21357" s="3">
        <v>0</v>
      </c>
      <c r="F21357" s="2">
        <v>506</v>
      </c>
      <c r="G21357" s="2">
        <v>68</v>
      </c>
      <c r="H21357" s="2">
        <v>146</v>
      </c>
      <c r="I21357" s="2">
        <v>2158</v>
      </c>
      <c r="J21357" s="2">
        <v>2595</v>
      </c>
      <c r="K21357" s="2">
        <v>418</v>
      </c>
      <c r="L21357" s="2">
        <v>560</v>
      </c>
    </row>
    <row r="21358" spans="1:12" x14ac:dyDescent="0.25">
      <c r="A21358" s="4" t="str">
        <f>HYPERLINK("http://www.rosaceae.org/Prunus/Prunus_persica/p.persica_gdr_reftransV1_0039558","p.persica_gdr_reftransV1_0039558")</f>
        <v>p.persica_gdr_reftransV1_0039558</v>
      </c>
      <c r="B21358" s="2">
        <v>1916</v>
      </c>
      <c r="C21358" s="4" t="str">
        <f>HYPERLINK("http://www.uniprot.org/uniprot/M5VVI7","M5VVI7")</f>
        <v>M5VVI7</v>
      </c>
      <c r="D21358" s="2" t="s">
        <v>4309</v>
      </c>
      <c r="E21358" s="3">
        <v>2.8900000000000001E-113</v>
      </c>
      <c r="F21358" s="2">
        <v>937</v>
      </c>
      <c r="G21358" s="2">
        <v>100</v>
      </c>
      <c r="H21358" s="2">
        <v>288</v>
      </c>
      <c r="I21358" s="2">
        <v>399</v>
      </c>
      <c r="J21358" s="2">
        <v>1262</v>
      </c>
      <c r="K21358" s="2">
        <v>361</v>
      </c>
      <c r="L21358" s="2">
        <v>648</v>
      </c>
    </row>
    <row r="21359" spans="1:12" x14ac:dyDescent="0.25">
      <c r="A21359" s="4" t="str">
        <f>HYPERLINK("http://www.rosaceae.org/Prunus/Prunus_persica/p.persica_gdr_reftransV1_0042008","p.persica_gdr_reftransV1_0042008")</f>
        <v>p.persica_gdr_reftransV1_0042008</v>
      </c>
      <c r="B21359" s="2">
        <v>2605</v>
      </c>
      <c r="C21359" s="4" t="str">
        <f>HYPERLINK("http://www.uniprot.org/uniprot/M5XD97","M5XD97")</f>
        <v>M5XD97</v>
      </c>
      <c r="D21359" s="2" t="s">
        <v>15964</v>
      </c>
      <c r="E21359" s="3">
        <v>0</v>
      </c>
      <c r="F21359" s="2">
        <v>2007</v>
      </c>
      <c r="G21359" s="2">
        <v>93</v>
      </c>
      <c r="H21359" s="2">
        <v>429</v>
      </c>
      <c r="I21359" s="2">
        <v>999</v>
      </c>
      <c r="J21359" s="2">
        <v>2285</v>
      </c>
      <c r="K21359" s="2">
        <v>165</v>
      </c>
      <c r="L21359" s="2">
        <v>563</v>
      </c>
    </row>
    <row r="21360" spans="1:12" x14ac:dyDescent="0.25">
      <c r="A21360" s="4" t="str">
        <f>HYPERLINK("http://www.rosaceae.org/Prunus/Prunus_persica/p.persica_gdr_reftransV1_0043058","p.persica_gdr_reftransV1_0043058")</f>
        <v>p.persica_gdr_reftransV1_0043058</v>
      </c>
      <c r="B21360" s="2">
        <v>2370</v>
      </c>
      <c r="C21360" s="4" t="str">
        <f>HYPERLINK("http://www.uniprot.org/uniprot/M5XEX0","M5XEX0")</f>
        <v>M5XEX0</v>
      </c>
      <c r="D21360" s="2" t="s">
        <v>15965</v>
      </c>
      <c r="E21360" s="3">
        <v>0</v>
      </c>
      <c r="F21360" s="2">
        <v>3327</v>
      </c>
      <c r="G21360" s="2">
        <v>100</v>
      </c>
      <c r="H21360" s="2">
        <v>639</v>
      </c>
      <c r="I21360" s="2">
        <v>193</v>
      </c>
      <c r="J21360" s="2">
        <v>2109</v>
      </c>
      <c r="K21360" s="2">
        <v>1</v>
      </c>
      <c r="L21360" s="2">
        <v>639</v>
      </c>
    </row>
    <row r="21361" spans="1:12" x14ac:dyDescent="0.25">
      <c r="A21361" s="4" t="str">
        <f>HYPERLINK("http://www.rosaceae.org/Prunus/Prunus_persica/p.persica_gdr_reftransV1_0043408","p.persica_gdr_reftransV1_0043408")</f>
        <v>p.persica_gdr_reftransV1_0043408</v>
      </c>
      <c r="B21361" s="2">
        <v>350</v>
      </c>
      <c r="C21361" s="4" t="str">
        <f>HYPERLINK("http://www.uniprot.org/uniprot/M5WEF2","M5WEF2")</f>
        <v>M5WEF2</v>
      </c>
      <c r="D21361" s="2" t="s">
        <v>6764</v>
      </c>
      <c r="E21361" s="3">
        <v>5.33E-73</v>
      </c>
      <c r="F21361" s="2">
        <v>622</v>
      </c>
      <c r="G21361" s="2">
        <v>100</v>
      </c>
      <c r="H21361" s="2">
        <v>116</v>
      </c>
      <c r="I21361" s="2">
        <v>2</v>
      </c>
      <c r="J21361" s="2">
        <v>349</v>
      </c>
      <c r="K21361" s="2">
        <v>151</v>
      </c>
      <c r="L21361" s="2">
        <v>266</v>
      </c>
    </row>
    <row r="21362" spans="1:12" x14ac:dyDescent="0.25">
      <c r="A21362" s="4" t="str">
        <f>HYPERLINK("http://www.rosaceae.org/Prunus/Prunus_persica/p.persica_gdr_reftransV1_0043758","p.persica_gdr_reftransV1_0043758")</f>
        <v>p.persica_gdr_reftransV1_0043758</v>
      </c>
      <c r="B21362" s="2">
        <v>1781</v>
      </c>
      <c r="C21362" s="4" t="str">
        <f>HYPERLINK("http://www.uniprot.org/uniprot/M5XEI8","M5XEI8")</f>
        <v>M5XEI8</v>
      </c>
      <c r="D21362" s="2" t="s">
        <v>15966</v>
      </c>
      <c r="E21362" s="3">
        <v>0</v>
      </c>
      <c r="F21362" s="2">
        <v>2556</v>
      </c>
      <c r="G21362" s="2">
        <v>100</v>
      </c>
      <c r="H21362" s="2">
        <v>495</v>
      </c>
      <c r="I21362" s="2">
        <v>270</v>
      </c>
      <c r="J21362" s="2">
        <v>1754</v>
      </c>
      <c r="K21362" s="2">
        <v>21</v>
      </c>
      <c r="L21362" s="2">
        <v>515</v>
      </c>
    </row>
    <row r="21363" spans="1:12" x14ac:dyDescent="0.25">
      <c r="A21363" s="4" t="str">
        <f>HYPERLINK("http://www.rosaceae.org/Prunus/Prunus_persica/p.persica_gdr_reftransV1_0044108","p.persica_gdr_reftransV1_0044108")</f>
        <v>p.persica_gdr_reftransV1_0044108</v>
      </c>
      <c r="B21363" s="2">
        <v>450</v>
      </c>
      <c r="C21363" s="4" t="str">
        <f>HYPERLINK("http://www.uniprot.org/uniprot/M5W6P2","M5W6P2")</f>
        <v>M5W6P2</v>
      </c>
      <c r="D21363" s="2" t="s">
        <v>5201</v>
      </c>
      <c r="E21363" s="3">
        <v>2.3199999999999999E-88</v>
      </c>
      <c r="F21363" s="2">
        <v>707</v>
      </c>
      <c r="G21363" s="2">
        <v>100</v>
      </c>
      <c r="H21363" s="2">
        <v>149</v>
      </c>
      <c r="I21363" s="2">
        <v>2</v>
      </c>
      <c r="J21363" s="2">
        <v>448</v>
      </c>
      <c r="K21363" s="2">
        <v>218</v>
      </c>
      <c r="L21363" s="2">
        <v>366</v>
      </c>
    </row>
    <row r="21364" spans="1:12" x14ac:dyDescent="0.25">
      <c r="A21364" s="4" t="str">
        <f>HYPERLINK("http://www.rosaceae.org/Prunus/Prunus_persica/p.persica_gdr_reftransV1_0044458","p.persica_gdr_reftransV1_0044458")</f>
        <v>p.persica_gdr_reftransV1_0044458</v>
      </c>
      <c r="B21364" s="2">
        <v>1432</v>
      </c>
      <c r="C21364" s="4" t="str">
        <f>HYPERLINK("http://www.uniprot.org/uniprot/M5X3Y0","M5X3Y0")</f>
        <v>M5X3Y0</v>
      </c>
      <c r="D21364" s="2" t="s">
        <v>630</v>
      </c>
      <c r="E21364" s="3">
        <v>9.7400000000000002E-68</v>
      </c>
      <c r="F21364" s="2">
        <v>579</v>
      </c>
      <c r="G21364" s="2">
        <v>100</v>
      </c>
      <c r="H21364" s="2">
        <v>169</v>
      </c>
      <c r="I21364" s="2">
        <v>476</v>
      </c>
      <c r="J21364" s="2">
        <v>982</v>
      </c>
      <c r="K21364" s="2">
        <v>41</v>
      </c>
      <c r="L21364" s="2">
        <v>209</v>
      </c>
    </row>
    <row r="21365" spans="1:12" x14ac:dyDescent="0.25">
      <c r="A21365" s="4" t="str">
        <f>HYPERLINK("http://www.rosaceae.org/Prunus/Prunus_persica/p.persica_gdr_reftransV1_0044808","p.persica_gdr_reftransV1_0044808")</f>
        <v>p.persica_gdr_reftransV1_0044808</v>
      </c>
      <c r="B21365" s="2">
        <v>2124</v>
      </c>
      <c r="C21365" s="4" t="str">
        <f>HYPERLINK("http://www.uniprot.org/uniprot/M5VXH5","M5VXH5")</f>
        <v>M5VXH5</v>
      </c>
      <c r="D21365" s="2" t="s">
        <v>14823</v>
      </c>
      <c r="E21365" s="3">
        <v>0</v>
      </c>
      <c r="F21365" s="2">
        <v>1472</v>
      </c>
      <c r="G21365" s="2">
        <v>100</v>
      </c>
      <c r="H21365" s="2">
        <v>312</v>
      </c>
      <c r="I21365" s="2">
        <v>934</v>
      </c>
      <c r="J21365" s="2">
        <v>1869</v>
      </c>
      <c r="K21365" s="2">
        <v>1</v>
      </c>
      <c r="L21365" s="2">
        <v>312</v>
      </c>
    </row>
    <row r="21366" spans="1:12" x14ac:dyDescent="0.25">
      <c r="A21366" s="4" t="str">
        <f>HYPERLINK("http://www.rosaceae.org/Prunus/Prunus_persica/p.persica_gdr_reftransV1_0045508","p.persica_gdr_reftransV1_0045508")</f>
        <v>p.persica_gdr_reftransV1_0045508</v>
      </c>
      <c r="B21366" s="2">
        <v>555</v>
      </c>
      <c r="C21366" s="4" t="str">
        <f>HYPERLINK("http://www.uniprot.org/uniprot/M5X225","M5X225")</f>
        <v>M5X225</v>
      </c>
      <c r="D21366" s="2" t="s">
        <v>12623</v>
      </c>
      <c r="E21366" s="3">
        <v>2.2000000000000001E-44</v>
      </c>
      <c r="F21366" s="2">
        <v>405</v>
      </c>
      <c r="G21366" s="2">
        <v>100</v>
      </c>
      <c r="H21366" s="2">
        <v>78</v>
      </c>
      <c r="I21366" s="2">
        <v>145</v>
      </c>
      <c r="J21366" s="2">
        <v>378</v>
      </c>
      <c r="K21366" s="2">
        <v>252</v>
      </c>
      <c r="L21366" s="2">
        <v>329</v>
      </c>
    </row>
    <row r="21367" spans="1:12" x14ac:dyDescent="0.25">
      <c r="A21367" s="4" t="str">
        <f>HYPERLINK("http://www.rosaceae.org/Prunus/Prunus_persica/p.persica_gdr_reftransV1_0046208","p.persica_gdr_reftransV1_0046208")</f>
        <v>p.persica_gdr_reftransV1_0046208</v>
      </c>
      <c r="B21367" s="2">
        <v>549</v>
      </c>
      <c r="C21367" s="4" t="str">
        <f>HYPERLINK("http://www.uniprot.org/uniprot/M5WV58","M5WV58")</f>
        <v>M5WV58</v>
      </c>
      <c r="D21367" s="2" t="s">
        <v>10539</v>
      </c>
      <c r="E21367" s="3">
        <v>2.6E-92</v>
      </c>
      <c r="F21367" s="2">
        <v>716</v>
      </c>
      <c r="G21367" s="2">
        <v>100</v>
      </c>
      <c r="H21367" s="2">
        <v>134</v>
      </c>
      <c r="I21367" s="2">
        <v>42</v>
      </c>
      <c r="J21367" s="2">
        <v>443</v>
      </c>
      <c r="K21367" s="2">
        <v>87</v>
      </c>
      <c r="L21367" s="2">
        <v>220</v>
      </c>
    </row>
    <row r="21368" spans="1:12" x14ac:dyDescent="0.25">
      <c r="A21368" s="4" t="str">
        <f>HYPERLINK("http://www.rosaceae.org/Prunus/Prunus_persica/p.persica_gdr_reftransV1_0046558","p.persica_gdr_reftransV1_0046558")</f>
        <v>p.persica_gdr_reftransV1_0046558</v>
      </c>
      <c r="B21368" s="2">
        <v>433</v>
      </c>
      <c r="C21368" s="4" t="str">
        <f>HYPERLINK("http://www.uniprot.org/uniprot/M5WFP2","M5WFP2")</f>
        <v>M5WFP2</v>
      </c>
      <c r="D21368" s="2" t="s">
        <v>5302</v>
      </c>
      <c r="E21368" s="3">
        <v>4.4799999999999997E-49</v>
      </c>
      <c r="F21368" s="2">
        <v>437</v>
      </c>
      <c r="G21368" s="2">
        <v>64</v>
      </c>
      <c r="H21368" s="2">
        <v>150</v>
      </c>
      <c r="I21368" s="2">
        <v>2</v>
      </c>
      <c r="J21368" s="2">
        <v>433</v>
      </c>
      <c r="K21368" s="2">
        <v>131</v>
      </c>
      <c r="L21368" s="2">
        <v>276</v>
      </c>
    </row>
    <row r="21369" spans="1:12" x14ac:dyDescent="0.25">
      <c r="A21369" s="4" t="str">
        <f>HYPERLINK("http://www.rosaceae.org/Prunus/Prunus_persica/p.persica_gdr_reftransV1_0047258","p.persica_gdr_reftransV1_0047258")</f>
        <v>p.persica_gdr_reftransV1_0047258</v>
      </c>
      <c r="B21369" s="2">
        <v>1844</v>
      </c>
      <c r="C21369" s="4" t="str">
        <f>HYPERLINK("http://www.uniprot.org/uniprot/M5VLZ8","M5VLZ8")</f>
        <v>M5VLZ8</v>
      </c>
      <c r="D21369" s="2" t="s">
        <v>15967</v>
      </c>
      <c r="E21369" s="3">
        <v>0</v>
      </c>
      <c r="F21369" s="2">
        <v>2126</v>
      </c>
      <c r="G21369" s="2">
        <v>100</v>
      </c>
      <c r="H21369" s="2">
        <v>431</v>
      </c>
      <c r="I21369" s="2">
        <v>147</v>
      </c>
      <c r="J21369" s="2">
        <v>1439</v>
      </c>
      <c r="K21369" s="2">
        <v>1</v>
      </c>
      <c r="L21369" s="2">
        <v>431</v>
      </c>
    </row>
    <row r="21370" spans="1:12" x14ac:dyDescent="0.25">
      <c r="A21370" s="4" t="str">
        <f>HYPERLINK("http://www.rosaceae.org/Prunus/Prunus_persica/p.persica_gdr_reftransV1_0047608","p.persica_gdr_reftransV1_0047608")</f>
        <v>p.persica_gdr_reftransV1_0047608</v>
      </c>
      <c r="B21370" s="2">
        <v>1005</v>
      </c>
      <c r="C21370" s="4" t="str">
        <f>HYPERLINK("http://www.uniprot.org/uniprot/M5XI77","M5XI77")</f>
        <v>M5XI77</v>
      </c>
      <c r="D21370" s="2" t="s">
        <v>13021</v>
      </c>
      <c r="E21370" s="3">
        <v>4.4299999999999997E-128</v>
      </c>
      <c r="F21370" s="2">
        <v>969</v>
      </c>
      <c r="G21370" s="2">
        <v>100</v>
      </c>
      <c r="H21370" s="2">
        <v>223</v>
      </c>
      <c r="I21370" s="2">
        <v>122</v>
      </c>
      <c r="J21370" s="2">
        <v>790</v>
      </c>
      <c r="K21370" s="2">
        <v>1</v>
      </c>
      <c r="L21370" s="2">
        <v>223</v>
      </c>
    </row>
    <row r="21371" spans="1:12" x14ac:dyDescent="0.25">
      <c r="A21371" s="4" t="str">
        <f>HYPERLINK("http://www.rosaceae.org/Prunus/Prunus_persica/p.persica_gdr_reftransV1_0047958","p.persica_gdr_reftransV1_0047958")</f>
        <v>p.persica_gdr_reftransV1_0047958</v>
      </c>
      <c r="B21371" s="2">
        <v>975</v>
      </c>
      <c r="C21371" s="4" t="str">
        <f>HYPERLINK("http://www.uniprot.org/uniprot/M5VKW3","M5VKW3")</f>
        <v>M5VKW3</v>
      </c>
      <c r="D21371" s="2" t="s">
        <v>1498</v>
      </c>
      <c r="E21371" s="3">
        <v>8.43E-69</v>
      </c>
      <c r="F21371" s="2">
        <v>567</v>
      </c>
      <c r="G21371" s="2">
        <v>100</v>
      </c>
      <c r="H21371" s="2">
        <v>110</v>
      </c>
      <c r="I21371" s="2">
        <v>439</v>
      </c>
      <c r="J21371" s="2">
        <v>768</v>
      </c>
      <c r="K21371" s="2">
        <v>29</v>
      </c>
      <c r="L21371" s="2">
        <v>138</v>
      </c>
    </row>
    <row r="21372" spans="1:12" x14ac:dyDescent="0.25">
      <c r="A21372" s="4" t="str">
        <f>HYPERLINK("http://www.rosaceae.org/Prunus/Prunus_persica/p.persica_gdr_reftransV1_0048658","p.persica_gdr_reftransV1_0048658")</f>
        <v>p.persica_gdr_reftransV1_0048658</v>
      </c>
      <c r="B21372" s="2">
        <v>786</v>
      </c>
      <c r="C21372" s="4" t="str">
        <f>HYPERLINK("http://www.uniprot.org/uniprot/M5WCF9","M5WCF9")</f>
        <v>M5WCF9</v>
      </c>
      <c r="D21372" s="2" t="s">
        <v>6211</v>
      </c>
      <c r="E21372" s="3">
        <v>2.3200000000000002E-123</v>
      </c>
      <c r="F21372" s="2">
        <v>963</v>
      </c>
      <c r="G21372" s="2">
        <v>100</v>
      </c>
      <c r="H21372" s="2">
        <v>182</v>
      </c>
      <c r="I21372" s="2">
        <v>239</v>
      </c>
      <c r="J21372" s="2">
        <v>784</v>
      </c>
      <c r="K21372" s="2">
        <v>408</v>
      </c>
      <c r="L21372" s="2">
        <v>589</v>
      </c>
    </row>
    <row r="21373" spans="1:12" x14ac:dyDescent="0.25">
      <c r="A21373" s="4" t="str">
        <f>HYPERLINK("http://www.rosaceae.org/Prunus/Prunus_persica/p.persica_gdr_reftransV1_0049008","p.persica_gdr_reftransV1_0049008")</f>
        <v>p.persica_gdr_reftransV1_0049008</v>
      </c>
      <c r="B21373" s="2">
        <v>2363</v>
      </c>
      <c r="C21373" s="4" t="str">
        <f>HYPERLINK("http://www.uniprot.org/uniprot/M5WBQ5","M5WBQ5")</f>
        <v>M5WBQ5</v>
      </c>
      <c r="D21373" s="2" t="s">
        <v>9472</v>
      </c>
      <c r="E21373" s="3">
        <v>0</v>
      </c>
      <c r="F21373" s="2">
        <v>2578</v>
      </c>
      <c r="G21373" s="2">
        <v>100</v>
      </c>
      <c r="H21373" s="2">
        <v>488</v>
      </c>
      <c r="I21373" s="2">
        <v>605</v>
      </c>
      <c r="J21373" s="2">
        <v>2068</v>
      </c>
      <c r="K21373" s="2">
        <v>1</v>
      </c>
      <c r="L21373" s="2">
        <v>488</v>
      </c>
    </row>
    <row r="21374" spans="1:12" x14ac:dyDescent="0.25">
      <c r="A21374" s="4" t="str">
        <f>HYPERLINK("http://www.rosaceae.org/Prunus/Prunus_persica/p.persica_gdr_reftransV1_0000081","p.persica_gdr_reftransV1_0000081")</f>
        <v>p.persica_gdr_reftransV1_0000081</v>
      </c>
      <c r="B21374" s="2">
        <v>592</v>
      </c>
      <c r="C21374" s="4" t="str">
        <f>HYPERLINK("http://www.uniprot.org/uniprot/M5WEK4","M5WEK4")</f>
        <v>M5WEK4</v>
      </c>
      <c r="D21374" s="2" t="s">
        <v>7508</v>
      </c>
      <c r="E21374" s="3">
        <v>1.41E-140</v>
      </c>
      <c r="F21374" s="2">
        <v>1047</v>
      </c>
      <c r="G21374" s="2">
        <v>100</v>
      </c>
      <c r="H21374" s="2">
        <v>197</v>
      </c>
      <c r="I21374" s="2">
        <v>1</v>
      </c>
      <c r="J21374" s="2">
        <v>591</v>
      </c>
      <c r="K21374" s="2">
        <v>32</v>
      </c>
      <c r="L21374" s="2">
        <v>228</v>
      </c>
    </row>
    <row r="21375" spans="1:12" x14ac:dyDescent="0.25">
      <c r="A21375" s="4" t="str">
        <f>HYPERLINK("http://www.rosaceae.org/Prunus/Prunus_persica/p.persica_gdr_reftransV1_0000431","p.persica_gdr_reftransV1_0000431")</f>
        <v>p.persica_gdr_reftransV1_0000431</v>
      </c>
      <c r="B21375" s="2">
        <v>1297</v>
      </c>
      <c r="C21375" s="4" t="str">
        <f>HYPERLINK("http://www.uniprot.org/uniprot/M5VVX1","M5VVX1")</f>
        <v>M5VVX1</v>
      </c>
      <c r="D21375" s="2" t="s">
        <v>14340</v>
      </c>
      <c r="E21375" s="3">
        <v>0</v>
      </c>
      <c r="F21375" s="2">
        <v>1371</v>
      </c>
      <c r="G21375" s="2">
        <v>100</v>
      </c>
      <c r="H21375" s="2">
        <v>326</v>
      </c>
      <c r="I21375" s="2">
        <v>320</v>
      </c>
      <c r="J21375" s="2">
        <v>1297</v>
      </c>
      <c r="K21375" s="2">
        <v>53</v>
      </c>
      <c r="L21375" s="2">
        <v>378</v>
      </c>
    </row>
    <row r="21376" spans="1:12" x14ac:dyDescent="0.25">
      <c r="A21376" s="4" t="str">
        <f>HYPERLINK("http://www.rosaceae.org/Prunus/Prunus_persica/p.persica_gdr_reftransV1_0000781","p.persica_gdr_reftransV1_0000781")</f>
        <v>p.persica_gdr_reftransV1_0000781</v>
      </c>
      <c r="B21376" s="2">
        <v>1890</v>
      </c>
      <c r="C21376" s="4" t="str">
        <f>HYPERLINK("http://www.uniprot.org/uniprot/M5WST2","M5WST2")</f>
        <v>M5WST2</v>
      </c>
      <c r="D21376" s="2" t="s">
        <v>669</v>
      </c>
      <c r="E21376" s="3">
        <v>0</v>
      </c>
      <c r="F21376" s="2">
        <v>2661</v>
      </c>
      <c r="G21376" s="2">
        <v>97</v>
      </c>
      <c r="H21376" s="2">
        <v>537</v>
      </c>
      <c r="I21376" s="2">
        <v>241</v>
      </c>
      <c r="J21376" s="2">
        <v>1803</v>
      </c>
      <c r="K21376" s="2">
        <v>1</v>
      </c>
      <c r="L21376" s="2">
        <v>537</v>
      </c>
    </row>
    <row r="21377" spans="1:12" x14ac:dyDescent="0.25">
      <c r="A21377" s="4" t="str">
        <f>HYPERLINK("http://www.rosaceae.org/Prunus/Prunus_persica/p.persica_gdr_reftransV1_0001831","p.persica_gdr_reftransV1_0001831")</f>
        <v>p.persica_gdr_reftransV1_0001831</v>
      </c>
      <c r="B21377" s="2">
        <v>1190</v>
      </c>
      <c r="C21377" s="4" t="str">
        <f>HYPERLINK("http://www.uniprot.org/uniprot/M5X2E5","M5X2E5")</f>
        <v>M5X2E5</v>
      </c>
      <c r="D21377" s="2" t="s">
        <v>6349</v>
      </c>
      <c r="E21377" s="3">
        <v>1.4600000000000001E-98</v>
      </c>
      <c r="F21377" s="2">
        <v>777</v>
      </c>
      <c r="G21377" s="2">
        <v>100</v>
      </c>
      <c r="H21377" s="2">
        <v>167</v>
      </c>
      <c r="I21377" s="2">
        <v>120</v>
      </c>
      <c r="J21377" s="2">
        <v>620</v>
      </c>
      <c r="K21377" s="2">
        <v>24</v>
      </c>
      <c r="L21377" s="2">
        <v>190</v>
      </c>
    </row>
    <row r="21378" spans="1:12" x14ac:dyDescent="0.25">
      <c r="A21378" s="4" t="str">
        <f>HYPERLINK("http://www.rosaceae.org/Prunus/Prunus_persica/p.persica_gdr_reftransV1_0002181","p.persica_gdr_reftransV1_0002181")</f>
        <v>p.persica_gdr_reftransV1_0002181</v>
      </c>
      <c r="B21378" s="2">
        <v>488</v>
      </c>
      <c r="C21378" s="4" t="str">
        <f>HYPERLINK("http://www.uniprot.org/uniprot/M5WS53","M5WS53")</f>
        <v>M5WS53</v>
      </c>
      <c r="D21378" s="2" t="s">
        <v>2527</v>
      </c>
      <c r="E21378" s="3">
        <v>5.4699999999999999E-50</v>
      </c>
      <c r="F21378" s="2">
        <v>450</v>
      </c>
      <c r="G21378" s="2">
        <v>57</v>
      </c>
      <c r="H21378" s="2">
        <v>164</v>
      </c>
      <c r="I21378" s="2">
        <v>3</v>
      </c>
      <c r="J21378" s="2">
        <v>488</v>
      </c>
      <c r="K21378" s="2">
        <v>46</v>
      </c>
      <c r="L21378" s="2">
        <v>207</v>
      </c>
    </row>
    <row r="21379" spans="1:12" x14ac:dyDescent="0.25">
      <c r="A21379" s="4" t="str">
        <f>HYPERLINK("http://www.rosaceae.org/Prunus/Prunus_persica/p.persica_gdr_reftransV1_0002531","p.persica_gdr_reftransV1_0002531")</f>
        <v>p.persica_gdr_reftransV1_0002531</v>
      </c>
      <c r="B21379" s="2">
        <v>731</v>
      </c>
      <c r="C21379" s="4" t="str">
        <f>HYPERLINK("http://www.uniprot.org/uniprot/M5WW63","M5WW63")</f>
        <v>M5WW63</v>
      </c>
      <c r="D21379" s="2" t="s">
        <v>2702</v>
      </c>
      <c r="E21379" s="3">
        <v>1.6399999999999999E-144</v>
      </c>
      <c r="F21379" s="2">
        <v>1103</v>
      </c>
      <c r="G21379" s="2">
        <v>97</v>
      </c>
      <c r="H21379" s="2">
        <v>243</v>
      </c>
      <c r="I21379" s="2">
        <v>2</v>
      </c>
      <c r="J21379" s="2">
        <v>730</v>
      </c>
      <c r="K21379" s="2">
        <v>258</v>
      </c>
      <c r="L21379" s="2">
        <v>492</v>
      </c>
    </row>
    <row r="21380" spans="1:12" x14ac:dyDescent="0.25">
      <c r="A21380" s="4" t="str">
        <f>HYPERLINK("http://www.rosaceae.org/Prunus/Prunus_persica/p.persica_gdr_reftransV1_0002881","p.persica_gdr_reftransV1_0002881")</f>
        <v>p.persica_gdr_reftransV1_0002881</v>
      </c>
      <c r="B21380" s="2">
        <v>520</v>
      </c>
      <c r="C21380" s="4" t="str">
        <f>HYPERLINK("http://www.uniprot.org/uniprot/S3CV13","S3CV13")</f>
        <v>S3CV13</v>
      </c>
      <c r="D21380" s="2" t="s">
        <v>15968</v>
      </c>
      <c r="E21380" s="3">
        <v>1.19E-48</v>
      </c>
      <c r="F21380" s="2">
        <v>436</v>
      </c>
      <c r="G21380" s="2">
        <v>69</v>
      </c>
      <c r="H21380" s="2">
        <v>110</v>
      </c>
      <c r="I21380" s="2">
        <v>187</v>
      </c>
      <c r="J21380" s="2">
        <v>516</v>
      </c>
      <c r="K21380" s="2">
        <v>250</v>
      </c>
      <c r="L21380" s="2">
        <v>359</v>
      </c>
    </row>
    <row r="21381" spans="1:12" x14ac:dyDescent="0.25">
      <c r="A21381" s="4" t="str">
        <f>HYPERLINK("http://www.rosaceae.org/Prunus/Prunus_persica/p.persica_gdr_reftransV1_0003231","p.persica_gdr_reftransV1_0003231")</f>
        <v>p.persica_gdr_reftransV1_0003231</v>
      </c>
      <c r="B21381" s="2">
        <v>1557</v>
      </c>
      <c r="C21381" s="4" t="str">
        <f>HYPERLINK("http://www.uniprot.org/uniprot/M5XRD4","M5XRD4")</f>
        <v>M5XRD4</v>
      </c>
      <c r="D21381" s="2" t="s">
        <v>15969</v>
      </c>
      <c r="E21381" s="3">
        <v>4.1299999999999998E-168</v>
      </c>
      <c r="F21381" s="2">
        <v>1253</v>
      </c>
      <c r="G21381" s="2">
        <v>100</v>
      </c>
      <c r="H21381" s="2">
        <v>235</v>
      </c>
      <c r="I21381" s="2">
        <v>812</v>
      </c>
      <c r="J21381" s="2">
        <v>1516</v>
      </c>
      <c r="K21381" s="2">
        <v>1</v>
      </c>
      <c r="L21381" s="2">
        <v>235</v>
      </c>
    </row>
    <row r="21382" spans="1:12" x14ac:dyDescent="0.25">
      <c r="A21382" s="4" t="str">
        <f>HYPERLINK("http://www.rosaceae.org/Prunus/Prunus_persica/p.persica_gdr_reftransV1_0004631","p.persica_gdr_reftransV1_0004631")</f>
        <v>p.persica_gdr_reftransV1_0004631</v>
      </c>
      <c r="B21382" s="2">
        <v>3179</v>
      </c>
      <c r="C21382" s="4" t="str">
        <f>HYPERLINK("http://www.uniprot.org/uniprot/M5XXN5","M5XXN5")</f>
        <v>M5XXN5</v>
      </c>
      <c r="D21382" s="2" t="s">
        <v>12595</v>
      </c>
      <c r="E21382" s="3">
        <v>0</v>
      </c>
      <c r="F21382" s="2">
        <v>4346</v>
      </c>
      <c r="G21382" s="2">
        <v>100</v>
      </c>
      <c r="H21382" s="2">
        <v>876</v>
      </c>
      <c r="I21382" s="2">
        <v>192</v>
      </c>
      <c r="J21382" s="2">
        <v>2819</v>
      </c>
      <c r="K21382" s="2">
        <v>1</v>
      </c>
      <c r="L21382" s="2">
        <v>876</v>
      </c>
    </row>
    <row r="21383" spans="1:12" x14ac:dyDescent="0.25">
      <c r="A21383" s="4" t="str">
        <f>HYPERLINK("http://www.rosaceae.org/Prunus/Prunus_persica/p.persica_gdr_reftransV1_0004981","p.persica_gdr_reftransV1_0004981")</f>
        <v>p.persica_gdr_reftransV1_0004981</v>
      </c>
      <c r="B21383" s="2">
        <v>3293</v>
      </c>
      <c r="C21383" s="4" t="str">
        <f>HYPERLINK("http://www.uniprot.org/uniprot/M5VXL0","M5VXL0")</f>
        <v>M5VXL0</v>
      </c>
      <c r="D21383" s="2" t="s">
        <v>9047</v>
      </c>
      <c r="E21383" s="3">
        <v>0</v>
      </c>
      <c r="F21383" s="2">
        <v>4143</v>
      </c>
      <c r="G21383" s="2">
        <v>100</v>
      </c>
      <c r="H21383" s="2">
        <v>771</v>
      </c>
      <c r="I21383" s="2">
        <v>382</v>
      </c>
      <c r="J21383" s="2">
        <v>2694</v>
      </c>
      <c r="K21383" s="2">
        <v>346</v>
      </c>
      <c r="L21383" s="2">
        <v>1116</v>
      </c>
    </row>
    <row r="21384" spans="1:12" x14ac:dyDescent="0.25">
      <c r="A21384" s="4" t="str">
        <f>HYPERLINK("http://www.rosaceae.org/Prunus/Prunus_persica/p.persica_gdr_reftransV1_0005681","p.persica_gdr_reftransV1_0005681")</f>
        <v>p.persica_gdr_reftransV1_0005681</v>
      </c>
      <c r="B21384" s="2">
        <v>653</v>
      </c>
      <c r="C21384" s="4" t="str">
        <f>HYPERLINK("http://www.uniprot.org/uniprot/M5XJI6","M5XJI6")</f>
        <v>M5XJI6</v>
      </c>
      <c r="D21384" s="2" t="s">
        <v>15970</v>
      </c>
      <c r="E21384" s="3">
        <v>7.5700000000000002E-7</v>
      </c>
      <c r="F21384" s="2">
        <v>131</v>
      </c>
      <c r="G21384" s="2">
        <v>35</v>
      </c>
      <c r="H21384" s="2">
        <v>80</v>
      </c>
      <c r="I21384" s="2">
        <v>223</v>
      </c>
      <c r="J21384" s="2">
        <v>450</v>
      </c>
      <c r="K21384" s="2">
        <v>13</v>
      </c>
      <c r="L21384" s="2">
        <v>92</v>
      </c>
    </row>
    <row r="21385" spans="1:12" x14ac:dyDescent="0.25">
      <c r="A21385" s="4" t="str">
        <f>HYPERLINK("http://www.rosaceae.org/Prunus/Prunus_persica/p.persica_gdr_reftransV1_0006731","p.persica_gdr_reftransV1_0006731")</f>
        <v>p.persica_gdr_reftransV1_0006731</v>
      </c>
      <c r="B21385" s="2">
        <v>1161</v>
      </c>
      <c r="C21385" s="4" t="str">
        <f>HYPERLINK("http://www.uniprot.org/uniprot/M5W3Y0","M5W3Y0")</f>
        <v>M5W3Y0</v>
      </c>
      <c r="D21385" s="2" t="s">
        <v>15971</v>
      </c>
      <c r="E21385" s="3">
        <v>0</v>
      </c>
      <c r="F21385" s="2">
        <v>1636</v>
      </c>
      <c r="G21385" s="2">
        <v>100</v>
      </c>
      <c r="H21385" s="2">
        <v>324</v>
      </c>
      <c r="I21385" s="2">
        <v>42</v>
      </c>
      <c r="J21385" s="2">
        <v>1013</v>
      </c>
      <c r="K21385" s="2">
        <v>1</v>
      </c>
      <c r="L21385" s="2">
        <v>324</v>
      </c>
    </row>
    <row r="21386" spans="1:12" x14ac:dyDescent="0.25">
      <c r="A21386" s="4" t="str">
        <f>HYPERLINK("http://www.rosaceae.org/Prunus/Prunus_persica/p.persica_gdr_reftransV1_0007081","p.persica_gdr_reftransV1_0007081")</f>
        <v>p.persica_gdr_reftransV1_0007081</v>
      </c>
      <c r="B21386" s="2">
        <v>1755</v>
      </c>
      <c r="C21386" s="4" t="str">
        <f>HYPERLINK("http://www.uniprot.org/uniprot/M5XK88","M5XK88")</f>
        <v>M5XK88</v>
      </c>
      <c r="D21386" s="2" t="s">
        <v>15889</v>
      </c>
      <c r="E21386" s="3">
        <v>0</v>
      </c>
      <c r="F21386" s="2">
        <v>2229</v>
      </c>
      <c r="G21386" s="2">
        <v>100</v>
      </c>
      <c r="H21386" s="2">
        <v>495</v>
      </c>
      <c r="I21386" s="2">
        <v>269</v>
      </c>
      <c r="J21386" s="2">
        <v>1753</v>
      </c>
      <c r="K21386" s="2">
        <v>181</v>
      </c>
      <c r="L21386" s="2">
        <v>675</v>
      </c>
    </row>
    <row r="21387" spans="1:12" x14ac:dyDescent="0.25">
      <c r="A21387" s="4" t="str">
        <f>HYPERLINK("http://www.rosaceae.org/Prunus/Prunus_persica/p.persica_gdr_reftransV1_0007431","p.persica_gdr_reftransV1_0007431")</f>
        <v>p.persica_gdr_reftransV1_0007431</v>
      </c>
      <c r="B21387" s="2">
        <v>735</v>
      </c>
      <c r="C21387" s="4" t="str">
        <f>HYPERLINK("http://www.uniprot.org/uniprot/A0A059D782","A0A059D782")</f>
        <v>A0A059D782</v>
      </c>
      <c r="D21387" s="2" t="s">
        <v>15972</v>
      </c>
      <c r="E21387" s="3">
        <v>6.9700000000000004E-67</v>
      </c>
      <c r="F21387" s="2">
        <v>569</v>
      </c>
      <c r="G21387" s="2">
        <v>58</v>
      </c>
      <c r="H21387" s="2">
        <v>193</v>
      </c>
      <c r="I21387" s="2">
        <v>165</v>
      </c>
      <c r="J21387" s="2">
        <v>734</v>
      </c>
      <c r="K21387" s="2">
        <v>27</v>
      </c>
      <c r="L21387" s="2">
        <v>217</v>
      </c>
    </row>
    <row r="21388" spans="1:12" x14ac:dyDescent="0.25">
      <c r="A21388" s="4" t="str">
        <f>HYPERLINK("http://www.rosaceae.org/Prunus/Prunus_persica/p.persica_gdr_reftransV1_0007781","p.persica_gdr_reftransV1_0007781")</f>
        <v>p.persica_gdr_reftransV1_0007781</v>
      </c>
      <c r="B21388" s="2">
        <v>777</v>
      </c>
      <c r="C21388" s="4" t="str">
        <f>HYPERLINK("http://www.uniprot.org/uniprot/M5WHS8","M5WHS8")</f>
        <v>M5WHS8</v>
      </c>
      <c r="D21388" s="2" t="s">
        <v>15973</v>
      </c>
      <c r="E21388" s="3">
        <v>5.15E-112</v>
      </c>
      <c r="F21388" s="2">
        <v>849</v>
      </c>
      <c r="G21388" s="2">
        <v>98</v>
      </c>
      <c r="H21388" s="2">
        <v>169</v>
      </c>
      <c r="I21388" s="2">
        <v>225</v>
      </c>
      <c r="J21388" s="2">
        <v>731</v>
      </c>
      <c r="K21388" s="2">
        <v>1</v>
      </c>
      <c r="L21388" s="2">
        <v>169</v>
      </c>
    </row>
    <row r="21389" spans="1:12" x14ac:dyDescent="0.25">
      <c r="A21389" s="4" t="str">
        <f>HYPERLINK("http://www.rosaceae.org/Prunus/Prunus_persica/p.persica_gdr_reftransV1_0008131","p.persica_gdr_reftransV1_0008131")</f>
        <v>p.persica_gdr_reftransV1_0008131</v>
      </c>
      <c r="B21389" s="2">
        <v>2110</v>
      </c>
      <c r="C21389" s="4" t="str">
        <f>HYPERLINK("http://www.uniprot.org/uniprot/M5VMG6","M5VMG6")</f>
        <v>M5VMG6</v>
      </c>
      <c r="D21389" s="2" t="s">
        <v>15974</v>
      </c>
      <c r="E21389" s="3">
        <v>0</v>
      </c>
      <c r="F21389" s="2">
        <v>2995</v>
      </c>
      <c r="G21389" s="2">
        <v>99</v>
      </c>
      <c r="H21389" s="2">
        <v>585</v>
      </c>
      <c r="I21389" s="2">
        <v>194</v>
      </c>
      <c r="J21389" s="2">
        <v>1948</v>
      </c>
      <c r="K21389" s="2">
        <v>1</v>
      </c>
      <c r="L21389" s="2">
        <v>585</v>
      </c>
    </row>
    <row r="21390" spans="1:12" x14ac:dyDescent="0.25">
      <c r="A21390" s="4" t="str">
        <f>HYPERLINK("http://www.rosaceae.org/Prunus/Prunus_persica/p.persica_gdr_reftransV1_0008481","p.persica_gdr_reftransV1_0008481")</f>
        <v>p.persica_gdr_reftransV1_0008481</v>
      </c>
      <c r="B21390" s="2">
        <v>783</v>
      </c>
      <c r="C21390" s="4" t="str">
        <f>HYPERLINK("http://www.uniprot.org/uniprot/M5XT20","M5XT20")</f>
        <v>M5XT20</v>
      </c>
      <c r="D21390" s="2" t="s">
        <v>15975</v>
      </c>
      <c r="E21390" s="3">
        <v>1.5900000000000001E-70</v>
      </c>
      <c r="F21390" s="2">
        <v>570</v>
      </c>
      <c r="G21390" s="2">
        <v>100</v>
      </c>
      <c r="H21390" s="2">
        <v>110</v>
      </c>
      <c r="I21390" s="2">
        <v>73</v>
      </c>
      <c r="J21390" s="2">
        <v>402</v>
      </c>
      <c r="K21390" s="2">
        <v>1</v>
      </c>
      <c r="L21390" s="2">
        <v>110</v>
      </c>
    </row>
    <row r="21391" spans="1:12" x14ac:dyDescent="0.25">
      <c r="A21391" s="4" t="str">
        <f>HYPERLINK("http://www.rosaceae.org/Prunus/Prunus_persica/p.persica_gdr_reftransV1_0008831","p.persica_gdr_reftransV1_0008831")</f>
        <v>p.persica_gdr_reftransV1_0008831</v>
      </c>
      <c r="B21391" s="2">
        <v>1608</v>
      </c>
      <c r="C21391" s="4" t="str">
        <f>HYPERLINK("http://www.uniprot.org/uniprot/M5WT99","M5WT99")</f>
        <v>M5WT99</v>
      </c>
      <c r="D21391" s="2" t="s">
        <v>15976</v>
      </c>
      <c r="E21391" s="3">
        <v>0</v>
      </c>
      <c r="F21391" s="2">
        <v>1689</v>
      </c>
      <c r="G21391" s="2">
        <v>100</v>
      </c>
      <c r="H21391" s="2">
        <v>347</v>
      </c>
      <c r="I21391" s="2">
        <v>178</v>
      </c>
      <c r="J21391" s="2">
        <v>1218</v>
      </c>
      <c r="K21391" s="2">
        <v>1</v>
      </c>
      <c r="L21391" s="2">
        <v>347</v>
      </c>
    </row>
    <row r="21392" spans="1:12" x14ac:dyDescent="0.25">
      <c r="A21392" s="4" t="str">
        <f>HYPERLINK("http://www.rosaceae.org/Prunus/Prunus_persica/p.persica_gdr_reftransV1_0009531","p.persica_gdr_reftransV1_0009531")</f>
        <v>p.persica_gdr_reftransV1_0009531</v>
      </c>
      <c r="B21392" s="2">
        <v>3134</v>
      </c>
      <c r="C21392" s="4" t="str">
        <f>HYPERLINK("http://www.uniprot.org/uniprot/M5W984","M5W984")</f>
        <v>M5W984</v>
      </c>
      <c r="D21392" s="2" t="s">
        <v>11971</v>
      </c>
      <c r="E21392" s="3">
        <v>0</v>
      </c>
      <c r="F21392" s="2">
        <v>4758</v>
      </c>
      <c r="G21392" s="2">
        <v>100</v>
      </c>
      <c r="H21392" s="2">
        <v>942</v>
      </c>
      <c r="I21392" s="2">
        <v>114</v>
      </c>
      <c r="J21392" s="2">
        <v>2939</v>
      </c>
      <c r="K21392" s="2">
        <v>1</v>
      </c>
      <c r="L21392" s="2">
        <v>942</v>
      </c>
    </row>
    <row r="21393" spans="1:12" x14ac:dyDescent="0.25">
      <c r="A21393" s="4" t="str">
        <f>HYPERLINK("http://www.rosaceae.org/Prunus/Prunus_persica/p.persica_gdr_reftransV1_0009881","p.persica_gdr_reftransV1_0009881")</f>
        <v>p.persica_gdr_reftransV1_0009881</v>
      </c>
      <c r="B21393" s="2">
        <v>1653</v>
      </c>
      <c r="C21393" s="4" t="str">
        <f>HYPERLINK("http://www.uniprot.org/uniprot/M5WIZ2","M5WIZ2")</f>
        <v>M5WIZ2</v>
      </c>
      <c r="D21393" s="2" t="s">
        <v>15977</v>
      </c>
      <c r="E21393" s="3">
        <v>1.5000000000000001E-116</v>
      </c>
      <c r="F21393" s="2">
        <v>912</v>
      </c>
      <c r="G21393" s="2">
        <v>100</v>
      </c>
      <c r="H21393" s="2">
        <v>213</v>
      </c>
      <c r="I21393" s="2">
        <v>272</v>
      </c>
      <c r="J21393" s="2">
        <v>910</v>
      </c>
      <c r="K21393" s="2">
        <v>1</v>
      </c>
      <c r="L21393" s="2">
        <v>213</v>
      </c>
    </row>
    <row r="21394" spans="1:12" x14ac:dyDescent="0.25">
      <c r="A21394" s="4" t="str">
        <f>HYPERLINK("http://www.rosaceae.org/Prunus/Prunus_persica/p.persica_gdr_reftransV1_0010931","p.persica_gdr_reftransV1_0010931")</f>
        <v>p.persica_gdr_reftransV1_0010931</v>
      </c>
      <c r="B21394" s="2">
        <v>2161</v>
      </c>
      <c r="C21394" s="4" t="str">
        <f>HYPERLINK("http://www.uniprot.org/uniprot/M5WM86","M5WM86")</f>
        <v>M5WM86</v>
      </c>
      <c r="D21394" s="2" t="s">
        <v>15978</v>
      </c>
      <c r="E21394" s="3">
        <v>0</v>
      </c>
      <c r="F21394" s="2">
        <v>1410</v>
      </c>
      <c r="G21394" s="2">
        <v>100</v>
      </c>
      <c r="H21394" s="2">
        <v>394</v>
      </c>
      <c r="I21394" s="2">
        <v>686</v>
      </c>
      <c r="J21394" s="2">
        <v>1867</v>
      </c>
      <c r="K21394" s="2">
        <v>1</v>
      </c>
      <c r="L21394" s="2">
        <v>394</v>
      </c>
    </row>
    <row r="21395" spans="1:12" x14ac:dyDescent="0.25">
      <c r="A21395" s="4" t="str">
        <f>HYPERLINK("http://www.rosaceae.org/Prunus/Prunus_persica/p.persica_gdr_reftransV1_0011281","p.persica_gdr_reftransV1_0011281")</f>
        <v>p.persica_gdr_reftransV1_0011281</v>
      </c>
      <c r="B21395" s="2">
        <v>1155</v>
      </c>
      <c r="C21395" s="4" t="str">
        <f>HYPERLINK("http://www.uniprot.org/uniprot/D5JGT2","D5JGT2")</f>
        <v>D5JGT2</v>
      </c>
      <c r="D21395" s="2" t="s">
        <v>10780</v>
      </c>
      <c r="E21395" s="3">
        <v>3.84E-156</v>
      </c>
      <c r="F21395" s="2">
        <v>1159</v>
      </c>
      <c r="G21395" s="2">
        <v>100</v>
      </c>
      <c r="H21395" s="2">
        <v>222</v>
      </c>
      <c r="I21395" s="2">
        <v>335</v>
      </c>
      <c r="J21395" s="2">
        <v>1000</v>
      </c>
      <c r="K21395" s="2">
        <v>1</v>
      </c>
      <c r="L21395" s="2">
        <v>222</v>
      </c>
    </row>
    <row r="21396" spans="1:12" x14ac:dyDescent="0.25">
      <c r="A21396" s="4" t="str">
        <f>HYPERLINK("http://www.rosaceae.org/Prunus/Prunus_persica/p.persica_gdr_reftransV1_0012331","p.persica_gdr_reftransV1_0012331")</f>
        <v>p.persica_gdr_reftransV1_0012331</v>
      </c>
      <c r="B21396" s="2">
        <v>1364</v>
      </c>
      <c r="C21396" s="4" t="str">
        <f>HYPERLINK("http://www.uniprot.org/uniprot/M5X7S4","M5X7S4")</f>
        <v>M5X7S4</v>
      </c>
      <c r="D21396" s="2" t="s">
        <v>15979</v>
      </c>
      <c r="E21396" s="3">
        <v>1.2300000000000001E-69</v>
      </c>
      <c r="F21396" s="2">
        <v>594</v>
      </c>
      <c r="G21396" s="2">
        <v>93</v>
      </c>
      <c r="H21396" s="2">
        <v>181</v>
      </c>
      <c r="I21396" s="2">
        <v>68</v>
      </c>
      <c r="J21396" s="2">
        <v>610</v>
      </c>
      <c r="K21396" s="2">
        <v>57</v>
      </c>
      <c r="L21396" s="2">
        <v>226</v>
      </c>
    </row>
    <row r="21397" spans="1:12" x14ac:dyDescent="0.25">
      <c r="A21397" s="4" t="str">
        <f>HYPERLINK("http://www.rosaceae.org/Prunus/Prunus_persica/p.persica_gdr_reftransV1_0014081","p.persica_gdr_reftransV1_0014081")</f>
        <v>p.persica_gdr_reftransV1_0014081</v>
      </c>
      <c r="B21397" s="2">
        <v>3175</v>
      </c>
      <c r="C21397" s="4" t="str">
        <f>HYPERLINK("http://www.uniprot.org/uniprot/M5WPN2","M5WPN2")</f>
        <v>M5WPN2</v>
      </c>
      <c r="D21397" s="2" t="s">
        <v>15980</v>
      </c>
      <c r="E21397" s="3">
        <v>0</v>
      </c>
      <c r="F21397" s="2">
        <v>3428</v>
      </c>
      <c r="G21397" s="2">
        <v>100</v>
      </c>
      <c r="H21397" s="2">
        <v>637</v>
      </c>
      <c r="I21397" s="2">
        <v>315</v>
      </c>
      <c r="J21397" s="2">
        <v>2225</v>
      </c>
      <c r="K21397" s="2">
        <v>1</v>
      </c>
      <c r="L21397" s="2">
        <v>637</v>
      </c>
    </row>
    <row r="21398" spans="1:12" x14ac:dyDescent="0.25">
      <c r="A21398" s="4" t="str">
        <f>HYPERLINK("http://www.rosaceae.org/Prunus/Prunus_persica/p.persica_gdr_reftransV1_0016181","p.persica_gdr_reftransV1_0016181")</f>
        <v>p.persica_gdr_reftransV1_0016181</v>
      </c>
      <c r="B21398" s="2">
        <v>1559</v>
      </c>
      <c r="C21398" s="4" t="str">
        <f>HYPERLINK("http://www.uniprot.org/uniprot/W9RZP0","W9RZP0")</f>
        <v>W9RZP0</v>
      </c>
      <c r="D21398" s="2" t="s">
        <v>15981</v>
      </c>
      <c r="E21398" s="3">
        <v>9.8599999999999996E-101</v>
      </c>
      <c r="F21398" s="2">
        <v>811</v>
      </c>
      <c r="G21398" s="2">
        <v>80</v>
      </c>
      <c r="H21398" s="2">
        <v>191</v>
      </c>
      <c r="I21398" s="2">
        <v>950</v>
      </c>
      <c r="J21398" s="2">
        <v>1507</v>
      </c>
      <c r="K21398" s="2">
        <v>1</v>
      </c>
      <c r="L21398" s="2">
        <v>191</v>
      </c>
    </row>
    <row r="21399" spans="1:12" x14ac:dyDescent="0.25">
      <c r="A21399" s="4" t="str">
        <f>HYPERLINK("http://www.rosaceae.org/Prunus/Prunus_persica/p.persica_gdr_reftransV1_0018631","p.persica_gdr_reftransV1_0018631")</f>
        <v>p.persica_gdr_reftransV1_0018631</v>
      </c>
      <c r="B21399" s="2">
        <v>1513</v>
      </c>
      <c r="C21399" s="4" t="str">
        <f>HYPERLINK("http://www.uniprot.org/uniprot/M5XMB8","M5XMB8")</f>
        <v>M5XMB8</v>
      </c>
      <c r="D21399" s="2" t="s">
        <v>10911</v>
      </c>
      <c r="E21399" s="3">
        <v>8.6299999999999992E-65</v>
      </c>
      <c r="F21399" s="2">
        <v>555</v>
      </c>
      <c r="G21399" s="2">
        <v>98</v>
      </c>
      <c r="H21399" s="2">
        <v>105</v>
      </c>
      <c r="I21399" s="2">
        <v>149</v>
      </c>
      <c r="J21399" s="2">
        <v>463</v>
      </c>
      <c r="K21399" s="2">
        <v>1</v>
      </c>
      <c r="L21399" s="2">
        <v>105</v>
      </c>
    </row>
    <row r="21400" spans="1:12" x14ac:dyDescent="0.25">
      <c r="A21400" s="4" t="str">
        <f>HYPERLINK("http://www.rosaceae.org/Prunus/Prunus_persica/p.persica_gdr_reftransV1_0019331","p.persica_gdr_reftransV1_0019331")</f>
        <v>p.persica_gdr_reftransV1_0019331</v>
      </c>
      <c r="B21400" s="2">
        <v>1068</v>
      </c>
      <c r="C21400" s="4" t="str">
        <f>HYPERLINK("http://www.uniprot.org/uniprot/M5W677","M5W677")</f>
        <v>M5W677</v>
      </c>
      <c r="D21400" s="2" t="s">
        <v>8699</v>
      </c>
      <c r="E21400" s="3">
        <v>5.3599999999999998E-99</v>
      </c>
      <c r="F21400" s="2">
        <v>818</v>
      </c>
      <c r="G21400" s="2">
        <v>100</v>
      </c>
      <c r="H21400" s="2">
        <v>154</v>
      </c>
      <c r="I21400" s="2">
        <v>1</v>
      </c>
      <c r="J21400" s="2">
        <v>462</v>
      </c>
      <c r="K21400" s="2">
        <v>525</v>
      </c>
      <c r="L21400" s="2">
        <v>678</v>
      </c>
    </row>
    <row r="21401" spans="1:12" x14ac:dyDescent="0.25">
      <c r="A21401" s="4" t="str">
        <f>HYPERLINK("http://www.rosaceae.org/Prunus/Prunus_persica/p.persica_gdr_reftransV1_0022831","p.persica_gdr_reftransV1_0022831")</f>
        <v>p.persica_gdr_reftransV1_0022831</v>
      </c>
      <c r="B21401" s="2">
        <v>2313</v>
      </c>
      <c r="C21401" s="4" t="str">
        <f>HYPERLINK("http://www.uniprot.org/uniprot/A0A061F7W8","A0A061F7W8")</f>
        <v>A0A061F7W8</v>
      </c>
      <c r="D21401" s="2" t="s">
        <v>15982</v>
      </c>
      <c r="E21401" s="3">
        <v>2.0700000000000001E-70</v>
      </c>
      <c r="F21401" s="2">
        <v>633</v>
      </c>
      <c r="G21401" s="2">
        <v>48</v>
      </c>
      <c r="H21401" s="2">
        <v>429</v>
      </c>
      <c r="I21401" s="2">
        <v>762</v>
      </c>
      <c r="J21401" s="2">
        <v>2039</v>
      </c>
      <c r="K21401" s="2">
        <v>1</v>
      </c>
      <c r="L21401" s="2">
        <v>397</v>
      </c>
    </row>
    <row r="21402" spans="1:12" x14ac:dyDescent="0.25">
      <c r="A21402" s="4" t="str">
        <f>HYPERLINK("http://www.rosaceae.org/Prunus/Prunus_persica/p.persica_gdr_reftransV1_0023181","p.persica_gdr_reftransV1_0023181")</f>
        <v>p.persica_gdr_reftransV1_0023181</v>
      </c>
      <c r="B21402" s="2">
        <v>4161</v>
      </c>
      <c r="C21402" s="4" t="str">
        <f>HYPERLINK("http://www.uniprot.org/uniprot/M5XK96","M5XK96")</f>
        <v>M5XK96</v>
      </c>
      <c r="D21402" s="2" t="s">
        <v>15983</v>
      </c>
      <c r="E21402" s="3">
        <v>0</v>
      </c>
      <c r="F21402" s="2">
        <v>4119</v>
      </c>
      <c r="G21402" s="2">
        <v>100</v>
      </c>
      <c r="H21402" s="2">
        <v>761</v>
      </c>
      <c r="I21402" s="2">
        <v>812</v>
      </c>
      <c r="J21402" s="2">
        <v>3094</v>
      </c>
      <c r="K21402" s="2">
        <v>1</v>
      </c>
      <c r="L21402" s="2">
        <v>761</v>
      </c>
    </row>
    <row r="21403" spans="1:12" x14ac:dyDescent="0.25">
      <c r="A21403" s="4" t="str">
        <f>HYPERLINK("http://www.rosaceae.org/Prunus/Prunus_persica/p.persica_gdr_reftransV1_0024581","p.persica_gdr_reftransV1_0024581")</f>
        <v>p.persica_gdr_reftransV1_0024581</v>
      </c>
      <c r="B21403" s="2">
        <v>6293</v>
      </c>
      <c r="C21403" s="4" t="str">
        <f>HYPERLINK("http://www.uniprot.org/uniprot/M5W358","M5W358")</f>
        <v>M5W358</v>
      </c>
      <c r="D21403" s="2" t="s">
        <v>15984</v>
      </c>
      <c r="E21403" s="3">
        <v>0</v>
      </c>
      <c r="F21403" s="2">
        <v>1731</v>
      </c>
      <c r="G21403" s="2">
        <v>93</v>
      </c>
      <c r="H21403" s="2">
        <v>391</v>
      </c>
      <c r="I21403" s="2">
        <v>4959</v>
      </c>
      <c r="J21403" s="2">
        <v>6131</v>
      </c>
      <c r="K21403" s="2">
        <v>1</v>
      </c>
      <c r="L21403" s="2">
        <v>363</v>
      </c>
    </row>
    <row r="21404" spans="1:12" x14ac:dyDescent="0.25">
      <c r="A21404" s="4" t="str">
        <f>HYPERLINK("http://www.rosaceae.org/Prunus/Prunus_persica/p.persica_gdr_reftransV1_0025631","p.persica_gdr_reftransV1_0025631")</f>
        <v>p.persica_gdr_reftransV1_0025631</v>
      </c>
      <c r="B21404" s="2">
        <v>649</v>
      </c>
      <c r="C21404" s="4" t="str">
        <f>HYPERLINK("http://www.uniprot.org/uniprot/B9SSH0","B9SSH0")</f>
        <v>B9SSH0</v>
      </c>
      <c r="D21404" s="2" t="s">
        <v>15985</v>
      </c>
      <c r="E21404" s="3">
        <v>4.8E-22</v>
      </c>
      <c r="F21404" s="2">
        <v>236</v>
      </c>
      <c r="G21404" s="2">
        <v>77</v>
      </c>
      <c r="H21404" s="2">
        <v>57</v>
      </c>
      <c r="I21404" s="2">
        <v>173</v>
      </c>
      <c r="J21404" s="2">
        <v>343</v>
      </c>
      <c r="K21404" s="2">
        <v>1</v>
      </c>
      <c r="L21404" s="2">
        <v>57</v>
      </c>
    </row>
    <row r="21405" spans="1:12" x14ac:dyDescent="0.25">
      <c r="A21405" s="4" t="str">
        <f>HYPERLINK("http://www.rosaceae.org/Prunus/Prunus_persica/p.persica_gdr_reftransV1_0028431","p.persica_gdr_reftransV1_0028431")</f>
        <v>p.persica_gdr_reftransV1_0028431</v>
      </c>
      <c r="B21405" s="2">
        <v>2424</v>
      </c>
      <c r="C21405" s="4" t="str">
        <f>HYPERLINK("http://www.uniprot.org/uniprot/M5XJZ2","M5XJZ2")</f>
        <v>M5XJZ2</v>
      </c>
      <c r="D21405" s="2" t="s">
        <v>15986</v>
      </c>
      <c r="E21405" s="3">
        <v>0</v>
      </c>
      <c r="F21405" s="2">
        <v>3358</v>
      </c>
      <c r="G21405" s="2">
        <v>100</v>
      </c>
      <c r="H21405" s="2">
        <v>645</v>
      </c>
      <c r="I21405" s="2">
        <v>85</v>
      </c>
      <c r="J21405" s="2">
        <v>2019</v>
      </c>
      <c r="K21405" s="2">
        <v>1</v>
      </c>
      <c r="L21405" s="2">
        <v>645</v>
      </c>
    </row>
    <row r="21406" spans="1:12" x14ac:dyDescent="0.25">
      <c r="A21406" s="4" t="str">
        <f>HYPERLINK("http://www.rosaceae.org/Prunus/Prunus_persica/p.persica_gdr_reftransV1_0029831","p.persica_gdr_reftransV1_0029831")</f>
        <v>p.persica_gdr_reftransV1_0029831</v>
      </c>
      <c r="B21406" s="2">
        <v>6092</v>
      </c>
      <c r="C21406" s="4" t="str">
        <f>HYPERLINK("http://www.uniprot.org/uniprot/M5XR50","M5XR50")</f>
        <v>M5XR50</v>
      </c>
      <c r="D21406" s="2" t="s">
        <v>15987</v>
      </c>
      <c r="E21406" s="3">
        <v>0</v>
      </c>
      <c r="F21406" s="2">
        <v>4211</v>
      </c>
      <c r="G21406" s="2">
        <v>100</v>
      </c>
      <c r="H21406" s="2">
        <v>833</v>
      </c>
      <c r="I21406" s="2">
        <v>134</v>
      </c>
      <c r="J21406" s="2">
        <v>2632</v>
      </c>
      <c r="K21406" s="2">
        <v>1</v>
      </c>
      <c r="L21406" s="2">
        <v>833</v>
      </c>
    </row>
    <row r="21407" spans="1:12" x14ac:dyDescent="0.25">
      <c r="A21407" s="4" t="str">
        <f>HYPERLINK("http://www.rosaceae.org/Prunus/Prunus_persica/p.persica_gdr_reftransV1_0030531","p.persica_gdr_reftransV1_0030531")</f>
        <v>p.persica_gdr_reftransV1_0030531</v>
      </c>
      <c r="B21407" s="2">
        <v>785</v>
      </c>
      <c r="C21407" s="4" t="str">
        <f>HYPERLINK("http://www.uniprot.org/uniprot/M5X1K1","M5X1K1")</f>
        <v>M5X1K1</v>
      </c>
      <c r="D21407" s="2" t="s">
        <v>15988</v>
      </c>
      <c r="E21407" s="3">
        <v>2.8899999999999999E-81</v>
      </c>
      <c r="F21407" s="2">
        <v>642</v>
      </c>
      <c r="G21407" s="2">
        <v>100</v>
      </c>
      <c r="H21407" s="2">
        <v>126</v>
      </c>
      <c r="I21407" s="2">
        <v>212</v>
      </c>
      <c r="J21407" s="2">
        <v>589</v>
      </c>
      <c r="K21407" s="2">
        <v>1</v>
      </c>
      <c r="L21407" s="2">
        <v>126</v>
      </c>
    </row>
    <row r="21408" spans="1:12" x14ac:dyDescent="0.25">
      <c r="A21408" s="4" t="str">
        <f>HYPERLINK("http://www.rosaceae.org/Prunus/Prunus_persica/p.persica_gdr_reftransV1_0036131","p.persica_gdr_reftransV1_0036131")</f>
        <v>p.persica_gdr_reftransV1_0036131</v>
      </c>
      <c r="B21408" s="2">
        <v>848</v>
      </c>
      <c r="C21408" s="4" t="str">
        <f>HYPERLINK("http://www.uniprot.org/uniprot/M5W7I8","M5W7I8")</f>
        <v>M5W7I8</v>
      </c>
      <c r="D21408" s="2" t="s">
        <v>10550</v>
      </c>
      <c r="E21408" s="3">
        <v>2.6299999999999998E-159</v>
      </c>
      <c r="F21408" s="2">
        <v>1223</v>
      </c>
      <c r="G21408" s="2">
        <v>94</v>
      </c>
      <c r="H21408" s="2">
        <v>264</v>
      </c>
      <c r="I21408" s="2">
        <v>55</v>
      </c>
      <c r="J21408" s="2">
        <v>846</v>
      </c>
      <c r="K21408" s="2">
        <v>408</v>
      </c>
      <c r="L21408" s="2">
        <v>668</v>
      </c>
    </row>
    <row r="21409" spans="1:12" x14ac:dyDescent="0.25">
      <c r="A21409" s="4" t="str">
        <f>HYPERLINK("http://www.rosaceae.org/Prunus/Prunus_persica/p.persica_gdr_reftransV1_0036481","p.persica_gdr_reftransV1_0036481")</f>
        <v>p.persica_gdr_reftransV1_0036481</v>
      </c>
      <c r="B21409" s="2">
        <v>4000</v>
      </c>
      <c r="C21409" s="4" t="str">
        <f>HYPERLINK("http://www.uniprot.org/uniprot/M5Y8W8","M5Y8W8")</f>
        <v>M5Y8W8</v>
      </c>
      <c r="D21409" s="2" t="s">
        <v>15989</v>
      </c>
      <c r="E21409" s="3">
        <v>0</v>
      </c>
      <c r="F21409" s="2">
        <v>2622</v>
      </c>
      <c r="G21409" s="2">
        <v>99</v>
      </c>
      <c r="H21409" s="2">
        <v>509</v>
      </c>
      <c r="I21409" s="2">
        <v>2208</v>
      </c>
      <c r="J21409" s="2">
        <v>3734</v>
      </c>
      <c r="K21409" s="2">
        <v>1</v>
      </c>
      <c r="L21409" s="2">
        <v>509</v>
      </c>
    </row>
    <row r="21410" spans="1:12" x14ac:dyDescent="0.25">
      <c r="A21410" s="4" t="str">
        <f>HYPERLINK("http://www.rosaceae.org/Prunus/Prunus_persica/p.persica_gdr_reftransV1_0038931","p.persica_gdr_reftransV1_0038931")</f>
        <v>p.persica_gdr_reftransV1_0038931</v>
      </c>
      <c r="B21410" s="2">
        <v>1835</v>
      </c>
      <c r="C21410" s="4" t="str">
        <f>HYPERLINK("http://www.uniprot.org/uniprot/M5XEJ8","M5XEJ8")</f>
        <v>M5XEJ8</v>
      </c>
      <c r="D21410" s="2" t="s">
        <v>15990</v>
      </c>
      <c r="E21410" s="3">
        <v>5.13E-99</v>
      </c>
      <c r="F21410" s="2">
        <v>815</v>
      </c>
      <c r="G21410" s="2">
        <v>98</v>
      </c>
      <c r="H21410" s="2">
        <v>152</v>
      </c>
      <c r="I21410" s="2">
        <v>1215</v>
      </c>
      <c r="J21410" s="2">
        <v>1670</v>
      </c>
      <c r="K21410" s="2">
        <v>25</v>
      </c>
      <c r="L21410" s="2">
        <v>176</v>
      </c>
    </row>
    <row r="21411" spans="1:12" x14ac:dyDescent="0.25">
      <c r="A21411" s="4" t="str">
        <f>HYPERLINK("http://www.rosaceae.org/Prunus/Prunus_persica/p.persica_gdr_reftransV1_0039981","p.persica_gdr_reftransV1_0039981")</f>
        <v>p.persica_gdr_reftransV1_0039981</v>
      </c>
      <c r="B21411" s="2">
        <v>3053</v>
      </c>
      <c r="C21411" s="4" t="str">
        <f>HYPERLINK("http://www.uniprot.org/uniprot/M5XK53","M5XK53")</f>
        <v>M5XK53</v>
      </c>
      <c r="D21411" s="2" t="s">
        <v>15991</v>
      </c>
      <c r="E21411" s="3">
        <v>0</v>
      </c>
      <c r="F21411" s="2">
        <v>3628</v>
      </c>
      <c r="G21411" s="2">
        <v>98</v>
      </c>
      <c r="H21411" s="2">
        <v>707</v>
      </c>
      <c r="I21411" s="2">
        <v>371</v>
      </c>
      <c r="J21411" s="2">
        <v>2482</v>
      </c>
      <c r="K21411" s="2">
        <v>89</v>
      </c>
      <c r="L21411" s="2">
        <v>795</v>
      </c>
    </row>
    <row r="21412" spans="1:12" x14ac:dyDescent="0.25">
      <c r="A21412" s="4" t="str">
        <f>HYPERLINK("http://www.rosaceae.org/Prunus/Prunus_persica/p.persica_gdr_reftransV1_0040331","p.persica_gdr_reftransV1_0040331")</f>
        <v>p.persica_gdr_reftransV1_0040331</v>
      </c>
      <c r="B21412" s="2">
        <v>3251</v>
      </c>
      <c r="C21412" s="4" t="str">
        <f>HYPERLINK("http://www.uniprot.org/uniprot/W9RHI7","W9RHI7")</f>
        <v>W9RHI7</v>
      </c>
      <c r="D21412" s="2" t="s">
        <v>15992</v>
      </c>
      <c r="E21412" s="3">
        <v>0</v>
      </c>
      <c r="F21412" s="2">
        <v>2563</v>
      </c>
      <c r="G21412" s="2">
        <v>55</v>
      </c>
      <c r="H21412" s="2">
        <v>1029</v>
      </c>
      <c r="I21412" s="2">
        <v>322</v>
      </c>
      <c r="J21412" s="2">
        <v>3216</v>
      </c>
      <c r="K21412" s="2">
        <v>1</v>
      </c>
      <c r="L21412" s="2">
        <v>1003</v>
      </c>
    </row>
    <row r="21413" spans="1:12" x14ac:dyDescent="0.25">
      <c r="A21413" s="4" t="str">
        <f>HYPERLINK("http://www.rosaceae.org/Prunus/Prunus_persica/p.persica_gdr_reftransV1_0041731","p.persica_gdr_reftransV1_0041731")</f>
        <v>p.persica_gdr_reftransV1_0041731</v>
      </c>
      <c r="B21413" s="2">
        <v>2912</v>
      </c>
      <c r="C21413" s="4" t="str">
        <f>HYPERLINK("http://www.uniprot.org/uniprot/M5WXN3","M5WXN3")</f>
        <v>M5WXN3</v>
      </c>
      <c r="D21413" s="2" t="s">
        <v>13819</v>
      </c>
      <c r="E21413" s="3">
        <v>0</v>
      </c>
      <c r="F21413" s="2">
        <v>1961</v>
      </c>
      <c r="G21413" s="2">
        <v>100</v>
      </c>
      <c r="H21413" s="2">
        <v>386</v>
      </c>
      <c r="I21413" s="2">
        <v>1462</v>
      </c>
      <c r="J21413" s="2">
        <v>2619</v>
      </c>
      <c r="K21413" s="2">
        <v>484</v>
      </c>
      <c r="L21413" s="2">
        <v>869</v>
      </c>
    </row>
    <row r="21414" spans="1:12" x14ac:dyDescent="0.25">
      <c r="A21414" s="4" t="str">
        <f>HYPERLINK("http://www.rosaceae.org/Prunus/Prunus_persica/p.persica_gdr_reftransV1_0043131","p.persica_gdr_reftransV1_0043131")</f>
        <v>p.persica_gdr_reftransV1_0043131</v>
      </c>
      <c r="B21414" s="2">
        <v>4038</v>
      </c>
      <c r="C21414" s="4" t="str">
        <f>HYPERLINK("http://www.uniprot.org/uniprot/M5WRK5","M5WRK5")</f>
        <v>M5WRK5</v>
      </c>
      <c r="D21414" s="2" t="s">
        <v>5748</v>
      </c>
      <c r="E21414" s="3">
        <v>0</v>
      </c>
      <c r="F21414" s="2">
        <v>4902</v>
      </c>
      <c r="G21414" s="2">
        <v>100</v>
      </c>
      <c r="H21414" s="2">
        <v>971</v>
      </c>
      <c r="I21414" s="2">
        <v>642</v>
      </c>
      <c r="J21414" s="2">
        <v>3554</v>
      </c>
      <c r="K21414" s="2">
        <v>1</v>
      </c>
      <c r="L21414" s="2">
        <v>971</v>
      </c>
    </row>
    <row r="21415" spans="1:12" x14ac:dyDescent="0.25">
      <c r="A21415" s="4" t="str">
        <f>HYPERLINK("http://www.rosaceae.org/Prunus/Prunus_persica/p.persica_gdr_reftransV1_0043481","p.persica_gdr_reftransV1_0043481")</f>
        <v>p.persica_gdr_reftransV1_0043481</v>
      </c>
      <c r="B21415" s="2">
        <v>386</v>
      </c>
      <c r="C21415" s="4" t="str">
        <f>HYPERLINK("http://www.uniprot.org/uniprot/M5X8C8","M5X8C8")</f>
        <v>M5X8C8</v>
      </c>
      <c r="D21415" s="2" t="s">
        <v>7100</v>
      </c>
      <c r="E21415" s="3">
        <v>7.6099999999999993E-71</v>
      </c>
      <c r="F21415" s="2">
        <v>600</v>
      </c>
      <c r="G21415" s="2">
        <v>93</v>
      </c>
      <c r="H21415" s="2">
        <v>128</v>
      </c>
      <c r="I21415" s="2">
        <v>1</v>
      </c>
      <c r="J21415" s="2">
        <v>384</v>
      </c>
      <c r="K21415" s="2">
        <v>267</v>
      </c>
      <c r="L21415" s="2">
        <v>392</v>
      </c>
    </row>
    <row r="21416" spans="1:12" x14ac:dyDescent="0.25">
      <c r="A21416" s="4" t="str">
        <f>HYPERLINK("http://www.rosaceae.org/Prunus/Prunus_persica/p.persica_gdr_reftransV1_0044181","p.persica_gdr_reftransV1_0044181")</f>
        <v>p.persica_gdr_reftransV1_0044181</v>
      </c>
      <c r="B21416" s="2">
        <v>1224</v>
      </c>
      <c r="C21416" s="4" t="str">
        <f>HYPERLINK("http://www.uniprot.org/uniprot/M5W2I5","M5W2I5")</f>
        <v>M5W2I5</v>
      </c>
      <c r="D21416" s="2" t="s">
        <v>1380</v>
      </c>
      <c r="E21416" s="3">
        <v>4.5399999999999999E-154</v>
      </c>
      <c r="F21416" s="2">
        <v>799</v>
      </c>
      <c r="G21416" s="2">
        <v>84</v>
      </c>
      <c r="H21416" s="2">
        <v>185</v>
      </c>
      <c r="I21416" s="2">
        <v>590</v>
      </c>
      <c r="J21416" s="2">
        <v>1144</v>
      </c>
      <c r="K21416" s="2">
        <v>1</v>
      </c>
      <c r="L21416" s="2">
        <v>157</v>
      </c>
    </row>
    <row r="21417" spans="1:12" x14ac:dyDescent="0.25">
      <c r="A21417" s="4" t="str">
        <f>HYPERLINK("http://www.rosaceae.org/Prunus/Prunus_persica/p.persica_gdr_reftransV1_0044531","p.persica_gdr_reftransV1_0044531")</f>
        <v>p.persica_gdr_reftransV1_0044531</v>
      </c>
      <c r="B21417" s="2">
        <v>837</v>
      </c>
      <c r="C21417" s="4" t="str">
        <f>HYPERLINK("http://www.uniprot.org/uniprot/M5VUC0","M5VUC0")</f>
        <v>M5VUC0</v>
      </c>
      <c r="D21417" s="2" t="s">
        <v>15993</v>
      </c>
      <c r="E21417" s="3">
        <v>1.23E-177</v>
      </c>
      <c r="F21417" s="2">
        <v>1335</v>
      </c>
      <c r="G21417" s="2">
        <v>100</v>
      </c>
      <c r="H21417" s="2">
        <v>264</v>
      </c>
      <c r="I21417" s="2">
        <v>1</v>
      </c>
      <c r="J21417" s="2">
        <v>792</v>
      </c>
      <c r="K21417" s="2">
        <v>1</v>
      </c>
      <c r="L21417" s="2">
        <v>264</v>
      </c>
    </row>
    <row r="21418" spans="1:12" x14ac:dyDescent="0.25">
      <c r="A21418" s="4" t="str">
        <f>HYPERLINK("http://www.rosaceae.org/Prunus/Prunus_persica/p.persica_gdr_reftransV1_0044881","p.persica_gdr_reftransV1_0044881")</f>
        <v>p.persica_gdr_reftransV1_0044881</v>
      </c>
      <c r="B21418" s="2">
        <v>1354</v>
      </c>
      <c r="C21418" s="4" t="str">
        <f>HYPERLINK("http://www.uniprot.org/uniprot/M5XHR7","M5XHR7")</f>
        <v>M5XHR7</v>
      </c>
      <c r="D21418" s="2" t="s">
        <v>15994</v>
      </c>
      <c r="E21418" s="3">
        <v>0</v>
      </c>
      <c r="F21418" s="2">
        <v>1681</v>
      </c>
      <c r="G21418" s="2">
        <v>100</v>
      </c>
      <c r="H21418" s="2">
        <v>330</v>
      </c>
      <c r="I21418" s="2">
        <v>321</v>
      </c>
      <c r="J21418" s="2">
        <v>1310</v>
      </c>
      <c r="K21418" s="2">
        <v>155</v>
      </c>
      <c r="L21418" s="2">
        <v>484</v>
      </c>
    </row>
    <row r="21419" spans="1:12" x14ac:dyDescent="0.25">
      <c r="A21419" s="4" t="str">
        <f>HYPERLINK("http://www.rosaceae.org/Prunus/Prunus_persica/p.persica_gdr_reftransV1_0045231","p.persica_gdr_reftransV1_0045231")</f>
        <v>p.persica_gdr_reftransV1_0045231</v>
      </c>
      <c r="B21419" s="2">
        <v>2551</v>
      </c>
      <c r="C21419" s="4" t="str">
        <f>HYPERLINK("http://www.uniprot.org/uniprot/M5WFW0","M5WFW0")</f>
        <v>M5WFW0</v>
      </c>
      <c r="D21419" s="2" t="s">
        <v>15995</v>
      </c>
      <c r="E21419" s="3">
        <v>0</v>
      </c>
      <c r="F21419" s="2">
        <v>1910</v>
      </c>
      <c r="G21419" s="2">
        <v>100</v>
      </c>
      <c r="H21419" s="2">
        <v>393</v>
      </c>
      <c r="I21419" s="2">
        <v>446</v>
      </c>
      <c r="J21419" s="2">
        <v>1624</v>
      </c>
      <c r="K21419" s="2">
        <v>1</v>
      </c>
      <c r="L21419" s="2">
        <v>393</v>
      </c>
    </row>
    <row r="21420" spans="1:12" x14ac:dyDescent="0.25">
      <c r="A21420" s="4" t="str">
        <f>HYPERLINK("http://www.rosaceae.org/Prunus/Prunus_persica/p.persica_gdr_reftransV1_0045581","p.persica_gdr_reftransV1_0045581")</f>
        <v>p.persica_gdr_reftransV1_0045581</v>
      </c>
      <c r="B21420" s="2">
        <v>1908</v>
      </c>
      <c r="C21420" s="4" t="str">
        <f>HYPERLINK("http://www.uniprot.org/uniprot/M5XDU2","M5XDU2")</f>
        <v>M5XDU2</v>
      </c>
      <c r="D21420" s="2" t="s">
        <v>13238</v>
      </c>
      <c r="E21420" s="3">
        <v>0</v>
      </c>
      <c r="F21420" s="2">
        <v>1619</v>
      </c>
      <c r="G21420" s="2">
        <v>100</v>
      </c>
      <c r="H21420" s="2">
        <v>341</v>
      </c>
      <c r="I21420" s="2">
        <v>222</v>
      </c>
      <c r="J21420" s="2">
        <v>1244</v>
      </c>
      <c r="K21420" s="2">
        <v>1</v>
      </c>
      <c r="L21420" s="2">
        <v>341</v>
      </c>
    </row>
    <row r="21421" spans="1:12" x14ac:dyDescent="0.25">
      <c r="A21421" s="4" t="str">
        <f>HYPERLINK("http://www.rosaceae.org/Prunus/Prunus_persica/p.persica_gdr_reftransV1_0045931","p.persica_gdr_reftransV1_0045931")</f>
        <v>p.persica_gdr_reftransV1_0045931</v>
      </c>
      <c r="B21421" s="2">
        <v>977</v>
      </c>
      <c r="C21421" s="4" t="str">
        <f>HYPERLINK("http://www.uniprot.org/uniprot/W9RWW0","W9RWW0")</f>
        <v>W9RWW0</v>
      </c>
      <c r="D21421" s="2" t="s">
        <v>13036</v>
      </c>
      <c r="E21421" s="3">
        <v>7.5100000000000007E-58</v>
      </c>
      <c r="F21421" s="2">
        <v>536</v>
      </c>
      <c r="G21421" s="2">
        <v>88</v>
      </c>
      <c r="H21421" s="2">
        <v>252</v>
      </c>
      <c r="I21421" s="2">
        <v>117</v>
      </c>
      <c r="J21421" s="2">
        <v>872</v>
      </c>
      <c r="K21421" s="2">
        <v>70</v>
      </c>
      <c r="L21421" s="2">
        <v>321</v>
      </c>
    </row>
    <row r="21422" spans="1:12" x14ac:dyDescent="0.25">
      <c r="A21422" s="4" t="str">
        <f>HYPERLINK("http://www.rosaceae.org/Prunus/Prunus_persica/p.persica_gdr_reftransV1_0046281","p.persica_gdr_reftransV1_0046281")</f>
        <v>p.persica_gdr_reftransV1_0046281</v>
      </c>
      <c r="B21422" s="2">
        <v>595</v>
      </c>
      <c r="C21422" s="4" t="str">
        <f>HYPERLINK("http://www.uniprot.org/uniprot/M5XF52","M5XF52")</f>
        <v>M5XF52</v>
      </c>
      <c r="D21422" s="2" t="s">
        <v>15996</v>
      </c>
      <c r="E21422" s="3">
        <v>4.0800000000000002E-24</v>
      </c>
      <c r="F21422" s="2">
        <v>264</v>
      </c>
      <c r="G21422" s="2">
        <v>95</v>
      </c>
      <c r="H21422" s="2">
        <v>83</v>
      </c>
      <c r="I21422" s="2">
        <v>119</v>
      </c>
      <c r="J21422" s="2">
        <v>367</v>
      </c>
      <c r="K21422" s="2">
        <v>1</v>
      </c>
      <c r="L21422" s="2">
        <v>81</v>
      </c>
    </row>
    <row r="21423" spans="1:12" x14ac:dyDescent="0.25">
      <c r="A21423" s="4" t="str">
        <f>HYPERLINK("http://www.rosaceae.org/Prunus/Prunus_persica/p.persica_gdr_reftransV1_0046631","p.persica_gdr_reftransV1_0046631")</f>
        <v>p.persica_gdr_reftransV1_0046631</v>
      </c>
      <c r="B21423" s="2">
        <v>1863</v>
      </c>
      <c r="C21423" s="4" t="str">
        <f>HYPERLINK("http://www.uniprot.org/uniprot/M5Y3Z2","M5Y3Z2")</f>
        <v>M5Y3Z2</v>
      </c>
      <c r="D21423" s="2" t="s">
        <v>12389</v>
      </c>
      <c r="E21423" s="3">
        <v>0</v>
      </c>
      <c r="F21423" s="2">
        <v>1664</v>
      </c>
      <c r="G21423" s="2">
        <v>100</v>
      </c>
      <c r="H21423" s="2">
        <v>334</v>
      </c>
      <c r="I21423" s="2">
        <v>860</v>
      </c>
      <c r="J21423" s="2">
        <v>1861</v>
      </c>
      <c r="K21423" s="2">
        <v>83</v>
      </c>
      <c r="L21423" s="2">
        <v>416</v>
      </c>
    </row>
    <row r="21424" spans="1:12" x14ac:dyDescent="0.25">
      <c r="A21424" s="4" t="str">
        <f>HYPERLINK("http://www.rosaceae.org/Prunus/Prunus_persica/p.persica_gdr_reftransV1_0047681","p.persica_gdr_reftransV1_0047681")</f>
        <v>p.persica_gdr_reftransV1_0047681</v>
      </c>
      <c r="B21424" s="2">
        <v>1970</v>
      </c>
      <c r="C21424" s="4" t="str">
        <f>HYPERLINK("http://www.uniprot.org/uniprot/M5X1A9","M5X1A9")</f>
        <v>M5X1A9</v>
      </c>
      <c r="D21424" s="2" t="s">
        <v>10382</v>
      </c>
      <c r="E21424" s="3">
        <v>0</v>
      </c>
      <c r="F21424" s="2">
        <v>2155</v>
      </c>
      <c r="G21424" s="2">
        <v>100</v>
      </c>
      <c r="H21424" s="2">
        <v>421</v>
      </c>
      <c r="I21424" s="2">
        <v>262</v>
      </c>
      <c r="J21424" s="2">
        <v>1524</v>
      </c>
      <c r="K21424" s="2">
        <v>1</v>
      </c>
      <c r="L21424" s="2">
        <v>421</v>
      </c>
    </row>
    <row r="21425" spans="1:12" x14ac:dyDescent="0.25">
      <c r="A21425" s="4" t="str">
        <f>HYPERLINK("http://www.rosaceae.org/Prunus/Prunus_persica/p.persica_gdr_reftransV1_0048031","p.persica_gdr_reftransV1_0048031")</f>
        <v>p.persica_gdr_reftransV1_0048031</v>
      </c>
      <c r="B21425" s="2">
        <v>377</v>
      </c>
      <c r="C21425" s="4" t="str">
        <f>HYPERLINK("http://www.uniprot.org/uniprot/M5XIN3","M5XIN3")</f>
        <v>M5XIN3</v>
      </c>
      <c r="D21425" s="2" t="s">
        <v>1591</v>
      </c>
      <c r="E21425" s="3">
        <v>3.5699999999999998E-65</v>
      </c>
      <c r="F21425" s="2">
        <v>541</v>
      </c>
      <c r="G21425" s="2">
        <v>100</v>
      </c>
      <c r="H21425" s="2">
        <v>123</v>
      </c>
      <c r="I21425" s="2">
        <v>2</v>
      </c>
      <c r="J21425" s="2">
        <v>370</v>
      </c>
      <c r="K21425" s="2">
        <v>1</v>
      </c>
      <c r="L21425" s="2">
        <v>123</v>
      </c>
    </row>
    <row r="21426" spans="1:12" x14ac:dyDescent="0.25">
      <c r="A21426" s="4" t="str">
        <f>HYPERLINK("http://www.rosaceae.org/Prunus/Prunus_persica/p.persica_gdr_reftransV1_0048381","p.persica_gdr_reftransV1_0048381")</f>
        <v>p.persica_gdr_reftransV1_0048381</v>
      </c>
      <c r="B21426" s="2">
        <v>2069</v>
      </c>
      <c r="C21426" s="4" t="str">
        <f>HYPERLINK("http://www.uniprot.org/uniprot/M5WH34","M5WH34")</f>
        <v>M5WH34</v>
      </c>
      <c r="D21426" s="2" t="s">
        <v>15997</v>
      </c>
      <c r="E21426" s="3">
        <v>0</v>
      </c>
      <c r="F21426" s="2">
        <v>2781</v>
      </c>
      <c r="G21426" s="2">
        <v>100</v>
      </c>
      <c r="H21426" s="2">
        <v>589</v>
      </c>
      <c r="I21426" s="2">
        <v>177</v>
      </c>
      <c r="J21426" s="2">
        <v>1943</v>
      </c>
      <c r="K21426" s="2">
        <v>1</v>
      </c>
      <c r="L21426" s="2">
        <v>589</v>
      </c>
    </row>
    <row r="21427" spans="1:12" x14ac:dyDescent="0.25">
      <c r="A21427" s="4" t="str">
        <f>HYPERLINK("http://www.rosaceae.org/Prunus/Prunus_persica/p.persica_gdr_reftransV1_0048731","p.persica_gdr_reftransV1_0048731")</f>
        <v>p.persica_gdr_reftransV1_0048731</v>
      </c>
      <c r="B21427" s="2">
        <v>1542</v>
      </c>
      <c r="C21427" s="4" t="str">
        <f>HYPERLINK("http://www.uniprot.org/uniprot/M5WZ77","M5WZ77")</f>
        <v>M5WZ77</v>
      </c>
      <c r="D21427" s="2" t="s">
        <v>4995</v>
      </c>
      <c r="E21427" s="3">
        <v>9.0299999999999994E-129</v>
      </c>
      <c r="F21427" s="2">
        <v>1002</v>
      </c>
      <c r="G21427" s="2">
        <v>64</v>
      </c>
      <c r="H21427" s="2">
        <v>342</v>
      </c>
      <c r="I21427" s="2">
        <v>94</v>
      </c>
      <c r="J21427" s="2">
        <v>1110</v>
      </c>
      <c r="K21427" s="2">
        <v>1</v>
      </c>
      <c r="L21427" s="2">
        <v>332</v>
      </c>
    </row>
    <row r="21428" spans="1:12" x14ac:dyDescent="0.25">
      <c r="A21428" s="4" t="str">
        <f>HYPERLINK("http://www.rosaceae.org/Prunus/Prunus_persica/p.persica_gdr_reftransV1_0049081","p.persica_gdr_reftransV1_0049081")</f>
        <v>p.persica_gdr_reftransV1_0049081</v>
      </c>
      <c r="B21428" s="2">
        <v>1153</v>
      </c>
      <c r="C21428" s="4" t="str">
        <f>HYPERLINK("http://www.uniprot.org/uniprot/M5XDI1","M5XDI1")</f>
        <v>M5XDI1</v>
      </c>
      <c r="D21428" s="2" t="s">
        <v>556</v>
      </c>
      <c r="E21428" s="3">
        <v>0</v>
      </c>
      <c r="F21428" s="2">
        <v>1377</v>
      </c>
      <c r="G21428" s="2">
        <v>100</v>
      </c>
      <c r="H21428" s="2">
        <v>259</v>
      </c>
      <c r="I21428" s="2">
        <v>1</v>
      </c>
      <c r="J21428" s="2">
        <v>777</v>
      </c>
      <c r="K21428" s="2">
        <v>324</v>
      </c>
      <c r="L21428" s="2">
        <v>582</v>
      </c>
    </row>
    <row r="21429" spans="1:12" x14ac:dyDescent="0.25">
      <c r="A21429" s="4" t="str">
        <f>HYPERLINK("http://www.rosaceae.org/Prunus/Prunus_persica/p.persica_gdr_reftransV1_0000082","p.persica_gdr_reftransV1_0000082")</f>
        <v>p.persica_gdr_reftransV1_0000082</v>
      </c>
      <c r="B21429" s="2">
        <v>1697</v>
      </c>
      <c r="C21429" s="4" t="str">
        <f>HYPERLINK("http://www.uniprot.org/uniprot/M5VIZ9","M5VIZ9")</f>
        <v>M5VIZ9</v>
      </c>
      <c r="D21429" s="2" t="s">
        <v>11835</v>
      </c>
      <c r="E21429" s="3">
        <v>0</v>
      </c>
      <c r="F21429" s="2">
        <v>2059</v>
      </c>
      <c r="G21429" s="2">
        <v>100</v>
      </c>
      <c r="H21429" s="2">
        <v>391</v>
      </c>
      <c r="I21429" s="2">
        <v>226</v>
      </c>
      <c r="J21429" s="2">
        <v>1398</v>
      </c>
      <c r="K21429" s="2">
        <v>1</v>
      </c>
      <c r="L21429" s="2">
        <v>391</v>
      </c>
    </row>
    <row r="21430" spans="1:12" x14ac:dyDescent="0.25">
      <c r="A21430" s="4" t="str">
        <f>HYPERLINK("http://www.rosaceae.org/Prunus/Prunus_persica/p.persica_gdr_reftransV1_0000432","p.persica_gdr_reftransV1_0000432")</f>
        <v>p.persica_gdr_reftransV1_0000432</v>
      </c>
      <c r="B21430" s="2">
        <v>634</v>
      </c>
      <c r="C21430" s="4" t="str">
        <f>HYPERLINK("http://www.uniprot.org/uniprot/M5XK77","M5XK77")</f>
        <v>M5XK77</v>
      </c>
      <c r="D21430" s="2" t="s">
        <v>15998</v>
      </c>
      <c r="E21430" s="3">
        <v>1.0300000000000001E-82</v>
      </c>
      <c r="F21430" s="2">
        <v>660</v>
      </c>
      <c r="G21430" s="2">
        <v>100</v>
      </c>
      <c r="H21430" s="2">
        <v>210</v>
      </c>
      <c r="I21430" s="2">
        <v>3</v>
      </c>
      <c r="J21430" s="2">
        <v>632</v>
      </c>
      <c r="K21430" s="2">
        <v>59</v>
      </c>
      <c r="L21430" s="2">
        <v>268</v>
      </c>
    </row>
    <row r="21431" spans="1:12" x14ac:dyDescent="0.25">
      <c r="A21431" s="4" t="str">
        <f>HYPERLINK("http://www.rosaceae.org/Prunus/Prunus_persica/p.persica_gdr_reftransV1_0000782","p.persica_gdr_reftransV1_0000782")</f>
        <v>p.persica_gdr_reftransV1_0000782</v>
      </c>
      <c r="B21431" s="2">
        <v>1512</v>
      </c>
      <c r="C21431" s="4" t="str">
        <f>HYPERLINK("http://www.uniprot.org/uniprot/M5X876","M5X876")</f>
        <v>M5X876</v>
      </c>
      <c r="D21431" s="2" t="s">
        <v>15999</v>
      </c>
      <c r="E21431" s="3">
        <v>0</v>
      </c>
      <c r="F21431" s="2">
        <v>1871</v>
      </c>
      <c r="G21431" s="2">
        <v>100</v>
      </c>
      <c r="H21431" s="2">
        <v>363</v>
      </c>
      <c r="I21431" s="2">
        <v>289</v>
      </c>
      <c r="J21431" s="2">
        <v>1377</v>
      </c>
      <c r="K21431" s="2">
        <v>2</v>
      </c>
      <c r="L21431" s="2">
        <v>364</v>
      </c>
    </row>
    <row r="21432" spans="1:12" x14ac:dyDescent="0.25">
      <c r="A21432" s="4" t="str">
        <f>HYPERLINK("http://www.rosaceae.org/Prunus/Prunus_persica/p.persica_gdr_reftransV1_0001132","p.persica_gdr_reftransV1_0001132")</f>
        <v>p.persica_gdr_reftransV1_0001132</v>
      </c>
      <c r="B21432" s="2">
        <v>2476</v>
      </c>
      <c r="C21432" s="4" t="str">
        <f>HYPERLINK("http://www.uniprot.org/uniprot/M5X0Q3","M5X0Q3")</f>
        <v>M5X0Q3</v>
      </c>
      <c r="D21432" s="2" t="s">
        <v>9500</v>
      </c>
      <c r="E21432" s="3">
        <v>0</v>
      </c>
      <c r="F21432" s="2">
        <v>2002</v>
      </c>
      <c r="G21432" s="2">
        <v>99</v>
      </c>
      <c r="H21432" s="2">
        <v>373</v>
      </c>
      <c r="I21432" s="2">
        <v>145</v>
      </c>
      <c r="J21432" s="2">
        <v>1263</v>
      </c>
      <c r="K21432" s="2">
        <v>1</v>
      </c>
      <c r="L21432" s="2">
        <v>373</v>
      </c>
    </row>
    <row r="21433" spans="1:12" x14ac:dyDescent="0.25">
      <c r="A21433" s="4" t="str">
        <f>HYPERLINK("http://www.rosaceae.org/Prunus/Prunus_persica/p.persica_gdr_reftransV1_0001482","p.persica_gdr_reftransV1_0001482")</f>
        <v>p.persica_gdr_reftransV1_0001482</v>
      </c>
      <c r="B21433" s="2">
        <v>6997</v>
      </c>
      <c r="C21433" s="4" t="str">
        <f>HYPERLINK("http://www.uniprot.org/uniprot/M5XL29","M5XL29")</f>
        <v>M5XL29</v>
      </c>
      <c r="D21433" s="2" t="s">
        <v>13115</v>
      </c>
      <c r="E21433" s="3">
        <v>0</v>
      </c>
      <c r="F21433" s="2">
        <v>5698</v>
      </c>
      <c r="G21433" s="2">
        <v>99</v>
      </c>
      <c r="H21433" s="2">
        <v>1168</v>
      </c>
      <c r="I21433" s="2">
        <v>211</v>
      </c>
      <c r="J21433" s="2">
        <v>3714</v>
      </c>
      <c r="K21433" s="2">
        <v>1</v>
      </c>
      <c r="L21433" s="2">
        <v>1166</v>
      </c>
    </row>
    <row r="21434" spans="1:12" x14ac:dyDescent="0.25">
      <c r="A21434" s="4" t="str">
        <f>HYPERLINK("http://www.rosaceae.org/Prunus/Prunus_persica/p.persica_gdr_reftransV1_0001832","p.persica_gdr_reftransV1_0001832")</f>
        <v>p.persica_gdr_reftransV1_0001832</v>
      </c>
      <c r="B21434" s="2">
        <v>1483</v>
      </c>
      <c r="C21434" s="4" t="str">
        <f>HYPERLINK("http://www.uniprot.org/uniprot/M5W7P2","M5W7P2")</f>
        <v>M5W7P2</v>
      </c>
      <c r="D21434" s="2" t="s">
        <v>7825</v>
      </c>
      <c r="E21434" s="3">
        <v>2.5000000000000002E-112</v>
      </c>
      <c r="F21434" s="2">
        <v>957</v>
      </c>
      <c r="G21434" s="2">
        <v>96</v>
      </c>
      <c r="H21434" s="2">
        <v>235</v>
      </c>
      <c r="I21434" s="2">
        <v>324</v>
      </c>
      <c r="J21434" s="2">
        <v>1028</v>
      </c>
      <c r="K21434" s="2">
        <v>596</v>
      </c>
      <c r="L21434" s="2">
        <v>828</v>
      </c>
    </row>
    <row r="21435" spans="1:12" x14ac:dyDescent="0.25">
      <c r="A21435" s="4" t="str">
        <f>HYPERLINK("http://www.rosaceae.org/Prunus/Prunus_persica/p.persica_gdr_reftransV1_0002182","p.persica_gdr_reftransV1_0002182")</f>
        <v>p.persica_gdr_reftransV1_0002182</v>
      </c>
      <c r="B21435" s="2">
        <v>1033</v>
      </c>
      <c r="C21435" s="4" t="str">
        <f>HYPERLINK("http://www.uniprot.org/uniprot/M5WMQ9","M5WMQ9")</f>
        <v>M5WMQ9</v>
      </c>
      <c r="D21435" s="2" t="s">
        <v>16000</v>
      </c>
      <c r="E21435" s="3">
        <v>0</v>
      </c>
      <c r="F21435" s="2">
        <v>1441</v>
      </c>
      <c r="G21435" s="2">
        <v>100</v>
      </c>
      <c r="H21435" s="2">
        <v>308</v>
      </c>
      <c r="I21435" s="2">
        <v>1</v>
      </c>
      <c r="J21435" s="2">
        <v>924</v>
      </c>
      <c r="K21435" s="2">
        <v>12</v>
      </c>
      <c r="L21435" s="2">
        <v>319</v>
      </c>
    </row>
    <row r="21436" spans="1:12" x14ac:dyDescent="0.25">
      <c r="A21436" s="4" t="str">
        <f>HYPERLINK("http://www.rosaceae.org/Prunus/Prunus_persica/p.persica_gdr_reftransV1_0002532","p.persica_gdr_reftransV1_0002532")</f>
        <v>p.persica_gdr_reftransV1_0002532</v>
      </c>
      <c r="B21436" s="2">
        <v>576</v>
      </c>
      <c r="C21436" s="4" t="str">
        <f>HYPERLINK("http://www.uniprot.org/uniprot/M5VR69","M5VR69")</f>
        <v>M5VR69</v>
      </c>
      <c r="D21436" s="2" t="s">
        <v>1580</v>
      </c>
      <c r="E21436" s="3">
        <v>4.9500000000000004E-66</v>
      </c>
      <c r="F21436" s="2">
        <v>539</v>
      </c>
      <c r="G21436" s="2">
        <v>100</v>
      </c>
      <c r="H21436" s="2">
        <v>116</v>
      </c>
      <c r="I21436" s="2">
        <v>229</v>
      </c>
      <c r="J21436" s="2">
        <v>576</v>
      </c>
      <c r="K21436" s="2">
        <v>1</v>
      </c>
      <c r="L21436" s="2">
        <v>116</v>
      </c>
    </row>
    <row r="21437" spans="1:12" x14ac:dyDescent="0.25">
      <c r="A21437" s="4" t="str">
        <f>HYPERLINK("http://www.rosaceae.org/Prunus/Prunus_persica/p.persica_gdr_reftransV1_0002882","p.persica_gdr_reftransV1_0002882")</f>
        <v>p.persica_gdr_reftransV1_0002882</v>
      </c>
      <c r="B21437" s="2">
        <v>374</v>
      </c>
      <c r="C21437" s="4" t="str">
        <f>HYPERLINK("http://www.uniprot.org/uniprot/M5X630","M5X630")</f>
        <v>M5X630</v>
      </c>
      <c r="D21437" s="2" t="s">
        <v>16001</v>
      </c>
      <c r="E21437" s="3">
        <v>8.2800000000000004E-74</v>
      </c>
      <c r="F21437" s="2">
        <v>585</v>
      </c>
      <c r="G21437" s="2">
        <v>100</v>
      </c>
      <c r="H21437" s="2">
        <v>124</v>
      </c>
      <c r="I21437" s="2">
        <v>3</v>
      </c>
      <c r="J21437" s="2">
        <v>374</v>
      </c>
      <c r="K21437" s="2">
        <v>40</v>
      </c>
      <c r="L21437" s="2">
        <v>163</v>
      </c>
    </row>
    <row r="21438" spans="1:12" x14ac:dyDescent="0.25">
      <c r="A21438" s="4" t="str">
        <f>HYPERLINK("http://www.rosaceae.org/Prunus/Prunus_persica/p.persica_gdr_reftransV1_0003232","p.persica_gdr_reftransV1_0003232")</f>
        <v>p.persica_gdr_reftransV1_0003232</v>
      </c>
      <c r="B21438" s="2">
        <v>2104</v>
      </c>
      <c r="C21438" s="4" t="str">
        <f>HYPERLINK("http://www.uniprot.org/uniprot/M5WXG3","M5WXG3")</f>
        <v>M5WXG3</v>
      </c>
      <c r="D21438" s="2" t="s">
        <v>12281</v>
      </c>
      <c r="E21438" s="3">
        <v>0</v>
      </c>
      <c r="F21438" s="2">
        <v>2913</v>
      </c>
      <c r="G21438" s="2">
        <v>100</v>
      </c>
      <c r="H21438" s="2">
        <v>578</v>
      </c>
      <c r="I21438" s="2">
        <v>2</v>
      </c>
      <c r="J21438" s="2">
        <v>1735</v>
      </c>
      <c r="K21438" s="2">
        <v>69</v>
      </c>
      <c r="L21438" s="2">
        <v>646</v>
      </c>
    </row>
    <row r="21439" spans="1:12" x14ac:dyDescent="0.25">
      <c r="A21439" s="4" t="str">
        <f>HYPERLINK("http://www.rosaceae.org/Prunus/Prunus_persica/p.persica_gdr_reftransV1_0003582","p.persica_gdr_reftransV1_0003582")</f>
        <v>p.persica_gdr_reftransV1_0003582</v>
      </c>
      <c r="B21439" s="2">
        <v>4154</v>
      </c>
      <c r="C21439" s="4" t="str">
        <f>HYPERLINK("http://www.uniprot.org/uniprot/M5XM37","M5XM37")</f>
        <v>M5XM37</v>
      </c>
      <c r="D21439" s="2" t="s">
        <v>16002</v>
      </c>
      <c r="E21439" s="3">
        <v>0</v>
      </c>
      <c r="F21439" s="2">
        <v>4705</v>
      </c>
      <c r="G21439" s="2">
        <v>99</v>
      </c>
      <c r="H21439" s="2">
        <v>946</v>
      </c>
      <c r="I21439" s="2">
        <v>364</v>
      </c>
      <c r="J21439" s="2">
        <v>3201</v>
      </c>
      <c r="K21439" s="2">
        <v>1</v>
      </c>
      <c r="L21439" s="2">
        <v>946</v>
      </c>
    </row>
    <row r="21440" spans="1:12" x14ac:dyDescent="0.25">
      <c r="A21440" s="4" t="str">
        <f>HYPERLINK("http://www.rosaceae.org/Prunus/Prunus_persica/p.persica_gdr_reftransV1_0003932","p.persica_gdr_reftransV1_0003932")</f>
        <v>p.persica_gdr_reftransV1_0003932</v>
      </c>
      <c r="B21440" s="2">
        <v>798</v>
      </c>
      <c r="C21440" s="4" t="str">
        <f>HYPERLINK("http://www.uniprot.org/uniprot/I1RKM0","I1RKM0")</f>
        <v>I1RKM0</v>
      </c>
      <c r="D21440" s="2" t="s">
        <v>16003</v>
      </c>
      <c r="E21440" s="3">
        <v>6.4099999999999996E-94</v>
      </c>
      <c r="F21440" s="2">
        <v>760</v>
      </c>
      <c r="G21440" s="2">
        <v>83</v>
      </c>
      <c r="H21440" s="2">
        <v>168</v>
      </c>
      <c r="I21440" s="2">
        <v>295</v>
      </c>
      <c r="J21440" s="2">
        <v>798</v>
      </c>
      <c r="K21440" s="2">
        <v>332</v>
      </c>
      <c r="L21440" s="2">
        <v>499</v>
      </c>
    </row>
    <row r="21441" spans="1:12" x14ac:dyDescent="0.25">
      <c r="A21441" s="4" t="str">
        <f>HYPERLINK("http://www.rosaceae.org/Prunus/Prunus_persica/p.persica_gdr_reftransV1_0004282","p.persica_gdr_reftransV1_0004282")</f>
        <v>p.persica_gdr_reftransV1_0004282</v>
      </c>
      <c r="B21441" s="2">
        <v>1538</v>
      </c>
      <c r="C21441" s="4" t="str">
        <f>HYPERLINK("http://www.uniprot.org/uniprot/M5X0Y5","M5X0Y5")</f>
        <v>M5X0Y5</v>
      </c>
      <c r="D21441" s="2" t="s">
        <v>9670</v>
      </c>
      <c r="E21441" s="3">
        <v>5.13E-170</v>
      </c>
      <c r="F21441" s="2">
        <v>660</v>
      </c>
      <c r="G21441" s="2">
        <v>100</v>
      </c>
      <c r="H21441" s="2">
        <v>127</v>
      </c>
      <c r="I21441" s="2">
        <v>546</v>
      </c>
      <c r="J21441" s="2">
        <v>926</v>
      </c>
      <c r="K21441" s="2">
        <v>113</v>
      </c>
      <c r="L21441" s="2">
        <v>239</v>
      </c>
    </row>
    <row r="21442" spans="1:12" x14ac:dyDescent="0.25">
      <c r="A21442" s="4" t="str">
        <f>HYPERLINK("http://www.rosaceae.org/Prunus/Prunus_persica/p.persica_gdr_reftransV1_0004632","p.persica_gdr_reftransV1_0004632")</f>
        <v>p.persica_gdr_reftransV1_0004632</v>
      </c>
      <c r="B21442" s="2">
        <v>2277</v>
      </c>
      <c r="C21442" s="4" t="str">
        <f>HYPERLINK("http://www.uniprot.org/uniprot/M5WFJ2","M5WFJ2")</f>
        <v>M5WFJ2</v>
      </c>
      <c r="D21442" s="2" t="s">
        <v>16004</v>
      </c>
      <c r="E21442" s="3">
        <v>0</v>
      </c>
      <c r="F21442" s="2">
        <v>1607</v>
      </c>
      <c r="G21442" s="2">
        <v>98</v>
      </c>
      <c r="H21442" s="2">
        <v>332</v>
      </c>
      <c r="I21442" s="2">
        <v>472</v>
      </c>
      <c r="J21442" s="2">
        <v>1452</v>
      </c>
      <c r="K21442" s="2">
        <v>245</v>
      </c>
      <c r="L21442" s="2">
        <v>576</v>
      </c>
    </row>
    <row r="21443" spans="1:12" x14ac:dyDescent="0.25">
      <c r="A21443" s="4" t="str">
        <f>HYPERLINK("http://www.rosaceae.org/Prunus/Prunus_persica/p.persica_gdr_reftransV1_0004982","p.persica_gdr_reftransV1_0004982")</f>
        <v>p.persica_gdr_reftransV1_0004982</v>
      </c>
      <c r="B21443" s="2">
        <v>5848</v>
      </c>
      <c r="C21443" s="4" t="str">
        <f>HYPERLINK("http://www.uniprot.org/uniprot/M5VT70","M5VT70")</f>
        <v>M5VT70</v>
      </c>
      <c r="D21443" s="2" t="s">
        <v>14697</v>
      </c>
      <c r="E21443" s="3">
        <v>0</v>
      </c>
      <c r="F21443" s="2">
        <v>6659</v>
      </c>
      <c r="G21443" s="2">
        <v>100</v>
      </c>
      <c r="H21443" s="2">
        <v>1254</v>
      </c>
      <c r="I21443" s="2">
        <v>122</v>
      </c>
      <c r="J21443" s="2">
        <v>3883</v>
      </c>
      <c r="K21443" s="2">
        <v>7</v>
      </c>
      <c r="L21443" s="2">
        <v>1260</v>
      </c>
    </row>
    <row r="21444" spans="1:12" x14ac:dyDescent="0.25">
      <c r="A21444" s="4" t="str">
        <f>HYPERLINK("http://www.rosaceae.org/Prunus/Prunus_persica/p.persica_gdr_reftransV1_0005332","p.persica_gdr_reftransV1_0005332")</f>
        <v>p.persica_gdr_reftransV1_0005332</v>
      </c>
      <c r="B21444" s="2">
        <v>2464</v>
      </c>
      <c r="C21444" s="4" t="str">
        <f>HYPERLINK("http://www.uniprot.org/uniprot/M5VNW0","M5VNW0")</f>
        <v>M5VNW0</v>
      </c>
      <c r="D21444" s="2" t="s">
        <v>5658</v>
      </c>
      <c r="E21444" s="3">
        <v>0</v>
      </c>
      <c r="F21444" s="2">
        <v>3510</v>
      </c>
      <c r="G21444" s="2">
        <v>96</v>
      </c>
      <c r="H21444" s="2">
        <v>687</v>
      </c>
      <c r="I21444" s="2">
        <v>85</v>
      </c>
      <c r="J21444" s="2">
        <v>2145</v>
      </c>
      <c r="K21444" s="2">
        <v>1</v>
      </c>
      <c r="L21444" s="2">
        <v>658</v>
      </c>
    </row>
    <row r="21445" spans="1:12" x14ac:dyDescent="0.25">
      <c r="A21445" s="4" t="str">
        <f>HYPERLINK("http://www.rosaceae.org/Prunus/Prunus_persica/p.persica_gdr_reftransV1_0006732","p.persica_gdr_reftransV1_0006732")</f>
        <v>p.persica_gdr_reftransV1_0006732</v>
      </c>
      <c r="B21445" s="2">
        <v>778</v>
      </c>
      <c r="C21445" s="4" t="str">
        <f>HYPERLINK("http://www.uniprot.org/uniprot/M5VI81","M5VI81")</f>
        <v>M5VI81</v>
      </c>
      <c r="D21445" s="2" t="s">
        <v>4924</v>
      </c>
      <c r="E21445" s="3">
        <v>1.7700000000000002E-117</v>
      </c>
      <c r="F21445" s="2">
        <v>916</v>
      </c>
      <c r="G21445" s="2">
        <v>92</v>
      </c>
      <c r="H21445" s="2">
        <v>191</v>
      </c>
      <c r="I21445" s="2">
        <v>43</v>
      </c>
      <c r="J21445" s="2">
        <v>567</v>
      </c>
      <c r="K21445" s="2">
        <v>302</v>
      </c>
      <c r="L21445" s="2">
        <v>492</v>
      </c>
    </row>
    <row r="21446" spans="1:12" x14ac:dyDescent="0.25">
      <c r="A21446" s="4" t="str">
        <f>HYPERLINK("http://www.rosaceae.org/Prunus/Prunus_persica/p.persica_gdr_reftransV1_0007082","p.persica_gdr_reftransV1_0007082")</f>
        <v>p.persica_gdr_reftransV1_0007082</v>
      </c>
      <c r="B21446" s="2">
        <v>553</v>
      </c>
      <c r="C21446" s="4" t="str">
        <f>HYPERLINK("http://www.uniprot.org/uniprot/M5W6F1","M5W6F1")</f>
        <v>M5W6F1</v>
      </c>
      <c r="D21446" s="2" t="s">
        <v>238</v>
      </c>
      <c r="E21446" s="3">
        <v>3.0899999999999998E-73</v>
      </c>
      <c r="F21446" s="2">
        <v>615</v>
      </c>
      <c r="G21446" s="2">
        <v>100</v>
      </c>
      <c r="H21446" s="2">
        <v>118</v>
      </c>
      <c r="I21446" s="2">
        <v>200</v>
      </c>
      <c r="J21446" s="2">
        <v>553</v>
      </c>
      <c r="K21446" s="2">
        <v>1</v>
      </c>
      <c r="L21446" s="2">
        <v>118</v>
      </c>
    </row>
    <row r="21447" spans="1:12" x14ac:dyDescent="0.25">
      <c r="A21447" s="4" t="str">
        <f>HYPERLINK("http://www.rosaceae.org/Prunus/Prunus_persica/p.persica_gdr_reftransV1_0007432","p.persica_gdr_reftransV1_0007432")</f>
        <v>p.persica_gdr_reftransV1_0007432</v>
      </c>
      <c r="B21447" s="2">
        <v>1308</v>
      </c>
      <c r="C21447" s="4" t="str">
        <f>HYPERLINK("http://www.uniprot.org/uniprot/M5X3G5","M5X3G5")</f>
        <v>M5X3G5</v>
      </c>
      <c r="D21447" s="2" t="s">
        <v>16005</v>
      </c>
      <c r="E21447" s="3">
        <v>0</v>
      </c>
      <c r="F21447" s="2">
        <v>1665</v>
      </c>
      <c r="G21447" s="2">
        <v>100</v>
      </c>
      <c r="H21447" s="2">
        <v>383</v>
      </c>
      <c r="I21447" s="2">
        <v>151</v>
      </c>
      <c r="J21447" s="2">
        <v>1299</v>
      </c>
      <c r="K21447" s="2">
        <v>1</v>
      </c>
      <c r="L21447" s="2">
        <v>383</v>
      </c>
    </row>
    <row r="21448" spans="1:12" x14ac:dyDescent="0.25">
      <c r="A21448" s="4" t="str">
        <f>HYPERLINK("http://www.rosaceae.org/Prunus/Prunus_persica/p.persica_gdr_reftransV1_0008132","p.persica_gdr_reftransV1_0008132")</f>
        <v>p.persica_gdr_reftransV1_0008132</v>
      </c>
      <c r="B21448" s="2">
        <v>1657</v>
      </c>
      <c r="C21448" s="4" t="str">
        <f>HYPERLINK("http://www.uniprot.org/uniprot/M5X6Z4","M5X6Z4")</f>
        <v>M5X6Z4</v>
      </c>
      <c r="D21448" s="2" t="s">
        <v>12627</v>
      </c>
      <c r="E21448" s="3">
        <v>0</v>
      </c>
      <c r="F21448" s="2">
        <v>1744</v>
      </c>
      <c r="G21448" s="2">
        <v>96</v>
      </c>
      <c r="H21448" s="2">
        <v>382</v>
      </c>
      <c r="I21448" s="2">
        <v>219</v>
      </c>
      <c r="J21448" s="2">
        <v>1364</v>
      </c>
      <c r="K21448" s="2">
        <v>317</v>
      </c>
      <c r="L21448" s="2">
        <v>687</v>
      </c>
    </row>
    <row r="21449" spans="1:12" x14ac:dyDescent="0.25">
      <c r="A21449" s="4" t="str">
        <f>HYPERLINK("http://www.rosaceae.org/Prunus/Prunus_persica/p.persica_gdr_reftransV1_0008832","p.persica_gdr_reftransV1_0008832")</f>
        <v>p.persica_gdr_reftransV1_0008832</v>
      </c>
      <c r="B21449" s="2">
        <v>1310</v>
      </c>
      <c r="C21449" s="4" t="str">
        <f>HYPERLINK("http://www.uniprot.org/uniprot/M5VZC2","M5VZC2")</f>
        <v>M5VZC2</v>
      </c>
      <c r="D21449" s="2" t="s">
        <v>16006</v>
      </c>
      <c r="E21449" s="3">
        <v>0</v>
      </c>
      <c r="F21449" s="2">
        <v>1466</v>
      </c>
      <c r="G21449" s="2">
        <v>100</v>
      </c>
      <c r="H21449" s="2">
        <v>309</v>
      </c>
      <c r="I21449" s="2">
        <v>320</v>
      </c>
      <c r="J21449" s="2">
        <v>1246</v>
      </c>
      <c r="K21449" s="2">
        <v>1</v>
      </c>
      <c r="L21449" s="2">
        <v>309</v>
      </c>
    </row>
    <row r="21450" spans="1:12" x14ac:dyDescent="0.25">
      <c r="A21450" s="4" t="str">
        <f>HYPERLINK("http://www.rosaceae.org/Prunus/Prunus_persica/p.persica_gdr_reftransV1_0009532","p.persica_gdr_reftransV1_0009532")</f>
        <v>p.persica_gdr_reftransV1_0009532</v>
      </c>
      <c r="B21450" s="2">
        <v>2030</v>
      </c>
      <c r="C21450" s="4" t="str">
        <f>HYPERLINK("http://www.uniprot.org/uniprot/M5X0R3","M5X0R3")</f>
        <v>M5X0R3</v>
      </c>
      <c r="D21450" s="2" t="s">
        <v>16007</v>
      </c>
      <c r="E21450" s="3">
        <v>0</v>
      </c>
      <c r="F21450" s="2">
        <v>2231</v>
      </c>
      <c r="G21450" s="2">
        <v>92</v>
      </c>
      <c r="H21450" s="2">
        <v>518</v>
      </c>
      <c r="I21450" s="2">
        <v>223</v>
      </c>
      <c r="J21450" s="2">
        <v>1776</v>
      </c>
      <c r="K21450" s="2">
        <v>1</v>
      </c>
      <c r="L21450" s="2">
        <v>484</v>
      </c>
    </row>
    <row r="21451" spans="1:12" x14ac:dyDescent="0.25">
      <c r="A21451" s="4" t="str">
        <f>HYPERLINK("http://www.rosaceae.org/Prunus/Prunus_persica/p.persica_gdr_reftransV1_0009882","p.persica_gdr_reftransV1_0009882")</f>
        <v>p.persica_gdr_reftransV1_0009882</v>
      </c>
      <c r="B21451" s="2">
        <v>1594</v>
      </c>
      <c r="C21451" s="4" t="str">
        <f>HYPERLINK("http://www.uniprot.org/uniprot/M5W3J3","M5W3J3")</f>
        <v>M5W3J3</v>
      </c>
      <c r="D21451" s="2" t="s">
        <v>1761</v>
      </c>
      <c r="E21451" s="3">
        <v>0</v>
      </c>
      <c r="F21451" s="2">
        <v>1953</v>
      </c>
      <c r="G21451" s="2">
        <v>96</v>
      </c>
      <c r="H21451" s="2">
        <v>393</v>
      </c>
      <c r="I21451" s="2">
        <v>416</v>
      </c>
      <c r="J21451" s="2">
        <v>1594</v>
      </c>
      <c r="K21451" s="2">
        <v>1130</v>
      </c>
      <c r="L21451" s="2">
        <v>1508</v>
      </c>
    </row>
    <row r="21452" spans="1:12" x14ac:dyDescent="0.25">
      <c r="A21452" s="4" t="str">
        <f>HYPERLINK("http://www.rosaceae.org/Prunus/Prunus_persica/p.persica_gdr_reftransV1_0010232","p.persica_gdr_reftransV1_0010232")</f>
        <v>p.persica_gdr_reftransV1_0010232</v>
      </c>
      <c r="B21452" s="2">
        <v>2983</v>
      </c>
      <c r="C21452" s="4" t="str">
        <f>HYPERLINK("http://www.uniprot.org/uniprot/M5W1Q6","M5W1Q6")</f>
        <v>M5W1Q6</v>
      </c>
      <c r="D21452" s="2" t="s">
        <v>16008</v>
      </c>
      <c r="E21452" s="3">
        <v>0</v>
      </c>
      <c r="F21452" s="2">
        <v>4209</v>
      </c>
      <c r="G21452" s="2">
        <v>100</v>
      </c>
      <c r="H21452" s="2">
        <v>812</v>
      </c>
      <c r="I21452" s="2">
        <v>3</v>
      </c>
      <c r="J21452" s="2">
        <v>2438</v>
      </c>
      <c r="K21452" s="2">
        <v>825</v>
      </c>
      <c r="L21452" s="2">
        <v>1636</v>
      </c>
    </row>
    <row r="21453" spans="1:12" x14ac:dyDescent="0.25">
      <c r="A21453" s="4" t="str">
        <f>HYPERLINK("http://www.rosaceae.org/Prunus/Prunus_persica/p.persica_gdr_reftransV1_0010582","p.persica_gdr_reftransV1_0010582")</f>
        <v>p.persica_gdr_reftransV1_0010582</v>
      </c>
      <c r="B21453" s="2">
        <v>2162</v>
      </c>
      <c r="C21453" s="4" t="str">
        <f>HYPERLINK("http://www.uniprot.org/uniprot/V4TM07","V4TM07")</f>
        <v>V4TM07</v>
      </c>
      <c r="D21453" s="2" t="s">
        <v>16009</v>
      </c>
      <c r="E21453" s="3">
        <v>4.8199999999999997E-13</v>
      </c>
      <c r="F21453" s="2">
        <v>189</v>
      </c>
      <c r="G21453" s="2">
        <v>40</v>
      </c>
      <c r="H21453" s="2">
        <v>116</v>
      </c>
      <c r="I21453" s="2">
        <v>350</v>
      </c>
      <c r="J21453" s="2">
        <v>694</v>
      </c>
      <c r="K21453" s="2">
        <v>1</v>
      </c>
      <c r="L21453" s="2">
        <v>115</v>
      </c>
    </row>
    <row r="21454" spans="1:12" x14ac:dyDescent="0.25">
      <c r="A21454" s="4" t="str">
        <f>HYPERLINK("http://www.rosaceae.org/Prunus/Prunus_persica/p.persica_gdr_reftransV1_0011282","p.persica_gdr_reftransV1_0011282")</f>
        <v>p.persica_gdr_reftransV1_0011282</v>
      </c>
      <c r="B21454" s="2">
        <v>2051</v>
      </c>
      <c r="C21454" s="4" t="str">
        <f>HYPERLINK("http://www.uniprot.org/uniprot/M5WAD4","M5WAD4")</f>
        <v>M5WAD4</v>
      </c>
      <c r="D21454" s="2" t="s">
        <v>14652</v>
      </c>
      <c r="E21454" s="3">
        <v>0</v>
      </c>
      <c r="F21454" s="2">
        <v>2034</v>
      </c>
      <c r="G21454" s="2">
        <v>93</v>
      </c>
      <c r="H21454" s="2">
        <v>435</v>
      </c>
      <c r="I21454" s="2">
        <v>648</v>
      </c>
      <c r="J21454" s="2">
        <v>1952</v>
      </c>
      <c r="K21454" s="2">
        <v>375</v>
      </c>
      <c r="L21454" s="2">
        <v>781</v>
      </c>
    </row>
    <row r="21455" spans="1:12" x14ac:dyDescent="0.25">
      <c r="A21455" s="4" t="str">
        <f>HYPERLINK("http://www.rosaceae.org/Prunus/Prunus_persica/p.persica_gdr_reftransV1_0011632","p.persica_gdr_reftransV1_0011632")</f>
        <v>p.persica_gdr_reftransV1_0011632</v>
      </c>
      <c r="B21455" s="2">
        <v>1083</v>
      </c>
      <c r="C21455" s="4" t="str">
        <f>HYPERLINK("http://www.uniprot.org/uniprot/M5WK99","M5WK99")</f>
        <v>M5WK99</v>
      </c>
      <c r="D21455" s="2" t="s">
        <v>16010</v>
      </c>
      <c r="E21455" s="3">
        <v>1.7799999999999999E-60</v>
      </c>
      <c r="F21455" s="2">
        <v>516</v>
      </c>
      <c r="G21455" s="2">
        <v>85</v>
      </c>
      <c r="H21455" s="2">
        <v>141</v>
      </c>
      <c r="I21455" s="2">
        <v>245</v>
      </c>
      <c r="J21455" s="2">
        <v>667</v>
      </c>
      <c r="K21455" s="2">
        <v>1</v>
      </c>
      <c r="L21455" s="2">
        <v>124</v>
      </c>
    </row>
    <row r="21456" spans="1:12" x14ac:dyDescent="0.25">
      <c r="A21456" s="4" t="str">
        <f>HYPERLINK("http://www.rosaceae.org/Prunus/Prunus_persica/p.persica_gdr_reftransV1_0012332","p.persica_gdr_reftransV1_0012332")</f>
        <v>p.persica_gdr_reftransV1_0012332</v>
      </c>
      <c r="B21456" s="2">
        <v>506</v>
      </c>
      <c r="C21456" s="4" t="str">
        <f>HYPERLINK("http://www.uniprot.org/uniprot/M5WME6","M5WME6")</f>
        <v>M5WME6</v>
      </c>
      <c r="D21456" s="2" t="s">
        <v>12310</v>
      </c>
      <c r="E21456" s="3">
        <v>8.1499999999999999E-91</v>
      </c>
      <c r="F21456" s="2">
        <v>755</v>
      </c>
      <c r="G21456" s="2">
        <v>100</v>
      </c>
      <c r="H21456" s="2">
        <v>145</v>
      </c>
      <c r="I21456" s="2">
        <v>72</v>
      </c>
      <c r="J21456" s="2">
        <v>506</v>
      </c>
      <c r="K21456" s="2">
        <v>212</v>
      </c>
      <c r="L21456" s="2">
        <v>356</v>
      </c>
    </row>
    <row r="21457" spans="1:12" x14ac:dyDescent="0.25">
      <c r="A21457" s="4" t="str">
        <f>HYPERLINK("http://www.rosaceae.org/Prunus/Prunus_persica/p.persica_gdr_reftransV1_0012682","p.persica_gdr_reftransV1_0012682")</f>
        <v>p.persica_gdr_reftransV1_0012682</v>
      </c>
      <c r="B21457" s="2">
        <v>1333</v>
      </c>
      <c r="C21457" s="4" t="str">
        <f>HYPERLINK("http://www.uniprot.org/uniprot/M5VX56","M5VX56")</f>
        <v>M5VX56</v>
      </c>
      <c r="D21457" s="2" t="s">
        <v>16011</v>
      </c>
      <c r="E21457" s="3">
        <v>5.4699999999999996E-166</v>
      </c>
      <c r="F21457" s="2">
        <v>1235</v>
      </c>
      <c r="G21457" s="2">
        <v>100</v>
      </c>
      <c r="H21457" s="2">
        <v>268</v>
      </c>
      <c r="I21457" s="2">
        <v>106</v>
      </c>
      <c r="J21457" s="2">
        <v>909</v>
      </c>
      <c r="K21457" s="2">
        <v>1</v>
      </c>
      <c r="L21457" s="2">
        <v>268</v>
      </c>
    </row>
    <row r="21458" spans="1:12" x14ac:dyDescent="0.25">
      <c r="A21458" s="4" t="str">
        <f>HYPERLINK("http://www.rosaceae.org/Prunus/Prunus_persica/p.persica_gdr_reftransV1_0013732","p.persica_gdr_reftransV1_0013732")</f>
        <v>p.persica_gdr_reftransV1_0013732</v>
      </c>
      <c r="B21458" s="2">
        <v>2699</v>
      </c>
      <c r="C21458" s="4" t="str">
        <f>HYPERLINK("http://www.uniprot.org/uniprot/M5XM74","M5XM74")</f>
        <v>M5XM74</v>
      </c>
      <c r="D21458" s="2" t="s">
        <v>15154</v>
      </c>
      <c r="E21458" s="3">
        <v>0</v>
      </c>
      <c r="F21458" s="2">
        <v>1908</v>
      </c>
      <c r="G21458" s="2">
        <v>100</v>
      </c>
      <c r="H21458" s="2">
        <v>456</v>
      </c>
      <c r="I21458" s="2">
        <v>726</v>
      </c>
      <c r="J21458" s="2">
        <v>2093</v>
      </c>
      <c r="K21458" s="2">
        <v>110</v>
      </c>
      <c r="L21458" s="2">
        <v>565</v>
      </c>
    </row>
    <row r="21459" spans="1:12" x14ac:dyDescent="0.25">
      <c r="A21459" s="4" t="str">
        <f>HYPERLINK("http://www.rosaceae.org/Prunus/Prunus_persica/p.persica_gdr_reftransV1_0015482","p.persica_gdr_reftransV1_0015482")</f>
        <v>p.persica_gdr_reftransV1_0015482</v>
      </c>
      <c r="B21459" s="2">
        <v>3129</v>
      </c>
      <c r="C21459" s="4" t="str">
        <f>HYPERLINK("http://www.uniprot.org/uniprot/F6HLP1","F6HLP1")</f>
        <v>F6HLP1</v>
      </c>
      <c r="D21459" s="2" t="s">
        <v>16012</v>
      </c>
      <c r="E21459" s="3">
        <v>0</v>
      </c>
      <c r="F21459" s="2">
        <v>2319</v>
      </c>
      <c r="G21459" s="2">
        <v>77</v>
      </c>
      <c r="H21459" s="2">
        <v>556</v>
      </c>
      <c r="I21459" s="2">
        <v>1</v>
      </c>
      <c r="J21459" s="2">
        <v>1668</v>
      </c>
      <c r="K21459" s="2">
        <v>223</v>
      </c>
      <c r="L21459" s="2">
        <v>778</v>
      </c>
    </row>
    <row r="21460" spans="1:12" x14ac:dyDescent="0.25">
      <c r="A21460" s="4" t="str">
        <f>HYPERLINK("http://www.rosaceae.org/Prunus/Prunus_persica/p.persica_gdr_reftransV1_0015832","p.persica_gdr_reftransV1_0015832")</f>
        <v>p.persica_gdr_reftransV1_0015832</v>
      </c>
      <c r="B21460" s="2">
        <v>1397</v>
      </c>
      <c r="C21460" s="4" t="str">
        <f>HYPERLINK("http://www.uniprot.org/uniprot/M5WBP3","M5WBP3")</f>
        <v>M5WBP3</v>
      </c>
      <c r="D21460" s="2" t="s">
        <v>16013</v>
      </c>
      <c r="E21460" s="3">
        <v>1.97E-70</v>
      </c>
      <c r="F21460" s="2">
        <v>599</v>
      </c>
      <c r="G21460" s="2">
        <v>100</v>
      </c>
      <c r="H21460" s="2">
        <v>111</v>
      </c>
      <c r="I21460" s="2">
        <v>377</v>
      </c>
      <c r="J21460" s="2">
        <v>709</v>
      </c>
      <c r="K21460" s="2">
        <v>132</v>
      </c>
      <c r="L21460" s="2">
        <v>242</v>
      </c>
    </row>
    <row r="21461" spans="1:12" x14ac:dyDescent="0.25">
      <c r="A21461" s="4" t="str">
        <f>HYPERLINK("http://www.rosaceae.org/Prunus/Prunus_persica/p.persica_gdr_reftransV1_0016532","p.persica_gdr_reftransV1_0016532")</f>
        <v>p.persica_gdr_reftransV1_0016532</v>
      </c>
      <c r="B21461" s="2">
        <v>2770</v>
      </c>
      <c r="C21461" s="4" t="str">
        <f>HYPERLINK("http://www.uniprot.org/uniprot/M5WH73","M5WH73")</f>
        <v>M5WH73</v>
      </c>
      <c r="D21461" s="2" t="s">
        <v>13049</v>
      </c>
      <c r="E21461" s="3">
        <v>0</v>
      </c>
      <c r="F21461" s="2">
        <v>2608</v>
      </c>
      <c r="G21461" s="2">
        <v>94</v>
      </c>
      <c r="H21461" s="2">
        <v>527</v>
      </c>
      <c r="I21461" s="2">
        <v>255</v>
      </c>
      <c r="J21461" s="2">
        <v>1832</v>
      </c>
      <c r="K21461" s="2">
        <v>78</v>
      </c>
      <c r="L21461" s="2">
        <v>577</v>
      </c>
    </row>
    <row r="21462" spans="1:12" x14ac:dyDescent="0.25">
      <c r="A21462" s="4" t="str">
        <f>HYPERLINK("http://www.rosaceae.org/Prunus/Prunus_persica/p.persica_gdr_reftransV1_0016882","p.persica_gdr_reftransV1_0016882")</f>
        <v>p.persica_gdr_reftransV1_0016882</v>
      </c>
      <c r="B21462" s="2">
        <v>1625</v>
      </c>
      <c r="C21462" s="4" t="str">
        <f>HYPERLINK("http://www.uniprot.org/uniprot/Q283Q1","Q283Q1")</f>
        <v>Q283Q1</v>
      </c>
      <c r="D21462" s="2" t="s">
        <v>16014</v>
      </c>
      <c r="E21462" s="3">
        <v>4.1099999999999998E-101</v>
      </c>
      <c r="F21462" s="2">
        <v>707</v>
      </c>
      <c r="G21462" s="2">
        <v>91</v>
      </c>
      <c r="H21462" s="2">
        <v>146</v>
      </c>
      <c r="I21462" s="2">
        <v>1</v>
      </c>
      <c r="J21462" s="2">
        <v>438</v>
      </c>
      <c r="K21462" s="2">
        <v>1</v>
      </c>
      <c r="L21462" s="2">
        <v>146</v>
      </c>
    </row>
    <row r="21463" spans="1:12" x14ac:dyDescent="0.25">
      <c r="A21463" s="4" t="str">
        <f>HYPERLINK("http://www.rosaceae.org/Prunus/Prunus_persica/p.persica_gdr_reftransV1_0017232","p.persica_gdr_reftransV1_0017232")</f>
        <v>p.persica_gdr_reftransV1_0017232</v>
      </c>
      <c r="B21463" s="2">
        <v>2515</v>
      </c>
      <c r="C21463" s="4" t="str">
        <f>HYPERLINK("http://www.uniprot.org/uniprot/M5XGB4","M5XGB4")</f>
        <v>M5XGB4</v>
      </c>
      <c r="D21463" s="2" t="s">
        <v>16015</v>
      </c>
      <c r="E21463" s="3">
        <v>0</v>
      </c>
      <c r="F21463" s="2">
        <v>2485</v>
      </c>
      <c r="G21463" s="2">
        <v>100</v>
      </c>
      <c r="H21463" s="2">
        <v>473</v>
      </c>
      <c r="I21463" s="2">
        <v>125</v>
      </c>
      <c r="J21463" s="2">
        <v>1543</v>
      </c>
      <c r="K21463" s="2">
        <v>1</v>
      </c>
      <c r="L21463" s="2">
        <v>473</v>
      </c>
    </row>
    <row r="21464" spans="1:12" x14ac:dyDescent="0.25">
      <c r="A21464" s="4" t="str">
        <f>HYPERLINK("http://www.rosaceae.org/Prunus/Prunus_persica/p.persica_gdr_reftransV1_0017582","p.persica_gdr_reftransV1_0017582")</f>
        <v>p.persica_gdr_reftransV1_0017582</v>
      </c>
      <c r="B21464" s="2">
        <v>1630</v>
      </c>
      <c r="C21464" s="4" t="str">
        <f>HYPERLINK("http://www.uniprot.org/uniprot/M5VR61","M5VR61")</f>
        <v>M5VR61</v>
      </c>
      <c r="D21464" s="2" t="s">
        <v>16016</v>
      </c>
      <c r="E21464" s="3">
        <v>9.9999999999999998E-86</v>
      </c>
      <c r="F21464" s="2">
        <v>703</v>
      </c>
      <c r="G21464" s="2">
        <v>100</v>
      </c>
      <c r="H21464" s="2">
        <v>149</v>
      </c>
      <c r="I21464" s="2">
        <v>862</v>
      </c>
      <c r="J21464" s="2">
        <v>1308</v>
      </c>
      <c r="K21464" s="2">
        <v>37</v>
      </c>
      <c r="L21464" s="2">
        <v>185</v>
      </c>
    </row>
    <row r="21465" spans="1:12" x14ac:dyDescent="0.25">
      <c r="A21465" s="4" t="str">
        <f>HYPERLINK("http://www.rosaceae.org/Prunus/Prunus_persica/p.persica_gdr_reftransV1_0017932","p.persica_gdr_reftransV1_0017932")</f>
        <v>p.persica_gdr_reftransV1_0017932</v>
      </c>
      <c r="B21465" s="2">
        <v>1988</v>
      </c>
      <c r="C21465" s="4" t="str">
        <f>HYPERLINK("http://www.uniprot.org/uniprot/M5XEE7","M5XEE7")</f>
        <v>M5XEE7</v>
      </c>
      <c r="D21465" s="2" t="s">
        <v>16017</v>
      </c>
      <c r="E21465" s="3">
        <v>2.1600000000000001E-168</v>
      </c>
      <c r="F21465" s="2">
        <v>1278</v>
      </c>
      <c r="G21465" s="2">
        <v>100</v>
      </c>
      <c r="H21465" s="2">
        <v>321</v>
      </c>
      <c r="I21465" s="2">
        <v>733</v>
      </c>
      <c r="J21465" s="2">
        <v>1695</v>
      </c>
      <c r="K21465" s="2">
        <v>1</v>
      </c>
      <c r="L21465" s="2">
        <v>321</v>
      </c>
    </row>
    <row r="21466" spans="1:12" x14ac:dyDescent="0.25">
      <c r="A21466" s="4" t="str">
        <f>HYPERLINK("http://www.rosaceae.org/Prunus/Prunus_persica/p.persica_gdr_reftransV1_0018282","p.persica_gdr_reftransV1_0018282")</f>
        <v>p.persica_gdr_reftransV1_0018282</v>
      </c>
      <c r="B21466" s="2">
        <v>1583</v>
      </c>
      <c r="C21466" s="4" t="str">
        <f>HYPERLINK("http://www.uniprot.org/uniprot/M5WB68","M5WB68")</f>
        <v>M5WB68</v>
      </c>
      <c r="D21466" s="2" t="s">
        <v>16018</v>
      </c>
      <c r="E21466" s="3">
        <v>0</v>
      </c>
      <c r="F21466" s="2">
        <v>1691</v>
      </c>
      <c r="G21466" s="2">
        <v>100</v>
      </c>
      <c r="H21466" s="2">
        <v>323</v>
      </c>
      <c r="I21466" s="2">
        <v>152</v>
      </c>
      <c r="J21466" s="2">
        <v>1120</v>
      </c>
      <c r="K21466" s="2">
        <v>1</v>
      </c>
      <c r="L21466" s="2">
        <v>323</v>
      </c>
    </row>
    <row r="21467" spans="1:12" x14ac:dyDescent="0.25">
      <c r="A21467" s="4" t="str">
        <f>HYPERLINK("http://www.rosaceae.org/Prunus/Prunus_persica/p.persica_gdr_reftransV1_0020032","p.persica_gdr_reftransV1_0020032")</f>
        <v>p.persica_gdr_reftransV1_0020032</v>
      </c>
      <c r="B21467" s="2">
        <v>1899</v>
      </c>
      <c r="C21467" s="4" t="str">
        <f>HYPERLINK("http://www.uniprot.org/uniprot/M5X9R3","M5X9R3")</f>
        <v>M5X9R3</v>
      </c>
      <c r="D21467" s="2" t="s">
        <v>16019</v>
      </c>
      <c r="E21467" s="3">
        <v>0</v>
      </c>
      <c r="F21467" s="2">
        <v>1572</v>
      </c>
      <c r="G21467" s="2">
        <v>100</v>
      </c>
      <c r="H21467" s="2">
        <v>321</v>
      </c>
      <c r="I21467" s="2">
        <v>371</v>
      </c>
      <c r="J21467" s="2">
        <v>1333</v>
      </c>
      <c r="K21467" s="2">
        <v>1</v>
      </c>
      <c r="L21467" s="2">
        <v>321</v>
      </c>
    </row>
    <row r="21468" spans="1:12" x14ac:dyDescent="0.25">
      <c r="A21468" s="4" t="str">
        <f>HYPERLINK("http://www.rosaceae.org/Prunus/Prunus_persica/p.persica_gdr_reftransV1_0020732","p.persica_gdr_reftransV1_0020732")</f>
        <v>p.persica_gdr_reftransV1_0020732</v>
      </c>
      <c r="B21468" s="2">
        <v>1503</v>
      </c>
      <c r="C21468" s="4" t="str">
        <f>HYPERLINK("http://www.uniprot.org/uniprot/M5XD98","M5XD98")</f>
        <v>M5XD98</v>
      </c>
      <c r="D21468" s="2" t="s">
        <v>16020</v>
      </c>
      <c r="E21468" s="3">
        <v>3.9400000000000002E-170</v>
      </c>
      <c r="F21468" s="2">
        <v>1266</v>
      </c>
      <c r="G21468" s="2">
        <v>100</v>
      </c>
      <c r="H21468" s="2">
        <v>234</v>
      </c>
      <c r="I21468" s="2">
        <v>381</v>
      </c>
      <c r="J21468" s="2">
        <v>1082</v>
      </c>
      <c r="K21468" s="2">
        <v>1</v>
      </c>
      <c r="L21468" s="2">
        <v>234</v>
      </c>
    </row>
    <row r="21469" spans="1:12" x14ac:dyDescent="0.25">
      <c r="A21469" s="4" t="str">
        <f>HYPERLINK("http://www.rosaceae.org/Prunus/Prunus_persica/p.persica_gdr_reftransV1_0021082","p.persica_gdr_reftransV1_0021082")</f>
        <v>p.persica_gdr_reftransV1_0021082</v>
      </c>
      <c r="B21469" s="2">
        <v>964</v>
      </c>
      <c r="C21469" s="4" t="str">
        <f>HYPERLINK("http://www.uniprot.org/uniprot/M5W8A3","M5W8A3")</f>
        <v>M5W8A3</v>
      </c>
      <c r="D21469" s="2" t="s">
        <v>7663</v>
      </c>
      <c r="E21469" s="3">
        <v>1.1E-144</v>
      </c>
      <c r="F21469" s="2">
        <v>1128</v>
      </c>
      <c r="G21469" s="2">
        <v>98</v>
      </c>
      <c r="H21469" s="2">
        <v>220</v>
      </c>
      <c r="I21469" s="2">
        <v>311</v>
      </c>
      <c r="J21469" s="2">
        <v>964</v>
      </c>
      <c r="K21469" s="2">
        <v>34</v>
      </c>
      <c r="L21469" s="2">
        <v>253</v>
      </c>
    </row>
    <row r="21470" spans="1:12" x14ac:dyDescent="0.25">
      <c r="A21470" s="4" t="str">
        <f>HYPERLINK("http://www.rosaceae.org/Prunus/Prunus_persica/p.persica_gdr_reftransV1_0022132","p.persica_gdr_reftransV1_0022132")</f>
        <v>p.persica_gdr_reftransV1_0022132</v>
      </c>
      <c r="B21470" s="2">
        <v>949</v>
      </c>
      <c r="C21470" s="4" t="str">
        <f>HYPERLINK("http://www.uniprot.org/uniprot/M5XDN8","M5XDN8")</f>
        <v>M5XDN8</v>
      </c>
      <c r="D21470" s="2" t="s">
        <v>3643</v>
      </c>
      <c r="E21470" s="3">
        <v>3.0900000000000001E-142</v>
      </c>
      <c r="F21470" s="2">
        <v>1060</v>
      </c>
      <c r="G21470" s="2">
        <v>100</v>
      </c>
      <c r="H21470" s="2">
        <v>216</v>
      </c>
      <c r="I21470" s="2">
        <v>91</v>
      </c>
      <c r="J21470" s="2">
        <v>738</v>
      </c>
      <c r="K21470" s="2">
        <v>8</v>
      </c>
      <c r="L21470" s="2">
        <v>223</v>
      </c>
    </row>
    <row r="21471" spans="1:12" x14ac:dyDescent="0.25">
      <c r="A21471" s="4" t="str">
        <f>HYPERLINK("http://www.rosaceae.org/Prunus/Prunus_persica/p.persica_gdr_reftransV1_0025282","p.persica_gdr_reftransV1_0025282")</f>
        <v>p.persica_gdr_reftransV1_0025282</v>
      </c>
      <c r="B21471" s="2">
        <v>2306</v>
      </c>
      <c r="C21471" s="4" t="str">
        <f>HYPERLINK("http://www.uniprot.org/uniprot/M5XP38","M5XP38")</f>
        <v>M5XP38</v>
      </c>
      <c r="D21471" s="2" t="s">
        <v>16021</v>
      </c>
      <c r="E21471" s="3">
        <v>5.3100000000000001E-126</v>
      </c>
      <c r="F21471" s="2">
        <v>1001</v>
      </c>
      <c r="G21471" s="2">
        <v>100</v>
      </c>
      <c r="H21471" s="2">
        <v>193</v>
      </c>
      <c r="I21471" s="2">
        <v>1634</v>
      </c>
      <c r="J21471" s="2">
        <v>2212</v>
      </c>
      <c r="K21471" s="2">
        <v>1</v>
      </c>
      <c r="L21471" s="2">
        <v>193</v>
      </c>
    </row>
    <row r="21472" spans="1:12" x14ac:dyDescent="0.25">
      <c r="A21472" s="4" t="str">
        <f>HYPERLINK("http://www.rosaceae.org/Prunus/Prunus_persica/p.persica_gdr_reftransV1_0025632","p.persica_gdr_reftransV1_0025632")</f>
        <v>p.persica_gdr_reftransV1_0025632</v>
      </c>
      <c r="B21472" s="2">
        <v>2631</v>
      </c>
      <c r="C21472" s="4" t="str">
        <f>HYPERLINK("http://www.uniprot.org/uniprot/M5XNY3","M5XNY3")</f>
        <v>M5XNY3</v>
      </c>
      <c r="D21472" s="2" t="s">
        <v>16022</v>
      </c>
      <c r="E21472" s="3">
        <v>0</v>
      </c>
      <c r="F21472" s="2">
        <v>1548</v>
      </c>
      <c r="G21472" s="2">
        <v>98</v>
      </c>
      <c r="H21472" s="2">
        <v>336</v>
      </c>
      <c r="I21472" s="2">
        <v>172</v>
      </c>
      <c r="J21472" s="2">
        <v>1179</v>
      </c>
      <c r="K21472" s="2">
        <v>5</v>
      </c>
      <c r="L21472" s="2">
        <v>340</v>
      </c>
    </row>
    <row r="21473" spans="1:12" x14ac:dyDescent="0.25">
      <c r="A21473" s="4" t="str">
        <f>HYPERLINK("http://www.rosaceae.org/Prunus/Prunus_persica/p.persica_gdr_reftransV1_0028082","p.persica_gdr_reftransV1_0028082")</f>
        <v>p.persica_gdr_reftransV1_0028082</v>
      </c>
      <c r="B21473" s="2">
        <v>6563</v>
      </c>
      <c r="C21473" s="4" t="str">
        <f>HYPERLINK("http://www.uniprot.org/uniprot/M5VMK3","M5VMK3")</f>
        <v>M5VMK3</v>
      </c>
      <c r="D21473" s="2" t="s">
        <v>16023</v>
      </c>
      <c r="E21473" s="3">
        <v>0</v>
      </c>
      <c r="F21473" s="2">
        <v>5913</v>
      </c>
      <c r="G21473" s="2">
        <v>99</v>
      </c>
      <c r="H21473" s="2">
        <v>1273</v>
      </c>
      <c r="I21473" s="2">
        <v>232</v>
      </c>
      <c r="J21473" s="2">
        <v>4050</v>
      </c>
      <c r="K21473" s="2">
        <v>2</v>
      </c>
      <c r="L21473" s="2">
        <v>1263</v>
      </c>
    </row>
    <row r="21474" spans="1:12" x14ac:dyDescent="0.25">
      <c r="A21474" s="4" t="str">
        <f>HYPERLINK("http://www.rosaceae.org/Prunus/Prunus_persica/p.persica_gdr_reftransV1_0028432","p.persica_gdr_reftransV1_0028432")</f>
        <v>p.persica_gdr_reftransV1_0028432</v>
      </c>
      <c r="B21474" s="2">
        <v>2901</v>
      </c>
      <c r="C21474" s="4" t="str">
        <f>HYPERLINK("http://www.uniprot.org/uniprot/M5XM20","M5XM20")</f>
        <v>M5XM20</v>
      </c>
      <c r="D21474" s="2" t="s">
        <v>6075</v>
      </c>
      <c r="E21474" s="3">
        <v>0</v>
      </c>
      <c r="F21474" s="2">
        <v>4504</v>
      </c>
      <c r="G21474" s="2">
        <v>97</v>
      </c>
      <c r="H21474" s="2">
        <v>884</v>
      </c>
      <c r="I21474" s="2">
        <v>1</v>
      </c>
      <c r="J21474" s="2">
        <v>2652</v>
      </c>
      <c r="K21474" s="2">
        <v>241</v>
      </c>
      <c r="L21474" s="2">
        <v>1096</v>
      </c>
    </row>
    <row r="21475" spans="1:12" x14ac:dyDescent="0.25">
      <c r="A21475" s="4" t="str">
        <f>HYPERLINK("http://www.rosaceae.org/Prunus/Prunus_persica/p.persica_gdr_reftransV1_0028782","p.persica_gdr_reftransV1_0028782")</f>
        <v>p.persica_gdr_reftransV1_0028782</v>
      </c>
      <c r="B21475" s="2">
        <v>3772</v>
      </c>
      <c r="C21475" s="4" t="str">
        <f>HYPERLINK("http://www.uniprot.org/uniprot/M5XK82","M5XK82")</f>
        <v>M5XK82</v>
      </c>
      <c r="D21475" s="2" t="s">
        <v>3929</v>
      </c>
      <c r="E21475" s="3">
        <v>5.5800000000000002E-49</v>
      </c>
      <c r="F21475" s="2">
        <v>476</v>
      </c>
      <c r="G21475" s="2">
        <v>100</v>
      </c>
      <c r="H21475" s="2">
        <v>112</v>
      </c>
      <c r="I21475" s="2">
        <v>2830</v>
      </c>
      <c r="J21475" s="2">
        <v>3165</v>
      </c>
      <c r="K21475" s="2">
        <v>1</v>
      </c>
      <c r="L21475" s="2">
        <v>112</v>
      </c>
    </row>
    <row r="21476" spans="1:12" x14ac:dyDescent="0.25">
      <c r="A21476" s="4" t="str">
        <f>HYPERLINK("http://www.rosaceae.org/Prunus/Prunus_persica/p.persica_gdr_reftransV1_0029132","p.persica_gdr_reftransV1_0029132")</f>
        <v>p.persica_gdr_reftransV1_0029132</v>
      </c>
      <c r="B21476" s="2">
        <v>2004</v>
      </c>
      <c r="C21476" s="4" t="str">
        <f>HYPERLINK("http://www.uniprot.org/uniprot/M5XQ40","M5XQ40")</f>
        <v>M5XQ40</v>
      </c>
      <c r="D21476" s="2" t="s">
        <v>16024</v>
      </c>
      <c r="E21476" s="3">
        <v>0</v>
      </c>
      <c r="F21476" s="2">
        <v>2049</v>
      </c>
      <c r="G21476" s="2">
        <v>100</v>
      </c>
      <c r="H21476" s="2">
        <v>423</v>
      </c>
      <c r="I21476" s="2">
        <v>75</v>
      </c>
      <c r="J21476" s="2">
        <v>1343</v>
      </c>
      <c r="K21476" s="2">
        <v>1</v>
      </c>
      <c r="L21476" s="2">
        <v>423</v>
      </c>
    </row>
    <row r="21477" spans="1:12" x14ac:dyDescent="0.25">
      <c r="A21477" s="4" t="str">
        <f>HYPERLINK("http://www.rosaceae.org/Prunus/Prunus_persica/p.persica_gdr_reftransV1_0030882","p.persica_gdr_reftransV1_0030882")</f>
        <v>p.persica_gdr_reftransV1_0030882</v>
      </c>
      <c r="B21477" s="2">
        <v>1763</v>
      </c>
      <c r="C21477" s="4" t="str">
        <f>HYPERLINK("http://www.uniprot.org/uniprot/M5WHL2","M5WHL2")</f>
        <v>M5WHL2</v>
      </c>
      <c r="D21477" s="2" t="s">
        <v>16025</v>
      </c>
      <c r="E21477" s="3">
        <v>0</v>
      </c>
      <c r="F21477" s="2">
        <v>1600</v>
      </c>
      <c r="G21477" s="2">
        <v>88</v>
      </c>
      <c r="H21477" s="2">
        <v>374</v>
      </c>
      <c r="I21477" s="2">
        <v>471</v>
      </c>
      <c r="J21477" s="2">
        <v>1592</v>
      </c>
      <c r="K21477" s="2">
        <v>1</v>
      </c>
      <c r="L21477" s="2">
        <v>328</v>
      </c>
    </row>
    <row r="21478" spans="1:12" x14ac:dyDescent="0.25">
      <c r="A21478" s="4" t="str">
        <f>HYPERLINK("http://www.rosaceae.org/Prunus/Prunus_persica/p.persica_gdr_reftransV1_0032982","p.persica_gdr_reftransV1_0032982")</f>
        <v>p.persica_gdr_reftransV1_0032982</v>
      </c>
      <c r="B21478" s="2">
        <v>4799</v>
      </c>
      <c r="C21478" s="4" t="str">
        <f>HYPERLINK("http://www.uniprot.org/uniprot/M5XS88","M5XS88")</f>
        <v>M5XS88</v>
      </c>
      <c r="D21478" s="2" t="s">
        <v>2297</v>
      </c>
      <c r="E21478" s="3">
        <v>0</v>
      </c>
      <c r="F21478" s="2">
        <v>4165</v>
      </c>
      <c r="G21478" s="2">
        <v>93</v>
      </c>
      <c r="H21478" s="2">
        <v>946</v>
      </c>
      <c r="I21478" s="2">
        <v>204</v>
      </c>
      <c r="J21478" s="2">
        <v>3041</v>
      </c>
      <c r="K21478" s="2">
        <v>50</v>
      </c>
      <c r="L21478" s="2">
        <v>933</v>
      </c>
    </row>
    <row r="21479" spans="1:12" x14ac:dyDescent="0.25">
      <c r="A21479" s="4" t="str">
        <f>HYPERLINK("http://www.rosaceae.org/Prunus/Prunus_persica/p.persica_gdr_reftransV1_0034382","p.persica_gdr_reftransV1_0034382")</f>
        <v>p.persica_gdr_reftransV1_0034382</v>
      </c>
      <c r="B21479" s="2">
        <v>920</v>
      </c>
      <c r="C21479" s="4" t="str">
        <f>HYPERLINK("http://www.uniprot.org/uniprot/M5XRF9","M5XRF9")</f>
        <v>M5XRF9</v>
      </c>
      <c r="D21479" s="2" t="s">
        <v>623</v>
      </c>
      <c r="E21479" s="3">
        <v>4.3700000000000001E-142</v>
      </c>
      <c r="F21479" s="2">
        <v>1059</v>
      </c>
      <c r="G21479" s="2">
        <v>100</v>
      </c>
      <c r="H21479" s="2">
        <v>201</v>
      </c>
      <c r="I21479" s="2">
        <v>2</v>
      </c>
      <c r="J21479" s="2">
        <v>604</v>
      </c>
      <c r="K21479" s="2">
        <v>34</v>
      </c>
      <c r="L21479" s="2">
        <v>234</v>
      </c>
    </row>
    <row r="21480" spans="1:12" x14ac:dyDescent="0.25">
      <c r="A21480" s="4" t="str">
        <f>HYPERLINK("http://www.rosaceae.org/Prunus/Prunus_persica/p.persica_gdr_reftransV1_0034732","p.persica_gdr_reftransV1_0034732")</f>
        <v>p.persica_gdr_reftransV1_0034732</v>
      </c>
      <c r="B21480" s="2">
        <v>1556</v>
      </c>
      <c r="C21480" s="4" t="str">
        <f>HYPERLINK("http://www.uniprot.org/uniprot/M5XD23","M5XD23")</f>
        <v>M5XD23</v>
      </c>
      <c r="D21480" s="2" t="s">
        <v>14010</v>
      </c>
      <c r="E21480" s="3">
        <v>1.7799999999999999E-140</v>
      </c>
      <c r="F21480" s="2">
        <v>1080</v>
      </c>
      <c r="G21480" s="2">
        <v>99</v>
      </c>
      <c r="H21480" s="2">
        <v>204</v>
      </c>
      <c r="I21480" s="2">
        <v>802</v>
      </c>
      <c r="J21480" s="2">
        <v>1413</v>
      </c>
      <c r="K21480" s="2">
        <v>21</v>
      </c>
      <c r="L21480" s="2">
        <v>224</v>
      </c>
    </row>
    <row r="21481" spans="1:12" x14ac:dyDescent="0.25">
      <c r="A21481" s="4" t="str">
        <f>HYPERLINK("http://www.rosaceae.org/Prunus/Prunus_persica/p.persica_gdr_reftransV1_0035082","p.persica_gdr_reftransV1_0035082")</f>
        <v>p.persica_gdr_reftransV1_0035082</v>
      </c>
      <c r="B21481" s="2">
        <v>1681</v>
      </c>
      <c r="C21481" s="4" t="str">
        <f>HYPERLINK("http://www.uniprot.org/uniprot/M5XN19","M5XN19")</f>
        <v>M5XN19</v>
      </c>
      <c r="D21481" s="2" t="s">
        <v>16026</v>
      </c>
      <c r="E21481" s="3">
        <v>0</v>
      </c>
      <c r="F21481" s="2">
        <v>1476</v>
      </c>
      <c r="G21481" s="2">
        <v>90</v>
      </c>
      <c r="H21481" s="2">
        <v>314</v>
      </c>
      <c r="I21481" s="2">
        <v>273</v>
      </c>
      <c r="J21481" s="2">
        <v>1214</v>
      </c>
      <c r="K21481" s="2">
        <v>1</v>
      </c>
      <c r="L21481" s="2">
        <v>285</v>
      </c>
    </row>
    <row r="21482" spans="1:12" x14ac:dyDescent="0.25">
      <c r="A21482" s="4" t="str">
        <f>HYPERLINK("http://www.rosaceae.org/Prunus/Prunus_persica/p.persica_gdr_reftransV1_0036132","p.persica_gdr_reftransV1_0036132")</f>
        <v>p.persica_gdr_reftransV1_0036132</v>
      </c>
      <c r="B21482" s="2">
        <v>1648</v>
      </c>
      <c r="C21482" s="4" t="str">
        <f>HYPERLINK("http://www.uniprot.org/uniprot/M5WBE5","M5WBE5")</f>
        <v>M5WBE5</v>
      </c>
      <c r="D21482" s="2" t="s">
        <v>16027</v>
      </c>
      <c r="E21482" s="3">
        <v>0</v>
      </c>
      <c r="F21482" s="2">
        <v>1671</v>
      </c>
      <c r="G21482" s="2">
        <v>100</v>
      </c>
      <c r="H21482" s="2">
        <v>369</v>
      </c>
      <c r="I21482" s="2">
        <v>388</v>
      </c>
      <c r="J21482" s="2">
        <v>1494</v>
      </c>
      <c r="K21482" s="2">
        <v>1</v>
      </c>
      <c r="L21482" s="2">
        <v>369</v>
      </c>
    </row>
    <row r="21483" spans="1:12" x14ac:dyDescent="0.25">
      <c r="A21483" s="4" t="str">
        <f>HYPERLINK("http://www.rosaceae.org/Prunus/Prunus_persica/p.persica_gdr_reftransV1_0037182","p.persica_gdr_reftransV1_0037182")</f>
        <v>p.persica_gdr_reftransV1_0037182</v>
      </c>
      <c r="B21483" s="2">
        <v>1653</v>
      </c>
      <c r="C21483" s="4" t="str">
        <f>HYPERLINK("http://www.uniprot.org/uniprot/M5WDL7","M5WDL7")</f>
        <v>M5WDL7</v>
      </c>
      <c r="D21483" s="2" t="s">
        <v>1117</v>
      </c>
      <c r="E21483" s="3">
        <v>1.5600000000000001E-143</v>
      </c>
      <c r="F21483" s="2">
        <v>1112</v>
      </c>
      <c r="G21483" s="2">
        <v>79</v>
      </c>
      <c r="H21483" s="2">
        <v>284</v>
      </c>
      <c r="I21483" s="2">
        <v>207</v>
      </c>
      <c r="J21483" s="2">
        <v>878</v>
      </c>
      <c r="K21483" s="2">
        <v>136</v>
      </c>
      <c r="L21483" s="2">
        <v>419</v>
      </c>
    </row>
    <row r="21484" spans="1:12" x14ac:dyDescent="0.25">
      <c r="A21484" s="4" t="str">
        <f>HYPERLINK("http://www.rosaceae.org/Prunus/Prunus_persica/p.persica_gdr_reftransV1_0040332","p.persica_gdr_reftransV1_0040332")</f>
        <v>p.persica_gdr_reftransV1_0040332</v>
      </c>
      <c r="B21484" s="2">
        <v>794</v>
      </c>
      <c r="C21484" s="4" t="str">
        <f>HYPERLINK("http://www.uniprot.org/uniprot/M5XFY4","M5XFY4")</f>
        <v>M5XFY4</v>
      </c>
      <c r="D21484" s="2" t="s">
        <v>16028</v>
      </c>
      <c r="E21484" s="3">
        <v>9.1299999999999997E-79</v>
      </c>
      <c r="F21484" s="2">
        <v>627</v>
      </c>
      <c r="G21484" s="2">
        <v>99</v>
      </c>
      <c r="H21484" s="2">
        <v>134</v>
      </c>
      <c r="I21484" s="2">
        <v>198</v>
      </c>
      <c r="J21484" s="2">
        <v>599</v>
      </c>
      <c r="K21484" s="2">
        <v>1</v>
      </c>
      <c r="L21484" s="2">
        <v>134</v>
      </c>
    </row>
    <row r="21485" spans="1:12" x14ac:dyDescent="0.25">
      <c r="A21485" s="4" t="str">
        <f>HYPERLINK("http://www.rosaceae.org/Prunus/Prunus_persica/p.persica_gdr_reftransV1_0040682","p.persica_gdr_reftransV1_0040682")</f>
        <v>p.persica_gdr_reftransV1_0040682</v>
      </c>
      <c r="B21485" s="2">
        <v>1991</v>
      </c>
      <c r="C21485" s="4" t="str">
        <f>HYPERLINK("http://www.uniprot.org/uniprot/M5XDK0","M5XDK0")</f>
        <v>M5XDK0</v>
      </c>
      <c r="D21485" s="2" t="s">
        <v>16029</v>
      </c>
      <c r="E21485" s="3">
        <v>4.4199999999999998E-130</v>
      </c>
      <c r="F21485" s="2">
        <v>1031</v>
      </c>
      <c r="G21485" s="2">
        <v>98</v>
      </c>
      <c r="H21485" s="2">
        <v>257</v>
      </c>
      <c r="I21485" s="2">
        <v>275</v>
      </c>
      <c r="J21485" s="2">
        <v>1045</v>
      </c>
      <c r="K21485" s="2">
        <v>1</v>
      </c>
      <c r="L21485" s="2">
        <v>252</v>
      </c>
    </row>
    <row r="21486" spans="1:12" x14ac:dyDescent="0.25">
      <c r="A21486" s="4" t="str">
        <f>HYPERLINK("http://www.rosaceae.org/Prunus/Prunus_persica/p.persica_gdr_reftransV1_0042432","p.persica_gdr_reftransV1_0042432")</f>
        <v>p.persica_gdr_reftransV1_0042432</v>
      </c>
      <c r="B21486" s="2">
        <v>739</v>
      </c>
      <c r="C21486" s="4" t="str">
        <f>HYPERLINK("http://www.uniprot.org/uniprot/K4C9U5","K4C9U5")</f>
        <v>K4C9U5</v>
      </c>
      <c r="D21486" s="2" t="s">
        <v>5873</v>
      </c>
      <c r="E21486" s="3">
        <v>5.2400000000000001E-57</v>
      </c>
      <c r="F21486" s="2">
        <v>481</v>
      </c>
      <c r="G21486" s="2">
        <v>100</v>
      </c>
      <c r="H21486" s="2">
        <v>91</v>
      </c>
      <c r="I21486" s="2">
        <v>263</v>
      </c>
      <c r="J21486" s="2">
        <v>535</v>
      </c>
      <c r="K21486" s="2">
        <v>56</v>
      </c>
      <c r="L21486" s="2">
        <v>146</v>
      </c>
    </row>
    <row r="21487" spans="1:12" x14ac:dyDescent="0.25">
      <c r="A21487" s="4" t="str">
        <f>HYPERLINK("http://www.rosaceae.org/Prunus/Prunus_persica/p.persica_gdr_reftransV1_0043482","p.persica_gdr_reftransV1_0043482")</f>
        <v>p.persica_gdr_reftransV1_0043482</v>
      </c>
      <c r="B21487" s="2">
        <v>356</v>
      </c>
      <c r="C21487" s="4" t="str">
        <f>HYPERLINK("http://www.uniprot.org/uniprot/V4T8K9","V4T8K9")</f>
        <v>V4T8K9</v>
      </c>
      <c r="D21487" s="2" t="s">
        <v>16030</v>
      </c>
      <c r="E21487" s="3">
        <v>1.3300000000000001E-7</v>
      </c>
      <c r="F21487" s="2">
        <v>131</v>
      </c>
      <c r="G21487" s="2">
        <v>59</v>
      </c>
      <c r="H21487" s="2">
        <v>39</v>
      </c>
      <c r="I21487" s="2">
        <v>40</v>
      </c>
      <c r="J21487" s="2">
        <v>156</v>
      </c>
      <c r="K21487" s="2">
        <v>42</v>
      </c>
      <c r="L21487" s="2">
        <v>80</v>
      </c>
    </row>
    <row r="21488" spans="1:12" x14ac:dyDescent="0.25">
      <c r="A21488" s="4" t="str">
        <f>HYPERLINK("http://www.rosaceae.org/Prunus/Prunus_persica/p.persica_gdr_reftransV1_0043832","p.persica_gdr_reftransV1_0043832")</f>
        <v>p.persica_gdr_reftransV1_0043832</v>
      </c>
      <c r="B21488" s="2">
        <v>389</v>
      </c>
      <c r="C21488" s="4" t="str">
        <f>HYPERLINK("http://www.uniprot.org/uniprot/M5W1C5","M5W1C5")</f>
        <v>M5W1C5</v>
      </c>
      <c r="D21488" s="2" t="s">
        <v>5921</v>
      </c>
      <c r="E21488" s="3">
        <v>9.2100000000000004E-79</v>
      </c>
      <c r="F21488" s="2">
        <v>671</v>
      </c>
      <c r="G21488" s="2">
        <v>100</v>
      </c>
      <c r="H21488" s="2">
        <v>129</v>
      </c>
      <c r="I21488" s="2">
        <v>3</v>
      </c>
      <c r="J21488" s="2">
        <v>389</v>
      </c>
      <c r="K21488" s="2">
        <v>135</v>
      </c>
      <c r="L21488" s="2">
        <v>263</v>
      </c>
    </row>
    <row r="21489" spans="1:12" x14ac:dyDescent="0.25">
      <c r="A21489" s="4" t="str">
        <f>HYPERLINK("http://www.rosaceae.org/Prunus/Prunus_persica/p.persica_gdr_reftransV1_0044532","p.persica_gdr_reftransV1_0044532")</f>
        <v>p.persica_gdr_reftransV1_0044532</v>
      </c>
      <c r="B21489" s="2">
        <v>537</v>
      </c>
      <c r="C21489" s="4" t="str">
        <f>HYPERLINK("http://www.uniprot.org/uniprot/M5VUX2","M5VUX2")</f>
        <v>M5VUX2</v>
      </c>
      <c r="D21489" s="2" t="s">
        <v>9316</v>
      </c>
      <c r="E21489" s="3">
        <v>6.6800000000000002E-92</v>
      </c>
      <c r="F21489" s="2">
        <v>737</v>
      </c>
      <c r="G21489" s="2">
        <v>100</v>
      </c>
      <c r="H21489" s="2">
        <v>138</v>
      </c>
      <c r="I21489" s="2">
        <v>123</v>
      </c>
      <c r="J21489" s="2">
        <v>536</v>
      </c>
      <c r="K21489" s="2">
        <v>1</v>
      </c>
      <c r="L21489" s="2">
        <v>138</v>
      </c>
    </row>
    <row r="21490" spans="1:12" x14ac:dyDescent="0.25">
      <c r="A21490" s="4" t="str">
        <f>HYPERLINK("http://www.rosaceae.org/Prunus/Prunus_persica/p.persica_gdr_reftransV1_0045232","p.persica_gdr_reftransV1_0045232")</f>
        <v>p.persica_gdr_reftransV1_0045232</v>
      </c>
      <c r="B21490" s="2">
        <v>744</v>
      </c>
      <c r="C21490" s="4" t="str">
        <f>HYPERLINK("http://www.uniprot.org/uniprot/M5VUZ1","M5VUZ1")</f>
        <v>M5VUZ1</v>
      </c>
      <c r="D21490" s="2" t="s">
        <v>543</v>
      </c>
      <c r="E21490" s="3">
        <v>1.5199999999999999E-165</v>
      </c>
      <c r="F21490" s="2">
        <v>1229</v>
      </c>
      <c r="G21490" s="2">
        <v>100</v>
      </c>
      <c r="H21490" s="2">
        <v>233</v>
      </c>
      <c r="I21490" s="2">
        <v>1</v>
      </c>
      <c r="J21490" s="2">
        <v>699</v>
      </c>
      <c r="K21490" s="2">
        <v>1</v>
      </c>
      <c r="L21490" s="2">
        <v>233</v>
      </c>
    </row>
    <row r="21491" spans="1:12" x14ac:dyDescent="0.25">
      <c r="A21491" s="4" t="str">
        <f>HYPERLINK("http://www.rosaceae.org/Prunus/Prunus_persica/p.persica_gdr_reftransV1_0045582","p.persica_gdr_reftransV1_0045582")</f>
        <v>p.persica_gdr_reftransV1_0045582</v>
      </c>
      <c r="B21491" s="2">
        <v>1096</v>
      </c>
      <c r="C21491" s="4" t="str">
        <f>HYPERLINK("http://www.uniprot.org/uniprot/M5X166","M5X166")</f>
        <v>M5X166</v>
      </c>
      <c r="D21491" s="2" t="s">
        <v>16031</v>
      </c>
      <c r="E21491" s="3">
        <v>2.0300000000000001E-112</v>
      </c>
      <c r="F21491" s="2">
        <v>865</v>
      </c>
      <c r="G21491" s="2">
        <v>100</v>
      </c>
      <c r="H21491" s="2">
        <v>166</v>
      </c>
      <c r="I21491" s="2">
        <v>72</v>
      </c>
      <c r="J21491" s="2">
        <v>569</v>
      </c>
      <c r="K21491" s="2">
        <v>1</v>
      </c>
      <c r="L21491" s="2">
        <v>166</v>
      </c>
    </row>
    <row r="21492" spans="1:12" x14ac:dyDescent="0.25">
      <c r="A21492" s="4" t="str">
        <f>HYPERLINK("http://www.rosaceae.org/Prunus/Prunus_persica/p.persica_gdr_reftransV1_0045932","p.persica_gdr_reftransV1_0045932")</f>
        <v>p.persica_gdr_reftransV1_0045932</v>
      </c>
      <c r="B21492" s="2">
        <v>818</v>
      </c>
      <c r="C21492" s="4" t="str">
        <f>HYPERLINK("http://www.uniprot.org/uniprot/M5X5C2","M5X5C2")</f>
        <v>M5X5C2</v>
      </c>
      <c r="D21492" s="2" t="s">
        <v>13733</v>
      </c>
      <c r="E21492" s="3">
        <v>2.0199999999999999E-136</v>
      </c>
      <c r="F21492" s="2">
        <v>1029</v>
      </c>
      <c r="G21492" s="2">
        <v>100</v>
      </c>
      <c r="H21492" s="2">
        <v>241</v>
      </c>
      <c r="I21492" s="2">
        <v>94</v>
      </c>
      <c r="J21492" s="2">
        <v>816</v>
      </c>
      <c r="K21492" s="2">
        <v>1</v>
      </c>
      <c r="L21492" s="2">
        <v>241</v>
      </c>
    </row>
    <row r="21493" spans="1:12" x14ac:dyDescent="0.25">
      <c r="A21493" s="4" t="str">
        <f>HYPERLINK("http://www.rosaceae.org/Prunus/Prunus_persica/p.persica_gdr_reftransV1_0046632","p.persica_gdr_reftransV1_0046632")</f>
        <v>p.persica_gdr_reftransV1_0046632</v>
      </c>
      <c r="B21493" s="2">
        <v>2291</v>
      </c>
      <c r="C21493" s="4" t="str">
        <f>HYPERLINK("http://www.uniprot.org/uniprot/M5W7C7","M5W7C7")</f>
        <v>M5W7C7</v>
      </c>
      <c r="D21493" s="2" t="s">
        <v>6931</v>
      </c>
      <c r="E21493" s="3">
        <v>0</v>
      </c>
      <c r="F21493" s="2">
        <v>1838</v>
      </c>
      <c r="G21493" s="2">
        <v>99</v>
      </c>
      <c r="H21493" s="2">
        <v>347</v>
      </c>
      <c r="I21493" s="2">
        <v>710</v>
      </c>
      <c r="J21493" s="2">
        <v>1750</v>
      </c>
      <c r="K21493" s="2">
        <v>255</v>
      </c>
      <c r="L21493" s="2">
        <v>601</v>
      </c>
    </row>
    <row r="21494" spans="1:12" x14ac:dyDescent="0.25">
      <c r="A21494" s="4" t="str">
        <f>HYPERLINK("http://www.rosaceae.org/Prunus/Prunus_persica/p.persica_gdr_reftransV1_0046982","p.persica_gdr_reftransV1_0046982")</f>
        <v>p.persica_gdr_reftransV1_0046982</v>
      </c>
      <c r="B21494" s="2">
        <v>1705</v>
      </c>
      <c r="C21494" s="4" t="str">
        <f>HYPERLINK("http://www.uniprot.org/uniprot/M5WGB1","M5WGB1")</f>
        <v>M5WGB1</v>
      </c>
      <c r="D21494" s="2" t="s">
        <v>9888</v>
      </c>
      <c r="E21494" s="3">
        <v>0</v>
      </c>
      <c r="F21494" s="2">
        <v>1498</v>
      </c>
      <c r="G21494" s="2">
        <v>95</v>
      </c>
      <c r="H21494" s="2">
        <v>330</v>
      </c>
      <c r="I21494" s="2">
        <v>93</v>
      </c>
      <c r="J21494" s="2">
        <v>1082</v>
      </c>
      <c r="K21494" s="2">
        <v>19</v>
      </c>
      <c r="L21494" s="2">
        <v>338</v>
      </c>
    </row>
    <row r="21495" spans="1:12" x14ac:dyDescent="0.25">
      <c r="A21495" s="4" t="str">
        <f>HYPERLINK("http://www.rosaceae.org/Prunus/Prunus_persica/p.persica_gdr_reftransV1_0047682","p.persica_gdr_reftransV1_0047682")</f>
        <v>p.persica_gdr_reftransV1_0047682</v>
      </c>
      <c r="B21495" s="2">
        <v>1326</v>
      </c>
      <c r="C21495" s="4" t="str">
        <f>HYPERLINK("http://www.uniprot.org/uniprot/M5W3H5","M5W3H5")</f>
        <v>M5W3H5</v>
      </c>
      <c r="D21495" s="2" t="s">
        <v>16032</v>
      </c>
      <c r="E21495" s="3">
        <v>4.3399999999999996E-168</v>
      </c>
      <c r="F21495" s="2">
        <v>1244</v>
      </c>
      <c r="G21495" s="2">
        <v>100</v>
      </c>
      <c r="H21495" s="2">
        <v>229</v>
      </c>
      <c r="I21495" s="2">
        <v>406</v>
      </c>
      <c r="J21495" s="2">
        <v>1092</v>
      </c>
      <c r="K21495" s="2">
        <v>1</v>
      </c>
      <c r="L21495" s="2">
        <v>229</v>
      </c>
    </row>
    <row r="21496" spans="1:12" x14ac:dyDescent="0.25">
      <c r="A21496" s="4" t="str">
        <f>HYPERLINK("http://www.rosaceae.org/Prunus/Prunus_persica/p.persica_gdr_reftransV1_0048032","p.persica_gdr_reftransV1_0048032")</f>
        <v>p.persica_gdr_reftransV1_0048032</v>
      </c>
      <c r="B21496" s="2">
        <v>2882</v>
      </c>
      <c r="C21496" s="4" t="str">
        <f>HYPERLINK("http://www.uniprot.org/uniprot/M5XXK9","M5XXK9")</f>
        <v>M5XXK9</v>
      </c>
      <c r="D21496" s="2" t="s">
        <v>16033</v>
      </c>
      <c r="E21496" s="3">
        <v>0</v>
      </c>
      <c r="F21496" s="2">
        <v>3975</v>
      </c>
      <c r="G21496" s="2">
        <v>100</v>
      </c>
      <c r="H21496" s="2">
        <v>813</v>
      </c>
      <c r="I21496" s="2">
        <v>413</v>
      </c>
      <c r="J21496" s="2">
        <v>2851</v>
      </c>
      <c r="K21496" s="2">
        <v>1</v>
      </c>
      <c r="L21496" s="2">
        <v>813</v>
      </c>
    </row>
    <row r="21497" spans="1:12" x14ac:dyDescent="0.25">
      <c r="A21497" s="4" t="str">
        <f>HYPERLINK("http://www.rosaceae.org/Prunus/Prunus_persica/p.persica_gdr_reftransV1_0048382","p.persica_gdr_reftransV1_0048382")</f>
        <v>p.persica_gdr_reftransV1_0048382</v>
      </c>
      <c r="B21497" s="2">
        <v>866</v>
      </c>
      <c r="C21497" s="4" t="str">
        <f>HYPERLINK("http://www.uniprot.org/uniprot/M5WV84","M5WV84")</f>
        <v>M5WV84</v>
      </c>
      <c r="D21497" s="2" t="s">
        <v>16034</v>
      </c>
      <c r="E21497" s="3">
        <v>9.5300000000000003E-67</v>
      </c>
      <c r="F21497" s="2">
        <v>550</v>
      </c>
      <c r="G21497" s="2">
        <v>91</v>
      </c>
      <c r="H21497" s="2">
        <v>162</v>
      </c>
      <c r="I21497" s="2">
        <v>74</v>
      </c>
      <c r="J21497" s="2">
        <v>559</v>
      </c>
      <c r="K21497" s="2">
        <v>1</v>
      </c>
      <c r="L21497" s="2">
        <v>148</v>
      </c>
    </row>
    <row r="21498" spans="1:12" x14ac:dyDescent="0.25">
      <c r="A21498" s="4" t="str">
        <f>HYPERLINK("http://www.rosaceae.org/Prunus/Prunus_persica/p.persica_gdr_reftransV1_0048732","p.persica_gdr_reftransV1_0048732")</f>
        <v>p.persica_gdr_reftransV1_0048732</v>
      </c>
      <c r="B21498" s="2">
        <v>1649</v>
      </c>
      <c r="C21498" s="4" t="str">
        <f>HYPERLINK("http://www.uniprot.org/uniprot/M5XCU1","M5XCU1")</f>
        <v>M5XCU1</v>
      </c>
      <c r="D21498" s="2" t="s">
        <v>10620</v>
      </c>
      <c r="E21498" s="3">
        <v>0</v>
      </c>
      <c r="F21498" s="2">
        <v>1981</v>
      </c>
      <c r="G21498" s="2">
        <v>100</v>
      </c>
      <c r="H21498" s="2">
        <v>422</v>
      </c>
      <c r="I21498" s="2">
        <v>240</v>
      </c>
      <c r="J21498" s="2">
        <v>1505</v>
      </c>
      <c r="K21498" s="2">
        <v>1</v>
      </c>
      <c r="L21498" s="2">
        <v>422</v>
      </c>
    </row>
    <row r="21499" spans="1:12" x14ac:dyDescent="0.25">
      <c r="A21499" s="4" t="str">
        <f>HYPERLINK("http://www.rosaceae.org/Prunus/Prunus_persica/p.persica_gdr_reftransV1_0049082","p.persica_gdr_reftransV1_0049082")</f>
        <v>p.persica_gdr_reftransV1_0049082</v>
      </c>
      <c r="B21499" s="2">
        <v>1042</v>
      </c>
      <c r="C21499" s="4" t="str">
        <f>HYPERLINK("http://www.uniprot.org/uniprot/M5W673","M5W673")</f>
        <v>M5W673</v>
      </c>
      <c r="D21499" s="2" t="s">
        <v>15083</v>
      </c>
      <c r="E21499" s="3">
        <v>0</v>
      </c>
      <c r="F21499" s="2">
        <v>1448</v>
      </c>
      <c r="G21499" s="2">
        <v>96</v>
      </c>
      <c r="H21499" s="2">
        <v>319</v>
      </c>
      <c r="I21499" s="2">
        <v>84</v>
      </c>
      <c r="J21499" s="2">
        <v>1040</v>
      </c>
      <c r="K21499" s="2">
        <v>353</v>
      </c>
      <c r="L21499" s="2">
        <v>671</v>
      </c>
    </row>
    <row r="21500" spans="1:12" x14ac:dyDescent="0.25">
      <c r="A21500" s="4" t="str">
        <f>HYPERLINK("http://www.rosaceae.org/Prunus/Prunus_persica/p.persica_gdr_reftransV1_0000083","p.persica_gdr_reftransV1_0000083")</f>
        <v>p.persica_gdr_reftransV1_0000083</v>
      </c>
      <c r="B21500" s="2">
        <v>1129</v>
      </c>
      <c r="C21500" s="4" t="str">
        <f>HYPERLINK("http://www.uniprot.org/uniprot/M5Y5X7","M5Y5X7")</f>
        <v>M5Y5X7</v>
      </c>
      <c r="D21500" s="2" t="s">
        <v>16035</v>
      </c>
      <c r="E21500" s="3">
        <v>1.52E-103</v>
      </c>
      <c r="F21500" s="2">
        <v>810</v>
      </c>
      <c r="G21500" s="2">
        <v>100</v>
      </c>
      <c r="H21500" s="2">
        <v>208</v>
      </c>
      <c r="I21500" s="2">
        <v>153</v>
      </c>
      <c r="J21500" s="2">
        <v>776</v>
      </c>
      <c r="K21500" s="2">
        <v>17</v>
      </c>
      <c r="L21500" s="2">
        <v>224</v>
      </c>
    </row>
    <row r="21501" spans="1:12" x14ac:dyDescent="0.25">
      <c r="A21501" s="4" t="str">
        <f>HYPERLINK("http://www.rosaceae.org/Prunus/Prunus_persica/p.persica_gdr_reftransV1_0000433","p.persica_gdr_reftransV1_0000433")</f>
        <v>p.persica_gdr_reftransV1_0000433</v>
      </c>
      <c r="B21501" s="2">
        <v>2553</v>
      </c>
      <c r="C21501" s="4" t="str">
        <f>HYPERLINK("http://www.uniprot.org/uniprot/M5WGX8","M5WGX8")</f>
        <v>M5WGX8</v>
      </c>
      <c r="D21501" s="2" t="s">
        <v>16036</v>
      </c>
      <c r="E21501" s="3">
        <v>0</v>
      </c>
      <c r="F21501" s="2">
        <v>3060</v>
      </c>
      <c r="G21501" s="2">
        <v>100</v>
      </c>
      <c r="H21501" s="2">
        <v>570</v>
      </c>
      <c r="I21501" s="2">
        <v>330</v>
      </c>
      <c r="J21501" s="2">
        <v>2039</v>
      </c>
      <c r="K21501" s="2">
        <v>1</v>
      </c>
      <c r="L21501" s="2">
        <v>570</v>
      </c>
    </row>
    <row r="21502" spans="1:12" x14ac:dyDescent="0.25">
      <c r="A21502" s="4" t="str">
        <f>HYPERLINK("http://www.rosaceae.org/Prunus/Prunus_persica/p.persica_gdr_reftransV1_0000783","p.persica_gdr_reftransV1_0000783")</f>
        <v>p.persica_gdr_reftransV1_0000783</v>
      </c>
      <c r="B21502" s="2">
        <v>783</v>
      </c>
      <c r="C21502" s="4" t="str">
        <f>HYPERLINK("http://www.uniprot.org/uniprot/A0A0B2REV7","A0A0B2REV7")</f>
        <v>A0A0B2REV7</v>
      </c>
      <c r="D21502" s="2" t="s">
        <v>3418</v>
      </c>
      <c r="E21502" s="3">
        <v>1.07E-87</v>
      </c>
      <c r="F21502" s="2">
        <v>690</v>
      </c>
      <c r="G21502" s="2">
        <v>100</v>
      </c>
      <c r="H21502" s="2">
        <v>131</v>
      </c>
      <c r="I21502" s="2">
        <v>92</v>
      </c>
      <c r="J21502" s="2">
        <v>484</v>
      </c>
      <c r="K21502" s="2">
        <v>50</v>
      </c>
      <c r="L21502" s="2">
        <v>180</v>
      </c>
    </row>
    <row r="21503" spans="1:12" x14ac:dyDescent="0.25">
      <c r="A21503" s="4" t="str">
        <f>HYPERLINK("http://www.rosaceae.org/Prunus/Prunus_persica/p.persica_gdr_reftransV1_0001133","p.persica_gdr_reftransV1_0001133")</f>
        <v>p.persica_gdr_reftransV1_0001133</v>
      </c>
      <c r="B21503" s="2">
        <v>1018</v>
      </c>
      <c r="C21503" s="4" t="str">
        <f>HYPERLINK("http://www.uniprot.org/uniprot/M5XCQ5","M5XCQ5")</f>
        <v>M5XCQ5</v>
      </c>
      <c r="D21503" s="2" t="s">
        <v>16037</v>
      </c>
      <c r="E21503" s="3">
        <v>0</v>
      </c>
      <c r="F21503" s="2">
        <v>1401</v>
      </c>
      <c r="G21503" s="2">
        <v>97</v>
      </c>
      <c r="H21503" s="2">
        <v>275</v>
      </c>
      <c r="I21503" s="2">
        <v>60</v>
      </c>
      <c r="J21503" s="2">
        <v>884</v>
      </c>
      <c r="K21503" s="2">
        <v>1</v>
      </c>
      <c r="L21503" s="2">
        <v>275</v>
      </c>
    </row>
    <row r="21504" spans="1:12" x14ac:dyDescent="0.25">
      <c r="A21504" s="4" t="str">
        <f>HYPERLINK("http://www.rosaceae.org/Prunus/Prunus_persica/p.persica_gdr_reftransV1_0001483","p.persica_gdr_reftransV1_0001483")</f>
        <v>p.persica_gdr_reftransV1_0001483</v>
      </c>
      <c r="B21504" s="2">
        <v>807</v>
      </c>
      <c r="C21504" s="4" t="str">
        <f>HYPERLINK("http://www.uniprot.org/uniprot/M5X8S2","M5X8S2")</f>
        <v>M5X8S2</v>
      </c>
      <c r="D21504" s="2" t="s">
        <v>9286</v>
      </c>
      <c r="E21504" s="3">
        <v>1.3199999999999999E-25</v>
      </c>
      <c r="F21504" s="2">
        <v>292</v>
      </c>
      <c r="G21504" s="2">
        <v>100</v>
      </c>
      <c r="H21504" s="2">
        <v>79</v>
      </c>
      <c r="I21504" s="2">
        <v>1</v>
      </c>
      <c r="J21504" s="2">
        <v>237</v>
      </c>
      <c r="K21504" s="2">
        <v>1</v>
      </c>
      <c r="L21504" s="2">
        <v>79</v>
      </c>
    </row>
    <row r="21505" spans="1:12" x14ac:dyDescent="0.25">
      <c r="A21505" s="4" t="str">
        <f>HYPERLINK("http://www.rosaceae.org/Prunus/Prunus_persica/p.persica_gdr_reftransV1_0001833","p.persica_gdr_reftransV1_0001833")</f>
        <v>p.persica_gdr_reftransV1_0001833</v>
      </c>
      <c r="B21505" s="2">
        <v>408</v>
      </c>
      <c r="C21505" s="4" t="str">
        <f>HYPERLINK("http://www.uniprot.org/uniprot/W9INU6","W9INU6")</f>
        <v>W9INU6</v>
      </c>
      <c r="D21505" s="2" t="s">
        <v>16038</v>
      </c>
      <c r="E21505" s="3">
        <v>4.92E-85</v>
      </c>
      <c r="F21505" s="2">
        <v>663</v>
      </c>
      <c r="G21505" s="2">
        <v>99</v>
      </c>
      <c r="H21505" s="2">
        <v>126</v>
      </c>
      <c r="I21505" s="2">
        <v>29</v>
      </c>
      <c r="J21505" s="2">
        <v>406</v>
      </c>
      <c r="K21505" s="2">
        <v>1</v>
      </c>
      <c r="L21505" s="2">
        <v>126</v>
      </c>
    </row>
    <row r="21506" spans="1:12" x14ac:dyDescent="0.25">
      <c r="A21506" s="4" t="str">
        <f>HYPERLINK("http://www.rosaceae.org/Prunus/Prunus_persica/p.persica_gdr_reftransV1_0002183","p.persica_gdr_reftransV1_0002183")</f>
        <v>p.persica_gdr_reftransV1_0002183</v>
      </c>
      <c r="B21506" s="2">
        <v>1036</v>
      </c>
      <c r="C21506" s="4" t="str">
        <f>HYPERLINK("http://www.uniprot.org/uniprot/M5VLU3","M5VLU3")</f>
        <v>M5VLU3</v>
      </c>
      <c r="D21506" s="2" t="s">
        <v>1589</v>
      </c>
      <c r="E21506" s="3">
        <v>0</v>
      </c>
      <c r="F21506" s="2">
        <v>1576</v>
      </c>
      <c r="G21506" s="2">
        <v>90</v>
      </c>
      <c r="H21506" s="2">
        <v>345</v>
      </c>
      <c r="I21506" s="2">
        <v>2</v>
      </c>
      <c r="J21506" s="2">
        <v>1036</v>
      </c>
      <c r="K21506" s="2">
        <v>376</v>
      </c>
      <c r="L21506" s="2">
        <v>684</v>
      </c>
    </row>
    <row r="21507" spans="1:12" x14ac:dyDescent="0.25">
      <c r="A21507" s="4" t="str">
        <f>HYPERLINK("http://www.rosaceae.org/Prunus/Prunus_persica/p.persica_gdr_reftransV1_0002533","p.persica_gdr_reftransV1_0002533")</f>
        <v>p.persica_gdr_reftransV1_0002533</v>
      </c>
      <c r="B21507" s="2">
        <v>941</v>
      </c>
      <c r="C21507" s="4" t="str">
        <f>HYPERLINK("http://www.uniprot.org/uniprot/M5XU54","M5XU54")</f>
        <v>M5XU54</v>
      </c>
      <c r="D21507" s="2" t="s">
        <v>16039</v>
      </c>
      <c r="E21507" s="3">
        <v>1.08E-160</v>
      </c>
      <c r="F21507" s="2">
        <v>1181</v>
      </c>
      <c r="G21507" s="2">
        <v>100</v>
      </c>
      <c r="H21507" s="2">
        <v>220</v>
      </c>
      <c r="I21507" s="2">
        <v>217</v>
      </c>
      <c r="J21507" s="2">
        <v>876</v>
      </c>
      <c r="K21507" s="2">
        <v>1</v>
      </c>
      <c r="L21507" s="2">
        <v>220</v>
      </c>
    </row>
    <row r="21508" spans="1:12" x14ac:dyDescent="0.25">
      <c r="A21508" s="4" t="str">
        <f>HYPERLINK("http://www.rosaceae.org/Prunus/Prunus_persica/p.persica_gdr_reftransV1_0002883","p.persica_gdr_reftransV1_0002883")</f>
        <v>p.persica_gdr_reftransV1_0002883</v>
      </c>
      <c r="B21508" s="2">
        <v>636</v>
      </c>
      <c r="C21508" s="4" t="str">
        <f>HYPERLINK("http://www.uniprot.org/uniprot/M5X7W2","M5X7W2")</f>
        <v>M5X7W2</v>
      </c>
      <c r="D21508" s="2" t="s">
        <v>4504</v>
      </c>
      <c r="E21508" s="3">
        <v>1.5399999999999999E-116</v>
      </c>
      <c r="F21508" s="2">
        <v>908</v>
      </c>
      <c r="G21508" s="2">
        <v>100</v>
      </c>
      <c r="H21508" s="2">
        <v>173</v>
      </c>
      <c r="I21508" s="2">
        <v>118</v>
      </c>
      <c r="J21508" s="2">
        <v>636</v>
      </c>
      <c r="K21508" s="2">
        <v>306</v>
      </c>
      <c r="L21508" s="2">
        <v>478</v>
      </c>
    </row>
    <row r="21509" spans="1:12" x14ac:dyDescent="0.25">
      <c r="A21509" s="4" t="str">
        <f>HYPERLINK("http://www.rosaceae.org/Prunus/Prunus_persica/p.persica_gdr_reftransV1_0003233","p.persica_gdr_reftransV1_0003233")</f>
        <v>p.persica_gdr_reftransV1_0003233</v>
      </c>
      <c r="B21509" s="2">
        <v>409</v>
      </c>
      <c r="C21509" s="4" t="str">
        <f>HYPERLINK("http://www.uniprot.org/uniprot/M5WNV1","M5WNV1")</f>
        <v>M5WNV1</v>
      </c>
      <c r="D21509" s="2" t="s">
        <v>16040</v>
      </c>
      <c r="E21509" s="3">
        <v>1.1900000000000001E-61</v>
      </c>
      <c r="F21509" s="2">
        <v>542</v>
      </c>
      <c r="G21509" s="2">
        <v>99</v>
      </c>
      <c r="H21509" s="2">
        <v>125</v>
      </c>
      <c r="I21509" s="2">
        <v>33</v>
      </c>
      <c r="J21509" s="2">
        <v>407</v>
      </c>
      <c r="K21509" s="2">
        <v>808</v>
      </c>
      <c r="L21509" s="2">
        <v>932</v>
      </c>
    </row>
    <row r="21510" spans="1:12" x14ac:dyDescent="0.25">
      <c r="A21510" s="4" t="str">
        <f>HYPERLINK("http://www.rosaceae.org/Prunus/Prunus_persica/p.persica_gdr_reftransV1_0003583","p.persica_gdr_reftransV1_0003583")</f>
        <v>p.persica_gdr_reftransV1_0003583</v>
      </c>
      <c r="B21510" s="2">
        <v>871</v>
      </c>
      <c r="C21510" s="4" t="str">
        <f>HYPERLINK("http://www.uniprot.org/uniprot/M5WJ99","M5WJ99")</f>
        <v>M5WJ99</v>
      </c>
      <c r="D21510" s="2" t="s">
        <v>16041</v>
      </c>
      <c r="E21510" s="3">
        <v>1.31E-120</v>
      </c>
      <c r="F21510" s="2">
        <v>920</v>
      </c>
      <c r="G21510" s="2">
        <v>100</v>
      </c>
      <c r="H21510" s="2">
        <v>230</v>
      </c>
      <c r="I21510" s="2">
        <v>2</v>
      </c>
      <c r="J21510" s="2">
        <v>691</v>
      </c>
      <c r="K21510" s="2">
        <v>54</v>
      </c>
      <c r="L21510" s="2">
        <v>283</v>
      </c>
    </row>
    <row r="21511" spans="1:12" x14ac:dyDescent="0.25">
      <c r="A21511" s="4" t="str">
        <f>HYPERLINK("http://www.rosaceae.org/Prunus/Prunus_persica/p.persica_gdr_reftransV1_0003933","p.persica_gdr_reftransV1_0003933")</f>
        <v>p.persica_gdr_reftransV1_0003933</v>
      </c>
      <c r="B21511" s="2">
        <v>1863</v>
      </c>
      <c r="C21511" s="4" t="str">
        <f>HYPERLINK("http://www.uniprot.org/uniprot/M5XRT0","M5XRT0")</f>
        <v>M5XRT0</v>
      </c>
      <c r="D21511" s="2" t="s">
        <v>16042</v>
      </c>
      <c r="E21511" s="3">
        <v>0</v>
      </c>
      <c r="F21511" s="2">
        <v>1885</v>
      </c>
      <c r="G21511" s="2">
        <v>93</v>
      </c>
      <c r="H21511" s="2">
        <v>381</v>
      </c>
      <c r="I21511" s="2">
        <v>362</v>
      </c>
      <c r="J21511" s="2">
        <v>1504</v>
      </c>
      <c r="K21511" s="2">
        <v>1</v>
      </c>
      <c r="L21511" s="2">
        <v>381</v>
      </c>
    </row>
    <row r="21512" spans="1:12" x14ac:dyDescent="0.25">
      <c r="A21512" s="4" t="str">
        <f>HYPERLINK("http://www.rosaceae.org/Prunus/Prunus_persica/p.persica_gdr_reftransV1_0004633","p.persica_gdr_reftransV1_0004633")</f>
        <v>p.persica_gdr_reftransV1_0004633</v>
      </c>
      <c r="B21512" s="2">
        <v>2737</v>
      </c>
      <c r="C21512" s="4" t="str">
        <f>HYPERLINK("http://www.uniprot.org/uniprot/M5WTZ7","M5WTZ7")</f>
        <v>M5WTZ7</v>
      </c>
      <c r="D21512" s="2" t="s">
        <v>15463</v>
      </c>
      <c r="E21512" s="3">
        <v>0</v>
      </c>
      <c r="F21512" s="2">
        <v>1836</v>
      </c>
      <c r="G21512" s="2">
        <v>100</v>
      </c>
      <c r="H21512" s="2">
        <v>402</v>
      </c>
      <c r="I21512" s="2">
        <v>831</v>
      </c>
      <c r="J21512" s="2">
        <v>2036</v>
      </c>
      <c r="K21512" s="2">
        <v>1</v>
      </c>
      <c r="L21512" s="2">
        <v>402</v>
      </c>
    </row>
    <row r="21513" spans="1:12" x14ac:dyDescent="0.25">
      <c r="A21513" s="4" t="str">
        <f>HYPERLINK("http://www.rosaceae.org/Prunus/Prunus_persica/p.persica_gdr_reftransV1_0004983","p.persica_gdr_reftransV1_0004983")</f>
        <v>p.persica_gdr_reftransV1_0004983</v>
      </c>
      <c r="B21513" s="2">
        <v>1268</v>
      </c>
      <c r="C21513" s="4" t="str">
        <f>HYPERLINK("http://www.uniprot.org/uniprot/W9RDT5","W9RDT5")</f>
        <v>W9RDT5</v>
      </c>
      <c r="D21513" s="2" t="s">
        <v>16043</v>
      </c>
      <c r="E21513" s="3">
        <v>9.9399999999999997E-164</v>
      </c>
      <c r="F21513" s="2">
        <v>1220</v>
      </c>
      <c r="G21513" s="2">
        <v>84</v>
      </c>
      <c r="H21513" s="2">
        <v>283</v>
      </c>
      <c r="I21513" s="2">
        <v>128</v>
      </c>
      <c r="J21513" s="2">
        <v>970</v>
      </c>
      <c r="K21513" s="2">
        <v>9</v>
      </c>
      <c r="L21513" s="2">
        <v>291</v>
      </c>
    </row>
    <row r="21514" spans="1:12" x14ac:dyDescent="0.25">
      <c r="A21514" s="4" t="str">
        <f>HYPERLINK("http://www.rosaceae.org/Prunus/Prunus_persica/p.persica_gdr_reftransV1_0005333","p.persica_gdr_reftransV1_0005333")</f>
        <v>p.persica_gdr_reftransV1_0005333</v>
      </c>
      <c r="B21514" s="2">
        <v>959</v>
      </c>
      <c r="C21514" s="4" t="str">
        <f>HYPERLINK("http://www.uniprot.org/uniprot/M5XFI9","M5XFI9")</f>
        <v>M5XFI9</v>
      </c>
      <c r="D21514" s="2" t="s">
        <v>10463</v>
      </c>
      <c r="E21514" s="3">
        <v>4.5800000000000004E-140</v>
      </c>
      <c r="F21514" s="2">
        <v>1043</v>
      </c>
      <c r="G21514" s="2">
        <v>99</v>
      </c>
      <c r="H21514" s="2">
        <v>197</v>
      </c>
      <c r="I21514" s="2">
        <v>307</v>
      </c>
      <c r="J21514" s="2">
        <v>897</v>
      </c>
      <c r="K21514" s="2">
        <v>1</v>
      </c>
      <c r="L21514" s="2">
        <v>197</v>
      </c>
    </row>
    <row r="21515" spans="1:12" x14ac:dyDescent="0.25">
      <c r="A21515" s="4" t="str">
        <f>HYPERLINK("http://www.rosaceae.org/Prunus/Prunus_persica/p.persica_gdr_reftransV1_0005683","p.persica_gdr_reftransV1_0005683")</f>
        <v>p.persica_gdr_reftransV1_0005683</v>
      </c>
      <c r="B21515" s="2">
        <v>816</v>
      </c>
      <c r="C21515" s="4" t="str">
        <f>HYPERLINK("http://www.uniprot.org/uniprot/M5X7W8","M5X7W8")</f>
        <v>M5X7W8</v>
      </c>
      <c r="D21515" s="2" t="s">
        <v>16044</v>
      </c>
      <c r="E21515" s="3">
        <v>3.7E-65</v>
      </c>
      <c r="F21515" s="2">
        <v>535</v>
      </c>
      <c r="G21515" s="2">
        <v>100</v>
      </c>
      <c r="H21515" s="2">
        <v>101</v>
      </c>
      <c r="I21515" s="2">
        <v>442</v>
      </c>
      <c r="J21515" s="2">
        <v>744</v>
      </c>
      <c r="K21515" s="2">
        <v>15</v>
      </c>
      <c r="L21515" s="2">
        <v>115</v>
      </c>
    </row>
    <row r="21516" spans="1:12" x14ac:dyDescent="0.25">
      <c r="A21516" s="4" t="str">
        <f>HYPERLINK("http://www.rosaceae.org/Prunus/Prunus_persica/p.persica_gdr_reftransV1_0006733","p.persica_gdr_reftransV1_0006733")</f>
        <v>p.persica_gdr_reftransV1_0006733</v>
      </c>
      <c r="B21516" s="2">
        <v>478</v>
      </c>
      <c r="C21516" s="4" t="str">
        <f>HYPERLINK("http://www.uniprot.org/uniprot/M5X2R5","M5X2R5")</f>
        <v>M5X2R5</v>
      </c>
      <c r="D21516" s="2" t="s">
        <v>1143</v>
      </c>
      <c r="E21516" s="3">
        <v>4.5800000000000003E-83</v>
      </c>
      <c r="F21516" s="2">
        <v>676</v>
      </c>
      <c r="G21516" s="2">
        <v>100</v>
      </c>
      <c r="H21516" s="2">
        <v>128</v>
      </c>
      <c r="I21516" s="2">
        <v>1</v>
      </c>
      <c r="J21516" s="2">
        <v>384</v>
      </c>
      <c r="K21516" s="2">
        <v>387</v>
      </c>
      <c r="L21516" s="2">
        <v>514</v>
      </c>
    </row>
    <row r="21517" spans="1:12" x14ac:dyDescent="0.25">
      <c r="A21517" s="4" t="str">
        <f>HYPERLINK("http://www.rosaceae.org/Prunus/Prunus_persica/p.persica_gdr_reftransV1_0007433","p.persica_gdr_reftransV1_0007433")</f>
        <v>p.persica_gdr_reftransV1_0007433</v>
      </c>
      <c r="B21517" s="2">
        <v>1000</v>
      </c>
      <c r="C21517" s="4" t="str">
        <f>HYPERLINK("http://www.uniprot.org/uniprot/M5VKT0","M5VKT0")</f>
        <v>M5VKT0</v>
      </c>
      <c r="D21517" s="2" t="s">
        <v>16045</v>
      </c>
      <c r="E21517" s="3">
        <v>9.2300000000000004E-138</v>
      </c>
      <c r="F21517" s="2">
        <v>1029</v>
      </c>
      <c r="G21517" s="2">
        <v>100</v>
      </c>
      <c r="H21517" s="2">
        <v>195</v>
      </c>
      <c r="I21517" s="2">
        <v>252</v>
      </c>
      <c r="J21517" s="2">
        <v>836</v>
      </c>
      <c r="K21517" s="2">
        <v>1</v>
      </c>
      <c r="L21517" s="2">
        <v>195</v>
      </c>
    </row>
    <row r="21518" spans="1:12" x14ac:dyDescent="0.25">
      <c r="A21518" s="4" t="str">
        <f>HYPERLINK("http://www.rosaceae.org/Prunus/Prunus_persica/p.persica_gdr_reftransV1_0008833","p.persica_gdr_reftransV1_0008833")</f>
        <v>p.persica_gdr_reftransV1_0008833</v>
      </c>
      <c r="B21518" s="2">
        <v>1254</v>
      </c>
      <c r="C21518" s="4" t="str">
        <f>HYPERLINK("http://www.uniprot.org/uniprot/M5WVZ3","M5WVZ3")</f>
        <v>M5WVZ3</v>
      </c>
      <c r="D21518" s="2" t="s">
        <v>16046</v>
      </c>
      <c r="E21518" s="3">
        <v>1.36E-88</v>
      </c>
      <c r="F21518" s="2">
        <v>715</v>
      </c>
      <c r="G21518" s="2">
        <v>100</v>
      </c>
      <c r="H21518" s="2">
        <v>189</v>
      </c>
      <c r="I21518" s="2">
        <v>115</v>
      </c>
      <c r="J21518" s="2">
        <v>681</v>
      </c>
      <c r="K21518" s="2">
        <v>38</v>
      </c>
      <c r="L21518" s="2">
        <v>226</v>
      </c>
    </row>
    <row r="21519" spans="1:12" x14ac:dyDescent="0.25">
      <c r="A21519" s="4" t="str">
        <f>HYPERLINK("http://www.rosaceae.org/Prunus/Prunus_persica/p.persica_gdr_reftransV1_0009183","p.persica_gdr_reftransV1_0009183")</f>
        <v>p.persica_gdr_reftransV1_0009183</v>
      </c>
      <c r="B21519" s="2">
        <v>1668</v>
      </c>
      <c r="C21519" s="4" t="str">
        <f>HYPERLINK("http://www.uniprot.org/uniprot/M5XEF7","M5XEF7")</f>
        <v>M5XEF7</v>
      </c>
      <c r="D21519" s="2" t="s">
        <v>16047</v>
      </c>
      <c r="E21519" s="3">
        <v>0</v>
      </c>
      <c r="F21519" s="2">
        <v>2448</v>
      </c>
      <c r="G21519" s="2">
        <v>100</v>
      </c>
      <c r="H21519" s="2">
        <v>456</v>
      </c>
      <c r="I21519" s="2">
        <v>146</v>
      </c>
      <c r="J21519" s="2">
        <v>1513</v>
      </c>
      <c r="K21519" s="2">
        <v>1</v>
      </c>
      <c r="L21519" s="2">
        <v>456</v>
      </c>
    </row>
    <row r="21520" spans="1:12" x14ac:dyDescent="0.25">
      <c r="A21520" s="4" t="str">
        <f>HYPERLINK("http://www.rosaceae.org/Prunus/Prunus_persica/p.persica_gdr_reftransV1_0009883","p.persica_gdr_reftransV1_0009883")</f>
        <v>p.persica_gdr_reftransV1_0009883</v>
      </c>
      <c r="B21520" s="2">
        <v>655</v>
      </c>
      <c r="C21520" s="4" t="str">
        <f>HYPERLINK("http://www.uniprot.org/uniprot/M5XGK0","M5XGK0")</f>
        <v>M5XGK0</v>
      </c>
      <c r="D21520" s="2" t="s">
        <v>13073</v>
      </c>
      <c r="E21520" s="3">
        <v>1.2000000000000001E-96</v>
      </c>
      <c r="F21520" s="2">
        <v>774</v>
      </c>
      <c r="G21520" s="2">
        <v>85</v>
      </c>
      <c r="H21520" s="2">
        <v>188</v>
      </c>
      <c r="I21520" s="2">
        <v>3</v>
      </c>
      <c r="J21520" s="2">
        <v>563</v>
      </c>
      <c r="K21520" s="2">
        <v>347</v>
      </c>
      <c r="L21520" s="2">
        <v>509</v>
      </c>
    </row>
    <row r="21521" spans="1:12" x14ac:dyDescent="0.25">
      <c r="A21521" s="4" t="str">
        <f>HYPERLINK("http://www.rosaceae.org/Prunus/Prunus_persica/p.persica_gdr_reftransV1_0010233","p.persica_gdr_reftransV1_0010233")</f>
        <v>p.persica_gdr_reftransV1_0010233</v>
      </c>
      <c r="B21521" s="2">
        <v>1221</v>
      </c>
      <c r="C21521" s="4" t="str">
        <f>HYPERLINK("http://www.uniprot.org/uniprot/M5X408","M5X408")</f>
        <v>M5X408</v>
      </c>
      <c r="D21521" s="2" t="s">
        <v>8553</v>
      </c>
      <c r="E21521" s="3">
        <v>0</v>
      </c>
      <c r="F21521" s="2">
        <v>1548</v>
      </c>
      <c r="G21521" s="2">
        <v>100</v>
      </c>
      <c r="H21521" s="2">
        <v>308</v>
      </c>
      <c r="I21521" s="2">
        <v>153</v>
      </c>
      <c r="J21521" s="2">
        <v>1076</v>
      </c>
      <c r="K21521" s="2">
        <v>152</v>
      </c>
      <c r="L21521" s="2">
        <v>459</v>
      </c>
    </row>
    <row r="21522" spans="1:12" x14ac:dyDescent="0.25">
      <c r="A21522" s="4" t="str">
        <f>HYPERLINK("http://www.rosaceae.org/Prunus/Prunus_persica/p.persica_gdr_reftransV1_0010583","p.persica_gdr_reftransV1_0010583")</f>
        <v>p.persica_gdr_reftransV1_0010583</v>
      </c>
      <c r="B21522" s="2">
        <v>573</v>
      </c>
      <c r="C21522" s="4" t="str">
        <f>HYPERLINK("http://www.uniprot.org/uniprot/M5WCK8","M5WCK8")</f>
        <v>M5WCK8</v>
      </c>
      <c r="D21522" s="2" t="s">
        <v>16048</v>
      </c>
      <c r="E21522" s="3">
        <v>2.4999999999999999E-61</v>
      </c>
      <c r="F21522" s="2">
        <v>537</v>
      </c>
      <c r="G21522" s="2">
        <v>100</v>
      </c>
      <c r="H21522" s="2">
        <v>120</v>
      </c>
      <c r="I21522" s="2">
        <v>3</v>
      </c>
      <c r="J21522" s="2">
        <v>362</v>
      </c>
      <c r="K21522" s="2">
        <v>469</v>
      </c>
      <c r="L21522" s="2">
        <v>588</v>
      </c>
    </row>
    <row r="21523" spans="1:12" x14ac:dyDescent="0.25">
      <c r="A21523" s="4" t="str">
        <f>HYPERLINK("http://www.rosaceae.org/Prunus/Prunus_persica/p.persica_gdr_reftransV1_0010933","p.persica_gdr_reftransV1_0010933")</f>
        <v>p.persica_gdr_reftransV1_0010933</v>
      </c>
      <c r="B21523" s="2">
        <v>1275</v>
      </c>
      <c r="C21523" s="4" t="str">
        <f>HYPERLINK("http://www.uniprot.org/uniprot/M5XLM2","M5XLM2")</f>
        <v>M5XLM2</v>
      </c>
      <c r="D21523" s="2" t="s">
        <v>7102</v>
      </c>
      <c r="E21523" s="3">
        <v>2.0600000000000001E-138</v>
      </c>
      <c r="F21523" s="2">
        <v>1072</v>
      </c>
      <c r="G21523" s="2">
        <v>100</v>
      </c>
      <c r="H21523" s="2">
        <v>208</v>
      </c>
      <c r="I21523" s="2">
        <v>3</v>
      </c>
      <c r="J21523" s="2">
        <v>626</v>
      </c>
      <c r="K21523" s="2">
        <v>285</v>
      </c>
      <c r="L21523" s="2">
        <v>492</v>
      </c>
    </row>
    <row r="21524" spans="1:12" x14ac:dyDescent="0.25">
      <c r="A21524" s="4" t="str">
        <f>HYPERLINK("http://www.rosaceae.org/Prunus/Prunus_persica/p.persica_gdr_reftransV1_0011283","p.persica_gdr_reftransV1_0011283")</f>
        <v>p.persica_gdr_reftransV1_0011283</v>
      </c>
      <c r="B21524" s="2">
        <v>1619</v>
      </c>
      <c r="C21524" s="4" t="str">
        <f>HYPERLINK("http://www.uniprot.org/uniprot/M5X846","M5X846")</f>
        <v>M5X846</v>
      </c>
      <c r="D21524" s="2" t="s">
        <v>10240</v>
      </c>
      <c r="E21524" s="3">
        <v>0</v>
      </c>
      <c r="F21524" s="2">
        <v>2218</v>
      </c>
      <c r="G21524" s="2">
        <v>100</v>
      </c>
      <c r="H21524" s="2">
        <v>468</v>
      </c>
      <c r="I21524" s="2">
        <v>1</v>
      </c>
      <c r="J21524" s="2">
        <v>1404</v>
      </c>
      <c r="K21524" s="2">
        <v>3</v>
      </c>
      <c r="L21524" s="2">
        <v>470</v>
      </c>
    </row>
    <row r="21525" spans="1:12" x14ac:dyDescent="0.25">
      <c r="A21525" s="4" t="str">
        <f>HYPERLINK("http://www.rosaceae.org/Prunus/Prunus_persica/p.persica_gdr_reftransV1_0012683","p.persica_gdr_reftransV1_0012683")</f>
        <v>p.persica_gdr_reftransV1_0012683</v>
      </c>
      <c r="B21525" s="2">
        <v>1498</v>
      </c>
      <c r="C21525" s="4" t="str">
        <f>HYPERLINK("http://www.uniprot.org/uniprot/M5XF09","M5XF09")</f>
        <v>M5XF09</v>
      </c>
      <c r="D21525" s="2" t="s">
        <v>16049</v>
      </c>
      <c r="E21525" s="3">
        <v>6.6000000000000003E-168</v>
      </c>
      <c r="F21525" s="2">
        <v>1258</v>
      </c>
      <c r="G21525" s="2">
        <v>100</v>
      </c>
      <c r="H21525" s="2">
        <v>319</v>
      </c>
      <c r="I21525" s="2">
        <v>352</v>
      </c>
      <c r="J21525" s="2">
        <v>1308</v>
      </c>
      <c r="K21525" s="2">
        <v>1</v>
      </c>
      <c r="L21525" s="2">
        <v>319</v>
      </c>
    </row>
    <row r="21526" spans="1:12" x14ac:dyDescent="0.25">
      <c r="A21526" s="4" t="str">
        <f>HYPERLINK("http://www.rosaceae.org/Prunus/Prunus_persica/p.persica_gdr_reftransV1_0013033","p.persica_gdr_reftransV1_0013033")</f>
        <v>p.persica_gdr_reftransV1_0013033</v>
      </c>
      <c r="B21526" s="2">
        <v>1535</v>
      </c>
      <c r="C21526" s="4" t="str">
        <f>HYPERLINK("http://www.uniprot.org/uniprot/M5WSZ2","M5WSZ2")</f>
        <v>M5WSZ2</v>
      </c>
      <c r="D21526" s="2" t="s">
        <v>16050</v>
      </c>
      <c r="E21526" s="3">
        <v>0</v>
      </c>
      <c r="F21526" s="2">
        <v>1642</v>
      </c>
      <c r="G21526" s="2">
        <v>100</v>
      </c>
      <c r="H21526" s="2">
        <v>352</v>
      </c>
      <c r="I21526" s="2">
        <v>230</v>
      </c>
      <c r="J21526" s="2">
        <v>1285</v>
      </c>
      <c r="K21526" s="2">
        <v>1</v>
      </c>
      <c r="L21526" s="2">
        <v>352</v>
      </c>
    </row>
    <row r="21527" spans="1:12" x14ac:dyDescent="0.25">
      <c r="A21527" s="4" t="str">
        <f>HYPERLINK("http://www.rosaceae.org/Prunus/Prunus_persica/p.persica_gdr_reftransV1_0013383","p.persica_gdr_reftransV1_0013383")</f>
        <v>p.persica_gdr_reftransV1_0013383</v>
      </c>
      <c r="B21527" s="2">
        <v>1529</v>
      </c>
      <c r="C21527" s="4" t="str">
        <f>HYPERLINK("http://www.uniprot.org/uniprot/M5WT27","M5WT27")</f>
        <v>M5WT27</v>
      </c>
      <c r="D21527" s="2" t="s">
        <v>16051</v>
      </c>
      <c r="E21527" s="3">
        <v>1.1599999999999999E-170</v>
      </c>
      <c r="F21527" s="2">
        <v>1274</v>
      </c>
      <c r="G21527" s="2">
        <v>96</v>
      </c>
      <c r="H21527" s="2">
        <v>290</v>
      </c>
      <c r="I21527" s="2">
        <v>449</v>
      </c>
      <c r="J21527" s="2">
        <v>1318</v>
      </c>
      <c r="K21527" s="2">
        <v>1</v>
      </c>
      <c r="L21527" s="2">
        <v>278</v>
      </c>
    </row>
    <row r="21528" spans="1:12" x14ac:dyDescent="0.25">
      <c r="A21528" s="4" t="str">
        <f>HYPERLINK("http://www.rosaceae.org/Prunus/Prunus_persica/p.persica_gdr_reftransV1_0014083","p.persica_gdr_reftransV1_0014083")</f>
        <v>p.persica_gdr_reftransV1_0014083</v>
      </c>
      <c r="B21528" s="2">
        <v>2344</v>
      </c>
      <c r="C21528" s="4" t="str">
        <f>HYPERLINK("http://www.uniprot.org/uniprot/M5X3V3","M5X3V3")</f>
        <v>M5X3V3</v>
      </c>
      <c r="D21528" s="2" t="s">
        <v>16052</v>
      </c>
      <c r="E21528" s="3">
        <v>0</v>
      </c>
      <c r="F21528" s="2">
        <v>2955</v>
      </c>
      <c r="G21528" s="2">
        <v>100</v>
      </c>
      <c r="H21528" s="2">
        <v>607</v>
      </c>
      <c r="I21528" s="2">
        <v>1</v>
      </c>
      <c r="J21528" s="2">
        <v>1821</v>
      </c>
      <c r="K21528" s="2">
        <v>69</v>
      </c>
      <c r="L21528" s="2">
        <v>675</v>
      </c>
    </row>
    <row r="21529" spans="1:12" x14ac:dyDescent="0.25">
      <c r="A21529" s="4" t="str">
        <f>HYPERLINK("http://www.rosaceae.org/Prunus/Prunus_persica/p.persica_gdr_reftransV1_0014433","p.persica_gdr_reftransV1_0014433")</f>
        <v>p.persica_gdr_reftransV1_0014433</v>
      </c>
      <c r="B21529" s="2">
        <v>1706</v>
      </c>
      <c r="C21529" s="4" t="str">
        <f>HYPERLINK("http://www.uniprot.org/uniprot/M5XPH3","M5XPH3")</f>
        <v>M5XPH3</v>
      </c>
      <c r="D21529" s="2" t="s">
        <v>16053</v>
      </c>
      <c r="E21529" s="3">
        <v>0</v>
      </c>
      <c r="F21529" s="2">
        <v>2012</v>
      </c>
      <c r="G21529" s="2">
        <v>100</v>
      </c>
      <c r="H21529" s="2">
        <v>440</v>
      </c>
      <c r="I21529" s="2">
        <v>222</v>
      </c>
      <c r="J21529" s="2">
        <v>1541</v>
      </c>
      <c r="K21529" s="2">
        <v>1</v>
      </c>
      <c r="L21529" s="2">
        <v>440</v>
      </c>
    </row>
    <row r="21530" spans="1:12" x14ac:dyDescent="0.25">
      <c r="A21530" s="4" t="str">
        <f>HYPERLINK("http://www.rosaceae.org/Prunus/Prunus_persica/p.persica_gdr_reftransV1_0015483","p.persica_gdr_reftransV1_0015483")</f>
        <v>p.persica_gdr_reftransV1_0015483</v>
      </c>
      <c r="B21530" s="2">
        <v>1400</v>
      </c>
      <c r="C21530" s="4" t="str">
        <f>HYPERLINK("http://www.uniprot.org/uniprot/M5Y1Y6","M5Y1Y6")</f>
        <v>M5Y1Y6</v>
      </c>
      <c r="D21530" s="2" t="s">
        <v>16054</v>
      </c>
      <c r="E21530" s="3">
        <v>0</v>
      </c>
      <c r="F21530" s="2">
        <v>1898</v>
      </c>
      <c r="G21530" s="2">
        <v>100</v>
      </c>
      <c r="H21530" s="2">
        <v>395</v>
      </c>
      <c r="I21530" s="2">
        <v>116</v>
      </c>
      <c r="J21530" s="2">
        <v>1300</v>
      </c>
      <c r="K21530" s="2">
        <v>1</v>
      </c>
      <c r="L21530" s="2">
        <v>395</v>
      </c>
    </row>
    <row r="21531" spans="1:12" x14ac:dyDescent="0.25">
      <c r="A21531" s="4" t="str">
        <f>HYPERLINK("http://www.rosaceae.org/Prunus/Prunus_persica/p.persica_gdr_reftransV1_0016183","p.persica_gdr_reftransV1_0016183")</f>
        <v>p.persica_gdr_reftransV1_0016183</v>
      </c>
      <c r="B21531" s="2">
        <v>1728</v>
      </c>
      <c r="C21531" s="4" t="str">
        <f>HYPERLINK("http://www.uniprot.org/uniprot/M5WGL5","M5WGL5")</f>
        <v>M5WGL5</v>
      </c>
      <c r="D21531" s="2" t="s">
        <v>7875</v>
      </c>
      <c r="E21531" s="3">
        <v>1.92E-97</v>
      </c>
      <c r="F21531" s="2">
        <v>787</v>
      </c>
      <c r="G21531" s="2">
        <v>99</v>
      </c>
      <c r="H21531" s="2">
        <v>166</v>
      </c>
      <c r="I21531" s="2">
        <v>397</v>
      </c>
      <c r="J21531" s="2">
        <v>894</v>
      </c>
      <c r="K21531" s="2">
        <v>51</v>
      </c>
      <c r="L21531" s="2">
        <v>216</v>
      </c>
    </row>
    <row r="21532" spans="1:12" x14ac:dyDescent="0.25">
      <c r="A21532" s="4" t="str">
        <f>HYPERLINK("http://www.rosaceae.org/Prunus/Prunus_persica/p.persica_gdr_reftransV1_0016533","p.persica_gdr_reftransV1_0016533")</f>
        <v>p.persica_gdr_reftransV1_0016533</v>
      </c>
      <c r="B21532" s="2">
        <v>1918</v>
      </c>
      <c r="C21532" s="4" t="str">
        <f>HYPERLINK("http://www.uniprot.org/uniprot/M5X3Y6","M5X3Y6")</f>
        <v>M5X3Y6</v>
      </c>
      <c r="D21532" s="2" t="s">
        <v>16055</v>
      </c>
      <c r="E21532" s="3">
        <v>0</v>
      </c>
      <c r="F21532" s="2">
        <v>1944</v>
      </c>
      <c r="G21532" s="2">
        <v>95</v>
      </c>
      <c r="H21532" s="2">
        <v>539</v>
      </c>
      <c r="I21532" s="2">
        <v>95</v>
      </c>
      <c r="J21532" s="2">
        <v>1711</v>
      </c>
      <c r="K21532" s="2">
        <v>1</v>
      </c>
      <c r="L21532" s="2">
        <v>513</v>
      </c>
    </row>
    <row r="21533" spans="1:12" x14ac:dyDescent="0.25">
      <c r="A21533" s="4" t="str">
        <f>HYPERLINK("http://www.rosaceae.org/Prunus/Prunus_persica/p.persica_gdr_reftransV1_0018283","p.persica_gdr_reftransV1_0018283")</f>
        <v>p.persica_gdr_reftransV1_0018283</v>
      </c>
      <c r="B21533" s="2">
        <v>1122</v>
      </c>
      <c r="C21533" s="4" t="str">
        <f>HYPERLINK("http://www.uniprot.org/uniprot/W9SIL9","W9SIL9")</f>
        <v>W9SIL9</v>
      </c>
      <c r="D21533" s="2" t="s">
        <v>16056</v>
      </c>
      <c r="E21533" s="3">
        <v>1.4300000000000001E-147</v>
      </c>
      <c r="F21533" s="2">
        <v>1108</v>
      </c>
      <c r="G21533" s="2">
        <v>93</v>
      </c>
      <c r="H21533" s="2">
        <v>257</v>
      </c>
      <c r="I21533" s="2">
        <v>49</v>
      </c>
      <c r="J21533" s="2">
        <v>819</v>
      </c>
      <c r="K21533" s="2">
        <v>34</v>
      </c>
      <c r="L21533" s="2">
        <v>290</v>
      </c>
    </row>
    <row r="21534" spans="1:12" x14ac:dyDescent="0.25">
      <c r="A21534" s="4" t="str">
        <f>HYPERLINK("http://www.rosaceae.org/Prunus/Prunus_persica/p.persica_gdr_reftransV1_0019683","p.persica_gdr_reftransV1_0019683")</f>
        <v>p.persica_gdr_reftransV1_0019683</v>
      </c>
      <c r="B21534" s="2">
        <v>1890</v>
      </c>
      <c r="C21534" s="4" t="str">
        <f>HYPERLINK("http://www.uniprot.org/uniprot/M5VJT4","M5VJT4")</f>
        <v>M5VJT4</v>
      </c>
      <c r="D21534" s="2" t="s">
        <v>14573</v>
      </c>
      <c r="E21534" s="3">
        <v>4.9700000000000003E-158</v>
      </c>
      <c r="F21534" s="2">
        <v>1217</v>
      </c>
      <c r="G21534" s="2">
        <v>100</v>
      </c>
      <c r="H21534" s="2">
        <v>289</v>
      </c>
      <c r="I21534" s="2">
        <v>878</v>
      </c>
      <c r="J21534" s="2">
        <v>1744</v>
      </c>
      <c r="K21534" s="2">
        <v>18</v>
      </c>
      <c r="L21534" s="2">
        <v>306</v>
      </c>
    </row>
    <row r="21535" spans="1:12" x14ac:dyDescent="0.25">
      <c r="A21535" s="4" t="str">
        <f>HYPERLINK("http://www.rosaceae.org/Prunus/Prunus_persica/p.persica_gdr_reftransV1_0020033","p.persica_gdr_reftransV1_0020033")</f>
        <v>p.persica_gdr_reftransV1_0020033</v>
      </c>
      <c r="B21535" s="2">
        <v>1773</v>
      </c>
      <c r="C21535" s="4" t="str">
        <f>HYPERLINK("http://www.uniprot.org/uniprot/M5WX26","M5WX26")</f>
        <v>M5WX26</v>
      </c>
      <c r="D21535" s="2" t="s">
        <v>6000</v>
      </c>
      <c r="E21535" s="3">
        <v>0</v>
      </c>
      <c r="F21535" s="2">
        <v>2512</v>
      </c>
      <c r="G21535" s="2">
        <v>92</v>
      </c>
      <c r="H21535" s="2">
        <v>516</v>
      </c>
      <c r="I21535" s="2">
        <v>2</v>
      </c>
      <c r="J21535" s="2">
        <v>1549</v>
      </c>
      <c r="K21535" s="2">
        <v>347</v>
      </c>
      <c r="L21535" s="2">
        <v>821</v>
      </c>
    </row>
    <row r="21536" spans="1:12" x14ac:dyDescent="0.25">
      <c r="A21536" s="4" t="str">
        <f>HYPERLINK("http://www.rosaceae.org/Prunus/Prunus_persica/p.persica_gdr_reftransV1_0021083","p.persica_gdr_reftransV1_0021083")</f>
        <v>p.persica_gdr_reftransV1_0021083</v>
      </c>
      <c r="B21536" s="2">
        <v>1399</v>
      </c>
      <c r="C21536" s="4" t="str">
        <f>HYPERLINK("http://www.uniprot.org/uniprot/M5XD50","M5XD50")</f>
        <v>M5XD50</v>
      </c>
      <c r="D21536" s="2" t="s">
        <v>16057</v>
      </c>
      <c r="E21536" s="3">
        <v>5.91E-155</v>
      </c>
      <c r="F21536" s="2">
        <v>1166</v>
      </c>
      <c r="G21536" s="2">
        <v>100</v>
      </c>
      <c r="H21536" s="2">
        <v>284</v>
      </c>
      <c r="I21536" s="2">
        <v>215</v>
      </c>
      <c r="J21536" s="2">
        <v>1066</v>
      </c>
      <c r="K21536" s="2">
        <v>1</v>
      </c>
      <c r="L21536" s="2">
        <v>284</v>
      </c>
    </row>
    <row r="21537" spans="1:12" x14ac:dyDescent="0.25">
      <c r="A21537" s="4" t="str">
        <f>HYPERLINK("http://www.rosaceae.org/Prunus/Prunus_persica/p.persica_gdr_reftransV1_0021783","p.persica_gdr_reftransV1_0021783")</f>
        <v>p.persica_gdr_reftransV1_0021783</v>
      </c>
      <c r="B21537" s="2">
        <v>2311</v>
      </c>
      <c r="C21537" s="4" t="str">
        <f>HYPERLINK("http://www.uniprot.org/uniprot/M5WU94","M5WU94")</f>
        <v>M5WU94</v>
      </c>
      <c r="D21537" s="2" t="s">
        <v>16058</v>
      </c>
      <c r="E21537" s="3">
        <v>9.3400000000000004E-146</v>
      </c>
      <c r="F21537" s="2">
        <v>1140</v>
      </c>
      <c r="G21537" s="2">
        <v>100</v>
      </c>
      <c r="H21537" s="2">
        <v>229</v>
      </c>
      <c r="I21537" s="2">
        <v>1405</v>
      </c>
      <c r="J21537" s="2">
        <v>2091</v>
      </c>
      <c r="K21537" s="2">
        <v>1</v>
      </c>
      <c r="L21537" s="2">
        <v>229</v>
      </c>
    </row>
    <row r="21538" spans="1:12" x14ac:dyDescent="0.25">
      <c r="A21538" s="4" t="str">
        <f>HYPERLINK("http://www.rosaceae.org/Prunus/Prunus_persica/p.persica_gdr_reftransV1_0022133","p.persica_gdr_reftransV1_0022133")</f>
        <v>p.persica_gdr_reftransV1_0022133</v>
      </c>
      <c r="B21538" s="2">
        <v>2140</v>
      </c>
      <c r="C21538" s="4" t="str">
        <f>HYPERLINK("http://www.uniprot.org/uniprot/M5WEH5","M5WEH5")</f>
        <v>M5WEH5</v>
      </c>
      <c r="D21538" s="2" t="s">
        <v>16059</v>
      </c>
      <c r="E21538" s="3">
        <v>0</v>
      </c>
      <c r="F21538" s="2">
        <v>2618</v>
      </c>
      <c r="G21538" s="2">
        <v>100</v>
      </c>
      <c r="H21538" s="2">
        <v>573</v>
      </c>
      <c r="I21538" s="2">
        <v>142</v>
      </c>
      <c r="J21538" s="2">
        <v>1860</v>
      </c>
      <c r="K21538" s="2">
        <v>1</v>
      </c>
      <c r="L21538" s="2">
        <v>573</v>
      </c>
    </row>
    <row r="21539" spans="1:12" x14ac:dyDescent="0.25">
      <c r="A21539" s="4" t="str">
        <f>HYPERLINK("http://www.rosaceae.org/Prunus/Prunus_persica/p.persica_gdr_reftransV1_0023183","p.persica_gdr_reftransV1_0023183")</f>
        <v>p.persica_gdr_reftransV1_0023183</v>
      </c>
      <c r="B21539" s="2">
        <v>933</v>
      </c>
      <c r="C21539" s="4" t="str">
        <f>HYPERLINK("http://www.uniprot.org/uniprot/M5Y1U4","M5Y1U4")</f>
        <v>M5Y1U4</v>
      </c>
      <c r="D21539" s="2" t="s">
        <v>7860</v>
      </c>
      <c r="E21539" s="3">
        <v>2.26E-156</v>
      </c>
      <c r="F21539" s="2">
        <v>1249</v>
      </c>
      <c r="G21539" s="2">
        <v>100</v>
      </c>
      <c r="H21539" s="2">
        <v>233</v>
      </c>
      <c r="I21539" s="2">
        <v>233</v>
      </c>
      <c r="J21539" s="2">
        <v>931</v>
      </c>
      <c r="K21539" s="2">
        <v>1235</v>
      </c>
      <c r="L21539" s="2">
        <v>1467</v>
      </c>
    </row>
    <row r="21540" spans="1:12" x14ac:dyDescent="0.25">
      <c r="A21540" s="4" t="str">
        <f>HYPERLINK("http://www.rosaceae.org/Prunus/Prunus_persica/p.persica_gdr_reftransV1_0023533","p.persica_gdr_reftransV1_0023533")</f>
        <v>p.persica_gdr_reftransV1_0023533</v>
      </c>
      <c r="B21540" s="2">
        <v>307</v>
      </c>
      <c r="C21540" s="4" t="str">
        <f>HYPERLINK("http://www.uniprot.org/uniprot/M5VM05","M5VM05")</f>
        <v>M5VM05</v>
      </c>
      <c r="D21540" s="2" t="s">
        <v>11585</v>
      </c>
      <c r="E21540" s="3">
        <v>1.9099999999999999E-38</v>
      </c>
      <c r="F21540" s="2">
        <v>362</v>
      </c>
      <c r="G21540" s="2">
        <v>100</v>
      </c>
      <c r="H21540" s="2">
        <v>102</v>
      </c>
      <c r="I21540" s="2">
        <v>1</v>
      </c>
      <c r="J21540" s="2">
        <v>306</v>
      </c>
      <c r="K21540" s="2">
        <v>351</v>
      </c>
      <c r="L21540" s="2">
        <v>452</v>
      </c>
    </row>
    <row r="21541" spans="1:12" x14ac:dyDescent="0.25">
      <c r="A21541" s="4" t="str">
        <f>HYPERLINK("http://www.rosaceae.org/Prunus/Prunus_persica/p.persica_gdr_reftransV1_0024233","p.persica_gdr_reftransV1_0024233")</f>
        <v>p.persica_gdr_reftransV1_0024233</v>
      </c>
      <c r="B21541" s="2">
        <v>1971</v>
      </c>
      <c r="C21541" s="4" t="str">
        <f>HYPERLINK("http://www.uniprot.org/uniprot/M5VYJ8","M5VYJ8")</f>
        <v>M5VYJ8</v>
      </c>
      <c r="D21541" s="2" t="s">
        <v>16060</v>
      </c>
      <c r="E21541" s="3">
        <v>0</v>
      </c>
      <c r="F21541" s="2">
        <v>1954</v>
      </c>
      <c r="G21541" s="2">
        <v>88</v>
      </c>
      <c r="H21541" s="2">
        <v>446</v>
      </c>
      <c r="I21541" s="2">
        <v>186</v>
      </c>
      <c r="J21541" s="2">
        <v>1523</v>
      </c>
      <c r="K21541" s="2">
        <v>1</v>
      </c>
      <c r="L21541" s="2">
        <v>394</v>
      </c>
    </row>
    <row r="21542" spans="1:12" x14ac:dyDescent="0.25">
      <c r="A21542" s="4" t="str">
        <f>HYPERLINK("http://www.rosaceae.org/Prunus/Prunus_persica/p.persica_gdr_reftransV1_0024583","p.persica_gdr_reftransV1_0024583")</f>
        <v>p.persica_gdr_reftransV1_0024583</v>
      </c>
      <c r="B21542" s="2">
        <v>2929</v>
      </c>
      <c r="C21542" s="4" t="str">
        <f>HYPERLINK("http://www.uniprot.org/uniprot/M5WGG5","M5WGG5")</f>
        <v>M5WGG5</v>
      </c>
      <c r="D21542" s="2" t="s">
        <v>16061</v>
      </c>
      <c r="E21542" s="3">
        <v>0</v>
      </c>
      <c r="F21542" s="2">
        <v>2065</v>
      </c>
      <c r="G21542" s="2">
        <v>100</v>
      </c>
      <c r="H21542" s="2">
        <v>452</v>
      </c>
      <c r="I21542" s="2">
        <v>1255</v>
      </c>
      <c r="J21542" s="2">
        <v>2610</v>
      </c>
      <c r="K21542" s="2">
        <v>1</v>
      </c>
      <c r="L21542" s="2">
        <v>452</v>
      </c>
    </row>
    <row r="21543" spans="1:12" x14ac:dyDescent="0.25">
      <c r="A21543" s="4" t="str">
        <f>HYPERLINK("http://www.rosaceae.org/Prunus/Prunus_persica/p.persica_gdr_reftransV1_0025283","p.persica_gdr_reftransV1_0025283")</f>
        <v>p.persica_gdr_reftransV1_0025283</v>
      </c>
      <c r="B21543" s="2">
        <v>2192</v>
      </c>
      <c r="C21543" s="4" t="str">
        <f>HYPERLINK("http://www.uniprot.org/uniprot/M5WBE6","M5WBE6")</f>
        <v>M5WBE6</v>
      </c>
      <c r="D21543" s="2" t="s">
        <v>16062</v>
      </c>
      <c r="E21543" s="3">
        <v>2.4099999999999998E-159</v>
      </c>
      <c r="F21543" s="2">
        <v>1220</v>
      </c>
      <c r="G21543" s="2">
        <v>100</v>
      </c>
      <c r="H21543" s="2">
        <v>285</v>
      </c>
      <c r="I21543" s="2">
        <v>313</v>
      </c>
      <c r="J21543" s="2">
        <v>1167</v>
      </c>
      <c r="K21543" s="2">
        <v>1</v>
      </c>
      <c r="L21543" s="2">
        <v>285</v>
      </c>
    </row>
    <row r="21544" spans="1:12" x14ac:dyDescent="0.25">
      <c r="A21544" s="4" t="str">
        <f>HYPERLINK("http://www.rosaceae.org/Prunus/Prunus_persica/p.persica_gdr_reftransV1_0026333","p.persica_gdr_reftransV1_0026333")</f>
        <v>p.persica_gdr_reftransV1_0026333</v>
      </c>
      <c r="B21544" s="2">
        <v>2436</v>
      </c>
      <c r="C21544" s="4" t="str">
        <f>HYPERLINK("http://www.uniprot.org/uniprot/M5WVF6","M5WVF6")</f>
        <v>M5WVF6</v>
      </c>
      <c r="D21544" s="2" t="s">
        <v>2946</v>
      </c>
      <c r="E21544" s="3">
        <v>1.8499999999999999E-53</v>
      </c>
      <c r="F21544" s="2">
        <v>495</v>
      </c>
      <c r="G21544" s="2">
        <v>82</v>
      </c>
      <c r="H21544" s="2">
        <v>125</v>
      </c>
      <c r="I21544" s="2">
        <v>825</v>
      </c>
      <c r="J21544" s="2">
        <v>1199</v>
      </c>
      <c r="K21544" s="2">
        <v>49</v>
      </c>
      <c r="L21544" s="2">
        <v>173</v>
      </c>
    </row>
    <row r="21545" spans="1:12" x14ac:dyDescent="0.25">
      <c r="A21545" s="4" t="str">
        <f>HYPERLINK("http://www.rosaceae.org/Prunus/Prunus_persica/p.persica_gdr_reftransV1_0026683","p.persica_gdr_reftransV1_0026683")</f>
        <v>p.persica_gdr_reftransV1_0026683</v>
      </c>
      <c r="B21545" s="2">
        <v>2228</v>
      </c>
      <c r="C21545" s="4" t="str">
        <f>HYPERLINK("http://www.uniprot.org/uniprot/M5VH27","M5VH27")</f>
        <v>M5VH27</v>
      </c>
      <c r="D21545" s="2" t="s">
        <v>16063</v>
      </c>
      <c r="E21545" s="3">
        <v>0</v>
      </c>
      <c r="F21545" s="2">
        <v>1472</v>
      </c>
      <c r="G21545" s="2">
        <v>100</v>
      </c>
      <c r="H21545" s="2">
        <v>280</v>
      </c>
      <c r="I21545" s="2">
        <v>1016</v>
      </c>
      <c r="J21545" s="2">
        <v>1855</v>
      </c>
      <c r="K21545" s="2">
        <v>1</v>
      </c>
      <c r="L21545" s="2">
        <v>280</v>
      </c>
    </row>
    <row r="21546" spans="1:12" x14ac:dyDescent="0.25">
      <c r="A21546" s="4" t="str">
        <f>HYPERLINK("http://www.rosaceae.org/Prunus/Prunus_persica/p.persica_gdr_reftransV1_0027383","p.persica_gdr_reftransV1_0027383")</f>
        <v>p.persica_gdr_reftransV1_0027383</v>
      </c>
      <c r="B21546" s="2">
        <v>2043</v>
      </c>
      <c r="C21546" s="4" t="str">
        <f>HYPERLINK("http://www.uniprot.org/uniprot/M5WV05","M5WV05")</f>
        <v>M5WV05</v>
      </c>
      <c r="D21546" s="2" t="s">
        <v>16064</v>
      </c>
      <c r="E21546" s="3">
        <v>4.8800000000000004E-146</v>
      </c>
      <c r="F21546" s="2">
        <v>1128</v>
      </c>
      <c r="G21546" s="2">
        <v>100</v>
      </c>
      <c r="H21546" s="2">
        <v>216</v>
      </c>
      <c r="I21546" s="2">
        <v>18</v>
      </c>
      <c r="J21546" s="2">
        <v>665</v>
      </c>
      <c r="K21546" s="2">
        <v>1</v>
      </c>
      <c r="L21546" s="2">
        <v>216</v>
      </c>
    </row>
    <row r="21547" spans="1:12" x14ac:dyDescent="0.25">
      <c r="A21547" s="4" t="str">
        <f>HYPERLINK("http://www.rosaceae.org/Prunus/Prunus_persica/p.persica_gdr_reftransV1_0028083","p.persica_gdr_reftransV1_0028083")</f>
        <v>p.persica_gdr_reftransV1_0028083</v>
      </c>
      <c r="B21547" s="2">
        <v>427</v>
      </c>
      <c r="C21547" s="4" t="str">
        <f>HYPERLINK("http://www.uniprot.org/uniprot/M5XPQ2","M5XPQ2")</f>
        <v>M5XPQ2</v>
      </c>
      <c r="D21547" s="2" t="s">
        <v>2753</v>
      </c>
      <c r="E21547" s="3">
        <v>7.8299999999999998E-64</v>
      </c>
      <c r="F21547" s="2">
        <v>565</v>
      </c>
      <c r="G21547" s="2">
        <v>100</v>
      </c>
      <c r="H21547" s="2">
        <v>106</v>
      </c>
      <c r="I21547" s="2">
        <v>2</v>
      </c>
      <c r="J21547" s="2">
        <v>319</v>
      </c>
      <c r="K21547" s="2">
        <v>96</v>
      </c>
      <c r="L21547" s="2">
        <v>201</v>
      </c>
    </row>
    <row r="21548" spans="1:12" x14ac:dyDescent="0.25">
      <c r="A21548" s="4" t="str">
        <f>HYPERLINK("http://www.rosaceae.org/Prunus/Prunus_persica/p.persica_gdr_reftransV1_0028433","p.persica_gdr_reftransV1_0028433")</f>
        <v>p.persica_gdr_reftransV1_0028433</v>
      </c>
      <c r="B21548" s="2">
        <v>1190</v>
      </c>
      <c r="C21548" s="4" t="str">
        <f>HYPERLINK("http://www.uniprot.org/uniprot/M5X6A2","M5X6A2")</f>
        <v>M5X6A2</v>
      </c>
      <c r="D21548" s="2" t="s">
        <v>16065</v>
      </c>
      <c r="E21548" s="3">
        <v>2.2000000000000001E-80</v>
      </c>
      <c r="F21548" s="2">
        <v>652</v>
      </c>
      <c r="G21548" s="2">
        <v>99</v>
      </c>
      <c r="H21548" s="2">
        <v>151</v>
      </c>
      <c r="I21548" s="2">
        <v>502</v>
      </c>
      <c r="J21548" s="2">
        <v>954</v>
      </c>
      <c r="K21548" s="2">
        <v>10</v>
      </c>
      <c r="L21548" s="2">
        <v>160</v>
      </c>
    </row>
    <row r="21549" spans="1:12" x14ac:dyDescent="0.25">
      <c r="A21549" s="4" t="str">
        <f>HYPERLINK("http://www.rosaceae.org/Prunus/Prunus_persica/p.persica_gdr_reftransV1_0030533","p.persica_gdr_reftransV1_0030533")</f>
        <v>p.persica_gdr_reftransV1_0030533</v>
      </c>
      <c r="B21549" s="2">
        <v>1040</v>
      </c>
      <c r="C21549" s="4" t="str">
        <f>HYPERLINK("http://www.uniprot.org/uniprot/M5WUE2","M5WUE2")</f>
        <v>M5WUE2</v>
      </c>
      <c r="D21549" s="2" t="s">
        <v>2149</v>
      </c>
      <c r="E21549" s="3">
        <v>8.61E-93</v>
      </c>
      <c r="F21549" s="2">
        <v>753</v>
      </c>
      <c r="G21549" s="2">
        <v>100</v>
      </c>
      <c r="H21549" s="2">
        <v>243</v>
      </c>
      <c r="I21549" s="2">
        <v>312</v>
      </c>
      <c r="J21549" s="2">
        <v>1040</v>
      </c>
      <c r="K21549" s="2">
        <v>1</v>
      </c>
      <c r="L21549" s="2">
        <v>243</v>
      </c>
    </row>
    <row r="21550" spans="1:12" x14ac:dyDescent="0.25">
      <c r="A21550" s="4" t="str">
        <f>HYPERLINK("http://www.rosaceae.org/Prunus/Prunus_persica/p.persica_gdr_reftransV1_0030883","p.persica_gdr_reftransV1_0030883")</f>
        <v>p.persica_gdr_reftransV1_0030883</v>
      </c>
      <c r="B21550" s="2">
        <v>3048</v>
      </c>
      <c r="C21550" s="4" t="str">
        <f>HYPERLINK("http://www.uniprot.org/uniprot/M5VWR4","M5VWR4")</f>
        <v>M5VWR4</v>
      </c>
      <c r="D21550" s="2" t="s">
        <v>3227</v>
      </c>
      <c r="E21550" s="3">
        <v>0</v>
      </c>
      <c r="F21550" s="2">
        <v>2894</v>
      </c>
      <c r="G21550" s="2">
        <v>100</v>
      </c>
      <c r="H21550" s="2">
        <v>564</v>
      </c>
      <c r="I21550" s="2">
        <v>1275</v>
      </c>
      <c r="J21550" s="2">
        <v>2966</v>
      </c>
      <c r="K21550" s="2">
        <v>1</v>
      </c>
      <c r="L21550" s="2">
        <v>564</v>
      </c>
    </row>
    <row r="21551" spans="1:12" x14ac:dyDescent="0.25">
      <c r="A21551" s="4" t="str">
        <f>HYPERLINK("http://www.rosaceae.org/Prunus/Prunus_persica/p.persica_gdr_reftransV1_0031233","p.persica_gdr_reftransV1_0031233")</f>
        <v>p.persica_gdr_reftransV1_0031233</v>
      </c>
      <c r="B21551" s="2">
        <v>2933</v>
      </c>
      <c r="C21551" s="4" t="str">
        <f>HYPERLINK("http://www.uniprot.org/uniprot/M5W4F6","M5W4F6")</f>
        <v>M5W4F6</v>
      </c>
      <c r="D21551" s="2" t="s">
        <v>16066</v>
      </c>
      <c r="E21551" s="3">
        <v>0</v>
      </c>
      <c r="F21551" s="2">
        <v>1801</v>
      </c>
      <c r="G21551" s="2">
        <v>100</v>
      </c>
      <c r="H21551" s="2">
        <v>338</v>
      </c>
      <c r="I21551" s="2">
        <v>1518</v>
      </c>
      <c r="J21551" s="2">
        <v>2531</v>
      </c>
      <c r="K21551" s="2">
        <v>1</v>
      </c>
      <c r="L21551" s="2">
        <v>338</v>
      </c>
    </row>
    <row r="21552" spans="1:12" x14ac:dyDescent="0.25">
      <c r="A21552" s="4" t="str">
        <f>HYPERLINK("http://www.rosaceae.org/Prunus/Prunus_persica/p.persica_gdr_reftransV1_0031933","p.persica_gdr_reftransV1_0031933")</f>
        <v>p.persica_gdr_reftransV1_0031933</v>
      </c>
      <c r="B21552" s="2">
        <v>3518</v>
      </c>
      <c r="C21552" s="4" t="str">
        <f>HYPERLINK("http://www.uniprot.org/uniprot/M5XAC8","M5XAC8")</f>
        <v>M5XAC8</v>
      </c>
      <c r="D21552" s="2" t="s">
        <v>3349</v>
      </c>
      <c r="E21552" s="3">
        <v>0</v>
      </c>
      <c r="F21552" s="2">
        <v>1600</v>
      </c>
      <c r="G21552" s="2">
        <v>99</v>
      </c>
      <c r="H21552" s="2">
        <v>297</v>
      </c>
      <c r="I21552" s="2">
        <v>155</v>
      </c>
      <c r="J21552" s="2">
        <v>1045</v>
      </c>
      <c r="K21552" s="2">
        <v>320</v>
      </c>
      <c r="L21552" s="2">
        <v>616</v>
      </c>
    </row>
    <row r="21553" spans="1:12" x14ac:dyDescent="0.25">
      <c r="A21553" s="4" t="str">
        <f>HYPERLINK("http://www.rosaceae.org/Prunus/Prunus_persica/p.persica_gdr_reftransV1_0032983","p.persica_gdr_reftransV1_0032983")</f>
        <v>p.persica_gdr_reftransV1_0032983</v>
      </c>
      <c r="B21553" s="2">
        <v>570</v>
      </c>
      <c r="C21553" s="4" t="str">
        <f>HYPERLINK("http://www.uniprot.org/uniprot/M5WL89","M5WL89")</f>
        <v>M5WL89</v>
      </c>
      <c r="D21553" s="2" t="s">
        <v>16067</v>
      </c>
      <c r="E21553" s="3">
        <v>9.9300000000000002E-64</v>
      </c>
      <c r="F21553" s="2">
        <v>516</v>
      </c>
      <c r="G21553" s="2">
        <v>100</v>
      </c>
      <c r="H21553" s="2">
        <v>99</v>
      </c>
      <c r="I21553" s="2">
        <v>203</v>
      </c>
      <c r="J21553" s="2">
        <v>499</v>
      </c>
      <c r="K21553" s="2">
        <v>1</v>
      </c>
      <c r="L21553" s="2">
        <v>99</v>
      </c>
    </row>
    <row r="21554" spans="1:12" x14ac:dyDescent="0.25">
      <c r="A21554" s="4" t="str">
        <f>HYPERLINK("http://www.rosaceae.org/Prunus/Prunus_persica/p.persica_gdr_reftransV1_0033683","p.persica_gdr_reftransV1_0033683")</f>
        <v>p.persica_gdr_reftransV1_0033683</v>
      </c>
      <c r="B21554" s="2">
        <v>2390</v>
      </c>
      <c r="C21554" s="4" t="str">
        <f>HYPERLINK("http://www.uniprot.org/uniprot/M5XNF7","M5XNF7")</f>
        <v>M5XNF7</v>
      </c>
      <c r="D21554" s="2" t="s">
        <v>16068</v>
      </c>
      <c r="E21554" s="3">
        <v>7.0900000000000004E-37</v>
      </c>
      <c r="F21554" s="2">
        <v>373</v>
      </c>
      <c r="G21554" s="2">
        <v>92</v>
      </c>
      <c r="H21554" s="2">
        <v>79</v>
      </c>
      <c r="I21554" s="2">
        <v>572</v>
      </c>
      <c r="J21554" s="2">
        <v>805</v>
      </c>
      <c r="K21554" s="2">
        <v>10</v>
      </c>
      <c r="L21554" s="2">
        <v>88</v>
      </c>
    </row>
    <row r="21555" spans="1:12" x14ac:dyDescent="0.25">
      <c r="A21555" s="4" t="str">
        <f>HYPERLINK("http://www.rosaceae.org/Prunus/Prunus_persica/p.persica_gdr_reftransV1_0034383","p.persica_gdr_reftransV1_0034383")</f>
        <v>p.persica_gdr_reftransV1_0034383</v>
      </c>
      <c r="B21555" s="2">
        <v>3372</v>
      </c>
      <c r="C21555" s="4" t="str">
        <f>HYPERLINK("http://www.uniprot.org/uniprot/M5WPD9","M5WPD9")</f>
        <v>M5WPD9</v>
      </c>
      <c r="D21555" s="2" t="s">
        <v>9886</v>
      </c>
      <c r="E21555" s="3">
        <v>0</v>
      </c>
      <c r="F21555" s="2">
        <v>2433</v>
      </c>
      <c r="G21555" s="2">
        <v>97</v>
      </c>
      <c r="H21555" s="2">
        <v>483</v>
      </c>
      <c r="I21555" s="2">
        <v>1712</v>
      </c>
      <c r="J21555" s="2">
        <v>3160</v>
      </c>
      <c r="K21555" s="2">
        <v>1</v>
      </c>
      <c r="L21555" s="2">
        <v>483</v>
      </c>
    </row>
    <row r="21556" spans="1:12" x14ac:dyDescent="0.25">
      <c r="A21556" s="4" t="str">
        <f>HYPERLINK("http://www.rosaceae.org/Prunus/Prunus_persica/p.persica_gdr_reftransV1_0037533","p.persica_gdr_reftransV1_0037533")</f>
        <v>p.persica_gdr_reftransV1_0037533</v>
      </c>
      <c r="B21556" s="2">
        <v>2538</v>
      </c>
      <c r="C21556" s="4" t="str">
        <f>HYPERLINK("http://www.uniprot.org/uniprot/M5W440","M5W440")</f>
        <v>M5W440</v>
      </c>
      <c r="D21556" s="2" t="s">
        <v>16069</v>
      </c>
      <c r="E21556" s="3">
        <v>0</v>
      </c>
      <c r="F21556" s="2">
        <v>3290</v>
      </c>
      <c r="G21556" s="2">
        <v>100</v>
      </c>
      <c r="H21556" s="2">
        <v>673</v>
      </c>
      <c r="I21556" s="2">
        <v>50</v>
      </c>
      <c r="J21556" s="2">
        <v>2068</v>
      </c>
      <c r="K21556" s="2">
        <v>1</v>
      </c>
      <c r="L21556" s="2">
        <v>673</v>
      </c>
    </row>
    <row r="21557" spans="1:12" x14ac:dyDescent="0.25">
      <c r="A21557" s="4" t="str">
        <f>HYPERLINK("http://www.rosaceae.org/Prunus/Prunus_persica/p.persica_gdr_reftransV1_0037883","p.persica_gdr_reftransV1_0037883")</f>
        <v>p.persica_gdr_reftransV1_0037883</v>
      </c>
      <c r="B21557" s="2">
        <v>2360</v>
      </c>
      <c r="C21557" s="4" t="str">
        <f>HYPERLINK("http://www.uniprot.org/uniprot/M5XD00","M5XD00")</f>
        <v>M5XD00</v>
      </c>
      <c r="D21557" s="2" t="s">
        <v>4870</v>
      </c>
      <c r="E21557" s="3">
        <v>0</v>
      </c>
      <c r="F21557" s="2">
        <v>1426</v>
      </c>
      <c r="G21557" s="2">
        <v>99</v>
      </c>
      <c r="H21557" s="2">
        <v>349</v>
      </c>
      <c r="I21557" s="2">
        <v>289</v>
      </c>
      <c r="J21557" s="2">
        <v>1335</v>
      </c>
      <c r="K21557" s="2">
        <v>1</v>
      </c>
      <c r="L21557" s="2">
        <v>349</v>
      </c>
    </row>
    <row r="21558" spans="1:12" x14ac:dyDescent="0.25">
      <c r="A21558" s="4" t="str">
        <f>HYPERLINK("http://www.rosaceae.org/Prunus/Prunus_persica/p.persica_gdr_reftransV1_0039633","p.persica_gdr_reftransV1_0039633")</f>
        <v>p.persica_gdr_reftransV1_0039633</v>
      </c>
      <c r="B21558" s="2">
        <v>2679</v>
      </c>
      <c r="C21558" s="4" t="str">
        <f>HYPERLINK("http://www.uniprot.org/uniprot/M4QC22","M4QC22")</f>
        <v>M4QC22</v>
      </c>
      <c r="D21558" s="2" t="s">
        <v>14675</v>
      </c>
      <c r="E21558" s="3">
        <v>4.1000000000000001E-154</v>
      </c>
      <c r="F21558" s="2">
        <v>1206</v>
      </c>
      <c r="G21558" s="2">
        <v>96</v>
      </c>
      <c r="H21558" s="2">
        <v>237</v>
      </c>
      <c r="I21558" s="2">
        <v>1173</v>
      </c>
      <c r="J21558" s="2">
        <v>1883</v>
      </c>
      <c r="K21558" s="2">
        <v>42</v>
      </c>
      <c r="L21558" s="2">
        <v>278</v>
      </c>
    </row>
    <row r="21559" spans="1:12" x14ac:dyDescent="0.25">
      <c r="A21559" s="4" t="str">
        <f>HYPERLINK("http://www.rosaceae.org/Prunus/Prunus_persica/p.persica_gdr_reftransV1_0042433","p.persica_gdr_reftransV1_0042433")</f>
        <v>p.persica_gdr_reftransV1_0042433</v>
      </c>
      <c r="B21559" s="2">
        <v>5497</v>
      </c>
      <c r="C21559" s="4" t="str">
        <f>HYPERLINK("http://www.uniprot.org/uniprot/M5XL72","M5XL72")</f>
        <v>M5XL72</v>
      </c>
      <c r="D21559" s="2" t="s">
        <v>13448</v>
      </c>
      <c r="E21559" s="3">
        <v>0</v>
      </c>
      <c r="F21559" s="2">
        <v>1939</v>
      </c>
      <c r="G21559" s="2">
        <v>99</v>
      </c>
      <c r="H21559" s="2">
        <v>383</v>
      </c>
      <c r="I21559" s="2">
        <v>4079</v>
      </c>
      <c r="J21559" s="2">
        <v>5227</v>
      </c>
      <c r="K21559" s="2">
        <v>198</v>
      </c>
      <c r="L21559" s="2">
        <v>580</v>
      </c>
    </row>
    <row r="21560" spans="1:12" x14ac:dyDescent="0.25">
      <c r="A21560" s="4" t="str">
        <f>HYPERLINK("http://www.rosaceae.org/Prunus/Prunus_persica/p.persica_gdr_reftransV1_0043133","p.persica_gdr_reftransV1_0043133")</f>
        <v>p.persica_gdr_reftransV1_0043133</v>
      </c>
      <c r="B21560" s="2">
        <v>466</v>
      </c>
      <c r="C21560" s="4" t="str">
        <f>HYPERLINK("http://www.uniprot.org/uniprot/M5XBJ3","M5XBJ3")</f>
        <v>M5XBJ3</v>
      </c>
      <c r="D21560" s="2" t="s">
        <v>4506</v>
      </c>
      <c r="E21560" s="3">
        <v>6.9400000000000002E-103</v>
      </c>
      <c r="F21560" s="2">
        <v>803</v>
      </c>
      <c r="G21560" s="2">
        <v>99</v>
      </c>
      <c r="H21560" s="2">
        <v>150</v>
      </c>
      <c r="I21560" s="2">
        <v>1</v>
      </c>
      <c r="J21560" s="2">
        <v>450</v>
      </c>
      <c r="K21560" s="2">
        <v>88</v>
      </c>
      <c r="L21560" s="2">
        <v>237</v>
      </c>
    </row>
    <row r="21561" spans="1:12" x14ac:dyDescent="0.25">
      <c r="A21561" s="4" t="str">
        <f>HYPERLINK("http://www.rosaceae.org/Prunus/Prunus_persica/p.persica_gdr_reftransV1_0043483","p.persica_gdr_reftransV1_0043483")</f>
        <v>p.persica_gdr_reftransV1_0043483</v>
      </c>
      <c r="B21561" s="2">
        <v>720</v>
      </c>
      <c r="C21561" s="4" t="str">
        <f>HYPERLINK("http://www.uniprot.org/uniprot/M5WVP7","M5WVP7")</f>
        <v>M5WVP7</v>
      </c>
      <c r="D21561" s="2" t="s">
        <v>16070</v>
      </c>
      <c r="E21561" s="3">
        <v>8.7799999999999996E-87</v>
      </c>
      <c r="F21561" s="2">
        <v>677</v>
      </c>
      <c r="G21561" s="2">
        <v>100</v>
      </c>
      <c r="H21561" s="2">
        <v>131</v>
      </c>
      <c r="I21561" s="2">
        <v>5</v>
      </c>
      <c r="J21561" s="2">
        <v>397</v>
      </c>
      <c r="K21561" s="2">
        <v>1</v>
      </c>
      <c r="L21561" s="2">
        <v>131</v>
      </c>
    </row>
    <row r="21562" spans="1:12" x14ac:dyDescent="0.25">
      <c r="A21562" s="4" t="str">
        <f>HYPERLINK("http://www.rosaceae.org/Prunus/Prunus_persica/p.persica_gdr_reftransV1_0043833","p.persica_gdr_reftransV1_0043833")</f>
        <v>p.persica_gdr_reftransV1_0043833</v>
      </c>
      <c r="B21562" s="2">
        <v>1781</v>
      </c>
      <c r="C21562" s="4" t="str">
        <f>HYPERLINK("http://www.uniprot.org/uniprot/M5W4J6","M5W4J6")</f>
        <v>M5W4J6</v>
      </c>
      <c r="D21562" s="2" t="s">
        <v>16071</v>
      </c>
      <c r="E21562" s="3">
        <v>0</v>
      </c>
      <c r="F21562" s="2">
        <v>2248</v>
      </c>
      <c r="G21562" s="2">
        <v>100</v>
      </c>
      <c r="H21562" s="2">
        <v>469</v>
      </c>
      <c r="I21562" s="2">
        <v>187</v>
      </c>
      <c r="J21562" s="2">
        <v>1593</v>
      </c>
      <c r="K21562" s="2">
        <v>41</v>
      </c>
      <c r="L21562" s="2">
        <v>509</v>
      </c>
    </row>
    <row r="21563" spans="1:12" x14ac:dyDescent="0.25">
      <c r="A21563" s="4" t="str">
        <f>HYPERLINK("http://www.rosaceae.org/Prunus/Prunus_persica/p.persica_gdr_reftransV1_0044183","p.persica_gdr_reftransV1_0044183")</f>
        <v>p.persica_gdr_reftransV1_0044183</v>
      </c>
      <c r="B21563" s="2">
        <v>386</v>
      </c>
      <c r="C21563" s="4" t="str">
        <f>HYPERLINK("http://www.uniprot.org/uniprot/M5W8G6","M5W8G6")</f>
        <v>M5W8G6</v>
      </c>
      <c r="D21563" s="2" t="s">
        <v>12618</v>
      </c>
      <c r="E21563" s="3">
        <v>2.6599999999999998E-41</v>
      </c>
      <c r="F21563" s="2">
        <v>390</v>
      </c>
      <c r="G21563" s="2">
        <v>99</v>
      </c>
      <c r="H21563" s="2">
        <v>75</v>
      </c>
      <c r="I21563" s="2">
        <v>160</v>
      </c>
      <c r="J21563" s="2">
        <v>384</v>
      </c>
      <c r="K21563" s="2">
        <v>1</v>
      </c>
      <c r="L21563" s="2">
        <v>75</v>
      </c>
    </row>
    <row r="21564" spans="1:12" x14ac:dyDescent="0.25">
      <c r="A21564" s="4" t="str">
        <f>HYPERLINK("http://www.rosaceae.org/Prunus/Prunus_persica/p.persica_gdr_reftransV1_0044533","p.persica_gdr_reftransV1_0044533")</f>
        <v>p.persica_gdr_reftransV1_0044533</v>
      </c>
      <c r="B21564" s="2">
        <v>1662</v>
      </c>
      <c r="C21564" s="4" t="str">
        <f>HYPERLINK("http://www.uniprot.org/uniprot/M5W218","M5W218")</f>
        <v>M5W218</v>
      </c>
      <c r="D21564" s="2" t="s">
        <v>14666</v>
      </c>
      <c r="E21564" s="3">
        <v>0</v>
      </c>
      <c r="F21564" s="2">
        <v>2123</v>
      </c>
      <c r="G21564" s="2">
        <v>100</v>
      </c>
      <c r="H21564" s="2">
        <v>426</v>
      </c>
      <c r="I21564" s="2">
        <v>99</v>
      </c>
      <c r="J21564" s="2">
        <v>1376</v>
      </c>
      <c r="K21564" s="2">
        <v>7</v>
      </c>
      <c r="L21564" s="2">
        <v>432</v>
      </c>
    </row>
    <row r="21565" spans="1:12" x14ac:dyDescent="0.25">
      <c r="A21565" s="4" t="str">
        <f>HYPERLINK("http://www.rosaceae.org/Prunus/Prunus_persica/p.persica_gdr_reftransV1_0044883","p.persica_gdr_reftransV1_0044883")</f>
        <v>p.persica_gdr_reftransV1_0044883</v>
      </c>
      <c r="B21565" s="2">
        <v>1158</v>
      </c>
      <c r="C21565" s="4" t="str">
        <f>HYPERLINK("http://www.uniprot.org/uniprot/M5Y710","M5Y710")</f>
        <v>M5Y710</v>
      </c>
      <c r="D21565" s="2" t="s">
        <v>16072</v>
      </c>
      <c r="E21565" s="3">
        <v>4.0199999999999997E-154</v>
      </c>
      <c r="F21565" s="2">
        <v>1185</v>
      </c>
      <c r="G21565" s="2">
        <v>95</v>
      </c>
      <c r="H21565" s="2">
        <v>285</v>
      </c>
      <c r="I21565" s="2">
        <v>290</v>
      </c>
      <c r="J21565" s="2">
        <v>1135</v>
      </c>
      <c r="K21565" s="2">
        <v>345</v>
      </c>
      <c r="L21565" s="2">
        <v>629</v>
      </c>
    </row>
    <row r="21566" spans="1:12" x14ac:dyDescent="0.25">
      <c r="A21566" s="4" t="str">
        <f>HYPERLINK("http://www.rosaceae.org/Prunus/Prunus_persica/p.persica_gdr_reftransV1_0045933","p.persica_gdr_reftransV1_0045933")</f>
        <v>p.persica_gdr_reftransV1_0045933</v>
      </c>
      <c r="B21566" s="2">
        <v>2033</v>
      </c>
      <c r="C21566" s="4" t="str">
        <f>HYPERLINK("http://www.uniprot.org/uniprot/M5WS66","M5WS66")</f>
        <v>M5WS66</v>
      </c>
      <c r="D21566" s="2" t="s">
        <v>16073</v>
      </c>
      <c r="E21566" s="3">
        <v>0</v>
      </c>
      <c r="F21566" s="2">
        <v>2719</v>
      </c>
      <c r="G21566" s="2">
        <v>100</v>
      </c>
      <c r="H21566" s="2">
        <v>570</v>
      </c>
      <c r="I21566" s="2">
        <v>113</v>
      </c>
      <c r="J21566" s="2">
        <v>1822</v>
      </c>
      <c r="K21566" s="2">
        <v>1</v>
      </c>
      <c r="L21566" s="2">
        <v>570</v>
      </c>
    </row>
    <row r="21567" spans="1:12" x14ac:dyDescent="0.25">
      <c r="A21567" s="4" t="str">
        <f>HYPERLINK("http://www.rosaceae.org/Prunus/Prunus_persica/p.persica_gdr_reftransV1_0046283","p.persica_gdr_reftransV1_0046283")</f>
        <v>p.persica_gdr_reftransV1_0046283</v>
      </c>
      <c r="B21567" s="2">
        <v>1293</v>
      </c>
      <c r="C21567" s="4" t="str">
        <f>HYPERLINK("http://www.uniprot.org/uniprot/M5XHL9","M5XHL9")</f>
        <v>M5XHL9</v>
      </c>
      <c r="D21567" s="2" t="s">
        <v>12161</v>
      </c>
      <c r="E21567" s="3">
        <v>3.0100000000000001E-97</v>
      </c>
      <c r="F21567" s="2">
        <v>797</v>
      </c>
      <c r="G21567" s="2">
        <v>93</v>
      </c>
      <c r="H21567" s="2">
        <v>256</v>
      </c>
      <c r="I21567" s="2">
        <v>318</v>
      </c>
      <c r="J21567" s="2">
        <v>1085</v>
      </c>
      <c r="K21567" s="2">
        <v>150</v>
      </c>
      <c r="L21567" s="2">
        <v>386</v>
      </c>
    </row>
    <row r="21568" spans="1:12" x14ac:dyDescent="0.25">
      <c r="A21568" s="4" t="str">
        <f>HYPERLINK("http://www.rosaceae.org/Prunus/Prunus_persica/p.persica_gdr_reftransV1_0046633","p.persica_gdr_reftransV1_0046633")</f>
        <v>p.persica_gdr_reftransV1_0046633</v>
      </c>
      <c r="B21568" s="2">
        <v>765</v>
      </c>
      <c r="C21568" s="4" t="str">
        <f>HYPERLINK("http://www.uniprot.org/uniprot/M5WG95","M5WG95")</f>
        <v>M5WG95</v>
      </c>
      <c r="D21568" s="2" t="s">
        <v>489</v>
      </c>
      <c r="E21568" s="3">
        <v>2.18E-146</v>
      </c>
      <c r="F21568" s="2">
        <v>1103</v>
      </c>
      <c r="G21568" s="2">
        <v>95</v>
      </c>
      <c r="H21568" s="2">
        <v>254</v>
      </c>
      <c r="I21568" s="2">
        <v>2</v>
      </c>
      <c r="J21568" s="2">
        <v>763</v>
      </c>
      <c r="K21568" s="2">
        <v>161</v>
      </c>
      <c r="L21568" s="2">
        <v>402</v>
      </c>
    </row>
    <row r="21569" spans="1:12" x14ac:dyDescent="0.25">
      <c r="A21569" s="4" t="str">
        <f>HYPERLINK("http://www.rosaceae.org/Prunus/Prunus_persica/p.persica_gdr_reftransV1_0047683","p.persica_gdr_reftransV1_0047683")</f>
        <v>p.persica_gdr_reftransV1_0047683</v>
      </c>
      <c r="B21569" s="2">
        <v>1134</v>
      </c>
      <c r="C21569" s="4" t="str">
        <f>HYPERLINK("http://www.uniprot.org/uniprot/A0A061DHW8","A0A061DHW8")</f>
        <v>A0A061DHW8</v>
      </c>
      <c r="D21569" s="2" t="s">
        <v>16074</v>
      </c>
      <c r="E21569" s="3">
        <v>3.1800000000000002E-26</v>
      </c>
      <c r="F21569" s="2">
        <v>301</v>
      </c>
      <c r="G21569" s="2">
        <v>57</v>
      </c>
      <c r="H21569" s="2">
        <v>130</v>
      </c>
      <c r="I21569" s="2">
        <v>449</v>
      </c>
      <c r="J21569" s="2">
        <v>829</v>
      </c>
      <c r="K21569" s="2">
        <v>1</v>
      </c>
      <c r="L21569" s="2">
        <v>126</v>
      </c>
    </row>
    <row r="21570" spans="1:12" x14ac:dyDescent="0.25">
      <c r="A21570" s="4" t="str">
        <f>HYPERLINK("http://www.rosaceae.org/Prunus/Prunus_persica/p.persica_gdr_reftransV1_0048033","p.persica_gdr_reftransV1_0048033")</f>
        <v>p.persica_gdr_reftransV1_0048033</v>
      </c>
      <c r="B21570" s="2">
        <v>3587</v>
      </c>
      <c r="C21570" s="4" t="str">
        <f>HYPERLINK("http://www.uniprot.org/uniprot/M5W797","M5W797")</f>
        <v>M5W797</v>
      </c>
      <c r="D21570" s="2" t="s">
        <v>768</v>
      </c>
      <c r="E21570" s="3">
        <v>0</v>
      </c>
      <c r="F21570" s="2">
        <v>5139</v>
      </c>
      <c r="G21570" s="2">
        <v>100</v>
      </c>
      <c r="H21570" s="2">
        <v>979</v>
      </c>
      <c r="I21570" s="2">
        <v>462</v>
      </c>
      <c r="J21570" s="2">
        <v>3398</v>
      </c>
      <c r="K21570" s="2">
        <v>1</v>
      </c>
      <c r="L21570" s="2">
        <v>979</v>
      </c>
    </row>
    <row r="21571" spans="1:12" x14ac:dyDescent="0.25">
      <c r="A21571" s="4" t="str">
        <f>HYPERLINK("http://www.rosaceae.org/Prunus/Prunus_persica/p.persica_gdr_reftransV1_0048383","p.persica_gdr_reftransV1_0048383")</f>
        <v>p.persica_gdr_reftransV1_0048383</v>
      </c>
      <c r="B21571" s="2">
        <v>3256</v>
      </c>
      <c r="C21571" s="4" t="str">
        <f>HYPERLINK("http://www.uniprot.org/uniprot/M5XAP5","M5XAP5")</f>
        <v>M5XAP5</v>
      </c>
      <c r="D21571" s="2" t="s">
        <v>13872</v>
      </c>
      <c r="E21571" s="3">
        <v>0</v>
      </c>
      <c r="F21571" s="2">
        <v>3448</v>
      </c>
      <c r="G21571" s="2">
        <v>100</v>
      </c>
      <c r="H21571" s="2">
        <v>779</v>
      </c>
      <c r="I21571" s="2">
        <v>11</v>
      </c>
      <c r="J21571" s="2">
        <v>2347</v>
      </c>
      <c r="K21571" s="2">
        <v>95</v>
      </c>
      <c r="L21571" s="2">
        <v>873</v>
      </c>
    </row>
    <row r="21572" spans="1:12" x14ac:dyDescent="0.25">
      <c r="A21572" s="4" t="str">
        <f>HYPERLINK("http://www.rosaceae.org/Prunus/Prunus_persica/p.persica_gdr_reftransV1_0048733","p.persica_gdr_reftransV1_0048733")</f>
        <v>p.persica_gdr_reftransV1_0048733</v>
      </c>
      <c r="B21572" s="2">
        <v>932</v>
      </c>
      <c r="C21572" s="4" t="str">
        <f>HYPERLINK("http://www.uniprot.org/uniprot/M5WVF4","M5WVF4")</f>
        <v>M5WVF4</v>
      </c>
      <c r="D21572" s="2" t="s">
        <v>16075</v>
      </c>
      <c r="E21572" s="3">
        <v>1.14E-127</v>
      </c>
      <c r="F21572" s="2">
        <v>959</v>
      </c>
      <c r="G21572" s="2">
        <v>100</v>
      </c>
      <c r="H21572" s="2">
        <v>184</v>
      </c>
      <c r="I21572" s="2">
        <v>288</v>
      </c>
      <c r="J21572" s="2">
        <v>839</v>
      </c>
      <c r="K21572" s="2">
        <v>1</v>
      </c>
      <c r="L21572" s="2">
        <v>184</v>
      </c>
    </row>
    <row r="21573" spans="1:12" x14ac:dyDescent="0.25">
      <c r="A21573" s="4" t="str">
        <f>HYPERLINK("http://www.rosaceae.org/Prunus/Prunus_persica/p.persica_gdr_reftransV1_0000084","p.persica_gdr_reftransV1_0000084")</f>
        <v>p.persica_gdr_reftransV1_0000084</v>
      </c>
      <c r="B21573" s="2">
        <v>823</v>
      </c>
      <c r="C21573" s="4" t="str">
        <f>HYPERLINK("http://www.uniprot.org/uniprot/M5XXA1","M5XXA1")</f>
        <v>M5XXA1</v>
      </c>
      <c r="D21573" s="2" t="s">
        <v>11066</v>
      </c>
      <c r="E21573" s="3">
        <v>2.61E-103</v>
      </c>
      <c r="F21573" s="2">
        <v>808</v>
      </c>
      <c r="G21573" s="2">
        <v>100</v>
      </c>
      <c r="H21573" s="2">
        <v>163</v>
      </c>
      <c r="I21573" s="2">
        <v>335</v>
      </c>
      <c r="J21573" s="2">
        <v>823</v>
      </c>
      <c r="K21573" s="2">
        <v>164</v>
      </c>
      <c r="L21573" s="2">
        <v>326</v>
      </c>
    </row>
    <row r="21574" spans="1:12" x14ac:dyDescent="0.25">
      <c r="A21574" s="4" t="str">
        <f>HYPERLINK("http://www.rosaceae.org/Prunus/Prunus_persica/p.persica_gdr_reftransV1_0000434","p.persica_gdr_reftransV1_0000434")</f>
        <v>p.persica_gdr_reftransV1_0000434</v>
      </c>
      <c r="B21574" s="2">
        <v>3121</v>
      </c>
      <c r="C21574" s="4" t="str">
        <f>HYPERLINK("http://www.uniprot.org/uniprot/Q93XS1","Q93XS1")</f>
        <v>Q93XS1</v>
      </c>
      <c r="D21574" s="2" t="s">
        <v>7540</v>
      </c>
      <c r="E21574" s="3">
        <v>0</v>
      </c>
      <c r="F21574" s="2">
        <v>4732</v>
      </c>
      <c r="G21574" s="2">
        <v>100</v>
      </c>
      <c r="H21574" s="2">
        <v>904</v>
      </c>
      <c r="I21574" s="2">
        <v>139</v>
      </c>
      <c r="J21574" s="2">
        <v>2850</v>
      </c>
      <c r="K21574" s="2">
        <v>1</v>
      </c>
      <c r="L21574" s="2">
        <v>904</v>
      </c>
    </row>
    <row r="21575" spans="1:12" x14ac:dyDescent="0.25">
      <c r="A21575" s="4" t="str">
        <f>HYPERLINK("http://www.rosaceae.org/Prunus/Prunus_persica/p.persica_gdr_reftransV1_0000784","p.persica_gdr_reftransV1_0000784")</f>
        <v>p.persica_gdr_reftransV1_0000784</v>
      </c>
      <c r="B21575" s="2">
        <v>2361</v>
      </c>
      <c r="C21575" s="4" t="str">
        <f>HYPERLINK("http://www.uniprot.org/uniprot/M5X8M4","M5X8M4")</f>
        <v>M5X8M4</v>
      </c>
      <c r="D21575" s="2" t="s">
        <v>4682</v>
      </c>
      <c r="E21575" s="3">
        <v>3.2599999999999998E-169</v>
      </c>
      <c r="F21575" s="2">
        <v>1247</v>
      </c>
      <c r="G21575" s="2">
        <v>100</v>
      </c>
      <c r="H21575" s="2">
        <v>230</v>
      </c>
      <c r="I21575" s="2">
        <v>1226</v>
      </c>
      <c r="J21575" s="2">
        <v>1915</v>
      </c>
      <c r="K21575" s="2">
        <v>1</v>
      </c>
      <c r="L21575" s="2">
        <v>230</v>
      </c>
    </row>
    <row r="21576" spans="1:12" x14ac:dyDescent="0.25">
      <c r="A21576" s="4" t="str">
        <f>HYPERLINK("http://www.rosaceae.org/Prunus/Prunus_persica/p.persica_gdr_reftransV1_0001134","p.persica_gdr_reftransV1_0001134")</f>
        <v>p.persica_gdr_reftransV1_0001134</v>
      </c>
      <c r="B21576" s="2">
        <v>553</v>
      </c>
      <c r="C21576" s="4" t="str">
        <f>HYPERLINK("http://www.uniprot.org/uniprot/M5X6H0","M5X6H0")</f>
        <v>M5X6H0</v>
      </c>
      <c r="D21576" s="2" t="s">
        <v>1887</v>
      </c>
      <c r="E21576" s="3">
        <v>3.74E-34</v>
      </c>
      <c r="F21576" s="2">
        <v>340</v>
      </c>
      <c r="G21576" s="2">
        <v>99</v>
      </c>
      <c r="H21576" s="2">
        <v>88</v>
      </c>
      <c r="I21576" s="2">
        <v>288</v>
      </c>
      <c r="J21576" s="2">
        <v>551</v>
      </c>
      <c r="K21576" s="2">
        <v>372</v>
      </c>
      <c r="L21576" s="2">
        <v>459</v>
      </c>
    </row>
    <row r="21577" spans="1:12" x14ac:dyDescent="0.25">
      <c r="A21577" s="4" t="str">
        <f>HYPERLINK("http://www.rosaceae.org/Prunus/Prunus_persica/p.persica_gdr_reftransV1_0001834","p.persica_gdr_reftransV1_0001834")</f>
        <v>p.persica_gdr_reftransV1_0001834</v>
      </c>
      <c r="B21577" s="2">
        <v>338</v>
      </c>
      <c r="C21577" s="4" t="str">
        <f>HYPERLINK("http://www.uniprot.org/uniprot/M5WE24","M5WE24")</f>
        <v>M5WE24</v>
      </c>
      <c r="D21577" s="2" t="s">
        <v>1890</v>
      </c>
      <c r="E21577" s="3">
        <v>5.2799999999999997E-56</v>
      </c>
      <c r="F21577" s="2">
        <v>503</v>
      </c>
      <c r="G21577" s="2">
        <v>100</v>
      </c>
      <c r="H21577" s="2">
        <v>112</v>
      </c>
      <c r="I21577" s="2">
        <v>2</v>
      </c>
      <c r="J21577" s="2">
        <v>337</v>
      </c>
      <c r="K21577" s="2">
        <v>346</v>
      </c>
      <c r="L21577" s="2">
        <v>457</v>
      </c>
    </row>
    <row r="21578" spans="1:12" x14ac:dyDescent="0.25">
      <c r="A21578" s="4" t="str">
        <f>HYPERLINK("http://www.rosaceae.org/Prunus/Prunus_persica/p.persica_gdr_reftransV1_0002184","p.persica_gdr_reftransV1_0002184")</f>
        <v>p.persica_gdr_reftransV1_0002184</v>
      </c>
      <c r="B21578" s="2">
        <v>1822</v>
      </c>
      <c r="C21578" s="4" t="str">
        <f>HYPERLINK("http://www.uniprot.org/uniprot/M5XBJ7","M5XBJ7")</f>
        <v>M5XBJ7</v>
      </c>
      <c r="D21578" s="2" t="s">
        <v>16076</v>
      </c>
      <c r="E21578" s="3">
        <v>0</v>
      </c>
      <c r="F21578" s="2">
        <v>1245</v>
      </c>
      <c r="G21578" s="2">
        <v>98</v>
      </c>
      <c r="H21578" s="2">
        <v>241</v>
      </c>
      <c r="I21578" s="2">
        <v>118</v>
      </c>
      <c r="J21578" s="2">
        <v>840</v>
      </c>
      <c r="K21578" s="2">
        <v>17</v>
      </c>
      <c r="L21578" s="2">
        <v>257</v>
      </c>
    </row>
    <row r="21579" spans="1:12" x14ac:dyDescent="0.25">
      <c r="A21579" s="4" t="str">
        <f>HYPERLINK("http://www.rosaceae.org/Prunus/Prunus_persica/p.persica_gdr_reftransV1_0002534","p.persica_gdr_reftransV1_0002534")</f>
        <v>p.persica_gdr_reftransV1_0002534</v>
      </c>
      <c r="B21579" s="2">
        <v>328</v>
      </c>
      <c r="C21579" s="4" t="str">
        <f>HYPERLINK("http://www.uniprot.org/uniprot/M5XHL5","M5XHL5")</f>
        <v>M5XHL5</v>
      </c>
      <c r="D21579" s="2" t="s">
        <v>9874</v>
      </c>
      <c r="E21579" s="3">
        <v>7.9000000000000003E-56</v>
      </c>
      <c r="F21579" s="2">
        <v>494</v>
      </c>
      <c r="G21579" s="2">
        <v>100</v>
      </c>
      <c r="H21579" s="2">
        <v>93</v>
      </c>
      <c r="I21579" s="2">
        <v>1</v>
      </c>
      <c r="J21579" s="2">
        <v>279</v>
      </c>
      <c r="K21579" s="2">
        <v>47</v>
      </c>
      <c r="L21579" s="2">
        <v>139</v>
      </c>
    </row>
    <row r="21580" spans="1:12" x14ac:dyDescent="0.25">
      <c r="A21580" s="4" t="str">
        <f>HYPERLINK("http://www.rosaceae.org/Prunus/Prunus_persica/p.persica_gdr_reftransV1_0002884","p.persica_gdr_reftransV1_0002884")</f>
        <v>p.persica_gdr_reftransV1_0002884</v>
      </c>
      <c r="B21580" s="2">
        <v>3739</v>
      </c>
      <c r="C21580" s="4" t="str">
        <f>HYPERLINK("http://www.uniprot.org/uniprot/M5WZ36","M5WZ36")</f>
        <v>M5WZ36</v>
      </c>
      <c r="D21580" s="2" t="s">
        <v>16077</v>
      </c>
      <c r="E21580" s="3">
        <v>0</v>
      </c>
      <c r="F21580" s="2">
        <v>5541</v>
      </c>
      <c r="G21580" s="2">
        <v>96</v>
      </c>
      <c r="H21580" s="2">
        <v>1201</v>
      </c>
      <c r="I21580" s="2">
        <v>16</v>
      </c>
      <c r="J21580" s="2">
        <v>3618</v>
      </c>
      <c r="K21580" s="2">
        <v>1</v>
      </c>
      <c r="L21580" s="2">
        <v>1151</v>
      </c>
    </row>
    <row r="21581" spans="1:12" x14ac:dyDescent="0.25">
      <c r="A21581" s="4" t="str">
        <f>HYPERLINK("http://www.rosaceae.org/Prunus/Prunus_persica/p.persica_gdr_reftransV1_0003234","p.persica_gdr_reftransV1_0003234")</f>
        <v>p.persica_gdr_reftransV1_0003234</v>
      </c>
      <c r="B21581" s="2">
        <v>764</v>
      </c>
      <c r="C21581" s="4" t="str">
        <f>HYPERLINK("http://www.uniprot.org/uniprot/M5Y412","M5Y412")</f>
        <v>M5Y412</v>
      </c>
      <c r="D21581" s="2" t="s">
        <v>16078</v>
      </c>
      <c r="E21581" s="3">
        <v>4.8899999999999997E-95</v>
      </c>
      <c r="F21581" s="2">
        <v>792</v>
      </c>
      <c r="G21581" s="2">
        <v>100</v>
      </c>
      <c r="H21581" s="2">
        <v>231</v>
      </c>
      <c r="I21581" s="2">
        <v>2</v>
      </c>
      <c r="J21581" s="2">
        <v>694</v>
      </c>
      <c r="K21581" s="2">
        <v>272</v>
      </c>
      <c r="L21581" s="2">
        <v>502</v>
      </c>
    </row>
    <row r="21582" spans="1:12" x14ac:dyDescent="0.25">
      <c r="A21582" s="4" t="str">
        <f>HYPERLINK("http://www.rosaceae.org/Prunus/Prunus_persica/p.persica_gdr_reftransV1_0003584","p.persica_gdr_reftransV1_0003584")</f>
        <v>p.persica_gdr_reftransV1_0003584</v>
      </c>
      <c r="B21582" s="2">
        <v>404</v>
      </c>
      <c r="C21582" s="4" t="str">
        <f>HYPERLINK("http://www.uniprot.org/uniprot/M5VJN5","M5VJN5")</f>
        <v>M5VJN5</v>
      </c>
      <c r="D21582" s="2" t="s">
        <v>5260</v>
      </c>
      <c r="E21582" s="3">
        <v>9.8099999999999998E-82</v>
      </c>
      <c r="F21582" s="2">
        <v>686</v>
      </c>
      <c r="G21582" s="2">
        <v>100</v>
      </c>
      <c r="H21582" s="2">
        <v>134</v>
      </c>
      <c r="I21582" s="2">
        <v>1</v>
      </c>
      <c r="J21582" s="2">
        <v>402</v>
      </c>
      <c r="K21582" s="2">
        <v>230</v>
      </c>
      <c r="L21582" s="2">
        <v>363</v>
      </c>
    </row>
    <row r="21583" spans="1:12" x14ac:dyDescent="0.25">
      <c r="A21583" s="4" t="str">
        <f>HYPERLINK("http://www.rosaceae.org/Prunus/Prunus_persica/p.persica_gdr_reftransV1_0003934","p.persica_gdr_reftransV1_0003934")</f>
        <v>p.persica_gdr_reftransV1_0003934</v>
      </c>
      <c r="B21583" s="2">
        <v>1184</v>
      </c>
      <c r="C21583" s="4" t="str">
        <f>HYPERLINK("http://www.uniprot.org/uniprot/M5VTA6","M5VTA6")</f>
        <v>M5VTA6</v>
      </c>
      <c r="D21583" s="2" t="s">
        <v>804</v>
      </c>
      <c r="E21583" s="3">
        <v>0</v>
      </c>
      <c r="F21583" s="2">
        <v>808</v>
      </c>
      <c r="G21583" s="2">
        <v>94</v>
      </c>
      <c r="H21583" s="2">
        <v>163</v>
      </c>
      <c r="I21583" s="2">
        <v>339</v>
      </c>
      <c r="J21583" s="2">
        <v>827</v>
      </c>
      <c r="K21583" s="2">
        <v>393</v>
      </c>
      <c r="L21583" s="2">
        <v>555</v>
      </c>
    </row>
    <row r="21584" spans="1:12" x14ac:dyDescent="0.25">
      <c r="A21584" s="4" t="str">
        <f>HYPERLINK("http://www.rosaceae.org/Prunus/Prunus_persica/p.persica_gdr_reftransV1_0004284","p.persica_gdr_reftransV1_0004284")</f>
        <v>p.persica_gdr_reftransV1_0004284</v>
      </c>
      <c r="B21584" s="2">
        <v>2643</v>
      </c>
      <c r="C21584" s="4" t="str">
        <f>HYPERLINK("http://www.uniprot.org/uniprot/M5X2J3","M5X2J3")</f>
        <v>M5X2J3</v>
      </c>
      <c r="D21584" s="2" t="s">
        <v>16079</v>
      </c>
      <c r="E21584" s="3">
        <v>0</v>
      </c>
      <c r="F21584" s="2">
        <v>2985</v>
      </c>
      <c r="G21584" s="2">
        <v>100</v>
      </c>
      <c r="H21584" s="2">
        <v>577</v>
      </c>
      <c r="I21584" s="2">
        <v>157</v>
      </c>
      <c r="J21584" s="2">
        <v>1887</v>
      </c>
      <c r="K21584" s="2">
        <v>1</v>
      </c>
      <c r="L21584" s="2">
        <v>577</v>
      </c>
    </row>
    <row r="21585" spans="1:12" x14ac:dyDescent="0.25">
      <c r="A21585" s="4" t="str">
        <f>HYPERLINK("http://www.rosaceae.org/Prunus/Prunus_persica/p.persica_gdr_reftransV1_0004634","p.persica_gdr_reftransV1_0004634")</f>
        <v>p.persica_gdr_reftransV1_0004634</v>
      </c>
      <c r="B21585" s="2">
        <v>2774</v>
      </c>
      <c r="C21585" s="4" t="str">
        <f>HYPERLINK("http://www.uniprot.org/uniprot/M5VTG6","M5VTG6")</f>
        <v>M5VTG6</v>
      </c>
      <c r="D21585" s="2" t="s">
        <v>7605</v>
      </c>
      <c r="E21585" s="3">
        <v>0</v>
      </c>
      <c r="F21585" s="2">
        <v>4100</v>
      </c>
      <c r="G21585" s="2">
        <v>100</v>
      </c>
      <c r="H21585" s="2">
        <v>759</v>
      </c>
      <c r="I21585" s="2">
        <v>107</v>
      </c>
      <c r="J21585" s="2">
        <v>2383</v>
      </c>
      <c r="K21585" s="2">
        <v>1</v>
      </c>
      <c r="L21585" s="2">
        <v>759</v>
      </c>
    </row>
    <row r="21586" spans="1:12" x14ac:dyDescent="0.25">
      <c r="A21586" s="4" t="str">
        <f>HYPERLINK("http://www.rosaceae.org/Prunus/Prunus_persica/p.persica_gdr_reftransV1_0004984","p.persica_gdr_reftransV1_0004984")</f>
        <v>p.persica_gdr_reftransV1_0004984</v>
      </c>
      <c r="B21586" s="2">
        <v>1574</v>
      </c>
      <c r="C21586" s="4" t="str">
        <f>HYPERLINK("http://www.uniprot.org/uniprot/M5WDZ7","M5WDZ7")</f>
        <v>M5WDZ7</v>
      </c>
      <c r="D21586" s="2" t="s">
        <v>7967</v>
      </c>
      <c r="E21586" s="3">
        <v>0</v>
      </c>
      <c r="F21586" s="2">
        <v>1950</v>
      </c>
      <c r="G21586" s="2">
        <v>99</v>
      </c>
      <c r="H21586" s="2">
        <v>388</v>
      </c>
      <c r="I21586" s="2">
        <v>61</v>
      </c>
      <c r="J21586" s="2">
        <v>1224</v>
      </c>
      <c r="K21586" s="2">
        <v>1</v>
      </c>
      <c r="L21586" s="2">
        <v>388</v>
      </c>
    </row>
    <row r="21587" spans="1:12" x14ac:dyDescent="0.25">
      <c r="A21587" s="4" t="str">
        <f>HYPERLINK("http://www.rosaceae.org/Prunus/Prunus_persica/p.persica_gdr_reftransV1_0006384","p.persica_gdr_reftransV1_0006384")</f>
        <v>p.persica_gdr_reftransV1_0006384</v>
      </c>
      <c r="B21587" s="2">
        <v>1334</v>
      </c>
      <c r="C21587" s="4" t="str">
        <f>HYPERLINK("http://www.uniprot.org/uniprot/M5WU14","M5WU14")</f>
        <v>M5WU14</v>
      </c>
      <c r="D21587" s="2" t="s">
        <v>5183</v>
      </c>
      <c r="E21587" s="3">
        <v>0</v>
      </c>
      <c r="F21587" s="2">
        <v>1502</v>
      </c>
      <c r="G21587" s="2">
        <v>100</v>
      </c>
      <c r="H21587" s="2">
        <v>305</v>
      </c>
      <c r="I21587" s="2">
        <v>324</v>
      </c>
      <c r="J21587" s="2">
        <v>1238</v>
      </c>
      <c r="K21587" s="2">
        <v>1</v>
      </c>
      <c r="L21587" s="2">
        <v>305</v>
      </c>
    </row>
    <row r="21588" spans="1:12" x14ac:dyDescent="0.25">
      <c r="A21588" s="4" t="str">
        <f>HYPERLINK("http://www.rosaceae.org/Prunus/Prunus_persica/p.persica_gdr_reftransV1_0007084","p.persica_gdr_reftransV1_0007084")</f>
        <v>p.persica_gdr_reftransV1_0007084</v>
      </c>
      <c r="B21588" s="2">
        <v>794</v>
      </c>
      <c r="C21588" s="4" t="str">
        <f>HYPERLINK("http://www.uniprot.org/uniprot/A0A0B0NV24","A0A0B0NV24")</f>
        <v>A0A0B0NV24</v>
      </c>
      <c r="D21588" s="2" t="s">
        <v>16080</v>
      </c>
      <c r="E21588" s="3">
        <v>2.6100000000000001E-98</v>
      </c>
      <c r="F21588" s="2">
        <v>789</v>
      </c>
      <c r="G21588" s="2">
        <v>68</v>
      </c>
      <c r="H21588" s="2">
        <v>196</v>
      </c>
      <c r="I21588" s="2">
        <v>2</v>
      </c>
      <c r="J21588" s="2">
        <v>589</v>
      </c>
      <c r="K21588" s="2">
        <v>308</v>
      </c>
      <c r="L21588" s="2">
        <v>502</v>
      </c>
    </row>
    <row r="21589" spans="1:12" x14ac:dyDescent="0.25">
      <c r="A21589" s="4" t="str">
        <f>HYPERLINK("http://www.rosaceae.org/Prunus/Prunus_persica/p.persica_gdr_reftransV1_0007434","p.persica_gdr_reftransV1_0007434")</f>
        <v>p.persica_gdr_reftransV1_0007434</v>
      </c>
      <c r="B21589" s="2">
        <v>2632</v>
      </c>
      <c r="C21589" s="4" t="str">
        <f>HYPERLINK("http://www.uniprot.org/uniprot/M5X6V0","M5X6V0")</f>
        <v>M5X6V0</v>
      </c>
      <c r="D21589" s="2" t="s">
        <v>16081</v>
      </c>
      <c r="E21589" s="3">
        <v>0</v>
      </c>
      <c r="F21589" s="2">
        <v>3631</v>
      </c>
      <c r="G21589" s="2">
        <v>100</v>
      </c>
      <c r="H21589" s="2">
        <v>675</v>
      </c>
      <c r="I21589" s="2">
        <v>418</v>
      </c>
      <c r="J21589" s="2">
        <v>2442</v>
      </c>
      <c r="K21589" s="2">
        <v>1</v>
      </c>
      <c r="L21589" s="2">
        <v>675</v>
      </c>
    </row>
    <row r="21590" spans="1:12" x14ac:dyDescent="0.25">
      <c r="A21590" s="4" t="str">
        <f>HYPERLINK("http://www.rosaceae.org/Prunus/Prunus_persica/p.persica_gdr_reftransV1_0007784","p.persica_gdr_reftransV1_0007784")</f>
        <v>p.persica_gdr_reftransV1_0007784</v>
      </c>
      <c r="B21590" s="2">
        <v>2716</v>
      </c>
      <c r="C21590" s="4" t="str">
        <f>HYPERLINK("http://www.uniprot.org/uniprot/M5XJ86","M5XJ86")</f>
        <v>M5XJ86</v>
      </c>
      <c r="D21590" s="2" t="s">
        <v>16082</v>
      </c>
      <c r="E21590" s="3">
        <v>0</v>
      </c>
      <c r="F21590" s="2">
        <v>3351</v>
      </c>
      <c r="G21590" s="2">
        <v>99</v>
      </c>
      <c r="H21590" s="2">
        <v>653</v>
      </c>
      <c r="I21590" s="2">
        <v>517</v>
      </c>
      <c r="J21590" s="2">
        <v>2475</v>
      </c>
      <c r="K21590" s="2">
        <v>1</v>
      </c>
      <c r="L21590" s="2">
        <v>653</v>
      </c>
    </row>
    <row r="21591" spans="1:12" x14ac:dyDescent="0.25">
      <c r="A21591" s="4" t="str">
        <f>HYPERLINK("http://www.rosaceae.org/Prunus/Prunus_persica/p.persica_gdr_reftransV1_0008484","p.persica_gdr_reftransV1_0008484")</f>
        <v>p.persica_gdr_reftransV1_0008484</v>
      </c>
      <c r="B21591" s="2">
        <v>2106</v>
      </c>
      <c r="C21591" s="4" t="str">
        <f>HYPERLINK("http://www.uniprot.org/uniprot/M5WYT7","M5WYT7")</f>
        <v>M5WYT7</v>
      </c>
      <c r="D21591" s="2" t="s">
        <v>16083</v>
      </c>
      <c r="E21591" s="3">
        <v>0</v>
      </c>
      <c r="F21591" s="2">
        <v>2515</v>
      </c>
      <c r="G21591" s="2">
        <v>100</v>
      </c>
      <c r="H21591" s="2">
        <v>470</v>
      </c>
      <c r="I21591" s="2">
        <v>380</v>
      </c>
      <c r="J21591" s="2">
        <v>1789</v>
      </c>
      <c r="K21591" s="2">
        <v>24</v>
      </c>
      <c r="L21591" s="2">
        <v>493</v>
      </c>
    </row>
    <row r="21592" spans="1:12" x14ac:dyDescent="0.25">
      <c r="A21592" s="4" t="str">
        <f>HYPERLINK("http://www.rosaceae.org/Prunus/Prunus_persica/p.persica_gdr_reftransV1_0008834","p.persica_gdr_reftransV1_0008834")</f>
        <v>p.persica_gdr_reftransV1_0008834</v>
      </c>
      <c r="B21592" s="2">
        <v>1071</v>
      </c>
      <c r="C21592" s="4" t="str">
        <f>HYPERLINK("http://www.uniprot.org/uniprot/M5XBR9","M5XBR9")</f>
        <v>M5XBR9</v>
      </c>
      <c r="D21592" s="2" t="s">
        <v>16084</v>
      </c>
      <c r="E21592" s="3">
        <v>6.1900000000000005E-160</v>
      </c>
      <c r="F21592" s="2">
        <v>1185</v>
      </c>
      <c r="G21592" s="2">
        <v>100</v>
      </c>
      <c r="H21592" s="2">
        <v>266</v>
      </c>
      <c r="I21592" s="2">
        <v>250</v>
      </c>
      <c r="J21592" s="2">
        <v>1047</v>
      </c>
      <c r="K21592" s="2">
        <v>1</v>
      </c>
      <c r="L21592" s="2">
        <v>266</v>
      </c>
    </row>
    <row r="21593" spans="1:12" x14ac:dyDescent="0.25">
      <c r="A21593" s="4" t="str">
        <f>HYPERLINK("http://www.rosaceae.org/Prunus/Prunus_persica/p.persica_gdr_reftransV1_0009184","p.persica_gdr_reftransV1_0009184")</f>
        <v>p.persica_gdr_reftransV1_0009184</v>
      </c>
      <c r="B21593" s="2">
        <v>1197</v>
      </c>
      <c r="C21593" s="4" t="str">
        <f>HYPERLINK("http://www.uniprot.org/uniprot/M5XAU4","M5XAU4")</f>
        <v>M5XAU4</v>
      </c>
      <c r="D21593" s="2" t="s">
        <v>1304</v>
      </c>
      <c r="E21593" s="3">
        <v>0</v>
      </c>
      <c r="F21593" s="2">
        <v>1205</v>
      </c>
      <c r="G21593" s="2">
        <v>100</v>
      </c>
      <c r="H21593" s="2">
        <v>244</v>
      </c>
      <c r="I21593" s="2">
        <v>110</v>
      </c>
      <c r="J21593" s="2">
        <v>841</v>
      </c>
      <c r="K21593" s="2">
        <v>1</v>
      </c>
      <c r="L21593" s="2">
        <v>244</v>
      </c>
    </row>
    <row r="21594" spans="1:12" x14ac:dyDescent="0.25">
      <c r="A21594" s="4" t="str">
        <f>HYPERLINK("http://www.rosaceae.org/Prunus/Prunus_persica/p.persica_gdr_reftransV1_0009534","p.persica_gdr_reftransV1_0009534")</f>
        <v>p.persica_gdr_reftransV1_0009534</v>
      </c>
      <c r="B21594" s="2">
        <v>1550</v>
      </c>
      <c r="C21594" s="4" t="str">
        <f>HYPERLINK("http://www.uniprot.org/uniprot/M5VUC6","M5VUC6")</f>
        <v>M5VUC6</v>
      </c>
      <c r="D21594" s="2" t="s">
        <v>16085</v>
      </c>
      <c r="E21594" s="3">
        <v>0</v>
      </c>
      <c r="F21594" s="2">
        <v>2097</v>
      </c>
      <c r="G21594" s="2">
        <v>100</v>
      </c>
      <c r="H21594" s="2">
        <v>431</v>
      </c>
      <c r="I21594" s="2">
        <v>132</v>
      </c>
      <c r="J21594" s="2">
        <v>1424</v>
      </c>
      <c r="K21594" s="2">
        <v>1</v>
      </c>
      <c r="L21594" s="2">
        <v>431</v>
      </c>
    </row>
    <row r="21595" spans="1:12" x14ac:dyDescent="0.25">
      <c r="A21595" s="4" t="str">
        <f>HYPERLINK("http://www.rosaceae.org/Prunus/Prunus_persica/p.persica_gdr_reftransV1_0009884","p.persica_gdr_reftransV1_0009884")</f>
        <v>p.persica_gdr_reftransV1_0009884</v>
      </c>
      <c r="B21595" s="2">
        <v>1426</v>
      </c>
      <c r="C21595" s="4" t="str">
        <f>HYPERLINK("http://www.uniprot.org/uniprot/M5WGC4","M5WGC4")</f>
        <v>M5WGC4</v>
      </c>
      <c r="D21595" s="2" t="s">
        <v>16086</v>
      </c>
      <c r="E21595" s="3">
        <v>0</v>
      </c>
      <c r="F21595" s="2">
        <v>1608</v>
      </c>
      <c r="G21595" s="2">
        <v>99</v>
      </c>
      <c r="H21595" s="2">
        <v>316</v>
      </c>
      <c r="I21595" s="2">
        <v>289</v>
      </c>
      <c r="J21595" s="2">
        <v>1236</v>
      </c>
      <c r="K21595" s="2">
        <v>1</v>
      </c>
      <c r="L21595" s="2">
        <v>316</v>
      </c>
    </row>
    <row r="21596" spans="1:12" x14ac:dyDescent="0.25">
      <c r="A21596" s="4" t="str">
        <f>HYPERLINK("http://www.rosaceae.org/Prunus/Prunus_persica/p.persica_gdr_reftransV1_0010234","p.persica_gdr_reftransV1_0010234")</f>
        <v>p.persica_gdr_reftransV1_0010234</v>
      </c>
      <c r="B21596" s="2">
        <v>2694</v>
      </c>
      <c r="C21596" s="4" t="str">
        <f>HYPERLINK("http://www.uniprot.org/uniprot/M5W885","M5W885")</f>
        <v>M5W885</v>
      </c>
      <c r="D21596" s="2" t="s">
        <v>16087</v>
      </c>
      <c r="E21596" s="3">
        <v>0</v>
      </c>
      <c r="F21596" s="2">
        <v>3249</v>
      </c>
      <c r="G21596" s="2">
        <v>100</v>
      </c>
      <c r="H21596" s="2">
        <v>695</v>
      </c>
      <c r="I21596" s="2">
        <v>162</v>
      </c>
      <c r="J21596" s="2">
        <v>2246</v>
      </c>
      <c r="K21596" s="2">
        <v>1</v>
      </c>
      <c r="L21596" s="2">
        <v>695</v>
      </c>
    </row>
    <row r="21597" spans="1:12" x14ac:dyDescent="0.25">
      <c r="A21597" s="4" t="str">
        <f>HYPERLINK("http://www.rosaceae.org/Prunus/Prunus_persica/p.persica_gdr_reftransV1_0012684","p.persica_gdr_reftransV1_0012684")</f>
        <v>p.persica_gdr_reftransV1_0012684</v>
      </c>
      <c r="B21597" s="2">
        <v>401</v>
      </c>
      <c r="C21597" s="4" t="str">
        <f>HYPERLINK("http://www.uniprot.org/uniprot/M5WQ15","M5WQ15")</f>
        <v>M5WQ15</v>
      </c>
      <c r="D21597" s="2" t="s">
        <v>16088</v>
      </c>
      <c r="E21597" s="3">
        <v>9.7599999999999994E-48</v>
      </c>
      <c r="F21597" s="2">
        <v>413</v>
      </c>
      <c r="G21597" s="2">
        <v>95</v>
      </c>
      <c r="H21597" s="2">
        <v>95</v>
      </c>
      <c r="I21597" s="2">
        <v>65</v>
      </c>
      <c r="J21597" s="2">
        <v>349</v>
      </c>
      <c r="K21597" s="2">
        <v>108</v>
      </c>
      <c r="L21597" s="2">
        <v>202</v>
      </c>
    </row>
    <row r="21598" spans="1:12" x14ac:dyDescent="0.25">
      <c r="A21598" s="4" t="str">
        <f>HYPERLINK("http://www.rosaceae.org/Prunus/Prunus_persica/p.persica_gdr_reftransV1_0013384","p.persica_gdr_reftransV1_0013384")</f>
        <v>p.persica_gdr_reftransV1_0013384</v>
      </c>
      <c r="B21598" s="2">
        <v>1471</v>
      </c>
      <c r="C21598" s="4" t="str">
        <f>HYPERLINK("http://www.uniprot.org/uniprot/M5VQL4","M5VQL4")</f>
        <v>M5VQL4</v>
      </c>
      <c r="D21598" s="2" t="s">
        <v>16089</v>
      </c>
      <c r="E21598" s="3">
        <v>0</v>
      </c>
      <c r="F21598" s="2">
        <v>1373</v>
      </c>
      <c r="G21598" s="2">
        <v>100</v>
      </c>
      <c r="H21598" s="2">
        <v>292</v>
      </c>
      <c r="I21598" s="2">
        <v>349</v>
      </c>
      <c r="J21598" s="2">
        <v>1224</v>
      </c>
      <c r="K21598" s="2">
        <v>3</v>
      </c>
      <c r="L21598" s="2">
        <v>294</v>
      </c>
    </row>
    <row r="21599" spans="1:12" x14ac:dyDescent="0.25">
      <c r="A21599" s="4" t="str">
        <f>HYPERLINK("http://www.rosaceae.org/Prunus/Prunus_persica/p.persica_gdr_reftransV1_0014084","p.persica_gdr_reftransV1_0014084")</f>
        <v>p.persica_gdr_reftransV1_0014084</v>
      </c>
      <c r="B21599" s="2">
        <v>781</v>
      </c>
      <c r="C21599" s="4" t="str">
        <f>HYPERLINK("http://www.uniprot.org/uniprot/M5X6Y5","M5X6Y5")</f>
        <v>M5X6Y5</v>
      </c>
      <c r="D21599" s="2" t="s">
        <v>16090</v>
      </c>
      <c r="E21599" s="3">
        <v>7.1099999999999998E-128</v>
      </c>
      <c r="F21599" s="2">
        <v>1007</v>
      </c>
      <c r="G21599" s="2">
        <v>100</v>
      </c>
      <c r="H21599" s="2">
        <v>206</v>
      </c>
      <c r="I21599" s="2">
        <v>164</v>
      </c>
      <c r="J21599" s="2">
        <v>781</v>
      </c>
      <c r="K21599" s="2">
        <v>351</v>
      </c>
      <c r="L21599" s="2">
        <v>556</v>
      </c>
    </row>
    <row r="21600" spans="1:12" x14ac:dyDescent="0.25">
      <c r="A21600" s="4" t="str">
        <f>HYPERLINK("http://www.rosaceae.org/Prunus/Prunus_persica/p.persica_gdr_reftransV1_0014434","p.persica_gdr_reftransV1_0014434")</f>
        <v>p.persica_gdr_reftransV1_0014434</v>
      </c>
      <c r="B21600" s="2">
        <v>1064</v>
      </c>
      <c r="C21600" s="4" t="str">
        <f>HYPERLINK("http://www.uniprot.org/uniprot/M5XBH4","M5XBH4")</f>
        <v>M5XBH4</v>
      </c>
      <c r="D21600" s="2" t="s">
        <v>1290</v>
      </c>
      <c r="E21600" s="3">
        <v>0</v>
      </c>
      <c r="F21600" s="2">
        <v>1839</v>
      </c>
      <c r="G21600" s="2">
        <v>100</v>
      </c>
      <c r="H21600" s="2">
        <v>354</v>
      </c>
      <c r="I21600" s="2">
        <v>3</v>
      </c>
      <c r="J21600" s="2">
        <v>1064</v>
      </c>
      <c r="K21600" s="2">
        <v>235</v>
      </c>
      <c r="L21600" s="2">
        <v>588</v>
      </c>
    </row>
    <row r="21601" spans="1:12" x14ac:dyDescent="0.25">
      <c r="A21601" s="4" t="str">
        <f>HYPERLINK("http://www.rosaceae.org/Prunus/Prunus_persica/p.persica_gdr_reftransV1_0015134","p.persica_gdr_reftransV1_0015134")</f>
        <v>p.persica_gdr_reftransV1_0015134</v>
      </c>
      <c r="B21601" s="2">
        <v>1779</v>
      </c>
      <c r="C21601" s="4" t="str">
        <f>HYPERLINK("http://www.uniprot.org/uniprot/M5W3X1","M5W3X1")</f>
        <v>M5W3X1</v>
      </c>
      <c r="D21601" s="2" t="s">
        <v>15163</v>
      </c>
      <c r="E21601" s="3">
        <v>0</v>
      </c>
      <c r="F21601" s="2">
        <v>2576</v>
      </c>
      <c r="G21601" s="2">
        <v>100</v>
      </c>
      <c r="H21601" s="2">
        <v>483</v>
      </c>
      <c r="I21601" s="2">
        <v>65</v>
      </c>
      <c r="J21601" s="2">
        <v>1513</v>
      </c>
      <c r="K21601" s="2">
        <v>397</v>
      </c>
      <c r="L21601" s="2">
        <v>879</v>
      </c>
    </row>
    <row r="21602" spans="1:12" x14ac:dyDescent="0.25">
      <c r="A21602" s="4" t="str">
        <f>HYPERLINK("http://www.rosaceae.org/Prunus/Prunus_persica/p.persica_gdr_reftransV1_0015484","p.persica_gdr_reftransV1_0015484")</f>
        <v>p.persica_gdr_reftransV1_0015484</v>
      </c>
      <c r="B21602" s="2">
        <v>2192</v>
      </c>
      <c r="C21602" s="4" t="str">
        <f>HYPERLINK("http://www.uniprot.org/uniprot/M5WH85","M5WH85")</f>
        <v>M5WH85</v>
      </c>
      <c r="D21602" s="2" t="s">
        <v>16091</v>
      </c>
      <c r="E21602" s="3">
        <v>0</v>
      </c>
      <c r="F21602" s="2">
        <v>1507</v>
      </c>
      <c r="G21602" s="2">
        <v>100</v>
      </c>
      <c r="H21602" s="2">
        <v>326</v>
      </c>
      <c r="I21602" s="2">
        <v>398</v>
      </c>
      <c r="J21602" s="2">
        <v>1375</v>
      </c>
      <c r="K21602" s="2">
        <v>97</v>
      </c>
      <c r="L21602" s="2">
        <v>422</v>
      </c>
    </row>
    <row r="21603" spans="1:12" x14ac:dyDescent="0.25">
      <c r="A21603" s="4" t="str">
        <f>HYPERLINK("http://www.rosaceae.org/Prunus/Prunus_persica/p.persica_gdr_reftransV1_0016184","p.persica_gdr_reftransV1_0016184")</f>
        <v>p.persica_gdr_reftransV1_0016184</v>
      </c>
      <c r="B21603" s="2">
        <v>2134</v>
      </c>
      <c r="C21603" s="4" t="str">
        <f>HYPERLINK("http://www.uniprot.org/uniprot/M5W7L4","M5W7L4")</f>
        <v>M5W7L4</v>
      </c>
      <c r="D21603" s="2" t="s">
        <v>16092</v>
      </c>
      <c r="E21603" s="3">
        <v>0</v>
      </c>
      <c r="F21603" s="2">
        <v>1965</v>
      </c>
      <c r="G21603" s="2">
        <v>100</v>
      </c>
      <c r="H21603" s="2">
        <v>358</v>
      </c>
      <c r="I21603" s="2">
        <v>2</v>
      </c>
      <c r="J21603" s="2">
        <v>1075</v>
      </c>
      <c r="K21603" s="2">
        <v>137</v>
      </c>
      <c r="L21603" s="2">
        <v>494</v>
      </c>
    </row>
    <row r="21604" spans="1:12" x14ac:dyDescent="0.25">
      <c r="A21604" s="4" t="str">
        <f>HYPERLINK("http://www.rosaceae.org/Prunus/Prunus_persica/p.persica_gdr_reftransV1_0016534","p.persica_gdr_reftransV1_0016534")</f>
        <v>p.persica_gdr_reftransV1_0016534</v>
      </c>
      <c r="B21604" s="2">
        <v>3387</v>
      </c>
      <c r="C21604" s="4" t="str">
        <f>HYPERLINK("http://www.uniprot.org/uniprot/M5X5W4","M5X5W4")</f>
        <v>M5X5W4</v>
      </c>
      <c r="D21604" s="2" t="s">
        <v>16093</v>
      </c>
      <c r="E21604" s="3">
        <v>0</v>
      </c>
      <c r="F21604" s="2">
        <v>3576</v>
      </c>
      <c r="G21604" s="2">
        <v>100</v>
      </c>
      <c r="H21604" s="2">
        <v>776</v>
      </c>
      <c r="I21604" s="2">
        <v>519</v>
      </c>
      <c r="J21604" s="2">
        <v>2846</v>
      </c>
      <c r="K21604" s="2">
        <v>1</v>
      </c>
      <c r="L21604" s="2">
        <v>776</v>
      </c>
    </row>
    <row r="21605" spans="1:12" x14ac:dyDescent="0.25">
      <c r="A21605" s="4" t="str">
        <f>HYPERLINK("http://www.rosaceae.org/Prunus/Prunus_persica/p.persica_gdr_reftransV1_0017234","p.persica_gdr_reftransV1_0017234")</f>
        <v>p.persica_gdr_reftransV1_0017234</v>
      </c>
      <c r="B21605" s="2">
        <v>1622</v>
      </c>
      <c r="C21605" s="4" t="str">
        <f>HYPERLINK("http://www.uniprot.org/uniprot/M5WCN5","M5WCN5")</f>
        <v>M5WCN5</v>
      </c>
      <c r="D21605" s="2" t="s">
        <v>2965</v>
      </c>
      <c r="E21605" s="3">
        <v>0</v>
      </c>
      <c r="F21605" s="2">
        <v>2051</v>
      </c>
      <c r="G21605" s="2">
        <v>100</v>
      </c>
      <c r="H21605" s="2">
        <v>427</v>
      </c>
      <c r="I21605" s="2">
        <v>1</v>
      </c>
      <c r="J21605" s="2">
        <v>1281</v>
      </c>
      <c r="K21605" s="2">
        <v>205</v>
      </c>
      <c r="L21605" s="2">
        <v>631</v>
      </c>
    </row>
    <row r="21606" spans="1:12" x14ac:dyDescent="0.25">
      <c r="A21606" s="4" t="str">
        <f>HYPERLINK("http://www.rosaceae.org/Prunus/Prunus_persica/p.persica_gdr_reftransV1_0017584","p.persica_gdr_reftransV1_0017584")</f>
        <v>p.persica_gdr_reftransV1_0017584</v>
      </c>
      <c r="B21606" s="2">
        <v>5255</v>
      </c>
      <c r="C21606" s="4" t="str">
        <f>HYPERLINK("http://www.uniprot.org/uniprot/M5WRY4","M5WRY4")</f>
        <v>M5WRY4</v>
      </c>
      <c r="D21606" s="2" t="s">
        <v>16094</v>
      </c>
      <c r="E21606" s="3">
        <v>0</v>
      </c>
      <c r="F21606" s="2">
        <v>4670</v>
      </c>
      <c r="G21606" s="2">
        <v>100</v>
      </c>
      <c r="H21606" s="2">
        <v>901</v>
      </c>
      <c r="I21606" s="2">
        <v>2134</v>
      </c>
      <c r="J21606" s="2">
        <v>4836</v>
      </c>
      <c r="K21606" s="2">
        <v>1</v>
      </c>
      <c r="L21606" s="2">
        <v>901</v>
      </c>
    </row>
    <row r="21607" spans="1:12" x14ac:dyDescent="0.25">
      <c r="A21607" s="4" t="str">
        <f>HYPERLINK("http://www.rosaceae.org/Prunus/Prunus_persica/p.persica_gdr_reftransV1_0018284","p.persica_gdr_reftransV1_0018284")</f>
        <v>p.persica_gdr_reftransV1_0018284</v>
      </c>
      <c r="B21607" s="2">
        <v>1309</v>
      </c>
      <c r="C21607" s="4" t="str">
        <f>HYPERLINK("http://www.uniprot.org/uniprot/M5WBU5","M5WBU5")</f>
        <v>M5WBU5</v>
      </c>
      <c r="D21607" s="2" t="s">
        <v>16095</v>
      </c>
      <c r="E21607" s="3">
        <v>2.8199999999999998E-74</v>
      </c>
      <c r="F21607" s="2">
        <v>621</v>
      </c>
      <c r="G21607" s="2">
        <v>100</v>
      </c>
      <c r="H21607" s="2">
        <v>170</v>
      </c>
      <c r="I21607" s="2">
        <v>645</v>
      </c>
      <c r="J21607" s="2">
        <v>1154</v>
      </c>
      <c r="K21607" s="2">
        <v>1</v>
      </c>
      <c r="L21607" s="2">
        <v>170</v>
      </c>
    </row>
    <row r="21608" spans="1:12" x14ac:dyDescent="0.25">
      <c r="A21608" s="4" t="str">
        <f>HYPERLINK("http://www.rosaceae.org/Prunus/Prunus_persica/p.persica_gdr_reftransV1_0019334","p.persica_gdr_reftransV1_0019334")</f>
        <v>p.persica_gdr_reftransV1_0019334</v>
      </c>
      <c r="B21608" s="2">
        <v>3200</v>
      </c>
      <c r="C21608" s="4" t="str">
        <f>HYPERLINK("http://www.uniprot.org/uniprot/M5XFN3","M5XFN3")</f>
        <v>M5XFN3</v>
      </c>
      <c r="D21608" s="2" t="s">
        <v>16096</v>
      </c>
      <c r="E21608" s="3">
        <v>0</v>
      </c>
      <c r="F21608" s="2">
        <v>3645</v>
      </c>
      <c r="G21608" s="2">
        <v>96</v>
      </c>
      <c r="H21608" s="2">
        <v>786</v>
      </c>
      <c r="I21608" s="2">
        <v>708</v>
      </c>
      <c r="J21608" s="2">
        <v>3029</v>
      </c>
      <c r="K21608" s="2">
        <v>1</v>
      </c>
      <c r="L21608" s="2">
        <v>771</v>
      </c>
    </row>
    <row r="21609" spans="1:12" x14ac:dyDescent="0.25">
      <c r="A21609" s="4" t="str">
        <f>HYPERLINK("http://www.rosaceae.org/Prunus/Prunus_persica/p.persica_gdr_reftransV1_0019684","p.persica_gdr_reftransV1_0019684")</f>
        <v>p.persica_gdr_reftransV1_0019684</v>
      </c>
      <c r="B21609" s="2">
        <v>1759</v>
      </c>
      <c r="C21609" s="4" t="str">
        <f>HYPERLINK("http://www.uniprot.org/uniprot/M5WH05","M5WH05")</f>
        <v>M5WH05</v>
      </c>
      <c r="D21609" s="2" t="s">
        <v>16097</v>
      </c>
      <c r="E21609" s="3">
        <v>0</v>
      </c>
      <c r="F21609" s="2">
        <v>1701</v>
      </c>
      <c r="G21609" s="2">
        <v>100</v>
      </c>
      <c r="H21609" s="2">
        <v>316</v>
      </c>
      <c r="I21609" s="2">
        <v>421</v>
      </c>
      <c r="J21609" s="2">
        <v>1368</v>
      </c>
      <c r="K21609" s="2">
        <v>1</v>
      </c>
      <c r="L21609" s="2">
        <v>316</v>
      </c>
    </row>
    <row r="21610" spans="1:12" x14ac:dyDescent="0.25">
      <c r="A21610" s="4" t="str">
        <f>HYPERLINK("http://www.rosaceae.org/Prunus/Prunus_persica/p.persica_gdr_reftransV1_0021434","p.persica_gdr_reftransV1_0021434")</f>
        <v>p.persica_gdr_reftransV1_0021434</v>
      </c>
      <c r="B21610" s="2">
        <v>2060</v>
      </c>
      <c r="C21610" s="4" t="str">
        <f>HYPERLINK("http://www.uniprot.org/uniprot/M5X019","M5X019")</f>
        <v>M5X019</v>
      </c>
      <c r="D21610" s="2" t="s">
        <v>16098</v>
      </c>
      <c r="E21610" s="3">
        <v>6.9799999999999999E-116</v>
      </c>
      <c r="F21610" s="2">
        <v>922</v>
      </c>
      <c r="G21610" s="2">
        <v>100</v>
      </c>
      <c r="H21610" s="2">
        <v>228</v>
      </c>
      <c r="I21610" s="2">
        <v>97</v>
      </c>
      <c r="J21610" s="2">
        <v>780</v>
      </c>
      <c r="K21610" s="2">
        <v>18</v>
      </c>
      <c r="L21610" s="2">
        <v>245</v>
      </c>
    </row>
    <row r="21611" spans="1:12" x14ac:dyDescent="0.25">
      <c r="A21611" s="4" t="str">
        <f>HYPERLINK("http://www.rosaceae.org/Prunus/Prunus_persica/p.persica_gdr_reftransV1_0022134","p.persica_gdr_reftransV1_0022134")</f>
        <v>p.persica_gdr_reftransV1_0022134</v>
      </c>
      <c r="B21611" s="2">
        <v>3502</v>
      </c>
      <c r="C21611" s="4" t="str">
        <f>HYPERLINK("http://www.uniprot.org/uniprot/M5VMG7","M5VMG7")</f>
        <v>M5VMG7</v>
      </c>
      <c r="D21611" s="2" t="s">
        <v>16099</v>
      </c>
      <c r="E21611" s="3">
        <v>0</v>
      </c>
      <c r="F21611" s="2">
        <v>3063</v>
      </c>
      <c r="G21611" s="2">
        <v>93</v>
      </c>
      <c r="H21611" s="2">
        <v>661</v>
      </c>
      <c r="I21611" s="2">
        <v>483</v>
      </c>
      <c r="J21611" s="2">
        <v>2342</v>
      </c>
      <c r="K21611" s="2">
        <v>1</v>
      </c>
      <c r="L21611" s="2">
        <v>661</v>
      </c>
    </row>
    <row r="21612" spans="1:12" x14ac:dyDescent="0.25">
      <c r="A21612" s="4" t="str">
        <f>HYPERLINK("http://www.rosaceae.org/Prunus/Prunus_persica/p.persica_gdr_reftransV1_0023184","p.persica_gdr_reftransV1_0023184")</f>
        <v>p.persica_gdr_reftransV1_0023184</v>
      </c>
      <c r="B21612" s="2">
        <v>722</v>
      </c>
      <c r="C21612" s="4" t="str">
        <f>HYPERLINK("http://www.uniprot.org/uniprot/M5W236","M5W236")</f>
        <v>M5W236</v>
      </c>
      <c r="D21612" s="2" t="s">
        <v>14307</v>
      </c>
      <c r="E21612" s="3">
        <v>4.4799999999999998E-30</v>
      </c>
      <c r="F21612" s="2">
        <v>313</v>
      </c>
      <c r="G21612" s="2">
        <v>100</v>
      </c>
      <c r="H21612" s="2">
        <v>98</v>
      </c>
      <c r="I21612" s="2">
        <v>160</v>
      </c>
      <c r="J21612" s="2">
        <v>453</v>
      </c>
      <c r="K21612" s="2">
        <v>1</v>
      </c>
      <c r="L21612" s="2">
        <v>98</v>
      </c>
    </row>
    <row r="21613" spans="1:12" x14ac:dyDescent="0.25">
      <c r="A21613" s="4" t="str">
        <f>HYPERLINK("http://www.rosaceae.org/Prunus/Prunus_persica/p.persica_gdr_reftransV1_0023534","p.persica_gdr_reftransV1_0023534")</f>
        <v>p.persica_gdr_reftransV1_0023534</v>
      </c>
      <c r="B21613" s="2">
        <v>1536</v>
      </c>
      <c r="C21613" s="4" t="str">
        <f>HYPERLINK("http://www.uniprot.org/uniprot/M5WML2","M5WML2")</f>
        <v>M5WML2</v>
      </c>
      <c r="D21613" s="2" t="s">
        <v>16100</v>
      </c>
      <c r="E21613" s="3">
        <v>0</v>
      </c>
      <c r="F21613" s="2">
        <v>1360</v>
      </c>
      <c r="G21613" s="2">
        <v>100</v>
      </c>
      <c r="H21613" s="2">
        <v>352</v>
      </c>
      <c r="I21613" s="2">
        <v>379</v>
      </c>
      <c r="J21613" s="2">
        <v>1434</v>
      </c>
      <c r="K21613" s="2">
        <v>1</v>
      </c>
      <c r="L21613" s="2">
        <v>352</v>
      </c>
    </row>
    <row r="21614" spans="1:12" x14ac:dyDescent="0.25">
      <c r="A21614" s="4" t="str">
        <f>HYPERLINK("http://www.rosaceae.org/Prunus/Prunus_persica/p.persica_gdr_reftransV1_0023884","p.persica_gdr_reftransV1_0023884")</f>
        <v>p.persica_gdr_reftransV1_0023884</v>
      </c>
      <c r="B21614" s="2">
        <v>2506</v>
      </c>
      <c r="C21614" s="4" t="str">
        <f>HYPERLINK("http://www.uniprot.org/uniprot/M5WG94","M5WG94")</f>
        <v>M5WG94</v>
      </c>
      <c r="D21614" s="2" t="s">
        <v>16101</v>
      </c>
      <c r="E21614" s="3">
        <v>0</v>
      </c>
      <c r="F21614" s="2">
        <v>2418</v>
      </c>
      <c r="G21614" s="2">
        <v>100</v>
      </c>
      <c r="H21614" s="2">
        <v>515</v>
      </c>
      <c r="I21614" s="2">
        <v>764</v>
      </c>
      <c r="J21614" s="2">
        <v>2308</v>
      </c>
      <c r="K21614" s="2">
        <v>1</v>
      </c>
      <c r="L21614" s="2">
        <v>515</v>
      </c>
    </row>
    <row r="21615" spans="1:12" x14ac:dyDescent="0.25">
      <c r="A21615" s="4" t="str">
        <f>HYPERLINK("http://www.rosaceae.org/Prunus/Prunus_persica/p.persica_gdr_reftransV1_0024234","p.persica_gdr_reftransV1_0024234")</f>
        <v>p.persica_gdr_reftransV1_0024234</v>
      </c>
      <c r="B21615" s="2">
        <v>2744</v>
      </c>
      <c r="C21615" s="4" t="str">
        <f>HYPERLINK("http://www.uniprot.org/uniprot/M5W650","M5W650")</f>
        <v>M5W650</v>
      </c>
      <c r="D21615" s="2" t="s">
        <v>16102</v>
      </c>
      <c r="E21615" s="3">
        <v>0</v>
      </c>
      <c r="F21615" s="2">
        <v>2860</v>
      </c>
      <c r="G21615" s="2">
        <v>100</v>
      </c>
      <c r="H21615" s="2">
        <v>590</v>
      </c>
      <c r="I21615" s="2">
        <v>974</v>
      </c>
      <c r="J21615" s="2">
        <v>2743</v>
      </c>
      <c r="K21615" s="2">
        <v>11</v>
      </c>
      <c r="L21615" s="2">
        <v>600</v>
      </c>
    </row>
    <row r="21616" spans="1:12" x14ac:dyDescent="0.25">
      <c r="A21616" s="4" t="str">
        <f>HYPERLINK("http://www.rosaceae.org/Prunus/Prunus_persica/p.persica_gdr_reftransV1_0024584","p.persica_gdr_reftransV1_0024584")</f>
        <v>p.persica_gdr_reftransV1_0024584</v>
      </c>
      <c r="B21616" s="2">
        <v>1675</v>
      </c>
      <c r="C21616" s="4" t="str">
        <f>HYPERLINK("http://www.uniprot.org/uniprot/M5VQ98","M5VQ98")</f>
        <v>M5VQ98</v>
      </c>
      <c r="D21616" s="2" t="s">
        <v>16103</v>
      </c>
      <c r="E21616" s="3">
        <v>0</v>
      </c>
      <c r="F21616" s="2">
        <v>1727</v>
      </c>
      <c r="G21616" s="2">
        <v>100</v>
      </c>
      <c r="H21616" s="2">
        <v>356</v>
      </c>
      <c r="I21616" s="2">
        <v>525</v>
      </c>
      <c r="J21616" s="2">
        <v>1592</v>
      </c>
      <c r="K21616" s="2">
        <v>1</v>
      </c>
      <c r="L21616" s="2">
        <v>356</v>
      </c>
    </row>
    <row r="21617" spans="1:12" x14ac:dyDescent="0.25">
      <c r="A21617" s="4" t="str">
        <f>HYPERLINK("http://www.rosaceae.org/Prunus/Prunus_persica/p.persica_gdr_reftransV1_0025284","p.persica_gdr_reftransV1_0025284")</f>
        <v>p.persica_gdr_reftransV1_0025284</v>
      </c>
      <c r="B21617" s="2">
        <v>1557</v>
      </c>
      <c r="C21617" s="4" t="str">
        <f>HYPERLINK("http://www.uniprot.org/uniprot/M5WT76","M5WT76")</f>
        <v>M5WT76</v>
      </c>
      <c r="D21617" s="2" t="s">
        <v>16104</v>
      </c>
      <c r="E21617" s="3">
        <v>3.8199999999999997E-114</v>
      </c>
      <c r="F21617" s="2">
        <v>898</v>
      </c>
      <c r="G21617" s="2">
        <v>100</v>
      </c>
      <c r="H21617" s="2">
        <v>165</v>
      </c>
      <c r="I21617" s="2">
        <v>774</v>
      </c>
      <c r="J21617" s="2">
        <v>1268</v>
      </c>
      <c r="K21617" s="2">
        <v>1</v>
      </c>
      <c r="L21617" s="2">
        <v>165</v>
      </c>
    </row>
    <row r="21618" spans="1:12" x14ac:dyDescent="0.25">
      <c r="A21618" s="4" t="str">
        <f>HYPERLINK("http://www.rosaceae.org/Prunus/Prunus_persica/p.persica_gdr_reftransV1_0025634","p.persica_gdr_reftransV1_0025634")</f>
        <v>p.persica_gdr_reftransV1_0025634</v>
      </c>
      <c r="B21618" s="2">
        <v>1198</v>
      </c>
      <c r="C21618" s="4" t="str">
        <f>HYPERLINK("http://www.uniprot.org/uniprot/M5WUT0","M5WUT0")</f>
        <v>M5WUT0</v>
      </c>
      <c r="D21618" s="2" t="s">
        <v>11291</v>
      </c>
      <c r="E21618" s="3">
        <v>3.9599999999999998E-167</v>
      </c>
      <c r="F21618" s="2">
        <v>1236</v>
      </c>
      <c r="G21618" s="2">
        <v>100</v>
      </c>
      <c r="H21618" s="2">
        <v>252</v>
      </c>
      <c r="I21618" s="2">
        <v>279</v>
      </c>
      <c r="J21618" s="2">
        <v>1034</v>
      </c>
      <c r="K21618" s="2">
        <v>1</v>
      </c>
      <c r="L21618" s="2">
        <v>252</v>
      </c>
    </row>
    <row r="21619" spans="1:12" x14ac:dyDescent="0.25">
      <c r="A21619" s="4" t="str">
        <f>HYPERLINK("http://www.rosaceae.org/Prunus/Prunus_persica/p.persica_gdr_reftransV1_0025984","p.persica_gdr_reftransV1_0025984")</f>
        <v>p.persica_gdr_reftransV1_0025984</v>
      </c>
      <c r="B21619" s="2">
        <v>2388</v>
      </c>
      <c r="C21619" s="4" t="str">
        <f>HYPERLINK("http://www.uniprot.org/uniprot/M5WAE5","M5WAE5")</f>
        <v>M5WAE5</v>
      </c>
      <c r="D21619" s="2" t="s">
        <v>6489</v>
      </c>
      <c r="E21619" s="3">
        <v>0</v>
      </c>
      <c r="F21619" s="2">
        <v>2146</v>
      </c>
      <c r="G21619" s="2">
        <v>96</v>
      </c>
      <c r="H21619" s="2">
        <v>558</v>
      </c>
      <c r="I21619" s="2">
        <v>632</v>
      </c>
      <c r="J21619" s="2">
        <v>2305</v>
      </c>
      <c r="K21619" s="2">
        <v>1</v>
      </c>
      <c r="L21619" s="2">
        <v>538</v>
      </c>
    </row>
    <row r="21620" spans="1:12" x14ac:dyDescent="0.25">
      <c r="A21620" s="4" t="str">
        <f>HYPERLINK("http://www.rosaceae.org/Prunus/Prunus_persica/p.persica_gdr_reftransV1_0026334","p.persica_gdr_reftransV1_0026334")</f>
        <v>p.persica_gdr_reftransV1_0026334</v>
      </c>
      <c r="B21620" s="2">
        <v>650</v>
      </c>
      <c r="C21620" s="4" t="str">
        <f>HYPERLINK("http://www.uniprot.org/uniprot/M5XBF2","M5XBF2")</f>
        <v>M5XBF2</v>
      </c>
      <c r="D21620" s="2" t="s">
        <v>16105</v>
      </c>
      <c r="E21620" s="3">
        <v>5.2600000000000002E-57</v>
      </c>
      <c r="F21620" s="2">
        <v>474</v>
      </c>
      <c r="G21620" s="2">
        <v>100</v>
      </c>
      <c r="H21620" s="2">
        <v>92</v>
      </c>
      <c r="I21620" s="2">
        <v>79</v>
      </c>
      <c r="J21620" s="2">
        <v>354</v>
      </c>
      <c r="K21620" s="2">
        <v>1</v>
      </c>
      <c r="L21620" s="2">
        <v>92</v>
      </c>
    </row>
    <row r="21621" spans="1:12" x14ac:dyDescent="0.25">
      <c r="A21621" s="4" t="str">
        <f>HYPERLINK("http://www.rosaceae.org/Prunus/Prunus_persica/p.persica_gdr_reftransV1_0027384","p.persica_gdr_reftransV1_0027384")</f>
        <v>p.persica_gdr_reftransV1_0027384</v>
      </c>
      <c r="B21621" s="2">
        <v>896</v>
      </c>
      <c r="C21621" s="4" t="str">
        <f>HYPERLINK("http://www.uniprot.org/uniprot/M5XBH0","M5XBH0")</f>
        <v>M5XBH0</v>
      </c>
      <c r="D21621" s="2" t="s">
        <v>16106</v>
      </c>
      <c r="E21621" s="3">
        <v>4.2200000000000003E-151</v>
      </c>
      <c r="F21621" s="2">
        <v>1118</v>
      </c>
      <c r="G21621" s="2">
        <v>100</v>
      </c>
      <c r="H21621" s="2">
        <v>234</v>
      </c>
      <c r="I21621" s="2">
        <v>72</v>
      </c>
      <c r="J21621" s="2">
        <v>773</v>
      </c>
      <c r="K21621" s="2">
        <v>1</v>
      </c>
      <c r="L21621" s="2">
        <v>234</v>
      </c>
    </row>
    <row r="21622" spans="1:12" x14ac:dyDescent="0.25">
      <c r="A21622" s="4" t="str">
        <f>HYPERLINK("http://www.rosaceae.org/Prunus/Prunus_persica/p.persica_gdr_reftransV1_0028084","p.persica_gdr_reftransV1_0028084")</f>
        <v>p.persica_gdr_reftransV1_0028084</v>
      </c>
      <c r="B21622" s="2">
        <v>1283</v>
      </c>
      <c r="C21622" s="4" t="str">
        <f>HYPERLINK("http://www.uniprot.org/uniprot/M5W2I2","M5W2I2")</f>
        <v>M5W2I2</v>
      </c>
      <c r="D21622" s="2" t="s">
        <v>11761</v>
      </c>
      <c r="E21622" s="3">
        <v>0</v>
      </c>
      <c r="F21622" s="2">
        <v>1365</v>
      </c>
      <c r="G21622" s="2">
        <v>100</v>
      </c>
      <c r="H21622" s="2">
        <v>256</v>
      </c>
      <c r="I21622" s="2">
        <v>1</v>
      </c>
      <c r="J21622" s="2">
        <v>768</v>
      </c>
      <c r="K21622" s="2">
        <v>207</v>
      </c>
      <c r="L21622" s="2">
        <v>462</v>
      </c>
    </row>
    <row r="21623" spans="1:12" x14ac:dyDescent="0.25">
      <c r="A21623" s="4" t="str">
        <f>HYPERLINK("http://www.rosaceae.org/Prunus/Prunus_persica/p.persica_gdr_reftransV1_0030184","p.persica_gdr_reftransV1_0030184")</f>
        <v>p.persica_gdr_reftransV1_0030184</v>
      </c>
      <c r="B21623" s="2">
        <v>2171</v>
      </c>
      <c r="C21623" s="4" t="str">
        <f>HYPERLINK("http://www.uniprot.org/uniprot/M5VZU9","M5VZU9")</f>
        <v>M5VZU9</v>
      </c>
      <c r="D21623" s="2" t="s">
        <v>4062</v>
      </c>
      <c r="E21623" s="3">
        <v>6.5500000000000003E-101</v>
      </c>
      <c r="F21623" s="2">
        <v>827</v>
      </c>
      <c r="G21623" s="2">
        <v>100</v>
      </c>
      <c r="H21623" s="2">
        <v>173</v>
      </c>
      <c r="I21623" s="2">
        <v>1614</v>
      </c>
      <c r="J21623" s="2">
        <v>2132</v>
      </c>
      <c r="K21623" s="2">
        <v>1</v>
      </c>
      <c r="L21623" s="2">
        <v>173</v>
      </c>
    </row>
    <row r="21624" spans="1:12" x14ac:dyDescent="0.25">
      <c r="A21624" s="4" t="str">
        <f>HYPERLINK("http://www.rosaceae.org/Prunus/Prunus_persica/p.persica_gdr_reftransV1_0030534","p.persica_gdr_reftransV1_0030534")</f>
        <v>p.persica_gdr_reftransV1_0030534</v>
      </c>
      <c r="B21624" s="2">
        <v>1389</v>
      </c>
      <c r="C21624" s="4" t="str">
        <f>HYPERLINK("http://www.uniprot.org/uniprot/M5VLK6","M5VLK6")</f>
        <v>M5VLK6</v>
      </c>
      <c r="D21624" s="2" t="s">
        <v>16107</v>
      </c>
      <c r="E21624" s="3">
        <v>2.3199999999999999E-95</v>
      </c>
      <c r="F21624" s="2">
        <v>756</v>
      </c>
      <c r="G21624" s="2">
        <v>100</v>
      </c>
      <c r="H21624" s="2">
        <v>144</v>
      </c>
      <c r="I21624" s="2">
        <v>414</v>
      </c>
      <c r="J21624" s="2">
        <v>845</v>
      </c>
      <c r="K21624" s="2">
        <v>1</v>
      </c>
      <c r="L21624" s="2">
        <v>144</v>
      </c>
    </row>
    <row r="21625" spans="1:12" x14ac:dyDescent="0.25">
      <c r="A21625" s="4" t="str">
        <f>HYPERLINK("http://www.rosaceae.org/Prunus/Prunus_persica/p.persica_gdr_reftransV1_0032984","p.persica_gdr_reftransV1_0032984")</f>
        <v>p.persica_gdr_reftransV1_0032984</v>
      </c>
      <c r="B21625" s="2">
        <v>2825</v>
      </c>
      <c r="C21625" s="4" t="str">
        <f>HYPERLINK("http://www.uniprot.org/uniprot/M5VXL8","M5VXL8")</f>
        <v>M5VXL8</v>
      </c>
      <c r="D21625" s="2" t="s">
        <v>16108</v>
      </c>
      <c r="E21625" s="3">
        <v>0</v>
      </c>
      <c r="F21625" s="2">
        <v>2372</v>
      </c>
      <c r="G21625" s="2">
        <v>100</v>
      </c>
      <c r="H21625" s="2">
        <v>501</v>
      </c>
      <c r="I21625" s="2">
        <v>1196</v>
      </c>
      <c r="J21625" s="2">
        <v>2698</v>
      </c>
      <c r="K21625" s="2">
        <v>1</v>
      </c>
      <c r="L21625" s="2">
        <v>501</v>
      </c>
    </row>
    <row r="21626" spans="1:12" x14ac:dyDescent="0.25">
      <c r="A21626" s="4" t="str">
        <f>HYPERLINK("http://www.rosaceae.org/Prunus/Prunus_persica/p.persica_gdr_reftransV1_0033684","p.persica_gdr_reftransV1_0033684")</f>
        <v>p.persica_gdr_reftransV1_0033684</v>
      </c>
      <c r="B21626" s="2">
        <v>747</v>
      </c>
      <c r="C21626" s="4" t="str">
        <f>HYPERLINK("http://www.uniprot.org/uniprot/M5Y213","M5Y213")</f>
        <v>M5Y213</v>
      </c>
      <c r="D21626" s="2" t="s">
        <v>16109</v>
      </c>
      <c r="E21626" s="3">
        <v>1.47E-65</v>
      </c>
      <c r="F21626" s="2">
        <v>541</v>
      </c>
      <c r="G21626" s="2">
        <v>100</v>
      </c>
      <c r="H21626" s="2">
        <v>167</v>
      </c>
      <c r="I21626" s="2">
        <v>232</v>
      </c>
      <c r="J21626" s="2">
        <v>732</v>
      </c>
      <c r="K21626" s="2">
        <v>1</v>
      </c>
      <c r="L21626" s="2">
        <v>167</v>
      </c>
    </row>
    <row r="21627" spans="1:12" x14ac:dyDescent="0.25">
      <c r="A21627" s="4" t="str">
        <f>HYPERLINK("http://www.rosaceae.org/Prunus/Prunus_persica/p.persica_gdr_reftransV1_0035084","p.persica_gdr_reftransV1_0035084")</f>
        <v>p.persica_gdr_reftransV1_0035084</v>
      </c>
      <c r="B21627" s="2">
        <v>3942</v>
      </c>
      <c r="C21627" s="4" t="str">
        <f>HYPERLINK("http://www.uniprot.org/uniprot/M5XRF3","M5XRF3")</f>
        <v>M5XRF3</v>
      </c>
      <c r="D21627" s="2" t="s">
        <v>15115</v>
      </c>
      <c r="E21627" s="3">
        <v>6.9300000000000005E-169</v>
      </c>
      <c r="F21627" s="2">
        <v>1350</v>
      </c>
      <c r="G21627" s="2">
        <v>95</v>
      </c>
      <c r="H21627" s="2">
        <v>338</v>
      </c>
      <c r="I21627" s="2">
        <v>2563</v>
      </c>
      <c r="J21627" s="2">
        <v>3576</v>
      </c>
      <c r="K21627" s="2">
        <v>162</v>
      </c>
      <c r="L21627" s="2">
        <v>498</v>
      </c>
    </row>
    <row r="21628" spans="1:12" x14ac:dyDescent="0.25">
      <c r="A21628" s="4" t="str">
        <f>HYPERLINK("http://www.rosaceae.org/Prunus/Prunus_persica/p.persica_gdr_reftransV1_0035434","p.persica_gdr_reftransV1_0035434")</f>
        <v>p.persica_gdr_reftransV1_0035434</v>
      </c>
      <c r="B21628" s="2">
        <v>1184</v>
      </c>
      <c r="C21628" s="4" t="str">
        <f>HYPERLINK("http://www.uniprot.org/uniprot/A0A068TUM1","A0A068TUM1")</f>
        <v>A0A068TUM1</v>
      </c>
      <c r="D21628" s="2" t="s">
        <v>16110</v>
      </c>
      <c r="E21628" s="3">
        <v>7.8299999999999997E-78</v>
      </c>
      <c r="F21628" s="2">
        <v>495</v>
      </c>
      <c r="G21628" s="2">
        <v>86</v>
      </c>
      <c r="H21628" s="2">
        <v>104</v>
      </c>
      <c r="I21628" s="2">
        <v>183</v>
      </c>
      <c r="J21628" s="2">
        <v>494</v>
      </c>
      <c r="K21628" s="2">
        <v>1012</v>
      </c>
      <c r="L21628" s="2">
        <v>1115</v>
      </c>
    </row>
    <row r="21629" spans="1:12" x14ac:dyDescent="0.25">
      <c r="A21629" s="4" t="str">
        <f>HYPERLINK("http://www.rosaceae.org/Prunus/Prunus_persica/p.persica_gdr_reftransV1_0037884","p.persica_gdr_reftransV1_0037884")</f>
        <v>p.persica_gdr_reftransV1_0037884</v>
      </c>
      <c r="B21629" s="2">
        <v>1478</v>
      </c>
      <c r="C21629" s="4" t="str">
        <f>HYPERLINK("http://www.uniprot.org/uniprot/M5WJW7","M5WJW7")</f>
        <v>M5WJW7</v>
      </c>
      <c r="D21629" s="2" t="s">
        <v>5879</v>
      </c>
      <c r="E21629" s="3">
        <v>1.25E-172</v>
      </c>
      <c r="F21629" s="2">
        <v>1341</v>
      </c>
      <c r="G21629" s="2">
        <v>100</v>
      </c>
      <c r="H21629" s="2">
        <v>296</v>
      </c>
      <c r="I21629" s="2">
        <v>590</v>
      </c>
      <c r="J21629" s="2">
        <v>1477</v>
      </c>
      <c r="K21629" s="2">
        <v>582</v>
      </c>
      <c r="L21629" s="2">
        <v>877</v>
      </c>
    </row>
    <row r="21630" spans="1:12" x14ac:dyDescent="0.25">
      <c r="A21630" s="4" t="str">
        <f>HYPERLINK("http://www.rosaceae.org/Prunus/Prunus_persica/p.persica_gdr_reftransV1_0038234","p.persica_gdr_reftransV1_0038234")</f>
        <v>p.persica_gdr_reftransV1_0038234</v>
      </c>
      <c r="B21630" s="2">
        <v>1639</v>
      </c>
      <c r="C21630" s="4" t="str">
        <f>HYPERLINK("http://www.uniprot.org/uniprot/M5VYS5","M5VYS5")</f>
        <v>M5VYS5</v>
      </c>
      <c r="D21630" s="2" t="s">
        <v>15034</v>
      </c>
      <c r="E21630" s="3">
        <v>1.5299999999999999E-136</v>
      </c>
      <c r="F21630" s="2">
        <v>1060</v>
      </c>
      <c r="G21630" s="2">
        <v>98</v>
      </c>
      <c r="H21630" s="2">
        <v>206</v>
      </c>
      <c r="I21630" s="2">
        <v>203</v>
      </c>
      <c r="J21630" s="2">
        <v>820</v>
      </c>
      <c r="K21630" s="2">
        <v>166</v>
      </c>
      <c r="L21630" s="2">
        <v>371</v>
      </c>
    </row>
    <row r="21631" spans="1:12" x14ac:dyDescent="0.25">
      <c r="A21631" s="4" t="str">
        <f>HYPERLINK("http://www.rosaceae.org/Prunus/Prunus_persica/p.persica_gdr_reftransV1_0038934","p.persica_gdr_reftransV1_0038934")</f>
        <v>p.persica_gdr_reftransV1_0038934</v>
      </c>
      <c r="B21631" s="2">
        <v>2371</v>
      </c>
      <c r="C21631" s="4" t="str">
        <f>HYPERLINK("http://www.uniprot.org/uniprot/A0A061EZU0","A0A061EZU0")</f>
        <v>A0A061EZU0</v>
      </c>
      <c r="D21631" s="2" t="s">
        <v>16111</v>
      </c>
      <c r="E21631" s="3">
        <v>0</v>
      </c>
      <c r="F21631" s="2">
        <v>1750</v>
      </c>
      <c r="G21631" s="2">
        <v>65</v>
      </c>
      <c r="H21631" s="2">
        <v>544</v>
      </c>
      <c r="I21631" s="2">
        <v>473</v>
      </c>
      <c r="J21631" s="2">
        <v>2047</v>
      </c>
      <c r="K21631" s="2">
        <v>16</v>
      </c>
      <c r="L21631" s="2">
        <v>556</v>
      </c>
    </row>
    <row r="21632" spans="1:12" x14ac:dyDescent="0.25">
      <c r="A21632" s="4" t="str">
        <f>HYPERLINK("http://www.rosaceae.org/Prunus/Prunus_persica/p.persica_gdr_reftransV1_0039984","p.persica_gdr_reftransV1_0039984")</f>
        <v>p.persica_gdr_reftransV1_0039984</v>
      </c>
      <c r="B21632" s="2">
        <v>3683</v>
      </c>
      <c r="C21632" s="4" t="str">
        <f>HYPERLINK("http://www.uniprot.org/uniprot/M5W3T9","M5W3T9")</f>
        <v>M5W3T9</v>
      </c>
      <c r="D21632" s="2" t="s">
        <v>16112</v>
      </c>
      <c r="E21632" s="3">
        <v>0</v>
      </c>
      <c r="F21632" s="2">
        <v>3459</v>
      </c>
      <c r="G21632" s="2">
        <v>94</v>
      </c>
      <c r="H21632" s="2">
        <v>741</v>
      </c>
      <c r="I21632" s="2">
        <v>474</v>
      </c>
      <c r="J21632" s="2">
        <v>2687</v>
      </c>
      <c r="K21632" s="2">
        <v>1</v>
      </c>
      <c r="L21632" s="2">
        <v>706</v>
      </c>
    </row>
    <row r="21633" spans="1:12" x14ac:dyDescent="0.25">
      <c r="A21633" s="4" t="str">
        <f>HYPERLINK("http://www.rosaceae.org/Prunus/Prunus_persica/p.persica_gdr_reftransV1_0041734","p.persica_gdr_reftransV1_0041734")</f>
        <v>p.persica_gdr_reftransV1_0041734</v>
      </c>
      <c r="B21633" s="2">
        <v>1139</v>
      </c>
      <c r="C21633" s="4" t="str">
        <f>HYPERLINK("http://www.uniprot.org/uniprot/M5WTG1","M5WTG1")</f>
        <v>M5WTG1</v>
      </c>
      <c r="D21633" s="2" t="s">
        <v>16113</v>
      </c>
      <c r="E21633" s="3">
        <v>6.33E-162</v>
      </c>
      <c r="F21633" s="2">
        <v>1197</v>
      </c>
      <c r="G21633" s="2">
        <v>100</v>
      </c>
      <c r="H21633" s="2">
        <v>226</v>
      </c>
      <c r="I21633" s="2">
        <v>233</v>
      </c>
      <c r="J21633" s="2">
        <v>910</v>
      </c>
      <c r="K21633" s="2">
        <v>1</v>
      </c>
      <c r="L21633" s="2">
        <v>226</v>
      </c>
    </row>
    <row r="21634" spans="1:12" x14ac:dyDescent="0.25">
      <c r="A21634" s="4" t="str">
        <f>HYPERLINK("http://www.rosaceae.org/Prunus/Prunus_persica/p.persica_gdr_reftransV1_0042784","p.persica_gdr_reftransV1_0042784")</f>
        <v>p.persica_gdr_reftransV1_0042784</v>
      </c>
      <c r="B21634" s="2">
        <v>1747</v>
      </c>
      <c r="C21634" s="4" t="str">
        <f>HYPERLINK("http://www.uniprot.org/uniprot/M5WMD3","M5WMD3")</f>
        <v>M5WMD3</v>
      </c>
      <c r="D21634" s="2" t="s">
        <v>16114</v>
      </c>
      <c r="E21634" s="3">
        <v>0</v>
      </c>
      <c r="F21634" s="2">
        <v>1906</v>
      </c>
      <c r="G21634" s="2">
        <v>100</v>
      </c>
      <c r="H21634" s="2">
        <v>368</v>
      </c>
      <c r="I21634" s="2">
        <v>460</v>
      </c>
      <c r="J21634" s="2">
        <v>1563</v>
      </c>
      <c r="K21634" s="2">
        <v>1</v>
      </c>
      <c r="L21634" s="2">
        <v>368</v>
      </c>
    </row>
    <row r="21635" spans="1:12" x14ac:dyDescent="0.25">
      <c r="A21635" s="4" t="str">
        <f>HYPERLINK("http://www.rosaceae.org/Prunus/Prunus_persica/p.persica_gdr_reftransV1_0043484","p.persica_gdr_reftransV1_0043484")</f>
        <v>p.persica_gdr_reftransV1_0043484</v>
      </c>
      <c r="B21635" s="2">
        <v>685</v>
      </c>
      <c r="C21635" s="4" t="str">
        <f>HYPERLINK("http://www.uniprot.org/uniprot/M5Y3J1","M5Y3J1")</f>
        <v>M5Y3J1</v>
      </c>
      <c r="D21635" s="2" t="s">
        <v>4329</v>
      </c>
      <c r="E21635" s="3">
        <v>3.0700000000000002E-161</v>
      </c>
      <c r="F21635" s="2">
        <v>1218</v>
      </c>
      <c r="G21635" s="2">
        <v>100</v>
      </c>
      <c r="H21635" s="2">
        <v>227</v>
      </c>
      <c r="I21635" s="2">
        <v>3</v>
      </c>
      <c r="J21635" s="2">
        <v>683</v>
      </c>
      <c r="K21635" s="2">
        <v>54</v>
      </c>
      <c r="L21635" s="2">
        <v>280</v>
      </c>
    </row>
    <row r="21636" spans="1:12" x14ac:dyDescent="0.25">
      <c r="A21636" s="4" t="str">
        <f>HYPERLINK("http://www.rosaceae.org/Prunus/Prunus_persica/p.persica_gdr_reftransV1_0043834","p.persica_gdr_reftransV1_0043834")</f>
        <v>p.persica_gdr_reftransV1_0043834</v>
      </c>
      <c r="B21636" s="2">
        <v>972</v>
      </c>
      <c r="C21636" s="4" t="str">
        <f>HYPERLINK("http://www.uniprot.org/uniprot/M5VSD0","M5VSD0")</f>
        <v>M5VSD0</v>
      </c>
      <c r="D21636" s="2" t="s">
        <v>16115</v>
      </c>
      <c r="E21636" s="3">
        <v>0</v>
      </c>
      <c r="F21636" s="2">
        <v>1357</v>
      </c>
      <c r="G21636" s="2">
        <v>100</v>
      </c>
      <c r="H21636" s="2">
        <v>275</v>
      </c>
      <c r="I21636" s="2">
        <v>78</v>
      </c>
      <c r="J21636" s="2">
        <v>902</v>
      </c>
      <c r="K21636" s="2">
        <v>1</v>
      </c>
      <c r="L21636" s="2">
        <v>275</v>
      </c>
    </row>
    <row r="21637" spans="1:12" x14ac:dyDescent="0.25">
      <c r="A21637" s="4" t="str">
        <f>HYPERLINK("http://www.rosaceae.org/Prunus/Prunus_persica/p.persica_gdr_reftransV1_0044534","p.persica_gdr_reftransV1_0044534")</f>
        <v>p.persica_gdr_reftransV1_0044534</v>
      </c>
      <c r="B21637" s="2">
        <v>1812</v>
      </c>
      <c r="C21637" s="4" t="str">
        <f>HYPERLINK("http://www.uniprot.org/uniprot/M5VJS3","M5VJS3")</f>
        <v>M5VJS3</v>
      </c>
      <c r="D21637" s="2" t="s">
        <v>11492</v>
      </c>
      <c r="E21637" s="3">
        <v>0</v>
      </c>
      <c r="F21637" s="2">
        <v>1663</v>
      </c>
      <c r="G21637" s="2">
        <v>100</v>
      </c>
      <c r="H21637" s="2">
        <v>339</v>
      </c>
      <c r="I21637" s="2">
        <v>511</v>
      </c>
      <c r="J21637" s="2">
        <v>1527</v>
      </c>
      <c r="K21637" s="2">
        <v>111</v>
      </c>
      <c r="L21637" s="2">
        <v>449</v>
      </c>
    </row>
    <row r="21638" spans="1:12" x14ac:dyDescent="0.25">
      <c r="A21638" s="4" t="str">
        <f>HYPERLINK("http://www.rosaceae.org/Prunus/Prunus_persica/p.persica_gdr_reftransV1_0045584","p.persica_gdr_reftransV1_0045584")</f>
        <v>p.persica_gdr_reftransV1_0045584</v>
      </c>
      <c r="B21638" s="2">
        <v>2085</v>
      </c>
      <c r="C21638" s="4" t="str">
        <f>HYPERLINK("http://www.uniprot.org/uniprot/M5XPX4","M5XPX4")</f>
        <v>M5XPX4</v>
      </c>
      <c r="D21638" s="2" t="s">
        <v>16116</v>
      </c>
      <c r="E21638" s="3">
        <v>0</v>
      </c>
      <c r="F21638" s="2">
        <v>2097</v>
      </c>
      <c r="G21638" s="2">
        <v>100</v>
      </c>
      <c r="H21638" s="2">
        <v>432</v>
      </c>
      <c r="I21638" s="2">
        <v>339</v>
      </c>
      <c r="J21638" s="2">
        <v>1634</v>
      </c>
      <c r="K21638" s="2">
        <v>1</v>
      </c>
      <c r="L21638" s="2">
        <v>432</v>
      </c>
    </row>
    <row r="21639" spans="1:12" x14ac:dyDescent="0.25">
      <c r="A21639" s="4" t="str">
        <f>HYPERLINK("http://www.rosaceae.org/Prunus/Prunus_persica/p.persica_gdr_reftransV1_0045934","p.persica_gdr_reftransV1_0045934")</f>
        <v>p.persica_gdr_reftransV1_0045934</v>
      </c>
      <c r="B21639" s="2">
        <v>1081</v>
      </c>
      <c r="C21639" s="4" t="str">
        <f>HYPERLINK("http://www.uniprot.org/uniprot/M5WYK8","M5WYK8")</f>
        <v>M5WYK8</v>
      </c>
      <c r="D21639" s="2" t="s">
        <v>16117</v>
      </c>
      <c r="E21639" s="3">
        <v>0</v>
      </c>
      <c r="F21639" s="2">
        <v>1345</v>
      </c>
      <c r="G21639" s="2">
        <v>100</v>
      </c>
      <c r="H21639" s="2">
        <v>252</v>
      </c>
      <c r="I21639" s="2">
        <v>224</v>
      </c>
      <c r="J21639" s="2">
        <v>979</v>
      </c>
      <c r="K21639" s="2">
        <v>1</v>
      </c>
      <c r="L21639" s="2">
        <v>252</v>
      </c>
    </row>
    <row r="21640" spans="1:12" x14ac:dyDescent="0.25">
      <c r="A21640" s="4" t="str">
        <f>HYPERLINK("http://www.rosaceae.org/Prunus/Prunus_persica/p.persica_gdr_reftransV1_0046984","p.persica_gdr_reftransV1_0046984")</f>
        <v>p.persica_gdr_reftransV1_0046984</v>
      </c>
      <c r="B21640" s="2">
        <v>1457</v>
      </c>
      <c r="C21640" s="4" t="str">
        <f>HYPERLINK("http://www.uniprot.org/uniprot/M5XDM4","M5XDM4")</f>
        <v>M5XDM4</v>
      </c>
      <c r="D21640" s="2" t="s">
        <v>1623</v>
      </c>
      <c r="E21640" s="3">
        <v>0</v>
      </c>
      <c r="F21640" s="2">
        <v>1433</v>
      </c>
      <c r="G21640" s="2">
        <v>93</v>
      </c>
      <c r="H21640" s="2">
        <v>285</v>
      </c>
      <c r="I21640" s="2">
        <v>602</v>
      </c>
      <c r="J21640" s="2">
        <v>1456</v>
      </c>
      <c r="K21640" s="2">
        <v>108</v>
      </c>
      <c r="L21640" s="2">
        <v>392</v>
      </c>
    </row>
    <row r="21641" spans="1:12" x14ac:dyDescent="0.25">
      <c r="A21641" s="4" t="str">
        <f>HYPERLINK("http://www.rosaceae.org/Prunus/Prunus_persica/p.persica_gdr_reftransV1_0047334","p.persica_gdr_reftransV1_0047334")</f>
        <v>p.persica_gdr_reftransV1_0047334</v>
      </c>
      <c r="B21641" s="2">
        <v>934</v>
      </c>
      <c r="C21641" s="4" t="str">
        <f>HYPERLINK("http://www.uniprot.org/uniprot/M5VI08","M5VI08")</f>
        <v>M5VI08</v>
      </c>
      <c r="D21641" s="2" t="s">
        <v>913</v>
      </c>
      <c r="E21641" s="3">
        <v>6.0800000000000002E-123</v>
      </c>
      <c r="F21641" s="2">
        <v>1008</v>
      </c>
      <c r="G21641" s="2">
        <v>75</v>
      </c>
      <c r="H21641" s="2">
        <v>308</v>
      </c>
      <c r="I21641" s="2">
        <v>9</v>
      </c>
      <c r="J21641" s="2">
        <v>932</v>
      </c>
      <c r="K21641" s="2">
        <v>813</v>
      </c>
      <c r="L21641" s="2">
        <v>1096</v>
      </c>
    </row>
    <row r="21642" spans="1:12" x14ac:dyDescent="0.25">
      <c r="A21642" s="4" t="str">
        <f>HYPERLINK("http://www.rosaceae.org/Prunus/Prunus_persica/p.persica_gdr_reftransV1_0047684","p.persica_gdr_reftransV1_0047684")</f>
        <v>p.persica_gdr_reftransV1_0047684</v>
      </c>
      <c r="B21642" s="2">
        <v>612</v>
      </c>
      <c r="C21642" s="4" t="str">
        <f>HYPERLINK("http://www.uniprot.org/uniprot/M5WM53","M5WM53")</f>
        <v>M5WM53</v>
      </c>
      <c r="D21642" s="2" t="s">
        <v>16118</v>
      </c>
      <c r="E21642" s="3">
        <v>2.9600000000000002E-143</v>
      </c>
      <c r="F21642" s="2">
        <v>1089</v>
      </c>
      <c r="G21642" s="2">
        <v>100</v>
      </c>
      <c r="H21642" s="2">
        <v>203</v>
      </c>
      <c r="I21642" s="2">
        <v>3</v>
      </c>
      <c r="J21642" s="2">
        <v>611</v>
      </c>
      <c r="K21642" s="2">
        <v>3</v>
      </c>
      <c r="L21642" s="2">
        <v>205</v>
      </c>
    </row>
    <row r="21643" spans="1:12" x14ac:dyDescent="0.25">
      <c r="A21643" s="4" t="str">
        <f>HYPERLINK("http://www.rosaceae.org/Prunus/Prunus_persica/p.persica_gdr_reftransV1_0048034","p.persica_gdr_reftransV1_0048034")</f>
        <v>p.persica_gdr_reftransV1_0048034</v>
      </c>
      <c r="B21643" s="2">
        <v>377</v>
      </c>
      <c r="C21643" s="4" t="str">
        <f>HYPERLINK("http://www.uniprot.org/uniprot/J7FY61","J7FY61")</f>
        <v>J7FY61</v>
      </c>
      <c r="D21643" s="2" t="s">
        <v>16119</v>
      </c>
      <c r="E21643" s="3">
        <v>6.34E-9</v>
      </c>
      <c r="F21643" s="2">
        <v>152</v>
      </c>
      <c r="G21643" s="2">
        <v>38</v>
      </c>
      <c r="H21643" s="2">
        <v>85</v>
      </c>
      <c r="I21643" s="2">
        <v>51</v>
      </c>
      <c r="J21643" s="2">
        <v>299</v>
      </c>
      <c r="K21643" s="2">
        <v>1105</v>
      </c>
      <c r="L21643" s="2">
        <v>1189</v>
      </c>
    </row>
    <row r="21644" spans="1:12" x14ac:dyDescent="0.25">
      <c r="A21644" s="4" t="str">
        <f>HYPERLINK("http://www.rosaceae.org/Prunus/Prunus_persica/p.persica_gdr_reftransV1_0048734","p.persica_gdr_reftransV1_0048734")</f>
        <v>p.persica_gdr_reftransV1_0048734</v>
      </c>
      <c r="B21644" s="2">
        <v>920</v>
      </c>
      <c r="C21644" s="4" t="str">
        <f>HYPERLINK("http://www.uniprot.org/uniprot/M5WJY1","M5WJY1")</f>
        <v>M5WJY1</v>
      </c>
      <c r="D21644" s="2" t="s">
        <v>1061</v>
      </c>
      <c r="E21644" s="3">
        <v>2.0500000000000001E-131</v>
      </c>
      <c r="F21644" s="2">
        <v>986</v>
      </c>
      <c r="G21644" s="2">
        <v>100</v>
      </c>
      <c r="H21644" s="2">
        <v>204</v>
      </c>
      <c r="I21644" s="2">
        <v>147</v>
      </c>
      <c r="J21644" s="2">
        <v>758</v>
      </c>
      <c r="K21644" s="2">
        <v>1</v>
      </c>
      <c r="L21644" s="2">
        <v>204</v>
      </c>
    </row>
    <row r="21645" spans="1:12" x14ac:dyDescent="0.25">
      <c r="A21645" s="4" t="str">
        <f>HYPERLINK("http://www.rosaceae.org/Prunus/Prunus_persica/p.persica_gdr_reftransV1_0049084","p.persica_gdr_reftransV1_0049084")</f>
        <v>p.persica_gdr_reftransV1_0049084</v>
      </c>
      <c r="B21645" s="2">
        <v>2054</v>
      </c>
      <c r="C21645" s="4" t="str">
        <f>HYPERLINK("http://www.uniprot.org/uniprot/M5W6U9","M5W6U9")</f>
        <v>M5W6U9</v>
      </c>
      <c r="D21645" s="2" t="s">
        <v>2949</v>
      </c>
      <c r="E21645" s="3">
        <v>0</v>
      </c>
      <c r="F21645" s="2">
        <v>2795</v>
      </c>
      <c r="G21645" s="2">
        <v>100</v>
      </c>
      <c r="H21645" s="2">
        <v>571</v>
      </c>
      <c r="I21645" s="2">
        <v>118</v>
      </c>
      <c r="J21645" s="2">
        <v>1830</v>
      </c>
      <c r="K21645" s="2">
        <v>125</v>
      </c>
      <c r="L21645" s="2">
        <v>695</v>
      </c>
    </row>
    <row r="21646" spans="1:12" x14ac:dyDescent="0.25">
      <c r="A21646" s="4" t="str">
        <f>HYPERLINK("http://www.rosaceae.org/Prunus/Prunus_persica/p.persica_gdr_reftransV1_0000085","p.persica_gdr_reftransV1_0000085")</f>
        <v>p.persica_gdr_reftransV1_0000085</v>
      </c>
      <c r="B21646" s="2">
        <v>1566</v>
      </c>
      <c r="C21646" s="4" t="str">
        <f>HYPERLINK("http://www.uniprot.org/uniprot/M5VZV2","M5VZV2")</f>
        <v>M5VZV2</v>
      </c>
      <c r="D21646" s="2" t="s">
        <v>2037</v>
      </c>
      <c r="E21646" s="3">
        <v>3.1400000000000001E-159</v>
      </c>
      <c r="F21646" s="2">
        <v>1196</v>
      </c>
      <c r="G21646" s="2">
        <v>90</v>
      </c>
      <c r="H21646" s="2">
        <v>273</v>
      </c>
      <c r="I21646" s="2">
        <v>457</v>
      </c>
      <c r="J21646" s="2">
        <v>1275</v>
      </c>
      <c r="K21646" s="2">
        <v>1</v>
      </c>
      <c r="L21646" s="2">
        <v>246</v>
      </c>
    </row>
    <row r="21647" spans="1:12" x14ac:dyDescent="0.25">
      <c r="A21647" s="4" t="str">
        <f>HYPERLINK("http://www.rosaceae.org/Prunus/Prunus_persica/p.persica_gdr_reftransV1_0000435","p.persica_gdr_reftransV1_0000435")</f>
        <v>p.persica_gdr_reftransV1_0000435</v>
      </c>
      <c r="B21647" s="2">
        <v>1440</v>
      </c>
      <c r="C21647" s="4" t="str">
        <f>HYPERLINK("http://www.uniprot.org/uniprot/M5Y678","M5Y678")</f>
        <v>M5Y678</v>
      </c>
      <c r="D21647" s="2" t="s">
        <v>5044</v>
      </c>
      <c r="E21647" s="3">
        <v>0</v>
      </c>
      <c r="F21647" s="2">
        <v>1769</v>
      </c>
      <c r="G21647" s="2">
        <v>98</v>
      </c>
      <c r="H21647" s="2">
        <v>356</v>
      </c>
      <c r="I21647" s="2">
        <v>1</v>
      </c>
      <c r="J21647" s="2">
        <v>1068</v>
      </c>
      <c r="K21647" s="2">
        <v>1</v>
      </c>
      <c r="L21647" s="2">
        <v>356</v>
      </c>
    </row>
    <row r="21648" spans="1:12" x14ac:dyDescent="0.25">
      <c r="A21648" s="4" t="str">
        <f>HYPERLINK("http://www.rosaceae.org/Prunus/Prunus_persica/p.persica_gdr_reftransV1_0000785","p.persica_gdr_reftransV1_0000785")</f>
        <v>p.persica_gdr_reftransV1_0000785</v>
      </c>
      <c r="B21648" s="2">
        <v>6219</v>
      </c>
      <c r="C21648" s="4" t="str">
        <f>HYPERLINK("http://www.uniprot.org/uniprot/M5Y6G6","M5Y6G6")</f>
        <v>M5Y6G6</v>
      </c>
      <c r="D21648" s="2" t="s">
        <v>16120</v>
      </c>
      <c r="E21648" s="3">
        <v>0</v>
      </c>
      <c r="F21648" s="2">
        <v>7894</v>
      </c>
      <c r="G21648" s="2">
        <v>100</v>
      </c>
      <c r="H21648" s="2">
        <v>1727</v>
      </c>
      <c r="I21648" s="2">
        <v>562</v>
      </c>
      <c r="J21648" s="2">
        <v>5742</v>
      </c>
      <c r="K21648" s="2">
        <v>1</v>
      </c>
      <c r="L21648" s="2">
        <v>1727</v>
      </c>
    </row>
    <row r="21649" spans="1:12" x14ac:dyDescent="0.25">
      <c r="A21649" s="4" t="str">
        <f>HYPERLINK("http://www.rosaceae.org/Prunus/Prunus_persica/p.persica_gdr_reftransV1_0001135","p.persica_gdr_reftransV1_0001135")</f>
        <v>p.persica_gdr_reftransV1_0001135</v>
      </c>
      <c r="B21649" s="2">
        <v>551</v>
      </c>
      <c r="C21649" s="4" t="str">
        <f>HYPERLINK("http://www.uniprot.org/uniprot/M5X1V7","M5X1V7")</f>
        <v>M5X1V7</v>
      </c>
      <c r="D21649" s="2" t="s">
        <v>16121</v>
      </c>
      <c r="E21649" s="3">
        <v>1.8299999999999999E-104</v>
      </c>
      <c r="F21649" s="2">
        <v>831</v>
      </c>
      <c r="G21649" s="2">
        <v>100</v>
      </c>
      <c r="H21649" s="2">
        <v>174</v>
      </c>
      <c r="I21649" s="2">
        <v>30</v>
      </c>
      <c r="J21649" s="2">
        <v>551</v>
      </c>
      <c r="K21649" s="2">
        <v>1</v>
      </c>
      <c r="L21649" s="2">
        <v>174</v>
      </c>
    </row>
    <row r="21650" spans="1:12" x14ac:dyDescent="0.25">
      <c r="A21650" s="4" t="str">
        <f>HYPERLINK("http://www.rosaceae.org/Prunus/Prunus_persica/p.persica_gdr_reftransV1_0001835","p.persica_gdr_reftransV1_0001835")</f>
        <v>p.persica_gdr_reftransV1_0001835</v>
      </c>
      <c r="B21650" s="2">
        <v>2277</v>
      </c>
      <c r="C21650" s="4" t="str">
        <f>HYPERLINK("http://www.uniprot.org/uniprot/A0A0A0R942","A0A0A0R942")</f>
        <v>A0A0A0R942</v>
      </c>
      <c r="D21650" s="2" t="s">
        <v>16122</v>
      </c>
      <c r="E21650" s="3">
        <v>0</v>
      </c>
      <c r="F21650" s="2">
        <v>3230</v>
      </c>
      <c r="G21650" s="2">
        <v>98</v>
      </c>
      <c r="H21650" s="2">
        <v>662</v>
      </c>
      <c r="I21650" s="2">
        <v>75</v>
      </c>
      <c r="J21650" s="2">
        <v>2045</v>
      </c>
      <c r="K21650" s="2">
        <v>1</v>
      </c>
      <c r="L21650" s="2">
        <v>660</v>
      </c>
    </row>
    <row r="21651" spans="1:12" x14ac:dyDescent="0.25">
      <c r="A21651" s="4" t="str">
        <f>HYPERLINK("http://www.rosaceae.org/Prunus/Prunus_persica/p.persica_gdr_reftransV1_0002185","p.persica_gdr_reftransV1_0002185")</f>
        <v>p.persica_gdr_reftransV1_0002185</v>
      </c>
      <c r="B21651" s="2">
        <v>2123</v>
      </c>
      <c r="C21651" s="4" t="str">
        <f>HYPERLINK("http://www.uniprot.org/uniprot/M5W4P6","M5W4P6")</f>
        <v>M5W4P6</v>
      </c>
      <c r="D21651" s="2" t="s">
        <v>8733</v>
      </c>
      <c r="E21651" s="3">
        <v>0</v>
      </c>
      <c r="F21651" s="2">
        <v>2100</v>
      </c>
      <c r="G21651" s="2">
        <v>100</v>
      </c>
      <c r="H21651" s="2">
        <v>421</v>
      </c>
      <c r="I21651" s="2">
        <v>670</v>
      </c>
      <c r="J21651" s="2">
        <v>1932</v>
      </c>
      <c r="K21651" s="2">
        <v>1</v>
      </c>
      <c r="L21651" s="2">
        <v>421</v>
      </c>
    </row>
    <row r="21652" spans="1:12" x14ac:dyDescent="0.25">
      <c r="A21652" s="4" t="str">
        <f>HYPERLINK("http://www.rosaceae.org/Prunus/Prunus_persica/p.persica_gdr_reftransV1_0002535","p.persica_gdr_reftransV1_0002535")</f>
        <v>p.persica_gdr_reftransV1_0002535</v>
      </c>
      <c r="B21652" s="2">
        <v>1345</v>
      </c>
      <c r="C21652" s="4" t="str">
        <f>HYPERLINK("http://www.uniprot.org/uniprot/M5XBZ4","M5XBZ4")</f>
        <v>M5XBZ4</v>
      </c>
      <c r="D21652" s="2" t="s">
        <v>2234</v>
      </c>
      <c r="E21652" s="3">
        <v>0</v>
      </c>
      <c r="F21652" s="2">
        <v>1793</v>
      </c>
      <c r="G21652" s="2">
        <v>100</v>
      </c>
      <c r="H21652" s="2">
        <v>329</v>
      </c>
      <c r="I21652" s="2">
        <v>250</v>
      </c>
      <c r="J21652" s="2">
        <v>1236</v>
      </c>
      <c r="K21652" s="2">
        <v>23</v>
      </c>
      <c r="L21652" s="2">
        <v>351</v>
      </c>
    </row>
    <row r="21653" spans="1:12" x14ac:dyDescent="0.25">
      <c r="A21653" s="4" t="str">
        <f>HYPERLINK("http://www.rosaceae.org/Prunus/Prunus_persica/p.persica_gdr_reftransV1_0002885","p.persica_gdr_reftransV1_0002885")</f>
        <v>p.persica_gdr_reftransV1_0002885</v>
      </c>
      <c r="B21653" s="2">
        <v>382</v>
      </c>
      <c r="C21653" s="4" t="str">
        <f>HYPERLINK("http://www.uniprot.org/uniprot/M5X0E5","M5X0E5")</f>
        <v>M5X0E5</v>
      </c>
      <c r="D21653" s="2" t="s">
        <v>1447</v>
      </c>
      <c r="E21653" s="3">
        <v>9.5500000000000006E-79</v>
      </c>
      <c r="F21653" s="2">
        <v>673</v>
      </c>
      <c r="G21653" s="2">
        <v>100</v>
      </c>
      <c r="H21653" s="2">
        <v>127</v>
      </c>
      <c r="I21653" s="2">
        <v>2</v>
      </c>
      <c r="J21653" s="2">
        <v>382</v>
      </c>
      <c r="K21653" s="2">
        <v>823</v>
      </c>
      <c r="L21653" s="2">
        <v>949</v>
      </c>
    </row>
    <row r="21654" spans="1:12" x14ac:dyDescent="0.25">
      <c r="A21654" s="4" t="str">
        <f>HYPERLINK("http://www.rosaceae.org/Prunus/Prunus_persica/p.persica_gdr_reftransV1_0003235","p.persica_gdr_reftransV1_0003235")</f>
        <v>p.persica_gdr_reftransV1_0003235</v>
      </c>
      <c r="B21654" s="2">
        <v>617</v>
      </c>
      <c r="C21654" s="4" t="str">
        <f>HYPERLINK("http://www.uniprot.org/uniprot/M5WX44","M5WX44")</f>
        <v>M5WX44</v>
      </c>
      <c r="D21654" s="2" t="s">
        <v>16123</v>
      </c>
      <c r="E21654" s="3">
        <v>3.1499999999999998E-147</v>
      </c>
      <c r="F21654" s="2">
        <v>1094</v>
      </c>
      <c r="G21654" s="2">
        <v>100</v>
      </c>
      <c r="H21654" s="2">
        <v>205</v>
      </c>
      <c r="I21654" s="2">
        <v>2</v>
      </c>
      <c r="J21654" s="2">
        <v>616</v>
      </c>
      <c r="K21654" s="2">
        <v>123</v>
      </c>
      <c r="L21654" s="2">
        <v>327</v>
      </c>
    </row>
    <row r="21655" spans="1:12" x14ac:dyDescent="0.25">
      <c r="A21655" s="4" t="str">
        <f>HYPERLINK("http://www.rosaceae.org/Prunus/Prunus_persica/p.persica_gdr_reftransV1_0004285","p.persica_gdr_reftransV1_0004285")</f>
        <v>p.persica_gdr_reftransV1_0004285</v>
      </c>
      <c r="B21655" s="2">
        <v>984</v>
      </c>
      <c r="C21655" s="4" t="str">
        <f>HYPERLINK("http://www.uniprot.org/uniprot/M5XCM9","M5XCM9")</f>
        <v>M5XCM9</v>
      </c>
      <c r="D21655" s="2" t="s">
        <v>8452</v>
      </c>
      <c r="E21655" s="3">
        <v>0</v>
      </c>
      <c r="F21655" s="2">
        <v>1450</v>
      </c>
      <c r="G21655" s="2">
        <v>93</v>
      </c>
      <c r="H21655" s="2">
        <v>298</v>
      </c>
      <c r="I21655" s="2">
        <v>2</v>
      </c>
      <c r="J21655" s="2">
        <v>895</v>
      </c>
      <c r="K21655" s="2">
        <v>135</v>
      </c>
      <c r="L21655" s="2">
        <v>410</v>
      </c>
    </row>
    <row r="21656" spans="1:12" x14ac:dyDescent="0.25">
      <c r="A21656" s="4" t="str">
        <f>HYPERLINK("http://www.rosaceae.org/Prunus/Prunus_persica/p.persica_gdr_reftransV1_0004635","p.persica_gdr_reftransV1_0004635")</f>
        <v>p.persica_gdr_reftransV1_0004635</v>
      </c>
      <c r="B21656" s="2">
        <v>1387</v>
      </c>
      <c r="C21656" s="4" t="str">
        <f>HYPERLINK("http://www.uniprot.org/uniprot/M5XSW7","M5XSW7")</f>
        <v>M5XSW7</v>
      </c>
      <c r="D21656" s="2" t="s">
        <v>12558</v>
      </c>
      <c r="E21656" s="3">
        <v>6.6699999999999997E-128</v>
      </c>
      <c r="F21656" s="2">
        <v>981</v>
      </c>
      <c r="G21656" s="2">
        <v>100</v>
      </c>
      <c r="H21656" s="2">
        <v>184</v>
      </c>
      <c r="I21656" s="2">
        <v>727</v>
      </c>
      <c r="J21656" s="2">
        <v>1278</v>
      </c>
      <c r="K21656" s="2">
        <v>1</v>
      </c>
      <c r="L21656" s="2">
        <v>184</v>
      </c>
    </row>
    <row r="21657" spans="1:12" x14ac:dyDescent="0.25">
      <c r="A21657" s="4" t="str">
        <f>HYPERLINK("http://www.rosaceae.org/Prunus/Prunus_persica/p.persica_gdr_reftransV1_0004985","p.persica_gdr_reftransV1_0004985")</f>
        <v>p.persica_gdr_reftransV1_0004985</v>
      </c>
      <c r="B21657" s="2">
        <v>1601</v>
      </c>
      <c r="C21657" s="4" t="str">
        <f>HYPERLINK("http://www.uniprot.org/uniprot/M5XCW8","M5XCW8")</f>
        <v>M5XCW8</v>
      </c>
      <c r="D21657" s="2" t="s">
        <v>15918</v>
      </c>
      <c r="E21657" s="3">
        <v>0</v>
      </c>
      <c r="F21657" s="2">
        <v>1781</v>
      </c>
      <c r="G21657" s="2">
        <v>100</v>
      </c>
      <c r="H21657" s="2">
        <v>362</v>
      </c>
      <c r="I21657" s="2">
        <v>253</v>
      </c>
      <c r="J21657" s="2">
        <v>1338</v>
      </c>
      <c r="K21657" s="2">
        <v>1</v>
      </c>
      <c r="L21657" s="2">
        <v>362</v>
      </c>
    </row>
    <row r="21658" spans="1:12" x14ac:dyDescent="0.25">
      <c r="A21658" s="4" t="str">
        <f>HYPERLINK("http://www.rosaceae.org/Prunus/Prunus_persica/p.persica_gdr_reftransV1_0005335","p.persica_gdr_reftransV1_0005335")</f>
        <v>p.persica_gdr_reftransV1_0005335</v>
      </c>
      <c r="B21658" s="2">
        <v>1586</v>
      </c>
      <c r="C21658" s="4" t="str">
        <f>HYPERLINK("http://www.uniprot.org/uniprot/M5VW13","M5VW13")</f>
        <v>M5VW13</v>
      </c>
      <c r="D21658" s="2" t="s">
        <v>16124</v>
      </c>
      <c r="E21658" s="3">
        <v>0</v>
      </c>
      <c r="F21658" s="2">
        <v>1892</v>
      </c>
      <c r="G21658" s="2">
        <v>89</v>
      </c>
      <c r="H21658" s="2">
        <v>424</v>
      </c>
      <c r="I21658" s="2">
        <v>241</v>
      </c>
      <c r="J21658" s="2">
        <v>1512</v>
      </c>
      <c r="K21658" s="2">
        <v>1</v>
      </c>
      <c r="L21658" s="2">
        <v>386</v>
      </c>
    </row>
    <row r="21659" spans="1:12" x14ac:dyDescent="0.25">
      <c r="A21659" s="4" t="str">
        <f>HYPERLINK("http://www.rosaceae.org/Prunus/Prunus_persica/p.persica_gdr_reftransV1_0005685","p.persica_gdr_reftransV1_0005685")</f>
        <v>p.persica_gdr_reftransV1_0005685</v>
      </c>
      <c r="B21659" s="2">
        <v>629</v>
      </c>
      <c r="C21659" s="4" t="str">
        <f>HYPERLINK("http://www.uniprot.org/uniprot/M5VUV4","M5VUV4")</f>
        <v>M5VUV4</v>
      </c>
      <c r="D21659" s="2" t="s">
        <v>16125</v>
      </c>
      <c r="E21659" s="3">
        <v>7.0000000000000006E-113</v>
      </c>
      <c r="F21659" s="2">
        <v>865</v>
      </c>
      <c r="G21659" s="2">
        <v>100</v>
      </c>
      <c r="H21659" s="2">
        <v>166</v>
      </c>
      <c r="I21659" s="2">
        <v>130</v>
      </c>
      <c r="J21659" s="2">
        <v>627</v>
      </c>
      <c r="K21659" s="2">
        <v>162</v>
      </c>
      <c r="L21659" s="2">
        <v>327</v>
      </c>
    </row>
    <row r="21660" spans="1:12" x14ac:dyDescent="0.25">
      <c r="A21660" s="4" t="str">
        <f>HYPERLINK("http://www.rosaceae.org/Prunus/Prunus_persica/p.persica_gdr_reftransV1_0006385","p.persica_gdr_reftransV1_0006385")</f>
        <v>p.persica_gdr_reftransV1_0006385</v>
      </c>
      <c r="B21660" s="2">
        <v>856</v>
      </c>
      <c r="C21660" s="4" t="str">
        <f>HYPERLINK("http://www.uniprot.org/uniprot/M5VSY7","M5VSY7")</f>
        <v>M5VSY7</v>
      </c>
      <c r="D21660" s="2" t="s">
        <v>16126</v>
      </c>
      <c r="E21660" s="3">
        <v>1.75E-147</v>
      </c>
      <c r="F21660" s="2">
        <v>1094</v>
      </c>
      <c r="G21660" s="2">
        <v>100</v>
      </c>
      <c r="H21660" s="2">
        <v>226</v>
      </c>
      <c r="I21660" s="2">
        <v>145</v>
      </c>
      <c r="J21660" s="2">
        <v>822</v>
      </c>
      <c r="K21660" s="2">
        <v>27</v>
      </c>
      <c r="L21660" s="2">
        <v>252</v>
      </c>
    </row>
    <row r="21661" spans="1:12" x14ac:dyDescent="0.25">
      <c r="A21661" s="4" t="str">
        <f>HYPERLINK("http://www.rosaceae.org/Prunus/Prunus_persica/p.persica_gdr_reftransV1_0006735","p.persica_gdr_reftransV1_0006735")</f>
        <v>p.persica_gdr_reftransV1_0006735</v>
      </c>
      <c r="B21661" s="2">
        <v>1811</v>
      </c>
      <c r="C21661" s="4" t="str">
        <f>HYPERLINK("http://www.uniprot.org/uniprot/M5W970","M5W970")</f>
        <v>M5W970</v>
      </c>
      <c r="D21661" s="2" t="s">
        <v>16127</v>
      </c>
      <c r="E21661" s="3">
        <v>1.4100000000000001E-7</v>
      </c>
      <c r="F21661" s="2">
        <v>155</v>
      </c>
      <c r="G21661" s="2">
        <v>48</v>
      </c>
      <c r="H21661" s="2">
        <v>97</v>
      </c>
      <c r="I21661" s="2">
        <v>948</v>
      </c>
      <c r="J21661" s="2">
        <v>1211</v>
      </c>
      <c r="K21661" s="2">
        <v>498</v>
      </c>
      <c r="L21661" s="2">
        <v>591</v>
      </c>
    </row>
    <row r="21662" spans="1:12" x14ac:dyDescent="0.25">
      <c r="A21662" s="4" t="str">
        <f>HYPERLINK("http://www.rosaceae.org/Prunus/Prunus_persica/p.persica_gdr_reftransV1_0007085","p.persica_gdr_reftransV1_0007085")</f>
        <v>p.persica_gdr_reftransV1_0007085</v>
      </c>
      <c r="B21662" s="2">
        <v>774</v>
      </c>
      <c r="C21662" s="4" t="str">
        <f>HYPERLINK("http://www.uniprot.org/uniprot/A5BNN5","A5BNN5")</f>
        <v>A5BNN5</v>
      </c>
      <c r="D21662" s="2" t="s">
        <v>16128</v>
      </c>
      <c r="E21662" s="3">
        <v>4.4699999999999998E-17</v>
      </c>
      <c r="F21662" s="2">
        <v>194</v>
      </c>
      <c r="G21662" s="2">
        <v>43</v>
      </c>
      <c r="H21662" s="2">
        <v>101</v>
      </c>
      <c r="I21662" s="2">
        <v>417</v>
      </c>
      <c r="J21662" s="2">
        <v>695</v>
      </c>
      <c r="K21662" s="2">
        <v>1923</v>
      </c>
      <c r="L21662" s="2">
        <v>2023</v>
      </c>
    </row>
    <row r="21663" spans="1:12" x14ac:dyDescent="0.25">
      <c r="A21663" s="4" t="str">
        <f>HYPERLINK("http://www.rosaceae.org/Prunus/Prunus_persica/p.persica_gdr_reftransV1_0007435","p.persica_gdr_reftransV1_0007435")</f>
        <v>p.persica_gdr_reftransV1_0007435</v>
      </c>
      <c r="B21663" s="2">
        <v>512</v>
      </c>
      <c r="C21663" s="4" t="str">
        <f>HYPERLINK("http://www.uniprot.org/uniprot/M5WJE8","M5WJE8")</f>
        <v>M5WJE8</v>
      </c>
      <c r="D21663" s="2" t="s">
        <v>16129</v>
      </c>
      <c r="E21663" s="3">
        <v>1.4499999999999999E-53</v>
      </c>
      <c r="F21663" s="2">
        <v>451</v>
      </c>
      <c r="G21663" s="2">
        <v>100</v>
      </c>
      <c r="H21663" s="2">
        <v>121</v>
      </c>
      <c r="I21663" s="2">
        <v>80</v>
      </c>
      <c r="J21663" s="2">
        <v>442</v>
      </c>
      <c r="K21663" s="2">
        <v>1</v>
      </c>
      <c r="L21663" s="2">
        <v>121</v>
      </c>
    </row>
    <row r="21664" spans="1:12" x14ac:dyDescent="0.25">
      <c r="A21664" s="4" t="str">
        <f>HYPERLINK("http://www.rosaceae.org/Prunus/Prunus_persica/p.persica_gdr_reftransV1_0008135","p.persica_gdr_reftransV1_0008135")</f>
        <v>p.persica_gdr_reftransV1_0008135</v>
      </c>
      <c r="B21664" s="2">
        <v>735</v>
      </c>
      <c r="C21664" s="4" t="str">
        <f>HYPERLINK("http://www.uniprot.org/uniprot/M5XHD8","M5XHD8")</f>
        <v>M5XHD8</v>
      </c>
      <c r="D21664" s="2" t="s">
        <v>16130</v>
      </c>
      <c r="E21664" s="3">
        <v>1.8900000000000001E-77</v>
      </c>
      <c r="F21664" s="2">
        <v>617</v>
      </c>
      <c r="G21664" s="2">
        <v>100</v>
      </c>
      <c r="H21664" s="2">
        <v>131</v>
      </c>
      <c r="I21664" s="2">
        <v>263</v>
      </c>
      <c r="J21664" s="2">
        <v>655</v>
      </c>
      <c r="K21664" s="2">
        <v>13</v>
      </c>
      <c r="L21664" s="2">
        <v>143</v>
      </c>
    </row>
    <row r="21665" spans="1:12" x14ac:dyDescent="0.25">
      <c r="A21665" s="4" t="str">
        <f>HYPERLINK("http://www.rosaceae.org/Prunus/Prunus_persica/p.persica_gdr_reftransV1_0008485","p.persica_gdr_reftransV1_0008485")</f>
        <v>p.persica_gdr_reftransV1_0008485</v>
      </c>
      <c r="B21665" s="2">
        <v>4706</v>
      </c>
      <c r="C21665" s="4" t="str">
        <f>HYPERLINK("http://www.uniprot.org/uniprot/M5WM99","M5WM99")</f>
        <v>M5WM99</v>
      </c>
      <c r="D21665" s="2" t="s">
        <v>16131</v>
      </c>
      <c r="E21665" s="3">
        <v>0</v>
      </c>
      <c r="F21665" s="2">
        <v>6616</v>
      </c>
      <c r="G21665" s="2">
        <v>98</v>
      </c>
      <c r="H21665" s="2">
        <v>1249</v>
      </c>
      <c r="I21665" s="2">
        <v>764</v>
      </c>
      <c r="J21665" s="2">
        <v>4510</v>
      </c>
      <c r="K21665" s="2">
        <v>5</v>
      </c>
      <c r="L21665" s="2">
        <v>1234</v>
      </c>
    </row>
    <row r="21666" spans="1:12" x14ac:dyDescent="0.25">
      <c r="A21666" s="4" t="str">
        <f>HYPERLINK("http://www.rosaceae.org/Prunus/Prunus_persica/p.persica_gdr_reftransV1_0008835","p.persica_gdr_reftransV1_0008835")</f>
        <v>p.persica_gdr_reftransV1_0008835</v>
      </c>
      <c r="B21666" s="2">
        <v>2341</v>
      </c>
      <c r="C21666" s="4" t="str">
        <f>HYPERLINK("http://www.uniprot.org/uniprot/M5XAB8","M5XAB8")</f>
        <v>M5XAB8</v>
      </c>
      <c r="D21666" s="2" t="s">
        <v>16132</v>
      </c>
      <c r="E21666" s="3">
        <v>8.9499999999999998E-171</v>
      </c>
      <c r="F21666" s="2">
        <v>1301</v>
      </c>
      <c r="G21666" s="2">
        <v>100</v>
      </c>
      <c r="H21666" s="2">
        <v>270</v>
      </c>
      <c r="I21666" s="2">
        <v>1213</v>
      </c>
      <c r="J21666" s="2">
        <v>2022</v>
      </c>
      <c r="K21666" s="2">
        <v>18</v>
      </c>
      <c r="L21666" s="2">
        <v>287</v>
      </c>
    </row>
    <row r="21667" spans="1:12" x14ac:dyDescent="0.25">
      <c r="A21667" s="4" t="str">
        <f>HYPERLINK("http://www.rosaceae.org/Prunus/Prunus_persica/p.persica_gdr_reftransV1_0009885","p.persica_gdr_reftransV1_0009885")</f>
        <v>p.persica_gdr_reftransV1_0009885</v>
      </c>
      <c r="B21667" s="2">
        <v>9155</v>
      </c>
      <c r="C21667" s="4" t="str">
        <f>HYPERLINK("http://www.uniprot.org/uniprot/M5XAP7","M5XAP7")</f>
        <v>M5XAP7</v>
      </c>
      <c r="D21667" s="2" t="s">
        <v>16133</v>
      </c>
      <c r="E21667" s="3">
        <v>0</v>
      </c>
      <c r="F21667" s="2">
        <v>10528</v>
      </c>
      <c r="G21667" s="2">
        <v>100</v>
      </c>
      <c r="H21667" s="2">
        <v>2108</v>
      </c>
      <c r="I21667" s="2">
        <v>833</v>
      </c>
      <c r="J21667" s="2">
        <v>7156</v>
      </c>
      <c r="K21667" s="2">
        <v>1</v>
      </c>
      <c r="L21667" s="2">
        <v>2108</v>
      </c>
    </row>
    <row r="21668" spans="1:12" x14ac:dyDescent="0.25">
      <c r="A21668" s="4" t="str">
        <f>HYPERLINK("http://www.rosaceae.org/Prunus/Prunus_persica/p.persica_gdr_reftransV1_0010935","p.persica_gdr_reftransV1_0010935")</f>
        <v>p.persica_gdr_reftransV1_0010935</v>
      </c>
      <c r="B21668" s="2">
        <v>1208</v>
      </c>
      <c r="C21668" s="4" t="str">
        <f>HYPERLINK("http://www.uniprot.org/uniprot/M5XKR0","M5XKR0")</f>
        <v>M5XKR0</v>
      </c>
      <c r="D21668" s="2" t="s">
        <v>16134</v>
      </c>
      <c r="E21668" s="3">
        <v>3.6000000000000001E-141</v>
      </c>
      <c r="F21668" s="2">
        <v>1060</v>
      </c>
      <c r="G21668" s="2">
        <v>100</v>
      </c>
      <c r="H21668" s="2">
        <v>203</v>
      </c>
      <c r="I21668" s="2">
        <v>264</v>
      </c>
      <c r="J21668" s="2">
        <v>872</v>
      </c>
      <c r="K21668" s="2">
        <v>1</v>
      </c>
      <c r="L21668" s="2">
        <v>203</v>
      </c>
    </row>
    <row r="21669" spans="1:12" x14ac:dyDescent="0.25">
      <c r="A21669" s="4" t="str">
        <f>HYPERLINK("http://www.rosaceae.org/Prunus/Prunus_persica/p.persica_gdr_reftransV1_0011985","p.persica_gdr_reftransV1_0011985")</f>
        <v>p.persica_gdr_reftransV1_0011985</v>
      </c>
      <c r="B21669" s="2">
        <v>2249</v>
      </c>
      <c r="C21669" s="4" t="str">
        <f>HYPERLINK("http://www.uniprot.org/uniprot/M5XDE5","M5XDE5")</f>
        <v>M5XDE5</v>
      </c>
      <c r="D21669" s="2" t="s">
        <v>16135</v>
      </c>
      <c r="E21669" s="3">
        <v>0</v>
      </c>
      <c r="F21669" s="2">
        <v>1751</v>
      </c>
      <c r="G21669" s="2">
        <v>100</v>
      </c>
      <c r="H21669" s="2">
        <v>407</v>
      </c>
      <c r="I21669" s="2">
        <v>633</v>
      </c>
      <c r="J21669" s="2">
        <v>1853</v>
      </c>
      <c r="K21669" s="2">
        <v>1</v>
      </c>
      <c r="L21669" s="2">
        <v>407</v>
      </c>
    </row>
    <row r="21670" spans="1:12" x14ac:dyDescent="0.25">
      <c r="A21670" s="4" t="str">
        <f>HYPERLINK("http://www.rosaceae.org/Prunus/Prunus_persica/p.persica_gdr_reftransV1_0012335","p.persica_gdr_reftransV1_0012335")</f>
        <v>p.persica_gdr_reftransV1_0012335</v>
      </c>
      <c r="B21670" s="2">
        <v>391</v>
      </c>
      <c r="C21670" s="4" t="str">
        <f>HYPERLINK("http://www.uniprot.org/uniprot/M5XYV2","M5XYV2")</f>
        <v>M5XYV2</v>
      </c>
      <c r="D21670" s="2" t="s">
        <v>9751</v>
      </c>
      <c r="E21670" s="3">
        <v>1.21E-52</v>
      </c>
      <c r="F21670" s="2">
        <v>450</v>
      </c>
      <c r="G21670" s="2">
        <v>93</v>
      </c>
      <c r="H21670" s="2">
        <v>91</v>
      </c>
      <c r="I21670" s="2">
        <v>43</v>
      </c>
      <c r="J21670" s="2">
        <v>315</v>
      </c>
      <c r="K21670" s="2">
        <v>78</v>
      </c>
      <c r="L21670" s="2">
        <v>168</v>
      </c>
    </row>
    <row r="21671" spans="1:12" x14ac:dyDescent="0.25">
      <c r="A21671" s="4" t="str">
        <f>HYPERLINK("http://www.rosaceae.org/Prunus/Prunus_persica/p.persica_gdr_reftransV1_0013385","p.persica_gdr_reftransV1_0013385")</f>
        <v>p.persica_gdr_reftransV1_0013385</v>
      </c>
      <c r="B21671" s="2">
        <v>1234</v>
      </c>
      <c r="C21671" s="4" t="str">
        <f>HYPERLINK("http://www.uniprot.org/uniprot/M5WYP5","M5WYP5")</f>
        <v>M5WYP5</v>
      </c>
      <c r="D21671" s="2" t="s">
        <v>16136</v>
      </c>
      <c r="E21671" s="3">
        <v>0</v>
      </c>
      <c r="F21671" s="2">
        <v>1765</v>
      </c>
      <c r="G21671" s="2">
        <v>100</v>
      </c>
      <c r="H21671" s="2">
        <v>342</v>
      </c>
      <c r="I21671" s="2">
        <v>45</v>
      </c>
      <c r="J21671" s="2">
        <v>1070</v>
      </c>
      <c r="K21671" s="2">
        <v>1</v>
      </c>
      <c r="L21671" s="2">
        <v>342</v>
      </c>
    </row>
    <row r="21672" spans="1:12" x14ac:dyDescent="0.25">
      <c r="A21672" s="4" t="str">
        <f>HYPERLINK("http://www.rosaceae.org/Prunus/Prunus_persica/p.persica_gdr_reftransV1_0014435","p.persica_gdr_reftransV1_0014435")</f>
        <v>p.persica_gdr_reftransV1_0014435</v>
      </c>
      <c r="B21672" s="2">
        <v>1222</v>
      </c>
      <c r="C21672" s="4" t="str">
        <f>HYPERLINK("http://www.uniprot.org/uniprot/M5XT83","M5XT83")</f>
        <v>M5XT83</v>
      </c>
      <c r="D21672" s="2" t="s">
        <v>16137</v>
      </c>
      <c r="E21672" s="3">
        <v>8.2499999999999997E-157</v>
      </c>
      <c r="F21672" s="2">
        <v>1168</v>
      </c>
      <c r="G21672" s="2">
        <v>100</v>
      </c>
      <c r="H21672" s="2">
        <v>234</v>
      </c>
      <c r="I21672" s="2">
        <v>422</v>
      </c>
      <c r="J21672" s="2">
        <v>1123</v>
      </c>
      <c r="K21672" s="2">
        <v>1</v>
      </c>
      <c r="L21672" s="2">
        <v>234</v>
      </c>
    </row>
    <row r="21673" spans="1:12" x14ac:dyDescent="0.25">
      <c r="A21673" s="4" t="str">
        <f>HYPERLINK("http://www.rosaceae.org/Prunus/Prunus_persica/p.persica_gdr_reftransV1_0016885","p.persica_gdr_reftransV1_0016885")</f>
        <v>p.persica_gdr_reftransV1_0016885</v>
      </c>
      <c r="B21673" s="2">
        <v>2080</v>
      </c>
      <c r="C21673" s="4" t="str">
        <f>HYPERLINK("http://www.uniprot.org/uniprot/M5WV88","M5WV88")</f>
        <v>M5WV88</v>
      </c>
      <c r="D21673" s="2" t="s">
        <v>16138</v>
      </c>
      <c r="E21673" s="3">
        <v>4.66E-147</v>
      </c>
      <c r="F21673" s="2">
        <v>1128</v>
      </c>
      <c r="G21673" s="2">
        <v>100</v>
      </c>
      <c r="H21673" s="2">
        <v>209</v>
      </c>
      <c r="I21673" s="2">
        <v>383</v>
      </c>
      <c r="J21673" s="2">
        <v>1009</v>
      </c>
      <c r="K21673" s="2">
        <v>1</v>
      </c>
      <c r="L21673" s="2">
        <v>209</v>
      </c>
    </row>
    <row r="21674" spans="1:12" x14ac:dyDescent="0.25">
      <c r="A21674" s="4" t="str">
        <f>HYPERLINK("http://www.rosaceae.org/Prunus/Prunus_persica/p.persica_gdr_reftransV1_0018635","p.persica_gdr_reftransV1_0018635")</f>
        <v>p.persica_gdr_reftransV1_0018635</v>
      </c>
      <c r="B21674" s="2">
        <v>715</v>
      </c>
      <c r="C21674" s="4" t="str">
        <f>HYPERLINK("http://www.uniprot.org/uniprot/M5WUT9","M5WUT9")</f>
        <v>M5WUT9</v>
      </c>
      <c r="D21674" s="2" t="s">
        <v>16139</v>
      </c>
      <c r="E21674" s="3">
        <v>1.05E-166</v>
      </c>
      <c r="F21674" s="2">
        <v>1259</v>
      </c>
      <c r="G21674" s="2">
        <v>100</v>
      </c>
      <c r="H21674" s="2">
        <v>238</v>
      </c>
      <c r="I21674" s="2">
        <v>1</v>
      </c>
      <c r="J21674" s="2">
        <v>714</v>
      </c>
      <c r="K21674" s="2">
        <v>146</v>
      </c>
      <c r="L21674" s="2">
        <v>383</v>
      </c>
    </row>
    <row r="21675" spans="1:12" x14ac:dyDescent="0.25">
      <c r="A21675" s="4" t="str">
        <f>HYPERLINK("http://www.rosaceae.org/Prunus/Prunus_persica/p.persica_gdr_reftransV1_0018985","p.persica_gdr_reftransV1_0018985")</f>
        <v>p.persica_gdr_reftransV1_0018985</v>
      </c>
      <c r="B21675" s="2">
        <v>3517</v>
      </c>
      <c r="C21675" s="4" t="str">
        <f>HYPERLINK("http://www.uniprot.org/uniprot/M5XZC7","M5XZC7")</f>
        <v>M5XZC7</v>
      </c>
      <c r="D21675" s="2" t="s">
        <v>16140</v>
      </c>
      <c r="E21675" s="3">
        <v>1.7499999999999999E-102</v>
      </c>
      <c r="F21675" s="2">
        <v>855</v>
      </c>
      <c r="G21675" s="2">
        <v>99</v>
      </c>
      <c r="H21675" s="2">
        <v>163</v>
      </c>
      <c r="I21675" s="2">
        <v>136</v>
      </c>
      <c r="J21675" s="2">
        <v>624</v>
      </c>
      <c r="K21675" s="2">
        <v>1</v>
      </c>
      <c r="L21675" s="2">
        <v>163</v>
      </c>
    </row>
    <row r="21676" spans="1:12" x14ac:dyDescent="0.25">
      <c r="A21676" s="4" t="str">
        <f>HYPERLINK("http://www.rosaceae.org/Prunus/Prunus_persica/p.persica_gdr_reftransV1_0019335","p.persica_gdr_reftransV1_0019335")</f>
        <v>p.persica_gdr_reftransV1_0019335</v>
      </c>
      <c r="B21676" s="2">
        <v>430</v>
      </c>
      <c r="C21676" s="4" t="str">
        <f>HYPERLINK("http://www.uniprot.org/uniprot/A0A067DJ90","A0A067DJ90")</f>
        <v>A0A067DJ90</v>
      </c>
      <c r="D21676" s="2" t="s">
        <v>16141</v>
      </c>
      <c r="E21676" s="3">
        <v>1.3600000000000001E-58</v>
      </c>
      <c r="F21676" s="2">
        <v>488</v>
      </c>
      <c r="G21676" s="2">
        <v>61</v>
      </c>
      <c r="H21676" s="2">
        <v>142</v>
      </c>
      <c r="I21676" s="2">
        <v>2</v>
      </c>
      <c r="J21676" s="2">
        <v>424</v>
      </c>
      <c r="K21676" s="2">
        <v>67</v>
      </c>
      <c r="L21676" s="2">
        <v>208</v>
      </c>
    </row>
    <row r="21677" spans="1:12" x14ac:dyDescent="0.25">
      <c r="A21677" s="4" t="str">
        <f>HYPERLINK("http://www.rosaceae.org/Prunus/Prunus_persica/p.persica_gdr_reftransV1_0020735","p.persica_gdr_reftransV1_0020735")</f>
        <v>p.persica_gdr_reftransV1_0020735</v>
      </c>
      <c r="B21677" s="2">
        <v>2664</v>
      </c>
      <c r="C21677" s="4" t="str">
        <f>HYPERLINK("http://www.uniprot.org/uniprot/M5WRJ7","M5WRJ7")</f>
        <v>M5WRJ7</v>
      </c>
      <c r="D21677" s="2" t="s">
        <v>16142</v>
      </c>
      <c r="E21677" s="3">
        <v>0</v>
      </c>
      <c r="F21677" s="2">
        <v>3675</v>
      </c>
      <c r="G21677" s="2">
        <v>100</v>
      </c>
      <c r="H21677" s="2">
        <v>744</v>
      </c>
      <c r="I21677" s="2">
        <v>284</v>
      </c>
      <c r="J21677" s="2">
        <v>2515</v>
      </c>
      <c r="K21677" s="2">
        <v>1</v>
      </c>
      <c r="L21677" s="2">
        <v>744</v>
      </c>
    </row>
    <row r="21678" spans="1:12" x14ac:dyDescent="0.25">
      <c r="A21678" s="4" t="str">
        <f>HYPERLINK("http://www.rosaceae.org/Prunus/Prunus_persica/p.persica_gdr_reftransV1_0021785","p.persica_gdr_reftransV1_0021785")</f>
        <v>p.persica_gdr_reftransV1_0021785</v>
      </c>
      <c r="B21678" s="2">
        <v>1281</v>
      </c>
      <c r="C21678" s="4" t="str">
        <f>HYPERLINK("http://www.uniprot.org/uniprot/M5W2W6","M5W2W6")</f>
        <v>M5W2W6</v>
      </c>
      <c r="D21678" s="2" t="s">
        <v>16143</v>
      </c>
      <c r="E21678" s="3">
        <v>4.1100000000000004E-177</v>
      </c>
      <c r="F21678" s="2">
        <v>1309</v>
      </c>
      <c r="G21678" s="2">
        <v>100</v>
      </c>
      <c r="H21678" s="2">
        <v>280</v>
      </c>
      <c r="I21678" s="2">
        <v>127</v>
      </c>
      <c r="J21678" s="2">
        <v>966</v>
      </c>
      <c r="K21678" s="2">
        <v>1</v>
      </c>
      <c r="L21678" s="2">
        <v>280</v>
      </c>
    </row>
    <row r="21679" spans="1:12" x14ac:dyDescent="0.25">
      <c r="A21679" s="4" t="str">
        <f>HYPERLINK("http://www.rosaceae.org/Prunus/Prunus_persica/p.persica_gdr_reftransV1_0022485","p.persica_gdr_reftransV1_0022485")</f>
        <v>p.persica_gdr_reftransV1_0022485</v>
      </c>
      <c r="B21679" s="2">
        <v>2166</v>
      </c>
      <c r="C21679" s="4" t="str">
        <f>HYPERLINK("http://www.uniprot.org/uniprot/M5XH00","M5XH00")</f>
        <v>M5XH00</v>
      </c>
      <c r="D21679" s="2" t="s">
        <v>10735</v>
      </c>
      <c r="E21679" s="3">
        <v>9.97E-175</v>
      </c>
      <c r="F21679" s="2">
        <v>1328</v>
      </c>
      <c r="G21679" s="2">
        <v>89</v>
      </c>
      <c r="H21679" s="2">
        <v>285</v>
      </c>
      <c r="I21679" s="2">
        <v>1003</v>
      </c>
      <c r="J21679" s="2">
        <v>1857</v>
      </c>
      <c r="K21679" s="2">
        <v>77</v>
      </c>
      <c r="L21679" s="2">
        <v>344</v>
      </c>
    </row>
    <row r="21680" spans="1:12" x14ac:dyDescent="0.25">
      <c r="A21680" s="4" t="str">
        <f>HYPERLINK("http://www.rosaceae.org/Prunus/Prunus_persica/p.persica_gdr_reftransV1_0023535","p.persica_gdr_reftransV1_0023535")</f>
        <v>p.persica_gdr_reftransV1_0023535</v>
      </c>
      <c r="B21680" s="2">
        <v>1333</v>
      </c>
      <c r="C21680" s="4" t="str">
        <f>HYPERLINK("http://www.uniprot.org/uniprot/M5XMM2","M5XMM2")</f>
        <v>M5XMM2</v>
      </c>
      <c r="D21680" s="2" t="s">
        <v>16144</v>
      </c>
      <c r="E21680" s="3">
        <v>1.7600000000000001E-106</v>
      </c>
      <c r="F21680" s="2">
        <v>830</v>
      </c>
      <c r="G21680" s="2">
        <v>99</v>
      </c>
      <c r="H21680" s="2">
        <v>160</v>
      </c>
      <c r="I21680" s="2">
        <v>637</v>
      </c>
      <c r="J21680" s="2">
        <v>1116</v>
      </c>
      <c r="K21680" s="2">
        <v>1</v>
      </c>
      <c r="L21680" s="2">
        <v>159</v>
      </c>
    </row>
    <row r="21681" spans="1:12" x14ac:dyDescent="0.25">
      <c r="A21681" s="4" t="str">
        <f>HYPERLINK("http://www.rosaceae.org/Prunus/Prunus_persica/p.persica_gdr_reftransV1_0024235","p.persica_gdr_reftransV1_0024235")</f>
        <v>p.persica_gdr_reftransV1_0024235</v>
      </c>
      <c r="B21681" s="2">
        <v>2695</v>
      </c>
      <c r="C21681" s="4" t="str">
        <f>HYPERLINK("http://www.uniprot.org/uniprot/M5XP11","M5XP11")</f>
        <v>M5XP11</v>
      </c>
      <c r="D21681" s="2" t="s">
        <v>16145</v>
      </c>
      <c r="E21681" s="3">
        <v>0</v>
      </c>
      <c r="F21681" s="2">
        <v>3182</v>
      </c>
      <c r="G21681" s="2">
        <v>100</v>
      </c>
      <c r="H21681" s="2">
        <v>600</v>
      </c>
      <c r="I21681" s="2">
        <v>374</v>
      </c>
      <c r="J21681" s="2">
        <v>2173</v>
      </c>
      <c r="K21681" s="2">
        <v>1</v>
      </c>
      <c r="L21681" s="2">
        <v>600</v>
      </c>
    </row>
    <row r="21682" spans="1:12" x14ac:dyDescent="0.25">
      <c r="A21682" s="4" t="str">
        <f>HYPERLINK("http://www.rosaceae.org/Prunus/Prunus_persica/p.persica_gdr_reftransV1_0024585","p.persica_gdr_reftransV1_0024585")</f>
        <v>p.persica_gdr_reftransV1_0024585</v>
      </c>
      <c r="B21682" s="2">
        <v>785</v>
      </c>
      <c r="C21682" s="4" t="str">
        <f>HYPERLINK("http://www.uniprot.org/uniprot/M5W2F8","M5W2F8")</f>
        <v>M5W2F8</v>
      </c>
      <c r="D21682" s="2" t="s">
        <v>10099</v>
      </c>
      <c r="E21682" s="3">
        <v>4.0900000000000002E-142</v>
      </c>
      <c r="F21682" s="2">
        <v>1124</v>
      </c>
      <c r="G21682" s="2">
        <v>100</v>
      </c>
      <c r="H21682" s="2">
        <v>219</v>
      </c>
      <c r="I21682" s="2">
        <v>128</v>
      </c>
      <c r="J21682" s="2">
        <v>784</v>
      </c>
      <c r="K21682" s="2">
        <v>19</v>
      </c>
      <c r="L21682" s="2">
        <v>237</v>
      </c>
    </row>
    <row r="21683" spans="1:12" x14ac:dyDescent="0.25">
      <c r="A21683" s="4" t="str">
        <f>HYPERLINK("http://www.rosaceae.org/Prunus/Prunus_persica/p.persica_gdr_reftransV1_0024935","p.persica_gdr_reftransV1_0024935")</f>
        <v>p.persica_gdr_reftransV1_0024935</v>
      </c>
      <c r="B21683" s="2">
        <v>1342</v>
      </c>
      <c r="C21683" s="4" t="str">
        <f>HYPERLINK("http://www.uniprot.org/uniprot/A5BNN7","A5BNN7")</f>
        <v>A5BNN7</v>
      </c>
      <c r="D21683" s="2" t="s">
        <v>16146</v>
      </c>
      <c r="E21683" s="3">
        <v>1.36E-174</v>
      </c>
      <c r="F21683" s="2">
        <v>1346</v>
      </c>
      <c r="G21683" s="2">
        <v>61</v>
      </c>
      <c r="H21683" s="2">
        <v>424</v>
      </c>
      <c r="I21683" s="2">
        <v>91</v>
      </c>
      <c r="J21683" s="2">
        <v>1341</v>
      </c>
      <c r="K21683" s="2">
        <v>305</v>
      </c>
      <c r="L21683" s="2">
        <v>723</v>
      </c>
    </row>
    <row r="21684" spans="1:12" x14ac:dyDescent="0.25">
      <c r="A21684" s="4" t="str">
        <f>HYPERLINK("http://www.rosaceae.org/Prunus/Prunus_persica/p.persica_gdr_reftransV1_0025985","p.persica_gdr_reftransV1_0025985")</f>
        <v>p.persica_gdr_reftransV1_0025985</v>
      </c>
      <c r="B21684" s="2">
        <v>1534</v>
      </c>
      <c r="C21684" s="4" t="str">
        <f>HYPERLINK("http://www.uniprot.org/uniprot/M5WTK1","M5WTK1")</f>
        <v>M5WTK1</v>
      </c>
      <c r="D21684" s="2" t="s">
        <v>16147</v>
      </c>
      <c r="E21684" s="3">
        <v>1.1700000000000001E-124</v>
      </c>
      <c r="F21684" s="2">
        <v>968</v>
      </c>
      <c r="G21684" s="2">
        <v>100</v>
      </c>
      <c r="H21684" s="2">
        <v>248</v>
      </c>
      <c r="I21684" s="2">
        <v>301</v>
      </c>
      <c r="J21684" s="2">
        <v>1044</v>
      </c>
      <c r="K21684" s="2">
        <v>1</v>
      </c>
      <c r="L21684" s="2">
        <v>248</v>
      </c>
    </row>
    <row r="21685" spans="1:12" x14ac:dyDescent="0.25">
      <c r="A21685" s="4" t="str">
        <f>HYPERLINK("http://www.rosaceae.org/Prunus/Prunus_persica/p.persica_gdr_reftransV1_0026685","p.persica_gdr_reftransV1_0026685")</f>
        <v>p.persica_gdr_reftransV1_0026685</v>
      </c>
      <c r="B21685" s="2">
        <v>1453</v>
      </c>
      <c r="C21685" s="4" t="str">
        <f>HYPERLINK("http://www.uniprot.org/uniprot/M5XKD6","M5XKD6")</f>
        <v>M5XKD6</v>
      </c>
      <c r="D21685" s="2" t="s">
        <v>16148</v>
      </c>
      <c r="E21685" s="3">
        <v>9.1200000000000006E-85</v>
      </c>
      <c r="F21685" s="2">
        <v>697</v>
      </c>
      <c r="G21685" s="2">
        <v>100</v>
      </c>
      <c r="H21685" s="2">
        <v>130</v>
      </c>
      <c r="I21685" s="2">
        <v>106</v>
      </c>
      <c r="J21685" s="2">
        <v>495</v>
      </c>
      <c r="K21685" s="2">
        <v>110</v>
      </c>
      <c r="L21685" s="2">
        <v>239</v>
      </c>
    </row>
    <row r="21686" spans="1:12" x14ac:dyDescent="0.25">
      <c r="A21686" s="4" t="str">
        <f>HYPERLINK("http://www.rosaceae.org/Prunus/Prunus_persica/p.persica_gdr_reftransV1_0027035","p.persica_gdr_reftransV1_0027035")</f>
        <v>p.persica_gdr_reftransV1_0027035</v>
      </c>
      <c r="B21686" s="2">
        <v>3854</v>
      </c>
      <c r="C21686" s="4" t="str">
        <f>HYPERLINK("http://www.uniprot.org/uniprot/M5WAQ9","M5WAQ9")</f>
        <v>M5WAQ9</v>
      </c>
      <c r="D21686" s="2" t="s">
        <v>16149</v>
      </c>
      <c r="E21686" s="3">
        <v>2.0800000000000001E-154</v>
      </c>
      <c r="F21686" s="2">
        <v>1247</v>
      </c>
      <c r="G21686" s="2">
        <v>89</v>
      </c>
      <c r="H21686" s="2">
        <v>349</v>
      </c>
      <c r="I21686" s="2">
        <v>302</v>
      </c>
      <c r="J21686" s="2">
        <v>1348</v>
      </c>
      <c r="K21686" s="2">
        <v>1</v>
      </c>
      <c r="L21686" s="2">
        <v>309</v>
      </c>
    </row>
    <row r="21687" spans="1:12" x14ac:dyDescent="0.25">
      <c r="A21687" s="4" t="str">
        <f>HYPERLINK("http://www.rosaceae.org/Prunus/Prunus_persica/p.persica_gdr_reftransV1_0030185","p.persica_gdr_reftransV1_0030185")</f>
        <v>p.persica_gdr_reftransV1_0030185</v>
      </c>
      <c r="B21687" s="2">
        <v>694</v>
      </c>
      <c r="C21687" s="4" t="str">
        <f>HYPERLINK("http://www.uniprot.org/uniprot/M5W1V5","M5W1V5")</f>
        <v>M5W1V5</v>
      </c>
      <c r="D21687" s="2" t="s">
        <v>16150</v>
      </c>
      <c r="E21687" s="3">
        <v>4.52E-62</v>
      </c>
      <c r="F21687" s="2">
        <v>511</v>
      </c>
      <c r="G21687" s="2">
        <v>100</v>
      </c>
      <c r="H21687" s="2">
        <v>121</v>
      </c>
      <c r="I21687" s="2">
        <v>222</v>
      </c>
      <c r="J21687" s="2">
        <v>584</v>
      </c>
      <c r="K21687" s="2">
        <v>1</v>
      </c>
      <c r="L21687" s="2">
        <v>121</v>
      </c>
    </row>
    <row r="21688" spans="1:12" x14ac:dyDescent="0.25">
      <c r="A21688" s="4" t="str">
        <f>HYPERLINK("http://www.rosaceae.org/Prunus/Prunus_persica/p.persica_gdr_reftransV1_0030885","p.persica_gdr_reftransV1_0030885")</f>
        <v>p.persica_gdr_reftransV1_0030885</v>
      </c>
      <c r="B21688" s="2">
        <v>1137</v>
      </c>
      <c r="C21688" s="4" t="str">
        <f>HYPERLINK("http://www.uniprot.org/uniprot/M5W260","M5W260")</f>
        <v>M5W260</v>
      </c>
      <c r="D21688" s="2" t="s">
        <v>11808</v>
      </c>
      <c r="E21688" s="3">
        <v>1.5700000000000001E-151</v>
      </c>
      <c r="F21688" s="2">
        <v>1185</v>
      </c>
      <c r="G21688" s="2">
        <v>100</v>
      </c>
      <c r="H21688" s="2">
        <v>219</v>
      </c>
      <c r="I21688" s="2">
        <v>344</v>
      </c>
      <c r="J21688" s="2">
        <v>1000</v>
      </c>
      <c r="K21688" s="2">
        <v>626</v>
      </c>
      <c r="L21688" s="2">
        <v>844</v>
      </c>
    </row>
    <row r="21689" spans="1:12" x14ac:dyDescent="0.25">
      <c r="A21689" s="4" t="str">
        <f>HYPERLINK("http://www.rosaceae.org/Prunus/Prunus_persica/p.persica_gdr_reftransV1_0031585","p.persica_gdr_reftransV1_0031585")</f>
        <v>p.persica_gdr_reftransV1_0031585</v>
      </c>
      <c r="B21689" s="2">
        <v>2465</v>
      </c>
      <c r="C21689" s="4" t="str">
        <f>HYPERLINK("http://www.uniprot.org/uniprot/M5XLD1","M5XLD1")</f>
        <v>M5XLD1</v>
      </c>
      <c r="D21689" s="2" t="s">
        <v>16151</v>
      </c>
      <c r="E21689" s="3">
        <v>2.0399999999999999E-147</v>
      </c>
      <c r="F21689" s="2">
        <v>1153</v>
      </c>
      <c r="G21689" s="2">
        <v>100</v>
      </c>
      <c r="H21689" s="2">
        <v>216</v>
      </c>
      <c r="I21689" s="2">
        <v>1308</v>
      </c>
      <c r="J21689" s="2">
        <v>1955</v>
      </c>
      <c r="K21689" s="2">
        <v>1</v>
      </c>
      <c r="L21689" s="2">
        <v>216</v>
      </c>
    </row>
    <row r="21690" spans="1:12" x14ac:dyDescent="0.25">
      <c r="A21690" s="4" t="str">
        <f>HYPERLINK("http://www.rosaceae.org/Prunus/Prunus_persica/p.persica_gdr_reftransV1_0031935","p.persica_gdr_reftransV1_0031935")</f>
        <v>p.persica_gdr_reftransV1_0031935</v>
      </c>
      <c r="B21690" s="2">
        <v>857</v>
      </c>
      <c r="C21690" s="4" t="str">
        <f>HYPERLINK("http://www.uniprot.org/uniprot/M5WTK9","M5WTK9")</f>
        <v>M5WTK9</v>
      </c>
      <c r="D21690" s="2" t="s">
        <v>16152</v>
      </c>
      <c r="E21690" s="3">
        <v>2.08E-114</v>
      </c>
      <c r="F21690" s="2">
        <v>871</v>
      </c>
      <c r="G21690" s="2">
        <v>100</v>
      </c>
      <c r="H21690" s="2">
        <v>202</v>
      </c>
      <c r="I21690" s="2">
        <v>180</v>
      </c>
      <c r="J21690" s="2">
        <v>785</v>
      </c>
      <c r="K21690" s="2">
        <v>1</v>
      </c>
      <c r="L21690" s="2">
        <v>202</v>
      </c>
    </row>
    <row r="21691" spans="1:12" x14ac:dyDescent="0.25">
      <c r="A21691" s="4" t="str">
        <f>HYPERLINK("http://www.rosaceae.org/Prunus/Prunus_persica/p.persica_gdr_reftransV1_0032285","p.persica_gdr_reftransV1_0032285")</f>
        <v>p.persica_gdr_reftransV1_0032285</v>
      </c>
      <c r="B21691" s="2">
        <v>2502</v>
      </c>
      <c r="C21691" s="4" t="str">
        <f>HYPERLINK("http://www.uniprot.org/uniprot/M5XY43","M5XY43")</f>
        <v>M5XY43</v>
      </c>
      <c r="D21691" s="2" t="s">
        <v>5430</v>
      </c>
      <c r="E21691" s="3">
        <v>8.4899999999999997E-161</v>
      </c>
      <c r="F21691" s="2">
        <v>1145</v>
      </c>
      <c r="G21691" s="2">
        <v>96</v>
      </c>
      <c r="H21691" s="2">
        <v>247</v>
      </c>
      <c r="I21691" s="2">
        <v>77</v>
      </c>
      <c r="J21691" s="2">
        <v>817</v>
      </c>
      <c r="K21691" s="2">
        <v>1</v>
      </c>
      <c r="L21691" s="2">
        <v>239</v>
      </c>
    </row>
    <row r="21692" spans="1:12" x14ac:dyDescent="0.25">
      <c r="A21692" s="4" t="str">
        <f>HYPERLINK("http://www.rosaceae.org/Prunus/Prunus_persica/p.persica_gdr_reftransV1_0033685","p.persica_gdr_reftransV1_0033685")</f>
        <v>p.persica_gdr_reftransV1_0033685</v>
      </c>
      <c r="B21692" s="2">
        <v>1807</v>
      </c>
      <c r="C21692" s="4" t="str">
        <f>HYPERLINK("http://www.uniprot.org/uniprot/M5X9Q9","M5X9Q9")</f>
        <v>M5X9Q9</v>
      </c>
      <c r="D21692" s="2" t="s">
        <v>16153</v>
      </c>
      <c r="E21692" s="3">
        <v>5.8600000000000004E-22</v>
      </c>
      <c r="F21692" s="2">
        <v>276</v>
      </c>
      <c r="G21692" s="2">
        <v>42</v>
      </c>
      <c r="H21692" s="2">
        <v>133</v>
      </c>
      <c r="I21692" s="2">
        <v>1213</v>
      </c>
      <c r="J21692" s="2">
        <v>1608</v>
      </c>
      <c r="K21692" s="2">
        <v>5</v>
      </c>
      <c r="L21692" s="2">
        <v>130</v>
      </c>
    </row>
    <row r="21693" spans="1:12" x14ac:dyDescent="0.25">
      <c r="A21693" s="4" t="str">
        <f>HYPERLINK("http://www.rosaceae.org/Prunus/Prunus_persica/p.persica_gdr_reftransV1_0035435","p.persica_gdr_reftransV1_0035435")</f>
        <v>p.persica_gdr_reftransV1_0035435</v>
      </c>
      <c r="B21693" s="2">
        <v>2681</v>
      </c>
      <c r="C21693" s="4" t="str">
        <f>HYPERLINK("http://www.uniprot.org/uniprot/M5X5X7","M5X5X7")</f>
        <v>M5X5X7</v>
      </c>
      <c r="D21693" s="2" t="s">
        <v>16154</v>
      </c>
      <c r="E21693" s="3">
        <v>0</v>
      </c>
      <c r="F21693" s="2">
        <v>3310</v>
      </c>
      <c r="G21693" s="2">
        <v>100</v>
      </c>
      <c r="H21693" s="2">
        <v>690</v>
      </c>
      <c r="I21693" s="2">
        <v>342</v>
      </c>
      <c r="J21693" s="2">
        <v>2411</v>
      </c>
      <c r="K21693" s="2">
        <v>1</v>
      </c>
      <c r="L21693" s="2">
        <v>690</v>
      </c>
    </row>
    <row r="21694" spans="1:12" x14ac:dyDescent="0.25">
      <c r="A21694" s="4" t="str">
        <f>HYPERLINK("http://www.rosaceae.org/Prunus/Prunus_persica/p.persica_gdr_reftransV1_0036135","p.persica_gdr_reftransV1_0036135")</f>
        <v>p.persica_gdr_reftransV1_0036135</v>
      </c>
      <c r="B21694" s="2">
        <v>2569</v>
      </c>
      <c r="C21694" s="4" t="str">
        <f>HYPERLINK("http://www.uniprot.org/uniprot/M5WG13","M5WG13")</f>
        <v>M5WG13</v>
      </c>
      <c r="D21694" s="2" t="s">
        <v>16155</v>
      </c>
      <c r="E21694" s="3">
        <v>0</v>
      </c>
      <c r="F21694" s="2">
        <v>2400</v>
      </c>
      <c r="G21694" s="2">
        <v>99</v>
      </c>
      <c r="H21694" s="2">
        <v>491</v>
      </c>
      <c r="I21694" s="2">
        <v>24</v>
      </c>
      <c r="J21694" s="2">
        <v>1484</v>
      </c>
      <c r="K21694" s="2">
        <v>1</v>
      </c>
      <c r="L21694" s="2">
        <v>491</v>
      </c>
    </row>
    <row r="21695" spans="1:12" x14ac:dyDescent="0.25">
      <c r="A21695" s="4" t="str">
        <f>HYPERLINK("http://www.rosaceae.org/Prunus/Prunus_persica/p.persica_gdr_reftransV1_0036835","p.persica_gdr_reftransV1_0036835")</f>
        <v>p.persica_gdr_reftransV1_0036835</v>
      </c>
      <c r="B21695" s="2">
        <v>3406</v>
      </c>
      <c r="C21695" s="4" t="str">
        <f>HYPERLINK("http://www.uniprot.org/uniprot/M5WP90","M5WP90")</f>
        <v>M5WP90</v>
      </c>
      <c r="D21695" s="2" t="s">
        <v>948</v>
      </c>
      <c r="E21695" s="3">
        <v>0</v>
      </c>
      <c r="F21695" s="2">
        <v>2344</v>
      </c>
      <c r="G21695" s="2">
        <v>100</v>
      </c>
      <c r="H21695" s="2">
        <v>478</v>
      </c>
      <c r="I21695" s="2">
        <v>1894</v>
      </c>
      <c r="J21695" s="2">
        <v>3327</v>
      </c>
      <c r="K21695" s="2">
        <v>1</v>
      </c>
      <c r="L21695" s="2">
        <v>478</v>
      </c>
    </row>
    <row r="21696" spans="1:12" x14ac:dyDescent="0.25">
      <c r="A21696" s="4" t="str">
        <f>HYPERLINK("http://www.rosaceae.org/Prunus/Prunus_persica/p.persica_gdr_reftransV1_0037535","p.persica_gdr_reftransV1_0037535")</f>
        <v>p.persica_gdr_reftransV1_0037535</v>
      </c>
      <c r="B21696" s="2">
        <v>3140</v>
      </c>
      <c r="C21696" s="4" t="str">
        <f>HYPERLINK("http://www.uniprot.org/uniprot/M5W9S6","M5W9S6")</f>
        <v>M5W9S6</v>
      </c>
      <c r="D21696" s="2" t="s">
        <v>16156</v>
      </c>
      <c r="E21696" s="3">
        <v>3.3699999999999999E-125</v>
      </c>
      <c r="F21696" s="2">
        <v>1021</v>
      </c>
      <c r="G21696" s="2">
        <v>100</v>
      </c>
      <c r="H21696" s="2">
        <v>214</v>
      </c>
      <c r="I21696" s="2">
        <v>2330</v>
      </c>
      <c r="J21696" s="2">
        <v>2971</v>
      </c>
      <c r="K21696" s="2">
        <v>141</v>
      </c>
      <c r="L21696" s="2">
        <v>354</v>
      </c>
    </row>
    <row r="21697" spans="1:12" x14ac:dyDescent="0.25">
      <c r="A21697" s="4" t="str">
        <f>HYPERLINK("http://www.rosaceae.org/Prunus/Prunus_persica/p.persica_gdr_reftransV1_0040335","p.persica_gdr_reftransV1_0040335")</f>
        <v>p.persica_gdr_reftransV1_0040335</v>
      </c>
      <c r="B21697" s="2">
        <v>2411</v>
      </c>
      <c r="C21697" s="4" t="str">
        <f>HYPERLINK("http://www.uniprot.org/uniprot/M5WU81","M5WU81")</f>
        <v>M5WU81</v>
      </c>
      <c r="D21697" s="2" t="s">
        <v>9064</v>
      </c>
      <c r="E21697" s="3">
        <v>4.49E-123</v>
      </c>
      <c r="F21697" s="2">
        <v>980</v>
      </c>
      <c r="G21697" s="2">
        <v>98</v>
      </c>
      <c r="H21697" s="2">
        <v>202</v>
      </c>
      <c r="I21697" s="2">
        <v>67</v>
      </c>
      <c r="J21697" s="2">
        <v>672</v>
      </c>
      <c r="K21697" s="2">
        <v>1</v>
      </c>
      <c r="L21697" s="2">
        <v>202</v>
      </c>
    </row>
    <row r="21698" spans="1:12" x14ac:dyDescent="0.25">
      <c r="A21698" s="4" t="str">
        <f>HYPERLINK("http://www.rosaceae.org/Prunus/Prunus_persica/p.persica_gdr_reftransV1_0043485","p.persica_gdr_reftransV1_0043485")</f>
        <v>p.persica_gdr_reftransV1_0043485</v>
      </c>
      <c r="B21698" s="2">
        <v>721</v>
      </c>
      <c r="C21698" s="4" t="str">
        <f>HYPERLINK("http://www.uniprot.org/uniprot/M5VVE7","M5VVE7")</f>
        <v>M5VVE7</v>
      </c>
      <c r="D21698" s="2" t="s">
        <v>428</v>
      </c>
      <c r="E21698" s="3">
        <v>3.5200000000000002E-162</v>
      </c>
      <c r="F21698" s="2">
        <v>1254</v>
      </c>
      <c r="G21698" s="2">
        <v>100</v>
      </c>
      <c r="H21698" s="2">
        <v>239</v>
      </c>
      <c r="I21698" s="2">
        <v>3</v>
      </c>
      <c r="J21698" s="2">
        <v>719</v>
      </c>
      <c r="K21698" s="2">
        <v>528</v>
      </c>
      <c r="L21698" s="2">
        <v>766</v>
      </c>
    </row>
    <row r="21699" spans="1:12" x14ac:dyDescent="0.25">
      <c r="A21699" s="4" t="str">
        <f>HYPERLINK("http://www.rosaceae.org/Prunus/Prunus_persica/p.persica_gdr_reftransV1_0043835","p.persica_gdr_reftransV1_0043835")</f>
        <v>p.persica_gdr_reftransV1_0043835</v>
      </c>
      <c r="B21699" s="2">
        <v>2256</v>
      </c>
      <c r="C21699" s="4" t="str">
        <f>HYPERLINK("http://www.uniprot.org/uniprot/M5W872","M5W872")</f>
        <v>M5W872</v>
      </c>
      <c r="D21699" s="2" t="s">
        <v>14077</v>
      </c>
      <c r="E21699" s="3">
        <v>0</v>
      </c>
      <c r="F21699" s="2">
        <v>2062</v>
      </c>
      <c r="G21699" s="2">
        <v>97</v>
      </c>
      <c r="H21699" s="2">
        <v>406</v>
      </c>
      <c r="I21699" s="2">
        <v>308</v>
      </c>
      <c r="J21699" s="2">
        <v>1489</v>
      </c>
      <c r="K21699" s="2">
        <v>1</v>
      </c>
      <c r="L21699" s="2">
        <v>406</v>
      </c>
    </row>
    <row r="21700" spans="1:12" x14ac:dyDescent="0.25">
      <c r="A21700" s="4" t="str">
        <f>HYPERLINK("http://www.rosaceae.org/Prunus/Prunus_persica/p.persica_gdr_reftransV1_0044185","p.persica_gdr_reftransV1_0044185")</f>
        <v>p.persica_gdr_reftransV1_0044185</v>
      </c>
      <c r="B21700" s="2">
        <v>950</v>
      </c>
      <c r="C21700" s="4" t="str">
        <f>HYPERLINK("http://www.uniprot.org/uniprot/M5WPE5","M5WPE5")</f>
        <v>M5WPE5</v>
      </c>
      <c r="D21700" s="2" t="s">
        <v>16157</v>
      </c>
      <c r="E21700" s="3">
        <v>1.9499999999999999E-171</v>
      </c>
      <c r="F21700" s="2">
        <v>1254</v>
      </c>
      <c r="G21700" s="2">
        <v>100</v>
      </c>
      <c r="H21700" s="2">
        <v>239</v>
      </c>
      <c r="I21700" s="2">
        <v>56</v>
      </c>
      <c r="J21700" s="2">
        <v>772</v>
      </c>
      <c r="K21700" s="2">
        <v>1</v>
      </c>
      <c r="L21700" s="2">
        <v>239</v>
      </c>
    </row>
    <row r="21701" spans="1:12" x14ac:dyDescent="0.25">
      <c r="A21701" s="4" t="str">
        <f>HYPERLINK("http://www.rosaceae.org/Prunus/Prunus_persica/p.persica_gdr_reftransV1_0044535","p.persica_gdr_reftransV1_0044535")</f>
        <v>p.persica_gdr_reftransV1_0044535</v>
      </c>
      <c r="B21701" s="2">
        <v>506</v>
      </c>
      <c r="C21701" s="4" t="str">
        <f>HYPERLINK("http://www.uniprot.org/uniprot/M5WDE0","M5WDE0")</f>
        <v>M5WDE0</v>
      </c>
      <c r="D21701" s="2" t="s">
        <v>16158</v>
      </c>
      <c r="E21701" s="3">
        <v>2.9900000000000001E-50</v>
      </c>
      <c r="F21701" s="2">
        <v>424</v>
      </c>
      <c r="G21701" s="2">
        <v>100</v>
      </c>
      <c r="H21701" s="2">
        <v>87</v>
      </c>
      <c r="I21701" s="2">
        <v>232</v>
      </c>
      <c r="J21701" s="2">
        <v>492</v>
      </c>
      <c r="K21701" s="2">
        <v>1</v>
      </c>
      <c r="L21701" s="2">
        <v>87</v>
      </c>
    </row>
    <row r="21702" spans="1:12" x14ac:dyDescent="0.25">
      <c r="A21702" s="4" t="str">
        <f>HYPERLINK("http://www.rosaceae.org/Prunus/Prunus_persica/p.persica_gdr_reftransV1_0044885","p.persica_gdr_reftransV1_0044885")</f>
        <v>p.persica_gdr_reftransV1_0044885</v>
      </c>
      <c r="B21702" s="2">
        <v>669</v>
      </c>
      <c r="C21702" s="4" t="str">
        <f>HYPERLINK("http://www.uniprot.org/uniprot/M5WGE5","M5WGE5")</f>
        <v>M5WGE5</v>
      </c>
      <c r="D21702" s="2" t="s">
        <v>16159</v>
      </c>
      <c r="E21702" s="3">
        <v>1.3799999999999999E-68</v>
      </c>
      <c r="F21702" s="2">
        <v>582</v>
      </c>
      <c r="G21702" s="2">
        <v>99</v>
      </c>
      <c r="H21702" s="2">
        <v>114</v>
      </c>
      <c r="I21702" s="2">
        <v>2</v>
      </c>
      <c r="J21702" s="2">
        <v>343</v>
      </c>
      <c r="K21702" s="2">
        <v>348</v>
      </c>
      <c r="L21702" s="2">
        <v>461</v>
      </c>
    </row>
    <row r="21703" spans="1:12" x14ac:dyDescent="0.25">
      <c r="A21703" s="4" t="str">
        <f>HYPERLINK("http://www.rosaceae.org/Prunus/Prunus_persica/p.persica_gdr_reftransV1_0045585","p.persica_gdr_reftransV1_0045585")</f>
        <v>p.persica_gdr_reftransV1_0045585</v>
      </c>
      <c r="B21703" s="2">
        <v>1377</v>
      </c>
      <c r="C21703" s="4" t="str">
        <f>HYPERLINK("http://www.uniprot.org/uniprot/M5WSS2","M5WSS2")</f>
        <v>M5WSS2</v>
      </c>
      <c r="D21703" s="2" t="s">
        <v>16160</v>
      </c>
      <c r="E21703" s="3">
        <v>0</v>
      </c>
      <c r="F21703" s="2">
        <v>1669</v>
      </c>
      <c r="G21703" s="2">
        <v>100</v>
      </c>
      <c r="H21703" s="2">
        <v>318</v>
      </c>
      <c r="I21703" s="2">
        <v>19</v>
      </c>
      <c r="J21703" s="2">
        <v>972</v>
      </c>
      <c r="K21703" s="2">
        <v>9</v>
      </c>
      <c r="L21703" s="2">
        <v>326</v>
      </c>
    </row>
    <row r="21704" spans="1:12" x14ac:dyDescent="0.25">
      <c r="A21704" s="4" t="str">
        <f>HYPERLINK("http://www.rosaceae.org/Prunus/Prunus_persica/p.persica_gdr_reftransV1_0046285","p.persica_gdr_reftransV1_0046285")</f>
        <v>p.persica_gdr_reftransV1_0046285</v>
      </c>
      <c r="B21704" s="2">
        <v>598</v>
      </c>
      <c r="C21704" s="4" t="str">
        <f>HYPERLINK("http://www.uniprot.org/uniprot/M5VYQ4","M5VYQ4")</f>
        <v>M5VYQ4</v>
      </c>
      <c r="D21704" s="2" t="s">
        <v>10604</v>
      </c>
      <c r="E21704" s="3">
        <v>7.1799999999999996E-60</v>
      </c>
      <c r="F21704" s="2">
        <v>515</v>
      </c>
      <c r="G21704" s="2">
        <v>100</v>
      </c>
      <c r="H21704" s="2">
        <v>130</v>
      </c>
      <c r="I21704" s="2">
        <v>145</v>
      </c>
      <c r="J21704" s="2">
        <v>534</v>
      </c>
      <c r="K21704" s="2">
        <v>1</v>
      </c>
      <c r="L21704" s="2">
        <v>130</v>
      </c>
    </row>
    <row r="21705" spans="1:12" x14ac:dyDescent="0.25">
      <c r="A21705" s="4" t="str">
        <f>HYPERLINK("http://www.rosaceae.org/Prunus/Prunus_persica/p.persica_gdr_reftransV1_0046635","p.persica_gdr_reftransV1_0046635")</f>
        <v>p.persica_gdr_reftransV1_0046635</v>
      </c>
      <c r="B21705" s="2">
        <v>1527</v>
      </c>
      <c r="C21705" s="4" t="str">
        <f>HYPERLINK("http://www.uniprot.org/uniprot/M5XRE4","M5XRE4")</f>
        <v>M5XRE4</v>
      </c>
      <c r="D21705" s="2" t="s">
        <v>16161</v>
      </c>
      <c r="E21705" s="3">
        <v>0</v>
      </c>
      <c r="F21705" s="2">
        <v>743</v>
      </c>
      <c r="G21705" s="2">
        <v>99</v>
      </c>
      <c r="H21705" s="2">
        <v>164</v>
      </c>
      <c r="I21705" s="2">
        <v>217</v>
      </c>
      <c r="J21705" s="2">
        <v>708</v>
      </c>
      <c r="K21705" s="2">
        <v>226</v>
      </c>
      <c r="L21705" s="2">
        <v>389</v>
      </c>
    </row>
    <row r="21706" spans="1:12" x14ac:dyDescent="0.25">
      <c r="A21706" s="4" t="str">
        <f>HYPERLINK("http://www.rosaceae.org/Prunus/Prunus_persica/p.persica_gdr_reftransV1_0046985","p.persica_gdr_reftransV1_0046985")</f>
        <v>p.persica_gdr_reftransV1_0046985</v>
      </c>
      <c r="B21706" s="2">
        <v>3759</v>
      </c>
      <c r="C21706" s="4" t="str">
        <f>HYPERLINK("http://www.uniprot.org/uniprot/A0A072TKH6","A0A072TKH6")</f>
        <v>A0A072TKH6</v>
      </c>
      <c r="D21706" s="2" t="s">
        <v>16162</v>
      </c>
      <c r="E21706" s="3">
        <v>8.3699999999999994E-88</v>
      </c>
      <c r="F21706" s="2">
        <v>781</v>
      </c>
      <c r="G21706" s="2">
        <v>65</v>
      </c>
      <c r="H21706" s="2">
        <v>286</v>
      </c>
      <c r="I21706" s="2">
        <v>41</v>
      </c>
      <c r="J21706" s="2">
        <v>874</v>
      </c>
      <c r="K21706" s="2">
        <v>137</v>
      </c>
      <c r="L21706" s="2">
        <v>402</v>
      </c>
    </row>
    <row r="21707" spans="1:12" x14ac:dyDescent="0.25">
      <c r="A21707" s="4" t="str">
        <f>HYPERLINK("http://www.rosaceae.org/Prunus/Prunus_persica/p.persica_gdr_reftransV1_0047685","p.persica_gdr_reftransV1_0047685")</f>
        <v>p.persica_gdr_reftransV1_0047685</v>
      </c>
      <c r="B21707" s="2">
        <v>1845</v>
      </c>
      <c r="C21707" s="4" t="str">
        <f>HYPERLINK("http://www.uniprot.org/uniprot/M5VZ76","M5VZ76")</f>
        <v>M5VZ76</v>
      </c>
      <c r="D21707" s="2" t="s">
        <v>6639</v>
      </c>
      <c r="E21707" s="3">
        <v>0</v>
      </c>
      <c r="F21707" s="2">
        <v>1879</v>
      </c>
      <c r="G21707" s="2">
        <v>100</v>
      </c>
      <c r="H21707" s="2">
        <v>438</v>
      </c>
      <c r="I21707" s="2">
        <v>388</v>
      </c>
      <c r="J21707" s="2">
        <v>1701</v>
      </c>
      <c r="K21707" s="2">
        <v>1</v>
      </c>
      <c r="L21707" s="2">
        <v>438</v>
      </c>
    </row>
    <row r="21708" spans="1:12" x14ac:dyDescent="0.25">
      <c r="A21708" s="4" t="str">
        <f>HYPERLINK("http://www.rosaceae.org/Prunus/Prunus_persica/p.persica_gdr_reftransV1_0048035","p.persica_gdr_reftransV1_0048035")</f>
        <v>p.persica_gdr_reftransV1_0048035</v>
      </c>
      <c r="B21708" s="2">
        <v>477</v>
      </c>
      <c r="C21708" s="4" t="str">
        <f>HYPERLINK("http://www.uniprot.org/uniprot/M5WDA3","M5WDA3")</f>
        <v>M5WDA3</v>
      </c>
      <c r="D21708" s="2" t="s">
        <v>130</v>
      </c>
      <c r="E21708" s="3">
        <v>1.1400000000000001E-57</v>
      </c>
      <c r="F21708" s="2">
        <v>484</v>
      </c>
      <c r="G21708" s="2">
        <v>100</v>
      </c>
      <c r="H21708" s="2">
        <v>101</v>
      </c>
      <c r="I21708" s="2">
        <v>1</v>
      </c>
      <c r="J21708" s="2">
        <v>303</v>
      </c>
      <c r="K21708" s="2">
        <v>121</v>
      </c>
      <c r="L21708" s="2">
        <v>221</v>
      </c>
    </row>
    <row r="21709" spans="1:12" x14ac:dyDescent="0.25">
      <c r="A21709" s="4" t="str">
        <f>HYPERLINK("http://www.rosaceae.org/Prunus/Prunus_persica/p.persica_gdr_reftransV1_0048385","p.persica_gdr_reftransV1_0048385")</f>
        <v>p.persica_gdr_reftransV1_0048385</v>
      </c>
      <c r="B21709" s="2">
        <v>564</v>
      </c>
      <c r="C21709" s="4" t="str">
        <f>HYPERLINK("http://www.uniprot.org/uniprot/M5W3U3","M5W3U3")</f>
        <v>M5W3U3</v>
      </c>
      <c r="D21709" s="2" t="s">
        <v>12778</v>
      </c>
      <c r="E21709" s="3">
        <v>9.0299999999999998E-105</v>
      </c>
      <c r="F21709" s="2">
        <v>859</v>
      </c>
      <c r="G21709" s="2">
        <v>100</v>
      </c>
      <c r="H21709" s="2">
        <v>187</v>
      </c>
      <c r="I21709" s="2">
        <v>2</v>
      </c>
      <c r="J21709" s="2">
        <v>562</v>
      </c>
      <c r="K21709" s="2">
        <v>248</v>
      </c>
      <c r="L21709" s="2">
        <v>434</v>
      </c>
    </row>
    <row r="21710" spans="1:12" x14ac:dyDescent="0.25">
      <c r="A21710" s="4" t="str">
        <f>HYPERLINK("http://www.rosaceae.org/Prunus/Prunus_persica/p.persica_gdr_reftransV1_0048735","p.persica_gdr_reftransV1_0048735")</f>
        <v>p.persica_gdr_reftransV1_0048735</v>
      </c>
      <c r="B21710" s="2">
        <v>377</v>
      </c>
      <c r="C21710" s="4" t="str">
        <f>HYPERLINK("http://www.uniprot.org/uniprot/M5W4R7","M5W4R7")</f>
        <v>M5W4R7</v>
      </c>
      <c r="D21710" s="2" t="s">
        <v>14490</v>
      </c>
      <c r="E21710" s="3">
        <v>1.5000000000000001E-72</v>
      </c>
      <c r="F21710" s="2">
        <v>587</v>
      </c>
      <c r="G21710" s="2">
        <v>97</v>
      </c>
      <c r="H21710" s="2">
        <v>117</v>
      </c>
      <c r="I21710" s="2">
        <v>3</v>
      </c>
      <c r="J21710" s="2">
        <v>353</v>
      </c>
      <c r="K21710" s="2">
        <v>167</v>
      </c>
      <c r="L21710" s="2">
        <v>283</v>
      </c>
    </row>
    <row r="21711" spans="1:12" x14ac:dyDescent="0.25">
      <c r="A21711" s="4" t="str">
        <f>HYPERLINK("http://www.rosaceae.org/Prunus/Prunus_persica/p.persica_gdr_reftransV1_0049085","p.persica_gdr_reftransV1_0049085")</f>
        <v>p.persica_gdr_reftransV1_0049085</v>
      </c>
      <c r="B21711" s="2">
        <v>3073</v>
      </c>
      <c r="C21711" s="4" t="str">
        <f>HYPERLINK("http://www.uniprot.org/uniprot/S4S9Y7","S4S9Y7")</f>
        <v>S4S9Y7</v>
      </c>
      <c r="D21711" s="2" t="s">
        <v>16163</v>
      </c>
      <c r="E21711" s="3">
        <v>5.7300000000000004E-132</v>
      </c>
      <c r="F21711" s="2">
        <v>1081</v>
      </c>
      <c r="G21711" s="2">
        <v>62</v>
      </c>
      <c r="H21711" s="2">
        <v>381</v>
      </c>
      <c r="I21711" s="2">
        <v>1938</v>
      </c>
      <c r="J21711" s="2">
        <v>3071</v>
      </c>
      <c r="K21711" s="2">
        <v>131</v>
      </c>
      <c r="L21711" s="2">
        <v>511</v>
      </c>
    </row>
    <row r="21712" spans="1:12" x14ac:dyDescent="0.25">
      <c r="A21712" s="4" t="str">
        <f>HYPERLINK("http://www.rosaceae.org/Prunus/Prunus_persica/p.persica_gdr_reftransV1_0000086","p.persica_gdr_reftransV1_0000086")</f>
        <v>p.persica_gdr_reftransV1_0000086</v>
      </c>
      <c r="B21712" s="2">
        <v>1005</v>
      </c>
      <c r="C21712" s="4" t="str">
        <f>HYPERLINK("http://www.uniprot.org/uniprot/M5Y9I5","M5Y9I5")</f>
        <v>M5Y9I5</v>
      </c>
      <c r="D21712" s="2" t="s">
        <v>11516</v>
      </c>
      <c r="E21712" s="3">
        <v>2.1799999999999999E-138</v>
      </c>
      <c r="F21712" s="2">
        <v>1039</v>
      </c>
      <c r="G21712" s="2">
        <v>92</v>
      </c>
      <c r="H21712" s="2">
        <v>265</v>
      </c>
      <c r="I21712" s="2">
        <v>99</v>
      </c>
      <c r="J21712" s="2">
        <v>893</v>
      </c>
      <c r="K21712" s="2">
        <v>1</v>
      </c>
      <c r="L21712" s="2">
        <v>246</v>
      </c>
    </row>
    <row r="21713" spans="1:12" x14ac:dyDescent="0.25">
      <c r="A21713" s="4" t="str">
        <f>HYPERLINK("http://www.rosaceae.org/Prunus/Prunus_persica/p.persica_gdr_reftransV1_0000436","p.persica_gdr_reftransV1_0000436")</f>
        <v>p.persica_gdr_reftransV1_0000436</v>
      </c>
      <c r="B21713" s="2">
        <v>996</v>
      </c>
      <c r="C21713" s="4" t="str">
        <f>HYPERLINK("http://www.uniprot.org/uniprot/M5XG38","M5XG38")</f>
        <v>M5XG38</v>
      </c>
      <c r="D21713" s="2" t="s">
        <v>10693</v>
      </c>
      <c r="E21713" s="3">
        <v>2.03E-52</v>
      </c>
      <c r="F21713" s="2">
        <v>487</v>
      </c>
      <c r="G21713" s="2">
        <v>100</v>
      </c>
      <c r="H21713" s="2">
        <v>99</v>
      </c>
      <c r="I21713" s="2">
        <v>291</v>
      </c>
      <c r="J21713" s="2">
        <v>587</v>
      </c>
      <c r="K21713" s="2">
        <v>1</v>
      </c>
      <c r="L21713" s="2">
        <v>99</v>
      </c>
    </row>
    <row r="21714" spans="1:12" x14ac:dyDescent="0.25">
      <c r="A21714" s="4" t="str">
        <f>HYPERLINK("http://www.rosaceae.org/Prunus/Prunus_persica/p.persica_gdr_reftransV1_0000786","p.persica_gdr_reftransV1_0000786")</f>
        <v>p.persica_gdr_reftransV1_0000786</v>
      </c>
      <c r="B21714" s="2">
        <v>554</v>
      </c>
      <c r="C21714" s="4" t="str">
        <f>HYPERLINK("http://www.uniprot.org/uniprot/M5WMG9","M5WMG9")</f>
        <v>M5WMG9</v>
      </c>
      <c r="D21714" s="2" t="s">
        <v>7441</v>
      </c>
      <c r="E21714" s="3">
        <v>1.02E-65</v>
      </c>
      <c r="F21714" s="2">
        <v>579</v>
      </c>
      <c r="G21714" s="2">
        <v>100</v>
      </c>
      <c r="H21714" s="2">
        <v>132</v>
      </c>
      <c r="I21714" s="2">
        <v>158</v>
      </c>
      <c r="J21714" s="2">
        <v>553</v>
      </c>
      <c r="K21714" s="2">
        <v>1</v>
      </c>
      <c r="L21714" s="2">
        <v>132</v>
      </c>
    </row>
    <row r="21715" spans="1:12" x14ac:dyDescent="0.25">
      <c r="A21715" s="4" t="str">
        <f>HYPERLINK("http://www.rosaceae.org/Prunus/Prunus_persica/p.persica_gdr_reftransV1_0001136","p.persica_gdr_reftransV1_0001136")</f>
        <v>p.persica_gdr_reftransV1_0001136</v>
      </c>
      <c r="B21715" s="2">
        <v>581</v>
      </c>
      <c r="C21715" s="4" t="str">
        <f>HYPERLINK("http://www.uniprot.org/uniprot/M5WDG8","M5WDG8")</f>
        <v>M5WDG8</v>
      </c>
      <c r="D21715" s="2" t="s">
        <v>4307</v>
      </c>
      <c r="E21715" s="3">
        <v>8.4300000000000001E-36</v>
      </c>
      <c r="F21715" s="2">
        <v>237</v>
      </c>
      <c r="G21715" s="2">
        <v>88</v>
      </c>
      <c r="H21715" s="2">
        <v>51</v>
      </c>
      <c r="I21715" s="2">
        <v>40</v>
      </c>
      <c r="J21715" s="2">
        <v>192</v>
      </c>
      <c r="K21715" s="2">
        <v>230</v>
      </c>
      <c r="L21715" s="2">
        <v>280</v>
      </c>
    </row>
    <row r="21716" spans="1:12" x14ac:dyDescent="0.25">
      <c r="A21716" s="4" t="str">
        <f>HYPERLINK("http://www.rosaceae.org/Prunus/Prunus_persica/p.persica_gdr_reftransV1_0001836","p.persica_gdr_reftransV1_0001836")</f>
        <v>p.persica_gdr_reftransV1_0001836</v>
      </c>
      <c r="B21716" s="2">
        <v>2272</v>
      </c>
      <c r="C21716" s="4" t="str">
        <f>HYPERLINK("http://www.uniprot.org/uniprot/M5WEC3","M5WEC3")</f>
        <v>M5WEC3</v>
      </c>
      <c r="D21716" s="2" t="s">
        <v>968</v>
      </c>
      <c r="E21716" s="3">
        <v>0</v>
      </c>
      <c r="F21716" s="2">
        <v>3119</v>
      </c>
      <c r="G21716" s="2">
        <v>100</v>
      </c>
      <c r="H21716" s="2">
        <v>597</v>
      </c>
      <c r="I21716" s="2">
        <v>94</v>
      </c>
      <c r="J21716" s="2">
        <v>1884</v>
      </c>
      <c r="K21716" s="2">
        <v>1</v>
      </c>
      <c r="L21716" s="2">
        <v>597</v>
      </c>
    </row>
    <row r="21717" spans="1:12" x14ac:dyDescent="0.25">
      <c r="A21717" s="4" t="str">
        <f>HYPERLINK("http://www.rosaceae.org/Prunus/Prunus_persica/p.persica_gdr_reftransV1_0002186","p.persica_gdr_reftransV1_0002186")</f>
        <v>p.persica_gdr_reftransV1_0002186</v>
      </c>
      <c r="B21717" s="2">
        <v>437</v>
      </c>
      <c r="C21717" s="4" t="str">
        <f>HYPERLINK("http://www.uniprot.org/uniprot/M5VXY5","M5VXY5")</f>
        <v>M5VXY5</v>
      </c>
      <c r="D21717" s="2" t="s">
        <v>16164</v>
      </c>
      <c r="E21717" s="3">
        <v>7.9600000000000004E-58</v>
      </c>
      <c r="F21717" s="2">
        <v>475</v>
      </c>
      <c r="G21717" s="2">
        <v>100</v>
      </c>
      <c r="H21717" s="2">
        <v>107</v>
      </c>
      <c r="I21717" s="2">
        <v>117</v>
      </c>
      <c r="J21717" s="2">
        <v>437</v>
      </c>
      <c r="K21717" s="2">
        <v>27</v>
      </c>
      <c r="L21717" s="2">
        <v>133</v>
      </c>
    </row>
    <row r="21718" spans="1:12" x14ac:dyDescent="0.25">
      <c r="A21718" s="4" t="str">
        <f>HYPERLINK("http://www.rosaceae.org/Prunus/Prunus_persica/p.persica_gdr_reftransV1_0002536","p.persica_gdr_reftransV1_0002536")</f>
        <v>p.persica_gdr_reftransV1_0002536</v>
      </c>
      <c r="B21718" s="2">
        <v>674</v>
      </c>
      <c r="C21718" s="4" t="str">
        <f>HYPERLINK("http://www.uniprot.org/uniprot/M5XHW3","M5XHW3")</f>
        <v>M5XHW3</v>
      </c>
      <c r="D21718" s="2" t="s">
        <v>16165</v>
      </c>
      <c r="E21718" s="3">
        <v>6.44E-19</v>
      </c>
      <c r="F21718" s="2">
        <v>224</v>
      </c>
      <c r="G21718" s="2">
        <v>100</v>
      </c>
      <c r="H21718" s="2">
        <v>89</v>
      </c>
      <c r="I21718" s="2">
        <v>407</v>
      </c>
      <c r="J21718" s="2">
        <v>673</v>
      </c>
      <c r="K21718" s="2">
        <v>38</v>
      </c>
      <c r="L21718" s="2">
        <v>126</v>
      </c>
    </row>
    <row r="21719" spans="1:12" x14ac:dyDescent="0.25">
      <c r="A21719" s="4" t="str">
        <f>HYPERLINK("http://www.rosaceae.org/Prunus/Prunus_persica/p.persica_gdr_reftransV1_0002886","p.persica_gdr_reftransV1_0002886")</f>
        <v>p.persica_gdr_reftransV1_0002886</v>
      </c>
      <c r="B21719" s="2">
        <v>875</v>
      </c>
      <c r="C21719" s="4" t="str">
        <f>HYPERLINK("http://www.uniprot.org/uniprot/M5WHD3","M5WHD3")</f>
        <v>M5WHD3</v>
      </c>
      <c r="D21719" s="2" t="s">
        <v>8021</v>
      </c>
      <c r="E21719" s="3">
        <v>8.1500000000000004E-84</v>
      </c>
      <c r="F21719" s="2">
        <v>673</v>
      </c>
      <c r="G21719" s="2">
        <v>100</v>
      </c>
      <c r="H21719" s="2">
        <v>128</v>
      </c>
      <c r="I21719" s="2">
        <v>140</v>
      </c>
      <c r="J21719" s="2">
        <v>523</v>
      </c>
      <c r="K21719" s="2">
        <v>14</v>
      </c>
      <c r="L21719" s="2">
        <v>141</v>
      </c>
    </row>
    <row r="21720" spans="1:12" x14ac:dyDescent="0.25">
      <c r="A21720" s="4" t="str">
        <f>HYPERLINK("http://www.rosaceae.org/Prunus/Prunus_persica/p.persica_gdr_reftransV1_0003236","p.persica_gdr_reftransV1_0003236")</f>
        <v>p.persica_gdr_reftransV1_0003236</v>
      </c>
      <c r="B21720" s="2">
        <v>778</v>
      </c>
      <c r="C21720" s="4" t="str">
        <f>HYPERLINK("http://www.uniprot.org/uniprot/M5XX26","M5XX26")</f>
        <v>M5XX26</v>
      </c>
      <c r="D21720" s="2" t="s">
        <v>6806</v>
      </c>
      <c r="E21720" s="3">
        <v>1.8299999999999999E-18</v>
      </c>
      <c r="F21720" s="2">
        <v>227</v>
      </c>
      <c r="G21720" s="2">
        <v>95</v>
      </c>
      <c r="H21720" s="2">
        <v>66</v>
      </c>
      <c r="I21720" s="2">
        <v>460</v>
      </c>
      <c r="J21720" s="2">
        <v>657</v>
      </c>
      <c r="K21720" s="2">
        <v>1</v>
      </c>
      <c r="L21720" s="2">
        <v>66</v>
      </c>
    </row>
    <row r="21721" spans="1:12" x14ac:dyDescent="0.25">
      <c r="A21721" s="4" t="str">
        <f>HYPERLINK("http://www.rosaceae.org/Prunus/Prunus_persica/p.persica_gdr_reftransV1_0003586","p.persica_gdr_reftransV1_0003586")</f>
        <v>p.persica_gdr_reftransV1_0003586</v>
      </c>
      <c r="B21721" s="2">
        <v>1906</v>
      </c>
      <c r="C21721" s="4" t="str">
        <f>HYPERLINK("http://www.uniprot.org/uniprot/A0A061GZX9","A0A061GZX9")</f>
        <v>A0A061GZX9</v>
      </c>
      <c r="D21721" s="2" t="s">
        <v>16166</v>
      </c>
      <c r="E21721" s="3">
        <v>6.3299999999999998E-42</v>
      </c>
      <c r="F21721" s="2">
        <v>398</v>
      </c>
      <c r="G21721" s="2">
        <v>90</v>
      </c>
      <c r="H21721" s="2">
        <v>83</v>
      </c>
      <c r="I21721" s="2">
        <v>207</v>
      </c>
      <c r="J21721" s="2">
        <v>455</v>
      </c>
      <c r="K21721" s="2">
        <v>41</v>
      </c>
      <c r="L21721" s="2">
        <v>123</v>
      </c>
    </row>
    <row r="21722" spans="1:12" x14ac:dyDescent="0.25">
      <c r="A21722" s="4" t="str">
        <f>HYPERLINK("http://www.rosaceae.org/Prunus/Prunus_persica/p.persica_gdr_reftransV1_0003936","p.persica_gdr_reftransV1_0003936")</f>
        <v>p.persica_gdr_reftransV1_0003936</v>
      </c>
      <c r="B21722" s="2">
        <v>1165</v>
      </c>
      <c r="C21722" s="4" t="str">
        <f>HYPERLINK("http://www.uniprot.org/uniprot/M5X1V6","M5X1V6")</f>
        <v>M5X1V6</v>
      </c>
      <c r="D21722" s="2" t="s">
        <v>2050</v>
      </c>
      <c r="E21722" s="3">
        <v>4.1400000000000001E-129</v>
      </c>
      <c r="F21722" s="2">
        <v>950</v>
      </c>
      <c r="G21722" s="2">
        <v>100</v>
      </c>
      <c r="H21722" s="2">
        <v>183</v>
      </c>
      <c r="I21722" s="2">
        <v>373</v>
      </c>
      <c r="J21722" s="2">
        <v>921</v>
      </c>
      <c r="K21722" s="2">
        <v>126</v>
      </c>
      <c r="L21722" s="2">
        <v>308</v>
      </c>
    </row>
    <row r="21723" spans="1:12" x14ac:dyDescent="0.25">
      <c r="A21723" s="4" t="str">
        <f>HYPERLINK("http://www.rosaceae.org/Prunus/Prunus_persica/p.persica_gdr_reftransV1_0004636","p.persica_gdr_reftransV1_0004636")</f>
        <v>p.persica_gdr_reftransV1_0004636</v>
      </c>
      <c r="B21723" s="2">
        <v>2323</v>
      </c>
      <c r="C21723" s="4" t="str">
        <f>HYPERLINK("http://www.uniprot.org/uniprot/M5W8X1","M5W8X1")</f>
        <v>M5W8X1</v>
      </c>
      <c r="D21723" s="2" t="s">
        <v>8917</v>
      </c>
      <c r="E21723" s="3">
        <v>0</v>
      </c>
      <c r="F21723" s="2">
        <v>2220</v>
      </c>
      <c r="G21723" s="2">
        <v>96</v>
      </c>
      <c r="H21723" s="2">
        <v>442</v>
      </c>
      <c r="I21723" s="2">
        <v>108</v>
      </c>
      <c r="J21723" s="2">
        <v>1433</v>
      </c>
      <c r="K21723" s="2">
        <v>1</v>
      </c>
      <c r="L21723" s="2">
        <v>442</v>
      </c>
    </row>
    <row r="21724" spans="1:12" x14ac:dyDescent="0.25">
      <c r="A21724" s="4" t="str">
        <f>HYPERLINK("http://www.rosaceae.org/Prunus/Prunus_persica/p.persica_gdr_reftransV1_0004986","p.persica_gdr_reftransV1_0004986")</f>
        <v>p.persica_gdr_reftransV1_0004986</v>
      </c>
      <c r="B21724" s="2">
        <v>1065</v>
      </c>
      <c r="C21724" s="4" t="str">
        <f>HYPERLINK("http://www.uniprot.org/uniprot/M5WEX7","M5WEX7")</f>
        <v>M5WEX7</v>
      </c>
      <c r="D21724" s="2" t="s">
        <v>4281</v>
      </c>
      <c r="E21724" s="3">
        <v>9.0400000000000009E-75</v>
      </c>
      <c r="F21724" s="2">
        <v>665</v>
      </c>
      <c r="G21724" s="2">
        <v>63</v>
      </c>
      <c r="H21724" s="2">
        <v>288</v>
      </c>
      <c r="I21724" s="2">
        <v>1</v>
      </c>
      <c r="J21724" s="2">
        <v>825</v>
      </c>
      <c r="K21724" s="2">
        <v>1</v>
      </c>
      <c r="L21724" s="2">
        <v>255</v>
      </c>
    </row>
    <row r="21725" spans="1:12" x14ac:dyDescent="0.25">
      <c r="A21725" s="4" t="str">
        <f>HYPERLINK("http://www.rosaceae.org/Prunus/Prunus_persica/p.persica_gdr_reftransV1_0005336","p.persica_gdr_reftransV1_0005336")</f>
        <v>p.persica_gdr_reftransV1_0005336</v>
      </c>
      <c r="B21725" s="2">
        <v>2245</v>
      </c>
      <c r="C21725" s="4" t="str">
        <f>HYPERLINK("http://www.uniprot.org/uniprot/M5XM46","M5XM46")</f>
        <v>M5XM46</v>
      </c>
      <c r="D21725" s="2" t="s">
        <v>15134</v>
      </c>
      <c r="E21725" s="3">
        <v>0</v>
      </c>
      <c r="F21725" s="2">
        <v>3136</v>
      </c>
      <c r="G21725" s="2">
        <v>100</v>
      </c>
      <c r="H21725" s="2">
        <v>583</v>
      </c>
      <c r="I21725" s="2">
        <v>366</v>
      </c>
      <c r="J21725" s="2">
        <v>2114</v>
      </c>
      <c r="K21725" s="2">
        <v>1</v>
      </c>
      <c r="L21725" s="2">
        <v>583</v>
      </c>
    </row>
    <row r="21726" spans="1:12" x14ac:dyDescent="0.25">
      <c r="A21726" s="4" t="str">
        <f>HYPERLINK("http://www.rosaceae.org/Prunus/Prunus_persica/p.persica_gdr_reftransV1_0005686","p.persica_gdr_reftransV1_0005686")</f>
        <v>p.persica_gdr_reftransV1_0005686</v>
      </c>
      <c r="B21726" s="2">
        <v>803</v>
      </c>
      <c r="C21726" s="4" t="str">
        <f>HYPERLINK("http://www.uniprot.org/uniprot/M5WVR1","M5WVR1")</f>
        <v>M5WVR1</v>
      </c>
      <c r="D21726" s="2" t="s">
        <v>16167</v>
      </c>
      <c r="E21726" s="3">
        <v>2.3199999999999999E-57</v>
      </c>
      <c r="F21726" s="2">
        <v>484</v>
      </c>
      <c r="G21726" s="2">
        <v>99</v>
      </c>
      <c r="H21726" s="2">
        <v>107</v>
      </c>
      <c r="I21726" s="2">
        <v>182</v>
      </c>
      <c r="J21726" s="2">
        <v>502</v>
      </c>
      <c r="K21726" s="2">
        <v>1</v>
      </c>
      <c r="L21726" s="2">
        <v>107</v>
      </c>
    </row>
    <row r="21727" spans="1:12" x14ac:dyDescent="0.25">
      <c r="A21727" s="4" t="str">
        <f>HYPERLINK("http://www.rosaceae.org/Prunus/Prunus_persica/p.persica_gdr_reftransV1_0006386","p.persica_gdr_reftransV1_0006386")</f>
        <v>p.persica_gdr_reftransV1_0006386</v>
      </c>
      <c r="B21727" s="2">
        <v>1166</v>
      </c>
      <c r="C21727" s="4" t="str">
        <f>HYPERLINK("http://www.uniprot.org/uniprot/M5WG91","M5WG91")</f>
        <v>M5WG91</v>
      </c>
      <c r="D21727" s="2" t="s">
        <v>7420</v>
      </c>
      <c r="E21727" s="3">
        <v>2.8300000000000002E-56</v>
      </c>
      <c r="F21727" s="2">
        <v>518</v>
      </c>
      <c r="G21727" s="2">
        <v>87</v>
      </c>
      <c r="H21727" s="2">
        <v>111</v>
      </c>
      <c r="I21727" s="2">
        <v>687</v>
      </c>
      <c r="J21727" s="2">
        <v>1010</v>
      </c>
      <c r="K21727" s="2">
        <v>1</v>
      </c>
      <c r="L21727" s="2">
        <v>111</v>
      </c>
    </row>
    <row r="21728" spans="1:12" x14ac:dyDescent="0.25">
      <c r="A21728" s="4" t="str">
        <f>HYPERLINK("http://www.rosaceae.org/Prunus/Prunus_persica/p.persica_gdr_reftransV1_0007086","p.persica_gdr_reftransV1_0007086")</f>
        <v>p.persica_gdr_reftransV1_0007086</v>
      </c>
      <c r="B21728" s="2">
        <v>1553</v>
      </c>
      <c r="C21728" s="4" t="str">
        <f>HYPERLINK("http://www.uniprot.org/uniprot/M5XD63","M5XD63")</f>
        <v>M5XD63</v>
      </c>
      <c r="D21728" s="2" t="s">
        <v>16168</v>
      </c>
      <c r="E21728" s="3">
        <v>0</v>
      </c>
      <c r="F21728" s="2">
        <v>1697</v>
      </c>
      <c r="G21728" s="2">
        <v>100</v>
      </c>
      <c r="H21728" s="2">
        <v>318</v>
      </c>
      <c r="I21728" s="2">
        <v>210</v>
      </c>
      <c r="J21728" s="2">
        <v>1163</v>
      </c>
      <c r="K21728" s="2">
        <v>1</v>
      </c>
      <c r="L21728" s="2">
        <v>318</v>
      </c>
    </row>
    <row r="21729" spans="1:12" x14ac:dyDescent="0.25">
      <c r="A21729" s="4" t="str">
        <f>HYPERLINK("http://www.rosaceae.org/Prunus/Prunus_persica/p.persica_gdr_reftransV1_0007436","p.persica_gdr_reftransV1_0007436")</f>
        <v>p.persica_gdr_reftransV1_0007436</v>
      </c>
      <c r="B21729" s="2">
        <v>613</v>
      </c>
      <c r="C21729" s="4" t="str">
        <f>HYPERLINK("http://www.uniprot.org/uniprot/M5WXY7","M5WXY7")</f>
        <v>M5WXY7</v>
      </c>
      <c r="D21729" s="2" t="s">
        <v>16169</v>
      </c>
      <c r="E21729" s="3">
        <v>1.43E-37</v>
      </c>
      <c r="F21729" s="2">
        <v>342</v>
      </c>
      <c r="G21729" s="2">
        <v>100</v>
      </c>
      <c r="H21729" s="2">
        <v>82</v>
      </c>
      <c r="I21729" s="2">
        <v>307</v>
      </c>
      <c r="J21729" s="2">
        <v>552</v>
      </c>
      <c r="K21729" s="2">
        <v>1</v>
      </c>
      <c r="L21729" s="2">
        <v>82</v>
      </c>
    </row>
    <row r="21730" spans="1:12" x14ac:dyDescent="0.25">
      <c r="A21730" s="4" t="str">
        <f>HYPERLINK("http://www.rosaceae.org/Prunus/Prunus_persica/p.persica_gdr_reftransV1_0007786","p.persica_gdr_reftransV1_0007786")</f>
        <v>p.persica_gdr_reftransV1_0007786</v>
      </c>
      <c r="B21730" s="2">
        <v>4435</v>
      </c>
      <c r="C21730" s="4" t="str">
        <f>HYPERLINK("http://www.uniprot.org/uniprot/M5XPD1","M5XPD1")</f>
        <v>M5XPD1</v>
      </c>
      <c r="D21730" s="2" t="s">
        <v>4005</v>
      </c>
      <c r="E21730" s="3">
        <v>0</v>
      </c>
      <c r="F21730" s="2">
        <v>5615</v>
      </c>
      <c r="G21730" s="2">
        <v>100</v>
      </c>
      <c r="H21730" s="2">
        <v>1070</v>
      </c>
      <c r="I21730" s="2">
        <v>634</v>
      </c>
      <c r="J21730" s="2">
        <v>3843</v>
      </c>
      <c r="K21730" s="2">
        <v>9</v>
      </c>
      <c r="L21730" s="2">
        <v>1078</v>
      </c>
    </row>
    <row r="21731" spans="1:12" x14ac:dyDescent="0.25">
      <c r="A21731" s="4" t="str">
        <f>HYPERLINK("http://www.rosaceae.org/Prunus/Prunus_persica/p.persica_gdr_reftransV1_0008836","p.persica_gdr_reftransV1_0008836")</f>
        <v>p.persica_gdr_reftransV1_0008836</v>
      </c>
      <c r="B21731" s="2">
        <v>1152</v>
      </c>
      <c r="C21731" s="4" t="str">
        <f>HYPERLINK("http://www.uniprot.org/uniprot/M5VN93","M5VN93")</f>
        <v>M5VN93</v>
      </c>
      <c r="D21731" s="2" t="s">
        <v>12128</v>
      </c>
      <c r="E21731" s="3">
        <v>4.3199999999999998E-64</v>
      </c>
      <c r="F21731" s="2">
        <v>559</v>
      </c>
      <c r="G21731" s="2">
        <v>100</v>
      </c>
      <c r="H21731" s="2">
        <v>105</v>
      </c>
      <c r="I21731" s="2">
        <v>2</v>
      </c>
      <c r="J21731" s="2">
        <v>316</v>
      </c>
      <c r="K21731" s="2">
        <v>253</v>
      </c>
      <c r="L21731" s="2">
        <v>357</v>
      </c>
    </row>
    <row r="21732" spans="1:12" x14ac:dyDescent="0.25">
      <c r="A21732" s="4" t="str">
        <f>HYPERLINK("http://www.rosaceae.org/Prunus/Prunus_persica/p.persica_gdr_reftransV1_0009536","p.persica_gdr_reftransV1_0009536")</f>
        <v>p.persica_gdr_reftransV1_0009536</v>
      </c>
      <c r="B21732" s="2">
        <v>3970</v>
      </c>
      <c r="C21732" s="4" t="str">
        <f>HYPERLINK("http://www.uniprot.org/uniprot/M1P3Z7","M1P3Z7")</f>
        <v>M1P3Z7</v>
      </c>
      <c r="D21732" s="2" t="s">
        <v>16170</v>
      </c>
      <c r="E21732" s="3">
        <v>4.3899999999999998E-135</v>
      </c>
      <c r="F21732" s="2">
        <v>1108</v>
      </c>
      <c r="G21732" s="2">
        <v>92</v>
      </c>
      <c r="H21732" s="2">
        <v>232</v>
      </c>
      <c r="I21732" s="2">
        <v>789</v>
      </c>
      <c r="J21732" s="2">
        <v>1478</v>
      </c>
      <c r="K21732" s="2">
        <v>1</v>
      </c>
      <c r="L21732" s="2">
        <v>230</v>
      </c>
    </row>
    <row r="21733" spans="1:12" x14ac:dyDescent="0.25">
      <c r="A21733" s="4" t="str">
        <f>HYPERLINK("http://www.rosaceae.org/Prunus/Prunus_persica/p.persica_gdr_reftransV1_0010936","p.persica_gdr_reftransV1_0010936")</f>
        <v>p.persica_gdr_reftransV1_0010936</v>
      </c>
      <c r="B21733" s="2">
        <v>378</v>
      </c>
      <c r="C21733" s="4" t="str">
        <f>HYPERLINK("http://www.uniprot.org/uniprot/M5X2K9","M5X2K9")</f>
        <v>M5X2K9</v>
      </c>
      <c r="D21733" s="2" t="s">
        <v>16171</v>
      </c>
      <c r="E21733" s="3">
        <v>1.2E-82</v>
      </c>
      <c r="F21733" s="2">
        <v>670</v>
      </c>
      <c r="G21733" s="2">
        <v>100</v>
      </c>
      <c r="H21733" s="2">
        <v>125</v>
      </c>
      <c r="I21733" s="2">
        <v>3</v>
      </c>
      <c r="J21733" s="2">
        <v>377</v>
      </c>
      <c r="K21733" s="2">
        <v>291</v>
      </c>
      <c r="L21733" s="2">
        <v>415</v>
      </c>
    </row>
    <row r="21734" spans="1:12" x14ac:dyDescent="0.25">
      <c r="A21734" s="4" t="str">
        <f>HYPERLINK("http://www.rosaceae.org/Prunus/Prunus_persica/p.persica_gdr_reftransV1_0011636","p.persica_gdr_reftransV1_0011636")</f>
        <v>p.persica_gdr_reftransV1_0011636</v>
      </c>
      <c r="B21734" s="2">
        <v>2030</v>
      </c>
      <c r="C21734" s="4" t="str">
        <f>HYPERLINK("http://www.uniprot.org/uniprot/M5X1E1","M5X1E1")</f>
        <v>M5X1E1</v>
      </c>
      <c r="D21734" s="2" t="s">
        <v>16172</v>
      </c>
      <c r="E21734" s="3">
        <v>0</v>
      </c>
      <c r="F21734" s="2">
        <v>1547</v>
      </c>
      <c r="G21734" s="2">
        <v>100</v>
      </c>
      <c r="H21734" s="2">
        <v>305</v>
      </c>
      <c r="I21734" s="2">
        <v>849</v>
      </c>
      <c r="J21734" s="2">
        <v>1763</v>
      </c>
      <c r="K21734" s="2">
        <v>1</v>
      </c>
      <c r="L21734" s="2">
        <v>305</v>
      </c>
    </row>
    <row r="21735" spans="1:12" x14ac:dyDescent="0.25">
      <c r="A21735" s="4" t="str">
        <f>HYPERLINK("http://www.rosaceae.org/Prunus/Prunus_persica/p.persica_gdr_reftransV1_0011986","p.persica_gdr_reftransV1_0011986")</f>
        <v>p.persica_gdr_reftransV1_0011986</v>
      </c>
      <c r="B21735" s="2">
        <v>2549</v>
      </c>
      <c r="C21735" s="4" t="str">
        <f>HYPERLINK("http://www.uniprot.org/uniprot/M5XS50","M5XS50")</f>
        <v>M5XS50</v>
      </c>
      <c r="D21735" s="2" t="s">
        <v>16173</v>
      </c>
      <c r="E21735" s="3">
        <v>0</v>
      </c>
      <c r="F21735" s="2">
        <v>1960</v>
      </c>
      <c r="G21735" s="2">
        <v>91</v>
      </c>
      <c r="H21735" s="2">
        <v>457</v>
      </c>
      <c r="I21735" s="2">
        <v>1094</v>
      </c>
      <c r="J21735" s="2">
        <v>2464</v>
      </c>
      <c r="K21735" s="2">
        <v>144</v>
      </c>
      <c r="L21735" s="2">
        <v>562</v>
      </c>
    </row>
    <row r="21736" spans="1:12" x14ac:dyDescent="0.25">
      <c r="A21736" s="4" t="str">
        <f>HYPERLINK("http://www.rosaceae.org/Prunus/Prunus_persica/p.persica_gdr_reftransV1_0012336","p.persica_gdr_reftransV1_0012336")</f>
        <v>p.persica_gdr_reftransV1_0012336</v>
      </c>
      <c r="B21736" s="2">
        <v>2813</v>
      </c>
      <c r="C21736" s="4" t="str">
        <f>HYPERLINK("http://www.uniprot.org/uniprot/M5W5I2","M5W5I2")</f>
        <v>M5W5I2</v>
      </c>
      <c r="D21736" s="2" t="s">
        <v>16174</v>
      </c>
      <c r="E21736" s="3">
        <v>0</v>
      </c>
      <c r="F21736" s="2">
        <v>2891</v>
      </c>
      <c r="G21736" s="2">
        <v>96</v>
      </c>
      <c r="H21736" s="2">
        <v>696</v>
      </c>
      <c r="I21736" s="2">
        <v>464</v>
      </c>
      <c r="J21736" s="2">
        <v>2530</v>
      </c>
      <c r="K21736" s="2">
        <v>1</v>
      </c>
      <c r="L21736" s="2">
        <v>676</v>
      </c>
    </row>
    <row r="21737" spans="1:12" x14ac:dyDescent="0.25">
      <c r="A21737" s="4" t="str">
        <f>HYPERLINK("http://www.rosaceae.org/Prunus/Prunus_persica/p.persica_gdr_reftransV1_0012686","p.persica_gdr_reftransV1_0012686")</f>
        <v>p.persica_gdr_reftransV1_0012686</v>
      </c>
      <c r="B21737" s="2">
        <v>1641</v>
      </c>
      <c r="C21737" s="4" t="str">
        <f>HYPERLINK("http://www.uniprot.org/uniprot/M5WBA7","M5WBA7")</f>
        <v>M5WBA7</v>
      </c>
      <c r="D21737" s="2" t="s">
        <v>16175</v>
      </c>
      <c r="E21737" s="3">
        <v>3.0599999999999998E-139</v>
      </c>
      <c r="F21737" s="2">
        <v>1072</v>
      </c>
      <c r="G21737" s="2">
        <v>97</v>
      </c>
      <c r="H21737" s="2">
        <v>223</v>
      </c>
      <c r="I21737" s="2">
        <v>814</v>
      </c>
      <c r="J21737" s="2">
        <v>1482</v>
      </c>
      <c r="K21737" s="2">
        <v>26</v>
      </c>
      <c r="L21737" s="2">
        <v>246</v>
      </c>
    </row>
    <row r="21738" spans="1:12" x14ac:dyDescent="0.25">
      <c r="A21738" s="4" t="str">
        <f>HYPERLINK("http://www.rosaceae.org/Prunus/Prunus_persica/p.persica_gdr_reftransV1_0014436","p.persica_gdr_reftransV1_0014436")</f>
        <v>p.persica_gdr_reftransV1_0014436</v>
      </c>
      <c r="B21738" s="2">
        <v>901</v>
      </c>
      <c r="C21738" s="4" t="str">
        <f>HYPERLINK("http://www.uniprot.org/uniprot/M5VZA4","M5VZA4")</f>
        <v>M5VZA4</v>
      </c>
      <c r="D21738" s="2" t="s">
        <v>6036</v>
      </c>
      <c r="E21738" s="3">
        <v>1.7799999999999999E-98</v>
      </c>
      <c r="F21738" s="2">
        <v>788</v>
      </c>
      <c r="G21738" s="2">
        <v>100</v>
      </c>
      <c r="H21738" s="2">
        <v>179</v>
      </c>
      <c r="I21738" s="2">
        <v>365</v>
      </c>
      <c r="J21738" s="2">
        <v>901</v>
      </c>
      <c r="K21738" s="2">
        <v>1</v>
      </c>
      <c r="L21738" s="2">
        <v>179</v>
      </c>
    </row>
    <row r="21739" spans="1:12" x14ac:dyDescent="0.25">
      <c r="A21739" s="4" t="str">
        <f>HYPERLINK("http://www.rosaceae.org/Prunus/Prunus_persica/p.persica_gdr_reftransV1_0015136","p.persica_gdr_reftransV1_0015136")</f>
        <v>p.persica_gdr_reftransV1_0015136</v>
      </c>
      <c r="B21739" s="2">
        <v>1356</v>
      </c>
      <c r="C21739" s="4" t="str">
        <f>HYPERLINK("http://www.uniprot.org/uniprot/W9RN27","W9RN27")</f>
        <v>W9RN27</v>
      </c>
      <c r="D21739" s="2" t="s">
        <v>61</v>
      </c>
      <c r="E21739" s="3">
        <v>8.2000000000000001E-64</v>
      </c>
      <c r="F21739" s="2">
        <v>590</v>
      </c>
      <c r="G21739" s="2">
        <v>71</v>
      </c>
      <c r="H21739" s="2">
        <v>241</v>
      </c>
      <c r="I21739" s="2">
        <v>644</v>
      </c>
      <c r="J21739" s="2">
        <v>1354</v>
      </c>
      <c r="K21739" s="2">
        <v>1</v>
      </c>
      <c r="L21739" s="2">
        <v>241</v>
      </c>
    </row>
    <row r="21740" spans="1:12" x14ac:dyDescent="0.25">
      <c r="A21740" s="4" t="str">
        <f>HYPERLINK("http://www.rosaceae.org/Prunus/Prunus_persica/p.persica_gdr_reftransV1_0015836","p.persica_gdr_reftransV1_0015836")</f>
        <v>p.persica_gdr_reftransV1_0015836</v>
      </c>
      <c r="B21740" s="2">
        <v>836</v>
      </c>
      <c r="C21740" s="4" t="str">
        <f>HYPERLINK("http://www.uniprot.org/uniprot/M5VXG1","M5VXG1")</f>
        <v>M5VXG1</v>
      </c>
      <c r="D21740" s="2" t="s">
        <v>16176</v>
      </c>
      <c r="E21740" s="3">
        <v>2.5600000000000002E-84</v>
      </c>
      <c r="F21740" s="2">
        <v>667</v>
      </c>
      <c r="G21740" s="2">
        <v>100</v>
      </c>
      <c r="H21740" s="2">
        <v>154</v>
      </c>
      <c r="I21740" s="2">
        <v>163</v>
      </c>
      <c r="J21740" s="2">
        <v>624</v>
      </c>
      <c r="K21740" s="2">
        <v>1</v>
      </c>
      <c r="L21740" s="2">
        <v>154</v>
      </c>
    </row>
    <row r="21741" spans="1:12" x14ac:dyDescent="0.25">
      <c r="A21741" s="4" t="str">
        <f>HYPERLINK("http://www.rosaceae.org/Prunus/Prunus_persica/p.persica_gdr_reftransV1_0018286","p.persica_gdr_reftransV1_0018286")</f>
        <v>p.persica_gdr_reftransV1_0018286</v>
      </c>
      <c r="B21741" s="2">
        <v>643</v>
      </c>
      <c r="C21741" s="4" t="str">
        <f>HYPERLINK("http://www.uniprot.org/uniprot/M5X0M7","M5X0M7")</f>
        <v>M5X0M7</v>
      </c>
      <c r="D21741" s="2" t="s">
        <v>4549</v>
      </c>
      <c r="E21741" s="3">
        <v>4.1299999999999997E-79</v>
      </c>
      <c r="F21741" s="2">
        <v>646</v>
      </c>
      <c r="G21741" s="2">
        <v>100</v>
      </c>
      <c r="H21741" s="2">
        <v>119</v>
      </c>
      <c r="I21741" s="2">
        <v>2</v>
      </c>
      <c r="J21741" s="2">
        <v>358</v>
      </c>
      <c r="K21741" s="2">
        <v>268</v>
      </c>
      <c r="L21741" s="2">
        <v>386</v>
      </c>
    </row>
    <row r="21742" spans="1:12" x14ac:dyDescent="0.25">
      <c r="A21742" s="4" t="str">
        <f>HYPERLINK("http://www.rosaceae.org/Prunus/Prunus_persica/p.persica_gdr_reftransV1_0018636","p.persica_gdr_reftransV1_0018636")</f>
        <v>p.persica_gdr_reftransV1_0018636</v>
      </c>
      <c r="B21742" s="2">
        <v>1894</v>
      </c>
      <c r="C21742" s="4" t="str">
        <f>HYPERLINK("http://www.uniprot.org/uniprot/M5W0Z2","M5W0Z2")</f>
        <v>M5W0Z2</v>
      </c>
      <c r="D21742" s="2" t="s">
        <v>16177</v>
      </c>
      <c r="E21742" s="3">
        <v>0</v>
      </c>
      <c r="F21742" s="2">
        <v>2477</v>
      </c>
      <c r="G21742" s="2">
        <v>100</v>
      </c>
      <c r="H21742" s="2">
        <v>519</v>
      </c>
      <c r="I21742" s="2">
        <v>168</v>
      </c>
      <c r="J21742" s="2">
        <v>1724</v>
      </c>
      <c r="K21742" s="2">
        <v>1</v>
      </c>
      <c r="L21742" s="2">
        <v>519</v>
      </c>
    </row>
    <row r="21743" spans="1:12" x14ac:dyDescent="0.25">
      <c r="A21743" s="4" t="str">
        <f>HYPERLINK("http://www.rosaceae.org/Prunus/Prunus_persica/p.persica_gdr_reftransV1_0018986","p.persica_gdr_reftransV1_0018986")</f>
        <v>p.persica_gdr_reftransV1_0018986</v>
      </c>
      <c r="B21743" s="2">
        <v>926</v>
      </c>
      <c r="C21743" s="4" t="str">
        <f>HYPERLINK("http://www.uniprot.org/uniprot/M5XRG6","M5XRG6")</f>
        <v>M5XRG6</v>
      </c>
      <c r="D21743" s="2" t="s">
        <v>16178</v>
      </c>
      <c r="E21743" s="3">
        <v>3E-65</v>
      </c>
      <c r="F21743" s="2">
        <v>540</v>
      </c>
      <c r="G21743" s="2">
        <v>100</v>
      </c>
      <c r="H21743" s="2">
        <v>125</v>
      </c>
      <c r="I21743" s="2">
        <v>168</v>
      </c>
      <c r="J21743" s="2">
        <v>542</v>
      </c>
      <c r="K21743" s="2">
        <v>1</v>
      </c>
      <c r="L21743" s="2">
        <v>125</v>
      </c>
    </row>
    <row r="21744" spans="1:12" x14ac:dyDescent="0.25">
      <c r="A21744" s="4" t="str">
        <f>HYPERLINK("http://www.rosaceae.org/Prunus/Prunus_persica/p.persica_gdr_reftransV1_0019686","p.persica_gdr_reftransV1_0019686")</f>
        <v>p.persica_gdr_reftransV1_0019686</v>
      </c>
      <c r="B21744" s="2">
        <v>1839</v>
      </c>
      <c r="C21744" s="4" t="str">
        <f>HYPERLINK("http://www.uniprot.org/uniprot/M5XEK1","M5XEK1")</f>
        <v>M5XEK1</v>
      </c>
      <c r="D21744" s="2" t="s">
        <v>16179</v>
      </c>
      <c r="E21744" s="3">
        <v>2.9099999999999999E-154</v>
      </c>
      <c r="F21744" s="2">
        <v>1177</v>
      </c>
      <c r="G21744" s="2">
        <v>100</v>
      </c>
      <c r="H21744" s="2">
        <v>227</v>
      </c>
      <c r="I21744" s="2">
        <v>1043</v>
      </c>
      <c r="J21744" s="2">
        <v>1723</v>
      </c>
      <c r="K21744" s="2">
        <v>1</v>
      </c>
      <c r="L21744" s="2">
        <v>227</v>
      </c>
    </row>
    <row r="21745" spans="1:12" x14ac:dyDescent="0.25">
      <c r="A21745" s="4" t="str">
        <f>HYPERLINK("http://www.rosaceae.org/Prunus/Prunus_persica/p.persica_gdr_reftransV1_0020036","p.persica_gdr_reftransV1_0020036")</f>
        <v>p.persica_gdr_reftransV1_0020036</v>
      </c>
      <c r="B21745" s="2">
        <v>2726</v>
      </c>
      <c r="C21745" s="4" t="str">
        <f>HYPERLINK("http://www.uniprot.org/uniprot/A0A0D2RMZ3","A0A0D2RMZ3")</f>
        <v>A0A0D2RMZ3</v>
      </c>
      <c r="D21745" s="2" t="s">
        <v>16180</v>
      </c>
      <c r="E21745" s="3">
        <v>0</v>
      </c>
      <c r="F21745" s="2">
        <v>1897</v>
      </c>
      <c r="G21745" s="2">
        <v>87</v>
      </c>
      <c r="H21745" s="2">
        <v>424</v>
      </c>
      <c r="I21745" s="2">
        <v>1396</v>
      </c>
      <c r="J21745" s="2">
        <v>2667</v>
      </c>
      <c r="K21745" s="2">
        <v>1</v>
      </c>
      <c r="L21745" s="2">
        <v>424</v>
      </c>
    </row>
    <row r="21746" spans="1:12" x14ac:dyDescent="0.25">
      <c r="A21746" s="4" t="str">
        <f>HYPERLINK("http://www.rosaceae.org/Prunus/Prunus_persica/p.persica_gdr_reftransV1_0020386","p.persica_gdr_reftransV1_0020386")</f>
        <v>p.persica_gdr_reftransV1_0020386</v>
      </c>
      <c r="B21746" s="2">
        <v>3956</v>
      </c>
      <c r="C21746" s="4" t="str">
        <f>HYPERLINK("http://www.uniprot.org/uniprot/M5VIP3","M5VIP3")</f>
        <v>M5VIP3</v>
      </c>
      <c r="D21746" s="2" t="s">
        <v>16181</v>
      </c>
      <c r="E21746" s="3">
        <v>0</v>
      </c>
      <c r="F21746" s="2">
        <v>3423</v>
      </c>
      <c r="G21746" s="2">
        <v>99</v>
      </c>
      <c r="H21746" s="2">
        <v>677</v>
      </c>
      <c r="I21746" s="2">
        <v>1422</v>
      </c>
      <c r="J21746" s="2">
        <v>3452</v>
      </c>
      <c r="K21746" s="2">
        <v>1</v>
      </c>
      <c r="L21746" s="2">
        <v>671</v>
      </c>
    </row>
    <row r="21747" spans="1:12" x14ac:dyDescent="0.25">
      <c r="A21747" s="4" t="str">
        <f>HYPERLINK("http://www.rosaceae.org/Prunus/Prunus_persica/p.persica_gdr_reftransV1_0020736","p.persica_gdr_reftransV1_0020736")</f>
        <v>p.persica_gdr_reftransV1_0020736</v>
      </c>
      <c r="B21747" s="2">
        <v>1683</v>
      </c>
      <c r="C21747" s="4" t="str">
        <f>HYPERLINK("http://www.uniprot.org/uniprot/M5W149","M5W149")</f>
        <v>M5W149</v>
      </c>
      <c r="D21747" s="2" t="s">
        <v>16182</v>
      </c>
      <c r="E21747" s="3">
        <v>2.8900000000000001E-120</v>
      </c>
      <c r="F21747" s="2">
        <v>938</v>
      </c>
      <c r="G21747" s="2">
        <v>100</v>
      </c>
      <c r="H21747" s="2">
        <v>195</v>
      </c>
      <c r="I21747" s="2">
        <v>718</v>
      </c>
      <c r="J21747" s="2">
        <v>1302</v>
      </c>
      <c r="K21747" s="2">
        <v>18</v>
      </c>
      <c r="L21747" s="2">
        <v>212</v>
      </c>
    </row>
    <row r="21748" spans="1:12" x14ac:dyDescent="0.25">
      <c r="A21748" s="4" t="str">
        <f>HYPERLINK("http://www.rosaceae.org/Prunus/Prunus_persica/p.persica_gdr_reftransV1_0021786","p.persica_gdr_reftransV1_0021786")</f>
        <v>p.persica_gdr_reftransV1_0021786</v>
      </c>
      <c r="B21748" s="2">
        <v>2947</v>
      </c>
      <c r="C21748" s="4" t="str">
        <f>HYPERLINK("http://www.uniprot.org/uniprot/M5VTK0","M5VTK0")</f>
        <v>M5VTK0</v>
      </c>
      <c r="D21748" s="2" t="s">
        <v>6716</v>
      </c>
      <c r="E21748" s="3">
        <v>0</v>
      </c>
      <c r="F21748" s="2">
        <v>2768</v>
      </c>
      <c r="G21748" s="2">
        <v>100</v>
      </c>
      <c r="H21748" s="2">
        <v>669</v>
      </c>
      <c r="I21748" s="2">
        <v>939</v>
      </c>
      <c r="J21748" s="2">
        <v>2945</v>
      </c>
      <c r="K21748" s="2">
        <v>477</v>
      </c>
      <c r="L21748" s="2">
        <v>1145</v>
      </c>
    </row>
    <row r="21749" spans="1:12" x14ac:dyDescent="0.25">
      <c r="A21749" s="4" t="str">
        <f>HYPERLINK("http://www.rosaceae.org/Prunus/Prunus_persica/p.persica_gdr_reftransV1_0022136","p.persica_gdr_reftransV1_0022136")</f>
        <v>p.persica_gdr_reftransV1_0022136</v>
      </c>
      <c r="B21749" s="2">
        <v>765</v>
      </c>
      <c r="C21749" s="4" t="str">
        <f>HYPERLINK("http://www.uniprot.org/uniprot/M5VNN9","M5VNN9")</f>
        <v>M5VNN9</v>
      </c>
      <c r="D21749" s="2" t="s">
        <v>12123</v>
      </c>
      <c r="E21749" s="3">
        <v>2.7900000000000001E-87</v>
      </c>
      <c r="F21749" s="2">
        <v>691</v>
      </c>
      <c r="G21749" s="2">
        <v>100</v>
      </c>
      <c r="H21749" s="2">
        <v>133</v>
      </c>
      <c r="I21749" s="2">
        <v>2</v>
      </c>
      <c r="J21749" s="2">
        <v>400</v>
      </c>
      <c r="K21749" s="2">
        <v>1</v>
      </c>
      <c r="L21749" s="2">
        <v>133</v>
      </c>
    </row>
    <row r="21750" spans="1:12" x14ac:dyDescent="0.25">
      <c r="A21750" s="4" t="str">
        <f>HYPERLINK("http://www.rosaceae.org/Prunus/Prunus_persica/p.persica_gdr_reftransV1_0023886","p.persica_gdr_reftransV1_0023886")</f>
        <v>p.persica_gdr_reftransV1_0023886</v>
      </c>
      <c r="B21750" s="2">
        <v>1241</v>
      </c>
      <c r="C21750" s="4" t="str">
        <f>HYPERLINK("http://www.uniprot.org/uniprot/M5VRW9","M5VRW9")</f>
        <v>M5VRW9</v>
      </c>
      <c r="D21750" s="2" t="s">
        <v>16183</v>
      </c>
      <c r="E21750" s="3">
        <v>2.3400000000000001E-114</v>
      </c>
      <c r="F21750" s="2">
        <v>884</v>
      </c>
      <c r="G21750" s="2">
        <v>95</v>
      </c>
      <c r="H21750" s="2">
        <v>196</v>
      </c>
      <c r="I21750" s="2">
        <v>639</v>
      </c>
      <c r="J21750" s="2">
        <v>1226</v>
      </c>
      <c r="K21750" s="2">
        <v>1</v>
      </c>
      <c r="L21750" s="2">
        <v>196</v>
      </c>
    </row>
    <row r="21751" spans="1:12" x14ac:dyDescent="0.25">
      <c r="A21751" s="4" t="str">
        <f>HYPERLINK("http://www.rosaceae.org/Prunus/Prunus_persica/p.persica_gdr_reftransV1_0024236","p.persica_gdr_reftransV1_0024236")</f>
        <v>p.persica_gdr_reftransV1_0024236</v>
      </c>
      <c r="B21751" s="2">
        <v>1280</v>
      </c>
      <c r="C21751" s="4" t="str">
        <f>HYPERLINK("http://www.uniprot.org/uniprot/M5W7H9","M5W7H9")</f>
        <v>M5W7H9</v>
      </c>
      <c r="D21751" s="2" t="s">
        <v>7905</v>
      </c>
      <c r="E21751" s="3">
        <v>0</v>
      </c>
      <c r="F21751" s="2">
        <v>1567</v>
      </c>
      <c r="G21751" s="2">
        <v>98</v>
      </c>
      <c r="H21751" s="2">
        <v>301</v>
      </c>
      <c r="I21751" s="2">
        <v>358</v>
      </c>
      <c r="J21751" s="2">
        <v>1260</v>
      </c>
      <c r="K21751" s="2">
        <v>1</v>
      </c>
      <c r="L21751" s="2">
        <v>295</v>
      </c>
    </row>
    <row r="21752" spans="1:12" x14ac:dyDescent="0.25">
      <c r="A21752" s="4" t="str">
        <f>HYPERLINK("http://www.rosaceae.org/Prunus/Prunus_persica/p.persica_gdr_reftransV1_0024936","p.persica_gdr_reftransV1_0024936")</f>
        <v>p.persica_gdr_reftransV1_0024936</v>
      </c>
      <c r="B21752" s="2">
        <v>765</v>
      </c>
      <c r="C21752" s="4" t="str">
        <f>HYPERLINK("http://www.uniprot.org/uniprot/M5XNP6","M5XNP6")</f>
        <v>M5XNP6</v>
      </c>
      <c r="D21752" s="2" t="s">
        <v>16184</v>
      </c>
      <c r="E21752" s="3">
        <v>6.8600000000000003E-48</v>
      </c>
      <c r="F21752" s="2">
        <v>418</v>
      </c>
      <c r="G21752" s="2">
        <v>99</v>
      </c>
      <c r="H21752" s="2">
        <v>84</v>
      </c>
      <c r="I21752" s="2">
        <v>315</v>
      </c>
      <c r="J21752" s="2">
        <v>566</v>
      </c>
      <c r="K21752" s="2">
        <v>25</v>
      </c>
      <c r="L21752" s="2">
        <v>107</v>
      </c>
    </row>
    <row r="21753" spans="1:12" x14ac:dyDescent="0.25">
      <c r="A21753" s="4" t="str">
        <f>HYPERLINK("http://www.rosaceae.org/Prunus/Prunus_persica/p.persica_gdr_reftransV1_0025286","p.persica_gdr_reftransV1_0025286")</f>
        <v>p.persica_gdr_reftransV1_0025286</v>
      </c>
      <c r="B21753" s="2">
        <v>1965</v>
      </c>
      <c r="C21753" s="4" t="str">
        <f>HYPERLINK("http://www.uniprot.org/uniprot/M5XDX1","M5XDX1")</f>
        <v>M5XDX1</v>
      </c>
      <c r="D21753" s="2" t="s">
        <v>11235</v>
      </c>
      <c r="E21753" s="3">
        <v>1.5400000000000001E-88</v>
      </c>
      <c r="F21753" s="2">
        <v>728</v>
      </c>
      <c r="G21753" s="2">
        <v>100</v>
      </c>
      <c r="H21753" s="2">
        <v>156</v>
      </c>
      <c r="I21753" s="2">
        <v>248</v>
      </c>
      <c r="J21753" s="2">
        <v>715</v>
      </c>
      <c r="K21753" s="2">
        <v>15</v>
      </c>
      <c r="L21753" s="2">
        <v>170</v>
      </c>
    </row>
    <row r="21754" spans="1:12" x14ac:dyDescent="0.25">
      <c r="A21754" s="4" t="str">
        <f>HYPERLINK("http://www.rosaceae.org/Prunus/Prunus_persica/p.persica_gdr_reftransV1_0026336","p.persica_gdr_reftransV1_0026336")</f>
        <v>p.persica_gdr_reftransV1_0026336</v>
      </c>
      <c r="B21754" s="2">
        <v>2485</v>
      </c>
      <c r="C21754" s="4" t="str">
        <f>HYPERLINK("http://www.uniprot.org/uniprot/M5WTJ2","M5WTJ2")</f>
        <v>M5WTJ2</v>
      </c>
      <c r="D21754" s="2" t="s">
        <v>16185</v>
      </c>
      <c r="E21754" s="3">
        <v>0</v>
      </c>
      <c r="F21754" s="2">
        <v>1975</v>
      </c>
      <c r="G21754" s="2">
        <v>100</v>
      </c>
      <c r="H21754" s="2">
        <v>429</v>
      </c>
      <c r="I21754" s="2">
        <v>935</v>
      </c>
      <c r="J21754" s="2">
        <v>2221</v>
      </c>
      <c r="K21754" s="2">
        <v>1</v>
      </c>
      <c r="L21754" s="2">
        <v>429</v>
      </c>
    </row>
    <row r="21755" spans="1:12" x14ac:dyDescent="0.25">
      <c r="A21755" s="4" t="str">
        <f>HYPERLINK("http://www.rosaceae.org/Prunus/Prunus_persica/p.persica_gdr_reftransV1_0027386","p.persica_gdr_reftransV1_0027386")</f>
        <v>p.persica_gdr_reftransV1_0027386</v>
      </c>
      <c r="B21755" s="2">
        <v>1515</v>
      </c>
      <c r="C21755" s="4" t="str">
        <f>HYPERLINK("http://www.uniprot.org/uniprot/M5WAH7","M5WAH7")</f>
        <v>M5WAH7</v>
      </c>
      <c r="D21755" s="2" t="s">
        <v>16186</v>
      </c>
      <c r="E21755" s="3">
        <v>1.7000000000000001E-129</v>
      </c>
      <c r="F21755" s="2">
        <v>997</v>
      </c>
      <c r="G21755" s="2">
        <v>80</v>
      </c>
      <c r="H21755" s="2">
        <v>251</v>
      </c>
      <c r="I21755" s="2">
        <v>295</v>
      </c>
      <c r="J21755" s="2">
        <v>1047</v>
      </c>
      <c r="K21755" s="2">
        <v>42</v>
      </c>
      <c r="L21755" s="2">
        <v>243</v>
      </c>
    </row>
    <row r="21756" spans="1:12" x14ac:dyDescent="0.25">
      <c r="A21756" s="4" t="str">
        <f>HYPERLINK("http://www.rosaceae.org/Prunus/Prunus_persica/p.persica_gdr_reftransV1_0027736","p.persica_gdr_reftransV1_0027736")</f>
        <v>p.persica_gdr_reftransV1_0027736</v>
      </c>
      <c r="B21756" s="2">
        <v>2712</v>
      </c>
      <c r="C21756" s="4" t="str">
        <f>HYPERLINK("http://www.uniprot.org/uniprot/M5WM27","M5WM27")</f>
        <v>M5WM27</v>
      </c>
      <c r="D21756" s="2" t="s">
        <v>16187</v>
      </c>
      <c r="E21756" s="3">
        <v>2.18E-122</v>
      </c>
      <c r="F21756" s="2">
        <v>982</v>
      </c>
      <c r="G21756" s="2">
        <v>100</v>
      </c>
      <c r="H21756" s="2">
        <v>179</v>
      </c>
      <c r="I21756" s="2">
        <v>512</v>
      </c>
      <c r="J21756" s="2">
        <v>1048</v>
      </c>
      <c r="K21756" s="2">
        <v>202</v>
      </c>
      <c r="L21756" s="2">
        <v>380</v>
      </c>
    </row>
    <row r="21757" spans="1:12" x14ac:dyDescent="0.25">
      <c r="A21757" s="4" t="str">
        <f>HYPERLINK("http://www.rosaceae.org/Prunus/Prunus_persica/p.persica_gdr_reftransV1_0028086","p.persica_gdr_reftransV1_0028086")</f>
        <v>p.persica_gdr_reftransV1_0028086</v>
      </c>
      <c r="B21757" s="2">
        <v>3338</v>
      </c>
      <c r="C21757" s="4" t="str">
        <f>HYPERLINK("http://www.uniprot.org/uniprot/A0A061GLJ8","A0A061GLJ8")</f>
        <v>A0A061GLJ8</v>
      </c>
      <c r="D21757" s="2" t="s">
        <v>16188</v>
      </c>
      <c r="E21757" s="3">
        <v>0</v>
      </c>
      <c r="F21757" s="2">
        <v>1511</v>
      </c>
      <c r="G21757" s="2">
        <v>48</v>
      </c>
      <c r="H21757" s="2">
        <v>802</v>
      </c>
      <c r="I21757" s="2">
        <v>804</v>
      </c>
      <c r="J21757" s="2">
        <v>3185</v>
      </c>
      <c r="K21757" s="2">
        <v>65</v>
      </c>
      <c r="L21757" s="2">
        <v>838</v>
      </c>
    </row>
    <row r="21758" spans="1:12" x14ac:dyDescent="0.25">
      <c r="A21758" s="4" t="str">
        <f>HYPERLINK("http://www.rosaceae.org/Prunus/Prunus_persica/p.persica_gdr_reftransV1_0028436","p.persica_gdr_reftransV1_0028436")</f>
        <v>p.persica_gdr_reftransV1_0028436</v>
      </c>
      <c r="B21758" s="2">
        <v>3256</v>
      </c>
      <c r="C21758" s="4" t="str">
        <f>HYPERLINK("http://www.uniprot.org/uniprot/M5XLB1","M5XLB1")</f>
        <v>M5XLB1</v>
      </c>
      <c r="D21758" s="2" t="s">
        <v>15787</v>
      </c>
      <c r="E21758" s="3">
        <v>0</v>
      </c>
      <c r="F21758" s="2">
        <v>1907</v>
      </c>
      <c r="G21758" s="2">
        <v>98</v>
      </c>
      <c r="H21758" s="2">
        <v>393</v>
      </c>
      <c r="I21758" s="2">
        <v>312</v>
      </c>
      <c r="J21758" s="2">
        <v>1487</v>
      </c>
      <c r="K21758" s="2">
        <v>268</v>
      </c>
      <c r="L21758" s="2">
        <v>660</v>
      </c>
    </row>
    <row r="21759" spans="1:12" x14ac:dyDescent="0.25">
      <c r="A21759" s="4" t="str">
        <f>HYPERLINK("http://www.rosaceae.org/Prunus/Prunus_persica/p.persica_gdr_reftransV1_0030186","p.persica_gdr_reftransV1_0030186")</f>
        <v>p.persica_gdr_reftransV1_0030186</v>
      </c>
      <c r="B21759" s="2">
        <v>2041</v>
      </c>
      <c r="C21759" s="4" t="str">
        <f>HYPERLINK("http://www.uniprot.org/uniprot/Q8GT91","Q8GT91")</f>
        <v>Q8GT91</v>
      </c>
      <c r="D21759" s="2" t="s">
        <v>16189</v>
      </c>
      <c r="E21759" s="3">
        <v>0</v>
      </c>
      <c r="F21759" s="2">
        <v>2887</v>
      </c>
      <c r="G21759" s="2">
        <v>100</v>
      </c>
      <c r="H21759" s="2">
        <v>539</v>
      </c>
      <c r="I21759" s="2">
        <v>45</v>
      </c>
      <c r="J21759" s="2">
        <v>1661</v>
      </c>
      <c r="K21759" s="2">
        <v>1</v>
      </c>
      <c r="L21759" s="2">
        <v>539</v>
      </c>
    </row>
    <row r="21760" spans="1:12" x14ac:dyDescent="0.25">
      <c r="A21760" s="4" t="str">
        <f>HYPERLINK("http://www.rosaceae.org/Prunus/Prunus_persica/p.persica_gdr_reftransV1_0030886","p.persica_gdr_reftransV1_0030886")</f>
        <v>p.persica_gdr_reftransV1_0030886</v>
      </c>
      <c r="B21760" s="2">
        <v>2328</v>
      </c>
      <c r="C21760" s="4" t="str">
        <f>HYPERLINK("http://www.uniprot.org/uniprot/M5XLC6","M5XLC6")</f>
        <v>M5XLC6</v>
      </c>
      <c r="D21760" s="2" t="s">
        <v>16190</v>
      </c>
      <c r="E21760" s="3">
        <v>0</v>
      </c>
      <c r="F21760" s="2">
        <v>2675</v>
      </c>
      <c r="G21760" s="2">
        <v>100</v>
      </c>
      <c r="H21760" s="2">
        <v>597</v>
      </c>
      <c r="I21760" s="2">
        <v>412</v>
      </c>
      <c r="J21760" s="2">
        <v>2202</v>
      </c>
      <c r="K21760" s="2">
        <v>5</v>
      </c>
      <c r="L21760" s="2">
        <v>601</v>
      </c>
    </row>
    <row r="21761" spans="1:12" x14ac:dyDescent="0.25">
      <c r="A21761" s="4" t="str">
        <f>HYPERLINK("http://www.rosaceae.org/Prunus/Prunus_persica/p.persica_gdr_reftransV1_0031936","p.persica_gdr_reftransV1_0031936")</f>
        <v>p.persica_gdr_reftransV1_0031936</v>
      </c>
      <c r="B21761" s="2">
        <v>2939</v>
      </c>
      <c r="C21761" s="4" t="str">
        <f>HYPERLINK("http://www.uniprot.org/uniprot/M5WE17","M5WE17")</f>
        <v>M5WE17</v>
      </c>
      <c r="D21761" s="2" t="s">
        <v>16191</v>
      </c>
      <c r="E21761" s="3">
        <v>0</v>
      </c>
      <c r="F21761" s="2">
        <v>2206</v>
      </c>
      <c r="G21761" s="2">
        <v>100</v>
      </c>
      <c r="H21761" s="2">
        <v>776</v>
      </c>
      <c r="I21761" s="2">
        <v>335</v>
      </c>
      <c r="J21761" s="2">
        <v>2662</v>
      </c>
      <c r="K21761" s="2">
        <v>1</v>
      </c>
      <c r="L21761" s="2">
        <v>776</v>
      </c>
    </row>
    <row r="21762" spans="1:12" x14ac:dyDescent="0.25">
      <c r="A21762" s="4" t="str">
        <f>HYPERLINK("http://www.rosaceae.org/Prunus/Prunus_persica/p.persica_gdr_reftransV1_0034736","p.persica_gdr_reftransV1_0034736")</f>
        <v>p.persica_gdr_reftransV1_0034736</v>
      </c>
      <c r="B21762" s="2">
        <v>1898</v>
      </c>
      <c r="C21762" s="4" t="str">
        <f>HYPERLINK("http://www.uniprot.org/uniprot/M5VR22","M5VR22")</f>
        <v>M5VR22</v>
      </c>
      <c r="D21762" s="2" t="s">
        <v>16192</v>
      </c>
      <c r="E21762" s="3">
        <v>1.89E-49</v>
      </c>
      <c r="F21762" s="2">
        <v>460</v>
      </c>
      <c r="G21762" s="2">
        <v>78</v>
      </c>
      <c r="H21762" s="2">
        <v>138</v>
      </c>
      <c r="I21762" s="2">
        <v>671</v>
      </c>
      <c r="J21762" s="2">
        <v>1075</v>
      </c>
      <c r="K21762" s="2">
        <v>47</v>
      </c>
      <c r="L21762" s="2">
        <v>183</v>
      </c>
    </row>
    <row r="21763" spans="1:12" x14ac:dyDescent="0.25">
      <c r="A21763" s="4" t="str">
        <f>HYPERLINK("http://www.rosaceae.org/Prunus/Prunus_persica/p.persica_gdr_reftransV1_0035436","p.persica_gdr_reftransV1_0035436")</f>
        <v>p.persica_gdr_reftransV1_0035436</v>
      </c>
      <c r="B21763" s="2">
        <v>1637</v>
      </c>
      <c r="C21763" s="4" t="str">
        <f>HYPERLINK("http://www.uniprot.org/uniprot/M5VZA9","M5VZA9")</f>
        <v>M5VZA9</v>
      </c>
      <c r="D21763" s="2" t="s">
        <v>16193</v>
      </c>
      <c r="E21763" s="3">
        <v>0</v>
      </c>
      <c r="F21763" s="2">
        <v>1685</v>
      </c>
      <c r="G21763" s="2">
        <v>100</v>
      </c>
      <c r="H21763" s="2">
        <v>311</v>
      </c>
      <c r="I21763" s="2">
        <v>230</v>
      </c>
      <c r="J21763" s="2">
        <v>1162</v>
      </c>
      <c r="K21763" s="2">
        <v>1</v>
      </c>
      <c r="L21763" s="2">
        <v>311</v>
      </c>
    </row>
    <row r="21764" spans="1:12" x14ac:dyDescent="0.25">
      <c r="A21764" s="4" t="str">
        <f>HYPERLINK("http://www.rosaceae.org/Prunus/Prunus_persica/p.persica_gdr_reftransV1_0035786","p.persica_gdr_reftransV1_0035786")</f>
        <v>p.persica_gdr_reftransV1_0035786</v>
      </c>
      <c r="B21764" s="2">
        <v>2377</v>
      </c>
      <c r="C21764" s="4" t="str">
        <f>HYPERLINK("http://www.uniprot.org/uniprot/W9S2C3","W9S2C3")</f>
        <v>W9S2C3</v>
      </c>
      <c r="D21764" s="2" t="s">
        <v>16194</v>
      </c>
      <c r="E21764" s="3">
        <v>4.28E-63</v>
      </c>
      <c r="F21764" s="2">
        <v>322</v>
      </c>
      <c r="G21764" s="2">
        <v>54</v>
      </c>
      <c r="H21764" s="2">
        <v>124</v>
      </c>
      <c r="I21764" s="2">
        <v>1361</v>
      </c>
      <c r="J21764" s="2">
        <v>1717</v>
      </c>
      <c r="K21764" s="2">
        <v>1</v>
      </c>
      <c r="L21764" s="2">
        <v>89</v>
      </c>
    </row>
    <row r="21765" spans="1:12" x14ac:dyDescent="0.25">
      <c r="A21765" s="4" t="str">
        <f>HYPERLINK("http://www.rosaceae.org/Prunus/Prunus_persica/p.persica_gdr_reftransV1_0038936","p.persica_gdr_reftransV1_0038936")</f>
        <v>p.persica_gdr_reftransV1_0038936</v>
      </c>
      <c r="B21765" s="2">
        <v>1767</v>
      </c>
      <c r="C21765" s="4" t="str">
        <f>HYPERLINK("http://www.uniprot.org/uniprot/M5WIG8","M5WIG8")</f>
        <v>M5WIG8</v>
      </c>
      <c r="D21765" s="2" t="s">
        <v>16195</v>
      </c>
      <c r="E21765" s="3">
        <v>3.7100000000000003E-176</v>
      </c>
      <c r="F21765" s="2">
        <v>1316</v>
      </c>
      <c r="G21765" s="2">
        <v>100</v>
      </c>
      <c r="H21765" s="2">
        <v>262</v>
      </c>
      <c r="I21765" s="2">
        <v>573</v>
      </c>
      <c r="J21765" s="2">
        <v>1358</v>
      </c>
      <c r="K21765" s="2">
        <v>1</v>
      </c>
      <c r="L21765" s="2">
        <v>262</v>
      </c>
    </row>
    <row r="21766" spans="1:12" x14ac:dyDescent="0.25">
      <c r="A21766" s="4" t="str">
        <f>HYPERLINK("http://www.rosaceae.org/Prunus/Prunus_persica/p.persica_gdr_reftransV1_0039986","p.persica_gdr_reftransV1_0039986")</f>
        <v>p.persica_gdr_reftransV1_0039986</v>
      </c>
      <c r="B21766" s="2">
        <v>3991</v>
      </c>
      <c r="C21766" s="4" t="str">
        <f>HYPERLINK("http://www.uniprot.org/uniprot/M5WAX0","M5WAX0")</f>
        <v>M5WAX0</v>
      </c>
      <c r="D21766" s="2" t="s">
        <v>16196</v>
      </c>
      <c r="E21766" s="3">
        <v>3.31E-131</v>
      </c>
      <c r="F21766" s="2">
        <v>1080</v>
      </c>
      <c r="G21766" s="2">
        <v>88</v>
      </c>
      <c r="H21766" s="2">
        <v>250</v>
      </c>
      <c r="I21766" s="2">
        <v>2905</v>
      </c>
      <c r="J21766" s="2">
        <v>3654</v>
      </c>
      <c r="K21766" s="2">
        <v>104</v>
      </c>
      <c r="L21766" s="2">
        <v>337</v>
      </c>
    </row>
    <row r="21767" spans="1:12" x14ac:dyDescent="0.25">
      <c r="A21767" s="4" t="str">
        <f>HYPERLINK("http://www.rosaceae.org/Prunus/Prunus_persica/p.persica_gdr_reftransV1_0040686","p.persica_gdr_reftransV1_0040686")</f>
        <v>p.persica_gdr_reftransV1_0040686</v>
      </c>
      <c r="B21767" s="2">
        <v>933</v>
      </c>
      <c r="C21767" s="4" t="str">
        <f>HYPERLINK("http://www.uniprot.org/uniprot/M5VZT5","M5VZT5")</f>
        <v>M5VZT5</v>
      </c>
      <c r="D21767" s="2" t="s">
        <v>16197</v>
      </c>
      <c r="E21767" s="3">
        <v>4.9999999999999998E-106</v>
      </c>
      <c r="F21767" s="2">
        <v>814</v>
      </c>
      <c r="G21767" s="2">
        <v>100</v>
      </c>
      <c r="H21767" s="2">
        <v>157</v>
      </c>
      <c r="I21767" s="2">
        <v>270</v>
      </c>
      <c r="J21767" s="2">
        <v>740</v>
      </c>
      <c r="K21767" s="2">
        <v>1</v>
      </c>
      <c r="L21767" s="2">
        <v>157</v>
      </c>
    </row>
    <row r="21768" spans="1:12" x14ac:dyDescent="0.25">
      <c r="A21768" s="4" t="str">
        <f>HYPERLINK("http://www.rosaceae.org/Prunus/Prunus_persica/p.persica_gdr_reftransV1_0042086","p.persica_gdr_reftransV1_0042086")</f>
        <v>p.persica_gdr_reftransV1_0042086</v>
      </c>
      <c r="B21768" s="2">
        <v>4231</v>
      </c>
      <c r="C21768" s="4" t="str">
        <f>HYPERLINK("http://www.uniprot.org/uniprot/M5WR02","M5WR02")</f>
        <v>M5WR02</v>
      </c>
      <c r="D21768" s="2" t="s">
        <v>6</v>
      </c>
      <c r="E21768" s="3">
        <v>0</v>
      </c>
      <c r="F21768" s="2">
        <v>1692</v>
      </c>
      <c r="G21768" s="2">
        <v>100</v>
      </c>
      <c r="H21768" s="2">
        <v>320</v>
      </c>
      <c r="I21768" s="2">
        <v>3045</v>
      </c>
      <c r="J21768" s="2">
        <v>4004</v>
      </c>
      <c r="K21768" s="2">
        <v>418</v>
      </c>
      <c r="L21768" s="2">
        <v>737</v>
      </c>
    </row>
    <row r="21769" spans="1:12" x14ac:dyDescent="0.25">
      <c r="A21769" s="4" t="str">
        <f>HYPERLINK("http://www.rosaceae.org/Prunus/Prunus_persica/p.persica_gdr_reftransV1_0043486","p.persica_gdr_reftransV1_0043486")</f>
        <v>p.persica_gdr_reftransV1_0043486</v>
      </c>
      <c r="B21769" s="2">
        <v>380</v>
      </c>
      <c r="C21769" s="4" t="str">
        <f>HYPERLINK("http://www.uniprot.org/uniprot/M5WZW9","M5WZW9")</f>
        <v>M5WZW9</v>
      </c>
      <c r="D21769" s="2" t="s">
        <v>16198</v>
      </c>
      <c r="E21769" s="3">
        <v>2.26E-86</v>
      </c>
      <c r="F21769" s="2">
        <v>688</v>
      </c>
      <c r="G21769" s="2">
        <v>100</v>
      </c>
      <c r="H21769" s="2">
        <v>126</v>
      </c>
      <c r="I21769" s="2">
        <v>2</v>
      </c>
      <c r="J21769" s="2">
        <v>379</v>
      </c>
      <c r="K21769" s="2">
        <v>273</v>
      </c>
      <c r="L21769" s="2">
        <v>398</v>
      </c>
    </row>
    <row r="21770" spans="1:12" x14ac:dyDescent="0.25">
      <c r="A21770" s="4" t="str">
        <f>HYPERLINK("http://www.rosaceae.org/Prunus/Prunus_persica/p.persica_gdr_reftransV1_0043836","p.persica_gdr_reftransV1_0043836")</f>
        <v>p.persica_gdr_reftransV1_0043836</v>
      </c>
      <c r="B21770" s="2">
        <v>1422</v>
      </c>
      <c r="C21770" s="4" t="str">
        <f>HYPERLINK("http://www.uniprot.org/uniprot/M5X1I4","M5X1I4")</f>
        <v>M5X1I4</v>
      </c>
      <c r="D21770" s="2" t="s">
        <v>4640</v>
      </c>
      <c r="E21770" s="3">
        <v>0</v>
      </c>
      <c r="F21770" s="2">
        <v>1544</v>
      </c>
      <c r="G21770" s="2">
        <v>100</v>
      </c>
      <c r="H21770" s="2">
        <v>293</v>
      </c>
      <c r="I21770" s="2">
        <v>457</v>
      </c>
      <c r="J21770" s="2">
        <v>1335</v>
      </c>
      <c r="K21770" s="2">
        <v>1</v>
      </c>
      <c r="L21770" s="2">
        <v>293</v>
      </c>
    </row>
    <row r="21771" spans="1:12" x14ac:dyDescent="0.25">
      <c r="A21771" s="4" t="str">
        <f>HYPERLINK("http://www.rosaceae.org/Prunus/Prunus_persica/p.persica_gdr_reftransV1_0044186","p.persica_gdr_reftransV1_0044186")</f>
        <v>p.persica_gdr_reftransV1_0044186</v>
      </c>
      <c r="B21771" s="2">
        <v>307</v>
      </c>
      <c r="C21771" s="4" t="str">
        <f>HYPERLINK("http://www.uniprot.org/uniprot/M5WYM3","M5WYM3")</f>
        <v>M5WYM3</v>
      </c>
      <c r="D21771" s="2" t="s">
        <v>13362</v>
      </c>
      <c r="E21771" s="3">
        <v>9.6799999999999998E-63</v>
      </c>
      <c r="F21771" s="2">
        <v>538</v>
      </c>
      <c r="G21771" s="2">
        <v>100</v>
      </c>
      <c r="H21771" s="2">
        <v>101</v>
      </c>
      <c r="I21771" s="2">
        <v>3</v>
      </c>
      <c r="J21771" s="2">
        <v>305</v>
      </c>
      <c r="K21771" s="2">
        <v>269</v>
      </c>
      <c r="L21771" s="2">
        <v>369</v>
      </c>
    </row>
    <row r="21772" spans="1:12" x14ac:dyDescent="0.25">
      <c r="A21772" s="4" t="str">
        <f>HYPERLINK("http://www.rosaceae.org/Prunus/Prunus_persica/p.persica_gdr_reftransV1_0044536","p.persica_gdr_reftransV1_0044536")</f>
        <v>p.persica_gdr_reftransV1_0044536</v>
      </c>
      <c r="B21772" s="2">
        <v>330</v>
      </c>
      <c r="C21772" s="4" t="str">
        <f>HYPERLINK("http://www.uniprot.org/uniprot/M5WTW3","M5WTW3")</f>
        <v>M5WTW3</v>
      </c>
      <c r="D21772" s="2" t="s">
        <v>10333</v>
      </c>
      <c r="E21772" s="3">
        <v>2.86E-65</v>
      </c>
      <c r="F21772" s="2">
        <v>563</v>
      </c>
      <c r="G21772" s="2">
        <v>100</v>
      </c>
      <c r="H21772" s="2">
        <v>109</v>
      </c>
      <c r="I21772" s="2">
        <v>3</v>
      </c>
      <c r="J21772" s="2">
        <v>329</v>
      </c>
      <c r="K21772" s="2">
        <v>435</v>
      </c>
      <c r="L21772" s="2">
        <v>543</v>
      </c>
    </row>
    <row r="21773" spans="1:12" x14ac:dyDescent="0.25">
      <c r="A21773" s="4" t="str">
        <f>HYPERLINK("http://www.rosaceae.org/Prunus/Prunus_persica/p.persica_gdr_reftransV1_0044886","p.persica_gdr_reftransV1_0044886")</f>
        <v>p.persica_gdr_reftransV1_0044886</v>
      </c>
      <c r="B21773" s="2">
        <v>533</v>
      </c>
      <c r="C21773" s="4" t="str">
        <f>HYPERLINK("http://www.uniprot.org/uniprot/M5WIX3","M5WIX3")</f>
        <v>M5WIX3</v>
      </c>
      <c r="D21773" s="2" t="s">
        <v>980</v>
      </c>
      <c r="E21773" s="3">
        <v>8.1300000000000006E-95</v>
      </c>
      <c r="F21773" s="2">
        <v>753</v>
      </c>
      <c r="G21773" s="2">
        <v>78</v>
      </c>
      <c r="H21773" s="2">
        <v>195</v>
      </c>
      <c r="I21773" s="2">
        <v>74</v>
      </c>
      <c r="J21773" s="2">
        <v>532</v>
      </c>
      <c r="K21773" s="2">
        <v>262</v>
      </c>
      <c r="L21773" s="2">
        <v>456</v>
      </c>
    </row>
    <row r="21774" spans="1:12" x14ac:dyDescent="0.25">
      <c r="A21774" s="4" t="str">
        <f>HYPERLINK("http://www.rosaceae.org/Prunus/Prunus_persica/p.persica_gdr_reftransV1_0045236","p.persica_gdr_reftransV1_0045236")</f>
        <v>p.persica_gdr_reftransV1_0045236</v>
      </c>
      <c r="B21774" s="2">
        <v>1220</v>
      </c>
      <c r="C21774" s="4" t="str">
        <f>HYPERLINK("http://www.uniprot.org/uniprot/M5WVG7","M5WVG7")</f>
        <v>M5WVG7</v>
      </c>
      <c r="D21774" s="2" t="s">
        <v>16199</v>
      </c>
      <c r="E21774" s="3">
        <v>1.4600000000000001E-98</v>
      </c>
      <c r="F21774" s="2">
        <v>780</v>
      </c>
      <c r="G21774" s="2">
        <v>100</v>
      </c>
      <c r="H21774" s="2">
        <v>220</v>
      </c>
      <c r="I21774" s="2">
        <v>112</v>
      </c>
      <c r="J21774" s="2">
        <v>771</v>
      </c>
      <c r="K21774" s="2">
        <v>1</v>
      </c>
      <c r="L21774" s="2">
        <v>220</v>
      </c>
    </row>
    <row r="21775" spans="1:12" x14ac:dyDescent="0.25">
      <c r="A21775" s="4" t="str">
        <f>HYPERLINK("http://www.rosaceae.org/Prunus/Prunus_persica/p.persica_gdr_reftransV1_0045936","p.persica_gdr_reftransV1_0045936")</f>
        <v>p.persica_gdr_reftransV1_0045936</v>
      </c>
      <c r="B21775" s="2">
        <v>1005</v>
      </c>
      <c r="C21775" s="4" t="str">
        <f>HYPERLINK("http://www.uniprot.org/uniprot/M5X1B8","M5X1B8")</f>
        <v>M5X1B8</v>
      </c>
      <c r="D21775" s="2" t="s">
        <v>16200</v>
      </c>
      <c r="E21775" s="3">
        <v>2.83E-106</v>
      </c>
      <c r="F21775" s="2">
        <v>819</v>
      </c>
      <c r="G21775" s="2">
        <v>99</v>
      </c>
      <c r="H21775" s="2">
        <v>155</v>
      </c>
      <c r="I21775" s="2">
        <v>443</v>
      </c>
      <c r="J21775" s="2">
        <v>907</v>
      </c>
      <c r="K21775" s="2">
        <v>1</v>
      </c>
      <c r="L21775" s="2">
        <v>155</v>
      </c>
    </row>
    <row r="21776" spans="1:12" x14ac:dyDescent="0.25">
      <c r="A21776" s="4" t="str">
        <f>HYPERLINK("http://www.rosaceae.org/Prunus/Prunus_persica/p.persica_gdr_reftransV1_0046636","p.persica_gdr_reftransV1_0046636")</f>
        <v>p.persica_gdr_reftransV1_0046636</v>
      </c>
      <c r="B21776" s="2">
        <v>1150</v>
      </c>
      <c r="C21776" s="4" t="str">
        <f>HYPERLINK("http://www.uniprot.org/uniprot/M5WFN7","M5WFN7")</f>
        <v>M5WFN7</v>
      </c>
      <c r="D21776" s="2" t="s">
        <v>2888</v>
      </c>
      <c r="E21776" s="3">
        <v>0</v>
      </c>
      <c r="F21776" s="2">
        <v>1824</v>
      </c>
      <c r="G21776" s="2">
        <v>100</v>
      </c>
      <c r="H21776" s="2">
        <v>340</v>
      </c>
      <c r="I21776" s="2">
        <v>18</v>
      </c>
      <c r="J21776" s="2">
        <v>1037</v>
      </c>
      <c r="K21776" s="2">
        <v>1</v>
      </c>
      <c r="L21776" s="2">
        <v>340</v>
      </c>
    </row>
    <row r="21777" spans="1:12" x14ac:dyDescent="0.25">
      <c r="A21777" s="4" t="str">
        <f>HYPERLINK("http://www.rosaceae.org/Prunus/Prunus_persica/p.persica_gdr_reftransV1_0046986","p.persica_gdr_reftransV1_0046986")</f>
        <v>p.persica_gdr_reftransV1_0046986</v>
      </c>
      <c r="B21777" s="2">
        <v>334</v>
      </c>
      <c r="C21777" s="4" t="str">
        <f>HYPERLINK("http://www.uniprot.org/uniprot/M3A7A3","M3A7A3")</f>
        <v>M3A7A3</v>
      </c>
      <c r="D21777" s="2" t="s">
        <v>16201</v>
      </c>
      <c r="E21777" s="3">
        <v>5.4500000000000004E-27</v>
      </c>
      <c r="F21777" s="2">
        <v>270</v>
      </c>
      <c r="G21777" s="2">
        <v>77</v>
      </c>
      <c r="H21777" s="2">
        <v>69</v>
      </c>
      <c r="I21777" s="2">
        <v>103</v>
      </c>
      <c r="J21777" s="2">
        <v>309</v>
      </c>
      <c r="K21777" s="2">
        <v>62</v>
      </c>
      <c r="L21777" s="2">
        <v>130</v>
      </c>
    </row>
    <row r="21778" spans="1:12" x14ac:dyDescent="0.25">
      <c r="A21778" s="4" t="str">
        <f>HYPERLINK("http://www.rosaceae.org/Prunus/Prunus_persica/p.persica_gdr_reftransV1_0047336","p.persica_gdr_reftransV1_0047336")</f>
        <v>p.persica_gdr_reftransV1_0047336</v>
      </c>
      <c r="B21778" s="2">
        <v>1327</v>
      </c>
      <c r="C21778" s="4" t="str">
        <f>HYPERLINK("http://www.uniprot.org/uniprot/T2AY45","T2AY45")</f>
        <v>T2AY45</v>
      </c>
      <c r="D21778" s="2" t="s">
        <v>15382</v>
      </c>
      <c r="E21778" s="3">
        <v>0</v>
      </c>
      <c r="F21778" s="2">
        <v>1459</v>
      </c>
      <c r="G21778" s="2">
        <v>90</v>
      </c>
      <c r="H21778" s="2">
        <v>309</v>
      </c>
      <c r="I21778" s="2">
        <v>210</v>
      </c>
      <c r="J21778" s="2">
        <v>1136</v>
      </c>
      <c r="K21778" s="2">
        <v>1</v>
      </c>
      <c r="L21778" s="2">
        <v>309</v>
      </c>
    </row>
    <row r="21779" spans="1:12" x14ac:dyDescent="0.25">
      <c r="A21779" s="4" t="str">
        <f>HYPERLINK("http://www.rosaceae.org/Prunus/Prunus_persica/p.persica_gdr_reftransV1_0047686","p.persica_gdr_reftransV1_0047686")</f>
        <v>p.persica_gdr_reftransV1_0047686</v>
      </c>
      <c r="B21779" s="2">
        <v>633</v>
      </c>
      <c r="C21779" s="4" t="str">
        <f>HYPERLINK("http://www.uniprot.org/uniprot/M5W0V2","M5W0V2")</f>
        <v>M5W0V2</v>
      </c>
      <c r="D21779" s="2" t="s">
        <v>16202</v>
      </c>
      <c r="E21779" s="3">
        <v>7.9900000000000006E-76</v>
      </c>
      <c r="F21779" s="2">
        <v>600</v>
      </c>
      <c r="G21779" s="2">
        <v>100</v>
      </c>
      <c r="H21779" s="2">
        <v>118</v>
      </c>
      <c r="I21779" s="2">
        <v>60</v>
      </c>
      <c r="J21779" s="2">
        <v>413</v>
      </c>
      <c r="K21779" s="2">
        <v>1</v>
      </c>
      <c r="L21779" s="2">
        <v>118</v>
      </c>
    </row>
    <row r="21780" spans="1:12" x14ac:dyDescent="0.25">
      <c r="A21780" s="4" t="str">
        <f>HYPERLINK("http://www.rosaceae.org/Prunus/Prunus_persica/p.persica_gdr_reftransV1_0048036","p.persica_gdr_reftransV1_0048036")</f>
        <v>p.persica_gdr_reftransV1_0048036</v>
      </c>
      <c r="B21780" s="2">
        <v>1590</v>
      </c>
      <c r="C21780" s="4" t="str">
        <f>HYPERLINK("http://www.uniprot.org/uniprot/M5XAI8","M5XAI8")</f>
        <v>M5XAI8</v>
      </c>
      <c r="D21780" s="2" t="s">
        <v>13613</v>
      </c>
      <c r="E21780" s="3">
        <v>0</v>
      </c>
      <c r="F21780" s="2">
        <v>1884</v>
      </c>
      <c r="G21780" s="2">
        <v>96</v>
      </c>
      <c r="H21780" s="2">
        <v>396</v>
      </c>
      <c r="I21780" s="2">
        <v>1</v>
      </c>
      <c r="J21780" s="2">
        <v>1188</v>
      </c>
      <c r="K21780" s="2">
        <v>5</v>
      </c>
      <c r="L21780" s="2">
        <v>383</v>
      </c>
    </row>
    <row r="21781" spans="1:12" x14ac:dyDescent="0.25">
      <c r="A21781" s="4" t="str">
        <f>HYPERLINK("http://www.rosaceae.org/Prunus/Prunus_persica/p.persica_gdr_reftransV1_0048736","p.persica_gdr_reftransV1_0048736")</f>
        <v>p.persica_gdr_reftransV1_0048736</v>
      </c>
      <c r="B21781" s="2">
        <v>1082</v>
      </c>
      <c r="C21781" s="4" t="str">
        <f>HYPERLINK("http://www.uniprot.org/uniprot/M5X7F5","M5X7F5")</f>
        <v>M5X7F5</v>
      </c>
      <c r="D21781" s="2" t="s">
        <v>16203</v>
      </c>
      <c r="E21781" s="3">
        <v>7.1600000000000001E-124</v>
      </c>
      <c r="F21781" s="2">
        <v>944</v>
      </c>
      <c r="G21781" s="2">
        <v>87</v>
      </c>
      <c r="H21781" s="2">
        <v>263</v>
      </c>
      <c r="I21781" s="2">
        <v>112</v>
      </c>
      <c r="J21781" s="2">
        <v>900</v>
      </c>
      <c r="K21781" s="2">
        <v>1</v>
      </c>
      <c r="L21781" s="2">
        <v>229</v>
      </c>
    </row>
    <row r="21782" spans="1:12" x14ac:dyDescent="0.25">
      <c r="A21782" s="4" t="str">
        <f>HYPERLINK("http://www.rosaceae.org/Prunus/Prunus_persica/p.persica_gdr_reftransV1_0049086","p.persica_gdr_reftransV1_0049086")</f>
        <v>p.persica_gdr_reftransV1_0049086</v>
      </c>
      <c r="B21782" s="2">
        <v>610</v>
      </c>
      <c r="C21782" s="4" t="str">
        <f>HYPERLINK("http://www.uniprot.org/uniprot/M5W2L1","M5W2L1")</f>
        <v>M5W2L1</v>
      </c>
      <c r="D21782" s="2" t="s">
        <v>16204</v>
      </c>
      <c r="E21782" s="3">
        <v>1.14E-59</v>
      </c>
      <c r="F21782" s="2">
        <v>490</v>
      </c>
      <c r="G21782" s="2">
        <v>100</v>
      </c>
      <c r="H21782" s="2">
        <v>94</v>
      </c>
      <c r="I21782" s="2">
        <v>76</v>
      </c>
      <c r="J21782" s="2">
        <v>357</v>
      </c>
      <c r="K21782" s="2">
        <v>1</v>
      </c>
      <c r="L21782" s="2">
        <v>94</v>
      </c>
    </row>
    <row r="21783" spans="1:12" x14ac:dyDescent="0.25">
      <c r="A21783" s="4" t="str">
        <f>HYPERLINK("http://www.rosaceae.org/Prunus/Prunus_persica/p.persica_gdr_reftransV1_0000087","p.persica_gdr_reftransV1_0000087")</f>
        <v>p.persica_gdr_reftransV1_0000087</v>
      </c>
      <c r="B21783" s="2">
        <v>1087</v>
      </c>
      <c r="C21783" s="4" t="str">
        <f>HYPERLINK("http://www.uniprot.org/uniprot/M5X0G9","M5X0G9")</f>
        <v>M5X0G9</v>
      </c>
      <c r="D21783" s="2" t="s">
        <v>8250</v>
      </c>
      <c r="E21783" s="3">
        <v>4.84E-149</v>
      </c>
      <c r="F21783" s="2">
        <v>1165</v>
      </c>
      <c r="G21783" s="2">
        <v>99</v>
      </c>
      <c r="H21783" s="2">
        <v>239</v>
      </c>
      <c r="I21783" s="2">
        <v>1</v>
      </c>
      <c r="J21783" s="2">
        <v>717</v>
      </c>
      <c r="K21783" s="2">
        <v>592</v>
      </c>
      <c r="L21783" s="2">
        <v>830</v>
      </c>
    </row>
    <row r="21784" spans="1:12" x14ac:dyDescent="0.25">
      <c r="A21784" s="4" t="str">
        <f>HYPERLINK("http://www.rosaceae.org/Prunus/Prunus_persica/p.persica_gdr_reftransV1_0000437","p.persica_gdr_reftransV1_0000437")</f>
        <v>p.persica_gdr_reftransV1_0000437</v>
      </c>
      <c r="B21784" s="2">
        <v>2753</v>
      </c>
      <c r="C21784" s="4" t="str">
        <f>HYPERLINK("http://www.uniprot.org/uniprot/M5VM21","M5VM21")</f>
        <v>M5VM21</v>
      </c>
      <c r="D21784" s="2" t="s">
        <v>14236</v>
      </c>
      <c r="E21784" s="3">
        <v>0</v>
      </c>
      <c r="F21784" s="2">
        <v>1950</v>
      </c>
      <c r="G21784" s="2">
        <v>100</v>
      </c>
      <c r="H21784" s="2">
        <v>382</v>
      </c>
      <c r="I21784" s="2">
        <v>212</v>
      </c>
      <c r="J21784" s="2">
        <v>1357</v>
      </c>
      <c r="K21784" s="2">
        <v>22</v>
      </c>
      <c r="L21784" s="2">
        <v>403</v>
      </c>
    </row>
    <row r="21785" spans="1:12" x14ac:dyDescent="0.25">
      <c r="A21785" s="4" t="str">
        <f>HYPERLINK("http://www.rosaceae.org/Prunus/Prunus_persica/p.persica_gdr_reftransV1_0000787","p.persica_gdr_reftransV1_0000787")</f>
        <v>p.persica_gdr_reftransV1_0000787</v>
      </c>
      <c r="B21785" s="2">
        <v>774</v>
      </c>
      <c r="C21785" s="4" t="str">
        <f>HYPERLINK("http://www.uniprot.org/uniprot/M5XHD3","M5XHD3")</f>
        <v>M5XHD3</v>
      </c>
      <c r="D21785" s="2" t="s">
        <v>8190</v>
      </c>
      <c r="E21785" s="3">
        <v>2.96E-69</v>
      </c>
      <c r="F21785" s="2">
        <v>565</v>
      </c>
      <c r="G21785" s="2">
        <v>90</v>
      </c>
      <c r="H21785" s="2">
        <v>152</v>
      </c>
      <c r="I21785" s="2">
        <v>225</v>
      </c>
      <c r="J21785" s="2">
        <v>635</v>
      </c>
      <c r="K21785" s="2">
        <v>1</v>
      </c>
      <c r="L21785" s="2">
        <v>152</v>
      </c>
    </row>
    <row r="21786" spans="1:12" x14ac:dyDescent="0.25">
      <c r="A21786" s="4" t="str">
        <f>HYPERLINK("http://www.rosaceae.org/Prunus/Prunus_persica/p.persica_gdr_reftransV1_0001137","p.persica_gdr_reftransV1_0001137")</f>
        <v>p.persica_gdr_reftransV1_0001137</v>
      </c>
      <c r="B21786" s="2">
        <v>301</v>
      </c>
      <c r="C21786" s="4" t="str">
        <f>HYPERLINK("http://www.uniprot.org/uniprot/M5VVF5","M5VVF5")</f>
        <v>M5VVF5</v>
      </c>
      <c r="D21786" s="2" t="s">
        <v>14685</v>
      </c>
      <c r="E21786" s="3">
        <v>2.8000000000000002E-63</v>
      </c>
      <c r="F21786" s="2">
        <v>533</v>
      </c>
      <c r="G21786" s="2">
        <v>100</v>
      </c>
      <c r="H21786" s="2">
        <v>100</v>
      </c>
      <c r="I21786" s="2">
        <v>1</v>
      </c>
      <c r="J21786" s="2">
        <v>300</v>
      </c>
      <c r="K21786" s="2">
        <v>193</v>
      </c>
      <c r="L21786" s="2">
        <v>292</v>
      </c>
    </row>
    <row r="21787" spans="1:12" x14ac:dyDescent="0.25">
      <c r="A21787" s="4" t="str">
        <f>HYPERLINK("http://www.rosaceae.org/Prunus/Prunus_persica/p.persica_gdr_reftransV1_0001487","p.persica_gdr_reftransV1_0001487")</f>
        <v>p.persica_gdr_reftransV1_0001487</v>
      </c>
      <c r="B21787" s="2">
        <v>358</v>
      </c>
      <c r="C21787" s="4" t="str">
        <f>HYPERLINK("http://www.uniprot.org/uniprot/M5X7U4","M5X7U4")</f>
        <v>M5X7U4</v>
      </c>
      <c r="D21787" s="2" t="s">
        <v>16205</v>
      </c>
      <c r="E21787" s="3">
        <v>9.7600000000000001E-59</v>
      </c>
      <c r="F21787" s="2">
        <v>492</v>
      </c>
      <c r="G21787" s="2">
        <v>100</v>
      </c>
      <c r="H21787" s="2">
        <v>91</v>
      </c>
      <c r="I21787" s="2">
        <v>3</v>
      </c>
      <c r="J21787" s="2">
        <v>275</v>
      </c>
      <c r="K21787" s="2">
        <v>26</v>
      </c>
      <c r="L21787" s="2">
        <v>116</v>
      </c>
    </row>
    <row r="21788" spans="1:12" x14ac:dyDescent="0.25">
      <c r="A21788" s="4" t="str">
        <f>HYPERLINK("http://www.rosaceae.org/Prunus/Prunus_persica/p.persica_gdr_reftransV1_0001837","p.persica_gdr_reftransV1_0001837")</f>
        <v>p.persica_gdr_reftransV1_0001837</v>
      </c>
      <c r="B21788" s="2">
        <v>597</v>
      </c>
      <c r="C21788" s="4" t="str">
        <f>HYPERLINK("http://www.uniprot.org/uniprot/M5W126","M5W126")</f>
        <v>M5W126</v>
      </c>
      <c r="D21788" s="2" t="s">
        <v>10555</v>
      </c>
      <c r="E21788" s="3">
        <v>3.1899999999999999E-112</v>
      </c>
      <c r="F21788" s="2">
        <v>877</v>
      </c>
      <c r="G21788" s="2">
        <v>86</v>
      </c>
      <c r="H21788" s="2">
        <v>199</v>
      </c>
      <c r="I21788" s="2">
        <v>1</v>
      </c>
      <c r="J21788" s="2">
        <v>597</v>
      </c>
      <c r="K21788" s="2">
        <v>107</v>
      </c>
      <c r="L21788" s="2">
        <v>282</v>
      </c>
    </row>
    <row r="21789" spans="1:12" x14ac:dyDescent="0.25">
      <c r="A21789" s="4" t="str">
        <f>HYPERLINK("http://www.rosaceae.org/Prunus/Prunus_persica/p.persica_gdr_reftransV1_0002187","p.persica_gdr_reftransV1_0002187")</f>
        <v>p.persica_gdr_reftransV1_0002187</v>
      </c>
      <c r="B21789" s="2">
        <v>1747</v>
      </c>
      <c r="C21789" s="4" t="str">
        <f>HYPERLINK("http://www.uniprot.org/uniprot/M5WPS8","M5WPS8")</f>
        <v>M5WPS8</v>
      </c>
      <c r="D21789" s="2" t="s">
        <v>9565</v>
      </c>
      <c r="E21789" s="3">
        <v>0</v>
      </c>
      <c r="F21789" s="2">
        <v>1500</v>
      </c>
      <c r="G21789" s="2">
        <v>100</v>
      </c>
      <c r="H21789" s="2">
        <v>281</v>
      </c>
      <c r="I21789" s="2">
        <v>408</v>
      </c>
      <c r="J21789" s="2">
        <v>1250</v>
      </c>
      <c r="K21789" s="2">
        <v>1</v>
      </c>
      <c r="L21789" s="2">
        <v>281</v>
      </c>
    </row>
    <row r="21790" spans="1:12" x14ac:dyDescent="0.25">
      <c r="A21790" s="4" t="str">
        <f>HYPERLINK("http://www.rosaceae.org/Prunus/Prunus_persica/p.persica_gdr_reftransV1_0003237","p.persica_gdr_reftransV1_0003237")</f>
        <v>p.persica_gdr_reftransV1_0003237</v>
      </c>
      <c r="B21790" s="2">
        <v>520</v>
      </c>
      <c r="C21790" s="4" t="str">
        <f>HYPERLINK("http://www.uniprot.org/uniprot/M5XPB1","M5XPB1")</f>
        <v>M5XPB1</v>
      </c>
      <c r="D21790" s="2" t="s">
        <v>7682</v>
      </c>
      <c r="E21790" s="3">
        <v>2.67E-105</v>
      </c>
      <c r="F21790" s="2">
        <v>824</v>
      </c>
      <c r="G21790" s="2">
        <v>100</v>
      </c>
      <c r="H21790" s="2">
        <v>173</v>
      </c>
      <c r="I21790" s="2">
        <v>1</v>
      </c>
      <c r="J21790" s="2">
        <v>519</v>
      </c>
      <c r="K21790" s="2">
        <v>24</v>
      </c>
      <c r="L21790" s="2">
        <v>196</v>
      </c>
    </row>
    <row r="21791" spans="1:12" x14ac:dyDescent="0.25">
      <c r="A21791" s="4" t="str">
        <f>HYPERLINK("http://www.rosaceae.org/Prunus/Prunus_persica/p.persica_gdr_reftransV1_0004287","p.persica_gdr_reftransV1_0004287")</f>
        <v>p.persica_gdr_reftransV1_0004287</v>
      </c>
      <c r="B21791" s="2">
        <v>2484</v>
      </c>
      <c r="C21791" s="4" t="str">
        <f>HYPERLINK("http://www.uniprot.org/uniprot/M5XLB1","M5XLB1")</f>
        <v>M5XLB1</v>
      </c>
      <c r="D21791" s="2" t="s">
        <v>15787</v>
      </c>
      <c r="E21791" s="3">
        <v>0</v>
      </c>
      <c r="F21791" s="2">
        <v>3169</v>
      </c>
      <c r="G21791" s="2">
        <v>100</v>
      </c>
      <c r="H21791" s="2">
        <v>614</v>
      </c>
      <c r="I21791" s="2">
        <v>541</v>
      </c>
      <c r="J21791" s="2">
        <v>2382</v>
      </c>
      <c r="K21791" s="2">
        <v>1</v>
      </c>
      <c r="L21791" s="2">
        <v>614</v>
      </c>
    </row>
    <row r="21792" spans="1:12" x14ac:dyDescent="0.25">
      <c r="A21792" s="4" t="str">
        <f>HYPERLINK("http://www.rosaceae.org/Prunus/Prunus_persica/p.persica_gdr_reftransV1_0004637","p.persica_gdr_reftransV1_0004637")</f>
        <v>p.persica_gdr_reftransV1_0004637</v>
      </c>
      <c r="B21792" s="2">
        <v>1700</v>
      </c>
      <c r="C21792" s="4" t="str">
        <f>HYPERLINK("http://www.uniprot.org/uniprot/M5VVS3","M5VVS3")</f>
        <v>M5VVS3</v>
      </c>
      <c r="D21792" s="2" t="s">
        <v>4757</v>
      </c>
      <c r="E21792" s="3">
        <v>0</v>
      </c>
      <c r="F21792" s="2">
        <v>2169</v>
      </c>
      <c r="G21792" s="2">
        <v>89</v>
      </c>
      <c r="H21792" s="2">
        <v>473</v>
      </c>
      <c r="I21792" s="2">
        <v>123</v>
      </c>
      <c r="J21792" s="2">
        <v>1538</v>
      </c>
      <c r="K21792" s="2">
        <v>1</v>
      </c>
      <c r="L21792" s="2">
        <v>470</v>
      </c>
    </row>
    <row r="21793" spans="1:12" x14ac:dyDescent="0.25">
      <c r="A21793" s="4" t="str">
        <f>HYPERLINK("http://www.rosaceae.org/Prunus/Prunus_persica/p.persica_gdr_reftransV1_0004987","p.persica_gdr_reftransV1_0004987")</f>
        <v>p.persica_gdr_reftransV1_0004987</v>
      </c>
      <c r="B21793" s="2">
        <v>432</v>
      </c>
      <c r="C21793" s="4" t="str">
        <f>HYPERLINK("http://www.uniprot.org/uniprot/M5X7F6","M5X7F6")</f>
        <v>M5X7F6</v>
      </c>
      <c r="D21793" s="2" t="s">
        <v>5136</v>
      </c>
      <c r="E21793" s="3">
        <v>3.5900000000000001E-90</v>
      </c>
      <c r="F21793" s="2">
        <v>757</v>
      </c>
      <c r="G21793" s="2">
        <v>100</v>
      </c>
      <c r="H21793" s="2">
        <v>144</v>
      </c>
      <c r="I21793" s="2">
        <v>1</v>
      </c>
      <c r="J21793" s="2">
        <v>432</v>
      </c>
      <c r="K21793" s="2">
        <v>1164</v>
      </c>
      <c r="L21793" s="2">
        <v>1307</v>
      </c>
    </row>
    <row r="21794" spans="1:12" x14ac:dyDescent="0.25">
      <c r="A21794" s="4" t="str">
        <f>HYPERLINK("http://www.rosaceae.org/Prunus/Prunus_persica/p.persica_gdr_reftransV1_0006387","p.persica_gdr_reftransV1_0006387")</f>
        <v>p.persica_gdr_reftransV1_0006387</v>
      </c>
      <c r="B21794" s="2">
        <v>522</v>
      </c>
      <c r="C21794" s="4" t="str">
        <f>HYPERLINK("http://www.uniprot.org/uniprot/M5X539","M5X539")</f>
        <v>M5X539</v>
      </c>
      <c r="D21794" s="2" t="s">
        <v>1538</v>
      </c>
      <c r="E21794" s="3">
        <v>1.8699999999999999E-110</v>
      </c>
      <c r="F21794" s="2">
        <v>901</v>
      </c>
      <c r="G21794" s="2">
        <v>99</v>
      </c>
      <c r="H21794" s="2">
        <v>173</v>
      </c>
      <c r="I21794" s="2">
        <v>3</v>
      </c>
      <c r="J21794" s="2">
        <v>521</v>
      </c>
      <c r="K21794" s="2">
        <v>624</v>
      </c>
      <c r="L21794" s="2">
        <v>796</v>
      </c>
    </row>
    <row r="21795" spans="1:12" x14ac:dyDescent="0.25">
      <c r="A21795" s="4" t="str">
        <f>HYPERLINK("http://www.rosaceae.org/Prunus/Prunus_persica/p.persica_gdr_reftransV1_0006737","p.persica_gdr_reftransV1_0006737")</f>
        <v>p.persica_gdr_reftransV1_0006737</v>
      </c>
      <c r="B21795" s="2">
        <v>647</v>
      </c>
      <c r="C21795" s="4" t="str">
        <f>HYPERLINK("http://www.uniprot.org/uniprot/M5W8V6","M5W8V6")</f>
        <v>M5W8V6</v>
      </c>
      <c r="D21795" s="2" t="s">
        <v>16206</v>
      </c>
      <c r="E21795" s="3">
        <v>3.7199999999999998E-41</v>
      </c>
      <c r="F21795" s="2">
        <v>397</v>
      </c>
      <c r="G21795" s="2">
        <v>61</v>
      </c>
      <c r="H21795" s="2">
        <v>162</v>
      </c>
      <c r="I21795" s="2">
        <v>210</v>
      </c>
      <c r="J21795" s="2">
        <v>647</v>
      </c>
      <c r="K21795" s="2">
        <v>16</v>
      </c>
      <c r="L21795" s="2">
        <v>177</v>
      </c>
    </row>
    <row r="21796" spans="1:12" x14ac:dyDescent="0.25">
      <c r="A21796" s="4" t="str">
        <f>HYPERLINK("http://www.rosaceae.org/Prunus/Prunus_persica/p.persica_gdr_reftransV1_0007087","p.persica_gdr_reftransV1_0007087")</f>
        <v>p.persica_gdr_reftransV1_0007087</v>
      </c>
      <c r="B21796" s="2">
        <v>740</v>
      </c>
      <c r="C21796" s="4" t="str">
        <f>HYPERLINK("http://www.uniprot.org/uniprot/M5W2P7","M5W2P7")</f>
        <v>M5W2P7</v>
      </c>
      <c r="D21796" s="2" t="s">
        <v>11418</v>
      </c>
      <c r="E21796" s="3">
        <v>5.9800000000000001E-133</v>
      </c>
      <c r="F21796" s="2">
        <v>1004</v>
      </c>
      <c r="G21796" s="2">
        <v>100</v>
      </c>
      <c r="H21796" s="2">
        <v>194</v>
      </c>
      <c r="I21796" s="2">
        <v>158</v>
      </c>
      <c r="J21796" s="2">
        <v>739</v>
      </c>
      <c r="K21796" s="2">
        <v>1</v>
      </c>
      <c r="L21796" s="2">
        <v>194</v>
      </c>
    </row>
    <row r="21797" spans="1:12" x14ac:dyDescent="0.25">
      <c r="A21797" s="4" t="str">
        <f>HYPERLINK("http://www.rosaceae.org/Prunus/Prunus_persica/p.persica_gdr_reftransV1_0007437","p.persica_gdr_reftransV1_0007437")</f>
        <v>p.persica_gdr_reftransV1_0007437</v>
      </c>
      <c r="B21797" s="2">
        <v>1392</v>
      </c>
      <c r="C21797" s="4" t="str">
        <f>HYPERLINK("http://www.uniprot.org/uniprot/M5VYY4","M5VYY4")</f>
        <v>M5VYY4</v>
      </c>
      <c r="D21797" s="2" t="s">
        <v>16207</v>
      </c>
      <c r="E21797" s="3">
        <v>0</v>
      </c>
      <c r="F21797" s="2">
        <v>1695</v>
      </c>
      <c r="G21797" s="2">
        <v>100</v>
      </c>
      <c r="H21797" s="2">
        <v>349</v>
      </c>
      <c r="I21797" s="2">
        <v>229</v>
      </c>
      <c r="J21797" s="2">
        <v>1275</v>
      </c>
      <c r="K21797" s="2">
        <v>1</v>
      </c>
      <c r="L21797" s="2">
        <v>349</v>
      </c>
    </row>
    <row r="21798" spans="1:12" x14ac:dyDescent="0.25">
      <c r="A21798" s="4" t="str">
        <f>HYPERLINK("http://www.rosaceae.org/Prunus/Prunus_persica/p.persica_gdr_reftransV1_0008137","p.persica_gdr_reftransV1_0008137")</f>
        <v>p.persica_gdr_reftransV1_0008137</v>
      </c>
      <c r="B21798" s="2">
        <v>1910</v>
      </c>
      <c r="C21798" s="4" t="str">
        <f>HYPERLINK("http://www.uniprot.org/uniprot/M5XSQ5","M5XSQ5")</f>
        <v>M5XSQ5</v>
      </c>
      <c r="D21798" s="2" t="s">
        <v>12393</v>
      </c>
      <c r="E21798" s="3">
        <v>9.9500000000000003E-180</v>
      </c>
      <c r="F21798" s="2">
        <v>1043</v>
      </c>
      <c r="G21798" s="2">
        <v>99</v>
      </c>
      <c r="H21798" s="2">
        <v>198</v>
      </c>
      <c r="I21798" s="2">
        <v>629</v>
      </c>
      <c r="J21798" s="2">
        <v>1222</v>
      </c>
      <c r="K21798" s="2">
        <v>195</v>
      </c>
      <c r="L21798" s="2">
        <v>392</v>
      </c>
    </row>
    <row r="21799" spans="1:12" x14ac:dyDescent="0.25">
      <c r="A21799" s="4" t="str">
        <f>HYPERLINK("http://www.rosaceae.org/Prunus/Prunus_persica/p.persica_gdr_reftransV1_0009887","p.persica_gdr_reftransV1_0009887")</f>
        <v>p.persica_gdr_reftransV1_0009887</v>
      </c>
      <c r="B21799" s="2">
        <v>2164</v>
      </c>
      <c r="C21799" s="4" t="str">
        <f>HYPERLINK("http://www.uniprot.org/uniprot/M5VY16","M5VY16")</f>
        <v>M5VY16</v>
      </c>
      <c r="D21799" s="2" t="s">
        <v>15869</v>
      </c>
      <c r="E21799" s="3">
        <v>1.28E-152</v>
      </c>
      <c r="F21799" s="2">
        <v>1221</v>
      </c>
      <c r="G21799" s="2">
        <v>68</v>
      </c>
      <c r="H21799" s="2">
        <v>389</v>
      </c>
      <c r="I21799" s="2">
        <v>691</v>
      </c>
      <c r="J21799" s="2">
        <v>1857</v>
      </c>
      <c r="K21799" s="2">
        <v>361</v>
      </c>
      <c r="L21799" s="2">
        <v>652</v>
      </c>
    </row>
    <row r="21800" spans="1:12" x14ac:dyDescent="0.25">
      <c r="A21800" s="4" t="str">
        <f>HYPERLINK("http://www.rosaceae.org/Prunus/Prunus_persica/p.persica_gdr_reftransV1_0010937","p.persica_gdr_reftransV1_0010937")</f>
        <v>p.persica_gdr_reftransV1_0010937</v>
      </c>
      <c r="B21800" s="2">
        <v>891</v>
      </c>
      <c r="C21800" s="4" t="str">
        <f>HYPERLINK("http://www.uniprot.org/uniprot/M5VH13","M5VH13")</f>
        <v>M5VH13</v>
      </c>
      <c r="D21800" s="2" t="s">
        <v>16208</v>
      </c>
      <c r="E21800" s="3">
        <v>1.15E-141</v>
      </c>
      <c r="F21800" s="2">
        <v>1051</v>
      </c>
      <c r="G21800" s="2">
        <v>99</v>
      </c>
      <c r="H21800" s="2">
        <v>197</v>
      </c>
      <c r="I21800" s="2">
        <v>180</v>
      </c>
      <c r="J21800" s="2">
        <v>770</v>
      </c>
      <c r="K21800" s="2">
        <v>1</v>
      </c>
      <c r="L21800" s="2">
        <v>197</v>
      </c>
    </row>
    <row r="21801" spans="1:12" x14ac:dyDescent="0.25">
      <c r="A21801" s="4" t="str">
        <f>HYPERLINK("http://www.rosaceae.org/Prunus/Prunus_persica/p.persica_gdr_reftransV1_0011287","p.persica_gdr_reftransV1_0011287")</f>
        <v>p.persica_gdr_reftransV1_0011287</v>
      </c>
      <c r="B21801" s="2">
        <v>1944</v>
      </c>
      <c r="C21801" s="4" t="str">
        <f>HYPERLINK("http://www.uniprot.org/uniprot/M5XFD4","M5XFD4")</f>
        <v>M5XFD4</v>
      </c>
      <c r="D21801" s="2" t="s">
        <v>16209</v>
      </c>
      <c r="E21801" s="3">
        <v>6.3099999999999996E-119</v>
      </c>
      <c r="F21801" s="2">
        <v>936</v>
      </c>
      <c r="G21801" s="2">
        <v>100</v>
      </c>
      <c r="H21801" s="2">
        <v>196</v>
      </c>
      <c r="I21801" s="2">
        <v>882</v>
      </c>
      <c r="J21801" s="2">
        <v>1469</v>
      </c>
      <c r="K21801" s="2">
        <v>8</v>
      </c>
      <c r="L21801" s="2">
        <v>203</v>
      </c>
    </row>
    <row r="21802" spans="1:12" x14ac:dyDescent="0.25">
      <c r="A21802" s="4" t="str">
        <f>HYPERLINK("http://www.rosaceae.org/Prunus/Prunus_persica/p.persica_gdr_reftransV1_0011987","p.persica_gdr_reftransV1_0011987")</f>
        <v>p.persica_gdr_reftransV1_0011987</v>
      </c>
      <c r="B21802" s="2">
        <v>2696</v>
      </c>
      <c r="C21802" s="4" t="str">
        <f>HYPERLINK("http://www.uniprot.org/uniprot/M5VNC7","M5VNC7")</f>
        <v>M5VNC7</v>
      </c>
      <c r="D21802" s="2" t="s">
        <v>16210</v>
      </c>
      <c r="E21802" s="3">
        <v>0</v>
      </c>
      <c r="F21802" s="2">
        <v>2644</v>
      </c>
      <c r="G21802" s="2">
        <v>98</v>
      </c>
      <c r="H21802" s="2">
        <v>506</v>
      </c>
      <c r="I21802" s="2">
        <v>571</v>
      </c>
      <c r="J21802" s="2">
        <v>2088</v>
      </c>
      <c r="K21802" s="2">
        <v>98</v>
      </c>
      <c r="L21802" s="2">
        <v>603</v>
      </c>
    </row>
    <row r="21803" spans="1:12" x14ac:dyDescent="0.25">
      <c r="A21803" s="4" t="str">
        <f>HYPERLINK("http://www.rosaceae.org/Prunus/Prunus_persica/p.persica_gdr_reftransV1_0012337","p.persica_gdr_reftransV1_0012337")</f>
        <v>p.persica_gdr_reftransV1_0012337</v>
      </c>
      <c r="B21803" s="2">
        <v>952</v>
      </c>
      <c r="C21803" s="4" t="str">
        <f>HYPERLINK("http://www.uniprot.org/uniprot/M5WC77","M5WC77")</f>
        <v>M5WC77</v>
      </c>
      <c r="D21803" s="2" t="s">
        <v>16211</v>
      </c>
      <c r="E21803" s="3">
        <v>3.3299999999999998E-95</v>
      </c>
      <c r="F21803" s="2">
        <v>744</v>
      </c>
      <c r="G21803" s="2">
        <v>99</v>
      </c>
      <c r="H21803" s="2">
        <v>167</v>
      </c>
      <c r="I21803" s="2">
        <v>53</v>
      </c>
      <c r="J21803" s="2">
        <v>553</v>
      </c>
      <c r="K21803" s="2">
        <v>1</v>
      </c>
      <c r="L21803" s="2">
        <v>167</v>
      </c>
    </row>
    <row r="21804" spans="1:12" x14ac:dyDescent="0.25">
      <c r="A21804" s="4" t="str">
        <f>HYPERLINK("http://www.rosaceae.org/Prunus/Prunus_persica/p.persica_gdr_reftransV1_0012687","p.persica_gdr_reftransV1_0012687")</f>
        <v>p.persica_gdr_reftransV1_0012687</v>
      </c>
      <c r="B21804" s="2">
        <v>3031</v>
      </c>
      <c r="C21804" s="4" t="str">
        <f>HYPERLINK("http://www.uniprot.org/uniprot/M5XXI0","M5XXI0")</f>
        <v>M5XXI0</v>
      </c>
      <c r="D21804" s="2" t="s">
        <v>16212</v>
      </c>
      <c r="E21804" s="3">
        <v>0</v>
      </c>
      <c r="F21804" s="2">
        <v>3981</v>
      </c>
      <c r="G21804" s="2">
        <v>100</v>
      </c>
      <c r="H21804" s="2">
        <v>773</v>
      </c>
      <c r="I21804" s="2">
        <v>466</v>
      </c>
      <c r="J21804" s="2">
        <v>2784</v>
      </c>
      <c r="K21804" s="2">
        <v>1</v>
      </c>
      <c r="L21804" s="2">
        <v>773</v>
      </c>
    </row>
    <row r="21805" spans="1:12" x14ac:dyDescent="0.25">
      <c r="A21805" s="4" t="str">
        <f>HYPERLINK("http://www.rosaceae.org/Prunus/Prunus_persica/p.persica_gdr_reftransV1_0013737","p.persica_gdr_reftransV1_0013737")</f>
        <v>p.persica_gdr_reftransV1_0013737</v>
      </c>
      <c r="B21805" s="2">
        <v>1442</v>
      </c>
      <c r="C21805" s="4" t="str">
        <f>HYPERLINK("http://www.uniprot.org/uniprot/M5W0Y3","M5W0Y3")</f>
        <v>M5W0Y3</v>
      </c>
      <c r="D21805" s="2" t="s">
        <v>16213</v>
      </c>
      <c r="E21805" s="3">
        <v>1.9399999999999999E-153</v>
      </c>
      <c r="F21805" s="2">
        <v>1153</v>
      </c>
      <c r="G21805" s="2">
        <v>100</v>
      </c>
      <c r="H21805" s="2">
        <v>238</v>
      </c>
      <c r="I21805" s="2">
        <v>22</v>
      </c>
      <c r="J21805" s="2">
        <v>735</v>
      </c>
      <c r="K21805" s="2">
        <v>1</v>
      </c>
      <c r="L21805" s="2">
        <v>238</v>
      </c>
    </row>
    <row r="21806" spans="1:12" x14ac:dyDescent="0.25">
      <c r="A21806" s="4" t="str">
        <f>HYPERLINK("http://www.rosaceae.org/Prunus/Prunus_persica/p.persica_gdr_reftransV1_0014437","p.persica_gdr_reftransV1_0014437")</f>
        <v>p.persica_gdr_reftransV1_0014437</v>
      </c>
      <c r="B21806" s="2">
        <v>2699</v>
      </c>
      <c r="C21806" s="4" t="str">
        <f>HYPERLINK("http://www.uniprot.org/uniprot/Q6V406","Q6V406")</f>
        <v>Q6V406</v>
      </c>
      <c r="D21806" s="2" t="s">
        <v>16214</v>
      </c>
      <c r="E21806" s="3">
        <v>0</v>
      </c>
      <c r="F21806" s="2">
        <v>1636</v>
      </c>
      <c r="G21806" s="2">
        <v>99</v>
      </c>
      <c r="H21806" s="2">
        <v>330</v>
      </c>
      <c r="I21806" s="2">
        <v>766</v>
      </c>
      <c r="J21806" s="2">
        <v>1755</v>
      </c>
      <c r="K21806" s="2">
        <v>1</v>
      </c>
      <c r="L21806" s="2">
        <v>330</v>
      </c>
    </row>
    <row r="21807" spans="1:12" x14ac:dyDescent="0.25">
      <c r="A21807" s="4" t="str">
        <f>HYPERLINK("http://www.rosaceae.org/Prunus/Prunus_persica/p.persica_gdr_reftransV1_0015137","p.persica_gdr_reftransV1_0015137")</f>
        <v>p.persica_gdr_reftransV1_0015137</v>
      </c>
      <c r="B21807" s="2">
        <v>971</v>
      </c>
      <c r="C21807" s="4" t="str">
        <f>HYPERLINK("http://www.uniprot.org/uniprot/W9R3U6","W9R3U6")</f>
        <v>W9R3U6</v>
      </c>
      <c r="D21807" s="2" t="s">
        <v>16215</v>
      </c>
      <c r="E21807" s="3">
        <v>2.33E-39</v>
      </c>
      <c r="F21807" s="2">
        <v>379</v>
      </c>
      <c r="G21807" s="2">
        <v>57</v>
      </c>
      <c r="H21807" s="2">
        <v>193</v>
      </c>
      <c r="I21807" s="2">
        <v>391</v>
      </c>
      <c r="J21807" s="2">
        <v>969</v>
      </c>
      <c r="K21807" s="2">
        <v>74</v>
      </c>
      <c r="L21807" s="2">
        <v>262</v>
      </c>
    </row>
    <row r="21808" spans="1:12" x14ac:dyDescent="0.25">
      <c r="A21808" s="4" t="str">
        <f>HYPERLINK("http://www.rosaceae.org/Prunus/Prunus_persica/p.persica_gdr_reftransV1_0015837","p.persica_gdr_reftransV1_0015837")</f>
        <v>p.persica_gdr_reftransV1_0015837</v>
      </c>
      <c r="B21808" s="2">
        <v>6121</v>
      </c>
      <c r="C21808" s="4" t="str">
        <f>HYPERLINK("http://www.uniprot.org/uniprot/W9R0E8","W9R0E8")</f>
        <v>W9R0E8</v>
      </c>
      <c r="D21808" s="2" t="s">
        <v>10803</v>
      </c>
      <c r="E21808" s="3">
        <v>0</v>
      </c>
      <c r="F21808" s="2">
        <v>5563</v>
      </c>
      <c r="G21808" s="2">
        <v>59</v>
      </c>
      <c r="H21808" s="2">
        <v>1961</v>
      </c>
      <c r="I21808" s="2">
        <v>307</v>
      </c>
      <c r="J21808" s="2">
        <v>6120</v>
      </c>
      <c r="K21808" s="2">
        <v>663</v>
      </c>
      <c r="L21808" s="2">
        <v>2611</v>
      </c>
    </row>
    <row r="21809" spans="1:12" x14ac:dyDescent="0.25">
      <c r="A21809" s="4" t="str">
        <f>HYPERLINK("http://www.rosaceae.org/Prunus/Prunus_persica/p.persica_gdr_reftransV1_0016187","p.persica_gdr_reftransV1_0016187")</f>
        <v>p.persica_gdr_reftransV1_0016187</v>
      </c>
      <c r="B21809" s="2">
        <v>1472</v>
      </c>
      <c r="C21809" s="4" t="str">
        <f>HYPERLINK("http://www.uniprot.org/uniprot/M5VJK5","M5VJK5")</f>
        <v>M5VJK5</v>
      </c>
      <c r="D21809" s="2" t="s">
        <v>16216</v>
      </c>
      <c r="E21809" s="3">
        <v>0</v>
      </c>
      <c r="F21809" s="2">
        <v>2015</v>
      </c>
      <c r="G21809" s="2">
        <v>100</v>
      </c>
      <c r="H21809" s="2">
        <v>414</v>
      </c>
      <c r="I21809" s="2">
        <v>130</v>
      </c>
      <c r="J21809" s="2">
        <v>1371</v>
      </c>
      <c r="K21809" s="2">
        <v>1</v>
      </c>
      <c r="L21809" s="2">
        <v>414</v>
      </c>
    </row>
    <row r="21810" spans="1:12" x14ac:dyDescent="0.25">
      <c r="A21810" s="4" t="str">
        <f>HYPERLINK("http://www.rosaceae.org/Prunus/Prunus_persica/p.persica_gdr_reftransV1_0016537","p.persica_gdr_reftransV1_0016537")</f>
        <v>p.persica_gdr_reftransV1_0016537</v>
      </c>
      <c r="B21810" s="2">
        <v>2212</v>
      </c>
      <c r="C21810" s="4" t="str">
        <f>HYPERLINK("http://www.uniprot.org/uniprot/M5WZZ3","M5WZZ3")</f>
        <v>M5WZZ3</v>
      </c>
      <c r="D21810" s="2" t="s">
        <v>16217</v>
      </c>
      <c r="E21810" s="3">
        <v>0</v>
      </c>
      <c r="F21810" s="2">
        <v>3140</v>
      </c>
      <c r="G21810" s="2">
        <v>100</v>
      </c>
      <c r="H21810" s="2">
        <v>607</v>
      </c>
      <c r="I21810" s="2">
        <v>172</v>
      </c>
      <c r="J21810" s="2">
        <v>1992</v>
      </c>
      <c r="K21810" s="2">
        <v>42</v>
      </c>
      <c r="L21810" s="2">
        <v>648</v>
      </c>
    </row>
    <row r="21811" spans="1:12" x14ac:dyDescent="0.25">
      <c r="A21811" s="4" t="str">
        <f>HYPERLINK("http://www.rosaceae.org/Prunus/Prunus_persica/p.persica_gdr_reftransV1_0017237","p.persica_gdr_reftransV1_0017237")</f>
        <v>p.persica_gdr_reftransV1_0017237</v>
      </c>
      <c r="B21811" s="2">
        <v>1633</v>
      </c>
      <c r="C21811" s="4" t="str">
        <f>HYPERLINK("http://www.uniprot.org/uniprot/M5VYP0","M5VYP0")</f>
        <v>M5VYP0</v>
      </c>
      <c r="D21811" s="2" t="s">
        <v>16218</v>
      </c>
      <c r="E21811" s="3">
        <v>0</v>
      </c>
      <c r="F21811" s="2">
        <v>1298</v>
      </c>
      <c r="G21811" s="2">
        <v>99</v>
      </c>
      <c r="H21811" s="2">
        <v>268</v>
      </c>
      <c r="I21811" s="2">
        <v>90</v>
      </c>
      <c r="J21811" s="2">
        <v>893</v>
      </c>
      <c r="K21811" s="2">
        <v>1</v>
      </c>
      <c r="L21811" s="2">
        <v>268</v>
      </c>
    </row>
    <row r="21812" spans="1:12" x14ac:dyDescent="0.25">
      <c r="A21812" s="4" t="str">
        <f>HYPERLINK("http://www.rosaceae.org/Prunus/Prunus_persica/p.persica_gdr_reftransV1_0017587","p.persica_gdr_reftransV1_0017587")</f>
        <v>p.persica_gdr_reftransV1_0017587</v>
      </c>
      <c r="B21812" s="2">
        <v>941</v>
      </c>
      <c r="C21812" s="4" t="str">
        <f>HYPERLINK("http://www.uniprot.org/uniprot/M5XF22","M5XF22")</f>
        <v>M5XF22</v>
      </c>
      <c r="D21812" s="2" t="s">
        <v>6799</v>
      </c>
      <c r="E21812" s="3">
        <v>6.9800000000000003E-56</v>
      </c>
      <c r="F21812" s="2">
        <v>522</v>
      </c>
      <c r="G21812" s="2">
        <v>100</v>
      </c>
      <c r="H21812" s="2">
        <v>128</v>
      </c>
      <c r="I21812" s="2">
        <v>493</v>
      </c>
      <c r="J21812" s="2">
        <v>876</v>
      </c>
      <c r="K21812" s="2">
        <v>1</v>
      </c>
      <c r="L21812" s="2">
        <v>128</v>
      </c>
    </row>
    <row r="21813" spans="1:12" x14ac:dyDescent="0.25">
      <c r="A21813" s="4" t="str">
        <f>HYPERLINK("http://www.rosaceae.org/Prunus/Prunus_persica/p.persica_gdr_reftransV1_0018287","p.persica_gdr_reftransV1_0018287")</f>
        <v>p.persica_gdr_reftransV1_0018287</v>
      </c>
      <c r="B21813" s="2">
        <v>668</v>
      </c>
      <c r="C21813" s="4" t="str">
        <f>HYPERLINK("http://www.uniprot.org/uniprot/M5W923","M5W923")</f>
        <v>M5W923</v>
      </c>
      <c r="D21813" s="2" t="s">
        <v>5311</v>
      </c>
      <c r="E21813" s="3">
        <v>1.3199999999999999E-98</v>
      </c>
      <c r="F21813" s="2">
        <v>771</v>
      </c>
      <c r="G21813" s="2">
        <v>100</v>
      </c>
      <c r="H21813" s="2">
        <v>188</v>
      </c>
      <c r="I21813" s="2">
        <v>98</v>
      </c>
      <c r="J21813" s="2">
        <v>661</v>
      </c>
      <c r="K21813" s="2">
        <v>1</v>
      </c>
      <c r="L21813" s="2">
        <v>188</v>
      </c>
    </row>
    <row r="21814" spans="1:12" x14ac:dyDescent="0.25">
      <c r="A21814" s="4" t="str">
        <f>HYPERLINK("http://www.rosaceae.org/Prunus/Prunus_persica/p.persica_gdr_reftransV1_0019337","p.persica_gdr_reftransV1_0019337")</f>
        <v>p.persica_gdr_reftransV1_0019337</v>
      </c>
      <c r="B21814" s="2">
        <v>1852</v>
      </c>
      <c r="C21814" s="4" t="str">
        <f>HYPERLINK("http://www.uniprot.org/uniprot/M5XB56","M5XB56")</f>
        <v>M5XB56</v>
      </c>
      <c r="D21814" s="2" t="s">
        <v>16219</v>
      </c>
      <c r="E21814" s="3">
        <v>1.6099999999999999E-102</v>
      </c>
      <c r="F21814" s="2">
        <v>818</v>
      </c>
      <c r="G21814" s="2">
        <v>100</v>
      </c>
      <c r="H21814" s="2">
        <v>154</v>
      </c>
      <c r="I21814" s="2">
        <v>308</v>
      </c>
      <c r="J21814" s="2">
        <v>769</v>
      </c>
      <c r="K21814" s="2">
        <v>1</v>
      </c>
      <c r="L21814" s="2">
        <v>154</v>
      </c>
    </row>
    <row r="21815" spans="1:12" x14ac:dyDescent="0.25">
      <c r="A21815" s="4" t="str">
        <f>HYPERLINK("http://www.rosaceae.org/Prunus/Prunus_persica/p.persica_gdr_reftransV1_0019687","p.persica_gdr_reftransV1_0019687")</f>
        <v>p.persica_gdr_reftransV1_0019687</v>
      </c>
      <c r="B21815" s="2">
        <v>2874</v>
      </c>
      <c r="C21815" s="4" t="str">
        <f>HYPERLINK("http://www.uniprot.org/uniprot/M5W1Q8","M5W1Q8")</f>
        <v>M5W1Q8</v>
      </c>
      <c r="D21815" s="2" t="s">
        <v>16220</v>
      </c>
      <c r="E21815" s="3">
        <v>0</v>
      </c>
      <c r="F21815" s="2">
        <v>2566</v>
      </c>
      <c r="G21815" s="2">
        <v>100</v>
      </c>
      <c r="H21815" s="2">
        <v>495</v>
      </c>
      <c r="I21815" s="2">
        <v>1368</v>
      </c>
      <c r="J21815" s="2">
        <v>2852</v>
      </c>
      <c r="K21815" s="2">
        <v>1</v>
      </c>
      <c r="L21815" s="2">
        <v>495</v>
      </c>
    </row>
    <row r="21816" spans="1:12" x14ac:dyDescent="0.25">
      <c r="A21816" s="4" t="str">
        <f>HYPERLINK("http://www.rosaceae.org/Prunus/Prunus_persica/p.persica_gdr_reftransV1_0020737","p.persica_gdr_reftransV1_0020737")</f>
        <v>p.persica_gdr_reftransV1_0020737</v>
      </c>
      <c r="B21816" s="2">
        <v>1924</v>
      </c>
      <c r="C21816" s="4" t="str">
        <f>HYPERLINK("http://www.uniprot.org/uniprot/M5VHR2","M5VHR2")</f>
        <v>M5VHR2</v>
      </c>
      <c r="D21816" s="2" t="s">
        <v>16221</v>
      </c>
      <c r="E21816" s="3">
        <v>0</v>
      </c>
      <c r="F21816" s="2">
        <v>1518</v>
      </c>
      <c r="G21816" s="2">
        <v>98</v>
      </c>
      <c r="H21816" s="2">
        <v>295</v>
      </c>
      <c r="I21816" s="2">
        <v>472</v>
      </c>
      <c r="J21816" s="2">
        <v>1356</v>
      </c>
      <c r="K21816" s="2">
        <v>18</v>
      </c>
      <c r="L21816" s="2">
        <v>312</v>
      </c>
    </row>
    <row r="21817" spans="1:12" x14ac:dyDescent="0.25">
      <c r="A21817" s="4" t="str">
        <f>HYPERLINK("http://www.rosaceae.org/Prunus/Prunus_persica/p.persica_gdr_reftransV1_0024237","p.persica_gdr_reftransV1_0024237")</f>
        <v>p.persica_gdr_reftransV1_0024237</v>
      </c>
      <c r="B21817" s="2">
        <v>2924</v>
      </c>
      <c r="C21817" s="4" t="str">
        <f>HYPERLINK("http://www.uniprot.org/uniprot/M5W9F6","M5W9F6")</f>
        <v>M5W9F6</v>
      </c>
      <c r="D21817" s="2" t="s">
        <v>13321</v>
      </c>
      <c r="E21817" s="3">
        <v>0</v>
      </c>
      <c r="F21817" s="2">
        <v>1720</v>
      </c>
      <c r="G21817" s="2">
        <v>100</v>
      </c>
      <c r="H21817" s="2">
        <v>323</v>
      </c>
      <c r="I21817" s="2">
        <v>1464</v>
      </c>
      <c r="J21817" s="2">
        <v>2432</v>
      </c>
      <c r="K21817" s="2">
        <v>1</v>
      </c>
      <c r="L21817" s="2">
        <v>323</v>
      </c>
    </row>
    <row r="21818" spans="1:12" x14ac:dyDescent="0.25">
      <c r="A21818" s="4" t="str">
        <f>HYPERLINK("http://www.rosaceae.org/Prunus/Prunus_persica/p.persica_gdr_reftransV1_0024587","p.persica_gdr_reftransV1_0024587")</f>
        <v>p.persica_gdr_reftransV1_0024587</v>
      </c>
      <c r="B21818" s="2">
        <v>2952</v>
      </c>
      <c r="C21818" s="4" t="str">
        <f>HYPERLINK("http://www.uniprot.org/uniprot/M5VQ59","M5VQ59")</f>
        <v>M5VQ59</v>
      </c>
      <c r="D21818" s="2" t="s">
        <v>16222</v>
      </c>
      <c r="E21818" s="3">
        <v>0</v>
      </c>
      <c r="F21818" s="2">
        <v>3351</v>
      </c>
      <c r="G21818" s="2">
        <v>96</v>
      </c>
      <c r="H21818" s="2">
        <v>641</v>
      </c>
      <c r="I21818" s="2">
        <v>839</v>
      </c>
      <c r="J21818" s="2">
        <v>2761</v>
      </c>
      <c r="K21818" s="2">
        <v>1</v>
      </c>
      <c r="L21818" s="2">
        <v>641</v>
      </c>
    </row>
    <row r="21819" spans="1:12" x14ac:dyDescent="0.25">
      <c r="A21819" s="4" t="str">
        <f>HYPERLINK("http://www.rosaceae.org/Prunus/Prunus_persica/p.persica_gdr_reftransV1_0025287","p.persica_gdr_reftransV1_0025287")</f>
        <v>p.persica_gdr_reftransV1_0025287</v>
      </c>
      <c r="B21819" s="2">
        <v>3504</v>
      </c>
      <c r="C21819" s="4" t="str">
        <f>HYPERLINK("http://www.uniprot.org/uniprot/M5X8I4","M5X8I4")</f>
        <v>M5X8I4</v>
      </c>
      <c r="D21819" s="2" t="s">
        <v>5457</v>
      </c>
      <c r="E21819" s="3">
        <v>6.0800000000000005E-132</v>
      </c>
      <c r="F21819" s="2">
        <v>753</v>
      </c>
      <c r="G21819" s="2">
        <v>97</v>
      </c>
      <c r="H21819" s="2">
        <v>189</v>
      </c>
      <c r="I21819" s="2">
        <v>1531</v>
      </c>
      <c r="J21819" s="2">
        <v>2097</v>
      </c>
      <c r="K21819" s="2">
        <v>945</v>
      </c>
      <c r="L21819" s="2">
        <v>1133</v>
      </c>
    </row>
    <row r="21820" spans="1:12" x14ac:dyDescent="0.25">
      <c r="A21820" s="4" t="str">
        <f>HYPERLINK("http://www.rosaceae.org/Prunus/Prunus_persica/p.persica_gdr_reftransV1_0025637","p.persica_gdr_reftransV1_0025637")</f>
        <v>p.persica_gdr_reftransV1_0025637</v>
      </c>
      <c r="B21820" s="2">
        <v>3734</v>
      </c>
      <c r="C21820" s="4" t="str">
        <f>HYPERLINK("http://www.uniprot.org/uniprot/M5W619","M5W619")</f>
        <v>M5W619</v>
      </c>
      <c r="D21820" s="2" t="s">
        <v>12662</v>
      </c>
      <c r="E21820" s="3">
        <v>3.7300000000000002E-72</v>
      </c>
      <c r="F21820" s="2">
        <v>644</v>
      </c>
      <c r="G21820" s="2">
        <v>100</v>
      </c>
      <c r="H21820" s="2">
        <v>122</v>
      </c>
      <c r="I21820" s="2">
        <v>1593</v>
      </c>
      <c r="J21820" s="2">
        <v>1958</v>
      </c>
      <c r="K21820" s="2">
        <v>149</v>
      </c>
      <c r="L21820" s="2">
        <v>270</v>
      </c>
    </row>
    <row r="21821" spans="1:12" x14ac:dyDescent="0.25">
      <c r="A21821" s="4" t="str">
        <f>HYPERLINK("http://www.rosaceae.org/Prunus/Prunus_persica/p.persica_gdr_reftransV1_0025987","p.persica_gdr_reftransV1_0025987")</f>
        <v>p.persica_gdr_reftransV1_0025987</v>
      </c>
      <c r="B21821" s="2">
        <v>3555</v>
      </c>
      <c r="C21821" s="4" t="str">
        <f>HYPERLINK("http://www.uniprot.org/uniprot/M5XAT7","M5XAT7")</f>
        <v>M5XAT7</v>
      </c>
      <c r="D21821" s="2" t="s">
        <v>14615</v>
      </c>
      <c r="E21821" s="3">
        <v>0</v>
      </c>
      <c r="F21821" s="2">
        <v>2713</v>
      </c>
      <c r="G21821" s="2">
        <v>85</v>
      </c>
      <c r="H21821" s="2">
        <v>670</v>
      </c>
      <c r="I21821" s="2">
        <v>517</v>
      </c>
      <c r="J21821" s="2">
        <v>2523</v>
      </c>
      <c r="K21821" s="2">
        <v>1</v>
      </c>
      <c r="L21821" s="2">
        <v>605</v>
      </c>
    </row>
    <row r="21822" spans="1:12" x14ac:dyDescent="0.25">
      <c r="A21822" s="4" t="str">
        <f>HYPERLINK("http://www.rosaceae.org/Prunus/Prunus_persica/p.persica_gdr_reftransV1_0026337","p.persica_gdr_reftransV1_0026337")</f>
        <v>p.persica_gdr_reftransV1_0026337</v>
      </c>
      <c r="B21822" s="2">
        <v>2815</v>
      </c>
      <c r="C21822" s="4" t="str">
        <f>HYPERLINK("http://www.uniprot.org/uniprot/M5WFK4","M5WFK4")</f>
        <v>M5WFK4</v>
      </c>
      <c r="D21822" s="2" t="s">
        <v>16223</v>
      </c>
      <c r="E21822" s="3">
        <v>0</v>
      </c>
      <c r="F21822" s="2">
        <v>2906</v>
      </c>
      <c r="G21822" s="2">
        <v>100</v>
      </c>
      <c r="H21822" s="2">
        <v>655</v>
      </c>
      <c r="I21822" s="2">
        <v>576</v>
      </c>
      <c r="J21822" s="2">
        <v>2540</v>
      </c>
      <c r="K21822" s="2">
        <v>1</v>
      </c>
      <c r="L21822" s="2">
        <v>655</v>
      </c>
    </row>
    <row r="21823" spans="1:12" x14ac:dyDescent="0.25">
      <c r="A21823" s="4" t="str">
        <f>HYPERLINK("http://www.rosaceae.org/Prunus/Prunus_persica/p.persica_gdr_reftransV1_0026687","p.persica_gdr_reftransV1_0026687")</f>
        <v>p.persica_gdr_reftransV1_0026687</v>
      </c>
      <c r="B21823" s="2">
        <v>886</v>
      </c>
      <c r="C21823" s="4" t="str">
        <f>HYPERLINK("http://www.uniprot.org/uniprot/M5X6Y1","M5X6Y1")</f>
        <v>M5X6Y1</v>
      </c>
      <c r="D21823" s="2" t="s">
        <v>16224</v>
      </c>
      <c r="E21823" s="3">
        <v>1.2600000000000001E-25</v>
      </c>
      <c r="F21823" s="2">
        <v>269</v>
      </c>
      <c r="G21823" s="2">
        <v>100</v>
      </c>
      <c r="H21823" s="2">
        <v>80</v>
      </c>
      <c r="I21823" s="2">
        <v>289</v>
      </c>
      <c r="J21823" s="2">
        <v>528</v>
      </c>
      <c r="K21823" s="2">
        <v>17</v>
      </c>
      <c r="L21823" s="2">
        <v>96</v>
      </c>
    </row>
    <row r="21824" spans="1:12" x14ac:dyDescent="0.25">
      <c r="A21824" s="4" t="str">
        <f>HYPERLINK("http://www.rosaceae.org/Prunus/Prunus_persica/p.persica_gdr_reftransV1_0029487","p.persica_gdr_reftransV1_0029487")</f>
        <v>p.persica_gdr_reftransV1_0029487</v>
      </c>
      <c r="B21824" s="2">
        <v>605</v>
      </c>
      <c r="C21824" s="4" t="str">
        <f>HYPERLINK("http://www.uniprot.org/uniprot/M5VM95","M5VM95")</f>
        <v>M5VM95</v>
      </c>
      <c r="D21824" s="2" t="s">
        <v>13719</v>
      </c>
      <c r="E21824" s="3">
        <v>3.47E-54</v>
      </c>
      <c r="F21824" s="2">
        <v>459</v>
      </c>
      <c r="G21824" s="2">
        <v>77</v>
      </c>
      <c r="H21824" s="2">
        <v>126</v>
      </c>
      <c r="I21824" s="2">
        <v>254</v>
      </c>
      <c r="J21824" s="2">
        <v>550</v>
      </c>
      <c r="K21824" s="2">
        <v>33</v>
      </c>
      <c r="L21824" s="2">
        <v>158</v>
      </c>
    </row>
    <row r="21825" spans="1:12" x14ac:dyDescent="0.25">
      <c r="A21825" s="4" t="str">
        <f>HYPERLINK("http://www.rosaceae.org/Prunus/Prunus_persica/p.persica_gdr_reftransV1_0030187","p.persica_gdr_reftransV1_0030187")</f>
        <v>p.persica_gdr_reftransV1_0030187</v>
      </c>
      <c r="B21825" s="2">
        <v>3670</v>
      </c>
      <c r="C21825" s="4" t="str">
        <f>HYPERLINK("http://www.uniprot.org/uniprot/M5W686","M5W686")</f>
        <v>M5W686</v>
      </c>
      <c r="D21825" s="2" t="s">
        <v>16225</v>
      </c>
      <c r="E21825" s="3">
        <v>0</v>
      </c>
      <c r="F21825" s="2">
        <v>4981</v>
      </c>
      <c r="G21825" s="2">
        <v>100</v>
      </c>
      <c r="H21825" s="2">
        <v>968</v>
      </c>
      <c r="I21825" s="2">
        <v>366</v>
      </c>
      <c r="J21825" s="2">
        <v>3269</v>
      </c>
      <c r="K21825" s="2">
        <v>1</v>
      </c>
      <c r="L21825" s="2">
        <v>968</v>
      </c>
    </row>
    <row r="21826" spans="1:12" x14ac:dyDescent="0.25">
      <c r="A21826" s="4" t="str">
        <f>HYPERLINK("http://www.rosaceae.org/Prunus/Prunus_persica/p.persica_gdr_reftransV1_0030537","p.persica_gdr_reftransV1_0030537")</f>
        <v>p.persica_gdr_reftransV1_0030537</v>
      </c>
      <c r="B21826" s="2">
        <v>5556</v>
      </c>
      <c r="C21826" s="4" t="str">
        <f>HYPERLINK("http://www.uniprot.org/uniprot/M5XJ22","M5XJ22")</f>
        <v>M5XJ22</v>
      </c>
      <c r="D21826" s="2" t="s">
        <v>16226</v>
      </c>
      <c r="E21826" s="3">
        <v>0</v>
      </c>
      <c r="F21826" s="2">
        <v>6657</v>
      </c>
      <c r="G21826" s="2">
        <v>100</v>
      </c>
      <c r="H21826" s="2">
        <v>1347</v>
      </c>
      <c r="I21826" s="2">
        <v>742</v>
      </c>
      <c r="J21826" s="2">
        <v>4782</v>
      </c>
      <c r="K21826" s="2">
        <v>1</v>
      </c>
      <c r="L21826" s="2">
        <v>1347</v>
      </c>
    </row>
    <row r="21827" spans="1:12" x14ac:dyDescent="0.25">
      <c r="A21827" s="4" t="str">
        <f>HYPERLINK("http://www.rosaceae.org/Prunus/Prunus_persica/p.persica_gdr_reftransV1_0032287","p.persica_gdr_reftransV1_0032287")</f>
        <v>p.persica_gdr_reftransV1_0032287</v>
      </c>
      <c r="B21827" s="2">
        <v>318</v>
      </c>
      <c r="C21827" s="4" t="str">
        <f>HYPERLINK("http://www.uniprot.org/uniprot/M5XQN5","M5XQN5")</f>
        <v>M5XQN5</v>
      </c>
      <c r="D21827" s="2" t="s">
        <v>13095</v>
      </c>
      <c r="E21827" s="3">
        <v>5.5800000000000005E-13</v>
      </c>
      <c r="F21827" s="2">
        <v>181</v>
      </c>
      <c r="G21827" s="2">
        <v>42</v>
      </c>
      <c r="H21827" s="2">
        <v>90</v>
      </c>
      <c r="I21827" s="2">
        <v>14</v>
      </c>
      <c r="J21827" s="2">
        <v>283</v>
      </c>
      <c r="K21827" s="2">
        <v>12</v>
      </c>
      <c r="L21827" s="2">
        <v>99</v>
      </c>
    </row>
    <row r="21828" spans="1:12" x14ac:dyDescent="0.25">
      <c r="A21828" s="4" t="str">
        <f>HYPERLINK("http://www.rosaceae.org/Prunus/Prunus_persica/p.persica_gdr_reftransV1_0032637","p.persica_gdr_reftransV1_0032637")</f>
        <v>p.persica_gdr_reftransV1_0032637</v>
      </c>
      <c r="B21828" s="2">
        <v>1146</v>
      </c>
      <c r="C21828" s="4" t="str">
        <f>HYPERLINK("http://www.uniprot.org/uniprot/M5VTS5","M5VTS5")</f>
        <v>M5VTS5</v>
      </c>
      <c r="D21828" s="2" t="s">
        <v>16227</v>
      </c>
      <c r="E21828" s="3">
        <v>7.7100000000000005E-114</v>
      </c>
      <c r="F21828" s="2">
        <v>876</v>
      </c>
      <c r="G21828" s="2">
        <v>81</v>
      </c>
      <c r="H21828" s="2">
        <v>231</v>
      </c>
      <c r="I21828" s="2">
        <v>406</v>
      </c>
      <c r="J21828" s="2">
        <v>1098</v>
      </c>
      <c r="K21828" s="2">
        <v>1</v>
      </c>
      <c r="L21828" s="2">
        <v>192</v>
      </c>
    </row>
    <row r="21829" spans="1:12" x14ac:dyDescent="0.25">
      <c r="A21829" s="4" t="str">
        <f>HYPERLINK("http://www.rosaceae.org/Prunus/Prunus_persica/p.persica_gdr_reftransV1_0032987","p.persica_gdr_reftransV1_0032987")</f>
        <v>p.persica_gdr_reftransV1_0032987</v>
      </c>
      <c r="B21829" s="2">
        <v>2033</v>
      </c>
      <c r="C21829" s="4" t="str">
        <f>HYPERLINK("http://www.uniprot.org/uniprot/M5XQV1","M5XQV1")</f>
        <v>M5XQV1</v>
      </c>
      <c r="D21829" s="2" t="s">
        <v>4862</v>
      </c>
      <c r="E21829" s="3">
        <v>0</v>
      </c>
      <c r="F21829" s="2">
        <v>2031</v>
      </c>
      <c r="G21829" s="2">
        <v>100</v>
      </c>
      <c r="H21829" s="2">
        <v>410</v>
      </c>
      <c r="I21829" s="2">
        <v>392</v>
      </c>
      <c r="J21829" s="2">
        <v>1621</v>
      </c>
      <c r="K21829" s="2">
        <v>1</v>
      </c>
      <c r="L21829" s="2">
        <v>410</v>
      </c>
    </row>
    <row r="21830" spans="1:12" x14ac:dyDescent="0.25">
      <c r="A21830" s="4" t="str">
        <f>HYPERLINK("http://www.rosaceae.org/Prunus/Prunus_persica/p.persica_gdr_reftransV1_0034037","p.persica_gdr_reftransV1_0034037")</f>
        <v>p.persica_gdr_reftransV1_0034037</v>
      </c>
      <c r="B21830" s="2">
        <v>692</v>
      </c>
      <c r="C21830" s="4" t="str">
        <f>HYPERLINK("http://www.uniprot.org/uniprot/M5WNH5","M5WNH5")</f>
        <v>M5WNH5</v>
      </c>
      <c r="D21830" s="2" t="s">
        <v>16228</v>
      </c>
      <c r="E21830" s="3">
        <v>4.4200000000000002E-88</v>
      </c>
      <c r="F21830" s="2">
        <v>691</v>
      </c>
      <c r="G21830" s="2">
        <v>100</v>
      </c>
      <c r="H21830" s="2">
        <v>131</v>
      </c>
      <c r="I21830" s="2">
        <v>249</v>
      </c>
      <c r="J21830" s="2">
        <v>641</v>
      </c>
      <c r="K21830" s="2">
        <v>69</v>
      </c>
      <c r="L21830" s="2">
        <v>199</v>
      </c>
    </row>
    <row r="21831" spans="1:12" x14ac:dyDescent="0.25">
      <c r="A21831" s="4" t="str">
        <f>HYPERLINK("http://www.rosaceae.org/Prunus/Prunus_persica/p.persica_gdr_reftransV1_0035087","p.persica_gdr_reftransV1_0035087")</f>
        <v>p.persica_gdr_reftransV1_0035087</v>
      </c>
      <c r="B21831" s="2">
        <v>1541</v>
      </c>
      <c r="C21831" s="4" t="str">
        <f>HYPERLINK("http://www.uniprot.org/uniprot/M5VN18","M5VN18")</f>
        <v>M5VN18</v>
      </c>
      <c r="D21831" s="2" t="s">
        <v>16229</v>
      </c>
      <c r="E21831" s="3">
        <v>6.0699999999999997E-76</v>
      </c>
      <c r="F21831" s="2">
        <v>628</v>
      </c>
      <c r="G21831" s="2">
        <v>100</v>
      </c>
      <c r="H21831" s="2">
        <v>118</v>
      </c>
      <c r="I21831" s="2">
        <v>462</v>
      </c>
      <c r="J21831" s="2">
        <v>815</v>
      </c>
      <c r="K21831" s="2">
        <v>1</v>
      </c>
      <c r="L21831" s="2">
        <v>118</v>
      </c>
    </row>
    <row r="21832" spans="1:12" x14ac:dyDescent="0.25">
      <c r="A21832" s="4" t="str">
        <f>HYPERLINK("http://www.rosaceae.org/Prunus/Prunus_persica/p.persica_gdr_reftransV1_0035787","p.persica_gdr_reftransV1_0035787")</f>
        <v>p.persica_gdr_reftransV1_0035787</v>
      </c>
      <c r="B21832" s="2">
        <v>1174</v>
      </c>
      <c r="C21832" s="4" t="str">
        <f>HYPERLINK("http://www.uniprot.org/uniprot/M5X6A3","M5X6A3")</f>
        <v>M5X6A3</v>
      </c>
      <c r="D21832" s="2" t="s">
        <v>16230</v>
      </c>
      <c r="E21832" s="3">
        <v>2.2099999999999999E-159</v>
      </c>
      <c r="F21832" s="2">
        <v>1183</v>
      </c>
      <c r="G21832" s="2">
        <v>100</v>
      </c>
      <c r="H21832" s="2">
        <v>246</v>
      </c>
      <c r="I21832" s="2">
        <v>196</v>
      </c>
      <c r="J21832" s="2">
        <v>933</v>
      </c>
      <c r="K21832" s="2">
        <v>1</v>
      </c>
      <c r="L21832" s="2">
        <v>246</v>
      </c>
    </row>
    <row r="21833" spans="1:12" x14ac:dyDescent="0.25">
      <c r="A21833" s="4" t="str">
        <f>HYPERLINK("http://www.rosaceae.org/Prunus/Prunus_persica/p.persica_gdr_reftransV1_0038237","p.persica_gdr_reftransV1_0038237")</f>
        <v>p.persica_gdr_reftransV1_0038237</v>
      </c>
      <c r="B21833" s="2">
        <v>1666</v>
      </c>
      <c r="C21833" s="4" t="str">
        <f>HYPERLINK("http://www.uniprot.org/uniprot/M5X1F3","M5X1F3")</f>
        <v>M5X1F3</v>
      </c>
      <c r="D21833" s="2" t="s">
        <v>16231</v>
      </c>
      <c r="E21833" s="3">
        <v>0</v>
      </c>
      <c r="F21833" s="2">
        <v>2137</v>
      </c>
      <c r="G21833" s="2">
        <v>100</v>
      </c>
      <c r="H21833" s="2">
        <v>396</v>
      </c>
      <c r="I21833" s="2">
        <v>156</v>
      </c>
      <c r="J21833" s="2">
        <v>1343</v>
      </c>
      <c r="K21833" s="2">
        <v>1</v>
      </c>
      <c r="L21833" s="2">
        <v>396</v>
      </c>
    </row>
    <row r="21834" spans="1:12" x14ac:dyDescent="0.25">
      <c r="A21834" s="4" t="str">
        <f>HYPERLINK("http://www.rosaceae.org/Prunus/Prunus_persica/p.persica_gdr_reftransV1_0038587","p.persica_gdr_reftransV1_0038587")</f>
        <v>p.persica_gdr_reftransV1_0038587</v>
      </c>
      <c r="B21834" s="2">
        <v>1243</v>
      </c>
      <c r="C21834" s="4" t="str">
        <f>HYPERLINK("http://www.uniprot.org/uniprot/M5WVQ0","M5WVQ0")</f>
        <v>M5WVQ0</v>
      </c>
      <c r="D21834" s="2" t="s">
        <v>16232</v>
      </c>
      <c r="E21834" s="3">
        <v>1.25E-82</v>
      </c>
      <c r="F21834" s="2">
        <v>671</v>
      </c>
      <c r="G21834" s="2">
        <v>100</v>
      </c>
      <c r="H21834" s="2">
        <v>127</v>
      </c>
      <c r="I21834" s="2">
        <v>185</v>
      </c>
      <c r="J21834" s="2">
        <v>565</v>
      </c>
      <c r="K21834" s="2">
        <v>1</v>
      </c>
      <c r="L21834" s="2">
        <v>127</v>
      </c>
    </row>
    <row r="21835" spans="1:12" x14ac:dyDescent="0.25">
      <c r="A21835" s="4" t="str">
        <f>HYPERLINK("http://www.rosaceae.org/Prunus/Prunus_persica/p.persica_gdr_reftransV1_0042437","p.persica_gdr_reftransV1_0042437")</f>
        <v>p.persica_gdr_reftransV1_0042437</v>
      </c>
      <c r="B21835" s="2">
        <v>1762</v>
      </c>
      <c r="C21835" s="4" t="str">
        <f>HYPERLINK("http://www.uniprot.org/uniprot/M5X068","M5X068")</f>
        <v>M5X068</v>
      </c>
      <c r="D21835" s="2" t="s">
        <v>16233</v>
      </c>
      <c r="E21835" s="3">
        <v>0</v>
      </c>
      <c r="F21835" s="2">
        <v>1907</v>
      </c>
      <c r="G21835" s="2">
        <v>90</v>
      </c>
      <c r="H21835" s="2">
        <v>428</v>
      </c>
      <c r="I21835" s="2">
        <v>357</v>
      </c>
      <c r="J21835" s="2">
        <v>1640</v>
      </c>
      <c r="K21835" s="2">
        <v>1</v>
      </c>
      <c r="L21835" s="2">
        <v>387</v>
      </c>
    </row>
    <row r="21836" spans="1:12" x14ac:dyDescent="0.25">
      <c r="A21836" s="4" t="str">
        <f>HYPERLINK("http://www.rosaceae.org/Prunus/Prunus_persica/p.persica_gdr_reftransV1_0043137","p.persica_gdr_reftransV1_0043137")</f>
        <v>p.persica_gdr_reftransV1_0043137</v>
      </c>
      <c r="B21836" s="2">
        <v>1864</v>
      </c>
      <c r="C21836" s="4" t="str">
        <f>HYPERLINK("http://www.uniprot.org/uniprot/M5WAL5","M5WAL5")</f>
        <v>M5WAL5</v>
      </c>
      <c r="D21836" s="2" t="s">
        <v>196</v>
      </c>
      <c r="E21836" s="3">
        <v>0</v>
      </c>
      <c r="F21836" s="2">
        <v>1379</v>
      </c>
      <c r="G21836" s="2">
        <v>95</v>
      </c>
      <c r="H21836" s="2">
        <v>276</v>
      </c>
      <c r="I21836" s="2">
        <v>354</v>
      </c>
      <c r="J21836" s="2">
        <v>1163</v>
      </c>
      <c r="K21836" s="2">
        <v>156</v>
      </c>
      <c r="L21836" s="2">
        <v>431</v>
      </c>
    </row>
    <row r="21837" spans="1:12" x14ac:dyDescent="0.25">
      <c r="A21837" s="4" t="str">
        <f>HYPERLINK("http://www.rosaceae.org/Prunus/Prunus_persica/p.persica_gdr_reftransV1_0043487","p.persica_gdr_reftransV1_0043487")</f>
        <v>p.persica_gdr_reftransV1_0043487</v>
      </c>
      <c r="B21837" s="2">
        <v>799</v>
      </c>
      <c r="C21837" s="4" t="str">
        <f>HYPERLINK("http://www.uniprot.org/uniprot/M5WJJ0","M5WJJ0")</f>
        <v>M5WJJ0</v>
      </c>
      <c r="D21837" s="2" t="s">
        <v>16234</v>
      </c>
      <c r="E21837" s="3">
        <v>1.8099999999999999E-73</v>
      </c>
      <c r="F21837" s="2">
        <v>590</v>
      </c>
      <c r="G21837" s="2">
        <v>100</v>
      </c>
      <c r="H21837" s="2">
        <v>111</v>
      </c>
      <c r="I21837" s="2">
        <v>112</v>
      </c>
      <c r="J21837" s="2">
        <v>444</v>
      </c>
      <c r="K21837" s="2">
        <v>1</v>
      </c>
      <c r="L21837" s="2">
        <v>111</v>
      </c>
    </row>
    <row r="21838" spans="1:12" x14ac:dyDescent="0.25">
      <c r="A21838" s="4" t="str">
        <f>HYPERLINK("http://www.rosaceae.org/Prunus/Prunus_persica/p.persica_gdr_reftransV1_0043837","p.persica_gdr_reftransV1_0043837")</f>
        <v>p.persica_gdr_reftransV1_0043837</v>
      </c>
      <c r="B21838" s="2">
        <v>1259</v>
      </c>
      <c r="C21838" s="4" t="str">
        <f>HYPERLINK("http://www.uniprot.org/uniprot/M5W9K8","M5W9K8")</f>
        <v>M5W9K8</v>
      </c>
      <c r="D21838" s="2" t="s">
        <v>9113</v>
      </c>
      <c r="E21838" s="3">
        <v>0</v>
      </c>
      <c r="F21838" s="2">
        <v>1582</v>
      </c>
      <c r="G21838" s="2">
        <v>100</v>
      </c>
      <c r="H21838" s="2">
        <v>316</v>
      </c>
      <c r="I21838" s="2">
        <v>75</v>
      </c>
      <c r="J21838" s="2">
        <v>1022</v>
      </c>
      <c r="K21838" s="2">
        <v>1</v>
      </c>
      <c r="L21838" s="2">
        <v>316</v>
      </c>
    </row>
    <row r="21839" spans="1:12" x14ac:dyDescent="0.25">
      <c r="A21839" s="4" t="str">
        <f>HYPERLINK("http://www.rosaceae.org/Prunus/Prunus_persica/p.persica_gdr_reftransV1_0044187","p.persica_gdr_reftransV1_0044187")</f>
        <v>p.persica_gdr_reftransV1_0044187</v>
      </c>
      <c r="B21839" s="2">
        <v>1454</v>
      </c>
      <c r="C21839" s="4" t="str">
        <f>HYPERLINK("http://www.uniprot.org/uniprot/M5XBN7","M5XBN7")</f>
        <v>M5XBN7</v>
      </c>
      <c r="D21839" s="2" t="s">
        <v>9773</v>
      </c>
      <c r="E21839" s="3">
        <v>7.2199999999999997E-156</v>
      </c>
      <c r="F21839" s="2">
        <v>1180</v>
      </c>
      <c r="G21839" s="2">
        <v>100</v>
      </c>
      <c r="H21839" s="2">
        <v>318</v>
      </c>
      <c r="I21839" s="2">
        <v>382</v>
      </c>
      <c r="J21839" s="2">
        <v>1335</v>
      </c>
      <c r="K21839" s="2">
        <v>1</v>
      </c>
      <c r="L21839" s="2">
        <v>318</v>
      </c>
    </row>
    <row r="21840" spans="1:12" x14ac:dyDescent="0.25">
      <c r="A21840" s="4" t="str">
        <f>HYPERLINK("http://www.rosaceae.org/Prunus/Prunus_persica/p.persica_gdr_reftransV1_0044537","p.persica_gdr_reftransV1_0044537")</f>
        <v>p.persica_gdr_reftransV1_0044537</v>
      </c>
      <c r="B21840" s="2">
        <v>657</v>
      </c>
      <c r="C21840" s="4" t="str">
        <f>HYPERLINK("http://www.uniprot.org/uniprot/M5WQM4","M5WQM4")</f>
        <v>M5WQM4</v>
      </c>
      <c r="D21840" s="2" t="s">
        <v>16235</v>
      </c>
      <c r="E21840" s="3">
        <v>6.59E-111</v>
      </c>
      <c r="F21840" s="2">
        <v>838</v>
      </c>
      <c r="G21840" s="2">
        <v>96</v>
      </c>
      <c r="H21840" s="2">
        <v>170</v>
      </c>
      <c r="I21840" s="2">
        <v>46</v>
      </c>
      <c r="J21840" s="2">
        <v>534</v>
      </c>
      <c r="K21840" s="2">
        <v>1</v>
      </c>
      <c r="L21840" s="2">
        <v>170</v>
      </c>
    </row>
    <row r="21841" spans="1:12" x14ac:dyDescent="0.25">
      <c r="A21841" s="4" t="str">
        <f>HYPERLINK("http://www.rosaceae.org/Prunus/Prunus_persica/p.persica_gdr_reftransV1_0044887","p.persica_gdr_reftransV1_0044887")</f>
        <v>p.persica_gdr_reftransV1_0044887</v>
      </c>
      <c r="B21841" s="2">
        <v>978</v>
      </c>
      <c r="C21841" s="4" t="str">
        <f>HYPERLINK("http://www.uniprot.org/uniprot/M5Y6K9","M5Y6K9")</f>
        <v>M5Y6K9</v>
      </c>
      <c r="D21841" s="2" t="s">
        <v>16236</v>
      </c>
      <c r="E21841" s="3">
        <v>1.01E-97</v>
      </c>
      <c r="F21841" s="2">
        <v>767</v>
      </c>
      <c r="G21841" s="2">
        <v>100</v>
      </c>
      <c r="H21841" s="2">
        <v>219</v>
      </c>
      <c r="I21841" s="2">
        <v>246</v>
      </c>
      <c r="J21841" s="2">
        <v>902</v>
      </c>
      <c r="K21841" s="2">
        <v>1</v>
      </c>
      <c r="L21841" s="2">
        <v>219</v>
      </c>
    </row>
    <row r="21842" spans="1:12" x14ac:dyDescent="0.25">
      <c r="A21842" s="4" t="str">
        <f>HYPERLINK("http://www.rosaceae.org/Prunus/Prunus_persica/p.persica_gdr_reftransV1_0045237","p.persica_gdr_reftransV1_0045237")</f>
        <v>p.persica_gdr_reftransV1_0045237</v>
      </c>
      <c r="B21842" s="2">
        <v>2355</v>
      </c>
      <c r="C21842" s="4" t="str">
        <f>HYPERLINK("http://www.uniprot.org/uniprot/M5X6T3","M5X6T3")</f>
        <v>M5X6T3</v>
      </c>
      <c r="D21842" s="2" t="s">
        <v>14680</v>
      </c>
      <c r="E21842" s="3">
        <v>0</v>
      </c>
      <c r="F21842" s="2">
        <v>2377</v>
      </c>
      <c r="G21842" s="2">
        <v>100</v>
      </c>
      <c r="H21842" s="2">
        <v>608</v>
      </c>
      <c r="I21842" s="2">
        <v>187</v>
      </c>
      <c r="J21842" s="2">
        <v>2010</v>
      </c>
      <c r="K21842" s="2">
        <v>1</v>
      </c>
      <c r="L21842" s="2">
        <v>608</v>
      </c>
    </row>
    <row r="21843" spans="1:12" x14ac:dyDescent="0.25">
      <c r="A21843" s="4" t="str">
        <f>HYPERLINK("http://www.rosaceae.org/Prunus/Prunus_persica/p.persica_gdr_reftransV1_0045587","p.persica_gdr_reftransV1_0045587")</f>
        <v>p.persica_gdr_reftransV1_0045587</v>
      </c>
      <c r="B21843" s="2">
        <v>373</v>
      </c>
      <c r="C21843" s="4" t="str">
        <f>HYPERLINK("http://www.uniprot.org/uniprot/M5VTB4","M5VTB4")</f>
        <v>M5VTB4</v>
      </c>
      <c r="D21843" s="2" t="s">
        <v>16237</v>
      </c>
      <c r="E21843" s="3">
        <v>5.9299999999999999E-42</v>
      </c>
      <c r="F21843" s="2">
        <v>363</v>
      </c>
      <c r="G21843" s="2">
        <v>100</v>
      </c>
      <c r="H21843" s="2">
        <v>69</v>
      </c>
      <c r="I21843" s="2">
        <v>167</v>
      </c>
      <c r="J21843" s="2">
        <v>373</v>
      </c>
      <c r="K21843" s="2">
        <v>1</v>
      </c>
      <c r="L21843" s="2">
        <v>69</v>
      </c>
    </row>
    <row r="21844" spans="1:12" x14ac:dyDescent="0.25">
      <c r="A21844" s="4" t="str">
        <f>HYPERLINK("http://www.rosaceae.org/Prunus/Prunus_persica/p.persica_gdr_reftransV1_0046637","p.persica_gdr_reftransV1_0046637")</f>
        <v>p.persica_gdr_reftransV1_0046637</v>
      </c>
      <c r="B21844" s="2">
        <v>383</v>
      </c>
      <c r="C21844" s="4" t="str">
        <f>HYPERLINK("http://www.uniprot.org/uniprot/M5XJX6","M5XJX6")</f>
        <v>M5XJX6</v>
      </c>
      <c r="D21844" s="2" t="s">
        <v>13709</v>
      </c>
      <c r="E21844" s="3">
        <v>2.0800000000000001E-62</v>
      </c>
      <c r="F21844" s="2">
        <v>546</v>
      </c>
      <c r="G21844" s="2">
        <v>100</v>
      </c>
      <c r="H21844" s="2">
        <v>105</v>
      </c>
      <c r="I21844" s="2">
        <v>1</v>
      </c>
      <c r="J21844" s="2">
        <v>315</v>
      </c>
      <c r="K21844" s="2">
        <v>1</v>
      </c>
      <c r="L21844" s="2">
        <v>105</v>
      </c>
    </row>
    <row r="21845" spans="1:12" x14ac:dyDescent="0.25">
      <c r="A21845" s="4" t="str">
        <f>HYPERLINK("http://www.rosaceae.org/Prunus/Prunus_persica/p.persica_gdr_reftransV1_0046987","p.persica_gdr_reftransV1_0046987")</f>
        <v>p.persica_gdr_reftransV1_0046987</v>
      </c>
      <c r="B21845" s="2">
        <v>1059</v>
      </c>
      <c r="C21845" s="4" t="str">
        <f>HYPERLINK("http://www.uniprot.org/uniprot/M5XD79","M5XD79")</f>
        <v>M5XD79</v>
      </c>
      <c r="D21845" s="2" t="s">
        <v>11517</v>
      </c>
      <c r="E21845" s="3">
        <v>1.2599999999999999E-162</v>
      </c>
      <c r="F21845" s="2">
        <v>1202</v>
      </c>
      <c r="G21845" s="2">
        <v>100</v>
      </c>
      <c r="H21845" s="2">
        <v>238</v>
      </c>
      <c r="I21845" s="2">
        <v>118</v>
      </c>
      <c r="J21845" s="2">
        <v>831</v>
      </c>
      <c r="K21845" s="2">
        <v>22</v>
      </c>
      <c r="L21845" s="2">
        <v>259</v>
      </c>
    </row>
    <row r="21846" spans="1:12" x14ac:dyDescent="0.25">
      <c r="A21846" s="4" t="str">
        <f>HYPERLINK("http://www.rosaceae.org/Prunus/Prunus_persica/p.persica_gdr_reftransV1_0047337","p.persica_gdr_reftransV1_0047337")</f>
        <v>p.persica_gdr_reftransV1_0047337</v>
      </c>
      <c r="B21846" s="2">
        <v>1303</v>
      </c>
      <c r="C21846" s="4" t="str">
        <f>HYPERLINK("http://www.uniprot.org/uniprot/M5VMM7","M5VMM7")</f>
        <v>M5VMM7</v>
      </c>
      <c r="D21846" s="2" t="s">
        <v>16238</v>
      </c>
      <c r="E21846" s="3">
        <v>0</v>
      </c>
      <c r="F21846" s="2">
        <v>1652</v>
      </c>
      <c r="G21846" s="2">
        <v>100</v>
      </c>
      <c r="H21846" s="2">
        <v>316</v>
      </c>
      <c r="I21846" s="2">
        <v>71</v>
      </c>
      <c r="J21846" s="2">
        <v>1018</v>
      </c>
      <c r="K21846" s="2">
        <v>26</v>
      </c>
      <c r="L21846" s="2">
        <v>341</v>
      </c>
    </row>
    <row r="21847" spans="1:12" x14ac:dyDescent="0.25">
      <c r="A21847" s="4" t="str">
        <f>HYPERLINK("http://www.rosaceae.org/Prunus/Prunus_persica/p.persica_gdr_reftransV1_0047687","p.persica_gdr_reftransV1_0047687")</f>
        <v>p.persica_gdr_reftransV1_0047687</v>
      </c>
      <c r="B21847" s="2">
        <v>4178</v>
      </c>
      <c r="C21847" s="4" t="str">
        <f>HYPERLINK("http://www.uniprot.org/uniprot/M5WYU3","M5WYU3")</f>
        <v>M5WYU3</v>
      </c>
      <c r="D21847" s="2" t="s">
        <v>10581</v>
      </c>
      <c r="E21847" s="3">
        <v>0</v>
      </c>
      <c r="F21847" s="2">
        <v>4968</v>
      </c>
      <c r="G21847" s="2">
        <v>100</v>
      </c>
      <c r="H21847" s="2">
        <v>1090</v>
      </c>
      <c r="I21847" s="2">
        <v>722</v>
      </c>
      <c r="J21847" s="2">
        <v>3991</v>
      </c>
      <c r="K21847" s="2">
        <v>1</v>
      </c>
      <c r="L21847" s="2">
        <v>1090</v>
      </c>
    </row>
    <row r="21848" spans="1:12" x14ac:dyDescent="0.25">
      <c r="A21848" s="4" t="str">
        <f>HYPERLINK("http://www.rosaceae.org/Prunus/Prunus_persica/p.persica_gdr_reftransV1_0048037","p.persica_gdr_reftransV1_0048037")</f>
        <v>p.persica_gdr_reftransV1_0048037</v>
      </c>
      <c r="B21848" s="2">
        <v>1792</v>
      </c>
      <c r="C21848" s="4" t="str">
        <f>HYPERLINK("http://www.uniprot.org/uniprot/V4SCN9","V4SCN9")</f>
        <v>V4SCN9</v>
      </c>
      <c r="D21848" s="2" t="s">
        <v>16239</v>
      </c>
      <c r="E21848" s="3">
        <v>0</v>
      </c>
      <c r="F21848" s="2">
        <v>1936</v>
      </c>
      <c r="G21848" s="2">
        <v>76</v>
      </c>
      <c r="H21848" s="2">
        <v>524</v>
      </c>
      <c r="I21848" s="2">
        <v>2</v>
      </c>
      <c r="J21848" s="2">
        <v>1567</v>
      </c>
      <c r="K21848" s="2">
        <v>58</v>
      </c>
      <c r="L21848" s="2">
        <v>581</v>
      </c>
    </row>
    <row r="21849" spans="1:12" x14ac:dyDescent="0.25">
      <c r="A21849" s="4" t="str">
        <f>HYPERLINK("http://www.rosaceae.org/Prunus/Prunus_persica/p.persica_gdr_reftransV1_0048387","p.persica_gdr_reftransV1_0048387")</f>
        <v>p.persica_gdr_reftransV1_0048387</v>
      </c>
      <c r="B21849" s="2">
        <v>350</v>
      </c>
      <c r="C21849" s="4" t="str">
        <f>HYPERLINK("http://www.uniprot.org/uniprot/M5X6S5","M5X6S5")</f>
        <v>M5X6S5</v>
      </c>
      <c r="D21849" s="2" t="s">
        <v>16240</v>
      </c>
      <c r="E21849" s="3">
        <v>1.8799999999999998E-71</v>
      </c>
      <c r="F21849" s="2">
        <v>611</v>
      </c>
      <c r="G21849" s="2">
        <v>99</v>
      </c>
      <c r="H21849" s="2">
        <v>116</v>
      </c>
      <c r="I21849" s="2">
        <v>1</v>
      </c>
      <c r="J21849" s="2">
        <v>348</v>
      </c>
      <c r="K21849" s="2">
        <v>820</v>
      </c>
      <c r="L21849" s="2">
        <v>935</v>
      </c>
    </row>
    <row r="21850" spans="1:12" x14ac:dyDescent="0.25">
      <c r="A21850" s="4" t="str">
        <f>HYPERLINK("http://www.rosaceae.org/Prunus/Prunus_persica/p.persica_gdr_reftransV1_0048737","p.persica_gdr_reftransV1_0048737")</f>
        <v>p.persica_gdr_reftransV1_0048737</v>
      </c>
      <c r="B21850" s="2">
        <v>5037</v>
      </c>
      <c r="C21850" s="4" t="str">
        <f>HYPERLINK("http://www.uniprot.org/uniprot/M5WRY4","M5WRY4")</f>
        <v>M5WRY4</v>
      </c>
      <c r="D21850" s="2" t="s">
        <v>16094</v>
      </c>
      <c r="E21850" s="3">
        <v>0</v>
      </c>
      <c r="F21850" s="2">
        <v>6794</v>
      </c>
      <c r="G21850" s="2">
        <v>100</v>
      </c>
      <c r="H21850" s="2">
        <v>1346</v>
      </c>
      <c r="I21850" s="2">
        <v>577</v>
      </c>
      <c r="J21850" s="2">
        <v>4614</v>
      </c>
      <c r="K21850" s="2">
        <v>1</v>
      </c>
      <c r="L21850" s="2">
        <v>1346</v>
      </c>
    </row>
    <row r="21851" spans="1:12" x14ac:dyDescent="0.25">
      <c r="A21851" s="4" t="str">
        <f>HYPERLINK("http://www.rosaceae.org/Prunus/Prunus_persica/p.persica_gdr_reftransV1_0049087","p.persica_gdr_reftransV1_0049087")</f>
        <v>p.persica_gdr_reftransV1_0049087</v>
      </c>
      <c r="B21851" s="2">
        <v>682</v>
      </c>
      <c r="C21851" s="4" t="str">
        <f>HYPERLINK("http://www.uniprot.org/uniprot/M5XCU0","M5XCU0")</f>
        <v>M5XCU0</v>
      </c>
      <c r="D21851" s="2" t="s">
        <v>8549</v>
      </c>
      <c r="E21851" s="3">
        <v>4.3700000000000002E-160</v>
      </c>
      <c r="F21851" s="2">
        <v>1204</v>
      </c>
      <c r="G21851" s="2">
        <v>100</v>
      </c>
      <c r="H21851" s="2">
        <v>227</v>
      </c>
      <c r="I21851" s="2">
        <v>1</v>
      </c>
      <c r="J21851" s="2">
        <v>681</v>
      </c>
      <c r="K21851" s="2">
        <v>70</v>
      </c>
      <c r="L21851" s="2">
        <v>296</v>
      </c>
    </row>
    <row r="21852" spans="1:12" x14ac:dyDescent="0.25">
      <c r="A21852" s="4" t="str">
        <f>HYPERLINK("http://www.rosaceae.org/Prunus/Prunus_persica/p.persica_gdr_reftransV1_0000088","p.persica_gdr_reftransV1_0000088")</f>
        <v>p.persica_gdr_reftransV1_0000088</v>
      </c>
      <c r="B21852" s="2">
        <v>760</v>
      </c>
      <c r="C21852" s="4" t="str">
        <f>HYPERLINK("http://www.uniprot.org/uniprot/F6HWX4","F6HWX4")</f>
        <v>F6HWX4</v>
      </c>
      <c r="D21852" s="2" t="s">
        <v>16241</v>
      </c>
      <c r="E21852" s="3">
        <v>2.0199999999999999E-128</v>
      </c>
      <c r="F21852" s="2">
        <v>967</v>
      </c>
      <c r="G21852" s="2">
        <v>100</v>
      </c>
      <c r="H21852" s="2">
        <v>176</v>
      </c>
      <c r="I21852" s="2">
        <v>232</v>
      </c>
      <c r="J21852" s="2">
        <v>759</v>
      </c>
      <c r="K21852" s="2">
        <v>79</v>
      </c>
      <c r="L21852" s="2">
        <v>254</v>
      </c>
    </row>
    <row r="21853" spans="1:12" x14ac:dyDescent="0.25">
      <c r="A21853" s="4" t="str">
        <f>HYPERLINK("http://www.rosaceae.org/Prunus/Prunus_persica/p.persica_gdr_reftransV1_0000438","p.persica_gdr_reftransV1_0000438")</f>
        <v>p.persica_gdr_reftransV1_0000438</v>
      </c>
      <c r="B21853" s="2">
        <v>3506</v>
      </c>
      <c r="C21853" s="4" t="str">
        <f>HYPERLINK("http://www.uniprot.org/uniprot/M5WXQ9","M5WXQ9")</f>
        <v>M5WXQ9</v>
      </c>
      <c r="D21853" s="2" t="s">
        <v>9872</v>
      </c>
      <c r="E21853" s="3">
        <v>0</v>
      </c>
      <c r="F21853" s="2">
        <v>5357</v>
      </c>
      <c r="G21853" s="2">
        <v>100</v>
      </c>
      <c r="H21853" s="2">
        <v>1014</v>
      </c>
      <c r="I21853" s="2">
        <v>104</v>
      </c>
      <c r="J21853" s="2">
        <v>3145</v>
      </c>
      <c r="K21853" s="2">
        <v>1</v>
      </c>
      <c r="L21853" s="2">
        <v>1014</v>
      </c>
    </row>
    <row r="21854" spans="1:12" x14ac:dyDescent="0.25">
      <c r="A21854" s="4" t="str">
        <f>HYPERLINK("http://www.rosaceae.org/Prunus/Prunus_persica/p.persica_gdr_reftransV1_0001488","p.persica_gdr_reftransV1_0001488")</f>
        <v>p.persica_gdr_reftransV1_0001488</v>
      </c>
      <c r="B21854" s="2">
        <v>4488</v>
      </c>
      <c r="C21854" s="4" t="str">
        <f>HYPERLINK("http://www.uniprot.org/uniprot/M5XR57","M5XR57")</f>
        <v>M5XR57</v>
      </c>
      <c r="D21854" s="2" t="s">
        <v>15248</v>
      </c>
      <c r="E21854" s="3">
        <v>0</v>
      </c>
      <c r="F21854" s="2">
        <v>6338</v>
      </c>
      <c r="G21854" s="2">
        <v>100</v>
      </c>
      <c r="H21854" s="2">
        <v>1224</v>
      </c>
      <c r="I21854" s="2">
        <v>520</v>
      </c>
      <c r="J21854" s="2">
        <v>4191</v>
      </c>
      <c r="K21854" s="2">
        <v>1</v>
      </c>
      <c r="L21854" s="2">
        <v>1224</v>
      </c>
    </row>
    <row r="21855" spans="1:12" x14ac:dyDescent="0.25">
      <c r="A21855" s="4" t="str">
        <f>HYPERLINK("http://www.rosaceae.org/Prunus/Prunus_persica/p.persica_gdr_reftransV1_0001838","p.persica_gdr_reftransV1_0001838")</f>
        <v>p.persica_gdr_reftransV1_0001838</v>
      </c>
      <c r="B21855" s="2">
        <v>2327</v>
      </c>
      <c r="C21855" s="4" t="str">
        <f>HYPERLINK("http://www.uniprot.org/uniprot/M5XBE6","M5XBE6")</f>
        <v>M5XBE6</v>
      </c>
      <c r="D21855" s="2" t="s">
        <v>12640</v>
      </c>
      <c r="E21855" s="3">
        <v>0</v>
      </c>
      <c r="F21855" s="2">
        <v>2594</v>
      </c>
      <c r="G21855" s="2">
        <v>95</v>
      </c>
      <c r="H21855" s="2">
        <v>576</v>
      </c>
      <c r="I21855" s="2">
        <v>410</v>
      </c>
      <c r="J21855" s="2">
        <v>2128</v>
      </c>
      <c r="K21855" s="2">
        <v>15</v>
      </c>
      <c r="L21855" s="2">
        <v>590</v>
      </c>
    </row>
    <row r="21856" spans="1:12" x14ac:dyDescent="0.25">
      <c r="A21856" s="4" t="str">
        <f>HYPERLINK("http://www.rosaceae.org/Prunus/Prunus_persica/p.persica_gdr_reftransV1_0002188","p.persica_gdr_reftransV1_0002188")</f>
        <v>p.persica_gdr_reftransV1_0002188</v>
      </c>
      <c r="B21856" s="2">
        <v>383</v>
      </c>
      <c r="C21856" s="4" t="str">
        <f>HYPERLINK("http://www.uniprot.org/uniprot/M5XAC3","M5XAC3")</f>
        <v>M5XAC3</v>
      </c>
      <c r="D21856" s="2" t="s">
        <v>16242</v>
      </c>
      <c r="E21856" s="3">
        <v>8.0499999999999998E-76</v>
      </c>
      <c r="F21856" s="2">
        <v>600</v>
      </c>
      <c r="G21856" s="2">
        <v>100</v>
      </c>
      <c r="H21856" s="2">
        <v>114</v>
      </c>
      <c r="I21856" s="2">
        <v>2</v>
      </c>
      <c r="J21856" s="2">
        <v>343</v>
      </c>
      <c r="K21856" s="2">
        <v>105</v>
      </c>
      <c r="L21856" s="2">
        <v>218</v>
      </c>
    </row>
    <row r="21857" spans="1:12" x14ac:dyDescent="0.25">
      <c r="A21857" s="4" t="str">
        <f>HYPERLINK("http://www.rosaceae.org/Prunus/Prunus_persica/p.persica_gdr_reftransV1_0002538","p.persica_gdr_reftransV1_0002538")</f>
        <v>p.persica_gdr_reftransV1_0002538</v>
      </c>
      <c r="B21857" s="2">
        <v>1437</v>
      </c>
      <c r="C21857" s="4" t="str">
        <f>HYPERLINK("http://www.uniprot.org/uniprot/M5X4V3","M5X4V3")</f>
        <v>M5X4V3</v>
      </c>
      <c r="D21857" s="2" t="s">
        <v>8860</v>
      </c>
      <c r="E21857" s="3">
        <v>0</v>
      </c>
      <c r="F21857" s="2">
        <v>1799</v>
      </c>
      <c r="G21857" s="2">
        <v>88</v>
      </c>
      <c r="H21857" s="2">
        <v>403</v>
      </c>
      <c r="I21857" s="2">
        <v>227</v>
      </c>
      <c r="J21857" s="2">
        <v>1435</v>
      </c>
      <c r="K21857" s="2">
        <v>1</v>
      </c>
      <c r="L21857" s="2">
        <v>402</v>
      </c>
    </row>
    <row r="21858" spans="1:12" x14ac:dyDescent="0.25">
      <c r="A21858" s="4" t="str">
        <f>HYPERLINK("http://www.rosaceae.org/Prunus/Prunus_persica/p.persica_gdr_reftransV1_0002888","p.persica_gdr_reftransV1_0002888")</f>
        <v>p.persica_gdr_reftransV1_0002888</v>
      </c>
      <c r="B21858" s="2">
        <v>2171</v>
      </c>
      <c r="C21858" s="4" t="str">
        <f>HYPERLINK("http://www.uniprot.org/uniprot/M5XDU4","M5XDU4")</f>
        <v>M5XDU4</v>
      </c>
      <c r="D21858" s="2" t="s">
        <v>16243</v>
      </c>
      <c r="E21858" s="3">
        <v>0</v>
      </c>
      <c r="F21858" s="2">
        <v>2854</v>
      </c>
      <c r="G21858" s="2">
        <v>100</v>
      </c>
      <c r="H21858" s="2">
        <v>563</v>
      </c>
      <c r="I21858" s="2">
        <v>153</v>
      </c>
      <c r="J21858" s="2">
        <v>1841</v>
      </c>
      <c r="K21858" s="2">
        <v>1</v>
      </c>
      <c r="L21858" s="2">
        <v>563</v>
      </c>
    </row>
    <row r="21859" spans="1:12" x14ac:dyDescent="0.25">
      <c r="A21859" s="4" t="str">
        <f>HYPERLINK("http://www.rosaceae.org/Prunus/Prunus_persica/p.persica_gdr_reftransV1_0003238","p.persica_gdr_reftransV1_0003238")</f>
        <v>p.persica_gdr_reftransV1_0003238</v>
      </c>
      <c r="B21859" s="2">
        <v>1019</v>
      </c>
      <c r="C21859" s="4" t="str">
        <f>HYPERLINK("http://www.uniprot.org/uniprot/X2G6I9","X2G6I9")</f>
        <v>X2G6I9</v>
      </c>
      <c r="D21859" s="2" t="s">
        <v>4141</v>
      </c>
      <c r="E21859" s="3">
        <v>0</v>
      </c>
      <c r="F21859" s="2">
        <v>1746</v>
      </c>
      <c r="G21859" s="2">
        <v>100</v>
      </c>
      <c r="H21859" s="2">
        <v>339</v>
      </c>
      <c r="I21859" s="2">
        <v>1</v>
      </c>
      <c r="J21859" s="2">
        <v>1017</v>
      </c>
      <c r="K21859" s="2">
        <v>1903</v>
      </c>
      <c r="L21859" s="2">
        <v>2241</v>
      </c>
    </row>
    <row r="21860" spans="1:12" x14ac:dyDescent="0.25">
      <c r="A21860" s="4" t="str">
        <f>HYPERLINK("http://www.rosaceae.org/Prunus/Prunus_persica/p.persica_gdr_reftransV1_0003938","p.persica_gdr_reftransV1_0003938")</f>
        <v>p.persica_gdr_reftransV1_0003938</v>
      </c>
      <c r="B21860" s="2">
        <v>1480</v>
      </c>
      <c r="C21860" s="4" t="str">
        <f>HYPERLINK("http://www.uniprot.org/uniprot/M5XEN9","M5XEN9")</f>
        <v>M5XEN9</v>
      </c>
      <c r="D21860" s="2" t="s">
        <v>16244</v>
      </c>
      <c r="E21860" s="3">
        <v>0</v>
      </c>
      <c r="F21860" s="2">
        <v>1459</v>
      </c>
      <c r="G21860" s="2">
        <v>100</v>
      </c>
      <c r="H21860" s="2">
        <v>298</v>
      </c>
      <c r="I21860" s="2">
        <v>347</v>
      </c>
      <c r="J21860" s="2">
        <v>1240</v>
      </c>
      <c r="K21860" s="2">
        <v>1</v>
      </c>
      <c r="L21860" s="2">
        <v>298</v>
      </c>
    </row>
    <row r="21861" spans="1:12" x14ac:dyDescent="0.25">
      <c r="A21861" s="4" t="str">
        <f>HYPERLINK("http://www.rosaceae.org/Prunus/Prunus_persica/p.persica_gdr_reftransV1_0004288","p.persica_gdr_reftransV1_0004288")</f>
        <v>p.persica_gdr_reftransV1_0004288</v>
      </c>
      <c r="B21861" s="2">
        <v>1057</v>
      </c>
      <c r="C21861" s="4" t="str">
        <f>HYPERLINK("http://www.uniprot.org/uniprot/B6CQR8","B6CQR8")</f>
        <v>B6CQR8</v>
      </c>
      <c r="D21861" s="2" t="s">
        <v>497</v>
      </c>
      <c r="E21861" s="3">
        <v>1.3700000000000001E-106</v>
      </c>
      <c r="F21861" s="2">
        <v>822</v>
      </c>
      <c r="G21861" s="2">
        <v>100</v>
      </c>
      <c r="H21861" s="2">
        <v>160</v>
      </c>
      <c r="I21861" s="2">
        <v>365</v>
      </c>
      <c r="J21861" s="2">
        <v>844</v>
      </c>
      <c r="K21861" s="2">
        <v>1</v>
      </c>
      <c r="L21861" s="2">
        <v>160</v>
      </c>
    </row>
    <row r="21862" spans="1:12" x14ac:dyDescent="0.25">
      <c r="A21862" s="4" t="str">
        <f>HYPERLINK("http://www.rosaceae.org/Prunus/Prunus_persica/p.persica_gdr_reftransV1_0004638","p.persica_gdr_reftransV1_0004638")</f>
        <v>p.persica_gdr_reftransV1_0004638</v>
      </c>
      <c r="B21862" s="2">
        <v>1697</v>
      </c>
      <c r="C21862" s="4" t="str">
        <f>HYPERLINK("http://www.uniprot.org/uniprot/M5XEE4","M5XEE4")</f>
        <v>M5XEE4</v>
      </c>
      <c r="D21862" s="2" t="s">
        <v>7862</v>
      </c>
      <c r="E21862" s="3">
        <v>3.3799999999999998E-113</v>
      </c>
      <c r="F21862" s="2">
        <v>907</v>
      </c>
      <c r="G21862" s="2">
        <v>100</v>
      </c>
      <c r="H21862" s="2">
        <v>199</v>
      </c>
      <c r="I21862" s="2">
        <v>198</v>
      </c>
      <c r="J21862" s="2">
        <v>794</v>
      </c>
      <c r="K21862" s="2">
        <v>184</v>
      </c>
      <c r="L21862" s="2">
        <v>382</v>
      </c>
    </row>
    <row r="21863" spans="1:12" x14ac:dyDescent="0.25">
      <c r="A21863" s="4" t="str">
        <f>HYPERLINK("http://www.rosaceae.org/Prunus/Prunus_persica/p.persica_gdr_reftransV1_0004988","p.persica_gdr_reftransV1_0004988")</f>
        <v>p.persica_gdr_reftransV1_0004988</v>
      </c>
      <c r="B21863" s="2">
        <v>1044</v>
      </c>
      <c r="C21863" s="4" t="str">
        <f>HYPERLINK("http://www.uniprot.org/uniprot/M5WF32","M5WF32")</f>
        <v>M5WF32</v>
      </c>
      <c r="D21863" s="2" t="s">
        <v>1758</v>
      </c>
      <c r="E21863" s="3">
        <v>0</v>
      </c>
      <c r="F21863" s="2">
        <v>1734</v>
      </c>
      <c r="G21863" s="2">
        <v>100</v>
      </c>
      <c r="H21863" s="2">
        <v>348</v>
      </c>
      <c r="I21863" s="2">
        <v>1</v>
      </c>
      <c r="J21863" s="2">
        <v>1044</v>
      </c>
      <c r="K21863" s="2">
        <v>376</v>
      </c>
      <c r="L21863" s="2">
        <v>723</v>
      </c>
    </row>
    <row r="21864" spans="1:12" x14ac:dyDescent="0.25">
      <c r="A21864" s="4" t="str">
        <f>HYPERLINK("http://www.rosaceae.org/Prunus/Prunus_persica/p.persica_gdr_reftransV1_0005338","p.persica_gdr_reftransV1_0005338")</f>
        <v>p.persica_gdr_reftransV1_0005338</v>
      </c>
      <c r="B21864" s="2">
        <v>2344</v>
      </c>
      <c r="C21864" s="4" t="str">
        <f>HYPERLINK("http://www.uniprot.org/uniprot/M5WS21","M5WS21")</f>
        <v>M5WS21</v>
      </c>
      <c r="D21864" s="2" t="s">
        <v>13521</v>
      </c>
      <c r="E21864" s="3">
        <v>0</v>
      </c>
      <c r="F21864" s="2">
        <v>3130</v>
      </c>
      <c r="G21864" s="2">
        <v>100</v>
      </c>
      <c r="H21864" s="2">
        <v>614</v>
      </c>
      <c r="I21864" s="2">
        <v>47</v>
      </c>
      <c r="J21864" s="2">
        <v>1888</v>
      </c>
      <c r="K21864" s="2">
        <v>1</v>
      </c>
      <c r="L21864" s="2">
        <v>614</v>
      </c>
    </row>
    <row r="21865" spans="1:12" x14ac:dyDescent="0.25">
      <c r="A21865" s="4" t="str">
        <f>HYPERLINK("http://www.rosaceae.org/Prunus/Prunus_persica/p.persica_gdr_reftransV1_0005688","p.persica_gdr_reftransV1_0005688")</f>
        <v>p.persica_gdr_reftransV1_0005688</v>
      </c>
      <c r="B21865" s="2">
        <v>732</v>
      </c>
      <c r="C21865" s="4" t="str">
        <f>HYPERLINK("http://www.uniprot.org/uniprot/M5W5I5","M5W5I5")</f>
        <v>M5W5I5</v>
      </c>
      <c r="D21865" s="2" t="s">
        <v>16245</v>
      </c>
      <c r="E21865" s="3">
        <v>5.1E-126</v>
      </c>
      <c r="F21865" s="2">
        <v>956</v>
      </c>
      <c r="G21865" s="2">
        <v>100</v>
      </c>
      <c r="H21865" s="2">
        <v>233</v>
      </c>
      <c r="I21865" s="2">
        <v>2</v>
      </c>
      <c r="J21865" s="2">
        <v>700</v>
      </c>
      <c r="K21865" s="2">
        <v>101</v>
      </c>
      <c r="L21865" s="2">
        <v>333</v>
      </c>
    </row>
    <row r="21866" spans="1:12" x14ac:dyDescent="0.25">
      <c r="A21866" s="4" t="str">
        <f>HYPERLINK("http://www.rosaceae.org/Prunus/Prunus_persica/p.persica_gdr_reftransV1_0006388","p.persica_gdr_reftransV1_0006388")</f>
        <v>p.persica_gdr_reftransV1_0006388</v>
      </c>
      <c r="B21866" s="2">
        <v>845</v>
      </c>
      <c r="C21866" s="4" t="str">
        <f>HYPERLINK("http://www.uniprot.org/uniprot/M5W558","M5W558")</f>
        <v>M5W558</v>
      </c>
      <c r="D21866" s="2" t="s">
        <v>16246</v>
      </c>
      <c r="E21866" s="3">
        <v>1.12E-140</v>
      </c>
      <c r="F21866" s="2">
        <v>1048</v>
      </c>
      <c r="G21866" s="2">
        <v>100</v>
      </c>
      <c r="H21866" s="2">
        <v>239</v>
      </c>
      <c r="I21866" s="2">
        <v>67</v>
      </c>
      <c r="J21866" s="2">
        <v>783</v>
      </c>
      <c r="K21866" s="2">
        <v>1</v>
      </c>
      <c r="L21866" s="2">
        <v>239</v>
      </c>
    </row>
    <row r="21867" spans="1:12" x14ac:dyDescent="0.25">
      <c r="A21867" s="4" t="str">
        <f>HYPERLINK("http://www.rosaceae.org/Prunus/Prunus_persica/p.persica_gdr_reftransV1_0006738","p.persica_gdr_reftransV1_0006738")</f>
        <v>p.persica_gdr_reftransV1_0006738</v>
      </c>
      <c r="B21867" s="2">
        <v>669</v>
      </c>
      <c r="C21867" s="4" t="str">
        <f>HYPERLINK("http://www.uniprot.org/uniprot/M5W8N0","M5W8N0")</f>
        <v>M5W8N0</v>
      </c>
      <c r="D21867" s="2" t="s">
        <v>7356</v>
      </c>
      <c r="E21867" s="3">
        <v>3.9399999999999998E-150</v>
      </c>
      <c r="F21867" s="2">
        <v>1176</v>
      </c>
      <c r="G21867" s="2">
        <v>100</v>
      </c>
      <c r="H21867" s="2">
        <v>223</v>
      </c>
      <c r="I21867" s="2">
        <v>1</v>
      </c>
      <c r="J21867" s="2">
        <v>669</v>
      </c>
      <c r="K21867" s="2">
        <v>126</v>
      </c>
      <c r="L21867" s="2">
        <v>348</v>
      </c>
    </row>
    <row r="21868" spans="1:12" x14ac:dyDescent="0.25">
      <c r="A21868" s="4" t="str">
        <f>HYPERLINK("http://www.rosaceae.org/Prunus/Prunus_persica/p.persica_gdr_reftransV1_0007088","p.persica_gdr_reftransV1_0007088")</f>
        <v>p.persica_gdr_reftransV1_0007088</v>
      </c>
      <c r="B21868" s="2">
        <v>965</v>
      </c>
      <c r="C21868" s="4" t="str">
        <f>HYPERLINK("http://www.uniprot.org/uniprot/M5W2T2","M5W2T2")</f>
        <v>M5W2T2</v>
      </c>
      <c r="D21868" s="2" t="s">
        <v>16247</v>
      </c>
      <c r="E21868" s="3">
        <v>0</v>
      </c>
      <c r="F21868" s="2">
        <v>1394</v>
      </c>
      <c r="G21868" s="2">
        <v>100</v>
      </c>
      <c r="H21868" s="2">
        <v>277</v>
      </c>
      <c r="I21868" s="2">
        <v>71</v>
      </c>
      <c r="J21868" s="2">
        <v>901</v>
      </c>
      <c r="K21868" s="2">
        <v>112</v>
      </c>
      <c r="L21868" s="2">
        <v>388</v>
      </c>
    </row>
    <row r="21869" spans="1:12" x14ac:dyDescent="0.25">
      <c r="A21869" s="4" t="str">
        <f>HYPERLINK("http://www.rosaceae.org/Prunus/Prunus_persica/p.persica_gdr_reftransV1_0007438","p.persica_gdr_reftransV1_0007438")</f>
        <v>p.persica_gdr_reftransV1_0007438</v>
      </c>
      <c r="B21869" s="2">
        <v>1316</v>
      </c>
      <c r="C21869" s="4" t="str">
        <f>HYPERLINK("http://www.uniprot.org/uniprot/M5WH53","M5WH53")</f>
        <v>M5WH53</v>
      </c>
      <c r="D21869" s="2" t="s">
        <v>7459</v>
      </c>
      <c r="E21869" s="3">
        <v>0</v>
      </c>
      <c r="F21869" s="2">
        <v>1658</v>
      </c>
      <c r="G21869" s="2">
        <v>100</v>
      </c>
      <c r="H21869" s="2">
        <v>309</v>
      </c>
      <c r="I21869" s="2">
        <v>388</v>
      </c>
      <c r="J21869" s="2">
        <v>1314</v>
      </c>
      <c r="K21869" s="2">
        <v>194</v>
      </c>
      <c r="L21869" s="2">
        <v>502</v>
      </c>
    </row>
    <row r="21870" spans="1:12" x14ac:dyDescent="0.25">
      <c r="A21870" s="4" t="str">
        <f>HYPERLINK("http://www.rosaceae.org/Prunus/Prunus_persica/p.persica_gdr_reftransV1_0008488","p.persica_gdr_reftransV1_0008488")</f>
        <v>p.persica_gdr_reftransV1_0008488</v>
      </c>
      <c r="B21870" s="2">
        <v>836</v>
      </c>
      <c r="C21870" s="4" t="str">
        <f>HYPERLINK("http://www.uniprot.org/uniprot/M5WJ76","M5WJ76")</f>
        <v>M5WJ76</v>
      </c>
      <c r="D21870" s="2" t="s">
        <v>3649</v>
      </c>
      <c r="E21870" s="3">
        <v>1.43E-11</v>
      </c>
      <c r="F21870" s="2">
        <v>172</v>
      </c>
      <c r="G21870" s="2">
        <v>40</v>
      </c>
      <c r="H21870" s="2">
        <v>102</v>
      </c>
      <c r="I21870" s="2">
        <v>313</v>
      </c>
      <c r="J21870" s="2">
        <v>588</v>
      </c>
      <c r="K21870" s="2">
        <v>1370</v>
      </c>
      <c r="L21870" s="2">
        <v>1468</v>
      </c>
    </row>
    <row r="21871" spans="1:12" x14ac:dyDescent="0.25">
      <c r="A21871" s="4" t="str">
        <f>HYPERLINK("http://www.rosaceae.org/Prunus/Prunus_persica/p.persica_gdr_reftransV1_0009188","p.persica_gdr_reftransV1_0009188")</f>
        <v>p.persica_gdr_reftransV1_0009188</v>
      </c>
      <c r="B21871" s="2">
        <v>583</v>
      </c>
      <c r="C21871" s="4" t="str">
        <f>HYPERLINK("http://www.uniprot.org/uniprot/M5XVJ8","M5XVJ8")</f>
        <v>M5XVJ8</v>
      </c>
      <c r="D21871" s="2" t="s">
        <v>1699</v>
      </c>
      <c r="E21871" s="3">
        <v>1.7200000000000001E-66</v>
      </c>
      <c r="F21871" s="2">
        <v>575</v>
      </c>
      <c r="G21871" s="2">
        <v>100</v>
      </c>
      <c r="H21871" s="2">
        <v>122</v>
      </c>
      <c r="I21871" s="2">
        <v>216</v>
      </c>
      <c r="J21871" s="2">
        <v>581</v>
      </c>
      <c r="K21871" s="2">
        <v>1</v>
      </c>
      <c r="L21871" s="2">
        <v>122</v>
      </c>
    </row>
    <row r="21872" spans="1:12" x14ac:dyDescent="0.25">
      <c r="A21872" s="4" t="str">
        <f>HYPERLINK("http://www.rosaceae.org/Prunus/Prunus_persica/p.persica_gdr_reftransV1_0010238","p.persica_gdr_reftransV1_0010238")</f>
        <v>p.persica_gdr_reftransV1_0010238</v>
      </c>
      <c r="B21872" s="2">
        <v>2314</v>
      </c>
      <c r="C21872" s="4" t="str">
        <f>HYPERLINK("http://www.uniprot.org/uniprot/M5W9G5","M5W9G5")</f>
        <v>M5W9G5</v>
      </c>
      <c r="D21872" s="2" t="s">
        <v>16248</v>
      </c>
      <c r="E21872" s="3">
        <v>0</v>
      </c>
      <c r="F21872" s="2">
        <v>1277</v>
      </c>
      <c r="G21872" s="2">
        <v>100</v>
      </c>
      <c r="H21872" s="2">
        <v>246</v>
      </c>
      <c r="I21872" s="2">
        <v>856</v>
      </c>
      <c r="J21872" s="2">
        <v>1593</v>
      </c>
      <c r="K21872" s="2">
        <v>181</v>
      </c>
      <c r="L21872" s="2">
        <v>426</v>
      </c>
    </row>
    <row r="21873" spans="1:12" x14ac:dyDescent="0.25">
      <c r="A21873" s="4" t="str">
        <f>HYPERLINK("http://www.rosaceae.org/Prunus/Prunus_persica/p.persica_gdr_reftransV1_0010938","p.persica_gdr_reftransV1_0010938")</f>
        <v>p.persica_gdr_reftransV1_0010938</v>
      </c>
      <c r="B21873" s="2">
        <v>1475</v>
      </c>
      <c r="C21873" s="4" t="str">
        <f>HYPERLINK("http://www.uniprot.org/uniprot/B9T2B3","B9T2B3")</f>
        <v>B9T2B3</v>
      </c>
      <c r="D21873" s="2" t="s">
        <v>16249</v>
      </c>
      <c r="E21873" s="3">
        <v>0</v>
      </c>
      <c r="F21873" s="2">
        <v>1936</v>
      </c>
      <c r="G21873" s="2">
        <v>84</v>
      </c>
      <c r="H21873" s="2">
        <v>421</v>
      </c>
      <c r="I21873" s="2">
        <v>2</v>
      </c>
      <c r="J21873" s="2">
        <v>1264</v>
      </c>
      <c r="K21873" s="2">
        <v>1</v>
      </c>
      <c r="L21873" s="2">
        <v>421</v>
      </c>
    </row>
    <row r="21874" spans="1:12" x14ac:dyDescent="0.25">
      <c r="A21874" s="4" t="str">
        <f>HYPERLINK("http://www.rosaceae.org/Prunus/Prunus_persica/p.persica_gdr_reftransV1_0011988","p.persica_gdr_reftransV1_0011988")</f>
        <v>p.persica_gdr_reftransV1_0011988</v>
      </c>
      <c r="B21874" s="2">
        <v>526</v>
      </c>
      <c r="C21874" s="4" t="str">
        <f>HYPERLINK("http://www.uniprot.org/uniprot/M5W8V4","M5W8V4")</f>
        <v>M5W8V4</v>
      </c>
      <c r="D21874" s="2" t="s">
        <v>13829</v>
      </c>
      <c r="E21874" s="3">
        <v>2.1699999999999999E-58</v>
      </c>
      <c r="F21874" s="2">
        <v>518</v>
      </c>
      <c r="G21874" s="2">
        <v>100</v>
      </c>
      <c r="H21874" s="2">
        <v>155</v>
      </c>
      <c r="I21874" s="2">
        <v>62</v>
      </c>
      <c r="J21874" s="2">
        <v>526</v>
      </c>
      <c r="K21874" s="2">
        <v>12</v>
      </c>
      <c r="L21874" s="2">
        <v>166</v>
      </c>
    </row>
    <row r="21875" spans="1:12" x14ac:dyDescent="0.25">
      <c r="A21875" s="4" t="str">
        <f>HYPERLINK("http://www.rosaceae.org/Prunus/Prunus_persica/p.persica_gdr_reftransV1_0012338","p.persica_gdr_reftransV1_0012338")</f>
        <v>p.persica_gdr_reftransV1_0012338</v>
      </c>
      <c r="B21875" s="2">
        <v>1224</v>
      </c>
      <c r="C21875" s="4" t="str">
        <f>HYPERLINK("http://www.uniprot.org/uniprot/M5X1H0","M5X1H0")</f>
        <v>M5X1H0</v>
      </c>
      <c r="D21875" s="2" t="s">
        <v>16250</v>
      </c>
      <c r="E21875" s="3">
        <v>5.82E-168</v>
      </c>
      <c r="F21875" s="2">
        <v>1247</v>
      </c>
      <c r="G21875" s="2">
        <v>100</v>
      </c>
      <c r="H21875" s="2">
        <v>297</v>
      </c>
      <c r="I21875" s="2">
        <v>226</v>
      </c>
      <c r="J21875" s="2">
        <v>1116</v>
      </c>
      <c r="K21875" s="2">
        <v>1</v>
      </c>
      <c r="L21875" s="2">
        <v>297</v>
      </c>
    </row>
    <row r="21876" spans="1:12" x14ac:dyDescent="0.25">
      <c r="A21876" s="4" t="str">
        <f>HYPERLINK("http://www.rosaceae.org/Prunus/Prunus_persica/p.persica_gdr_reftransV1_0012688","p.persica_gdr_reftransV1_0012688")</f>
        <v>p.persica_gdr_reftransV1_0012688</v>
      </c>
      <c r="B21876" s="2">
        <v>5216</v>
      </c>
      <c r="C21876" s="4" t="str">
        <f>HYPERLINK("http://www.uniprot.org/uniprot/M5X6F1","M5X6F1")</f>
        <v>M5X6F1</v>
      </c>
      <c r="D21876" s="2" t="s">
        <v>16251</v>
      </c>
      <c r="E21876" s="3">
        <v>0</v>
      </c>
      <c r="F21876" s="2">
        <v>7534</v>
      </c>
      <c r="G21876" s="2">
        <v>100</v>
      </c>
      <c r="H21876" s="2">
        <v>1459</v>
      </c>
      <c r="I21876" s="2">
        <v>599</v>
      </c>
      <c r="J21876" s="2">
        <v>4975</v>
      </c>
      <c r="K21876" s="2">
        <v>1</v>
      </c>
      <c r="L21876" s="2">
        <v>1459</v>
      </c>
    </row>
    <row r="21877" spans="1:12" x14ac:dyDescent="0.25">
      <c r="A21877" s="4" t="str">
        <f>HYPERLINK("http://www.rosaceae.org/Prunus/Prunus_persica/p.persica_gdr_reftransV1_0013388","p.persica_gdr_reftransV1_0013388")</f>
        <v>p.persica_gdr_reftransV1_0013388</v>
      </c>
      <c r="B21877" s="2">
        <v>1254</v>
      </c>
      <c r="C21877" s="4" t="str">
        <f>HYPERLINK("http://www.uniprot.org/uniprot/M5WRU0","M5WRU0")</f>
        <v>M5WRU0</v>
      </c>
      <c r="D21877" s="2" t="s">
        <v>13001</v>
      </c>
      <c r="E21877" s="3">
        <v>0</v>
      </c>
      <c r="F21877" s="2">
        <v>2099</v>
      </c>
      <c r="G21877" s="2">
        <v>94</v>
      </c>
      <c r="H21877" s="2">
        <v>418</v>
      </c>
      <c r="I21877" s="2">
        <v>1</v>
      </c>
      <c r="J21877" s="2">
        <v>1254</v>
      </c>
      <c r="K21877" s="2">
        <v>166</v>
      </c>
      <c r="L21877" s="2">
        <v>560</v>
      </c>
    </row>
    <row r="21878" spans="1:12" x14ac:dyDescent="0.25">
      <c r="A21878" s="4" t="str">
        <f>HYPERLINK("http://www.rosaceae.org/Prunus/Prunus_persica/p.persica_gdr_reftransV1_0015138","p.persica_gdr_reftransV1_0015138")</f>
        <v>p.persica_gdr_reftransV1_0015138</v>
      </c>
      <c r="B21878" s="2">
        <v>519</v>
      </c>
      <c r="C21878" s="4" t="str">
        <f>HYPERLINK("http://www.uniprot.org/uniprot/M5VIU4","M5VIU4")</f>
        <v>M5VIU4</v>
      </c>
      <c r="D21878" s="2" t="s">
        <v>9000</v>
      </c>
      <c r="E21878" s="3">
        <v>3.92E-69</v>
      </c>
      <c r="F21878" s="2">
        <v>586</v>
      </c>
      <c r="G21878" s="2">
        <v>100</v>
      </c>
      <c r="H21878" s="2">
        <v>136</v>
      </c>
      <c r="I21878" s="2">
        <v>112</v>
      </c>
      <c r="J21878" s="2">
        <v>519</v>
      </c>
      <c r="K21878" s="2">
        <v>11</v>
      </c>
      <c r="L21878" s="2">
        <v>146</v>
      </c>
    </row>
    <row r="21879" spans="1:12" x14ac:dyDescent="0.25">
      <c r="A21879" s="4" t="str">
        <f>HYPERLINK("http://www.rosaceae.org/Prunus/Prunus_persica/p.persica_gdr_reftransV1_0016188","p.persica_gdr_reftransV1_0016188")</f>
        <v>p.persica_gdr_reftransV1_0016188</v>
      </c>
      <c r="B21879" s="2">
        <v>1376</v>
      </c>
      <c r="C21879" s="4" t="str">
        <f>HYPERLINK("http://www.uniprot.org/uniprot/M5XG47","M5XG47")</f>
        <v>M5XG47</v>
      </c>
      <c r="D21879" s="2" t="s">
        <v>11500</v>
      </c>
      <c r="E21879" s="3">
        <v>2.09E-70</v>
      </c>
      <c r="F21879" s="2">
        <v>553</v>
      </c>
      <c r="G21879" s="2">
        <v>95</v>
      </c>
      <c r="H21879" s="2">
        <v>111</v>
      </c>
      <c r="I21879" s="2">
        <v>338</v>
      </c>
      <c r="J21879" s="2">
        <v>670</v>
      </c>
      <c r="K21879" s="2">
        <v>120</v>
      </c>
      <c r="L21879" s="2">
        <v>230</v>
      </c>
    </row>
    <row r="21880" spans="1:12" x14ac:dyDescent="0.25">
      <c r="A21880" s="4" t="str">
        <f>HYPERLINK("http://www.rosaceae.org/Prunus/Prunus_persica/p.persica_gdr_reftransV1_0018288","p.persica_gdr_reftransV1_0018288")</f>
        <v>p.persica_gdr_reftransV1_0018288</v>
      </c>
      <c r="B21880" s="2">
        <v>843</v>
      </c>
      <c r="C21880" s="4" t="str">
        <f>HYPERLINK("http://www.uniprot.org/uniprot/M5X3C3","M5X3C3")</f>
        <v>M5X3C3</v>
      </c>
      <c r="D21880" s="2" t="s">
        <v>2115</v>
      </c>
      <c r="E21880" s="3">
        <v>1.34E-51</v>
      </c>
      <c r="F21880" s="2">
        <v>488</v>
      </c>
      <c r="G21880" s="2">
        <v>88</v>
      </c>
      <c r="H21880" s="2">
        <v>104</v>
      </c>
      <c r="I21880" s="2">
        <v>531</v>
      </c>
      <c r="J21880" s="2">
        <v>842</v>
      </c>
      <c r="K21880" s="2">
        <v>65</v>
      </c>
      <c r="L21880" s="2">
        <v>168</v>
      </c>
    </row>
    <row r="21881" spans="1:12" x14ac:dyDescent="0.25">
      <c r="A21881" s="4" t="str">
        <f>HYPERLINK("http://www.rosaceae.org/Prunus/Prunus_persica/p.persica_gdr_reftransV1_0019688","p.persica_gdr_reftransV1_0019688")</f>
        <v>p.persica_gdr_reftransV1_0019688</v>
      </c>
      <c r="B21881" s="2">
        <v>1440</v>
      </c>
      <c r="C21881" s="4" t="str">
        <f>HYPERLINK("http://www.uniprot.org/uniprot/M5XCL9","M5XCL9")</f>
        <v>M5XCL9</v>
      </c>
      <c r="D21881" s="2" t="s">
        <v>4925</v>
      </c>
      <c r="E21881" s="3">
        <v>1.2899999999999999E-109</v>
      </c>
      <c r="F21881" s="2">
        <v>866</v>
      </c>
      <c r="G21881" s="2">
        <v>100</v>
      </c>
      <c r="H21881" s="2">
        <v>210</v>
      </c>
      <c r="I21881" s="2">
        <v>83</v>
      </c>
      <c r="J21881" s="2">
        <v>712</v>
      </c>
      <c r="K21881" s="2">
        <v>1</v>
      </c>
      <c r="L21881" s="2">
        <v>210</v>
      </c>
    </row>
    <row r="21882" spans="1:12" x14ac:dyDescent="0.25">
      <c r="A21882" s="4" t="str">
        <f>HYPERLINK("http://www.rosaceae.org/Prunus/Prunus_persica/p.persica_gdr_reftransV1_0021438","p.persica_gdr_reftransV1_0021438")</f>
        <v>p.persica_gdr_reftransV1_0021438</v>
      </c>
      <c r="B21882" s="2">
        <v>2108</v>
      </c>
      <c r="C21882" s="4" t="str">
        <f>HYPERLINK("http://www.uniprot.org/uniprot/A0A0D2PQ15","A0A0D2PQ15")</f>
        <v>A0A0D2PQ15</v>
      </c>
      <c r="D21882" s="2" t="s">
        <v>16252</v>
      </c>
      <c r="E21882" s="3">
        <v>1.4199999999999999E-169</v>
      </c>
      <c r="F21882" s="2">
        <v>868</v>
      </c>
      <c r="G21882" s="2">
        <v>74</v>
      </c>
      <c r="H21882" s="2">
        <v>224</v>
      </c>
      <c r="I21882" s="2">
        <v>268</v>
      </c>
      <c r="J21882" s="2">
        <v>930</v>
      </c>
      <c r="K21882" s="2">
        <v>194</v>
      </c>
      <c r="L21882" s="2">
        <v>417</v>
      </c>
    </row>
    <row r="21883" spans="1:12" x14ac:dyDescent="0.25">
      <c r="A21883" s="4" t="str">
        <f>HYPERLINK("http://www.rosaceae.org/Prunus/Prunus_persica/p.persica_gdr_reftransV1_0023188","p.persica_gdr_reftransV1_0023188")</f>
        <v>p.persica_gdr_reftransV1_0023188</v>
      </c>
      <c r="B21883" s="2">
        <v>3792</v>
      </c>
      <c r="C21883" s="4" t="str">
        <f>HYPERLINK("http://www.uniprot.org/uniprot/M5VNW6","M5VNW6")</f>
        <v>M5VNW6</v>
      </c>
      <c r="D21883" s="2" t="s">
        <v>8087</v>
      </c>
      <c r="E21883" s="3">
        <v>7.4099999999999996E-175</v>
      </c>
      <c r="F21883" s="2">
        <v>1398</v>
      </c>
      <c r="G21883" s="2">
        <v>100</v>
      </c>
      <c r="H21883" s="2">
        <v>291</v>
      </c>
      <c r="I21883" s="2">
        <v>326</v>
      </c>
      <c r="J21883" s="2">
        <v>1198</v>
      </c>
      <c r="K21883" s="2">
        <v>1</v>
      </c>
      <c r="L21883" s="2">
        <v>291</v>
      </c>
    </row>
    <row r="21884" spans="1:12" x14ac:dyDescent="0.25">
      <c r="A21884" s="4" t="str">
        <f>HYPERLINK("http://www.rosaceae.org/Prunus/Prunus_persica/p.persica_gdr_reftransV1_0024938","p.persica_gdr_reftransV1_0024938")</f>
        <v>p.persica_gdr_reftransV1_0024938</v>
      </c>
      <c r="B21884" s="2">
        <v>1162</v>
      </c>
      <c r="C21884" s="4" t="str">
        <f>HYPERLINK("http://www.uniprot.org/uniprot/M5W0F7","M5W0F7")</f>
        <v>M5W0F7</v>
      </c>
      <c r="D21884" s="2" t="s">
        <v>16253</v>
      </c>
      <c r="E21884" s="3">
        <v>3.5900000000000002E-136</v>
      </c>
      <c r="F21884" s="2">
        <v>1027</v>
      </c>
      <c r="G21884" s="2">
        <v>88</v>
      </c>
      <c r="H21884" s="2">
        <v>248</v>
      </c>
      <c r="I21884" s="2">
        <v>35</v>
      </c>
      <c r="J21884" s="2">
        <v>778</v>
      </c>
      <c r="K21884" s="2">
        <v>1</v>
      </c>
      <c r="L21884" s="2">
        <v>218</v>
      </c>
    </row>
    <row r="21885" spans="1:12" x14ac:dyDescent="0.25">
      <c r="A21885" s="4" t="str">
        <f>HYPERLINK("http://www.rosaceae.org/Prunus/Prunus_persica/p.persica_gdr_reftransV1_0026338","p.persica_gdr_reftransV1_0026338")</f>
        <v>p.persica_gdr_reftransV1_0026338</v>
      </c>
      <c r="B21885" s="2">
        <v>867</v>
      </c>
      <c r="C21885" s="4" t="str">
        <f>HYPERLINK("http://www.uniprot.org/uniprot/M5XT68","M5XT68")</f>
        <v>M5XT68</v>
      </c>
      <c r="D21885" s="2" t="s">
        <v>16254</v>
      </c>
      <c r="E21885" s="3">
        <v>2.1700000000000001E-92</v>
      </c>
      <c r="F21885" s="2">
        <v>721</v>
      </c>
      <c r="G21885" s="2">
        <v>100</v>
      </c>
      <c r="H21885" s="2">
        <v>148</v>
      </c>
      <c r="I21885" s="2">
        <v>151</v>
      </c>
      <c r="J21885" s="2">
        <v>594</v>
      </c>
      <c r="K21885" s="2">
        <v>1</v>
      </c>
      <c r="L21885" s="2">
        <v>148</v>
      </c>
    </row>
    <row r="21886" spans="1:12" x14ac:dyDescent="0.25">
      <c r="A21886" s="4" t="str">
        <f>HYPERLINK("http://www.rosaceae.org/Prunus/Prunus_persica/p.persica_gdr_reftransV1_0029138","p.persica_gdr_reftransV1_0029138")</f>
        <v>p.persica_gdr_reftransV1_0029138</v>
      </c>
      <c r="B21886" s="2">
        <v>2489</v>
      </c>
      <c r="C21886" s="4" t="str">
        <f>HYPERLINK("http://www.uniprot.org/uniprot/M5VUM1","M5VUM1")</f>
        <v>M5VUM1</v>
      </c>
      <c r="D21886" s="2" t="s">
        <v>16255</v>
      </c>
      <c r="E21886" s="3">
        <v>0</v>
      </c>
      <c r="F21886" s="2">
        <v>2019</v>
      </c>
      <c r="G21886" s="2">
        <v>96</v>
      </c>
      <c r="H21886" s="2">
        <v>453</v>
      </c>
      <c r="I21886" s="2">
        <v>685</v>
      </c>
      <c r="J21886" s="2">
        <v>1992</v>
      </c>
      <c r="K21886" s="2">
        <v>1</v>
      </c>
      <c r="L21886" s="2">
        <v>453</v>
      </c>
    </row>
    <row r="21887" spans="1:12" x14ac:dyDescent="0.25">
      <c r="A21887" s="4" t="str">
        <f>HYPERLINK("http://www.rosaceae.org/Prunus/Prunus_persica/p.persica_gdr_reftransV1_0030188","p.persica_gdr_reftransV1_0030188")</f>
        <v>p.persica_gdr_reftransV1_0030188</v>
      </c>
      <c r="B21887" s="2">
        <v>4861</v>
      </c>
      <c r="C21887" s="4" t="str">
        <f>HYPERLINK("http://www.uniprot.org/uniprot/M5XJU9","M5XJU9")</f>
        <v>M5XJU9</v>
      </c>
      <c r="D21887" s="2" t="s">
        <v>16256</v>
      </c>
      <c r="E21887" s="3">
        <v>0</v>
      </c>
      <c r="F21887" s="2">
        <v>5185</v>
      </c>
      <c r="G21887" s="2">
        <v>99</v>
      </c>
      <c r="H21887" s="2">
        <v>1029</v>
      </c>
      <c r="I21887" s="2">
        <v>842</v>
      </c>
      <c r="J21887" s="2">
        <v>3928</v>
      </c>
      <c r="K21887" s="2">
        <v>1</v>
      </c>
      <c r="L21887" s="2">
        <v>1029</v>
      </c>
    </row>
    <row r="21888" spans="1:12" x14ac:dyDescent="0.25">
      <c r="A21888" s="4" t="str">
        <f>HYPERLINK("http://www.rosaceae.org/Prunus/Prunus_persica/p.persica_gdr_reftransV1_0030538","p.persica_gdr_reftransV1_0030538")</f>
        <v>p.persica_gdr_reftransV1_0030538</v>
      </c>
      <c r="B21888" s="2">
        <v>1092</v>
      </c>
      <c r="C21888" s="4" t="str">
        <f>HYPERLINK("http://www.uniprot.org/uniprot/M5XLT9","M5XLT9")</f>
        <v>M5XLT9</v>
      </c>
      <c r="D21888" s="2" t="s">
        <v>6090</v>
      </c>
      <c r="E21888" s="3">
        <v>1.8299999999999999E-106</v>
      </c>
      <c r="F21888" s="2">
        <v>826</v>
      </c>
      <c r="G21888" s="2">
        <v>100</v>
      </c>
      <c r="H21888" s="2">
        <v>198</v>
      </c>
      <c r="I21888" s="2">
        <v>464</v>
      </c>
      <c r="J21888" s="2">
        <v>1057</v>
      </c>
      <c r="K21888" s="2">
        <v>1</v>
      </c>
      <c r="L21888" s="2">
        <v>198</v>
      </c>
    </row>
    <row r="21889" spans="1:12" x14ac:dyDescent="0.25">
      <c r="A21889" s="4" t="str">
        <f>HYPERLINK("http://www.rosaceae.org/Prunus/Prunus_persica/p.persica_gdr_reftransV1_0031938","p.persica_gdr_reftransV1_0031938")</f>
        <v>p.persica_gdr_reftransV1_0031938</v>
      </c>
      <c r="B21889" s="2">
        <v>2228</v>
      </c>
      <c r="C21889" s="4" t="str">
        <f>HYPERLINK("http://www.uniprot.org/uniprot/M5WHS9","M5WHS9")</f>
        <v>M5WHS9</v>
      </c>
      <c r="D21889" s="2" t="s">
        <v>16257</v>
      </c>
      <c r="E21889" s="3">
        <v>0</v>
      </c>
      <c r="F21889" s="2">
        <v>1682</v>
      </c>
      <c r="G21889" s="2">
        <v>100</v>
      </c>
      <c r="H21889" s="2">
        <v>385</v>
      </c>
      <c r="I21889" s="2">
        <v>196</v>
      </c>
      <c r="J21889" s="2">
        <v>1350</v>
      </c>
      <c r="K21889" s="2">
        <v>1</v>
      </c>
      <c r="L21889" s="2">
        <v>385</v>
      </c>
    </row>
    <row r="21890" spans="1:12" x14ac:dyDescent="0.25">
      <c r="A21890" s="4" t="str">
        <f>HYPERLINK("http://www.rosaceae.org/Prunus/Prunus_persica/p.persica_gdr_reftransV1_0032638","p.persica_gdr_reftransV1_0032638")</f>
        <v>p.persica_gdr_reftransV1_0032638</v>
      </c>
      <c r="B21890" s="2">
        <v>2415</v>
      </c>
      <c r="C21890" s="4" t="str">
        <f>HYPERLINK("http://www.uniprot.org/uniprot/M5XBF8","M5XBF8")</f>
        <v>M5XBF8</v>
      </c>
      <c r="D21890" s="2" t="s">
        <v>14872</v>
      </c>
      <c r="E21890" s="3">
        <v>0</v>
      </c>
      <c r="F21890" s="2">
        <v>1721</v>
      </c>
      <c r="G21890" s="2">
        <v>100</v>
      </c>
      <c r="H21890" s="2">
        <v>341</v>
      </c>
      <c r="I21890" s="2">
        <v>1283</v>
      </c>
      <c r="J21890" s="2">
        <v>2305</v>
      </c>
      <c r="K21890" s="2">
        <v>1</v>
      </c>
      <c r="L21890" s="2">
        <v>341</v>
      </c>
    </row>
    <row r="21891" spans="1:12" x14ac:dyDescent="0.25">
      <c r="A21891" s="4" t="str">
        <f>HYPERLINK("http://www.rosaceae.org/Prunus/Prunus_persica/p.persica_gdr_reftransV1_0035438","p.persica_gdr_reftransV1_0035438")</f>
        <v>p.persica_gdr_reftransV1_0035438</v>
      </c>
      <c r="B21891" s="2">
        <v>3661</v>
      </c>
      <c r="C21891" s="4" t="str">
        <f>HYPERLINK("http://www.uniprot.org/uniprot/M5Y020","M5Y020")</f>
        <v>M5Y020</v>
      </c>
      <c r="D21891" s="2" t="s">
        <v>16258</v>
      </c>
      <c r="E21891" s="3">
        <v>8.3100000000000005E-131</v>
      </c>
      <c r="F21891" s="2">
        <v>742</v>
      </c>
      <c r="G21891" s="2">
        <v>99</v>
      </c>
      <c r="H21891" s="2">
        <v>152</v>
      </c>
      <c r="I21891" s="2">
        <v>934</v>
      </c>
      <c r="J21891" s="2">
        <v>1389</v>
      </c>
      <c r="K21891" s="2">
        <v>1</v>
      </c>
      <c r="L21891" s="2">
        <v>152</v>
      </c>
    </row>
    <row r="21892" spans="1:12" x14ac:dyDescent="0.25">
      <c r="A21892" s="4" t="str">
        <f>HYPERLINK("http://www.rosaceae.org/Prunus/Prunus_persica/p.persica_gdr_reftransV1_0035788","p.persica_gdr_reftransV1_0035788")</f>
        <v>p.persica_gdr_reftransV1_0035788</v>
      </c>
      <c r="B21892" s="2">
        <v>2173</v>
      </c>
      <c r="C21892" s="4" t="str">
        <f>HYPERLINK("http://www.uniprot.org/uniprot/M5VXF5","M5VXF5")</f>
        <v>M5VXF5</v>
      </c>
      <c r="D21892" s="2" t="s">
        <v>16259</v>
      </c>
      <c r="E21892" s="3">
        <v>2.0900000000000001E-104</v>
      </c>
      <c r="F21892" s="2">
        <v>557</v>
      </c>
      <c r="G21892" s="2">
        <v>98</v>
      </c>
      <c r="H21892" s="2">
        <v>111</v>
      </c>
      <c r="I21892" s="2">
        <v>489</v>
      </c>
      <c r="J21892" s="2">
        <v>821</v>
      </c>
      <c r="K21892" s="2">
        <v>183</v>
      </c>
      <c r="L21892" s="2">
        <v>293</v>
      </c>
    </row>
    <row r="21893" spans="1:12" x14ac:dyDescent="0.25">
      <c r="A21893" s="4" t="str">
        <f>HYPERLINK("http://www.rosaceae.org/Prunus/Prunus_persica/p.persica_gdr_reftransV1_0036138","p.persica_gdr_reftransV1_0036138")</f>
        <v>p.persica_gdr_reftransV1_0036138</v>
      </c>
      <c r="B21893" s="2">
        <v>1721</v>
      </c>
      <c r="C21893" s="4" t="str">
        <f>HYPERLINK("http://www.uniprot.org/uniprot/M5XCK5","M5XCK5")</f>
        <v>M5XCK5</v>
      </c>
      <c r="D21893" s="2" t="s">
        <v>16260</v>
      </c>
      <c r="E21893" s="3">
        <v>0</v>
      </c>
      <c r="F21893" s="2">
        <v>1811</v>
      </c>
      <c r="G21893" s="2">
        <v>94</v>
      </c>
      <c r="H21893" s="2">
        <v>363</v>
      </c>
      <c r="I21893" s="2">
        <v>267</v>
      </c>
      <c r="J21893" s="2">
        <v>1355</v>
      </c>
      <c r="K21893" s="2">
        <v>11</v>
      </c>
      <c r="L21893" s="2">
        <v>351</v>
      </c>
    </row>
    <row r="21894" spans="1:12" x14ac:dyDescent="0.25">
      <c r="A21894" s="4" t="str">
        <f>HYPERLINK("http://www.rosaceae.org/Prunus/Prunus_persica/p.persica_gdr_reftransV1_0036838","p.persica_gdr_reftransV1_0036838")</f>
        <v>p.persica_gdr_reftransV1_0036838</v>
      </c>
      <c r="B21894" s="2">
        <v>1386</v>
      </c>
      <c r="C21894" s="4" t="str">
        <f>HYPERLINK("http://www.uniprot.org/uniprot/M5VQJ9","M5VQJ9")</f>
        <v>M5VQJ9</v>
      </c>
      <c r="D21894" s="2" t="s">
        <v>13971</v>
      </c>
      <c r="E21894" s="3">
        <v>0</v>
      </c>
      <c r="F21894" s="2">
        <v>1682</v>
      </c>
      <c r="G21894" s="2">
        <v>100</v>
      </c>
      <c r="H21894" s="2">
        <v>339</v>
      </c>
      <c r="I21894" s="2">
        <v>95</v>
      </c>
      <c r="J21894" s="2">
        <v>1111</v>
      </c>
      <c r="K21894" s="2">
        <v>4</v>
      </c>
      <c r="L21894" s="2">
        <v>342</v>
      </c>
    </row>
    <row r="21895" spans="1:12" x14ac:dyDescent="0.25">
      <c r="A21895" s="4" t="str">
        <f>HYPERLINK("http://www.rosaceae.org/Prunus/Prunus_persica/p.persica_gdr_reftransV1_0038238","p.persica_gdr_reftransV1_0038238")</f>
        <v>p.persica_gdr_reftransV1_0038238</v>
      </c>
      <c r="B21895" s="2">
        <v>732</v>
      </c>
      <c r="C21895" s="4" t="str">
        <f>HYPERLINK("http://www.uniprot.org/uniprot/M5XRD4","M5XRD4")</f>
        <v>M5XRD4</v>
      </c>
      <c r="D21895" s="2" t="s">
        <v>15969</v>
      </c>
      <c r="E21895" s="3">
        <v>2.8299999999999999E-148</v>
      </c>
      <c r="F21895" s="2">
        <v>1093</v>
      </c>
      <c r="G21895" s="2">
        <v>100</v>
      </c>
      <c r="H21895" s="2">
        <v>205</v>
      </c>
      <c r="I21895" s="2">
        <v>96</v>
      </c>
      <c r="J21895" s="2">
        <v>710</v>
      </c>
      <c r="K21895" s="2">
        <v>1</v>
      </c>
      <c r="L21895" s="2">
        <v>205</v>
      </c>
    </row>
    <row r="21896" spans="1:12" x14ac:dyDescent="0.25">
      <c r="A21896" s="4" t="str">
        <f>HYPERLINK("http://www.rosaceae.org/Prunus/Prunus_persica/p.persica_gdr_reftransV1_0040688","p.persica_gdr_reftransV1_0040688")</f>
        <v>p.persica_gdr_reftransV1_0040688</v>
      </c>
      <c r="B21896" s="2">
        <v>947</v>
      </c>
      <c r="C21896" s="4" t="str">
        <f>HYPERLINK("http://www.uniprot.org/uniprot/M5VHY7","M5VHY7")</f>
        <v>M5VHY7</v>
      </c>
      <c r="D21896" s="2" t="s">
        <v>16261</v>
      </c>
      <c r="E21896" s="3">
        <v>3.3800000000000001E-62</v>
      </c>
      <c r="F21896" s="2">
        <v>524</v>
      </c>
      <c r="G21896" s="2">
        <v>100</v>
      </c>
      <c r="H21896" s="2">
        <v>145</v>
      </c>
      <c r="I21896" s="2">
        <v>129</v>
      </c>
      <c r="J21896" s="2">
        <v>563</v>
      </c>
      <c r="K21896" s="2">
        <v>1</v>
      </c>
      <c r="L21896" s="2">
        <v>145</v>
      </c>
    </row>
    <row r="21897" spans="1:12" x14ac:dyDescent="0.25">
      <c r="A21897" s="4" t="str">
        <f>HYPERLINK("http://www.rosaceae.org/Prunus/Prunus_persica/p.persica_gdr_reftransV1_0042788","p.persica_gdr_reftransV1_0042788")</f>
        <v>p.persica_gdr_reftransV1_0042788</v>
      </c>
      <c r="B21897" s="2">
        <v>2059</v>
      </c>
      <c r="C21897" s="4" t="str">
        <f>HYPERLINK("http://www.uniprot.org/uniprot/M5W9H6","M5W9H6")</f>
        <v>M5W9H6</v>
      </c>
      <c r="D21897" s="2" t="s">
        <v>16262</v>
      </c>
      <c r="E21897" s="3">
        <v>0</v>
      </c>
      <c r="F21897" s="2">
        <v>2221</v>
      </c>
      <c r="G21897" s="2">
        <v>100</v>
      </c>
      <c r="H21897" s="2">
        <v>418</v>
      </c>
      <c r="I21897" s="2">
        <v>614</v>
      </c>
      <c r="J21897" s="2">
        <v>1867</v>
      </c>
      <c r="K21897" s="2">
        <v>1</v>
      </c>
      <c r="L21897" s="2">
        <v>418</v>
      </c>
    </row>
    <row r="21898" spans="1:12" x14ac:dyDescent="0.25">
      <c r="A21898" s="4" t="str">
        <f>HYPERLINK("http://www.rosaceae.org/Prunus/Prunus_persica/p.persica_gdr_reftransV1_0043488","p.persica_gdr_reftransV1_0043488")</f>
        <v>p.persica_gdr_reftransV1_0043488</v>
      </c>
      <c r="B21898" s="2">
        <v>780</v>
      </c>
      <c r="C21898" s="4" t="str">
        <f>HYPERLINK("http://www.uniprot.org/uniprot/M5Wid1","M5Wid1")</f>
        <v>M5Wid1</v>
      </c>
      <c r="D21898" s="2" t="s">
        <v>13420</v>
      </c>
      <c r="E21898" s="3">
        <v>8.7300000000000001E-70</v>
      </c>
      <c r="F21898" s="2">
        <v>564</v>
      </c>
      <c r="G21898" s="2">
        <v>100</v>
      </c>
      <c r="H21898" s="2">
        <v>107</v>
      </c>
      <c r="I21898" s="2">
        <v>336</v>
      </c>
      <c r="J21898" s="2">
        <v>656</v>
      </c>
      <c r="K21898" s="2">
        <v>1</v>
      </c>
      <c r="L21898" s="2">
        <v>107</v>
      </c>
    </row>
    <row r="21899" spans="1:12" x14ac:dyDescent="0.25">
      <c r="A21899" s="4" t="str">
        <f>HYPERLINK("http://www.rosaceae.org/Prunus/Prunus_persica/p.persica_gdr_reftransV1_0044188","p.persica_gdr_reftransV1_0044188")</f>
        <v>p.persica_gdr_reftransV1_0044188</v>
      </c>
      <c r="B21899" s="2">
        <v>865</v>
      </c>
      <c r="C21899" s="4" t="str">
        <f>HYPERLINK("http://www.uniprot.org/uniprot/M5XK67","M5XK67")</f>
        <v>M5XK67</v>
      </c>
      <c r="D21899" s="2" t="s">
        <v>15656</v>
      </c>
      <c r="E21899" s="3">
        <v>3.7999999999999999E-126</v>
      </c>
      <c r="F21899" s="2">
        <v>956</v>
      </c>
      <c r="G21899" s="2">
        <v>100</v>
      </c>
      <c r="H21899" s="2">
        <v>185</v>
      </c>
      <c r="I21899" s="2">
        <v>3</v>
      </c>
      <c r="J21899" s="2">
        <v>557</v>
      </c>
      <c r="K21899" s="2">
        <v>87</v>
      </c>
      <c r="L21899" s="2">
        <v>271</v>
      </c>
    </row>
    <row r="21900" spans="1:12" x14ac:dyDescent="0.25">
      <c r="A21900" s="4" t="str">
        <f>HYPERLINK("http://www.rosaceae.org/Prunus/Prunus_persica/p.persica_gdr_reftransV1_0044538","p.persica_gdr_reftransV1_0044538")</f>
        <v>p.persica_gdr_reftransV1_0044538</v>
      </c>
      <c r="B21900" s="2">
        <v>1583</v>
      </c>
      <c r="C21900" s="4" t="str">
        <f>HYPERLINK("http://www.uniprot.org/uniprot/M5Y2B6","M5Y2B6")</f>
        <v>M5Y2B6</v>
      </c>
      <c r="D21900" s="2" t="s">
        <v>4830</v>
      </c>
      <c r="E21900" s="3">
        <v>3.0799999999999999E-118</v>
      </c>
      <c r="F21900" s="2">
        <v>1005</v>
      </c>
      <c r="G21900" s="2">
        <v>45</v>
      </c>
      <c r="H21900" s="2">
        <v>530</v>
      </c>
      <c r="I21900" s="2">
        <v>1</v>
      </c>
      <c r="J21900" s="2">
        <v>1344</v>
      </c>
      <c r="K21900" s="2">
        <v>428</v>
      </c>
      <c r="L21900" s="2">
        <v>956</v>
      </c>
    </row>
    <row r="21901" spans="1:12" x14ac:dyDescent="0.25">
      <c r="A21901" s="4" t="str">
        <f>HYPERLINK("http://www.rosaceae.org/Prunus/Prunus_persica/p.persica_gdr_reftransV1_0044888","p.persica_gdr_reftransV1_0044888")</f>
        <v>p.persica_gdr_reftransV1_0044888</v>
      </c>
      <c r="B21901" s="2">
        <v>2685</v>
      </c>
      <c r="C21901" s="4" t="str">
        <f>HYPERLINK("http://www.uniprot.org/uniprot/M5X766","M5X766")</f>
        <v>M5X766</v>
      </c>
      <c r="D21901" s="2" t="s">
        <v>7129</v>
      </c>
      <c r="E21901" s="3">
        <v>0</v>
      </c>
      <c r="F21901" s="2">
        <v>3905</v>
      </c>
      <c r="G21901" s="2">
        <v>100</v>
      </c>
      <c r="H21901" s="2">
        <v>724</v>
      </c>
      <c r="I21901" s="2">
        <v>514</v>
      </c>
      <c r="J21901" s="2">
        <v>2685</v>
      </c>
      <c r="K21901" s="2">
        <v>475</v>
      </c>
      <c r="L21901" s="2">
        <v>1198</v>
      </c>
    </row>
    <row r="21902" spans="1:12" x14ac:dyDescent="0.25">
      <c r="A21902" s="4" t="str">
        <f>HYPERLINK("http://www.rosaceae.org/Prunus/Prunus_persica/p.persica_gdr_reftransV1_0045238","p.persica_gdr_reftransV1_0045238")</f>
        <v>p.persica_gdr_reftransV1_0045238</v>
      </c>
      <c r="B21902" s="2">
        <v>881</v>
      </c>
      <c r="C21902" s="4" t="str">
        <f>HYPERLINK("http://www.uniprot.org/uniprot/M5XAP5","M5XAP5")</f>
        <v>M5XAP5</v>
      </c>
      <c r="D21902" s="2" t="s">
        <v>13872</v>
      </c>
      <c r="E21902" s="3">
        <v>3.9899999999999998E-62</v>
      </c>
      <c r="F21902" s="2">
        <v>562</v>
      </c>
      <c r="G21902" s="2">
        <v>67</v>
      </c>
      <c r="H21902" s="2">
        <v>184</v>
      </c>
      <c r="I21902" s="2">
        <v>209</v>
      </c>
      <c r="J21902" s="2">
        <v>679</v>
      </c>
      <c r="K21902" s="2">
        <v>1</v>
      </c>
      <c r="L21902" s="2">
        <v>184</v>
      </c>
    </row>
    <row r="21903" spans="1:12" x14ac:dyDescent="0.25">
      <c r="A21903" s="4" t="str">
        <f>HYPERLINK("http://www.rosaceae.org/Prunus/Prunus_persica/p.persica_gdr_reftransV1_0045588","p.persica_gdr_reftransV1_0045588")</f>
        <v>p.persica_gdr_reftransV1_0045588</v>
      </c>
      <c r="B21903" s="2">
        <v>3889</v>
      </c>
      <c r="C21903" s="4" t="str">
        <f>HYPERLINK("http://www.uniprot.org/uniprot/M5X607","M5X607")</f>
        <v>M5X607</v>
      </c>
      <c r="D21903" s="2" t="s">
        <v>16263</v>
      </c>
      <c r="E21903" s="3">
        <v>0</v>
      </c>
      <c r="F21903" s="2">
        <v>2895</v>
      </c>
      <c r="G21903" s="2">
        <v>100</v>
      </c>
      <c r="H21903" s="2">
        <v>606</v>
      </c>
      <c r="I21903" s="2">
        <v>393</v>
      </c>
      <c r="J21903" s="2">
        <v>2210</v>
      </c>
      <c r="K21903" s="2">
        <v>364</v>
      </c>
      <c r="L21903" s="2">
        <v>969</v>
      </c>
    </row>
    <row r="21904" spans="1:12" x14ac:dyDescent="0.25">
      <c r="A21904" s="4" t="str">
        <f>HYPERLINK("http://www.rosaceae.org/Prunus/Prunus_persica/p.persica_gdr_reftransV1_0046288","p.persica_gdr_reftransV1_0046288")</f>
        <v>p.persica_gdr_reftransV1_0046288</v>
      </c>
      <c r="B21904" s="2">
        <v>4036</v>
      </c>
      <c r="C21904" s="4" t="str">
        <f>HYPERLINK("http://www.uniprot.org/uniprot/M5X775","M5X775")</f>
        <v>M5X775</v>
      </c>
      <c r="D21904" s="2" t="s">
        <v>10969</v>
      </c>
      <c r="E21904" s="3">
        <v>0</v>
      </c>
      <c r="F21904" s="2">
        <v>6461</v>
      </c>
      <c r="G21904" s="2">
        <v>99</v>
      </c>
      <c r="H21904" s="2">
        <v>1261</v>
      </c>
      <c r="I21904" s="2">
        <v>2</v>
      </c>
      <c r="J21904" s="2">
        <v>3757</v>
      </c>
      <c r="K21904" s="2">
        <v>74</v>
      </c>
      <c r="L21904" s="2">
        <v>1334</v>
      </c>
    </row>
    <row r="21905" spans="1:12" x14ac:dyDescent="0.25">
      <c r="A21905" s="4" t="str">
        <f>HYPERLINK("http://www.rosaceae.org/Prunus/Prunus_persica/p.persica_gdr_reftransV1_0046638","p.persica_gdr_reftransV1_0046638")</f>
        <v>p.persica_gdr_reftransV1_0046638</v>
      </c>
      <c r="B21905" s="2">
        <v>1359</v>
      </c>
      <c r="C21905" s="4" t="str">
        <f>HYPERLINK("http://www.uniprot.org/uniprot/M5Y506","M5Y506")</f>
        <v>M5Y506</v>
      </c>
      <c r="D21905" s="2" t="s">
        <v>16264</v>
      </c>
      <c r="E21905" s="3">
        <v>0</v>
      </c>
      <c r="F21905" s="2">
        <v>1360</v>
      </c>
      <c r="G21905" s="2">
        <v>100</v>
      </c>
      <c r="H21905" s="2">
        <v>293</v>
      </c>
      <c r="I21905" s="2">
        <v>108</v>
      </c>
      <c r="J21905" s="2">
        <v>986</v>
      </c>
      <c r="K21905" s="2">
        <v>1</v>
      </c>
      <c r="L21905" s="2">
        <v>293</v>
      </c>
    </row>
    <row r="21906" spans="1:12" x14ac:dyDescent="0.25">
      <c r="A21906" s="4" t="str">
        <f>HYPERLINK("http://www.rosaceae.org/Prunus/Prunus_persica/p.persica_gdr_reftransV1_0046988","p.persica_gdr_reftransV1_0046988")</f>
        <v>p.persica_gdr_reftransV1_0046988</v>
      </c>
      <c r="B21906" s="2">
        <v>680</v>
      </c>
      <c r="C21906" s="4" t="str">
        <f>HYPERLINK("http://www.uniprot.org/uniprot/M5Y2K6","M5Y2K6")</f>
        <v>M5Y2K6</v>
      </c>
      <c r="D21906" s="2" t="s">
        <v>16265</v>
      </c>
      <c r="E21906" s="3">
        <v>6.3099999999999994E-42</v>
      </c>
      <c r="F21906" s="2">
        <v>376</v>
      </c>
      <c r="G21906" s="2">
        <v>100</v>
      </c>
      <c r="H21906" s="2">
        <v>85</v>
      </c>
      <c r="I21906" s="2">
        <v>222</v>
      </c>
      <c r="J21906" s="2">
        <v>476</v>
      </c>
      <c r="K21906" s="2">
        <v>25</v>
      </c>
      <c r="L21906" s="2">
        <v>109</v>
      </c>
    </row>
    <row r="21907" spans="1:12" x14ac:dyDescent="0.25">
      <c r="A21907" s="4" t="str">
        <f>HYPERLINK("http://www.rosaceae.org/Prunus/Prunus_persica/p.persica_gdr_reftransV1_0047338","p.persica_gdr_reftransV1_0047338")</f>
        <v>p.persica_gdr_reftransV1_0047338</v>
      </c>
      <c r="B21907" s="2">
        <v>2070</v>
      </c>
      <c r="C21907" s="4" t="str">
        <f>HYPERLINK("http://www.uniprot.org/uniprot/M5W2I4","M5W2I4")</f>
        <v>M5W2I4</v>
      </c>
      <c r="D21907" s="2" t="s">
        <v>16266</v>
      </c>
      <c r="E21907" s="3">
        <v>0</v>
      </c>
      <c r="F21907" s="2">
        <v>2374</v>
      </c>
      <c r="G21907" s="2">
        <v>90</v>
      </c>
      <c r="H21907" s="2">
        <v>586</v>
      </c>
      <c r="I21907" s="2">
        <v>58</v>
      </c>
      <c r="J21907" s="2">
        <v>1815</v>
      </c>
      <c r="K21907" s="2">
        <v>5</v>
      </c>
      <c r="L21907" s="2">
        <v>555</v>
      </c>
    </row>
    <row r="21908" spans="1:12" x14ac:dyDescent="0.25">
      <c r="A21908" s="4" t="str">
        <f>HYPERLINK("http://www.rosaceae.org/Prunus/Prunus_persica/p.persica_gdr_reftransV1_0047688","p.persica_gdr_reftransV1_0047688")</f>
        <v>p.persica_gdr_reftransV1_0047688</v>
      </c>
      <c r="B21908" s="2">
        <v>785</v>
      </c>
      <c r="C21908" s="4" t="str">
        <f>HYPERLINK("http://www.uniprot.org/uniprot/M5XEG7","M5XEG7")</f>
        <v>M5XEG7</v>
      </c>
      <c r="D21908" s="2" t="s">
        <v>5783</v>
      </c>
      <c r="E21908" s="3">
        <v>9.1200000000000002E-145</v>
      </c>
      <c r="F21908" s="2">
        <v>1081</v>
      </c>
      <c r="G21908" s="2">
        <v>100</v>
      </c>
      <c r="H21908" s="2">
        <v>217</v>
      </c>
      <c r="I21908" s="2">
        <v>2</v>
      </c>
      <c r="J21908" s="2">
        <v>652</v>
      </c>
      <c r="K21908" s="2">
        <v>110</v>
      </c>
      <c r="L21908" s="2">
        <v>326</v>
      </c>
    </row>
    <row r="21909" spans="1:12" x14ac:dyDescent="0.25">
      <c r="A21909" s="4" t="str">
        <f>HYPERLINK("http://www.rosaceae.org/Prunus/Prunus_persica/p.persica_gdr_reftransV1_0048388","p.persica_gdr_reftransV1_0048388")</f>
        <v>p.persica_gdr_reftransV1_0048388</v>
      </c>
      <c r="B21909" s="2">
        <v>1015</v>
      </c>
      <c r="C21909" s="4" t="str">
        <f>HYPERLINK("http://www.uniprot.org/uniprot/M5WCU1","M5WCU1")</f>
        <v>M5WCU1</v>
      </c>
      <c r="D21909" s="2" t="s">
        <v>9442</v>
      </c>
      <c r="E21909" s="3">
        <v>0</v>
      </c>
      <c r="F21909" s="2">
        <v>1558</v>
      </c>
      <c r="G21909" s="2">
        <v>100</v>
      </c>
      <c r="H21909" s="2">
        <v>307</v>
      </c>
      <c r="I21909" s="2">
        <v>2</v>
      </c>
      <c r="J21909" s="2">
        <v>922</v>
      </c>
      <c r="K21909" s="2">
        <v>1</v>
      </c>
      <c r="L21909" s="2">
        <v>307</v>
      </c>
    </row>
    <row r="21910" spans="1:12" x14ac:dyDescent="0.25">
      <c r="A21910" s="4" t="str">
        <f>HYPERLINK("http://www.rosaceae.org/Prunus/Prunus_persica/p.persica_gdr_reftransV1_0048738","p.persica_gdr_reftransV1_0048738")</f>
        <v>p.persica_gdr_reftransV1_0048738</v>
      </c>
      <c r="B21910" s="2">
        <v>1914</v>
      </c>
      <c r="C21910" s="4" t="str">
        <f>HYPERLINK("http://www.uniprot.org/uniprot/M5VYS0","M5VYS0")</f>
        <v>M5VYS0</v>
      </c>
      <c r="D21910" s="2" t="s">
        <v>9780</v>
      </c>
      <c r="E21910" s="3">
        <v>0</v>
      </c>
      <c r="F21910" s="2">
        <v>2057</v>
      </c>
      <c r="G21910" s="2">
        <v>84</v>
      </c>
      <c r="H21910" s="2">
        <v>515</v>
      </c>
      <c r="I21910" s="2">
        <v>365</v>
      </c>
      <c r="J21910" s="2">
        <v>1723</v>
      </c>
      <c r="K21910" s="2">
        <v>1</v>
      </c>
      <c r="L21910" s="2">
        <v>510</v>
      </c>
    </row>
    <row r="21911" spans="1:12" x14ac:dyDescent="0.25">
      <c r="A21911" s="4" t="str">
        <f>HYPERLINK("http://www.rosaceae.org/Prunus/Prunus_persica/p.persica_gdr_reftransV1_0049088","p.persica_gdr_reftransV1_0049088")</f>
        <v>p.persica_gdr_reftransV1_0049088</v>
      </c>
      <c r="B21911" s="2">
        <v>1571</v>
      </c>
      <c r="C21911" s="4" t="str">
        <f>HYPERLINK("http://www.uniprot.org/uniprot/M5VW08","M5VW08")</f>
        <v>M5VW08</v>
      </c>
      <c r="D21911" s="2" t="s">
        <v>16267</v>
      </c>
      <c r="E21911" s="3">
        <v>0</v>
      </c>
      <c r="F21911" s="2">
        <v>2050</v>
      </c>
      <c r="G21911" s="2">
        <v>100</v>
      </c>
      <c r="H21911" s="2">
        <v>382</v>
      </c>
      <c r="I21911" s="2">
        <v>114</v>
      </c>
      <c r="J21911" s="2">
        <v>1259</v>
      </c>
      <c r="K21911" s="2">
        <v>1</v>
      </c>
      <c r="L21911" s="2">
        <v>382</v>
      </c>
    </row>
    <row r="21912" spans="1:12" x14ac:dyDescent="0.25">
      <c r="A21912" s="4" t="str">
        <f>HYPERLINK("http://www.rosaceae.org/Prunus/Prunus_persica/p.persica_gdr_reftransV1_0000089","p.persica_gdr_reftransV1_0000089")</f>
        <v>p.persica_gdr_reftransV1_0000089</v>
      </c>
      <c r="B21912" s="2">
        <v>2634</v>
      </c>
      <c r="C21912" s="4" t="str">
        <f>HYPERLINK("http://www.uniprot.org/uniprot/M5VT51","M5VT51")</f>
        <v>M5VT51</v>
      </c>
      <c r="D21912" s="2" t="s">
        <v>14455</v>
      </c>
      <c r="E21912" s="3">
        <v>0</v>
      </c>
      <c r="F21912" s="2">
        <v>3351</v>
      </c>
      <c r="G21912" s="2">
        <v>95</v>
      </c>
      <c r="H21912" s="2">
        <v>774</v>
      </c>
      <c r="I21912" s="2">
        <v>1</v>
      </c>
      <c r="J21912" s="2">
        <v>2322</v>
      </c>
      <c r="K21912" s="2">
        <v>665</v>
      </c>
      <c r="L21912" s="2">
        <v>1406</v>
      </c>
    </row>
    <row r="21913" spans="1:12" x14ac:dyDescent="0.25">
      <c r="A21913" s="4" t="str">
        <f>HYPERLINK("http://www.rosaceae.org/Prunus/Prunus_persica/p.persica_gdr_reftransV1_0000439","p.persica_gdr_reftransV1_0000439")</f>
        <v>p.persica_gdr_reftransV1_0000439</v>
      </c>
      <c r="B21913" s="2">
        <v>686</v>
      </c>
      <c r="C21913" s="4" t="str">
        <f>HYPERLINK("http://www.uniprot.org/uniprot/M5XHJ4","M5XHJ4")</f>
        <v>M5XHJ4</v>
      </c>
      <c r="D21913" s="2" t="s">
        <v>16268</v>
      </c>
      <c r="E21913" s="3">
        <v>4.63E-64</v>
      </c>
      <c r="F21913" s="2">
        <v>523</v>
      </c>
      <c r="G21913" s="2">
        <v>100</v>
      </c>
      <c r="H21913" s="2">
        <v>101</v>
      </c>
      <c r="I21913" s="2">
        <v>222</v>
      </c>
      <c r="J21913" s="2">
        <v>524</v>
      </c>
      <c r="K21913" s="2">
        <v>1</v>
      </c>
      <c r="L21913" s="2">
        <v>101</v>
      </c>
    </row>
    <row r="21914" spans="1:12" x14ac:dyDescent="0.25">
      <c r="A21914" s="4" t="str">
        <f>HYPERLINK("http://www.rosaceae.org/Prunus/Prunus_persica/p.persica_gdr_reftransV1_0000789","p.persica_gdr_reftransV1_0000789")</f>
        <v>p.persica_gdr_reftransV1_0000789</v>
      </c>
      <c r="B21914" s="2">
        <v>306</v>
      </c>
      <c r="C21914" s="4" t="str">
        <f>HYPERLINK("http://www.uniprot.org/uniprot/M1PSI7","M1PSI7")</f>
        <v>M1PSI7</v>
      </c>
      <c r="D21914" s="2" t="s">
        <v>16269</v>
      </c>
      <c r="E21914" s="3">
        <v>3.7100000000000003E-66</v>
      </c>
      <c r="F21914" s="2">
        <v>537</v>
      </c>
      <c r="G21914" s="2">
        <v>100</v>
      </c>
      <c r="H21914" s="2">
        <v>101</v>
      </c>
      <c r="I21914" s="2">
        <v>3</v>
      </c>
      <c r="J21914" s="2">
        <v>305</v>
      </c>
      <c r="K21914" s="2">
        <v>38</v>
      </c>
      <c r="L21914" s="2">
        <v>138</v>
      </c>
    </row>
    <row r="21915" spans="1:12" x14ac:dyDescent="0.25">
      <c r="A21915" s="4" t="str">
        <f>HYPERLINK("http://www.rosaceae.org/Prunus/Prunus_persica/p.persica_gdr_reftransV1_0001139","p.persica_gdr_reftransV1_0001139")</f>
        <v>p.persica_gdr_reftransV1_0001139</v>
      </c>
      <c r="B21915" s="2">
        <v>3067</v>
      </c>
      <c r="C21915" s="4" t="str">
        <f>HYPERLINK("http://www.uniprot.org/uniprot/M5XJP5","M5XJP5")</f>
        <v>M5XJP5</v>
      </c>
      <c r="D21915" s="2" t="s">
        <v>14772</v>
      </c>
      <c r="E21915" s="3">
        <v>0</v>
      </c>
      <c r="F21915" s="2">
        <v>2887</v>
      </c>
      <c r="G21915" s="2">
        <v>100</v>
      </c>
      <c r="H21915" s="2">
        <v>561</v>
      </c>
      <c r="I21915" s="2">
        <v>1146</v>
      </c>
      <c r="J21915" s="2">
        <v>2828</v>
      </c>
      <c r="K21915" s="2">
        <v>66</v>
      </c>
      <c r="L21915" s="2">
        <v>626</v>
      </c>
    </row>
    <row r="21916" spans="1:12" x14ac:dyDescent="0.25">
      <c r="A21916" s="4" t="str">
        <f>HYPERLINK("http://www.rosaceae.org/Prunus/Prunus_persica/p.persica_gdr_reftransV1_0001489","p.persica_gdr_reftransV1_0001489")</f>
        <v>p.persica_gdr_reftransV1_0001489</v>
      </c>
      <c r="B21916" s="2">
        <v>2408</v>
      </c>
      <c r="C21916" s="4" t="str">
        <f>HYPERLINK("http://www.uniprot.org/uniprot/M5WQK0","M5WQK0")</f>
        <v>M5WQK0</v>
      </c>
      <c r="D21916" s="2" t="s">
        <v>3535</v>
      </c>
      <c r="E21916" s="3">
        <v>2.4699999999999999E-116</v>
      </c>
      <c r="F21916" s="2">
        <v>933</v>
      </c>
      <c r="G21916" s="2">
        <v>100</v>
      </c>
      <c r="H21916" s="2">
        <v>202</v>
      </c>
      <c r="I21916" s="2">
        <v>1397</v>
      </c>
      <c r="J21916" s="2">
        <v>2002</v>
      </c>
      <c r="K21916" s="2">
        <v>15</v>
      </c>
      <c r="L21916" s="2">
        <v>216</v>
      </c>
    </row>
    <row r="21917" spans="1:12" x14ac:dyDescent="0.25">
      <c r="A21917" s="4" t="str">
        <f>HYPERLINK("http://www.rosaceae.org/Prunus/Prunus_persica/p.persica_gdr_reftransV1_0001839","p.persica_gdr_reftransV1_0001839")</f>
        <v>p.persica_gdr_reftransV1_0001839</v>
      </c>
      <c r="B21917" s="2">
        <v>1115</v>
      </c>
      <c r="C21917" s="4" t="str">
        <f>HYPERLINK("http://www.uniprot.org/uniprot/M5VZZ2","M5VZZ2")</f>
        <v>M5VZZ2</v>
      </c>
      <c r="D21917" s="2" t="s">
        <v>16270</v>
      </c>
      <c r="E21917" s="3">
        <v>3.7100000000000001E-143</v>
      </c>
      <c r="F21917" s="2">
        <v>1072</v>
      </c>
      <c r="G21917" s="2">
        <v>100</v>
      </c>
      <c r="H21917" s="2">
        <v>224</v>
      </c>
      <c r="I21917" s="2">
        <v>129</v>
      </c>
      <c r="J21917" s="2">
        <v>800</v>
      </c>
      <c r="K21917" s="2">
        <v>1</v>
      </c>
      <c r="L21917" s="2">
        <v>224</v>
      </c>
    </row>
    <row r="21918" spans="1:12" x14ac:dyDescent="0.25">
      <c r="A21918" s="4" t="str">
        <f>HYPERLINK("http://www.rosaceae.org/Prunus/Prunus_persica/p.persica_gdr_reftransV1_0002189","p.persica_gdr_reftransV1_0002189")</f>
        <v>p.persica_gdr_reftransV1_0002189</v>
      </c>
      <c r="B21918" s="2">
        <v>1065</v>
      </c>
      <c r="C21918" s="4" t="str">
        <f>HYPERLINK("http://www.uniprot.org/uniprot/M5XSA0","M5XSA0")</f>
        <v>M5XSA0</v>
      </c>
      <c r="D21918" s="2" t="s">
        <v>603</v>
      </c>
      <c r="E21918" s="3">
        <v>3.57E-166</v>
      </c>
      <c r="F21918" s="2">
        <v>1229</v>
      </c>
      <c r="G21918" s="2">
        <v>98</v>
      </c>
      <c r="H21918" s="2">
        <v>287</v>
      </c>
      <c r="I21918" s="2">
        <v>205</v>
      </c>
      <c r="J21918" s="2">
        <v>1065</v>
      </c>
      <c r="K21918" s="2">
        <v>9</v>
      </c>
      <c r="L21918" s="2">
        <v>295</v>
      </c>
    </row>
    <row r="21919" spans="1:12" x14ac:dyDescent="0.25">
      <c r="A21919" s="4" t="str">
        <f>HYPERLINK("http://www.rosaceae.org/Prunus/Prunus_persica/p.persica_gdr_reftransV1_0002539","p.persica_gdr_reftransV1_0002539")</f>
        <v>p.persica_gdr_reftransV1_0002539</v>
      </c>
      <c r="B21919" s="2">
        <v>706</v>
      </c>
      <c r="C21919" s="4" t="str">
        <f>HYPERLINK("http://www.uniprot.org/uniprot/M5WMM2","M5WMM2")</f>
        <v>M5WMM2</v>
      </c>
      <c r="D21919" s="2" t="s">
        <v>7377</v>
      </c>
      <c r="E21919" s="3">
        <v>2.4300000000000001E-161</v>
      </c>
      <c r="F21919" s="2">
        <v>1202</v>
      </c>
      <c r="G21919" s="2">
        <v>100</v>
      </c>
      <c r="H21919" s="2">
        <v>223</v>
      </c>
      <c r="I21919" s="2">
        <v>36</v>
      </c>
      <c r="J21919" s="2">
        <v>704</v>
      </c>
      <c r="K21919" s="2">
        <v>251</v>
      </c>
      <c r="L21919" s="2">
        <v>473</v>
      </c>
    </row>
    <row r="21920" spans="1:12" x14ac:dyDescent="0.25">
      <c r="A21920" s="4" t="str">
        <f>HYPERLINK("http://www.rosaceae.org/Prunus/Prunus_persica/p.persica_gdr_reftransV1_0002889","p.persica_gdr_reftransV1_0002889")</f>
        <v>p.persica_gdr_reftransV1_0002889</v>
      </c>
      <c r="B21920" s="2">
        <v>1872</v>
      </c>
      <c r="C21920" s="4" t="str">
        <f>HYPERLINK("http://www.uniprot.org/uniprot/M5W902","M5W902")</f>
        <v>M5W902</v>
      </c>
      <c r="D21920" s="2" t="s">
        <v>11631</v>
      </c>
      <c r="E21920" s="3">
        <v>0</v>
      </c>
      <c r="F21920" s="2">
        <v>1091</v>
      </c>
      <c r="G21920" s="2">
        <v>100</v>
      </c>
      <c r="H21920" s="2">
        <v>231</v>
      </c>
      <c r="I21920" s="2">
        <v>313</v>
      </c>
      <c r="J21920" s="2">
        <v>1005</v>
      </c>
      <c r="K21920" s="2">
        <v>1</v>
      </c>
      <c r="L21920" s="2">
        <v>231</v>
      </c>
    </row>
    <row r="21921" spans="1:12" x14ac:dyDescent="0.25">
      <c r="A21921" s="4" t="str">
        <f>HYPERLINK("http://www.rosaceae.org/Prunus/Prunus_persica/p.persica_gdr_reftransV1_0003239","p.persica_gdr_reftransV1_0003239")</f>
        <v>p.persica_gdr_reftransV1_0003239</v>
      </c>
      <c r="B21921" s="2">
        <v>653</v>
      </c>
      <c r="C21921" s="4" t="str">
        <f>HYPERLINK("http://www.uniprot.org/uniprot/M5WRA0","M5WRA0")</f>
        <v>M5WRA0</v>
      </c>
      <c r="D21921" s="2" t="s">
        <v>2147</v>
      </c>
      <c r="E21921" s="3">
        <v>3.3499999999999997E-154</v>
      </c>
      <c r="F21921" s="2">
        <v>1174</v>
      </c>
      <c r="G21921" s="2">
        <v>100</v>
      </c>
      <c r="H21921" s="2">
        <v>217</v>
      </c>
      <c r="I21921" s="2">
        <v>3</v>
      </c>
      <c r="J21921" s="2">
        <v>653</v>
      </c>
      <c r="K21921" s="2">
        <v>400</v>
      </c>
      <c r="L21921" s="2">
        <v>616</v>
      </c>
    </row>
    <row r="21922" spans="1:12" x14ac:dyDescent="0.25">
      <c r="A21922" s="4" t="str">
        <f>HYPERLINK("http://www.rosaceae.org/Prunus/Prunus_persica/p.persica_gdr_reftransV1_0003939","p.persica_gdr_reftransV1_0003939")</f>
        <v>p.persica_gdr_reftransV1_0003939</v>
      </c>
      <c r="B21922" s="2">
        <v>330</v>
      </c>
      <c r="C21922" s="4" t="str">
        <f>HYPERLINK("http://www.uniprot.org/uniprot/I1RQQ0","I1RQQ0")</f>
        <v>I1RQQ0</v>
      </c>
      <c r="D21922" s="2" t="s">
        <v>16271</v>
      </c>
      <c r="E21922" s="3">
        <v>1.9500000000000001E-52</v>
      </c>
      <c r="F21922" s="2">
        <v>450</v>
      </c>
      <c r="G21922" s="2">
        <v>92</v>
      </c>
      <c r="H21922" s="2">
        <v>108</v>
      </c>
      <c r="I21922" s="2">
        <v>6</v>
      </c>
      <c r="J21922" s="2">
        <v>329</v>
      </c>
      <c r="K21922" s="2">
        <v>19</v>
      </c>
      <c r="L21922" s="2">
        <v>126</v>
      </c>
    </row>
    <row r="21923" spans="1:12" x14ac:dyDescent="0.25">
      <c r="A21923" s="4" t="str">
        <f>HYPERLINK("http://www.rosaceae.org/Prunus/Prunus_persica/p.persica_gdr_reftransV1_0004289","p.persica_gdr_reftransV1_0004289")</f>
        <v>p.persica_gdr_reftransV1_0004289</v>
      </c>
      <c r="B21923" s="2">
        <v>821</v>
      </c>
      <c r="C21923" s="4" t="str">
        <f>HYPERLINK("http://www.uniprot.org/uniprot/M5X5B1","M5X5B1")</f>
        <v>M5X5B1</v>
      </c>
      <c r="D21923" s="2" t="s">
        <v>13620</v>
      </c>
      <c r="E21923" s="3">
        <v>3.2299999999999999E-159</v>
      </c>
      <c r="F21923" s="2">
        <v>1254</v>
      </c>
      <c r="G21923" s="2">
        <v>91</v>
      </c>
      <c r="H21923" s="2">
        <v>262</v>
      </c>
      <c r="I21923" s="2">
        <v>49</v>
      </c>
      <c r="J21923" s="2">
        <v>819</v>
      </c>
      <c r="K21923" s="2">
        <v>621</v>
      </c>
      <c r="L21923" s="2">
        <v>882</v>
      </c>
    </row>
    <row r="21924" spans="1:12" x14ac:dyDescent="0.25">
      <c r="A21924" s="4" t="str">
        <f>HYPERLINK("http://www.rosaceae.org/Prunus/Prunus_persica/p.persica_gdr_reftransV1_0004989","p.persica_gdr_reftransV1_0004989")</f>
        <v>p.persica_gdr_reftransV1_0004989</v>
      </c>
      <c r="B21924" s="2">
        <v>346</v>
      </c>
      <c r="C21924" s="4" t="str">
        <f>HYPERLINK("http://www.uniprot.org/uniprot/M5WFM2","M5WFM2")</f>
        <v>M5WFM2</v>
      </c>
      <c r="D21924" s="2" t="s">
        <v>15756</v>
      </c>
      <c r="E21924" s="3">
        <v>5.2200000000000002E-44</v>
      </c>
      <c r="F21924" s="2">
        <v>415</v>
      </c>
      <c r="G21924" s="2">
        <v>100</v>
      </c>
      <c r="H21924" s="2">
        <v>98</v>
      </c>
      <c r="I21924" s="2">
        <v>24</v>
      </c>
      <c r="J21924" s="2">
        <v>317</v>
      </c>
      <c r="K21924" s="2">
        <v>188</v>
      </c>
      <c r="L21924" s="2">
        <v>285</v>
      </c>
    </row>
    <row r="21925" spans="1:12" x14ac:dyDescent="0.25">
      <c r="A21925" s="4" t="str">
        <f>HYPERLINK("http://www.rosaceae.org/Prunus/Prunus_persica/p.persica_gdr_reftransV1_0005689","p.persica_gdr_reftransV1_0005689")</f>
        <v>p.persica_gdr_reftransV1_0005689</v>
      </c>
      <c r="B21925" s="2">
        <v>693</v>
      </c>
      <c r="C21925" s="4" t="str">
        <f>HYPERLINK("http://www.uniprot.org/uniprot/M5WKN5","M5WKN5")</f>
        <v>M5WKN5</v>
      </c>
      <c r="D21925" s="2" t="s">
        <v>16272</v>
      </c>
      <c r="E21925" s="3">
        <v>1.1300000000000001E-30</v>
      </c>
      <c r="F21925" s="2">
        <v>299</v>
      </c>
      <c r="G21925" s="2">
        <v>100</v>
      </c>
      <c r="H21925" s="2">
        <v>97</v>
      </c>
      <c r="I21925" s="2">
        <v>96</v>
      </c>
      <c r="J21925" s="2">
        <v>386</v>
      </c>
      <c r="K21925" s="2">
        <v>1</v>
      </c>
      <c r="L21925" s="2">
        <v>97</v>
      </c>
    </row>
    <row r="21926" spans="1:12" x14ac:dyDescent="0.25">
      <c r="A21926" s="4" t="str">
        <f>HYPERLINK("http://www.rosaceae.org/Prunus/Prunus_persica/p.persica_gdr_reftransV1_0006039","p.persica_gdr_reftransV1_0006039")</f>
        <v>p.persica_gdr_reftransV1_0006039</v>
      </c>
      <c r="B21926" s="2">
        <v>1248</v>
      </c>
      <c r="C21926" s="4" t="str">
        <f>HYPERLINK("http://www.uniprot.org/uniprot/M5WLX7","M5WLX7")</f>
        <v>M5WLX7</v>
      </c>
      <c r="D21926" s="2" t="s">
        <v>4334</v>
      </c>
      <c r="E21926" s="3">
        <v>8.4999999999999998E-117</v>
      </c>
      <c r="F21926" s="2">
        <v>977</v>
      </c>
      <c r="G21926" s="2">
        <v>95</v>
      </c>
      <c r="H21926" s="2">
        <v>193</v>
      </c>
      <c r="I21926" s="2">
        <v>3</v>
      </c>
      <c r="J21926" s="2">
        <v>581</v>
      </c>
      <c r="K21926" s="2">
        <v>1062</v>
      </c>
      <c r="L21926" s="2">
        <v>1254</v>
      </c>
    </row>
    <row r="21927" spans="1:12" x14ac:dyDescent="0.25">
      <c r="A21927" s="4" t="str">
        <f>HYPERLINK("http://www.rosaceae.org/Prunus/Prunus_persica/p.persica_gdr_reftransV1_0006739","p.persica_gdr_reftransV1_0006739")</f>
        <v>p.persica_gdr_reftransV1_0006739</v>
      </c>
      <c r="B21927" s="2">
        <v>476</v>
      </c>
      <c r="C21927" s="4" t="str">
        <f>HYPERLINK("http://www.uniprot.org/uniprot/M5Y6F3","M5Y6F3")</f>
        <v>M5Y6F3</v>
      </c>
      <c r="D21927" s="2" t="s">
        <v>16273</v>
      </c>
      <c r="E21927" s="3">
        <v>1.8199999999999999E-107</v>
      </c>
      <c r="F21927" s="2">
        <v>832</v>
      </c>
      <c r="G21927" s="2">
        <v>97</v>
      </c>
      <c r="H21927" s="2">
        <v>158</v>
      </c>
      <c r="I21927" s="2">
        <v>2</v>
      </c>
      <c r="J21927" s="2">
        <v>475</v>
      </c>
      <c r="K21927" s="2">
        <v>30</v>
      </c>
      <c r="L21927" s="2">
        <v>187</v>
      </c>
    </row>
    <row r="21928" spans="1:12" x14ac:dyDescent="0.25">
      <c r="A21928" s="4" t="str">
        <f>HYPERLINK("http://www.rosaceae.org/Prunus/Prunus_persica/p.persica_gdr_reftransV1_0007089","p.persica_gdr_reftransV1_0007089")</f>
        <v>p.persica_gdr_reftransV1_0007089</v>
      </c>
      <c r="B21928" s="2">
        <v>1919</v>
      </c>
      <c r="C21928" s="4" t="str">
        <f>HYPERLINK("http://www.uniprot.org/uniprot/M5W168","M5W168")</f>
        <v>M5W168</v>
      </c>
      <c r="D21928" s="2" t="s">
        <v>16274</v>
      </c>
      <c r="E21928" s="3">
        <v>0</v>
      </c>
      <c r="F21928" s="2">
        <v>2217</v>
      </c>
      <c r="G21928" s="2">
        <v>100</v>
      </c>
      <c r="H21928" s="2">
        <v>422</v>
      </c>
      <c r="I21928" s="2">
        <v>74</v>
      </c>
      <c r="J21928" s="2">
        <v>1339</v>
      </c>
      <c r="K21928" s="2">
        <v>1</v>
      </c>
      <c r="L21928" s="2">
        <v>422</v>
      </c>
    </row>
    <row r="21929" spans="1:12" x14ac:dyDescent="0.25">
      <c r="A21929" s="4" t="str">
        <f>HYPERLINK("http://www.rosaceae.org/Prunus/Prunus_persica/p.persica_gdr_reftransV1_0007439","p.persica_gdr_reftransV1_0007439")</f>
        <v>p.persica_gdr_reftransV1_0007439</v>
      </c>
      <c r="B21929" s="2">
        <v>1822</v>
      </c>
      <c r="C21929" s="4" t="str">
        <f>HYPERLINK("http://www.uniprot.org/uniprot/M5XVT2","M5XVT2")</f>
        <v>M5XVT2</v>
      </c>
      <c r="D21929" s="2" t="s">
        <v>2480</v>
      </c>
      <c r="E21929" s="3">
        <v>4.0500000000000002E-169</v>
      </c>
      <c r="F21929" s="2">
        <v>1282</v>
      </c>
      <c r="G21929" s="2">
        <v>100</v>
      </c>
      <c r="H21929" s="2">
        <v>237</v>
      </c>
      <c r="I21929" s="2">
        <v>1110</v>
      </c>
      <c r="J21929" s="2">
        <v>1820</v>
      </c>
      <c r="K21929" s="2">
        <v>129</v>
      </c>
      <c r="L21929" s="2">
        <v>365</v>
      </c>
    </row>
    <row r="21930" spans="1:12" x14ac:dyDescent="0.25">
      <c r="A21930" s="4" t="str">
        <f>HYPERLINK("http://www.rosaceae.org/Prunus/Prunus_persica/p.persica_gdr_reftransV1_0007789","p.persica_gdr_reftransV1_0007789")</f>
        <v>p.persica_gdr_reftransV1_0007789</v>
      </c>
      <c r="B21930" s="2">
        <v>2177</v>
      </c>
      <c r="C21930" s="4" t="str">
        <f>HYPERLINK("http://www.uniprot.org/uniprot/M5WAB6","M5WAB6")</f>
        <v>M5WAB6</v>
      </c>
      <c r="D21930" s="2" t="s">
        <v>16275</v>
      </c>
      <c r="E21930" s="3">
        <v>2.25E-98</v>
      </c>
      <c r="F21930" s="2">
        <v>810</v>
      </c>
      <c r="G21930" s="2">
        <v>100</v>
      </c>
      <c r="H21930" s="2">
        <v>165</v>
      </c>
      <c r="I21930" s="2">
        <v>396</v>
      </c>
      <c r="J21930" s="2">
        <v>890</v>
      </c>
      <c r="K21930" s="2">
        <v>102</v>
      </c>
      <c r="L21930" s="2">
        <v>266</v>
      </c>
    </row>
    <row r="21931" spans="1:12" x14ac:dyDescent="0.25">
      <c r="A21931" s="4" t="str">
        <f>HYPERLINK("http://www.rosaceae.org/Prunus/Prunus_persica/p.persica_gdr_reftransV1_0008139","p.persica_gdr_reftransV1_0008139")</f>
        <v>p.persica_gdr_reftransV1_0008139</v>
      </c>
      <c r="B21931" s="2">
        <v>556</v>
      </c>
      <c r="C21931" s="4" t="str">
        <f>HYPERLINK("http://www.uniprot.org/uniprot/M5X2L9","M5X2L9")</f>
        <v>M5X2L9</v>
      </c>
      <c r="D21931" s="2" t="s">
        <v>16276</v>
      </c>
      <c r="E21931" s="3">
        <v>6.59E-67</v>
      </c>
      <c r="F21931" s="2">
        <v>549</v>
      </c>
      <c r="G21931" s="2">
        <v>67</v>
      </c>
      <c r="H21931" s="2">
        <v>189</v>
      </c>
      <c r="I21931" s="2">
        <v>2</v>
      </c>
      <c r="J21931" s="2">
        <v>553</v>
      </c>
      <c r="K21931" s="2">
        <v>5</v>
      </c>
      <c r="L21931" s="2">
        <v>187</v>
      </c>
    </row>
    <row r="21932" spans="1:12" x14ac:dyDescent="0.25">
      <c r="A21932" s="4" t="str">
        <f>HYPERLINK("http://www.rosaceae.org/Prunus/Prunus_persica/p.persica_gdr_reftransV1_0008489","p.persica_gdr_reftransV1_0008489")</f>
        <v>p.persica_gdr_reftransV1_0008489</v>
      </c>
      <c r="B21932" s="2">
        <v>893</v>
      </c>
      <c r="C21932" s="4" t="str">
        <f>HYPERLINK("http://www.uniprot.org/uniprot/M5X421","M5X421")</f>
        <v>M5X421</v>
      </c>
      <c r="D21932" s="2" t="s">
        <v>132</v>
      </c>
      <c r="E21932" s="3">
        <v>0</v>
      </c>
      <c r="F21932" s="2">
        <v>1446</v>
      </c>
      <c r="G21932" s="2">
        <v>99</v>
      </c>
      <c r="H21932" s="2">
        <v>273</v>
      </c>
      <c r="I21932" s="2">
        <v>74</v>
      </c>
      <c r="J21932" s="2">
        <v>892</v>
      </c>
      <c r="K21932" s="2">
        <v>132</v>
      </c>
      <c r="L21932" s="2">
        <v>404</v>
      </c>
    </row>
    <row r="21933" spans="1:12" x14ac:dyDescent="0.25">
      <c r="A21933" s="4" t="str">
        <f>HYPERLINK("http://www.rosaceae.org/Prunus/Prunus_persica/p.persica_gdr_reftransV1_0008839","p.persica_gdr_reftransV1_0008839")</f>
        <v>p.persica_gdr_reftransV1_0008839</v>
      </c>
      <c r="B21933" s="2">
        <v>733</v>
      </c>
      <c r="C21933" s="4" t="str">
        <f>HYPERLINK("http://www.uniprot.org/uniprot/M5W5C7","M5W5C7")</f>
        <v>M5W5C7</v>
      </c>
      <c r="D21933" s="2" t="s">
        <v>16277</v>
      </c>
      <c r="E21933" s="3">
        <v>1.48E-63</v>
      </c>
      <c r="F21933" s="2">
        <v>523</v>
      </c>
      <c r="G21933" s="2">
        <v>97</v>
      </c>
      <c r="H21933" s="2">
        <v>127</v>
      </c>
      <c r="I21933" s="2">
        <v>224</v>
      </c>
      <c r="J21933" s="2">
        <v>604</v>
      </c>
      <c r="K21933" s="2">
        <v>2</v>
      </c>
      <c r="L21933" s="2">
        <v>128</v>
      </c>
    </row>
    <row r="21934" spans="1:12" x14ac:dyDescent="0.25">
      <c r="A21934" s="4" t="str">
        <f>HYPERLINK("http://www.rosaceae.org/Prunus/Prunus_persica/p.persica_gdr_reftransV1_0009189","p.persica_gdr_reftransV1_0009189")</f>
        <v>p.persica_gdr_reftransV1_0009189</v>
      </c>
      <c r="B21934" s="2">
        <v>1449</v>
      </c>
      <c r="C21934" s="4" t="str">
        <f>HYPERLINK("http://www.uniprot.org/uniprot/M5VWX4","M5VWX4")</f>
        <v>M5VWX4</v>
      </c>
      <c r="D21934" s="2" t="s">
        <v>9275</v>
      </c>
      <c r="E21934" s="3">
        <v>0</v>
      </c>
      <c r="F21934" s="2">
        <v>1445</v>
      </c>
      <c r="G21934" s="2">
        <v>100</v>
      </c>
      <c r="H21934" s="2">
        <v>326</v>
      </c>
      <c r="I21934" s="2">
        <v>446</v>
      </c>
      <c r="J21934" s="2">
        <v>1423</v>
      </c>
      <c r="K21934" s="2">
        <v>85</v>
      </c>
      <c r="L21934" s="2">
        <v>410</v>
      </c>
    </row>
    <row r="21935" spans="1:12" x14ac:dyDescent="0.25">
      <c r="A21935" s="4" t="str">
        <f>HYPERLINK("http://www.rosaceae.org/Prunus/Prunus_persica/p.persica_gdr_reftransV1_0010239","p.persica_gdr_reftransV1_0010239")</f>
        <v>p.persica_gdr_reftransV1_0010239</v>
      </c>
      <c r="B21935" s="2">
        <v>794</v>
      </c>
      <c r="C21935" s="4" t="str">
        <f>HYPERLINK("http://www.uniprot.org/uniprot/M5XU79","M5XU79")</f>
        <v>M5XU79</v>
      </c>
      <c r="D21935" s="2" t="s">
        <v>3237</v>
      </c>
      <c r="E21935" s="3">
        <v>0</v>
      </c>
      <c r="F21935" s="2">
        <v>1410</v>
      </c>
      <c r="G21935" s="2">
        <v>100</v>
      </c>
      <c r="H21935" s="2">
        <v>264</v>
      </c>
      <c r="I21935" s="2">
        <v>1</v>
      </c>
      <c r="J21935" s="2">
        <v>792</v>
      </c>
      <c r="K21935" s="2">
        <v>162</v>
      </c>
      <c r="L21935" s="2">
        <v>425</v>
      </c>
    </row>
    <row r="21936" spans="1:12" x14ac:dyDescent="0.25">
      <c r="A21936" s="4" t="str">
        <f>HYPERLINK("http://www.rosaceae.org/Prunus/Prunus_persica/p.persica_gdr_reftransV1_0010939","p.persica_gdr_reftransV1_0010939")</f>
        <v>p.persica_gdr_reftransV1_0010939</v>
      </c>
      <c r="B21936" s="2">
        <v>2143</v>
      </c>
      <c r="C21936" s="4" t="str">
        <f>HYPERLINK("http://www.uniprot.org/uniprot/M5WTD2","M5WTD2")</f>
        <v>M5WTD2</v>
      </c>
      <c r="D21936" s="2" t="s">
        <v>16278</v>
      </c>
      <c r="E21936" s="3">
        <v>0</v>
      </c>
      <c r="F21936" s="2">
        <v>2301</v>
      </c>
      <c r="G21936" s="2">
        <v>100</v>
      </c>
      <c r="H21936" s="2">
        <v>495</v>
      </c>
      <c r="I21936" s="2">
        <v>241</v>
      </c>
      <c r="J21936" s="2">
        <v>1725</v>
      </c>
      <c r="K21936" s="2">
        <v>1</v>
      </c>
      <c r="L21936" s="2">
        <v>495</v>
      </c>
    </row>
    <row r="21937" spans="1:12" x14ac:dyDescent="0.25">
      <c r="A21937" s="4" t="str">
        <f>HYPERLINK("http://www.rosaceae.org/Prunus/Prunus_persica/p.persica_gdr_reftransV1_0011639","p.persica_gdr_reftransV1_0011639")</f>
        <v>p.persica_gdr_reftransV1_0011639</v>
      </c>
      <c r="B21937" s="2">
        <v>606</v>
      </c>
      <c r="C21937" s="4" t="str">
        <f>HYPERLINK("http://www.uniprot.org/uniprot/M5X3Q6","M5X3Q6")</f>
        <v>M5X3Q6</v>
      </c>
      <c r="D21937" s="2" t="s">
        <v>8039</v>
      </c>
      <c r="E21937" s="3">
        <v>9.0200000000000007E-61</v>
      </c>
      <c r="F21937" s="2">
        <v>499</v>
      </c>
      <c r="G21937" s="2">
        <v>100</v>
      </c>
      <c r="H21937" s="2">
        <v>108</v>
      </c>
      <c r="I21937" s="2">
        <v>258</v>
      </c>
      <c r="J21937" s="2">
        <v>581</v>
      </c>
      <c r="K21937" s="2">
        <v>1</v>
      </c>
      <c r="L21937" s="2">
        <v>108</v>
      </c>
    </row>
    <row r="21938" spans="1:12" x14ac:dyDescent="0.25">
      <c r="A21938" s="4" t="str">
        <f>HYPERLINK("http://www.rosaceae.org/Prunus/Prunus_persica/p.persica_gdr_reftransV1_0012339","p.persica_gdr_reftransV1_0012339")</f>
        <v>p.persica_gdr_reftransV1_0012339</v>
      </c>
      <c r="B21938" s="2">
        <v>2820</v>
      </c>
      <c r="C21938" s="4" t="str">
        <f>HYPERLINK("http://www.uniprot.org/uniprot/M5VN08","M5VN08")</f>
        <v>M5VN08</v>
      </c>
      <c r="D21938" s="2" t="s">
        <v>16279</v>
      </c>
      <c r="E21938" s="3">
        <v>0</v>
      </c>
      <c r="F21938" s="2">
        <v>3809</v>
      </c>
      <c r="G21938" s="2">
        <v>93</v>
      </c>
      <c r="H21938" s="2">
        <v>830</v>
      </c>
      <c r="I21938" s="2">
        <v>296</v>
      </c>
      <c r="J21938" s="2">
        <v>2785</v>
      </c>
      <c r="K21938" s="2">
        <v>1</v>
      </c>
      <c r="L21938" s="2">
        <v>781</v>
      </c>
    </row>
    <row r="21939" spans="1:12" x14ac:dyDescent="0.25">
      <c r="A21939" s="4" t="str">
        <f>HYPERLINK("http://www.rosaceae.org/Prunus/Prunus_persica/p.persica_gdr_reftransV1_0012689","p.persica_gdr_reftransV1_0012689")</f>
        <v>p.persica_gdr_reftransV1_0012689</v>
      </c>
      <c r="B21939" s="2">
        <v>1436</v>
      </c>
      <c r="C21939" s="4" t="str">
        <f>HYPERLINK("http://www.uniprot.org/uniprot/M5XD15","M5XD15")</f>
        <v>M5XD15</v>
      </c>
      <c r="D21939" s="2" t="s">
        <v>16280</v>
      </c>
      <c r="E21939" s="3">
        <v>0</v>
      </c>
      <c r="F21939" s="2">
        <v>1560</v>
      </c>
      <c r="G21939" s="2">
        <v>100</v>
      </c>
      <c r="H21939" s="2">
        <v>354</v>
      </c>
      <c r="I21939" s="2">
        <v>331</v>
      </c>
      <c r="J21939" s="2">
        <v>1392</v>
      </c>
      <c r="K21939" s="2">
        <v>1</v>
      </c>
      <c r="L21939" s="2">
        <v>354</v>
      </c>
    </row>
    <row r="21940" spans="1:12" x14ac:dyDescent="0.25">
      <c r="A21940" s="4" t="str">
        <f>HYPERLINK("http://www.rosaceae.org/Prunus/Prunus_persica/p.persica_gdr_reftransV1_0013039","p.persica_gdr_reftransV1_0013039")</f>
        <v>p.persica_gdr_reftransV1_0013039</v>
      </c>
      <c r="B21940" s="2">
        <v>1609</v>
      </c>
      <c r="C21940" s="4" t="str">
        <f>HYPERLINK("http://www.uniprot.org/uniprot/M5WNP7","M5WNP7")</f>
        <v>M5WNP7</v>
      </c>
      <c r="D21940" s="2" t="s">
        <v>16281</v>
      </c>
      <c r="E21940" s="3">
        <v>5.8300000000000002E-64</v>
      </c>
      <c r="F21940" s="2">
        <v>553</v>
      </c>
      <c r="G21940" s="2">
        <v>100</v>
      </c>
      <c r="H21940" s="2">
        <v>105</v>
      </c>
      <c r="I21940" s="2">
        <v>175</v>
      </c>
      <c r="J21940" s="2">
        <v>489</v>
      </c>
      <c r="K21940" s="2">
        <v>1</v>
      </c>
      <c r="L21940" s="2">
        <v>105</v>
      </c>
    </row>
    <row r="21941" spans="1:12" x14ac:dyDescent="0.25">
      <c r="A21941" s="4" t="str">
        <f>HYPERLINK("http://www.rosaceae.org/Prunus/Prunus_persica/p.persica_gdr_reftransV1_0013389","p.persica_gdr_reftransV1_0013389")</f>
        <v>p.persica_gdr_reftransV1_0013389</v>
      </c>
      <c r="B21941" s="2">
        <v>1086</v>
      </c>
      <c r="C21941" s="4" t="str">
        <f>HYPERLINK("http://www.uniprot.org/uniprot/M5VLF0","M5VLF0")</f>
        <v>M5VLF0</v>
      </c>
      <c r="D21941" s="2" t="s">
        <v>16282</v>
      </c>
      <c r="E21941" s="3">
        <v>2.1899999999999999E-134</v>
      </c>
      <c r="F21941" s="2">
        <v>1016</v>
      </c>
      <c r="G21941" s="2">
        <v>100</v>
      </c>
      <c r="H21941" s="2">
        <v>239</v>
      </c>
      <c r="I21941" s="2">
        <v>334</v>
      </c>
      <c r="J21941" s="2">
        <v>1050</v>
      </c>
      <c r="K21941" s="2">
        <v>1</v>
      </c>
      <c r="L21941" s="2">
        <v>239</v>
      </c>
    </row>
    <row r="21942" spans="1:12" x14ac:dyDescent="0.25">
      <c r="A21942" s="4" t="str">
        <f>HYPERLINK("http://www.rosaceae.org/Prunus/Prunus_persica/p.persica_gdr_reftransV1_0015139","p.persica_gdr_reftransV1_0015139")</f>
        <v>p.persica_gdr_reftransV1_0015139</v>
      </c>
      <c r="B21942" s="2">
        <v>1661</v>
      </c>
      <c r="C21942" s="4" t="str">
        <f>HYPERLINK("http://www.uniprot.org/uniprot/M5W0P0","M5W0P0")</f>
        <v>M5W0P0</v>
      </c>
      <c r="D21942" s="2" t="s">
        <v>16283</v>
      </c>
      <c r="E21942" s="3">
        <v>5.7599999999999997E-22</v>
      </c>
      <c r="F21942" s="2">
        <v>255</v>
      </c>
      <c r="G21942" s="2">
        <v>100</v>
      </c>
      <c r="H21942" s="2">
        <v>62</v>
      </c>
      <c r="I21942" s="2">
        <v>1401</v>
      </c>
      <c r="J21942" s="2">
        <v>1586</v>
      </c>
      <c r="K21942" s="2">
        <v>3</v>
      </c>
      <c r="L21942" s="2">
        <v>64</v>
      </c>
    </row>
    <row r="21943" spans="1:12" x14ac:dyDescent="0.25">
      <c r="A21943" s="4" t="str">
        <f>HYPERLINK("http://www.rosaceae.org/Prunus/Prunus_persica/p.persica_gdr_reftransV1_0015489","p.persica_gdr_reftransV1_0015489")</f>
        <v>p.persica_gdr_reftransV1_0015489</v>
      </c>
      <c r="B21943" s="2">
        <v>2393</v>
      </c>
      <c r="C21943" s="4" t="str">
        <f>HYPERLINK("http://www.uniprot.org/uniprot/M5WAC3","M5WAC3")</f>
        <v>M5WAC3</v>
      </c>
      <c r="D21943" s="2" t="s">
        <v>16284</v>
      </c>
      <c r="E21943" s="3">
        <v>0</v>
      </c>
      <c r="F21943" s="2">
        <v>3033</v>
      </c>
      <c r="G21943" s="2">
        <v>100</v>
      </c>
      <c r="H21943" s="2">
        <v>567</v>
      </c>
      <c r="I21943" s="2">
        <v>294</v>
      </c>
      <c r="J21943" s="2">
        <v>1994</v>
      </c>
      <c r="K21943" s="2">
        <v>1</v>
      </c>
      <c r="L21943" s="2">
        <v>567</v>
      </c>
    </row>
    <row r="21944" spans="1:12" x14ac:dyDescent="0.25">
      <c r="A21944" s="4" t="str">
        <f>HYPERLINK("http://www.rosaceae.org/Prunus/Prunus_persica/p.persica_gdr_reftransV1_0015839","p.persica_gdr_reftransV1_0015839")</f>
        <v>p.persica_gdr_reftransV1_0015839</v>
      </c>
      <c r="B21944" s="2">
        <v>1491</v>
      </c>
      <c r="C21944" s="4" t="str">
        <f>HYPERLINK("http://www.uniprot.org/uniprot/M5VZ52","M5VZ52")</f>
        <v>M5VZ52</v>
      </c>
      <c r="D21944" s="2" t="s">
        <v>16285</v>
      </c>
      <c r="E21944" s="3">
        <v>0</v>
      </c>
      <c r="F21944" s="2">
        <v>1509</v>
      </c>
      <c r="G21944" s="2">
        <v>95</v>
      </c>
      <c r="H21944" s="2">
        <v>348</v>
      </c>
      <c r="I21944" s="2">
        <v>325</v>
      </c>
      <c r="J21944" s="2">
        <v>1368</v>
      </c>
      <c r="K21944" s="2">
        <v>1</v>
      </c>
      <c r="L21944" s="2">
        <v>330</v>
      </c>
    </row>
    <row r="21945" spans="1:12" x14ac:dyDescent="0.25">
      <c r="A21945" s="4" t="str">
        <f>HYPERLINK("http://www.rosaceae.org/Prunus/Prunus_persica/p.persica_gdr_reftransV1_0016189","p.persica_gdr_reftransV1_0016189")</f>
        <v>p.persica_gdr_reftransV1_0016189</v>
      </c>
      <c r="B21945" s="2">
        <v>632</v>
      </c>
      <c r="C21945" s="4" t="str">
        <f>HYPERLINK("http://www.uniprot.org/uniprot/E3W0Q0","E3W0Q0")</f>
        <v>E3W0Q0</v>
      </c>
      <c r="D21945" s="2" t="s">
        <v>8558</v>
      </c>
      <c r="E21945" s="3">
        <v>1.0600000000000001E-112</v>
      </c>
      <c r="F21945" s="2">
        <v>935</v>
      </c>
      <c r="G21945" s="2">
        <v>100</v>
      </c>
      <c r="H21945" s="2">
        <v>210</v>
      </c>
      <c r="I21945" s="2">
        <v>2</v>
      </c>
      <c r="J21945" s="2">
        <v>631</v>
      </c>
      <c r="K21945" s="2">
        <v>550</v>
      </c>
      <c r="L21945" s="2">
        <v>759</v>
      </c>
    </row>
    <row r="21946" spans="1:12" x14ac:dyDescent="0.25">
      <c r="A21946" s="4" t="str">
        <f>HYPERLINK("http://www.rosaceae.org/Prunus/Prunus_persica/p.persica_gdr_reftransV1_0016539","p.persica_gdr_reftransV1_0016539")</f>
        <v>p.persica_gdr_reftransV1_0016539</v>
      </c>
      <c r="B21946" s="2">
        <v>2091</v>
      </c>
      <c r="C21946" s="4" t="str">
        <f>HYPERLINK("http://www.uniprot.org/uniprot/M5XYG0","M5XYG0")</f>
        <v>M5XYG0</v>
      </c>
      <c r="D21946" s="2" t="s">
        <v>14950</v>
      </c>
      <c r="E21946" s="3">
        <v>1.5000000000000001E-85</v>
      </c>
      <c r="F21946" s="2">
        <v>731</v>
      </c>
      <c r="G21946" s="2">
        <v>88</v>
      </c>
      <c r="H21946" s="2">
        <v>215</v>
      </c>
      <c r="I21946" s="2">
        <v>239</v>
      </c>
      <c r="J21946" s="2">
        <v>883</v>
      </c>
      <c r="K21946" s="2">
        <v>194</v>
      </c>
      <c r="L21946" s="2">
        <v>384</v>
      </c>
    </row>
    <row r="21947" spans="1:12" x14ac:dyDescent="0.25">
      <c r="A21947" s="4" t="str">
        <f>HYPERLINK("http://www.rosaceae.org/Prunus/Prunus_persica/p.persica_gdr_reftransV1_0017239","p.persica_gdr_reftransV1_0017239")</f>
        <v>p.persica_gdr_reftransV1_0017239</v>
      </c>
      <c r="B21947" s="2">
        <v>2157</v>
      </c>
      <c r="C21947" s="4" t="str">
        <f>HYPERLINK("http://www.uniprot.org/uniprot/M5VRF1","M5VRF1")</f>
        <v>M5VRF1</v>
      </c>
      <c r="D21947" s="2" t="s">
        <v>8407</v>
      </c>
      <c r="E21947" s="3">
        <v>1.3099999999999999E-116</v>
      </c>
      <c r="F21947" s="2">
        <v>935</v>
      </c>
      <c r="G21947" s="2">
        <v>99</v>
      </c>
      <c r="H21947" s="2">
        <v>235</v>
      </c>
      <c r="I21947" s="2">
        <v>1063</v>
      </c>
      <c r="J21947" s="2">
        <v>1767</v>
      </c>
      <c r="K21947" s="2">
        <v>65</v>
      </c>
      <c r="L21947" s="2">
        <v>299</v>
      </c>
    </row>
    <row r="21948" spans="1:12" x14ac:dyDescent="0.25">
      <c r="A21948" s="4" t="str">
        <f>HYPERLINK("http://www.rosaceae.org/Prunus/Prunus_persica/p.persica_gdr_reftransV1_0017589","p.persica_gdr_reftransV1_0017589")</f>
        <v>p.persica_gdr_reftransV1_0017589</v>
      </c>
      <c r="B21948" s="2">
        <v>1386</v>
      </c>
      <c r="C21948" s="4" t="str">
        <f>HYPERLINK("http://www.uniprot.org/uniprot/M5XDM0","M5XDM0")</f>
        <v>M5XDM0</v>
      </c>
      <c r="D21948" s="2" t="s">
        <v>16286</v>
      </c>
      <c r="E21948" s="3">
        <v>5.1699999999999995E-60</v>
      </c>
      <c r="F21948" s="2">
        <v>525</v>
      </c>
      <c r="G21948" s="2">
        <v>98</v>
      </c>
      <c r="H21948" s="2">
        <v>102</v>
      </c>
      <c r="I21948" s="2">
        <v>497</v>
      </c>
      <c r="J21948" s="2">
        <v>802</v>
      </c>
      <c r="K21948" s="2">
        <v>92</v>
      </c>
      <c r="L21948" s="2">
        <v>193</v>
      </c>
    </row>
    <row r="21949" spans="1:12" x14ac:dyDescent="0.25">
      <c r="A21949" s="4" t="str">
        <f>HYPERLINK("http://www.rosaceae.org/Prunus/Prunus_persica/p.persica_gdr_reftransV1_0018289","p.persica_gdr_reftransV1_0018289")</f>
        <v>p.persica_gdr_reftransV1_0018289</v>
      </c>
      <c r="B21949" s="2">
        <v>2288</v>
      </c>
      <c r="C21949" s="4" t="str">
        <f>HYPERLINK("http://www.uniprot.org/uniprot/M5WR96","M5WR96")</f>
        <v>M5WR96</v>
      </c>
      <c r="D21949" s="2" t="s">
        <v>16287</v>
      </c>
      <c r="E21949" s="3">
        <v>0</v>
      </c>
      <c r="F21949" s="2">
        <v>3312</v>
      </c>
      <c r="G21949" s="2">
        <v>100</v>
      </c>
      <c r="H21949" s="2">
        <v>636</v>
      </c>
      <c r="I21949" s="2">
        <v>239</v>
      </c>
      <c r="J21949" s="2">
        <v>2146</v>
      </c>
      <c r="K21949" s="2">
        <v>20</v>
      </c>
      <c r="L21949" s="2">
        <v>655</v>
      </c>
    </row>
    <row r="21950" spans="1:12" x14ac:dyDescent="0.25">
      <c r="A21950" s="4" t="str">
        <f>HYPERLINK("http://www.rosaceae.org/Prunus/Prunus_persica/p.persica_gdr_reftransV1_0018639","p.persica_gdr_reftransV1_0018639")</f>
        <v>p.persica_gdr_reftransV1_0018639</v>
      </c>
      <c r="B21950" s="2">
        <v>1182</v>
      </c>
      <c r="C21950" s="4" t="str">
        <f>HYPERLINK("http://www.uniprot.org/uniprot/M5WVD0","M5WVD0")</f>
        <v>M5WVD0</v>
      </c>
      <c r="D21950" s="2" t="s">
        <v>13887</v>
      </c>
      <c r="E21950" s="3">
        <v>1.08E-87</v>
      </c>
      <c r="F21950" s="2">
        <v>702</v>
      </c>
      <c r="G21950" s="2">
        <v>92</v>
      </c>
      <c r="H21950" s="2">
        <v>142</v>
      </c>
      <c r="I21950" s="2">
        <v>501</v>
      </c>
      <c r="J21950" s="2">
        <v>926</v>
      </c>
      <c r="K21950" s="2">
        <v>29</v>
      </c>
      <c r="L21950" s="2">
        <v>170</v>
      </c>
    </row>
    <row r="21951" spans="1:12" x14ac:dyDescent="0.25">
      <c r="A21951" s="4" t="str">
        <f>HYPERLINK("http://www.rosaceae.org/Prunus/Prunus_persica/p.persica_gdr_reftransV1_0018989","p.persica_gdr_reftransV1_0018989")</f>
        <v>p.persica_gdr_reftransV1_0018989</v>
      </c>
      <c r="B21951" s="2">
        <v>3034</v>
      </c>
      <c r="C21951" s="4" t="str">
        <f>HYPERLINK("http://www.uniprot.org/uniprot/M5W9Q6","M5W9Q6")</f>
        <v>M5W9Q6</v>
      </c>
      <c r="D21951" s="2" t="s">
        <v>16288</v>
      </c>
      <c r="E21951" s="3">
        <v>1.3900000000000001E-109</v>
      </c>
      <c r="F21951" s="2">
        <v>910</v>
      </c>
      <c r="G21951" s="2">
        <v>100</v>
      </c>
      <c r="H21951" s="2">
        <v>168</v>
      </c>
      <c r="I21951" s="2">
        <v>767</v>
      </c>
      <c r="J21951" s="2">
        <v>1270</v>
      </c>
      <c r="K21951" s="2">
        <v>1</v>
      </c>
      <c r="L21951" s="2">
        <v>168</v>
      </c>
    </row>
    <row r="21952" spans="1:12" x14ac:dyDescent="0.25">
      <c r="A21952" s="4" t="str">
        <f>HYPERLINK("http://www.rosaceae.org/Prunus/Prunus_persica/p.persica_gdr_reftransV1_0019339","p.persica_gdr_reftransV1_0019339")</f>
        <v>p.persica_gdr_reftransV1_0019339</v>
      </c>
      <c r="B21952" s="2">
        <v>3315</v>
      </c>
      <c r="C21952" s="4" t="str">
        <f>HYPERLINK("http://www.uniprot.org/uniprot/M5XX99","M5XX99")</f>
        <v>M5XX99</v>
      </c>
      <c r="D21952" s="2" t="s">
        <v>16289</v>
      </c>
      <c r="E21952" s="3">
        <v>0</v>
      </c>
      <c r="F21952" s="2">
        <v>1909</v>
      </c>
      <c r="G21952" s="2">
        <v>93</v>
      </c>
      <c r="H21952" s="2">
        <v>393</v>
      </c>
      <c r="I21952" s="2">
        <v>397</v>
      </c>
      <c r="J21952" s="2">
        <v>1572</v>
      </c>
      <c r="K21952" s="2">
        <v>295</v>
      </c>
      <c r="L21952" s="2">
        <v>679</v>
      </c>
    </row>
    <row r="21953" spans="1:12" x14ac:dyDescent="0.25">
      <c r="A21953" s="4" t="str">
        <f>HYPERLINK("http://www.rosaceae.org/Prunus/Prunus_persica/p.persica_gdr_reftransV1_0021089","p.persica_gdr_reftransV1_0021089")</f>
        <v>p.persica_gdr_reftransV1_0021089</v>
      </c>
      <c r="B21953" s="2">
        <v>544</v>
      </c>
      <c r="C21953" s="4" t="str">
        <f>HYPERLINK("http://www.uniprot.org/uniprot/M5X2X7","M5X2X7")</f>
        <v>M5X2X7</v>
      </c>
      <c r="D21953" s="2" t="s">
        <v>16290</v>
      </c>
      <c r="E21953" s="3">
        <v>3.4499999999999999E-116</v>
      </c>
      <c r="F21953" s="2">
        <v>877</v>
      </c>
      <c r="G21953" s="2">
        <v>100</v>
      </c>
      <c r="H21953" s="2">
        <v>163</v>
      </c>
      <c r="I21953" s="2">
        <v>2</v>
      </c>
      <c r="J21953" s="2">
        <v>490</v>
      </c>
      <c r="K21953" s="2">
        <v>95</v>
      </c>
      <c r="L21953" s="2">
        <v>257</v>
      </c>
    </row>
    <row r="21954" spans="1:12" x14ac:dyDescent="0.25">
      <c r="A21954" s="4" t="str">
        <f>HYPERLINK("http://www.rosaceae.org/Prunus/Prunus_persica/p.persica_gdr_reftransV1_0022139","p.persica_gdr_reftransV1_0022139")</f>
        <v>p.persica_gdr_reftransV1_0022139</v>
      </c>
      <c r="B21954" s="2">
        <v>1311</v>
      </c>
      <c r="C21954" s="4" t="str">
        <f>HYPERLINK("http://www.uniprot.org/uniprot/M5XSB1","M5XSB1")</f>
        <v>M5XSB1</v>
      </c>
      <c r="D21954" s="2" t="s">
        <v>926</v>
      </c>
      <c r="E21954" s="3">
        <v>0</v>
      </c>
      <c r="F21954" s="2">
        <v>1654</v>
      </c>
      <c r="G21954" s="2">
        <v>95</v>
      </c>
      <c r="H21954" s="2">
        <v>365</v>
      </c>
      <c r="I21954" s="2">
        <v>2</v>
      </c>
      <c r="J21954" s="2">
        <v>1096</v>
      </c>
      <c r="K21954" s="2">
        <v>1</v>
      </c>
      <c r="L21954" s="2">
        <v>361</v>
      </c>
    </row>
    <row r="21955" spans="1:12" x14ac:dyDescent="0.25">
      <c r="A21955" s="4" t="str">
        <f>HYPERLINK("http://www.rosaceae.org/Prunus/Prunus_persica/p.persica_gdr_reftransV1_0022489","p.persica_gdr_reftransV1_0022489")</f>
        <v>p.persica_gdr_reftransV1_0022489</v>
      </c>
      <c r="B21955" s="2">
        <v>1257</v>
      </c>
      <c r="C21955" s="4" t="str">
        <f>HYPERLINK("http://www.uniprot.org/uniprot/M5VQR4","M5VQR4")</f>
        <v>M5VQR4</v>
      </c>
      <c r="D21955" s="2" t="s">
        <v>16291</v>
      </c>
      <c r="E21955" s="3">
        <v>1.17E-153</v>
      </c>
      <c r="F21955" s="2">
        <v>1151</v>
      </c>
      <c r="G21955" s="2">
        <v>100</v>
      </c>
      <c r="H21955" s="2">
        <v>256</v>
      </c>
      <c r="I21955" s="2">
        <v>347</v>
      </c>
      <c r="J21955" s="2">
        <v>1114</v>
      </c>
      <c r="K21955" s="2">
        <v>1</v>
      </c>
      <c r="L21955" s="2">
        <v>256</v>
      </c>
    </row>
    <row r="21956" spans="1:12" x14ac:dyDescent="0.25">
      <c r="A21956" s="4" t="str">
        <f>HYPERLINK("http://www.rosaceae.org/Prunus/Prunus_persica/p.persica_gdr_reftransV1_0022839","p.persica_gdr_reftransV1_0022839")</f>
        <v>p.persica_gdr_reftransV1_0022839</v>
      </c>
      <c r="B21956" s="2">
        <v>1218</v>
      </c>
      <c r="C21956" s="4" t="str">
        <f>HYPERLINK("http://www.uniprot.org/uniprot/M5XFW9","M5XFW9")</f>
        <v>M5XFW9</v>
      </c>
      <c r="D21956" s="2" t="s">
        <v>16292</v>
      </c>
      <c r="E21956" s="3">
        <v>5.3799999999999995E-100</v>
      </c>
      <c r="F21956" s="2">
        <v>791</v>
      </c>
      <c r="G21956" s="2">
        <v>100</v>
      </c>
      <c r="H21956" s="2">
        <v>241</v>
      </c>
      <c r="I21956" s="2">
        <v>176</v>
      </c>
      <c r="J21956" s="2">
        <v>898</v>
      </c>
      <c r="K21956" s="2">
        <v>1</v>
      </c>
      <c r="L21956" s="2">
        <v>241</v>
      </c>
    </row>
    <row r="21957" spans="1:12" x14ac:dyDescent="0.25">
      <c r="A21957" s="4" t="str">
        <f>HYPERLINK("http://www.rosaceae.org/Prunus/Prunus_persica/p.persica_gdr_reftransV1_0023189","p.persica_gdr_reftransV1_0023189")</f>
        <v>p.persica_gdr_reftransV1_0023189</v>
      </c>
      <c r="B21957" s="2">
        <v>4072</v>
      </c>
      <c r="C21957" s="4" t="str">
        <f>HYPERLINK("http://www.uniprot.org/uniprot/M5X757","M5X757")</f>
        <v>M5X757</v>
      </c>
      <c r="D21957" s="2" t="s">
        <v>9830</v>
      </c>
      <c r="E21957" s="3">
        <v>0</v>
      </c>
      <c r="F21957" s="2">
        <v>5693</v>
      </c>
      <c r="G21957" s="2">
        <v>100</v>
      </c>
      <c r="H21957" s="2">
        <v>1100</v>
      </c>
      <c r="I21957" s="2">
        <v>771</v>
      </c>
      <c r="J21957" s="2">
        <v>4070</v>
      </c>
      <c r="K21957" s="2">
        <v>30</v>
      </c>
      <c r="L21957" s="2">
        <v>1129</v>
      </c>
    </row>
    <row r="21958" spans="1:12" x14ac:dyDescent="0.25">
      <c r="A21958" s="4" t="str">
        <f>HYPERLINK("http://www.rosaceae.org/Prunus/Prunus_persica/p.persica_gdr_reftransV1_0023889","p.persica_gdr_reftransV1_0023889")</f>
        <v>p.persica_gdr_reftransV1_0023889</v>
      </c>
      <c r="B21958" s="2">
        <v>2027</v>
      </c>
      <c r="C21958" s="4" t="str">
        <f>HYPERLINK("http://www.uniprot.org/uniprot/M5W3K1","M5W3K1")</f>
        <v>M5W3K1</v>
      </c>
      <c r="D21958" s="2" t="s">
        <v>16293</v>
      </c>
      <c r="E21958" s="3">
        <v>2.8700000000000001E-100</v>
      </c>
      <c r="F21958" s="2">
        <v>810</v>
      </c>
      <c r="G21958" s="2">
        <v>100</v>
      </c>
      <c r="H21958" s="2">
        <v>183</v>
      </c>
      <c r="I21958" s="2">
        <v>843</v>
      </c>
      <c r="J21958" s="2">
        <v>1391</v>
      </c>
      <c r="K21958" s="2">
        <v>1</v>
      </c>
      <c r="L21958" s="2">
        <v>183</v>
      </c>
    </row>
    <row r="21959" spans="1:12" x14ac:dyDescent="0.25">
      <c r="A21959" s="4" t="str">
        <f>HYPERLINK("http://www.rosaceae.org/Prunus/Prunus_persica/p.persica_gdr_reftransV1_0024939","p.persica_gdr_reftransV1_0024939")</f>
        <v>p.persica_gdr_reftransV1_0024939</v>
      </c>
      <c r="B21959" s="2">
        <v>1914</v>
      </c>
      <c r="C21959" s="4" t="str">
        <f>HYPERLINK("http://www.uniprot.org/uniprot/M5Y8G4","M5Y8G4")</f>
        <v>M5Y8G4</v>
      </c>
      <c r="D21959" s="2" t="s">
        <v>16294</v>
      </c>
      <c r="E21959" s="3">
        <v>0</v>
      </c>
      <c r="F21959" s="2">
        <v>1858</v>
      </c>
      <c r="G21959" s="2">
        <v>100</v>
      </c>
      <c r="H21959" s="2">
        <v>390</v>
      </c>
      <c r="I21959" s="2">
        <v>645</v>
      </c>
      <c r="J21959" s="2">
        <v>1814</v>
      </c>
      <c r="K21959" s="2">
        <v>121</v>
      </c>
      <c r="L21959" s="2">
        <v>510</v>
      </c>
    </row>
    <row r="21960" spans="1:12" x14ac:dyDescent="0.25">
      <c r="A21960" s="4" t="str">
        <f>HYPERLINK("http://www.rosaceae.org/Prunus/Prunus_persica/p.persica_gdr_reftransV1_0026689","p.persica_gdr_reftransV1_0026689")</f>
        <v>p.persica_gdr_reftransV1_0026689</v>
      </c>
      <c r="B21960" s="2">
        <v>2658</v>
      </c>
      <c r="C21960" s="4" t="str">
        <f>HYPERLINK("http://www.uniprot.org/uniprot/M5VIQ8","M5VIQ8")</f>
        <v>M5VIQ8</v>
      </c>
      <c r="D21960" s="2" t="s">
        <v>16295</v>
      </c>
      <c r="E21960" s="3">
        <v>0</v>
      </c>
      <c r="F21960" s="2">
        <v>2871</v>
      </c>
      <c r="G21960" s="2">
        <v>100</v>
      </c>
      <c r="H21960" s="2">
        <v>650</v>
      </c>
      <c r="I21960" s="2">
        <v>422</v>
      </c>
      <c r="J21960" s="2">
        <v>2371</v>
      </c>
      <c r="K21960" s="2">
        <v>1</v>
      </c>
      <c r="L21960" s="2">
        <v>650</v>
      </c>
    </row>
    <row r="21961" spans="1:12" x14ac:dyDescent="0.25">
      <c r="A21961" s="4" t="str">
        <f>HYPERLINK("http://www.rosaceae.org/Prunus/Prunus_persica/p.persica_gdr_reftransV1_0027389","p.persica_gdr_reftransV1_0027389")</f>
        <v>p.persica_gdr_reftransV1_0027389</v>
      </c>
      <c r="B21961" s="2">
        <v>805</v>
      </c>
      <c r="C21961" s="4" t="str">
        <f>HYPERLINK("http://www.uniprot.org/uniprot/M5WJ47","M5WJ47")</f>
        <v>M5WJ47</v>
      </c>
      <c r="D21961" s="2" t="s">
        <v>14158</v>
      </c>
      <c r="E21961" s="3">
        <v>1.35E-96</v>
      </c>
      <c r="F21961" s="2">
        <v>751</v>
      </c>
      <c r="G21961" s="2">
        <v>100</v>
      </c>
      <c r="H21961" s="2">
        <v>154</v>
      </c>
      <c r="I21961" s="2">
        <v>66</v>
      </c>
      <c r="J21961" s="2">
        <v>527</v>
      </c>
      <c r="K21961" s="2">
        <v>43</v>
      </c>
      <c r="L21961" s="2">
        <v>196</v>
      </c>
    </row>
    <row r="21962" spans="1:12" x14ac:dyDescent="0.25">
      <c r="A21962" s="4" t="str">
        <f>HYPERLINK("http://www.rosaceae.org/Prunus/Prunus_persica/p.persica_gdr_reftransV1_0028789","p.persica_gdr_reftransV1_0028789")</f>
        <v>p.persica_gdr_reftransV1_0028789</v>
      </c>
      <c r="B21962" s="2">
        <v>491</v>
      </c>
      <c r="C21962" s="4" t="str">
        <f>HYPERLINK("http://www.uniprot.org/uniprot/F6HDQ9","F6HDQ9")</f>
        <v>F6HDQ9</v>
      </c>
      <c r="D21962" s="2" t="s">
        <v>16296</v>
      </c>
      <c r="E21962" s="3">
        <v>6.5100000000000004E-73</v>
      </c>
      <c r="F21962" s="2">
        <v>618</v>
      </c>
      <c r="G21962" s="2">
        <v>80</v>
      </c>
      <c r="H21962" s="2">
        <v>142</v>
      </c>
      <c r="I21962" s="2">
        <v>65</v>
      </c>
      <c r="J21962" s="2">
        <v>490</v>
      </c>
      <c r="K21962" s="2">
        <v>3</v>
      </c>
      <c r="L21962" s="2">
        <v>144</v>
      </c>
    </row>
    <row r="21963" spans="1:12" x14ac:dyDescent="0.25">
      <c r="A21963" s="4" t="str">
        <f>HYPERLINK("http://www.rosaceae.org/Prunus/Prunus_persica/p.persica_gdr_reftransV1_0029139","p.persica_gdr_reftransV1_0029139")</f>
        <v>p.persica_gdr_reftransV1_0029139</v>
      </c>
      <c r="B21963" s="2">
        <v>1492</v>
      </c>
      <c r="C21963" s="4" t="str">
        <f>HYPERLINK("http://www.uniprot.org/uniprot/M5VK59","M5VK59")</f>
        <v>M5VK59</v>
      </c>
      <c r="D21963" s="2" t="s">
        <v>16297</v>
      </c>
      <c r="E21963" s="3">
        <v>0</v>
      </c>
      <c r="F21963" s="2">
        <v>1763</v>
      </c>
      <c r="G21963" s="2">
        <v>90</v>
      </c>
      <c r="H21963" s="2">
        <v>429</v>
      </c>
      <c r="I21963" s="2">
        <v>206</v>
      </c>
      <c r="J21963" s="2">
        <v>1492</v>
      </c>
      <c r="K21963" s="2">
        <v>202</v>
      </c>
      <c r="L21963" s="2">
        <v>621</v>
      </c>
    </row>
    <row r="21964" spans="1:12" x14ac:dyDescent="0.25">
      <c r="A21964" s="4" t="str">
        <f>HYPERLINK("http://www.rosaceae.org/Prunus/Prunus_persica/p.persica_gdr_reftransV1_0029489","p.persica_gdr_reftransV1_0029489")</f>
        <v>p.persica_gdr_reftransV1_0029489</v>
      </c>
      <c r="B21964" s="2">
        <v>1443</v>
      </c>
      <c r="C21964" s="4" t="str">
        <f>HYPERLINK("http://www.uniprot.org/uniprot/M5XB11","M5XB11")</f>
        <v>M5XB11</v>
      </c>
      <c r="D21964" s="2" t="s">
        <v>16298</v>
      </c>
      <c r="E21964" s="3">
        <v>0</v>
      </c>
      <c r="F21964" s="2">
        <v>1509</v>
      </c>
      <c r="G21964" s="2">
        <v>76</v>
      </c>
      <c r="H21964" s="2">
        <v>399</v>
      </c>
      <c r="I21964" s="2">
        <v>166</v>
      </c>
      <c r="J21964" s="2">
        <v>1362</v>
      </c>
      <c r="K21964" s="2">
        <v>1</v>
      </c>
      <c r="L21964" s="2">
        <v>362</v>
      </c>
    </row>
    <row r="21965" spans="1:12" x14ac:dyDescent="0.25">
      <c r="A21965" s="4" t="str">
        <f>HYPERLINK("http://www.rosaceae.org/Prunus/Prunus_persica/p.persica_gdr_reftransV1_0036139","p.persica_gdr_reftransV1_0036139")</f>
        <v>p.persica_gdr_reftransV1_0036139</v>
      </c>
      <c r="B21965" s="2">
        <v>2260</v>
      </c>
      <c r="C21965" s="4" t="str">
        <f>HYPERLINK("http://www.uniprot.org/uniprot/M5WJ34","M5WJ34")</f>
        <v>M5WJ34</v>
      </c>
      <c r="D21965" s="2" t="s">
        <v>16299</v>
      </c>
      <c r="E21965" s="3">
        <v>0</v>
      </c>
      <c r="F21965" s="2">
        <v>1924</v>
      </c>
      <c r="G21965" s="2">
        <v>99</v>
      </c>
      <c r="H21965" s="2">
        <v>375</v>
      </c>
      <c r="I21965" s="2">
        <v>37</v>
      </c>
      <c r="J21965" s="2">
        <v>1161</v>
      </c>
      <c r="K21965" s="2">
        <v>1</v>
      </c>
      <c r="L21965" s="2">
        <v>375</v>
      </c>
    </row>
    <row r="21966" spans="1:12" x14ac:dyDescent="0.25">
      <c r="A21966" s="4" t="str">
        <f>HYPERLINK("http://www.rosaceae.org/Prunus/Prunus_persica/p.persica_gdr_reftransV1_0037189","p.persica_gdr_reftransV1_0037189")</f>
        <v>p.persica_gdr_reftransV1_0037189</v>
      </c>
      <c r="B21966" s="2">
        <v>3785</v>
      </c>
      <c r="C21966" s="4" t="str">
        <f>HYPERLINK("http://www.uniprot.org/uniprot/M5VXM1","M5VXM1")</f>
        <v>M5VXM1</v>
      </c>
      <c r="D21966" s="2" t="s">
        <v>16300</v>
      </c>
      <c r="E21966" s="3">
        <v>0</v>
      </c>
      <c r="F21966" s="2">
        <v>1953</v>
      </c>
      <c r="G21966" s="2">
        <v>100</v>
      </c>
      <c r="H21966" s="2">
        <v>386</v>
      </c>
      <c r="I21966" s="2">
        <v>1837</v>
      </c>
      <c r="J21966" s="2">
        <v>2994</v>
      </c>
      <c r="K21966" s="2">
        <v>184</v>
      </c>
      <c r="L21966" s="2">
        <v>569</v>
      </c>
    </row>
    <row r="21967" spans="1:12" x14ac:dyDescent="0.25">
      <c r="A21967" s="4" t="str">
        <f>HYPERLINK("http://www.rosaceae.org/Prunus/Prunus_persica/p.persica_gdr_reftransV1_0039289","p.persica_gdr_reftransV1_0039289")</f>
        <v>p.persica_gdr_reftransV1_0039289</v>
      </c>
      <c r="B21967" s="2">
        <v>1171</v>
      </c>
      <c r="C21967" s="4" t="str">
        <f>HYPERLINK("http://www.uniprot.org/uniprot/A6NA74","A6NA74")</f>
        <v>A6NA74</v>
      </c>
      <c r="D21967" s="2" t="s">
        <v>16301</v>
      </c>
      <c r="E21967" s="3">
        <v>8.4800000000000002E-148</v>
      </c>
      <c r="F21967" s="2">
        <v>1105</v>
      </c>
      <c r="G21967" s="2">
        <v>100</v>
      </c>
      <c r="H21967" s="2">
        <v>230</v>
      </c>
      <c r="I21967" s="2">
        <v>427</v>
      </c>
      <c r="J21967" s="2">
        <v>1116</v>
      </c>
      <c r="K21967" s="2">
        <v>1</v>
      </c>
      <c r="L21967" s="2">
        <v>230</v>
      </c>
    </row>
    <row r="21968" spans="1:12" x14ac:dyDescent="0.25">
      <c r="A21968" s="4" t="str">
        <f>HYPERLINK("http://www.rosaceae.org/Prunus/Prunus_persica/p.persica_gdr_reftransV1_0043139","p.persica_gdr_reftransV1_0043139")</f>
        <v>p.persica_gdr_reftransV1_0043139</v>
      </c>
      <c r="B21968" s="2">
        <v>2244</v>
      </c>
      <c r="C21968" s="4" t="str">
        <f>HYPERLINK("http://www.uniprot.org/uniprot/M5VJ81","M5VJ81")</f>
        <v>M5VJ81</v>
      </c>
      <c r="D21968" s="2" t="s">
        <v>16302</v>
      </c>
      <c r="E21968" s="3">
        <v>0</v>
      </c>
      <c r="F21968" s="2">
        <v>2067</v>
      </c>
      <c r="G21968" s="2">
        <v>100</v>
      </c>
      <c r="H21968" s="2">
        <v>387</v>
      </c>
      <c r="I21968" s="2">
        <v>575</v>
      </c>
      <c r="J21968" s="2">
        <v>1735</v>
      </c>
      <c r="K21968" s="2">
        <v>1</v>
      </c>
      <c r="L21968" s="2">
        <v>387</v>
      </c>
    </row>
    <row r="21969" spans="1:12" x14ac:dyDescent="0.25">
      <c r="A21969" s="4" t="str">
        <f>HYPERLINK("http://www.rosaceae.org/Prunus/Prunus_persica/p.persica_gdr_reftransV1_0043489","p.persica_gdr_reftransV1_0043489")</f>
        <v>p.persica_gdr_reftransV1_0043489</v>
      </c>
      <c r="B21969" s="2">
        <v>312</v>
      </c>
      <c r="C21969" s="4" t="str">
        <f>HYPERLINK("http://www.uniprot.org/uniprot/M5Y3A6","M5Y3A6")</f>
        <v>M5Y3A6</v>
      </c>
      <c r="D21969" s="2" t="s">
        <v>6473</v>
      </c>
      <c r="E21969" s="3">
        <v>7.4699999999999998E-65</v>
      </c>
      <c r="F21969" s="2">
        <v>561</v>
      </c>
      <c r="G21969" s="2">
        <v>100</v>
      </c>
      <c r="H21969" s="2">
        <v>103</v>
      </c>
      <c r="I21969" s="2">
        <v>2</v>
      </c>
      <c r="J21969" s="2">
        <v>310</v>
      </c>
      <c r="K21969" s="2">
        <v>749</v>
      </c>
      <c r="L21969" s="2">
        <v>851</v>
      </c>
    </row>
    <row r="21970" spans="1:12" x14ac:dyDescent="0.25">
      <c r="A21970" s="4" t="str">
        <f>HYPERLINK("http://www.rosaceae.org/Prunus/Prunus_persica/p.persica_gdr_reftransV1_0043839","p.persica_gdr_reftransV1_0043839")</f>
        <v>p.persica_gdr_reftransV1_0043839</v>
      </c>
      <c r="B21970" s="2">
        <v>505</v>
      </c>
      <c r="C21970" s="4" t="str">
        <f>HYPERLINK("http://www.uniprot.org/uniprot/M5XKG7","M5XKG7")</f>
        <v>M5XKG7</v>
      </c>
      <c r="D21970" s="2" t="s">
        <v>4540</v>
      </c>
      <c r="E21970" s="3">
        <v>2.6300000000000002E-105</v>
      </c>
      <c r="F21970" s="2">
        <v>824</v>
      </c>
      <c r="G21970" s="2">
        <v>99</v>
      </c>
      <c r="H21970" s="2">
        <v>156</v>
      </c>
      <c r="I21970" s="2">
        <v>37</v>
      </c>
      <c r="J21970" s="2">
        <v>504</v>
      </c>
      <c r="K21970" s="2">
        <v>330</v>
      </c>
      <c r="L21970" s="2">
        <v>485</v>
      </c>
    </row>
    <row r="21971" spans="1:12" x14ac:dyDescent="0.25">
      <c r="A21971" s="4" t="str">
        <f>HYPERLINK("http://www.rosaceae.org/Prunus/Prunus_persica/p.persica_gdr_reftransV1_0044539","p.persica_gdr_reftransV1_0044539")</f>
        <v>p.persica_gdr_reftransV1_0044539</v>
      </c>
      <c r="B21971" s="2">
        <v>310</v>
      </c>
      <c r="C21971" s="4" t="str">
        <f>HYPERLINK("http://www.uniprot.org/uniprot/M5XTJ5","M5XTJ5")</f>
        <v>M5XTJ5</v>
      </c>
      <c r="D21971" s="2" t="s">
        <v>16303</v>
      </c>
      <c r="E21971" s="3">
        <v>8.7200000000000008E-53</v>
      </c>
      <c r="F21971" s="2">
        <v>445</v>
      </c>
      <c r="G21971" s="2">
        <v>100</v>
      </c>
      <c r="H21971" s="2">
        <v>103</v>
      </c>
      <c r="I21971" s="2">
        <v>1</v>
      </c>
      <c r="J21971" s="2">
        <v>309</v>
      </c>
      <c r="K21971" s="2">
        <v>53</v>
      </c>
      <c r="L21971" s="2">
        <v>155</v>
      </c>
    </row>
    <row r="21972" spans="1:12" x14ac:dyDescent="0.25">
      <c r="A21972" s="4" t="str">
        <f>HYPERLINK("http://www.rosaceae.org/Prunus/Prunus_persica/p.persica_gdr_reftransV1_0045239","p.persica_gdr_reftransV1_0045239")</f>
        <v>p.persica_gdr_reftransV1_0045239</v>
      </c>
      <c r="B21972" s="2">
        <v>358</v>
      </c>
      <c r="C21972" s="4" t="str">
        <f>HYPERLINK("http://www.uniprot.org/uniprot/M5WTH0","M5WTH0")</f>
        <v>M5WTH0</v>
      </c>
      <c r="D21972" s="2" t="s">
        <v>16304</v>
      </c>
      <c r="E21972" s="3">
        <v>3.1600000000000003E-32</v>
      </c>
      <c r="F21972" s="2">
        <v>304</v>
      </c>
      <c r="G21972" s="2">
        <v>100</v>
      </c>
      <c r="H21972" s="2">
        <v>86</v>
      </c>
      <c r="I21972" s="2">
        <v>76</v>
      </c>
      <c r="J21972" s="2">
        <v>333</v>
      </c>
      <c r="K21972" s="2">
        <v>1</v>
      </c>
      <c r="L21972" s="2">
        <v>86</v>
      </c>
    </row>
    <row r="21973" spans="1:12" x14ac:dyDescent="0.25">
      <c r="A21973" s="4" t="str">
        <f>HYPERLINK("http://www.rosaceae.org/Prunus/Prunus_persica/p.persica_gdr_reftransV1_0046639","p.persica_gdr_reftransV1_0046639")</f>
        <v>p.persica_gdr_reftransV1_0046639</v>
      </c>
      <c r="B21973" s="2">
        <v>306</v>
      </c>
      <c r="C21973" s="4" t="str">
        <f>HYPERLINK("http://www.uniprot.org/uniprot/M5VYI5","M5VYI5")</f>
        <v>M5VYI5</v>
      </c>
      <c r="D21973" s="2" t="s">
        <v>16305</v>
      </c>
      <c r="E21973" s="3">
        <v>7.8199999999999999E-61</v>
      </c>
      <c r="F21973" s="2">
        <v>527</v>
      </c>
      <c r="G21973" s="2">
        <v>100</v>
      </c>
      <c r="H21973" s="2">
        <v>101</v>
      </c>
      <c r="I21973" s="2">
        <v>2</v>
      </c>
      <c r="J21973" s="2">
        <v>304</v>
      </c>
      <c r="K21973" s="2">
        <v>496</v>
      </c>
      <c r="L21973" s="2">
        <v>596</v>
      </c>
    </row>
    <row r="21974" spans="1:12" x14ac:dyDescent="0.25">
      <c r="A21974" s="4" t="str">
        <f>HYPERLINK("http://www.rosaceae.org/Prunus/Prunus_persica/p.persica_gdr_reftransV1_0047339","p.persica_gdr_reftransV1_0047339")</f>
        <v>p.persica_gdr_reftransV1_0047339</v>
      </c>
      <c r="B21974" s="2">
        <v>1863</v>
      </c>
      <c r="C21974" s="4" t="str">
        <f>HYPERLINK("http://www.uniprot.org/uniprot/M5VVV7","M5VVV7")</f>
        <v>M5VVV7</v>
      </c>
      <c r="D21974" s="2" t="s">
        <v>16306</v>
      </c>
      <c r="E21974" s="3">
        <v>0</v>
      </c>
      <c r="F21974" s="2">
        <v>2211</v>
      </c>
      <c r="G21974" s="2">
        <v>100</v>
      </c>
      <c r="H21974" s="2">
        <v>447</v>
      </c>
      <c r="I21974" s="2">
        <v>370</v>
      </c>
      <c r="J21974" s="2">
        <v>1710</v>
      </c>
      <c r="K21974" s="2">
        <v>1</v>
      </c>
      <c r="L21974" s="2">
        <v>447</v>
      </c>
    </row>
    <row r="21975" spans="1:12" x14ac:dyDescent="0.25">
      <c r="A21975" s="4" t="str">
        <f>HYPERLINK("http://www.rosaceae.org/Prunus/Prunus_persica/p.persica_gdr_reftransV1_0047689","p.persica_gdr_reftransV1_0047689")</f>
        <v>p.persica_gdr_reftransV1_0047689</v>
      </c>
      <c r="B21975" s="2">
        <v>1191</v>
      </c>
      <c r="C21975" s="4" t="str">
        <f>HYPERLINK("http://www.uniprot.org/uniprot/A0A075VUK6","A0A075VUK6")</f>
        <v>A0A075VUK6</v>
      </c>
      <c r="D21975" s="2" t="s">
        <v>16307</v>
      </c>
      <c r="E21975" s="3">
        <v>1.2599999999999999E-13</v>
      </c>
      <c r="F21975" s="2">
        <v>128</v>
      </c>
      <c r="G21975" s="2">
        <v>27</v>
      </c>
      <c r="H21975" s="2">
        <v>203</v>
      </c>
      <c r="I21975" s="2">
        <v>145</v>
      </c>
      <c r="J21975" s="2">
        <v>747</v>
      </c>
      <c r="K21975" s="2">
        <v>333</v>
      </c>
      <c r="L21975" s="2">
        <v>511</v>
      </c>
    </row>
    <row r="21976" spans="1:12" x14ac:dyDescent="0.25">
      <c r="A21976" s="4" t="str">
        <f>HYPERLINK("http://www.rosaceae.org/Prunus/Prunus_persica/p.persica_gdr_reftransV1_0048039","p.persica_gdr_reftransV1_0048039")</f>
        <v>p.persica_gdr_reftransV1_0048039</v>
      </c>
      <c r="B21976" s="2">
        <v>3684</v>
      </c>
      <c r="C21976" s="4" t="str">
        <f>HYPERLINK("http://www.uniprot.org/uniprot/M5VVR3","M5VVR3")</f>
        <v>M5VVR3</v>
      </c>
      <c r="D21976" s="2" t="s">
        <v>6417</v>
      </c>
      <c r="E21976" s="3">
        <v>0</v>
      </c>
      <c r="F21976" s="2">
        <v>4965</v>
      </c>
      <c r="G21976" s="2">
        <v>100</v>
      </c>
      <c r="H21976" s="2">
        <v>980</v>
      </c>
      <c r="I21976" s="2">
        <v>391</v>
      </c>
      <c r="J21976" s="2">
        <v>3330</v>
      </c>
      <c r="K21976" s="2">
        <v>1</v>
      </c>
      <c r="L21976" s="2">
        <v>980</v>
      </c>
    </row>
    <row r="21977" spans="1:12" x14ac:dyDescent="0.25">
      <c r="A21977" s="4" t="str">
        <f>HYPERLINK("http://www.rosaceae.org/Prunus/Prunus_persica/p.persica_gdr_reftransV1_0048389","p.persica_gdr_reftransV1_0048389")</f>
        <v>p.persica_gdr_reftransV1_0048389</v>
      </c>
      <c r="B21977" s="2">
        <v>1409</v>
      </c>
      <c r="C21977" s="4" t="str">
        <f>HYPERLINK("http://www.uniprot.org/uniprot/M5WAE8","M5WAE8")</f>
        <v>M5WAE8</v>
      </c>
      <c r="D21977" s="2" t="s">
        <v>9866</v>
      </c>
      <c r="E21977" s="3">
        <v>2.7899999999999999E-73</v>
      </c>
      <c r="F21977" s="2">
        <v>618</v>
      </c>
      <c r="G21977" s="2">
        <v>97</v>
      </c>
      <c r="H21977" s="2">
        <v>125</v>
      </c>
      <c r="I21977" s="2">
        <v>829</v>
      </c>
      <c r="J21977" s="2">
        <v>1203</v>
      </c>
      <c r="K21977" s="2">
        <v>118</v>
      </c>
      <c r="L21977" s="2">
        <v>242</v>
      </c>
    </row>
    <row r="21978" spans="1:12" x14ac:dyDescent="0.25">
      <c r="A21978" s="4" t="str">
        <f>HYPERLINK("http://www.rosaceae.org/Prunus/Prunus_persica/p.persica_gdr_reftransV1_0048739","p.persica_gdr_reftransV1_0048739")</f>
        <v>p.persica_gdr_reftransV1_0048739</v>
      </c>
      <c r="B21978" s="2">
        <v>1309</v>
      </c>
      <c r="C21978" s="4" t="str">
        <f>HYPERLINK("http://www.uniprot.org/uniprot/M5VRR1","M5VRR1")</f>
        <v>M5VRR1</v>
      </c>
      <c r="D21978" s="2" t="s">
        <v>16308</v>
      </c>
      <c r="E21978" s="3">
        <v>1.78E-171</v>
      </c>
      <c r="F21978" s="2">
        <v>1267</v>
      </c>
      <c r="G21978" s="2">
        <v>100</v>
      </c>
      <c r="H21978" s="2">
        <v>237</v>
      </c>
      <c r="I21978" s="2">
        <v>507</v>
      </c>
      <c r="J21978" s="2">
        <v>1217</v>
      </c>
      <c r="K21978" s="2">
        <v>1</v>
      </c>
      <c r="L21978" s="2">
        <v>237</v>
      </c>
    </row>
    <row r="21979" spans="1:12" x14ac:dyDescent="0.25">
      <c r="A21979" s="4" t="str">
        <f>HYPERLINK("http://www.rosaceae.org/Prunus/Prunus_persica/p.persica_gdr_reftransV1_0049089","p.persica_gdr_reftransV1_0049089")</f>
        <v>p.persica_gdr_reftransV1_0049089</v>
      </c>
      <c r="B21979" s="2">
        <v>1193</v>
      </c>
      <c r="C21979" s="4" t="str">
        <f>HYPERLINK("http://www.uniprot.org/uniprot/M5WND4","M5WND4")</f>
        <v>M5WND4</v>
      </c>
      <c r="D21979" s="2" t="s">
        <v>12777</v>
      </c>
      <c r="E21979" s="3">
        <v>0</v>
      </c>
      <c r="F21979" s="2">
        <v>1771</v>
      </c>
      <c r="G21979" s="2">
        <v>100</v>
      </c>
      <c r="H21979" s="2">
        <v>345</v>
      </c>
      <c r="I21979" s="2">
        <v>158</v>
      </c>
      <c r="J21979" s="2">
        <v>1192</v>
      </c>
      <c r="K21979" s="2">
        <v>507</v>
      </c>
      <c r="L21979" s="2">
        <v>851</v>
      </c>
    </row>
    <row r="21980" spans="1:12" x14ac:dyDescent="0.25">
      <c r="A21980" s="4" t="str">
        <f>HYPERLINK("http://www.rosaceae.org/Prunus/Prunus_persica/p.persica_gdr_reftransV1_0000090","p.persica_gdr_reftransV1_0000090")</f>
        <v>p.persica_gdr_reftransV1_0000090</v>
      </c>
      <c r="B21980" s="2">
        <v>1414</v>
      </c>
      <c r="C21980" s="4" t="str">
        <f>HYPERLINK("http://www.uniprot.org/uniprot/M5WH15","M5WH15")</f>
        <v>M5WH15</v>
      </c>
      <c r="D21980" s="2" t="s">
        <v>6556</v>
      </c>
      <c r="E21980" s="3">
        <v>1.48E-149</v>
      </c>
      <c r="F21980" s="2">
        <v>1126</v>
      </c>
      <c r="G21980" s="2">
        <v>100</v>
      </c>
      <c r="H21980" s="2">
        <v>232</v>
      </c>
      <c r="I21980" s="2">
        <v>194</v>
      </c>
      <c r="J21980" s="2">
        <v>889</v>
      </c>
      <c r="K21980" s="2">
        <v>1</v>
      </c>
      <c r="L21980" s="2">
        <v>232</v>
      </c>
    </row>
    <row r="21981" spans="1:12" x14ac:dyDescent="0.25">
      <c r="A21981" s="4" t="str">
        <f>HYPERLINK("http://www.rosaceae.org/Prunus/Prunus_persica/p.persica_gdr_reftransV1_0000440","p.persica_gdr_reftransV1_0000440")</f>
        <v>p.persica_gdr_reftransV1_0000440</v>
      </c>
      <c r="B21981" s="2">
        <v>1302</v>
      </c>
      <c r="C21981" s="4" t="str">
        <f>HYPERLINK("http://www.uniprot.org/uniprot/M5XSP7","M5XSP7")</f>
        <v>M5XSP7</v>
      </c>
      <c r="D21981" s="2" t="s">
        <v>16309</v>
      </c>
      <c r="E21981" s="3">
        <v>8.7800000000000002E-131</v>
      </c>
      <c r="F21981" s="2">
        <v>865</v>
      </c>
      <c r="G21981" s="2">
        <v>100</v>
      </c>
      <c r="H21981" s="2">
        <v>162</v>
      </c>
      <c r="I21981" s="2">
        <v>431</v>
      </c>
      <c r="J21981" s="2">
        <v>916</v>
      </c>
      <c r="K21981" s="2">
        <v>89</v>
      </c>
      <c r="L21981" s="2">
        <v>250</v>
      </c>
    </row>
    <row r="21982" spans="1:12" x14ac:dyDescent="0.25">
      <c r="A21982" s="4" t="str">
        <f>HYPERLINK("http://www.rosaceae.org/Prunus/Prunus_persica/p.persica_gdr_reftransV1_0000790","p.persica_gdr_reftransV1_0000790")</f>
        <v>p.persica_gdr_reftransV1_0000790</v>
      </c>
      <c r="B21982" s="2">
        <v>1231</v>
      </c>
      <c r="C21982" s="4" t="str">
        <f>HYPERLINK("http://www.uniprot.org/uniprot/M5W530","M5W530")</f>
        <v>M5W530</v>
      </c>
      <c r="D21982" s="2" t="s">
        <v>6456</v>
      </c>
      <c r="E21982" s="3">
        <v>0</v>
      </c>
      <c r="F21982" s="2">
        <v>1442</v>
      </c>
      <c r="G21982" s="2">
        <v>100</v>
      </c>
      <c r="H21982" s="2">
        <v>321</v>
      </c>
      <c r="I21982" s="2">
        <v>109</v>
      </c>
      <c r="J21982" s="2">
        <v>1071</v>
      </c>
      <c r="K21982" s="2">
        <v>1</v>
      </c>
      <c r="L21982" s="2">
        <v>321</v>
      </c>
    </row>
    <row r="21983" spans="1:12" x14ac:dyDescent="0.25">
      <c r="A21983" s="4" t="str">
        <f>HYPERLINK("http://www.rosaceae.org/Prunus/Prunus_persica/p.persica_gdr_reftransV1_0001140","p.persica_gdr_reftransV1_0001140")</f>
        <v>p.persica_gdr_reftransV1_0001140</v>
      </c>
      <c r="B21983" s="2">
        <v>812</v>
      </c>
      <c r="C21983" s="4" t="str">
        <f>HYPERLINK("http://www.uniprot.org/uniprot/M5WDH9","M5WDH9")</f>
        <v>M5WDH9</v>
      </c>
      <c r="D21983" s="2" t="s">
        <v>16310</v>
      </c>
      <c r="E21983" s="3">
        <v>2.8600000000000001E-81</v>
      </c>
      <c r="F21983" s="2">
        <v>644</v>
      </c>
      <c r="G21983" s="2">
        <v>100</v>
      </c>
      <c r="H21983" s="2">
        <v>133</v>
      </c>
      <c r="I21983" s="2">
        <v>50</v>
      </c>
      <c r="J21983" s="2">
        <v>448</v>
      </c>
      <c r="K21983" s="2">
        <v>1</v>
      </c>
      <c r="L21983" s="2">
        <v>133</v>
      </c>
    </row>
    <row r="21984" spans="1:12" x14ac:dyDescent="0.25">
      <c r="A21984" s="4" t="str">
        <f>HYPERLINK("http://www.rosaceae.org/Prunus/Prunus_persica/p.persica_gdr_reftransV1_0001490","p.persica_gdr_reftransV1_0001490")</f>
        <v>p.persica_gdr_reftransV1_0001490</v>
      </c>
      <c r="B21984" s="2">
        <v>3692</v>
      </c>
      <c r="C21984" s="4" t="str">
        <f>HYPERLINK("http://www.uniprot.org/uniprot/M5W786","M5W786")</f>
        <v>M5W786</v>
      </c>
      <c r="D21984" s="2" t="s">
        <v>15341</v>
      </c>
      <c r="E21984" s="3">
        <v>0</v>
      </c>
      <c r="F21984" s="2">
        <v>4326</v>
      </c>
      <c r="G21984" s="2">
        <v>100</v>
      </c>
      <c r="H21984" s="2">
        <v>879</v>
      </c>
      <c r="I21984" s="2">
        <v>752</v>
      </c>
      <c r="J21984" s="2">
        <v>3388</v>
      </c>
      <c r="K21984" s="2">
        <v>12</v>
      </c>
      <c r="L21984" s="2">
        <v>890</v>
      </c>
    </row>
    <row r="21985" spans="1:12" x14ac:dyDescent="0.25">
      <c r="A21985" s="4" t="str">
        <f>HYPERLINK("http://www.rosaceae.org/Prunus/Prunus_persica/p.persica_gdr_reftransV1_0001840","p.persica_gdr_reftransV1_0001840")</f>
        <v>p.persica_gdr_reftransV1_0001840</v>
      </c>
      <c r="B21985" s="2">
        <v>511</v>
      </c>
      <c r="C21985" s="4" t="str">
        <f>HYPERLINK("http://www.uniprot.org/uniprot/H1UYR1","H1UYR1")</f>
        <v>H1UYR1</v>
      </c>
      <c r="D21985" s="2" t="s">
        <v>16311</v>
      </c>
      <c r="E21985" s="3">
        <v>1.23E-51</v>
      </c>
      <c r="F21985" s="2">
        <v>436</v>
      </c>
      <c r="G21985" s="2">
        <v>98</v>
      </c>
      <c r="H21985" s="2">
        <v>98</v>
      </c>
      <c r="I21985" s="2">
        <v>131</v>
      </c>
      <c r="J21985" s="2">
        <v>424</v>
      </c>
      <c r="K21985" s="2">
        <v>20</v>
      </c>
      <c r="L21985" s="2">
        <v>117</v>
      </c>
    </row>
    <row r="21986" spans="1:12" x14ac:dyDescent="0.25">
      <c r="A21986" s="4" t="str">
        <f>HYPERLINK("http://www.rosaceae.org/Prunus/Prunus_persica/p.persica_gdr_reftransV1_0002190","p.persica_gdr_reftransV1_0002190")</f>
        <v>p.persica_gdr_reftransV1_0002190</v>
      </c>
      <c r="B21986" s="2">
        <v>2787</v>
      </c>
      <c r="C21986" s="4" t="str">
        <f>HYPERLINK("http://www.uniprot.org/uniprot/M5Y3W2","M5Y3W2")</f>
        <v>M5Y3W2</v>
      </c>
      <c r="D21986" s="2" t="s">
        <v>16312</v>
      </c>
      <c r="E21986" s="3">
        <v>0</v>
      </c>
      <c r="F21986" s="2">
        <v>2188</v>
      </c>
      <c r="G21986" s="2">
        <v>99</v>
      </c>
      <c r="H21986" s="2">
        <v>614</v>
      </c>
      <c r="I21986" s="2">
        <v>648</v>
      </c>
      <c r="J21986" s="2">
        <v>2489</v>
      </c>
      <c r="K21986" s="2">
        <v>197</v>
      </c>
      <c r="L21986" s="2">
        <v>810</v>
      </c>
    </row>
    <row r="21987" spans="1:12" x14ac:dyDescent="0.25">
      <c r="A21987" s="4" t="str">
        <f>HYPERLINK("http://www.rosaceae.org/Prunus/Prunus_persica/p.persica_gdr_reftransV1_0002540","p.persica_gdr_reftransV1_0002540")</f>
        <v>p.persica_gdr_reftransV1_0002540</v>
      </c>
      <c r="B21987" s="2">
        <v>697</v>
      </c>
      <c r="C21987" s="4" t="str">
        <f>HYPERLINK("http://www.uniprot.org/uniprot/M5WHM0","M5WHM0")</f>
        <v>M5WHM0</v>
      </c>
      <c r="D21987" s="2" t="s">
        <v>11173</v>
      </c>
      <c r="E21987" s="3">
        <v>1.2300000000000001E-144</v>
      </c>
      <c r="F21987" s="2">
        <v>1077</v>
      </c>
      <c r="G21987" s="2">
        <v>99</v>
      </c>
      <c r="H21987" s="2">
        <v>207</v>
      </c>
      <c r="I21987" s="2">
        <v>3</v>
      </c>
      <c r="J21987" s="2">
        <v>623</v>
      </c>
      <c r="K21987" s="2">
        <v>1</v>
      </c>
      <c r="L21987" s="2">
        <v>207</v>
      </c>
    </row>
    <row r="21988" spans="1:12" x14ac:dyDescent="0.25">
      <c r="A21988" s="4" t="str">
        <f>HYPERLINK("http://www.rosaceae.org/Prunus/Prunus_persica/p.persica_gdr_reftransV1_0003240","p.persica_gdr_reftransV1_0003240")</f>
        <v>p.persica_gdr_reftransV1_0003240</v>
      </c>
      <c r="B21988" s="2">
        <v>342</v>
      </c>
      <c r="C21988" s="4" t="str">
        <f>HYPERLINK("http://www.uniprot.org/uniprot/I1RTH6","I1RTH6")</f>
        <v>I1RTH6</v>
      </c>
      <c r="D21988" s="2" t="s">
        <v>16313</v>
      </c>
      <c r="E21988" s="3">
        <v>4.1300000000000002E-75</v>
      </c>
      <c r="F21988" s="2">
        <v>597</v>
      </c>
      <c r="G21988" s="2">
        <v>99</v>
      </c>
      <c r="H21988" s="2">
        <v>113</v>
      </c>
      <c r="I21988" s="2">
        <v>2</v>
      </c>
      <c r="J21988" s="2">
        <v>340</v>
      </c>
      <c r="K21988" s="2">
        <v>19</v>
      </c>
      <c r="L21988" s="2">
        <v>131</v>
      </c>
    </row>
    <row r="21989" spans="1:12" x14ac:dyDescent="0.25">
      <c r="A21989" s="4" t="str">
        <f>HYPERLINK("http://www.rosaceae.org/Prunus/Prunus_persica/p.persica_gdr_reftransV1_0003590","p.persica_gdr_reftransV1_0003590")</f>
        <v>p.persica_gdr_reftransV1_0003590</v>
      </c>
      <c r="B21989" s="2">
        <v>1151</v>
      </c>
      <c r="C21989" s="4" t="str">
        <f>HYPERLINK("http://www.uniprot.org/uniprot/M5WVF3","M5WVF3")</f>
        <v>M5WVF3</v>
      </c>
      <c r="D21989" s="2" t="s">
        <v>16314</v>
      </c>
      <c r="E21989" s="3">
        <v>2.63E-37</v>
      </c>
      <c r="F21989" s="2">
        <v>379</v>
      </c>
      <c r="G21989" s="2">
        <v>67</v>
      </c>
      <c r="H21989" s="2">
        <v>114</v>
      </c>
      <c r="I21989" s="2">
        <v>678</v>
      </c>
      <c r="J21989" s="2">
        <v>1001</v>
      </c>
      <c r="K21989" s="2">
        <v>306</v>
      </c>
      <c r="L21989" s="2">
        <v>419</v>
      </c>
    </row>
    <row r="21990" spans="1:12" x14ac:dyDescent="0.25">
      <c r="A21990" s="4" t="str">
        <f>HYPERLINK("http://www.rosaceae.org/Prunus/Prunus_persica/p.persica_gdr_reftransV1_0003940","p.persica_gdr_reftransV1_0003940")</f>
        <v>p.persica_gdr_reftransV1_0003940</v>
      </c>
      <c r="B21990" s="2">
        <v>1791</v>
      </c>
      <c r="C21990" s="4" t="str">
        <f>HYPERLINK("http://www.uniprot.org/uniprot/M5WFP7","M5WFP7")</f>
        <v>M5WFP7</v>
      </c>
      <c r="D21990" s="2" t="s">
        <v>15391</v>
      </c>
      <c r="E21990" s="3">
        <v>0</v>
      </c>
      <c r="F21990" s="2">
        <v>2374</v>
      </c>
      <c r="G21990" s="2">
        <v>100</v>
      </c>
      <c r="H21990" s="2">
        <v>469</v>
      </c>
      <c r="I21990" s="2">
        <v>304</v>
      </c>
      <c r="J21990" s="2">
        <v>1710</v>
      </c>
      <c r="K21990" s="2">
        <v>1</v>
      </c>
      <c r="L21990" s="2">
        <v>469</v>
      </c>
    </row>
    <row r="21991" spans="1:12" x14ac:dyDescent="0.25">
      <c r="A21991" s="4" t="str">
        <f>HYPERLINK("http://www.rosaceae.org/Prunus/Prunus_persica/p.persica_gdr_reftransV1_0004640","p.persica_gdr_reftransV1_0004640")</f>
        <v>p.persica_gdr_reftransV1_0004640</v>
      </c>
      <c r="B21991" s="2">
        <v>950</v>
      </c>
      <c r="C21991" s="4" t="str">
        <f>HYPERLINK("http://www.uniprot.org/uniprot/M5VZX6","M5VZX6")</f>
        <v>M5VZX6</v>
      </c>
      <c r="D21991" s="2" t="s">
        <v>16315</v>
      </c>
      <c r="E21991" s="3">
        <v>3.5600000000000001E-121</v>
      </c>
      <c r="F21991" s="2">
        <v>923</v>
      </c>
      <c r="G21991" s="2">
        <v>89</v>
      </c>
      <c r="H21991" s="2">
        <v>238</v>
      </c>
      <c r="I21991" s="2">
        <v>219</v>
      </c>
      <c r="J21991" s="2">
        <v>854</v>
      </c>
      <c r="K21991" s="2">
        <v>1</v>
      </c>
      <c r="L21991" s="2">
        <v>238</v>
      </c>
    </row>
    <row r="21992" spans="1:12" x14ac:dyDescent="0.25">
      <c r="A21992" s="4" t="str">
        <f>HYPERLINK("http://www.rosaceae.org/Prunus/Prunus_persica/p.persica_gdr_reftransV1_0004990","p.persica_gdr_reftransV1_0004990")</f>
        <v>p.persica_gdr_reftransV1_0004990</v>
      </c>
      <c r="B21992" s="2">
        <v>1047</v>
      </c>
      <c r="C21992" s="4" t="str">
        <f>HYPERLINK("http://www.uniprot.org/uniprot/M5WW51","M5WW51")</f>
        <v>M5WW51</v>
      </c>
      <c r="D21992" s="2" t="s">
        <v>12784</v>
      </c>
      <c r="E21992" s="3">
        <v>1.1E-106</v>
      </c>
      <c r="F21992" s="2">
        <v>837</v>
      </c>
      <c r="G21992" s="2">
        <v>100</v>
      </c>
      <c r="H21992" s="2">
        <v>191</v>
      </c>
      <c r="I21992" s="2">
        <v>461</v>
      </c>
      <c r="J21992" s="2">
        <v>1033</v>
      </c>
      <c r="K21992" s="2">
        <v>121</v>
      </c>
      <c r="L21992" s="2">
        <v>311</v>
      </c>
    </row>
    <row r="21993" spans="1:12" x14ac:dyDescent="0.25">
      <c r="A21993" s="4" t="str">
        <f>HYPERLINK("http://www.rosaceae.org/Prunus/Prunus_persica/p.persica_gdr_reftransV1_0005340","p.persica_gdr_reftransV1_0005340")</f>
        <v>p.persica_gdr_reftransV1_0005340</v>
      </c>
      <c r="B21993" s="2">
        <v>2210</v>
      </c>
      <c r="C21993" s="4" t="str">
        <f>HYPERLINK("http://www.uniprot.org/uniprot/M5VXR6","M5VXR6")</f>
        <v>M5VXR6</v>
      </c>
      <c r="D21993" s="2" t="s">
        <v>16316</v>
      </c>
      <c r="E21993" s="3">
        <v>0</v>
      </c>
      <c r="F21993" s="2">
        <v>2672</v>
      </c>
      <c r="G21993" s="2">
        <v>92</v>
      </c>
      <c r="H21993" s="2">
        <v>603</v>
      </c>
      <c r="I21993" s="2">
        <v>336</v>
      </c>
      <c r="J21993" s="2">
        <v>2144</v>
      </c>
      <c r="K21993" s="2">
        <v>1</v>
      </c>
      <c r="L21993" s="2">
        <v>555</v>
      </c>
    </row>
    <row r="21994" spans="1:12" x14ac:dyDescent="0.25">
      <c r="A21994" s="4" t="str">
        <f>HYPERLINK("http://www.rosaceae.org/Prunus/Prunus_persica/p.persica_gdr_reftransV1_0005690","p.persica_gdr_reftransV1_0005690")</f>
        <v>p.persica_gdr_reftransV1_0005690</v>
      </c>
      <c r="B21994" s="2">
        <v>892</v>
      </c>
      <c r="C21994" s="4" t="str">
        <f>HYPERLINK("http://www.uniprot.org/uniprot/M5W8Q0","M5W8Q0")</f>
        <v>M5W8Q0</v>
      </c>
      <c r="D21994" s="2" t="s">
        <v>16317</v>
      </c>
      <c r="E21994" s="3">
        <v>2.73E-75</v>
      </c>
      <c r="F21994" s="2">
        <v>642</v>
      </c>
      <c r="G21994" s="2">
        <v>46</v>
      </c>
      <c r="H21994" s="2">
        <v>276</v>
      </c>
      <c r="I21994" s="2">
        <v>62</v>
      </c>
      <c r="J21994" s="2">
        <v>889</v>
      </c>
      <c r="K21994" s="2">
        <v>6</v>
      </c>
      <c r="L21994" s="2">
        <v>268</v>
      </c>
    </row>
    <row r="21995" spans="1:12" x14ac:dyDescent="0.25">
      <c r="A21995" s="4" t="str">
        <f>HYPERLINK("http://www.rosaceae.org/Prunus/Prunus_persica/p.persica_gdr_reftransV1_0006390","p.persica_gdr_reftransV1_0006390")</f>
        <v>p.persica_gdr_reftransV1_0006390</v>
      </c>
      <c r="B21995" s="2">
        <v>2492</v>
      </c>
      <c r="C21995" s="4" t="str">
        <f>HYPERLINK("http://www.uniprot.org/uniprot/M5VZI9","M5VZI9")</f>
        <v>M5VZI9</v>
      </c>
      <c r="D21995" s="2" t="s">
        <v>12529</v>
      </c>
      <c r="E21995" s="3">
        <v>0</v>
      </c>
      <c r="F21995" s="2">
        <v>2451</v>
      </c>
      <c r="G21995" s="2">
        <v>100</v>
      </c>
      <c r="H21995" s="2">
        <v>547</v>
      </c>
      <c r="I21995" s="2">
        <v>1</v>
      </c>
      <c r="J21995" s="2">
        <v>1641</v>
      </c>
      <c r="K21995" s="2">
        <v>82</v>
      </c>
      <c r="L21995" s="2">
        <v>628</v>
      </c>
    </row>
    <row r="21996" spans="1:12" x14ac:dyDescent="0.25">
      <c r="A21996" s="4" t="str">
        <f>HYPERLINK("http://www.rosaceae.org/Prunus/Prunus_persica/p.persica_gdr_reftransV1_0006740","p.persica_gdr_reftransV1_0006740")</f>
        <v>p.persica_gdr_reftransV1_0006740</v>
      </c>
      <c r="B21996" s="2">
        <v>503</v>
      </c>
      <c r="C21996" s="4" t="str">
        <f>HYPERLINK("http://www.uniprot.org/uniprot/A5BML2","A5BML2")</f>
        <v>A5BML2</v>
      </c>
      <c r="D21996" s="2" t="s">
        <v>16318</v>
      </c>
      <c r="E21996" s="3">
        <v>2.33E-67</v>
      </c>
      <c r="F21996" s="2">
        <v>583</v>
      </c>
      <c r="G21996" s="2">
        <v>69</v>
      </c>
      <c r="H21996" s="2">
        <v>167</v>
      </c>
      <c r="I21996" s="2">
        <v>3</v>
      </c>
      <c r="J21996" s="2">
        <v>503</v>
      </c>
      <c r="K21996" s="2">
        <v>6</v>
      </c>
      <c r="L21996" s="2">
        <v>172</v>
      </c>
    </row>
    <row r="21997" spans="1:12" x14ac:dyDescent="0.25">
      <c r="A21997" s="4" t="str">
        <f>HYPERLINK("http://www.rosaceae.org/Prunus/Prunus_persica/p.persica_gdr_reftransV1_0007090","p.persica_gdr_reftransV1_0007090")</f>
        <v>p.persica_gdr_reftransV1_0007090</v>
      </c>
      <c r="B21997" s="2">
        <v>551</v>
      </c>
      <c r="C21997" s="4" t="str">
        <f>HYPERLINK("http://www.uniprot.org/uniprot/M5XJ40","M5XJ40")</f>
        <v>M5XJ40</v>
      </c>
      <c r="D21997" s="2" t="s">
        <v>16319</v>
      </c>
      <c r="E21997" s="3">
        <v>1.3799999999999999E-85</v>
      </c>
      <c r="F21997" s="2">
        <v>706</v>
      </c>
      <c r="G21997" s="2">
        <v>100</v>
      </c>
      <c r="H21997" s="2">
        <v>132</v>
      </c>
      <c r="I21997" s="2">
        <v>154</v>
      </c>
      <c r="J21997" s="2">
        <v>549</v>
      </c>
      <c r="K21997" s="2">
        <v>533</v>
      </c>
      <c r="L21997" s="2">
        <v>664</v>
      </c>
    </row>
    <row r="21998" spans="1:12" x14ac:dyDescent="0.25">
      <c r="A21998" s="4" t="str">
        <f>HYPERLINK("http://www.rosaceae.org/Prunus/Prunus_persica/p.persica_gdr_reftransV1_0007440","p.persica_gdr_reftransV1_0007440")</f>
        <v>p.persica_gdr_reftransV1_0007440</v>
      </c>
      <c r="B21998" s="2">
        <v>545</v>
      </c>
      <c r="C21998" s="4" t="str">
        <f>HYPERLINK("http://www.uniprot.org/uniprot/M5Y060","M5Y060")</f>
        <v>M5Y060</v>
      </c>
      <c r="D21998" s="2" t="s">
        <v>11939</v>
      </c>
      <c r="E21998" s="3">
        <v>3.55E-118</v>
      </c>
      <c r="F21998" s="2">
        <v>938</v>
      </c>
      <c r="G21998" s="2">
        <v>100</v>
      </c>
      <c r="H21998" s="2">
        <v>181</v>
      </c>
      <c r="I21998" s="2">
        <v>2</v>
      </c>
      <c r="J21998" s="2">
        <v>544</v>
      </c>
      <c r="K21998" s="2">
        <v>229</v>
      </c>
      <c r="L21998" s="2">
        <v>409</v>
      </c>
    </row>
    <row r="21999" spans="1:12" x14ac:dyDescent="0.25">
      <c r="A21999" s="4" t="str">
        <f>HYPERLINK("http://www.rosaceae.org/Prunus/Prunus_persica/p.persica_gdr_reftransV1_0008140","p.persica_gdr_reftransV1_0008140")</f>
        <v>p.persica_gdr_reftransV1_0008140</v>
      </c>
      <c r="B21999" s="2">
        <v>3016</v>
      </c>
      <c r="C21999" s="4" t="str">
        <f>HYPERLINK("http://www.uniprot.org/uniprot/M5XLW1","M5XLW1")</f>
        <v>M5XLW1</v>
      </c>
      <c r="D21999" s="2" t="s">
        <v>16320</v>
      </c>
      <c r="E21999" s="3">
        <v>0</v>
      </c>
      <c r="F21999" s="2">
        <v>4253</v>
      </c>
      <c r="G21999" s="2">
        <v>100</v>
      </c>
      <c r="H21999" s="2">
        <v>831</v>
      </c>
      <c r="I21999" s="2">
        <v>266</v>
      </c>
      <c r="J21999" s="2">
        <v>2758</v>
      </c>
      <c r="K21999" s="2">
        <v>1</v>
      </c>
      <c r="L21999" s="2">
        <v>831</v>
      </c>
    </row>
    <row r="22000" spans="1:12" x14ac:dyDescent="0.25">
      <c r="A22000" s="4" t="str">
        <f>HYPERLINK("http://www.rosaceae.org/Prunus/Prunus_persica/p.persica_gdr_reftransV1_0008490","p.persica_gdr_reftransV1_0008490")</f>
        <v>p.persica_gdr_reftransV1_0008490</v>
      </c>
      <c r="B22000" s="2">
        <v>3714</v>
      </c>
      <c r="C22000" s="4" t="str">
        <f>HYPERLINK("http://www.uniprot.org/uniprot/M5XXX7","M5XXX7")</f>
        <v>M5XXX7</v>
      </c>
      <c r="D22000" s="2" t="s">
        <v>16321</v>
      </c>
      <c r="E22000" s="3">
        <v>0</v>
      </c>
      <c r="F22000" s="2">
        <v>5054</v>
      </c>
      <c r="G22000" s="2">
        <v>100</v>
      </c>
      <c r="H22000" s="2">
        <v>1106</v>
      </c>
      <c r="I22000" s="2">
        <v>270</v>
      </c>
      <c r="J22000" s="2">
        <v>3587</v>
      </c>
      <c r="K22000" s="2">
        <v>9</v>
      </c>
      <c r="L22000" s="2">
        <v>1114</v>
      </c>
    </row>
    <row r="22001" spans="1:12" x14ac:dyDescent="0.25">
      <c r="A22001" s="4" t="str">
        <f>HYPERLINK("http://www.rosaceae.org/Prunus/Prunus_persica/p.persica_gdr_reftransV1_0009190","p.persica_gdr_reftransV1_0009190")</f>
        <v>p.persica_gdr_reftransV1_0009190</v>
      </c>
      <c r="B22001" s="2">
        <v>863</v>
      </c>
      <c r="C22001" s="4" t="str">
        <f>HYPERLINK("http://www.uniprot.org/uniprot/M5XL44","M5XL44")</f>
        <v>M5XL44</v>
      </c>
      <c r="D22001" s="2" t="s">
        <v>16322</v>
      </c>
      <c r="E22001" s="3">
        <v>6.3499999999999997E-97</v>
      </c>
      <c r="F22001" s="2">
        <v>750</v>
      </c>
      <c r="G22001" s="2">
        <v>100</v>
      </c>
      <c r="H22001" s="2">
        <v>148</v>
      </c>
      <c r="I22001" s="2">
        <v>106</v>
      </c>
      <c r="J22001" s="2">
        <v>549</v>
      </c>
      <c r="K22001" s="2">
        <v>1</v>
      </c>
      <c r="L22001" s="2">
        <v>148</v>
      </c>
    </row>
    <row r="22002" spans="1:12" x14ac:dyDescent="0.25">
      <c r="A22002" s="4" t="str">
        <f>HYPERLINK("http://www.rosaceae.org/Prunus/Prunus_persica/p.persica_gdr_reftransV1_0009890","p.persica_gdr_reftransV1_0009890")</f>
        <v>p.persica_gdr_reftransV1_0009890</v>
      </c>
      <c r="B22002" s="2">
        <v>902</v>
      </c>
      <c r="C22002" s="4" t="str">
        <f>HYPERLINK("http://www.uniprot.org/uniprot/M5X715","M5X715")</f>
        <v>M5X715</v>
      </c>
      <c r="D22002" s="2" t="s">
        <v>5984</v>
      </c>
      <c r="E22002" s="3">
        <v>2.7000000000000002E-124</v>
      </c>
      <c r="F22002" s="2">
        <v>1001</v>
      </c>
      <c r="G22002" s="2">
        <v>100</v>
      </c>
      <c r="H22002" s="2">
        <v>183</v>
      </c>
      <c r="I22002" s="2">
        <v>1</v>
      </c>
      <c r="J22002" s="2">
        <v>549</v>
      </c>
      <c r="K22002" s="2">
        <v>374</v>
      </c>
      <c r="L22002" s="2">
        <v>556</v>
      </c>
    </row>
    <row r="22003" spans="1:12" x14ac:dyDescent="0.25">
      <c r="A22003" s="4" t="str">
        <f>HYPERLINK("http://www.rosaceae.org/Prunus/Prunus_persica/p.persica_gdr_reftransV1_0010590","p.persica_gdr_reftransV1_0010590")</f>
        <v>p.persica_gdr_reftransV1_0010590</v>
      </c>
      <c r="B22003" s="2">
        <v>916</v>
      </c>
      <c r="C22003" s="4" t="str">
        <f>HYPERLINK("http://www.uniprot.org/uniprot/M5VQ11","M5VQ11")</f>
        <v>M5VQ11</v>
      </c>
      <c r="D22003" s="2" t="s">
        <v>12590</v>
      </c>
      <c r="E22003" s="3">
        <v>0</v>
      </c>
      <c r="F22003" s="2">
        <v>1632</v>
      </c>
      <c r="G22003" s="2">
        <v>100</v>
      </c>
      <c r="H22003" s="2">
        <v>305</v>
      </c>
      <c r="I22003" s="2">
        <v>1</v>
      </c>
      <c r="J22003" s="2">
        <v>915</v>
      </c>
      <c r="K22003" s="2">
        <v>170</v>
      </c>
      <c r="L22003" s="2">
        <v>474</v>
      </c>
    </row>
    <row r="22004" spans="1:12" x14ac:dyDescent="0.25">
      <c r="A22004" s="4" t="str">
        <f>HYPERLINK("http://www.rosaceae.org/Prunus/Prunus_persica/p.persica_gdr_reftransV1_0011290","p.persica_gdr_reftransV1_0011290")</f>
        <v>p.persica_gdr_reftransV1_0011290</v>
      </c>
      <c r="B22004" s="2">
        <v>2008</v>
      </c>
      <c r="C22004" s="4" t="str">
        <f>HYPERLINK("http://www.uniprot.org/uniprot/M5VYM6","M5VYM6")</f>
        <v>M5VYM6</v>
      </c>
      <c r="D22004" s="2" t="s">
        <v>16323</v>
      </c>
      <c r="E22004" s="3">
        <v>0</v>
      </c>
      <c r="F22004" s="2">
        <v>1945</v>
      </c>
      <c r="G22004" s="2">
        <v>100</v>
      </c>
      <c r="H22004" s="2">
        <v>386</v>
      </c>
      <c r="I22004" s="2">
        <v>680</v>
      </c>
      <c r="J22004" s="2">
        <v>1837</v>
      </c>
      <c r="K22004" s="2">
        <v>1</v>
      </c>
      <c r="L22004" s="2">
        <v>386</v>
      </c>
    </row>
    <row r="22005" spans="1:12" x14ac:dyDescent="0.25">
      <c r="A22005" s="4" t="str">
        <f>HYPERLINK("http://www.rosaceae.org/Prunus/Prunus_persica/p.persica_gdr_reftransV1_0011640","p.persica_gdr_reftransV1_0011640")</f>
        <v>p.persica_gdr_reftransV1_0011640</v>
      </c>
      <c r="B22005" s="2">
        <v>1290</v>
      </c>
      <c r="C22005" s="4" t="str">
        <f>HYPERLINK("http://www.uniprot.org/uniprot/M5XYY5","M5XYY5")</f>
        <v>M5XYY5</v>
      </c>
      <c r="D22005" s="2" t="s">
        <v>16324</v>
      </c>
      <c r="E22005" s="3">
        <v>5.3799999999999997E-106</v>
      </c>
      <c r="F22005" s="2">
        <v>829</v>
      </c>
      <c r="G22005" s="2">
        <v>100</v>
      </c>
      <c r="H22005" s="2">
        <v>190</v>
      </c>
      <c r="I22005" s="2">
        <v>527</v>
      </c>
      <c r="J22005" s="2">
        <v>1096</v>
      </c>
      <c r="K22005" s="2">
        <v>1</v>
      </c>
      <c r="L22005" s="2">
        <v>190</v>
      </c>
    </row>
    <row r="22006" spans="1:12" x14ac:dyDescent="0.25">
      <c r="A22006" s="4" t="str">
        <f>HYPERLINK("http://www.rosaceae.org/Prunus/Prunus_persica/p.persica_gdr_reftransV1_0011990","p.persica_gdr_reftransV1_0011990")</f>
        <v>p.persica_gdr_reftransV1_0011990</v>
      </c>
      <c r="B22006" s="2">
        <v>2482</v>
      </c>
      <c r="C22006" s="4" t="str">
        <f>HYPERLINK("http://www.uniprot.org/uniprot/M5XWC3","M5XWC3")</f>
        <v>M5XWC3</v>
      </c>
      <c r="D22006" s="2" t="s">
        <v>16325</v>
      </c>
      <c r="E22006" s="3">
        <v>1.88E-55</v>
      </c>
      <c r="F22006" s="2">
        <v>521</v>
      </c>
      <c r="G22006" s="2">
        <v>99</v>
      </c>
      <c r="H22006" s="2">
        <v>100</v>
      </c>
      <c r="I22006" s="2">
        <v>554</v>
      </c>
      <c r="J22006" s="2">
        <v>853</v>
      </c>
      <c r="K22006" s="2">
        <v>1</v>
      </c>
      <c r="L22006" s="2">
        <v>100</v>
      </c>
    </row>
    <row r="22007" spans="1:12" x14ac:dyDescent="0.25">
      <c r="A22007" s="4" t="str">
        <f>HYPERLINK("http://www.rosaceae.org/Prunus/Prunus_persica/p.persica_gdr_reftransV1_0012690","p.persica_gdr_reftransV1_0012690")</f>
        <v>p.persica_gdr_reftransV1_0012690</v>
      </c>
      <c r="B22007" s="2">
        <v>1594</v>
      </c>
      <c r="C22007" s="4" t="str">
        <f>HYPERLINK("http://www.uniprot.org/uniprot/D9ZIW4","D9ZIW4")</f>
        <v>D9ZIW4</v>
      </c>
      <c r="D22007" s="2" t="s">
        <v>16326</v>
      </c>
      <c r="E22007" s="3">
        <v>7.1399999999999996E-124</v>
      </c>
      <c r="F22007" s="2">
        <v>968</v>
      </c>
      <c r="G22007" s="2">
        <v>66</v>
      </c>
      <c r="H22007" s="2">
        <v>310</v>
      </c>
      <c r="I22007" s="2">
        <v>306</v>
      </c>
      <c r="J22007" s="2">
        <v>1223</v>
      </c>
      <c r="K22007" s="2">
        <v>1</v>
      </c>
      <c r="L22007" s="2">
        <v>300</v>
      </c>
    </row>
    <row r="22008" spans="1:12" x14ac:dyDescent="0.25">
      <c r="A22008" s="4" t="str">
        <f>HYPERLINK("http://www.rosaceae.org/Prunus/Prunus_persica/p.persica_gdr_reftransV1_0013390","p.persica_gdr_reftransV1_0013390")</f>
        <v>p.persica_gdr_reftransV1_0013390</v>
      </c>
      <c r="B22008" s="2">
        <v>3004</v>
      </c>
      <c r="C22008" s="4" t="str">
        <f>HYPERLINK("http://www.uniprot.org/uniprot/M5VKF4","M5VKF4")</f>
        <v>M5VKF4</v>
      </c>
      <c r="D22008" s="2" t="s">
        <v>16327</v>
      </c>
      <c r="E22008" s="3">
        <v>9.5300000000000007E-180</v>
      </c>
      <c r="F22008" s="2">
        <v>1383</v>
      </c>
      <c r="G22008" s="2">
        <v>100</v>
      </c>
      <c r="H22008" s="2">
        <v>275</v>
      </c>
      <c r="I22008" s="2">
        <v>2066</v>
      </c>
      <c r="J22008" s="2">
        <v>2890</v>
      </c>
      <c r="K22008" s="2">
        <v>1</v>
      </c>
      <c r="L22008" s="2">
        <v>275</v>
      </c>
    </row>
    <row r="22009" spans="1:12" x14ac:dyDescent="0.25">
      <c r="A22009" s="4" t="str">
        <f>HYPERLINK("http://www.rosaceae.org/Prunus/Prunus_persica/p.persica_gdr_reftransV1_0015840","p.persica_gdr_reftransV1_0015840")</f>
        <v>p.persica_gdr_reftransV1_0015840</v>
      </c>
      <c r="B22009" s="2">
        <v>2405</v>
      </c>
      <c r="C22009" s="4" t="str">
        <f>HYPERLINK("http://www.uniprot.org/uniprot/M5XAZ0","M5XAZ0")</f>
        <v>M5XAZ0</v>
      </c>
      <c r="D22009" s="2" t="s">
        <v>16328</v>
      </c>
      <c r="E22009" s="3">
        <v>0</v>
      </c>
      <c r="F22009" s="2">
        <v>3046</v>
      </c>
      <c r="G22009" s="2">
        <v>100</v>
      </c>
      <c r="H22009" s="2">
        <v>579</v>
      </c>
      <c r="I22009" s="2">
        <v>281</v>
      </c>
      <c r="J22009" s="2">
        <v>2017</v>
      </c>
      <c r="K22009" s="2">
        <v>1</v>
      </c>
      <c r="L22009" s="2">
        <v>579</v>
      </c>
    </row>
    <row r="22010" spans="1:12" x14ac:dyDescent="0.25">
      <c r="A22010" s="4" t="str">
        <f>HYPERLINK("http://www.rosaceae.org/Prunus/Prunus_persica/p.persica_gdr_reftransV1_0016190","p.persica_gdr_reftransV1_0016190")</f>
        <v>p.persica_gdr_reftransV1_0016190</v>
      </c>
      <c r="B22010" s="2">
        <v>1274</v>
      </c>
      <c r="C22010" s="4" t="str">
        <f>HYPERLINK("http://www.uniprot.org/uniprot/M5X3D1","M5X3D1")</f>
        <v>M5X3D1</v>
      </c>
      <c r="D22010" s="2" t="s">
        <v>16329</v>
      </c>
      <c r="E22010" s="3">
        <v>0</v>
      </c>
      <c r="F22010" s="2">
        <v>1732</v>
      </c>
      <c r="G22010" s="2">
        <v>99</v>
      </c>
      <c r="H22010" s="2">
        <v>367</v>
      </c>
      <c r="I22010" s="2">
        <v>68</v>
      </c>
      <c r="J22010" s="2">
        <v>1168</v>
      </c>
      <c r="K22010" s="2">
        <v>1</v>
      </c>
      <c r="L22010" s="2">
        <v>367</v>
      </c>
    </row>
    <row r="22011" spans="1:12" x14ac:dyDescent="0.25">
      <c r="A22011" s="4" t="str">
        <f>HYPERLINK("http://www.rosaceae.org/Prunus/Prunus_persica/p.persica_gdr_reftransV1_0016890","p.persica_gdr_reftransV1_0016890")</f>
        <v>p.persica_gdr_reftransV1_0016890</v>
      </c>
      <c r="B22011" s="2">
        <v>896</v>
      </c>
      <c r="C22011" s="4" t="str">
        <f>HYPERLINK("http://www.uniprot.org/uniprot/M5WJI1","M5WJI1")</f>
        <v>M5WJI1</v>
      </c>
      <c r="D22011" s="2" t="s">
        <v>16330</v>
      </c>
      <c r="E22011" s="3">
        <v>4.4200000000000003E-27</v>
      </c>
      <c r="F22011" s="2">
        <v>281</v>
      </c>
      <c r="G22011" s="2">
        <v>100</v>
      </c>
      <c r="H22011" s="2">
        <v>92</v>
      </c>
      <c r="I22011" s="2">
        <v>579</v>
      </c>
      <c r="J22011" s="2">
        <v>854</v>
      </c>
      <c r="K22011" s="2">
        <v>1</v>
      </c>
      <c r="L22011" s="2">
        <v>92</v>
      </c>
    </row>
    <row r="22012" spans="1:12" x14ac:dyDescent="0.25">
      <c r="A22012" s="4" t="str">
        <f>HYPERLINK("http://www.rosaceae.org/Prunus/Prunus_persica/p.persica_gdr_reftransV1_0017240","p.persica_gdr_reftransV1_0017240")</f>
        <v>p.persica_gdr_reftransV1_0017240</v>
      </c>
      <c r="B22012" s="2">
        <v>2199</v>
      </c>
      <c r="C22012" s="4" t="str">
        <f>HYPERLINK("http://www.uniprot.org/uniprot/M5XSG0","M5XSG0")</f>
        <v>M5XSG0</v>
      </c>
      <c r="D22012" s="2" t="s">
        <v>16331</v>
      </c>
      <c r="E22012" s="3">
        <v>0</v>
      </c>
      <c r="F22012" s="2">
        <v>1987</v>
      </c>
      <c r="G22012" s="2">
        <v>100</v>
      </c>
      <c r="H22012" s="2">
        <v>392</v>
      </c>
      <c r="I22012" s="2">
        <v>990</v>
      </c>
      <c r="J22012" s="2">
        <v>2165</v>
      </c>
      <c r="K22012" s="2">
        <v>61</v>
      </c>
      <c r="L22012" s="2">
        <v>452</v>
      </c>
    </row>
    <row r="22013" spans="1:12" x14ac:dyDescent="0.25">
      <c r="A22013" s="4" t="str">
        <f>HYPERLINK("http://www.rosaceae.org/Prunus/Prunus_persica/p.persica_gdr_reftransV1_0018290","p.persica_gdr_reftransV1_0018290")</f>
        <v>p.persica_gdr_reftransV1_0018290</v>
      </c>
      <c r="B22013" s="2">
        <v>3688</v>
      </c>
      <c r="C22013" s="4" t="str">
        <f>HYPERLINK("http://www.uniprot.org/uniprot/M5WJD6","M5WJD6")</f>
        <v>M5WJD6</v>
      </c>
      <c r="D22013" s="2" t="s">
        <v>16332</v>
      </c>
      <c r="E22013" s="3">
        <v>2.3300000000000001E-118</v>
      </c>
      <c r="F22013" s="2">
        <v>975</v>
      </c>
      <c r="G22013" s="2">
        <v>83</v>
      </c>
      <c r="H22013" s="2">
        <v>225</v>
      </c>
      <c r="I22013" s="2">
        <v>1267</v>
      </c>
      <c r="J22013" s="2">
        <v>1941</v>
      </c>
      <c r="K22013" s="2">
        <v>45</v>
      </c>
      <c r="L22013" s="2">
        <v>232</v>
      </c>
    </row>
    <row r="22014" spans="1:12" x14ac:dyDescent="0.25">
      <c r="A22014" s="4" t="str">
        <f>HYPERLINK("http://www.rosaceae.org/Prunus/Prunus_persica/p.persica_gdr_reftransV1_0019340","p.persica_gdr_reftransV1_0019340")</f>
        <v>p.persica_gdr_reftransV1_0019340</v>
      </c>
      <c r="B22014" s="2">
        <v>1407</v>
      </c>
      <c r="C22014" s="4" t="str">
        <f>HYPERLINK("http://www.uniprot.org/uniprot/M5XYI9","M5XYI9")</f>
        <v>M5XYI9</v>
      </c>
      <c r="D22014" s="2" t="s">
        <v>8975</v>
      </c>
      <c r="E22014" s="3">
        <v>9.5599999999999998E-126</v>
      </c>
      <c r="F22014" s="2">
        <v>971</v>
      </c>
      <c r="G22014" s="2">
        <v>100</v>
      </c>
      <c r="H22014" s="2">
        <v>241</v>
      </c>
      <c r="I22014" s="2">
        <v>604</v>
      </c>
      <c r="J22014" s="2">
        <v>1326</v>
      </c>
      <c r="K22014" s="2">
        <v>1</v>
      </c>
      <c r="L22014" s="2">
        <v>241</v>
      </c>
    </row>
    <row r="22015" spans="1:12" x14ac:dyDescent="0.25">
      <c r="A22015" s="4" t="str">
        <f>HYPERLINK("http://www.rosaceae.org/Prunus/Prunus_persica/p.persica_gdr_reftransV1_0020390","p.persica_gdr_reftransV1_0020390")</f>
        <v>p.persica_gdr_reftransV1_0020390</v>
      </c>
      <c r="B22015" s="2">
        <v>3072</v>
      </c>
      <c r="C22015" s="4" t="str">
        <f>HYPERLINK("http://www.uniprot.org/uniprot/M5X5T9","M5X5T9")</f>
        <v>M5X5T9</v>
      </c>
      <c r="D22015" s="2" t="s">
        <v>16333</v>
      </c>
      <c r="E22015" s="3">
        <v>0</v>
      </c>
      <c r="F22015" s="2">
        <v>3613</v>
      </c>
      <c r="G22015" s="2">
        <v>100</v>
      </c>
      <c r="H22015" s="2">
        <v>702</v>
      </c>
      <c r="I22015" s="2">
        <v>424</v>
      </c>
      <c r="J22015" s="2">
        <v>2529</v>
      </c>
      <c r="K22015" s="2">
        <v>1</v>
      </c>
      <c r="L22015" s="2">
        <v>702</v>
      </c>
    </row>
    <row r="22016" spans="1:12" x14ac:dyDescent="0.25">
      <c r="A22016" s="4" t="str">
        <f>HYPERLINK("http://www.rosaceae.org/Prunus/Prunus_persica/p.persica_gdr_reftransV1_0020740","p.persica_gdr_reftransV1_0020740")</f>
        <v>p.persica_gdr_reftransV1_0020740</v>
      </c>
      <c r="B22016" s="2">
        <v>370</v>
      </c>
      <c r="C22016" s="4" t="str">
        <f>HYPERLINK("http://www.uniprot.org/uniprot/M5X7E4","M5X7E4")</f>
        <v>M5X7E4</v>
      </c>
      <c r="D22016" s="2" t="s">
        <v>10478</v>
      </c>
      <c r="E22016" s="3">
        <v>7.94E-81</v>
      </c>
      <c r="F22016" s="2">
        <v>665</v>
      </c>
      <c r="G22016" s="2">
        <v>100</v>
      </c>
      <c r="H22016" s="2">
        <v>123</v>
      </c>
      <c r="I22016" s="2">
        <v>1</v>
      </c>
      <c r="J22016" s="2">
        <v>369</v>
      </c>
      <c r="K22016" s="2">
        <v>51</v>
      </c>
      <c r="L22016" s="2">
        <v>173</v>
      </c>
    </row>
    <row r="22017" spans="1:12" x14ac:dyDescent="0.25">
      <c r="A22017" s="4" t="str">
        <f>HYPERLINK("http://www.rosaceae.org/Prunus/Prunus_persica/p.persica_gdr_reftransV1_0021090","p.persica_gdr_reftransV1_0021090")</f>
        <v>p.persica_gdr_reftransV1_0021090</v>
      </c>
      <c r="B22017" s="2">
        <v>889</v>
      </c>
      <c r="C22017" s="4" t="str">
        <f>HYPERLINK("http://www.uniprot.org/uniprot/M5WAX4","M5WAX4")</f>
        <v>M5WAX4</v>
      </c>
      <c r="D22017" s="2" t="s">
        <v>16334</v>
      </c>
      <c r="E22017" s="3">
        <v>8.4599999999999997E-112</v>
      </c>
      <c r="F22017" s="2">
        <v>852</v>
      </c>
      <c r="G22017" s="2">
        <v>100</v>
      </c>
      <c r="H22017" s="2">
        <v>159</v>
      </c>
      <c r="I22017" s="2">
        <v>266</v>
      </c>
      <c r="J22017" s="2">
        <v>742</v>
      </c>
      <c r="K22017" s="2">
        <v>19</v>
      </c>
      <c r="L22017" s="2">
        <v>177</v>
      </c>
    </row>
    <row r="22018" spans="1:12" x14ac:dyDescent="0.25">
      <c r="A22018" s="4" t="str">
        <f>HYPERLINK("http://www.rosaceae.org/Prunus/Prunus_persica/p.persica_gdr_reftransV1_0021440","p.persica_gdr_reftransV1_0021440")</f>
        <v>p.persica_gdr_reftransV1_0021440</v>
      </c>
      <c r="B22018" s="2">
        <v>1333</v>
      </c>
      <c r="C22018" s="4" t="str">
        <f>HYPERLINK("http://www.uniprot.org/uniprot/M5WJP2","M5WJP2")</f>
        <v>M5WJP2</v>
      </c>
      <c r="D22018" s="2" t="s">
        <v>13142</v>
      </c>
      <c r="E22018" s="3">
        <v>0</v>
      </c>
      <c r="F22018" s="2">
        <v>1697</v>
      </c>
      <c r="G22018" s="2">
        <v>98</v>
      </c>
      <c r="H22018" s="2">
        <v>342</v>
      </c>
      <c r="I22018" s="2">
        <v>249</v>
      </c>
      <c r="J22018" s="2">
        <v>1274</v>
      </c>
      <c r="K22018" s="2">
        <v>60</v>
      </c>
      <c r="L22018" s="2">
        <v>401</v>
      </c>
    </row>
    <row r="22019" spans="1:12" x14ac:dyDescent="0.25">
      <c r="A22019" s="4" t="str">
        <f>HYPERLINK("http://www.rosaceae.org/Prunus/Prunus_persica/p.persica_gdr_reftransV1_0022490","p.persica_gdr_reftransV1_0022490")</f>
        <v>p.persica_gdr_reftransV1_0022490</v>
      </c>
      <c r="B22019" s="2">
        <v>498</v>
      </c>
      <c r="C22019" s="4" t="str">
        <f>HYPERLINK("http://www.uniprot.org/uniprot/W9QFE3","W9QFE3")</f>
        <v>W9QFE3</v>
      </c>
      <c r="D22019" s="2" t="s">
        <v>16335</v>
      </c>
      <c r="E22019" s="3">
        <v>1.1799999999999999E-19</v>
      </c>
      <c r="F22019" s="2">
        <v>232</v>
      </c>
      <c r="G22019" s="2">
        <v>46</v>
      </c>
      <c r="H22019" s="2">
        <v>107</v>
      </c>
      <c r="I22019" s="2">
        <v>188</v>
      </c>
      <c r="J22019" s="2">
        <v>496</v>
      </c>
      <c r="K22019" s="2">
        <v>317</v>
      </c>
      <c r="L22019" s="2">
        <v>423</v>
      </c>
    </row>
    <row r="22020" spans="1:12" x14ac:dyDescent="0.25">
      <c r="A22020" s="4" t="str">
        <f>HYPERLINK("http://www.rosaceae.org/Prunus/Prunus_persica/p.persica_gdr_reftransV1_0023540","p.persica_gdr_reftransV1_0023540")</f>
        <v>p.persica_gdr_reftransV1_0023540</v>
      </c>
      <c r="B22020" s="2">
        <v>3157</v>
      </c>
      <c r="C22020" s="4" t="str">
        <f>HYPERLINK("http://www.uniprot.org/uniprot/M5W7W8","M5W7W8")</f>
        <v>M5W7W8</v>
      </c>
      <c r="D22020" s="2" t="s">
        <v>16336</v>
      </c>
      <c r="E22020" s="3">
        <v>0</v>
      </c>
      <c r="F22020" s="2">
        <v>1968</v>
      </c>
      <c r="G22020" s="2">
        <v>100</v>
      </c>
      <c r="H22020" s="2">
        <v>395</v>
      </c>
      <c r="I22020" s="2">
        <v>1795</v>
      </c>
      <c r="J22020" s="2">
        <v>2979</v>
      </c>
      <c r="K22020" s="2">
        <v>24</v>
      </c>
      <c r="L22020" s="2">
        <v>418</v>
      </c>
    </row>
    <row r="22021" spans="1:12" x14ac:dyDescent="0.25">
      <c r="A22021" s="4" t="str">
        <f>HYPERLINK("http://www.rosaceae.org/Prunus/Prunus_persica/p.persica_gdr_reftransV1_0024240","p.persica_gdr_reftransV1_0024240")</f>
        <v>p.persica_gdr_reftransV1_0024240</v>
      </c>
      <c r="B22021" s="2">
        <v>836</v>
      </c>
      <c r="C22021" s="4" t="str">
        <f>HYPERLINK("http://www.uniprot.org/uniprot/M5WGL7","M5WGL7")</f>
        <v>M5WGL7</v>
      </c>
      <c r="D22021" s="2" t="s">
        <v>1274</v>
      </c>
      <c r="E22021" s="3">
        <v>1.63E-68</v>
      </c>
      <c r="F22021" s="2">
        <v>599</v>
      </c>
      <c r="G22021" s="2">
        <v>100</v>
      </c>
      <c r="H22021" s="2">
        <v>145</v>
      </c>
      <c r="I22021" s="2">
        <v>2</v>
      </c>
      <c r="J22021" s="2">
        <v>436</v>
      </c>
      <c r="K22021" s="2">
        <v>505</v>
      </c>
      <c r="L22021" s="2">
        <v>649</v>
      </c>
    </row>
    <row r="22022" spans="1:12" x14ac:dyDescent="0.25">
      <c r="A22022" s="4" t="str">
        <f>HYPERLINK("http://www.rosaceae.org/Prunus/Prunus_persica/p.persica_gdr_reftransV1_0024590","p.persica_gdr_reftransV1_0024590")</f>
        <v>p.persica_gdr_reftransV1_0024590</v>
      </c>
      <c r="B22022" s="2">
        <v>939</v>
      </c>
      <c r="C22022" s="4" t="str">
        <f>HYPERLINK("http://www.uniprot.org/uniprot/M5WK44","M5WK44")</f>
        <v>M5WK44</v>
      </c>
      <c r="D22022" s="2" t="s">
        <v>16337</v>
      </c>
      <c r="E22022" s="3">
        <v>1.35E-102</v>
      </c>
      <c r="F22022" s="2">
        <v>794</v>
      </c>
      <c r="G22022" s="2">
        <v>100</v>
      </c>
      <c r="H22022" s="2">
        <v>150</v>
      </c>
      <c r="I22022" s="2">
        <v>2</v>
      </c>
      <c r="J22022" s="2">
        <v>451</v>
      </c>
      <c r="K22022" s="2">
        <v>1</v>
      </c>
      <c r="L22022" s="2">
        <v>150</v>
      </c>
    </row>
    <row r="22023" spans="1:12" x14ac:dyDescent="0.25">
      <c r="A22023" s="4" t="str">
        <f>HYPERLINK("http://www.rosaceae.org/Prunus/Prunus_persica/p.persica_gdr_reftransV1_0030190","p.persica_gdr_reftransV1_0030190")</f>
        <v>p.persica_gdr_reftransV1_0030190</v>
      </c>
      <c r="B22023" s="2">
        <v>5238</v>
      </c>
      <c r="C22023" s="4" t="str">
        <f>HYPERLINK("http://www.uniprot.org/uniprot/W9S8S5","W9S8S5")</f>
        <v>W9S8S5</v>
      </c>
      <c r="D22023" s="2" t="s">
        <v>16338</v>
      </c>
      <c r="E22023" s="3">
        <v>0</v>
      </c>
      <c r="F22023" s="2">
        <v>5683</v>
      </c>
      <c r="G22023" s="2">
        <v>70</v>
      </c>
      <c r="H22023" s="2">
        <v>1641</v>
      </c>
      <c r="I22023" s="2">
        <v>1</v>
      </c>
      <c r="J22023" s="2">
        <v>4893</v>
      </c>
      <c r="K22023" s="2">
        <v>217</v>
      </c>
      <c r="L22023" s="2">
        <v>1847</v>
      </c>
    </row>
    <row r="22024" spans="1:12" x14ac:dyDescent="0.25">
      <c r="A22024" s="4" t="str">
        <f>HYPERLINK("http://www.rosaceae.org/Prunus/Prunus_persica/p.persica_gdr_reftransV1_0032990","p.persica_gdr_reftransV1_0032990")</f>
        <v>p.persica_gdr_reftransV1_0032990</v>
      </c>
      <c r="B22024" s="2">
        <v>4752</v>
      </c>
      <c r="C22024" s="4" t="str">
        <f>HYPERLINK("http://www.uniprot.org/uniprot/M5VSR9","M5VSR9")</f>
        <v>M5VSR9</v>
      </c>
      <c r="D22024" s="2" t="s">
        <v>7197</v>
      </c>
      <c r="E22024" s="3">
        <v>0</v>
      </c>
      <c r="F22024" s="2">
        <v>3990</v>
      </c>
      <c r="G22024" s="2">
        <v>100</v>
      </c>
      <c r="H22024" s="2">
        <v>797</v>
      </c>
      <c r="I22024" s="2">
        <v>2002</v>
      </c>
      <c r="J22024" s="2">
        <v>4392</v>
      </c>
      <c r="K22024" s="2">
        <v>1</v>
      </c>
      <c r="L22024" s="2">
        <v>797</v>
      </c>
    </row>
    <row r="22025" spans="1:12" x14ac:dyDescent="0.25">
      <c r="A22025" s="4" t="str">
        <f>HYPERLINK("http://www.rosaceae.org/Prunus/Prunus_persica/p.persica_gdr_reftransV1_0033340","p.persica_gdr_reftransV1_0033340")</f>
        <v>p.persica_gdr_reftransV1_0033340</v>
      </c>
      <c r="B22025" s="2">
        <v>5056</v>
      </c>
      <c r="C22025" s="4" t="str">
        <f>HYPERLINK("http://www.uniprot.org/uniprot/M5WH24","M5WH24")</f>
        <v>M5WH24</v>
      </c>
      <c r="D22025" s="2" t="s">
        <v>5352</v>
      </c>
      <c r="E22025" s="3">
        <v>0</v>
      </c>
      <c r="F22025" s="2">
        <v>2612</v>
      </c>
      <c r="G22025" s="2">
        <v>100</v>
      </c>
      <c r="H22025" s="2">
        <v>498</v>
      </c>
      <c r="I22025" s="2">
        <v>600</v>
      </c>
      <c r="J22025" s="2">
        <v>2093</v>
      </c>
      <c r="K22025" s="2">
        <v>109</v>
      </c>
      <c r="L22025" s="2">
        <v>606</v>
      </c>
    </row>
    <row r="22026" spans="1:12" x14ac:dyDescent="0.25">
      <c r="A22026" s="4" t="str">
        <f>HYPERLINK("http://www.rosaceae.org/Prunus/Prunus_persica/p.persica_gdr_reftransV1_0034040","p.persica_gdr_reftransV1_0034040")</f>
        <v>p.persica_gdr_reftransV1_0034040</v>
      </c>
      <c r="B22026" s="2">
        <v>1688</v>
      </c>
      <c r="C22026" s="4" t="str">
        <f>HYPERLINK("http://www.uniprot.org/uniprot/M5WN29","M5WN29")</f>
        <v>M5WN29</v>
      </c>
      <c r="D22026" s="2" t="s">
        <v>16339</v>
      </c>
      <c r="E22026" s="3">
        <v>8.92E-109</v>
      </c>
      <c r="F22026" s="2">
        <v>866</v>
      </c>
      <c r="G22026" s="2">
        <v>99</v>
      </c>
      <c r="H22026" s="2">
        <v>195</v>
      </c>
      <c r="I22026" s="2">
        <v>220</v>
      </c>
      <c r="J22026" s="2">
        <v>804</v>
      </c>
      <c r="K22026" s="2">
        <v>1</v>
      </c>
      <c r="L22026" s="2">
        <v>195</v>
      </c>
    </row>
    <row r="22027" spans="1:12" x14ac:dyDescent="0.25">
      <c r="A22027" s="4" t="str">
        <f>HYPERLINK("http://www.rosaceae.org/Prunus/Prunus_persica/p.persica_gdr_reftransV1_0035090","p.persica_gdr_reftransV1_0035090")</f>
        <v>p.persica_gdr_reftransV1_0035090</v>
      </c>
      <c r="B22027" s="2">
        <v>969</v>
      </c>
      <c r="C22027" s="4" t="str">
        <f>HYPERLINK("http://www.uniprot.org/uniprot/M5WMP3","M5WMP3")</f>
        <v>M5WMP3</v>
      </c>
      <c r="D22027" s="2" t="s">
        <v>10235</v>
      </c>
      <c r="E22027" s="3">
        <v>1.1499999999999999E-173</v>
      </c>
      <c r="F22027" s="2">
        <v>1327</v>
      </c>
      <c r="G22027" s="2">
        <v>96</v>
      </c>
      <c r="H22027" s="2">
        <v>272</v>
      </c>
      <c r="I22027" s="2">
        <v>153</v>
      </c>
      <c r="J22027" s="2">
        <v>968</v>
      </c>
      <c r="K22027" s="2">
        <v>581</v>
      </c>
      <c r="L22027" s="2">
        <v>852</v>
      </c>
    </row>
    <row r="22028" spans="1:12" x14ac:dyDescent="0.25">
      <c r="A22028" s="4" t="str">
        <f>HYPERLINK("http://www.rosaceae.org/Prunus/Prunus_persica/p.persica_gdr_reftransV1_0037540","p.persica_gdr_reftransV1_0037540")</f>
        <v>p.persica_gdr_reftransV1_0037540</v>
      </c>
      <c r="B22028" s="2">
        <v>2590</v>
      </c>
      <c r="C22028" s="4" t="str">
        <f>HYPERLINK("http://www.uniprot.org/uniprot/M5XFJ6","M5XFJ6")</f>
        <v>M5XFJ6</v>
      </c>
      <c r="D22028" s="2" t="s">
        <v>10474</v>
      </c>
      <c r="E22028" s="3">
        <v>8.5199999999999996E-148</v>
      </c>
      <c r="F22028" s="2">
        <v>1172</v>
      </c>
      <c r="G22028" s="2">
        <v>98</v>
      </c>
      <c r="H22028" s="2">
        <v>231</v>
      </c>
      <c r="I22028" s="2">
        <v>1105</v>
      </c>
      <c r="J22028" s="2">
        <v>1797</v>
      </c>
      <c r="K22028" s="2">
        <v>136</v>
      </c>
      <c r="L22028" s="2">
        <v>366</v>
      </c>
    </row>
    <row r="22029" spans="1:12" x14ac:dyDescent="0.25">
      <c r="A22029" s="4" t="str">
        <f>HYPERLINK("http://www.rosaceae.org/Prunus/Prunus_persica/p.persica_gdr_reftransV1_0038590","p.persica_gdr_reftransV1_0038590")</f>
        <v>p.persica_gdr_reftransV1_0038590</v>
      </c>
      <c r="B22029" s="2">
        <v>2408</v>
      </c>
      <c r="C22029" s="4" t="str">
        <f>HYPERLINK("http://www.uniprot.org/uniprot/M5W372","M5W372")</f>
        <v>M5W372</v>
      </c>
      <c r="D22029" s="2" t="s">
        <v>16340</v>
      </c>
      <c r="E22029" s="3">
        <v>0</v>
      </c>
      <c r="F22029" s="2">
        <v>1935</v>
      </c>
      <c r="G22029" s="2">
        <v>100</v>
      </c>
      <c r="H22029" s="2">
        <v>361</v>
      </c>
      <c r="I22029" s="2">
        <v>1220</v>
      </c>
      <c r="J22029" s="2">
        <v>2302</v>
      </c>
      <c r="K22029" s="2">
        <v>1</v>
      </c>
      <c r="L22029" s="2">
        <v>361</v>
      </c>
    </row>
    <row r="22030" spans="1:12" x14ac:dyDescent="0.25">
      <c r="A22030" s="4" t="str">
        <f>HYPERLINK("http://www.rosaceae.org/Prunus/Prunus_persica/p.persica_gdr_reftransV1_0039290","p.persica_gdr_reftransV1_0039290")</f>
        <v>p.persica_gdr_reftransV1_0039290</v>
      </c>
      <c r="B22030" s="2">
        <v>473</v>
      </c>
      <c r="C22030" s="4" t="str">
        <f>HYPERLINK("http://www.uniprot.org/uniprot/M5WUT9","M5WUT9")</f>
        <v>M5WUT9</v>
      </c>
      <c r="D22030" s="2" t="s">
        <v>16139</v>
      </c>
      <c r="E22030" s="3">
        <v>2.1E-105</v>
      </c>
      <c r="F22030" s="2">
        <v>840</v>
      </c>
      <c r="G22030" s="2">
        <v>100</v>
      </c>
      <c r="H22030" s="2">
        <v>157</v>
      </c>
      <c r="I22030" s="2">
        <v>3</v>
      </c>
      <c r="J22030" s="2">
        <v>473</v>
      </c>
      <c r="K22030" s="2">
        <v>399</v>
      </c>
      <c r="L22030" s="2">
        <v>555</v>
      </c>
    </row>
    <row r="22031" spans="1:12" x14ac:dyDescent="0.25">
      <c r="A22031" s="4" t="str">
        <f>HYPERLINK("http://www.rosaceae.org/Prunus/Prunus_persica/p.persica_gdr_reftransV1_0040690","p.persica_gdr_reftransV1_0040690")</f>
        <v>p.persica_gdr_reftransV1_0040690</v>
      </c>
      <c r="B22031" s="2">
        <v>3412</v>
      </c>
      <c r="C22031" s="4" t="str">
        <f>HYPERLINK("http://www.uniprot.org/uniprot/M5WBM7","M5WBM7")</f>
        <v>M5WBM7</v>
      </c>
      <c r="D22031" s="2" t="s">
        <v>16341</v>
      </c>
      <c r="E22031" s="3">
        <v>2.9699999999999999E-77</v>
      </c>
      <c r="F22031" s="2">
        <v>686</v>
      </c>
      <c r="G22031" s="2">
        <v>98</v>
      </c>
      <c r="H22031" s="2">
        <v>206</v>
      </c>
      <c r="I22031" s="2">
        <v>148</v>
      </c>
      <c r="J22031" s="2">
        <v>765</v>
      </c>
      <c r="K22031" s="2">
        <v>1</v>
      </c>
      <c r="L22031" s="2">
        <v>206</v>
      </c>
    </row>
    <row r="22032" spans="1:12" x14ac:dyDescent="0.25">
      <c r="A22032" s="4" t="str">
        <f>HYPERLINK("http://www.rosaceae.org/Prunus/Prunus_persica/p.persica_gdr_reftransV1_0043140","p.persica_gdr_reftransV1_0043140")</f>
        <v>p.persica_gdr_reftransV1_0043140</v>
      </c>
      <c r="B22032" s="2">
        <v>1300</v>
      </c>
      <c r="C22032" s="4" t="str">
        <f>HYPERLINK("http://www.uniprot.org/uniprot/M5W9K6","M5W9K6")</f>
        <v>M5W9K6</v>
      </c>
      <c r="D22032" s="2" t="s">
        <v>16342</v>
      </c>
      <c r="E22032" s="3">
        <v>0</v>
      </c>
      <c r="F22032" s="2">
        <v>1888</v>
      </c>
      <c r="G22032" s="2">
        <v>100</v>
      </c>
      <c r="H22032" s="2">
        <v>381</v>
      </c>
      <c r="I22032" s="2">
        <v>62</v>
      </c>
      <c r="J22032" s="2">
        <v>1204</v>
      </c>
      <c r="K22032" s="2">
        <v>1</v>
      </c>
      <c r="L22032" s="2">
        <v>381</v>
      </c>
    </row>
    <row r="22033" spans="1:12" x14ac:dyDescent="0.25">
      <c r="A22033" s="4" t="str">
        <f>HYPERLINK("http://www.rosaceae.org/Prunus/Prunus_persica/p.persica_gdr_reftransV1_0043490","p.persica_gdr_reftransV1_0043490")</f>
        <v>p.persica_gdr_reftransV1_0043490</v>
      </c>
      <c r="B22033" s="2">
        <v>476</v>
      </c>
      <c r="C22033" s="4" t="str">
        <f>HYPERLINK("http://www.uniprot.org/uniprot/M5XI26","M5XI26")</f>
        <v>M5XI26</v>
      </c>
      <c r="D22033" s="2" t="s">
        <v>12215</v>
      </c>
      <c r="E22033" s="3">
        <v>4.2300000000000002E-102</v>
      </c>
      <c r="F22033" s="2">
        <v>792</v>
      </c>
      <c r="G22033" s="2">
        <v>100</v>
      </c>
      <c r="H22033" s="2">
        <v>145</v>
      </c>
      <c r="I22033" s="2">
        <v>41</v>
      </c>
      <c r="J22033" s="2">
        <v>475</v>
      </c>
      <c r="K22033" s="2">
        <v>227</v>
      </c>
      <c r="L22033" s="2">
        <v>371</v>
      </c>
    </row>
    <row r="22034" spans="1:12" x14ac:dyDescent="0.25">
      <c r="A22034" s="4" t="str">
        <f>HYPERLINK("http://www.rosaceae.org/Prunus/Prunus_persica/p.persica_gdr_reftransV1_0043840","p.persica_gdr_reftransV1_0043840")</f>
        <v>p.persica_gdr_reftransV1_0043840</v>
      </c>
      <c r="B22034" s="2">
        <v>1095</v>
      </c>
      <c r="C22034" s="4" t="str">
        <f>HYPERLINK("http://www.uniprot.org/uniprot/M5WNH8","M5WNH8")</f>
        <v>M5WNH8</v>
      </c>
      <c r="D22034" s="2" t="s">
        <v>16343</v>
      </c>
      <c r="E22034" s="3">
        <v>3.35E-106</v>
      </c>
      <c r="F22034" s="2">
        <v>824</v>
      </c>
      <c r="G22034" s="2">
        <v>100</v>
      </c>
      <c r="H22034" s="2">
        <v>193</v>
      </c>
      <c r="I22034" s="2">
        <v>304</v>
      </c>
      <c r="J22034" s="2">
        <v>882</v>
      </c>
      <c r="K22034" s="2">
        <v>1</v>
      </c>
      <c r="L22034" s="2">
        <v>193</v>
      </c>
    </row>
    <row r="22035" spans="1:12" x14ac:dyDescent="0.25">
      <c r="A22035" s="4" t="str">
        <f>HYPERLINK("http://www.rosaceae.org/Prunus/Prunus_persica/p.persica_gdr_reftransV1_0044540","p.persica_gdr_reftransV1_0044540")</f>
        <v>p.persica_gdr_reftransV1_0044540</v>
      </c>
      <c r="B22035" s="2">
        <v>2023</v>
      </c>
      <c r="C22035" s="4" t="str">
        <f>HYPERLINK("http://www.uniprot.org/uniprot/M5VPD8","M5VPD8")</f>
        <v>M5VPD8</v>
      </c>
      <c r="D22035" s="2" t="s">
        <v>16344</v>
      </c>
      <c r="E22035" s="3">
        <v>0</v>
      </c>
      <c r="F22035" s="2">
        <v>2974</v>
      </c>
      <c r="G22035" s="2">
        <v>100</v>
      </c>
      <c r="H22035" s="2">
        <v>567</v>
      </c>
      <c r="I22035" s="2">
        <v>199</v>
      </c>
      <c r="J22035" s="2">
        <v>1899</v>
      </c>
      <c r="K22035" s="2">
        <v>1</v>
      </c>
      <c r="L22035" s="2">
        <v>567</v>
      </c>
    </row>
    <row r="22036" spans="1:12" x14ac:dyDescent="0.25">
      <c r="A22036" s="4" t="str">
        <f>HYPERLINK("http://www.rosaceae.org/Prunus/Prunus_persica/p.persica_gdr_reftransV1_0044890","p.persica_gdr_reftransV1_0044890")</f>
        <v>p.persica_gdr_reftransV1_0044890</v>
      </c>
      <c r="B22036" s="2">
        <v>806</v>
      </c>
      <c r="C22036" s="4" t="str">
        <f>HYPERLINK("http://www.uniprot.org/uniprot/M5WZJ1","M5WZJ1")</f>
        <v>M5WZJ1</v>
      </c>
      <c r="D22036" s="2" t="s">
        <v>16345</v>
      </c>
      <c r="E22036" s="3">
        <v>3.4199999999999998E-57</v>
      </c>
      <c r="F22036" s="2">
        <v>482</v>
      </c>
      <c r="G22036" s="2">
        <v>100</v>
      </c>
      <c r="H22036" s="2">
        <v>110</v>
      </c>
      <c r="I22036" s="2">
        <v>97</v>
      </c>
      <c r="J22036" s="2">
        <v>426</v>
      </c>
      <c r="K22036" s="2">
        <v>1</v>
      </c>
      <c r="L22036" s="2">
        <v>110</v>
      </c>
    </row>
    <row r="22037" spans="1:12" x14ac:dyDescent="0.25">
      <c r="A22037" s="4" t="str">
        <f>HYPERLINK("http://www.rosaceae.org/Prunus/Prunus_persica/p.persica_gdr_reftransV1_0045240","p.persica_gdr_reftransV1_0045240")</f>
        <v>p.persica_gdr_reftransV1_0045240</v>
      </c>
      <c r="B22037" s="2">
        <v>2461</v>
      </c>
      <c r="C22037" s="4" t="str">
        <f>HYPERLINK("http://www.uniprot.org/uniprot/M5W587","M5W587")</f>
        <v>M5W587</v>
      </c>
      <c r="D22037" s="2" t="s">
        <v>13048</v>
      </c>
      <c r="E22037" s="3">
        <v>0</v>
      </c>
      <c r="F22037" s="2">
        <v>3908</v>
      </c>
      <c r="G22037" s="2">
        <v>95</v>
      </c>
      <c r="H22037" s="2">
        <v>811</v>
      </c>
      <c r="I22037" s="2">
        <v>125</v>
      </c>
      <c r="J22037" s="2">
        <v>2461</v>
      </c>
      <c r="K22037" s="2">
        <v>147</v>
      </c>
      <c r="L22037" s="2">
        <v>951</v>
      </c>
    </row>
    <row r="22038" spans="1:12" x14ac:dyDescent="0.25">
      <c r="A22038" s="4" t="str">
        <f>HYPERLINK("http://www.rosaceae.org/Prunus/Prunus_persica/p.persica_gdr_reftransV1_0045590","p.persica_gdr_reftransV1_0045590")</f>
        <v>p.persica_gdr_reftransV1_0045590</v>
      </c>
      <c r="B22038" s="2">
        <v>1604</v>
      </c>
      <c r="C22038" s="4" t="str">
        <f>HYPERLINK("http://www.uniprot.org/uniprot/M5VP62","M5VP62")</f>
        <v>M5VP62</v>
      </c>
      <c r="D22038" s="2" t="s">
        <v>16346</v>
      </c>
      <c r="E22038" s="3">
        <v>6.1400000000000001E-13</v>
      </c>
      <c r="F22038" s="2">
        <v>193</v>
      </c>
      <c r="G22038" s="2">
        <v>92</v>
      </c>
      <c r="H22038" s="2">
        <v>39</v>
      </c>
      <c r="I22038" s="2">
        <v>1053</v>
      </c>
      <c r="J22038" s="2">
        <v>1169</v>
      </c>
      <c r="K22038" s="2">
        <v>63</v>
      </c>
      <c r="L22038" s="2">
        <v>101</v>
      </c>
    </row>
    <row r="22039" spans="1:12" x14ac:dyDescent="0.25">
      <c r="A22039" s="4" t="str">
        <f>HYPERLINK("http://www.rosaceae.org/Prunus/Prunus_persica/p.persica_gdr_reftransV1_0046640","p.persica_gdr_reftransV1_0046640")</f>
        <v>p.persica_gdr_reftransV1_0046640</v>
      </c>
      <c r="B22039" s="2">
        <v>1905</v>
      </c>
      <c r="C22039" s="4" t="str">
        <f>HYPERLINK("http://www.uniprot.org/uniprot/M5WM23","M5WM23")</f>
        <v>M5WM23</v>
      </c>
      <c r="D22039" s="2" t="s">
        <v>16347</v>
      </c>
      <c r="E22039" s="3">
        <v>0</v>
      </c>
      <c r="F22039" s="2">
        <v>2383</v>
      </c>
      <c r="G22039" s="2">
        <v>100</v>
      </c>
      <c r="H22039" s="2">
        <v>463</v>
      </c>
      <c r="I22039" s="2">
        <v>323</v>
      </c>
      <c r="J22039" s="2">
        <v>1711</v>
      </c>
      <c r="K22039" s="2">
        <v>1</v>
      </c>
      <c r="L22039" s="2">
        <v>463</v>
      </c>
    </row>
    <row r="22040" spans="1:12" x14ac:dyDescent="0.25">
      <c r="A22040" s="4" t="str">
        <f>HYPERLINK("http://www.rosaceae.org/Prunus/Prunus_persica/p.persica_gdr_reftransV1_0046990","p.persica_gdr_reftransV1_0046990")</f>
        <v>p.persica_gdr_reftransV1_0046990</v>
      </c>
      <c r="B22040" s="2">
        <v>1788</v>
      </c>
      <c r="C22040" s="4" t="str">
        <f>HYPERLINK("http://www.uniprot.org/uniprot/M5WN25","M5WN25")</f>
        <v>M5WN25</v>
      </c>
      <c r="D22040" s="2" t="s">
        <v>6731</v>
      </c>
      <c r="E22040" s="3">
        <v>0</v>
      </c>
      <c r="F22040" s="2">
        <v>2283</v>
      </c>
      <c r="G22040" s="2">
        <v>91</v>
      </c>
      <c r="H22040" s="2">
        <v>495</v>
      </c>
      <c r="I22040" s="2">
        <v>305</v>
      </c>
      <c r="J22040" s="2">
        <v>1786</v>
      </c>
      <c r="K22040" s="2">
        <v>65</v>
      </c>
      <c r="L22040" s="2">
        <v>557</v>
      </c>
    </row>
    <row r="22041" spans="1:12" x14ac:dyDescent="0.25">
      <c r="A22041" s="4" t="str">
        <f>HYPERLINK("http://www.rosaceae.org/Prunus/Prunus_persica/p.persica_gdr_reftransV1_0047340","p.persica_gdr_reftransV1_0047340")</f>
        <v>p.persica_gdr_reftransV1_0047340</v>
      </c>
      <c r="B22041" s="2">
        <v>2925</v>
      </c>
      <c r="C22041" s="4" t="str">
        <f>HYPERLINK("http://www.uniprot.org/uniprot/M5W7Z3","M5W7Z3")</f>
        <v>M5W7Z3</v>
      </c>
      <c r="D22041" s="2" t="s">
        <v>3825</v>
      </c>
      <c r="E22041" s="3">
        <v>0</v>
      </c>
      <c r="F22041" s="2">
        <v>4579</v>
      </c>
      <c r="G22041" s="2">
        <v>99</v>
      </c>
      <c r="H22041" s="2">
        <v>900</v>
      </c>
      <c r="I22041" s="2">
        <v>226</v>
      </c>
      <c r="J22041" s="2">
        <v>2925</v>
      </c>
      <c r="K22041" s="2">
        <v>233</v>
      </c>
      <c r="L22041" s="2">
        <v>1124</v>
      </c>
    </row>
    <row r="22042" spans="1:12" x14ac:dyDescent="0.25">
      <c r="A22042" s="4" t="str">
        <f>HYPERLINK("http://www.rosaceae.org/Prunus/Prunus_persica/p.persica_gdr_reftransV1_0047690","p.persica_gdr_reftransV1_0047690")</f>
        <v>p.persica_gdr_reftransV1_0047690</v>
      </c>
      <c r="B22042" s="2">
        <v>588</v>
      </c>
      <c r="C22042" s="4" t="str">
        <f>HYPERLINK("http://www.uniprot.org/uniprot/M5XBE3","M5XBE3")</f>
        <v>M5XBE3</v>
      </c>
      <c r="D22042" s="2" t="s">
        <v>11411</v>
      </c>
      <c r="E22042" s="3">
        <v>4.7599999999999996E-80</v>
      </c>
      <c r="F22042" s="2">
        <v>657</v>
      </c>
      <c r="G22042" s="2">
        <v>100</v>
      </c>
      <c r="H22042" s="2">
        <v>149</v>
      </c>
      <c r="I22042" s="2">
        <v>140</v>
      </c>
      <c r="J22042" s="2">
        <v>586</v>
      </c>
      <c r="K22042" s="2">
        <v>318</v>
      </c>
      <c r="L22042" s="2">
        <v>466</v>
      </c>
    </row>
    <row r="22043" spans="1:12" x14ac:dyDescent="0.25">
      <c r="A22043" s="4" t="str">
        <f>HYPERLINK("http://www.rosaceae.org/Prunus/Prunus_persica/p.persica_gdr_reftransV1_0048040","p.persica_gdr_reftransV1_0048040")</f>
        <v>p.persica_gdr_reftransV1_0048040</v>
      </c>
      <c r="B22043" s="2">
        <v>1784</v>
      </c>
      <c r="C22043" s="4" t="str">
        <f>HYPERLINK("http://www.uniprot.org/uniprot/M5WGJ7","M5WGJ7")</f>
        <v>M5WGJ7</v>
      </c>
      <c r="D22043" s="2" t="s">
        <v>8392</v>
      </c>
      <c r="E22043" s="3">
        <v>0</v>
      </c>
      <c r="F22043" s="2">
        <v>1735</v>
      </c>
      <c r="G22043" s="2">
        <v>100</v>
      </c>
      <c r="H22043" s="2">
        <v>333</v>
      </c>
      <c r="I22043" s="2">
        <v>212</v>
      </c>
      <c r="J22043" s="2">
        <v>1210</v>
      </c>
      <c r="K22043" s="2">
        <v>1</v>
      </c>
      <c r="L22043" s="2">
        <v>333</v>
      </c>
    </row>
    <row r="22044" spans="1:12" x14ac:dyDescent="0.25">
      <c r="A22044" s="4" t="str">
        <f>HYPERLINK("http://www.rosaceae.org/Prunus/Prunus_persica/p.persica_gdr_reftransV1_0048740","p.persica_gdr_reftransV1_0048740")</f>
        <v>p.persica_gdr_reftransV1_0048740</v>
      </c>
      <c r="B22044" s="2">
        <v>1928</v>
      </c>
      <c r="C22044" s="4" t="str">
        <f>HYPERLINK("http://www.uniprot.org/uniprot/M5VJ77","M5VJ77")</f>
        <v>M5VJ77</v>
      </c>
      <c r="D22044" s="2" t="s">
        <v>10003</v>
      </c>
      <c r="E22044" s="3">
        <v>0</v>
      </c>
      <c r="F22044" s="2">
        <v>1781</v>
      </c>
      <c r="G22044" s="2">
        <v>100</v>
      </c>
      <c r="H22044" s="2">
        <v>368</v>
      </c>
      <c r="I22044" s="2">
        <v>556</v>
      </c>
      <c r="J22044" s="2">
        <v>1659</v>
      </c>
      <c r="K22044" s="2">
        <v>24</v>
      </c>
      <c r="L22044" s="2">
        <v>391</v>
      </c>
    </row>
    <row r="22045" spans="1:12" x14ac:dyDescent="0.25">
      <c r="A22045" s="4" t="str">
        <f>HYPERLINK("http://www.rosaceae.org/Prunus/Prunus_persica/p.persica_gdr_reftransV1_0049090","p.persica_gdr_reftransV1_0049090")</f>
        <v>p.persica_gdr_reftransV1_0049090</v>
      </c>
      <c r="B22045" s="2">
        <v>1145</v>
      </c>
      <c r="C22045" s="4" t="str">
        <f>HYPERLINK("http://www.uniprot.org/uniprot/M5X485","M5X485")</f>
        <v>M5X485</v>
      </c>
      <c r="D22045" s="2" t="s">
        <v>16348</v>
      </c>
      <c r="E22045" s="3">
        <v>5.8599999999999997E-93</v>
      </c>
      <c r="F22045" s="2">
        <v>732</v>
      </c>
      <c r="G22045" s="2">
        <v>100</v>
      </c>
      <c r="H22045" s="2">
        <v>135</v>
      </c>
      <c r="I22045" s="2">
        <v>275</v>
      </c>
      <c r="J22045" s="2">
        <v>679</v>
      </c>
      <c r="K22045" s="2">
        <v>1</v>
      </c>
      <c r="L22045" s="2">
        <v>135</v>
      </c>
    </row>
    <row r="22046" spans="1:12" x14ac:dyDescent="0.25">
      <c r="A22046" s="4" t="str">
        <f>HYPERLINK("http://www.rosaceae.org/Prunus/Prunus_persica/p.persica_gdr_reftransV1_0000009","p.persica_gdr_reftransV1_0000009")</f>
        <v>p.persica_gdr_reftransV1_0000009</v>
      </c>
      <c r="B22046" s="2">
        <v>332</v>
      </c>
      <c r="C22046" s="4" t="str">
        <f>HYPERLINK("http://www.uniprot.org/uniprot/M5WBS2","M5WBS2")</f>
        <v>M5WBS2</v>
      </c>
      <c r="D22046" s="2" t="s">
        <v>9057</v>
      </c>
      <c r="E22046" s="3">
        <v>1.9200000000000001E-58</v>
      </c>
      <c r="F22046" s="2">
        <v>499</v>
      </c>
      <c r="G22046" s="2">
        <v>100</v>
      </c>
      <c r="H22046" s="2">
        <v>110</v>
      </c>
      <c r="I22046" s="2">
        <v>2</v>
      </c>
      <c r="J22046" s="2">
        <v>331</v>
      </c>
      <c r="K22046" s="2">
        <v>320</v>
      </c>
      <c r="L22046" s="2">
        <v>429</v>
      </c>
    </row>
    <row r="22047" spans="1:12" x14ac:dyDescent="0.25">
      <c r="A22047" s="4" t="str">
        <f>HYPERLINK("http://www.rosaceae.org/Prunus/Prunus_persica/p.persica_gdr_reftransV1_0000359","p.persica_gdr_reftransV1_0000359")</f>
        <v>p.persica_gdr_reftransV1_0000359</v>
      </c>
      <c r="B22047" s="2">
        <v>380</v>
      </c>
      <c r="C22047" s="4" t="str">
        <f>HYPERLINK("http://www.uniprot.org/uniprot/M5Y7X6","M5Y7X6")</f>
        <v>M5Y7X6</v>
      </c>
      <c r="D22047" s="2" t="s">
        <v>1993</v>
      </c>
      <c r="E22047" s="3">
        <v>1.9000000000000001E-54</v>
      </c>
      <c r="F22047" s="2">
        <v>476</v>
      </c>
      <c r="G22047" s="2">
        <v>82</v>
      </c>
      <c r="H22047" s="2">
        <v>126</v>
      </c>
      <c r="I22047" s="2">
        <v>3</v>
      </c>
      <c r="J22047" s="2">
        <v>380</v>
      </c>
      <c r="K22047" s="2">
        <v>185</v>
      </c>
      <c r="L22047" s="2">
        <v>310</v>
      </c>
    </row>
    <row r="22048" spans="1:12" x14ac:dyDescent="0.25">
      <c r="A22048" s="4" t="str">
        <f>HYPERLINK("http://www.rosaceae.org/Prunus/Prunus_persica/p.persica_gdr_reftransV1_0001059","p.persica_gdr_reftransV1_0001059")</f>
        <v>p.persica_gdr_reftransV1_0001059</v>
      </c>
      <c r="B22048" s="2">
        <v>987</v>
      </c>
      <c r="C22048" s="4" t="str">
        <f>HYPERLINK("http://www.uniprot.org/uniprot/M5WUK1","M5WUK1")</f>
        <v>M5WUK1</v>
      </c>
      <c r="D22048" s="2" t="s">
        <v>16349</v>
      </c>
      <c r="E22048" s="3">
        <v>0</v>
      </c>
      <c r="F22048" s="2">
        <v>1481</v>
      </c>
      <c r="G22048" s="2">
        <v>100</v>
      </c>
      <c r="H22048" s="2">
        <v>272</v>
      </c>
      <c r="I22048" s="2">
        <v>170</v>
      </c>
      <c r="J22048" s="2">
        <v>985</v>
      </c>
      <c r="K22048" s="2">
        <v>6</v>
      </c>
      <c r="L22048" s="2">
        <v>277</v>
      </c>
    </row>
    <row r="22049" spans="1:12" x14ac:dyDescent="0.25">
      <c r="A22049" s="4" t="str">
        <f>HYPERLINK("http://www.rosaceae.org/Prunus/Prunus_persica/p.persica_gdr_reftransV1_0001409","p.persica_gdr_reftransV1_0001409")</f>
        <v>p.persica_gdr_reftransV1_0001409</v>
      </c>
      <c r="B22049" s="2">
        <v>2809</v>
      </c>
      <c r="C22049" s="4" t="str">
        <f>HYPERLINK("http://www.uniprot.org/uniprot/M5WGF2","M5WGF2")</f>
        <v>M5WGF2</v>
      </c>
      <c r="D22049" s="2" t="s">
        <v>16350</v>
      </c>
      <c r="E22049" s="3">
        <v>0</v>
      </c>
      <c r="F22049" s="2">
        <v>3853</v>
      </c>
      <c r="G22049" s="2">
        <v>100</v>
      </c>
      <c r="H22049" s="2">
        <v>761</v>
      </c>
      <c r="I22049" s="2">
        <v>205</v>
      </c>
      <c r="J22049" s="2">
        <v>2487</v>
      </c>
      <c r="K22049" s="2">
        <v>1</v>
      </c>
      <c r="L22049" s="2">
        <v>761</v>
      </c>
    </row>
    <row r="22050" spans="1:12" x14ac:dyDescent="0.25">
      <c r="A22050" s="4" t="str">
        <f>HYPERLINK("http://www.rosaceae.org/Prunus/Prunus_persica/p.persica_gdr_reftransV1_0002459","p.persica_gdr_reftransV1_0002459")</f>
        <v>p.persica_gdr_reftransV1_0002459</v>
      </c>
      <c r="B22050" s="2">
        <v>1781</v>
      </c>
      <c r="C22050" s="4" t="str">
        <f>HYPERLINK("http://www.uniprot.org/uniprot/M5WZ98","M5WZ98")</f>
        <v>M5WZ98</v>
      </c>
      <c r="D22050" s="2" t="s">
        <v>16351</v>
      </c>
      <c r="E22050" s="3">
        <v>0</v>
      </c>
      <c r="F22050" s="2">
        <v>1825</v>
      </c>
      <c r="G22050" s="2">
        <v>92</v>
      </c>
      <c r="H22050" s="2">
        <v>398</v>
      </c>
      <c r="I22050" s="2">
        <v>1</v>
      </c>
      <c r="J22050" s="2">
        <v>1107</v>
      </c>
      <c r="K22050" s="2">
        <v>77</v>
      </c>
      <c r="L22050" s="2">
        <v>474</v>
      </c>
    </row>
    <row r="22051" spans="1:12" x14ac:dyDescent="0.25">
      <c r="A22051" s="4" t="str">
        <f>HYPERLINK("http://www.rosaceae.org/Prunus/Prunus_persica/p.persica_gdr_reftransV1_0004209","p.persica_gdr_reftransV1_0004209")</f>
        <v>p.persica_gdr_reftransV1_0004209</v>
      </c>
      <c r="B22051" s="2">
        <v>1882</v>
      </c>
      <c r="C22051" s="4" t="str">
        <f>HYPERLINK("http://www.uniprot.org/uniprot/M5WM87","M5WM87")</f>
        <v>M5WM87</v>
      </c>
      <c r="D22051" s="2" t="s">
        <v>16352</v>
      </c>
      <c r="E22051" s="3">
        <v>0</v>
      </c>
      <c r="F22051" s="2">
        <v>2051</v>
      </c>
      <c r="G22051" s="2">
        <v>97</v>
      </c>
      <c r="H22051" s="2">
        <v>461</v>
      </c>
      <c r="I22051" s="2">
        <v>437</v>
      </c>
      <c r="J22051" s="2">
        <v>1819</v>
      </c>
      <c r="K22051" s="2">
        <v>5</v>
      </c>
      <c r="L22051" s="2">
        <v>465</v>
      </c>
    </row>
    <row r="22052" spans="1:12" x14ac:dyDescent="0.25">
      <c r="A22052" s="4" t="str">
        <f>HYPERLINK("http://www.rosaceae.org/Prunus/Prunus_persica/p.persica_gdr_reftransV1_0004559","p.persica_gdr_reftransV1_0004559")</f>
        <v>p.persica_gdr_reftransV1_0004559</v>
      </c>
      <c r="B22052" s="2">
        <v>464</v>
      </c>
      <c r="C22052" s="4" t="str">
        <f>HYPERLINK("http://www.uniprot.org/uniprot/M5WRV8","M5WRV8")</f>
        <v>M5WRV8</v>
      </c>
      <c r="D22052" s="2" t="s">
        <v>7435</v>
      </c>
      <c r="E22052" s="3">
        <v>3.4700000000000001E-103</v>
      </c>
      <c r="F22052" s="2">
        <v>804</v>
      </c>
      <c r="G22052" s="2">
        <v>100</v>
      </c>
      <c r="H22052" s="2">
        <v>154</v>
      </c>
      <c r="I22052" s="2">
        <v>3</v>
      </c>
      <c r="J22052" s="2">
        <v>464</v>
      </c>
      <c r="K22052" s="2">
        <v>251</v>
      </c>
      <c r="L22052" s="2">
        <v>404</v>
      </c>
    </row>
    <row r="22053" spans="1:12" x14ac:dyDescent="0.25">
      <c r="A22053" s="4" t="str">
        <f>HYPERLINK("http://www.rosaceae.org/Prunus/Prunus_persica/p.persica_gdr_reftransV1_0004909","p.persica_gdr_reftransV1_0004909")</f>
        <v>p.persica_gdr_reftransV1_0004909</v>
      </c>
      <c r="B22053" s="2">
        <v>2029</v>
      </c>
      <c r="C22053" s="4" t="str">
        <f>HYPERLINK("http://www.uniprot.org/uniprot/M5VTZ7","M5VTZ7")</f>
        <v>M5VTZ7</v>
      </c>
      <c r="D22053" s="2" t="s">
        <v>596</v>
      </c>
      <c r="E22053" s="3">
        <v>0</v>
      </c>
      <c r="F22053" s="2">
        <v>2603</v>
      </c>
      <c r="G22053" s="2">
        <v>100</v>
      </c>
      <c r="H22053" s="2">
        <v>535</v>
      </c>
      <c r="I22053" s="2">
        <v>176</v>
      </c>
      <c r="J22053" s="2">
        <v>1780</v>
      </c>
      <c r="K22053" s="2">
        <v>1</v>
      </c>
      <c r="L22053" s="2">
        <v>535</v>
      </c>
    </row>
    <row r="22054" spans="1:12" x14ac:dyDescent="0.25">
      <c r="A22054" s="4" t="str">
        <f>HYPERLINK("http://www.rosaceae.org/Prunus/Prunus_persica/p.persica_gdr_reftransV1_0005609","p.persica_gdr_reftransV1_0005609")</f>
        <v>p.persica_gdr_reftransV1_0005609</v>
      </c>
      <c r="B22054" s="2">
        <v>969</v>
      </c>
      <c r="C22054" s="4" t="str">
        <f>HYPERLINK("http://www.uniprot.org/uniprot/M5W4Q6","M5W4Q6")</f>
        <v>M5W4Q6</v>
      </c>
      <c r="D22054" s="2" t="s">
        <v>16353</v>
      </c>
      <c r="E22054" s="3">
        <v>3.3300000000000001E-78</v>
      </c>
      <c r="F22054" s="2">
        <v>659</v>
      </c>
      <c r="G22054" s="2">
        <v>63</v>
      </c>
      <c r="H22054" s="2">
        <v>214</v>
      </c>
      <c r="I22054" s="2">
        <v>6</v>
      </c>
      <c r="J22054" s="2">
        <v>644</v>
      </c>
      <c r="K22054" s="2">
        <v>272</v>
      </c>
      <c r="L22054" s="2">
        <v>477</v>
      </c>
    </row>
    <row r="22055" spans="1:12" x14ac:dyDescent="0.25">
      <c r="A22055" s="4" t="str">
        <f>HYPERLINK("http://www.rosaceae.org/Prunus/Prunus_persica/p.persica_gdr_reftransV1_0006309","p.persica_gdr_reftransV1_0006309")</f>
        <v>p.persica_gdr_reftransV1_0006309</v>
      </c>
      <c r="B22055" s="2">
        <v>810</v>
      </c>
      <c r="C22055" s="4" t="str">
        <f>HYPERLINK("http://www.uniprot.org/uniprot/M5WMH6","M5WMH6")</f>
        <v>M5WMH6</v>
      </c>
      <c r="D22055" s="2" t="s">
        <v>4338</v>
      </c>
      <c r="E22055" s="3">
        <v>5.4299999999999999E-175</v>
      </c>
      <c r="F22055" s="2">
        <v>1356</v>
      </c>
      <c r="G22055" s="2">
        <v>99</v>
      </c>
      <c r="H22055" s="2">
        <v>270</v>
      </c>
      <c r="I22055" s="2">
        <v>1</v>
      </c>
      <c r="J22055" s="2">
        <v>810</v>
      </c>
      <c r="K22055" s="2">
        <v>193</v>
      </c>
      <c r="L22055" s="2">
        <v>462</v>
      </c>
    </row>
    <row r="22056" spans="1:12" x14ac:dyDescent="0.25">
      <c r="A22056" s="4" t="str">
        <f>HYPERLINK("http://www.rosaceae.org/Prunus/Prunus_persica/p.persica_gdr_reftransV1_0007359","p.persica_gdr_reftransV1_0007359")</f>
        <v>p.persica_gdr_reftransV1_0007359</v>
      </c>
      <c r="B22056" s="2">
        <v>461</v>
      </c>
      <c r="C22056" s="4" t="str">
        <f>HYPERLINK("http://www.uniprot.org/uniprot/M5XSE7","M5XSE7")</f>
        <v>M5XSE7</v>
      </c>
      <c r="D22056" s="2" t="s">
        <v>7052</v>
      </c>
      <c r="E22056" s="3">
        <v>1.55E-46</v>
      </c>
      <c r="F22056" s="2">
        <v>412</v>
      </c>
      <c r="G22056" s="2">
        <v>100</v>
      </c>
      <c r="H22056" s="2">
        <v>77</v>
      </c>
      <c r="I22056" s="2">
        <v>231</v>
      </c>
      <c r="J22056" s="2">
        <v>461</v>
      </c>
      <c r="K22056" s="2">
        <v>1</v>
      </c>
      <c r="L22056" s="2">
        <v>77</v>
      </c>
    </row>
    <row r="22057" spans="1:12" x14ac:dyDescent="0.25">
      <c r="A22057" s="4" t="str">
        <f>HYPERLINK("http://www.rosaceae.org/Prunus/Prunus_persica/p.persica_gdr_reftransV1_0008059","p.persica_gdr_reftransV1_0008059")</f>
        <v>p.persica_gdr_reftransV1_0008059</v>
      </c>
      <c r="B22057" s="2">
        <v>768</v>
      </c>
      <c r="C22057" s="4" t="str">
        <f>HYPERLINK("http://www.uniprot.org/uniprot/M5Y1N3","M5Y1N3")</f>
        <v>M5Y1N3</v>
      </c>
      <c r="D22057" s="2" t="s">
        <v>16354</v>
      </c>
      <c r="E22057" s="3">
        <v>3.1900000000000001E-134</v>
      </c>
      <c r="F22057" s="2">
        <v>1007</v>
      </c>
      <c r="G22057" s="2">
        <v>100</v>
      </c>
      <c r="H22057" s="2">
        <v>194</v>
      </c>
      <c r="I22057" s="2">
        <v>3</v>
      </c>
      <c r="J22057" s="2">
        <v>584</v>
      </c>
      <c r="K22057" s="2">
        <v>91</v>
      </c>
      <c r="L22057" s="2">
        <v>284</v>
      </c>
    </row>
    <row r="22058" spans="1:12" x14ac:dyDescent="0.25">
      <c r="A22058" s="4" t="str">
        <f>HYPERLINK("http://www.rosaceae.org/Prunus/Prunus_persica/p.persica_gdr_reftransV1_0008759","p.persica_gdr_reftransV1_0008759")</f>
        <v>p.persica_gdr_reftransV1_0008759</v>
      </c>
      <c r="B22058" s="2">
        <v>3283</v>
      </c>
      <c r="C22058" s="4" t="str">
        <f>HYPERLINK("http://www.uniprot.org/uniprot/M5WMA3","M5WMA3")</f>
        <v>M5WMA3</v>
      </c>
      <c r="D22058" s="2" t="s">
        <v>16355</v>
      </c>
      <c r="E22058" s="3">
        <v>0</v>
      </c>
      <c r="F22058" s="2">
        <v>3827</v>
      </c>
      <c r="G22058" s="2">
        <v>100</v>
      </c>
      <c r="H22058" s="2">
        <v>748</v>
      </c>
      <c r="I22058" s="2">
        <v>573</v>
      </c>
      <c r="J22058" s="2">
        <v>2816</v>
      </c>
      <c r="K22058" s="2">
        <v>1</v>
      </c>
      <c r="L22058" s="2">
        <v>748</v>
      </c>
    </row>
    <row r="22059" spans="1:12" x14ac:dyDescent="0.25">
      <c r="A22059" s="4" t="str">
        <f>HYPERLINK("http://www.rosaceae.org/Prunus/Prunus_persica/p.persica_gdr_reftransV1_0009109","p.persica_gdr_reftransV1_0009109")</f>
        <v>p.persica_gdr_reftransV1_0009109</v>
      </c>
      <c r="B22059" s="2">
        <v>1123</v>
      </c>
      <c r="C22059" s="4" t="str">
        <f>HYPERLINK("http://www.uniprot.org/uniprot/M5VWU2","M5VWU2")</f>
        <v>M5VWU2</v>
      </c>
      <c r="D22059" s="2" t="s">
        <v>2499</v>
      </c>
      <c r="E22059" s="3">
        <v>9.4599999999999999E-17</v>
      </c>
      <c r="F22059" s="2">
        <v>220</v>
      </c>
      <c r="G22059" s="2">
        <v>54</v>
      </c>
      <c r="H22059" s="2">
        <v>122</v>
      </c>
      <c r="I22059" s="2">
        <v>399</v>
      </c>
      <c r="J22059" s="2">
        <v>755</v>
      </c>
      <c r="K22059" s="2">
        <v>234</v>
      </c>
      <c r="L22059" s="2">
        <v>349</v>
      </c>
    </row>
    <row r="22060" spans="1:12" x14ac:dyDescent="0.25">
      <c r="A22060" s="4" t="str">
        <f>HYPERLINK("http://www.rosaceae.org/Prunus/Prunus_persica/p.persica_gdr_reftransV1_0009459","p.persica_gdr_reftransV1_0009459")</f>
        <v>p.persica_gdr_reftransV1_0009459</v>
      </c>
      <c r="B22060" s="2">
        <v>2070</v>
      </c>
      <c r="C22060" s="4" t="str">
        <f>HYPERLINK("http://www.uniprot.org/uniprot/M5XX04","M5XX04")</f>
        <v>M5XX04</v>
      </c>
      <c r="D22060" s="2" t="s">
        <v>16356</v>
      </c>
      <c r="E22060" s="3">
        <v>0</v>
      </c>
      <c r="F22060" s="2">
        <v>2252</v>
      </c>
      <c r="G22060" s="2">
        <v>100</v>
      </c>
      <c r="H22060" s="2">
        <v>423</v>
      </c>
      <c r="I22060" s="2">
        <v>421</v>
      </c>
      <c r="J22060" s="2">
        <v>1689</v>
      </c>
      <c r="K22060" s="2">
        <v>1</v>
      </c>
      <c r="L22060" s="2">
        <v>423</v>
      </c>
    </row>
    <row r="22061" spans="1:12" x14ac:dyDescent="0.25">
      <c r="A22061" s="4" t="str">
        <f>HYPERLINK("http://www.rosaceae.org/Prunus/Prunus_persica/p.persica_gdr_reftransV1_0010859","p.persica_gdr_reftransV1_0010859")</f>
        <v>p.persica_gdr_reftransV1_0010859</v>
      </c>
      <c r="B22061" s="2">
        <v>410</v>
      </c>
      <c r="C22061" s="4" t="str">
        <f>HYPERLINK("http://www.uniprot.org/uniprot/M5XE21","M5XE21")</f>
        <v>M5XE21</v>
      </c>
      <c r="D22061" s="2" t="s">
        <v>12789</v>
      </c>
      <c r="E22061" s="3">
        <v>4.8100000000000003E-84</v>
      </c>
      <c r="F22061" s="2">
        <v>687</v>
      </c>
      <c r="G22061" s="2">
        <v>100</v>
      </c>
      <c r="H22061" s="2">
        <v>133</v>
      </c>
      <c r="I22061" s="2">
        <v>2</v>
      </c>
      <c r="J22061" s="2">
        <v>400</v>
      </c>
      <c r="K22061" s="2">
        <v>1</v>
      </c>
      <c r="L22061" s="2">
        <v>133</v>
      </c>
    </row>
    <row r="22062" spans="1:12" x14ac:dyDescent="0.25">
      <c r="A22062" s="4" t="str">
        <f>HYPERLINK("http://www.rosaceae.org/Prunus/Prunus_persica/p.persica_gdr_reftransV1_0011209","p.persica_gdr_reftransV1_0011209")</f>
        <v>p.persica_gdr_reftransV1_0011209</v>
      </c>
      <c r="B22062" s="2">
        <v>846</v>
      </c>
      <c r="C22062" s="4" t="str">
        <f>HYPERLINK("http://www.uniprot.org/uniprot/M5VPX6","M5VPX6")</f>
        <v>M5VPX6</v>
      </c>
      <c r="D22062" s="2" t="s">
        <v>7526</v>
      </c>
      <c r="E22062" s="3">
        <v>7.97E-102</v>
      </c>
      <c r="F22062" s="2">
        <v>808</v>
      </c>
      <c r="G22062" s="2">
        <v>100</v>
      </c>
      <c r="H22062" s="2">
        <v>170</v>
      </c>
      <c r="I22062" s="2">
        <v>337</v>
      </c>
      <c r="J22062" s="2">
        <v>846</v>
      </c>
      <c r="K22062" s="2">
        <v>251</v>
      </c>
      <c r="L22062" s="2">
        <v>420</v>
      </c>
    </row>
    <row r="22063" spans="1:12" x14ac:dyDescent="0.25">
      <c r="A22063" s="4" t="str">
        <f>HYPERLINK("http://www.rosaceae.org/Prunus/Prunus_persica/p.persica_gdr_reftransV1_0011559","p.persica_gdr_reftransV1_0011559")</f>
        <v>p.persica_gdr_reftransV1_0011559</v>
      </c>
      <c r="B22063" s="2">
        <v>1091</v>
      </c>
      <c r="C22063" s="4" t="str">
        <f>HYPERLINK("http://www.uniprot.org/uniprot/M5X1P8","M5X1P8")</f>
        <v>M5X1P8</v>
      </c>
      <c r="D22063" s="2" t="s">
        <v>16357</v>
      </c>
      <c r="E22063" s="3">
        <v>0</v>
      </c>
      <c r="F22063" s="2">
        <v>1460</v>
      </c>
      <c r="G22063" s="2">
        <v>100</v>
      </c>
      <c r="H22063" s="2">
        <v>273</v>
      </c>
      <c r="I22063" s="2">
        <v>136</v>
      </c>
      <c r="J22063" s="2">
        <v>954</v>
      </c>
      <c r="K22063" s="2">
        <v>1</v>
      </c>
      <c r="L22063" s="2">
        <v>273</v>
      </c>
    </row>
    <row r="22064" spans="1:12" x14ac:dyDescent="0.25">
      <c r="A22064" s="4" t="str">
        <f>HYPERLINK("http://www.rosaceae.org/Prunus/Prunus_persica/p.persica_gdr_reftransV1_0011909","p.persica_gdr_reftransV1_0011909")</f>
        <v>p.persica_gdr_reftransV1_0011909</v>
      </c>
      <c r="B22064" s="2">
        <v>2139</v>
      </c>
      <c r="C22064" s="4" t="str">
        <f>HYPERLINK("http://www.uniprot.org/uniprot/M5XCC0","M5XCC0")</f>
        <v>M5XCC0</v>
      </c>
      <c r="D22064" s="2" t="s">
        <v>16358</v>
      </c>
      <c r="E22064" s="3">
        <v>0</v>
      </c>
      <c r="F22064" s="2">
        <v>2843</v>
      </c>
      <c r="G22064" s="2">
        <v>100</v>
      </c>
      <c r="H22064" s="2">
        <v>554</v>
      </c>
      <c r="I22064" s="2">
        <v>81</v>
      </c>
      <c r="J22064" s="2">
        <v>1742</v>
      </c>
      <c r="K22064" s="2">
        <v>19</v>
      </c>
      <c r="L22064" s="2">
        <v>572</v>
      </c>
    </row>
    <row r="22065" spans="1:12" x14ac:dyDescent="0.25">
      <c r="A22065" s="4" t="str">
        <f>HYPERLINK("http://www.rosaceae.org/Prunus/Prunus_persica/p.persica_gdr_reftransV1_0012259","p.persica_gdr_reftransV1_0012259")</f>
        <v>p.persica_gdr_reftransV1_0012259</v>
      </c>
      <c r="B22065" s="2">
        <v>4418</v>
      </c>
      <c r="C22065" s="4" t="str">
        <f>HYPERLINK("http://www.uniprot.org/uniprot/M5Y3K5","M5Y3K5")</f>
        <v>M5Y3K5</v>
      </c>
      <c r="D22065" s="2" t="s">
        <v>16359</v>
      </c>
      <c r="E22065" s="3">
        <v>0</v>
      </c>
      <c r="F22065" s="2">
        <v>1897</v>
      </c>
      <c r="G22065" s="2">
        <v>90</v>
      </c>
      <c r="H22065" s="2">
        <v>613</v>
      </c>
      <c r="I22065" s="2">
        <v>1708</v>
      </c>
      <c r="J22065" s="2">
        <v>3546</v>
      </c>
      <c r="K22065" s="2">
        <v>124</v>
      </c>
      <c r="L22065" s="2">
        <v>680</v>
      </c>
    </row>
    <row r="22066" spans="1:12" x14ac:dyDescent="0.25">
      <c r="A22066" s="4" t="str">
        <f>HYPERLINK("http://www.rosaceae.org/Prunus/Prunus_persica/p.persica_gdr_reftransV1_0014009","p.persica_gdr_reftransV1_0014009")</f>
        <v>p.persica_gdr_reftransV1_0014009</v>
      </c>
      <c r="B22066" s="2">
        <v>3004</v>
      </c>
      <c r="C22066" s="4" t="str">
        <f>HYPERLINK("http://www.uniprot.org/uniprot/M5WJZ8","M5WJZ8")</f>
        <v>M5WJZ8</v>
      </c>
      <c r="D22066" s="2" t="s">
        <v>16360</v>
      </c>
      <c r="E22066" s="3">
        <v>0</v>
      </c>
      <c r="F22066" s="2">
        <v>4601</v>
      </c>
      <c r="G22066" s="2">
        <v>98</v>
      </c>
      <c r="H22066" s="2">
        <v>895</v>
      </c>
      <c r="I22066" s="2">
        <v>1</v>
      </c>
      <c r="J22066" s="2">
        <v>2640</v>
      </c>
      <c r="K22066" s="2">
        <v>233</v>
      </c>
      <c r="L22066" s="2">
        <v>1127</v>
      </c>
    </row>
    <row r="22067" spans="1:12" x14ac:dyDescent="0.25">
      <c r="A22067" s="4" t="str">
        <f>HYPERLINK("http://www.rosaceae.org/Prunus/Prunus_persica/p.persica_gdr_reftransV1_0014709","p.persica_gdr_reftransV1_0014709")</f>
        <v>p.persica_gdr_reftransV1_0014709</v>
      </c>
      <c r="B22067" s="2">
        <v>629</v>
      </c>
      <c r="C22067" s="4" t="str">
        <f>HYPERLINK("http://www.uniprot.org/uniprot/W9QMT5","W9QMT5")</f>
        <v>W9QMT5</v>
      </c>
      <c r="D22067" s="2" t="s">
        <v>16361</v>
      </c>
      <c r="E22067" s="3">
        <v>2.4699999999999999E-9</v>
      </c>
      <c r="F22067" s="2">
        <v>150</v>
      </c>
      <c r="G22067" s="2">
        <v>39</v>
      </c>
      <c r="H22067" s="2">
        <v>98</v>
      </c>
      <c r="I22067" s="2">
        <v>182</v>
      </c>
      <c r="J22067" s="2">
        <v>469</v>
      </c>
      <c r="K22067" s="2">
        <v>19</v>
      </c>
      <c r="L22067" s="2">
        <v>115</v>
      </c>
    </row>
    <row r="22068" spans="1:12" x14ac:dyDescent="0.25">
      <c r="A22068" s="4" t="str">
        <f>HYPERLINK("http://www.rosaceae.org/Prunus/Prunus_persica/p.persica_gdr_reftransV1_0015409","p.persica_gdr_reftransV1_0015409")</f>
        <v>p.persica_gdr_reftransV1_0015409</v>
      </c>
      <c r="B22068" s="2">
        <v>2738</v>
      </c>
      <c r="C22068" s="4" t="str">
        <f>HYPERLINK("http://www.uniprot.org/uniprot/M5WCR4","M5WCR4")</f>
        <v>M5WCR4</v>
      </c>
      <c r="D22068" s="2" t="s">
        <v>16362</v>
      </c>
      <c r="E22068" s="3">
        <v>0</v>
      </c>
      <c r="F22068" s="2">
        <v>3560</v>
      </c>
      <c r="G22068" s="2">
        <v>99</v>
      </c>
      <c r="H22068" s="2">
        <v>692</v>
      </c>
      <c r="I22068" s="2">
        <v>237</v>
      </c>
      <c r="J22068" s="2">
        <v>2312</v>
      </c>
      <c r="K22068" s="2">
        <v>1</v>
      </c>
      <c r="L22068" s="2">
        <v>685</v>
      </c>
    </row>
    <row r="22069" spans="1:12" x14ac:dyDescent="0.25">
      <c r="A22069" s="4" t="str">
        <f>HYPERLINK("http://www.rosaceae.org/Prunus/Prunus_persica/p.persica_gdr_reftransV1_0016109","p.persica_gdr_reftransV1_0016109")</f>
        <v>p.persica_gdr_reftransV1_0016109</v>
      </c>
      <c r="B22069" s="2">
        <v>4193</v>
      </c>
      <c r="C22069" s="4" t="str">
        <f>HYPERLINK("http://www.uniprot.org/uniprot/M5XMA9","M5XMA9")</f>
        <v>M5XMA9</v>
      </c>
      <c r="D22069" s="2" t="s">
        <v>16363</v>
      </c>
      <c r="E22069" s="3">
        <v>0</v>
      </c>
      <c r="F22069" s="2">
        <v>6292</v>
      </c>
      <c r="G22069" s="2">
        <v>100</v>
      </c>
      <c r="H22069" s="2">
        <v>1194</v>
      </c>
      <c r="I22069" s="2">
        <v>206</v>
      </c>
      <c r="J22069" s="2">
        <v>3787</v>
      </c>
      <c r="K22069" s="2">
        <v>1</v>
      </c>
      <c r="L22069" s="2">
        <v>1193</v>
      </c>
    </row>
    <row r="22070" spans="1:12" x14ac:dyDescent="0.25">
      <c r="A22070" s="4" t="str">
        <f>HYPERLINK("http://www.rosaceae.org/Prunus/Prunus_persica/p.persica_gdr_reftransV1_0016459","p.persica_gdr_reftransV1_0016459")</f>
        <v>p.persica_gdr_reftransV1_0016459</v>
      </c>
      <c r="B22070" s="2">
        <v>2010</v>
      </c>
      <c r="C22070" s="4" t="str">
        <f>HYPERLINK("http://www.uniprot.org/uniprot/M5X0Z0","M5X0Z0")</f>
        <v>M5X0Z0</v>
      </c>
      <c r="D22070" s="2" t="s">
        <v>16364</v>
      </c>
      <c r="E22070" s="3">
        <v>4.3600000000000002E-67</v>
      </c>
      <c r="F22070" s="2">
        <v>598</v>
      </c>
      <c r="G22070" s="2">
        <v>99</v>
      </c>
      <c r="H22070" s="2">
        <v>113</v>
      </c>
      <c r="I22070" s="2">
        <v>520</v>
      </c>
      <c r="J22070" s="2">
        <v>858</v>
      </c>
      <c r="K22070" s="2">
        <v>232</v>
      </c>
      <c r="L22070" s="2">
        <v>344</v>
      </c>
    </row>
    <row r="22071" spans="1:12" x14ac:dyDescent="0.25">
      <c r="A22071" s="4" t="str">
        <f>HYPERLINK("http://www.rosaceae.org/Prunus/Prunus_persica/p.persica_gdr_reftransV1_0017509","p.persica_gdr_reftransV1_0017509")</f>
        <v>p.persica_gdr_reftransV1_0017509</v>
      </c>
      <c r="B22071" s="2">
        <v>1029</v>
      </c>
      <c r="C22071" s="4" t="str">
        <f>HYPERLINK("http://www.uniprot.org/uniprot/M5WLX8","M5WLX8")</f>
        <v>M5WLX8</v>
      </c>
      <c r="D22071" s="2" t="s">
        <v>16365</v>
      </c>
      <c r="E22071" s="3">
        <v>7.4400000000000003E-98</v>
      </c>
      <c r="F22071" s="2">
        <v>762</v>
      </c>
      <c r="G22071" s="2">
        <v>100</v>
      </c>
      <c r="H22071" s="2">
        <v>145</v>
      </c>
      <c r="I22071" s="2">
        <v>160</v>
      </c>
      <c r="J22071" s="2">
        <v>594</v>
      </c>
      <c r="K22071" s="2">
        <v>1</v>
      </c>
      <c r="L22071" s="2">
        <v>145</v>
      </c>
    </row>
    <row r="22072" spans="1:12" x14ac:dyDescent="0.25">
      <c r="A22072" s="4" t="str">
        <f>HYPERLINK("http://www.rosaceae.org/Prunus/Prunus_persica/p.persica_gdr_reftransV1_0018909","p.persica_gdr_reftransV1_0018909")</f>
        <v>p.persica_gdr_reftransV1_0018909</v>
      </c>
      <c r="B22072" s="2">
        <v>1440</v>
      </c>
      <c r="C22072" s="4" t="str">
        <f>HYPERLINK("http://www.uniprot.org/uniprot/M5VZP2","M5VZP2")</f>
        <v>M5VZP2</v>
      </c>
      <c r="D22072" s="2" t="s">
        <v>16366</v>
      </c>
      <c r="E22072" s="3">
        <v>0</v>
      </c>
      <c r="F22072" s="2">
        <v>1871</v>
      </c>
      <c r="G22072" s="2">
        <v>100</v>
      </c>
      <c r="H22072" s="2">
        <v>372</v>
      </c>
      <c r="I22072" s="2">
        <v>110</v>
      </c>
      <c r="J22072" s="2">
        <v>1225</v>
      </c>
      <c r="K22072" s="2">
        <v>1</v>
      </c>
      <c r="L22072" s="2">
        <v>372</v>
      </c>
    </row>
    <row r="22073" spans="1:12" x14ac:dyDescent="0.25">
      <c r="A22073" s="4" t="str">
        <f>HYPERLINK("http://www.rosaceae.org/Prunus/Prunus_persica/p.persica_gdr_reftransV1_0019259","p.persica_gdr_reftransV1_0019259")</f>
        <v>p.persica_gdr_reftransV1_0019259</v>
      </c>
      <c r="B22073" s="2">
        <v>2730</v>
      </c>
      <c r="C22073" s="4" t="str">
        <f>HYPERLINK("http://www.uniprot.org/uniprot/M5WHB8","M5WHB8")</f>
        <v>M5WHB8</v>
      </c>
      <c r="D22073" s="2" t="s">
        <v>16367</v>
      </c>
      <c r="E22073" s="3">
        <v>0</v>
      </c>
      <c r="F22073" s="2">
        <v>2770</v>
      </c>
      <c r="G22073" s="2">
        <v>95</v>
      </c>
      <c r="H22073" s="2">
        <v>658</v>
      </c>
      <c r="I22073" s="2">
        <v>591</v>
      </c>
      <c r="J22073" s="2">
        <v>2564</v>
      </c>
      <c r="K22073" s="2">
        <v>6</v>
      </c>
      <c r="L22073" s="2">
        <v>629</v>
      </c>
    </row>
    <row r="22074" spans="1:12" x14ac:dyDescent="0.25">
      <c r="A22074" s="4" t="str">
        <f>HYPERLINK("http://www.rosaceae.org/Prunus/Prunus_persica/p.persica_gdr_reftransV1_0020309","p.persica_gdr_reftransV1_0020309")</f>
        <v>p.persica_gdr_reftransV1_0020309</v>
      </c>
      <c r="B22074" s="2">
        <v>1519</v>
      </c>
      <c r="C22074" s="4" t="str">
        <f>HYPERLINK("http://www.uniprot.org/uniprot/M5VR09","M5VR09")</f>
        <v>M5VR09</v>
      </c>
      <c r="D22074" s="2" t="s">
        <v>1128</v>
      </c>
      <c r="E22074" s="3">
        <v>3.1699999999999998E-172</v>
      </c>
      <c r="F22074" s="2">
        <v>1288</v>
      </c>
      <c r="G22074" s="2">
        <v>100</v>
      </c>
      <c r="H22074" s="2">
        <v>239</v>
      </c>
      <c r="I22074" s="2">
        <v>363</v>
      </c>
      <c r="J22074" s="2">
        <v>1079</v>
      </c>
      <c r="K22074" s="2">
        <v>86</v>
      </c>
      <c r="L22074" s="2">
        <v>324</v>
      </c>
    </row>
    <row r="22075" spans="1:12" x14ac:dyDescent="0.25">
      <c r="A22075" s="4" t="str">
        <f>HYPERLINK("http://www.rosaceae.org/Prunus/Prunus_persica/p.persica_gdr_reftransV1_0023459","p.persica_gdr_reftransV1_0023459")</f>
        <v>p.persica_gdr_reftransV1_0023459</v>
      </c>
      <c r="B22075" s="2">
        <v>2307</v>
      </c>
      <c r="C22075" s="4" t="str">
        <f>HYPERLINK("http://www.uniprot.org/uniprot/M5XQU1","M5XQU1")</f>
        <v>M5XQU1</v>
      </c>
      <c r="D22075" s="2" t="s">
        <v>14802</v>
      </c>
      <c r="E22075" s="3">
        <v>0</v>
      </c>
      <c r="F22075" s="2">
        <v>1724</v>
      </c>
      <c r="G22075" s="2">
        <v>100</v>
      </c>
      <c r="H22075" s="2">
        <v>337</v>
      </c>
      <c r="I22075" s="2">
        <v>407</v>
      </c>
      <c r="J22075" s="2">
        <v>1417</v>
      </c>
      <c r="K22075" s="2">
        <v>1</v>
      </c>
      <c r="L22075" s="2">
        <v>337</v>
      </c>
    </row>
    <row r="22076" spans="1:12" x14ac:dyDescent="0.25">
      <c r="A22076" s="4" t="str">
        <f>HYPERLINK("http://www.rosaceae.org/Prunus/Prunus_persica/p.persica_gdr_reftransV1_0024159","p.persica_gdr_reftransV1_0024159")</f>
        <v>p.persica_gdr_reftransV1_0024159</v>
      </c>
      <c r="B22076" s="2">
        <v>2537</v>
      </c>
      <c r="C22076" s="4" t="str">
        <f>HYPERLINK("http://www.uniprot.org/uniprot/M5XNB9","M5XNB9")</f>
        <v>M5XNB9</v>
      </c>
      <c r="D22076" s="2" t="s">
        <v>16368</v>
      </c>
      <c r="E22076" s="3">
        <v>0</v>
      </c>
      <c r="F22076" s="2">
        <v>1838</v>
      </c>
      <c r="G22076" s="2">
        <v>100</v>
      </c>
      <c r="H22076" s="2">
        <v>539</v>
      </c>
      <c r="I22076" s="2">
        <v>322</v>
      </c>
      <c r="J22076" s="2">
        <v>1938</v>
      </c>
      <c r="K22076" s="2">
        <v>1</v>
      </c>
      <c r="L22076" s="2">
        <v>539</v>
      </c>
    </row>
    <row r="22077" spans="1:12" x14ac:dyDescent="0.25">
      <c r="A22077" s="4" t="str">
        <f>HYPERLINK("http://www.rosaceae.org/Prunus/Prunus_persica/p.persica_gdr_reftransV1_0024509","p.persica_gdr_reftransV1_0024509")</f>
        <v>p.persica_gdr_reftransV1_0024509</v>
      </c>
      <c r="B22077" s="2">
        <v>2149</v>
      </c>
      <c r="C22077" s="4" t="str">
        <f>HYPERLINK("http://www.uniprot.org/uniprot/M5VXX8","M5VXX8")</f>
        <v>M5VXX8</v>
      </c>
      <c r="D22077" s="2" t="s">
        <v>16369</v>
      </c>
      <c r="E22077" s="3">
        <v>0</v>
      </c>
      <c r="F22077" s="2">
        <v>2508</v>
      </c>
      <c r="G22077" s="2">
        <v>99</v>
      </c>
      <c r="H22077" s="2">
        <v>490</v>
      </c>
      <c r="I22077" s="2">
        <v>273</v>
      </c>
      <c r="J22077" s="2">
        <v>1742</v>
      </c>
      <c r="K22077" s="2">
        <v>1</v>
      </c>
      <c r="L22077" s="2">
        <v>490</v>
      </c>
    </row>
    <row r="22078" spans="1:12" x14ac:dyDescent="0.25">
      <c r="A22078" s="4" t="str">
        <f>HYPERLINK("http://www.rosaceae.org/Prunus/Prunus_persica/p.persica_gdr_reftransV1_0025909","p.persica_gdr_reftransV1_0025909")</f>
        <v>p.persica_gdr_reftransV1_0025909</v>
      </c>
      <c r="B22078" s="2">
        <v>3560</v>
      </c>
      <c r="C22078" s="4" t="str">
        <f>HYPERLINK("http://www.uniprot.org/uniprot/M5W4U2","M5W4U2")</f>
        <v>M5W4U2</v>
      </c>
      <c r="D22078" s="2" t="s">
        <v>16370</v>
      </c>
      <c r="E22078" s="3">
        <v>0</v>
      </c>
      <c r="F22078" s="2">
        <v>4252</v>
      </c>
      <c r="G22078" s="2">
        <v>95</v>
      </c>
      <c r="H22078" s="2">
        <v>903</v>
      </c>
      <c r="I22078" s="2">
        <v>572</v>
      </c>
      <c r="J22078" s="2">
        <v>3280</v>
      </c>
      <c r="K22078" s="2">
        <v>1</v>
      </c>
      <c r="L22078" s="2">
        <v>867</v>
      </c>
    </row>
    <row r="22079" spans="1:12" x14ac:dyDescent="0.25">
      <c r="A22079" s="4" t="str">
        <f>HYPERLINK("http://www.rosaceae.org/Prunus/Prunus_persica/p.persica_gdr_reftransV1_0027309","p.persica_gdr_reftransV1_0027309")</f>
        <v>p.persica_gdr_reftransV1_0027309</v>
      </c>
      <c r="B22079" s="2">
        <v>379</v>
      </c>
      <c r="C22079" s="4" t="str">
        <f>HYPERLINK("http://www.uniprot.org/uniprot/M5WK04","M5WK04")</f>
        <v>M5WK04</v>
      </c>
      <c r="D22079" s="2" t="s">
        <v>16371</v>
      </c>
      <c r="E22079" s="3">
        <v>3.3700000000000001E-68</v>
      </c>
      <c r="F22079" s="2">
        <v>588</v>
      </c>
      <c r="G22079" s="2">
        <v>98</v>
      </c>
      <c r="H22079" s="2">
        <v>126</v>
      </c>
      <c r="I22079" s="2">
        <v>2</v>
      </c>
      <c r="J22079" s="2">
        <v>379</v>
      </c>
      <c r="K22079" s="2">
        <v>467</v>
      </c>
      <c r="L22079" s="2">
        <v>592</v>
      </c>
    </row>
    <row r="22080" spans="1:12" x14ac:dyDescent="0.25">
      <c r="A22080" s="4" t="str">
        <f>HYPERLINK("http://www.rosaceae.org/Prunus/Prunus_persica/p.persica_gdr_reftransV1_0028709","p.persica_gdr_reftransV1_0028709")</f>
        <v>p.persica_gdr_reftransV1_0028709</v>
      </c>
      <c r="B22080" s="2">
        <v>2078</v>
      </c>
      <c r="C22080" s="4" t="str">
        <f>HYPERLINK("http://www.uniprot.org/uniprot/M5WQ80","M5WQ80")</f>
        <v>M5WQ80</v>
      </c>
      <c r="D22080" s="2" t="s">
        <v>16372</v>
      </c>
      <c r="E22080" s="3">
        <v>0</v>
      </c>
      <c r="F22080" s="2">
        <v>3304</v>
      </c>
      <c r="G22080" s="2">
        <v>100</v>
      </c>
      <c r="H22080" s="2">
        <v>650</v>
      </c>
      <c r="I22080" s="2">
        <v>72</v>
      </c>
      <c r="J22080" s="2">
        <v>2021</v>
      </c>
      <c r="K22080" s="2">
        <v>1</v>
      </c>
      <c r="L22080" s="2">
        <v>650</v>
      </c>
    </row>
    <row r="22081" spans="1:12" x14ac:dyDescent="0.25">
      <c r="A22081" s="4" t="str">
        <f>HYPERLINK("http://www.rosaceae.org/Prunus/Prunus_persica/p.persica_gdr_reftransV1_0029059","p.persica_gdr_reftransV1_0029059")</f>
        <v>p.persica_gdr_reftransV1_0029059</v>
      </c>
      <c r="B22081" s="2">
        <v>2967</v>
      </c>
      <c r="C22081" s="4" t="str">
        <f>HYPERLINK("http://www.uniprot.org/uniprot/M5XR18","M5XR18")</f>
        <v>M5XR18</v>
      </c>
      <c r="D22081" s="2" t="s">
        <v>16373</v>
      </c>
      <c r="E22081" s="3">
        <v>0</v>
      </c>
      <c r="F22081" s="2">
        <v>4752</v>
      </c>
      <c r="G22081" s="2">
        <v>100</v>
      </c>
      <c r="H22081" s="2">
        <v>911</v>
      </c>
      <c r="I22081" s="2">
        <v>156</v>
      </c>
      <c r="J22081" s="2">
        <v>2888</v>
      </c>
      <c r="K22081" s="2">
        <v>1</v>
      </c>
      <c r="L22081" s="2">
        <v>911</v>
      </c>
    </row>
    <row r="22082" spans="1:12" x14ac:dyDescent="0.25">
      <c r="A22082" s="4" t="str">
        <f>HYPERLINK("http://www.rosaceae.org/Prunus/Prunus_persica/p.persica_gdr_reftransV1_0029759","p.persica_gdr_reftransV1_0029759")</f>
        <v>p.persica_gdr_reftransV1_0029759</v>
      </c>
      <c r="B22082" s="2">
        <v>831</v>
      </c>
      <c r="C22082" s="4" t="str">
        <f>HYPERLINK("http://www.uniprot.org/uniprot/M5X0I5","M5X0I5")</f>
        <v>M5X0I5</v>
      </c>
      <c r="D22082" s="2" t="s">
        <v>16374</v>
      </c>
      <c r="E22082" s="3">
        <v>5.2E-149</v>
      </c>
      <c r="F22082" s="2">
        <v>1114</v>
      </c>
      <c r="G22082" s="2">
        <v>100</v>
      </c>
      <c r="H22082" s="2">
        <v>240</v>
      </c>
      <c r="I22082" s="2">
        <v>90</v>
      </c>
      <c r="J22082" s="2">
        <v>809</v>
      </c>
      <c r="K22082" s="2">
        <v>121</v>
      </c>
      <c r="L22082" s="2">
        <v>360</v>
      </c>
    </row>
    <row r="22083" spans="1:12" x14ac:dyDescent="0.25">
      <c r="A22083" s="4" t="str">
        <f>HYPERLINK("http://www.rosaceae.org/Prunus/Prunus_persica/p.persica_gdr_reftransV1_0031509","p.persica_gdr_reftransV1_0031509")</f>
        <v>p.persica_gdr_reftransV1_0031509</v>
      </c>
      <c r="B22083" s="2">
        <v>2102</v>
      </c>
      <c r="C22083" s="4" t="str">
        <f>HYPERLINK("http://www.uniprot.org/uniprot/M5WA32","M5WA32")</f>
        <v>M5WA32</v>
      </c>
      <c r="D22083" s="2" t="s">
        <v>16375</v>
      </c>
      <c r="E22083" s="3">
        <v>0</v>
      </c>
      <c r="F22083" s="2">
        <v>1520</v>
      </c>
      <c r="G22083" s="2">
        <v>99</v>
      </c>
      <c r="H22083" s="2">
        <v>285</v>
      </c>
      <c r="I22083" s="2">
        <v>319</v>
      </c>
      <c r="J22083" s="2">
        <v>1173</v>
      </c>
      <c r="K22083" s="2">
        <v>29</v>
      </c>
      <c r="L22083" s="2">
        <v>313</v>
      </c>
    </row>
    <row r="22084" spans="1:12" x14ac:dyDescent="0.25">
      <c r="A22084" s="4" t="str">
        <f>HYPERLINK("http://www.rosaceae.org/Prunus/Prunus_persica/p.persica_gdr_reftransV1_0032559","p.persica_gdr_reftransV1_0032559")</f>
        <v>p.persica_gdr_reftransV1_0032559</v>
      </c>
      <c r="B22084" s="2">
        <v>1764</v>
      </c>
      <c r="C22084" s="4" t="str">
        <f>HYPERLINK("http://www.uniprot.org/uniprot/M5VJZ7","M5VJZ7")</f>
        <v>M5VJZ7</v>
      </c>
      <c r="D22084" s="2" t="s">
        <v>12652</v>
      </c>
      <c r="E22084" s="3">
        <v>0</v>
      </c>
      <c r="F22084" s="2">
        <v>1870</v>
      </c>
      <c r="G22084" s="2">
        <v>100</v>
      </c>
      <c r="H22084" s="2">
        <v>381</v>
      </c>
      <c r="I22084" s="2">
        <v>200</v>
      </c>
      <c r="J22084" s="2">
        <v>1342</v>
      </c>
      <c r="K22084" s="2">
        <v>1</v>
      </c>
      <c r="L22084" s="2">
        <v>381</v>
      </c>
    </row>
    <row r="22085" spans="1:12" x14ac:dyDescent="0.25">
      <c r="A22085" s="4" t="str">
        <f>HYPERLINK("http://www.rosaceae.org/Prunus/Prunus_persica/p.persica_gdr_reftransV1_0033259","p.persica_gdr_reftransV1_0033259")</f>
        <v>p.persica_gdr_reftransV1_0033259</v>
      </c>
      <c r="B22085" s="2">
        <v>757</v>
      </c>
      <c r="C22085" s="4" t="str">
        <f>HYPERLINK("http://www.uniprot.org/uniprot/D7TGJ5","D7TGJ5")</f>
        <v>D7TGJ5</v>
      </c>
      <c r="D22085" s="2" t="s">
        <v>6836</v>
      </c>
      <c r="E22085" s="3">
        <v>8.7599999999999996E-95</v>
      </c>
      <c r="F22085" s="2">
        <v>745</v>
      </c>
      <c r="G22085" s="2">
        <v>84</v>
      </c>
      <c r="H22085" s="2">
        <v>161</v>
      </c>
      <c r="I22085" s="2">
        <v>158</v>
      </c>
      <c r="J22085" s="2">
        <v>640</v>
      </c>
      <c r="K22085" s="2">
        <v>32</v>
      </c>
      <c r="L22085" s="2">
        <v>192</v>
      </c>
    </row>
    <row r="22086" spans="1:12" x14ac:dyDescent="0.25">
      <c r="A22086" s="4" t="str">
        <f>HYPERLINK("http://www.rosaceae.org/Prunus/Prunus_persica/p.persica_gdr_reftransV1_0033959","p.persica_gdr_reftransV1_0033959")</f>
        <v>p.persica_gdr_reftransV1_0033959</v>
      </c>
      <c r="B22086" s="2">
        <v>1543</v>
      </c>
      <c r="C22086" s="4" t="str">
        <f>HYPERLINK("http://www.uniprot.org/uniprot/M5WGJ0","M5WGJ0")</f>
        <v>M5WGJ0</v>
      </c>
      <c r="D22086" s="2" t="s">
        <v>16376</v>
      </c>
      <c r="E22086" s="3">
        <v>6.0899999999999997E-162</v>
      </c>
      <c r="F22086" s="2">
        <v>1218</v>
      </c>
      <c r="G22086" s="2">
        <v>100</v>
      </c>
      <c r="H22086" s="2">
        <v>266</v>
      </c>
      <c r="I22086" s="2">
        <v>544</v>
      </c>
      <c r="J22086" s="2">
        <v>1341</v>
      </c>
      <c r="K22086" s="2">
        <v>1</v>
      </c>
      <c r="L22086" s="2">
        <v>266</v>
      </c>
    </row>
    <row r="22087" spans="1:12" x14ac:dyDescent="0.25">
      <c r="A22087" s="4" t="str">
        <f>HYPERLINK("http://www.rosaceae.org/Prunus/Prunus_persica/p.persica_gdr_reftransV1_0035009","p.persica_gdr_reftransV1_0035009")</f>
        <v>p.persica_gdr_reftransV1_0035009</v>
      </c>
      <c r="B22087" s="2">
        <v>1722</v>
      </c>
      <c r="C22087" s="4" t="str">
        <f>HYPERLINK("http://www.uniprot.org/uniprot/M5VVU6","M5VVU6")</f>
        <v>M5VVU6</v>
      </c>
      <c r="D22087" s="2" t="s">
        <v>16377</v>
      </c>
      <c r="E22087" s="3">
        <v>0</v>
      </c>
      <c r="F22087" s="2">
        <v>2260</v>
      </c>
      <c r="G22087" s="2">
        <v>100</v>
      </c>
      <c r="H22087" s="2">
        <v>425</v>
      </c>
      <c r="I22087" s="2">
        <v>406</v>
      </c>
      <c r="J22087" s="2">
        <v>1680</v>
      </c>
      <c r="K22087" s="2">
        <v>1</v>
      </c>
      <c r="L22087" s="2">
        <v>425</v>
      </c>
    </row>
    <row r="22088" spans="1:12" x14ac:dyDescent="0.25">
      <c r="A22088" s="4" t="str">
        <f>HYPERLINK("http://www.rosaceae.org/Prunus/Prunus_persica/p.persica_gdr_reftransV1_0035709","p.persica_gdr_reftransV1_0035709")</f>
        <v>p.persica_gdr_reftransV1_0035709</v>
      </c>
      <c r="B22088" s="2">
        <v>1594</v>
      </c>
      <c r="C22088" s="4" t="str">
        <f>HYPERLINK("http://www.uniprot.org/uniprot/M5VMZ0","M5VMZ0")</f>
        <v>M5VMZ0</v>
      </c>
      <c r="D22088" s="2" t="s">
        <v>16378</v>
      </c>
      <c r="E22088" s="3">
        <v>0</v>
      </c>
      <c r="F22088" s="2">
        <v>1605</v>
      </c>
      <c r="G22088" s="2">
        <v>100</v>
      </c>
      <c r="H22088" s="2">
        <v>347</v>
      </c>
      <c r="I22088" s="2">
        <v>528</v>
      </c>
      <c r="J22088" s="2">
        <v>1568</v>
      </c>
      <c r="K22088" s="2">
        <v>8</v>
      </c>
      <c r="L22088" s="2">
        <v>354</v>
      </c>
    </row>
    <row r="22089" spans="1:12" x14ac:dyDescent="0.25">
      <c r="A22089" s="4" t="str">
        <f>HYPERLINK("http://www.rosaceae.org/Prunus/Prunus_persica/p.persica_gdr_reftransV1_0036059","p.persica_gdr_reftransV1_0036059")</f>
        <v>p.persica_gdr_reftransV1_0036059</v>
      </c>
      <c r="B22089" s="2">
        <v>2571</v>
      </c>
      <c r="C22089" s="4" t="str">
        <f>HYPERLINK("http://www.uniprot.org/uniprot/M5WAM0","M5WAM0")</f>
        <v>M5WAM0</v>
      </c>
      <c r="D22089" s="2" t="s">
        <v>6212</v>
      </c>
      <c r="E22089" s="3">
        <v>0</v>
      </c>
      <c r="F22089" s="2">
        <v>2314</v>
      </c>
      <c r="G22089" s="2">
        <v>100</v>
      </c>
      <c r="H22089" s="2">
        <v>427</v>
      </c>
      <c r="I22089" s="2">
        <v>120</v>
      </c>
      <c r="J22089" s="2">
        <v>1400</v>
      </c>
      <c r="K22089" s="2">
        <v>1</v>
      </c>
      <c r="L22089" s="2">
        <v>427</v>
      </c>
    </row>
    <row r="22090" spans="1:12" x14ac:dyDescent="0.25">
      <c r="A22090" s="4" t="str">
        <f>HYPERLINK("http://www.rosaceae.org/Prunus/Prunus_persica/p.persica_gdr_reftransV1_0039209","p.persica_gdr_reftransV1_0039209")</f>
        <v>p.persica_gdr_reftransV1_0039209</v>
      </c>
      <c r="B22090" s="2">
        <v>2134</v>
      </c>
      <c r="C22090" s="4" t="str">
        <f>HYPERLINK("http://www.uniprot.org/uniprot/M5W4G5","M5W4G5")</f>
        <v>M5W4G5</v>
      </c>
      <c r="D22090" s="2" t="s">
        <v>16379</v>
      </c>
      <c r="E22090" s="3">
        <v>0</v>
      </c>
      <c r="F22090" s="2">
        <v>1819</v>
      </c>
      <c r="G22090" s="2">
        <v>84</v>
      </c>
      <c r="H22090" s="2">
        <v>460</v>
      </c>
      <c r="I22090" s="2">
        <v>395</v>
      </c>
      <c r="J22090" s="2">
        <v>1774</v>
      </c>
      <c r="K22090" s="2">
        <v>70</v>
      </c>
      <c r="L22090" s="2">
        <v>465</v>
      </c>
    </row>
    <row r="22091" spans="1:12" x14ac:dyDescent="0.25">
      <c r="A22091" s="4" t="str">
        <f>HYPERLINK("http://www.rosaceae.org/Prunus/Prunus_persica/p.persica_gdr_reftransV1_0041309","p.persica_gdr_reftransV1_0041309")</f>
        <v>p.persica_gdr_reftransV1_0041309</v>
      </c>
      <c r="B22091" s="2">
        <v>1123</v>
      </c>
      <c r="C22091" s="4" t="str">
        <f>HYPERLINK("http://www.uniprot.org/uniprot/M5Y5K3","M5Y5K3")</f>
        <v>M5Y5K3</v>
      </c>
      <c r="D22091" s="2" t="s">
        <v>16380</v>
      </c>
      <c r="E22091" s="3">
        <v>1.7599999999999999E-91</v>
      </c>
      <c r="F22091" s="2">
        <v>724</v>
      </c>
      <c r="G22091" s="2">
        <v>100</v>
      </c>
      <c r="H22091" s="2">
        <v>159</v>
      </c>
      <c r="I22091" s="2">
        <v>91</v>
      </c>
      <c r="J22091" s="2">
        <v>567</v>
      </c>
      <c r="K22091" s="2">
        <v>1</v>
      </c>
      <c r="L22091" s="2">
        <v>159</v>
      </c>
    </row>
    <row r="22092" spans="1:12" x14ac:dyDescent="0.25">
      <c r="A22092" s="4" t="str">
        <f>HYPERLINK("http://www.rosaceae.org/Prunus/Prunus_persica/p.persica_gdr_reftransV1_0041659","p.persica_gdr_reftransV1_0041659")</f>
        <v>p.persica_gdr_reftransV1_0041659</v>
      </c>
      <c r="B22092" s="2">
        <v>1908</v>
      </c>
      <c r="C22092" s="4" t="str">
        <f>HYPERLINK("http://www.uniprot.org/uniprot/M5WTG8","M5WTG8")</f>
        <v>M5WTG8</v>
      </c>
      <c r="D22092" s="2" t="s">
        <v>16381</v>
      </c>
      <c r="E22092" s="3">
        <v>4.2899999999999999E-156</v>
      </c>
      <c r="F22092" s="2">
        <v>1183</v>
      </c>
      <c r="G22092" s="2">
        <v>100</v>
      </c>
      <c r="H22092" s="2">
        <v>220</v>
      </c>
      <c r="I22092" s="2">
        <v>108</v>
      </c>
      <c r="J22092" s="2">
        <v>767</v>
      </c>
      <c r="K22092" s="2">
        <v>3</v>
      </c>
      <c r="L22092" s="2">
        <v>222</v>
      </c>
    </row>
    <row r="22093" spans="1:12" x14ac:dyDescent="0.25">
      <c r="A22093" s="4" t="str">
        <f>HYPERLINK("http://www.rosaceae.org/Prunus/Prunus_persica/p.persica_gdr_reftransV1_0042709","p.persica_gdr_reftransV1_0042709")</f>
        <v>p.persica_gdr_reftransV1_0042709</v>
      </c>
      <c r="B22093" s="2">
        <v>2142</v>
      </c>
      <c r="C22093" s="4" t="str">
        <f>HYPERLINK("http://www.uniprot.org/uniprot/M5WUL8","M5WUL8")</f>
        <v>M5WUL8</v>
      </c>
      <c r="D22093" s="2" t="s">
        <v>13604</v>
      </c>
      <c r="E22093" s="3">
        <v>0</v>
      </c>
      <c r="F22093" s="2">
        <v>2264</v>
      </c>
      <c r="G22093" s="2">
        <v>100</v>
      </c>
      <c r="H22093" s="2">
        <v>457</v>
      </c>
      <c r="I22093" s="2">
        <v>39</v>
      </c>
      <c r="J22093" s="2">
        <v>1409</v>
      </c>
      <c r="K22093" s="2">
        <v>1</v>
      </c>
      <c r="L22093" s="2">
        <v>457</v>
      </c>
    </row>
    <row r="22094" spans="1:12" x14ac:dyDescent="0.25">
      <c r="A22094" s="4" t="str">
        <f>HYPERLINK("http://www.rosaceae.org/Prunus/Prunus_persica/p.persica_gdr_reftransV1_0043059","p.persica_gdr_reftransV1_0043059")</f>
        <v>p.persica_gdr_reftransV1_0043059</v>
      </c>
      <c r="B22094" s="2">
        <v>3064</v>
      </c>
      <c r="C22094" s="4" t="str">
        <f>HYPERLINK("http://www.uniprot.org/uniprot/M5XJZ4","M5XJZ4")</f>
        <v>M5XJZ4</v>
      </c>
      <c r="D22094" s="2" t="s">
        <v>15094</v>
      </c>
      <c r="E22094" s="3">
        <v>0</v>
      </c>
      <c r="F22094" s="2">
        <v>3691</v>
      </c>
      <c r="G22094" s="2">
        <v>100</v>
      </c>
      <c r="H22094" s="2">
        <v>715</v>
      </c>
      <c r="I22094" s="2">
        <v>683</v>
      </c>
      <c r="J22094" s="2">
        <v>2827</v>
      </c>
      <c r="K22094" s="2">
        <v>1</v>
      </c>
      <c r="L22094" s="2">
        <v>715</v>
      </c>
    </row>
    <row r="22095" spans="1:12" x14ac:dyDescent="0.25">
      <c r="A22095" s="4" t="str">
        <f>HYPERLINK("http://www.rosaceae.org/Prunus/Prunus_persica/p.persica_gdr_reftransV1_0043409","p.persica_gdr_reftransV1_0043409")</f>
        <v>p.persica_gdr_reftransV1_0043409</v>
      </c>
      <c r="B22095" s="2">
        <v>421</v>
      </c>
      <c r="C22095" s="4" t="str">
        <f>HYPERLINK("http://www.uniprot.org/uniprot/M5XI58","M5XI58")</f>
        <v>M5XI58</v>
      </c>
      <c r="D22095" s="2" t="s">
        <v>15238</v>
      </c>
      <c r="E22095" s="3">
        <v>1.0100000000000001E-89</v>
      </c>
      <c r="F22095" s="2">
        <v>733</v>
      </c>
      <c r="G22095" s="2">
        <v>100</v>
      </c>
      <c r="H22095" s="2">
        <v>140</v>
      </c>
      <c r="I22095" s="2">
        <v>1</v>
      </c>
      <c r="J22095" s="2">
        <v>420</v>
      </c>
      <c r="K22095" s="2">
        <v>544</v>
      </c>
      <c r="L22095" s="2">
        <v>683</v>
      </c>
    </row>
    <row r="22096" spans="1:12" x14ac:dyDescent="0.25">
      <c r="A22096" s="4" t="str">
        <f>HYPERLINK("http://www.rosaceae.org/Prunus/Prunus_persica/p.persica_gdr_reftransV1_0044109","p.persica_gdr_reftransV1_0044109")</f>
        <v>p.persica_gdr_reftransV1_0044109</v>
      </c>
      <c r="B22096" s="2">
        <v>601</v>
      </c>
      <c r="C22096" s="4" t="str">
        <f>HYPERLINK("http://www.uniprot.org/uniprot/A6Y9Y5","A6Y9Y5")</f>
        <v>A6Y9Y5</v>
      </c>
      <c r="D22096" s="2" t="s">
        <v>16382</v>
      </c>
      <c r="E22096" s="3">
        <v>9.2000000000000004E-105</v>
      </c>
      <c r="F22096" s="2">
        <v>805</v>
      </c>
      <c r="G22096" s="2">
        <v>96</v>
      </c>
      <c r="H22096" s="2">
        <v>194</v>
      </c>
      <c r="I22096" s="2">
        <v>20</v>
      </c>
      <c r="J22096" s="2">
        <v>601</v>
      </c>
      <c r="K22096" s="2">
        <v>1</v>
      </c>
      <c r="L22096" s="2">
        <v>194</v>
      </c>
    </row>
    <row r="22097" spans="1:12" x14ac:dyDescent="0.25">
      <c r="A22097" s="4" t="str">
        <f>HYPERLINK("http://www.rosaceae.org/Prunus/Prunus_persica/p.persica_gdr_reftransV1_0044459","p.persica_gdr_reftransV1_0044459")</f>
        <v>p.persica_gdr_reftransV1_0044459</v>
      </c>
      <c r="B22097" s="2">
        <v>309</v>
      </c>
      <c r="C22097" s="4" t="str">
        <f>HYPERLINK("http://www.uniprot.org/uniprot/M5XRN1","M5XRN1")</f>
        <v>M5XRN1</v>
      </c>
      <c r="D22097" s="2" t="s">
        <v>16383</v>
      </c>
      <c r="E22097" s="3">
        <v>6.4999999999999997E-68</v>
      </c>
      <c r="F22097" s="2">
        <v>559</v>
      </c>
      <c r="G22097" s="2">
        <v>100</v>
      </c>
      <c r="H22097" s="2">
        <v>101</v>
      </c>
      <c r="I22097" s="2">
        <v>3</v>
      </c>
      <c r="J22097" s="2">
        <v>305</v>
      </c>
      <c r="K22097" s="2">
        <v>294</v>
      </c>
      <c r="L22097" s="2">
        <v>394</v>
      </c>
    </row>
    <row r="22098" spans="1:12" x14ac:dyDescent="0.25">
      <c r="A22098" s="4" t="str">
        <f>HYPERLINK("http://www.rosaceae.org/Prunus/Prunus_persica/p.persica_gdr_reftransV1_0044809","p.persica_gdr_reftransV1_0044809")</f>
        <v>p.persica_gdr_reftransV1_0044809</v>
      </c>
      <c r="B22098" s="2">
        <v>680</v>
      </c>
      <c r="C22098" s="4" t="str">
        <f>HYPERLINK("http://www.uniprot.org/uniprot/M5WFU8","M5WFU8")</f>
        <v>M5WFU8</v>
      </c>
      <c r="D22098" s="2" t="s">
        <v>12882</v>
      </c>
      <c r="E22098" s="3">
        <v>9.1899999999999998E-114</v>
      </c>
      <c r="F22098" s="2">
        <v>871</v>
      </c>
      <c r="G22098" s="2">
        <v>99</v>
      </c>
      <c r="H22098" s="2">
        <v>163</v>
      </c>
      <c r="I22098" s="2">
        <v>192</v>
      </c>
      <c r="J22098" s="2">
        <v>680</v>
      </c>
      <c r="K22098" s="2">
        <v>140</v>
      </c>
      <c r="L22098" s="2">
        <v>302</v>
      </c>
    </row>
    <row r="22099" spans="1:12" x14ac:dyDescent="0.25">
      <c r="A22099" s="4" t="str">
        <f>HYPERLINK("http://www.rosaceae.org/Prunus/Prunus_persica/p.persica_gdr_reftransV1_0045159","p.persica_gdr_reftransV1_0045159")</f>
        <v>p.persica_gdr_reftransV1_0045159</v>
      </c>
      <c r="B22099" s="2">
        <v>978</v>
      </c>
      <c r="C22099" s="4" t="str">
        <f>HYPERLINK("http://www.uniprot.org/uniprot/M5XQJ9","M5XQJ9")</f>
        <v>M5XQJ9</v>
      </c>
      <c r="D22099" s="2" t="s">
        <v>16384</v>
      </c>
      <c r="E22099" s="3">
        <v>1.1700000000000001E-146</v>
      </c>
      <c r="F22099" s="2">
        <v>1092</v>
      </c>
      <c r="G22099" s="2">
        <v>100</v>
      </c>
      <c r="H22099" s="2">
        <v>239</v>
      </c>
      <c r="I22099" s="2">
        <v>183</v>
      </c>
      <c r="J22099" s="2">
        <v>899</v>
      </c>
      <c r="K22099" s="2">
        <v>1</v>
      </c>
      <c r="L22099" s="2">
        <v>239</v>
      </c>
    </row>
    <row r="22100" spans="1:12" x14ac:dyDescent="0.25">
      <c r="A22100" s="4" t="str">
        <f>HYPERLINK("http://www.rosaceae.org/Prunus/Prunus_persica/p.persica_gdr_reftransV1_0045509","p.persica_gdr_reftransV1_0045509")</f>
        <v>p.persica_gdr_reftransV1_0045509</v>
      </c>
      <c r="B22100" s="2">
        <v>1946</v>
      </c>
      <c r="C22100" s="4" t="str">
        <f>HYPERLINK("http://www.uniprot.org/uniprot/M5XWC3","M5XWC3")</f>
        <v>M5XWC3</v>
      </c>
      <c r="D22100" s="2" t="s">
        <v>16325</v>
      </c>
      <c r="E22100" s="3">
        <v>0</v>
      </c>
      <c r="F22100" s="2">
        <v>1718</v>
      </c>
      <c r="G22100" s="2">
        <v>100</v>
      </c>
      <c r="H22100" s="2">
        <v>350</v>
      </c>
      <c r="I22100" s="2">
        <v>438</v>
      </c>
      <c r="J22100" s="2">
        <v>1487</v>
      </c>
      <c r="K22100" s="2">
        <v>1</v>
      </c>
      <c r="L22100" s="2">
        <v>350</v>
      </c>
    </row>
    <row r="22101" spans="1:12" x14ac:dyDescent="0.25">
      <c r="A22101" s="4" t="str">
        <f>HYPERLINK("http://www.rosaceae.org/Prunus/Prunus_persica/p.persica_gdr_reftransV1_0046209","p.persica_gdr_reftransV1_0046209")</f>
        <v>p.persica_gdr_reftransV1_0046209</v>
      </c>
      <c r="B22101" s="2">
        <v>2854</v>
      </c>
      <c r="C22101" s="4" t="str">
        <f>HYPERLINK("http://www.uniprot.org/uniprot/M5XSN9","M5XSN9")</f>
        <v>M5XSN9</v>
      </c>
      <c r="D22101" s="2" t="s">
        <v>16385</v>
      </c>
      <c r="E22101" s="3">
        <v>0</v>
      </c>
      <c r="F22101" s="2">
        <v>2129</v>
      </c>
      <c r="G22101" s="2">
        <v>100</v>
      </c>
      <c r="H22101" s="2">
        <v>420</v>
      </c>
      <c r="I22101" s="2">
        <v>1475</v>
      </c>
      <c r="J22101" s="2">
        <v>2734</v>
      </c>
      <c r="K22101" s="2">
        <v>1</v>
      </c>
      <c r="L22101" s="2">
        <v>420</v>
      </c>
    </row>
    <row r="22102" spans="1:12" x14ac:dyDescent="0.25">
      <c r="A22102" s="4" t="str">
        <f>HYPERLINK("http://www.rosaceae.org/Prunus/Prunus_persica/p.persica_gdr_reftransV1_0046559","p.persica_gdr_reftransV1_0046559")</f>
        <v>p.persica_gdr_reftransV1_0046559</v>
      </c>
      <c r="B22102" s="2">
        <v>1315</v>
      </c>
      <c r="C22102" s="4" t="str">
        <f>HYPERLINK("http://www.uniprot.org/uniprot/M5VQT9","M5VQT9")</f>
        <v>M5VQT9</v>
      </c>
      <c r="D22102" s="2" t="s">
        <v>16386</v>
      </c>
      <c r="E22102" s="3">
        <v>1.5800000000000001E-126</v>
      </c>
      <c r="F22102" s="2">
        <v>634</v>
      </c>
      <c r="G22102" s="2">
        <v>100</v>
      </c>
      <c r="H22102" s="2">
        <v>137</v>
      </c>
      <c r="I22102" s="2">
        <v>873</v>
      </c>
      <c r="J22102" s="2">
        <v>1283</v>
      </c>
      <c r="K22102" s="2">
        <v>1</v>
      </c>
      <c r="L22102" s="2">
        <v>137</v>
      </c>
    </row>
    <row r="22103" spans="1:12" x14ac:dyDescent="0.25">
      <c r="A22103" s="4" t="str">
        <f>HYPERLINK("http://www.rosaceae.org/Prunus/Prunus_persica/p.persica_gdr_reftransV1_0047259","p.persica_gdr_reftransV1_0047259")</f>
        <v>p.persica_gdr_reftransV1_0047259</v>
      </c>
      <c r="B22103" s="2">
        <v>1732</v>
      </c>
      <c r="C22103" s="4" t="str">
        <f>HYPERLINK("http://www.uniprot.org/uniprot/M5XVI3","M5XVI3")</f>
        <v>M5XVI3</v>
      </c>
      <c r="D22103" s="2" t="s">
        <v>14441</v>
      </c>
      <c r="E22103" s="3">
        <v>0</v>
      </c>
      <c r="F22103" s="2">
        <v>1879</v>
      </c>
      <c r="G22103" s="2">
        <v>92</v>
      </c>
      <c r="H22103" s="2">
        <v>386</v>
      </c>
      <c r="I22103" s="2">
        <v>23</v>
      </c>
      <c r="J22103" s="2">
        <v>1099</v>
      </c>
      <c r="K22103" s="2">
        <v>1</v>
      </c>
      <c r="L22103" s="2">
        <v>386</v>
      </c>
    </row>
    <row r="22104" spans="1:12" x14ac:dyDescent="0.25">
      <c r="A22104" s="4" t="str">
        <f>HYPERLINK("http://www.rosaceae.org/Prunus/Prunus_persica/p.persica_gdr_reftransV1_0047609","p.persica_gdr_reftransV1_0047609")</f>
        <v>p.persica_gdr_reftransV1_0047609</v>
      </c>
      <c r="B22104" s="2">
        <v>477</v>
      </c>
      <c r="C22104" s="4" t="str">
        <f>HYPERLINK("http://www.uniprot.org/uniprot/M5VSA3","M5VSA3")</f>
        <v>M5VSA3</v>
      </c>
      <c r="D22104" s="2" t="s">
        <v>14430</v>
      </c>
      <c r="E22104" s="3">
        <v>8.2900000000000004E-111</v>
      </c>
      <c r="F22104" s="2">
        <v>848</v>
      </c>
      <c r="G22104" s="2">
        <v>100</v>
      </c>
      <c r="H22104" s="2">
        <v>158</v>
      </c>
      <c r="I22104" s="2">
        <v>3</v>
      </c>
      <c r="J22104" s="2">
        <v>476</v>
      </c>
      <c r="K22104" s="2">
        <v>49</v>
      </c>
      <c r="L22104" s="2">
        <v>206</v>
      </c>
    </row>
    <row r="22105" spans="1:12" x14ac:dyDescent="0.25">
      <c r="A22105" s="4" t="str">
        <f>HYPERLINK("http://www.rosaceae.org/Prunus/Prunus_persica/p.persica_gdr_reftransV1_0047959","p.persica_gdr_reftransV1_0047959")</f>
        <v>p.persica_gdr_reftransV1_0047959</v>
      </c>
      <c r="B22105" s="2">
        <v>1267</v>
      </c>
      <c r="C22105" s="4" t="str">
        <f>HYPERLINK("http://www.uniprot.org/uniprot/M5XEG1","M5XEG1")</f>
        <v>M5XEG1</v>
      </c>
      <c r="D22105" s="2" t="s">
        <v>1667</v>
      </c>
      <c r="E22105" s="3">
        <v>0</v>
      </c>
      <c r="F22105" s="2">
        <v>1633</v>
      </c>
      <c r="G22105" s="2">
        <v>100</v>
      </c>
      <c r="H22105" s="2">
        <v>314</v>
      </c>
      <c r="I22105" s="2">
        <v>45</v>
      </c>
      <c r="J22105" s="2">
        <v>986</v>
      </c>
      <c r="K22105" s="2">
        <v>1</v>
      </c>
      <c r="L22105" s="2">
        <v>314</v>
      </c>
    </row>
    <row r="22106" spans="1:12" x14ac:dyDescent="0.25">
      <c r="A22106" s="4" t="str">
        <f>HYPERLINK("http://www.rosaceae.org/Prunus/Prunus_persica/p.persica_gdr_reftransV1_0048659","p.persica_gdr_reftransV1_0048659")</f>
        <v>p.persica_gdr_reftransV1_0048659</v>
      </c>
      <c r="B22106" s="2">
        <v>1287</v>
      </c>
      <c r="C22106" s="4" t="str">
        <f>HYPERLINK("http://www.uniprot.org/uniprot/M5VK59","M5VK59")</f>
        <v>M5VK59</v>
      </c>
      <c r="D22106" s="2" t="s">
        <v>16297</v>
      </c>
      <c r="E22106" s="3">
        <v>0</v>
      </c>
      <c r="F22106" s="2">
        <v>1712</v>
      </c>
      <c r="G22106" s="2">
        <v>87</v>
      </c>
      <c r="H22106" s="2">
        <v>382</v>
      </c>
      <c r="I22106" s="2">
        <v>138</v>
      </c>
      <c r="J22106" s="2">
        <v>1271</v>
      </c>
      <c r="K22106" s="2">
        <v>1</v>
      </c>
      <c r="L22106" s="2">
        <v>382</v>
      </c>
    </row>
    <row r="22107" spans="1:12" x14ac:dyDescent="0.25">
      <c r="A22107" s="4" t="str">
        <f>HYPERLINK("http://www.rosaceae.org/Prunus/Prunus_persica/p.persica_gdr_reftransV1_0000441","p.persica_gdr_reftransV1_0000441")</f>
        <v>p.persica_gdr_reftransV1_0000441</v>
      </c>
      <c r="B22107" s="2">
        <v>842</v>
      </c>
      <c r="C22107" s="4" t="str">
        <f>HYPERLINK("http://www.uniprot.org/uniprot/M5X3L3","M5X3L3")</f>
        <v>M5X3L3</v>
      </c>
      <c r="D22107" s="2" t="s">
        <v>306</v>
      </c>
      <c r="E22107" s="3">
        <v>2.7400000000000001E-88</v>
      </c>
      <c r="F22107" s="2">
        <v>753</v>
      </c>
      <c r="G22107" s="2">
        <v>100</v>
      </c>
      <c r="H22107" s="2">
        <v>145</v>
      </c>
      <c r="I22107" s="2">
        <v>190</v>
      </c>
      <c r="J22107" s="2">
        <v>624</v>
      </c>
      <c r="K22107" s="2">
        <v>884</v>
      </c>
      <c r="L22107" s="2">
        <v>1028</v>
      </c>
    </row>
    <row r="22108" spans="1:12" x14ac:dyDescent="0.25">
      <c r="A22108" s="4" t="str">
        <f>HYPERLINK("http://www.rosaceae.org/Prunus/Prunus_persica/p.persica_gdr_reftransV1_0000791","p.persica_gdr_reftransV1_0000791")</f>
        <v>p.persica_gdr_reftransV1_0000791</v>
      </c>
      <c r="B22108" s="2">
        <v>1012</v>
      </c>
      <c r="C22108" s="4" t="str">
        <f>HYPERLINK("http://www.uniprot.org/uniprot/M5W9E3","M5W9E3")</f>
        <v>M5W9E3</v>
      </c>
      <c r="D22108" s="2" t="s">
        <v>2967</v>
      </c>
      <c r="E22108" s="3">
        <v>1.75E-125</v>
      </c>
      <c r="F22108" s="2">
        <v>1030</v>
      </c>
      <c r="G22108" s="2">
        <v>100</v>
      </c>
      <c r="H22108" s="2">
        <v>206</v>
      </c>
      <c r="I22108" s="2">
        <v>392</v>
      </c>
      <c r="J22108" s="2">
        <v>1009</v>
      </c>
      <c r="K22108" s="2">
        <v>1078</v>
      </c>
      <c r="L22108" s="2">
        <v>1283</v>
      </c>
    </row>
    <row r="22109" spans="1:12" x14ac:dyDescent="0.25">
      <c r="A22109" s="4" t="str">
        <f>HYPERLINK("http://www.rosaceae.org/Prunus/Prunus_persica/p.persica_gdr_reftransV1_0001141","p.persica_gdr_reftransV1_0001141")</f>
        <v>p.persica_gdr_reftransV1_0001141</v>
      </c>
      <c r="B22109" s="2">
        <v>2190</v>
      </c>
      <c r="C22109" s="4" t="str">
        <f>HYPERLINK("http://www.uniprot.org/uniprot/M5XET8","M5XET8")</f>
        <v>M5XET8</v>
      </c>
      <c r="D22109" s="2" t="s">
        <v>10721</v>
      </c>
      <c r="E22109" s="3">
        <v>0</v>
      </c>
      <c r="F22109" s="2">
        <v>2024</v>
      </c>
      <c r="G22109" s="2">
        <v>100</v>
      </c>
      <c r="H22109" s="2">
        <v>406</v>
      </c>
      <c r="I22109" s="2">
        <v>465</v>
      </c>
      <c r="J22109" s="2">
        <v>1682</v>
      </c>
      <c r="K22109" s="2">
        <v>1</v>
      </c>
      <c r="L22109" s="2">
        <v>406</v>
      </c>
    </row>
    <row r="22110" spans="1:12" x14ac:dyDescent="0.25">
      <c r="A22110" s="4" t="str">
        <f>HYPERLINK("http://www.rosaceae.org/Prunus/Prunus_persica/p.persica_gdr_reftransV1_0001491","p.persica_gdr_reftransV1_0001491")</f>
        <v>p.persica_gdr_reftransV1_0001491</v>
      </c>
      <c r="B22110" s="2">
        <v>1193</v>
      </c>
      <c r="C22110" s="4" t="str">
        <f>HYPERLINK("http://www.uniprot.org/uniprot/M5WY35","M5WY35")</f>
        <v>M5WY35</v>
      </c>
      <c r="D22110" s="2" t="s">
        <v>6477</v>
      </c>
      <c r="E22110" s="3">
        <v>2.8499999999999999E-149</v>
      </c>
      <c r="F22110" s="2">
        <v>1113</v>
      </c>
      <c r="G22110" s="2">
        <v>100</v>
      </c>
      <c r="H22110" s="2">
        <v>205</v>
      </c>
      <c r="I22110" s="2">
        <v>197</v>
      </c>
      <c r="J22110" s="2">
        <v>811</v>
      </c>
      <c r="K22110" s="2">
        <v>1</v>
      </c>
      <c r="L22110" s="2">
        <v>205</v>
      </c>
    </row>
    <row r="22111" spans="1:12" x14ac:dyDescent="0.25">
      <c r="A22111" s="4" t="str">
        <f>HYPERLINK("http://www.rosaceae.org/Prunus/Prunus_persica/p.persica_gdr_reftransV1_0001841","p.persica_gdr_reftransV1_0001841")</f>
        <v>p.persica_gdr_reftransV1_0001841</v>
      </c>
      <c r="B22111" s="2">
        <v>791</v>
      </c>
      <c r="C22111" s="4" t="str">
        <f>HYPERLINK("http://www.uniprot.org/uniprot/M5W7X0","M5W7X0")</f>
        <v>M5W7X0</v>
      </c>
      <c r="D22111" s="2" t="s">
        <v>8093</v>
      </c>
      <c r="E22111" s="3">
        <v>8.2600000000000003E-66</v>
      </c>
      <c r="F22111" s="2">
        <v>560</v>
      </c>
      <c r="G22111" s="2">
        <v>100</v>
      </c>
      <c r="H22111" s="2">
        <v>106</v>
      </c>
      <c r="I22111" s="2">
        <v>2</v>
      </c>
      <c r="J22111" s="2">
        <v>319</v>
      </c>
      <c r="K22111" s="2">
        <v>215</v>
      </c>
      <c r="L22111" s="2">
        <v>320</v>
      </c>
    </row>
    <row r="22112" spans="1:12" x14ac:dyDescent="0.25">
      <c r="A22112" s="4" t="str">
        <f>HYPERLINK("http://www.rosaceae.org/Prunus/Prunus_persica/p.persica_gdr_reftransV1_0002191","p.persica_gdr_reftransV1_0002191")</f>
        <v>p.persica_gdr_reftransV1_0002191</v>
      </c>
      <c r="B22112" s="2">
        <v>579</v>
      </c>
      <c r="C22112" s="4" t="str">
        <f>HYPERLINK("http://www.uniprot.org/uniprot/M5WMB6","M5WMB6")</f>
        <v>M5WMB6</v>
      </c>
      <c r="D22112" s="2" t="s">
        <v>11240</v>
      </c>
      <c r="E22112" s="3">
        <v>5.0200000000000001E-98</v>
      </c>
      <c r="F22112" s="2">
        <v>771</v>
      </c>
      <c r="G22112" s="2">
        <v>100</v>
      </c>
      <c r="H22112" s="2">
        <v>153</v>
      </c>
      <c r="I22112" s="2">
        <v>2</v>
      </c>
      <c r="J22112" s="2">
        <v>460</v>
      </c>
      <c r="K22112" s="2">
        <v>1</v>
      </c>
      <c r="L22112" s="2">
        <v>153</v>
      </c>
    </row>
    <row r="22113" spans="1:12" x14ac:dyDescent="0.25">
      <c r="A22113" s="4" t="str">
        <f>HYPERLINK("http://www.rosaceae.org/Prunus/Prunus_persica/p.persica_gdr_reftransV1_0002541","p.persica_gdr_reftransV1_0002541")</f>
        <v>p.persica_gdr_reftransV1_0002541</v>
      </c>
      <c r="B22113" s="2">
        <v>2529</v>
      </c>
      <c r="C22113" s="4" t="str">
        <f>HYPERLINK("http://www.uniprot.org/uniprot/M5WDW0","M5WDW0")</f>
        <v>M5WDW0</v>
      </c>
      <c r="D22113" s="2" t="s">
        <v>8890</v>
      </c>
      <c r="E22113" s="3">
        <v>0</v>
      </c>
      <c r="F22113" s="2">
        <v>3232</v>
      </c>
      <c r="G22113" s="2">
        <v>100</v>
      </c>
      <c r="H22113" s="2">
        <v>609</v>
      </c>
      <c r="I22113" s="2">
        <v>580</v>
      </c>
      <c r="J22113" s="2">
        <v>2406</v>
      </c>
      <c r="K22113" s="2">
        <v>1</v>
      </c>
      <c r="L22113" s="2">
        <v>609</v>
      </c>
    </row>
    <row r="22114" spans="1:12" x14ac:dyDescent="0.25">
      <c r="A22114" s="4" t="str">
        <f>HYPERLINK("http://www.rosaceae.org/Prunus/Prunus_persica/p.persica_gdr_reftransV1_0003241","p.persica_gdr_reftransV1_0003241")</f>
        <v>p.persica_gdr_reftransV1_0003241</v>
      </c>
      <c r="B22114" s="2">
        <v>337</v>
      </c>
      <c r="C22114" s="4" t="str">
        <f>HYPERLINK("http://www.uniprot.org/uniprot/M5WKP0","M5WKP0")</f>
        <v>M5WKP0</v>
      </c>
      <c r="D22114" s="2" t="s">
        <v>9849</v>
      </c>
      <c r="E22114" s="3">
        <v>7.4900000000000003E-56</v>
      </c>
      <c r="F22114" s="2">
        <v>501</v>
      </c>
      <c r="G22114" s="2">
        <v>100</v>
      </c>
      <c r="H22114" s="2">
        <v>111</v>
      </c>
      <c r="I22114" s="2">
        <v>3</v>
      </c>
      <c r="J22114" s="2">
        <v>335</v>
      </c>
      <c r="K22114" s="2">
        <v>761</v>
      </c>
      <c r="L22114" s="2">
        <v>871</v>
      </c>
    </row>
    <row r="22115" spans="1:12" x14ac:dyDescent="0.25">
      <c r="A22115" s="4" t="str">
        <f>HYPERLINK("http://www.rosaceae.org/Prunus/Prunus_persica/p.persica_gdr_reftransV1_0003591","p.persica_gdr_reftransV1_0003591")</f>
        <v>p.persica_gdr_reftransV1_0003591</v>
      </c>
      <c r="B22115" s="2">
        <v>490</v>
      </c>
      <c r="C22115" s="4" t="str">
        <f>HYPERLINK("http://www.uniprot.org/uniprot/M5WML3","M5WML3")</f>
        <v>M5WML3</v>
      </c>
      <c r="D22115" s="2" t="s">
        <v>13399</v>
      </c>
      <c r="E22115" s="3">
        <v>2.6199999999999999E-73</v>
      </c>
      <c r="F22115" s="2">
        <v>600</v>
      </c>
      <c r="G22115" s="2">
        <v>100</v>
      </c>
      <c r="H22115" s="2">
        <v>116</v>
      </c>
      <c r="I22115" s="2">
        <v>1</v>
      </c>
      <c r="J22115" s="2">
        <v>348</v>
      </c>
      <c r="K22115" s="2">
        <v>248</v>
      </c>
      <c r="L22115" s="2">
        <v>363</v>
      </c>
    </row>
    <row r="22116" spans="1:12" x14ac:dyDescent="0.25">
      <c r="A22116" s="4" t="str">
        <f>HYPERLINK("http://www.rosaceae.org/Prunus/Prunus_persica/p.persica_gdr_reftransV1_0003941","p.persica_gdr_reftransV1_0003941")</f>
        <v>p.persica_gdr_reftransV1_0003941</v>
      </c>
      <c r="B22116" s="2">
        <v>3464</v>
      </c>
      <c r="C22116" s="4" t="str">
        <f>HYPERLINK("http://www.uniprot.org/uniprot/M5VW19","M5VW19")</f>
        <v>M5VW19</v>
      </c>
      <c r="D22116" s="2" t="s">
        <v>16387</v>
      </c>
      <c r="E22116" s="3">
        <v>0</v>
      </c>
      <c r="F22116" s="2">
        <v>1868</v>
      </c>
      <c r="G22116" s="2">
        <v>97</v>
      </c>
      <c r="H22116" s="2">
        <v>385</v>
      </c>
      <c r="I22116" s="2">
        <v>1838</v>
      </c>
      <c r="J22116" s="2">
        <v>2974</v>
      </c>
      <c r="K22116" s="2">
        <v>12</v>
      </c>
      <c r="L22116" s="2">
        <v>396</v>
      </c>
    </row>
    <row r="22117" spans="1:12" x14ac:dyDescent="0.25">
      <c r="A22117" s="4" t="str">
        <f>HYPERLINK("http://www.rosaceae.org/Prunus/Prunus_persica/p.persica_gdr_reftransV1_0005341","p.persica_gdr_reftransV1_0005341")</f>
        <v>p.persica_gdr_reftransV1_0005341</v>
      </c>
      <c r="B22117" s="2">
        <v>1709</v>
      </c>
      <c r="C22117" s="4" t="str">
        <f>HYPERLINK("http://www.uniprot.org/uniprot/M4QEJ8","M4QEJ8")</f>
        <v>M4QEJ8</v>
      </c>
      <c r="D22117" s="2" t="s">
        <v>5270</v>
      </c>
      <c r="E22117" s="3">
        <v>0</v>
      </c>
      <c r="F22117" s="2">
        <v>2090</v>
      </c>
      <c r="G22117" s="2">
        <v>100</v>
      </c>
      <c r="H22117" s="2">
        <v>396</v>
      </c>
      <c r="I22117" s="2">
        <v>175</v>
      </c>
      <c r="J22117" s="2">
        <v>1362</v>
      </c>
      <c r="K22117" s="2">
        <v>22</v>
      </c>
      <c r="L22117" s="2">
        <v>417</v>
      </c>
    </row>
    <row r="22118" spans="1:12" x14ac:dyDescent="0.25">
      <c r="A22118" s="4" t="str">
        <f>HYPERLINK("http://www.rosaceae.org/Prunus/Prunus_persica/p.persica_gdr_reftransV1_0005691","p.persica_gdr_reftransV1_0005691")</f>
        <v>p.persica_gdr_reftransV1_0005691</v>
      </c>
      <c r="B22118" s="2">
        <v>376</v>
      </c>
      <c r="C22118" s="4" t="str">
        <f>HYPERLINK("http://www.uniprot.org/uniprot/M5WZT9","M5WZT9")</f>
        <v>M5WZT9</v>
      </c>
      <c r="D22118" s="2" t="s">
        <v>6425</v>
      </c>
      <c r="E22118" s="3">
        <v>1.2700000000000001E-43</v>
      </c>
      <c r="F22118" s="2">
        <v>401</v>
      </c>
      <c r="G22118" s="2">
        <v>68</v>
      </c>
      <c r="H22118" s="2">
        <v>126</v>
      </c>
      <c r="I22118" s="2">
        <v>1</v>
      </c>
      <c r="J22118" s="2">
        <v>375</v>
      </c>
      <c r="K22118" s="2">
        <v>156</v>
      </c>
      <c r="L22118" s="2">
        <v>281</v>
      </c>
    </row>
    <row r="22119" spans="1:12" x14ac:dyDescent="0.25">
      <c r="A22119" s="4" t="str">
        <f>HYPERLINK("http://www.rosaceae.org/Prunus/Prunus_persica/p.persica_gdr_reftransV1_0006391","p.persica_gdr_reftransV1_0006391")</f>
        <v>p.persica_gdr_reftransV1_0006391</v>
      </c>
      <c r="B22119" s="2">
        <v>1121</v>
      </c>
      <c r="C22119" s="4" t="str">
        <f>HYPERLINK("http://www.uniprot.org/uniprot/A0A061E5H2","A0A061E5H2")</f>
        <v>A0A061E5H2</v>
      </c>
      <c r="D22119" s="2" t="s">
        <v>16388</v>
      </c>
      <c r="E22119" s="3">
        <v>5.3299999999999999E-154</v>
      </c>
      <c r="F22119" s="2">
        <v>1163</v>
      </c>
      <c r="G22119" s="2">
        <v>65</v>
      </c>
      <c r="H22119" s="2">
        <v>364</v>
      </c>
      <c r="I22119" s="2">
        <v>26</v>
      </c>
      <c r="J22119" s="2">
        <v>1111</v>
      </c>
      <c r="K22119" s="2">
        <v>3</v>
      </c>
      <c r="L22119" s="2">
        <v>363</v>
      </c>
    </row>
    <row r="22120" spans="1:12" x14ac:dyDescent="0.25">
      <c r="A22120" s="4" t="str">
        <f>HYPERLINK("http://www.rosaceae.org/Prunus/Prunus_persica/p.persica_gdr_reftransV1_0006741","p.persica_gdr_reftransV1_0006741")</f>
        <v>p.persica_gdr_reftransV1_0006741</v>
      </c>
      <c r="B22120" s="2">
        <v>2533</v>
      </c>
      <c r="C22120" s="4" t="str">
        <f>HYPERLINK("http://www.uniprot.org/uniprot/M5W2Q7","M5W2Q7")</f>
        <v>M5W2Q7</v>
      </c>
      <c r="D22120" s="2" t="s">
        <v>16389</v>
      </c>
      <c r="E22120" s="3">
        <v>0</v>
      </c>
      <c r="F22120" s="2">
        <v>1937</v>
      </c>
      <c r="G22120" s="2">
        <v>100</v>
      </c>
      <c r="H22120" s="2">
        <v>359</v>
      </c>
      <c r="I22120" s="2">
        <v>392</v>
      </c>
      <c r="J22120" s="2">
        <v>1468</v>
      </c>
      <c r="K22120" s="2">
        <v>1</v>
      </c>
      <c r="L22120" s="2">
        <v>359</v>
      </c>
    </row>
    <row r="22121" spans="1:12" x14ac:dyDescent="0.25">
      <c r="A22121" s="4" t="str">
        <f>HYPERLINK("http://www.rosaceae.org/Prunus/Prunus_persica/p.persica_gdr_reftransV1_0007091","p.persica_gdr_reftransV1_0007091")</f>
        <v>p.persica_gdr_reftransV1_0007091</v>
      </c>
      <c r="B22121" s="2">
        <v>958</v>
      </c>
      <c r="C22121" s="4" t="str">
        <f>HYPERLINK("http://www.uniprot.org/uniprot/M5WCM8","M5WCM8")</f>
        <v>M5WCM8</v>
      </c>
      <c r="D22121" s="2" t="s">
        <v>16390</v>
      </c>
      <c r="E22121" s="3">
        <v>4.22E-126</v>
      </c>
      <c r="F22121" s="2">
        <v>952</v>
      </c>
      <c r="G22121" s="2">
        <v>100</v>
      </c>
      <c r="H22121" s="2">
        <v>199</v>
      </c>
      <c r="I22121" s="2">
        <v>212</v>
      </c>
      <c r="J22121" s="2">
        <v>808</v>
      </c>
      <c r="K22121" s="2">
        <v>1</v>
      </c>
      <c r="L22121" s="2">
        <v>199</v>
      </c>
    </row>
    <row r="22122" spans="1:12" x14ac:dyDescent="0.25">
      <c r="A22122" s="4" t="str">
        <f>HYPERLINK("http://www.rosaceae.org/Prunus/Prunus_persica/p.persica_gdr_reftransV1_0007791","p.persica_gdr_reftransV1_0007791")</f>
        <v>p.persica_gdr_reftransV1_0007791</v>
      </c>
      <c r="B22122" s="2">
        <v>322</v>
      </c>
      <c r="C22122" s="4" t="str">
        <f>HYPERLINK("http://www.uniprot.org/uniprot/M5XBC6","M5XBC6")</f>
        <v>M5XBC6</v>
      </c>
      <c r="D22122" s="2" t="s">
        <v>977</v>
      </c>
      <c r="E22122" s="3">
        <v>2.8500000000000001E-33</v>
      </c>
      <c r="F22122" s="2">
        <v>329</v>
      </c>
      <c r="G22122" s="2">
        <v>70</v>
      </c>
      <c r="H22122" s="2">
        <v>115</v>
      </c>
      <c r="I22122" s="2">
        <v>3</v>
      </c>
      <c r="J22122" s="2">
        <v>320</v>
      </c>
      <c r="K22122" s="2">
        <v>21</v>
      </c>
      <c r="L22122" s="2">
        <v>135</v>
      </c>
    </row>
    <row r="22123" spans="1:12" x14ac:dyDescent="0.25">
      <c r="A22123" s="4" t="str">
        <f>HYPERLINK("http://www.rosaceae.org/Prunus/Prunus_persica/p.persica_gdr_reftransV1_0008141","p.persica_gdr_reftransV1_0008141")</f>
        <v>p.persica_gdr_reftransV1_0008141</v>
      </c>
      <c r="B22123" s="2">
        <v>3940</v>
      </c>
      <c r="C22123" s="4" t="str">
        <f>HYPERLINK("http://www.uniprot.org/uniprot/M5VP26","M5VP26")</f>
        <v>M5VP26</v>
      </c>
      <c r="D22123" s="2" t="s">
        <v>16391</v>
      </c>
      <c r="E22123" s="3">
        <v>0</v>
      </c>
      <c r="F22123" s="2">
        <v>3815</v>
      </c>
      <c r="G22123" s="2">
        <v>100</v>
      </c>
      <c r="H22123" s="2">
        <v>737</v>
      </c>
      <c r="I22123" s="2">
        <v>273</v>
      </c>
      <c r="J22123" s="2">
        <v>2483</v>
      </c>
      <c r="K22123" s="2">
        <v>1</v>
      </c>
      <c r="L22123" s="2">
        <v>737</v>
      </c>
    </row>
    <row r="22124" spans="1:12" x14ac:dyDescent="0.25">
      <c r="A22124" s="4" t="str">
        <f>HYPERLINK("http://www.rosaceae.org/Prunus/Prunus_persica/p.persica_gdr_reftransV1_0008491","p.persica_gdr_reftransV1_0008491")</f>
        <v>p.persica_gdr_reftransV1_0008491</v>
      </c>
      <c r="B22124" s="2">
        <v>3407</v>
      </c>
      <c r="C22124" s="4" t="str">
        <f>HYPERLINK("http://www.uniprot.org/uniprot/M5X9L7","M5X9L7")</f>
        <v>M5X9L7</v>
      </c>
      <c r="D22124" s="2" t="s">
        <v>16392</v>
      </c>
      <c r="E22124" s="3">
        <v>0</v>
      </c>
      <c r="F22124" s="2">
        <v>4972</v>
      </c>
      <c r="G22124" s="2">
        <v>100</v>
      </c>
      <c r="H22124" s="2">
        <v>967</v>
      </c>
      <c r="I22124" s="2">
        <v>214</v>
      </c>
      <c r="J22124" s="2">
        <v>3114</v>
      </c>
      <c r="K22124" s="2">
        <v>1</v>
      </c>
      <c r="L22124" s="2">
        <v>967</v>
      </c>
    </row>
    <row r="22125" spans="1:12" x14ac:dyDescent="0.25">
      <c r="A22125" s="4" t="str">
        <f>HYPERLINK("http://www.rosaceae.org/Prunus/Prunus_persica/p.persica_gdr_reftransV1_0010241","p.persica_gdr_reftransV1_0010241")</f>
        <v>p.persica_gdr_reftransV1_0010241</v>
      </c>
      <c r="B22125" s="2">
        <v>1382</v>
      </c>
      <c r="C22125" s="4" t="str">
        <f>HYPERLINK("http://www.uniprot.org/uniprot/M5XBH3","M5XBH3")</f>
        <v>M5XBH3</v>
      </c>
      <c r="D22125" s="2" t="s">
        <v>9416</v>
      </c>
      <c r="E22125" s="3">
        <v>0</v>
      </c>
      <c r="F22125" s="2">
        <v>1746</v>
      </c>
      <c r="G22125" s="2">
        <v>100</v>
      </c>
      <c r="H22125" s="2">
        <v>351</v>
      </c>
      <c r="I22125" s="2">
        <v>86</v>
      </c>
      <c r="J22125" s="2">
        <v>1138</v>
      </c>
      <c r="K22125" s="2">
        <v>1</v>
      </c>
      <c r="L22125" s="2">
        <v>351</v>
      </c>
    </row>
    <row r="22126" spans="1:12" x14ac:dyDescent="0.25">
      <c r="A22126" s="4" t="str">
        <f>HYPERLINK("http://www.rosaceae.org/Prunus/Prunus_persica/p.persica_gdr_reftransV1_0010941","p.persica_gdr_reftransV1_0010941")</f>
        <v>p.persica_gdr_reftransV1_0010941</v>
      </c>
      <c r="B22126" s="2">
        <v>830</v>
      </c>
      <c r="C22126" s="4" t="str">
        <f>HYPERLINK("http://www.uniprot.org/uniprot/M5WD73","M5WD73")</f>
        <v>M5WD73</v>
      </c>
      <c r="D22126" s="2" t="s">
        <v>16393</v>
      </c>
      <c r="E22126" s="3">
        <v>6.3499999999999997E-107</v>
      </c>
      <c r="F22126" s="2">
        <v>817</v>
      </c>
      <c r="G22126" s="2">
        <v>100</v>
      </c>
      <c r="H22126" s="2">
        <v>166</v>
      </c>
      <c r="I22126" s="2">
        <v>289</v>
      </c>
      <c r="J22126" s="2">
        <v>786</v>
      </c>
      <c r="K22126" s="2">
        <v>1</v>
      </c>
      <c r="L22126" s="2">
        <v>166</v>
      </c>
    </row>
    <row r="22127" spans="1:12" x14ac:dyDescent="0.25">
      <c r="A22127" s="4" t="str">
        <f>HYPERLINK("http://www.rosaceae.org/Prunus/Prunus_persica/p.persica_gdr_reftransV1_0011641","p.persica_gdr_reftransV1_0011641")</f>
        <v>p.persica_gdr_reftransV1_0011641</v>
      </c>
      <c r="B22127" s="2">
        <v>953</v>
      </c>
      <c r="C22127" s="4" t="str">
        <f>HYPERLINK("http://www.uniprot.org/uniprot/M5WFB3","M5WFB3")</f>
        <v>M5WFB3</v>
      </c>
      <c r="D22127" s="2" t="s">
        <v>16394</v>
      </c>
      <c r="E22127" s="3">
        <v>7.1500000000000004E-81</v>
      </c>
      <c r="F22127" s="2">
        <v>646</v>
      </c>
      <c r="G22127" s="2">
        <v>98</v>
      </c>
      <c r="H22127" s="2">
        <v>123</v>
      </c>
      <c r="I22127" s="2">
        <v>129</v>
      </c>
      <c r="J22127" s="2">
        <v>497</v>
      </c>
      <c r="K22127" s="2">
        <v>1</v>
      </c>
      <c r="L22127" s="2">
        <v>123</v>
      </c>
    </row>
    <row r="22128" spans="1:12" x14ac:dyDescent="0.25">
      <c r="A22128" s="4" t="str">
        <f>HYPERLINK("http://www.rosaceae.org/Prunus/Prunus_persica/p.persica_gdr_reftransV1_0012691","p.persica_gdr_reftransV1_0012691")</f>
        <v>p.persica_gdr_reftransV1_0012691</v>
      </c>
      <c r="B22128" s="2">
        <v>1141</v>
      </c>
      <c r="C22128" s="4" t="str">
        <f>HYPERLINK("http://www.uniprot.org/uniprot/M5WBE7","M5WBE7")</f>
        <v>M5WBE7</v>
      </c>
      <c r="D22128" s="2" t="s">
        <v>16395</v>
      </c>
      <c r="E22128" s="3">
        <v>2.5300000000000001E-126</v>
      </c>
      <c r="F22128" s="2">
        <v>959</v>
      </c>
      <c r="G22128" s="2">
        <v>100</v>
      </c>
      <c r="H22128" s="2">
        <v>201</v>
      </c>
      <c r="I22128" s="2">
        <v>348</v>
      </c>
      <c r="J22128" s="2">
        <v>950</v>
      </c>
      <c r="K22128" s="2">
        <v>1</v>
      </c>
      <c r="L22128" s="2">
        <v>201</v>
      </c>
    </row>
    <row r="22129" spans="1:12" x14ac:dyDescent="0.25">
      <c r="A22129" s="4" t="str">
        <f>HYPERLINK("http://www.rosaceae.org/Prunus/Prunus_persica/p.persica_gdr_reftransV1_0014441","p.persica_gdr_reftransV1_0014441")</f>
        <v>p.persica_gdr_reftransV1_0014441</v>
      </c>
      <c r="B22129" s="2">
        <v>1355</v>
      </c>
      <c r="C22129" s="4" t="str">
        <f>HYPERLINK("http://www.uniprot.org/uniprot/M5X557","M5X557")</f>
        <v>M5X557</v>
      </c>
      <c r="D22129" s="2" t="s">
        <v>16396</v>
      </c>
      <c r="E22129" s="3">
        <v>7.2300000000000006E-95</v>
      </c>
      <c r="F22129" s="2">
        <v>756</v>
      </c>
      <c r="G22129" s="2">
        <v>100</v>
      </c>
      <c r="H22129" s="2">
        <v>144</v>
      </c>
      <c r="I22129" s="2">
        <v>756</v>
      </c>
      <c r="J22129" s="2">
        <v>1187</v>
      </c>
      <c r="K22129" s="2">
        <v>1</v>
      </c>
      <c r="L22129" s="2">
        <v>144</v>
      </c>
    </row>
    <row r="22130" spans="1:12" x14ac:dyDescent="0.25">
      <c r="A22130" s="4" t="str">
        <f>HYPERLINK("http://www.rosaceae.org/Prunus/Prunus_persica/p.persica_gdr_reftransV1_0014791","p.persica_gdr_reftransV1_0014791")</f>
        <v>p.persica_gdr_reftransV1_0014791</v>
      </c>
      <c r="B22130" s="2">
        <v>2112</v>
      </c>
      <c r="C22130" s="4" t="str">
        <f>HYPERLINK("http://www.uniprot.org/uniprot/V4TGW4","V4TGW4")</f>
        <v>V4TGW4</v>
      </c>
      <c r="D22130" s="2" t="s">
        <v>16397</v>
      </c>
      <c r="E22130" s="3">
        <v>1.1E-106</v>
      </c>
      <c r="F22130" s="2">
        <v>860</v>
      </c>
      <c r="G22130" s="2">
        <v>85</v>
      </c>
      <c r="H22130" s="2">
        <v>199</v>
      </c>
      <c r="I22130" s="2">
        <v>1205</v>
      </c>
      <c r="J22130" s="2">
        <v>1786</v>
      </c>
      <c r="K22130" s="2">
        <v>27</v>
      </c>
      <c r="L22130" s="2">
        <v>223</v>
      </c>
    </row>
    <row r="22131" spans="1:12" x14ac:dyDescent="0.25">
      <c r="A22131" s="4" t="str">
        <f>HYPERLINK("http://www.rosaceae.org/Prunus/Prunus_persica/p.persica_gdr_reftransV1_0015841","p.persica_gdr_reftransV1_0015841")</f>
        <v>p.persica_gdr_reftransV1_0015841</v>
      </c>
      <c r="B22131" s="2">
        <v>3145</v>
      </c>
      <c r="C22131" s="4" t="str">
        <f>HYPERLINK("http://www.uniprot.org/uniprot/M5W977","M5W977")</f>
        <v>M5W977</v>
      </c>
      <c r="D22131" s="2" t="s">
        <v>16398</v>
      </c>
      <c r="E22131" s="3">
        <v>0</v>
      </c>
      <c r="F22131" s="2">
        <v>3109</v>
      </c>
      <c r="G22131" s="2">
        <v>89</v>
      </c>
      <c r="H22131" s="2">
        <v>735</v>
      </c>
      <c r="I22131" s="2">
        <v>391</v>
      </c>
      <c r="J22131" s="2">
        <v>2595</v>
      </c>
      <c r="K22131" s="2">
        <v>1</v>
      </c>
      <c r="L22131" s="2">
        <v>673</v>
      </c>
    </row>
    <row r="22132" spans="1:12" x14ac:dyDescent="0.25">
      <c r="A22132" s="4" t="str">
        <f>HYPERLINK("http://www.rosaceae.org/Prunus/Prunus_persica/p.persica_gdr_reftransV1_0017241","p.persica_gdr_reftransV1_0017241")</f>
        <v>p.persica_gdr_reftransV1_0017241</v>
      </c>
      <c r="B22132" s="2">
        <v>594</v>
      </c>
      <c r="C22132" s="4" t="str">
        <f>HYPERLINK("http://www.uniprot.org/uniprot/A0A067KKJ3","A0A067KKJ3")</f>
        <v>A0A067KKJ3</v>
      </c>
      <c r="D22132" s="2" t="s">
        <v>16399</v>
      </c>
      <c r="E22132" s="3">
        <v>1.37E-51</v>
      </c>
      <c r="F22132" s="2">
        <v>475</v>
      </c>
      <c r="G22132" s="2">
        <v>93</v>
      </c>
      <c r="H22132" s="2">
        <v>91</v>
      </c>
      <c r="I22132" s="2">
        <v>191</v>
      </c>
      <c r="J22132" s="2">
        <v>463</v>
      </c>
      <c r="K22132" s="2">
        <v>1</v>
      </c>
      <c r="L22132" s="2">
        <v>91</v>
      </c>
    </row>
    <row r="22133" spans="1:12" x14ac:dyDescent="0.25">
      <c r="A22133" s="4" t="str">
        <f>HYPERLINK("http://www.rosaceae.org/Prunus/Prunus_persica/p.persica_gdr_reftransV1_0017941","p.persica_gdr_reftransV1_0017941")</f>
        <v>p.persica_gdr_reftransV1_0017941</v>
      </c>
      <c r="B22133" s="2">
        <v>3183</v>
      </c>
      <c r="C22133" s="4" t="str">
        <f>HYPERLINK("http://www.uniprot.org/uniprot/M5XNG9","M5XNG9")</f>
        <v>M5XNG9</v>
      </c>
      <c r="D22133" s="2" t="s">
        <v>16400</v>
      </c>
      <c r="E22133" s="3">
        <v>5.4600000000000004E-47</v>
      </c>
      <c r="F22133" s="2">
        <v>451</v>
      </c>
      <c r="G22133" s="2">
        <v>97</v>
      </c>
      <c r="H22133" s="2">
        <v>88</v>
      </c>
      <c r="I22133" s="2">
        <v>2795</v>
      </c>
      <c r="J22133" s="2">
        <v>3058</v>
      </c>
      <c r="K22133" s="2">
        <v>1</v>
      </c>
      <c r="L22133" s="2">
        <v>88</v>
      </c>
    </row>
    <row r="22134" spans="1:12" x14ac:dyDescent="0.25">
      <c r="A22134" s="4" t="str">
        <f>HYPERLINK("http://www.rosaceae.org/Prunus/Prunus_persica/p.persica_gdr_reftransV1_0020741","p.persica_gdr_reftransV1_0020741")</f>
        <v>p.persica_gdr_reftransV1_0020741</v>
      </c>
      <c r="B22134" s="2">
        <v>1896</v>
      </c>
      <c r="C22134" s="4" t="str">
        <f>HYPERLINK("http://www.uniprot.org/uniprot/M5XX69","M5XX69")</f>
        <v>M5XX69</v>
      </c>
      <c r="D22134" s="2" t="s">
        <v>11659</v>
      </c>
      <c r="E22134" s="3">
        <v>0</v>
      </c>
      <c r="F22134" s="2">
        <v>2558</v>
      </c>
      <c r="G22134" s="2">
        <v>100</v>
      </c>
      <c r="H22134" s="2">
        <v>471</v>
      </c>
      <c r="I22134" s="2">
        <v>482</v>
      </c>
      <c r="J22134" s="2">
        <v>1894</v>
      </c>
      <c r="K22134" s="2">
        <v>187</v>
      </c>
      <c r="L22134" s="2">
        <v>657</v>
      </c>
    </row>
    <row r="22135" spans="1:12" x14ac:dyDescent="0.25">
      <c r="A22135" s="4" t="str">
        <f>HYPERLINK("http://www.rosaceae.org/Prunus/Prunus_persica/p.persica_gdr_reftransV1_0021091","p.persica_gdr_reftransV1_0021091")</f>
        <v>p.persica_gdr_reftransV1_0021091</v>
      </c>
      <c r="B22135" s="2">
        <v>1246</v>
      </c>
      <c r="C22135" s="4" t="str">
        <f>HYPERLINK("http://www.uniprot.org/uniprot/M5XHJ0","M5XHJ0")</f>
        <v>M5XHJ0</v>
      </c>
      <c r="D22135" s="2" t="s">
        <v>3081</v>
      </c>
      <c r="E22135" s="3">
        <v>0</v>
      </c>
      <c r="F22135" s="2">
        <v>1683</v>
      </c>
      <c r="G22135" s="2">
        <v>100</v>
      </c>
      <c r="H22135" s="2">
        <v>323</v>
      </c>
      <c r="I22135" s="2">
        <v>90</v>
      </c>
      <c r="J22135" s="2">
        <v>1058</v>
      </c>
      <c r="K22135" s="2">
        <v>1</v>
      </c>
      <c r="L22135" s="2">
        <v>323</v>
      </c>
    </row>
    <row r="22136" spans="1:12" x14ac:dyDescent="0.25">
      <c r="A22136" s="4" t="str">
        <f>HYPERLINK("http://www.rosaceae.org/Prunus/Prunus_persica/p.persica_gdr_reftransV1_0021441","p.persica_gdr_reftransV1_0021441")</f>
        <v>p.persica_gdr_reftransV1_0021441</v>
      </c>
      <c r="B22136" s="2">
        <v>1624</v>
      </c>
      <c r="C22136" s="4" t="str">
        <f>HYPERLINK("http://www.uniprot.org/uniprot/M5WBF3","M5WBF3")</f>
        <v>M5WBF3</v>
      </c>
      <c r="D22136" s="2" t="s">
        <v>16401</v>
      </c>
      <c r="E22136" s="3">
        <v>0</v>
      </c>
      <c r="F22136" s="2">
        <v>1474</v>
      </c>
      <c r="G22136" s="2">
        <v>100</v>
      </c>
      <c r="H22136" s="2">
        <v>283</v>
      </c>
      <c r="I22136" s="2">
        <v>658</v>
      </c>
      <c r="J22136" s="2">
        <v>1506</v>
      </c>
      <c r="K22136" s="2">
        <v>1</v>
      </c>
      <c r="L22136" s="2">
        <v>283</v>
      </c>
    </row>
    <row r="22137" spans="1:12" x14ac:dyDescent="0.25">
      <c r="A22137" s="4" t="str">
        <f>HYPERLINK("http://www.rosaceae.org/Prunus/Prunus_persica/p.persica_gdr_reftransV1_0021791","p.persica_gdr_reftransV1_0021791")</f>
        <v>p.persica_gdr_reftransV1_0021791</v>
      </c>
      <c r="B22137" s="2">
        <v>960</v>
      </c>
      <c r="C22137" s="4" t="str">
        <f>HYPERLINK("http://www.uniprot.org/uniprot/M5XL17","M5XL17")</f>
        <v>M5XL17</v>
      </c>
      <c r="D22137" s="2" t="s">
        <v>16402</v>
      </c>
      <c r="E22137" s="3">
        <v>1.0999999999999999E-96</v>
      </c>
      <c r="F22137" s="2">
        <v>753</v>
      </c>
      <c r="G22137" s="2">
        <v>100</v>
      </c>
      <c r="H22137" s="2">
        <v>158</v>
      </c>
      <c r="I22137" s="2">
        <v>384</v>
      </c>
      <c r="J22137" s="2">
        <v>857</v>
      </c>
      <c r="K22137" s="2">
        <v>1</v>
      </c>
      <c r="L22137" s="2">
        <v>158</v>
      </c>
    </row>
    <row r="22138" spans="1:12" x14ac:dyDescent="0.25">
      <c r="A22138" s="4" t="str">
        <f>HYPERLINK("http://www.rosaceae.org/Prunus/Prunus_persica/p.persica_gdr_reftransV1_0023541","p.persica_gdr_reftransV1_0023541")</f>
        <v>p.persica_gdr_reftransV1_0023541</v>
      </c>
      <c r="B22138" s="2">
        <v>1360</v>
      </c>
      <c r="C22138" s="4" t="str">
        <f>HYPERLINK("http://www.uniprot.org/uniprot/M5XFQ9","M5XFQ9")</f>
        <v>M5XFQ9</v>
      </c>
      <c r="D22138" s="2" t="s">
        <v>4984</v>
      </c>
      <c r="E22138" s="3">
        <v>0</v>
      </c>
      <c r="F22138" s="2">
        <v>1801</v>
      </c>
      <c r="G22138" s="2">
        <v>99</v>
      </c>
      <c r="H22138" s="2">
        <v>337</v>
      </c>
      <c r="I22138" s="2">
        <v>3</v>
      </c>
      <c r="J22138" s="2">
        <v>1013</v>
      </c>
      <c r="K22138" s="2">
        <v>1</v>
      </c>
      <c r="L22138" s="2">
        <v>337</v>
      </c>
    </row>
    <row r="22139" spans="1:12" x14ac:dyDescent="0.25">
      <c r="A22139" s="4" t="str">
        <f>HYPERLINK("http://www.rosaceae.org/Prunus/Prunus_persica/p.persica_gdr_reftransV1_0023891","p.persica_gdr_reftransV1_0023891")</f>
        <v>p.persica_gdr_reftransV1_0023891</v>
      </c>
      <c r="B22139" s="2">
        <v>1627</v>
      </c>
      <c r="C22139" s="4" t="str">
        <f>HYPERLINK("http://www.uniprot.org/uniprot/M5X3F5","M5X3F5")</f>
        <v>M5X3F5</v>
      </c>
      <c r="D22139" s="2" t="s">
        <v>16403</v>
      </c>
      <c r="E22139" s="3">
        <v>0</v>
      </c>
      <c r="F22139" s="2">
        <v>1425</v>
      </c>
      <c r="G22139" s="2">
        <v>87</v>
      </c>
      <c r="H22139" s="2">
        <v>315</v>
      </c>
      <c r="I22139" s="2">
        <v>116</v>
      </c>
      <c r="J22139" s="2">
        <v>1024</v>
      </c>
      <c r="K22139" s="2">
        <v>7</v>
      </c>
      <c r="L22139" s="2">
        <v>321</v>
      </c>
    </row>
    <row r="22140" spans="1:12" x14ac:dyDescent="0.25">
      <c r="A22140" s="4" t="str">
        <f>HYPERLINK("http://www.rosaceae.org/Prunus/Prunus_persica/p.persica_gdr_reftransV1_0025991","p.persica_gdr_reftransV1_0025991")</f>
        <v>p.persica_gdr_reftransV1_0025991</v>
      </c>
      <c r="B22140" s="2">
        <v>1536</v>
      </c>
      <c r="C22140" s="4" t="str">
        <f>HYPERLINK("http://www.uniprot.org/uniprot/M5W057","M5W057")</f>
        <v>M5W057</v>
      </c>
      <c r="D22140" s="2" t="s">
        <v>16404</v>
      </c>
      <c r="E22140" s="3">
        <v>4.0400000000000004E-87</v>
      </c>
      <c r="F22140" s="2">
        <v>712</v>
      </c>
      <c r="G22140" s="2">
        <v>100</v>
      </c>
      <c r="H22140" s="2">
        <v>132</v>
      </c>
      <c r="I22140" s="2">
        <v>291</v>
      </c>
      <c r="J22140" s="2">
        <v>686</v>
      </c>
      <c r="K22140" s="2">
        <v>83</v>
      </c>
      <c r="L22140" s="2">
        <v>214</v>
      </c>
    </row>
    <row r="22141" spans="1:12" x14ac:dyDescent="0.25">
      <c r="A22141" s="4" t="str">
        <f>HYPERLINK("http://www.rosaceae.org/Prunus/Prunus_persica/p.persica_gdr_reftransV1_0026691","p.persica_gdr_reftransV1_0026691")</f>
        <v>p.persica_gdr_reftransV1_0026691</v>
      </c>
      <c r="B22141" s="2">
        <v>2929</v>
      </c>
      <c r="C22141" s="4" t="str">
        <f>HYPERLINK("http://www.uniprot.org/uniprot/M5X151","M5X151")</f>
        <v>M5X151</v>
      </c>
      <c r="D22141" s="2" t="s">
        <v>16405</v>
      </c>
      <c r="E22141" s="3">
        <v>0</v>
      </c>
      <c r="F22141" s="2">
        <v>1979</v>
      </c>
      <c r="G22141" s="2">
        <v>100</v>
      </c>
      <c r="H22141" s="2">
        <v>366</v>
      </c>
      <c r="I22141" s="2">
        <v>1147</v>
      </c>
      <c r="J22141" s="2">
        <v>2244</v>
      </c>
      <c r="K22141" s="2">
        <v>1</v>
      </c>
      <c r="L22141" s="2">
        <v>366</v>
      </c>
    </row>
    <row r="22142" spans="1:12" x14ac:dyDescent="0.25">
      <c r="A22142" s="4" t="str">
        <f>HYPERLINK("http://www.rosaceae.org/Prunus/Prunus_persica/p.persica_gdr_reftransV1_0027041","p.persica_gdr_reftransV1_0027041")</f>
        <v>p.persica_gdr_reftransV1_0027041</v>
      </c>
      <c r="B22142" s="2">
        <v>2491</v>
      </c>
      <c r="C22142" s="4" t="str">
        <f>HYPERLINK("http://www.uniprot.org/uniprot/M5VXQ6","M5VXQ6")</f>
        <v>M5VXQ6</v>
      </c>
      <c r="D22142" s="2" t="s">
        <v>4700</v>
      </c>
      <c r="E22142" s="3">
        <v>1.49E-158</v>
      </c>
      <c r="F22142" s="2">
        <v>1248</v>
      </c>
      <c r="G22142" s="2">
        <v>100</v>
      </c>
      <c r="H22142" s="2">
        <v>240</v>
      </c>
      <c r="I22142" s="2">
        <v>1772</v>
      </c>
      <c r="J22142" s="2">
        <v>2491</v>
      </c>
      <c r="K22142" s="2">
        <v>153</v>
      </c>
      <c r="L22142" s="2">
        <v>392</v>
      </c>
    </row>
    <row r="22143" spans="1:12" x14ac:dyDescent="0.25">
      <c r="A22143" s="4" t="str">
        <f>HYPERLINK("http://www.rosaceae.org/Prunus/Prunus_persica/p.persica_gdr_reftransV1_0027391","p.persica_gdr_reftransV1_0027391")</f>
        <v>p.persica_gdr_reftransV1_0027391</v>
      </c>
      <c r="B22143" s="2">
        <v>2897</v>
      </c>
      <c r="C22143" s="4" t="str">
        <f>HYPERLINK("http://www.uniprot.org/uniprot/M5WE77","M5WE77")</f>
        <v>M5WE77</v>
      </c>
      <c r="D22143" s="2" t="s">
        <v>16406</v>
      </c>
      <c r="E22143" s="3">
        <v>0</v>
      </c>
      <c r="F22143" s="2">
        <v>2634</v>
      </c>
      <c r="G22143" s="2">
        <v>94</v>
      </c>
      <c r="H22143" s="2">
        <v>597</v>
      </c>
      <c r="I22143" s="2">
        <v>1097</v>
      </c>
      <c r="J22143" s="2">
        <v>2887</v>
      </c>
      <c r="K22143" s="2">
        <v>46</v>
      </c>
      <c r="L22143" s="2">
        <v>610</v>
      </c>
    </row>
    <row r="22144" spans="1:12" x14ac:dyDescent="0.25">
      <c r="A22144" s="4" t="str">
        <f>HYPERLINK("http://www.rosaceae.org/Prunus/Prunus_persica/p.persica_gdr_reftransV1_0028091","p.persica_gdr_reftransV1_0028091")</f>
        <v>p.persica_gdr_reftransV1_0028091</v>
      </c>
      <c r="B22144" s="2">
        <v>4021</v>
      </c>
      <c r="C22144" s="4" t="str">
        <f>HYPERLINK("http://www.uniprot.org/uniprot/M5VUX7","M5VUX7")</f>
        <v>M5VUX7</v>
      </c>
      <c r="D22144" s="2" t="s">
        <v>12437</v>
      </c>
      <c r="E22144" s="3">
        <v>0</v>
      </c>
      <c r="F22144" s="2">
        <v>3731</v>
      </c>
      <c r="G22144" s="2">
        <v>100</v>
      </c>
      <c r="H22144" s="2">
        <v>807</v>
      </c>
      <c r="I22144" s="2">
        <v>417</v>
      </c>
      <c r="J22144" s="2">
        <v>2837</v>
      </c>
      <c r="K22144" s="2">
        <v>150</v>
      </c>
      <c r="L22144" s="2">
        <v>956</v>
      </c>
    </row>
    <row r="22145" spans="1:12" x14ac:dyDescent="0.25">
      <c r="A22145" s="4" t="str">
        <f>HYPERLINK("http://www.rosaceae.org/Prunus/Prunus_persica/p.persica_gdr_reftransV1_0029141","p.persica_gdr_reftransV1_0029141")</f>
        <v>p.persica_gdr_reftransV1_0029141</v>
      </c>
      <c r="B22145" s="2">
        <v>2745</v>
      </c>
      <c r="C22145" s="4" t="str">
        <f>HYPERLINK("http://www.uniprot.org/uniprot/M5Y3M9","M5Y3M9")</f>
        <v>M5Y3M9</v>
      </c>
      <c r="D22145" s="2" t="s">
        <v>16407</v>
      </c>
      <c r="E22145" s="3">
        <v>0</v>
      </c>
      <c r="F22145" s="2">
        <v>2075</v>
      </c>
      <c r="G22145" s="2">
        <v>97</v>
      </c>
      <c r="H22145" s="2">
        <v>416</v>
      </c>
      <c r="I22145" s="2">
        <v>1027</v>
      </c>
      <c r="J22145" s="2">
        <v>2274</v>
      </c>
      <c r="K22145" s="2">
        <v>116</v>
      </c>
      <c r="L22145" s="2">
        <v>528</v>
      </c>
    </row>
    <row r="22146" spans="1:12" x14ac:dyDescent="0.25">
      <c r="A22146" s="4" t="str">
        <f>HYPERLINK("http://www.rosaceae.org/Prunus/Prunus_persica/p.persica_gdr_reftransV1_0032641","p.persica_gdr_reftransV1_0032641")</f>
        <v>p.persica_gdr_reftransV1_0032641</v>
      </c>
      <c r="B22146" s="2">
        <v>2959</v>
      </c>
      <c r="C22146" s="4" t="str">
        <f>HYPERLINK("http://www.uniprot.org/uniprot/M5WWH5","M5WWH5")</f>
        <v>M5WWH5</v>
      </c>
      <c r="D22146" s="2" t="s">
        <v>16408</v>
      </c>
      <c r="E22146" s="3">
        <v>0</v>
      </c>
      <c r="F22146" s="2">
        <v>3575</v>
      </c>
      <c r="G22146" s="2">
        <v>98</v>
      </c>
      <c r="H22146" s="2">
        <v>677</v>
      </c>
      <c r="I22146" s="2">
        <v>641</v>
      </c>
      <c r="J22146" s="2">
        <v>2671</v>
      </c>
      <c r="K22146" s="2">
        <v>25</v>
      </c>
      <c r="L22146" s="2">
        <v>685</v>
      </c>
    </row>
    <row r="22147" spans="1:12" x14ac:dyDescent="0.25">
      <c r="A22147" s="4" t="str">
        <f>HYPERLINK("http://www.rosaceae.org/Prunus/Prunus_persica/p.persica_gdr_reftransV1_0034041","p.persica_gdr_reftransV1_0034041")</f>
        <v>p.persica_gdr_reftransV1_0034041</v>
      </c>
      <c r="B22147" s="2">
        <v>1624</v>
      </c>
      <c r="C22147" s="4" t="str">
        <f>HYPERLINK("http://www.uniprot.org/uniprot/M5W0S0","M5W0S0")</f>
        <v>M5W0S0</v>
      </c>
      <c r="D22147" s="2" t="s">
        <v>16409</v>
      </c>
      <c r="E22147" s="3">
        <v>6.3600000000000005E-129</v>
      </c>
      <c r="F22147" s="2">
        <v>647</v>
      </c>
      <c r="G22147" s="2">
        <v>99</v>
      </c>
      <c r="H22147" s="2">
        <v>127</v>
      </c>
      <c r="I22147" s="2">
        <v>1108</v>
      </c>
      <c r="J22147" s="2">
        <v>1488</v>
      </c>
      <c r="K22147" s="2">
        <v>1</v>
      </c>
      <c r="L22147" s="2">
        <v>127</v>
      </c>
    </row>
    <row r="22148" spans="1:12" x14ac:dyDescent="0.25">
      <c r="A22148" s="4" t="str">
        <f>HYPERLINK("http://www.rosaceae.org/Prunus/Prunus_persica/p.persica_gdr_reftransV1_0035091","p.persica_gdr_reftransV1_0035091")</f>
        <v>p.persica_gdr_reftransV1_0035091</v>
      </c>
      <c r="B22148" s="2">
        <v>1101</v>
      </c>
      <c r="C22148" s="4" t="str">
        <f>HYPERLINK("http://www.uniprot.org/uniprot/M5VVT8","M5VVT8")</f>
        <v>M5VVT8</v>
      </c>
      <c r="D22148" s="2" t="s">
        <v>16410</v>
      </c>
      <c r="E22148" s="3">
        <v>5.3699999999999999E-177</v>
      </c>
      <c r="F22148" s="2">
        <v>1332</v>
      </c>
      <c r="G22148" s="2">
        <v>73</v>
      </c>
      <c r="H22148" s="2">
        <v>414</v>
      </c>
      <c r="I22148" s="2">
        <v>149</v>
      </c>
      <c r="J22148" s="2">
        <v>1093</v>
      </c>
      <c r="K22148" s="2">
        <v>1</v>
      </c>
      <c r="L22148" s="2">
        <v>414</v>
      </c>
    </row>
    <row r="22149" spans="1:12" x14ac:dyDescent="0.25">
      <c r="A22149" s="4" t="str">
        <f>HYPERLINK("http://www.rosaceae.org/Prunus/Prunus_persica/p.persica_gdr_reftransV1_0036141","p.persica_gdr_reftransV1_0036141")</f>
        <v>p.persica_gdr_reftransV1_0036141</v>
      </c>
      <c r="B22149" s="2">
        <v>2742</v>
      </c>
      <c r="C22149" s="4" t="str">
        <f>HYPERLINK("http://www.uniprot.org/uniprot/M5W0Z7","M5W0Z7")</f>
        <v>M5W0Z7</v>
      </c>
      <c r="D22149" s="2" t="s">
        <v>16411</v>
      </c>
      <c r="E22149" s="3">
        <v>7.8499999999999999E-81</v>
      </c>
      <c r="F22149" s="2">
        <v>695</v>
      </c>
      <c r="G22149" s="2">
        <v>100</v>
      </c>
      <c r="H22149" s="2">
        <v>134</v>
      </c>
      <c r="I22149" s="2">
        <v>1259</v>
      </c>
      <c r="J22149" s="2">
        <v>1660</v>
      </c>
      <c r="K22149" s="2">
        <v>1</v>
      </c>
      <c r="L22149" s="2">
        <v>134</v>
      </c>
    </row>
    <row r="22150" spans="1:12" x14ac:dyDescent="0.25">
      <c r="A22150" s="4" t="str">
        <f>HYPERLINK("http://www.rosaceae.org/Prunus/Prunus_persica/p.persica_gdr_reftransV1_0036491","p.persica_gdr_reftransV1_0036491")</f>
        <v>p.persica_gdr_reftransV1_0036491</v>
      </c>
      <c r="B22150" s="2">
        <v>3259</v>
      </c>
      <c r="C22150" s="4" t="str">
        <f>HYPERLINK("http://www.uniprot.org/uniprot/M5XK09","M5XK09")</f>
        <v>M5XK09</v>
      </c>
      <c r="D22150" s="2" t="s">
        <v>16412</v>
      </c>
      <c r="E22150" s="3">
        <v>0</v>
      </c>
      <c r="F22150" s="2">
        <v>2542</v>
      </c>
      <c r="G22150" s="2">
        <v>99</v>
      </c>
      <c r="H22150" s="2">
        <v>470</v>
      </c>
      <c r="I22150" s="2">
        <v>712</v>
      </c>
      <c r="J22150" s="2">
        <v>2121</v>
      </c>
      <c r="K22150" s="2">
        <v>1</v>
      </c>
      <c r="L22150" s="2">
        <v>470</v>
      </c>
    </row>
    <row r="22151" spans="1:12" x14ac:dyDescent="0.25">
      <c r="A22151" s="4" t="str">
        <f>HYPERLINK("http://www.rosaceae.org/Prunus/Prunus_persica/p.persica_gdr_reftransV1_0038241","p.persica_gdr_reftransV1_0038241")</f>
        <v>p.persica_gdr_reftransV1_0038241</v>
      </c>
      <c r="B22151" s="2">
        <v>1932</v>
      </c>
      <c r="C22151" s="4" t="str">
        <f>HYPERLINK("http://www.uniprot.org/uniprot/M5WJH1","M5WJH1")</f>
        <v>M5WJH1</v>
      </c>
      <c r="D22151" s="2" t="s">
        <v>8663</v>
      </c>
      <c r="E22151" s="3">
        <v>1.39E-52</v>
      </c>
      <c r="F22151" s="2">
        <v>488</v>
      </c>
      <c r="G22151" s="2">
        <v>96</v>
      </c>
      <c r="H22151" s="2">
        <v>193</v>
      </c>
      <c r="I22151" s="2">
        <v>997</v>
      </c>
      <c r="J22151" s="2">
        <v>1575</v>
      </c>
      <c r="K22151" s="2">
        <v>66</v>
      </c>
      <c r="L22151" s="2">
        <v>258</v>
      </c>
    </row>
    <row r="22152" spans="1:12" x14ac:dyDescent="0.25">
      <c r="A22152" s="4" t="str">
        <f>HYPERLINK("http://www.rosaceae.org/Prunus/Prunus_persica/p.persica_gdr_reftransV1_0039291","p.persica_gdr_reftransV1_0039291")</f>
        <v>p.persica_gdr_reftransV1_0039291</v>
      </c>
      <c r="B22152" s="2">
        <v>1128</v>
      </c>
      <c r="C22152" s="4" t="str">
        <f>HYPERLINK("http://www.uniprot.org/uniprot/M5WI74","M5WI74")</f>
        <v>M5WI74</v>
      </c>
      <c r="D22152" s="2" t="s">
        <v>16413</v>
      </c>
      <c r="E22152" s="3">
        <v>3.0199999999999998E-100</v>
      </c>
      <c r="F22152" s="2">
        <v>699</v>
      </c>
      <c r="G22152" s="2">
        <v>100</v>
      </c>
      <c r="H22152" s="2">
        <v>166</v>
      </c>
      <c r="I22152" s="2">
        <v>403</v>
      </c>
      <c r="J22152" s="2">
        <v>900</v>
      </c>
      <c r="K22152" s="2">
        <v>118</v>
      </c>
      <c r="L22152" s="2">
        <v>283</v>
      </c>
    </row>
    <row r="22153" spans="1:12" x14ac:dyDescent="0.25">
      <c r="A22153" s="4" t="str">
        <f>HYPERLINK("http://www.rosaceae.org/Prunus/Prunus_persica/p.persica_gdr_reftransV1_0040691","p.persica_gdr_reftransV1_0040691")</f>
        <v>p.persica_gdr_reftransV1_0040691</v>
      </c>
      <c r="B22153" s="2">
        <v>1603</v>
      </c>
      <c r="C22153" s="4" t="str">
        <f>HYPERLINK("http://www.uniprot.org/uniprot/M5W0I1","M5W0I1")</f>
        <v>M5W0I1</v>
      </c>
      <c r="D22153" s="2" t="s">
        <v>11202</v>
      </c>
      <c r="E22153" s="3">
        <v>8.1399999999999997E-114</v>
      </c>
      <c r="F22153" s="2">
        <v>888</v>
      </c>
      <c r="G22153" s="2">
        <v>100</v>
      </c>
      <c r="H22153" s="2">
        <v>168</v>
      </c>
      <c r="I22153" s="2">
        <v>566</v>
      </c>
      <c r="J22153" s="2">
        <v>1069</v>
      </c>
      <c r="K22153" s="2">
        <v>1</v>
      </c>
      <c r="L22153" s="2">
        <v>168</v>
      </c>
    </row>
    <row r="22154" spans="1:12" x14ac:dyDescent="0.25">
      <c r="A22154" s="4" t="str">
        <f>HYPERLINK("http://www.rosaceae.org/Prunus/Prunus_persica/p.persica_gdr_reftransV1_0041041","p.persica_gdr_reftransV1_0041041")</f>
        <v>p.persica_gdr_reftransV1_0041041</v>
      </c>
      <c r="B22154" s="2">
        <v>1790</v>
      </c>
      <c r="C22154" s="4" t="str">
        <f>HYPERLINK("http://www.uniprot.org/uniprot/M5XGG5","M5XGG5")</f>
        <v>M5XGG5</v>
      </c>
      <c r="D22154" s="2" t="s">
        <v>7832</v>
      </c>
      <c r="E22154" s="3">
        <v>0</v>
      </c>
      <c r="F22154" s="2">
        <v>1936</v>
      </c>
      <c r="G22154" s="2">
        <v>100</v>
      </c>
      <c r="H22154" s="2">
        <v>385</v>
      </c>
      <c r="I22154" s="2">
        <v>247</v>
      </c>
      <c r="J22154" s="2">
        <v>1401</v>
      </c>
      <c r="K22154" s="2">
        <v>67</v>
      </c>
      <c r="L22154" s="2">
        <v>451</v>
      </c>
    </row>
    <row r="22155" spans="1:12" x14ac:dyDescent="0.25">
      <c r="A22155" s="4" t="str">
        <f>HYPERLINK("http://www.rosaceae.org/Prunus/Prunus_persica/p.persica_gdr_reftransV1_0042091","p.persica_gdr_reftransV1_0042091")</f>
        <v>p.persica_gdr_reftransV1_0042091</v>
      </c>
      <c r="B22155" s="2">
        <v>500</v>
      </c>
      <c r="C22155" s="4" t="str">
        <f>HYPERLINK("http://www.uniprot.org/uniprot/M5VJL2","M5VJL2")</f>
        <v>M5VJL2</v>
      </c>
      <c r="D22155" s="2" t="s">
        <v>10426</v>
      </c>
      <c r="E22155" s="3">
        <v>3.6900000000000001E-78</v>
      </c>
      <c r="F22155" s="2">
        <v>625</v>
      </c>
      <c r="G22155" s="2">
        <v>100</v>
      </c>
      <c r="H22155" s="2">
        <v>118</v>
      </c>
      <c r="I22155" s="2">
        <v>2</v>
      </c>
      <c r="J22155" s="2">
        <v>355</v>
      </c>
      <c r="K22155" s="2">
        <v>158</v>
      </c>
      <c r="L22155" s="2">
        <v>275</v>
      </c>
    </row>
    <row r="22156" spans="1:12" x14ac:dyDescent="0.25">
      <c r="A22156" s="4" t="str">
        <f>HYPERLINK("http://www.rosaceae.org/Prunus/Prunus_persica/p.persica_gdr_reftransV1_0042441","p.persica_gdr_reftransV1_0042441")</f>
        <v>p.persica_gdr_reftransV1_0042441</v>
      </c>
      <c r="B22156" s="2">
        <v>4345</v>
      </c>
      <c r="C22156" s="4" t="str">
        <f>HYPERLINK("http://www.uniprot.org/uniprot/M5WTE3","M5WTE3")</f>
        <v>M5WTE3</v>
      </c>
      <c r="D22156" s="2" t="s">
        <v>16414</v>
      </c>
      <c r="E22156" s="3">
        <v>0</v>
      </c>
      <c r="F22156" s="2">
        <v>2425</v>
      </c>
      <c r="G22156" s="2">
        <v>91</v>
      </c>
      <c r="H22156" s="2">
        <v>578</v>
      </c>
      <c r="I22156" s="2">
        <v>789</v>
      </c>
      <c r="J22156" s="2">
        <v>2495</v>
      </c>
      <c r="K22156" s="2">
        <v>29</v>
      </c>
      <c r="L22156" s="2">
        <v>604</v>
      </c>
    </row>
    <row r="22157" spans="1:12" x14ac:dyDescent="0.25">
      <c r="A22157" s="4" t="str">
        <f>HYPERLINK("http://www.rosaceae.org/Prunus/Prunus_persica/p.persica_gdr_reftransV1_0043141","p.persica_gdr_reftransV1_0043141")</f>
        <v>p.persica_gdr_reftransV1_0043141</v>
      </c>
      <c r="B22157" s="2">
        <v>603</v>
      </c>
      <c r="C22157" s="4" t="str">
        <f>HYPERLINK("http://www.uniprot.org/uniprot/M5WD98","M5WD98")</f>
        <v>M5WD98</v>
      </c>
      <c r="D22157" s="2" t="s">
        <v>16415</v>
      </c>
      <c r="E22157" s="3">
        <v>1.27E-127</v>
      </c>
      <c r="F22157" s="2">
        <v>951</v>
      </c>
      <c r="G22157" s="2">
        <v>100</v>
      </c>
      <c r="H22157" s="2">
        <v>178</v>
      </c>
      <c r="I22157" s="2">
        <v>3</v>
      </c>
      <c r="J22157" s="2">
        <v>536</v>
      </c>
      <c r="K22157" s="2">
        <v>52</v>
      </c>
      <c r="L22157" s="2">
        <v>229</v>
      </c>
    </row>
    <row r="22158" spans="1:12" x14ac:dyDescent="0.25">
      <c r="A22158" s="4" t="str">
        <f>HYPERLINK("http://www.rosaceae.org/Prunus/Prunus_persica/p.persica_gdr_reftransV1_0043491","p.persica_gdr_reftransV1_0043491")</f>
        <v>p.persica_gdr_reftransV1_0043491</v>
      </c>
      <c r="B22158" s="2">
        <v>1669</v>
      </c>
      <c r="C22158" s="4" t="str">
        <f>HYPERLINK("http://www.uniprot.org/uniprot/M5XL15","M5XL15")</f>
        <v>M5XL15</v>
      </c>
      <c r="D22158" s="2" t="s">
        <v>5330</v>
      </c>
      <c r="E22158" s="3">
        <v>0</v>
      </c>
      <c r="F22158" s="2">
        <v>1916</v>
      </c>
      <c r="G22158" s="2">
        <v>100</v>
      </c>
      <c r="H22158" s="2">
        <v>486</v>
      </c>
      <c r="I22158" s="2">
        <v>212</v>
      </c>
      <c r="J22158" s="2">
        <v>1669</v>
      </c>
      <c r="K22158" s="2">
        <v>613</v>
      </c>
      <c r="L22158" s="2">
        <v>1098</v>
      </c>
    </row>
    <row r="22159" spans="1:12" x14ac:dyDescent="0.25">
      <c r="A22159" s="4" t="str">
        <f>HYPERLINK("http://www.rosaceae.org/Prunus/Prunus_persica/p.persica_gdr_reftransV1_0043841","p.persica_gdr_reftransV1_0043841")</f>
        <v>p.persica_gdr_reftransV1_0043841</v>
      </c>
      <c r="B22159" s="2">
        <v>1079</v>
      </c>
      <c r="C22159" s="4" t="str">
        <f>HYPERLINK("http://www.uniprot.org/uniprot/M5W6Z0","M5W6Z0")</f>
        <v>M5W6Z0</v>
      </c>
      <c r="D22159" s="2" t="s">
        <v>3434</v>
      </c>
      <c r="E22159" s="3">
        <v>1.6099999999999999E-136</v>
      </c>
      <c r="F22159" s="2">
        <v>1030</v>
      </c>
      <c r="G22159" s="2">
        <v>90</v>
      </c>
      <c r="H22159" s="2">
        <v>255</v>
      </c>
      <c r="I22159" s="2">
        <v>172</v>
      </c>
      <c r="J22159" s="2">
        <v>906</v>
      </c>
      <c r="K22159" s="2">
        <v>1</v>
      </c>
      <c r="L22159" s="2">
        <v>255</v>
      </c>
    </row>
    <row r="22160" spans="1:12" x14ac:dyDescent="0.25">
      <c r="A22160" s="4" t="str">
        <f>HYPERLINK("http://www.rosaceae.org/Prunus/Prunus_persica/p.persica_gdr_reftransV1_0044191","p.persica_gdr_reftransV1_0044191")</f>
        <v>p.persica_gdr_reftransV1_0044191</v>
      </c>
      <c r="B22160" s="2">
        <v>1760</v>
      </c>
      <c r="C22160" s="4" t="str">
        <f>HYPERLINK("http://www.uniprot.org/uniprot/M5WEB8","M5WEB8")</f>
        <v>M5WEB8</v>
      </c>
      <c r="D22160" s="2" t="s">
        <v>5765</v>
      </c>
      <c r="E22160" s="3">
        <v>5.0200000000000004E-65</v>
      </c>
      <c r="F22160" s="2">
        <v>404</v>
      </c>
      <c r="G22160" s="2">
        <v>48</v>
      </c>
      <c r="H22160" s="2">
        <v>169</v>
      </c>
      <c r="I22160" s="2">
        <v>1195</v>
      </c>
      <c r="J22160" s="2">
        <v>1695</v>
      </c>
      <c r="K22160" s="2">
        <v>239</v>
      </c>
      <c r="L22160" s="2">
        <v>406</v>
      </c>
    </row>
    <row r="22161" spans="1:12" x14ac:dyDescent="0.25">
      <c r="A22161" s="4" t="str">
        <f>HYPERLINK("http://www.rosaceae.org/Prunus/Prunus_persica/p.persica_gdr_reftransV1_0044541","p.persica_gdr_reftransV1_0044541")</f>
        <v>p.persica_gdr_reftransV1_0044541</v>
      </c>
      <c r="B22161" s="2">
        <v>1104</v>
      </c>
      <c r="C22161" s="4" t="str">
        <f>HYPERLINK("http://www.uniprot.org/uniprot/M5WCG7","M5WCG7")</f>
        <v>M5WCG7</v>
      </c>
      <c r="D22161" s="2" t="s">
        <v>16416</v>
      </c>
      <c r="E22161" s="3">
        <v>2.0499999999999999E-137</v>
      </c>
      <c r="F22161" s="2">
        <v>1036</v>
      </c>
      <c r="G22161" s="2">
        <v>100</v>
      </c>
      <c r="H22161" s="2">
        <v>218</v>
      </c>
      <c r="I22161" s="2">
        <v>126</v>
      </c>
      <c r="J22161" s="2">
        <v>779</v>
      </c>
      <c r="K22161" s="2">
        <v>34</v>
      </c>
      <c r="L22161" s="2">
        <v>251</v>
      </c>
    </row>
    <row r="22162" spans="1:12" x14ac:dyDescent="0.25">
      <c r="A22162" s="4" t="str">
        <f>HYPERLINK("http://www.rosaceae.org/Prunus/Prunus_persica/p.persica_gdr_reftransV1_0045241","p.persica_gdr_reftransV1_0045241")</f>
        <v>p.persica_gdr_reftransV1_0045241</v>
      </c>
      <c r="B22162" s="2">
        <v>491</v>
      </c>
      <c r="C22162" s="4" t="str">
        <f>HYPERLINK("http://www.uniprot.org/uniprot/M5WNY5","M5WNY5")</f>
        <v>M5WNY5</v>
      </c>
      <c r="D22162" s="2" t="s">
        <v>16417</v>
      </c>
      <c r="E22162" s="3">
        <v>8.6099999999999997E-54</v>
      </c>
      <c r="F22162" s="2">
        <v>447</v>
      </c>
      <c r="G22162" s="2">
        <v>100</v>
      </c>
      <c r="H22162" s="2">
        <v>85</v>
      </c>
      <c r="I22162" s="2">
        <v>178</v>
      </c>
      <c r="J22162" s="2">
        <v>432</v>
      </c>
      <c r="K22162" s="2">
        <v>4</v>
      </c>
      <c r="L22162" s="2">
        <v>88</v>
      </c>
    </row>
    <row r="22163" spans="1:12" x14ac:dyDescent="0.25">
      <c r="A22163" s="4" t="str">
        <f>HYPERLINK("http://www.rosaceae.org/Prunus/Prunus_persica/p.persica_gdr_reftransV1_0045591","p.persica_gdr_reftransV1_0045591")</f>
        <v>p.persica_gdr_reftransV1_0045591</v>
      </c>
      <c r="B22163" s="2">
        <v>565</v>
      </c>
      <c r="C22163" s="4" t="str">
        <f>HYPERLINK("http://www.uniprot.org/uniprot/A0A078EX10","A0A078EX10")</f>
        <v>A0A078EX10</v>
      </c>
      <c r="D22163" s="2" t="s">
        <v>16418</v>
      </c>
      <c r="E22163" s="3">
        <v>3.7400000000000002E-99</v>
      </c>
      <c r="F22163" s="2">
        <v>764</v>
      </c>
      <c r="G22163" s="2">
        <v>99</v>
      </c>
      <c r="H22163" s="2">
        <v>138</v>
      </c>
      <c r="I22163" s="2">
        <v>2</v>
      </c>
      <c r="J22163" s="2">
        <v>415</v>
      </c>
      <c r="K22163" s="2">
        <v>28</v>
      </c>
      <c r="L22163" s="2">
        <v>165</v>
      </c>
    </row>
    <row r="22164" spans="1:12" x14ac:dyDescent="0.25">
      <c r="A22164" s="4" t="str">
        <f>HYPERLINK("http://www.rosaceae.org/Prunus/Prunus_persica/p.persica_gdr_reftransV1_0046291","p.persica_gdr_reftransV1_0046291")</f>
        <v>p.persica_gdr_reftransV1_0046291</v>
      </c>
      <c r="B22164" s="2">
        <v>2954</v>
      </c>
      <c r="C22164" s="4" t="str">
        <f>HYPERLINK("http://www.uniprot.org/uniprot/M5W5V1","M5W5V1")</f>
        <v>M5W5V1</v>
      </c>
      <c r="D22164" s="2" t="s">
        <v>14153</v>
      </c>
      <c r="E22164" s="3">
        <v>0</v>
      </c>
      <c r="F22164" s="2">
        <v>2309</v>
      </c>
      <c r="G22164" s="2">
        <v>100</v>
      </c>
      <c r="H22164" s="2">
        <v>505</v>
      </c>
      <c r="I22164" s="2">
        <v>227</v>
      </c>
      <c r="J22164" s="2">
        <v>1741</v>
      </c>
      <c r="K22164" s="2">
        <v>4</v>
      </c>
      <c r="L22164" s="2">
        <v>508</v>
      </c>
    </row>
    <row r="22165" spans="1:12" x14ac:dyDescent="0.25">
      <c r="A22165" s="4" t="str">
        <f>HYPERLINK("http://www.rosaceae.org/Prunus/Prunus_persica/p.persica_gdr_reftransV1_0046641","p.persica_gdr_reftransV1_0046641")</f>
        <v>p.persica_gdr_reftransV1_0046641</v>
      </c>
      <c r="B22165" s="2">
        <v>786</v>
      </c>
      <c r="C22165" s="4" t="str">
        <f>HYPERLINK("http://www.uniprot.org/uniprot/M5VZY1","M5VZY1")</f>
        <v>M5VZY1</v>
      </c>
      <c r="D22165" s="2" t="s">
        <v>16419</v>
      </c>
      <c r="E22165" s="3">
        <v>1.11E-134</v>
      </c>
      <c r="F22165" s="2">
        <v>1001</v>
      </c>
      <c r="G22165" s="2">
        <v>100</v>
      </c>
      <c r="H22165" s="2">
        <v>189</v>
      </c>
      <c r="I22165" s="2">
        <v>43</v>
      </c>
      <c r="J22165" s="2">
        <v>609</v>
      </c>
      <c r="K22165" s="2">
        <v>1</v>
      </c>
      <c r="L22165" s="2">
        <v>189</v>
      </c>
    </row>
    <row r="22166" spans="1:12" x14ac:dyDescent="0.25">
      <c r="A22166" s="4" t="str">
        <f>HYPERLINK("http://www.rosaceae.org/Prunus/Prunus_persica/p.persica_gdr_reftransV1_0047341","p.persica_gdr_reftransV1_0047341")</f>
        <v>p.persica_gdr_reftransV1_0047341</v>
      </c>
      <c r="B22166" s="2">
        <v>1079</v>
      </c>
      <c r="C22166" s="4" t="str">
        <f>HYPERLINK("http://www.uniprot.org/uniprot/M5WEG8","M5WEG8")</f>
        <v>M5WEG8</v>
      </c>
      <c r="D22166" s="2" t="s">
        <v>16420</v>
      </c>
      <c r="E22166" s="3">
        <v>5.4199999999999998E-113</v>
      </c>
      <c r="F22166" s="2">
        <v>879</v>
      </c>
      <c r="G22166" s="2">
        <v>100</v>
      </c>
      <c r="H22166" s="2">
        <v>277</v>
      </c>
      <c r="I22166" s="2">
        <v>247</v>
      </c>
      <c r="J22166" s="2">
        <v>1077</v>
      </c>
      <c r="K22166" s="2">
        <v>29</v>
      </c>
      <c r="L22166" s="2">
        <v>305</v>
      </c>
    </row>
    <row r="22167" spans="1:12" x14ac:dyDescent="0.25">
      <c r="A22167" s="4" t="str">
        <f>HYPERLINK("http://www.rosaceae.org/Prunus/Prunus_persica/p.persica_gdr_reftransV1_0047691","p.persica_gdr_reftransV1_0047691")</f>
        <v>p.persica_gdr_reftransV1_0047691</v>
      </c>
      <c r="B22167" s="2">
        <v>1347</v>
      </c>
      <c r="C22167" s="4" t="str">
        <f>HYPERLINK("http://www.uniprot.org/uniprot/M5XCG2","M5XCG2")</f>
        <v>M5XCG2</v>
      </c>
      <c r="D22167" s="2" t="s">
        <v>13130</v>
      </c>
      <c r="E22167" s="3">
        <v>0</v>
      </c>
      <c r="F22167" s="2">
        <v>1811</v>
      </c>
      <c r="G22167" s="2">
        <v>100</v>
      </c>
      <c r="H22167" s="2">
        <v>342</v>
      </c>
      <c r="I22167" s="2">
        <v>68</v>
      </c>
      <c r="J22167" s="2">
        <v>1093</v>
      </c>
      <c r="K22167" s="2">
        <v>1</v>
      </c>
      <c r="L22167" s="2">
        <v>342</v>
      </c>
    </row>
    <row r="22168" spans="1:12" x14ac:dyDescent="0.25">
      <c r="A22168" s="4" t="str">
        <f>HYPERLINK("http://www.rosaceae.org/Prunus/Prunus_persica/p.persica_gdr_reftransV1_0048041","p.persica_gdr_reftransV1_0048041")</f>
        <v>p.persica_gdr_reftransV1_0048041</v>
      </c>
      <c r="B22168" s="2">
        <v>1773</v>
      </c>
      <c r="C22168" s="4" t="str">
        <f>HYPERLINK("http://www.uniprot.org/uniprot/M5XMC7","M5XMC7")</f>
        <v>M5XMC7</v>
      </c>
      <c r="D22168" s="2" t="s">
        <v>15588</v>
      </c>
      <c r="E22168" s="3">
        <v>0</v>
      </c>
      <c r="F22168" s="2">
        <v>2677</v>
      </c>
      <c r="G22168" s="2">
        <v>100</v>
      </c>
      <c r="H22168" s="2">
        <v>496</v>
      </c>
      <c r="I22168" s="2">
        <v>137</v>
      </c>
      <c r="J22168" s="2">
        <v>1624</v>
      </c>
      <c r="K22168" s="2">
        <v>24</v>
      </c>
      <c r="L22168" s="2">
        <v>519</v>
      </c>
    </row>
    <row r="22169" spans="1:12" x14ac:dyDescent="0.25">
      <c r="A22169" s="4" t="str">
        <f>HYPERLINK("http://www.rosaceae.org/Prunus/Prunus_persica/p.persica_gdr_reftransV1_0048391","p.persica_gdr_reftransV1_0048391")</f>
        <v>p.persica_gdr_reftransV1_0048391</v>
      </c>
      <c r="B22169" s="2">
        <v>1489</v>
      </c>
      <c r="C22169" s="4" t="str">
        <f>HYPERLINK("http://www.uniprot.org/uniprot/M5VZX8","M5VZX8")</f>
        <v>M5VZX8</v>
      </c>
      <c r="D22169" s="2" t="s">
        <v>10183</v>
      </c>
      <c r="E22169" s="3">
        <v>1.53E-131</v>
      </c>
      <c r="F22169" s="2">
        <v>675</v>
      </c>
      <c r="G22169" s="2">
        <v>73</v>
      </c>
      <c r="H22169" s="2">
        <v>224</v>
      </c>
      <c r="I22169" s="2">
        <v>598</v>
      </c>
      <c r="J22169" s="2">
        <v>1269</v>
      </c>
      <c r="K22169" s="2">
        <v>156</v>
      </c>
      <c r="L22169" s="2">
        <v>346</v>
      </c>
    </row>
    <row r="22170" spans="1:12" x14ac:dyDescent="0.25">
      <c r="A22170" s="4" t="str">
        <f>HYPERLINK("http://www.rosaceae.org/Prunus/Prunus_persica/p.persica_gdr_reftransV1_0048741","p.persica_gdr_reftransV1_0048741")</f>
        <v>p.persica_gdr_reftransV1_0048741</v>
      </c>
      <c r="B22170" s="2">
        <v>3341</v>
      </c>
      <c r="C22170" s="4" t="str">
        <f>HYPERLINK("http://www.uniprot.org/uniprot/M5W2G6","M5W2G6")</f>
        <v>M5W2G6</v>
      </c>
      <c r="D22170" s="2" t="s">
        <v>16421</v>
      </c>
      <c r="E22170" s="3">
        <v>0</v>
      </c>
      <c r="F22170" s="2">
        <v>3966</v>
      </c>
      <c r="G22170" s="2">
        <v>96</v>
      </c>
      <c r="H22170" s="2">
        <v>815</v>
      </c>
      <c r="I22170" s="2">
        <v>750</v>
      </c>
      <c r="J22170" s="2">
        <v>3185</v>
      </c>
      <c r="K22170" s="2">
        <v>1</v>
      </c>
      <c r="L22170" s="2">
        <v>794</v>
      </c>
    </row>
    <row r="22171" spans="1:12" x14ac:dyDescent="0.25">
      <c r="A22171" s="4" t="str">
        <f>HYPERLINK("http://www.rosaceae.org/Prunus/Prunus_persica/p.persica_gdr_reftransV1_0049091","p.persica_gdr_reftransV1_0049091")</f>
        <v>p.persica_gdr_reftransV1_0049091</v>
      </c>
      <c r="B22171" s="2">
        <v>306</v>
      </c>
      <c r="C22171" s="4" t="str">
        <f>HYPERLINK("http://www.uniprot.org/uniprot/M5X9U9","M5X9U9")</f>
        <v>M5X9U9</v>
      </c>
      <c r="D22171" s="2" t="s">
        <v>12555</v>
      </c>
      <c r="E22171" s="3">
        <v>3.9799999999999998E-66</v>
      </c>
      <c r="F22171" s="2">
        <v>561</v>
      </c>
      <c r="G22171" s="2">
        <v>100</v>
      </c>
      <c r="H22171" s="2">
        <v>102</v>
      </c>
      <c r="I22171" s="2">
        <v>1</v>
      </c>
      <c r="J22171" s="2">
        <v>306</v>
      </c>
      <c r="K22171" s="2">
        <v>69</v>
      </c>
      <c r="L22171" s="2">
        <v>170</v>
      </c>
    </row>
    <row r="22172" spans="1:12" x14ac:dyDescent="0.25">
      <c r="A22172" s="4" t="str">
        <f>HYPERLINK("http://www.rosaceae.org/Prunus/Prunus_persica/p.persica_gdr_reftransV1_0000092","p.persica_gdr_reftransV1_0000092")</f>
        <v>p.persica_gdr_reftransV1_0000092</v>
      </c>
      <c r="B22172" s="2">
        <v>1269</v>
      </c>
      <c r="C22172" s="4" t="str">
        <f>HYPERLINK("http://www.uniprot.org/uniprot/M5XLW4","M5XLW4")</f>
        <v>M5XLW4</v>
      </c>
      <c r="D22172" s="2" t="s">
        <v>16422</v>
      </c>
      <c r="E22172" s="3">
        <v>1.8800000000000001E-102</v>
      </c>
      <c r="F22172" s="2">
        <v>811</v>
      </c>
      <c r="G22172" s="2">
        <v>100</v>
      </c>
      <c r="H22172" s="2">
        <v>253</v>
      </c>
      <c r="I22172" s="2">
        <v>327</v>
      </c>
      <c r="J22172" s="2">
        <v>1085</v>
      </c>
      <c r="K22172" s="2">
        <v>1</v>
      </c>
      <c r="L22172" s="2">
        <v>253</v>
      </c>
    </row>
    <row r="22173" spans="1:12" x14ac:dyDescent="0.25">
      <c r="A22173" s="4" t="str">
        <f>HYPERLINK("http://www.rosaceae.org/Prunus/Prunus_persica/p.persica_gdr_reftransV1_0000442","p.persica_gdr_reftransV1_0000442")</f>
        <v>p.persica_gdr_reftransV1_0000442</v>
      </c>
      <c r="B22173" s="2">
        <v>2142</v>
      </c>
      <c r="C22173" s="4" t="str">
        <f>HYPERLINK("http://www.uniprot.org/uniprot/M5XP72","M5XP72")</f>
        <v>M5XP72</v>
      </c>
      <c r="D22173" s="2" t="s">
        <v>15092</v>
      </c>
      <c r="E22173" s="3">
        <v>0</v>
      </c>
      <c r="F22173" s="2">
        <v>1593</v>
      </c>
      <c r="G22173" s="2">
        <v>97</v>
      </c>
      <c r="H22173" s="2">
        <v>382</v>
      </c>
      <c r="I22173" s="2">
        <v>937</v>
      </c>
      <c r="J22173" s="2">
        <v>2082</v>
      </c>
      <c r="K22173" s="2">
        <v>1</v>
      </c>
      <c r="L22173" s="2">
        <v>372</v>
      </c>
    </row>
    <row r="22174" spans="1:12" x14ac:dyDescent="0.25">
      <c r="A22174" s="4" t="str">
        <f>HYPERLINK("http://www.rosaceae.org/Prunus/Prunus_persica/p.persica_gdr_reftransV1_0000792","p.persica_gdr_reftransV1_0000792")</f>
        <v>p.persica_gdr_reftransV1_0000792</v>
      </c>
      <c r="B22174" s="2">
        <v>312</v>
      </c>
      <c r="C22174" s="4" t="str">
        <f>HYPERLINK("http://www.uniprot.org/uniprot/M5Y1K9","M5Y1K9")</f>
        <v>M5Y1K9</v>
      </c>
      <c r="D22174" s="2" t="s">
        <v>6975</v>
      </c>
      <c r="E22174" s="3">
        <v>6.4700000000000004E-23</v>
      </c>
      <c r="F22174" s="2">
        <v>245</v>
      </c>
      <c r="G22174" s="2">
        <v>59</v>
      </c>
      <c r="H22174" s="2">
        <v>80</v>
      </c>
      <c r="I22174" s="2">
        <v>1</v>
      </c>
      <c r="J22174" s="2">
        <v>240</v>
      </c>
      <c r="K22174" s="2">
        <v>120</v>
      </c>
      <c r="L22174" s="2">
        <v>199</v>
      </c>
    </row>
    <row r="22175" spans="1:12" x14ac:dyDescent="0.25">
      <c r="A22175" s="4" t="str">
        <f>HYPERLINK("http://www.rosaceae.org/Prunus/Prunus_persica/p.persica_gdr_reftransV1_0001142","p.persica_gdr_reftransV1_0001142")</f>
        <v>p.persica_gdr_reftransV1_0001142</v>
      </c>
      <c r="B22175" s="2">
        <v>3898</v>
      </c>
      <c r="C22175" s="4" t="str">
        <f>HYPERLINK("http://www.uniprot.org/uniprot/M5WX72","M5WX72")</f>
        <v>M5WX72</v>
      </c>
      <c r="D22175" s="2" t="s">
        <v>16423</v>
      </c>
      <c r="E22175" s="3">
        <v>0</v>
      </c>
      <c r="F22175" s="2">
        <v>4944</v>
      </c>
      <c r="G22175" s="2">
        <v>98</v>
      </c>
      <c r="H22175" s="2">
        <v>942</v>
      </c>
      <c r="I22175" s="2">
        <v>248</v>
      </c>
      <c r="J22175" s="2">
        <v>3073</v>
      </c>
      <c r="K22175" s="2">
        <v>1</v>
      </c>
      <c r="L22175" s="2">
        <v>923</v>
      </c>
    </row>
    <row r="22176" spans="1:12" x14ac:dyDescent="0.25">
      <c r="A22176" s="4" t="str">
        <f>HYPERLINK("http://www.rosaceae.org/Prunus/Prunus_persica/p.persica_gdr_reftransV1_0001492","p.persica_gdr_reftransV1_0001492")</f>
        <v>p.persica_gdr_reftransV1_0001492</v>
      </c>
      <c r="B22176" s="2">
        <v>377</v>
      </c>
      <c r="C22176" s="4" t="str">
        <f>HYPERLINK("http://www.uniprot.org/uniprot/M5XG79","M5XG79")</f>
        <v>M5XG79</v>
      </c>
      <c r="D22176" s="2" t="s">
        <v>16424</v>
      </c>
      <c r="E22176" s="3">
        <v>1.2300000000000001E-83</v>
      </c>
      <c r="F22176" s="2">
        <v>676</v>
      </c>
      <c r="G22176" s="2">
        <v>100</v>
      </c>
      <c r="H22176" s="2">
        <v>125</v>
      </c>
      <c r="I22176" s="2">
        <v>2</v>
      </c>
      <c r="J22176" s="2">
        <v>376</v>
      </c>
      <c r="K22176" s="2">
        <v>60</v>
      </c>
      <c r="L22176" s="2">
        <v>184</v>
      </c>
    </row>
    <row r="22177" spans="1:12" x14ac:dyDescent="0.25">
      <c r="A22177" s="4" t="str">
        <f>HYPERLINK("http://www.rosaceae.org/Prunus/Prunus_persica/p.persica_gdr_reftransV1_0001842","p.persica_gdr_reftransV1_0001842")</f>
        <v>p.persica_gdr_reftransV1_0001842</v>
      </c>
      <c r="B22177" s="2">
        <v>3592</v>
      </c>
      <c r="C22177" s="4" t="str">
        <f>HYPERLINK("http://www.uniprot.org/uniprot/M5W298","M5W298")</f>
        <v>M5W298</v>
      </c>
      <c r="D22177" s="2" t="s">
        <v>7806</v>
      </c>
      <c r="E22177" s="3">
        <v>0</v>
      </c>
      <c r="F22177" s="2">
        <v>5030</v>
      </c>
      <c r="G22177" s="2">
        <v>100</v>
      </c>
      <c r="H22177" s="2">
        <v>1000</v>
      </c>
      <c r="I22177" s="2">
        <v>402</v>
      </c>
      <c r="J22177" s="2">
        <v>3401</v>
      </c>
      <c r="K22177" s="2">
        <v>1</v>
      </c>
      <c r="L22177" s="2">
        <v>1000</v>
      </c>
    </row>
    <row r="22178" spans="1:12" x14ac:dyDescent="0.25">
      <c r="A22178" s="4" t="str">
        <f>HYPERLINK("http://www.rosaceae.org/Prunus/Prunus_persica/p.persica_gdr_reftransV1_0002542","p.persica_gdr_reftransV1_0002542")</f>
        <v>p.persica_gdr_reftransV1_0002542</v>
      </c>
      <c r="B22178" s="2">
        <v>898</v>
      </c>
      <c r="C22178" s="4" t="str">
        <f>HYPERLINK("http://www.uniprot.org/uniprot/A0A061GUY2","A0A061GUY2")</f>
        <v>A0A061GUY2</v>
      </c>
      <c r="D22178" s="2" t="s">
        <v>16425</v>
      </c>
      <c r="E22178" s="3">
        <v>4.9499999999999996E-46</v>
      </c>
      <c r="F22178" s="2">
        <v>410</v>
      </c>
      <c r="G22178" s="2">
        <v>67</v>
      </c>
      <c r="H22178" s="2">
        <v>114</v>
      </c>
      <c r="I22178" s="2">
        <v>84</v>
      </c>
      <c r="J22178" s="2">
        <v>425</v>
      </c>
      <c r="K22178" s="2">
        <v>1</v>
      </c>
      <c r="L22178" s="2">
        <v>114</v>
      </c>
    </row>
    <row r="22179" spans="1:12" x14ac:dyDescent="0.25">
      <c r="A22179" s="4" t="str">
        <f>HYPERLINK("http://www.rosaceae.org/Prunus/Prunus_persica/p.persica_gdr_reftransV1_0003242","p.persica_gdr_reftransV1_0003242")</f>
        <v>p.persica_gdr_reftransV1_0003242</v>
      </c>
      <c r="B22179" s="2">
        <v>1615</v>
      </c>
      <c r="C22179" s="4" t="str">
        <f>HYPERLINK("http://www.uniprot.org/uniprot/M5XDR1","M5XDR1")</f>
        <v>M5XDR1</v>
      </c>
      <c r="D22179" s="2" t="s">
        <v>13973</v>
      </c>
      <c r="E22179" s="3">
        <v>0</v>
      </c>
      <c r="F22179" s="2">
        <v>1702</v>
      </c>
      <c r="G22179" s="2">
        <v>100</v>
      </c>
      <c r="H22179" s="2">
        <v>322</v>
      </c>
      <c r="I22179" s="2">
        <v>262</v>
      </c>
      <c r="J22179" s="2">
        <v>1227</v>
      </c>
      <c r="K22179" s="2">
        <v>66</v>
      </c>
      <c r="L22179" s="2">
        <v>387</v>
      </c>
    </row>
    <row r="22180" spans="1:12" x14ac:dyDescent="0.25">
      <c r="A22180" s="4" t="str">
        <f>HYPERLINK("http://www.rosaceae.org/Prunus/Prunus_persica/p.persica_gdr_reftransV1_0003592","p.persica_gdr_reftransV1_0003592")</f>
        <v>p.persica_gdr_reftransV1_0003592</v>
      </c>
      <c r="B22180" s="2">
        <v>3240</v>
      </c>
      <c r="C22180" s="4" t="str">
        <f>HYPERLINK("http://www.uniprot.org/uniprot/M5WQK4","M5WQK4")</f>
        <v>M5WQK4</v>
      </c>
      <c r="D22180" s="2" t="s">
        <v>12901</v>
      </c>
      <c r="E22180" s="3">
        <v>0</v>
      </c>
      <c r="F22180" s="2">
        <v>5051</v>
      </c>
      <c r="G22180" s="2">
        <v>100</v>
      </c>
      <c r="H22180" s="2">
        <v>981</v>
      </c>
      <c r="I22180" s="2">
        <v>156</v>
      </c>
      <c r="J22180" s="2">
        <v>3098</v>
      </c>
      <c r="K22180" s="2">
        <v>1</v>
      </c>
      <c r="L22180" s="2">
        <v>981</v>
      </c>
    </row>
    <row r="22181" spans="1:12" x14ac:dyDescent="0.25">
      <c r="A22181" s="4" t="str">
        <f>HYPERLINK("http://www.rosaceae.org/Prunus/Prunus_persica/p.persica_gdr_reftransV1_0003942","p.persica_gdr_reftransV1_0003942")</f>
        <v>p.persica_gdr_reftransV1_0003942</v>
      </c>
      <c r="B22181" s="2">
        <v>3950</v>
      </c>
      <c r="C22181" s="4" t="str">
        <f>HYPERLINK("http://www.uniprot.org/uniprot/M5WYC5","M5WYC5")</f>
        <v>M5WYC5</v>
      </c>
      <c r="D22181" s="2" t="s">
        <v>13643</v>
      </c>
      <c r="E22181" s="3">
        <v>0</v>
      </c>
      <c r="F22181" s="2">
        <v>2332</v>
      </c>
      <c r="G22181" s="2">
        <v>100</v>
      </c>
      <c r="H22181" s="2">
        <v>448</v>
      </c>
      <c r="I22181" s="2">
        <v>2568</v>
      </c>
      <c r="J22181" s="2">
        <v>3911</v>
      </c>
      <c r="K22181" s="2">
        <v>96</v>
      </c>
      <c r="L22181" s="2">
        <v>543</v>
      </c>
    </row>
    <row r="22182" spans="1:12" x14ac:dyDescent="0.25">
      <c r="A22182" s="4" t="str">
        <f>HYPERLINK("http://www.rosaceae.org/Prunus/Prunus_persica/p.persica_gdr_reftransV1_0004992","p.persica_gdr_reftransV1_0004992")</f>
        <v>p.persica_gdr_reftransV1_0004992</v>
      </c>
      <c r="B22182" s="2">
        <v>3704</v>
      </c>
      <c r="C22182" s="4" t="str">
        <f>HYPERLINK("http://www.uniprot.org/uniprot/M5VXK4","M5VXK4")</f>
        <v>M5VXK4</v>
      </c>
      <c r="D22182" s="2" t="s">
        <v>15363</v>
      </c>
      <c r="E22182" s="3">
        <v>0</v>
      </c>
      <c r="F22182" s="2">
        <v>3410</v>
      </c>
      <c r="G22182" s="2">
        <v>100</v>
      </c>
      <c r="H22182" s="2">
        <v>674</v>
      </c>
      <c r="I22182" s="2">
        <v>1582</v>
      </c>
      <c r="J22182" s="2">
        <v>3603</v>
      </c>
      <c r="K22182" s="2">
        <v>1</v>
      </c>
      <c r="L22182" s="2">
        <v>674</v>
      </c>
    </row>
    <row r="22183" spans="1:12" x14ac:dyDescent="0.25">
      <c r="A22183" s="4" t="str">
        <f>HYPERLINK("http://www.rosaceae.org/Prunus/Prunus_persica/p.persica_gdr_reftransV1_0006392","p.persica_gdr_reftransV1_0006392")</f>
        <v>p.persica_gdr_reftransV1_0006392</v>
      </c>
      <c r="B22183" s="2">
        <v>752</v>
      </c>
      <c r="C22183" s="4" t="str">
        <f>HYPERLINK("http://www.uniprot.org/uniprot/M5VRS9","M5VRS9")</f>
        <v>M5VRS9</v>
      </c>
      <c r="D22183" s="2" t="s">
        <v>16426</v>
      </c>
      <c r="E22183" s="3">
        <v>2.9299999999999999E-126</v>
      </c>
      <c r="F22183" s="2">
        <v>947</v>
      </c>
      <c r="G22183" s="2">
        <v>99</v>
      </c>
      <c r="H22183" s="2">
        <v>179</v>
      </c>
      <c r="I22183" s="2">
        <v>1</v>
      </c>
      <c r="J22183" s="2">
        <v>537</v>
      </c>
      <c r="K22183" s="2">
        <v>36</v>
      </c>
      <c r="L22183" s="2">
        <v>214</v>
      </c>
    </row>
    <row r="22184" spans="1:12" x14ac:dyDescent="0.25">
      <c r="A22184" s="4" t="str">
        <f>HYPERLINK("http://www.rosaceae.org/Prunus/Prunus_persica/p.persica_gdr_reftransV1_0007792","p.persica_gdr_reftransV1_0007792")</f>
        <v>p.persica_gdr_reftransV1_0007792</v>
      </c>
      <c r="B22184" s="2">
        <v>2457</v>
      </c>
      <c r="C22184" s="4" t="str">
        <f>HYPERLINK("http://www.uniprot.org/uniprot/M5XEW3","M5XEW3")</f>
        <v>M5XEW3</v>
      </c>
      <c r="D22184" s="2" t="s">
        <v>13853</v>
      </c>
      <c r="E22184" s="3">
        <v>0</v>
      </c>
      <c r="F22184" s="2">
        <v>2425</v>
      </c>
      <c r="G22184" s="2">
        <v>100</v>
      </c>
      <c r="H22184" s="2">
        <v>509</v>
      </c>
      <c r="I22184" s="2">
        <v>613</v>
      </c>
      <c r="J22184" s="2">
        <v>2139</v>
      </c>
      <c r="K22184" s="2">
        <v>1</v>
      </c>
      <c r="L22184" s="2">
        <v>509</v>
      </c>
    </row>
    <row r="22185" spans="1:12" x14ac:dyDescent="0.25">
      <c r="A22185" s="4" t="str">
        <f>HYPERLINK("http://www.rosaceae.org/Prunus/Prunus_persica/p.persica_gdr_reftransV1_0008142","p.persica_gdr_reftransV1_0008142")</f>
        <v>p.persica_gdr_reftransV1_0008142</v>
      </c>
      <c r="B22185" s="2">
        <v>928</v>
      </c>
      <c r="C22185" s="4" t="str">
        <f>HYPERLINK("http://www.uniprot.org/uniprot/M5WRD6","M5WRD6")</f>
        <v>M5WRD6</v>
      </c>
      <c r="D22185" s="2" t="s">
        <v>16427</v>
      </c>
      <c r="E22185" s="3">
        <v>1.6799999999999999E-116</v>
      </c>
      <c r="F22185" s="2">
        <v>885</v>
      </c>
      <c r="G22185" s="2">
        <v>100</v>
      </c>
      <c r="H22185" s="2">
        <v>183</v>
      </c>
      <c r="I22185" s="2">
        <v>102</v>
      </c>
      <c r="J22185" s="2">
        <v>650</v>
      </c>
      <c r="K22185" s="2">
        <v>1</v>
      </c>
      <c r="L22185" s="2">
        <v>183</v>
      </c>
    </row>
    <row r="22186" spans="1:12" x14ac:dyDescent="0.25">
      <c r="A22186" s="4" t="str">
        <f>HYPERLINK("http://www.rosaceae.org/Prunus/Prunus_persica/p.persica_gdr_reftransV1_0008492","p.persica_gdr_reftransV1_0008492")</f>
        <v>p.persica_gdr_reftransV1_0008492</v>
      </c>
      <c r="B22186" s="2">
        <v>1996</v>
      </c>
      <c r="C22186" s="4" t="str">
        <f>HYPERLINK("http://www.uniprot.org/uniprot/M5XXR6","M5XXR6")</f>
        <v>M5XXR6</v>
      </c>
      <c r="D22186" s="2" t="s">
        <v>16428</v>
      </c>
      <c r="E22186" s="3">
        <v>0</v>
      </c>
      <c r="F22186" s="2">
        <v>2787</v>
      </c>
      <c r="G22186" s="2">
        <v>100</v>
      </c>
      <c r="H22186" s="2">
        <v>522</v>
      </c>
      <c r="I22186" s="2">
        <v>56</v>
      </c>
      <c r="J22186" s="2">
        <v>1621</v>
      </c>
      <c r="K22186" s="2">
        <v>1</v>
      </c>
      <c r="L22186" s="2">
        <v>522</v>
      </c>
    </row>
    <row r="22187" spans="1:12" x14ac:dyDescent="0.25">
      <c r="A22187" s="4" t="str">
        <f>HYPERLINK("http://www.rosaceae.org/Prunus/Prunus_persica/p.persica_gdr_reftransV1_0008842","p.persica_gdr_reftransV1_0008842")</f>
        <v>p.persica_gdr_reftransV1_0008842</v>
      </c>
      <c r="B22187" s="2">
        <v>792</v>
      </c>
      <c r="C22187" s="4" t="str">
        <f>HYPERLINK("http://www.uniprot.org/uniprot/M5XI46","M5XI46")</f>
        <v>M5XI46</v>
      </c>
      <c r="D22187" s="2" t="s">
        <v>16429</v>
      </c>
      <c r="E22187" s="3">
        <v>1.1399999999999999E-102</v>
      </c>
      <c r="F22187" s="2">
        <v>812</v>
      </c>
      <c r="G22187" s="2">
        <v>99</v>
      </c>
      <c r="H22187" s="2">
        <v>151</v>
      </c>
      <c r="I22187" s="2">
        <v>221</v>
      </c>
      <c r="J22187" s="2">
        <v>673</v>
      </c>
      <c r="K22187" s="2">
        <v>275</v>
      </c>
      <c r="L22187" s="2">
        <v>425</v>
      </c>
    </row>
    <row r="22188" spans="1:12" x14ac:dyDescent="0.25">
      <c r="A22188" s="4" t="str">
        <f>HYPERLINK("http://www.rosaceae.org/Prunus/Prunus_persica/p.persica_gdr_reftransV1_0009542","p.persica_gdr_reftransV1_0009542")</f>
        <v>p.persica_gdr_reftransV1_0009542</v>
      </c>
      <c r="B22188" s="2">
        <v>2947</v>
      </c>
      <c r="C22188" s="4" t="str">
        <f>HYPERLINK("http://www.uniprot.org/uniprot/A0A061FL79","A0A061FL79")</f>
        <v>A0A061FL79</v>
      </c>
      <c r="D22188" s="2" t="s">
        <v>16430</v>
      </c>
      <c r="E22188" s="3">
        <v>0</v>
      </c>
      <c r="F22188" s="2">
        <v>2798</v>
      </c>
      <c r="G22188" s="2">
        <v>69</v>
      </c>
      <c r="H22188" s="2">
        <v>746</v>
      </c>
      <c r="I22188" s="2">
        <v>256</v>
      </c>
      <c r="J22188" s="2">
        <v>2493</v>
      </c>
      <c r="K22188" s="2">
        <v>1</v>
      </c>
      <c r="L22188" s="2">
        <v>739</v>
      </c>
    </row>
    <row r="22189" spans="1:12" x14ac:dyDescent="0.25">
      <c r="A22189" s="4" t="str">
        <f>HYPERLINK("http://www.rosaceae.org/Prunus/Prunus_persica/p.persica_gdr_reftransV1_0009892","p.persica_gdr_reftransV1_0009892")</f>
        <v>p.persica_gdr_reftransV1_0009892</v>
      </c>
      <c r="B22189" s="2">
        <v>1032</v>
      </c>
      <c r="C22189" s="4" t="str">
        <f>HYPERLINK("http://www.uniprot.org/uniprot/M5VVP8","M5VVP8")</f>
        <v>M5VVP8</v>
      </c>
      <c r="D22189" s="2" t="s">
        <v>5772</v>
      </c>
      <c r="E22189" s="3">
        <v>5.0199999999999997E-160</v>
      </c>
      <c r="F22189" s="2">
        <v>1234</v>
      </c>
      <c r="G22189" s="2">
        <v>100</v>
      </c>
      <c r="H22189" s="2">
        <v>232</v>
      </c>
      <c r="I22189" s="2">
        <v>336</v>
      </c>
      <c r="J22189" s="2">
        <v>1031</v>
      </c>
      <c r="K22189" s="2">
        <v>517</v>
      </c>
      <c r="L22189" s="2">
        <v>748</v>
      </c>
    </row>
    <row r="22190" spans="1:12" x14ac:dyDescent="0.25">
      <c r="A22190" s="4" t="str">
        <f>HYPERLINK("http://www.rosaceae.org/Prunus/Prunus_persica/p.persica_gdr_reftransV1_0010942","p.persica_gdr_reftransV1_0010942")</f>
        <v>p.persica_gdr_reftransV1_0010942</v>
      </c>
      <c r="B22190" s="2">
        <v>651</v>
      </c>
      <c r="C22190" s="4" t="str">
        <f>HYPERLINK("http://www.uniprot.org/uniprot/M5X8S7","M5X8S7")</f>
        <v>M5X8S7</v>
      </c>
      <c r="D22190" s="2" t="s">
        <v>16431</v>
      </c>
      <c r="E22190" s="3">
        <v>8.5800000000000004E-103</v>
      </c>
      <c r="F22190" s="2">
        <v>783</v>
      </c>
      <c r="G22190" s="2">
        <v>99</v>
      </c>
      <c r="H22190" s="2">
        <v>167</v>
      </c>
      <c r="I22190" s="2">
        <v>98</v>
      </c>
      <c r="J22190" s="2">
        <v>598</v>
      </c>
      <c r="K22190" s="2">
        <v>1</v>
      </c>
      <c r="L22190" s="2">
        <v>167</v>
      </c>
    </row>
    <row r="22191" spans="1:12" x14ac:dyDescent="0.25">
      <c r="A22191" s="4" t="str">
        <f>HYPERLINK("http://www.rosaceae.org/Prunus/Prunus_persica/p.persica_gdr_reftransV1_0011292","p.persica_gdr_reftransV1_0011292")</f>
        <v>p.persica_gdr_reftransV1_0011292</v>
      </c>
      <c r="B22191" s="2">
        <v>1034</v>
      </c>
      <c r="C22191" s="4" t="str">
        <f>HYPERLINK("http://www.uniprot.org/uniprot/M5W0T4","M5W0T4")</f>
        <v>M5W0T4</v>
      </c>
      <c r="D22191" s="2" t="s">
        <v>16432</v>
      </c>
      <c r="E22191" s="3">
        <v>7.0100000000000004E-67</v>
      </c>
      <c r="F22191" s="2">
        <v>554</v>
      </c>
      <c r="G22191" s="2">
        <v>100</v>
      </c>
      <c r="H22191" s="2">
        <v>120</v>
      </c>
      <c r="I22191" s="2">
        <v>340</v>
      </c>
      <c r="J22191" s="2">
        <v>699</v>
      </c>
      <c r="K22191" s="2">
        <v>1</v>
      </c>
      <c r="L22191" s="2">
        <v>120</v>
      </c>
    </row>
    <row r="22192" spans="1:12" x14ac:dyDescent="0.25">
      <c r="A22192" s="4" t="str">
        <f>HYPERLINK("http://www.rosaceae.org/Prunus/Prunus_persica/p.persica_gdr_reftransV1_0011642","p.persica_gdr_reftransV1_0011642")</f>
        <v>p.persica_gdr_reftransV1_0011642</v>
      </c>
      <c r="B22192" s="2">
        <v>819</v>
      </c>
      <c r="C22192" s="4" t="str">
        <f>HYPERLINK("http://www.uniprot.org/uniprot/M5VZ51","M5VZ51")</f>
        <v>M5VZ51</v>
      </c>
      <c r="D22192" s="2" t="s">
        <v>16433</v>
      </c>
      <c r="E22192" s="3">
        <v>1.4499999999999999E-40</v>
      </c>
      <c r="F22192" s="2">
        <v>392</v>
      </c>
      <c r="G22192" s="2">
        <v>100</v>
      </c>
      <c r="H22192" s="2">
        <v>81</v>
      </c>
      <c r="I22192" s="2">
        <v>98</v>
      </c>
      <c r="J22192" s="2">
        <v>340</v>
      </c>
      <c r="K22192" s="2">
        <v>1</v>
      </c>
      <c r="L22192" s="2">
        <v>81</v>
      </c>
    </row>
    <row r="22193" spans="1:12" x14ac:dyDescent="0.25">
      <c r="A22193" s="4" t="str">
        <f>HYPERLINK("http://www.rosaceae.org/Prunus/Prunus_persica/p.persica_gdr_reftransV1_0012692","p.persica_gdr_reftransV1_0012692")</f>
        <v>p.persica_gdr_reftransV1_0012692</v>
      </c>
      <c r="B22193" s="2">
        <v>1665</v>
      </c>
      <c r="C22193" s="4" t="str">
        <f>HYPERLINK("http://www.uniprot.org/uniprot/M5Y001","M5Y001")</f>
        <v>M5Y001</v>
      </c>
      <c r="D22193" s="2" t="s">
        <v>13771</v>
      </c>
      <c r="E22193" s="3">
        <v>1.8E-110</v>
      </c>
      <c r="F22193" s="2">
        <v>876</v>
      </c>
      <c r="G22193" s="2">
        <v>100</v>
      </c>
      <c r="H22193" s="2">
        <v>250</v>
      </c>
      <c r="I22193" s="2">
        <v>684</v>
      </c>
      <c r="J22193" s="2">
        <v>1433</v>
      </c>
      <c r="K22193" s="2">
        <v>1</v>
      </c>
      <c r="L22193" s="2">
        <v>250</v>
      </c>
    </row>
    <row r="22194" spans="1:12" x14ac:dyDescent="0.25">
      <c r="A22194" s="4" t="str">
        <f>HYPERLINK("http://www.rosaceae.org/Prunus/Prunus_persica/p.persica_gdr_reftransV1_0013042","p.persica_gdr_reftransV1_0013042")</f>
        <v>p.persica_gdr_reftransV1_0013042</v>
      </c>
      <c r="B22194" s="2">
        <v>461</v>
      </c>
      <c r="C22194" s="4" t="str">
        <f>HYPERLINK("http://www.uniprot.org/uniprot/W9T0A0","W9T0A0")</f>
        <v>W9T0A0</v>
      </c>
      <c r="D22194" s="2" t="s">
        <v>16434</v>
      </c>
      <c r="E22194" s="3">
        <v>1.18E-29</v>
      </c>
      <c r="F22194" s="2">
        <v>309</v>
      </c>
      <c r="G22194" s="2">
        <v>60</v>
      </c>
      <c r="H22194" s="2">
        <v>120</v>
      </c>
      <c r="I22194" s="2">
        <v>101</v>
      </c>
      <c r="J22194" s="2">
        <v>460</v>
      </c>
      <c r="K22194" s="2">
        <v>1</v>
      </c>
      <c r="L22194" s="2">
        <v>119</v>
      </c>
    </row>
    <row r="22195" spans="1:12" x14ac:dyDescent="0.25">
      <c r="A22195" s="4" t="str">
        <f>HYPERLINK("http://www.rosaceae.org/Prunus/Prunus_persica/p.persica_gdr_reftransV1_0014442","p.persica_gdr_reftransV1_0014442")</f>
        <v>p.persica_gdr_reftransV1_0014442</v>
      </c>
      <c r="B22195" s="2">
        <v>2458</v>
      </c>
      <c r="C22195" s="4" t="str">
        <f>HYPERLINK("http://www.uniprot.org/uniprot/M5VUB4","M5VUB4")</f>
        <v>M5VUB4</v>
      </c>
      <c r="D22195" s="2" t="s">
        <v>15483</v>
      </c>
      <c r="E22195" s="3">
        <v>0</v>
      </c>
      <c r="F22195" s="2">
        <v>3176</v>
      </c>
      <c r="G22195" s="2">
        <v>100</v>
      </c>
      <c r="H22195" s="2">
        <v>604</v>
      </c>
      <c r="I22195" s="2">
        <v>296</v>
      </c>
      <c r="J22195" s="2">
        <v>2107</v>
      </c>
      <c r="K22195" s="2">
        <v>11</v>
      </c>
      <c r="L22195" s="2">
        <v>614</v>
      </c>
    </row>
    <row r="22196" spans="1:12" x14ac:dyDescent="0.25">
      <c r="A22196" s="4" t="str">
        <f>HYPERLINK("http://www.rosaceae.org/Prunus/Prunus_persica/p.persica_gdr_reftransV1_0014792","p.persica_gdr_reftransV1_0014792")</f>
        <v>p.persica_gdr_reftransV1_0014792</v>
      </c>
      <c r="B22196" s="2">
        <v>1104</v>
      </c>
      <c r="C22196" s="4" t="str">
        <f>HYPERLINK("http://www.uniprot.org/uniprot/M5WE04","M5WE04")</f>
        <v>M5WE04</v>
      </c>
      <c r="D22196" s="2" t="s">
        <v>16435</v>
      </c>
      <c r="E22196" s="3">
        <v>1.0300000000000001E-114</v>
      </c>
      <c r="F22196" s="2">
        <v>927</v>
      </c>
      <c r="G22196" s="2">
        <v>99</v>
      </c>
      <c r="H22196" s="2">
        <v>170</v>
      </c>
      <c r="I22196" s="2">
        <v>97</v>
      </c>
      <c r="J22196" s="2">
        <v>606</v>
      </c>
      <c r="K22196" s="2">
        <v>1</v>
      </c>
      <c r="L22196" s="2">
        <v>170</v>
      </c>
    </row>
    <row r="22197" spans="1:12" x14ac:dyDescent="0.25">
      <c r="A22197" s="4" t="str">
        <f>HYPERLINK("http://www.rosaceae.org/Prunus/Prunus_persica/p.persica_gdr_reftransV1_0015142","p.persica_gdr_reftransV1_0015142")</f>
        <v>p.persica_gdr_reftransV1_0015142</v>
      </c>
      <c r="B22197" s="2">
        <v>2396</v>
      </c>
      <c r="C22197" s="4" t="str">
        <f>HYPERLINK("http://www.uniprot.org/uniprot/M5WSG4","M5WSG4")</f>
        <v>M5WSG4</v>
      </c>
      <c r="D22197" s="2" t="s">
        <v>16436</v>
      </c>
      <c r="E22197" s="3">
        <v>0</v>
      </c>
      <c r="F22197" s="2">
        <v>2629</v>
      </c>
      <c r="G22197" s="2">
        <v>100</v>
      </c>
      <c r="H22197" s="2">
        <v>598</v>
      </c>
      <c r="I22197" s="2">
        <v>519</v>
      </c>
      <c r="J22197" s="2">
        <v>2312</v>
      </c>
      <c r="K22197" s="2">
        <v>1</v>
      </c>
      <c r="L22197" s="2">
        <v>598</v>
      </c>
    </row>
    <row r="22198" spans="1:12" x14ac:dyDescent="0.25">
      <c r="A22198" s="4" t="str">
        <f>HYPERLINK("http://www.rosaceae.org/Prunus/Prunus_persica/p.persica_gdr_reftransV1_0015492","p.persica_gdr_reftransV1_0015492")</f>
        <v>p.persica_gdr_reftransV1_0015492</v>
      </c>
      <c r="B22198" s="2">
        <v>1693</v>
      </c>
      <c r="C22198" s="4" t="str">
        <f>HYPERLINK("http://www.uniprot.org/uniprot/M5X4T0","M5X4T0")</f>
        <v>M5X4T0</v>
      </c>
      <c r="D22198" s="2" t="s">
        <v>10738</v>
      </c>
      <c r="E22198" s="3">
        <v>0</v>
      </c>
      <c r="F22198" s="2">
        <v>2514</v>
      </c>
      <c r="G22198" s="2">
        <v>100</v>
      </c>
      <c r="H22198" s="2">
        <v>490</v>
      </c>
      <c r="I22198" s="2">
        <v>224</v>
      </c>
      <c r="J22198" s="2">
        <v>1693</v>
      </c>
      <c r="K22198" s="2">
        <v>804</v>
      </c>
      <c r="L22198" s="2">
        <v>1293</v>
      </c>
    </row>
    <row r="22199" spans="1:12" x14ac:dyDescent="0.25">
      <c r="A22199" s="4" t="str">
        <f>HYPERLINK("http://www.rosaceae.org/Prunus/Prunus_persica/p.persica_gdr_reftransV1_0015842","p.persica_gdr_reftransV1_0015842")</f>
        <v>p.persica_gdr_reftransV1_0015842</v>
      </c>
      <c r="B22199" s="2">
        <v>1503</v>
      </c>
      <c r="C22199" s="4" t="str">
        <f>HYPERLINK("http://www.uniprot.org/uniprot/M5VJB9","M5VJB9")</f>
        <v>M5VJB9</v>
      </c>
      <c r="D22199" s="2" t="s">
        <v>8114</v>
      </c>
      <c r="E22199" s="3">
        <v>0</v>
      </c>
      <c r="F22199" s="2">
        <v>1694</v>
      </c>
      <c r="G22199" s="2">
        <v>97</v>
      </c>
      <c r="H22199" s="2">
        <v>320</v>
      </c>
      <c r="I22199" s="2">
        <v>402</v>
      </c>
      <c r="J22199" s="2">
        <v>1361</v>
      </c>
      <c r="K22199" s="2">
        <v>1</v>
      </c>
      <c r="L22199" s="2">
        <v>318</v>
      </c>
    </row>
    <row r="22200" spans="1:12" x14ac:dyDescent="0.25">
      <c r="A22200" s="4" t="str">
        <f>HYPERLINK("http://www.rosaceae.org/Prunus/Prunus_persica/p.persica_gdr_reftransV1_0016892","p.persica_gdr_reftransV1_0016892")</f>
        <v>p.persica_gdr_reftransV1_0016892</v>
      </c>
      <c r="B22200" s="2">
        <v>4135</v>
      </c>
      <c r="C22200" s="4" t="str">
        <f>HYPERLINK("http://www.uniprot.org/uniprot/M5VKN3","M5VKN3")</f>
        <v>M5VKN3</v>
      </c>
      <c r="D22200" s="2" t="s">
        <v>16437</v>
      </c>
      <c r="E22200" s="3">
        <v>0</v>
      </c>
      <c r="F22200" s="2">
        <v>3682</v>
      </c>
      <c r="G22200" s="2">
        <v>97</v>
      </c>
      <c r="H22200" s="2">
        <v>768</v>
      </c>
      <c r="I22200" s="2">
        <v>1595</v>
      </c>
      <c r="J22200" s="2">
        <v>3898</v>
      </c>
      <c r="K22200" s="2">
        <v>1</v>
      </c>
      <c r="L22200" s="2">
        <v>747</v>
      </c>
    </row>
    <row r="22201" spans="1:12" x14ac:dyDescent="0.25">
      <c r="A22201" s="4" t="str">
        <f>HYPERLINK("http://www.rosaceae.org/Prunus/Prunus_persica/p.persica_gdr_reftransV1_0017242","p.persica_gdr_reftransV1_0017242")</f>
        <v>p.persica_gdr_reftransV1_0017242</v>
      </c>
      <c r="B22201" s="2">
        <v>503</v>
      </c>
      <c r="C22201" s="4" t="str">
        <f>HYPERLINK("http://www.uniprot.org/uniprot/M5WTU6","M5WTU6")</f>
        <v>M5WTU6</v>
      </c>
      <c r="D22201" s="2" t="s">
        <v>12844</v>
      </c>
      <c r="E22201" s="3">
        <v>4.4600000000000003E-78</v>
      </c>
      <c r="F22201" s="2">
        <v>621</v>
      </c>
      <c r="G22201" s="2">
        <v>100</v>
      </c>
      <c r="H22201" s="2">
        <v>136</v>
      </c>
      <c r="I22201" s="2">
        <v>1</v>
      </c>
      <c r="J22201" s="2">
        <v>408</v>
      </c>
      <c r="K22201" s="2">
        <v>101</v>
      </c>
      <c r="L22201" s="2">
        <v>236</v>
      </c>
    </row>
    <row r="22202" spans="1:12" x14ac:dyDescent="0.25">
      <c r="A22202" s="4" t="str">
        <f>HYPERLINK("http://www.rosaceae.org/Prunus/Prunus_persica/p.persica_gdr_reftransV1_0019342","p.persica_gdr_reftransV1_0019342")</f>
        <v>p.persica_gdr_reftransV1_0019342</v>
      </c>
      <c r="B22202" s="2">
        <v>2653</v>
      </c>
      <c r="C22202" s="4" t="str">
        <f>HYPERLINK("http://www.uniprot.org/uniprot/M5WDY1","M5WDY1")</f>
        <v>M5WDY1</v>
      </c>
      <c r="D22202" s="2" t="s">
        <v>16438</v>
      </c>
      <c r="E22202" s="3">
        <v>0</v>
      </c>
      <c r="F22202" s="2">
        <v>3601</v>
      </c>
      <c r="G22202" s="2">
        <v>95</v>
      </c>
      <c r="H22202" s="2">
        <v>734</v>
      </c>
      <c r="I22202" s="2">
        <v>173</v>
      </c>
      <c r="J22202" s="2">
        <v>2374</v>
      </c>
      <c r="K22202" s="2">
        <v>1</v>
      </c>
      <c r="L22202" s="2">
        <v>698</v>
      </c>
    </row>
    <row r="22203" spans="1:12" x14ac:dyDescent="0.25">
      <c r="A22203" s="4" t="str">
        <f>HYPERLINK("http://www.rosaceae.org/Prunus/Prunus_persica/p.persica_gdr_reftransV1_0020392","p.persica_gdr_reftransV1_0020392")</f>
        <v>p.persica_gdr_reftransV1_0020392</v>
      </c>
      <c r="B22203" s="2">
        <v>1746</v>
      </c>
      <c r="C22203" s="4" t="str">
        <f>HYPERLINK("http://www.uniprot.org/uniprot/B9GGM8","B9GGM8")</f>
        <v>B9GGM8</v>
      </c>
      <c r="D22203" s="2" t="s">
        <v>16439</v>
      </c>
      <c r="E22203" s="3">
        <v>1.3E-148</v>
      </c>
      <c r="F22203" s="2">
        <v>969</v>
      </c>
      <c r="G22203" s="2">
        <v>84</v>
      </c>
      <c r="H22203" s="2">
        <v>205</v>
      </c>
      <c r="I22203" s="2">
        <v>266</v>
      </c>
      <c r="J22203" s="2">
        <v>880</v>
      </c>
      <c r="K22203" s="2">
        <v>123</v>
      </c>
      <c r="L22203" s="2">
        <v>327</v>
      </c>
    </row>
    <row r="22204" spans="1:12" x14ac:dyDescent="0.25">
      <c r="A22204" s="4" t="str">
        <f>HYPERLINK("http://www.rosaceae.org/Prunus/Prunus_persica/p.persica_gdr_reftransV1_0020742","p.persica_gdr_reftransV1_0020742")</f>
        <v>p.persica_gdr_reftransV1_0020742</v>
      </c>
      <c r="B22204" s="2">
        <v>755</v>
      </c>
      <c r="C22204" s="4" t="str">
        <f>HYPERLINK("http://www.uniprot.org/uniprot/M5W0W7","M5W0W7")</f>
        <v>M5W0W7</v>
      </c>
      <c r="D22204" s="2" t="s">
        <v>16440</v>
      </c>
      <c r="E22204" s="3">
        <v>1.2399999999999999E-38</v>
      </c>
      <c r="F22204" s="2">
        <v>356</v>
      </c>
      <c r="G22204" s="2">
        <v>100</v>
      </c>
      <c r="H22204" s="2">
        <v>108</v>
      </c>
      <c r="I22204" s="2">
        <v>331</v>
      </c>
      <c r="J22204" s="2">
        <v>654</v>
      </c>
      <c r="K22204" s="2">
        <v>1</v>
      </c>
      <c r="L22204" s="2">
        <v>108</v>
      </c>
    </row>
    <row r="22205" spans="1:12" x14ac:dyDescent="0.25">
      <c r="A22205" s="4" t="str">
        <f>HYPERLINK("http://www.rosaceae.org/Prunus/Prunus_persica/p.persica_gdr_reftransV1_0021792","p.persica_gdr_reftransV1_0021792")</f>
        <v>p.persica_gdr_reftransV1_0021792</v>
      </c>
      <c r="B22205" s="2">
        <v>605</v>
      </c>
      <c r="C22205" s="4" t="str">
        <f>HYPERLINK("http://www.uniprot.org/uniprot/M5XHE8","M5XHE8")</f>
        <v>M5XHE8</v>
      </c>
      <c r="D22205" s="2" t="s">
        <v>6117</v>
      </c>
      <c r="E22205" s="3">
        <v>2.28E-28</v>
      </c>
      <c r="F22205" s="2">
        <v>292</v>
      </c>
      <c r="G22205" s="2">
        <v>65</v>
      </c>
      <c r="H22205" s="2">
        <v>123</v>
      </c>
      <c r="I22205" s="2">
        <v>248</v>
      </c>
      <c r="J22205" s="2">
        <v>601</v>
      </c>
      <c r="K22205" s="2">
        <v>2</v>
      </c>
      <c r="L22205" s="2">
        <v>111</v>
      </c>
    </row>
    <row r="22206" spans="1:12" x14ac:dyDescent="0.25">
      <c r="A22206" s="4" t="str">
        <f>HYPERLINK("http://www.rosaceae.org/Prunus/Prunus_persica/p.persica_gdr_reftransV1_0022142","p.persica_gdr_reftransV1_0022142")</f>
        <v>p.persica_gdr_reftransV1_0022142</v>
      </c>
      <c r="B22206" s="2">
        <v>3569</v>
      </c>
      <c r="C22206" s="4" t="str">
        <f>HYPERLINK("http://www.uniprot.org/uniprot/M5XPA8","M5XPA8")</f>
        <v>M5XPA8</v>
      </c>
      <c r="D22206" s="2" t="s">
        <v>16441</v>
      </c>
      <c r="E22206" s="3">
        <v>0</v>
      </c>
      <c r="F22206" s="2">
        <v>2002</v>
      </c>
      <c r="G22206" s="2">
        <v>100</v>
      </c>
      <c r="H22206" s="2">
        <v>445</v>
      </c>
      <c r="I22206" s="2">
        <v>1601</v>
      </c>
      <c r="J22206" s="2">
        <v>2935</v>
      </c>
      <c r="K22206" s="2">
        <v>1</v>
      </c>
      <c r="L22206" s="2">
        <v>445</v>
      </c>
    </row>
    <row r="22207" spans="1:12" x14ac:dyDescent="0.25">
      <c r="A22207" s="4" t="str">
        <f>HYPERLINK("http://www.rosaceae.org/Prunus/Prunus_persica/p.persica_gdr_reftransV1_0023892","p.persica_gdr_reftransV1_0023892")</f>
        <v>p.persica_gdr_reftransV1_0023892</v>
      </c>
      <c r="B22207" s="2">
        <v>767</v>
      </c>
      <c r="C22207" s="4" t="str">
        <f>HYPERLINK("http://www.uniprot.org/uniprot/M5WI20","M5WI20")</f>
        <v>M5WI20</v>
      </c>
      <c r="D22207" s="2" t="s">
        <v>15481</v>
      </c>
      <c r="E22207" s="3">
        <v>3.9999999999999996E-93</v>
      </c>
      <c r="F22207" s="2">
        <v>748</v>
      </c>
      <c r="G22207" s="2">
        <v>100</v>
      </c>
      <c r="H22207" s="2">
        <v>150</v>
      </c>
      <c r="I22207" s="2">
        <v>317</v>
      </c>
      <c r="J22207" s="2">
        <v>766</v>
      </c>
      <c r="K22207" s="2">
        <v>1</v>
      </c>
      <c r="L22207" s="2">
        <v>150</v>
      </c>
    </row>
    <row r="22208" spans="1:12" x14ac:dyDescent="0.25">
      <c r="A22208" s="4" t="str">
        <f>HYPERLINK("http://www.rosaceae.org/Prunus/Prunus_persica/p.persica_gdr_reftransV1_0024242","p.persica_gdr_reftransV1_0024242")</f>
        <v>p.persica_gdr_reftransV1_0024242</v>
      </c>
      <c r="B22208" s="2">
        <v>1555</v>
      </c>
      <c r="C22208" s="4" t="str">
        <f>HYPERLINK("http://www.uniprot.org/uniprot/B9RW40","B9RW40")</f>
        <v>B9RW40</v>
      </c>
      <c r="D22208" s="2" t="s">
        <v>16442</v>
      </c>
      <c r="E22208" s="3">
        <v>1.9300000000000001E-109</v>
      </c>
      <c r="F22208" s="2">
        <v>872</v>
      </c>
      <c r="G22208" s="2">
        <v>85</v>
      </c>
      <c r="H22208" s="2">
        <v>216</v>
      </c>
      <c r="I22208" s="2">
        <v>60</v>
      </c>
      <c r="J22208" s="2">
        <v>704</v>
      </c>
      <c r="K22208" s="2">
        <v>103</v>
      </c>
      <c r="L22208" s="2">
        <v>317</v>
      </c>
    </row>
    <row r="22209" spans="1:12" x14ac:dyDescent="0.25">
      <c r="A22209" s="4" t="str">
        <f>HYPERLINK("http://www.rosaceae.org/Prunus/Prunus_persica/p.persica_gdr_reftransV1_0024592","p.persica_gdr_reftransV1_0024592")</f>
        <v>p.persica_gdr_reftransV1_0024592</v>
      </c>
      <c r="B22209" s="2">
        <v>2460</v>
      </c>
      <c r="C22209" s="4" t="str">
        <f>HYPERLINK("http://www.uniprot.org/uniprot/M5VXS0","M5VXS0")</f>
        <v>M5VXS0</v>
      </c>
      <c r="D22209" s="2" t="s">
        <v>16443</v>
      </c>
      <c r="E22209" s="3">
        <v>0</v>
      </c>
      <c r="F22209" s="2">
        <v>2384</v>
      </c>
      <c r="G22209" s="2">
        <v>100</v>
      </c>
      <c r="H22209" s="2">
        <v>500</v>
      </c>
      <c r="I22209" s="2">
        <v>421</v>
      </c>
      <c r="J22209" s="2">
        <v>1920</v>
      </c>
      <c r="K22209" s="2">
        <v>1</v>
      </c>
      <c r="L22209" s="2">
        <v>500</v>
      </c>
    </row>
    <row r="22210" spans="1:12" x14ac:dyDescent="0.25">
      <c r="A22210" s="4" t="str">
        <f>HYPERLINK("http://www.rosaceae.org/Prunus/Prunus_persica/p.persica_gdr_reftransV1_0025292","p.persica_gdr_reftransV1_0025292")</f>
        <v>p.persica_gdr_reftransV1_0025292</v>
      </c>
      <c r="B22210" s="2">
        <v>1710</v>
      </c>
      <c r="C22210" s="4" t="str">
        <f>HYPERLINK("http://www.uniprot.org/uniprot/M5VU13","M5VU13")</f>
        <v>M5VU13</v>
      </c>
      <c r="D22210" s="2" t="s">
        <v>16444</v>
      </c>
      <c r="E22210" s="3">
        <v>0</v>
      </c>
      <c r="F22210" s="2">
        <v>2149</v>
      </c>
      <c r="G22210" s="2">
        <v>100</v>
      </c>
      <c r="H22210" s="2">
        <v>427</v>
      </c>
      <c r="I22210" s="2">
        <v>377</v>
      </c>
      <c r="J22210" s="2">
        <v>1657</v>
      </c>
      <c r="K22210" s="2">
        <v>1</v>
      </c>
      <c r="L22210" s="2">
        <v>427</v>
      </c>
    </row>
    <row r="22211" spans="1:12" x14ac:dyDescent="0.25">
      <c r="A22211" s="4" t="str">
        <f>HYPERLINK("http://www.rosaceae.org/Prunus/Prunus_persica/p.persica_gdr_reftransV1_0026342","p.persica_gdr_reftransV1_0026342")</f>
        <v>p.persica_gdr_reftransV1_0026342</v>
      </c>
      <c r="B22211" s="2">
        <v>4224</v>
      </c>
      <c r="C22211" s="4" t="str">
        <f>HYPERLINK("http://www.uniprot.org/uniprot/W9REU4","W9REU4")</f>
        <v>W9REU4</v>
      </c>
      <c r="D22211" s="2" t="s">
        <v>16445</v>
      </c>
      <c r="E22211" s="3">
        <v>0</v>
      </c>
      <c r="F22211" s="2">
        <v>5460</v>
      </c>
      <c r="G22211" s="2">
        <v>85</v>
      </c>
      <c r="H22211" s="2">
        <v>1266</v>
      </c>
      <c r="I22211" s="2">
        <v>336</v>
      </c>
      <c r="J22211" s="2">
        <v>4028</v>
      </c>
      <c r="K22211" s="2">
        <v>34</v>
      </c>
      <c r="L22211" s="2">
        <v>1294</v>
      </c>
    </row>
    <row r="22212" spans="1:12" x14ac:dyDescent="0.25">
      <c r="A22212" s="4" t="str">
        <f>HYPERLINK("http://www.rosaceae.org/Prunus/Prunus_persica/p.persica_gdr_reftransV1_0027742","p.persica_gdr_reftransV1_0027742")</f>
        <v>p.persica_gdr_reftransV1_0027742</v>
      </c>
      <c r="B22212" s="2">
        <v>2157</v>
      </c>
      <c r="C22212" s="4" t="str">
        <f>HYPERLINK("http://www.uniprot.org/uniprot/M5VJJ0","M5VJJ0")</f>
        <v>M5VJJ0</v>
      </c>
      <c r="D22212" s="2" t="s">
        <v>13558</v>
      </c>
      <c r="E22212" s="3">
        <v>0</v>
      </c>
      <c r="F22212" s="2">
        <v>2206</v>
      </c>
      <c r="G22212" s="2">
        <v>100</v>
      </c>
      <c r="H22212" s="2">
        <v>454</v>
      </c>
      <c r="I22212" s="2">
        <v>3</v>
      </c>
      <c r="J22212" s="2">
        <v>1364</v>
      </c>
      <c r="K22212" s="2">
        <v>1</v>
      </c>
      <c r="L22212" s="2">
        <v>454</v>
      </c>
    </row>
    <row r="22213" spans="1:12" x14ac:dyDescent="0.25">
      <c r="A22213" s="4" t="str">
        <f>HYPERLINK("http://www.rosaceae.org/Prunus/Prunus_persica/p.persica_gdr_reftransV1_0030542","p.persica_gdr_reftransV1_0030542")</f>
        <v>p.persica_gdr_reftransV1_0030542</v>
      </c>
      <c r="B22213" s="2">
        <v>1686</v>
      </c>
      <c r="C22213" s="4" t="str">
        <f>HYPERLINK("http://www.uniprot.org/uniprot/M5W8W6","M5W8W6")</f>
        <v>M5W8W6</v>
      </c>
      <c r="D22213" s="2" t="s">
        <v>16446</v>
      </c>
      <c r="E22213" s="3">
        <v>0</v>
      </c>
      <c r="F22213" s="2">
        <v>2418</v>
      </c>
      <c r="G22213" s="2">
        <v>100</v>
      </c>
      <c r="H22213" s="2">
        <v>445</v>
      </c>
      <c r="I22213" s="2">
        <v>138</v>
      </c>
      <c r="J22213" s="2">
        <v>1472</v>
      </c>
      <c r="K22213" s="2">
        <v>1</v>
      </c>
      <c r="L22213" s="2">
        <v>445</v>
      </c>
    </row>
    <row r="22214" spans="1:12" x14ac:dyDescent="0.25">
      <c r="A22214" s="4" t="str">
        <f>HYPERLINK("http://www.rosaceae.org/Prunus/Prunus_persica/p.persica_gdr_reftransV1_0031942","p.persica_gdr_reftransV1_0031942")</f>
        <v>p.persica_gdr_reftransV1_0031942</v>
      </c>
      <c r="B22214" s="2">
        <v>922</v>
      </c>
      <c r="C22214" s="4" t="str">
        <f>HYPERLINK("http://www.uniprot.org/uniprot/M5VWP6","M5VWP6")</f>
        <v>M5VWP6</v>
      </c>
      <c r="D22214" s="2" t="s">
        <v>3051</v>
      </c>
      <c r="E22214" s="3">
        <v>2.5199999999999999E-55</v>
      </c>
      <c r="F22214" s="2">
        <v>514</v>
      </c>
      <c r="G22214" s="2">
        <v>99</v>
      </c>
      <c r="H22214" s="2">
        <v>97</v>
      </c>
      <c r="I22214" s="2">
        <v>324</v>
      </c>
      <c r="J22214" s="2">
        <v>614</v>
      </c>
      <c r="K22214" s="2">
        <v>814</v>
      </c>
      <c r="L22214" s="2">
        <v>910</v>
      </c>
    </row>
    <row r="22215" spans="1:12" x14ac:dyDescent="0.25">
      <c r="A22215" s="4" t="str">
        <f>HYPERLINK("http://www.rosaceae.org/Prunus/Prunus_persica/p.persica_gdr_reftransV1_0032642","p.persica_gdr_reftransV1_0032642")</f>
        <v>p.persica_gdr_reftransV1_0032642</v>
      </c>
      <c r="B22215" s="2">
        <v>2363</v>
      </c>
      <c r="C22215" s="4" t="str">
        <f>HYPERLINK("http://www.uniprot.org/uniprot/A0A067KS48","A0A067KS48")</f>
        <v>A0A067KS48</v>
      </c>
      <c r="D22215" s="2" t="s">
        <v>16447</v>
      </c>
      <c r="E22215" s="3">
        <v>0</v>
      </c>
      <c r="F22215" s="2">
        <v>1095</v>
      </c>
      <c r="G22215" s="2">
        <v>76</v>
      </c>
      <c r="H22215" s="2">
        <v>273</v>
      </c>
      <c r="I22215" s="2">
        <v>437</v>
      </c>
      <c r="J22215" s="2">
        <v>1252</v>
      </c>
      <c r="K22215" s="2">
        <v>250</v>
      </c>
      <c r="L22215" s="2">
        <v>522</v>
      </c>
    </row>
    <row r="22216" spans="1:12" x14ac:dyDescent="0.25">
      <c r="A22216" s="4" t="str">
        <f>HYPERLINK("http://www.rosaceae.org/Prunus/Prunus_persica/p.persica_gdr_reftransV1_0033342","p.persica_gdr_reftransV1_0033342")</f>
        <v>p.persica_gdr_reftransV1_0033342</v>
      </c>
      <c r="B22216" s="2">
        <v>3402</v>
      </c>
      <c r="C22216" s="4" t="str">
        <f>HYPERLINK("http://www.uniprot.org/uniprot/M5VX55","M5VX55")</f>
        <v>M5VX55</v>
      </c>
      <c r="D22216" s="2" t="s">
        <v>9690</v>
      </c>
      <c r="E22216" s="3">
        <v>0</v>
      </c>
      <c r="F22216" s="2">
        <v>5147</v>
      </c>
      <c r="G22216" s="2">
        <v>100</v>
      </c>
      <c r="H22216" s="2">
        <v>1002</v>
      </c>
      <c r="I22216" s="2">
        <v>125</v>
      </c>
      <c r="J22216" s="2">
        <v>3130</v>
      </c>
      <c r="K22216" s="2">
        <v>21</v>
      </c>
      <c r="L22216" s="2">
        <v>1022</v>
      </c>
    </row>
    <row r="22217" spans="1:12" x14ac:dyDescent="0.25">
      <c r="A22217" s="4" t="str">
        <f>HYPERLINK("http://www.rosaceae.org/Prunus/Prunus_persica/p.persica_gdr_reftransV1_0033692","p.persica_gdr_reftransV1_0033692")</f>
        <v>p.persica_gdr_reftransV1_0033692</v>
      </c>
      <c r="B22217" s="2">
        <v>3599</v>
      </c>
      <c r="C22217" s="4" t="str">
        <f>HYPERLINK("http://www.uniprot.org/uniprot/U5GJB3","U5GJB3")</f>
        <v>U5GJB3</v>
      </c>
      <c r="D22217" s="2" t="s">
        <v>16448</v>
      </c>
      <c r="E22217" s="3">
        <v>4.2900000000000003E-46</v>
      </c>
      <c r="F22217" s="2">
        <v>436</v>
      </c>
      <c r="G22217" s="2">
        <v>99</v>
      </c>
      <c r="H22217" s="2">
        <v>82</v>
      </c>
      <c r="I22217" s="2">
        <v>2260</v>
      </c>
      <c r="J22217" s="2">
        <v>2505</v>
      </c>
      <c r="K22217" s="2">
        <v>26</v>
      </c>
      <c r="L22217" s="2">
        <v>107</v>
      </c>
    </row>
    <row r="22218" spans="1:12" x14ac:dyDescent="0.25">
      <c r="A22218" s="4" t="str">
        <f>HYPERLINK("http://www.rosaceae.org/Prunus/Prunus_persica/p.persica_gdr_reftransV1_0034392","p.persica_gdr_reftransV1_0034392")</f>
        <v>p.persica_gdr_reftransV1_0034392</v>
      </c>
      <c r="B22218" s="2">
        <v>890</v>
      </c>
      <c r="C22218" s="4" t="str">
        <f>HYPERLINK("http://www.uniprot.org/uniprot/M5W0M2","M5W0M2")</f>
        <v>M5W0M2</v>
      </c>
      <c r="D22218" s="2" t="s">
        <v>16449</v>
      </c>
      <c r="E22218" s="3">
        <v>1.5199999999999999E-104</v>
      </c>
      <c r="F22218" s="2">
        <v>802</v>
      </c>
      <c r="G22218" s="2">
        <v>99</v>
      </c>
      <c r="H22218" s="2">
        <v>149</v>
      </c>
      <c r="I22218" s="2">
        <v>375</v>
      </c>
      <c r="J22218" s="2">
        <v>821</v>
      </c>
      <c r="K22218" s="2">
        <v>1</v>
      </c>
      <c r="L22218" s="2">
        <v>149</v>
      </c>
    </row>
    <row r="22219" spans="1:12" x14ac:dyDescent="0.25">
      <c r="A22219" s="4" t="str">
        <f>HYPERLINK("http://www.rosaceae.org/Prunus/Prunus_persica/p.persica_gdr_reftransV1_0035792","p.persica_gdr_reftransV1_0035792")</f>
        <v>p.persica_gdr_reftransV1_0035792</v>
      </c>
      <c r="B22219" s="2">
        <v>1483</v>
      </c>
      <c r="C22219" s="4" t="str">
        <f>HYPERLINK("http://www.uniprot.org/uniprot/M5W055","M5W055")</f>
        <v>M5W055</v>
      </c>
      <c r="D22219" s="2" t="s">
        <v>15157</v>
      </c>
      <c r="E22219" s="3">
        <v>9.2799999999999996E-63</v>
      </c>
      <c r="F22219" s="2">
        <v>583</v>
      </c>
      <c r="G22219" s="2">
        <v>95</v>
      </c>
      <c r="H22219" s="2">
        <v>157</v>
      </c>
      <c r="I22219" s="2">
        <v>1011</v>
      </c>
      <c r="J22219" s="2">
        <v>1481</v>
      </c>
      <c r="K22219" s="2">
        <v>588</v>
      </c>
      <c r="L22219" s="2">
        <v>743</v>
      </c>
    </row>
    <row r="22220" spans="1:12" x14ac:dyDescent="0.25">
      <c r="A22220" s="4" t="str">
        <f>HYPERLINK("http://www.rosaceae.org/Prunus/Prunus_persica/p.persica_gdr_reftransV1_0036842","p.persica_gdr_reftransV1_0036842")</f>
        <v>p.persica_gdr_reftransV1_0036842</v>
      </c>
      <c r="B22220" s="2">
        <v>2044</v>
      </c>
      <c r="C22220" s="4" t="str">
        <f>HYPERLINK("http://www.uniprot.org/uniprot/M5W0F5","M5W0F5")</f>
        <v>M5W0F5</v>
      </c>
      <c r="D22220" s="2" t="s">
        <v>14532</v>
      </c>
      <c r="E22220" s="3">
        <v>1.1E-77</v>
      </c>
      <c r="F22220" s="2">
        <v>656</v>
      </c>
      <c r="G22220" s="2">
        <v>100</v>
      </c>
      <c r="H22220" s="2">
        <v>123</v>
      </c>
      <c r="I22220" s="2">
        <v>312</v>
      </c>
      <c r="J22220" s="2">
        <v>680</v>
      </c>
      <c r="K22220" s="2">
        <v>48</v>
      </c>
      <c r="L22220" s="2">
        <v>170</v>
      </c>
    </row>
    <row r="22221" spans="1:12" x14ac:dyDescent="0.25">
      <c r="A22221" s="4" t="str">
        <f>HYPERLINK("http://www.rosaceae.org/Prunus/Prunus_persica/p.persica_gdr_reftransV1_0037192","p.persica_gdr_reftransV1_0037192")</f>
        <v>p.persica_gdr_reftransV1_0037192</v>
      </c>
      <c r="B22221" s="2">
        <v>2585</v>
      </c>
      <c r="C22221" s="4" t="str">
        <f>HYPERLINK("http://www.uniprot.org/uniprot/M5X017","M5X017")</f>
        <v>M5X017</v>
      </c>
      <c r="D22221" s="2" t="s">
        <v>16450</v>
      </c>
      <c r="E22221" s="3">
        <v>0</v>
      </c>
      <c r="F22221" s="2">
        <v>3025</v>
      </c>
      <c r="G22221" s="2">
        <v>100</v>
      </c>
      <c r="H22221" s="2">
        <v>620</v>
      </c>
      <c r="I22221" s="2">
        <v>433</v>
      </c>
      <c r="J22221" s="2">
        <v>2292</v>
      </c>
      <c r="K22221" s="2">
        <v>1</v>
      </c>
      <c r="L22221" s="2">
        <v>620</v>
      </c>
    </row>
    <row r="22222" spans="1:12" x14ac:dyDescent="0.25">
      <c r="A22222" s="4" t="str">
        <f>HYPERLINK("http://www.rosaceae.org/Prunus/Prunus_persica/p.persica_gdr_reftransV1_0037892","p.persica_gdr_reftransV1_0037892")</f>
        <v>p.persica_gdr_reftransV1_0037892</v>
      </c>
      <c r="B22222" s="2">
        <v>3358</v>
      </c>
      <c r="C22222" s="4" t="str">
        <f>HYPERLINK("http://www.uniprot.org/uniprot/M5WZE8","M5WZE8")</f>
        <v>M5WZE8</v>
      </c>
      <c r="D22222" s="2" t="s">
        <v>16451</v>
      </c>
      <c r="E22222" s="3">
        <v>3.1100000000000001E-113</v>
      </c>
      <c r="F22222" s="2">
        <v>953</v>
      </c>
      <c r="G22222" s="2">
        <v>100</v>
      </c>
      <c r="H22222" s="2">
        <v>172</v>
      </c>
      <c r="I22222" s="2">
        <v>1358</v>
      </c>
      <c r="J22222" s="2">
        <v>1873</v>
      </c>
      <c r="K22222" s="2">
        <v>141</v>
      </c>
      <c r="L22222" s="2">
        <v>312</v>
      </c>
    </row>
    <row r="22223" spans="1:12" x14ac:dyDescent="0.25">
      <c r="A22223" s="4" t="str">
        <f>HYPERLINK("http://www.rosaceae.org/Prunus/Prunus_persica/p.persica_gdr_reftransV1_0039292","p.persica_gdr_reftransV1_0039292")</f>
        <v>p.persica_gdr_reftransV1_0039292</v>
      </c>
      <c r="B22223" s="2">
        <v>955</v>
      </c>
      <c r="C22223" s="4" t="str">
        <f>HYPERLINK("http://www.uniprot.org/uniprot/M5XLA8","M5XLA8")</f>
        <v>M5XLA8</v>
      </c>
      <c r="D22223" s="2" t="s">
        <v>13373</v>
      </c>
      <c r="E22223" s="3">
        <v>8.8300000000000005E-23</v>
      </c>
      <c r="F22223" s="2">
        <v>250</v>
      </c>
      <c r="G22223" s="2">
        <v>59</v>
      </c>
      <c r="H22223" s="2">
        <v>96</v>
      </c>
      <c r="I22223" s="2">
        <v>277</v>
      </c>
      <c r="J22223" s="2">
        <v>558</v>
      </c>
      <c r="K22223" s="2">
        <v>1</v>
      </c>
      <c r="L22223" s="2">
        <v>95</v>
      </c>
    </row>
    <row r="22224" spans="1:12" x14ac:dyDescent="0.25">
      <c r="A22224" s="4" t="str">
        <f>HYPERLINK("http://www.rosaceae.org/Prunus/Prunus_persica/p.persica_gdr_reftransV1_0039642","p.persica_gdr_reftransV1_0039642")</f>
        <v>p.persica_gdr_reftransV1_0039642</v>
      </c>
      <c r="B22224" s="2">
        <v>2630</v>
      </c>
      <c r="C22224" s="4" t="str">
        <f>HYPERLINK("http://www.uniprot.org/uniprot/M5VZB7","M5VZB7")</f>
        <v>M5VZB7</v>
      </c>
      <c r="D22224" s="2" t="s">
        <v>16452</v>
      </c>
      <c r="E22224" s="3">
        <v>3.79E-101</v>
      </c>
      <c r="F22224" s="2">
        <v>842</v>
      </c>
      <c r="G22224" s="2">
        <v>85</v>
      </c>
      <c r="H22224" s="2">
        <v>227</v>
      </c>
      <c r="I22224" s="2">
        <v>215</v>
      </c>
      <c r="J22224" s="2">
        <v>880</v>
      </c>
      <c r="K22224" s="2">
        <v>1</v>
      </c>
      <c r="L22224" s="2">
        <v>227</v>
      </c>
    </row>
    <row r="22225" spans="1:12" x14ac:dyDescent="0.25">
      <c r="A22225" s="4" t="str">
        <f>HYPERLINK("http://www.rosaceae.org/Prunus/Prunus_persica/p.persica_gdr_reftransV1_0040342","p.persica_gdr_reftransV1_0040342")</f>
        <v>p.persica_gdr_reftransV1_0040342</v>
      </c>
      <c r="B22225" s="2">
        <v>2764</v>
      </c>
      <c r="C22225" s="4" t="str">
        <f>HYPERLINK("http://www.uniprot.org/uniprot/M5XYE2","M5XYE2")</f>
        <v>M5XYE2</v>
      </c>
      <c r="D22225" s="2" t="s">
        <v>16453</v>
      </c>
      <c r="E22225" s="3">
        <v>6.5400000000000004E-142</v>
      </c>
      <c r="F22225" s="2">
        <v>1134</v>
      </c>
      <c r="G22225" s="2">
        <v>100</v>
      </c>
      <c r="H22225" s="2">
        <v>264</v>
      </c>
      <c r="I22225" s="2">
        <v>1614</v>
      </c>
      <c r="J22225" s="2">
        <v>2405</v>
      </c>
      <c r="K22225" s="2">
        <v>1</v>
      </c>
      <c r="L22225" s="2">
        <v>264</v>
      </c>
    </row>
    <row r="22226" spans="1:12" x14ac:dyDescent="0.25">
      <c r="A22226" s="4" t="str">
        <f>HYPERLINK("http://www.rosaceae.org/Prunus/Prunus_persica/p.persica_gdr_reftransV1_0042092","p.persica_gdr_reftransV1_0042092")</f>
        <v>p.persica_gdr_reftransV1_0042092</v>
      </c>
      <c r="B22226" s="2">
        <v>656</v>
      </c>
      <c r="C22226" s="4" t="str">
        <f>HYPERLINK("http://www.uniprot.org/uniprot/M5WHM0","M5WHM0")</f>
        <v>M5WHM0</v>
      </c>
      <c r="D22226" s="2" t="s">
        <v>11173</v>
      </c>
      <c r="E22226" s="3">
        <v>1.4299999999999999E-138</v>
      </c>
      <c r="F22226" s="2">
        <v>1036</v>
      </c>
      <c r="G22226" s="2">
        <v>98</v>
      </c>
      <c r="H22226" s="2">
        <v>198</v>
      </c>
      <c r="I22226" s="2">
        <v>2</v>
      </c>
      <c r="J22226" s="2">
        <v>595</v>
      </c>
      <c r="K22226" s="2">
        <v>15</v>
      </c>
      <c r="L22226" s="2">
        <v>212</v>
      </c>
    </row>
    <row r="22227" spans="1:12" x14ac:dyDescent="0.25">
      <c r="A22227" s="4" t="str">
        <f>HYPERLINK("http://www.rosaceae.org/Prunus/Prunus_persica/p.persica_gdr_reftransV1_0042792","p.persica_gdr_reftransV1_0042792")</f>
        <v>p.persica_gdr_reftransV1_0042792</v>
      </c>
      <c r="B22227" s="2">
        <v>1816</v>
      </c>
      <c r="C22227" s="4" t="str">
        <f>HYPERLINK("http://www.uniprot.org/uniprot/F4I403","F4I403")</f>
        <v>F4I403</v>
      </c>
      <c r="D22227" s="2" t="s">
        <v>16454</v>
      </c>
      <c r="E22227" s="3">
        <v>0</v>
      </c>
      <c r="F22227" s="2">
        <v>1590</v>
      </c>
      <c r="G22227" s="2">
        <v>69</v>
      </c>
      <c r="H22227" s="2">
        <v>430</v>
      </c>
      <c r="I22227" s="2">
        <v>278</v>
      </c>
      <c r="J22227" s="2">
        <v>1567</v>
      </c>
      <c r="K22227" s="2">
        <v>9</v>
      </c>
      <c r="L22227" s="2">
        <v>397</v>
      </c>
    </row>
    <row r="22228" spans="1:12" x14ac:dyDescent="0.25">
      <c r="A22228" s="4" t="str">
        <f>HYPERLINK("http://www.rosaceae.org/Prunus/Prunus_persica/p.persica_gdr_reftransV1_0043142","p.persica_gdr_reftransV1_0043142")</f>
        <v>p.persica_gdr_reftransV1_0043142</v>
      </c>
      <c r="B22228" s="2">
        <v>851</v>
      </c>
      <c r="C22228" s="4" t="str">
        <f>HYPERLINK("http://www.uniprot.org/uniprot/M5WYI6","M5WYI6")</f>
        <v>M5WYI6</v>
      </c>
      <c r="D22228" s="2" t="s">
        <v>3818</v>
      </c>
      <c r="E22228" s="3">
        <v>6.1499999999999999E-177</v>
      </c>
      <c r="F22228" s="2">
        <v>1385</v>
      </c>
      <c r="G22228" s="2">
        <v>100</v>
      </c>
      <c r="H22228" s="2">
        <v>283</v>
      </c>
      <c r="I22228" s="2">
        <v>1</v>
      </c>
      <c r="J22228" s="2">
        <v>849</v>
      </c>
      <c r="K22228" s="2">
        <v>102</v>
      </c>
      <c r="L22228" s="2">
        <v>384</v>
      </c>
    </row>
    <row r="22229" spans="1:12" x14ac:dyDescent="0.25">
      <c r="A22229" s="4" t="str">
        <f>HYPERLINK("http://www.rosaceae.org/Prunus/Prunus_persica/p.persica_gdr_reftransV1_0043492","p.persica_gdr_reftransV1_0043492")</f>
        <v>p.persica_gdr_reftransV1_0043492</v>
      </c>
      <c r="B22229" s="2">
        <v>723</v>
      </c>
      <c r="C22229" s="4" t="str">
        <f>HYPERLINK("http://www.uniprot.org/uniprot/M5XT98","M5XT98")</f>
        <v>M5XT98</v>
      </c>
      <c r="D22229" s="2" t="s">
        <v>2863</v>
      </c>
      <c r="E22229" s="3">
        <v>1.1399999999999999E-135</v>
      </c>
      <c r="F22229" s="2">
        <v>1077</v>
      </c>
      <c r="G22229" s="2">
        <v>100</v>
      </c>
      <c r="H22229" s="2">
        <v>240</v>
      </c>
      <c r="I22229" s="2">
        <v>3</v>
      </c>
      <c r="J22229" s="2">
        <v>722</v>
      </c>
      <c r="K22229" s="2">
        <v>196</v>
      </c>
      <c r="L22229" s="2">
        <v>435</v>
      </c>
    </row>
    <row r="22230" spans="1:12" x14ac:dyDescent="0.25">
      <c r="A22230" s="4" t="str">
        <f>HYPERLINK("http://www.rosaceae.org/Prunus/Prunus_persica/p.persica_gdr_reftransV1_0044892","p.persica_gdr_reftransV1_0044892")</f>
        <v>p.persica_gdr_reftransV1_0044892</v>
      </c>
      <c r="B22230" s="2">
        <v>1196</v>
      </c>
      <c r="C22230" s="4" t="str">
        <f>HYPERLINK("http://www.uniprot.org/uniprot/M5XGG8","M5XGG8")</f>
        <v>M5XGG8</v>
      </c>
      <c r="D22230" s="2" t="s">
        <v>16455</v>
      </c>
      <c r="E22230" s="3">
        <v>1.26E-36</v>
      </c>
      <c r="F22230" s="2">
        <v>357</v>
      </c>
      <c r="G22230" s="2">
        <v>100</v>
      </c>
      <c r="H22230" s="2">
        <v>62</v>
      </c>
      <c r="I22230" s="2">
        <v>341</v>
      </c>
      <c r="J22230" s="2">
        <v>526</v>
      </c>
      <c r="K22230" s="2">
        <v>112</v>
      </c>
      <c r="L22230" s="2">
        <v>173</v>
      </c>
    </row>
    <row r="22231" spans="1:12" x14ac:dyDescent="0.25">
      <c r="A22231" s="4" t="str">
        <f>HYPERLINK("http://www.rosaceae.org/Prunus/Prunus_persica/p.persica_gdr_reftransV1_0045242","p.persica_gdr_reftransV1_0045242")</f>
        <v>p.persica_gdr_reftransV1_0045242</v>
      </c>
      <c r="B22231" s="2">
        <v>829</v>
      </c>
      <c r="C22231" s="4" t="str">
        <f>HYPERLINK("http://www.uniprot.org/uniprot/M5WIT5","M5WIT5")</f>
        <v>M5WIT5</v>
      </c>
      <c r="D22231" s="2" t="s">
        <v>15675</v>
      </c>
      <c r="E22231" s="3">
        <v>4.0200000000000002E-46</v>
      </c>
      <c r="F22231" s="2">
        <v>433</v>
      </c>
      <c r="G22231" s="2">
        <v>93</v>
      </c>
      <c r="H22231" s="2">
        <v>165</v>
      </c>
      <c r="I22231" s="2">
        <v>3</v>
      </c>
      <c r="J22231" s="2">
        <v>473</v>
      </c>
      <c r="K22231" s="2">
        <v>285</v>
      </c>
      <c r="L22231" s="2">
        <v>449</v>
      </c>
    </row>
    <row r="22232" spans="1:12" x14ac:dyDescent="0.25">
      <c r="A22232" s="4" t="str">
        <f>HYPERLINK("http://www.rosaceae.org/Prunus/Prunus_persica/p.persica_gdr_reftransV1_0045592","p.persica_gdr_reftransV1_0045592")</f>
        <v>p.persica_gdr_reftransV1_0045592</v>
      </c>
      <c r="B22232" s="2">
        <v>320</v>
      </c>
      <c r="C22232" s="4" t="str">
        <f>HYPERLINK("http://www.uniprot.org/uniprot/M5WGC8","M5WGC8")</f>
        <v>M5WGC8</v>
      </c>
      <c r="D22232" s="2" t="s">
        <v>801</v>
      </c>
      <c r="E22232" s="3">
        <v>4.1199999999999998E-22</v>
      </c>
      <c r="F22232" s="2">
        <v>243</v>
      </c>
      <c r="G22232" s="2">
        <v>100</v>
      </c>
      <c r="H22232" s="2">
        <v>83</v>
      </c>
      <c r="I22232" s="2">
        <v>1</v>
      </c>
      <c r="J22232" s="2">
        <v>249</v>
      </c>
      <c r="K22232" s="2">
        <v>1</v>
      </c>
      <c r="L22232" s="2">
        <v>83</v>
      </c>
    </row>
    <row r="22233" spans="1:12" x14ac:dyDescent="0.25">
      <c r="A22233" s="4" t="str">
        <f>HYPERLINK("http://www.rosaceae.org/Prunus/Prunus_persica/p.persica_gdr_reftransV1_0045942","p.persica_gdr_reftransV1_0045942")</f>
        <v>p.persica_gdr_reftransV1_0045942</v>
      </c>
      <c r="B22233" s="2">
        <v>2622</v>
      </c>
      <c r="C22233" s="4" t="str">
        <f>HYPERLINK("http://www.uniprot.org/uniprot/M5WM74","M5WM74")</f>
        <v>M5WM74</v>
      </c>
      <c r="D22233" s="2" t="s">
        <v>16456</v>
      </c>
      <c r="E22233" s="3">
        <v>0</v>
      </c>
      <c r="F22233" s="2">
        <v>2668</v>
      </c>
      <c r="G22233" s="2">
        <v>100</v>
      </c>
      <c r="H22233" s="2">
        <v>664</v>
      </c>
      <c r="I22233" s="2">
        <v>75</v>
      </c>
      <c r="J22233" s="2">
        <v>2066</v>
      </c>
      <c r="K22233" s="2">
        <v>1</v>
      </c>
      <c r="L22233" s="2">
        <v>664</v>
      </c>
    </row>
    <row r="22234" spans="1:12" x14ac:dyDescent="0.25">
      <c r="A22234" s="4" t="str">
        <f>HYPERLINK("http://www.rosaceae.org/Prunus/Prunus_persica/p.persica_gdr_reftransV1_0046642","p.persica_gdr_reftransV1_0046642")</f>
        <v>p.persica_gdr_reftransV1_0046642</v>
      </c>
      <c r="B22234" s="2">
        <v>761</v>
      </c>
      <c r="C22234" s="4" t="str">
        <f>HYPERLINK("http://www.uniprot.org/uniprot/M5XNS0","M5XNS0")</f>
        <v>M5XNS0</v>
      </c>
      <c r="D22234" s="2" t="s">
        <v>16457</v>
      </c>
      <c r="E22234" s="3">
        <v>2.93E-116</v>
      </c>
      <c r="F22234" s="2">
        <v>884</v>
      </c>
      <c r="G22234" s="2">
        <v>100</v>
      </c>
      <c r="H22234" s="2">
        <v>232</v>
      </c>
      <c r="I22234" s="2">
        <v>14</v>
      </c>
      <c r="J22234" s="2">
        <v>709</v>
      </c>
      <c r="K22234" s="2">
        <v>1</v>
      </c>
      <c r="L22234" s="2">
        <v>232</v>
      </c>
    </row>
    <row r="22235" spans="1:12" x14ac:dyDescent="0.25">
      <c r="A22235" s="4" t="str">
        <f>HYPERLINK("http://www.rosaceae.org/Prunus/Prunus_persica/p.persica_gdr_reftransV1_0047342","p.persica_gdr_reftransV1_0047342")</f>
        <v>p.persica_gdr_reftransV1_0047342</v>
      </c>
      <c r="B22235" s="2">
        <v>849</v>
      </c>
      <c r="C22235" s="4" t="str">
        <f>HYPERLINK("http://www.uniprot.org/uniprot/M5VRA2","M5VRA2")</f>
        <v>M5VRA2</v>
      </c>
      <c r="D22235" s="2" t="s">
        <v>9978</v>
      </c>
      <c r="E22235" s="3">
        <v>3.2299999999999998E-78</v>
      </c>
      <c r="F22235" s="2">
        <v>628</v>
      </c>
      <c r="G22235" s="2">
        <v>100</v>
      </c>
      <c r="H22235" s="2">
        <v>147</v>
      </c>
      <c r="I22235" s="2">
        <v>335</v>
      </c>
      <c r="J22235" s="2">
        <v>775</v>
      </c>
      <c r="K22235" s="2">
        <v>1</v>
      </c>
      <c r="L22235" s="2">
        <v>147</v>
      </c>
    </row>
    <row r="22236" spans="1:12" x14ac:dyDescent="0.25">
      <c r="A22236" s="4" t="str">
        <f>HYPERLINK("http://www.rosaceae.org/Prunus/Prunus_persica/p.persica_gdr_reftransV1_0047692","p.persica_gdr_reftransV1_0047692")</f>
        <v>p.persica_gdr_reftransV1_0047692</v>
      </c>
      <c r="B22236" s="2">
        <v>2011</v>
      </c>
      <c r="C22236" s="4" t="str">
        <f>HYPERLINK("http://www.uniprot.org/uniprot/M5XTD4","M5XTD4")</f>
        <v>M5XTD4</v>
      </c>
      <c r="D22236" s="2" t="s">
        <v>16458</v>
      </c>
      <c r="E22236" s="3">
        <v>0</v>
      </c>
      <c r="F22236" s="2">
        <v>2667</v>
      </c>
      <c r="G22236" s="2">
        <v>100</v>
      </c>
      <c r="H22236" s="2">
        <v>608</v>
      </c>
      <c r="I22236" s="2">
        <v>126</v>
      </c>
      <c r="J22236" s="2">
        <v>1949</v>
      </c>
      <c r="K22236" s="2">
        <v>1</v>
      </c>
      <c r="L22236" s="2">
        <v>608</v>
      </c>
    </row>
    <row r="22237" spans="1:12" x14ac:dyDescent="0.25">
      <c r="A22237" s="4" t="str">
        <f>HYPERLINK("http://www.rosaceae.org/Prunus/Prunus_persica/p.persica_gdr_reftransV1_0048042","p.persica_gdr_reftransV1_0048042")</f>
        <v>p.persica_gdr_reftransV1_0048042</v>
      </c>
      <c r="B22237" s="2">
        <v>958</v>
      </c>
      <c r="C22237" s="4" t="str">
        <f>HYPERLINK("http://www.uniprot.org/uniprot/M5WYG2","M5WYG2")</f>
        <v>M5WYG2</v>
      </c>
      <c r="D22237" s="2" t="s">
        <v>10376</v>
      </c>
      <c r="E22237" s="3">
        <v>0</v>
      </c>
      <c r="F22237" s="2">
        <v>1594</v>
      </c>
      <c r="G22237" s="2">
        <v>100</v>
      </c>
      <c r="H22237" s="2">
        <v>302</v>
      </c>
      <c r="I22237" s="2">
        <v>2</v>
      </c>
      <c r="J22237" s="2">
        <v>907</v>
      </c>
      <c r="K22237" s="2">
        <v>183</v>
      </c>
      <c r="L22237" s="2">
        <v>484</v>
      </c>
    </row>
    <row r="22238" spans="1:12" x14ac:dyDescent="0.25">
      <c r="A22238" s="4" t="str">
        <f>HYPERLINK("http://www.rosaceae.org/Prunus/Prunus_persica/p.persica_gdr_reftransV1_0048742","p.persica_gdr_reftransV1_0048742")</f>
        <v>p.persica_gdr_reftransV1_0048742</v>
      </c>
      <c r="B22238" s="2">
        <v>1975</v>
      </c>
      <c r="C22238" s="4" t="str">
        <f>HYPERLINK("http://www.uniprot.org/uniprot/M5X743","M5X743")</f>
        <v>M5X743</v>
      </c>
      <c r="D22238" s="2" t="s">
        <v>8397</v>
      </c>
      <c r="E22238" s="3">
        <v>0</v>
      </c>
      <c r="F22238" s="2">
        <v>3051</v>
      </c>
      <c r="G22238" s="2">
        <v>94</v>
      </c>
      <c r="H22238" s="2">
        <v>657</v>
      </c>
      <c r="I22238" s="2">
        <v>3</v>
      </c>
      <c r="J22238" s="2">
        <v>1973</v>
      </c>
      <c r="K22238" s="2">
        <v>395</v>
      </c>
      <c r="L22238" s="2">
        <v>1013</v>
      </c>
    </row>
    <row r="22239" spans="1:12" x14ac:dyDescent="0.25">
      <c r="A22239" s="4" t="str">
        <f>HYPERLINK("http://www.rosaceae.org/Prunus/Prunus_persica/p.persica_gdr_reftransV1_0049092","p.persica_gdr_reftransV1_0049092")</f>
        <v>p.persica_gdr_reftransV1_0049092</v>
      </c>
      <c r="B22239" s="2">
        <v>1295</v>
      </c>
      <c r="C22239" s="4" t="str">
        <f>HYPERLINK("http://www.uniprot.org/uniprot/M5WAQ4","M5WAQ4")</f>
        <v>M5WAQ4</v>
      </c>
      <c r="D22239" s="2" t="s">
        <v>13674</v>
      </c>
      <c r="E22239" s="3">
        <v>0</v>
      </c>
      <c r="F22239" s="2">
        <v>1837</v>
      </c>
      <c r="G22239" s="2">
        <v>100</v>
      </c>
      <c r="H22239" s="2">
        <v>343</v>
      </c>
      <c r="I22239" s="2">
        <v>266</v>
      </c>
      <c r="J22239" s="2">
        <v>1294</v>
      </c>
      <c r="K22239" s="2">
        <v>135</v>
      </c>
      <c r="L22239" s="2">
        <v>477</v>
      </c>
    </row>
    <row r="22240" spans="1:12" x14ac:dyDescent="0.25">
      <c r="A22240" s="4" t="str">
        <f>HYPERLINK("http://www.rosaceae.org/Prunus/Prunus_persica/p.persica_gdr_reftransV1_0000093","p.persica_gdr_reftransV1_0000093")</f>
        <v>p.persica_gdr_reftransV1_0000093</v>
      </c>
      <c r="B22240" s="2">
        <v>2712</v>
      </c>
      <c r="C22240" s="4" t="str">
        <f>HYPERLINK("http://www.uniprot.org/uniprot/M5WJZ2","M5WJZ2")</f>
        <v>M5WJZ2</v>
      </c>
      <c r="D22240" s="2" t="s">
        <v>2846</v>
      </c>
      <c r="E22240" s="3">
        <v>0</v>
      </c>
      <c r="F22240" s="2">
        <v>4025</v>
      </c>
      <c r="G22240" s="2">
        <v>100</v>
      </c>
      <c r="H22240" s="2">
        <v>770</v>
      </c>
      <c r="I22240" s="2">
        <v>199</v>
      </c>
      <c r="J22240" s="2">
        <v>2508</v>
      </c>
      <c r="K22240" s="2">
        <v>1</v>
      </c>
      <c r="L22240" s="2">
        <v>770</v>
      </c>
    </row>
    <row r="22241" spans="1:12" x14ac:dyDescent="0.25">
      <c r="A22241" s="4" t="str">
        <f>HYPERLINK("http://www.rosaceae.org/Prunus/Prunus_persica/p.persica_gdr_reftransV1_0000443","p.persica_gdr_reftransV1_0000443")</f>
        <v>p.persica_gdr_reftransV1_0000443</v>
      </c>
      <c r="B22241" s="2">
        <v>1076</v>
      </c>
      <c r="C22241" s="4" t="str">
        <f>HYPERLINK("http://www.uniprot.org/uniprot/M5Y394","M5Y394")</f>
        <v>M5Y394</v>
      </c>
      <c r="D22241" s="2" t="s">
        <v>5477</v>
      </c>
      <c r="E22241" s="3">
        <v>8.5600000000000001E-126</v>
      </c>
      <c r="F22241" s="2">
        <v>1007</v>
      </c>
      <c r="G22241" s="2">
        <v>100</v>
      </c>
      <c r="H22241" s="2">
        <v>230</v>
      </c>
      <c r="I22241" s="2">
        <v>3</v>
      </c>
      <c r="J22241" s="2">
        <v>692</v>
      </c>
      <c r="K22241" s="2">
        <v>1</v>
      </c>
      <c r="L22241" s="2">
        <v>230</v>
      </c>
    </row>
    <row r="22242" spans="1:12" x14ac:dyDescent="0.25">
      <c r="A22242" s="4" t="str">
        <f>HYPERLINK("http://www.rosaceae.org/Prunus/Prunus_persica/p.persica_gdr_reftransV1_0000793","p.persica_gdr_reftransV1_0000793")</f>
        <v>p.persica_gdr_reftransV1_0000793</v>
      </c>
      <c r="B22242" s="2">
        <v>1999</v>
      </c>
      <c r="C22242" s="4" t="str">
        <f>HYPERLINK("http://www.uniprot.org/uniprot/M5XXY4","M5XXY4")</f>
        <v>M5XXY4</v>
      </c>
      <c r="D22242" s="2" t="s">
        <v>14861</v>
      </c>
      <c r="E22242" s="3">
        <v>0</v>
      </c>
      <c r="F22242" s="2">
        <v>1447</v>
      </c>
      <c r="G22242" s="2">
        <v>100</v>
      </c>
      <c r="H22242" s="2">
        <v>345</v>
      </c>
      <c r="I22242" s="2">
        <v>964</v>
      </c>
      <c r="J22242" s="2">
        <v>1998</v>
      </c>
      <c r="K22242" s="2">
        <v>23</v>
      </c>
      <c r="L22242" s="2">
        <v>367</v>
      </c>
    </row>
    <row r="22243" spans="1:12" x14ac:dyDescent="0.25">
      <c r="A22243" s="4" t="str">
        <f>HYPERLINK("http://www.rosaceae.org/Prunus/Prunus_persica/p.persica_gdr_reftransV1_0001493","p.persica_gdr_reftransV1_0001493")</f>
        <v>p.persica_gdr_reftransV1_0001493</v>
      </c>
      <c r="B22243" s="2">
        <v>752</v>
      </c>
      <c r="C22243" s="4" t="str">
        <f>HYPERLINK("http://www.uniprot.org/uniprot/M5X8A0","M5X8A0")</f>
        <v>M5X8A0</v>
      </c>
      <c r="D22243" s="2" t="s">
        <v>16459</v>
      </c>
      <c r="E22243" s="3">
        <v>7.8900000000000001E-53</v>
      </c>
      <c r="F22243" s="2">
        <v>449</v>
      </c>
      <c r="G22243" s="2">
        <v>99</v>
      </c>
      <c r="H22243" s="2">
        <v>94</v>
      </c>
      <c r="I22243" s="2">
        <v>128</v>
      </c>
      <c r="J22243" s="2">
        <v>409</v>
      </c>
      <c r="K22243" s="2">
        <v>1</v>
      </c>
      <c r="L22243" s="2">
        <v>94</v>
      </c>
    </row>
    <row r="22244" spans="1:12" x14ac:dyDescent="0.25">
      <c r="A22244" s="4" t="str">
        <f>HYPERLINK("http://www.rosaceae.org/Prunus/Prunus_persica/p.persica_gdr_reftransV1_0001843","p.persica_gdr_reftransV1_0001843")</f>
        <v>p.persica_gdr_reftransV1_0001843</v>
      </c>
      <c r="B22244" s="2">
        <v>1500</v>
      </c>
      <c r="C22244" s="4" t="str">
        <f>HYPERLINK("http://www.uniprot.org/uniprot/M5XF62","M5XF62")</f>
        <v>M5XF62</v>
      </c>
      <c r="D22244" s="2" t="s">
        <v>16460</v>
      </c>
      <c r="E22244" s="3">
        <v>0</v>
      </c>
      <c r="F22244" s="2">
        <v>1956</v>
      </c>
      <c r="G22244" s="2">
        <v>100</v>
      </c>
      <c r="H22244" s="2">
        <v>367</v>
      </c>
      <c r="I22244" s="2">
        <v>76</v>
      </c>
      <c r="J22244" s="2">
        <v>1176</v>
      </c>
      <c r="K22244" s="2">
        <v>1</v>
      </c>
      <c r="L22244" s="2">
        <v>367</v>
      </c>
    </row>
    <row r="22245" spans="1:12" x14ac:dyDescent="0.25">
      <c r="A22245" s="4" t="str">
        <f>HYPERLINK("http://www.rosaceae.org/Prunus/Prunus_persica/p.persica_gdr_reftransV1_0002193","p.persica_gdr_reftransV1_0002193")</f>
        <v>p.persica_gdr_reftransV1_0002193</v>
      </c>
      <c r="B22245" s="2">
        <v>3515</v>
      </c>
      <c r="C22245" s="4" t="str">
        <f>HYPERLINK("http://www.uniprot.org/uniprot/A0A061ETM7","A0A061ETM7")</f>
        <v>A0A061ETM7</v>
      </c>
      <c r="D22245" s="2" t="s">
        <v>16461</v>
      </c>
      <c r="E22245" s="3">
        <v>0</v>
      </c>
      <c r="F22245" s="2">
        <v>2745</v>
      </c>
      <c r="G22245" s="2">
        <v>63</v>
      </c>
      <c r="H22245" s="2">
        <v>860</v>
      </c>
      <c r="I22245" s="2">
        <v>715</v>
      </c>
      <c r="J22245" s="2">
        <v>3261</v>
      </c>
      <c r="K22245" s="2">
        <v>223</v>
      </c>
      <c r="L22245" s="2">
        <v>1071</v>
      </c>
    </row>
    <row r="22246" spans="1:12" x14ac:dyDescent="0.25">
      <c r="A22246" s="4" t="str">
        <f>HYPERLINK("http://www.rosaceae.org/Prunus/Prunus_persica/p.persica_gdr_reftransV1_0002543","p.persica_gdr_reftransV1_0002543")</f>
        <v>p.persica_gdr_reftransV1_0002543</v>
      </c>
      <c r="B22246" s="2">
        <v>558</v>
      </c>
      <c r="C22246" s="4" t="str">
        <f>HYPERLINK("http://www.uniprot.org/uniprot/C7Z2V2","C7Z2V2")</f>
        <v>C7Z2V2</v>
      </c>
      <c r="D22246" s="2" t="s">
        <v>16462</v>
      </c>
      <c r="E22246" s="3">
        <v>2.7400000000000002E-105</v>
      </c>
      <c r="F22246" s="2">
        <v>825</v>
      </c>
      <c r="G22246" s="2">
        <v>81</v>
      </c>
      <c r="H22246" s="2">
        <v>183</v>
      </c>
      <c r="I22246" s="2">
        <v>2</v>
      </c>
      <c r="J22246" s="2">
        <v>550</v>
      </c>
      <c r="K22246" s="2">
        <v>4</v>
      </c>
      <c r="L22246" s="2">
        <v>186</v>
      </c>
    </row>
    <row r="22247" spans="1:12" x14ac:dyDescent="0.25">
      <c r="A22247" s="4" t="str">
        <f>HYPERLINK("http://www.rosaceae.org/Prunus/Prunus_persica/p.persica_gdr_reftransV1_0003243","p.persica_gdr_reftransV1_0003243")</f>
        <v>p.persica_gdr_reftransV1_0003243</v>
      </c>
      <c r="B22247" s="2">
        <v>300</v>
      </c>
      <c r="C22247" s="4" t="str">
        <f>HYPERLINK("http://www.uniprot.org/uniprot/C7Z4L0","C7Z4L0")</f>
        <v>C7Z4L0</v>
      </c>
      <c r="D22247" s="2" t="s">
        <v>16463</v>
      </c>
      <c r="E22247" s="3">
        <v>7.4400000000000003E-57</v>
      </c>
      <c r="F22247" s="2">
        <v>481</v>
      </c>
      <c r="G22247" s="2">
        <v>87</v>
      </c>
      <c r="H22247" s="2">
        <v>99</v>
      </c>
      <c r="I22247" s="2">
        <v>3</v>
      </c>
      <c r="J22247" s="2">
        <v>299</v>
      </c>
      <c r="K22247" s="2">
        <v>228</v>
      </c>
      <c r="L22247" s="2">
        <v>326</v>
      </c>
    </row>
    <row r="22248" spans="1:12" x14ac:dyDescent="0.25">
      <c r="A22248" s="4" t="str">
        <f>HYPERLINK("http://www.rosaceae.org/Prunus/Prunus_persica/p.persica_gdr_reftransV1_0003593","p.persica_gdr_reftransV1_0003593")</f>
        <v>p.persica_gdr_reftransV1_0003593</v>
      </c>
      <c r="B22248" s="2">
        <v>537</v>
      </c>
      <c r="C22248" s="4" t="str">
        <f>HYPERLINK("http://www.uniprot.org/uniprot/X2G6E9","X2G6E9")</f>
        <v>X2G6E9</v>
      </c>
      <c r="D22248" s="2" t="s">
        <v>16464</v>
      </c>
      <c r="E22248" s="3">
        <v>1.31E-119</v>
      </c>
      <c r="F22248" s="2">
        <v>961</v>
      </c>
      <c r="G22248" s="2">
        <v>100</v>
      </c>
      <c r="H22248" s="2">
        <v>179</v>
      </c>
      <c r="I22248" s="2">
        <v>1</v>
      </c>
      <c r="J22248" s="2">
        <v>537</v>
      </c>
      <c r="K22248" s="2">
        <v>497</v>
      </c>
      <c r="L22248" s="2">
        <v>675</v>
      </c>
    </row>
    <row r="22249" spans="1:12" x14ac:dyDescent="0.25">
      <c r="A22249" s="4" t="str">
        <f>HYPERLINK("http://www.rosaceae.org/Prunus/Prunus_persica/p.persica_gdr_reftransV1_0003943","p.persica_gdr_reftransV1_0003943")</f>
        <v>p.persica_gdr_reftransV1_0003943</v>
      </c>
      <c r="B22249" s="2">
        <v>3984</v>
      </c>
      <c r="C22249" s="4" t="str">
        <f>HYPERLINK("http://www.uniprot.org/uniprot/M5X3M1","M5X3M1")</f>
        <v>M5X3M1</v>
      </c>
      <c r="D22249" s="2" t="s">
        <v>8365</v>
      </c>
      <c r="E22249" s="3">
        <v>0</v>
      </c>
      <c r="F22249" s="2">
        <v>5035</v>
      </c>
      <c r="G22249" s="2">
        <v>100</v>
      </c>
      <c r="H22249" s="2">
        <v>1197</v>
      </c>
      <c r="I22249" s="2">
        <v>245</v>
      </c>
      <c r="J22249" s="2">
        <v>3835</v>
      </c>
      <c r="K22249" s="2">
        <v>1</v>
      </c>
      <c r="L22249" s="2">
        <v>1197</v>
      </c>
    </row>
    <row r="22250" spans="1:12" x14ac:dyDescent="0.25">
      <c r="A22250" s="4" t="str">
        <f>HYPERLINK("http://www.rosaceae.org/Prunus/Prunus_persica/p.persica_gdr_reftransV1_0005343","p.persica_gdr_reftransV1_0005343")</f>
        <v>p.persica_gdr_reftransV1_0005343</v>
      </c>
      <c r="B22250" s="2">
        <v>1882</v>
      </c>
      <c r="C22250" s="4" t="str">
        <f>HYPERLINK("http://www.uniprot.org/uniprot/M5W858","M5W858")</f>
        <v>M5W858</v>
      </c>
      <c r="D22250" s="2" t="s">
        <v>4132</v>
      </c>
      <c r="E22250" s="3">
        <v>0</v>
      </c>
      <c r="F22250" s="2">
        <v>2951</v>
      </c>
      <c r="G22250" s="2">
        <v>100</v>
      </c>
      <c r="H22250" s="2">
        <v>589</v>
      </c>
      <c r="I22250" s="2">
        <v>26</v>
      </c>
      <c r="J22250" s="2">
        <v>1792</v>
      </c>
      <c r="K22250" s="2">
        <v>1</v>
      </c>
      <c r="L22250" s="2">
        <v>589</v>
      </c>
    </row>
    <row r="22251" spans="1:12" x14ac:dyDescent="0.25">
      <c r="A22251" s="4" t="str">
        <f>HYPERLINK("http://www.rosaceae.org/Prunus/Prunus_persica/p.persica_gdr_reftransV1_0005693","p.persica_gdr_reftransV1_0005693")</f>
        <v>p.persica_gdr_reftransV1_0005693</v>
      </c>
      <c r="B22251" s="2">
        <v>1363</v>
      </c>
      <c r="C22251" s="4" t="str">
        <f>HYPERLINK("http://www.uniprot.org/uniprot/M5WZA2","M5WZA2")</f>
        <v>M5WZA2</v>
      </c>
      <c r="D22251" s="2" t="s">
        <v>16465</v>
      </c>
      <c r="E22251" s="3">
        <v>2.9399999999999999E-95</v>
      </c>
      <c r="F22251" s="2">
        <v>761</v>
      </c>
      <c r="G22251" s="2">
        <v>100</v>
      </c>
      <c r="H22251" s="2">
        <v>209</v>
      </c>
      <c r="I22251" s="2">
        <v>88</v>
      </c>
      <c r="J22251" s="2">
        <v>714</v>
      </c>
      <c r="K22251" s="2">
        <v>1</v>
      </c>
      <c r="L22251" s="2">
        <v>209</v>
      </c>
    </row>
    <row r="22252" spans="1:12" x14ac:dyDescent="0.25">
      <c r="A22252" s="4" t="str">
        <f>HYPERLINK("http://www.rosaceae.org/Prunus/Prunus_persica/p.persica_gdr_reftransV1_0006743","p.persica_gdr_reftransV1_0006743")</f>
        <v>p.persica_gdr_reftransV1_0006743</v>
      </c>
      <c r="B22252" s="2">
        <v>834</v>
      </c>
      <c r="C22252" s="4" t="str">
        <f>HYPERLINK("http://www.uniprot.org/uniprot/M5WDN5","M5WDN5")</f>
        <v>M5WDN5</v>
      </c>
      <c r="D22252" s="2" t="s">
        <v>16466</v>
      </c>
      <c r="E22252" s="3">
        <v>1.4699999999999999E-111</v>
      </c>
      <c r="F22252" s="2">
        <v>854</v>
      </c>
      <c r="G22252" s="2">
        <v>100</v>
      </c>
      <c r="H22252" s="2">
        <v>181</v>
      </c>
      <c r="I22252" s="2">
        <v>290</v>
      </c>
      <c r="J22252" s="2">
        <v>832</v>
      </c>
      <c r="K22252" s="2">
        <v>51</v>
      </c>
      <c r="L22252" s="2">
        <v>231</v>
      </c>
    </row>
    <row r="22253" spans="1:12" x14ac:dyDescent="0.25">
      <c r="A22253" s="4" t="str">
        <f>HYPERLINK("http://www.rosaceae.org/Prunus/Prunus_persica/p.persica_gdr_reftransV1_0007093","p.persica_gdr_reftransV1_0007093")</f>
        <v>p.persica_gdr_reftransV1_0007093</v>
      </c>
      <c r="B22253" s="2">
        <v>501</v>
      </c>
      <c r="C22253" s="4" t="str">
        <f>HYPERLINK("http://www.uniprot.org/uniprot/M5W2Y4","M5W2Y4")</f>
        <v>M5W2Y4</v>
      </c>
      <c r="D22253" s="2" t="s">
        <v>16467</v>
      </c>
      <c r="E22253" s="3">
        <v>5.9899999999999998E-90</v>
      </c>
      <c r="F22253" s="2">
        <v>706</v>
      </c>
      <c r="G22253" s="2">
        <v>99</v>
      </c>
      <c r="H22253" s="2">
        <v>135</v>
      </c>
      <c r="I22253" s="2">
        <v>1</v>
      </c>
      <c r="J22253" s="2">
        <v>405</v>
      </c>
      <c r="K22253" s="2">
        <v>3</v>
      </c>
      <c r="L22253" s="2">
        <v>137</v>
      </c>
    </row>
    <row r="22254" spans="1:12" x14ac:dyDescent="0.25">
      <c r="A22254" s="4" t="str">
        <f>HYPERLINK("http://www.rosaceae.org/Prunus/Prunus_persica/p.persica_gdr_reftransV1_0007443","p.persica_gdr_reftransV1_0007443")</f>
        <v>p.persica_gdr_reftransV1_0007443</v>
      </c>
      <c r="B22254" s="2">
        <v>1177</v>
      </c>
      <c r="C22254" s="4" t="str">
        <f>HYPERLINK("http://www.uniprot.org/uniprot/M5XE44","M5XE44")</f>
        <v>M5XE44</v>
      </c>
      <c r="D22254" s="2" t="s">
        <v>16468</v>
      </c>
      <c r="E22254" s="3">
        <v>7.4599999999999998E-146</v>
      </c>
      <c r="F22254" s="2">
        <v>1100</v>
      </c>
      <c r="G22254" s="2">
        <v>100</v>
      </c>
      <c r="H22254" s="2">
        <v>278</v>
      </c>
      <c r="I22254" s="2">
        <v>342</v>
      </c>
      <c r="J22254" s="2">
        <v>1175</v>
      </c>
      <c r="K22254" s="2">
        <v>25</v>
      </c>
      <c r="L22254" s="2">
        <v>302</v>
      </c>
    </row>
    <row r="22255" spans="1:12" x14ac:dyDescent="0.25">
      <c r="A22255" s="4" t="str">
        <f>HYPERLINK("http://www.rosaceae.org/Prunus/Prunus_persica/p.persica_gdr_reftransV1_0007793","p.persica_gdr_reftransV1_0007793")</f>
        <v>p.persica_gdr_reftransV1_0007793</v>
      </c>
      <c r="B22255" s="2">
        <v>434</v>
      </c>
      <c r="C22255" s="4" t="str">
        <f>HYPERLINK("http://www.uniprot.org/uniprot/A6XN06","A6XN06")</f>
        <v>A6XN06</v>
      </c>
      <c r="D22255" s="2" t="s">
        <v>2264</v>
      </c>
      <c r="E22255" s="3">
        <v>4.4099999999999999E-30</v>
      </c>
      <c r="F22255" s="2">
        <v>301</v>
      </c>
      <c r="G22255" s="2">
        <v>66</v>
      </c>
      <c r="H22255" s="2">
        <v>102</v>
      </c>
      <c r="I22255" s="2">
        <v>16</v>
      </c>
      <c r="J22255" s="2">
        <v>321</v>
      </c>
      <c r="K22255" s="2">
        <v>98</v>
      </c>
      <c r="L22255" s="2">
        <v>199</v>
      </c>
    </row>
    <row r="22256" spans="1:12" x14ac:dyDescent="0.25">
      <c r="A22256" s="4" t="str">
        <f>HYPERLINK("http://www.rosaceae.org/Prunus/Prunus_persica/p.persica_gdr_reftransV1_0008143","p.persica_gdr_reftransV1_0008143")</f>
        <v>p.persica_gdr_reftransV1_0008143</v>
      </c>
      <c r="B22256" s="2">
        <v>1658</v>
      </c>
      <c r="C22256" s="4" t="str">
        <f>HYPERLINK("http://www.uniprot.org/uniprot/M5XLQ4","M5XLQ4")</f>
        <v>M5XLQ4</v>
      </c>
      <c r="D22256" s="2" t="s">
        <v>16469</v>
      </c>
      <c r="E22256" s="3">
        <v>0</v>
      </c>
      <c r="F22256" s="2">
        <v>1550</v>
      </c>
      <c r="G22256" s="2">
        <v>100</v>
      </c>
      <c r="H22256" s="2">
        <v>290</v>
      </c>
      <c r="I22256" s="2">
        <v>431</v>
      </c>
      <c r="J22256" s="2">
        <v>1300</v>
      </c>
      <c r="K22256" s="2">
        <v>1</v>
      </c>
      <c r="L22256" s="2">
        <v>290</v>
      </c>
    </row>
    <row r="22257" spans="1:12" x14ac:dyDescent="0.25">
      <c r="A22257" s="4" t="str">
        <f>HYPERLINK("http://www.rosaceae.org/Prunus/Prunus_persica/p.persica_gdr_reftransV1_0008493","p.persica_gdr_reftransV1_0008493")</f>
        <v>p.persica_gdr_reftransV1_0008493</v>
      </c>
      <c r="B22257" s="2">
        <v>1056</v>
      </c>
      <c r="C22257" s="4" t="str">
        <f>HYPERLINK("http://www.uniprot.org/uniprot/M5XMF8","M5XMF8")</f>
        <v>M5XMF8</v>
      </c>
      <c r="D22257" s="2" t="s">
        <v>16470</v>
      </c>
      <c r="E22257" s="3">
        <v>9.0099999999999995E-116</v>
      </c>
      <c r="F22257" s="2">
        <v>886</v>
      </c>
      <c r="G22257" s="2">
        <v>100</v>
      </c>
      <c r="H22257" s="2">
        <v>190</v>
      </c>
      <c r="I22257" s="2">
        <v>384</v>
      </c>
      <c r="J22257" s="2">
        <v>953</v>
      </c>
      <c r="K22257" s="2">
        <v>1</v>
      </c>
      <c r="L22257" s="2">
        <v>190</v>
      </c>
    </row>
    <row r="22258" spans="1:12" x14ac:dyDescent="0.25">
      <c r="A22258" s="4" t="str">
        <f>HYPERLINK("http://www.rosaceae.org/Prunus/Prunus_persica/p.persica_gdr_reftransV1_0008843","p.persica_gdr_reftransV1_0008843")</f>
        <v>p.persica_gdr_reftransV1_0008843</v>
      </c>
      <c r="B22258" s="2">
        <v>1183</v>
      </c>
      <c r="C22258" s="4" t="str">
        <f>HYPERLINK("http://www.uniprot.org/uniprot/M5X6Z5","M5X6Z5")</f>
        <v>M5X6Z5</v>
      </c>
      <c r="D22258" s="2" t="s">
        <v>5393</v>
      </c>
      <c r="E22258" s="3">
        <v>7.2599999999999997E-177</v>
      </c>
      <c r="F22258" s="2">
        <v>1351</v>
      </c>
      <c r="G22258" s="2">
        <v>100</v>
      </c>
      <c r="H22258" s="2">
        <v>251</v>
      </c>
      <c r="I22258" s="2">
        <v>431</v>
      </c>
      <c r="J22258" s="2">
        <v>1183</v>
      </c>
      <c r="K22258" s="2">
        <v>534</v>
      </c>
      <c r="L22258" s="2">
        <v>784</v>
      </c>
    </row>
    <row r="22259" spans="1:12" x14ac:dyDescent="0.25">
      <c r="A22259" s="4" t="str">
        <f>HYPERLINK("http://www.rosaceae.org/Prunus/Prunus_persica/p.persica_gdr_reftransV1_0009543","p.persica_gdr_reftransV1_0009543")</f>
        <v>p.persica_gdr_reftransV1_0009543</v>
      </c>
      <c r="B22259" s="2">
        <v>463</v>
      </c>
      <c r="C22259" s="4" t="str">
        <f>HYPERLINK("http://www.uniprot.org/uniprot/M5WCZ9","M5WCZ9")</f>
        <v>M5WCZ9</v>
      </c>
      <c r="D22259" s="2" t="s">
        <v>3156</v>
      </c>
      <c r="E22259" s="3">
        <v>1.81E-65</v>
      </c>
      <c r="F22259" s="2">
        <v>573</v>
      </c>
      <c r="G22259" s="2">
        <v>88</v>
      </c>
      <c r="H22259" s="2">
        <v>153</v>
      </c>
      <c r="I22259" s="2">
        <v>2</v>
      </c>
      <c r="J22259" s="2">
        <v>460</v>
      </c>
      <c r="K22259" s="2">
        <v>307</v>
      </c>
      <c r="L22259" s="2">
        <v>459</v>
      </c>
    </row>
    <row r="22260" spans="1:12" x14ac:dyDescent="0.25">
      <c r="A22260" s="4" t="str">
        <f>HYPERLINK("http://www.rosaceae.org/Prunus/Prunus_persica/p.persica_gdr_reftransV1_0012343","p.persica_gdr_reftransV1_0012343")</f>
        <v>p.persica_gdr_reftransV1_0012343</v>
      </c>
      <c r="B22260" s="2">
        <v>2596</v>
      </c>
      <c r="C22260" s="4" t="str">
        <f>HYPERLINK("http://www.uniprot.org/uniprot/M5WHU5","M5WHU5")</f>
        <v>M5WHU5</v>
      </c>
      <c r="D22260" s="2" t="s">
        <v>16471</v>
      </c>
      <c r="E22260" s="3">
        <v>6.3399999999999998E-58</v>
      </c>
      <c r="F22260" s="2">
        <v>526</v>
      </c>
      <c r="G22260" s="2">
        <v>100</v>
      </c>
      <c r="H22260" s="2">
        <v>100</v>
      </c>
      <c r="I22260" s="2">
        <v>2055</v>
      </c>
      <c r="J22260" s="2">
        <v>2354</v>
      </c>
      <c r="K22260" s="2">
        <v>1</v>
      </c>
      <c r="L22260" s="2">
        <v>100</v>
      </c>
    </row>
    <row r="22261" spans="1:12" x14ac:dyDescent="0.25">
      <c r="A22261" s="4" t="str">
        <f>HYPERLINK("http://www.rosaceae.org/Prunus/Prunus_persica/p.persica_gdr_reftransV1_0013393","p.persica_gdr_reftransV1_0013393")</f>
        <v>p.persica_gdr_reftransV1_0013393</v>
      </c>
      <c r="B22261" s="2">
        <v>1618</v>
      </c>
      <c r="C22261" s="4" t="str">
        <f>HYPERLINK("http://www.uniprot.org/uniprot/M5XZR0","M5XZR0")</f>
        <v>M5XZR0</v>
      </c>
      <c r="D22261" s="2" t="s">
        <v>8866</v>
      </c>
      <c r="E22261" s="3">
        <v>8.2699999999999997E-94</v>
      </c>
      <c r="F22261" s="2">
        <v>754</v>
      </c>
      <c r="G22261" s="2">
        <v>100</v>
      </c>
      <c r="H22261" s="2">
        <v>164</v>
      </c>
      <c r="I22261" s="2">
        <v>709</v>
      </c>
      <c r="J22261" s="2">
        <v>1200</v>
      </c>
      <c r="K22261" s="2">
        <v>1</v>
      </c>
      <c r="L22261" s="2">
        <v>164</v>
      </c>
    </row>
    <row r="22262" spans="1:12" x14ac:dyDescent="0.25">
      <c r="A22262" s="4" t="str">
        <f>HYPERLINK("http://www.rosaceae.org/Prunus/Prunus_persica/p.persica_gdr_reftransV1_0013743","p.persica_gdr_reftransV1_0013743")</f>
        <v>p.persica_gdr_reftransV1_0013743</v>
      </c>
      <c r="B22262" s="2">
        <v>4944</v>
      </c>
      <c r="C22262" s="4" t="str">
        <f>HYPERLINK("http://www.uniprot.org/uniprot/M5XY08","M5XY08")</f>
        <v>M5XY08</v>
      </c>
      <c r="D22262" s="2" t="s">
        <v>2806</v>
      </c>
      <c r="E22262" s="3">
        <v>0</v>
      </c>
      <c r="F22262" s="2">
        <v>7561</v>
      </c>
      <c r="G22262" s="2">
        <v>100</v>
      </c>
      <c r="H22262" s="2">
        <v>1433</v>
      </c>
      <c r="I22262" s="2">
        <v>611</v>
      </c>
      <c r="J22262" s="2">
        <v>4909</v>
      </c>
      <c r="K22262" s="2">
        <v>1</v>
      </c>
      <c r="L22262" s="2">
        <v>1426</v>
      </c>
    </row>
    <row r="22263" spans="1:12" x14ac:dyDescent="0.25">
      <c r="A22263" s="4" t="str">
        <f>HYPERLINK("http://www.rosaceae.org/Prunus/Prunus_persica/p.persica_gdr_reftransV1_0014443","p.persica_gdr_reftransV1_0014443")</f>
        <v>p.persica_gdr_reftransV1_0014443</v>
      </c>
      <c r="B22263" s="2">
        <v>946</v>
      </c>
      <c r="C22263" s="4" t="str">
        <f>HYPERLINK("http://www.uniprot.org/uniprot/M5WMU3","M5WMU3")</f>
        <v>M5WMU3</v>
      </c>
      <c r="D22263" s="2" t="s">
        <v>16472</v>
      </c>
      <c r="E22263" s="3">
        <v>3.26E-134</v>
      </c>
      <c r="F22263" s="2">
        <v>1006</v>
      </c>
      <c r="G22263" s="2">
        <v>100</v>
      </c>
      <c r="H22263" s="2">
        <v>202</v>
      </c>
      <c r="I22263" s="2">
        <v>239</v>
      </c>
      <c r="J22263" s="2">
        <v>844</v>
      </c>
      <c r="K22263" s="2">
        <v>1</v>
      </c>
      <c r="L22263" s="2">
        <v>202</v>
      </c>
    </row>
    <row r="22264" spans="1:12" x14ac:dyDescent="0.25">
      <c r="A22264" s="4" t="str">
        <f>HYPERLINK("http://www.rosaceae.org/Prunus/Prunus_persica/p.persica_gdr_reftransV1_0015143","p.persica_gdr_reftransV1_0015143")</f>
        <v>p.persica_gdr_reftransV1_0015143</v>
      </c>
      <c r="B22264" s="2">
        <v>854</v>
      </c>
      <c r="C22264" s="4" t="str">
        <f>HYPERLINK("http://www.uniprot.org/uniprot/M5XL25","M5XL25")</f>
        <v>M5XL25</v>
      </c>
      <c r="D22264" s="2" t="s">
        <v>16473</v>
      </c>
      <c r="E22264" s="3">
        <v>2.1499999999999999E-89</v>
      </c>
      <c r="F22264" s="2">
        <v>701</v>
      </c>
      <c r="G22264" s="2">
        <v>100</v>
      </c>
      <c r="H22264" s="2">
        <v>154</v>
      </c>
      <c r="I22264" s="2">
        <v>222</v>
      </c>
      <c r="J22264" s="2">
        <v>683</v>
      </c>
      <c r="K22264" s="2">
        <v>1</v>
      </c>
      <c r="L22264" s="2">
        <v>154</v>
      </c>
    </row>
    <row r="22265" spans="1:12" x14ac:dyDescent="0.25">
      <c r="A22265" s="4" t="str">
        <f>HYPERLINK("http://www.rosaceae.org/Prunus/Prunus_persica/p.persica_gdr_reftransV1_0017243","p.persica_gdr_reftransV1_0017243")</f>
        <v>p.persica_gdr_reftransV1_0017243</v>
      </c>
      <c r="B22265" s="2">
        <v>1415</v>
      </c>
      <c r="C22265" s="4" t="str">
        <f>HYPERLINK("http://www.uniprot.org/uniprot/M5WSY7","M5WSY7")</f>
        <v>M5WSY7</v>
      </c>
      <c r="D22265" s="2" t="s">
        <v>16474</v>
      </c>
      <c r="E22265" s="3">
        <v>0</v>
      </c>
      <c r="F22265" s="2">
        <v>1918</v>
      </c>
      <c r="G22265" s="2">
        <v>100</v>
      </c>
      <c r="H22265" s="2">
        <v>355</v>
      </c>
      <c r="I22265" s="2">
        <v>260</v>
      </c>
      <c r="J22265" s="2">
        <v>1324</v>
      </c>
      <c r="K22265" s="2">
        <v>1</v>
      </c>
      <c r="L22265" s="2">
        <v>355</v>
      </c>
    </row>
    <row r="22266" spans="1:12" x14ac:dyDescent="0.25">
      <c r="A22266" s="4" t="str">
        <f>HYPERLINK("http://www.rosaceae.org/Prunus/Prunus_persica/p.persica_gdr_reftransV1_0017593","p.persica_gdr_reftransV1_0017593")</f>
        <v>p.persica_gdr_reftransV1_0017593</v>
      </c>
      <c r="B22266" s="2">
        <v>993</v>
      </c>
      <c r="C22266" s="4" t="str">
        <f>HYPERLINK("http://www.uniprot.org/uniprot/M5W7A9","M5W7A9")</f>
        <v>M5W7A9</v>
      </c>
      <c r="D22266" s="2" t="s">
        <v>16475</v>
      </c>
      <c r="E22266" s="3">
        <v>0</v>
      </c>
      <c r="F22266" s="2">
        <v>1680</v>
      </c>
      <c r="G22266" s="2">
        <v>100</v>
      </c>
      <c r="H22266" s="2">
        <v>320</v>
      </c>
      <c r="I22266" s="2">
        <v>33</v>
      </c>
      <c r="J22266" s="2">
        <v>992</v>
      </c>
      <c r="K22266" s="2">
        <v>1</v>
      </c>
      <c r="L22266" s="2">
        <v>320</v>
      </c>
    </row>
    <row r="22267" spans="1:12" x14ac:dyDescent="0.25">
      <c r="A22267" s="4" t="str">
        <f>HYPERLINK("http://www.rosaceae.org/Prunus/Prunus_persica/p.persica_gdr_reftransV1_0020043","p.persica_gdr_reftransV1_0020043")</f>
        <v>p.persica_gdr_reftransV1_0020043</v>
      </c>
      <c r="B22267" s="2">
        <v>475</v>
      </c>
      <c r="C22267" s="4" t="str">
        <f>HYPERLINK("http://www.uniprot.org/uniprot/M5WDP8","M5WDP8")</f>
        <v>M5WDP8</v>
      </c>
      <c r="D22267" s="2" t="s">
        <v>16476</v>
      </c>
      <c r="E22267" s="3">
        <v>1.6499999999999999E-105</v>
      </c>
      <c r="F22267" s="2">
        <v>830</v>
      </c>
      <c r="G22267" s="2">
        <v>100</v>
      </c>
      <c r="H22267" s="2">
        <v>158</v>
      </c>
      <c r="I22267" s="2">
        <v>1</v>
      </c>
      <c r="J22267" s="2">
        <v>474</v>
      </c>
      <c r="K22267" s="2">
        <v>400</v>
      </c>
      <c r="L22267" s="2">
        <v>557</v>
      </c>
    </row>
    <row r="22268" spans="1:12" x14ac:dyDescent="0.25">
      <c r="A22268" s="4" t="str">
        <f>HYPERLINK("http://www.rosaceae.org/Prunus/Prunus_persica/p.persica_gdr_reftransV1_0022843","p.persica_gdr_reftransV1_0022843")</f>
        <v>p.persica_gdr_reftransV1_0022843</v>
      </c>
      <c r="B22268" s="2">
        <v>3248</v>
      </c>
      <c r="C22268" s="4" t="str">
        <f>HYPERLINK("http://www.uniprot.org/uniprot/M5VIQ1","M5VIQ1")</f>
        <v>M5VIQ1</v>
      </c>
      <c r="D22268" s="2" t="s">
        <v>16477</v>
      </c>
      <c r="E22268" s="3">
        <v>0</v>
      </c>
      <c r="F22268" s="2">
        <v>3056</v>
      </c>
      <c r="G22268" s="2">
        <v>92</v>
      </c>
      <c r="H22268" s="2">
        <v>733</v>
      </c>
      <c r="I22268" s="2">
        <v>510</v>
      </c>
      <c r="J22268" s="2">
        <v>2708</v>
      </c>
      <c r="K22268" s="2">
        <v>1</v>
      </c>
      <c r="L22268" s="2">
        <v>677</v>
      </c>
    </row>
    <row r="22269" spans="1:12" x14ac:dyDescent="0.25">
      <c r="A22269" s="4" t="str">
        <f>HYPERLINK("http://www.rosaceae.org/Prunus/Prunus_persica/p.persica_gdr_reftransV1_0023193","p.persica_gdr_reftransV1_0023193")</f>
        <v>p.persica_gdr_reftransV1_0023193</v>
      </c>
      <c r="B22269" s="2">
        <v>1479</v>
      </c>
      <c r="C22269" s="4" t="str">
        <f>HYPERLINK("http://www.uniprot.org/uniprot/M5XBZ9","M5XBZ9")</f>
        <v>M5XBZ9</v>
      </c>
      <c r="D22269" s="2" t="s">
        <v>204</v>
      </c>
      <c r="E22269" s="3">
        <v>0</v>
      </c>
      <c r="F22269" s="2">
        <v>2133</v>
      </c>
      <c r="G22269" s="2">
        <v>100</v>
      </c>
      <c r="H22269" s="2">
        <v>431</v>
      </c>
      <c r="I22269" s="2">
        <v>68</v>
      </c>
      <c r="J22269" s="2">
        <v>1360</v>
      </c>
      <c r="K22269" s="2">
        <v>1</v>
      </c>
      <c r="L22269" s="2">
        <v>431</v>
      </c>
    </row>
    <row r="22270" spans="1:12" x14ac:dyDescent="0.25">
      <c r="A22270" s="4" t="str">
        <f>HYPERLINK("http://www.rosaceae.org/Prunus/Prunus_persica/p.persica_gdr_reftransV1_0023543","p.persica_gdr_reftransV1_0023543")</f>
        <v>p.persica_gdr_reftransV1_0023543</v>
      </c>
      <c r="B22270" s="2">
        <v>1045</v>
      </c>
      <c r="C22270" s="4" t="str">
        <f>HYPERLINK("http://www.uniprot.org/uniprot/M5X5Z6","M5X5Z6")</f>
        <v>M5X5Z6</v>
      </c>
      <c r="D22270" s="2" t="s">
        <v>16478</v>
      </c>
      <c r="E22270" s="3">
        <v>9.1900000000000004E-100</v>
      </c>
      <c r="F22270" s="2">
        <v>779</v>
      </c>
      <c r="G22270" s="2">
        <v>100</v>
      </c>
      <c r="H22270" s="2">
        <v>169</v>
      </c>
      <c r="I22270" s="2">
        <v>468</v>
      </c>
      <c r="J22270" s="2">
        <v>974</v>
      </c>
      <c r="K22270" s="2">
        <v>1</v>
      </c>
      <c r="L22270" s="2">
        <v>169</v>
      </c>
    </row>
    <row r="22271" spans="1:12" x14ac:dyDescent="0.25">
      <c r="A22271" s="4" t="str">
        <f>HYPERLINK("http://www.rosaceae.org/Prunus/Prunus_persica/p.persica_gdr_reftransV1_0024243","p.persica_gdr_reftransV1_0024243")</f>
        <v>p.persica_gdr_reftransV1_0024243</v>
      </c>
      <c r="B22271" s="2">
        <v>2575</v>
      </c>
      <c r="C22271" s="4" t="str">
        <f>HYPERLINK("http://www.uniprot.org/uniprot/M5WK68","M5WK68")</f>
        <v>M5WK68</v>
      </c>
      <c r="D22271" s="2" t="s">
        <v>5538</v>
      </c>
      <c r="E22271" s="3">
        <v>0</v>
      </c>
      <c r="F22271" s="2">
        <v>2603</v>
      </c>
      <c r="G22271" s="2">
        <v>95</v>
      </c>
      <c r="H22271" s="2">
        <v>530</v>
      </c>
      <c r="I22271" s="2">
        <v>1005</v>
      </c>
      <c r="J22271" s="2">
        <v>2573</v>
      </c>
      <c r="K22271" s="2">
        <v>61</v>
      </c>
      <c r="L22271" s="2">
        <v>578</v>
      </c>
    </row>
    <row r="22272" spans="1:12" x14ac:dyDescent="0.25">
      <c r="A22272" s="4" t="str">
        <f>HYPERLINK("http://www.rosaceae.org/Prunus/Prunus_persica/p.persica_gdr_reftransV1_0025993","p.persica_gdr_reftransV1_0025993")</f>
        <v>p.persica_gdr_reftransV1_0025993</v>
      </c>
      <c r="B22272" s="2">
        <v>2684</v>
      </c>
      <c r="C22272" s="4" t="str">
        <f>HYPERLINK("http://www.uniprot.org/uniprot/M5W1Q6","M5W1Q6")</f>
        <v>M5W1Q6</v>
      </c>
      <c r="D22272" s="2" t="s">
        <v>16008</v>
      </c>
      <c r="E22272" s="3">
        <v>0</v>
      </c>
      <c r="F22272" s="2">
        <v>4305</v>
      </c>
      <c r="G22272" s="2">
        <v>100</v>
      </c>
      <c r="H22272" s="2">
        <v>820</v>
      </c>
      <c r="I22272" s="2">
        <v>224</v>
      </c>
      <c r="J22272" s="2">
        <v>2683</v>
      </c>
      <c r="K22272" s="2">
        <v>1</v>
      </c>
      <c r="L22272" s="2">
        <v>819</v>
      </c>
    </row>
    <row r="22273" spans="1:12" x14ac:dyDescent="0.25">
      <c r="A22273" s="4" t="str">
        <f>HYPERLINK("http://www.rosaceae.org/Prunus/Prunus_persica/p.persica_gdr_reftransV1_0026343","p.persica_gdr_reftransV1_0026343")</f>
        <v>p.persica_gdr_reftransV1_0026343</v>
      </c>
      <c r="B22273" s="2">
        <v>1710</v>
      </c>
      <c r="C22273" s="4" t="str">
        <f>HYPERLINK("http://www.uniprot.org/uniprot/M5XJG9","M5XJG9")</f>
        <v>M5XJG9</v>
      </c>
      <c r="D22273" s="2" t="s">
        <v>5038</v>
      </c>
      <c r="E22273" s="3">
        <v>0</v>
      </c>
      <c r="F22273" s="2">
        <v>2395</v>
      </c>
      <c r="G22273" s="2">
        <v>99</v>
      </c>
      <c r="H22273" s="2">
        <v>449</v>
      </c>
      <c r="I22273" s="2">
        <v>56</v>
      </c>
      <c r="J22273" s="2">
        <v>1402</v>
      </c>
      <c r="K22273" s="2">
        <v>1</v>
      </c>
      <c r="L22273" s="2">
        <v>449</v>
      </c>
    </row>
    <row r="22274" spans="1:12" x14ac:dyDescent="0.25">
      <c r="A22274" s="4" t="str">
        <f>HYPERLINK("http://www.rosaceae.org/Prunus/Prunus_persica/p.persica_gdr_reftransV1_0027043","p.persica_gdr_reftransV1_0027043")</f>
        <v>p.persica_gdr_reftransV1_0027043</v>
      </c>
      <c r="B22274" s="2">
        <v>4913</v>
      </c>
      <c r="C22274" s="4" t="str">
        <f>HYPERLINK("http://www.uniprot.org/uniprot/M5XXR0","M5XXR0")</f>
        <v>M5XXR0</v>
      </c>
      <c r="D22274" s="2" t="s">
        <v>16479</v>
      </c>
      <c r="E22274" s="3">
        <v>0</v>
      </c>
      <c r="F22274" s="2">
        <v>4646</v>
      </c>
      <c r="G22274" s="2">
        <v>100</v>
      </c>
      <c r="H22274" s="2">
        <v>923</v>
      </c>
      <c r="I22274" s="2">
        <v>1931</v>
      </c>
      <c r="J22274" s="2">
        <v>4699</v>
      </c>
      <c r="K22274" s="2">
        <v>1</v>
      </c>
      <c r="L22274" s="2">
        <v>923</v>
      </c>
    </row>
    <row r="22275" spans="1:12" x14ac:dyDescent="0.25">
      <c r="A22275" s="4" t="str">
        <f>HYPERLINK("http://www.rosaceae.org/Prunus/Prunus_persica/p.persica_gdr_reftransV1_0028093","p.persica_gdr_reftransV1_0028093")</f>
        <v>p.persica_gdr_reftransV1_0028093</v>
      </c>
      <c r="B22275" s="2">
        <v>1172</v>
      </c>
      <c r="C22275" s="4" t="str">
        <f>HYPERLINK("http://www.uniprot.org/uniprot/M5X494","M5X494")</f>
        <v>M5X494</v>
      </c>
      <c r="D22275" s="2" t="s">
        <v>16480</v>
      </c>
      <c r="E22275" s="3">
        <v>4.5800000000000003E-105</v>
      </c>
      <c r="F22275" s="2">
        <v>817</v>
      </c>
      <c r="G22275" s="2">
        <v>100</v>
      </c>
      <c r="H22275" s="2">
        <v>171</v>
      </c>
      <c r="I22275" s="2">
        <v>508</v>
      </c>
      <c r="J22275" s="2">
        <v>1020</v>
      </c>
      <c r="K22275" s="2">
        <v>1</v>
      </c>
      <c r="L22275" s="2">
        <v>171</v>
      </c>
    </row>
    <row r="22276" spans="1:12" x14ac:dyDescent="0.25">
      <c r="A22276" s="4" t="str">
        <f>HYPERLINK("http://www.rosaceae.org/Prunus/Prunus_persica/p.persica_gdr_reftransV1_0028793","p.persica_gdr_reftransV1_0028793")</f>
        <v>p.persica_gdr_reftransV1_0028793</v>
      </c>
      <c r="B22276" s="2">
        <v>4042</v>
      </c>
      <c r="C22276" s="4" t="str">
        <f>HYPERLINK("http://www.uniprot.org/uniprot/M5VQF5","M5VQF5")</f>
        <v>M5VQF5</v>
      </c>
      <c r="D22276" s="2" t="s">
        <v>4118</v>
      </c>
      <c r="E22276" s="3">
        <v>2.06E-150</v>
      </c>
      <c r="F22276" s="2">
        <v>1223</v>
      </c>
      <c r="G22276" s="2">
        <v>100</v>
      </c>
      <c r="H22276" s="2">
        <v>230</v>
      </c>
      <c r="I22276" s="2">
        <v>3180</v>
      </c>
      <c r="J22276" s="2">
        <v>3869</v>
      </c>
      <c r="K22276" s="2">
        <v>17</v>
      </c>
      <c r="L22276" s="2">
        <v>246</v>
      </c>
    </row>
    <row r="22277" spans="1:12" x14ac:dyDescent="0.25">
      <c r="A22277" s="4" t="str">
        <f>HYPERLINK("http://www.rosaceae.org/Prunus/Prunus_persica/p.persica_gdr_reftransV1_0029143","p.persica_gdr_reftransV1_0029143")</f>
        <v>p.persica_gdr_reftransV1_0029143</v>
      </c>
      <c r="B22277" s="2">
        <v>1769</v>
      </c>
      <c r="C22277" s="4" t="str">
        <f>HYPERLINK("http://www.uniprot.org/uniprot/M5VXJ9","M5VXJ9")</f>
        <v>M5VXJ9</v>
      </c>
      <c r="D22277" s="2" t="s">
        <v>13895</v>
      </c>
      <c r="E22277" s="3">
        <v>0</v>
      </c>
      <c r="F22277" s="2">
        <v>2735</v>
      </c>
      <c r="G22277" s="2">
        <v>97</v>
      </c>
      <c r="H22277" s="2">
        <v>570</v>
      </c>
      <c r="I22277" s="2">
        <v>3</v>
      </c>
      <c r="J22277" s="2">
        <v>1712</v>
      </c>
      <c r="K22277" s="2">
        <v>1</v>
      </c>
      <c r="L22277" s="2">
        <v>552</v>
      </c>
    </row>
    <row r="22278" spans="1:12" x14ac:dyDescent="0.25">
      <c r="A22278" s="4" t="str">
        <f>HYPERLINK("http://www.rosaceae.org/Prunus/Prunus_persica/p.persica_gdr_reftransV1_0030543","p.persica_gdr_reftransV1_0030543")</f>
        <v>p.persica_gdr_reftransV1_0030543</v>
      </c>
      <c r="B22278" s="2">
        <v>2942</v>
      </c>
      <c r="C22278" s="4" t="str">
        <f>HYPERLINK("http://www.uniprot.org/uniprot/M5Y3X3","M5Y3X3")</f>
        <v>M5Y3X3</v>
      </c>
      <c r="D22278" s="2" t="s">
        <v>16481</v>
      </c>
      <c r="E22278" s="3">
        <v>0</v>
      </c>
      <c r="F22278" s="2">
        <v>4190</v>
      </c>
      <c r="G22278" s="2">
        <v>97</v>
      </c>
      <c r="H22278" s="2">
        <v>848</v>
      </c>
      <c r="I22278" s="2">
        <v>282</v>
      </c>
      <c r="J22278" s="2">
        <v>2825</v>
      </c>
      <c r="K22278" s="2">
        <v>1</v>
      </c>
      <c r="L22278" s="2">
        <v>822</v>
      </c>
    </row>
    <row r="22279" spans="1:12" x14ac:dyDescent="0.25">
      <c r="A22279" s="4" t="str">
        <f>HYPERLINK("http://www.rosaceae.org/Prunus/Prunus_persica/p.persica_gdr_reftransV1_0030893","p.persica_gdr_reftransV1_0030893")</f>
        <v>p.persica_gdr_reftransV1_0030893</v>
      </c>
      <c r="B22279" s="2">
        <v>2588</v>
      </c>
      <c r="C22279" s="4" t="str">
        <f>HYPERLINK("http://www.uniprot.org/uniprot/M5WSA3","M5WSA3")</f>
        <v>M5WSA3</v>
      </c>
      <c r="D22279" s="2" t="s">
        <v>16482</v>
      </c>
      <c r="E22279" s="3">
        <v>0</v>
      </c>
      <c r="F22279" s="2">
        <v>1414</v>
      </c>
      <c r="G22279" s="2">
        <v>100</v>
      </c>
      <c r="H22279" s="2">
        <v>296</v>
      </c>
      <c r="I22279" s="2">
        <v>51</v>
      </c>
      <c r="J22279" s="2">
        <v>938</v>
      </c>
      <c r="K22279" s="2">
        <v>1</v>
      </c>
      <c r="L22279" s="2">
        <v>296</v>
      </c>
    </row>
    <row r="22280" spans="1:12" x14ac:dyDescent="0.25">
      <c r="A22280" s="4" t="str">
        <f>HYPERLINK("http://www.rosaceae.org/Prunus/Prunus_persica/p.persica_gdr_reftransV1_0032293","p.persica_gdr_reftransV1_0032293")</f>
        <v>p.persica_gdr_reftransV1_0032293</v>
      </c>
      <c r="B22280" s="2">
        <v>2520</v>
      </c>
      <c r="C22280" s="4" t="str">
        <f>HYPERLINK("http://www.uniprot.org/uniprot/M5XEC2","M5XEC2")</f>
        <v>M5XEC2</v>
      </c>
      <c r="D22280" s="2" t="s">
        <v>16483</v>
      </c>
      <c r="E22280" s="3">
        <v>0</v>
      </c>
      <c r="F22280" s="2">
        <v>958</v>
      </c>
      <c r="G22280" s="2">
        <v>90</v>
      </c>
      <c r="H22280" s="2">
        <v>205</v>
      </c>
      <c r="I22280" s="2">
        <v>226</v>
      </c>
      <c r="J22280" s="2">
        <v>840</v>
      </c>
      <c r="K22280" s="2">
        <v>305</v>
      </c>
      <c r="L22280" s="2">
        <v>490</v>
      </c>
    </row>
    <row r="22281" spans="1:12" x14ac:dyDescent="0.25">
      <c r="A22281" s="4" t="str">
        <f>HYPERLINK("http://www.rosaceae.org/Prunus/Prunus_persica/p.persica_gdr_reftransV1_0032993","p.persica_gdr_reftransV1_0032993")</f>
        <v>p.persica_gdr_reftransV1_0032993</v>
      </c>
      <c r="B22281" s="2">
        <v>473</v>
      </c>
      <c r="C22281" s="4" t="str">
        <f>HYPERLINK("http://www.uniprot.org/uniprot/M5XGP8","M5XGP8")</f>
        <v>M5XGP8</v>
      </c>
      <c r="D22281" s="2" t="s">
        <v>5147</v>
      </c>
      <c r="E22281" s="3">
        <v>7.4700000000000002E-62</v>
      </c>
      <c r="F22281" s="2">
        <v>538</v>
      </c>
      <c r="G22281" s="2">
        <v>100</v>
      </c>
      <c r="H22281" s="2">
        <v>114</v>
      </c>
      <c r="I22281" s="2">
        <v>130</v>
      </c>
      <c r="J22281" s="2">
        <v>471</v>
      </c>
      <c r="K22281" s="2">
        <v>1</v>
      </c>
      <c r="L22281" s="2">
        <v>114</v>
      </c>
    </row>
    <row r="22282" spans="1:12" x14ac:dyDescent="0.25">
      <c r="A22282" s="4" t="str">
        <f>HYPERLINK("http://www.rosaceae.org/Prunus/Prunus_persica/p.persica_gdr_reftransV1_0034743","p.persica_gdr_reftransV1_0034743")</f>
        <v>p.persica_gdr_reftransV1_0034743</v>
      </c>
      <c r="B22282" s="2">
        <v>2554</v>
      </c>
      <c r="C22282" s="4" t="str">
        <f>HYPERLINK("http://www.uniprot.org/uniprot/M5WYZ7","M5WYZ7")</f>
        <v>M5WYZ7</v>
      </c>
      <c r="D22282" s="2" t="s">
        <v>16484</v>
      </c>
      <c r="E22282" s="3">
        <v>0</v>
      </c>
      <c r="F22282" s="2">
        <v>3294</v>
      </c>
      <c r="G22282" s="2">
        <v>100</v>
      </c>
      <c r="H22282" s="2">
        <v>670</v>
      </c>
      <c r="I22282" s="2">
        <v>202</v>
      </c>
      <c r="J22282" s="2">
        <v>2211</v>
      </c>
      <c r="K22282" s="2">
        <v>1</v>
      </c>
      <c r="L22282" s="2">
        <v>670</v>
      </c>
    </row>
    <row r="22283" spans="1:12" x14ac:dyDescent="0.25">
      <c r="A22283" s="4" t="str">
        <f>HYPERLINK("http://www.rosaceae.org/Prunus/Prunus_persica/p.persica_gdr_reftransV1_0035443","p.persica_gdr_reftransV1_0035443")</f>
        <v>p.persica_gdr_reftransV1_0035443</v>
      </c>
      <c r="B22283" s="2">
        <v>3478</v>
      </c>
      <c r="C22283" s="4" t="str">
        <f>HYPERLINK("http://www.uniprot.org/uniprot/M5WYR9","M5WYR9")</f>
        <v>M5WYR9</v>
      </c>
      <c r="D22283" s="2" t="s">
        <v>4446</v>
      </c>
      <c r="E22283" s="3">
        <v>2.7800000000000001E-61</v>
      </c>
      <c r="F22283" s="2">
        <v>537</v>
      </c>
      <c r="G22283" s="2">
        <v>99</v>
      </c>
      <c r="H22283" s="2">
        <v>99</v>
      </c>
      <c r="I22283" s="2">
        <v>3046</v>
      </c>
      <c r="J22283" s="2">
        <v>3342</v>
      </c>
      <c r="K22283" s="2">
        <v>1</v>
      </c>
      <c r="L22283" s="2">
        <v>99</v>
      </c>
    </row>
    <row r="22284" spans="1:12" x14ac:dyDescent="0.25">
      <c r="A22284" s="4" t="str">
        <f>HYPERLINK("http://www.rosaceae.org/Prunus/Prunus_persica/p.persica_gdr_reftransV1_0036843","p.persica_gdr_reftransV1_0036843")</f>
        <v>p.persica_gdr_reftransV1_0036843</v>
      </c>
      <c r="B22284" s="2">
        <v>1064</v>
      </c>
      <c r="C22284" s="4" t="str">
        <f>HYPERLINK("http://www.uniprot.org/uniprot/M5XC26","M5XC26")</f>
        <v>M5XC26</v>
      </c>
      <c r="D22284" s="2" t="s">
        <v>659</v>
      </c>
      <c r="E22284" s="3">
        <v>4.5699999999999997E-117</v>
      </c>
      <c r="F22284" s="2">
        <v>927</v>
      </c>
      <c r="G22284" s="2">
        <v>100</v>
      </c>
      <c r="H22284" s="2">
        <v>256</v>
      </c>
      <c r="I22284" s="2">
        <v>1</v>
      </c>
      <c r="J22284" s="2">
        <v>768</v>
      </c>
      <c r="K22284" s="2">
        <v>22</v>
      </c>
      <c r="L22284" s="2">
        <v>277</v>
      </c>
    </row>
    <row r="22285" spans="1:12" x14ac:dyDescent="0.25">
      <c r="A22285" s="4" t="str">
        <f>HYPERLINK("http://www.rosaceae.org/Prunus/Prunus_persica/p.persica_gdr_reftransV1_0037543","p.persica_gdr_reftransV1_0037543")</f>
        <v>p.persica_gdr_reftransV1_0037543</v>
      </c>
      <c r="B22285" s="2">
        <v>4587</v>
      </c>
      <c r="C22285" s="4" t="str">
        <f>HYPERLINK("http://www.uniprot.org/uniprot/M5WL61","M5WL61")</f>
        <v>M5WL61</v>
      </c>
      <c r="D22285" s="2" t="s">
        <v>16485</v>
      </c>
      <c r="E22285" s="3">
        <v>0</v>
      </c>
      <c r="F22285" s="2">
        <v>3916</v>
      </c>
      <c r="G22285" s="2">
        <v>100</v>
      </c>
      <c r="H22285" s="2">
        <v>825</v>
      </c>
      <c r="I22285" s="2">
        <v>1130</v>
      </c>
      <c r="J22285" s="2">
        <v>3604</v>
      </c>
      <c r="K22285" s="2">
        <v>1</v>
      </c>
      <c r="L22285" s="2">
        <v>823</v>
      </c>
    </row>
    <row r="22286" spans="1:12" x14ac:dyDescent="0.25">
      <c r="A22286" s="4" t="str">
        <f>HYPERLINK("http://www.rosaceae.org/Prunus/Prunus_persica/p.persica_gdr_reftransV1_0040693","p.persica_gdr_reftransV1_0040693")</f>
        <v>p.persica_gdr_reftransV1_0040693</v>
      </c>
      <c r="B22286" s="2">
        <v>1435</v>
      </c>
      <c r="C22286" s="4" t="str">
        <f>HYPERLINK("http://www.uniprot.org/uniprot/M5WZ72","M5WZ72")</f>
        <v>M5WZ72</v>
      </c>
      <c r="D22286" s="2" t="s">
        <v>9646</v>
      </c>
      <c r="E22286" s="3">
        <v>6.4100000000000003E-39</v>
      </c>
      <c r="F22286" s="2">
        <v>377</v>
      </c>
      <c r="G22286" s="2">
        <v>59</v>
      </c>
      <c r="H22286" s="2">
        <v>128</v>
      </c>
      <c r="I22286" s="2">
        <v>386</v>
      </c>
      <c r="J22286" s="2">
        <v>769</v>
      </c>
      <c r="K22286" s="2">
        <v>47</v>
      </c>
      <c r="L22286" s="2">
        <v>174</v>
      </c>
    </row>
    <row r="22287" spans="1:12" x14ac:dyDescent="0.25">
      <c r="A22287" s="4" t="str">
        <f>HYPERLINK("http://www.rosaceae.org/Prunus/Prunus_persica/p.persica_gdr_reftransV1_0041043","p.persica_gdr_reftransV1_0041043")</f>
        <v>p.persica_gdr_reftransV1_0041043</v>
      </c>
      <c r="B22287" s="2">
        <v>4347</v>
      </c>
      <c r="C22287" s="4" t="str">
        <f>HYPERLINK("http://www.uniprot.org/uniprot/M5WSY3","M5WSY3")</f>
        <v>M5WSY3</v>
      </c>
      <c r="D22287" s="2" t="s">
        <v>14140</v>
      </c>
      <c r="E22287" s="3">
        <v>0</v>
      </c>
      <c r="F22287" s="2">
        <v>3107</v>
      </c>
      <c r="G22287" s="2">
        <v>98</v>
      </c>
      <c r="H22287" s="2">
        <v>660</v>
      </c>
      <c r="I22287" s="2">
        <v>543</v>
      </c>
      <c r="J22287" s="2">
        <v>2522</v>
      </c>
      <c r="K22287" s="2">
        <v>27</v>
      </c>
      <c r="L22287" s="2">
        <v>676</v>
      </c>
    </row>
    <row r="22288" spans="1:12" x14ac:dyDescent="0.25">
      <c r="A22288" s="4" t="str">
        <f>HYPERLINK("http://www.rosaceae.org/Prunus/Prunus_persica/p.persica_gdr_reftransV1_0041393","p.persica_gdr_reftransV1_0041393")</f>
        <v>p.persica_gdr_reftransV1_0041393</v>
      </c>
      <c r="B22288" s="2">
        <v>3301</v>
      </c>
      <c r="C22288" s="4" t="str">
        <f>HYPERLINK("http://www.uniprot.org/uniprot/M5WF90","M5WF90")</f>
        <v>M5WF90</v>
      </c>
      <c r="D22288" s="2" t="s">
        <v>16486</v>
      </c>
      <c r="E22288" s="3">
        <v>2.1100000000000001E-89</v>
      </c>
      <c r="F22288" s="2">
        <v>768</v>
      </c>
      <c r="G22288" s="2">
        <v>97</v>
      </c>
      <c r="H22288" s="2">
        <v>151</v>
      </c>
      <c r="I22288" s="2">
        <v>1567</v>
      </c>
      <c r="J22288" s="2">
        <v>2019</v>
      </c>
      <c r="K22288" s="2">
        <v>140</v>
      </c>
      <c r="L22288" s="2">
        <v>289</v>
      </c>
    </row>
    <row r="22289" spans="1:12" x14ac:dyDescent="0.25">
      <c r="A22289" s="4" t="str">
        <f>HYPERLINK("http://www.rosaceae.org/Prunus/Prunus_persica/p.persica_gdr_reftransV1_0041743","p.persica_gdr_reftransV1_0041743")</f>
        <v>p.persica_gdr_reftransV1_0041743</v>
      </c>
      <c r="B22289" s="2">
        <v>3302</v>
      </c>
      <c r="C22289" s="4" t="str">
        <f>HYPERLINK("http://www.uniprot.org/uniprot/M5X2V7","M5X2V7")</f>
        <v>M5X2V7</v>
      </c>
      <c r="D22289" s="2" t="s">
        <v>8358</v>
      </c>
      <c r="E22289" s="3">
        <v>0</v>
      </c>
      <c r="F22289" s="2">
        <v>1823</v>
      </c>
      <c r="G22289" s="2">
        <v>99</v>
      </c>
      <c r="H22289" s="2">
        <v>375</v>
      </c>
      <c r="I22289" s="2">
        <v>1171</v>
      </c>
      <c r="J22289" s="2">
        <v>2295</v>
      </c>
      <c r="K22289" s="2">
        <v>142</v>
      </c>
      <c r="L22289" s="2">
        <v>516</v>
      </c>
    </row>
    <row r="22290" spans="1:12" x14ac:dyDescent="0.25">
      <c r="A22290" s="4" t="str">
        <f>HYPERLINK("http://www.rosaceae.org/Prunus/Prunus_persica/p.persica_gdr_reftransV1_0043493","p.persica_gdr_reftransV1_0043493")</f>
        <v>p.persica_gdr_reftransV1_0043493</v>
      </c>
      <c r="B22290" s="2">
        <v>1073</v>
      </c>
      <c r="C22290" s="4" t="str">
        <f>HYPERLINK("http://www.uniprot.org/uniprot/M5XSC3","M5XSC3")</f>
        <v>M5XSC3</v>
      </c>
      <c r="D22290" s="2" t="s">
        <v>1330</v>
      </c>
      <c r="E22290" s="3">
        <v>0</v>
      </c>
      <c r="F22290" s="2">
        <v>1526</v>
      </c>
      <c r="G22290" s="2">
        <v>94</v>
      </c>
      <c r="H22290" s="2">
        <v>300</v>
      </c>
      <c r="I22290" s="2">
        <v>173</v>
      </c>
      <c r="J22290" s="2">
        <v>1072</v>
      </c>
      <c r="K22290" s="2">
        <v>918</v>
      </c>
      <c r="L22290" s="2">
        <v>1201</v>
      </c>
    </row>
    <row r="22291" spans="1:12" x14ac:dyDescent="0.25">
      <c r="A22291" s="4" t="str">
        <f>HYPERLINK("http://www.rosaceae.org/Prunus/Prunus_persica/p.persica_gdr_reftransV1_0043843","p.persica_gdr_reftransV1_0043843")</f>
        <v>p.persica_gdr_reftransV1_0043843</v>
      </c>
      <c r="B22291" s="2">
        <v>1498</v>
      </c>
      <c r="C22291" s="4" t="str">
        <f>HYPERLINK("http://www.uniprot.org/uniprot/M5VZ91","M5VZ91")</f>
        <v>M5VZ91</v>
      </c>
      <c r="D22291" s="2" t="s">
        <v>11071</v>
      </c>
      <c r="E22291" s="3">
        <v>0</v>
      </c>
      <c r="F22291" s="2">
        <v>1606</v>
      </c>
      <c r="G22291" s="2">
        <v>99</v>
      </c>
      <c r="H22291" s="2">
        <v>311</v>
      </c>
      <c r="I22291" s="2">
        <v>334</v>
      </c>
      <c r="J22291" s="2">
        <v>1266</v>
      </c>
      <c r="K22291" s="2">
        <v>1</v>
      </c>
      <c r="L22291" s="2">
        <v>311</v>
      </c>
    </row>
    <row r="22292" spans="1:12" x14ac:dyDescent="0.25">
      <c r="A22292" s="4" t="str">
        <f>HYPERLINK("http://www.rosaceae.org/Prunus/Prunus_persica/p.persica_gdr_reftransV1_0044193","p.persica_gdr_reftransV1_0044193")</f>
        <v>p.persica_gdr_reftransV1_0044193</v>
      </c>
      <c r="B22292" s="2">
        <v>864</v>
      </c>
      <c r="C22292" s="4" t="str">
        <f>HYPERLINK("http://www.uniprot.org/uniprot/M5XTA8","M5XTA8")</f>
        <v>M5XTA8</v>
      </c>
      <c r="D22292" s="2" t="s">
        <v>8568</v>
      </c>
      <c r="E22292" s="3">
        <v>3.2499999999999999E-42</v>
      </c>
      <c r="F22292" s="2">
        <v>411</v>
      </c>
      <c r="G22292" s="2">
        <v>44</v>
      </c>
      <c r="H22292" s="2">
        <v>234</v>
      </c>
      <c r="I22292" s="2">
        <v>180</v>
      </c>
      <c r="J22292" s="2">
        <v>863</v>
      </c>
      <c r="K22292" s="2">
        <v>323</v>
      </c>
      <c r="L22292" s="2">
        <v>554</v>
      </c>
    </row>
    <row r="22293" spans="1:12" x14ac:dyDescent="0.25">
      <c r="A22293" s="4" t="str">
        <f>HYPERLINK("http://www.rosaceae.org/Prunus/Prunus_persica/p.persica_gdr_reftransV1_0044893","p.persica_gdr_reftransV1_0044893")</f>
        <v>p.persica_gdr_reftransV1_0044893</v>
      </c>
      <c r="B22293" s="2">
        <v>1768</v>
      </c>
      <c r="C22293" s="4" t="str">
        <f>HYPERLINK("http://www.uniprot.org/uniprot/M5WHQ7","M5WHQ7")</f>
        <v>M5WHQ7</v>
      </c>
      <c r="D22293" s="2" t="s">
        <v>2142</v>
      </c>
      <c r="E22293" s="3">
        <v>0</v>
      </c>
      <c r="F22293" s="2">
        <v>2505</v>
      </c>
      <c r="G22293" s="2">
        <v>100</v>
      </c>
      <c r="H22293" s="2">
        <v>490</v>
      </c>
      <c r="I22293" s="2">
        <v>103</v>
      </c>
      <c r="J22293" s="2">
        <v>1572</v>
      </c>
      <c r="K22293" s="2">
        <v>1</v>
      </c>
      <c r="L22293" s="2">
        <v>490</v>
      </c>
    </row>
    <row r="22294" spans="1:12" x14ac:dyDescent="0.25">
      <c r="A22294" s="4" t="str">
        <f>HYPERLINK("http://www.rosaceae.org/Prunus/Prunus_persica/p.persica_gdr_reftransV1_0045243","p.persica_gdr_reftransV1_0045243")</f>
        <v>p.persica_gdr_reftransV1_0045243</v>
      </c>
      <c r="B22294" s="2">
        <v>1038</v>
      </c>
      <c r="C22294" s="4" t="str">
        <f>HYPERLINK("http://www.uniprot.org/uniprot/M5WIT5","M5WIT5")</f>
        <v>M5WIT5</v>
      </c>
      <c r="D22294" s="2" t="s">
        <v>15675</v>
      </c>
      <c r="E22294" s="3">
        <v>2.1899999999999999E-103</v>
      </c>
      <c r="F22294" s="2">
        <v>827</v>
      </c>
      <c r="G22294" s="2">
        <v>100</v>
      </c>
      <c r="H22294" s="2">
        <v>254</v>
      </c>
      <c r="I22294" s="2">
        <v>180</v>
      </c>
      <c r="J22294" s="2">
        <v>941</v>
      </c>
      <c r="K22294" s="2">
        <v>16</v>
      </c>
      <c r="L22294" s="2">
        <v>269</v>
      </c>
    </row>
    <row r="22295" spans="1:12" x14ac:dyDescent="0.25">
      <c r="A22295" s="4" t="str">
        <f>HYPERLINK("http://www.rosaceae.org/Prunus/Prunus_persica/p.persica_gdr_reftransV1_0046293","p.persica_gdr_reftransV1_0046293")</f>
        <v>p.persica_gdr_reftransV1_0046293</v>
      </c>
      <c r="B22295" s="2">
        <v>710</v>
      </c>
      <c r="C22295" s="4" t="str">
        <f>HYPERLINK("http://www.uniprot.org/uniprot/M5XNQ4","M5XNQ4")</f>
        <v>M5XNQ4</v>
      </c>
      <c r="D22295" s="2" t="s">
        <v>7571</v>
      </c>
      <c r="E22295" s="3">
        <v>6.9100000000000001E-53</v>
      </c>
      <c r="F22295" s="2">
        <v>456</v>
      </c>
      <c r="G22295" s="2">
        <v>100</v>
      </c>
      <c r="H22295" s="2">
        <v>104</v>
      </c>
      <c r="I22295" s="2">
        <v>50</v>
      </c>
      <c r="J22295" s="2">
        <v>361</v>
      </c>
      <c r="K22295" s="2">
        <v>75</v>
      </c>
      <c r="L22295" s="2">
        <v>178</v>
      </c>
    </row>
    <row r="22296" spans="1:12" x14ac:dyDescent="0.25">
      <c r="A22296" s="4" t="str">
        <f>HYPERLINK("http://www.rosaceae.org/Prunus/Prunus_persica/p.persica_gdr_reftransV1_0046993","p.persica_gdr_reftransV1_0046993")</f>
        <v>p.persica_gdr_reftransV1_0046993</v>
      </c>
      <c r="B22296" s="2">
        <v>733</v>
      </c>
      <c r="C22296" s="4" t="str">
        <f>HYPERLINK("http://www.uniprot.org/uniprot/M5WFY9","M5WFY9")</f>
        <v>M5WFY9</v>
      </c>
      <c r="D22296" s="2" t="s">
        <v>934</v>
      </c>
      <c r="E22296" s="3">
        <v>1.51E-83</v>
      </c>
      <c r="F22296" s="2">
        <v>699</v>
      </c>
      <c r="G22296" s="2">
        <v>87</v>
      </c>
      <c r="H22296" s="2">
        <v>175</v>
      </c>
      <c r="I22296" s="2">
        <v>240</v>
      </c>
      <c r="J22296" s="2">
        <v>731</v>
      </c>
      <c r="K22296" s="2">
        <v>444</v>
      </c>
      <c r="L22296" s="2">
        <v>618</v>
      </c>
    </row>
    <row r="22297" spans="1:12" x14ac:dyDescent="0.25">
      <c r="A22297" s="4" t="str">
        <f>HYPERLINK("http://www.rosaceae.org/Prunus/Prunus_persica/p.persica_gdr_reftransV1_0047343","p.persica_gdr_reftransV1_0047343")</f>
        <v>p.persica_gdr_reftransV1_0047343</v>
      </c>
      <c r="B22297" s="2">
        <v>1131</v>
      </c>
      <c r="C22297" s="4" t="str">
        <f>HYPERLINK("http://www.uniprot.org/uniprot/M5WK35","M5WK35")</f>
        <v>M5WK35</v>
      </c>
      <c r="D22297" s="2" t="s">
        <v>6612</v>
      </c>
      <c r="E22297" s="3">
        <v>1.11E-91</v>
      </c>
      <c r="F22297" s="2">
        <v>728</v>
      </c>
      <c r="G22297" s="2">
        <v>100</v>
      </c>
      <c r="H22297" s="2">
        <v>138</v>
      </c>
      <c r="I22297" s="2">
        <v>341</v>
      </c>
      <c r="J22297" s="2">
        <v>754</v>
      </c>
      <c r="K22297" s="2">
        <v>47</v>
      </c>
      <c r="L22297" s="2">
        <v>184</v>
      </c>
    </row>
    <row r="22298" spans="1:12" x14ac:dyDescent="0.25">
      <c r="A22298" s="4" t="str">
        <f>HYPERLINK("http://www.rosaceae.org/Prunus/Prunus_persica/p.persica_gdr_reftransV1_0047693","p.persica_gdr_reftransV1_0047693")</f>
        <v>p.persica_gdr_reftransV1_0047693</v>
      </c>
      <c r="B22298" s="2">
        <v>1408</v>
      </c>
      <c r="C22298" s="4" t="str">
        <f>HYPERLINK("http://www.uniprot.org/uniprot/M5XUV0","M5XUV0")</f>
        <v>M5XUV0</v>
      </c>
      <c r="D22298" s="2" t="s">
        <v>5530</v>
      </c>
      <c r="E22298" s="3">
        <v>0</v>
      </c>
      <c r="F22298" s="2">
        <v>2195</v>
      </c>
      <c r="G22298" s="2">
        <v>100</v>
      </c>
      <c r="H22298" s="2">
        <v>406</v>
      </c>
      <c r="I22298" s="2">
        <v>191</v>
      </c>
      <c r="J22298" s="2">
        <v>1408</v>
      </c>
      <c r="K22298" s="2">
        <v>1</v>
      </c>
      <c r="L22298" s="2">
        <v>406</v>
      </c>
    </row>
    <row r="22299" spans="1:12" x14ac:dyDescent="0.25">
      <c r="A22299" s="4" t="str">
        <f>HYPERLINK("http://www.rosaceae.org/Prunus/Prunus_persica/p.persica_gdr_reftransV1_0048043","p.persica_gdr_reftransV1_0048043")</f>
        <v>p.persica_gdr_reftransV1_0048043</v>
      </c>
      <c r="B22299" s="2">
        <v>3023</v>
      </c>
      <c r="C22299" s="4" t="str">
        <f>HYPERLINK("http://www.uniprot.org/uniprot/M5X458","M5X458")</f>
        <v>M5X458</v>
      </c>
      <c r="D22299" s="2" t="s">
        <v>8540</v>
      </c>
      <c r="E22299" s="3">
        <v>0</v>
      </c>
      <c r="F22299" s="2">
        <v>4808</v>
      </c>
      <c r="G22299" s="2">
        <v>100</v>
      </c>
      <c r="H22299" s="2">
        <v>929</v>
      </c>
      <c r="I22299" s="2">
        <v>112</v>
      </c>
      <c r="J22299" s="2">
        <v>2898</v>
      </c>
      <c r="K22299" s="2">
        <v>1</v>
      </c>
      <c r="L22299" s="2">
        <v>929</v>
      </c>
    </row>
    <row r="22300" spans="1:12" x14ac:dyDescent="0.25">
      <c r="A22300" s="4" t="str">
        <f>HYPERLINK("http://www.rosaceae.org/Prunus/Prunus_persica/p.persica_gdr_reftransV1_0048743","p.persica_gdr_reftransV1_0048743")</f>
        <v>p.persica_gdr_reftransV1_0048743</v>
      </c>
      <c r="B22300" s="2">
        <v>801</v>
      </c>
      <c r="C22300" s="4" t="str">
        <f>HYPERLINK("http://www.uniprot.org/uniprot/M5X9Z2","M5X9Z2")</f>
        <v>M5X9Z2</v>
      </c>
      <c r="D22300" s="2" t="s">
        <v>245</v>
      </c>
      <c r="E22300" s="3">
        <v>2.6700000000000001E-30</v>
      </c>
      <c r="F22300" s="2">
        <v>328</v>
      </c>
      <c r="G22300" s="2">
        <v>89</v>
      </c>
      <c r="H22300" s="2">
        <v>82</v>
      </c>
      <c r="I22300" s="2">
        <v>3</v>
      </c>
      <c r="J22300" s="2">
        <v>248</v>
      </c>
      <c r="K22300" s="2">
        <v>2</v>
      </c>
      <c r="L22300" s="2">
        <v>83</v>
      </c>
    </row>
    <row r="22301" spans="1:12" x14ac:dyDescent="0.25">
      <c r="A22301" s="4" t="str">
        <f>HYPERLINK("http://www.rosaceae.org/Prunus/Prunus_persica/p.persica_gdr_reftransV1_0049093","p.persica_gdr_reftransV1_0049093")</f>
        <v>p.persica_gdr_reftransV1_0049093</v>
      </c>
      <c r="B22301" s="2">
        <v>978</v>
      </c>
      <c r="C22301" s="4" t="str">
        <f>HYPERLINK("http://www.uniprot.org/uniprot/M5XSU8","M5XSU8")</f>
        <v>M5XSU8</v>
      </c>
      <c r="D22301" s="2" t="s">
        <v>16487</v>
      </c>
      <c r="E22301" s="3">
        <v>2.11E-134</v>
      </c>
      <c r="F22301" s="2">
        <v>1008</v>
      </c>
      <c r="G22301" s="2">
        <v>100</v>
      </c>
      <c r="H22301" s="2">
        <v>206</v>
      </c>
      <c r="I22301" s="2">
        <v>264</v>
      </c>
      <c r="J22301" s="2">
        <v>881</v>
      </c>
      <c r="K22301" s="2">
        <v>1</v>
      </c>
      <c r="L22301" s="2">
        <v>206</v>
      </c>
    </row>
    <row r="22302" spans="1:12" x14ac:dyDescent="0.25">
      <c r="A22302" s="4" t="str">
        <f>HYPERLINK("http://www.rosaceae.org/Prunus/Prunus_persica/p.persica_gdr_reftransV1_0000094","p.persica_gdr_reftransV1_0000094")</f>
        <v>p.persica_gdr_reftransV1_0000094</v>
      </c>
      <c r="B22302" s="2">
        <v>420</v>
      </c>
      <c r="C22302" s="4" t="str">
        <f>HYPERLINK("http://www.uniprot.org/uniprot/M5XJU0","M5XJU0")</f>
        <v>M5XJU0</v>
      </c>
      <c r="D22302" s="2" t="s">
        <v>2137</v>
      </c>
      <c r="E22302" s="3">
        <v>1.2300000000000001E-70</v>
      </c>
      <c r="F22302" s="2">
        <v>613</v>
      </c>
      <c r="G22302" s="2">
        <v>96</v>
      </c>
      <c r="H22302" s="2">
        <v>139</v>
      </c>
      <c r="I22302" s="2">
        <v>2</v>
      </c>
      <c r="J22302" s="2">
        <v>418</v>
      </c>
      <c r="K22302" s="2">
        <v>876</v>
      </c>
      <c r="L22302" s="2">
        <v>1014</v>
      </c>
    </row>
    <row r="22303" spans="1:12" x14ac:dyDescent="0.25">
      <c r="A22303" s="4" t="str">
        <f>HYPERLINK("http://www.rosaceae.org/Prunus/Prunus_persica/p.persica_gdr_reftransV1_0000444","p.persica_gdr_reftransV1_0000444")</f>
        <v>p.persica_gdr_reftransV1_0000444</v>
      </c>
      <c r="B22303" s="2">
        <v>2516</v>
      </c>
      <c r="C22303" s="4" t="str">
        <f>HYPERLINK("http://www.uniprot.org/uniprot/M5X3T8","M5X3T8")</f>
        <v>M5X3T8</v>
      </c>
      <c r="D22303" s="2" t="s">
        <v>16488</v>
      </c>
      <c r="E22303" s="3">
        <v>0</v>
      </c>
      <c r="F22303" s="2">
        <v>3614</v>
      </c>
      <c r="G22303" s="2">
        <v>100</v>
      </c>
      <c r="H22303" s="2">
        <v>703</v>
      </c>
      <c r="I22303" s="2">
        <v>261</v>
      </c>
      <c r="J22303" s="2">
        <v>2369</v>
      </c>
      <c r="K22303" s="2">
        <v>1</v>
      </c>
      <c r="L22303" s="2">
        <v>703</v>
      </c>
    </row>
    <row r="22304" spans="1:12" x14ac:dyDescent="0.25">
      <c r="A22304" s="4" t="str">
        <f>HYPERLINK("http://www.rosaceae.org/Prunus/Prunus_persica/p.persica_gdr_reftransV1_0000794","p.persica_gdr_reftransV1_0000794")</f>
        <v>p.persica_gdr_reftransV1_0000794</v>
      </c>
      <c r="B22304" s="2">
        <v>726</v>
      </c>
      <c r="C22304" s="4" t="str">
        <f>HYPERLINK("http://www.uniprot.org/uniprot/M5XRN5","M5XRN5")</f>
        <v>M5XRN5</v>
      </c>
      <c r="D22304" s="2" t="s">
        <v>15694</v>
      </c>
      <c r="E22304" s="3">
        <v>5.7100000000000002E-63</v>
      </c>
      <c r="F22304" s="2">
        <v>517</v>
      </c>
      <c r="G22304" s="2">
        <v>100</v>
      </c>
      <c r="H22304" s="2">
        <v>103</v>
      </c>
      <c r="I22304" s="2">
        <v>62</v>
      </c>
      <c r="J22304" s="2">
        <v>370</v>
      </c>
      <c r="K22304" s="2">
        <v>1</v>
      </c>
      <c r="L22304" s="2">
        <v>103</v>
      </c>
    </row>
    <row r="22305" spans="1:12" x14ac:dyDescent="0.25">
      <c r="A22305" s="4" t="str">
        <f>HYPERLINK("http://www.rosaceae.org/Prunus/Prunus_persica/p.persica_gdr_reftransV1_0001144","p.persica_gdr_reftransV1_0001144")</f>
        <v>p.persica_gdr_reftransV1_0001144</v>
      </c>
      <c r="B22305" s="2">
        <v>1251</v>
      </c>
      <c r="C22305" s="4" t="str">
        <f>HYPERLINK("http://www.uniprot.org/uniprot/M5WJG9","M5WJG9")</f>
        <v>M5WJG9</v>
      </c>
      <c r="D22305" s="2" t="s">
        <v>16489</v>
      </c>
      <c r="E22305" s="3">
        <v>0</v>
      </c>
      <c r="F22305" s="2">
        <v>1431</v>
      </c>
      <c r="G22305" s="2">
        <v>100</v>
      </c>
      <c r="H22305" s="2">
        <v>281</v>
      </c>
      <c r="I22305" s="2">
        <v>127</v>
      </c>
      <c r="J22305" s="2">
        <v>969</v>
      </c>
      <c r="K22305" s="2">
        <v>1</v>
      </c>
      <c r="L22305" s="2">
        <v>281</v>
      </c>
    </row>
    <row r="22306" spans="1:12" x14ac:dyDescent="0.25">
      <c r="A22306" s="4" t="str">
        <f>HYPERLINK("http://www.rosaceae.org/Prunus/Prunus_persica/p.persica_gdr_reftransV1_0001494","p.persica_gdr_reftransV1_0001494")</f>
        <v>p.persica_gdr_reftransV1_0001494</v>
      </c>
      <c r="B22306" s="2">
        <v>806</v>
      </c>
      <c r="C22306" s="4" t="str">
        <f>HYPERLINK("http://www.uniprot.org/uniprot/M5XEW2","M5XEW2")</f>
        <v>M5XEW2</v>
      </c>
      <c r="D22306" s="2" t="s">
        <v>16490</v>
      </c>
      <c r="E22306" s="3">
        <v>1.0299999999999999E-67</v>
      </c>
      <c r="F22306" s="2">
        <v>553</v>
      </c>
      <c r="G22306" s="2">
        <v>100</v>
      </c>
      <c r="H22306" s="2">
        <v>130</v>
      </c>
      <c r="I22306" s="2">
        <v>293</v>
      </c>
      <c r="J22306" s="2">
        <v>682</v>
      </c>
      <c r="K22306" s="2">
        <v>1</v>
      </c>
      <c r="L22306" s="2">
        <v>130</v>
      </c>
    </row>
    <row r="22307" spans="1:12" x14ac:dyDescent="0.25">
      <c r="A22307" s="4" t="str">
        <f>HYPERLINK("http://www.rosaceae.org/Prunus/Prunus_persica/p.persica_gdr_reftransV1_0001844","p.persica_gdr_reftransV1_0001844")</f>
        <v>p.persica_gdr_reftransV1_0001844</v>
      </c>
      <c r="B22307" s="2">
        <v>3377</v>
      </c>
      <c r="C22307" s="4" t="str">
        <f>HYPERLINK("http://www.uniprot.org/uniprot/M5WCT8","M5WCT8")</f>
        <v>M5WCT8</v>
      </c>
      <c r="D22307" s="2" t="s">
        <v>12943</v>
      </c>
      <c r="E22307" s="3">
        <v>0</v>
      </c>
      <c r="F22307" s="2">
        <v>3633</v>
      </c>
      <c r="G22307" s="2">
        <v>95</v>
      </c>
      <c r="H22307" s="2">
        <v>751</v>
      </c>
      <c r="I22307" s="2">
        <v>519</v>
      </c>
      <c r="J22307" s="2">
        <v>2771</v>
      </c>
      <c r="K22307" s="2">
        <v>1</v>
      </c>
      <c r="L22307" s="2">
        <v>719</v>
      </c>
    </row>
    <row r="22308" spans="1:12" x14ac:dyDescent="0.25">
      <c r="A22308" s="4" t="str">
        <f>HYPERLINK("http://www.rosaceae.org/Prunus/Prunus_persica/p.persica_gdr_reftransV1_0002194","p.persica_gdr_reftransV1_0002194")</f>
        <v>p.persica_gdr_reftransV1_0002194</v>
      </c>
      <c r="B22308" s="2">
        <v>398</v>
      </c>
      <c r="C22308" s="4" t="str">
        <f>HYPERLINK("http://www.uniprot.org/uniprot/M5VTK3","M5VTK3")</f>
        <v>M5VTK3</v>
      </c>
      <c r="D22308" s="2" t="s">
        <v>14465</v>
      </c>
      <c r="E22308" s="3">
        <v>6.6999999999999996E-74</v>
      </c>
      <c r="F22308" s="2">
        <v>607</v>
      </c>
      <c r="G22308" s="2">
        <v>98</v>
      </c>
      <c r="H22308" s="2">
        <v>132</v>
      </c>
      <c r="I22308" s="2">
        <v>2</v>
      </c>
      <c r="J22308" s="2">
        <v>397</v>
      </c>
      <c r="K22308" s="2">
        <v>185</v>
      </c>
      <c r="L22308" s="2">
        <v>316</v>
      </c>
    </row>
    <row r="22309" spans="1:12" x14ac:dyDescent="0.25">
      <c r="A22309" s="4" t="str">
        <f>HYPERLINK("http://www.rosaceae.org/Prunus/Prunus_persica/p.persica_gdr_reftransV1_0002544","p.persica_gdr_reftransV1_0002544")</f>
        <v>p.persica_gdr_reftransV1_0002544</v>
      </c>
      <c r="B22309" s="2">
        <v>2222</v>
      </c>
      <c r="C22309" s="4" t="str">
        <f>HYPERLINK("http://www.uniprot.org/uniprot/M5WT94","M5WT94")</f>
        <v>M5WT94</v>
      </c>
      <c r="D22309" s="2" t="s">
        <v>9208</v>
      </c>
      <c r="E22309" s="3">
        <v>0</v>
      </c>
      <c r="F22309" s="2">
        <v>2525</v>
      </c>
      <c r="G22309" s="2">
        <v>100</v>
      </c>
      <c r="H22309" s="2">
        <v>504</v>
      </c>
      <c r="I22309" s="2">
        <v>471</v>
      </c>
      <c r="J22309" s="2">
        <v>1982</v>
      </c>
      <c r="K22309" s="2">
        <v>1</v>
      </c>
      <c r="L22309" s="2">
        <v>504</v>
      </c>
    </row>
    <row r="22310" spans="1:12" x14ac:dyDescent="0.25">
      <c r="A22310" s="4" t="str">
        <f>HYPERLINK("http://www.rosaceae.org/Prunus/Prunus_persica/p.persica_gdr_reftransV1_0003244","p.persica_gdr_reftransV1_0003244")</f>
        <v>p.persica_gdr_reftransV1_0003244</v>
      </c>
      <c r="B22310" s="2">
        <v>677</v>
      </c>
      <c r="C22310" s="4" t="str">
        <f>HYPERLINK("http://www.uniprot.org/uniprot/F6HZB8","F6HZB8")</f>
        <v>F6HZB8</v>
      </c>
      <c r="D22310" s="2" t="s">
        <v>16491</v>
      </c>
      <c r="E22310" s="3">
        <v>2.7899999999999999E-74</v>
      </c>
      <c r="F22310" s="2">
        <v>611</v>
      </c>
      <c r="G22310" s="2">
        <v>55</v>
      </c>
      <c r="H22310" s="2">
        <v>217</v>
      </c>
      <c r="I22310" s="2">
        <v>37</v>
      </c>
      <c r="J22310" s="2">
        <v>675</v>
      </c>
      <c r="K22310" s="2">
        <v>13</v>
      </c>
      <c r="L22310" s="2">
        <v>229</v>
      </c>
    </row>
    <row r="22311" spans="1:12" x14ac:dyDescent="0.25">
      <c r="A22311" s="4" t="str">
        <f>HYPERLINK("http://www.rosaceae.org/Prunus/Prunus_persica/p.persica_gdr_reftransV1_0003594","p.persica_gdr_reftransV1_0003594")</f>
        <v>p.persica_gdr_reftransV1_0003594</v>
      </c>
      <c r="B22311" s="2">
        <v>1816</v>
      </c>
      <c r="C22311" s="4" t="str">
        <f>HYPERLINK("http://www.uniprot.org/uniprot/M5XIX9","M5XIX9")</f>
        <v>M5XIX9</v>
      </c>
      <c r="D22311" s="2" t="s">
        <v>16492</v>
      </c>
      <c r="E22311" s="3">
        <v>0</v>
      </c>
      <c r="F22311" s="2">
        <v>2607</v>
      </c>
      <c r="G22311" s="2">
        <v>93</v>
      </c>
      <c r="H22311" s="2">
        <v>535</v>
      </c>
      <c r="I22311" s="2">
        <v>210</v>
      </c>
      <c r="J22311" s="2">
        <v>1814</v>
      </c>
      <c r="K22311" s="2">
        <v>383</v>
      </c>
      <c r="L22311" s="2">
        <v>917</v>
      </c>
    </row>
    <row r="22312" spans="1:12" x14ac:dyDescent="0.25">
      <c r="A22312" s="4" t="str">
        <f>HYPERLINK("http://www.rosaceae.org/Prunus/Prunus_persica/p.persica_gdr_reftransV1_0003944","p.persica_gdr_reftransV1_0003944")</f>
        <v>p.persica_gdr_reftransV1_0003944</v>
      </c>
      <c r="B22312" s="2">
        <v>336</v>
      </c>
      <c r="C22312" s="4" t="str">
        <f>HYPERLINK("http://www.uniprot.org/uniprot/M5WBS2","M5WBS2")</f>
        <v>M5WBS2</v>
      </c>
      <c r="D22312" s="2" t="s">
        <v>9057</v>
      </c>
      <c r="E22312" s="3">
        <v>1.79E-70</v>
      </c>
      <c r="F22312" s="2">
        <v>581</v>
      </c>
      <c r="G22312" s="2">
        <v>100</v>
      </c>
      <c r="H22312" s="2">
        <v>112</v>
      </c>
      <c r="I22312" s="2">
        <v>1</v>
      </c>
      <c r="J22312" s="2">
        <v>336</v>
      </c>
      <c r="K22312" s="2">
        <v>166</v>
      </c>
      <c r="L22312" s="2">
        <v>277</v>
      </c>
    </row>
    <row r="22313" spans="1:12" x14ac:dyDescent="0.25">
      <c r="A22313" s="4" t="str">
        <f>HYPERLINK("http://www.rosaceae.org/Prunus/Prunus_persica/p.persica_gdr_reftransV1_0004294","p.persica_gdr_reftransV1_0004294")</f>
        <v>p.persica_gdr_reftransV1_0004294</v>
      </c>
      <c r="B22313" s="2">
        <v>1809</v>
      </c>
      <c r="C22313" s="4" t="str">
        <f>HYPERLINK("http://www.uniprot.org/uniprot/M5XDI0","M5XDI0")</f>
        <v>M5XDI0</v>
      </c>
      <c r="D22313" s="2" t="s">
        <v>1264</v>
      </c>
      <c r="E22313" s="3">
        <v>0</v>
      </c>
      <c r="F22313" s="2">
        <v>1682</v>
      </c>
      <c r="G22313" s="2">
        <v>100</v>
      </c>
      <c r="H22313" s="2">
        <v>318</v>
      </c>
      <c r="I22313" s="2">
        <v>314</v>
      </c>
      <c r="J22313" s="2">
        <v>1267</v>
      </c>
      <c r="K22313" s="2">
        <v>84</v>
      </c>
      <c r="L22313" s="2">
        <v>401</v>
      </c>
    </row>
    <row r="22314" spans="1:12" x14ac:dyDescent="0.25">
      <c r="A22314" s="4" t="str">
        <f>HYPERLINK("http://www.rosaceae.org/Prunus/Prunus_persica/p.persica_gdr_reftransV1_0005344","p.persica_gdr_reftransV1_0005344")</f>
        <v>p.persica_gdr_reftransV1_0005344</v>
      </c>
      <c r="B22314" s="2">
        <v>1591</v>
      </c>
      <c r="C22314" s="4" t="str">
        <f>HYPERLINK("http://www.uniprot.org/uniprot/M5WWZ4","M5WWZ4")</f>
        <v>M5WWZ4</v>
      </c>
      <c r="D22314" s="2" t="s">
        <v>10543</v>
      </c>
      <c r="E22314" s="3">
        <v>0</v>
      </c>
      <c r="F22314" s="2">
        <v>2244</v>
      </c>
      <c r="G22314" s="2">
        <v>94</v>
      </c>
      <c r="H22314" s="2">
        <v>476</v>
      </c>
      <c r="I22314" s="2">
        <v>36</v>
      </c>
      <c r="J22314" s="2">
        <v>1463</v>
      </c>
      <c r="K22314" s="2">
        <v>1</v>
      </c>
      <c r="L22314" s="2">
        <v>451</v>
      </c>
    </row>
    <row r="22315" spans="1:12" x14ac:dyDescent="0.25">
      <c r="A22315" s="4" t="str">
        <f>HYPERLINK("http://www.rosaceae.org/Prunus/Prunus_persica/p.persica_gdr_reftransV1_0006044","p.persica_gdr_reftransV1_0006044")</f>
        <v>p.persica_gdr_reftransV1_0006044</v>
      </c>
      <c r="B22315" s="2">
        <v>451</v>
      </c>
      <c r="C22315" s="4" t="str">
        <f>HYPERLINK("http://www.uniprot.org/uniprot/A0A087PQ99","A0A087PQ99")</f>
        <v>A0A087PQ99</v>
      </c>
      <c r="D22315" s="2" t="s">
        <v>2781</v>
      </c>
      <c r="E22315" s="3">
        <v>2.5600000000000001E-20</v>
      </c>
      <c r="F22315" s="2">
        <v>200</v>
      </c>
      <c r="G22315" s="2">
        <v>47</v>
      </c>
      <c r="H22315" s="2">
        <v>90</v>
      </c>
      <c r="I22315" s="2">
        <v>180</v>
      </c>
      <c r="J22315" s="2">
        <v>449</v>
      </c>
      <c r="K22315" s="2">
        <v>395</v>
      </c>
      <c r="L22315" s="2">
        <v>484</v>
      </c>
    </row>
    <row r="22316" spans="1:12" x14ac:dyDescent="0.25">
      <c r="A22316" s="4" t="str">
        <f>HYPERLINK("http://www.rosaceae.org/Prunus/Prunus_persica/p.persica_gdr_reftransV1_0006394","p.persica_gdr_reftransV1_0006394")</f>
        <v>p.persica_gdr_reftransV1_0006394</v>
      </c>
      <c r="B22316" s="2">
        <v>435</v>
      </c>
      <c r="C22316" s="4" t="str">
        <f>HYPERLINK("http://www.uniprot.org/uniprot/M5X5B1","M5X5B1")</f>
        <v>M5X5B1</v>
      </c>
      <c r="D22316" s="2" t="s">
        <v>13620</v>
      </c>
      <c r="E22316" s="3">
        <v>7.2600000000000004E-91</v>
      </c>
      <c r="F22316" s="2">
        <v>760</v>
      </c>
      <c r="G22316" s="2">
        <v>95</v>
      </c>
      <c r="H22316" s="2">
        <v>144</v>
      </c>
      <c r="I22316" s="2">
        <v>3</v>
      </c>
      <c r="J22316" s="2">
        <v>434</v>
      </c>
      <c r="K22316" s="2">
        <v>734</v>
      </c>
      <c r="L22316" s="2">
        <v>877</v>
      </c>
    </row>
    <row r="22317" spans="1:12" x14ac:dyDescent="0.25">
      <c r="A22317" s="4" t="str">
        <f>HYPERLINK("http://www.rosaceae.org/Prunus/Prunus_persica/p.persica_gdr_reftransV1_0006744","p.persica_gdr_reftransV1_0006744")</f>
        <v>p.persica_gdr_reftransV1_0006744</v>
      </c>
      <c r="B22317" s="2">
        <v>757</v>
      </c>
      <c r="C22317" s="4" t="str">
        <f>HYPERLINK("http://www.uniprot.org/uniprot/M5WJ25","M5WJ25")</f>
        <v>M5WJ25</v>
      </c>
      <c r="D22317" s="2" t="s">
        <v>16493</v>
      </c>
      <c r="E22317" s="3">
        <v>1.2999999999999999E-146</v>
      </c>
      <c r="F22317" s="2">
        <v>1090</v>
      </c>
      <c r="G22317" s="2">
        <v>100</v>
      </c>
      <c r="H22317" s="2">
        <v>204</v>
      </c>
      <c r="I22317" s="2">
        <v>144</v>
      </c>
      <c r="J22317" s="2">
        <v>755</v>
      </c>
      <c r="K22317" s="2">
        <v>104</v>
      </c>
      <c r="L22317" s="2">
        <v>307</v>
      </c>
    </row>
    <row r="22318" spans="1:12" x14ac:dyDescent="0.25">
      <c r="A22318" s="4" t="str">
        <f>HYPERLINK("http://www.rosaceae.org/Prunus/Prunus_persica/p.persica_gdr_reftransV1_0007094","p.persica_gdr_reftransV1_0007094")</f>
        <v>p.persica_gdr_reftransV1_0007094</v>
      </c>
      <c r="B22318" s="2">
        <v>701</v>
      </c>
      <c r="C22318" s="4" t="str">
        <f>HYPERLINK("http://www.uniprot.org/uniprot/M5W1C5","M5W1C5")</f>
        <v>M5W1C5</v>
      </c>
      <c r="D22318" s="2" t="s">
        <v>5921</v>
      </c>
      <c r="E22318" s="3">
        <v>3.19E-142</v>
      </c>
      <c r="F22318" s="2">
        <v>1135</v>
      </c>
      <c r="G22318" s="2">
        <v>100</v>
      </c>
      <c r="H22318" s="2">
        <v>233</v>
      </c>
      <c r="I22318" s="2">
        <v>3</v>
      </c>
      <c r="J22318" s="2">
        <v>701</v>
      </c>
      <c r="K22318" s="2">
        <v>8</v>
      </c>
      <c r="L22318" s="2">
        <v>240</v>
      </c>
    </row>
    <row r="22319" spans="1:12" x14ac:dyDescent="0.25">
      <c r="A22319" s="4" t="str">
        <f>HYPERLINK("http://www.rosaceae.org/Prunus/Prunus_persica/p.persica_gdr_reftransV1_0007444","p.persica_gdr_reftransV1_0007444")</f>
        <v>p.persica_gdr_reftransV1_0007444</v>
      </c>
      <c r="B22319" s="2">
        <v>3490</v>
      </c>
      <c r="C22319" s="4" t="str">
        <f>HYPERLINK("http://www.uniprot.org/uniprot/M5WEG2","M5WEG2")</f>
        <v>M5WEG2</v>
      </c>
      <c r="D22319" s="2" t="s">
        <v>2755</v>
      </c>
      <c r="E22319" s="3">
        <v>0</v>
      </c>
      <c r="F22319" s="2">
        <v>4431</v>
      </c>
      <c r="G22319" s="2">
        <v>100</v>
      </c>
      <c r="H22319" s="2">
        <v>843</v>
      </c>
      <c r="I22319" s="2">
        <v>565</v>
      </c>
      <c r="J22319" s="2">
        <v>3093</v>
      </c>
      <c r="K22319" s="2">
        <v>514</v>
      </c>
      <c r="L22319" s="2">
        <v>1356</v>
      </c>
    </row>
    <row r="22320" spans="1:12" x14ac:dyDescent="0.25">
      <c r="A22320" s="4" t="str">
        <f>HYPERLINK("http://www.rosaceae.org/Prunus/Prunus_persica/p.persica_gdr_reftransV1_0007794","p.persica_gdr_reftransV1_0007794")</f>
        <v>p.persica_gdr_reftransV1_0007794</v>
      </c>
      <c r="B22320" s="2">
        <v>2409</v>
      </c>
      <c r="C22320" s="4" t="str">
        <f>HYPERLINK("http://www.uniprot.org/uniprot/M5WJ00","M5WJ00")</f>
        <v>M5WJ00</v>
      </c>
      <c r="D22320" s="2" t="s">
        <v>16494</v>
      </c>
      <c r="E22320" s="3">
        <v>0</v>
      </c>
      <c r="F22320" s="2">
        <v>2741</v>
      </c>
      <c r="G22320" s="2">
        <v>100</v>
      </c>
      <c r="H22320" s="2">
        <v>537</v>
      </c>
      <c r="I22320" s="2">
        <v>373</v>
      </c>
      <c r="J22320" s="2">
        <v>1983</v>
      </c>
      <c r="K22320" s="2">
        <v>16</v>
      </c>
      <c r="L22320" s="2">
        <v>552</v>
      </c>
    </row>
    <row r="22321" spans="1:12" x14ac:dyDescent="0.25">
      <c r="A22321" s="4" t="str">
        <f>HYPERLINK("http://www.rosaceae.org/Prunus/Prunus_persica/p.persica_gdr_reftransV1_0008494","p.persica_gdr_reftransV1_0008494")</f>
        <v>p.persica_gdr_reftransV1_0008494</v>
      </c>
      <c r="B22321" s="2">
        <v>1137</v>
      </c>
      <c r="C22321" s="4" t="str">
        <f>HYPERLINK("http://www.uniprot.org/uniprot/M5WS66","M5WS66")</f>
        <v>M5WS66</v>
      </c>
      <c r="D22321" s="2" t="s">
        <v>16073</v>
      </c>
      <c r="E22321" s="3">
        <v>1.97E-166</v>
      </c>
      <c r="F22321" s="2">
        <v>1261</v>
      </c>
      <c r="G22321" s="2">
        <v>100</v>
      </c>
      <c r="H22321" s="2">
        <v>242</v>
      </c>
      <c r="I22321" s="2">
        <v>412</v>
      </c>
      <c r="J22321" s="2">
        <v>1137</v>
      </c>
      <c r="K22321" s="2">
        <v>329</v>
      </c>
      <c r="L22321" s="2">
        <v>570</v>
      </c>
    </row>
    <row r="22322" spans="1:12" x14ac:dyDescent="0.25">
      <c r="A22322" s="4" t="str">
        <f>HYPERLINK("http://www.rosaceae.org/Prunus/Prunus_persica/p.persica_gdr_reftransV1_0008844","p.persica_gdr_reftransV1_0008844")</f>
        <v>p.persica_gdr_reftransV1_0008844</v>
      </c>
      <c r="B22322" s="2">
        <v>1861</v>
      </c>
      <c r="C22322" s="4" t="str">
        <f>HYPERLINK("http://www.uniprot.org/uniprot/V4TNJ0","V4TNJ0")</f>
        <v>V4TNJ0</v>
      </c>
      <c r="D22322" s="2" t="s">
        <v>16495</v>
      </c>
      <c r="E22322" s="3">
        <v>1.13E-48</v>
      </c>
      <c r="F22322" s="2">
        <v>491</v>
      </c>
      <c r="G22322" s="2">
        <v>37</v>
      </c>
      <c r="H22322" s="2">
        <v>422</v>
      </c>
      <c r="I22322" s="2">
        <v>3</v>
      </c>
      <c r="J22322" s="2">
        <v>1127</v>
      </c>
      <c r="K22322" s="2">
        <v>14</v>
      </c>
      <c r="L22322" s="2">
        <v>430</v>
      </c>
    </row>
    <row r="22323" spans="1:12" x14ac:dyDescent="0.25">
      <c r="A22323" s="4" t="str">
        <f>HYPERLINK("http://www.rosaceae.org/Prunus/Prunus_persica/p.persica_gdr_reftransV1_0009544","p.persica_gdr_reftransV1_0009544")</f>
        <v>p.persica_gdr_reftransV1_0009544</v>
      </c>
      <c r="B22323" s="2">
        <v>1782</v>
      </c>
      <c r="C22323" s="4" t="str">
        <f>HYPERLINK("http://www.uniprot.org/uniprot/M5VQN0","M5VQN0")</f>
        <v>M5VQN0</v>
      </c>
      <c r="D22323" s="2" t="s">
        <v>16496</v>
      </c>
      <c r="E22323" s="3">
        <v>0</v>
      </c>
      <c r="F22323" s="2">
        <v>1596</v>
      </c>
      <c r="G22323" s="2">
        <v>100</v>
      </c>
      <c r="H22323" s="2">
        <v>296</v>
      </c>
      <c r="I22323" s="2">
        <v>469</v>
      </c>
      <c r="J22323" s="2">
        <v>1356</v>
      </c>
      <c r="K22323" s="2">
        <v>1</v>
      </c>
      <c r="L22323" s="2">
        <v>296</v>
      </c>
    </row>
    <row r="22324" spans="1:12" x14ac:dyDescent="0.25">
      <c r="A22324" s="4" t="str">
        <f>HYPERLINK("http://www.rosaceae.org/Prunus/Prunus_persica/p.persica_gdr_reftransV1_0010944","p.persica_gdr_reftransV1_0010944")</f>
        <v>p.persica_gdr_reftransV1_0010944</v>
      </c>
      <c r="B22324" s="2">
        <v>1941</v>
      </c>
      <c r="C22324" s="4" t="str">
        <f>HYPERLINK("http://www.uniprot.org/uniprot/M5W061","M5W061")</f>
        <v>M5W061</v>
      </c>
      <c r="D22324" s="2" t="s">
        <v>16497</v>
      </c>
      <c r="E22324" s="3">
        <v>5.0500000000000003E-162</v>
      </c>
      <c r="F22324" s="2">
        <v>1234</v>
      </c>
      <c r="G22324" s="2">
        <v>97</v>
      </c>
      <c r="H22324" s="2">
        <v>257</v>
      </c>
      <c r="I22324" s="2">
        <v>1039</v>
      </c>
      <c r="J22324" s="2">
        <v>1803</v>
      </c>
      <c r="K22324" s="2">
        <v>68</v>
      </c>
      <c r="L22324" s="2">
        <v>324</v>
      </c>
    </row>
    <row r="22325" spans="1:12" x14ac:dyDescent="0.25">
      <c r="A22325" s="4" t="str">
        <f>HYPERLINK("http://www.rosaceae.org/Prunus/Prunus_persica/p.persica_gdr_reftransV1_0011644","p.persica_gdr_reftransV1_0011644")</f>
        <v>p.persica_gdr_reftransV1_0011644</v>
      </c>
      <c r="B22325" s="2">
        <v>1773</v>
      </c>
      <c r="C22325" s="4" t="str">
        <f>HYPERLINK("http://www.uniprot.org/uniprot/M5XCV9","M5XCV9")</f>
        <v>M5XCV9</v>
      </c>
      <c r="D22325" s="2" t="s">
        <v>12523</v>
      </c>
      <c r="E22325" s="3">
        <v>1.6200000000000001E-94</v>
      </c>
      <c r="F22325" s="2">
        <v>782</v>
      </c>
      <c r="G22325" s="2">
        <v>99</v>
      </c>
      <c r="H22325" s="2">
        <v>181</v>
      </c>
      <c r="I22325" s="2">
        <v>61</v>
      </c>
      <c r="J22325" s="2">
        <v>603</v>
      </c>
      <c r="K22325" s="2">
        <v>183</v>
      </c>
      <c r="L22325" s="2">
        <v>363</v>
      </c>
    </row>
    <row r="22326" spans="1:12" x14ac:dyDescent="0.25">
      <c r="A22326" s="4" t="str">
        <f>HYPERLINK("http://www.rosaceae.org/Prunus/Prunus_persica/p.persica_gdr_reftransV1_0011994","p.persica_gdr_reftransV1_0011994")</f>
        <v>p.persica_gdr_reftransV1_0011994</v>
      </c>
      <c r="B22326" s="2">
        <v>1095</v>
      </c>
      <c r="C22326" s="4" t="str">
        <f>HYPERLINK("http://www.uniprot.org/uniprot/M5W861","M5W861")</f>
        <v>M5W861</v>
      </c>
      <c r="D22326" s="2" t="s">
        <v>16498</v>
      </c>
      <c r="E22326" s="3">
        <v>2.2000000000000001E-66</v>
      </c>
      <c r="F22326" s="2">
        <v>596</v>
      </c>
      <c r="G22326" s="2">
        <v>81</v>
      </c>
      <c r="H22326" s="2">
        <v>145</v>
      </c>
      <c r="I22326" s="2">
        <v>310</v>
      </c>
      <c r="J22326" s="2">
        <v>744</v>
      </c>
      <c r="K22326" s="2">
        <v>601</v>
      </c>
      <c r="L22326" s="2">
        <v>724</v>
      </c>
    </row>
    <row r="22327" spans="1:12" x14ac:dyDescent="0.25">
      <c r="A22327" s="4" t="str">
        <f>HYPERLINK("http://www.rosaceae.org/Prunus/Prunus_persica/p.persica_gdr_reftransV1_0012694","p.persica_gdr_reftransV1_0012694")</f>
        <v>p.persica_gdr_reftransV1_0012694</v>
      </c>
      <c r="B22327" s="2">
        <v>6074</v>
      </c>
      <c r="C22327" s="4" t="str">
        <f>HYPERLINK("http://www.uniprot.org/uniprot/W9R656","W9R656")</f>
        <v>W9R656</v>
      </c>
      <c r="D22327" s="2" t="s">
        <v>16499</v>
      </c>
      <c r="E22327" s="3">
        <v>0</v>
      </c>
      <c r="F22327" s="2">
        <v>3261</v>
      </c>
      <c r="G22327" s="2">
        <v>92</v>
      </c>
      <c r="H22327" s="2">
        <v>664</v>
      </c>
      <c r="I22327" s="2">
        <v>3751</v>
      </c>
      <c r="J22327" s="2">
        <v>5727</v>
      </c>
      <c r="K22327" s="2">
        <v>36</v>
      </c>
      <c r="L22327" s="2">
        <v>699</v>
      </c>
    </row>
    <row r="22328" spans="1:12" x14ac:dyDescent="0.25">
      <c r="A22328" s="4" t="str">
        <f>HYPERLINK("http://www.rosaceae.org/Prunus/Prunus_persica/p.persica_gdr_reftransV1_0013044","p.persica_gdr_reftransV1_0013044")</f>
        <v>p.persica_gdr_reftransV1_0013044</v>
      </c>
      <c r="B22328" s="2">
        <v>2048</v>
      </c>
      <c r="C22328" s="4" t="str">
        <f>HYPERLINK("http://www.uniprot.org/uniprot/M5WBA6","M5WBA6")</f>
        <v>M5WBA6</v>
      </c>
      <c r="D22328" s="2" t="s">
        <v>16500</v>
      </c>
      <c r="E22328" s="3">
        <v>3.7100000000000001E-116</v>
      </c>
      <c r="F22328" s="2">
        <v>962</v>
      </c>
      <c r="G22328" s="2">
        <v>100</v>
      </c>
      <c r="H22328" s="2">
        <v>176</v>
      </c>
      <c r="I22328" s="2">
        <v>1521</v>
      </c>
      <c r="J22328" s="2">
        <v>2048</v>
      </c>
      <c r="K22328" s="2">
        <v>488</v>
      </c>
      <c r="L22328" s="2">
        <v>663</v>
      </c>
    </row>
    <row r="22329" spans="1:12" x14ac:dyDescent="0.25">
      <c r="A22329" s="4" t="str">
        <f>HYPERLINK("http://www.rosaceae.org/Prunus/Prunus_persica/p.persica_gdr_reftransV1_0013394","p.persica_gdr_reftransV1_0013394")</f>
        <v>p.persica_gdr_reftransV1_0013394</v>
      </c>
      <c r="B22329" s="2">
        <v>1405</v>
      </c>
      <c r="C22329" s="4" t="str">
        <f>HYPERLINK("http://www.uniprot.org/uniprot/M5XV72","M5XV72")</f>
        <v>M5XV72</v>
      </c>
      <c r="D22329" s="2" t="s">
        <v>16501</v>
      </c>
      <c r="E22329" s="3">
        <v>7.3700000000000002E-161</v>
      </c>
      <c r="F22329" s="2">
        <v>1203</v>
      </c>
      <c r="G22329" s="2">
        <v>89</v>
      </c>
      <c r="H22329" s="2">
        <v>263</v>
      </c>
      <c r="I22329" s="2">
        <v>592</v>
      </c>
      <c r="J22329" s="2">
        <v>1305</v>
      </c>
      <c r="K22329" s="2">
        <v>1</v>
      </c>
      <c r="L22329" s="2">
        <v>263</v>
      </c>
    </row>
    <row r="22330" spans="1:12" x14ac:dyDescent="0.25">
      <c r="A22330" s="4" t="str">
        <f>HYPERLINK("http://www.rosaceae.org/Prunus/Prunus_persica/p.persica_gdr_reftransV1_0013744","p.persica_gdr_reftransV1_0013744")</f>
        <v>p.persica_gdr_reftransV1_0013744</v>
      </c>
      <c r="B22330" s="2">
        <v>2013</v>
      </c>
      <c r="C22330" s="4" t="str">
        <f>HYPERLINK("http://www.uniprot.org/uniprot/M5WPS8","M5WPS8")</f>
        <v>M5WPS8</v>
      </c>
      <c r="D22330" s="2" t="s">
        <v>9565</v>
      </c>
      <c r="E22330" s="3">
        <v>0</v>
      </c>
      <c r="F22330" s="2">
        <v>1359</v>
      </c>
      <c r="G22330" s="2">
        <v>100</v>
      </c>
      <c r="H22330" s="2">
        <v>254</v>
      </c>
      <c r="I22330" s="2">
        <v>514</v>
      </c>
      <c r="J22330" s="2">
        <v>1275</v>
      </c>
      <c r="K22330" s="2">
        <v>1</v>
      </c>
      <c r="L22330" s="2">
        <v>254</v>
      </c>
    </row>
    <row r="22331" spans="1:12" x14ac:dyDescent="0.25">
      <c r="A22331" s="4" t="str">
        <f>HYPERLINK("http://www.rosaceae.org/Prunus/Prunus_persica/p.persica_gdr_reftransV1_0015144","p.persica_gdr_reftransV1_0015144")</f>
        <v>p.persica_gdr_reftransV1_0015144</v>
      </c>
      <c r="B22331" s="2">
        <v>1307</v>
      </c>
      <c r="C22331" s="4" t="str">
        <f>HYPERLINK("http://www.uniprot.org/uniprot/M5XV82","M5XV82")</f>
        <v>M5XV82</v>
      </c>
      <c r="D22331" s="2" t="s">
        <v>16502</v>
      </c>
      <c r="E22331" s="3">
        <v>4.7099999999999999E-172</v>
      </c>
      <c r="F22331" s="2">
        <v>1276</v>
      </c>
      <c r="G22331" s="2">
        <v>100</v>
      </c>
      <c r="H22331" s="2">
        <v>290</v>
      </c>
      <c r="I22331" s="2">
        <v>425</v>
      </c>
      <c r="J22331" s="2">
        <v>1294</v>
      </c>
      <c r="K22331" s="2">
        <v>1</v>
      </c>
      <c r="L22331" s="2">
        <v>290</v>
      </c>
    </row>
    <row r="22332" spans="1:12" x14ac:dyDescent="0.25">
      <c r="A22332" s="4" t="str">
        <f>HYPERLINK("http://www.rosaceae.org/Prunus/Prunus_persica/p.persica_gdr_reftransV1_0015494","p.persica_gdr_reftransV1_0015494")</f>
        <v>p.persica_gdr_reftransV1_0015494</v>
      </c>
      <c r="B22332" s="2">
        <v>1948</v>
      </c>
      <c r="C22332" s="4" t="str">
        <f>HYPERLINK("http://www.uniprot.org/uniprot/M5WTW2","M5WTW2")</f>
        <v>M5WTW2</v>
      </c>
      <c r="D22332" s="2" t="s">
        <v>140</v>
      </c>
      <c r="E22332" s="3">
        <v>0</v>
      </c>
      <c r="F22332" s="2">
        <v>2543</v>
      </c>
      <c r="G22332" s="2">
        <v>100</v>
      </c>
      <c r="H22332" s="2">
        <v>514</v>
      </c>
      <c r="I22332" s="2">
        <v>129</v>
      </c>
      <c r="J22332" s="2">
        <v>1670</v>
      </c>
      <c r="K22332" s="2">
        <v>15</v>
      </c>
      <c r="L22332" s="2">
        <v>528</v>
      </c>
    </row>
    <row r="22333" spans="1:12" x14ac:dyDescent="0.25">
      <c r="A22333" s="4" t="str">
        <f>HYPERLINK("http://www.rosaceae.org/Prunus/Prunus_persica/p.persica_gdr_reftransV1_0016194","p.persica_gdr_reftransV1_0016194")</f>
        <v>p.persica_gdr_reftransV1_0016194</v>
      </c>
      <c r="B22333" s="2">
        <v>1715</v>
      </c>
      <c r="C22333" s="4" t="str">
        <f>HYPERLINK("http://www.uniprot.org/uniprot/M5WE61","M5WE61")</f>
        <v>M5WE61</v>
      </c>
      <c r="D22333" s="2" t="s">
        <v>16503</v>
      </c>
      <c r="E22333" s="3">
        <v>0</v>
      </c>
      <c r="F22333" s="2">
        <v>2305</v>
      </c>
      <c r="G22333" s="2">
        <v>100</v>
      </c>
      <c r="H22333" s="2">
        <v>428</v>
      </c>
      <c r="I22333" s="2">
        <v>363</v>
      </c>
      <c r="J22333" s="2">
        <v>1646</v>
      </c>
      <c r="K22333" s="2">
        <v>1</v>
      </c>
      <c r="L22333" s="2">
        <v>428</v>
      </c>
    </row>
    <row r="22334" spans="1:12" x14ac:dyDescent="0.25">
      <c r="A22334" s="4" t="str">
        <f>HYPERLINK("http://www.rosaceae.org/Prunus/Prunus_persica/p.persica_gdr_reftransV1_0017594","p.persica_gdr_reftransV1_0017594")</f>
        <v>p.persica_gdr_reftransV1_0017594</v>
      </c>
      <c r="B22334" s="2">
        <v>1174</v>
      </c>
      <c r="C22334" s="4" t="str">
        <f>HYPERLINK("http://www.uniprot.org/uniprot/M5XDK6","M5XDK6")</f>
        <v>M5XDK6</v>
      </c>
      <c r="D22334" s="2" t="s">
        <v>16504</v>
      </c>
      <c r="E22334" s="3">
        <v>8.6599999999999999E-61</v>
      </c>
      <c r="F22334" s="2">
        <v>392</v>
      </c>
      <c r="G22334" s="2">
        <v>99</v>
      </c>
      <c r="H22334" s="2">
        <v>106</v>
      </c>
      <c r="I22334" s="2">
        <v>746</v>
      </c>
      <c r="J22334" s="2">
        <v>1063</v>
      </c>
      <c r="K22334" s="2">
        <v>29</v>
      </c>
      <c r="L22334" s="2">
        <v>134</v>
      </c>
    </row>
    <row r="22335" spans="1:12" x14ac:dyDescent="0.25">
      <c r="A22335" s="4" t="str">
        <f>HYPERLINK("http://www.rosaceae.org/Prunus/Prunus_persica/p.persica_gdr_reftransV1_0018644","p.persica_gdr_reftransV1_0018644")</f>
        <v>p.persica_gdr_reftransV1_0018644</v>
      </c>
      <c r="B22335" s="2">
        <v>2351</v>
      </c>
      <c r="C22335" s="4" t="str">
        <f>HYPERLINK("http://www.uniprot.org/uniprot/M5WVF3","M5WVF3")</f>
        <v>M5WVF3</v>
      </c>
      <c r="D22335" s="2" t="s">
        <v>16314</v>
      </c>
      <c r="E22335" s="3">
        <v>0</v>
      </c>
      <c r="F22335" s="2">
        <v>1962</v>
      </c>
      <c r="G22335" s="2">
        <v>89</v>
      </c>
      <c r="H22335" s="2">
        <v>442</v>
      </c>
      <c r="I22335" s="2">
        <v>101</v>
      </c>
      <c r="J22335" s="2">
        <v>1408</v>
      </c>
      <c r="K22335" s="2">
        <v>1</v>
      </c>
      <c r="L22335" s="2">
        <v>421</v>
      </c>
    </row>
    <row r="22336" spans="1:12" x14ac:dyDescent="0.25">
      <c r="A22336" s="4" t="str">
        <f>HYPERLINK("http://www.rosaceae.org/Prunus/Prunus_persica/p.persica_gdr_reftransV1_0018994","p.persica_gdr_reftransV1_0018994")</f>
        <v>p.persica_gdr_reftransV1_0018994</v>
      </c>
      <c r="B22336" s="2">
        <v>1105</v>
      </c>
      <c r="C22336" s="4" t="str">
        <f>HYPERLINK("http://www.uniprot.org/uniprot/M5WFM2","M5WFM2")</f>
        <v>M5WFM2</v>
      </c>
      <c r="D22336" s="2" t="s">
        <v>15756</v>
      </c>
      <c r="E22336" s="3">
        <v>3.8999999999999998E-132</v>
      </c>
      <c r="F22336" s="2">
        <v>1086</v>
      </c>
      <c r="G22336" s="2">
        <v>100</v>
      </c>
      <c r="H22336" s="2">
        <v>248</v>
      </c>
      <c r="I22336" s="2">
        <v>361</v>
      </c>
      <c r="J22336" s="2">
        <v>1104</v>
      </c>
      <c r="K22336" s="2">
        <v>1</v>
      </c>
      <c r="L22336" s="2">
        <v>248</v>
      </c>
    </row>
    <row r="22337" spans="1:12" x14ac:dyDescent="0.25">
      <c r="A22337" s="4" t="str">
        <f>HYPERLINK("http://www.rosaceae.org/Prunus/Prunus_persica/p.persica_gdr_reftransV1_0020044","p.persica_gdr_reftransV1_0020044")</f>
        <v>p.persica_gdr_reftransV1_0020044</v>
      </c>
      <c r="B22337" s="2">
        <v>1752</v>
      </c>
      <c r="C22337" s="4" t="str">
        <f>HYPERLINK("http://www.uniprot.org/uniprot/M5WTG7","M5WTG7")</f>
        <v>M5WTG7</v>
      </c>
      <c r="D22337" s="2" t="s">
        <v>16505</v>
      </c>
      <c r="E22337" s="3">
        <v>0</v>
      </c>
      <c r="F22337" s="2">
        <v>2386</v>
      </c>
      <c r="G22337" s="2">
        <v>100</v>
      </c>
      <c r="H22337" s="2">
        <v>477</v>
      </c>
      <c r="I22337" s="2">
        <v>271</v>
      </c>
      <c r="J22337" s="2">
        <v>1701</v>
      </c>
      <c r="K22337" s="2">
        <v>1</v>
      </c>
      <c r="L22337" s="2">
        <v>477</v>
      </c>
    </row>
    <row r="22338" spans="1:12" x14ac:dyDescent="0.25">
      <c r="A22338" s="4" t="str">
        <f>HYPERLINK("http://www.rosaceae.org/Prunus/Prunus_persica/p.persica_gdr_reftransV1_0020394","p.persica_gdr_reftransV1_0020394")</f>
        <v>p.persica_gdr_reftransV1_0020394</v>
      </c>
      <c r="B22338" s="2">
        <v>1218</v>
      </c>
      <c r="C22338" s="4" t="str">
        <f>HYPERLINK("http://www.uniprot.org/uniprot/M5X1D1","M5X1D1")</f>
        <v>M5X1D1</v>
      </c>
      <c r="D22338" s="2" t="s">
        <v>16506</v>
      </c>
      <c r="E22338" s="3">
        <v>9.1199999999999996E-113</v>
      </c>
      <c r="F22338" s="2">
        <v>869</v>
      </c>
      <c r="G22338" s="2">
        <v>100</v>
      </c>
      <c r="H22338" s="2">
        <v>163</v>
      </c>
      <c r="I22338" s="2">
        <v>683</v>
      </c>
      <c r="J22338" s="2">
        <v>1171</v>
      </c>
      <c r="K22338" s="2">
        <v>1</v>
      </c>
      <c r="L22338" s="2">
        <v>163</v>
      </c>
    </row>
    <row r="22339" spans="1:12" x14ac:dyDescent="0.25">
      <c r="A22339" s="4" t="str">
        <f>HYPERLINK("http://www.rosaceae.org/Prunus/Prunus_persica/p.persica_gdr_reftransV1_0021794","p.persica_gdr_reftransV1_0021794")</f>
        <v>p.persica_gdr_reftransV1_0021794</v>
      </c>
      <c r="B22339" s="2">
        <v>2169</v>
      </c>
      <c r="C22339" s="4" t="str">
        <f>HYPERLINK("http://www.uniprot.org/uniprot/M5WM49","M5WM49")</f>
        <v>M5WM49</v>
      </c>
      <c r="D22339" s="2" t="s">
        <v>16507</v>
      </c>
      <c r="E22339" s="3">
        <v>0</v>
      </c>
      <c r="F22339" s="2">
        <v>2074</v>
      </c>
      <c r="G22339" s="2">
        <v>100</v>
      </c>
      <c r="H22339" s="2">
        <v>420</v>
      </c>
      <c r="I22339" s="2">
        <v>818</v>
      </c>
      <c r="J22339" s="2">
        <v>2077</v>
      </c>
      <c r="K22339" s="2">
        <v>1</v>
      </c>
      <c r="L22339" s="2">
        <v>420</v>
      </c>
    </row>
    <row r="22340" spans="1:12" x14ac:dyDescent="0.25">
      <c r="A22340" s="4" t="str">
        <f>HYPERLINK("http://www.rosaceae.org/Prunus/Prunus_persica/p.persica_gdr_reftransV1_0023544","p.persica_gdr_reftransV1_0023544")</f>
        <v>p.persica_gdr_reftransV1_0023544</v>
      </c>
      <c r="B22340" s="2">
        <v>5759</v>
      </c>
      <c r="C22340" s="4" t="str">
        <f>HYPERLINK("http://www.uniprot.org/uniprot/M5VX69","M5VX69")</f>
        <v>M5VX69</v>
      </c>
      <c r="D22340" s="2" t="s">
        <v>16508</v>
      </c>
      <c r="E22340" s="3">
        <v>0</v>
      </c>
      <c r="F22340" s="2">
        <v>7936</v>
      </c>
      <c r="G22340" s="2">
        <v>100</v>
      </c>
      <c r="H22340" s="2">
        <v>1481</v>
      </c>
      <c r="I22340" s="2">
        <v>980</v>
      </c>
      <c r="J22340" s="2">
        <v>5422</v>
      </c>
      <c r="K22340" s="2">
        <v>1</v>
      </c>
      <c r="L22340" s="2">
        <v>1481</v>
      </c>
    </row>
    <row r="22341" spans="1:12" x14ac:dyDescent="0.25">
      <c r="A22341" s="4" t="str">
        <f>HYPERLINK("http://www.rosaceae.org/Prunus/Prunus_persica/p.persica_gdr_reftransV1_0024244","p.persica_gdr_reftransV1_0024244")</f>
        <v>p.persica_gdr_reftransV1_0024244</v>
      </c>
      <c r="B22341" s="2">
        <v>3517</v>
      </c>
      <c r="C22341" s="4" t="str">
        <f>HYPERLINK("http://www.uniprot.org/uniprot/M5WMD0","M5WMD0")</f>
        <v>M5WMD0</v>
      </c>
      <c r="D22341" s="2" t="s">
        <v>15372</v>
      </c>
      <c r="E22341" s="3">
        <v>0</v>
      </c>
      <c r="F22341" s="2">
        <v>4677</v>
      </c>
      <c r="G22341" s="2">
        <v>100</v>
      </c>
      <c r="H22341" s="2">
        <v>905</v>
      </c>
      <c r="I22341" s="2">
        <v>455</v>
      </c>
      <c r="J22341" s="2">
        <v>3169</v>
      </c>
      <c r="K22341" s="2">
        <v>1</v>
      </c>
      <c r="L22341" s="2">
        <v>905</v>
      </c>
    </row>
    <row r="22342" spans="1:12" x14ac:dyDescent="0.25">
      <c r="A22342" s="4" t="str">
        <f>HYPERLINK("http://www.rosaceae.org/Prunus/Prunus_persica/p.persica_gdr_reftransV1_0024594","p.persica_gdr_reftransV1_0024594")</f>
        <v>p.persica_gdr_reftransV1_0024594</v>
      </c>
      <c r="B22342" s="2">
        <v>1435</v>
      </c>
      <c r="C22342" s="4" t="str">
        <f>HYPERLINK("http://www.uniprot.org/uniprot/M5XP73","M5XP73")</f>
        <v>M5XP73</v>
      </c>
      <c r="D22342" s="2" t="s">
        <v>16509</v>
      </c>
      <c r="E22342" s="3">
        <v>6.0099999999999999E-108</v>
      </c>
      <c r="F22342" s="2">
        <v>849</v>
      </c>
      <c r="G22342" s="2">
        <v>99</v>
      </c>
      <c r="H22342" s="2">
        <v>161</v>
      </c>
      <c r="I22342" s="2">
        <v>859</v>
      </c>
      <c r="J22342" s="2">
        <v>1341</v>
      </c>
      <c r="K22342" s="2">
        <v>27</v>
      </c>
      <c r="L22342" s="2">
        <v>187</v>
      </c>
    </row>
    <row r="22343" spans="1:12" x14ac:dyDescent="0.25">
      <c r="A22343" s="4" t="str">
        <f>HYPERLINK("http://www.rosaceae.org/Prunus/Prunus_persica/p.persica_gdr_reftransV1_0026344","p.persica_gdr_reftransV1_0026344")</f>
        <v>p.persica_gdr_reftransV1_0026344</v>
      </c>
      <c r="B22343" s="2">
        <v>301</v>
      </c>
      <c r="C22343" s="4" t="str">
        <f>HYPERLINK("http://www.uniprot.org/uniprot/M5WQM9","M5WQM9")</f>
        <v>M5WQM9</v>
      </c>
      <c r="D22343" s="2" t="s">
        <v>7788</v>
      </c>
      <c r="E22343" s="3">
        <v>8.1100000000000008E-18</v>
      </c>
      <c r="F22343" s="2">
        <v>214</v>
      </c>
      <c r="G22343" s="2">
        <v>60</v>
      </c>
      <c r="H22343" s="2">
        <v>98</v>
      </c>
      <c r="I22343" s="2">
        <v>3</v>
      </c>
      <c r="J22343" s="2">
        <v>287</v>
      </c>
      <c r="K22343" s="2">
        <v>307</v>
      </c>
      <c r="L22343" s="2">
        <v>379</v>
      </c>
    </row>
    <row r="22344" spans="1:12" x14ac:dyDescent="0.25">
      <c r="A22344" s="4" t="str">
        <f>HYPERLINK("http://www.rosaceae.org/Prunus/Prunus_persica/p.persica_gdr_reftransV1_0027744","p.persica_gdr_reftransV1_0027744")</f>
        <v>p.persica_gdr_reftransV1_0027744</v>
      </c>
      <c r="B22344" s="2">
        <v>1566</v>
      </c>
      <c r="C22344" s="4" t="str">
        <f>HYPERLINK("http://www.uniprot.org/uniprot/M5Y6U6","M5Y6U6")</f>
        <v>M5Y6U6</v>
      </c>
      <c r="D22344" s="2" t="s">
        <v>7669</v>
      </c>
      <c r="E22344" s="3">
        <v>0</v>
      </c>
      <c r="F22344" s="2">
        <v>1686</v>
      </c>
      <c r="G22344" s="2">
        <v>91</v>
      </c>
      <c r="H22344" s="2">
        <v>400</v>
      </c>
      <c r="I22344" s="2">
        <v>53</v>
      </c>
      <c r="J22344" s="2">
        <v>1252</v>
      </c>
      <c r="K22344" s="2">
        <v>1</v>
      </c>
      <c r="L22344" s="2">
        <v>371</v>
      </c>
    </row>
    <row r="22345" spans="1:12" x14ac:dyDescent="0.25">
      <c r="A22345" s="4" t="str">
        <f>HYPERLINK("http://www.rosaceae.org/Prunus/Prunus_persica/p.persica_gdr_reftransV1_0028794","p.persica_gdr_reftransV1_0028794")</f>
        <v>p.persica_gdr_reftransV1_0028794</v>
      </c>
      <c r="B22345" s="2">
        <v>355</v>
      </c>
      <c r="C22345" s="4" t="str">
        <f>HYPERLINK("http://www.uniprot.org/uniprot/M5W2U0","M5W2U0")</f>
        <v>M5W2U0</v>
      </c>
      <c r="D22345" s="2" t="s">
        <v>16510</v>
      </c>
      <c r="E22345" s="3">
        <v>2.55E-80</v>
      </c>
      <c r="F22345" s="2">
        <v>643</v>
      </c>
      <c r="G22345" s="2">
        <v>100</v>
      </c>
      <c r="H22345" s="2">
        <v>118</v>
      </c>
      <c r="I22345" s="2">
        <v>2</v>
      </c>
      <c r="J22345" s="2">
        <v>355</v>
      </c>
      <c r="K22345" s="2">
        <v>143</v>
      </c>
      <c r="L22345" s="2">
        <v>260</v>
      </c>
    </row>
    <row r="22346" spans="1:12" x14ac:dyDescent="0.25">
      <c r="A22346" s="4" t="str">
        <f>HYPERLINK("http://www.rosaceae.org/Prunus/Prunus_persica/p.persica_gdr_reftransV1_0029844","p.persica_gdr_reftransV1_0029844")</f>
        <v>p.persica_gdr_reftransV1_0029844</v>
      </c>
      <c r="B22346" s="2">
        <v>2435</v>
      </c>
      <c r="C22346" s="4" t="str">
        <f>HYPERLINK("http://www.uniprot.org/uniprot/M5VXJ1","M5VXJ1")</f>
        <v>M5VXJ1</v>
      </c>
      <c r="D22346" s="2" t="s">
        <v>14679</v>
      </c>
      <c r="E22346" s="3">
        <v>0</v>
      </c>
      <c r="F22346" s="2">
        <v>2770</v>
      </c>
      <c r="G22346" s="2">
        <v>100</v>
      </c>
      <c r="H22346" s="2">
        <v>541</v>
      </c>
      <c r="I22346" s="2">
        <v>104</v>
      </c>
      <c r="J22346" s="2">
        <v>1726</v>
      </c>
      <c r="K22346" s="2">
        <v>1</v>
      </c>
      <c r="L22346" s="2">
        <v>541</v>
      </c>
    </row>
    <row r="22347" spans="1:12" x14ac:dyDescent="0.25">
      <c r="A22347" s="4" t="str">
        <f>HYPERLINK("http://www.rosaceae.org/Prunus/Prunus_persica/p.persica_gdr_reftransV1_0030194","p.persica_gdr_reftransV1_0030194")</f>
        <v>p.persica_gdr_reftransV1_0030194</v>
      </c>
      <c r="B22347" s="2">
        <v>2705</v>
      </c>
      <c r="C22347" s="4" t="str">
        <f>HYPERLINK("http://www.uniprot.org/uniprot/M5XK11","M5XK11")</f>
        <v>M5XK11</v>
      </c>
      <c r="D22347" s="2" t="s">
        <v>16511</v>
      </c>
      <c r="E22347" s="3">
        <v>0</v>
      </c>
      <c r="F22347" s="2">
        <v>1770</v>
      </c>
      <c r="G22347" s="2">
        <v>98</v>
      </c>
      <c r="H22347" s="2">
        <v>338</v>
      </c>
      <c r="I22347" s="2">
        <v>1065</v>
      </c>
      <c r="J22347" s="2">
        <v>2078</v>
      </c>
      <c r="K22347" s="2">
        <v>200</v>
      </c>
      <c r="L22347" s="2">
        <v>537</v>
      </c>
    </row>
    <row r="22348" spans="1:12" x14ac:dyDescent="0.25">
      <c r="A22348" s="4" t="str">
        <f>HYPERLINK("http://www.rosaceae.org/Prunus/Prunus_persica/p.persica_gdr_reftransV1_0031594","p.persica_gdr_reftransV1_0031594")</f>
        <v>p.persica_gdr_reftransV1_0031594</v>
      </c>
      <c r="B22348" s="2">
        <v>708</v>
      </c>
      <c r="C22348" s="4" t="str">
        <f>HYPERLINK("http://www.uniprot.org/uniprot/M5XR52","M5XR52")</f>
        <v>M5XR52</v>
      </c>
      <c r="D22348" s="2" t="s">
        <v>16512</v>
      </c>
      <c r="E22348" s="3">
        <v>2.9100000000000002E-69</v>
      </c>
      <c r="F22348" s="2">
        <v>566</v>
      </c>
      <c r="G22348" s="2">
        <v>99</v>
      </c>
      <c r="H22348" s="2">
        <v>135</v>
      </c>
      <c r="I22348" s="2">
        <v>304</v>
      </c>
      <c r="J22348" s="2">
        <v>708</v>
      </c>
      <c r="K22348" s="2">
        <v>52</v>
      </c>
      <c r="L22348" s="2">
        <v>186</v>
      </c>
    </row>
    <row r="22349" spans="1:12" x14ac:dyDescent="0.25">
      <c r="A22349" s="4" t="str">
        <f>HYPERLINK("http://www.rosaceae.org/Prunus/Prunus_persica/p.persica_gdr_reftransV1_0031944","p.persica_gdr_reftransV1_0031944")</f>
        <v>p.persica_gdr_reftransV1_0031944</v>
      </c>
      <c r="B22349" s="2">
        <v>2391</v>
      </c>
      <c r="C22349" s="4" t="str">
        <f>HYPERLINK("http://www.uniprot.org/uniprot/M5W3W4","M5W3W4")</f>
        <v>M5W3W4</v>
      </c>
      <c r="D22349" s="2" t="s">
        <v>16513</v>
      </c>
      <c r="E22349" s="3">
        <v>4.6199999999999999E-136</v>
      </c>
      <c r="F22349" s="2">
        <v>1068</v>
      </c>
      <c r="G22349" s="2">
        <v>100</v>
      </c>
      <c r="H22349" s="2">
        <v>239</v>
      </c>
      <c r="I22349" s="2">
        <v>1535</v>
      </c>
      <c r="J22349" s="2">
        <v>2251</v>
      </c>
      <c r="K22349" s="2">
        <v>1</v>
      </c>
      <c r="L22349" s="2">
        <v>239</v>
      </c>
    </row>
    <row r="22350" spans="1:12" x14ac:dyDescent="0.25">
      <c r="A22350" s="4" t="str">
        <f>HYPERLINK("http://www.rosaceae.org/Prunus/Prunus_persica/p.persica_gdr_reftransV1_0033344","p.persica_gdr_reftransV1_0033344")</f>
        <v>p.persica_gdr_reftransV1_0033344</v>
      </c>
      <c r="B22350" s="2">
        <v>2101</v>
      </c>
      <c r="C22350" s="4" t="str">
        <f>HYPERLINK("http://www.uniprot.org/uniprot/F6H4P3","F6H4P3")</f>
        <v>F6H4P3</v>
      </c>
      <c r="D22350" s="2" t="s">
        <v>16514</v>
      </c>
      <c r="E22350" s="3">
        <v>0</v>
      </c>
      <c r="F22350" s="2">
        <v>1793</v>
      </c>
      <c r="G22350" s="2">
        <v>81</v>
      </c>
      <c r="H22350" s="2">
        <v>415</v>
      </c>
      <c r="I22350" s="2">
        <v>855</v>
      </c>
      <c r="J22350" s="2">
        <v>2099</v>
      </c>
      <c r="K22350" s="2">
        <v>371</v>
      </c>
      <c r="L22350" s="2">
        <v>785</v>
      </c>
    </row>
    <row r="22351" spans="1:12" x14ac:dyDescent="0.25">
      <c r="A22351" s="4" t="str">
        <f>HYPERLINK("http://www.rosaceae.org/Prunus/Prunus_persica/p.persica_gdr_reftransV1_0033694","p.persica_gdr_reftransV1_0033694")</f>
        <v>p.persica_gdr_reftransV1_0033694</v>
      </c>
      <c r="B22351" s="2">
        <v>1517</v>
      </c>
      <c r="C22351" s="4" t="str">
        <f>HYPERLINK("http://www.uniprot.org/uniprot/M5XY68","M5XY68")</f>
        <v>M5XY68</v>
      </c>
      <c r="D22351" s="2" t="s">
        <v>8265</v>
      </c>
      <c r="E22351" s="3">
        <v>0</v>
      </c>
      <c r="F22351" s="2">
        <v>2072</v>
      </c>
      <c r="G22351" s="2">
        <v>100</v>
      </c>
      <c r="H22351" s="2">
        <v>388</v>
      </c>
      <c r="I22351" s="2">
        <v>352</v>
      </c>
      <c r="J22351" s="2">
        <v>1515</v>
      </c>
      <c r="K22351" s="2">
        <v>97</v>
      </c>
      <c r="L22351" s="2">
        <v>484</v>
      </c>
    </row>
    <row r="22352" spans="1:12" x14ac:dyDescent="0.25">
      <c r="A22352" s="4" t="str">
        <f>HYPERLINK("http://www.rosaceae.org/Prunus/Prunus_persica/p.persica_gdr_reftransV1_0034044","p.persica_gdr_reftransV1_0034044")</f>
        <v>p.persica_gdr_reftransV1_0034044</v>
      </c>
      <c r="B22352" s="2">
        <v>1655</v>
      </c>
      <c r="C22352" s="4" t="str">
        <f>HYPERLINK("http://www.uniprot.org/uniprot/M5WK59","M5WK59")</f>
        <v>M5WK59</v>
      </c>
      <c r="D22352" s="2" t="s">
        <v>16515</v>
      </c>
      <c r="E22352" s="3">
        <v>1.1400000000000001E-93</v>
      </c>
      <c r="F22352" s="2">
        <v>756</v>
      </c>
      <c r="G22352" s="2">
        <v>100</v>
      </c>
      <c r="H22352" s="2">
        <v>161</v>
      </c>
      <c r="I22352" s="2">
        <v>521</v>
      </c>
      <c r="J22352" s="2">
        <v>1003</v>
      </c>
      <c r="K22352" s="2">
        <v>1</v>
      </c>
      <c r="L22352" s="2">
        <v>161</v>
      </c>
    </row>
    <row r="22353" spans="1:12" x14ac:dyDescent="0.25">
      <c r="A22353" s="4" t="str">
        <f>HYPERLINK("http://www.rosaceae.org/Prunus/Prunus_persica/p.persica_gdr_reftransV1_0034744","p.persica_gdr_reftransV1_0034744")</f>
        <v>p.persica_gdr_reftransV1_0034744</v>
      </c>
      <c r="B22353" s="2">
        <v>4830</v>
      </c>
      <c r="C22353" s="4" t="str">
        <f>HYPERLINK("http://www.uniprot.org/uniprot/M5W139","M5W139")</f>
        <v>M5W139</v>
      </c>
      <c r="D22353" s="2" t="s">
        <v>16516</v>
      </c>
      <c r="E22353" s="3">
        <v>0</v>
      </c>
      <c r="F22353" s="2">
        <v>3984</v>
      </c>
      <c r="G22353" s="2">
        <v>96</v>
      </c>
      <c r="H22353" s="2">
        <v>825</v>
      </c>
      <c r="I22353" s="2">
        <v>1732</v>
      </c>
      <c r="J22353" s="2">
        <v>4206</v>
      </c>
      <c r="K22353" s="2">
        <v>79</v>
      </c>
      <c r="L22353" s="2">
        <v>868</v>
      </c>
    </row>
    <row r="22354" spans="1:12" x14ac:dyDescent="0.25">
      <c r="A22354" s="4" t="str">
        <f>HYPERLINK("http://www.rosaceae.org/Prunus/Prunus_persica/p.persica_gdr_reftransV1_0037544","p.persica_gdr_reftransV1_0037544")</f>
        <v>p.persica_gdr_reftransV1_0037544</v>
      </c>
      <c r="B22354" s="2">
        <v>1395</v>
      </c>
      <c r="C22354" s="4" t="str">
        <f>HYPERLINK("http://www.uniprot.org/uniprot/M5W1A2","M5W1A2")</f>
        <v>M5W1A2</v>
      </c>
      <c r="D22354" s="2" t="s">
        <v>10917</v>
      </c>
      <c r="E22354" s="3">
        <v>0</v>
      </c>
      <c r="F22354" s="2">
        <v>1851</v>
      </c>
      <c r="G22354" s="2">
        <v>100</v>
      </c>
      <c r="H22354" s="2">
        <v>412</v>
      </c>
      <c r="I22354" s="2">
        <v>2</v>
      </c>
      <c r="J22354" s="2">
        <v>1237</v>
      </c>
      <c r="K22354" s="2">
        <v>246</v>
      </c>
      <c r="L22354" s="2">
        <v>657</v>
      </c>
    </row>
    <row r="22355" spans="1:12" x14ac:dyDescent="0.25">
      <c r="A22355" s="4" t="str">
        <f>HYPERLINK("http://www.rosaceae.org/Prunus/Prunus_persica/p.persica_gdr_reftransV1_0039644","p.persica_gdr_reftransV1_0039644")</f>
        <v>p.persica_gdr_reftransV1_0039644</v>
      </c>
      <c r="B22355" s="2">
        <v>1344</v>
      </c>
      <c r="C22355" s="4" t="str">
        <f>HYPERLINK("http://www.uniprot.org/uniprot/M5WBW6","M5WBW6")</f>
        <v>M5WBW6</v>
      </c>
      <c r="D22355" s="2" t="s">
        <v>16517</v>
      </c>
      <c r="E22355" s="3">
        <v>0</v>
      </c>
      <c r="F22355" s="2">
        <v>1538</v>
      </c>
      <c r="G22355" s="2">
        <v>100</v>
      </c>
      <c r="H22355" s="2">
        <v>322</v>
      </c>
      <c r="I22355" s="2">
        <v>246</v>
      </c>
      <c r="J22355" s="2">
        <v>1211</v>
      </c>
      <c r="K22355" s="2">
        <v>1</v>
      </c>
      <c r="L22355" s="2">
        <v>322</v>
      </c>
    </row>
    <row r="22356" spans="1:12" x14ac:dyDescent="0.25">
      <c r="A22356" s="4" t="str">
        <f>HYPERLINK("http://www.rosaceae.org/Prunus/Prunus_persica/p.persica_gdr_reftransV1_0039994","p.persica_gdr_reftransV1_0039994")</f>
        <v>p.persica_gdr_reftransV1_0039994</v>
      </c>
      <c r="B22356" s="2">
        <v>2258</v>
      </c>
      <c r="C22356" s="4" t="str">
        <f>HYPERLINK("http://www.uniprot.org/uniprot/M5VQA7","M5VQA7")</f>
        <v>M5VQA7</v>
      </c>
      <c r="D22356" s="2" t="s">
        <v>16518</v>
      </c>
      <c r="E22356" s="3">
        <v>0</v>
      </c>
      <c r="F22356" s="2">
        <v>1498</v>
      </c>
      <c r="G22356" s="2">
        <v>84</v>
      </c>
      <c r="H22356" s="2">
        <v>371</v>
      </c>
      <c r="I22356" s="2">
        <v>109</v>
      </c>
      <c r="J22356" s="2">
        <v>1221</v>
      </c>
      <c r="K22356" s="2">
        <v>1</v>
      </c>
      <c r="L22356" s="2">
        <v>319</v>
      </c>
    </row>
    <row r="22357" spans="1:12" x14ac:dyDescent="0.25">
      <c r="A22357" s="4" t="str">
        <f>HYPERLINK("http://www.rosaceae.org/Prunus/Prunus_persica/p.persica_gdr_reftransV1_0040694","p.persica_gdr_reftransV1_0040694")</f>
        <v>p.persica_gdr_reftransV1_0040694</v>
      </c>
      <c r="B22357" s="2">
        <v>2592</v>
      </c>
      <c r="C22357" s="4" t="str">
        <f>HYPERLINK("http://www.uniprot.org/uniprot/M5XEK6","M5XEK6")</f>
        <v>M5XEK6</v>
      </c>
      <c r="D22357" s="2" t="s">
        <v>4454</v>
      </c>
      <c r="E22357" s="3">
        <v>0</v>
      </c>
      <c r="F22357" s="2">
        <v>1879</v>
      </c>
      <c r="G22357" s="2">
        <v>100</v>
      </c>
      <c r="H22357" s="2">
        <v>351</v>
      </c>
      <c r="I22357" s="2">
        <v>1209</v>
      </c>
      <c r="J22357" s="2">
        <v>2261</v>
      </c>
      <c r="K22357" s="2">
        <v>1</v>
      </c>
      <c r="L22357" s="2">
        <v>351</v>
      </c>
    </row>
    <row r="22358" spans="1:12" x14ac:dyDescent="0.25">
      <c r="A22358" s="4" t="str">
        <f>HYPERLINK("http://www.rosaceae.org/Prunus/Prunus_persica/p.persica_gdr_reftransV1_0042094","p.persica_gdr_reftransV1_0042094")</f>
        <v>p.persica_gdr_reftransV1_0042094</v>
      </c>
      <c r="B22358" s="2">
        <v>3926</v>
      </c>
      <c r="C22358" s="4" t="str">
        <f>HYPERLINK("http://www.uniprot.org/uniprot/W9R5V8","W9R5V8")</f>
        <v>W9R5V8</v>
      </c>
      <c r="D22358" s="2" t="s">
        <v>16519</v>
      </c>
      <c r="E22358" s="3">
        <v>2.97E-177</v>
      </c>
      <c r="F22358" s="2">
        <v>1401</v>
      </c>
      <c r="G22358" s="2">
        <v>86</v>
      </c>
      <c r="H22358" s="2">
        <v>431</v>
      </c>
      <c r="I22358" s="2">
        <v>315</v>
      </c>
      <c r="J22358" s="2">
        <v>1604</v>
      </c>
      <c r="K22358" s="2">
        <v>16</v>
      </c>
      <c r="L22358" s="2">
        <v>445</v>
      </c>
    </row>
    <row r="22359" spans="1:12" x14ac:dyDescent="0.25">
      <c r="A22359" s="4" t="str">
        <f>HYPERLINK("http://www.rosaceae.org/Prunus/Prunus_persica/p.persica_gdr_reftransV1_0043144","p.persica_gdr_reftransV1_0043144")</f>
        <v>p.persica_gdr_reftransV1_0043144</v>
      </c>
      <c r="B22359" s="2">
        <v>1321</v>
      </c>
      <c r="C22359" s="4" t="str">
        <f>HYPERLINK("http://www.uniprot.org/uniprot/M5XW20","M5XW20")</f>
        <v>M5XW20</v>
      </c>
      <c r="D22359" s="2" t="s">
        <v>16520</v>
      </c>
      <c r="E22359" s="3">
        <v>1.78E-108</v>
      </c>
      <c r="F22359" s="2">
        <v>787</v>
      </c>
      <c r="G22359" s="2">
        <v>100</v>
      </c>
      <c r="H22359" s="2">
        <v>210</v>
      </c>
      <c r="I22359" s="2">
        <v>428</v>
      </c>
      <c r="J22359" s="2">
        <v>1057</v>
      </c>
      <c r="K22359" s="2">
        <v>60</v>
      </c>
      <c r="L22359" s="2">
        <v>269</v>
      </c>
    </row>
    <row r="22360" spans="1:12" x14ac:dyDescent="0.25">
      <c r="A22360" s="4" t="str">
        <f>HYPERLINK("http://www.rosaceae.org/Prunus/Prunus_persica/p.persica_gdr_reftransV1_0043494","p.persica_gdr_reftransV1_0043494")</f>
        <v>p.persica_gdr_reftransV1_0043494</v>
      </c>
      <c r="B22360" s="2">
        <v>501</v>
      </c>
      <c r="C22360" s="4" t="str">
        <f>HYPERLINK("http://www.uniprot.org/uniprot/M5WG20","M5WG20")</f>
        <v>M5WG20</v>
      </c>
      <c r="D22360" s="2" t="s">
        <v>12343</v>
      </c>
      <c r="E22360" s="3">
        <v>2.4500000000000001E-96</v>
      </c>
      <c r="F22360" s="2">
        <v>766</v>
      </c>
      <c r="G22360" s="2">
        <v>100</v>
      </c>
      <c r="H22360" s="2">
        <v>160</v>
      </c>
      <c r="I22360" s="2">
        <v>2</v>
      </c>
      <c r="J22360" s="2">
        <v>481</v>
      </c>
      <c r="K22360" s="2">
        <v>53</v>
      </c>
      <c r="L22360" s="2">
        <v>212</v>
      </c>
    </row>
    <row r="22361" spans="1:12" x14ac:dyDescent="0.25">
      <c r="A22361" s="4" t="str">
        <f>HYPERLINK("http://www.rosaceae.org/Prunus/Prunus_persica/p.persica_gdr_reftransV1_0043844","p.persica_gdr_reftransV1_0043844")</f>
        <v>p.persica_gdr_reftransV1_0043844</v>
      </c>
      <c r="B22361" s="2">
        <v>1481</v>
      </c>
      <c r="C22361" s="4" t="str">
        <f>HYPERLINK("http://www.uniprot.org/uniprot/M5XCY6","M5XCY6")</f>
        <v>M5XCY6</v>
      </c>
      <c r="D22361" s="2" t="s">
        <v>16521</v>
      </c>
      <c r="E22361" s="3">
        <v>0</v>
      </c>
      <c r="F22361" s="2">
        <v>2232</v>
      </c>
      <c r="G22361" s="2">
        <v>100</v>
      </c>
      <c r="H22361" s="2">
        <v>419</v>
      </c>
      <c r="I22361" s="2">
        <v>94</v>
      </c>
      <c r="J22361" s="2">
        <v>1350</v>
      </c>
      <c r="K22361" s="2">
        <v>1</v>
      </c>
      <c r="L22361" s="2">
        <v>419</v>
      </c>
    </row>
    <row r="22362" spans="1:12" x14ac:dyDescent="0.25">
      <c r="A22362" s="4" t="str">
        <f>HYPERLINK("http://www.rosaceae.org/Prunus/Prunus_persica/p.persica_gdr_reftransV1_0044194","p.persica_gdr_reftransV1_0044194")</f>
        <v>p.persica_gdr_reftransV1_0044194</v>
      </c>
      <c r="B22362" s="2">
        <v>1543</v>
      </c>
      <c r="C22362" s="4" t="str">
        <f>HYPERLINK("http://www.uniprot.org/uniprot/M5XY31","M5XY31")</f>
        <v>M5XY31</v>
      </c>
      <c r="D22362" s="2" t="s">
        <v>8502</v>
      </c>
      <c r="E22362" s="3">
        <v>0</v>
      </c>
      <c r="F22362" s="2">
        <v>1694</v>
      </c>
      <c r="G22362" s="2">
        <v>100</v>
      </c>
      <c r="H22362" s="2">
        <v>451</v>
      </c>
      <c r="I22362" s="2">
        <v>108</v>
      </c>
      <c r="J22362" s="2">
        <v>1460</v>
      </c>
      <c r="K22362" s="2">
        <v>1</v>
      </c>
      <c r="L22362" s="2">
        <v>451</v>
      </c>
    </row>
    <row r="22363" spans="1:12" x14ac:dyDescent="0.25">
      <c r="A22363" s="4" t="str">
        <f>HYPERLINK("http://www.rosaceae.org/Prunus/Prunus_persica/p.persica_gdr_reftransV1_0044544","p.persica_gdr_reftransV1_0044544")</f>
        <v>p.persica_gdr_reftransV1_0044544</v>
      </c>
      <c r="B22363" s="2">
        <v>488</v>
      </c>
      <c r="C22363" s="4" t="str">
        <f>HYPERLINK("http://www.uniprot.org/uniprot/M5XFF6","M5XFF6")</f>
        <v>M5XFF6</v>
      </c>
      <c r="D22363" s="2" t="s">
        <v>4331</v>
      </c>
      <c r="E22363" s="3">
        <v>3.6399999999999997E-52</v>
      </c>
      <c r="F22363" s="2">
        <v>466</v>
      </c>
      <c r="G22363" s="2">
        <v>99</v>
      </c>
      <c r="H22363" s="2">
        <v>108</v>
      </c>
      <c r="I22363" s="2">
        <v>55</v>
      </c>
      <c r="J22363" s="2">
        <v>378</v>
      </c>
      <c r="K22363" s="2">
        <v>113</v>
      </c>
      <c r="L22363" s="2">
        <v>220</v>
      </c>
    </row>
    <row r="22364" spans="1:12" x14ac:dyDescent="0.25">
      <c r="A22364" s="4" t="str">
        <f>HYPERLINK("http://www.rosaceae.org/Prunus/Prunus_persica/p.persica_gdr_reftransV1_0044894","p.persica_gdr_reftransV1_0044894")</f>
        <v>p.persica_gdr_reftransV1_0044894</v>
      </c>
      <c r="B22364" s="2">
        <v>839</v>
      </c>
      <c r="C22364" s="4" t="str">
        <f>HYPERLINK("http://www.uniprot.org/uniprot/M5W936","M5W936")</f>
        <v>M5W936</v>
      </c>
      <c r="D22364" s="2" t="s">
        <v>2387</v>
      </c>
      <c r="E22364" s="3">
        <v>0</v>
      </c>
      <c r="F22364" s="2">
        <v>1431</v>
      </c>
      <c r="G22364" s="2">
        <v>100</v>
      </c>
      <c r="H22364" s="2">
        <v>279</v>
      </c>
      <c r="I22364" s="2">
        <v>1</v>
      </c>
      <c r="J22364" s="2">
        <v>837</v>
      </c>
      <c r="K22364" s="2">
        <v>233</v>
      </c>
      <c r="L22364" s="2">
        <v>511</v>
      </c>
    </row>
    <row r="22365" spans="1:12" x14ac:dyDescent="0.25">
      <c r="A22365" s="4" t="str">
        <f>HYPERLINK("http://www.rosaceae.org/Prunus/Prunus_persica/p.persica_gdr_reftransV1_0045244","p.persica_gdr_reftransV1_0045244")</f>
        <v>p.persica_gdr_reftransV1_0045244</v>
      </c>
      <c r="B22365" s="2">
        <v>593</v>
      </c>
      <c r="C22365" s="4" t="str">
        <f>HYPERLINK("http://www.uniprot.org/uniprot/Q0PHB0","Q0PHB0")</f>
        <v>Q0PHB0</v>
      </c>
      <c r="D22365" s="2" t="s">
        <v>16522</v>
      </c>
      <c r="E22365" s="3">
        <v>6.5300000000000003E-117</v>
      </c>
      <c r="F22365" s="2">
        <v>891</v>
      </c>
      <c r="G22365" s="2">
        <v>90</v>
      </c>
      <c r="H22365" s="2">
        <v>197</v>
      </c>
      <c r="I22365" s="2">
        <v>1</v>
      </c>
      <c r="J22365" s="2">
        <v>591</v>
      </c>
      <c r="K22365" s="2">
        <v>71</v>
      </c>
      <c r="L22365" s="2">
        <v>267</v>
      </c>
    </row>
    <row r="22366" spans="1:12" x14ac:dyDescent="0.25">
      <c r="A22366" s="4" t="str">
        <f>HYPERLINK("http://www.rosaceae.org/Prunus/Prunus_persica/p.persica_gdr_reftransV1_0045594","p.persica_gdr_reftransV1_0045594")</f>
        <v>p.persica_gdr_reftransV1_0045594</v>
      </c>
      <c r="B22366" s="2">
        <v>1125</v>
      </c>
      <c r="C22366" s="4" t="str">
        <f>HYPERLINK("http://www.uniprot.org/uniprot/F6I4I1","F6I4I1")</f>
        <v>F6I4I1</v>
      </c>
      <c r="D22366" s="2" t="s">
        <v>15044</v>
      </c>
      <c r="E22366" s="3">
        <v>2.6500000000000001E-96</v>
      </c>
      <c r="F22366" s="2">
        <v>645</v>
      </c>
      <c r="G22366" s="2">
        <v>66</v>
      </c>
      <c r="H22366" s="2">
        <v>197</v>
      </c>
      <c r="I22366" s="2">
        <v>177</v>
      </c>
      <c r="J22366" s="2">
        <v>755</v>
      </c>
      <c r="K22366" s="2">
        <v>6</v>
      </c>
      <c r="L22366" s="2">
        <v>166</v>
      </c>
    </row>
    <row r="22367" spans="1:12" x14ac:dyDescent="0.25">
      <c r="A22367" s="4" t="str">
        <f>HYPERLINK("http://www.rosaceae.org/Prunus/Prunus_persica/p.persica_gdr_reftransV1_0045944","p.persica_gdr_reftransV1_0045944")</f>
        <v>p.persica_gdr_reftransV1_0045944</v>
      </c>
      <c r="B22367" s="2">
        <v>4395</v>
      </c>
      <c r="C22367" s="4" t="str">
        <f>HYPERLINK("http://www.uniprot.org/uniprot/M5XKM7","M5XKM7")</f>
        <v>M5XKM7</v>
      </c>
      <c r="D22367" s="2" t="s">
        <v>16523</v>
      </c>
      <c r="E22367" s="3">
        <v>0</v>
      </c>
      <c r="F22367" s="2">
        <v>6012</v>
      </c>
      <c r="G22367" s="2">
        <v>99</v>
      </c>
      <c r="H22367" s="2">
        <v>1273</v>
      </c>
      <c r="I22367" s="2">
        <v>402</v>
      </c>
      <c r="J22367" s="2">
        <v>4220</v>
      </c>
      <c r="K22367" s="2">
        <v>1</v>
      </c>
      <c r="L22367" s="2">
        <v>1260</v>
      </c>
    </row>
    <row r="22368" spans="1:12" x14ac:dyDescent="0.25">
      <c r="A22368" s="4" t="str">
        <f>HYPERLINK("http://www.rosaceae.org/Prunus/Prunus_persica/p.persica_gdr_reftransV1_0046644","p.persica_gdr_reftransV1_0046644")</f>
        <v>p.persica_gdr_reftransV1_0046644</v>
      </c>
      <c r="B22368" s="2">
        <v>1734</v>
      </c>
      <c r="C22368" s="4" t="str">
        <f>HYPERLINK("http://www.uniprot.org/uniprot/M5XNS2","M5XNS2")</f>
        <v>M5XNS2</v>
      </c>
      <c r="D22368" s="2" t="s">
        <v>7730</v>
      </c>
      <c r="E22368" s="3">
        <v>0</v>
      </c>
      <c r="F22368" s="2">
        <v>2312</v>
      </c>
      <c r="G22368" s="2">
        <v>100</v>
      </c>
      <c r="H22368" s="2">
        <v>499</v>
      </c>
      <c r="I22368" s="2">
        <v>1</v>
      </c>
      <c r="J22368" s="2">
        <v>1497</v>
      </c>
      <c r="K22368" s="2">
        <v>268</v>
      </c>
      <c r="L22368" s="2">
        <v>766</v>
      </c>
    </row>
    <row r="22369" spans="1:12" x14ac:dyDescent="0.25">
      <c r="A22369" s="4" t="str">
        <f>HYPERLINK("http://www.rosaceae.org/Prunus/Prunus_persica/p.persica_gdr_reftransV1_0046994","p.persica_gdr_reftransV1_0046994")</f>
        <v>p.persica_gdr_reftransV1_0046994</v>
      </c>
      <c r="B22369" s="2">
        <v>3588</v>
      </c>
      <c r="C22369" s="4" t="str">
        <f>HYPERLINK("http://www.uniprot.org/uniprot/M5X779","M5X779")</f>
        <v>M5X779</v>
      </c>
      <c r="D22369" s="2" t="s">
        <v>2714</v>
      </c>
      <c r="E22369" s="3">
        <v>0</v>
      </c>
      <c r="F22369" s="2">
        <v>3875</v>
      </c>
      <c r="G22369" s="2">
        <v>96</v>
      </c>
      <c r="H22369" s="2">
        <v>796</v>
      </c>
      <c r="I22369" s="2">
        <v>31</v>
      </c>
      <c r="J22369" s="2">
        <v>2418</v>
      </c>
      <c r="K22369" s="2">
        <v>27</v>
      </c>
      <c r="L22369" s="2">
        <v>795</v>
      </c>
    </row>
    <row r="22370" spans="1:12" x14ac:dyDescent="0.25">
      <c r="A22370" s="4" t="str">
        <f>HYPERLINK("http://www.rosaceae.org/Prunus/Prunus_persica/p.persica_gdr_reftransV1_0047344","p.persica_gdr_reftransV1_0047344")</f>
        <v>p.persica_gdr_reftransV1_0047344</v>
      </c>
      <c r="B22370" s="2">
        <v>540</v>
      </c>
      <c r="C22370" s="4" t="str">
        <f>HYPERLINK("http://www.uniprot.org/uniprot/M5WXF1","M5WXF1")</f>
        <v>M5WXF1</v>
      </c>
      <c r="D22370" s="2" t="s">
        <v>16524</v>
      </c>
      <c r="E22370" s="3">
        <v>8.3499999999999993E-64</v>
      </c>
      <c r="F22370" s="2">
        <v>517</v>
      </c>
      <c r="G22370" s="2">
        <v>100</v>
      </c>
      <c r="H22370" s="2">
        <v>116</v>
      </c>
      <c r="I22370" s="2">
        <v>97</v>
      </c>
      <c r="J22370" s="2">
        <v>444</v>
      </c>
      <c r="K22370" s="2">
        <v>1</v>
      </c>
      <c r="L22370" s="2">
        <v>116</v>
      </c>
    </row>
    <row r="22371" spans="1:12" x14ac:dyDescent="0.25">
      <c r="A22371" s="4" t="str">
        <f>HYPERLINK("http://www.rosaceae.org/Prunus/Prunus_persica/p.persica_gdr_reftransV1_0047694","p.persica_gdr_reftransV1_0047694")</f>
        <v>p.persica_gdr_reftransV1_0047694</v>
      </c>
      <c r="B22371" s="2">
        <v>529</v>
      </c>
      <c r="C22371" s="4" t="str">
        <f>HYPERLINK("http://www.uniprot.org/uniprot/M5VW81","M5VW81")</f>
        <v>M5VW81</v>
      </c>
      <c r="D22371" s="2" t="s">
        <v>16525</v>
      </c>
      <c r="E22371" s="3">
        <v>2.6300000000000002E-121</v>
      </c>
      <c r="F22371" s="2">
        <v>925</v>
      </c>
      <c r="G22371" s="2">
        <v>100</v>
      </c>
      <c r="H22371" s="2">
        <v>175</v>
      </c>
      <c r="I22371" s="2">
        <v>3</v>
      </c>
      <c r="J22371" s="2">
        <v>527</v>
      </c>
      <c r="K22371" s="2">
        <v>88</v>
      </c>
      <c r="L22371" s="2">
        <v>262</v>
      </c>
    </row>
    <row r="22372" spans="1:12" x14ac:dyDescent="0.25">
      <c r="A22372" s="4" t="str">
        <f>HYPERLINK("http://www.rosaceae.org/Prunus/Prunus_persica/p.persica_gdr_reftransV1_0048044","p.persica_gdr_reftransV1_0048044")</f>
        <v>p.persica_gdr_reftransV1_0048044</v>
      </c>
      <c r="B22372" s="2">
        <v>2506</v>
      </c>
      <c r="C22372" s="4" t="str">
        <f>HYPERLINK("http://www.uniprot.org/uniprot/M5WSS7","M5WSS7")</f>
        <v>M5WSS7</v>
      </c>
      <c r="D22372" s="2" t="s">
        <v>12451</v>
      </c>
      <c r="E22372" s="3">
        <v>0</v>
      </c>
      <c r="F22372" s="2">
        <v>2106</v>
      </c>
      <c r="G22372" s="2">
        <v>98</v>
      </c>
      <c r="H22372" s="2">
        <v>551</v>
      </c>
      <c r="I22372" s="2">
        <v>645</v>
      </c>
      <c r="J22372" s="2">
        <v>2297</v>
      </c>
      <c r="K22372" s="2">
        <v>1</v>
      </c>
      <c r="L22372" s="2">
        <v>539</v>
      </c>
    </row>
    <row r="22373" spans="1:12" x14ac:dyDescent="0.25">
      <c r="A22373" s="4" t="str">
        <f>HYPERLINK("http://www.rosaceae.org/Prunus/Prunus_persica/p.persica_gdr_reftransV1_0048394","p.persica_gdr_reftransV1_0048394")</f>
        <v>p.persica_gdr_reftransV1_0048394</v>
      </c>
      <c r="B22373" s="2">
        <v>2357</v>
      </c>
      <c r="C22373" s="4" t="str">
        <f>HYPERLINK("http://www.uniprot.org/uniprot/M5W5K4","M5W5K4")</f>
        <v>M5W5K4</v>
      </c>
      <c r="D22373" s="2" t="s">
        <v>16526</v>
      </c>
      <c r="E22373" s="3">
        <v>0</v>
      </c>
      <c r="F22373" s="2">
        <v>1477</v>
      </c>
      <c r="G22373" s="2">
        <v>96</v>
      </c>
      <c r="H22373" s="2">
        <v>356</v>
      </c>
      <c r="I22373" s="2">
        <v>569</v>
      </c>
      <c r="J22373" s="2">
        <v>1636</v>
      </c>
      <c r="K22373" s="2">
        <v>1</v>
      </c>
      <c r="L22373" s="2">
        <v>352</v>
      </c>
    </row>
    <row r="22374" spans="1:12" x14ac:dyDescent="0.25">
      <c r="A22374" s="4" t="str">
        <f>HYPERLINK("http://www.rosaceae.org/Prunus/Prunus_persica/p.persica_gdr_reftransV1_0048744","p.persica_gdr_reftransV1_0048744")</f>
        <v>p.persica_gdr_reftransV1_0048744</v>
      </c>
      <c r="B22374" s="2">
        <v>1318</v>
      </c>
      <c r="C22374" s="4" t="str">
        <f>HYPERLINK("http://www.uniprot.org/uniprot/M5XCP8","M5XCP8")</f>
        <v>M5XCP8</v>
      </c>
      <c r="D22374" s="2" t="s">
        <v>16527</v>
      </c>
      <c r="E22374" s="3">
        <v>0</v>
      </c>
      <c r="F22374" s="2">
        <v>1732</v>
      </c>
      <c r="G22374" s="2">
        <v>100</v>
      </c>
      <c r="H22374" s="2">
        <v>323</v>
      </c>
      <c r="I22374" s="2">
        <v>162</v>
      </c>
      <c r="J22374" s="2">
        <v>1130</v>
      </c>
      <c r="K22374" s="2">
        <v>1</v>
      </c>
      <c r="L22374" s="2">
        <v>323</v>
      </c>
    </row>
    <row r="22375" spans="1:12" x14ac:dyDescent="0.25">
      <c r="A22375" s="4" t="str">
        <f>HYPERLINK("http://www.rosaceae.org/Prunus/Prunus_persica/p.persica_gdr_reftransV1_0049094","p.persica_gdr_reftransV1_0049094")</f>
        <v>p.persica_gdr_reftransV1_0049094</v>
      </c>
      <c r="B22375" s="2">
        <v>1595</v>
      </c>
      <c r="C22375" s="4" t="str">
        <f>HYPERLINK("http://www.uniprot.org/uniprot/M5VYC6","M5VYC6")</f>
        <v>M5VYC6</v>
      </c>
      <c r="D22375" s="2" t="s">
        <v>16528</v>
      </c>
      <c r="E22375" s="3">
        <v>0</v>
      </c>
      <c r="F22375" s="2">
        <v>2191</v>
      </c>
      <c r="G22375" s="2">
        <v>100</v>
      </c>
      <c r="H22375" s="2">
        <v>427</v>
      </c>
      <c r="I22375" s="2">
        <v>237</v>
      </c>
      <c r="J22375" s="2">
        <v>1517</v>
      </c>
      <c r="K22375" s="2">
        <v>1</v>
      </c>
      <c r="L22375" s="2">
        <v>427</v>
      </c>
    </row>
    <row r="22376" spans="1:12" x14ac:dyDescent="0.25">
      <c r="A22376" s="4" t="str">
        <f>HYPERLINK("http://www.rosaceae.org/Prunus/Prunus_persica/p.persica_gdr_reftransV1_0000795","p.persica_gdr_reftransV1_0000795")</f>
        <v>p.persica_gdr_reftransV1_0000795</v>
      </c>
      <c r="B22376" s="2">
        <v>2405</v>
      </c>
      <c r="C22376" s="4" t="str">
        <f>HYPERLINK("http://www.uniprot.org/uniprot/M5X062","M5X062")</f>
        <v>M5X062</v>
      </c>
      <c r="D22376" s="2" t="s">
        <v>8193</v>
      </c>
      <c r="E22376" s="3">
        <v>0</v>
      </c>
      <c r="F22376" s="2">
        <v>1679</v>
      </c>
      <c r="G22376" s="2">
        <v>100</v>
      </c>
      <c r="H22376" s="2">
        <v>348</v>
      </c>
      <c r="I22376" s="2">
        <v>1268</v>
      </c>
      <c r="J22376" s="2">
        <v>2311</v>
      </c>
      <c r="K22376" s="2">
        <v>1</v>
      </c>
      <c r="L22376" s="2">
        <v>348</v>
      </c>
    </row>
    <row r="22377" spans="1:12" x14ac:dyDescent="0.25">
      <c r="A22377" s="4" t="str">
        <f>HYPERLINK("http://www.rosaceae.org/Prunus/Prunus_persica/p.persica_gdr_reftransV1_0001145","p.persica_gdr_reftransV1_0001145")</f>
        <v>p.persica_gdr_reftransV1_0001145</v>
      </c>
      <c r="B22377" s="2">
        <v>1807</v>
      </c>
      <c r="C22377" s="4" t="str">
        <f>HYPERLINK("http://www.uniprot.org/uniprot/M5X171","M5X171")</f>
        <v>M5X171</v>
      </c>
      <c r="D22377" s="2" t="s">
        <v>16529</v>
      </c>
      <c r="E22377" s="3">
        <v>0</v>
      </c>
      <c r="F22377" s="2">
        <v>2187</v>
      </c>
      <c r="G22377" s="2">
        <v>100</v>
      </c>
      <c r="H22377" s="2">
        <v>435</v>
      </c>
      <c r="I22377" s="2">
        <v>409</v>
      </c>
      <c r="J22377" s="2">
        <v>1713</v>
      </c>
      <c r="K22377" s="2">
        <v>1</v>
      </c>
      <c r="L22377" s="2">
        <v>435</v>
      </c>
    </row>
    <row r="22378" spans="1:12" x14ac:dyDescent="0.25">
      <c r="A22378" s="4" t="str">
        <f>HYPERLINK("http://www.rosaceae.org/Prunus/Prunus_persica/p.persica_gdr_reftransV1_0001495","p.persica_gdr_reftransV1_0001495")</f>
        <v>p.persica_gdr_reftransV1_0001495</v>
      </c>
      <c r="B22378" s="2">
        <v>1141</v>
      </c>
      <c r="C22378" s="4" t="str">
        <f>HYPERLINK("http://www.uniprot.org/uniprot/M5XTC0","M5XTC0")</f>
        <v>M5XTC0</v>
      </c>
      <c r="D22378" s="2" t="s">
        <v>2197</v>
      </c>
      <c r="E22378" s="3">
        <v>0</v>
      </c>
      <c r="F22378" s="2">
        <v>1809</v>
      </c>
      <c r="G22378" s="2">
        <v>100</v>
      </c>
      <c r="H22378" s="2">
        <v>338</v>
      </c>
      <c r="I22378" s="2">
        <v>128</v>
      </c>
      <c r="J22378" s="2">
        <v>1141</v>
      </c>
      <c r="K22378" s="2">
        <v>284</v>
      </c>
      <c r="L22378" s="2">
        <v>621</v>
      </c>
    </row>
    <row r="22379" spans="1:12" x14ac:dyDescent="0.25">
      <c r="A22379" s="4" t="str">
        <f>HYPERLINK("http://www.rosaceae.org/Prunus/Prunus_persica/p.persica_gdr_reftransV1_0002195","p.persica_gdr_reftransV1_0002195")</f>
        <v>p.persica_gdr_reftransV1_0002195</v>
      </c>
      <c r="B22379" s="2">
        <v>2494</v>
      </c>
      <c r="C22379" s="4" t="str">
        <f>HYPERLINK("http://www.uniprot.org/uniprot/M5VV82","M5VV82")</f>
        <v>M5VV82</v>
      </c>
      <c r="D22379" s="2" t="s">
        <v>7975</v>
      </c>
      <c r="E22379" s="3">
        <v>0</v>
      </c>
      <c r="F22379" s="2">
        <v>2783</v>
      </c>
      <c r="G22379" s="2">
        <v>100</v>
      </c>
      <c r="H22379" s="2">
        <v>531</v>
      </c>
      <c r="I22379" s="2">
        <v>506</v>
      </c>
      <c r="J22379" s="2">
        <v>2098</v>
      </c>
      <c r="K22379" s="2">
        <v>1</v>
      </c>
      <c r="L22379" s="2">
        <v>531</v>
      </c>
    </row>
    <row r="22380" spans="1:12" x14ac:dyDescent="0.25">
      <c r="A22380" s="4" t="str">
        <f>HYPERLINK("http://www.rosaceae.org/Prunus/Prunus_persica/p.persica_gdr_reftransV1_0002545","p.persica_gdr_reftransV1_0002545")</f>
        <v>p.persica_gdr_reftransV1_0002545</v>
      </c>
      <c r="B22380" s="2">
        <v>1378</v>
      </c>
      <c r="C22380" s="4" t="str">
        <f>HYPERLINK("http://www.uniprot.org/uniprot/M5WHH4","M5WHH4")</f>
        <v>M5WHH4</v>
      </c>
      <c r="D22380" s="2" t="s">
        <v>9295</v>
      </c>
      <c r="E22380" s="3">
        <v>2.9499999999999997E-144</v>
      </c>
      <c r="F22380" s="2">
        <v>1100</v>
      </c>
      <c r="G22380" s="2">
        <v>100</v>
      </c>
      <c r="H22380" s="2">
        <v>251</v>
      </c>
      <c r="I22380" s="2">
        <v>546</v>
      </c>
      <c r="J22380" s="2">
        <v>1298</v>
      </c>
      <c r="K22380" s="2">
        <v>94</v>
      </c>
      <c r="L22380" s="2">
        <v>344</v>
      </c>
    </row>
    <row r="22381" spans="1:12" x14ac:dyDescent="0.25">
      <c r="A22381" s="4" t="str">
        <f>HYPERLINK("http://www.rosaceae.org/Prunus/Prunus_persica/p.persica_gdr_reftransV1_0003245","p.persica_gdr_reftransV1_0003245")</f>
        <v>p.persica_gdr_reftransV1_0003245</v>
      </c>
      <c r="B22381" s="2">
        <v>2375</v>
      </c>
      <c r="C22381" s="4" t="str">
        <f>HYPERLINK("http://www.uniprot.org/uniprot/M5WJW3","M5WJW3")</f>
        <v>M5WJW3</v>
      </c>
      <c r="D22381" s="2" t="s">
        <v>16530</v>
      </c>
      <c r="E22381" s="3">
        <v>0</v>
      </c>
      <c r="F22381" s="2">
        <v>1870</v>
      </c>
      <c r="G22381" s="2">
        <v>100</v>
      </c>
      <c r="H22381" s="2">
        <v>370</v>
      </c>
      <c r="I22381" s="2">
        <v>956</v>
      </c>
      <c r="J22381" s="2">
        <v>2065</v>
      </c>
      <c r="K22381" s="2">
        <v>276</v>
      </c>
      <c r="L22381" s="2">
        <v>645</v>
      </c>
    </row>
    <row r="22382" spans="1:12" x14ac:dyDescent="0.25">
      <c r="A22382" s="4" t="str">
        <f>HYPERLINK("http://www.rosaceae.org/Prunus/Prunus_persica/p.persica_gdr_reftransV1_0003595","p.persica_gdr_reftransV1_0003595")</f>
        <v>p.persica_gdr_reftransV1_0003595</v>
      </c>
      <c r="B22382" s="2">
        <v>314</v>
      </c>
      <c r="C22382" s="4" t="str">
        <f>HYPERLINK("http://www.uniprot.org/uniprot/V7CIH3","V7CIH3")</f>
        <v>V7CIH3</v>
      </c>
      <c r="D22382" s="2" t="s">
        <v>16531</v>
      </c>
      <c r="E22382" s="3">
        <v>2.9500000000000001E-52</v>
      </c>
      <c r="F22382" s="2">
        <v>449</v>
      </c>
      <c r="G22382" s="2">
        <v>99</v>
      </c>
      <c r="H22382" s="2">
        <v>80</v>
      </c>
      <c r="I22382" s="2">
        <v>2</v>
      </c>
      <c r="J22382" s="2">
        <v>241</v>
      </c>
      <c r="K22382" s="2">
        <v>10</v>
      </c>
      <c r="L22382" s="2">
        <v>89</v>
      </c>
    </row>
    <row r="22383" spans="1:12" x14ac:dyDescent="0.25">
      <c r="A22383" s="4" t="str">
        <f>HYPERLINK("http://www.rosaceae.org/Prunus/Prunus_persica/p.persica_gdr_reftransV1_0003945","p.persica_gdr_reftransV1_0003945")</f>
        <v>p.persica_gdr_reftransV1_0003945</v>
      </c>
      <c r="B22383" s="2">
        <v>1121</v>
      </c>
      <c r="C22383" s="4" t="str">
        <f>HYPERLINK("http://www.uniprot.org/uniprot/M5XKL7","M5XKL7")</f>
        <v>M5XKL7</v>
      </c>
      <c r="D22383" s="2" t="s">
        <v>16532</v>
      </c>
      <c r="E22383" s="3">
        <v>2.6600000000000002E-114</v>
      </c>
      <c r="F22383" s="2">
        <v>881</v>
      </c>
      <c r="G22383" s="2">
        <v>96</v>
      </c>
      <c r="H22383" s="2">
        <v>191</v>
      </c>
      <c r="I22383" s="2">
        <v>393</v>
      </c>
      <c r="J22383" s="2">
        <v>965</v>
      </c>
      <c r="K22383" s="2">
        <v>1</v>
      </c>
      <c r="L22383" s="2">
        <v>191</v>
      </c>
    </row>
    <row r="22384" spans="1:12" x14ac:dyDescent="0.25">
      <c r="A22384" s="4" t="str">
        <f>HYPERLINK("http://www.rosaceae.org/Prunus/Prunus_persica/p.persica_gdr_reftransV1_0004995","p.persica_gdr_reftransV1_0004995")</f>
        <v>p.persica_gdr_reftransV1_0004995</v>
      </c>
      <c r="B22384" s="2">
        <v>2635</v>
      </c>
      <c r="C22384" s="4" t="str">
        <f>HYPERLINK("http://www.uniprot.org/uniprot/W9R787","W9R787")</f>
        <v>W9R787</v>
      </c>
      <c r="D22384" s="2" t="s">
        <v>16533</v>
      </c>
      <c r="E22384" s="3">
        <v>0</v>
      </c>
      <c r="F22384" s="2">
        <v>2160</v>
      </c>
      <c r="G22384" s="2">
        <v>72</v>
      </c>
      <c r="H22384" s="2">
        <v>605</v>
      </c>
      <c r="I22384" s="2">
        <v>492</v>
      </c>
      <c r="J22384" s="2">
        <v>2303</v>
      </c>
      <c r="K22384" s="2">
        <v>1</v>
      </c>
      <c r="L22384" s="2">
        <v>567</v>
      </c>
    </row>
    <row r="22385" spans="1:12" x14ac:dyDescent="0.25">
      <c r="A22385" s="4" t="str">
        <f>HYPERLINK("http://www.rosaceae.org/Prunus/Prunus_persica/p.persica_gdr_reftransV1_0005695","p.persica_gdr_reftransV1_0005695")</f>
        <v>p.persica_gdr_reftransV1_0005695</v>
      </c>
      <c r="B22385" s="2">
        <v>684</v>
      </c>
      <c r="C22385" s="4" t="str">
        <f>HYPERLINK("http://www.uniprot.org/uniprot/M5WVH0","M5WVH0")</f>
        <v>M5WVH0</v>
      </c>
      <c r="D22385" s="2" t="s">
        <v>5455</v>
      </c>
      <c r="E22385" s="3">
        <v>2.4900000000000001E-89</v>
      </c>
      <c r="F22385" s="2">
        <v>701</v>
      </c>
      <c r="G22385" s="2">
        <v>100</v>
      </c>
      <c r="H22385" s="2">
        <v>133</v>
      </c>
      <c r="I22385" s="2">
        <v>3</v>
      </c>
      <c r="J22385" s="2">
        <v>401</v>
      </c>
      <c r="K22385" s="2">
        <v>90</v>
      </c>
      <c r="L22385" s="2">
        <v>222</v>
      </c>
    </row>
    <row r="22386" spans="1:12" x14ac:dyDescent="0.25">
      <c r="A22386" s="4" t="str">
        <f>HYPERLINK("http://www.rosaceae.org/Prunus/Prunus_persica/p.persica_gdr_reftransV1_0006045","p.persica_gdr_reftransV1_0006045")</f>
        <v>p.persica_gdr_reftransV1_0006045</v>
      </c>
      <c r="B22386" s="2">
        <v>614</v>
      </c>
      <c r="C22386" s="4" t="str">
        <f>HYPERLINK("http://www.uniprot.org/uniprot/A0A074XJT1","A0A074XJT1")</f>
        <v>A0A074XJT1</v>
      </c>
      <c r="D22386" s="2" t="s">
        <v>16534</v>
      </c>
      <c r="E22386" s="3">
        <v>3.5999999999999999E-52</v>
      </c>
      <c r="F22386" s="2">
        <v>440</v>
      </c>
      <c r="G22386" s="2">
        <v>100</v>
      </c>
      <c r="H22386" s="2">
        <v>88</v>
      </c>
      <c r="I22386" s="2">
        <v>312</v>
      </c>
      <c r="J22386" s="2">
        <v>575</v>
      </c>
      <c r="K22386" s="2">
        <v>1</v>
      </c>
      <c r="L22386" s="2">
        <v>88</v>
      </c>
    </row>
    <row r="22387" spans="1:12" x14ac:dyDescent="0.25">
      <c r="A22387" s="4" t="str">
        <f>HYPERLINK("http://www.rosaceae.org/Prunus/Prunus_persica/p.persica_gdr_reftransV1_0006745","p.persica_gdr_reftransV1_0006745")</f>
        <v>p.persica_gdr_reftransV1_0006745</v>
      </c>
      <c r="B22387" s="2">
        <v>962</v>
      </c>
      <c r="C22387" s="4" t="str">
        <f>HYPERLINK("http://www.uniprot.org/uniprot/M5XN45","M5XN45")</f>
        <v>M5XN45</v>
      </c>
      <c r="D22387" s="2" t="s">
        <v>16535</v>
      </c>
      <c r="E22387" s="3">
        <v>3.57E-108</v>
      </c>
      <c r="F22387" s="2">
        <v>833</v>
      </c>
      <c r="G22387" s="2">
        <v>100</v>
      </c>
      <c r="H22387" s="2">
        <v>202</v>
      </c>
      <c r="I22387" s="2">
        <v>289</v>
      </c>
      <c r="J22387" s="2">
        <v>894</v>
      </c>
      <c r="K22387" s="2">
        <v>1</v>
      </c>
      <c r="L22387" s="2">
        <v>202</v>
      </c>
    </row>
    <row r="22388" spans="1:12" x14ac:dyDescent="0.25">
      <c r="A22388" s="4" t="str">
        <f>HYPERLINK("http://www.rosaceae.org/Prunus/Prunus_persica/p.persica_gdr_reftransV1_0007095","p.persica_gdr_reftransV1_0007095")</f>
        <v>p.persica_gdr_reftransV1_0007095</v>
      </c>
      <c r="B22388" s="2">
        <v>671</v>
      </c>
      <c r="C22388" s="4" t="str">
        <f>HYPERLINK("http://www.uniprot.org/uniprot/M5VTY3","M5VTY3")</f>
        <v>M5VTY3</v>
      </c>
      <c r="D22388" s="2" t="s">
        <v>16536</v>
      </c>
      <c r="E22388" s="3">
        <v>1.12E-31</v>
      </c>
      <c r="F22388" s="2">
        <v>304</v>
      </c>
      <c r="G22388" s="2">
        <v>100</v>
      </c>
      <c r="H22388" s="2">
        <v>82</v>
      </c>
      <c r="I22388" s="2">
        <v>207</v>
      </c>
      <c r="J22388" s="2">
        <v>452</v>
      </c>
      <c r="K22388" s="2">
        <v>1</v>
      </c>
      <c r="L22388" s="2">
        <v>82</v>
      </c>
    </row>
    <row r="22389" spans="1:12" x14ac:dyDescent="0.25">
      <c r="A22389" s="4" t="str">
        <f>HYPERLINK("http://www.rosaceae.org/Prunus/Prunus_persica/p.persica_gdr_reftransV1_0007795","p.persica_gdr_reftransV1_0007795")</f>
        <v>p.persica_gdr_reftransV1_0007795</v>
      </c>
      <c r="B22389" s="2">
        <v>3538</v>
      </c>
      <c r="C22389" s="4" t="str">
        <f>HYPERLINK("http://www.uniprot.org/uniprot/M5WSA0","M5WSA0")</f>
        <v>M5WSA0</v>
      </c>
      <c r="D22389" s="2" t="s">
        <v>16537</v>
      </c>
      <c r="E22389" s="3">
        <v>0</v>
      </c>
      <c r="F22389" s="2">
        <v>2185</v>
      </c>
      <c r="G22389" s="2">
        <v>100</v>
      </c>
      <c r="H22389" s="2">
        <v>462</v>
      </c>
      <c r="I22389" s="2">
        <v>314</v>
      </c>
      <c r="J22389" s="2">
        <v>1699</v>
      </c>
      <c r="K22389" s="2">
        <v>1</v>
      </c>
      <c r="L22389" s="2">
        <v>462</v>
      </c>
    </row>
    <row r="22390" spans="1:12" x14ac:dyDescent="0.25">
      <c r="A22390" s="4" t="str">
        <f>HYPERLINK("http://www.rosaceae.org/Prunus/Prunus_persica/p.persica_gdr_reftransV1_0008145","p.persica_gdr_reftransV1_0008145")</f>
        <v>p.persica_gdr_reftransV1_0008145</v>
      </c>
      <c r="B22390" s="2">
        <v>1098</v>
      </c>
      <c r="C22390" s="4" t="str">
        <f>HYPERLINK("http://www.uniprot.org/uniprot/M5WEW8","M5WEW8")</f>
        <v>M5WEW8</v>
      </c>
      <c r="D22390" s="2" t="s">
        <v>16538</v>
      </c>
      <c r="E22390" s="3">
        <v>0</v>
      </c>
      <c r="F22390" s="2">
        <v>1356</v>
      </c>
      <c r="G22390" s="2">
        <v>99</v>
      </c>
      <c r="H22390" s="2">
        <v>255</v>
      </c>
      <c r="I22390" s="2">
        <v>272</v>
      </c>
      <c r="J22390" s="2">
        <v>1036</v>
      </c>
      <c r="K22390" s="2">
        <v>1</v>
      </c>
      <c r="L22390" s="2">
        <v>255</v>
      </c>
    </row>
    <row r="22391" spans="1:12" x14ac:dyDescent="0.25">
      <c r="A22391" s="4" t="str">
        <f>HYPERLINK("http://www.rosaceae.org/Prunus/Prunus_persica/p.persica_gdr_reftransV1_0008495","p.persica_gdr_reftransV1_0008495")</f>
        <v>p.persica_gdr_reftransV1_0008495</v>
      </c>
      <c r="B22391" s="2">
        <v>1262</v>
      </c>
      <c r="C22391" s="4" t="str">
        <f>HYPERLINK("http://www.uniprot.org/uniprot/M5WHE5","M5WHE5")</f>
        <v>M5WHE5</v>
      </c>
      <c r="D22391" s="2" t="s">
        <v>16539</v>
      </c>
      <c r="E22391" s="3">
        <v>2.76E-153</v>
      </c>
      <c r="F22391" s="2">
        <v>1143</v>
      </c>
      <c r="G22391" s="2">
        <v>100</v>
      </c>
      <c r="H22391" s="2">
        <v>216</v>
      </c>
      <c r="I22391" s="2">
        <v>194</v>
      </c>
      <c r="J22391" s="2">
        <v>841</v>
      </c>
      <c r="K22391" s="2">
        <v>1</v>
      </c>
      <c r="L22391" s="2">
        <v>216</v>
      </c>
    </row>
    <row r="22392" spans="1:12" x14ac:dyDescent="0.25">
      <c r="A22392" s="4" t="str">
        <f>HYPERLINK("http://www.rosaceae.org/Prunus/Prunus_persica/p.persica_gdr_reftransV1_0008845","p.persica_gdr_reftransV1_0008845")</f>
        <v>p.persica_gdr_reftransV1_0008845</v>
      </c>
      <c r="B22392" s="2">
        <v>1579</v>
      </c>
      <c r="C22392" s="4" t="str">
        <f>HYPERLINK("http://www.uniprot.org/uniprot/M5W9Y4","M5W9Y4")</f>
        <v>M5W9Y4</v>
      </c>
      <c r="D22392" s="2" t="s">
        <v>2070</v>
      </c>
      <c r="E22392" s="3">
        <v>1.4200000000000001E-101</v>
      </c>
      <c r="F22392" s="2">
        <v>822</v>
      </c>
      <c r="G22392" s="2">
        <v>100</v>
      </c>
      <c r="H22392" s="2">
        <v>212</v>
      </c>
      <c r="I22392" s="2">
        <v>2</v>
      </c>
      <c r="J22392" s="2">
        <v>637</v>
      </c>
      <c r="K22392" s="2">
        <v>126</v>
      </c>
      <c r="L22392" s="2">
        <v>337</v>
      </c>
    </row>
    <row r="22393" spans="1:12" x14ac:dyDescent="0.25">
      <c r="A22393" s="4" t="str">
        <f>HYPERLINK("http://www.rosaceae.org/Prunus/Prunus_persica/p.persica_gdr_reftransV1_0009545","p.persica_gdr_reftransV1_0009545")</f>
        <v>p.persica_gdr_reftransV1_0009545</v>
      </c>
      <c r="B22393" s="2">
        <v>1371</v>
      </c>
      <c r="C22393" s="4" t="str">
        <f>HYPERLINK("http://www.uniprot.org/uniprot/A0A097QH86","A0A097QH86")</f>
        <v>A0A097QH86</v>
      </c>
      <c r="D22393" s="2" t="s">
        <v>16540</v>
      </c>
      <c r="E22393" s="3">
        <v>0</v>
      </c>
      <c r="F22393" s="2">
        <v>2011</v>
      </c>
      <c r="G22393" s="2">
        <v>99</v>
      </c>
      <c r="H22393" s="2">
        <v>385</v>
      </c>
      <c r="I22393" s="2">
        <v>216</v>
      </c>
      <c r="J22393" s="2">
        <v>1370</v>
      </c>
      <c r="K22393" s="2">
        <v>1</v>
      </c>
      <c r="L22393" s="2">
        <v>385</v>
      </c>
    </row>
    <row r="22394" spans="1:12" x14ac:dyDescent="0.25">
      <c r="A22394" s="4" t="str">
        <f>HYPERLINK("http://www.rosaceae.org/Prunus/Prunus_persica/p.persica_gdr_reftransV1_0010945","p.persica_gdr_reftransV1_0010945")</f>
        <v>p.persica_gdr_reftransV1_0010945</v>
      </c>
      <c r="B22394" s="2">
        <v>2511</v>
      </c>
      <c r="C22394" s="4" t="str">
        <f>HYPERLINK("http://www.uniprot.org/uniprot/M5WC36","M5WC36")</f>
        <v>M5WC36</v>
      </c>
      <c r="D22394" s="2" t="s">
        <v>11014</v>
      </c>
      <c r="E22394" s="3">
        <v>5.0300000000000004E-93</v>
      </c>
      <c r="F22394" s="2">
        <v>783</v>
      </c>
      <c r="G22394" s="2">
        <v>97</v>
      </c>
      <c r="H22394" s="2">
        <v>147</v>
      </c>
      <c r="I22394" s="2">
        <v>283</v>
      </c>
      <c r="J22394" s="2">
        <v>723</v>
      </c>
      <c r="K22394" s="2">
        <v>155</v>
      </c>
      <c r="L22394" s="2">
        <v>301</v>
      </c>
    </row>
    <row r="22395" spans="1:12" x14ac:dyDescent="0.25">
      <c r="A22395" s="4" t="str">
        <f>HYPERLINK("http://www.rosaceae.org/Prunus/Prunus_persica/p.persica_gdr_reftransV1_0011295","p.persica_gdr_reftransV1_0011295")</f>
        <v>p.persica_gdr_reftransV1_0011295</v>
      </c>
      <c r="B22395" s="2">
        <v>1995</v>
      </c>
      <c r="C22395" s="4" t="str">
        <f>HYPERLINK("http://www.uniprot.org/uniprot/M5WAX5","M5WAX5")</f>
        <v>M5WAX5</v>
      </c>
      <c r="D22395" s="2" t="s">
        <v>16541</v>
      </c>
      <c r="E22395" s="3">
        <v>0</v>
      </c>
      <c r="F22395" s="2">
        <v>2054</v>
      </c>
      <c r="G22395" s="2">
        <v>100</v>
      </c>
      <c r="H22395" s="2">
        <v>440</v>
      </c>
      <c r="I22395" s="2">
        <v>349</v>
      </c>
      <c r="J22395" s="2">
        <v>1668</v>
      </c>
      <c r="K22395" s="2">
        <v>1</v>
      </c>
      <c r="L22395" s="2">
        <v>440</v>
      </c>
    </row>
    <row r="22396" spans="1:12" x14ac:dyDescent="0.25">
      <c r="A22396" s="4" t="str">
        <f>HYPERLINK("http://www.rosaceae.org/Prunus/Prunus_persica/p.persica_gdr_reftransV1_0011645","p.persica_gdr_reftransV1_0011645")</f>
        <v>p.persica_gdr_reftransV1_0011645</v>
      </c>
      <c r="B22396" s="2">
        <v>344</v>
      </c>
      <c r="C22396" s="4" t="str">
        <f>HYPERLINK("http://www.uniprot.org/uniprot/M5VSL6","M5VSL6")</f>
        <v>M5VSL6</v>
      </c>
      <c r="D22396" s="2" t="s">
        <v>12383</v>
      </c>
      <c r="E22396" s="3">
        <v>1.2E-48</v>
      </c>
      <c r="F22396" s="2">
        <v>438</v>
      </c>
      <c r="G22396" s="2">
        <v>100</v>
      </c>
      <c r="H22396" s="2">
        <v>114</v>
      </c>
      <c r="I22396" s="2">
        <v>2</v>
      </c>
      <c r="J22396" s="2">
        <v>343</v>
      </c>
      <c r="K22396" s="2">
        <v>8</v>
      </c>
      <c r="L22396" s="2">
        <v>121</v>
      </c>
    </row>
    <row r="22397" spans="1:12" x14ac:dyDescent="0.25">
      <c r="A22397" s="4" t="str">
        <f>HYPERLINK("http://www.rosaceae.org/Prunus/Prunus_persica/p.persica_gdr_reftransV1_0013395","p.persica_gdr_reftransV1_0013395")</f>
        <v>p.persica_gdr_reftransV1_0013395</v>
      </c>
      <c r="B22397" s="2">
        <v>720</v>
      </c>
      <c r="C22397" s="4" t="str">
        <f>HYPERLINK("http://www.uniprot.org/uniprot/M5W0L9","M5W0L9")</f>
        <v>M5W0L9</v>
      </c>
      <c r="D22397" s="2" t="s">
        <v>7627</v>
      </c>
      <c r="E22397" s="3">
        <v>1.23E-86</v>
      </c>
      <c r="F22397" s="2">
        <v>739</v>
      </c>
      <c r="G22397" s="2">
        <v>100</v>
      </c>
      <c r="H22397" s="2">
        <v>164</v>
      </c>
      <c r="I22397" s="2">
        <v>1</v>
      </c>
      <c r="J22397" s="2">
        <v>492</v>
      </c>
      <c r="K22397" s="2">
        <v>18</v>
      </c>
      <c r="L22397" s="2">
        <v>181</v>
      </c>
    </row>
    <row r="22398" spans="1:12" x14ac:dyDescent="0.25">
      <c r="A22398" s="4" t="str">
        <f>HYPERLINK("http://www.rosaceae.org/Prunus/Prunus_persica/p.persica_gdr_reftransV1_0014795","p.persica_gdr_reftransV1_0014795")</f>
        <v>p.persica_gdr_reftransV1_0014795</v>
      </c>
      <c r="B22398" s="2">
        <v>1297</v>
      </c>
      <c r="C22398" s="4" t="str">
        <f>HYPERLINK("http://www.uniprot.org/uniprot/M5X1N1","M5X1N1")</f>
        <v>M5X1N1</v>
      </c>
      <c r="D22398" s="2" t="s">
        <v>16542</v>
      </c>
      <c r="E22398" s="3">
        <v>1.38E-176</v>
      </c>
      <c r="F22398" s="2">
        <v>1306</v>
      </c>
      <c r="G22398" s="2">
        <v>88</v>
      </c>
      <c r="H22398" s="2">
        <v>330</v>
      </c>
      <c r="I22398" s="2">
        <v>39</v>
      </c>
      <c r="J22398" s="2">
        <v>1028</v>
      </c>
      <c r="K22398" s="2">
        <v>1</v>
      </c>
      <c r="L22398" s="2">
        <v>289</v>
      </c>
    </row>
    <row r="22399" spans="1:12" x14ac:dyDescent="0.25">
      <c r="A22399" s="4" t="str">
        <f>HYPERLINK("http://www.rosaceae.org/Prunus/Prunus_persica/p.persica_gdr_reftransV1_0015495","p.persica_gdr_reftransV1_0015495")</f>
        <v>p.persica_gdr_reftransV1_0015495</v>
      </c>
      <c r="B22399" s="2">
        <v>881</v>
      </c>
      <c r="C22399" s="4" t="str">
        <f>HYPERLINK("http://www.uniprot.org/uniprot/M5X121","M5X121")</f>
        <v>M5X121</v>
      </c>
      <c r="D22399" s="2" t="s">
        <v>7626</v>
      </c>
      <c r="E22399" s="3">
        <v>3.9300000000000002E-103</v>
      </c>
      <c r="F22399" s="2">
        <v>798</v>
      </c>
      <c r="G22399" s="2">
        <v>100</v>
      </c>
      <c r="H22399" s="2">
        <v>181</v>
      </c>
      <c r="I22399" s="2">
        <v>315</v>
      </c>
      <c r="J22399" s="2">
        <v>857</v>
      </c>
      <c r="K22399" s="2">
        <v>30</v>
      </c>
      <c r="L22399" s="2">
        <v>210</v>
      </c>
    </row>
    <row r="22400" spans="1:12" x14ac:dyDescent="0.25">
      <c r="A22400" s="4" t="str">
        <f>HYPERLINK("http://www.rosaceae.org/Prunus/Prunus_persica/p.persica_gdr_reftransV1_0015845","p.persica_gdr_reftransV1_0015845")</f>
        <v>p.persica_gdr_reftransV1_0015845</v>
      </c>
      <c r="B22400" s="2">
        <v>707</v>
      </c>
      <c r="C22400" s="4" t="str">
        <f>HYPERLINK("http://www.uniprot.org/uniprot/M5WM50","M5WM50")</f>
        <v>M5WM50</v>
      </c>
      <c r="D22400" s="2" t="s">
        <v>849</v>
      </c>
      <c r="E22400" s="3">
        <v>9.54E-63</v>
      </c>
      <c r="F22400" s="2">
        <v>561</v>
      </c>
      <c r="G22400" s="2">
        <v>89</v>
      </c>
      <c r="H22400" s="2">
        <v>227</v>
      </c>
      <c r="I22400" s="2">
        <v>1</v>
      </c>
      <c r="J22400" s="2">
        <v>603</v>
      </c>
      <c r="K22400" s="2">
        <v>1</v>
      </c>
      <c r="L22400" s="2">
        <v>227</v>
      </c>
    </row>
    <row r="22401" spans="1:12" x14ac:dyDescent="0.25">
      <c r="A22401" s="4" t="str">
        <f>HYPERLINK("http://www.rosaceae.org/Prunus/Prunus_persica/p.persica_gdr_reftransV1_0016195","p.persica_gdr_reftransV1_0016195")</f>
        <v>p.persica_gdr_reftransV1_0016195</v>
      </c>
      <c r="B22401" s="2">
        <v>2443</v>
      </c>
      <c r="C22401" s="4" t="str">
        <f>HYPERLINK("http://www.uniprot.org/uniprot/M5X2M6","M5X2M6")</f>
        <v>M5X2M6</v>
      </c>
      <c r="D22401" s="2" t="s">
        <v>16543</v>
      </c>
      <c r="E22401" s="3">
        <v>0</v>
      </c>
      <c r="F22401" s="2">
        <v>2184</v>
      </c>
      <c r="G22401" s="2">
        <v>100</v>
      </c>
      <c r="H22401" s="2">
        <v>425</v>
      </c>
      <c r="I22401" s="2">
        <v>985</v>
      </c>
      <c r="J22401" s="2">
        <v>2259</v>
      </c>
      <c r="K22401" s="2">
        <v>1</v>
      </c>
      <c r="L22401" s="2">
        <v>425</v>
      </c>
    </row>
    <row r="22402" spans="1:12" x14ac:dyDescent="0.25">
      <c r="A22402" s="4" t="str">
        <f>HYPERLINK("http://www.rosaceae.org/Prunus/Prunus_persica/p.persica_gdr_reftransV1_0016545","p.persica_gdr_reftransV1_0016545")</f>
        <v>p.persica_gdr_reftransV1_0016545</v>
      </c>
      <c r="B22402" s="2">
        <v>3024</v>
      </c>
      <c r="C22402" s="4" t="str">
        <f>HYPERLINK("http://www.uniprot.org/uniprot/M5WGA3","M5WGA3")</f>
        <v>M5WGA3</v>
      </c>
      <c r="D22402" s="2" t="s">
        <v>16544</v>
      </c>
      <c r="E22402" s="3">
        <v>0</v>
      </c>
      <c r="F22402" s="2">
        <v>3415</v>
      </c>
      <c r="G22402" s="2">
        <v>100</v>
      </c>
      <c r="H22402" s="2">
        <v>658</v>
      </c>
      <c r="I22402" s="2">
        <v>721</v>
      </c>
      <c r="J22402" s="2">
        <v>2694</v>
      </c>
      <c r="K22402" s="2">
        <v>1</v>
      </c>
      <c r="L22402" s="2">
        <v>658</v>
      </c>
    </row>
    <row r="22403" spans="1:12" x14ac:dyDescent="0.25">
      <c r="A22403" s="4" t="str">
        <f>HYPERLINK("http://www.rosaceae.org/Prunus/Prunus_persica/p.persica_gdr_reftransV1_0017245","p.persica_gdr_reftransV1_0017245")</f>
        <v>p.persica_gdr_reftransV1_0017245</v>
      </c>
      <c r="B22403" s="2">
        <v>3190</v>
      </c>
      <c r="C22403" s="4" t="str">
        <f>HYPERLINK("http://www.uniprot.org/uniprot/M5X728","M5X728")</f>
        <v>M5X728</v>
      </c>
      <c r="D22403" s="2" t="s">
        <v>16545</v>
      </c>
      <c r="E22403" s="3">
        <v>0</v>
      </c>
      <c r="F22403" s="2">
        <v>3970</v>
      </c>
      <c r="G22403" s="2">
        <v>94</v>
      </c>
      <c r="H22403" s="2">
        <v>800</v>
      </c>
      <c r="I22403" s="2">
        <v>203</v>
      </c>
      <c r="J22403" s="2">
        <v>2602</v>
      </c>
      <c r="K22403" s="2">
        <v>167</v>
      </c>
      <c r="L22403" s="2">
        <v>933</v>
      </c>
    </row>
    <row r="22404" spans="1:12" x14ac:dyDescent="0.25">
      <c r="A22404" s="4" t="str">
        <f>HYPERLINK("http://www.rosaceae.org/Prunus/Prunus_persica/p.persica_gdr_reftransV1_0017595","p.persica_gdr_reftransV1_0017595")</f>
        <v>p.persica_gdr_reftransV1_0017595</v>
      </c>
      <c r="B22404" s="2">
        <v>1980</v>
      </c>
      <c r="C22404" s="4" t="str">
        <f>HYPERLINK("http://www.uniprot.org/uniprot/M5WS88","M5WS88")</f>
        <v>M5WS88</v>
      </c>
      <c r="D22404" s="2" t="s">
        <v>16546</v>
      </c>
      <c r="E22404" s="3">
        <v>0</v>
      </c>
      <c r="F22404" s="2">
        <v>1957</v>
      </c>
      <c r="G22404" s="2">
        <v>100</v>
      </c>
      <c r="H22404" s="2">
        <v>468</v>
      </c>
      <c r="I22404" s="2">
        <v>345</v>
      </c>
      <c r="J22404" s="2">
        <v>1748</v>
      </c>
      <c r="K22404" s="2">
        <v>1</v>
      </c>
      <c r="L22404" s="2">
        <v>468</v>
      </c>
    </row>
    <row r="22405" spans="1:12" x14ac:dyDescent="0.25">
      <c r="A22405" s="4" t="str">
        <f>HYPERLINK("http://www.rosaceae.org/Prunus/Prunus_persica/p.persica_gdr_reftransV1_0018645","p.persica_gdr_reftransV1_0018645")</f>
        <v>p.persica_gdr_reftransV1_0018645</v>
      </c>
      <c r="B22405" s="2">
        <v>2511</v>
      </c>
      <c r="C22405" s="4" t="str">
        <f>HYPERLINK("http://www.uniprot.org/uniprot/M5WHC6","M5WHC6")</f>
        <v>M5WHC6</v>
      </c>
      <c r="D22405" s="2" t="s">
        <v>16547</v>
      </c>
      <c r="E22405" s="3">
        <v>0</v>
      </c>
      <c r="F22405" s="2">
        <v>1508</v>
      </c>
      <c r="G22405" s="2">
        <v>100</v>
      </c>
      <c r="H22405" s="2">
        <v>361</v>
      </c>
      <c r="I22405" s="2">
        <v>1192</v>
      </c>
      <c r="J22405" s="2">
        <v>2274</v>
      </c>
      <c r="K22405" s="2">
        <v>1</v>
      </c>
      <c r="L22405" s="2">
        <v>361</v>
      </c>
    </row>
    <row r="22406" spans="1:12" x14ac:dyDescent="0.25">
      <c r="A22406" s="4" t="str">
        <f>HYPERLINK("http://www.rosaceae.org/Prunus/Prunus_persica/p.persica_gdr_reftransV1_0018995","p.persica_gdr_reftransV1_0018995")</f>
        <v>p.persica_gdr_reftransV1_0018995</v>
      </c>
      <c r="B22406" s="2">
        <v>2679</v>
      </c>
      <c r="C22406" s="4" t="str">
        <f>HYPERLINK("http://www.uniprot.org/uniprot/M5WGK3","M5WGK3")</f>
        <v>M5WGK3</v>
      </c>
      <c r="D22406" s="2" t="s">
        <v>16548</v>
      </c>
      <c r="E22406" s="3">
        <v>0</v>
      </c>
      <c r="F22406" s="2">
        <v>1534</v>
      </c>
      <c r="G22406" s="2">
        <v>99</v>
      </c>
      <c r="H22406" s="2">
        <v>299</v>
      </c>
      <c r="I22406" s="2">
        <v>515</v>
      </c>
      <c r="J22406" s="2">
        <v>1411</v>
      </c>
      <c r="K22406" s="2">
        <v>1</v>
      </c>
      <c r="L22406" s="2">
        <v>299</v>
      </c>
    </row>
    <row r="22407" spans="1:12" x14ac:dyDescent="0.25">
      <c r="A22407" s="4" t="str">
        <f>HYPERLINK("http://www.rosaceae.org/Prunus/Prunus_persica/p.persica_gdr_reftransV1_0020395","p.persica_gdr_reftransV1_0020395")</f>
        <v>p.persica_gdr_reftransV1_0020395</v>
      </c>
      <c r="B22407" s="2">
        <v>2694</v>
      </c>
      <c r="C22407" s="4" t="str">
        <f>HYPERLINK("http://www.uniprot.org/uniprot/M5WFK6","M5WFK6")</f>
        <v>M5WFK6</v>
      </c>
      <c r="D22407" s="2" t="s">
        <v>16549</v>
      </c>
      <c r="E22407" s="3">
        <v>0</v>
      </c>
      <c r="F22407" s="2">
        <v>3308</v>
      </c>
      <c r="G22407" s="2">
        <v>100</v>
      </c>
      <c r="H22407" s="2">
        <v>616</v>
      </c>
      <c r="I22407" s="2">
        <v>442</v>
      </c>
      <c r="J22407" s="2">
        <v>2289</v>
      </c>
      <c r="K22407" s="2">
        <v>1</v>
      </c>
      <c r="L22407" s="2">
        <v>616</v>
      </c>
    </row>
    <row r="22408" spans="1:12" x14ac:dyDescent="0.25">
      <c r="A22408" s="4" t="str">
        <f>HYPERLINK("http://www.rosaceae.org/Prunus/Prunus_persica/p.persica_gdr_reftransV1_0021095","p.persica_gdr_reftransV1_0021095")</f>
        <v>p.persica_gdr_reftransV1_0021095</v>
      </c>
      <c r="B22408" s="2">
        <v>1292</v>
      </c>
      <c r="C22408" s="4" t="str">
        <f>HYPERLINK("http://www.uniprot.org/uniprot/M5X1E8","M5X1E8")</f>
        <v>M5X1E8</v>
      </c>
      <c r="D22408" s="2" t="s">
        <v>16550</v>
      </c>
      <c r="E22408" s="3">
        <v>0</v>
      </c>
      <c r="F22408" s="2">
        <v>1992</v>
      </c>
      <c r="G22408" s="2">
        <v>100</v>
      </c>
      <c r="H22408" s="2">
        <v>373</v>
      </c>
      <c r="I22408" s="2">
        <v>98</v>
      </c>
      <c r="J22408" s="2">
        <v>1216</v>
      </c>
      <c r="K22408" s="2">
        <v>5</v>
      </c>
      <c r="L22408" s="2">
        <v>377</v>
      </c>
    </row>
    <row r="22409" spans="1:12" x14ac:dyDescent="0.25">
      <c r="A22409" s="4" t="str">
        <f>HYPERLINK("http://www.rosaceae.org/Prunus/Prunus_persica/p.persica_gdr_reftransV1_0022495","p.persica_gdr_reftransV1_0022495")</f>
        <v>p.persica_gdr_reftransV1_0022495</v>
      </c>
      <c r="B22409" s="2">
        <v>4140</v>
      </c>
      <c r="C22409" s="4" t="str">
        <f>HYPERLINK("http://www.uniprot.org/uniprot/M5W917","M5W917")</f>
        <v>M5W917</v>
      </c>
      <c r="D22409" s="2" t="s">
        <v>15155</v>
      </c>
      <c r="E22409" s="3">
        <v>2.3999999999999999E-107</v>
      </c>
      <c r="F22409" s="2">
        <v>912</v>
      </c>
      <c r="G22409" s="2">
        <v>98</v>
      </c>
      <c r="H22409" s="2">
        <v>173</v>
      </c>
      <c r="I22409" s="2">
        <v>433</v>
      </c>
      <c r="J22409" s="2">
        <v>951</v>
      </c>
      <c r="K22409" s="2">
        <v>1</v>
      </c>
      <c r="L22409" s="2">
        <v>173</v>
      </c>
    </row>
    <row r="22410" spans="1:12" x14ac:dyDescent="0.25">
      <c r="A22410" s="4" t="str">
        <f>HYPERLINK("http://www.rosaceae.org/Prunus/Prunus_persica/p.persica_gdr_reftransV1_0023195","p.persica_gdr_reftransV1_0023195")</f>
        <v>p.persica_gdr_reftransV1_0023195</v>
      </c>
      <c r="B22410" s="2">
        <v>4319</v>
      </c>
      <c r="C22410" s="4" t="str">
        <f>HYPERLINK("http://www.uniprot.org/uniprot/M5X6V2","M5X6V2")</f>
        <v>M5X6V2</v>
      </c>
      <c r="D22410" s="2" t="s">
        <v>16551</v>
      </c>
      <c r="E22410" s="3">
        <v>0</v>
      </c>
      <c r="F22410" s="2">
        <v>4604</v>
      </c>
      <c r="G22410" s="2">
        <v>99</v>
      </c>
      <c r="H22410" s="2">
        <v>915</v>
      </c>
      <c r="I22410" s="2">
        <v>1427</v>
      </c>
      <c r="J22410" s="2">
        <v>4171</v>
      </c>
      <c r="K22410" s="2">
        <v>1</v>
      </c>
      <c r="L22410" s="2">
        <v>915</v>
      </c>
    </row>
    <row r="22411" spans="1:12" x14ac:dyDescent="0.25">
      <c r="A22411" s="4" t="str">
        <f>HYPERLINK("http://www.rosaceae.org/Prunus/Prunus_persica/p.persica_gdr_reftransV1_0024245","p.persica_gdr_reftransV1_0024245")</f>
        <v>p.persica_gdr_reftransV1_0024245</v>
      </c>
      <c r="B22411" s="2">
        <v>1227</v>
      </c>
      <c r="C22411" s="4" t="str">
        <f>HYPERLINK("http://www.uniprot.org/uniprot/M5XTI3","M5XTI3")</f>
        <v>M5XTI3</v>
      </c>
      <c r="D22411" s="2" t="s">
        <v>16552</v>
      </c>
      <c r="E22411" s="3">
        <v>1.26E-74</v>
      </c>
      <c r="F22411" s="2">
        <v>611</v>
      </c>
      <c r="G22411" s="2">
        <v>100</v>
      </c>
      <c r="H22411" s="2">
        <v>116</v>
      </c>
      <c r="I22411" s="2">
        <v>727</v>
      </c>
      <c r="J22411" s="2">
        <v>1074</v>
      </c>
      <c r="K22411" s="2">
        <v>1</v>
      </c>
      <c r="L22411" s="2">
        <v>116</v>
      </c>
    </row>
    <row r="22412" spans="1:12" x14ac:dyDescent="0.25">
      <c r="A22412" s="4" t="str">
        <f>HYPERLINK("http://www.rosaceae.org/Prunus/Prunus_persica/p.persica_gdr_reftransV1_0025995","p.persica_gdr_reftransV1_0025995")</f>
        <v>p.persica_gdr_reftransV1_0025995</v>
      </c>
      <c r="B22412" s="2">
        <v>1149</v>
      </c>
      <c r="C22412" s="4" t="str">
        <f>HYPERLINK("http://www.uniprot.org/uniprot/M5W7A0","M5W7A0")</f>
        <v>M5W7A0</v>
      </c>
      <c r="D22412" s="2" t="s">
        <v>567</v>
      </c>
      <c r="E22412" s="3">
        <v>0</v>
      </c>
      <c r="F22412" s="2">
        <v>1971</v>
      </c>
      <c r="G22412" s="2">
        <v>100</v>
      </c>
      <c r="H22412" s="2">
        <v>382</v>
      </c>
      <c r="I22412" s="2">
        <v>2</v>
      </c>
      <c r="J22412" s="2">
        <v>1147</v>
      </c>
      <c r="K22412" s="2">
        <v>612</v>
      </c>
      <c r="L22412" s="2">
        <v>993</v>
      </c>
    </row>
    <row r="22413" spans="1:12" x14ac:dyDescent="0.25">
      <c r="A22413" s="4" t="str">
        <f>HYPERLINK("http://www.rosaceae.org/Prunus/Prunus_persica/p.persica_gdr_reftransV1_0026345","p.persica_gdr_reftransV1_0026345")</f>
        <v>p.persica_gdr_reftransV1_0026345</v>
      </c>
      <c r="B22413" s="2">
        <v>2043</v>
      </c>
      <c r="C22413" s="4" t="str">
        <f>HYPERLINK("http://www.uniprot.org/uniprot/M5WZY6","M5WZY6")</f>
        <v>M5WZY6</v>
      </c>
      <c r="D22413" s="2" t="s">
        <v>6314</v>
      </c>
      <c r="E22413" s="3">
        <v>0</v>
      </c>
      <c r="F22413" s="2">
        <v>2302</v>
      </c>
      <c r="G22413" s="2">
        <v>100</v>
      </c>
      <c r="H22413" s="2">
        <v>433</v>
      </c>
      <c r="I22413" s="2">
        <v>351</v>
      </c>
      <c r="J22413" s="2">
        <v>1649</v>
      </c>
      <c r="K22413" s="2">
        <v>1</v>
      </c>
      <c r="L22413" s="2">
        <v>433</v>
      </c>
    </row>
    <row r="22414" spans="1:12" x14ac:dyDescent="0.25">
      <c r="A22414" s="4" t="str">
        <f>HYPERLINK("http://www.rosaceae.org/Prunus/Prunus_persica/p.persica_gdr_reftransV1_0027395","p.persica_gdr_reftransV1_0027395")</f>
        <v>p.persica_gdr_reftransV1_0027395</v>
      </c>
      <c r="B22414" s="2">
        <v>1056</v>
      </c>
      <c r="C22414" s="4" t="str">
        <f>HYPERLINK("http://www.uniprot.org/uniprot/M5WGW3","M5WGW3")</f>
        <v>M5WGW3</v>
      </c>
      <c r="D22414" s="2" t="s">
        <v>16553</v>
      </c>
      <c r="E22414" s="3">
        <v>1.0800000000000001E-148</v>
      </c>
      <c r="F22414" s="2">
        <v>1114</v>
      </c>
      <c r="G22414" s="2">
        <v>100</v>
      </c>
      <c r="H22414" s="2">
        <v>249</v>
      </c>
      <c r="I22414" s="2">
        <v>228</v>
      </c>
      <c r="J22414" s="2">
        <v>974</v>
      </c>
      <c r="K22414" s="2">
        <v>1</v>
      </c>
      <c r="L22414" s="2">
        <v>249</v>
      </c>
    </row>
    <row r="22415" spans="1:12" x14ac:dyDescent="0.25">
      <c r="A22415" s="4" t="str">
        <f>HYPERLINK("http://www.rosaceae.org/Prunus/Prunus_persica/p.persica_gdr_reftransV1_0028095","p.persica_gdr_reftransV1_0028095")</f>
        <v>p.persica_gdr_reftransV1_0028095</v>
      </c>
      <c r="B22415" s="2">
        <v>1338</v>
      </c>
      <c r="C22415" s="4" t="str">
        <f>HYPERLINK("http://www.uniprot.org/uniprot/M5X0K8","M5X0K8")</f>
        <v>M5X0K8</v>
      </c>
      <c r="D22415" s="2" t="s">
        <v>16554</v>
      </c>
      <c r="E22415" s="3">
        <v>0</v>
      </c>
      <c r="F22415" s="2">
        <v>1592</v>
      </c>
      <c r="G22415" s="2">
        <v>100</v>
      </c>
      <c r="H22415" s="2">
        <v>344</v>
      </c>
      <c r="I22415" s="2">
        <v>258</v>
      </c>
      <c r="J22415" s="2">
        <v>1289</v>
      </c>
      <c r="K22415" s="2">
        <v>1</v>
      </c>
      <c r="L22415" s="2">
        <v>344</v>
      </c>
    </row>
    <row r="22416" spans="1:12" x14ac:dyDescent="0.25">
      <c r="A22416" s="4" t="str">
        <f>HYPERLINK("http://www.rosaceae.org/Prunus/Prunus_persica/p.persica_gdr_reftransV1_0029145","p.persica_gdr_reftransV1_0029145")</f>
        <v>p.persica_gdr_reftransV1_0029145</v>
      </c>
      <c r="B22416" s="2">
        <v>2661</v>
      </c>
      <c r="C22416" s="4" t="str">
        <f>HYPERLINK("http://www.uniprot.org/uniprot/M5VX05","M5VX05")</f>
        <v>M5VX05</v>
      </c>
      <c r="D22416" s="2" t="s">
        <v>16555</v>
      </c>
      <c r="E22416" s="3">
        <v>0</v>
      </c>
      <c r="F22416" s="2">
        <v>1706</v>
      </c>
      <c r="G22416" s="2">
        <v>100</v>
      </c>
      <c r="H22416" s="2">
        <v>383</v>
      </c>
      <c r="I22416" s="2">
        <v>2</v>
      </c>
      <c r="J22416" s="2">
        <v>1150</v>
      </c>
      <c r="K22416" s="2">
        <v>25</v>
      </c>
      <c r="L22416" s="2">
        <v>407</v>
      </c>
    </row>
    <row r="22417" spans="1:12" x14ac:dyDescent="0.25">
      <c r="A22417" s="4" t="str">
        <f>HYPERLINK("http://www.rosaceae.org/Prunus/Prunus_persica/p.persica_gdr_reftransV1_0029845","p.persica_gdr_reftransV1_0029845")</f>
        <v>p.persica_gdr_reftransV1_0029845</v>
      </c>
      <c r="B22417" s="2">
        <v>776</v>
      </c>
      <c r="C22417" s="4" t="str">
        <f>HYPERLINK("http://www.uniprot.org/uniprot/M5WA80","M5WA80")</f>
        <v>M5WA80</v>
      </c>
      <c r="D22417" s="2" t="s">
        <v>2478</v>
      </c>
      <c r="E22417" s="3">
        <v>8.2999999999999999E-49</v>
      </c>
      <c r="F22417" s="2">
        <v>436</v>
      </c>
      <c r="G22417" s="2">
        <v>95</v>
      </c>
      <c r="H22417" s="2">
        <v>88</v>
      </c>
      <c r="I22417" s="2">
        <v>426</v>
      </c>
      <c r="J22417" s="2">
        <v>689</v>
      </c>
      <c r="K22417" s="2">
        <v>1</v>
      </c>
      <c r="L22417" s="2">
        <v>88</v>
      </c>
    </row>
    <row r="22418" spans="1:12" x14ac:dyDescent="0.25">
      <c r="A22418" s="4" t="str">
        <f>HYPERLINK("http://www.rosaceae.org/Prunus/Prunus_persica/p.persica_gdr_reftransV1_0030545","p.persica_gdr_reftransV1_0030545")</f>
        <v>p.persica_gdr_reftransV1_0030545</v>
      </c>
      <c r="B22418" s="2">
        <v>2126</v>
      </c>
      <c r="C22418" s="4" t="str">
        <f>HYPERLINK("http://www.uniprot.org/uniprot/M5WAJ1","M5WAJ1")</f>
        <v>M5WAJ1</v>
      </c>
      <c r="D22418" s="2" t="s">
        <v>16556</v>
      </c>
      <c r="E22418" s="3">
        <v>1.7900000000000001E-114</v>
      </c>
      <c r="F22418" s="2">
        <v>909</v>
      </c>
      <c r="G22418" s="2">
        <v>100</v>
      </c>
      <c r="H22418" s="2">
        <v>192</v>
      </c>
      <c r="I22418" s="2">
        <v>1133</v>
      </c>
      <c r="J22418" s="2">
        <v>1708</v>
      </c>
      <c r="K22418" s="2">
        <v>1</v>
      </c>
      <c r="L22418" s="2">
        <v>192</v>
      </c>
    </row>
    <row r="22419" spans="1:12" x14ac:dyDescent="0.25">
      <c r="A22419" s="4" t="str">
        <f>HYPERLINK("http://www.rosaceae.org/Prunus/Prunus_persica/p.persica_gdr_reftransV1_0031595","p.persica_gdr_reftransV1_0031595")</f>
        <v>p.persica_gdr_reftransV1_0031595</v>
      </c>
      <c r="B22419" s="2">
        <v>3367</v>
      </c>
      <c r="C22419" s="4" t="str">
        <f>HYPERLINK("http://www.uniprot.org/uniprot/M5XDT7","M5XDT7")</f>
        <v>M5XDT7</v>
      </c>
      <c r="D22419" s="2" t="s">
        <v>16557</v>
      </c>
      <c r="E22419" s="3">
        <v>6.12E-159</v>
      </c>
      <c r="F22419" s="2">
        <v>1259</v>
      </c>
      <c r="G22419" s="2">
        <v>100</v>
      </c>
      <c r="H22419" s="2">
        <v>246</v>
      </c>
      <c r="I22419" s="2">
        <v>2169</v>
      </c>
      <c r="J22419" s="2">
        <v>2906</v>
      </c>
      <c r="K22419" s="2">
        <v>136</v>
      </c>
      <c r="L22419" s="2">
        <v>381</v>
      </c>
    </row>
    <row r="22420" spans="1:12" x14ac:dyDescent="0.25">
      <c r="A22420" s="4" t="str">
        <f>HYPERLINK("http://www.rosaceae.org/Prunus/Prunus_persica/p.persica_gdr_reftransV1_0032295","p.persica_gdr_reftransV1_0032295")</f>
        <v>p.persica_gdr_reftransV1_0032295</v>
      </c>
      <c r="B22420" s="2">
        <v>839</v>
      </c>
      <c r="C22420" s="4" t="str">
        <f>HYPERLINK("http://www.uniprot.org/uniprot/M5XS49","M5XS49")</f>
        <v>M5XS49</v>
      </c>
      <c r="D22420" s="2" t="s">
        <v>10925</v>
      </c>
      <c r="E22420" s="3">
        <v>5.8700000000000003E-166</v>
      </c>
      <c r="F22420" s="2">
        <v>1221</v>
      </c>
      <c r="G22420" s="2">
        <v>100</v>
      </c>
      <c r="H22420" s="2">
        <v>235</v>
      </c>
      <c r="I22420" s="2">
        <v>3</v>
      </c>
      <c r="J22420" s="2">
        <v>707</v>
      </c>
      <c r="K22420" s="2">
        <v>72</v>
      </c>
      <c r="L22420" s="2">
        <v>305</v>
      </c>
    </row>
    <row r="22421" spans="1:12" x14ac:dyDescent="0.25">
      <c r="A22421" s="4" t="str">
        <f>HYPERLINK("http://www.rosaceae.org/Prunus/Prunus_persica/p.persica_gdr_reftransV1_0032645","p.persica_gdr_reftransV1_0032645")</f>
        <v>p.persica_gdr_reftransV1_0032645</v>
      </c>
      <c r="B22421" s="2">
        <v>6418</v>
      </c>
      <c r="C22421" s="4" t="str">
        <f>HYPERLINK("http://www.uniprot.org/uniprot/M5VJK7","M5VJK7")</f>
        <v>M5VJK7</v>
      </c>
      <c r="D22421" s="2" t="s">
        <v>16558</v>
      </c>
      <c r="E22421" s="3">
        <v>0</v>
      </c>
      <c r="F22421" s="2">
        <v>2397</v>
      </c>
      <c r="G22421" s="2">
        <v>98</v>
      </c>
      <c r="H22421" s="2">
        <v>478</v>
      </c>
      <c r="I22421" s="2">
        <v>808</v>
      </c>
      <c r="J22421" s="2">
        <v>2226</v>
      </c>
      <c r="K22421" s="2">
        <v>39</v>
      </c>
      <c r="L22421" s="2">
        <v>516</v>
      </c>
    </row>
    <row r="22422" spans="1:12" x14ac:dyDescent="0.25">
      <c r="A22422" s="4" t="str">
        <f>HYPERLINK("http://www.rosaceae.org/Prunus/Prunus_persica/p.persica_gdr_reftransV1_0032995","p.persica_gdr_reftransV1_0032995")</f>
        <v>p.persica_gdr_reftransV1_0032995</v>
      </c>
      <c r="B22422" s="2">
        <v>1545</v>
      </c>
      <c r="C22422" s="4" t="str">
        <f>HYPERLINK("http://www.uniprot.org/uniprot/M5WV78","M5WV78")</f>
        <v>M5WV78</v>
      </c>
      <c r="D22422" s="2" t="s">
        <v>6953</v>
      </c>
      <c r="E22422" s="3">
        <v>2.06E-61</v>
      </c>
      <c r="F22422" s="2">
        <v>560</v>
      </c>
      <c r="G22422" s="2">
        <v>88</v>
      </c>
      <c r="H22422" s="2">
        <v>141</v>
      </c>
      <c r="I22422" s="2">
        <v>367</v>
      </c>
      <c r="J22422" s="2">
        <v>786</v>
      </c>
      <c r="K22422" s="2">
        <v>1</v>
      </c>
      <c r="L22422" s="2">
        <v>141</v>
      </c>
    </row>
    <row r="22423" spans="1:12" x14ac:dyDescent="0.25">
      <c r="A22423" s="4" t="str">
        <f>HYPERLINK("http://www.rosaceae.org/Prunus/Prunus_persica/p.persica_gdr_reftransV1_0033695","p.persica_gdr_reftransV1_0033695")</f>
        <v>p.persica_gdr_reftransV1_0033695</v>
      </c>
      <c r="B22423" s="2">
        <v>2528</v>
      </c>
      <c r="C22423" s="4" t="str">
        <f>HYPERLINK("http://www.uniprot.org/uniprot/M5W1G2","M5W1G2")</f>
        <v>M5W1G2</v>
      </c>
      <c r="D22423" s="2" t="s">
        <v>15224</v>
      </c>
      <c r="E22423" s="3">
        <v>2.5100000000000001E-92</v>
      </c>
      <c r="F22423" s="2">
        <v>766</v>
      </c>
      <c r="G22423" s="2">
        <v>100</v>
      </c>
      <c r="H22423" s="2">
        <v>162</v>
      </c>
      <c r="I22423" s="2">
        <v>277</v>
      </c>
      <c r="J22423" s="2">
        <v>762</v>
      </c>
      <c r="K22423" s="2">
        <v>10</v>
      </c>
      <c r="L22423" s="2">
        <v>171</v>
      </c>
    </row>
    <row r="22424" spans="1:12" x14ac:dyDescent="0.25">
      <c r="A22424" s="4" t="str">
        <f>HYPERLINK("http://www.rosaceae.org/Prunus/Prunus_persica/p.persica_gdr_reftransV1_0034395","p.persica_gdr_reftransV1_0034395")</f>
        <v>p.persica_gdr_reftransV1_0034395</v>
      </c>
      <c r="B22424" s="2">
        <v>1861</v>
      </c>
      <c r="C22424" s="4" t="str">
        <f>HYPERLINK("http://www.uniprot.org/uniprot/M5VSI7","M5VSI7")</f>
        <v>M5VSI7</v>
      </c>
      <c r="D22424" s="2" t="s">
        <v>15577</v>
      </c>
      <c r="E22424" s="3">
        <v>0</v>
      </c>
      <c r="F22424" s="2">
        <v>2611</v>
      </c>
      <c r="G22424" s="2">
        <v>100</v>
      </c>
      <c r="H22424" s="2">
        <v>526</v>
      </c>
      <c r="I22424" s="2">
        <v>283</v>
      </c>
      <c r="J22424" s="2">
        <v>1860</v>
      </c>
      <c r="K22424" s="2">
        <v>63</v>
      </c>
      <c r="L22424" s="2">
        <v>588</v>
      </c>
    </row>
    <row r="22425" spans="1:12" x14ac:dyDescent="0.25">
      <c r="A22425" s="4" t="str">
        <f>HYPERLINK("http://www.rosaceae.org/Prunus/Prunus_persica/p.persica_gdr_reftransV1_0036845","p.persica_gdr_reftransV1_0036845")</f>
        <v>p.persica_gdr_reftransV1_0036845</v>
      </c>
      <c r="B22425" s="2">
        <v>3393</v>
      </c>
      <c r="C22425" s="4" t="str">
        <f>HYPERLINK("http://www.uniprot.org/uniprot/M5XEI0","M5XEI0")</f>
        <v>M5XEI0</v>
      </c>
      <c r="D22425" s="2" t="s">
        <v>16559</v>
      </c>
      <c r="E22425" s="3">
        <v>0</v>
      </c>
      <c r="F22425" s="2">
        <v>1908</v>
      </c>
      <c r="G22425" s="2">
        <v>100</v>
      </c>
      <c r="H22425" s="2">
        <v>360</v>
      </c>
      <c r="I22425" s="2">
        <v>251</v>
      </c>
      <c r="J22425" s="2">
        <v>1330</v>
      </c>
      <c r="K22425" s="2">
        <v>1</v>
      </c>
      <c r="L22425" s="2">
        <v>360</v>
      </c>
    </row>
    <row r="22426" spans="1:12" x14ac:dyDescent="0.25">
      <c r="A22426" s="4" t="str">
        <f>HYPERLINK("http://www.rosaceae.org/Prunus/Prunus_persica/p.persica_gdr_reftransV1_0038595","p.persica_gdr_reftransV1_0038595")</f>
        <v>p.persica_gdr_reftransV1_0038595</v>
      </c>
      <c r="B22426" s="2">
        <v>2085</v>
      </c>
      <c r="C22426" s="4" t="str">
        <f>HYPERLINK("http://www.uniprot.org/uniprot/M5WIQ6","M5WIQ6")</f>
        <v>M5WIQ6</v>
      </c>
      <c r="D22426" s="2" t="s">
        <v>16560</v>
      </c>
      <c r="E22426" s="3">
        <v>4.9700000000000003E-174</v>
      </c>
      <c r="F22426" s="2">
        <v>1320</v>
      </c>
      <c r="G22426" s="2">
        <v>100</v>
      </c>
      <c r="H22426" s="2">
        <v>247</v>
      </c>
      <c r="I22426" s="2">
        <v>1023</v>
      </c>
      <c r="J22426" s="2">
        <v>1763</v>
      </c>
      <c r="K22426" s="2">
        <v>1</v>
      </c>
      <c r="L22426" s="2">
        <v>247</v>
      </c>
    </row>
    <row r="22427" spans="1:12" x14ac:dyDescent="0.25">
      <c r="A22427" s="4" t="str">
        <f>HYPERLINK("http://www.rosaceae.org/Prunus/Prunus_persica/p.persica_gdr_reftransV1_0039645","p.persica_gdr_reftransV1_0039645")</f>
        <v>p.persica_gdr_reftransV1_0039645</v>
      </c>
      <c r="B22427" s="2">
        <v>5271</v>
      </c>
      <c r="C22427" s="4" t="str">
        <f>HYPERLINK("http://www.uniprot.org/uniprot/M5XKU2","M5XKU2")</f>
        <v>M5XKU2</v>
      </c>
      <c r="D22427" s="2" t="s">
        <v>9060</v>
      </c>
      <c r="E22427" s="3">
        <v>0</v>
      </c>
      <c r="F22427" s="2">
        <v>1969</v>
      </c>
      <c r="G22427" s="2">
        <v>99</v>
      </c>
      <c r="H22427" s="2">
        <v>368</v>
      </c>
      <c r="I22427" s="2">
        <v>1802</v>
      </c>
      <c r="J22427" s="2">
        <v>2905</v>
      </c>
      <c r="K22427" s="2">
        <v>295</v>
      </c>
      <c r="L22427" s="2">
        <v>662</v>
      </c>
    </row>
    <row r="22428" spans="1:12" x14ac:dyDescent="0.25">
      <c r="A22428" s="4" t="str">
        <f>HYPERLINK("http://www.rosaceae.org/Prunus/Prunus_persica/p.persica_gdr_reftransV1_0039995","p.persica_gdr_reftransV1_0039995")</f>
        <v>p.persica_gdr_reftransV1_0039995</v>
      </c>
      <c r="B22428" s="2">
        <v>2042</v>
      </c>
      <c r="C22428" s="4" t="str">
        <f>HYPERLINK("http://www.uniprot.org/uniprot/M5X6S7","M5X6S7")</f>
        <v>M5X6S7</v>
      </c>
      <c r="D22428" s="2" t="s">
        <v>12495</v>
      </c>
      <c r="E22428" s="3">
        <v>0</v>
      </c>
      <c r="F22428" s="2">
        <v>2411</v>
      </c>
      <c r="G22428" s="2">
        <v>94</v>
      </c>
      <c r="H22428" s="2">
        <v>526</v>
      </c>
      <c r="I22428" s="2">
        <v>96</v>
      </c>
      <c r="J22428" s="2">
        <v>1673</v>
      </c>
      <c r="K22428" s="2">
        <v>16</v>
      </c>
      <c r="L22428" s="2">
        <v>511</v>
      </c>
    </row>
    <row r="22429" spans="1:12" x14ac:dyDescent="0.25">
      <c r="A22429" s="4" t="str">
        <f>HYPERLINK("http://www.rosaceae.org/Prunus/Prunus_persica/p.persica_gdr_reftransV1_0042095","p.persica_gdr_reftransV1_0042095")</f>
        <v>p.persica_gdr_reftransV1_0042095</v>
      </c>
      <c r="B22429" s="2">
        <v>599</v>
      </c>
      <c r="C22429" s="4" t="str">
        <f>HYPERLINK("http://www.uniprot.org/uniprot/M5WN12","M5WN12")</f>
        <v>M5WN12</v>
      </c>
      <c r="D22429" s="2" t="s">
        <v>7576</v>
      </c>
      <c r="E22429" s="3">
        <v>3.7900000000000002E-67</v>
      </c>
      <c r="F22429" s="2">
        <v>541</v>
      </c>
      <c r="G22429" s="2">
        <v>100</v>
      </c>
      <c r="H22429" s="2">
        <v>108</v>
      </c>
      <c r="I22429" s="2">
        <v>157</v>
      </c>
      <c r="J22429" s="2">
        <v>480</v>
      </c>
      <c r="K22429" s="2">
        <v>1</v>
      </c>
      <c r="L22429" s="2">
        <v>108</v>
      </c>
    </row>
    <row r="22430" spans="1:12" x14ac:dyDescent="0.25">
      <c r="A22430" s="4" t="str">
        <f>HYPERLINK("http://www.rosaceae.org/Prunus/Prunus_persica/p.persica_gdr_reftransV1_0043145","p.persica_gdr_reftransV1_0043145")</f>
        <v>p.persica_gdr_reftransV1_0043145</v>
      </c>
      <c r="B22430" s="2">
        <v>610</v>
      </c>
      <c r="C22430" s="4" t="str">
        <f>HYPERLINK("http://www.uniprot.org/uniprot/M5XHM4","M5XHM4")</f>
        <v>M5XHM4</v>
      </c>
      <c r="D22430" s="2" t="s">
        <v>16561</v>
      </c>
      <c r="E22430" s="3">
        <v>7.9100000000000003E-51</v>
      </c>
      <c r="F22430" s="2">
        <v>432</v>
      </c>
      <c r="G22430" s="2">
        <v>100</v>
      </c>
      <c r="H22430" s="2">
        <v>83</v>
      </c>
      <c r="I22430" s="2">
        <v>310</v>
      </c>
      <c r="J22430" s="2">
        <v>558</v>
      </c>
      <c r="K22430" s="2">
        <v>1</v>
      </c>
      <c r="L22430" s="2">
        <v>83</v>
      </c>
    </row>
    <row r="22431" spans="1:12" x14ac:dyDescent="0.25">
      <c r="A22431" s="4" t="str">
        <f>HYPERLINK("http://www.rosaceae.org/Prunus/Prunus_persica/p.persica_gdr_reftransV1_0043495","p.persica_gdr_reftransV1_0043495")</f>
        <v>p.persica_gdr_reftransV1_0043495</v>
      </c>
      <c r="B22431" s="2">
        <v>1891</v>
      </c>
      <c r="C22431" s="4" t="str">
        <f>HYPERLINK("http://www.uniprot.org/uniprot/M5W0G8","M5W0G8")</f>
        <v>M5W0G8</v>
      </c>
      <c r="D22431" s="2" t="s">
        <v>3957</v>
      </c>
      <c r="E22431" s="3">
        <v>0</v>
      </c>
      <c r="F22431" s="2">
        <v>2419</v>
      </c>
      <c r="G22431" s="2">
        <v>100</v>
      </c>
      <c r="H22431" s="2">
        <v>466</v>
      </c>
      <c r="I22431" s="2">
        <v>493</v>
      </c>
      <c r="J22431" s="2">
        <v>1890</v>
      </c>
      <c r="K22431" s="2">
        <v>78</v>
      </c>
      <c r="L22431" s="2">
        <v>543</v>
      </c>
    </row>
    <row r="22432" spans="1:12" x14ac:dyDescent="0.25">
      <c r="A22432" s="4" t="str">
        <f>HYPERLINK("http://www.rosaceae.org/Prunus/Prunus_persica/p.persica_gdr_reftransV1_0043845","p.persica_gdr_reftransV1_0043845")</f>
        <v>p.persica_gdr_reftransV1_0043845</v>
      </c>
      <c r="B22432" s="2">
        <v>299</v>
      </c>
      <c r="C22432" s="4" t="str">
        <f>HYPERLINK("http://www.uniprot.org/uniprot/M5X031","M5X031")</f>
        <v>M5X031</v>
      </c>
      <c r="D22432" s="2" t="s">
        <v>5816</v>
      </c>
      <c r="E22432" s="3">
        <v>3.7800000000000001E-39</v>
      </c>
      <c r="F22432" s="2">
        <v>377</v>
      </c>
      <c r="G22432" s="2">
        <v>100</v>
      </c>
      <c r="H22432" s="2">
        <v>69</v>
      </c>
      <c r="I22432" s="2">
        <v>2</v>
      </c>
      <c r="J22432" s="2">
        <v>208</v>
      </c>
      <c r="K22432" s="2">
        <v>14</v>
      </c>
      <c r="L22432" s="2">
        <v>82</v>
      </c>
    </row>
    <row r="22433" spans="1:12" x14ac:dyDescent="0.25">
      <c r="A22433" s="4" t="str">
        <f>HYPERLINK("http://www.rosaceae.org/Prunus/Prunus_persica/p.persica_gdr_reftransV1_0044195","p.persica_gdr_reftransV1_0044195")</f>
        <v>p.persica_gdr_reftransV1_0044195</v>
      </c>
      <c r="B22433" s="2">
        <v>2588</v>
      </c>
      <c r="C22433" s="4" t="str">
        <f>HYPERLINK("http://www.uniprot.org/uniprot/M5VHQ3","M5VHQ3")</f>
        <v>M5VHQ3</v>
      </c>
      <c r="D22433" s="2" t="s">
        <v>11372</v>
      </c>
      <c r="E22433" s="3">
        <v>0</v>
      </c>
      <c r="F22433" s="2">
        <v>3325</v>
      </c>
      <c r="G22433" s="2">
        <v>98</v>
      </c>
      <c r="H22433" s="2">
        <v>680</v>
      </c>
      <c r="I22433" s="2">
        <v>545</v>
      </c>
      <c r="J22433" s="2">
        <v>2581</v>
      </c>
      <c r="K22433" s="2">
        <v>1</v>
      </c>
      <c r="L22433" s="2">
        <v>680</v>
      </c>
    </row>
    <row r="22434" spans="1:12" x14ac:dyDescent="0.25">
      <c r="A22434" s="4" t="str">
        <f>HYPERLINK("http://www.rosaceae.org/Prunus/Prunus_persica/p.persica_gdr_reftransV1_0044545","p.persica_gdr_reftransV1_0044545")</f>
        <v>p.persica_gdr_reftransV1_0044545</v>
      </c>
      <c r="B22434" s="2">
        <v>1952</v>
      </c>
      <c r="C22434" s="4" t="str">
        <f>HYPERLINK("http://www.uniprot.org/uniprot/M5VUY9","M5VUY9")</f>
        <v>M5VUY9</v>
      </c>
      <c r="D22434" s="2" t="s">
        <v>596</v>
      </c>
      <c r="E22434" s="3">
        <v>0</v>
      </c>
      <c r="F22434" s="2">
        <v>1284</v>
      </c>
      <c r="G22434" s="2">
        <v>100</v>
      </c>
      <c r="H22434" s="2">
        <v>301</v>
      </c>
      <c r="I22434" s="2">
        <v>976</v>
      </c>
      <c r="J22434" s="2">
        <v>1878</v>
      </c>
      <c r="K22434" s="2">
        <v>239</v>
      </c>
      <c r="L22434" s="2">
        <v>539</v>
      </c>
    </row>
    <row r="22435" spans="1:12" x14ac:dyDescent="0.25">
      <c r="A22435" s="4" t="str">
        <f>HYPERLINK("http://www.rosaceae.org/Prunus/Prunus_persica/p.persica_gdr_reftransV1_0044895","p.persica_gdr_reftransV1_0044895")</f>
        <v>p.persica_gdr_reftransV1_0044895</v>
      </c>
      <c r="B22435" s="2">
        <v>1149</v>
      </c>
      <c r="C22435" s="4" t="str">
        <f>HYPERLINK("http://www.uniprot.org/uniprot/M5XZ04","M5XZ04")</f>
        <v>M5XZ04</v>
      </c>
      <c r="D22435" s="2" t="s">
        <v>14828</v>
      </c>
      <c r="E22435" s="3">
        <v>9.3900000000000009E-72</v>
      </c>
      <c r="F22435" s="2">
        <v>595</v>
      </c>
      <c r="G22435" s="2">
        <v>100</v>
      </c>
      <c r="H22435" s="2">
        <v>182</v>
      </c>
      <c r="I22435" s="2">
        <v>77</v>
      </c>
      <c r="J22435" s="2">
        <v>622</v>
      </c>
      <c r="K22435" s="2">
        <v>1</v>
      </c>
      <c r="L22435" s="2">
        <v>182</v>
      </c>
    </row>
    <row r="22436" spans="1:12" x14ac:dyDescent="0.25">
      <c r="A22436" s="4" t="str">
        <f>HYPERLINK("http://www.rosaceae.org/Prunus/Prunus_persica/p.persica_gdr_reftransV1_0045245","p.persica_gdr_reftransV1_0045245")</f>
        <v>p.persica_gdr_reftransV1_0045245</v>
      </c>
      <c r="B22436" s="2">
        <v>1378</v>
      </c>
      <c r="C22436" s="4" t="str">
        <f>HYPERLINK("http://www.uniprot.org/uniprot/M5XCS5","M5XCS5")</f>
        <v>M5XCS5</v>
      </c>
      <c r="D22436" s="2" t="s">
        <v>16562</v>
      </c>
      <c r="E22436" s="3">
        <v>0</v>
      </c>
      <c r="F22436" s="2">
        <v>1679</v>
      </c>
      <c r="G22436" s="2">
        <v>100</v>
      </c>
      <c r="H22436" s="2">
        <v>337</v>
      </c>
      <c r="I22436" s="2">
        <v>215</v>
      </c>
      <c r="J22436" s="2">
        <v>1225</v>
      </c>
      <c r="K22436" s="2">
        <v>1</v>
      </c>
      <c r="L22436" s="2">
        <v>337</v>
      </c>
    </row>
    <row r="22437" spans="1:12" x14ac:dyDescent="0.25">
      <c r="A22437" s="4" t="str">
        <f>HYPERLINK("http://www.rosaceae.org/Prunus/Prunus_persica/p.persica_gdr_reftransV1_0045945","p.persica_gdr_reftransV1_0045945")</f>
        <v>p.persica_gdr_reftransV1_0045945</v>
      </c>
      <c r="B22437" s="2">
        <v>2106</v>
      </c>
      <c r="C22437" s="4" t="str">
        <f>HYPERLINK("http://www.uniprot.org/uniprot/M5WH11","M5WH11")</f>
        <v>M5WH11</v>
      </c>
      <c r="D22437" s="2" t="s">
        <v>7847</v>
      </c>
      <c r="E22437" s="3">
        <v>0</v>
      </c>
      <c r="F22437" s="2">
        <v>1886</v>
      </c>
      <c r="G22437" s="2">
        <v>100</v>
      </c>
      <c r="H22437" s="2">
        <v>416</v>
      </c>
      <c r="I22437" s="2">
        <v>516</v>
      </c>
      <c r="J22437" s="2">
        <v>1763</v>
      </c>
      <c r="K22437" s="2">
        <v>1</v>
      </c>
      <c r="L22437" s="2">
        <v>416</v>
      </c>
    </row>
    <row r="22438" spans="1:12" x14ac:dyDescent="0.25">
      <c r="A22438" s="4" t="str">
        <f>HYPERLINK("http://www.rosaceae.org/Prunus/Prunus_persica/p.persica_gdr_reftransV1_0046295","p.persica_gdr_reftransV1_0046295")</f>
        <v>p.persica_gdr_reftransV1_0046295</v>
      </c>
      <c r="B22438" s="2">
        <v>3858</v>
      </c>
      <c r="C22438" s="4" t="str">
        <f>HYPERLINK("http://www.uniprot.org/uniprot/M5XJU5","M5XJU5")</f>
        <v>M5XJU5</v>
      </c>
      <c r="D22438" s="2" t="s">
        <v>3182</v>
      </c>
      <c r="E22438" s="3">
        <v>0</v>
      </c>
      <c r="F22438" s="2">
        <v>5460</v>
      </c>
      <c r="G22438" s="2">
        <v>90</v>
      </c>
      <c r="H22438" s="2">
        <v>1155</v>
      </c>
      <c r="I22438" s="2">
        <v>274</v>
      </c>
      <c r="J22438" s="2">
        <v>3738</v>
      </c>
      <c r="K22438" s="2">
        <v>1</v>
      </c>
      <c r="L22438" s="2">
        <v>1145</v>
      </c>
    </row>
    <row r="22439" spans="1:12" x14ac:dyDescent="0.25">
      <c r="A22439" s="4" t="str">
        <f>HYPERLINK("http://www.rosaceae.org/Prunus/Prunus_persica/p.persica_gdr_reftransV1_0046645","p.persica_gdr_reftransV1_0046645")</f>
        <v>p.persica_gdr_reftransV1_0046645</v>
      </c>
      <c r="B22439" s="2">
        <v>1384</v>
      </c>
      <c r="C22439" s="4" t="str">
        <f>HYPERLINK("http://www.uniprot.org/uniprot/M5VQZ6","M5VQZ6")</f>
        <v>M5VQZ6</v>
      </c>
      <c r="D22439" s="2" t="s">
        <v>12267</v>
      </c>
      <c r="E22439" s="3">
        <v>0</v>
      </c>
      <c r="F22439" s="2">
        <v>1730</v>
      </c>
      <c r="G22439" s="2">
        <v>100</v>
      </c>
      <c r="H22439" s="2">
        <v>332</v>
      </c>
      <c r="I22439" s="2">
        <v>259</v>
      </c>
      <c r="J22439" s="2">
        <v>1254</v>
      </c>
      <c r="K22439" s="2">
        <v>1</v>
      </c>
      <c r="L22439" s="2">
        <v>332</v>
      </c>
    </row>
    <row r="22440" spans="1:12" x14ac:dyDescent="0.25">
      <c r="A22440" s="4" t="str">
        <f>HYPERLINK("http://www.rosaceae.org/Prunus/Prunus_persica/p.persica_gdr_reftransV1_0046995","p.persica_gdr_reftransV1_0046995")</f>
        <v>p.persica_gdr_reftransV1_0046995</v>
      </c>
      <c r="B22440" s="2">
        <v>595</v>
      </c>
      <c r="C22440" s="4" t="str">
        <f>HYPERLINK("http://www.uniprot.org/uniprot/M5WDW3","M5WDW3")</f>
        <v>M5WDW3</v>
      </c>
      <c r="D22440" s="2" t="s">
        <v>4544</v>
      </c>
      <c r="E22440" s="3">
        <v>1.68E-119</v>
      </c>
      <c r="F22440" s="2">
        <v>932</v>
      </c>
      <c r="G22440" s="2">
        <v>99</v>
      </c>
      <c r="H22440" s="2">
        <v>178</v>
      </c>
      <c r="I22440" s="2">
        <v>2</v>
      </c>
      <c r="J22440" s="2">
        <v>535</v>
      </c>
      <c r="K22440" s="2">
        <v>2</v>
      </c>
      <c r="L22440" s="2">
        <v>179</v>
      </c>
    </row>
    <row r="22441" spans="1:12" x14ac:dyDescent="0.25">
      <c r="A22441" s="4" t="str">
        <f>HYPERLINK("http://www.rosaceae.org/Prunus/Prunus_persica/p.persica_gdr_reftransV1_0047345","p.persica_gdr_reftransV1_0047345")</f>
        <v>p.persica_gdr_reftransV1_0047345</v>
      </c>
      <c r="B22441" s="2">
        <v>1043</v>
      </c>
      <c r="C22441" s="4" t="str">
        <f>HYPERLINK("http://www.uniprot.org/uniprot/A0A067H074","A0A067H074")</f>
        <v>A0A067H074</v>
      </c>
      <c r="D22441" s="2" t="s">
        <v>16563</v>
      </c>
      <c r="E22441" s="3">
        <v>1.5000000000000001E-12</v>
      </c>
      <c r="F22441" s="2">
        <v>174</v>
      </c>
      <c r="G22441" s="2">
        <v>73</v>
      </c>
      <c r="H22441" s="2">
        <v>48</v>
      </c>
      <c r="I22441" s="2">
        <v>544</v>
      </c>
      <c r="J22441" s="2">
        <v>687</v>
      </c>
      <c r="K22441" s="2">
        <v>1</v>
      </c>
      <c r="L22441" s="2">
        <v>48</v>
      </c>
    </row>
    <row r="22442" spans="1:12" x14ac:dyDescent="0.25">
      <c r="A22442" s="4" t="str">
        <f>HYPERLINK("http://www.rosaceae.org/Prunus/Prunus_persica/p.persica_gdr_reftransV1_0047695","p.persica_gdr_reftransV1_0047695")</f>
        <v>p.persica_gdr_reftransV1_0047695</v>
      </c>
      <c r="B22442" s="2">
        <v>5509</v>
      </c>
      <c r="C22442" s="4" t="str">
        <f>HYPERLINK("http://www.uniprot.org/uniprot/M5WYT9","M5WYT9")</f>
        <v>M5WYT9</v>
      </c>
      <c r="D22442" s="2" t="s">
        <v>3208</v>
      </c>
      <c r="E22442" s="3">
        <v>0</v>
      </c>
      <c r="F22442" s="2">
        <v>4120</v>
      </c>
      <c r="G22442" s="2">
        <v>100</v>
      </c>
      <c r="H22442" s="2">
        <v>790</v>
      </c>
      <c r="I22442" s="2">
        <v>2691</v>
      </c>
      <c r="J22442" s="2">
        <v>5060</v>
      </c>
      <c r="K22442" s="2">
        <v>1</v>
      </c>
      <c r="L22442" s="2">
        <v>790</v>
      </c>
    </row>
    <row r="22443" spans="1:12" x14ac:dyDescent="0.25">
      <c r="A22443" s="4" t="str">
        <f>HYPERLINK("http://www.rosaceae.org/Prunus/Prunus_persica/p.persica_gdr_reftransV1_0048045","p.persica_gdr_reftransV1_0048045")</f>
        <v>p.persica_gdr_reftransV1_0048045</v>
      </c>
      <c r="B22443" s="2">
        <v>579</v>
      </c>
      <c r="C22443" s="4" t="str">
        <f>HYPERLINK("http://www.uniprot.org/uniprot/M5VLU3","M5VLU3")</f>
        <v>M5VLU3</v>
      </c>
      <c r="D22443" s="2" t="s">
        <v>1589</v>
      </c>
      <c r="E22443" s="3">
        <v>1.3699999999999999E-125</v>
      </c>
      <c r="F22443" s="2">
        <v>1034</v>
      </c>
      <c r="G22443" s="2">
        <v>100</v>
      </c>
      <c r="H22443" s="2">
        <v>182</v>
      </c>
      <c r="I22443" s="2">
        <v>34</v>
      </c>
      <c r="J22443" s="2">
        <v>579</v>
      </c>
      <c r="K22443" s="2">
        <v>116</v>
      </c>
      <c r="L22443" s="2">
        <v>297</v>
      </c>
    </row>
    <row r="22444" spans="1:12" x14ac:dyDescent="0.25">
      <c r="A22444" s="4" t="str">
        <f>HYPERLINK("http://www.rosaceae.org/Prunus/Prunus_persica/p.persica_gdr_reftransV1_0048745","p.persica_gdr_reftransV1_0048745")</f>
        <v>p.persica_gdr_reftransV1_0048745</v>
      </c>
      <c r="B22444" s="2">
        <v>3512</v>
      </c>
      <c r="C22444" s="4" t="str">
        <f>HYPERLINK("http://www.uniprot.org/uniprot/M5X9Z1","M5X9Z1")</f>
        <v>M5X9Z1</v>
      </c>
      <c r="D22444" s="2" t="s">
        <v>6192</v>
      </c>
      <c r="E22444" s="3">
        <v>0</v>
      </c>
      <c r="F22444" s="2">
        <v>1580</v>
      </c>
      <c r="G22444" s="2">
        <v>87</v>
      </c>
      <c r="H22444" s="2">
        <v>399</v>
      </c>
      <c r="I22444" s="2">
        <v>2299</v>
      </c>
      <c r="J22444" s="2">
        <v>3495</v>
      </c>
      <c r="K22444" s="2">
        <v>1</v>
      </c>
      <c r="L22444" s="2">
        <v>347</v>
      </c>
    </row>
    <row r="22445" spans="1:12" x14ac:dyDescent="0.25">
      <c r="A22445" s="4" t="str">
        <f>HYPERLINK("http://www.rosaceae.org/Prunus/Prunus_persica/p.persica_gdr_reftransV1_0049095","p.persica_gdr_reftransV1_0049095")</f>
        <v>p.persica_gdr_reftransV1_0049095</v>
      </c>
      <c r="B22445" s="2">
        <v>316</v>
      </c>
      <c r="C22445" s="4" t="str">
        <f>HYPERLINK("http://www.uniprot.org/uniprot/M5WAF3","M5WAF3")</f>
        <v>M5WAF3</v>
      </c>
      <c r="D22445" s="2" t="s">
        <v>5293</v>
      </c>
      <c r="E22445" s="3">
        <v>7.9800000000000006E-39</v>
      </c>
      <c r="F22445" s="2">
        <v>353</v>
      </c>
      <c r="G22445" s="2">
        <v>100</v>
      </c>
      <c r="H22445" s="2">
        <v>89</v>
      </c>
      <c r="I22445" s="2">
        <v>3</v>
      </c>
      <c r="J22445" s="2">
        <v>269</v>
      </c>
      <c r="K22445" s="2">
        <v>1</v>
      </c>
      <c r="L22445" s="2">
        <v>89</v>
      </c>
    </row>
    <row r="22446" spans="1:12" x14ac:dyDescent="0.25">
      <c r="A22446" s="4" t="str">
        <f>HYPERLINK("http://www.rosaceae.org/Prunus/Prunus_persica/p.persica_gdr_reftransV1_0000446","p.persica_gdr_reftransV1_0000446")</f>
        <v>p.persica_gdr_reftransV1_0000446</v>
      </c>
      <c r="B22446" s="2">
        <v>1369</v>
      </c>
      <c r="C22446" s="4" t="str">
        <f>HYPERLINK("http://www.uniprot.org/uniprot/M5X0L0","M5X0L0")</f>
        <v>M5X0L0</v>
      </c>
      <c r="D22446" s="2" t="s">
        <v>12074</v>
      </c>
      <c r="E22446" s="3">
        <v>9.3500000000000005E-134</v>
      </c>
      <c r="F22446" s="2">
        <v>1017</v>
      </c>
      <c r="G22446" s="2">
        <v>100</v>
      </c>
      <c r="H22446" s="2">
        <v>206</v>
      </c>
      <c r="I22446" s="2">
        <v>465</v>
      </c>
      <c r="J22446" s="2">
        <v>1082</v>
      </c>
      <c r="K22446" s="2">
        <v>1</v>
      </c>
      <c r="L22446" s="2">
        <v>206</v>
      </c>
    </row>
    <row r="22447" spans="1:12" x14ac:dyDescent="0.25">
      <c r="A22447" s="4" t="str">
        <f>HYPERLINK("http://www.rosaceae.org/Prunus/Prunus_persica/p.persica_gdr_reftransV1_0000796","p.persica_gdr_reftransV1_0000796")</f>
        <v>p.persica_gdr_reftransV1_0000796</v>
      </c>
      <c r="B22447" s="2">
        <v>1869</v>
      </c>
      <c r="C22447" s="4" t="str">
        <f>HYPERLINK("http://www.uniprot.org/uniprot/M5VJN5","M5VJN5")</f>
        <v>M5VJN5</v>
      </c>
      <c r="D22447" s="2" t="s">
        <v>5260</v>
      </c>
      <c r="E22447" s="3">
        <v>0</v>
      </c>
      <c r="F22447" s="2">
        <v>2282</v>
      </c>
      <c r="G22447" s="2">
        <v>97</v>
      </c>
      <c r="H22447" s="2">
        <v>497</v>
      </c>
      <c r="I22447" s="2">
        <v>379</v>
      </c>
      <c r="J22447" s="2">
        <v>1869</v>
      </c>
      <c r="K22447" s="2">
        <v>435</v>
      </c>
      <c r="L22447" s="2">
        <v>917</v>
      </c>
    </row>
    <row r="22448" spans="1:12" x14ac:dyDescent="0.25">
      <c r="A22448" s="4" t="str">
        <f>HYPERLINK("http://www.rosaceae.org/Prunus/Prunus_persica/p.persica_gdr_reftransV1_0001146","p.persica_gdr_reftransV1_0001146")</f>
        <v>p.persica_gdr_reftransV1_0001146</v>
      </c>
      <c r="B22448" s="2">
        <v>1325</v>
      </c>
      <c r="C22448" s="4" t="str">
        <f>HYPERLINK("http://www.uniprot.org/uniprot/M5XT70","M5XT70")</f>
        <v>M5XT70</v>
      </c>
      <c r="D22448" s="2" t="s">
        <v>16564</v>
      </c>
      <c r="E22448" s="3">
        <v>4.2999999999999999E-76</v>
      </c>
      <c r="F22448" s="2">
        <v>645</v>
      </c>
      <c r="G22448" s="2">
        <v>100</v>
      </c>
      <c r="H22448" s="2">
        <v>261</v>
      </c>
      <c r="I22448" s="2">
        <v>543</v>
      </c>
      <c r="J22448" s="2">
        <v>1325</v>
      </c>
      <c r="K22448" s="2">
        <v>92</v>
      </c>
      <c r="L22448" s="2">
        <v>352</v>
      </c>
    </row>
    <row r="22449" spans="1:12" x14ac:dyDescent="0.25">
      <c r="A22449" s="4" t="str">
        <f>HYPERLINK("http://www.rosaceae.org/Prunus/Prunus_persica/p.persica_gdr_reftransV1_0001496","p.persica_gdr_reftransV1_0001496")</f>
        <v>p.persica_gdr_reftransV1_0001496</v>
      </c>
      <c r="B22449" s="2">
        <v>2625</v>
      </c>
      <c r="C22449" s="4" t="str">
        <f>HYPERLINK("http://www.uniprot.org/uniprot/M5XBB7","M5XBB7")</f>
        <v>M5XBB7</v>
      </c>
      <c r="D22449" s="2" t="s">
        <v>227</v>
      </c>
      <c r="E22449" s="3">
        <v>0</v>
      </c>
      <c r="F22449" s="2">
        <v>3332</v>
      </c>
      <c r="G22449" s="2">
        <v>96</v>
      </c>
      <c r="H22449" s="2">
        <v>716</v>
      </c>
      <c r="I22449" s="2">
        <v>223</v>
      </c>
      <c r="J22449" s="2">
        <v>2370</v>
      </c>
      <c r="K22449" s="2">
        <v>1</v>
      </c>
      <c r="L22449" s="2">
        <v>716</v>
      </c>
    </row>
    <row r="22450" spans="1:12" x14ac:dyDescent="0.25">
      <c r="A22450" s="4" t="str">
        <f>HYPERLINK("http://www.rosaceae.org/Prunus/Prunus_persica/p.persica_gdr_reftransV1_0002196","p.persica_gdr_reftransV1_0002196")</f>
        <v>p.persica_gdr_reftransV1_0002196</v>
      </c>
      <c r="B22450" s="2">
        <v>1810</v>
      </c>
      <c r="C22450" s="4" t="str">
        <f>HYPERLINK("http://www.uniprot.org/uniprot/M5XXN6","M5XXN6")</f>
        <v>M5XXN6</v>
      </c>
      <c r="D22450" s="2" t="s">
        <v>12032</v>
      </c>
      <c r="E22450" s="3">
        <v>0</v>
      </c>
      <c r="F22450" s="2">
        <v>1925</v>
      </c>
      <c r="G22450" s="2">
        <v>100</v>
      </c>
      <c r="H22450" s="2">
        <v>378</v>
      </c>
      <c r="I22450" s="2">
        <v>1</v>
      </c>
      <c r="J22450" s="2">
        <v>1134</v>
      </c>
      <c r="K22450" s="2">
        <v>1</v>
      </c>
      <c r="L22450" s="2">
        <v>378</v>
      </c>
    </row>
    <row r="22451" spans="1:12" x14ac:dyDescent="0.25">
      <c r="A22451" s="4" t="str">
        <f>HYPERLINK("http://www.rosaceae.org/Prunus/Prunus_persica/p.persica_gdr_reftransV1_0002896","p.persica_gdr_reftransV1_0002896")</f>
        <v>p.persica_gdr_reftransV1_0002896</v>
      </c>
      <c r="B22451" s="2">
        <v>3493</v>
      </c>
      <c r="C22451" s="4" t="str">
        <f>HYPERLINK("http://www.uniprot.org/uniprot/M5XL83","M5XL83")</f>
        <v>M5XL83</v>
      </c>
      <c r="D22451" s="2" t="s">
        <v>3629</v>
      </c>
      <c r="E22451" s="3">
        <v>0</v>
      </c>
      <c r="F22451" s="2">
        <v>3909</v>
      </c>
      <c r="G22451" s="2">
        <v>98</v>
      </c>
      <c r="H22451" s="2">
        <v>913</v>
      </c>
      <c r="I22451" s="2">
        <v>312</v>
      </c>
      <c r="J22451" s="2">
        <v>3050</v>
      </c>
      <c r="K22451" s="2">
        <v>1</v>
      </c>
      <c r="L22451" s="2">
        <v>896</v>
      </c>
    </row>
    <row r="22452" spans="1:12" x14ac:dyDescent="0.25">
      <c r="A22452" s="4" t="str">
        <f>HYPERLINK("http://www.rosaceae.org/Prunus/Prunus_persica/p.persica_gdr_reftransV1_0003246","p.persica_gdr_reftransV1_0003246")</f>
        <v>p.persica_gdr_reftransV1_0003246</v>
      </c>
      <c r="B22452" s="2">
        <v>1596</v>
      </c>
      <c r="C22452" s="4" t="str">
        <f>HYPERLINK("http://www.uniprot.org/uniprot/M5X1K0","M5X1K0")</f>
        <v>M5X1K0</v>
      </c>
      <c r="D22452" s="2" t="s">
        <v>7868</v>
      </c>
      <c r="E22452" s="3">
        <v>0</v>
      </c>
      <c r="F22452" s="2">
        <v>1969</v>
      </c>
      <c r="G22452" s="2">
        <v>93</v>
      </c>
      <c r="H22452" s="2">
        <v>422</v>
      </c>
      <c r="I22452" s="2">
        <v>296</v>
      </c>
      <c r="J22452" s="2">
        <v>1471</v>
      </c>
      <c r="K22452" s="2">
        <v>1</v>
      </c>
      <c r="L22452" s="2">
        <v>422</v>
      </c>
    </row>
    <row r="22453" spans="1:12" x14ac:dyDescent="0.25">
      <c r="A22453" s="4" t="str">
        <f>HYPERLINK("http://www.rosaceae.org/Prunus/Prunus_persica/p.persica_gdr_reftransV1_0003596","p.persica_gdr_reftransV1_0003596")</f>
        <v>p.persica_gdr_reftransV1_0003596</v>
      </c>
      <c r="B22453" s="2">
        <v>741</v>
      </c>
      <c r="C22453" s="4" t="str">
        <f>HYPERLINK("http://www.uniprot.org/uniprot/M5WUL0","M5WUL0")</f>
        <v>M5WUL0</v>
      </c>
      <c r="D22453" s="2" t="s">
        <v>7406</v>
      </c>
      <c r="E22453" s="3">
        <v>8.58E-147</v>
      </c>
      <c r="F22453" s="2">
        <v>1091</v>
      </c>
      <c r="G22453" s="2">
        <v>100</v>
      </c>
      <c r="H22453" s="2">
        <v>209</v>
      </c>
      <c r="I22453" s="2">
        <v>41</v>
      </c>
      <c r="J22453" s="2">
        <v>667</v>
      </c>
      <c r="K22453" s="2">
        <v>1</v>
      </c>
      <c r="L22453" s="2">
        <v>209</v>
      </c>
    </row>
    <row r="22454" spans="1:12" x14ac:dyDescent="0.25">
      <c r="A22454" s="4" t="str">
        <f>HYPERLINK("http://www.rosaceae.org/Prunus/Prunus_persica/p.persica_gdr_reftransV1_0005696","p.persica_gdr_reftransV1_0005696")</f>
        <v>p.persica_gdr_reftransV1_0005696</v>
      </c>
      <c r="B22454" s="2">
        <v>1036</v>
      </c>
      <c r="C22454" s="4" t="str">
        <f>HYPERLINK("http://www.uniprot.org/uniprot/M5X815","M5X815")</f>
        <v>M5X815</v>
      </c>
      <c r="D22454" s="2" t="s">
        <v>12918</v>
      </c>
      <c r="E22454" s="3">
        <v>8.67E-148</v>
      </c>
      <c r="F22454" s="2">
        <v>1143</v>
      </c>
      <c r="G22454" s="2">
        <v>100</v>
      </c>
      <c r="H22454" s="2">
        <v>220</v>
      </c>
      <c r="I22454" s="2">
        <v>121</v>
      </c>
      <c r="J22454" s="2">
        <v>780</v>
      </c>
      <c r="K22454" s="2">
        <v>1</v>
      </c>
      <c r="L22454" s="2">
        <v>220</v>
      </c>
    </row>
    <row r="22455" spans="1:12" x14ac:dyDescent="0.25">
      <c r="A22455" s="4" t="str">
        <f>HYPERLINK("http://www.rosaceae.org/Prunus/Prunus_persica/p.persica_gdr_reftransV1_0006046","p.persica_gdr_reftransV1_0006046")</f>
        <v>p.persica_gdr_reftransV1_0006046</v>
      </c>
      <c r="B22455" s="2">
        <v>303</v>
      </c>
      <c r="C22455" s="4" t="str">
        <f>HYPERLINK("http://www.uniprot.org/uniprot/M5XX03","M5XX03")</f>
        <v>M5XX03</v>
      </c>
      <c r="D22455" s="2" t="s">
        <v>16565</v>
      </c>
      <c r="E22455" s="3">
        <v>2.8300000000000001E-41</v>
      </c>
      <c r="F22455" s="2">
        <v>381</v>
      </c>
      <c r="G22455" s="2">
        <v>79</v>
      </c>
      <c r="H22455" s="2">
        <v>98</v>
      </c>
      <c r="I22455" s="2">
        <v>3</v>
      </c>
      <c r="J22455" s="2">
        <v>293</v>
      </c>
      <c r="K22455" s="2">
        <v>306</v>
      </c>
      <c r="L22455" s="2">
        <v>403</v>
      </c>
    </row>
    <row r="22456" spans="1:12" x14ac:dyDescent="0.25">
      <c r="A22456" s="4" t="str">
        <f>HYPERLINK("http://www.rosaceae.org/Prunus/Prunus_persica/p.persica_gdr_reftransV1_0006396","p.persica_gdr_reftransV1_0006396")</f>
        <v>p.persica_gdr_reftransV1_0006396</v>
      </c>
      <c r="B22456" s="2">
        <v>510</v>
      </c>
      <c r="C22456" s="4" t="str">
        <f>HYPERLINK("http://www.uniprot.org/uniprot/M5X891","M5X891")</f>
        <v>M5X891</v>
      </c>
      <c r="D22456" s="2" t="s">
        <v>16566</v>
      </c>
      <c r="E22456" s="3">
        <v>2.31E-60</v>
      </c>
      <c r="F22456" s="2">
        <v>492</v>
      </c>
      <c r="G22456" s="2">
        <v>100</v>
      </c>
      <c r="H22456" s="2">
        <v>102</v>
      </c>
      <c r="I22456" s="2">
        <v>98</v>
      </c>
      <c r="J22456" s="2">
        <v>403</v>
      </c>
      <c r="K22456" s="2">
        <v>1</v>
      </c>
      <c r="L22456" s="2">
        <v>102</v>
      </c>
    </row>
    <row r="22457" spans="1:12" x14ac:dyDescent="0.25">
      <c r="A22457" s="4" t="str">
        <f>HYPERLINK("http://www.rosaceae.org/Prunus/Prunus_persica/p.persica_gdr_reftransV1_0007096","p.persica_gdr_reftransV1_0007096")</f>
        <v>p.persica_gdr_reftransV1_0007096</v>
      </c>
      <c r="B22457" s="2">
        <v>1034</v>
      </c>
      <c r="C22457" s="4" t="str">
        <f>HYPERLINK("http://www.uniprot.org/uniprot/M5W1B9","M5W1B9")</f>
        <v>M5W1B9</v>
      </c>
      <c r="D22457" s="2" t="s">
        <v>16567</v>
      </c>
      <c r="E22457" s="3">
        <v>0</v>
      </c>
      <c r="F22457" s="2">
        <v>1547</v>
      </c>
      <c r="G22457" s="2">
        <v>100</v>
      </c>
      <c r="H22457" s="2">
        <v>293</v>
      </c>
      <c r="I22457" s="2">
        <v>2</v>
      </c>
      <c r="J22457" s="2">
        <v>880</v>
      </c>
      <c r="K22457" s="2">
        <v>437</v>
      </c>
      <c r="L22457" s="2">
        <v>729</v>
      </c>
    </row>
    <row r="22458" spans="1:12" x14ac:dyDescent="0.25">
      <c r="A22458" s="4" t="str">
        <f>HYPERLINK("http://www.rosaceae.org/Prunus/Prunus_persica/p.persica_gdr_reftransV1_0007446","p.persica_gdr_reftransV1_0007446")</f>
        <v>p.persica_gdr_reftransV1_0007446</v>
      </c>
      <c r="B22458" s="2">
        <v>2427</v>
      </c>
      <c r="C22458" s="4" t="str">
        <f>HYPERLINK("http://www.uniprot.org/uniprot/M5VIV4","M5VIV4")</f>
        <v>M5VIV4</v>
      </c>
      <c r="D22458" s="2" t="s">
        <v>16568</v>
      </c>
      <c r="E22458" s="3">
        <v>0</v>
      </c>
      <c r="F22458" s="2">
        <v>2510</v>
      </c>
      <c r="G22458" s="2">
        <v>92</v>
      </c>
      <c r="H22458" s="2">
        <v>519</v>
      </c>
      <c r="I22458" s="2">
        <v>334</v>
      </c>
      <c r="J22458" s="2">
        <v>1890</v>
      </c>
      <c r="K22458" s="2">
        <v>1</v>
      </c>
      <c r="L22458" s="2">
        <v>488</v>
      </c>
    </row>
    <row r="22459" spans="1:12" x14ac:dyDescent="0.25">
      <c r="A22459" s="4" t="str">
        <f>HYPERLINK("http://www.rosaceae.org/Prunus/Prunus_persica/p.persica_gdr_reftransV1_0007796","p.persica_gdr_reftransV1_0007796")</f>
        <v>p.persica_gdr_reftransV1_0007796</v>
      </c>
      <c r="B22459" s="2">
        <v>1187</v>
      </c>
      <c r="C22459" s="4" t="str">
        <f>HYPERLINK("http://www.uniprot.org/uniprot/M5Y310","M5Y310")</f>
        <v>M5Y310</v>
      </c>
      <c r="D22459" s="2" t="s">
        <v>16569</v>
      </c>
      <c r="E22459" s="3">
        <v>0</v>
      </c>
      <c r="F22459" s="2">
        <v>1334</v>
      </c>
      <c r="G22459" s="2">
        <v>100</v>
      </c>
      <c r="H22459" s="2">
        <v>288</v>
      </c>
      <c r="I22459" s="2">
        <v>199</v>
      </c>
      <c r="J22459" s="2">
        <v>1062</v>
      </c>
      <c r="K22459" s="2">
        <v>1</v>
      </c>
      <c r="L22459" s="2">
        <v>288</v>
      </c>
    </row>
    <row r="22460" spans="1:12" x14ac:dyDescent="0.25">
      <c r="A22460" s="4" t="str">
        <f>HYPERLINK("http://www.rosaceae.org/Prunus/Prunus_persica/p.persica_gdr_reftransV1_0008146","p.persica_gdr_reftransV1_0008146")</f>
        <v>p.persica_gdr_reftransV1_0008146</v>
      </c>
      <c r="B22460" s="2">
        <v>1816</v>
      </c>
      <c r="C22460" s="4" t="str">
        <f>HYPERLINK("http://www.uniprot.org/uniprot/M5WN01","M5WN01")</f>
        <v>M5WN01</v>
      </c>
      <c r="D22460" s="2" t="s">
        <v>16570</v>
      </c>
      <c r="E22460" s="3">
        <v>2.76E-125</v>
      </c>
      <c r="F22460" s="2">
        <v>946</v>
      </c>
      <c r="G22460" s="2">
        <v>66</v>
      </c>
      <c r="H22460" s="2">
        <v>309</v>
      </c>
      <c r="I22460" s="2">
        <v>569</v>
      </c>
      <c r="J22460" s="2">
        <v>1492</v>
      </c>
      <c r="K22460" s="2">
        <v>115</v>
      </c>
      <c r="L22460" s="2">
        <v>394</v>
      </c>
    </row>
    <row r="22461" spans="1:12" x14ac:dyDescent="0.25">
      <c r="A22461" s="4" t="str">
        <f>HYPERLINK("http://www.rosaceae.org/Prunus/Prunus_persica/p.persica_gdr_reftransV1_0008846","p.persica_gdr_reftransV1_0008846")</f>
        <v>p.persica_gdr_reftransV1_0008846</v>
      </c>
      <c r="B22461" s="2">
        <v>2133</v>
      </c>
      <c r="C22461" s="4" t="str">
        <f>HYPERLINK("http://www.uniprot.org/uniprot/M5XEN2","M5XEN2")</f>
        <v>M5XEN2</v>
      </c>
      <c r="D22461" s="2" t="s">
        <v>12440</v>
      </c>
      <c r="E22461" s="3">
        <v>0</v>
      </c>
      <c r="F22461" s="2">
        <v>2030</v>
      </c>
      <c r="G22461" s="2">
        <v>100</v>
      </c>
      <c r="H22461" s="2">
        <v>409</v>
      </c>
      <c r="I22461" s="2">
        <v>423</v>
      </c>
      <c r="J22461" s="2">
        <v>1649</v>
      </c>
      <c r="K22461" s="2">
        <v>1</v>
      </c>
      <c r="L22461" s="2">
        <v>409</v>
      </c>
    </row>
    <row r="22462" spans="1:12" x14ac:dyDescent="0.25">
      <c r="A22462" s="4" t="str">
        <f>HYPERLINK("http://www.rosaceae.org/Prunus/Prunus_persica/p.persica_gdr_reftransV1_0010946","p.persica_gdr_reftransV1_0010946")</f>
        <v>p.persica_gdr_reftransV1_0010946</v>
      </c>
      <c r="B22462" s="2">
        <v>922</v>
      </c>
      <c r="C22462" s="4" t="str">
        <f>HYPERLINK("http://www.uniprot.org/uniprot/M5X1M1","M5X1M1")</f>
        <v>M5X1M1</v>
      </c>
      <c r="D22462" s="2" t="s">
        <v>16571</v>
      </c>
      <c r="E22462" s="3">
        <v>2.2899999999999998E-55</v>
      </c>
      <c r="F22462" s="2">
        <v>473</v>
      </c>
      <c r="G22462" s="2">
        <v>100</v>
      </c>
      <c r="H22462" s="2">
        <v>112</v>
      </c>
      <c r="I22462" s="2">
        <v>194</v>
      </c>
      <c r="J22462" s="2">
        <v>529</v>
      </c>
      <c r="K22462" s="2">
        <v>1</v>
      </c>
      <c r="L22462" s="2">
        <v>112</v>
      </c>
    </row>
    <row r="22463" spans="1:12" x14ac:dyDescent="0.25">
      <c r="A22463" s="4" t="str">
        <f>HYPERLINK("http://www.rosaceae.org/Prunus/Prunus_persica/p.persica_gdr_reftransV1_0011296","p.persica_gdr_reftransV1_0011296")</f>
        <v>p.persica_gdr_reftransV1_0011296</v>
      </c>
      <c r="B22463" s="2">
        <v>1093</v>
      </c>
      <c r="C22463" s="4" t="str">
        <f>HYPERLINK("http://www.uniprot.org/uniprot/M5XML8","M5XML8")</f>
        <v>M5XML8</v>
      </c>
      <c r="D22463" s="2" t="s">
        <v>16572</v>
      </c>
      <c r="E22463" s="3">
        <v>8.5700000000000001E-65</v>
      </c>
      <c r="F22463" s="2">
        <v>540</v>
      </c>
      <c r="G22463" s="2">
        <v>100</v>
      </c>
      <c r="H22463" s="2">
        <v>102</v>
      </c>
      <c r="I22463" s="2">
        <v>188</v>
      </c>
      <c r="J22463" s="2">
        <v>493</v>
      </c>
      <c r="K22463" s="2">
        <v>1</v>
      </c>
      <c r="L22463" s="2">
        <v>102</v>
      </c>
    </row>
    <row r="22464" spans="1:12" x14ac:dyDescent="0.25">
      <c r="A22464" s="4" t="str">
        <f>HYPERLINK("http://www.rosaceae.org/Prunus/Prunus_persica/p.persica_gdr_reftransV1_0011646","p.persica_gdr_reftransV1_0011646")</f>
        <v>p.persica_gdr_reftransV1_0011646</v>
      </c>
      <c r="B22464" s="2">
        <v>600</v>
      </c>
      <c r="C22464" s="4" t="str">
        <f>HYPERLINK("http://www.uniprot.org/uniprot/M5W5W7","M5W5W7")</f>
        <v>M5W5W7</v>
      </c>
      <c r="D22464" s="2" t="s">
        <v>8629</v>
      </c>
      <c r="E22464" s="3">
        <v>1.8099999999999999E-54</v>
      </c>
      <c r="F22464" s="2">
        <v>500</v>
      </c>
      <c r="G22464" s="2">
        <v>95</v>
      </c>
      <c r="H22464" s="2">
        <v>117</v>
      </c>
      <c r="I22464" s="2">
        <v>1</v>
      </c>
      <c r="J22464" s="2">
        <v>351</v>
      </c>
      <c r="K22464" s="2">
        <v>31</v>
      </c>
      <c r="L22464" s="2">
        <v>147</v>
      </c>
    </row>
    <row r="22465" spans="1:12" x14ac:dyDescent="0.25">
      <c r="A22465" s="4" t="str">
        <f>HYPERLINK("http://www.rosaceae.org/Prunus/Prunus_persica/p.persica_gdr_reftransV1_0012346","p.persica_gdr_reftransV1_0012346")</f>
        <v>p.persica_gdr_reftransV1_0012346</v>
      </c>
      <c r="B22465" s="2">
        <v>1496</v>
      </c>
      <c r="C22465" s="4" t="str">
        <f>HYPERLINK("http://www.uniprot.org/uniprot/M5W2X3","M5W2X3")</f>
        <v>M5W2X3</v>
      </c>
      <c r="D22465" s="2" t="s">
        <v>16573</v>
      </c>
      <c r="E22465" s="3">
        <v>3.09E-87</v>
      </c>
      <c r="F22465" s="2">
        <v>711</v>
      </c>
      <c r="G22465" s="2">
        <v>99</v>
      </c>
      <c r="H22465" s="2">
        <v>134</v>
      </c>
      <c r="I22465" s="2">
        <v>216</v>
      </c>
      <c r="J22465" s="2">
        <v>617</v>
      </c>
      <c r="K22465" s="2">
        <v>69</v>
      </c>
      <c r="L22465" s="2">
        <v>202</v>
      </c>
    </row>
    <row r="22466" spans="1:12" x14ac:dyDescent="0.25">
      <c r="A22466" s="4" t="str">
        <f>HYPERLINK("http://www.rosaceae.org/Prunus/Prunus_persica/p.persica_gdr_reftransV1_0013046","p.persica_gdr_reftransV1_0013046")</f>
        <v>p.persica_gdr_reftransV1_0013046</v>
      </c>
      <c r="B22466" s="2">
        <v>1536</v>
      </c>
      <c r="C22466" s="4" t="str">
        <f>HYPERLINK("http://www.uniprot.org/uniprot/M5VZ61","M5VZ61")</f>
        <v>M5VZ61</v>
      </c>
      <c r="D22466" s="2" t="s">
        <v>16574</v>
      </c>
      <c r="E22466" s="3">
        <v>0</v>
      </c>
      <c r="F22466" s="2">
        <v>1615</v>
      </c>
      <c r="G22466" s="2">
        <v>100</v>
      </c>
      <c r="H22466" s="2">
        <v>327</v>
      </c>
      <c r="I22466" s="2">
        <v>350</v>
      </c>
      <c r="J22466" s="2">
        <v>1330</v>
      </c>
      <c r="K22466" s="2">
        <v>1</v>
      </c>
      <c r="L22466" s="2">
        <v>327</v>
      </c>
    </row>
    <row r="22467" spans="1:12" x14ac:dyDescent="0.25">
      <c r="A22467" s="4" t="str">
        <f>HYPERLINK("http://www.rosaceae.org/Prunus/Prunus_persica/p.persica_gdr_reftransV1_0013396","p.persica_gdr_reftransV1_0013396")</f>
        <v>p.persica_gdr_reftransV1_0013396</v>
      </c>
      <c r="B22467" s="2">
        <v>1124</v>
      </c>
      <c r="C22467" s="4" t="str">
        <f>HYPERLINK("http://www.uniprot.org/uniprot/M5XR05","M5XR05")</f>
        <v>M5XR05</v>
      </c>
      <c r="D22467" s="2" t="s">
        <v>16575</v>
      </c>
      <c r="E22467" s="3">
        <v>0</v>
      </c>
      <c r="F22467" s="2">
        <v>1394</v>
      </c>
      <c r="G22467" s="2">
        <v>100</v>
      </c>
      <c r="H22467" s="2">
        <v>296</v>
      </c>
      <c r="I22467" s="2">
        <v>198</v>
      </c>
      <c r="J22467" s="2">
        <v>1085</v>
      </c>
      <c r="K22467" s="2">
        <v>247</v>
      </c>
      <c r="L22467" s="2">
        <v>542</v>
      </c>
    </row>
    <row r="22468" spans="1:12" x14ac:dyDescent="0.25">
      <c r="A22468" s="4" t="str">
        <f>HYPERLINK("http://www.rosaceae.org/Prunus/Prunus_persica/p.persica_gdr_reftransV1_0014096","p.persica_gdr_reftransV1_0014096")</f>
        <v>p.persica_gdr_reftransV1_0014096</v>
      </c>
      <c r="B22468" s="2">
        <v>4443</v>
      </c>
      <c r="C22468" s="4" t="str">
        <f>HYPERLINK("http://www.uniprot.org/uniprot/W9SDZ5","W9SDZ5")</f>
        <v>W9SDZ5</v>
      </c>
      <c r="D22468" s="2" t="s">
        <v>16576</v>
      </c>
      <c r="E22468" s="3">
        <v>0</v>
      </c>
      <c r="F22468" s="2">
        <v>3774</v>
      </c>
      <c r="G22468" s="2">
        <v>60</v>
      </c>
      <c r="H22468" s="2">
        <v>1362</v>
      </c>
      <c r="I22468" s="2">
        <v>93</v>
      </c>
      <c r="J22468" s="2">
        <v>4124</v>
      </c>
      <c r="K22468" s="2">
        <v>1</v>
      </c>
      <c r="L22468" s="2">
        <v>1303</v>
      </c>
    </row>
    <row r="22469" spans="1:12" x14ac:dyDescent="0.25">
      <c r="A22469" s="4" t="str">
        <f>HYPERLINK("http://www.rosaceae.org/Prunus/Prunus_persica/p.persica_gdr_reftransV1_0015146","p.persica_gdr_reftransV1_0015146")</f>
        <v>p.persica_gdr_reftransV1_0015146</v>
      </c>
      <c r="B22469" s="2">
        <v>760</v>
      </c>
      <c r="C22469" s="4" t="str">
        <f>HYPERLINK("http://www.uniprot.org/uniprot/M5Y1C3","M5Y1C3")</f>
        <v>M5Y1C3</v>
      </c>
      <c r="D22469" s="2" t="s">
        <v>16577</v>
      </c>
      <c r="E22469" s="3">
        <v>5E-166</v>
      </c>
      <c r="F22469" s="2">
        <v>1254</v>
      </c>
      <c r="G22469" s="2">
        <v>100</v>
      </c>
      <c r="H22469" s="2">
        <v>235</v>
      </c>
      <c r="I22469" s="2">
        <v>2</v>
      </c>
      <c r="J22469" s="2">
        <v>706</v>
      </c>
      <c r="K22469" s="2">
        <v>452</v>
      </c>
      <c r="L22469" s="2">
        <v>686</v>
      </c>
    </row>
    <row r="22470" spans="1:12" x14ac:dyDescent="0.25">
      <c r="A22470" s="4" t="str">
        <f>HYPERLINK("http://www.rosaceae.org/Prunus/Prunus_persica/p.persica_gdr_reftransV1_0015846","p.persica_gdr_reftransV1_0015846")</f>
        <v>p.persica_gdr_reftransV1_0015846</v>
      </c>
      <c r="B22470" s="2">
        <v>1954</v>
      </c>
      <c r="C22470" s="4" t="str">
        <f>HYPERLINK("http://www.uniprot.org/uniprot/M5X847","M5X847")</f>
        <v>M5X847</v>
      </c>
      <c r="D22470" s="2" t="s">
        <v>16578</v>
      </c>
      <c r="E22470" s="3">
        <v>0</v>
      </c>
      <c r="F22470" s="2">
        <v>2524</v>
      </c>
      <c r="G22470" s="2">
        <v>100</v>
      </c>
      <c r="H22470" s="2">
        <v>526</v>
      </c>
      <c r="I22470" s="2">
        <v>69</v>
      </c>
      <c r="J22470" s="2">
        <v>1646</v>
      </c>
      <c r="K22470" s="2">
        <v>1</v>
      </c>
      <c r="L22470" s="2">
        <v>526</v>
      </c>
    </row>
    <row r="22471" spans="1:12" x14ac:dyDescent="0.25">
      <c r="A22471" s="4" t="str">
        <f>HYPERLINK("http://www.rosaceae.org/Prunus/Prunus_persica/p.persica_gdr_reftransV1_0016196","p.persica_gdr_reftransV1_0016196")</f>
        <v>p.persica_gdr_reftransV1_0016196</v>
      </c>
      <c r="B22471" s="2">
        <v>3190</v>
      </c>
      <c r="C22471" s="4" t="str">
        <f>HYPERLINK("http://www.uniprot.org/uniprot/M5VRG4","M5VRG4")</f>
        <v>M5VRG4</v>
      </c>
      <c r="D22471" s="2" t="s">
        <v>4666</v>
      </c>
      <c r="E22471" s="3">
        <v>0</v>
      </c>
      <c r="F22471" s="2">
        <v>1446</v>
      </c>
      <c r="G22471" s="2">
        <v>100</v>
      </c>
      <c r="H22471" s="2">
        <v>266</v>
      </c>
      <c r="I22471" s="2">
        <v>1836</v>
      </c>
      <c r="J22471" s="2">
        <v>2633</v>
      </c>
      <c r="K22471" s="2">
        <v>1</v>
      </c>
      <c r="L22471" s="2">
        <v>266</v>
      </c>
    </row>
    <row r="22472" spans="1:12" x14ac:dyDescent="0.25">
      <c r="A22472" s="4" t="str">
        <f>HYPERLINK("http://www.rosaceae.org/Prunus/Prunus_persica/p.persica_gdr_reftransV1_0016546","p.persica_gdr_reftransV1_0016546")</f>
        <v>p.persica_gdr_reftransV1_0016546</v>
      </c>
      <c r="B22472" s="2">
        <v>407</v>
      </c>
      <c r="C22472" s="4" t="str">
        <f>HYPERLINK("http://www.uniprot.org/uniprot/M5W5D5","M5W5D5")</f>
        <v>M5W5D5</v>
      </c>
      <c r="D22472" s="2" t="s">
        <v>16579</v>
      </c>
      <c r="E22472" s="3">
        <v>2.06E-76</v>
      </c>
      <c r="F22472" s="2">
        <v>600</v>
      </c>
      <c r="G22472" s="2">
        <v>100</v>
      </c>
      <c r="H22472" s="2">
        <v>112</v>
      </c>
      <c r="I22472" s="2">
        <v>1</v>
      </c>
      <c r="J22472" s="2">
        <v>336</v>
      </c>
      <c r="K22472" s="2">
        <v>1</v>
      </c>
      <c r="L22472" s="2">
        <v>112</v>
      </c>
    </row>
    <row r="22473" spans="1:12" x14ac:dyDescent="0.25">
      <c r="A22473" s="4" t="str">
        <f>HYPERLINK("http://www.rosaceae.org/Prunus/Prunus_persica/p.persica_gdr_reftransV1_0017596","p.persica_gdr_reftransV1_0017596")</f>
        <v>p.persica_gdr_reftransV1_0017596</v>
      </c>
      <c r="B22473" s="2">
        <v>892</v>
      </c>
      <c r="C22473" s="4" t="str">
        <f>HYPERLINK("http://www.uniprot.org/uniprot/M5XI51","M5XI51")</f>
        <v>M5XI51</v>
      </c>
      <c r="D22473" s="2" t="s">
        <v>16580</v>
      </c>
      <c r="E22473" s="3">
        <v>0</v>
      </c>
      <c r="F22473" s="2">
        <v>1585</v>
      </c>
      <c r="G22473" s="2">
        <v>100</v>
      </c>
      <c r="H22473" s="2">
        <v>297</v>
      </c>
      <c r="I22473" s="2">
        <v>1</v>
      </c>
      <c r="J22473" s="2">
        <v>891</v>
      </c>
      <c r="K22473" s="2">
        <v>277</v>
      </c>
      <c r="L22473" s="2">
        <v>573</v>
      </c>
    </row>
    <row r="22474" spans="1:12" x14ac:dyDescent="0.25">
      <c r="A22474" s="4" t="str">
        <f>HYPERLINK("http://www.rosaceae.org/Prunus/Prunus_persica/p.persica_gdr_reftransV1_0020046","p.persica_gdr_reftransV1_0020046")</f>
        <v>p.persica_gdr_reftransV1_0020046</v>
      </c>
      <c r="B22474" s="2">
        <v>1139</v>
      </c>
      <c r="C22474" s="4" t="str">
        <f>HYPERLINK("http://www.uniprot.org/uniprot/M5WE11","M5WE11")</f>
        <v>M5WE11</v>
      </c>
      <c r="D22474" s="2" t="s">
        <v>1277</v>
      </c>
      <c r="E22474" s="3">
        <v>1.5400000000000001E-88</v>
      </c>
      <c r="F22474" s="2">
        <v>747</v>
      </c>
      <c r="G22474" s="2">
        <v>100</v>
      </c>
      <c r="H22474" s="2">
        <v>193</v>
      </c>
      <c r="I22474" s="2">
        <v>491</v>
      </c>
      <c r="J22474" s="2">
        <v>1069</v>
      </c>
      <c r="K22474" s="2">
        <v>474</v>
      </c>
      <c r="L22474" s="2">
        <v>666</v>
      </c>
    </row>
    <row r="22475" spans="1:12" x14ac:dyDescent="0.25">
      <c r="A22475" s="4" t="str">
        <f>HYPERLINK("http://www.rosaceae.org/Prunus/Prunus_persica/p.persica_gdr_reftransV1_0021096","p.persica_gdr_reftransV1_0021096")</f>
        <v>p.persica_gdr_reftransV1_0021096</v>
      </c>
      <c r="B22475" s="2">
        <v>2205</v>
      </c>
      <c r="C22475" s="4" t="str">
        <f>HYPERLINK("http://www.uniprot.org/uniprot/W9QV00","W9QV00")</f>
        <v>W9QV00</v>
      </c>
      <c r="D22475" s="2" t="s">
        <v>16581</v>
      </c>
      <c r="E22475" s="3">
        <v>0</v>
      </c>
      <c r="F22475" s="2">
        <v>1577</v>
      </c>
      <c r="G22475" s="2">
        <v>64</v>
      </c>
      <c r="H22475" s="2">
        <v>480</v>
      </c>
      <c r="I22475" s="2">
        <v>619</v>
      </c>
      <c r="J22475" s="2">
        <v>2046</v>
      </c>
      <c r="K22475" s="2">
        <v>12</v>
      </c>
      <c r="L22475" s="2">
        <v>488</v>
      </c>
    </row>
    <row r="22476" spans="1:12" x14ac:dyDescent="0.25">
      <c r="A22476" s="4" t="str">
        <f>HYPERLINK("http://www.rosaceae.org/Prunus/Prunus_persica/p.persica_gdr_reftransV1_0024596","p.persica_gdr_reftransV1_0024596")</f>
        <v>p.persica_gdr_reftransV1_0024596</v>
      </c>
      <c r="B22476" s="2">
        <v>4048</v>
      </c>
      <c r="C22476" s="4" t="str">
        <f>HYPERLINK("http://www.uniprot.org/uniprot/M5VPL8","M5VPL8")</f>
        <v>M5VPL8</v>
      </c>
      <c r="D22476" s="2" t="s">
        <v>16582</v>
      </c>
      <c r="E22476" s="3">
        <v>5.4499999999999998E-96</v>
      </c>
      <c r="F22476" s="2">
        <v>839</v>
      </c>
      <c r="G22476" s="2">
        <v>100</v>
      </c>
      <c r="H22476" s="2">
        <v>242</v>
      </c>
      <c r="I22476" s="2">
        <v>2909</v>
      </c>
      <c r="J22476" s="2">
        <v>3634</v>
      </c>
      <c r="K22476" s="2">
        <v>1</v>
      </c>
      <c r="L22476" s="2">
        <v>242</v>
      </c>
    </row>
    <row r="22477" spans="1:12" x14ac:dyDescent="0.25">
      <c r="A22477" s="4" t="str">
        <f>HYPERLINK("http://www.rosaceae.org/Prunus/Prunus_persica/p.persica_gdr_reftransV1_0025296","p.persica_gdr_reftransV1_0025296")</f>
        <v>p.persica_gdr_reftransV1_0025296</v>
      </c>
      <c r="B22477" s="2">
        <v>3090</v>
      </c>
      <c r="C22477" s="4" t="str">
        <f>HYPERLINK("http://www.uniprot.org/uniprot/M5VYR8","M5VYR8")</f>
        <v>M5VYR8</v>
      </c>
      <c r="D22477" s="2" t="s">
        <v>6043</v>
      </c>
      <c r="E22477" s="3">
        <v>4.9700000000000003E-157</v>
      </c>
      <c r="F22477" s="2">
        <v>1237</v>
      </c>
      <c r="G22477" s="2">
        <v>100</v>
      </c>
      <c r="H22477" s="2">
        <v>240</v>
      </c>
      <c r="I22477" s="2">
        <v>995</v>
      </c>
      <c r="J22477" s="2">
        <v>1714</v>
      </c>
      <c r="K22477" s="2">
        <v>50</v>
      </c>
      <c r="L22477" s="2">
        <v>289</v>
      </c>
    </row>
    <row r="22478" spans="1:12" x14ac:dyDescent="0.25">
      <c r="A22478" s="4" t="str">
        <f>HYPERLINK("http://www.rosaceae.org/Prunus/Prunus_persica/p.persica_gdr_reftransV1_0025646","p.persica_gdr_reftransV1_0025646")</f>
        <v>p.persica_gdr_reftransV1_0025646</v>
      </c>
      <c r="B22478" s="2">
        <v>1470</v>
      </c>
      <c r="C22478" s="4" t="str">
        <f>HYPERLINK("http://www.uniprot.org/uniprot/M5WIU8","M5WIU8")</f>
        <v>M5WIU8</v>
      </c>
      <c r="D22478" s="2" t="s">
        <v>14090</v>
      </c>
      <c r="E22478" s="3">
        <v>4.97E-136</v>
      </c>
      <c r="F22478" s="2">
        <v>1037</v>
      </c>
      <c r="G22478" s="2">
        <v>87</v>
      </c>
      <c r="H22478" s="2">
        <v>230</v>
      </c>
      <c r="I22478" s="2">
        <v>183</v>
      </c>
      <c r="J22478" s="2">
        <v>872</v>
      </c>
      <c r="K22478" s="2">
        <v>13</v>
      </c>
      <c r="L22478" s="2">
        <v>216</v>
      </c>
    </row>
    <row r="22479" spans="1:12" x14ac:dyDescent="0.25">
      <c r="A22479" s="4" t="str">
        <f>HYPERLINK("http://www.rosaceae.org/Prunus/Prunus_persica/p.persica_gdr_reftransV1_0025996","p.persica_gdr_reftransV1_0025996")</f>
        <v>p.persica_gdr_reftransV1_0025996</v>
      </c>
      <c r="B22479" s="2">
        <v>3389</v>
      </c>
      <c r="C22479" s="4" t="str">
        <f>HYPERLINK("http://www.uniprot.org/uniprot/M5XIQ5","M5XIQ5")</f>
        <v>M5XIQ5</v>
      </c>
      <c r="D22479" s="2" t="s">
        <v>16583</v>
      </c>
      <c r="E22479" s="3">
        <v>7.6900000000000005E-150</v>
      </c>
      <c r="F22479" s="2">
        <v>1096</v>
      </c>
      <c r="G22479" s="2">
        <v>100</v>
      </c>
      <c r="H22479" s="2">
        <v>230</v>
      </c>
      <c r="I22479" s="2">
        <v>2468</v>
      </c>
      <c r="J22479" s="2">
        <v>3157</v>
      </c>
      <c r="K22479" s="2">
        <v>1</v>
      </c>
      <c r="L22479" s="2">
        <v>230</v>
      </c>
    </row>
    <row r="22480" spans="1:12" x14ac:dyDescent="0.25">
      <c r="A22480" s="4" t="str">
        <f>HYPERLINK("http://www.rosaceae.org/Prunus/Prunus_persica/p.persica_gdr_reftransV1_0027046","p.persica_gdr_reftransV1_0027046")</f>
        <v>p.persica_gdr_reftransV1_0027046</v>
      </c>
      <c r="B22480" s="2">
        <v>2370</v>
      </c>
      <c r="C22480" s="4" t="str">
        <f>HYPERLINK("http://www.uniprot.org/uniprot/M5XEU6","M5XEU6")</f>
        <v>M5XEU6</v>
      </c>
      <c r="D22480" s="2" t="s">
        <v>16584</v>
      </c>
      <c r="E22480" s="3">
        <v>0</v>
      </c>
      <c r="F22480" s="2">
        <v>1420</v>
      </c>
      <c r="G22480" s="2">
        <v>100</v>
      </c>
      <c r="H22480" s="2">
        <v>294</v>
      </c>
      <c r="I22480" s="2">
        <v>723</v>
      </c>
      <c r="J22480" s="2">
        <v>1604</v>
      </c>
      <c r="K22480" s="2">
        <v>1</v>
      </c>
      <c r="L22480" s="2">
        <v>294</v>
      </c>
    </row>
    <row r="22481" spans="1:12" x14ac:dyDescent="0.25">
      <c r="A22481" s="4" t="str">
        <f>HYPERLINK("http://www.rosaceae.org/Prunus/Prunus_persica/p.persica_gdr_reftransV1_0027396","p.persica_gdr_reftransV1_0027396")</f>
        <v>p.persica_gdr_reftransV1_0027396</v>
      </c>
      <c r="B22481" s="2">
        <v>1052</v>
      </c>
      <c r="C22481" s="4" t="str">
        <f>HYPERLINK("http://www.uniprot.org/uniprot/M5XPE3","M5XPE3")</f>
        <v>M5XPE3</v>
      </c>
      <c r="D22481" s="2" t="s">
        <v>16585</v>
      </c>
      <c r="E22481" s="3">
        <v>7.6199999999999997E-130</v>
      </c>
      <c r="F22481" s="2">
        <v>979</v>
      </c>
      <c r="G22481" s="2">
        <v>94</v>
      </c>
      <c r="H22481" s="2">
        <v>205</v>
      </c>
      <c r="I22481" s="2">
        <v>174</v>
      </c>
      <c r="J22481" s="2">
        <v>788</v>
      </c>
      <c r="K22481" s="2">
        <v>1</v>
      </c>
      <c r="L22481" s="2">
        <v>193</v>
      </c>
    </row>
    <row r="22482" spans="1:12" x14ac:dyDescent="0.25">
      <c r="A22482" s="4" t="str">
        <f>HYPERLINK("http://www.rosaceae.org/Prunus/Prunus_persica/p.persica_gdr_reftransV1_0027746","p.persica_gdr_reftransV1_0027746")</f>
        <v>p.persica_gdr_reftransV1_0027746</v>
      </c>
      <c r="B22482" s="2">
        <v>724</v>
      </c>
      <c r="C22482" s="4" t="str">
        <f>HYPERLINK("http://www.uniprot.org/uniprot/M5XZ27","M5XZ27")</f>
        <v>M5XZ27</v>
      </c>
      <c r="D22482" s="2" t="s">
        <v>16586</v>
      </c>
      <c r="E22482" s="3">
        <v>4.5499999999999999E-113</v>
      </c>
      <c r="F22482" s="2">
        <v>866</v>
      </c>
      <c r="G22482" s="2">
        <v>91</v>
      </c>
      <c r="H22482" s="2">
        <v>188</v>
      </c>
      <c r="I22482" s="2">
        <v>159</v>
      </c>
      <c r="J22482" s="2">
        <v>722</v>
      </c>
      <c r="K22482" s="2">
        <v>102</v>
      </c>
      <c r="L22482" s="2">
        <v>289</v>
      </c>
    </row>
    <row r="22483" spans="1:12" x14ac:dyDescent="0.25">
      <c r="A22483" s="4" t="str">
        <f>HYPERLINK("http://www.rosaceae.org/Prunus/Prunus_persica/p.persica_gdr_reftransV1_0028796","p.persica_gdr_reftransV1_0028796")</f>
        <v>p.persica_gdr_reftransV1_0028796</v>
      </c>
      <c r="B22483" s="2">
        <v>1946</v>
      </c>
      <c r="C22483" s="4" t="str">
        <f>HYPERLINK("http://www.uniprot.org/uniprot/M5WQW0","M5WQW0")</f>
        <v>M5WQW0</v>
      </c>
      <c r="D22483" s="2" t="s">
        <v>16587</v>
      </c>
      <c r="E22483" s="3">
        <v>0</v>
      </c>
      <c r="F22483" s="2">
        <v>2950</v>
      </c>
      <c r="G22483" s="2">
        <v>100</v>
      </c>
      <c r="H22483" s="2">
        <v>566</v>
      </c>
      <c r="I22483" s="2">
        <v>180</v>
      </c>
      <c r="J22483" s="2">
        <v>1877</v>
      </c>
      <c r="K22483" s="2">
        <v>1</v>
      </c>
      <c r="L22483" s="2">
        <v>566</v>
      </c>
    </row>
    <row r="22484" spans="1:12" x14ac:dyDescent="0.25">
      <c r="A22484" s="4" t="str">
        <f>HYPERLINK("http://www.rosaceae.org/Prunus/Prunus_persica/p.persica_gdr_reftransV1_0030196","p.persica_gdr_reftransV1_0030196")</f>
        <v>p.persica_gdr_reftransV1_0030196</v>
      </c>
      <c r="B22484" s="2">
        <v>2325</v>
      </c>
      <c r="C22484" s="4" t="str">
        <f>HYPERLINK("http://www.uniprot.org/uniprot/M5XNB3","M5XNB3")</f>
        <v>M5XNB3</v>
      </c>
      <c r="D22484" s="2" t="s">
        <v>16588</v>
      </c>
      <c r="E22484" s="3">
        <v>0</v>
      </c>
      <c r="F22484" s="2">
        <v>2041</v>
      </c>
      <c r="G22484" s="2">
        <v>84</v>
      </c>
      <c r="H22484" s="2">
        <v>508</v>
      </c>
      <c r="I22484" s="2">
        <v>38</v>
      </c>
      <c r="J22484" s="2">
        <v>1561</v>
      </c>
      <c r="K22484" s="2">
        <v>1</v>
      </c>
      <c r="L22484" s="2">
        <v>430</v>
      </c>
    </row>
    <row r="22485" spans="1:12" x14ac:dyDescent="0.25">
      <c r="A22485" s="4" t="str">
        <f>HYPERLINK("http://www.rosaceae.org/Prunus/Prunus_persica/p.persica_gdr_reftransV1_0033346","p.persica_gdr_reftransV1_0033346")</f>
        <v>p.persica_gdr_reftransV1_0033346</v>
      </c>
      <c r="B22485" s="2">
        <v>4403</v>
      </c>
      <c r="C22485" s="4" t="str">
        <f>HYPERLINK("http://www.uniprot.org/uniprot/M5Y4E7","M5Y4E7")</f>
        <v>M5Y4E7</v>
      </c>
      <c r="D22485" s="2" t="s">
        <v>8168</v>
      </c>
      <c r="E22485" s="3">
        <v>0</v>
      </c>
      <c r="F22485" s="2">
        <v>3301</v>
      </c>
      <c r="G22485" s="2">
        <v>99</v>
      </c>
      <c r="H22485" s="2">
        <v>750</v>
      </c>
      <c r="I22485" s="2">
        <v>957</v>
      </c>
      <c r="J22485" s="2">
        <v>3206</v>
      </c>
      <c r="K22485" s="2">
        <v>195</v>
      </c>
      <c r="L22485" s="2">
        <v>944</v>
      </c>
    </row>
    <row r="22486" spans="1:12" x14ac:dyDescent="0.25">
      <c r="A22486" s="4" t="str">
        <f>HYPERLINK("http://www.rosaceae.org/Prunus/Prunus_persica/p.persica_gdr_reftransV1_0035796","p.persica_gdr_reftransV1_0035796")</f>
        <v>p.persica_gdr_reftransV1_0035796</v>
      </c>
      <c r="B22486" s="2">
        <v>3603</v>
      </c>
      <c r="C22486" s="4" t="str">
        <f>HYPERLINK("http://www.uniprot.org/uniprot/M5VWT0","M5VWT0")</f>
        <v>M5VWT0</v>
      </c>
      <c r="D22486" s="2" t="s">
        <v>3162</v>
      </c>
      <c r="E22486" s="3">
        <v>0</v>
      </c>
      <c r="F22486" s="2">
        <v>4299</v>
      </c>
      <c r="G22486" s="2">
        <v>88</v>
      </c>
      <c r="H22486" s="2">
        <v>953</v>
      </c>
      <c r="I22486" s="2">
        <v>3</v>
      </c>
      <c r="J22486" s="2">
        <v>2861</v>
      </c>
      <c r="K22486" s="2">
        <v>175</v>
      </c>
      <c r="L22486" s="2">
        <v>1057</v>
      </c>
    </row>
    <row r="22487" spans="1:12" x14ac:dyDescent="0.25">
      <c r="A22487" s="4" t="str">
        <f>HYPERLINK("http://www.rosaceae.org/Prunus/Prunus_persica/p.persica_gdr_reftransV1_0036496","p.persica_gdr_reftransV1_0036496")</f>
        <v>p.persica_gdr_reftransV1_0036496</v>
      </c>
      <c r="B22487" s="2">
        <v>1792</v>
      </c>
      <c r="C22487" s="4" t="str">
        <f>HYPERLINK("http://www.uniprot.org/uniprot/M5WRL6","M5WRL6")</f>
        <v>M5WRL6</v>
      </c>
      <c r="D22487" s="2" t="s">
        <v>16589</v>
      </c>
      <c r="E22487" s="3">
        <v>7.74E-172</v>
      </c>
      <c r="F22487" s="2">
        <v>1291</v>
      </c>
      <c r="G22487" s="2">
        <v>100</v>
      </c>
      <c r="H22487" s="2">
        <v>294</v>
      </c>
      <c r="I22487" s="2">
        <v>27</v>
      </c>
      <c r="J22487" s="2">
        <v>908</v>
      </c>
      <c r="K22487" s="2">
        <v>1</v>
      </c>
      <c r="L22487" s="2">
        <v>294</v>
      </c>
    </row>
    <row r="22488" spans="1:12" x14ac:dyDescent="0.25">
      <c r="A22488" s="4" t="str">
        <f>HYPERLINK("http://www.rosaceae.org/Prunus/Prunus_persica/p.persica_gdr_reftransV1_0038946","p.persica_gdr_reftransV1_0038946")</f>
        <v>p.persica_gdr_reftransV1_0038946</v>
      </c>
      <c r="B22488" s="2">
        <v>2791</v>
      </c>
      <c r="C22488" s="4" t="str">
        <f>HYPERLINK("http://www.uniprot.org/uniprot/M5W9L7","M5W9L7")</f>
        <v>M5W9L7</v>
      </c>
      <c r="D22488" s="2" t="s">
        <v>16590</v>
      </c>
      <c r="E22488" s="3">
        <v>0</v>
      </c>
      <c r="F22488" s="2">
        <v>1014</v>
      </c>
      <c r="G22488" s="2">
        <v>100</v>
      </c>
      <c r="H22488" s="2">
        <v>229</v>
      </c>
      <c r="I22488" s="2">
        <v>2103</v>
      </c>
      <c r="J22488" s="2">
        <v>2789</v>
      </c>
      <c r="K22488" s="2">
        <v>5</v>
      </c>
      <c r="L22488" s="2">
        <v>233</v>
      </c>
    </row>
    <row r="22489" spans="1:12" x14ac:dyDescent="0.25">
      <c r="A22489" s="4" t="str">
        <f>HYPERLINK("http://www.rosaceae.org/Prunus/Prunus_persica/p.persica_gdr_reftransV1_0041746","p.persica_gdr_reftransV1_0041746")</f>
        <v>p.persica_gdr_reftransV1_0041746</v>
      </c>
      <c r="B22489" s="2">
        <v>1988</v>
      </c>
      <c r="C22489" s="4" t="str">
        <f>HYPERLINK("http://www.uniprot.org/uniprot/M5W2W5","M5W2W5")</f>
        <v>M5W2W5</v>
      </c>
      <c r="D22489" s="2" t="s">
        <v>6576</v>
      </c>
      <c r="E22489" s="3">
        <v>2.1199999999999999E-145</v>
      </c>
      <c r="F22489" s="2">
        <v>702</v>
      </c>
      <c r="G22489" s="2">
        <v>89</v>
      </c>
      <c r="H22489" s="2">
        <v>169</v>
      </c>
      <c r="I22489" s="2">
        <v>1300</v>
      </c>
      <c r="J22489" s="2">
        <v>1794</v>
      </c>
      <c r="K22489" s="2">
        <v>1</v>
      </c>
      <c r="L22489" s="2">
        <v>169</v>
      </c>
    </row>
    <row r="22490" spans="1:12" x14ac:dyDescent="0.25">
      <c r="A22490" s="4" t="str">
        <f>HYPERLINK("http://www.rosaceae.org/Prunus/Prunus_persica/p.persica_gdr_reftransV1_0043146","p.persica_gdr_reftransV1_0043146")</f>
        <v>p.persica_gdr_reftransV1_0043146</v>
      </c>
      <c r="B22490" s="2">
        <v>989</v>
      </c>
      <c r="C22490" s="4" t="str">
        <f>HYPERLINK("http://www.uniprot.org/uniprot/M5XVJ7","M5XVJ7")</f>
        <v>M5XVJ7</v>
      </c>
      <c r="D22490" s="2" t="s">
        <v>16591</v>
      </c>
      <c r="E22490" s="3">
        <v>0</v>
      </c>
      <c r="F22490" s="2">
        <v>1399</v>
      </c>
      <c r="G22490" s="2">
        <v>88</v>
      </c>
      <c r="H22490" s="2">
        <v>322</v>
      </c>
      <c r="I22490" s="2">
        <v>1</v>
      </c>
      <c r="J22490" s="2">
        <v>966</v>
      </c>
      <c r="K22490" s="2">
        <v>376</v>
      </c>
      <c r="L22490" s="2">
        <v>677</v>
      </c>
    </row>
    <row r="22491" spans="1:12" x14ac:dyDescent="0.25">
      <c r="A22491" s="4" t="str">
        <f>HYPERLINK("http://www.rosaceae.org/Prunus/Prunus_persica/p.persica_gdr_reftransV1_0043496","p.persica_gdr_reftransV1_0043496")</f>
        <v>p.persica_gdr_reftransV1_0043496</v>
      </c>
      <c r="B22491" s="2">
        <v>362</v>
      </c>
      <c r="C22491" s="4" t="str">
        <f>HYPERLINK("http://www.uniprot.org/uniprot/M5X252","M5X252")</f>
        <v>M5X252</v>
      </c>
      <c r="D22491" s="2" t="s">
        <v>5729</v>
      </c>
      <c r="E22491" s="3">
        <v>2.2100000000000001E-48</v>
      </c>
      <c r="F22491" s="2">
        <v>437</v>
      </c>
      <c r="G22491" s="2">
        <v>100</v>
      </c>
      <c r="H22491" s="2">
        <v>89</v>
      </c>
      <c r="I22491" s="2">
        <v>82</v>
      </c>
      <c r="J22491" s="2">
        <v>348</v>
      </c>
      <c r="K22491" s="2">
        <v>10</v>
      </c>
      <c r="L22491" s="2">
        <v>98</v>
      </c>
    </row>
    <row r="22492" spans="1:12" x14ac:dyDescent="0.25">
      <c r="A22492" s="4" t="str">
        <f>HYPERLINK("http://www.rosaceae.org/Prunus/Prunus_persica/p.persica_gdr_reftransV1_0043846","p.persica_gdr_reftransV1_0043846")</f>
        <v>p.persica_gdr_reftransV1_0043846</v>
      </c>
      <c r="B22492" s="2">
        <v>488</v>
      </c>
      <c r="C22492" s="4" t="str">
        <f>HYPERLINK("http://www.uniprot.org/uniprot/M5WP10","M5WP10")</f>
        <v>M5WP10</v>
      </c>
      <c r="D22492" s="2" t="s">
        <v>16592</v>
      </c>
      <c r="E22492" s="3">
        <v>4.4999999999999997E-30</v>
      </c>
      <c r="F22492" s="2">
        <v>287</v>
      </c>
      <c r="G22492" s="2">
        <v>100</v>
      </c>
      <c r="H22492" s="2">
        <v>55</v>
      </c>
      <c r="I22492" s="2">
        <v>196</v>
      </c>
      <c r="J22492" s="2">
        <v>360</v>
      </c>
      <c r="K22492" s="2">
        <v>15</v>
      </c>
      <c r="L22492" s="2">
        <v>69</v>
      </c>
    </row>
    <row r="22493" spans="1:12" x14ac:dyDescent="0.25">
      <c r="A22493" s="4" t="str">
        <f>HYPERLINK("http://www.rosaceae.org/Prunus/Prunus_persica/p.persica_gdr_reftransV1_0044196","p.persica_gdr_reftransV1_0044196")</f>
        <v>p.persica_gdr_reftransV1_0044196</v>
      </c>
      <c r="B22493" s="2">
        <v>425</v>
      </c>
      <c r="C22493" s="4" t="str">
        <f>HYPERLINK("http://www.uniprot.org/uniprot/M5X8K7","M5X8K7")</f>
        <v>M5X8K7</v>
      </c>
      <c r="D22493" s="2" t="s">
        <v>9124</v>
      </c>
      <c r="E22493" s="3">
        <v>3.3499999999999998E-67</v>
      </c>
      <c r="F22493" s="2">
        <v>555</v>
      </c>
      <c r="G22493" s="2">
        <v>99</v>
      </c>
      <c r="H22493" s="2">
        <v>141</v>
      </c>
      <c r="I22493" s="2">
        <v>1</v>
      </c>
      <c r="J22493" s="2">
        <v>423</v>
      </c>
      <c r="K22493" s="2">
        <v>56</v>
      </c>
      <c r="L22493" s="2">
        <v>196</v>
      </c>
    </row>
    <row r="22494" spans="1:12" x14ac:dyDescent="0.25">
      <c r="A22494" s="4" t="str">
        <f>HYPERLINK("http://www.rosaceae.org/Prunus/Prunus_persica/p.persica_gdr_reftransV1_0044546","p.persica_gdr_reftransV1_0044546")</f>
        <v>p.persica_gdr_reftransV1_0044546</v>
      </c>
      <c r="B22494" s="2">
        <v>1376</v>
      </c>
      <c r="C22494" s="4" t="str">
        <f>HYPERLINK("http://www.uniprot.org/uniprot/M5WVL2","M5WVL2")</f>
        <v>M5WVL2</v>
      </c>
      <c r="D22494" s="2" t="s">
        <v>16593</v>
      </c>
      <c r="E22494" s="3">
        <v>0</v>
      </c>
      <c r="F22494" s="2">
        <v>1926</v>
      </c>
      <c r="G22494" s="2">
        <v>100</v>
      </c>
      <c r="H22494" s="2">
        <v>366</v>
      </c>
      <c r="I22494" s="2">
        <v>135</v>
      </c>
      <c r="J22494" s="2">
        <v>1232</v>
      </c>
      <c r="K22494" s="2">
        <v>1</v>
      </c>
      <c r="L22494" s="2">
        <v>366</v>
      </c>
    </row>
    <row r="22495" spans="1:12" x14ac:dyDescent="0.25">
      <c r="A22495" s="4" t="str">
        <f>HYPERLINK("http://www.rosaceae.org/Prunus/Prunus_persica/p.persica_gdr_reftransV1_0044896","p.persica_gdr_reftransV1_0044896")</f>
        <v>p.persica_gdr_reftransV1_0044896</v>
      </c>
      <c r="B22495" s="2">
        <v>316</v>
      </c>
      <c r="C22495" s="4" t="str">
        <f>HYPERLINK("http://www.uniprot.org/uniprot/M5X8K7","M5X8K7")</f>
        <v>M5X8K7</v>
      </c>
      <c r="D22495" s="2" t="s">
        <v>9124</v>
      </c>
      <c r="E22495" s="3">
        <v>3.7199999999999999E-68</v>
      </c>
      <c r="F22495" s="2">
        <v>557</v>
      </c>
      <c r="G22495" s="2">
        <v>100</v>
      </c>
      <c r="H22495" s="2">
        <v>104</v>
      </c>
      <c r="I22495" s="2">
        <v>2</v>
      </c>
      <c r="J22495" s="2">
        <v>313</v>
      </c>
      <c r="K22495" s="2">
        <v>236</v>
      </c>
      <c r="L22495" s="2">
        <v>339</v>
      </c>
    </row>
    <row r="22496" spans="1:12" x14ac:dyDescent="0.25">
      <c r="A22496" s="4" t="str">
        <f>HYPERLINK("http://www.rosaceae.org/Prunus/Prunus_persica/p.persica_gdr_reftransV1_0045246","p.persica_gdr_reftransV1_0045246")</f>
        <v>p.persica_gdr_reftransV1_0045246</v>
      </c>
      <c r="B22496" s="2">
        <v>1035</v>
      </c>
      <c r="C22496" s="4" t="str">
        <f>HYPERLINK("http://www.uniprot.org/uniprot/M5W100","M5W100")</f>
        <v>M5W100</v>
      </c>
      <c r="D22496" s="2" t="s">
        <v>11668</v>
      </c>
      <c r="E22496" s="3">
        <v>1.24E-144</v>
      </c>
      <c r="F22496" s="2">
        <v>1079</v>
      </c>
      <c r="G22496" s="2">
        <v>100</v>
      </c>
      <c r="H22496" s="2">
        <v>200</v>
      </c>
      <c r="I22496" s="2">
        <v>49</v>
      </c>
      <c r="J22496" s="2">
        <v>648</v>
      </c>
      <c r="K22496" s="2">
        <v>17</v>
      </c>
      <c r="L22496" s="2">
        <v>216</v>
      </c>
    </row>
    <row r="22497" spans="1:12" x14ac:dyDescent="0.25">
      <c r="A22497" s="4" t="str">
        <f>HYPERLINK("http://www.rosaceae.org/Prunus/Prunus_persica/p.persica_gdr_reftransV1_0045596","p.persica_gdr_reftransV1_0045596")</f>
        <v>p.persica_gdr_reftransV1_0045596</v>
      </c>
      <c r="B22497" s="2">
        <v>1119</v>
      </c>
      <c r="C22497" s="4" t="str">
        <f>HYPERLINK("http://www.uniprot.org/uniprot/M5X1J7","M5X1J7")</f>
        <v>M5X1J7</v>
      </c>
      <c r="D22497" s="2" t="s">
        <v>3717</v>
      </c>
      <c r="E22497" s="3">
        <v>5.6899999999999996E-180</v>
      </c>
      <c r="F22497" s="2">
        <v>1322</v>
      </c>
      <c r="G22497" s="2">
        <v>99</v>
      </c>
      <c r="H22497" s="2">
        <v>278</v>
      </c>
      <c r="I22497" s="2">
        <v>212</v>
      </c>
      <c r="J22497" s="2">
        <v>1045</v>
      </c>
      <c r="K22497" s="2">
        <v>19</v>
      </c>
      <c r="L22497" s="2">
        <v>296</v>
      </c>
    </row>
    <row r="22498" spans="1:12" x14ac:dyDescent="0.25">
      <c r="A22498" s="4" t="str">
        <f>HYPERLINK("http://www.rosaceae.org/Prunus/Prunus_persica/p.persica_gdr_reftransV1_0045946","p.persica_gdr_reftransV1_0045946")</f>
        <v>p.persica_gdr_reftransV1_0045946</v>
      </c>
      <c r="B22498" s="2">
        <v>1154</v>
      </c>
      <c r="C22498" s="4" t="str">
        <f>HYPERLINK("http://www.uniprot.org/uniprot/M5XKF4","M5XKF4")</f>
        <v>M5XKF4</v>
      </c>
      <c r="D22498" s="2" t="s">
        <v>7775</v>
      </c>
      <c r="E22498" s="3">
        <v>2.7900000000000001E-131</v>
      </c>
      <c r="F22498" s="2">
        <v>996</v>
      </c>
      <c r="G22498" s="2">
        <v>100</v>
      </c>
      <c r="H22498" s="2">
        <v>201</v>
      </c>
      <c r="I22498" s="2">
        <v>244</v>
      </c>
      <c r="J22498" s="2">
        <v>846</v>
      </c>
      <c r="K22498" s="2">
        <v>31</v>
      </c>
      <c r="L22498" s="2">
        <v>231</v>
      </c>
    </row>
    <row r="22499" spans="1:12" x14ac:dyDescent="0.25">
      <c r="A22499" s="4" t="str">
        <f>HYPERLINK("http://www.rosaceae.org/Prunus/Prunus_persica/p.persica_gdr_reftransV1_0046646","p.persica_gdr_reftransV1_0046646")</f>
        <v>p.persica_gdr_reftransV1_0046646</v>
      </c>
      <c r="B22499" s="2">
        <v>1391</v>
      </c>
      <c r="C22499" s="4" t="str">
        <f>HYPERLINK("http://www.uniprot.org/uniprot/M5XWW8","M5XWW8")</f>
        <v>M5XWW8</v>
      </c>
      <c r="D22499" s="2" t="s">
        <v>16594</v>
      </c>
      <c r="E22499" s="3">
        <v>0</v>
      </c>
      <c r="F22499" s="2">
        <v>1525</v>
      </c>
      <c r="G22499" s="2">
        <v>100</v>
      </c>
      <c r="H22499" s="2">
        <v>338</v>
      </c>
      <c r="I22499" s="2">
        <v>270</v>
      </c>
      <c r="J22499" s="2">
        <v>1283</v>
      </c>
      <c r="K22499" s="2">
        <v>1</v>
      </c>
      <c r="L22499" s="2">
        <v>338</v>
      </c>
    </row>
    <row r="22500" spans="1:12" x14ac:dyDescent="0.25">
      <c r="A22500" s="4" t="str">
        <f>HYPERLINK("http://www.rosaceae.org/Prunus/Prunus_persica/p.persica_gdr_reftransV1_0046996","p.persica_gdr_reftransV1_0046996")</f>
        <v>p.persica_gdr_reftransV1_0046996</v>
      </c>
      <c r="B22500" s="2">
        <v>1816</v>
      </c>
      <c r="C22500" s="4" t="str">
        <f>HYPERLINK("http://www.uniprot.org/uniprot/M5WAK6","M5WAK6")</f>
        <v>M5WAK6</v>
      </c>
      <c r="D22500" s="2" t="s">
        <v>3267</v>
      </c>
      <c r="E22500" s="3">
        <v>0</v>
      </c>
      <c r="F22500" s="2">
        <v>1829</v>
      </c>
      <c r="G22500" s="2">
        <v>100</v>
      </c>
      <c r="H22500" s="2">
        <v>354</v>
      </c>
      <c r="I22500" s="2">
        <v>510</v>
      </c>
      <c r="J22500" s="2">
        <v>1571</v>
      </c>
      <c r="K22500" s="2">
        <v>1</v>
      </c>
      <c r="L22500" s="2">
        <v>354</v>
      </c>
    </row>
    <row r="22501" spans="1:12" x14ac:dyDescent="0.25">
      <c r="A22501" s="4" t="str">
        <f>HYPERLINK("http://www.rosaceae.org/Prunus/Prunus_persica/p.persica_gdr_reftransV1_0047696","p.persica_gdr_reftransV1_0047696")</f>
        <v>p.persica_gdr_reftransV1_0047696</v>
      </c>
      <c r="B22501" s="2">
        <v>1435</v>
      </c>
      <c r="C22501" s="4" t="str">
        <f>HYPERLINK("http://www.uniprot.org/uniprot/M5X7R2","M5X7R2")</f>
        <v>M5X7R2</v>
      </c>
      <c r="D22501" s="2" t="s">
        <v>5715</v>
      </c>
      <c r="E22501" s="3">
        <v>0</v>
      </c>
      <c r="F22501" s="2">
        <v>2463</v>
      </c>
      <c r="G22501" s="2">
        <v>100</v>
      </c>
      <c r="H22501" s="2">
        <v>457</v>
      </c>
      <c r="I22501" s="2">
        <v>2</v>
      </c>
      <c r="J22501" s="2">
        <v>1372</v>
      </c>
      <c r="K22501" s="2">
        <v>1</v>
      </c>
      <c r="L22501" s="2">
        <v>457</v>
      </c>
    </row>
    <row r="22502" spans="1:12" x14ac:dyDescent="0.25">
      <c r="A22502" s="4" t="str">
        <f>HYPERLINK("http://www.rosaceae.org/Prunus/Prunus_persica/p.persica_gdr_reftransV1_0048046","p.persica_gdr_reftransV1_0048046")</f>
        <v>p.persica_gdr_reftransV1_0048046</v>
      </c>
      <c r="B22502" s="2">
        <v>3076</v>
      </c>
      <c r="C22502" s="4" t="str">
        <f>HYPERLINK("http://www.uniprot.org/uniprot/M5X9W6","M5X9W6")</f>
        <v>M5X9W6</v>
      </c>
      <c r="D22502" s="2" t="s">
        <v>7232</v>
      </c>
      <c r="E22502" s="3">
        <v>0</v>
      </c>
      <c r="F22502" s="2">
        <v>3098</v>
      </c>
      <c r="G22502" s="2">
        <v>94</v>
      </c>
      <c r="H22502" s="2">
        <v>615</v>
      </c>
      <c r="I22502" s="2">
        <v>621</v>
      </c>
      <c r="J22502" s="2">
        <v>2450</v>
      </c>
      <c r="K22502" s="2">
        <v>39</v>
      </c>
      <c r="L22502" s="2">
        <v>640</v>
      </c>
    </row>
    <row r="22503" spans="1:12" x14ac:dyDescent="0.25">
      <c r="A22503" s="4" t="str">
        <f>HYPERLINK("http://www.rosaceae.org/Prunus/Prunus_persica/p.persica_gdr_reftransV1_0048396","p.persica_gdr_reftransV1_0048396")</f>
        <v>p.persica_gdr_reftransV1_0048396</v>
      </c>
      <c r="B22503" s="2">
        <v>614</v>
      </c>
      <c r="C22503" s="4" t="str">
        <f>HYPERLINK("http://www.uniprot.org/uniprot/M5W894","M5W894")</f>
        <v>M5W894</v>
      </c>
      <c r="D22503" s="2" t="s">
        <v>3631</v>
      </c>
      <c r="E22503" s="3">
        <v>1.4699999999999999E-79</v>
      </c>
      <c r="F22503" s="2">
        <v>673</v>
      </c>
      <c r="G22503" s="2">
        <v>100</v>
      </c>
      <c r="H22503" s="2">
        <v>137</v>
      </c>
      <c r="I22503" s="2">
        <v>152</v>
      </c>
      <c r="J22503" s="2">
        <v>562</v>
      </c>
      <c r="K22503" s="2">
        <v>623</v>
      </c>
      <c r="L22503" s="2">
        <v>759</v>
      </c>
    </row>
    <row r="22504" spans="1:12" x14ac:dyDescent="0.25">
      <c r="A22504" s="4" t="str">
        <f>HYPERLINK("http://www.rosaceae.org/Prunus/Prunus_persica/p.persica_gdr_reftransV1_0049096","p.persica_gdr_reftransV1_0049096")</f>
        <v>p.persica_gdr_reftransV1_0049096</v>
      </c>
      <c r="B22504" s="2">
        <v>389</v>
      </c>
      <c r="C22504" s="4" t="str">
        <f>HYPERLINK("http://www.uniprot.org/uniprot/M5WU77","M5WU77")</f>
        <v>M5WU77</v>
      </c>
      <c r="D22504" s="2" t="s">
        <v>13110</v>
      </c>
      <c r="E22504" s="3">
        <v>1.2E-81</v>
      </c>
      <c r="F22504" s="2">
        <v>683</v>
      </c>
      <c r="G22504" s="2">
        <v>100</v>
      </c>
      <c r="H22504" s="2">
        <v>129</v>
      </c>
      <c r="I22504" s="2">
        <v>1</v>
      </c>
      <c r="J22504" s="2">
        <v>387</v>
      </c>
      <c r="K22504" s="2">
        <v>336</v>
      </c>
      <c r="L22504" s="2">
        <v>464</v>
      </c>
    </row>
    <row r="22505" spans="1:12" x14ac:dyDescent="0.25">
      <c r="A22505" s="4" t="str">
        <f>HYPERLINK("http://www.rosaceae.org/Prunus/Prunus_persica/p.persica_gdr_reftransV1_0000097","p.persica_gdr_reftransV1_0000097")</f>
        <v>p.persica_gdr_reftransV1_0000097</v>
      </c>
      <c r="B22505" s="2">
        <v>2326</v>
      </c>
      <c r="C22505" s="4" t="str">
        <f>HYPERLINK("http://www.uniprot.org/uniprot/M5WEE4","M5WEE4")</f>
        <v>M5WEE4</v>
      </c>
      <c r="D22505" s="2" t="s">
        <v>6664</v>
      </c>
      <c r="E22505" s="3">
        <v>0</v>
      </c>
      <c r="F22505" s="2">
        <v>2652</v>
      </c>
      <c r="G22505" s="2">
        <v>88</v>
      </c>
      <c r="H22505" s="2">
        <v>637</v>
      </c>
      <c r="I22505" s="2">
        <v>1</v>
      </c>
      <c r="J22505" s="2">
        <v>1911</v>
      </c>
      <c r="K22505" s="2">
        <v>471</v>
      </c>
      <c r="L22505" s="2">
        <v>1039</v>
      </c>
    </row>
    <row r="22506" spans="1:12" x14ac:dyDescent="0.25">
      <c r="A22506" s="4" t="str">
        <f>HYPERLINK("http://www.rosaceae.org/Prunus/Prunus_persica/p.persica_gdr_reftransV1_0000447","p.persica_gdr_reftransV1_0000447")</f>
        <v>p.persica_gdr_reftransV1_0000447</v>
      </c>
      <c r="B22506" s="2">
        <v>494</v>
      </c>
      <c r="C22506" s="4" t="str">
        <f>HYPERLINK("http://www.uniprot.org/uniprot/M5XKQ1","M5XKQ1")</f>
        <v>M5XKQ1</v>
      </c>
      <c r="D22506" s="2" t="s">
        <v>1701</v>
      </c>
      <c r="E22506" s="3">
        <v>1.3999999999999999E-91</v>
      </c>
      <c r="F22506" s="2">
        <v>766</v>
      </c>
      <c r="G22506" s="2">
        <v>100</v>
      </c>
      <c r="H22506" s="2">
        <v>164</v>
      </c>
      <c r="I22506" s="2">
        <v>3</v>
      </c>
      <c r="J22506" s="2">
        <v>494</v>
      </c>
      <c r="K22506" s="2">
        <v>242</v>
      </c>
      <c r="L22506" s="2">
        <v>405</v>
      </c>
    </row>
    <row r="22507" spans="1:12" x14ac:dyDescent="0.25">
      <c r="A22507" s="4" t="str">
        <f>HYPERLINK("http://www.rosaceae.org/Prunus/Prunus_persica/p.persica_gdr_reftransV1_0000797","p.persica_gdr_reftransV1_0000797")</f>
        <v>p.persica_gdr_reftransV1_0000797</v>
      </c>
      <c r="B22507" s="2">
        <v>1898</v>
      </c>
      <c r="C22507" s="4" t="str">
        <f>HYPERLINK("http://www.uniprot.org/uniprot/M5XKQ1","M5XKQ1")</f>
        <v>M5XKQ1</v>
      </c>
      <c r="D22507" s="2" t="s">
        <v>1701</v>
      </c>
      <c r="E22507" s="3">
        <v>0</v>
      </c>
      <c r="F22507" s="2">
        <v>3189</v>
      </c>
      <c r="G22507" s="2">
        <v>100</v>
      </c>
      <c r="H22507" s="2">
        <v>596</v>
      </c>
      <c r="I22507" s="2">
        <v>1</v>
      </c>
      <c r="J22507" s="2">
        <v>1788</v>
      </c>
      <c r="K22507" s="2">
        <v>541</v>
      </c>
      <c r="L22507" s="2">
        <v>1136</v>
      </c>
    </row>
    <row r="22508" spans="1:12" x14ac:dyDescent="0.25">
      <c r="A22508" s="4" t="str">
        <f>HYPERLINK("http://www.rosaceae.org/Prunus/Prunus_persica/p.persica_gdr_reftransV1_0001147","p.persica_gdr_reftransV1_0001147")</f>
        <v>p.persica_gdr_reftransV1_0001147</v>
      </c>
      <c r="B22508" s="2">
        <v>1903</v>
      </c>
      <c r="C22508" s="4" t="str">
        <f>HYPERLINK("http://www.uniprot.org/uniprot/M5WTT3","M5WTT3")</f>
        <v>M5WTT3</v>
      </c>
      <c r="D22508" s="2" t="s">
        <v>10221</v>
      </c>
      <c r="E22508" s="3">
        <v>3.1899999999999999E-118</v>
      </c>
      <c r="F22508" s="2">
        <v>933</v>
      </c>
      <c r="G22508" s="2">
        <v>99</v>
      </c>
      <c r="H22508" s="2">
        <v>195</v>
      </c>
      <c r="I22508" s="2">
        <v>1001</v>
      </c>
      <c r="J22508" s="2">
        <v>1585</v>
      </c>
      <c r="K22508" s="2">
        <v>1</v>
      </c>
      <c r="L22508" s="2">
        <v>195</v>
      </c>
    </row>
    <row r="22509" spans="1:12" x14ac:dyDescent="0.25">
      <c r="A22509" s="4" t="str">
        <f>HYPERLINK("http://www.rosaceae.org/Prunus/Prunus_persica/p.persica_gdr_reftransV1_0002197","p.persica_gdr_reftransV1_0002197")</f>
        <v>p.persica_gdr_reftransV1_0002197</v>
      </c>
      <c r="B22509" s="2">
        <v>394</v>
      </c>
      <c r="C22509" s="4" t="str">
        <f>HYPERLINK("http://www.uniprot.org/uniprot/M5WKD8","M5WKD8")</f>
        <v>M5WKD8</v>
      </c>
      <c r="D22509" s="2" t="s">
        <v>16595</v>
      </c>
      <c r="E22509" s="3">
        <v>1.2700000000000001E-75</v>
      </c>
      <c r="F22509" s="2">
        <v>643</v>
      </c>
      <c r="G22509" s="2">
        <v>95</v>
      </c>
      <c r="H22509" s="2">
        <v>126</v>
      </c>
      <c r="I22509" s="2">
        <v>17</v>
      </c>
      <c r="J22509" s="2">
        <v>394</v>
      </c>
      <c r="K22509" s="2">
        <v>801</v>
      </c>
      <c r="L22509" s="2">
        <v>926</v>
      </c>
    </row>
    <row r="22510" spans="1:12" x14ac:dyDescent="0.25">
      <c r="A22510" s="4" t="str">
        <f>HYPERLINK("http://www.rosaceae.org/Prunus/Prunus_persica/p.persica_gdr_reftransV1_0002897","p.persica_gdr_reftransV1_0002897")</f>
        <v>p.persica_gdr_reftransV1_0002897</v>
      </c>
      <c r="B22510" s="2">
        <v>1180</v>
      </c>
      <c r="C22510" s="4" t="str">
        <f>HYPERLINK("http://www.uniprot.org/uniprot/M5X4T9","M5X4T9")</f>
        <v>M5X4T9</v>
      </c>
      <c r="D22510" s="2" t="s">
        <v>16596</v>
      </c>
      <c r="E22510" s="3">
        <v>1.2399999999999999E-148</v>
      </c>
      <c r="F22510" s="2">
        <v>1111</v>
      </c>
      <c r="G22510" s="2">
        <v>100</v>
      </c>
      <c r="H22510" s="2">
        <v>233</v>
      </c>
      <c r="I22510" s="2">
        <v>259</v>
      </c>
      <c r="J22510" s="2">
        <v>957</v>
      </c>
      <c r="K22510" s="2">
        <v>1</v>
      </c>
      <c r="L22510" s="2">
        <v>233</v>
      </c>
    </row>
    <row r="22511" spans="1:12" x14ac:dyDescent="0.25">
      <c r="A22511" s="4" t="str">
        <f>HYPERLINK("http://www.rosaceae.org/Prunus/Prunus_persica/p.persica_gdr_reftransV1_0003247","p.persica_gdr_reftransV1_0003247")</f>
        <v>p.persica_gdr_reftransV1_0003247</v>
      </c>
      <c r="B22511" s="2">
        <v>459</v>
      </c>
      <c r="C22511" s="4" t="str">
        <f>HYPERLINK("http://www.uniprot.org/uniprot/G9MJ46","G9MJ46")</f>
        <v>G9MJ46</v>
      </c>
      <c r="D22511" s="2" t="s">
        <v>16597</v>
      </c>
      <c r="E22511" s="3">
        <v>2.0400000000000001E-93</v>
      </c>
      <c r="F22511" s="2">
        <v>741</v>
      </c>
      <c r="G22511" s="2">
        <v>91</v>
      </c>
      <c r="H22511" s="2">
        <v>153</v>
      </c>
      <c r="I22511" s="2">
        <v>1</v>
      </c>
      <c r="J22511" s="2">
        <v>459</v>
      </c>
      <c r="K22511" s="2">
        <v>96</v>
      </c>
      <c r="L22511" s="2">
        <v>248</v>
      </c>
    </row>
    <row r="22512" spans="1:12" x14ac:dyDescent="0.25">
      <c r="A22512" s="4" t="str">
        <f>HYPERLINK("http://www.rosaceae.org/Prunus/Prunus_persica/p.persica_gdr_reftransV1_0003597","p.persica_gdr_reftransV1_0003597")</f>
        <v>p.persica_gdr_reftransV1_0003597</v>
      </c>
      <c r="B22512" s="2">
        <v>1159</v>
      </c>
      <c r="C22512" s="4" t="str">
        <f>HYPERLINK("http://www.uniprot.org/uniprot/M5XFR7","M5XFR7")</f>
        <v>M5XFR7</v>
      </c>
      <c r="D22512" s="2" t="s">
        <v>5233</v>
      </c>
      <c r="E22512" s="3">
        <v>7.0799999999999999E-106</v>
      </c>
      <c r="F22512" s="2">
        <v>821</v>
      </c>
      <c r="G22512" s="2">
        <v>97</v>
      </c>
      <c r="H22512" s="2">
        <v>159</v>
      </c>
      <c r="I22512" s="2">
        <v>509</v>
      </c>
      <c r="J22512" s="2">
        <v>985</v>
      </c>
      <c r="K22512" s="2">
        <v>1</v>
      </c>
      <c r="L22512" s="2">
        <v>159</v>
      </c>
    </row>
    <row r="22513" spans="1:12" x14ac:dyDescent="0.25">
      <c r="A22513" s="4" t="str">
        <f>HYPERLINK("http://www.rosaceae.org/Prunus/Prunus_persica/p.persica_gdr_reftransV1_0005347","p.persica_gdr_reftransV1_0005347")</f>
        <v>p.persica_gdr_reftransV1_0005347</v>
      </c>
      <c r="B22513" s="2">
        <v>1518</v>
      </c>
      <c r="C22513" s="4" t="str">
        <f>HYPERLINK("http://www.uniprot.org/uniprot/K3YRS0","K3YRS0")</f>
        <v>K3YRS0</v>
      </c>
      <c r="D22513" s="2" t="s">
        <v>2941</v>
      </c>
      <c r="E22513" s="3">
        <v>0</v>
      </c>
      <c r="F22513" s="2">
        <v>1835</v>
      </c>
      <c r="G22513" s="2">
        <v>100</v>
      </c>
      <c r="H22513" s="2">
        <v>358</v>
      </c>
      <c r="I22513" s="2">
        <v>445</v>
      </c>
      <c r="J22513" s="2">
        <v>1518</v>
      </c>
      <c r="K22513" s="2">
        <v>146</v>
      </c>
      <c r="L22513" s="2">
        <v>503</v>
      </c>
    </row>
    <row r="22514" spans="1:12" x14ac:dyDescent="0.25">
      <c r="A22514" s="4" t="str">
        <f>HYPERLINK("http://www.rosaceae.org/Prunus/Prunus_persica/p.persica_gdr_reftransV1_0005697","p.persica_gdr_reftransV1_0005697")</f>
        <v>p.persica_gdr_reftransV1_0005697</v>
      </c>
      <c r="B22514" s="2">
        <v>764</v>
      </c>
      <c r="C22514" s="4" t="str">
        <f>HYPERLINK("http://www.uniprot.org/uniprot/M5VRU9","M5VRU9")</f>
        <v>M5VRU9</v>
      </c>
      <c r="D22514" s="2" t="s">
        <v>16598</v>
      </c>
      <c r="E22514" s="3">
        <v>4.1800000000000004E-86</v>
      </c>
      <c r="F22514" s="2">
        <v>678</v>
      </c>
      <c r="G22514" s="2">
        <v>73</v>
      </c>
      <c r="H22514" s="2">
        <v>171</v>
      </c>
      <c r="I22514" s="2">
        <v>110</v>
      </c>
      <c r="J22514" s="2">
        <v>619</v>
      </c>
      <c r="K22514" s="2">
        <v>1</v>
      </c>
      <c r="L22514" s="2">
        <v>171</v>
      </c>
    </row>
    <row r="22515" spans="1:12" x14ac:dyDescent="0.25">
      <c r="A22515" s="4" t="str">
        <f>HYPERLINK("http://www.rosaceae.org/Prunus/Prunus_persica/p.persica_gdr_reftransV1_0006047","p.persica_gdr_reftransV1_0006047")</f>
        <v>p.persica_gdr_reftransV1_0006047</v>
      </c>
      <c r="B22515" s="2">
        <v>588</v>
      </c>
      <c r="C22515" s="4" t="str">
        <f>HYPERLINK("http://www.uniprot.org/uniprot/A0A059AH11","A0A059AH11")</f>
        <v>A0A059AH11</v>
      </c>
      <c r="D22515" s="2" t="s">
        <v>16599</v>
      </c>
      <c r="E22515" s="3">
        <v>1.1400000000000001E-31</v>
      </c>
      <c r="F22515" s="2">
        <v>332</v>
      </c>
      <c r="G22515" s="2">
        <v>48</v>
      </c>
      <c r="H22515" s="2">
        <v>149</v>
      </c>
      <c r="I22515" s="2">
        <v>37</v>
      </c>
      <c r="J22515" s="2">
        <v>480</v>
      </c>
      <c r="K22515" s="2">
        <v>34</v>
      </c>
      <c r="L22515" s="2">
        <v>179</v>
      </c>
    </row>
    <row r="22516" spans="1:12" x14ac:dyDescent="0.25">
      <c r="A22516" s="4" t="str">
        <f>HYPERLINK("http://www.rosaceae.org/Prunus/Prunus_persica/p.persica_gdr_reftransV1_0007097","p.persica_gdr_reftransV1_0007097")</f>
        <v>p.persica_gdr_reftransV1_0007097</v>
      </c>
      <c r="B22516" s="2">
        <v>494</v>
      </c>
      <c r="C22516" s="4" t="str">
        <f>HYPERLINK("http://www.uniprot.org/uniprot/M5WPY0","M5WPY0")</f>
        <v>M5WPY0</v>
      </c>
      <c r="D22516" s="2" t="s">
        <v>13526</v>
      </c>
      <c r="E22516" s="3">
        <v>9.5999999999999993E-62</v>
      </c>
      <c r="F22516" s="2">
        <v>544</v>
      </c>
      <c r="G22516" s="2">
        <v>99</v>
      </c>
      <c r="H22516" s="2">
        <v>103</v>
      </c>
      <c r="I22516" s="2">
        <v>107</v>
      </c>
      <c r="J22516" s="2">
        <v>415</v>
      </c>
      <c r="K22516" s="2">
        <v>690</v>
      </c>
      <c r="L22516" s="2">
        <v>792</v>
      </c>
    </row>
    <row r="22517" spans="1:12" x14ac:dyDescent="0.25">
      <c r="A22517" s="4" t="str">
        <f>HYPERLINK("http://www.rosaceae.org/Prunus/Prunus_persica/p.persica_gdr_reftransV1_0007447","p.persica_gdr_reftransV1_0007447")</f>
        <v>p.persica_gdr_reftransV1_0007447</v>
      </c>
      <c r="B22517" s="2">
        <v>573</v>
      </c>
      <c r="C22517" s="4" t="str">
        <f>HYPERLINK("http://www.uniprot.org/uniprot/M5WJU4","M5WJU4")</f>
        <v>M5WJU4</v>
      </c>
      <c r="D22517" s="2" t="s">
        <v>6045</v>
      </c>
      <c r="E22517" s="3">
        <v>1.5199999999999999E-54</v>
      </c>
      <c r="F22517" s="2">
        <v>457</v>
      </c>
      <c r="G22517" s="2">
        <v>89</v>
      </c>
      <c r="H22517" s="2">
        <v>124</v>
      </c>
      <c r="I22517" s="2">
        <v>8</v>
      </c>
      <c r="J22517" s="2">
        <v>379</v>
      </c>
      <c r="K22517" s="2">
        <v>1</v>
      </c>
      <c r="L22517" s="2">
        <v>122</v>
      </c>
    </row>
    <row r="22518" spans="1:12" x14ac:dyDescent="0.25">
      <c r="A22518" s="4" t="str">
        <f>HYPERLINK("http://www.rosaceae.org/Prunus/Prunus_persica/p.persica_gdr_reftransV1_0008497","p.persica_gdr_reftransV1_0008497")</f>
        <v>p.persica_gdr_reftransV1_0008497</v>
      </c>
      <c r="B22518" s="2">
        <v>1854</v>
      </c>
      <c r="C22518" s="4" t="str">
        <f>HYPERLINK("http://www.uniprot.org/uniprot/M5X6L4","M5X6L4")</f>
        <v>M5X6L4</v>
      </c>
      <c r="D22518" s="2" t="s">
        <v>16600</v>
      </c>
      <c r="E22518" s="3">
        <v>0</v>
      </c>
      <c r="F22518" s="2">
        <v>1990</v>
      </c>
      <c r="G22518" s="2">
        <v>100</v>
      </c>
      <c r="H22518" s="2">
        <v>374</v>
      </c>
      <c r="I22518" s="2">
        <v>450</v>
      </c>
      <c r="J22518" s="2">
        <v>1571</v>
      </c>
      <c r="K22518" s="2">
        <v>1</v>
      </c>
      <c r="L22518" s="2">
        <v>374</v>
      </c>
    </row>
    <row r="22519" spans="1:12" x14ac:dyDescent="0.25">
      <c r="A22519" s="4" t="str">
        <f>HYPERLINK("http://www.rosaceae.org/Prunus/Prunus_persica/p.persica_gdr_reftransV1_0009197","p.persica_gdr_reftransV1_0009197")</f>
        <v>p.persica_gdr_reftransV1_0009197</v>
      </c>
      <c r="B22519" s="2">
        <v>2626</v>
      </c>
      <c r="C22519" s="4" t="str">
        <f>HYPERLINK("http://www.uniprot.org/uniprot/M5XN62","M5XN62")</f>
        <v>M5XN62</v>
      </c>
      <c r="D22519" s="2" t="s">
        <v>16601</v>
      </c>
      <c r="E22519" s="3">
        <v>0</v>
      </c>
      <c r="F22519" s="2">
        <v>1655</v>
      </c>
      <c r="G22519" s="2">
        <v>100</v>
      </c>
      <c r="H22519" s="2">
        <v>321</v>
      </c>
      <c r="I22519" s="2">
        <v>62</v>
      </c>
      <c r="J22519" s="2">
        <v>1024</v>
      </c>
      <c r="K22519" s="2">
        <v>1</v>
      </c>
      <c r="L22519" s="2">
        <v>321</v>
      </c>
    </row>
    <row r="22520" spans="1:12" x14ac:dyDescent="0.25">
      <c r="A22520" s="4" t="str">
        <f>HYPERLINK("http://www.rosaceae.org/Prunus/Prunus_persica/p.persica_gdr_reftransV1_0009547","p.persica_gdr_reftransV1_0009547")</f>
        <v>p.persica_gdr_reftransV1_0009547</v>
      </c>
      <c r="B22520" s="2">
        <v>1511</v>
      </c>
      <c r="C22520" s="4" t="str">
        <f>HYPERLINK("http://www.uniprot.org/uniprot/M5VQY1","M5VQY1")</f>
        <v>M5VQY1</v>
      </c>
      <c r="D22520" s="2" t="s">
        <v>16602</v>
      </c>
      <c r="E22520" s="3">
        <v>4.0600000000000002E-112</v>
      </c>
      <c r="F22520" s="2">
        <v>881</v>
      </c>
      <c r="G22520" s="2">
        <v>100</v>
      </c>
      <c r="H22520" s="2">
        <v>233</v>
      </c>
      <c r="I22520" s="2">
        <v>513</v>
      </c>
      <c r="J22520" s="2">
        <v>1211</v>
      </c>
      <c r="K22520" s="2">
        <v>1</v>
      </c>
      <c r="L22520" s="2">
        <v>233</v>
      </c>
    </row>
    <row r="22521" spans="1:12" x14ac:dyDescent="0.25">
      <c r="A22521" s="4" t="str">
        <f>HYPERLINK("http://www.rosaceae.org/Prunus/Prunus_persica/p.persica_gdr_reftransV1_0010947","p.persica_gdr_reftransV1_0010947")</f>
        <v>p.persica_gdr_reftransV1_0010947</v>
      </c>
      <c r="B22521" s="2">
        <v>3019</v>
      </c>
      <c r="C22521" s="4" t="str">
        <f>HYPERLINK("http://www.uniprot.org/uniprot/M5VTQ7","M5VTQ7")</f>
        <v>M5VTQ7</v>
      </c>
      <c r="D22521" s="2" t="s">
        <v>16603</v>
      </c>
      <c r="E22521" s="3">
        <v>0</v>
      </c>
      <c r="F22521" s="2">
        <v>4211</v>
      </c>
      <c r="G22521" s="2">
        <v>100</v>
      </c>
      <c r="H22521" s="2">
        <v>840</v>
      </c>
      <c r="I22521" s="2">
        <v>272</v>
      </c>
      <c r="J22521" s="2">
        <v>2791</v>
      </c>
      <c r="K22521" s="2">
        <v>1</v>
      </c>
      <c r="L22521" s="2">
        <v>840</v>
      </c>
    </row>
    <row r="22522" spans="1:12" x14ac:dyDescent="0.25">
      <c r="A22522" s="4" t="str">
        <f>HYPERLINK("http://www.rosaceae.org/Prunus/Prunus_persica/p.persica_gdr_reftransV1_0011297","p.persica_gdr_reftransV1_0011297")</f>
        <v>p.persica_gdr_reftransV1_0011297</v>
      </c>
      <c r="B22522" s="2">
        <v>693</v>
      </c>
      <c r="C22522" s="4" t="str">
        <f>HYPERLINK("http://www.uniprot.org/uniprot/M5Y2C6","M5Y2C6")</f>
        <v>M5Y2C6</v>
      </c>
      <c r="D22522" s="2" t="s">
        <v>11755</v>
      </c>
      <c r="E22522" s="3">
        <v>9.8299999999999996E-86</v>
      </c>
      <c r="F22522" s="2">
        <v>675</v>
      </c>
      <c r="G22522" s="2">
        <v>98</v>
      </c>
      <c r="H22522" s="2">
        <v>127</v>
      </c>
      <c r="I22522" s="2">
        <v>312</v>
      </c>
      <c r="J22522" s="2">
        <v>692</v>
      </c>
      <c r="K22522" s="2">
        <v>1</v>
      </c>
      <c r="L22522" s="2">
        <v>127</v>
      </c>
    </row>
    <row r="22523" spans="1:12" x14ac:dyDescent="0.25">
      <c r="A22523" s="4" t="str">
        <f>HYPERLINK("http://www.rosaceae.org/Prunus/Prunus_persica/p.persica_gdr_reftransV1_0011647","p.persica_gdr_reftransV1_0011647")</f>
        <v>p.persica_gdr_reftransV1_0011647</v>
      </c>
      <c r="B22523" s="2">
        <v>1031</v>
      </c>
      <c r="C22523" s="4" t="str">
        <f>HYPERLINK("http://www.uniprot.org/uniprot/M5WU95","M5WU95")</f>
        <v>M5WU95</v>
      </c>
      <c r="D22523" s="2" t="s">
        <v>16604</v>
      </c>
      <c r="E22523" s="3">
        <v>8.4300000000000004E-173</v>
      </c>
      <c r="F22523" s="2">
        <v>1273</v>
      </c>
      <c r="G22523" s="2">
        <v>98</v>
      </c>
      <c r="H22523" s="2">
        <v>247</v>
      </c>
      <c r="I22523" s="2">
        <v>8</v>
      </c>
      <c r="J22523" s="2">
        <v>748</v>
      </c>
      <c r="K22523" s="2">
        <v>64</v>
      </c>
      <c r="L22523" s="2">
        <v>304</v>
      </c>
    </row>
    <row r="22524" spans="1:12" x14ac:dyDescent="0.25">
      <c r="A22524" s="4" t="str">
        <f>HYPERLINK("http://www.rosaceae.org/Prunus/Prunus_persica/p.persica_gdr_reftransV1_0011997","p.persica_gdr_reftransV1_0011997")</f>
        <v>p.persica_gdr_reftransV1_0011997</v>
      </c>
      <c r="B22524" s="2">
        <v>2327</v>
      </c>
      <c r="C22524" s="4" t="str">
        <f>HYPERLINK("http://www.uniprot.org/uniprot/M5VYZ9","M5VYZ9")</f>
        <v>M5VYZ9</v>
      </c>
      <c r="D22524" s="2" t="s">
        <v>16605</v>
      </c>
      <c r="E22524" s="3">
        <v>0</v>
      </c>
      <c r="F22524" s="2">
        <v>1634</v>
      </c>
      <c r="G22524" s="2">
        <v>100</v>
      </c>
      <c r="H22524" s="2">
        <v>349</v>
      </c>
      <c r="I22524" s="2">
        <v>125</v>
      </c>
      <c r="J22524" s="2">
        <v>1171</v>
      </c>
      <c r="K22524" s="2">
        <v>1</v>
      </c>
      <c r="L22524" s="2">
        <v>349</v>
      </c>
    </row>
    <row r="22525" spans="1:12" x14ac:dyDescent="0.25">
      <c r="A22525" s="4" t="str">
        <f>HYPERLINK("http://www.rosaceae.org/Prunus/Prunus_persica/p.persica_gdr_reftransV1_0013397","p.persica_gdr_reftransV1_0013397")</f>
        <v>p.persica_gdr_reftransV1_0013397</v>
      </c>
      <c r="B22525" s="2">
        <v>920</v>
      </c>
      <c r="C22525" s="4" t="str">
        <f>HYPERLINK("http://www.uniprot.org/uniprot/M5X443","M5X443")</f>
        <v>M5X443</v>
      </c>
      <c r="D22525" s="2" t="s">
        <v>16606</v>
      </c>
      <c r="E22525" s="3">
        <v>1.8899999999999999E-137</v>
      </c>
      <c r="F22525" s="2">
        <v>1030</v>
      </c>
      <c r="G22525" s="2">
        <v>100</v>
      </c>
      <c r="H22525" s="2">
        <v>198</v>
      </c>
      <c r="I22525" s="2">
        <v>59</v>
      </c>
      <c r="J22525" s="2">
        <v>652</v>
      </c>
      <c r="K22525" s="2">
        <v>50</v>
      </c>
      <c r="L22525" s="2">
        <v>247</v>
      </c>
    </row>
    <row r="22526" spans="1:12" x14ac:dyDescent="0.25">
      <c r="A22526" s="4" t="str">
        <f>HYPERLINK("http://www.rosaceae.org/Prunus/Prunus_persica/p.persica_gdr_reftransV1_0014447","p.persica_gdr_reftransV1_0014447")</f>
        <v>p.persica_gdr_reftransV1_0014447</v>
      </c>
      <c r="B22526" s="2">
        <v>2251</v>
      </c>
      <c r="C22526" s="4" t="str">
        <f>HYPERLINK("http://www.uniprot.org/uniprot/M5W2P8","M5W2P8")</f>
        <v>M5W2P8</v>
      </c>
      <c r="D22526" s="2" t="s">
        <v>12620</v>
      </c>
      <c r="E22526" s="3">
        <v>0</v>
      </c>
      <c r="F22526" s="2">
        <v>1433</v>
      </c>
      <c r="G22526" s="2">
        <v>100</v>
      </c>
      <c r="H22526" s="2">
        <v>296</v>
      </c>
      <c r="I22526" s="2">
        <v>1224</v>
      </c>
      <c r="J22526" s="2">
        <v>2111</v>
      </c>
      <c r="K22526" s="2">
        <v>1</v>
      </c>
      <c r="L22526" s="2">
        <v>296</v>
      </c>
    </row>
    <row r="22527" spans="1:12" x14ac:dyDescent="0.25">
      <c r="A22527" s="4" t="str">
        <f>HYPERLINK("http://www.rosaceae.org/Prunus/Prunus_persica/p.persica_gdr_reftransV1_0014797","p.persica_gdr_reftransV1_0014797")</f>
        <v>p.persica_gdr_reftransV1_0014797</v>
      </c>
      <c r="B22527" s="2">
        <v>708</v>
      </c>
      <c r="C22527" s="4" t="str">
        <f>HYPERLINK("http://www.uniprot.org/uniprot/M5XEG3","M5XEG3")</f>
        <v>M5XEG3</v>
      </c>
      <c r="D22527" s="2" t="s">
        <v>10043</v>
      </c>
      <c r="E22527" s="3">
        <v>5.5900000000000003E-165</v>
      </c>
      <c r="F22527" s="2">
        <v>1227</v>
      </c>
      <c r="G22527" s="2">
        <v>100</v>
      </c>
      <c r="H22527" s="2">
        <v>235</v>
      </c>
      <c r="I22527" s="2">
        <v>2</v>
      </c>
      <c r="J22527" s="2">
        <v>706</v>
      </c>
      <c r="K22527" s="2">
        <v>19</v>
      </c>
      <c r="L22527" s="2">
        <v>253</v>
      </c>
    </row>
    <row r="22528" spans="1:12" x14ac:dyDescent="0.25">
      <c r="A22528" s="4" t="str">
        <f>HYPERLINK("http://www.rosaceae.org/Prunus/Prunus_persica/p.persica_gdr_reftransV1_0015147","p.persica_gdr_reftransV1_0015147")</f>
        <v>p.persica_gdr_reftransV1_0015147</v>
      </c>
      <c r="B22528" s="2">
        <v>4766</v>
      </c>
      <c r="C22528" s="4" t="str">
        <f>HYPERLINK("http://www.uniprot.org/uniprot/M5XRU8","M5XRU8")</f>
        <v>M5XRU8</v>
      </c>
      <c r="D22528" s="2" t="s">
        <v>16607</v>
      </c>
      <c r="E22528" s="3">
        <v>0</v>
      </c>
      <c r="F22528" s="2">
        <v>5518</v>
      </c>
      <c r="G22528" s="2">
        <v>100</v>
      </c>
      <c r="H22528" s="2">
        <v>1085</v>
      </c>
      <c r="I22528" s="2">
        <v>764</v>
      </c>
      <c r="J22528" s="2">
        <v>4018</v>
      </c>
      <c r="K22528" s="2">
        <v>1</v>
      </c>
      <c r="L22528" s="2">
        <v>1085</v>
      </c>
    </row>
    <row r="22529" spans="1:12" x14ac:dyDescent="0.25">
      <c r="A22529" s="4" t="str">
        <f>HYPERLINK("http://www.rosaceae.org/Prunus/Prunus_persica/p.persica_gdr_reftransV1_0016197","p.persica_gdr_reftransV1_0016197")</f>
        <v>p.persica_gdr_reftransV1_0016197</v>
      </c>
      <c r="B22529" s="2">
        <v>1886</v>
      </c>
      <c r="C22529" s="4" t="str">
        <f>HYPERLINK("http://www.uniprot.org/uniprot/M5WHW3","M5WHW3")</f>
        <v>M5WHW3</v>
      </c>
      <c r="D22529" s="2" t="s">
        <v>16608</v>
      </c>
      <c r="E22529" s="3">
        <v>0</v>
      </c>
      <c r="F22529" s="2">
        <v>2340</v>
      </c>
      <c r="G22529" s="2">
        <v>100</v>
      </c>
      <c r="H22529" s="2">
        <v>457</v>
      </c>
      <c r="I22529" s="2">
        <v>88</v>
      </c>
      <c r="J22529" s="2">
        <v>1458</v>
      </c>
      <c r="K22529" s="2">
        <v>1</v>
      </c>
      <c r="L22529" s="2">
        <v>457</v>
      </c>
    </row>
    <row r="22530" spans="1:12" x14ac:dyDescent="0.25">
      <c r="A22530" s="4" t="str">
        <f>HYPERLINK("http://www.rosaceae.org/Prunus/Prunus_persica/p.persica_gdr_reftransV1_0016547","p.persica_gdr_reftransV1_0016547")</f>
        <v>p.persica_gdr_reftransV1_0016547</v>
      </c>
      <c r="B22530" s="2">
        <v>1626</v>
      </c>
      <c r="C22530" s="4" t="str">
        <f>HYPERLINK("http://www.uniprot.org/uniprot/M5XLU3","M5XLU3")</f>
        <v>M5XLU3</v>
      </c>
      <c r="D22530" s="2" t="s">
        <v>9895</v>
      </c>
      <c r="E22530" s="3">
        <v>9.2400000000000004E-82</v>
      </c>
      <c r="F22530" s="2">
        <v>684</v>
      </c>
      <c r="G22530" s="2">
        <v>100</v>
      </c>
      <c r="H22530" s="2">
        <v>144</v>
      </c>
      <c r="I22530" s="2">
        <v>160</v>
      </c>
      <c r="J22530" s="2">
        <v>591</v>
      </c>
      <c r="K22530" s="2">
        <v>1</v>
      </c>
      <c r="L22530" s="2">
        <v>144</v>
      </c>
    </row>
    <row r="22531" spans="1:12" x14ac:dyDescent="0.25">
      <c r="A22531" s="4" t="str">
        <f>HYPERLINK("http://www.rosaceae.org/Prunus/Prunus_persica/p.persica_gdr_reftransV1_0019697","p.persica_gdr_reftransV1_0019697")</f>
        <v>p.persica_gdr_reftransV1_0019697</v>
      </c>
      <c r="B22531" s="2">
        <v>2733</v>
      </c>
      <c r="C22531" s="4" t="str">
        <f>HYPERLINK("http://www.uniprot.org/uniprot/M0W4R1","M0W4R1")</f>
        <v>M0W4R1</v>
      </c>
      <c r="D22531" s="2" t="s">
        <v>16609</v>
      </c>
      <c r="E22531" s="3">
        <v>5.5099999999999999E-67</v>
      </c>
      <c r="F22531" s="2">
        <v>609</v>
      </c>
      <c r="G22531" s="2">
        <v>61</v>
      </c>
      <c r="H22531" s="2">
        <v>204</v>
      </c>
      <c r="I22531" s="2">
        <v>1700</v>
      </c>
      <c r="J22531" s="2">
        <v>2308</v>
      </c>
      <c r="K22531" s="2">
        <v>98</v>
      </c>
      <c r="L22531" s="2">
        <v>259</v>
      </c>
    </row>
    <row r="22532" spans="1:12" x14ac:dyDescent="0.25">
      <c r="A22532" s="4" t="str">
        <f>HYPERLINK("http://www.rosaceae.org/Prunus/Prunus_persica/p.persica_gdr_reftransV1_0020047","p.persica_gdr_reftransV1_0020047")</f>
        <v>p.persica_gdr_reftransV1_0020047</v>
      </c>
      <c r="B22532" s="2">
        <v>5218</v>
      </c>
      <c r="C22532" s="4" t="str">
        <f>HYPERLINK("http://www.uniprot.org/uniprot/M5VYH0","M5VYH0")</f>
        <v>M5VYH0</v>
      </c>
      <c r="D22532" s="2" t="s">
        <v>16610</v>
      </c>
      <c r="E22532" s="3">
        <v>0</v>
      </c>
      <c r="F22532" s="2">
        <v>5441</v>
      </c>
      <c r="G22532" s="2">
        <v>100</v>
      </c>
      <c r="H22532" s="2">
        <v>1036</v>
      </c>
      <c r="I22532" s="2">
        <v>730</v>
      </c>
      <c r="J22532" s="2">
        <v>3837</v>
      </c>
      <c r="K22532" s="2">
        <v>20</v>
      </c>
      <c r="L22532" s="2">
        <v>1055</v>
      </c>
    </row>
    <row r="22533" spans="1:12" x14ac:dyDescent="0.25">
      <c r="A22533" s="4" t="str">
        <f>HYPERLINK("http://www.rosaceae.org/Prunus/Prunus_persica/p.persica_gdr_reftransV1_0021797","p.persica_gdr_reftransV1_0021797")</f>
        <v>p.persica_gdr_reftransV1_0021797</v>
      </c>
      <c r="B22533" s="2">
        <v>2723</v>
      </c>
      <c r="C22533" s="4" t="str">
        <f>HYPERLINK("http://www.uniprot.org/uniprot/M5WCH5","M5WCH5")</f>
        <v>M5WCH5</v>
      </c>
      <c r="D22533" s="2" t="s">
        <v>10554</v>
      </c>
      <c r="E22533" s="3">
        <v>0</v>
      </c>
      <c r="F22533" s="2">
        <v>1591</v>
      </c>
      <c r="G22533" s="2">
        <v>99</v>
      </c>
      <c r="H22533" s="2">
        <v>311</v>
      </c>
      <c r="I22533" s="2">
        <v>1713</v>
      </c>
      <c r="J22533" s="2">
        <v>2645</v>
      </c>
      <c r="K22533" s="2">
        <v>1</v>
      </c>
      <c r="L22533" s="2">
        <v>311</v>
      </c>
    </row>
    <row r="22534" spans="1:12" x14ac:dyDescent="0.25">
      <c r="A22534" s="4" t="str">
        <f>HYPERLINK("http://www.rosaceae.org/Prunus/Prunus_persica/p.persica_gdr_reftransV1_0023897","p.persica_gdr_reftransV1_0023897")</f>
        <v>p.persica_gdr_reftransV1_0023897</v>
      </c>
      <c r="B22534" s="2">
        <v>1043</v>
      </c>
      <c r="C22534" s="4" t="str">
        <f>HYPERLINK("http://www.uniprot.org/uniprot/M5XCN2","M5XCN2")</f>
        <v>M5XCN2</v>
      </c>
      <c r="D22534" s="2" t="s">
        <v>2910</v>
      </c>
      <c r="E22534" s="3">
        <v>1.7499999999999999E-107</v>
      </c>
      <c r="F22534" s="2">
        <v>852</v>
      </c>
      <c r="G22534" s="2">
        <v>99</v>
      </c>
      <c r="H22534" s="2">
        <v>156</v>
      </c>
      <c r="I22534" s="2">
        <v>575</v>
      </c>
      <c r="J22534" s="2">
        <v>1042</v>
      </c>
      <c r="K22534" s="2">
        <v>1</v>
      </c>
      <c r="L22534" s="2">
        <v>156</v>
      </c>
    </row>
    <row r="22535" spans="1:12" x14ac:dyDescent="0.25">
      <c r="A22535" s="4" t="str">
        <f>HYPERLINK("http://www.rosaceae.org/Prunus/Prunus_persica/p.persica_gdr_reftransV1_0024247","p.persica_gdr_reftransV1_0024247")</f>
        <v>p.persica_gdr_reftransV1_0024247</v>
      </c>
      <c r="B22535" s="2">
        <v>952</v>
      </c>
      <c r="C22535" s="4" t="str">
        <f>HYPERLINK("http://www.uniprot.org/uniprot/M5W8U6","M5W8U6")</f>
        <v>M5W8U6</v>
      </c>
      <c r="D22535" s="2" t="s">
        <v>16611</v>
      </c>
      <c r="E22535" s="3">
        <v>5.0099999999999999E-12</v>
      </c>
      <c r="F22535" s="2">
        <v>177</v>
      </c>
      <c r="G22535" s="2">
        <v>100</v>
      </c>
      <c r="H22535" s="2">
        <v>37</v>
      </c>
      <c r="I22535" s="2">
        <v>547</v>
      </c>
      <c r="J22535" s="2">
        <v>657</v>
      </c>
      <c r="K22535" s="2">
        <v>149</v>
      </c>
      <c r="L22535" s="2">
        <v>185</v>
      </c>
    </row>
    <row r="22536" spans="1:12" x14ac:dyDescent="0.25">
      <c r="A22536" s="4" t="str">
        <f>HYPERLINK("http://www.rosaceae.org/Prunus/Prunus_persica/p.persica_gdr_reftransV1_0024597","p.persica_gdr_reftransV1_0024597")</f>
        <v>p.persica_gdr_reftransV1_0024597</v>
      </c>
      <c r="B22536" s="2">
        <v>2329</v>
      </c>
      <c r="C22536" s="4" t="str">
        <f>HYPERLINK("http://www.uniprot.org/uniprot/M5XE59","M5XE59")</f>
        <v>M5XE59</v>
      </c>
      <c r="D22536" s="2" t="s">
        <v>16612</v>
      </c>
      <c r="E22536" s="3">
        <v>8.7400000000000003E-89</v>
      </c>
      <c r="F22536" s="2">
        <v>750</v>
      </c>
      <c r="G22536" s="2">
        <v>99</v>
      </c>
      <c r="H22536" s="2">
        <v>148</v>
      </c>
      <c r="I22536" s="2">
        <v>1601</v>
      </c>
      <c r="J22536" s="2">
        <v>2044</v>
      </c>
      <c r="K22536" s="2">
        <v>151</v>
      </c>
      <c r="L22536" s="2">
        <v>298</v>
      </c>
    </row>
    <row r="22537" spans="1:12" x14ac:dyDescent="0.25">
      <c r="A22537" s="4" t="str">
        <f>HYPERLINK("http://www.rosaceae.org/Prunus/Prunus_persica/p.persica_gdr_reftransV1_0025297","p.persica_gdr_reftransV1_0025297")</f>
        <v>p.persica_gdr_reftransV1_0025297</v>
      </c>
      <c r="B22537" s="2">
        <v>2402</v>
      </c>
      <c r="C22537" s="4" t="str">
        <f>HYPERLINK("http://www.uniprot.org/uniprot/M5X7C7","M5X7C7")</f>
        <v>M5X7C7</v>
      </c>
      <c r="D22537" s="2" t="s">
        <v>14646</v>
      </c>
      <c r="E22537" s="3">
        <v>3.2500000000000002E-153</v>
      </c>
      <c r="F22537" s="2">
        <v>1207</v>
      </c>
      <c r="G22537" s="2">
        <v>100</v>
      </c>
      <c r="H22537" s="2">
        <v>225</v>
      </c>
      <c r="I22537" s="2">
        <v>1205</v>
      </c>
      <c r="J22537" s="2">
        <v>1879</v>
      </c>
      <c r="K22537" s="2">
        <v>275</v>
      </c>
      <c r="L22537" s="2">
        <v>499</v>
      </c>
    </row>
    <row r="22538" spans="1:12" x14ac:dyDescent="0.25">
      <c r="A22538" s="4" t="str">
        <f>HYPERLINK("http://www.rosaceae.org/Prunus/Prunus_persica/p.persica_gdr_reftransV1_0026347","p.persica_gdr_reftransV1_0026347")</f>
        <v>p.persica_gdr_reftransV1_0026347</v>
      </c>
      <c r="B22538" s="2">
        <v>7621</v>
      </c>
      <c r="C22538" s="4" t="str">
        <f>HYPERLINK("http://www.uniprot.org/uniprot/M5WCT7","M5WCT7")</f>
        <v>M5WCT7</v>
      </c>
      <c r="D22538" s="2" t="s">
        <v>16613</v>
      </c>
      <c r="E22538" s="3">
        <v>0</v>
      </c>
      <c r="F22538" s="2">
        <v>4510</v>
      </c>
      <c r="G22538" s="2">
        <v>100</v>
      </c>
      <c r="H22538" s="2">
        <v>872</v>
      </c>
      <c r="I22538" s="2">
        <v>175</v>
      </c>
      <c r="J22538" s="2">
        <v>2790</v>
      </c>
      <c r="K22538" s="2">
        <v>1</v>
      </c>
      <c r="L22538" s="2">
        <v>872</v>
      </c>
    </row>
    <row r="22539" spans="1:12" x14ac:dyDescent="0.25">
      <c r="A22539" s="4" t="str">
        <f>HYPERLINK("http://www.rosaceae.org/Prunus/Prunus_persica/p.persica_gdr_reftransV1_0026697","p.persica_gdr_reftransV1_0026697")</f>
        <v>p.persica_gdr_reftransV1_0026697</v>
      </c>
      <c r="B22539" s="2">
        <v>2807</v>
      </c>
      <c r="C22539" s="4" t="str">
        <f>HYPERLINK("http://www.uniprot.org/uniprot/M5X303","M5X303")</f>
        <v>M5X303</v>
      </c>
      <c r="D22539" s="2" t="s">
        <v>16614</v>
      </c>
      <c r="E22539" s="3">
        <v>1.86E-177</v>
      </c>
      <c r="F22539" s="2">
        <v>1357</v>
      </c>
      <c r="G22539" s="2">
        <v>92</v>
      </c>
      <c r="H22539" s="2">
        <v>287</v>
      </c>
      <c r="I22539" s="2">
        <v>1505</v>
      </c>
      <c r="J22539" s="2">
        <v>2365</v>
      </c>
      <c r="K22539" s="2">
        <v>2</v>
      </c>
      <c r="L22539" s="2">
        <v>277</v>
      </c>
    </row>
    <row r="22540" spans="1:12" x14ac:dyDescent="0.25">
      <c r="A22540" s="4" t="str">
        <f>HYPERLINK("http://www.rosaceae.org/Prunus/Prunus_persica/p.persica_gdr_reftransV1_0027397","p.persica_gdr_reftransV1_0027397")</f>
        <v>p.persica_gdr_reftransV1_0027397</v>
      </c>
      <c r="B22540" s="2">
        <v>674</v>
      </c>
      <c r="C22540" s="4" t="str">
        <f>HYPERLINK("http://www.uniprot.org/uniprot/M5WCE4","M5WCE4")</f>
        <v>M5WCE4</v>
      </c>
      <c r="D22540" s="2" t="s">
        <v>2529</v>
      </c>
      <c r="E22540" s="3">
        <v>1.32E-90</v>
      </c>
      <c r="F22540" s="2">
        <v>727</v>
      </c>
      <c r="G22540" s="2">
        <v>100</v>
      </c>
      <c r="H22540" s="2">
        <v>134</v>
      </c>
      <c r="I22540" s="2">
        <v>3</v>
      </c>
      <c r="J22540" s="2">
        <v>404</v>
      </c>
      <c r="K22540" s="2">
        <v>291</v>
      </c>
      <c r="L22540" s="2">
        <v>424</v>
      </c>
    </row>
    <row r="22541" spans="1:12" x14ac:dyDescent="0.25">
      <c r="A22541" s="4" t="str">
        <f>HYPERLINK("http://www.rosaceae.org/Prunus/Prunus_persica/p.persica_gdr_reftransV1_0028097","p.persica_gdr_reftransV1_0028097")</f>
        <v>p.persica_gdr_reftransV1_0028097</v>
      </c>
      <c r="B22541" s="2">
        <v>1662</v>
      </c>
      <c r="C22541" s="4" t="str">
        <f>HYPERLINK("http://www.uniprot.org/uniprot/M5XK68","M5XK68")</f>
        <v>M5XK68</v>
      </c>
      <c r="D22541" s="2" t="s">
        <v>16615</v>
      </c>
      <c r="E22541" s="3">
        <v>0</v>
      </c>
      <c r="F22541" s="2">
        <v>1790</v>
      </c>
      <c r="G22541" s="2">
        <v>100</v>
      </c>
      <c r="H22541" s="2">
        <v>350</v>
      </c>
      <c r="I22541" s="2">
        <v>522</v>
      </c>
      <c r="J22541" s="2">
        <v>1571</v>
      </c>
      <c r="K22541" s="2">
        <v>1</v>
      </c>
      <c r="L22541" s="2">
        <v>350</v>
      </c>
    </row>
    <row r="22542" spans="1:12" x14ac:dyDescent="0.25">
      <c r="A22542" s="4" t="str">
        <f>HYPERLINK("http://www.rosaceae.org/Prunus/Prunus_persica/p.persica_gdr_reftransV1_0029497","p.persica_gdr_reftransV1_0029497")</f>
        <v>p.persica_gdr_reftransV1_0029497</v>
      </c>
      <c r="B22542" s="2">
        <v>2031</v>
      </c>
      <c r="C22542" s="4" t="str">
        <f>HYPERLINK("http://www.uniprot.org/uniprot/M5XD72","M5XD72")</f>
        <v>M5XD72</v>
      </c>
      <c r="D22542" s="2" t="s">
        <v>16616</v>
      </c>
      <c r="E22542" s="3">
        <v>1.98E-105</v>
      </c>
      <c r="F22542" s="2">
        <v>853</v>
      </c>
      <c r="G22542" s="2">
        <v>98</v>
      </c>
      <c r="H22542" s="2">
        <v>160</v>
      </c>
      <c r="I22542" s="2">
        <v>931</v>
      </c>
      <c r="J22542" s="2">
        <v>1410</v>
      </c>
      <c r="K22542" s="2">
        <v>106</v>
      </c>
      <c r="L22542" s="2">
        <v>265</v>
      </c>
    </row>
    <row r="22543" spans="1:12" x14ac:dyDescent="0.25">
      <c r="A22543" s="4" t="str">
        <f>HYPERLINK("http://www.rosaceae.org/Prunus/Prunus_persica/p.persica_gdr_reftransV1_0030547","p.persica_gdr_reftransV1_0030547")</f>
        <v>p.persica_gdr_reftransV1_0030547</v>
      </c>
      <c r="B22543" s="2">
        <v>4246</v>
      </c>
      <c r="C22543" s="4" t="str">
        <f>HYPERLINK("http://www.uniprot.org/uniprot/M5WC49","M5WC49")</f>
        <v>M5WC49</v>
      </c>
      <c r="D22543" s="2" t="s">
        <v>6104</v>
      </c>
      <c r="E22543" s="3">
        <v>2.5999999999999999E-110</v>
      </c>
      <c r="F22543" s="2">
        <v>927</v>
      </c>
      <c r="G22543" s="2">
        <v>99</v>
      </c>
      <c r="H22543" s="2">
        <v>178</v>
      </c>
      <c r="I22543" s="2">
        <v>3119</v>
      </c>
      <c r="J22543" s="2">
        <v>3652</v>
      </c>
      <c r="K22543" s="2">
        <v>119</v>
      </c>
      <c r="L22543" s="2">
        <v>296</v>
      </c>
    </row>
    <row r="22544" spans="1:12" x14ac:dyDescent="0.25">
      <c r="A22544" s="4" t="str">
        <f>HYPERLINK("http://www.rosaceae.org/Prunus/Prunus_persica/p.persica_gdr_reftransV1_0031247","p.persica_gdr_reftransV1_0031247")</f>
        <v>p.persica_gdr_reftransV1_0031247</v>
      </c>
      <c r="B22544" s="2">
        <v>5562</v>
      </c>
      <c r="C22544" s="4" t="str">
        <f>HYPERLINK("http://www.uniprot.org/uniprot/M5WSC8","M5WSC8")</f>
        <v>M5WSC8</v>
      </c>
      <c r="D22544" s="2" t="s">
        <v>13439</v>
      </c>
      <c r="E22544" s="3">
        <v>0</v>
      </c>
      <c r="F22544" s="2">
        <v>3026</v>
      </c>
      <c r="G22544" s="2">
        <v>100</v>
      </c>
      <c r="H22544" s="2">
        <v>555</v>
      </c>
      <c r="I22544" s="2">
        <v>3482</v>
      </c>
      <c r="J22544" s="2">
        <v>5146</v>
      </c>
      <c r="K22544" s="2">
        <v>1</v>
      </c>
      <c r="L22544" s="2">
        <v>555</v>
      </c>
    </row>
    <row r="22545" spans="1:12" x14ac:dyDescent="0.25">
      <c r="A22545" s="4" t="str">
        <f>HYPERLINK("http://www.rosaceae.org/Prunus/Prunus_persica/p.persica_gdr_reftransV1_0031597","p.persica_gdr_reftransV1_0031597")</f>
        <v>p.persica_gdr_reftransV1_0031597</v>
      </c>
      <c r="B22545" s="2">
        <v>1210</v>
      </c>
      <c r="C22545" s="4" t="str">
        <f>HYPERLINK("http://www.uniprot.org/uniprot/M5WKQ1","M5WKQ1")</f>
        <v>M5WKQ1</v>
      </c>
      <c r="D22545" s="2" t="s">
        <v>16617</v>
      </c>
      <c r="E22545" s="3">
        <v>4.9000000000000003E-82</v>
      </c>
      <c r="F22545" s="2">
        <v>664</v>
      </c>
      <c r="G22545" s="2">
        <v>100</v>
      </c>
      <c r="H22545" s="2">
        <v>128</v>
      </c>
      <c r="I22545" s="2">
        <v>246</v>
      </c>
      <c r="J22545" s="2">
        <v>629</v>
      </c>
      <c r="K22545" s="2">
        <v>39</v>
      </c>
      <c r="L22545" s="2">
        <v>166</v>
      </c>
    </row>
    <row r="22546" spans="1:12" x14ac:dyDescent="0.25">
      <c r="A22546" s="4" t="str">
        <f>HYPERLINK("http://www.rosaceae.org/Prunus/Prunus_persica/p.persica_gdr_reftransV1_0032297","p.persica_gdr_reftransV1_0032297")</f>
        <v>p.persica_gdr_reftransV1_0032297</v>
      </c>
      <c r="B22546" s="2">
        <v>2311</v>
      </c>
      <c r="C22546" s="4" t="str">
        <f>HYPERLINK("http://www.uniprot.org/uniprot/M5VPJ8","M5VPJ8")</f>
        <v>M5VPJ8</v>
      </c>
      <c r="D22546" s="2" t="s">
        <v>16618</v>
      </c>
      <c r="E22546" s="3">
        <v>0</v>
      </c>
      <c r="F22546" s="2">
        <v>2300</v>
      </c>
      <c r="G22546" s="2">
        <v>99</v>
      </c>
      <c r="H22546" s="2">
        <v>430</v>
      </c>
      <c r="I22546" s="2">
        <v>297</v>
      </c>
      <c r="J22546" s="2">
        <v>1586</v>
      </c>
      <c r="K22546" s="2">
        <v>1</v>
      </c>
      <c r="L22546" s="2">
        <v>430</v>
      </c>
    </row>
    <row r="22547" spans="1:12" x14ac:dyDescent="0.25">
      <c r="A22547" s="4" t="str">
        <f>HYPERLINK("http://www.rosaceae.org/Prunus/Prunus_persica/p.persica_gdr_reftransV1_0032997","p.persica_gdr_reftransV1_0032997")</f>
        <v>p.persica_gdr_reftransV1_0032997</v>
      </c>
      <c r="B22547" s="2">
        <v>6025</v>
      </c>
      <c r="C22547" s="4" t="str">
        <f>HYPERLINK("http://www.uniprot.org/uniprot/M5X3A7","M5X3A7")</f>
        <v>M5X3A7</v>
      </c>
      <c r="D22547" s="2" t="s">
        <v>16619</v>
      </c>
      <c r="E22547" s="3">
        <v>0</v>
      </c>
      <c r="F22547" s="2">
        <v>9379</v>
      </c>
      <c r="G22547" s="2">
        <v>100</v>
      </c>
      <c r="H22547" s="2">
        <v>1832</v>
      </c>
      <c r="I22547" s="2">
        <v>217</v>
      </c>
      <c r="J22547" s="2">
        <v>5712</v>
      </c>
      <c r="K22547" s="2">
        <v>1</v>
      </c>
      <c r="L22547" s="2">
        <v>1832</v>
      </c>
    </row>
    <row r="22548" spans="1:12" x14ac:dyDescent="0.25">
      <c r="A22548" s="4" t="str">
        <f>HYPERLINK("http://www.rosaceae.org/Prunus/Prunus_persica/p.persica_gdr_reftransV1_0033697","p.persica_gdr_reftransV1_0033697")</f>
        <v>p.persica_gdr_reftransV1_0033697</v>
      </c>
      <c r="B22548" s="2">
        <v>665</v>
      </c>
      <c r="C22548" s="4" t="str">
        <f>HYPERLINK("http://www.uniprot.org/uniprot/M5VZR2","M5VZR2")</f>
        <v>M5VZR2</v>
      </c>
      <c r="D22548" s="2" t="s">
        <v>16620</v>
      </c>
      <c r="E22548" s="3">
        <v>1.42E-62</v>
      </c>
      <c r="F22548" s="2">
        <v>518</v>
      </c>
      <c r="G22548" s="2">
        <v>98</v>
      </c>
      <c r="H22548" s="2">
        <v>114</v>
      </c>
      <c r="I22548" s="2">
        <v>323</v>
      </c>
      <c r="J22548" s="2">
        <v>664</v>
      </c>
      <c r="K22548" s="2">
        <v>1</v>
      </c>
      <c r="L22548" s="2">
        <v>112</v>
      </c>
    </row>
    <row r="22549" spans="1:12" x14ac:dyDescent="0.25">
      <c r="A22549" s="4" t="str">
        <f>HYPERLINK("http://www.rosaceae.org/Prunus/Prunus_persica/p.persica_gdr_reftransV1_0034047","p.persica_gdr_reftransV1_0034047")</f>
        <v>p.persica_gdr_reftransV1_0034047</v>
      </c>
      <c r="B22549" s="2">
        <v>1716</v>
      </c>
      <c r="C22549" s="4" t="str">
        <f>HYPERLINK("http://www.uniprot.org/uniprot/M5X6A5","M5X6A5")</f>
        <v>M5X6A5</v>
      </c>
      <c r="D22549" s="2" t="s">
        <v>16621</v>
      </c>
      <c r="E22549" s="3">
        <v>0</v>
      </c>
      <c r="F22549" s="2">
        <v>2087</v>
      </c>
      <c r="G22549" s="2">
        <v>94</v>
      </c>
      <c r="H22549" s="2">
        <v>468</v>
      </c>
      <c r="I22549" s="2">
        <v>214</v>
      </c>
      <c r="J22549" s="2">
        <v>1617</v>
      </c>
      <c r="K22549" s="2">
        <v>1</v>
      </c>
      <c r="L22549" s="2">
        <v>440</v>
      </c>
    </row>
    <row r="22550" spans="1:12" x14ac:dyDescent="0.25">
      <c r="A22550" s="4" t="str">
        <f>HYPERLINK("http://www.rosaceae.org/Prunus/Prunus_persica/p.persica_gdr_reftransV1_0037547","p.persica_gdr_reftransV1_0037547")</f>
        <v>p.persica_gdr_reftransV1_0037547</v>
      </c>
      <c r="B22550" s="2">
        <v>6439</v>
      </c>
      <c r="C22550" s="4" t="str">
        <f>HYPERLINK("http://www.uniprot.org/uniprot/M5VVC5","M5VVC5")</f>
        <v>M5VVC5</v>
      </c>
      <c r="D22550" s="2" t="s">
        <v>1828</v>
      </c>
      <c r="E22550" s="3">
        <v>0</v>
      </c>
      <c r="F22550" s="2">
        <v>9171</v>
      </c>
      <c r="G22550" s="2">
        <v>100</v>
      </c>
      <c r="H22550" s="2">
        <v>1786</v>
      </c>
      <c r="I22550" s="2">
        <v>2</v>
      </c>
      <c r="J22550" s="2">
        <v>5359</v>
      </c>
      <c r="K22550" s="2">
        <v>2007</v>
      </c>
      <c r="L22550" s="2">
        <v>3792</v>
      </c>
    </row>
    <row r="22551" spans="1:12" x14ac:dyDescent="0.25">
      <c r="A22551" s="4" t="str">
        <f>HYPERLINK("http://www.rosaceae.org/Prunus/Prunus_persica/p.persica_gdr_reftransV1_0038247","p.persica_gdr_reftransV1_0038247")</f>
        <v>p.persica_gdr_reftransV1_0038247</v>
      </c>
      <c r="B22551" s="2">
        <v>1745</v>
      </c>
      <c r="C22551" s="4" t="str">
        <f>HYPERLINK("http://www.uniprot.org/uniprot/M5W1S4","M5W1S4")</f>
        <v>M5W1S4</v>
      </c>
      <c r="D22551" s="2" t="s">
        <v>16622</v>
      </c>
      <c r="E22551" s="3">
        <v>0</v>
      </c>
      <c r="F22551" s="2">
        <v>1463</v>
      </c>
      <c r="G22551" s="2">
        <v>100</v>
      </c>
      <c r="H22551" s="2">
        <v>321</v>
      </c>
      <c r="I22551" s="2">
        <v>169</v>
      </c>
      <c r="J22551" s="2">
        <v>1131</v>
      </c>
      <c r="K22551" s="2">
        <v>1</v>
      </c>
      <c r="L22551" s="2">
        <v>321</v>
      </c>
    </row>
    <row r="22552" spans="1:12" x14ac:dyDescent="0.25">
      <c r="A22552" s="4" t="str">
        <f>HYPERLINK("http://www.rosaceae.org/Prunus/Prunus_persica/p.persica_gdr_reftransV1_0038597","p.persica_gdr_reftransV1_0038597")</f>
        <v>p.persica_gdr_reftransV1_0038597</v>
      </c>
      <c r="B22552" s="2">
        <v>1934</v>
      </c>
      <c r="C22552" s="4" t="str">
        <f>HYPERLINK("http://www.uniprot.org/uniprot/M5WU51","M5WU51")</f>
        <v>M5WU51</v>
      </c>
      <c r="D22552" s="2" t="s">
        <v>16623</v>
      </c>
      <c r="E22552" s="3">
        <v>0</v>
      </c>
      <c r="F22552" s="2">
        <v>2383</v>
      </c>
      <c r="G22552" s="2">
        <v>100</v>
      </c>
      <c r="H22552" s="2">
        <v>457</v>
      </c>
      <c r="I22552" s="2">
        <v>359</v>
      </c>
      <c r="J22552" s="2">
        <v>1729</v>
      </c>
      <c r="K22552" s="2">
        <v>11</v>
      </c>
      <c r="L22552" s="2">
        <v>467</v>
      </c>
    </row>
    <row r="22553" spans="1:12" x14ac:dyDescent="0.25">
      <c r="A22553" s="4" t="str">
        <f>HYPERLINK("http://www.rosaceae.org/Prunus/Prunus_persica/p.persica_gdr_reftransV1_0039997","p.persica_gdr_reftransV1_0039997")</f>
        <v>p.persica_gdr_reftransV1_0039997</v>
      </c>
      <c r="B22553" s="2">
        <v>1219</v>
      </c>
      <c r="C22553" s="4" t="str">
        <f>HYPERLINK("http://www.uniprot.org/uniprot/M5WIK7","M5WIK7")</f>
        <v>M5WIK7</v>
      </c>
      <c r="D22553" s="2" t="s">
        <v>16624</v>
      </c>
      <c r="E22553" s="3">
        <v>6.1199999999999995E-169</v>
      </c>
      <c r="F22553" s="2">
        <v>1248</v>
      </c>
      <c r="G22553" s="2">
        <v>100</v>
      </c>
      <c r="H22553" s="2">
        <v>249</v>
      </c>
      <c r="I22553" s="2">
        <v>156</v>
      </c>
      <c r="J22553" s="2">
        <v>902</v>
      </c>
      <c r="K22553" s="2">
        <v>1</v>
      </c>
      <c r="L22553" s="2">
        <v>249</v>
      </c>
    </row>
    <row r="22554" spans="1:12" x14ac:dyDescent="0.25">
      <c r="A22554" s="4" t="str">
        <f>HYPERLINK("http://www.rosaceae.org/Prunus/Prunus_persica/p.persica_gdr_reftransV1_0041397","p.persica_gdr_reftransV1_0041397")</f>
        <v>p.persica_gdr_reftransV1_0041397</v>
      </c>
      <c r="B22554" s="2">
        <v>2625</v>
      </c>
      <c r="C22554" s="4" t="str">
        <f>HYPERLINK("http://www.uniprot.org/uniprot/M5X4Q1","M5X4Q1")</f>
        <v>M5X4Q1</v>
      </c>
      <c r="D22554" s="2" t="s">
        <v>16625</v>
      </c>
      <c r="E22554" s="3">
        <v>0</v>
      </c>
      <c r="F22554" s="2">
        <v>1361</v>
      </c>
      <c r="G22554" s="2">
        <v>98</v>
      </c>
      <c r="H22554" s="2">
        <v>277</v>
      </c>
      <c r="I22554" s="2">
        <v>960</v>
      </c>
      <c r="J22554" s="2">
        <v>1790</v>
      </c>
      <c r="K22554" s="2">
        <v>156</v>
      </c>
      <c r="L22554" s="2">
        <v>432</v>
      </c>
    </row>
    <row r="22555" spans="1:12" x14ac:dyDescent="0.25">
      <c r="A22555" s="4" t="str">
        <f>HYPERLINK("http://www.rosaceae.org/Prunus/Prunus_persica/p.persica_gdr_reftransV1_0043147","p.persica_gdr_reftransV1_0043147")</f>
        <v>p.persica_gdr_reftransV1_0043147</v>
      </c>
      <c r="B22555" s="2">
        <v>1633</v>
      </c>
      <c r="C22555" s="4" t="str">
        <f>HYPERLINK("http://www.uniprot.org/uniprot/M5WR51","M5WR51")</f>
        <v>M5WR51</v>
      </c>
      <c r="D22555" s="2" t="s">
        <v>133</v>
      </c>
      <c r="E22555" s="3">
        <v>0</v>
      </c>
      <c r="F22555" s="2">
        <v>2194</v>
      </c>
      <c r="G22555" s="2">
        <v>100</v>
      </c>
      <c r="H22555" s="2">
        <v>477</v>
      </c>
      <c r="I22555" s="2">
        <v>54</v>
      </c>
      <c r="J22555" s="2">
        <v>1484</v>
      </c>
      <c r="K22555" s="2">
        <v>478</v>
      </c>
      <c r="L22555" s="2">
        <v>954</v>
      </c>
    </row>
    <row r="22556" spans="1:12" x14ac:dyDescent="0.25">
      <c r="A22556" s="4" t="str">
        <f>HYPERLINK("http://www.rosaceae.org/Prunus/Prunus_persica/p.persica_gdr_reftransV1_0043497","p.persica_gdr_reftransV1_0043497")</f>
        <v>p.persica_gdr_reftransV1_0043497</v>
      </c>
      <c r="B22556" s="2">
        <v>1460</v>
      </c>
      <c r="C22556" s="4" t="str">
        <f>HYPERLINK("http://www.uniprot.org/uniprot/M5WBE0","M5WBE0")</f>
        <v>M5WBE0</v>
      </c>
      <c r="D22556" s="2" t="s">
        <v>16626</v>
      </c>
      <c r="E22556" s="3">
        <v>0</v>
      </c>
      <c r="F22556" s="2">
        <v>1793</v>
      </c>
      <c r="G22556" s="2">
        <v>100</v>
      </c>
      <c r="H22556" s="2">
        <v>371</v>
      </c>
      <c r="I22556" s="2">
        <v>196</v>
      </c>
      <c r="J22556" s="2">
        <v>1308</v>
      </c>
      <c r="K22556" s="2">
        <v>1</v>
      </c>
      <c r="L22556" s="2">
        <v>371</v>
      </c>
    </row>
    <row r="22557" spans="1:12" x14ac:dyDescent="0.25">
      <c r="A22557" s="4" t="str">
        <f>HYPERLINK("http://www.rosaceae.org/Prunus/Prunus_persica/p.persica_gdr_reftransV1_0043847","p.persica_gdr_reftransV1_0043847")</f>
        <v>p.persica_gdr_reftransV1_0043847</v>
      </c>
      <c r="B22557" s="2">
        <v>1093</v>
      </c>
      <c r="C22557" s="4" t="str">
        <f>HYPERLINK("http://www.uniprot.org/uniprot/M5WMV4","M5WMV4")</f>
        <v>M5WMV4</v>
      </c>
      <c r="D22557" s="2" t="s">
        <v>4815</v>
      </c>
      <c r="E22557" s="3">
        <v>9.3399999999999992E-69</v>
      </c>
      <c r="F22557" s="2">
        <v>583</v>
      </c>
      <c r="G22557" s="2">
        <v>99</v>
      </c>
      <c r="H22557" s="2">
        <v>201</v>
      </c>
      <c r="I22557" s="2">
        <v>126</v>
      </c>
      <c r="J22557" s="2">
        <v>728</v>
      </c>
      <c r="K22557" s="2">
        <v>26</v>
      </c>
      <c r="L22557" s="2">
        <v>226</v>
      </c>
    </row>
    <row r="22558" spans="1:12" x14ac:dyDescent="0.25">
      <c r="A22558" s="4" t="str">
        <f>HYPERLINK("http://www.rosaceae.org/Prunus/Prunus_persica/p.persica_gdr_reftransV1_0044547","p.persica_gdr_reftransV1_0044547")</f>
        <v>p.persica_gdr_reftransV1_0044547</v>
      </c>
      <c r="B22558" s="2">
        <v>1884</v>
      </c>
      <c r="C22558" s="4" t="str">
        <f>HYPERLINK("http://www.uniprot.org/uniprot/M5XQF0","M5XQF0")</f>
        <v>M5XQF0</v>
      </c>
      <c r="D22558" s="2" t="s">
        <v>16627</v>
      </c>
      <c r="E22558" s="3">
        <v>0</v>
      </c>
      <c r="F22558" s="2">
        <v>1491</v>
      </c>
      <c r="G22558" s="2">
        <v>100</v>
      </c>
      <c r="H22558" s="2">
        <v>301</v>
      </c>
      <c r="I22558" s="2">
        <v>346</v>
      </c>
      <c r="J22558" s="2">
        <v>1248</v>
      </c>
      <c r="K22558" s="2">
        <v>21</v>
      </c>
      <c r="L22558" s="2">
        <v>321</v>
      </c>
    </row>
    <row r="22559" spans="1:12" x14ac:dyDescent="0.25">
      <c r="A22559" s="4" t="str">
        <f>HYPERLINK("http://www.rosaceae.org/Prunus/Prunus_persica/p.persica_gdr_reftransV1_0045247","p.persica_gdr_reftransV1_0045247")</f>
        <v>p.persica_gdr_reftransV1_0045247</v>
      </c>
      <c r="B22559" s="2">
        <v>1121</v>
      </c>
      <c r="C22559" s="4" t="str">
        <f>HYPERLINK("http://www.uniprot.org/uniprot/M5X2J4","M5X2J4")</f>
        <v>M5X2J4</v>
      </c>
      <c r="D22559" s="2" t="s">
        <v>11679</v>
      </c>
      <c r="E22559" s="3">
        <v>7.3299999999999996E-81</v>
      </c>
      <c r="F22559" s="2">
        <v>657</v>
      </c>
      <c r="G22559" s="2">
        <v>100</v>
      </c>
      <c r="H22559" s="2">
        <v>144</v>
      </c>
      <c r="I22559" s="2">
        <v>374</v>
      </c>
      <c r="J22559" s="2">
        <v>805</v>
      </c>
      <c r="K22559" s="2">
        <v>1</v>
      </c>
      <c r="L22559" s="2">
        <v>144</v>
      </c>
    </row>
    <row r="22560" spans="1:12" x14ac:dyDescent="0.25">
      <c r="A22560" s="4" t="str">
        <f>HYPERLINK("http://www.rosaceae.org/Prunus/Prunus_persica/p.persica_gdr_reftransV1_0045947","p.persica_gdr_reftransV1_0045947")</f>
        <v>p.persica_gdr_reftransV1_0045947</v>
      </c>
      <c r="B22560" s="2">
        <v>1259</v>
      </c>
      <c r="C22560" s="4" t="str">
        <f>HYPERLINK("http://www.uniprot.org/uniprot/M5VPR7","M5VPR7")</f>
        <v>M5VPR7</v>
      </c>
      <c r="D22560" s="2" t="s">
        <v>16628</v>
      </c>
      <c r="E22560" s="3">
        <v>0</v>
      </c>
      <c r="F22560" s="2">
        <v>1838</v>
      </c>
      <c r="G22560" s="2">
        <v>100</v>
      </c>
      <c r="H22560" s="2">
        <v>367</v>
      </c>
      <c r="I22560" s="2">
        <v>47</v>
      </c>
      <c r="J22560" s="2">
        <v>1147</v>
      </c>
      <c r="K22560" s="2">
        <v>1</v>
      </c>
      <c r="L22560" s="2">
        <v>367</v>
      </c>
    </row>
    <row r="22561" spans="1:12" x14ac:dyDescent="0.25">
      <c r="A22561" s="4" t="str">
        <f>HYPERLINK("http://www.rosaceae.org/Prunus/Prunus_persica/p.persica_gdr_reftransV1_0046297","p.persica_gdr_reftransV1_0046297")</f>
        <v>p.persica_gdr_reftransV1_0046297</v>
      </c>
      <c r="B22561" s="2">
        <v>1462</v>
      </c>
      <c r="C22561" s="4" t="str">
        <f>HYPERLINK("http://www.uniprot.org/uniprot/M5VZG7","M5VZG7")</f>
        <v>M5VZG7</v>
      </c>
      <c r="D22561" s="2" t="s">
        <v>840</v>
      </c>
      <c r="E22561" s="3">
        <v>0</v>
      </c>
      <c r="F22561" s="2">
        <v>1622</v>
      </c>
      <c r="G22561" s="2">
        <v>100</v>
      </c>
      <c r="H22561" s="2">
        <v>353</v>
      </c>
      <c r="I22561" s="2">
        <v>403</v>
      </c>
      <c r="J22561" s="2">
        <v>1461</v>
      </c>
      <c r="K22561" s="2">
        <v>255</v>
      </c>
      <c r="L22561" s="2">
        <v>607</v>
      </c>
    </row>
    <row r="22562" spans="1:12" x14ac:dyDescent="0.25">
      <c r="A22562" s="4" t="str">
        <f>HYPERLINK("http://www.rosaceae.org/Prunus/Prunus_persica/p.persica_gdr_reftransV1_0046647","p.persica_gdr_reftransV1_0046647")</f>
        <v>p.persica_gdr_reftransV1_0046647</v>
      </c>
      <c r="B22562" s="2">
        <v>2201</v>
      </c>
      <c r="C22562" s="4" t="str">
        <f>HYPERLINK("http://www.uniprot.org/uniprot/A0A067KND7","A0A067KND7")</f>
        <v>A0A067KND7</v>
      </c>
      <c r="D22562" s="2" t="s">
        <v>16629</v>
      </c>
      <c r="E22562" s="3">
        <v>0</v>
      </c>
      <c r="F22562" s="2">
        <v>1808</v>
      </c>
      <c r="G22562" s="2">
        <v>66</v>
      </c>
      <c r="H22562" s="2">
        <v>543</v>
      </c>
      <c r="I22562" s="2">
        <v>73</v>
      </c>
      <c r="J22562" s="2">
        <v>1698</v>
      </c>
      <c r="K22562" s="2">
        <v>7</v>
      </c>
      <c r="L22562" s="2">
        <v>543</v>
      </c>
    </row>
    <row r="22563" spans="1:12" x14ac:dyDescent="0.25">
      <c r="A22563" s="4" t="str">
        <f>HYPERLINK("http://www.rosaceae.org/Prunus/Prunus_persica/p.persica_gdr_reftransV1_0047697","p.persica_gdr_reftransV1_0047697")</f>
        <v>p.persica_gdr_reftransV1_0047697</v>
      </c>
      <c r="B22563" s="2">
        <v>555</v>
      </c>
      <c r="C22563" s="4" t="str">
        <f>HYPERLINK("http://www.uniprot.org/uniprot/A0A061GRQ9","A0A061GRQ9")</f>
        <v>A0A061GRQ9</v>
      </c>
      <c r="D22563" s="2" t="s">
        <v>16630</v>
      </c>
      <c r="E22563" s="3">
        <v>1.9900000000000001E-53</v>
      </c>
      <c r="F22563" s="2">
        <v>473</v>
      </c>
      <c r="G22563" s="2">
        <v>75</v>
      </c>
      <c r="H22563" s="2">
        <v>138</v>
      </c>
      <c r="I22563" s="2">
        <v>155</v>
      </c>
      <c r="J22563" s="2">
        <v>553</v>
      </c>
      <c r="K22563" s="2">
        <v>2</v>
      </c>
      <c r="L22563" s="2">
        <v>139</v>
      </c>
    </row>
    <row r="22564" spans="1:12" x14ac:dyDescent="0.25">
      <c r="A22564" s="4" t="str">
        <f>HYPERLINK("http://www.rosaceae.org/Prunus/Prunus_persica/p.persica_gdr_reftransV1_0048047","p.persica_gdr_reftransV1_0048047")</f>
        <v>p.persica_gdr_reftransV1_0048047</v>
      </c>
      <c r="B22564" s="2">
        <v>6384</v>
      </c>
      <c r="C22564" s="4" t="str">
        <f>HYPERLINK("http://www.uniprot.org/uniprot/M5VT66","M5VT66")</f>
        <v>M5VT66</v>
      </c>
      <c r="D22564" s="2" t="s">
        <v>14245</v>
      </c>
      <c r="E22564" s="3">
        <v>0</v>
      </c>
      <c r="F22564" s="2">
        <v>9717</v>
      </c>
      <c r="G22564" s="2">
        <v>100</v>
      </c>
      <c r="H22564" s="2">
        <v>1888</v>
      </c>
      <c r="I22564" s="2">
        <v>511</v>
      </c>
      <c r="J22564" s="2">
        <v>6174</v>
      </c>
      <c r="K22564" s="2">
        <v>1</v>
      </c>
      <c r="L22564" s="2">
        <v>1888</v>
      </c>
    </row>
    <row r="22565" spans="1:12" x14ac:dyDescent="0.25">
      <c r="A22565" s="4" t="str">
        <f>HYPERLINK("http://www.rosaceae.org/Prunus/Prunus_persica/p.persica_gdr_reftransV1_0048397","p.persica_gdr_reftransV1_0048397")</f>
        <v>p.persica_gdr_reftransV1_0048397</v>
      </c>
      <c r="B22565" s="2">
        <v>323</v>
      </c>
      <c r="C22565" s="4" t="str">
        <f>HYPERLINK("http://www.uniprot.org/uniprot/M5WU04","M5WU04")</f>
        <v>M5WU04</v>
      </c>
      <c r="D22565" s="2" t="s">
        <v>10649</v>
      </c>
      <c r="E22565" s="3">
        <v>5.4199999999999997E-41</v>
      </c>
      <c r="F22565" s="2">
        <v>380</v>
      </c>
      <c r="G22565" s="2">
        <v>100</v>
      </c>
      <c r="H22565" s="2">
        <v>79</v>
      </c>
      <c r="I22565" s="2">
        <v>2</v>
      </c>
      <c r="J22565" s="2">
        <v>238</v>
      </c>
      <c r="K22565" s="2">
        <v>336</v>
      </c>
      <c r="L22565" s="2">
        <v>414</v>
      </c>
    </row>
    <row r="22566" spans="1:12" x14ac:dyDescent="0.25">
      <c r="A22566" s="4" t="str">
        <f>HYPERLINK("http://www.rosaceae.org/Prunus/Prunus_persica/p.persica_gdr_reftransV1_0049097","p.persica_gdr_reftransV1_0049097")</f>
        <v>p.persica_gdr_reftransV1_0049097</v>
      </c>
      <c r="B22566" s="2">
        <v>1196</v>
      </c>
      <c r="C22566" s="4" t="str">
        <f>HYPERLINK("http://www.uniprot.org/uniprot/M5XEJ2","M5XEJ2")</f>
        <v>M5XEJ2</v>
      </c>
      <c r="D22566" s="2" t="s">
        <v>16631</v>
      </c>
      <c r="E22566" s="3">
        <v>0</v>
      </c>
      <c r="F22566" s="2">
        <v>1637</v>
      </c>
      <c r="G22566" s="2">
        <v>100</v>
      </c>
      <c r="H22566" s="2">
        <v>309</v>
      </c>
      <c r="I22566" s="2">
        <v>268</v>
      </c>
      <c r="J22566" s="2">
        <v>1194</v>
      </c>
      <c r="K22566" s="2">
        <v>15</v>
      </c>
      <c r="L22566" s="2">
        <v>323</v>
      </c>
    </row>
    <row r="22567" spans="1:12" x14ac:dyDescent="0.25">
      <c r="A22567" s="4" t="str">
        <f>HYPERLINK("http://www.rosaceae.org/Prunus/Prunus_persica/p.persica_gdr_reftransV1_0000448","p.persica_gdr_reftransV1_0000448")</f>
        <v>p.persica_gdr_reftransV1_0000448</v>
      </c>
      <c r="B22567" s="2">
        <v>563</v>
      </c>
      <c r="C22567" s="4" t="str">
        <f>HYPERLINK("http://www.uniprot.org/uniprot/M5WS45","M5WS45")</f>
        <v>M5WS45</v>
      </c>
      <c r="D22567" s="2" t="s">
        <v>92</v>
      </c>
      <c r="E22567" s="3">
        <v>1.9399999999999999E-88</v>
      </c>
      <c r="F22567" s="2">
        <v>709</v>
      </c>
      <c r="G22567" s="2">
        <v>100</v>
      </c>
      <c r="H22567" s="2">
        <v>134</v>
      </c>
      <c r="I22567" s="2">
        <v>97</v>
      </c>
      <c r="J22567" s="2">
        <v>498</v>
      </c>
      <c r="K22567" s="2">
        <v>119</v>
      </c>
      <c r="L22567" s="2">
        <v>252</v>
      </c>
    </row>
    <row r="22568" spans="1:12" x14ac:dyDescent="0.25">
      <c r="A22568" s="4" t="str">
        <f>HYPERLINK("http://www.rosaceae.org/Prunus/Prunus_persica/p.persica_gdr_reftransV1_0000798","p.persica_gdr_reftransV1_0000798")</f>
        <v>p.persica_gdr_reftransV1_0000798</v>
      </c>
      <c r="B22568" s="2">
        <v>363</v>
      </c>
      <c r="C22568" s="4" t="str">
        <f>HYPERLINK("http://www.uniprot.org/uniprot/M5VK58","M5VK58")</f>
        <v>M5VK58</v>
      </c>
      <c r="D22568" s="2" t="s">
        <v>5353</v>
      </c>
      <c r="E22568" s="3">
        <v>4.6000000000000003E-64</v>
      </c>
      <c r="F22568" s="2">
        <v>538</v>
      </c>
      <c r="G22568" s="2">
        <v>100</v>
      </c>
      <c r="H22568" s="2">
        <v>121</v>
      </c>
      <c r="I22568" s="2">
        <v>1</v>
      </c>
      <c r="J22568" s="2">
        <v>363</v>
      </c>
      <c r="K22568" s="2">
        <v>26</v>
      </c>
      <c r="L22568" s="2">
        <v>146</v>
      </c>
    </row>
    <row r="22569" spans="1:12" x14ac:dyDescent="0.25">
      <c r="A22569" s="4" t="str">
        <f>HYPERLINK("http://www.rosaceae.org/Prunus/Prunus_persica/p.persica_gdr_reftransV1_0001498","p.persica_gdr_reftransV1_0001498")</f>
        <v>p.persica_gdr_reftransV1_0001498</v>
      </c>
      <c r="B22569" s="2">
        <v>2201</v>
      </c>
      <c r="C22569" s="4" t="str">
        <f>HYPERLINK("http://www.uniprot.org/uniprot/M5VPX3","M5VPX3")</f>
        <v>M5VPX3</v>
      </c>
      <c r="D22569" s="2" t="s">
        <v>16632</v>
      </c>
      <c r="E22569" s="3">
        <v>0</v>
      </c>
      <c r="F22569" s="2">
        <v>2059</v>
      </c>
      <c r="G22569" s="2">
        <v>100</v>
      </c>
      <c r="H22569" s="2">
        <v>506</v>
      </c>
      <c r="I22569" s="2">
        <v>431</v>
      </c>
      <c r="J22569" s="2">
        <v>1948</v>
      </c>
      <c r="K22569" s="2">
        <v>1</v>
      </c>
      <c r="L22569" s="2">
        <v>506</v>
      </c>
    </row>
    <row r="22570" spans="1:12" x14ac:dyDescent="0.25">
      <c r="A22570" s="4" t="str">
        <f>HYPERLINK("http://www.rosaceae.org/Prunus/Prunus_persica/p.persica_gdr_reftransV1_0001848","p.persica_gdr_reftransV1_0001848")</f>
        <v>p.persica_gdr_reftransV1_0001848</v>
      </c>
      <c r="B22570" s="2">
        <v>2123</v>
      </c>
      <c r="C22570" s="4" t="str">
        <f>HYPERLINK("http://www.uniprot.org/uniprot/M5XDC2","M5XDC2")</f>
        <v>M5XDC2</v>
      </c>
      <c r="D22570" s="2" t="s">
        <v>11476</v>
      </c>
      <c r="E22570" s="3">
        <v>0</v>
      </c>
      <c r="F22570" s="2">
        <v>1449</v>
      </c>
      <c r="G22570" s="2">
        <v>99</v>
      </c>
      <c r="H22570" s="2">
        <v>272</v>
      </c>
      <c r="I22570" s="2">
        <v>172</v>
      </c>
      <c r="J22570" s="2">
        <v>987</v>
      </c>
      <c r="K22570" s="2">
        <v>287</v>
      </c>
      <c r="L22570" s="2">
        <v>558</v>
      </c>
    </row>
    <row r="22571" spans="1:12" x14ac:dyDescent="0.25">
      <c r="A22571" s="4" t="str">
        <f>HYPERLINK("http://www.rosaceae.org/Prunus/Prunus_persica/p.persica_gdr_reftransV1_0002548","p.persica_gdr_reftransV1_0002548")</f>
        <v>p.persica_gdr_reftransV1_0002548</v>
      </c>
      <c r="B22571" s="2">
        <v>1031</v>
      </c>
      <c r="C22571" s="4" t="str">
        <f>HYPERLINK("http://www.uniprot.org/uniprot/M5X293","M5X293")</f>
        <v>M5X293</v>
      </c>
      <c r="D22571" s="2" t="s">
        <v>6888</v>
      </c>
      <c r="E22571" s="3">
        <v>8.2599999999999995E-148</v>
      </c>
      <c r="F22571" s="2">
        <v>1100</v>
      </c>
      <c r="G22571" s="2">
        <v>100</v>
      </c>
      <c r="H22571" s="2">
        <v>229</v>
      </c>
      <c r="I22571" s="2">
        <v>292</v>
      </c>
      <c r="J22571" s="2">
        <v>978</v>
      </c>
      <c r="K22571" s="2">
        <v>1</v>
      </c>
      <c r="L22571" s="2">
        <v>229</v>
      </c>
    </row>
    <row r="22572" spans="1:12" x14ac:dyDescent="0.25">
      <c r="A22572" s="4" t="str">
        <f>HYPERLINK("http://www.rosaceae.org/Prunus/Prunus_persica/p.persica_gdr_reftransV1_0003248","p.persica_gdr_reftransV1_0003248")</f>
        <v>p.persica_gdr_reftransV1_0003248</v>
      </c>
      <c r="B22572" s="2">
        <v>576</v>
      </c>
      <c r="C22572" s="4" t="str">
        <f>HYPERLINK("http://www.uniprot.org/uniprot/M5WDQ0","M5WDQ0")</f>
        <v>M5WDQ0</v>
      </c>
      <c r="D22572" s="2" t="s">
        <v>4175</v>
      </c>
      <c r="E22572" s="3">
        <v>3.5300000000000003E-110</v>
      </c>
      <c r="F22572" s="2">
        <v>880</v>
      </c>
      <c r="G22572" s="2">
        <v>100</v>
      </c>
      <c r="H22572" s="2">
        <v>167</v>
      </c>
      <c r="I22572" s="2">
        <v>3</v>
      </c>
      <c r="J22572" s="2">
        <v>503</v>
      </c>
      <c r="K22572" s="2">
        <v>1</v>
      </c>
      <c r="L22572" s="2">
        <v>167</v>
      </c>
    </row>
    <row r="22573" spans="1:12" x14ac:dyDescent="0.25">
      <c r="A22573" s="4" t="str">
        <f>HYPERLINK("http://www.rosaceae.org/Prunus/Prunus_persica/p.persica_gdr_reftransV1_0003598","p.persica_gdr_reftransV1_0003598")</f>
        <v>p.persica_gdr_reftransV1_0003598</v>
      </c>
      <c r="B22573" s="2">
        <v>442</v>
      </c>
      <c r="C22573" s="4" t="str">
        <f>HYPERLINK("http://www.uniprot.org/uniprot/M5WYZ8","M5WYZ8")</f>
        <v>M5WYZ8</v>
      </c>
      <c r="D22573" s="2" t="s">
        <v>14330</v>
      </c>
      <c r="E22573" s="3">
        <v>6.0799999999999997E-90</v>
      </c>
      <c r="F22573" s="2">
        <v>755</v>
      </c>
      <c r="G22573" s="2">
        <v>100</v>
      </c>
      <c r="H22573" s="2">
        <v>146</v>
      </c>
      <c r="I22573" s="2">
        <v>3</v>
      </c>
      <c r="J22573" s="2">
        <v>440</v>
      </c>
      <c r="K22573" s="2">
        <v>1</v>
      </c>
      <c r="L22573" s="2">
        <v>146</v>
      </c>
    </row>
    <row r="22574" spans="1:12" x14ac:dyDescent="0.25">
      <c r="A22574" s="4" t="str">
        <f>HYPERLINK("http://www.rosaceae.org/Prunus/Prunus_persica/p.persica_gdr_reftransV1_0003948","p.persica_gdr_reftransV1_0003948")</f>
        <v>p.persica_gdr_reftransV1_0003948</v>
      </c>
      <c r="B22574" s="2">
        <v>423</v>
      </c>
      <c r="C22574" s="4" t="str">
        <f>HYPERLINK("http://www.uniprot.org/uniprot/M5VHR3","M5VHR3")</f>
        <v>M5VHR3</v>
      </c>
      <c r="D22574" s="2" t="s">
        <v>1661</v>
      </c>
      <c r="E22574" s="3">
        <v>3.1299999999999998E-94</v>
      </c>
      <c r="F22574" s="2">
        <v>784</v>
      </c>
      <c r="G22574" s="2">
        <v>100</v>
      </c>
      <c r="H22574" s="2">
        <v>140</v>
      </c>
      <c r="I22574" s="2">
        <v>3</v>
      </c>
      <c r="J22574" s="2">
        <v>422</v>
      </c>
      <c r="K22574" s="2">
        <v>1012</v>
      </c>
      <c r="L22574" s="2">
        <v>1151</v>
      </c>
    </row>
    <row r="22575" spans="1:12" x14ac:dyDescent="0.25">
      <c r="A22575" s="4" t="str">
        <f>HYPERLINK("http://www.rosaceae.org/Prunus/Prunus_persica/p.persica_gdr_reftransV1_0004648","p.persica_gdr_reftransV1_0004648")</f>
        <v>p.persica_gdr_reftransV1_0004648</v>
      </c>
      <c r="B22575" s="2">
        <v>2410</v>
      </c>
      <c r="C22575" s="4" t="str">
        <f>HYPERLINK("http://www.uniprot.org/uniprot/M5XK78","M5XK78")</f>
        <v>M5XK78</v>
      </c>
      <c r="D22575" s="2" t="s">
        <v>16633</v>
      </c>
      <c r="E22575" s="3">
        <v>1.56E-113</v>
      </c>
      <c r="F22575" s="2">
        <v>925</v>
      </c>
      <c r="G22575" s="2">
        <v>94</v>
      </c>
      <c r="H22575" s="2">
        <v>200</v>
      </c>
      <c r="I22575" s="2">
        <v>1234</v>
      </c>
      <c r="J22575" s="2">
        <v>1815</v>
      </c>
      <c r="K22575" s="2">
        <v>1</v>
      </c>
      <c r="L22575" s="2">
        <v>200</v>
      </c>
    </row>
    <row r="22576" spans="1:12" x14ac:dyDescent="0.25">
      <c r="A22576" s="4" t="str">
        <f>HYPERLINK("http://www.rosaceae.org/Prunus/Prunus_persica/p.persica_gdr_reftransV1_0004998","p.persica_gdr_reftransV1_0004998")</f>
        <v>p.persica_gdr_reftransV1_0004998</v>
      </c>
      <c r="B22576" s="2">
        <v>1805</v>
      </c>
      <c r="C22576" s="4" t="str">
        <f>HYPERLINK("http://www.uniprot.org/uniprot/M5VYS4","M5VYS4")</f>
        <v>M5VYS4</v>
      </c>
      <c r="D22576" s="2" t="s">
        <v>12910</v>
      </c>
      <c r="E22576" s="3">
        <v>0</v>
      </c>
      <c r="F22576" s="2">
        <v>2093</v>
      </c>
      <c r="G22576" s="2">
        <v>80</v>
      </c>
      <c r="H22576" s="2">
        <v>502</v>
      </c>
      <c r="I22576" s="2">
        <v>228</v>
      </c>
      <c r="J22576" s="2">
        <v>1718</v>
      </c>
      <c r="K22576" s="2">
        <v>1</v>
      </c>
      <c r="L22576" s="2">
        <v>502</v>
      </c>
    </row>
    <row r="22577" spans="1:12" x14ac:dyDescent="0.25">
      <c r="A22577" s="4" t="str">
        <f>HYPERLINK("http://www.rosaceae.org/Prunus/Prunus_persica/p.persica_gdr_reftransV1_0005698","p.persica_gdr_reftransV1_0005698")</f>
        <v>p.persica_gdr_reftransV1_0005698</v>
      </c>
      <c r="B22577" s="2">
        <v>429</v>
      </c>
      <c r="C22577" s="4" t="str">
        <f>HYPERLINK("http://www.uniprot.org/uniprot/M5WEP4","M5WEP4")</f>
        <v>M5WEP4</v>
      </c>
      <c r="D22577" s="2" t="s">
        <v>1648</v>
      </c>
      <c r="E22577" s="3">
        <v>2.8300000000000001E-40</v>
      </c>
      <c r="F22577" s="2">
        <v>374</v>
      </c>
      <c r="G22577" s="2">
        <v>100</v>
      </c>
      <c r="H22577" s="2">
        <v>86</v>
      </c>
      <c r="I22577" s="2">
        <v>56</v>
      </c>
      <c r="J22577" s="2">
        <v>313</v>
      </c>
      <c r="K22577" s="2">
        <v>1</v>
      </c>
      <c r="L22577" s="2">
        <v>86</v>
      </c>
    </row>
    <row r="22578" spans="1:12" x14ac:dyDescent="0.25">
      <c r="A22578" s="4" t="str">
        <f>HYPERLINK("http://www.rosaceae.org/Prunus/Prunus_persica/p.persica_gdr_reftransV1_0006048","p.persica_gdr_reftransV1_0006048")</f>
        <v>p.persica_gdr_reftransV1_0006048</v>
      </c>
      <c r="B22578" s="2">
        <v>1105</v>
      </c>
      <c r="C22578" s="4" t="str">
        <f>HYPERLINK("http://www.uniprot.org/uniprot/M5W2G5","M5W2G5")</f>
        <v>M5W2G5</v>
      </c>
      <c r="D22578" s="2" t="s">
        <v>16634</v>
      </c>
      <c r="E22578" s="3">
        <v>1.5999999999999999E-75</v>
      </c>
      <c r="F22578" s="2">
        <v>613</v>
      </c>
      <c r="G22578" s="2">
        <v>100</v>
      </c>
      <c r="H22578" s="2">
        <v>115</v>
      </c>
      <c r="I22578" s="2">
        <v>695</v>
      </c>
      <c r="J22578" s="2">
        <v>1039</v>
      </c>
      <c r="K22578" s="2">
        <v>1</v>
      </c>
      <c r="L22578" s="2">
        <v>115</v>
      </c>
    </row>
    <row r="22579" spans="1:12" x14ac:dyDescent="0.25">
      <c r="A22579" s="4" t="str">
        <f>HYPERLINK("http://www.rosaceae.org/Prunus/Prunus_persica/p.persica_gdr_reftransV1_0006748","p.persica_gdr_reftransV1_0006748")</f>
        <v>p.persica_gdr_reftransV1_0006748</v>
      </c>
      <c r="B22579" s="2">
        <v>1326</v>
      </c>
      <c r="C22579" s="4" t="str">
        <f>HYPERLINK("http://www.uniprot.org/uniprot/D7T9N0","D7T9N0")</f>
        <v>D7T9N0</v>
      </c>
      <c r="D22579" s="2" t="s">
        <v>16635</v>
      </c>
      <c r="E22579" s="3">
        <v>2.5999999999999999E-166</v>
      </c>
      <c r="F22579" s="2">
        <v>1239</v>
      </c>
      <c r="G22579" s="2">
        <v>77</v>
      </c>
      <c r="H22579" s="2">
        <v>313</v>
      </c>
      <c r="I22579" s="2">
        <v>5</v>
      </c>
      <c r="J22579" s="2">
        <v>943</v>
      </c>
      <c r="K22579" s="2">
        <v>2</v>
      </c>
      <c r="L22579" s="2">
        <v>290</v>
      </c>
    </row>
    <row r="22580" spans="1:12" x14ac:dyDescent="0.25">
      <c r="A22580" s="4" t="str">
        <f>HYPERLINK("http://www.rosaceae.org/Prunus/Prunus_persica/p.persica_gdr_reftransV1_0007448","p.persica_gdr_reftransV1_0007448")</f>
        <v>p.persica_gdr_reftransV1_0007448</v>
      </c>
      <c r="B22580" s="2">
        <v>419</v>
      </c>
      <c r="C22580" s="4" t="str">
        <f>HYPERLINK("http://www.uniprot.org/uniprot/M5W869","M5W869")</f>
        <v>M5W869</v>
      </c>
      <c r="D22580" s="2" t="s">
        <v>12668</v>
      </c>
      <c r="E22580" s="3">
        <v>5.9599999999999998E-42</v>
      </c>
      <c r="F22580" s="2">
        <v>394</v>
      </c>
      <c r="G22580" s="2">
        <v>99</v>
      </c>
      <c r="H22580" s="2">
        <v>104</v>
      </c>
      <c r="I22580" s="2">
        <v>1</v>
      </c>
      <c r="J22580" s="2">
        <v>312</v>
      </c>
      <c r="K22580" s="2">
        <v>1</v>
      </c>
      <c r="L22580" s="2">
        <v>104</v>
      </c>
    </row>
    <row r="22581" spans="1:12" x14ac:dyDescent="0.25">
      <c r="A22581" s="4" t="str">
        <f>HYPERLINK("http://www.rosaceae.org/Prunus/Prunus_persica/p.persica_gdr_reftransV1_0007798","p.persica_gdr_reftransV1_0007798")</f>
        <v>p.persica_gdr_reftransV1_0007798</v>
      </c>
      <c r="B22581" s="2">
        <v>1705</v>
      </c>
      <c r="C22581" s="4" t="str">
        <f>HYPERLINK("http://www.uniprot.org/uniprot/M5XCL0","M5XCL0")</f>
        <v>M5XCL0</v>
      </c>
      <c r="D22581" s="2" t="s">
        <v>16636</v>
      </c>
      <c r="E22581" s="3">
        <v>0</v>
      </c>
      <c r="F22581" s="2">
        <v>2239</v>
      </c>
      <c r="G22581" s="2">
        <v>100</v>
      </c>
      <c r="H22581" s="2">
        <v>425</v>
      </c>
      <c r="I22581" s="2">
        <v>322</v>
      </c>
      <c r="J22581" s="2">
        <v>1596</v>
      </c>
      <c r="K22581" s="2">
        <v>1</v>
      </c>
      <c r="L22581" s="2">
        <v>425</v>
      </c>
    </row>
    <row r="22582" spans="1:12" x14ac:dyDescent="0.25">
      <c r="A22582" s="4" t="str">
        <f>HYPERLINK("http://www.rosaceae.org/Prunus/Prunus_persica/p.persica_gdr_reftransV1_0008148","p.persica_gdr_reftransV1_0008148")</f>
        <v>p.persica_gdr_reftransV1_0008148</v>
      </c>
      <c r="B22582" s="2">
        <v>913</v>
      </c>
      <c r="C22582" s="4" t="str">
        <f>HYPERLINK("http://www.uniprot.org/uniprot/M5Y571","M5Y571")</f>
        <v>M5Y571</v>
      </c>
      <c r="D22582" s="2" t="s">
        <v>16637</v>
      </c>
      <c r="E22582" s="3">
        <v>6.7599999999999995E-48</v>
      </c>
      <c r="F22582" s="2">
        <v>424</v>
      </c>
      <c r="G22582" s="2">
        <v>100</v>
      </c>
      <c r="H22582" s="2">
        <v>118</v>
      </c>
      <c r="I22582" s="2">
        <v>137</v>
      </c>
      <c r="J22582" s="2">
        <v>490</v>
      </c>
      <c r="K22582" s="2">
        <v>1</v>
      </c>
      <c r="L22582" s="2">
        <v>118</v>
      </c>
    </row>
    <row r="22583" spans="1:12" x14ac:dyDescent="0.25">
      <c r="A22583" s="4" t="str">
        <f>HYPERLINK("http://www.rosaceae.org/Prunus/Prunus_persica/p.persica_gdr_reftransV1_0008498","p.persica_gdr_reftransV1_0008498")</f>
        <v>p.persica_gdr_reftransV1_0008498</v>
      </c>
      <c r="B22583" s="2">
        <v>1510</v>
      </c>
      <c r="C22583" s="4" t="str">
        <f>HYPERLINK("http://www.uniprot.org/uniprot/M5W0H7","M5W0H7")</f>
        <v>M5W0H7</v>
      </c>
      <c r="D22583" s="2" t="s">
        <v>16638</v>
      </c>
      <c r="E22583" s="3">
        <v>1.11E-168</v>
      </c>
      <c r="F22583" s="2">
        <v>1261</v>
      </c>
      <c r="G22583" s="2">
        <v>83</v>
      </c>
      <c r="H22583" s="2">
        <v>338</v>
      </c>
      <c r="I22583" s="2">
        <v>300</v>
      </c>
      <c r="J22583" s="2">
        <v>1313</v>
      </c>
      <c r="K22583" s="2">
        <v>1</v>
      </c>
      <c r="L22583" s="2">
        <v>290</v>
      </c>
    </row>
    <row r="22584" spans="1:12" x14ac:dyDescent="0.25">
      <c r="A22584" s="4" t="str">
        <f>HYPERLINK("http://www.rosaceae.org/Prunus/Prunus_persica/p.persica_gdr_reftransV1_0008848","p.persica_gdr_reftransV1_0008848")</f>
        <v>p.persica_gdr_reftransV1_0008848</v>
      </c>
      <c r="B22584" s="2">
        <v>4072</v>
      </c>
      <c r="C22584" s="4" t="str">
        <f>HYPERLINK("http://www.uniprot.org/uniprot/M5WH98","M5WH98")</f>
        <v>M5WH98</v>
      </c>
      <c r="D22584" s="2" t="s">
        <v>16639</v>
      </c>
      <c r="E22584" s="3">
        <v>0</v>
      </c>
      <c r="F22584" s="2">
        <v>5276</v>
      </c>
      <c r="G22584" s="2">
        <v>100</v>
      </c>
      <c r="H22584" s="2">
        <v>1098</v>
      </c>
      <c r="I22584" s="2">
        <v>162</v>
      </c>
      <c r="J22584" s="2">
        <v>3455</v>
      </c>
      <c r="K22584" s="2">
        <v>1</v>
      </c>
      <c r="L22584" s="2">
        <v>1098</v>
      </c>
    </row>
    <row r="22585" spans="1:12" x14ac:dyDescent="0.25">
      <c r="A22585" s="4" t="str">
        <f>HYPERLINK("http://www.rosaceae.org/Prunus/Prunus_persica/p.persica_gdr_reftransV1_0009198","p.persica_gdr_reftransV1_0009198")</f>
        <v>p.persica_gdr_reftransV1_0009198</v>
      </c>
      <c r="B22585" s="2">
        <v>1853</v>
      </c>
      <c r="C22585" s="4" t="str">
        <f>HYPERLINK("http://www.uniprot.org/uniprot/M5XFC5","M5XFC5")</f>
        <v>M5XFC5</v>
      </c>
      <c r="D22585" s="2" t="s">
        <v>16640</v>
      </c>
      <c r="E22585" s="3">
        <v>4.4399999999999997E-111</v>
      </c>
      <c r="F22585" s="2">
        <v>876</v>
      </c>
      <c r="G22585" s="2">
        <v>100</v>
      </c>
      <c r="H22585" s="2">
        <v>162</v>
      </c>
      <c r="I22585" s="2">
        <v>1134</v>
      </c>
      <c r="J22585" s="2">
        <v>1619</v>
      </c>
      <c r="K22585" s="2">
        <v>1</v>
      </c>
      <c r="L22585" s="2">
        <v>162</v>
      </c>
    </row>
    <row r="22586" spans="1:12" x14ac:dyDescent="0.25">
      <c r="A22586" s="4" t="str">
        <f>HYPERLINK("http://www.rosaceae.org/Prunus/Prunus_persica/p.persica_gdr_reftransV1_0010248","p.persica_gdr_reftransV1_0010248")</f>
        <v>p.persica_gdr_reftransV1_0010248</v>
      </c>
      <c r="B22586" s="2">
        <v>1661</v>
      </c>
      <c r="C22586" s="4" t="str">
        <f>HYPERLINK("http://www.uniprot.org/uniprot/M5VWV5","M5VWV5")</f>
        <v>M5VWV5</v>
      </c>
      <c r="D22586" s="2" t="s">
        <v>16641</v>
      </c>
      <c r="E22586" s="3">
        <v>2.2300000000000001E-125</v>
      </c>
      <c r="F22586" s="2">
        <v>834</v>
      </c>
      <c r="G22586" s="2">
        <v>100</v>
      </c>
      <c r="H22586" s="2">
        <v>163</v>
      </c>
      <c r="I22586" s="2">
        <v>883</v>
      </c>
      <c r="J22586" s="2">
        <v>1371</v>
      </c>
      <c r="K22586" s="2">
        <v>125</v>
      </c>
      <c r="L22586" s="2">
        <v>287</v>
      </c>
    </row>
    <row r="22587" spans="1:12" x14ac:dyDescent="0.25">
      <c r="A22587" s="4" t="str">
        <f>HYPERLINK("http://www.rosaceae.org/Prunus/Prunus_persica/p.persica_gdr_reftransV1_0011648","p.persica_gdr_reftransV1_0011648")</f>
        <v>p.persica_gdr_reftransV1_0011648</v>
      </c>
      <c r="B22587" s="2">
        <v>2534</v>
      </c>
      <c r="C22587" s="4" t="str">
        <f>HYPERLINK("http://www.uniprot.org/uniprot/M5XMW2","M5XMW2")</f>
        <v>M5XMW2</v>
      </c>
      <c r="D22587" s="2" t="s">
        <v>16642</v>
      </c>
      <c r="E22587" s="3">
        <v>0</v>
      </c>
      <c r="F22587" s="2">
        <v>2832</v>
      </c>
      <c r="G22587" s="2">
        <v>100</v>
      </c>
      <c r="H22587" s="2">
        <v>579</v>
      </c>
      <c r="I22587" s="2">
        <v>412</v>
      </c>
      <c r="J22587" s="2">
        <v>2148</v>
      </c>
      <c r="K22587" s="2">
        <v>1</v>
      </c>
      <c r="L22587" s="2">
        <v>579</v>
      </c>
    </row>
    <row r="22588" spans="1:12" x14ac:dyDescent="0.25">
      <c r="A22588" s="4" t="str">
        <f>HYPERLINK("http://www.rosaceae.org/Prunus/Prunus_persica/p.persica_gdr_reftransV1_0011998","p.persica_gdr_reftransV1_0011998")</f>
        <v>p.persica_gdr_reftransV1_0011998</v>
      </c>
      <c r="B22588" s="2">
        <v>1713</v>
      </c>
      <c r="C22588" s="4" t="str">
        <f>HYPERLINK("http://www.uniprot.org/uniprot/M5WY19","M5WY19")</f>
        <v>M5WY19</v>
      </c>
      <c r="D22588" s="2" t="s">
        <v>1368</v>
      </c>
      <c r="E22588" s="3">
        <v>0</v>
      </c>
      <c r="F22588" s="2">
        <v>1690</v>
      </c>
      <c r="G22588" s="2">
        <v>100</v>
      </c>
      <c r="H22588" s="2">
        <v>338</v>
      </c>
      <c r="I22588" s="2">
        <v>3</v>
      </c>
      <c r="J22588" s="2">
        <v>1016</v>
      </c>
      <c r="K22588" s="2">
        <v>128</v>
      </c>
      <c r="L22588" s="2">
        <v>465</v>
      </c>
    </row>
    <row r="22589" spans="1:12" x14ac:dyDescent="0.25">
      <c r="A22589" s="4" t="str">
        <f>HYPERLINK("http://www.rosaceae.org/Prunus/Prunus_persica/p.persica_gdr_reftransV1_0012348","p.persica_gdr_reftransV1_0012348")</f>
        <v>p.persica_gdr_reftransV1_0012348</v>
      </c>
      <c r="B22589" s="2">
        <v>1015</v>
      </c>
      <c r="C22589" s="4" t="str">
        <f>HYPERLINK("http://www.uniprot.org/uniprot/M5X465","M5X465")</f>
        <v>M5X465</v>
      </c>
      <c r="D22589" s="2" t="s">
        <v>16643</v>
      </c>
      <c r="E22589" s="3">
        <v>2.33E-99</v>
      </c>
      <c r="F22589" s="2">
        <v>772</v>
      </c>
      <c r="G22589" s="2">
        <v>100</v>
      </c>
      <c r="H22589" s="2">
        <v>147</v>
      </c>
      <c r="I22589" s="2">
        <v>481</v>
      </c>
      <c r="J22589" s="2">
        <v>921</v>
      </c>
      <c r="K22589" s="2">
        <v>1</v>
      </c>
      <c r="L22589" s="2">
        <v>147</v>
      </c>
    </row>
    <row r="22590" spans="1:12" x14ac:dyDescent="0.25">
      <c r="A22590" s="4" t="str">
        <f>HYPERLINK("http://www.rosaceae.org/Prunus/Prunus_persica/p.persica_gdr_reftransV1_0013048","p.persica_gdr_reftransV1_0013048")</f>
        <v>p.persica_gdr_reftransV1_0013048</v>
      </c>
      <c r="B22590" s="2">
        <v>1868</v>
      </c>
      <c r="C22590" s="4" t="str">
        <f>HYPERLINK("http://www.uniprot.org/uniprot/M5WW25","M5WW25")</f>
        <v>M5WW25</v>
      </c>
      <c r="D22590" s="2" t="s">
        <v>170</v>
      </c>
      <c r="E22590" s="3">
        <v>0</v>
      </c>
      <c r="F22590" s="2">
        <v>2112</v>
      </c>
      <c r="G22590" s="2">
        <v>100</v>
      </c>
      <c r="H22590" s="2">
        <v>424</v>
      </c>
      <c r="I22590" s="2">
        <v>595</v>
      </c>
      <c r="J22590" s="2">
        <v>1866</v>
      </c>
      <c r="K22590" s="2">
        <v>219</v>
      </c>
      <c r="L22590" s="2">
        <v>642</v>
      </c>
    </row>
    <row r="22591" spans="1:12" x14ac:dyDescent="0.25">
      <c r="A22591" s="4" t="str">
        <f>HYPERLINK("http://www.rosaceae.org/Prunus/Prunus_persica/p.persica_gdr_reftransV1_0013398","p.persica_gdr_reftransV1_0013398")</f>
        <v>p.persica_gdr_reftransV1_0013398</v>
      </c>
      <c r="B22591" s="2">
        <v>879</v>
      </c>
      <c r="C22591" s="4" t="str">
        <f>HYPERLINK("http://www.uniprot.org/uniprot/M5XGV0","M5XGV0")</f>
        <v>M5XGV0</v>
      </c>
      <c r="D22591" s="2" t="s">
        <v>16644</v>
      </c>
      <c r="E22591" s="3">
        <v>2.7900000000000001E-77</v>
      </c>
      <c r="F22591" s="2">
        <v>618</v>
      </c>
      <c r="G22591" s="2">
        <v>100</v>
      </c>
      <c r="H22591" s="2">
        <v>114</v>
      </c>
      <c r="I22591" s="2">
        <v>430</v>
      </c>
      <c r="J22591" s="2">
        <v>771</v>
      </c>
      <c r="K22591" s="2">
        <v>1</v>
      </c>
      <c r="L22591" s="2">
        <v>114</v>
      </c>
    </row>
    <row r="22592" spans="1:12" x14ac:dyDescent="0.25">
      <c r="A22592" s="4" t="str">
        <f>HYPERLINK("http://www.rosaceae.org/Prunus/Prunus_persica/p.persica_gdr_reftransV1_0014098","p.persica_gdr_reftransV1_0014098")</f>
        <v>p.persica_gdr_reftransV1_0014098</v>
      </c>
      <c r="B22592" s="2">
        <v>2084</v>
      </c>
      <c r="C22592" s="4" t="str">
        <f>HYPERLINK("http://www.uniprot.org/uniprot/M5XUF6","M5XUF6")</f>
        <v>M5XUF6</v>
      </c>
      <c r="D22592" s="2" t="s">
        <v>16645</v>
      </c>
      <c r="E22592" s="3">
        <v>0</v>
      </c>
      <c r="F22592" s="2">
        <v>2527</v>
      </c>
      <c r="G22592" s="2">
        <v>100</v>
      </c>
      <c r="H22592" s="2">
        <v>508</v>
      </c>
      <c r="I22592" s="2">
        <v>561</v>
      </c>
      <c r="J22592" s="2">
        <v>2084</v>
      </c>
      <c r="K22592" s="2">
        <v>110</v>
      </c>
      <c r="L22592" s="2">
        <v>617</v>
      </c>
    </row>
    <row r="22593" spans="1:12" x14ac:dyDescent="0.25">
      <c r="A22593" s="4" t="str">
        <f>HYPERLINK("http://www.rosaceae.org/Prunus/Prunus_persica/p.persica_gdr_reftransV1_0014448","p.persica_gdr_reftransV1_0014448")</f>
        <v>p.persica_gdr_reftransV1_0014448</v>
      </c>
      <c r="B22593" s="2">
        <v>875</v>
      </c>
      <c r="C22593" s="4" t="str">
        <f>HYPERLINK("http://www.uniprot.org/uniprot/M5WZS3","M5WZS3")</f>
        <v>M5WZS3</v>
      </c>
      <c r="D22593" s="2" t="s">
        <v>11599</v>
      </c>
      <c r="E22593" s="3">
        <v>1.2499999999999999E-25</v>
      </c>
      <c r="F22593" s="2">
        <v>291</v>
      </c>
      <c r="G22593" s="2">
        <v>100</v>
      </c>
      <c r="H22593" s="2">
        <v>74</v>
      </c>
      <c r="I22593" s="2">
        <v>473</v>
      </c>
      <c r="J22593" s="2">
        <v>694</v>
      </c>
      <c r="K22593" s="2">
        <v>1</v>
      </c>
      <c r="L22593" s="2">
        <v>74</v>
      </c>
    </row>
    <row r="22594" spans="1:12" x14ac:dyDescent="0.25">
      <c r="A22594" s="4" t="str">
        <f>HYPERLINK("http://www.rosaceae.org/Prunus/Prunus_persica/p.persica_gdr_reftransV1_0014798","p.persica_gdr_reftransV1_0014798")</f>
        <v>p.persica_gdr_reftransV1_0014798</v>
      </c>
      <c r="B22594" s="2">
        <v>432</v>
      </c>
      <c r="C22594" s="4" t="str">
        <f>HYPERLINK("http://www.uniprot.org/uniprot/M5WNQ1","M5WNQ1")</f>
        <v>M5WNQ1</v>
      </c>
      <c r="D22594" s="2" t="s">
        <v>6865</v>
      </c>
      <c r="E22594" s="3">
        <v>5.38E-96</v>
      </c>
      <c r="F22594" s="2">
        <v>777</v>
      </c>
      <c r="G22594" s="2">
        <v>100</v>
      </c>
      <c r="H22594" s="2">
        <v>143</v>
      </c>
      <c r="I22594" s="2">
        <v>3</v>
      </c>
      <c r="J22594" s="2">
        <v>431</v>
      </c>
      <c r="K22594" s="2">
        <v>233</v>
      </c>
      <c r="L22594" s="2">
        <v>375</v>
      </c>
    </row>
    <row r="22595" spans="1:12" x14ac:dyDescent="0.25">
      <c r="A22595" s="4" t="str">
        <f>HYPERLINK("http://www.rosaceae.org/Prunus/Prunus_persica/p.persica_gdr_reftransV1_0015498","p.persica_gdr_reftransV1_0015498")</f>
        <v>p.persica_gdr_reftransV1_0015498</v>
      </c>
      <c r="B22595" s="2">
        <v>2033</v>
      </c>
      <c r="C22595" s="4" t="str">
        <f>HYPERLINK("http://www.uniprot.org/uniprot/B9RCX3","B9RCX3")</f>
        <v>B9RCX3</v>
      </c>
      <c r="D22595" s="2" t="s">
        <v>16646</v>
      </c>
      <c r="E22595" s="3">
        <v>6.4500000000000004E-102</v>
      </c>
      <c r="F22595" s="2">
        <v>836</v>
      </c>
      <c r="G22595" s="2">
        <v>72</v>
      </c>
      <c r="H22595" s="2">
        <v>239</v>
      </c>
      <c r="I22595" s="2">
        <v>235</v>
      </c>
      <c r="J22595" s="2">
        <v>951</v>
      </c>
      <c r="K22595" s="2">
        <v>124</v>
      </c>
      <c r="L22595" s="2">
        <v>336</v>
      </c>
    </row>
    <row r="22596" spans="1:12" x14ac:dyDescent="0.25">
      <c r="A22596" s="4" t="str">
        <f>HYPERLINK("http://www.rosaceae.org/Prunus/Prunus_persica/p.persica_gdr_reftransV1_0015848","p.persica_gdr_reftransV1_0015848")</f>
        <v>p.persica_gdr_reftransV1_0015848</v>
      </c>
      <c r="B22596" s="2">
        <v>888</v>
      </c>
      <c r="C22596" s="4" t="str">
        <f>HYPERLINK("http://www.uniprot.org/uniprot/M5WKA6","M5WKA6")</f>
        <v>M5WKA6</v>
      </c>
      <c r="D22596" s="2" t="s">
        <v>2978</v>
      </c>
      <c r="E22596" s="3">
        <v>6.9200000000000004E-114</v>
      </c>
      <c r="F22596" s="2">
        <v>878</v>
      </c>
      <c r="G22596" s="2">
        <v>100</v>
      </c>
      <c r="H22596" s="2">
        <v>171</v>
      </c>
      <c r="I22596" s="2">
        <v>1</v>
      </c>
      <c r="J22596" s="2">
        <v>513</v>
      </c>
      <c r="K22596" s="2">
        <v>125</v>
      </c>
      <c r="L22596" s="2">
        <v>295</v>
      </c>
    </row>
    <row r="22597" spans="1:12" x14ac:dyDescent="0.25">
      <c r="A22597" s="4" t="str">
        <f>HYPERLINK("http://www.rosaceae.org/Prunus/Prunus_persica/p.persica_gdr_reftransV1_0016898","p.persica_gdr_reftransV1_0016898")</f>
        <v>p.persica_gdr_reftransV1_0016898</v>
      </c>
      <c r="B22597" s="2">
        <v>1332</v>
      </c>
      <c r="C22597" s="4" t="str">
        <f>HYPERLINK("http://www.uniprot.org/uniprot/M5W562","M5W562")</f>
        <v>M5W562</v>
      </c>
      <c r="D22597" s="2" t="s">
        <v>16647</v>
      </c>
      <c r="E22597" s="3">
        <v>2.5700000000000002E-178</v>
      </c>
      <c r="F22597" s="2">
        <v>1317</v>
      </c>
      <c r="G22597" s="2">
        <v>100</v>
      </c>
      <c r="H22597" s="2">
        <v>274</v>
      </c>
      <c r="I22597" s="2">
        <v>406</v>
      </c>
      <c r="J22597" s="2">
        <v>1227</v>
      </c>
      <c r="K22597" s="2">
        <v>1</v>
      </c>
      <c r="L22597" s="2">
        <v>274</v>
      </c>
    </row>
    <row r="22598" spans="1:12" x14ac:dyDescent="0.25">
      <c r="A22598" s="4" t="str">
        <f>HYPERLINK("http://www.rosaceae.org/Prunus/Prunus_persica/p.persica_gdr_reftransV1_0017248","p.persica_gdr_reftransV1_0017248")</f>
        <v>p.persica_gdr_reftransV1_0017248</v>
      </c>
      <c r="B22598" s="2">
        <v>2169</v>
      </c>
      <c r="C22598" s="4" t="str">
        <f>HYPERLINK("http://www.uniprot.org/uniprot/M5VKZ1","M5VKZ1")</f>
        <v>M5VKZ1</v>
      </c>
      <c r="D22598" s="2" t="s">
        <v>16648</v>
      </c>
      <c r="E22598" s="3">
        <v>6.0999999999999999E-145</v>
      </c>
      <c r="F22598" s="2">
        <v>1120</v>
      </c>
      <c r="G22598" s="2">
        <v>100</v>
      </c>
      <c r="H22598" s="2">
        <v>253</v>
      </c>
      <c r="I22598" s="2">
        <v>1254</v>
      </c>
      <c r="J22598" s="2">
        <v>2012</v>
      </c>
      <c r="K22598" s="2">
        <v>1</v>
      </c>
      <c r="L22598" s="2">
        <v>253</v>
      </c>
    </row>
    <row r="22599" spans="1:12" x14ac:dyDescent="0.25">
      <c r="A22599" s="4" t="str">
        <f>HYPERLINK("http://www.rosaceae.org/Prunus/Prunus_persica/p.persica_gdr_reftransV1_0018648","p.persica_gdr_reftransV1_0018648")</f>
        <v>p.persica_gdr_reftransV1_0018648</v>
      </c>
      <c r="B22599" s="2">
        <v>2751</v>
      </c>
      <c r="C22599" s="4" t="str">
        <f>HYPERLINK("http://www.uniprot.org/uniprot/A0A067GNW7","A0A067GNW7")</f>
        <v>A0A067GNW7</v>
      </c>
      <c r="D22599" s="2" t="s">
        <v>16649</v>
      </c>
      <c r="E22599" s="3">
        <v>3.3200000000000002E-84</v>
      </c>
      <c r="F22599" s="2">
        <v>719</v>
      </c>
      <c r="G22599" s="2">
        <v>99</v>
      </c>
      <c r="H22599" s="2">
        <v>132</v>
      </c>
      <c r="I22599" s="2">
        <v>399</v>
      </c>
      <c r="J22599" s="2">
        <v>794</v>
      </c>
      <c r="K22599" s="2">
        <v>96</v>
      </c>
      <c r="L22599" s="2">
        <v>227</v>
      </c>
    </row>
    <row r="22600" spans="1:12" x14ac:dyDescent="0.25">
      <c r="A22600" s="4" t="str">
        <f>HYPERLINK("http://www.rosaceae.org/Prunus/Prunus_persica/p.persica_gdr_reftransV1_0018998","p.persica_gdr_reftransV1_0018998")</f>
        <v>p.persica_gdr_reftransV1_0018998</v>
      </c>
      <c r="B22600" s="2">
        <v>376</v>
      </c>
      <c r="C22600" s="4" t="str">
        <f>HYPERLINK("http://www.uniprot.org/uniprot/M5VHT6","M5VHT6")</f>
        <v>M5VHT6</v>
      </c>
      <c r="D22600" s="2" t="s">
        <v>4858</v>
      </c>
      <c r="E22600" s="3">
        <v>1.68E-78</v>
      </c>
      <c r="F22600" s="2">
        <v>664</v>
      </c>
      <c r="G22600" s="2">
        <v>100</v>
      </c>
      <c r="H22600" s="2">
        <v>124</v>
      </c>
      <c r="I22600" s="2">
        <v>3</v>
      </c>
      <c r="J22600" s="2">
        <v>374</v>
      </c>
      <c r="K22600" s="2">
        <v>732</v>
      </c>
      <c r="L22600" s="2">
        <v>855</v>
      </c>
    </row>
    <row r="22601" spans="1:12" x14ac:dyDescent="0.25">
      <c r="A22601" s="4" t="str">
        <f>HYPERLINK("http://www.rosaceae.org/Prunus/Prunus_persica/p.persica_gdr_reftransV1_0019348","p.persica_gdr_reftransV1_0019348")</f>
        <v>p.persica_gdr_reftransV1_0019348</v>
      </c>
      <c r="B22601" s="2">
        <v>1727</v>
      </c>
      <c r="C22601" s="4" t="str">
        <f>HYPERLINK("http://www.uniprot.org/uniprot/M5XRJ5","M5XRJ5")</f>
        <v>M5XRJ5</v>
      </c>
      <c r="D22601" s="2" t="s">
        <v>16650</v>
      </c>
      <c r="E22601" s="3">
        <v>0</v>
      </c>
      <c r="F22601" s="2">
        <v>1691</v>
      </c>
      <c r="G22601" s="2">
        <v>88</v>
      </c>
      <c r="H22601" s="2">
        <v>403</v>
      </c>
      <c r="I22601" s="2">
        <v>297</v>
      </c>
      <c r="J22601" s="2">
        <v>1505</v>
      </c>
      <c r="K22601" s="2">
        <v>1</v>
      </c>
      <c r="L22601" s="2">
        <v>364</v>
      </c>
    </row>
    <row r="22602" spans="1:12" x14ac:dyDescent="0.25">
      <c r="A22602" s="4" t="str">
        <f>HYPERLINK("http://www.rosaceae.org/Prunus/Prunus_persica/p.persica_gdr_reftransV1_0021798","p.persica_gdr_reftransV1_0021798")</f>
        <v>p.persica_gdr_reftransV1_0021798</v>
      </c>
      <c r="B22602" s="2">
        <v>1652</v>
      </c>
      <c r="C22602" s="4" t="str">
        <f>HYPERLINK("http://www.uniprot.org/uniprot/M5W8H8","M5W8H8")</f>
        <v>M5W8H8</v>
      </c>
      <c r="D22602" s="2" t="s">
        <v>8310</v>
      </c>
      <c r="E22602" s="3">
        <v>0</v>
      </c>
      <c r="F22602" s="2">
        <v>1386</v>
      </c>
      <c r="G22602" s="2">
        <v>94</v>
      </c>
      <c r="H22602" s="2">
        <v>278</v>
      </c>
      <c r="I22602" s="2">
        <v>549</v>
      </c>
      <c r="J22602" s="2">
        <v>1379</v>
      </c>
      <c r="K22602" s="2">
        <v>98</v>
      </c>
      <c r="L22602" s="2">
        <v>375</v>
      </c>
    </row>
    <row r="22603" spans="1:12" x14ac:dyDescent="0.25">
      <c r="A22603" s="4" t="str">
        <f>HYPERLINK("http://www.rosaceae.org/Prunus/Prunus_persica/p.persica_gdr_reftransV1_0023898","p.persica_gdr_reftransV1_0023898")</f>
        <v>p.persica_gdr_reftransV1_0023898</v>
      </c>
      <c r="B22603" s="2">
        <v>6861</v>
      </c>
      <c r="C22603" s="4" t="str">
        <f>HYPERLINK("http://www.uniprot.org/uniprot/A0A061F7A0","A0A061F7A0")</f>
        <v>A0A061F7A0</v>
      </c>
      <c r="D22603" s="2" t="s">
        <v>16651</v>
      </c>
      <c r="E22603" s="3">
        <v>0</v>
      </c>
      <c r="F22603" s="2">
        <v>7624</v>
      </c>
      <c r="G22603" s="2">
        <v>78</v>
      </c>
      <c r="H22603" s="2">
        <v>2043</v>
      </c>
      <c r="I22603" s="2">
        <v>442</v>
      </c>
      <c r="J22603" s="2">
        <v>6540</v>
      </c>
      <c r="K22603" s="2">
        <v>4</v>
      </c>
      <c r="L22603" s="2">
        <v>2038</v>
      </c>
    </row>
    <row r="22604" spans="1:12" x14ac:dyDescent="0.25">
      <c r="A22604" s="4" t="str">
        <f>HYPERLINK("http://www.rosaceae.org/Prunus/Prunus_persica/p.persica_gdr_reftransV1_0024248","p.persica_gdr_reftransV1_0024248")</f>
        <v>p.persica_gdr_reftransV1_0024248</v>
      </c>
      <c r="B22604" s="2">
        <v>1580</v>
      </c>
      <c r="C22604" s="4" t="str">
        <f>HYPERLINK("http://www.uniprot.org/uniprot/M5XPR0","M5XPR0")</f>
        <v>M5XPR0</v>
      </c>
      <c r="D22604" s="2" t="s">
        <v>9645</v>
      </c>
      <c r="E22604" s="3">
        <v>8.2799999999999998E-100</v>
      </c>
      <c r="F22604" s="2">
        <v>811</v>
      </c>
      <c r="G22604" s="2">
        <v>100</v>
      </c>
      <c r="H22604" s="2">
        <v>226</v>
      </c>
      <c r="I22604" s="2">
        <v>580</v>
      </c>
      <c r="J22604" s="2">
        <v>1257</v>
      </c>
      <c r="K22604" s="2">
        <v>1</v>
      </c>
      <c r="L22604" s="2">
        <v>226</v>
      </c>
    </row>
    <row r="22605" spans="1:12" x14ac:dyDescent="0.25">
      <c r="A22605" s="4" t="str">
        <f>HYPERLINK("http://www.rosaceae.org/Prunus/Prunus_persica/p.persica_gdr_reftransV1_0025298","p.persica_gdr_reftransV1_0025298")</f>
        <v>p.persica_gdr_reftransV1_0025298</v>
      </c>
      <c r="B22605" s="2">
        <v>2888</v>
      </c>
      <c r="C22605" s="4" t="str">
        <f>HYPERLINK("http://www.uniprot.org/uniprot/M5XAN4","M5XAN4")</f>
        <v>M5XAN4</v>
      </c>
      <c r="D22605" s="2" t="s">
        <v>16652</v>
      </c>
      <c r="E22605" s="3">
        <v>0</v>
      </c>
      <c r="F22605" s="2">
        <v>3843</v>
      </c>
      <c r="G22605" s="2">
        <v>100</v>
      </c>
      <c r="H22605" s="2">
        <v>764</v>
      </c>
      <c r="I22605" s="2">
        <v>544</v>
      </c>
      <c r="J22605" s="2">
        <v>2835</v>
      </c>
      <c r="K22605" s="2">
        <v>1</v>
      </c>
      <c r="L22605" s="2">
        <v>764</v>
      </c>
    </row>
    <row r="22606" spans="1:12" x14ac:dyDescent="0.25">
      <c r="A22606" s="4" t="str">
        <f>HYPERLINK("http://www.rosaceae.org/Prunus/Prunus_persica/p.persica_gdr_reftransV1_0026698","p.persica_gdr_reftransV1_0026698")</f>
        <v>p.persica_gdr_reftransV1_0026698</v>
      </c>
      <c r="B22606" s="2">
        <v>1597</v>
      </c>
      <c r="C22606" s="4" t="str">
        <f>HYPERLINK("http://www.uniprot.org/uniprot/M5XG93","M5XG93")</f>
        <v>M5XG93</v>
      </c>
      <c r="D22606" s="2" t="s">
        <v>6035</v>
      </c>
      <c r="E22606" s="3">
        <v>2.4300000000000001E-141</v>
      </c>
      <c r="F22606" s="2">
        <v>1076</v>
      </c>
      <c r="G22606" s="2">
        <v>100</v>
      </c>
      <c r="H22606" s="2">
        <v>220</v>
      </c>
      <c r="I22606" s="2">
        <v>841</v>
      </c>
      <c r="J22606" s="2">
        <v>1500</v>
      </c>
      <c r="K22606" s="2">
        <v>1</v>
      </c>
      <c r="L22606" s="2">
        <v>220</v>
      </c>
    </row>
    <row r="22607" spans="1:12" x14ac:dyDescent="0.25">
      <c r="A22607" s="4" t="str">
        <f>HYPERLINK("http://www.rosaceae.org/Prunus/Prunus_persica/p.persica_gdr_reftransV1_0027748","p.persica_gdr_reftransV1_0027748")</f>
        <v>p.persica_gdr_reftransV1_0027748</v>
      </c>
      <c r="B22607" s="2">
        <v>2439</v>
      </c>
      <c r="C22607" s="4" t="str">
        <f>HYPERLINK("http://www.uniprot.org/uniprot/M5XXH0","M5XXH0")</f>
        <v>M5XXH0</v>
      </c>
      <c r="D22607" s="2" t="s">
        <v>3823</v>
      </c>
      <c r="E22607" s="3">
        <v>9.2300000000000007E-139</v>
      </c>
      <c r="F22607" s="2">
        <v>1093</v>
      </c>
      <c r="G22607" s="2">
        <v>100</v>
      </c>
      <c r="H22607" s="2">
        <v>214</v>
      </c>
      <c r="I22607" s="2">
        <v>1676</v>
      </c>
      <c r="J22607" s="2">
        <v>2317</v>
      </c>
      <c r="K22607" s="2">
        <v>1</v>
      </c>
      <c r="L22607" s="2">
        <v>214</v>
      </c>
    </row>
    <row r="22608" spans="1:12" x14ac:dyDescent="0.25">
      <c r="A22608" s="4" t="str">
        <f>HYPERLINK("http://www.rosaceae.org/Prunus/Prunus_persica/p.persica_gdr_reftransV1_0029148","p.persica_gdr_reftransV1_0029148")</f>
        <v>p.persica_gdr_reftransV1_0029148</v>
      </c>
      <c r="B22608" s="2">
        <v>1650</v>
      </c>
      <c r="C22608" s="4" t="str">
        <f>HYPERLINK("http://www.uniprot.org/uniprot/M5WUZ4","M5WUZ4")</f>
        <v>M5WUZ4</v>
      </c>
      <c r="D22608" s="2" t="s">
        <v>7256</v>
      </c>
      <c r="E22608" s="3">
        <v>0</v>
      </c>
      <c r="F22608" s="2">
        <v>1850</v>
      </c>
      <c r="G22608" s="2">
        <v>100</v>
      </c>
      <c r="H22608" s="2">
        <v>403</v>
      </c>
      <c r="I22608" s="2">
        <v>106</v>
      </c>
      <c r="J22608" s="2">
        <v>1314</v>
      </c>
      <c r="K22608" s="2">
        <v>1</v>
      </c>
      <c r="L22608" s="2">
        <v>403</v>
      </c>
    </row>
    <row r="22609" spans="1:12" x14ac:dyDescent="0.25">
      <c r="A22609" s="4" t="str">
        <f>HYPERLINK("http://www.rosaceae.org/Prunus/Prunus_persica/p.persica_gdr_reftransV1_0030898","p.persica_gdr_reftransV1_0030898")</f>
        <v>p.persica_gdr_reftransV1_0030898</v>
      </c>
      <c r="B22609" s="2">
        <v>2500</v>
      </c>
      <c r="C22609" s="4" t="str">
        <f>HYPERLINK("http://www.uniprot.org/uniprot/M5WMQ2","M5WMQ2")</f>
        <v>M5WMQ2</v>
      </c>
      <c r="D22609" s="2" t="s">
        <v>16653</v>
      </c>
      <c r="E22609" s="3">
        <v>0</v>
      </c>
      <c r="F22609" s="2">
        <v>1920</v>
      </c>
      <c r="G22609" s="2">
        <v>84</v>
      </c>
      <c r="H22609" s="2">
        <v>456</v>
      </c>
      <c r="I22609" s="2">
        <v>1010</v>
      </c>
      <c r="J22609" s="2">
        <v>2377</v>
      </c>
      <c r="K22609" s="2">
        <v>1</v>
      </c>
      <c r="L22609" s="2">
        <v>401</v>
      </c>
    </row>
    <row r="22610" spans="1:12" x14ac:dyDescent="0.25">
      <c r="A22610" s="4" t="str">
        <f>HYPERLINK("http://www.rosaceae.org/Prunus/Prunus_persica/p.persica_gdr_reftransV1_0032998","p.persica_gdr_reftransV1_0032998")</f>
        <v>p.persica_gdr_reftransV1_0032998</v>
      </c>
      <c r="B22610" s="2">
        <v>1792</v>
      </c>
      <c r="C22610" s="4" t="str">
        <f>HYPERLINK("http://www.uniprot.org/uniprot/M5X6G3","M5X6G3")</f>
        <v>M5X6G3</v>
      </c>
      <c r="D22610" s="2" t="s">
        <v>16654</v>
      </c>
      <c r="E22610" s="3">
        <v>1.36E-92</v>
      </c>
      <c r="F22610" s="2">
        <v>757</v>
      </c>
      <c r="G22610" s="2">
        <v>100</v>
      </c>
      <c r="H22610" s="2">
        <v>224</v>
      </c>
      <c r="I22610" s="2">
        <v>987</v>
      </c>
      <c r="J22610" s="2">
        <v>1658</v>
      </c>
      <c r="K22610" s="2">
        <v>1</v>
      </c>
      <c r="L22610" s="2">
        <v>224</v>
      </c>
    </row>
    <row r="22611" spans="1:12" x14ac:dyDescent="0.25">
      <c r="A22611" s="4" t="str">
        <f>HYPERLINK("http://www.rosaceae.org/Prunus/Prunus_persica/p.persica_gdr_reftransV1_0033348","p.persica_gdr_reftransV1_0033348")</f>
        <v>p.persica_gdr_reftransV1_0033348</v>
      </c>
      <c r="B22611" s="2">
        <v>2144</v>
      </c>
      <c r="C22611" s="4" t="str">
        <f>HYPERLINK("http://www.uniprot.org/uniprot/M5XN65","M5XN65")</f>
        <v>M5XN65</v>
      </c>
      <c r="D22611" s="2" t="s">
        <v>16655</v>
      </c>
      <c r="E22611" s="3">
        <v>0</v>
      </c>
      <c r="F22611" s="2">
        <v>2626</v>
      </c>
      <c r="G22611" s="2">
        <v>100</v>
      </c>
      <c r="H22611" s="2">
        <v>515</v>
      </c>
      <c r="I22611" s="2">
        <v>398</v>
      </c>
      <c r="J22611" s="2">
        <v>1942</v>
      </c>
      <c r="K22611" s="2">
        <v>1</v>
      </c>
      <c r="L22611" s="2">
        <v>515</v>
      </c>
    </row>
    <row r="22612" spans="1:12" x14ac:dyDescent="0.25">
      <c r="A22612" s="4" t="str">
        <f>HYPERLINK("http://www.rosaceae.org/Prunus/Prunus_persica/p.persica_gdr_reftransV1_0033698","p.persica_gdr_reftransV1_0033698")</f>
        <v>p.persica_gdr_reftransV1_0033698</v>
      </c>
      <c r="B22612" s="2">
        <v>1942</v>
      </c>
      <c r="C22612" s="4" t="str">
        <f>HYPERLINK("http://www.uniprot.org/uniprot/M5WPF2","M5WPF2")</f>
        <v>M5WPF2</v>
      </c>
      <c r="D22612" s="2" t="s">
        <v>16656</v>
      </c>
      <c r="E22612" s="3">
        <v>0</v>
      </c>
      <c r="F22612" s="2">
        <v>2265</v>
      </c>
      <c r="G22612" s="2">
        <v>100</v>
      </c>
      <c r="H22612" s="2">
        <v>479</v>
      </c>
      <c r="I22612" s="2">
        <v>409</v>
      </c>
      <c r="J22612" s="2">
        <v>1845</v>
      </c>
      <c r="K22612" s="2">
        <v>1</v>
      </c>
      <c r="L22612" s="2">
        <v>479</v>
      </c>
    </row>
    <row r="22613" spans="1:12" x14ac:dyDescent="0.25">
      <c r="A22613" s="4" t="str">
        <f>HYPERLINK("http://www.rosaceae.org/Prunus/Prunus_persica/p.persica_gdr_reftransV1_0034048","p.persica_gdr_reftransV1_0034048")</f>
        <v>p.persica_gdr_reftransV1_0034048</v>
      </c>
      <c r="B22613" s="2">
        <v>1259</v>
      </c>
      <c r="C22613" s="4" t="str">
        <f>HYPERLINK("http://www.uniprot.org/uniprot/M5X6V8","M5X6V8")</f>
        <v>M5X6V8</v>
      </c>
      <c r="D22613" s="2" t="s">
        <v>16657</v>
      </c>
      <c r="E22613" s="3">
        <v>0</v>
      </c>
      <c r="F22613" s="2">
        <v>1796</v>
      </c>
      <c r="G22613" s="2">
        <v>100</v>
      </c>
      <c r="H22613" s="2">
        <v>336</v>
      </c>
      <c r="I22613" s="2">
        <v>1</v>
      </c>
      <c r="J22613" s="2">
        <v>1008</v>
      </c>
      <c r="K22613" s="2">
        <v>735</v>
      </c>
      <c r="L22613" s="2">
        <v>1070</v>
      </c>
    </row>
    <row r="22614" spans="1:12" x14ac:dyDescent="0.25">
      <c r="A22614" s="4" t="str">
        <f>HYPERLINK("http://www.rosaceae.org/Prunus/Prunus_persica/p.persica_gdr_reftransV1_0034748","p.persica_gdr_reftransV1_0034748")</f>
        <v>p.persica_gdr_reftransV1_0034748</v>
      </c>
      <c r="B22614" s="2">
        <v>1752</v>
      </c>
      <c r="C22614" s="4" t="str">
        <f>HYPERLINK("http://www.uniprot.org/uniprot/M5VW19","M5VW19")</f>
        <v>M5VW19</v>
      </c>
      <c r="D22614" s="2" t="s">
        <v>16387</v>
      </c>
      <c r="E22614" s="3">
        <v>0</v>
      </c>
      <c r="F22614" s="2">
        <v>2006</v>
      </c>
      <c r="G22614" s="2">
        <v>100</v>
      </c>
      <c r="H22614" s="2">
        <v>396</v>
      </c>
      <c r="I22614" s="2">
        <v>290</v>
      </c>
      <c r="J22614" s="2">
        <v>1477</v>
      </c>
      <c r="K22614" s="2">
        <v>1</v>
      </c>
      <c r="L22614" s="2">
        <v>396</v>
      </c>
    </row>
    <row r="22615" spans="1:12" x14ac:dyDescent="0.25">
      <c r="A22615" s="4" t="str">
        <f>HYPERLINK("http://www.rosaceae.org/Prunus/Prunus_persica/p.persica_gdr_reftransV1_0035448","p.persica_gdr_reftransV1_0035448")</f>
        <v>p.persica_gdr_reftransV1_0035448</v>
      </c>
      <c r="B22615" s="2">
        <v>3347</v>
      </c>
      <c r="C22615" s="4" t="str">
        <f>HYPERLINK("http://www.uniprot.org/uniprot/M5WSN1","M5WSN1")</f>
        <v>M5WSN1</v>
      </c>
      <c r="D22615" s="2" t="s">
        <v>14574</v>
      </c>
      <c r="E22615" s="3">
        <v>0</v>
      </c>
      <c r="F22615" s="2">
        <v>1553</v>
      </c>
      <c r="G22615" s="2">
        <v>100</v>
      </c>
      <c r="H22615" s="2">
        <v>324</v>
      </c>
      <c r="I22615" s="2">
        <v>2118</v>
      </c>
      <c r="J22615" s="2">
        <v>3089</v>
      </c>
      <c r="K22615" s="2">
        <v>1</v>
      </c>
      <c r="L22615" s="2">
        <v>324</v>
      </c>
    </row>
    <row r="22616" spans="1:12" x14ac:dyDescent="0.25">
      <c r="A22616" s="4" t="str">
        <f>HYPERLINK("http://www.rosaceae.org/Prunus/Prunus_persica/p.persica_gdr_reftransV1_0035798","p.persica_gdr_reftransV1_0035798")</f>
        <v>p.persica_gdr_reftransV1_0035798</v>
      </c>
      <c r="B22616" s="2">
        <v>1134</v>
      </c>
      <c r="C22616" s="4" t="str">
        <f>HYPERLINK("http://www.uniprot.org/uniprot/M5XKR3","M5XKR3")</f>
        <v>M5XKR3</v>
      </c>
      <c r="D22616" s="2" t="s">
        <v>16658</v>
      </c>
      <c r="E22616" s="3">
        <v>8.9799999999999999E-123</v>
      </c>
      <c r="F22616" s="2">
        <v>933</v>
      </c>
      <c r="G22616" s="2">
        <v>99</v>
      </c>
      <c r="H22616" s="2">
        <v>176</v>
      </c>
      <c r="I22616" s="2">
        <v>163</v>
      </c>
      <c r="J22616" s="2">
        <v>690</v>
      </c>
      <c r="K22616" s="2">
        <v>1</v>
      </c>
      <c r="L22616" s="2">
        <v>176</v>
      </c>
    </row>
    <row r="22617" spans="1:12" x14ac:dyDescent="0.25">
      <c r="A22617" s="4" t="str">
        <f>HYPERLINK("http://www.rosaceae.org/Prunus/Prunus_persica/p.persica_gdr_reftransV1_0036148","p.persica_gdr_reftransV1_0036148")</f>
        <v>p.persica_gdr_reftransV1_0036148</v>
      </c>
      <c r="B22617" s="2">
        <v>1184</v>
      </c>
      <c r="C22617" s="4" t="str">
        <f>HYPERLINK("http://www.uniprot.org/uniprot/M5WGY4","M5WGY4")</f>
        <v>M5WGY4</v>
      </c>
      <c r="D22617" s="2" t="s">
        <v>1570</v>
      </c>
      <c r="E22617" s="3">
        <v>2.4600000000000001E-58</v>
      </c>
      <c r="F22617" s="2">
        <v>544</v>
      </c>
      <c r="G22617" s="2">
        <v>98</v>
      </c>
      <c r="H22617" s="2">
        <v>100</v>
      </c>
      <c r="I22617" s="2">
        <v>2</v>
      </c>
      <c r="J22617" s="2">
        <v>301</v>
      </c>
      <c r="K22617" s="2">
        <v>721</v>
      </c>
      <c r="L22617" s="2">
        <v>820</v>
      </c>
    </row>
    <row r="22618" spans="1:12" x14ac:dyDescent="0.25">
      <c r="A22618" s="4" t="str">
        <f>HYPERLINK("http://www.rosaceae.org/Prunus/Prunus_persica/p.persica_gdr_reftransV1_0037548","p.persica_gdr_reftransV1_0037548")</f>
        <v>p.persica_gdr_reftransV1_0037548</v>
      </c>
      <c r="B22618" s="2">
        <v>703</v>
      </c>
      <c r="C22618" s="4" t="str">
        <f>HYPERLINK("http://www.uniprot.org/uniprot/M5WPK2","M5WPK2")</f>
        <v>M5WPK2</v>
      </c>
      <c r="D22618" s="2" t="s">
        <v>16659</v>
      </c>
      <c r="E22618" s="3">
        <v>6.3899999999999999E-89</v>
      </c>
      <c r="F22618" s="2">
        <v>696</v>
      </c>
      <c r="G22618" s="2">
        <v>95</v>
      </c>
      <c r="H22618" s="2">
        <v>148</v>
      </c>
      <c r="I22618" s="2">
        <v>1</v>
      </c>
      <c r="J22618" s="2">
        <v>426</v>
      </c>
      <c r="K22618" s="2">
        <v>43</v>
      </c>
      <c r="L22618" s="2">
        <v>190</v>
      </c>
    </row>
    <row r="22619" spans="1:12" x14ac:dyDescent="0.25">
      <c r="A22619" s="4" t="str">
        <f>HYPERLINK("http://www.rosaceae.org/Prunus/Prunus_persica/p.persica_gdr_reftransV1_0038948","p.persica_gdr_reftransV1_0038948")</f>
        <v>p.persica_gdr_reftransV1_0038948</v>
      </c>
      <c r="B22619" s="2">
        <v>1612</v>
      </c>
      <c r="C22619" s="4" t="str">
        <f>HYPERLINK("http://www.uniprot.org/uniprot/M5WG24","M5WG24")</f>
        <v>M5WG24</v>
      </c>
      <c r="D22619" s="2" t="s">
        <v>15904</v>
      </c>
      <c r="E22619" s="3">
        <v>7.5199999999999998E-152</v>
      </c>
      <c r="F22619" s="2">
        <v>1157</v>
      </c>
      <c r="G22619" s="2">
        <v>100</v>
      </c>
      <c r="H22619" s="2">
        <v>237</v>
      </c>
      <c r="I22619" s="2">
        <v>644</v>
      </c>
      <c r="J22619" s="2">
        <v>1354</v>
      </c>
      <c r="K22619" s="2">
        <v>1</v>
      </c>
      <c r="L22619" s="2">
        <v>237</v>
      </c>
    </row>
    <row r="22620" spans="1:12" x14ac:dyDescent="0.25">
      <c r="A22620" s="4" t="str">
        <f>HYPERLINK("http://www.rosaceae.org/Prunus/Prunus_persica/p.persica_gdr_reftransV1_0040698","p.persica_gdr_reftransV1_0040698")</f>
        <v>p.persica_gdr_reftransV1_0040698</v>
      </c>
      <c r="B22620" s="2">
        <v>2994</v>
      </c>
      <c r="C22620" s="4" t="str">
        <f>HYPERLINK("http://www.uniprot.org/uniprot/M5WGE3","M5WGE3")</f>
        <v>M5WGE3</v>
      </c>
      <c r="D22620" s="2" t="s">
        <v>123</v>
      </c>
      <c r="E22620" s="3">
        <v>0</v>
      </c>
      <c r="F22620" s="2">
        <v>1729</v>
      </c>
      <c r="G22620" s="2">
        <v>100</v>
      </c>
      <c r="H22620" s="2">
        <v>327</v>
      </c>
      <c r="I22620" s="2">
        <v>1627</v>
      </c>
      <c r="J22620" s="2">
        <v>2607</v>
      </c>
      <c r="K22620" s="2">
        <v>286</v>
      </c>
      <c r="L22620" s="2">
        <v>612</v>
      </c>
    </row>
    <row r="22621" spans="1:12" x14ac:dyDescent="0.25">
      <c r="A22621" s="4" t="str">
        <f>HYPERLINK("http://www.rosaceae.org/Prunus/Prunus_persica/p.persica_gdr_reftransV1_0043148","p.persica_gdr_reftransV1_0043148")</f>
        <v>p.persica_gdr_reftransV1_0043148</v>
      </c>
      <c r="B22621" s="2">
        <v>1119</v>
      </c>
      <c r="C22621" s="4" t="str">
        <f>HYPERLINK("http://www.uniprot.org/uniprot/M5X0K1","M5X0K1")</f>
        <v>M5X0K1</v>
      </c>
      <c r="D22621" s="2" t="s">
        <v>16660</v>
      </c>
      <c r="E22621" s="3">
        <v>1.8200000000000001E-119</v>
      </c>
      <c r="F22621" s="2">
        <v>914</v>
      </c>
      <c r="G22621" s="2">
        <v>100</v>
      </c>
      <c r="H22621" s="2">
        <v>205</v>
      </c>
      <c r="I22621" s="2">
        <v>95</v>
      </c>
      <c r="J22621" s="2">
        <v>709</v>
      </c>
      <c r="K22621" s="2">
        <v>1</v>
      </c>
      <c r="L22621" s="2">
        <v>205</v>
      </c>
    </row>
    <row r="22622" spans="1:12" x14ac:dyDescent="0.25">
      <c r="A22622" s="4" t="str">
        <f>HYPERLINK("http://www.rosaceae.org/Prunus/Prunus_persica/p.persica_gdr_reftransV1_0043498","p.persica_gdr_reftransV1_0043498")</f>
        <v>p.persica_gdr_reftransV1_0043498</v>
      </c>
      <c r="B22622" s="2">
        <v>1231</v>
      </c>
      <c r="C22622" s="4" t="str">
        <f>HYPERLINK("http://www.uniprot.org/uniprot/M5WTP3","M5WTP3")</f>
        <v>M5WTP3</v>
      </c>
      <c r="D22622" s="2" t="s">
        <v>16661</v>
      </c>
      <c r="E22622" s="3">
        <v>0</v>
      </c>
      <c r="F22622" s="2">
        <v>1661</v>
      </c>
      <c r="G22622" s="2">
        <v>100</v>
      </c>
      <c r="H22622" s="2">
        <v>349</v>
      </c>
      <c r="I22622" s="2">
        <v>49</v>
      </c>
      <c r="J22622" s="2">
        <v>1095</v>
      </c>
      <c r="K22622" s="2">
        <v>1</v>
      </c>
      <c r="L22622" s="2">
        <v>349</v>
      </c>
    </row>
    <row r="22623" spans="1:12" x14ac:dyDescent="0.25">
      <c r="A22623" s="4" t="str">
        <f>HYPERLINK("http://www.rosaceae.org/Prunus/Prunus_persica/p.persica_gdr_reftransV1_0043848","p.persica_gdr_reftransV1_0043848")</f>
        <v>p.persica_gdr_reftransV1_0043848</v>
      </c>
      <c r="B22623" s="2">
        <v>867</v>
      </c>
      <c r="C22623" s="4" t="str">
        <f>HYPERLINK("http://www.uniprot.org/uniprot/M5XWL6","M5XWL6")</f>
        <v>M5XWL6</v>
      </c>
      <c r="D22623" s="2" t="s">
        <v>699</v>
      </c>
      <c r="E22623" s="3">
        <v>0</v>
      </c>
      <c r="F22623" s="2">
        <v>1521</v>
      </c>
      <c r="G22623" s="2">
        <v>100</v>
      </c>
      <c r="H22623" s="2">
        <v>287</v>
      </c>
      <c r="I22623" s="2">
        <v>2</v>
      </c>
      <c r="J22623" s="2">
        <v>862</v>
      </c>
      <c r="K22623" s="2">
        <v>603</v>
      </c>
      <c r="L22623" s="2">
        <v>889</v>
      </c>
    </row>
    <row r="22624" spans="1:12" x14ac:dyDescent="0.25">
      <c r="A22624" s="4" t="str">
        <f>HYPERLINK("http://www.rosaceae.org/Prunus/Prunus_persica/p.persica_gdr_reftransV1_0044548","p.persica_gdr_reftransV1_0044548")</f>
        <v>p.persica_gdr_reftransV1_0044548</v>
      </c>
      <c r="B22624" s="2">
        <v>1471</v>
      </c>
      <c r="C22624" s="4" t="str">
        <f>HYPERLINK("http://www.uniprot.org/uniprot/M5W505","M5W505")</f>
        <v>M5W505</v>
      </c>
      <c r="D22624" s="2" t="s">
        <v>2081</v>
      </c>
      <c r="E22624" s="3">
        <v>0</v>
      </c>
      <c r="F22624" s="2">
        <v>2446</v>
      </c>
      <c r="G22624" s="2">
        <v>100</v>
      </c>
      <c r="H22624" s="2">
        <v>455</v>
      </c>
      <c r="I22624" s="2">
        <v>40</v>
      </c>
      <c r="J22624" s="2">
        <v>1404</v>
      </c>
      <c r="K22624" s="2">
        <v>8</v>
      </c>
      <c r="L22624" s="2">
        <v>462</v>
      </c>
    </row>
    <row r="22625" spans="1:12" x14ac:dyDescent="0.25">
      <c r="A22625" s="4" t="str">
        <f>HYPERLINK("http://www.rosaceae.org/Prunus/Prunus_persica/p.persica_gdr_reftransV1_0044898","p.persica_gdr_reftransV1_0044898")</f>
        <v>p.persica_gdr_reftransV1_0044898</v>
      </c>
      <c r="B22625" s="2">
        <v>962</v>
      </c>
      <c r="C22625" s="4" t="str">
        <f>HYPERLINK("http://www.uniprot.org/uniprot/M5WME8","M5WME8")</f>
        <v>M5WME8</v>
      </c>
      <c r="D22625" s="2" t="s">
        <v>16662</v>
      </c>
      <c r="E22625" s="3">
        <v>1.0500000000000001E-127</v>
      </c>
      <c r="F22625" s="2">
        <v>968</v>
      </c>
      <c r="G22625" s="2">
        <v>89</v>
      </c>
      <c r="H22625" s="2">
        <v>228</v>
      </c>
      <c r="I22625" s="2">
        <v>3</v>
      </c>
      <c r="J22625" s="2">
        <v>686</v>
      </c>
      <c r="K22625" s="2">
        <v>30</v>
      </c>
      <c r="L22625" s="2">
        <v>256</v>
      </c>
    </row>
    <row r="22626" spans="1:12" x14ac:dyDescent="0.25">
      <c r="A22626" s="4" t="str">
        <f>HYPERLINK("http://www.rosaceae.org/Prunus/Prunus_persica/p.persica_gdr_reftransV1_0045248","p.persica_gdr_reftransV1_0045248")</f>
        <v>p.persica_gdr_reftransV1_0045248</v>
      </c>
      <c r="B22626" s="2">
        <v>1610</v>
      </c>
      <c r="C22626" s="4" t="str">
        <f>HYPERLINK("http://www.uniprot.org/uniprot/M5WHN5","M5WHN5")</f>
        <v>M5WHN5</v>
      </c>
      <c r="D22626" s="2" t="s">
        <v>2078</v>
      </c>
      <c r="E22626" s="3">
        <v>0</v>
      </c>
      <c r="F22626" s="2">
        <v>1508</v>
      </c>
      <c r="G22626" s="2">
        <v>100</v>
      </c>
      <c r="H22626" s="2">
        <v>285</v>
      </c>
      <c r="I22626" s="2">
        <v>269</v>
      </c>
      <c r="J22626" s="2">
        <v>1123</v>
      </c>
      <c r="K22626" s="2">
        <v>41</v>
      </c>
      <c r="L22626" s="2">
        <v>325</v>
      </c>
    </row>
    <row r="22627" spans="1:12" x14ac:dyDescent="0.25">
      <c r="A22627" s="4" t="str">
        <f>HYPERLINK("http://www.rosaceae.org/Prunus/Prunus_persica/p.persica_gdr_reftransV1_0045598","p.persica_gdr_reftransV1_0045598")</f>
        <v>p.persica_gdr_reftransV1_0045598</v>
      </c>
      <c r="B22627" s="2">
        <v>1012</v>
      </c>
      <c r="C22627" s="4" t="str">
        <f>HYPERLINK("http://www.uniprot.org/uniprot/M5W1H1","M5W1H1")</f>
        <v>M5W1H1</v>
      </c>
      <c r="D22627" s="2" t="s">
        <v>10106</v>
      </c>
      <c r="E22627" s="3">
        <v>1.9300000000000001E-74</v>
      </c>
      <c r="F22627" s="2">
        <v>608</v>
      </c>
      <c r="G22627" s="2">
        <v>100</v>
      </c>
      <c r="H22627" s="2">
        <v>168</v>
      </c>
      <c r="I22627" s="2">
        <v>296</v>
      </c>
      <c r="J22627" s="2">
        <v>799</v>
      </c>
      <c r="K22627" s="2">
        <v>1</v>
      </c>
      <c r="L22627" s="2">
        <v>168</v>
      </c>
    </row>
    <row r="22628" spans="1:12" x14ac:dyDescent="0.25">
      <c r="A22628" s="4" t="str">
        <f>HYPERLINK("http://www.rosaceae.org/Prunus/Prunus_persica/p.persica_gdr_reftransV1_0045948","p.persica_gdr_reftransV1_0045948")</f>
        <v>p.persica_gdr_reftransV1_0045948</v>
      </c>
      <c r="B22628" s="2">
        <v>1728</v>
      </c>
      <c r="C22628" s="4" t="str">
        <f>HYPERLINK("http://www.uniprot.org/uniprot/M5WH49","M5WH49")</f>
        <v>M5WH49</v>
      </c>
      <c r="D22628" s="2" t="s">
        <v>16663</v>
      </c>
      <c r="E22628" s="3">
        <v>0</v>
      </c>
      <c r="F22628" s="2">
        <v>2061</v>
      </c>
      <c r="G22628" s="2">
        <v>100</v>
      </c>
      <c r="H22628" s="2">
        <v>440</v>
      </c>
      <c r="I22628" s="2">
        <v>133</v>
      </c>
      <c r="J22628" s="2">
        <v>1452</v>
      </c>
      <c r="K22628" s="2">
        <v>1</v>
      </c>
      <c r="L22628" s="2">
        <v>440</v>
      </c>
    </row>
    <row r="22629" spans="1:12" x14ac:dyDescent="0.25">
      <c r="A22629" s="4" t="str">
        <f>HYPERLINK("http://www.rosaceae.org/Prunus/Prunus_persica/p.persica_gdr_reftransV1_0046298","p.persica_gdr_reftransV1_0046298")</f>
        <v>p.persica_gdr_reftransV1_0046298</v>
      </c>
      <c r="B22629" s="2">
        <v>1495</v>
      </c>
      <c r="C22629" s="4" t="str">
        <f>HYPERLINK("http://www.uniprot.org/uniprot/M5WMI5","M5WMI5")</f>
        <v>M5WMI5</v>
      </c>
      <c r="D22629" s="2" t="s">
        <v>16664</v>
      </c>
      <c r="E22629" s="3">
        <v>0</v>
      </c>
      <c r="F22629" s="2">
        <v>1724</v>
      </c>
      <c r="G22629" s="2">
        <v>100</v>
      </c>
      <c r="H22629" s="2">
        <v>344</v>
      </c>
      <c r="I22629" s="2">
        <v>462</v>
      </c>
      <c r="J22629" s="2">
        <v>1493</v>
      </c>
      <c r="K22629" s="2">
        <v>3</v>
      </c>
      <c r="L22629" s="2">
        <v>346</v>
      </c>
    </row>
    <row r="22630" spans="1:12" x14ac:dyDescent="0.25">
      <c r="A22630" s="4" t="str">
        <f>HYPERLINK("http://www.rosaceae.org/Prunus/Prunus_persica/p.persica_gdr_reftransV1_0046998","p.persica_gdr_reftransV1_0046998")</f>
        <v>p.persica_gdr_reftransV1_0046998</v>
      </c>
      <c r="B22630" s="2">
        <v>1130</v>
      </c>
      <c r="C22630" s="4" t="str">
        <f>HYPERLINK("http://www.uniprot.org/uniprot/M5WBA9","M5WBA9")</f>
        <v>M5WBA9</v>
      </c>
      <c r="D22630" s="2" t="s">
        <v>16665</v>
      </c>
      <c r="E22630" s="3">
        <v>6.3000000000000001E-151</v>
      </c>
      <c r="F22630" s="2">
        <v>1123</v>
      </c>
      <c r="G22630" s="2">
        <v>100</v>
      </c>
      <c r="H22630" s="2">
        <v>213</v>
      </c>
      <c r="I22630" s="2">
        <v>468</v>
      </c>
      <c r="J22630" s="2">
        <v>1106</v>
      </c>
      <c r="K22630" s="2">
        <v>1</v>
      </c>
      <c r="L22630" s="2">
        <v>213</v>
      </c>
    </row>
    <row r="22631" spans="1:12" x14ac:dyDescent="0.25">
      <c r="A22631" s="4" t="str">
        <f>HYPERLINK("http://www.rosaceae.org/Prunus/Prunus_persica/p.persica_gdr_reftransV1_0047348","p.persica_gdr_reftransV1_0047348")</f>
        <v>p.persica_gdr_reftransV1_0047348</v>
      </c>
      <c r="B22631" s="2">
        <v>1540</v>
      </c>
      <c r="C22631" s="4" t="str">
        <f>HYPERLINK("http://www.uniprot.org/uniprot/M5VU41","M5VU41")</f>
        <v>M5VU41</v>
      </c>
      <c r="D22631" s="2" t="s">
        <v>16666</v>
      </c>
      <c r="E22631" s="3">
        <v>6.3200000000000004E-82</v>
      </c>
      <c r="F22631" s="2">
        <v>682</v>
      </c>
      <c r="G22631" s="2">
        <v>99</v>
      </c>
      <c r="H22631" s="2">
        <v>171</v>
      </c>
      <c r="I22631" s="2">
        <v>817</v>
      </c>
      <c r="J22631" s="2">
        <v>1329</v>
      </c>
      <c r="K22631" s="2">
        <v>88</v>
      </c>
      <c r="L22631" s="2">
        <v>258</v>
      </c>
    </row>
    <row r="22632" spans="1:12" x14ac:dyDescent="0.25">
      <c r="A22632" s="4" t="str">
        <f>HYPERLINK("http://www.rosaceae.org/Prunus/Prunus_persica/p.persica_gdr_reftransV1_0047698","p.persica_gdr_reftransV1_0047698")</f>
        <v>p.persica_gdr_reftransV1_0047698</v>
      </c>
      <c r="B22632" s="2">
        <v>373</v>
      </c>
      <c r="C22632" s="4" t="str">
        <f>HYPERLINK("http://www.uniprot.org/uniprot/M5X4N8","M5X4N8")</f>
        <v>M5X4N8</v>
      </c>
      <c r="D22632" s="2" t="s">
        <v>4015</v>
      </c>
      <c r="E22632" s="3">
        <v>4.0900000000000001E-57</v>
      </c>
      <c r="F22632" s="2">
        <v>506</v>
      </c>
      <c r="G22632" s="2">
        <v>100</v>
      </c>
      <c r="H22632" s="2">
        <v>124</v>
      </c>
      <c r="I22632" s="2">
        <v>1</v>
      </c>
      <c r="J22632" s="2">
        <v>372</v>
      </c>
      <c r="K22632" s="2">
        <v>23</v>
      </c>
      <c r="L22632" s="2">
        <v>146</v>
      </c>
    </row>
    <row r="22633" spans="1:12" x14ac:dyDescent="0.25">
      <c r="A22633" s="4" t="str">
        <f>HYPERLINK("http://www.rosaceae.org/Prunus/Prunus_persica/p.persica_gdr_reftransV1_0048398","p.persica_gdr_reftransV1_0048398")</f>
        <v>p.persica_gdr_reftransV1_0048398</v>
      </c>
      <c r="B22633" s="2">
        <v>702</v>
      </c>
      <c r="C22633" s="4" t="str">
        <f>HYPERLINK("http://www.uniprot.org/uniprot/M5VIF9","M5VIF9")</f>
        <v>M5VIF9</v>
      </c>
      <c r="D22633" s="2" t="s">
        <v>10313</v>
      </c>
      <c r="E22633" s="3">
        <v>1.62E-141</v>
      </c>
      <c r="F22633" s="2">
        <v>1064</v>
      </c>
      <c r="G22633" s="2">
        <v>95</v>
      </c>
      <c r="H22633" s="2">
        <v>215</v>
      </c>
      <c r="I22633" s="2">
        <v>2</v>
      </c>
      <c r="J22633" s="2">
        <v>646</v>
      </c>
      <c r="K22633" s="2">
        <v>1</v>
      </c>
      <c r="L22633" s="2">
        <v>205</v>
      </c>
    </row>
    <row r="22634" spans="1:12" x14ac:dyDescent="0.25">
      <c r="A22634" s="4" t="str">
        <f>HYPERLINK("http://www.rosaceae.org/Prunus/Prunus_persica/p.persica_gdr_reftransV1_0049098","p.persica_gdr_reftransV1_0049098")</f>
        <v>p.persica_gdr_reftransV1_0049098</v>
      </c>
      <c r="B22634" s="2">
        <v>589</v>
      </c>
      <c r="C22634" s="4" t="str">
        <f>HYPERLINK("http://www.uniprot.org/uniprot/M5W8Q7","M5W8Q7")</f>
        <v>M5W8Q7</v>
      </c>
      <c r="D22634" s="2" t="s">
        <v>16667</v>
      </c>
      <c r="E22634" s="3">
        <v>1.15E-125</v>
      </c>
      <c r="F22634" s="2">
        <v>974</v>
      </c>
      <c r="G22634" s="2">
        <v>98</v>
      </c>
      <c r="H22634" s="2">
        <v>184</v>
      </c>
      <c r="I22634" s="2">
        <v>3</v>
      </c>
      <c r="J22634" s="2">
        <v>554</v>
      </c>
      <c r="K22634" s="2">
        <v>190</v>
      </c>
      <c r="L22634" s="2">
        <v>373</v>
      </c>
    </row>
    <row r="22635" spans="1:12" x14ac:dyDescent="0.25">
      <c r="A22635" s="4" t="str">
        <f>HYPERLINK("http://www.rosaceae.org/Prunus/Prunus_persica/p.persica_gdr_reftransV1_0000099","p.persica_gdr_reftransV1_0000099")</f>
        <v>p.persica_gdr_reftransV1_0000099</v>
      </c>
      <c r="B22635" s="2">
        <v>501</v>
      </c>
      <c r="C22635" s="4" t="str">
        <f>HYPERLINK("http://www.uniprot.org/uniprot/M5VWI1","M5VWI1")</f>
        <v>M5VWI1</v>
      </c>
      <c r="D22635" s="2" t="s">
        <v>3888</v>
      </c>
      <c r="E22635" s="3">
        <v>8.8499999999999998E-54</v>
      </c>
      <c r="F22635" s="2">
        <v>480</v>
      </c>
      <c r="G22635" s="2">
        <v>100</v>
      </c>
      <c r="H22635" s="2">
        <v>104</v>
      </c>
      <c r="I22635" s="2">
        <v>189</v>
      </c>
      <c r="J22635" s="2">
        <v>500</v>
      </c>
      <c r="K22635" s="2">
        <v>443</v>
      </c>
      <c r="L22635" s="2">
        <v>546</v>
      </c>
    </row>
    <row r="22636" spans="1:12" x14ac:dyDescent="0.25">
      <c r="A22636" s="4" t="str">
        <f>HYPERLINK("http://www.rosaceae.org/Prunus/Prunus_persica/p.persica_gdr_reftransV1_0000449","p.persica_gdr_reftransV1_0000449")</f>
        <v>p.persica_gdr_reftransV1_0000449</v>
      </c>
      <c r="B22636" s="2">
        <v>1833</v>
      </c>
      <c r="C22636" s="4" t="str">
        <f>HYPERLINK("http://www.uniprot.org/uniprot/M5X9Q4","M5X9Q4")</f>
        <v>M5X9Q4</v>
      </c>
      <c r="D22636" s="2" t="s">
        <v>7735</v>
      </c>
      <c r="E22636" s="3">
        <v>0</v>
      </c>
      <c r="F22636" s="2">
        <v>2506</v>
      </c>
      <c r="G22636" s="2">
        <v>100</v>
      </c>
      <c r="H22636" s="2">
        <v>464</v>
      </c>
      <c r="I22636" s="2">
        <v>296</v>
      </c>
      <c r="J22636" s="2">
        <v>1687</v>
      </c>
      <c r="K22636" s="2">
        <v>1</v>
      </c>
      <c r="L22636" s="2">
        <v>464</v>
      </c>
    </row>
    <row r="22637" spans="1:12" x14ac:dyDescent="0.25">
      <c r="A22637" s="4" t="str">
        <f>HYPERLINK("http://www.rosaceae.org/Prunus/Prunus_persica/p.persica_gdr_reftransV1_0000799","p.persica_gdr_reftransV1_0000799")</f>
        <v>p.persica_gdr_reftransV1_0000799</v>
      </c>
      <c r="B22637" s="2">
        <v>301</v>
      </c>
      <c r="C22637" s="4" t="str">
        <f>HYPERLINK("http://www.uniprot.org/uniprot/M5XKB3","M5XKB3")</f>
        <v>M5XKB3</v>
      </c>
      <c r="D22637" s="2" t="s">
        <v>1229</v>
      </c>
      <c r="E22637" s="3">
        <v>5.25E-11</v>
      </c>
      <c r="F22637" s="2">
        <v>165</v>
      </c>
      <c r="G22637" s="2">
        <v>100</v>
      </c>
      <c r="H22637" s="2">
        <v>33</v>
      </c>
      <c r="I22637" s="2">
        <v>3</v>
      </c>
      <c r="J22637" s="2">
        <v>101</v>
      </c>
      <c r="K22637" s="2">
        <v>22</v>
      </c>
      <c r="L22637" s="2">
        <v>54</v>
      </c>
    </row>
    <row r="22638" spans="1:12" x14ac:dyDescent="0.25">
      <c r="A22638" s="4" t="str">
        <f>HYPERLINK("http://www.rosaceae.org/Prunus/Prunus_persica/p.persica_gdr_reftransV1_0001149","p.persica_gdr_reftransV1_0001149")</f>
        <v>p.persica_gdr_reftransV1_0001149</v>
      </c>
      <c r="B22638" s="2">
        <v>1468</v>
      </c>
      <c r="C22638" s="4" t="str">
        <f>HYPERLINK("http://www.uniprot.org/uniprot/M5VKL0","M5VKL0")</f>
        <v>M5VKL0</v>
      </c>
      <c r="D22638" s="2" t="s">
        <v>8520</v>
      </c>
      <c r="E22638" s="3">
        <v>0</v>
      </c>
      <c r="F22638" s="2">
        <v>1558</v>
      </c>
      <c r="G22638" s="2">
        <v>100</v>
      </c>
      <c r="H22638" s="2">
        <v>308</v>
      </c>
      <c r="I22638" s="2">
        <v>198</v>
      </c>
      <c r="J22638" s="2">
        <v>1121</v>
      </c>
      <c r="K22638" s="2">
        <v>1</v>
      </c>
      <c r="L22638" s="2">
        <v>308</v>
      </c>
    </row>
    <row r="22639" spans="1:12" x14ac:dyDescent="0.25">
      <c r="A22639" s="4" t="str">
        <f>HYPERLINK("http://www.rosaceae.org/Prunus/Prunus_persica/p.persica_gdr_reftransV1_0001499","p.persica_gdr_reftransV1_0001499")</f>
        <v>p.persica_gdr_reftransV1_0001499</v>
      </c>
      <c r="B22639" s="2">
        <v>1355</v>
      </c>
      <c r="C22639" s="4" t="str">
        <f>HYPERLINK("http://www.uniprot.org/uniprot/M5XXB6","M5XXB6")</f>
        <v>M5XXB6</v>
      </c>
      <c r="D22639" s="2" t="s">
        <v>9207</v>
      </c>
      <c r="E22639" s="3">
        <v>9.7699999999999995E-176</v>
      </c>
      <c r="F22639" s="2">
        <v>1081</v>
      </c>
      <c r="G22639" s="2">
        <v>100</v>
      </c>
      <c r="H22639" s="2">
        <v>203</v>
      </c>
      <c r="I22639" s="2">
        <v>612</v>
      </c>
      <c r="J22639" s="2">
        <v>1220</v>
      </c>
      <c r="K22639" s="2">
        <v>1</v>
      </c>
      <c r="L22639" s="2">
        <v>203</v>
      </c>
    </row>
    <row r="22640" spans="1:12" x14ac:dyDescent="0.25">
      <c r="A22640" s="4" t="str">
        <f>HYPERLINK("http://www.rosaceae.org/Prunus/Prunus_persica/p.persica_gdr_reftransV1_0001849","p.persica_gdr_reftransV1_0001849")</f>
        <v>p.persica_gdr_reftransV1_0001849</v>
      </c>
      <c r="B22640" s="2">
        <v>379</v>
      </c>
      <c r="C22640" s="4" t="str">
        <f>HYPERLINK("http://www.uniprot.org/uniprot/C7Z2V2","C7Z2V2")</f>
        <v>C7Z2V2</v>
      </c>
      <c r="D22640" s="2" t="s">
        <v>16462</v>
      </c>
      <c r="E22640" s="3">
        <v>6.3200000000000001E-69</v>
      </c>
      <c r="F22640" s="2">
        <v>575</v>
      </c>
      <c r="G22640" s="2">
        <v>83</v>
      </c>
      <c r="H22640" s="2">
        <v>126</v>
      </c>
      <c r="I22640" s="2">
        <v>2</v>
      </c>
      <c r="J22640" s="2">
        <v>379</v>
      </c>
      <c r="K22640" s="2">
        <v>266</v>
      </c>
      <c r="L22640" s="2">
        <v>391</v>
      </c>
    </row>
    <row r="22641" spans="1:12" x14ac:dyDescent="0.25">
      <c r="A22641" s="4" t="str">
        <f>HYPERLINK("http://www.rosaceae.org/Prunus/Prunus_persica/p.persica_gdr_reftransV1_0002199","p.persica_gdr_reftransV1_0002199")</f>
        <v>p.persica_gdr_reftransV1_0002199</v>
      </c>
      <c r="B22641" s="2">
        <v>1900</v>
      </c>
      <c r="C22641" s="4" t="str">
        <f>HYPERLINK("http://www.uniprot.org/uniprot/M5W616","M5W616")</f>
        <v>M5W616</v>
      </c>
      <c r="D22641" s="2" t="s">
        <v>5049</v>
      </c>
      <c r="E22641" s="3">
        <v>0</v>
      </c>
      <c r="F22641" s="2">
        <v>2327</v>
      </c>
      <c r="G22641" s="2">
        <v>100</v>
      </c>
      <c r="H22641" s="2">
        <v>444</v>
      </c>
      <c r="I22641" s="2">
        <v>442</v>
      </c>
      <c r="J22641" s="2">
        <v>1773</v>
      </c>
      <c r="K22641" s="2">
        <v>1</v>
      </c>
      <c r="L22641" s="2">
        <v>444</v>
      </c>
    </row>
    <row r="22642" spans="1:12" x14ac:dyDescent="0.25">
      <c r="A22642" s="4" t="str">
        <f>HYPERLINK("http://www.rosaceae.org/Prunus/Prunus_persica/p.persica_gdr_reftransV1_0002899","p.persica_gdr_reftransV1_0002899")</f>
        <v>p.persica_gdr_reftransV1_0002899</v>
      </c>
      <c r="B22642" s="2">
        <v>1279</v>
      </c>
      <c r="C22642" s="4" t="str">
        <f>HYPERLINK("http://www.uniprot.org/uniprot/M5VZQ3","M5VZQ3")</f>
        <v>M5VZQ3</v>
      </c>
      <c r="D22642" s="2" t="s">
        <v>5448</v>
      </c>
      <c r="E22642" s="3">
        <v>0</v>
      </c>
      <c r="F22642" s="2">
        <v>1366</v>
      </c>
      <c r="G22642" s="2">
        <v>100</v>
      </c>
      <c r="H22642" s="2">
        <v>276</v>
      </c>
      <c r="I22642" s="2">
        <v>389</v>
      </c>
      <c r="J22642" s="2">
        <v>1216</v>
      </c>
      <c r="K22642" s="2">
        <v>91</v>
      </c>
      <c r="L22642" s="2">
        <v>366</v>
      </c>
    </row>
    <row r="22643" spans="1:12" x14ac:dyDescent="0.25">
      <c r="A22643" s="4" t="str">
        <f>HYPERLINK("http://www.rosaceae.org/Prunus/Prunus_persica/p.persica_gdr_reftransV1_0003249","p.persica_gdr_reftransV1_0003249")</f>
        <v>p.persica_gdr_reftransV1_0003249</v>
      </c>
      <c r="B22643" s="2">
        <v>2801</v>
      </c>
      <c r="C22643" s="4" t="str">
        <f>HYPERLINK("http://www.uniprot.org/uniprot/M5WBM3","M5WBM3")</f>
        <v>M5WBM3</v>
      </c>
      <c r="D22643" s="2" t="s">
        <v>9668</v>
      </c>
      <c r="E22643" s="3">
        <v>0</v>
      </c>
      <c r="F22643" s="2">
        <v>1718</v>
      </c>
      <c r="G22643" s="2">
        <v>100</v>
      </c>
      <c r="H22643" s="2">
        <v>327</v>
      </c>
      <c r="I22643" s="2">
        <v>380</v>
      </c>
      <c r="J22643" s="2">
        <v>1360</v>
      </c>
      <c r="K22643" s="2">
        <v>179</v>
      </c>
      <c r="L22643" s="2">
        <v>505</v>
      </c>
    </row>
    <row r="22644" spans="1:12" x14ac:dyDescent="0.25">
      <c r="A22644" s="4" t="str">
        <f>HYPERLINK("http://www.rosaceae.org/Prunus/Prunus_persica/p.persica_gdr_reftransV1_0003599","p.persica_gdr_reftransV1_0003599")</f>
        <v>p.persica_gdr_reftransV1_0003599</v>
      </c>
      <c r="B22644" s="2">
        <v>1546</v>
      </c>
      <c r="C22644" s="4" t="str">
        <f>HYPERLINK("http://www.uniprot.org/uniprot/M5WZ89","M5WZ89")</f>
        <v>M5WZ89</v>
      </c>
      <c r="D22644" s="2" t="s">
        <v>16668</v>
      </c>
      <c r="E22644" s="3">
        <v>0</v>
      </c>
      <c r="F22644" s="2">
        <v>2346</v>
      </c>
      <c r="G22644" s="2">
        <v>100</v>
      </c>
      <c r="H22644" s="2">
        <v>471</v>
      </c>
      <c r="I22644" s="2">
        <v>134</v>
      </c>
      <c r="J22644" s="2">
        <v>1546</v>
      </c>
      <c r="K22644" s="2">
        <v>41</v>
      </c>
      <c r="L22644" s="2">
        <v>511</v>
      </c>
    </row>
    <row r="22645" spans="1:12" x14ac:dyDescent="0.25">
      <c r="A22645" s="4" t="str">
        <f>HYPERLINK("http://www.rosaceae.org/Prunus/Prunus_persica/p.persica_gdr_reftransV1_0003949","p.persica_gdr_reftransV1_0003949")</f>
        <v>p.persica_gdr_reftransV1_0003949</v>
      </c>
      <c r="B22645" s="2">
        <v>366</v>
      </c>
      <c r="C22645" s="4" t="str">
        <f>HYPERLINK("http://www.uniprot.org/uniprot/A0A0C3ATY2","A0A0C3ATY2")</f>
        <v>A0A0C3ATY2</v>
      </c>
      <c r="D22645" s="2" t="s">
        <v>16669</v>
      </c>
      <c r="E22645" s="3">
        <v>1.27E-41</v>
      </c>
      <c r="F22645" s="2">
        <v>381</v>
      </c>
      <c r="G22645" s="2">
        <v>58</v>
      </c>
      <c r="H22645" s="2">
        <v>121</v>
      </c>
      <c r="I22645" s="2">
        <v>9</v>
      </c>
      <c r="J22645" s="2">
        <v>365</v>
      </c>
      <c r="K22645" s="2">
        <v>126</v>
      </c>
      <c r="L22645" s="2">
        <v>246</v>
      </c>
    </row>
    <row r="22646" spans="1:12" x14ac:dyDescent="0.25">
      <c r="A22646" s="4" t="str">
        <f>HYPERLINK("http://www.rosaceae.org/Prunus/Prunus_persica/p.persica_gdr_reftransV1_0004299","p.persica_gdr_reftransV1_0004299")</f>
        <v>p.persica_gdr_reftransV1_0004299</v>
      </c>
      <c r="B22646" s="2">
        <v>1598</v>
      </c>
      <c r="C22646" s="4" t="str">
        <f>HYPERLINK("http://www.uniprot.org/uniprot/M5W9A2","M5W9A2")</f>
        <v>M5W9A2</v>
      </c>
      <c r="D22646" s="2" t="s">
        <v>16670</v>
      </c>
      <c r="E22646" s="3">
        <v>0</v>
      </c>
      <c r="F22646" s="2">
        <v>2431</v>
      </c>
      <c r="G22646" s="2">
        <v>100</v>
      </c>
      <c r="H22646" s="2">
        <v>449</v>
      </c>
      <c r="I22646" s="2">
        <v>199</v>
      </c>
      <c r="J22646" s="2">
        <v>1545</v>
      </c>
      <c r="K22646" s="2">
        <v>1</v>
      </c>
      <c r="L22646" s="2">
        <v>449</v>
      </c>
    </row>
    <row r="22647" spans="1:12" x14ac:dyDescent="0.25">
      <c r="A22647" s="4" t="str">
        <f>HYPERLINK("http://www.rosaceae.org/Prunus/Prunus_persica/p.persica_gdr_reftransV1_0004649","p.persica_gdr_reftransV1_0004649")</f>
        <v>p.persica_gdr_reftransV1_0004649</v>
      </c>
      <c r="B22647" s="2">
        <v>1677</v>
      </c>
      <c r="C22647" s="4" t="str">
        <f>HYPERLINK("http://www.uniprot.org/uniprot/M5WUM2","M5WUM2")</f>
        <v>M5WUM2</v>
      </c>
      <c r="D22647" s="2" t="s">
        <v>16671</v>
      </c>
      <c r="E22647" s="3">
        <v>0</v>
      </c>
      <c r="F22647" s="2">
        <v>2370</v>
      </c>
      <c r="G22647" s="2">
        <v>100</v>
      </c>
      <c r="H22647" s="2">
        <v>477</v>
      </c>
      <c r="I22647" s="2">
        <v>2</v>
      </c>
      <c r="J22647" s="2">
        <v>1432</v>
      </c>
      <c r="K22647" s="2">
        <v>30</v>
      </c>
      <c r="L22647" s="2">
        <v>506</v>
      </c>
    </row>
    <row r="22648" spans="1:12" x14ac:dyDescent="0.25">
      <c r="A22648" s="4" t="str">
        <f>HYPERLINK("http://www.rosaceae.org/Prunus/Prunus_persica/p.persica_gdr_reftransV1_0004999","p.persica_gdr_reftransV1_0004999")</f>
        <v>p.persica_gdr_reftransV1_0004999</v>
      </c>
      <c r="B22648" s="2">
        <v>1734</v>
      </c>
      <c r="C22648" s="4" t="str">
        <f>HYPERLINK("http://www.uniprot.org/uniprot/M5XJJ3","M5XJJ3")</f>
        <v>M5XJJ3</v>
      </c>
      <c r="D22648" s="2" t="s">
        <v>16672</v>
      </c>
      <c r="E22648" s="3">
        <v>0</v>
      </c>
      <c r="F22648" s="2">
        <v>2341</v>
      </c>
      <c r="G22648" s="2">
        <v>100</v>
      </c>
      <c r="H22648" s="2">
        <v>442</v>
      </c>
      <c r="I22648" s="2">
        <v>322</v>
      </c>
      <c r="J22648" s="2">
        <v>1647</v>
      </c>
      <c r="K22648" s="2">
        <v>5</v>
      </c>
      <c r="L22648" s="2">
        <v>446</v>
      </c>
    </row>
    <row r="22649" spans="1:12" x14ac:dyDescent="0.25">
      <c r="A22649" s="4" t="str">
        <f>HYPERLINK("http://www.rosaceae.org/Prunus/Prunus_persica/p.persica_gdr_reftransV1_0005349","p.persica_gdr_reftransV1_0005349")</f>
        <v>p.persica_gdr_reftransV1_0005349</v>
      </c>
      <c r="B22649" s="2">
        <v>5860</v>
      </c>
      <c r="C22649" s="4" t="str">
        <f>HYPERLINK("http://www.uniprot.org/uniprot/M5VSR2","M5VSR2")</f>
        <v>M5VSR2</v>
      </c>
      <c r="D22649" s="2" t="s">
        <v>14602</v>
      </c>
      <c r="E22649" s="3">
        <v>0</v>
      </c>
      <c r="F22649" s="2">
        <v>6920</v>
      </c>
      <c r="G22649" s="2">
        <v>99</v>
      </c>
      <c r="H22649" s="2">
        <v>1363</v>
      </c>
      <c r="I22649" s="2">
        <v>968</v>
      </c>
      <c r="J22649" s="2">
        <v>5056</v>
      </c>
      <c r="K22649" s="2">
        <v>1</v>
      </c>
      <c r="L22649" s="2">
        <v>1361</v>
      </c>
    </row>
    <row r="22650" spans="1:12" x14ac:dyDescent="0.25">
      <c r="A22650" s="4" t="str">
        <f>HYPERLINK("http://www.rosaceae.org/Prunus/Prunus_persica/p.persica_gdr_reftransV1_0005699","p.persica_gdr_reftransV1_0005699")</f>
        <v>p.persica_gdr_reftransV1_0005699</v>
      </c>
      <c r="B22650" s="2">
        <v>1107</v>
      </c>
      <c r="C22650" s="4" t="str">
        <f>HYPERLINK("http://www.uniprot.org/uniprot/M5X8F6","M5X8F6")</f>
        <v>M5X8F6</v>
      </c>
      <c r="D22650" s="2" t="s">
        <v>16673</v>
      </c>
      <c r="E22650" s="3">
        <v>1.6500000000000001E-98</v>
      </c>
      <c r="F22650" s="2">
        <v>774</v>
      </c>
      <c r="G22650" s="2">
        <v>100</v>
      </c>
      <c r="H22650" s="2">
        <v>157</v>
      </c>
      <c r="I22650" s="2">
        <v>635</v>
      </c>
      <c r="J22650" s="2">
        <v>1105</v>
      </c>
      <c r="K22650" s="2">
        <v>40</v>
      </c>
      <c r="L22650" s="2">
        <v>196</v>
      </c>
    </row>
    <row r="22651" spans="1:12" x14ac:dyDescent="0.25">
      <c r="A22651" s="4" t="str">
        <f>HYPERLINK("http://www.rosaceae.org/Prunus/Prunus_persica/p.persica_gdr_reftransV1_0006049","p.persica_gdr_reftransV1_0006049")</f>
        <v>p.persica_gdr_reftransV1_0006049</v>
      </c>
      <c r="B22651" s="2">
        <v>354</v>
      </c>
      <c r="C22651" s="4" t="str">
        <f>HYPERLINK("http://www.uniprot.org/uniprot/M5Y600","M5Y600")</f>
        <v>M5Y600</v>
      </c>
      <c r="D22651" s="2" t="s">
        <v>5830</v>
      </c>
      <c r="E22651" s="3">
        <v>5.9700000000000004E-60</v>
      </c>
      <c r="F22651" s="2">
        <v>528</v>
      </c>
      <c r="G22651" s="2">
        <v>100</v>
      </c>
      <c r="H22651" s="2">
        <v>117</v>
      </c>
      <c r="I22651" s="2">
        <v>2</v>
      </c>
      <c r="J22651" s="2">
        <v>352</v>
      </c>
      <c r="K22651" s="2">
        <v>649</v>
      </c>
      <c r="L22651" s="2">
        <v>765</v>
      </c>
    </row>
    <row r="22652" spans="1:12" x14ac:dyDescent="0.25">
      <c r="A22652" s="4" t="str">
        <f>HYPERLINK("http://www.rosaceae.org/Prunus/Prunus_persica/p.persica_gdr_reftransV1_0006399","p.persica_gdr_reftransV1_0006399")</f>
        <v>p.persica_gdr_reftransV1_0006399</v>
      </c>
      <c r="B22652" s="2">
        <v>2577</v>
      </c>
      <c r="C22652" s="4" t="str">
        <f>HYPERLINK("http://www.uniprot.org/uniprot/M5X231","M5X231")</f>
        <v>M5X231</v>
      </c>
      <c r="D22652" s="2" t="s">
        <v>16674</v>
      </c>
      <c r="E22652" s="3">
        <v>1.6599999999999999E-108</v>
      </c>
      <c r="F22652" s="2">
        <v>884</v>
      </c>
      <c r="G22652" s="2">
        <v>99</v>
      </c>
      <c r="H22652" s="2">
        <v>170</v>
      </c>
      <c r="I22652" s="2">
        <v>1374</v>
      </c>
      <c r="J22652" s="2">
        <v>1883</v>
      </c>
      <c r="K22652" s="2">
        <v>74</v>
      </c>
      <c r="L22652" s="2">
        <v>243</v>
      </c>
    </row>
    <row r="22653" spans="1:12" x14ac:dyDescent="0.25">
      <c r="A22653" s="4" t="str">
        <f>HYPERLINK("http://www.rosaceae.org/Prunus/Prunus_persica/p.persica_gdr_reftransV1_0007449","p.persica_gdr_reftransV1_0007449")</f>
        <v>p.persica_gdr_reftransV1_0007449</v>
      </c>
      <c r="B22653" s="2">
        <v>452</v>
      </c>
      <c r="C22653" s="4" t="str">
        <f>HYPERLINK("http://www.uniprot.org/uniprot/M5VTM2","M5VTM2")</f>
        <v>M5VTM2</v>
      </c>
      <c r="D22653" s="2" t="s">
        <v>16675</v>
      </c>
      <c r="E22653" s="3">
        <v>4.8000000000000004E-41</v>
      </c>
      <c r="F22653" s="2">
        <v>381</v>
      </c>
      <c r="G22653" s="2">
        <v>68</v>
      </c>
      <c r="H22653" s="2">
        <v>133</v>
      </c>
      <c r="I22653" s="2">
        <v>1</v>
      </c>
      <c r="J22653" s="2">
        <v>396</v>
      </c>
      <c r="K22653" s="2">
        <v>50</v>
      </c>
      <c r="L22653" s="2">
        <v>172</v>
      </c>
    </row>
    <row r="22654" spans="1:12" x14ac:dyDescent="0.25">
      <c r="A22654" s="4" t="str">
        <f>HYPERLINK("http://www.rosaceae.org/Prunus/Prunus_persica/p.persica_gdr_reftransV1_0008149","p.persica_gdr_reftransV1_0008149")</f>
        <v>p.persica_gdr_reftransV1_0008149</v>
      </c>
      <c r="B22654" s="2">
        <v>1718</v>
      </c>
      <c r="C22654" s="4" t="str">
        <f>HYPERLINK("http://www.uniprot.org/uniprot/M5XDE5","M5XDE5")</f>
        <v>M5XDE5</v>
      </c>
      <c r="D22654" s="2" t="s">
        <v>16135</v>
      </c>
      <c r="E22654" s="3">
        <v>5.9100000000000002E-162</v>
      </c>
      <c r="F22654" s="2">
        <v>1235</v>
      </c>
      <c r="G22654" s="2">
        <v>96</v>
      </c>
      <c r="H22654" s="2">
        <v>282</v>
      </c>
      <c r="I22654" s="2">
        <v>608</v>
      </c>
      <c r="J22654" s="2">
        <v>1453</v>
      </c>
      <c r="K22654" s="2">
        <v>129</v>
      </c>
      <c r="L22654" s="2">
        <v>407</v>
      </c>
    </row>
    <row r="22655" spans="1:12" x14ac:dyDescent="0.25">
      <c r="A22655" s="4" t="str">
        <f>HYPERLINK("http://www.rosaceae.org/Prunus/Prunus_persica/p.persica_gdr_reftransV1_0008499","p.persica_gdr_reftransV1_0008499")</f>
        <v>p.persica_gdr_reftransV1_0008499</v>
      </c>
      <c r="B22655" s="2">
        <v>727</v>
      </c>
      <c r="C22655" s="4" t="str">
        <f>HYPERLINK("http://www.uniprot.org/uniprot/M5WGL1","M5WGL1")</f>
        <v>M5WGL1</v>
      </c>
      <c r="D22655" s="2" t="s">
        <v>16676</v>
      </c>
      <c r="E22655" s="3">
        <v>5.3800000000000001E-128</v>
      </c>
      <c r="F22655" s="2">
        <v>956</v>
      </c>
      <c r="G22655" s="2">
        <v>100</v>
      </c>
      <c r="H22655" s="2">
        <v>192</v>
      </c>
      <c r="I22655" s="2">
        <v>3</v>
      </c>
      <c r="J22655" s="2">
        <v>578</v>
      </c>
      <c r="K22655" s="2">
        <v>11</v>
      </c>
      <c r="L22655" s="2">
        <v>202</v>
      </c>
    </row>
    <row r="22656" spans="1:12" x14ac:dyDescent="0.25">
      <c r="A22656" s="4" t="str">
        <f>HYPERLINK("http://www.rosaceae.org/Prunus/Prunus_persica/p.persica_gdr_reftransV1_0008849","p.persica_gdr_reftransV1_0008849")</f>
        <v>p.persica_gdr_reftransV1_0008849</v>
      </c>
      <c r="B22656" s="2">
        <v>1025</v>
      </c>
      <c r="C22656" s="4" t="str">
        <f>HYPERLINK("http://www.uniprot.org/uniprot/M5W4J4","M5W4J4")</f>
        <v>M5W4J4</v>
      </c>
      <c r="D22656" s="2" t="s">
        <v>16677</v>
      </c>
      <c r="E22656" s="3">
        <v>1.4899999999999999E-138</v>
      </c>
      <c r="F22656" s="2">
        <v>1037</v>
      </c>
      <c r="G22656" s="2">
        <v>99</v>
      </c>
      <c r="H22656" s="2">
        <v>199</v>
      </c>
      <c r="I22656" s="2">
        <v>330</v>
      </c>
      <c r="J22656" s="2">
        <v>926</v>
      </c>
      <c r="K22656" s="2">
        <v>1</v>
      </c>
      <c r="L22656" s="2">
        <v>199</v>
      </c>
    </row>
    <row r="22657" spans="1:12" x14ac:dyDescent="0.25">
      <c r="A22657" s="4" t="str">
        <f>HYPERLINK("http://www.rosaceae.org/Prunus/Prunus_persica/p.persica_gdr_reftransV1_0010599","p.persica_gdr_reftransV1_0010599")</f>
        <v>p.persica_gdr_reftransV1_0010599</v>
      </c>
      <c r="B22657" s="2">
        <v>2503</v>
      </c>
      <c r="C22657" s="4" t="str">
        <f>HYPERLINK("http://www.uniprot.org/uniprot/M5WQR7","M5WQR7")</f>
        <v>M5WQR7</v>
      </c>
      <c r="D22657" s="2" t="s">
        <v>16678</v>
      </c>
      <c r="E22657" s="3">
        <v>0</v>
      </c>
      <c r="F22657" s="2">
        <v>3223</v>
      </c>
      <c r="G22657" s="2">
        <v>100</v>
      </c>
      <c r="H22657" s="2">
        <v>635</v>
      </c>
      <c r="I22657" s="2">
        <v>139</v>
      </c>
      <c r="J22657" s="2">
        <v>2043</v>
      </c>
      <c r="K22657" s="2">
        <v>1</v>
      </c>
      <c r="L22657" s="2">
        <v>635</v>
      </c>
    </row>
    <row r="22658" spans="1:12" x14ac:dyDescent="0.25">
      <c r="A22658" s="4" t="str">
        <f>HYPERLINK("http://www.rosaceae.org/Prunus/Prunus_persica/p.persica_gdr_reftransV1_0010949","p.persica_gdr_reftransV1_0010949")</f>
        <v>p.persica_gdr_reftransV1_0010949</v>
      </c>
      <c r="B22658" s="2">
        <v>3575</v>
      </c>
      <c r="C22658" s="4" t="str">
        <f>HYPERLINK("http://www.uniprot.org/uniprot/M5XQN7","M5XQN7")</f>
        <v>M5XQN7</v>
      </c>
      <c r="D22658" s="2" t="s">
        <v>16679</v>
      </c>
      <c r="E22658" s="3">
        <v>0</v>
      </c>
      <c r="F22658" s="2">
        <v>4609</v>
      </c>
      <c r="G22658" s="2">
        <v>100</v>
      </c>
      <c r="H22658" s="2">
        <v>883</v>
      </c>
      <c r="I22658" s="2">
        <v>890</v>
      </c>
      <c r="J22658" s="2">
        <v>3538</v>
      </c>
      <c r="K22658" s="2">
        <v>1</v>
      </c>
      <c r="L22658" s="2">
        <v>883</v>
      </c>
    </row>
    <row r="22659" spans="1:12" x14ac:dyDescent="0.25">
      <c r="A22659" s="4" t="str">
        <f>HYPERLINK("http://www.rosaceae.org/Prunus/Prunus_persica/p.persica_gdr_reftransV1_0011299","p.persica_gdr_reftransV1_0011299")</f>
        <v>p.persica_gdr_reftransV1_0011299</v>
      </c>
      <c r="B22659" s="2">
        <v>3731</v>
      </c>
      <c r="C22659" s="4" t="str">
        <f>HYPERLINK("http://www.uniprot.org/uniprot/M5WXJ2","M5WXJ2")</f>
        <v>M5WXJ2</v>
      </c>
      <c r="D22659" s="2" t="s">
        <v>16680</v>
      </c>
      <c r="E22659" s="3">
        <v>0</v>
      </c>
      <c r="F22659" s="2">
        <v>3481</v>
      </c>
      <c r="G22659" s="2">
        <v>96</v>
      </c>
      <c r="H22659" s="2">
        <v>745</v>
      </c>
      <c r="I22659" s="2">
        <v>830</v>
      </c>
      <c r="J22659" s="2">
        <v>3064</v>
      </c>
      <c r="K22659" s="2">
        <v>1</v>
      </c>
      <c r="L22659" s="2">
        <v>718</v>
      </c>
    </row>
    <row r="22660" spans="1:12" x14ac:dyDescent="0.25">
      <c r="A22660" s="4" t="str">
        <f>HYPERLINK("http://www.rosaceae.org/Prunus/Prunus_persica/p.persica_gdr_reftransV1_0011649","p.persica_gdr_reftransV1_0011649")</f>
        <v>p.persica_gdr_reftransV1_0011649</v>
      </c>
      <c r="B22660" s="2">
        <v>2151</v>
      </c>
      <c r="C22660" s="4" t="str">
        <f>HYPERLINK("http://www.uniprot.org/uniprot/M5WTB8","M5WTB8")</f>
        <v>M5WTB8</v>
      </c>
      <c r="D22660" s="2" t="s">
        <v>16681</v>
      </c>
      <c r="E22660" s="3">
        <v>1.7500000000000001E-169</v>
      </c>
      <c r="F22660" s="2">
        <v>1288</v>
      </c>
      <c r="G22660" s="2">
        <v>100</v>
      </c>
      <c r="H22660" s="2">
        <v>302</v>
      </c>
      <c r="I22660" s="2">
        <v>504</v>
      </c>
      <c r="J22660" s="2">
        <v>1409</v>
      </c>
      <c r="K22660" s="2">
        <v>1</v>
      </c>
      <c r="L22660" s="2">
        <v>302</v>
      </c>
    </row>
    <row r="22661" spans="1:12" x14ac:dyDescent="0.25">
      <c r="A22661" s="4" t="str">
        <f>HYPERLINK("http://www.rosaceae.org/Prunus/Prunus_persica/p.persica_gdr_reftransV1_0011999","p.persica_gdr_reftransV1_0011999")</f>
        <v>p.persica_gdr_reftransV1_0011999</v>
      </c>
      <c r="B22661" s="2">
        <v>1616</v>
      </c>
      <c r="C22661" s="4" t="str">
        <f>HYPERLINK("http://www.uniprot.org/uniprot/M5VPN9","M5VPN9")</f>
        <v>M5VPN9</v>
      </c>
      <c r="D22661" s="2" t="s">
        <v>2590</v>
      </c>
      <c r="E22661" s="3">
        <v>1.85E-68</v>
      </c>
      <c r="F22661" s="2">
        <v>393</v>
      </c>
      <c r="G22661" s="2">
        <v>77</v>
      </c>
      <c r="H22661" s="2">
        <v>103</v>
      </c>
      <c r="I22661" s="2">
        <v>946</v>
      </c>
      <c r="J22661" s="2">
        <v>1254</v>
      </c>
      <c r="K22661" s="2">
        <v>347</v>
      </c>
      <c r="L22661" s="2">
        <v>449</v>
      </c>
    </row>
    <row r="22662" spans="1:12" x14ac:dyDescent="0.25">
      <c r="A22662" s="4" t="str">
        <f>HYPERLINK("http://www.rosaceae.org/Prunus/Prunus_persica/p.persica_gdr_reftransV1_0012349","p.persica_gdr_reftransV1_0012349")</f>
        <v>p.persica_gdr_reftransV1_0012349</v>
      </c>
      <c r="B22662" s="2">
        <v>1188</v>
      </c>
      <c r="C22662" s="4" t="str">
        <f>HYPERLINK("http://www.uniprot.org/uniprot/M5XTT2","M5XTT2")</f>
        <v>M5XTT2</v>
      </c>
      <c r="D22662" s="2" t="s">
        <v>16682</v>
      </c>
      <c r="E22662" s="3">
        <v>1.8699999999999999E-88</v>
      </c>
      <c r="F22662" s="2">
        <v>704</v>
      </c>
      <c r="G22662" s="2">
        <v>100</v>
      </c>
      <c r="H22662" s="2">
        <v>136</v>
      </c>
      <c r="I22662" s="2">
        <v>307</v>
      </c>
      <c r="J22662" s="2">
        <v>714</v>
      </c>
      <c r="K22662" s="2">
        <v>1</v>
      </c>
      <c r="L22662" s="2">
        <v>136</v>
      </c>
    </row>
    <row r="22663" spans="1:12" x14ac:dyDescent="0.25">
      <c r="A22663" s="4" t="str">
        <f>HYPERLINK("http://www.rosaceae.org/Prunus/Prunus_persica/p.persica_gdr_reftransV1_0013049","p.persica_gdr_reftransV1_0013049")</f>
        <v>p.persica_gdr_reftransV1_0013049</v>
      </c>
      <c r="B22663" s="2">
        <v>615</v>
      </c>
      <c r="C22663" s="4" t="str">
        <f>HYPERLINK("http://www.uniprot.org/uniprot/M5XGF4","M5XGF4")</f>
        <v>M5XGF4</v>
      </c>
      <c r="D22663" s="2" t="s">
        <v>7039</v>
      </c>
      <c r="E22663" s="3">
        <v>5.3599999999999998E-47</v>
      </c>
      <c r="F22663" s="2">
        <v>406</v>
      </c>
      <c r="G22663" s="2">
        <v>100</v>
      </c>
      <c r="H22663" s="2">
        <v>91</v>
      </c>
      <c r="I22663" s="2">
        <v>88</v>
      </c>
      <c r="J22663" s="2">
        <v>360</v>
      </c>
      <c r="K22663" s="2">
        <v>1</v>
      </c>
      <c r="L22663" s="2">
        <v>91</v>
      </c>
    </row>
    <row r="22664" spans="1:12" x14ac:dyDescent="0.25">
      <c r="A22664" s="4" t="str">
        <f>HYPERLINK("http://www.rosaceae.org/Prunus/Prunus_persica/p.persica_gdr_reftransV1_0013399","p.persica_gdr_reftransV1_0013399")</f>
        <v>p.persica_gdr_reftransV1_0013399</v>
      </c>
      <c r="B22664" s="2">
        <v>2556</v>
      </c>
      <c r="C22664" s="4" t="str">
        <f>HYPERLINK("http://www.uniprot.org/uniprot/M5VYK2","M5VYK2")</f>
        <v>M5VYK2</v>
      </c>
      <c r="D22664" s="2" t="s">
        <v>16683</v>
      </c>
      <c r="E22664" s="3">
        <v>0</v>
      </c>
      <c r="F22664" s="2">
        <v>1874</v>
      </c>
      <c r="G22664" s="2">
        <v>100</v>
      </c>
      <c r="H22664" s="2">
        <v>387</v>
      </c>
      <c r="I22664" s="2">
        <v>226</v>
      </c>
      <c r="J22664" s="2">
        <v>1386</v>
      </c>
      <c r="K22664" s="2">
        <v>1</v>
      </c>
      <c r="L22664" s="2">
        <v>387</v>
      </c>
    </row>
    <row r="22665" spans="1:12" x14ac:dyDescent="0.25">
      <c r="A22665" s="4" t="str">
        <f>HYPERLINK("http://www.rosaceae.org/Prunus/Prunus_persica/p.persica_gdr_reftransV1_0014449","p.persica_gdr_reftransV1_0014449")</f>
        <v>p.persica_gdr_reftransV1_0014449</v>
      </c>
      <c r="B22665" s="2">
        <v>1242</v>
      </c>
      <c r="C22665" s="4" t="str">
        <f>HYPERLINK("http://www.uniprot.org/uniprot/M5WRE0","M5WRE0")</f>
        <v>M5WRE0</v>
      </c>
      <c r="D22665" s="2" t="s">
        <v>7099</v>
      </c>
      <c r="E22665" s="3">
        <v>0</v>
      </c>
      <c r="F22665" s="2">
        <v>1530</v>
      </c>
      <c r="G22665" s="2">
        <v>100</v>
      </c>
      <c r="H22665" s="2">
        <v>321</v>
      </c>
      <c r="I22665" s="2">
        <v>1</v>
      </c>
      <c r="J22665" s="2">
        <v>963</v>
      </c>
      <c r="K22665" s="2">
        <v>20</v>
      </c>
      <c r="L22665" s="2">
        <v>340</v>
      </c>
    </row>
    <row r="22666" spans="1:12" x14ac:dyDescent="0.25">
      <c r="A22666" s="4" t="str">
        <f>HYPERLINK("http://www.rosaceae.org/Prunus/Prunus_persica/p.persica_gdr_reftransV1_0014799","p.persica_gdr_reftransV1_0014799")</f>
        <v>p.persica_gdr_reftransV1_0014799</v>
      </c>
      <c r="B22666" s="2">
        <v>345</v>
      </c>
      <c r="C22666" s="4" t="str">
        <f>HYPERLINK("http://www.uniprot.org/uniprot/M5VU43","M5VU43")</f>
        <v>M5VU43</v>
      </c>
      <c r="D22666" s="2" t="s">
        <v>2766</v>
      </c>
      <c r="E22666" s="3">
        <v>2.5700000000000002E-61</v>
      </c>
      <c r="F22666" s="2">
        <v>534</v>
      </c>
      <c r="G22666" s="2">
        <v>100</v>
      </c>
      <c r="H22666" s="2">
        <v>114</v>
      </c>
      <c r="I22666" s="2">
        <v>3</v>
      </c>
      <c r="J22666" s="2">
        <v>344</v>
      </c>
      <c r="K22666" s="2">
        <v>453</v>
      </c>
      <c r="L22666" s="2">
        <v>566</v>
      </c>
    </row>
    <row r="22667" spans="1:12" x14ac:dyDescent="0.25">
      <c r="A22667" s="4" t="str">
        <f>HYPERLINK("http://www.rosaceae.org/Prunus/Prunus_persica/p.persica_gdr_reftransV1_0015149","p.persica_gdr_reftransV1_0015149")</f>
        <v>p.persica_gdr_reftransV1_0015149</v>
      </c>
      <c r="B22667" s="2">
        <v>1797</v>
      </c>
      <c r="C22667" s="4" t="str">
        <f>HYPERLINK("http://www.uniprot.org/uniprot/M5VZS8","M5VZS8")</f>
        <v>M5VZS8</v>
      </c>
      <c r="D22667" s="2" t="s">
        <v>16684</v>
      </c>
      <c r="E22667" s="3">
        <v>0</v>
      </c>
      <c r="F22667" s="2">
        <v>1825</v>
      </c>
      <c r="G22667" s="2">
        <v>92</v>
      </c>
      <c r="H22667" s="2">
        <v>391</v>
      </c>
      <c r="I22667" s="2">
        <v>516</v>
      </c>
      <c r="J22667" s="2">
        <v>1688</v>
      </c>
      <c r="K22667" s="2">
        <v>1</v>
      </c>
      <c r="L22667" s="2">
        <v>358</v>
      </c>
    </row>
    <row r="22668" spans="1:12" x14ac:dyDescent="0.25">
      <c r="A22668" s="4" t="str">
        <f>HYPERLINK("http://www.rosaceae.org/Prunus/Prunus_persica/p.persica_gdr_reftransV1_0015849","p.persica_gdr_reftransV1_0015849")</f>
        <v>p.persica_gdr_reftransV1_0015849</v>
      </c>
      <c r="B22668" s="2">
        <v>1638</v>
      </c>
      <c r="C22668" s="4" t="str">
        <f>HYPERLINK("http://www.uniprot.org/uniprot/M5X5B8","M5X5B8")</f>
        <v>M5X5B8</v>
      </c>
      <c r="D22668" s="2" t="s">
        <v>16685</v>
      </c>
      <c r="E22668" s="3">
        <v>0</v>
      </c>
      <c r="F22668" s="2">
        <v>1981</v>
      </c>
      <c r="G22668" s="2">
        <v>100</v>
      </c>
      <c r="H22668" s="2">
        <v>384</v>
      </c>
      <c r="I22668" s="2">
        <v>252</v>
      </c>
      <c r="J22668" s="2">
        <v>1403</v>
      </c>
      <c r="K22668" s="2">
        <v>1</v>
      </c>
      <c r="L22668" s="2">
        <v>384</v>
      </c>
    </row>
    <row r="22669" spans="1:12" x14ac:dyDescent="0.25">
      <c r="A22669" s="4" t="str">
        <f>HYPERLINK("http://www.rosaceae.org/Prunus/Prunus_persica/p.persica_gdr_reftransV1_0016549","p.persica_gdr_reftransV1_0016549")</f>
        <v>p.persica_gdr_reftransV1_0016549</v>
      </c>
      <c r="B22669" s="2">
        <v>1842</v>
      </c>
      <c r="C22669" s="4" t="str">
        <f>HYPERLINK("http://www.uniprot.org/uniprot/M5VXM2","M5VXM2")</f>
        <v>M5VXM2</v>
      </c>
      <c r="D22669" s="2" t="s">
        <v>16686</v>
      </c>
      <c r="E22669" s="3">
        <v>1.28E-145</v>
      </c>
      <c r="F22669" s="2">
        <v>1120</v>
      </c>
      <c r="G22669" s="2">
        <v>100</v>
      </c>
      <c r="H22669" s="2">
        <v>228</v>
      </c>
      <c r="I22669" s="2">
        <v>619</v>
      </c>
      <c r="J22669" s="2">
        <v>1302</v>
      </c>
      <c r="K22669" s="2">
        <v>71</v>
      </c>
      <c r="L22669" s="2">
        <v>298</v>
      </c>
    </row>
    <row r="22670" spans="1:12" x14ac:dyDescent="0.25">
      <c r="A22670" s="4" t="str">
        <f>HYPERLINK("http://www.rosaceae.org/Prunus/Prunus_persica/p.persica_gdr_reftransV1_0017599","p.persica_gdr_reftransV1_0017599")</f>
        <v>p.persica_gdr_reftransV1_0017599</v>
      </c>
      <c r="B22670" s="2">
        <v>1742</v>
      </c>
      <c r="C22670" s="4" t="str">
        <f>HYPERLINK("http://www.uniprot.org/uniprot/M5X5S9","M5X5S9")</f>
        <v>M5X5S9</v>
      </c>
      <c r="D22670" s="2" t="s">
        <v>2040</v>
      </c>
      <c r="E22670" s="3">
        <v>4.2499999999999996E-177</v>
      </c>
      <c r="F22670" s="2">
        <v>1332</v>
      </c>
      <c r="G22670" s="2">
        <v>93</v>
      </c>
      <c r="H22670" s="2">
        <v>311</v>
      </c>
      <c r="I22670" s="2">
        <v>1</v>
      </c>
      <c r="J22670" s="2">
        <v>933</v>
      </c>
      <c r="K22670" s="2">
        <v>60</v>
      </c>
      <c r="L22670" s="2">
        <v>358</v>
      </c>
    </row>
    <row r="22671" spans="1:12" x14ac:dyDescent="0.25">
      <c r="A22671" s="4" t="str">
        <f>HYPERLINK("http://www.rosaceae.org/Prunus/Prunus_persica/p.persica_gdr_reftransV1_0017949","p.persica_gdr_reftransV1_0017949")</f>
        <v>p.persica_gdr_reftransV1_0017949</v>
      </c>
      <c r="B22671" s="2">
        <v>4646</v>
      </c>
      <c r="C22671" s="4" t="str">
        <f>HYPERLINK("http://www.uniprot.org/uniprot/M5X0I9","M5X0I9")</f>
        <v>M5X0I9</v>
      </c>
      <c r="D22671" s="2" t="s">
        <v>16687</v>
      </c>
      <c r="E22671" s="3">
        <v>0</v>
      </c>
      <c r="F22671" s="2">
        <v>3156</v>
      </c>
      <c r="G22671" s="2">
        <v>100</v>
      </c>
      <c r="H22671" s="2">
        <v>591</v>
      </c>
      <c r="I22671" s="2">
        <v>1173</v>
      </c>
      <c r="J22671" s="2">
        <v>2945</v>
      </c>
      <c r="K22671" s="2">
        <v>42</v>
      </c>
      <c r="L22671" s="2">
        <v>632</v>
      </c>
    </row>
    <row r="22672" spans="1:12" x14ac:dyDescent="0.25">
      <c r="A22672" s="4" t="str">
        <f>HYPERLINK("http://www.rosaceae.org/Prunus/Prunus_persica/p.persica_gdr_reftransV1_0018649","p.persica_gdr_reftransV1_0018649")</f>
        <v>p.persica_gdr_reftransV1_0018649</v>
      </c>
      <c r="B22672" s="2">
        <v>1126</v>
      </c>
      <c r="C22672" s="4" t="str">
        <f>HYPERLINK("http://www.uniprot.org/uniprot/M5XT07","M5XT07")</f>
        <v>M5XT07</v>
      </c>
      <c r="D22672" s="2" t="s">
        <v>14722</v>
      </c>
      <c r="E22672" s="3">
        <v>3.7800000000000001E-59</v>
      </c>
      <c r="F22672" s="2">
        <v>504</v>
      </c>
      <c r="G22672" s="2">
        <v>100</v>
      </c>
      <c r="H22672" s="2">
        <v>113</v>
      </c>
      <c r="I22672" s="2">
        <v>584</v>
      </c>
      <c r="J22672" s="2">
        <v>922</v>
      </c>
      <c r="K22672" s="2">
        <v>1</v>
      </c>
      <c r="L22672" s="2">
        <v>113</v>
      </c>
    </row>
    <row r="22673" spans="1:12" x14ac:dyDescent="0.25">
      <c r="A22673" s="4" t="str">
        <f>HYPERLINK("http://www.rosaceae.org/Prunus/Prunus_persica/p.persica_gdr_reftransV1_0018999","p.persica_gdr_reftransV1_0018999")</f>
        <v>p.persica_gdr_reftransV1_0018999</v>
      </c>
      <c r="B22673" s="2">
        <v>972</v>
      </c>
      <c r="C22673" s="4" t="str">
        <f>HYPERLINK("http://www.uniprot.org/uniprot/M5XN16","M5XN16")</f>
        <v>M5XN16</v>
      </c>
      <c r="D22673" s="2" t="s">
        <v>16688</v>
      </c>
      <c r="E22673" s="3">
        <v>3.6099999999999998E-68</v>
      </c>
      <c r="F22673" s="2">
        <v>563</v>
      </c>
      <c r="G22673" s="2">
        <v>93</v>
      </c>
      <c r="H22673" s="2">
        <v>160</v>
      </c>
      <c r="I22673" s="2">
        <v>126</v>
      </c>
      <c r="J22673" s="2">
        <v>605</v>
      </c>
      <c r="K22673" s="2">
        <v>1</v>
      </c>
      <c r="L22673" s="2">
        <v>148</v>
      </c>
    </row>
    <row r="22674" spans="1:12" x14ac:dyDescent="0.25">
      <c r="A22674" s="4" t="str">
        <f>HYPERLINK("http://www.rosaceae.org/Prunus/Prunus_persica/p.persica_gdr_reftransV1_0019349","p.persica_gdr_reftransV1_0019349")</f>
        <v>p.persica_gdr_reftransV1_0019349</v>
      </c>
      <c r="B22674" s="2">
        <v>1973</v>
      </c>
      <c r="C22674" s="4" t="str">
        <f>HYPERLINK("http://www.uniprot.org/uniprot/M5XPF8","M5XPF8")</f>
        <v>M5XPF8</v>
      </c>
      <c r="D22674" s="2" t="s">
        <v>5531</v>
      </c>
      <c r="E22674" s="3">
        <v>4.1599999999999999E-141</v>
      </c>
      <c r="F22674" s="2">
        <v>1099</v>
      </c>
      <c r="G22674" s="2">
        <v>100</v>
      </c>
      <c r="H22674" s="2">
        <v>258</v>
      </c>
      <c r="I22674" s="2">
        <v>867</v>
      </c>
      <c r="J22674" s="2">
        <v>1640</v>
      </c>
      <c r="K22674" s="2">
        <v>97</v>
      </c>
      <c r="L22674" s="2">
        <v>354</v>
      </c>
    </row>
    <row r="22675" spans="1:12" x14ac:dyDescent="0.25">
      <c r="A22675" s="4" t="str">
        <f>HYPERLINK("http://www.rosaceae.org/Prunus/Prunus_persica/p.persica_gdr_reftransV1_0020399","p.persica_gdr_reftransV1_0020399")</f>
        <v>p.persica_gdr_reftransV1_0020399</v>
      </c>
      <c r="B22675" s="2">
        <v>2393</v>
      </c>
      <c r="C22675" s="4" t="str">
        <f>HYPERLINK("http://www.uniprot.org/uniprot/M5VQ62","M5VQ62")</f>
        <v>M5VQ62</v>
      </c>
      <c r="D22675" s="2" t="s">
        <v>16689</v>
      </c>
      <c r="E22675" s="3">
        <v>0</v>
      </c>
      <c r="F22675" s="2">
        <v>1557</v>
      </c>
      <c r="G22675" s="2">
        <v>100</v>
      </c>
      <c r="H22675" s="2">
        <v>321</v>
      </c>
      <c r="I22675" s="2">
        <v>741</v>
      </c>
      <c r="J22675" s="2">
        <v>1703</v>
      </c>
      <c r="K22675" s="2">
        <v>1</v>
      </c>
      <c r="L22675" s="2">
        <v>321</v>
      </c>
    </row>
    <row r="22676" spans="1:12" x14ac:dyDescent="0.25">
      <c r="A22676" s="4" t="str">
        <f>HYPERLINK("http://www.rosaceae.org/Prunus/Prunus_persica/p.persica_gdr_reftransV1_0020749","p.persica_gdr_reftransV1_0020749")</f>
        <v>p.persica_gdr_reftransV1_0020749</v>
      </c>
      <c r="B22676" s="2">
        <v>2208</v>
      </c>
      <c r="C22676" s="4" t="str">
        <f>HYPERLINK("http://www.uniprot.org/uniprot/M5WBP2","M5WBP2")</f>
        <v>M5WBP2</v>
      </c>
      <c r="D22676" s="2" t="s">
        <v>16690</v>
      </c>
      <c r="E22676" s="3">
        <v>0</v>
      </c>
      <c r="F22676" s="2">
        <v>1533</v>
      </c>
      <c r="G22676" s="2">
        <v>85</v>
      </c>
      <c r="H22676" s="2">
        <v>397</v>
      </c>
      <c r="I22676" s="2">
        <v>333</v>
      </c>
      <c r="J22676" s="2">
        <v>1523</v>
      </c>
      <c r="K22676" s="2">
        <v>1</v>
      </c>
      <c r="L22676" s="2">
        <v>342</v>
      </c>
    </row>
    <row r="22677" spans="1:12" x14ac:dyDescent="0.25">
      <c r="A22677" s="4" t="str">
        <f>HYPERLINK("http://www.rosaceae.org/Prunus/Prunus_persica/p.persica_gdr_reftransV1_0022499","p.persica_gdr_reftransV1_0022499")</f>
        <v>p.persica_gdr_reftransV1_0022499</v>
      </c>
      <c r="B22677" s="2">
        <v>1625</v>
      </c>
      <c r="C22677" s="4" t="str">
        <f>HYPERLINK("http://www.uniprot.org/uniprot/B6ZL95","B6ZL95")</f>
        <v>B6ZL95</v>
      </c>
      <c r="D22677" s="2" t="s">
        <v>16691</v>
      </c>
      <c r="E22677" s="3">
        <v>0</v>
      </c>
      <c r="F22677" s="2">
        <v>1474</v>
      </c>
      <c r="G22677" s="2">
        <v>99</v>
      </c>
      <c r="H22677" s="2">
        <v>282</v>
      </c>
      <c r="I22677" s="2">
        <v>629</v>
      </c>
      <c r="J22677" s="2">
        <v>1474</v>
      </c>
      <c r="K22677" s="2">
        <v>1</v>
      </c>
      <c r="L22677" s="2">
        <v>282</v>
      </c>
    </row>
    <row r="22678" spans="1:12" x14ac:dyDescent="0.25">
      <c r="A22678" s="4" t="str">
        <f>HYPERLINK("http://www.rosaceae.org/Prunus/Prunus_persica/p.persica_gdr_reftransV1_0022849","p.persica_gdr_reftransV1_0022849")</f>
        <v>p.persica_gdr_reftransV1_0022849</v>
      </c>
      <c r="B22678" s="2">
        <v>1052</v>
      </c>
      <c r="C22678" s="4" t="str">
        <f>HYPERLINK("http://www.uniprot.org/uniprot/M5VQ33","M5VQ33")</f>
        <v>M5VQ33</v>
      </c>
      <c r="D22678" s="2" t="s">
        <v>16692</v>
      </c>
      <c r="E22678" s="3">
        <v>7.6800000000000003E-90</v>
      </c>
      <c r="F22678" s="2">
        <v>710</v>
      </c>
      <c r="G22678" s="2">
        <v>100</v>
      </c>
      <c r="H22678" s="2">
        <v>146</v>
      </c>
      <c r="I22678" s="2">
        <v>292</v>
      </c>
      <c r="J22678" s="2">
        <v>729</v>
      </c>
      <c r="K22678" s="2">
        <v>1</v>
      </c>
      <c r="L22678" s="2">
        <v>146</v>
      </c>
    </row>
    <row r="22679" spans="1:12" x14ac:dyDescent="0.25">
      <c r="A22679" s="4" t="str">
        <f>HYPERLINK("http://www.rosaceae.org/Prunus/Prunus_persica/p.persica_gdr_reftransV1_0023899","p.persica_gdr_reftransV1_0023899")</f>
        <v>p.persica_gdr_reftransV1_0023899</v>
      </c>
      <c r="B22679" s="2">
        <v>2267</v>
      </c>
      <c r="C22679" s="4" t="str">
        <f>HYPERLINK("http://www.uniprot.org/uniprot/M5XLK6","M5XLK6")</f>
        <v>M5XLK6</v>
      </c>
      <c r="D22679" s="2" t="s">
        <v>16693</v>
      </c>
      <c r="E22679" s="3">
        <v>0</v>
      </c>
      <c r="F22679" s="2">
        <v>2029</v>
      </c>
      <c r="G22679" s="2">
        <v>100</v>
      </c>
      <c r="H22679" s="2">
        <v>407</v>
      </c>
      <c r="I22679" s="2">
        <v>367</v>
      </c>
      <c r="J22679" s="2">
        <v>1587</v>
      </c>
      <c r="K22679" s="2">
        <v>1</v>
      </c>
      <c r="L22679" s="2">
        <v>407</v>
      </c>
    </row>
    <row r="22680" spans="1:12" x14ac:dyDescent="0.25">
      <c r="A22680" s="4" t="str">
        <f>HYPERLINK("http://www.rosaceae.org/Prunus/Prunus_persica/p.persica_gdr_reftransV1_0024599","p.persica_gdr_reftransV1_0024599")</f>
        <v>p.persica_gdr_reftransV1_0024599</v>
      </c>
      <c r="B22680" s="2">
        <v>2205</v>
      </c>
      <c r="C22680" s="4" t="str">
        <f>HYPERLINK("http://www.uniprot.org/uniprot/M5WGE1","M5WGE1")</f>
        <v>M5WGE1</v>
      </c>
      <c r="D22680" s="2" t="s">
        <v>16694</v>
      </c>
      <c r="E22680" s="3">
        <v>0</v>
      </c>
      <c r="F22680" s="2">
        <v>2506</v>
      </c>
      <c r="G22680" s="2">
        <v>100</v>
      </c>
      <c r="H22680" s="2">
        <v>463</v>
      </c>
      <c r="I22680" s="2">
        <v>503</v>
      </c>
      <c r="J22680" s="2">
        <v>1891</v>
      </c>
      <c r="K22680" s="2">
        <v>1</v>
      </c>
      <c r="L22680" s="2">
        <v>463</v>
      </c>
    </row>
    <row r="22681" spans="1:12" x14ac:dyDescent="0.25">
      <c r="A22681" s="4" t="str">
        <f>HYPERLINK("http://www.rosaceae.org/Prunus/Prunus_persica/p.persica_gdr_reftransV1_0025299","p.persica_gdr_reftransV1_0025299")</f>
        <v>p.persica_gdr_reftransV1_0025299</v>
      </c>
      <c r="B22681" s="2">
        <v>1581</v>
      </c>
      <c r="C22681" s="4" t="str">
        <f>HYPERLINK("http://www.uniprot.org/uniprot/M5W4S1","M5W4S1")</f>
        <v>M5W4S1</v>
      </c>
      <c r="D22681" s="2" t="s">
        <v>16695</v>
      </c>
      <c r="E22681" s="3">
        <v>0</v>
      </c>
      <c r="F22681" s="2">
        <v>2269</v>
      </c>
      <c r="G22681" s="2">
        <v>100</v>
      </c>
      <c r="H22681" s="2">
        <v>424</v>
      </c>
      <c r="I22681" s="2">
        <v>193</v>
      </c>
      <c r="J22681" s="2">
        <v>1464</v>
      </c>
      <c r="K22681" s="2">
        <v>1</v>
      </c>
      <c r="L22681" s="2">
        <v>424</v>
      </c>
    </row>
    <row r="22682" spans="1:12" x14ac:dyDescent="0.25">
      <c r="A22682" s="4" t="str">
        <f>HYPERLINK("http://www.rosaceae.org/Prunus/Prunus_persica/p.persica_gdr_reftransV1_0025999","p.persica_gdr_reftransV1_0025999")</f>
        <v>p.persica_gdr_reftransV1_0025999</v>
      </c>
      <c r="B22682" s="2">
        <v>2952</v>
      </c>
      <c r="C22682" s="4" t="str">
        <f>HYPERLINK("http://www.uniprot.org/uniprot/M5XAM2","M5XAM2")</f>
        <v>M5XAM2</v>
      </c>
      <c r="D22682" s="2" t="s">
        <v>157</v>
      </c>
      <c r="E22682" s="3">
        <v>0</v>
      </c>
      <c r="F22682" s="2">
        <v>2135</v>
      </c>
      <c r="G22682" s="2">
        <v>96</v>
      </c>
      <c r="H22682" s="2">
        <v>506</v>
      </c>
      <c r="I22682" s="2">
        <v>1223</v>
      </c>
      <c r="J22682" s="2">
        <v>2740</v>
      </c>
      <c r="K22682" s="2">
        <v>29</v>
      </c>
      <c r="L22682" s="2">
        <v>529</v>
      </c>
    </row>
    <row r="22683" spans="1:12" x14ac:dyDescent="0.25">
      <c r="A22683" s="4" t="str">
        <f>HYPERLINK("http://www.rosaceae.org/Prunus/Prunus_persica/p.persica_gdr_reftransV1_0026699","p.persica_gdr_reftransV1_0026699")</f>
        <v>p.persica_gdr_reftransV1_0026699</v>
      </c>
      <c r="B22683" s="2">
        <v>2143</v>
      </c>
      <c r="C22683" s="4" t="str">
        <f>HYPERLINK("http://www.uniprot.org/uniprot/M5VNA5","M5VNA5")</f>
        <v>M5VNA5</v>
      </c>
      <c r="D22683" s="2" t="s">
        <v>16696</v>
      </c>
      <c r="E22683" s="3">
        <v>0</v>
      </c>
      <c r="F22683" s="2">
        <v>2743</v>
      </c>
      <c r="G22683" s="2">
        <v>98</v>
      </c>
      <c r="H22683" s="2">
        <v>552</v>
      </c>
      <c r="I22683" s="2">
        <v>134</v>
      </c>
      <c r="J22683" s="2">
        <v>1789</v>
      </c>
      <c r="K22683" s="2">
        <v>1</v>
      </c>
      <c r="L22683" s="2">
        <v>552</v>
      </c>
    </row>
    <row r="22684" spans="1:12" x14ac:dyDescent="0.25">
      <c r="A22684" s="4" t="str">
        <f>HYPERLINK("http://www.rosaceae.org/Prunus/Prunus_persica/p.persica_gdr_reftransV1_0027399","p.persica_gdr_reftransV1_0027399")</f>
        <v>p.persica_gdr_reftransV1_0027399</v>
      </c>
      <c r="B22684" s="2">
        <v>2412</v>
      </c>
      <c r="C22684" s="4" t="str">
        <f>HYPERLINK("http://www.uniprot.org/uniprot/M5XB46","M5XB46")</f>
        <v>M5XB46</v>
      </c>
      <c r="D22684" s="2" t="s">
        <v>16697</v>
      </c>
      <c r="E22684" s="3">
        <v>0</v>
      </c>
      <c r="F22684" s="2">
        <v>2032</v>
      </c>
      <c r="G22684" s="2">
        <v>100</v>
      </c>
      <c r="H22684" s="2">
        <v>497</v>
      </c>
      <c r="I22684" s="2">
        <v>220</v>
      </c>
      <c r="J22684" s="2">
        <v>1710</v>
      </c>
      <c r="K22684" s="2">
        <v>1</v>
      </c>
      <c r="L22684" s="2">
        <v>497</v>
      </c>
    </row>
    <row r="22685" spans="1:12" x14ac:dyDescent="0.25">
      <c r="A22685" s="4" t="str">
        <f>HYPERLINK("http://www.rosaceae.org/Prunus/Prunus_persica/p.persica_gdr_reftransV1_0027749","p.persica_gdr_reftransV1_0027749")</f>
        <v>p.persica_gdr_reftransV1_0027749</v>
      </c>
      <c r="B22685" s="2">
        <v>2006</v>
      </c>
      <c r="C22685" s="4" t="str">
        <f>HYPERLINK("http://www.uniprot.org/uniprot/M5XCJ4","M5XCJ4")</f>
        <v>M5XCJ4</v>
      </c>
      <c r="D22685" s="2" t="s">
        <v>12312</v>
      </c>
      <c r="E22685" s="3">
        <v>2.39E-115</v>
      </c>
      <c r="F22685" s="2">
        <v>928</v>
      </c>
      <c r="G22685" s="2">
        <v>94</v>
      </c>
      <c r="H22685" s="2">
        <v>194</v>
      </c>
      <c r="I22685" s="2">
        <v>1277</v>
      </c>
      <c r="J22685" s="2">
        <v>1858</v>
      </c>
      <c r="K22685" s="2">
        <v>1</v>
      </c>
      <c r="L22685" s="2">
        <v>194</v>
      </c>
    </row>
    <row r="22686" spans="1:12" x14ac:dyDescent="0.25">
      <c r="A22686" s="4" t="str">
        <f>HYPERLINK("http://www.rosaceae.org/Prunus/Prunus_persica/p.persica_gdr_reftransV1_0028449","p.persica_gdr_reftransV1_0028449")</f>
        <v>p.persica_gdr_reftransV1_0028449</v>
      </c>
      <c r="B22686" s="2">
        <v>2687</v>
      </c>
      <c r="C22686" s="4" t="str">
        <f>HYPERLINK("http://www.uniprot.org/uniprot/V4SSR7","V4SSR7")</f>
        <v>V4SSR7</v>
      </c>
      <c r="D22686" s="2" t="s">
        <v>16698</v>
      </c>
      <c r="E22686" s="3">
        <v>2.8099999999999999E-168</v>
      </c>
      <c r="F22686" s="2">
        <v>1083</v>
      </c>
      <c r="G22686" s="2">
        <v>68</v>
      </c>
      <c r="H22686" s="2">
        <v>328</v>
      </c>
      <c r="I22686" s="2">
        <v>1487</v>
      </c>
      <c r="J22686" s="2">
        <v>2467</v>
      </c>
      <c r="K22686" s="2">
        <v>387</v>
      </c>
      <c r="L22686" s="2">
        <v>712</v>
      </c>
    </row>
    <row r="22687" spans="1:12" x14ac:dyDescent="0.25">
      <c r="A22687" s="4" t="str">
        <f>HYPERLINK("http://www.rosaceae.org/Prunus/Prunus_persica/p.persica_gdr_reftransV1_0029499","p.persica_gdr_reftransV1_0029499")</f>
        <v>p.persica_gdr_reftransV1_0029499</v>
      </c>
      <c r="B22687" s="2">
        <v>2050</v>
      </c>
      <c r="C22687" s="4" t="str">
        <f>HYPERLINK("http://www.uniprot.org/uniprot/M5W0A4","M5W0A4")</f>
        <v>M5W0A4</v>
      </c>
      <c r="D22687" s="2" t="s">
        <v>8974</v>
      </c>
      <c r="E22687" s="3">
        <v>3.3699999999999998E-53</v>
      </c>
      <c r="F22687" s="2">
        <v>312</v>
      </c>
      <c r="G22687" s="2">
        <v>100</v>
      </c>
      <c r="H22687" s="2">
        <v>99</v>
      </c>
      <c r="I22687" s="2">
        <v>849</v>
      </c>
      <c r="J22687" s="2">
        <v>1145</v>
      </c>
      <c r="K22687" s="2">
        <v>69</v>
      </c>
      <c r="L22687" s="2">
        <v>167</v>
      </c>
    </row>
    <row r="22688" spans="1:12" x14ac:dyDescent="0.25">
      <c r="A22688" s="4" t="str">
        <f>HYPERLINK("http://www.rosaceae.org/Prunus/Prunus_persica/p.persica_gdr_reftransV1_0031249","p.persica_gdr_reftransV1_0031249")</f>
        <v>p.persica_gdr_reftransV1_0031249</v>
      </c>
      <c r="B22688" s="2">
        <v>2649</v>
      </c>
      <c r="C22688" s="4" t="str">
        <f>HYPERLINK("http://www.uniprot.org/uniprot/M5XLI4","M5XLI4")</f>
        <v>M5XLI4</v>
      </c>
      <c r="D22688" s="2" t="s">
        <v>16699</v>
      </c>
      <c r="E22688" s="3">
        <v>1.3399999999999999E-170</v>
      </c>
      <c r="F22688" s="2">
        <v>1311</v>
      </c>
      <c r="G22688" s="2">
        <v>100</v>
      </c>
      <c r="H22688" s="2">
        <v>242</v>
      </c>
      <c r="I22688" s="2">
        <v>1657</v>
      </c>
      <c r="J22688" s="2">
        <v>2382</v>
      </c>
      <c r="K22688" s="2">
        <v>65</v>
      </c>
      <c r="L22688" s="2">
        <v>306</v>
      </c>
    </row>
    <row r="22689" spans="1:12" x14ac:dyDescent="0.25">
      <c r="A22689" s="4" t="str">
        <f>HYPERLINK("http://www.rosaceae.org/Prunus/Prunus_persica/p.persica_gdr_reftransV1_0032299","p.persica_gdr_reftransV1_0032299")</f>
        <v>p.persica_gdr_reftransV1_0032299</v>
      </c>
      <c r="B22689" s="2">
        <v>2696</v>
      </c>
      <c r="C22689" s="4" t="str">
        <f>HYPERLINK("http://www.uniprot.org/uniprot/M5W987","M5W987")</f>
        <v>M5W987</v>
      </c>
      <c r="D22689" s="2" t="s">
        <v>16700</v>
      </c>
      <c r="E22689" s="3">
        <v>0</v>
      </c>
      <c r="F22689" s="2">
        <v>1827</v>
      </c>
      <c r="G22689" s="2">
        <v>100</v>
      </c>
      <c r="H22689" s="2">
        <v>355</v>
      </c>
      <c r="I22689" s="2">
        <v>1446</v>
      </c>
      <c r="J22689" s="2">
        <v>2510</v>
      </c>
      <c r="K22689" s="2">
        <v>1</v>
      </c>
      <c r="L22689" s="2">
        <v>355</v>
      </c>
    </row>
    <row r="22690" spans="1:12" x14ac:dyDescent="0.25">
      <c r="A22690" s="4" t="str">
        <f>HYPERLINK("http://www.rosaceae.org/Prunus/Prunus_persica/p.persica_gdr_reftransV1_0033699","p.persica_gdr_reftransV1_0033699")</f>
        <v>p.persica_gdr_reftransV1_0033699</v>
      </c>
      <c r="B22690" s="2">
        <v>2885</v>
      </c>
      <c r="C22690" s="4" t="str">
        <f>HYPERLINK("http://www.uniprot.org/uniprot/M5VNE8","M5VNE8")</f>
        <v>M5VNE8</v>
      </c>
      <c r="D22690" s="2" t="s">
        <v>14749</v>
      </c>
      <c r="E22690" s="3">
        <v>0</v>
      </c>
      <c r="F22690" s="2">
        <v>3319</v>
      </c>
      <c r="G22690" s="2">
        <v>86</v>
      </c>
      <c r="H22690" s="2">
        <v>769</v>
      </c>
      <c r="I22690" s="2">
        <v>143</v>
      </c>
      <c r="J22690" s="2">
        <v>2422</v>
      </c>
      <c r="K22690" s="2">
        <v>188</v>
      </c>
      <c r="L22690" s="2">
        <v>874</v>
      </c>
    </row>
    <row r="22691" spans="1:12" x14ac:dyDescent="0.25">
      <c r="A22691" s="4" t="str">
        <f>HYPERLINK("http://www.rosaceae.org/Prunus/Prunus_persica/p.persica_gdr_reftransV1_0034749","p.persica_gdr_reftransV1_0034749")</f>
        <v>p.persica_gdr_reftransV1_0034749</v>
      </c>
      <c r="B22691" s="2">
        <v>1446</v>
      </c>
      <c r="C22691" s="4" t="str">
        <f>HYPERLINK("http://www.uniprot.org/uniprot/V4SSQ8","V4SSQ8")</f>
        <v>V4SSQ8</v>
      </c>
      <c r="D22691" s="2" t="s">
        <v>16701</v>
      </c>
      <c r="E22691" s="3">
        <v>0</v>
      </c>
      <c r="F22691" s="2">
        <v>1458</v>
      </c>
      <c r="G22691" s="2">
        <v>83</v>
      </c>
      <c r="H22691" s="2">
        <v>339</v>
      </c>
      <c r="I22691" s="2">
        <v>430</v>
      </c>
      <c r="J22691" s="2">
        <v>1446</v>
      </c>
      <c r="K22691" s="2">
        <v>281</v>
      </c>
      <c r="L22691" s="2">
        <v>619</v>
      </c>
    </row>
    <row r="22692" spans="1:12" x14ac:dyDescent="0.25">
      <c r="A22692" s="4" t="str">
        <f>HYPERLINK("http://www.rosaceae.org/Prunus/Prunus_persica/p.persica_gdr_reftransV1_0036499","p.persica_gdr_reftransV1_0036499")</f>
        <v>p.persica_gdr_reftransV1_0036499</v>
      </c>
      <c r="B22692" s="2">
        <v>2696</v>
      </c>
      <c r="C22692" s="4" t="str">
        <f>HYPERLINK("http://www.uniprot.org/uniprot/M5XBS6","M5XBS6")</f>
        <v>M5XBS6</v>
      </c>
      <c r="D22692" s="2" t="s">
        <v>11629</v>
      </c>
      <c r="E22692" s="3">
        <v>0</v>
      </c>
      <c r="F22692" s="2">
        <v>2750</v>
      </c>
      <c r="G22692" s="2">
        <v>100</v>
      </c>
      <c r="H22692" s="2">
        <v>541</v>
      </c>
      <c r="I22692" s="2">
        <v>796</v>
      </c>
      <c r="J22692" s="2">
        <v>2418</v>
      </c>
      <c r="K22692" s="2">
        <v>1</v>
      </c>
      <c r="L22692" s="2">
        <v>541</v>
      </c>
    </row>
    <row r="22693" spans="1:12" x14ac:dyDescent="0.25">
      <c r="A22693" s="4" t="str">
        <f>HYPERLINK("http://www.rosaceae.org/Prunus/Prunus_persica/p.persica_gdr_reftransV1_0037199","p.persica_gdr_reftransV1_0037199")</f>
        <v>p.persica_gdr_reftransV1_0037199</v>
      </c>
      <c r="B22693" s="2">
        <v>1695</v>
      </c>
      <c r="C22693" s="4" t="str">
        <f>HYPERLINK("http://www.uniprot.org/uniprot/M5XCK2","M5XCK2")</f>
        <v>M5XCK2</v>
      </c>
      <c r="D22693" s="2" t="s">
        <v>16702</v>
      </c>
      <c r="E22693" s="3">
        <v>1.5E-117</v>
      </c>
      <c r="F22693" s="2">
        <v>836</v>
      </c>
      <c r="G22693" s="2">
        <v>100</v>
      </c>
      <c r="H22693" s="2">
        <v>185</v>
      </c>
      <c r="I22693" s="2">
        <v>874</v>
      </c>
      <c r="J22693" s="2">
        <v>1428</v>
      </c>
      <c r="K22693" s="2">
        <v>5</v>
      </c>
      <c r="L22693" s="2">
        <v>189</v>
      </c>
    </row>
    <row r="22694" spans="1:12" x14ac:dyDescent="0.25">
      <c r="A22694" s="4" t="str">
        <f>HYPERLINK("http://www.rosaceae.org/Prunus/Prunus_persica/p.persica_gdr_reftransV1_0038249","p.persica_gdr_reftransV1_0038249")</f>
        <v>p.persica_gdr_reftransV1_0038249</v>
      </c>
      <c r="B22694" s="2">
        <v>4085</v>
      </c>
      <c r="C22694" s="4" t="str">
        <f>HYPERLINK("http://www.uniprot.org/uniprot/M5XA98","M5XA98")</f>
        <v>M5XA98</v>
      </c>
      <c r="D22694" s="2" t="s">
        <v>16703</v>
      </c>
      <c r="E22694" s="3">
        <v>2.1800000000000001E-55</v>
      </c>
      <c r="F22694" s="2">
        <v>531</v>
      </c>
      <c r="G22694" s="2">
        <v>99</v>
      </c>
      <c r="H22694" s="2">
        <v>100</v>
      </c>
      <c r="I22694" s="2">
        <v>848</v>
      </c>
      <c r="J22694" s="2">
        <v>1147</v>
      </c>
      <c r="K22694" s="2">
        <v>97</v>
      </c>
      <c r="L22694" s="2">
        <v>196</v>
      </c>
    </row>
    <row r="22695" spans="1:12" x14ac:dyDescent="0.25">
      <c r="A22695" s="4" t="str">
        <f>HYPERLINK("http://www.rosaceae.org/Prunus/Prunus_persica/p.persica_gdr_reftransV1_0038599","p.persica_gdr_reftransV1_0038599")</f>
        <v>p.persica_gdr_reftransV1_0038599</v>
      </c>
      <c r="B22695" s="2">
        <v>561</v>
      </c>
      <c r="C22695" s="4" t="str">
        <f>HYPERLINK("http://www.uniprot.org/uniprot/M5Y831","M5Y831")</f>
        <v>M5Y831</v>
      </c>
      <c r="D22695" s="2" t="s">
        <v>16704</v>
      </c>
      <c r="E22695" s="3">
        <v>7.1500000000000004E-106</v>
      </c>
      <c r="F22695" s="2">
        <v>849</v>
      </c>
      <c r="G22695" s="2">
        <v>100</v>
      </c>
      <c r="H22695" s="2">
        <v>156</v>
      </c>
      <c r="I22695" s="2">
        <v>2</v>
      </c>
      <c r="J22695" s="2">
        <v>469</v>
      </c>
      <c r="K22695" s="2">
        <v>588</v>
      </c>
      <c r="L22695" s="2">
        <v>743</v>
      </c>
    </row>
    <row r="22696" spans="1:12" x14ac:dyDescent="0.25">
      <c r="A22696" s="4" t="str">
        <f>HYPERLINK("http://www.rosaceae.org/Prunus/Prunus_persica/p.persica_gdr_reftransV1_0039999","p.persica_gdr_reftransV1_0039999")</f>
        <v>p.persica_gdr_reftransV1_0039999</v>
      </c>
      <c r="B22696" s="2">
        <v>1465</v>
      </c>
      <c r="C22696" s="4" t="str">
        <f>HYPERLINK("http://www.uniprot.org/uniprot/M5WCA4","M5WCA4")</f>
        <v>M5WCA4</v>
      </c>
      <c r="D22696" s="2" t="s">
        <v>6317</v>
      </c>
      <c r="E22696" s="3">
        <v>2.28E-141</v>
      </c>
      <c r="F22696" s="2">
        <v>749</v>
      </c>
      <c r="G22696" s="2">
        <v>100</v>
      </c>
      <c r="H22696" s="2">
        <v>139</v>
      </c>
      <c r="I22696" s="2">
        <v>518</v>
      </c>
      <c r="J22696" s="2">
        <v>934</v>
      </c>
      <c r="K22696" s="2">
        <v>24</v>
      </c>
      <c r="L22696" s="2">
        <v>162</v>
      </c>
    </row>
    <row r="22697" spans="1:12" x14ac:dyDescent="0.25">
      <c r="A22697" s="4" t="str">
        <f>HYPERLINK("http://www.rosaceae.org/Prunus/Prunus_persica/p.persica_gdr_reftransV1_0040699","p.persica_gdr_reftransV1_0040699")</f>
        <v>p.persica_gdr_reftransV1_0040699</v>
      </c>
      <c r="B22697" s="2">
        <v>1303</v>
      </c>
      <c r="C22697" s="4" t="str">
        <f>HYPERLINK("http://www.uniprot.org/uniprot/M5XRW6","M5XRW6")</f>
        <v>M5XRW6</v>
      </c>
      <c r="D22697" s="2" t="s">
        <v>3712</v>
      </c>
      <c r="E22697" s="3">
        <v>0</v>
      </c>
      <c r="F22697" s="2">
        <v>2189</v>
      </c>
      <c r="G22697" s="2">
        <v>100</v>
      </c>
      <c r="H22697" s="2">
        <v>434</v>
      </c>
      <c r="I22697" s="2">
        <v>1</v>
      </c>
      <c r="J22697" s="2">
        <v>1302</v>
      </c>
      <c r="K22697" s="2">
        <v>279</v>
      </c>
      <c r="L22697" s="2">
        <v>712</v>
      </c>
    </row>
    <row r="22698" spans="1:12" x14ac:dyDescent="0.25">
      <c r="A22698" s="4" t="str">
        <f>HYPERLINK("http://www.rosaceae.org/Prunus/Prunus_persica/p.persica_gdr_reftransV1_0042449","p.persica_gdr_reftransV1_0042449")</f>
        <v>p.persica_gdr_reftransV1_0042449</v>
      </c>
      <c r="B22698" s="2">
        <v>526</v>
      </c>
      <c r="C22698" s="4" t="str">
        <f>HYPERLINK("http://www.uniprot.org/uniprot/M5XJX8","M5XJX8")</f>
        <v>M5XJX8</v>
      </c>
      <c r="D22698" s="2" t="s">
        <v>6063</v>
      </c>
      <c r="E22698" s="3">
        <v>8.8899999999999999E-66</v>
      </c>
      <c r="F22698" s="2">
        <v>571</v>
      </c>
      <c r="G22698" s="2">
        <v>100</v>
      </c>
      <c r="H22698" s="2">
        <v>151</v>
      </c>
      <c r="I22698" s="2">
        <v>73</v>
      </c>
      <c r="J22698" s="2">
        <v>525</v>
      </c>
      <c r="K22698" s="2">
        <v>1</v>
      </c>
      <c r="L22698" s="2">
        <v>151</v>
      </c>
    </row>
    <row r="22699" spans="1:12" x14ac:dyDescent="0.25">
      <c r="A22699" s="4" t="str">
        <f>HYPERLINK("http://www.rosaceae.org/Prunus/Prunus_persica/p.persica_gdr_reftransV1_0043149","p.persica_gdr_reftransV1_0043149")</f>
        <v>p.persica_gdr_reftransV1_0043149</v>
      </c>
      <c r="B22699" s="2">
        <v>312</v>
      </c>
      <c r="C22699" s="4" t="str">
        <f>HYPERLINK("http://www.uniprot.org/uniprot/M5XHG3","M5XHG3")</f>
        <v>M5XHG3</v>
      </c>
      <c r="D22699" s="2" t="s">
        <v>16705</v>
      </c>
      <c r="E22699" s="3">
        <v>1.25E-63</v>
      </c>
      <c r="F22699" s="2">
        <v>510</v>
      </c>
      <c r="G22699" s="2">
        <v>100</v>
      </c>
      <c r="H22699" s="2">
        <v>95</v>
      </c>
      <c r="I22699" s="2">
        <v>27</v>
      </c>
      <c r="J22699" s="2">
        <v>311</v>
      </c>
      <c r="K22699" s="2">
        <v>1</v>
      </c>
      <c r="L22699" s="2">
        <v>95</v>
      </c>
    </row>
    <row r="22700" spans="1:12" x14ac:dyDescent="0.25">
      <c r="A22700" s="4" t="str">
        <f>HYPERLINK("http://www.rosaceae.org/Prunus/Prunus_persica/p.persica_gdr_reftransV1_0043499","p.persica_gdr_reftransV1_0043499")</f>
        <v>p.persica_gdr_reftransV1_0043499</v>
      </c>
      <c r="B22700" s="2">
        <v>4447</v>
      </c>
      <c r="C22700" s="4" t="str">
        <f>HYPERLINK("http://www.uniprot.org/uniprot/M5VP10","M5VP10")</f>
        <v>M5VP10</v>
      </c>
      <c r="D22700" s="2" t="s">
        <v>10254</v>
      </c>
      <c r="E22700" s="3">
        <v>0</v>
      </c>
      <c r="F22700" s="2">
        <v>5684</v>
      </c>
      <c r="G22700" s="2">
        <v>96</v>
      </c>
      <c r="H22700" s="2">
        <v>1319</v>
      </c>
      <c r="I22700" s="2">
        <v>392</v>
      </c>
      <c r="J22700" s="2">
        <v>4348</v>
      </c>
      <c r="K22700" s="2">
        <v>1</v>
      </c>
      <c r="L22700" s="2">
        <v>1270</v>
      </c>
    </row>
    <row r="22701" spans="1:12" x14ac:dyDescent="0.25">
      <c r="A22701" s="4" t="str">
        <f>HYPERLINK("http://www.rosaceae.org/Prunus/Prunus_persica/p.persica_gdr_reftransV1_0043849","p.persica_gdr_reftransV1_0043849")</f>
        <v>p.persica_gdr_reftransV1_0043849</v>
      </c>
      <c r="B22701" s="2">
        <v>426</v>
      </c>
      <c r="C22701" s="4" t="str">
        <f>HYPERLINK("http://www.uniprot.org/uniprot/M5WI52","M5WI52")</f>
        <v>M5WI52</v>
      </c>
      <c r="D22701" s="2" t="s">
        <v>1004</v>
      </c>
      <c r="E22701" s="3">
        <v>8.3300000000000005E-55</v>
      </c>
      <c r="F22701" s="2">
        <v>456</v>
      </c>
      <c r="G22701" s="2">
        <v>99</v>
      </c>
      <c r="H22701" s="2">
        <v>105</v>
      </c>
      <c r="I22701" s="2">
        <v>111</v>
      </c>
      <c r="J22701" s="2">
        <v>425</v>
      </c>
      <c r="K22701" s="2">
        <v>16</v>
      </c>
      <c r="L22701" s="2">
        <v>120</v>
      </c>
    </row>
    <row r="22702" spans="1:12" x14ac:dyDescent="0.25">
      <c r="A22702" s="4" t="str">
        <f>HYPERLINK("http://www.rosaceae.org/Prunus/Prunus_persica/p.persica_gdr_reftransV1_0044549","p.persica_gdr_reftransV1_0044549")</f>
        <v>p.persica_gdr_reftransV1_0044549</v>
      </c>
      <c r="B22702" s="2">
        <v>1627</v>
      </c>
      <c r="C22702" s="4" t="str">
        <f>HYPERLINK("http://www.uniprot.org/uniprot/M5XCB1","M5XCB1")</f>
        <v>M5XCB1</v>
      </c>
      <c r="D22702" s="2" t="s">
        <v>2589</v>
      </c>
      <c r="E22702" s="3">
        <v>0</v>
      </c>
      <c r="F22702" s="2">
        <v>1856</v>
      </c>
      <c r="G22702" s="2">
        <v>100</v>
      </c>
      <c r="H22702" s="2">
        <v>345</v>
      </c>
      <c r="I22702" s="2">
        <v>207</v>
      </c>
      <c r="J22702" s="2">
        <v>1241</v>
      </c>
      <c r="K22702" s="2">
        <v>1</v>
      </c>
      <c r="L22702" s="2">
        <v>345</v>
      </c>
    </row>
    <row r="22703" spans="1:12" x14ac:dyDescent="0.25">
      <c r="A22703" s="4" t="str">
        <f>HYPERLINK("http://www.rosaceae.org/Prunus/Prunus_persica/p.persica_gdr_reftransV1_0044899","p.persica_gdr_reftransV1_0044899")</f>
        <v>p.persica_gdr_reftransV1_0044899</v>
      </c>
      <c r="B22703" s="2">
        <v>501</v>
      </c>
      <c r="C22703" s="4" t="str">
        <f>HYPERLINK("http://www.uniprot.org/uniprot/M5XT01","M5XT01")</f>
        <v>M5XT01</v>
      </c>
      <c r="D22703" s="2" t="s">
        <v>4687</v>
      </c>
      <c r="E22703" s="3">
        <v>3.7199999999999998E-84</v>
      </c>
      <c r="F22703" s="2">
        <v>705</v>
      </c>
      <c r="G22703" s="2">
        <v>74</v>
      </c>
      <c r="H22703" s="2">
        <v>184</v>
      </c>
      <c r="I22703" s="2">
        <v>2</v>
      </c>
      <c r="J22703" s="2">
        <v>499</v>
      </c>
      <c r="K22703" s="2">
        <v>54</v>
      </c>
      <c r="L22703" s="2">
        <v>237</v>
      </c>
    </row>
    <row r="22704" spans="1:12" x14ac:dyDescent="0.25">
      <c r="A22704" s="4" t="str">
        <f>HYPERLINK("http://www.rosaceae.org/Prunus/Prunus_persica/p.persica_gdr_reftransV1_0045249","p.persica_gdr_reftransV1_0045249")</f>
        <v>p.persica_gdr_reftransV1_0045249</v>
      </c>
      <c r="B22704" s="2">
        <v>812</v>
      </c>
      <c r="C22704" s="4" t="str">
        <f>HYPERLINK("http://www.uniprot.org/uniprot/M5W194","M5W194")</f>
        <v>M5W194</v>
      </c>
      <c r="D22704" s="2" t="s">
        <v>16706</v>
      </c>
      <c r="E22704" s="3">
        <v>1.8699999999999999E-74</v>
      </c>
      <c r="F22704" s="2">
        <v>598</v>
      </c>
      <c r="G22704" s="2">
        <v>100</v>
      </c>
      <c r="H22704" s="2">
        <v>111</v>
      </c>
      <c r="I22704" s="2">
        <v>145</v>
      </c>
      <c r="J22704" s="2">
        <v>477</v>
      </c>
      <c r="K22704" s="2">
        <v>15</v>
      </c>
      <c r="L22704" s="2">
        <v>125</v>
      </c>
    </row>
    <row r="22705" spans="1:12" x14ac:dyDescent="0.25">
      <c r="A22705" s="4" t="str">
        <f>HYPERLINK("http://www.rosaceae.org/Prunus/Prunus_persica/p.persica_gdr_reftransV1_0045599","p.persica_gdr_reftransV1_0045599")</f>
        <v>p.persica_gdr_reftransV1_0045599</v>
      </c>
      <c r="B22705" s="2">
        <v>1887</v>
      </c>
      <c r="C22705" s="4" t="str">
        <f>HYPERLINK("http://www.uniprot.org/uniprot/M5W5W9","M5W5W9")</f>
        <v>M5W5W9</v>
      </c>
      <c r="D22705" s="2" t="s">
        <v>16707</v>
      </c>
      <c r="E22705" s="3">
        <v>0</v>
      </c>
      <c r="F22705" s="2">
        <v>2314</v>
      </c>
      <c r="G22705" s="2">
        <v>100</v>
      </c>
      <c r="H22705" s="2">
        <v>475</v>
      </c>
      <c r="I22705" s="2">
        <v>112</v>
      </c>
      <c r="J22705" s="2">
        <v>1536</v>
      </c>
      <c r="K22705" s="2">
        <v>1</v>
      </c>
      <c r="L22705" s="2">
        <v>475</v>
      </c>
    </row>
    <row r="22706" spans="1:12" x14ac:dyDescent="0.25">
      <c r="A22706" s="4" t="str">
        <f>HYPERLINK("http://www.rosaceae.org/Prunus/Prunus_persica/p.persica_gdr_reftransV1_0046299","p.persica_gdr_reftransV1_0046299")</f>
        <v>p.persica_gdr_reftransV1_0046299</v>
      </c>
      <c r="B22706" s="2">
        <v>954</v>
      </c>
      <c r="C22706" s="4" t="str">
        <f>HYPERLINK("http://www.uniprot.org/uniprot/M5XNJ8","M5XNJ8")</f>
        <v>M5XNJ8</v>
      </c>
      <c r="D22706" s="2" t="s">
        <v>11405</v>
      </c>
      <c r="E22706" s="3">
        <v>1.13E-84</v>
      </c>
      <c r="F22706" s="2">
        <v>694</v>
      </c>
      <c r="G22706" s="2">
        <v>100</v>
      </c>
      <c r="H22706" s="2">
        <v>125</v>
      </c>
      <c r="I22706" s="2">
        <v>499</v>
      </c>
      <c r="J22706" s="2">
        <v>873</v>
      </c>
      <c r="K22706" s="2">
        <v>1</v>
      </c>
      <c r="L22706" s="2">
        <v>125</v>
      </c>
    </row>
    <row r="22707" spans="1:12" x14ac:dyDescent="0.25">
      <c r="A22707" s="4" t="str">
        <f>HYPERLINK("http://www.rosaceae.org/Prunus/Prunus_persica/p.persica_gdr_reftransV1_0046649","p.persica_gdr_reftransV1_0046649")</f>
        <v>p.persica_gdr_reftransV1_0046649</v>
      </c>
      <c r="B22707" s="2">
        <v>364</v>
      </c>
      <c r="C22707" s="4" t="str">
        <f>HYPERLINK("http://www.uniprot.org/uniprot/M5W3X8","M5W3X8")</f>
        <v>M5W3X8</v>
      </c>
      <c r="D22707" s="2" t="s">
        <v>5188</v>
      </c>
      <c r="E22707" s="3">
        <v>6.6699999999999994E-51</v>
      </c>
      <c r="F22707" s="2">
        <v>463</v>
      </c>
      <c r="G22707" s="2">
        <v>78</v>
      </c>
      <c r="H22707" s="2">
        <v>120</v>
      </c>
      <c r="I22707" s="2">
        <v>3</v>
      </c>
      <c r="J22707" s="2">
        <v>362</v>
      </c>
      <c r="K22707" s="2">
        <v>842</v>
      </c>
      <c r="L22707" s="2">
        <v>935</v>
      </c>
    </row>
    <row r="22708" spans="1:12" x14ac:dyDescent="0.25">
      <c r="A22708" s="4" t="str">
        <f>HYPERLINK("http://www.rosaceae.org/Prunus/Prunus_persica/p.persica_gdr_reftransV1_0047349","p.persica_gdr_reftransV1_0047349")</f>
        <v>p.persica_gdr_reftransV1_0047349</v>
      </c>
      <c r="B22708" s="2">
        <v>1528</v>
      </c>
      <c r="C22708" s="4" t="str">
        <f>HYPERLINK("http://www.uniprot.org/uniprot/M5XR41","M5XR41")</f>
        <v>M5XR41</v>
      </c>
      <c r="D22708" s="2" t="s">
        <v>6385</v>
      </c>
      <c r="E22708" s="3">
        <v>0</v>
      </c>
      <c r="F22708" s="2">
        <v>1884</v>
      </c>
      <c r="G22708" s="2">
        <v>93</v>
      </c>
      <c r="H22708" s="2">
        <v>388</v>
      </c>
      <c r="I22708" s="2">
        <v>3</v>
      </c>
      <c r="J22708" s="2">
        <v>1163</v>
      </c>
      <c r="K22708" s="2">
        <v>625</v>
      </c>
      <c r="L22708" s="2">
        <v>1008</v>
      </c>
    </row>
    <row r="22709" spans="1:12" x14ac:dyDescent="0.25">
      <c r="A22709" s="4" t="str">
        <f>HYPERLINK("http://www.rosaceae.org/Prunus/Prunus_persica/p.persica_gdr_reftransV1_0047699","p.persica_gdr_reftransV1_0047699")</f>
        <v>p.persica_gdr_reftransV1_0047699</v>
      </c>
      <c r="B22709" s="2">
        <v>1322</v>
      </c>
      <c r="C22709" s="4" t="str">
        <f>HYPERLINK("http://www.uniprot.org/uniprot/M5WZB4","M5WZB4")</f>
        <v>M5WZB4</v>
      </c>
      <c r="D22709" s="2" t="s">
        <v>16708</v>
      </c>
      <c r="E22709" s="3">
        <v>0</v>
      </c>
      <c r="F22709" s="2">
        <v>1770</v>
      </c>
      <c r="G22709" s="2">
        <v>98</v>
      </c>
      <c r="H22709" s="2">
        <v>345</v>
      </c>
      <c r="I22709" s="2">
        <v>246</v>
      </c>
      <c r="J22709" s="2">
        <v>1280</v>
      </c>
      <c r="K22709" s="2">
        <v>7</v>
      </c>
      <c r="L22709" s="2">
        <v>344</v>
      </c>
    </row>
    <row r="22710" spans="1:12" x14ac:dyDescent="0.25">
      <c r="A22710" s="4" t="str">
        <f>HYPERLINK("http://www.rosaceae.org/Prunus/Prunus_persica/p.persica_gdr_reftransV1_0048399","p.persica_gdr_reftransV1_0048399")</f>
        <v>p.persica_gdr_reftransV1_0048399</v>
      </c>
      <c r="B22710" s="2">
        <v>630</v>
      </c>
      <c r="C22710" s="4" t="str">
        <f>HYPERLINK("http://www.uniprot.org/uniprot/M5VHR3","M5VHR3")</f>
        <v>M5VHR3</v>
      </c>
      <c r="D22710" s="2" t="s">
        <v>1661</v>
      </c>
      <c r="E22710" s="3">
        <v>7.3399999999999995E-138</v>
      </c>
      <c r="F22710" s="2">
        <v>1099</v>
      </c>
      <c r="G22710" s="2">
        <v>100</v>
      </c>
      <c r="H22710" s="2">
        <v>209</v>
      </c>
      <c r="I22710" s="2">
        <v>2</v>
      </c>
      <c r="J22710" s="2">
        <v>628</v>
      </c>
      <c r="K22710" s="2">
        <v>806</v>
      </c>
      <c r="L22710" s="2">
        <v>1014</v>
      </c>
    </row>
    <row r="22711" spans="1:12" x14ac:dyDescent="0.25">
      <c r="A22711" s="4" t="str">
        <f>HYPERLINK("http://www.rosaceae.org/Prunus/Prunus_persica/p.persica_gdr_reftransV1_0048749","p.persica_gdr_reftransV1_0048749")</f>
        <v>p.persica_gdr_reftransV1_0048749</v>
      </c>
      <c r="B22711" s="2">
        <v>349</v>
      </c>
      <c r="C22711" s="4" t="str">
        <f>HYPERLINK("http://www.uniprot.org/uniprot/M5XF06","M5XF06")</f>
        <v>M5XF06</v>
      </c>
      <c r="D22711" s="2" t="s">
        <v>16709</v>
      </c>
      <c r="E22711" s="3">
        <v>1.4600000000000001E-54</v>
      </c>
      <c r="F22711" s="2">
        <v>475</v>
      </c>
      <c r="G22711" s="2">
        <v>100</v>
      </c>
      <c r="H22711" s="2">
        <v>89</v>
      </c>
      <c r="I22711" s="2">
        <v>3</v>
      </c>
      <c r="J22711" s="2">
        <v>269</v>
      </c>
      <c r="K22711" s="2">
        <v>358</v>
      </c>
      <c r="L22711" s="2">
        <v>446</v>
      </c>
    </row>
    <row r="22712" spans="1:12" x14ac:dyDescent="0.25">
      <c r="A22712" s="4" t="str">
        <f>HYPERLINK("http://www.rosaceae.org/Prunus/Prunus_persica/p.persica_gdr_reftransV1_0049099","p.persica_gdr_reftransV1_0049099")</f>
        <v>p.persica_gdr_reftransV1_0049099</v>
      </c>
      <c r="B22712" s="2">
        <v>435</v>
      </c>
      <c r="C22712" s="4" t="str">
        <f>HYPERLINK("http://www.uniprot.org/uniprot/M5VTR9","M5VTR9")</f>
        <v>M5VTR9</v>
      </c>
      <c r="D22712" s="2" t="s">
        <v>15338</v>
      </c>
      <c r="E22712" s="3">
        <v>2.1999999999999998E-96</v>
      </c>
      <c r="F22712" s="2">
        <v>764</v>
      </c>
      <c r="G22712" s="2">
        <v>100</v>
      </c>
      <c r="H22712" s="2">
        <v>145</v>
      </c>
      <c r="I22712" s="2">
        <v>1</v>
      </c>
      <c r="J22712" s="2">
        <v>435</v>
      </c>
      <c r="K22712" s="2">
        <v>9</v>
      </c>
      <c r="L22712" s="2">
        <v>153</v>
      </c>
    </row>
    <row r="22713" spans="1:12" x14ac:dyDescent="0.25">
      <c r="A22713" s="4" t="str">
        <f>HYPERLINK("http://www.rosaceae.org/Prunus/Prunus_persica/p.persica_gdr_reftransV1_0000100","p.persica_gdr_reftransV1_0000100")</f>
        <v>p.persica_gdr_reftransV1_0000100</v>
      </c>
      <c r="B22713" s="2">
        <v>1410</v>
      </c>
      <c r="C22713" s="4" t="str">
        <f>HYPERLINK("http://www.uniprot.org/uniprot/M5XT94","M5XT94")</f>
        <v>M5XT94</v>
      </c>
      <c r="D22713" s="2" t="s">
        <v>13795</v>
      </c>
      <c r="E22713" s="3">
        <v>1.6299999999999999E-109</v>
      </c>
      <c r="F22713" s="2">
        <v>853</v>
      </c>
      <c r="G22713" s="2">
        <v>100</v>
      </c>
      <c r="H22713" s="2">
        <v>164</v>
      </c>
      <c r="I22713" s="2">
        <v>128</v>
      </c>
      <c r="J22713" s="2">
        <v>619</v>
      </c>
      <c r="K22713" s="2">
        <v>1</v>
      </c>
      <c r="L22713" s="2">
        <v>164</v>
      </c>
    </row>
    <row r="22714" spans="1:12" x14ac:dyDescent="0.25">
      <c r="A22714" s="4" t="str">
        <f>HYPERLINK("http://www.rosaceae.org/Prunus/Prunus_persica/p.persica_gdr_reftransV1_0000450","p.persica_gdr_reftransV1_0000450")</f>
        <v>p.persica_gdr_reftransV1_0000450</v>
      </c>
      <c r="B22714" s="2">
        <v>3029</v>
      </c>
      <c r="C22714" s="4" t="str">
        <f>HYPERLINK("http://www.uniprot.org/uniprot/M5WMC3","M5WMC3")</f>
        <v>M5WMC3</v>
      </c>
      <c r="D22714" s="2" t="s">
        <v>10860</v>
      </c>
      <c r="E22714" s="3">
        <v>0</v>
      </c>
      <c r="F22714" s="2">
        <v>4178</v>
      </c>
      <c r="G22714" s="2">
        <v>100</v>
      </c>
      <c r="H22714" s="2">
        <v>832</v>
      </c>
      <c r="I22714" s="2">
        <v>318</v>
      </c>
      <c r="J22714" s="2">
        <v>2813</v>
      </c>
      <c r="K22714" s="2">
        <v>1</v>
      </c>
      <c r="L22714" s="2">
        <v>832</v>
      </c>
    </row>
    <row r="22715" spans="1:12" x14ac:dyDescent="0.25">
      <c r="A22715" s="4" t="str">
        <f>HYPERLINK("http://www.rosaceae.org/Prunus/Prunus_persica/p.persica_gdr_reftransV1_0000800","p.persica_gdr_reftransV1_0000800")</f>
        <v>p.persica_gdr_reftransV1_0000800</v>
      </c>
      <c r="B22715" s="2">
        <v>688</v>
      </c>
      <c r="C22715" s="4" t="str">
        <f>HYPERLINK("http://www.uniprot.org/uniprot/M5X1Y6","M5X1Y6")</f>
        <v>M5X1Y6</v>
      </c>
      <c r="D22715" s="2" t="s">
        <v>7821</v>
      </c>
      <c r="E22715" s="3">
        <v>1.04E-119</v>
      </c>
      <c r="F22715" s="2">
        <v>973</v>
      </c>
      <c r="G22715" s="2">
        <v>100</v>
      </c>
      <c r="H22715" s="2">
        <v>228</v>
      </c>
      <c r="I22715" s="2">
        <v>3</v>
      </c>
      <c r="J22715" s="2">
        <v>686</v>
      </c>
      <c r="K22715" s="2">
        <v>151</v>
      </c>
      <c r="L22715" s="2">
        <v>378</v>
      </c>
    </row>
    <row r="22716" spans="1:12" x14ac:dyDescent="0.25">
      <c r="A22716" s="4" t="str">
        <f>HYPERLINK("http://www.rosaceae.org/Prunus/Prunus_persica/p.persica_gdr_reftransV1_0001150","p.persica_gdr_reftransV1_0001150")</f>
        <v>p.persica_gdr_reftransV1_0001150</v>
      </c>
      <c r="B22716" s="2">
        <v>943</v>
      </c>
      <c r="C22716" s="4" t="str">
        <f>HYPERLINK("http://www.uniprot.org/uniprot/M5XFA1","M5XFA1")</f>
        <v>M5XFA1</v>
      </c>
      <c r="D22716" s="2" t="s">
        <v>12384</v>
      </c>
      <c r="E22716" s="3">
        <v>2.5099999999999999E-45</v>
      </c>
      <c r="F22716" s="2">
        <v>415</v>
      </c>
      <c r="G22716" s="2">
        <v>100</v>
      </c>
      <c r="H22716" s="2">
        <v>96</v>
      </c>
      <c r="I22716" s="2">
        <v>173</v>
      </c>
      <c r="J22716" s="2">
        <v>460</v>
      </c>
      <c r="K22716" s="2">
        <v>1</v>
      </c>
      <c r="L22716" s="2">
        <v>96</v>
      </c>
    </row>
    <row r="22717" spans="1:12" x14ac:dyDescent="0.25">
      <c r="A22717" s="4" t="str">
        <f>HYPERLINK("http://www.rosaceae.org/Prunus/Prunus_persica/p.persica_gdr_reftransV1_0001850","p.persica_gdr_reftransV1_0001850")</f>
        <v>p.persica_gdr_reftransV1_0001850</v>
      </c>
      <c r="B22717" s="2">
        <v>561</v>
      </c>
      <c r="C22717" s="4" t="str">
        <f>HYPERLINK("http://www.uniprot.org/uniprot/A0A0E9KWK1","A0A0E9KWK1")</f>
        <v>A0A0E9KWK1</v>
      </c>
      <c r="D22717" s="2" t="s">
        <v>16710</v>
      </c>
      <c r="E22717" s="3">
        <v>4.5200000000000003E-106</v>
      </c>
      <c r="F22717" s="2">
        <v>816</v>
      </c>
      <c r="G22717" s="2">
        <v>91</v>
      </c>
      <c r="H22717" s="2">
        <v>185</v>
      </c>
      <c r="I22717" s="2">
        <v>2</v>
      </c>
      <c r="J22717" s="2">
        <v>556</v>
      </c>
      <c r="K22717" s="2">
        <v>55</v>
      </c>
      <c r="L22717" s="2">
        <v>239</v>
      </c>
    </row>
    <row r="22718" spans="1:12" x14ac:dyDescent="0.25">
      <c r="A22718" s="4" t="str">
        <f>HYPERLINK("http://www.rosaceae.org/Prunus/Prunus_persica/p.persica_gdr_reftransV1_0002900","p.persica_gdr_reftransV1_0002900")</f>
        <v>p.persica_gdr_reftransV1_0002900</v>
      </c>
      <c r="B22718" s="2">
        <v>3668</v>
      </c>
      <c r="C22718" s="4" t="str">
        <f>HYPERLINK("http://www.uniprot.org/uniprot/M5WCD4","M5WCD4")</f>
        <v>M5WCD4</v>
      </c>
      <c r="D22718" s="2" t="s">
        <v>16711</v>
      </c>
      <c r="E22718" s="3">
        <v>0</v>
      </c>
      <c r="F22718" s="2">
        <v>4790</v>
      </c>
      <c r="G22718" s="2">
        <v>100</v>
      </c>
      <c r="H22718" s="2">
        <v>962</v>
      </c>
      <c r="I22718" s="2">
        <v>608</v>
      </c>
      <c r="J22718" s="2">
        <v>3493</v>
      </c>
      <c r="K22718" s="2">
        <v>1</v>
      </c>
      <c r="L22718" s="2">
        <v>962</v>
      </c>
    </row>
    <row r="22719" spans="1:12" x14ac:dyDescent="0.25">
      <c r="A22719" s="4" t="str">
        <f>HYPERLINK("http://www.rosaceae.org/Prunus/Prunus_persica/p.persica_gdr_reftransV1_0003250","p.persica_gdr_reftransV1_0003250")</f>
        <v>p.persica_gdr_reftransV1_0003250</v>
      </c>
      <c r="B22719" s="2">
        <v>2671</v>
      </c>
      <c r="C22719" s="4" t="str">
        <f>HYPERLINK("http://www.uniprot.org/uniprot/M5XKJ8","M5XKJ8")</f>
        <v>M5XKJ8</v>
      </c>
      <c r="D22719" s="2" t="s">
        <v>4968</v>
      </c>
      <c r="E22719" s="3">
        <v>0</v>
      </c>
      <c r="F22719" s="2">
        <v>4051</v>
      </c>
      <c r="G22719" s="2">
        <v>96</v>
      </c>
      <c r="H22719" s="2">
        <v>890</v>
      </c>
      <c r="I22719" s="2">
        <v>1</v>
      </c>
      <c r="J22719" s="2">
        <v>2670</v>
      </c>
      <c r="K22719" s="2">
        <v>386</v>
      </c>
      <c r="L22719" s="2">
        <v>1240</v>
      </c>
    </row>
    <row r="22720" spans="1:12" x14ac:dyDescent="0.25">
      <c r="A22720" s="4" t="str">
        <f>HYPERLINK("http://www.rosaceae.org/Prunus/Prunus_persica/p.persica_gdr_reftransV1_0003600","p.persica_gdr_reftransV1_0003600")</f>
        <v>p.persica_gdr_reftransV1_0003600</v>
      </c>
      <c r="B22720" s="2">
        <v>744</v>
      </c>
      <c r="C22720" s="4" t="str">
        <f>HYPERLINK("http://www.uniprot.org/uniprot/K3VY75","K3VY75")</f>
        <v>K3VY75</v>
      </c>
      <c r="D22720" s="2" t="s">
        <v>16712</v>
      </c>
      <c r="E22720" s="3">
        <v>4.3500000000000001E-115</v>
      </c>
      <c r="F22720" s="2">
        <v>884</v>
      </c>
      <c r="G22720" s="2">
        <v>96</v>
      </c>
      <c r="H22720" s="2">
        <v>204</v>
      </c>
      <c r="I22720" s="2">
        <v>2</v>
      </c>
      <c r="J22720" s="2">
        <v>613</v>
      </c>
      <c r="K22720" s="2">
        <v>125</v>
      </c>
      <c r="L22720" s="2">
        <v>328</v>
      </c>
    </row>
    <row r="22721" spans="1:12" x14ac:dyDescent="0.25">
      <c r="A22721" s="4" t="str">
        <f>HYPERLINK("http://www.rosaceae.org/Prunus/Prunus_persica/p.persica_gdr_reftransV1_0003950","p.persica_gdr_reftransV1_0003950")</f>
        <v>p.persica_gdr_reftransV1_0003950</v>
      </c>
      <c r="B22721" s="2">
        <v>1770</v>
      </c>
      <c r="C22721" s="4" t="str">
        <f>HYPERLINK("http://www.uniprot.org/uniprot/M5Y2L1","M5Y2L1")</f>
        <v>M5Y2L1</v>
      </c>
      <c r="D22721" s="2" t="s">
        <v>16713</v>
      </c>
      <c r="E22721" s="3">
        <v>0</v>
      </c>
      <c r="F22721" s="2">
        <v>1807</v>
      </c>
      <c r="G22721" s="2">
        <v>100</v>
      </c>
      <c r="H22721" s="2">
        <v>353</v>
      </c>
      <c r="I22721" s="2">
        <v>391</v>
      </c>
      <c r="J22721" s="2">
        <v>1449</v>
      </c>
      <c r="K22721" s="2">
        <v>1</v>
      </c>
      <c r="L22721" s="2">
        <v>353</v>
      </c>
    </row>
    <row r="22722" spans="1:12" x14ac:dyDescent="0.25">
      <c r="A22722" s="4" t="str">
        <f>HYPERLINK("http://www.rosaceae.org/Prunus/Prunus_persica/p.persica_gdr_reftransV1_0004300","p.persica_gdr_reftransV1_0004300")</f>
        <v>p.persica_gdr_reftransV1_0004300</v>
      </c>
      <c r="B22722" s="2">
        <v>731</v>
      </c>
      <c r="C22722" s="4" t="str">
        <f>HYPERLINK("http://www.uniprot.org/uniprot/J7G0P5","J7G0P5")</f>
        <v>J7G0P5</v>
      </c>
      <c r="D22722" s="2" t="s">
        <v>2394</v>
      </c>
      <c r="E22722" s="3">
        <v>4.73E-83</v>
      </c>
      <c r="F22722" s="2">
        <v>717</v>
      </c>
      <c r="G22722" s="2">
        <v>66</v>
      </c>
      <c r="H22722" s="2">
        <v>205</v>
      </c>
      <c r="I22722" s="2">
        <v>105</v>
      </c>
      <c r="J22722" s="2">
        <v>719</v>
      </c>
      <c r="K22722" s="2">
        <v>872</v>
      </c>
      <c r="L22722" s="2">
        <v>1076</v>
      </c>
    </row>
    <row r="22723" spans="1:12" x14ac:dyDescent="0.25">
      <c r="A22723" s="4" t="str">
        <f>HYPERLINK("http://www.rosaceae.org/Prunus/Prunus_persica/p.persica_gdr_reftransV1_0005000","p.persica_gdr_reftransV1_0005000")</f>
        <v>p.persica_gdr_reftransV1_0005000</v>
      </c>
      <c r="B22723" s="2">
        <v>754</v>
      </c>
      <c r="C22723" s="4" t="str">
        <f>HYPERLINK("http://www.uniprot.org/uniprot/M5XQX4","M5XQX4")</f>
        <v>M5XQX4</v>
      </c>
      <c r="D22723" s="2" t="s">
        <v>16714</v>
      </c>
      <c r="E22723" s="3">
        <v>4.5999999999999998E-81</v>
      </c>
      <c r="F22723" s="2">
        <v>643</v>
      </c>
      <c r="G22723" s="2">
        <v>100</v>
      </c>
      <c r="H22723" s="2">
        <v>162</v>
      </c>
      <c r="I22723" s="2">
        <v>140</v>
      </c>
      <c r="J22723" s="2">
        <v>625</v>
      </c>
      <c r="K22723" s="2">
        <v>1</v>
      </c>
      <c r="L22723" s="2">
        <v>162</v>
      </c>
    </row>
    <row r="22724" spans="1:12" x14ac:dyDescent="0.25">
      <c r="A22724" s="4" t="str">
        <f>HYPERLINK("http://www.rosaceae.org/Prunus/Prunus_persica/p.persica_gdr_reftransV1_0005700","p.persica_gdr_reftransV1_0005700")</f>
        <v>p.persica_gdr_reftransV1_0005700</v>
      </c>
      <c r="B22724" s="2">
        <v>1187</v>
      </c>
      <c r="C22724" s="4" t="str">
        <f>HYPERLINK("http://www.uniprot.org/uniprot/M5X7A8","M5X7A8")</f>
        <v>M5X7A8</v>
      </c>
      <c r="D22724" s="2" t="s">
        <v>7369</v>
      </c>
      <c r="E22724" s="3">
        <v>0</v>
      </c>
      <c r="F22724" s="2">
        <v>1760</v>
      </c>
      <c r="G22724" s="2">
        <v>91</v>
      </c>
      <c r="H22724" s="2">
        <v>361</v>
      </c>
      <c r="I22724" s="2">
        <v>3</v>
      </c>
      <c r="J22724" s="2">
        <v>1076</v>
      </c>
      <c r="K22724" s="2">
        <v>1</v>
      </c>
      <c r="L22724" s="2">
        <v>360</v>
      </c>
    </row>
    <row r="22725" spans="1:12" x14ac:dyDescent="0.25">
      <c r="A22725" s="4" t="str">
        <f>HYPERLINK("http://www.rosaceae.org/Prunus/Prunus_persica/p.persica_gdr_reftransV1_0007100","p.persica_gdr_reftransV1_0007100")</f>
        <v>p.persica_gdr_reftransV1_0007100</v>
      </c>
      <c r="B22725" s="2">
        <v>1969</v>
      </c>
      <c r="C22725" s="4" t="str">
        <f>HYPERLINK("http://www.uniprot.org/uniprot/M5X887","M5X887")</f>
        <v>M5X887</v>
      </c>
      <c r="D22725" s="2" t="s">
        <v>16715</v>
      </c>
      <c r="E22725" s="3">
        <v>0</v>
      </c>
      <c r="F22725" s="2">
        <v>2993</v>
      </c>
      <c r="G22725" s="2">
        <v>100</v>
      </c>
      <c r="H22725" s="2">
        <v>588</v>
      </c>
      <c r="I22725" s="2">
        <v>204</v>
      </c>
      <c r="J22725" s="2">
        <v>1967</v>
      </c>
      <c r="K22725" s="2">
        <v>1</v>
      </c>
      <c r="L22725" s="2">
        <v>588</v>
      </c>
    </row>
    <row r="22726" spans="1:12" x14ac:dyDescent="0.25">
      <c r="A22726" s="4" t="str">
        <f>HYPERLINK("http://www.rosaceae.org/Prunus/Prunus_persica/p.persica_gdr_reftransV1_0007450","p.persica_gdr_reftransV1_0007450")</f>
        <v>p.persica_gdr_reftransV1_0007450</v>
      </c>
      <c r="B22726" s="2">
        <v>1626</v>
      </c>
      <c r="C22726" s="4" t="str">
        <f>HYPERLINK("http://www.uniprot.org/uniprot/M5WND5","M5WND5")</f>
        <v>M5WND5</v>
      </c>
      <c r="D22726" s="2" t="s">
        <v>16716</v>
      </c>
      <c r="E22726" s="3">
        <v>7.1500000000000002E-107</v>
      </c>
      <c r="F22726" s="2">
        <v>847</v>
      </c>
      <c r="G22726" s="2">
        <v>100</v>
      </c>
      <c r="H22726" s="2">
        <v>200</v>
      </c>
      <c r="I22726" s="2">
        <v>251</v>
      </c>
      <c r="J22726" s="2">
        <v>850</v>
      </c>
      <c r="K22726" s="2">
        <v>13</v>
      </c>
      <c r="L22726" s="2">
        <v>212</v>
      </c>
    </row>
    <row r="22727" spans="1:12" x14ac:dyDescent="0.25">
      <c r="A22727" s="4" t="str">
        <f>HYPERLINK("http://www.rosaceae.org/Prunus/Prunus_persica/p.persica_gdr_reftransV1_0008150","p.persica_gdr_reftransV1_0008150")</f>
        <v>p.persica_gdr_reftransV1_0008150</v>
      </c>
      <c r="B22727" s="2">
        <v>2382</v>
      </c>
      <c r="C22727" s="4" t="str">
        <f>HYPERLINK("http://www.uniprot.org/uniprot/W9SGP1","W9SGP1")</f>
        <v>W9SGP1</v>
      </c>
      <c r="D22727" s="2" t="s">
        <v>16717</v>
      </c>
      <c r="E22727" s="3">
        <v>0</v>
      </c>
      <c r="F22727" s="2">
        <v>1475</v>
      </c>
      <c r="G22727" s="2">
        <v>70</v>
      </c>
      <c r="H22727" s="2">
        <v>392</v>
      </c>
      <c r="I22727" s="2">
        <v>291</v>
      </c>
      <c r="J22727" s="2">
        <v>1454</v>
      </c>
      <c r="K22727" s="2">
        <v>222</v>
      </c>
      <c r="L22727" s="2">
        <v>607</v>
      </c>
    </row>
    <row r="22728" spans="1:12" x14ac:dyDescent="0.25">
      <c r="A22728" s="4" t="str">
        <f>HYPERLINK("http://www.rosaceae.org/Prunus/Prunus_persica/p.persica_gdr_reftransV1_0008500","p.persica_gdr_reftransV1_0008500")</f>
        <v>p.persica_gdr_reftransV1_0008500</v>
      </c>
      <c r="B22728" s="2">
        <v>1792</v>
      </c>
      <c r="C22728" s="4" t="str">
        <f>HYPERLINK("http://www.uniprot.org/uniprot/M5W0M6","M5W0M6")</f>
        <v>M5W0M6</v>
      </c>
      <c r="D22728" s="2" t="s">
        <v>16718</v>
      </c>
      <c r="E22728" s="3">
        <v>8.4199999999999998E-83</v>
      </c>
      <c r="F22728" s="2">
        <v>582</v>
      </c>
      <c r="G22728" s="2">
        <v>96</v>
      </c>
      <c r="H22728" s="2">
        <v>112</v>
      </c>
      <c r="I22728" s="2">
        <v>821</v>
      </c>
      <c r="J22728" s="2">
        <v>1156</v>
      </c>
      <c r="K22728" s="2">
        <v>278</v>
      </c>
      <c r="L22728" s="2">
        <v>389</v>
      </c>
    </row>
    <row r="22729" spans="1:12" x14ac:dyDescent="0.25">
      <c r="A22729" s="4" t="str">
        <f>HYPERLINK("http://www.rosaceae.org/Prunus/Prunus_persica/p.persica_gdr_reftransV1_0008850","p.persica_gdr_reftransV1_0008850")</f>
        <v>p.persica_gdr_reftransV1_0008850</v>
      </c>
      <c r="B22729" s="2">
        <v>481</v>
      </c>
      <c r="C22729" s="4" t="str">
        <f>HYPERLINK("http://www.uniprot.org/uniprot/M5VJI9","M5VJI9")</f>
        <v>M5VJI9</v>
      </c>
      <c r="D22729" s="2" t="s">
        <v>16719</v>
      </c>
      <c r="E22729" s="3">
        <v>1.5600000000000001E-43</v>
      </c>
      <c r="F22729" s="2">
        <v>378</v>
      </c>
      <c r="G22729" s="2">
        <v>100</v>
      </c>
      <c r="H22729" s="2">
        <v>67</v>
      </c>
      <c r="I22729" s="2">
        <v>165</v>
      </c>
      <c r="J22729" s="2">
        <v>365</v>
      </c>
      <c r="K22729" s="2">
        <v>1</v>
      </c>
      <c r="L22729" s="2">
        <v>67</v>
      </c>
    </row>
    <row r="22730" spans="1:12" x14ac:dyDescent="0.25">
      <c r="A22730" s="4" t="str">
        <f>HYPERLINK("http://www.rosaceae.org/Prunus/Prunus_persica/p.persica_gdr_reftransV1_0009200","p.persica_gdr_reftransV1_0009200")</f>
        <v>p.persica_gdr_reftransV1_0009200</v>
      </c>
      <c r="B22730" s="2">
        <v>1812</v>
      </c>
      <c r="C22730" s="4" t="str">
        <f>HYPERLINK("http://www.uniprot.org/uniprot/M5X1I2","M5X1I2")</f>
        <v>M5X1I2</v>
      </c>
      <c r="D22730" s="2" t="s">
        <v>16720</v>
      </c>
      <c r="E22730" s="3">
        <v>7.7299999999999997E-123</v>
      </c>
      <c r="F22730" s="2">
        <v>968</v>
      </c>
      <c r="G22730" s="2">
        <v>99</v>
      </c>
      <c r="H22730" s="2">
        <v>182</v>
      </c>
      <c r="I22730" s="2">
        <v>140</v>
      </c>
      <c r="J22730" s="2">
        <v>685</v>
      </c>
      <c r="K22730" s="2">
        <v>1</v>
      </c>
      <c r="L22730" s="2">
        <v>182</v>
      </c>
    </row>
    <row r="22731" spans="1:12" x14ac:dyDescent="0.25">
      <c r="A22731" s="4" t="str">
        <f>HYPERLINK("http://www.rosaceae.org/Prunus/Prunus_persica/p.persica_gdr_reftransV1_0010250","p.persica_gdr_reftransV1_0010250")</f>
        <v>p.persica_gdr_reftransV1_0010250</v>
      </c>
      <c r="B22731" s="2">
        <v>2795</v>
      </c>
      <c r="C22731" s="4" t="str">
        <f>HYPERLINK("http://www.uniprot.org/uniprot/M5XFS2","M5XFS2")</f>
        <v>M5XFS2</v>
      </c>
      <c r="D22731" s="2" t="s">
        <v>16721</v>
      </c>
      <c r="E22731" s="3">
        <v>0</v>
      </c>
      <c r="F22731" s="2">
        <v>2754</v>
      </c>
      <c r="G22731" s="2">
        <v>100</v>
      </c>
      <c r="H22731" s="2">
        <v>550</v>
      </c>
      <c r="I22731" s="2">
        <v>941</v>
      </c>
      <c r="J22731" s="2">
        <v>2590</v>
      </c>
      <c r="K22731" s="2">
        <v>1</v>
      </c>
      <c r="L22731" s="2">
        <v>550</v>
      </c>
    </row>
    <row r="22732" spans="1:12" x14ac:dyDescent="0.25">
      <c r="A22732" s="4" t="str">
        <f>HYPERLINK("http://www.rosaceae.org/Prunus/Prunus_persica/p.persica_gdr_reftransV1_0010600","p.persica_gdr_reftransV1_0010600")</f>
        <v>p.persica_gdr_reftransV1_0010600</v>
      </c>
      <c r="B22732" s="2">
        <v>3067</v>
      </c>
      <c r="C22732" s="4" t="str">
        <f>HYPERLINK("http://www.uniprot.org/uniprot/M5WCS9","M5WCS9")</f>
        <v>M5WCS9</v>
      </c>
      <c r="D22732" s="2" t="s">
        <v>16722</v>
      </c>
      <c r="E22732" s="3">
        <v>0</v>
      </c>
      <c r="F22732" s="2">
        <v>3493</v>
      </c>
      <c r="G22732" s="2">
        <v>100</v>
      </c>
      <c r="H22732" s="2">
        <v>652</v>
      </c>
      <c r="I22732" s="2">
        <v>321</v>
      </c>
      <c r="J22732" s="2">
        <v>2276</v>
      </c>
      <c r="K22732" s="2">
        <v>38</v>
      </c>
      <c r="L22732" s="2">
        <v>689</v>
      </c>
    </row>
    <row r="22733" spans="1:12" x14ac:dyDescent="0.25">
      <c r="A22733" s="4" t="str">
        <f>HYPERLINK("http://www.rosaceae.org/Prunus/Prunus_persica/p.persica_gdr_reftransV1_0011650","p.persica_gdr_reftransV1_0011650")</f>
        <v>p.persica_gdr_reftransV1_0011650</v>
      </c>
      <c r="B22733" s="2">
        <v>2371</v>
      </c>
      <c r="C22733" s="4" t="str">
        <f>HYPERLINK("http://www.uniprot.org/uniprot/M5W9F5","M5W9F5")</f>
        <v>M5W9F5</v>
      </c>
      <c r="D22733" s="2" t="s">
        <v>16723</v>
      </c>
      <c r="E22733" s="3">
        <v>0</v>
      </c>
      <c r="F22733" s="2">
        <v>1463</v>
      </c>
      <c r="G22733" s="2">
        <v>100</v>
      </c>
      <c r="H22733" s="2">
        <v>355</v>
      </c>
      <c r="I22733" s="2">
        <v>440</v>
      </c>
      <c r="J22733" s="2">
        <v>1504</v>
      </c>
      <c r="K22733" s="2">
        <v>1</v>
      </c>
      <c r="L22733" s="2">
        <v>355</v>
      </c>
    </row>
    <row r="22734" spans="1:12" x14ac:dyDescent="0.25">
      <c r="A22734" s="4" t="str">
        <f>HYPERLINK("http://www.rosaceae.org/Prunus/Prunus_persica/p.persica_gdr_reftransV1_0013050","p.persica_gdr_reftransV1_0013050")</f>
        <v>p.persica_gdr_reftransV1_0013050</v>
      </c>
      <c r="B22734" s="2">
        <v>1982</v>
      </c>
      <c r="C22734" s="4" t="str">
        <f>HYPERLINK("http://www.uniprot.org/uniprot/M5W5L3","M5W5L3")</f>
        <v>M5W5L3</v>
      </c>
      <c r="D22734" s="2" t="s">
        <v>16724</v>
      </c>
      <c r="E22734" s="3">
        <v>0</v>
      </c>
      <c r="F22734" s="2">
        <v>2872</v>
      </c>
      <c r="G22734" s="2">
        <v>100</v>
      </c>
      <c r="H22734" s="2">
        <v>550</v>
      </c>
      <c r="I22734" s="2">
        <v>3</v>
      </c>
      <c r="J22734" s="2">
        <v>1652</v>
      </c>
      <c r="K22734" s="2">
        <v>151</v>
      </c>
      <c r="L22734" s="2">
        <v>700</v>
      </c>
    </row>
    <row r="22735" spans="1:12" x14ac:dyDescent="0.25">
      <c r="A22735" s="4" t="str">
        <f>HYPERLINK("http://www.rosaceae.org/Prunus/Prunus_persica/p.persica_gdr_reftransV1_0014800","p.persica_gdr_reftransV1_0014800")</f>
        <v>p.persica_gdr_reftransV1_0014800</v>
      </c>
      <c r="B22735" s="2">
        <v>1002</v>
      </c>
      <c r="C22735" s="4" t="str">
        <f>HYPERLINK("http://www.uniprot.org/uniprot/M5XHS2","M5XHS2")</f>
        <v>M5XHS2</v>
      </c>
      <c r="D22735" s="2" t="s">
        <v>16725</v>
      </c>
      <c r="E22735" s="3">
        <v>4.2599999999999997E-154</v>
      </c>
      <c r="F22735" s="2">
        <v>1147</v>
      </c>
      <c r="G22735" s="2">
        <v>100</v>
      </c>
      <c r="H22735" s="2">
        <v>212</v>
      </c>
      <c r="I22735" s="2">
        <v>367</v>
      </c>
      <c r="J22735" s="2">
        <v>1002</v>
      </c>
      <c r="K22735" s="2">
        <v>79</v>
      </c>
      <c r="L22735" s="2">
        <v>290</v>
      </c>
    </row>
    <row r="22736" spans="1:12" x14ac:dyDescent="0.25">
      <c r="A22736" s="4" t="str">
        <f>HYPERLINK("http://www.rosaceae.org/Prunus/Prunus_persica/p.persica_gdr_reftransV1_0015500","p.persica_gdr_reftransV1_0015500")</f>
        <v>p.persica_gdr_reftransV1_0015500</v>
      </c>
      <c r="B22736" s="2">
        <v>1750</v>
      </c>
      <c r="C22736" s="4" t="str">
        <f>HYPERLINK("http://www.uniprot.org/uniprot/M5XCC5","M5XCC5")</f>
        <v>M5XCC5</v>
      </c>
      <c r="D22736" s="2" t="s">
        <v>16726</v>
      </c>
      <c r="E22736" s="3">
        <v>0</v>
      </c>
      <c r="F22736" s="2">
        <v>2830</v>
      </c>
      <c r="G22736" s="2">
        <v>100</v>
      </c>
      <c r="H22736" s="2">
        <v>525</v>
      </c>
      <c r="I22736" s="2">
        <v>66</v>
      </c>
      <c r="J22736" s="2">
        <v>1640</v>
      </c>
      <c r="K22736" s="2">
        <v>11</v>
      </c>
      <c r="L22736" s="2">
        <v>535</v>
      </c>
    </row>
    <row r="22737" spans="1:12" x14ac:dyDescent="0.25">
      <c r="A22737" s="4" t="str">
        <f>HYPERLINK("http://www.rosaceae.org/Prunus/Prunus_persica/p.persica_gdr_reftransV1_0015850","p.persica_gdr_reftransV1_0015850")</f>
        <v>p.persica_gdr_reftransV1_0015850</v>
      </c>
      <c r="B22737" s="2">
        <v>3629</v>
      </c>
      <c r="C22737" s="4" t="str">
        <f>HYPERLINK("http://www.uniprot.org/uniprot/M5XMD5","M5XMD5")</f>
        <v>M5XMD5</v>
      </c>
      <c r="D22737" s="2" t="s">
        <v>11596</v>
      </c>
      <c r="E22737" s="3">
        <v>0</v>
      </c>
      <c r="F22737" s="2">
        <v>2942</v>
      </c>
      <c r="G22737" s="2">
        <v>100</v>
      </c>
      <c r="H22737" s="2">
        <v>585</v>
      </c>
      <c r="I22737" s="2">
        <v>55</v>
      </c>
      <c r="J22737" s="2">
        <v>1809</v>
      </c>
      <c r="K22737" s="2">
        <v>797</v>
      </c>
      <c r="L22737" s="2">
        <v>1381</v>
      </c>
    </row>
    <row r="22738" spans="1:12" x14ac:dyDescent="0.25">
      <c r="A22738" s="4" t="str">
        <f>HYPERLINK("http://www.rosaceae.org/Prunus/Prunus_persica/p.persica_gdr_reftransV1_0017250","p.persica_gdr_reftransV1_0017250")</f>
        <v>p.persica_gdr_reftransV1_0017250</v>
      </c>
      <c r="B22738" s="2">
        <v>1943</v>
      </c>
      <c r="C22738" s="4" t="str">
        <f>HYPERLINK("http://www.uniprot.org/uniprot/M5XP64","M5XP64")</f>
        <v>M5XP64</v>
      </c>
      <c r="D22738" s="2" t="s">
        <v>16727</v>
      </c>
      <c r="E22738" s="3">
        <v>0</v>
      </c>
      <c r="F22738" s="2">
        <v>1521</v>
      </c>
      <c r="G22738" s="2">
        <v>100</v>
      </c>
      <c r="H22738" s="2">
        <v>283</v>
      </c>
      <c r="I22738" s="2">
        <v>842</v>
      </c>
      <c r="J22738" s="2">
        <v>1690</v>
      </c>
      <c r="K22738" s="2">
        <v>78</v>
      </c>
      <c r="L22738" s="2">
        <v>360</v>
      </c>
    </row>
    <row r="22739" spans="1:12" x14ac:dyDescent="0.25">
      <c r="A22739" s="4" t="str">
        <f>HYPERLINK("http://www.rosaceae.org/Prunus/Prunus_persica/p.persica_gdr_reftransV1_0017600","p.persica_gdr_reftransV1_0017600")</f>
        <v>p.persica_gdr_reftransV1_0017600</v>
      </c>
      <c r="B22739" s="2">
        <v>1310</v>
      </c>
      <c r="C22739" s="4" t="str">
        <f>HYPERLINK("http://www.uniprot.org/uniprot/M5XLK7","M5XLK7")</f>
        <v>M5XLK7</v>
      </c>
      <c r="D22739" s="2" t="s">
        <v>16728</v>
      </c>
      <c r="E22739" s="3">
        <v>9.2500000000000004E-163</v>
      </c>
      <c r="F22739" s="2">
        <v>1216</v>
      </c>
      <c r="G22739" s="2">
        <v>100</v>
      </c>
      <c r="H22739" s="2">
        <v>231</v>
      </c>
      <c r="I22739" s="2">
        <v>577</v>
      </c>
      <c r="J22739" s="2">
        <v>1269</v>
      </c>
      <c r="K22739" s="2">
        <v>1</v>
      </c>
      <c r="L22739" s="2">
        <v>231</v>
      </c>
    </row>
    <row r="22740" spans="1:12" x14ac:dyDescent="0.25">
      <c r="A22740" s="4" t="str">
        <f>HYPERLINK("http://www.rosaceae.org/Prunus/Prunus_persica/p.persica_gdr_reftransV1_0017950","p.persica_gdr_reftransV1_0017950")</f>
        <v>p.persica_gdr_reftransV1_0017950</v>
      </c>
      <c r="B22740" s="2">
        <v>493</v>
      </c>
      <c r="C22740" s="4" t="str">
        <f>HYPERLINK("http://www.uniprot.org/uniprot/M5W2N4","M5W2N4")</f>
        <v>M5W2N4</v>
      </c>
      <c r="D22740" s="2" t="s">
        <v>13569</v>
      </c>
      <c r="E22740" s="3">
        <v>4.7299999999999997E-102</v>
      </c>
      <c r="F22740" s="2">
        <v>825</v>
      </c>
      <c r="G22740" s="2">
        <v>100</v>
      </c>
      <c r="H22740" s="2">
        <v>164</v>
      </c>
      <c r="I22740" s="2">
        <v>1</v>
      </c>
      <c r="J22740" s="2">
        <v>492</v>
      </c>
      <c r="K22740" s="2">
        <v>119</v>
      </c>
      <c r="L22740" s="2">
        <v>282</v>
      </c>
    </row>
    <row r="22741" spans="1:12" x14ac:dyDescent="0.25">
      <c r="A22741" s="4" t="str">
        <f>HYPERLINK("http://www.rosaceae.org/Prunus/Prunus_persica/p.persica_gdr_reftransV1_0018300","p.persica_gdr_reftransV1_0018300")</f>
        <v>p.persica_gdr_reftransV1_0018300</v>
      </c>
      <c r="B22741" s="2">
        <v>1340</v>
      </c>
      <c r="C22741" s="4" t="str">
        <f>HYPERLINK("http://www.uniprot.org/uniprot/M5X7S6","M5X7S6")</f>
        <v>M5X7S6</v>
      </c>
      <c r="D22741" s="2" t="s">
        <v>16729</v>
      </c>
      <c r="E22741" s="3">
        <v>3.02E-151</v>
      </c>
      <c r="F22741" s="2">
        <v>1139</v>
      </c>
      <c r="G22741" s="2">
        <v>100</v>
      </c>
      <c r="H22741" s="2">
        <v>217</v>
      </c>
      <c r="I22741" s="2">
        <v>1</v>
      </c>
      <c r="J22741" s="2">
        <v>651</v>
      </c>
      <c r="K22741" s="2">
        <v>25</v>
      </c>
      <c r="L22741" s="2">
        <v>241</v>
      </c>
    </row>
    <row r="22742" spans="1:12" x14ac:dyDescent="0.25">
      <c r="A22742" s="4" t="str">
        <f>HYPERLINK("http://www.rosaceae.org/Prunus/Prunus_persica/p.persica_gdr_reftransV1_0018650","p.persica_gdr_reftransV1_0018650")</f>
        <v>p.persica_gdr_reftransV1_0018650</v>
      </c>
      <c r="B22742" s="2">
        <v>4092</v>
      </c>
      <c r="C22742" s="4" t="str">
        <f>HYPERLINK("http://www.uniprot.org/uniprot/M5WBX1","M5WBX1")</f>
        <v>M5WBX1</v>
      </c>
      <c r="D22742" s="2" t="s">
        <v>8125</v>
      </c>
      <c r="E22742" s="3">
        <v>0</v>
      </c>
      <c r="F22742" s="2">
        <v>3339</v>
      </c>
      <c r="G22742" s="2">
        <v>87</v>
      </c>
      <c r="H22742" s="2">
        <v>839</v>
      </c>
      <c r="I22742" s="2">
        <v>130</v>
      </c>
      <c r="J22742" s="2">
        <v>2646</v>
      </c>
      <c r="K22742" s="2">
        <v>18</v>
      </c>
      <c r="L22742" s="2">
        <v>825</v>
      </c>
    </row>
    <row r="22743" spans="1:12" x14ac:dyDescent="0.25">
      <c r="A22743" s="4" t="str">
        <f>HYPERLINK("http://www.rosaceae.org/Prunus/Prunus_persica/p.persica_gdr_reftransV1_0020400","p.persica_gdr_reftransV1_0020400")</f>
        <v>p.persica_gdr_reftransV1_0020400</v>
      </c>
      <c r="B22743" s="2">
        <v>2340</v>
      </c>
      <c r="C22743" s="4" t="str">
        <f>HYPERLINK("http://www.uniprot.org/uniprot/M5Y4R4","M5Y4R4")</f>
        <v>M5Y4R4</v>
      </c>
      <c r="D22743" s="2" t="s">
        <v>16730</v>
      </c>
      <c r="E22743" s="3">
        <v>0</v>
      </c>
      <c r="F22743" s="2">
        <v>2794</v>
      </c>
      <c r="G22743" s="2">
        <v>100</v>
      </c>
      <c r="H22743" s="2">
        <v>582</v>
      </c>
      <c r="I22743" s="2">
        <v>291</v>
      </c>
      <c r="J22743" s="2">
        <v>2036</v>
      </c>
      <c r="K22743" s="2">
        <v>1</v>
      </c>
      <c r="L22743" s="2">
        <v>582</v>
      </c>
    </row>
    <row r="22744" spans="1:12" x14ac:dyDescent="0.25">
      <c r="A22744" s="4" t="str">
        <f>HYPERLINK("http://www.rosaceae.org/Prunus/Prunus_persica/p.persica_gdr_reftransV1_0021100","p.persica_gdr_reftransV1_0021100")</f>
        <v>p.persica_gdr_reftransV1_0021100</v>
      </c>
      <c r="B22744" s="2">
        <v>2451</v>
      </c>
      <c r="C22744" s="4" t="str">
        <f>HYPERLINK("http://www.uniprot.org/uniprot/M5XEE2","M5XEE2")</f>
        <v>M5XEE2</v>
      </c>
      <c r="D22744" s="2" t="s">
        <v>16731</v>
      </c>
      <c r="E22744" s="3">
        <v>6.8799999999999997E-128</v>
      </c>
      <c r="F22744" s="2">
        <v>1021</v>
      </c>
      <c r="G22744" s="2">
        <v>100</v>
      </c>
      <c r="H22744" s="2">
        <v>221</v>
      </c>
      <c r="I22744" s="2">
        <v>1612</v>
      </c>
      <c r="J22744" s="2">
        <v>2274</v>
      </c>
      <c r="K22744" s="2">
        <v>104</v>
      </c>
      <c r="L22744" s="2">
        <v>324</v>
      </c>
    </row>
    <row r="22745" spans="1:12" x14ac:dyDescent="0.25">
      <c r="A22745" s="4" t="str">
        <f>HYPERLINK("http://www.rosaceae.org/Prunus/Prunus_persica/p.persica_gdr_reftransV1_0021450","p.persica_gdr_reftransV1_0021450")</f>
        <v>p.persica_gdr_reftransV1_0021450</v>
      </c>
      <c r="B22745" s="2">
        <v>2923</v>
      </c>
      <c r="C22745" s="4" t="str">
        <f>HYPERLINK("http://www.uniprot.org/uniprot/M5XLG0","M5XLG0")</f>
        <v>M5XLG0</v>
      </c>
      <c r="D22745" s="2" t="s">
        <v>16732</v>
      </c>
      <c r="E22745" s="3">
        <v>0</v>
      </c>
      <c r="F22745" s="2">
        <v>3049</v>
      </c>
      <c r="G22745" s="2">
        <v>85</v>
      </c>
      <c r="H22745" s="2">
        <v>770</v>
      </c>
      <c r="I22745" s="2">
        <v>386</v>
      </c>
      <c r="J22745" s="2">
        <v>2695</v>
      </c>
      <c r="K22745" s="2">
        <v>1</v>
      </c>
      <c r="L22745" s="2">
        <v>669</v>
      </c>
    </row>
    <row r="22746" spans="1:12" x14ac:dyDescent="0.25">
      <c r="A22746" s="4" t="str">
        <f>HYPERLINK("http://www.rosaceae.org/Prunus/Prunus_persica/p.persica_gdr_reftransV1_0022150","p.persica_gdr_reftransV1_0022150")</f>
        <v>p.persica_gdr_reftransV1_0022150</v>
      </c>
      <c r="B22746" s="2">
        <v>2264</v>
      </c>
      <c r="C22746" s="4" t="str">
        <f>HYPERLINK("http://www.uniprot.org/uniprot/M5W6K8","M5W6K8")</f>
        <v>M5W6K8</v>
      </c>
      <c r="D22746" s="2" t="s">
        <v>16733</v>
      </c>
      <c r="E22746" s="3">
        <v>0</v>
      </c>
      <c r="F22746" s="2">
        <v>2771</v>
      </c>
      <c r="G22746" s="2">
        <v>100</v>
      </c>
      <c r="H22746" s="2">
        <v>551</v>
      </c>
      <c r="I22746" s="2">
        <v>114</v>
      </c>
      <c r="J22746" s="2">
        <v>1766</v>
      </c>
      <c r="K22746" s="2">
        <v>1</v>
      </c>
      <c r="L22746" s="2">
        <v>551</v>
      </c>
    </row>
    <row r="22747" spans="1:12" x14ac:dyDescent="0.25">
      <c r="A22747" s="4" t="str">
        <f>HYPERLINK("http://www.rosaceae.org/Prunus/Prunus_persica/p.persica_gdr_reftransV1_0022500","p.persica_gdr_reftransV1_0022500")</f>
        <v>p.persica_gdr_reftransV1_0022500</v>
      </c>
      <c r="B22747" s="2">
        <v>4502</v>
      </c>
      <c r="C22747" s="4" t="str">
        <f>HYPERLINK("http://www.uniprot.org/uniprot/M5WPB7","M5WPB7")</f>
        <v>M5WPB7</v>
      </c>
      <c r="D22747" s="2" t="s">
        <v>16734</v>
      </c>
      <c r="E22747" s="3">
        <v>0</v>
      </c>
      <c r="F22747" s="2">
        <v>2570</v>
      </c>
      <c r="G22747" s="2">
        <v>100</v>
      </c>
      <c r="H22747" s="2">
        <v>476</v>
      </c>
      <c r="I22747" s="2">
        <v>2056</v>
      </c>
      <c r="J22747" s="2">
        <v>3483</v>
      </c>
      <c r="K22747" s="2">
        <v>1</v>
      </c>
      <c r="L22747" s="2">
        <v>476</v>
      </c>
    </row>
    <row r="22748" spans="1:12" x14ac:dyDescent="0.25">
      <c r="A22748" s="4" t="str">
        <f>HYPERLINK("http://www.rosaceae.org/Prunus/Prunus_persica/p.persica_gdr_reftransV1_0023200","p.persica_gdr_reftransV1_0023200")</f>
        <v>p.persica_gdr_reftransV1_0023200</v>
      </c>
      <c r="B22748" s="2">
        <v>1178</v>
      </c>
      <c r="C22748" s="4" t="str">
        <f>HYPERLINK("http://www.uniprot.org/uniprot/M5WA17","M5WA17")</f>
        <v>M5WA17</v>
      </c>
      <c r="D22748" s="2" t="s">
        <v>16735</v>
      </c>
      <c r="E22748" s="3">
        <v>8.3499999999999998E-158</v>
      </c>
      <c r="F22748" s="2">
        <v>1181</v>
      </c>
      <c r="G22748" s="2">
        <v>93</v>
      </c>
      <c r="H22748" s="2">
        <v>321</v>
      </c>
      <c r="I22748" s="2">
        <v>55</v>
      </c>
      <c r="J22748" s="2">
        <v>1017</v>
      </c>
      <c r="K22748" s="2">
        <v>1</v>
      </c>
      <c r="L22748" s="2">
        <v>320</v>
      </c>
    </row>
    <row r="22749" spans="1:12" x14ac:dyDescent="0.25">
      <c r="A22749" s="4" t="str">
        <f>HYPERLINK("http://www.rosaceae.org/Prunus/Prunus_persica/p.persica_gdr_reftransV1_0023550","p.persica_gdr_reftransV1_0023550")</f>
        <v>p.persica_gdr_reftransV1_0023550</v>
      </c>
      <c r="B22749" s="2">
        <v>1764</v>
      </c>
      <c r="C22749" s="4" t="str">
        <f>HYPERLINK("http://www.uniprot.org/uniprot/M5WZZ1","M5WZZ1")</f>
        <v>M5WZZ1</v>
      </c>
      <c r="D22749" s="2" t="s">
        <v>6943</v>
      </c>
      <c r="E22749" s="3">
        <v>4.9100000000000002E-119</v>
      </c>
      <c r="F22749" s="2">
        <v>953</v>
      </c>
      <c r="G22749" s="2">
        <v>86</v>
      </c>
      <c r="H22749" s="2">
        <v>215</v>
      </c>
      <c r="I22749" s="2">
        <v>588</v>
      </c>
      <c r="J22749" s="2">
        <v>1232</v>
      </c>
      <c r="K22749" s="2">
        <v>243</v>
      </c>
      <c r="L22749" s="2">
        <v>432</v>
      </c>
    </row>
    <row r="22750" spans="1:12" x14ac:dyDescent="0.25">
      <c r="A22750" s="4" t="str">
        <f>HYPERLINK("http://www.rosaceae.org/Prunus/Prunus_persica/p.persica_gdr_reftransV1_0024950","p.persica_gdr_reftransV1_0024950")</f>
        <v>p.persica_gdr_reftransV1_0024950</v>
      </c>
      <c r="B22750" s="2">
        <v>574</v>
      </c>
      <c r="C22750" s="4" t="str">
        <f>HYPERLINK("http://www.uniprot.org/uniprot/W9SJS6","W9SJS6")</f>
        <v>W9SJS6</v>
      </c>
      <c r="D22750" s="2" t="s">
        <v>16736</v>
      </c>
      <c r="E22750" s="3">
        <v>2.3000000000000001E-76</v>
      </c>
      <c r="F22750" s="2">
        <v>618</v>
      </c>
      <c r="G22750" s="2">
        <v>76</v>
      </c>
      <c r="H22750" s="2">
        <v>154</v>
      </c>
      <c r="I22750" s="2">
        <v>2</v>
      </c>
      <c r="J22750" s="2">
        <v>463</v>
      </c>
      <c r="K22750" s="2">
        <v>7</v>
      </c>
      <c r="L22750" s="2">
        <v>148</v>
      </c>
    </row>
    <row r="22751" spans="1:12" x14ac:dyDescent="0.25">
      <c r="A22751" s="4" t="str">
        <f>HYPERLINK("http://www.rosaceae.org/Prunus/Prunus_persica/p.persica_gdr_reftransV1_0025300","p.persica_gdr_reftransV1_0025300")</f>
        <v>p.persica_gdr_reftransV1_0025300</v>
      </c>
      <c r="B22751" s="2">
        <v>609</v>
      </c>
      <c r="C22751" s="4" t="str">
        <f>HYPERLINK("http://www.uniprot.org/uniprot/M5VK59","M5VK59")</f>
        <v>M5VK59</v>
      </c>
      <c r="D22751" s="2" t="s">
        <v>16297</v>
      </c>
      <c r="E22751" s="3">
        <v>1.5400000000000001E-64</v>
      </c>
      <c r="F22751" s="2">
        <v>562</v>
      </c>
      <c r="G22751" s="2">
        <v>100</v>
      </c>
      <c r="H22751" s="2">
        <v>127</v>
      </c>
      <c r="I22751" s="2">
        <v>1</v>
      </c>
      <c r="J22751" s="2">
        <v>381</v>
      </c>
      <c r="K22751" s="2">
        <v>496</v>
      </c>
      <c r="L22751" s="2">
        <v>622</v>
      </c>
    </row>
    <row r="22752" spans="1:12" x14ac:dyDescent="0.25">
      <c r="A22752" s="4" t="str">
        <f>HYPERLINK("http://www.rosaceae.org/Prunus/Prunus_persica/p.persica_gdr_reftransV1_0025650","p.persica_gdr_reftransV1_0025650")</f>
        <v>p.persica_gdr_reftransV1_0025650</v>
      </c>
      <c r="B22752" s="2">
        <v>1680</v>
      </c>
      <c r="C22752" s="4" t="str">
        <f>HYPERLINK("http://www.uniprot.org/uniprot/M5WU80","M5WU80")</f>
        <v>M5WU80</v>
      </c>
      <c r="D22752" s="2" t="s">
        <v>16737</v>
      </c>
      <c r="E22752" s="3">
        <v>1.18E-180</v>
      </c>
      <c r="F22752" s="2">
        <v>1362</v>
      </c>
      <c r="G22752" s="2">
        <v>68</v>
      </c>
      <c r="H22752" s="2">
        <v>401</v>
      </c>
      <c r="I22752" s="2">
        <v>459</v>
      </c>
      <c r="J22752" s="2">
        <v>1589</v>
      </c>
      <c r="K22752" s="2">
        <v>1</v>
      </c>
      <c r="L22752" s="2">
        <v>392</v>
      </c>
    </row>
    <row r="22753" spans="1:12" x14ac:dyDescent="0.25">
      <c r="A22753" s="4" t="str">
        <f>HYPERLINK("http://www.rosaceae.org/Prunus/Prunus_persica/p.persica_gdr_reftransV1_0026000","p.persica_gdr_reftransV1_0026000")</f>
        <v>p.persica_gdr_reftransV1_0026000</v>
      </c>
      <c r="B22753" s="2">
        <v>1454</v>
      </c>
      <c r="C22753" s="4" t="str">
        <f>HYPERLINK("http://www.uniprot.org/uniprot/M5XK60","M5XK60")</f>
        <v>M5XK60</v>
      </c>
      <c r="D22753" s="2" t="s">
        <v>4802</v>
      </c>
      <c r="E22753" s="3">
        <v>2.7999999999999999E-134</v>
      </c>
      <c r="F22753" s="2">
        <v>1038</v>
      </c>
      <c r="G22753" s="2">
        <v>100</v>
      </c>
      <c r="H22753" s="2">
        <v>193</v>
      </c>
      <c r="I22753" s="2">
        <v>875</v>
      </c>
      <c r="J22753" s="2">
        <v>1453</v>
      </c>
      <c r="K22753" s="2">
        <v>77</v>
      </c>
      <c r="L22753" s="2">
        <v>269</v>
      </c>
    </row>
    <row r="22754" spans="1:12" x14ac:dyDescent="0.25">
      <c r="A22754" s="4" t="str">
        <f>HYPERLINK("http://www.rosaceae.org/Prunus/Prunus_persica/p.persica_gdr_reftransV1_0029150","p.persica_gdr_reftransV1_0029150")</f>
        <v>p.persica_gdr_reftransV1_0029150</v>
      </c>
      <c r="B22754" s="2">
        <v>2871</v>
      </c>
      <c r="C22754" s="4" t="str">
        <f>HYPERLINK("http://www.uniprot.org/uniprot/W9R583","W9R583")</f>
        <v>W9R583</v>
      </c>
      <c r="D22754" s="2" t="s">
        <v>16738</v>
      </c>
      <c r="E22754" s="3">
        <v>0</v>
      </c>
      <c r="F22754" s="2">
        <v>2143</v>
      </c>
      <c r="G22754" s="2">
        <v>70</v>
      </c>
      <c r="H22754" s="2">
        <v>650</v>
      </c>
      <c r="I22754" s="2">
        <v>733</v>
      </c>
      <c r="J22754" s="2">
        <v>2637</v>
      </c>
      <c r="K22754" s="2">
        <v>1</v>
      </c>
      <c r="L22754" s="2">
        <v>605</v>
      </c>
    </row>
    <row r="22755" spans="1:12" x14ac:dyDescent="0.25">
      <c r="A22755" s="4" t="str">
        <f>HYPERLINK("http://www.rosaceae.org/Prunus/Prunus_persica/p.persica_gdr_reftransV1_0034050","p.persica_gdr_reftransV1_0034050")</f>
        <v>p.persica_gdr_reftransV1_0034050</v>
      </c>
      <c r="B22755" s="2">
        <v>1144</v>
      </c>
      <c r="C22755" s="4" t="str">
        <f>HYPERLINK("http://www.uniprot.org/uniprot/M5WLM6","M5WLM6")</f>
        <v>M5WLM6</v>
      </c>
      <c r="D22755" s="2" t="s">
        <v>16739</v>
      </c>
      <c r="E22755" s="3">
        <v>1.8199999999999999E-154</v>
      </c>
      <c r="F22755" s="2">
        <v>1151</v>
      </c>
      <c r="G22755" s="2">
        <v>100</v>
      </c>
      <c r="H22755" s="2">
        <v>231</v>
      </c>
      <c r="I22755" s="2">
        <v>452</v>
      </c>
      <c r="J22755" s="2">
        <v>1144</v>
      </c>
      <c r="K22755" s="2">
        <v>31</v>
      </c>
      <c r="L22755" s="2">
        <v>261</v>
      </c>
    </row>
    <row r="22756" spans="1:12" x14ac:dyDescent="0.25">
      <c r="A22756" s="4" t="str">
        <f>HYPERLINK("http://www.rosaceae.org/Prunus/Prunus_persica/p.persica_gdr_reftransV1_0035800","p.persica_gdr_reftransV1_0035800")</f>
        <v>p.persica_gdr_reftransV1_0035800</v>
      </c>
      <c r="B22756" s="2">
        <v>1694</v>
      </c>
      <c r="C22756" s="4" t="str">
        <f>HYPERLINK("http://www.uniprot.org/uniprot/M5WUW4","M5WUW4")</f>
        <v>M5WUW4</v>
      </c>
      <c r="D22756" s="2" t="s">
        <v>16740</v>
      </c>
      <c r="E22756" s="3">
        <v>9.8199999999999997E-62</v>
      </c>
      <c r="F22756" s="2">
        <v>553</v>
      </c>
      <c r="G22756" s="2">
        <v>99</v>
      </c>
      <c r="H22756" s="2">
        <v>131</v>
      </c>
      <c r="I22756" s="2">
        <v>240</v>
      </c>
      <c r="J22756" s="2">
        <v>632</v>
      </c>
      <c r="K22756" s="2">
        <v>1</v>
      </c>
      <c r="L22756" s="2">
        <v>131</v>
      </c>
    </row>
    <row r="22757" spans="1:12" x14ac:dyDescent="0.25">
      <c r="A22757" s="4" t="str">
        <f>HYPERLINK("http://www.rosaceae.org/Prunus/Prunus_persica/p.persica_gdr_reftransV1_0036150","p.persica_gdr_reftransV1_0036150")</f>
        <v>p.persica_gdr_reftransV1_0036150</v>
      </c>
      <c r="B22757" s="2">
        <v>1242</v>
      </c>
      <c r="C22757" s="4" t="str">
        <f>HYPERLINK("http://www.uniprot.org/uniprot/M5WHY6","M5WHY6")</f>
        <v>M5WHY6</v>
      </c>
      <c r="D22757" s="2" t="s">
        <v>16741</v>
      </c>
      <c r="E22757" s="3">
        <v>3.9799999999999998E-84</v>
      </c>
      <c r="F22757" s="2">
        <v>676</v>
      </c>
      <c r="G22757" s="2">
        <v>100</v>
      </c>
      <c r="H22757" s="2">
        <v>129</v>
      </c>
      <c r="I22757" s="2">
        <v>642</v>
      </c>
      <c r="J22757" s="2">
        <v>1028</v>
      </c>
      <c r="K22757" s="2">
        <v>1</v>
      </c>
      <c r="L22757" s="2">
        <v>129</v>
      </c>
    </row>
    <row r="22758" spans="1:12" x14ac:dyDescent="0.25">
      <c r="A22758" s="4" t="str">
        <f>HYPERLINK("http://www.rosaceae.org/Prunus/Prunus_persica/p.persica_gdr_reftransV1_0037550","p.persica_gdr_reftransV1_0037550")</f>
        <v>p.persica_gdr_reftransV1_0037550</v>
      </c>
      <c r="B22758" s="2">
        <v>1259</v>
      </c>
      <c r="C22758" s="4" t="str">
        <f>HYPERLINK("http://www.uniprot.org/uniprot/M5XSR6","M5XSR6")</f>
        <v>M5XSR6</v>
      </c>
      <c r="D22758" s="2" t="s">
        <v>16742</v>
      </c>
      <c r="E22758" s="3">
        <v>1E-119</v>
      </c>
      <c r="F22758" s="2">
        <v>921</v>
      </c>
      <c r="G22758" s="2">
        <v>92</v>
      </c>
      <c r="H22758" s="2">
        <v>235</v>
      </c>
      <c r="I22758" s="2">
        <v>500</v>
      </c>
      <c r="J22758" s="2">
        <v>1204</v>
      </c>
      <c r="K22758" s="2">
        <v>1</v>
      </c>
      <c r="L22758" s="2">
        <v>216</v>
      </c>
    </row>
    <row r="22759" spans="1:12" x14ac:dyDescent="0.25">
      <c r="A22759" s="4" t="str">
        <f>HYPERLINK("http://www.rosaceae.org/Prunus/Prunus_persica/p.persica_gdr_reftransV1_0038950","p.persica_gdr_reftransV1_0038950")</f>
        <v>p.persica_gdr_reftransV1_0038950</v>
      </c>
      <c r="B22759" s="2">
        <v>1572</v>
      </c>
      <c r="C22759" s="4" t="str">
        <f>HYPERLINK("http://www.uniprot.org/uniprot/M5VZ68","M5VZ68")</f>
        <v>M5VZ68</v>
      </c>
      <c r="D22759" s="2" t="s">
        <v>16743</v>
      </c>
      <c r="E22759" s="3">
        <v>0</v>
      </c>
      <c r="F22759" s="2">
        <v>1691</v>
      </c>
      <c r="G22759" s="2">
        <v>96</v>
      </c>
      <c r="H22759" s="2">
        <v>338</v>
      </c>
      <c r="I22759" s="2">
        <v>513</v>
      </c>
      <c r="J22759" s="2">
        <v>1526</v>
      </c>
      <c r="K22759" s="2">
        <v>1</v>
      </c>
      <c r="L22759" s="2">
        <v>326</v>
      </c>
    </row>
    <row r="22760" spans="1:12" x14ac:dyDescent="0.25">
      <c r="A22760" s="4" t="str">
        <f>HYPERLINK("http://www.rosaceae.org/Prunus/Prunus_persica/p.persica_gdr_reftransV1_0042450","p.persica_gdr_reftransV1_0042450")</f>
        <v>p.persica_gdr_reftransV1_0042450</v>
      </c>
      <c r="B22760" s="2">
        <v>2324</v>
      </c>
      <c r="C22760" s="4" t="str">
        <f>HYPERLINK("http://www.uniprot.org/uniprot/M5XE07","M5XE07")</f>
        <v>M5XE07</v>
      </c>
      <c r="D22760" s="2" t="s">
        <v>16744</v>
      </c>
      <c r="E22760" s="3">
        <v>0</v>
      </c>
      <c r="F22760" s="2">
        <v>2318</v>
      </c>
      <c r="G22760" s="2">
        <v>100</v>
      </c>
      <c r="H22760" s="2">
        <v>513</v>
      </c>
      <c r="I22760" s="2">
        <v>469</v>
      </c>
      <c r="J22760" s="2">
        <v>2007</v>
      </c>
      <c r="K22760" s="2">
        <v>24</v>
      </c>
      <c r="L22760" s="2">
        <v>536</v>
      </c>
    </row>
    <row r="22761" spans="1:12" x14ac:dyDescent="0.25">
      <c r="A22761" s="4" t="str">
        <f>HYPERLINK("http://www.rosaceae.org/Prunus/Prunus_persica/p.persica_gdr_reftransV1_0043150","p.persica_gdr_reftransV1_0043150")</f>
        <v>p.persica_gdr_reftransV1_0043150</v>
      </c>
      <c r="B22761" s="2">
        <v>3467</v>
      </c>
      <c r="C22761" s="4" t="str">
        <f>HYPERLINK("http://www.uniprot.org/uniprot/M5W6I0","M5W6I0")</f>
        <v>M5W6I0</v>
      </c>
      <c r="D22761" s="2" t="s">
        <v>5429</v>
      </c>
      <c r="E22761" s="3">
        <v>0</v>
      </c>
      <c r="F22761" s="2">
        <v>3226</v>
      </c>
      <c r="G22761" s="2">
        <v>96</v>
      </c>
      <c r="H22761" s="2">
        <v>678</v>
      </c>
      <c r="I22761" s="2">
        <v>231</v>
      </c>
      <c r="J22761" s="2">
        <v>2228</v>
      </c>
      <c r="K22761" s="2">
        <v>1</v>
      </c>
      <c r="L22761" s="2">
        <v>678</v>
      </c>
    </row>
    <row r="22762" spans="1:12" x14ac:dyDescent="0.25">
      <c r="A22762" s="4" t="str">
        <f>HYPERLINK("http://www.rosaceae.org/Prunus/Prunus_persica/p.persica_gdr_reftransV1_0043500","p.persica_gdr_reftransV1_0043500")</f>
        <v>p.persica_gdr_reftransV1_0043500</v>
      </c>
      <c r="B22762" s="2">
        <v>763</v>
      </c>
      <c r="C22762" s="4" t="str">
        <f>HYPERLINK("http://www.uniprot.org/uniprot/M5XLP6","M5XLP6")</f>
        <v>M5XLP6</v>
      </c>
      <c r="D22762" s="2" t="s">
        <v>7920</v>
      </c>
      <c r="E22762" s="3">
        <v>4.7700000000000005E-41</v>
      </c>
      <c r="F22762" s="2">
        <v>403</v>
      </c>
      <c r="G22762" s="2">
        <v>100</v>
      </c>
      <c r="H22762" s="2">
        <v>91</v>
      </c>
      <c r="I22762" s="2">
        <v>270</v>
      </c>
      <c r="J22762" s="2">
        <v>542</v>
      </c>
      <c r="K22762" s="2">
        <v>1</v>
      </c>
      <c r="L22762" s="2">
        <v>91</v>
      </c>
    </row>
    <row r="22763" spans="1:12" x14ac:dyDescent="0.25">
      <c r="A22763" s="4" t="str">
        <f>HYPERLINK("http://www.rosaceae.org/Prunus/Prunus_persica/p.persica_gdr_reftransV1_0043850","p.persica_gdr_reftransV1_0043850")</f>
        <v>p.persica_gdr_reftransV1_0043850</v>
      </c>
      <c r="B22763" s="2">
        <v>1480</v>
      </c>
      <c r="C22763" s="4" t="str">
        <f>HYPERLINK("http://www.uniprot.org/uniprot/M5Y9L9","M5Y9L9")</f>
        <v>M5Y9L9</v>
      </c>
      <c r="D22763" s="2" t="s">
        <v>16745</v>
      </c>
      <c r="E22763" s="3">
        <v>0</v>
      </c>
      <c r="F22763" s="2">
        <v>1840</v>
      </c>
      <c r="G22763" s="2">
        <v>100</v>
      </c>
      <c r="H22763" s="2">
        <v>366</v>
      </c>
      <c r="I22763" s="2">
        <v>323</v>
      </c>
      <c r="J22763" s="2">
        <v>1420</v>
      </c>
      <c r="K22763" s="2">
        <v>1</v>
      </c>
      <c r="L22763" s="2">
        <v>366</v>
      </c>
    </row>
    <row r="22764" spans="1:12" x14ac:dyDescent="0.25">
      <c r="A22764" s="4" t="str">
        <f>HYPERLINK("http://www.rosaceae.org/Prunus/Prunus_persica/p.persica_gdr_reftransV1_0044550","p.persica_gdr_reftransV1_0044550")</f>
        <v>p.persica_gdr_reftransV1_0044550</v>
      </c>
      <c r="B22764" s="2">
        <v>1465</v>
      </c>
      <c r="C22764" s="4" t="str">
        <f>HYPERLINK("http://www.uniprot.org/uniprot/M5WG08","M5WG08")</f>
        <v>M5WG08</v>
      </c>
      <c r="D22764" s="2" t="s">
        <v>16746</v>
      </c>
      <c r="E22764" s="3">
        <v>0</v>
      </c>
      <c r="F22764" s="2">
        <v>1591</v>
      </c>
      <c r="G22764" s="2">
        <v>99</v>
      </c>
      <c r="H22764" s="2">
        <v>337</v>
      </c>
      <c r="I22764" s="2">
        <v>280</v>
      </c>
      <c r="J22764" s="2">
        <v>1290</v>
      </c>
      <c r="K22764" s="2">
        <v>3</v>
      </c>
      <c r="L22764" s="2">
        <v>339</v>
      </c>
    </row>
    <row r="22765" spans="1:12" x14ac:dyDescent="0.25">
      <c r="A22765" s="4" t="str">
        <f>HYPERLINK("http://www.rosaceae.org/Prunus/Prunus_persica/p.persica_gdr_reftransV1_0044900","p.persica_gdr_reftransV1_0044900")</f>
        <v>p.persica_gdr_reftransV1_0044900</v>
      </c>
      <c r="B22765" s="2">
        <v>1055</v>
      </c>
      <c r="C22765" s="4" t="str">
        <f>HYPERLINK("http://www.uniprot.org/uniprot/M5VZD0","M5VZD0")</f>
        <v>M5VZD0</v>
      </c>
      <c r="D22765" s="2" t="s">
        <v>11531</v>
      </c>
      <c r="E22765" s="3">
        <v>2.4300000000000001E-162</v>
      </c>
      <c r="F22765" s="2">
        <v>1205</v>
      </c>
      <c r="G22765" s="2">
        <v>100</v>
      </c>
      <c r="H22765" s="2">
        <v>230</v>
      </c>
      <c r="I22765" s="2">
        <v>239</v>
      </c>
      <c r="J22765" s="2">
        <v>928</v>
      </c>
      <c r="K22765" s="2">
        <v>1</v>
      </c>
      <c r="L22765" s="2">
        <v>230</v>
      </c>
    </row>
    <row r="22766" spans="1:12" x14ac:dyDescent="0.25">
      <c r="A22766" s="4" t="str">
        <f>HYPERLINK("http://www.rosaceae.org/Prunus/Prunus_persica/p.persica_gdr_reftransV1_0045250","p.persica_gdr_reftransV1_0045250")</f>
        <v>p.persica_gdr_reftransV1_0045250</v>
      </c>
      <c r="B22766" s="2">
        <v>2180</v>
      </c>
      <c r="C22766" s="4" t="str">
        <f>HYPERLINK("http://www.uniprot.org/uniprot/M5WCW4","M5WCW4")</f>
        <v>M5WCW4</v>
      </c>
      <c r="D22766" s="2" t="s">
        <v>16747</v>
      </c>
      <c r="E22766" s="3">
        <v>0</v>
      </c>
      <c r="F22766" s="2">
        <v>2473</v>
      </c>
      <c r="G22766" s="2">
        <v>100</v>
      </c>
      <c r="H22766" s="2">
        <v>459</v>
      </c>
      <c r="I22766" s="2">
        <v>232</v>
      </c>
      <c r="J22766" s="2">
        <v>1608</v>
      </c>
      <c r="K22766" s="2">
        <v>1</v>
      </c>
      <c r="L22766" s="2">
        <v>459</v>
      </c>
    </row>
    <row r="22767" spans="1:12" x14ac:dyDescent="0.25">
      <c r="A22767" s="4" t="str">
        <f>HYPERLINK("http://www.rosaceae.org/Prunus/Prunus_persica/p.persica_gdr_reftransV1_0045600","p.persica_gdr_reftransV1_0045600")</f>
        <v>p.persica_gdr_reftransV1_0045600</v>
      </c>
      <c r="B22767" s="2">
        <v>576</v>
      </c>
      <c r="C22767" s="4" t="str">
        <f>HYPERLINK("http://www.uniprot.org/uniprot/Q84UK5","Q84UK5")</f>
        <v>Q84UK5</v>
      </c>
      <c r="D22767" s="2" t="s">
        <v>784</v>
      </c>
      <c r="E22767" s="3">
        <v>8.9000000000000001E-82</v>
      </c>
      <c r="F22767" s="2">
        <v>650</v>
      </c>
      <c r="G22767" s="2">
        <v>100</v>
      </c>
      <c r="H22767" s="2">
        <v>151</v>
      </c>
      <c r="I22767" s="2">
        <v>97</v>
      </c>
      <c r="J22767" s="2">
        <v>549</v>
      </c>
      <c r="K22767" s="2">
        <v>1</v>
      </c>
      <c r="L22767" s="2">
        <v>151</v>
      </c>
    </row>
    <row r="22768" spans="1:12" x14ac:dyDescent="0.25">
      <c r="A22768" s="4" t="str">
        <f>HYPERLINK("http://www.rosaceae.org/Prunus/Prunus_persica/p.persica_gdr_reftransV1_0045950","p.persica_gdr_reftransV1_0045950")</f>
        <v>p.persica_gdr_reftransV1_0045950</v>
      </c>
      <c r="B22768" s="2">
        <v>1105</v>
      </c>
      <c r="C22768" s="4" t="str">
        <f>HYPERLINK("http://www.uniprot.org/uniprot/M5WVQ4","M5WVQ4")</f>
        <v>M5WVQ4</v>
      </c>
      <c r="D22768" s="2" t="s">
        <v>14208</v>
      </c>
      <c r="E22768" s="3">
        <v>1.51E-105</v>
      </c>
      <c r="F22768" s="2">
        <v>817</v>
      </c>
      <c r="G22768" s="2">
        <v>100</v>
      </c>
      <c r="H22768" s="2">
        <v>158</v>
      </c>
      <c r="I22768" s="2">
        <v>466</v>
      </c>
      <c r="J22768" s="2">
        <v>939</v>
      </c>
      <c r="K22768" s="2">
        <v>1</v>
      </c>
      <c r="L22768" s="2">
        <v>158</v>
      </c>
    </row>
    <row r="22769" spans="1:12" x14ac:dyDescent="0.25">
      <c r="A22769" s="4" t="str">
        <f>HYPERLINK("http://www.rosaceae.org/Prunus/Prunus_persica/p.persica_gdr_reftransV1_0046650","p.persica_gdr_reftransV1_0046650")</f>
        <v>p.persica_gdr_reftransV1_0046650</v>
      </c>
      <c r="B22769" s="2">
        <v>1422</v>
      </c>
      <c r="C22769" s="4" t="str">
        <f>HYPERLINK("http://www.uniprot.org/uniprot/M5WW94","M5WW94")</f>
        <v>M5WW94</v>
      </c>
      <c r="D22769" s="2" t="s">
        <v>16748</v>
      </c>
      <c r="E22769" s="3">
        <v>0</v>
      </c>
      <c r="F22769" s="2">
        <v>1982</v>
      </c>
      <c r="G22769" s="2">
        <v>100</v>
      </c>
      <c r="H22769" s="2">
        <v>412</v>
      </c>
      <c r="I22769" s="2">
        <v>20</v>
      </c>
      <c r="J22769" s="2">
        <v>1255</v>
      </c>
      <c r="K22769" s="2">
        <v>1</v>
      </c>
      <c r="L22769" s="2">
        <v>412</v>
      </c>
    </row>
    <row r="22770" spans="1:12" x14ac:dyDescent="0.25">
      <c r="A22770" s="4" t="str">
        <f>HYPERLINK("http://www.rosaceae.org/Prunus/Prunus_persica/p.persica_gdr_reftransV1_0047000","p.persica_gdr_reftransV1_0047000")</f>
        <v>p.persica_gdr_reftransV1_0047000</v>
      </c>
      <c r="B22770" s="2">
        <v>457</v>
      </c>
      <c r="C22770" s="4" t="str">
        <f>HYPERLINK("http://www.uniprot.org/uniprot/M5X5U8","M5X5U8")</f>
        <v>M5X5U8</v>
      </c>
      <c r="D22770" s="2" t="s">
        <v>127</v>
      </c>
      <c r="E22770" s="3">
        <v>1.52E-102</v>
      </c>
      <c r="F22770" s="2">
        <v>789</v>
      </c>
      <c r="G22770" s="2">
        <v>100</v>
      </c>
      <c r="H22770" s="2">
        <v>152</v>
      </c>
      <c r="I22770" s="2">
        <v>1</v>
      </c>
      <c r="J22770" s="2">
        <v>456</v>
      </c>
      <c r="K22770" s="2">
        <v>60</v>
      </c>
      <c r="L22770" s="2">
        <v>211</v>
      </c>
    </row>
    <row r="22771" spans="1:12" x14ac:dyDescent="0.25">
      <c r="A22771" s="4" t="str">
        <f>HYPERLINK("http://www.rosaceae.org/Prunus/Prunus_persica/p.persica_gdr_reftransV1_0048400","p.persica_gdr_reftransV1_0048400")</f>
        <v>p.persica_gdr_reftransV1_0048400</v>
      </c>
      <c r="B22771" s="2">
        <v>310</v>
      </c>
      <c r="C22771" s="4" t="str">
        <f>HYPERLINK("http://www.uniprot.org/uniprot/M5XQK0","M5XQK0")</f>
        <v>M5XQK0</v>
      </c>
      <c r="D22771" s="2" t="s">
        <v>16749</v>
      </c>
      <c r="E22771" s="3">
        <v>2.3999999999999999E-68</v>
      </c>
      <c r="F22771" s="2">
        <v>557</v>
      </c>
      <c r="G22771" s="2">
        <v>100</v>
      </c>
      <c r="H22771" s="2">
        <v>103</v>
      </c>
      <c r="I22771" s="2">
        <v>2</v>
      </c>
      <c r="J22771" s="2">
        <v>310</v>
      </c>
      <c r="K22771" s="2">
        <v>45</v>
      </c>
      <c r="L22771" s="2">
        <v>147</v>
      </c>
    </row>
    <row r="22772" spans="1:12" x14ac:dyDescent="0.25">
      <c r="A22772" s="4" t="str">
        <f>HYPERLINK("http://www.rosaceae.org/Prunus/Prunus_persica/p.persica_gdr_reftransV1_0048750","p.persica_gdr_reftransV1_0048750")</f>
        <v>p.persica_gdr_reftransV1_0048750</v>
      </c>
      <c r="B22772" s="2">
        <v>319</v>
      </c>
      <c r="C22772" s="4" t="str">
        <f>HYPERLINK("http://www.uniprot.org/uniprot/M5X0G0","M5X0G0")</f>
        <v>M5X0G0</v>
      </c>
      <c r="D22772" s="2" t="s">
        <v>15328</v>
      </c>
      <c r="E22772" s="3">
        <v>2.71E-43</v>
      </c>
      <c r="F22772" s="2">
        <v>382</v>
      </c>
      <c r="G22772" s="2">
        <v>97</v>
      </c>
      <c r="H22772" s="2">
        <v>78</v>
      </c>
      <c r="I22772" s="2">
        <v>3</v>
      </c>
      <c r="J22772" s="2">
        <v>236</v>
      </c>
      <c r="K22772" s="2">
        <v>41</v>
      </c>
      <c r="L22772" s="2">
        <v>118</v>
      </c>
    </row>
    <row r="22773" spans="1:12" x14ac:dyDescent="0.25">
      <c r="A22773" s="4" t="str">
        <f>HYPERLINK("http://www.rosaceae.org/Prunus/Prunus_persica/p.persica_gdr_reftransV1_0049100","p.persica_gdr_reftransV1_0049100")</f>
        <v>p.persica_gdr_reftransV1_0049100</v>
      </c>
      <c r="B22773" s="2">
        <v>635</v>
      </c>
      <c r="C22773" s="4" t="str">
        <f>HYPERLINK("http://www.uniprot.org/uniprot/M5XQR4","M5XQR4")</f>
        <v>M5XQR4</v>
      </c>
      <c r="D22773" s="2" t="s">
        <v>16750</v>
      </c>
      <c r="E22773" s="3">
        <v>5.3400000000000001E-79</v>
      </c>
      <c r="F22773" s="2">
        <v>679</v>
      </c>
      <c r="G22773" s="2">
        <v>98</v>
      </c>
      <c r="H22773" s="2">
        <v>136</v>
      </c>
      <c r="I22773" s="2">
        <v>49</v>
      </c>
      <c r="J22773" s="2">
        <v>456</v>
      </c>
      <c r="K22773" s="2">
        <v>1</v>
      </c>
      <c r="L22773" s="2">
        <v>136</v>
      </c>
    </row>
    <row r="22774" spans="1:12" x14ac:dyDescent="0.25">
      <c r="A22774" s="4" t="str">
        <f>HYPERLINK("http://www.rosaceae.org/Prunus/Prunus_persica/p.persica_gdr_reftransV1_0000010","p.persica_gdr_reftransV1_0000010")</f>
        <v>p.persica_gdr_reftransV1_0000010</v>
      </c>
      <c r="B22774" s="2">
        <v>631</v>
      </c>
      <c r="C22774" s="4" t="str">
        <f>HYPERLINK("http://www.uniprot.org/uniprot/M5W361","M5W361")</f>
        <v>M5W361</v>
      </c>
      <c r="D22774" s="2" t="s">
        <v>11981</v>
      </c>
      <c r="E22774" s="3">
        <v>3.7799999999999998E-152</v>
      </c>
      <c r="F22774" s="2">
        <v>1128</v>
      </c>
      <c r="G22774" s="2">
        <v>100</v>
      </c>
      <c r="H22774" s="2">
        <v>210</v>
      </c>
      <c r="I22774" s="2">
        <v>1</v>
      </c>
      <c r="J22774" s="2">
        <v>630</v>
      </c>
      <c r="K22774" s="2">
        <v>145</v>
      </c>
      <c r="L22774" s="2">
        <v>354</v>
      </c>
    </row>
    <row r="22775" spans="1:12" x14ac:dyDescent="0.25">
      <c r="A22775" s="4" t="str">
        <f>HYPERLINK("http://www.rosaceae.org/Prunus/Prunus_persica/p.persica_gdr_reftransV1_0000360","p.persica_gdr_reftransV1_0000360")</f>
        <v>p.persica_gdr_reftransV1_0000360</v>
      </c>
      <c r="B22775" s="2">
        <v>501</v>
      </c>
      <c r="C22775" s="4" t="str">
        <f>HYPERLINK("http://www.uniprot.org/uniprot/M5WGH4","M5WGH4")</f>
        <v>M5WGH4</v>
      </c>
      <c r="D22775" s="2" t="s">
        <v>13739</v>
      </c>
      <c r="E22775" s="3">
        <v>2.05E-103</v>
      </c>
      <c r="F22775" s="2">
        <v>808</v>
      </c>
      <c r="G22775" s="2">
        <v>100</v>
      </c>
      <c r="H22775" s="2">
        <v>153</v>
      </c>
      <c r="I22775" s="2">
        <v>41</v>
      </c>
      <c r="J22775" s="2">
        <v>499</v>
      </c>
      <c r="K22775" s="2">
        <v>1</v>
      </c>
      <c r="L22775" s="2">
        <v>153</v>
      </c>
    </row>
    <row r="22776" spans="1:12" x14ac:dyDescent="0.25">
      <c r="A22776" s="4" t="str">
        <f>HYPERLINK("http://www.rosaceae.org/Prunus/Prunus_persica/p.persica_gdr_reftransV1_0000710","p.persica_gdr_reftransV1_0000710")</f>
        <v>p.persica_gdr_reftransV1_0000710</v>
      </c>
      <c r="B22776" s="2">
        <v>2271</v>
      </c>
      <c r="C22776" s="4" t="str">
        <f>HYPERLINK("http://www.uniprot.org/uniprot/M5WQX3","M5WQX3")</f>
        <v>M5WQX3</v>
      </c>
      <c r="D22776" s="2" t="s">
        <v>2267</v>
      </c>
      <c r="E22776" s="3">
        <v>0</v>
      </c>
      <c r="F22776" s="2">
        <v>1486</v>
      </c>
      <c r="G22776" s="2">
        <v>100</v>
      </c>
      <c r="H22776" s="2">
        <v>337</v>
      </c>
      <c r="I22776" s="2">
        <v>271</v>
      </c>
      <c r="J22776" s="2">
        <v>1281</v>
      </c>
      <c r="K22776" s="2">
        <v>75</v>
      </c>
      <c r="L22776" s="2">
        <v>411</v>
      </c>
    </row>
    <row r="22777" spans="1:12" x14ac:dyDescent="0.25">
      <c r="A22777" s="4" t="str">
        <f>HYPERLINK("http://www.rosaceae.org/Prunus/Prunus_persica/p.persica_gdr_reftransV1_0001060","p.persica_gdr_reftransV1_0001060")</f>
        <v>p.persica_gdr_reftransV1_0001060</v>
      </c>
      <c r="B22777" s="2">
        <v>706</v>
      </c>
      <c r="C22777" s="4" t="str">
        <f>HYPERLINK("http://www.uniprot.org/uniprot/M5WYX2","M5WYX2")</f>
        <v>M5WYX2</v>
      </c>
      <c r="D22777" s="2" t="s">
        <v>5401</v>
      </c>
      <c r="E22777" s="3">
        <v>7.2600000000000004E-45</v>
      </c>
      <c r="F22777" s="2">
        <v>409</v>
      </c>
      <c r="G22777" s="2">
        <v>100</v>
      </c>
      <c r="H22777" s="2">
        <v>79</v>
      </c>
      <c r="I22777" s="2">
        <v>222</v>
      </c>
      <c r="J22777" s="2">
        <v>458</v>
      </c>
      <c r="K22777" s="2">
        <v>187</v>
      </c>
      <c r="L22777" s="2">
        <v>265</v>
      </c>
    </row>
    <row r="22778" spans="1:12" x14ac:dyDescent="0.25">
      <c r="A22778" s="4" t="str">
        <f>HYPERLINK("http://www.rosaceae.org/Prunus/Prunus_persica/p.persica_gdr_reftransV1_0001410","p.persica_gdr_reftransV1_0001410")</f>
        <v>p.persica_gdr_reftransV1_0001410</v>
      </c>
      <c r="B22778" s="2">
        <v>1130</v>
      </c>
      <c r="C22778" s="4" t="str">
        <f>HYPERLINK("http://www.uniprot.org/uniprot/M5Y9J6","M5Y9J6")</f>
        <v>M5Y9J6</v>
      </c>
      <c r="D22778" s="2" t="s">
        <v>11887</v>
      </c>
      <c r="E22778" s="3">
        <v>4.3200000000000001E-152</v>
      </c>
      <c r="F22778" s="2">
        <v>1133</v>
      </c>
      <c r="G22778" s="2">
        <v>100</v>
      </c>
      <c r="H22778" s="2">
        <v>237</v>
      </c>
      <c r="I22778" s="2">
        <v>288</v>
      </c>
      <c r="J22778" s="2">
        <v>998</v>
      </c>
      <c r="K22778" s="2">
        <v>1</v>
      </c>
      <c r="L22778" s="2">
        <v>237</v>
      </c>
    </row>
    <row r="22779" spans="1:12" x14ac:dyDescent="0.25">
      <c r="A22779" s="4" t="str">
        <f>HYPERLINK("http://www.rosaceae.org/Prunus/Prunus_persica/p.persica_gdr_reftransV1_0001760","p.persica_gdr_reftransV1_0001760")</f>
        <v>p.persica_gdr_reftransV1_0001760</v>
      </c>
      <c r="B22779" s="2">
        <v>837</v>
      </c>
      <c r="C22779" s="4" t="str">
        <f>HYPERLINK("http://www.uniprot.org/uniprot/M5XRS2","M5XRS2")</f>
        <v>M5XRS2</v>
      </c>
      <c r="D22779" s="2" t="s">
        <v>4905</v>
      </c>
      <c r="E22779" s="3">
        <v>0</v>
      </c>
      <c r="F22779" s="2">
        <v>1521</v>
      </c>
      <c r="G22779" s="2">
        <v>100</v>
      </c>
      <c r="H22779" s="2">
        <v>279</v>
      </c>
      <c r="I22779" s="2">
        <v>1</v>
      </c>
      <c r="J22779" s="2">
        <v>837</v>
      </c>
      <c r="K22779" s="2">
        <v>178</v>
      </c>
      <c r="L22779" s="2">
        <v>456</v>
      </c>
    </row>
    <row r="22780" spans="1:12" x14ac:dyDescent="0.25">
      <c r="A22780" s="4" t="str">
        <f>HYPERLINK("http://www.rosaceae.org/Prunus/Prunus_persica/p.persica_gdr_reftransV1_0002110","p.persica_gdr_reftransV1_0002110")</f>
        <v>p.persica_gdr_reftransV1_0002110</v>
      </c>
      <c r="B22780" s="2">
        <v>339</v>
      </c>
      <c r="C22780" s="4" t="str">
        <f>HYPERLINK("http://www.uniprot.org/uniprot/K3VZG6","K3VZG6")</f>
        <v>K3VZG6</v>
      </c>
      <c r="D22780" s="2" t="s">
        <v>16751</v>
      </c>
      <c r="E22780" s="3">
        <v>3.9599999999999998E-72</v>
      </c>
      <c r="F22780" s="2">
        <v>575</v>
      </c>
      <c r="G22780" s="2">
        <v>97</v>
      </c>
      <c r="H22780" s="2">
        <v>112</v>
      </c>
      <c r="I22780" s="2">
        <v>2</v>
      </c>
      <c r="J22780" s="2">
        <v>337</v>
      </c>
      <c r="K22780" s="2">
        <v>16</v>
      </c>
      <c r="L22780" s="2">
        <v>127</v>
      </c>
    </row>
    <row r="22781" spans="1:12" x14ac:dyDescent="0.25">
      <c r="A22781" s="4" t="str">
        <f>HYPERLINK("http://www.rosaceae.org/Prunus/Prunus_persica/p.persica_gdr_reftransV1_0002460","p.persica_gdr_reftransV1_0002460")</f>
        <v>p.persica_gdr_reftransV1_0002460</v>
      </c>
      <c r="B22781" s="2">
        <v>533</v>
      </c>
      <c r="C22781" s="4" t="str">
        <f>HYPERLINK("http://www.uniprot.org/uniprot/N1RDC7","N1RDC7")</f>
        <v>N1RDC7</v>
      </c>
      <c r="D22781" s="2" t="s">
        <v>13291</v>
      </c>
      <c r="E22781" s="3">
        <v>1.18E-120</v>
      </c>
      <c r="F22781" s="2">
        <v>918</v>
      </c>
      <c r="G22781" s="2">
        <v>98</v>
      </c>
      <c r="H22781" s="2">
        <v>177</v>
      </c>
      <c r="I22781" s="2">
        <v>1</v>
      </c>
      <c r="J22781" s="2">
        <v>531</v>
      </c>
      <c r="K22781" s="2">
        <v>98</v>
      </c>
      <c r="L22781" s="2">
        <v>274</v>
      </c>
    </row>
    <row r="22782" spans="1:12" x14ac:dyDescent="0.25">
      <c r="A22782" s="4" t="str">
        <f>HYPERLINK("http://www.rosaceae.org/Prunus/Prunus_persica/p.persica_gdr_reftransV1_0002810","p.persica_gdr_reftransV1_0002810")</f>
        <v>p.persica_gdr_reftransV1_0002810</v>
      </c>
      <c r="B22782" s="2">
        <v>2231</v>
      </c>
      <c r="C22782" s="4" t="str">
        <f>HYPERLINK("http://www.uniprot.org/uniprot/A0A059BEJ4","A0A059BEJ4")</f>
        <v>A0A059BEJ4</v>
      </c>
      <c r="D22782" s="2" t="s">
        <v>16752</v>
      </c>
      <c r="E22782" s="3">
        <v>0</v>
      </c>
      <c r="F22782" s="2">
        <v>2426</v>
      </c>
      <c r="G22782" s="2">
        <v>94</v>
      </c>
      <c r="H22782" s="2">
        <v>500</v>
      </c>
      <c r="I22782" s="2">
        <v>297</v>
      </c>
      <c r="J22782" s="2">
        <v>1796</v>
      </c>
      <c r="K22782" s="2">
        <v>53</v>
      </c>
      <c r="L22782" s="2">
        <v>552</v>
      </c>
    </row>
    <row r="22783" spans="1:12" x14ac:dyDescent="0.25">
      <c r="A22783" s="4" t="str">
        <f>HYPERLINK("http://www.rosaceae.org/Prunus/Prunus_persica/p.persica_gdr_reftransV1_0003160","p.persica_gdr_reftransV1_0003160")</f>
        <v>p.persica_gdr_reftransV1_0003160</v>
      </c>
      <c r="B22783" s="2">
        <v>318</v>
      </c>
      <c r="C22783" s="4" t="str">
        <f>HYPERLINK("http://www.uniprot.org/uniprot/M5XUQ4","M5XUQ4")</f>
        <v>M5XUQ4</v>
      </c>
      <c r="D22783" s="2" t="s">
        <v>3224</v>
      </c>
      <c r="E22783" s="3">
        <v>4.4800000000000001E-63</v>
      </c>
      <c r="F22783" s="2">
        <v>540</v>
      </c>
      <c r="G22783" s="2">
        <v>100</v>
      </c>
      <c r="H22783" s="2">
        <v>105</v>
      </c>
      <c r="I22783" s="2">
        <v>3</v>
      </c>
      <c r="J22783" s="2">
        <v>317</v>
      </c>
      <c r="K22783" s="2">
        <v>201</v>
      </c>
      <c r="L22783" s="2">
        <v>305</v>
      </c>
    </row>
    <row r="22784" spans="1:12" x14ac:dyDescent="0.25">
      <c r="A22784" s="4" t="str">
        <f>HYPERLINK("http://www.rosaceae.org/Prunus/Prunus_persica/p.persica_gdr_reftransV1_0004210","p.persica_gdr_reftransV1_0004210")</f>
        <v>p.persica_gdr_reftransV1_0004210</v>
      </c>
      <c r="B22784" s="2">
        <v>4882</v>
      </c>
      <c r="C22784" s="4" t="str">
        <f>HYPERLINK("http://www.uniprot.org/uniprot/M5X044","M5X044")</f>
        <v>M5X044</v>
      </c>
      <c r="D22784" s="2" t="s">
        <v>16753</v>
      </c>
      <c r="E22784" s="3">
        <v>0</v>
      </c>
      <c r="F22784" s="2">
        <v>6657</v>
      </c>
      <c r="G22784" s="2">
        <v>100</v>
      </c>
      <c r="H22784" s="2">
        <v>1356</v>
      </c>
      <c r="I22784" s="2">
        <v>261</v>
      </c>
      <c r="J22784" s="2">
        <v>4322</v>
      </c>
      <c r="K22784" s="2">
        <v>1</v>
      </c>
      <c r="L22784" s="2">
        <v>1356</v>
      </c>
    </row>
    <row r="22785" spans="1:12" x14ac:dyDescent="0.25">
      <c r="A22785" s="4" t="str">
        <f>HYPERLINK("http://www.rosaceae.org/Prunus/Prunus_persica/p.persica_gdr_reftransV1_0004560","p.persica_gdr_reftransV1_0004560")</f>
        <v>p.persica_gdr_reftransV1_0004560</v>
      </c>
      <c r="B22785" s="2">
        <v>2047</v>
      </c>
      <c r="C22785" s="4" t="str">
        <f>HYPERLINK("http://www.uniprot.org/uniprot/M5WM01","M5WM01")</f>
        <v>M5WM01</v>
      </c>
      <c r="D22785" s="2" t="s">
        <v>10174</v>
      </c>
      <c r="E22785" s="3">
        <v>0</v>
      </c>
      <c r="F22785" s="2">
        <v>2454</v>
      </c>
      <c r="G22785" s="2">
        <v>95</v>
      </c>
      <c r="H22785" s="2">
        <v>502</v>
      </c>
      <c r="I22785" s="2">
        <v>457</v>
      </c>
      <c r="J22785" s="2">
        <v>1962</v>
      </c>
      <c r="K22785" s="2">
        <v>1</v>
      </c>
      <c r="L22785" s="2">
        <v>492</v>
      </c>
    </row>
    <row r="22786" spans="1:12" x14ac:dyDescent="0.25">
      <c r="A22786" s="4" t="str">
        <f>HYPERLINK("http://www.rosaceae.org/Prunus/Prunus_persica/p.persica_gdr_reftransV1_0005260","p.persica_gdr_reftransV1_0005260")</f>
        <v>p.persica_gdr_reftransV1_0005260</v>
      </c>
      <c r="B22786" s="2">
        <v>3272</v>
      </c>
      <c r="C22786" s="4" t="str">
        <f>HYPERLINK("http://www.uniprot.org/uniprot/M5WH82","M5WH82")</f>
        <v>M5WH82</v>
      </c>
      <c r="D22786" s="2" t="s">
        <v>974</v>
      </c>
      <c r="E22786" s="3">
        <v>0</v>
      </c>
      <c r="F22786" s="2">
        <v>4160</v>
      </c>
      <c r="G22786" s="2">
        <v>100</v>
      </c>
      <c r="H22786" s="2">
        <v>819</v>
      </c>
      <c r="I22786" s="2">
        <v>611</v>
      </c>
      <c r="J22786" s="2">
        <v>3067</v>
      </c>
      <c r="K22786" s="2">
        <v>1</v>
      </c>
      <c r="L22786" s="2">
        <v>819</v>
      </c>
    </row>
    <row r="22787" spans="1:12" x14ac:dyDescent="0.25">
      <c r="A22787" s="4" t="str">
        <f>HYPERLINK("http://www.rosaceae.org/Prunus/Prunus_persica/p.persica_gdr_reftransV1_0005610","p.persica_gdr_reftransV1_0005610")</f>
        <v>p.persica_gdr_reftransV1_0005610</v>
      </c>
      <c r="B22787" s="2">
        <v>633</v>
      </c>
      <c r="C22787" s="4" t="str">
        <f>HYPERLINK("http://www.uniprot.org/uniprot/M5XI51","M5XI51")</f>
        <v>M5XI51</v>
      </c>
      <c r="D22787" s="2" t="s">
        <v>16580</v>
      </c>
      <c r="E22787" s="3">
        <v>1.42E-139</v>
      </c>
      <c r="F22787" s="2">
        <v>1069</v>
      </c>
      <c r="G22787" s="2">
        <v>100</v>
      </c>
      <c r="H22787" s="2">
        <v>200</v>
      </c>
      <c r="I22787" s="2">
        <v>1</v>
      </c>
      <c r="J22787" s="2">
        <v>600</v>
      </c>
      <c r="K22787" s="2">
        <v>1</v>
      </c>
      <c r="L22787" s="2">
        <v>200</v>
      </c>
    </row>
    <row r="22788" spans="1:12" x14ac:dyDescent="0.25">
      <c r="A22788" s="4" t="str">
        <f>HYPERLINK("http://www.rosaceae.org/Prunus/Prunus_persica/p.persica_gdr_reftransV1_0005960","p.persica_gdr_reftransV1_0005960")</f>
        <v>p.persica_gdr_reftransV1_0005960</v>
      </c>
      <c r="B22788" s="2">
        <v>532</v>
      </c>
      <c r="C22788" s="4" t="str">
        <f>HYPERLINK("http://www.uniprot.org/uniprot/A0A074XXX1","A0A074XXX1")</f>
        <v>A0A074XXX1</v>
      </c>
      <c r="D22788" s="2" t="s">
        <v>16754</v>
      </c>
      <c r="E22788" s="3">
        <v>1.37E-50</v>
      </c>
      <c r="F22788" s="2">
        <v>427</v>
      </c>
      <c r="G22788" s="2">
        <v>100</v>
      </c>
      <c r="H22788" s="2">
        <v>88</v>
      </c>
      <c r="I22788" s="2">
        <v>222</v>
      </c>
      <c r="J22788" s="2">
        <v>485</v>
      </c>
      <c r="K22788" s="2">
        <v>1</v>
      </c>
      <c r="L22788" s="2">
        <v>88</v>
      </c>
    </row>
    <row r="22789" spans="1:12" x14ac:dyDescent="0.25">
      <c r="A22789" s="4" t="str">
        <f>HYPERLINK("http://www.rosaceae.org/Prunus/Prunus_persica/p.persica_gdr_reftransV1_0006310","p.persica_gdr_reftransV1_0006310")</f>
        <v>p.persica_gdr_reftransV1_0006310</v>
      </c>
      <c r="B22789" s="2">
        <v>585</v>
      </c>
      <c r="C22789" s="4" t="str">
        <f>HYPERLINK("http://www.uniprot.org/uniprot/M5WC25","M5WC25")</f>
        <v>M5WC25</v>
      </c>
      <c r="D22789" s="2" t="s">
        <v>13546</v>
      </c>
      <c r="E22789" s="3">
        <v>3.0000000000000001E-59</v>
      </c>
      <c r="F22789" s="2">
        <v>479</v>
      </c>
      <c r="G22789" s="2">
        <v>82</v>
      </c>
      <c r="H22789" s="2">
        <v>110</v>
      </c>
      <c r="I22789" s="2">
        <v>149</v>
      </c>
      <c r="J22789" s="2">
        <v>478</v>
      </c>
      <c r="K22789" s="2">
        <v>301</v>
      </c>
      <c r="L22789" s="2">
        <v>410</v>
      </c>
    </row>
    <row r="22790" spans="1:12" x14ac:dyDescent="0.25">
      <c r="A22790" s="4" t="str">
        <f>HYPERLINK("http://www.rosaceae.org/Prunus/Prunus_persica/p.persica_gdr_reftransV1_0008060","p.persica_gdr_reftransV1_0008060")</f>
        <v>p.persica_gdr_reftransV1_0008060</v>
      </c>
      <c r="B22790" s="2">
        <v>3096</v>
      </c>
      <c r="C22790" s="4" t="str">
        <f>HYPERLINK("http://www.uniprot.org/uniprot/M5X2N8","M5X2N8")</f>
        <v>M5X2N8</v>
      </c>
      <c r="D22790" s="2" t="s">
        <v>16755</v>
      </c>
      <c r="E22790" s="3">
        <v>4.7499999999999997E-118</v>
      </c>
      <c r="F22790" s="2">
        <v>954</v>
      </c>
      <c r="G22790" s="2">
        <v>100</v>
      </c>
      <c r="H22790" s="2">
        <v>182</v>
      </c>
      <c r="I22790" s="2">
        <v>677</v>
      </c>
      <c r="J22790" s="2">
        <v>1222</v>
      </c>
      <c r="K22790" s="2">
        <v>1</v>
      </c>
      <c r="L22790" s="2">
        <v>182</v>
      </c>
    </row>
    <row r="22791" spans="1:12" x14ac:dyDescent="0.25">
      <c r="A22791" s="4" t="str">
        <f>HYPERLINK("http://www.rosaceae.org/Prunus/Prunus_persica/p.persica_gdr_reftransV1_0008410","p.persica_gdr_reftransV1_0008410")</f>
        <v>p.persica_gdr_reftransV1_0008410</v>
      </c>
      <c r="B22791" s="2">
        <v>1821</v>
      </c>
      <c r="C22791" s="4" t="str">
        <f>HYPERLINK("http://www.uniprot.org/uniprot/M5X6A8","M5X6A8")</f>
        <v>M5X6A8</v>
      </c>
      <c r="D22791" s="2" t="s">
        <v>16756</v>
      </c>
      <c r="E22791" s="3">
        <v>7.2599999999999995E-138</v>
      </c>
      <c r="F22791" s="2">
        <v>1079</v>
      </c>
      <c r="G22791" s="2">
        <v>100</v>
      </c>
      <c r="H22791" s="2">
        <v>208</v>
      </c>
      <c r="I22791" s="2">
        <v>188</v>
      </c>
      <c r="J22791" s="2">
        <v>811</v>
      </c>
      <c r="K22791" s="2">
        <v>205</v>
      </c>
      <c r="L22791" s="2">
        <v>412</v>
      </c>
    </row>
    <row r="22792" spans="1:12" x14ac:dyDescent="0.25">
      <c r="A22792" s="4" t="str">
        <f>HYPERLINK("http://www.rosaceae.org/Prunus/Prunus_persica/p.persica_gdr_reftransV1_0009460","p.persica_gdr_reftransV1_0009460")</f>
        <v>p.persica_gdr_reftransV1_0009460</v>
      </c>
      <c r="B22792" s="2">
        <v>861</v>
      </c>
      <c r="C22792" s="4" t="str">
        <f>HYPERLINK("http://www.uniprot.org/uniprot/M5VJ30","M5VJ30")</f>
        <v>M5VJ30</v>
      </c>
      <c r="D22792" s="2" t="s">
        <v>52</v>
      </c>
      <c r="E22792" s="3">
        <v>3.8799999999999998E-41</v>
      </c>
      <c r="F22792" s="2">
        <v>269</v>
      </c>
      <c r="G22792" s="2">
        <v>50</v>
      </c>
      <c r="H22792" s="2">
        <v>118</v>
      </c>
      <c r="I22792" s="2">
        <v>13</v>
      </c>
      <c r="J22792" s="2">
        <v>351</v>
      </c>
      <c r="K22792" s="2">
        <v>302</v>
      </c>
      <c r="L22792" s="2">
        <v>417</v>
      </c>
    </row>
    <row r="22793" spans="1:12" x14ac:dyDescent="0.25">
      <c r="A22793" s="4" t="str">
        <f>HYPERLINK("http://www.rosaceae.org/Prunus/Prunus_persica/p.persica_gdr_reftransV1_0010160","p.persica_gdr_reftransV1_0010160")</f>
        <v>p.persica_gdr_reftransV1_0010160</v>
      </c>
      <c r="B22793" s="2">
        <v>2262</v>
      </c>
      <c r="C22793" s="4" t="str">
        <f>HYPERLINK("http://www.uniprot.org/uniprot/M5X232","M5X232")</f>
        <v>M5X232</v>
      </c>
      <c r="D22793" s="2" t="s">
        <v>16757</v>
      </c>
      <c r="E22793" s="3">
        <v>0</v>
      </c>
      <c r="F22793" s="2">
        <v>3425</v>
      </c>
      <c r="G22793" s="2">
        <v>100</v>
      </c>
      <c r="H22793" s="2">
        <v>638</v>
      </c>
      <c r="I22793" s="2">
        <v>349</v>
      </c>
      <c r="J22793" s="2">
        <v>2262</v>
      </c>
      <c r="K22793" s="2">
        <v>17</v>
      </c>
      <c r="L22793" s="2">
        <v>654</v>
      </c>
    </row>
    <row r="22794" spans="1:12" x14ac:dyDescent="0.25">
      <c r="A22794" s="4" t="str">
        <f>HYPERLINK("http://www.rosaceae.org/Prunus/Prunus_persica/p.persica_gdr_reftransV1_0010510","p.persica_gdr_reftransV1_0010510")</f>
        <v>p.persica_gdr_reftransV1_0010510</v>
      </c>
      <c r="B22794" s="2">
        <v>3049</v>
      </c>
      <c r="C22794" s="4" t="str">
        <f>HYPERLINK("http://www.uniprot.org/uniprot/M5VVT1","M5VVT1")</f>
        <v>M5VVT1</v>
      </c>
      <c r="D22794" s="2" t="s">
        <v>16758</v>
      </c>
      <c r="E22794" s="3">
        <v>0</v>
      </c>
      <c r="F22794" s="2">
        <v>4119</v>
      </c>
      <c r="G22794" s="2">
        <v>100</v>
      </c>
      <c r="H22794" s="2">
        <v>863</v>
      </c>
      <c r="I22794" s="2">
        <v>333</v>
      </c>
      <c r="J22794" s="2">
        <v>2921</v>
      </c>
      <c r="K22794" s="2">
        <v>1</v>
      </c>
      <c r="L22794" s="2">
        <v>863</v>
      </c>
    </row>
    <row r="22795" spans="1:12" x14ac:dyDescent="0.25">
      <c r="A22795" s="4" t="str">
        <f>HYPERLINK("http://www.rosaceae.org/Prunus/Prunus_persica/p.persica_gdr_reftransV1_0010860","p.persica_gdr_reftransV1_0010860")</f>
        <v>p.persica_gdr_reftransV1_0010860</v>
      </c>
      <c r="B22795" s="2">
        <v>1772</v>
      </c>
      <c r="C22795" s="4" t="str">
        <f>HYPERLINK("http://www.uniprot.org/uniprot/M5WS58","M5WS58")</f>
        <v>M5WS58</v>
      </c>
      <c r="D22795" s="2" t="s">
        <v>16759</v>
      </c>
      <c r="E22795" s="3">
        <v>0</v>
      </c>
      <c r="F22795" s="2">
        <v>2729</v>
      </c>
      <c r="G22795" s="2">
        <v>100</v>
      </c>
      <c r="H22795" s="2">
        <v>530</v>
      </c>
      <c r="I22795" s="2">
        <v>130</v>
      </c>
      <c r="J22795" s="2">
        <v>1719</v>
      </c>
      <c r="K22795" s="2">
        <v>7</v>
      </c>
      <c r="L22795" s="2">
        <v>536</v>
      </c>
    </row>
    <row r="22796" spans="1:12" x14ac:dyDescent="0.25">
      <c r="A22796" s="4" t="str">
        <f>HYPERLINK("http://www.rosaceae.org/Prunus/Prunus_persica/p.persica_gdr_reftransV1_0011210","p.persica_gdr_reftransV1_0011210")</f>
        <v>p.persica_gdr_reftransV1_0011210</v>
      </c>
      <c r="B22796" s="2">
        <v>879</v>
      </c>
      <c r="C22796" s="4" t="str">
        <f>HYPERLINK("http://www.uniprot.org/uniprot/M5WQN1","M5WQN1")</f>
        <v>M5WQN1</v>
      </c>
      <c r="D22796" s="2" t="s">
        <v>9317</v>
      </c>
      <c r="E22796" s="3">
        <v>3.2899999999999999E-96</v>
      </c>
      <c r="F22796" s="2">
        <v>820</v>
      </c>
      <c r="G22796" s="2">
        <v>96</v>
      </c>
      <c r="H22796" s="2">
        <v>160</v>
      </c>
      <c r="I22796" s="2">
        <v>333</v>
      </c>
      <c r="J22796" s="2">
        <v>812</v>
      </c>
      <c r="K22796" s="2">
        <v>1362</v>
      </c>
      <c r="L22796" s="2">
        <v>1521</v>
      </c>
    </row>
    <row r="22797" spans="1:12" x14ac:dyDescent="0.25">
      <c r="A22797" s="4" t="str">
        <f>HYPERLINK("http://www.rosaceae.org/Prunus/Prunus_persica/p.persica_gdr_reftransV1_0011560","p.persica_gdr_reftransV1_0011560")</f>
        <v>p.persica_gdr_reftransV1_0011560</v>
      </c>
      <c r="B22797" s="2">
        <v>662</v>
      </c>
      <c r="C22797" s="4" t="str">
        <f>HYPERLINK("http://www.uniprot.org/uniprot/M5WZK9","M5WZK9")</f>
        <v>M5WZK9</v>
      </c>
      <c r="D22797" s="2" t="s">
        <v>6605</v>
      </c>
      <c r="E22797" s="3">
        <v>1.3900000000000001E-61</v>
      </c>
      <c r="F22797" s="2">
        <v>532</v>
      </c>
      <c r="G22797" s="2">
        <v>99</v>
      </c>
      <c r="H22797" s="2">
        <v>100</v>
      </c>
      <c r="I22797" s="2">
        <v>2</v>
      </c>
      <c r="J22797" s="2">
        <v>301</v>
      </c>
      <c r="K22797" s="2">
        <v>1</v>
      </c>
      <c r="L22797" s="2">
        <v>100</v>
      </c>
    </row>
    <row r="22798" spans="1:12" x14ac:dyDescent="0.25">
      <c r="A22798" s="4" t="str">
        <f>HYPERLINK("http://www.rosaceae.org/Prunus/Prunus_persica/p.persica_gdr_reftransV1_0011910","p.persica_gdr_reftransV1_0011910")</f>
        <v>p.persica_gdr_reftransV1_0011910</v>
      </c>
      <c r="B22798" s="2">
        <v>3619</v>
      </c>
      <c r="C22798" s="4" t="str">
        <f>HYPERLINK("http://www.uniprot.org/uniprot/M5VSS8","M5VSS8")</f>
        <v>M5VSS8</v>
      </c>
      <c r="D22798" s="2" t="s">
        <v>16760</v>
      </c>
      <c r="E22798" s="3">
        <v>0</v>
      </c>
      <c r="F22798" s="2">
        <v>2821</v>
      </c>
      <c r="G22798" s="2">
        <v>99</v>
      </c>
      <c r="H22798" s="2">
        <v>559</v>
      </c>
      <c r="I22798" s="2">
        <v>462</v>
      </c>
      <c r="J22798" s="2">
        <v>2138</v>
      </c>
      <c r="K22798" s="2">
        <v>451</v>
      </c>
      <c r="L22798" s="2">
        <v>1009</v>
      </c>
    </row>
    <row r="22799" spans="1:12" x14ac:dyDescent="0.25">
      <c r="A22799" s="4" t="str">
        <f>HYPERLINK("http://www.rosaceae.org/Prunus/Prunus_persica/p.persica_gdr_reftransV1_0014360","p.persica_gdr_reftransV1_0014360")</f>
        <v>p.persica_gdr_reftransV1_0014360</v>
      </c>
      <c r="B22799" s="2">
        <v>2316</v>
      </c>
      <c r="C22799" s="4" t="str">
        <f>HYPERLINK("http://www.uniprot.org/uniprot/M5XAM3","M5XAM3")</f>
        <v>M5XAM3</v>
      </c>
      <c r="D22799" s="2" t="s">
        <v>4234</v>
      </c>
      <c r="E22799" s="3">
        <v>1.73E-123</v>
      </c>
      <c r="F22799" s="2">
        <v>984</v>
      </c>
      <c r="G22799" s="2">
        <v>100</v>
      </c>
      <c r="H22799" s="2">
        <v>192</v>
      </c>
      <c r="I22799" s="2">
        <v>1370</v>
      </c>
      <c r="J22799" s="2">
        <v>1945</v>
      </c>
      <c r="K22799" s="2">
        <v>99</v>
      </c>
      <c r="L22799" s="2">
        <v>290</v>
      </c>
    </row>
    <row r="22800" spans="1:12" x14ac:dyDescent="0.25">
      <c r="A22800" s="4" t="str">
        <f>HYPERLINK("http://www.rosaceae.org/Prunus/Prunus_persica/p.persica_gdr_reftransV1_0014710","p.persica_gdr_reftransV1_0014710")</f>
        <v>p.persica_gdr_reftransV1_0014710</v>
      </c>
      <c r="B22800" s="2">
        <v>556</v>
      </c>
      <c r="C22800" s="4" t="str">
        <f>HYPERLINK("http://www.uniprot.org/uniprot/M5XZH2","M5XZH2")</f>
        <v>M5XZH2</v>
      </c>
      <c r="D22800" s="2" t="s">
        <v>3145</v>
      </c>
      <c r="E22800" s="3">
        <v>8.7999999999999996E-50</v>
      </c>
      <c r="F22800" s="2">
        <v>431</v>
      </c>
      <c r="G22800" s="2">
        <v>100</v>
      </c>
      <c r="H22800" s="2">
        <v>138</v>
      </c>
      <c r="I22800" s="2">
        <v>105</v>
      </c>
      <c r="J22800" s="2">
        <v>518</v>
      </c>
      <c r="K22800" s="2">
        <v>1</v>
      </c>
      <c r="L22800" s="2">
        <v>138</v>
      </c>
    </row>
    <row r="22801" spans="1:12" x14ac:dyDescent="0.25">
      <c r="A22801" s="4" t="str">
        <f>HYPERLINK("http://www.rosaceae.org/Prunus/Prunus_persica/p.persica_gdr_reftransV1_0015060","p.persica_gdr_reftransV1_0015060")</f>
        <v>p.persica_gdr_reftransV1_0015060</v>
      </c>
      <c r="B22801" s="2">
        <v>2216</v>
      </c>
      <c r="C22801" s="4" t="str">
        <f>HYPERLINK("http://www.uniprot.org/uniprot/M5VRD4","M5VRD4")</f>
        <v>M5VRD4</v>
      </c>
      <c r="D22801" s="2" t="s">
        <v>10906</v>
      </c>
      <c r="E22801" s="3">
        <v>3.7399999999999997E-129</v>
      </c>
      <c r="F22801" s="2">
        <v>633</v>
      </c>
      <c r="G22801" s="2">
        <v>100</v>
      </c>
      <c r="H22801" s="2">
        <v>119</v>
      </c>
      <c r="I22801" s="2">
        <v>1558</v>
      </c>
      <c r="J22801" s="2">
        <v>1914</v>
      </c>
      <c r="K22801" s="2">
        <v>217</v>
      </c>
      <c r="L22801" s="2">
        <v>335</v>
      </c>
    </row>
    <row r="22802" spans="1:12" x14ac:dyDescent="0.25">
      <c r="A22802" s="4" t="str">
        <f>HYPERLINK("http://www.rosaceae.org/Prunus/Prunus_persica/p.persica_gdr_reftransV1_0015410","p.persica_gdr_reftransV1_0015410")</f>
        <v>p.persica_gdr_reftransV1_0015410</v>
      </c>
      <c r="B22802" s="2">
        <v>1440</v>
      </c>
      <c r="C22802" s="4" t="str">
        <f>HYPERLINK("http://www.uniprot.org/uniprot/M5X5F3","M5X5F3")</f>
        <v>M5X5F3</v>
      </c>
      <c r="D22802" s="2" t="s">
        <v>11</v>
      </c>
      <c r="E22802" s="3">
        <v>2.14E-66</v>
      </c>
      <c r="F22802" s="2">
        <v>584</v>
      </c>
      <c r="G22802" s="2">
        <v>81</v>
      </c>
      <c r="H22802" s="2">
        <v>149</v>
      </c>
      <c r="I22802" s="2">
        <v>640</v>
      </c>
      <c r="J22802" s="2">
        <v>1059</v>
      </c>
      <c r="K22802" s="2">
        <v>181</v>
      </c>
      <c r="L22802" s="2">
        <v>329</v>
      </c>
    </row>
    <row r="22803" spans="1:12" x14ac:dyDescent="0.25">
      <c r="A22803" s="4" t="str">
        <f>HYPERLINK("http://www.rosaceae.org/Prunus/Prunus_persica/p.persica_gdr_reftransV1_0015760","p.persica_gdr_reftransV1_0015760")</f>
        <v>p.persica_gdr_reftransV1_0015760</v>
      </c>
      <c r="B22803" s="2">
        <v>1487</v>
      </c>
      <c r="C22803" s="4" t="str">
        <f>HYPERLINK("http://www.uniprot.org/uniprot/M5WH20","M5WH20")</f>
        <v>M5WH20</v>
      </c>
      <c r="D22803" s="2" t="s">
        <v>16761</v>
      </c>
      <c r="E22803" s="3">
        <v>5.3999999999999995E-165</v>
      </c>
      <c r="F22803" s="2">
        <v>1234</v>
      </c>
      <c r="G22803" s="2">
        <v>85</v>
      </c>
      <c r="H22803" s="2">
        <v>279</v>
      </c>
      <c r="I22803" s="2">
        <v>427</v>
      </c>
      <c r="J22803" s="2">
        <v>1263</v>
      </c>
      <c r="K22803" s="2">
        <v>1</v>
      </c>
      <c r="L22803" s="2">
        <v>237</v>
      </c>
    </row>
    <row r="22804" spans="1:12" x14ac:dyDescent="0.25">
      <c r="A22804" s="4" t="str">
        <f>HYPERLINK("http://www.rosaceae.org/Prunus/Prunus_persica/p.persica_gdr_reftransV1_0016460","p.persica_gdr_reftransV1_0016460")</f>
        <v>p.persica_gdr_reftransV1_0016460</v>
      </c>
      <c r="B22804" s="2">
        <v>1347</v>
      </c>
      <c r="C22804" s="4" t="str">
        <f>HYPERLINK("http://www.uniprot.org/uniprot/M5XH74","M5XH74")</f>
        <v>M5XH74</v>
      </c>
      <c r="D22804" s="2" t="s">
        <v>6677</v>
      </c>
      <c r="E22804" s="3">
        <v>2.9799999999999999E-114</v>
      </c>
      <c r="F22804" s="2">
        <v>914</v>
      </c>
      <c r="G22804" s="2">
        <v>98</v>
      </c>
      <c r="H22804" s="2">
        <v>178</v>
      </c>
      <c r="I22804" s="2">
        <v>680</v>
      </c>
      <c r="J22804" s="2">
        <v>1213</v>
      </c>
      <c r="K22804" s="2">
        <v>1</v>
      </c>
      <c r="L22804" s="2">
        <v>178</v>
      </c>
    </row>
    <row r="22805" spans="1:12" x14ac:dyDescent="0.25">
      <c r="A22805" s="4" t="str">
        <f>HYPERLINK("http://www.rosaceae.org/Prunus/Prunus_persica/p.persica_gdr_reftransV1_0017510","p.persica_gdr_reftransV1_0017510")</f>
        <v>p.persica_gdr_reftransV1_0017510</v>
      </c>
      <c r="B22805" s="2">
        <v>1344</v>
      </c>
      <c r="C22805" s="4" t="str">
        <f>HYPERLINK("http://www.uniprot.org/uniprot/M5XYP7","M5XYP7")</f>
        <v>M5XYP7</v>
      </c>
      <c r="D22805" s="2" t="s">
        <v>16762</v>
      </c>
      <c r="E22805" s="3">
        <v>3.4500000000000002E-180</v>
      </c>
      <c r="F22805" s="2">
        <v>1332</v>
      </c>
      <c r="G22805" s="2">
        <v>100</v>
      </c>
      <c r="H22805" s="2">
        <v>258</v>
      </c>
      <c r="I22805" s="2">
        <v>203</v>
      </c>
      <c r="J22805" s="2">
        <v>976</v>
      </c>
      <c r="K22805" s="2">
        <v>39</v>
      </c>
      <c r="L22805" s="2">
        <v>296</v>
      </c>
    </row>
    <row r="22806" spans="1:12" x14ac:dyDescent="0.25">
      <c r="A22806" s="4" t="str">
        <f>HYPERLINK("http://www.rosaceae.org/Prunus/Prunus_persica/p.persica_gdr_reftransV1_0018560","p.persica_gdr_reftransV1_0018560")</f>
        <v>p.persica_gdr_reftransV1_0018560</v>
      </c>
      <c r="B22806" s="2">
        <v>2275</v>
      </c>
      <c r="C22806" s="4" t="str">
        <f>HYPERLINK("http://www.uniprot.org/uniprot/M5XNA8","M5XNA8")</f>
        <v>M5XNA8</v>
      </c>
      <c r="D22806" s="2" t="s">
        <v>10193</v>
      </c>
      <c r="E22806" s="3">
        <v>0</v>
      </c>
      <c r="F22806" s="2">
        <v>3046</v>
      </c>
      <c r="G22806" s="2">
        <v>99</v>
      </c>
      <c r="H22806" s="2">
        <v>643</v>
      </c>
      <c r="I22806" s="2">
        <v>2</v>
      </c>
      <c r="J22806" s="2">
        <v>1930</v>
      </c>
      <c r="K22806" s="2">
        <v>54</v>
      </c>
      <c r="L22806" s="2">
        <v>690</v>
      </c>
    </row>
    <row r="22807" spans="1:12" x14ac:dyDescent="0.25">
      <c r="A22807" s="4" t="str">
        <f>HYPERLINK("http://www.rosaceae.org/Prunus/Prunus_persica/p.persica_gdr_reftransV1_0018910","p.persica_gdr_reftransV1_0018910")</f>
        <v>p.persica_gdr_reftransV1_0018910</v>
      </c>
      <c r="B22807" s="2">
        <v>759</v>
      </c>
      <c r="C22807" s="4" t="str">
        <f>HYPERLINK("http://www.uniprot.org/uniprot/W9R765","W9R765")</f>
        <v>W9R765</v>
      </c>
      <c r="D22807" s="2" t="s">
        <v>16763</v>
      </c>
      <c r="E22807" s="3">
        <v>2.04E-81</v>
      </c>
      <c r="F22807" s="2">
        <v>673</v>
      </c>
      <c r="G22807" s="2">
        <v>90</v>
      </c>
      <c r="H22807" s="2">
        <v>134</v>
      </c>
      <c r="I22807" s="2">
        <v>358</v>
      </c>
      <c r="J22807" s="2">
        <v>759</v>
      </c>
      <c r="K22807" s="2">
        <v>48</v>
      </c>
      <c r="L22807" s="2">
        <v>181</v>
      </c>
    </row>
    <row r="22808" spans="1:12" x14ac:dyDescent="0.25">
      <c r="A22808" s="4" t="str">
        <f>HYPERLINK("http://www.rosaceae.org/Prunus/Prunus_persica/p.persica_gdr_reftransV1_0019610","p.persica_gdr_reftransV1_0019610")</f>
        <v>p.persica_gdr_reftransV1_0019610</v>
      </c>
      <c r="B22808" s="2">
        <v>4262</v>
      </c>
      <c r="C22808" s="4" t="str">
        <f>HYPERLINK("http://www.uniprot.org/uniprot/M5XII0","M5XII0")</f>
        <v>M5XII0</v>
      </c>
      <c r="D22808" s="2" t="s">
        <v>16764</v>
      </c>
      <c r="E22808" s="3">
        <v>0</v>
      </c>
      <c r="F22808" s="2">
        <v>6052</v>
      </c>
      <c r="G22808" s="2">
        <v>100</v>
      </c>
      <c r="H22808" s="2">
        <v>1242</v>
      </c>
      <c r="I22808" s="2">
        <v>192</v>
      </c>
      <c r="J22808" s="2">
        <v>3917</v>
      </c>
      <c r="K22808" s="2">
        <v>8</v>
      </c>
      <c r="L22808" s="2">
        <v>1249</v>
      </c>
    </row>
    <row r="22809" spans="1:12" x14ac:dyDescent="0.25">
      <c r="A22809" s="4" t="str">
        <f>HYPERLINK("http://www.rosaceae.org/Prunus/Prunus_persica/p.persica_gdr_reftransV1_0019960","p.persica_gdr_reftransV1_0019960")</f>
        <v>p.persica_gdr_reftransV1_0019960</v>
      </c>
      <c r="B22809" s="2">
        <v>3691</v>
      </c>
      <c r="C22809" s="4" t="str">
        <f>HYPERLINK("http://www.uniprot.org/uniprot/M5XQR4","M5XQR4")</f>
        <v>M5XQR4</v>
      </c>
      <c r="D22809" s="2" t="s">
        <v>16750</v>
      </c>
      <c r="E22809" s="3">
        <v>0</v>
      </c>
      <c r="F22809" s="2">
        <v>4471</v>
      </c>
      <c r="G22809" s="2">
        <v>99</v>
      </c>
      <c r="H22809" s="2">
        <v>1029</v>
      </c>
      <c r="I22809" s="2">
        <v>204</v>
      </c>
      <c r="J22809" s="2">
        <v>3290</v>
      </c>
      <c r="K22809" s="2">
        <v>1</v>
      </c>
      <c r="L22809" s="2">
        <v>1029</v>
      </c>
    </row>
    <row r="22810" spans="1:12" x14ac:dyDescent="0.25">
      <c r="A22810" s="4" t="str">
        <f>HYPERLINK("http://www.rosaceae.org/Prunus/Prunus_persica/p.persica_gdr_reftransV1_0020660","p.persica_gdr_reftransV1_0020660")</f>
        <v>p.persica_gdr_reftransV1_0020660</v>
      </c>
      <c r="B22810" s="2">
        <v>1448</v>
      </c>
      <c r="C22810" s="4" t="str">
        <f>HYPERLINK("http://www.uniprot.org/uniprot/M5WYU7","M5WYU7")</f>
        <v>M5WYU7</v>
      </c>
      <c r="D22810" s="2" t="s">
        <v>13352</v>
      </c>
      <c r="E22810" s="3">
        <v>1.86E-116</v>
      </c>
      <c r="F22810" s="2">
        <v>985</v>
      </c>
      <c r="G22810" s="2">
        <v>100</v>
      </c>
      <c r="H22810" s="2">
        <v>294</v>
      </c>
      <c r="I22810" s="2">
        <v>504</v>
      </c>
      <c r="J22810" s="2">
        <v>1385</v>
      </c>
      <c r="K22810" s="2">
        <v>1058</v>
      </c>
      <c r="L22810" s="2">
        <v>1351</v>
      </c>
    </row>
    <row r="22811" spans="1:12" x14ac:dyDescent="0.25">
      <c r="A22811" s="4" t="str">
        <f>HYPERLINK("http://www.rosaceae.org/Prunus/Prunus_persica/p.persica_gdr_reftransV1_0022410","p.persica_gdr_reftransV1_0022410")</f>
        <v>p.persica_gdr_reftransV1_0022410</v>
      </c>
      <c r="B22811" s="2">
        <v>1921</v>
      </c>
      <c r="C22811" s="4" t="str">
        <f>HYPERLINK("http://www.uniprot.org/uniprot/M5X345","M5X345")</f>
        <v>M5X345</v>
      </c>
      <c r="D22811" s="2" t="s">
        <v>16765</v>
      </c>
      <c r="E22811" s="3">
        <v>0</v>
      </c>
      <c r="F22811" s="2">
        <v>1618</v>
      </c>
      <c r="G22811" s="2">
        <v>100</v>
      </c>
      <c r="H22811" s="2">
        <v>302</v>
      </c>
      <c r="I22811" s="2">
        <v>114</v>
      </c>
      <c r="J22811" s="2">
        <v>1019</v>
      </c>
      <c r="K22811" s="2">
        <v>1</v>
      </c>
      <c r="L22811" s="2">
        <v>302</v>
      </c>
    </row>
    <row r="22812" spans="1:12" x14ac:dyDescent="0.25">
      <c r="A22812" s="4" t="str">
        <f>HYPERLINK("http://www.rosaceae.org/Prunus/Prunus_persica/p.persica_gdr_reftransV1_0022760","p.persica_gdr_reftransV1_0022760")</f>
        <v>p.persica_gdr_reftransV1_0022760</v>
      </c>
      <c r="B22812" s="2">
        <v>1714</v>
      </c>
      <c r="C22812" s="4" t="str">
        <f>HYPERLINK("http://www.uniprot.org/uniprot/M5VUK1","M5VUK1")</f>
        <v>M5VUK1</v>
      </c>
      <c r="D22812" s="2" t="s">
        <v>16766</v>
      </c>
      <c r="E22812" s="3">
        <v>0</v>
      </c>
      <c r="F22812" s="2">
        <v>2210</v>
      </c>
      <c r="G22812" s="2">
        <v>99</v>
      </c>
      <c r="H22812" s="2">
        <v>418</v>
      </c>
      <c r="I22812" s="2">
        <v>261</v>
      </c>
      <c r="J22812" s="2">
        <v>1514</v>
      </c>
      <c r="K22812" s="2">
        <v>1</v>
      </c>
      <c r="L22812" s="2">
        <v>418</v>
      </c>
    </row>
    <row r="22813" spans="1:12" x14ac:dyDescent="0.25">
      <c r="A22813" s="4" t="str">
        <f>HYPERLINK("http://www.rosaceae.org/Prunus/Prunus_persica/p.persica_gdr_reftransV1_0024860","p.persica_gdr_reftransV1_0024860")</f>
        <v>p.persica_gdr_reftransV1_0024860</v>
      </c>
      <c r="B22813" s="2">
        <v>2900</v>
      </c>
      <c r="C22813" s="4" t="str">
        <f>HYPERLINK("http://www.uniprot.org/uniprot/M5XAR6","M5XAR6")</f>
        <v>M5XAR6</v>
      </c>
      <c r="D22813" s="2" t="s">
        <v>15687</v>
      </c>
      <c r="E22813" s="3">
        <v>0</v>
      </c>
      <c r="F22813" s="2">
        <v>2099</v>
      </c>
      <c r="G22813" s="2">
        <v>100</v>
      </c>
      <c r="H22813" s="2">
        <v>414</v>
      </c>
      <c r="I22813" s="2">
        <v>1207</v>
      </c>
      <c r="J22813" s="2">
        <v>2448</v>
      </c>
      <c r="K22813" s="2">
        <v>203</v>
      </c>
      <c r="L22813" s="2">
        <v>616</v>
      </c>
    </row>
    <row r="22814" spans="1:12" x14ac:dyDescent="0.25">
      <c r="A22814" s="4" t="str">
        <f>HYPERLINK("http://www.rosaceae.org/Prunus/Prunus_persica/p.persica_gdr_reftransV1_0025560","p.persica_gdr_reftransV1_0025560")</f>
        <v>p.persica_gdr_reftransV1_0025560</v>
      </c>
      <c r="B22814" s="2">
        <v>3752</v>
      </c>
      <c r="C22814" s="4" t="str">
        <f>HYPERLINK("http://www.uniprot.org/uniprot/M5WPT1","M5WPT1")</f>
        <v>M5WPT1</v>
      </c>
      <c r="D22814" s="2" t="s">
        <v>16767</v>
      </c>
      <c r="E22814" s="3">
        <v>0</v>
      </c>
      <c r="F22814" s="2">
        <v>3159</v>
      </c>
      <c r="G22814" s="2">
        <v>100</v>
      </c>
      <c r="H22814" s="2">
        <v>597</v>
      </c>
      <c r="I22814" s="2">
        <v>112</v>
      </c>
      <c r="J22814" s="2">
        <v>1902</v>
      </c>
      <c r="K22814" s="2">
        <v>13</v>
      </c>
      <c r="L22814" s="2">
        <v>609</v>
      </c>
    </row>
    <row r="22815" spans="1:12" x14ac:dyDescent="0.25">
      <c r="A22815" s="4" t="str">
        <f>HYPERLINK("http://www.rosaceae.org/Prunus/Prunus_persica/p.persica_gdr_reftransV1_0027310","p.persica_gdr_reftransV1_0027310")</f>
        <v>p.persica_gdr_reftransV1_0027310</v>
      </c>
      <c r="B22815" s="2">
        <v>1536</v>
      </c>
      <c r="C22815" s="4" t="str">
        <f>HYPERLINK("http://www.uniprot.org/uniprot/M5WB27","M5WB27")</f>
        <v>M5WB27</v>
      </c>
      <c r="D22815" s="2" t="s">
        <v>2805</v>
      </c>
      <c r="E22815" s="3">
        <v>0</v>
      </c>
      <c r="F22815" s="2">
        <v>1634</v>
      </c>
      <c r="G22815" s="2">
        <v>99</v>
      </c>
      <c r="H22815" s="2">
        <v>353</v>
      </c>
      <c r="I22815" s="2">
        <v>353</v>
      </c>
      <c r="J22815" s="2">
        <v>1411</v>
      </c>
      <c r="K22815" s="2">
        <v>1</v>
      </c>
      <c r="L22815" s="2">
        <v>353</v>
      </c>
    </row>
    <row r="22816" spans="1:12" x14ac:dyDescent="0.25">
      <c r="A22816" s="4" t="str">
        <f>HYPERLINK("http://www.rosaceae.org/Prunus/Prunus_persica/p.persica_gdr_reftransV1_0029060","p.persica_gdr_reftransV1_0029060")</f>
        <v>p.persica_gdr_reftransV1_0029060</v>
      </c>
      <c r="B22816" s="2">
        <v>663</v>
      </c>
      <c r="C22816" s="4" t="str">
        <f>HYPERLINK("http://www.uniprot.org/uniprot/M5VVL2","M5VVL2")</f>
        <v>M5VVL2</v>
      </c>
      <c r="D22816" s="2" t="s">
        <v>2016</v>
      </c>
      <c r="E22816" s="3">
        <v>4.81E-157</v>
      </c>
      <c r="F22816" s="2">
        <v>1190</v>
      </c>
      <c r="G22816" s="2">
        <v>100</v>
      </c>
      <c r="H22816" s="2">
        <v>220</v>
      </c>
      <c r="I22816" s="2">
        <v>2</v>
      </c>
      <c r="J22816" s="2">
        <v>661</v>
      </c>
      <c r="K22816" s="2">
        <v>280</v>
      </c>
      <c r="L22816" s="2">
        <v>499</v>
      </c>
    </row>
    <row r="22817" spans="1:12" x14ac:dyDescent="0.25">
      <c r="A22817" s="4" t="str">
        <f>HYPERLINK("http://www.rosaceae.org/Prunus/Prunus_persica/p.persica_gdr_reftransV1_0029410","p.persica_gdr_reftransV1_0029410")</f>
        <v>p.persica_gdr_reftransV1_0029410</v>
      </c>
      <c r="B22817" s="2">
        <v>2159</v>
      </c>
      <c r="C22817" s="4" t="str">
        <f>HYPERLINK("http://www.uniprot.org/uniprot/M5WI24","M5WI24")</f>
        <v>M5WI24</v>
      </c>
      <c r="D22817" s="2" t="s">
        <v>16768</v>
      </c>
      <c r="E22817" s="3">
        <v>1.26E-43</v>
      </c>
      <c r="F22817" s="2">
        <v>415</v>
      </c>
      <c r="G22817" s="2">
        <v>100</v>
      </c>
      <c r="H22817" s="2">
        <v>77</v>
      </c>
      <c r="I22817" s="2">
        <v>412</v>
      </c>
      <c r="J22817" s="2">
        <v>642</v>
      </c>
      <c r="K22817" s="2">
        <v>86</v>
      </c>
      <c r="L22817" s="2">
        <v>162</v>
      </c>
    </row>
    <row r="22818" spans="1:12" x14ac:dyDescent="0.25">
      <c r="A22818" s="4" t="str">
        <f>HYPERLINK("http://www.rosaceae.org/Prunus/Prunus_persica/p.persica_gdr_reftransV1_0031860","p.persica_gdr_reftransV1_0031860")</f>
        <v>p.persica_gdr_reftransV1_0031860</v>
      </c>
      <c r="B22818" s="2">
        <v>4186</v>
      </c>
      <c r="C22818" s="4" t="str">
        <f>HYPERLINK("http://www.uniprot.org/uniprot/M5VKE7","M5VKE7")</f>
        <v>M5VKE7</v>
      </c>
      <c r="D22818" s="2" t="s">
        <v>16769</v>
      </c>
      <c r="E22818" s="3">
        <v>2.0000000000000001E-97</v>
      </c>
      <c r="F22818" s="2">
        <v>819</v>
      </c>
      <c r="G22818" s="2">
        <v>100</v>
      </c>
      <c r="H22818" s="2">
        <v>169</v>
      </c>
      <c r="I22818" s="2">
        <v>557</v>
      </c>
      <c r="J22818" s="2">
        <v>1063</v>
      </c>
      <c r="K22818" s="2">
        <v>1</v>
      </c>
      <c r="L22818" s="2">
        <v>169</v>
      </c>
    </row>
    <row r="22819" spans="1:12" x14ac:dyDescent="0.25">
      <c r="A22819" s="4" t="str">
        <f>HYPERLINK("http://www.rosaceae.org/Prunus/Prunus_persica/p.persica_gdr_reftransV1_0032560","p.persica_gdr_reftransV1_0032560")</f>
        <v>p.persica_gdr_reftransV1_0032560</v>
      </c>
      <c r="B22819" s="2">
        <v>1031</v>
      </c>
      <c r="C22819" s="4" t="str">
        <f>HYPERLINK("http://www.uniprot.org/uniprot/M5X6Q2","M5X6Q2")</f>
        <v>M5X6Q2</v>
      </c>
      <c r="D22819" s="2" t="s">
        <v>16770</v>
      </c>
      <c r="E22819" s="3">
        <v>9.1300000000000002E-33</v>
      </c>
      <c r="F22819" s="2">
        <v>323</v>
      </c>
      <c r="G22819" s="2">
        <v>100</v>
      </c>
      <c r="H22819" s="2">
        <v>61</v>
      </c>
      <c r="I22819" s="2">
        <v>623</v>
      </c>
      <c r="J22819" s="2">
        <v>805</v>
      </c>
      <c r="K22819" s="2">
        <v>1</v>
      </c>
      <c r="L22819" s="2">
        <v>61</v>
      </c>
    </row>
    <row r="22820" spans="1:12" x14ac:dyDescent="0.25">
      <c r="A22820" s="4" t="str">
        <f>HYPERLINK("http://www.rosaceae.org/Prunus/Prunus_persica/p.persica_gdr_reftransV1_0033260","p.persica_gdr_reftransV1_0033260")</f>
        <v>p.persica_gdr_reftransV1_0033260</v>
      </c>
      <c r="B22820" s="2">
        <v>2677</v>
      </c>
      <c r="C22820" s="4" t="str">
        <f>HYPERLINK("http://www.uniprot.org/uniprot/M5WG08","M5WG08")</f>
        <v>M5WG08</v>
      </c>
      <c r="D22820" s="2" t="s">
        <v>16746</v>
      </c>
      <c r="E22820" s="3">
        <v>0</v>
      </c>
      <c r="F22820" s="2">
        <v>1601</v>
      </c>
      <c r="G22820" s="2">
        <v>99</v>
      </c>
      <c r="H22820" s="2">
        <v>337</v>
      </c>
      <c r="I22820" s="2">
        <v>891</v>
      </c>
      <c r="J22820" s="2">
        <v>1901</v>
      </c>
      <c r="K22820" s="2">
        <v>3</v>
      </c>
      <c r="L22820" s="2">
        <v>339</v>
      </c>
    </row>
    <row r="22821" spans="1:12" x14ac:dyDescent="0.25">
      <c r="A22821" s="4" t="str">
        <f>HYPERLINK("http://www.rosaceae.org/Prunus/Prunus_persica/p.persica_gdr_reftransV1_0033610","p.persica_gdr_reftransV1_0033610")</f>
        <v>p.persica_gdr_reftransV1_0033610</v>
      </c>
      <c r="B22821" s="2">
        <v>1807</v>
      </c>
      <c r="C22821" s="4" t="str">
        <f>HYPERLINK("http://www.uniprot.org/uniprot/D7SPV8","D7SPV8")</f>
        <v>D7SPV8</v>
      </c>
      <c r="D22821" s="2" t="s">
        <v>16771</v>
      </c>
      <c r="E22821" s="3">
        <v>1.05E-172</v>
      </c>
      <c r="F22821" s="2">
        <v>1308</v>
      </c>
      <c r="G22821" s="2">
        <v>66</v>
      </c>
      <c r="H22821" s="2">
        <v>391</v>
      </c>
      <c r="I22821" s="2">
        <v>70</v>
      </c>
      <c r="J22821" s="2">
        <v>1242</v>
      </c>
      <c r="K22821" s="2">
        <v>13</v>
      </c>
      <c r="L22821" s="2">
        <v>398</v>
      </c>
    </row>
    <row r="22822" spans="1:12" x14ac:dyDescent="0.25">
      <c r="A22822" s="4" t="str">
        <f>HYPERLINK("http://www.rosaceae.org/Prunus/Prunus_persica/p.persica_gdr_reftransV1_0035010","p.persica_gdr_reftransV1_0035010")</f>
        <v>p.persica_gdr_reftransV1_0035010</v>
      </c>
      <c r="B22822" s="2">
        <v>667</v>
      </c>
      <c r="C22822" s="4" t="str">
        <f>HYPERLINK("http://www.uniprot.org/uniprot/M5WKK0","M5WKK0")</f>
        <v>M5WKK0</v>
      </c>
      <c r="D22822" s="2" t="s">
        <v>16772</v>
      </c>
      <c r="E22822" s="3">
        <v>7.0899999999999998E-78</v>
      </c>
      <c r="F22822" s="2">
        <v>616</v>
      </c>
      <c r="G22822" s="2">
        <v>100</v>
      </c>
      <c r="H22822" s="2">
        <v>127</v>
      </c>
      <c r="I22822" s="2">
        <v>212</v>
      </c>
      <c r="J22822" s="2">
        <v>592</v>
      </c>
      <c r="K22822" s="2">
        <v>1</v>
      </c>
      <c r="L22822" s="2">
        <v>127</v>
      </c>
    </row>
    <row r="22823" spans="1:12" x14ac:dyDescent="0.25">
      <c r="A22823" s="4" t="str">
        <f>HYPERLINK("http://www.rosaceae.org/Prunus/Prunus_persica/p.persica_gdr_reftransV1_0035360","p.persica_gdr_reftransV1_0035360")</f>
        <v>p.persica_gdr_reftransV1_0035360</v>
      </c>
      <c r="B22823" s="2">
        <v>2323</v>
      </c>
      <c r="C22823" s="4" t="str">
        <f>HYPERLINK("http://www.uniprot.org/uniprot/M5VQY5","M5VQY5")</f>
        <v>M5VQY5</v>
      </c>
      <c r="D22823" s="2" t="s">
        <v>16773</v>
      </c>
      <c r="E22823" s="3">
        <v>1.9200000000000001E-82</v>
      </c>
      <c r="F22823" s="2">
        <v>701</v>
      </c>
      <c r="G22823" s="2">
        <v>100</v>
      </c>
      <c r="H22823" s="2">
        <v>135</v>
      </c>
      <c r="I22823" s="2">
        <v>328</v>
      </c>
      <c r="J22823" s="2">
        <v>732</v>
      </c>
      <c r="K22823" s="2">
        <v>108</v>
      </c>
      <c r="L22823" s="2">
        <v>242</v>
      </c>
    </row>
    <row r="22824" spans="1:12" x14ac:dyDescent="0.25">
      <c r="A22824" s="4" t="str">
        <f>HYPERLINK("http://www.rosaceae.org/Prunus/Prunus_persica/p.persica_gdr_reftransV1_0035710","p.persica_gdr_reftransV1_0035710")</f>
        <v>p.persica_gdr_reftransV1_0035710</v>
      </c>
      <c r="B22824" s="2">
        <v>1852</v>
      </c>
      <c r="C22824" s="4" t="str">
        <f>HYPERLINK("http://www.uniprot.org/uniprot/M5VVW6","M5VVW6")</f>
        <v>M5VVW6</v>
      </c>
      <c r="D22824" s="2" t="s">
        <v>16774</v>
      </c>
      <c r="E22824" s="3">
        <v>0</v>
      </c>
      <c r="F22824" s="2">
        <v>2120</v>
      </c>
      <c r="G22824" s="2">
        <v>100</v>
      </c>
      <c r="H22824" s="2">
        <v>431</v>
      </c>
      <c r="I22824" s="2">
        <v>49</v>
      </c>
      <c r="J22824" s="2">
        <v>1341</v>
      </c>
      <c r="K22824" s="2">
        <v>2</v>
      </c>
      <c r="L22824" s="2">
        <v>432</v>
      </c>
    </row>
    <row r="22825" spans="1:12" x14ac:dyDescent="0.25">
      <c r="A22825" s="4" t="str">
        <f>HYPERLINK("http://www.rosaceae.org/Prunus/Prunus_persica/p.persica_gdr_reftransV1_0036410","p.persica_gdr_reftransV1_0036410")</f>
        <v>p.persica_gdr_reftransV1_0036410</v>
      </c>
      <c r="B22825" s="2">
        <v>2005</v>
      </c>
      <c r="C22825" s="4" t="str">
        <f>HYPERLINK("http://www.uniprot.org/uniprot/M5X322","M5X322")</f>
        <v>M5X322</v>
      </c>
      <c r="D22825" s="2" t="s">
        <v>13778</v>
      </c>
      <c r="E22825" s="3">
        <v>1.7400000000000001E-144</v>
      </c>
      <c r="F22825" s="2">
        <v>1127</v>
      </c>
      <c r="G22825" s="2">
        <v>86</v>
      </c>
      <c r="H22825" s="2">
        <v>264</v>
      </c>
      <c r="I22825" s="2">
        <v>1137</v>
      </c>
      <c r="J22825" s="2">
        <v>1928</v>
      </c>
      <c r="K22825" s="2">
        <v>1</v>
      </c>
      <c r="L22825" s="2">
        <v>229</v>
      </c>
    </row>
    <row r="22826" spans="1:12" x14ac:dyDescent="0.25">
      <c r="A22826" s="4" t="str">
        <f>HYPERLINK("http://www.rosaceae.org/Prunus/Prunus_persica/p.persica_gdr_reftransV1_0037110","p.persica_gdr_reftransV1_0037110")</f>
        <v>p.persica_gdr_reftransV1_0037110</v>
      </c>
      <c r="B22826" s="2">
        <v>1590</v>
      </c>
      <c r="C22826" s="4" t="str">
        <f>HYPERLINK("http://www.uniprot.org/uniprot/M5WGQ2","M5WGQ2")</f>
        <v>M5WGQ2</v>
      </c>
      <c r="D22826" s="2" t="s">
        <v>16775</v>
      </c>
      <c r="E22826" s="3">
        <v>3.6200000000000002E-97</v>
      </c>
      <c r="F22826" s="2">
        <v>788</v>
      </c>
      <c r="G22826" s="2">
        <v>93</v>
      </c>
      <c r="H22826" s="2">
        <v>161</v>
      </c>
      <c r="I22826" s="2">
        <v>957</v>
      </c>
      <c r="J22826" s="2">
        <v>1427</v>
      </c>
      <c r="K22826" s="2">
        <v>34</v>
      </c>
      <c r="L22826" s="2">
        <v>194</v>
      </c>
    </row>
    <row r="22827" spans="1:12" x14ac:dyDescent="0.25">
      <c r="A22827" s="4" t="str">
        <f>HYPERLINK("http://www.rosaceae.org/Prunus/Prunus_persica/p.persica_gdr_reftransV1_0039210","p.persica_gdr_reftransV1_0039210")</f>
        <v>p.persica_gdr_reftransV1_0039210</v>
      </c>
      <c r="B22827" s="2">
        <v>2733</v>
      </c>
      <c r="C22827" s="4" t="str">
        <f>HYPERLINK("http://www.uniprot.org/uniprot/M5X3R3","M5X3R3")</f>
        <v>M5X3R3</v>
      </c>
      <c r="D22827" s="2" t="s">
        <v>8760</v>
      </c>
      <c r="E22827" s="3">
        <v>0</v>
      </c>
      <c r="F22827" s="2">
        <v>1933</v>
      </c>
      <c r="G22827" s="2">
        <v>100</v>
      </c>
      <c r="H22827" s="2">
        <v>359</v>
      </c>
      <c r="I22827" s="2">
        <v>1392</v>
      </c>
      <c r="J22827" s="2">
        <v>2468</v>
      </c>
      <c r="K22827" s="2">
        <v>328</v>
      </c>
      <c r="L22827" s="2">
        <v>686</v>
      </c>
    </row>
    <row r="22828" spans="1:12" x14ac:dyDescent="0.25">
      <c r="A22828" s="4" t="str">
        <f>HYPERLINK("http://www.rosaceae.org/Prunus/Prunus_persica/p.persica_gdr_reftransV1_0039560","p.persica_gdr_reftransV1_0039560")</f>
        <v>p.persica_gdr_reftransV1_0039560</v>
      </c>
      <c r="B22828" s="2">
        <v>1058</v>
      </c>
      <c r="C22828" s="4" t="str">
        <f>HYPERLINK("http://www.uniprot.org/uniprot/M5WD81","M5WD81")</f>
        <v>M5WD81</v>
      </c>
      <c r="D22828" s="2" t="s">
        <v>16776</v>
      </c>
      <c r="E22828" s="3">
        <v>4.4399999999999998E-130</v>
      </c>
      <c r="F22828" s="2">
        <v>982</v>
      </c>
      <c r="G22828" s="2">
        <v>93</v>
      </c>
      <c r="H22828" s="2">
        <v>200</v>
      </c>
      <c r="I22828" s="2">
        <v>244</v>
      </c>
      <c r="J22828" s="2">
        <v>843</v>
      </c>
      <c r="K22828" s="2">
        <v>13</v>
      </c>
      <c r="L22828" s="2">
        <v>211</v>
      </c>
    </row>
    <row r="22829" spans="1:12" x14ac:dyDescent="0.25">
      <c r="A22829" s="4" t="str">
        <f>HYPERLINK("http://www.rosaceae.org/Prunus/Prunus_persica/p.persica_gdr_reftransV1_0041310","p.persica_gdr_reftransV1_0041310")</f>
        <v>p.persica_gdr_reftransV1_0041310</v>
      </c>
      <c r="B22829" s="2">
        <v>1386</v>
      </c>
      <c r="C22829" s="4" t="str">
        <f>HYPERLINK("http://www.uniprot.org/uniprot/M5XEU0","M5XEU0")</f>
        <v>M5XEU0</v>
      </c>
      <c r="D22829" s="2" t="s">
        <v>16777</v>
      </c>
      <c r="E22829" s="3">
        <v>9.3700000000000002E-152</v>
      </c>
      <c r="F22829" s="2">
        <v>1142</v>
      </c>
      <c r="G22829" s="2">
        <v>100</v>
      </c>
      <c r="H22829" s="2">
        <v>241</v>
      </c>
      <c r="I22829" s="2">
        <v>330</v>
      </c>
      <c r="J22829" s="2">
        <v>1052</v>
      </c>
      <c r="K22829" s="2">
        <v>12</v>
      </c>
      <c r="L22829" s="2">
        <v>252</v>
      </c>
    </row>
    <row r="22830" spans="1:12" x14ac:dyDescent="0.25">
      <c r="A22830" s="4" t="str">
        <f>HYPERLINK("http://www.rosaceae.org/Prunus/Prunus_persica/p.persica_gdr_reftransV1_0043060","p.persica_gdr_reftransV1_0043060")</f>
        <v>p.persica_gdr_reftransV1_0043060</v>
      </c>
      <c r="B22830" s="2">
        <v>1320</v>
      </c>
      <c r="C22830" s="4" t="str">
        <f>HYPERLINK("http://www.uniprot.org/uniprot/M5W9W7","M5W9W7")</f>
        <v>M5W9W7</v>
      </c>
      <c r="D22830" s="2" t="s">
        <v>1997</v>
      </c>
      <c r="E22830" s="3">
        <v>0</v>
      </c>
      <c r="F22830" s="2">
        <v>1731</v>
      </c>
      <c r="G22830" s="2">
        <v>100</v>
      </c>
      <c r="H22830" s="2">
        <v>327</v>
      </c>
      <c r="I22830" s="2">
        <v>260</v>
      </c>
      <c r="J22830" s="2">
        <v>1240</v>
      </c>
      <c r="K22830" s="2">
        <v>1</v>
      </c>
      <c r="L22830" s="2">
        <v>327</v>
      </c>
    </row>
    <row r="22831" spans="1:12" x14ac:dyDescent="0.25">
      <c r="A22831" s="4" t="str">
        <f>HYPERLINK("http://www.rosaceae.org/Prunus/Prunus_persica/p.persica_gdr_reftransV1_0043760","p.persica_gdr_reftransV1_0043760")</f>
        <v>p.persica_gdr_reftransV1_0043760</v>
      </c>
      <c r="B22831" s="2">
        <v>1335</v>
      </c>
      <c r="C22831" s="4" t="str">
        <f>HYPERLINK("http://www.uniprot.org/uniprot/M5VZP8","M5VZP8")</f>
        <v>M5VZP8</v>
      </c>
      <c r="D22831" s="2" t="s">
        <v>16778</v>
      </c>
      <c r="E22831" s="3">
        <v>9.0999999999999996E-118</v>
      </c>
      <c r="F22831" s="2">
        <v>915</v>
      </c>
      <c r="G22831" s="2">
        <v>100</v>
      </c>
      <c r="H22831" s="2">
        <v>250</v>
      </c>
      <c r="I22831" s="2">
        <v>267</v>
      </c>
      <c r="J22831" s="2">
        <v>1016</v>
      </c>
      <c r="K22831" s="2">
        <v>10</v>
      </c>
      <c r="L22831" s="2">
        <v>259</v>
      </c>
    </row>
    <row r="22832" spans="1:12" x14ac:dyDescent="0.25">
      <c r="A22832" s="4" t="str">
        <f>HYPERLINK("http://www.rosaceae.org/Prunus/Prunus_persica/p.persica_gdr_reftransV1_0044810","p.persica_gdr_reftransV1_0044810")</f>
        <v>p.persica_gdr_reftransV1_0044810</v>
      </c>
      <c r="B22832" s="2">
        <v>519</v>
      </c>
      <c r="C22832" s="4" t="str">
        <f>HYPERLINK("http://www.uniprot.org/uniprot/M5XJM7","M5XJM7")</f>
        <v>M5XJM7</v>
      </c>
      <c r="D22832" s="2" t="s">
        <v>13855</v>
      </c>
      <c r="E22832" s="3">
        <v>7.2399999999999997E-50</v>
      </c>
      <c r="F22832" s="2">
        <v>421</v>
      </c>
      <c r="G22832" s="2">
        <v>100</v>
      </c>
      <c r="H22832" s="2">
        <v>83</v>
      </c>
      <c r="I22832" s="2">
        <v>162</v>
      </c>
      <c r="J22832" s="2">
        <v>410</v>
      </c>
      <c r="K22832" s="2">
        <v>1</v>
      </c>
      <c r="L22832" s="2">
        <v>83</v>
      </c>
    </row>
    <row r="22833" spans="1:12" x14ac:dyDescent="0.25">
      <c r="A22833" s="4" t="str">
        <f>HYPERLINK("http://www.rosaceae.org/Prunus/Prunus_persica/p.persica_gdr_reftransV1_0045160","p.persica_gdr_reftransV1_0045160")</f>
        <v>p.persica_gdr_reftransV1_0045160</v>
      </c>
      <c r="B22833" s="2">
        <v>576</v>
      </c>
      <c r="C22833" s="4" t="str">
        <f>HYPERLINK("http://www.uniprot.org/uniprot/M5W9A8","M5W9A8")</f>
        <v>M5W9A8</v>
      </c>
      <c r="D22833" s="2" t="s">
        <v>5869</v>
      </c>
      <c r="E22833" s="3">
        <v>1.29E-117</v>
      </c>
      <c r="F22833" s="2">
        <v>910</v>
      </c>
      <c r="G22833" s="2">
        <v>89</v>
      </c>
      <c r="H22833" s="2">
        <v>201</v>
      </c>
      <c r="I22833" s="2">
        <v>1</v>
      </c>
      <c r="J22833" s="2">
        <v>576</v>
      </c>
      <c r="K22833" s="2">
        <v>63</v>
      </c>
      <c r="L22833" s="2">
        <v>263</v>
      </c>
    </row>
    <row r="22834" spans="1:12" x14ac:dyDescent="0.25">
      <c r="A22834" s="4" t="str">
        <f>HYPERLINK("http://www.rosaceae.org/Prunus/Prunus_persica/p.persica_gdr_reftransV1_0045510","p.persica_gdr_reftransV1_0045510")</f>
        <v>p.persica_gdr_reftransV1_0045510</v>
      </c>
      <c r="B22834" s="2">
        <v>778</v>
      </c>
      <c r="C22834" s="4" t="str">
        <f>HYPERLINK("http://www.uniprot.org/uniprot/M5WH36","M5WH36")</f>
        <v>M5WH36</v>
      </c>
      <c r="D22834" s="2" t="s">
        <v>2252</v>
      </c>
      <c r="E22834" s="3">
        <v>5.7300000000000002E-102</v>
      </c>
      <c r="F22834" s="2">
        <v>813</v>
      </c>
      <c r="G22834" s="2">
        <v>100</v>
      </c>
      <c r="H22834" s="2">
        <v>154</v>
      </c>
      <c r="I22834" s="2">
        <v>35</v>
      </c>
      <c r="J22834" s="2">
        <v>496</v>
      </c>
      <c r="K22834" s="2">
        <v>349</v>
      </c>
      <c r="L22834" s="2">
        <v>502</v>
      </c>
    </row>
    <row r="22835" spans="1:12" x14ac:dyDescent="0.25">
      <c r="A22835" s="4" t="str">
        <f>HYPERLINK("http://www.rosaceae.org/Prunus/Prunus_persica/p.persica_gdr_reftransV1_0045860","p.persica_gdr_reftransV1_0045860")</f>
        <v>p.persica_gdr_reftransV1_0045860</v>
      </c>
      <c r="B22835" s="2">
        <v>779</v>
      </c>
      <c r="C22835" s="4" t="str">
        <f>HYPERLINK("http://www.uniprot.org/uniprot/M5WL64","M5WL64")</f>
        <v>M5WL64</v>
      </c>
      <c r="D22835" s="2" t="s">
        <v>1171</v>
      </c>
      <c r="E22835" s="3">
        <v>4.9299999999999999E-142</v>
      </c>
      <c r="F22835" s="2">
        <v>1052</v>
      </c>
      <c r="G22835" s="2">
        <v>100</v>
      </c>
      <c r="H22835" s="2">
        <v>220</v>
      </c>
      <c r="I22835" s="2">
        <v>59</v>
      </c>
      <c r="J22835" s="2">
        <v>718</v>
      </c>
      <c r="K22835" s="2">
        <v>1</v>
      </c>
      <c r="L22835" s="2">
        <v>220</v>
      </c>
    </row>
    <row r="22836" spans="1:12" x14ac:dyDescent="0.25">
      <c r="A22836" s="4" t="str">
        <f>HYPERLINK("http://www.rosaceae.org/Prunus/Prunus_persica/p.persica_gdr_reftransV1_0046210","p.persica_gdr_reftransV1_0046210")</f>
        <v>p.persica_gdr_reftransV1_0046210</v>
      </c>
      <c r="B22836" s="2">
        <v>795</v>
      </c>
      <c r="C22836" s="4" t="str">
        <f>HYPERLINK("http://www.uniprot.org/uniprot/M5X5K0","M5X5K0")</f>
        <v>M5X5K0</v>
      </c>
      <c r="D22836" s="2" t="s">
        <v>10055</v>
      </c>
      <c r="E22836" s="3">
        <v>4.2000000000000002E-75</v>
      </c>
      <c r="F22836" s="2">
        <v>603</v>
      </c>
      <c r="G22836" s="2">
        <v>100</v>
      </c>
      <c r="H22836" s="2">
        <v>143</v>
      </c>
      <c r="I22836" s="2">
        <v>194</v>
      </c>
      <c r="J22836" s="2">
        <v>622</v>
      </c>
      <c r="K22836" s="2">
        <v>1</v>
      </c>
      <c r="L22836" s="2">
        <v>143</v>
      </c>
    </row>
    <row r="22837" spans="1:12" x14ac:dyDescent="0.25">
      <c r="A22837" s="4" t="str">
        <f>HYPERLINK("http://www.rosaceae.org/Prunus/Prunus_persica/p.persica_gdr_reftransV1_0046910","p.persica_gdr_reftransV1_0046910")</f>
        <v>p.persica_gdr_reftransV1_0046910</v>
      </c>
      <c r="B22837" s="2">
        <v>3557</v>
      </c>
      <c r="C22837" s="4" t="str">
        <f>HYPERLINK("http://www.uniprot.org/uniprot/M5XKZ8","M5XKZ8")</f>
        <v>M5XKZ8</v>
      </c>
      <c r="D22837" s="2" t="s">
        <v>2126</v>
      </c>
      <c r="E22837" s="3">
        <v>0</v>
      </c>
      <c r="F22837" s="2">
        <v>4563</v>
      </c>
      <c r="G22837" s="2">
        <v>96</v>
      </c>
      <c r="H22837" s="2">
        <v>1036</v>
      </c>
      <c r="I22837" s="2">
        <v>73</v>
      </c>
      <c r="J22837" s="2">
        <v>3162</v>
      </c>
      <c r="K22837" s="2">
        <v>1</v>
      </c>
      <c r="L22837" s="2">
        <v>1035</v>
      </c>
    </row>
    <row r="22838" spans="1:12" x14ac:dyDescent="0.25">
      <c r="A22838" s="4" t="str">
        <f>HYPERLINK("http://www.rosaceae.org/Prunus/Prunus_persica/p.persica_gdr_reftransV1_0047960","p.persica_gdr_reftransV1_0047960")</f>
        <v>p.persica_gdr_reftransV1_0047960</v>
      </c>
      <c r="B22838" s="2">
        <v>305</v>
      </c>
      <c r="C22838" s="4" t="str">
        <f>HYPERLINK("http://www.uniprot.org/uniprot/M5VHB6","M5VHB6")</f>
        <v>M5VHB6</v>
      </c>
      <c r="D22838" s="2" t="s">
        <v>4929</v>
      </c>
      <c r="E22838" s="3">
        <v>6.5800000000000005E-44</v>
      </c>
      <c r="F22838" s="2">
        <v>395</v>
      </c>
      <c r="G22838" s="2">
        <v>76</v>
      </c>
      <c r="H22838" s="2">
        <v>99</v>
      </c>
      <c r="I22838" s="2">
        <v>8</v>
      </c>
      <c r="J22838" s="2">
        <v>304</v>
      </c>
      <c r="K22838" s="2">
        <v>171</v>
      </c>
      <c r="L22838" s="2">
        <v>269</v>
      </c>
    </row>
    <row r="22839" spans="1:12" x14ac:dyDescent="0.25">
      <c r="A22839" s="4" t="str">
        <f>HYPERLINK("http://www.rosaceae.org/Prunus/Prunus_persica/p.persica_gdr_reftransV1_0048310","p.persica_gdr_reftransV1_0048310")</f>
        <v>p.persica_gdr_reftransV1_0048310</v>
      </c>
      <c r="B22839" s="2">
        <v>1070</v>
      </c>
      <c r="C22839" s="4" t="str">
        <f>HYPERLINK("http://www.uniprot.org/uniprot/M5XB14","M5XB14")</f>
        <v>M5XB14</v>
      </c>
      <c r="D22839" s="2" t="s">
        <v>2691</v>
      </c>
      <c r="E22839" s="3">
        <v>5.2000000000000002E-119</v>
      </c>
      <c r="F22839" s="2">
        <v>907</v>
      </c>
      <c r="G22839" s="2">
        <v>100</v>
      </c>
      <c r="H22839" s="2">
        <v>183</v>
      </c>
      <c r="I22839" s="2">
        <v>46</v>
      </c>
      <c r="J22839" s="2">
        <v>594</v>
      </c>
      <c r="K22839" s="2">
        <v>1</v>
      </c>
      <c r="L22839" s="2">
        <v>183</v>
      </c>
    </row>
    <row r="22840" spans="1:12" x14ac:dyDescent="0.25">
      <c r="A22840" s="4" t="str">
        <f>HYPERLINK("http://www.rosaceae.org/Prunus/Prunus_persica/p.persica_gdr_reftransV1_0048660","p.persica_gdr_reftransV1_0048660")</f>
        <v>p.persica_gdr_reftransV1_0048660</v>
      </c>
      <c r="B22840" s="2">
        <v>1041</v>
      </c>
      <c r="C22840" s="4" t="str">
        <f>HYPERLINK("http://www.uniprot.org/uniprot/M5WB53","M5WB53")</f>
        <v>M5WB53</v>
      </c>
      <c r="D22840" s="2" t="s">
        <v>13031</v>
      </c>
      <c r="E22840" s="3">
        <v>3.72E-46</v>
      </c>
      <c r="F22840" s="2">
        <v>411</v>
      </c>
      <c r="G22840" s="2">
        <v>100</v>
      </c>
      <c r="H22840" s="2">
        <v>77</v>
      </c>
      <c r="I22840" s="2">
        <v>301</v>
      </c>
      <c r="J22840" s="2">
        <v>531</v>
      </c>
      <c r="K22840" s="2">
        <v>1</v>
      </c>
      <c r="L22840" s="2">
        <v>77</v>
      </c>
    </row>
    <row r="22841" spans="1:12" x14ac:dyDescent="0.25">
      <c r="A22841" s="4" t="str">
        <f>HYPERLINK("http://www.rosaceae.org/Prunus/Prunus_persica/p.persica_gdr_reftransV1_0049010","p.persica_gdr_reftransV1_0049010")</f>
        <v>p.persica_gdr_reftransV1_0049010</v>
      </c>
      <c r="B22841" s="2">
        <v>1955</v>
      </c>
      <c r="C22841" s="4" t="str">
        <f>HYPERLINK("http://www.uniprot.org/uniprot/M5VXR5","M5VXR5")</f>
        <v>M5VXR5</v>
      </c>
      <c r="D22841" s="2" t="s">
        <v>5108</v>
      </c>
      <c r="E22841" s="3">
        <v>0</v>
      </c>
      <c r="F22841" s="2">
        <v>2591</v>
      </c>
      <c r="G22841" s="2">
        <v>100</v>
      </c>
      <c r="H22841" s="2">
        <v>504</v>
      </c>
      <c r="I22841" s="2">
        <v>341</v>
      </c>
      <c r="J22841" s="2">
        <v>1852</v>
      </c>
      <c r="K22841" s="2">
        <v>1</v>
      </c>
      <c r="L22841" s="2">
        <v>504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trembl_longestIsfo.txt_hyperLin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ping</dc:creator>
  <cp:lastModifiedBy>user</cp:lastModifiedBy>
  <dcterms:created xsi:type="dcterms:W3CDTF">2017-01-14T00:28:45Z</dcterms:created>
  <dcterms:modified xsi:type="dcterms:W3CDTF">2017-01-14T00:28:45Z</dcterms:modified>
</cp:coreProperties>
</file>